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4.xml" ContentType="application/vnd.openxmlformats-officedocument.drawing+xml"/>
  <Override PartName="/xl/comments34.xml" ContentType="application/vnd.openxmlformats-officedocument.spreadsheetml.comments+xml"/>
  <Override PartName="/xl/drawings/drawing5.xml" ContentType="application/vnd.openxmlformats-officedocument.drawing+xml"/>
  <Override PartName="/xl/comments35.xml" ContentType="application/vnd.openxmlformats-officedocument.spreadsheetml.comments+xml"/>
  <Override PartName="/xl/drawings/drawing6.xml" ContentType="application/vnd.openxmlformats-officedocument.drawing+xml"/>
  <Override PartName="/xl/comments36.xml" ContentType="application/vnd.openxmlformats-officedocument.spreadsheetml.comments+xml"/>
  <Override PartName="/xl/drawings/drawing7.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
    </mc:Choice>
  </mc:AlternateContent>
  <xr:revisionPtr revIDLastSave="0" documentId="8_{EE867703-C0D0-479E-851C-A3489F374AB8}" xr6:coauthVersionLast="45" xr6:coauthVersionMax="45" xr10:uidLastSave="{00000000-0000-0000-0000-000000000000}"/>
  <bookViews>
    <workbookView xWindow="28680" yWindow="-120" windowWidth="29040" windowHeight="15840" tabRatio="869" activeTab="2" xr2:uid="{4AF133B4-C301-45CE-82EB-9E28463335B4}"/>
  </bookViews>
  <sheets>
    <sheet name="v8 Revisions" sheetId="120" r:id="rId1"/>
    <sheet name="v9 Revisions" sheetId="121" r:id="rId2"/>
    <sheet name="Program-Level Adj Gas" sheetId="116" r:id="rId3"/>
    <sheet name="Measure-Level Adj Gas" sheetId="117" r:id="rId4"/>
    <sheet name="Sheet4" sheetId="115" state="hidden" r:id="rId5"/>
    <sheet name="Portfolio Summary" sheetId="30" state="hidden" r:id="rId6"/>
    <sheet name="Measure Level Adjustments Tab" sheetId="1" r:id="rId7"/>
    <sheet name="Measure Codes" sheetId="114" state="hidden" r:id="rId8"/>
    <sheet name="NTG-RES" sheetId="24" state="hidden" r:id="rId9"/>
    <sheet name="NTG -BUS" sheetId="113" state="hidden" r:id="rId10"/>
    <sheet name="ComEd Appliance NTG" sheetId="29" state="hidden" r:id="rId11"/>
    <sheet name="Assumptions" sheetId="19" state="hidden" r:id="rId12"/>
    <sheet name="RES Shell" sheetId="18" r:id="rId13"/>
    <sheet name="RES HVAC" sheetId="16" r:id="rId14"/>
    <sheet name="RES DHW" sheetId="17" r:id="rId15"/>
    <sheet name="BUS Measure-Model Summary" sheetId="98" r:id="rId16"/>
    <sheet name="BUS Infrared Heaters" sheetId="122" r:id="rId17"/>
    <sheet name="BUS Low Flow Showerheads" sheetId="36" r:id="rId18"/>
    <sheet name="BUS Low Flow Showerheads SB" sheetId="37" r:id="rId19"/>
    <sheet name="BUS Low Flow Showerheads PS" sheetId="38" r:id="rId20"/>
    <sheet name="BUS Ozone Laundry" sheetId="39" r:id="rId21"/>
    <sheet name="BUS Ozone Laundry SB" sheetId="40" r:id="rId22"/>
    <sheet name="BUS Ozone Laundry PS" sheetId="41" r:id="rId23"/>
    <sheet name="BUS - BPAR1 (TRM)" sheetId="44" r:id="rId24"/>
    <sheet name="BUS - BPAR1 SB (TRM)" sheetId="45" r:id="rId25"/>
    <sheet name="BUS - BPAR1 PS (TRM)" sheetId="46" r:id="rId26"/>
    <sheet name="BUS - BPAR1 (TRM) (LFR)" sheetId="47" r:id="rId27"/>
    <sheet name="BUS - BPAR1 SB (TRM) (LFR)" sheetId="48" r:id="rId28"/>
    <sheet name="BUS - BPAR1 PS (TRM) (LFR)" sheetId="49" r:id="rId29"/>
    <sheet name="BUS- BPCK12 (TRM)" sheetId="72" r:id="rId30"/>
    <sheet name="BUS - BPCK12 PS (TRM)" sheetId="73" r:id="rId31"/>
    <sheet name="BUS- BPCK21 (TRM)" sheetId="74" r:id="rId32"/>
    <sheet name="BUS- BPCK21 SB (TRM)" sheetId="75" r:id="rId33"/>
    <sheet name="BUS - BPCK21 PS (TRM)" sheetId="76" r:id="rId34"/>
    <sheet name="BUS-BPH1 (TRM)" sheetId="77" r:id="rId35"/>
    <sheet name="BUS - BPH1 PS (TRM)" sheetId="78" r:id="rId36"/>
    <sheet name="BUS- BPH4 (TRM)" sheetId="79" r:id="rId37"/>
    <sheet name="BUS - BPH4 PS (TRM)" sheetId="80" r:id="rId38"/>
    <sheet name="BUS - BPH7 (TRM)" sheetId="81" r:id="rId39"/>
    <sheet name="BUS - BPH7 PS (TRM)" sheetId="82" r:id="rId40"/>
    <sheet name="BUS - BPH8 (TRM)" sheetId="83" r:id="rId41"/>
    <sheet name="BUS - BPH9 SB (TRM)" sheetId="84" r:id="rId42"/>
    <sheet name="BUS - BPH8 PS (TRM)" sheetId="85" r:id="rId43"/>
    <sheet name="BUS - BPH9 (TRM)" sheetId="86" r:id="rId44"/>
    <sheet name="BUS - BPH9 PS (TRM)" sheetId="87" r:id="rId45"/>
    <sheet name="BUS - BPH20 (TRM)" sheetId="88" r:id="rId46"/>
    <sheet name="BUS - BPH20 PS (TRM)" sheetId="89" r:id="rId47"/>
    <sheet name="BUS - BPST2 (TRM)" sheetId="90" r:id="rId48"/>
    <sheet name="BUS - BPST2 PS (TRM)" sheetId="91" r:id="rId49"/>
    <sheet name="BUS - BPST5 (TRM)" sheetId="92" r:id="rId50"/>
    <sheet name="BUS - BPST5 PS (TRM)" sheetId="93" r:id="rId51"/>
    <sheet name="BUS - BPST6" sheetId="94" r:id="rId52"/>
    <sheet name="BUS - BPM10 (TRM)" sheetId="95" r:id="rId53"/>
    <sheet name="BUS - BPM10 PS (TRM)" sheetId="96" r:id="rId54"/>
    <sheet name="BUS- BPWH4 (TRM)" sheetId="97" r:id="rId55"/>
    <sheet name="BUS - BPWH4 PS (TRM)" sheetId="100" r:id="rId56"/>
    <sheet name="BUS- BPWH5 (TRM)" sheetId="101" r:id="rId57"/>
    <sheet name="BUS - BPWH5 PS (TRM)" sheetId="102" r:id="rId58"/>
    <sheet name="BUS Measure-Level Details" sheetId="112" state="hidden" r:id="rId59"/>
    <sheet name="2018 Plan Data" sheetId="2"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A" localSheetId="25">#REF!</definedName>
    <definedName name="\A" localSheetId="28">#REF!</definedName>
    <definedName name="\A" localSheetId="24">#REF!</definedName>
    <definedName name="\A" localSheetId="27">#REF!</definedName>
    <definedName name="\A" localSheetId="30">#REF!</definedName>
    <definedName name="\A" localSheetId="33">#REF!</definedName>
    <definedName name="\A" localSheetId="35">#REF!</definedName>
    <definedName name="\A" localSheetId="45">#REF!</definedName>
    <definedName name="\A" localSheetId="46">#REF!</definedName>
    <definedName name="\A" localSheetId="37">#REF!</definedName>
    <definedName name="\A" localSheetId="38">#REF!</definedName>
    <definedName name="\A" localSheetId="39">#REF!</definedName>
    <definedName name="\A" localSheetId="40">#REF!</definedName>
    <definedName name="\A" localSheetId="42">#REF!</definedName>
    <definedName name="\A" localSheetId="43">#REF!</definedName>
    <definedName name="\A" localSheetId="44">#REF!</definedName>
    <definedName name="\A" localSheetId="41">#REF!</definedName>
    <definedName name="\A" localSheetId="52">#REF!</definedName>
    <definedName name="\A" localSheetId="53">#REF!</definedName>
    <definedName name="\A" localSheetId="48">#REF!</definedName>
    <definedName name="\A" localSheetId="50">#REF!</definedName>
    <definedName name="\A" localSheetId="51">#REF!</definedName>
    <definedName name="\A" localSheetId="55">#REF!</definedName>
    <definedName name="\A" localSheetId="57">#REF!</definedName>
    <definedName name="\A" localSheetId="29">#REF!</definedName>
    <definedName name="\A" localSheetId="31">#REF!</definedName>
    <definedName name="\A" localSheetId="32">#REF!</definedName>
    <definedName name="\A" localSheetId="36">#REF!</definedName>
    <definedName name="\A" localSheetId="17">#REF!</definedName>
    <definedName name="\A" localSheetId="19">#REF!</definedName>
    <definedName name="\A" localSheetId="18">#REF!</definedName>
    <definedName name="\A" localSheetId="58">#REF!</definedName>
    <definedName name="\A" localSheetId="15">#REF!</definedName>
    <definedName name="\A" localSheetId="20">#REF!</definedName>
    <definedName name="\A" localSheetId="22">#REF!</definedName>
    <definedName name="\A" localSheetId="21">#REF!</definedName>
    <definedName name="\A" localSheetId="34">#REF!</definedName>
    <definedName name="\A" localSheetId="2">#REF!</definedName>
    <definedName name="\A">#REF!</definedName>
    <definedName name="\A2" localSheetId="25">#REF!</definedName>
    <definedName name="\A2" localSheetId="28">#REF!</definedName>
    <definedName name="\A2" localSheetId="24">#REF!</definedName>
    <definedName name="\A2" localSheetId="27">#REF!</definedName>
    <definedName name="\A2" localSheetId="30">#REF!</definedName>
    <definedName name="\A2" localSheetId="33">#REF!</definedName>
    <definedName name="\A2" localSheetId="35">#REF!</definedName>
    <definedName name="\A2" localSheetId="45">#REF!</definedName>
    <definedName name="\A2" localSheetId="46">#REF!</definedName>
    <definedName name="\A2" localSheetId="37">#REF!</definedName>
    <definedName name="\A2" localSheetId="38">#REF!</definedName>
    <definedName name="\A2" localSheetId="39">#REF!</definedName>
    <definedName name="\A2" localSheetId="40">#REF!</definedName>
    <definedName name="\A2" localSheetId="42">#REF!</definedName>
    <definedName name="\A2" localSheetId="43">#REF!</definedName>
    <definedName name="\A2" localSheetId="44">#REF!</definedName>
    <definedName name="\A2" localSheetId="41">#REF!</definedName>
    <definedName name="\A2" localSheetId="52">#REF!</definedName>
    <definedName name="\A2" localSheetId="53">#REF!</definedName>
    <definedName name="\A2" localSheetId="48">#REF!</definedName>
    <definedName name="\A2" localSheetId="50">#REF!</definedName>
    <definedName name="\A2" localSheetId="51">#REF!</definedName>
    <definedName name="\A2" localSheetId="55">#REF!</definedName>
    <definedName name="\A2" localSheetId="57">#REF!</definedName>
    <definedName name="\A2" localSheetId="29">#REF!</definedName>
    <definedName name="\A2" localSheetId="31">#REF!</definedName>
    <definedName name="\A2" localSheetId="32">#REF!</definedName>
    <definedName name="\A2" localSheetId="36">#REF!</definedName>
    <definedName name="\A2" localSheetId="17">#REF!</definedName>
    <definedName name="\A2" localSheetId="19">#REF!</definedName>
    <definedName name="\A2" localSheetId="18">#REF!</definedName>
    <definedName name="\A2" localSheetId="20">#REF!</definedName>
    <definedName name="\A2" localSheetId="22">#REF!</definedName>
    <definedName name="\A2" localSheetId="21">#REF!</definedName>
    <definedName name="\A2">#REF!</definedName>
    <definedName name="\A2T8" localSheetId="25">#REF!</definedName>
    <definedName name="\A2T8" localSheetId="28">#REF!</definedName>
    <definedName name="\A2T8" localSheetId="24">#REF!</definedName>
    <definedName name="\A2T8" localSheetId="27">#REF!</definedName>
    <definedName name="\A2T8" localSheetId="30">#REF!</definedName>
    <definedName name="\A2T8" localSheetId="33">#REF!</definedName>
    <definedName name="\A2T8" localSheetId="35">#REF!</definedName>
    <definedName name="\A2T8" localSheetId="45">#REF!</definedName>
    <definedName name="\A2T8" localSheetId="46">#REF!</definedName>
    <definedName name="\A2T8" localSheetId="37">#REF!</definedName>
    <definedName name="\A2T8" localSheetId="38">#REF!</definedName>
    <definedName name="\A2T8" localSheetId="39">#REF!</definedName>
    <definedName name="\A2T8" localSheetId="40">#REF!</definedName>
    <definedName name="\A2T8" localSheetId="42">#REF!</definedName>
    <definedName name="\A2T8" localSheetId="43">#REF!</definedName>
    <definedName name="\A2T8" localSheetId="44">#REF!</definedName>
    <definedName name="\A2T8" localSheetId="41">#REF!</definedName>
    <definedName name="\A2T8" localSheetId="52">#REF!</definedName>
    <definedName name="\A2T8" localSheetId="53">#REF!</definedName>
    <definedName name="\A2T8" localSheetId="48">#REF!</definedName>
    <definedName name="\A2T8" localSheetId="50">#REF!</definedName>
    <definedName name="\A2T8" localSheetId="51">#REF!</definedName>
    <definedName name="\A2T8" localSheetId="55">#REF!</definedName>
    <definedName name="\A2T8" localSheetId="57">#REF!</definedName>
    <definedName name="\A2T8" localSheetId="29">#REF!</definedName>
    <definedName name="\A2T8" localSheetId="31">#REF!</definedName>
    <definedName name="\A2T8" localSheetId="32">#REF!</definedName>
    <definedName name="\A2T8" localSheetId="36">#REF!</definedName>
    <definedName name="\A2T8" localSheetId="17">#REF!</definedName>
    <definedName name="\A2T8" localSheetId="19">#REF!</definedName>
    <definedName name="\A2T8" localSheetId="18">#REF!</definedName>
    <definedName name="\A2T8" localSheetId="20">#REF!</definedName>
    <definedName name="\A2T8" localSheetId="22">#REF!</definedName>
    <definedName name="\A2T8" localSheetId="21">#REF!</definedName>
    <definedName name="\A2T8">#REF!</definedName>
    <definedName name="\AA" localSheetId="25">#REF!</definedName>
    <definedName name="\AA" localSheetId="28">#REF!</definedName>
    <definedName name="\AA" localSheetId="24">#REF!</definedName>
    <definedName name="\AA" localSheetId="27">#REF!</definedName>
    <definedName name="\AA" localSheetId="30">#REF!</definedName>
    <definedName name="\AA" localSheetId="33">#REF!</definedName>
    <definedName name="\AA" localSheetId="35">#REF!</definedName>
    <definedName name="\AA" localSheetId="45">#REF!</definedName>
    <definedName name="\AA" localSheetId="46">#REF!</definedName>
    <definedName name="\AA" localSheetId="37">#REF!</definedName>
    <definedName name="\AA" localSheetId="38">#REF!</definedName>
    <definedName name="\AA" localSheetId="39">#REF!</definedName>
    <definedName name="\AA" localSheetId="40">#REF!</definedName>
    <definedName name="\AA" localSheetId="42">#REF!</definedName>
    <definedName name="\AA" localSheetId="43">#REF!</definedName>
    <definedName name="\AA" localSheetId="44">#REF!</definedName>
    <definedName name="\AA" localSheetId="41">#REF!</definedName>
    <definedName name="\AA" localSheetId="52">#REF!</definedName>
    <definedName name="\AA" localSheetId="53">#REF!</definedName>
    <definedName name="\AA" localSheetId="48">#REF!</definedName>
    <definedName name="\AA" localSheetId="50">#REF!</definedName>
    <definedName name="\AA" localSheetId="51">#REF!</definedName>
    <definedName name="\AA" localSheetId="55">#REF!</definedName>
    <definedName name="\AA" localSheetId="57">#REF!</definedName>
    <definedName name="\AA" localSheetId="29">#REF!</definedName>
    <definedName name="\AA" localSheetId="31">#REF!</definedName>
    <definedName name="\AA" localSheetId="32">#REF!</definedName>
    <definedName name="\AA" localSheetId="36">#REF!</definedName>
    <definedName name="\AA" localSheetId="17">#REF!</definedName>
    <definedName name="\AA" localSheetId="19">#REF!</definedName>
    <definedName name="\AA" localSheetId="18">#REF!</definedName>
    <definedName name="\AA" localSheetId="58">#REF!</definedName>
    <definedName name="\AA" localSheetId="15">#REF!</definedName>
    <definedName name="\AA" localSheetId="20">#REF!</definedName>
    <definedName name="\AA" localSheetId="22">#REF!</definedName>
    <definedName name="\AA" localSheetId="21">#REF!</definedName>
    <definedName name="\AA" localSheetId="34">#REF!</definedName>
    <definedName name="\AA" localSheetId="2">#REF!</definedName>
    <definedName name="\AA">#REF!</definedName>
    <definedName name="\B" localSheetId="25">#REF!</definedName>
    <definedName name="\B" localSheetId="28">#REF!</definedName>
    <definedName name="\B" localSheetId="24">#REF!</definedName>
    <definedName name="\B" localSheetId="27">#REF!</definedName>
    <definedName name="\B" localSheetId="30">#REF!</definedName>
    <definedName name="\B" localSheetId="33">#REF!</definedName>
    <definedName name="\B" localSheetId="35">#REF!</definedName>
    <definedName name="\B" localSheetId="45">#REF!</definedName>
    <definedName name="\B" localSheetId="46">#REF!</definedName>
    <definedName name="\B" localSheetId="37">#REF!</definedName>
    <definedName name="\B" localSheetId="38">#REF!</definedName>
    <definedName name="\B" localSheetId="39">#REF!</definedName>
    <definedName name="\B" localSheetId="40">#REF!</definedName>
    <definedName name="\B" localSheetId="42">#REF!</definedName>
    <definedName name="\B" localSheetId="43">#REF!</definedName>
    <definedName name="\B" localSheetId="44">#REF!</definedName>
    <definedName name="\B" localSheetId="41">#REF!</definedName>
    <definedName name="\B" localSheetId="52">#REF!</definedName>
    <definedName name="\B" localSheetId="53">#REF!</definedName>
    <definedName name="\B" localSheetId="48">#REF!</definedName>
    <definedName name="\B" localSheetId="50">#REF!</definedName>
    <definedName name="\B" localSheetId="51">#REF!</definedName>
    <definedName name="\B" localSheetId="55">#REF!</definedName>
    <definedName name="\B" localSheetId="57">#REF!</definedName>
    <definedName name="\B" localSheetId="29">#REF!</definedName>
    <definedName name="\B" localSheetId="31">#REF!</definedName>
    <definedName name="\B" localSheetId="32">#REF!</definedName>
    <definedName name="\B" localSheetId="36">#REF!</definedName>
    <definedName name="\B" localSheetId="17">#REF!</definedName>
    <definedName name="\B" localSheetId="19">#REF!</definedName>
    <definedName name="\B" localSheetId="18">#REF!</definedName>
    <definedName name="\B" localSheetId="58">#REF!</definedName>
    <definedName name="\B" localSheetId="15">#REF!</definedName>
    <definedName name="\B" localSheetId="20">#REF!</definedName>
    <definedName name="\B" localSheetId="22">#REF!</definedName>
    <definedName name="\B" localSheetId="21">#REF!</definedName>
    <definedName name="\B" localSheetId="34">#REF!</definedName>
    <definedName name="\B" localSheetId="2">#REF!</definedName>
    <definedName name="\B">#REF!</definedName>
    <definedName name="\C" localSheetId="25">#REF!</definedName>
    <definedName name="\C" localSheetId="28">#REF!</definedName>
    <definedName name="\C" localSheetId="24">#REF!</definedName>
    <definedName name="\C" localSheetId="27">#REF!</definedName>
    <definedName name="\C" localSheetId="30">#REF!</definedName>
    <definedName name="\C" localSheetId="33">#REF!</definedName>
    <definedName name="\C" localSheetId="35">#REF!</definedName>
    <definedName name="\C" localSheetId="45">#REF!</definedName>
    <definedName name="\C" localSheetId="46">#REF!</definedName>
    <definedName name="\C" localSheetId="37">#REF!</definedName>
    <definedName name="\C" localSheetId="38">#REF!</definedName>
    <definedName name="\C" localSheetId="39">#REF!</definedName>
    <definedName name="\C" localSheetId="40">#REF!</definedName>
    <definedName name="\C" localSheetId="42">#REF!</definedName>
    <definedName name="\C" localSheetId="43">#REF!</definedName>
    <definedName name="\C" localSheetId="44">#REF!</definedName>
    <definedName name="\C" localSheetId="41">#REF!</definedName>
    <definedName name="\C" localSheetId="52">#REF!</definedName>
    <definedName name="\C" localSheetId="53">#REF!</definedName>
    <definedName name="\C" localSheetId="48">#REF!</definedName>
    <definedName name="\C" localSheetId="50">#REF!</definedName>
    <definedName name="\C" localSheetId="51">#REF!</definedName>
    <definedName name="\C" localSheetId="55">#REF!</definedName>
    <definedName name="\C" localSheetId="57">#REF!</definedName>
    <definedName name="\C" localSheetId="29">#REF!</definedName>
    <definedName name="\C" localSheetId="31">#REF!</definedName>
    <definedName name="\C" localSheetId="32">#REF!</definedName>
    <definedName name="\C" localSheetId="36">#REF!</definedName>
    <definedName name="\C" localSheetId="17">#REF!</definedName>
    <definedName name="\C" localSheetId="19">#REF!</definedName>
    <definedName name="\C" localSheetId="18">#REF!</definedName>
    <definedName name="\C" localSheetId="58">#REF!</definedName>
    <definedName name="\C" localSheetId="15">#REF!</definedName>
    <definedName name="\C" localSheetId="20">#REF!</definedName>
    <definedName name="\C" localSheetId="22">#REF!</definedName>
    <definedName name="\C" localSheetId="21">#REF!</definedName>
    <definedName name="\C" localSheetId="34">#REF!</definedName>
    <definedName name="\C" localSheetId="2">#REF!</definedName>
    <definedName name="\C">#REF!</definedName>
    <definedName name="\D" localSheetId="25">#REF!</definedName>
    <definedName name="\D" localSheetId="28">#REF!</definedName>
    <definedName name="\D" localSheetId="24">#REF!</definedName>
    <definedName name="\D" localSheetId="27">#REF!</definedName>
    <definedName name="\D" localSheetId="30">#REF!</definedName>
    <definedName name="\D" localSheetId="33">#REF!</definedName>
    <definedName name="\D" localSheetId="35">#REF!</definedName>
    <definedName name="\D" localSheetId="45">#REF!</definedName>
    <definedName name="\D" localSheetId="46">#REF!</definedName>
    <definedName name="\D" localSheetId="37">#REF!</definedName>
    <definedName name="\D" localSheetId="38">#REF!</definedName>
    <definedName name="\D" localSheetId="39">#REF!</definedName>
    <definedName name="\D" localSheetId="40">#REF!</definedName>
    <definedName name="\D" localSheetId="42">#REF!</definedName>
    <definedName name="\D" localSheetId="43">#REF!</definedName>
    <definedName name="\D" localSheetId="44">#REF!</definedName>
    <definedName name="\D" localSheetId="41">#REF!</definedName>
    <definedName name="\D" localSheetId="52">#REF!</definedName>
    <definedName name="\D" localSheetId="53">#REF!</definedName>
    <definedName name="\D" localSheetId="48">#REF!</definedName>
    <definedName name="\D" localSheetId="50">#REF!</definedName>
    <definedName name="\D" localSheetId="51">#REF!</definedName>
    <definedName name="\D" localSheetId="55">#REF!</definedName>
    <definedName name="\D" localSheetId="57">#REF!</definedName>
    <definedName name="\D" localSheetId="29">#REF!</definedName>
    <definedName name="\D" localSheetId="31">#REF!</definedName>
    <definedName name="\D" localSheetId="32">#REF!</definedName>
    <definedName name="\D" localSheetId="36">#REF!</definedName>
    <definedName name="\D" localSheetId="17">#REF!</definedName>
    <definedName name="\D" localSheetId="19">#REF!</definedName>
    <definedName name="\D" localSheetId="18">#REF!</definedName>
    <definedName name="\D" localSheetId="58">#REF!</definedName>
    <definedName name="\D" localSheetId="15">#REF!</definedName>
    <definedName name="\D" localSheetId="20">#REF!</definedName>
    <definedName name="\D" localSheetId="22">#REF!</definedName>
    <definedName name="\D" localSheetId="21">#REF!</definedName>
    <definedName name="\D" localSheetId="34">#REF!</definedName>
    <definedName name="\D" localSheetId="2">#REF!</definedName>
    <definedName name="\D">#REF!</definedName>
    <definedName name="\I" localSheetId="25">#REF!</definedName>
    <definedName name="\I" localSheetId="28">#REF!</definedName>
    <definedName name="\I" localSheetId="24">#REF!</definedName>
    <definedName name="\I" localSheetId="27">#REF!</definedName>
    <definedName name="\I" localSheetId="30">#REF!</definedName>
    <definedName name="\I" localSheetId="33">#REF!</definedName>
    <definedName name="\I" localSheetId="35">#REF!</definedName>
    <definedName name="\I" localSheetId="45">#REF!</definedName>
    <definedName name="\I" localSheetId="46">#REF!</definedName>
    <definedName name="\I" localSheetId="37">#REF!</definedName>
    <definedName name="\I" localSheetId="38">#REF!</definedName>
    <definedName name="\I" localSheetId="39">#REF!</definedName>
    <definedName name="\I" localSheetId="40">#REF!</definedName>
    <definedName name="\I" localSheetId="42">#REF!</definedName>
    <definedName name="\I" localSheetId="43">#REF!</definedName>
    <definedName name="\I" localSheetId="44">#REF!</definedName>
    <definedName name="\I" localSheetId="41">#REF!</definedName>
    <definedName name="\I" localSheetId="52">#REF!</definedName>
    <definedName name="\I" localSheetId="53">#REF!</definedName>
    <definedName name="\I" localSheetId="48">#REF!</definedName>
    <definedName name="\I" localSheetId="50">#REF!</definedName>
    <definedName name="\I" localSheetId="51">#REF!</definedName>
    <definedName name="\I" localSheetId="55">#REF!</definedName>
    <definedName name="\I" localSheetId="57">#REF!</definedName>
    <definedName name="\I" localSheetId="29">#REF!</definedName>
    <definedName name="\I" localSheetId="31">#REF!</definedName>
    <definedName name="\I" localSheetId="32">#REF!</definedName>
    <definedName name="\I" localSheetId="36">#REF!</definedName>
    <definedName name="\I" localSheetId="17">#REF!</definedName>
    <definedName name="\I" localSheetId="19">#REF!</definedName>
    <definedName name="\I" localSheetId="18">#REF!</definedName>
    <definedName name="\I" localSheetId="58">#REF!</definedName>
    <definedName name="\I" localSheetId="15">#REF!</definedName>
    <definedName name="\I" localSheetId="20">#REF!</definedName>
    <definedName name="\I" localSheetId="22">#REF!</definedName>
    <definedName name="\I" localSheetId="21">#REF!</definedName>
    <definedName name="\I" localSheetId="34">#REF!</definedName>
    <definedName name="\I" localSheetId="2">#REF!</definedName>
    <definedName name="\I">#REF!</definedName>
    <definedName name="\J" localSheetId="25">#REF!</definedName>
    <definedName name="\J" localSheetId="28">#REF!</definedName>
    <definedName name="\J" localSheetId="24">#REF!</definedName>
    <definedName name="\J" localSheetId="27">#REF!</definedName>
    <definedName name="\J" localSheetId="30">#REF!</definedName>
    <definedName name="\J" localSheetId="33">#REF!</definedName>
    <definedName name="\J" localSheetId="35">#REF!</definedName>
    <definedName name="\J" localSheetId="45">#REF!</definedName>
    <definedName name="\J" localSheetId="46">#REF!</definedName>
    <definedName name="\J" localSheetId="37">#REF!</definedName>
    <definedName name="\J" localSheetId="38">#REF!</definedName>
    <definedName name="\J" localSheetId="39">#REF!</definedName>
    <definedName name="\J" localSheetId="40">#REF!</definedName>
    <definedName name="\J" localSheetId="42">#REF!</definedName>
    <definedName name="\J" localSheetId="43">#REF!</definedName>
    <definedName name="\J" localSheetId="44">#REF!</definedName>
    <definedName name="\J" localSheetId="41">#REF!</definedName>
    <definedName name="\J" localSheetId="52">#REF!</definedName>
    <definedName name="\J" localSheetId="53">#REF!</definedName>
    <definedName name="\J" localSheetId="48">#REF!</definedName>
    <definedName name="\J" localSheetId="50">#REF!</definedName>
    <definedName name="\J" localSheetId="51">#REF!</definedName>
    <definedName name="\J" localSheetId="55">#REF!</definedName>
    <definedName name="\J" localSheetId="57">#REF!</definedName>
    <definedName name="\J" localSheetId="29">#REF!</definedName>
    <definedName name="\J" localSheetId="31">#REF!</definedName>
    <definedName name="\J" localSheetId="32">#REF!</definedName>
    <definedName name="\J" localSheetId="36">#REF!</definedName>
    <definedName name="\J" localSheetId="17">#REF!</definedName>
    <definedName name="\J" localSheetId="19">#REF!</definedName>
    <definedName name="\J" localSheetId="18">#REF!</definedName>
    <definedName name="\J" localSheetId="58">#REF!</definedName>
    <definedName name="\J" localSheetId="15">#REF!</definedName>
    <definedName name="\J" localSheetId="20">#REF!</definedName>
    <definedName name="\J" localSheetId="22">#REF!</definedName>
    <definedName name="\J" localSheetId="21">#REF!</definedName>
    <definedName name="\J" localSheetId="34">#REF!</definedName>
    <definedName name="\J" localSheetId="2">#REF!</definedName>
    <definedName name="\J">#REF!</definedName>
    <definedName name="\P" localSheetId="25">#REF!</definedName>
    <definedName name="\P" localSheetId="28">#REF!</definedName>
    <definedName name="\P" localSheetId="24">#REF!</definedName>
    <definedName name="\P" localSheetId="27">#REF!</definedName>
    <definedName name="\P" localSheetId="30">#REF!</definedName>
    <definedName name="\P" localSheetId="33">#REF!</definedName>
    <definedName name="\P" localSheetId="35">#REF!</definedName>
    <definedName name="\P" localSheetId="45">#REF!</definedName>
    <definedName name="\P" localSheetId="46">#REF!</definedName>
    <definedName name="\P" localSheetId="37">#REF!</definedName>
    <definedName name="\P" localSheetId="38">#REF!</definedName>
    <definedName name="\P" localSheetId="39">#REF!</definedName>
    <definedName name="\P" localSheetId="40">#REF!</definedName>
    <definedName name="\P" localSheetId="42">#REF!</definedName>
    <definedName name="\P" localSheetId="43">#REF!</definedName>
    <definedName name="\P" localSheetId="44">#REF!</definedName>
    <definedName name="\P" localSheetId="41">#REF!</definedName>
    <definedName name="\P" localSheetId="52">#REF!</definedName>
    <definedName name="\P" localSheetId="53">#REF!</definedName>
    <definedName name="\P" localSheetId="48">#REF!</definedName>
    <definedName name="\P" localSheetId="50">#REF!</definedName>
    <definedName name="\P" localSheetId="51">#REF!</definedName>
    <definedName name="\P" localSheetId="55">#REF!</definedName>
    <definedName name="\P" localSheetId="57">#REF!</definedName>
    <definedName name="\P" localSheetId="29">#REF!</definedName>
    <definedName name="\P" localSheetId="31">#REF!</definedName>
    <definedName name="\P" localSheetId="32">#REF!</definedName>
    <definedName name="\P" localSheetId="36">#REF!</definedName>
    <definedName name="\P" localSheetId="17">#REF!</definedName>
    <definedName name="\P" localSheetId="19">#REF!</definedName>
    <definedName name="\P" localSheetId="18">#REF!</definedName>
    <definedName name="\P" localSheetId="58">#REF!</definedName>
    <definedName name="\P" localSheetId="15">#REF!</definedName>
    <definedName name="\P" localSheetId="20">#REF!</definedName>
    <definedName name="\P" localSheetId="22">#REF!</definedName>
    <definedName name="\P" localSheetId="21">#REF!</definedName>
    <definedName name="\P" localSheetId="34">#REF!</definedName>
    <definedName name="\P" localSheetId="8">#REF!</definedName>
    <definedName name="\P" localSheetId="2">#REF!</definedName>
    <definedName name="\P" localSheetId="13">#REF!</definedName>
    <definedName name="\P">#REF!</definedName>
    <definedName name="\Q" localSheetId="25">#REF!</definedName>
    <definedName name="\Q" localSheetId="28">#REF!</definedName>
    <definedName name="\Q" localSheetId="24">#REF!</definedName>
    <definedName name="\Q" localSheetId="27">#REF!</definedName>
    <definedName name="\Q" localSheetId="30">#REF!</definedName>
    <definedName name="\Q" localSheetId="33">#REF!</definedName>
    <definedName name="\Q" localSheetId="35">#REF!</definedName>
    <definedName name="\Q" localSheetId="45">#REF!</definedName>
    <definedName name="\Q" localSheetId="46">#REF!</definedName>
    <definedName name="\Q" localSheetId="37">#REF!</definedName>
    <definedName name="\Q" localSheetId="38">#REF!</definedName>
    <definedName name="\Q" localSheetId="39">#REF!</definedName>
    <definedName name="\Q" localSheetId="40">#REF!</definedName>
    <definedName name="\Q" localSheetId="42">#REF!</definedName>
    <definedName name="\Q" localSheetId="43">#REF!</definedName>
    <definedName name="\Q" localSheetId="44">#REF!</definedName>
    <definedName name="\Q" localSheetId="41">#REF!</definedName>
    <definedName name="\Q" localSheetId="52">#REF!</definedName>
    <definedName name="\Q" localSheetId="53">#REF!</definedName>
    <definedName name="\Q" localSheetId="48">#REF!</definedName>
    <definedName name="\Q" localSheetId="50">#REF!</definedName>
    <definedName name="\Q" localSheetId="51">#REF!</definedName>
    <definedName name="\Q" localSheetId="55">#REF!</definedName>
    <definedName name="\Q" localSheetId="57">#REF!</definedName>
    <definedName name="\Q" localSheetId="29">#REF!</definedName>
    <definedName name="\Q" localSheetId="31">#REF!</definedName>
    <definedName name="\Q" localSheetId="32">#REF!</definedName>
    <definedName name="\Q" localSheetId="36">#REF!</definedName>
    <definedName name="\Q" localSheetId="17">#REF!</definedName>
    <definedName name="\Q" localSheetId="19">#REF!</definedName>
    <definedName name="\Q" localSheetId="18">#REF!</definedName>
    <definedName name="\Q" localSheetId="58">#REF!</definedName>
    <definedName name="\Q" localSheetId="15">#REF!</definedName>
    <definedName name="\Q" localSheetId="20">#REF!</definedName>
    <definedName name="\Q" localSheetId="22">#REF!</definedName>
    <definedName name="\Q" localSheetId="21">#REF!</definedName>
    <definedName name="\Q" localSheetId="34">#REF!</definedName>
    <definedName name="\Q" localSheetId="2">#REF!</definedName>
    <definedName name="\Q">#REF!</definedName>
    <definedName name="\R" localSheetId="25">#REF!</definedName>
    <definedName name="\R" localSheetId="28">#REF!</definedName>
    <definedName name="\R" localSheetId="24">#REF!</definedName>
    <definedName name="\R" localSheetId="27">#REF!</definedName>
    <definedName name="\R" localSheetId="30">#REF!</definedName>
    <definedName name="\R" localSheetId="33">#REF!</definedName>
    <definedName name="\R" localSheetId="35">#REF!</definedName>
    <definedName name="\R" localSheetId="45">#REF!</definedName>
    <definedName name="\R" localSheetId="46">#REF!</definedName>
    <definedName name="\R" localSheetId="37">#REF!</definedName>
    <definedName name="\R" localSheetId="38">#REF!</definedName>
    <definedName name="\R" localSheetId="39">#REF!</definedName>
    <definedName name="\R" localSheetId="40">#REF!</definedName>
    <definedName name="\R" localSheetId="42">#REF!</definedName>
    <definedName name="\R" localSheetId="43">#REF!</definedName>
    <definedName name="\R" localSheetId="44">#REF!</definedName>
    <definedName name="\R" localSheetId="41">#REF!</definedName>
    <definedName name="\R" localSheetId="52">#REF!</definedName>
    <definedName name="\R" localSheetId="53">#REF!</definedName>
    <definedName name="\R" localSheetId="48">#REF!</definedName>
    <definedName name="\R" localSheetId="50">#REF!</definedName>
    <definedName name="\R" localSheetId="51">#REF!</definedName>
    <definedName name="\R" localSheetId="55">#REF!</definedName>
    <definedName name="\R" localSheetId="57">#REF!</definedName>
    <definedName name="\R" localSheetId="29">#REF!</definedName>
    <definedName name="\R" localSheetId="31">#REF!</definedName>
    <definedName name="\R" localSheetId="32">#REF!</definedName>
    <definedName name="\R" localSheetId="36">#REF!</definedName>
    <definedName name="\R" localSheetId="17">#REF!</definedName>
    <definedName name="\R" localSheetId="19">#REF!</definedName>
    <definedName name="\R" localSheetId="18">#REF!</definedName>
    <definedName name="\R" localSheetId="58">#REF!</definedName>
    <definedName name="\R" localSheetId="15">#REF!</definedName>
    <definedName name="\R" localSheetId="20">#REF!</definedName>
    <definedName name="\R" localSheetId="22">#REF!</definedName>
    <definedName name="\R" localSheetId="21">#REF!</definedName>
    <definedName name="\R" localSheetId="34">#REF!</definedName>
    <definedName name="\R" localSheetId="2">#REF!</definedName>
    <definedName name="\R">#REF!</definedName>
    <definedName name="\S" localSheetId="25">#REF!</definedName>
    <definedName name="\S" localSheetId="28">#REF!</definedName>
    <definedName name="\S" localSheetId="24">#REF!</definedName>
    <definedName name="\S" localSheetId="27">#REF!</definedName>
    <definedName name="\S" localSheetId="30">#REF!</definedName>
    <definedName name="\S" localSheetId="33">#REF!</definedName>
    <definedName name="\S" localSheetId="35">#REF!</definedName>
    <definedName name="\S" localSheetId="45">#REF!</definedName>
    <definedName name="\S" localSheetId="46">#REF!</definedName>
    <definedName name="\S" localSheetId="37">#REF!</definedName>
    <definedName name="\S" localSheetId="38">#REF!</definedName>
    <definedName name="\S" localSheetId="39">#REF!</definedName>
    <definedName name="\S" localSheetId="40">#REF!</definedName>
    <definedName name="\S" localSheetId="42">#REF!</definedName>
    <definedName name="\S" localSheetId="43">#REF!</definedName>
    <definedName name="\S" localSheetId="44">#REF!</definedName>
    <definedName name="\S" localSheetId="41">#REF!</definedName>
    <definedName name="\S" localSheetId="52">#REF!</definedName>
    <definedName name="\S" localSheetId="53">#REF!</definedName>
    <definedName name="\S" localSheetId="48">#REF!</definedName>
    <definedName name="\S" localSheetId="50">#REF!</definedName>
    <definedName name="\S" localSheetId="51">#REF!</definedName>
    <definedName name="\S" localSheetId="55">#REF!</definedName>
    <definedName name="\S" localSheetId="57">#REF!</definedName>
    <definedName name="\S" localSheetId="29">#REF!</definedName>
    <definedName name="\S" localSheetId="31">#REF!</definedName>
    <definedName name="\S" localSheetId="32">#REF!</definedName>
    <definedName name="\S" localSheetId="36">#REF!</definedName>
    <definedName name="\S" localSheetId="17">#REF!</definedName>
    <definedName name="\S" localSheetId="19">#REF!</definedName>
    <definedName name="\S" localSheetId="18">#REF!</definedName>
    <definedName name="\S" localSheetId="58">#REF!</definedName>
    <definedName name="\S" localSheetId="15">#REF!</definedName>
    <definedName name="\S" localSheetId="20">#REF!</definedName>
    <definedName name="\S" localSheetId="22">#REF!</definedName>
    <definedName name="\S" localSheetId="21">#REF!</definedName>
    <definedName name="\S" localSheetId="34">#REF!</definedName>
    <definedName name="\S" localSheetId="2">#REF!</definedName>
    <definedName name="\S">#REF!</definedName>
    <definedName name="\test" localSheetId="25">#REF!</definedName>
    <definedName name="\test" localSheetId="28">#REF!</definedName>
    <definedName name="\test" localSheetId="24">#REF!</definedName>
    <definedName name="\test" localSheetId="27">#REF!</definedName>
    <definedName name="\test" localSheetId="30">#REF!</definedName>
    <definedName name="\test" localSheetId="33">#REF!</definedName>
    <definedName name="\test" localSheetId="35">#REF!</definedName>
    <definedName name="\test" localSheetId="45">#REF!</definedName>
    <definedName name="\test" localSheetId="46">#REF!</definedName>
    <definedName name="\test" localSheetId="37">#REF!</definedName>
    <definedName name="\test" localSheetId="38">#REF!</definedName>
    <definedName name="\test" localSheetId="39">#REF!</definedName>
    <definedName name="\test" localSheetId="40">#REF!</definedName>
    <definedName name="\test" localSheetId="42">#REF!</definedName>
    <definedName name="\test" localSheetId="43">#REF!</definedName>
    <definedName name="\test" localSheetId="44">#REF!</definedName>
    <definedName name="\test" localSheetId="41">#REF!</definedName>
    <definedName name="\test" localSheetId="52">#REF!</definedName>
    <definedName name="\test" localSheetId="53">#REF!</definedName>
    <definedName name="\test" localSheetId="48">#REF!</definedName>
    <definedName name="\test" localSheetId="50">#REF!</definedName>
    <definedName name="\test" localSheetId="51">#REF!</definedName>
    <definedName name="\test" localSheetId="55">#REF!</definedName>
    <definedName name="\test" localSheetId="57">#REF!</definedName>
    <definedName name="\test" localSheetId="29">#REF!</definedName>
    <definedName name="\test" localSheetId="31">#REF!</definedName>
    <definedName name="\test" localSheetId="32">#REF!</definedName>
    <definedName name="\test" localSheetId="36">#REF!</definedName>
    <definedName name="\test" localSheetId="17">#REF!</definedName>
    <definedName name="\test" localSheetId="19">#REF!</definedName>
    <definedName name="\test" localSheetId="18">#REF!</definedName>
    <definedName name="\test" localSheetId="20">#REF!</definedName>
    <definedName name="\test" localSheetId="22">#REF!</definedName>
    <definedName name="\test" localSheetId="21">#REF!</definedName>
    <definedName name="\test">#REF!</definedName>
    <definedName name="\X" localSheetId="25">#REF!</definedName>
    <definedName name="\X" localSheetId="28">#REF!</definedName>
    <definedName name="\X" localSheetId="24">#REF!</definedName>
    <definedName name="\X" localSheetId="27">#REF!</definedName>
    <definedName name="\X" localSheetId="30">#REF!</definedName>
    <definedName name="\X" localSheetId="33">#REF!</definedName>
    <definedName name="\X" localSheetId="35">#REF!</definedName>
    <definedName name="\X" localSheetId="45">#REF!</definedName>
    <definedName name="\X" localSheetId="46">#REF!</definedName>
    <definedName name="\X" localSheetId="37">#REF!</definedName>
    <definedName name="\X" localSheetId="38">#REF!</definedName>
    <definedName name="\X" localSheetId="39">#REF!</definedName>
    <definedName name="\X" localSheetId="40">#REF!</definedName>
    <definedName name="\X" localSheetId="42">#REF!</definedName>
    <definedName name="\X" localSheetId="43">#REF!</definedName>
    <definedName name="\X" localSheetId="44">#REF!</definedName>
    <definedName name="\X" localSheetId="41">#REF!</definedName>
    <definedName name="\X" localSheetId="52">#REF!</definedName>
    <definedName name="\X" localSheetId="53">#REF!</definedName>
    <definedName name="\X" localSheetId="48">#REF!</definedName>
    <definedName name="\X" localSheetId="50">#REF!</definedName>
    <definedName name="\X" localSheetId="51">#REF!</definedName>
    <definedName name="\X" localSheetId="55">#REF!</definedName>
    <definedName name="\X" localSheetId="57">#REF!</definedName>
    <definedName name="\X" localSheetId="29">#REF!</definedName>
    <definedName name="\X" localSheetId="31">#REF!</definedName>
    <definedName name="\X" localSheetId="32">#REF!</definedName>
    <definedName name="\X" localSheetId="36">#REF!</definedName>
    <definedName name="\X" localSheetId="17">#REF!</definedName>
    <definedName name="\X" localSheetId="19">#REF!</definedName>
    <definedName name="\X" localSheetId="18">#REF!</definedName>
    <definedName name="\X" localSheetId="58">#REF!</definedName>
    <definedName name="\X" localSheetId="15">#REF!</definedName>
    <definedName name="\X" localSheetId="20">#REF!</definedName>
    <definedName name="\X" localSheetId="22">#REF!</definedName>
    <definedName name="\X" localSheetId="21">#REF!</definedName>
    <definedName name="\X" localSheetId="34">#REF!</definedName>
    <definedName name="\X" localSheetId="2">#REF!</definedName>
    <definedName name="\X">#REF!</definedName>
    <definedName name="__123Graph_A" localSheetId="11" hidden="1">'[1]Func. Plt. RRF - With Earnings'!#REF!</definedName>
    <definedName name="__123Graph_A" localSheetId="10" hidden="1">'[2]Func. Plt. RRF - With Earnings'!#REF!</definedName>
    <definedName name="__123Graph_A" localSheetId="8" hidden="1">'[3]Func. Plt. RRF - With Earnings'!#REF!</definedName>
    <definedName name="__123Graph_A" localSheetId="13" hidden="1">'[1]Func. Plt. RRF - With Earnings'!#REF!</definedName>
    <definedName name="__123Graph_A" hidden="1">'[2]Func. Plt. RRF - With Earnings'!#REF!</definedName>
    <definedName name="__123Graph_C" localSheetId="11" hidden="1">'[1]Func. Plt. RRF - With Earnings'!#REF!</definedName>
    <definedName name="__123Graph_C" localSheetId="10" hidden="1">'[2]Func. Plt. RRF - With Earnings'!#REF!</definedName>
    <definedName name="__123Graph_C" localSheetId="8" hidden="1">'[3]Func. Plt. RRF - With Earnings'!#REF!</definedName>
    <definedName name="__123Graph_C" localSheetId="13" hidden="1">'[1]Func. Plt. RRF - With Earnings'!#REF!</definedName>
    <definedName name="__123Graph_C" hidden="1">'[2]Func. Plt. RRF - With Earnings'!#REF!</definedName>
    <definedName name="__123Graph_D" localSheetId="11" hidden="1">'[1]Func. Plt. RRF - With Earnings'!#REF!</definedName>
    <definedName name="__123Graph_D" localSheetId="10" hidden="1">'[2]Func. Plt. RRF - With Earnings'!#REF!</definedName>
    <definedName name="__123Graph_D" localSheetId="8" hidden="1">'[3]Func. Plt. RRF - With Earnings'!#REF!</definedName>
    <definedName name="__123Graph_D" localSheetId="13" hidden="1">'[1]Func. Plt. RRF - With Earnings'!#REF!</definedName>
    <definedName name="__123Graph_D" hidden="1">'[2]Func. Plt. RRF - With Earnings'!#REF!</definedName>
    <definedName name="__123Graph_E" localSheetId="11" hidden="1">'[1]Func. Plt. RRF - With Earnings'!#REF!</definedName>
    <definedName name="__123Graph_E" localSheetId="10" hidden="1">'[2]Func. Plt. RRF - With Earnings'!#REF!</definedName>
    <definedName name="__123Graph_E" localSheetId="8" hidden="1">'[3]Func. Plt. RRF - With Earnings'!#REF!</definedName>
    <definedName name="__123Graph_E" localSheetId="13" hidden="1">'[1]Func. Plt. RRF - With Earnings'!#REF!</definedName>
    <definedName name="__123Graph_E" hidden="1">'[2]Func. Plt. RRF - With Earnings'!#REF!</definedName>
    <definedName name="__123Graph_F" localSheetId="11" hidden="1">'[1]Func. Plt. RRF - With Earnings'!#REF!</definedName>
    <definedName name="__123Graph_F" localSheetId="10" hidden="1">'[2]Func. Plt. RRF - With Earnings'!#REF!</definedName>
    <definedName name="__123Graph_F" localSheetId="8" hidden="1">'[3]Func. Plt. RRF - With Earnings'!#REF!</definedName>
    <definedName name="__123Graph_F" localSheetId="13" hidden="1">'[1]Func. Plt. RRF - With Earnings'!#REF!</definedName>
    <definedName name="__123Graph_F" hidden="1">'[2]Func. Plt. RRF - With Earnings'!#REF!</definedName>
    <definedName name="_A" localSheetId="25">#REF!</definedName>
    <definedName name="_A" localSheetId="28">#REF!</definedName>
    <definedName name="_A" localSheetId="24">#REF!</definedName>
    <definedName name="_A" localSheetId="27">#REF!</definedName>
    <definedName name="_A" localSheetId="30">#REF!</definedName>
    <definedName name="_A" localSheetId="33">#REF!</definedName>
    <definedName name="_A" localSheetId="35">#REF!</definedName>
    <definedName name="_A" localSheetId="45">#REF!</definedName>
    <definedName name="_A" localSheetId="46">#REF!</definedName>
    <definedName name="_A" localSheetId="37">#REF!</definedName>
    <definedName name="_A" localSheetId="38">#REF!</definedName>
    <definedName name="_A" localSheetId="39">#REF!</definedName>
    <definedName name="_A" localSheetId="40">#REF!</definedName>
    <definedName name="_A" localSheetId="42">#REF!</definedName>
    <definedName name="_A" localSheetId="43">#REF!</definedName>
    <definedName name="_A" localSheetId="44">#REF!</definedName>
    <definedName name="_A" localSheetId="41">#REF!</definedName>
    <definedName name="_A" localSheetId="52">#REF!</definedName>
    <definedName name="_A" localSheetId="53">#REF!</definedName>
    <definedName name="_A" localSheetId="48">#REF!</definedName>
    <definedName name="_A" localSheetId="50">#REF!</definedName>
    <definedName name="_A" localSheetId="51">#REF!</definedName>
    <definedName name="_A" localSheetId="55">#REF!</definedName>
    <definedName name="_A" localSheetId="57">#REF!</definedName>
    <definedName name="_A" localSheetId="29">#REF!</definedName>
    <definedName name="_A" localSheetId="31">#REF!</definedName>
    <definedName name="_A" localSheetId="32">#REF!</definedName>
    <definedName name="_A" localSheetId="36">#REF!</definedName>
    <definedName name="_A" localSheetId="17">#REF!</definedName>
    <definedName name="_A" localSheetId="19">#REF!</definedName>
    <definedName name="_A" localSheetId="18">#REF!</definedName>
    <definedName name="_A" localSheetId="58">#REF!</definedName>
    <definedName name="_A" localSheetId="15">#REF!</definedName>
    <definedName name="_A" localSheetId="20">#REF!</definedName>
    <definedName name="_A" localSheetId="22">#REF!</definedName>
    <definedName name="_A" localSheetId="21">#REF!</definedName>
    <definedName name="_A" localSheetId="34">#REF!</definedName>
    <definedName name="_A" localSheetId="2">#REF!</definedName>
    <definedName name="_A">#REF!</definedName>
    <definedName name="_B" localSheetId="25">#REF!</definedName>
    <definedName name="_B" localSheetId="28">#REF!</definedName>
    <definedName name="_B" localSheetId="24">#REF!</definedName>
    <definedName name="_B" localSheetId="27">#REF!</definedName>
    <definedName name="_B" localSheetId="30">#REF!</definedName>
    <definedName name="_B" localSheetId="33">#REF!</definedName>
    <definedName name="_B" localSheetId="35">#REF!</definedName>
    <definedName name="_B" localSheetId="45">#REF!</definedName>
    <definedName name="_B" localSheetId="46">#REF!</definedName>
    <definedName name="_B" localSheetId="37">#REF!</definedName>
    <definedName name="_B" localSheetId="38">#REF!</definedName>
    <definedName name="_B" localSheetId="39">#REF!</definedName>
    <definedName name="_B" localSheetId="40">#REF!</definedName>
    <definedName name="_B" localSheetId="42">#REF!</definedName>
    <definedName name="_B" localSheetId="43">#REF!</definedName>
    <definedName name="_B" localSheetId="44">#REF!</definedName>
    <definedName name="_B" localSheetId="41">#REF!</definedName>
    <definedName name="_B" localSheetId="52">#REF!</definedName>
    <definedName name="_B" localSheetId="53">#REF!</definedName>
    <definedName name="_B" localSheetId="48">#REF!</definedName>
    <definedName name="_B" localSheetId="50">#REF!</definedName>
    <definedName name="_B" localSheetId="51">#REF!</definedName>
    <definedName name="_B" localSheetId="55">#REF!</definedName>
    <definedName name="_B" localSheetId="57">#REF!</definedName>
    <definedName name="_B" localSheetId="29">#REF!</definedName>
    <definedName name="_B" localSheetId="31">#REF!</definedName>
    <definedName name="_B" localSheetId="32">#REF!</definedName>
    <definedName name="_B" localSheetId="36">#REF!</definedName>
    <definedName name="_B" localSheetId="17">#REF!</definedName>
    <definedName name="_B" localSheetId="19">#REF!</definedName>
    <definedName name="_B" localSheetId="18">#REF!</definedName>
    <definedName name="_B" localSheetId="58">#REF!</definedName>
    <definedName name="_B" localSheetId="15">#REF!</definedName>
    <definedName name="_B" localSheetId="20">#REF!</definedName>
    <definedName name="_B" localSheetId="22">#REF!</definedName>
    <definedName name="_B" localSheetId="21">#REF!</definedName>
    <definedName name="_B" localSheetId="34">#REF!</definedName>
    <definedName name="_B" localSheetId="2">#REF!</definedName>
    <definedName name="_B">#REF!</definedName>
    <definedName name="_bdm.FastTrackBookmark.10_4_2004_9_40_31_AM.edm" localSheetId="11" hidden="1">'[4]Adjusted Exp &amp; Rate Base'!#REF!</definedName>
    <definedName name="_bdm.FastTrackBookmark.10_4_2004_9_40_31_AM.edm" localSheetId="8" hidden="1">'[5]Adjusted Exp &amp; Rate Base'!#REF!</definedName>
    <definedName name="_bdm.FastTrackBookmark.10_4_2004_9_40_31_AM.edm" localSheetId="13" hidden="1">'[4]Adjusted Exp &amp; Rate Base'!#REF!</definedName>
    <definedName name="_bdm.FastTrackBookmark.10_4_2004_9_40_31_AM.edm" hidden="1">'[6]Adjusted Exp &amp; Rate Base'!#REF!</definedName>
    <definedName name="_bdm.FastTrackBookmark.9_15_2004_3_08_01_PM.edm" localSheetId="11" hidden="1">'[7]Stmt H'!#REF!</definedName>
    <definedName name="_bdm.FastTrackBookmark.9_15_2004_3_08_01_PM.edm" localSheetId="8" hidden="1">'[8]Stmt H'!#REF!</definedName>
    <definedName name="_bdm.FastTrackBookmark.9_15_2004_3_08_01_PM.edm" localSheetId="13" hidden="1">'[7]Stmt H'!#REF!</definedName>
    <definedName name="_bdm.FastTrackBookmark.9_15_2004_3_08_01_PM.edm" hidden="1">'[9]Stmt H'!#REF!</definedName>
    <definedName name="_bdm.FastTrackBookmark.9_15_2004_3_17_28_PM.edm" localSheetId="11" hidden="1">'[10]WACC &amp; IT'!#REF!</definedName>
    <definedName name="_bdm.FastTrackBookmark.9_15_2004_3_17_28_PM.edm" localSheetId="8" hidden="1">'[11]WACC &amp; IT'!#REF!</definedName>
    <definedName name="_bdm.FastTrackBookmark.9_15_2004_3_17_28_PM.edm" localSheetId="13" hidden="1">'[10]WACC &amp; IT'!#REF!</definedName>
    <definedName name="_bdm.FastTrackBookmark.9_15_2004_3_17_28_PM.edm" hidden="1">'[12]WACC &amp; IT'!#REF!</definedName>
    <definedName name="_bdm.FastTrackBookmark.9_15_2004_4_15_33_PM.edm" localSheetId="11" hidden="1">'[7]Stmt H'!#REF!</definedName>
    <definedName name="_bdm.FastTrackBookmark.9_15_2004_4_15_33_PM.edm" localSheetId="8" hidden="1">'[8]Stmt H'!#REF!</definedName>
    <definedName name="_bdm.FastTrackBookmark.9_15_2004_4_15_33_PM.edm" localSheetId="13" hidden="1">'[7]Stmt H'!#REF!</definedName>
    <definedName name="_bdm.FastTrackBookmark.9_15_2004_4_15_33_PM.edm" hidden="1">'[9]Stmt H'!#REF!</definedName>
    <definedName name="_C" localSheetId="25">#REF!</definedName>
    <definedName name="_C" localSheetId="28">#REF!</definedName>
    <definedName name="_C" localSheetId="24">#REF!</definedName>
    <definedName name="_C" localSheetId="27">#REF!</definedName>
    <definedName name="_C" localSheetId="30">#REF!</definedName>
    <definedName name="_C" localSheetId="33">#REF!</definedName>
    <definedName name="_C" localSheetId="35">#REF!</definedName>
    <definedName name="_C" localSheetId="45">#REF!</definedName>
    <definedName name="_C" localSheetId="46">#REF!</definedName>
    <definedName name="_C" localSheetId="37">#REF!</definedName>
    <definedName name="_C" localSheetId="38">#REF!</definedName>
    <definedName name="_C" localSheetId="39">#REF!</definedName>
    <definedName name="_C" localSheetId="40">#REF!</definedName>
    <definedName name="_C" localSheetId="42">#REF!</definedName>
    <definedName name="_C" localSheetId="43">#REF!</definedName>
    <definedName name="_C" localSheetId="44">#REF!</definedName>
    <definedName name="_C" localSheetId="41">#REF!</definedName>
    <definedName name="_C" localSheetId="52">#REF!</definedName>
    <definedName name="_C" localSheetId="53">#REF!</definedName>
    <definedName name="_C" localSheetId="48">#REF!</definedName>
    <definedName name="_C" localSheetId="50">#REF!</definedName>
    <definedName name="_C" localSheetId="51">#REF!</definedName>
    <definedName name="_C" localSheetId="55">#REF!</definedName>
    <definedName name="_C" localSheetId="57">#REF!</definedName>
    <definedName name="_C" localSheetId="29">#REF!</definedName>
    <definedName name="_C" localSheetId="31">#REF!</definedName>
    <definedName name="_C" localSheetId="32">#REF!</definedName>
    <definedName name="_C" localSheetId="36">#REF!</definedName>
    <definedName name="_C" localSheetId="17">#REF!</definedName>
    <definedName name="_C" localSheetId="19">#REF!</definedName>
    <definedName name="_C" localSheetId="18">#REF!</definedName>
    <definedName name="_C" localSheetId="58">#REF!</definedName>
    <definedName name="_C" localSheetId="15">#REF!</definedName>
    <definedName name="_C" localSheetId="20">#REF!</definedName>
    <definedName name="_C" localSheetId="22">#REF!</definedName>
    <definedName name="_C" localSheetId="21">#REF!</definedName>
    <definedName name="_C" localSheetId="34">#REF!</definedName>
    <definedName name="_C" localSheetId="2">#REF!</definedName>
    <definedName name="_C">#REF!</definedName>
    <definedName name="_xlnm._FilterDatabase" localSheetId="59" hidden="1">'2018 Plan Data'!$A$3:$K$763</definedName>
    <definedName name="_xlnm._FilterDatabase" localSheetId="58" hidden="1">'BUS Measure-Level Details'!$CR$3:$DB$227</definedName>
    <definedName name="_xlnm._FilterDatabase" localSheetId="15" hidden="1">'BUS Measure-Model Summary'!$A$3:$DM$684</definedName>
    <definedName name="_xlnm._FilterDatabase" localSheetId="10" hidden="1">'ComEd Appliance NTG'!$A$2:$AE$136</definedName>
    <definedName name="_xlnm._FilterDatabase" localSheetId="7" hidden="1">'Measure Codes'!$A$3:$M$821</definedName>
    <definedName name="_xlnm._FilterDatabase" localSheetId="6" hidden="1">'Measure Level Adjustments Tab'!$A$4:$CL$215</definedName>
    <definedName name="_xlnm._FilterDatabase" localSheetId="3" hidden="1">'Measure-Level Adj Gas'!$A$7:$BE$220</definedName>
    <definedName name="_xlnm._FilterDatabase" localSheetId="8" hidden="1">'NTG-RES'!$B$6:$O$84</definedName>
    <definedName name="_xlnm._FilterDatabase" localSheetId="0" hidden="1">'v8 Revisions'!$B$6:$R$184</definedName>
    <definedName name="_xlnm._FilterDatabase" localSheetId="1" hidden="1">'v9 Revisions'!$B$7:$X$210</definedName>
    <definedName name="_ftn1" localSheetId="43">'BUS - BPH9 (TRM)'!$S$89</definedName>
    <definedName name="_ftn1" localSheetId="44">'BUS - BPH9 PS (TRM)'!$S$89</definedName>
    <definedName name="_ftn1" localSheetId="41">'BUS - BPH9 SB (TRM)'!$S$89</definedName>
    <definedName name="_ftn2" localSheetId="43">'BUS - BPH9 (TRM)'!$S$91</definedName>
    <definedName name="_ftn2" localSheetId="44">'BUS - BPH9 PS (TRM)'!$S$91</definedName>
    <definedName name="_ftn2" localSheetId="41">'BUS - BPH9 SB (TRM)'!$S$91</definedName>
    <definedName name="_ftn3" localSheetId="43">'BUS - BPH9 (TRM)'!$S$92</definedName>
    <definedName name="_ftn3" localSheetId="44">'BUS - BPH9 PS (TRM)'!$S$92</definedName>
    <definedName name="_ftn3" localSheetId="41">'BUS - BPH9 SB (TRM)'!$S$92</definedName>
    <definedName name="_ftnref1" localSheetId="43">'BUS - BPH9 (TRM)'!$B$46</definedName>
    <definedName name="_ftnref1" localSheetId="44">'BUS - BPH9 PS (TRM)'!$B$46</definedName>
    <definedName name="_ftnref1" localSheetId="41">'BUS - BPH9 SB (TRM)'!$B$46</definedName>
    <definedName name="_ftnref2" localSheetId="43">'BUS - BPH9 (TRM)'!$B$47</definedName>
    <definedName name="_ftnref2" localSheetId="44">'BUS - BPH9 PS (TRM)'!$B$47</definedName>
    <definedName name="_ftnref2" localSheetId="41">'BUS - BPH9 SB (TRM)'!$B$47</definedName>
    <definedName name="_ftnref3" localSheetId="43">'BUS - BPH9 (TRM)'!$B$48</definedName>
    <definedName name="_ftnref3" localSheetId="44">'BUS - BPH9 PS (TRM)'!$B$48</definedName>
    <definedName name="_ftnref3" localSheetId="41">'BUS - BPH9 SB (TRM)'!$B$48</definedName>
    <definedName name="_guide">#REF!</definedName>
    <definedName name="_Hlk514074254" localSheetId="0">'v8 Revisions'!$F$149</definedName>
    <definedName name="_measure_Life" localSheetId="11">#REF!</definedName>
    <definedName name="_measure_Life" localSheetId="8">#REF!</definedName>
    <definedName name="_measure_Life" localSheetId="13">#REF!</definedName>
    <definedName name="_measure_Life">#REF!</definedName>
    <definedName name="_Toc51846667" localSheetId="1">'v9 Revisions'!$B$6</definedName>
    <definedName name="ACcycling" localSheetId="8">#REF!</definedName>
    <definedName name="ACcycling" localSheetId="13">#REF!</definedName>
    <definedName name="ACcycling">#REF!</definedName>
    <definedName name="ACUnitType">#REF!</definedName>
    <definedName name="ACZones">#REF!</definedName>
    <definedName name="adfa" localSheetId="1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8"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3"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erBT">#REF!</definedName>
    <definedName name="Alloc_Desc" localSheetId="8">'[13]Functional Unbundling'!#REF!</definedName>
    <definedName name="Alloc_Desc" localSheetId="13">'[14]Functional Unbundling'!#REF!</definedName>
    <definedName name="Alloc_Desc">'[14]Functional Unbundling'!#REF!</definedName>
    <definedName name="Alloc_Tbl" localSheetId="8">'[13]Functional Unbundling'!#REF!</definedName>
    <definedName name="Alloc_Tbl" localSheetId="13">'[14]Functional Unbundling'!#REF!</definedName>
    <definedName name="Alloc_Tbl">'[14]Functional Unbundling'!#REF!</definedName>
    <definedName name="applicable_tariff" localSheetId="11">#REF!</definedName>
    <definedName name="applicable_tariff" localSheetId="8">#REF!</definedName>
    <definedName name="applicable_tariff" localSheetId="13">#REF!</definedName>
    <definedName name="applicable_tariff">#REF!</definedName>
    <definedName name="Application">#REF!</definedName>
    <definedName name="AvgAvoidCost_E" localSheetId="11">'[15]General Inputs'!#REF!</definedName>
    <definedName name="AvgAvoidCost_E" localSheetId="8">'[16]General Inputs'!#REF!</definedName>
    <definedName name="AvgAvoidCost_E" localSheetId="13">'[15]General Inputs'!#REF!</definedName>
    <definedName name="AvgAvoidCost_E">'[15]General Inputs'!#REF!</definedName>
    <definedName name="AvgAvoidCost_G" localSheetId="8">'[16]General Inputs'!#REF!</definedName>
    <definedName name="AvgAvoidCost_G" localSheetId="13">'[15]General Inputs'!#REF!</definedName>
    <definedName name="AvgAvoidCost_G">'[15]General Inputs'!#REF!</definedName>
    <definedName name="AvgComRate_G" localSheetId="8">'[16]General Inputs'!#REF!</definedName>
    <definedName name="AvgComRate_G" localSheetId="13">'[15]General Inputs'!#REF!</definedName>
    <definedName name="AvgComRate_G">'[15]General Inputs'!#REF!</definedName>
    <definedName name="AvgResRate_G" localSheetId="8">'[16]General Inputs'!#REF!</definedName>
    <definedName name="AvgResRate_G" localSheetId="13">'[15]General Inputs'!#REF!</definedName>
    <definedName name="AvgResRate_G">'[15]General Inputs'!#REF!</definedName>
    <definedName name="BaseYear" localSheetId="11">'[17]General Inputs'!$B$3</definedName>
    <definedName name="BaseYear" localSheetId="13">'[17]General Inputs'!$B$3</definedName>
    <definedName name="BaseYear">'[18]General Inputs'!$B$3</definedName>
    <definedName name="BASEYR" localSheetId="11">#REF!</definedName>
    <definedName name="BASEYR" localSheetId="8">#REF!</definedName>
    <definedName name="BASEYR" localSheetId="13">#REF!</definedName>
    <definedName name="BASEYR">#REF!</definedName>
    <definedName name="Bob" localSheetId="25">#REF!</definedName>
    <definedName name="Bob" localSheetId="28">#REF!</definedName>
    <definedName name="Bob" localSheetId="24">#REF!</definedName>
    <definedName name="Bob" localSheetId="27">#REF!</definedName>
    <definedName name="Bob" localSheetId="30">#REF!</definedName>
    <definedName name="Bob" localSheetId="33">#REF!</definedName>
    <definedName name="Bob" localSheetId="35">#REF!</definedName>
    <definedName name="Bob" localSheetId="45">#REF!</definedName>
    <definedName name="Bob" localSheetId="46">#REF!</definedName>
    <definedName name="Bob" localSheetId="37">#REF!</definedName>
    <definedName name="Bob" localSheetId="38">#REF!</definedName>
    <definedName name="Bob" localSheetId="39">#REF!</definedName>
    <definedName name="Bob" localSheetId="40">#REF!</definedName>
    <definedName name="Bob" localSheetId="42">#REF!</definedName>
    <definedName name="Bob" localSheetId="43">#REF!</definedName>
    <definedName name="Bob" localSheetId="44">#REF!</definedName>
    <definedName name="Bob" localSheetId="41">#REF!</definedName>
    <definedName name="Bob" localSheetId="52">#REF!</definedName>
    <definedName name="Bob" localSheetId="53">#REF!</definedName>
    <definedName name="Bob" localSheetId="48">#REF!</definedName>
    <definedName name="Bob" localSheetId="50">#REF!</definedName>
    <definedName name="Bob" localSheetId="51">#REF!</definedName>
    <definedName name="Bob" localSheetId="55">#REF!</definedName>
    <definedName name="Bob" localSheetId="57">#REF!</definedName>
    <definedName name="Bob" localSheetId="29">#REF!</definedName>
    <definedName name="Bob" localSheetId="31">#REF!</definedName>
    <definedName name="Bob" localSheetId="32">#REF!</definedName>
    <definedName name="Bob" localSheetId="36">#REF!</definedName>
    <definedName name="Bob" localSheetId="17">#REF!</definedName>
    <definedName name="Bob" localSheetId="19">#REF!</definedName>
    <definedName name="Bob" localSheetId="18">#REF!</definedName>
    <definedName name="Bob" localSheetId="58">#REF!</definedName>
    <definedName name="Bob" localSheetId="15">#REF!</definedName>
    <definedName name="Bob" localSheetId="20">#REF!</definedName>
    <definedName name="Bob" localSheetId="22">#REF!</definedName>
    <definedName name="Bob" localSheetId="21">#REF!</definedName>
    <definedName name="Bob" localSheetId="34">#REF!</definedName>
    <definedName name="Bob" localSheetId="2">#REF!</definedName>
    <definedName name="Bob">#REF!</definedName>
    <definedName name="BOC" localSheetId="8">#REF!</definedName>
    <definedName name="BOC" localSheetId="13">#REF!</definedName>
    <definedName name="BOC">#REF!</definedName>
    <definedName name="BT">#REF!</definedName>
    <definedName name="building_codes" localSheetId="25">'[19]BenCost Input Summary'!#REF!</definedName>
    <definedName name="building_codes" localSheetId="28">'[19]BenCost Input Summary'!#REF!</definedName>
    <definedName name="building_codes" localSheetId="24">'[19]BenCost Input Summary'!#REF!</definedName>
    <definedName name="building_codes" localSheetId="27">'[19]BenCost Input Summary'!#REF!</definedName>
    <definedName name="building_codes" localSheetId="30">'[19]BenCost Input Summary'!#REF!</definedName>
    <definedName name="building_codes" localSheetId="33">'[19]BenCost Input Summary'!#REF!</definedName>
    <definedName name="building_codes" localSheetId="35">'[19]BenCost Input Summary'!#REF!</definedName>
    <definedName name="building_codes" localSheetId="45">'[19]BenCost Input Summary'!#REF!</definedName>
    <definedName name="building_codes" localSheetId="46">'[19]BenCost Input Summary'!#REF!</definedName>
    <definedName name="building_codes" localSheetId="37">'[19]BenCost Input Summary'!#REF!</definedName>
    <definedName name="building_codes" localSheetId="38">'[19]BenCost Input Summary'!#REF!</definedName>
    <definedName name="building_codes" localSheetId="39">'[19]BenCost Input Summary'!#REF!</definedName>
    <definedName name="building_codes" localSheetId="40">'[19]BenCost Input Summary'!#REF!</definedName>
    <definedName name="building_codes" localSheetId="42">'[19]BenCost Input Summary'!#REF!</definedName>
    <definedName name="building_codes" localSheetId="43">'[19]BenCost Input Summary'!#REF!</definedName>
    <definedName name="building_codes" localSheetId="44">'[19]BenCost Input Summary'!#REF!</definedName>
    <definedName name="building_codes" localSheetId="41">'[19]BenCost Input Summary'!#REF!</definedName>
    <definedName name="building_codes" localSheetId="52">'[19]BenCost Input Summary'!#REF!</definedName>
    <definedName name="building_codes" localSheetId="53">'[19]BenCost Input Summary'!#REF!</definedName>
    <definedName name="building_codes" localSheetId="48">'[19]BenCost Input Summary'!#REF!</definedName>
    <definedName name="building_codes" localSheetId="50">'[19]BenCost Input Summary'!#REF!</definedName>
    <definedName name="building_codes" localSheetId="51">'[19]BenCost Input Summary'!#REF!</definedName>
    <definedName name="building_codes" localSheetId="55">'[19]BenCost Input Summary'!#REF!</definedName>
    <definedName name="building_codes" localSheetId="57">'[19]BenCost Input Summary'!#REF!</definedName>
    <definedName name="building_codes" localSheetId="29">'[19]BenCost Input Summary'!#REF!</definedName>
    <definedName name="building_codes" localSheetId="31">'[19]BenCost Input Summary'!#REF!</definedName>
    <definedName name="building_codes" localSheetId="32">'[19]BenCost Input Summary'!#REF!</definedName>
    <definedName name="building_codes" localSheetId="36">'[19]BenCost Input Summary'!#REF!</definedName>
    <definedName name="building_codes" localSheetId="17">'[19]BenCost Input Summary'!#REF!</definedName>
    <definedName name="building_codes" localSheetId="19">'[19]BenCost Input Summary'!#REF!</definedName>
    <definedName name="building_codes" localSheetId="18">'[19]BenCost Input Summary'!#REF!</definedName>
    <definedName name="building_codes" localSheetId="58">'[20]BenCost Input Summary'!#REF!</definedName>
    <definedName name="building_codes" localSheetId="15">'[19]BenCost Input Summary'!#REF!</definedName>
    <definedName name="building_codes" localSheetId="20">'[19]BenCost Input Summary'!#REF!</definedName>
    <definedName name="building_codes" localSheetId="22">'[19]BenCost Input Summary'!#REF!</definedName>
    <definedName name="building_codes" localSheetId="21">'[19]BenCost Input Summary'!#REF!</definedName>
    <definedName name="building_codes" localSheetId="34">'[19]BenCost Input Summary'!#REF!</definedName>
    <definedName name="building_codes" localSheetId="9">'[19]BenCost Input Summary'!#REF!</definedName>
    <definedName name="building_codes" localSheetId="2">'[21]BenCost Input Summary'!#REF!</definedName>
    <definedName name="building_codes">'[20]BenCost Input Summary'!#REF!</definedName>
    <definedName name="building_codes_measures" localSheetId="25">'[19]BenCost Input Summary'!#REF!</definedName>
    <definedName name="building_codes_measures" localSheetId="28">'[19]BenCost Input Summary'!#REF!</definedName>
    <definedName name="building_codes_measures" localSheetId="24">'[19]BenCost Input Summary'!#REF!</definedName>
    <definedName name="building_codes_measures" localSheetId="27">'[19]BenCost Input Summary'!#REF!</definedName>
    <definedName name="building_codes_measures" localSheetId="30">'[19]BenCost Input Summary'!#REF!</definedName>
    <definedName name="building_codes_measures" localSheetId="33">'[19]BenCost Input Summary'!#REF!</definedName>
    <definedName name="building_codes_measures" localSheetId="35">'[19]BenCost Input Summary'!#REF!</definedName>
    <definedName name="building_codes_measures" localSheetId="45">'[19]BenCost Input Summary'!#REF!</definedName>
    <definedName name="building_codes_measures" localSheetId="46">'[19]BenCost Input Summary'!#REF!</definedName>
    <definedName name="building_codes_measures" localSheetId="37">'[19]BenCost Input Summary'!#REF!</definedName>
    <definedName name="building_codes_measures" localSheetId="38">'[19]BenCost Input Summary'!#REF!</definedName>
    <definedName name="building_codes_measures" localSheetId="39">'[19]BenCost Input Summary'!#REF!</definedName>
    <definedName name="building_codes_measures" localSheetId="40">'[19]BenCost Input Summary'!#REF!</definedName>
    <definedName name="building_codes_measures" localSheetId="42">'[19]BenCost Input Summary'!#REF!</definedName>
    <definedName name="building_codes_measures" localSheetId="43">'[19]BenCost Input Summary'!#REF!</definedName>
    <definedName name="building_codes_measures" localSheetId="44">'[19]BenCost Input Summary'!#REF!</definedName>
    <definedName name="building_codes_measures" localSheetId="41">'[19]BenCost Input Summary'!#REF!</definedName>
    <definedName name="building_codes_measures" localSheetId="52">'[19]BenCost Input Summary'!#REF!</definedName>
    <definedName name="building_codes_measures" localSheetId="53">'[19]BenCost Input Summary'!#REF!</definedName>
    <definedName name="building_codes_measures" localSheetId="48">'[19]BenCost Input Summary'!#REF!</definedName>
    <definedName name="building_codes_measures" localSheetId="50">'[19]BenCost Input Summary'!#REF!</definedName>
    <definedName name="building_codes_measures" localSheetId="51">'[19]BenCost Input Summary'!#REF!</definedName>
    <definedName name="building_codes_measures" localSheetId="55">'[19]BenCost Input Summary'!#REF!</definedName>
    <definedName name="building_codes_measures" localSheetId="57">'[19]BenCost Input Summary'!#REF!</definedName>
    <definedName name="building_codes_measures" localSheetId="29">'[19]BenCost Input Summary'!#REF!</definedName>
    <definedName name="building_codes_measures" localSheetId="31">'[19]BenCost Input Summary'!#REF!</definedName>
    <definedName name="building_codes_measures" localSheetId="32">'[19]BenCost Input Summary'!#REF!</definedName>
    <definedName name="building_codes_measures" localSheetId="36">'[19]BenCost Input Summary'!#REF!</definedName>
    <definedName name="building_codes_measures" localSheetId="17">'[19]BenCost Input Summary'!#REF!</definedName>
    <definedName name="building_codes_measures" localSheetId="19">'[19]BenCost Input Summary'!#REF!</definedName>
    <definedName name="building_codes_measures" localSheetId="18">'[19]BenCost Input Summary'!#REF!</definedName>
    <definedName name="building_codes_measures" localSheetId="58">'[20]BenCost Input Summary'!#REF!</definedName>
    <definedName name="building_codes_measures" localSheetId="15">'[19]BenCost Input Summary'!#REF!</definedName>
    <definedName name="building_codes_measures" localSheetId="20">'[19]BenCost Input Summary'!#REF!</definedName>
    <definedName name="building_codes_measures" localSheetId="22">'[19]BenCost Input Summary'!#REF!</definedName>
    <definedName name="building_codes_measures" localSheetId="21">'[19]BenCost Input Summary'!#REF!</definedName>
    <definedName name="building_codes_measures" localSheetId="34">'[19]BenCost Input Summary'!#REF!</definedName>
    <definedName name="building_codes_measures" localSheetId="9">'[19]BenCost Input Summary'!#REF!</definedName>
    <definedName name="building_codes_measures" localSheetId="2">'[21]BenCost Input Summary'!#REF!</definedName>
    <definedName name="building_codes_measures">'[20]BenCost Input Summary'!#REF!</definedName>
    <definedName name="building_tuneup" localSheetId="25">'[19]BenCost Input Summary'!#REF!</definedName>
    <definedName name="building_tuneup" localSheetId="28">'[19]BenCost Input Summary'!#REF!</definedName>
    <definedName name="building_tuneup" localSheetId="24">'[19]BenCost Input Summary'!#REF!</definedName>
    <definedName name="building_tuneup" localSheetId="27">'[19]BenCost Input Summary'!#REF!</definedName>
    <definedName name="building_tuneup" localSheetId="30">'[19]BenCost Input Summary'!#REF!</definedName>
    <definedName name="building_tuneup" localSheetId="33">'[19]BenCost Input Summary'!#REF!</definedName>
    <definedName name="building_tuneup" localSheetId="35">'[19]BenCost Input Summary'!#REF!</definedName>
    <definedName name="building_tuneup" localSheetId="45">'[19]BenCost Input Summary'!#REF!</definedName>
    <definedName name="building_tuneup" localSheetId="46">'[19]BenCost Input Summary'!#REF!</definedName>
    <definedName name="building_tuneup" localSheetId="37">'[19]BenCost Input Summary'!#REF!</definedName>
    <definedName name="building_tuneup" localSheetId="38">'[19]BenCost Input Summary'!#REF!</definedName>
    <definedName name="building_tuneup" localSheetId="39">'[19]BenCost Input Summary'!#REF!</definedName>
    <definedName name="building_tuneup" localSheetId="40">'[19]BenCost Input Summary'!#REF!</definedName>
    <definedName name="building_tuneup" localSheetId="42">'[19]BenCost Input Summary'!#REF!</definedName>
    <definedName name="building_tuneup" localSheetId="43">'[19]BenCost Input Summary'!#REF!</definedName>
    <definedName name="building_tuneup" localSheetId="44">'[19]BenCost Input Summary'!#REF!</definedName>
    <definedName name="building_tuneup" localSheetId="41">'[19]BenCost Input Summary'!#REF!</definedName>
    <definedName name="building_tuneup" localSheetId="52">'[19]BenCost Input Summary'!#REF!</definedName>
    <definedName name="building_tuneup" localSheetId="53">'[19]BenCost Input Summary'!#REF!</definedName>
    <definedName name="building_tuneup" localSheetId="48">'[19]BenCost Input Summary'!#REF!</definedName>
    <definedName name="building_tuneup" localSheetId="50">'[19]BenCost Input Summary'!#REF!</definedName>
    <definedName name="building_tuneup" localSheetId="51">'[19]BenCost Input Summary'!#REF!</definedName>
    <definedName name="building_tuneup" localSheetId="55">'[19]BenCost Input Summary'!#REF!</definedName>
    <definedName name="building_tuneup" localSheetId="57">'[19]BenCost Input Summary'!#REF!</definedName>
    <definedName name="building_tuneup" localSheetId="29">'[19]BenCost Input Summary'!#REF!</definedName>
    <definedName name="building_tuneup" localSheetId="31">'[19]BenCost Input Summary'!#REF!</definedName>
    <definedName name="building_tuneup" localSheetId="32">'[19]BenCost Input Summary'!#REF!</definedName>
    <definedName name="building_tuneup" localSheetId="36">'[19]BenCost Input Summary'!#REF!</definedName>
    <definedName name="building_tuneup" localSheetId="17">'[19]BenCost Input Summary'!#REF!</definedName>
    <definedName name="building_tuneup" localSheetId="19">'[19]BenCost Input Summary'!#REF!</definedName>
    <definedName name="building_tuneup" localSheetId="18">'[19]BenCost Input Summary'!#REF!</definedName>
    <definedName name="building_tuneup" localSheetId="15">'[19]BenCost Input Summary'!#REF!</definedName>
    <definedName name="building_tuneup" localSheetId="20">'[19]BenCost Input Summary'!#REF!</definedName>
    <definedName name="building_tuneup" localSheetId="22">'[19]BenCost Input Summary'!#REF!</definedName>
    <definedName name="building_tuneup" localSheetId="21">'[19]BenCost Input Summary'!#REF!</definedName>
    <definedName name="building_tuneup" localSheetId="34">'[19]BenCost Input Summary'!#REF!</definedName>
    <definedName name="building_tuneup" localSheetId="9">'[19]BenCost Input Summary'!#REF!</definedName>
    <definedName name="building_tuneup" localSheetId="2">'[21]BenCost Input Summary'!#REF!</definedName>
    <definedName name="building_tuneup">'[20]BenCost Input Summary'!#REF!</definedName>
    <definedName name="Bus_PeakLineLosses">'[22]PY9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25">'[19]BenCost Input Summary'!#REF!</definedName>
    <definedName name="CI_BC" localSheetId="28">'[19]BenCost Input Summary'!#REF!</definedName>
    <definedName name="CI_BC" localSheetId="24">'[19]BenCost Input Summary'!#REF!</definedName>
    <definedName name="CI_BC" localSheetId="27">'[19]BenCost Input Summary'!#REF!</definedName>
    <definedName name="CI_BC" localSheetId="30">'[19]BenCost Input Summary'!#REF!</definedName>
    <definedName name="CI_BC" localSheetId="33">'[19]BenCost Input Summary'!#REF!</definedName>
    <definedName name="CI_BC" localSheetId="35">'[19]BenCost Input Summary'!#REF!</definedName>
    <definedName name="CI_BC" localSheetId="45">'[19]BenCost Input Summary'!#REF!</definedName>
    <definedName name="CI_BC" localSheetId="46">'[19]BenCost Input Summary'!#REF!</definedName>
    <definedName name="CI_BC" localSheetId="37">'[19]BenCost Input Summary'!#REF!</definedName>
    <definedName name="CI_BC" localSheetId="38">'[19]BenCost Input Summary'!#REF!</definedName>
    <definedName name="CI_BC" localSheetId="39">'[19]BenCost Input Summary'!#REF!</definedName>
    <definedName name="CI_BC" localSheetId="40">'[19]BenCost Input Summary'!#REF!</definedName>
    <definedName name="CI_BC" localSheetId="42">'[19]BenCost Input Summary'!#REF!</definedName>
    <definedName name="CI_BC" localSheetId="43">'[19]BenCost Input Summary'!#REF!</definedName>
    <definedName name="CI_BC" localSheetId="44">'[19]BenCost Input Summary'!#REF!</definedName>
    <definedName name="CI_BC" localSheetId="41">'[19]BenCost Input Summary'!#REF!</definedName>
    <definedName name="CI_BC" localSheetId="52">'[19]BenCost Input Summary'!#REF!</definedName>
    <definedName name="CI_BC" localSheetId="53">'[19]BenCost Input Summary'!#REF!</definedName>
    <definedName name="CI_BC" localSheetId="48">'[19]BenCost Input Summary'!#REF!</definedName>
    <definedName name="CI_BC" localSheetId="50">'[19]BenCost Input Summary'!#REF!</definedName>
    <definedName name="CI_BC" localSheetId="51">'[19]BenCost Input Summary'!#REF!</definedName>
    <definedName name="CI_BC" localSheetId="55">'[19]BenCost Input Summary'!#REF!</definedName>
    <definedName name="CI_BC" localSheetId="57">'[19]BenCost Input Summary'!#REF!</definedName>
    <definedName name="CI_BC" localSheetId="29">'[19]BenCost Input Summary'!#REF!</definedName>
    <definedName name="CI_BC" localSheetId="31">'[19]BenCost Input Summary'!#REF!</definedName>
    <definedName name="CI_BC" localSheetId="32">'[19]BenCost Input Summary'!#REF!</definedName>
    <definedName name="CI_BC" localSheetId="36">'[19]BenCost Input Summary'!#REF!</definedName>
    <definedName name="CI_BC" localSheetId="17">'[19]BenCost Input Summary'!#REF!</definedName>
    <definedName name="CI_BC" localSheetId="19">'[19]BenCost Input Summary'!#REF!</definedName>
    <definedName name="CI_BC" localSheetId="18">'[19]BenCost Input Summary'!#REF!</definedName>
    <definedName name="CI_BC" localSheetId="15">'[19]BenCost Input Summary'!#REF!</definedName>
    <definedName name="CI_BC" localSheetId="20">'[19]BenCost Input Summary'!#REF!</definedName>
    <definedName name="CI_BC" localSheetId="22">'[19]BenCost Input Summary'!#REF!</definedName>
    <definedName name="CI_BC" localSheetId="21">'[19]BenCost Input Summary'!#REF!</definedName>
    <definedName name="CI_BC" localSheetId="34">'[19]BenCost Input Summary'!#REF!</definedName>
    <definedName name="CI_BC" localSheetId="9">'[19]BenCost Input Summary'!#REF!</definedName>
    <definedName name="CI_BC" localSheetId="2">'[21]BenCost Input Summary'!#REF!</definedName>
    <definedName name="CI_BC">'[20]BenCost Input Summary'!#REF!</definedName>
    <definedName name="ci_bc_total" localSheetId="25">'[19]BenCost Input Summary'!#REF!</definedName>
    <definedName name="ci_bc_total" localSheetId="28">'[19]BenCost Input Summary'!#REF!</definedName>
    <definedName name="ci_bc_total" localSheetId="24">'[19]BenCost Input Summary'!#REF!</definedName>
    <definedName name="ci_bc_total" localSheetId="27">'[19]BenCost Input Summary'!#REF!</definedName>
    <definedName name="ci_bc_total" localSheetId="30">'[19]BenCost Input Summary'!#REF!</definedName>
    <definedName name="ci_bc_total" localSheetId="33">'[19]BenCost Input Summary'!#REF!</definedName>
    <definedName name="ci_bc_total" localSheetId="35">'[19]BenCost Input Summary'!#REF!</definedName>
    <definedName name="ci_bc_total" localSheetId="45">'[19]BenCost Input Summary'!#REF!</definedName>
    <definedName name="ci_bc_total" localSheetId="46">'[19]BenCost Input Summary'!#REF!</definedName>
    <definedName name="ci_bc_total" localSheetId="37">'[19]BenCost Input Summary'!#REF!</definedName>
    <definedName name="ci_bc_total" localSheetId="38">'[19]BenCost Input Summary'!#REF!</definedName>
    <definedName name="ci_bc_total" localSheetId="39">'[19]BenCost Input Summary'!#REF!</definedName>
    <definedName name="ci_bc_total" localSheetId="40">'[19]BenCost Input Summary'!#REF!</definedName>
    <definedName name="ci_bc_total" localSheetId="42">'[19]BenCost Input Summary'!#REF!</definedName>
    <definedName name="ci_bc_total" localSheetId="43">'[19]BenCost Input Summary'!#REF!</definedName>
    <definedName name="ci_bc_total" localSheetId="44">'[19]BenCost Input Summary'!#REF!</definedName>
    <definedName name="ci_bc_total" localSheetId="41">'[19]BenCost Input Summary'!#REF!</definedName>
    <definedName name="ci_bc_total" localSheetId="52">'[19]BenCost Input Summary'!#REF!</definedName>
    <definedName name="ci_bc_total" localSheetId="53">'[19]BenCost Input Summary'!#REF!</definedName>
    <definedName name="ci_bc_total" localSheetId="48">'[19]BenCost Input Summary'!#REF!</definedName>
    <definedName name="ci_bc_total" localSheetId="50">'[19]BenCost Input Summary'!#REF!</definedName>
    <definedName name="ci_bc_total" localSheetId="51">'[19]BenCost Input Summary'!#REF!</definedName>
    <definedName name="ci_bc_total" localSheetId="55">'[19]BenCost Input Summary'!#REF!</definedName>
    <definedName name="ci_bc_total" localSheetId="57">'[19]BenCost Input Summary'!#REF!</definedName>
    <definedName name="ci_bc_total" localSheetId="29">'[19]BenCost Input Summary'!#REF!</definedName>
    <definedName name="ci_bc_total" localSheetId="31">'[19]BenCost Input Summary'!#REF!</definedName>
    <definedName name="ci_bc_total" localSheetId="32">'[19]BenCost Input Summary'!#REF!</definedName>
    <definedName name="ci_bc_total" localSheetId="36">'[19]BenCost Input Summary'!#REF!</definedName>
    <definedName name="ci_bc_total" localSheetId="17">'[19]BenCost Input Summary'!#REF!</definedName>
    <definedName name="ci_bc_total" localSheetId="19">'[19]BenCost Input Summary'!#REF!</definedName>
    <definedName name="ci_bc_total" localSheetId="18">'[19]BenCost Input Summary'!#REF!</definedName>
    <definedName name="ci_bc_total" localSheetId="15">'[19]BenCost Input Summary'!#REF!</definedName>
    <definedName name="ci_bc_total" localSheetId="20">'[19]BenCost Input Summary'!#REF!</definedName>
    <definedName name="ci_bc_total" localSheetId="22">'[19]BenCost Input Summary'!#REF!</definedName>
    <definedName name="ci_bc_total" localSheetId="21">'[19]BenCost Input Summary'!#REF!</definedName>
    <definedName name="ci_bc_total" localSheetId="34">'[19]BenCost Input Summary'!#REF!</definedName>
    <definedName name="ci_bc_total" localSheetId="9">'[19]BenCost Input Summary'!#REF!</definedName>
    <definedName name="ci_bc_total" localSheetId="2">'[21]BenCost Input Summary'!#REF!</definedName>
    <definedName name="ci_bc_total">'[20]BenCost Input Summary'!#REF!</definedName>
    <definedName name="CI_Custom" localSheetId="25">'[19]BenCost Input Summary'!#REF!</definedName>
    <definedName name="CI_Custom" localSheetId="28">'[19]BenCost Input Summary'!#REF!</definedName>
    <definedName name="CI_Custom" localSheetId="24">'[19]BenCost Input Summary'!#REF!</definedName>
    <definedName name="CI_Custom" localSheetId="27">'[19]BenCost Input Summary'!#REF!</definedName>
    <definedName name="CI_Custom" localSheetId="30">'[19]BenCost Input Summary'!#REF!</definedName>
    <definedName name="CI_Custom" localSheetId="33">'[19]BenCost Input Summary'!#REF!</definedName>
    <definedName name="CI_Custom" localSheetId="35">'[19]BenCost Input Summary'!#REF!</definedName>
    <definedName name="CI_Custom" localSheetId="45">'[19]BenCost Input Summary'!#REF!</definedName>
    <definedName name="CI_Custom" localSheetId="46">'[19]BenCost Input Summary'!#REF!</definedName>
    <definedName name="CI_Custom" localSheetId="37">'[19]BenCost Input Summary'!#REF!</definedName>
    <definedName name="CI_Custom" localSheetId="38">'[19]BenCost Input Summary'!#REF!</definedName>
    <definedName name="CI_Custom" localSheetId="39">'[19]BenCost Input Summary'!#REF!</definedName>
    <definedName name="CI_Custom" localSheetId="40">'[19]BenCost Input Summary'!#REF!</definedName>
    <definedName name="CI_Custom" localSheetId="42">'[19]BenCost Input Summary'!#REF!</definedName>
    <definedName name="CI_Custom" localSheetId="43">'[19]BenCost Input Summary'!#REF!</definedName>
    <definedName name="CI_Custom" localSheetId="44">'[19]BenCost Input Summary'!#REF!</definedName>
    <definedName name="CI_Custom" localSheetId="41">'[19]BenCost Input Summary'!#REF!</definedName>
    <definedName name="CI_Custom" localSheetId="52">'[19]BenCost Input Summary'!#REF!</definedName>
    <definedName name="CI_Custom" localSheetId="53">'[19]BenCost Input Summary'!#REF!</definedName>
    <definedName name="CI_Custom" localSheetId="48">'[19]BenCost Input Summary'!#REF!</definedName>
    <definedName name="CI_Custom" localSheetId="50">'[19]BenCost Input Summary'!#REF!</definedName>
    <definedName name="CI_Custom" localSheetId="51">'[19]BenCost Input Summary'!#REF!</definedName>
    <definedName name="CI_Custom" localSheetId="55">'[19]BenCost Input Summary'!#REF!</definedName>
    <definedName name="CI_Custom" localSheetId="57">'[19]BenCost Input Summary'!#REF!</definedName>
    <definedName name="CI_Custom" localSheetId="29">'[19]BenCost Input Summary'!#REF!</definedName>
    <definedName name="CI_Custom" localSheetId="31">'[19]BenCost Input Summary'!#REF!</definedName>
    <definedName name="CI_Custom" localSheetId="32">'[19]BenCost Input Summary'!#REF!</definedName>
    <definedName name="CI_Custom" localSheetId="36">'[19]BenCost Input Summary'!#REF!</definedName>
    <definedName name="CI_Custom" localSheetId="17">'[19]BenCost Input Summary'!#REF!</definedName>
    <definedName name="CI_Custom" localSheetId="19">'[19]BenCost Input Summary'!#REF!</definedName>
    <definedName name="CI_Custom" localSheetId="18">'[19]BenCost Input Summary'!#REF!</definedName>
    <definedName name="CI_Custom" localSheetId="15">'[19]BenCost Input Summary'!#REF!</definedName>
    <definedName name="CI_Custom" localSheetId="20">'[19]BenCost Input Summary'!#REF!</definedName>
    <definedName name="CI_Custom" localSheetId="22">'[19]BenCost Input Summary'!#REF!</definedName>
    <definedName name="CI_Custom" localSheetId="21">'[19]BenCost Input Summary'!#REF!</definedName>
    <definedName name="CI_Custom" localSheetId="34">'[19]BenCost Input Summary'!#REF!</definedName>
    <definedName name="CI_Custom" localSheetId="9">'[19]BenCost Input Summary'!#REF!</definedName>
    <definedName name="CI_Custom" localSheetId="2">'[21]BenCost Input Summary'!#REF!</definedName>
    <definedName name="CI_Custom">'[20]BenCost Input Summary'!#REF!</definedName>
    <definedName name="ci_custom_measures" localSheetId="25">'[19]BenCost Input Summary'!#REF!</definedName>
    <definedName name="ci_custom_measures" localSheetId="28">'[19]BenCost Input Summary'!#REF!</definedName>
    <definedName name="ci_custom_measures" localSheetId="24">'[19]BenCost Input Summary'!#REF!</definedName>
    <definedName name="ci_custom_measures" localSheetId="27">'[19]BenCost Input Summary'!#REF!</definedName>
    <definedName name="ci_custom_measures" localSheetId="30">'[19]BenCost Input Summary'!#REF!</definedName>
    <definedName name="ci_custom_measures" localSheetId="33">'[19]BenCost Input Summary'!#REF!</definedName>
    <definedName name="ci_custom_measures" localSheetId="35">'[19]BenCost Input Summary'!#REF!</definedName>
    <definedName name="ci_custom_measures" localSheetId="45">'[19]BenCost Input Summary'!#REF!</definedName>
    <definedName name="ci_custom_measures" localSheetId="46">'[19]BenCost Input Summary'!#REF!</definedName>
    <definedName name="ci_custom_measures" localSheetId="37">'[19]BenCost Input Summary'!#REF!</definedName>
    <definedName name="ci_custom_measures" localSheetId="38">'[19]BenCost Input Summary'!#REF!</definedName>
    <definedName name="ci_custom_measures" localSheetId="39">'[19]BenCost Input Summary'!#REF!</definedName>
    <definedName name="ci_custom_measures" localSheetId="40">'[19]BenCost Input Summary'!#REF!</definedName>
    <definedName name="ci_custom_measures" localSheetId="42">'[19]BenCost Input Summary'!#REF!</definedName>
    <definedName name="ci_custom_measures" localSheetId="43">'[19]BenCost Input Summary'!#REF!</definedName>
    <definedName name="ci_custom_measures" localSheetId="44">'[19]BenCost Input Summary'!#REF!</definedName>
    <definedName name="ci_custom_measures" localSheetId="41">'[19]BenCost Input Summary'!#REF!</definedName>
    <definedName name="ci_custom_measures" localSheetId="52">'[19]BenCost Input Summary'!#REF!</definedName>
    <definedName name="ci_custom_measures" localSheetId="53">'[19]BenCost Input Summary'!#REF!</definedName>
    <definedName name="ci_custom_measures" localSheetId="48">'[19]BenCost Input Summary'!#REF!</definedName>
    <definedName name="ci_custom_measures" localSheetId="50">'[19]BenCost Input Summary'!#REF!</definedName>
    <definedName name="ci_custom_measures" localSheetId="51">'[19]BenCost Input Summary'!#REF!</definedName>
    <definedName name="ci_custom_measures" localSheetId="55">'[19]BenCost Input Summary'!#REF!</definedName>
    <definedName name="ci_custom_measures" localSheetId="57">'[19]BenCost Input Summary'!#REF!</definedName>
    <definedName name="ci_custom_measures" localSheetId="29">'[19]BenCost Input Summary'!#REF!</definedName>
    <definedName name="ci_custom_measures" localSheetId="31">'[19]BenCost Input Summary'!#REF!</definedName>
    <definedName name="ci_custom_measures" localSheetId="32">'[19]BenCost Input Summary'!#REF!</definedName>
    <definedName name="ci_custom_measures" localSheetId="36">'[19]BenCost Input Summary'!#REF!</definedName>
    <definedName name="ci_custom_measures" localSheetId="17">'[19]BenCost Input Summary'!#REF!</definedName>
    <definedName name="ci_custom_measures" localSheetId="19">'[19]BenCost Input Summary'!#REF!</definedName>
    <definedName name="ci_custom_measures" localSheetId="18">'[19]BenCost Input Summary'!#REF!</definedName>
    <definedName name="ci_custom_measures" localSheetId="15">'[19]BenCost Input Summary'!#REF!</definedName>
    <definedName name="ci_custom_measures" localSheetId="20">'[19]BenCost Input Summary'!#REF!</definedName>
    <definedName name="ci_custom_measures" localSheetId="22">'[19]BenCost Input Summary'!#REF!</definedName>
    <definedName name="ci_custom_measures" localSheetId="21">'[19]BenCost Input Summary'!#REF!</definedName>
    <definedName name="ci_custom_measures" localSheetId="34">'[19]BenCost Input Summary'!#REF!</definedName>
    <definedName name="ci_custom_measures" localSheetId="9">'[19]BenCost Input Summary'!#REF!</definedName>
    <definedName name="ci_custom_measures" localSheetId="2">'[21]BenCost Input Summary'!#REF!</definedName>
    <definedName name="ci_custom_measures">'[20]BenCost Input Summary'!#REF!</definedName>
    <definedName name="ci_custom_total" localSheetId="25">'[19]BenCost Input Summary'!#REF!</definedName>
    <definedName name="ci_custom_total" localSheetId="28">'[19]BenCost Input Summary'!#REF!</definedName>
    <definedName name="ci_custom_total" localSheetId="24">'[19]BenCost Input Summary'!#REF!</definedName>
    <definedName name="ci_custom_total" localSheetId="27">'[19]BenCost Input Summary'!#REF!</definedName>
    <definedName name="ci_custom_total" localSheetId="30">'[19]BenCost Input Summary'!#REF!</definedName>
    <definedName name="ci_custom_total" localSheetId="33">'[19]BenCost Input Summary'!#REF!</definedName>
    <definedName name="ci_custom_total" localSheetId="35">'[19]BenCost Input Summary'!#REF!</definedName>
    <definedName name="ci_custom_total" localSheetId="45">'[19]BenCost Input Summary'!#REF!</definedName>
    <definedName name="ci_custom_total" localSheetId="46">'[19]BenCost Input Summary'!#REF!</definedName>
    <definedName name="ci_custom_total" localSheetId="37">'[19]BenCost Input Summary'!#REF!</definedName>
    <definedName name="ci_custom_total" localSheetId="38">'[19]BenCost Input Summary'!#REF!</definedName>
    <definedName name="ci_custom_total" localSheetId="39">'[19]BenCost Input Summary'!#REF!</definedName>
    <definedName name="ci_custom_total" localSheetId="40">'[19]BenCost Input Summary'!#REF!</definedName>
    <definedName name="ci_custom_total" localSheetId="42">'[19]BenCost Input Summary'!#REF!</definedName>
    <definedName name="ci_custom_total" localSheetId="43">'[19]BenCost Input Summary'!#REF!</definedName>
    <definedName name="ci_custom_total" localSheetId="44">'[19]BenCost Input Summary'!#REF!</definedName>
    <definedName name="ci_custom_total" localSheetId="41">'[19]BenCost Input Summary'!#REF!</definedName>
    <definedName name="ci_custom_total" localSheetId="52">'[19]BenCost Input Summary'!#REF!</definedName>
    <definedName name="ci_custom_total" localSheetId="53">'[19]BenCost Input Summary'!#REF!</definedName>
    <definedName name="ci_custom_total" localSheetId="48">'[19]BenCost Input Summary'!#REF!</definedName>
    <definedName name="ci_custom_total" localSheetId="50">'[19]BenCost Input Summary'!#REF!</definedName>
    <definedName name="ci_custom_total" localSheetId="51">'[19]BenCost Input Summary'!#REF!</definedName>
    <definedName name="ci_custom_total" localSheetId="55">'[19]BenCost Input Summary'!#REF!</definedName>
    <definedName name="ci_custom_total" localSheetId="57">'[19]BenCost Input Summary'!#REF!</definedName>
    <definedName name="ci_custom_total" localSheetId="29">'[19]BenCost Input Summary'!#REF!</definedName>
    <definedName name="ci_custom_total" localSheetId="31">'[19]BenCost Input Summary'!#REF!</definedName>
    <definedName name="ci_custom_total" localSheetId="32">'[19]BenCost Input Summary'!#REF!</definedName>
    <definedName name="ci_custom_total" localSheetId="36">'[19]BenCost Input Summary'!#REF!</definedName>
    <definedName name="ci_custom_total" localSheetId="17">'[19]BenCost Input Summary'!#REF!</definedName>
    <definedName name="ci_custom_total" localSheetId="19">'[19]BenCost Input Summary'!#REF!</definedName>
    <definedName name="ci_custom_total" localSheetId="18">'[19]BenCost Input Summary'!#REF!</definedName>
    <definedName name="ci_custom_total" localSheetId="15">'[19]BenCost Input Summary'!#REF!</definedName>
    <definedName name="ci_custom_total" localSheetId="20">'[19]BenCost Input Summary'!#REF!</definedName>
    <definedName name="ci_custom_total" localSheetId="22">'[19]BenCost Input Summary'!#REF!</definedName>
    <definedName name="ci_custom_total" localSheetId="21">'[19]BenCost Input Summary'!#REF!</definedName>
    <definedName name="ci_custom_total" localSheetId="34">'[19]BenCost Input Summary'!#REF!</definedName>
    <definedName name="ci_custom_total" localSheetId="9">'[19]BenCost Input Summary'!#REF!</definedName>
    <definedName name="ci_custom_total" localSheetId="2">'[21]BenCost Input Summary'!#REF!</definedName>
    <definedName name="ci_custom_total">'[20]BenCost Input Summary'!#REF!</definedName>
    <definedName name="CI_NC" localSheetId="25">'[19]BenCost Input Summary'!#REF!</definedName>
    <definedName name="CI_NC" localSheetId="28">'[19]BenCost Input Summary'!#REF!</definedName>
    <definedName name="CI_NC" localSheetId="24">'[19]BenCost Input Summary'!#REF!</definedName>
    <definedName name="CI_NC" localSheetId="27">'[19]BenCost Input Summary'!#REF!</definedName>
    <definedName name="CI_NC" localSheetId="30">'[19]BenCost Input Summary'!#REF!</definedName>
    <definedName name="CI_NC" localSheetId="33">'[19]BenCost Input Summary'!#REF!</definedName>
    <definedName name="CI_NC" localSheetId="35">'[19]BenCost Input Summary'!#REF!</definedName>
    <definedName name="CI_NC" localSheetId="45">'[19]BenCost Input Summary'!#REF!</definedName>
    <definedName name="CI_NC" localSheetId="46">'[19]BenCost Input Summary'!#REF!</definedName>
    <definedName name="CI_NC" localSheetId="37">'[19]BenCost Input Summary'!#REF!</definedName>
    <definedName name="CI_NC" localSheetId="38">'[19]BenCost Input Summary'!#REF!</definedName>
    <definedName name="CI_NC" localSheetId="39">'[19]BenCost Input Summary'!#REF!</definedName>
    <definedName name="CI_NC" localSheetId="40">'[19]BenCost Input Summary'!#REF!</definedName>
    <definedName name="CI_NC" localSheetId="42">'[19]BenCost Input Summary'!#REF!</definedName>
    <definedName name="CI_NC" localSheetId="43">'[19]BenCost Input Summary'!#REF!</definedName>
    <definedName name="CI_NC" localSheetId="44">'[19]BenCost Input Summary'!#REF!</definedName>
    <definedName name="CI_NC" localSheetId="41">'[19]BenCost Input Summary'!#REF!</definedName>
    <definedName name="CI_NC" localSheetId="52">'[19]BenCost Input Summary'!#REF!</definedName>
    <definedName name="CI_NC" localSheetId="53">'[19]BenCost Input Summary'!#REF!</definedName>
    <definedName name="CI_NC" localSheetId="48">'[19]BenCost Input Summary'!#REF!</definedName>
    <definedName name="CI_NC" localSheetId="50">'[19]BenCost Input Summary'!#REF!</definedName>
    <definedName name="CI_NC" localSheetId="51">'[19]BenCost Input Summary'!#REF!</definedName>
    <definedName name="CI_NC" localSheetId="55">'[19]BenCost Input Summary'!#REF!</definedName>
    <definedName name="CI_NC" localSheetId="57">'[19]BenCost Input Summary'!#REF!</definedName>
    <definedName name="CI_NC" localSheetId="29">'[19]BenCost Input Summary'!#REF!</definedName>
    <definedName name="CI_NC" localSheetId="31">'[19]BenCost Input Summary'!#REF!</definedName>
    <definedName name="CI_NC" localSheetId="32">'[19]BenCost Input Summary'!#REF!</definedName>
    <definedName name="CI_NC" localSheetId="36">'[19]BenCost Input Summary'!#REF!</definedName>
    <definedName name="CI_NC" localSheetId="17">'[19]BenCost Input Summary'!#REF!</definedName>
    <definedName name="CI_NC" localSheetId="19">'[19]BenCost Input Summary'!#REF!</definedName>
    <definedName name="CI_NC" localSheetId="18">'[19]BenCost Input Summary'!#REF!</definedName>
    <definedName name="CI_NC" localSheetId="15">'[19]BenCost Input Summary'!#REF!</definedName>
    <definedName name="CI_NC" localSheetId="20">'[19]BenCost Input Summary'!#REF!</definedName>
    <definedName name="CI_NC" localSheetId="22">'[19]BenCost Input Summary'!#REF!</definedName>
    <definedName name="CI_NC" localSheetId="21">'[19]BenCost Input Summary'!#REF!</definedName>
    <definedName name="CI_NC" localSheetId="34">'[19]BenCost Input Summary'!#REF!</definedName>
    <definedName name="CI_NC" localSheetId="9">'[19]BenCost Input Summary'!#REF!</definedName>
    <definedName name="CI_NC" localSheetId="2">'[21]BenCost Input Summary'!#REF!</definedName>
    <definedName name="CI_NC">'[20]BenCost Input Summary'!#REF!</definedName>
    <definedName name="ci_nc_total" localSheetId="25">'[19]BenCost Input Summary'!#REF!</definedName>
    <definedName name="ci_nc_total" localSheetId="28">'[19]BenCost Input Summary'!#REF!</definedName>
    <definedName name="ci_nc_total" localSheetId="24">'[19]BenCost Input Summary'!#REF!</definedName>
    <definedName name="ci_nc_total" localSheetId="27">'[19]BenCost Input Summary'!#REF!</definedName>
    <definedName name="ci_nc_total" localSheetId="30">'[19]BenCost Input Summary'!#REF!</definedName>
    <definedName name="ci_nc_total" localSheetId="33">'[19]BenCost Input Summary'!#REF!</definedName>
    <definedName name="ci_nc_total" localSheetId="35">'[19]BenCost Input Summary'!#REF!</definedName>
    <definedName name="ci_nc_total" localSheetId="45">'[19]BenCost Input Summary'!#REF!</definedName>
    <definedName name="ci_nc_total" localSheetId="46">'[19]BenCost Input Summary'!#REF!</definedName>
    <definedName name="ci_nc_total" localSheetId="37">'[19]BenCost Input Summary'!#REF!</definedName>
    <definedName name="ci_nc_total" localSheetId="38">'[19]BenCost Input Summary'!#REF!</definedName>
    <definedName name="ci_nc_total" localSheetId="39">'[19]BenCost Input Summary'!#REF!</definedName>
    <definedName name="ci_nc_total" localSheetId="40">'[19]BenCost Input Summary'!#REF!</definedName>
    <definedName name="ci_nc_total" localSheetId="42">'[19]BenCost Input Summary'!#REF!</definedName>
    <definedName name="ci_nc_total" localSheetId="43">'[19]BenCost Input Summary'!#REF!</definedName>
    <definedName name="ci_nc_total" localSheetId="44">'[19]BenCost Input Summary'!#REF!</definedName>
    <definedName name="ci_nc_total" localSheetId="41">'[19]BenCost Input Summary'!#REF!</definedName>
    <definedName name="ci_nc_total" localSheetId="52">'[19]BenCost Input Summary'!#REF!</definedName>
    <definedName name="ci_nc_total" localSheetId="53">'[19]BenCost Input Summary'!#REF!</definedName>
    <definedName name="ci_nc_total" localSheetId="48">'[19]BenCost Input Summary'!#REF!</definedName>
    <definedName name="ci_nc_total" localSheetId="50">'[19]BenCost Input Summary'!#REF!</definedName>
    <definedName name="ci_nc_total" localSheetId="51">'[19]BenCost Input Summary'!#REF!</definedName>
    <definedName name="ci_nc_total" localSheetId="55">'[19]BenCost Input Summary'!#REF!</definedName>
    <definedName name="ci_nc_total" localSheetId="57">'[19]BenCost Input Summary'!#REF!</definedName>
    <definedName name="ci_nc_total" localSheetId="29">'[19]BenCost Input Summary'!#REF!</definedName>
    <definedName name="ci_nc_total" localSheetId="31">'[19]BenCost Input Summary'!#REF!</definedName>
    <definedName name="ci_nc_total" localSheetId="32">'[19]BenCost Input Summary'!#REF!</definedName>
    <definedName name="ci_nc_total" localSheetId="36">'[19]BenCost Input Summary'!#REF!</definedName>
    <definedName name="ci_nc_total" localSheetId="17">'[19]BenCost Input Summary'!#REF!</definedName>
    <definedName name="ci_nc_total" localSheetId="19">'[19]BenCost Input Summary'!#REF!</definedName>
    <definedName name="ci_nc_total" localSheetId="18">'[19]BenCost Input Summary'!#REF!</definedName>
    <definedName name="ci_nc_total" localSheetId="15">'[19]BenCost Input Summary'!#REF!</definedName>
    <definedName name="ci_nc_total" localSheetId="20">'[19]BenCost Input Summary'!#REF!</definedName>
    <definedName name="ci_nc_total" localSheetId="22">'[19]BenCost Input Summary'!#REF!</definedName>
    <definedName name="ci_nc_total" localSheetId="21">'[19]BenCost Input Summary'!#REF!</definedName>
    <definedName name="ci_nc_total" localSheetId="34">'[19]BenCost Input Summary'!#REF!</definedName>
    <definedName name="ci_nc_total" localSheetId="9">'[19]BenCost Input Summary'!#REF!</definedName>
    <definedName name="ci_nc_total" localSheetId="2">'[21]BenCost Input Summary'!#REF!</definedName>
    <definedName name="ci_nc_total">'[20]BenCost Input Summary'!#REF!</definedName>
    <definedName name="CI_RC" localSheetId="25">'[19]BenCost Input Summary'!#REF!</definedName>
    <definedName name="CI_RC" localSheetId="28">'[19]BenCost Input Summary'!#REF!</definedName>
    <definedName name="CI_RC" localSheetId="24">'[19]BenCost Input Summary'!#REF!</definedName>
    <definedName name="CI_RC" localSheetId="27">'[19]BenCost Input Summary'!#REF!</definedName>
    <definedName name="CI_RC" localSheetId="30">'[19]BenCost Input Summary'!#REF!</definedName>
    <definedName name="CI_RC" localSheetId="33">'[19]BenCost Input Summary'!#REF!</definedName>
    <definedName name="CI_RC" localSheetId="35">'[19]BenCost Input Summary'!#REF!</definedName>
    <definedName name="CI_RC" localSheetId="45">'[19]BenCost Input Summary'!#REF!</definedName>
    <definedName name="CI_RC" localSheetId="46">'[19]BenCost Input Summary'!#REF!</definedName>
    <definedName name="CI_RC" localSheetId="37">'[19]BenCost Input Summary'!#REF!</definedName>
    <definedName name="CI_RC" localSheetId="38">'[19]BenCost Input Summary'!#REF!</definedName>
    <definedName name="CI_RC" localSheetId="39">'[19]BenCost Input Summary'!#REF!</definedName>
    <definedName name="CI_RC" localSheetId="40">'[19]BenCost Input Summary'!#REF!</definedName>
    <definedName name="CI_RC" localSheetId="42">'[19]BenCost Input Summary'!#REF!</definedName>
    <definedName name="CI_RC" localSheetId="43">'[19]BenCost Input Summary'!#REF!</definedName>
    <definedName name="CI_RC" localSheetId="44">'[19]BenCost Input Summary'!#REF!</definedName>
    <definedName name="CI_RC" localSheetId="41">'[19]BenCost Input Summary'!#REF!</definedName>
    <definedName name="CI_RC" localSheetId="52">'[19]BenCost Input Summary'!#REF!</definedName>
    <definedName name="CI_RC" localSheetId="53">'[19]BenCost Input Summary'!#REF!</definedName>
    <definedName name="CI_RC" localSheetId="48">'[19]BenCost Input Summary'!#REF!</definedName>
    <definedName name="CI_RC" localSheetId="50">'[19]BenCost Input Summary'!#REF!</definedName>
    <definedName name="CI_RC" localSheetId="51">'[19]BenCost Input Summary'!#REF!</definedName>
    <definedName name="CI_RC" localSheetId="55">'[19]BenCost Input Summary'!#REF!</definedName>
    <definedName name="CI_RC" localSheetId="57">'[19]BenCost Input Summary'!#REF!</definedName>
    <definedName name="CI_RC" localSheetId="29">'[19]BenCost Input Summary'!#REF!</definedName>
    <definedName name="CI_RC" localSheetId="31">'[19]BenCost Input Summary'!#REF!</definedName>
    <definedName name="CI_RC" localSheetId="32">'[19]BenCost Input Summary'!#REF!</definedName>
    <definedName name="CI_RC" localSheetId="36">'[19]BenCost Input Summary'!#REF!</definedName>
    <definedName name="CI_RC" localSheetId="17">'[19]BenCost Input Summary'!#REF!</definedName>
    <definedName name="CI_RC" localSheetId="19">'[19]BenCost Input Summary'!#REF!</definedName>
    <definedName name="CI_RC" localSheetId="18">'[19]BenCost Input Summary'!#REF!</definedName>
    <definedName name="CI_RC" localSheetId="15">'[19]BenCost Input Summary'!#REF!</definedName>
    <definedName name="CI_RC" localSheetId="20">'[19]BenCost Input Summary'!#REF!</definedName>
    <definedName name="CI_RC" localSheetId="22">'[19]BenCost Input Summary'!#REF!</definedName>
    <definedName name="CI_RC" localSheetId="21">'[19]BenCost Input Summary'!#REF!</definedName>
    <definedName name="CI_RC" localSheetId="34">'[19]BenCost Input Summary'!#REF!</definedName>
    <definedName name="CI_RC" localSheetId="9">'[19]BenCost Input Summary'!#REF!</definedName>
    <definedName name="CI_RC" localSheetId="2">'[21]BenCost Input Summary'!#REF!</definedName>
    <definedName name="CI_RC">'[20]BenCost Input Summary'!#REF!</definedName>
    <definedName name="CI_RC_Measures" localSheetId="25">'[19]BenCost Input Summary'!#REF!</definedName>
    <definedName name="CI_RC_Measures" localSheetId="28">'[19]BenCost Input Summary'!#REF!</definedName>
    <definedName name="CI_RC_Measures" localSheetId="24">'[19]BenCost Input Summary'!#REF!</definedName>
    <definedName name="CI_RC_Measures" localSheetId="27">'[19]BenCost Input Summary'!#REF!</definedName>
    <definedName name="CI_RC_Measures" localSheetId="30">'[19]BenCost Input Summary'!#REF!</definedName>
    <definedName name="CI_RC_Measures" localSheetId="33">'[19]BenCost Input Summary'!#REF!</definedName>
    <definedName name="CI_RC_Measures" localSheetId="35">'[19]BenCost Input Summary'!#REF!</definedName>
    <definedName name="CI_RC_Measures" localSheetId="45">'[19]BenCost Input Summary'!#REF!</definedName>
    <definedName name="CI_RC_Measures" localSheetId="46">'[19]BenCost Input Summary'!#REF!</definedName>
    <definedName name="CI_RC_Measures" localSheetId="37">'[19]BenCost Input Summary'!#REF!</definedName>
    <definedName name="CI_RC_Measures" localSheetId="38">'[19]BenCost Input Summary'!#REF!</definedName>
    <definedName name="CI_RC_Measures" localSheetId="39">'[19]BenCost Input Summary'!#REF!</definedName>
    <definedName name="CI_RC_Measures" localSheetId="40">'[19]BenCost Input Summary'!#REF!</definedName>
    <definedName name="CI_RC_Measures" localSheetId="42">'[19]BenCost Input Summary'!#REF!</definedName>
    <definedName name="CI_RC_Measures" localSheetId="43">'[19]BenCost Input Summary'!#REF!</definedName>
    <definedName name="CI_RC_Measures" localSheetId="44">'[19]BenCost Input Summary'!#REF!</definedName>
    <definedName name="CI_RC_Measures" localSheetId="41">'[19]BenCost Input Summary'!#REF!</definedName>
    <definedName name="CI_RC_Measures" localSheetId="52">'[19]BenCost Input Summary'!#REF!</definedName>
    <definedName name="CI_RC_Measures" localSheetId="53">'[19]BenCost Input Summary'!#REF!</definedName>
    <definedName name="CI_RC_Measures" localSheetId="48">'[19]BenCost Input Summary'!#REF!</definedName>
    <definedName name="CI_RC_Measures" localSheetId="50">'[19]BenCost Input Summary'!#REF!</definedName>
    <definedName name="CI_RC_Measures" localSheetId="51">'[19]BenCost Input Summary'!#REF!</definedName>
    <definedName name="CI_RC_Measures" localSheetId="55">'[19]BenCost Input Summary'!#REF!</definedName>
    <definedName name="CI_RC_Measures" localSheetId="57">'[19]BenCost Input Summary'!#REF!</definedName>
    <definedName name="CI_RC_Measures" localSheetId="29">'[19]BenCost Input Summary'!#REF!</definedName>
    <definedName name="CI_RC_Measures" localSheetId="31">'[19]BenCost Input Summary'!#REF!</definedName>
    <definedName name="CI_RC_Measures" localSheetId="32">'[19]BenCost Input Summary'!#REF!</definedName>
    <definedName name="CI_RC_Measures" localSheetId="36">'[19]BenCost Input Summary'!#REF!</definedName>
    <definedName name="CI_RC_Measures" localSheetId="17">'[19]BenCost Input Summary'!#REF!</definedName>
    <definedName name="CI_RC_Measures" localSheetId="19">'[19]BenCost Input Summary'!#REF!</definedName>
    <definedName name="CI_RC_Measures" localSheetId="18">'[19]BenCost Input Summary'!#REF!</definedName>
    <definedName name="CI_RC_Measures" localSheetId="15">'[19]BenCost Input Summary'!#REF!</definedName>
    <definedName name="CI_RC_Measures" localSheetId="20">'[19]BenCost Input Summary'!#REF!</definedName>
    <definedName name="CI_RC_Measures" localSheetId="22">'[19]BenCost Input Summary'!#REF!</definedName>
    <definedName name="CI_RC_Measures" localSheetId="21">'[19]BenCost Input Summary'!#REF!</definedName>
    <definedName name="CI_RC_Measures" localSheetId="34">'[19]BenCost Input Summary'!#REF!</definedName>
    <definedName name="CI_RC_Measures" localSheetId="9">'[19]BenCost Input Summary'!#REF!</definedName>
    <definedName name="CI_RC_Measures" localSheetId="2">'[21]BenCost Input Summary'!#REF!</definedName>
    <definedName name="CI_RC_Measures">'[20]BenCost Input Summary'!#REF!</definedName>
    <definedName name="ci_rc_total" localSheetId="25">'[19]BenCost Input Summary'!#REF!</definedName>
    <definedName name="ci_rc_total" localSheetId="28">'[19]BenCost Input Summary'!#REF!</definedName>
    <definedName name="ci_rc_total" localSheetId="24">'[19]BenCost Input Summary'!#REF!</definedName>
    <definedName name="ci_rc_total" localSheetId="27">'[19]BenCost Input Summary'!#REF!</definedName>
    <definedName name="ci_rc_total" localSheetId="30">'[19]BenCost Input Summary'!#REF!</definedName>
    <definedName name="ci_rc_total" localSheetId="33">'[19]BenCost Input Summary'!#REF!</definedName>
    <definedName name="ci_rc_total" localSheetId="35">'[19]BenCost Input Summary'!#REF!</definedName>
    <definedName name="ci_rc_total" localSheetId="45">'[19]BenCost Input Summary'!#REF!</definedName>
    <definedName name="ci_rc_total" localSheetId="46">'[19]BenCost Input Summary'!#REF!</definedName>
    <definedName name="ci_rc_total" localSheetId="37">'[19]BenCost Input Summary'!#REF!</definedName>
    <definedName name="ci_rc_total" localSheetId="38">'[19]BenCost Input Summary'!#REF!</definedName>
    <definedName name="ci_rc_total" localSheetId="39">'[19]BenCost Input Summary'!#REF!</definedName>
    <definedName name="ci_rc_total" localSheetId="40">'[19]BenCost Input Summary'!#REF!</definedName>
    <definedName name="ci_rc_total" localSheetId="42">'[19]BenCost Input Summary'!#REF!</definedName>
    <definedName name="ci_rc_total" localSheetId="43">'[19]BenCost Input Summary'!#REF!</definedName>
    <definedName name="ci_rc_total" localSheetId="44">'[19]BenCost Input Summary'!#REF!</definedName>
    <definedName name="ci_rc_total" localSheetId="41">'[19]BenCost Input Summary'!#REF!</definedName>
    <definedName name="ci_rc_total" localSheetId="52">'[19]BenCost Input Summary'!#REF!</definedName>
    <definedName name="ci_rc_total" localSheetId="53">'[19]BenCost Input Summary'!#REF!</definedName>
    <definedName name="ci_rc_total" localSheetId="48">'[19]BenCost Input Summary'!#REF!</definedName>
    <definedName name="ci_rc_total" localSheetId="50">'[19]BenCost Input Summary'!#REF!</definedName>
    <definedName name="ci_rc_total" localSheetId="51">'[19]BenCost Input Summary'!#REF!</definedName>
    <definedName name="ci_rc_total" localSheetId="55">'[19]BenCost Input Summary'!#REF!</definedName>
    <definedName name="ci_rc_total" localSheetId="57">'[19]BenCost Input Summary'!#REF!</definedName>
    <definedName name="ci_rc_total" localSheetId="29">'[19]BenCost Input Summary'!#REF!</definedName>
    <definedName name="ci_rc_total" localSheetId="31">'[19]BenCost Input Summary'!#REF!</definedName>
    <definedName name="ci_rc_total" localSheetId="32">'[19]BenCost Input Summary'!#REF!</definedName>
    <definedName name="ci_rc_total" localSheetId="36">'[19]BenCost Input Summary'!#REF!</definedName>
    <definedName name="ci_rc_total" localSheetId="17">'[19]BenCost Input Summary'!#REF!</definedName>
    <definedName name="ci_rc_total" localSheetId="19">'[19]BenCost Input Summary'!#REF!</definedName>
    <definedName name="ci_rc_total" localSheetId="18">'[19]BenCost Input Summary'!#REF!</definedName>
    <definedName name="ci_rc_total" localSheetId="15">'[19]BenCost Input Summary'!#REF!</definedName>
    <definedName name="ci_rc_total" localSheetId="20">'[19]BenCost Input Summary'!#REF!</definedName>
    <definedName name="ci_rc_total" localSheetId="22">'[19]BenCost Input Summary'!#REF!</definedName>
    <definedName name="ci_rc_total" localSheetId="21">'[19]BenCost Input Summary'!#REF!</definedName>
    <definedName name="ci_rc_total" localSheetId="34">'[19]BenCost Input Summary'!#REF!</definedName>
    <definedName name="ci_rc_total" localSheetId="9">'[19]BenCost Input Summary'!#REF!</definedName>
    <definedName name="ci_rc_total" localSheetId="2">'[21]BenCost Input Summary'!#REF!</definedName>
    <definedName name="ci_rc_total">'[20]BenCost Input Summary'!#REF!</definedName>
    <definedName name="Cnfg_ScrnToolbar" localSheetId="11">[23]Config!#REF!</definedName>
    <definedName name="Cnfg_ScrnToolbar" localSheetId="8">[24]Config!#REF!</definedName>
    <definedName name="Cnfg_ScrnToolbar" localSheetId="13">[23]Config!#REF!</definedName>
    <definedName name="Cnfg_ScrnToolbar">[23]Config!#REF!</definedName>
    <definedName name="Coincidence" localSheetId="8">'[25]Gen Inputs'!$B$24</definedName>
    <definedName name="Coincidence">'[26]Gen Inputs'!$B$24</definedName>
    <definedName name="Coincidence_Summer" localSheetId="11">'[26]AEG Bencost Pricing Inputs'!#REF!</definedName>
    <definedName name="Coincidence_Summer" localSheetId="8">'[25]AEG Bencost Pricing Inputs'!#REF!</definedName>
    <definedName name="Coincidence_Summer" localSheetId="13">'[26]AEG Bencost Pricing Inputs'!#REF!</definedName>
    <definedName name="Coincidence_Summer">'[26]AEG Bencost Pricing Inputs'!#REF!</definedName>
    <definedName name="Coincidence_Winter" localSheetId="11">'[26]AEG Bencost Pricing Inputs'!#REF!</definedName>
    <definedName name="Coincidence_Winter" localSheetId="8">'[25]AEG Bencost Pricing Inputs'!#REF!</definedName>
    <definedName name="Coincidence_Winter" localSheetId="13">'[26]AEG Bencost Pricing Inputs'!#REF!</definedName>
    <definedName name="Coincidence_Winter">'[26]AEG Bencost Pricing Inputs'!#REF!</definedName>
    <definedName name="commodity_cost" localSheetId="35">'[27]GENERAL INPUTS'!$B$17</definedName>
    <definedName name="commodity_cost" localSheetId="15">'[27]GENERAL INPUTS'!$B$17</definedName>
    <definedName name="commodity_cost" localSheetId="34">'[27]GENERAL INPUTS'!$B$17</definedName>
    <definedName name="commodity_cost" localSheetId="9">'[27]GENERAL INPUTS'!$B$17</definedName>
    <definedName name="commodity_cost">'[28]GENERAL INPUTS'!$B$17</definedName>
    <definedName name="Commodity_Cost_annual" localSheetId="11">'[26]Gen Inputs'!#REF!</definedName>
    <definedName name="Commodity_Cost_annual" localSheetId="8">'[25]Gen Inputs'!#REF!</definedName>
    <definedName name="Commodity_Cost_annual" localSheetId="13">'[26]Gen Inputs'!#REF!</definedName>
    <definedName name="Commodity_Cost_annual">'[26]Gen Inputs'!#REF!</definedName>
    <definedName name="Commodity_Cost_summer" localSheetId="8">'[25]Gen Inputs'!#REF!</definedName>
    <definedName name="Commodity_Cost_summer" localSheetId="13">'[26]Gen Inputs'!#REF!</definedName>
    <definedName name="Commodity_Cost_summer">'[26]Gen Inputs'!#REF!</definedName>
    <definedName name="Commodity_Cost_winter" localSheetId="8">'[25]Gen Inputs'!#REF!</definedName>
    <definedName name="Commodity_Cost_winter" localSheetId="13">'[26]Gen Inputs'!#REF!</definedName>
    <definedName name="Commodity_Cost_winter">'[26]Gen Inputs'!#REF!</definedName>
    <definedName name="company_name" localSheetId="11">#REF!</definedName>
    <definedName name="company_name" localSheetId="8">#REF!</definedName>
    <definedName name="company_name" localSheetId="13">#REF!</definedName>
    <definedName name="company_name">#REF!</definedName>
    <definedName name="CompCustomRetro" localSheetId="8">'[25]AEG Bencost Pricing Inputs'!$D$48</definedName>
    <definedName name="CompCustomRetro">'[26]AEG Bencost Pricing Inputs'!$D$48</definedName>
    <definedName name="CoolHomes" localSheetId="11">#REF!</definedName>
    <definedName name="CoolHomes" localSheetId="8">#REF!</definedName>
    <definedName name="CoolHomes" localSheetId="13">#REF!</definedName>
    <definedName name="CoolHomes">#REF!</definedName>
    <definedName name="CT">#REF!</definedName>
    <definedName name="Currency" localSheetId="8">'[29]Screening Info'!$F$18</definedName>
    <definedName name="Currency">'[30]Screening Info'!$F$18</definedName>
    <definedName name="customer_sector" localSheetId="11">#REF!</definedName>
    <definedName name="customer_sector" localSheetId="8">#REF!</definedName>
    <definedName name="customer_sector" localSheetId="13">#REF!</definedName>
    <definedName name="customer_sector">#REF!</definedName>
    <definedName name="CustomerRateCode" localSheetId="8">'[25]AEG Bencost Pricing Inputs'!$D$114</definedName>
    <definedName name="CustomerRateCode">'[26]AEG Bencost Pricing Inputs'!$D$114</definedName>
    <definedName name="CustomNew" localSheetId="11">#REF!</definedName>
    <definedName name="CustomNew" localSheetId="8">#REF!</definedName>
    <definedName name="CustomNew" localSheetId="13">#REF!</definedName>
    <definedName name="CustomNew">#REF!</definedName>
    <definedName name="CustomRetrofit" localSheetId="8">#REF!</definedName>
    <definedName name="CustomRetrofit" localSheetId="13">#REF!</definedName>
    <definedName name="CustomRetrofit">#REF!</definedName>
    <definedName name="Demand_Cost" localSheetId="11">'[26]Gen Inputs'!#REF!</definedName>
    <definedName name="demand_cost" localSheetId="35">'[27]GENERAL INPUTS'!$B$19</definedName>
    <definedName name="demand_cost" localSheetId="15">'[27]GENERAL INPUTS'!$B$19</definedName>
    <definedName name="demand_cost" localSheetId="34">'[27]GENERAL INPUTS'!$B$19</definedName>
    <definedName name="demand_cost" localSheetId="9">'[27]GENERAL INPUTS'!$B$19</definedName>
    <definedName name="Demand_Cost" localSheetId="8">'[25]Gen Inputs'!#REF!</definedName>
    <definedName name="Demand_Cost" localSheetId="13">'[26]Gen Inputs'!#REF!</definedName>
    <definedName name="demand_cost">'[28]GENERAL INPUTS'!$B$19</definedName>
    <definedName name="Demand_NTG" localSheetId="8">'[25]Gen Inputs'!$B$29</definedName>
    <definedName name="Demand_NTG">'[26]Gen Inputs'!$B$29</definedName>
    <definedName name="DemandUnits" localSheetId="8">'[29]Screening Info'!$L$13</definedName>
    <definedName name="DemandUnits">'[30]Screening Info'!$L$13</definedName>
    <definedName name="DHWFuel">#REF!</definedName>
    <definedName name="discount_rate" localSheetId="10">'[31]General Inputs'!$C$5</definedName>
    <definedName name="discount_rate">'[32]General Inputs'!$C$5</definedName>
    <definedName name="DiscountRate" localSheetId="11">'[22]PY9 General Inputs'!$B$3</definedName>
    <definedName name="DiscountRate" localSheetId="8">'[22]PY9 General Inputs'!$B$3</definedName>
    <definedName name="DiscountRate" localSheetId="13">'[22]PY9 General Inputs'!$B$3</definedName>
    <definedName name="DiscountRate">'[33]PY9 General Inputs'!$B$3</definedName>
    <definedName name="DiscountRate_NorthShore" localSheetId="8">'[34]General Inputs'!$C$11</definedName>
    <definedName name="DiscountRate_NorthShore">'[35]General Inputs'!$C$11</definedName>
    <definedName name="DiscountRate_Peoples" localSheetId="8">'[34]General Inputs'!$B$11</definedName>
    <definedName name="DiscountRate_Peoples">'[35]General Inputs'!$B$11</definedName>
    <definedName name="DiscountRatePCT" localSheetId="11">'[17]General Inputs'!$B$9</definedName>
    <definedName name="DiscountRatePCT" localSheetId="13">'[17]General Inputs'!$B$9</definedName>
    <definedName name="DiscountRatePCT">'[18]General Inputs'!$B$9</definedName>
    <definedName name="DiscountRateRIM" localSheetId="11">'[17]General Inputs'!$B$10</definedName>
    <definedName name="DiscountRateRIM" localSheetId="13">'[17]General Inputs'!$B$10</definedName>
    <definedName name="DiscountRateRIM">'[18]General Inputs'!$B$10</definedName>
    <definedName name="DiscountRateSCT" localSheetId="11">'[17]General Inputs'!$B$8</definedName>
    <definedName name="DiscountRateSCT" localSheetId="13">'[17]General Inputs'!$B$8</definedName>
    <definedName name="DiscountRateSCT">'[18]General Inputs'!$B$8</definedName>
    <definedName name="DiscountRateTRC" localSheetId="11">'[17]General Inputs'!$B$6</definedName>
    <definedName name="DiscountRateTRC" localSheetId="13">'[17]General Inputs'!$B$6</definedName>
    <definedName name="DiscountRateTRC">'[18]General Inputs'!$B$6</definedName>
    <definedName name="DiscountRateUCT" localSheetId="11">'[17]General Inputs'!$B$7</definedName>
    <definedName name="DiscountRateUCT" localSheetId="13">'[17]General Inputs'!$B$7</definedName>
    <definedName name="DiscountRateUCT">'[18]General Inputs'!$B$7</definedName>
    <definedName name="E_Commodity_Cost_annual" localSheetId="58">'[36]E-General Inputs'!$B$20</definedName>
    <definedName name="E_Commodity_Cost_annual" localSheetId="8">'[37]E-General Inputs'!$B$20</definedName>
    <definedName name="E_Commodity_Cost_annual">'[38]E-General Inputs'!$B$20</definedName>
    <definedName name="E_Commodity_Cost_summer" localSheetId="11">#REF!</definedName>
    <definedName name="E_Commodity_Cost_summer" localSheetId="8">#REF!</definedName>
    <definedName name="E_Commodity_Cost_summer" localSheetId="13">#REF!</definedName>
    <definedName name="E_Commodity_Cost_summer">#REF!</definedName>
    <definedName name="E_Commodity_Cost_winter" localSheetId="8">#REF!</definedName>
    <definedName name="E_Commodity_Cost_winter" localSheetId="13">#REF!</definedName>
    <definedName name="E_Commodity_Cost_winter">#REF!</definedName>
    <definedName name="E_Demand_Cost" localSheetId="58">'[36]E-General Inputs'!$B$25</definedName>
    <definedName name="E_Demand_Cost" localSheetId="8">'[37]E-General Inputs'!$B$25</definedName>
    <definedName name="E_Demand_Cost">'[38]E-General Inputs'!$B$25</definedName>
    <definedName name="E_Environmental_Damage_Factor" localSheetId="58">'[36]E-General Inputs'!$B$32</definedName>
    <definedName name="E_Environmental_Damage_Factor" localSheetId="8">'[37]E-General Inputs'!$B$32</definedName>
    <definedName name="E_Environmental_Damage_Factor">'[38]E-General Inputs'!$B$32</definedName>
    <definedName name="E_Escalation_Rate" localSheetId="58">'[36]E-General Inputs'!$C$18</definedName>
    <definedName name="E_Escalation_Rate" localSheetId="8">'[37]E-General Inputs'!$C$18</definedName>
    <definedName name="E_Escalation_Rate">'[38]E-General Inputs'!$C$18</definedName>
    <definedName name="E_General_Input_Data_Year" localSheetId="58">'[36]E-General Inputs'!$B$41</definedName>
    <definedName name="E_General_Input_Data_Year" localSheetId="8">'[37]E-General Inputs'!$B$41</definedName>
    <definedName name="E_General_Input_Data_Year">'[38]E-General Inputs'!$B$41</definedName>
    <definedName name="E_Line_Losses" localSheetId="11">#REF!</definedName>
    <definedName name="E_Line_Losses" localSheetId="8">#REF!</definedName>
    <definedName name="E_Line_Losses" localSheetId="13">#REF!</definedName>
    <definedName name="E_Line_Losses">#REF!</definedName>
    <definedName name="E_Participant_Discount_Rate" localSheetId="58">'[36]E-General Inputs'!$B$35</definedName>
    <definedName name="E_Participant_Discount_Rate" localSheetId="8">'[37]E-General Inputs'!$B$35</definedName>
    <definedName name="E_Participant_Discount_Rate">'[38]E-General Inputs'!$B$35</definedName>
    <definedName name="E_Project_Analysis_Year_1" localSheetId="58">'[36]E-General Inputs'!$B$43</definedName>
    <definedName name="E_Project_Analysis_Year_1" localSheetId="8">'[37]E-General Inputs'!$B$43</definedName>
    <definedName name="E_Project_Analysis_Year_1">'[38]E-General Inputs'!$B$43</definedName>
    <definedName name="E_Retail_Rate_commercial" localSheetId="11">#REF!</definedName>
    <definedName name="E_Retail_Rate_commercial" localSheetId="8">#REF!</definedName>
    <definedName name="E_Retail_Rate_commercial" localSheetId="13">#REF!</definedName>
    <definedName name="E_Retail_Rate_commercial">#REF!</definedName>
    <definedName name="E_Retail_Rate_residential" localSheetId="58">'[36]E-General Inputs'!$B$11</definedName>
    <definedName name="E_Retail_Rate_residential" localSheetId="8">'[37]E-General Inputs'!$B$11</definedName>
    <definedName name="E_Retail_Rate_residential">'[38]E-General Inputs'!$B$11</definedName>
    <definedName name="E_Social_Discount_Rate" localSheetId="58">'[36]E-General Inputs'!$B$39</definedName>
    <definedName name="E_Social_Discount_Rate" localSheetId="8">'[37]E-General Inputs'!$B$39</definedName>
    <definedName name="E_Social_Discount_Rate">'[38]E-General Inputs'!$B$39</definedName>
    <definedName name="E_Utility_Discount_Rate" localSheetId="58">'[36]E-General Inputs'!$B$37</definedName>
    <definedName name="E_Utility_Discount_Rate" localSheetId="8">'[37]E-General Inputs'!$B$37</definedName>
    <definedName name="E_Utility_Discount_Rate">'[38]E-General Inputs'!$B$37</definedName>
    <definedName name="E_Variable_O_M" localSheetId="58">'[36]E-General Inputs'!$B$29</definedName>
    <definedName name="E_Variable_O_M" localSheetId="8">'[37]E-General Inputs'!$B$29</definedName>
    <definedName name="E_Variable_O_M">'[38]E-General Inputs'!$B$29</definedName>
    <definedName name="ebdebtratio" localSheetId="8">'[39]Electric Factors'!$G$43</definedName>
    <definedName name="ebdebtratio">'[40]Electric Factors'!$G$43</definedName>
    <definedName name="ElecDualList">'[41]Inputs and Calculations'!$D$391:$D$455</definedName>
    <definedName name="ElecElecList">'[41]Inputs and Calculations'!$D$206:$D$386</definedName>
    <definedName name="ElecIncentPivotTbl" localSheetId="25">#REF!</definedName>
    <definedName name="ElecIncentPivotTbl" localSheetId="28">#REF!</definedName>
    <definedName name="ElecIncentPivotTbl" localSheetId="24">#REF!</definedName>
    <definedName name="ElecIncentPivotTbl" localSheetId="27">#REF!</definedName>
    <definedName name="ElecIncentPivotTbl" localSheetId="30">#REF!</definedName>
    <definedName name="ElecIncentPivotTbl" localSheetId="33">#REF!</definedName>
    <definedName name="ElecIncentPivotTbl" localSheetId="35">#REF!</definedName>
    <definedName name="ElecIncentPivotTbl" localSheetId="45">#REF!</definedName>
    <definedName name="ElecIncentPivotTbl" localSheetId="46">#REF!</definedName>
    <definedName name="ElecIncentPivotTbl" localSheetId="37">#REF!</definedName>
    <definedName name="ElecIncentPivotTbl" localSheetId="38">#REF!</definedName>
    <definedName name="ElecIncentPivotTbl" localSheetId="39">#REF!</definedName>
    <definedName name="ElecIncentPivotTbl" localSheetId="40">#REF!</definedName>
    <definedName name="ElecIncentPivotTbl" localSheetId="42">#REF!</definedName>
    <definedName name="ElecIncentPivotTbl" localSheetId="43">#REF!</definedName>
    <definedName name="ElecIncentPivotTbl" localSheetId="44">#REF!</definedName>
    <definedName name="ElecIncentPivotTbl" localSheetId="41">#REF!</definedName>
    <definedName name="ElecIncentPivotTbl" localSheetId="52">#REF!</definedName>
    <definedName name="ElecIncentPivotTbl" localSheetId="53">#REF!</definedName>
    <definedName name="ElecIncentPivotTbl" localSheetId="48">#REF!</definedName>
    <definedName name="ElecIncentPivotTbl" localSheetId="50">#REF!</definedName>
    <definedName name="ElecIncentPivotTbl" localSheetId="51">#REF!</definedName>
    <definedName name="ElecIncentPivotTbl" localSheetId="55">#REF!</definedName>
    <definedName name="ElecIncentPivotTbl" localSheetId="57">#REF!</definedName>
    <definedName name="ElecIncentPivotTbl" localSheetId="29">#REF!</definedName>
    <definedName name="ElecIncentPivotTbl" localSheetId="31">#REF!</definedName>
    <definedName name="ElecIncentPivotTbl" localSheetId="32">#REF!</definedName>
    <definedName name="ElecIncentPivotTbl" localSheetId="36">#REF!</definedName>
    <definedName name="ElecIncentPivotTbl" localSheetId="17">#REF!</definedName>
    <definedName name="ElecIncentPivotTbl" localSheetId="19">#REF!</definedName>
    <definedName name="ElecIncentPivotTbl" localSheetId="18">#REF!</definedName>
    <definedName name="ElecIncentPivotTbl" localSheetId="58">#REF!</definedName>
    <definedName name="ElecIncentPivotTbl" localSheetId="15">#REF!</definedName>
    <definedName name="ElecIncentPivotTbl" localSheetId="20">#REF!</definedName>
    <definedName name="ElecIncentPivotTbl" localSheetId="22">#REF!</definedName>
    <definedName name="ElecIncentPivotTbl" localSheetId="21">#REF!</definedName>
    <definedName name="ElecIncentPivotTbl" localSheetId="34">#REF!</definedName>
    <definedName name="ElecIncentPivotTbl" localSheetId="8">#REF!</definedName>
    <definedName name="ElecIncentPivotTbl" localSheetId="2">#REF!</definedName>
    <definedName name="ElecIncentPivotTbl" localSheetId="13">#REF!</definedName>
    <definedName name="ElecIncentPivotTbl">#REF!</definedName>
    <definedName name="Electric_Commodity_Cost" localSheetId="8">#REF!</definedName>
    <definedName name="Electric_Commodity_Cost" localSheetId="13">#REF!</definedName>
    <definedName name="Electric_Commodity_Cost">#REF!</definedName>
    <definedName name="Electric_Demand_Cost" localSheetId="8">#REF!</definedName>
    <definedName name="Electric_Demand_Cost" localSheetId="13">#REF!</definedName>
    <definedName name="Electric_Demand_Cost">#REF!</definedName>
    <definedName name="Electric_Line_Loss" localSheetId="8">'[34]General Inputs'!$B$5</definedName>
    <definedName name="Electric_Line_Loss">'[35]General Inputs'!$B$5</definedName>
    <definedName name="Electric_NonRes_Rate" localSheetId="8">'[34]General Inputs'!$B$20</definedName>
    <definedName name="Electric_NonRes_Rate">'[35]General Inputs'!$B$20</definedName>
    <definedName name="Electric_Res_Rate" localSheetId="8">'[34]General Inputs'!$B$19</definedName>
    <definedName name="Electric_Res_Rate">'[35]General Inputs'!$B$19</definedName>
    <definedName name="ENERGY_LineLoss">'[31]General Inputs'!$C$6</definedName>
    <definedName name="Energy_NTG" localSheetId="8">'[25]Gen Inputs'!$B$28</definedName>
    <definedName name="Energy_NTG">'[26]Gen Inputs'!$B$28</definedName>
    <definedName name="EnergyLineLoss" localSheetId="11">'[17]General Inputs'!$B$12</definedName>
    <definedName name="EnergyLineLoss" localSheetId="8">'[22]PY9 General Inputs'!$B$5</definedName>
    <definedName name="EnergyLineLoss" localSheetId="13">'[17]General Inputs'!$B$12</definedName>
    <definedName name="EnergyLineLoss">'[18]General Inputs'!$B$12</definedName>
    <definedName name="EnergyUnits" localSheetId="8">'[29]Screening Info'!$L$12</definedName>
    <definedName name="EnergyUnits">'[30]Screening Info'!$L$12</definedName>
    <definedName name="Environmental_Damage_Factor" localSheetId="11">'[26]Gen Inputs'!#REF!</definedName>
    <definedName name="Environmental_Damage_Factor" localSheetId="8">'[25]Gen Inputs'!#REF!</definedName>
    <definedName name="Environmental_Damage_Factor" localSheetId="13">'[26]Gen Inputs'!#REF!</definedName>
    <definedName name="Environmental_Damage_Factor">'[26]Gen Inputs'!#REF!</definedName>
    <definedName name="Environmental_Electric" localSheetId="8">'[34]General Inputs'!$B$23</definedName>
    <definedName name="Environmental_Electric">'[35]General Inputs'!$B$23</definedName>
    <definedName name="Environmental_Gas" localSheetId="8">'[34]General Inputs'!$B$24</definedName>
    <definedName name="Environmental_Gas">'[35]General Inputs'!$B$24</definedName>
    <definedName name="erevchg" localSheetId="8">'[42]Revenue Requirements'!$E$22</definedName>
    <definedName name="erevchg">'[43]Revenue Requirements'!$E$22</definedName>
    <definedName name="ERORB" localSheetId="8">'[11]WACC &amp; IT'!$I$25</definedName>
    <definedName name="ERORB">'[10]WACC &amp; IT'!$I$25</definedName>
    <definedName name="Escalation_Rate" localSheetId="11">'[26]Gen Inputs'!$C$10</definedName>
    <definedName name="escalation_rate" localSheetId="35">'[27]GENERAL INPUTS'!$D$11</definedName>
    <definedName name="escalation_rate" localSheetId="15">'[27]GENERAL INPUTS'!$D$11</definedName>
    <definedName name="escalation_rate" localSheetId="34">'[27]GENERAL INPUTS'!$D$11</definedName>
    <definedName name="escalation_rate" localSheetId="9">'[27]GENERAL INPUTS'!$D$11</definedName>
    <definedName name="Escalation_Rate" localSheetId="8">'[25]Gen Inputs'!$C$10</definedName>
    <definedName name="Escalation_Rate" localSheetId="13">'[26]Gen Inputs'!$C$10</definedName>
    <definedName name="escalation_rate">'[28]GENERAL INPUTS'!$D$11</definedName>
    <definedName name="ESourceBTU_kWh" localSheetId="35">'[44]General Inputs'!$E$26</definedName>
    <definedName name="ESourceBTU_kWh" localSheetId="15">'[44]General Inputs'!$E$26</definedName>
    <definedName name="ESourceBTU_kWh" localSheetId="34">'[44]General Inputs'!$E$26</definedName>
    <definedName name="ESourceBTU_kWh" localSheetId="9">'[44]General Inputs'!$E$26</definedName>
    <definedName name="ESourceBTU_kWh">'[45]General Inputs'!$E$26</definedName>
    <definedName name="ESysLoss" localSheetId="35">'[44]General Inputs'!$E$24</definedName>
    <definedName name="ESysLoss" localSheetId="15">'[44]General Inputs'!$E$24</definedName>
    <definedName name="ESysLoss" localSheetId="34">'[44]General Inputs'!$E$24</definedName>
    <definedName name="ESysLoss" localSheetId="9">'[44]General Inputs'!$E$24</definedName>
    <definedName name="ESysLoss">'[45]General Inputs'!$E$24</definedName>
    <definedName name="EWGHTDEBT" localSheetId="8">'[11]WACC &amp; IT'!$I$21</definedName>
    <definedName name="EWGHTDEBT">'[10]WACC &amp; IT'!$I$21</definedName>
    <definedName name="Ex_Ante_kW" localSheetId="11">#REF!</definedName>
    <definedName name="Ex_Ante_kW" localSheetId="25">#REF!</definedName>
    <definedName name="Ex_Ante_kW" localSheetId="28">#REF!</definedName>
    <definedName name="Ex_Ante_kW" localSheetId="24">#REF!</definedName>
    <definedName name="Ex_Ante_kW" localSheetId="27">#REF!</definedName>
    <definedName name="Ex_Ante_kW" localSheetId="30">#REF!</definedName>
    <definedName name="Ex_Ante_kW" localSheetId="33">#REF!</definedName>
    <definedName name="Ex_Ante_kW" localSheetId="35">#REF!</definedName>
    <definedName name="Ex_Ante_kW" localSheetId="45">#REF!</definedName>
    <definedName name="Ex_Ante_kW" localSheetId="46">#REF!</definedName>
    <definedName name="Ex_Ante_kW" localSheetId="37">#REF!</definedName>
    <definedName name="Ex_Ante_kW" localSheetId="38">#REF!</definedName>
    <definedName name="Ex_Ante_kW" localSheetId="39">#REF!</definedName>
    <definedName name="Ex_Ante_kW" localSheetId="40">#REF!</definedName>
    <definedName name="Ex_Ante_kW" localSheetId="42">#REF!</definedName>
    <definedName name="Ex_Ante_kW" localSheetId="43">#REF!</definedName>
    <definedName name="Ex_Ante_kW" localSheetId="44">#REF!</definedName>
    <definedName name="Ex_Ante_kW" localSheetId="41">#REF!</definedName>
    <definedName name="Ex_Ante_kW" localSheetId="52">#REF!</definedName>
    <definedName name="Ex_Ante_kW" localSheetId="53">#REF!</definedName>
    <definedName name="Ex_Ante_kW" localSheetId="48">#REF!</definedName>
    <definedName name="Ex_Ante_kW" localSheetId="50">#REF!</definedName>
    <definedName name="Ex_Ante_kW" localSheetId="51">#REF!</definedName>
    <definedName name="Ex_Ante_kW" localSheetId="55">#REF!</definedName>
    <definedName name="Ex_Ante_kW" localSheetId="57">#REF!</definedName>
    <definedName name="Ex_Ante_kW" localSheetId="29">#REF!</definedName>
    <definedName name="Ex_Ante_kW" localSheetId="31">#REF!</definedName>
    <definedName name="Ex_Ante_kW" localSheetId="32">#REF!</definedName>
    <definedName name="Ex_Ante_kW" localSheetId="36">#REF!</definedName>
    <definedName name="Ex_Ante_kW" localSheetId="17">#REF!</definedName>
    <definedName name="Ex_Ante_kW" localSheetId="19">#REF!</definedName>
    <definedName name="Ex_Ante_kW" localSheetId="18">#REF!</definedName>
    <definedName name="Ex_Ante_kW" localSheetId="58">#REF!</definedName>
    <definedName name="Ex_Ante_kW" localSheetId="15">#REF!</definedName>
    <definedName name="Ex_Ante_kW" localSheetId="20">#REF!</definedName>
    <definedName name="Ex_Ante_kW" localSheetId="22">#REF!</definedName>
    <definedName name="Ex_Ante_kW" localSheetId="21">#REF!</definedName>
    <definedName name="Ex_Ante_kW" localSheetId="34">#REF!</definedName>
    <definedName name="Ex_Ante_kW" localSheetId="8">#REF!</definedName>
    <definedName name="Ex_Ante_kW" localSheetId="2">#REF!</definedName>
    <definedName name="Ex_Ante_kW" localSheetId="13">#REF!</definedName>
    <definedName name="Ex_Ante_kW">#REF!</definedName>
    <definedName name="Ex_ante_kWh" localSheetId="25">#REF!</definedName>
    <definedName name="Ex_ante_kWh" localSheetId="28">#REF!</definedName>
    <definedName name="Ex_ante_kWh" localSheetId="24">#REF!</definedName>
    <definedName name="Ex_ante_kWh" localSheetId="27">#REF!</definedName>
    <definedName name="Ex_ante_kWh" localSheetId="30">#REF!</definedName>
    <definedName name="Ex_ante_kWh" localSheetId="33">#REF!</definedName>
    <definedName name="Ex_ante_kWh" localSheetId="35">#REF!</definedName>
    <definedName name="Ex_ante_kWh" localSheetId="45">#REF!</definedName>
    <definedName name="Ex_ante_kWh" localSheetId="46">#REF!</definedName>
    <definedName name="Ex_ante_kWh" localSheetId="37">#REF!</definedName>
    <definedName name="Ex_ante_kWh" localSheetId="38">#REF!</definedName>
    <definedName name="Ex_ante_kWh" localSheetId="39">#REF!</definedName>
    <definedName name="Ex_ante_kWh" localSheetId="40">#REF!</definedName>
    <definedName name="Ex_ante_kWh" localSheetId="42">#REF!</definedName>
    <definedName name="Ex_ante_kWh" localSheetId="43">#REF!</definedName>
    <definedName name="Ex_ante_kWh" localSheetId="44">#REF!</definedName>
    <definedName name="Ex_ante_kWh" localSheetId="41">#REF!</definedName>
    <definedName name="Ex_ante_kWh" localSheetId="52">#REF!</definedName>
    <definedName name="Ex_ante_kWh" localSheetId="53">#REF!</definedName>
    <definedName name="Ex_ante_kWh" localSheetId="48">#REF!</definedName>
    <definedName name="Ex_ante_kWh" localSheetId="50">#REF!</definedName>
    <definedName name="Ex_ante_kWh" localSheetId="51">#REF!</definedName>
    <definedName name="Ex_ante_kWh" localSheetId="55">#REF!</definedName>
    <definedName name="Ex_ante_kWh" localSheetId="57">#REF!</definedName>
    <definedName name="Ex_ante_kWh" localSheetId="29">#REF!</definedName>
    <definedName name="Ex_ante_kWh" localSheetId="31">#REF!</definedName>
    <definedName name="Ex_ante_kWh" localSheetId="32">#REF!</definedName>
    <definedName name="Ex_ante_kWh" localSheetId="36">#REF!</definedName>
    <definedName name="Ex_ante_kWh" localSheetId="17">#REF!</definedName>
    <definedName name="Ex_ante_kWh" localSheetId="19">#REF!</definedName>
    <definedName name="Ex_ante_kWh" localSheetId="18">#REF!</definedName>
    <definedName name="Ex_ante_kWh" localSheetId="58">#REF!</definedName>
    <definedName name="Ex_ante_kWh" localSheetId="15">#REF!</definedName>
    <definedName name="Ex_ante_kWh" localSheetId="20">#REF!</definedName>
    <definedName name="Ex_ante_kWh" localSheetId="22">#REF!</definedName>
    <definedName name="Ex_ante_kWh" localSheetId="21">#REF!</definedName>
    <definedName name="Ex_ante_kWh" localSheetId="34">#REF!</definedName>
    <definedName name="Ex_ante_kWh" localSheetId="8">#REF!</definedName>
    <definedName name="Ex_ante_kWh" localSheetId="2">#REF!</definedName>
    <definedName name="Ex_ante_kWh" localSheetId="13">#REF!</definedName>
    <definedName name="Ex_ante_kWh">#REF!</definedName>
    <definedName name="Fan">#REF!</definedName>
    <definedName name="FedTax" localSheetId="8">'[11]WACC &amp; IT'!#REF!</definedName>
    <definedName name="FedTax" localSheetId="13">'[10]WACC &amp; IT'!#REF!</definedName>
    <definedName name="FedTax">'[10]WACC &amp; IT'!#REF!</definedName>
    <definedName name="first_year" localSheetId="11">#REF!</definedName>
    <definedName name="first_year" localSheetId="8">#REF!</definedName>
    <definedName name="first_year" localSheetId="13">#REF!</definedName>
    <definedName name="first_year">#REF!</definedName>
    <definedName name="Fossil" localSheetId="8">#REF!</definedName>
    <definedName name="Fossil" localSheetId="13">#REF!</definedName>
    <definedName name="Fossil">#REF!</definedName>
    <definedName name="G_Commodity_Cost_annual" localSheetId="8">'[46]G-General Inputs'!$B$20</definedName>
    <definedName name="G_Commodity_Cost_annual">'[47]G-General Inputs'!$B$20</definedName>
    <definedName name="G_Commodity_Cost_summer" localSheetId="11">#REF!</definedName>
    <definedName name="G_Commodity_Cost_summer" localSheetId="8">#REF!</definedName>
    <definedName name="G_Commodity_Cost_summer" localSheetId="13">#REF!</definedName>
    <definedName name="G_Commodity_Cost_summer">#REF!</definedName>
    <definedName name="G_Commodity_Cost_winter" localSheetId="8">#REF!</definedName>
    <definedName name="G_Commodity_Cost_winter" localSheetId="13">#REF!</definedName>
    <definedName name="G_Commodity_Cost_winter">#REF!</definedName>
    <definedName name="G_Demand_Cost" localSheetId="8">'[46]G-General Inputs'!$B$25</definedName>
    <definedName name="G_Demand_Cost">'[47]G-General Inputs'!$B$25</definedName>
    <definedName name="G_Environmental_Damage_Factor" localSheetId="8">'[46]G-General Inputs'!$B$32</definedName>
    <definedName name="G_Environmental_Damage_Factor">'[47]G-General Inputs'!$B$32</definedName>
    <definedName name="G_Escalation_Rate" localSheetId="8">'[46]G-General Inputs'!$C$18</definedName>
    <definedName name="G_Escalation_Rate">'[47]G-General Inputs'!$C$18</definedName>
    <definedName name="G_General_Input_Data_Year" localSheetId="8">'[46]G-General Inputs'!$B$41</definedName>
    <definedName name="G_General_Input_Data_Year">'[47]G-General Inputs'!$B$41</definedName>
    <definedName name="G_Line_Losses" localSheetId="11">#REF!</definedName>
    <definedName name="G_Line_Losses" localSheetId="8">#REF!</definedName>
    <definedName name="G_Line_Losses" localSheetId="13">#REF!</definedName>
    <definedName name="G_Line_Losses">#REF!</definedName>
    <definedName name="G_Participant_Discount_Rate" localSheetId="8">'[46]G-General Inputs'!$B$35</definedName>
    <definedName name="G_Participant_Discount_Rate">'[47]G-General Inputs'!$B$35</definedName>
    <definedName name="G_Peak_Demand_Reduction_Factor" localSheetId="8">'[46]G-General Inputs'!$B$27</definedName>
    <definedName name="G_Peak_Demand_Reduction_Factor">'[47]G-General Inputs'!$B$27</definedName>
    <definedName name="G_Project_Analysis_Year_1" localSheetId="8">'[46]G-General Inputs'!$B$43</definedName>
    <definedName name="G_Project_Analysis_Year_1">'[47]G-General Inputs'!$B$43</definedName>
    <definedName name="G_Retail_Rate_commercial" localSheetId="8">'[46]G-General Inputs'!$B$12</definedName>
    <definedName name="G_Retail_Rate_commercial">'[47]G-General Inputs'!$B$12</definedName>
    <definedName name="G_Retail_Rate_residential" localSheetId="8">'[46]G-General Inputs'!$B$11</definedName>
    <definedName name="G_Retail_Rate_residential">'[47]G-General Inputs'!$B$11</definedName>
    <definedName name="G_Social_Discount_Rate" localSheetId="8">'[46]G-General Inputs'!$B$39</definedName>
    <definedName name="G_Social_Discount_Rate">'[47]G-General Inputs'!$B$39</definedName>
    <definedName name="G_Utility_Discount_Rate" localSheetId="8">'[46]G-General Inputs'!$B$37</definedName>
    <definedName name="G_Utility_Discount_Rate">'[47]G-General Inputs'!$B$37</definedName>
    <definedName name="G_Variable_O_M" localSheetId="8">'[46]G-General Inputs'!$B$29</definedName>
    <definedName name="G_Variable_O_M">'[47]G-General Inputs'!$B$29</definedName>
    <definedName name="gas_damage_escalation" localSheetId="35">'[27]GENERAL INPUTS'!$D$29</definedName>
    <definedName name="gas_damage_escalation" localSheetId="15">'[27]GENERAL INPUTS'!$D$29</definedName>
    <definedName name="gas_damage_escalation" localSheetId="34">'[27]GENERAL INPUTS'!$D$29</definedName>
    <definedName name="gas_damage_escalation" localSheetId="9">'[27]GENERAL INPUTS'!$D$29</definedName>
    <definedName name="gas_damage_escalation">'[28]GENERAL INPUTS'!$D$29</definedName>
    <definedName name="gas_environmental_damage" localSheetId="35">'[27]GENERAL INPUTS'!$B$29</definedName>
    <definedName name="gas_environmental_damage" localSheetId="15">'[27]GENERAL INPUTS'!$B$29</definedName>
    <definedName name="gas_environmental_damage" localSheetId="34">'[27]GENERAL INPUTS'!$B$29</definedName>
    <definedName name="gas_environmental_damage" localSheetId="9">'[27]GENERAL INPUTS'!$B$29</definedName>
    <definedName name="gas_environmental_damage">'[28]GENERAL INPUTS'!$B$29</definedName>
    <definedName name="Gas_Losses" localSheetId="11">'[17]General Inputs'!$B$16</definedName>
    <definedName name="Gas_Losses" localSheetId="8">'[22]PY9 General Inputs'!$B$8</definedName>
    <definedName name="Gas_Losses" localSheetId="13">'[17]General Inputs'!$B$16</definedName>
    <definedName name="Gas_Losses">'[18]General Inputs'!$B$16</definedName>
    <definedName name="GasDualList">'[41]Inputs and Calculations'!$D$530:$D$601</definedName>
    <definedName name="GasGasList">'[41]Inputs and Calculations'!$D$460:$D$525</definedName>
    <definedName name="General_Input_Data_Year" localSheetId="11">'[26]Gen Inputs'!$B$18</definedName>
    <definedName name="General_Input_Data_Year" localSheetId="35">'[27]GENERAL INPUTS'!$B$40</definedName>
    <definedName name="General_Input_Data_Year" localSheetId="15">'[27]GENERAL INPUTS'!$B$40</definedName>
    <definedName name="General_Input_Data_Year" localSheetId="34">'[27]GENERAL INPUTS'!$B$40</definedName>
    <definedName name="General_Input_Data_Year" localSheetId="9">'[27]GENERAL INPUTS'!$B$40</definedName>
    <definedName name="General_Input_Data_Year" localSheetId="8">'[25]Gen Inputs'!$B$18</definedName>
    <definedName name="General_Input_Data_Year" localSheetId="13">'[26]Gen Inputs'!$B$18</definedName>
    <definedName name="General_Input_Data_Year">'[28]GENERAL INPUTS'!$B$40</definedName>
    <definedName name="GeneralInputs" localSheetId="11">'[48]General Inputs'!#REF!</definedName>
    <definedName name="GeneralInputs" localSheetId="8">'[49]General Inputs'!#REF!</definedName>
    <definedName name="GeneralInputs" localSheetId="13">'[48]General Inputs'!#REF!</definedName>
    <definedName name="GeneralInputs">'[48]General Inputs'!#REF!</definedName>
    <definedName name="GenEscRate" localSheetId="8">'[16]General Inputs'!$B$7</definedName>
    <definedName name="GenEscRate">'[15]General Inputs'!$B$7</definedName>
    <definedName name="george" localSheetId="25">#REF!</definedName>
    <definedName name="george" localSheetId="28">#REF!</definedName>
    <definedName name="george" localSheetId="24">#REF!</definedName>
    <definedName name="george" localSheetId="27">#REF!</definedName>
    <definedName name="george" localSheetId="30">#REF!</definedName>
    <definedName name="george" localSheetId="33">#REF!</definedName>
    <definedName name="george" localSheetId="35">#REF!</definedName>
    <definedName name="george" localSheetId="45">#REF!</definedName>
    <definedName name="george" localSheetId="46">#REF!</definedName>
    <definedName name="george" localSheetId="37">#REF!</definedName>
    <definedName name="george" localSheetId="38">#REF!</definedName>
    <definedName name="george" localSheetId="39">#REF!</definedName>
    <definedName name="george" localSheetId="40">#REF!</definedName>
    <definedName name="george" localSheetId="42">#REF!</definedName>
    <definedName name="george" localSheetId="43">#REF!</definedName>
    <definedName name="george" localSheetId="44">#REF!</definedName>
    <definedName name="george" localSheetId="41">#REF!</definedName>
    <definedName name="george" localSheetId="52">#REF!</definedName>
    <definedName name="george" localSheetId="53">#REF!</definedName>
    <definedName name="george" localSheetId="48">#REF!</definedName>
    <definedName name="george" localSheetId="50">#REF!</definedName>
    <definedName name="george" localSheetId="51">#REF!</definedName>
    <definedName name="george" localSheetId="55">#REF!</definedName>
    <definedName name="george" localSheetId="57">#REF!</definedName>
    <definedName name="george" localSheetId="29">#REF!</definedName>
    <definedName name="george" localSheetId="31">#REF!</definedName>
    <definedName name="george" localSheetId="32">#REF!</definedName>
    <definedName name="george" localSheetId="36">#REF!</definedName>
    <definedName name="george" localSheetId="17">#REF!</definedName>
    <definedName name="george" localSheetId="19">#REF!</definedName>
    <definedName name="george" localSheetId="18">#REF!</definedName>
    <definedName name="george" localSheetId="58">#REF!</definedName>
    <definedName name="george" localSheetId="15">#REF!</definedName>
    <definedName name="george" localSheetId="20">#REF!</definedName>
    <definedName name="george" localSheetId="22">#REF!</definedName>
    <definedName name="george" localSheetId="21">#REF!</definedName>
    <definedName name="george" localSheetId="34">#REF!</definedName>
    <definedName name="george" localSheetId="2">#REF!</definedName>
    <definedName name="george">#REF!</definedName>
    <definedName name="GSysLoss" localSheetId="11">'[15]General Inputs'!#REF!</definedName>
    <definedName name="GSysLoss" localSheetId="35">'[44]General Inputs'!$E$25</definedName>
    <definedName name="GSysLoss" localSheetId="15">'[44]General Inputs'!$E$25</definedName>
    <definedName name="GSysLoss" localSheetId="34">'[44]General Inputs'!$E$25</definedName>
    <definedName name="GSysLoss" localSheetId="9">'[44]General Inputs'!$E$25</definedName>
    <definedName name="GSysLoss" localSheetId="8">'[16]General Inputs'!#REF!</definedName>
    <definedName name="GSysLoss" localSheetId="13">'[15]General Inputs'!#REF!</definedName>
    <definedName name="GSysLoss">'[45]General Inputs'!$E$25</definedName>
    <definedName name="Guidelines">#REF!</definedName>
    <definedName name="harry" localSheetId="25">#REF!</definedName>
    <definedName name="harry" localSheetId="28">#REF!</definedName>
    <definedName name="harry" localSheetId="24">#REF!</definedName>
    <definedName name="harry" localSheetId="27">#REF!</definedName>
    <definedName name="harry" localSheetId="30">#REF!</definedName>
    <definedName name="harry" localSheetId="33">#REF!</definedName>
    <definedName name="harry" localSheetId="35">#REF!</definedName>
    <definedName name="harry" localSheetId="45">#REF!</definedName>
    <definedName name="harry" localSheetId="46">#REF!</definedName>
    <definedName name="harry" localSheetId="37">#REF!</definedName>
    <definedName name="harry" localSheetId="38">#REF!</definedName>
    <definedName name="harry" localSheetId="39">#REF!</definedName>
    <definedName name="harry" localSheetId="40">#REF!</definedName>
    <definedName name="harry" localSheetId="42">#REF!</definedName>
    <definedName name="harry" localSheetId="43">#REF!</definedName>
    <definedName name="harry" localSheetId="44">#REF!</definedName>
    <definedName name="harry" localSheetId="41">#REF!</definedName>
    <definedName name="harry" localSheetId="52">#REF!</definedName>
    <definedName name="harry" localSheetId="53">#REF!</definedName>
    <definedName name="harry" localSheetId="48">#REF!</definedName>
    <definedName name="harry" localSheetId="50">#REF!</definedName>
    <definedName name="harry" localSheetId="51">#REF!</definedName>
    <definedName name="harry" localSheetId="55">#REF!</definedName>
    <definedName name="harry" localSheetId="57">#REF!</definedName>
    <definedName name="harry" localSheetId="29">#REF!</definedName>
    <definedName name="harry" localSheetId="31">#REF!</definedName>
    <definedName name="harry" localSheetId="32">#REF!</definedName>
    <definedName name="harry" localSheetId="36">#REF!</definedName>
    <definedName name="harry" localSheetId="17">#REF!</definedName>
    <definedName name="harry" localSheetId="19">#REF!</definedName>
    <definedName name="harry" localSheetId="18">#REF!</definedName>
    <definedName name="harry" localSheetId="58">#REF!</definedName>
    <definedName name="harry" localSheetId="15">#REF!</definedName>
    <definedName name="harry" localSheetId="20">#REF!</definedName>
    <definedName name="harry" localSheetId="22">#REF!</definedName>
    <definedName name="harry" localSheetId="21">#REF!</definedName>
    <definedName name="harry" localSheetId="34">#REF!</definedName>
    <definedName name="harry" localSheetId="2">#REF!</definedName>
    <definedName name="harry">#REF!</definedName>
    <definedName name="Incentive" localSheetId="8">#REF!</definedName>
    <definedName name="Incentive" localSheetId="13">#REF!</definedName>
    <definedName name="Incentive">#REF!</definedName>
    <definedName name="IncrCost" localSheetId="8">#REF!</definedName>
    <definedName name="IncrCost" localSheetId="13">#REF!</definedName>
    <definedName name="IncrCost">#REF!</definedName>
    <definedName name="Inflate" localSheetId="8">'[25]AEG Bencost Pricing Inputs'!$F$129</definedName>
    <definedName name="Inflate">'[26]AEG Bencost Pricing Inputs'!$F$129</definedName>
    <definedName name="Inflation" localSheetId="11">#REF!</definedName>
    <definedName name="Inflation" localSheetId="8">#REF!</definedName>
    <definedName name="Inflation" localSheetId="13">#REF!</definedName>
    <definedName name="Inflation">#REF!</definedName>
    <definedName name="Inflation_Rate">'[31]General Inputs'!$C$4</definedName>
    <definedName name="jj">#REF!</definedName>
    <definedName name="kW_AnnualSavings" localSheetId="8">#REF!</definedName>
    <definedName name="kW_AnnualSavings" localSheetId="13">#REF!</definedName>
    <definedName name="kW_AnnualSavings">#REF!</definedName>
    <definedName name="kWh_AnnualSavings" localSheetId="8">#REF!</definedName>
    <definedName name="kWh_AnnualSavings" localSheetId="13">#REF!</definedName>
    <definedName name="kWh_AnnualSavings">#REF!</definedName>
    <definedName name="Lighting" localSheetId="13">#REF!</definedName>
    <definedName name="Lighting">#REF!</definedName>
    <definedName name="Line_Losses" localSheetId="8">'[25]Gen Inputs'!$B$20</definedName>
    <definedName name="Line_Losses">'[26]Gen Inputs'!$B$20</definedName>
    <definedName name="LIPA_EDGE_inccost" localSheetId="11">'[26]Gen Inputs'!#REF!</definedName>
    <definedName name="LIPA_EDGE_inccost" localSheetId="8">'[25]Gen Inputs'!#REF!</definedName>
    <definedName name="LIPA_EDGE_inccost" localSheetId="13">'[26]Gen Inputs'!#REF!</definedName>
    <definedName name="LIPA_EDGE_inccost">'[26]Gen Inputs'!#REF!</definedName>
    <definedName name="LIPAEDGE_kWSavings" localSheetId="11">'[26]Gen Inputs'!#REF!</definedName>
    <definedName name="LIPAEDGE_kWSavings" localSheetId="8">'[25]Gen Inputs'!#REF!</definedName>
    <definedName name="LIPAEDGE_kWSavings" localSheetId="13">'[26]Gen Inputs'!#REF!</definedName>
    <definedName name="LIPAEDGE_kWSavings">'[26]Gen Inputs'!#REF!</definedName>
    <definedName name="Load_Shapes" localSheetId="8">'[50]Load Shapes'!$A$2:$A$134</definedName>
    <definedName name="Load_Shapes">'[51]Load Shapes'!$A$2:$A$134</definedName>
    <definedName name="LoadShape" localSheetId="8">'[25]Load Profile'!$D$14,'[25]Load Profile'!$F$14,'[25]Load Profile'!$D$17</definedName>
    <definedName name="LoadShape">'[26]Load Profile'!$D$14,'[26]Load Profile'!$F$14,'[26]Load Profile'!$D$17</definedName>
    <definedName name="Loadshape_Summer_Intermediate" localSheetId="8">'[25]AEG Bencost Pricing Inputs'!#REF!</definedName>
    <definedName name="Loadshape_Summer_Intermediate" localSheetId="13">'[26]AEG Bencost Pricing Inputs'!#REF!</definedName>
    <definedName name="Loadshape_Summer_Intermediate">'[26]AEG Bencost Pricing Inputs'!#REF!</definedName>
    <definedName name="Loadshape_Summer_Off_PeaK" localSheetId="11">'[26]AEG Bencost Pricing Inputs'!#REF!</definedName>
    <definedName name="Loadshape_Summer_Off_PeaK" localSheetId="8">'[25]AEG Bencost Pricing Inputs'!#REF!</definedName>
    <definedName name="Loadshape_Summer_Off_PeaK" localSheetId="13">'[26]AEG Bencost Pricing Inputs'!#REF!</definedName>
    <definedName name="Loadshape_Summer_Off_PeaK">'[26]AEG Bencost Pricing Inputs'!#REF!</definedName>
    <definedName name="Loadshape_Summer_On_Peak" localSheetId="8">'[25]AEG Bencost Pricing Inputs'!#REF!</definedName>
    <definedName name="Loadshape_Summer_On_Peak" localSheetId="13">'[26]AEG Bencost Pricing Inputs'!#REF!</definedName>
    <definedName name="Loadshape_Summer_On_Peak">'[26]AEG Bencost Pricing Inputs'!#REF!</definedName>
    <definedName name="Loadshape_Winter_Intermediate" localSheetId="8">'[25]AEG Bencost Pricing Inputs'!#REF!</definedName>
    <definedName name="Loadshape_Winter_Intermediate" localSheetId="13">'[26]AEG Bencost Pricing Inputs'!#REF!</definedName>
    <definedName name="Loadshape_Winter_Intermediate">'[26]AEG Bencost Pricing Inputs'!#REF!</definedName>
    <definedName name="Loadshape_Winter_Off_Peak" localSheetId="8">'[25]AEG Bencost Pricing Inputs'!#REF!</definedName>
    <definedName name="Loadshape_Winter_Off_Peak" localSheetId="13">'[26]AEG Bencost Pricing Inputs'!#REF!</definedName>
    <definedName name="Loadshape_Winter_Off_Peak">'[26]AEG Bencost Pricing Inputs'!#REF!</definedName>
    <definedName name="LoadshapeNames" localSheetId="58">[52]Loadshapes!$B$4:$B$137</definedName>
    <definedName name="LoadshapeNames" localSheetId="8">[53]Loadshapes!$B$4:$B$137</definedName>
    <definedName name="LoadshapeNames">[54]Loadshapes!$B$4:$B$137</definedName>
    <definedName name="LoadShapes" localSheetId="8">[25]LoadShapes!$B$9:$CX$43</definedName>
    <definedName name="LoadShapes">[26]LoadShapes!$B$9:$CX$43</definedName>
    <definedName name="lookup_building_codes" localSheetId="25">'[19]BenCost Input Summary'!#REF!</definedName>
    <definedName name="lookup_building_codes" localSheetId="28">'[19]BenCost Input Summary'!#REF!</definedName>
    <definedName name="lookup_building_codes" localSheetId="24">'[19]BenCost Input Summary'!#REF!</definedName>
    <definedName name="lookup_building_codes" localSheetId="27">'[19]BenCost Input Summary'!#REF!</definedName>
    <definedName name="lookup_building_codes" localSheetId="30">'[19]BenCost Input Summary'!#REF!</definedName>
    <definedName name="lookup_building_codes" localSheetId="33">'[19]BenCost Input Summary'!#REF!</definedName>
    <definedName name="lookup_building_codes" localSheetId="35">'[19]BenCost Input Summary'!#REF!</definedName>
    <definedName name="lookup_building_codes" localSheetId="45">'[19]BenCost Input Summary'!#REF!</definedName>
    <definedName name="lookup_building_codes" localSheetId="46">'[19]BenCost Input Summary'!#REF!</definedName>
    <definedName name="lookup_building_codes" localSheetId="37">'[19]BenCost Input Summary'!#REF!</definedName>
    <definedName name="lookup_building_codes" localSheetId="38">'[19]BenCost Input Summary'!#REF!</definedName>
    <definedName name="lookup_building_codes" localSheetId="39">'[19]BenCost Input Summary'!#REF!</definedName>
    <definedName name="lookup_building_codes" localSheetId="40">'[19]BenCost Input Summary'!#REF!</definedName>
    <definedName name="lookup_building_codes" localSheetId="42">'[19]BenCost Input Summary'!#REF!</definedName>
    <definedName name="lookup_building_codes" localSheetId="43">'[19]BenCost Input Summary'!#REF!</definedName>
    <definedName name="lookup_building_codes" localSheetId="44">'[19]BenCost Input Summary'!#REF!</definedName>
    <definedName name="lookup_building_codes" localSheetId="41">'[19]BenCost Input Summary'!#REF!</definedName>
    <definedName name="lookup_building_codes" localSheetId="52">'[19]BenCost Input Summary'!#REF!</definedName>
    <definedName name="lookup_building_codes" localSheetId="53">'[19]BenCost Input Summary'!#REF!</definedName>
    <definedName name="lookup_building_codes" localSheetId="48">'[19]BenCost Input Summary'!#REF!</definedName>
    <definedName name="lookup_building_codes" localSheetId="50">'[19]BenCost Input Summary'!#REF!</definedName>
    <definedName name="lookup_building_codes" localSheetId="51">'[19]BenCost Input Summary'!#REF!</definedName>
    <definedName name="lookup_building_codes" localSheetId="55">'[19]BenCost Input Summary'!#REF!</definedName>
    <definedName name="lookup_building_codes" localSheetId="57">'[19]BenCost Input Summary'!#REF!</definedName>
    <definedName name="lookup_building_codes" localSheetId="29">'[19]BenCost Input Summary'!#REF!</definedName>
    <definedName name="lookup_building_codes" localSheetId="31">'[19]BenCost Input Summary'!#REF!</definedName>
    <definedName name="lookup_building_codes" localSheetId="32">'[19]BenCost Input Summary'!#REF!</definedName>
    <definedName name="lookup_building_codes" localSheetId="36">'[19]BenCost Input Summary'!#REF!</definedName>
    <definedName name="lookup_building_codes" localSheetId="17">'[19]BenCost Input Summary'!#REF!</definedName>
    <definedName name="lookup_building_codes" localSheetId="19">'[19]BenCost Input Summary'!#REF!</definedName>
    <definedName name="lookup_building_codes" localSheetId="18">'[19]BenCost Input Summary'!#REF!</definedName>
    <definedName name="lookup_building_codes" localSheetId="58">'[20]BenCost Input Summary'!#REF!</definedName>
    <definedName name="lookup_building_codes" localSheetId="15">'[19]BenCost Input Summary'!#REF!</definedName>
    <definedName name="lookup_building_codes" localSheetId="20">'[19]BenCost Input Summary'!#REF!</definedName>
    <definedName name="lookup_building_codes" localSheetId="22">'[19]BenCost Input Summary'!#REF!</definedName>
    <definedName name="lookup_building_codes" localSheetId="21">'[19]BenCost Input Summary'!#REF!</definedName>
    <definedName name="lookup_building_codes" localSheetId="34">'[19]BenCost Input Summary'!#REF!</definedName>
    <definedName name="lookup_building_codes" localSheetId="9">'[19]BenCost Input Summary'!#REF!</definedName>
    <definedName name="lookup_building_codes" localSheetId="2">'[21]BenCost Input Summary'!#REF!</definedName>
    <definedName name="lookup_building_codes">'[20]BenCost Input Summary'!#REF!</definedName>
    <definedName name="lookup_buliding_tuneup" localSheetId="25">'[19]BenCost Input Summary'!#REF!</definedName>
    <definedName name="lookup_buliding_tuneup" localSheetId="28">'[19]BenCost Input Summary'!#REF!</definedName>
    <definedName name="lookup_buliding_tuneup" localSheetId="24">'[19]BenCost Input Summary'!#REF!</definedName>
    <definedName name="lookup_buliding_tuneup" localSheetId="27">'[19]BenCost Input Summary'!#REF!</definedName>
    <definedName name="lookup_buliding_tuneup" localSheetId="30">'[19]BenCost Input Summary'!#REF!</definedName>
    <definedName name="lookup_buliding_tuneup" localSheetId="33">'[19]BenCost Input Summary'!#REF!</definedName>
    <definedName name="lookup_buliding_tuneup" localSheetId="35">'[19]BenCost Input Summary'!#REF!</definedName>
    <definedName name="lookup_buliding_tuneup" localSheetId="45">'[19]BenCost Input Summary'!#REF!</definedName>
    <definedName name="lookup_buliding_tuneup" localSheetId="46">'[19]BenCost Input Summary'!#REF!</definedName>
    <definedName name="lookup_buliding_tuneup" localSheetId="37">'[19]BenCost Input Summary'!#REF!</definedName>
    <definedName name="lookup_buliding_tuneup" localSheetId="38">'[19]BenCost Input Summary'!#REF!</definedName>
    <definedName name="lookup_buliding_tuneup" localSheetId="39">'[19]BenCost Input Summary'!#REF!</definedName>
    <definedName name="lookup_buliding_tuneup" localSheetId="40">'[19]BenCost Input Summary'!#REF!</definedName>
    <definedName name="lookup_buliding_tuneup" localSheetId="42">'[19]BenCost Input Summary'!#REF!</definedName>
    <definedName name="lookup_buliding_tuneup" localSheetId="43">'[19]BenCost Input Summary'!#REF!</definedName>
    <definedName name="lookup_buliding_tuneup" localSheetId="44">'[19]BenCost Input Summary'!#REF!</definedName>
    <definedName name="lookup_buliding_tuneup" localSheetId="41">'[19]BenCost Input Summary'!#REF!</definedName>
    <definedName name="lookup_buliding_tuneup" localSheetId="52">'[19]BenCost Input Summary'!#REF!</definedName>
    <definedName name="lookup_buliding_tuneup" localSheetId="53">'[19]BenCost Input Summary'!#REF!</definedName>
    <definedName name="lookup_buliding_tuneup" localSheetId="48">'[19]BenCost Input Summary'!#REF!</definedName>
    <definedName name="lookup_buliding_tuneup" localSheetId="50">'[19]BenCost Input Summary'!#REF!</definedName>
    <definedName name="lookup_buliding_tuneup" localSheetId="51">'[19]BenCost Input Summary'!#REF!</definedName>
    <definedName name="lookup_buliding_tuneup" localSheetId="55">'[19]BenCost Input Summary'!#REF!</definedName>
    <definedName name="lookup_buliding_tuneup" localSheetId="57">'[19]BenCost Input Summary'!#REF!</definedName>
    <definedName name="lookup_buliding_tuneup" localSheetId="29">'[19]BenCost Input Summary'!#REF!</definedName>
    <definedName name="lookup_buliding_tuneup" localSheetId="31">'[19]BenCost Input Summary'!#REF!</definedName>
    <definedName name="lookup_buliding_tuneup" localSheetId="32">'[19]BenCost Input Summary'!#REF!</definedName>
    <definedName name="lookup_buliding_tuneup" localSheetId="36">'[19]BenCost Input Summary'!#REF!</definedName>
    <definedName name="lookup_buliding_tuneup" localSheetId="17">'[19]BenCost Input Summary'!#REF!</definedName>
    <definedName name="lookup_buliding_tuneup" localSheetId="19">'[19]BenCost Input Summary'!#REF!</definedName>
    <definedName name="lookup_buliding_tuneup" localSheetId="18">'[19]BenCost Input Summary'!#REF!</definedName>
    <definedName name="lookup_buliding_tuneup" localSheetId="58">'[20]BenCost Input Summary'!#REF!</definedName>
    <definedName name="lookup_buliding_tuneup" localSheetId="15">'[19]BenCost Input Summary'!#REF!</definedName>
    <definedName name="lookup_buliding_tuneup" localSheetId="20">'[19]BenCost Input Summary'!#REF!</definedName>
    <definedName name="lookup_buliding_tuneup" localSheetId="22">'[19]BenCost Input Summary'!#REF!</definedName>
    <definedName name="lookup_buliding_tuneup" localSheetId="21">'[19]BenCost Input Summary'!#REF!</definedName>
    <definedName name="lookup_buliding_tuneup" localSheetId="34">'[19]BenCost Input Summary'!#REF!</definedName>
    <definedName name="lookup_buliding_tuneup" localSheetId="9">'[19]BenCost Input Summary'!#REF!</definedName>
    <definedName name="lookup_buliding_tuneup" localSheetId="2">'[21]BenCost Input Summary'!#REF!</definedName>
    <definedName name="lookup_buliding_tuneup">'[20]BenCost Input Summary'!#REF!</definedName>
    <definedName name="Lookup_CI_RC" localSheetId="25">'[19]BenCost Input Summary'!#REF!</definedName>
    <definedName name="Lookup_CI_RC" localSheetId="28">'[19]BenCost Input Summary'!#REF!</definedName>
    <definedName name="Lookup_CI_RC" localSheetId="24">'[19]BenCost Input Summary'!#REF!</definedName>
    <definedName name="Lookup_CI_RC" localSheetId="27">'[19]BenCost Input Summary'!#REF!</definedName>
    <definedName name="Lookup_CI_RC" localSheetId="30">'[19]BenCost Input Summary'!#REF!</definedName>
    <definedName name="Lookup_CI_RC" localSheetId="33">'[19]BenCost Input Summary'!#REF!</definedName>
    <definedName name="Lookup_CI_RC" localSheetId="35">'[19]BenCost Input Summary'!#REF!</definedName>
    <definedName name="Lookup_CI_RC" localSheetId="45">'[19]BenCost Input Summary'!#REF!</definedName>
    <definedName name="Lookup_CI_RC" localSheetId="46">'[19]BenCost Input Summary'!#REF!</definedName>
    <definedName name="Lookup_CI_RC" localSheetId="37">'[19]BenCost Input Summary'!#REF!</definedName>
    <definedName name="Lookup_CI_RC" localSheetId="38">'[19]BenCost Input Summary'!#REF!</definedName>
    <definedName name="Lookup_CI_RC" localSheetId="39">'[19]BenCost Input Summary'!#REF!</definedName>
    <definedName name="Lookup_CI_RC" localSheetId="40">'[19]BenCost Input Summary'!#REF!</definedName>
    <definedName name="Lookup_CI_RC" localSheetId="42">'[19]BenCost Input Summary'!#REF!</definedName>
    <definedName name="Lookup_CI_RC" localSheetId="43">'[19]BenCost Input Summary'!#REF!</definedName>
    <definedName name="Lookup_CI_RC" localSheetId="44">'[19]BenCost Input Summary'!#REF!</definedName>
    <definedName name="Lookup_CI_RC" localSheetId="41">'[19]BenCost Input Summary'!#REF!</definedName>
    <definedName name="Lookup_CI_RC" localSheetId="52">'[19]BenCost Input Summary'!#REF!</definedName>
    <definedName name="Lookup_CI_RC" localSheetId="53">'[19]BenCost Input Summary'!#REF!</definedName>
    <definedName name="Lookup_CI_RC" localSheetId="48">'[19]BenCost Input Summary'!#REF!</definedName>
    <definedName name="Lookup_CI_RC" localSheetId="50">'[19]BenCost Input Summary'!#REF!</definedName>
    <definedName name="Lookup_CI_RC" localSheetId="51">'[19]BenCost Input Summary'!#REF!</definedName>
    <definedName name="Lookup_CI_RC" localSheetId="55">'[19]BenCost Input Summary'!#REF!</definedName>
    <definedName name="Lookup_CI_RC" localSheetId="57">'[19]BenCost Input Summary'!#REF!</definedName>
    <definedName name="Lookup_CI_RC" localSheetId="29">'[19]BenCost Input Summary'!#REF!</definedName>
    <definedName name="Lookup_CI_RC" localSheetId="31">'[19]BenCost Input Summary'!#REF!</definedName>
    <definedName name="Lookup_CI_RC" localSheetId="32">'[19]BenCost Input Summary'!#REF!</definedName>
    <definedName name="Lookup_CI_RC" localSheetId="36">'[19]BenCost Input Summary'!#REF!</definedName>
    <definedName name="Lookup_CI_RC" localSheetId="17">'[19]BenCost Input Summary'!#REF!</definedName>
    <definedName name="Lookup_CI_RC" localSheetId="19">'[19]BenCost Input Summary'!#REF!</definedName>
    <definedName name="Lookup_CI_RC" localSheetId="18">'[19]BenCost Input Summary'!#REF!</definedName>
    <definedName name="Lookup_CI_RC" localSheetId="15">'[19]BenCost Input Summary'!#REF!</definedName>
    <definedName name="Lookup_CI_RC" localSheetId="20">'[19]BenCost Input Summary'!#REF!</definedName>
    <definedName name="Lookup_CI_RC" localSheetId="22">'[19]BenCost Input Summary'!#REF!</definedName>
    <definedName name="Lookup_CI_RC" localSheetId="21">'[19]BenCost Input Summary'!#REF!</definedName>
    <definedName name="Lookup_CI_RC" localSheetId="34">'[19]BenCost Input Summary'!#REF!</definedName>
    <definedName name="Lookup_CI_RC" localSheetId="9">'[19]BenCost Input Summary'!#REF!</definedName>
    <definedName name="Lookup_CI_RC" localSheetId="2">'[21]BenCost Input Summary'!#REF!</definedName>
    <definedName name="Lookup_CI_RC">'[20]BenCost Input Summary'!#REF!</definedName>
    <definedName name="lookup_process_tuneup" localSheetId="25">'[19]BenCost Input Summary'!#REF!</definedName>
    <definedName name="lookup_process_tuneup" localSheetId="28">'[19]BenCost Input Summary'!#REF!</definedName>
    <definedName name="lookup_process_tuneup" localSheetId="24">'[19]BenCost Input Summary'!#REF!</definedName>
    <definedName name="lookup_process_tuneup" localSheetId="27">'[19]BenCost Input Summary'!#REF!</definedName>
    <definedName name="lookup_process_tuneup" localSheetId="30">'[19]BenCost Input Summary'!#REF!</definedName>
    <definedName name="lookup_process_tuneup" localSheetId="33">'[19]BenCost Input Summary'!#REF!</definedName>
    <definedName name="lookup_process_tuneup" localSheetId="35">'[19]BenCost Input Summary'!#REF!</definedName>
    <definedName name="lookup_process_tuneup" localSheetId="45">'[19]BenCost Input Summary'!#REF!</definedName>
    <definedName name="lookup_process_tuneup" localSheetId="46">'[19]BenCost Input Summary'!#REF!</definedName>
    <definedName name="lookup_process_tuneup" localSheetId="37">'[19]BenCost Input Summary'!#REF!</definedName>
    <definedName name="lookup_process_tuneup" localSheetId="38">'[19]BenCost Input Summary'!#REF!</definedName>
    <definedName name="lookup_process_tuneup" localSheetId="39">'[19]BenCost Input Summary'!#REF!</definedName>
    <definedName name="lookup_process_tuneup" localSheetId="40">'[19]BenCost Input Summary'!#REF!</definedName>
    <definedName name="lookup_process_tuneup" localSheetId="42">'[19]BenCost Input Summary'!#REF!</definedName>
    <definedName name="lookup_process_tuneup" localSheetId="43">'[19]BenCost Input Summary'!#REF!</definedName>
    <definedName name="lookup_process_tuneup" localSheetId="44">'[19]BenCost Input Summary'!#REF!</definedName>
    <definedName name="lookup_process_tuneup" localSheetId="41">'[19]BenCost Input Summary'!#REF!</definedName>
    <definedName name="lookup_process_tuneup" localSheetId="52">'[19]BenCost Input Summary'!#REF!</definedName>
    <definedName name="lookup_process_tuneup" localSheetId="53">'[19]BenCost Input Summary'!#REF!</definedName>
    <definedName name="lookup_process_tuneup" localSheetId="48">'[19]BenCost Input Summary'!#REF!</definedName>
    <definedName name="lookup_process_tuneup" localSheetId="50">'[19]BenCost Input Summary'!#REF!</definedName>
    <definedName name="lookup_process_tuneup" localSheetId="51">'[19]BenCost Input Summary'!#REF!</definedName>
    <definedName name="lookup_process_tuneup" localSheetId="55">'[19]BenCost Input Summary'!#REF!</definedName>
    <definedName name="lookup_process_tuneup" localSheetId="57">'[19]BenCost Input Summary'!#REF!</definedName>
    <definedName name="lookup_process_tuneup" localSheetId="29">'[19]BenCost Input Summary'!#REF!</definedName>
    <definedName name="lookup_process_tuneup" localSheetId="31">'[19]BenCost Input Summary'!#REF!</definedName>
    <definedName name="lookup_process_tuneup" localSheetId="32">'[19]BenCost Input Summary'!#REF!</definedName>
    <definedName name="lookup_process_tuneup" localSheetId="36">'[19]BenCost Input Summary'!#REF!</definedName>
    <definedName name="lookup_process_tuneup" localSheetId="17">'[19]BenCost Input Summary'!#REF!</definedName>
    <definedName name="lookup_process_tuneup" localSheetId="19">'[19]BenCost Input Summary'!#REF!</definedName>
    <definedName name="lookup_process_tuneup" localSheetId="18">'[19]BenCost Input Summary'!#REF!</definedName>
    <definedName name="lookup_process_tuneup" localSheetId="15">'[19]BenCost Input Summary'!#REF!</definedName>
    <definedName name="lookup_process_tuneup" localSheetId="20">'[19]BenCost Input Summary'!#REF!</definedName>
    <definedName name="lookup_process_tuneup" localSheetId="22">'[19]BenCost Input Summary'!#REF!</definedName>
    <definedName name="lookup_process_tuneup" localSheetId="21">'[19]BenCost Input Summary'!#REF!</definedName>
    <definedName name="lookup_process_tuneup" localSheetId="34">'[19]BenCost Input Summary'!#REF!</definedName>
    <definedName name="lookup_process_tuneup" localSheetId="9">'[19]BenCost Input Summary'!#REF!</definedName>
    <definedName name="lookup_process_tuneup" localSheetId="2">'[21]BenCost Input Summary'!#REF!</definedName>
    <definedName name="lookup_process_tuneup">'[20]BenCost Input Summary'!#REF!</definedName>
    <definedName name="Lookup_Table">#REF!</definedName>
    <definedName name="LowIncome" localSheetId="11">#REF!</definedName>
    <definedName name="LowIncome" localSheetId="8">#REF!</definedName>
    <definedName name="LowIncome" localSheetId="13">#REF!</definedName>
    <definedName name="LowIncome">#REF!</definedName>
    <definedName name="LowIncomeNewHome" localSheetId="8">#REF!</definedName>
    <definedName name="LowIncomeNewHome" localSheetId="13">#REF!</definedName>
    <definedName name="LowIncomeNewHome">#REF!</definedName>
    <definedName name="LU_facilitytype" localSheetId="35">[55]HOO!$A$2:$C$17</definedName>
    <definedName name="LU_facilitytype" localSheetId="15">[55]HOO!$A$2:$C$17</definedName>
    <definedName name="LU_facilitytype" localSheetId="34">[55]HOO!$A$2:$C$17</definedName>
    <definedName name="LU_facilitytype" localSheetId="9">[55]HOO!$A$2:$C$17</definedName>
    <definedName name="LU_facilitytype">[56]HOO!$A$2:$C$17</definedName>
    <definedName name="Measure_Life" localSheetId="11">#REF!</definedName>
    <definedName name="Measure_Life" localSheetId="8">#REF!</definedName>
    <definedName name="Measure_Life" localSheetId="13">#REF!</definedName>
    <definedName name="Measure_Life">#REF!</definedName>
    <definedName name="measure_list" localSheetId="13">#REF!</definedName>
    <definedName name="measure_list">#REF!</definedName>
    <definedName name="Measures" localSheetId="25">#REF!</definedName>
    <definedName name="Measures" localSheetId="28">#REF!</definedName>
    <definedName name="Measures" localSheetId="24">#REF!</definedName>
    <definedName name="Measures" localSheetId="27">#REF!</definedName>
    <definedName name="Measures" localSheetId="30">#REF!</definedName>
    <definedName name="Measures" localSheetId="33">#REF!</definedName>
    <definedName name="Measures" localSheetId="35">#REF!</definedName>
    <definedName name="Measures" localSheetId="45">#REF!</definedName>
    <definedName name="Measures" localSheetId="46">#REF!</definedName>
    <definedName name="Measures" localSheetId="37">#REF!</definedName>
    <definedName name="Measures" localSheetId="38">#REF!</definedName>
    <definedName name="Measures" localSheetId="39">#REF!</definedName>
    <definedName name="Measures" localSheetId="40">#REF!</definedName>
    <definedName name="Measures" localSheetId="42">#REF!</definedName>
    <definedName name="Measures" localSheetId="43">#REF!</definedName>
    <definedName name="Measures" localSheetId="44">#REF!</definedName>
    <definedName name="Measures" localSheetId="41">#REF!</definedName>
    <definedName name="Measures" localSheetId="52">#REF!</definedName>
    <definedName name="Measures" localSheetId="53">#REF!</definedName>
    <definedName name="Measures" localSheetId="48">#REF!</definedName>
    <definedName name="Measures" localSheetId="50">#REF!</definedName>
    <definedName name="Measures" localSheetId="51">#REF!</definedName>
    <definedName name="Measures" localSheetId="55">#REF!</definedName>
    <definedName name="Measures" localSheetId="57">#REF!</definedName>
    <definedName name="Measures" localSheetId="29">#REF!</definedName>
    <definedName name="Measures" localSheetId="31">#REF!</definedName>
    <definedName name="Measures" localSheetId="32">#REF!</definedName>
    <definedName name="Measures" localSheetId="36">#REF!</definedName>
    <definedName name="Measures" localSheetId="17">#REF!</definedName>
    <definedName name="Measures" localSheetId="19">#REF!</definedName>
    <definedName name="Measures" localSheetId="18">#REF!</definedName>
    <definedName name="Measures" localSheetId="58">#REF!</definedName>
    <definedName name="Measures" localSheetId="15">#REF!</definedName>
    <definedName name="Measures" localSheetId="20">#REF!</definedName>
    <definedName name="Measures" localSheetId="22">#REF!</definedName>
    <definedName name="Measures" localSheetId="21">#REF!</definedName>
    <definedName name="Measures" localSheetId="34">#REF!</definedName>
    <definedName name="Measures" localSheetId="2">#REF!</definedName>
    <definedName name="Measures" localSheetId="13">#REF!</definedName>
    <definedName name="Measures">#REF!</definedName>
    <definedName name="MeasureType" localSheetId="13">#REF!</definedName>
    <definedName name="MeasureType">#REF!</definedName>
    <definedName name="Million">1000000</definedName>
    <definedName name="MotorHP">#REF!</definedName>
    <definedName name="N" localSheetId="25">#REF!</definedName>
    <definedName name="N" localSheetId="28">#REF!</definedName>
    <definedName name="N" localSheetId="24">#REF!</definedName>
    <definedName name="N" localSheetId="27">#REF!</definedName>
    <definedName name="N" localSheetId="30">#REF!</definedName>
    <definedName name="N" localSheetId="33">#REF!</definedName>
    <definedName name="N" localSheetId="35">#REF!</definedName>
    <definedName name="N" localSheetId="45">#REF!</definedName>
    <definedName name="N" localSheetId="46">#REF!</definedName>
    <definedName name="N" localSheetId="37">#REF!</definedName>
    <definedName name="N" localSheetId="38">#REF!</definedName>
    <definedName name="N" localSheetId="39">#REF!</definedName>
    <definedName name="N" localSheetId="40">#REF!</definedName>
    <definedName name="N" localSheetId="42">#REF!</definedName>
    <definedName name="N" localSheetId="43">#REF!</definedName>
    <definedName name="N" localSheetId="44">#REF!</definedName>
    <definedName name="N" localSheetId="41">#REF!</definedName>
    <definedName name="N" localSheetId="52">#REF!</definedName>
    <definedName name="N" localSheetId="53">#REF!</definedName>
    <definedName name="N" localSheetId="48">#REF!</definedName>
    <definedName name="N" localSheetId="50">#REF!</definedName>
    <definedName name="N" localSheetId="51">#REF!</definedName>
    <definedName name="N" localSheetId="55">#REF!</definedName>
    <definedName name="N" localSheetId="57">#REF!</definedName>
    <definedName name="N" localSheetId="29">#REF!</definedName>
    <definedName name="N" localSheetId="31">#REF!</definedName>
    <definedName name="N" localSheetId="32">#REF!</definedName>
    <definedName name="N" localSheetId="36">#REF!</definedName>
    <definedName name="N" localSheetId="17">#REF!</definedName>
    <definedName name="N" localSheetId="19">#REF!</definedName>
    <definedName name="N" localSheetId="18">#REF!</definedName>
    <definedName name="N" localSheetId="58">#REF!</definedName>
    <definedName name="N" localSheetId="15">#REF!</definedName>
    <definedName name="N" localSheetId="20">#REF!</definedName>
    <definedName name="N" localSheetId="22">#REF!</definedName>
    <definedName name="N" localSheetId="21">#REF!</definedName>
    <definedName name="N" localSheetId="34">#REF!</definedName>
    <definedName name="N" localSheetId="8">#REF!</definedName>
    <definedName name="N" localSheetId="2">#REF!</definedName>
    <definedName name="N" localSheetId="13">#REF!</definedName>
    <definedName name="N">#REF!</definedName>
    <definedName name="NEBS">'[31]General Inputs'!$C$9</definedName>
    <definedName name="NewHome" localSheetId="13">#REF!</definedName>
    <definedName name="NewHome">#REF!</definedName>
    <definedName name="NG_AllClasses_RetailRate" localSheetId="13">#REF!</definedName>
    <definedName name="NG_AllClasses_RetailRate">#REF!</definedName>
    <definedName name="NG_Com_RetailRate" localSheetId="13">#REF!</definedName>
    <definedName name="NG_Com_RetailRate">#REF!</definedName>
    <definedName name="NG_Res_RetailRate" localSheetId="13">#REF!</definedName>
    <definedName name="NG_Res_RetailRate">#REF!</definedName>
    <definedName name="non_gas_damage_escalation" localSheetId="35">'[27]GENERAL INPUTS'!$D$31</definedName>
    <definedName name="non_gas_damage_escalation" localSheetId="15">'[27]GENERAL INPUTS'!$D$31</definedName>
    <definedName name="non_gas_damage_escalation" localSheetId="34">'[27]GENERAL INPUTS'!$D$31</definedName>
    <definedName name="non_gas_damage_escalation" localSheetId="9">'[27]GENERAL INPUTS'!$D$31</definedName>
    <definedName name="non_gas_damage_escalation">'[28]GENERAL INPUTS'!$D$31</definedName>
    <definedName name="non_gas_escalation" localSheetId="35">'[27]GENERAL INPUTS'!$D$14</definedName>
    <definedName name="non_gas_escalation" localSheetId="15">'[27]GENERAL INPUTS'!$D$14</definedName>
    <definedName name="non_gas_escalation" localSheetId="34">'[27]GENERAL INPUTS'!$D$14</definedName>
    <definedName name="non_gas_escalation" localSheetId="9">'[27]GENERAL INPUTS'!$D$14</definedName>
    <definedName name="non_gas_escalation">'[28]GENERAL INPUTS'!$D$14</definedName>
    <definedName name="Non_Gas_Fuel_Cost" localSheetId="35">'[27]GENERAL INPUTS'!$B$25</definedName>
    <definedName name="Non_Gas_Fuel_Cost" localSheetId="15">'[27]GENERAL INPUTS'!$B$25</definedName>
    <definedName name="Non_Gas_Fuel_Cost" localSheetId="34">'[27]GENERAL INPUTS'!$B$25</definedName>
    <definedName name="Non_Gas_Fuel_Cost" localSheetId="9">'[27]GENERAL INPUTS'!$B$25</definedName>
    <definedName name="Non_Gas_Fuel_Cost">'[28]GENERAL INPUTS'!$B$25</definedName>
    <definedName name="Non_Gas_Fuel_Environmental_Damage_Factor" localSheetId="35">'[27]GENERAL INPUTS'!$B$31</definedName>
    <definedName name="Non_Gas_Fuel_Environmental_Damage_Factor" localSheetId="15">'[27]GENERAL INPUTS'!$B$31</definedName>
    <definedName name="Non_Gas_Fuel_Environmental_Damage_Factor" localSheetId="34">'[27]GENERAL INPUTS'!$B$31</definedName>
    <definedName name="Non_Gas_Fuel_Environmental_Damage_Factor" localSheetId="9">'[27]GENERAL INPUTS'!$B$31</definedName>
    <definedName name="Non_Gas_Fuel_Environmental_Damage_Factor">'[28]GENERAL INPUTS'!$B$31</definedName>
    <definedName name="Non_Gas_Fuel_Loss_Factor" localSheetId="35">'[27]GENERAL INPUTS'!$B$27</definedName>
    <definedName name="Non_Gas_Fuel_Loss_Factor" localSheetId="15">'[27]GENERAL INPUTS'!$B$27</definedName>
    <definedName name="Non_Gas_Fuel_Loss_Factor" localSheetId="34">'[27]GENERAL INPUTS'!$B$27</definedName>
    <definedName name="Non_Gas_Fuel_Loss_Factor" localSheetId="9">'[27]GENERAL INPUTS'!$B$27</definedName>
    <definedName name="Non_Gas_Fuel_Loss_Factor">'[28]GENERAL INPUTS'!$B$27</definedName>
    <definedName name="Non_Gas_Fuel_Retail_Rate" localSheetId="35">'[27]GENERAL INPUTS'!$B$14</definedName>
    <definedName name="Non_Gas_Fuel_Retail_Rate" localSheetId="15">'[27]GENERAL INPUTS'!$B$14</definedName>
    <definedName name="Non_Gas_Fuel_Retail_Rate" localSheetId="34">'[27]GENERAL INPUTS'!$B$14</definedName>
    <definedName name="Non_Gas_Fuel_Retail_Rate" localSheetId="9">'[27]GENERAL INPUTS'!$B$14</definedName>
    <definedName name="Non_Gas_Fuel_Retail_Rate">'[28]GENERAL INPUTS'!$B$14</definedName>
    <definedName name="NorthShore_LineLoss" localSheetId="8">'[34]General Inputs'!$C$12</definedName>
    <definedName name="NorthShore_LineLoss">'[35]General Inputs'!$C$12</definedName>
    <definedName name="NorthShore_NonRes_Rate" localSheetId="8">'[34]General Inputs'!$C$16</definedName>
    <definedName name="NorthShore_NonRes_Rate">'[35]General Inputs'!$C$16</definedName>
    <definedName name="NorthShore_Res_Rate" localSheetId="8">'[34]General Inputs'!$C$15</definedName>
    <definedName name="NorthShore_Res_Rate">'[35]General Inputs'!$C$15</definedName>
    <definedName name="NPV_BC_results" localSheetId="11">#REF!</definedName>
    <definedName name="NPV_BC_results" localSheetId="8">#REF!</definedName>
    <definedName name="NPV_BC_results" localSheetId="13">#REF!</definedName>
    <definedName name="NPV_BC_results">#REF!</definedName>
    <definedName name="NTG_CH" localSheetId="8">#REF!</definedName>
    <definedName name="NTG_CH" localSheetId="13">#REF!</definedName>
    <definedName name="NTG_CH">#REF!</definedName>
    <definedName name="NTG_Energy" localSheetId="8">#REF!</definedName>
    <definedName name="NTG_Energy" localSheetId="13">#REF!</definedName>
    <definedName name="NTG_Energy">#REF!</definedName>
    <definedName name="OM_Escalation" localSheetId="8">'[25]Gen Inputs'!$C$13</definedName>
    <definedName name="OM_Escalation">'[26]Gen Inputs'!$C$13</definedName>
    <definedName name="Oriface">#REF!</definedName>
    <definedName name="P">"P"</definedName>
    <definedName name="PAdmDR" localSheetId="11">'[15]General Inputs'!#REF!</definedName>
    <definedName name="PAdmDR" localSheetId="35">'[44]General Inputs'!$D$35</definedName>
    <definedName name="PAdmDR" localSheetId="15">'[44]General Inputs'!$D$35</definedName>
    <definedName name="PAdmDR" localSheetId="34">'[44]General Inputs'!$D$35</definedName>
    <definedName name="PAdmDR" localSheetId="9">'[44]General Inputs'!$D$35</definedName>
    <definedName name="PAdmDR" localSheetId="8">'[16]General Inputs'!#REF!</definedName>
    <definedName name="PAdmDR" localSheetId="13">'[15]General Inputs'!#REF!</definedName>
    <definedName name="PAdmDR">'[45]General Inputs'!$D$35</definedName>
    <definedName name="PartDR" localSheetId="11">'[15]General Inputs'!#REF!</definedName>
    <definedName name="PartDR" localSheetId="8">'[16]General Inputs'!#REF!</definedName>
    <definedName name="PartDR" localSheetId="13">'[15]General Inputs'!#REF!</definedName>
    <definedName name="PartDR">'[15]General Inputs'!#REF!</definedName>
    <definedName name="participant_discount_comm" localSheetId="35">'[27]GENERAL INPUTS'!$B$34</definedName>
    <definedName name="participant_discount_comm" localSheetId="15">'[27]GENERAL INPUTS'!$B$34</definedName>
    <definedName name="participant_discount_comm" localSheetId="34">'[27]GENERAL INPUTS'!$B$34</definedName>
    <definedName name="participant_discount_comm" localSheetId="9">'[27]GENERAL INPUTS'!$B$34</definedName>
    <definedName name="participant_discount_comm">'[28]GENERAL INPUTS'!$B$34</definedName>
    <definedName name="Participant_Discount_Rate" localSheetId="8">'[25]Gen Inputs'!$B$15</definedName>
    <definedName name="Participant_Discount_Rate">'[26]Gen Inputs'!$B$15</definedName>
    <definedName name="participant_discount_res" localSheetId="35">'[27]GENERAL INPUTS'!$B$33</definedName>
    <definedName name="participant_discount_res" localSheetId="15">'[27]GENERAL INPUTS'!$B$33</definedName>
    <definedName name="participant_discount_res" localSheetId="34">'[27]GENERAL INPUTS'!$B$33</definedName>
    <definedName name="participant_discount_res" localSheetId="9">'[27]GENERAL INPUTS'!$B$33</definedName>
    <definedName name="participant_discount_res">'[28]GENERAL INPUTS'!$B$33</definedName>
    <definedName name="Peak" localSheetId="8">'[25]Gen Inputs'!$B$21</definedName>
    <definedName name="Peak">'[26]Gen Inputs'!$B$21</definedName>
    <definedName name="Peak_Line_Loss" localSheetId="11">'[35]General Inputs'!#REF!</definedName>
    <definedName name="Peak_Line_Loss" localSheetId="8">'[34]General Inputs'!#REF!</definedName>
    <definedName name="Peak_Line_Loss" localSheetId="13">'[35]General Inputs'!#REF!</definedName>
    <definedName name="Peak_Line_Loss">'[35]General Inputs'!#REF!</definedName>
    <definedName name="PEAK_LineLoss">'[31]General Inputs'!$C$7</definedName>
    <definedName name="peak_reduction_factor" localSheetId="35">'[27]GENERAL INPUTS'!$B$21</definedName>
    <definedName name="peak_reduction_factor" localSheetId="15">'[27]GENERAL INPUTS'!$B$21</definedName>
    <definedName name="peak_reduction_factor" localSheetId="34">'[27]GENERAL INPUTS'!$B$21</definedName>
    <definedName name="peak_reduction_factor" localSheetId="9">'[27]GENERAL INPUTS'!$B$21</definedName>
    <definedName name="peak_reduction_factor">'[28]GENERAL INPUTS'!$B$21</definedName>
    <definedName name="PeakLineLoss" localSheetId="11">'[17]General Inputs'!$B$14</definedName>
    <definedName name="PeakLineLoss" localSheetId="8">'[22]PY9 General Inputs'!$B$6</definedName>
    <definedName name="PeakLineLoss" localSheetId="13">'[17]General Inputs'!$B$14</definedName>
    <definedName name="PeakLineLoss">'[18]General Inputs'!$B$14</definedName>
    <definedName name="Peoples_LineLoss" localSheetId="8">'[34]General Inputs'!$B$12</definedName>
    <definedName name="Peoples_LineLoss">'[35]General Inputs'!$B$12</definedName>
    <definedName name="Peoples_NonRes_Rate" localSheetId="8">'[34]General Inputs'!$B$16</definedName>
    <definedName name="Peoples_NonRes_Rate">'[35]General Inputs'!$B$16</definedName>
    <definedName name="Peoples_Res_Rate" localSheetId="8">'[34]General Inputs'!$B$15</definedName>
    <definedName name="Peoples_Res_Rate">'[35]General Inputs'!$B$15</definedName>
    <definedName name="_xlnm.Print_Area" localSheetId="10">'ComEd Appliance NTG'!$A$1:$AE$149</definedName>
    <definedName name="_xlnm.Print_Area" localSheetId="3">'Measure-Level Adj Gas'!$C$1:$BE$227</definedName>
    <definedName name="_xlnm.Print_Area" localSheetId="8">'NTG-RES'!$B$6:$I$84</definedName>
    <definedName name="_xlnm.Print_Area" localSheetId="2">'Program-Level Adj Gas'!$C$1:$AA$22</definedName>
    <definedName name="_xlnm.Print_Titles" localSheetId="10">'ComEd Appliance NTG'!$1:$2</definedName>
    <definedName name="_xlnm.Print_Titles" localSheetId="3">'Measure-Level Adj Gas'!$C:$D,'Measure-Level Adj Gas'!$1:$7</definedName>
    <definedName name="_xlnm.Print_Titles" localSheetId="2">'Program-Level Adj Gas'!$C:$C</definedName>
    <definedName name="process_tuneup" localSheetId="25">'[19]BenCost Input Summary'!#REF!</definedName>
    <definedName name="process_tuneup" localSheetId="28">'[19]BenCost Input Summary'!#REF!</definedName>
    <definedName name="process_tuneup" localSheetId="24">'[19]BenCost Input Summary'!#REF!</definedName>
    <definedName name="process_tuneup" localSheetId="27">'[19]BenCost Input Summary'!#REF!</definedName>
    <definedName name="process_tuneup" localSheetId="30">'[19]BenCost Input Summary'!#REF!</definedName>
    <definedName name="process_tuneup" localSheetId="33">'[19]BenCost Input Summary'!#REF!</definedName>
    <definedName name="process_tuneup" localSheetId="35">'[19]BenCost Input Summary'!#REF!</definedName>
    <definedName name="process_tuneup" localSheetId="45">'[19]BenCost Input Summary'!#REF!</definedName>
    <definedName name="process_tuneup" localSheetId="46">'[19]BenCost Input Summary'!#REF!</definedName>
    <definedName name="process_tuneup" localSheetId="37">'[19]BenCost Input Summary'!#REF!</definedName>
    <definedName name="process_tuneup" localSheetId="38">'[19]BenCost Input Summary'!#REF!</definedName>
    <definedName name="process_tuneup" localSheetId="39">'[19]BenCost Input Summary'!#REF!</definedName>
    <definedName name="process_tuneup" localSheetId="40">'[19]BenCost Input Summary'!#REF!</definedName>
    <definedName name="process_tuneup" localSheetId="42">'[19]BenCost Input Summary'!#REF!</definedName>
    <definedName name="process_tuneup" localSheetId="43">'[19]BenCost Input Summary'!#REF!</definedName>
    <definedName name="process_tuneup" localSheetId="44">'[19]BenCost Input Summary'!#REF!</definedName>
    <definedName name="process_tuneup" localSheetId="41">'[19]BenCost Input Summary'!#REF!</definedName>
    <definedName name="process_tuneup" localSheetId="52">'[19]BenCost Input Summary'!#REF!</definedName>
    <definedName name="process_tuneup" localSheetId="53">'[19]BenCost Input Summary'!#REF!</definedName>
    <definedName name="process_tuneup" localSheetId="48">'[19]BenCost Input Summary'!#REF!</definedName>
    <definedName name="process_tuneup" localSheetId="50">'[19]BenCost Input Summary'!#REF!</definedName>
    <definedName name="process_tuneup" localSheetId="51">'[19]BenCost Input Summary'!#REF!</definedName>
    <definedName name="process_tuneup" localSheetId="55">'[19]BenCost Input Summary'!#REF!</definedName>
    <definedName name="process_tuneup" localSheetId="57">'[19]BenCost Input Summary'!#REF!</definedName>
    <definedName name="process_tuneup" localSheetId="29">'[19]BenCost Input Summary'!#REF!</definedName>
    <definedName name="process_tuneup" localSheetId="31">'[19]BenCost Input Summary'!#REF!</definedName>
    <definedName name="process_tuneup" localSheetId="32">'[19]BenCost Input Summary'!#REF!</definedName>
    <definedName name="process_tuneup" localSheetId="36">'[19]BenCost Input Summary'!#REF!</definedName>
    <definedName name="process_tuneup" localSheetId="17">'[19]BenCost Input Summary'!#REF!</definedName>
    <definedName name="process_tuneup" localSheetId="19">'[19]BenCost Input Summary'!#REF!</definedName>
    <definedName name="process_tuneup" localSheetId="18">'[19]BenCost Input Summary'!#REF!</definedName>
    <definedName name="process_tuneup" localSheetId="58">'[20]BenCost Input Summary'!#REF!</definedName>
    <definedName name="process_tuneup" localSheetId="15">'[19]BenCost Input Summary'!#REF!</definedName>
    <definedName name="process_tuneup" localSheetId="20">'[19]BenCost Input Summary'!#REF!</definedName>
    <definedName name="process_tuneup" localSheetId="22">'[19]BenCost Input Summary'!#REF!</definedName>
    <definedName name="process_tuneup" localSheetId="21">'[19]BenCost Input Summary'!#REF!</definedName>
    <definedName name="process_tuneup" localSheetId="34">'[19]BenCost Input Summary'!#REF!</definedName>
    <definedName name="process_tuneup" localSheetId="9">'[19]BenCost Input Summary'!#REF!</definedName>
    <definedName name="process_tuneup" localSheetId="2">'[21]BenCost Input Summary'!#REF!</definedName>
    <definedName name="process_tuneup">'[20]BenCost Input Summary'!#REF!</definedName>
    <definedName name="Program_Area" localSheetId="25">#REF!</definedName>
    <definedName name="Program_Area" localSheetId="28">#REF!</definedName>
    <definedName name="Program_Area" localSheetId="24">#REF!</definedName>
    <definedName name="Program_Area" localSheetId="27">#REF!</definedName>
    <definedName name="Program_Area" localSheetId="30">#REF!</definedName>
    <definedName name="Program_Area" localSheetId="33">#REF!</definedName>
    <definedName name="Program_Area" localSheetId="35">#REF!</definedName>
    <definedName name="Program_Area" localSheetId="45">#REF!</definedName>
    <definedName name="Program_Area" localSheetId="46">#REF!</definedName>
    <definedName name="Program_Area" localSheetId="37">#REF!</definedName>
    <definedName name="Program_Area" localSheetId="38">#REF!</definedName>
    <definedName name="Program_Area" localSheetId="39">#REF!</definedName>
    <definedName name="Program_Area" localSheetId="40">#REF!</definedName>
    <definedName name="Program_Area" localSheetId="42">#REF!</definedName>
    <definedName name="Program_Area" localSheetId="43">#REF!</definedName>
    <definedName name="Program_Area" localSheetId="44">#REF!</definedName>
    <definedName name="Program_Area" localSheetId="41">#REF!</definedName>
    <definedName name="Program_Area" localSheetId="52">#REF!</definedName>
    <definedName name="Program_Area" localSheetId="53">#REF!</definedName>
    <definedName name="Program_Area" localSheetId="48">#REF!</definedName>
    <definedName name="Program_Area" localSheetId="50">#REF!</definedName>
    <definedName name="Program_Area" localSheetId="51">#REF!</definedName>
    <definedName name="Program_Area" localSheetId="55">#REF!</definedName>
    <definedName name="Program_Area" localSheetId="57">#REF!</definedName>
    <definedName name="Program_Area" localSheetId="29">#REF!</definedName>
    <definedName name="Program_Area" localSheetId="31">#REF!</definedName>
    <definedName name="Program_Area" localSheetId="32">#REF!</definedName>
    <definedName name="Program_Area" localSheetId="36">#REF!</definedName>
    <definedName name="Program_Area" localSheetId="17">#REF!</definedName>
    <definedName name="Program_Area" localSheetId="19">#REF!</definedName>
    <definedName name="Program_Area" localSheetId="18">#REF!</definedName>
    <definedName name="Program_Area" localSheetId="58">#REF!</definedName>
    <definedName name="Program_Area" localSheetId="15">#REF!</definedName>
    <definedName name="Program_Area" localSheetId="20">#REF!</definedName>
    <definedName name="Program_Area" localSheetId="22">#REF!</definedName>
    <definedName name="Program_Area" localSheetId="21">#REF!</definedName>
    <definedName name="Program_Area" localSheetId="34">#REF!</definedName>
    <definedName name="Program_Area" localSheetId="8">#REF!</definedName>
    <definedName name="Program_Area" localSheetId="2">#REF!</definedName>
    <definedName name="Program_Area" localSheetId="13">#REF!</definedName>
    <definedName name="Program_Area">#REF!</definedName>
    <definedName name="program_name" localSheetId="8">#REF!</definedName>
    <definedName name="program_name" localSheetId="13">#REF!</definedName>
    <definedName name="program_name">#REF!</definedName>
    <definedName name="program_type" localSheetId="25">#REF!</definedName>
    <definedName name="program_type" localSheetId="28">#REF!</definedName>
    <definedName name="program_type" localSheetId="24">#REF!</definedName>
    <definedName name="program_type" localSheetId="27">#REF!</definedName>
    <definedName name="program_type" localSheetId="30">#REF!</definedName>
    <definedName name="program_type" localSheetId="33">#REF!</definedName>
    <definedName name="program_type" localSheetId="35">#REF!</definedName>
    <definedName name="program_type" localSheetId="45">#REF!</definedName>
    <definedName name="program_type" localSheetId="46">#REF!</definedName>
    <definedName name="program_type" localSheetId="37">#REF!</definedName>
    <definedName name="program_type" localSheetId="38">#REF!</definedName>
    <definedName name="program_type" localSheetId="39">#REF!</definedName>
    <definedName name="program_type" localSheetId="40">#REF!</definedName>
    <definedName name="program_type" localSheetId="42">#REF!</definedName>
    <definedName name="program_type" localSheetId="43">#REF!</definedName>
    <definedName name="program_type" localSheetId="44">#REF!</definedName>
    <definedName name="program_type" localSheetId="41">#REF!</definedName>
    <definedName name="program_type" localSheetId="52">#REF!</definedName>
    <definedName name="program_type" localSheetId="53">#REF!</definedName>
    <definedName name="program_type" localSheetId="48">#REF!</definedName>
    <definedName name="program_type" localSheetId="50">#REF!</definedName>
    <definedName name="program_type" localSheetId="51">#REF!</definedName>
    <definedName name="program_type" localSheetId="55">#REF!</definedName>
    <definedName name="program_type" localSheetId="57">#REF!</definedName>
    <definedName name="program_type" localSheetId="29">#REF!</definedName>
    <definedName name="program_type" localSheetId="31">#REF!</definedName>
    <definedName name="program_type" localSheetId="32">#REF!</definedName>
    <definedName name="program_type" localSheetId="36">#REF!</definedName>
    <definedName name="program_type" localSheetId="17">#REF!</definedName>
    <definedName name="program_type" localSheetId="19">#REF!</definedName>
    <definedName name="program_type" localSheetId="18">#REF!</definedName>
    <definedName name="program_type" localSheetId="20">#REF!</definedName>
    <definedName name="program_type" localSheetId="22">#REF!</definedName>
    <definedName name="program_type" localSheetId="21">#REF!</definedName>
    <definedName name="program_type">#REF!</definedName>
    <definedName name="ProgramCodes" localSheetId="58">'[57]Program Data'!$B$13:$B$42</definedName>
    <definedName name="ProgramCodes" localSheetId="8">'[53]Program Data'!$B$13:$B$42</definedName>
    <definedName name="ProgramCodes">'[54]Program Data'!$B$13:$B$42</definedName>
    <definedName name="Project_Analysis_Year_1" localSheetId="11">'[26]Gen Inputs'!$B$19</definedName>
    <definedName name="Project_Analysis_Year_1" localSheetId="35">'[27]GENERAL INPUTS'!$B$42</definedName>
    <definedName name="Project_Analysis_Year_1" localSheetId="15">'[27]GENERAL INPUTS'!$B$42</definedName>
    <definedName name="Project_Analysis_Year_1" localSheetId="34">'[27]GENERAL INPUTS'!$B$42</definedName>
    <definedName name="Project_Analysis_Year_1" localSheetId="9">'[27]GENERAL INPUTS'!$B$42</definedName>
    <definedName name="Project_Analysis_Year_1" localSheetId="8">'[25]Gen Inputs'!$B$19</definedName>
    <definedName name="Project_Analysis_Year_1" localSheetId="13">'[26]Gen Inputs'!$B$19</definedName>
    <definedName name="Project_Analysis_Year_1">'[28]GENERAL INPUTS'!$B$42</definedName>
    <definedName name="Project_Analysis_Year_2" localSheetId="35">'[27]GENERAL INPUTS'!$B$43</definedName>
    <definedName name="Project_Analysis_Year_2" localSheetId="15">'[27]GENERAL INPUTS'!$B$43</definedName>
    <definedName name="Project_Analysis_Year_2" localSheetId="34">'[27]GENERAL INPUTS'!$B$43</definedName>
    <definedName name="Project_Analysis_Year_2" localSheetId="9">'[27]GENERAL INPUTS'!$B$43</definedName>
    <definedName name="Project_Analysis_Year_2">'[28]GENERAL INPUTS'!$B$43</definedName>
    <definedName name="Project_Analysis_Year_3" localSheetId="35">'[27]GENERAL INPUTS'!$B$44</definedName>
    <definedName name="Project_Analysis_Year_3" localSheetId="15">'[27]GENERAL INPUTS'!$B$44</definedName>
    <definedName name="Project_Analysis_Year_3" localSheetId="34">'[27]GENERAL INPUTS'!$B$44</definedName>
    <definedName name="Project_Analysis_Year_3" localSheetId="9">'[27]GENERAL INPUTS'!$B$44</definedName>
    <definedName name="Project_Analysis_Year_3">'[28]GENERAL INPUTS'!$B$44</definedName>
    <definedName name="Project_OandM" localSheetId="11">#REF!</definedName>
    <definedName name="Project_OandM" localSheetId="8">#REF!</definedName>
    <definedName name="Project_OandM" localSheetId="13">#REF!</definedName>
    <definedName name="Project_OandM">#REF!</definedName>
    <definedName name="rate_code" localSheetId="8">[25]References!$A$30:$A$37</definedName>
    <definedName name="rate_code">[26]References!$A$30:$A$37</definedName>
    <definedName name="rate_codes" localSheetId="8">[25]References!$A$30:$E$37</definedName>
    <definedName name="rate_codes">[26]References!$A$30:$E$37</definedName>
    <definedName name="RefCap">#REF!</definedName>
    <definedName name="RefDoor">#REF!</definedName>
    <definedName name="Refrigerator" localSheetId="11">#REF!</definedName>
    <definedName name="Refrigerator" localSheetId="8">#REF!</definedName>
    <definedName name="Refrigerator" localSheetId="13">#REF!</definedName>
    <definedName name="Refrigerator">#REF!</definedName>
    <definedName name="ReplOpEERexist" localSheetId="11">'[58]Sample Database'!#REF!</definedName>
    <definedName name="ReplOpEERexist" localSheetId="8">'[59]Sample Database'!#REF!</definedName>
    <definedName name="ReplOpEERexist" localSheetId="13">'[58]Sample Database'!#REF!</definedName>
    <definedName name="ReplOpEERexist">'[58]Sample Database'!#REF!</definedName>
    <definedName name="Retail_Rate_AllClasses" localSheetId="11">#REF!</definedName>
    <definedName name="Retail_Rate_AllClasses" localSheetId="8">#REF!</definedName>
    <definedName name="Retail_Rate_AllClasses" localSheetId="13">#REF!</definedName>
    <definedName name="Retail_Rate_AllClasses">#REF!</definedName>
    <definedName name="Retail_Rate_commercial" localSheetId="11">'[26]Gen Inputs'!#REF!</definedName>
    <definedName name="retail_rate_commercial" localSheetId="35">'[27]GENERAL INPUTS'!$B$12</definedName>
    <definedName name="retail_rate_commercial" localSheetId="15">'[27]GENERAL INPUTS'!$B$12</definedName>
    <definedName name="retail_rate_commercial" localSheetId="34">'[27]GENERAL INPUTS'!$B$12</definedName>
    <definedName name="retail_rate_commercial" localSheetId="9">'[27]GENERAL INPUTS'!$B$12</definedName>
    <definedName name="Retail_Rate_commercial" localSheetId="8">'[25]Gen Inputs'!#REF!</definedName>
    <definedName name="Retail_Rate_commercial" localSheetId="13">'[26]Gen Inputs'!#REF!</definedName>
    <definedName name="retail_rate_commercial">'[28]GENERAL INPUTS'!$B$12</definedName>
    <definedName name="Retail_Rate_residential" localSheetId="11">'[26]Gen Inputs'!$B$9</definedName>
    <definedName name="retail_rate_residential" localSheetId="35">'[27]GENERAL INPUTS'!$B$11</definedName>
    <definedName name="retail_rate_residential" localSheetId="15">'[27]GENERAL INPUTS'!$B$11</definedName>
    <definedName name="retail_rate_residential" localSheetId="34">'[27]GENERAL INPUTS'!$B$11</definedName>
    <definedName name="retail_rate_residential" localSheetId="9">'[27]GENERAL INPUTS'!$B$11</definedName>
    <definedName name="Retail_Rate_residential" localSheetId="8">'[25]Gen Inputs'!$B$9</definedName>
    <definedName name="Retail_Rate_residential" localSheetId="13">'[26]Gen Inputs'!$B$9</definedName>
    <definedName name="retail_rate_residential">'[28]GENERAL INPUTS'!$B$11</definedName>
    <definedName name="RetrofitData" localSheetId="11">#REF!</definedName>
    <definedName name="RetrofitData" localSheetId="8">#REF!</definedName>
    <definedName name="RetrofitData" localSheetId="13">#REF!</definedName>
    <definedName name="RetrofitData">#REF!</definedName>
    <definedName name="ReverseCycle">#REF!</definedName>
    <definedName name="RinseBT">#REF!</definedName>
    <definedName name="RPayDR" localSheetId="11">'[15]General Inputs'!#REF!</definedName>
    <definedName name="RPayDR" localSheetId="8">'[16]General Inputs'!#REF!</definedName>
    <definedName name="RPayDR" localSheetId="13">'[15]General Inputs'!#REF!</definedName>
    <definedName name="RPayDR">'[15]General Inputs'!#REF!</definedName>
    <definedName name="saraaksdf" localSheetId="1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8"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3"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 localSheetId="8">'[16]General Inputs'!#REF!</definedName>
    <definedName name="SocDR" localSheetId="13">'[15]General Inputs'!#REF!</definedName>
    <definedName name="SocDR">'[15]General Inputs'!#REF!</definedName>
    <definedName name="Social_Discount_Rate" localSheetId="8">'[25]Gen Inputs'!$B$17</definedName>
    <definedName name="Social_Discount_Rate">'[26]Gen Inputs'!$B$17</definedName>
    <definedName name="societal_discount" localSheetId="35">'[27]GENERAL INPUTS'!$B$38</definedName>
    <definedName name="societal_discount" localSheetId="15">'[27]GENERAL INPUTS'!$B$38</definedName>
    <definedName name="societal_discount" localSheetId="34">'[27]GENERAL INPUTS'!$B$38</definedName>
    <definedName name="societal_discount" localSheetId="9">'[27]GENERAL INPUTS'!$B$38</definedName>
    <definedName name="societal_discount">'[28]GENERAL INPUTS'!$B$38</definedName>
    <definedName name="Standard">#REF!</definedName>
    <definedName name="StateTax" localSheetId="11">'[10]WACC &amp; IT'!#REF!</definedName>
    <definedName name="StateTax" localSheetId="8">'[11]WACC &amp; IT'!#REF!</definedName>
    <definedName name="StateTax" localSheetId="13">'[10]WACC &amp; IT'!#REF!</definedName>
    <definedName name="StateTax">'[10]WACC &amp; IT'!#REF!</definedName>
    <definedName name="Summer" localSheetId="8">'[25]Gen Inputs'!$B$25</definedName>
    <definedName name="Summer">'[26]Gen Inputs'!$B$25</definedName>
    <definedName name="Summer_Intermediate" localSheetId="11">'[26]AEG Bencost Pricing Inputs'!#REF!</definedName>
    <definedName name="Summer_Intermediate" localSheetId="8">'[25]AEG Bencost Pricing Inputs'!#REF!</definedName>
    <definedName name="Summer_Intermediate" localSheetId="13">'[26]AEG Bencost Pricing Inputs'!#REF!</definedName>
    <definedName name="Summer_Intermediate">'[26]AEG Bencost Pricing Inputs'!#REF!</definedName>
    <definedName name="Summer_Off_PeaK" localSheetId="11">'[26]AEG Bencost Pricing Inputs'!#REF!</definedName>
    <definedName name="Summer_Off_PeaK" localSheetId="8">'[25]AEG Bencost Pricing Inputs'!#REF!</definedName>
    <definedName name="Summer_Off_PeaK" localSheetId="13">'[26]AEG Bencost Pricing Inputs'!#REF!</definedName>
    <definedName name="Summer_Off_PeaK">'[26]AEG Bencost Pricing Inputs'!#REF!</definedName>
    <definedName name="Summer_On_Peak" localSheetId="11">'[26]AEG Bencost Pricing Inputs'!#REF!</definedName>
    <definedName name="Summer_On_Peak" localSheetId="8">'[25]AEG Bencost Pricing Inputs'!#REF!</definedName>
    <definedName name="Summer_On_Peak" localSheetId="13">'[26]AEG Bencost Pricing Inputs'!#REF!</definedName>
    <definedName name="Summer_On_Peak">'[26]AEG Bencost Pricing Inputs'!#REF!</definedName>
    <definedName name="t" localSheetId="11">#REF!</definedName>
    <definedName name="t" localSheetId="8">#REF!</definedName>
    <definedName name="t" localSheetId="13">#REF!</definedName>
    <definedName name="t">#REF!</definedName>
    <definedName name="Test_ante" localSheetId="25">#REF!</definedName>
    <definedName name="Test_ante" localSheetId="28">#REF!</definedName>
    <definedName name="Test_ante" localSheetId="24">#REF!</definedName>
    <definedName name="Test_ante" localSheetId="27">#REF!</definedName>
    <definedName name="Test_ante" localSheetId="30">#REF!</definedName>
    <definedName name="Test_ante" localSheetId="33">#REF!</definedName>
    <definedName name="Test_ante" localSheetId="35">#REF!</definedName>
    <definedName name="Test_ante" localSheetId="45">#REF!</definedName>
    <definedName name="Test_ante" localSheetId="46">#REF!</definedName>
    <definedName name="Test_ante" localSheetId="37">#REF!</definedName>
    <definedName name="Test_ante" localSheetId="38">#REF!</definedName>
    <definedName name="Test_ante" localSheetId="39">#REF!</definedName>
    <definedName name="Test_ante" localSheetId="40">#REF!</definedName>
    <definedName name="Test_ante" localSheetId="42">#REF!</definedName>
    <definedName name="Test_ante" localSheetId="43">#REF!</definedName>
    <definedName name="Test_ante" localSheetId="44">#REF!</definedName>
    <definedName name="Test_ante" localSheetId="41">#REF!</definedName>
    <definedName name="Test_ante" localSheetId="52">#REF!</definedName>
    <definedName name="Test_ante" localSheetId="53">#REF!</definedName>
    <definedName name="Test_ante" localSheetId="48">#REF!</definedName>
    <definedName name="Test_ante" localSheetId="50">#REF!</definedName>
    <definedName name="Test_ante" localSheetId="51">#REF!</definedName>
    <definedName name="Test_ante" localSheetId="55">#REF!</definedName>
    <definedName name="Test_ante" localSheetId="57">#REF!</definedName>
    <definedName name="Test_ante" localSheetId="29">#REF!</definedName>
    <definedName name="Test_ante" localSheetId="31">#REF!</definedName>
    <definedName name="Test_ante" localSheetId="32">#REF!</definedName>
    <definedName name="Test_ante" localSheetId="36">#REF!</definedName>
    <definedName name="Test_ante" localSheetId="17">#REF!</definedName>
    <definedName name="Test_ante" localSheetId="19">#REF!</definedName>
    <definedName name="Test_ante" localSheetId="18">#REF!</definedName>
    <definedName name="Test_ante" localSheetId="58">#REF!</definedName>
    <definedName name="Test_ante" localSheetId="20">#REF!</definedName>
    <definedName name="Test_ante" localSheetId="22">#REF!</definedName>
    <definedName name="Test_ante" localSheetId="21">#REF!</definedName>
    <definedName name="Test_ante" localSheetId="34">#REF!</definedName>
    <definedName name="Test_ante">#REF!</definedName>
    <definedName name="testgeorge" localSheetId="25">#REF!</definedName>
    <definedName name="testgeorge" localSheetId="28">#REF!</definedName>
    <definedName name="testgeorge" localSheetId="24">#REF!</definedName>
    <definedName name="testgeorge" localSheetId="27">#REF!</definedName>
    <definedName name="testgeorge" localSheetId="30">#REF!</definedName>
    <definedName name="testgeorge" localSheetId="33">#REF!</definedName>
    <definedName name="testgeorge" localSheetId="35">#REF!</definedName>
    <definedName name="testgeorge" localSheetId="45">#REF!</definedName>
    <definedName name="testgeorge" localSheetId="46">#REF!</definedName>
    <definedName name="testgeorge" localSheetId="37">#REF!</definedName>
    <definedName name="testgeorge" localSheetId="38">#REF!</definedName>
    <definedName name="testgeorge" localSheetId="39">#REF!</definedName>
    <definedName name="testgeorge" localSheetId="40">#REF!</definedName>
    <definedName name="testgeorge" localSheetId="42">#REF!</definedName>
    <definedName name="testgeorge" localSheetId="43">#REF!</definedName>
    <definedName name="testgeorge" localSheetId="44">#REF!</definedName>
    <definedName name="testgeorge" localSheetId="41">#REF!</definedName>
    <definedName name="testgeorge" localSheetId="52">#REF!</definedName>
    <definedName name="testgeorge" localSheetId="53">#REF!</definedName>
    <definedName name="testgeorge" localSheetId="48">#REF!</definedName>
    <definedName name="testgeorge" localSheetId="50">#REF!</definedName>
    <definedName name="testgeorge" localSheetId="51">#REF!</definedName>
    <definedName name="testgeorge" localSheetId="55">#REF!</definedName>
    <definedName name="testgeorge" localSheetId="57">#REF!</definedName>
    <definedName name="testgeorge" localSheetId="29">#REF!</definedName>
    <definedName name="testgeorge" localSheetId="31">#REF!</definedName>
    <definedName name="testgeorge" localSheetId="32">#REF!</definedName>
    <definedName name="testgeorge" localSheetId="36">#REF!</definedName>
    <definedName name="testgeorge" localSheetId="17">#REF!</definedName>
    <definedName name="testgeorge" localSheetId="19">#REF!</definedName>
    <definedName name="testgeorge" localSheetId="18">#REF!</definedName>
    <definedName name="testgeorge" localSheetId="58">#REF!</definedName>
    <definedName name="testgeorge" localSheetId="20">#REF!</definedName>
    <definedName name="testgeorge" localSheetId="22">#REF!</definedName>
    <definedName name="testgeorge" localSheetId="21">#REF!</definedName>
    <definedName name="testgeorge" localSheetId="34">#REF!</definedName>
    <definedName name="testgeorge">#REF!</definedName>
    <definedName name="testharry" localSheetId="25">#REF!</definedName>
    <definedName name="testharry" localSheetId="28">#REF!</definedName>
    <definedName name="testharry" localSheetId="24">#REF!</definedName>
    <definedName name="testharry" localSheetId="27">#REF!</definedName>
    <definedName name="testharry" localSheetId="30">#REF!</definedName>
    <definedName name="testharry" localSheetId="33">#REF!</definedName>
    <definedName name="testharry" localSheetId="35">#REF!</definedName>
    <definedName name="testharry" localSheetId="45">#REF!</definedName>
    <definedName name="testharry" localSheetId="46">#REF!</definedName>
    <definedName name="testharry" localSheetId="37">#REF!</definedName>
    <definedName name="testharry" localSheetId="38">#REF!</definedName>
    <definedName name="testharry" localSheetId="39">#REF!</definedName>
    <definedName name="testharry" localSheetId="40">#REF!</definedName>
    <definedName name="testharry" localSheetId="42">#REF!</definedName>
    <definedName name="testharry" localSheetId="43">#REF!</definedName>
    <definedName name="testharry" localSheetId="44">#REF!</definedName>
    <definedName name="testharry" localSheetId="41">#REF!</definedName>
    <definedName name="testharry" localSheetId="52">#REF!</definedName>
    <definedName name="testharry" localSheetId="53">#REF!</definedName>
    <definedName name="testharry" localSheetId="48">#REF!</definedName>
    <definedName name="testharry" localSheetId="50">#REF!</definedName>
    <definedName name="testharry" localSheetId="51">#REF!</definedName>
    <definedName name="testharry" localSheetId="55">#REF!</definedName>
    <definedName name="testharry" localSheetId="57">#REF!</definedName>
    <definedName name="testharry" localSheetId="29">#REF!</definedName>
    <definedName name="testharry" localSheetId="31">#REF!</definedName>
    <definedName name="testharry" localSheetId="32">#REF!</definedName>
    <definedName name="testharry" localSheetId="36">#REF!</definedName>
    <definedName name="testharry" localSheetId="17">#REF!</definedName>
    <definedName name="testharry" localSheetId="19">#REF!</definedName>
    <definedName name="testharry" localSheetId="18">#REF!</definedName>
    <definedName name="testharry" localSheetId="58">#REF!</definedName>
    <definedName name="testharry" localSheetId="20">#REF!</definedName>
    <definedName name="testharry" localSheetId="22">#REF!</definedName>
    <definedName name="testharry" localSheetId="21">#REF!</definedName>
    <definedName name="testharry" localSheetId="34">#REF!</definedName>
    <definedName name="testharry">#REF!</definedName>
    <definedName name="testincremental" localSheetId="25">#REF!</definedName>
    <definedName name="testincremental" localSheetId="28">#REF!</definedName>
    <definedName name="testincremental" localSheetId="24">#REF!</definedName>
    <definedName name="testincremental" localSheetId="27">#REF!</definedName>
    <definedName name="testincremental" localSheetId="30">#REF!</definedName>
    <definedName name="testincremental" localSheetId="33">#REF!</definedName>
    <definedName name="testincremental" localSheetId="35">#REF!</definedName>
    <definedName name="testincremental" localSheetId="45">#REF!</definedName>
    <definedName name="testincremental" localSheetId="46">#REF!</definedName>
    <definedName name="testincremental" localSheetId="37">#REF!</definedName>
    <definedName name="testincremental" localSheetId="38">#REF!</definedName>
    <definedName name="testincremental" localSheetId="39">#REF!</definedName>
    <definedName name="testincremental" localSheetId="40">#REF!</definedName>
    <definedName name="testincremental" localSheetId="42">#REF!</definedName>
    <definedName name="testincremental" localSheetId="43">#REF!</definedName>
    <definedName name="testincremental" localSheetId="44">#REF!</definedName>
    <definedName name="testincremental" localSheetId="41">#REF!</definedName>
    <definedName name="testincremental" localSheetId="52">#REF!</definedName>
    <definedName name="testincremental" localSheetId="53">#REF!</definedName>
    <definedName name="testincremental" localSheetId="48">#REF!</definedName>
    <definedName name="testincremental" localSheetId="50">#REF!</definedName>
    <definedName name="testincremental" localSheetId="51">#REF!</definedName>
    <definedName name="testincremental" localSheetId="55">#REF!</definedName>
    <definedName name="testincremental" localSheetId="57">#REF!</definedName>
    <definedName name="testincremental" localSheetId="29">#REF!</definedName>
    <definedName name="testincremental" localSheetId="31">#REF!</definedName>
    <definedName name="testincremental" localSheetId="32">#REF!</definedName>
    <definedName name="testincremental" localSheetId="36">#REF!</definedName>
    <definedName name="testincremental" localSheetId="17">#REF!</definedName>
    <definedName name="testincremental" localSheetId="19">#REF!</definedName>
    <definedName name="testincremental" localSheetId="18">#REF!</definedName>
    <definedName name="testincremental" localSheetId="20">#REF!</definedName>
    <definedName name="testincremental" localSheetId="22">#REF!</definedName>
    <definedName name="testincremental" localSheetId="21">#REF!</definedName>
    <definedName name="testincremental">#REF!</definedName>
    <definedName name="testmeasures" localSheetId="25">#REF!</definedName>
    <definedName name="testmeasures" localSheetId="28">#REF!</definedName>
    <definedName name="testmeasures" localSheetId="24">#REF!</definedName>
    <definedName name="testmeasures" localSheetId="27">#REF!</definedName>
    <definedName name="testmeasures" localSheetId="30">#REF!</definedName>
    <definedName name="testmeasures" localSheetId="33">#REF!</definedName>
    <definedName name="testmeasures" localSheetId="35">#REF!</definedName>
    <definedName name="testmeasures" localSheetId="45">#REF!</definedName>
    <definedName name="testmeasures" localSheetId="46">#REF!</definedName>
    <definedName name="testmeasures" localSheetId="37">#REF!</definedName>
    <definedName name="testmeasures" localSheetId="38">#REF!</definedName>
    <definedName name="testmeasures" localSheetId="39">#REF!</definedName>
    <definedName name="testmeasures" localSheetId="40">#REF!</definedName>
    <definedName name="testmeasures" localSheetId="42">#REF!</definedName>
    <definedName name="testmeasures" localSheetId="43">#REF!</definedName>
    <definedName name="testmeasures" localSheetId="44">#REF!</definedName>
    <definedName name="testmeasures" localSheetId="41">#REF!</definedName>
    <definedName name="testmeasures" localSheetId="52">#REF!</definedName>
    <definedName name="testmeasures" localSheetId="53">#REF!</definedName>
    <definedName name="testmeasures" localSheetId="48">#REF!</definedName>
    <definedName name="testmeasures" localSheetId="50">#REF!</definedName>
    <definedName name="testmeasures" localSheetId="51">#REF!</definedName>
    <definedName name="testmeasures" localSheetId="55">#REF!</definedName>
    <definedName name="testmeasures" localSheetId="57">#REF!</definedName>
    <definedName name="testmeasures" localSheetId="29">#REF!</definedName>
    <definedName name="testmeasures" localSheetId="31">#REF!</definedName>
    <definedName name="testmeasures" localSheetId="32">#REF!</definedName>
    <definedName name="testmeasures" localSheetId="36">#REF!</definedName>
    <definedName name="testmeasures" localSheetId="17">#REF!</definedName>
    <definedName name="testmeasures" localSheetId="19">#REF!</definedName>
    <definedName name="testmeasures" localSheetId="18">#REF!</definedName>
    <definedName name="testmeasures" localSheetId="20">#REF!</definedName>
    <definedName name="testmeasures" localSheetId="22">#REF!</definedName>
    <definedName name="testmeasures" localSheetId="21">#REF!</definedName>
    <definedName name="testmeasures">#REF!</definedName>
    <definedName name="TestPivot" localSheetId="25">#REF!</definedName>
    <definedName name="TestPivot" localSheetId="28">#REF!</definedName>
    <definedName name="TestPivot" localSheetId="24">#REF!</definedName>
    <definedName name="TestPivot" localSheetId="27">#REF!</definedName>
    <definedName name="TestPivot" localSheetId="30">#REF!</definedName>
    <definedName name="TestPivot" localSheetId="33">#REF!</definedName>
    <definedName name="TestPivot" localSheetId="35">#REF!</definedName>
    <definedName name="TestPivot" localSheetId="45">#REF!</definedName>
    <definedName name="TestPivot" localSheetId="46">#REF!</definedName>
    <definedName name="TestPivot" localSheetId="37">#REF!</definedName>
    <definedName name="TestPivot" localSheetId="38">#REF!</definedName>
    <definedName name="TestPivot" localSheetId="39">#REF!</definedName>
    <definedName name="TestPivot" localSheetId="40">#REF!</definedName>
    <definedName name="TestPivot" localSheetId="42">#REF!</definedName>
    <definedName name="TestPivot" localSheetId="43">#REF!</definedName>
    <definedName name="TestPivot" localSheetId="44">#REF!</definedName>
    <definedName name="TestPivot" localSheetId="41">#REF!</definedName>
    <definedName name="TestPivot" localSheetId="52">#REF!</definedName>
    <definedName name="TestPivot" localSheetId="53">#REF!</definedName>
    <definedName name="TestPivot" localSheetId="48">#REF!</definedName>
    <definedName name="TestPivot" localSheetId="50">#REF!</definedName>
    <definedName name="TestPivot" localSheetId="51">#REF!</definedName>
    <definedName name="TestPivot" localSheetId="55">#REF!</definedName>
    <definedName name="TestPivot" localSheetId="57">#REF!</definedName>
    <definedName name="TestPivot" localSheetId="29">#REF!</definedName>
    <definedName name="TestPivot" localSheetId="31">#REF!</definedName>
    <definedName name="TestPivot" localSheetId="32">#REF!</definedName>
    <definedName name="TestPivot" localSheetId="36">#REF!</definedName>
    <definedName name="TestPivot" localSheetId="17">#REF!</definedName>
    <definedName name="TestPivot" localSheetId="19">#REF!</definedName>
    <definedName name="TestPivot" localSheetId="18">#REF!</definedName>
    <definedName name="TestPivot" localSheetId="20">#REF!</definedName>
    <definedName name="TestPivot" localSheetId="22">#REF!</definedName>
    <definedName name="TestPivot" localSheetId="21">#REF!</definedName>
    <definedName name="TestPivot">#REF!</definedName>
    <definedName name="testprogram" localSheetId="25">#REF!</definedName>
    <definedName name="testprogram" localSheetId="28">#REF!</definedName>
    <definedName name="testprogram" localSheetId="24">#REF!</definedName>
    <definedName name="testprogram" localSheetId="27">#REF!</definedName>
    <definedName name="testprogram" localSheetId="30">#REF!</definedName>
    <definedName name="testprogram" localSheetId="33">#REF!</definedName>
    <definedName name="testprogram" localSheetId="35">#REF!</definedName>
    <definedName name="testprogram" localSheetId="45">#REF!</definedName>
    <definedName name="testprogram" localSheetId="46">#REF!</definedName>
    <definedName name="testprogram" localSheetId="37">#REF!</definedName>
    <definedName name="testprogram" localSheetId="38">#REF!</definedName>
    <definedName name="testprogram" localSheetId="39">#REF!</definedName>
    <definedName name="testprogram" localSheetId="40">#REF!</definedName>
    <definedName name="testprogram" localSheetId="42">#REF!</definedName>
    <definedName name="testprogram" localSheetId="43">#REF!</definedName>
    <definedName name="testprogram" localSheetId="44">#REF!</definedName>
    <definedName name="testprogram" localSheetId="41">#REF!</definedName>
    <definedName name="testprogram" localSheetId="52">#REF!</definedName>
    <definedName name="testprogram" localSheetId="53">#REF!</definedName>
    <definedName name="testprogram" localSheetId="48">#REF!</definedName>
    <definedName name="testprogram" localSheetId="50">#REF!</definedName>
    <definedName name="testprogram" localSheetId="51">#REF!</definedName>
    <definedName name="testprogram" localSheetId="55">#REF!</definedName>
    <definedName name="testprogram" localSheetId="57">#REF!</definedName>
    <definedName name="testprogram" localSheetId="29">#REF!</definedName>
    <definedName name="testprogram" localSheetId="31">#REF!</definedName>
    <definedName name="testprogram" localSheetId="32">#REF!</definedName>
    <definedName name="testprogram" localSheetId="36">#REF!</definedName>
    <definedName name="testprogram" localSheetId="17">#REF!</definedName>
    <definedName name="testprogram" localSheetId="19">#REF!</definedName>
    <definedName name="testprogram" localSheetId="18">#REF!</definedName>
    <definedName name="testprogram" localSheetId="20">#REF!</definedName>
    <definedName name="testprogram" localSheetId="22">#REF!</definedName>
    <definedName name="testprogram" localSheetId="21">#REF!</definedName>
    <definedName name="testprogram">#REF!</definedName>
    <definedName name="Thousand">1000</definedName>
    <definedName name="Total_Incremental_Cost" localSheetId="25">#REF!</definedName>
    <definedName name="Total_Incremental_Cost" localSheetId="28">#REF!</definedName>
    <definedName name="Total_Incremental_Cost" localSheetId="24">#REF!</definedName>
    <definedName name="Total_Incremental_Cost" localSheetId="27">#REF!</definedName>
    <definedName name="Total_Incremental_Cost" localSheetId="30">#REF!</definedName>
    <definedName name="Total_Incremental_Cost" localSheetId="33">#REF!</definedName>
    <definedName name="Total_Incremental_Cost" localSheetId="35">#REF!</definedName>
    <definedName name="Total_Incremental_Cost" localSheetId="45">#REF!</definedName>
    <definedName name="Total_Incremental_Cost" localSheetId="46">#REF!</definedName>
    <definedName name="Total_Incremental_Cost" localSheetId="37">#REF!</definedName>
    <definedName name="Total_Incremental_Cost" localSheetId="38">#REF!</definedName>
    <definedName name="Total_Incremental_Cost" localSheetId="39">#REF!</definedName>
    <definedName name="Total_Incremental_Cost" localSheetId="40">#REF!</definedName>
    <definedName name="Total_Incremental_Cost" localSheetId="42">#REF!</definedName>
    <definedName name="Total_Incremental_Cost" localSheetId="43">#REF!</definedName>
    <definedName name="Total_Incremental_Cost" localSheetId="44">#REF!</definedName>
    <definedName name="Total_Incremental_Cost" localSheetId="41">#REF!</definedName>
    <definedName name="Total_Incremental_Cost" localSheetId="52">#REF!</definedName>
    <definedName name="Total_Incremental_Cost" localSheetId="53">#REF!</definedName>
    <definedName name="Total_Incremental_Cost" localSheetId="48">#REF!</definedName>
    <definedName name="Total_Incremental_Cost" localSheetId="50">#REF!</definedName>
    <definedName name="Total_Incremental_Cost" localSheetId="51">#REF!</definedName>
    <definedName name="Total_Incremental_Cost" localSheetId="55">#REF!</definedName>
    <definedName name="Total_Incremental_Cost" localSheetId="57">#REF!</definedName>
    <definedName name="Total_Incremental_Cost" localSheetId="29">#REF!</definedName>
    <definedName name="Total_Incremental_Cost" localSheetId="31">#REF!</definedName>
    <definedName name="Total_Incremental_Cost" localSheetId="32">#REF!</definedName>
    <definedName name="Total_Incremental_Cost" localSheetId="36">#REF!</definedName>
    <definedName name="Total_Incremental_Cost" localSheetId="17">#REF!</definedName>
    <definedName name="Total_Incremental_Cost" localSheetId="19">#REF!</definedName>
    <definedName name="Total_Incremental_Cost" localSheetId="18">#REF!</definedName>
    <definedName name="Total_Incremental_Cost" localSheetId="58">#REF!</definedName>
    <definedName name="Total_Incremental_Cost" localSheetId="15">#REF!</definedName>
    <definedName name="Total_Incremental_Cost" localSheetId="20">#REF!</definedName>
    <definedName name="Total_Incremental_Cost" localSheetId="22">#REF!</definedName>
    <definedName name="Total_Incremental_Cost" localSheetId="21">#REF!</definedName>
    <definedName name="Total_Incremental_Cost" localSheetId="34">#REF!</definedName>
    <definedName name="Total_Incremental_Cost" localSheetId="8">#REF!</definedName>
    <definedName name="Total_Incremental_Cost" localSheetId="2">#REF!</definedName>
    <definedName name="Total_Incremental_Cost" localSheetId="13">#REF!</definedName>
    <definedName name="Total_Incremental_Cost">#REF!</definedName>
    <definedName name="TRCNomDR" localSheetId="8">'[16]General Inputs'!$B$8</definedName>
    <definedName name="TRCNomDR">'[15]General Inputs'!$B$8</definedName>
    <definedName name="UDR" localSheetId="8">'[25]AEG Bencost Pricing Inputs'!$F$134</definedName>
    <definedName name="UDR">'[26]AEG Bencost Pricing Inputs'!$F$134</definedName>
    <definedName name="utility_discount" localSheetId="35">'[27]GENERAL INPUTS'!$B$36</definedName>
    <definedName name="utility_discount" localSheetId="15">'[27]GENERAL INPUTS'!$B$36</definedName>
    <definedName name="utility_discount" localSheetId="34">'[27]GENERAL INPUTS'!$B$36</definedName>
    <definedName name="utility_discount" localSheetId="9">'[27]GENERAL INPUTS'!$B$36</definedName>
    <definedName name="utility_discount">'[28]GENERAL INPUTS'!$B$36</definedName>
    <definedName name="Utility_Discount_Rate" localSheetId="8">'[25]Gen Inputs'!$B$16</definedName>
    <definedName name="Utility_Discount_Rate">'[26]Gen Inputs'!$B$16</definedName>
    <definedName name="Variable_O_M" localSheetId="8">'[25]Gen Inputs'!$B$12</definedName>
    <definedName name="Variable_O_M">'[26]Gen Inputs'!$B$12</definedName>
    <definedName name="variable_OM" localSheetId="35">'[27]GENERAL INPUTS'!$B$23</definedName>
    <definedName name="variable_OM" localSheetId="15">'[27]GENERAL INPUTS'!$B$23</definedName>
    <definedName name="variable_OM" localSheetId="34">'[27]GENERAL INPUTS'!$B$23</definedName>
    <definedName name="variable_OM" localSheetId="9">'[27]GENERAL INPUTS'!$B$23</definedName>
    <definedName name="variable_OM">'[28]GENERAL INPUTS'!$B$23</definedName>
    <definedName name="Vending">#REF!</definedName>
    <definedName name="VFDBT">#REF!</definedName>
    <definedName name="VFDControls">#REF!</definedName>
    <definedName name="Water_Losses" localSheetId="11">'[17]General Inputs'!$B$17</definedName>
    <definedName name="Water_Losses" localSheetId="13">'[17]General Inputs'!$B$17</definedName>
    <definedName name="Water_Losses">'[18]General Inputs'!$B$17</definedName>
    <definedName name="Winter" localSheetId="8">'[25]Gen Inputs'!$B$26</definedName>
    <definedName name="Winter">'[26]Gen Inputs'!$B$26</definedName>
    <definedName name="Winter_Intermediate" localSheetId="11">'[26]AEG Bencost Pricing Inputs'!#REF!</definedName>
    <definedName name="Winter_Intermediate" localSheetId="8">'[25]AEG Bencost Pricing Inputs'!#REF!</definedName>
    <definedName name="Winter_Intermediate" localSheetId="13">'[26]AEG Bencost Pricing Inputs'!#REF!</definedName>
    <definedName name="Winter_Intermediate">'[26]AEG Bencost Pricing Inputs'!#REF!</definedName>
    <definedName name="Winter_Off_Peak" localSheetId="11">'[26]AEG Bencost Pricing Inputs'!#REF!</definedName>
    <definedName name="Winter_Off_Peak" localSheetId="8">'[25]AEG Bencost Pricing Inputs'!#REF!</definedName>
    <definedName name="Winter_Off_Peak" localSheetId="13">'[26]AEG Bencost Pricing Inputs'!#REF!</definedName>
    <definedName name="Winter_Off_Peak">'[26]AEG Bencost Pricing Inputs'!#REF!</definedName>
    <definedName name="wrn.COST._.ALLOC._.STUDY._.1997._.CLFP." localSheetId="1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8"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3"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11" hidden="1">{#N/A,#N/A,TRUE,"DATA INPUTS"}</definedName>
    <definedName name="wrn.DATA._.INPUTS." localSheetId="10" hidden="1">{#N/A,#N/A,TRUE,"DATA INPUTS"}</definedName>
    <definedName name="wrn.DATA._.INPUTS." localSheetId="8" hidden="1">{#N/A,#N/A,TRUE,"DATA INPUTS"}</definedName>
    <definedName name="wrn.DATA._.INPUTS." localSheetId="13" hidden="1">{#N/A,#N/A,TRUE,"DATA INPUTS"}</definedName>
    <definedName name="wrn.DATA._.INPUTS." hidden="1">{#N/A,#N/A,TRUE,"DATA INPUTS"}</definedName>
    <definedName name="wrn.Other._.Schedules." localSheetId="1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8"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3"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11" hidden="1">{"RAK-1, Schedule 1",#N/A,FALSE,"Electric";"RAK-1, Schedule 2",#N/A,FALSE,"Electric";"RAK-1, Schedule 4",#N/A,FALSE,"Electric"}</definedName>
    <definedName name="wrn.RAK1." localSheetId="10" hidden="1">{"RAK-1, Schedule 1",#N/A,FALSE,"Electric";"RAK-1, Schedule 2",#N/A,FALSE,"Electric";"RAK-1, Schedule 4",#N/A,FALSE,"Electric"}</definedName>
    <definedName name="wrn.RAK1." localSheetId="8" hidden="1">{"RAK-1, Schedule 1",#N/A,FALSE,"Electric";"RAK-1, Schedule 2",#N/A,FALSE,"Electric";"RAK-1, Schedule 4",#N/A,FALSE,"Electric"}</definedName>
    <definedName name="wrn.RAK1." localSheetId="13" hidden="1">{"RAK-1, Schedule 1",#N/A,FALSE,"Electric";"RAK-1, Schedule 2",#N/A,FALSE,"Electric";"RAK-1, Schedule 4",#N/A,FALSE,"Electric"}</definedName>
    <definedName name="wrn.RAK1." hidden="1">{"RAK-1, Schedule 1",#N/A,FALSE,"Electric";"RAK-1, Schedule 2",#N/A,FALSE,"Electric";"RAK-1, Schedule 4",#N/A,FALSE,"Electric"}</definedName>
    <definedName name="wrn.RAK2." localSheetId="11"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8"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3"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11" hidden="1">{#N/A,#N/A,FALSE,"Revenue Requirements";#N/A,#N/A,FALSE,"Capital Structure";#N/A,#N/A,FALSE,"Cost of Debt";#N/A,#N/A,FALSE,"Electric";#N/A,#N/A,FALSE,"Gas";#N/A,#N/A,FALSE,"CWC";#N/A,#N/A,FALSE,"Income Taxes"}</definedName>
    <definedName name="wrn.RevReq." localSheetId="10" hidden="1">{#N/A,#N/A,FALSE,"Revenue Requirements";#N/A,#N/A,FALSE,"Capital Structure";#N/A,#N/A,FALSE,"Cost of Debt";#N/A,#N/A,FALSE,"Electric";#N/A,#N/A,FALSE,"Gas";#N/A,#N/A,FALSE,"CWC";#N/A,#N/A,FALSE,"Income Taxes"}</definedName>
    <definedName name="wrn.RevReq." localSheetId="8" hidden="1">{#N/A,#N/A,FALSE,"Revenue Requirements";#N/A,#N/A,FALSE,"Capital Structure";#N/A,#N/A,FALSE,"Cost of Debt";#N/A,#N/A,FALSE,"Electric";#N/A,#N/A,FALSE,"Gas";#N/A,#N/A,FALSE,"CWC";#N/A,#N/A,FALSE,"Income Taxes"}</definedName>
    <definedName name="wrn.RevReq." localSheetId="13"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11" hidden="1">{"ERB1",#N/A,FALSE,"Electric";"ERB2",#N/A,FALSE,"Electric";"ERB3",#N/A,FALSE,"Electric";"ERB4",#N/A,FALSE,"Electric";"ERB5",#N/A,FALSE,"Electric"}</definedName>
    <definedName name="wrn.Schedule._.4." localSheetId="10" hidden="1">{"ERB1",#N/A,FALSE,"Electric";"ERB2",#N/A,FALSE,"Electric";"ERB3",#N/A,FALSE,"Electric";"ERB4",#N/A,FALSE,"Electric";"ERB5",#N/A,FALSE,"Electric"}</definedName>
    <definedName name="wrn.Schedule._.4." localSheetId="8" hidden="1">{"ERB1",#N/A,FALSE,"Electric";"ERB2",#N/A,FALSE,"Electric";"ERB3",#N/A,FALSE,"Electric";"ERB4",#N/A,FALSE,"Electric";"ERB5",#N/A,FALSE,"Electric"}</definedName>
    <definedName name="wrn.Schedule._.4." localSheetId="13"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11" hidden="1">{"EE1",#N/A,FALSE,"Electric";"EE2",#N/A,FALSE,"Electric";"EE3",#N/A,FALSE,"Electric";"EE4",#N/A,FALSE,"Electric";"EE5",#N/A,FALSE,"Electric"}</definedName>
    <definedName name="wrn.Schedule._.5." localSheetId="10" hidden="1">{"EE1",#N/A,FALSE,"Electric";"EE2",#N/A,FALSE,"Electric";"EE3",#N/A,FALSE,"Electric";"EE4",#N/A,FALSE,"Electric";"EE5",#N/A,FALSE,"Electric"}</definedName>
    <definedName name="wrn.Schedule._.5." localSheetId="8" hidden="1">{"EE1",#N/A,FALSE,"Electric";"EE2",#N/A,FALSE,"Electric";"EE3",#N/A,FALSE,"Electric";"EE4",#N/A,FALSE,"Electric";"EE5",#N/A,FALSE,"Electric"}</definedName>
    <definedName name="wrn.Schedule._.5." localSheetId="13" hidden="1">{"EE1",#N/A,FALSE,"Electric";"EE2",#N/A,FALSE,"Electric";"EE3",#N/A,FALSE,"Electric";"EE4",#N/A,FALSE,"Electric";"EE5",#N/A,FALSE,"Electric"}</definedName>
    <definedName name="wrn.Schedule._.5." hidden="1">{"EE1",#N/A,FALSE,"Electric";"EE2",#N/A,FALSE,"Electric";"EE3",#N/A,FALSE,"Electric";"EE4",#N/A,FALSE,"Electric";"EE5",#N/A,FALSE,"Electric"}</definedName>
    <definedName name="y" localSheetId="11">#REF!</definedName>
    <definedName name="y" localSheetId="8">#REF!</definedName>
    <definedName name="y" localSheetId="13">#REF!</definedName>
    <definedName name="y">#REF!</definedName>
    <definedName name="ZoneCodes" localSheetId="8">'[29]Program Data'!$B$46:$B$60</definedName>
    <definedName name="ZoneCodes">'[30]Program Data'!$B$46:$B$60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8" i="116" l="1"/>
  <c r="H242" i="78" l="1"/>
  <c r="H241" i="78"/>
  <c r="H240" i="78"/>
  <c r="H239" i="78"/>
  <c r="H238" i="78"/>
  <c r="H237" i="78"/>
  <c r="H236" i="78"/>
  <c r="H235" i="78"/>
  <c r="H234" i="78"/>
  <c r="H233" i="78"/>
  <c r="W98" i="1"/>
  <c r="V114" i="1"/>
  <c r="R114" i="1"/>
  <c r="T114" i="1"/>
  <c r="C11" i="122"/>
  <c r="C7" i="122"/>
  <c r="C13" i="122" s="1"/>
  <c r="W31" i="121" a="1"/>
  <c r="U31" i="121" a="1"/>
  <c r="W29" i="121" a="1"/>
  <c r="U29" i="121" a="1"/>
  <c r="U141" i="121" a="1"/>
  <c r="S141" i="121" a="1"/>
  <c r="Q141" i="121" a="1"/>
  <c r="Q36" i="121" a="1"/>
  <c r="W31" i="121" l="1"/>
  <c r="U31" i="121"/>
  <c r="W29" i="121"/>
  <c r="U29" i="121"/>
  <c r="U141" i="121"/>
  <c r="S141" i="121"/>
  <c r="Q141" i="121"/>
  <c r="Q36" i="121"/>
  <c r="H242" i="77"/>
  <c r="H241" i="77"/>
  <c r="H240" i="77"/>
  <c r="H239" i="77"/>
  <c r="H238" i="77"/>
  <c r="H237" i="77"/>
  <c r="H236" i="77"/>
  <c r="H235" i="77"/>
  <c r="H234" i="77"/>
  <c r="H233" i="77"/>
  <c r="S31" i="121" a="1"/>
  <c r="S29" i="121" a="1"/>
  <c r="Q29" i="121" a="1"/>
  <c r="Q31" i="121" a="1"/>
  <c r="S31" i="121" l="1"/>
  <c r="Q31" i="121"/>
  <c r="S29" i="121"/>
  <c r="Q29" i="121"/>
  <c r="U20" i="116"/>
  <c r="T20" i="116"/>
  <c r="V19" i="116"/>
  <c r="U19" i="116"/>
  <c r="T19" i="116"/>
  <c r="U17" i="116"/>
  <c r="U16" i="116"/>
  <c r="U15" i="116"/>
  <c r="U14" i="116"/>
  <c r="U13" i="116"/>
  <c r="U12" i="116"/>
  <c r="U11" i="116"/>
  <c r="U10" i="116"/>
  <c r="U9" i="116"/>
  <c r="U22" i="116" s="1"/>
  <c r="V108" i="1" l="1"/>
  <c r="C125" i="17"/>
  <c r="U180" i="121" a="1"/>
  <c r="U180" i="121" l="1"/>
  <c r="V106" i="1"/>
  <c r="V102" i="1"/>
  <c r="C124" i="17"/>
  <c r="S46" i="18"/>
  <c r="S45" i="18"/>
  <c r="V15" i="1"/>
  <c r="C30" i="16"/>
  <c r="X210" i="121"/>
  <c r="V210" i="121"/>
  <c r="T210" i="121"/>
  <c r="R210" i="121"/>
  <c r="X209" i="121"/>
  <c r="V209" i="121"/>
  <c r="T209" i="121"/>
  <c r="R209" i="121"/>
  <c r="X208" i="121"/>
  <c r="V208" i="121"/>
  <c r="T208" i="121"/>
  <c r="R208" i="121"/>
  <c r="X207" i="121"/>
  <c r="V207" i="121"/>
  <c r="T207" i="121"/>
  <c r="R207" i="121"/>
  <c r="X206" i="121"/>
  <c r="V206" i="121"/>
  <c r="T206" i="121"/>
  <c r="R206" i="121"/>
  <c r="X205" i="121"/>
  <c r="V205" i="121"/>
  <c r="T205" i="121"/>
  <c r="R205" i="121"/>
  <c r="X204" i="121"/>
  <c r="V204" i="121"/>
  <c r="T204" i="121"/>
  <c r="R204" i="121"/>
  <c r="X203" i="121"/>
  <c r="V203" i="121"/>
  <c r="T203" i="121"/>
  <c r="R203" i="121"/>
  <c r="X202" i="121"/>
  <c r="V202" i="121"/>
  <c r="T202" i="121"/>
  <c r="R202" i="121"/>
  <c r="X201" i="121"/>
  <c r="V201" i="121"/>
  <c r="T201" i="121"/>
  <c r="R201" i="121"/>
  <c r="X200" i="121"/>
  <c r="V200" i="121"/>
  <c r="T200" i="121"/>
  <c r="R200" i="121"/>
  <c r="X199" i="121"/>
  <c r="V199" i="121"/>
  <c r="T199" i="121"/>
  <c r="R199" i="121"/>
  <c r="X198" i="121"/>
  <c r="V198" i="121"/>
  <c r="T198" i="121"/>
  <c r="R198" i="121"/>
  <c r="X197" i="121"/>
  <c r="V197" i="121"/>
  <c r="T197" i="121"/>
  <c r="R197" i="121"/>
  <c r="X196" i="121"/>
  <c r="V196" i="121"/>
  <c r="T196" i="121"/>
  <c r="R196" i="121"/>
  <c r="X195" i="121"/>
  <c r="V195" i="121"/>
  <c r="T195" i="121"/>
  <c r="R195" i="121"/>
  <c r="X194" i="121"/>
  <c r="V194" i="121"/>
  <c r="T194" i="121"/>
  <c r="R194" i="121"/>
  <c r="X193" i="121"/>
  <c r="V193" i="121"/>
  <c r="T193" i="121"/>
  <c r="R193" i="121"/>
  <c r="X192" i="121"/>
  <c r="V192" i="121"/>
  <c r="T192" i="121"/>
  <c r="R192" i="121"/>
  <c r="X191" i="121"/>
  <c r="V191" i="121"/>
  <c r="T191" i="121"/>
  <c r="R191" i="121"/>
  <c r="X190" i="121"/>
  <c r="V190" i="121"/>
  <c r="T190" i="121"/>
  <c r="R190" i="121"/>
  <c r="X189" i="121"/>
  <c r="V189" i="121"/>
  <c r="T189" i="121"/>
  <c r="R189" i="121"/>
  <c r="X188" i="121"/>
  <c r="V188" i="121"/>
  <c r="T188" i="121"/>
  <c r="R188" i="121"/>
  <c r="X187" i="121"/>
  <c r="V187" i="121"/>
  <c r="T187" i="121"/>
  <c r="R187" i="121"/>
  <c r="X186" i="121"/>
  <c r="V186" i="121"/>
  <c r="T186" i="121"/>
  <c r="R186" i="121"/>
  <c r="X185" i="121"/>
  <c r="V185" i="121"/>
  <c r="T185" i="121"/>
  <c r="R185" i="121"/>
  <c r="X184" i="121"/>
  <c r="V184" i="121"/>
  <c r="T184" i="121"/>
  <c r="R184" i="121"/>
  <c r="X183" i="121"/>
  <c r="V183" i="121"/>
  <c r="T183" i="121"/>
  <c r="R183" i="121"/>
  <c r="X182" i="121"/>
  <c r="V182" i="121"/>
  <c r="T182" i="121"/>
  <c r="R182" i="121"/>
  <c r="X181" i="121"/>
  <c r="V181" i="121"/>
  <c r="T181" i="121"/>
  <c r="R181" i="121"/>
  <c r="X179" i="121"/>
  <c r="V179" i="121"/>
  <c r="T179" i="121"/>
  <c r="R179" i="121"/>
  <c r="X178" i="121"/>
  <c r="V178" i="121"/>
  <c r="T178" i="121"/>
  <c r="R178" i="121"/>
  <c r="X177" i="121"/>
  <c r="V177" i="121"/>
  <c r="T177" i="121"/>
  <c r="R177" i="121"/>
  <c r="X176" i="121"/>
  <c r="V176" i="121"/>
  <c r="T176" i="121"/>
  <c r="R176" i="121"/>
  <c r="X175" i="121"/>
  <c r="V175" i="121"/>
  <c r="T175" i="121"/>
  <c r="R175" i="121"/>
  <c r="X174" i="121"/>
  <c r="V174" i="121"/>
  <c r="T174" i="121"/>
  <c r="R174" i="121"/>
  <c r="X173" i="121"/>
  <c r="V173" i="121"/>
  <c r="T173" i="121"/>
  <c r="R173" i="121"/>
  <c r="X172" i="121"/>
  <c r="V172" i="121"/>
  <c r="X171" i="121"/>
  <c r="V171" i="121"/>
  <c r="T171" i="121"/>
  <c r="R171" i="121"/>
  <c r="X170" i="121"/>
  <c r="V170" i="121"/>
  <c r="T170" i="121"/>
  <c r="R170" i="121"/>
  <c r="X169" i="121"/>
  <c r="V169" i="121"/>
  <c r="T169" i="121"/>
  <c r="R169" i="121"/>
  <c r="X168" i="121"/>
  <c r="V168" i="121"/>
  <c r="T168" i="121"/>
  <c r="R168" i="121"/>
  <c r="X167" i="121"/>
  <c r="X166" i="121"/>
  <c r="X165" i="121"/>
  <c r="V165" i="121"/>
  <c r="T165" i="121"/>
  <c r="R165" i="121"/>
  <c r="X164" i="121"/>
  <c r="V164" i="121"/>
  <c r="T164" i="121"/>
  <c r="R164" i="121"/>
  <c r="X163" i="121"/>
  <c r="V163" i="121"/>
  <c r="T163" i="121"/>
  <c r="R163" i="121"/>
  <c r="X162" i="121"/>
  <c r="V162" i="121"/>
  <c r="T162" i="121"/>
  <c r="R162" i="121"/>
  <c r="X161" i="121"/>
  <c r="V161" i="121"/>
  <c r="T161" i="121"/>
  <c r="R161" i="121"/>
  <c r="X160" i="121"/>
  <c r="V160" i="121"/>
  <c r="T160" i="121"/>
  <c r="R160" i="121"/>
  <c r="X159" i="121"/>
  <c r="V159" i="121"/>
  <c r="T159" i="121"/>
  <c r="R159" i="121"/>
  <c r="X158" i="121"/>
  <c r="V158" i="121"/>
  <c r="T158" i="121"/>
  <c r="R158" i="121"/>
  <c r="X157" i="121"/>
  <c r="V157" i="121"/>
  <c r="T157" i="121"/>
  <c r="R157" i="121"/>
  <c r="X156" i="121"/>
  <c r="V156" i="121"/>
  <c r="T156" i="121"/>
  <c r="R156" i="121"/>
  <c r="X155" i="121"/>
  <c r="V155" i="121"/>
  <c r="T155" i="121"/>
  <c r="R155" i="121"/>
  <c r="X154" i="121"/>
  <c r="V154" i="121"/>
  <c r="T154" i="121"/>
  <c r="R154" i="121"/>
  <c r="X153" i="121"/>
  <c r="V153" i="121"/>
  <c r="T153" i="121"/>
  <c r="R153" i="121"/>
  <c r="X152" i="121"/>
  <c r="V152" i="121"/>
  <c r="T152" i="121"/>
  <c r="R152" i="121"/>
  <c r="X151" i="121"/>
  <c r="V151" i="121"/>
  <c r="T151" i="121"/>
  <c r="R151" i="121"/>
  <c r="X150" i="121"/>
  <c r="V150" i="121"/>
  <c r="T150" i="121"/>
  <c r="R150" i="121"/>
  <c r="X149" i="121"/>
  <c r="V149" i="121"/>
  <c r="T149" i="121"/>
  <c r="R149" i="121"/>
  <c r="X148" i="121"/>
  <c r="V148" i="121"/>
  <c r="T148" i="121"/>
  <c r="R148" i="121"/>
  <c r="X147" i="121"/>
  <c r="V147" i="121"/>
  <c r="T147" i="121"/>
  <c r="R147" i="121"/>
  <c r="X146" i="121"/>
  <c r="V146" i="121"/>
  <c r="T146" i="121"/>
  <c r="R146" i="121"/>
  <c r="X145" i="121"/>
  <c r="V145" i="121"/>
  <c r="T145" i="121"/>
  <c r="R145" i="121"/>
  <c r="X144" i="121"/>
  <c r="V144" i="121"/>
  <c r="T144" i="121"/>
  <c r="R144" i="121"/>
  <c r="X143" i="121"/>
  <c r="V143" i="121"/>
  <c r="T143" i="121"/>
  <c r="R143" i="121"/>
  <c r="X142" i="121"/>
  <c r="V142" i="121"/>
  <c r="T142" i="121"/>
  <c r="R142" i="121"/>
  <c r="X141" i="121"/>
  <c r="V141" i="121"/>
  <c r="T141" i="121"/>
  <c r="R141" i="121"/>
  <c r="X140" i="121"/>
  <c r="V140" i="121"/>
  <c r="T140" i="121"/>
  <c r="R140" i="121"/>
  <c r="X139" i="121"/>
  <c r="V139" i="121"/>
  <c r="T139" i="121"/>
  <c r="R139" i="121"/>
  <c r="X138" i="121"/>
  <c r="V138" i="121"/>
  <c r="T138" i="121"/>
  <c r="R138" i="121"/>
  <c r="X137" i="121"/>
  <c r="V137" i="121"/>
  <c r="T137" i="121"/>
  <c r="R137" i="121"/>
  <c r="X136" i="121"/>
  <c r="V136" i="121"/>
  <c r="T136" i="121"/>
  <c r="R136" i="121"/>
  <c r="X135" i="121"/>
  <c r="V135" i="121"/>
  <c r="T135" i="121"/>
  <c r="R135" i="121"/>
  <c r="X134" i="121"/>
  <c r="V134" i="121"/>
  <c r="T134" i="121"/>
  <c r="R134" i="121"/>
  <c r="X133" i="121"/>
  <c r="V133" i="121"/>
  <c r="T133" i="121"/>
  <c r="R133" i="121"/>
  <c r="X132" i="121"/>
  <c r="V132" i="121"/>
  <c r="T132" i="121"/>
  <c r="R132" i="121"/>
  <c r="X131" i="121"/>
  <c r="V131" i="121"/>
  <c r="T131" i="121"/>
  <c r="R131" i="121"/>
  <c r="X130" i="121"/>
  <c r="V130" i="121"/>
  <c r="T130" i="121"/>
  <c r="R130" i="121"/>
  <c r="X129" i="121"/>
  <c r="V129" i="121"/>
  <c r="T129" i="121"/>
  <c r="R129" i="121"/>
  <c r="X128" i="121"/>
  <c r="V128" i="121"/>
  <c r="T128" i="121"/>
  <c r="R128" i="121"/>
  <c r="X127" i="121"/>
  <c r="V127" i="121"/>
  <c r="T127" i="121"/>
  <c r="R127" i="121"/>
  <c r="X126" i="121"/>
  <c r="V126" i="121"/>
  <c r="T126" i="121"/>
  <c r="R126" i="121"/>
  <c r="X125" i="121"/>
  <c r="V125" i="121"/>
  <c r="T125" i="121"/>
  <c r="R125" i="121"/>
  <c r="X124" i="121"/>
  <c r="V124" i="121"/>
  <c r="T124" i="121"/>
  <c r="R124" i="121"/>
  <c r="X123" i="121"/>
  <c r="V123" i="121"/>
  <c r="T123" i="121"/>
  <c r="R123" i="121"/>
  <c r="X122" i="121"/>
  <c r="V122" i="121"/>
  <c r="T122" i="121"/>
  <c r="R122" i="121"/>
  <c r="X121" i="121"/>
  <c r="V121" i="121"/>
  <c r="T121" i="121"/>
  <c r="R121" i="121"/>
  <c r="X120" i="121"/>
  <c r="V120" i="121"/>
  <c r="T120" i="121"/>
  <c r="R120" i="121"/>
  <c r="X119" i="121"/>
  <c r="V119" i="121"/>
  <c r="T119" i="121"/>
  <c r="R119" i="121"/>
  <c r="X118" i="121"/>
  <c r="V118" i="121"/>
  <c r="T118" i="121"/>
  <c r="R118" i="121"/>
  <c r="X117" i="121"/>
  <c r="V117" i="121"/>
  <c r="T117" i="121"/>
  <c r="R117" i="121"/>
  <c r="X116" i="121"/>
  <c r="V116" i="121"/>
  <c r="T116" i="121"/>
  <c r="R116" i="121"/>
  <c r="X115" i="121"/>
  <c r="V115" i="121"/>
  <c r="T115" i="121"/>
  <c r="R115" i="121"/>
  <c r="X114" i="121"/>
  <c r="V114" i="121"/>
  <c r="T114" i="121"/>
  <c r="R114" i="121"/>
  <c r="X113" i="121"/>
  <c r="V113" i="121"/>
  <c r="T113" i="121"/>
  <c r="R113" i="121"/>
  <c r="X112" i="121"/>
  <c r="V112" i="121"/>
  <c r="T112" i="121"/>
  <c r="R112" i="121"/>
  <c r="X111" i="121"/>
  <c r="V111" i="121"/>
  <c r="T111" i="121"/>
  <c r="R111" i="121"/>
  <c r="X110" i="121"/>
  <c r="V110" i="121"/>
  <c r="T110" i="121"/>
  <c r="R110" i="121"/>
  <c r="X109" i="121"/>
  <c r="V109" i="121"/>
  <c r="T109" i="121"/>
  <c r="R109" i="121"/>
  <c r="X108" i="121"/>
  <c r="V108" i="121"/>
  <c r="T108" i="121"/>
  <c r="R108" i="121"/>
  <c r="X107" i="121"/>
  <c r="V107" i="121"/>
  <c r="T107" i="121"/>
  <c r="R107" i="121"/>
  <c r="X106" i="121"/>
  <c r="V106" i="121"/>
  <c r="T106" i="121"/>
  <c r="R106" i="121"/>
  <c r="X105" i="121"/>
  <c r="V105" i="121"/>
  <c r="T105" i="121"/>
  <c r="R105" i="121"/>
  <c r="X104" i="121"/>
  <c r="V104" i="121"/>
  <c r="T104" i="121"/>
  <c r="R104" i="121"/>
  <c r="X103" i="121"/>
  <c r="V103" i="121"/>
  <c r="T103" i="121"/>
  <c r="R103" i="121"/>
  <c r="X102" i="121"/>
  <c r="V102" i="121"/>
  <c r="T102" i="121"/>
  <c r="R102" i="121"/>
  <c r="X101" i="121"/>
  <c r="V101" i="121"/>
  <c r="T101" i="121"/>
  <c r="R101" i="121"/>
  <c r="X100" i="121"/>
  <c r="V100" i="121"/>
  <c r="T100" i="121"/>
  <c r="R100" i="121"/>
  <c r="X99" i="121"/>
  <c r="V99" i="121"/>
  <c r="T99" i="121"/>
  <c r="R99" i="121"/>
  <c r="X98" i="121"/>
  <c r="V98" i="121"/>
  <c r="T98" i="121"/>
  <c r="R98" i="121"/>
  <c r="X97" i="121"/>
  <c r="V97" i="121"/>
  <c r="T97" i="121"/>
  <c r="R97" i="121"/>
  <c r="X96" i="121"/>
  <c r="V96" i="121"/>
  <c r="T96" i="121"/>
  <c r="R96" i="121"/>
  <c r="X95" i="121"/>
  <c r="V95" i="121"/>
  <c r="T95" i="121"/>
  <c r="R95" i="121"/>
  <c r="X94" i="121"/>
  <c r="V94" i="121"/>
  <c r="T94" i="121"/>
  <c r="R94" i="121"/>
  <c r="X93" i="121"/>
  <c r="V93" i="121"/>
  <c r="T93" i="121"/>
  <c r="R93" i="121"/>
  <c r="X92" i="121"/>
  <c r="V92" i="121"/>
  <c r="T92" i="121"/>
  <c r="R92" i="121"/>
  <c r="X91" i="121"/>
  <c r="V91" i="121"/>
  <c r="T91" i="121"/>
  <c r="R91" i="121"/>
  <c r="X90" i="121"/>
  <c r="V90" i="121"/>
  <c r="T90" i="121"/>
  <c r="R90" i="121"/>
  <c r="X89" i="121"/>
  <c r="V89" i="121"/>
  <c r="T89" i="121"/>
  <c r="R89" i="121"/>
  <c r="X88" i="121"/>
  <c r="V88" i="121"/>
  <c r="T88" i="121"/>
  <c r="R88" i="121"/>
  <c r="X87" i="121"/>
  <c r="V87" i="121"/>
  <c r="T87" i="121"/>
  <c r="R87" i="121"/>
  <c r="X86" i="121"/>
  <c r="V86" i="121"/>
  <c r="T86" i="121"/>
  <c r="R86" i="121"/>
  <c r="X85" i="121"/>
  <c r="V85" i="121"/>
  <c r="T85" i="121"/>
  <c r="R85" i="121"/>
  <c r="X84" i="121"/>
  <c r="V84" i="121"/>
  <c r="T84" i="121"/>
  <c r="R84" i="121"/>
  <c r="X83" i="121"/>
  <c r="V83" i="121"/>
  <c r="T83" i="121"/>
  <c r="R83" i="121"/>
  <c r="X82" i="121"/>
  <c r="V82" i="121"/>
  <c r="T82" i="121"/>
  <c r="R82" i="121"/>
  <c r="X81" i="121"/>
  <c r="V81" i="121"/>
  <c r="T81" i="121"/>
  <c r="R81" i="121"/>
  <c r="X80" i="121"/>
  <c r="V80" i="121"/>
  <c r="T80" i="121"/>
  <c r="R80" i="121"/>
  <c r="X79" i="121"/>
  <c r="V79" i="121"/>
  <c r="T79" i="121"/>
  <c r="R79" i="121"/>
  <c r="X78" i="121"/>
  <c r="V78" i="121"/>
  <c r="T78" i="121"/>
  <c r="R78" i="121"/>
  <c r="X77" i="121"/>
  <c r="V77" i="121"/>
  <c r="T77" i="121"/>
  <c r="R77" i="121"/>
  <c r="X76" i="121"/>
  <c r="V76" i="121"/>
  <c r="T76" i="121"/>
  <c r="R76" i="121"/>
  <c r="X75" i="121"/>
  <c r="V75" i="121"/>
  <c r="T75" i="121"/>
  <c r="R75" i="121"/>
  <c r="X74" i="121"/>
  <c r="V74" i="121"/>
  <c r="T74" i="121"/>
  <c r="R74" i="121"/>
  <c r="X73" i="121"/>
  <c r="V73" i="121"/>
  <c r="T73" i="121"/>
  <c r="R73" i="121"/>
  <c r="X72" i="121"/>
  <c r="V72" i="121"/>
  <c r="T72" i="121"/>
  <c r="R72" i="121"/>
  <c r="X71" i="121"/>
  <c r="V71" i="121"/>
  <c r="T71" i="121"/>
  <c r="R71" i="121"/>
  <c r="X70" i="121"/>
  <c r="V70" i="121"/>
  <c r="T70" i="121"/>
  <c r="R70" i="121"/>
  <c r="X69" i="121"/>
  <c r="V69" i="121"/>
  <c r="T69" i="121"/>
  <c r="R69" i="121"/>
  <c r="X68" i="121"/>
  <c r="V68" i="121"/>
  <c r="T68" i="121"/>
  <c r="R68" i="121"/>
  <c r="X67" i="121"/>
  <c r="V67" i="121"/>
  <c r="T67" i="121"/>
  <c r="R67" i="121"/>
  <c r="X66" i="121"/>
  <c r="V66" i="121"/>
  <c r="T66" i="121"/>
  <c r="R66" i="121"/>
  <c r="X65" i="121"/>
  <c r="V65" i="121"/>
  <c r="T65" i="121"/>
  <c r="R65" i="121"/>
  <c r="X64" i="121"/>
  <c r="V64" i="121"/>
  <c r="T64" i="121"/>
  <c r="R64" i="121"/>
  <c r="X63" i="121"/>
  <c r="V63" i="121"/>
  <c r="T63" i="121"/>
  <c r="R63" i="121"/>
  <c r="X62" i="121"/>
  <c r="V62" i="121"/>
  <c r="T62" i="121"/>
  <c r="R62" i="121"/>
  <c r="X61" i="121"/>
  <c r="V61" i="121"/>
  <c r="T61" i="121"/>
  <c r="R61" i="121"/>
  <c r="X60" i="121"/>
  <c r="V60" i="121"/>
  <c r="T60" i="121"/>
  <c r="R60" i="121"/>
  <c r="X59" i="121"/>
  <c r="V59" i="121"/>
  <c r="T59" i="121"/>
  <c r="R59" i="121"/>
  <c r="X58" i="121"/>
  <c r="V58" i="121"/>
  <c r="T58" i="121"/>
  <c r="R58" i="121"/>
  <c r="X57" i="121"/>
  <c r="V57" i="121"/>
  <c r="T57" i="121"/>
  <c r="R57" i="121"/>
  <c r="X56" i="121"/>
  <c r="V56" i="121"/>
  <c r="T56" i="121"/>
  <c r="R56" i="121"/>
  <c r="X55" i="121"/>
  <c r="V55" i="121"/>
  <c r="T55" i="121"/>
  <c r="R55" i="121"/>
  <c r="X54" i="121"/>
  <c r="V54" i="121"/>
  <c r="T54" i="121"/>
  <c r="R54" i="121"/>
  <c r="X53" i="121"/>
  <c r="V53" i="121"/>
  <c r="T53" i="121"/>
  <c r="R53" i="121"/>
  <c r="X52" i="121"/>
  <c r="V52" i="121"/>
  <c r="T52" i="121"/>
  <c r="R52" i="121"/>
  <c r="X51" i="121"/>
  <c r="V51" i="121"/>
  <c r="T51" i="121"/>
  <c r="R51" i="121"/>
  <c r="X50" i="121"/>
  <c r="V50" i="121"/>
  <c r="T50" i="121"/>
  <c r="R50" i="121"/>
  <c r="X49" i="121"/>
  <c r="V49" i="121"/>
  <c r="T49" i="121"/>
  <c r="R49" i="121"/>
  <c r="X48" i="121"/>
  <c r="V48" i="121"/>
  <c r="T48" i="121"/>
  <c r="R48" i="121"/>
  <c r="X47" i="121"/>
  <c r="V47" i="121"/>
  <c r="T47" i="121"/>
  <c r="R47" i="121"/>
  <c r="X46" i="121"/>
  <c r="V46" i="121"/>
  <c r="T46" i="121"/>
  <c r="R46" i="121"/>
  <c r="X45" i="121"/>
  <c r="V45" i="121"/>
  <c r="T45" i="121"/>
  <c r="R45" i="121"/>
  <c r="X44" i="121"/>
  <c r="V44" i="121"/>
  <c r="T44" i="121"/>
  <c r="R44" i="121"/>
  <c r="X43" i="121"/>
  <c r="V43" i="121"/>
  <c r="T43" i="121"/>
  <c r="R43" i="121"/>
  <c r="X42" i="121"/>
  <c r="V42" i="121"/>
  <c r="T42" i="121"/>
  <c r="R42" i="121"/>
  <c r="X41" i="121"/>
  <c r="V41" i="121"/>
  <c r="T41" i="121"/>
  <c r="R41" i="121"/>
  <c r="X40" i="121"/>
  <c r="V40" i="121"/>
  <c r="T40" i="121"/>
  <c r="R40" i="121"/>
  <c r="X39" i="121"/>
  <c r="V39" i="121"/>
  <c r="T39" i="121"/>
  <c r="R39" i="121"/>
  <c r="X38" i="121"/>
  <c r="V38" i="121"/>
  <c r="T38" i="121"/>
  <c r="R38" i="121"/>
  <c r="X37" i="121"/>
  <c r="V37" i="121"/>
  <c r="T37" i="121"/>
  <c r="R37" i="121"/>
  <c r="X36" i="121"/>
  <c r="V36" i="121"/>
  <c r="T36" i="121"/>
  <c r="R36" i="121"/>
  <c r="X35" i="121"/>
  <c r="V35" i="121"/>
  <c r="T35" i="121"/>
  <c r="R35" i="121"/>
  <c r="X34" i="121"/>
  <c r="V34" i="121"/>
  <c r="T34" i="121"/>
  <c r="R34" i="121"/>
  <c r="X33" i="121"/>
  <c r="V33" i="121"/>
  <c r="T33" i="121"/>
  <c r="R33" i="121"/>
  <c r="X32" i="121"/>
  <c r="V32" i="121"/>
  <c r="T32" i="121"/>
  <c r="R32" i="121"/>
  <c r="X31" i="121"/>
  <c r="V31" i="121"/>
  <c r="T31" i="121"/>
  <c r="R31" i="121"/>
  <c r="X30" i="121"/>
  <c r="V30" i="121"/>
  <c r="T30" i="121"/>
  <c r="R30" i="121"/>
  <c r="X29" i="121"/>
  <c r="V29" i="121"/>
  <c r="T29" i="121"/>
  <c r="R29" i="121"/>
  <c r="X28" i="121"/>
  <c r="V28" i="121"/>
  <c r="T28" i="121"/>
  <c r="R28" i="121"/>
  <c r="X27" i="121"/>
  <c r="V27" i="121"/>
  <c r="T27" i="121"/>
  <c r="R27" i="121"/>
  <c r="X26" i="121"/>
  <c r="V26" i="121"/>
  <c r="T26" i="121"/>
  <c r="R26" i="121"/>
  <c r="X24" i="121"/>
  <c r="V24" i="121"/>
  <c r="T24" i="121"/>
  <c r="R24" i="121"/>
  <c r="X23" i="121"/>
  <c r="V23" i="121"/>
  <c r="T23" i="121"/>
  <c r="R23" i="121"/>
  <c r="X22" i="121"/>
  <c r="V22" i="121"/>
  <c r="T22" i="121"/>
  <c r="R22" i="121"/>
  <c r="X21" i="121"/>
  <c r="V21" i="121"/>
  <c r="T21" i="121"/>
  <c r="R21" i="121"/>
  <c r="X20" i="121"/>
  <c r="V20" i="121"/>
  <c r="T20" i="121"/>
  <c r="R20" i="121"/>
  <c r="X19" i="121"/>
  <c r="V19" i="121"/>
  <c r="T19" i="121"/>
  <c r="R19" i="121"/>
  <c r="X18" i="121"/>
  <c r="V18" i="121"/>
  <c r="T18" i="121"/>
  <c r="R18" i="121"/>
  <c r="X17" i="121"/>
  <c r="V17" i="121"/>
  <c r="T17" i="121"/>
  <c r="R17" i="121"/>
  <c r="X16" i="121"/>
  <c r="V16" i="121"/>
  <c r="T16" i="121"/>
  <c r="R16" i="121"/>
  <c r="X15" i="121"/>
  <c r="V15" i="121"/>
  <c r="T15" i="121"/>
  <c r="R15" i="121"/>
  <c r="X14" i="121"/>
  <c r="V14" i="121"/>
  <c r="T14" i="121"/>
  <c r="R14" i="121"/>
  <c r="X13" i="121"/>
  <c r="V13" i="121"/>
  <c r="T13" i="121"/>
  <c r="R13" i="121"/>
  <c r="X12" i="121"/>
  <c r="V12" i="121"/>
  <c r="T12" i="121"/>
  <c r="R12" i="121"/>
  <c r="X11" i="121"/>
  <c r="V11" i="121"/>
  <c r="T11" i="121"/>
  <c r="R11" i="121"/>
  <c r="X10" i="121"/>
  <c r="V10" i="121"/>
  <c r="T10" i="121"/>
  <c r="R10" i="121"/>
  <c r="X9" i="121"/>
  <c r="V9" i="121"/>
  <c r="T9" i="121"/>
  <c r="R9" i="121"/>
  <c r="X8" i="121"/>
  <c r="V8" i="121"/>
  <c r="T8" i="121"/>
  <c r="R8" i="121"/>
  <c r="S172" i="121" a="1"/>
  <c r="Q172" i="121" a="1"/>
  <c r="Q25" i="121" a="1"/>
  <c r="S166" i="121" a="1"/>
  <c r="U25" i="121" a="1"/>
  <c r="W25" i="121" a="1"/>
  <c r="U166" i="121" a="1"/>
  <c r="S25" i="121" a="1"/>
  <c r="S180" i="121" a="1"/>
  <c r="U167" i="121" a="1"/>
  <c r="Q166" i="121" a="1"/>
  <c r="Q180" i="121" a="1"/>
  <c r="Q167" i="121" a="1"/>
  <c r="S167" i="121" a="1"/>
  <c r="X180" i="121" l="1"/>
  <c r="V180" i="121"/>
  <c r="S180" i="121"/>
  <c r="T180" i="121" s="1"/>
  <c r="Q180" i="121"/>
  <c r="R180" i="121" s="1"/>
  <c r="S172" i="121"/>
  <c r="T172" i="121" s="1"/>
  <c r="Q172" i="121"/>
  <c r="R172" i="121" s="1"/>
  <c r="U167" i="121"/>
  <c r="V167" i="121" s="1"/>
  <c r="S167" i="121"/>
  <c r="T167" i="121" s="1"/>
  <c r="Q167" i="121"/>
  <c r="R167" i="121" s="1"/>
  <c r="U166" i="121"/>
  <c r="V166" i="121" s="1"/>
  <c r="S166" i="121"/>
  <c r="T166" i="121" s="1"/>
  <c r="Q166" i="121"/>
  <c r="R166" i="121" s="1"/>
  <c r="W25" i="121"/>
  <c r="X25" i="121" s="1"/>
  <c r="U25" i="121"/>
  <c r="V25" i="121" s="1"/>
  <c r="S25" i="121"/>
  <c r="T25" i="121" s="1"/>
  <c r="Q25" i="121"/>
  <c r="R25" i="121" s="1"/>
  <c r="S20" i="116"/>
  <c r="V20" i="116" s="1"/>
  <c r="M210" i="121" l="1"/>
  <c r="L210" i="121"/>
  <c r="M209" i="121"/>
  <c r="L209" i="121"/>
  <c r="M208" i="121"/>
  <c r="L208" i="121"/>
  <c r="M207" i="121"/>
  <c r="L207" i="121"/>
  <c r="M206" i="121"/>
  <c r="L206" i="121"/>
  <c r="M205" i="121"/>
  <c r="L205" i="121"/>
  <c r="M204" i="121"/>
  <c r="L204" i="121"/>
  <c r="M203" i="121"/>
  <c r="L203" i="121"/>
  <c r="M202" i="121"/>
  <c r="L202" i="121"/>
  <c r="M201" i="121"/>
  <c r="L201" i="121"/>
  <c r="M200" i="121"/>
  <c r="L200" i="121"/>
  <c r="M199" i="121"/>
  <c r="L199" i="121"/>
  <c r="M198" i="121"/>
  <c r="L198" i="121"/>
  <c r="M197" i="121"/>
  <c r="L197" i="121"/>
  <c r="M196" i="121"/>
  <c r="L196" i="121"/>
  <c r="M195" i="121"/>
  <c r="L195" i="121"/>
  <c r="M194" i="121"/>
  <c r="L194" i="121"/>
  <c r="M193" i="121"/>
  <c r="L193" i="121"/>
  <c r="M192" i="121"/>
  <c r="L192" i="121"/>
  <c r="M191" i="121"/>
  <c r="L191" i="121"/>
  <c r="M190" i="121"/>
  <c r="L190" i="121"/>
  <c r="M189" i="121"/>
  <c r="L189" i="121"/>
  <c r="M188" i="121"/>
  <c r="L188" i="121"/>
  <c r="M187" i="121"/>
  <c r="L187" i="121"/>
  <c r="M186" i="121"/>
  <c r="L186" i="121"/>
  <c r="M185" i="121"/>
  <c r="L185" i="121"/>
  <c r="M184" i="121"/>
  <c r="L184" i="121"/>
  <c r="M183" i="121"/>
  <c r="L183" i="121"/>
  <c r="M182" i="121"/>
  <c r="L182" i="121"/>
  <c r="M181" i="121"/>
  <c r="L181" i="121"/>
  <c r="M180" i="121"/>
  <c r="L180" i="121"/>
  <c r="M179" i="121"/>
  <c r="L179" i="121"/>
  <c r="M178" i="121"/>
  <c r="L178" i="121"/>
  <c r="M177" i="121"/>
  <c r="L177" i="121"/>
  <c r="M176" i="121"/>
  <c r="L176" i="121"/>
  <c r="M175" i="121"/>
  <c r="L175" i="121"/>
  <c r="M174" i="121"/>
  <c r="L174" i="121"/>
  <c r="M173" i="121"/>
  <c r="L173" i="121"/>
  <c r="M172" i="121"/>
  <c r="L172" i="121"/>
  <c r="M171" i="121"/>
  <c r="L171" i="121"/>
  <c r="M170" i="121"/>
  <c r="L170" i="121"/>
  <c r="M169" i="121"/>
  <c r="L169" i="121"/>
  <c r="M168" i="121"/>
  <c r="L168" i="121"/>
  <c r="M167" i="121"/>
  <c r="L167" i="121"/>
  <c r="M166" i="121"/>
  <c r="L166" i="121"/>
  <c r="M165" i="121"/>
  <c r="L165" i="121"/>
  <c r="M164" i="121"/>
  <c r="L164" i="121"/>
  <c r="M163" i="121"/>
  <c r="L163" i="121"/>
  <c r="M162" i="121"/>
  <c r="L162" i="121"/>
  <c r="M161" i="121"/>
  <c r="L161" i="121"/>
  <c r="M160" i="121"/>
  <c r="L160" i="121"/>
  <c r="M159" i="121"/>
  <c r="L159" i="121"/>
  <c r="M158" i="121"/>
  <c r="L158" i="121"/>
  <c r="M157" i="121"/>
  <c r="L157" i="121"/>
  <c r="M156" i="121"/>
  <c r="L156" i="121"/>
  <c r="M155" i="121"/>
  <c r="L155" i="121"/>
  <c r="M154" i="121"/>
  <c r="L154" i="121"/>
  <c r="M153" i="121"/>
  <c r="L153" i="121"/>
  <c r="M152" i="121"/>
  <c r="L152" i="121"/>
  <c r="M151" i="121"/>
  <c r="L151" i="121"/>
  <c r="M150" i="121"/>
  <c r="L150" i="121"/>
  <c r="M149" i="121"/>
  <c r="L149" i="121"/>
  <c r="M148" i="121"/>
  <c r="L148" i="121"/>
  <c r="M147" i="121"/>
  <c r="L147" i="121"/>
  <c r="M146" i="121"/>
  <c r="L146" i="121"/>
  <c r="M145" i="121"/>
  <c r="L145" i="121"/>
  <c r="M144" i="121"/>
  <c r="L144" i="121"/>
  <c r="M143" i="121"/>
  <c r="L143" i="121"/>
  <c r="M142" i="121"/>
  <c r="L142" i="121"/>
  <c r="M141" i="121"/>
  <c r="L141" i="121"/>
  <c r="M140" i="121"/>
  <c r="L140" i="121"/>
  <c r="M139" i="121"/>
  <c r="L139" i="121"/>
  <c r="M138" i="121"/>
  <c r="L138" i="121"/>
  <c r="M137" i="121"/>
  <c r="L137" i="121"/>
  <c r="M136" i="121"/>
  <c r="L136" i="121"/>
  <c r="M135" i="121"/>
  <c r="L135" i="121"/>
  <c r="M134" i="121"/>
  <c r="L134" i="121"/>
  <c r="M133" i="121"/>
  <c r="L133" i="121"/>
  <c r="M132" i="121"/>
  <c r="L132" i="121"/>
  <c r="M131" i="121"/>
  <c r="L131" i="121"/>
  <c r="M130" i="121"/>
  <c r="L130" i="121"/>
  <c r="M129" i="121"/>
  <c r="L129" i="121"/>
  <c r="M128" i="121"/>
  <c r="L128" i="121"/>
  <c r="M127" i="121"/>
  <c r="L127" i="121"/>
  <c r="M126" i="121"/>
  <c r="L126" i="121"/>
  <c r="M125" i="121"/>
  <c r="L125" i="121"/>
  <c r="M124" i="121"/>
  <c r="L124" i="121"/>
  <c r="M123" i="121"/>
  <c r="L123" i="121"/>
  <c r="M122" i="121"/>
  <c r="L122" i="121"/>
  <c r="M121" i="121"/>
  <c r="L121" i="121"/>
  <c r="M120" i="121"/>
  <c r="L120" i="121"/>
  <c r="M119" i="121"/>
  <c r="L119" i="121"/>
  <c r="M118" i="121"/>
  <c r="L118" i="121"/>
  <c r="M117" i="121"/>
  <c r="L117" i="121"/>
  <c r="M116" i="121"/>
  <c r="L116" i="121"/>
  <c r="M115" i="121"/>
  <c r="L115" i="121"/>
  <c r="M114" i="121"/>
  <c r="L114" i="121"/>
  <c r="M113" i="121"/>
  <c r="L113" i="121"/>
  <c r="M112" i="121"/>
  <c r="L112" i="121"/>
  <c r="M111" i="121"/>
  <c r="L111" i="121"/>
  <c r="M110" i="121"/>
  <c r="L110" i="121"/>
  <c r="M109" i="121"/>
  <c r="L109" i="121"/>
  <c r="M108" i="121"/>
  <c r="L108" i="121"/>
  <c r="M107" i="121"/>
  <c r="L107" i="121"/>
  <c r="M106" i="121"/>
  <c r="L106" i="121"/>
  <c r="M105" i="121"/>
  <c r="L105" i="121"/>
  <c r="M104" i="121"/>
  <c r="L104" i="121"/>
  <c r="M103" i="121"/>
  <c r="L103" i="121"/>
  <c r="M102" i="121"/>
  <c r="L102" i="121"/>
  <c r="M101" i="121"/>
  <c r="L101" i="121"/>
  <c r="M100" i="121"/>
  <c r="L100" i="121"/>
  <c r="M99" i="121"/>
  <c r="L99" i="121"/>
  <c r="M98" i="121"/>
  <c r="L98" i="121"/>
  <c r="M97" i="121"/>
  <c r="L97" i="121"/>
  <c r="M96" i="121"/>
  <c r="L96" i="121"/>
  <c r="M95" i="121"/>
  <c r="L95" i="121"/>
  <c r="M94" i="121"/>
  <c r="L94" i="121"/>
  <c r="M93" i="121"/>
  <c r="L93" i="121"/>
  <c r="M92" i="121"/>
  <c r="L92" i="121"/>
  <c r="M91" i="121"/>
  <c r="L91" i="121"/>
  <c r="M90" i="121"/>
  <c r="L90" i="121"/>
  <c r="M89" i="121"/>
  <c r="L89" i="121"/>
  <c r="M88" i="121"/>
  <c r="L88" i="121"/>
  <c r="M87" i="121"/>
  <c r="L87" i="121"/>
  <c r="M86" i="121"/>
  <c r="L86" i="121"/>
  <c r="M85" i="121"/>
  <c r="L85" i="121"/>
  <c r="M84" i="121"/>
  <c r="L84" i="121"/>
  <c r="M83" i="121"/>
  <c r="L83" i="121"/>
  <c r="M82" i="121"/>
  <c r="L82" i="121"/>
  <c r="M81" i="121"/>
  <c r="L81" i="121"/>
  <c r="M80" i="121"/>
  <c r="L80" i="121"/>
  <c r="M79" i="121"/>
  <c r="L79" i="121"/>
  <c r="M78" i="121"/>
  <c r="L78" i="121"/>
  <c r="M77" i="121"/>
  <c r="L77" i="121"/>
  <c r="M76" i="121"/>
  <c r="L76" i="121"/>
  <c r="M75" i="121"/>
  <c r="L75" i="121"/>
  <c r="M74" i="121"/>
  <c r="L74" i="121"/>
  <c r="M73" i="121"/>
  <c r="L73" i="121"/>
  <c r="M72" i="121"/>
  <c r="L72" i="121"/>
  <c r="M71" i="121"/>
  <c r="L71" i="121"/>
  <c r="M70" i="121"/>
  <c r="L70" i="121"/>
  <c r="M69" i="121"/>
  <c r="L69" i="121"/>
  <c r="M68" i="121"/>
  <c r="L68" i="121"/>
  <c r="M67" i="121"/>
  <c r="L67" i="121"/>
  <c r="M66" i="121"/>
  <c r="L66" i="121"/>
  <c r="M65" i="121"/>
  <c r="L65" i="121"/>
  <c r="M64" i="121"/>
  <c r="L64" i="121"/>
  <c r="M63" i="121"/>
  <c r="L63" i="121"/>
  <c r="M62" i="121"/>
  <c r="L62" i="121"/>
  <c r="M61" i="121"/>
  <c r="L61" i="121"/>
  <c r="M60" i="121"/>
  <c r="L60" i="121"/>
  <c r="M59" i="121"/>
  <c r="L59" i="121"/>
  <c r="M58" i="121"/>
  <c r="L58" i="121"/>
  <c r="M57" i="121"/>
  <c r="L57" i="121"/>
  <c r="M56" i="121"/>
  <c r="L56" i="121"/>
  <c r="M55" i="121"/>
  <c r="L55" i="121"/>
  <c r="M54" i="121"/>
  <c r="L54" i="121"/>
  <c r="M53" i="121"/>
  <c r="L53" i="121"/>
  <c r="M52" i="121"/>
  <c r="L52" i="121"/>
  <c r="M51" i="121"/>
  <c r="L51" i="121"/>
  <c r="M50" i="121"/>
  <c r="L50" i="121"/>
  <c r="M49" i="121"/>
  <c r="L49" i="121"/>
  <c r="M48" i="121"/>
  <c r="L48" i="121"/>
  <c r="M47" i="121"/>
  <c r="L47" i="121"/>
  <c r="M46" i="121"/>
  <c r="L46" i="121"/>
  <c r="M45" i="121"/>
  <c r="L45" i="121"/>
  <c r="M44" i="121"/>
  <c r="L44" i="121"/>
  <c r="M43" i="121"/>
  <c r="L43" i="121"/>
  <c r="M42" i="121"/>
  <c r="L42" i="121"/>
  <c r="M41" i="121"/>
  <c r="L41" i="121"/>
  <c r="M40" i="121"/>
  <c r="L40" i="121"/>
  <c r="M39" i="121"/>
  <c r="L39" i="121"/>
  <c r="M38" i="121"/>
  <c r="L38" i="121"/>
  <c r="M37" i="121"/>
  <c r="L37" i="121"/>
  <c r="M36" i="121"/>
  <c r="L36" i="121"/>
  <c r="M35" i="121"/>
  <c r="L35" i="121"/>
  <c r="M34" i="121"/>
  <c r="L34" i="121"/>
  <c r="M33" i="121"/>
  <c r="L33" i="121"/>
  <c r="M32" i="121"/>
  <c r="L32" i="121"/>
  <c r="M31" i="121"/>
  <c r="L31" i="121"/>
  <c r="N31" i="121" s="1"/>
  <c r="M30" i="121"/>
  <c r="L30" i="121"/>
  <c r="M29" i="121"/>
  <c r="L29" i="121"/>
  <c r="N29" i="121" s="1"/>
  <c r="M28" i="121"/>
  <c r="L28" i="121"/>
  <c r="M27" i="121"/>
  <c r="L27" i="121"/>
  <c r="N27" i="121" s="1"/>
  <c r="M26" i="121"/>
  <c r="L26" i="121"/>
  <c r="M25" i="121"/>
  <c r="L25" i="121"/>
  <c r="N25" i="121" s="1"/>
  <c r="M24" i="121"/>
  <c r="L24" i="121"/>
  <c r="M23" i="121"/>
  <c r="L23" i="121"/>
  <c r="N23" i="121" s="1"/>
  <c r="M22" i="121"/>
  <c r="L22" i="121"/>
  <c r="M21" i="121"/>
  <c r="L21" i="121"/>
  <c r="N21" i="121" s="1"/>
  <c r="M20" i="121"/>
  <c r="L20" i="121"/>
  <c r="M19" i="121"/>
  <c r="L19" i="121"/>
  <c r="M18" i="121"/>
  <c r="L18" i="121"/>
  <c r="M17" i="121"/>
  <c r="L17" i="121"/>
  <c r="N17" i="121" s="1"/>
  <c r="M16" i="121"/>
  <c r="L16" i="121"/>
  <c r="M15" i="121"/>
  <c r="L15" i="121"/>
  <c r="N15" i="121" s="1"/>
  <c r="M14" i="121"/>
  <c r="L14" i="121"/>
  <c r="M13" i="121"/>
  <c r="L13" i="121"/>
  <c r="N13" i="121" s="1"/>
  <c r="M12" i="121"/>
  <c r="L12" i="121"/>
  <c r="M11" i="121"/>
  <c r="L11" i="121"/>
  <c r="N11" i="121" s="1"/>
  <c r="M10" i="121"/>
  <c r="L10" i="121"/>
  <c r="M9" i="121"/>
  <c r="L9" i="121"/>
  <c r="N9" i="121" s="1"/>
  <c r="N33" i="121" l="1"/>
  <c r="N35" i="121"/>
  <c r="N39" i="121"/>
  <c r="N41" i="121"/>
  <c r="N43" i="121"/>
  <c r="N45" i="121"/>
  <c r="N47" i="121"/>
  <c r="N49" i="121"/>
  <c r="N51" i="121"/>
  <c r="N53" i="121"/>
  <c r="N55" i="121"/>
  <c r="N57" i="121"/>
  <c r="N59" i="121"/>
  <c r="N61" i="121"/>
  <c r="N63" i="121"/>
  <c r="N65" i="121"/>
  <c r="N67" i="121"/>
  <c r="N69" i="121"/>
  <c r="N71" i="121"/>
  <c r="N73" i="121"/>
  <c r="N75" i="121"/>
  <c r="N77" i="121"/>
  <c r="N79" i="121"/>
  <c r="N83" i="121"/>
  <c r="N85" i="121"/>
  <c r="N87" i="121"/>
  <c r="N89" i="121"/>
  <c r="N91" i="121"/>
  <c r="N93" i="121"/>
  <c r="N95" i="121"/>
  <c r="N97" i="121"/>
  <c r="N99" i="121"/>
  <c r="N101" i="121"/>
  <c r="N103" i="121"/>
  <c r="N105" i="121"/>
  <c r="N107" i="121"/>
  <c r="N109" i="121"/>
  <c r="N111" i="121"/>
  <c r="N113" i="121"/>
  <c r="N115" i="121"/>
  <c r="N117" i="121"/>
  <c r="N119" i="121"/>
  <c r="N121" i="121"/>
  <c r="N123" i="121"/>
  <c r="N125" i="121"/>
  <c r="N127" i="121"/>
  <c r="N129" i="121"/>
  <c r="N131" i="121"/>
  <c r="N133" i="121"/>
  <c r="N135" i="121"/>
  <c r="N137" i="121"/>
  <c r="N139" i="121"/>
  <c r="N141" i="121"/>
  <c r="N143" i="121"/>
  <c r="N145" i="121"/>
  <c r="N147" i="121"/>
  <c r="N149" i="121"/>
  <c r="N151" i="121"/>
  <c r="N153" i="121"/>
  <c r="N155" i="121"/>
  <c r="N157" i="121"/>
  <c r="N161" i="121"/>
  <c r="N163" i="121"/>
  <c r="N165" i="121"/>
  <c r="N167" i="121"/>
  <c r="N169" i="121"/>
  <c r="N171" i="121"/>
  <c r="N173" i="121"/>
  <c r="N175" i="121"/>
  <c r="N177" i="121"/>
  <c r="N179" i="121"/>
  <c r="N181" i="121"/>
  <c r="N183" i="121"/>
  <c r="N185" i="121"/>
  <c r="N187" i="121"/>
  <c r="N189" i="121"/>
  <c r="N191" i="121"/>
  <c r="N193" i="121"/>
  <c r="N195" i="121"/>
  <c r="N197" i="121"/>
  <c r="N199" i="121"/>
  <c r="N201" i="121"/>
  <c r="N203" i="121"/>
  <c r="N207" i="121"/>
  <c r="N209" i="121"/>
  <c r="N19" i="121"/>
  <c r="N205" i="121"/>
  <c r="N37" i="121"/>
  <c r="N159" i="121"/>
  <c r="N10" i="121"/>
  <c r="N12" i="121"/>
  <c r="N14" i="121"/>
  <c r="N16" i="121"/>
  <c r="N18" i="121"/>
  <c r="N20" i="121"/>
  <c r="N22" i="121"/>
  <c r="N24" i="121"/>
  <c r="N26" i="121"/>
  <c r="N28" i="121"/>
  <c r="N30" i="121"/>
  <c r="N32" i="121"/>
  <c r="N34" i="121"/>
  <c r="N36" i="121"/>
  <c r="N38" i="121"/>
  <c r="N40" i="121"/>
  <c r="N42" i="121"/>
  <c r="N44" i="121"/>
  <c r="N46" i="121"/>
  <c r="N48" i="121"/>
  <c r="N50" i="121"/>
  <c r="N52" i="121"/>
  <c r="N54" i="121"/>
  <c r="N56" i="121"/>
  <c r="N58" i="121"/>
  <c r="N60" i="121"/>
  <c r="N62" i="121"/>
  <c r="N64" i="121"/>
  <c r="N66" i="121"/>
  <c r="N68" i="121"/>
  <c r="N70" i="121"/>
  <c r="N72" i="121"/>
  <c r="N74" i="121"/>
  <c r="N76" i="121"/>
  <c r="N78" i="121"/>
  <c r="N80" i="121"/>
  <c r="N82" i="121"/>
  <c r="N84" i="121"/>
  <c r="N86" i="121"/>
  <c r="N88" i="121"/>
  <c r="N90" i="121"/>
  <c r="N92" i="121"/>
  <c r="N94" i="121"/>
  <c r="N96" i="121"/>
  <c r="N98" i="121"/>
  <c r="N100" i="121"/>
  <c r="N102" i="121"/>
  <c r="N104" i="121"/>
  <c r="N106" i="121"/>
  <c r="N108" i="121"/>
  <c r="N110" i="121"/>
  <c r="N112" i="121"/>
  <c r="N114" i="121"/>
  <c r="N116" i="121"/>
  <c r="N118" i="121"/>
  <c r="N120" i="121"/>
  <c r="N122" i="121"/>
  <c r="N124" i="121"/>
  <c r="N126" i="121"/>
  <c r="N128" i="121"/>
  <c r="N130" i="121"/>
  <c r="N132" i="121"/>
  <c r="N134" i="121"/>
  <c r="N136" i="121"/>
  <c r="N138" i="121"/>
  <c r="N140" i="121"/>
  <c r="N142" i="121"/>
  <c r="N168" i="121"/>
  <c r="N81" i="121"/>
  <c r="N144" i="121"/>
  <c r="N146" i="121"/>
  <c r="N148" i="121"/>
  <c r="N150" i="121"/>
  <c r="N152" i="121"/>
  <c r="N154" i="121"/>
  <c r="N156" i="121"/>
  <c r="N158" i="121"/>
  <c r="N160" i="121"/>
  <c r="N162" i="121"/>
  <c r="N164" i="121"/>
  <c r="N166" i="121"/>
  <c r="N170" i="121"/>
  <c r="N172" i="121"/>
  <c r="N174" i="121"/>
  <c r="N176" i="121"/>
  <c r="N178" i="121"/>
  <c r="N180" i="121"/>
  <c r="N182" i="121"/>
  <c r="N184" i="121"/>
  <c r="N186" i="121"/>
  <c r="N188" i="121"/>
  <c r="N190" i="121"/>
  <c r="N192" i="121"/>
  <c r="N194" i="121"/>
  <c r="N196" i="121"/>
  <c r="N198" i="121"/>
  <c r="N200" i="121"/>
  <c r="N202" i="121"/>
  <c r="N204" i="121"/>
  <c r="N206" i="121"/>
  <c r="N208" i="121"/>
  <c r="N210" i="121"/>
  <c r="A1" i="121"/>
  <c r="F354" i="18" l="1"/>
  <c r="F353" i="18"/>
  <c r="C354" i="18"/>
  <c r="F371" i="18"/>
  <c r="F376" i="18" s="1"/>
  <c r="C371" i="18"/>
  <c r="C376" i="18" s="1"/>
  <c r="K44" i="17" l="1"/>
  <c r="K43" i="17"/>
  <c r="V103" i="1" s="1"/>
  <c r="K27" i="17"/>
  <c r="K29" i="17" s="1"/>
  <c r="K31" i="17" s="1"/>
  <c r="K37" i="17" s="1"/>
  <c r="K26" i="17"/>
  <c r="K28" i="17" s="1"/>
  <c r="K30" i="17" s="1"/>
  <c r="K36" i="17" s="1"/>
  <c r="V105" i="1"/>
  <c r="V104" i="1"/>
  <c r="AC92" i="17"/>
  <c r="W92" i="17"/>
  <c r="AC91" i="17"/>
  <c r="V101" i="1" s="1"/>
  <c r="W91" i="17"/>
  <c r="V100" i="1" s="1"/>
  <c r="AC75" i="17"/>
  <c r="AC77" i="17" s="1"/>
  <c r="AC79" i="17" s="1"/>
  <c r="AC85" i="17" s="1"/>
  <c r="W75" i="17"/>
  <c r="W77" i="17" s="1"/>
  <c r="W79" i="17" s="1"/>
  <c r="W85" i="17" s="1"/>
  <c r="AC74" i="17"/>
  <c r="AC76" i="17" s="1"/>
  <c r="AC78" i="17" s="1"/>
  <c r="AC84" i="17" s="1"/>
  <c r="W74" i="17"/>
  <c r="W76" i="17" s="1"/>
  <c r="W78" i="17" s="1"/>
  <c r="W84" i="17" s="1"/>
  <c r="C73" i="17"/>
  <c r="V99" i="1" l="1"/>
  <c r="K141" i="18"/>
  <c r="K145" i="18" s="1"/>
  <c r="J141" i="18"/>
  <c r="J145" i="18" s="1"/>
  <c r="I141" i="18"/>
  <c r="I145" i="18" s="1"/>
  <c r="H141" i="18"/>
  <c r="H145" i="18" s="1"/>
  <c r="G141" i="18"/>
  <c r="G145" i="18" s="1"/>
  <c r="F141" i="18"/>
  <c r="F145" i="18" s="1"/>
  <c r="E141" i="18"/>
  <c r="E145" i="18" s="1"/>
  <c r="K140" i="18"/>
  <c r="K144" i="18" s="1"/>
  <c r="J140" i="18"/>
  <c r="J144" i="18" s="1"/>
  <c r="I140" i="18"/>
  <c r="I144" i="18" s="1"/>
  <c r="H140" i="18"/>
  <c r="H144" i="18" s="1"/>
  <c r="G140" i="18"/>
  <c r="G144" i="18" s="1"/>
  <c r="F140" i="18"/>
  <c r="F144" i="18" s="1"/>
  <c r="E140" i="18"/>
  <c r="E144" i="18" s="1"/>
  <c r="D140" i="18"/>
  <c r="D144" i="18" s="1"/>
  <c r="D141" i="18"/>
  <c r="D145" i="18" s="1"/>
  <c r="K111" i="18"/>
  <c r="J111" i="18"/>
  <c r="I111" i="18"/>
  <c r="H111" i="18"/>
  <c r="G111" i="18"/>
  <c r="F111" i="18"/>
  <c r="E111" i="18"/>
  <c r="D111" i="18"/>
  <c r="K110" i="18"/>
  <c r="J110" i="18"/>
  <c r="I110" i="18"/>
  <c r="H110" i="18"/>
  <c r="G110" i="18"/>
  <c r="F110" i="18"/>
  <c r="E110" i="18"/>
  <c r="D110" i="18"/>
  <c r="K109" i="18"/>
  <c r="J109" i="18"/>
  <c r="I109" i="18"/>
  <c r="H109" i="18"/>
  <c r="G109" i="18"/>
  <c r="F109" i="18"/>
  <c r="E109" i="18"/>
  <c r="D109" i="18"/>
  <c r="R123" i="120" l="1"/>
  <c r="G167" i="87" l="1"/>
  <c r="F167" i="87"/>
  <c r="E167" i="87"/>
  <c r="D167" i="87"/>
  <c r="C167" i="87"/>
  <c r="O167" i="87" s="1"/>
  <c r="G142" i="87"/>
  <c r="F142" i="87"/>
  <c r="E142" i="87"/>
  <c r="D142" i="87"/>
  <c r="C142" i="87"/>
  <c r="N142" i="87" s="1"/>
  <c r="G139" i="87"/>
  <c r="F139" i="87"/>
  <c r="E139" i="87"/>
  <c r="D139" i="87"/>
  <c r="C139" i="87"/>
  <c r="O139" i="87" s="1"/>
  <c r="M173" i="87"/>
  <c r="M172" i="87"/>
  <c r="M171" i="87"/>
  <c r="M170" i="87"/>
  <c r="M169" i="87"/>
  <c r="M168" i="87"/>
  <c r="M167" i="87"/>
  <c r="M166" i="87"/>
  <c r="M165" i="87"/>
  <c r="M164" i="87"/>
  <c r="M163" i="87"/>
  <c r="M162" i="87"/>
  <c r="M161" i="87"/>
  <c r="M160" i="87"/>
  <c r="M159" i="87"/>
  <c r="M158" i="87"/>
  <c r="M157" i="87"/>
  <c r="M156" i="87"/>
  <c r="M155" i="87"/>
  <c r="M154" i="87"/>
  <c r="M153" i="87"/>
  <c r="M152" i="87"/>
  <c r="M151" i="87"/>
  <c r="M150" i="87"/>
  <c r="M149" i="87"/>
  <c r="M148" i="87"/>
  <c r="M147" i="87"/>
  <c r="M146" i="87"/>
  <c r="M145" i="87"/>
  <c r="M144" i="87"/>
  <c r="M143" i="87"/>
  <c r="M142" i="87"/>
  <c r="M141" i="87"/>
  <c r="M140" i="87"/>
  <c r="M139" i="87"/>
  <c r="M138" i="87"/>
  <c r="M137" i="87"/>
  <c r="M167" i="86"/>
  <c r="M142" i="86"/>
  <c r="N142" i="86" s="1"/>
  <c r="M139" i="86"/>
  <c r="G173" i="86"/>
  <c r="F173" i="86"/>
  <c r="E173" i="86"/>
  <c r="D173" i="86"/>
  <c r="C173" i="86"/>
  <c r="G172" i="86"/>
  <c r="F172" i="86"/>
  <c r="E172" i="86"/>
  <c r="D172" i="86"/>
  <c r="C172" i="86"/>
  <c r="G171" i="86"/>
  <c r="F171" i="86"/>
  <c r="E171" i="86"/>
  <c r="D171" i="86"/>
  <c r="C171" i="86"/>
  <c r="G170" i="86"/>
  <c r="F170" i="86"/>
  <c r="E170" i="86"/>
  <c r="D170" i="86"/>
  <c r="C170" i="86"/>
  <c r="G169" i="86"/>
  <c r="F169" i="86"/>
  <c r="E169" i="86"/>
  <c r="D169" i="86"/>
  <c r="C169" i="86"/>
  <c r="G168" i="86"/>
  <c r="F168" i="86"/>
  <c r="E168" i="86"/>
  <c r="D168" i="86"/>
  <c r="C168" i="86"/>
  <c r="G167" i="86"/>
  <c r="F167" i="86"/>
  <c r="E167" i="86"/>
  <c r="O167" i="86" s="1"/>
  <c r="D167" i="86"/>
  <c r="C167" i="86"/>
  <c r="G166" i="86"/>
  <c r="F166" i="86"/>
  <c r="E166" i="86"/>
  <c r="D166" i="86"/>
  <c r="C166" i="86"/>
  <c r="G165" i="86"/>
  <c r="F165" i="86"/>
  <c r="E165" i="86"/>
  <c r="D165" i="86"/>
  <c r="C165" i="86"/>
  <c r="G164" i="86"/>
  <c r="F164" i="86"/>
  <c r="E164" i="86"/>
  <c r="D164" i="86"/>
  <c r="C164" i="86"/>
  <c r="G163" i="86"/>
  <c r="F163" i="86"/>
  <c r="E163" i="86"/>
  <c r="D163" i="86"/>
  <c r="C163" i="86"/>
  <c r="G162" i="86"/>
  <c r="F162" i="86"/>
  <c r="E162" i="86"/>
  <c r="D162" i="86"/>
  <c r="C162" i="86"/>
  <c r="G161" i="86"/>
  <c r="F161" i="86"/>
  <c r="E161" i="86"/>
  <c r="D161" i="86"/>
  <c r="C161" i="86"/>
  <c r="G160" i="86"/>
  <c r="F160" i="86"/>
  <c r="E160" i="86"/>
  <c r="D160" i="86"/>
  <c r="C160" i="86"/>
  <c r="G159" i="86"/>
  <c r="F159" i="86"/>
  <c r="E159" i="86"/>
  <c r="D159" i="86"/>
  <c r="C159" i="86"/>
  <c r="G158" i="86"/>
  <c r="F158" i="86"/>
  <c r="E158" i="86"/>
  <c r="D158" i="86"/>
  <c r="C158" i="86"/>
  <c r="G157" i="86"/>
  <c r="F157" i="86"/>
  <c r="E157" i="86"/>
  <c r="D157" i="86"/>
  <c r="C157" i="86"/>
  <c r="G156" i="86"/>
  <c r="F156" i="86"/>
  <c r="E156" i="86"/>
  <c r="D156" i="86"/>
  <c r="C156" i="86"/>
  <c r="G155" i="86"/>
  <c r="F155" i="86"/>
  <c r="E155" i="86"/>
  <c r="D155" i="86"/>
  <c r="C155" i="86"/>
  <c r="G154" i="86"/>
  <c r="F154" i="86"/>
  <c r="E154" i="86"/>
  <c r="D154" i="86"/>
  <c r="C154" i="86"/>
  <c r="G153" i="86"/>
  <c r="F153" i="86"/>
  <c r="E153" i="86"/>
  <c r="D153" i="86"/>
  <c r="C153" i="86"/>
  <c r="G152" i="86"/>
  <c r="F152" i="86"/>
  <c r="E152" i="86"/>
  <c r="D152" i="86"/>
  <c r="C152" i="86"/>
  <c r="G151" i="86"/>
  <c r="F151" i="86"/>
  <c r="E151" i="86"/>
  <c r="D151" i="86"/>
  <c r="C151" i="86"/>
  <c r="G150" i="86"/>
  <c r="F150" i="86"/>
  <c r="E150" i="86"/>
  <c r="D150" i="86"/>
  <c r="C150" i="86"/>
  <c r="G149" i="86"/>
  <c r="F149" i="86"/>
  <c r="E149" i="86"/>
  <c r="D149" i="86"/>
  <c r="C149" i="86"/>
  <c r="G148" i="86"/>
  <c r="F148" i="86"/>
  <c r="E148" i="86"/>
  <c r="D148" i="86"/>
  <c r="C148" i="86"/>
  <c r="G147" i="86"/>
  <c r="F147" i="86"/>
  <c r="E147" i="86"/>
  <c r="D147" i="86"/>
  <c r="C147" i="86"/>
  <c r="G146" i="86"/>
  <c r="F146" i="86"/>
  <c r="E146" i="86"/>
  <c r="D146" i="86"/>
  <c r="C146" i="86"/>
  <c r="G145" i="86"/>
  <c r="F145" i="86"/>
  <c r="E145" i="86"/>
  <c r="D145" i="86"/>
  <c r="C145" i="86"/>
  <c r="G144" i="86"/>
  <c r="F144" i="86"/>
  <c r="E144" i="86"/>
  <c r="D144" i="86"/>
  <c r="C144" i="86"/>
  <c r="G143" i="86"/>
  <c r="F143" i="86"/>
  <c r="E143" i="86"/>
  <c r="D143" i="86"/>
  <c r="C143" i="86"/>
  <c r="G142" i="86"/>
  <c r="F142" i="86"/>
  <c r="E142" i="86"/>
  <c r="D142" i="86"/>
  <c r="C142" i="86"/>
  <c r="O142" i="86" s="1"/>
  <c r="G141" i="86"/>
  <c r="F141" i="86"/>
  <c r="E141" i="86"/>
  <c r="D141" i="86"/>
  <c r="C141" i="86"/>
  <c r="G140" i="86"/>
  <c r="F140" i="86"/>
  <c r="E140" i="86"/>
  <c r="D140" i="86"/>
  <c r="C140" i="86"/>
  <c r="G139" i="86"/>
  <c r="F139" i="86"/>
  <c r="E139" i="86"/>
  <c r="D139" i="86"/>
  <c r="C139" i="86"/>
  <c r="O139" i="86" s="1"/>
  <c r="G138" i="86"/>
  <c r="F138" i="86"/>
  <c r="E138" i="86"/>
  <c r="D138" i="86"/>
  <c r="C138" i="86"/>
  <c r="G137" i="86"/>
  <c r="F137" i="86"/>
  <c r="E137" i="86"/>
  <c r="D137" i="86"/>
  <c r="C137" i="86"/>
  <c r="J173" i="85" a="1"/>
  <c r="J173" i="85" s="1"/>
  <c r="J172" i="85" a="1"/>
  <c r="J172" i="85"/>
  <c r="J171" i="85" a="1"/>
  <c r="J171" i="85" s="1"/>
  <c r="J170" i="85" a="1"/>
  <c r="J170" i="85" s="1"/>
  <c r="J169" i="85" a="1"/>
  <c r="J169" i="85" s="1"/>
  <c r="J168" i="85" a="1"/>
  <c r="J168" i="85" s="1"/>
  <c r="J167" i="85" a="1"/>
  <c r="J167" i="85" s="1"/>
  <c r="J166" i="85" a="1"/>
  <c r="J166" i="85"/>
  <c r="J165" i="85" a="1"/>
  <c r="J165" i="85" s="1"/>
  <c r="J164" i="85" a="1"/>
  <c r="J164" i="85"/>
  <c r="J163" i="85" a="1"/>
  <c r="J163" i="85" s="1"/>
  <c r="J162" i="85" a="1"/>
  <c r="J162" i="85" s="1"/>
  <c r="J161" i="85" a="1"/>
  <c r="J161" i="85" s="1"/>
  <c r="J160" i="85" a="1"/>
  <c r="J160" i="85" s="1"/>
  <c r="J159" i="85" a="1"/>
  <c r="J159" i="85" s="1"/>
  <c r="J158" i="85" a="1"/>
  <c r="J158" i="85"/>
  <c r="J157" i="85" a="1"/>
  <c r="J157" i="85" s="1"/>
  <c r="J156" i="85" a="1"/>
  <c r="J156" i="85"/>
  <c r="J155" i="85" a="1"/>
  <c r="J155" i="85" s="1"/>
  <c r="J154" i="85" a="1"/>
  <c r="J154" i="85" s="1"/>
  <c r="J153" i="85" a="1"/>
  <c r="J153" i="85" s="1"/>
  <c r="J152" i="85" a="1"/>
  <c r="J152" i="85" s="1"/>
  <c r="J151" i="85" a="1"/>
  <c r="J151" i="85" s="1"/>
  <c r="J150" i="85" a="1"/>
  <c r="J150" i="85"/>
  <c r="J149" i="85" a="1"/>
  <c r="J149" i="85" s="1"/>
  <c r="J148" i="85" a="1"/>
  <c r="J148" i="85"/>
  <c r="J147" i="85" a="1"/>
  <c r="J147" i="85" s="1"/>
  <c r="J146" i="85" a="1"/>
  <c r="J146" i="85"/>
  <c r="J145" i="85" a="1"/>
  <c r="J145" i="85" s="1"/>
  <c r="J144" i="85" a="1"/>
  <c r="J144" i="85" s="1"/>
  <c r="J143" i="85" a="1"/>
  <c r="J143" i="85" s="1"/>
  <c r="J142" i="85" a="1"/>
  <c r="J142" i="85"/>
  <c r="J141" i="85" a="1"/>
  <c r="J141" i="85" s="1"/>
  <c r="J140" i="85" a="1"/>
  <c r="J140" i="85"/>
  <c r="J139" i="85" a="1"/>
  <c r="J139" i="85" s="1"/>
  <c r="J138" i="85" a="1"/>
  <c r="J138" i="85"/>
  <c r="J137" i="85" a="1"/>
  <c r="J137" i="85" s="1"/>
  <c r="M167" i="84"/>
  <c r="N142" i="84"/>
  <c r="M142" i="84"/>
  <c r="M139" i="84"/>
  <c r="N139" i="84" s="1"/>
  <c r="G167" i="84"/>
  <c r="F167" i="84"/>
  <c r="E167" i="84"/>
  <c r="D167" i="84"/>
  <c r="O167" i="84" s="1"/>
  <c r="C167" i="84"/>
  <c r="N167" i="84" s="1"/>
  <c r="G142" i="84"/>
  <c r="F142" i="84"/>
  <c r="E142" i="84"/>
  <c r="O142" i="84" s="1"/>
  <c r="D142" i="84"/>
  <c r="C142" i="84"/>
  <c r="G139" i="84"/>
  <c r="F139" i="84"/>
  <c r="E139" i="84"/>
  <c r="D139" i="84"/>
  <c r="C139" i="84"/>
  <c r="O139" i="84" s="1"/>
  <c r="J173" i="83" a="1"/>
  <c r="J173" i="83" s="1"/>
  <c r="J172" i="83" a="1"/>
  <c r="J172" i="83" s="1"/>
  <c r="J171" i="83" a="1"/>
  <c r="J171" i="83" s="1"/>
  <c r="J170" i="83" a="1"/>
  <c r="J170" i="83" s="1"/>
  <c r="J169" i="83" a="1"/>
  <c r="J169" i="83" s="1"/>
  <c r="J168" i="83" a="1"/>
  <c r="J168" i="83"/>
  <c r="J167" i="83" a="1"/>
  <c r="J167" i="83" s="1"/>
  <c r="J166" i="83" a="1"/>
  <c r="J166" i="83"/>
  <c r="J165" i="83" a="1"/>
  <c r="J165" i="83" s="1"/>
  <c r="J164" i="83" a="1"/>
  <c r="J164" i="83" s="1"/>
  <c r="J163" i="83" a="1"/>
  <c r="J163" i="83" s="1"/>
  <c r="J162" i="83" a="1"/>
  <c r="J162" i="83" s="1"/>
  <c r="J161" i="83" a="1"/>
  <c r="J161" i="83" s="1"/>
  <c r="J160" i="83" a="1"/>
  <c r="J160" i="83"/>
  <c r="J159" i="83" a="1"/>
  <c r="J159" i="83" s="1"/>
  <c r="J158" i="83" a="1"/>
  <c r="J158" i="83"/>
  <c r="J157" i="83" a="1"/>
  <c r="J157" i="83" s="1"/>
  <c r="J156" i="83" a="1"/>
  <c r="J156" i="83" s="1"/>
  <c r="J155" i="83" a="1"/>
  <c r="J155" i="83" s="1"/>
  <c r="J154" i="83" a="1"/>
  <c r="J154" i="83" s="1"/>
  <c r="J153" i="83" a="1"/>
  <c r="J153" i="83" s="1"/>
  <c r="J152" i="83" a="1"/>
  <c r="J152" i="83"/>
  <c r="J151" i="83" a="1"/>
  <c r="J151" i="83" s="1"/>
  <c r="J150" i="83" a="1"/>
  <c r="J150" i="83"/>
  <c r="J149" i="83" a="1"/>
  <c r="J149" i="83" s="1"/>
  <c r="J148" i="83" a="1"/>
  <c r="J148" i="83" s="1"/>
  <c r="J147" i="83" a="1"/>
  <c r="J147" i="83" s="1"/>
  <c r="J146" i="83" a="1"/>
  <c r="J146" i="83" s="1"/>
  <c r="J145" i="83" a="1"/>
  <c r="J145" i="83" s="1"/>
  <c r="J144" i="83" a="1"/>
  <c r="J144" i="83"/>
  <c r="J143" i="83" a="1"/>
  <c r="J143" i="83" s="1"/>
  <c r="J142" i="83" a="1"/>
  <c r="J142" i="83"/>
  <c r="J141" i="83" a="1"/>
  <c r="J141" i="83" s="1"/>
  <c r="J140" i="83" a="1"/>
  <c r="J140" i="83" s="1"/>
  <c r="J139" i="83" a="1"/>
  <c r="J139" i="83" s="1"/>
  <c r="J138" i="83" a="1"/>
  <c r="J138" i="83" s="1"/>
  <c r="J137" i="83" a="1"/>
  <c r="J137" i="83" s="1"/>
  <c r="J173" i="82" a="1"/>
  <c r="J173" i="82" s="1"/>
  <c r="J172" i="82" a="1"/>
  <c r="J172" i="82" s="1"/>
  <c r="J171" i="82" a="1"/>
  <c r="J171" i="82" s="1"/>
  <c r="J170" i="82" a="1"/>
  <c r="J170" i="82" s="1"/>
  <c r="J169" i="82" a="1"/>
  <c r="J169" i="82" s="1"/>
  <c r="J168" i="82" a="1"/>
  <c r="J168" i="82" s="1"/>
  <c r="J167" i="82" a="1"/>
  <c r="J167" i="82" s="1"/>
  <c r="J166" i="82" a="1"/>
  <c r="J166" i="82" s="1"/>
  <c r="J165" i="82" a="1"/>
  <c r="J165" i="82" s="1"/>
  <c r="J164" i="82" a="1"/>
  <c r="J164" i="82" s="1"/>
  <c r="J163" i="82" a="1"/>
  <c r="J163" i="82" s="1"/>
  <c r="J162" i="82" a="1"/>
  <c r="J162" i="82" s="1"/>
  <c r="J161" i="82" a="1"/>
  <c r="J161" i="82" s="1"/>
  <c r="J160" i="82" a="1"/>
  <c r="J160" i="82" s="1"/>
  <c r="J159" i="82" a="1"/>
  <c r="J159" i="82" s="1"/>
  <c r="J158" i="82" a="1"/>
  <c r="J158" i="82" s="1"/>
  <c r="J157" i="82" a="1"/>
  <c r="J157" i="82" s="1"/>
  <c r="J156" i="82" a="1"/>
  <c r="J156" i="82" s="1"/>
  <c r="J155" i="82" a="1"/>
  <c r="J155" i="82" s="1"/>
  <c r="J154" i="82" a="1"/>
  <c r="J154" i="82" s="1"/>
  <c r="J153" i="82" a="1"/>
  <c r="J153" i="82" s="1"/>
  <c r="J152" i="82" a="1"/>
  <c r="J152" i="82" s="1"/>
  <c r="J151" i="82" a="1"/>
  <c r="J151" i="82" s="1"/>
  <c r="J150" i="82" a="1"/>
  <c r="J150" i="82" s="1"/>
  <c r="J149" i="82" a="1"/>
  <c r="J149" i="82" s="1"/>
  <c r="J148" i="82" a="1"/>
  <c r="J148" i="82" s="1"/>
  <c r="J147" i="82" a="1"/>
  <c r="J147" i="82" s="1"/>
  <c r="J146" i="82" a="1"/>
  <c r="J146" i="82" s="1"/>
  <c r="J145" i="82" a="1"/>
  <c r="J145" i="82" s="1"/>
  <c r="J144" i="82" a="1"/>
  <c r="J144" i="82" s="1"/>
  <c r="J143" i="82" a="1"/>
  <c r="J143" i="82" s="1"/>
  <c r="J142" i="82" a="1"/>
  <c r="J142" i="82" s="1"/>
  <c r="J141" i="82" a="1"/>
  <c r="J141" i="82" s="1"/>
  <c r="J140" i="82" a="1"/>
  <c r="J140" i="82" s="1"/>
  <c r="J139" i="82" a="1"/>
  <c r="J139" i="82" s="1"/>
  <c r="J138" i="82" a="1"/>
  <c r="J138" i="82" s="1"/>
  <c r="J137" i="82" a="1"/>
  <c r="J137" i="82" s="1"/>
  <c r="J167" i="81" a="1"/>
  <c r="J167" i="81" s="1"/>
  <c r="J142" i="81" a="1"/>
  <c r="J142" i="81" s="1"/>
  <c r="J139" i="81" a="1"/>
  <c r="J139" i="81" s="1"/>
  <c r="J157" i="80" a="1"/>
  <c r="J157" i="80" s="1"/>
  <c r="J156" i="80" a="1"/>
  <c r="J156" i="80" s="1"/>
  <c r="J155" i="80"/>
  <c r="J155" i="80" a="1"/>
  <c r="J154" i="80" a="1"/>
  <c r="J154" i="80" s="1"/>
  <c r="J153" i="80" a="1"/>
  <c r="J153" i="80" s="1"/>
  <c r="J152" i="80" a="1"/>
  <c r="J152" i="80" s="1"/>
  <c r="J151" i="80" a="1"/>
  <c r="J151" i="80" s="1"/>
  <c r="J150" i="80" a="1"/>
  <c r="J150" i="80" s="1"/>
  <c r="J149" i="80" a="1"/>
  <c r="J149" i="80" s="1"/>
  <c r="J148" i="80" a="1"/>
  <c r="J148" i="80" s="1"/>
  <c r="J147" i="80"/>
  <c r="J147" i="80" a="1"/>
  <c r="J146" i="80" a="1"/>
  <c r="J146" i="80" s="1"/>
  <c r="J145" i="80" a="1"/>
  <c r="J145" i="80" s="1"/>
  <c r="J144" i="80" a="1"/>
  <c r="J144" i="80" s="1"/>
  <c r="J143" i="80" a="1"/>
  <c r="J143" i="80" s="1"/>
  <c r="J142" i="80" a="1"/>
  <c r="J142" i="80" s="1"/>
  <c r="J141" i="80" a="1"/>
  <c r="J141" i="80" s="1"/>
  <c r="J140" i="80" a="1"/>
  <c r="J140" i="80" s="1"/>
  <c r="J139" i="80"/>
  <c r="J139" i="80" a="1"/>
  <c r="J138" i="80" a="1"/>
  <c r="J138" i="80" s="1"/>
  <c r="J137" i="80" a="1"/>
  <c r="J137" i="80" s="1"/>
  <c r="J136" i="80" a="1"/>
  <c r="J136" i="80" s="1"/>
  <c r="J135" i="80" a="1"/>
  <c r="J135" i="80" s="1"/>
  <c r="J134" i="80" a="1"/>
  <c r="J134" i="80" s="1"/>
  <c r="J133" i="80" a="1"/>
  <c r="J133" i="80" s="1"/>
  <c r="J132" i="80" a="1"/>
  <c r="J132" i="80" s="1"/>
  <c r="J131" i="80"/>
  <c r="J131" i="80" a="1"/>
  <c r="J130" i="80" a="1"/>
  <c r="J130" i="80" s="1"/>
  <c r="J129" i="80" a="1"/>
  <c r="J129" i="80" s="1"/>
  <c r="J128" i="80" a="1"/>
  <c r="J128" i="80" s="1"/>
  <c r="J127" i="80" a="1"/>
  <c r="J127" i="80" s="1"/>
  <c r="J126" i="80" a="1"/>
  <c r="J126" i="80" s="1"/>
  <c r="J125" i="80" a="1"/>
  <c r="J125" i="80" s="1"/>
  <c r="J124" i="80" a="1"/>
  <c r="J124" i="80" s="1"/>
  <c r="J123" i="80"/>
  <c r="J123" i="80" a="1"/>
  <c r="J122" i="80" a="1"/>
  <c r="J122" i="80" s="1"/>
  <c r="J121" i="80" a="1"/>
  <c r="J121" i="80" s="1"/>
  <c r="J151" i="79" a="1"/>
  <c r="J151" i="79" s="1"/>
  <c r="J126" i="79" a="1"/>
  <c r="J126" i="79" s="1"/>
  <c r="J123" i="79" a="1"/>
  <c r="J123" i="79" s="1"/>
  <c r="H107" i="78" a="1"/>
  <c r="H107" i="78" s="1"/>
  <c r="H106" i="78" a="1"/>
  <c r="H106" i="78" s="1"/>
  <c r="H105" i="78" a="1"/>
  <c r="H105" i="78" s="1"/>
  <c r="H104" i="78" a="1"/>
  <c r="H104" i="78" s="1"/>
  <c r="H103" i="78" a="1"/>
  <c r="H103" i="78" s="1"/>
  <c r="H102" i="78" a="1"/>
  <c r="H102" i="78"/>
  <c r="H101" i="78" a="1"/>
  <c r="H101" i="78" s="1"/>
  <c r="H100" i="78" a="1"/>
  <c r="H100" i="78"/>
  <c r="H99" i="78" a="1"/>
  <c r="H99" i="78" s="1"/>
  <c r="H98" i="78" a="1"/>
  <c r="H98" i="78" s="1"/>
  <c r="H97" i="78" a="1"/>
  <c r="H97" i="78" s="1"/>
  <c r="H96" i="78" a="1"/>
  <c r="H96" i="78" s="1"/>
  <c r="H95" i="78" a="1"/>
  <c r="H95" i="78" s="1"/>
  <c r="H94" i="78" a="1"/>
  <c r="H94" i="78"/>
  <c r="H93" i="78" a="1"/>
  <c r="H93" i="78" s="1"/>
  <c r="H92" i="78" a="1"/>
  <c r="H92" i="78"/>
  <c r="H91" i="78" a="1"/>
  <c r="H91" i="78" s="1"/>
  <c r="H90" i="78" a="1"/>
  <c r="H90" i="78" s="1"/>
  <c r="H89" i="78" a="1"/>
  <c r="H89" i="78" s="1"/>
  <c r="H88" i="78" a="1"/>
  <c r="H88" i="78" s="1"/>
  <c r="H87" i="78" a="1"/>
  <c r="H87" i="78" s="1"/>
  <c r="H86" i="78" a="1"/>
  <c r="H86" i="78"/>
  <c r="H85" i="78" a="1"/>
  <c r="H85" i="78" s="1"/>
  <c r="H84" i="78" a="1"/>
  <c r="H84" i="78"/>
  <c r="H83" i="78" a="1"/>
  <c r="H83" i="78" s="1"/>
  <c r="H82" i="78" a="1"/>
  <c r="H82" i="78" s="1"/>
  <c r="H81" i="78" a="1"/>
  <c r="H81" i="78" s="1"/>
  <c r="H80" i="78" a="1"/>
  <c r="H80" i="78" s="1"/>
  <c r="H79" i="78" a="1"/>
  <c r="H79" i="78" s="1"/>
  <c r="H78" i="78" a="1"/>
  <c r="H78" i="78"/>
  <c r="H77" i="78" a="1"/>
  <c r="H77" i="78" s="1"/>
  <c r="H76" i="78" a="1"/>
  <c r="H76" i="78"/>
  <c r="H75" i="78" a="1"/>
  <c r="H75" i="78" s="1"/>
  <c r="H74" i="78" a="1"/>
  <c r="H74" i="78" s="1"/>
  <c r="H73" i="78" a="1"/>
  <c r="H73" i="78" s="1"/>
  <c r="H72" i="78" a="1"/>
  <c r="H72" i="78" s="1"/>
  <c r="H71" i="78" a="1"/>
  <c r="H71" i="78" s="1"/>
  <c r="H101" i="77" a="1"/>
  <c r="H101" i="77" s="1"/>
  <c r="H76" i="77" a="1"/>
  <c r="H76" i="77" s="1"/>
  <c r="H73" i="77" a="1"/>
  <c r="H73" i="77" s="1"/>
  <c r="N167" i="86" l="1"/>
  <c r="O142" i="87"/>
  <c r="N139" i="86"/>
  <c r="N139" i="87"/>
  <c r="N167" i="87"/>
  <c r="R12" i="120"/>
  <c r="L12" i="120"/>
  <c r="J12" i="120"/>
  <c r="N12" i="120" l="1"/>
  <c r="M12" i="120"/>
  <c r="R184" i="120"/>
  <c r="R183" i="120"/>
  <c r="R182" i="120"/>
  <c r="R181" i="120"/>
  <c r="R180" i="120"/>
  <c r="R179" i="120"/>
  <c r="R178" i="120"/>
  <c r="R177" i="120"/>
  <c r="R176" i="120"/>
  <c r="R175" i="120"/>
  <c r="R174" i="120"/>
  <c r="R173" i="120"/>
  <c r="R172" i="120"/>
  <c r="R171" i="120"/>
  <c r="R170" i="120"/>
  <c r="R169" i="120"/>
  <c r="R168" i="120"/>
  <c r="R167" i="120"/>
  <c r="R166" i="120"/>
  <c r="R165" i="120"/>
  <c r="R164" i="120"/>
  <c r="R163" i="120"/>
  <c r="R162" i="120"/>
  <c r="R161" i="120"/>
  <c r="R160" i="120"/>
  <c r="R159" i="120"/>
  <c r="R158" i="120"/>
  <c r="R157" i="120"/>
  <c r="R156" i="120"/>
  <c r="R155" i="120"/>
  <c r="R154" i="120"/>
  <c r="R153" i="120"/>
  <c r="R152" i="120"/>
  <c r="R151" i="120"/>
  <c r="R150" i="120"/>
  <c r="R149" i="120"/>
  <c r="R148" i="120"/>
  <c r="R147" i="120"/>
  <c r="R146" i="120"/>
  <c r="R145" i="120"/>
  <c r="R144" i="120"/>
  <c r="R143" i="120"/>
  <c r="R142" i="120"/>
  <c r="R141" i="120"/>
  <c r="R140" i="120"/>
  <c r="R139" i="120"/>
  <c r="R138" i="120"/>
  <c r="R137" i="120"/>
  <c r="R136" i="120"/>
  <c r="R135" i="120"/>
  <c r="R134" i="120"/>
  <c r="R133" i="120"/>
  <c r="R132" i="120"/>
  <c r="R131" i="120"/>
  <c r="R130" i="120"/>
  <c r="R129" i="120"/>
  <c r="R128" i="120"/>
  <c r="R127" i="120"/>
  <c r="R126" i="120"/>
  <c r="R125" i="120"/>
  <c r="R124" i="120"/>
  <c r="R122" i="120"/>
  <c r="R121" i="120"/>
  <c r="R120" i="120"/>
  <c r="R119" i="120"/>
  <c r="R118" i="120"/>
  <c r="R117" i="120"/>
  <c r="R116" i="120"/>
  <c r="R115" i="120"/>
  <c r="R114" i="120"/>
  <c r="R113" i="120"/>
  <c r="R112" i="120"/>
  <c r="R111" i="120"/>
  <c r="R110" i="120"/>
  <c r="R109" i="120"/>
  <c r="R108" i="120"/>
  <c r="R107" i="120"/>
  <c r="R106" i="120"/>
  <c r="R105" i="120"/>
  <c r="R104" i="120"/>
  <c r="R103" i="120"/>
  <c r="R102" i="120"/>
  <c r="R101" i="120"/>
  <c r="R100" i="120"/>
  <c r="R99" i="120"/>
  <c r="R98" i="120"/>
  <c r="R97" i="120"/>
  <c r="R96" i="120"/>
  <c r="R95" i="120"/>
  <c r="R94" i="120"/>
  <c r="R93" i="120"/>
  <c r="R92" i="120"/>
  <c r="R91" i="120"/>
  <c r="R90" i="120"/>
  <c r="R89" i="120"/>
  <c r="R88" i="120"/>
  <c r="R87" i="120"/>
  <c r="R86" i="120"/>
  <c r="R85" i="120"/>
  <c r="R84" i="120"/>
  <c r="R83" i="120"/>
  <c r="R82" i="120"/>
  <c r="R81" i="120"/>
  <c r="R80" i="120"/>
  <c r="R79" i="120"/>
  <c r="R78" i="120"/>
  <c r="R77" i="120"/>
  <c r="R76" i="120"/>
  <c r="R75" i="120"/>
  <c r="R74" i="120"/>
  <c r="R73" i="120"/>
  <c r="R72" i="120"/>
  <c r="R71" i="120"/>
  <c r="R70" i="120"/>
  <c r="R69" i="120"/>
  <c r="R68" i="120"/>
  <c r="R67" i="120"/>
  <c r="R66" i="120"/>
  <c r="R65" i="120"/>
  <c r="R64" i="120"/>
  <c r="R63" i="120"/>
  <c r="R62" i="120"/>
  <c r="R61" i="120"/>
  <c r="R60" i="120"/>
  <c r="R59" i="120"/>
  <c r="R58" i="120"/>
  <c r="R56" i="120"/>
  <c r="R55" i="120"/>
  <c r="R54" i="120"/>
  <c r="R53" i="120"/>
  <c r="R52" i="120"/>
  <c r="R51" i="120"/>
  <c r="R50" i="120"/>
  <c r="R49" i="120"/>
  <c r="R48" i="120"/>
  <c r="R47" i="120"/>
  <c r="R46" i="120"/>
  <c r="R45" i="120"/>
  <c r="R44" i="120"/>
  <c r="R43" i="120"/>
  <c r="R42" i="120"/>
  <c r="R41" i="120"/>
  <c r="R40" i="120"/>
  <c r="R39" i="120"/>
  <c r="R38" i="120"/>
  <c r="R37" i="120"/>
  <c r="R36" i="120"/>
  <c r="R35" i="120"/>
  <c r="R34" i="120"/>
  <c r="R33" i="120"/>
  <c r="R32" i="120"/>
  <c r="R31" i="120"/>
  <c r="R30" i="120"/>
  <c r="R29" i="120"/>
  <c r="R28" i="120"/>
  <c r="R27" i="120"/>
  <c r="R26" i="120"/>
  <c r="R25" i="120"/>
  <c r="R24" i="120"/>
  <c r="R23" i="120"/>
  <c r="R22" i="120"/>
  <c r="R21" i="120"/>
  <c r="R20" i="120"/>
  <c r="R19" i="120"/>
  <c r="R18" i="120"/>
  <c r="R17" i="120"/>
  <c r="R16" i="120"/>
  <c r="R15" i="120"/>
  <c r="R14" i="120"/>
  <c r="R13" i="120"/>
  <c r="R11" i="120"/>
  <c r="R10" i="120"/>
  <c r="R9" i="120"/>
  <c r="R8" i="120"/>
  <c r="R7" i="120"/>
  <c r="R57" i="120"/>
  <c r="L8" i="120" l="1"/>
  <c r="L9" i="120"/>
  <c r="L10" i="120"/>
  <c r="L11" i="120"/>
  <c r="L13" i="120"/>
  <c r="L181" i="120"/>
  <c r="L182" i="120"/>
  <c r="L183" i="120"/>
  <c r="L184" i="120"/>
  <c r="L7" i="120"/>
  <c r="J184" i="120" l="1"/>
  <c r="M184" i="120" s="1"/>
  <c r="J183" i="120"/>
  <c r="N183" i="120" s="1"/>
  <c r="J182" i="120"/>
  <c r="N182" i="120" s="1"/>
  <c r="J181" i="120"/>
  <c r="M181" i="120" s="1"/>
  <c r="J180" i="120"/>
  <c r="J179" i="120"/>
  <c r="K179" i="120" s="1"/>
  <c r="J178" i="120"/>
  <c r="J177" i="120"/>
  <c r="J176" i="120"/>
  <c r="J175" i="120"/>
  <c r="K175" i="120" s="1"/>
  <c r="J174" i="120"/>
  <c r="J173" i="120"/>
  <c r="J172" i="120"/>
  <c r="K172" i="120" s="1"/>
  <c r="J171" i="120"/>
  <c r="J170" i="120"/>
  <c r="J169" i="120"/>
  <c r="J168" i="120"/>
  <c r="K168" i="120" s="1"/>
  <c r="J167" i="120"/>
  <c r="K167" i="120" s="1"/>
  <c r="J166" i="120"/>
  <c r="K166" i="120" s="1"/>
  <c r="J165" i="120"/>
  <c r="K165" i="120" s="1"/>
  <c r="J164" i="120"/>
  <c r="K164" i="120" s="1"/>
  <c r="J163" i="120"/>
  <c r="K163" i="120" s="1"/>
  <c r="J162" i="120"/>
  <c r="K162" i="120" s="1"/>
  <c r="J161" i="120"/>
  <c r="K161" i="120" s="1"/>
  <c r="J160" i="120"/>
  <c r="K160" i="120" s="1"/>
  <c r="J159" i="120"/>
  <c r="K159" i="120" s="1"/>
  <c r="J158" i="120"/>
  <c r="K158" i="120" s="1"/>
  <c r="J157" i="120"/>
  <c r="K157" i="120" s="1"/>
  <c r="J156" i="120"/>
  <c r="J155" i="120"/>
  <c r="J154" i="120"/>
  <c r="K154" i="120" s="1"/>
  <c r="J153" i="120"/>
  <c r="J152" i="120"/>
  <c r="J151" i="120"/>
  <c r="J150" i="120"/>
  <c r="J149" i="120"/>
  <c r="J148" i="120"/>
  <c r="J147" i="120"/>
  <c r="K147" i="120" s="1"/>
  <c r="J146" i="120"/>
  <c r="J145" i="120"/>
  <c r="J144" i="120"/>
  <c r="J143" i="120"/>
  <c r="J142" i="120"/>
  <c r="J141" i="120"/>
  <c r="K141" i="120" s="1"/>
  <c r="J140" i="120"/>
  <c r="J139" i="120"/>
  <c r="J138" i="120"/>
  <c r="K138" i="120" s="1"/>
  <c r="J137" i="120"/>
  <c r="K137" i="120" s="1"/>
  <c r="J136" i="120"/>
  <c r="K136" i="120" s="1"/>
  <c r="J135" i="120"/>
  <c r="J134" i="120"/>
  <c r="J133" i="120"/>
  <c r="K133" i="120" s="1"/>
  <c r="J132" i="120"/>
  <c r="K132" i="120" s="1"/>
  <c r="J131" i="120"/>
  <c r="J130" i="120"/>
  <c r="J129" i="120"/>
  <c r="K129" i="120" s="1"/>
  <c r="J128" i="120"/>
  <c r="K128" i="120" s="1"/>
  <c r="J127" i="120"/>
  <c r="K127" i="120" s="1"/>
  <c r="J126" i="120"/>
  <c r="K126" i="120" s="1"/>
  <c r="J125" i="120"/>
  <c r="K125" i="120" s="1"/>
  <c r="J124" i="120"/>
  <c r="J123" i="120"/>
  <c r="J122" i="120"/>
  <c r="J121" i="120"/>
  <c r="J120" i="120"/>
  <c r="J119" i="120"/>
  <c r="K119" i="120" s="1"/>
  <c r="J118" i="120"/>
  <c r="K118" i="120" s="1"/>
  <c r="J117" i="120"/>
  <c r="K117" i="120" s="1"/>
  <c r="J116" i="120"/>
  <c r="K116" i="120" s="1"/>
  <c r="J115" i="120"/>
  <c r="K115" i="120" s="1"/>
  <c r="J114" i="120"/>
  <c r="K114" i="120" s="1"/>
  <c r="J113" i="120"/>
  <c r="K113" i="120" s="1"/>
  <c r="J112" i="120"/>
  <c r="K112" i="120" s="1"/>
  <c r="J111" i="120"/>
  <c r="K111" i="120" s="1"/>
  <c r="J110" i="120"/>
  <c r="K110" i="120" s="1"/>
  <c r="J109" i="120"/>
  <c r="K109" i="120" s="1"/>
  <c r="J108" i="120"/>
  <c r="K108" i="120" s="1"/>
  <c r="J107" i="120"/>
  <c r="K107" i="120" s="1"/>
  <c r="J106" i="120"/>
  <c r="K106" i="120" s="1"/>
  <c r="J105" i="120"/>
  <c r="J104" i="120"/>
  <c r="J103" i="120"/>
  <c r="J102" i="120"/>
  <c r="J101" i="120"/>
  <c r="J100" i="120"/>
  <c r="K100" i="120" s="1"/>
  <c r="J99" i="120"/>
  <c r="J98" i="120"/>
  <c r="J97" i="120"/>
  <c r="K97" i="120" s="1"/>
  <c r="J96" i="120"/>
  <c r="K96" i="120" s="1"/>
  <c r="J95" i="120"/>
  <c r="J94" i="120"/>
  <c r="J93" i="120"/>
  <c r="K93" i="120" s="1"/>
  <c r="J92" i="120"/>
  <c r="K92" i="120" s="1"/>
  <c r="J91" i="120"/>
  <c r="K91" i="120" s="1"/>
  <c r="J90" i="120"/>
  <c r="J89" i="120"/>
  <c r="J88" i="120"/>
  <c r="J87" i="120"/>
  <c r="J86" i="120"/>
  <c r="K86" i="120" s="1"/>
  <c r="J85" i="120"/>
  <c r="J84" i="120"/>
  <c r="J83" i="120"/>
  <c r="K83" i="120" s="1"/>
  <c r="J82" i="120"/>
  <c r="K82" i="120" s="1"/>
  <c r="J81" i="120"/>
  <c r="K81" i="120" s="1"/>
  <c r="J80" i="120"/>
  <c r="J79" i="120"/>
  <c r="J78" i="120"/>
  <c r="J77" i="120"/>
  <c r="K77" i="120" s="1"/>
  <c r="J76" i="120"/>
  <c r="K76" i="120" s="1"/>
  <c r="J75" i="120"/>
  <c r="K75" i="120" s="1"/>
  <c r="J74" i="120"/>
  <c r="K74" i="120" s="1"/>
  <c r="J73" i="120"/>
  <c r="J72" i="120"/>
  <c r="J71" i="120"/>
  <c r="K71" i="120" s="1"/>
  <c r="J70" i="120"/>
  <c r="K70" i="120" s="1"/>
  <c r="J69" i="120"/>
  <c r="K69" i="120" s="1"/>
  <c r="J68" i="120"/>
  <c r="J67" i="120"/>
  <c r="J66" i="120"/>
  <c r="J65" i="120"/>
  <c r="J64" i="120"/>
  <c r="J63" i="120"/>
  <c r="K63" i="120" s="1"/>
  <c r="J62" i="120"/>
  <c r="K62" i="120" s="1"/>
  <c r="J61" i="120"/>
  <c r="K61" i="120" s="1"/>
  <c r="J60" i="120"/>
  <c r="K60" i="120" s="1"/>
  <c r="J59" i="120"/>
  <c r="J58" i="120"/>
  <c r="J57" i="120"/>
  <c r="J56" i="120"/>
  <c r="J55" i="120"/>
  <c r="J54" i="120"/>
  <c r="J53" i="120"/>
  <c r="K53" i="120" s="1"/>
  <c r="J52" i="120"/>
  <c r="J51" i="120"/>
  <c r="J50" i="120"/>
  <c r="J49" i="120"/>
  <c r="J48" i="120"/>
  <c r="J47" i="120"/>
  <c r="J46" i="120"/>
  <c r="K46" i="120" s="1"/>
  <c r="J45" i="120"/>
  <c r="J44" i="120"/>
  <c r="J43" i="120"/>
  <c r="J42" i="120"/>
  <c r="J41" i="120"/>
  <c r="J40" i="120"/>
  <c r="K40" i="120" s="1"/>
  <c r="J39" i="120"/>
  <c r="K39" i="120" s="1"/>
  <c r="J38" i="120"/>
  <c r="K38" i="120" s="1"/>
  <c r="J37" i="120"/>
  <c r="J36" i="120"/>
  <c r="J35" i="120"/>
  <c r="K35" i="120" s="1"/>
  <c r="J34" i="120"/>
  <c r="K34" i="120" s="1"/>
  <c r="J33" i="120"/>
  <c r="J32" i="120"/>
  <c r="J31" i="120"/>
  <c r="J30" i="120"/>
  <c r="J29" i="120"/>
  <c r="J28" i="120"/>
  <c r="J27" i="120"/>
  <c r="K27" i="120" s="1"/>
  <c r="J26" i="120"/>
  <c r="J25" i="120"/>
  <c r="J24" i="120"/>
  <c r="K24" i="120" s="1"/>
  <c r="J23" i="120"/>
  <c r="K23" i="120" s="1"/>
  <c r="J22" i="120"/>
  <c r="K22" i="120" s="1"/>
  <c r="J21" i="120"/>
  <c r="K21" i="120" s="1"/>
  <c r="J20" i="120"/>
  <c r="K20" i="120" s="1"/>
  <c r="J19" i="120"/>
  <c r="K19" i="120" s="1"/>
  <c r="J18" i="120"/>
  <c r="K18" i="120" s="1"/>
  <c r="J17" i="120"/>
  <c r="K17" i="120" s="1"/>
  <c r="J16" i="120"/>
  <c r="K16" i="120" s="1"/>
  <c r="J15" i="120"/>
  <c r="K15" i="120" s="1"/>
  <c r="J14" i="120"/>
  <c r="K14" i="120" s="1"/>
  <c r="J13" i="120"/>
  <c r="N13" i="120" s="1"/>
  <c r="J11" i="120"/>
  <c r="M11" i="120" s="1"/>
  <c r="J10" i="120"/>
  <c r="M10" i="120" s="1"/>
  <c r="J9" i="120"/>
  <c r="M9" i="120" s="1"/>
  <c r="J8" i="120"/>
  <c r="J7" i="120"/>
  <c r="M7" i="120" s="1"/>
  <c r="A1" i="120"/>
  <c r="M8" i="120" l="1"/>
  <c r="K12" i="120"/>
  <c r="M182" i="120"/>
  <c r="M183" i="120"/>
  <c r="N184" i="120"/>
  <c r="N42" i="120"/>
  <c r="M42" i="120"/>
  <c r="N9" i="120"/>
  <c r="N7" i="120"/>
  <c r="N181" i="120"/>
  <c r="N8" i="120"/>
  <c r="N43" i="120"/>
  <c r="M43" i="120"/>
  <c r="N11" i="120"/>
  <c r="M13" i="120"/>
  <c r="K144" i="120"/>
  <c r="N41" i="120"/>
  <c r="M41" i="120"/>
  <c r="N10" i="120"/>
  <c r="K78" i="120"/>
  <c r="K94" i="120"/>
  <c r="K177" i="120"/>
  <c r="K25" i="120"/>
  <c r="K33" i="120"/>
  <c r="K37" i="120"/>
  <c r="K72" i="120"/>
  <c r="K120" i="120"/>
  <c r="K87" i="120"/>
  <c r="K173" i="120"/>
  <c r="K102" i="120"/>
  <c r="K48" i="120"/>
  <c r="K169" i="120"/>
  <c r="K180" i="120"/>
  <c r="K50" i="120"/>
  <c r="K139" i="120"/>
  <c r="K150" i="120"/>
  <c r="K89" i="120"/>
  <c r="K44" i="120"/>
  <c r="K65" i="120"/>
  <c r="K153" i="120"/>
  <c r="K9" i="120"/>
  <c r="K41" i="120"/>
  <c r="K57" i="120"/>
  <c r="K84" i="120"/>
  <c r="K103" i="120"/>
  <c r="K121" i="120"/>
  <c r="K130" i="120"/>
  <c r="K148" i="120"/>
  <c r="K152" i="120"/>
  <c r="K36" i="120"/>
  <c r="K49" i="120"/>
  <c r="K56" i="120"/>
  <c r="K171" i="120"/>
  <c r="K176" i="120"/>
  <c r="K30" i="120"/>
  <c r="K45" i="120"/>
  <c r="K85" i="120"/>
  <c r="K90" i="120"/>
  <c r="K98" i="120"/>
  <c r="K101" i="120"/>
  <c r="K122" i="120"/>
  <c r="K134" i="120"/>
  <c r="K149" i="120"/>
  <c r="K178" i="120"/>
  <c r="K28" i="120"/>
  <c r="K51" i="120"/>
  <c r="K54" i="120"/>
  <c r="K73" i="120"/>
  <c r="K105" i="120"/>
  <c r="K124" i="120"/>
  <c r="K142" i="120"/>
  <c r="K145" i="120"/>
  <c r="K156" i="120"/>
  <c r="K183" i="120"/>
  <c r="K184" i="120"/>
  <c r="K181" i="120"/>
  <c r="K10" i="120"/>
  <c r="K11" i="120"/>
  <c r="K7" i="120"/>
  <c r="K182" i="120"/>
  <c r="K13" i="120"/>
  <c r="K29" i="120"/>
  <c r="K42" i="120"/>
  <c r="K52" i="120"/>
  <c r="K58" i="120"/>
  <c r="K67" i="120"/>
  <c r="K66" i="120"/>
  <c r="K64" i="120"/>
  <c r="K26" i="120"/>
  <c r="K8" i="120"/>
  <c r="K32" i="120"/>
  <c r="K43" i="120"/>
  <c r="K47" i="120"/>
  <c r="K59" i="120"/>
  <c r="K80" i="120"/>
  <c r="K140" i="120"/>
  <c r="K123" i="120"/>
  <c r="K131" i="120"/>
  <c r="K135" i="120"/>
  <c r="K143" i="120"/>
  <c r="K151" i="120"/>
  <c r="K155" i="120"/>
  <c r="K68" i="120"/>
  <c r="K88" i="120"/>
  <c r="K104" i="120"/>
  <c r="K31" i="120"/>
  <c r="K55" i="120"/>
  <c r="K79" i="120"/>
  <c r="K95" i="120"/>
  <c r="K99" i="120"/>
  <c r="K146" i="120"/>
  <c r="K170" i="120"/>
  <c r="K174" i="120"/>
  <c r="D20" i="116" l="1"/>
  <c r="F19" i="116" l="1"/>
  <c r="F20" i="116"/>
  <c r="J19" i="116"/>
  <c r="J20" i="116"/>
  <c r="N19" i="116"/>
  <c r="W19" i="116"/>
  <c r="Z19" i="116"/>
  <c r="Y19" i="116"/>
  <c r="Y20" i="116"/>
  <c r="W20" i="116"/>
  <c r="N20" i="116"/>
  <c r="AA19" i="116" l="1"/>
  <c r="Z20" i="116"/>
  <c r="AA20" i="116" s="1"/>
  <c r="L308" i="18" l="1"/>
  <c r="L309" i="18"/>
  <c r="L310" i="18"/>
  <c r="L307" i="18"/>
  <c r="L304" i="18"/>
  <c r="L305" i="18"/>
  <c r="L306" i="18"/>
  <c r="L303" i="18"/>
  <c r="P433" i="18"/>
  <c r="P434" i="18"/>
  <c r="P435" i="18"/>
  <c r="P436" i="18"/>
  <c r="P437" i="18"/>
  <c r="P438" i="18"/>
  <c r="P439" i="18"/>
  <c r="P432" i="18"/>
  <c r="P407" i="18"/>
  <c r="P408" i="18"/>
  <c r="P409" i="18"/>
  <c r="P410" i="18"/>
  <c r="P411" i="18"/>
  <c r="P412" i="18"/>
  <c r="P413" i="18"/>
  <c r="P406" i="18"/>
  <c r="E167" i="18"/>
  <c r="F167" i="18"/>
  <c r="G167" i="18"/>
  <c r="H167" i="18"/>
  <c r="I167" i="18"/>
  <c r="J167" i="18"/>
  <c r="K167" i="18"/>
  <c r="E169" i="18"/>
  <c r="F169" i="18"/>
  <c r="G169" i="18"/>
  <c r="H169" i="18"/>
  <c r="I169" i="18"/>
  <c r="J169" i="18"/>
  <c r="K169" i="18"/>
  <c r="D169" i="18"/>
  <c r="D167" i="18"/>
  <c r="A172" i="18"/>
  <c r="A171" i="18"/>
  <c r="A170" i="18"/>
  <c r="A169" i="18"/>
  <c r="A168" i="18"/>
  <c r="A167" i="18"/>
  <c r="A166" i="18"/>
  <c r="A165" i="18"/>
  <c r="A164" i="18"/>
  <c r="A163" i="18"/>
  <c r="A162" i="18"/>
  <c r="A161" i="18"/>
  <c r="E119" i="18"/>
  <c r="E163" i="18" s="1"/>
  <c r="F119" i="18"/>
  <c r="F163" i="18" s="1"/>
  <c r="G119" i="18"/>
  <c r="G163" i="18" s="1"/>
  <c r="H119" i="18"/>
  <c r="H163" i="18" s="1"/>
  <c r="I119" i="18"/>
  <c r="I163" i="18" s="1"/>
  <c r="J119" i="18"/>
  <c r="J163" i="18" s="1"/>
  <c r="K119" i="18"/>
  <c r="K163" i="18" s="1"/>
  <c r="D119" i="18"/>
  <c r="D163" i="18" s="1"/>
  <c r="E91" i="18"/>
  <c r="E96" i="18" s="1"/>
  <c r="E128" i="18" s="1"/>
  <c r="F91" i="18"/>
  <c r="F96" i="18" s="1"/>
  <c r="F120" i="18" s="1"/>
  <c r="F164" i="18" s="1"/>
  <c r="G91" i="18"/>
  <c r="G96" i="18" s="1"/>
  <c r="G120" i="18" s="1"/>
  <c r="G164" i="18" s="1"/>
  <c r="H91" i="18"/>
  <c r="H96" i="18" s="1"/>
  <c r="H120" i="18" s="1"/>
  <c r="H164" i="18" s="1"/>
  <c r="I91" i="18"/>
  <c r="I96" i="18" s="1"/>
  <c r="I128" i="18" s="1"/>
  <c r="J91" i="18"/>
  <c r="J96" i="18" s="1"/>
  <c r="J120" i="18" s="1"/>
  <c r="J164" i="18" s="1"/>
  <c r="K91" i="18"/>
  <c r="K96" i="18" s="1"/>
  <c r="K120" i="18" s="1"/>
  <c r="K164" i="18" s="1"/>
  <c r="D91" i="18"/>
  <c r="D96" i="18" s="1"/>
  <c r="D128" i="18" s="1"/>
  <c r="D165" i="18" s="1"/>
  <c r="W234" i="18"/>
  <c r="W235" i="18"/>
  <c r="W236" i="18"/>
  <c r="W233" i="18"/>
  <c r="U234" i="18"/>
  <c r="U235" i="18"/>
  <c r="U236" i="18"/>
  <c r="U233" i="18"/>
  <c r="P232" i="18"/>
  <c r="P231" i="18"/>
  <c r="P230" i="18"/>
  <c r="P229" i="18"/>
  <c r="P215" i="18"/>
  <c r="P214" i="18"/>
  <c r="P213" i="18"/>
  <c r="P212" i="18"/>
  <c r="G230" i="18"/>
  <c r="G232" i="18" s="1"/>
  <c r="G243" i="18" s="1"/>
  <c r="G212" i="18"/>
  <c r="G216" i="18" s="1"/>
  <c r="G237" i="18" s="1"/>
  <c r="G211" i="18"/>
  <c r="G241" i="18"/>
  <c r="Z232" i="18"/>
  <c r="Q232" i="18"/>
  <c r="Z231" i="18"/>
  <c r="Q231" i="18"/>
  <c r="Z230" i="18"/>
  <c r="Q230" i="18"/>
  <c r="Z229" i="18"/>
  <c r="G200" i="18"/>
  <c r="G202" i="18" s="1"/>
  <c r="J439" i="18"/>
  <c r="J438" i="18"/>
  <c r="J437" i="18"/>
  <c r="J436" i="18"/>
  <c r="J435" i="18"/>
  <c r="J434" i="18"/>
  <c r="J433" i="18"/>
  <c r="J432" i="18"/>
  <c r="F426" i="18"/>
  <c r="F440" i="18" s="1"/>
  <c r="F411" i="18"/>
  <c r="F415" i="18" s="1"/>
  <c r="F434" i="18" s="1"/>
  <c r="F410" i="18"/>
  <c r="F396" i="18"/>
  <c r="F398" i="18" s="1"/>
  <c r="AC331" i="18"/>
  <c r="Z348" i="18"/>
  <c r="AC348" i="18" s="1"/>
  <c r="Z347" i="18"/>
  <c r="AC347" i="18" s="1"/>
  <c r="Z346" i="18"/>
  <c r="AC346" i="18" s="1"/>
  <c r="Z345" i="18"/>
  <c r="Z341" i="18"/>
  <c r="AC341" i="18" s="1"/>
  <c r="Z340" i="18"/>
  <c r="AC340" i="18" s="1"/>
  <c r="Z339" i="18"/>
  <c r="AC339" i="18" s="1"/>
  <c r="Z338" i="18"/>
  <c r="AE334" i="18"/>
  <c r="W334" i="18"/>
  <c r="AE333" i="18"/>
  <c r="W333" i="18"/>
  <c r="AE332" i="18"/>
  <c r="W332" i="18"/>
  <c r="AE331" i="18"/>
  <c r="W331" i="18"/>
  <c r="AE329" i="18"/>
  <c r="W329" i="18"/>
  <c r="AE328" i="18"/>
  <c r="W328" i="18"/>
  <c r="AE327" i="18"/>
  <c r="W327" i="18"/>
  <c r="AE326" i="18"/>
  <c r="W326" i="18"/>
  <c r="F358" i="18"/>
  <c r="F339" i="18"/>
  <c r="F344" i="18" s="1"/>
  <c r="K117" i="18" l="1"/>
  <c r="K161" i="18" s="1"/>
  <c r="K128" i="18"/>
  <c r="K129" i="18" s="1"/>
  <c r="H128" i="18"/>
  <c r="H129" i="18" s="1"/>
  <c r="H131" i="18" s="1"/>
  <c r="H168" i="18" s="1"/>
  <c r="G117" i="18"/>
  <c r="G161" i="18" s="1"/>
  <c r="G128" i="18"/>
  <c r="G165" i="18" s="1"/>
  <c r="I165" i="18"/>
  <c r="I129" i="18"/>
  <c r="I131" i="18" s="1"/>
  <c r="I168" i="18" s="1"/>
  <c r="E165" i="18"/>
  <c r="E129" i="18"/>
  <c r="G215" i="18"/>
  <c r="G236" i="18" s="1"/>
  <c r="G221" i="18"/>
  <c r="G239" i="18" s="1"/>
  <c r="G214" i="18"/>
  <c r="G217" i="18"/>
  <c r="G238" i="18" s="1"/>
  <c r="I120" i="18"/>
  <c r="I164" i="18" s="1"/>
  <c r="D117" i="18"/>
  <c r="D161" i="18" s="1"/>
  <c r="H117" i="18"/>
  <c r="H161" i="18" s="1"/>
  <c r="D118" i="18"/>
  <c r="D162" i="18" s="1"/>
  <c r="H118" i="18"/>
  <c r="H162" i="18" s="1"/>
  <c r="D120" i="18"/>
  <c r="D164" i="18" s="1"/>
  <c r="H165" i="18"/>
  <c r="E120" i="18"/>
  <c r="E164" i="18" s="1"/>
  <c r="E117" i="18"/>
  <c r="I117" i="18"/>
  <c r="K118" i="18"/>
  <c r="K162" i="18" s="1"/>
  <c r="G118" i="18"/>
  <c r="G162" i="18" s="1"/>
  <c r="J128" i="18"/>
  <c r="F128" i="18"/>
  <c r="I118" i="18"/>
  <c r="I162" i="18" s="1"/>
  <c r="E118" i="18"/>
  <c r="E162" i="18" s="1"/>
  <c r="F117" i="18"/>
  <c r="F161" i="18" s="1"/>
  <c r="J117" i="18"/>
  <c r="J161" i="18" s="1"/>
  <c r="J118" i="18"/>
  <c r="J162" i="18" s="1"/>
  <c r="F118" i="18"/>
  <c r="F162" i="18" s="1"/>
  <c r="E161" i="18"/>
  <c r="I161" i="18"/>
  <c r="K166" i="18"/>
  <c r="K131" i="18"/>
  <c r="K168" i="18" s="1"/>
  <c r="D129" i="18"/>
  <c r="D131" i="18" s="1"/>
  <c r="D168" i="18" s="1"/>
  <c r="H166" i="18"/>
  <c r="K165" i="18"/>
  <c r="I166" i="18"/>
  <c r="G235" i="18"/>
  <c r="F413" i="18"/>
  <c r="F422" i="18"/>
  <c r="F421" i="18"/>
  <c r="F364" i="18"/>
  <c r="F365" i="18"/>
  <c r="F429" i="18"/>
  <c r="Y328" i="18"/>
  <c r="Y333" i="18"/>
  <c r="F356" i="18"/>
  <c r="F359" i="18"/>
  <c r="F357" i="18"/>
  <c r="AC326" i="18"/>
  <c r="AC338" i="18" s="1"/>
  <c r="AC345" i="18"/>
  <c r="AB340" i="18"/>
  <c r="AA340" i="18"/>
  <c r="AA347" i="18"/>
  <c r="C158" i="17"/>
  <c r="C154" i="17"/>
  <c r="C156" i="17" s="1"/>
  <c r="C153" i="17"/>
  <c r="C155" i="17" s="1"/>
  <c r="C157" i="17" s="1"/>
  <c r="C27" i="17"/>
  <c r="C29" i="17" s="1"/>
  <c r="C31" i="17" s="1"/>
  <c r="C26" i="17"/>
  <c r="C28" i="17" s="1"/>
  <c r="C30" i="17" s="1"/>
  <c r="G129" i="18" l="1"/>
  <c r="G166" i="18" s="1"/>
  <c r="J165" i="18"/>
  <c r="J129" i="18"/>
  <c r="G222" i="18"/>
  <c r="E131" i="18"/>
  <c r="E168" i="18" s="1"/>
  <c r="E166" i="18"/>
  <c r="F165" i="18"/>
  <c r="F129" i="18"/>
  <c r="D166" i="18"/>
  <c r="G131" i="18"/>
  <c r="G168" i="18" s="1"/>
  <c r="Y331" i="18"/>
  <c r="Y326" i="18"/>
  <c r="F439" i="18"/>
  <c r="F437" i="18"/>
  <c r="F436" i="18"/>
  <c r="AA334" i="18"/>
  <c r="AA332" i="18"/>
  <c r="AA331" i="18"/>
  <c r="AA327" i="18"/>
  <c r="AA329" i="18"/>
  <c r="AA326" i="18"/>
  <c r="F432" i="18"/>
  <c r="Y334" i="18"/>
  <c r="AA348" i="18" s="1"/>
  <c r="Y329" i="18"/>
  <c r="AA341" i="18" s="1"/>
  <c r="Y332" i="18"/>
  <c r="AA346" i="18" s="1"/>
  <c r="Y327" i="18"/>
  <c r="AA339" i="18" s="1"/>
  <c r="C202" i="17"/>
  <c r="C204" i="17" s="1"/>
  <c r="C206" i="17" s="1"/>
  <c r="Q75" i="17"/>
  <c r="Q77" i="17" s="1"/>
  <c r="Q79" i="17" s="1"/>
  <c r="Q74" i="17"/>
  <c r="Q76" i="17" s="1"/>
  <c r="Q78" i="17" s="1"/>
  <c r="K75" i="17"/>
  <c r="K77" i="17" s="1"/>
  <c r="K79" i="17" s="1"/>
  <c r="K74" i="17"/>
  <c r="K76" i="17" s="1"/>
  <c r="K78" i="17" s="1"/>
  <c r="U250" i="17"/>
  <c r="U249" i="17"/>
  <c r="U248" i="17"/>
  <c r="U247" i="17"/>
  <c r="U246" i="17"/>
  <c r="N254" i="17"/>
  <c r="N253" i="17"/>
  <c r="N250" i="17"/>
  <c r="N249" i="17"/>
  <c r="N248" i="17"/>
  <c r="M254" i="17"/>
  <c r="M253" i="17"/>
  <c r="M250" i="17"/>
  <c r="M249" i="17"/>
  <c r="M248" i="17"/>
  <c r="O158" i="16"/>
  <c r="O157" i="16"/>
  <c r="F166" i="18" l="1"/>
  <c r="F131" i="18"/>
  <c r="F168" i="18" s="1"/>
  <c r="G240" i="18"/>
  <c r="G224" i="18"/>
  <c r="G242" i="18" s="1"/>
  <c r="J166" i="18"/>
  <c r="J131" i="18"/>
  <c r="J168" i="18" s="1"/>
  <c r="E216" i="16"/>
  <c r="E215" i="16"/>
  <c r="E213" i="16"/>
  <c r="C178" i="16" l="1"/>
  <c r="C174" i="16"/>
  <c r="C170" i="16"/>
  <c r="C134" i="16" l="1"/>
  <c r="C133" i="16"/>
  <c r="C131" i="16"/>
  <c r="C122" i="16"/>
  <c r="C121" i="16"/>
  <c r="C119" i="16"/>
  <c r="C266" i="98" l="1"/>
  <c r="K25" i="2" l="1"/>
  <c r="K26" i="2"/>
  <c r="K27" i="2"/>
  <c r="K28" i="2"/>
  <c r="K29" i="2"/>
  <c r="K347" i="2"/>
  <c r="K348" i="2"/>
  <c r="K349" i="2"/>
  <c r="K298" i="2"/>
  <c r="K299" i="2"/>
  <c r="K300" i="2"/>
  <c r="K301" i="2"/>
  <c r="K92" i="40" l="1"/>
  <c r="J92" i="40" s="1"/>
  <c r="K93" i="40"/>
  <c r="J93" i="40" s="1"/>
  <c r="K92" i="41"/>
  <c r="J92" i="41" s="1"/>
  <c r="K93" i="41"/>
  <c r="J93" i="41" s="1"/>
  <c r="K92" i="39"/>
  <c r="J92" i="39" s="1"/>
  <c r="K93" i="39"/>
  <c r="J93" i="39" s="1"/>
  <c r="K91" i="40"/>
  <c r="J91" i="40" s="1"/>
  <c r="K91" i="41"/>
  <c r="J91" i="41" s="1"/>
  <c r="K91" i="39"/>
  <c r="J91" i="39" s="1"/>
  <c r="K89" i="40"/>
  <c r="J89" i="40" s="1"/>
  <c r="K90" i="40"/>
  <c r="J90" i="40" s="1"/>
  <c r="K89" i="41"/>
  <c r="J89" i="41" s="1"/>
  <c r="K90" i="41"/>
  <c r="J90" i="41" s="1"/>
  <c r="K89" i="39"/>
  <c r="J89" i="39" s="1"/>
  <c r="K90" i="39"/>
  <c r="J90" i="39" s="1"/>
  <c r="K88" i="40"/>
  <c r="J88" i="40" s="1"/>
  <c r="K88" i="41"/>
  <c r="J88" i="41" s="1"/>
  <c r="K88" i="39"/>
  <c r="J88" i="39" s="1"/>
  <c r="K86" i="40"/>
  <c r="J86" i="40" s="1"/>
  <c r="K87" i="40"/>
  <c r="J87" i="40" s="1"/>
  <c r="K86" i="41"/>
  <c r="J86" i="41" s="1"/>
  <c r="K87" i="41"/>
  <c r="J87" i="41" s="1"/>
  <c r="K86" i="39"/>
  <c r="J86" i="39" s="1"/>
  <c r="K87" i="39"/>
  <c r="J87" i="39" s="1"/>
  <c r="K85" i="40"/>
  <c r="J85" i="40" s="1"/>
  <c r="K85" i="41"/>
  <c r="J85" i="41" s="1"/>
  <c r="K85" i="39"/>
  <c r="J85" i="39" s="1"/>
  <c r="C41" i="102"/>
  <c r="C40" i="102"/>
  <c r="C41" i="101"/>
  <c r="C40" i="101"/>
  <c r="C41" i="100"/>
  <c r="C40" i="100"/>
  <c r="C41" i="97"/>
  <c r="C40" i="97"/>
  <c r="W220" i="117" l="1"/>
  <c r="AZ220" i="117" s="1"/>
  <c r="X220" i="117"/>
  <c r="BA220" i="117" s="1"/>
  <c r="Y220" i="117"/>
  <c r="BB220" i="117" s="1"/>
  <c r="V220" i="117"/>
  <c r="D220" i="117"/>
  <c r="F15" i="30"/>
  <c r="Z220" i="117" l="1"/>
  <c r="AY220" i="117"/>
  <c r="BC220" i="117" s="1"/>
  <c r="B56" i="1"/>
  <c r="M799" i="2"/>
  <c r="BW107" i="1" s="1"/>
  <c r="Q800" i="2"/>
  <c r="CA108" i="1" s="1"/>
  <c r="BE108" i="1"/>
  <c r="BD108" i="1"/>
  <c r="BC108" i="1"/>
  <c r="BB108" i="1"/>
  <c r="N108" i="1"/>
  <c r="R108" i="1"/>
  <c r="S108" i="1"/>
  <c r="T108" i="1"/>
  <c r="U108" i="1"/>
  <c r="W108" i="1"/>
  <c r="X108" i="1"/>
  <c r="Y108" i="1"/>
  <c r="Z108" i="1"/>
  <c r="AA108" i="1"/>
  <c r="AB108" i="1"/>
  <c r="AC108" i="1"/>
  <c r="AD108" i="1"/>
  <c r="AE108" i="1"/>
  <c r="AF108" i="1"/>
  <c r="AG108" i="1"/>
  <c r="AL108" i="1"/>
  <c r="AM108" i="1"/>
  <c r="AN108" i="1"/>
  <c r="AO108" i="1"/>
  <c r="AT108" i="1"/>
  <c r="AU108" i="1"/>
  <c r="AV108" i="1"/>
  <c r="AW108" i="1"/>
  <c r="BE107" i="1"/>
  <c r="BD107" i="1"/>
  <c r="BC107" i="1"/>
  <c r="BB107" i="1"/>
  <c r="X107" i="1"/>
  <c r="Y107" i="1"/>
  <c r="Z107" i="1"/>
  <c r="AA107" i="1"/>
  <c r="AB107" i="1"/>
  <c r="AC107" i="1"/>
  <c r="N107" i="1"/>
  <c r="F107" i="1"/>
  <c r="B107" i="1"/>
  <c r="K800" i="2"/>
  <c r="L800" i="2"/>
  <c r="M800" i="2"/>
  <c r="BW108" i="1" s="1"/>
  <c r="N800" i="2"/>
  <c r="BX108" i="1" s="1"/>
  <c r="O800" i="2"/>
  <c r="BY108" i="1" s="1"/>
  <c r="P800" i="2"/>
  <c r="BZ108" i="1" s="1"/>
  <c r="R800" i="2"/>
  <c r="CB108" i="1" s="1"/>
  <c r="S800" i="2"/>
  <c r="CC108" i="1" s="1"/>
  <c r="T800" i="2"/>
  <c r="CD108" i="1" s="1"/>
  <c r="BI108" i="1" l="1"/>
  <c r="BF108" i="1"/>
  <c r="BG108" i="1"/>
  <c r="BH108" i="1"/>
  <c r="BE106" i="1" l="1"/>
  <c r="BD106" i="1"/>
  <c r="BC106" i="1"/>
  <c r="BG106" i="1" s="1"/>
  <c r="BB106" i="1"/>
  <c r="BE105" i="1"/>
  <c r="BI105" i="1" s="1"/>
  <c r="BD105" i="1"/>
  <c r="BC105" i="1"/>
  <c r="BG105" i="1" s="1"/>
  <c r="BB105" i="1"/>
  <c r="BF105" i="1" s="1"/>
  <c r="BE104" i="1"/>
  <c r="BD104" i="1"/>
  <c r="BC104" i="1"/>
  <c r="BG104" i="1" s="1"/>
  <c r="BB104" i="1"/>
  <c r="BE103" i="1"/>
  <c r="BI103" i="1" s="1"/>
  <c r="BD103" i="1"/>
  <c r="BC103" i="1"/>
  <c r="BG103" i="1" s="1"/>
  <c r="BB103" i="1"/>
  <c r="BF103" i="1" s="1"/>
  <c r="BE102" i="1"/>
  <c r="BD102" i="1"/>
  <c r="BH102" i="1" s="1"/>
  <c r="BC102" i="1"/>
  <c r="BB102" i="1"/>
  <c r="BF102" i="1" s="1"/>
  <c r="BE101" i="1"/>
  <c r="BI101" i="1" s="1"/>
  <c r="BD101" i="1"/>
  <c r="BC101" i="1"/>
  <c r="BB101" i="1"/>
  <c r="BE100" i="1"/>
  <c r="BD100" i="1"/>
  <c r="BH100" i="1" s="1"/>
  <c r="BC100" i="1"/>
  <c r="BB100" i="1"/>
  <c r="BF100" i="1" s="1"/>
  <c r="BE99" i="1"/>
  <c r="BI99" i="1" s="1"/>
  <c r="BD99" i="1"/>
  <c r="BC99" i="1"/>
  <c r="BB99" i="1"/>
  <c r="AS106" i="1"/>
  <c r="AR106" i="1"/>
  <c r="AQ106" i="1"/>
  <c r="AP106" i="1"/>
  <c r="AS105" i="1"/>
  <c r="AR105" i="1"/>
  <c r="AQ105" i="1"/>
  <c r="AP105" i="1"/>
  <c r="AS104" i="1"/>
  <c r="AR104" i="1"/>
  <c r="AQ104" i="1"/>
  <c r="AP104" i="1"/>
  <c r="AS103" i="1"/>
  <c r="AR103" i="1"/>
  <c r="AQ103" i="1"/>
  <c r="AP103" i="1"/>
  <c r="AS102" i="1"/>
  <c r="AR102" i="1"/>
  <c r="AQ102" i="1"/>
  <c r="AP102" i="1"/>
  <c r="AS101" i="1"/>
  <c r="AR101" i="1"/>
  <c r="AQ101" i="1"/>
  <c r="AP101" i="1"/>
  <c r="AS100" i="1"/>
  <c r="AR100" i="1"/>
  <c r="AQ100" i="1"/>
  <c r="AP100" i="1"/>
  <c r="AS99" i="1"/>
  <c r="AR99" i="1"/>
  <c r="AQ99" i="1"/>
  <c r="AP99" i="1"/>
  <c r="M99" i="1"/>
  <c r="L100" i="1"/>
  <c r="M100" i="1"/>
  <c r="M101" i="1"/>
  <c r="M102" i="1"/>
  <c r="L103" i="1"/>
  <c r="L107" i="1" s="1"/>
  <c r="M103" i="1"/>
  <c r="M107" i="1" s="1"/>
  <c r="L104" i="1"/>
  <c r="M104" i="1"/>
  <c r="L105" i="1"/>
  <c r="M105" i="1"/>
  <c r="M106" i="1"/>
  <c r="M108" i="1" s="1"/>
  <c r="K103" i="1"/>
  <c r="K107" i="1" s="1"/>
  <c r="K104" i="1"/>
  <c r="K105" i="1"/>
  <c r="K100" i="1"/>
  <c r="AP108" i="1" l="1"/>
  <c r="AQ108" i="1"/>
  <c r="AR108" i="1"/>
  <c r="AS108" i="1"/>
  <c r="BH99" i="1"/>
  <c r="BH101" i="1"/>
  <c r="BI100" i="1"/>
  <c r="BI102" i="1"/>
  <c r="BF99" i="1"/>
  <c r="BF101" i="1"/>
  <c r="BF104" i="1"/>
  <c r="BI106" i="1"/>
  <c r="BI104" i="1"/>
  <c r="BF106" i="1"/>
  <c r="BG99" i="1"/>
  <c r="BG100" i="1"/>
  <c r="BG101" i="1"/>
  <c r="BG102" i="1"/>
  <c r="BH103" i="1"/>
  <c r="BH104" i="1"/>
  <c r="BH105" i="1"/>
  <c r="BH106" i="1"/>
  <c r="K750" i="2" l="1"/>
  <c r="L750" i="2"/>
  <c r="M750" i="2"/>
  <c r="N750" i="2"/>
  <c r="O750" i="2"/>
  <c r="P750" i="2"/>
  <c r="Q750" i="2"/>
  <c r="R750" i="2"/>
  <c r="S750" i="2"/>
  <c r="T750" i="2"/>
  <c r="K751" i="2"/>
  <c r="L751" i="2"/>
  <c r="M751" i="2"/>
  <c r="N751" i="2"/>
  <c r="O751" i="2"/>
  <c r="P751" i="2"/>
  <c r="Q751" i="2"/>
  <c r="R751" i="2"/>
  <c r="S751" i="2"/>
  <c r="T751" i="2"/>
  <c r="K752" i="2"/>
  <c r="L752" i="2"/>
  <c r="M752" i="2"/>
  <c r="N752" i="2"/>
  <c r="O752" i="2"/>
  <c r="P752" i="2"/>
  <c r="Q752" i="2"/>
  <c r="R752" i="2"/>
  <c r="S752" i="2"/>
  <c r="T752" i="2"/>
  <c r="K753" i="2"/>
  <c r="L753" i="2"/>
  <c r="M753" i="2"/>
  <c r="N753" i="2"/>
  <c r="O753" i="2"/>
  <c r="P753" i="2"/>
  <c r="Q753" i="2"/>
  <c r="R753" i="2"/>
  <c r="S753" i="2"/>
  <c r="T753" i="2"/>
  <c r="K754" i="2"/>
  <c r="L754" i="2"/>
  <c r="M754" i="2"/>
  <c r="N754" i="2"/>
  <c r="O754" i="2"/>
  <c r="P754" i="2"/>
  <c r="Q754" i="2"/>
  <c r="R754" i="2"/>
  <c r="S754" i="2"/>
  <c r="T754" i="2"/>
  <c r="K755" i="2"/>
  <c r="L755" i="2"/>
  <c r="M755" i="2"/>
  <c r="N755" i="2"/>
  <c r="O755" i="2"/>
  <c r="P755" i="2"/>
  <c r="Q755" i="2"/>
  <c r="R755" i="2"/>
  <c r="S755" i="2"/>
  <c r="T755" i="2"/>
  <c r="K756" i="2"/>
  <c r="L756" i="2"/>
  <c r="M756" i="2"/>
  <c r="N756" i="2"/>
  <c r="O756" i="2"/>
  <c r="P756" i="2"/>
  <c r="Q756" i="2"/>
  <c r="R756" i="2"/>
  <c r="S756" i="2"/>
  <c r="T756" i="2"/>
  <c r="K757" i="2"/>
  <c r="L757" i="2"/>
  <c r="M757" i="2"/>
  <c r="N757" i="2"/>
  <c r="O757" i="2"/>
  <c r="P757" i="2"/>
  <c r="Q757" i="2"/>
  <c r="R757" i="2"/>
  <c r="S757" i="2"/>
  <c r="T757" i="2"/>
  <c r="K758" i="2"/>
  <c r="L758" i="2"/>
  <c r="M758" i="2"/>
  <c r="N758" i="2"/>
  <c r="O758" i="2"/>
  <c r="P758" i="2"/>
  <c r="Q758" i="2"/>
  <c r="R758" i="2"/>
  <c r="S758" i="2"/>
  <c r="T758" i="2"/>
  <c r="K759" i="2"/>
  <c r="L759" i="2"/>
  <c r="M759" i="2"/>
  <c r="N759" i="2"/>
  <c r="O759" i="2"/>
  <c r="P759" i="2"/>
  <c r="Q759" i="2"/>
  <c r="R759" i="2"/>
  <c r="S759" i="2"/>
  <c r="T759" i="2"/>
  <c r="K760" i="2"/>
  <c r="L760" i="2"/>
  <c r="M760" i="2"/>
  <c r="N760" i="2"/>
  <c r="O760" i="2"/>
  <c r="P760" i="2"/>
  <c r="Q760" i="2"/>
  <c r="R760" i="2"/>
  <c r="S760" i="2"/>
  <c r="T760" i="2"/>
  <c r="K761" i="2"/>
  <c r="L761" i="2"/>
  <c r="M761" i="2"/>
  <c r="N761" i="2"/>
  <c r="O761" i="2"/>
  <c r="P761" i="2"/>
  <c r="Q761" i="2"/>
  <c r="R761" i="2"/>
  <c r="S761" i="2"/>
  <c r="T761" i="2"/>
  <c r="K762" i="2"/>
  <c r="L762" i="2"/>
  <c r="M762" i="2"/>
  <c r="N762" i="2"/>
  <c r="O762" i="2"/>
  <c r="P762" i="2"/>
  <c r="Q762" i="2"/>
  <c r="R762" i="2"/>
  <c r="S762" i="2"/>
  <c r="T762" i="2"/>
  <c r="K763" i="2"/>
  <c r="L763" i="2"/>
  <c r="M763" i="2"/>
  <c r="N763" i="2"/>
  <c r="O763" i="2"/>
  <c r="P763" i="2"/>
  <c r="Q763" i="2"/>
  <c r="R763" i="2"/>
  <c r="S763" i="2"/>
  <c r="T763" i="2"/>
  <c r="K764" i="2"/>
  <c r="L764" i="2"/>
  <c r="M764" i="2"/>
  <c r="N764" i="2"/>
  <c r="O764" i="2"/>
  <c r="P764" i="2"/>
  <c r="Q764" i="2"/>
  <c r="R764" i="2"/>
  <c r="S764" i="2"/>
  <c r="T764" i="2"/>
  <c r="K765" i="2"/>
  <c r="L765" i="2"/>
  <c r="M765" i="2"/>
  <c r="N765" i="2"/>
  <c r="O765" i="2"/>
  <c r="P765" i="2"/>
  <c r="Q765" i="2"/>
  <c r="R765" i="2"/>
  <c r="S765" i="2"/>
  <c r="T765" i="2"/>
  <c r="K766" i="2"/>
  <c r="L766" i="2"/>
  <c r="M766" i="2"/>
  <c r="N766" i="2"/>
  <c r="O766" i="2"/>
  <c r="P766" i="2"/>
  <c r="Q766" i="2"/>
  <c r="R766" i="2"/>
  <c r="S766" i="2"/>
  <c r="T766" i="2"/>
  <c r="K767" i="2"/>
  <c r="L767" i="2"/>
  <c r="M767" i="2"/>
  <c r="N767" i="2"/>
  <c r="O767" i="2"/>
  <c r="P767" i="2"/>
  <c r="Q767" i="2"/>
  <c r="R767" i="2"/>
  <c r="S767" i="2"/>
  <c r="T767" i="2"/>
  <c r="K768" i="2"/>
  <c r="L768" i="2"/>
  <c r="M768" i="2"/>
  <c r="N768" i="2"/>
  <c r="O768" i="2"/>
  <c r="P768" i="2"/>
  <c r="Q768" i="2"/>
  <c r="R768" i="2"/>
  <c r="S768" i="2"/>
  <c r="T768" i="2"/>
  <c r="K769" i="2"/>
  <c r="L769" i="2"/>
  <c r="M769" i="2"/>
  <c r="N769" i="2"/>
  <c r="O769" i="2"/>
  <c r="P769" i="2"/>
  <c r="Q769" i="2"/>
  <c r="R769" i="2"/>
  <c r="S769" i="2"/>
  <c r="T769" i="2"/>
  <c r="K770" i="2"/>
  <c r="L770" i="2"/>
  <c r="M770" i="2"/>
  <c r="N770" i="2"/>
  <c r="O770" i="2"/>
  <c r="P770" i="2"/>
  <c r="Q770" i="2"/>
  <c r="R770" i="2"/>
  <c r="S770" i="2"/>
  <c r="T770" i="2"/>
  <c r="K771" i="2"/>
  <c r="L771" i="2"/>
  <c r="M771" i="2"/>
  <c r="N771" i="2"/>
  <c r="O771" i="2"/>
  <c r="P771" i="2"/>
  <c r="Q771" i="2"/>
  <c r="R771" i="2"/>
  <c r="S771" i="2"/>
  <c r="T771" i="2"/>
  <c r="K772" i="2"/>
  <c r="L772" i="2"/>
  <c r="M772" i="2"/>
  <c r="N772" i="2"/>
  <c r="O772" i="2"/>
  <c r="P772" i="2"/>
  <c r="Q772" i="2"/>
  <c r="R772" i="2"/>
  <c r="S772" i="2"/>
  <c r="T772" i="2"/>
  <c r="K773" i="2"/>
  <c r="L773" i="2"/>
  <c r="M773" i="2"/>
  <c r="N773" i="2"/>
  <c r="O773" i="2"/>
  <c r="P773" i="2"/>
  <c r="Q773" i="2"/>
  <c r="R773" i="2"/>
  <c r="S773" i="2"/>
  <c r="T773" i="2"/>
  <c r="K774" i="2"/>
  <c r="L774" i="2"/>
  <c r="M774" i="2"/>
  <c r="N774" i="2"/>
  <c r="O774" i="2"/>
  <c r="P774" i="2"/>
  <c r="Q774" i="2"/>
  <c r="R774" i="2"/>
  <c r="S774" i="2"/>
  <c r="T774" i="2"/>
  <c r="K775" i="2"/>
  <c r="L775" i="2"/>
  <c r="M775" i="2"/>
  <c r="N775" i="2"/>
  <c r="O775" i="2"/>
  <c r="P775" i="2"/>
  <c r="Q775" i="2"/>
  <c r="R775" i="2"/>
  <c r="S775" i="2"/>
  <c r="T775" i="2"/>
  <c r="K776" i="2"/>
  <c r="L776" i="2"/>
  <c r="M776" i="2"/>
  <c r="N776" i="2"/>
  <c r="O776" i="2"/>
  <c r="P776" i="2"/>
  <c r="Q776" i="2"/>
  <c r="R776" i="2"/>
  <c r="S776" i="2"/>
  <c r="T776" i="2"/>
  <c r="K777" i="2"/>
  <c r="L777" i="2"/>
  <c r="M777" i="2"/>
  <c r="N777" i="2"/>
  <c r="O777" i="2"/>
  <c r="P777" i="2"/>
  <c r="Q777" i="2"/>
  <c r="R777" i="2"/>
  <c r="S777" i="2"/>
  <c r="T777" i="2"/>
  <c r="K778" i="2"/>
  <c r="L778" i="2"/>
  <c r="M778" i="2"/>
  <c r="N778" i="2"/>
  <c r="O778" i="2"/>
  <c r="P778" i="2"/>
  <c r="Q778" i="2"/>
  <c r="R778" i="2"/>
  <c r="S778" i="2"/>
  <c r="T778" i="2"/>
  <c r="K779" i="2"/>
  <c r="P99" i="1" s="1"/>
  <c r="L779" i="2"/>
  <c r="Q99" i="1" s="1"/>
  <c r="M779" i="2"/>
  <c r="BW99" i="1" s="1"/>
  <c r="N779" i="2"/>
  <c r="BX99" i="1" s="1"/>
  <c r="O779" i="2"/>
  <c r="BY99" i="1" s="1"/>
  <c r="P779" i="2"/>
  <c r="BZ99" i="1" s="1"/>
  <c r="Q779" i="2"/>
  <c r="CA99" i="1" s="1"/>
  <c r="R779" i="2"/>
  <c r="CB99" i="1" s="1"/>
  <c r="S779" i="2"/>
  <c r="CC99" i="1" s="1"/>
  <c r="T779" i="2"/>
  <c r="CD99" i="1" s="1"/>
  <c r="K780" i="2"/>
  <c r="P100" i="1" s="1"/>
  <c r="L780" i="2"/>
  <c r="Q100" i="1" s="1"/>
  <c r="M780" i="2"/>
  <c r="BW100" i="1" s="1"/>
  <c r="N780" i="2"/>
  <c r="BX100" i="1" s="1"/>
  <c r="O780" i="2"/>
  <c r="BY100" i="1" s="1"/>
  <c r="P780" i="2"/>
  <c r="BZ100" i="1" s="1"/>
  <c r="Q780" i="2"/>
  <c r="CA100" i="1" s="1"/>
  <c r="R780" i="2"/>
  <c r="CB100" i="1" s="1"/>
  <c r="S780" i="2"/>
  <c r="CC100" i="1" s="1"/>
  <c r="T780" i="2"/>
  <c r="CD100" i="1" s="1"/>
  <c r="K781" i="2"/>
  <c r="P101" i="1" s="1"/>
  <c r="L781" i="2"/>
  <c r="Q101" i="1" s="1"/>
  <c r="M781" i="2"/>
  <c r="BW101" i="1" s="1"/>
  <c r="N781" i="2"/>
  <c r="BX101" i="1" s="1"/>
  <c r="O781" i="2"/>
  <c r="BY101" i="1" s="1"/>
  <c r="P781" i="2"/>
  <c r="BZ101" i="1" s="1"/>
  <c r="Q781" i="2"/>
  <c r="CA101" i="1" s="1"/>
  <c r="R781" i="2"/>
  <c r="CB101" i="1" s="1"/>
  <c r="S781" i="2"/>
  <c r="CC101" i="1" s="1"/>
  <c r="T781" i="2"/>
  <c r="CD101" i="1" s="1"/>
  <c r="K782" i="2"/>
  <c r="P102" i="1" s="1"/>
  <c r="L782" i="2"/>
  <c r="Q102" i="1" s="1"/>
  <c r="M782" i="2"/>
  <c r="BW102" i="1" s="1"/>
  <c r="N782" i="2"/>
  <c r="BX102" i="1" s="1"/>
  <c r="O782" i="2"/>
  <c r="BY102" i="1" s="1"/>
  <c r="P782" i="2"/>
  <c r="BZ102" i="1" s="1"/>
  <c r="Q782" i="2"/>
  <c r="CA102" i="1" s="1"/>
  <c r="R782" i="2"/>
  <c r="CB102" i="1" s="1"/>
  <c r="S782" i="2"/>
  <c r="CC102" i="1" s="1"/>
  <c r="T782" i="2"/>
  <c r="CD102" i="1" s="1"/>
  <c r="K783" i="2"/>
  <c r="L783" i="2"/>
  <c r="M783" i="2"/>
  <c r="N783" i="2"/>
  <c r="O783" i="2"/>
  <c r="P783" i="2"/>
  <c r="Q783" i="2"/>
  <c r="R783" i="2"/>
  <c r="S783" i="2"/>
  <c r="T783" i="2"/>
  <c r="K784" i="2"/>
  <c r="L784" i="2"/>
  <c r="M784" i="2"/>
  <c r="N784" i="2"/>
  <c r="O784" i="2"/>
  <c r="P784" i="2"/>
  <c r="Q784" i="2"/>
  <c r="R784" i="2"/>
  <c r="S784" i="2"/>
  <c r="T784" i="2"/>
  <c r="K785" i="2"/>
  <c r="L785" i="2"/>
  <c r="M785" i="2"/>
  <c r="N785" i="2"/>
  <c r="O785" i="2"/>
  <c r="P785" i="2"/>
  <c r="Q785" i="2"/>
  <c r="R785" i="2"/>
  <c r="S785" i="2"/>
  <c r="T785" i="2"/>
  <c r="K786" i="2"/>
  <c r="L786" i="2"/>
  <c r="M786" i="2"/>
  <c r="N786" i="2"/>
  <c r="O786" i="2"/>
  <c r="P786" i="2"/>
  <c r="Q786" i="2"/>
  <c r="R786" i="2"/>
  <c r="S786" i="2"/>
  <c r="T786" i="2"/>
  <c r="K787" i="2"/>
  <c r="L787" i="2"/>
  <c r="M787" i="2"/>
  <c r="N787" i="2"/>
  <c r="O787" i="2"/>
  <c r="P787" i="2"/>
  <c r="Q787" i="2"/>
  <c r="R787" i="2"/>
  <c r="S787" i="2"/>
  <c r="T787" i="2"/>
  <c r="K788" i="2"/>
  <c r="L788" i="2"/>
  <c r="M788" i="2"/>
  <c r="N788" i="2"/>
  <c r="O788" i="2"/>
  <c r="P788" i="2"/>
  <c r="Q788" i="2"/>
  <c r="R788" i="2"/>
  <c r="S788" i="2"/>
  <c r="T788" i="2"/>
  <c r="K789" i="2"/>
  <c r="L789" i="2"/>
  <c r="M789" i="2"/>
  <c r="N789" i="2"/>
  <c r="O789" i="2"/>
  <c r="P789" i="2"/>
  <c r="Q789" i="2"/>
  <c r="R789" i="2"/>
  <c r="S789" i="2"/>
  <c r="T789" i="2"/>
  <c r="K790" i="2"/>
  <c r="L790" i="2"/>
  <c r="M790" i="2"/>
  <c r="N790" i="2"/>
  <c r="O790" i="2"/>
  <c r="P790" i="2"/>
  <c r="Q790" i="2"/>
  <c r="R790" i="2"/>
  <c r="S790" i="2"/>
  <c r="T790" i="2"/>
  <c r="K791" i="2"/>
  <c r="P103" i="1" s="1"/>
  <c r="L791" i="2"/>
  <c r="Q103" i="1" s="1"/>
  <c r="M791" i="2"/>
  <c r="BW103" i="1" s="1"/>
  <c r="N791" i="2"/>
  <c r="BX103" i="1" s="1"/>
  <c r="O791" i="2"/>
  <c r="BY103" i="1" s="1"/>
  <c r="P791" i="2"/>
  <c r="BZ103" i="1" s="1"/>
  <c r="Q791" i="2"/>
  <c r="CA103" i="1" s="1"/>
  <c r="R791" i="2"/>
  <c r="CB103" i="1" s="1"/>
  <c r="S791" i="2"/>
  <c r="CC103" i="1" s="1"/>
  <c r="T791" i="2"/>
  <c r="CD103" i="1" s="1"/>
  <c r="K792" i="2"/>
  <c r="P104" i="1" s="1"/>
  <c r="L792" i="2"/>
  <c r="Q104" i="1" s="1"/>
  <c r="M792" i="2"/>
  <c r="BW104" i="1" s="1"/>
  <c r="N792" i="2"/>
  <c r="BX104" i="1" s="1"/>
  <c r="O792" i="2"/>
  <c r="BY104" i="1" s="1"/>
  <c r="P792" i="2"/>
  <c r="BZ104" i="1" s="1"/>
  <c r="Q792" i="2"/>
  <c r="CA104" i="1" s="1"/>
  <c r="R792" i="2"/>
  <c r="CB104" i="1" s="1"/>
  <c r="S792" i="2"/>
  <c r="CC104" i="1" s="1"/>
  <c r="T792" i="2"/>
  <c r="CD104" i="1" s="1"/>
  <c r="K793" i="2"/>
  <c r="P105" i="1" s="1"/>
  <c r="L793" i="2"/>
  <c r="Q105" i="1" s="1"/>
  <c r="M793" i="2"/>
  <c r="BW105" i="1" s="1"/>
  <c r="N793" i="2"/>
  <c r="BX105" i="1" s="1"/>
  <c r="O793" i="2"/>
  <c r="BY105" i="1" s="1"/>
  <c r="P793" i="2"/>
  <c r="BZ105" i="1" s="1"/>
  <c r="Q793" i="2"/>
  <c r="CA105" i="1" s="1"/>
  <c r="R793" i="2"/>
  <c r="CB105" i="1" s="1"/>
  <c r="S793" i="2"/>
  <c r="CC105" i="1" s="1"/>
  <c r="T793" i="2"/>
  <c r="CD105" i="1" s="1"/>
  <c r="K794" i="2"/>
  <c r="P106" i="1" s="1"/>
  <c r="P108" i="1" s="1"/>
  <c r="L794" i="2"/>
  <c r="Q106" i="1" s="1"/>
  <c r="M794" i="2"/>
  <c r="BW106" i="1" s="1"/>
  <c r="N794" i="2"/>
  <c r="BX106" i="1" s="1"/>
  <c r="O794" i="2"/>
  <c r="BY106" i="1" s="1"/>
  <c r="P794" i="2"/>
  <c r="BZ106" i="1" s="1"/>
  <c r="Q794" i="2"/>
  <c r="CA106" i="1" s="1"/>
  <c r="R794" i="2"/>
  <c r="CB106" i="1" s="1"/>
  <c r="S794" i="2"/>
  <c r="CC106" i="1" s="1"/>
  <c r="T794" i="2"/>
  <c r="CD106" i="1" s="1"/>
  <c r="K795" i="2"/>
  <c r="L795" i="2"/>
  <c r="M795" i="2"/>
  <c r="N795" i="2"/>
  <c r="O795" i="2"/>
  <c r="P795" i="2"/>
  <c r="Q795" i="2"/>
  <c r="R795" i="2"/>
  <c r="S795" i="2"/>
  <c r="T795" i="2"/>
  <c r="K796" i="2"/>
  <c r="L796" i="2"/>
  <c r="M796" i="2"/>
  <c r="N796" i="2"/>
  <c r="O796" i="2"/>
  <c r="P796" i="2"/>
  <c r="Q796" i="2"/>
  <c r="R796" i="2"/>
  <c r="S796" i="2"/>
  <c r="T796" i="2"/>
  <c r="K797" i="2"/>
  <c r="L797" i="2"/>
  <c r="M797" i="2"/>
  <c r="N797" i="2"/>
  <c r="O797" i="2"/>
  <c r="P797" i="2"/>
  <c r="Q797" i="2"/>
  <c r="R797" i="2"/>
  <c r="S797" i="2"/>
  <c r="T797" i="2"/>
  <c r="K798" i="2"/>
  <c r="L798" i="2"/>
  <c r="M798" i="2"/>
  <c r="N798" i="2"/>
  <c r="O798" i="2"/>
  <c r="P798" i="2"/>
  <c r="Q798" i="2"/>
  <c r="R798" i="2"/>
  <c r="S798" i="2"/>
  <c r="T798" i="2"/>
  <c r="K799" i="2"/>
  <c r="L799" i="2"/>
  <c r="N799" i="2"/>
  <c r="BX107" i="1" s="1"/>
  <c r="O799" i="2"/>
  <c r="BY107" i="1" s="1"/>
  <c r="P799" i="2"/>
  <c r="BZ107" i="1" s="1"/>
  <c r="Q799" i="2"/>
  <c r="CA107" i="1" s="1"/>
  <c r="R799" i="2"/>
  <c r="CB107" i="1" s="1"/>
  <c r="S799" i="2"/>
  <c r="CC107" i="1" s="1"/>
  <c r="T799" i="2"/>
  <c r="CD107" i="1" s="1"/>
  <c r="A99" i="1"/>
  <c r="A100" i="1"/>
  <c r="A101" i="1"/>
  <c r="A102" i="1"/>
  <c r="A103" i="1"/>
  <c r="A104" i="1"/>
  <c r="A105" i="1"/>
  <c r="A106" i="1"/>
  <c r="A108" i="1"/>
  <c r="F99" i="1"/>
  <c r="F100" i="1"/>
  <c r="F101" i="1"/>
  <c r="F102" i="1"/>
  <c r="F103" i="1"/>
  <c r="F104" i="1"/>
  <c r="F105" i="1"/>
  <c r="F106" i="1"/>
  <c r="F108" i="1"/>
  <c r="B99" i="1"/>
  <c r="B100" i="1"/>
  <c r="B101" i="1"/>
  <c r="B102" i="1"/>
  <c r="B103" i="1"/>
  <c r="B104" i="1"/>
  <c r="B105" i="1"/>
  <c r="B106" i="1"/>
  <c r="B108" i="1"/>
  <c r="Q108" i="1" l="1"/>
  <c r="AJ105" i="1"/>
  <c r="BP105" i="1" s="1"/>
  <c r="CG105" i="1" s="1"/>
  <c r="AI105" i="1"/>
  <c r="BO105" i="1" s="1"/>
  <c r="CF105" i="1" s="1"/>
  <c r="AH105" i="1"/>
  <c r="BN105" i="1" s="1"/>
  <c r="CE105" i="1" s="1"/>
  <c r="AK105" i="1"/>
  <c r="BQ105" i="1" s="1"/>
  <c r="CH105" i="1" s="1"/>
  <c r="AJ103" i="1"/>
  <c r="AI103" i="1"/>
  <c r="AH103" i="1"/>
  <c r="AK103" i="1"/>
  <c r="AJ101" i="1"/>
  <c r="BP101" i="1" s="1"/>
  <c r="CG101" i="1" s="1"/>
  <c r="AI101" i="1"/>
  <c r="BO101" i="1" s="1"/>
  <c r="CF101" i="1" s="1"/>
  <c r="AH101" i="1"/>
  <c r="BN101" i="1" s="1"/>
  <c r="CE101" i="1" s="1"/>
  <c r="AK101" i="1"/>
  <c r="BQ101" i="1" s="1"/>
  <c r="CH101" i="1" s="1"/>
  <c r="AJ99" i="1"/>
  <c r="BP99" i="1" s="1"/>
  <c r="CG99" i="1" s="1"/>
  <c r="AI99" i="1"/>
  <c r="BO99" i="1" s="1"/>
  <c r="CF99" i="1" s="1"/>
  <c r="AH99" i="1"/>
  <c r="BN99" i="1" s="1"/>
  <c r="CE99" i="1" s="1"/>
  <c r="AK99" i="1"/>
  <c r="BQ99" i="1" s="1"/>
  <c r="CH99" i="1" s="1"/>
  <c r="AJ106" i="1"/>
  <c r="AI106" i="1"/>
  <c r="AH106" i="1"/>
  <c r="AK106" i="1"/>
  <c r="AJ104" i="1"/>
  <c r="BP104" i="1" s="1"/>
  <c r="CG104" i="1" s="1"/>
  <c r="AI104" i="1"/>
  <c r="BO104" i="1" s="1"/>
  <c r="CF104" i="1" s="1"/>
  <c r="AH104" i="1"/>
  <c r="BN104" i="1" s="1"/>
  <c r="CE104" i="1" s="1"/>
  <c r="AK104" i="1"/>
  <c r="BQ104" i="1" s="1"/>
  <c r="CH104" i="1" s="1"/>
  <c r="AJ102" i="1"/>
  <c r="BP102" i="1" s="1"/>
  <c r="CG102" i="1" s="1"/>
  <c r="AI102" i="1"/>
  <c r="BO102" i="1" s="1"/>
  <c r="CF102" i="1" s="1"/>
  <c r="AH102" i="1"/>
  <c r="BN102" i="1" s="1"/>
  <c r="CE102" i="1" s="1"/>
  <c r="AK102" i="1"/>
  <c r="BQ102" i="1" s="1"/>
  <c r="CH102" i="1" s="1"/>
  <c r="AJ100" i="1"/>
  <c r="BP100" i="1" s="1"/>
  <c r="CG100" i="1" s="1"/>
  <c r="AI100" i="1"/>
  <c r="BO100" i="1" s="1"/>
  <c r="CF100" i="1" s="1"/>
  <c r="AH100" i="1"/>
  <c r="BN100" i="1" s="1"/>
  <c r="CE100" i="1" s="1"/>
  <c r="AK100" i="1"/>
  <c r="BQ100" i="1" s="1"/>
  <c r="CH100" i="1" s="1"/>
  <c r="N270" i="2"/>
  <c r="O271" i="2"/>
  <c r="P517" i="2"/>
  <c r="M269" i="2"/>
  <c r="BA108" i="1" l="1"/>
  <c r="AZ108" i="1"/>
  <c r="AY108" i="1"/>
  <c r="AX108" i="1"/>
  <c r="BO106" i="1"/>
  <c r="CF106" i="1" s="1"/>
  <c r="AI108" i="1"/>
  <c r="BO108" i="1" s="1"/>
  <c r="CF108" i="1" s="1"/>
  <c r="BQ103" i="1"/>
  <c r="CH103" i="1" s="1"/>
  <c r="BP106" i="1"/>
  <c r="CG106" i="1" s="1"/>
  <c r="AJ108" i="1"/>
  <c r="BP108" i="1" s="1"/>
  <c r="CG108" i="1" s="1"/>
  <c r="BN103" i="1"/>
  <c r="CE103" i="1" s="1"/>
  <c r="BQ106" i="1"/>
  <c r="CH106" i="1" s="1"/>
  <c r="AK108" i="1"/>
  <c r="BQ108" i="1" s="1"/>
  <c r="CH108" i="1" s="1"/>
  <c r="BO103" i="1"/>
  <c r="CF103" i="1" s="1"/>
  <c r="BN106" i="1"/>
  <c r="CE106" i="1" s="1"/>
  <c r="AH108" i="1"/>
  <c r="BN108" i="1" s="1"/>
  <c r="CE108" i="1" s="1"/>
  <c r="BP103" i="1"/>
  <c r="CG103" i="1" s="1"/>
  <c r="L15" i="30"/>
  <c r="I15" i="30"/>
  <c r="C36" i="30"/>
  <c r="C38" i="30"/>
  <c r="C25" i="30" l="1"/>
  <c r="C15" i="30"/>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G220" i="117" l="1"/>
  <c r="F220" i="117"/>
  <c r="C27" i="30"/>
  <c r="G194" i="117"/>
  <c r="G195" i="117"/>
  <c r="E197" i="117"/>
  <c r="E198" i="117"/>
  <c r="E200" i="117"/>
  <c r="E204" i="117"/>
  <c r="G205" i="117"/>
  <c r="G206" i="117"/>
  <c r="G208" i="117"/>
  <c r="E213" i="117"/>
  <c r="E214" i="117"/>
  <c r="E215" i="117"/>
  <c r="G216" i="117"/>
  <c r="E196" i="117"/>
  <c r="G198" i="117"/>
  <c r="G201" i="117"/>
  <c r="E203" i="117"/>
  <c r="E205" i="117"/>
  <c r="E207" i="117"/>
  <c r="E209" i="117"/>
  <c r="G212" i="117"/>
  <c r="G215" i="117"/>
  <c r="G217" i="117"/>
  <c r="E218" i="117"/>
  <c r="E219" i="117"/>
  <c r="E194" i="117"/>
  <c r="G196" i="117"/>
  <c r="G200" i="117"/>
  <c r="E202" i="117"/>
  <c r="G203" i="117"/>
  <c r="E206" i="117"/>
  <c r="G209" i="117"/>
  <c r="E210" i="117"/>
  <c r="E216" i="117"/>
  <c r="E195" i="117"/>
  <c r="E199" i="117"/>
  <c r="G210" i="117"/>
  <c r="E211" i="117"/>
  <c r="E217" i="117"/>
  <c r="G218" i="117"/>
  <c r="G197" i="117"/>
  <c r="G202" i="117"/>
  <c r="G211" i="117"/>
  <c r="E212" i="117"/>
  <c r="G199" i="117"/>
  <c r="G207" i="117"/>
  <c r="E208" i="117"/>
  <c r="G213" i="117"/>
  <c r="G219" i="117"/>
  <c r="E201" i="117"/>
  <c r="G204" i="117"/>
  <c r="G214" i="117"/>
  <c r="O109" i="1" l="1"/>
  <c r="O55" i="1"/>
  <c r="O54" i="1"/>
  <c r="O53" i="1"/>
  <c r="O52" i="1"/>
  <c r="O51" i="1"/>
  <c r="O50" i="1"/>
  <c r="O49" i="1"/>
  <c r="O48" i="1"/>
  <c r="O47" i="1"/>
  <c r="O46" i="1"/>
  <c r="O45" i="1"/>
  <c r="O44" i="1"/>
  <c r="O39" i="1"/>
  <c r="O38" i="1"/>
  <c r="O37" i="1"/>
  <c r="O36" i="1"/>
  <c r="O35" i="30" l="1"/>
  <c r="O36" i="30"/>
  <c r="O37" i="30"/>
  <c r="O38" i="30"/>
  <c r="C37" i="30"/>
  <c r="C35" i="30"/>
  <c r="K215" i="1"/>
  <c r="K214" i="1"/>
  <c r="K213" i="1"/>
  <c r="K212" i="1"/>
  <c r="K211" i="1"/>
  <c r="K210" i="1"/>
  <c r="K209" i="1"/>
  <c r="K208" i="1"/>
  <c r="K207" i="1"/>
  <c r="K206" i="1"/>
  <c r="K205" i="1"/>
  <c r="K204" i="1"/>
  <c r="K203" i="1"/>
  <c r="K202" i="1"/>
  <c r="K201" i="1"/>
  <c r="K200" i="1"/>
  <c r="K199" i="1"/>
  <c r="K198" i="1"/>
  <c r="F202" i="117" s="1"/>
  <c r="K197" i="1"/>
  <c r="F201" i="117" s="1"/>
  <c r="K196" i="1"/>
  <c r="F200" i="117" s="1"/>
  <c r="K195" i="1"/>
  <c r="F199" i="117" s="1"/>
  <c r="K194" i="1"/>
  <c r="F198" i="117" s="1"/>
  <c r="K193" i="1"/>
  <c r="F197" i="117" s="1"/>
  <c r="K192" i="1"/>
  <c r="F196" i="117" s="1"/>
  <c r="K191" i="1"/>
  <c r="K190" i="1"/>
  <c r="F194" i="117" s="1"/>
  <c r="K189" i="1"/>
  <c r="K99" i="1" s="1"/>
  <c r="K188" i="1"/>
  <c r="K187" i="1"/>
  <c r="K186" i="1"/>
  <c r="K185" i="1"/>
  <c r="K184" i="1"/>
  <c r="K183" i="1"/>
  <c r="K182" i="1"/>
  <c r="K181" i="1"/>
  <c r="K180" i="1"/>
  <c r="K179" i="1"/>
  <c r="K178" i="1"/>
  <c r="K102" i="1" s="1"/>
  <c r="K177" i="1"/>
  <c r="K176" i="1"/>
  <c r="K175" i="1"/>
  <c r="K174" i="1"/>
  <c r="K173" i="1"/>
  <c r="K172" i="1"/>
  <c r="K171" i="1"/>
  <c r="K170" i="1"/>
  <c r="K169" i="1"/>
  <c r="K168" i="1"/>
  <c r="K167" i="1"/>
  <c r="K166" i="1"/>
  <c r="K165" i="1"/>
  <c r="K164" i="1"/>
  <c r="K163" i="1"/>
  <c r="K162" i="1"/>
  <c r="K161" i="1"/>
  <c r="K160" i="1"/>
  <c r="K159" i="1"/>
  <c r="K158" i="1"/>
  <c r="K157" i="1"/>
  <c r="K154" i="1"/>
  <c r="K153" i="1"/>
  <c r="K152" i="1"/>
  <c r="K151" i="1"/>
  <c r="K150" i="1"/>
  <c r="K149" i="1"/>
  <c r="K106" i="1" s="1"/>
  <c r="K108" i="1" s="1"/>
  <c r="K148" i="1"/>
  <c r="K147" i="1"/>
  <c r="K146" i="1"/>
  <c r="K145" i="1"/>
  <c r="K144" i="1"/>
  <c r="K143" i="1"/>
  <c r="K142" i="1"/>
  <c r="K141" i="1"/>
  <c r="K140" i="1"/>
  <c r="K139" i="1"/>
  <c r="K138"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55" i="1"/>
  <c r="K156" i="1"/>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L25" i="2"/>
  <c r="L26" i="2"/>
  <c r="L27" i="2"/>
  <c r="L28"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K117" i="2"/>
  <c r="L117" i="2"/>
  <c r="K118" i="2"/>
  <c r="L118" i="2"/>
  <c r="K119" i="2"/>
  <c r="L119" i="2"/>
  <c r="K120" i="2"/>
  <c r="L120" i="2"/>
  <c r="K121" i="2"/>
  <c r="L121" i="2"/>
  <c r="K122" i="2"/>
  <c r="L122" i="2"/>
  <c r="K123" i="2"/>
  <c r="L123" i="2"/>
  <c r="K124" i="2"/>
  <c r="L124" i="2"/>
  <c r="K125" i="2"/>
  <c r="L125" i="2"/>
  <c r="K126" i="2"/>
  <c r="L126" i="2"/>
  <c r="K127" i="2"/>
  <c r="L127" i="2"/>
  <c r="K128" i="2"/>
  <c r="L128" i="2"/>
  <c r="K129" i="2"/>
  <c r="L129" i="2"/>
  <c r="K130" i="2"/>
  <c r="L130" i="2"/>
  <c r="K131" i="2"/>
  <c r="L131" i="2"/>
  <c r="K132" i="2"/>
  <c r="L132" i="2"/>
  <c r="K133" i="2"/>
  <c r="L133" i="2"/>
  <c r="K134" i="2"/>
  <c r="L134" i="2"/>
  <c r="K135" i="2"/>
  <c r="L135" i="2"/>
  <c r="K136" i="2"/>
  <c r="L136" i="2"/>
  <c r="K137" i="2"/>
  <c r="L137" i="2"/>
  <c r="K138" i="2"/>
  <c r="L138" i="2"/>
  <c r="K139" i="2"/>
  <c r="L139" i="2"/>
  <c r="K140" i="2"/>
  <c r="L140" i="2"/>
  <c r="K141" i="2"/>
  <c r="L141" i="2"/>
  <c r="K142" i="2"/>
  <c r="L142" i="2"/>
  <c r="K143" i="2"/>
  <c r="L143" i="2"/>
  <c r="K144" i="2"/>
  <c r="L144" i="2"/>
  <c r="K145" i="2"/>
  <c r="L145" i="2"/>
  <c r="K146" i="2"/>
  <c r="L146" i="2"/>
  <c r="K147" i="2"/>
  <c r="L147" i="2"/>
  <c r="K148" i="2"/>
  <c r="L148" i="2"/>
  <c r="K149" i="2"/>
  <c r="L149" i="2"/>
  <c r="K150" i="2"/>
  <c r="L150" i="2"/>
  <c r="K151" i="2"/>
  <c r="L151" i="2"/>
  <c r="K152" i="2"/>
  <c r="L152" i="2"/>
  <c r="K153" i="2"/>
  <c r="L153" i="2"/>
  <c r="K154" i="2"/>
  <c r="L154" i="2"/>
  <c r="K155" i="2"/>
  <c r="L155" i="2"/>
  <c r="K156" i="2"/>
  <c r="L156" i="2"/>
  <c r="K157" i="2"/>
  <c r="L157" i="2"/>
  <c r="K158" i="2"/>
  <c r="L158" i="2"/>
  <c r="K159" i="2"/>
  <c r="L159" i="2"/>
  <c r="K160" i="2"/>
  <c r="L160" i="2"/>
  <c r="K161" i="2"/>
  <c r="L161" i="2"/>
  <c r="K162" i="2"/>
  <c r="L162" i="2"/>
  <c r="K163" i="2"/>
  <c r="L163" i="2"/>
  <c r="K164" i="2"/>
  <c r="L164" i="2"/>
  <c r="K165" i="2"/>
  <c r="L165" i="2"/>
  <c r="K166" i="2"/>
  <c r="L166" i="2"/>
  <c r="K167" i="2"/>
  <c r="L167" i="2"/>
  <c r="K168" i="2"/>
  <c r="L168" i="2"/>
  <c r="K169" i="2"/>
  <c r="L169" i="2"/>
  <c r="K170" i="2"/>
  <c r="L170" i="2"/>
  <c r="K171" i="2"/>
  <c r="L171" i="2"/>
  <c r="K172" i="2"/>
  <c r="L172" i="2"/>
  <c r="K173" i="2"/>
  <c r="L173" i="2"/>
  <c r="K174" i="2"/>
  <c r="L174" i="2"/>
  <c r="K175" i="2"/>
  <c r="L175" i="2"/>
  <c r="K176" i="2"/>
  <c r="L176"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K210" i="2"/>
  <c r="L210" i="2"/>
  <c r="K211" i="2"/>
  <c r="L211" i="2"/>
  <c r="K212" i="2"/>
  <c r="L212" i="2"/>
  <c r="K213" i="2"/>
  <c r="L213" i="2"/>
  <c r="K214" i="2"/>
  <c r="L214" i="2"/>
  <c r="K215" i="2"/>
  <c r="L215" i="2"/>
  <c r="K216" i="2"/>
  <c r="L216" i="2"/>
  <c r="K217" i="2"/>
  <c r="L217" i="2"/>
  <c r="K218" i="2"/>
  <c r="L218" i="2"/>
  <c r="K219" i="2"/>
  <c r="L219" i="2"/>
  <c r="K220" i="2"/>
  <c r="L220" i="2"/>
  <c r="K221" i="2"/>
  <c r="L221" i="2"/>
  <c r="K222" i="2"/>
  <c r="L222" i="2"/>
  <c r="K223" i="2"/>
  <c r="L223" i="2"/>
  <c r="K224" i="2"/>
  <c r="L224" i="2"/>
  <c r="K225" i="2"/>
  <c r="L225" i="2"/>
  <c r="K226" i="2"/>
  <c r="L226" i="2"/>
  <c r="K227" i="2"/>
  <c r="L227" i="2"/>
  <c r="K228" i="2"/>
  <c r="L228" i="2"/>
  <c r="K229" i="2"/>
  <c r="L229" i="2"/>
  <c r="K230" i="2"/>
  <c r="L230" i="2"/>
  <c r="K231" i="2"/>
  <c r="L231" i="2"/>
  <c r="K232" i="2"/>
  <c r="L232" i="2"/>
  <c r="K233" i="2"/>
  <c r="L233" i="2"/>
  <c r="K234" i="2"/>
  <c r="L234" i="2"/>
  <c r="K235" i="2"/>
  <c r="L235" i="2"/>
  <c r="K236" i="2"/>
  <c r="L236" i="2"/>
  <c r="K237" i="2"/>
  <c r="L237" i="2"/>
  <c r="K238" i="2"/>
  <c r="L238" i="2"/>
  <c r="K239" i="2"/>
  <c r="L239" i="2"/>
  <c r="K240" i="2"/>
  <c r="L240" i="2"/>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K255" i="2"/>
  <c r="L255" i="2"/>
  <c r="K256" i="2"/>
  <c r="L256" i="2"/>
  <c r="K257" i="2"/>
  <c r="L257" i="2"/>
  <c r="K258" i="2"/>
  <c r="L258" i="2"/>
  <c r="K259" i="2"/>
  <c r="L259" i="2"/>
  <c r="K260" i="2"/>
  <c r="L260" i="2"/>
  <c r="K261" i="2"/>
  <c r="L261" i="2"/>
  <c r="K262" i="2"/>
  <c r="L262" i="2"/>
  <c r="K263" i="2"/>
  <c r="L263" i="2"/>
  <c r="K264" i="2"/>
  <c r="L264" i="2"/>
  <c r="K265" i="2"/>
  <c r="L265" i="2"/>
  <c r="K266" i="2"/>
  <c r="L266" i="2"/>
  <c r="K267" i="2"/>
  <c r="L267" i="2"/>
  <c r="K268" i="2"/>
  <c r="L268" i="2"/>
  <c r="K269" i="2"/>
  <c r="L269" i="2"/>
  <c r="K270" i="2"/>
  <c r="L270" i="2"/>
  <c r="K271" i="2"/>
  <c r="L271" i="2"/>
  <c r="K272" i="2"/>
  <c r="L272" i="2"/>
  <c r="K273" i="2"/>
  <c r="L273" i="2"/>
  <c r="K274" i="2"/>
  <c r="L274" i="2"/>
  <c r="K275" i="2"/>
  <c r="L275" i="2"/>
  <c r="K276" i="2"/>
  <c r="L276" i="2"/>
  <c r="K277" i="2"/>
  <c r="L277" i="2"/>
  <c r="K278" i="2"/>
  <c r="L278" i="2"/>
  <c r="K279" i="2"/>
  <c r="L279" i="2"/>
  <c r="K280" i="2"/>
  <c r="L280" i="2"/>
  <c r="K281" i="2"/>
  <c r="L281" i="2"/>
  <c r="K282" i="2"/>
  <c r="L282" i="2"/>
  <c r="K283" i="2"/>
  <c r="L283" i="2"/>
  <c r="K284" i="2"/>
  <c r="L284" i="2"/>
  <c r="K285" i="2"/>
  <c r="L285" i="2"/>
  <c r="K286" i="2"/>
  <c r="L286" i="2"/>
  <c r="K287" i="2"/>
  <c r="L287" i="2"/>
  <c r="K288" i="2"/>
  <c r="L288" i="2"/>
  <c r="K289" i="2"/>
  <c r="L289" i="2"/>
  <c r="K290" i="2"/>
  <c r="L290" i="2"/>
  <c r="K291" i="2"/>
  <c r="L291" i="2"/>
  <c r="K292" i="2"/>
  <c r="L292" i="2"/>
  <c r="K293" i="2"/>
  <c r="L293" i="2"/>
  <c r="K294" i="2"/>
  <c r="L294" i="2"/>
  <c r="K295" i="2"/>
  <c r="L295" i="2"/>
  <c r="K296" i="2"/>
  <c r="L296" i="2"/>
  <c r="K297" i="2"/>
  <c r="L297" i="2"/>
  <c r="L298" i="2"/>
  <c r="L299" i="2"/>
  <c r="L300" i="2"/>
  <c r="L301" i="2"/>
  <c r="K302" i="2"/>
  <c r="L302" i="2"/>
  <c r="K303" i="2"/>
  <c r="L303" i="2"/>
  <c r="K304" i="2"/>
  <c r="L304" i="2"/>
  <c r="K305" i="2"/>
  <c r="L305" i="2"/>
  <c r="K306" i="2"/>
  <c r="L306" i="2"/>
  <c r="K307" i="2"/>
  <c r="L307" i="2"/>
  <c r="K308" i="2"/>
  <c r="L308" i="2"/>
  <c r="K309" i="2"/>
  <c r="L309" i="2"/>
  <c r="K310" i="2"/>
  <c r="L310" i="2"/>
  <c r="K311" i="2"/>
  <c r="L311" i="2"/>
  <c r="K312" i="2"/>
  <c r="L312" i="2"/>
  <c r="K313" i="2"/>
  <c r="L313" i="2"/>
  <c r="K314" i="2"/>
  <c r="L314" i="2"/>
  <c r="K315" i="2"/>
  <c r="L315" i="2"/>
  <c r="K316" i="2"/>
  <c r="L316" i="2"/>
  <c r="K317" i="2"/>
  <c r="L317" i="2"/>
  <c r="K318" i="2"/>
  <c r="L318" i="2"/>
  <c r="K319" i="2"/>
  <c r="L319" i="2"/>
  <c r="K320" i="2"/>
  <c r="L320" i="2"/>
  <c r="K321" i="2"/>
  <c r="L321" i="2"/>
  <c r="K322" i="2"/>
  <c r="L322" i="2"/>
  <c r="K323" i="2"/>
  <c r="L323" i="2"/>
  <c r="K324" i="2"/>
  <c r="L324" i="2"/>
  <c r="K325" i="2"/>
  <c r="L325" i="2"/>
  <c r="K326" i="2"/>
  <c r="L326" i="2"/>
  <c r="K327" i="2"/>
  <c r="L327" i="2"/>
  <c r="K328" i="2"/>
  <c r="L328" i="2"/>
  <c r="K329" i="2"/>
  <c r="L329" i="2"/>
  <c r="K330" i="2"/>
  <c r="L330" i="2"/>
  <c r="K331" i="2"/>
  <c r="L331" i="2"/>
  <c r="K332" i="2"/>
  <c r="L332" i="2"/>
  <c r="K333" i="2"/>
  <c r="L333" i="2"/>
  <c r="K334" i="2"/>
  <c r="L334" i="2"/>
  <c r="K335" i="2"/>
  <c r="L335" i="2"/>
  <c r="K336" i="2"/>
  <c r="L336" i="2"/>
  <c r="K337" i="2"/>
  <c r="L337" i="2"/>
  <c r="K338" i="2"/>
  <c r="L338" i="2"/>
  <c r="K339" i="2"/>
  <c r="L339" i="2"/>
  <c r="K340" i="2"/>
  <c r="L340" i="2"/>
  <c r="K341" i="2"/>
  <c r="L341" i="2"/>
  <c r="K342" i="2"/>
  <c r="L342" i="2"/>
  <c r="K343" i="2"/>
  <c r="L343" i="2"/>
  <c r="K344" i="2"/>
  <c r="L344" i="2"/>
  <c r="K345" i="2"/>
  <c r="L345" i="2"/>
  <c r="K346" i="2"/>
  <c r="L346" i="2"/>
  <c r="L347" i="2"/>
  <c r="L348" i="2"/>
  <c r="L349" i="2"/>
  <c r="K350" i="2"/>
  <c r="L350" i="2"/>
  <c r="K351" i="2"/>
  <c r="L351" i="2"/>
  <c r="K352" i="2"/>
  <c r="L352" i="2"/>
  <c r="K353" i="2"/>
  <c r="L353" i="2"/>
  <c r="K354" i="2"/>
  <c r="L354" i="2"/>
  <c r="K355" i="2"/>
  <c r="L355" i="2"/>
  <c r="K356" i="2"/>
  <c r="L356" i="2"/>
  <c r="K357" i="2"/>
  <c r="L357" i="2"/>
  <c r="K358" i="2"/>
  <c r="L358" i="2"/>
  <c r="K359" i="2"/>
  <c r="L359" i="2"/>
  <c r="K360" i="2"/>
  <c r="L360" i="2"/>
  <c r="K361" i="2"/>
  <c r="L361" i="2"/>
  <c r="K362" i="2"/>
  <c r="L362" i="2"/>
  <c r="K363" i="2"/>
  <c r="L363" i="2"/>
  <c r="K364" i="2"/>
  <c r="L364" i="2"/>
  <c r="K365" i="2"/>
  <c r="L365" i="2"/>
  <c r="K366" i="2"/>
  <c r="L366" i="2"/>
  <c r="K367" i="2"/>
  <c r="L367" i="2"/>
  <c r="K368" i="2"/>
  <c r="L368" i="2"/>
  <c r="K369" i="2"/>
  <c r="L369" i="2"/>
  <c r="K370" i="2"/>
  <c r="L370" i="2"/>
  <c r="K371" i="2"/>
  <c r="L371" i="2"/>
  <c r="K372" i="2"/>
  <c r="L372" i="2"/>
  <c r="K373" i="2"/>
  <c r="L373" i="2"/>
  <c r="K374" i="2"/>
  <c r="L374" i="2"/>
  <c r="K375" i="2"/>
  <c r="L375" i="2"/>
  <c r="K376" i="2"/>
  <c r="L376" i="2"/>
  <c r="K377" i="2"/>
  <c r="L377" i="2"/>
  <c r="K378" i="2"/>
  <c r="L378" i="2"/>
  <c r="K379" i="2"/>
  <c r="L379" i="2"/>
  <c r="K380" i="2"/>
  <c r="L380" i="2"/>
  <c r="K381" i="2"/>
  <c r="L381" i="2"/>
  <c r="K382" i="2"/>
  <c r="L382" i="2"/>
  <c r="K383" i="2"/>
  <c r="L383" i="2"/>
  <c r="K384" i="2"/>
  <c r="L384" i="2"/>
  <c r="K385" i="2"/>
  <c r="L385" i="2"/>
  <c r="K386" i="2"/>
  <c r="L386" i="2"/>
  <c r="K387" i="2"/>
  <c r="L387" i="2"/>
  <c r="K388" i="2"/>
  <c r="L388" i="2"/>
  <c r="K389" i="2"/>
  <c r="L389" i="2"/>
  <c r="K390" i="2"/>
  <c r="L390" i="2"/>
  <c r="K391" i="2"/>
  <c r="L391" i="2"/>
  <c r="K392" i="2"/>
  <c r="L392" i="2"/>
  <c r="K393" i="2"/>
  <c r="L393" i="2"/>
  <c r="K394" i="2"/>
  <c r="L394" i="2"/>
  <c r="K395" i="2"/>
  <c r="L395" i="2"/>
  <c r="K396" i="2"/>
  <c r="L396" i="2"/>
  <c r="K397" i="2"/>
  <c r="L397" i="2"/>
  <c r="K398" i="2"/>
  <c r="L398" i="2"/>
  <c r="K399" i="2"/>
  <c r="L399" i="2"/>
  <c r="K400" i="2"/>
  <c r="L400" i="2"/>
  <c r="K401" i="2"/>
  <c r="L401" i="2"/>
  <c r="K402" i="2"/>
  <c r="L402" i="2"/>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5" i="2"/>
  <c r="L465" i="2"/>
  <c r="K466" i="2"/>
  <c r="L466" i="2"/>
  <c r="K467" i="2"/>
  <c r="L467" i="2"/>
  <c r="K468" i="2"/>
  <c r="L468" i="2"/>
  <c r="K469" i="2"/>
  <c r="L469" i="2"/>
  <c r="K470" i="2"/>
  <c r="L470" i="2"/>
  <c r="K471" i="2"/>
  <c r="L471" i="2"/>
  <c r="K472" i="2"/>
  <c r="L472" i="2"/>
  <c r="K473" i="2"/>
  <c r="L473" i="2"/>
  <c r="K474" i="2"/>
  <c r="L474" i="2"/>
  <c r="K475" i="2"/>
  <c r="L475" i="2"/>
  <c r="K476" i="2"/>
  <c r="L476" i="2"/>
  <c r="K477" i="2"/>
  <c r="L477" i="2"/>
  <c r="K478" i="2"/>
  <c r="L478" i="2"/>
  <c r="K479" i="2"/>
  <c r="L479" i="2"/>
  <c r="K480" i="2"/>
  <c r="L480" i="2"/>
  <c r="K481" i="2"/>
  <c r="L481" i="2"/>
  <c r="K482" i="2"/>
  <c r="L482" i="2"/>
  <c r="K483" i="2"/>
  <c r="L483" i="2"/>
  <c r="K484" i="2"/>
  <c r="L484" i="2"/>
  <c r="K485" i="2"/>
  <c r="L485" i="2"/>
  <c r="K486" i="2"/>
  <c r="L486" i="2"/>
  <c r="K487" i="2"/>
  <c r="L487" i="2"/>
  <c r="K488" i="2"/>
  <c r="L488" i="2"/>
  <c r="K489" i="2"/>
  <c r="L489" i="2"/>
  <c r="K490" i="2"/>
  <c r="L490" i="2"/>
  <c r="K491" i="2"/>
  <c r="L491" i="2"/>
  <c r="K492" i="2"/>
  <c r="L492" i="2"/>
  <c r="K493" i="2"/>
  <c r="L493" i="2"/>
  <c r="K494" i="2"/>
  <c r="L494" i="2"/>
  <c r="K495" i="2"/>
  <c r="L495" i="2"/>
  <c r="K496" i="2"/>
  <c r="L496" i="2"/>
  <c r="K497" i="2"/>
  <c r="L497" i="2"/>
  <c r="K498" i="2"/>
  <c r="L498" i="2"/>
  <c r="K499" i="2"/>
  <c r="L499" i="2"/>
  <c r="K500" i="2"/>
  <c r="L500" i="2"/>
  <c r="K501" i="2"/>
  <c r="L501" i="2"/>
  <c r="K502" i="2"/>
  <c r="L502" i="2"/>
  <c r="K503" i="2"/>
  <c r="L503" i="2"/>
  <c r="K504" i="2"/>
  <c r="L504" i="2"/>
  <c r="K505" i="2"/>
  <c r="L505" i="2"/>
  <c r="K506" i="2"/>
  <c r="L506" i="2"/>
  <c r="K507" i="2"/>
  <c r="L507" i="2"/>
  <c r="K508" i="2"/>
  <c r="L508" i="2"/>
  <c r="K509" i="2"/>
  <c r="L509" i="2"/>
  <c r="K510" i="2"/>
  <c r="L510" i="2"/>
  <c r="K511" i="2"/>
  <c r="L511" i="2"/>
  <c r="K512" i="2"/>
  <c r="L512" i="2"/>
  <c r="K513" i="2"/>
  <c r="L513" i="2"/>
  <c r="K514" i="2"/>
  <c r="L514" i="2"/>
  <c r="K515" i="2"/>
  <c r="L515" i="2"/>
  <c r="K516" i="2"/>
  <c r="L516" i="2"/>
  <c r="K517" i="2"/>
  <c r="L517" i="2"/>
  <c r="K518" i="2"/>
  <c r="L518" i="2"/>
  <c r="K519" i="2"/>
  <c r="L519" i="2"/>
  <c r="K520" i="2"/>
  <c r="L520" i="2"/>
  <c r="K521" i="2"/>
  <c r="L521" i="2"/>
  <c r="K522" i="2"/>
  <c r="L522" i="2"/>
  <c r="K523" i="2"/>
  <c r="L523" i="2"/>
  <c r="K524" i="2"/>
  <c r="L524" i="2"/>
  <c r="K525" i="2"/>
  <c r="L525" i="2"/>
  <c r="K526" i="2"/>
  <c r="L526" i="2"/>
  <c r="K527" i="2"/>
  <c r="L527" i="2"/>
  <c r="K528" i="2"/>
  <c r="L528" i="2"/>
  <c r="K529" i="2"/>
  <c r="L529" i="2"/>
  <c r="K530" i="2"/>
  <c r="L530" i="2"/>
  <c r="K531" i="2"/>
  <c r="L531" i="2"/>
  <c r="K532" i="2"/>
  <c r="L532" i="2"/>
  <c r="K533" i="2"/>
  <c r="L533" i="2"/>
  <c r="K534" i="2"/>
  <c r="L534" i="2"/>
  <c r="K535" i="2"/>
  <c r="L535" i="2"/>
  <c r="K536" i="2"/>
  <c r="L536"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K576" i="2"/>
  <c r="L576" i="2"/>
  <c r="K577" i="2"/>
  <c r="L577" i="2"/>
  <c r="K578" i="2"/>
  <c r="L578" i="2"/>
  <c r="K579" i="2"/>
  <c r="L579" i="2"/>
  <c r="K580" i="2"/>
  <c r="L580" i="2"/>
  <c r="K581" i="2"/>
  <c r="L581" i="2"/>
  <c r="K582" i="2"/>
  <c r="L582" i="2"/>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8" i="2"/>
  <c r="L598" i="2"/>
  <c r="K599" i="2"/>
  <c r="L599" i="2"/>
  <c r="K600" i="2"/>
  <c r="L600" i="2"/>
  <c r="K601" i="2"/>
  <c r="L601" i="2"/>
  <c r="K602" i="2"/>
  <c r="L602" i="2"/>
  <c r="K603" i="2"/>
  <c r="L603" i="2"/>
  <c r="K604" i="2"/>
  <c r="L604" i="2"/>
  <c r="K605" i="2"/>
  <c r="L605" i="2"/>
  <c r="K606" i="2"/>
  <c r="L606" i="2"/>
  <c r="K607" i="2"/>
  <c r="L607" i="2"/>
  <c r="K608" i="2"/>
  <c r="L608" i="2"/>
  <c r="K609" i="2"/>
  <c r="L609" i="2"/>
  <c r="K610" i="2"/>
  <c r="L610" i="2"/>
  <c r="K611" i="2"/>
  <c r="L611" i="2"/>
  <c r="K612" i="2"/>
  <c r="L612" i="2"/>
  <c r="K613" i="2"/>
  <c r="L613" i="2"/>
  <c r="K614" i="2"/>
  <c r="L614" i="2"/>
  <c r="K615" i="2"/>
  <c r="L615" i="2"/>
  <c r="K616" i="2"/>
  <c r="L616" i="2"/>
  <c r="K617" i="2"/>
  <c r="L617" i="2"/>
  <c r="K618" i="2"/>
  <c r="L618" i="2"/>
  <c r="K619" i="2"/>
  <c r="L619" i="2"/>
  <c r="K620" i="2"/>
  <c r="L620" i="2"/>
  <c r="K621" i="2"/>
  <c r="L621" i="2"/>
  <c r="K622" i="2"/>
  <c r="L622" i="2"/>
  <c r="K623" i="2"/>
  <c r="L623" i="2"/>
  <c r="K624" i="2"/>
  <c r="L624" i="2"/>
  <c r="K625" i="2"/>
  <c r="L625" i="2"/>
  <c r="K626" i="2"/>
  <c r="L626" i="2"/>
  <c r="K627" i="2"/>
  <c r="L627" i="2"/>
  <c r="K628" i="2"/>
  <c r="L628" i="2"/>
  <c r="K629" i="2"/>
  <c r="L629" i="2"/>
  <c r="K630" i="2"/>
  <c r="L630" i="2"/>
  <c r="K631" i="2"/>
  <c r="L631" i="2"/>
  <c r="K632" i="2"/>
  <c r="L632" i="2"/>
  <c r="K633" i="2"/>
  <c r="L633" i="2"/>
  <c r="K634" i="2"/>
  <c r="L634" i="2"/>
  <c r="K635" i="2"/>
  <c r="L635" i="2"/>
  <c r="K636" i="2"/>
  <c r="L636" i="2"/>
  <c r="K637" i="2"/>
  <c r="L637" i="2"/>
  <c r="K638" i="2"/>
  <c r="L638" i="2"/>
  <c r="K639" i="2"/>
  <c r="L639" i="2"/>
  <c r="K640" i="2"/>
  <c r="L640" i="2"/>
  <c r="K641" i="2"/>
  <c r="L641" i="2"/>
  <c r="K642" i="2"/>
  <c r="L642" i="2"/>
  <c r="K643" i="2"/>
  <c r="L643" i="2"/>
  <c r="K644" i="2"/>
  <c r="L644" i="2"/>
  <c r="K645" i="2"/>
  <c r="L645" i="2"/>
  <c r="K646" i="2"/>
  <c r="L646" i="2"/>
  <c r="K647" i="2"/>
  <c r="L647" i="2"/>
  <c r="K648" i="2"/>
  <c r="L648" i="2"/>
  <c r="K649" i="2"/>
  <c r="L649" i="2"/>
  <c r="K650" i="2"/>
  <c r="L650" i="2"/>
  <c r="K651" i="2"/>
  <c r="L651" i="2"/>
  <c r="K652" i="2"/>
  <c r="L652" i="2"/>
  <c r="K653" i="2"/>
  <c r="L653" i="2"/>
  <c r="K654" i="2"/>
  <c r="L654" i="2"/>
  <c r="K655" i="2"/>
  <c r="L655" i="2"/>
  <c r="K656" i="2"/>
  <c r="L656" i="2"/>
  <c r="K657" i="2"/>
  <c r="L657" i="2"/>
  <c r="K658" i="2"/>
  <c r="L658" i="2"/>
  <c r="K659" i="2"/>
  <c r="L659" i="2"/>
  <c r="K660" i="2"/>
  <c r="L660" i="2"/>
  <c r="K661" i="2"/>
  <c r="L661" i="2"/>
  <c r="K662" i="2"/>
  <c r="L662" i="2"/>
  <c r="K663" i="2"/>
  <c r="L663" i="2"/>
  <c r="K664" i="2"/>
  <c r="L664" i="2"/>
  <c r="K665" i="2"/>
  <c r="L665" i="2"/>
  <c r="K666" i="2"/>
  <c r="L666" i="2"/>
  <c r="K667" i="2"/>
  <c r="L667" i="2"/>
  <c r="K668" i="2"/>
  <c r="L668" i="2"/>
  <c r="K669" i="2"/>
  <c r="L669" i="2"/>
  <c r="K670" i="2"/>
  <c r="L670" i="2"/>
  <c r="K671" i="2"/>
  <c r="L671" i="2"/>
  <c r="K672" i="2"/>
  <c r="L672" i="2"/>
  <c r="K673" i="2"/>
  <c r="L673" i="2"/>
  <c r="K674" i="2"/>
  <c r="L674" i="2"/>
  <c r="K675" i="2"/>
  <c r="L675" i="2"/>
  <c r="K676" i="2"/>
  <c r="L676" i="2"/>
  <c r="K677" i="2"/>
  <c r="L677" i="2"/>
  <c r="K678" i="2"/>
  <c r="L678" i="2"/>
  <c r="K679" i="2"/>
  <c r="L679" i="2"/>
  <c r="K680" i="2"/>
  <c r="L680" i="2"/>
  <c r="K681" i="2"/>
  <c r="L681" i="2"/>
  <c r="K682" i="2"/>
  <c r="L682" i="2"/>
  <c r="K683" i="2"/>
  <c r="L683" i="2"/>
  <c r="K684" i="2"/>
  <c r="L684" i="2"/>
  <c r="K685" i="2"/>
  <c r="L685" i="2"/>
  <c r="K686" i="2"/>
  <c r="L686" i="2"/>
  <c r="K687" i="2"/>
  <c r="L687" i="2"/>
  <c r="K688" i="2"/>
  <c r="L688" i="2"/>
  <c r="K689" i="2"/>
  <c r="L689" i="2"/>
  <c r="K690" i="2"/>
  <c r="L690" i="2"/>
  <c r="K691" i="2"/>
  <c r="L691" i="2"/>
  <c r="K692" i="2"/>
  <c r="L692" i="2"/>
  <c r="K693" i="2"/>
  <c r="L693" i="2"/>
  <c r="K694" i="2"/>
  <c r="L694" i="2"/>
  <c r="K695" i="2"/>
  <c r="L695" i="2"/>
  <c r="K696" i="2"/>
  <c r="L696" i="2"/>
  <c r="K697" i="2"/>
  <c r="L697" i="2"/>
  <c r="K698" i="2"/>
  <c r="L698" i="2"/>
  <c r="K699" i="2"/>
  <c r="L699" i="2"/>
  <c r="K700" i="2"/>
  <c r="L700" i="2"/>
  <c r="K701" i="2"/>
  <c r="L701" i="2"/>
  <c r="K702" i="2"/>
  <c r="L702" i="2"/>
  <c r="K703" i="2"/>
  <c r="L703" i="2"/>
  <c r="K704" i="2"/>
  <c r="L704" i="2"/>
  <c r="K705" i="2"/>
  <c r="L705" i="2"/>
  <c r="K706" i="2"/>
  <c r="L706" i="2"/>
  <c r="K707" i="2"/>
  <c r="L707" i="2"/>
  <c r="K708" i="2"/>
  <c r="L708" i="2"/>
  <c r="K709" i="2"/>
  <c r="L709" i="2"/>
  <c r="K710" i="2"/>
  <c r="L710" i="2"/>
  <c r="K711" i="2"/>
  <c r="L711" i="2"/>
  <c r="K712" i="2"/>
  <c r="L712" i="2"/>
  <c r="K713" i="2"/>
  <c r="L713" i="2"/>
  <c r="K714" i="2"/>
  <c r="L714" i="2"/>
  <c r="K715" i="2"/>
  <c r="L715" i="2"/>
  <c r="K716" i="2"/>
  <c r="L716" i="2"/>
  <c r="K717" i="2"/>
  <c r="L717" i="2"/>
  <c r="K718" i="2"/>
  <c r="L718" i="2"/>
  <c r="K719" i="2"/>
  <c r="L719" i="2"/>
  <c r="K720" i="2"/>
  <c r="L720" i="2"/>
  <c r="K721" i="2"/>
  <c r="L721" i="2"/>
  <c r="K722" i="2"/>
  <c r="L722" i="2"/>
  <c r="K723" i="2"/>
  <c r="L723" i="2"/>
  <c r="K724" i="2"/>
  <c r="L724" i="2"/>
  <c r="K725" i="2"/>
  <c r="L725" i="2"/>
  <c r="K726" i="2"/>
  <c r="L726" i="2"/>
  <c r="K727" i="2"/>
  <c r="L727" i="2"/>
  <c r="K728" i="2"/>
  <c r="L728" i="2"/>
  <c r="K729" i="2"/>
  <c r="L729" i="2"/>
  <c r="K730" i="2"/>
  <c r="L730" i="2"/>
  <c r="K731" i="2"/>
  <c r="L731" i="2"/>
  <c r="K732" i="2"/>
  <c r="L732" i="2"/>
  <c r="K733" i="2"/>
  <c r="L733" i="2"/>
  <c r="K734" i="2"/>
  <c r="L734" i="2"/>
  <c r="K735" i="2"/>
  <c r="L735" i="2"/>
  <c r="K736" i="2"/>
  <c r="L736" i="2"/>
  <c r="K737" i="2"/>
  <c r="L737" i="2"/>
  <c r="K738" i="2"/>
  <c r="L738" i="2"/>
  <c r="K739" i="2"/>
  <c r="L739" i="2"/>
  <c r="K740" i="2"/>
  <c r="L740" i="2"/>
  <c r="K741" i="2"/>
  <c r="L741" i="2"/>
  <c r="K742" i="2"/>
  <c r="L742" i="2"/>
  <c r="K743" i="2"/>
  <c r="L743" i="2"/>
  <c r="K744" i="2"/>
  <c r="L744" i="2"/>
  <c r="K745" i="2"/>
  <c r="L745" i="2"/>
  <c r="K746" i="2"/>
  <c r="L746" i="2"/>
  <c r="K747" i="2"/>
  <c r="L747" i="2"/>
  <c r="K748" i="2"/>
  <c r="L748" i="2"/>
  <c r="K749" i="2"/>
  <c r="L749" i="2"/>
  <c r="F195" i="117" l="1"/>
  <c r="K101" i="1"/>
  <c r="C39" i="30"/>
  <c r="O39" i="30"/>
  <c r="F205" i="117"/>
  <c r="F209" i="117"/>
  <c r="F213" i="117"/>
  <c r="F217" i="117"/>
  <c r="F203" i="117"/>
  <c r="F206" i="117"/>
  <c r="F210" i="117"/>
  <c r="F214" i="117"/>
  <c r="F218" i="117"/>
  <c r="F207" i="117"/>
  <c r="F211" i="117"/>
  <c r="F215" i="117"/>
  <c r="F219" i="117"/>
  <c r="F204" i="117"/>
  <c r="F208" i="117"/>
  <c r="F212" i="117"/>
  <c r="F216" i="117"/>
  <c r="S176" i="1"/>
  <c r="U176" i="1"/>
  <c r="B2" i="1" l="1"/>
  <c r="C2" i="1" s="1"/>
  <c r="D2" i="1" s="1"/>
  <c r="E2" i="1" s="1"/>
  <c r="F2" i="1" s="1"/>
  <c r="G2" i="1" s="1"/>
  <c r="H2" i="1" s="1"/>
  <c r="I2" i="1" s="1"/>
  <c r="J2" i="1" s="1"/>
  <c r="K2" i="1" s="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B194" i="117" s="1"/>
  <c r="F191" i="1"/>
  <c r="B195" i="117" s="1"/>
  <c r="F192" i="1"/>
  <c r="B196" i="117" s="1"/>
  <c r="F193" i="1"/>
  <c r="B197" i="117" s="1"/>
  <c r="F194" i="1"/>
  <c r="B198" i="117" s="1"/>
  <c r="F195" i="1"/>
  <c r="B199" i="117" s="1"/>
  <c r="F196" i="1"/>
  <c r="B200" i="117" s="1"/>
  <c r="F197" i="1"/>
  <c r="B201" i="117" s="1"/>
  <c r="F198" i="1"/>
  <c r="F199" i="1"/>
  <c r="F200" i="1"/>
  <c r="F201" i="1"/>
  <c r="F202" i="1"/>
  <c r="F203" i="1"/>
  <c r="F204" i="1"/>
  <c r="F205" i="1"/>
  <c r="F206" i="1"/>
  <c r="F207" i="1"/>
  <c r="F208" i="1"/>
  <c r="F209" i="1"/>
  <c r="F210" i="1"/>
  <c r="F211" i="1"/>
  <c r="F212" i="1"/>
  <c r="F213" i="1"/>
  <c r="F214" i="1"/>
  <c r="F215" i="1"/>
  <c r="L137" i="1"/>
  <c r="K137" i="1"/>
  <c r="L155"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8" i="1"/>
  <c r="L139" i="1"/>
  <c r="L140" i="1"/>
  <c r="L141" i="1"/>
  <c r="L142" i="1"/>
  <c r="L143" i="1"/>
  <c r="L144" i="1"/>
  <c r="L145" i="1"/>
  <c r="L146" i="1"/>
  <c r="L147" i="1"/>
  <c r="L148" i="1"/>
  <c r="L149" i="1"/>
  <c r="L106" i="1" s="1"/>
  <c r="L150" i="1"/>
  <c r="L151" i="1"/>
  <c r="L152" i="1"/>
  <c r="L153" i="1"/>
  <c r="L154" i="1"/>
  <c r="L156" i="1"/>
  <c r="L157" i="1"/>
  <c r="L158" i="1"/>
  <c r="L159" i="1"/>
  <c r="L160" i="1"/>
  <c r="L161" i="1"/>
  <c r="L162" i="1"/>
  <c r="L163" i="1"/>
  <c r="L164" i="1"/>
  <c r="L165" i="1"/>
  <c r="L166" i="1"/>
  <c r="L167" i="1"/>
  <c r="L168" i="1"/>
  <c r="L169" i="1"/>
  <c r="L170" i="1"/>
  <c r="L171" i="1"/>
  <c r="L172" i="1"/>
  <c r="L173" i="1"/>
  <c r="L174" i="1"/>
  <c r="L175" i="1"/>
  <c r="L176" i="1"/>
  <c r="L177" i="1"/>
  <c r="L178" i="1"/>
  <c r="L102" i="1" s="1"/>
  <c r="L179" i="1"/>
  <c r="L180" i="1"/>
  <c r="L181" i="1"/>
  <c r="L182" i="1"/>
  <c r="L183" i="1"/>
  <c r="L184" i="1"/>
  <c r="L185" i="1"/>
  <c r="L186" i="1"/>
  <c r="L187" i="1"/>
  <c r="L188" i="1"/>
  <c r="L189" i="1"/>
  <c r="L99" i="1" s="1"/>
  <c r="L190" i="1"/>
  <c r="L194" i="117" s="1"/>
  <c r="L191" i="1"/>
  <c r="L192" i="1"/>
  <c r="L196" i="117" s="1"/>
  <c r="L193" i="1"/>
  <c r="L197" i="117" s="1"/>
  <c r="L194" i="1"/>
  <c r="L198" i="117" s="1"/>
  <c r="L195" i="1"/>
  <c r="L199" i="117" s="1"/>
  <c r="L196" i="1"/>
  <c r="L200" i="117" s="1"/>
  <c r="L197" i="1"/>
  <c r="L201" i="117" s="1"/>
  <c r="L198" i="1"/>
  <c r="L199" i="1"/>
  <c r="L200" i="1"/>
  <c r="L201" i="1"/>
  <c r="L202" i="1"/>
  <c r="L203" i="1"/>
  <c r="L204" i="1"/>
  <c r="L205" i="1"/>
  <c r="L206" i="1"/>
  <c r="L207" i="1"/>
  <c r="L208" i="1"/>
  <c r="L209" i="1"/>
  <c r="L210" i="1"/>
  <c r="L211" i="1"/>
  <c r="L212" i="1"/>
  <c r="L213" i="1"/>
  <c r="L214" i="1"/>
  <c r="L215" i="1"/>
  <c r="L108" i="1" l="1"/>
  <c r="L144" i="120"/>
  <c r="M144" i="120" s="1"/>
  <c r="K8" i="121"/>
  <c r="L195" i="117"/>
  <c r="L101" i="1"/>
  <c r="L2" i="1"/>
  <c r="M2" i="1" s="1"/>
  <c r="N2" i="1" s="1"/>
  <c r="O2" i="1" s="1"/>
  <c r="P2" i="1" s="1"/>
  <c r="Q2" i="1" s="1"/>
  <c r="R2" i="1" s="1"/>
  <c r="S2" i="1" s="1"/>
  <c r="T2" i="1" s="1"/>
  <c r="U2" i="1" s="1"/>
  <c r="V2" i="1" s="1"/>
  <c r="W2" i="1" s="1"/>
  <c r="X2" i="1" s="1"/>
  <c r="Y2" i="1" s="1"/>
  <c r="Z2" i="1" s="1"/>
  <c r="AA2" i="1" s="1"/>
  <c r="AB2" i="1" s="1"/>
  <c r="AC2" i="1" s="1"/>
  <c r="AD2" i="1" s="1"/>
  <c r="AE2" i="1" s="1"/>
  <c r="AF2" i="1" s="1"/>
  <c r="AG2" i="1" s="1"/>
  <c r="AH2" i="1" s="1"/>
  <c r="AI2" i="1" s="1"/>
  <c r="AJ2" i="1" s="1"/>
  <c r="AK2" i="1" s="1"/>
  <c r="AL2" i="1" s="1"/>
  <c r="AM2" i="1" s="1"/>
  <c r="AN2" i="1" s="1"/>
  <c r="AO2" i="1" s="1"/>
  <c r="AP2" i="1" s="1"/>
  <c r="AQ2" i="1" s="1"/>
  <c r="AR2" i="1" s="1"/>
  <c r="AS2" i="1" s="1"/>
  <c r="AT2" i="1" s="1"/>
  <c r="AU2" i="1" s="1"/>
  <c r="AV2" i="1" s="1"/>
  <c r="AW2" i="1" s="1"/>
  <c r="AX2" i="1" s="1"/>
  <c r="AY2" i="1" s="1"/>
  <c r="AZ2" i="1" s="1"/>
  <c r="BA2" i="1" s="1"/>
  <c r="BB2" i="1" s="1"/>
  <c r="BC2" i="1" s="1"/>
  <c r="BD2" i="1" s="1"/>
  <c r="BE2" i="1" s="1"/>
  <c r="BF2" i="1" s="1"/>
  <c r="BG2" i="1" s="1"/>
  <c r="BH2" i="1" s="1"/>
  <c r="BI2" i="1" s="1"/>
  <c r="BJ2" i="1" s="1"/>
  <c r="BK2" i="1" s="1"/>
  <c r="BL2" i="1" s="1"/>
  <c r="BM2" i="1" s="1"/>
  <c r="BN2" i="1" s="1"/>
  <c r="BO2" i="1" s="1"/>
  <c r="BP2" i="1" s="1"/>
  <c r="BQ2" i="1" s="1"/>
  <c r="BR2" i="1" s="1"/>
  <c r="BS2" i="1" s="1"/>
  <c r="BT2" i="1" s="1"/>
  <c r="BU2" i="1" s="1"/>
  <c r="L134" i="120"/>
  <c r="L141" i="120"/>
  <c r="L149" i="120"/>
  <c r="L153" i="120"/>
  <c r="L130" i="120"/>
  <c r="L135" i="120"/>
  <c r="L145" i="120"/>
  <c r="L150" i="120"/>
  <c r="L164" i="120"/>
  <c r="L131" i="120"/>
  <c r="L139" i="120"/>
  <c r="L146" i="120"/>
  <c r="L151" i="120"/>
  <c r="L165" i="120"/>
  <c r="L132" i="120"/>
  <c r="L140" i="120"/>
  <c r="L148" i="120"/>
  <c r="L152" i="120"/>
  <c r="B206" i="117"/>
  <c r="B203" i="117"/>
  <c r="B217" i="117"/>
  <c r="B213" i="117"/>
  <c r="B209" i="117"/>
  <c r="B215" i="117"/>
  <c r="B211" i="117"/>
  <c r="L215" i="117"/>
  <c r="B218" i="117"/>
  <c r="B202" i="117"/>
  <c r="L218" i="117"/>
  <c r="L210" i="117"/>
  <c r="L202" i="117"/>
  <c r="L217" i="117"/>
  <c r="L213" i="117"/>
  <c r="L209" i="117"/>
  <c r="L205" i="117"/>
  <c r="B216" i="117"/>
  <c r="B212" i="117"/>
  <c r="B208" i="117"/>
  <c r="B204" i="117"/>
  <c r="L219" i="117"/>
  <c r="L211" i="117"/>
  <c r="L207" i="117"/>
  <c r="B214" i="117"/>
  <c r="B210" i="117"/>
  <c r="L214" i="117"/>
  <c r="L206" i="117"/>
  <c r="L203" i="117"/>
  <c r="B205" i="117"/>
  <c r="L216" i="117"/>
  <c r="L212" i="117"/>
  <c r="L208" i="117"/>
  <c r="L204" i="117"/>
  <c r="B219" i="117"/>
  <c r="B207" i="117"/>
  <c r="S190" i="1"/>
  <c r="U190" i="1"/>
  <c r="J190" i="1"/>
  <c r="J191" i="1" s="1"/>
  <c r="S189" i="1"/>
  <c r="U189" i="1"/>
  <c r="W189" i="1"/>
  <c r="J189" i="1"/>
  <c r="S188" i="1"/>
  <c r="U188" i="1"/>
  <c r="J188" i="1"/>
  <c r="B188" i="1"/>
  <c r="B189" i="1"/>
  <c r="B190" i="1"/>
  <c r="N144" i="120" l="1"/>
  <c r="M8" i="121"/>
  <c r="M3" i="121" s="1" a="1"/>
  <c r="M3" i="121" s="1"/>
  <c r="L8" i="121"/>
  <c r="N132" i="120"/>
  <c r="M132" i="120"/>
  <c r="N139" i="120"/>
  <c r="M139" i="120"/>
  <c r="M145" i="120"/>
  <c r="N145" i="120"/>
  <c r="N149" i="120"/>
  <c r="M149" i="120"/>
  <c r="M165" i="120"/>
  <c r="N165" i="120"/>
  <c r="M131" i="120"/>
  <c r="N131" i="120"/>
  <c r="N135" i="120"/>
  <c r="M135" i="120"/>
  <c r="N141" i="120"/>
  <c r="M141" i="120"/>
  <c r="M148" i="120"/>
  <c r="N148" i="120"/>
  <c r="N151" i="120"/>
  <c r="M151" i="120"/>
  <c r="M130" i="120"/>
  <c r="N130" i="120"/>
  <c r="N134" i="120"/>
  <c r="M134" i="120"/>
  <c r="N152" i="120"/>
  <c r="M152" i="120"/>
  <c r="N164" i="120"/>
  <c r="M164" i="120"/>
  <c r="M140" i="120"/>
  <c r="N140" i="120"/>
  <c r="N146" i="120"/>
  <c r="M146" i="120"/>
  <c r="N150" i="120"/>
  <c r="M150" i="120"/>
  <c r="M153" i="120"/>
  <c r="N153" i="120"/>
  <c r="AT200" i="1"/>
  <c r="B187" i="1"/>
  <c r="S187" i="1"/>
  <c r="U187" i="1"/>
  <c r="J171" i="1"/>
  <c r="J187" i="1" s="1"/>
  <c r="J198" i="1" s="1"/>
  <c r="J199" i="1" s="1"/>
  <c r="T213" i="1"/>
  <c r="T214" i="1" s="1"/>
  <c r="BE215" i="1"/>
  <c r="BD215" i="1"/>
  <c r="BC215" i="1"/>
  <c r="BB215" i="1"/>
  <c r="BE214" i="1"/>
  <c r="BD214" i="1"/>
  <c r="BC214" i="1"/>
  <c r="BB214" i="1"/>
  <c r="BE213" i="1"/>
  <c r="BD213" i="1"/>
  <c r="BC213" i="1"/>
  <c r="BB213" i="1"/>
  <c r="BE212" i="1"/>
  <c r="BD212" i="1"/>
  <c r="BC212" i="1"/>
  <c r="BB212" i="1"/>
  <c r="BE211" i="1"/>
  <c r="BD211" i="1"/>
  <c r="BC211" i="1"/>
  <c r="BB211" i="1"/>
  <c r="BE210" i="1"/>
  <c r="BD210" i="1"/>
  <c r="BC210" i="1"/>
  <c r="BB210" i="1"/>
  <c r="BE209" i="1"/>
  <c r="BD209" i="1"/>
  <c r="BC209" i="1"/>
  <c r="BB209" i="1"/>
  <c r="BE208" i="1"/>
  <c r="BD208" i="1"/>
  <c r="BC208" i="1"/>
  <c r="BB208" i="1"/>
  <c r="BE207" i="1"/>
  <c r="BD207" i="1"/>
  <c r="BC207" i="1"/>
  <c r="BB207" i="1"/>
  <c r="BE206" i="1"/>
  <c r="BD206" i="1"/>
  <c r="BC206" i="1"/>
  <c r="BB206" i="1"/>
  <c r="BE205" i="1"/>
  <c r="BD205" i="1"/>
  <c r="BC205" i="1"/>
  <c r="BB205" i="1"/>
  <c r="BE204" i="1"/>
  <c r="BD204" i="1"/>
  <c r="BC204" i="1"/>
  <c r="BB204" i="1"/>
  <c r="BE203" i="1"/>
  <c r="BD203" i="1"/>
  <c r="BC203" i="1"/>
  <c r="BB203" i="1"/>
  <c r="BE202" i="1"/>
  <c r="BD202" i="1"/>
  <c r="BC202" i="1"/>
  <c r="BB202" i="1"/>
  <c r="BE201" i="1"/>
  <c r="BD201" i="1"/>
  <c r="BC201" i="1"/>
  <c r="BB201" i="1"/>
  <c r="BE200" i="1"/>
  <c r="BD200" i="1"/>
  <c r="BC200" i="1"/>
  <c r="BB200" i="1"/>
  <c r="AD201" i="1"/>
  <c r="AD202" i="1"/>
  <c r="AD203" i="1"/>
  <c r="AD204" i="1"/>
  <c r="AD205" i="1"/>
  <c r="AD206" i="1"/>
  <c r="AD207" i="1"/>
  <c r="AD200" i="1"/>
  <c r="AD209" i="1"/>
  <c r="AD210" i="1"/>
  <c r="AD211" i="1"/>
  <c r="AD212" i="1"/>
  <c r="AD213" i="1"/>
  <c r="AD214" i="1"/>
  <c r="AD215" i="1"/>
  <c r="AD208" i="1"/>
  <c r="C18" i="113"/>
  <c r="B17" i="113"/>
  <c r="C12" i="113"/>
  <c r="C11" i="113"/>
  <c r="AT207" i="1" s="1"/>
  <c r="B11" i="113"/>
  <c r="C10" i="113"/>
  <c r="AT206" i="1" s="1"/>
  <c r="C9" i="113"/>
  <c r="AT205" i="1" s="1"/>
  <c r="C8" i="113"/>
  <c r="AT204" i="1" s="1"/>
  <c r="C7" i="113"/>
  <c r="B208" i="1"/>
  <c r="B209" i="1"/>
  <c r="B210" i="1"/>
  <c r="B211" i="1"/>
  <c r="B212" i="1"/>
  <c r="B213" i="1"/>
  <c r="B214" i="1"/>
  <c r="B215" i="1"/>
  <c r="N8" i="121" l="1"/>
  <c r="N3" i="121" s="1" a="1"/>
  <c r="N3" i="121" s="1"/>
  <c r="L3" i="121" a="1"/>
  <c r="L3" i="121" s="1"/>
  <c r="L4" i="121"/>
  <c r="L5" i="121"/>
  <c r="M4" i="121"/>
  <c r="M5" i="121"/>
  <c r="AU204" i="1"/>
  <c r="AV204" i="1" s="1"/>
  <c r="AU207" i="1"/>
  <c r="S211" i="117" s="1"/>
  <c r="AU205" i="1"/>
  <c r="AV205" i="1" s="1"/>
  <c r="AU206" i="1"/>
  <c r="AV206" i="1" s="1"/>
  <c r="AU200" i="1"/>
  <c r="S204" i="117" s="1"/>
  <c r="K204" i="117"/>
  <c r="K205" i="117"/>
  <c r="K206" i="117"/>
  <c r="K207" i="117"/>
  <c r="K208" i="117"/>
  <c r="K209" i="117"/>
  <c r="K210" i="117"/>
  <c r="K211" i="117"/>
  <c r="K212" i="117"/>
  <c r="K213" i="117"/>
  <c r="K214" i="117"/>
  <c r="K215" i="117"/>
  <c r="K216" i="117"/>
  <c r="K217" i="117"/>
  <c r="K218" i="117"/>
  <c r="K219" i="117"/>
  <c r="AV207" i="1"/>
  <c r="I204" i="117"/>
  <c r="I205" i="117"/>
  <c r="I206" i="117"/>
  <c r="I207" i="117"/>
  <c r="I208" i="117"/>
  <c r="I209" i="117"/>
  <c r="I210" i="117"/>
  <c r="I211" i="117"/>
  <c r="I212" i="117"/>
  <c r="I213" i="117"/>
  <c r="I214" i="117"/>
  <c r="I215" i="117"/>
  <c r="I216" i="117"/>
  <c r="I217" i="117"/>
  <c r="I218" i="117"/>
  <c r="I219" i="117"/>
  <c r="J204" i="117"/>
  <c r="J205" i="117"/>
  <c r="J206" i="117"/>
  <c r="J207" i="117"/>
  <c r="J208" i="117"/>
  <c r="J209" i="117"/>
  <c r="J210" i="117"/>
  <c r="J211" i="117"/>
  <c r="J212" i="117"/>
  <c r="J213" i="117"/>
  <c r="J214" i="117"/>
  <c r="J215" i="117"/>
  <c r="J216" i="117"/>
  <c r="J217" i="117"/>
  <c r="J218" i="117"/>
  <c r="J219" i="117"/>
  <c r="BK205" i="1"/>
  <c r="AL215" i="1"/>
  <c r="AT215" i="1" s="1"/>
  <c r="AE211" i="1"/>
  <c r="AL207" i="1"/>
  <c r="AP207" i="1" s="1"/>
  <c r="AL203" i="1"/>
  <c r="AP203" i="1" s="1"/>
  <c r="AE214" i="1"/>
  <c r="AE210" i="1"/>
  <c r="AL206" i="1"/>
  <c r="AP206" i="1" s="1"/>
  <c r="AL202" i="1"/>
  <c r="AP202" i="1" s="1"/>
  <c r="AE205" i="1"/>
  <c r="AE201" i="1"/>
  <c r="AL208" i="1"/>
  <c r="AT208" i="1" s="1"/>
  <c r="AL212" i="1"/>
  <c r="AT212" i="1" s="1"/>
  <c r="AL200" i="1"/>
  <c r="AP200" i="1" s="1"/>
  <c r="AL204" i="1"/>
  <c r="AP204" i="1" s="1"/>
  <c r="BM203" i="1"/>
  <c r="BJ201" i="1"/>
  <c r="BJ203" i="1"/>
  <c r="BK203" i="1"/>
  <c r="BL203" i="1"/>
  <c r="O202" i="1"/>
  <c r="AT201" i="1"/>
  <c r="BJ200" i="1"/>
  <c r="BK201" i="1"/>
  <c r="BL202" i="1"/>
  <c r="O200" i="1"/>
  <c r="BK204" i="1"/>
  <c r="O203" i="1"/>
  <c r="BL205" i="1"/>
  <c r="AE215" i="1"/>
  <c r="O201" i="1"/>
  <c r="BJ207" i="1"/>
  <c r="BK200" i="1"/>
  <c r="BL201" i="1"/>
  <c r="BM200" i="1"/>
  <c r="BJ202" i="1"/>
  <c r="BK202" i="1"/>
  <c r="BM202" i="1"/>
  <c r="BL209" i="1"/>
  <c r="BM201" i="1"/>
  <c r="BK208" i="1"/>
  <c r="BJ212" i="1"/>
  <c r="BK210" i="1"/>
  <c r="BJ211" i="1"/>
  <c r="T215" i="1"/>
  <c r="AE204" i="1"/>
  <c r="AE200" i="1"/>
  <c r="BL200" i="1"/>
  <c r="BI202" i="1"/>
  <c r="AE212" i="1"/>
  <c r="AL211" i="1"/>
  <c r="AE206" i="1"/>
  <c r="AL213" i="1"/>
  <c r="AE213" i="1"/>
  <c r="AL209" i="1"/>
  <c r="AE209" i="1"/>
  <c r="AL210" i="1"/>
  <c r="AE203" i="1"/>
  <c r="AL214" i="1"/>
  <c r="AE207" i="1"/>
  <c r="AE202" i="1"/>
  <c r="AL205" i="1"/>
  <c r="AL201" i="1"/>
  <c r="AE208" i="1"/>
  <c r="N5" i="121" l="1"/>
  <c r="N4" i="121"/>
  <c r="S210" i="117"/>
  <c r="AV200" i="1"/>
  <c r="AW200" i="1" s="1"/>
  <c r="U204" i="117" s="1"/>
  <c r="AM211" i="1"/>
  <c r="AU211" i="1" s="1"/>
  <c r="S209" i="117"/>
  <c r="S208" i="117"/>
  <c r="AM205" i="1"/>
  <c r="AQ205" i="1" s="1"/>
  <c r="AF211" i="1"/>
  <c r="AM201" i="1"/>
  <c r="AQ201" i="1" s="1"/>
  <c r="AF201" i="1"/>
  <c r="AF210" i="1"/>
  <c r="AN210" i="1" s="1"/>
  <c r="AW206" i="1"/>
  <c r="U210" i="117" s="1"/>
  <c r="T210" i="117"/>
  <c r="AW207" i="1"/>
  <c r="U211" i="117" s="1"/>
  <c r="T211" i="117"/>
  <c r="AF214" i="1"/>
  <c r="AN214" i="1" s="1"/>
  <c r="AW205" i="1"/>
  <c r="U209" i="117" s="1"/>
  <c r="T209" i="117"/>
  <c r="AW204" i="1"/>
  <c r="U208" i="117" s="1"/>
  <c r="T208" i="117"/>
  <c r="AP212" i="1"/>
  <c r="AM210" i="1"/>
  <c r="AQ210" i="1" s="1"/>
  <c r="AP208" i="1"/>
  <c r="AF205" i="1"/>
  <c r="AM214" i="1"/>
  <c r="AQ214" i="1" s="1"/>
  <c r="O205" i="1"/>
  <c r="O207" i="1"/>
  <c r="O204" i="1"/>
  <c r="AF215" i="1"/>
  <c r="BG202" i="1"/>
  <c r="O206" i="1"/>
  <c r="BF206" i="1"/>
  <c r="BF205" i="1"/>
  <c r="BG207" i="1"/>
  <c r="BG204" i="1"/>
  <c r="BI201" i="1"/>
  <c r="BH200" i="1"/>
  <c r="BH202" i="1"/>
  <c r="BF202" i="1"/>
  <c r="BI206" i="1"/>
  <c r="BH206" i="1"/>
  <c r="BM210" i="1"/>
  <c r="BI203" i="1"/>
  <c r="BH201" i="1"/>
  <c r="AT202" i="1"/>
  <c r="AU201" i="1"/>
  <c r="S205" i="117" s="1"/>
  <c r="BG206" i="1"/>
  <c r="BF200" i="1"/>
  <c r="BG201" i="1"/>
  <c r="BJ210" i="1"/>
  <c r="BL204" i="1"/>
  <c r="BM209" i="1"/>
  <c r="BJ209" i="1"/>
  <c r="BM211" i="1"/>
  <c r="BK209" i="1"/>
  <c r="BM205" i="1"/>
  <c r="BG200" i="1"/>
  <c r="V213" i="1"/>
  <c r="BM212" i="1"/>
  <c r="BK206" i="1"/>
  <c r="BK212" i="1"/>
  <c r="BK211" i="1"/>
  <c r="BL206" i="1"/>
  <c r="BK207" i="1"/>
  <c r="AM215" i="1"/>
  <c r="AU215" i="1" s="1"/>
  <c r="S219" i="117" s="1"/>
  <c r="BM208" i="1"/>
  <c r="BM204" i="1"/>
  <c r="BJ206" i="1"/>
  <c r="BL212" i="1"/>
  <c r="BL208" i="1"/>
  <c r="BL211" i="1"/>
  <c r="BL207" i="1"/>
  <c r="BL210" i="1"/>
  <c r="BI205" i="1"/>
  <c r="BF201" i="1"/>
  <c r="BI200" i="1"/>
  <c r="BH204" i="1"/>
  <c r="BI204" i="1"/>
  <c r="BM206" i="1"/>
  <c r="BM207" i="1"/>
  <c r="BI207" i="1"/>
  <c r="BJ205" i="1"/>
  <c r="BJ208" i="1"/>
  <c r="BJ204" i="1"/>
  <c r="BG203" i="1"/>
  <c r="BG205" i="1"/>
  <c r="BH203" i="1"/>
  <c r="BF207" i="1"/>
  <c r="BF204" i="1"/>
  <c r="BH205" i="1"/>
  <c r="BH207" i="1"/>
  <c r="BF203" i="1"/>
  <c r="AP215" i="1"/>
  <c r="AT214" i="1"/>
  <c r="AP214" i="1"/>
  <c r="AT213" i="1"/>
  <c r="AP213" i="1"/>
  <c r="AM212" i="1"/>
  <c r="AF212" i="1"/>
  <c r="AM200" i="1"/>
  <c r="AF200" i="1"/>
  <c r="AT210" i="1"/>
  <c r="AP210" i="1"/>
  <c r="AP201" i="1"/>
  <c r="AM204" i="1"/>
  <c r="AF204" i="1"/>
  <c r="AP205" i="1"/>
  <c r="AT209" i="1"/>
  <c r="AP209" i="1"/>
  <c r="AT211" i="1"/>
  <c r="AP211" i="1"/>
  <c r="AM209" i="1"/>
  <c r="AF209" i="1"/>
  <c r="AF206" i="1"/>
  <c r="AM206" i="1"/>
  <c r="AM203" i="1"/>
  <c r="AF203" i="1"/>
  <c r="AF202" i="1"/>
  <c r="AM202" i="1"/>
  <c r="AM213" i="1"/>
  <c r="AF213" i="1"/>
  <c r="AM208" i="1"/>
  <c r="AF208" i="1"/>
  <c r="AF207" i="1"/>
  <c r="AM207" i="1"/>
  <c r="T204" i="117" l="1"/>
  <c r="AQ211" i="1"/>
  <c r="AN211" i="1"/>
  <c r="AR211" i="1" s="1"/>
  <c r="S215" i="117"/>
  <c r="AG211" i="1"/>
  <c r="AG201" i="1"/>
  <c r="AU210" i="1"/>
  <c r="S214" i="117" s="1"/>
  <c r="AU214" i="1"/>
  <c r="S218" i="117" s="1"/>
  <c r="AN201" i="1"/>
  <c r="AR201" i="1" s="1"/>
  <c r="AG214" i="1"/>
  <c r="AN215" i="1"/>
  <c r="AR215" i="1" s="1"/>
  <c r="AN205" i="1"/>
  <c r="AR205" i="1" s="1"/>
  <c r="AG210" i="1"/>
  <c r="AG205" i="1"/>
  <c r="AV214" i="1"/>
  <c r="AR214" i="1"/>
  <c r="AG215" i="1"/>
  <c r="AV210" i="1"/>
  <c r="AR210" i="1"/>
  <c r="AT203" i="1"/>
  <c r="AU202" i="1"/>
  <c r="S206" i="117" s="1"/>
  <c r="AV201" i="1"/>
  <c r="T205" i="117" s="1"/>
  <c r="AQ215" i="1"/>
  <c r="V214" i="1"/>
  <c r="BL213" i="1"/>
  <c r="BM213" i="1"/>
  <c r="BK213" i="1"/>
  <c r="BJ213" i="1"/>
  <c r="AQ207" i="1"/>
  <c r="AQ204" i="1"/>
  <c r="AQ200" i="1"/>
  <c r="AU213" i="1"/>
  <c r="S217" i="117" s="1"/>
  <c r="AQ213" i="1"/>
  <c r="AQ203" i="1"/>
  <c r="AU209" i="1"/>
  <c r="S213" i="117" s="1"/>
  <c r="AQ209" i="1"/>
  <c r="AQ202" i="1"/>
  <c r="AQ206" i="1"/>
  <c r="AG212" i="1"/>
  <c r="AN212" i="1"/>
  <c r="AU208" i="1"/>
  <c r="S212" i="117" s="1"/>
  <c r="AQ208" i="1"/>
  <c r="AN204" i="1"/>
  <c r="AG204" i="1"/>
  <c r="AG200" i="1"/>
  <c r="AN200" i="1"/>
  <c r="AU212" i="1"/>
  <c r="S216" i="117" s="1"/>
  <c r="AQ212" i="1"/>
  <c r="AG202" i="1"/>
  <c r="AN202" i="1"/>
  <c r="AG203" i="1"/>
  <c r="AN203" i="1"/>
  <c r="AG208" i="1"/>
  <c r="AN208" i="1"/>
  <c r="AG206" i="1"/>
  <c r="AN206" i="1"/>
  <c r="AN213" i="1"/>
  <c r="AG213" i="1"/>
  <c r="AN209" i="1"/>
  <c r="AG209" i="1"/>
  <c r="AG207" i="1"/>
  <c r="AN207" i="1"/>
  <c r="AV211" i="1" l="1"/>
  <c r="T215" i="117" s="1"/>
  <c r="T218" i="117"/>
  <c r="T214" i="117"/>
  <c r="AO211" i="1"/>
  <c r="AS211" i="1" s="1"/>
  <c r="R215" i="117" s="1"/>
  <c r="AO201" i="1"/>
  <c r="AS201" i="1" s="1"/>
  <c r="R205" i="117" s="1"/>
  <c r="AV215" i="1"/>
  <c r="T219" i="117" s="1"/>
  <c r="AO210" i="1"/>
  <c r="AO214" i="1"/>
  <c r="AO205" i="1"/>
  <c r="AS205" i="1" s="1"/>
  <c r="R209" i="117" s="1"/>
  <c r="AO215" i="1"/>
  <c r="AW201" i="1"/>
  <c r="U205" i="117" s="1"/>
  <c r="AV202" i="1"/>
  <c r="T206" i="117" s="1"/>
  <c r="AU203" i="1"/>
  <c r="S207" i="117" s="1"/>
  <c r="V215" i="1"/>
  <c r="BK214" i="1"/>
  <c r="BL214" i="1"/>
  <c r="BM214" i="1"/>
  <c r="BJ214" i="1"/>
  <c r="AO207" i="1"/>
  <c r="AV213" i="1"/>
  <c r="T217" i="117" s="1"/>
  <c r="AR213" i="1"/>
  <c r="AO208" i="1"/>
  <c r="AO202" i="1"/>
  <c r="AO204" i="1"/>
  <c r="AV212" i="1"/>
  <c r="T216" i="117" s="1"/>
  <c r="AR212" i="1"/>
  <c r="AV209" i="1"/>
  <c r="T213" i="117" s="1"/>
  <c r="AR209" i="1"/>
  <c r="AO206" i="1"/>
  <c r="AO203" i="1"/>
  <c r="AO200" i="1"/>
  <c r="AR204" i="1"/>
  <c r="AR207" i="1"/>
  <c r="AO213" i="1"/>
  <c r="AV208" i="1"/>
  <c r="T212" i="117" s="1"/>
  <c r="AR208" i="1"/>
  <c r="AR202" i="1"/>
  <c r="AO209" i="1"/>
  <c r="AR206" i="1"/>
  <c r="AR203" i="1"/>
  <c r="AR200" i="1"/>
  <c r="AO212" i="1"/>
  <c r="AW211" i="1" l="1"/>
  <c r="U215" i="117" s="1"/>
  <c r="AW214" i="1"/>
  <c r="U218" i="117" s="1"/>
  <c r="AS214" i="1"/>
  <c r="R218" i="117" s="1"/>
  <c r="AS210" i="1"/>
  <c r="R214" i="117" s="1"/>
  <c r="AW210" i="1"/>
  <c r="U214" i="117" s="1"/>
  <c r="AW215" i="1"/>
  <c r="U219" i="117" s="1"/>
  <c r="AS215" i="1"/>
  <c r="R219" i="117" s="1"/>
  <c r="AW202" i="1"/>
  <c r="U206" i="117" s="1"/>
  <c r="AV203" i="1"/>
  <c r="T207" i="117" s="1"/>
  <c r="BJ215" i="1"/>
  <c r="BL215" i="1"/>
  <c r="BK215" i="1"/>
  <c r="BM215" i="1"/>
  <c r="AW213" i="1"/>
  <c r="U217" i="117" s="1"/>
  <c r="AS213" i="1"/>
  <c r="R217" i="117" s="1"/>
  <c r="AS202" i="1"/>
  <c r="R206" i="117" s="1"/>
  <c r="AS200" i="1"/>
  <c r="R204" i="117" s="1"/>
  <c r="AS206" i="1"/>
  <c r="R210" i="117" s="1"/>
  <c r="AW212" i="1"/>
  <c r="U216" i="117" s="1"/>
  <c r="AS212" i="1"/>
  <c r="R216" i="117" s="1"/>
  <c r="AW209" i="1"/>
  <c r="U213" i="117" s="1"/>
  <c r="AS209" i="1"/>
  <c r="R213" i="117" s="1"/>
  <c r="AS203" i="1"/>
  <c r="R207" i="117" s="1"/>
  <c r="AS204" i="1"/>
  <c r="R208" i="117" s="1"/>
  <c r="AW208" i="1"/>
  <c r="U212" i="117" s="1"/>
  <c r="AS208" i="1"/>
  <c r="R212" i="117" s="1"/>
  <c r="AS207" i="1"/>
  <c r="R211" i="117" s="1"/>
  <c r="AW203" i="1" l="1"/>
  <c r="U207" i="117" s="1"/>
  <c r="B200" i="1" l="1"/>
  <c r="B201" i="1"/>
  <c r="B202" i="1"/>
  <c r="B203" i="1"/>
  <c r="B204" i="1"/>
  <c r="B205" i="1"/>
  <c r="B206" i="1"/>
  <c r="B207" i="1"/>
  <c r="B186" i="1"/>
  <c r="BB186" i="1"/>
  <c r="BC186" i="1"/>
  <c r="BD186" i="1"/>
  <c r="BE186" i="1"/>
  <c r="BB187" i="1"/>
  <c r="BC187" i="1"/>
  <c r="BD187" i="1"/>
  <c r="BE187" i="1"/>
  <c r="BB188" i="1"/>
  <c r="BC188" i="1"/>
  <c r="BD188" i="1"/>
  <c r="BE188" i="1"/>
  <c r="BB189" i="1"/>
  <c r="BC189" i="1"/>
  <c r="BD189" i="1"/>
  <c r="BE189" i="1"/>
  <c r="BB190" i="1"/>
  <c r="BC190" i="1"/>
  <c r="I194" i="117" s="1"/>
  <c r="BD190" i="1"/>
  <c r="BE190" i="1"/>
  <c r="BB191" i="1"/>
  <c r="BC191" i="1"/>
  <c r="I195" i="117" s="1"/>
  <c r="BD191" i="1"/>
  <c r="BE191" i="1"/>
  <c r="BB192" i="1"/>
  <c r="BC192" i="1"/>
  <c r="BD192" i="1"/>
  <c r="BE192" i="1"/>
  <c r="BB193" i="1"/>
  <c r="BC193" i="1"/>
  <c r="BD193" i="1"/>
  <c r="BE193" i="1"/>
  <c r="BB194" i="1"/>
  <c r="BC194" i="1"/>
  <c r="BD194" i="1"/>
  <c r="BE194" i="1"/>
  <c r="BB195" i="1"/>
  <c r="BC195" i="1"/>
  <c r="BD195" i="1"/>
  <c r="BE195" i="1"/>
  <c r="BB196" i="1"/>
  <c r="BC196" i="1"/>
  <c r="BD196" i="1"/>
  <c r="BE196" i="1"/>
  <c r="BB197" i="1"/>
  <c r="BC197" i="1"/>
  <c r="BD197" i="1"/>
  <c r="BE197" i="1"/>
  <c r="BB198" i="1"/>
  <c r="BC198" i="1"/>
  <c r="I202" i="117" s="1"/>
  <c r="BD198" i="1"/>
  <c r="BE198" i="1"/>
  <c r="BB199" i="1"/>
  <c r="BC199" i="1"/>
  <c r="BD199" i="1"/>
  <c r="BE199" i="1"/>
  <c r="S199" i="1"/>
  <c r="U199" i="1"/>
  <c r="K202" i="117" l="1"/>
  <c r="K195" i="117"/>
  <c r="K194" i="117"/>
  <c r="J202" i="117"/>
  <c r="J195" i="117"/>
  <c r="J194" i="117"/>
  <c r="J203" i="117"/>
  <c r="J201" i="117"/>
  <c r="J200" i="117"/>
  <c r="J199" i="117"/>
  <c r="J198" i="117"/>
  <c r="J197" i="117"/>
  <c r="J196" i="117"/>
  <c r="I203" i="117"/>
  <c r="I201" i="117"/>
  <c r="I200" i="117"/>
  <c r="I199" i="117"/>
  <c r="I198" i="117"/>
  <c r="I197" i="117"/>
  <c r="I196" i="117"/>
  <c r="K203" i="117"/>
  <c r="K201" i="117"/>
  <c r="K200" i="117"/>
  <c r="K199" i="117"/>
  <c r="K198" i="117"/>
  <c r="K197" i="117"/>
  <c r="K196" i="117"/>
  <c r="B199" i="1" l="1"/>
  <c r="B198" i="1"/>
  <c r="B197" i="1"/>
  <c r="B196" i="1"/>
  <c r="B195" i="1"/>
  <c r="B194" i="1"/>
  <c r="B193" i="1"/>
  <c r="B192" i="1"/>
  <c r="B191" i="1"/>
  <c r="F448" i="112"/>
  <c r="BE185" i="1"/>
  <c r="BD185" i="1"/>
  <c r="BC185" i="1"/>
  <c r="BB185" i="1"/>
  <c r="BE184" i="1"/>
  <c r="BD184" i="1"/>
  <c r="BC184" i="1"/>
  <c r="BB184" i="1"/>
  <c r="BE183" i="1"/>
  <c r="BD183" i="1"/>
  <c r="BC183" i="1"/>
  <c r="BB183" i="1"/>
  <c r="BE182" i="1"/>
  <c r="BD182" i="1"/>
  <c r="BC182" i="1"/>
  <c r="BB182" i="1"/>
  <c r="BE181" i="1"/>
  <c r="BD181" i="1"/>
  <c r="BC181" i="1"/>
  <c r="BB181" i="1"/>
  <c r="BE180" i="1"/>
  <c r="BD180" i="1"/>
  <c r="BC180" i="1"/>
  <c r="BB180" i="1"/>
  <c r="BE179" i="1"/>
  <c r="BD179" i="1"/>
  <c r="BH179" i="1" s="1"/>
  <c r="BC179" i="1"/>
  <c r="BB179" i="1"/>
  <c r="BE178" i="1"/>
  <c r="BD178" i="1"/>
  <c r="BH178" i="1" s="1"/>
  <c r="BC178" i="1"/>
  <c r="BB178" i="1"/>
  <c r="BE177" i="1"/>
  <c r="BD177" i="1"/>
  <c r="BC177" i="1"/>
  <c r="BB177" i="1"/>
  <c r="BE176" i="1"/>
  <c r="BD176" i="1"/>
  <c r="BC176" i="1"/>
  <c r="BB176" i="1"/>
  <c r="BE175" i="1"/>
  <c r="BD175" i="1"/>
  <c r="BC175" i="1"/>
  <c r="BB175" i="1"/>
  <c r="BE174" i="1"/>
  <c r="BD174" i="1"/>
  <c r="BC174" i="1"/>
  <c r="BB174" i="1"/>
  <c r="BE173" i="1"/>
  <c r="BD173" i="1"/>
  <c r="BC173" i="1"/>
  <c r="BB173" i="1"/>
  <c r="BE172" i="1"/>
  <c r="BD172" i="1"/>
  <c r="BC172" i="1"/>
  <c r="BB172" i="1"/>
  <c r="BE171" i="1"/>
  <c r="BD171" i="1"/>
  <c r="BC171" i="1"/>
  <c r="BB171" i="1"/>
  <c r="BE170" i="1"/>
  <c r="BD170" i="1"/>
  <c r="BC170" i="1"/>
  <c r="BB170" i="1"/>
  <c r="BE169" i="1"/>
  <c r="BD169" i="1"/>
  <c r="BC169" i="1"/>
  <c r="BB169" i="1"/>
  <c r="BE168" i="1"/>
  <c r="BD168" i="1"/>
  <c r="BC168" i="1"/>
  <c r="BB168" i="1"/>
  <c r="BE167" i="1"/>
  <c r="BD167" i="1"/>
  <c r="BC167" i="1"/>
  <c r="BB167" i="1"/>
  <c r="BE166" i="1"/>
  <c r="BD166" i="1"/>
  <c r="BC166" i="1"/>
  <c r="BB166" i="1"/>
  <c r="BE165" i="1"/>
  <c r="BD165" i="1"/>
  <c r="BC165" i="1"/>
  <c r="BB165" i="1"/>
  <c r="BE164" i="1"/>
  <c r="BD164" i="1"/>
  <c r="BC164" i="1"/>
  <c r="BB164" i="1"/>
  <c r="BE163" i="1"/>
  <c r="BD163" i="1"/>
  <c r="BC163" i="1"/>
  <c r="BB163" i="1"/>
  <c r="BE162" i="1"/>
  <c r="BD162" i="1"/>
  <c r="BC162" i="1"/>
  <c r="BB162" i="1"/>
  <c r="BE161" i="1"/>
  <c r="BD161" i="1"/>
  <c r="BC161" i="1"/>
  <c r="BB161" i="1"/>
  <c r="BE160" i="1"/>
  <c r="BD160" i="1"/>
  <c r="BC160" i="1"/>
  <c r="BB160" i="1"/>
  <c r="BE159" i="1"/>
  <c r="BD159" i="1"/>
  <c r="BC159" i="1"/>
  <c r="BB159" i="1"/>
  <c r="BE158" i="1"/>
  <c r="BD158" i="1"/>
  <c r="BC158" i="1"/>
  <c r="BB158" i="1"/>
  <c r="BE157" i="1"/>
  <c r="BD157" i="1"/>
  <c r="BC157" i="1"/>
  <c r="BB157" i="1"/>
  <c r="T143" i="1"/>
  <c r="V139" i="1"/>
  <c r="T139" i="1"/>
  <c r="BB152" i="1"/>
  <c r="BF152" i="1" s="1"/>
  <c r="BC152" i="1"/>
  <c r="BG152" i="1" s="1"/>
  <c r="BD152" i="1"/>
  <c r="BE152" i="1"/>
  <c r="BB153" i="1"/>
  <c r="BC153" i="1"/>
  <c r="BG153" i="1" s="1"/>
  <c r="BD153" i="1"/>
  <c r="BH153" i="1" s="1"/>
  <c r="BE153" i="1"/>
  <c r="BB154" i="1"/>
  <c r="BC154" i="1"/>
  <c r="BD154" i="1"/>
  <c r="BE154" i="1"/>
  <c r="BB155" i="1"/>
  <c r="BC155" i="1"/>
  <c r="BD155" i="1"/>
  <c r="BE155" i="1"/>
  <c r="BB156" i="1"/>
  <c r="BC156" i="1"/>
  <c r="BD156" i="1"/>
  <c r="BE156" i="1"/>
  <c r="S156" i="1"/>
  <c r="T156" i="1"/>
  <c r="U156" i="1"/>
  <c r="R156" i="1"/>
  <c r="S155" i="1"/>
  <c r="U155" i="1"/>
  <c r="BA457" i="112"/>
  <c r="CQ452" i="112"/>
  <c r="BS452" i="112"/>
  <c r="BR452" i="112"/>
  <c r="BQ452" i="112"/>
  <c r="BO452" i="112"/>
  <c r="BO451" i="112" s="1"/>
  <c r="BN452" i="112"/>
  <c r="BN451" i="112" s="1"/>
  <c r="BL452" i="112"/>
  <c r="BL451" i="112" s="1"/>
  <c r="BK452" i="112"/>
  <c r="BJ452" i="112"/>
  <c r="BJ451" i="112" s="1"/>
  <c r="AV452" i="112"/>
  <c r="AV451" i="112" s="1"/>
  <c r="AJ452" i="112"/>
  <c r="AW452" i="112" s="1"/>
  <c r="AW451" i="112" s="1"/>
  <c r="AH452" i="112"/>
  <c r="AU452" i="112" s="1"/>
  <c r="AU451" i="112" s="1"/>
  <c r="AG452" i="112"/>
  <c r="AT452" i="112" s="1"/>
  <c r="AT451" i="112" s="1"/>
  <c r="Z452" i="112"/>
  <c r="AB452" i="112"/>
  <c r="AA452" i="112"/>
  <c r="Y452" i="112"/>
  <c r="T452" i="112"/>
  <c r="AS452" i="112" s="1"/>
  <c r="AS451" i="112" s="1"/>
  <c r="S452" i="112"/>
  <c r="AQ452" i="112" s="1"/>
  <c r="AQ451" i="112" s="1"/>
  <c r="R452" i="112"/>
  <c r="AP452" i="112" s="1"/>
  <c r="Q452" i="112"/>
  <c r="AO452" i="112" s="1"/>
  <c r="AO451" i="112" s="1"/>
  <c r="BS451" i="112"/>
  <c r="BR451" i="112"/>
  <c r="BQ451" i="112"/>
  <c r="BK451" i="112"/>
  <c r="AP451" i="112"/>
  <c r="CQ448" i="112"/>
  <c r="BS448" i="112"/>
  <c r="BR448" i="112"/>
  <c r="BQ448" i="112"/>
  <c r="BO448" i="112"/>
  <c r="BN448" i="112"/>
  <c r="BL448" i="112"/>
  <c r="BK448" i="112"/>
  <c r="BJ448" i="112"/>
  <c r="R448" i="112"/>
  <c r="AP448" i="112" s="1"/>
  <c r="J448" i="112"/>
  <c r="AJ448" i="112" s="1"/>
  <c r="AW448" i="112" s="1"/>
  <c r="H448" i="112"/>
  <c r="B448" i="112"/>
  <c r="CQ447" i="112"/>
  <c r="BS447" i="112"/>
  <c r="BR447" i="112"/>
  <c r="BQ447" i="112"/>
  <c r="BO447" i="112"/>
  <c r="BN447" i="112"/>
  <c r="BL447" i="112"/>
  <c r="BK447" i="112"/>
  <c r="BJ447" i="112"/>
  <c r="J447" i="112"/>
  <c r="AI447" i="112" s="1"/>
  <c r="AV447" i="112" s="1"/>
  <c r="H447" i="112"/>
  <c r="AA447" i="112" s="1"/>
  <c r="F447" i="112"/>
  <c r="Q447" i="112" s="1"/>
  <c r="AO447" i="112" s="1"/>
  <c r="B447" i="112"/>
  <c r="CQ446" i="112"/>
  <c r="BS446" i="112"/>
  <c r="BR446" i="112"/>
  <c r="BQ446" i="112"/>
  <c r="BO446" i="112"/>
  <c r="BI446" i="112"/>
  <c r="BH446" i="112"/>
  <c r="BG446" i="112"/>
  <c r="BF446" i="112"/>
  <c r="BA446" i="112"/>
  <c r="BN446" i="112" s="1"/>
  <c r="AZ446" i="112"/>
  <c r="BL446" i="112" s="1"/>
  <c r="AY446" i="112"/>
  <c r="BK446" i="112" s="1"/>
  <c r="AX446" i="112"/>
  <c r="BJ446" i="112" s="1"/>
  <c r="J446" i="112"/>
  <c r="AI446" i="112" s="1"/>
  <c r="AV446" i="112" s="1"/>
  <c r="H446" i="112"/>
  <c r="F446" i="112"/>
  <c r="B446" i="112"/>
  <c r="CQ445" i="112"/>
  <c r="BS445" i="112"/>
  <c r="BR445" i="112"/>
  <c r="BQ445" i="112"/>
  <c r="BO445" i="112"/>
  <c r="BJ445" i="112"/>
  <c r="B445" i="112"/>
  <c r="CQ444" i="112"/>
  <c r="BS444" i="112"/>
  <c r="BR444" i="112"/>
  <c r="BQ444" i="112"/>
  <c r="BO444" i="112"/>
  <c r="BJ444" i="112"/>
  <c r="B444" i="112"/>
  <c r="CQ443" i="112"/>
  <c r="BS443" i="112"/>
  <c r="BR443" i="112"/>
  <c r="BQ443" i="112"/>
  <c r="BO443" i="112"/>
  <c r="BA443" i="112"/>
  <c r="BN443" i="112" s="1"/>
  <c r="AZ443" i="112"/>
  <c r="AZ444" i="112" s="1"/>
  <c r="AY443" i="112"/>
  <c r="BK443" i="112" s="1"/>
  <c r="AX443" i="112"/>
  <c r="BJ443" i="112" s="1"/>
  <c r="J443" i="112"/>
  <c r="AH443" i="112" s="1"/>
  <c r="AU443" i="112" s="1"/>
  <c r="H443" i="112"/>
  <c r="F443" i="112"/>
  <c r="R443" i="112" s="1"/>
  <c r="AP443" i="112" s="1"/>
  <c r="B443" i="112"/>
  <c r="CQ442" i="112"/>
  <c r="BS442" i="112"/>
  <c r="BR442" i="112"/>
  <c r="BQ442" i="112"/>
  <c r="BO442" i="112"/>
  <c r="BN442" i="112"/>
  <c r="BL442" i="112"/>
  <c r="BK442" i="112"/>
  <c r="BJ442" i="112"/>
  <c r="AH442" i="112"/>
  <c r="AU442" i="112" s="1"/>
  <c r="AJ442" i="112"/>
  <c r="AW442" i="112" s="1"/>
  <c r="AI442" i="112"/>
  <c r="AV442" i="112" s="1"/>
  <c r="AG442" i="112"/>
  <c r="AT442" i="112" s="1"/>
  <c r="AB442" i="112"/>
  <c r="AA442" i="112"/>
  <c r="Z442" i="112"/>
  <c r="Y442" i="112"/>
  <c r="R442" i="112"/>
  <c r="AP442" i="112" s="1"/>
  <c r="T442" i="112"/>
  <c r="AS442" i="112" s="1"/>
  <c r="S442" i="112"/>
  <c r="AQ442" i="112" s="1"/>
  <c r="Q442" i="112"/>
  <c r="AO442" i="112" s="1"/>
  <c r="B442" i="112"/>
  <c r="A442" i="112"/>
  <c r="CQ441" i="112"/>
  <c r="BS441" i="112"/>
  <c r="BR441" i="112"/>
  <c r="BQ441" i="112"/>
  <c r="BO441" i="112"/>
  <c r="BN441" i="112"/>
  <c r="BL441" i="112"/>
  <c r="BK441" i="112"/>
  <c r="BJ441" i="112"/>
  <c r="AJ441" i="112"/>
  <c r="AW441" i="112" s="1"/>
  <c r="AI441" i="112"/>
  <c r="AV441" i="112" s="1"/>
  <c r="AH441" i="112"/>
  <c r="AU441" i="112" s="1"/>
  <c r="AG441" i="112"/>
  <c r="AT441" i="112" s="1"/>
  <c r="AB441" i="112"/>
  <c r="AA441" i="112"/>
  <c r="Z441" i="112"/>
  <c r="Y441" i="112"/>
  <c r="T441" i="112"/>
  <c r="AS441" i="112" s="1"/>
  <c r="S441" i="112"/>
  <c r="AQ441" i="112" s="1"/>
  <c r="R441" i="112"/>
  <c r="AP441" i="112" s="1"/>
  <c r="Q441" i="112"/>
  <c r="AO441" i="112" s="1"/>
  <c r="B441" i="112"/>
  <c r="A441" i="112"/>
  <c r="CQ440" i="112"/>
  <c r="BS440" i="112"/>
  <c r="BR440" i="112"/>
  <c r="BQ440" i="112"/>
  <c r="BO440" i="112"/>
  <c r="BN440" i="112"/>
  <c r="BL440" i="112"/>
  <c r="BK440" i="112"/>
  <c r="BJ440" i="112"/>
  <c r="AJ440" i="112"/>
  <c r="AW440" i="112" s="1"/>
  <c r="AI440" i="112"/>
  <c r="AV440" i="112" s="1"/>
  <c r="AH440" i="112"/>
  <c r="AU440" i="112" s="1"/>
  <c r="AG440" i="112"/>
  <c r="AT440" i="112" s="1"/>
  <c r="AA440" i="112"/>
  <c r="AB440" i="112"/>
  <c r="Z440" i="112"/>
  <c r="Y440" i="112"/>
  <c r="T440" i="112"/>
  <c r="AS440" i="112" s="1"/>
  <c r="S440" i="112"/>
  <c r="AQ440" i="112" s="1"/>
  <c r="R440" i="112"/>
  <c r="AP440" i="112" s="1"/>
  <c r="Q440" i="112"/>
  <c r="AO440" i="112" s="1"/>
  <c r="B440" i="112"/>
  <c r="A440" i="112"/>
  <c r="CQ439" i="112"/>
  <c r="BS439" i="112"/>
  <c r="BR439" i="112"/>
  <c r="BQ439" i="112"/>
  <c r="BO439" i="112"/>
  <c r="BN439" i="112"/>
  <c r="BL439" i="112"/>
  <c r="BK439" i="112"/>
  <c r="BJ439" i="112"/>
  <c r="AJ439" i="112"/>
  <c r="AW439" i="112" s="1"/>
  <c r="AI439" i="112"/>
  <c r="AV439" i="112" s="1"/>
  <c r="AH439" i="112"/>
  <c r="AU439" i="112" s="1"/>
  <c r="AG439" i="112"/>
  <c r="AT439" i="112" s="1"/>
  <c r="AB439" i="112"/>
  <c r="AA439" i="112"/>
  <c r="Z439" i="112"/>
  <c r="Y439" i="112"/>
  <c r="R439" i="112"/>
  <c r="AP439" i="112" s="1"/>
  <c r="T439" i="112"/>
  <c r="AS439" i="112" s="1"/>
  <c r="S439" i="112"/>
  <c r="AQ439" i="112" s="1"/>
  <c r="Q439" i="112"/>
  <c r="AO439" i="112" s="1"/>
  <c r="B439" i="112"/>
  <c r="A439" i="112"/>
  <c r="CQ438" i="112"/>
  <c r="BS438" i="112"/>
  <c r="BR438" i="112"/>
  <c r="BQ438" i="112"/>
  <c r="BO438" i="112"/>
  <c r="BN438" i="112"/>
  <c r="BL438" i="112"/>
  <c r="BK438" i="112"/>
  <c r="BJ438" i="112"/>
  <c r="AJ438" i="112"/>
  <c r="AW438" i="112" s="1"/>
  <c r="AI438" i="112"/>
  <c r="AV438" i="112" s="1"/>
  <c r="AH438" i="112"/>
  <c r="AU438" i="112" s="1"/>
  <c r="AG438" i="112"/>
  <c r="AT438" i="112" s="1"/>
  <c r="AA438" i="112"/>
  <c r="AB438" i="112"/>
  <c r="Z438" i="112"/>
  <c r="Y438" i="112"/>
  <c r="R438" i="112"/>
  <c r="AP438" i="112" s="1"/>
  <c r="T438" i="112"/>
  <c r="AS438" i="112" s="1"/>
  <c r="S438" i="112"/>
  <c r="AQ438" i="112" s="1"/>
  <c r="Q438" i="112"/>
  <c r="AO438" i="112" s="1"/>
  <c r="B438" i="112"/>
  <c r="A438" i="112"/>
  <c r="CQ437" i="112"/>
  <c r="BS437" i="112"/>
  <c r="BR437" i="112"/>
  <c r="BQ437" i="112"/>
  <c r="BO437" i="112"/>
  <c r="BN437" i="112"/>
  <c r="BL437" i="112"/>
  <c r="BK437" i="112"/>
  <c r="BJ437" i="112"/>
  <c r="AJ437" i="112"/>
  <c r="AW437" i="112" s="1"/>
  <c r="AI437" i="112"/>
  <c r="AV437" i="112" s="1"/>
  <c r="AH437" i="112"/>
  <c r="AU437" i="112" s="1"/>
  <c r="AG437" i="112"/>
  <c r="AT437" i="112" s="1"/>
  <c r="AA437" i="112"/>
  <c r="AB437" i="112"/>
  <c r="Z437" i="112"/>
  <c r="Y437" i="112"/>
  <c r="T437" i="112"/>
  <c r="AS437" i="112" s="1"/>
  <c r="S437" i="112"/>
  <c r="AQ437" i="112" s="1"/>
  <c r="R437" i="112"/>
  <c r="AP437" i="112" s="1"/>
  <c r="Q437" i="112"/>
  <c r="AO437" i="112" s="1"/>
  <c r="B437" i="112"/>
  <c r="A437" i="112"/>
  <c r="CQ436" i="112"/>
  <c r="BS436" i="112"/>
  <c r="BR436" i="112"/>
  <c r="BQ436" i="112"/>
  <c r="BO436" i="112"/>
  <c r="BN436" i="112"/>
  <c r="BL436" i="112"/>
  <c r="BK436" i="112"/>
  <c r="BJ436" i="112"/>
  <c r="AH436" i="112"/>
  <c r="AU436" i="112" s="1"/>
  <c r="AJ436" i="112"/>
  <c r="AW436" i="112" s="1"/>
  <c r="AI436" i="112"/>
  <c r="AV436" i="112" s="1"/>
  <c r="AG436" i="112"/>
  <c r="AT436" i="112" s="1"/>
  <c r="AB436" i="112"/>
  <c r="AA436" i="112"/>
  <c r="Z436" i="112"/>
  <c r="Y436" i="112"/>
  <c r="T436" i="112"/>
  <c r="AS436" i="112" s="1"/>
  <c r="S436" i="112"/>
  <c r="AQ436" i="112" s="1"/>
  <c r="R436" i="112"/>
  <c r="AP436" i="112" s="1"/>
  <c r="Q436" i="112"/>
  <c r="AO436" i="112" s="1"/>
  <c r="B436" i="112"/>
  <c r="A436" i="112"/>
  <c r="CQ435" i="112"/>
  <c r="BS435" i="112"/>
  <c r="BR435" i="112"/>
  <c r="BQ435" i="112"/>
  <c r="BO435" i="112"/>
  <c r="BN435" i="112"/>
  <c r="BL435" i="112"/>
  <c r="BK435" i="112"/>
  <c r="BJ435" i="112"/>
  <c r="AJ435" i="112"/>
  <c r="AW435" i="112" s="1"/>
  <c r="AI435" i="112"/>
  <c r="AV435" i="112" s="1"/>
  <c r="AH435" i="112"/>
  <c r="AU435" i="112" s="1"/>
  <c r="AG435" i="112"/>
  <c r="AT435" i="112" s="1"/>
  <c r="AA435" i="112"/>
  <c r="AB435" i="112"/>
  <c r="Z435" i="112"/>
  <c r="Y435" i="112"/>
  <c r="S435" i="112"/>
  <c r="AQ435" i="112" s="1"/>
  <c r="T435" i="112"/>
  <c r="AS435" i="112" s="1"/>
  <c r="R435" i="112"/>
  <c r="AP435" i="112" s="1"/>
  <c r="Q435" i="112"/>
  <c r="AO435" i="112" s="1"/>
  <c r="B435" i="112"/>
  <c r="A435" i="112"/>
  <c r="CQ434" i="112"/>
  <c r="BS434" i="112"/>
  <c r="BR434" i="112"/>
  <c r="BQ434" i="112"/>
  <c r="BO434" i="112"/>
  <c r="BN434" i="112"/>
  <c r="BL434" i="112"/>
  <c r="BK434" i="112"/>
  <c r="BJ434" i="112"/>
  <c r="AJ434" i="112"/>
  <c r="AW434" i="112" s="1"/>
  <c r="AI434" i="112"/>
  <c r="AV434" i="112" s="1"/>
  <c r="AH434" i="112"/>
  <c r="AU434" i="112" s="1"/>
  <c r="AG434" i="112"/>
  <c r="AT434" i="112" s="1"/>
  <c r="Z434" i="112"/>
  <c r="AB434" i="112"/>
  <c r="AA434" i="112"/>
  <c r="Y434" i="112"/>
  <c r="T434" i="112"/>
  <c r="AS434" i="112" s="1"/>
  <c r="S434" i="112"/>
  <c r="AQ434" i="112" s="1"/>
  <c r="R434" i="112"/>
  <c r="AP434" i="112" s="1"/>
  <c r="Q434" i="112"/>
  <c r="AO434" i="112" s="1"/>
  <c r="B434" i="112"/>
  <c r="A434" i="112"/>
  <c r="CQ433" i="112"/>
  <c r="BS433" i="112"/>
  <c r="BR433" i="112"/>
  <c r="BQ433" i="112"/>
  <c r="BO433" i="112"/>
  <c r="BN433" i="112"/>
  <c r="BL433" i="112"/>
  <c r="BK433" i="112"/>
  <c r="BJ433" i="112"/>
  <c r="AJ433" i="112"/>
  <c r="AW433" i="112" s="1"/>
  <c r="AI433" i="112"/>
  <c r="AV433" i="112" s="1"/>
  <c r="AH433" i="112"/>
  <c r="AU433" i="112" s="1"/>
  <c r="AG433" i="112"/>
  <c r="AT433" i="112" s="1"/>
  <c r="AB433" i="112"/>
  <c r="AA433" i="112"/>
  <c r="Z433" i="112"/>
  <c r="Y433" i="112"/>
  <c r="T433" i="112"/>
  <c r="AS433" i="112" s="1"/>
  <c r="S433" i="112"/>
  <c r="AQ433" i="112" s="1"/>
  <c r="R433" i="112"/>
  <c r="AP433" i="112" s="1"/>
  <c r="Q433" i="112"/>
  <c r="AO433" i="112" s="1"/>
  <c r="B433" i="112"/>
  <c r="A433" i="112"/>
  <c r="CQ432" i="112"/>
  <c r="BS432" i="112"/>
  <c r="BR432" i="112"/>
  <c r="BQ432" i="112"/>
  <c r="BO432" i="112"/>
  <c r="BN432" i="112"/>
  <c r="BL432" i="112"/>
  <c r="BK432" i="112"/>
  <c r="BJ432" i="112"/>
  <c r="AJ432" i="112"/>
  <c r="AW432" i="112" s="1"/>
  <c r="AI432" i="112"/>
  <c r="AV432" i="112" s="1"/>
  <c r="AH432" i="112"/>
  <c r="AU432" i="112" s="1"/>
  <c r="AG432" i="112"/>
  <c r="AT432" i="112" s="1"/>
  <c r="AB432" i="112"/>
  <c r="AA432" i="112"/>
  <c r="Z432" i="112"/>
  <c r="Y432" i="112"/>
  <c r="T432" i="112"/>
  <c r="AS432" i="112" s="1"/>
  <c r="S432" i="112"/>
  <c r="AQ432" i="112" s="1"/>
  <c r="R432" i="112"/>
  <c r="AP432" i="112" s="1"/>
  <c r="Q432" i="112"/>
  <c r="AO432" i="112" s="1"/>
  <c r="B432" i="112"/>
  <c r="A432" i="112"/>
  <c r="CQ431" i="112"/>
  <c r="BS431" i="112"/>
  <c r="BR431" i="112"/>
  <c r="BQ431" i="112"/>
  <c r="BO431" i="112"/>
  <c r="BN431" i="112"/>
  <c r="BL431" i="112"/>
  <c r="BK431" i="112"/>
  <c r="BJ431" i="112"/>
  <c r="AJ431" i="112"/>
  <c r="AW431" i="112" s="1"/>
  <c r="AI431" i="112"/>
  <c r="AV431" i="112" s="1"/>
  <c r="AH431" i="112"/>
  <c r="AU431" i="112" s="1"/>
  <c r="AG431" i="112"/>
  <c r="AT431" i="112" s="1"/>
  <c r="AB431" i="112"/>
  <c r="AA431" i="112"/>
  <c r="Z431" i="112"/>
  <c r="Y431" i="112"/>
  <c r="T431" i="112"/>
  <c r="AS431" i="112" s="1"/>
  <c r="S431" i="112"/>
  <c r="AQ431" i="112" s="1"/>
  <c r="R431" i="112"/>
  <c r="AP431" i="112" s="1"/>
  <c r="Q431" i="112"/>
  <c r="AO431" i="112" s="1"/>
  <c r="B431" i="112"/>
  <c r="A431" i="112"/>
  <c r="CQ430" i="112"/>
  <c r="BS430" i="112"/>
  <c r="BR430" i="112"/>
  <c r="BQ430" i="112"/>
  <c r="BO430" i="112"/>
  <c r="BN430" i="112"/>
  <c r="BL430" i="112"/>
  <c r="BK430" i="112"/>
  <c r="BJ430" i="112"/>
  <c r="AJ430" i="112"/>
  <c r="AW430" i="112" s="1"/>
  <c r="AI430" i="112"/>
  <c r="AV430" i="112" s="1"/>
  <c r="AH430" i="112"/>
  <c r="AU430" i="112" s="1"/>
  <c r="AG430" i="112"/>
  <c r="AT430" i="112" s="1"/>
  <c r="AB430" i="112"/>
  <c r="AA430" i="112"/>
  <c r="Z430" i="112"/>
  <c r="Y430" i="112"/>
  <c r="R430" i="112"/>
  <c r="AP430" i="112" s="1"/>
  <c r="T430" i="112"/>
  <c r="AS430" i="112" s="1"/>
  <c r="S430" i="112"/>
  <c r="AQ430" i="112" s="1"/>
  <c r="Q430" i="112"/>
  <c r="AO430" i="112" s="1"/>
  <c r="B430" i="112"/>
  <c r="A430" i="112"/>
  <c r="CQ429" i="112"/>
  <c r="BS429" i="112"/>
  <c r="BR429" i="112"/>
  <c r="BQ429" i="112"/>
  <c r="BO429" i="112"/>
  <c r="BN429" i="112"/>
  <c r="BL429" i="112"/>
  <c r="BK429" i="112"/>
  <c r="BJ429" i="112"/>
  <c r="AJ429" i="112"/>
  <c r="AW429" i="112" s="1"/>
  <c r="AI429" i="112"/>
  <c r="AV429" i="112" s="1"/>
  <c r="AH429" i="112"/>
  <c r="AU429" i="112" s="1"/>
  <c r="AG429" i="112"/>
  <c r="AT429" i="112" s="1"/>
  <c r="AA429" i="112"/>
  <c r="AB429" i="112"/>
  <c r="Z429" i="112"/>
  <c r="Y429" i="112"/>
  <c r="T429" i="112"/>
  <c r="AS429" i="112" s="1"/>
  <c r="S429" i="112"/>
  <c r="AQ429" i="112" s="1"/>
  <c r="R429" i="112"/>
  <c r="AP429" i="112" s="1"/>
  <c r="Q429" i="112"/>
  <c r="AO429" i="112" s="1"/>
  <c r="B429" i="112"/>
  <c r="A429" i="112"/>
  <c r="CQ428" i="112"/>
  <c r="BS428" i="112"/>
  <c r="BR428" i="112"/>
  <c r="BQ428" i="112"/>
  <c r="BO428" i="112"/>
  <c r="BN428" i="112"/>
  <c r="BL428" i="112"/>
  <c r="BK428" i="112"/>
  <c r="BJ428" i="112"/>
  <c r="AH428" i="112"/>
  <c r="AU428" i="112" s="1"/>
  <c r="AJ428" i="112"/>
  <c r="AW428" i="112" s="1"/>
  <c r="AI428" i="112"/>
  <c r="AV428" i="112" s="1"/>
  <c r="AG428" i="112"/>
  <c r="AT428" i="112" s="1"/>
  <c r="AB428" i="112"/>
  <c r="AA428" i="112"/>
  <c r="Z428" i="112"/>
  <c r="Y428" i="112"/>
  <c r="T428" i="112"/>
  <c r="AS428" i="112" s="1"/>
  <c r="S428" i="112"/>
  <c r="AQ428" i="112" s="1"/>
  <c r="R428" i="112"/>
  <c r="AP428" i="112" s="1"/>
  <c r="Q428" i="112"/>
  <c r="AO428" i="112" s="1"/>
  <c r="B428" i="112"/>
  <c r="A428" i="112"/>
  <c r="CQ427" i="112"/>
  <c r="BS427" i="112"/>
  <c r="BR427" i="112"/>
  <c r="BQ427" i="112"/>
  <c r="BO427" i="112"/>
  <c r="BN427" i="112"/>
  <c r="BL427" i="112"/>
  <c r="BK427" i="112"/>
  <c r="BJ427" i="112"/>
  <c r="AJ427" i="112"/>
  <c r="AW427" i="112" s="1"/>
  <c r="AI427" i="112"/>
  <c r="AV427" i="112" s="1"/>
  <c r="AH427" i="112"/>
  <c r="AU427" i="112" s="1"/>
  <c r="AG427" i="112"/>
  <c r="AT427" i="112" s="1"/>
  <c r="AA427" i="112"/>
  <c r="AB427" i="112"/>
  <c r="Z427" i="112"/>
  <c r="Y427" i="112"/>
  <c r="S427" i="112"/>
  <c r="AQ427" i="112" s="1"/>
  <c r="T427" i="112"/>
  <c r="AS427" i="112" s="1"/>
  <c r="R427" i="112"/>
  <c r="AP427" i="112" s="1"/>
  <c r="Q427" i="112"/>
  <c r="AO427" i="112" s="1"/>
  <c r="B427" i="112"/>
  <c r="A427" i="112"/>
  <c r="CQ426" i="112"/>
  <c r="BS426" i="112"/>
  <c r="BR426" i="112"/>
  <c r="BQ426" i="112"/>
  <c r="BO426" i="112"/>
  <c r="BN426" i="112"/>
  <c r="BL426" i="112"/>
  <c r="BK426" i="112"/>
  <c r="BJ426" i="112"/>
  <c r="AJ426" i="112"/>
  <c r="AW426" i="112" s="1"/>
  <c r="AI426" i="112"/>
  <c r="AV426" i="112" s="1"/>
  <c r="AH426" i="112"/>
  <c r="AU426" i="112" s="1"/>
  <c r="AG426" i="112"/>
  <c r="AT426" i="112" s="1"/>
  <c r="AB426" i="112"/>
  <c r="AA426" i="112"/>
  <c r="Z426" i="112"/>
  <c r="Y426" i="112"/>
  <c r="T426" i="112"/>
  <c r="AS426" i="112" s="1"/>
  <c r="S426" i="112"/>
  <c r="AQ426" i="112" s="1"/>
  <c r="R426" i="112"/>
  <c r="AP426" i="112" s="1"/>
  <c r="Q426" i="112"/>
  <c r="AO426" i="112" s="1"/>
  <c r="B426" i="112"/>
  <c r="A426" i="112"/>
  <c r="CQ425" i="112"/>
  <c r="BS425" i="112"/>
  <c r="BR425" i="112"/>
  <c r="BQ425" i="112"/>
  <c r="BO425" i="112"/>
  <c r="BN425" i="112"/>
  <c r="BL425" i="112"/>
  <c r="BK425" i="112"/>
  <c r="BJ425" i="112"/>
  <c r="AI425" i="112"/>
  <c r="AV425" i="112" s="1"/>
  <c r="AJ425" i="112"/>
  <c r="AW425" i="112" s="1"/>
  <c r="AH425" i="112"/>
  <c r="AU425" i="112" s="1"/>
  <c r="AG425" i="112"/>
  <c r="AT425" i="112" s="1"/>
  <c r="AB425" i="112"/>
  <c r="AA425" i="112"/>
  <c r="Z425" i="112"/>
  <c r="Y425" i="112"/>
  <c r="T425" i="112"/>
  <c r="AS425" i="112" s="1"/>
  <c r="S425" i="112"/>
  <c r="AQ425" i="112" s="1"/>
  <c r="R425" i="112"/>
  <c r="AP425" i="112" s="1"/>
  <c r="Q425" i="112"/>
  <c r="AO425" i="112" s="1"/>
  <c r="B425" i="112"/>
  <c r="A425" i="112"/>
  <c r="CQ424" i="112"/>
  <c r="BS424" i="112"/>
  <c r="BR424" i="112"/>
  <c r="BQ424" i="112"/>
  <c r="BO424" i="112"/>
  <c r="BN424" i="112"/>
  <c r="BL424" i="112"/>
  <c r="BK424" i="112"/>
  <c r="BJ424" i="112"/>
  <c r="AI424" i="112"/>
  <c r="AV424" i="112" s="1"/>
  <c r="AJ424" i="112"/>
  <c r="AW424" i="112" s="1"/>
  <c r="AH424" i="112"/>
  <c r="AU424" i="112" s="1"/>
  <c r="AG424" i="112"/>
  <c r="AT424" i="112" s="1"/>
  <c r="AB424" i="112"/>
  <c r="AA424" i="112"/>
  <c r="Z424" i="112"/>
  <c r="Y424" i="112"/>
  <c r="S424" i="112"/>
  <c r="AQ424" i="112" s="1"/>
  <c r="T424" i="112"/>
  <c r="AS424" i="112" s="1"/>
  <c r="R424" i="112"/>
  <c r="AP424" i="112" s="1"/>
  <c r="Q424" i="112"/>
  <c r="AO424" i="112" s="1"/>
  <c r="B424" i="112"/>
  <c r="A424" i="112"/>
  <c r="CQ423" i="112"/>
  <c r="BS423" i="112"/>
  <c r="BR423" i="112"/>
  <c r="BQ423" i="112"/>
  <c r="BO423" i="112"/>
  <c r="BN423" i="112"/>
  <c r="BL423" i="112"/>
  <c r="BK423" i="112"/>
  <c r="BJ423" i="112"/>
  <c r="AJ423" i="112"/>
  <c r="AW423" i="112" s="1"/>
  <c r="AI423" i="112"/>
  <c r="AV423" i="112" s="1"/>
  <c r="AH423" i="112"/>
  <c r="AU423" i="112" s="1"/>
  <c r="AG423" i="112"/>
  <c r="AT423" i="112" s="1"/>
  <c r="AA423" i="112"/>
  <c r="AB423" i="112"/>
  <c r="Z423" i="112"/>
  <c r="Y423" i="112"/>
  <c r="T423" i="112"/>
  <c r="AS423" i="112" s="1"/>
  <c r="S423" i="112"/>
  <c r="AQ423" i="112" s="1"/>
  <c r="R423" i="112"/>
  <c r="AP423" i="112" s="1"/>
  <c r="Q423" i="112"/>
  <c r="AO423" i="112" s="1"/>
  <c r="B423" i="112"/>
  <c r="A423" i="112"/>
  <c r="CQ422" i="112"/>
  <c r="BS422" i="112"/>
  <c r="BR422" i="112"/>
  <c r="BQ422" i="112"/>
  <c r="BO422" i="112"/>
  <c r="BN422" i="112"/>
  <c r="BL422" i="112"/>
  <c r="BK422" i="112"/>
  <c r="BJ422" i="112"/>
  <c r="AJ422" i="112"/>
  <c r="AW422" i="112" s="1"/>
  <c r="AI422" i="112"/>
  <c r="AV422" i="112" s="1"/>
  <c r="AH422" i="112"/>
  <c r="AU422" i="112" s="1"/>
  <c r="AG422" i="112"/>
  <c r="AT422" i="112" s="1"/>
  <c r="AB422" i="112"/>
  <c r="AA422" i="112"/>
  <c r="Z422" i="112"/>
  <c r="Y422" i="112"/>
  <c r="T422" i="112"/>
  <c r="AS422" i="112" s="1"/>
  <c r="S422" i="112"/>
  <c r="AQ422" i="112" s="1"/>
  <c r="R422" i="112"/>
  <c r="AP422" i="112" s="1"/>
  <c r="Q422" i="112"/>
  <c r="AO422" i="112" s="1"/>
  <c r="B422" i="112"/>
  <c r="A422" i="112"/>
  <c r="CQ421" i="112"/>
  <c r="BS421" i="112"/>
  <c r="BR421" i="112"/>
  <c r="BQ421" i="112"/>
  <c r="BO421" i="112"/>
  <c r="BN421" i="112"/>
  <c r="BL421" i="112"/>
  <c r="BK421" i="112"/>
  <c r="BJ421" i="112"/>
  <c r="AI421" i="112"/>
  <c r="AV421" i="112" s="1"/>
  <c r="AJ421" i="112"/>
  <c r="AW421" i="112" s="1"/>
  <c r="AH421" i="112"/>
  <c r="AU421" i="112" s="1"/>
  <c r="AG421" i="112"/>
  <c r="AT421" i="112" s="1"/>
  <c r="AB421" i="112"/>
  <c r="AA421" i="112"/>
  <c r="Z421" i="112"/>
  <c r="Y421" i="112"/>
  <c r="R421" i="112"/>
  <c r="AP421" i="112" s="1"/>
  <c r="T421" i="112"/>
  <c r="AS421" i="112" s="1"/>
  <c r="S421" i="112"/>
  <c r="AQ421" i="112" s="1"/>
  <c r="Q421" i="112"/>
  <c r="AO421" i="112" s="1"/>
  <c r="B421" i="112"/>
  <c r="A421" i="112"/>
  <c r="CQ420" i="112"/>
  <c r="BS420" i="112"/>
  <c r="BR420" i="112"/>
  <c r="BQ420" i="112"/>
  <c r="BO420" i="112"/>
  <c r="BN420" i="112"/>
  <c r="BL420" i="112"/>
  <c r="BK420" i="112"/>
  <c r="BJ420" i="112"/>
  <c r="AI420" i="112"/>
  <c r="AV420" i="112" s="1"/>
  <c r="AJ420" i="112"/>
  <c r="AW420" i="112" s="1"/>
  <c r="AH420" i="112"/>
  <c r="AU420" i="112" s="1"/>
  <c r="AG420" i="112"/>
  <c r="AT420" i="112" s="1"/>
  <c r="AB420" i="112"/>
  <c r="AA420" i="112"/>
  <c r="Z420" i="112"/>
  <c r="Y420" i="112"/>
  <c r="T420" i="112"/>
  <c r="AS420" i="112" s="1"/>
  <c r="S420" i="112"/>
  <c r="AQ420" i="112" s="1"/>
  <c r="R420" i="112"/>
  <c r="AP420" i="112" s="1"/>
  <c r="Q420" i="112"/>
  <c r="AO420" i="112" s="1"/>
  <c r="B420" i="112"/>
  <c r="A420" i="112"/>
  <c r="CQ419" i="112"/>
  <c r="BS419" i="112"/>
  <c r="BR419" i="112"/>
  <c r="BQ419" i="112"/>
  <c r="BO419" i="112"/>
  <c r="BN419" i="112"/>
  <c r="BL419" i="112"/>
  <c r="BK419" i="112"/>
  <c r="BJ419" i="112"/>
  <c r="AJ419" i="112"/>
  <c r="AW419" i="112" s="1"/>
  <c r="AI419" i="112"/>
  <c r="AV419" i="112" s="1"/>
  <c r="AH419" i="112"/>
  <c r="AU419" i="112" s="1"/>
  <c r="AG419" i="112"/>
  <c r="AT419" i="112" s="1"/>
  <c r="AB419" i="112"/>
  <c r="AA419" i="112"/>
  <c r="Z419" i="112"/>
  <c r="Y419" i="112"/>
  <c r="S419" i="112"/>
  <c r="AQ419" i="112" s="1"/>
  <c r="T419" i="112"/>
  <c r="AS419" i="112" s="1"/>
  <c r="R419" i="112"/>
  <c r="AP419" i="112" s="1"/>
  <c r="Q419" i="112"/>
  <c r="AO419" i="112" s="1"/>
  <c r="B419" i="112"/>
  <c r="A419" i="112"/>
  <c r="CQ418" i="112"/>
  <c r="BS418" i="112"/>
  <c r="BR418" i="112"/>
  <c r="BQ418" i="112"/>
  <c r="BO418" i="112"/>
  <c r="BN418" i="112"/>
  <c r="BL418" i="112"/>
  <c r="BK418" i="112"/>
  <c r="BJ418" i="112"/>
  <c r="AJ418" i="112"/>
  <c r="AW418" i="112" s="1"/>
  <c r="AI418" i="112"/>
  <c r="AV418" i="112" s="1"/>
  <c r="AH418" i="112"/>
  <c r="AU418" i="112" s="1"/>
  <c r="AG418" i="112"/>
  <c r="AT418" i="112" s="1"/>
  <c r="AB418" i="112"/>
  <c r="AA418" i="112"/>
  <c r="Z418" i="112"/>
  <c r="Y418" i="112"/>
  <c r="T418" i="112"/>
  <c r="AS418" i="112" s="1"/>
  <c r="S418" i="112"/>
  <c r="AQ418" i="112" s="1"/>
  <c r="R418" i="112"/>
  <c r="AP418" i="112" s="1"/>
  <c r="Q418" i="112"/>
  <c r="AO418" i="112" s="1"/>
  <c r="B418" i="112"/>
  <c r="A418" i="112"/>
  <c r="CQ417" i="112"/>
  <c r="BS417" i="112"/>
  <c r="BR417" i="112"/>
  <c r="BQ417" i="112"/>
  <c r="BO417" i="112"/>
  <c r="BN417" i="112"/>
  <c r="BL417" i="112"/>
  <c r="BK417" i="112"/>
  <c r="BJ417" i="112"/>
  <c r="AJ417" i="112"/>
  <c r="AW417" i="112" s="1"/>
  <c r="AI417" i="112"/>
  <c r="AV417" i="112" s="1"/>
  <c r="AH417" i="112"/>
  <c r="AU417" i="112" s="1"/>
  <c r="AG417" i="112"/>
  <c r="AT417" i="112" s="1"/>
  <c r="AB417" i="112"/>
  <c r="AA417" i="112"/>
  <c r="Z417" i="112"/>
  <c r="Y417" i="112"/>
  <c r="S417" i="112"/>
  <c r="AQ417" i="112" s="1"/>
  <c r="T417" i="112"/>
  <c r="AS417" i="112" s="1"/>
  <c r="R417" i="112"/>
  <c r="AP417" i="112" s="1"/>
  <c r="Q417" i="112"/>
  <c r="AO417" i="112" s="1"/>
  <c r="B417" i="112"/>
  <c r="A417" i="112"/>
  <c r="CQ416" i="112"/>
  <c r="BS416" i="112"/>
  <c r="BR416" i="112"/>
  <c r="BQ416" i="112"/>
  <c r="BO416" i="112"/>
  <c r="BN416" i="112"/>
  <c r="BL416" i="112"/>
  <c r="BK416" i="112"/>
  <c r="BJ416" i="112"/>
  <c r="AH416" i="112"/>
  <c r="AU416" i="112" s="1"/>
  <c r="AJ416" i="112"/>
  <c r="AW416" i="112" s="1"/>
  <c r="AI416" i="112"/>
  <c r="AV416" i="112" s="1"/>
  <c r="AG416" i="112"/>
  <c r="AT416" i="112" s="1"/>
  <c r="AB416" i="112"/>
  <c r="AA416" i="112"/>
  <c r="Z416" i="112"/>
  <c r="Y416" i="112"/>
  <c r="T416" i="112"/>
  <c r="AS416" i="112" s="1"/>
  <c r="S416" i="112"/>
  <c r="AQ416" i="112" s="1"/>
  <c r="R416" i="112"/>
  <c r="AP416" i="112" s="1"/>
  <c r="Q416" i="112"/>
  <c r="AO416" i="112" s="1"/>
  <c r="B416" i="112"/>
  <c r="A416" i="112"/>
  <c r="CQ415" i="112"/>
  <c r="BS415" i="112"/>
  <c r="BR415" i="112"/>
  <c r="BQ415" i="112"/>
  <c r="BO415" i="112"/>
  <c r="BN415" i="112"/>
  <c r="BL415" i="112"/>
  <c r="BK415" i="112"/>
  <c r="BJ415" i="112"/>
  <c r="AJ415" i="112"/>
  <c r="AW415" i="112" s="1"/>
  <c r="AI415" i="112"/>
  <c r="AV415" i="112" s="1"/>
  <c r="AH415" i="112"/>
  <c r="AU415" i="112" s="1"/>
  <c r="AG415" i="112"/>
  <c r="AT415" i="112" s="1"/>
  <c r="AB415" i="112"/>
  <c r="AA415" i="112"/>
  <c r="Z415" i="112"/>
  <c r="Y415" i="112"/>
  <c r="T415" i="112"/>
  <c r="AS415" i="112" s="1"/>
  <c r="S415" i="112"/>
  <c r="AQ415" i="112" s="1"/>
  <c r="R415" i="112"/>
  <c r="AP415" i="112" s="1"/>
  <c r="Q415" i="112"/>
  <c r="AO415" i="112" s="1"/>
  <c r="B415" i="112"/>
  <c r="A415" i="112"/>
  <c r="CQ414" i="112"/>
  <c r="BS414" i="112"/>
  <c r="BR414" i="112"/>
  <c r="BQ414" i="112"/>
  <c r="BO414" i="112"/>
  <c r="BN414" i="112"/>
  <c r="BL414" i="112"/>
  <c r="BK414" i="112"/>
  <c r="BJ414" i="112"/>
  <c r="AJ414" i="112"/>
  <c r="AW414" i="112" s="1"/>
  <c r="AI414" i="112"/>
  <c r="AV414" i="112" s="1"/>
  <c r="AH414" i="112"/>
  <c r="AU414" i="112" s="1"/>
  <c r="AG414" i="112"/>
  <c r="AT414" i="112" s="1"/>
  <c r="AB414" i="112"/>
  <c r="AA414" i="112"/>
  <c r="Z414" i="112"/>
  <c r="Y414" i="112"/>
  <c r="T414" i="112"/>
  <c r="AS414" i="112" s="1"/>
  <c r="S414" i="112"/>
  <c r="AQ414" i="112" s="1"/>
  <c r="R414" i="112"/>
  <c r="AP414" i="112" s="1"/>
  <c r="Q414" i="112"/>
  <c r="AO414" i="112" s="1"/>
  <c r="B414" i="112"/>
  <c r="A414" i="112"/>
  <c r="CQ413" i="112"/>
  <c r="BS413" i="112"/>
  <c r="BR413" i="112"/>
  <c r="BQ413" i="112"/>
  <c r="BO413" i="112"/>
  <c r="BN413" i="112"/>
  <c r="BL413" i="112"/>
  <c r="BK413" i="112"/>
  <c r="BJ413" i="112"/>
  <c r="AI413" i="112"/>
  <c r="AV413" i="112" s="1"/>
  <c r="AJ413" i="112"/>
  <c r="AW413" i="112" s="1"/>
  <c r="AH413" i="112"/>
  <c r="AU413" i="112" s="1"/>
  <c r="AG413" i="112"/>
  <c r="AT413" i="112" s="1"/>
  <c r="AB413" i="112"/>
  <c r="AA413" i="112"/>
  <c r="Z413" i="112"/>
  <c r="Y413" i="112"/>
  <c r="S413" i="112"/>
  <c r="AQ413" i="112" s="1"/>
  <c r="T413" i="112"/>
  <c r="AS413" i="112" s="1"/>
  <c r="R413" i="112"/>
  <c r="AP413" i="112" s="1"/>
  <c r="Q413" i="112"/>
  <c r="AO413" i="112" s="1"/>
  <c r="B413" i="112"/>
  <c r="A413" i="112"/>
  <c r="CQ412" i="112"/>
  <c r="BS412" i="112"/>
  <c r="BR412" i="112"/>
  <c r="BQ412" i="112"/>
  <c r="BO412" i="112"/>
  <c r="BN412" i="112"/>
  <c r="BL412" i="112"/>
  <c r="BK412" i="112"/>
  <c r="BJ412" i="112"/>
  <c r="AJ412" i="112"/>
  <c r="AW412" i="112" s="1"/>
  <c r="AI412" i="112"/>
  <c r="AV412" i="112" s="1"/>
  <c r="AH412" i="112"/>
  <c r="AU412" i="112" s="1"/>
  <c r="AG412" i="112"/>
  <c r="AT412" i="112" s="1"/>
  <c r="AB412" i="112"/>
  <c r="AA412" i="112"/>
  <c r="Z412" i="112"/>
  <c r="Y412" i="112"/>
  <c r="T412" i="112"/>
  <c r="AS412" i="112" s="1"/>
  <c r="S412" i="112"/>
  <c r="AQ412" i="112" s="1"/>
  <c r="R412" i="112"/>
  <c r="AP412" i="112" s="1"/>
  <c r="Q412" i="112"/>
  <c r="AO412" i="112" s="1"/>
  <c r="B412" i="112"/>
  <c r="A412" i="112"/>
  <c r="CQ411" i="112"/>
  <c r="BS411" i="112"/>
  <c r="BR411" i="112"/>
  <c r="BQ411" i="112"/>
  <c r="BO411" i="112"/>
  <c r="BN411" i="112"/>
  <c r="BL411" i="112"/>
  <c r="BK411" i="112"/>
  <c r="BJ411" i="112"/>
  <c r="AJ411" i="112"/>
  <c r="AW411" i="112" s="1"/>
  <c r="AI411" i="112"/>
  <c r="AV411" i="112" s="1"/>
  <c r="AH411" i="112"/>
  <c r="AU411" i="112" s="1"/>
  <c r="AG411" i="112"/>
  <c r="AT411" i="112" s="1"/>
  <c r="AB411" i="112"/>
  <c r="AA411" i="112"/>
  <c r="Z411" i="112"/>
  <c r="Y411" i="112"/>
  <c r="T411" i="112"/>
  <c r="AS411" i="112" s="1"/>
  <c r="S411" i="112"/>
  <c r="AQ411" i="112" s="1"/>
  <c r="R411" i="112"/>
  <c r="AP411" i="112" s="1"/>
  <c r="Q411" i="112"/>
  <c r="AO411" i="112" s="1"/>
  <c r="B411" i="112"/>
  <c r="A411" i="112"/>
  <c r="CQ410" i="112"/>
  <c r="BS410" i="112"/>
  <c r="BR410" i="112"/>
  <c r="BQ410" i="112"/>
  <c r="BO410" i="112"/>
  <c r="BN410" i="112"/>
  <c r="BL410" i="112"/>
  <c r="BK410" i="112"/>
  <c r="BJ410" i="112"/>
  <c r="AI410" i="112"/>
  <c r="AV410" i="112" s="1"/>
  <c r="AJ410" i="112"/>
  <c r="AW410" i="112" s="1"/>
  <c r="AH410" i="112"/>
  <c r="AU410" i="112" s="1"/>
  <c r="AG410" i="112"/>
  <c r="AT410" i="112" s="1"/>
  <c r="AB410" i="112"/>
  <c r="AA410" i="112"/>
  <c r="Z410" i="112"/>
  <c r="Y410" i="112"/>
  <c r="T410" i="112"/>
  <c r="AS410" i="112" s="1"/>
  <c r="S410" i="112"/>
  <c r="AQ410" i="112" s="1"/>
  <c r="R410" i="112"/>
  <c r="AP410" i="112" s="1"/>
  <c r="Q410" i="112"/>
  <c r="AO410" i="112" s="1"/>
  <c r="B410" i="112"/>
  <c r="A410" i="112"/>
  <c r="CQ409" i="112"/>
  <c r="BS409" i="112"/>
  <c r="BR409" i="112"/>
  <c r="BQ409" i="112"/>
  <c r="BO409" i="112"/>
  <c r="BN409" i="112"/>
  <c r="BL409" i="112"/>
  <c r="BK409" i="112"/>
  <c r="BJ409" i="112"/>
  <c r="AJ409" i="112"/>
  <c r="AW409" i="112" s="1"/>
  <c r="AI409" i="112"/>
  <c r="AV409" i="112" s="1"/>
  <c r="AH409" i="112"/>
  <c r="AU409" i="112" s="1"/>
  <c r="AG409" i="112"/>
  <c r="AT409" i="112" s="1"/>
  <c r="AB409" i="112"/>
  <c r="AA409" i="112"/>
  <c r="Z409" i="112"/>
  <c r="Y409" i="112"/>
  <c r="T409" i="112"/>
  <c r="AS409" i="112" s="1"/>
  <c r="S409" i="112"/>
  <c r="AQ409" i="112" s="1"/>
  <c r="R409" i="112"/>
  <c r="AP409" i="112" s="1"/>
  <c r="Q409" i="112"/>
  <c r="AO409" i="112" s="1"/>
  <c r="B409" i="112"/>
  <c r="A409" i="112"/>
  <c r="CQ408" i="112"/>
  <c r="BS408" i="112"/>
  <c r="BR408" i="112"/>
  <c r="BQ408" i="112"/>
  <c r="BO408" i="112"/>
  <c r="BN408" i="112"/>
  <c r="BL408" i="112"/>
  <c r="BK408" i="112"/>
  <c r="BJ408" i="112"/>
  <c r="AJ408" i="112"/>
  <c r="AW408" i="112" s="1"/>
  <c r="AI408" i="112"/>
  <c r="AV408" i="112" s="1"/>
  <c r="AH408" i="112"/>
  <c r="AU408" i="112" s="1"/>
  <c r="AG408" i="112"/>
  <c r="AT408" i="112" s="1"/>
  <c r="AB408" i="112"/>
  <c r="AA408" i="112"/>
  <c r="Z408" i="112"/>
  <c r="Y408" i="112"/>
  <c r="T408" i="112"/>
  <c r="AS408" i="112" s="1"/>
  <c r="S408" i="112"/>
  <c r="AQ408" i="112" s="1"/>
  <c r="R408" i="112"/>
  <c r="AP408" i="112" s="1"/>
  <c r="Q408" i="112"/>
  <c r="AO408" i="112" s="1"/>
  <c r="B408" i="112"/>
  <c r="A408" i="112"/>
  <c r="CQ407" i="112"/>
  <c r="BS407" i="112"/>
  <c r="BR407" i="112"/>
  <c r="BQ407" i="112"/>
  <c r="BO407" i="112"/>
  <c r="BN407" i="112"/>
  <c r="BL407" i="112"/>
  <c r="BK407" i="112"/>
  <c r="BJ407" i="112"/>
  <c r="AJ407" i="112"/>
  <c r="AW407" i="112" s="1"/>
  <c r="AI407" i="112"/>
  <c r="AV407" i="112" s="1"/>
  <c r="AH407" i="112"/>
  <c r="AU407" i="112" s="1"/>
  <c r="AG407" i="112"/>
  <c r="AT407" i="112" s="1"/>
  <c r="AA407" i="112"/>
  <c r="AB407" i="112"/>
  <c r="Z407" i="112"/>
  <c r="Y407" i="112"/>
  <c r="T407" i="112"/>
  <c r="AS407" i="112" s="1"/>
  <c r="S407" i="112"/>
  <c r="AQ407" i="112" s="1"/>
  <c r="R407" i="112"/>
  <c r="AP407" i="112" s="1"/>
  <c r="Q407" i="112"/>
  <c r="AO407" i="112" s="1"/>
  <c r="B407" i="112"/>
  <c r="A407" i="112"/>
  <c r="CQ406" i="112"/>
  <c r="BS406" i="112"/>
  <c r="BR406" i="112"/>
  <c r="BQ406" i="112"/>
  <c r="BO406" i="112"/>
  <c r="BN406" i="112"/>
  <c r="BL406" i="112"/>
  <c r="BK406" i="112"/>
  <c r="BJ406" i="112"/>
  <c r="AJ406" i="112"/>
  <c r="AW406" i="112" s="1"/>
  <c r="AI406" i="112"/>
  <c r="AV406" i="112" s="1"/>
  <c r="AH406" i="112"/>
  <c r="AU406" i="112" s="1"/>
  <c r="AG406" i="112"/>
  <c r="AT406" i="112" s="1"/>
  <c r="AB406" i="112"/>
  <c r="AA406" i="112"/>
  <c r="Z406" i="112"/>
  <c r="Y406" i="112"/>
  <c r="T406" i="112"/>
  <c r="AS406" i="112" s="1"/>
  <c r="S406" i="112"/>
  <c r="AQ406" i="112" s="1"/>
  <c r="R406" i="112"/>
  <c r="AP406" i="112" s="1"/>
  <c r="Q406" i="112"/>
  <c r="AO406" i="112" s="1"/>
  <c r="B406" i="112"/>
  <c r="A406" i="112"/>
  <c r="CQ405" i="112"/>
  <c r="BS405" i="112"/>
  <c r="BR405" i="112"/>
  <c r="BQ405" i="112"/>
  <c r="BO405" i="112"/>
  <c r="BN405" i="112"/>
  <c r="BL405" i="112"/>
  <c r="BK405" i="112"/>
  <c r="BJ405" i="112"/>
  <c r="AJ405" i="112"/>
  <c r="AW405" i="112" s="1"/>
  <c r="AI405" i="112"/>
  <c r="AV405" i="112" s="1"/>
  <c r="AH405" i="112"/>
  <c r="AU405" i="112" s="1"/>
  <c r="AG405" i="112"/>
  <c r="AT405" i="112" s="1"/>
  <c r="AB405" i="112"/>
  <c r="AA405" i="112"/>
  <c r="Z405" i="112"/>
  <c r="Y405" i="112"/>
  <c r="T405" i="112"/>
  <c r="AS405" i="112" s="1"/>
  <c r="S405" i="112"/>
  <c r="AQ405" i="112" s="1"/>
  <c r="R405" i="112"/>
  <c r="AP405" i="112" s="1"/>
  <c r="Q405" i="112"/>
  <c r="AO405" i="112" s="1"/>
  <c r="B405" i="112"/>
  <c r="A405" i="112"/>
  <c r="CQ404" i="112"/>
  <c r="BS404" i="112"/>
  <c r="BR404" i="112"/>
  <c r="BQ404" i="112"/>
  <c r="BO404" i="112"/>
  <c r="BN404" i="112"/>
  <c r="BL404" i="112"/>
  <c r="BK404" i="112"/>
  <c r="BJ404" i="112"/>
  <c r="AJ404" i="112"/>
  <c r="AW404" i="112" s="1"/>
  <c r="AI404" i="112"/>
  <c r="AV404" i="112" s="1"/>
  <c r="AH404" i="112"/>
  <c r="AU404" i="112" s="1"/>
  <c r="AG404" i="112"/>
  <c r="AT404" i="112" s="1"/>
  <c r="AB404" i="112"/>
  <c r="AA404" i="112"/>
  <c r="Z404" i="112"/>
  <c r="Y404" i="112"/>
  <c r="T404" i="112"/>
  <c r="AS404" i="112" s="1"/>
  <c r="S404" i="112"/>
  <c r="AQ404" i="112" s="1"/>
  <c r="R404" i="112"/>
  <c r="AP404" i="112" s="1"/>
  <c r="Q404" i="112"/>
  <c r="AO404" i="112" s="1"/>
  <c r="B404" i="112"/>
  <c r="A404" i="112"/>
  <c r="CQ403" i="112"/>
  <c r="BS403" i="112"/>
  <c r="BR403" i="112"/>
  <c r="BQ403" i="112"/>
  <c r="BO403" i="112"/>
  <c r="BN403" i="112"/>
  <c r="BL403" i="112"/>
  <c r="BK403" i="112"/>
  <c r="BJ403" i="112"/>
  <c r="AJ403" i="112"/>
  <c r="AW403" i="112" s="1"/>
  <c r="AI403" i="112"/>
  <c r="AV403" i="112" s="1"/>
  <c r="AH403" i="112"/>
  <c r="AU403" i="112" s="1"/>
  <c r="AG403" i="112"/>
  <c r="AT403" i="112" s="1"/>
  <c r="AB403" i="112"/>
  <c r="AA403" i="112"/>
  <c r="Z403" i="112"/>
  <c r="Y403" i="112"/>
  <c r="R403" i="112"/>
  <c r="AP403" i="112" s="1"/>
  <c r="T403" i="112"/>
  <c r="AS403" i="112" s="1"/>
  <c r="S403" i="112"/>
  <c r="AQ403" i="112" s="1"/>
  <c r="Q403" i="112"/>
  <c r="AO403" i="112" s="1"/>
  <c r="B403" i="112"/>
  <c r="A403" i="112"/>
  <c r="CQ402" i="112"/>
  <c r="BS402" i="112"/>
  <c r="BR402" i="112"/>
  <c r="BQ402" i="112"/>
  <c r="BO402" i="112"/>
  <c r="BN402" i="112"/>
  <c r="BL402" i="112"/>
  <c r="BK402" i="112"/>
  <c r="BJ402" i="112"/>
  <c r="AJ402" i="112"/>
  <c r="AW402" i="112" s="1"/>
  <c r="AI402" i="112"/>
  <c r="AV402" i="112" s="1"/>
  <c r="AH402" i="112"/>
  <c r="AU402" i="112" s="1"/>
  <c r="AG402" i="112"/>
  <c r="AT402" i="112" s="1"/>
  <c r="AB402" i="112"/>
  <c r="AA402" i="112"/>
  <c r="Z402" i="112"/>
  <c r="Y402" i="112"/>
  <c r="T402" i="112"/>
  <c r="AS402" i="112" s="1"/>
  <c r="S402" i="112"/>
  <c r="AQ402" i="112" s="1"/>
  <c r="R402" i="112"/>
  <c r="AP402" i="112" s="1"/>
  <c r="Q402" i="112"/>
  <c r="AO402" i="112" s="1"/>
  <c r="B402" i="112"/>
  <c r="A402" i="112"/>
  <c r="CQ401" i="112"/>
  <c r="BS401" i="112"/>
  <c r="BR401" i="112"/>
  <c r="BQ401" i="112"/>
  <c r="BO401" i="112"/>
  <c r="BN401" i="112"/>
  <c r="BL401" i="112"/>
  <c r="BK401" i="112"/>
  <c r="BJ401" i="112"/>
  <c r="AH401" i="112"/>
  <c r="AU401" i="112" s="1"/>
  <c r="AJ401" i="112"/>
  <c r="AW401" i="112" s="1"/>
  <c r="AI401" i="112"/>
  <c r="AV401" i="112" s="1"/>
  <c r="AG401" i="112"/>
  <c r="AT401" i="112" s="1"/>
  <c r="AB401" i="112"/>
  <c r="AA401" i="112"/>
  <c r="Z401" i="112"/>
  <c r="Y401" i="112"/>
  <c r="T401" i="112"/>
  <c r="AS401" i="112" s="1"/>
  <c r="S401" i="112"/>
  <c r="AQ401" i="112" s="1"/>
  <c r="R401" i="112"/>
  <c r="AP401" i="112" s="1"/>
  <c r="Q401" i="112"/>
  <c r="AO401" i="112" s="1"/>
  <c r="B401" i="112"/>
  <c r="A401" i="112"/>
  <c r="CQ400" i="112"/>
  <c r="BS400" i="112"/>
  <c r="BR400" i="112"/>
  <c r="BQ400" i="112"/>
  <c r="BO400" i="112"/>
  <c r="BN400" i="112"/>
  <c r="BL400" i="112"/>
  <c r="BK400" i="112"/>
  <c r="BJ400" i="112"/>
  <c r="AJ400" i="112"/>
  <c r="AW400" i="112" s="1"/>
  <c r="AI400" i="112"/>
  <c r="AV400" i="112" s="1"/>
  <c r="AH400" i="112"/>
  <c r="AU400" i="112" s="1"/>
  <c r="AG400" i="112"/>
  <c r="AT400" i="112" s="1"/>
  <c r="AA400" i="112"/>
  <c r="AB400" i="112"/>
  <c r="Z400" i="112"/>
  <c r="Y400" i="112"/>
  <c r="R400" i="112"/>
  <c r="AP400" i="112" s="1"/>
  <c r="T400" i="112"/>
  <c r="AS400" i="112" s="1"/>
  <c r="S400" i="112"/>
  <c r="AQ400" i="112" s="1"/>
  <c r="Q400" i="112"/>
  <c r="AO400" i="112" s="1"/>
  <c r="B400" i="112"/>
  <c r="A400" i="112"/>
  <c r="CQ399" i="112"/>
  <c r="BS399" i="112"/>
  <c r="BR399" i="112"/>
  <c r="BQ399" i="112"/>
  <c r="BO399" i="112"/>
  <c r="BN399" i="112"/>
  <c r="BL399" i="112"/>
  <c r="BK399" i="112"/>
  <c r="BJ399" i="112"/>
  <c r="AJ399" i="112"/>
  <c r="AW399" i="112" s="1"/>
  <c r="AI399" i="112"/>
  <c r="AV399" i="112" s="1"/>
  <c r="AH399" i="112"/>
  <c r="AU399" i="112" s="1"/>
  <c r="AG399" i="112"/>
  <c r="AT399" i="112" s="1"/>
  <c r="AB399" i="112"/>
  <c r="AA399" i="112"/>
  <c r="Z399" i="112"/>
  <c r="Y399" i="112"/>
  <c r="T399" i="112"/>
  <c r="AS399" i="112" s="1"/>
  <c r="S399" i="112"/>
  <c r="AQ399" i="112" s="1"/>
  <c r="R399" i="112"/>
  <c r="AP399" i="112" s="1"/>
  <c r="Q399" i="112"/>
  <c r="AO399" i="112" s="1"/>
  <c r="B399" i="112"/>
  <c r="A399" i="112"/>
  <c r="CQ398" i="112"/>
  <c r="BS398" i="112"/>
  <c r="BR398" i="112"/>
  <c r="BQ398" i="112"/>
  <c r="BO398" i="112"/>
  <c r="BN398" i="112"/>
  <c r="BL398" i="112"/>
  <c r="BK398" i="112"/>
  <c r="BJ398" i="112"/>
  <c r="AJ398" i="112"/>
  <c r="AW398" i="112" s="1"/>
  <c r="AI398" i="112"/>
  <c r="AV398" i="112" s="1"/>
  <c r="AH398" i="112"/>
  <c r="AU398" i="112" s="1"/>
  <c r="AG398" i="112"/>
  <c r="AT398" i="112" s="1"/>
  <c r="AB398" i="112"/>
  <c r="AA398" i="112"/>
  <c r="Z398" i="112"/>
  <c r="Y398" i="112"/>
  <c r="T398" i="112"/>
  <c r="AS398" i="112" s="1"/>
  <c r="S398" i="112"/>
  <c r="AQ398" i="112" s="1"/>
  <c r="R398" i="112"/>
  <c r="AP398" i="112" s="1"/>
  <c r="Q398" i="112"/>
  <c r="AO398" i="112" s="1"/>
  <c r="B398" i="112"/>
  <c r="A398" i="112"/>
  <c r="CQ397" i="112"/>
  <c r="BS397" i="112"/>
  <c r="BR397" i="112"/>
  <c r="BQ397" i="112"/>
  <c r="BO397" i="112"/>
  <c r="BN397" i="112"/>
  <c r="BL397" i="112"/>
  <c r="BK397" i="112"/>
  <c r="BJ397" i="112"/>
  <c r="AJ397" i="112"/>
  <c r="AW397" i="112" s="1"/>
  <c r="AI397" i="112"/>
  <c r="AV397" i="112" s="1"/>
  <c r="AH397" i="112"/>
  <c r="AU397" i="112" s="1"/>
  <c r="AG397" i="112"/>
  <c r="AT397" i="112" s="1"/>
  <c r="Z397" i="112"/>
  <c r="AB397" i="112"/>
  <c r="AA397" i="112"/>
  <c r="Y397" i="112"/>
  <c r="T397" i="112"/>
  <c r="AS397" i="112" s="1"/>
  <c r="S397" i="112"/>
  <c r="AQ397" i="112" s="1"/>
  <c r="R397" i="112"/>
  <c r="AP397" i="112" s="1"/>
  <c r="Q397" i="112"/>
  <c r="AO397" i="112" s="1"/>
  <c r="B397" i="112"/>
  <c r="A397" i="112"/>
  <c r="CQ396" i="112"/>
  <c r="BS396" i="112"/>
  <c r="BR396" i="112"/>
  <c r="BQ396" i="112"/>
  <c r="BO396" i="112"/>
  <c r="BN396" i="112"/>
  <c r="BL396" i="112"/>
  <c r="BK396" i="112"/>
  <c r="BJ396" i="112"/>
  <c r="AI396" i="112"/>
  <c r="AV396" i="112" s="1"/>
  <c r="AJ396" i="112"/>
  <c r="AW396" i="112" s="1"/>
  <c r="AH396" i="112"/>
  <c r="AU396" i="112" s="1"/>
  <c r="AG396" i="112"/>
  <c r="AT396" i="112" s="1"/>
  <c r="AB396" i="112"/>
  <c r="AA396" i="112"/>
  <c r="Z396" i="112"/>
  <c r="Y396" i="112"/>
  <c r="T396" i="112"/>
  <c r="AS396" i="112" s="1"/>
  <c r="S396" i="112"/>
  <c r="AQ396" i="112" s="1"/>
  <c r="R396" i="112"/>
  <c r="AP396" i="112" s="1"/>
  <c r="Q396" i="112"/>
  <c r="AO396" i="112" s="1"/>
  <c r="B396" i="112"/>
  <c r="A396" i="112"/>
  <c r="CQ395" i="112"/>
  <c r="BS395" i="112"/>
  <c r="BR395" i="112"/>
  <c r="BQ395" i="112"/>
  <c r="BO395" i="112"/>
  <c r="BN395" i="112"/>
  <c r="BL395" i="112"/>
  <c r="BK395" i="112"/>
  <c r="BJ395" i="112"/>
  <c r="AJ395" i="112"/>
  <c r="AW395" i="112" s="1"/>
  <c r="AI395" i="112"/>
  <c r="AV395" i="112" s="1"/>
  <c r="AH395" i="112"/>
  <c r="AU395" i="112" s="1"/>
  <c r="AG395" i="112"/>
  <c r="AT395" i="112" s="1"/>
  <c r="AB395" i="112"/>
  <c r="AA395" i="112"/>
  <c r="Z395" i="112"/>
  <c r="Y395" i="112"/>
  <c r="T395" i="112"/>
  <c r="AS395" i="112" s="1"/>
  <c r="S395" i="112"/>
  <c r="AQ395" i="112" s="1"/>
  <c r="R395" i="112"/>
  <c r="AP395" i="112" s="1"/>
  <c r="Q395" i="112"/>
  <c r="AO395" i="112" s="1"/>
  <c r="B395" i="112"/>
  <c r="A395" i="112"/>
  <c r="CQ394" i="112"/>
  <c r="BS394" i="112"/>
  <c r="BR394" i="112"/>
  <c r="BQ394" i="112"/>
  <c r="BO394" i="112"/>
  <c r="BN394" i="112"/>
  <c r="BL394" i="112"/>
  <c r="BK394" i="112"/>
  <c r="BJ394" i="112"/>
  <c r="AJ394" i="112"/>
  <c r="AW394" i="112" s="1"/>
  <c r="AI394" i="112"/>
  <c r="AV394" i="112" s="1"/>
  <c r="AH394" i="112"/>
  <c r="AU394" i="112" s="1"/>
  <c r="AG394" i="112"/>
  <c r="AT394" i="112" s="1"/>
  <c r="AA394" i="112"/>
  <c r="AB394" i="112"/>
  <c r="Z394" i="112"/>
  <c r="Y394" i="112"/>
  <c r="T394" i="112"/>
  <c r="AS394" i="112" s="1"/>
  <c r="S394" i="112"/>
  <c r="AQ394" i="112" s="1"/>
  <c r="R394" i="112"/>
  <c r="AP394" i="112" s="1"/>
  <c r="Q394" i="112"/>
  <c r="AO394" i="112" s="1"/>
  <c r="B394" i="112"/>
  <c r="A394" i="112"/>
  <c r="CQ393" i="112"/>
  <c r="BS393" i="112"/>
  <c r="BR393" i="112"/>
  <c r="BQ393" i="112"/>
  <c r="BO393" i="112"/>
  <c r="BN393" i="112"/>
  <c r="BL393" i="112"/>
  <c r="BK393" i="112"/>
  <c r="BJ393" i="112"/>
  <c r="AH393" i="112"/>
  <c r="AU393" i="112" s="1"/>
  <c r="AJ393" i="112"/>
  <c r="AW393" i="112" s="1"/>
  <c r="AI393" i="112"/>
  <c r="AV393" i="112" s="1"/>
  <c r="AG393" i="112"/>
  <c r="AT393" i="112" s="1"/>
  <c r="AB393" i="112"/>
  <c r="AA393" i="112"/>
  <c r="Z393" i="112"/>
  <c r="Y393" i="112"/>
  <c r="T393" i="112"/>
  <c r="AS393" i="112" s="1"/>
  <c r="S393" i="112"/>
  <c r="AQ393" i="112" s="1"/>
  <c r="R393" i="112"/>
  <c r="AP393" i="112" s="1"/>
  <c r="Q393" i="112"/>
  <c r="AO393" i="112" s="1"/>
  <c r="B393" i="112"/>
  <c r="A393" i="112"/>
  <c r="CQ392" i="112"/>
  <c r="BS392" i="112"/>
  <c r="BR392" i="112"/>
  <c r="BQ392" i="112"/>
  <c r="BO392" i="112"/>
  <c r="BN392" i="112"/>
  <c r="BL392" i="112"/>
  <c r="BK392" i="112"/>
  <c r="BJ392" i="112"/>
  <c r="AJ392" i="112"/>
  <c r="AW392" i="112" s="1"/>
  <c r="AI392" i="112"/>
  <c r="AV392" i="112" s="1"/>
  <c r="AH392" i="112"/>
  <c r="AU392" i="112" s="1"/>
  <c r="AG392" i="112"/>
  <c r="AT392" i="112" s="1"/>
  <c r="AB392" i="112"/>
  <c r="AA392" i="112"/>
  <c r="Z392" i="112"/>
  <c r="Y392" i="112"/>
  <c r="S392" i="112"/>
  <c r="AQ392" i="112" s="1"/>
  <c r="T392" i="112"/>
  <c r="AS392" i="112" s="1"/>
  <c r="R392" i="112"/>
  <c r="AP392" i="112" s="1"/>
  <c r="Q392" i="112"/>
  <c r="AO392" i="112" s="1"/>
  <c r="B392" i="112"/>
  <c r="A392" i="112"/>
  <c r="CQ391" i="112"/>
  <c r="BS391" i="112"/>
  <c r="BR391" i="112"/>
  <c r="BQ391" i="112"/>
  <c r="BO391" i="112"/>
  <c r="BN391" i="112"/>
  <c r="BL391" i="112"/>
  <c r="BK391" i="112"/>
  <c r="BJ391" i="112"/>
  <c r="AJ391" i="112"/>
  <c r="AW391" i="112" s="1"/>
  <c r="AI391" i="112"/>
  <c r="AV391" i="112" s="1"/>
  <c r="AH391" i="112"/>
  <c r="AU391" i="112" s="1"/>
  <c r="AG391" i="112"/>
  <c r="AT391" i="112" s="1"/>
  <c r="Z391" i="112"/>
  <c r="AB391" i="112"/>
  <c r="AA391" i="112"/>
  <c r="Y391" i="112"/>
  <c r="T391" i="112"/>
  <c r="AS391" i="112" s="1"/>
  <c r="S391" i="112"/>
  <c r="AQ391" i="112" s="1"/>
  <c r="R391" i="112"/>
  <c r="AP391" i="112" s="1"/>
  <c r="Q391" i="112"/>
  <c r="AO391" i="112" s="1"/>
  <c r="B391" i="112"/>
  <c r="A391" i="112"/>
  <c r="CQ390" i="112"/>
  <c r="BS390" i="112"/>
  <c r="BR390" i="112"/>
  <c r="BQ390" i="112"/>
  <c r="BO390" i="112"/>
  <c r="BN390" i="112"/>
  <c r="BL390" i="112"/>
  <c r="BK390" i="112"/>
  <c r="BJ390" i="112"/>
  <c r="AJ390" i="112"/>
  <c r="AW390" i="112" s="1"/>
  <c r="AI390" i="112"/>
  <c r="AV390" i="112" s="1"/>
  <c r="AH390" i="112"/>
  <c r="AU390" i="112" s="1"/>
  <c r="AG390" i="112"/>
  <c r="AT390" i="112" s="1"/>
  <c r="AB390" i="112"/>
  <c r="AA390" i="112"/>
  <c r="Z390" i="112"/>
  <c r="Y390" i="112"/>
  <c r="T390" i="112"/>
  <c r="AS390" i="112" s="1"/>
  <c r="S390" i="112"/>
  <c r="AQ390" i="112" s="1"/>
  <c r="R390" i="112"/>
  <c r="AP390" i="112" s="1"/>
  <c r="Q390" i="112"/>
  <c r="AO390" i="112" s="1"/>
  <c r="B390" i="112"/>
  <c r="A390" i="112"/>
  <c r="CQ389" i="112"/>
  <c r="BS389" i="112"/>
  <c r="BR389" i="112"/>
  <c r="BQ389" i="112"/>
  <c r="BO389" i="112"/>
  <c r="BN389" i="112"/>
  <c r="BL389" i="112"/>
  <c r="BK389" i="112"/>
  <c r="BJ389" i="112"/>
  <c r="AI389" i="112"/>
  <c r="AV389" i="112" s="1"/>
  <c r="AJ389" i="112"/>
  <c r="AW389" i="112" s="1"/>
  <c r="AH389" i="112"/>
  <c r="AU389" i="112" s="1"/>
  <c r="AG389" i="112"/>
  <c r="AT389" i="112" s="1"/>
  <c r="Z389" i="112"/>
  <c r="AB389" i="112"/>
  <c r="AA389" i="112"/>
  <c r="Y389" i="112"/>
  <c r="T389" i="112"/>
  <c r="AS389" i="112" s="1"/>
  <c r="S389" i="112"/>
  <c r="AQ389" i="112" s="1"/>
  <c r="R389" i="112"/>
  <c r="AP389" i="112" s="1"/>
  <c r="Q389" i="112"/>
  <c r="AO389" i="112" s="1"/>
  <c r="B389" i="112"/>
  <c r="A389" i="112"/>
  <c r="CQ388" i="112"/>
  <c r="BS388" i="112"/>
  <c r="BR388" i="112"/>
  <c r="BQ388" i="112"/>
  <c r="BO388" i="112"/>
  <c r="BN388" i="112"/>
  <c r="BL388" i="112"/>
  <c r="BK388" i="112"/>
  <c r="BJ388" i="112"/>
  <c r="AI388" i="112"/>
  <c r="AV388" i="112" s="1"/>
  <c r="AJ388" i="112"/>
  <c r="AW388" i="112" s="1"/>
  <c r="AH388" i="112"/>
  <c r="AU388" i="112" s="1"/>
  <c r="AG388" i="112"/>
  <c r="AT388" i="112" s="1"/>
  <c r="AB388" i="112"/>
  <c r="AA388" i="112"/>
  <c r="Z388" i="112"/>
  <c r="Y388" i="112"/>
  <c r="T388" i="112"/>
  <c r="AS388" i="112" s="1"/>
  <c r="S388" i="112"/>
  <c r="AQ388" i="112" s="1"/>
  <c r="R388" i="112"/>
  <c r="AP388" i="112" s="1"/>
  <c r="Q388" i="112"/>
  <c r="AO388" i="112" s="1"/>
  <c r="B388" i="112"/>
  <c r="A388" i="112"/>
  <c r="CQ387" i="112"/>
  <c r="BS387" i="112"/>
  <c r="BR387" i="112"/>
  <c r="BQ387" i="112"/>
  <c r="BO387" i="112"/>
  <c r="BN387" i="112"/>
  <c r="BL387" i="112"/>
  <c r="BK387" i="112"/>
  <c r="BJ387" i="112"/>
  <c r="AJ387" i="112"/>
  <c r="AW387" i="112" s="1"/>
  <c r="AI387" i="112"/>
  <c r="AV387" i="112" s="1"/>
  <c r="AH387" i="112"/>
  <c r="AU387" i="112" s="1"/>
  <c r="AG387" i="112"/>
  <c r="AT387" i="112" s="1"/>
  <c r="AA387" i="112"/>
  <c r="AB387" i="112"/>
  <c r="Z387" i="112"/>
  <c r="Y387" i="112"/>
  <c r="R387" i="112"/>
  <c r="AP387" i="112" s="1"/>
  <c r="T387" i="112"/>
  <c r="AS387" i="112" s="1"/>
  <c r="S387" i="112"/>
  <c r="AQ387" i="112" s="1"/>
  <c r="Q387" i="112"/>
  <c r="AO387" i="112" s="1"/>
  <c r="B387" i="112"/>
  <c r="A387" i="112"/>
  <c r="CQ386" i="112"/>
  <c r="BS386" i="112"/>
  <c r="BR386" i="112"/>
  <c r="BQ386" i="112"/>
  <c r="BO386" i="112"/>
  <c r="BN386" i="112"/>
  <c r="BL386" i="112"/>
  <c r="BK386" i="112"/>
  <c r="BJ386" i="112"/>
  <c r="AI386" i="112"/>
  <c r="AV386" i="112" s="1"/>
  <c r="AJ386" i="112"/>
  <c r="AW386" i="112" s="1"/>
  <c r="AH386" i="112"/>
  <c r="AU386" i="112" s="1"/>
  <c r="AG386" i="112"/>
  <c r="AT386" i="112" s="1"/>
  <c r="AA386" i="112"/>
  <c r="AB386" i="112"/>
  <c r="Z386" i="112"/>
  <c r="Y386" i="112"/>
  <c r="T386" i="112"/>
  <c r="AS386" i="112" s="1"/>
  <c r="S386" i="112"/>
  <c r="AQ386" i="112" s="1"/>
  <c r="R386" i="112"/>
  <c r="AP386" i="112" s="1"/>
  <c r="Q386" i="112"/>
  <c r="AO386" i="112" s="1"/>
  <c r="B386" i="112"/>
  <c r="A386" i="112"/>
  <c r="CQ385" i="112"/>
  <c r="BS385" i="112"/>
  <c r="BR385" i="112"/>
  <c r="BQ385" i="112"/>
  <c r="BO385" i="112"/>
  <c r="BN385" i="112"/>
  <c r="BL385" i="112"/>
  <c r="BK385" i="112"/>
  <c r="BJ385" i="112"/>
  <c r="AH385" i="112"/>
  <c r="AU385" i="112" s="1"/>
  <c r="AJ385" i="112"/>
  <c r="AW385" i="112" s="1"/>
  <c r="AI385" i="112"/>
  <c r="AV385" i="112" s="1"/>
  <c r="AG385" i="112"/>
  <c r="AT385" i="112" s="1"/>
  <c r="AB385" i="112"/>
  <c r="AA385" i="112"/>
  <c r="Z385" i="112"/>
  <c r="Y385" i="112"/>
  <c r="S385" i="112"/>
  <c r="AQ385" i="112" s="1"/>
  <c r="T385" i="112"/>
  <c r="AS385" i="112" s="1"/>
  <c r="R385" i="112"/>
  <c r="AP385" i="112" s="1"/>
  <c r="Q385" i="112"/>
  <c r="AO385" i="112" s="1"/>
  <c r="B385" i="112"/>
  <c r="A385" i="112"/>
  <c r="CQ384" i="112"/>
  <c r="BS384" i="112"/>
  <c r="BR384" i="112"/>
  <c r="BQ384" i="112"/>
  <c r="BO384" i="112"/>
  <c r="BN384" i="112"/>
  <c r="BL384" i="112"/>
  <c r="BK384" i="112"/>
  <c r="BJ384" i="112"/>
  <c r="AI384" i="112"/>
  <c r="AV384" i="112" s="1"/>
  <c r="AJ384" i="112"/>
  <c r="AW384" i="112" s="1"/>
  <c r="AH384" i="112"/>
  <c r="AU384" i="112" s="1"/>
  <c r="AG384" i="112"/>
  <c r="AT384" i="112" s="1"/>
  <c r="AB384" i="112"/>
  <c r="AA384" i="112"/>
  <c r="Z384" i="112"/>
  <c r="Y384" i="112"/>
  <c r="T384" i="112"/>
  <c r="AS384" i="112" s="1"/>
  <c r="S384" i="112"/>
  <c r="AQ384" i="112" s="1"/>
  <c r="R384" i="112"/>
  <c r="AP384" i="112" s="1"/>
  <c r="Q384" i="112"/>
  <c r="AO384" i="112" s="1"/>
  <c r="B384" i="112"/>
  <c r="A384" i="112"/>
  <c r="CQ383" i="112"/>
  <c r="BS383" i="112"/>
  <c r="BR383" i="112"/>
  <c r="BQ383" i="112"/>
  <c r="BO383" i="112"/>
  <c r="BN383" i="112"/>
  <c r="BL383" i="112"/>
  <c r="BK383" i="112"/>
  <c r="BJ383" i="112"/>
  <c r="AJ383" i="112"/>
  <c r="AW383" i="112" s="1"/>
  <c r="AI383" i="112"/>
  <c r="AV383" i="112" s="1"/>
  <c r="AH383" i="112"/>
  <c r="AU383" i="112" s="1"/>
  <c r="AG383" i="112"/>
  <c r="AT383" i="112" s="1"/>
  <c r="Z383" i="112"/>
  <c r="AB383" i="112"/>
  <c r="AA383" i="112"/>
  <c r="Y383" i="112"/>
  <c r="T383" i="112"/>
  <c r="AS383" i="112" s="1"/>
  <c r="S383" i="112"/>
  <c r="AQ383" i="112" s="1"/>
  <c r="R383" i="112"/>
  <c r="AP383" i="112" s="1"/>
  <c r="Q383" i="112"/>
  <c r="AO383" i="112" s="1"/>
  <c r="B383" i="112"/>
  <c r="A383" i="112"/>
  <c r="CQ382" i="112"/>
  <c r="BS382" i="112"/>
  <c r="BR382" i="112"/>
  <c r="BQ382" i="112"/>
  <c r="BO382" i="112"/>
  <c r="BN382" i="112"/>
  <c r="BL382" i="112"/>
  <c r="BK382" i="112"/>
  <c r="BJ382" i="112"/>
  <c r="AJ382" i="112"/>
  <c r="AW382" i="112" s="1"/>
  <c r="AI382" i="112"/>
  <c r="AV382" i="112" s="1"/>
  <c r="AH382" i="112"/>
  <c r="AU382" i="112" s="1"/>
  <c r="AG382" i="112"/>
  <c r="AT382" i="112" s="1"/>
  <c r="AB382" i="112"/>
  <c r="AA382" i="112"/>
  <c r="Z382" i="112"/>
  <c r="Y382" i="112"/>
  <c r="T382" i="112"/>
  <c r="AS382" i="112" s="1"/>
  <c r="S382" i="112"/>
  <c r="AQ382" i="112" s="1"/>
  <c r="R382" i="112"/>
  <c r="AP382" i="112" s="1"/>
  <c r="Q382" i="112"/>
  <c r="AO382" i="112" s="1"/>
  <c r="B382" i="112"/>
  <c r="A382" i="112"/>
  <c r="CQ381" i="112"/>
  <c r="BS381" i="112"/>
  <c r="BR381" i="112"/>
  <c r="BQ381" i="112"/>
  <c r="BO381" i="112"/>
  <c r="BN381" i="112"/>
  <c r="BL381" i="112"/>
  <c r="BK381" i="112"/>
  <c r="BJ381" i="112"/>
  <c r="AJ381" i="112"/>
  <c r="AW381" i="112" s="1"/>
  <c r="AI381" i="112"/>
  <c r="AV381" i="112" s="1"/>
  <c r="AH381" i="112"/>
  <c r="AU381" i="112" s="1"/>
  <c r="AG381" i="112"/>
  <c r="AT381" i="112" s="1"/>
  <c r="AB381" i="112"/>
  <c r="AA381" i="112"/>
  <c r="Z381" i="112"/>
  <c r="Y381" i="112"/>
  <c r="T381" i="112"/>
  <c r="AS381" i="112" s="1"/>
  <c r="S381" i="112"/>
  <c r="AQ381" i="112" s="1"/>
  <c r="R381" i="112"/>
  <c r="AP381" i="112" s="1"/>
  <c r="Q381" i="112"/>
  <c r="AO381" i="112" s="1"/>
  <c r="B381" i="112"/>
  <c r="A381" i="112"/>
  <c r="CQ380" i="112"/>
  <c r="BS380" i="112"/>
  <c r="BR380" i="112"/>
  <c r="BQ380" i="112"/>
  <c r="BO380" i="112"/>
  <c r="BN380" i="112"/>
  <c r="BL380" i="112"/>
  <c r="BK380" i="112"/>
  <c r="BJ380" i="112"/>
  <c r="AJ380" i="112"/>
  <c r="AW380" i="112" s="1"/>
  <c r="AI380" i="112"/>
  <c r="AV380" i="112" s="1"/>
  <c r="AH380" i="112"/>
  <c r="AU380" i="112" s="1"/>
  <c r="AG380" i="112"/>
  <c r="AT380" i="112" s="1"/>
  <c r="AB380" i="112"/>
  <c r="AA380" i="112"/>
  <c r="Z380" i="112"/>
  <c r="Y380" i="112"/>
  <c r="T380" i="112"/>
  <c r="AS380" i="112" s="1"/>
  <c r="S380" i="112"/>
  <c r="AQ380" i="112" s="1"/>
  <c r="R380" i="112"/>
  <c r="AP380" i="112" s="1"/>
  <c r="Q380" i="112"/>
  <c r="AO380" i="112" s="1"/>
  <c r="B380" i="112"/>
  <c r="A380" i="112"/>
  <c r="CQ379" i="112"/>
  <c r="BS379" i="112"/>
  <c r="BR379" i="112"/>
  <c r="BQ379" i="112"/>
  <c r="BO379" i="112"/>
  <c r="BN379" i="112"/>
  <c r="BL379" i="112"/>
  <c r="BK379" i="112"/>
  <c r="BJ379" i="112"/>
  <c r="AJ379" i="112"/>
  <c r="AW379" i="112" s="1"/>
  <c r="AI379" i="112"/>
  <c r="AV379" i="112" s="1"/>
  <c r="AH379" i="112"/>
  <c r="AU379" i="112" s="1"/>
  <c r="AG379" i="112"/>
  <c r="AT379" i="112" s="1"/>
  <c r="AB379" i="112"/>
  <c r="AA379" i="112"/>
  <c r="Z379" i="112"/>
  <c r="Y379" i="112"/>
  <c r="R379" i="112"/>
  <c r="AP379" i="112" s="1"/>
  <c r="T379" i="112"/>
  <c r="AS379" i="112" s="1"/>
  <c r="S379" i="112"/>
  <c r="AQ379" i="112" s="1"/>
  <c r="Q379" i="112"/>
  <c r="AO379" i="112" s="1"/>
  <c r="B379" i="112"/>
  <c r="A379" i="112"/>
  <c r="CQ378" i="112"/>
  <c r="BS378" i="112"/>
  <c r="BR378" i="112"/>
  <c r="BQ378" i="112"/>
  <c r="BO378" i="112"/>
  <c r="BN378" i="112"/>
  <c r="BL378" i="112"/>
  <c r="BK378" i="112"/>
  <c r="BJ378" i="112"/>
  <c r="AJ378" i="112"/>
  <c r="AW378" i="112" s="1"/>
  <c r="AI378" i="112"/>
  <c r="AV378" i="112" s="1"/>
  <c r="AH378" i="112"/>
  <c r="AU378" i="112" s="1"/>
  <c r="AG378" i="112"/>
  <c r="AT378" i="112" s="1"/>
  <c r="AB378" i="112"/>
  <c r="AA378" i="112"/>
  <c r="Z378" i="112"/>
  <c r="Y378" i="112"/>
  <c r="T378" i="112"/>
  <c r="AS378" i="112" s="1"/>
  <c r="S378" i="112"/>
  <c r="AQ378" i="112" s="1"/>
  <c r="R378" i="112"/>
  <c r="AP378" i="112" s="1"/>
  <c r="Q378" i="112"/>
  <c r="AO378" i="112" s="1"/>
  <c r="B378" i="112"/>
  <c r="A378" i="112"/>
  <c r="CQ377" i="112"/>
  <c r="BS377" i="112"/>
  <c r="BR377" i="112"/>
  <c r="BQ377" i="112"/>
  <c r="BO377" i="112"/>
  <c r="BN377" i="112"/>
  <c r="BL377" i="112"/>
  <c r="BK377" i="112"/>
  <c r="BJ377" i="112"/>
  <c r="AJ377" i="112"/>
  <c r="AW377" i="112" s="1"/>
  <c r="AI377" i="112"/>
  <c r="AV377" i="112" s="1"/>
  <c r="AH377" i="112"/>
  <c r="AU377" i="112" s="1"/>
  <c r="AG377" i="112"/>
  <c r="AT377" i="112" s="1"/>
  <c r="Z377" i="112"/>
  <c r="AB377" i="112"/>
  <c r="AA377" i="112"/>
  <c r="Y377" i="112"/>
  <c r="T377" i="112"/>
  <c r="AS377" i="112" s="1"/>
  <c r="S377" i="112"/>
  <c r="AQ377" i="112" s="1"/>
  <c r="R377" i="112"/>
  <c r="AP377" i="112" s="1"/>
  <c r="Q377" i="112"/>
  <c r="AO377" i="112" s="1"/>
  <c r="B377" i="112"/>
  <c r="A377" i="112"/>
  <c r="CQ376" i="112"/>
  <c r="BS376" i="112"/>
  <c r="BR376" i="112"/>
  <c r="BQ376" i="112"/>
  <c r="BO376" i="112"/>
  <c r="BN376" i="112"/>
  <c r="BL376" i="112"/>
  <c r="BK376" i="112"/>
  <c r="BJ376" i="112"/>
  <c r="AI376" i="112"/>
  <c r="AV376" i="112" s="1"/>
  <c r="AJ376" i="112"/>
  <c r="AW376" i="112" s="1"/>
  <c r="AH376" i="112"/>
  <c r="AU376" i="112" s="1"/>
  <c r="AG376" i="112"/>
  <c r="AT376" i="112" s="1"/>
  <c r="AB376" i="112"/>
  <c r="AA376" i="112"/>
  <c r="Z376" i="112"/>
  <c r="Y376" i="112"/>
  <c r="T376" i="112"/>
  <c r="AS376" i="112" s="1"/>
  <c r="S376" i="112"/>
  <c r="AQ376" i="112" s="1"/>
  <c r="R376" i="112"/>
  <c r="AP376" i="112" s="1"/>
  <c r="Q376" i="112"/>
  <c r="AO376" i="112" s="1"/>
  <c r="B376" i="112"/>
  <c r="A376" i="112"/>
  <c r="CQ375" i="112"/>
  <c r="BS375" i="112"/>
  <c r="BR375" i="112"/>
  <c r="BQ375" i="112"/>
  <c r="BO375" i="112"/>
  <c r="BN375" i="112"/>
  <c r="BL375" i="112"/>
  <c r="BK375" i="112"/>
  <c r="BJ375" i="112"/>
  <c r="AJ375" i="112"/>
  <c r="AW375" i="112" s="1"/>
  <c r="AI375" i="112"/>
  <c r="AV375" i="112" s="1"/>
  <c r="AH375" i="112"/>
  <c r="AU375" i="112" s="1"/>
  <c r="AG375" i="112"/>
  <c r="AT375" i="112" s="1"/>
  <c r="AB375" i="112"/>
  <c r="AA375" i="112"/>
  <c r="Z375" i="112"/>
  <c r="Y375" i="112"/>
  <c r="R375" i="112"/>
  <c r="AP375" i="112" s="1"/>
  <c r="T375" i="112"/>
  <c r="AS375" i="112" s="1"/>
  <c r="S375" i="112"/>
  <c r="AQ375" i="112" s="1"/>
  <c r="Q375" i="112"/>
  <c r="AO375" i="112" s="1"/>
  <c r="B375" i="112"/>
  <c r="A375" i="112"/>
  <c r="CQ374" i="112"/>
  <c r="BS374" i="112"/>
  <c r="BR374" i="112"/>
  <c r="BQ374" i="112"/>
  <c r="BO374" i="112"/>
  <c r="BN374" i="112"/>
  <c r="BL374" i="112"/>
  <c r="BK374" i="112"/>
  <c r="BJ374" i="112"/>
  <c r="AJ374" i="112"/>
  <c r="AW374" i="112" s="1"/>
  <c r="AI374" i="112"/>
  <c r="AV374" i="112" s="1"/>
  <c r="AH374" i="112"/>
  <c r="AU374" i="112" s="1"/>
  <c r="AG374" i="112"/>
  <c r="AT374" i="112" s="1"/>
  <c r="AB374" i="112"/>
  <c r="AA374" i="112"/>
  <c r="Z374" i="112"/>
  <c r="Y374" i="112"/>
  <c r="T374" i="112"/>
  <c r="AS374" i="112" s="1"/>
  <c r="S374" i="112"/>
  <c r="AQ374" i="112" s="1"/>
  <c r="R374" i="112"/>
  <c r="AP374" i="112" s="1"/>
  <c r="Q374" i="112"/>
  <c r="AO374" i="112" s="1"/>
  <c r="B374" i="112"/>
  <c r="A374" i="112"/>
  <c r="CQ373" i="112"/>
  <c r="BS373" i="112"/>
  <c r="BR373" i="112"/>
  <c r="BQ373" i="112"/>
  <c r="BO373" i="112"/>
  <c r="BN373" i="112"/>
  <c r="BL373" i="112"/>
  <c r="BK373" i="112"/>
  <c r="BJ373" i="112"/>
  <c r="AH373" i="112"/>
  <c r="AU373" i="112" s="1"/>
  <c r="AJ373" i="112"/>
  <c r="AW373" i="112" s="1"/>
  <c r="AI373" i="112"/>
  <c r="AV373" i="112" s="1"/>
  <c r="AG373" i="112"/>
  <c r="AT373" i="112" s="1"/>
  <c r="AB373" i="112"/>
  <c r="AA373" i="112"/>
  <c r="Z373" i="112"/>
  <c r="Y373" i="112"/>
  <c r="T373" i="112"/>
  <c r="AS373" i="112" s="1"/>
  <c r="S373" i="112"/>
  <c r="AQ373" i="112" s="1"/>
  <c r="R373" i="112"/>
  <c r="AP373" i="112" s="1"/>
  <c r="Q373" i="112"/>
  <c r="AO373" i="112" s="1"/>
  <c r="B373" i="112"/>
  <c r="A373" i="112"/>
  <c r="CQ372" i="112"/>
  <c r="BS372" i="112"/>
  <c r="BR372" i="112"/>
  <c r="BQ372" i="112"/>
  <c r="BO372" i="112"/>
  <c r="BN372" i="112"/>
  <c r="BL372" i="112"/>
  <c r="BK372" i="112"/>
  <c r="BJ372" i="112"/>
  <c r="AJ372" i="112"/>
  <c r="AW372" i="112" s="1"/>
  <c r="AI372" i="112"/>
  <c r="AV372" i="112" s="1"/>
  <c r="AH372" i="112"/>
  <c r="AU372" i="112" s="1"/>
  <c r="AG372" i="112"/>
  <c r="AT372" i="112" s="1"/>
  <c r="AB372" i="112"/>
  <c r="AA372" i="112"/>
  <c r="Z372" i="112"/>
  <c r="Y372" i="112"/>
  <c r="S372" i="112"/>
  <c r="AQ372" i="112" s="1"/>
  <c r="T372" i="112"/>
  <c r="AS372" i="112" s="1"/>
  <c r="R372" i="112"/>
  <c r="AP372" i="112" s="1"/>
  <c r="Q372" i="112"/>
  <c r="AO372" i="112" s="1"/>
  <c r="B372" i="112"/>
  <c r="A372" i="112"/>
  <c r="CQ371" i="112"/>
  <c r="BS371" i="112"/>
  <c r="BR371" i="112"/>
  <c r="BQ371" i="112"/>
  <c r="BO371" i="112"/>
  <c r="BN371" i="112"/>
  <c r="BL371" i="112"/>
  <c r="BK371" i="112"/>
  <c r="BJ371" i="112"/>
  <c r="AH371" i="112"/>
  <c r="AU371" i="112" s="1"/>
  <c r="AJ371" i="112"/>
  <c r="AW371" i="112" s="1"/>
  <c r="AI371" i="112"/>
  <c r="AV371" i="112" s="1"/>
  <c r="AG371" i="112"/>
  <c r="AT371" i="112" s="1"/>
  <c r="AB371" i="112"/>
  <c r="AA371" i="112"/>
  <c r="Z371" i="112"/>
  <c r="Y371" i="112"/>
  <c r="T371" i="112"/>
  <c r="AS371" i="112" s="1"/>
  <c r="S371" i="112"/>
  <c r="AQ371" i="112" s="1"/>
  <c r="R371" i="112"/>
  <c r="AP371" i="112" s="1"/>
  <c r="Q371" i="112"/>
  <c r="AO371" i="112" s="1"/>
  <c r="B371" i="112"/>
  <c r="A371" i="112"/>
  <c r="CQ370" i="112"/>
  <c r="BS370" i="112"/>
  <c r="BR370" i="112"/>
  <c r="BQ370" i="112"/>
  <c r="BO370" i="112"/>
  <c r="BN370" i="112"/>
  <c r="BL370" i="112"/>
  <c r="BK370" i="112"/>
  <c r="BJ370" i="112"/>
  <c r="AJ370" i="112"/>
  <c r="AW370" i="112" s="1"/>
  <c r="AI370" i="112"/>
  <c r="AV370" i="112" s="1"/>
  <c r="AH370" i="112"/>
  <c r="AU370" i="112" s="1"/>
  <c r="AG370" i="112"/>
  <c r="AT370" i="112" s="1"/>
  <c r="AB370" i="112"/>
  <c r="AA370" i="112"/>
  <c r="Z370" i="112"/>
  <c r="Y370" i="112"/>
  <c r="T370" i="112"/>
  <c r="AS370" i="112" s="1"/>
  <c r="S370" i="112"/>
  <c r="AQ370" i="112" s="1"/>
  <c r="R370" i="112"/>
  <c r="AP370" i="112" s="1"/>
  <c r="Q370" i="112"/>
  <c r="AO370" i="112" s="1"/>
  <c r="B370" i="112"/>
  <c r="A370" i="112"/>
  <c r="CQ369" i="112"/>
  <c r="BS369" i="112"/>
  <c r="BR369" i="112"/>
  <c r="BQ369" i="112"/>
  <c r="BO369" i="112"/>
  <c r="BN369" i="112"/>
  <c r="BL369" i="112"/>
  <c r="BK369" i="112"/>
  <c r="BJ369" i="112"/>
  <c r="AJ369" i="112"/>
  <c r="AW369" i="112" s="1"/>
  <c r="AI369" i="112"/>
  <c r="AV369" i="112" s="1"/>
  <c r="AH369" i="112"/>
  <c r="AU369" i="112" s="1"/>
  <c r="AG369" i="112"/>
  <c r="AT369" i="112" s="1"/>
  <c r="AB369" i="112"/>
  <c r="AA369" i="112"/>
  <c r="Z369" i="112"/>
  <c r="Y369" i="112"/>
  <c r="T369" i="112"/>
  <c r="AS369" i="112" s="1"/>
  <c r="S369" i="112"/>
  <c r="AQ369" i="112" s="1"/>
  <c r="R369" i="112"/>
  <c r="AP369" i="112" s="1"/>
  <c r="Q369" i="112"/>
  <c r="AO369" i="112" s="1"/>
  <c r="B369" i="112"/>
  <c r="A369" i="112"/>
  <c r="CQ368" i="112"/>
  <c r="BS368" i="112"/>
  <c r="BR368" i="112"/>
  <c r="BQ368" i="112"/>
  <c r="BO368" i="112"/>
  <c r="BN368" i="112"/>
  <c r="BL368" i="112"/>
  <c r="BK368" i="112"/>
  <c r="BJ368" i="112"/>
  <c r="AJ368" i="112"/>
  <c r="AW368" i="112" s="1"/>
  <c r="AI368" i="112"/>
  <c r="AV368" i="112" s="1"/>
  <c r="AH368" i="112"/>
  <c r="AU368" i="112" s="1"/>
  <c r="AG368" i="112"/>
  <c r="AT368" i="112" s="1"/>
  <c r="AB368" i="112"/>
  <c r="AA368" i="112"/>
  <c r="Z368" i="112"/>
  <c r="Y368" i="112"/>
  <c r="T368" i="112"/>
  <c r="AS368" i="112" s="1"/>
  <c r="S368" i="112"/>
  <c r="AQ368" i="112" s="1"/>
  <c r="R368" i="112"/>
  <c r="AP368" i="112" s="1"/>
  <c r="Q368" i="112"/>
  <c r="AO368" i="112" s="1"/>
  <c r="B368" i="112"/>
  <c r="A368" i="112"/>
  <c r="CQ367" i="112"/>
  <c r="BS367" i="112"/>
  <c r="BR367" i="112"/>
  <c r="BQ367" i="112"/>
  <c r="BO367" i="112"/>
  <c r="BN367" i="112"/>
  <c r="BL367" i="112"/>
  <c r="BK367" i="112"/>
  <c r="BJ367" i="112"/>
  <c r="AJ367" i="112"/>
  <c r="AW367" i="112" s="1"/>
  <c r="AI367" i="112"/>
  <c r="AV367" i="112" s="1"/>
  <c r="AH367" i="112"/>
  <c r="AU367" i="112" s="1"/>
  <c r="AG367" i="112"/>
  <c r="AT367" i="112" s="1"/>
  <c r="AB367" i="112"/>
  <c r="AA367" i="112"/>
  <c r="Z367" i="112"/>
  <c r="Y367" i="112"/>
  <c r="R367" i="112"/>
  <c r="AP367" i="112" s="1"/>
  <c r="T367" i="112"/>
  <c r="AS367" i="112" s="1"/>
  <c r="S367" i="112"/>
  <c r="AQ367" i="112" s="1"/>
  <c r="Q367" i="112"/>
  <c r="AO367" i="112" s="1"/>
  <c r="B367" i="112"/>
  <c r="A367" i="112"/>
  <c r="CQ366" i="112"/>
  <c r="BS366" i="112"/>
  <c r="BR366" i="112"/>
  <c r="BQ366" i="112"/>
  <c r="BO366" i="112"/>
  <c r="BN366" i="112"/>
  <c r="BL366" i="112"/>
  <c r="BK366" i="112"/>
  <c r="BJ366" i="112"/>
  <c r="AI366" i="112"/>
  <c r="AV366" i="112" s="1"/>
  <c r="AJ366" i="112"/>
  <c r="AW366" i="112" s="1"/>
  <c r="AH366" i="112"/>
  <c r="AU366" i="112" s="1"/>
  <c r="AG366" i="112"/>
  <c r="AT366" i="112" s="1"/>
  <c r="AA366" i="112"/>
  <c r="AB366" i="112"/>
  <c r="Z366" i="112"/>
  <c r="Y366" i="112"/>
  <c r="T366" i="112"/>
  <c r="AS366" i="112" s="1"/>
  <c r="S366" i="112"/>
  <c r="AQ366" i="112" s="1"/>
  <c r="R366" i="112"/>
  <c r="AP366" i="112" s="1"/>
  <c r="Q366" i="112"/>
  <c r="AO366" i="112" s="1"/>
  <c r="B366" i="112"/>
  <c r="A366" i="112"/>
  <c r="CQ365" i="112"/>
  <c r="BS365" i="112"/>
  <c r="BR365" i="112"/>
  <c r="BQ365" i="112"/>
  <c r="BO365" i="112"/>
  <c r="BN365" i="112"/>
  <c r="BL365" i="112"/>
  <c r="BK365" i="112"/>
  <c r="BJ365" i="112"/>
  <c r="AJ365" i="112"/>
  <c r="AW365" i="112" s="1"/>
  <c r="AI365" i="112"/>
  <c r="AV365" i="112" s="1"/>
  <c r="AH365" i="112"/>
  <c r="AU365" i="112" s="1"/>
  <c r="AG365" i="112"/>
  <c r="AT365" i="112" s="1"/>
  <c r="Z365" i="112"/>
  <c r="AB365" i="112"/>
  <c r="AA365" i="112"/>
  <c r="Y365" i="112"/>
  <c r="S365" i="112"/>
  <c r="AQ365" i="112" s="1"/>
  <c r="T365" i="112"/>
  <c r="AS365" i="112" s="1"/>
  <c r="R365" i="112"/>
  <c r="AP365" i="112" s="1"/>
  <c r="Q365" i="112"/>
  <c r="AO365" i="112" s="1"/>
  <c r="B365" i="112"/>
  <c r="A365" i="112"/>
  <c r="CQ364" i="112"/>
  <c r="BS364" i="112"/>
  <c r="BR364" i="112"/>
  <c r="BQ364" i="112"/>
  <c r="BO364" i="112"/>
  <c r="BN364" i="112"/>
  <c r="BL364" i="112"/>
  <c r="BK364" i="112"/>
  <c r="BJ364" i="112"/>
  <c r="AJ364" i="112"/>
  <c r="AW364" i="112" s="1"/>
  <c r="AI364" i="112"/>
  <c r="AV364" i="112" s="1"/>
  <c r="AH364" i="112"/>
  <c r="AU364" i="112" s="1"/>
  <c r="AG364" i="112"/>
  <c r="AT364" i="112" s="1"/>
  <c r="AA364" i="112"/>
  <c r="AB364" i="112"/>
  <c r="Z364" i="112"/>
  <c r="Y364" i="112"/>
  <c r="S364" i="112"/>
  <c r="AQ364" i="112" s="1"/>
  <c r="T364" i="112"/>
  <c r="AS364" i="112" s="1"/>
  <c r="R364" i="112"/>
  <c r="AP364" i="112" s="1"/>
  <c r="Q364" i="112"/>
  <c r="AO364" i="112" s="1"/>
  <c r="B364" i="112"/>
  <c r="A364" i="112"/>
  <c r="CQ363" i="112"/>
  <c r="BS363" i="112"/>
  <c r="BR363" i="112"/>
  <c r="BQ363" i="112"/>
  <c r="BO363" i="112"/>
  <c r="BN363" i="112"/>
  <c r="BL363" i="112"/>
  <c r="BK363" i="112"/>
  <c r="BJ363" i="112"/>
  <c r="AH363" i="112"/>
  <c r="AU363" i="112" s="1"/>
  <c r="AJ363" i="112"/>
  <c r="AW363" i="112" s="1"/>
  <c r="AI363" i="112"/>
  <c r="AV363" i="112" s="1"/>
  <c r="AG363" i="112"/>
  <c r="AT363" i="112" s="1"/>
  <c r="AB363" i="112"/>
  <c r="AA363" i="112"/>
  <c r="Z363" i="112"/>
  <c r="Y363" i="112"/>
  <c r="T363" i="112"/>
  <c r="AS363" i="112" s="1"/>
  <c r="S363" i="112"/>
  <c r="AQ363" i="112" s="1"/>
  <c r="R363" i="112"/>
  <c r="AP363" i="112" s="1"/>
  <c r="Q363" i="112"/>
  <c r="AO363" i="112" s="1"/>
  <c r="B363" i="112"/>
  <c r="A363" i="112"/>
  <c r="CQ362" i="112"/>
  <c r="BS362" i="112"/>
  <c r="BR362" i="112"/>
  <c r="BQ362" i="112"/>
  <c r="BO362" i="112"/>
  <c r="BN362" i="112"/>
  <c r="BL362" i="112"/>
  <c r="BK362" i="112"/>
  <c r="BJ362" i="112"/>
  <c r="AJ362" i="112"/>
  <c r="AW362" i="112" s="1"/>
  <c r="AI362" i="112"/>
  <c r="AV362" i="112" s="1"/>
  <c r="AH362" i="112"/>
  <c r="AU362" i="112" s="1"/>
  <c r="AG362" i="112"/>
  <c r="AT362" i="112" s="1"/>
  <c r="AB362" i="112"/>
  <c r="AA362" i="112"/>
  <c r="Z362" i="112"/>
  <c r="Y362" i="112"/>
  <c r="S362" i="112"/>
  <c r="AQ362" i="112" s="1"/>
  <c r="T362" i="112"/>
  <c r="AS362" i="112" s="1"/>
  <c r="R362" i="112"/>
  <c r="AP362" i="112" s="1"/>
  <c r="Q362" i="112"/>
  <c r="AO362" i="112" s="1"/>
  <c r="B362" i="112"/>
  <c r="A362" i="112"/>
  <c r="CQ361" i="112"/>
  <c r="BS361" i="112"/>
  <c r="BR361" i="112"/>
  <c r="BQ361" i="112"/>
  <c r="BO361" i="112"/>
  <c r="BN361" i="112"/>
  <c r="BL361" i="112"/>
  <c r="BK361" i="112"/>
  <c r="BJ361" i="112"/>
  <c r="AJ361" i="112"/>
  <c r="AW361" i="112" s="1"/>
  <c r="AI361" i="112"/>
  <c r="AV361" i="112" s="1"/>
  <c r="AH361" i="112"/>
  <c r="AU361" i="112" s="1"/>
  <c r="AG361" i="112"/>
  <c r="AT361" i="112" s="1"/>
  <c r="AB361" i="112"/>
  <c r="AA361" i="112"/>
  <c r="Z361" i="112"/>
  <c r="Y361" i="112"/>
  <c r="R361" i="112"/>
  <c r="AP361" i="112" s="1"/>
  <c r="T361" i="112"/>
  <c r="AS361" i="112" s="1"/>
  <c r="S361" i="112"/>
  <c r="AQ361" i="112" s="1"/>
  <c r="Q361" i="112"/>
  <c r="AO361" i="112" s="1"/>
  <c r="B361" i="112"/>
  <c r="A361" i="112"/>
  <c r="CQ360" i="112"/>
  <c r="BS360" i="112"/>
  <c r="BR360" i="112"/>
  <c r="BQ360" i="112"/>
  <c r="BO360" i="112"/>
  <c r="BN360" i="112"/>
  <c r="BL360" i="112"/>
  <c r="BK360" i="112"/>
  <c r="BJ360" i="112"/>
  <c r="AJ360" i="112"/>
  <c r="AW360" i="112" s="1"/>
  <c r="AI360" i="112"/>
  <c r="AV360" i="112" s="1"/>
  <c r="AH360" i="112"/>
  <c r="AU360" i="112" s="1"/>
  <c r="AG360" i="112"/>
  <c r="AT360" i="112" s="1"/>
  <c r="AB360" i="112"/>
  <c r="AA360" i="112"/>
  <c r="Z360" i="112"/>
  <c r="Y360" i="112"/>
  <c r="S360" i="112"/>
  <c r="AQ360" i="112" s="1"/>
  <c r="T360" i="112"/>
  <c r="AS360" i="112" s="1"/>
  <c r="R360" i="112"/>
  <c r="AP360" i="112" s="1"/>
  <c r="Q360" i="112"/>
  <c r="AO360" i="112" s="1"/>
  <c r="B360" i="112"/>
  <c r="A360" i="112"/>
  <c r="CQ359" i="112"/>
  <c r="BS359" i="112"/>
  <c r="BR359" i="112"/>
  <c r="BQ359" i="112"/>
  <c r="BO359" i="112"/>
  <c r="BN359" i="112"/>
  <c r="BL359" i="112"/>
  <c r="BK359" i="112"/>
  <c r="BJ359" i="112"/>
  <c r="AJ359" i="112"/>
  <c r="AW359" i="112" s="1"/>
  <c r="AI359" i="112"/>
  <c r="AV359" i="112" s="1"/>
  <c r="AH359" i="112"/>
  <c r="AU359" i="112" s="1"/>
  <c r="AG359" i="112"/>
  <c r="AT359" i="112" s="1"/>
  <c r="AB359" i="112"/>
  <c r="AA359" i="112"/>
  <c r="Z359" i="112"/>
  <c r="Y359" i="112"/>
  <c r="R359" i="112"/>
  <c r="AP359" i="112" s="1"/>
  <c r="T359" i="112"/>
  <c r="AS359" i="112" s="1"/>
  <c r="S359" i="112"/>
  <c r="AQ359" i="112" s="1"/>
  <c r="Q359" i="112"/>
  <c r="AO359" i="112" s="1"/>
  <c r="B359" i="112"/>
  <c r="A359" i="112"/>
  <c r="CQ358" i="112"/>
  <c r="BS358" i="112"/>
  <c r="BR358" i="112"/>
  <c r="BQ358" i="112"/>
  <c r="BO358" i="112"/>
  <c r="BN358" i="112"/>
  <c r="BL358" i="112"/>
  <c r="BK358" i="112"/>
  <c r="BJ358" i="112"/>
  <c r="AJ358" i="112"/>
  <c r="AW358" i="112" s="1"/>
  <c r="AI358" i="112"/>
  <c r="AV358" i="112" s="1"/>
  <c r="AH358" i="112"/>
  <c r="AU358" i="112" s="1"/>
  <c r="AG358" i="112"/>
  <c r="AT358" i="112" s="1"/>
  <c r="AA358" i="112"/>
  <c r="AB358" i="112"/>
  <c r="Z358" i="112"/>
  <c r="Y358" i="112"/>
  <c r="T358" i="112"/>
  <c r="AS358" i="112" s="1"/>
  <c r="S358" i="112"/>
  <c r="AQ358" i="112" s="1"/>
  <c r="R358" i="112"/>
  <c r="AP358" i="112" s="1"/>
  <c r="Q358" i="112"/>
  <c r="AO358" i="112" s="1"/>
  <c r="B358" i="112"/>
  <c r="A358" i="112"/>
  <c r="CQ357" i="112"/>
  <c r="BS357" i="112"/>
  <c r="BR357" i="112"/>
  <c r="BQ357" i="112"/>
  <c r="BO357" i="112"/>
  <c r="BN357" i="112"/>
  <c r="BL357" i="112"/>
  <c r="BK357" i="112"/>
  <c r="BJ357" i="112"/>
  <c r="AJ357" i="112"/>
  <c r="AW357" i="112" s="1"/>
  <c r="AI357" i="112"/>
  <c r="AV357" i="112" s="1"/>
  <c r="AH357" i="112"/>
  <c r="AU357" i="112" s="1"/>
  <c r="AG357" i="112"/>
  <c r="AT357" i="112" s="1"/>
  <c r="AB357" i="112"/>
  <c r="AA357" i="112"/>
  <c r="Z357" i="112"/>
  <c r="Y357" i="112"/>
  <c r="T357" i="112"/>
  <c r="AS357" i="112" s="1"/>
  <c r="S357" i="112"/>
  <c r="AQ357" i="112" s="1"/>
  <c r="R357" i="112"/>
  <c r="AP357" i="112" s="1"/>
  <c r="Q357" i="112"/>
  <c r="AO357" i="112" s="1"/>
  <c r="B357" i="112"/>
  <c r="A357" i="112"/>
  <c r="CQ356" i="112"/>
  <c r="BS356" i="112"/>
  <c r="BR356" i="112"/>
  <c r="BQ356" i="112"/>
  <c r="BO356" i="112"/>
  <c r="BN356" i="112"/>
  <c r="BL356" i="112"/>
  <c r="BK356" i="112"/>
  <c r="BJ356" i="112"/>
  <c r="AI356" i="112"/>
  <c r="AV356" i="112" s="1"/>
  <c r="AJ356" i="112"/>
  <c r="AW356" i="112" s="1"/>
  <c r="AH356" i="112"/>
  <c r="AU356" i="112" s="1"/>
  <c r="AG356" i="112"/>
  <c r="AT356" i="112" s="1"/>
  <c r="AB356" i="112"/>
  <c r="AA356" i="112"/>
  <c r="Z356" i="112"/>
  <c r="Y356" i="112"/>
  <c r="T356" i="112"/>
  <c r="AS356" i="112" s="1"/>
  <c r="S356" i="112"/>
  <c r="AQ356" i="112" s="1"/>
  <c r="R356" i="112"/>
  <c r="AP356" i="112" s="1"/>
  <c r="Q356" i="112"/>
  <c r="AO356" i="112" s="1"/>
  <c r="B356" i="112"/>
  <c r="A356" i="112"/>
  <c r="CQ355" i="112"/>
  <c r="BS355" i="112"/>
  <c r="BR355" i="112"/>
  <c r="BQ355" i="112"/>
  <c r="BO355" i="112"/>
  <c r="BN355" i="112"/>
  <c r="BL355" i="112"/>
  <c r="BK355" i="112"/>
  <c r="BJ355" i="112"/>
  <c r="AH355" i="112"/>
  <c r="AU355" i="112" s="1"/>
  <c r="AJ355" i="112"/>
  <c r="AW355" i="112" s="1"/>
  <c r="AI355" i="112"/>
  <c r="AV355" i="112" s="1"/>
  <c r="AG355" i="112"/>
  <c r="AT355" i="112" s="1"/>
  <c r="AB355" i="112"/>
  <c r="AA355" i="112"/>
  <c r="Z355" i="112"/>
  <c r="Y355" i="112"/>
  <c r="T355" i="112"/>
  <c r="AS355" i="112" s="1"/>
  <c r="S355" i="112"/>
  <c r="AQ355" i="112" s="1"/>
  <c r="R355" i="112"/>
  <c r="AP355" i="112" s="1"/>
  <c r="Q355" i="112"/>
  <c r="AO355" i="112" s="1"/>
  <c r="B355" i="112"/>
  <c r="A355" i="112"/>
  <c r="CQ354" i="112"/>
  <c r="BS354" i="112"/>
  <c r="BR354" i="112"/>
  <c r="BQ354" i="112"/>
  <c r="BO354" i="112"/>
  <c r="BN354" i="112"/>
  <c r="BL354" i="112"/>
  <c r="BK354" i="112"/>
  <c r="BJ354" i="112"/>
  <c r="AJ354" i="112"/>
  <c r="AW354" i="112" s="1"/>
  <c r="AI354" i="112"/>
  <c r="AV354" i="112" s="1"/>
  <c r="AH354" i="112"/>
  <c r="AU354" i="112" s="1"/>
  <c r="AG354" i="112"/>
  <c r="AT354" i="112" s="1"/>
  <c r="AA354" i="112"/>
  <c r="AB354" i="112"/>
  <c r="Z354" i="112"/>
  <c r="Y354" i="112"/>
  <c r="T354" i="112"/>
  <c r="AS354" i="112" s="1"/>
  <c r="S354" i="112"/>
  <c r="AQ354" i="112" s="1"/>
  <c r="R354" i="112"/>
  <c r="AP354" i="112" s="1"/>
  <c r="Q354" i="112"/>
  <c r="AO354" i="112" s="1"/>
  <c r="B354" i="112"/>
  <c r="A354" i="112"/>
  <c r="CQ353" i="112"/>
  <c r="BS353" i="112"/>
  <c r="BR353" i="112"/>
  <c r="BQ353" i="112"/>
  <c r="BO353" i="112"/>
  <c r="BN353" i="112"/>
  <c r="BL353" i="112"/>
  <c r="BK353" i="112"/>
  <c r="BJ353" i="112"/>
  <c r="AJ353" i="112"/>
  <c r="AW353" i="112" s="1"/>
  <c r="AI353" i="112"/>
  <c r="AV353" i="112" s="1"/>
  <c r="AH353" i="112"/>
  <c r="AU353" i="112" s="1"/>
  <c r="AG353" i="112"/>
  <c r="AT353" i="112" s="1"/>
  <c r="Z353" i="112"/>
  <c r="AB353" i="112"/>
  <c r="AA353" i="112"/>
  <c r="Y353" i="112"/>
  <c r="T353" i="112"/>
  <c r="AS353" i="112" s="1"/>
  <c r="S353" i="112"/>
  <c r="AQ353" i="112" s="1"/>
  <c r="R353" i="112"/>
  <c r="AP353" i="112" s="1"/>
  <c r="Q353" i="112"/>
  <c r="AO353" i="112" s="1"/>
  <c r="B353" i="112"/>
  <c r="A353" i="112"/>
  <c r="CQ352" i="112"/>
  <c r="BS352" i="112"/>
  <c r="BR352" i="112"/>
  <c r="BQ352" i="112"/>
  <c r="BO352" i="112"/>
  <c r="BN352" i="112"/>
  <c r="BL352" i="112"/>
  <c r="BK352" i="112"/>
  <c r="BJ352" i="112"/>
  <c r="AI352" i="112"/>
  <c r="AV352" i="112" s="1"/>
  <c r="AJ352" i="112"/>
  <c r="AW352" i="112" s="1"/>
  <c r="AH352" i="112"/>
  <c r="AU352" i="112" s="1"/>
  <c r="AG352" i="112"/>
  <c r="AT352" i="112" s="1"/>
  <c r="AB352" i="112"/>
  <c r="AA352" i="112"/>
  <c r="Z352" i="112"/>
  <c r="Y352" i="112"/>
  <c r="T352" i="112"/>
  <c r="AS352" i="112" s="1"/>
  <c r="S352" i="112"/>
  <c r="AQ352" i="112" s="1"/>
  <c r="R352" i="112"/>
  <c r="AP352" i="112" s="1"/>
  <c r="Q352" i="112"/>
  <c r="AO352" i="112" s="1"/>
  <c r="B352" i="112"/>
  <c r="A352" i="112"/>
  <c r="CQ351" i="112"/>
  <c r="BS351" i="112"/>
  <c r="BR351" i="112"/>
  <c r="BQ351" i="112"/>
  <c r="BO351" i="112"/>
  <c r="BN351" i="112"/>
  <c r="BL351" i="112"/>
  <c r="BK351" i="112"/>
  <c r="BJ351" i="112"/>
  <c r="AJ351" i="112"/>
  <c r="AW351" i="112" s="1"/>
  <c r="AI351" i="112"/>
  <c r="AV351" i="112" s="1"/>
  <c r="AH351" i="112"/>
  <c r="AU351" i="112" s="1"/>
  <c r="AG351" i="112"/>
  <c r="AT351" i="112" s="1"/>
  <c r="AB351" i="112"/>
  <c r="AA351" i="112"/>
  <c r="Z351" i="112"/>
  <c r="Y351" i="112"/>
  <c r="T351" i="112"/>
  <c r="AS351" i="112" s="1"/>
  <c r="S351" i="112"/>
  <c r="AQ351" i="112" s="1"/>
  <c r="R351" i="112"/>
  <c r="AP351" i="112" s="1"/>
  <c r="Q351" i="112"/>
  <c r="AO351" i="112" s="1"/>
  <c r="B351" i="112"/>
  <c r="A351" i="112"/>
  <c r="CQ350" i="112"/>
  <c r="BS350" i="112"/>
  <c r="BR350" i="112"/>
  <c r="BQ350" i="112"/>
  <c r="BO350" i="112"/>
  <c r="BN350" i="112"/>
  <c r="BL350" i="112"/>
  <c r="BK350" i="112"/>
  <c r="BJ350" i="112"/>
  <c r="AJ350" i="112"/>
  <c r="AW350" i="112" s="1"/>
  <c r="AI350" i="112"/>
  <c r="AV350" i="112" s="1"/>
  <c r="AH350" i="112"/>
  <c r="AU350" i="112" s="1"/>
  <c r="AG350" i="112"/>
  <c r="AT350" i="112" s="1"/>
  <c r="AA350" i="112"/>
  <c r="AB350" i="112"/>
  <c r="Z350" i="112"/>
  <c r="Y350" i="112"/>
  <c r="T350" i="112"/>
  <c r="AS350" i="112" s="1"/>
  <c r="S350" i="112"/>
  <c r="AQ350" i="112" s="1"/>
  <c r="R350" i="112"/>
  <c r="AP350" i="112" s="1"/>
  <c r="Q350" i="112"/>
  <c r="AO350" i="112" s="1"/>
  <c r="B350" i="112"/>
  <c r="A350" i="112"/>
  <c r="CQ349" i="112"/>
  <c r="BS349" i="112"/>
  <c r="BR349" i="112"/>
  <c r="BQ349" i="112"/>
  <c r="BO349" i="112"/>
  <c r="BN349" i="112"/>
  <c r="BL349" i="112"/>
  <c r="BK349" i="112"/>
  <c r="BJ349" i="112"/>
  <c r="AJ349" i="112"/>
  <c r="AW349" i="112" s="1"/>
  <c r="AI349" i="112"/>
  <c r="AV349" i="112" s="1"/>
  <c r="AH349" i="112"/>
  <c r="AU349" i="112" s="1"/>
  <c r="AG349" i="112"/>
  <c r="AT349" i="112" s="1"/>
  <c r="AB349" i="112"/>
  <c r="AA349" i="112"/>
  <c r="Z349" i="112"/>
  <c r="Y349" i="112"/>
  <c r="T349" i="112"/>
  <c r="AS349" i="112" s="1"/>
  <c r="S349" i="112"/>
  <c r="AQ349" i="112" s="1"/>
  <c r="R349" i="112"/>
  <c r="AP349" i="112" s="1"/>
  <c r="Q349" i="112"/>
  <c r="AO349" i="112" s="1"/>
  <c r="B349" i="112"/>
  <c r="A349" i="112"/>
  <c r="CQ348" i="112"/>
  <c r="BS348" i="112"/>
  <c r="BR348" i="112"/>
  <c r="BQ348" i="112"/>
  <c r="BO348" i="112"/>
  <c r="BN348" i="112"/>
  <c r="BL348" i="112"/>
  <c r="BK348" i="112"/>
  <c r="BJ348" i="112"/>
  <c r="AI348" i="112"/>
  <c r="AV348" i="112" s="1"/>
  <c r="AJ348" i="112"/>
  <c r="AW348" i="112" s="1"/>
  <c r="AH348" i="112"/>
  <c r="AU348" i="112" s="1"/>
  <c r="AG348" i="112"/>
  <c r="AT348" i="112" s="1"/>
  <c r="AB348" i="112"/>
  <c r="AA348" i="112"/>
  <c r="Z348" i="112"/>
  <c r="Y348" i="112"/>
  <c r="S348" i="112"/>
  <c r="AQ348" i="112" s="1"/>
  <c r="T348" i="112"/>
  <c r="AS348" i="112" s="1"/>
  <c r="R348" i="112"/>
  <c r="AP348" i="112" s="1"/>
  <c r="Q348" i="112"/>
  <c r="AO348" i="112" s="1"/>
  <c r="B348" i="112"/>
  <c r="A348" i="112"/>
  <c r="CQ347" i="112"/>
  <c r="BS347" i="112"/>
  <c r="BR347" i="112"/>
  <c r="BQ347" i="112"/>
  <c r="BO347" i="112"/>
  <c r="BN347" i="112"/>
  <c r="BL347" i="112"/>
  <c r="BK347" i="112"/>
  <c r="BJ347" i="112"/>
  <c r="AJ347" i="112"/>
  <c r="AW347" i="112" s="1"/>
  <c r="AI347" i="112"/>
  <c r="AV347" i="112" s="1"/>
  <c r="AH347" i="112"/>
  <c r="AU347" i="112" s="1"/>
  <c r="AG347" i="112"/>
  <c r="AT347" i="112" s="1"/>
  <c r="Z347" i="112"/>
  <c r="AB347" i="112"/>
  <c r="AA347" i="112"/>
  <c r="Y347" i="112"/>
  <c r="T347" i="112"/>
  <c r="AS347" i="112" s="1"/>
  <c r="S347" i="112"/>
  <c r="AQ347" i="112" s="1"/>
  <c r="R347" i="112"/>
  <c r="AP347" i="112" s="1"/>
  <c r="Q347" i="112"/>
  <c r="AO347" i="112" s="1"/>
  <c r="B347" i="112"/>
  <c r="A347" i="112"/>
  <c r="CQ346" i="112"/>
  <c r="BS346" i="112"/>
  <c r="BR346" i="112"/>
  <c r="BQ346" i="112"/>
  <c r="BO346" i="112"/>
  <c r="BN346" i="112"/>
  <c r="BL346" i="112"/>
  <c r="BK346" i="112"/>
  <c r="BJ346" i="112"/>
  <c r="AJ346" i="112"/>
  <c r="AW346" i="112" s="1"/>
  <c r="AI346" i="112"/>
  <c r="AV346" i="112" s="1"/>
  <c r="AH346" i="112"/>
  <c r="AU346" i="112" s="1"/>
  <c r="AG346" i="112"/>
  <c r="AT346" i="112" s="1"/>
  <c r="AB346" i="112"/>
  <c r="AA346" i="112"/>
  <c r="Z346" i="112"/>
  <c r="Y346" i="112"/>
  <c r="T346" i="112"/>
  <c r="AS346" i="112" s="1"/>
  <c r="S346" i="112"/>
  <c r="AQ346" i="112" s="1"/>
  <c r="R346" i="112"/>
  <c r="AP346" i="112" s="1"/>
  <c r="Q346" i="112"/>
  <c r="AO346" i="112" s="1"/>
  <c r="B346" i="112"/>
  <c r="A346" i="112"/>
  <c r="CQ345" i="112"/>
  <c r="BS345" i="112"/>
  <c r="BR345" i="112"/>
  <c r="BQ345" i="112"/>
  <c r="BO345" i="112"/>
  <c r="BN345" i="112"/>
  <c r="BL345" i="112"/>
  <c r="BK345" i="112"/>
  <c r="BJ345" i="112"/>
  <c r="AJ345" i="112"/>
  <c r="AW345" i="112" s="1"/>
  <c r="AI345" i="112"/>
  <c r="AV345" i="112" s="1"/>
  <c r="AH345" i="112"/>
  <c r="AU345" i="112" s="1"/>
  <c r="AG345" i="112"/>
  <c r="AT345" i="112" s="1"/>
  <c r="Z345" i="112"/>
  <c r="AB345" i="112"/>
  <c r="AA345" i="112"/>
  <c r="Y345" i="112"/>
  <c r="T345" i="112"/>
  <c r="AS345" i="112" s="1"/>
  <c r="S345" i="112"/>
  <c r="AQ345" i="112" s="1"/>
  <c r="R345" i="112"/>
  <c r="AP345" i="112" s="1"/>
  <c r="Q345" i="112"/>
  <c r="AO345" i="112" s="1"/>
  <c r="I345" i="112"/>
  <c r="I448" i="112" s="1"/>
  <c r="G345" i="112"/>
  <c r="G448" i="112" s="1"/>
  <c r="E345" i="112"/>
  <c r="E448" i="112" s="1"/>
  <c r="B345" i="112"/>
  <c r="A345" i="112"/>
  <c r="CQ344" i="112"/>
  <c r="BS344" i="112"/>
  <c r="BR344" i="112"/>
  <c r="BQ344" i="112"/>
  <c r="BO344" i="112"/>
  <c r="BN344" i="112"/>
  <c r="BL344" i="112"/>
  <c r="BK344" i="112"/>
  <c r="BJ344" i="112"/>
  <c r="AJ344" i="112"/>
  <c r="AW344" i="112" s="1"/>
  <c r="AI344" i="112"/>
  <c r="AV344" i="112" s="1"/>
  <c r="AH344" i="112"/>
  <c r="AU344" i="112" s="1"/>
  <c r="AG344" i="112"/>
  <c r="AT344" i="112" s="1"/>
  <c r="AB344" i="112"/>
  <c r="AA344" i="112"/>
  <c r="Z344" i="112"/>
  <c r="Y344" i="112"/>
  <c r="R344" i="112"/>
  <c r="AP344" i="112" s="1"/>
  <c r="T344" i="112"/>
  <c r="AS344" i="112" s="1"/>
  <c r="S344" i="112"/>
  <c r="AQ344" i="112" s="1"/>
  <c r="Q344" i="112"/>
  <c r="AO344" i="112" s="1"/>
  <c r="B344" i="112"/>
  <c r="A344" i="112"/>
  <c r="CQ343" i="112"/>
  <c r="BS343" i="112"/>
  <c r="BR343" i="112"/>
  <c r="BQ343" i="112"/>
  <c r="BO343" i="112"/>
  <c r="BN343" i="112"/>
  <c r="BL343" i="112"/>
  <c r="BK343" i="112"/>
  <c r="BJ343" i="112"/>
  <c r="AJ343" i="112"/>
  <c r="AW343" i="112" s="1"/>
  <c r="AI343" i="112"/>
  <c r="AV343" i="112" s="1"/>
  <c r="AH343" i="112"/>
  <c r="AU343" i="112" s="1"/>
  <c r="AG343" i="112"/>
  <c r="AT343" i="112" s="1"/>
  <c r="AB343" i="112"/>
  <c r="AA343" i="112"/>
  <c r="Z343" i="112"/>
  <c r="Y343" i="112"/>
  <c r="T343" i="112"/>
  <c r="AS343" i="112" s="1"/>
  <c r="S343" i="112"/>
  <c r="AQ343" i="112" s="1"/>
  <c r="R343" i="112"/>
  <c r="AP343" i="112" s="1"/>
  <c r="Q343" i="112"/>
  <c r="AO343" i="112" s="1"/>
  <c r="B343" i="112"/>
  <c r="A343" i="112"/>
  <c r="CQ342" i="112"/>
  <c r="BS342" i="112"/>
  <c r="BR342" i="112"/>
  <c r="BQ342" i="112"/>
  <c r="BO342" i="112"/>
  <c r="BN342" i="112"/>
  <c r="BL342" i="112"/>
  <c r="BK342" i="112"/>
  <c r="BJ342" i="112"/>
  <c r="AJ342" i="112"/>
  <c r="AW342" i="112" s="1"/>
  <c r="AI342" i="112"/>
  <c r="AV342" i="112" s="1"/>
  <c r="AH342" i="112"/>
  <c r="AU342" i="112" s="1"/>
  <c r="AG342" i="112"/>
  <c r="AT342" i="112" s="1"/>
  <c r="AA342" i="112"/>
  <c r="AB342" i="112"/>
  <c r="Z342" i="112"/>
  <c r="Y342" i="112"/>
  <c r="T342" i="112"/>
  <c r="AS342" i="112" s="1"/>
  <c r="S342" i="112"/>
  <c r="AQ342" i="112" s="1"/>
  <c r="R342" i="112"/>
  <c r="AP342" i="112" s="1"/>
  <c r="Q342" i="112"/>
  <c r="AO342" i="112" s="1"/>
  <c r="I342" i="112"/>
  <c r="I447" i="112" s="1"/>
  <c r="G342" i="112"/>
  <c r="G447" i="112" s="1"/>
  <c r="E342" i="112"/>
  <c r="E447" i="112" s="1"/>
  <c r="B342" i="112"/>
  <c r="A342" i="112"/>
  <c r="CQ341" i="112"/>
  <c r="BS341" i="112"/>
  <c r="BR341" i="112"/>
  <c r="BQ341" i="112"/>
  <c r="BO341" i="112"/>
  <c r="BN341" i="112"/>
  <c r="BL341" i="112"/>
  <c r="BK341" i="112"/>
  <c r="BJ341" i="112"/>
  <c r="AJ341" i="112"/>
  <c r="AW341" i="112" s="1"/>
  <c r="AI341" i="112"/>
  <c r="AV341" i="112" s="1"/>
  <c r="AH341" i="112"/>
  <c r="AU341" i="112" s="1"/>
  <c r="AG341" i="112"/>
  <c r="AT341" i="112" s="1"/>
  <c r="AB341" i="112"/>
  <c r="AA341" i="112"/>
  <c r="Z341" i="112"/>
  <c r="Y341" i="112"/>
  <c r="T341" i="112"/>
  <c r="AS341" i="112" s="1"/>
  <c r="S341" i="112"/>
  <c r="AQ341" i="112" s="1"/>
  <c r="R341" i="112"/>
  <c r="AP341" i="112" s="1"/>
  <c r="Q341" i="112"/>
  <c r="AO341" i="112" s="1"/>
  <c r="I341" i="112"/>
  <c r="I446" i="112" s="1"/>
  <c r="G341" i="112"/>
  <c r="G446" i="112" s="1"/>
  <c r="E341" i="112"/>
  <c r="E446" i="112" s="1"/>
  <c r="B341" i="112"/>
  <c r="A341" i="112"/>
  <c r="CQ340" i="112"/>
  <c r="BS340" i="112"/>
  <c r="BR340" i="112"/>
  <c r="BQ340" i="112"/>
  <c r="BO340" i="112"/>
  <c r="BN340" i="112"/>
  <c r="BL340" i="112"/>
  <c r="BK340" i="112"/>
  <c r="BJ340" i="112"/>
  <c r="AJ340" i="112"/>
  <c r="AW340" i="112" s="1"/>
  <c r="AI340" i="112"/>
  <c r="AV340" i="112" s="1"/>
  <c r="AH340" i="112"/>
  <c r="AU340" i="112" s="1"/>
  <c r="AG340" i="112"/>
  <c r="AT340" i="112" s="1"/>
  <c r="AB340" i="112"/>
  <c r="AA340" i="112"/>
  <c r="Z340" i="112"/>
  <c r="Y340" i="112"/>
  <c r="T340" i="112"/>
  <c r="AS340" i="112" s="1"/>
  <c r="S340" i="112"/>
  <c r="AQ340" i="112" s="1"/>
  <c r="R340" i="112"/>
  <c r="AP340" i="112" s="1"/>
  <c r="Q340" i="112"/>
  <c r="AO340" i="112" s="1"/>
  <c r="B340" i="112"/>
  <c r="A340" i="112"/>
  <c r="CQ339" i="112"/>
  <c r="BS339" i="112"/>
  <c r="BR339" i="112"/>
  <c r="BQ339" i="112"/>
  <c r="BO339" i="112"/>
  <c r="BN339" i="112"/>
  <c r="BL339" i="112"/>
  <c r="BK339" i="112"/>
  <c r="BJ339" i="112"/>
  <c r="AJ339" i="112"/>
  <c r="AW339" i="112" s="1"/>
  <c r="AI339" i="112"/>
  <c r="AV339" i="112" s="1"/>
  <c r="AH339" i="112"/>
  <c r="AU339" i="112" s="1"/>
  <c r="AG339" i="112"/>
  <c r="AT339" i="112" s="1"/>
  <c r="AB339" i="112"/>
  <c r="AA339" i="112"/>
  <c r="Z339" i="112"/>
  <c r="Y339" i="112"/>
  <c r="T339" i="112"/>
  <c r="AS339" i="112" s="1"/>
  <c r="S339" i="112"/>
  <c r="AQ339" i="112" s="1"/>
  <c r="R339" i="112"/>
  <c r="AP339" i="112" s="1"/>
  <c r="Q339" i="112"/>
  <c r="AO339" i="112" s="1"/>
  <c r="B339" i="112"/>
  <c r="A339" i="112"/>
  <c r="CQ338" i="112"/>
  <c r="BS338" i="112"/>
  <c r="BR338" i="112"/>
  <c r="BQ338" i="112"/>
  <c r="BO338" i="112"/>
  <c r="BN338" i="112"/>
  <c r="BL338" i="112"/>
  <c r="BK338" i="112"/>
  <c r="BJ338" i="112"/>
  <c r="AJ338" i="112"/>
  <c r="AW338" i="112" s="1"/>
  <c r="AI338" i="112"/>
  <c r="AV338" i="112" s="1"/>
  <c r="AH338" i="112"/>
  <c r="AU338" i="112" s="1"/>
  <c r="AG338" i="112"/>
  <c r="AT338" i="112" s="1"/>
  <c r="AB338" i="112"/>
  <c r="AA338" i="112"/>
  <c r="Z338" i="112"/>
  <c r="Y338" i="112"/>
  <c r="S338" i="112"/>
  <c r="AQ338" i="112" s="1"/>
  <c r="T338" i="112"/>
  <c r="AS338" i="112" s="1"/>
  <c r="R338" i="112"/>
  <c r="AP338" i="112" s="1"/>
  <c r="Q338" i="112"/>
  <c r="AO338" i="112" s="1"/>
  <c r="I338" i="112"/>
  <c r="G338" i="112"/>
  <c r="E338" i="112"/>
  <c r="B338" i="112"/>
  <c r="CQ337" i="112"/>
  <c r="BS337" i="112"/>
  <c r="BR337" i="112"/>
  <c r="BQ337" i="112"/>
  <c r="BO337" i="112"/>
  <c r="BN337" i="112"/>
  <c r="BL337" i="112"/>
  <c r="BK337" i="112"/>
  <c r="BJ337" i="112"/>
  <c r="AJ337" i="112"/>
  <c r="AW337" i="112" s="1"/>
  <c r="AI337" i="112"/>
  <c r="AV337" i="112" s="1"/>
  <c r="AH337" i="112"/>
  <c r="AU337" i="112" s="1"/>
  <c r="AG337" i="112"/>
  <c r="AT337" i="112" s="1"/>
  <c r="AB337" i="112"/>
  <c r="AA337" i="112"/>
  <c r="Z337" i="112"/>
  <c r="Y337" i="112"/>
  <c r="T337" i="112"/>
  <c r="AS337" i="112" s="1"/>
  <c r="S337" i="112"/>
  <c r="AQ337" i="112" s="1"/>
  <c r="R337" i="112"/>
  <c r="AP337" i="112" s="1"/>
  <c r="Q337" i="112"/>
  <c r="AO337" i="112" s="1"/>
  <c r="B337" i="112"/>
  <c r="A337" i="112"/>
  <c r="CQ336" i="112"/>
  <c r="BS336" i="112"/>
  <c r="BR336" i="112"/>
  <c r="BQ336" i="112"/>
  <c r="BO336" i="112"/>
  <c r="BN336" i="112"/>
  <c r="BL336" i="112"/>
  <c r="BK336" i="112"/>
  <c r="BJ336" i="112"/>
  <c r="AH336" i="112"/>
  <c r="AU336" i="112" s="1"/>
  <c r="AJ336" i="112"/>
  <c r="AW336" i="112" s="1"/>
  <c r="AI336" i="112"/>
  <c r="AV336" i="112" s="1"/>
  <c r="AG336" i="112"/>
  <c r="AT336" i="112" s="1"/>
  <c r="AB336" i="112"/>
  <c r="AA336" i="112"/>
  <c r="Z336" i="112"/>
  <c r="Y336" i="112"/>
  <c r="T336" i="112"/>
  <c r="AS336" i="112" s="1"/>
  <c r="S336" i="112"/>
  <c r="AQ336" i="112" s="1"/>
  <c r="R336" i="112"/>
  <c r="AP336" i="112" s="1"/>
  <c r="Q336" i="112"/>
  <c r="AO336" i="112" s="1"/>
  <c r="B336" i="112"/>
  <c r="A336" i="112"/>
  <c r="CQ335" i="112"/>
  <c r="BS335" i="112"/>
  <c r="BR335" i="112"/>
  <c r="BQ335" i="112"/>
  <c r="BO335" i="112"/>
  <c r="BN335" i="112"/>
  <c r="BL335" i="112"/>
  <c r="BK335" i="112"/>
  <c r="BJ335" i="112"/>
  <c r="AI335" i="112"/>
  <c r="AV335" i="112" s="1"/>
  <c r="AJ335" i="112"/>
  <c r="AW335" i="112" s="1"/>
  <c r="AH335" i="112"/>
  <c r="AU335" i="112" s="1"/>
  <c r="AG335" i="112"/>
  <c r="AT335" i="112" s="1"/>
  <c r="AB335" i="112"/>
  <c r="AA335" i="112"/>
  <c r="Z335" i="112"/>
  <c r="Y335" i="112"/>
  <c r="S335" i="112"/>
  <c r="AQ335" i="112" s="1"/>
  <c r="T335" i="112"/>
  <c r="AS335" i="112" s="1"/>
  <c r="R335" i="112"/>
  <c r="AP335" i="112" s="1"/>
  <c r="Q335" i="112"/>
  <c r="AO335" i="112" s="1"/>
  <c r="B335" i="112"/>
  <c r="A335" i="112"/>
  <c r="CQ334" i="112"/>
  <c r="BS334" i="112"/>
  <c r="BR334" i="112"/>
  <c r="BQ334" i="112"/>
  <c r="BO334" i="112"/>
  <c r="BN334" i="112"/>
  <c r="BL334" i="112"/>
  <c r="BK334" i="112"/>
  <c r="BJ334" i="112"/>
  <c r="AJ334" i="112"/>
  <c r="AW334" i="112" s="1"/>
  <c r="AI334" i="112"/>
  <c r="AV334" i="112" s="1"/>
  <c r="AH334" i="112"/>
  <c r="AU334" i="112" s="1"/>
  <c r="AG334" i="112"/>
  <c r="AT334" i="112" s="1"/>
  <c r="AB334" i="112"/>
  <c r="AA334" i="112"/>
  <c r="Z334" i="112"/>
  <c r="Y334" i="112"/>
  <c r="R334" i="112"/>
  <c r="AP334" i="112" s="1"/>
  <c r="T334" i="112"/>
  <c r="AS334" i="112" s="1"/>
  <c r="S334" i="112"/>
  <c r="AQ334" i="112" s="1"/>
  <c r="Q334" i="112"/>
  <c r="AO334" i="112" s="1"/>
  <c r="B334" i="112"/>
  <c r="A334" i="112"/>
  <c r="CQ333" i="112"/>
  <c r="BS333" i="112"/>
  <c r="BR333" i="112"/>
  <c r="BQ333" i="112"/>
  <c r="BO333" i="112"/>
  <c r="BN333" i="112"/>
  <c r="BL333" i="112"/>
  <c r="BK333" i="112"/>
  <c r="BJ333" i="112"/>
  <c r="AJ333" i="112"/>
  <c r="AW333" i="112" s="1"/>
  <c r="AI333" i="112"/>
  <c r="AV333" i="112" s="1"/>
  <c r="AH333" i="112"/>
  <c r="AU333" i="112" s="1"/>
  <c r="AG333" i="112"/>
  <c r="AT333" i="112" s="1"/>
  <c r="AA333" i="112"/>
  <c r="AB333" i="112"/>
  <c r="Z333" i="112"/>
  <c r="Y333" i="112"/>
  <c r="T333" i="112"/>
  <c r="AS333" i="112" s="1"/>
  <c r="S333" i="112"/>
  <c r="AQ333" i="112" s="1"/>
  <c r="R333" i="112"/>
  <c r="AP333" i="112" s="1"/>
  <c r="Q333" i="112"/>
  <c r="AO333" i="112" s="1"/>
  <c r="I333" i="112"/>
  <c r="G333" i="112"/>
  <c r="E333" i="112"/>
  <c r="B333" i="112"/>
  <c r="A333" i="112"/>
  <c r="CQ332" i="112"/>
  <c r="BS332" i="112"/>
  <c r="BR332" i="112"/>
  <c r="BQ332" i="112"/>
  <c r="BO332" i="112"/>
  <c r="BN332" i="112"/>
  <c r="BL332" i="112"/>
  <c r="BK332" i="112"/>
  <c r="BJ332" i="112"/>
  <c r="AJ332" i="112"/>
  <c r="AW332" i="112" s="1"/>
  <c r="AI332" i="112"/>
  <c r="AV332" i="112" s="1"/>
  <c r="AH332" i="112"/>
  <c r="AU332" i="112" s="1"/>
  <c r="AG332" i="112"/>
  <c r="AT332" i="112" s="1"/>
  <c r="AB332" i="112"/>
  <c r="AA332" i="112"/>
  <c r="Z332" i="112"/>
  <c r="Y332" i="112"/>
  <c r="T332" i="112"/>
  <c r="AS332" i="112" s="1"/>
  <c r="S332" i="112"/>
  <c r="AQ332" i="112" s="1"/>
  <c r="R332" i="112"/>
  <c r="AP332" i="112" s="1"/>
  <c r="Q332" i="112"/>
  <c r="AO332" i="112" s="1"/>
  <c r="I332" i="112"/>
  <c r="G332" i="112"/>
  <c r="E332" i="112"/>
  <c r="B332" i="112"/>
  <c r="A332" i="112"/>
  <c r="CQ331" i="112"/>
  <c r="BS331" i="112"/>
  <c r="BR331" i="112"/>
  <c r="BQ331" i="112"/>
  <c r="BO331" i="112"/>
  <c r="BN331" i="112"/>
  <c r="BL331" i="112"/>
  <c r="BK331" i="112"/>
  <c r="BJ331" i="112"/>
  <c r="AJ331" i="112"/>
  <c r="AW331" i="112" s="1"/>
  <c r="AI331" i="112"/>
  <c r="AV331" i="112" s="1"/>
  <c r="AH331" i="112"/>
  <c r="AU331" i="112" s="1"/>
  <c r="AG331" i="112"/>
  <c r="AT331" i="112" s="1"/>
  <c r="AB331" i="112"/>
  <c r="AA331" i="112"/>
  <c r="Z331" i="112"/>
  <c r="Y331" i="112"/>
  <c r="T331" i="112"/>
  <c r="AS331" i="112" s="1"/>
  <c r="S331" i="112"/>
  <c r="AQ331" i="112" s="1"/>
  <c r="R331" i="112"/>
  <c r="AP331" i="112" s="1"/>
  <c r="Q331" i="112"/>
  <c r="AO331" i="112" s="1"/>
  <c r="I331" i="112"/>
  <c r="G331" i="112"/>
  <c r="E331" i="112"/>
  <c r="B331" i="112"/>
  <c r="A331" i="112"/>
  <c r="CQ330" i="112"/>
  <c r="BS330" i="112"/>
  <c r="BR330" i="112"/>
  <c r="BQ330" i="112"/>
  <c r="BO330" i="112"/>
  <c r="BN330" i="112"/>
  <c r="BL330" i="112"/>
  <c r="BK330" i="112"/>
  <c r="BJ330" i="112"/>
  <c r="AI330" i="112"/>
  <c r="AV330" i="112" s="1"/>
  <c r="AJ330" i="112"/>
  <c r="AW330" i="112" s="1"/>
  <c r="AH330" i="112"/>
  <c r="AU330" i="112" s="1"/>
  <c r="AG330" i="112"/>
  <c r="AT330" i="112" s="1"/>
  <c r="AB330" i="112"/>
  <c r="AA330" i="112"/>
  <c r="Z330" i="112"/>
  <c r="Y330" i="112"/>
  <c r="S330" i="112"/>
  <c r="AQ330" i="112" s="1"/>
  <c r="T330" i="112"/>
  <c r="AS330" i="112" s="1"/>
  <c r="R330" i="112"/>
  <c r="AP330" i="112" s="1"/>
  <c r="Q330" i="112"/>
  <c r="AO330" i="112" s="1"/>
  <c r="I330" i="112"/>
  <c r="G330" i="112"/>
  <c r="E330" i="112"/>
  <c r="B330" i="112"/>
  <c r="A330" i="112"/>
  <c r="CQ329" i="112"/>
  <c r="BS329" i="112"/>
  <c r="BR329" i="112"/>
  <c r="BQ329" i="112"/>
  <c r="BO329" i="112"/>
  <c r="BN329" i="112"/>
  <c r="BL329" i="112"/>
  <c r="BK329" i="112"/>
  <c r="BJ329" i="112"/>
  <c r="AJ329" i="112"/>
  <c r="AW329" i="112" s="1"/>
  <c r="AI329" i="112"/>
  <c r="AV329" i="112" s="1"/>
  <c r="AH329" i="112"/>
  <c r="AU329" i="112" s="1"/>
  <c r="AG329" i="112"/>
  <c r="AT329" i="112" s="1"/>
  <c r="AB329" i="112"/>
  <c r="AA329" i="112"/>
  <c r="Z329" i="112"/>
  <c r="Y329" i="112"/>
  <c r="T329" i="112"/>
  <c r="AS329" i="112" s="1"/>
  <c r="S329" i="112"/>
  <c r="AQ329" i="112" s="1"/>
  <c r="R329" i="112"/>
  <c r="AP329" i="112" s="1"/>
  <c r="Q329" i="112"/>
  <c r="AO329" i="112" s="1"/>
  <c r="B329" i="112"/>
  <c r="A329" i="112"/>
  <c r="CQ328" i="112"/>
  <c r="BS328" i="112"/>
  <c r="BR328" i="112"/>
  <c r="BQ328" i="112"/>
  <c r="BO328" i="112"/>
  <c r="BN328" i="112"/>
  <c r="BL328" i="112"/>
  <c r="BK328" i="112"/>
  <c r="BJ328" i="112"/>
  <c r="AJ328" i="112"/>
  <c r="AW328" i="112" s="1"/>
  <c r="AI328" i="112"/>
  <c r="AV328" i="112" s="1"/>
  <c r="AH328" i="112"/>
  <c r="AU328" i="112" s="1"/>
  <c r="AG328" i="112"/>
  <c r="AT328" i="112" s="1"/>
  <c r="AB328" i="112"/>
  <c r="AA328" i="112"/>
  <c r="Z328" i="112"/>
  <c r="Y328" i="112"/>
  <c r="T328" i="112"/>
  <c r="AS328" i="112" s="1"/>
  <c r="S328" i="112"/>
  <c r="AQ328" i="112" s="1"/>
  <c r="R328" i="112"/>
  <c r="AP328" i="112" s="1"/>
  <c r="Q328" i="112"/>
  <c r="AO328" i="112" s="1"/>
  <c r="I328" i="112"/>
  <c r="G328" i="112"/>
  <c r="E328" i="112"/>
  <c r="B328" i="112"/>
  <c r="A328" i="112"/>
  <c r="CQ327" i="112"/>
  <c r="BS327" i="112"/>
  <c r="BR327" i="112"/>
  <c r="BQ327" i="112"/>
  <c r="BO327" i="112"/>
  <c r="BN327" i="112"/>
  <c r="BL327" i="112"/>
  <c r="BK327" i="112"/>
  <c r="BJ327" i="112"/>
  <c r="AI327" i="112"/>
  <c r="AV327" i="112" s="1"/>
  <c r="AJ327" i="112"/>
  <c r="AW327" i="112" s="1"/>
  <c r="AH327" i="112"/>
  <c r="AU327" i="112" s="1"/>
  <c r="AG327" i="112"/>
  <c r="AT327" i="112" s="1"/>
  <c r="AB327" i="112"/>
  <c r="Z327" i="112"/>
  <c r="AA327" i="112"/>
  <c r="Y327" i="112"/>
  <c r="T327" i="112"/>
  <c r="AS327" i="112" s="1"/>
  <c r="S327" i="112"/>
  <c r="AQ327" i="112" s="1"/>
  <c r="R327" i="112"/>
  <c r="AP327" i="112" s="1"/>
  <c r="Q327" i="112"/>
  <c r="AO327" i="112" s="1"/>
  <c r="I327" i="112"/>
  <c r="G327" i="112"/>
  <c r="E327" i="112"/>
  <c r="B327" i="112"/>
  <c r="A327" i="112"/>
  <c r="CQ326" i="112"/>
  <c r="BS326" i="112"/>
  <c r="BR326" i="112"/>
  <c r="BQ326" i="112"/>
  <c r="BO326" i="112"/>
  <c r="BN326" i="112"/>
  <c r="BL326" i="112"/>
  <c r="BK326" i="112"/>
  <c r="BJ326" i="112"/>
  <c r="AJ326" i="112"/>
  <c r="AW326" i="112" s="1"/>
  <c r="AI326" i="112"/>
  <c r="AV326" i="112" s="1"/>
  <c r="AH326" i="112"/>
  <c r="AU326" i="112" s="1"/>
  <c r="AG326" i="112"/>
  <c r="AT326" i="112" s="1"/>
  <c r="AB326" i="112"/>
  <c r="AA326" i="112"/>
  <c r="Z326" i="112"/>
  <c r="Y326" i="112"/>
  <c r="T326" i="112"/>
  <c r="AS326" i="112" s="1"/>
  <c r="S326" i="112"/>
  <c r="AQ326" i="112" s="1"/>
  <c r="R326" i="112"/>
  <c r="AP326" i="112" s="1"/>
  <c r="Q326" i="112"/>
  <c r="AO326" i="112" s="1"/>
  <c r="I326" i="112"/>
  <c r="G326" i="112"/>
  <c r="E326" i="112"/>
  <c r="B326" i="112"/>
  <c r="A326" i="112"/>
  <c r="CQ325" i="112"/>
  <c r="BS325" i="112"/>
  <c r="BR325" i="112"/>
  <c r="BQ325" i="112"/>
  <c r="BO325" i="112"/>
  <c r="BN325" i="112"/>
  <c r="BL325" i="112"/>
  <c r="BK325" i="112"/>
  <c r="BJ325" i="112"/>
  <c r="AJ325" i="112"/>
  <c r="AW325" i="112" s="1"/>
  <c r="AI325" i="112"/>
  <c r="AV325" i="112" s="1"/>
  <c r="AH325" i="112"/>
  <c r="AU325" i="112" s="1"/>
  <c r="AG325" i="112"/>
  <c r="AT325" i="112" s="1"/>
  <c r="AB325" i="112"/>
  <c r="AA325" i="112"/>
  <c r="Z325" i="112"/>
  <c r="Y325" i="112"/>
  <c r="T325" i="112"/>
  <c r="AS325" i="112" s="1"/>
  <c r="S325" i="112"/>
  <c r="AQ325" i="112" s="1"/>
  <c r="R325" i="112"/>
  <c r="AP325" i="112" s="1"/>
  <c r="Q325" i="112"/>
  <c r="AO325" i="112" s="1"/>
  <c r="I325" i="112"/>
  <c r="G325" i="112"/>
  <c r="E325" i="112"/>
  <c r="B325" i="112"/>
  <c r="A325" i="112"/>
  <c r="CQ324" i="112"/>
  <c r="BS324" i="112"/>
  <c r="BR324" i="112"/>
  <c r="BQ324" i="112"/>
  <c r="BO324" i="112"/>
  <c r="BN324" i="112"/>
  <c r="BL324" i="112"/>
  <c r="BK324" i="112"/>
  <c r="BJ324" i="112"/>
  <c r="AJ324" i="112"/>
  <c r="AW324" i="112" s="1"/>
  <c r="AI324" i="112"/>
  <c r="AV324" i="112" s="1"/>
  <c r="AH324" i="112"/>
  <c r="AU324" i="112" s="1"/>
  <c r="AG324" i="112"/>
  <c r="AT324" i="112" s="1"/>
  <c r="AB324" i="112"/>
  <c r="AA324" i="112"/>
  <c r="Z324" i="112"/>
  <c r="Y324" i="112"/>
  <c r="S324" i="112"/>
  <c r="AQ324" i="112" s="1"/>
  <c r="T324" i="112"/>
  <c r="AS324" i="112" s="1"/>
  <c r="R324" i="112"/>
  <c r="AP324" i="112" s="1"/>
  <c r="Q324" i="112"/>
  <c r="AO324" i="112" s="1"/>
  <c r="B324" i="112"/>
  <c r="A324" i="112"/>
  <c r="CQ320" i="112"/>
  <c r="BS320" i="112"/>
  <c r="BR320" i="112"/>
  <c r="BQ320" i="112"/>
  <c r="BO320" i="112"/>
  <c r="BN320" i="112"/>
  <c r="BL320" i="112"/>
  <c r="BK320" i="112"/>
  <c r="BJ320" i="112"/>
  <c r="CQ319" i="112"/>
  <c r="BS319" i="112"/>
  <c r="BR319" i="112"/>
  <c r="BQ319" i="112"/>
  <c r="BO319" i="112"/>
  <c r="BN319" i="112"/>
  <c r="BL319" i="112"/>
  <c r="BK319" i="112"/>
  <c r="BJ319" i="112"/>
  <c r="CQ318" i="112"/>
  <c r="BS318" i="112"/>
  <c r="BR318" i="112"/>
  <c r="BQ318" i="112"/>
  <c r="BO318" i="112"/>
  <c r="BN318" i="112"/>
  <c r="BL318" i="112"/>
  <c r="BK318" i="112"/>
  <c r="BJ318" i="112"/>
  <c r="J318" i="112"/>
  <c r="J319" i="112" s="1"/>
  <c r="I319" i="112" s="1"/>
  <c r="H318" i="112"/>
  <c r="F318" i="112"/>
  <c r="F319" i="112" s="1"/>
  <c r="CQ317" i="112"/>
  <c r="BS317" i="112"/>
  <c r="BR317" i="112"/>
  <c r="BQ317" i="112"/>
  <c r="BO317" i="112"/>
  <c r="BN317" i="112"/>
  <c r="BA317" i="112"/>
  <c r="AZ317" i="112"/>
  <c r="BL317" i="112" s="1"/>
  <c r="AY317" i="112"/>
  <c r="BK317" i="112" s="1"/>
  <c r="AX317" i="112"/>
  <c r="BJ317" i="112" s="1"/>
  <c r="AJ317" i="112"/>
  <c r="AW317" i="112" s="1"/>
  <c r="AI317" i="112"/>
  <c r="AV317" i="112" s="1"/>
  <c r="AH317" i="112"/>
  <c r="AU317" i="112" s="1"/>
  <c r="AG317" i="112"/>
  <c r="AT317" i="112" s="1"/>
  <c r="AB317" i="112"/>
  <c r="AA317" i="112"/>
  <c r="Z317" i="112"/>
  <c r="Y317" i="112"/>
  <c r="T317" i="112"/>
  <c r="AS317" i="112" s="1"/>
  <c r="S317" i="112"/>
  <c r="AQ317" i="112" s="1"/>
  <c r="R317" i="112"/>
  <c r="AP317" i="112" s="1"/>
  <c r="Q317" i="112"/>
  <c r="AO317" i="112" s="1"/>
  <c r="I317" i="112"/>
  <c r="G317" i="112"/>
  <c r="E317" i="112"/>
  <c r="CQ316" i="112"/>
  <c r="BS316" i="112"/>
  <c r="BR316" i="112"/>
  <c r="BQ316" i="112"/>
  <c r="BO316" i="112"/>
  <c r="BA316" i="112"/>
  <c r="BN316" i="112" s="1"/>
  <c r="AZ316" i="112"/>
  <c r="BL316" i="112" s="1"/>
  <c r="AY316" i="112"/>
  <c r="BK316" i="112" s="1"/>
  <c r="AX316" i="112"/>
  <c r="BJ316" i="112" s="1"/>
  <c r="AJ316" i="112"/>
  <c r="AW316" i="112" s="1"/>
  <c r="AI316" i="112"/>
  <c r="AV316" i="112" s="1"/>
  <c r="AH316" i="112"/>
  <c r="AU316" i="112" s="1"/>
  <c r="AG316" i="112"/>
  <c r="AT316" i="112" s="1"/>
  <c r="Z316" i="112"/>
  <c r="AB316" i="112"/>
  <c r="AA316" i="112"/>
  <c r="Y316" i="112"/>
  <c r="R316" i="112"/>
  <c r="AP316" i="112" s="1"/>
  <c r="T316" i="112"/>
  <c r="AS316" i="112" s="1"/>
  <c r="S316" i="112"/>
  <c r="AQ316" i="112" s="1"/>
  <c r="Q316" i="112"/>
  <c r="AO316" i="112" s="1"/>
  <c r="I316" i="112"/>
  <c r="G316" i="112"/>
  <c r="E316" i="112"/>
  <c r="CQ315" i="112"/>
  <c r="BS315" i="112"/>
  <c r="BR315" i="112"/>
  <c r="BQ315" i="112"/>
  <c r="BO315" i="112"/>
  <c r="BA315" i="112"/>
  <c r="BN315" i="112" s="1"/>
  <c r="AZ315" i="112"/>
  <c r="BL315" i="112" s="1"/>
  <c r="AY315" i="112"/>
  <c r="BK315" i="112" s="1"/>
  <c r="AX315" i="112"/>
  <c r="BJ315" i="112" s="1"/>
  <c r="AJ315" i="112"/>
  <c r="AW315" i="112" s="1"/>
  <c r="AI315" i="112"/>
  <c r="AV315" i="112" s="1"/>
  <c r="AH315" i="112"/>
  <c r="AU315" i="112" s="1"/>
  <c r="AG315" i="112"/>
  <c r="AT315" i="112" s="1"/>
  <c r="AB315" i="112"/>
  <c r="AA315" i="112"/>
  <c r="Z315" i="112"/>
  <c r="Y315" i="112"/>
  <c r="T315" i="112"/>
  <c r="AS315" i="112" s="1"/>
  <c r="S315" i="112"/>
  <c r="AQ315" i="112" s="1"/>
  <c r="R315" i="112"/>
  <c r="AP315" i="112" s="1"/>
  <c r="Q315" i="112"/>
  <c r="AO315" i="112" s="1"/>
  <c r="I315" i="112"/>
  <c r="G315" i="112"/>
  <c r="E315" i="112"/>
  <c r="CQ314" i="112"/>
  <c r="BS314" i="112"/>
  <c r="BR314" i="112"/>
  <c r="BQ314" i="112"/>
  <c r="BO314" i="112"/>
  <c r="BN314" i="112"/>
  <c r="BL314" i="112"/>
  <c r="BK314" i="112"/>
  <c r="BJ314" i="112"/>
  <c r="AJ314" i="112"/>
  <c r="AW314" i="112" s="1"/>
  <c r="AI314" i="112"/>
  <c r="AV314" i="112" s="1"/>
  <c r="AH314" i="112"/>
  <c r="AU314" i="112" s="1"/>
  <c r="AG314" i="112"/>
  <c r="AT314" i="112" s="1"/>
  <c r="I314" i="112"/>
  <c r="H314" i="112"/>
  <c r="Z314" i="112" s="1"/>
  <c r="F314" i="112"/>
  <c r="CQ313" i="112"/>
  <c r="BS313" i="112"/>
  <c r="BR313" i="112"/>
  <c r="BQ313" i="112"/>
  <c r="BO313" i="112"/>
  <c r="BN313" i="112"/>
  <c r="BL313" i="112"/>
  <c r="BK313" i="112"/>
  <c r="BJ313" i="112"/>
  <c r="AJ313" i="112"/>
  <c r="AW313" i="112" s="1"/>
  <c r="AI313" i="112"/>
  <c r="AV313" i="112" s="1"/>
  <c r="AH313" i="112"/>
  <c r="AU313" i="112" s="1"/>
  <c r="AG313" i="112"/>
  <c r="AT313" i="112" s="1"/>
  <c r="AB313" i="112"/>
  <c r="AA313" i="112"/>
  <c r="Z313" i="112"/>
  <c r="Y313" i="112"/>
  <c r="T313" i="112"/>
  <c r="AS313" i="112" s="1"/>
  <c r="S313" i="112"/>
  <c r="AQ313" i="112" s="1"/>
  <c r="R313" i="112"/>
  <c r="AP313" i="112" s="1"/>
  <c r="Q313" i="112"/>
  <c r="AO313" i="112" s="1"/>
  <c r="A313" i="112"/>
  <c r="CQ312" i="112"/>
  <c r="BS312" i="112"/>
  <c r="BR312" i="112"/>
  <c r="BQ312" i="112"/>
  <c r="BO312" i="112"/>
  <c r="BN312" i="112"/>
  <c r="BL312" i="112"/>
  <c r="BK312" i="112"/>
  <c r="BJ312" i="112"/>
  <c r="AH312" i="112"/>
  <c r="AU312" i="112" s="1"/>
  <c r="AJ312" i="112"/>
  <c r="AW312" i="112" s="1"/>
  <c r="AI312" i="112"/>
  <c r="AV312" i="112" s="1"/>
  <c r="AG312" i="112"/>
  <c r="AT312" i="112" s="1"/>
  <c r="AB312" i="112"/>
  <c r="AA312" i="112"/>
  <c r="Z312" i="112"/>
  <c r="Y312" i="112"/>
  <c r="T312" i="112"/>
  <c r="AS312" i="112" s="1"/>
  <c r="S312" i="112"/>
  <c r="AQ312" i="112" s="1"/>
  <c r="R312" i="112"/>
  <c r="AP312" i="112" s="1"/>
  <c r="Q312" i="112"/>
  <c r="AO312" i="112" s="1"/>
  <c r="A312" i="112"/>
  <c r="CQ311" i="112"/>
  <c r="BS311" i="112"/>
  <c r="BR311" i="112"/>
  <c r="BQ311" i="112"/>
  <c r="BO311" i="112"/>
  <c r="BN311" i="112"/>
  <c r="BL311" i="112"/>
  <c r="BK311" i="112"/>
  <c r="BJ311" i="112"/>
  <c r="AJ311" i="112"/>
  <c r="AW311" i="112" s="1"/>
  <c r="AI311" i="112"/>
  <c r="AV311" i="112" s="1"/>
  <c r="AH311" i="112"/>
  <c r="AU311" i="112" s="1"/>
  <c r="AG311" i="112"/>
  <c r="AT311" i="112" s="1"/>
  <c r="AB311" i="112"/>
  <c r="AA311" i="112"/>
  <c r="Z311" i="112"/>
  <c r="Y311" i="112"/>
  <c r="T311" i="112"/>
  <c r="AS311" i="112" s="1"/>
  <c r="S311" i="112"/>
  <c r="AQ311" i="112" s="1"/>
  <c r="R311" i="112"/>
  <c r="AP311" i="112" s="1"/>
  <c r="Q311" i="112"/>
  <c r="AO311" i="112" s="1"/>
  <c r="A311" i="112"/>
  <c r="CQ310" i="112"/>
  <c r="BS310" i="112"/>
  <c r="BR310" i="112"/>
  <c r="BQ310" i="112"/>
  <c r="BO310" i="112"/>
  <c r="BN310" i="112"/>
  <c r="BL310" i="112"/>
  <c r="BK310" i="112"/>
  <c r="BJ310" i="112"/>
  <c r="AJ310" i="112"/>
  <c r="AW310" i="112" s="1"/>
  <c r="AI310" i="112"/>
  <c r="AV310" i="112" s="1"/>
  <c r="AH310" i="112"/>
  <c r="AU310" i="112" s="1"/>
  <c r="AG310" i="112"/>
  <c r="AT310" i="112" s="1"/>
  <c r="AB310" i="112"/>
  <c r="AA310" i="112"/>
  <c r="Z310" i="112"/>
  <c r="Y310" i="112"/>
  <c r="T310" i="112"/>
  <c r="AS310" i="112" s="1"/>
  <c r="S310" i="112"/>
  <c r="AQ310" i="112" s="1"/>
  <c r="R310" i="112"/>
  <c r="AP310" i="112" s="1"/>
  <c r="Q310" i="112"/>
  <c r="AO310" i="112" s="1"/>
  <c r="A310" i="112"/>
  <c r="CQ309" i="112"/>
  <c r="BS309" i="112"/>
  <c r="BR309" i="112"/>
  <c r="BQ309" i="112"/>
  <c r="BO309" i="112"/>
  <c r="BN309" i="112"/>
  <c r="BL309" i="112"/>
  <c r="BK309" i="112"/>
  <c r="BJ309" i="112"/>
  <c r="AJ309" i="112"/>
  <c r="AW309" i="112" s="1"/>
  <c r="AI309" i="112"/>
  <c r="AV309" i="112" s="1"/>
  <c r="AH309" i="112"/>
  <c r="AU309" i="112" s="1"/>
  <c r="AG309" i="112"/>
  <c r="AT309" i="112" s="1"/>
  <c r="AB309" i="112"/>
  <c r="AA309" i="112"/>
  <c r="Z309" i="112"/>
  <c r="Y309" i="112"/>
  <c r="T309" i="112"/>
  <c r="AS309" i="112" s="1"/>
  <c r="S309" i="112"/>
  <c r="AQ309" i="112" s="1"/>
  <c r="R309" i="112"/>
  <c r="AP309" i="112" s="1"/>
  <c r="Q309" i="112"/>
  <c r="AO309" i="112" s="1"/>
  <c r="A309" i="112"/>
  <c r="CQ308" i="112"/>
  <c r="BS308" i="112"/>
  <c r="BR308" i="112"/>
  <c r="BQ308" i="112"/>
  <c r="BO308" i="112"/>
  <c r="BN308" i="112"/>
  <c r="BL308" i="112"/>
  <c r="BK308" i="112"/>
  <c r="BJ308" i="112"/>
  <c r="AH308" i="112"/>
  <c r="AU308" i="112" s="1"/>
  <c r="AJ308" i="112"/>
  <c r="AW308" i="112" s="1"/>
  <c r="AI308" i="112"/>
  <c r="AV308" i="112" s="1"/>
  <c r="AG308" i="112"/>
  <c r="AT308" i="112" s="1"/>
  <c r="AB308" i="112"/>
  <c r="AA308" i="112"/>
  <c r="Z308" i="112"/>
  <c r="Y308" i="112"/>
  <c r="T308" i="112"/>
  <c r="AS308" i="112" s="1"/>
  <c r="S308" i="112"/>
  <c r="AQ308" i="112" s="1"/>
  <c r="R308" i="112"/>
  <c r="AP308" i="112" s="1"/>
  <c r="Q308" i="112"/>
  <c r="AO308" i="112" s="1"/>
  <c r="A308" i="112"/>
  <c r="CQ307" i="112"/>
  <c r="BS307" i="112"/>
  <c r="BR307" i="112"/>
  <c r="BQ307" i="112"/>
  <c r="BO307" i="112"/>
  <c r="BN307" i="112"/>
  <c r="BL307" i="112"/>
  <c r="BK307" i="112"/>
  <c r="BJ307" i="112"/>
  <c r="AJ307" i="112"/>
  <c r="AW307" i="112" s="1"/>
  <c r="AI307" i="112"/>
  <c r="AV307" i="112" s="1"/>
  <c r="AH307" i="112"/>
  <c r="AU307" i="112" s="1"/>
  <c r="AG307" i="112"/>
  <c r="AT307" i="112" s="1"/>
  <c r="AB307" i="112"/>
  <c r="AA307" i="112"/>
  <c r="Z307" i="112"/>
  <c r="Y307" i="112"/>
  <c r="T307" i="112"/>
  <c r="AS307" i="112" s="1"/>
  <c r="S307" i="112"/>
  <c r="AQ307" i="112" s="1"/>
  <c r="R307" i="112"/>
  <c r="AP307" i="112" s="1"/>
  <c r="Q307" i="112"/>
  <c r="AO307" i="112" s="1"/>
  <c r="A307" i="112"/>
  <c r="CQ306" i="112"/>
  <c r="BS306" i="112"/>
  <c r="BR306" i="112"/>
  <c r="BQ306" i="112"/>
  <c r="BO306" i="112"/>
  <c r="BN306" i="112"/>
  <c r="BL306" i="112"/>
  <c r="BK306" i="112"/>
  <c r="BJ306" i="112"/>
  <c r="AJ306" i="112"/>
  <c r="AW306" i="112" s="1"/>
  <c r="AI306" i="112"/>
  <c r="AV306" i="112" s="1"/>
  <c r="AH306" i="112"/>
  <c r="AU306" i="112" s="1"/>
  <c r="AG306" i="112"/>
  <c r="AT306" i="112" s="1"/>
  <c r="AB306" i="112"/>
  <c r="AA306" i="112"/>
  <c r="Z306" i="112"/>
  <c r="Y306" i="112"/>
  <c r="T306" i="112"/>
  <c r="AS306" i="112" s="1"/>
  <c r="S306" i="112"/>
  <c r="AQ306" i="112" s="1"/>
  <c r="R306" i="112"/>
  <c r="AP306" i="112" s="1"/>
  <c r="Q306" i="112"/>
  <c r="AO306" i="112" s="1"/>
  <c r="A306" i="112"/>
  <c r="CQ305" i="112"/>
  <c r="BS305" i="112"/>
  <c r="BR305" i="112"/>
  <c r="BQ305" i="112"/>
  <c r="BO305" i="112"/>
  <c r="BN305" i="112"/>
  <c r="BL305" i="112"/>
  <c r="BK305" i="112"/>
  <c r="BJ305" i="112"/>
  <c r="AJ305" i="112"/>
  <c r="AW305" i="112" s="1"/>
  <c r="AI305" i="112"/>
  <c r="AV305" i="112" s="1"/>
  <c r="AH305" i="112"/>
  <c r="AU305" i="112" s="1"/>
  <c r="AG305" i="112"/>
  <c r="AT305" i="112" s="1"/>
  <c r="AB305" i="112"/>
  <c r="AA305" i="112"/>
  <c r="Z305" i="112"/>
  <c r="Y305" i="112"/>
  <c r="T305" i="112"/>
  <c r="AS305" i="112" s="1"/>
  <c r="S305" i="112"/>
  <c r="AQ305" i="112" s="1"/>
  <c r="R305" i="112"/>
  <c r="AP305" i="112" s="1"/>
  <c r="Q305" i="112"/>
  <c r="AO305" i="112" s="1"/>
  <c r="A305" i="112"/>
  <c r="CQ304" i="112"/>
  <c r="BS304" i="112"/>
  <c r="BR304" i="112"/>
  <c r="BQ304" i="112"/>
  <c r="BO304" i="112"/>
  <c r="BN304" i="112"/>
  <c r="BL304" i="112"/>
  <c r="BK304" i="112"/>
  <c r="BJ304" i="112"/>
  <c r="AJ304" i="112"/>
  <c r="AW304" i="112" s="1"/>
  <c r="AI304" i="112"/>
  <c r="AV304" i="112" s="1"/>
  <c r="AH304" i="112"/>
  <c r="AU304" i="112" s="1"/>
  <c r="AG304" i="112"/>
  <c r="AT304" i="112" s="1"/>
  <c r="AB304" i="112"/>
  <c r="AA304" i="112"/>
  <c r="Z304" i="112"/>
  <c r="Y304" i="112"/>
  <c r="T304" i="112"/>
  <c r="AS304" i="112" s="1"/>
  <c r="S304" i="112"/>
  <c r="AQ304" i="112" s="1"/>
  <c r="R304" i="112"/>
  <c r="AP304" i="112" s="1"/>
  <c r="Q304" i="112"/>
  <c r="AO304" i="112" s="1"/>
  <c r="A304" i="112"/>
  <c r="CQ303" i="112"/>
  <c r="BS303" i="112"/>
  <c r="BR303" i="112"/>
  <c r="BQ303" i="112"/>
  <c r="BO303" i="112"/>
  <c r="BN303" i="112"/>
  <c r="BL303" i="112"/>
  <c r="BK303" i="112"/>
  <c r="BJ303" i="112"/>
  <c r="AJ303" i="112"/>
  <c r="AW303" i="112" s="1"/>
  <c r="AI303" i="112"/>
  <c r="AV303" i="112" s="1"/>
  <c r="AH303" i="112"/>
  <c r="AU303" i="112" s="1"/>
  <c r="AG303" i="112"/>
  <c r="AT303" i="112" s="1"/>
  <c r="AA303" i="112"/>
  <c r="AB303" i="112"/>
  <c r="Z303" i="112"/>
  <c r="Y303" i="112"/>
  <c r="T303" i="112"/>
  <c r="AS303" i="112" s="1"/>
  <c r="S303" i="112"/>
  <c r="AQ303" i="112" s="1"/>
  <c r="R303" i="112"/>
  <c r="AP303" i="112" s="1"/>
  <c r="Q303" i="112"/>
  <c r="AO303" i="112" s="1"/>
  <c r="A303" i="112"/>
  <c r="CQ302" i="112"/>
  <c r="BS302" i="112"/>
  <c r="BR302" i="112"/>
  <c r="BQ302" i="112"/>
  <c r="BO302" i="112"/>
  <c r="BN302" i="112"/>
  <c r="BL302" i="112"/>
  <c r="BK302" i="112"/>
  <c r="BJ302" i="112"/>
  <c r="AJ302" i="112"/>
  <c r="AW302" i="112" s="1"/>
  <c r="AI302" i="112"/>
  <c r="AV302" i="112" s="1"/>
  <c r="AH302" i="112"/>
  <c r="AU302" i="112" s="1"/>
  <c r="AG302" i="112"/>
  <c r="AT302" i="112" s="1"/>
  <c r="AB302" i="112"/>
  <c r="AA302" i="112"/>
  <c r="Z302" i="112"/>
  <c r="Y302" i="112"/>
  <c r="T302" i="112"/>
  <c r="AS302" i="112" s="1"/>
  <c r="S302" i="112"/>
  <c r="AQ302" i="112" s="1"/>
  <c r="R302" i="112"/>
  <c r="AP302" i="112" s="1"/>
  <c r="Q302" i="112"/>
  <c r="AO302" i="112" s="1"/>
  <c r="A302" i="112"/>
  <c r="CQ301" i="112"/>
  <c r="BS301" i="112"/>
  <c r="BR301" i="112"/>
  <c r="BQ301" i="112"/>
  <c r="BO301" i="112"/>
  <c r="BN301" i="112"/>
  <c r="BL301" i="112"/>
  <c r="BK301" i="112"/>
  <c r="BJ301" i="112"/>
  <c r="AJ301" i="112"/>
  <c r="AW301" i="112" s="1"/>
  <c r="AI301" i="112"/>
  <c r="AV301" i="112" s="1"/>
  <c r="AH301" i="112"/>
  <c r="AU301" i="112" s="1"/>
  <c r="AG301" i="112"/>
  <c r="AT301" i="112" s="1"/>
  <c r="AB301" i="112"/>
  <c r="AA301" i="112"/>
  <c r="Z301" i="112"/>
  <c r="Y301" i="112"/>
  <c r="T301" i="112"/>
  <c r="AS301" i="112" s="1"/>
  <c r="S301" i="112"/>
  <c r="AQ301" i="112" s="1"/>
  <c r="R301" i="112"/>
  <c r="AP301" i="112" s="1"/>
  <c r="Q301" i="112"/>
  <c r="AO301" i="112" s="1"/>
  <c r="A301" i="112"/>
  <c r="CQ300" i="112"/>
  <c r="BS300" i="112"/>
  <c r="BR300" i="112"/>
  <c r="BQ300" i="112"/>
  <c r="BO300" i="112"/>
  <c r="BN300" i="112"/>
  <c r="BL300" i="112"/>
  <c r="BK300" i="112"/>
  <c r="BJ300" i="112"/>
  <c r="AJ300" i="112"/>
  <c r="AW300" i="112" s="1"/>
  <c r="AI300" i="112"/>
  <c r="AV300" i="112" s="1"/>
  <c r="AH300" i="112"/>
  <c r="AU300" i="112" s="1"/>
  <c r="AG300" i="112"/>
  <c r="AT300" i="112" s="1"/>
  <c r="AB300" i="112"/>
  <c r="AA300" i="112"/>
  <c r="Z300" i="112"/>
  <c r="Y300" i="112"/>
  <c r="R300" i="112"/>
  <c r="AP300" i="112" s="1"/>
  <c r="T300" i="112"/>
  <c r="AS300" i="112" s="1"/>
  <c r="S300" i="112"/>
  <c r="AQ300" i="112" s="1"/>
  <c r="Q300" i="112"/>
  <c r="AO300" i="112" s="1"/>
  <c r="A300" i="112"/>
  <c r="CQ299" i="112"/>
  <c r="BS299" i="112"/>
  <c r="BR299" i="112"/>
  <c r="BQ299" i="112"/>
  <c r="BO299" i="112"/>
  <c r="BN299" i="112"/>
  <c r="BL299" i="112"/>
  <c r="BK299" i="112"/>
  <c r="BJ299" i="112"/>
  <c r="AJ299" i="112"/>
  <c r="AW299" i="112" s="1"/>
  <c r="AI299" i="112"/>
  <c r="AV299" i="112" s="1"/>
  <c r="AH299" i="112"/>
  <c r="AU299" i="112" s="1"/>
  <c r="AG299" i="112"/>
  <c r="AT299" i="112" s="1"/>
  <c r="AB299" i="112"/>
  <c r="AA299" i="112"/>
  <c r="Z299" i="112"/>
  <c r="Y299" i="112"/>
  <c r="T299" i="112"/>
  <c r="AS299" i="112" s="1"/>
  <c r="S299" i="112"/>
  <c r="AQ299" i="112" s="1"/>
  <c r="R299" i="112"/>
  <c r="AP299" i="112" s="1"/>
  <c r="Q299" i="112"/>
  <c r="AO299" i="112" s="1"/>
  <c r="A299" i="112"/>
  <c r="CQ298" i="112"/>
  <c r="BS298" i="112"/>
  <c r="BR298" i="112"/>
  <c r="BQ298" i="112"/>
  <c r="BO298" i="112"/>
  <c r="BN298" i="112"/>
  <c r="BL298" i="112"/>
  <c r="BK298" i="112"/>
  <c r="BJ298" i="112"/>
  <c r="AJ298" i="112"/>
  <c r="AW298" i="112" s="1"/>
  <c r="AI298" i="112"/>
  <c r="AV298" i="112" s="1"/>
  <c r="AH298" i="112"/>
  <c r="AU298" i="112" s="1"/>
  <c r="AG298" i="112"/>
  <c r="AT298" i="112" s="1"/>
  <c r="Z298" i="112"/>
  <c r="AB298" i="112"/>
  <c r="AA298" i="112"/>
  <c r="Y298" i="112"/>
  <c r="T298" i="112"/>
  <c r="AS298" i="112" s="1"/>
  <c r="S298" i="112"/>
  <c r="AQ298" i="112" s="1"/>
  <c r="R298" i="112"/>
  <c r="AP298" i="112" s="1"/>
  <c r="Q298" i="112"/>
  <c r="AO298" i="112" s="1"/>
  <c r="A298" i="112"/>
  <c r="CQ297" i="112"/>
  <c r="BS297" i="112"/>
  <c r="BR297" i="112"/>
  <c r="BQ297" i="112"/>
  <c r="BO297" i="112"/>
  <c r="BN297" i="112"/>
  <c r="BL297" i="112"/>
  <c r="BK297" i="112"/>
  <c r="BJ297" i="112"/>
  <c r="AJ297" i="112"/>
  <c r="AW297" i="112" s="1"/>
  <c r="AI297" i="112"/>
  <c r="AV297" i="112" s="1"/>
  <c r="AH297" i="112"/>
  <c r="AU297" i="112" s="1"/>
  <c r="AG297" i="112"/>
  <c r="AT297" i="112" s="1"/>
  <c r="AA297" i="112"/>
  <c r="AB297" i="112"/>
  <c r="Z297" i="112"/>
  <c r="Y297" i="112"/>
  <c r="T297" i="112"/>
  <c r="AS297" i="112" s="1"/>
  <c r="S297" i="112"/>
  <c r="AQ297" i="112" s="1"/>
  <c r="R297" i="112"/>
  <c r="AP297" i="112" s="1"/>
  <c r="Q297" i="112"/>
  <c r="AO297" i="112" s="1"/>
  <c r="A297" i="112"/>
  <c r="CQ296" i="112"/>
  <c r="BS296" i="112"/>
  <c r="BR296" i="112"/>
  <c r="BQ296" i="112"/>
  <c r="BO296" i="112"/>
  <c r="BN296" i="112"/>
  <c r="BL296" i="112"/>
  <c r="BK296" i="112"/>
  <c r="BJ296" i="112"/>
  <c r="AJ296" i="112"/>
  <c r="AW296" i="112" s="1"/>
  <c r="AI296" i="112"/>
  <c r="AV296" i="112" s="1"/>
  <c r="AH296" i="112"/>
  <c r="AU296" i="112" s="1"/>
  <c r="AG296" i="112"/>
  <c r="AT296" i="112" s="1"/>
  <c r="AB296" i="112"/>
  <c r="AA296" i="112"/>
  <c r="Z296" i="112"/>
  <c r="Y296" i="112"/>
  <c r="T296" i="112"/>
  <c r="AS296" i="112" s="1"/>
  <c r="S296" i="112"/>
  <c r="AQ296" i="112" s="1"/>
  <c r="R296" i="112"/>
  <c r="AP296" i="112" s="1"/>
  <c r="Q296" i="112"/>
  <c r="AO296" i="112" s="1"/>
  <c r="A296" i="112"/>
  <c r="CQ295" i="112"/>
  <c r="BS295" i="112"/>
  <c r="BR295" i="112"/>
  <c r="BQ295" i="112"/>
  <c r="BO295" i="112"/>
  <c r="BN295" i="112"/>
  <c r="BL295" i="112"/>
  <c r="BK295" i="112"/>
  <c r="BJ295" i="112"/>
  <c r="AJ295" i="112"/>
  <c r="AW295" i="112" s="1"/>
  <c r="AI295" i="112"/>
  <c r="AV295" i="112" s="1"/>
  <c r="AH295" i="112"/>
  <c r="AU295" i="112" s="1"/>
  <c r="AG295" i="112"/>
  <c r="AT295" i="112" s="1"/>
  <c r="AB295" i="112"/>
  <c r="AA295" i="112"/>
  <c r="Z295" i="112"/>
  <c r="Y295" i="112"/>
  <c r="T295" i="112"/>
  <c r="AS295" i="112" s="1"/>
  <c r="S295" i="112"/>
  <c r="AQ295" i="112" s="1"/>
  <c r="R295" i="112"/>
  <c r="AP295" i="112" s="1"/>
  <c r="Q295" i="112"/>
  <c r="AO295" i="112" s="1"/>
  <c r="A295" i="112"/>
  <c r="CQ294" i="112"/>
  <c r="BS294" i="112"/>
  <c r="BR294" i="112"/>
  <c r="BQ294" i="112"/>
  <c r="BO294" i="112"/>
  <c r="BN294" i="112"/>
  <c r="BL294" i="112"/>
  <c r="BK294" i="112"/>
  <c r="BJ294" i="112"/>
  <c r="AJ294" i="112"/>
  <c r="AW294" i="112" s="1"/>
  <c r="AI294" i="112"/>
  <c r="AV294" i="112" s="1"/>
  <c r="AH294" i="112"/>
  <c r="AU294" i="112" s="1"/>
  <c r="AG294" i="112"/>
  <c r="AT294" i="112" s="1"/>
  <c r="Z294" i="112"/>
  <c r="AB294" i="112"/>
  <c r="AA294" i="112"/>
  <c r="Y294" i="112"/>
  <c r="R294" i="112"/>
  <c r="AP294" i="112" s="1"/>
  <c r="T294" i="112"/>
  <c r="AS294" i="112" s="1"/>
  <c r="S294" i="112"/>
  <c r="AQ294" i="112" s="1"/>
  <c r="Q294" i="112"/>
  <c r="AO294" i="112" s="1"/>
  <c r="A294" i="112"/>
  <c r="CQ293" i="112"/>
  <c r="BS293" i="112"/>
  <c r="BR293" i="112"/>
  <c r="BQ293" i="112"/>
  <c r="BO293" i="112"/>
  <c r="BN293" i="112"/>
  <c r="BL293" i="112"/>
  <c r="BK293" i="112"/>
  <c r="BJ293" i="112"/>
  <c r="AJ293" i="112"/>
  <c r="AW293" i="112" s="1"/>
  <c r="AI293" i="112"/>
  <c r="AV293" i="112" s="1"/>
  <c r="AH293" i="112"/>
  <c r="AU293" i="112" s="1"/>
  <c r="AG293" i="112"/>
  <c r="AT293" i="112" s="1"/>
  <c r="AB293" i="112"/>
  <c r="AA293" i="112"/>
  <c r="Z293" i="112"/>
  <c r="Y293" i="112"/>
  <c r="S293" i="112"/>
  <c r="AQ293" i="112" s="1"/>
  <c r="T293" i="112"/>
  <c r="AS293" i="112" s="1"/>
  <c r="R293" i="112"/>
  <c r="AP293" i="112" s="1"/>
  <c r="Q293" i="112"/>
  <c r="AO293" i="112" s="1"/>
  <c r="A293" i="112"/>
  <c r="CQ292" i="112"/>
  <c r="BS292" i="112"/>
  <c r="BR292" i="112"/>
  <c r="BQ292" i="112"/>
  <c r="BO292" i="112"/>
  <c r="BN292" i="112"/>
  <c r="BL292" i="112"/>
  <c r="BK292" i="112"/>
  <c r="BJ292" i="112"/>
  <c r="AJ292" i="112"/>
  <c r="AW292" i="112" s="1"/>
  <c r="AI292" i="112"/>
  <c r="AV292" i="112" s="1"/>
  <c r="AH292" i="112"/>
  <c r="AU292" i="112" s="1"/>
  <c r="AG292" i="112"/>
  <c r="AT292" i="112" s="1"/>
  <c r="AB292" i="112"/>
  <c r="AA292" i="112"/>
  <c r="Z292" i="112"/>
  <c r="Y292" i="112"/>
  <c r="T292" i="112"/>
  <c r="AS292" i="112" s="1"/>
  <c r="S292" i="112"/>
  <c r="AQ292" i="112" s="1"/>
  <c r="R292" i="112"/>
  <c r="AP292" i="112" s="1"/>
  <c r="Q292" i="112"/>
  <c r="AO292" i="112" s="1"/>
  <c r="A292" i="112"/>
  <c r="CQ291" i="112"/>
  <c r="BS291" i="112"/>
  <c r="BR291" i="112"/>
  <c r="BQ291" i="112"/>
  <c r="BO291" i="112"/>
  <c r="BN291" i="112"/>
  <c r="BL291" i="112"/>
  <c r="BK291" i="112"/>
  <c r="BJ291" i="112"/>
  <c r="AJ291" i="112"/>
  <c r="AW291" i="112" s="1"/>
  <c r="AI291" i="112"/>
  <c r="AV291" i="112" s="1"/>
  <c r="AH291" i="112"/>
  <c r="AU291" i="112" s="1"/>
  <c r="AG291" i="112"/>
  <c r="AT291" i="112" s="1"/>
  <c r="AB291" i="112"/>
  <c r="AA291" i="112"/>
  <c r="Z291" i="112"/>
  <c r="Y291" i="112"/>
  <c r="T291" i="112"/>
  <c r="AS291" i="112" s="1"/>
  <c r="S291" i="112"/>
  <c r="AQ291" i="112" s="1"/>
  <c r="R291" i="112"/>
  <c r="AP291" i="112" s="1"/>
  <c r="Q291" i="112"/>
  <c r="AO291" i="112" s="1"/>
  <c r="B291" i="112"/>
  <c r="CQ290" i="112"/>
  <c r="BS290" i="112"/>
  <c r="BR290" i="112"/>
  <c r="BQ290" i="112"/>
  <c r="BO290" i="112"/>
  <c r="BN290" i="112"/>
  <c r="BL290" i="112"/>
  <c r="BK290" i="112"/>
  <c r="BJ290" i="112"/>
  <c r="AJ290" i="112"/>
  <c r="AW290" i="112" s="1"/>
  <c r="AI290" i="112"/>
  <c r="AV290" i="112" s="1"/>
  <c r="AH290" i="112"/>
  <c r="AU290" i="112" s="1"/>
  <c r="AG290" i="112"/>
  <c r="AT290" i="112" s="1"/>
  <c r="AB290" i="112"/>
  <c r="AA290" i="112"/>
  <c r="Z290" i="112"/>
  <c r="Y290" i="112"/>
  <c r="R290" i="112"/>
  <c r="AP290" i="112" s="1"/>
  <c r="T290" i="112"/>
  <c r="AS290" i="112" s="1"/>
  <c r="S290" i="112"/>
  <c r="AQ290" i="112" s="1"/>
  <c r="Q290" i="112"/>
  <c r="AO290" i="112" s="1"/>
  <c r="B290" i="112"/>
  <c r="CQ289" i="112"/>
  <c r="BS289" i="112"/>
  <c r="BR289" i="112"/>
  <c r="BQ289" i="112"/>
  <c r="BO289" i="112"/>
  <c r="BN289" i="112"/>
  <c r="BL289" i="112"/>
  <c r="BK289" i="112"/>
  <c r="BJ289" i="112"/>
  <c r="AJ289" i="112"/>
  <c r="AW289" i="112" s="1"/>
  <c r="AI289" i="112"/>
  <c r="AV289" i="112" s="1"/>
  <c r="AH289" i="112"/>
  <c r="AU289" i="112" s="1"/>
  <c r="AG289" i="112"/>
  <c r="AT289" i="112" s="1"/>
  <c r="AB289" i="112"/>
  <c r="AA289" i="112"/>
  <c r="Z289" i="112"/>
  <c r="Y289" i="112"/>
  <c r="R289" i="112"/>
  <c r="AP289" i="112" s="1"/>
  <c r="T289" i="112"/>
  <c r="AS289" i="112" s="1"/>
  <c r="S289" i="112"/>
  <c r="AQ289" i="112" s="1"/>
  <c r="Q289" i="112"/>
  <c r="AO289" i="112" s="1"/>
  <c r="B289" i="112"/>
  <c r="CQ288" i="112"/>
  <c r="BS288" i="112"/>
  <c r="BR288" i="112"/>
  <c r="BQ288" i="112"/>
  <c r="BO288" i="112"/>
  <c r="BN288" i="112"/>
  <c r="BL288" i="112"/>
  <c r="BK288" i="112"/>
  <c r="BJ288" i="112"/>
  <c r="AJ288" i="112"/>
  <c r="AW288" i="112" s="1"/>
  <c r="AI288" i="112"/>
  <c r="AV288" i="112" s="1"/>
  <c r="AH288" i="112"/>
  <c r="AU288" i="112" s="1"/>
  <c r="AG288" i="112"/>
  <c r="AT288" i="112" s="1"/>
  <c r="AB288" i="112"/>
  <c r="AA288" i="112"/>
  <c r="Z288" i="112"/>
  <c r="Y288" i="112"/>
  <c r="T288" i="112"/>
  <c r="AS288" i="112" s="1"/>
  <c r="S288" i="112"/>
  <c r="AQ288" i="112" s="1"/>
  <c r="R288" i="112"/>
  <c r="AP288" i="112" s="1"/>
  <c r="Q288" i="112"/>
  <c r="AO288" i="112" s="1"/>
  <c r="B288" i="112"/>
  <c r="CQ287" i="112"/>
  <c r="BS287" i="112"/>
  <c r="BR287" i="112"/>
  <c r="BQ287" i="112"/>
  <c r="BO287" i="112"/>
  <c r="BN287" i="112"/>
  <c r="BL287" i="112"/>
  <c r="BK287" i="112"/>
  <c r="BJ287" i="112"/>
  <c r="AJ287" i="112"/>
  <c r="AW287" i="112" s="1"/>
  <c r="AI287" i="112"/>
  <c r="AV287" i="112" s="1"/>
  <c r="AH287" i="112"/>
  <c r="AU287" i="112" s="1"/>
  <c r="AG287" i="112"/>
  <c r="AT287" i="112" s="1"/>
  <c r="AB287" i="112"/>
  <c r="AA287" i="112"/>
  <c r="Z287" i="112"/>
  <c r="Y287" i="112"/>
  <c r="T287" i="112"/>
  <c r="AS287" i="112" s="1"/>
  <c r="S287" i="112"/>
  <c r="AQ287" i="112" s="1"/>
  <c r="R287" i="112"/>
  <c r="AP287" i="112" s="1"/>
  <c r="Q287" i="112"/>
  <c r="AO287" i="112" s="1"/>
  <c r="B287" i="112"/>
  <c r="CQ286" i="112"/>
  <c r="BS286" i="112"/>
  <c r="BR286" i="112"/>
  <c r="BQ286" i="112"/>
  <c r="BO286" i="112"/>
  <c r="BN286" i="112"/>
  <c r="BL286" i="112"/>
  <c r="BK286" i="112"/>
  <c r="BJ286" i="112"/>
  <c r="AJ286" i="112"/>
  <c r="AW286" i="112" s="1"/>
  <c r="AI286" i="112"/>
  <c r="AV286" i="112" s="1"/>
  <c r="AH286" i="112"/>
  <c r="AU286" i="112" s="1"/>
  <c r="AG286" i="112"/>
  <c r="AT286" i="112" s="1"/>
  <c r="AB286" i="112"/>
  <c r="AA286" i="112"/>
  <c r="Z286" i="112"/>
  <c r="Y286" i="112"/>
  <c r="T286" i="112"/>
  <c r="AS286" i="112" s="1"/>
  <c r="S286" i="112"/>
  <c r="AQ286" i="112" s="1"/>
  <c r="R286" i="112"/>
  <c r="AP286" i="112" s="1"/>
  <c r="Q286" i="112"/>
  <c r="AO286" i="112" s="1"/>
  <c r="B286" i="112"/>
  <c r="CQ285" i="112"/>
  <c r="BS285" i="112"/>
  <c r="BR285" i="112"/>
  <c r="BQ285" i="112"/>
  <c r="BO285" i="112"/>
  <c r="BN285" i="112"/>
  <c r="BL285" i="112"/>
  <c r="BK285" i="112"/>
  <c r="BJ285" i="112"/>
  <c r="AJ285" i="112"/>
  <c r="AW285" i="112" s="1"/>
  <c r="AI285" i="112"/>
  <c r="AV285" i="112" s="1"/>
  <c r="AH285" i="112"/>
  <c r="AU285" i="112" s="1"/>
  <c r="AG285" i="112"/>
  <c r="AT285" i="112" s="1"/>
  <c r="AB285" i="112"/>
  <c r="AA285" i="112"/>
  <c r="Z285" i="112"/>
  <c r="Y285" i="112"/>
  <c r="T285" i="112"/>
  <c r="AS285" i="112" s="1"/>
  <c r="S285" i="112"/>
  <c r="AQ285" i="112" s="1"/>
  <c r="R285" i="112"/>
  <c r="AP285" i="112" s="1"/>
  <c r="Q285" i="112"/>
  <c r="AO285" i="112" s="1"/>
  <c r="B285" i="112"/>
  <c r="CQ284" i="112"/>
  <c r="BS284" i="112"/>
  <c r="BR284" i="112"/>
  <c r="BQ284" i="112"/>
  <c r="BO284" i="112"/>
  <c r="BN284" i="112"/>
  <c r="BL284" i="112"/>
  <c r="BK284" i="112"/>
  <c r="BJ284" i="112"/>
  <c r="AJ284" i="112"/>
  <c r="AW284" i="112" s="1"/>
  <c r="AI284" i="112"/>
  <c r="AV284" i="112" s="1"/>
  <c r="AH284" i="112"/>
  <c r="AU284" i="112" s="1"/>
  <c r="AG284" i="112"/>
  <c r="AT284" i="112" s="1"/>
  <c r="AB284" i="112"/>
  <c r="AA284" i="112"/>
  <c r="Z284" i="112"/>
  <c r="Y284" i="112"/>
  <c r="T284" i="112"/>
  <c r="AS284" i="112" s="1"/>
  <c r="S284" i="112"/>
  <c r="AQ284" i="112" s="1"/>
  <c r="R284" i="112"/>
  <c r="AP284" i="112" s="1"/>
  <c r="Q284" i="112"/>
  <c r="AO284" i="112" s="1"/>
  <c r="B284" i="112"/>
  <c r="CQ283" i="112"/>
  <c r="BS283" i="112"/>
  <c r="BR283" i="112"/>
  <c r="BQ283" i="112"/>
  <c r="BO283" i="112"/>
  <c r="BN283" i="112"/>
  <c r="BL283" i="112"/>
  <c r="BK283" i="112"/>
  <c r="BJ283" i="112"/>
  <c r="AH283" i="112"/>
  <c r="AU283" i="112" s="1"/>
  <c r="AJ283" i="112"/>
  <c r="AW283" i="112" s="1"/>
  <c r="AI283" i="112"/>
  <c r="AV283" i="112" s="1"/>
  <c r="AG283" i="112"/>
  <c r="AT283" i="112" s="1"/>
  <c r="AB283" i="112"/>
  <c r="AA283" i="112"/>
  <c r="Z283" i="112"/>
  <c r="Y283" i="112"/>
  <c r="T283" i="112"/>
  <c r="AS283" i="112" s="1"/>
  <c r="S283" i="112"/>
  <c r="AQ283" i="112" s="1"/>
  <c r="R283" i="112"/>
  <c r="AP283" i="112" s="1"/>
  <c r="Q283" i="112"/>
  <c r="AO283" i="112" s="1"/>
  <c r="B283" i="112"/>
  <c r="CQ282" i="112"/>
  <c r="BS282" i="112"/>
  <c r="BR282" i="112"/>
  <c r="BQ282" i="112"/>
  <c r="BO282" i="112"/>
  <c r="BN282" i="112"/>
  <c r="BL282" i="112"/>
  <c r="BK282" i="112"/>
  <c r="BJ282" i="112"/>
  <c r="AJ282" i="112"/>
  <c r="AW282" i="112" s="1"/>
  <c r="AI282" i="112"/>
  <c r="AV282" i="112" s="1"/>
  <c r="AH282" i="112"/>
  <c r="AU282" i="112" s="1"/>
  <c r="AG282" i="112"/>
  <c r="AT282" i="112" s="1"/>
  <c r="AA282" i="112"/>
  <c r="AB282" i="112"/>
  <c r="Z282" i="112"/>
  <c r="Y282" i="112"/>
  <c r="S282" i="112"/>
  <c r="AQ282" i="112" s="1"/>
  <c r="T282" i="112"/>
  <c r="AS282" i="112" s="1"/>
  <c r="R282" i="112"/>
  <c r="AP282" i="112" s="1"/>
  <c r="Q282" i="112"/>
  <c r="AO282" i="112" s="1"/>
  <c r="B282" i="112"/>
  <c r="CQ281" i="112"/>
  <c r="BS281" i="112"/>
  <c r="BR281" i="112"/>
  <c r="BQ281" i="112"/>
  <c r="BO281" i="112"/>
  <c r="BN281" i="112"/>
  <c r="BL281" i="112"/>
  <c r="BK281" i="112"/>
  <c r="BJ281" i="112"/>
  <c r="AJ281" i="112"/>
  <c r="AW281" i="112" s="1"/>
  <c r="AI281" i="112"/>
  <c r="AV281" i="112" s="1"/>
  <c r="AH281" i="112"/>
  <c r="AU281" i="112" s="1"/>
  <c r="AG281" i="112"/>
  <c r="AT281" i="112" s="1"/>
  <c r="AB281" i="112"/>
  <c r="AA281" i="112"/>
  <c r="Z281" i="112"/>
  <c r="Y281" i="112"/>
  <c r="T281" i="112"/>
  <c r="AS281" i="112" s="1"/>
  <c r="S281" i="112"/>
  <c r="AQ281" i="112" s="1"/>
  <c r="R281" i="112"/>
  <c r="AP281" i="112" s="1"/>
  <c r="Q281" i="112"/>
  <c r="AO281" i="112" s="1"/>
  <c r="B281" i="112"/>
  <c r="CQ280" i="112"/>
  <c r="BS280" i="112"/>
  <c r="BR280" i="112"/>
  <c r="BQ280" i="112"/>
  <c r="BO280" i="112"/>
  <c r="BN280" i="112"/>
  <c r="BL280" i="112"/>
  <c r="BK280" i="112"/>
  <c r="BJ280" i="112"/>
  <c r="AJ280" i="112"/>
  <c r="AW280" i="112" s="1"/>
  <c r="AI280" i="112"/>
  <c r="AV280" i="112" s="1"/>
  <c r="AH280" i="112"/>
  <c r="AU280" i="112" s="1"/>
  <c r="AG280" i="112"/>
  <c r="AT280" i="112" s="1"/>
  <c r="AB280" i="112"/>
  <c r="AA280" i="112"/>
  <c r="Z280" i="112"/>
  <c r="Y280" i="112"/>
  <c r="T280" i="112"/>
  <c r="AS280" i="112" s="1"/>
  <c r="S280" i="112"/>
  <c r="AQ280" i="112" s="1"/>
  <c r="R280" i="112"/>
  <c r="AP280" i="112" s="1"/>
  <c r="Q280" i="112"/>
  <c r="AO280" i="112" s="1"/>
  <c r="B280" i="112"/>
  <c r="CQ279" i="112"/>
  <c r="BS279" i="112"/>
  <c r="BR279" i="112"/>
  <c r="BQ279" i="112"/>
  <c r="BO279" i="112"/>
  <c r="BN279" i="112"/>
  <c r="BL279" i="112"/>
  <c r="BK279" i="112"/>
  <c r="BJ279" i="112"/>
  <c r="AH279" i="112"/>
  <c r="AU279" i="112" s="1"/>
  <c r="AJ279" i="112"/>
  <c r="AW279" i="112" s="1"/>
  <c r="AI279" i="112"/>
  <c r="AV279" i="112" s="1"/>
  <c r="AG279" i="112"/>
  <c r="AT279" i="112" s="1"/>
  <c r="Z279" i="112"/>
  <c r="AB279" i="112"/>
  <c r="AA279" i="112"/>
  <c r="Y279" i="112"/>
  <c r="T279" i="112"/>
  <c r="AS279" i="112" s="1"/>
  <c r="S279" i="112"/>
  <c r="AQ279" i="112" s="1"/>
  <c r="R279" i="112"/>
  <c r="AP279" i="112" s="1"/>
  <c r="Q279" i="112"/>
  <c r="AO279" i="112" s="1"/>
  <c r="B279" i="112"/>
  <c r="CQ278" i="112"/>
  <c r="BS278" i="112"/>
  <c r="BR278" i="112"/>
  <c r="BQ278" i="112"/>
  <c r="BO278" i="112"/>
  <c r="BN278" i="112"/>
  <c r="BL278" i="112"/>
  <c r="BK278" i="112"/>
  <c r="BJ278" i="112"/>
  <c r="AJ278" i="112"/>
  <c r="AW278" i="112" s="1"/>
  <c r="AI278" i="112"/>
  <c r="AV278" i="112" s="1"/>
  <c r="AH278" i="112"/>
  <c r="AU278" i="112" s="1"/>
  <c r="AG278" i="112"/>
  <c r="AT278" i="112" s="1"/>
  <c r="AA278" i="112"/>
  <c r="AB278" i="112"/>
  <c r="Z278" i="112"/>
  <c r="Y278" i="112"/>
  <c r="T278" i="112"/>
  <c r="AS278" i="112" s="1"/>
  <c r="S278" i="112"/>
  <c r="AQ278" i="112" s="1"/>
  <c r="R278" i="112"/>
  <c r="AP278" i="112" s="1"/>
  <c r="Q278" i="112"/>
  <c r="AO278" i="112" s="1"/>
  <c r="B278" i="112"/>
  <c r="CQ277" i="112"/>
  <c r="BS277" i="112"/>
  <c r="BR277" i="112"/>
  <c r="BQ277" i="112"/>
  <c r="BO277" i="112"/>
  <c r="BN277" i="112"/>
  <c r="BL277" i="112"/>
  <c r="BK277" i="112"/>
  <c r="BJ277" i="112"/>
  <c r="AJ277" i="112"/>
  <c r="AW277" i="112" s="1"/>
  <c r="AI277" i="112"/>
  <c r="AV277" i="112" s="1"/>
  <c r="AH277" i="112"/>
  <c r="AU277" i="112" s="1"/>
  <c r="AG277" i="112"/>
  <c r="AT277" i="112" s="1"/>
  <c r="AB277" i="112"/>
  <c r="AA277" i="112"/>
  <c r="Z277" i="112"/>
  <c r="Y277" i="112"/>
  <c r="T277" i="112"/>
  <c r="AS277" i="112" s="1"/>
  <c r="S277" i="112"/>
  <c r="AQ277" i="112" s="1"/>
  <c r="R277" i="112"/>
  <c r="AP277" i="112" s="1"/>
  <c r="Q277" i="112"/>
  <c r="AO277" i="112" s="1"/>
  <c r="B277" i="112"/>
  <c r="CQ276" i="112"/>
  <c r="BS276" i="112"/>
  <c r="BR276" i="112"/>
  <c r="BQ276" i="112"/>
  <c r="BO276" i="112"/>
  <c r="BN276" i="112"/>
  <c r="BL276" i="112"/>
  <c r="BK276" i="112"/>
  <c r="BJ276" i="112"/>
  <c r="AJ276" i="112"/>
  <c r="AW276" i="112" s="1"/>
  <c r="AI276" i="112"/>
  <c r="AV276" i="112" s="1"/>
  <c r="AH276" i="112"/>
  <c r="AU276" i="112" s="1"/>
  <c r="AG276" i="112"/>
  <c r="AT276" i="112" s="1"/>
  <c r="AB276" i="112"/>
  <c r="AA276" i="112"/>
  <c r="Z276" i="112"/>
  <c r="Y276" i="112"/>
  <c r="T276" i="112"/>
  <c r="AS276" i="112" s="1"/>
  <c r="S276" i="112"/>
  <c r="AQ276" i="112" s="1"/>
  <c r="R276" i="112"/>
  <c r="AP276" i="112" s="1"/>
  <c r="Q276" i="112"/>
  <c r="AO276" i="112" s="1"/>
  <c r="B276" i="112"/>
  <c r="CQ275" i="112"/>
  <c r="BS275" i="112"/>
  <c r="BR275" i="112"/>
  <c r="BQ275" i="112"/>
  <c r="BO275" i="112"/>
  <c r="BN275" i="112"/>
  <c r="BL275" i="112"/>
  <c r="BK275" i="112"/>
  <c r="BJ275" i="112"/>
  <c r="AJ275" i="112"/>
  <c r="AW275" i="112" s="1"/>
  <c r="AI275" i="112"/>
  <c r="AV275" i="112" s="1"/>
  <c r="AH275" i="112"/>
  <c r="AU275" i="112" s="1"/>
  <c r="AG275" i="112"/>
  <c r="AT275" i="112" s="1"/>
  <c r="Z275" i="112"/>
  <c r="AB275" i="112"/>
  <c r="AA275" i="112"/>
  <c r="Y275" i="112"/>
  <c r="R275" i="112"/>
  <c r="AP275" i="112" s="1"/>
  <c r="T275" i="112"/>
  <c r="AS275" i="112" s="1"/>
  <c r="S275" i="112"/>
  <c r="AQ275" i="112" s="1"/>
  <c r="Q275" i="112"/>
  <c r="AO275" i="112" s="1"/>
  <c r="B275" i="112"/>
  <c r="CQ274" i="112"/>
  <c r="BS274" i="112"/>
  <c r="BR274" i="112"/>
  <c r="BQ274" i="112"/>
  <c r="BO274" i="112"/>
  <c r="BN274" i="112"/>
  <c r="BL274" i="112"/>
  <c r="BK274" i="112"/>
  <c r="BJ274" i="112"/>
  <c r="AI274" i="112"/>
  <c r="AV274" i="112" s="1"/>
  <c r="AJ274" i="112"/>
  <c r="AW274" i="112" s="1"/>
  <c r="AH274" i="112"/>
  <c r="AU274" i="112" s="1"/>
  <c r="AG274" i="112"/>
  <c r="AT274" i="112" s="1"/>
  <c r="AB274" i="112"/>
  <c r="AA274" i="112"/>
  <c r="Z274" i="112"/>
  <c r="Y274" i="112"/>
  <c r="S274" i="112"/>
  <c r="AQ274" i="112" s="1"/>
  <c r="T274" i="112"/>
  <c r="AS274" i="112" s="1"/>
  <c r="R274" i="112"/>
  <c r="AP274" i="112" s="1"/>
  <c r="Q274" i="112"/>
  <c r="AO274" i="112" s="1"/>
  <c r="B274" i="112"/>
  <c r="CQ273" i="112"/>
  <c r="BS273" i="112"/>
  <c r="BR273" i="112"/>
  <c r="BQ273" i="112"/>
  <c r="BO273" i="112"/>
  <c r="BN273" i="112"/>
  <c r="BL273" i="112"/>
  <c r="BK273" i="112"/>
  <c r="BJ273" i="112"/>
  <c r="AJ273" i="112"/>
  <c r="AW273" i="112" s="1"/>
  <c r="AI273" i="112"/>
  <c r="AV273" i="112" s="1"/>
  <c r="AH273" i="112"/>
  <c r="AU273" i="112" s="1"/>
  <c r="AG273" i="112"/>
  <c r="AT273" i="112" s="1"/>
  <c r="AB273" i="112"/>
  <c r="AA273" i="112"/>
  <c r="Z273" i="112"/>
  <c r="Y273" i="112"/>
  <c r="T273" i="112"/>
  <c r="AS273" i="112" s="1"/>
  <c r="S273" i="112"/>
  <c r="AQ273" i="112" s="1"/>
  <c r="R273" i="112"/>
  <c r="AP273" i="112" s="1"/>
  <c r="Q273" i="112"/>
  <c r="AO273" i="112" s="1"/>
  <c r="I273" i="112"/>
  <c r="G273" i="112"/>
  <c r="E273" i="112"/>
  <c r="B273" i="112"/>
  <c r="CQ272" i="112"/>
  <c r="BS272" i="112"/>
  <c r="BR272" i="112"/>
  <c r="BQ272" i="112"/>
  <c r="BO272" i="112"/>
  <c r="BN272" i="112"/>
  <c r="BL272" i="112"/>
  <c r="BK272" i="112"/>
  <c r="BJ272" i="112"/>
  <c r="AH272" i="112"/>
  <c r="AU272" i="112" s="1"/>
  <c r="AJ272" i="112"/>
  <c r="AW272" i="112" s="1"/>
  <c r="AI272" i="112"/>
  <c r="AV272" i="112" s="1"/>
  <c r="AG272" i="112"/>
  <c r="AT272" i="112" s="1"/>
  <c r="AB272" i="112"/>
  <c r="AA272" i="112"/>
  <c r="Z272" i="112"/>
  <c r="Y272" i="112"/>
  <c r="T272" i="112"/>
  <c r="AS272" i="112" s="1"/>
  <c r="S272" i="112"/>
  <c r="AQ272" i="112" s="1"/>
  <c r="R272" i="112"/>
  <c r="AP272" i="112" s="1"/>
  <c r="Q272" i="112"/>
  <c r="AO272" i="112" s="1"/>
  <c r="B272" i="112"/>
  <c r="CQ271" i="112"/>
  <c r="BS271" i="112"/>
  <c r="BR271" i="112"/>
  <c r="BQ271" i="112"/>
  <c r="BO271" i="112"/>
  <c r="BN271" i="112"/>
  <c r="BL271" i="112"/>
  <c r="BK271" i="112"/>
  <c r="BJ271" i="112"/>
  <c r="AJ271" i="112"/>
  <c r="AW271" i="112" s="1"/>
  <c r="AI271" i="112"/>
  <c r="AV271" i="112" s="1"/>
  <c r="AH271" i="112"/>
  <c r="AU271" i="112" s="1"/>
  <c r="AG271" i="112"/>
  <c r="AT271" i="112" s="1"/>
  <c r="AB271" i="112"/>
  <c r="AA271" i="112"/>
  <c r="Z271" i="112"/>
  <c r="Y271" i="112"/>
  <c r="T271" i="112"/>
  <c r="AS271" i="112" s="1"/>
  <c r="S271" i="112"/>
  <c r="AQ271" i="112" s="1"/>
  <c r="R271" i="112"/>
  <c r="AP271" i="112" s="1"/>
  <c r="Q271" i="112"/>
  <c r="AO271" i="112" s="1"/>
  <c r="B271" i="112"/>
  <c r="CQ270" i="112"/>
  <c r="BS270" i="112"/>
  <c r="BR270" i="112"/>
  <c r="BQ270" i="112"/>
  <c r="BO270" i="112"/>
  <c r="BN270" i="112"/>
  <c r="BL270" i="112"/>
  <c r="BK270" i="112"/>
  <c r="BJ270" i="112"/>
  <c r="AJ270" i="112"/>
  <c r="AW270" i="112" s="1"/>
  <c r="AI270" i="112"/>
  <c r="AV270" i="112" s="1"/>
  <c r="AH270" i="112"/>
  <c r="AU270" i="112" s="1"/>
  <c r="AG270" i="112"/>
  <c r="AT270" i="112" s="1"/>
  <c r="AB270" i="112"/>
  <c r="AA270" i="112"/>
  <c r="Z270" i="112"/>
  <c r="Y270" i="112"/>
  <c r="T270" i="112"/>
  <c r="AS270" i="112" s="1"/>
  <c r="S270" i="112"/>
  <c r="AQ270" i="112" s="1"/>
  <c r="R270" i="112"/>
  <c r="AP270" i="112" s="1"/>
  <c r="Q270" i="112"/>
  <c r="AO270" i="112" s="1"/>
  <c r="B270" i="112"/>
  <c r="CQ269" i="112"/>
  <c r="BS269" i="112"/>
  <c r="BR269" i="112"/>
  <c r="BQ269" i="112"/>
  <c r="BO269" i="112"/>
  <c r="BN269" i="112"/>
  <c r="BL269" i="112"/>
  <c r="BK269" i="112"/>
  <c r="BJ269" i="112"/>
  <c r="AJ269" i="112"/>
  <c r="AW269" i="112" s="1"/>
  <c r="AI269" i="112"/>
  <c r="AV269" i="112" s="1"/>
  <c r="AH269" i="112"/>
  <c r="AU269" i="112" s="1"/>
  <c r="AG269" i="112"/>
  <c r="AT269" i="112" s="1"/>
  <c r="AB269" i="112"/>
  <c r="AA269" i="112"/>
  <c r="Z269" i="112"/>
  <c r="Y269" i="112"/>
  <c r="T269" i="112"/>
  <c r="AS269" i="112" s="1"/>
  <c r="S269" i="112"/>
  <c r="AQ269" i="112" s="1"/>
  <c r="R269" i="112"/>
  <c r="AP269" i="112" s="1"/>
  <c r="Q269" i="112"/>
  <c r="AO269" i="112" s="1"/>
  <c r="I269" i="112"/>
  <c r="G269" i="112"/>
  <c r="E269" i="112"/>
  <c r="B269" i="112"/>
  <c r="CQ268" i="112"/>
  <c r="BS268" i="112"/>
  <c r="BR268" i="112"/>
  <c r="BQ268" i="112"/>
  <c r="BO268" i="112"/>
  <c r="BN268" i="112"/>
  <c r="BL268" i="112"/>
  <c r="BK268" i="112"/>
  <c r="BJ268" i="112"/>
  <c r="AJ268" i="112"/>
  <c r="AW268" i="112" s="1"/>
  <c r="AI268" i="112"/>
  <c r="AV268" i="112" s="1"/>
  <c r="AH268" i="112"/>
  <c r="AU268" i="112" s="1"/>
  <c r="AG268" i="112"/>
  <c r="AT268" i="112" s="1"/>
  <c r="AB268" i="112"/>
  <c r="AA268" i="112"/>
  <c r="Z268" i="112"/>
  <c r="Y268" i="112"/>
  <c r="T268" i="112"/>
  <c r="AS268" i="112" s="1"/>
  <c r="S268" i="112"/>
  <c r="AQ268" i="112" s="1"/>
  <c r="R268" i="112"/>
  <c r="AP268" i="112" s="1"/>
  <c r="Q268" i="112"/>
  <c r="AO268" i="112" s="1"/>
  <c r="I268" i="112"/>
  <c r="G268" i="112"/>
  <c r="E268" i="112"/>
  <c r="B268" i="112"/>
  <c r="CQ267" i="112"/>
  <c r="BS267" i="112"/>
  <c r="BR267" i="112"/>
  <c r="BQ267" i="112"/>
  <c r="BO267" i="112"/>
  <c r="BN267" i="112"/>
  <c r="BL267" i="112"/>
  <c r="BK267" i="112"/>
  <c r="BJ267" i="112"/>
  <c r="AJ267" i="112"/>
  <c r="AW267" i="112" s="1"/>
  <c r="AI267" i="112"/>
  <c r="AV267" i="112" s="1"/>
  <c r="AH267" i="112"/>
  <c r="AU267" i="112" s="1"/>
  <c r="AG267" i="112"/>
  <c r="AT267" i="112" s="1"/>
  <c r="AB267" i="112"/>
  <c r="AA267" i="112"/>
  <c r="Z267" i="112"/>
  <c r="Y267" i="112"/>
  <c r="T267" i="112"/>
  <c r="AS267" i="112" s="1"/>
  <c r="S267" i="112"/>
  <c r="AQ267" i="112" s="1"/>
  <c r="R267" i="112"/>
  <c r="AP267" i="112" s="1"/>
  <c r="Q267" i="112"/>
  <c r="AO267" i="112" s="1"/>
  <c r="I267" i="112"/>
  <c r="G267" i="112"/>
  <c r="E267" i="112"/>
  <c r="B267" i="112"/>
  <c r="CQ266" i="112"/>
  <c r="BS266" i="112"/>
  <c r="BR266" i="112"/>
  <c r="BQ266" i="112"/>
  <c r="BO266" i="112"/>
  <c r="BN266" i="112"/>
  <c r="BL266" i="112"/>
  <c r="BK266" i="112"/>
  <c r="BJ266" i="112"/>
  <c r="AJ266" i="112"/>
  <c r="AW266" i="112" s="1"/>
  <c r="AI266" i="112"/>
  <c r="AV266" i="112" s="1"/>
  <c r="AH266" i="112"/>
  <c r="AU266" i="112" s="1"/>
  <c r="AG266" i="112"/>
  <c r="AT266" i="112" s="1"/>
  <c r="AB266" i="112"/>
  <c r="AA266" i="112"/>
  <c r="Z266" i="112"/>
  <c r="Y266" i="112"/>
  <c r="T266" i="112"/>
  <c r="AS266" i="112" s="1"/>
  <c r="S266" i="112"/>
  <c r="AQ266" i="112" s="1"/>
  <c r="R266" i="112"/>
  <c r="AP266" i="112" s="1"/>
  <c r="Q266" i="112"/>
  <c r="AO266" i="112" s="1"/>
  <c r="B266" i="112"/>
  <c r="CQ265" i="112"/>
  <c r="BS265" i="112"/>
  <c r="BR265" i="112"/>
  <c r="BQ265" i="112"/>
  <c r="BO265" i="112"/>
  <c r="BN265" i="112"/>
  <c r="BL265" i="112"/>
  <c r="BK265" i="112"/>
  <c r="BJ265" i="112"/>
  <c r="AJ265" i="112"/>
  <c r="AW265" i="112" s="1"/>
  <c r="AI265" i="112"/>
  <c r="AV265" i="112" s="1"/>
  <c r="AH265" i="112"/>
  <c r="AU265" i="112" s="1"/>
  <c r="AG265" i="112"/>
  <c r="AT265" i="112" s="1"/>
  <c r="V265" i="112"/>
  <c r="N265" i="112"/>
  <c r="B265" i="112"/>
  <c r="CQ264" i="112"/>
  <c r="BS264" i="112"/>
  <c r="BR264" i="112"/>
  <c r="BQ264" i="112"/>
  <c r="BO264" i="112"/>
  <c r="BN264" i="112"/>
  <c r="BL264" i="112"/>
  <c r="BK264" i="112"/>
  <c r="BJ264" i="112"/>
  <c r="AJ264" i="112"/>
  <c r="AW264" i="112" s="1"/>
  <c r="AI264" i="112"/>
  <c r="AV264" i="112" s="1"/>
  <c r="AH264" i="112"/>
  <c r="AU264" i="112" s="1"/>
  <c r="AG264" i="112"/>
  <c r="AT264" i="112" s="1"/>
  <c r="AB264" i="112"/>
  <c r="AA264" i="112"/>
  <c r="Z264" i="112"/>
  <c r="Y264" i="112"/>
  <c r="T264" i="112"/>
  <c r="AS264" i="112" s="1"/>
  <c r="S264" i="112"/>
  <c r="AQ264" i="112" s="1"/>
  <c r="R264" i="112"/>
  <c r="AP264" i="112" s="1"/>
  <c r="Q264" i="112"/>
  <c r="AO264" i="112" s="1"/>
  <c r="I264" i="112"/>
  <c r="G264" i="112"/>
  <c r="E264" i="112"/>
  <c r="B264" i="112"/>
  <c r="CQ263" i="112"/>
  <c r="BS263" i="112"/>
  <c r="BR263" i="112"/>
  <c r="BQ263" i="112"/>
  <c r="BO263" i="112"/>
  <c r="BN263" i="112"/>
  <c r="BL263" i="112"/>
  <c r="BK263" i="112"/>
  <c r="BJ263" i="112"/>
  <c r="AH263" i="112"/>
  <c r="AU263" i="112" s="1"/>
  <c r="AJ263" i="112"/>
  <c r="AW263" i="112" s="1"/>
  <c r="AI263" i="112"/>
  <c r="AV263" i="112" s="1"/>
  <c r="AG263" i="112"/>
  <c r="AT263" i="112" s="1"/>
  <c r="AB263" i="112"/>
  <c r="AA263" i="112"/>
  <c r="Z263" i="112"/>
  <c r="Y263" i="112"/>
  <c r="R263" i="112"/>
  <c r="AP263" i="112" s="1"/>
  <c r="T263" i="112"/>
  <c r="AS263" i="112" s="1"/>
  <c r="S263" i="112"/>
  <c r="AQ263" i="112" s="1"/>
  <c r="Q263" i="112"/>
  <c r="AO263" i="112" s="1"/>
  <c r="B263" i="112"/>
  <c r="CQ262" i="112"/>
  <c r="BS262" i="112"/>
  <c r="BR262" i="112"/>
  <c r="BQ262" i="112"/>
  <c r="BO262" i="112"/>
  <c r="BN262" i="112"/>
  <c r="BL262" i="112"/>
  <c r="BK262" i="112"/>
  <c r="BJ262" i="112"/>
  <c r="AJ262" i="112"/>
  <c r="AW262" i="112" s="1"/>
  <c r="AI262" i="112"/>
  <c r="AV262" i="112" s="1"/>
  <c r="AH262" i="112"/>
  <c r="AU262" i="112" s="1"/>
  <c r="AG262" i="112"/>
  <c r="AT262" i="112" s="1"/>
  <c r="AB262" i="112"/>
  <c r="AA262" i="112"/>
  <c r="Z262" i="112"/>
  <c r="Y262" i="112"/>
  <c r="S262" i="112"/>
  <c r="AQ262" i="112" s="1"/>
  <c r="T262" i="112"/>
  <c r="AS262" i="112" s="1"/>
  <c r="R262" i="112"/>
  <c r="AP262" i="112" s="1"/>
  <c r="Q262" i="112"/>
  <c r="AO262" i="112" s="1"/>
  <c r="B262" i="112"/>
  <c r="CQ261" i="112"/>
  <c r="BS261" i="112"/>
  <c r="BR261" i="112"/>
  <c r="BQ261" i="112"/>
  <c r="BO261" i="112"/>
  <c r="BN261" i="112"/>
  <c r="BL261" i="112"/>
  <c r="BK261" i="112"/>
  <c r="BJ261" i="112"/>
  <c r="AJ261" i="112"/>
  <c r="AW261" i="112" s="1"/>
  <c r="AI261" i="112"/>
  <c r="AV261" i="112" s="1"/>
  <c r="AH261" i="112"/>
  <c r="AU261" i="112" s="1"/>
  <c r="AG261" i="112"/>
  <c r="AT261" i="112" s="1"/>
  <c r="AB261" i="112"/>
  <c r="AA261" i="112"/>
  <c r="Z261" i="112"/>
  <c r="Y261" i="112"/>
  <c r="T261" i="112"/>
  <c r="AS261" i="112" s="1"/>
  <c r="S261" i="112"/>
  <c r="AQ261" i="112" s="1"/>
  <c r="R261" i="112"/>
  <c r="AP261" i="112" s="1"/>
  <c r="Q261" i="112"/>
  <c r="AO261" i="112" s="1"/>
  <c r="B261" i="112"/>
  <c r="CQ260" i="112"/>
  <c r="BS260" i="112"/>
  <c r="BR260" i="112"/>
  <c r="BQ260" i="112"/>
  <c r="BO260" i="112"/>
  <c r="BN260" i="112"/>
  <c r="BL260" i="112"/>
  <c r="BK260" i="112"/>
  <c r="BJ260" i="112"/>
  <c r="AJ260" i="112"/>
  <c r="AW260" i="112" s="1"/>
  <c r="AI260" i="112"/>
  <c r="AV260" i="112" s="1"/>
  <c r="AH260" i="112"/>
  <c r="AU260" i="112" s="1"/>
  <c r="AG260" i="112"/>
  <c r="AT260" i="112" s="1"/>
  <c r="AB260" i="112"/>
  <c r="AA260" i="112"/>
  <c r="Z260" i="112"/>
  <c r="Y260" i="112"/>
  <c r="T260" i="112"/>
  <c r="AS260" i="112" s="1"/>
  <c r="S260" i="112"/>
  <c r="AQ260" i="112" s="1"/>
  <c r="R260" i="112"/>
  <c r="AP260" i="112" s="1"/>
  <c r="Q260" i="112"/>
  <c r="AO260" i="112" s="1"/>
  <c r="B260" i="112"/>
  <c r="CQ259" i="112"/>
  <c r="BS259" i="112"/>
  <c r="BR259" i="112"/>
  <c r="BQ259" i="112"/>
  <c r="BO259" i="112"/>
  <c r="BN259" i="112"/>
  <c r="BL259" i="112"/>
  <c r="BK259" i="112"/>
  <c r="BJ259" i="112"/>
  <c r="AH259" i="112"/>
  <c r="AU259" i="112" s="1"/>
  <c r="AJ259" i="112"/>
  <c r="AW259" i="112" s="1"/>
  <c r="AI259" i="112"/>
  <c r="AV259" i="112" s="1"/>
  <c r="AG259" i="112"/>
  <c r="AT259" i="112" s="1"/>
  <c r="AB259" i="112"/>
  <c r="AA259" i="112"/>
  <c r="Z259" i="112"/>
  <c r="Y259" i="112"/>
  <c r="R259" i="112"/>
  <c r="AP259" i="112" s="1"/>
  <c r="T259" i="112"/>
  <c r="AS259" i="112" s="1"/>
  <c r="S259" i="112"/>
  <c r="AQ259" i="112" s="1"/>
  <c r="Q259" i="112"/>
  <c r="AO259" i="112" s="1"/>
  <c r="I259" i="112"/>
  <c r="G259" i="112"/>
  <c r="E259" i="112"/>
  <c r="B259" i="112"/>
  <c r="CQ258" i="112"/>
  <c r="BS258" i="112"/>
  <c r="BR258" i="112"/>
  <c r="BQ258" i="112"/>
  <c r="BO258" i="112"/>
  <c r="BN258" i="112"/>
  <c r="BL258" i="112"/>
  <c r="BK258" i="112"/>
  <c r="BJ258" i="112"/>
  <c r="AJ258" i="112"/>
  <c r="AW258" i="112" s="1"/>
  <c r="AI258" i="112"/>
  <c r="AV258" i="112" s="1"/>
  <c r="AH258" i="112"/>
  <c r="AU258" i="112" s="1"/>
  <c r="AG258" i="112"/>
  <c r="AT258" i="112" s="1"/>
  <c r="AB258" i="112"/>
  <c r="AA258" i="112"/>
  <c r="Z258" i="112"/>
  <c r="Y258" i="112"/>
  <c r="T258" i="112"/>
  <c r="AS258" i="112" s="1"/>
  <c r="S258" i="112"/>
  <c r="AQ258" i="112" s="1"/>
  <c r="R258" i="112"/>
  <c r="AP258" i="112" s="1"/>
  <c r="Q258" i="112"/>
  <c r="AO258" i="112" s="1"/>
  <c r="I258" i="112"/>
  <c r="G258" i="112"/>
  <c r="E258" i="112"/>
  <c r="B258" i="112"/>
  <c r="CQ257" i="112"/>
  <c r="BS257" i="112"/>
  <c r="BR257" i="112"/>
  <c r="BQ257" i="112"/>
  <c r="BO257" i="112"/>
  <c r="BN257" i="112"/>
  <c r="BL257" i="112"/>
  <c r="BK257" i="112"/>
  <c r="BJ257" i="112"/>
  <c r="AJ257" i="112"/>
  <c r="AW257" i="112" s="1"/>
  <c r="AI257" i="112"/>
  <c r="AV257" i="112" s="1"/>
  <c r="AH257" i="112"/>
  <c r="AU257" i="112" s="1"/>
  <c r="AG257" i="112"/>
  <c r="AT257" i="112" s="1"/>
  <c r="Z257" i="112"/>
  <c r="AB257" i="112"/>
  <c r="AA257" i="112"/>
  <c r="Y257" i="112"/>
  <c r="T257" i="112"/>
  <c r="AS257" i="112" s="1"/>
  <c r="S257" i="112"/>
  <c r="AQ257" i="112" s="1"/>
  <c r="R257" i="112"/>
  <c r="AP257" i="112" s="1"/>
  <c r="Q257" i="112"/>
  <c r="AO257" i="112" s="1"/>
  <c r="I257" i="112"/>
  <c r="G257" i="112"/>
  <c r="E257" i="112"/>
  <c r="B257" i="112"/>
  <c r="CQ256" i="112"/>
  <c r="BS256" i="112"/>
  <c r="BR256" i="112"/>
  <c r="BQ256" i="112"/>
  <c r="BO256" i="112"/>
  <c r="BN256" i="112"/>
  <c r="BL256" i="112"/>
  <c r="BK256" i="112"/>
  <c r="BJ256" i="112"/>
  <c r="AJ256" i="112"/>
  <c r="AW256" i="112" s="1"/>
  <c r="AI256" i="112"/>
  <c r="AV256" i="112" s="1"/>
  <c r="AH256" i="112"/>
  <c r="AU256" i="112" s="1"/>
  <c r="AG256" i="112"/>
  <c r="AT256" i="112" s="1"/>
  <c r="AB256" i="112"/>
  <c r="AA256" i="112"/>
  <c r="Z256" i="112"/>
  <c r="Y256" i="112"/>
  <c r="T256" i="112"/>
  <c r="AS256" i="112" s="1"/>
  <c r="S256" i="112"/>
  <c r="AQ256" i="112" s="1"/>
  <c r="R256" i="112"/>
  <c r="AP256" i="112" s="1"/>
  <c r="Q256" i="112"/>
  <c r="AO256" i="112" s="1"/>
  <c r="I256" i="112"/>
  <c r="G256" i="112"/>
  <c r="E256" i="112"/>
  <c r="B256" i="112"/>
  <c r="CQ255" i="112"/>
  <c r="BS255" i="112"/>
  <c r="BR255" i="112"/>
  <c r="BQ255" i="112"/>
  <c r="BO255" i="112"/>
  <c r="BN255" i="112"/>
  <c r="BL255" i="112"/>
  <c r="BK255" i="112"/>
  <c r="BJ255" i="112"/>
  <c r="AH255" i="112"/>
  <c r="AU255" i="112" s="1"/>
  <c r="AJ255" i="112"/>
  <c r="AW255" i="112" s="1"/>
  <c r="AI255" i="112"/>
  <c r="AV255" i="112" s="1"/>
  <c r="AG255" i="112"/>
  <c r="AT255" i="112" s="1"/>
  <c r="AB255" i="112"/>
  <c r="AA255" i="112"/>
  <c r="Z255" i="112"/>
  <c r="Y255" i="112"/>
  <c r="R255" i="112"/>
  <c r="AP255" i="112" s="1"/>
  <c r="T255" i="112"/>
  <c r="AS255" i="112" s="1"/>
  <c r="S255" i="112"/>
  <c r="AQ255" i="112" s="1"/>
  <c r="Q255" i="112"/>
  <c r="AO255" i="112" s="1"/>
  <c r="B255" i="112"/>
  <c r="CQ254" i="112"/>
  <c r="BS254" i="112"/>
  <c r="BR254" i="112"/>
  <c r="BQ254" i="112"/>
  <c r="BO254" i="112"/>
  <c r="BN254" i="112"/>
  <c r="BL254" i="112"/>
  <c r="BK254" i="112"/>
  <c r="BJ254" i="112"/>
  <c r="AJ254" i="112"/>
  <c r="AW254" i="112" s="1"/>
  <c r="AI254" i="112"/>
  <c r="AV254" i="112" s="1"/>
  <c r="AH254" i="112"/>
  <c r="AU254" i="112" s="1"/>
  <c r="AG254" i="112"/>
  <c r="AT254" i="112" s="1"/>
  <c r="AA254" i="112"/>
  <c r="AB254" i="112"/>
  <c r="Z254" i="112"/>
  <c r="Y254" i="112"/>
  <c r="T254" i="112"/>
  <c r="AS254" i="112" s="1"/>
  <c r="S254" i="112"/>
  <c r="AQ254" i="112" s="1"/>
  <c r="R254" i="112"/>
  <c r="AP254" i="112" s="1"/>
  <c r="Q254" i="112"/>
  <c r="AO254" i="112" s="1"/>
  <c r="I254" i="112"/>
  <c r="G254" i="112"/>
  <c r="E254" i="112"/>
  <c r="B254" i="112"/>
  <c r="CQ253" i="112"/>
  <c r="BS253" i="112"/>
  <c r="BR253" i="112"/>
  <c r="BQ253" i="112"/>
  <c r="BO253" i="112"/>
  <c r="BN253" i="112"/>
  <c r="BL253" i="112"/>
  <c r="BK253" i="112"/>
  <c r="BJ253" i="112"/>
  <c r="AI253" i="112"/>
  <c r="AV253" i="112" s="1"/>
  <c r="AJ253" i="112"/>
  <c r="AW253" i="112" s="1"/>
  <c r="AH253" i="112"/>
  <c r="AU253" i="112" s="1"/>
  <c r="AG253" i="112"/>
  <c r="AT253" i="112" s="1"/>
  <c r="AA253" i="112"/>
  <c r="AB253" i="112"/>
  <c r="Z253" i="112"/>
  <c r="Y253" i="112"/>
  <c r="T253" i="112"/>
  <c r="AS253" i="112" s="1"/>
  <c r="S253" i="112"/>
  <c r="AQ253" i="112" s="1"/>
  <c r="R253" i="112"/>
  <c r="AP253" i="112" s="1"/>
  <c r="Q253" i="112"/>
  <c r="AO253" i="112" s="1"/>
  <c r="I253" i="112"/>
  <c r="G253" i="112"/>
  <c r="E253" i="112"/>
  <c r="B253" i="112"/>
  <c r="CQ252" i="112"/>
  <c r="BS252" i="112"/>
  <c r="BR252" i="112"/>
  <c r="BQ252" i="112"/>
  <c r="BO252" i="112"/>
  <c r="BN252" i="112"/>
  <c r="BL252" i="112"/>
  <c r="BK252" i="112"/>
  <c r="BJ252" i="112"/>
  <c r="AI252" i="112"/>
  <c r="AV252" i="112" s="1"/>
  <c r="AJ252" i="112"/>
  <c r="AW252" i="112" s="1"/>
  <c r="AH252" i="112"/>
  <c r="AU252" i="112" s="1"/>
  <c r="AG252" i="112"/>
  <c r="AT252" i="112" s="1"/>
  <c r="AA252" i="112"/>
  <c r="AB252" i="112"/>
  <c r="Z252" i="112"/>
  <c r="Y252" i="112"/>
  <c r="T252" i="112"/>
  <c r="AS252" i="112" s="1"/>
  <c r="S252" i="112"/>
  <c r="AQ252" i="112" s="1"/>
  <c r="R252" i="112"/>
  <c r="AP252" i="112" s="1"/>
  <c r="Q252" i="112"/>
  <c r="AO252" i="112" s="1"/>
  <c r="I252" i="112"/>
  <c r="G252" i="112"/>
  <c r="E252" i="112"/>
  <c r="B252" i="112"/>
  <c r="CQ251" i="112"/>
  <c r="BS251" i="112"/>
  <c r="BR251" i="112"/>
  <c r="BQ251" i="112"/>
  <c r="BO251" i="112"/>
  <c r="BN251" i="112"/>
  <c r="BL251" i="112"/>
  <c r="BK251" i="112"/>
  <c r="BJ251" i="112"/>
  <c r="AI251" i="112"/>
  <c r="AV251" i="112" s="1"/>
  <c r="AJ251" i="112"/>
  <c r="AW251" i="112" s="1"/>
  <c r="AH251" i="112"/>
  <c r="AU251" i="112" s="1"/>
  <c r="AG251" i="112"/>
  <c r="AT251" i="112" s="1"/>
  <c r="AA251" i="112"/>
  <c r="AB251" i="112"/>
  <c r="Z251" i="112"/>
  <c r="Y251" i="112"/>
  <c r="T251" i="112"/>
  <c r="AS251" i="112" s="1"/>
  <c r="S251" i="112"/>
  <c r="AQ251" i="112" s="1"/>
  <c r="R251" i="112"/>
  <c r="AP251" i="112" s="1"/>
  <c r="Q251" i="112"/>
  <c r="AO251" i="112" s="1"/>
  <c r="I251" i="112"/>
  <c r="G251" i="112"/>
  <c r="E251" i="112"/>
  <c r="B251" i="112"/>
  <c r="CQ250" i="112"/>
  <c r="BS250" i="112"/>
  <c r="BR250" i="112"/>
  <c r="BQ250" i="112"/>
  <c r="BO250" i="112"/>
  <c r="BN250" i="112"/>
  <c r="BL250" i="112"/>
  <c r="BK250" i="112"/>
  <c r="BJ250" i="112"/>
  <c r="AI250" i="112"/>
  <c r="AV250" i="112" s="1"/>
  <c r="AJ250" i="112"/>
  <c r="AW250" i="112" s="1"/>
  <c r="AH250" i="112"/>
  <c r="AU250" i="112" s="1"/>
  <c r="AG250" i="112"/>
  <c r="AT250" i="112" s="1"/>
  <c r="AA250" i="112"/>
  <c r="AB250" i="112"/>
  <c r="Z250" i="112"/>
  <c r="Y250" i="112"/>
  <c r="T250" i="112"/>
  <c r="AS250" i="112" s="1"/>
  <c r="S250" i="112"/>
  <c r="AQ250" i="112" s="1"/>
  <c r="R250" i="112"/>
  <c r="AP250" i="112" s="1"/>
  <c r="Q250" i="112"/>
  <c r="AO250" i="112" s="1"/>
  <c r="B250" i="112"/>
  <c r="BS246" i="112"/>
  <c r="BR246" i="112"/>
  <c r="BQ246" i="112"/>
  <c r="BO246" i="112"/>
  <c r="BN246" i="112"/>
  <c r="BL246" i="112"/>
  <c r="BK246" i="112"/>
  <c r="BJ246" i="112"/>
  <c r="AI246" i="112"/>
  <c r="AV246" i="112" s="1"/>
  <c r="AJ246" i="112"/>
  <c r="AW246" i="112" s="1"/>
  <c r="AH246" i="112"/>
  <c r="AU246" i="112" s="1"/>
  <c r="AG246" i="112"/>
  <c r="AT246" i="112" s="1"/>
  <c r="AB246" i="112"/>
  <c r="AA246" i="112"/>
  <c r="Z246" i="112"/>
  <c r="Y246" i="112"/>
  <c r="T246" i="112"/>
  <c r="AS246" i="112" s="1"/>
  <c r="S246" i="112"/>
  <c r="AQ246" i="112" s="1"/>
  <c r="R246" i="112"/>
  <c r="AP246" i="112" s="1"/>
  <c r="Q246" i="112"/>
  <c r="AO246" i="112" s="1"/>
  <c r="BS245" i="112"/>
  <c r="BR245" i="112"/>
  <c r="BQ245" i="112"/>
  <c r="BO245" i="112"/>
  <c r="BN245" i="112"/>
  <c r="BL245" i="112"/>
  <c r="BK245" i="112"/>
  <c r="BJ245" i="112"/>
  <c r="AI245" i="112"/>
  <c r="AV245" i="112" s="1"/>
  <c r="AJ245" i="112"/>
  <c r="AW245" i="112" s="1"/>
  <c r="AH245" i="112"/>
  <c r="AU245" i="112" s="1"/>
  <c r="AG245" i="112"/>
  <c r="AT245" i="112" s="1"/>
  <c r="AA245" i="112"/>
  <c r="AB245" i="112"/>
  <c r="Z245" i="112"/>
  <c r="Y245" i="112"/>
  <c r="T245" i="112"/>
  <c r="AS245" i="112" s="1"/>
  <c r="S245" i="112"/>
  <c r="AQ245" i="112" s="1"/>
  <c r="R245" i="112"/>
  <c r="AP245" i="112" s="1"/>
  <c r="Q245" i="112"/>
  <c r="AO245" i="112" s="1"/>
  <c r="BS244" i="112"/>
  <c r="BR244" i="112"/>
  <c r="BQ244" i="112"/>
  <c r="BO244" i="112"/>
  <c r="BN244" i="112"/>
  <c r="BL244" i="112"/>
  <c r="BK244" i="112"/>
  <c r="BJ244" i="112"/>
  <c r="AW244" i="112"/>
  <c r="AV244" i="112"/>
  <c r="AU244" i="112"/>
  <c r="AT244" i="112"/>
  <c r="AB244" i="112"/>
  <c r="AA244" i="112"/>
  <c r="Z244" i="112"/>
  <c r="Y244" i="112"/>
  <c r="S244" i="112"/>
  <c r="AQ244" i="112" s="1"/>
  <c r="T244" i="112"/>
  <c r="AS244" i="112" s="1"/>
  <c r="R244" i="112"/>
  <c r="AP244" i="112" s="1"/>
  <c r="Q244" i="112"/>
  <c r="AO244" i="112" s="1"/>
  <c r="BS243" i="112"/>
  <c r="BR243" i="112"/>
  <c r="BQ243" i="112"/>
  <c r="BO243" i="112"/>
  <c r="BN243" i="112"/>
  <c r="BL243" i="112"/>
  <c r="BK243" i="112"/>
  <c r="BJ243" i="112"/>
  <c r="AW243" i="112"/>
  <c r="AV243" i="112"/>
  <c r="AU243" i="112"/>
  <c r="AT243" i="112"/>
  <c r="AA243" i="112"/>
  <c r="AB243" i="112"/>
  <c r="Z243" i="112"/>
  <c r="Y243" i="112"/>
  <c r="T243" i="112"/>
  <c r="AS243" i="112" s="1"/>
  <c r="S243" i="112"/>
  <c r="AQ243" i="112" s="1"/>
  <c r="R243" i="112"/>
  <c r="AP243" i="112" s="1"/>
  <c r="Q243" i="112"/>
  <c r="AO243" i="112" s="1"/>
  <c r="BS242" i="112"/>
  <c r="BR242" i="112"/>
  <c r="BQ242" i="112"/>
  <c r="BO242" i="112"/>
  <c r="BN242" i="112"/>
  <c r="BL242" i="112"/>
  <c r="BK242" i="112"/>
  <c r="BJ242" i="112"/>
  <c r="AW242" i="112"/>
  <c r="AV242" i="112"/>
  <c r="AU242" i="112"/>
  <c r="AT242" i="112"/>
  <c r="AA242" i="112"/>
  <c r="AB242" i="112"/>
  <c r="Z242" i="112"/>
  <c r="Y242" i="112"/>
  <c r="S242" i="112"/>
  <c r="AQ242" i="112" s="1"/>
  <c r="T242" i="112"/>
  <c r="AS242" i="112" s="1"/>
  <c r="R242" i="112"/>
  <c r="AP242" i="112" s="1"/>
  <c r="Q242" i="112"/>
  <c r="AO242" i="112" s="1"/>
  <c r="BS241" i="112"/>
  <c r="BR241" i="112"/>
  <c r="BQ241" i="112"/>
  <c r="BO241" i="112"/>
  <c r="BN241" i="112"/>
  <c r="BL241" i="112"/>
  <c r="BK241" i="112"/>
  <c r="BJ241" i="112"/>
  <c r="AW241" i="112"/>
  <c r="AV241" i="112"/>
  <c r="AU241" i="112"/>
  <c r="AT241" i="112"/>
  <c r="AB241" i="112"/>
  <c r="AA241" i="112"/>
  <c r="Z241" i="112"/>
  <c r="Y241" i="112"/>
  <c r="T241" i="112"/>
  <c r="AS241" i="112" s="1"/>
  <c r="S241" i="112"/>
  <c r="AQ241" i="112" s="1"/>
  <c r="R241" i="112"/>
  <c r="AP241" i="112" s="1"/>
  <c r="Q241" i="112"/>
  <c r="AO241" i="112" s="1"/>
  <c r="BS240" i="112"/>
  <c r="BR240" i="112"/>
  <c r="BQ240" i="112"/>
  <c r="BO240" i="112"/>
  <c r="BN240" i="112"/>
  <c r="BL240" i="112"/>
  <c r="BK240" i="112"/>
  <c r="BJ240" i="112"/>
  <c r="AW240" i="112"/>
  <c r="AV240" i="112"/>
  <c r="AU240" i="112"/>
  <c r="AT240" i="112"/>
  <c r="AA240" i="112"/>
  <c r="AB240" i="112"/>
  <c r="Z240" i="112"/>
  <c r="Y240" i="112"/>
  <c r="S240" i="112"/>
  <c r="AQ240" i="112" s="1"/>
  <c r="T240" i="112"/>
  <c r="AS240" i="112" s="1"/>
  <c r="R240" i="112"/>
  <c r="AP240" i="112" s="1"/>
  <c r="Q240" i="112"/>
  <c r="AO240" i="112" s="1"/>
  <c r="BS239" i="112"/>
  <c r="BR239" i="112"/>
  <c r="BQ239" i="112"/>
  <c r="BO239" i="112"/>
  <c r="BN239" i="112"/>
  <c r="BL239" i="112"/>
  <c r="BK239" i="112"/>
  <c r="BJ239" i="112"/>
  <c r="AW239" i="112"/>
  <c r="AV239" i="112"/>
  <c r="AU239" i="112"/>
  <c r="AT239" i="112"/>
  <c r="AB239" i="112"/>
  <c r="AA239" i="112"/>
  <c r="Z239" i="112"/>
  <c r="Y239" i="112"/>
  <c r="T239" i="112"/>
  <c r="AS239" i="112" s="1"/>
  <c r="S239" i="112"/>
  <c r="AQ239" i="112" s="1"/>
  <c r="R239" i="112"/>
  <c r="AP239" i="112" s="1"/>
  <c r="Q239" i="112"/>
  <c r="AO239" i="112" s="1"/>
  <c r="BS238" i="112"/>
  <c r="BR238" i="112"/>
  <c r="BQ238" i="112"/>
  <c r="BO238" i="112"/>
  <c r="BN238" i="112"/>
  <c r="BL238" i="112"/>
  <c r="BK238" i="112"/>
  <c r="BJ238" i="112"/>
  <c r="AW238" i="112"/>
  <c r="AV238" i="112"/>
  <c r="AU238" i="112"/>
  <c r="AT238" i="112"/>
  <c r="AB238" i="112"/>
  <c r="AA238" i="112"/>
  <c r="Z238" i="112"/>
  <c r="Y238" i="112"/>
  <c r="S238" i="112"/>
  <c r="AQ238" i="112" s="1"/>
  <c r="T238" i="112"/>
  <c r="AS238" i="112" s="1"/>
  <c r="R238" i="112"/>
  <c r="AP238" i="112" s="1"/>
  <c r="Q238" i="112"/>
  <c r="AO238" i="112" s="1"/>
  <c r="BS237" i="112"/>
  <c r="BR237" i="112"/>
  <c r="BQ237" i="112"/>
  <c r="BO237" i="112"/>
  <c r="BN237" i="112"/>
  <c r="BL237" i="112"/>
  <c r="BK237" i="112"/>
  <c r="BJ237" i="112"/>
  <c r="AW237" i="112"/>
  <c r="AV237" i="112"/>
  <c r="AU237" i="112"/>
  <c r="AT237" i="112"/>
  <c r="AA237" i="112"/>
  <c r="AB237" i="112"/>
  <c r="Z237" i="112"/>
  <c r="Y237" i="112"/>
  <c r="T237" i="112"/>
  <c r="AS237" i="112" s="1"/>
  <c r="S237" i="112"/>
  <c r="AQ237" i="112" s="1"/>
  <c r="R237" i="112"/>
  <c r="AP237" i="112" s="1"/>
  <c r="Q237" i="112"/>
  <c r="AO237" i="112" s="1"/>
  <c r="BS236" i="112"/>
  <c r="BR236" i="112"/>
  <c r="BQ236" i="112"/>
  <c r="BO236" i="112"/>
  <c r="BN236" i="112"/>
  <c r="BL236" i="112"/>
  <c r="BK236" i="112"/>
  <c r="BJ236" i="112"/>
  <c r="AW236" i="112"/>
  <c r="AV236" i="112"/>
  <c r="AU236" i="112"/>
  <c r="AT236" i="112"/>
  <c r="AB236" i="112"/>
  <c r="AA236" i="112"/>
  <c r="Z236" i="112"/>
  <c r="Y236" i="112"/>
  <c r="S236" i="112"/>
  <c r="AQ236" i="112" s="1"/>
  <c r="T236" i="112"/>
  <c r="AS236" i="112" s="1"/>
  <c r="R236" i="112"/>
  <c r="AP236" i="112" s="1"/>
  <c r="Q236" i="112"/>
  <c r="AO236" i="112" s="1"/>
  <c r="BS235" i="112"/>
  <c r="BR235" i="112"/>
  <c r="BQ235" i="112"/>
  <c r="BO235" i="112"/>
  <c r="BN235" i="112"/>
  <c r="BL235" i="112"/>
  <c r="BK235" i="112"/>
  <c r="BJ235" i="112"/>
  <c r="AW235" i="112"/>
  <c r="AV235" i="112"/>
  <c r="AU235" i="112"/>
  <c r="AT235" i="112"/>
  <c r="AA235" i="112"/>
  <c r="AB235" i="112"/>
  <c r="Z235" i="112"/>
  <c r="Y235" i="112"/>
  <c r="T235" i="112"/>
  <c r="AS235" i="112" s="1"/>
  <c r="S235" i="112"/>
  <c r="AQ235" i="112" s="1"/>
  <c r="R235" i="112"/>
  <c r="AP235" i="112" s="1"/>
  <c r="Q235" i="112"/>
  <c r="AO235" i="112" s="1"/>
  <c r="BS234" i="112"/>
  <c r="BR234" i="112"/>
  <c r="BQ234" i="112"/>
  <c r="BO234" i="112"/>
  <c r="BN234" i="112"/>
  <c r="BL234" i="112"/>
  <c r="BK234" i="112"/>
  <c r="BJ234" i="112"/>
  <c r="AW234" i="112"/>
  <c r="AV234" i="112"/>
  <c r="AU234" i="112"/>
  <c r="AT234" i="112"/>
  <c r="AA234" i="112"/>
  <c r="AB234" i="112"/>
  <c r="Z234" i="112"/>
  <c r="Y234" i="112"/>
  <c r="S234" i="112"/>
  <c r="AQ234" i="112" s="1"/>
  <c r="T234" i="112"/>
  <c r="AS234" i="112" s="1"/>
  <c r="R234" i="112"/>
  <c r="AP234" i="112" s="1"/>
  <c r="Q234" i="112"/>
  <c r="AO234" i="112" s="1"/>
  <c r="BS233" i="112"/>
  <c r="BR233" i="112"/>
  <c r="BQ233" i="112"/>
  <c r="BO233" i="112"/>
  <c r="BN233" i="112"/>
  <c r="BL233" i="112"/>
  <c r="BK233" i="112"/>
  <c r="BJ233" i="112"/>
  <c r="AW233" i="112"/>
  <c r="AV233" i="112"/>
  <c r="AU233" i="112"/>
  <c r="AT233" i="112"/>
  <c r="AB233" i="112"/>
  <c r="AA233" i="112"/>
  <c r="Z233" i="112"/>
  <c r="Y233" i="112"/>
  <c r="T233" i="112"/>
  <c r="AS233" i="112" s="1"/>
  <c r="S233" i="112"/>
  <c r="AQ233" i="112" s="1"/>
  <c r="R233" i="112"/>
  <c r="AP233" i="112" s="1"/>
  <c r="Q233" i="112"/>
  <c r="AO233" i="112" s="1"/>
  <c r="BS232" i="112"/>
  <c r="BR232" i="112"/>
  <c r="BQ232" i="112"/>
  <c r="BO232" i="112"/>
  <c r="BN232" i="112"/>
  <c r="BL232" i="112"/>
  <c r="BK232" i="112"/>
  <c r="BJ232" i="112"/>
  <c r="AW232" i="112"/>
  <c r="AV232" i="112"/>
  <c r="AU232" i="112"/>
  <c r="AT232" i="112"/>
  <c r="AA232" i="112"/>
  <c r="AB232" i="112"/>
  <c r="Z232" i="112"/>
  <c r="Y232" i="112"/>
  <c r="S232" i="112"/>
  <c r="AQ232" i="112" s="1"/>
  <c r="T232" i="112"/>
  <c r="AS232" i="112" s="1"/>
  <c r="R232" i="112"/>
  <c r="AP232" i="112" s="1"/>
  <c r="Q232" i="112"/>
  <c r="AO232" i="112" s="1"/>
  <c r="BS231" i="112"/>
  <c r="BR231" i="112"/>
  <c r="BQ231" i="112"/>
  <c r="BO231" i="112"/>
  <c r="BN231" i="112"/>
  <c r="BL231" i="112"/>
  <c r="BK231" i="112"/>
  <c r="BJ231" i="112"/>
  <c r="AW231" i="112"/>
  <c r="AV231" i="112"/>
  <c r="AU231" i="112"/>
  <c r="AT231" i="112"/>
  <c r="AB231" i="112"/>
  <c r="AA231" i="112"/>
  <c r="Z231" i="112"/>
  <c r="Y231" i="112"/>
  <c r="T231" i="112"/>
  <c r="AS231" i="112" s="1"/>
  <c r="S231" i="112"/>
  <c r="AQ231" i="112" s="1"/>
  <c r="R231" i="112"/>
  <c r="AP231" i="112" s="1"/>
  <c r="Q231" i="112"/>
  <c r="AO231" i="112" s="1"/>
  <c r="BS230" i="112"/>
  <c r="BR230" i="112"/>
  <c r="BQ230" i="112"/>
  <c r="BO230" i="112"/>
  <c r="BN230" i="112"/>
  <c r="BL230" i="112"/>
  <c r="BK230" i="112"/>
  <c r="BJ230" i="112"/>
  <c r="AW230" i="112"/>
  <c r="AV230" i="112"/>
  <c r="AU230" i="112"/>
  <c r="AT230" i="112"/>
  <c r="AB230" i="112"/>
  <c r="AA230" i="112"/>
  <c r="Z230" i="112"/>
  <c r="Y230" i="112"/>
  <c r="S230" i="112"/>
  <c r="AQ230" i="112" s="1"/>
  <c r="T230" i="112"/>
  <c r="AS230" i="112" s="1"/>
  <c r="R230" i="112"/>
  <c r="AP230" i="112" s="1"/>
  <c r="Q230" i="112"/>
  <c r="AO230" i="112" s="1"/>
  <c r="BS229" i="112"/>
  <c r="BR229" i="112"/>
  <c r="BQ229" i="112"/>
  <c r="BO229" i="112"/>
  <c r="BN229" i="112"/>
  <c r="BL229" i="112"/>
  <c r="BK229" i="112"/>
  <c r="BJ229" i="112"/>
  <c r="AW229" i="112"/>
  <c r="AV229" i="112"/>
  <c r="AU229" i="112"/>
  <c r="AT229" i="112"/>
  <c r="AA229" i="112"/>
  <c r="AB229" i="112"/>
  <c r="Z229" i="112"/>
  <c r="Y229" i="112"/>
  <c r="T229" i="112"/>
  <c r="AS229" i="112" s="1"/>
  <c r="S229" i="112"/>
  <c r="AQ229" i="112" s="1"/>
  <c r="R229" i="112"/>
  <c r="AP229" i="112" s="1"/>
  <c r="Q229" i="112"/>
  <c r="AO229" i="112" s="1"/>
  <c r="BS228" i="112"/>
  <c r="BR228" i="112"/>
  <c r="BQ228" i="112"/>
  <c r="BO228" i="112"/>
  <c r="BN228" i="112"/>
  <c r="BL228" i="112"/>
  <c r="BK228" i="112"/>
  <c r="BJ228" i="112"/>
  <c r="AW228" i="112"/>
  <c r="AV228" i="112"/>
  <c r="AU228" i="112"/>
  <c r="AT228" i="112"/>
  <c r="AB228" i="112"/>
  <c r="AA228" i="112"/>
  <c r="Z228" i="112"/>
  <c r="Y228" i="112"/>
  <c r="S228" i="112"/>
  <c r="AQ228" i="112" s="1"/>
  <c r="T228" i="112"/>
  <c r="AS228" i="112" s="1"/>
  <c r="R228" i="112"/>
  <c r="AP228" i="112" s="1"/>
  <c r="Q228" i="112"/>
  <c r="AO228" i="112" s="1"/>
  <c r="BS227" i="112"/>
  <c r="BR227" i="112"/>
  <c r="BQ227" i="112"/>
  <c r="BO227" i="112"/>
  <c r="BN227" i="112"/>
  <c r="BL227" i="112"/>
  <c r="BK227" i="112"/>
  <c r="BJ227" i="112"/>
  <c r="AJ227" i="112"/>
  <c r="AW227" i="112" s="1"/>
  <c r="AI227" i="112"/>
  <c r="AV227" i="112" s="1"/>
  <c r="AH227" i="112"/>
  <c r="AU227" i="112" s="1"/>
  <c r="AG227" i="112"/>
  <c r="AT227" i="112" s="1"/>
  <c r="AA227" i="112"/>
  <c r="AB227" i="112"/>
  <c r="Z227" i="112"/>
  <c r="Y227" i="112"/>
  <c r="S227" i="112"/>
  <c r="AQ227" i="112" s="1"/>
  <c r="T227" i="112"/>
  <c r="AS227" i="112" s="1"/>
  <c r="R227" i="112"/>
  <c r="AP227" i="112" s="1"/>
  <c r="Q227" i="112"/>
  <c r="AO227" i="112" s="1"/>
  <c r="BS226" i="112"/>
  <c r="BR226" i="112"/>
  <c r="BQ226" i="112"/>
  <c r="BO226" i="112"/>
  <c r="BN226" i="112"/>
  <c r="BL226" i="112"/>
  <c r="BK226" i="112"/>
  <c r="BJ226" i="112"/>
  <c r="AJ226" i="112"/>
  <c r="AW226" i="112" s="1"/>
  <c r="AI226" i="112"/>
  <c r="AV226" i="112" s="1"/>
  <c r="AH226" i="112"/>
  <c r="AU226" i="112" s="1"/>
  <c r="AG226" i="112"/>
  <c r="AT226" i="112" s="1"/>
  <c r="AB226" i="112"/>
  <c r="AA226" i="112"/>
  <c r="Z226" i="112"/>
  <c r="Y226" i="112"/>
  <c r="S226" i="112"/>
  <c r="AQ226" i="112" s="1"/>
  <c r="T226" i="112"/>
  <c r="AS226" i="112" s="1"/>
  <c r="R226" i="112"/>
  <c r="AP226" i="112" s="1"/>
  <c r="Q226" i="112"/>
  <c r="AO226" i="112" s="1"/>
  <c r="BS225" i="112"/>
  <c r="BR225" i="112"/>
  <c r="BQ225" i="112"/>
  <c r="BO225" i="112"/>
  <c r="BN225" i="112"/>
  <c r="BL225" i="112"/>
  <c r="BK225" i="112"/>
  <c r="BJ225" i="112"/>
  <c r="AI225" i="112"/>
  <c r="AV225" i="112" s="1"/>
  <c r="AJ225" i="112"/>
  <c r="AW225" i="112" s="1"/>
  <c r="AH225" i="112"/>
  <c r="AU225" i="112" s="1"/>
  <c r="AG225" i="112"/>
  <c r="AT225" i="112" s="1"/>
  <c r="AB225" i="112"/>
  <c r="AA225" i="112"/>
  <c r="Z225" i="112"/>
  <c r="Y225" i="112"/>
  <c r="T225" i="112"/>
  <c r="AS225" i="112" s="1"/>
  <c r="S225" i="112"/>
  <c r="AQ225" i="112" s="1"/>
  <c r="R225" i="112"/>
  <c r="AP225" i="112" s="1"/>
  <c r="Q225" i="112"/>
  <c r="AO225" i="112" s="1"/>
  <c r="BS216" i="112"/>
  <c r="BR216" i="112"/>
  <c r="BQ216" i="112"/>
  <c r="BO216" i="112"/>
  <c r="BN216" i="112"/>
  <c r="BL216" i="112"/>
  <c r="BK216" i="112"/>
  <c r="BJ216" i="112"/>
  <c r="AV216" i="112"/>
  <c r="AH216" i="112"/>
  <c r="AU216" i="112" s="1"/>
  <c r="AJ216" i="112"/>
  <c r="AW216" i="112" s="1"/>
  <c r="AG216" i="112"/>
  <c r="AT216" i="112" s="1"/>
  <c r="Z216" i="112"/>
  <c r="AB216" i="112"/>
  <c r="AA216" i="112"/>
  <c r="Y216" i="112"/>
  <c r="T216" i="112"/>
  <c r="AS216" i="112" s="1"/>
  <c r="S216" i="112"/>
  <c r="AQ216" i="112" s="1"/>
  <c r="R216" i="112"/>
  <c r="AP216" i="112" s="1"/>
  <c r="Q216" i="112"/>
  <c r="AO216" i="112" s="1"/>
  <c r="BS208" i="112"/>
  <c r="BR208" i="112"/>
  <c r="BQ208" i="112"/>
  <c r="BO208" i="112"/>
  <c r="BN208" i="112"/>
  <c r="BL208" i="112"/>
  <c r="BK208" i="112"/>
  <c r="BJ208" i="112"/>
  <c r="AH208" i="112"/>
  <c r="AU208" i="112" s="1"/>
  <c r="AJ208" i="112"/>
  <c r="AW208" i="112" s="1"/>
  <c r="AI208" i="112"/>
  <c r="AV208" i="112" s="1"/>
  <c r="AG208" i="112"/>
  <c r="AT208" i="112" s="1"/>
  <c r="AB208" i="112"/>
  <c r="AA208" i="112"/>
  <c r="Z208" i="112"/>
  <c r="Y208" i="112"/>
  <c r="T208" i="112"/>
  <c r="AS208" i="112" s="1"/>
  <c r="S208" i="112"/>
  <c r="AQ208" i="112" s="1"/>
  <c r="R208" i="112"/>
  <c r="AP208" i="112" s="1"/>
  <c r="Q208" i="112"/>
  <c r="AO208" i="112" s="1"/>
  <c r="BS207" i="112"/>
  <c r="BR207" i="112"/>
  <c r="BQ207" i="112"/>
  <c r="BO207" i="112"/>
  <c r="BN207" i="112"/>
  <c r="BL207" i="112"/>
  <c r="BK207" i="112"/>
  <c r="BJ207" i="112"/>
  <c r="AH207" i="112"/>
  <c r="AU207" i="112" s="1"/>
  <c r="AJ207" i="112"/>
  <c r="AW207" i="112" s="1"/>
  <c r="AB207" i="112"/>
  <c r="Z207" i="112"/>
  <c r="T207" i="112"/>
  <c r="AS207" i="112" s="1"/>
  <c r="R207" i="112"/>
  <c r="AP207" i="112" s="1"/>
  <c r="L207" i="112"/>
  <c r="K207" i="112"/>
  <c r="Y207" i="112" s="1"/>
  <c r="BS206" i="112"/>
  <c r="BR206" i="112"/>
  <c r="BQ206" i="112"/>
  <c r="BO206" i="112"/>
  <c r="BN206" i="112"/>
  <c r="BL206" i="112"/>
  <c r="BK206" i="112"/>
  <c r="BJ206" i="112"/>
  <c r="AT206" i="112"/>
  <c r="AI206" i="112"/>
  <c r="AV206" i="112" s="1"/>
  <c r="AA206" i="112"/>
  <c r="Y206" i="112"/>
  <c r="S206" i="112"/>
  <c r="AQ206" i="112" s="1"/>
  <c r="Q206" i="112"/>
  <c r="AO206" i="112" s="1"/>
  <c r="L206" i="112"/>
  <c r="AH206" i="112" s="1"/>
  <c r="AU206" i="112" s="1"/>
  <c r="K206" i="112"/>
  <c r="BS205" i="112"/>
  <c r="BR205" i="112"/>
  <c r="BR204" i="112" s="1"/>
  <c r="BQ205" i="112"/>
  <c r="BQ204" i="112" s="1"/>
  <c r="BO205" i="112"/>
  <c r="BO204" i="112" s="1"/>
  <c r="BN205" i="112"/>
  <c r="BL205" i="112"/>
  <c r="BL204" i="112" s="1"/>
  <c r="BK205" i="112"/>
  <c r="BK204" i="112" s="1"/>
  <c r="BJ205" i="112"/>
  <c r="BJ204" i="112" s="1"/>
  <c r="AT205" i="112"/>
  <c r="AI205" i="112"/>
  <c r="AV205" i="112" s="1"/>
  <c r="AJ205" i="112"/>
  <c r="AW205" i="112" s="1"/>
  <c r="AH205" i="112"/>
  <c r="AU205" i="112" s="1"/>
  <c r="AB205" i="112"/>
  <c r="AA205" i="112"/>
  <c r="Z205" i="112"/>
  <c r="Y205" i="112"/>
  <c r="R205" i="112"/>
  <c r="AP205" i="112" s="1"/>
  <c r="T205" i="112"/>
  <c r="AS205" i="112" s="1"/>
  <c r="S205" i="112"/>
  <c r="AQ205" i="112" s="1"/>
  <c r="Q205" i="112"/>
  <c r="AO205" i="112" s="1"/>
  <c r="BS204" i="112"/>
  <c r="DO203" i="112"/>
  <c r="DN203" i="112"/>
  <c r="DM203" i="112"/>
  <c r="DL203" i="112"/>
  <c r="DK203" i="112"/>
  <c r="DJ203" i="112"/>
  <c r="DI203" i="112"/>
  <c r="DH203" i="112"/>
  <c r="DG203" i="112"/>
  <c r="DF203" i="112"/>
  <c r="DE203" i="112"/>
  <c r="DD203" i="112"/>
  <c r="BS203" i="112"/>
  <c r="BR203" i="112"/>
  <c r="BQ203" i="112"/>
  <c r="BO203" i="112"/>
  <c r="BN203" i="112"/>
  <c r="BL203" i="112"/>
  <c r="BK203" i="112"/>
  <c r="BJ203" i="112"/>
  <c r="AJ203" i="112"/>
  <c r="AW203" i="112" s="1"/>
  <c r="AH203" i="112"/>
  <c r="AU203" i="112" s="1"/>
  <c r="AI203" i="112"/>
  <c r="AV203" i="112" s="1"/>
  <c r="AG203" i="112"/>
  <c r="AT203" i="112" s="1"/>
  <c r="AB203" i="112"/>
  <c r="AA203" i="112"/>
  <c r="Z203" i="112"/>
  <c r="Y203" i="112"/>
  <c r="T203" i="112"/>
  <c r="AS203" i="112" s="1"/>
  <c r="S203" i="112"/>
  <c r="AQ203" i="112" s="1"/>
  <c r="R203" i="112"/>
  <c r="AP203" i="112" s="1"/>
  <c r="Q203" i="112"/>
  <c r="AO203" i="112" s="1"/>
  <c r="DO202" i="112"/>
  <c r="DN202" i="112"/>
  <c r="DM202" i="112"/>
  <c r="DL202" i="112"/>
  <c r="DK202" i="112"/>
  <c r="DJ202" i="112"/>
  <c r="DI202" i="112"/>
  <c r="DH202" i="112"/>
  <c r="DG202" i="112"/>
  <c r="DF202" i="112"/>
  <c r="DE202" i="112"/>
  <c r="DD202" i="112"/>
  <c r="BS202" i="112"/>
  <c r="BR202" i="112"/>
  <c r="BQ202" i="112"/>
  <c r="BO202" i="112"/>
  <c r="BN202" i="112"/>
  <c r="BL202" i="112"/>
  <c r="BK202" i="112"/>
  <c r="BJ202" i="112"/>
  <c r="AH202" i="112"/>
  <c r="AU202" i="112" s="1"/>
  <c r="AJ202" i="112"/>
  <c r="AW202" i="112" s="1"/>
  <c r="AI202" i="112"/>
  <c r="AV202" i="112" s="1"/>
  <c r="AG202" i="112"/>
  <c r="AT202" i="112" s="1"/>
  <c r="Z202" i="112"/>
  <c r="AB202" i="112"/>
  <c r="AA202" i="112"/>
  <c r="Y202" i="112"/>
  <c r="T202" i="112"/>
  <c r="AS202" i="112" s="1"/>
  <c r="S202" i="112"/>
  <c r="AQ202" i="112" s="1"/>
  <c r="R202" i="112"/>
  <c r="AP202" i="112" s="1"/>
  <c r="Q202" i="112"/>
  <c r="AO202" i="112" s="1"/>
  <c r="DO201" i="112"/>
  <c r="DN201" i="112"/>
  <c r="DM201" i="112"/>
  <c r="DL201" i="112"/>
  <c r="DK201" i="112"/>
  <c r="DJ201" i="112"/>
  <c r="DI201" i="112"/>
  <c r="DH201" i="112"/>
  <c r="DG201" i="112"/>
  <c r="DF201" i="112"/>
  <c r="DE201" i="112"/>
  <c r="DD201" i="112"/>
  <c r="BS201" i="112"/>
  <c r="BR201" i="112"/>
  <c r="BQ201" i="112"/>
  <c r="BO201" i="112"/>
  <c r="BN201" i="112"/>
  <c r="BL201" i="112"/>
  <c r="BK201" i="112"/>
  <c r="BJ201" i="112"/>
  <c r="AH201" i="112"/>
  <c r="AU201" i="112" s="1"/>
  <c r="AJ201" i="112"/>
  <c r="AW201" i="112" s="1"/>
  <c r="AI201" i="112"/>
  <c r="AV201" i="112" s="1"/>
  <c r="AG201" i="112"/>
  <c r="AT201" i="112" s="1"/>
  <c r="AB201" i="112"/>
  <c r="AA201" i="112"/>
  <c r="Z201" i="112"/>
  <c r="Y201" i="112"/>
  <c r="T201" i="112"/>
  <c r="AS201" i="112" s="1"/>
  <c r="S201" i="112"/>
  <c r="AQ201" i="112" s="1"/>
  <c r="R201" i="112"/>
  <c r="AP201" i="112" s="1"/>
  <c r="Q201" i="112"/>
  <c r="AO201" i="112" s="1"/>
  <c r="DO200" i="112"/>
  <c r="DN200" i="112"/>
  <c r="DM200" i="112"/>
  <c r="DL200" i="112"/>
  <c r="DK200" i="112"/>
  <c r="DJ200" i="112"/>
  <c r="DI200" i="112"/>
  <c r="DH200" i="112"/>
  <c r="DG200" i="112"/>
  <c r="DF200" i="112"/>
  <c r="DE200" i="112"/>
  <c r="DD200" i="112"/>
  <c r="BS200" i="112"/>
  <c r="BS199" i="112" s="1"/>
  <c r="BR200" i="112"/>
  <c r="BR199" i="112" s="1"/>
  <c r="BQ200" i="112"/>
  <c r="BO200" i="112"/>
  <c r="BN200" i="112"/>
  <c r="BN199" i="112" s="1"/>
  <c r="BL200" i="112"/>
  <c r="BL199" i="112" s="1"/>
  <c r="BK200" i="112"/>
  <c r="BJ200" i="112"/>
  <c r="BJ199" i="112" s="1"/>
  <c r="AH200" i="112"/>
  <c r="AU200" i="112" s="1"/>
  <c r="AJ200" i="112"/>
  <c r="AW200" i="112" s="1"/>
  <c r="AI200" i="112"/>
  <c r="AV200" i="112" s="1"/>
  <c r="AG200" i="112"/>
  <c r="AT200" i="112" s="1"/>
  <c r="AB200" i="112"/>
  <c r="Z200" i="112"/>
  <c r="AA200" i="112"/>
  <c r="Y200" i="112"/>
  <c r="T200" i="112"/>
  <c r="AS200" i="112" s="1"/>
  <c r="S200" i="112"/>
  <c r="AQ200" i="112" s="1"/>
  <c r="R200" i="112"/>
  <c r="AP200" i="112" s="1"/>
  <c r="BO199" i="112"/>
  <c r="BS198" i="112"/>
  <c r="BR198" i="112"/>
  <c r="BQ198" i="112"/>
  <c r="BO198" i="112"/>
  <c r="BN198" i="112"/>
  <c r="BL198" i="112"/>
  <c r="BK198" i="112"/>
  <c r="BJ198" i="112"/>
  <c r="AH198" i="112"/>
  <c r="AU198" i="112" s="1"/>
  <c r="AJ198" i="112"/>
  <c r="AW198" i="112" s="1"/>
  <c r="AI198" i="112"/>
  <c r="AV198" i="112" s="1"/>
  <c r="AG198" i="112"/>
  <c r="AT198" i="112" s="1"/>
  <c r="AB198" i="112"/>
  <c r="AA198" i="112"/>
  <c r="Z198" i="112"/>
  <c r="Y198" i="112"/>
  <c r="T198" i="112"/>
  <c r="AS198" i="112" s="1"/>
  <c r="S198" i="112"/>
  <c r="AQ198" i="112" s="1"/>
  <c r="R198" i="112"/>
  <c r="AP198" i="112" s="1"/>
  <c r="Q198" i="112"/>
  <c r="AO198" i="112" s="1"/>
  <c r="BS197" i="112"/>
  <c r="BR197" i="112"/>
  <c r="BQ197" i="112"/>
  <c r="BO197" i="112"/>
  <c r="BN197" i="112"/>
  <c r="BL197" i="112"/>
  <c r="BK197" i="112"/>
  <c r="BJ197" i="112"/>
  <c r="AH197" i="112"/>
  <c r="AU197" i="112" s="1"/>
  <c r="AJ197" i="112"/>
  <c r="AW197" i="112" s="1"/>
  <c r="AI197" i="112"/>
  <c r="AV197" i="112" s="1"/>
  <c r="AG197" i="112"/>
  <c r="AT197" i="112" s="1"/>
  <c r="AB197" i="112"/>
  <c r="Z197" i="112"/>
  <c r="AA197" i="112"/>
  <c r="Y197" i="112"/>
  <c r="T197" i="112"/>
  <c r="AS197" i="112" s="1"/>
  <c r="S197" i="112"/>
  <c r="AQ197" i="112" s="1"/>
  <c r="R197" i="112"/>
  <c r="AP197" i="112" s="1"/>
  <c r="Q197" i="112"/>
  <c r="AO197" i="112" s="1"/>
  <c r="BS196" i="112"/>
  <c r="BR196" i="112"/>
  <c r="BQ196" i="112"/>
  <c r="BO196" i="112"/>
  <c r="BN196" i="112"/>
  <c r="BL196" i="112"/>
  <c r="BK196" i="112"/>
  <c r="BJ196" i="112"/>
  <c r="AJ196" i="112"/>
  <c r="AW196" i="112" s="1"/>
  <c r="AH196" i="112"/>
  <c r="AU196" i="112" s="1"/>
  <c r="AI196" i="112"/>
  <c r="AV196" i="112" s="1"/>
  <c r="AG196" i="112"/>
  <c r="AT196" i="112" s="1"/>
  <c r="AB196" i="112"/>
  <c r="AA196" i="112"/>
  <c r="Z196" i="112"/>
  <c r="Y196" i="112"/>
  <c r="T196" i="112"/>
  <c r="AS196" i="112" s="1"/>
  <c r="S196" i="112"/>
  <c r="AQ196" i="112" s="1"/>
  <c r="R196" i="112"/>
  <c r="AP196" i="112" s="1"/>
  <c r="Q196" i="112"/>
  <c r="AO196" i="112" s="1"/>
  <c r="BS195" i="112"/>
  <c r="BR195" i="112"/>
  <c r="BQ195" i="112"/>
  <c r="BO195" i="112"/>
  <c r="BN195" i="112"/>
  <c r="BL195" i="112"/>
  <c r="BK195" i="112"/>
  <c r="BJ195" i="112"/>
  <c r="AH195" i="112"/>
  <c r="AU195" i="112" s="1"/>
  <c r="AJ195" i="112"/>
  <c r="AW195" i="112" s="1"/>
  <c r="AI195" i="112"/>
  <c r="AV195" i="112" s="1"/>
  <c r="AG195" i="112"/>
  <c r="AT195" i="112" s="1"/>
  <c r="Z195" i="112"/>
  <c r="AB195" i="112"/>
  <c r="AA195" i="112"/>
  <c r="Y195" i="112"/>
  <c r="T195" i="112"/>
  <c r="AS195" i="112" s="1"/>
  <c r="S195" i="112"/>
  <c r="AQ195" i="112" s="1"/>
  <c r="R195" i="112"/>
  <c r="AP195" i="112" s="1"/>
  <c r="Q195" i="112"/>
  <c r="AO195" i="112" s="1"/>
  <c r="BS194" i="112"/>
  <c r="BR194" i="112"/>
  <c r="BQ194" i="112"/>
  <c r="BO194" i="112"/>
  <c r="BN194" i="112"/>
  <c r="BL194" i="112"/>
  <c r="BK194" i="112"/>
  <c r="BJ194" i="112"/>
  <c r="AH194" i="112"/>
  <c r="AU194" i="112" s="1"/>
  <c r="AJ194" i="112"/>
  <c r="AW194" i="112" s="1"/>
  <c r="AI194" i="112"/>
  <c r="AV194" i="112" s="1"/>
  <c r="AG194" i="112"/>
  <c r="AT194" i="112" s="1"/>
  <c r="AB194" i="112"/>
  <c r="AA194" i="112"/>
  <c r="Z194" i="112"/>
  <c r="Y194" i="112"/>
  <c r="T194" i="112"/>
  <c r="AS194" i="112" s="1"/>
  <c r="S194" i="112"/>
  <c r="AQ194" i="112" s="1"/>
  <c r="R194" i="112"/>
  <c r="AP194" i="112" s="1"/>
  <c r="Q194" i="112"/>
  <c r="AO194" i="112" s="1"/>
  <c r="BS193" i="112"/>
  <c r="BR193" i="112"/>
  <c r="BQ193" i="112"/>
  <c r="BO193" i="112"/>
  <c r="BN193" i="112"/>
  <c r="BL193" i="112"/>
  <c r="BK193" i="112"/>
  <c r="BJ193" i="112"/>
  <c r="AH193" i="112"/>
  <c r="AU193" i="112" s="1"/>
  <c r="AJ193" i="112"/>
  <c r="AW193" i="112" s="1"/>
  <c r="AI193" i="112"/>
  <c r="AV193" i="112" s="1"/>
  <c r="AG193" i="112"/>
  <c r="AT193" i="112" s="1"/>
  <c r="AB193" i="112"/>
  <c r="Z193" i="112"/>
  <c r="AA193" i="112"/>
  <c r="Y193" i="112"/>
  <c r="T193" i="112"/>
  <c r="AS193" i="112" s="1"/>
  <c r="S193" i="112"/>
  <c r="AQ193" i="112" s="1"/>
  <c r="R193" i="112"/>
  <c r="AP193" i="112" s="1"/>
  <c r="Q193" i="112"/>
  <c r="AO193" i="112" s="1"/>
  <c r="BS192" i="112"/>
  <c r="BR192" i="112"/>
  <c r="BQ192" i="112"/>
  <c r="BO192" i="112"/>
  <c r="BN192" i="112"/>
  <c r="BL192" i="112"/>
  <c r="BK192" i="112"/>
  <c r="BJ192" i="112"/>
  <c r="AJ192" i="112"/>
  <c r="AW192" i="112" s="1"/>
  <c r="AH192" i="112"/>
  <c r="AU192" i="112" s="1"/>
  <c r="AI192" i="112"/>
  <c r="AV192" i="112" s="1"/>
  <c r="AG192" i="112"/>
  <c r="AT192" i="112" s="1"/>
  <c r="AB192" i="112"/>
  <c r="AA192" i="112"/>
  <c r="Z192" i="112"/>
  <c r="Y192" i="112"/>
  <c r="T192" i="112"/>
  <c r="AS192" i="112" s="1"/>
  <c r="S192" i="112"/>
  <c r="AQ192" i="112" s="1"/>
  <c r="R192" i="112"/>
  <c r="AP192" i="112" s="1"/>
  <c r="Q192" i="112"/>
  <c r="AO192" i="112" s="1"/>
  <c r="BS191" i="112"/>
  <c r="BR191" i="112"/>
  <c r="BQ191" i="112"/>
  <c r="BO191" i="112"/>
  <c r="BN191" i="112"/>
  <c r="BL191" i="112"/>
  <c r="BK191" i="112"/>
  <c r="BJ191" i="112"/>
  <c r="AH191" i="112"/>
  <c r="AU191" i="112" s="1"/>
  <c r="AJ191" i="112"/>
  <c r="AW191" i="112" s="1"/>
  <c r="AI191" i="112"/>
  <c r="AV191" i="112" s="1"/>
  <c r="AG191" i="112"/>
  <c r="AT191" i="112" s="1"/>
  <c r="Z191" i="112"/>
  <c r="AB191" i="112"/>
  <c r="AA191" i="112"/>
  <c r="Y191" i="112"/>
  <c r="T191" i="112"/>
  <c r="AS191" i="112" s="1"/>
  <c r="S191" i="112"/>
  <c r="AQ191" i="112" s="1"/>
  <c r="R191" i="112"/>
  <c r="AP191" i="112" s="1"/>
  <c r="Q191" i="112"/>
  <c r="AO191" i="112" s="1"/>
  <c r="BS190" i="112"/>
  <c r="BR190" i="112"/>
  <c r="BQ190" i="112"/>
  <c r="BO190" i="112"/>
  <c r="BN190" i="112"/>
  <c r="BL190" i="112"/>
  <c r="BK190" i="112"/>
  <c r="BJ190" i="112"/>
  <c r="AH190" i="112"/>
  <c r="AU190" i="112" s="1"/>
  <c r="AJ190" i="112"/>
  <c r="AW190" i="112" s="1"/>
  <c r="AI190" i="112"/>
  <c r="AV190" i="112" s="1"/>
  <c r="AG190" i="112"/>
  <c r="AT190" i="112" s="1"/>
  <c r="AB190" i="112"/>
  <c r="AA190" i="112"/>
  <c r="Z190" i="112"/>
  <c r="Y190" i="112"/>
  <c r="T190" i="112"/>
  <c r="AS190" i="112" s="1"/>
  <c r="S190" i="112"/>
  <c r="AQ190" i="112" s="1"/>
  <c r="R190" i="112"/>
  <c r="AP190" i="112" s="1"/>
  <c r="Q190" i="112"/>
  <c r="AO190" i="112" s="1"/>
  <c r="BS189" i="112"/>
  <c r="BR189" i="112"/>
  <c r="BQ189" i="112"/>
  <c r="BO189" i="112"/>
  <c r="BN189" i="112"/>
  <c r="BL189" i="112"/>
  <c r="BK189" i="112"/>
  <c r="BJ189" i="112"/>
  <c r="AH189" i="112"/>
  <c r="AU189" i="112" s="1"/>
  <c r="AJ189" i="112"/>
  <c r="AW189" i="112" s="1"/>
  <c r="AI189" i="112"/>
  <c r="AV189" i="112" s="1"/>
  <c r="AG189" i="112"/>
  <c r="AT189" i="112" s="1"/>
  <c r="AB189" i="112"/>
  <c r="Z189" i="112"/>
  <c r="AA189" i="112"/>
  <c r="Y189" i="112"/>
  <c r="T189" i="112"/>
  <c r="AS189" i="112" s="1"/>
  <c r="S189" i="112"/>
  <c r="AQ189" i="112" s="1"/>
  <c r="R189" i="112"/>
  <c r="AP189" i="112" s="1"/>
  <c r="Q189" i="112"/>
  <c r="AO189" i="112" s="1"/>
  <c r="BS188" i="112"/>
  <c r="BR188" i="112"/>
  <c r="BQ188" i="112"/>
  <c r="BO188" i="112"/>
  <c r="BN188" i="112"/>
  <c r="BL188" i="112"/>
  <c r="BK188" i="112"/>
  <c r="BJ188" i="112"/>
  <c r="AJ188" i="112"/>
  <c r="AW188" i="112" s="1"/>
  <c r="AH188" i="112"/>
  <c r="AU188" i="112" s="1"/>
  <c r="AI188" i="112"/>
  <c r="AV188" i="112" s="1"/>
  <c r="AG188" i="112"/>
  <c r="AT188" i="112" s="1"/>
  <c r="AB188" i="112"/>
  <c r="AA188" i="112"/>
  <c r="Z188" i="112"/>
  <c r="Y188" i="112"/>
  <c r="T188" i="112"/>
  <c r="AS188" i="112" s="1"/>
  <c r="S188" i="112"/>
  <c r="AQ188" i="112" s="1"/>
  <c r="R188" i="112"/>
  <c r="AP188" i="112" s="1"/>
  <c r="Q188" i="112"/>
  <c r="AO188" i="112" s="1"/>
  <c r="BS187" i="112"/>
  <c r="BR187" i="112"/>
  <c r="BQ187" i="112"/>
  <c r="BO187" i="112"/>
  <c r="BN187" i="112"/>
  <c r="BL187" i="112"/>
  <c r="BK187" i="112"/>
  <c r="BJ187" i="112"/>
  <c r="AH187" i="112"/>
  <c r="AU187" i="112" s="1"/>
  <c r="AJ187" i="112"/>
  <c r="AW187" i="112" s="1"/>
  <c r="AI187" i="112"/>
  <c r="AV187" i="112" s="1"/>
  <c r="AG187" i="112"/>
  <c r="AT187" i="112" s="1"/>
  <c r="Z187" i="112"/>
  <c r="AB187" i="112"/>
  <c r="AA187" i="112"/>
  <c r="Y187" i="112"/>
  <c r="T187" i="112"/>
  <c r="AS187" i="112" s="1"/>
  <c r="S187" i="112"/>
  <c r="AQ187" i="112" s="1"/>
  <c r="R187" i="112"/>
  <c r="AP187" i="112" s="1"/>
  <c r="Q187" i="112"/>
  <c r="AO187" i="112" s="1"/>
  <c r="BS186" i="112"/>
  <c r="BR186" i="112"/>
  <c r="BQ186" i="112"/>
  <c r="BO186" i="112"/>
  <c r="BN186" i="112"/>
  <c r="BL186" i="112"/>
  <c r="BK186" i="112"/>
  <c r="BJ186" i="112"/>
  <c r="AH186" i="112"/>
  <c r="AU186" i="112" s="1"/>
  <c r="AJ186" i="112"/>
  <c r="AW186" i="112" s="1"/>
  <c r="AI186" i="112"/>
  <c r="AV186" i="112" s="1"/>
  <c r="AG186" i="112"/>
  <c r="AT186" i="112" s="1"/>
  <c r="AB186" i="112"/>
  <c r="AA186" i="112"/>
  <c r="Z186" i="112"/>
  <c r="Y186" i="112"/>
  <c r="T186" i="112"/>
  <c r="AS186" i="112" s="1"/>
  <c r="S186" i="112"/>
  <c r="AQ186" i="112" s="1"/>
  <c r="R186" i="112"/>
  <c r="AP186" i="112" s="1"/>
  <c r="Q186" i="112"/>
  <c r="AO186" i="112" s="1"/>
  <c r="BS185" i="112"/>
  <c r="BR185" i="112"/>
  <c r="BQ185" i="112"/>
  <c r="BO185" i="112"/>
  <c r="BN185" i="112"/>
  <c r="BL185" i="112"/>
  <c r="BK185" i="112"/>
  <c r="BJ185" i="112"/>
  <c r="AH185" i="112"/>
  <c r="AU185" i="112" s="1"/>
  <c r="AJ185" i="112"/>
  <c r="AW185" i="112" s="1"/>
  <c r="AI185" i="112"/>
  <c r="AV185" i="112" s="1"/>
  <c r="AG185" i="112"/>
  <c r="AT185" i="112" s="1"/>
  <c r="AB185" i="112"/>
  <c r="Z185" i="112"/>
  <c r="AA185" i="112"/>
  <c r="Y185" i="112"/>
  <c r="T185" i="112"/>
  <c r="AS185" i="112" s="1"/>
  <c r="S185" i="112"/>
  <c r="AQ185" i="112" s="1"/>
  <c r="R185" i="112"/>
  <c r="AP185" i="112" s="1"/>
  <c r="Q185" i="112"/>
  <c r="AO185" i="112" s="1"/>
  <c r="BS184" i="112"/>
  <c r="BR184" i="112"/>
  <c r="BQ184" i="112"/>
  <c r="BO184" i="112"/>
  <c r="BN184" i="112"/>
  <c r="BL184" i="112"/>
  <c r="BK184" i="112"/>
  <c r="BJ184" i="112"/>
  <c r="AJ184" i="112"/>
  <c r="AW184" i="112" s="1"/>
  <c r="AH184" i="112"/>
  <c r="AU184" i="112" s="1"/>
  <c r="AI184" i="112"/>
  <c r="AV184" i="112" s="1"/>
  <c r="AG184" i="112"/>
  <c r="AT184" i="112" s="1"/>
  <c r="AB184" i="112"/>
  <c r="AA184" i="112"/>
  <c r="Z184" i="112"/>
  <c r="Y184" i="112"/>
  <c r="T184" i="112"/>
  <c r="AS184" i="112" s="1"/>
  <c r="S184" i="112"/>
  <c r="AQ184" i="112" s="1"/>
  <c r="R184" i="112"/>
  <c r="AP184" i="112" s="1"/>
  <c r="Q184" i="112"/>
  <c r="AO184" i="112" s="1"/>
  <c r="BS183" i="112"/>
  <c r="BR183" i="112"/>
  <c r="BQ183" i="112"/>
  <c r="BO183" i="112"/>
  <c r="BN183" i="112"/>
  <c r="BL183" i="112"/>
  <c r="BK183" i="112"/>
  <c r="BJ183" i="112"/>
  <c r="AH183" i="112"/>
  <c r="AU183" i="112" s="1"/>
  <c r="AJ183" i="112"/>
  <c r="AW183" i="112" s="1"/>
  <c r="AI183" i="112"/>
  <c r="AV183" i="112" s="1"/>
  <c r="AG183" i="112"/>
  <c r="AT183" i="112" s="1"/>
  <c r="Z183" i="112"/>
  <c r="AB183" i="112"/>
  <c r="AA183" i="112"/>
  <c r="Y183" i="112"/>
  <c r="T183" i="112"/>
  <c r="AS183" i="112" s="1"/>
  <c r="S183" i="112"/>
  <c r="AQ183" i="112" s="1"/>
  <c r="R183" i="112"/>
  <c r="AP183" i="112" s="1"/>
  <c r="Q183" i="112"/>
  <c r="AO183" i="112" s="1"/>
  <c r="BS182" i="112"/>
  <c r="BR182" i="112"/>
  <c r="BQ182" i="112"/>
  <c r="BO182" i="112"/>
  <c r="BN182" i="112"/>
  <c r="BL182" i="112"/>
  <c r="BK182" i="112"/>
  <c r="BJ182" i="112"/>
  <c r="AH182" i="112"/>
  <c r="AU182" i="112" s="1"/>
  <c r="AJ182" i="112"/>
  <c r="AW182" i="112" s="1"/>
  <c r="AI182" i="112"/>
  <c r="AV182" i="112" s="1"/>
  <c r="AG182" i="112"/>
  <c r="AT182" i="112" s="1"/>
  <c r="AB182" i="112"/>
  <c r="AA182" i="112"/>
  <c r="Z182" i="112"/>
  <c r="Y182" i="112"/>
  <c r="T182" i="112"/>
  <c r="AS182" i="112" s="1"/>
  <c r="S182" i="112"/>
  <c r="AQ182" i="112" s="1"/>
  <c r="R182" i="112"/>
  <c r="AP182" i="112" s="1"/>
  <c r="Q182" i="112"/>
  <c r="AO182" i="112" s="1"/>
  <c r="BS181" i="112"/>
  <c r="BR181" i="112"/>
  <c r="BQ181" i="112"/>
  <c r="BO181" i="112"/>
  <c r="BN181" i="112"/>
  <c r="BL181" i="112"/>
  <c r="BK181" i="112"/>
  <c r="BJ181" i="112"/>
  <c r="AH181" i="112"/>
  <c r="AU181" i="112" s="1"/>
  <c r="AJ181" i="112"/>
  <c r="AW181" i="112" s="1"/>
  <c r="AI181" i="112"/>
  <c r="AV181" i="112" s="1"/>
  <c r="AG181" i="112"/>
  <c r="AT181" i="112" s="1"/>
  <c r="AB181" i="112"/>
  <c r="Z181" i="112"/>
  <c r="AA181" i="112"/>
  <c r="Y181" i="112"/>
  <c r="T181" i="112"/>
  <c r="AS181" i="112" s="1"/>
  <c r="S181" i="112"/>
  <c r="AQ181" i="112" s="1"/>
  <c r="R181" i="112"/>
  <c r="AP181" i="112" s="1"/>
  <c r="Q181" i="112"/>
  <c r="AO181" i="112" s="1"/>
  <c r="BS180" i="112"/>
  <c r="BR180" i="112"/>
  <c r="BQ180" i="112"/>
  <c r="BO180" i="112"/>
  <c r="BN180" i="112"/>
  <c r="BL180" i="112"/>
  <c r="BK180" i="112"/>
  <c r="BJ180" i="112"/>
  <c r="AJ180" i="112"/>
  <c r="AW180" i="112" s="1"/>
  <c r="AH180" i="112"/>
  <c r="AU180" i="112" s="1"/>
  <c r="AI180" i="112"/>
  <c r="AV180" i="112" s="1"/>
  <c r="AG180" i="112"/>
  <c r="AT180" i="112" s="1"/>
  <c r="AB180" i="112"/>
  <c r="AA180" i="112"/>
  <c r="Z180" i="112"/>
  <c r="Y180" i="112"/>
  <c r="T180" i="112"/>
  <c r="AS180" i="112" s="1"/>
  <c r="S180" i="112"/>
  <c r="AQ180" i="112" s="1"/>
  <c r="R180" i="112"/>
  <c r="AP180" i="112" s="1"/>
  <c r="Q180" i="112"/>
  <c r="AO180" i="112" s="1"/>
  <c r="BS179" i="112"/>
  <c r="BR179" i="112"/>
  <c r="BQ179" i="112"/>
  <c r="BO179" i="112"/>
  <c r="BN179" i="112"/>
  <c r="BL179" i="112"/>
  <c r="BK179" i="112"/>
  <c r="BJ179" i="112"/>
  <c r="AH179" i="112"/>
  <c r="AU179" i="112" s="1"/>
  <c r="AJ179" i="112"/>
  <c r="AW179" i="112" s="1"/>
  <c r="AI179" i="112"/>
  <c r="AV179" i="112" s="1"/>
  <c r="AG179" i="112"/>
  <c r="AT179" i="112" s="1"/>
  <c r="Z179" i="112"/>
  <c r="AB179" i="112"/>
  <c r="AA179" i="112"/>
  <c r="Y179" i="112"/>
  <c r="T179" i="112"/>
  <c r="AS179" i="112" s="1"/>
  <c r="S179" i="112"/>
  <c r="AQ179" i="112" s="1"/>
  <c r="R179" i="112"/>
  <c r="AP179" i="112" s="1"/>
  <c r="Q179" i="112"/>
  <c r="AO179" i="112" s="1"/>
  <c r="BS178" i="112"/>
  <c r="BR178" i="112"/>
  <c r="BQ178" i="112"/>
  <c r="BO178" i="112"/>
  <c r="BN178" i="112"/>
  <c r="BL178" i="112"/>
  <c r="BK178" i="112"/>
  <c r="BJ178" i="112"/>
  <c r="AH178" i="112"/>
  <c r="AU178" i="112" s="1"/>
  <c r="AJ178" i="112"/>
  <c r="AW178" i="112" s="1"/>
  <c r="AI178" i="112"/>
  <c r="AV178" i="112" s="1"/>
  <c r="AG178" i="112"/>
  <c r="AT178" i="112" s="1"/>
  <c r="AB178" i="112"/>
  <c r="AA178" i="112"/>
  <c r="Z178" i="112"/>
  <c r="Y178" i="112"/>
  <c r="T178" i="112"/>
  <c r="AS178" i="112" s="1"/>
  <c r="S178" i="112"/>
  <c r="AQ178" i="112" s="1"/>
  <c r="R178" i="112"/>
  <c r="AP178" i="112" s="1"/>
  <c r="Q178" i="112"/>
  <c r="AO178" i="112" s="1"/>
  <c r="BS177" i="112"/>
  <c r="BR177" i="112"/>
  <c r="BQ177" i="112"/>
  <c r="BO177" i="112"/>
  <c r="BN177" i="112"/>
  <c r="BL177" i="112"/>
  <c r="BK177" i="112"/>
  <c r="BJ177" i="112"/>
  <c r="AH177" i="112"/>
  <c r="AU177" i="112" s="1"/>
  <c r="AJ177" i="112"/>
  <c r="AW177" i="112" s="1"/>
  <c r="AI177" i="112"/>
  <c r="AV177" i="112" s="1"/>
  <c r="AG177" i="112"/>
  <c r="AT177" i="112" s="1"/>
  <c r="AB177" i="112"/>
  <c r="Z177" i="112"/>
  <c r="AA177" i="112"/>
  <c r="Y177" i="112"/>
  <c r="T177" i="112"/>
  <c r="AS177" i="112" s="1"/>
  <c r="S177" i="112"/>
  <c r="AQ177" i="112" s="1"/>
  <c r="R177" i="112"/>
  <c r="AP177" i="112" s="1"/>
  <c r="Q177" i="112"/>
  <c r="AO177" i="112" s="1"/>
  <c r="BS176" i="112"/>
  <c r="BR176" i="112"/>
  <c r="BQ176" i="112"/>
  <c r="BO176" i="112"/>
  <c r="BN176" i="112"/>
  <c r="BL176" i="112"/>
  <c r="BK176" i="112"/>
  <c r="BJ176" i="112"/>
  <c r="AJ176" i="112"/>
  <c r="AW176" i="112" s="1"/>
  <c r="AH176" i="112"/>
  <c r="AU176" i="112" s="1"/>
  <c r="AI176" i="112"/>
  <c r="AV176" i="112" s="1"/>
  <c r="AG176" i="112"/>
  <c r="AT176" i="112" s="1"/>
  <c r="AB176" i="112"/>
  <c r="AA176" i="112"/>
  <c r="Z176" i="112"/>
  <c r="Y176" i="112"/>
  <c r="T176" i="112"/>
  <c r="AS176" i="112" s="1"/>
  <c r="S176" i="112"/>
  <c r="AQ176" i="112" s="1"/>
  <c r="R176" i="112"/>
  <c r="AP176" i="112" s="1"/>
  <c r="Q176" i="112"/>
  <c r="AO176" i="112" s="1"/>
  <c r="BS175" i="112"/>
  <c r="BR175" i="112"/>
  <c r="BQ175" i="112"/>
  <c r="BO175" i="112"/>
  <c r="BN175" i="112"/>
  <c r="BL175" i="112"/>
  <c r="BK175" i="112"/>
  <c r="BJ175" i="112"/>
  <c r="AH175" i="112"/>
  <c r="AU175" i="112" s="1"/>
  <c r="AJ175" i="112"/>
  <c r="AW175" i="112" s="1"/>
  <c r="AI175" i="112"/>
  <c r="AV175" i="112" s="1"/>
  <c r="AG175" i="112"/>
  <c r="AT175" i="112" s="1"/>
  <c r="Z175" i="112"/>
  <c r="AB175" i="112"/>
  <c r="AA175" i="112"/>
  <c r="Y175" i="112"/>
  <c r="T175" i="112"/>
  <c r="AS175" i="112" s="1"/>
  <c r="S175" i="112"/>
  <c r="AQ175" i="112" s="1"/>
  <c r="R175" i="112"/>
  <c r="AP175" i="112" s="1"/>
  <c r="Q175" i="112"/>
  <c r="AO175" i="112" s="1"/>
  <c r="BS174" i="112"/>
  <c r="BR174" i="112"/>
  <c r="BQ174" i="112"/>
  <c r="BO174" i="112"/>
  <c r="BN174" i="112"/>
  <c r="BL174" i="112"/>
  <c r="BK174" i="112"/>
  <c r="BJ174" i="112"/>
  <c r="AH174" i="112"/>
  <c r="AU174" i="112" s="1"/>
  <c r="AJ174" i="112"/>
  <c r="AW174" i="112" s="1"/>
  <c r="AI174" i="112"/>
  <c r="AV174" i="112" s="1"/>
  <c r="AG174" i="112"/>
  <c r="AT174" i="112" s="1"/>
  <c r="AB174" i="112"/>
  <c r="AA174" i="112"/>
  <c r="Z174" i="112"/>
  <c r="Y174" i="112"/>
  <c r="T174" i="112"/>
  <c r="AS174" i="112" s="1"/>
  <c r="S174" i="112"/>
  <c r="AQ174" i="112" s="1"/>
  <c r="R174" i="112"/>
  <c r="AP174" i="112" s="1"/>
  <c r="Q174" i="112"/>
  <c r="AO174" i="112" s="1"/>
  <c r="BS173" i="112"/>
  <c r="BR173" i="112"/>
  <c r="BQ173" i="112"/>
  <c r="BO173" i="112"/>
  <c r="BN173" i="112"/>
  <c r="BL173" i="112"/>
  <c r="BK173" i="112"/>
  <c r="BJ173" i="112"/>
  <c r="AH173" i="112"/>
  <c r="AU173" i="112" s="1"/>
  <c r="AJ173" i="112"/>
  <c r="AW173" i="112" s="1"/>
  <c r="AI173" i="112"/>
  <c r="AV173" i="112" s="1"/>
  <c r="AG173" i="112"/>
  <c r="AT173" i="112" s="1"/>
  <c r="AB173" i="112"/>
  <c r="Z173" i="112"/>
  <c r="AA173" i="112"/>
  <c r="Y173" i="112"/>
  <c r="T173" i="112"/>
  <c r="AS173" i="112" s="1"/>
  <c r="S173" i="112"/>
  <c r="AQ173" i="112" s="1"/>
  <c r="R173" i="112"/>
  <c r="AP173" i="112" s="1"/>
  <c r="Q173" i="112"/>
  <c r="AO173" i="112" s="1"/>
  <c r="BS172" i="112"/>
  <c r="BR172" i="112"/>
  <c r="BQ172" i="112"/>
  <c r="BO172" i="112"/>
  <c r="BN172" i="112"/>
  <c r="BL172" i="112"/>
  <c r="BK172" i="112"/>
  <c r="BJ172" i="112"/>
  <c r="AJ172" i="112"/>
  <c r="AW172" i="112" s="1"/>
  <c r="AH172" i="112"/>
  <c r="AU172" i="112" s="1"/>
  <c r="AI172" i="112"/>
  <c r="AV172" i="112" s="1"/>
  <c r="AG172" i="112"/>
  <c r="AT172" i="112" s="1"/>
  <c r="AB172" i="112"/>
  <c r="AA172" i="112"/>
  <c r="Z172" i="112"/>
  <c r="Y172" i="112"/>
  <c r="T172" i="112"/>
  <c r="AS172" i="112" s="1"/>
  <c r="S172" i="112"/>
  <c r="AQ172" i="112" s="1"/>
  <c r="R172" i="112"/>
  <c r="AP172" i="112" s="1"/>
  <c r="Q172" i="112"/>
  <c r="AO172" i="112" s="1"/>
  <c r="BS171" i="112"/>
  <c r="BR171" i="112"/>
  <c r="BQ171" i="112"/>
  <c r="BO171" i="112"/>
  <c r="BN171" i="112"/>
  <c r="BL171" i="112"/>
  <c r="BK171" i="112"/>
  <c r="BJ171" i="112"/>
  <c r="AH171" i="112"/>
  <c r="AU171" i="112" s="1"/>
  <c r="AJ171" i="112"/>
  <c r="AW171" i="112" s="1"/>
  <c r="AI171" i="112"/>
  <c r="AV171" i="112" s="1"/>
  <c r="AG171" i="112"/>
  <c r="AT171" i="112" s="1"/>
  <c r="Z171" i="112"/>
  <c r="AB171" i="112"/>
  <c r="AA171" i="112"/>
  <c r="Y171" i="112"/>
  <c r="T171" i="112"/>
  <c r="AS171" i="112" s="1"/>
  <c r="S171" i="112"/>
  <c r="AQ171" i="112" s="1"/>
  <c r="R171" i="112"/>
  <c r="AP171" i="112" s="1"/>
  <c r="Q171" i="112"/>
  <c r="AO171" i="112" s="1"/>
  <c r="BS170" i="112"/>
  <c r="BR170" i="112"/>
  <c r="BQ170" i="112"/>
  <c r="BO170" i="112"/>
  <c r="BN170" i="112"/>
  <c r="BL170" i="112"/>
  <c r="BK170" i="112"/>
  <c r="BJ170" i="112"/>
  <c r="AH170" i="112"/>
  <c r="AU170" i="112" s="1"/>
  <c r="AJ170" i="112"/>
  <c r="AW170" i="112" s="1"/>
  <c r="AI170" i="112"/>
  <c r="AV170" i="112" s="1"/>
  <c r="AG170" i="112"/>
  <c r="AT170" i="112" s="1"/>
  <c r="AB170" i="112"/>
  <c r="AA170" i="112"/>
  <c r="Z170" i="112"/>
  <c r="Y170" i="112"/>
  <c r="T170" i="112"/>
  <c r="AS170" i="112" s="1"/>
  <c r="S170" i="112"/>
  <c r="AQ170" i="112" s="1"/>
  <c r="R170" i="112"/>
  <c r="AP170" i="112" s="1"/>
  <c r="Q170" i="112"/>
  <c r="AO170" i="112" s="1"/>
  <c r="BS169" i="112"/>
  <c r="BR169" i="112"/>
  <c r="BQ169" i="112"/>
  <c r="BO169" i="112"/>
  <c r="BN169" i="112"/>
  <c r="BL169" i="112"/>
  <c r="BK169" i="112"/>
  <c r="BJ169" i="112"/>
  <c r="AH169" i="112"/>
  <c r="AU169" i="112" s="1"/>
  <c r="AJ169" i="112"/>
  <c r="AW169" i="112" s="1"/>
  <c r="AI169" i="112"/>
  <c r="AV169" i="112" s="1"/>
  <c r="AG169" i="112"/>
  <c r="AT169" i="112" s="1"/>
  <c r="AB169" i="112"/>
  <c r="Z169" i="112"/>
  <c r="AA169" i="112"/>
  <c r="Y169" i="112"/>
  <c r="T169" i="112"/>
  <c r="AS169" i="112" s="1"/>
  <c r="S169" i="112"/>
  <c r="AQ169" i="112" s="1"/>
  <c r="R169" i="112"/>
  <c r="AP169" i="112" s="1"/>
  <c r="Q169" i="112"/>
  <c r="AO169" i="112" s="1"/>
  <c r="BS168" i="112"/>
  <c r="BR168" i="112"/>
  <c r="BQ168" i="112"/>
  <c r="BO168" i="112"/>
  <c r="BN168" i="112"/>
  <c r="BL168" i="112"/>
  <c r="BK168" i="112"/>
  <c r="BJ168" i="112"/>
  <c r="AJ168" i="112"/>
  <c r="AW168" i="112" s="1"/>
  <c r="AH168" i="112"/>
  <c r="AU168" i="112" s="1"/>
  <c r="AI168" i="112"/>
  <c r="AV168" i="112" s="1"/>
  <c r="AG168" i="112"/>
  <c r="AT168" i="112" s="1"/>
  <c r="AB168" i="112"/>
  <c r="AA168" i="112"/>
  <c r="Z168" i="112"/>
  <c r="Y168" i="112"/>
  <c r="T168" i="112"/>
  <c r="AS168" i="112" s="1"/>
  <c r="S168" i="112"/>
  <c r="AQ168" i="112" s="1"/>
  <c r="R168" i="112"/>
  <c r="AP168" i="112" s="1"/>
  <c r="Q168" i="112"/>
  <c r="AO168" i="112" s="1"/>
  <c r="BS167" i="112"/>
  <c r="BR167" i="112"/>
  <c r="BQ167" i="112"/>
  <c r="BO167" i="112"/>
  <c r="BN167" i="112"/>
  <c r="BL167" i="112"/>
  <c r="BK167" i="112"/>
  <c r="BJ167" i="112"/>
  <c r="AH167" i="112"/>
  <c r="AU167" i="112" s="1"/>
  <c r="AJ167" i="112"/>
  <c r="AW167" i="112" s="1"/>
  <c r="AI167" i="112"/>
  <c r="AV167" i="112" s="1"/>
  <c r="AG167" i="112"/>
  <c r="AT167" i="112" s="1"/>
  <c r="Z167" i="112"/>
  <c r="AB167" i="112"/>
  <c r="AA167" i="112"/>
  <c r="Y167" i="112"/>
  <c r="T167" i="112"/>
  <c r="AS167" i="112" s="1"/>
  <c r="S167" i="112"/>
  <c r="AQ167" i="112" s="1"/>
  <c r="R167" i="112"/>
  <c r="AP167" i="112" s="1"/>
  <c r="Q167" i="112"/>
  <c r="AO167" i="112" s="1"/>
  <c r="BS166" i="112"/>
  <c r="BR166" i="112"/>
  <c r="BQ166" i="112"/>
  <c r="BO166" i="112"/>
  <c r="BN166" i="112"/>
  <c r="BL166" i="112"/>
  <c r="BK166" i="112"/>
  <c r="BJ166" i="112"/>
  <c r="AH166" i="112"/>
  <c r="AU166" i="112" s="1"/>
  <c r="AJ166" i="112"/>
  <c r="AW166" i="112" s="1"/>
  <c r="AI166" i="112"/>
  <c r="AV166" i="112" s="1"/>
  <c r="AG166" i="112"/>
  <c r="AT166" i="112" s="1"/>
  <c r="AB166" i="112"/>
  <c r="AA166" i="112"/>
  <c r="Z166" i="112"/>
  <c r="Y166" i="112"/>
  <c r="T166" i="112"/>
  <c r="AS166" i="112" s="1"/>
  <c r="S166" i="112"/>
  <c r="AQ166" i="112" s="1"/>
  <c r="R166" i="112"/>
  <c r="AP166" i="112" s="1"/>
  <c r="Q166" i="112"/>
  <c r="AO166" i="112" s="1"/>
  <c r="BS165" i="112"/>
  <c r="BR165" i="112"/>
  <c r="BQ165" i="112"/>
  <c r="BO165" i="112"/>
  <c r="BN165" i="112"/>
  <c r="BL165" i="112"/>
  <c r="BK165" i="112"/>
  <c r="BJ165" i="112"/>
  <c r="AH165" i="112"/>
  <c r="AU165" i="112" s="1"/>
  <c r="AJ165" i="112"/>
  <c r="AW165" i="112" s="1"/>
  <c r="AI165" i="112"/>
  <c r="AV165" i="112" s="1"/>
  <c r="AG165" i="112"/>
  <c r="AT165" i="112" s="1"/>
  <c r="AB165" i="112"/>
  <c r="Z165" i="112"/>
  <c r="AA165" i="112"/>
  <c r="Y165" i="112"/>
  <c r="T165" i="112"/>
  <c r="AS165" i="112" s="1"/>
  <c r="S165" i="112"/>
  <c r="AQ165" i="112" s="1"/>
  <c r="R165" i="112"/>
  <c r="AP165" i="112" s="1"/>
  <c r="Q165" i="112"/>
  <c r="AO165" i="112" s="1"/>
  <c r="BS164" i="112"/>
  <c r="BR164" i="112"/>
  <c r="BQ164" i="112"/>
  <c r="BO164" i="112"/>
  <c r="BN164" i="112"/>
  <c r="BL164" i="112"/>
  <c r="BK164" i="112"/>
  <c r="BJ164" i="112"/>
  <c r="AJ164" i="112"/>
  <c r="AW164" i="112" s="1"/>
  <c r="AH164" i="112"/>
  <c r="AU164" i="112" s="1"/>
  <c r="AI164" i="112"/>
  <c r="AV164" i="112" s="1"/>
  <c r="AG164" i="112"/>
  <c r="AT164" i="112" s="1"/>
  <c r="AB164" i="112"/>
  <c r="AA164" i="112"/>
  <c r="Z164" i="112"/>
  <c r="Y164" i="112"/>
  <c r="T164" i="112"/>
  <c r="AS164" i="112" s="1"/>
  <c r="S164" i="112"/>
  <c r="AQ164" i="112" s="1"/>
  <c r="R164" i="112"/>
  <c r="AP164" i="112" s="1"/>
  <c r="Q164" i="112"/>
  <c r="AO164" i="112" s="1"/>
  <c r="BS163" i="112"/>
  <c r="BR163" i="112"/>
  <c r="BQ163" i="112"/>
  <c r="BO163" i="112"/>
  <c r="BN163" i="112"/>
  <c r="BL163" i="112"/>
  <c r="BK163" i="112"/>
  <c r="BJ163" i="112"/>
  <c r="AH163" i="112"/>
  <c r="AU163" i="112" s="1"/>
  <c r="AJ163" i="112"/>
  <c r="AW163" i="112" s="1"/>
  <c r="AI163" i="112"/>
  <c r="AV163" i="112" s="1"/>
  <c r="AG163" i="112"/>
  <c r="AT163" i="112" s="1"/>
  <c r="Z163" i="112"/>
  <c r="AB163" i="112"/>
  <c r="AA163" i="112"/>
  <c r="Y163" i="112"/>
  <c r="T163" i="112"/>
  <c r="AS163" i="112" s="1"/>
  <c r="S163" i="112"/>
  <c r="AQ163" i="112" s="1"/>
  <c r="R163" i="112"/>
  <c r="AP163" i="112" s="1"/>
  <c r="Q163" i="112"/>
  <c r="AO163" i="112" s="1"/>
  <c r="BS162" i="112"/>
  <c r="BR162" i="112"/>
  <c r="BQ162" i="112"/>
  <c r="BO162" i="112"/>
  <c r="BN162" i="112"/>
  <c r="BL162" i="112"/>
  <c r="BK162" i="112"/>
  <c r="BJ162" i="112"/>
  <c r="AH162" i="112"/>
  <c r="AU162" i="112" s="1"/>
  <c r="AJ162" i="112"/>
  <c r="AW162" i="112" s="1"/>
  <c r="AI162" i="112"/>
  <c r="AV162" i="112" s="1"/>
  <c r="AG162" i="112"/>
  <c r="AT162" i="112" s="1"/>
  <c r="AB162" i="112"/>
  <c r="AA162" i="112"/>
  <c r="Z162" i="112"/>
  <c r="Y162" i="112"/>
  <c r="T162" i="112"/>
  <c r="AS162" i="112" s="1"/>
  <c r="S162" i="112"/>
  <c r="AQ162" i="112" s="1"/>
  <c r="R162" i="112"/>
  <c r="AP162" i="112" s="1"/>
  <c r="Q162" i="112"/>
  <c r="AO162" i="112" s="1"/>
  <c r="BS161" i="112"/>
  <c r="BR161" i="112"/>
  <c r="BQ161" i="112"/>
  <c r="BO161" i="112"/>
  <c r="BN161" i="112"/>
  <c r="BL161" i="112"/>
  <c r="BK161" i="112"/>
  <c r="BJ161" i="112"/>
  <c r="AH161" i="112"/>
  <c r="AU161" i="112" s="1"/>
  <c r="AJ161" i="112"/>
  <c r="AW161" i="112" s="1"/>
  <c r="AI161" i="112"/>
  <c r="AV161" i="112" s="1"/>
  <c r="AG161" i="112"/>
  <c r="AT161" i="112" s="1"/>
  <c r="AB161" i="112"/>
  <c r="Z161" i="112"/>
  <c r="AA161" i="112"/>
  <c r="Y161" i="112"/>
  <c r="T161" i="112"/>
  <c r="AS161" i="112" s="1"/>
  <c r="S161" i="112"/>
  <c r="AQ161" i="112" s="1"/>
  <c r="R161" i="112"/>
  <c r="AP161" i="112" s="1"/>
  <c r="Q161" i="112"/>
  <c r="AO161" i="112" s="1"/>
  <c r="BS160" i="112"/>
  <c r="BR160" i="112"/>
  <c r="BQ160" i="112"/>
  <c r="BO160" i="112"/>
  <c r="BN160" i="112"/>
  <c r="BL160" i="112"/>
  <c r="BK160" i="112"/>
  <c r="BJ160" i="112"/>
  <c r="AJ160" i="112"/>
  <c r="AW160" i="112" s="1"/>
  <c r="AH160" i="112"/>
  <c r="AU160" i="112" s="1"/>
  <c r="AI160" i="112"/>
  <c r="AV160" i="112" s="1"/>
  <c r="AG160" i="112"/>
  <c r="AT160" i="112" s="1"/>
  <c r="AB160" i="112"/>
  <c r="AA160" i="112"/>
  <c r="Z160" i="112"/>
  <c r="Y160" i="112"/>
  <c r="T160" i="112"/>
  <c r="AS160" i="112" s="1"/>
  <c r="S160" i="112"/>
  <c r="AQ160" i="112" s="1"/>
  <c r="R160" i="112"/>
  <c r="AP160" i="112" s="1"/>
  <c r="Q160" i="112"/>
  <c r="AO160" i="112" s="1"/>
  <c r="BS159" i="112"/>
  <c r="BR159" i="112"/>
  <c r="BQ159" i="112"/>
  <c r="BO159" i="112"/>
  <c r="BN159" i="112"/>
  <c r="BL159" i="112"/>
  <c r="BK159" i="112"/>
  <c r="BJ159" i="112"/>
  <c r="AH159" i="112"/>
  <c r="AU159" i="112" s="1"/>
  <c r="AJ159" i="112"/>
  <c r="AW159" i="112" s="1"/>
  <c r="AI159" i="112"/>
  <c r="AV159" i="112" s="1"/>
  <c r="AG159" i="112"/>
  <c r="AT159" i="112" s="1"/>
  <c r="Z159" i="112"/>
  <c r="AB159" i="112"/>
  <c r="AA159" i="112"/>
  <c r="Y159" i="112"/>
  <c r="T159" i="112"/>
  <c r="AS159" i="112" s="1"/>
  <c r="S159" i="112"/>
  <c r="AQ159" i="112" s="1"/>
  <c r="R159" i="112"/>
  <c r="AP159" i="112" s="1"/>
  <c r="Q159" i="112"/>
  <c r="AO159" i="112" s="1"/>
  <c r="BS158" i="112"/>
  <c r="BR158" i="112"/>
  <c r="BQ158" i="112"/>
  <c r="BO158" i="112"/>
  <c r="BN158" i="112"/>
  <c r="BL158" i="112"/>
  <c r="BK158" i="112"/>
  <c r="BJ158" i="112"/>
  <c r="AH158" i="112"/>
  <c r="AU158" i="112" s="1"/>
  <c r="AJ158" i="112"/>
  <c r="AW158" i="112" s="1"/>
  <c r="AI158" i="112"/>
  <c r="AV158" i="112" s="1"/>
  <c r="AG158" i="112"/>
  <c r="AT158" i="112" s="1"/>
  <c r="AB158" i="112"/>
  <c r="AA158" i="112"/>
  <c r="Z158" i="112"/>
  <c r="Y158" i="112"/>
  <c r="T158" i="112"/>
  <c r="AS158" i="112" s="1"/>
  <c r="S158" i="112"/>
  <c r="AQ158" i="112" s="1"/>
  <c r="R158" i="112"/>
  <c r="AP158" i="112" s="1"/>
  <c r="Q158" i="112"/>
  <c r="AO158" i="112" s="1"/>
  <c r="BS157" i="112"/>
  <c r="BR157" i="112"/>
  <c r="BQ157" i="112"/>
  <c r="BO157" i="112"/>
  <c r="BN157" i="112"/>
  <c r="BL157" i="112"/>
  <c r="BK157" i="112"/>
  <c r="BJ157" i="112"/>
  <c r="AH157" i="112"/>
  <c r="AU157" i="112" s="1"/>
  <c r="AJ157" i="112"/>
  <c r="AW157" i="112" s="1"/>
  <c r="AI157" i="112"/>
  <c r="AV157" i="112" s="1"/>
  <c r="AG157" i="112"/>
  <c r="AT157" i="112" s="1"/>
  <c r="AB157" i="112"/>
  <c r="Z157" i="112"/>
  <c r="AA157" i="112"/>
  <c r="Y157" i="112"/>
  <c r="T157" i="112"/>
  <c r="AS157" i="112" s="1"/>
  <c r="S157" i="112"/>
  <c r="AQ157" i="112" s="1"/>
  <c r="R157" i="112"/>
  <c r="AP157" i="112" s="1"/>
  <c r="Q157" i="112"/>
  <c r="AO157" i="112" s="1"/>
  <c r="BS156" i="112"/>
  <c r="BR156" i="112"/>
  <c r="BQ156" i="112"/>
  <c r="BO156" i="112"/>
  <c r="BN156" i="112"/>
  <c r="BL156" i="112"/>
  <c r="BK156" i="112"/>
  <c r="BJ156" i="112"/>
  <c r="AJ156" i="112"/>
  <c r="AW156" i="112" s="1"/>
  <c r="AH156" i="112"/>
  <c r="AU156" i="112" s="1"/>
  <c r="AI156" i="112"/>
  <c r="AV156" i="112" s="1"/>
  <c r="AG156" i="112"/>
  <c r="AT156" i="112" s="1"/>
  <c r="AB156" i="112"/>
  <c r="AA156" i="112"/>
  <c r="Z156" i="112"/>
  <c r="Y156" i="112"/>
  <c r="T156" i="112"/>
  <c r="AS156" i="112" s="1"/>
  <c r="S156" i="112"/>
  <c r="AQ156" i="112" s="1"/>
  <c r="R156" i="112"/>
  <c r="AP156" i="112" s="1"/>
  <c r="Q156" i="112"/>
  <c r="AO156" i="112" s="1"/>
  <c r="BS155" i="112"/>
  <c r="BR155" i="112"/>
  <c r="BQ155" i="112"/>
  <c r="BO155" i="112"/>
  <c r="BN155" i="112"/>
  <c r="BL155" i="112"/>
  <c r="BK155" i="112"/>
  <c r="BJ155" i="112"/>
  <c r="AH155" i="112"/>
  <c r="AU155" i="112" s="1"/>
  <c r="AJ155" i="112"/>
  <c r="AW155" i="112" s="1"/>
  <c r="AI155" i="112"/>
  <c r="AV155" i="112" s="1"/>
  <c r="AG155" i="112"/>
  <c r="AT155" i="112" s="1"/>
  <c r="Z155" i="112"/>
  <c r="AB155" i="112"/>
  <c r="AA155" i="112"/>
  <c r="Y155" i="112"/>
  <c r="T155" i="112"/>
  <c r="AS155" i="112" s="1"/>
  <c r="S155" i="112"/>
  <c r="AQ155" i="112" s="1"/>
  <c r="R155" i="112"/>
  <c r="AP155" i="112" s="1"/>
  <c r="Q155" i="112"/>
  <c r="AO155" i="112" s="1"/>
  <c r="BS154" i="112"/>
  <c r="BR154" i="112"/>
  <c r="BQ154" i="112"/>
  <c r="BO154" i="112"/>
  <c r="BN154" i="112"/>
  <c r="BL154" i="112"/>
  <c r="BK154" i="112"/>
  <c r="BJ154" i="112"/>
  <c r="AH154" i="112"/>
  <c r="AU154" i="112" s="1"/>
  <c r="AJ154" i="112"/>
  <c r="AW154" i="112" s="1"/>
  <c r="AI154" i="112"/>
  <c r="AV154" i="112" s="1"/>
  <c r="AG154" i="112"/>
  <c r="AT154" i="112" s="1"/>
  <c r="AB154" i="112"/>
  <c r="AA154" i="112"/>
  <c r="Z154" i="112"/>
  <c r="Y154" i="112"/>
  <c r="T154" i="112"/>
  <c r="AS154" i="112" s="1"/>
  <c r="S154" i="112"/>
  <c r="AQ154" i="112" s="1"/>
  <c r="R154" i="112"/>
  <c r="AP154" i="112" s="1"/>
  <c r="Q154" i="112"/>
  <c r="AO154" i="112" s="1"/>
  <c r="BS153" i="112"/>
  <c r="BR153" i="112"/>
  <c r="BQ153" i="112"/>
  <c r="BO153" i="112"/>
  <c r="BN153" i="112"/>
  <c r="BL153" i="112"/>
  <c r="BK153" i="112"/>
  <c r="BJ153" i="112"/>
  <c r="AH153" i="112"/>
  <c r="AU153" i="112" s="1"/>
  <c r="AJ153" i="112"/>
  <c r="AW153" i="112" s="1"/>
  <c r="AI153" i="112"/>
  <c r="AV153" i="112" s="1"/>
  <c r="AG153" i="112"/>
  <c r="AT153" i="112" s="1"/>
  <c r="AB153" i="112"/>
  <c r="Z153" i="112"/>
  <c r="AA153" i="112"/>
  <c r="Y153" i="112"/>
  <c r="T153" i="112"/>
  <c r="AS153" i="112" s="1"/>
  <c r="S153" i="112"/>
  <c r="AQ153" i="112" s="1"/>
  <c r="R153" i="112"/>
  <c r="AP153" i="112" s="1"/>
  <c r="Q153" i="112"/>
  <c r="AO153" i="112" s="1"/>
  <c r="BS152" i="112"/>
  <c r="BR152" i="112"/>
  <c r="BQ152" i="112"/>
  <c r="BO152" i="112"/>
  <c r="BN152" i="112"/>
  <c r="BL152" i="112"/>
  <c r="BK152" i="112"/>
  <c r="BJ152" i="112"/>
  <c r="AH152" i="112"/>
  <c r="AU152" i="112" s="1"/>
  <c r="AJ152" i="112"/>
  <c r="AW152" i="112" s="1"/>
  <c r="AI152" i="112"/>
  <c r="AV152" i="112" s="1"/>
  <c r="AG152" i="112"/>
  <c r="AT152" i="112" s="1"/>
  <c r="AB152" i="112"/>
  <c r="AA152" i="112"/>
  <c r="Z152" i="112"/>
  <c r="Y152" i="112"/>
  <c r="T152" i="112"/>
  <c r="AS152" i="112" s="1"/>
  <c r="S152" i="112"/>
  <c r="AQ152" i="112" s="1"/>
  <c r="R152" i="112"/>
  <c r="AP152" i="112" s="1"/>
  <c r="Q152" i="112"/>
  <c r="AO152" i="112" s="1"/>
  <c r="BS151" i="112"/>
  <c r="BR151" i="112"/>
  <c r="BQ151" i="112"/>
  <c r="BO151" i="112"/>
  <c r="BN151" i="112"/>
  <c r="BL151" i="112"/>
  <c r="BK151" i="112"/>
  <c r="BJ151" i="112"/>
  <c r="AH151" i="112"/>
  <c r="AU151" i="112" s="1"/>
  <c r="AJ151" i="112"/>
  <c r="AW151" i="112" s="1"/>
  <c r="AI151" i="112"/>
  <c r="AV151" i="112" s="1"/>
  <c r="AG151" i="112"/>
  <c r="AT151" i="112" s="1"/>
  <c r="AB151" i="112"/>
  <c r="Z151" i="112"/>
  <c r="AA151" i="112"/>
  <c r="Y151" i="112"/>
  <c r="T151" i="112"/>
  <c r="AS151" i="112" s="1"/>
  <c r="S151" i="112"/>
  <c r="AQ151" i="112" s="1"/>
  <c r="R151" i="112"/>
  <c r="AP151" i="112" s="1"/>
  <c r="Q151" i="112"/>
  <c r="AO151" i="112" s="1"/>
  <c r="BS150" i="112"/>
  <c r="BR150" i="112"/>
  <c r="BQ150" i="112"/>
  <c r="BO150" i="112"/>
  <c r="BN150" i="112"/>
  <c r="BL150" i="112"/>
  <c r="BK150" i="112"/>
  <c r="BJ150" i="112"/>
  <c r="AJ150" i="112"/>
  <c r="AW150" i="112" s="1"/>
  <c r="AH150" i="112"/>
  <c r="AU150" i="112" s="1"/>
  <c r="AI150" i="112"/>
  <c r="AV150" i="112" s="1"/>
  <c r="AG150" i="112"/>
  <c r="AT150" i="112" s="1"/>
  <c r="AB150" i="112"/>
  <c r="AA150" i="112"/>
  <c r="Z150" i="112"/>
  <c r="Y150" i="112"/>
  <c r="T150" i="112"/>
  <c r="AS150" i="112" s="1"/>
  <c r="S150" i="112"/>
  <c r="AQ150" i="112" s="1"/>
  <c r="R150" i="112"/>
  <c r="AP150" i="112" s="1"/>
  <c r="Q150" i="112"/>
  <c r="AO150" i="112" s="1"/>
  <c r="BS149" i="112"/>
  <c r="BR149" i="112"/>
  <c r="BQ149" i="112"/>
  <c r="BO149" i="112"/>
  <c r="BN149" i="112"/>
  <c r="BL149" i="112"/>
  <c r="BK149" i="112"/>
  <c r="BJ149" i="112"/>
  <c r="AH149" i="112"/>
  <c r="AU149" i="112" s="1"/>
  <c r="AJ149" i="112"/>
  <c r="AW149" i="112" s="1"/>
  <c r="AI149" i="112"/>
  <c r="AV149" i="112" s="1"/>
  <c r="AG149" i="112"/>
  <c r="AT149" i="112" s="1"/>
  <c r="Z149" i="112"/>
  <c r="AB149" i="112"/>
  <c r="AA149" i="112"/>
  <c r="Y149" i="112"/>
  <c r="T149" i="112"/>
  <c r="AS149" i="112" s="1"/>
  <c r="S149" i="112"/>
  <c r="AQ149" i="112" s="1"/>
  <c r="R149" i="112"/>
  <c r="AP149" i="112" s="1"/>
  <c r="Q149" i="112"/>
  <c r="AO149" i="112" s="1"/>
  <c r="BS148" i="112"/>
  <c r="BR148" i="112"/>
  <c r="BQ148" i="112"/>
  <c r="BO148" i="112"/>
  <c r="BN148" i="112"/>
  <c r="BL148" i="112"/>
  <c r="BK148" i="112"/>
  <c r="BJ148" i="112"/>
  <c r="AH148" i="112"/>
  <c r="AU148" i="112" s="1"/>
  <c r="AJ148" i="112"/>
  <c r="AW148" i="112" s="1"/>
  <c r="AI148" i="112"/>
  <c r="AV148" i="112" s="1"/>
  <c r="AG148" i="112"/>
  <c r="AT148" i="112" s="1"/>
  <c r="AB148" i="112"/>
  <c r="AA148" i="112"/>
  <c r="Z148" i="112"/>
  <c r="Y148" i="112"/>
  <c r="T148" i="112"/>
  <c r="AS148" i="112" s="1"/>
  <c r="S148" i="112"/>
  <c r="AQ148" i="112" s="1"/>
  <c r="R148" i="112"/>
  <c r="AP148" i="112" s="1"/>
  <c r="Q148" i="112"/>
  <c r="AO148" i="112" s="1"/>
  <c r="BS147" i="112"/>
  <c r="BR147" i="112"/>
  <c r="BQ147" i="112"/>
  <c r="BO147" i="112"/>
  <c r="BN147" i="112"/>
  <c r="BL147" i="112"/>
  <c r="BK147" i="112"/>
  <c r="BJ147" i="112"/>
  <c r="AH147" i="112"/>
  <c r="AU147" i="112" s="1"/>
  <c r="AJ147" i="112"/>
  <c r="AW147" i="112" s="1"/>
  <c r="AI147" i="112"/>
  <c r="AV147" i="112" s="1"/>
  <c r="AG147" i="112"/>
  <c r="AT147" i="112" s="1"/>
  <c r="AB147" i="112"/>
  <c r="Z147" i="112"/>
  <c r="AA147" i="112"/>
  <c r="Y147" i="112"/>
  <c r="T147" i="112"/>
  <c r="AS147" i="112" s="1"/>
  <c r="S147" i="112"/>
  <c r="AQ147" i="112" s="1"/>
  <c r="R147" i="112"/>
  <c r="AP147" i="112" s="1"/>
  <c r="Q147" i="112"/>
  <c r="AO147" i="112" s="1"/>
  <c r="BS146" i="112"/>
  <c r="BR146" i="112"/>
  <c r="BQ146" i="112"/>
  <c r="BO146" i="112"/>
  <c r="BN146" i="112"/>
  <c r="BL146" i="112"/>
  <c r="BK146" i="112"/>
  <c r="BJ146" i="112"/>
  <c r="AJ146" i="112"/>
  <c r="AW146" i="112" s="1"/>
  <c r="AH146" i="112"/>
  <c r="AU146" i="112" s="1"/>
  <c r="AI146" i="112"/>
  <c r="AV146" i="112" s="1"/>
  <c r="AG146" i="112"/>
  <c r="AT146" i="112" s="1"/>
  <c r="AB146" i="112"/>
  <c r="AA146" i="112"/>
  <c r="Z146" i="112"/>
  <c r="Y146" i="112"/>
  <c r="T146" i="112"/>
  <c r="AS146" i="112" s="1"/>
  <c r="S146" i="112"/>
  <c r="AQ146" i="112" s="1"/>
  <c r="R146" i="112"/>
  <c r="AP146" i="112" s="1"/>
  <c r="Q146" i="112"/>
  <c r="AO146" i="112" s="1"/>
  <c r="BS145" i="112"/>
  <c r="BR145" i="112"/>
  <c r="BQ145" i="112"/>
  <c r="BO145" i="112"/>
  <c r="BN145" i="112"/>
  <c r="BL145" i="112"/>
  <c r="BK145" i="112"/>
  <c r="BJ145" i="112"/>
  <c r="AH145" i="112"/>
  <c r="AU145" i="112" s="1"/>
  <c r="AJ145" i="112"/>
  <c r="AW145" i="112" s="1"/>
  <c r="AI145" i="112"/>
  <c r="AV145" i="112" s="1"/>
  <c r="AG145" i="112"/>
  <c r="AT145" i="112" s="1"/>
  <c r="Z145" i="112"/>
  <c r="AB145" i="112"/>
  <c r="AA145" i="112"/>
  <c r="Y145" i="112"/>
  <c r="T145" i="112"/>
  <c r="AS145" i="112" s="1"/>
  <c r="S145" i="112"/>
  <c r="AQ145" i="112" s="1"/>
  <c r="R145" i="112"/>
  <c r="AP145" i="112" s="1"/>
  <c r="Q145" i="112"/>
  <c r="AO145" i="112" s="1"/>
  <c r="BS144" i="112"/>
  <c r="BR144" i="112"/>
  <c r="BQ144" i="112"/>
  <c r="BO144" i="112"/>
  <c r="BN144" i="112"/>
  <c r="BL144" i="112"/>
  <c r="BK144" i="112"/>
  <c r="BJ144" i="112"/>
  <c r="AH144" i="112"/>
  <c r="AU144" i="112" s="1"/>
  <c r="AJ144" i="112"/>
  <c r="AW144" i="112" s="1"/>
  <c r="AI144" i="112"/>
  <c r="AV144" i="112" s="1"/>
  <c r="AG144" i="112"/>
  <c r="AT144" i="112" s="1"/>
  <c r="AB144" i="112"/>
  <c r="AA144" i="112"/>
  <c r="Z144" i="112"/>
  <c r="Y144" i="112"/>
  <c r="T144" i="112"/>
  <c r="AS144" i="112" s="1"/>
  <c r="S144" i="112"/>
  <c r="AQ144" i="112" s="1"/>
  <c r="R144" i="112"/>
  <c r="AP144" i="112" s="1"/>
  <c r="Q144" i="112"/>
  <c r="AO144" i="112" s="1"/>
  <c r="BS143" i="112"/>
  <c r="BR143" i="112"/>
  <c r="BQ143" i="112"/>
  <c r="BO143" i="112"/>
  <c r="BN143" i="112"/>
  <c r="BL143" i="112"/>
  <c r="BK143" i="112"/>
  <c r="BJ143" i="112"/>
  <c r="AH143" i="112"/>
  <c r="AU143" i="112" s="1"/>
  <c r="AJ143" i="112"/>
  <c r="AW143" i="112" s="1"/>
  <c r="AI143" i="112"/>
  <c r="AV143" i="112" s="1"/>
  <c r="AG143" i="112"/>
  <c r="AT143" i="112" s="1"/>
  <c r="Z143" i="112"/>
  <c r="AB143" i="112"/>
  <c r="AA143" i="112"/>
  <c r="Y143" i="112"/>
  <c r="T143" i="112"/>
  <c r="AS143" i="112" s="1"/>
  <c r="S143" i="112"/>
  <c r="AQ143" i="112" s="1"/>
  <c r="R143" i="112"/>
  <c r="AP143" i="112" s="1"/>
  <c r="Q143" i="112"/>
  <c r="AO143" i="112" s="1"/>
  <c r="BS142" i="112"/>
  <c r="BR142" i="112"/>
  <c r="BQ142" i="112"/>
  <c r="BO142" i="112"/>
  <c r="BN142" i="112"/>
  <c r="BL142" i="112"/>
  <c r="BK142" i="112"/>
  <c r="BJ142" i="112"/>
  <c r="AJ142" i="112"/>
  <c r="AW142" i="112" s="1"/>
  <c r="AH142" i="112"/>
  <c r="AU142" i="112" s="1"/>
  <c r="AI142" i="112"/>
  <c r="AV142" i="112" s="1"/>
  <c r="AG142" i="112"/>
  <c r="AT142" i="112" s="1"/>
  <c r="AB142" i="112"/>
  <c r="AA142" i="112"/>
  <c r="Z142" i="112"/>
  <c r="Y142" i="112"/>
  <c r="T142" i="112"/>
  <c r="AS142" i="112" s="1"/>
  <c r="S142" i="112"/>
  <c r="AQ142" i="112" s="1"/>
  <c r="R142" i="112"/>
  <c r="AP142" i="112" s="1"/>
  <c r="Q142" i="112"/>
  <c r="AO142" i="112" s="1"/>
  <c r="BS141" i="112"/>
  <c r="BR141" i="112"/>
  <c r="BQ141" i="112"/>
  <c r="BO141" i="112"/>
  <c r="BN141" i="112"/>
  <c r="BL141" i="112"/>
  <c r="BK141" i="112"/>
  <c r="BJ141" i="112"/>
  <c r="AH141" i="112"/>
  <c r="AU141" i="112" s="1"/>
  <c r="AJ141" i="112"/>
  <c r="AW141" i="112" s="1"/>
  <c r="AI141" i="112"/>
  <c r="AV141" i="112" s="1"/>
  <c r="AG141" i="112"/>
  <c r="AT141" i="112" s="1"/>
  <c r="Z141" i="112"/>
  <c r="AB141" i="112"/>
  <c r="AA141" i="112"/>
  <c r="Y141" i="112"/>
  <c r="T141" i="112"/>
  <c r="AS141" i="112" s="1"/>
  <c r="S141" i="112"/>
  <c r="AQ141" i="112" s="1"/>
  <c r="R141" i="112"/>
  <c r="AP141" i="112" s="1"/>
  <c r="Q141" i="112"/>
  <c r="AO141" i="112" s="1"/>
  <c r="BS140" i="112"/>
  <c r="BR140" i="112"/>
  <c r="BQ140" i="112"/>
  <c r="BO140" i="112"/>
  <c r="BN140" i="112"/>
  <c r="BL140" i="112"/>
  <c r="BK140" i="112"/>
  <c r="BJ140" i="112"/>
  <c r="AH140" i="112"/>
  <c r="AU140" i="112" s="1"/>
  <c r="AJ140" i="112"/>
  <c r="AW140" i="112" s="1"/>
  <c r="AI140" i="112"/>
  <c r="AV140" i="112" s="1"/>
  <c r="AG140" i="112"/>
  <c r="AT140" i="112" s="1"/>
  <c r="AB140" i="112"/>
  <c r="AA140" i="112"/>
  <c r="Z140" i="112"/>
  <c r="Y140" i="112"/>
  <c r="T140" i="112"/>
  <c r="AS140" i="112" s="1"/>
  <c r="S140" i="112"/>
  <c r="AQ140" i="112" s="1"/>
  <c r="R140" i="112"/>
  <c r="AP140" i="112" s="1"/>
  <c r="Q140" i="112"/>
  <c r="AO140" i="112" s="1"/>
  <c r="BS139" i="112"/>
  <c r="BR139" i="112"/>
  <c r="BQ139" i="112"/>
  <c r="BO139" i="112"/>
  <c r="BN139" i="112"/>
  <c r="BL139" i="112"/>
  <c r="BK139" i="112"/>
  <c r="BJ139" i="112"/>
  <c r="AH139" i="112"/>
  <c r="AU139" i="112" s="1"/>
  <c r="AJ139" i="112"/>
  <c r="AW139" i="112" s="1"/>
  <c r="AI139" i="112"/>
  <c r="AV139" i="112" s="1"/>
  <c r="AG139" i="112"/>
  <c r="AT139" i="112" s="1"/>
  <c r="Z139" i="112"/>
  <c r="AB139" i="112"/>
  <c r="AA139" i="112"/>
  <c r="Y139" i="112"/>
  <c r="T139" i="112"/>
  <c r="AS139" i="112" s="1"/>
  <c r="S139" i="112"/>
  <c r="AQ139" i="112" s="1"/>
  <c r="R139" i="112"/>
  <c r="AP139" i="112" s="1"/>
  <c r="Q139" i="112"/>
  <c r="AO139" i="112" s="1"/>
  <c r="BS138" i="112"/>
  <c r="BR138" i="112"/>
  <c r="BQ138" i="112"/>
  <c r="BO138" i="112"/>
  <c r="BN138" i="112"/>
  <c r="BL138" i="112"/>
  <c r="BK138" i="112"/>
  <c r="BJ138" i="112"/>
  <c r="AJ138" i="112"/>
  <c r="AW138" i="112" s="1"/>
  <c r="AH138" i="112"/>
  <c r="AU138" i="112" s="1"/>
  <c r="AI138" i="112"/>
  <c r="AV138" i="112" s="1"/>
  <c r="AG138" i="112"/>
  <c r="AT138" i="112" s="1"/>
  <c r="AB138" i="112"/>
  <c r="AA138" i="112"/>
  <c r="Z138" i="112"/>
  <c r="Y138" i="112"/>
  <c r="T138" i="112"/>
  <c r="AS138" i="112" s="1"/>
  <c r="S138" i="112"/>
  <c r="AQ138" i="112" s="1"/>
  <c r="R138" i="112"/>
  <c r="AP138" i="112" s="1"/>
  <c r="Q138" i="112"/>
  <c r="AO138" i="112" s="1"/>
  <c r="BS137" i="112"/>
  <c r="BR137" i="112"/>
  <c r="BQ137" i="112"/>
  <c r="BO137" i="112"/>
  <c r="BN137" i="112"/>
  <c r="BL137" i="112"/>
  <c r="BK137" i="112"/>
  <c r="BJ137" i="112"/>
  <c r="AH137" i="112"/>
  <c r="AU137" i="112" s="1"/>
  <c r="AJ137" i="112"/>
  <c r="AW137" i="112" s="1"/>
  <c r="AI137" i="112"/>
  <c r="AV137" i="112" s="1"/>
  <c r="AG137" i="112"/>
  <c r="AT137" i="112" s="1"/>
  <c r="Z137" i="112"/>
  <c r="AB137" i="112"/>
  <c r="AA137" i="112"/>
  <c r="Y137" i="112"/>
  <c r="T137" i="112"/>
  <c r="AS137" i="112" s="1"/>
  <c r="S137" i="112"/>
  <c r="AQ137" i="112" s="1"/>
  <c r="R137" i="112"/>
  <c r="AP137" i="112" s="1"/>
  <c r="Q137" i="112"/>
  <c r="AO137" i="112" s="1"/>
  <c r="BS136" i="112"/>
  <c r="BR136" i="112"/>
  <c r="BQ136" i="112"/>
  <c r="BO136" i="112"/>
  <c r="BN136" i="112"/>
  <c r="BL136" i="112"/>
  <c r="BK136" i="112"/>
  <c r="BJ136" i="112"/>
  <c r="AH136" i="112"/>
  <c r="AU136" i="112" s="1"/>
  <c r="AJ136" i="112"/>
  <c r="AW136" i="112" s="1"/>
  <c r="AI136" i="112"/>
  <c r="AV136" i="112" s="1"/>
  <c r="AG136" i="112"/>
  <c r="AT136" i="112" s="1"/>
  <c r="AB136" i="112"/>
  <c r="AA136" i="112"/>
  <c r="Z136" i="112"/>
  <c r="Y136" i="112"/>
  <c r="T136" i="112"/>
  <c r="AS136" i="112" s="1"/>
  <c r="S136" i="112"/>
  <c r="AQ136" i="112" s="1"/>
  <c r="R136" i="112"/>
  <c r="AP136" i="112" s="1"/>
  <c r="Q136" i="112"/>
  <c r="AO136" i="112" s="1"/>
  <c r="BS135" i="112"/>
  <c r="BR135" i="112"/>
  <c r="BQ135" i="112"/>
  <c r="BO135" i="112"/>
  <c r="BN135" i="112"/>
  <c r="BL135" i="112"/>
  <c r="BK135" i="112"/>
  <c r="BJ135" i="112"/>
  <c r="AW135" i="112"/>
  <c r="AB135" i="112"/>
  <c r="AA135" i="112"/>
  <c r="Z135" i="112"/>
  <c r="Y135" i="112"/>
  <c r="S135" i="112"/>
  <c r="T135" i="112"/>
  <c r="R135" i="112"/>
  <c r="Q135" i="112"/>
  <c r="BS134" i="112"/>
  <c r="BR134" i="112"/>
  <c r="BQ134" i="112"/>
  <c r="BO134" i="112"/>
  <c r="BN134" i="112"/>
  <c r="BL134" i="112"/>
  <c r="BK134" i="112"/>
  <c r="BJ134" i="112"/>
  <c r="AJ134" i="112"/>
  <c r="AW134" i="112" s="1"/>
  <c r="AI134" i="112"/>
  <c r="AV134" i="112" s="1"/>
  <c r="AH134" i="112"/>
  <c r="AU134" i="112" s="1"/>
  <c r="AG134" i="112"/>
  <c r="AT134" i="112" s="1"/>
  <c r="AB134" i="112"/>
  <c r="AA134" i="112"/>
  <c r="Z134" i="112"/>
  <c r="Y134" i="112"/>
  <c r="T134" i="112"/>
  <c r="AS134" i="112" s="1"/>
  <c r="S134" i="112"/>
  <c r="AQ134" i="112" s="1"/>
  <c r="R134" i="112"/>
  <c r="AP134" i="112" s="1"/>
  <c r="Q134" i="112"/>
  <c r="AO134" i="112" s="1"/>
  <c r="BS133" i="112"/>
  <c r="BR133" i="112"/>
  <c r="BQ133" i="112"/>
  <c r="BO133" i="112"/>
  <c r="BN133" i="112"/>
  <c r="BL133" i="112"/>
  <c r="BK133" i="112"/>
  <c r="BJ133" i="112"/>
  <c r="AJ133" i="112"/>
  <c r="AW133" i="112" s="1"/>
  <c r="AI133" i="112"/>
  <c r="AV133" i="112" s="1"/>
  <c r="AH133" i="112"/>
  <c r="AU133" i="112" s="1"/>
  <c r="AG133" i="112"/>
  <c r="AT133" i="112" s="1"/>
  <c r="AB133" i="112"/>
  <c r="AA133" i="112"/>
  <c r="Z133" i="112"/>
  <c r="Y133" i="112"/>
  <c r="T133" i="112"/>
  <c r="AS133" i="112" s="1"/>
  <c r="S133" i="112"/>
  <c r="AQ133" i="112" s="1"/>
  <c r="R133" i="112"/>
  <c r="AP133" i="112" s="1"/>
  <c r="Q133" i="112"/>
  <c r="AO133" i="112" s="1"/>
  <c r="BS132" i="112"/>
  <c r="BR132" i="112"/>
  <c r="BQ132" i="112"/>
  <c r="BO132" i="112"/>
  <c r="BN132" i="112"/>
  <c r="BL132" i="112"/>
  <c r="BK132" i="112"/>
  <c r="BJ132" i="112"/>
  <c r="AJ132" i="112"/>
  <c r="AW132" i="112" s="1"/>
  <c r="AI132" i="112"/>
  <c r="AV132" i="112" s="1"/>
  <c r="AH132" i="112"/>
  <c r="AU132" i="112" s="1"/>
  <c r="AG132" i="112"/>
  <c r="AT132" i="112" s="1"/>
  <c r="AB132" i="112"/>
  <c r="AA132" i="112"/>
  <c r="Z132" i="112"/>
  <c r="Y132" i="112"/>
  <c r="T132" i="112"/>
  <c r="AS132" i="112" s="1"/>
  <c r="S132" i="112"/>
  <c r="AQ132" i="112" s="1"/>
  <c r="R132" i="112"/>
  <c r="AP132" i="112" s="1"/>
  <c r="Q132" i="112"/>
  <c r="AO132" i="112" s="1"/>
  <c r="BS131" i="112"/>
  <c r="BR131" i="112"/>
  <c r="BQ131" i="112"/>
  <c r="BO131" i="112"/>
  <c r="BN131" i="112"/>
  <c r="BL131" i="112"/>
  <c r="BK131" i="112"/>
  <c r="BJ131" i="112"/>
  <c r="AJ131" i="112"/>
  <c r="AW131" i="112" s="1"/>
  <c r="AI131" i="112"/>
  <c r="AV131" i="112" s="1"/>
  <c r="AH131" i="112"/>
  <c r="AU131" i="112" s="1"/>
  <c r="AG131" i="112"/>
  <c r="AT131" i="112" s="1"/>
  <c r="AB131" i="112"/>
  <c r="AA131" i="112"/>
  <c r="Z131" i="112"/>
  <c r="Y131" i="112"/>
  <c r="T131" i="112"/>
  <c r="AS131" i="112" s="1"/>
  <c r="S131" i="112"/>
  <c r="AQ131" i="112" s="1"/>
  <c r="R131" i="112"/>
  <c r="AP131" i="112" s="1"/>
  <c r="Q131" i="112"/>
  <c r="AO131" i="112" s="1"/>
  <c r="BS130" i="112"/>
  <c r="BR130" i="112"/>
  <c r="BQ130" i="112"/>
  <c r="BO130" i="112"/>
  <c r="BN130" i="112"/>
  <c r="BL130" i="112"/>
  <c r="BK130" i="112"/>
  <c r="BJ130" i="112"/>
  <c r="AJ130" i="112"/>
  <c r="AW130" i="112" s="1"/>
  <c r="AI130" i="112"/>
  <c r="AV130" i="112" s="1"/>
  <c r="AH130" i="112"/>
  <c r="AU130" i="112" s="1"/>
  <c r="AG130" i="112"/>
  <c r="AT130" i="112" s="1"/>
  <c r="AB130" i="112"/>
  <c r="AA130" i="112"/>
  <c r="Z130" i="112"/>
  <c r="Y130" i="112"/>
  <c r="T130" i="112"/>
  <c r="AS130" i="112" s="1"/>
  <c r="S130" i="112"/>
  <c r="AQ130" i="112" s="1"/>
  <c r="R130" i="112"/>
  <c r="AP130" i="112" s="1"/>
  <c r="Q130" i="112"/>
  <c r="AO130" i="112" s="1"/>
  <c r="BS129" i="112"/>
  <c r="BR129" i="112"/>
  <c r="BQ129" i="112"/>
  <c r="BO129" i="112"/>
  <c r="BN129" i="112"/>
  <c r="BL129" i="112"/>
  <c r="BK129" i="112"/>
  <c r="BJ129" i="112"/>
  <c r="AJ129" i="112"/>
  <c r="AW129" i="112" s="1"/>
  <c r="AI129" i="112"/>
  <c r="AV129" i="112" s="1"/>
  <c r="AH129" i="112"/>
  <c r="AU129" i="112" s="1"/>
  <c r="AG129" i="112"/>
  <c r="AT129" i="112" s="1"/>
  <c r="AB129" i="112"/>
  <c r="AA129" i="112"/>
  <c r="Z129" i="112"/>
  <c r="Y129" i="112"/>
  <c r="T129" i="112"/>
  <c r="AS129" i="112" s="1"/>
  <c r="S129" i="112"/>
  <c r="AQ129" i="112" s="1"/>
  <c r="R129" i="112"/>
  <c r="AP129" i="112" s="1"/>
  <c r="Q129" i="112"/>
  <c r="AO129" i="112" s="1"/>
  <c r="BS128" i="112"/>
  <c r="BR128" i="112"/>
  <c r="BQ128" i="112"/>
  <c r="BO128" i="112"/>
  <c r="BN128" i="112"/>
  <c r="BL128" i="112"/>
  <c r="BK128" i="112"/>
  <c r="BJ128" i="112"/>
  <c r="AJ128" i="112"/>
  <c r="AW128" i="112" s="1"/>
  <c r="AI128" i="112"/>
  <c r="AV128" i="112" s="1"/>
  <c r="AH128" i="112"/>
  <c r="AU128" i="112" s="1"/>
  <c r="AG128" i="112"/>
  <c r="AT128" i="112" s="1"/>
  <c r="AB128" i="112"/>
  <c r="AA128" i="112"/>
  <c r="Z128" i="112"/>
  <c r="Y128" i="112"/>
  <c r="T128" i="112"/>
  <c r="AS128" i="112" s="1"/>
  <c r="S128" i="112"/>
  <c r="AQ128" i="112" s="1"/>
  <c r="R128" i="112"/>
  <c r="AP128" i="112" s="1"/>
  <c r="Q128" i="112"/>
  <c r="AO128" i="112" s="1"/>
  <c r="BS127" i="112"/>
  <c r="BR127" i="112"/>
  <c r="BQ127" i="112"/>
  <c r="BO127" i="112"/>
  <c r="BN127" i="112"/>
  <c r="BL127" i="112"/>
  <c r="BK127" i="112"/>
  <c r="BJ127" i="112"/>
  <c r="AJ127" i="112"/>
  <c r="AW127" i="112" s="1"/>
  <c r="AI127" i="112"/>
  <c r="AV127" i="112" s="1"/>
  <c r="AH127" i="112"/>
  <c r="AU127" i="112" s="1"/>
  <c r="AG127" i="112"/>
  <c r="AT127" i="112" s="1"/>
  <c r="AB127" i="112"/>
  <c r="AA127" i="112"/>
  <c r="Z127" i="112"/>
  <c r="Y127" i="112"/>
  <c r="T127" i="112"/>
  <c r="AS127" i="112" s="1"/>
  <c r="S127" i="112"/>
  <c r="AQ127" i="112" s="1"/>
  <c r="R127" i="112"/>
  <c r="AP127" i="112" s="1"/>
  <c r="Q127" i="112"/>
  <c r="AO127" i="112" s="1"/>
  <c r="BS126" i="112"/>
  <c r="BR126" i="112"/>
  <c r="BQ126" i="112"/>
  <c r="BO126" i="112"/>
  <c r="BN126" i="112"/>
  <c r="BL126" i="112"/>
  <c r="BK126" i="112"/>
  <c r="BJ126" i="112"/>
  <c r="AJ126" i="112"/>
  <c r="AW126" i="112" s="1"/>
  <c r="AI126" i="112"/>
  <c r="AV126" i="112" s="1"/>
  <c r="AH126" i="112"/>
  <c r="AU126" i="112" s="1"/>
  <c r="AG126" i="112"/>
  <c r="AT126" i="112" s="1"/>
  <c r="AB126" i="112"/>
  <c r="AA126" i="112"/>
  <c r="Z126" i="112"/>
  <c r="Y126" i="112"/>
  <c r="T126" i="112"/>
  <c r="AS126" i="112" s="1"/>
  <c r="S126" i="112"/>
  <c r="AQ126" i="112" s="1"/>
  <c r="R126" i="112"/>
  <c r="AP126" i="112" s="1"/>
  <c r="Q126" i="112"/>
  <c r="AO126" i="112" s="1"/>
  <c r="BS125" i="112"/>
  <c r="BR125" i="112"/>
  <c r="BQ125" i="112"/>
  <c r="BO125" i="112"/>
  <c r="BN125" i="112"/>
  <c r="BL125" i="112"/>
  <c r="BK125" i="112"/>
  <c r="BJ125" i="112"/>
  <c r="AJ125" i="112"/>
  <c r="AW125" i="112" s="1"/>
  <c r="AI125" i="112"/>
  <c r="AV125" i="112" s="1"/>
  <c r="AH125" i="112"/>
  <c r="AU125" i="112" s="1"/>
  <c r="AG125" i="112"/>
  <c r="AT125" i="112" s="1"/>
  <c r="AB125" i="112"/>
  <c r="AA125" i="112"/>
  <c r="Z125" i="112"/>
  <c r="Y125" i="112"/>
  <c r="T125" i="112"/>
  <c r="AS125" i="112" s="1"/>
  <c r="S125" i="112"/>
  <c r="AQ125" i="112" s="1"/>
  <c r="R125" i="112"/>
  <c r="AP125" i="112" s="1"/>
  <c r="Q125" i="112"/>
  <c r="AO125" i="112" s="1"/>
  <c r="BS124" i="112"/>
  <c r="BR124" i="112"/>
  <c r="BQ124" i="112"/>
  <c r="BO124" i="112"/>
  <c r="BN124" i="112"/>
  <c r="BL124" i="112"/>
  <c r="BK124" i="112"/>
  <c r="BJ124" i="112"/>
  <c r="AJ124" i="112"/>
  <c r="AW124" i="112" s="1"/>
  <c r="AI124" i="112"/>
  <c r="AV124" i="112" s="1"/>
  <c r="AH124" i="112"/>
  <c r="AU124" i="112" s="1"/>
  <c r="AG124" i="112"/>
  <c r="AT124" i="112" s="1"/>
  <c r="AB124" i="112"/>
  <c r="AA124" i="112"/>
  <c r="Z124" i="112"/>
  <c r="Y124" i="112"/>
  <c r="T124" i="112"/>
  <c r="AS124" i="112" s="1"/>
  <c r="S124" i="112"/>
  <c r="AQ124" i="112" s="1"/>
  <c r="R124" i="112"/>
  <c r="AP124" i="112" s="1"/>
  <c r="Q124" i="112"/>
  <c r="AO124" i="112" s="1"/>
  <c r="BS123" i="112"/>
  <c r="BR123" i="112"/>
  <c r="BQ123" i="112"/>
  <c r="BO123" i="112"/>
  <c r="BN123" i="112"/>
  <c r="BL123" i="112"/>
  <c r="BK123" i="112"/>
  <c r="BJ123" i="112"/>
  <c r="AJ123" i="112"/>
  <c r="AW123" i="112" s="1"/>
  <c r="AI123" i="112"/>
  <c r="AV123" i="112" s="1"/>
  <c r="AH123" i="112"/>
  <c r="AU123" i="112" s="1"/>
  <c r="AG123" i="112"/>
  <c r="AT123" i="112" s="1"/>
  <c r="AB123" i="112"/>
  <c r="AA123" i="112"/>
  <c r="Z123" i="112"/>
  <c r="Y123" i="112"/>
  <c r="T123" i="112"/>
  <c r="AS123" i="112" s="1"/>
  <c r="S123" i="112"/>
  <c r="AQ123" i="112" s="1"/>
  <c r="R123" i="112"/>
  <c r="AP123" i="112" s="1"/>
  <c r="Q123" i="112"/>
  <c r="AO123" i="112" s="1"/>
  <c r="BS122" i="112"/>
  <c r="BR122" i="112"/>
  <c r="BQ122" i="112"/>
  <c r="BO122" i="112"/>
  <c r="BN122" i="112"/>
  <c r="BL122" i="112"/>
  <c r="BK122" i="112"/>
  <c r="BJ122" i="112"/>
  <c r="AJ122" i="112"/>
  <c r="AW122" i="112" s="1"/>
  <c r="AI122" i="112"/>
  <c r="AV122" i="112" s="1"/>
  <c r="AH122" i="112"/>
  <c r="AU122" i="112" s="1"/>
  <c r="AG122" i="112"/>
  <c r="AT122" i="112" s="1"/>
  <c r="AB122" i="112"/>
  <c r="AA122" i="112"/>
  <c r="Z122" i="112"/>
  <c r="Y122" i="112"/>
  <c r="T122" i="112"/>
  <c r="AS122" i="112" s="1"/>
  <c r="S122" i="112"/>
  <c r="AQ122" i="112" s="1"/>
  <c r="R122" i="112"/>
  <c r="AP122" i="112" s="1"/>
  <c r="Q122" i="112"/>
  <c r="AO122" i="112" s="1"/>
  <c r="BS121" i="112"/>
  <c r="BR121" i="112"/>
  <c r="BQ121" i="112"/>
  <c r="BO121" i="112"/>
  <c r="BN121" i="112"/>
  <c r="BL121" i="112"/>
  <c r="BK121" i="112"/>
  <c r="BJ121" i="112"/>
  <c r="AJ121" i="112"/>
  <c r="AW121" i="112" s="1"/>
  <c r="AI121" i="112"/>
  <c r="AV121" i="112" s="1"/>
  <c r="AH121" i="112"/>
  <c r="AU121" i="112" s="1"/>
  <c r="AG121" i="112"/>
  <c r="AT121" i="112" s="1"/>
  <c r="AB121" i="112"/>
  <c r="AA121" i="112"/>
  <c r="Z121" i="112"/>
  <c r="Y121" i="112"/>
  <c r="T121" i="112"/>
  <c r="AS121" i="112" s="1"/>
  <c r="S121" i="112"/>
  <c r="AQ121" i="112" s="1"/>
  <c r="R121" i="112"/>
  <c r="AP121" i="112" s="1"/>
  <c r="Q121" i="112"/>
  <c r="AO121" i="112" s="1"/>
  <c r="BS120" i="112"/>
  <c r="BR120" i="112"/>
  <c r="BQ120" i="112"/>
  <c r="BO120" i="112"/>
  <c r="BN120" i="112"/>
  <c r="BL120" i="112"/>
  <c r="BK120" i="112"/>
  <c r="BJ120" i="112"/>
  <c r="AJ120" i="112"/>
  <c r="AW120" i="112" s="1"/>
  <c r="AI120" i="112"/>
  <c r="AV120" i="112" s="1"/>
  <c r="AH120" i="112"/>
  <c r="AU120" i="112" s="1"/>
  <c r="AG120" i="112"/>
  <c r="AT120" i="112" s="1"/>
  <c r="AB120" i="112"/>
  <c r="AA120" i="112"/>
  <c r="Z120" i="112"/>
  <c r="Y120" i="112"/>
  <c r="T120" i="112"/>
  <c r="AS120" i="112" s="1"/>
  <c r="S120" i="112"/>
  <c r="AQ120" i="112" s="1"/>
  <c r="R120" i="112"/>
  <c r="AP120" i="112" s="1"/>
  <c r="Q120" i="112"/>
  <c r="AO120" i="112" s="1"/>
  <c r="BS119" i="112"/>
  <c r="BR119" i="112"/>
  <c r="BQ119" i="112"/>
  <c r="BO119" i="112"/>
  <c r="BN119" i="112"/>
  <c r="BL119" i="112"/>
  <c r="BK119" i="112"/>
  <c r="BJ119" i="112"/>
  <c r="AJ119" i="112"/>
  <c r="AW119" i="112" s="1"/>
  <c r="AI119" i="112"/>
  <c r="AV119" i="112" s="1"/>
  <c r="AH119" i="112"/>
  <c r="AU119" i="112" s="1"/>
  <c r="AG119" i="112"/>
  <c r="AT119" i="112" s="1"/>
  <c r="AB119" i="112"/>
  <c r="AA119" i="112"/>
  <c r="Z119" i="112"/>
  <c r="Y119" i="112"/>
  <c r="T119" i="112"/>
  <c r="AS119" i="112" s="1"/>
  <c r="S119" i="112"/>
  <c r="AQ119" i="112" s="1"/>
  <c r="R119" i="112"/>
  <c r="AP119" i="112" s="1"/>
  <c r="Q119" i="112"/>
  <c r="AO119" i="112" s="1"/>
  <c r="BS118" i="112"/>
  <c r="BR118" i="112"/>
  <c r="BQ118" i="112"/>
  <c r="BO118" i="112"/>
  <c r="BN118" i="112"/>
  <c r="BL118" i="112"/>
  <c r="BK118" i="112"/>
  <c r="BJ118" i="112"/>
  <c r="AJ118" i="112"/>
  <c r="AW118" i="112" s="1"/>
  <c r="AI118" i="112"/>
  <c r="AV118" i="112" s="1"/>
  <c r="AH118" i="112"/>
  <c r="AU118" i="112" s="1"/>
  <c r="AG118" i="112"/>
  <c r="AT118" i="112" s="1"/>
  <c r="AB118" i="112"/>
  <c r="AA118" i="112"/>
  <c r="Z118" i="112"/>
  <c r="Y118" i="112"/>
  <c r="T118" i="112"/>
  <c r="AS118" i="112" s="1"/>
  <c r="S118" i="112"/>
  <c r="AQ118" i="112" s="1"/>
  <c r="R118" i="112"/>
  <c r="AP118" i="112" s="1"/>
  <c r="Q118" i="112"/>
  <c r="AO118" i="112" s="1"/>
  <c r="I118" i="112"/>
  <c r="G118" i="112"/>
  <c r="E118" i="112"/>
  <c r="BS117" i="112"/>
  <c r="BR117" i="112"/>
  <c r="BQ117" i="112"/>
  <c r="BO117" i="112"/>
  <c r="BN117" i="112"/>
  <c r="BL117" i="112"/>
  <c r="BK117" i="112"/>
  <c r="BJ117" i="112"/>
  <c r="AJ117" i="112"/>
  <c r="AW117" i="112" s="1"/>
  <c r="AI117" i="112"/>
  <c r="AV117" i="112" s="1"/>
  <c r="AH117" i="112"/>
  <c r="AU117" i="112" s="1"/>
  <c r="AG117" i="112"/>
  <c r="AT117" i="112" s="1"/>
  <c r="AB117" i="112"/>
  <c r="AA117" i="112"/>
  <c r="Z117" i="112"/>
  <c r="Y117" i="112"/>
  <c r="T117" i="112"/>
  <c r="AS117" i="112" s="1"/>
  <c r="S117" i="112"/>
  <c r="AQ117" i="112" s="1"/>
  <c r="R117" i="112"/>
  <c r="AP117" i="112" s="1"/>
  <c r="Q117" i="112"/>
  <c r="AO117" i="112" s="1"/>
  <c r="BS116" i="112"/>
  <c r="BR116" i="112"/>
  <c r="BQ116" i="112"/>
  <c r="BO116" i="112"/>
  <c r="BN116" i="112"/>
  <c r="BL116" i="112"/>
  <c r="BK116" i="112"/>
  <c r="BJ116" i="112"/>
  <c r="AJ116" i="112"/>
  <c r="AW116" i="112" s="1"/>
  <c r="AI116" i="112"/>
  <c r="AV116" i="112" s="1"/>
  <c r="AH116" i="112"/>
  <c r="AU116" i="112" s="1"/>
  <c r="AG116" i="112"/>
  <c r="AT116" i="112" s="1"/>
  <c r="AB116" i="112"/>
  <c r="AA116" i="112"/>
  <c r="Z116" i="112"/>
  <c r="Y116" i="112"/>
  <c r="T116" i="112"/>
  <c r="AS116" i="112" s="1"/>
  <c r="S116" i="112"/>
  <c r="AQ116" i="112" s="1"/>
  <c r="R116" i="112"/>
  <c r="AP116" i="112" s="1"/>
  <c r="Q116" i="112"/>
  <c r="AO116" i="112" s="1"/>
  <c r="BS115" i="112"/>
  <c r="BR115" i="112"/>
  <c r="BQ115" i="112"/>
  <c r="BO115" i="112"/>
  <c r="BN115" i="112"/>
  <c r="BL115" i="112"/>
  <c r="BK115" i="112"/>
  <c r="BJ115" i="112"/>
  <c r="AJ115" i="112"/>
  <c r="AW115" i="112" s="1"/>
  <c r="AI115" i="112"/>
  <c r="AV115" i="112" s="1"/>
  <c r="AH115" i="112"/>
  <c r="AU115" i="112" s="1"/>
  <c r="AG115" i="112"/>
  <c r="AT115" i="112" s="1"/>
  <c r="AB115" i="112"/>
  <c r="AA115" i="112"/>
  <c r="Z115" i="112"/>
  <c r="Y115" i="112"/>
  <c r="T115" i="112"/>
  <c r="AS115" i="112" s="1"/>
  <c r="S115" i="112"/>
  <c r="AQ115" i="112" s="1"/>
  <c r="R115" i="112"/>
  <c r="AP115" i="112" s="1"/>
  <c r="Q115" i="112"/>
  <c r="AO115" i="112" s="1"/>
  <c r="BS114" i="112"/>
  <c r="BR114" i="112"/>
  <c r="BQ114" i="112"/>
  <c r="BO114" i="112"/>
  <c r="BN114" i="112"/>
  <c r="BL114" i="112"/>
  <c r="BK114" i="112"/>
  <c r="BJ114" i="112"/>
  <c r="AJ114" i="112"/>
  <c r="AW114" i="112" s="1"/>
  <c r="AI114" i="112"/>
  <c r="AV114" i="112" s="1"/>
  <c r="AH114" i="112"/>
  <c r="AU114" i="112" s="1"/>
  <c r="AG114" i="112"/>
  <c r="AT114" i="112" s="1"/>
  <c r="AB114" i="112"/>
  <c r="AA114" i="112"/>
  <c r="Z114" i="112"/>
  <c r="Y114" i="112"/>
  <c r="T114" i="112"/>
  <c r="AS114" i="112" s="1"/>
  <c r="S114" i="112"/>
  <c r="AQ114" i="112" s="1"/>
  <c r="R114" i="112"/>
  <c r="AP114" i="112" s="1"/>
  <c r="Q114" i="112"/>
  <c r="AO114" i="112" s="1"/>
  <c r="BS113" i="112"/>
  <c r="BR113" i="112"/>
  <c r="BQ113" i="112"/>
  <c r="BO113" i="112"/>
  <c r="BN113" i="112"/>
  <c r="BL113" i="112"/>
  <c r="BK113" i="112"/>
  <c r="BJ113" i="112"/>
  <c r="AJ113" i="112"/>
  <c r="AW113" i="112" s="1"/>
  <c r="AI113" i="112"/>
  <c r="AV113" i="112" s="1"/>
  <c r="AH113" i="112"/>
  <c r="AU113" i="112" s="1"/>
  <c r="AG113" i="112"/>
  <c r="AT113" i="112" s="1"/>
  <c r="AB113" i="112"/>
  <c r="AA113" i="112"/>
  <c r="Z113" i="112"/>
  <c r="Y113" i="112"/>
  <c r="T113" i="112"/>
  <c r="AS113" i="112" s="1"/>
  <c r="S113" i="112"/>
  <c r="AQ113" i="112" s="1"/>
  <c r="R113" i="112"/>
  <c r="AP113" i="112" s="1"/>
  <c r="Q113" i="112"/>
  <c r="AO113" i="112" s="1"/>
  <c r="BS112" i="112"/>
  <c r="BR112" i="112"/>
  <c r="BQ112" i="112"/>
  <c r="BO112" i="112"/>
  <c r="BN112" i="112"/>
  <c r="BL112" i="112"/>
  <c r="BK112" i="112"/>
  <c r="BJ112" i="112"/>
  <c r="AJ112" i="112"/>
  <c r="AW112" i="112" s="1"/>
  <c r="AI112" i="112"/>
  <c r="AV112" i="112" s="1"/>
  <c r="AH112" i="112"/>
  <c r="AU112" i="112" s="1"/>
  <c r="AG112" i="112"/>
  <c r="AT112" i="112" s="1"/>
  <c r="AB112" i="112"/>
  <c r="AA112" i="112"/>
  <c r="Z112" i="112"/>
  <c r="Y112" i="112"/>
  <c r="T112" i="112"/>
  <c r="AS112" i="112" s="1"/>
  <c r="S112" i="112"/>
  <c r="AQ112" i="112" s="1"/>
  <c r="R112" i="112"/>
  <c r="AP112" i="112" s="1"/>
  <c r="Q112" i="112"/>
  <c r="AO112" i="112" s="1"/>
  <c r="BS111" i="112"/>
  <c r="BR111" i="112"/>
  <c r="BQ111" i="112"/>
  <c r="BO111" i="112"/>
  <c r="BN111" i="112"/>
  <c r="BL111" i="112"/>
  <c r="BK111" i="112"/>
  <c r="BJ111" i="112"/>
  <c r="AJ111" i="112"/>
  <c r="AW111" i="112" s="1"/>
  <c r="AI111" i="112"/>
  <c r="AV111" i="112" s="1"/>
  <c r="AH111" i="112"/>
  <c r="AU111" i="112" s="1"/>
  <c r="AG111" i="112"/>
  <c r="AT111" i="112" s="1"/>
  <c r="AB111" i="112"/>
  <c r="AA111" i="112"/>
  <c r="Z111" i="112"/>
  <c r="Y111" i="112"/>
  <c r="T111" i="112"/>
  <c r="AS111" i="112" s="1"/>
  <c r="S111" i="112"/>
  <c r="AQ111" i="112" s="1"/>
  <c r="R111" i="112"/>
  <c r="AP111" i="112" s="1"/>
  <c r="Q111" i="112"/>
  <c r="AO111" i="112" s="1"/>
  <c r="BS110" i="112"/>
  <c r="BR110" i="112"/>
  <c r="BQ110" i="112"/>
  <c r="BO110" i="112"/>
  <c r="BN110" i="112"/>
  <c r="BL110" i="112"/>
  <c r="BK110" i="112"/>
  <c r="BJ110" i="112"/>
  <c r="AJ110" i="112"/>
  <c r="AW110" i="112" s="1"/>
  <c r="AI110" i="112"/>
  <c r="AV110" i="112" s="1"/>
  <c r="AH110" i="112"/>
  <c r="AU110" i="112" s="1"/>
  <c r="AG110" i="112"/>
  <c r="AT110" i="112" s="1"/>
  <c r="AB110" i="112"/>
  <c r="AA110" i="112"/>
  <c r="Z110" i="112"/>
  <c r="Y110" i="112"/>
  <c r="T110" i="112"/>
  <c r="AS110" i="112" s="1"/>
  <c r="S110" i="112"/>
  <c r="AQ110" i="112" s="1"/>
  <c r="R110" i="112"/>
  <c r="AP110" i="112" s="1"/>
  <c r="Q110" i="112"/>
  <c r="AO110" i="112" s="1"/>
  <c r="BS109" i="112"/>
  <c r="BR109" i="112"/>
  <c r="BQ109" i="112"/>
  <c r="BO109" i="112"/>
  <c r="BN109" i="112"/>
  <c r="BL109" i="112"/>
  <c r="BK109" i="112"/>
  <c r="BJ109" i="112"/>
  <c r="AJ109" i="112"/>
  <c r="AW109" i="112" s="1"/>
  <c r="AI109" i="112"/>
  <c r="AV109" i="112" s="1"/>
  <c r="AH109" i="112"/>
  <c r="AU109" i="112" s="1"/>
  <c r="AG109" i="112"/>
  <c r="AT109" i="112" s="1"/>
  <c r="AB109" i="112"/>
  <c r="AA109" i="112"/>
  <c r="Z109" i="112"/>
  <c r="Y109" i="112"/>
  <c r="T109" i="112"/>
  <c r="AS109" i="112" s="1"/>
  <c r="S109" i="112"/>
  <c r="AQ109" i="112" s="1"/>
  <c r="R109" i="112"/>
  <c r="AP109" i="112" s="1"/>
  <c r="Q109" i="112"/>
  <c r="AO109" i="112" s="1"/>
  <c r="BS108" i="112"/>
  <c r="BR108" i="112"/>
  <c r="BQ108" i="112"/>
  <c r="BO108" i="112"/>
  <c r="BN108" i="112"/>
  <c r="BL108" i="112"/>
  <c r="BK108" i="112"/>
  <c r="BJ108" i="112"/>
  <c r="AJ108" i="112"/>
  <c r="AW108" i="112" s="1"/>
  <c r="AI108" i="112"/>
  <c r="AV108" i="112" s="1"/>
  <c r="AH108" i="112"/>
  <c r="AU108" i="112" s="1"/>
  <c r="AG108" i="112"/>
  <c r="AT108" i="112" s="1"/>
  <c r="AB108" i="112"/>
  <c r="AA108" i="112"/>
  <c r="Z108" i="112"/>
  <c r="Y108" i="112"/>
  <c r="T108" i="112"/>
  <c r="AS108" i="112" s="1"/>
  <c r="S108" i="112"/>
  <c r="AQ108" i="112" s="1"/>
  <c r="R108" i="112"/>
  <c r="AP108" i="112" s="1"/>
  <c r="Q108" i="112"/>
  <c r="AO108" i="112" s="1"/>
  <c r="BS107" i="112"/>
  <c r="BR107" i="112"/>
  <c r="BQ107" i="112"/>
  <c r="BO107" i="112"/>
  <c r="BN107" i="112"/>
  <c r="BL107" i="112"/>
  <c r="BK107" i="112"/>
  <c r="BJ107" i="112"/>
  <c r="AJ107" i="112"/>
  <c r="AW107" i="112" s="1"/>
  <c r="AI107" i="112"/>
  <c r="AV107" i="112" s="1"/>
  <c r="AH107" i="112"/>
  <c r="AU107" i="112" s="1"/>
  <c r="AG107" i="112"/>
  <c r="AT107" i="112" s="1"/>
  <c r="AB107" i="112"/>
  <c r="AA107" i="112"/>
  <c r="Z107" i="112"/>
  <c r="Y107" i="112"/>
  <c r="T107" i="112"/>
  <c r="AS107" i="112" s="1"/>
  <c r="S107" i="112"/>
  <c r="AQ107" i="112" s="1"/>
  <c r="R107" i="112"/>
  <c r="AP107" i="112" s="1"/>
  <c r="Q107" i="112"/>
  <c r="AO107" i="112" s="1"/>
  <c r="BS106" i="112"/>
  <c r="BR106" i="112"/>
  <c r="BQ106" i="112"/>
  <c r="BO106" i="112"/>
  <c r="BN106" i="112"/>
  <c r="BL106" i="112"/>
  <c r="BK106" i="112"/>
  <c r="BJ106" i="112"/>
  <c r="AJ106" i="112"/>
  <c r="AW106" i="112" s="1"/>
  <c r="AI106" i="112"/>
  <c r="AV106" i="112" s="1"/>
  <c r="AH106" i="112"/>
  <c r="AU106" i="112" s="1"/>
  <c r="AG106" i="112"/>
  <c r="AT106" i="112" s="1"/>
  <c r="AB106" i="112"/>
  <c r="AA106" i="112"/>
  <c r="Z106" i="112"/>
  <c r="Y106" i="112"/>
  <c r="T106" i="112"/>
  <c r="AS106" i="112" s="1"/>
  <c r="S106" i="112"/>
  <c r="AQ106" i="112" s="1"/>
  <c r="R106" i="112"/>
  <c r="AP106" i="112" s="1"/>
  <c r="Q106" i="112"/>
  <c r="AO106" i="112" s="1"/>
  <c r="BS105" i="112"/>
  <c r="BR105" i="112"/>
  <c r="BQ105" i="112"/>
  <c r="BO105" i="112"/>
  <c r="BN105" i="112"/>
  <c r="BL105" i="112"/>
  <c r="BK105" i="112"/>
  <c r="BJ105" i="112"/>
  <c r="AJ105" i="112"/>
  <c r="AW105" i="112" s="1"/>
  <c r="AI105" i="112"/>
  <c r="AV105" i="112" s="1"/>
  <c r="AH105" i="112"/>
  <c r="AU105" i="112" s="1"/>
  <c r="AG105" i="112"/>
  <c r="AT105" i="112" s="1"/>
  <c r="AB105" i="112"/>
  <c r="AA105" i="112"/>
  <c r="Z105" i="112"/>
  <c r="Y105" i="112"/>
  <c r="T105" i="112"/>
  <c r="AS105" i="112" s="1"/>
  <c r="S105" i="112"/>
  <c r="AQ105" i="112" s="1"/>
  <c r="R105" i="112"/>
  <c r="AP105" i="112" s="1"/>
  <c r="Q105" i="112"/>
  <c r="AO105" i="112" s="1"/>
  <c r="BS104" i="112"/>
  <c r="BR104" i="112"/>
  <c r="BQ104" i="112"/>
  <c r="BO104" i="112"/>
  <c r="BN104" i="112"/>
  <c r="BL104" i="112"/>
  <c r="BK104" i="112"/>
  <c r="BJ104" i="112"/>
  <c r="AJ104" i="112"/>
  <c r="AW104" i="112" s="1"/>
  <c r="AI104" i="112"/>
  <c r="AV104" i="112" s="1"/>
  <c r="AH104" i="112"/>
  <c r="AU104" i="112" s="1"/>
  <c r="AG104" i="112"/>
  <c r="AT104" i="112" s="1"/>
  <c r="AB104" i="112"/>
  <c r="AA104" i="112"/>
  <c r="Z104" i="112"/>
  <c r="Y104" i="112"/>
  <c r="T104" i="112"/>
  <c r="AS104" i="112" s="1"/>
  <c r="S104" i="112"/>
  <c r="AQ104" i="112" s="1"/>
  <c r="R104" i="112"/>
  <c r="AP104" i="112" s="1"/>
  <c r="Q104" i="112"/>
  <c r="AO104" i="112" s="1"/>
  <c r="BS103" i="112"/>
  <c r="BR103" i="112"/>
  <c r="BQ103" i="112"/>
  <c r="BO103" i="112"/>
  <c r="BN103" i="112"/>
  <c r="BL103" i="112"/>
  <c r="BK103" i="112"/>
  <c r="BJ103" i="112"/>
  <c r="AJ103" i="112"/>
  <c r="AW103" i="112" s="1"/>
  <c r="AI103" i="112"/>
  <c r="AV103" i="112" s="1"/>
  <c r="AH103" i="112"/>
  <c r="AU103" i="112" s="1"/>
  <c r="AG103" i="112"/>
  <c r="AT103" i="112" s="1"/>
  <c r="AB103" i="112"/>
  <c r="AA103" i="112"/>
  <c r="Z103" i="112"/>
  <c r="Y103" i="112"/>
  <c r="T103" i="112"/>
  <c r="AS103" i="112" s="1"/>
  <c r="S103" i="112"/>
  <c r="AQ103" i="112" s="1"/>
  <c r="R103" i="112"/>
  <c r="AP103" i="112" s="1"/>
  <c r="Q103" i="112"/>
  <c r="AO103" i="112" s="1"/>
  <c r="BS102" i="112"/>
  <c r="BR102" i="112"/>
  <c r="BQ102" i="112"/>
  <c r="BO102" i="112"/>
  <c r="BN102" i="112"/>
  <c r="BL102" i="112"/>
  <c r="BK102" i="112"/>
  <c r="BJ102" i="112"/>
  <c r="AJ102" i="112"/>
  <c r="AW102" i="112" s="1"/>
  <c r="AI102" i="112"/>
  <c r="AV102" i="112" s="1"/>
  <c r="AH102" i="112"/>
  <c r="AU102" i="112" s="1"/>
  <c r="AG102" i="112"/>
  <c r="AT102" i="112" s="1"/>
  <c r="AB102" i="112"/>
  <c r="AA102" i="112"/>
  <c r="Z102" i="112"/>
  <c r="Y102" i="112"/>
  <c r="T102" i="112"/>
  <c r="AS102" i="112" s="1"/>
  <c r="S102" i="112"/>
  <c r="AQ102" i="112" s="1"/>
  <c r="R102" i="112"/>
  <c r="AP102" i="112" s="1"/>
  <c r="Q102" i="112"/>
  <c r="AO102" i="112" s="1"/>
  <c r="BS101" i="112"/>
  <c r="BR101" i="112"/>
  <c r="BQ101" i="112"/>
  <c r="BO101" i="112"/>
  <c r="BN101" i="112"/>
  <c r="BL101" i="112"/>
  <c r="BK101" i="112"/>
  <c r="BJ101" i="112"/>
  <c r="AJ101" i="112"/>
  <c r="AW101" i="112" s="1"/>
  <c r="AI101" i="112"/>
  <c r="AV101" i="112" s="1"/>
  <c r="AH101" i="112"/>
  <c r="AU101" i="112" s="1"/>
  <c r="AG101" i="112"/>
  <c r="AT101" i="112" s="1"/>
  <c r="AB101" i="112"/>
  <c r="AA101" i="112"/>
  <c r="Z101" i="112"/>
  <c r="Y101" i="112"/>
  <c r="T101" i="112"/>
  <c r="AS101" i="112" s="1"/>
  <c r="S101" i="112"/>
  <c r="AQ101" i="112" s="1"/>
  <c r="R101" i="112"/>
  <c r="AP101" i="112" s="1"/>
  <c r="Q101" i="112"/>
  <c r="AO101" i="112" s="1"/>
  <c r="BS100" i="112"/>
  <c r="BR100" i="112"/>
  <c r="BQ100" i="112"/>
  <c r="BO100" i="112"/>
  <c r="BN100" i="112"/>
  <c r="BL100" i="112"/>
  <c r="BK100" i="112"/>
  <c r="BJ100" i="112"/>
  <c r="AJ100" i="112"/>
  <c r="AW100" i="112" s="1"/>
  <c r="AI100" i="112"/>
  <c r="AV100" i="112" s="1"/>
  <c r="AH100" i="112"/>
  <c r="AU100" i="112" s="1"/>
  <c r="AG100" i="112"/>
  <c r="AT100" i="112" s="1"/>
  <c r="AB100" i="112"/>
  <c r="AA100" i="112"/>
  <c r="Z100" i="112"/>
  <c r="Y100" i="112"/>
  <c r="T100" i="112"/>
  <c r="AS100" i="112" s="1"/>
  <c r="S100" i="112"/>
  <c r="AQ100" i="112" s="1"/>
  <c r="R100" i="112"/>
  <c r="AP100" i="112" s="1"/>
  <c r="Q100" i="112"/>
  <c r="AO100" i="112" s="1"/>
  <c r="BS99" i="112"/>
  <c r="BR99" i="112"/>
  <c r="BQ99" i="112"/>
  <c r="BO99" i="112"/>
  <c r="BN99" i="112"/>
  <c r="BL99" i="112"/>
  <c r="BK99" i="112"/>
  <c r="BJ99" i="112"/>
  <c r="AJ99" i="112"/>
  <c r="AW99" i="112" s="1"/>
  <c r="AI99" i="112"/>
  <c r="AV99" i="112" s="1"/>
  <c r="AH99" i="112"/>
  <c r="AU99" i="112" s="1"/>
  <c r="AG99" i="112"/>
  <c r="AT99" i="112" s="1"/>
  <c r="AB99" i="112"/>
  <c r="AA99" i="112"/>
  <c r="Z99" i="112"/>
  <c r="Y99" i="112"/>
  <c r="T99" i="112"/>
  <c r="AS99" i="112" s="1"/>
  <c r="S99" i="112"/>
  <c r="AQ99" i="112" s="1"/>
  <c r="R99" i="112"/>
  <c r="AP99" i="112" s="1"/>
  <c r="Q99" i="112"/>
  <c r="AO99" i="112" s="1"/>
  <c r="BS98" i="112"/>
  <c r="BR98" i="112"/>
  <c r="BQ98" i="112"/>
  <c r="BO98" i="112"/>
  <c r="BN98" i="112"/>
  <c r="BL98" i="112"/>
  <c r="BK98" i="112"/>
  <c r="BJ98" i="112"/>
  <c r="AW98" i="112"/>
  <c r="AB98" i="112"/>
  <c r="AA98" i="112"/>
  <c r="Z98" i="112"/>
  <c r="Y98" i="112"/>
  <c r="T98" i="112"/>
  <c r="AS98" i="112" s="1"/>
  <c r="S98" i="112"/>
  <c r="R98" i="112"/>
  <c r="Q98" i="112"/>
  <c r="BS97" i="112"/>
  <c r="BR97" i="112"/>
  <c r="BQ97" i="112"/>
  <c r="BO97" i="112"/>
  <c r="BN97" i="112"/>
  <c r="BL97" i="112"/>
  <c r="BK97" i="112"/>
  <c r="BJ97" i="112"/>
  <c r="AW97" i="112"/>
  <c r="AB97" i="112"/>
  <c r="AA97" i="112"/>
  <c r="Z97" i="112"/>
  <c r="Y97" i="112"/>
  <c r="T97" i="112"/>
  <c r="AS97" i="112" s="1"/>
  <c r="S97" i="112"/>
  <c r="R97" i="112"/>
  <c r="Q97" i="112"/>
  <c r="BS96" i="112"/>
  <c r="BR96" i="112"/>
  <c r="BQ96" i="112"/>
  <c r="BO96" i="112"/>
  <c r="BN96" i="112"/>
  <c r="BL96" i="112"/>
  <c r="BK96" i="112"/>
  <c r="BJ96" i="112"/>
  <c r="AW96" i="112"/>
  <c r="AB96" i="112"/>
  <c r="AA96" i="112"/>
  <c r="Z96" i="112"/>
  <c r="Y96" i="112"/>
  <c r="T96" i="112"/>
  <c r="AS96" i="112" s="1"/>
  <c r="S96" i="112"/>
  <c r="R96" i="112"/>
  <c r="Q96" i="112"/>
  <c r="BS95" i="112"/>
  <c r="BR95" i="112"/>
  <c r="BQ95" i="112"/>
  <c r="BO95" i="112"/>
  <c r="BN95" i="112"/>
  <c r="BL95" i="112"/>
  <c r="BK95" i="112"/>
  <c r="BJ95" i="112"/>
  <c r="AW95" i="112"/>
  <c r="AB95" i="112"/>
  <c r="AA95" i="112"/>
  <c r="Z95" i="112"/>
  <c r="Y95" i="112"/>
  <c r="T95" i="112"/>
  <c r="AS95" i="112" s="1"/>
  <c r="S95" i="112"/>
  <c r="R95" i="112"/>
  <c r="Q95" i="112"/>
  <c r="BS94" i="112"/>
  <c r="BR94" i="112"/>
  <c r="BQ94" i="112"/>
  <c r="BO94" i="112"/>
  <c r="BN94" i="112"/>
  <c r="BL94" i="112"/>
  <c r="BK94" i="112"/>
  <c r="BJ94" i="112"/>
  <c r="AW94" i="112"/>
  <c r="AB94" i="112"/>
  <c r="AA94" i="112"/>
  <c r="Z94" i="112"/>
  <c r="Y94" i="112"/>
  <c r="T94" i="112"/>
  <c r="AS94" i="112" s="1"/>
  <c r="S94" i="112"/>
  <c r="R94" i="112"/>
  <c r="Q94" i="112"/>
  <c r="BS93" i="112"/>
  <c r="BR93" i="112"/>
  <c r="BQ93" i="112"/>
  <c r="BO93" i="112"/>
  <c r="BN93" i="112"/>
  <c r="BL93" i="112"/>
  <c r="BK93" i="112"/>
  <c r="BJ93" i="112"/>
  <c r="AW93" i="112"/>
  <c r="AB93" i="112"/>
  <c r="AA93" i="112"/>
  <c r="Z93" i="112"/>
  <c r="Y93" i="112"/>
  <c r="T93" i="112"/>
  <c r="AS93" i="112" s="1"/>
  <c r="S93" i="112"/>
  <c r="R93" i="112"/>
  <c r="Q93" i="112"/>
  <c r="BS92" i="112"/>
  <c r="BR92" i="112"/>
  <c r="BQ92" i="112"/>
  <c r="BO92" i="112"/>
  <c r="BN92" i="112"/>
  <c r="BL92" i="112"/>
  <c r="BK92" i="112"/>
  <c r="BJ92" i="112"/>
  <c r="AJ92" i="112"/>
  <c r="AW92" i="112" s="1"/>
  <c r="AI92" i="112"/>
  <c r="AV92" i="112" s="1"/>
  <c r="AH92" i="112"/>
  <c r="AU92" i="112" s="1"/>
  <c r="AG92" i="112"/>
  <c r="AT92" i="112" s="1"/>
  <c r="AB92" i="112"/>
  <c r="AA92" i="112"/>
  <c r="Z92" i="112"/>
  <c r="Y92" i="112"/>
  <c r="T92" i="112"/>
  <c r="AS92" i="112" s="1"/>
  <c r="S92" i="112"/>
  <c r="AQ92" i="112" s="1"/>
  <c r="R92" i="112"/>
  <c r="AP92" i="112" s="1"/>
  <c r="Q92" i="112"/>
  <c r="AO92" i="112" s="1"/>
  <c r="BS91" i="112"/>
  <c r="BR91" i="112"/>
  <c r="BQ91" i="112"/>
  <c r="BO91" i="112"/>
  <c r="BN91" i="112"/>
  <c r="BL91" i="112"/>
  <c r="BK91" i="112"/>
  <c r="BJ91" i="112"/>
  <c r="AJ91" i="112"/>
  <c r="AW91" i="112" s="1"/>
  <c r="AI91" i="112"/>
  <c r="AV91" i="112" s="1"/>
  <c r="AH91" i="112"/>
  <c r="AU91" i="112" s="1"/>
  <c r="AG91" i="112"/>
  <c r="AT91" i="112" s="1"/>
  <c r="AB91" i="112"/>
  <c r="AA91" i="112"/>
  <c r="Z91" i="112"/>
  <c r="Y91" i="112"/>
  <c r="T91" i="112"/>
  <c r="AS91" i="112" s="1"/>
  <c r="S91" i="112"/>
  <c r="AQ91" i="112" s="1"/>
  <c r="R91" i="112"/>
  <c r="AP91" i="112" s="1"/>
  <c r="Q91" i="112"/>
  <c r="AO91" i="112" s="1"/>
  <c r="BS90" i="112"/>
  <c r="BR90" i="112"/>
  <c r="BQ90" i="112"/>
  <c r="BO90" i="112"/>
  <c r="BN90" i="112"/>
  <c r="BL90" i="112"/>
  <c r="BK90" i="112"/>
  <c r="BJ90" i="112"/>
  <c r="AJ90" i="112"/>
  <c r="AW90" i="112" s="1"/>
  <c r="AI90" i="112"/>
  <c r="AV90" i="112" s="1"/>
  <c r="AH90" i="112"/>
  <c r="AU90" i="112" s="1"/>
  <c r="AG90" i="112"/>
  <c r="AT90" i="112" s="1"/>
  <c r="AB90" i="112"/>
  <c r="AA90" i="112"/>
  <c r="Z90" i="112"/>
  <c r="Y90" i="112"/>
  <c r="T90" i="112"/>
  <c r="AS90" i="112" s="1"/>
  <c r="S90" i="112"/>
  <c r="AQ90" i="112" s="1"/>
  <c r="R90" i="112"/>
  <c r="AP90" i="112" s="1"/>
  <c r="Q90" i="112"/>
  <c r="AO90" i="112" s="1"/>
  <c r="BS89" i="112"/>
  <c r="BR89" i="112"/>
  <c r="BQ89" i="112"/>
  <c r="BO89" i="112"/>
  <c r="BN89" i="112"/>
  <c r="BL89" i="112"/>
  <c r="BK89" i="112"/>
  <c r="BJ89" i="112"/>
  <c r="AJ89" i="112"/>
  <c r="AW89" i="112" s="1"/>
  <c r="AI89" i="112"/>
  <c r="AV89" i="112" s="1"/>
  <c r="AH89" i="112"/>
  <c r="AU89" i="112" s="1"/>
  <c r="AG89" i="112"/>
  <c r="AT89" i="112" s="1"/>
  <c r="AB89" i="112"/>
  <c r="AA89" i="112"/>
  <c r="Z89" i="112"/>
  <c r="Y89" i="112"/>
  <c r="T89" i="112"/>
  <c r="AS89" i="112" s="1"/>
  <c r="S89" i="112"/>
  <c r="AQ89" i="112" s="1"/>
  <c r="R89" i="112"/>
  <c r="AP89" i="112" s="1"/>
  <c r="Q89" i="112"/>
  <c r="AO89" i="112" s="1"/>
  <c r="BS88" i="112"/>
  <c r="BR88" i="112"/>
  <c r="BQ88" i="112"/>
  <c r="BO88" i="112"/>
  <c r="BN88" i="112"/>
  <c r="BL88" i="112"/>
  <c r="BK88" i="112"/>
  <c r="BJ88" i="112"/>
  <c r="AJ88" i="112"/>
  <c r="AW88" i="112" s="1"/>
  <c r="AI88" i="112"/>
  <c r="AV88" i="112" s="1"/>
  <c r="AH88" i="112"/>
  <c r="AU88" i="112" s="1"/>
  <c r="AG88" i="112"/>
  <c r="AT88" i="112" s="1"/>
  <c r="AB88" i="112"/>
  <c r="AA88" i="112"/>
  <c r="Z88" i="112"/>
  <c r="Y88" i="112"/>
  <c r="T88" i="112"/>
  <c r="AS88" i="112" s="1"/>
  <c r="S88" i="112"/>
  <c r="AQ88" i="112" s="1"/>
  <c r="R88" i="112"/>
  <c r="AP88" i="112" s="1"/>
  <c r="Q88" i="112"/>
  <c r="AO88" i="112" s="1"/>
  <c r="BS87" i="112"/>
  <c r="BR87" i="112"/>
  <c r="BQ87" i="112"/>
  <c r="BO87" i="112"/>
  <c r="BN87" i="112"/>
  <c r="BL87" i="112"/>
  <c r="BK87" i="112"/>
  <c r="BJ87" i="112"/>
  <c r="AJ87" i="112"/>
  <c r="AW87" i="112" s="1"/>
  <c r="AI87" i="112"/>
  <c r="AV87" i="112" s="1"/>
  <c r="AH87" i="112"/>
  <c r="AU87" i="112" s="1"/>
  <c r="AG87" i="112"/>
  <c r="AT87" i="112" s="1"/>
  <c r="AB87" i="112"/>
  <c r="AA87" i="112"/>
  <c r="Z87" i="112"/>
  <c r="Y87" i="112"/>
  <c r="T87" i="112"/>
  <c r="AS87" i="112" s="1"/>
  <c r="S87" i="112"/>
  <c r="AQ87" i="112" s="1"/>
  <c r="R87" i="112"/>
  <c r="AP87" i="112" s="1"/>
  <c r="Q87" i="112"/>
  <c r="AO87" i="112" s="1"/>
  <c r="BS86" i="112"/>
  <c r="BR86" i="112"/>
  <c r="BQ86" i="112"/>
  <c r="BO86" i="112"/>
  <c r="BN86" i="112"/>
  <c r="BL86" i="112"/>
  <c r="BK86" i="112"/>
  <c r="BJ86" i="112"/>
  <c r="AJ86" i="112"/>
  <c r="AW86" i="112" s="1"/>
  <c r="AI86" i="112"/>
  <c r="AV86" i="112" s="1"/>
  <c r="AH86" i="112"/>
  <c r="AU86" i="112" s="1"/>
  <c r="AG86" i="112"/>
  <c r="AT86" i="112" s="1"/>
  <c r="AB86" i="112"/>
  <c r="AA86" i="112"/>
  <c r="Z86" i="112"/>
  <c r="Y86" i="112"/>
  <c r="T86" i="112"/>
  <c r="AS86" i="112" s="1"/>
  <c r="S86" i="112"/>
  <c r="AQ86" i="112" s="1"/>
  <c r="R86" i="112"/>
  <c r="AP86" i="112" s="1"/>
  <c r="Q86" i="112"/>
  <c r="AO86" i="112" s="1"/>
  <c r="BS85" i="112"/>
  <c r="BR85" i="112"/>
  <c r="BQ85" i="112"/>
  <c r="BO85" i="112"/>
  <c r="BN85" i="112"/>
  <c r="BL85" i="112"/>
  <c r="BK85" i="112"/>
  <c r="BJ85" i="112"/>
  <c r="AJ85" i="112"/>
  <c r="AW85" i="112" s="1"/>
  <c r="AI85" i="112"/>
  <c r="AV85" i="112" s="1"/>
  <c r="AH85" i="112"/>
  <c r="AU85" i="112" s="1"/>
  <c r="AG85" i="112"/>
  <c r="AT85" i="112" s="1"/>
  <c r="AB85" i="112"/>
  <c r="AA85" i="112"/>
  <c r="Z85" i="112"/>
  <c r="Y85" i="112"/>
  <c r="T85" i="112"/>
  <c r="AS85" i="112" s="1"/>
  <c r="S85" i="112"/>
  <c r="AQ85" i="112" s="1"/>
  <c r="R85" i="112"/>
  <c r="AP85" i="112" s="1"/>
  <c r="Q85" i="112"/>
  <c r="AO85" i="112" s="1"/>
  <c r="BS84" i="112"/>
  <c r="BR84" i="112"/>
  <c r="BQ84" i="112"/>
  <c r="BO84" i="112"/>
  <c r="BN84" i="112"/>
  <c r="BL84" i="112"/>
  <c r="BK84" i="112"/>
  <c r="BJ84" i="112"/>
  <c r="AJ84" i="112"/>
  <c r="AW84" i="112" s="1"/>
  <c r="AI84" i="112"/>
  <c r="AV84" i="112" s="1"/>
  <c r="AH84" i="112"/>
  <c r="AU84" i="112" s="1"/>
  <c r="AG84" i="112"/>
  <c r="AT84" i="112" s="1"/>
  <c r="AB84" i="112"/>
  <c r="AA84" i="112"/>
  <c r="Z84" i="112"/>
  <c r="Y84" i="112"/>
  <c r="T84" i="112"/>
  <c r="AS84" i="112" s="1"/>
  <c r="S84" i="112"/>
  <c r="AQ84" i="112" s="1"/>
  <c r="R84" i="112"/>
  <c r="AP84" i="112" s="1"/>
  <c r="Q84" i="112"/>
  <c r="AO84" i="112" s="1"/>
  <c r="BS83" i="112"/>
  <c r="BR83" i="112"/>
  <c r="BQ83" i="112"/>
  <c r="BO83" i="112"/>
  <c r="BN83" i="112"/>
  <c r="BL83" i="112"/>
  <c r="BK83" i="112"/>
  <c r="BJ83" i="112"/>
  <c r="AJ83" i="112"/>
  <c r="AW83" i="112" s="1"/>
  <c r="AI83" i="112"/>
  <c r="AV83" i="112" s="1"/>
  <c r="AH83" i="112"/>
  <c r="AU83" i="112" s="1"/>
  <c r="AG83" i="112"/>
  <c r="AT83" i="112" s="1"/>
  <c r="AB83" i="112"/>
  <c r="AA83" i="112"/>
  <c r="Z83" i="112"/>
  <c r="Y83" i="112"/>
  <c r="T83" i="112"/>
  <c r="AS83" i="112" s="1"/>
  <c r="S83" i="112"/>
  <c r="AQ83" i="112" s="1"/>
  <c r="R83" i="112"/>
  <c r="AP83" i="112" s="1"/>
  <c r="Q83" i="112"/>
  <c r="AO83" i="112" s="1"/>
  <c r="BS82" i="112"/>
  <c r="BR82" i="112"/>
  <c r="BQ82" i="112"/>
  <c r="BO82" i="112"/>
  <c r="BN82" i="112"/>
  <c r="BL82" i="112"/>
  <c r="BK82" i="112"/>
  <c r="BJ82" i="112"/>
  <c r="AJ82" i="112"/>
  <c r="AW82" i="112" s="1"/>
  <c r="AI82" i="112"/>
  <c r="AV82" i="112" s="1"/>
  <c r="AH82" i="112"/>
  <c r="AU82" i="112" s="1"/>
  <c r="AG82" i="112"/>
  <c r="AT82" i="112" s="1"/>
  <c r="AB82" i="112"/>
  <c r="AA82" i="112"/>
  <c r="Z82" i="112"/>
  <c r="Y82" i="112"/>
  <c r="T82" i="112"/>
  <c r="AS82" i="112" s="1"/>
  <c r="S82" i="112"/>
  <c r="AQ82" i="112" s="1"/>
  <c r="R82" i="112"/>
  <c r="AP82" i="112" s="1"/>
  <c r="Q82" i="112"/>
  <c r="AO82" i="112" s="1"/>
  <c r="BS81" i="112"/>
  <c r="BR81" i="112"/>
  <c r="BQ81" i="112"/>
  <c r="BO81" i="112"/>
  <c r="BN81" i="112"/>
  <c r="BL81" i="112"/>
  <c r="BK81" i="112"/>
  <c r="BJ81" i="112"/>
  <c r="AW81" i="112"/>
  <c r="AB81" i="112"/>
  <c r="AA81" i="112"/>
  <c r="Z81" i="112"/>
  <c r="Y81" i="112"/>
  <c r="R81" i="112"/>
  <c r="T81" i="112"/>
  <c r="S81" i="112"/>
  <c r="Q81" i="112"/>
  <c r="BS80" i="112"/>
  <c r="BR80" i="112"/>
  <c r="BQ80" i="112"/>
  <c r="BO80" i="112"/>
  <c r="BN80" i="112"/>
  <c r="BL80" i="112"/>
  <c r="BK80" i="112"/>
  <c r="BJ80" i="112"/>
  <c r="AW80" i="112"/>
  <c r="AB80" i="112"/>
  <c r="AA80" i="112"/>
  <c r="Z80" i="112"/>
  <c r="Y80" i="112"/>
  <c r="T80" i="112"/>
  <c r="S80" i="112"/>
  <c r="R80" i="112"/>
  <c r="Q80" i="112"/>
  <c r="BS79" i="112"/>
  <c r="BR79" i="112"/>
  <c r="BQ79" i="112"/>
  <c r="BO79" i="112"/>
  <c r="BN79" i="112"/>
  <c r="BL79" i="112"/>
  <c r="BK79" i="112"/>
  <c r="BJ79" i="112"/>
  <c r="AW79" i="112"/>
  <c r="AB79" i="112"/>
  <c r="AA79" i="112"/>
  <c r="Z79" i="112"/>
  <c r="Y79" i="112"/>
  <c r="T79" i="112"/>
  <c r="S79" i="112"/>
  <c r="R79" i="112"/>
  <c r="Q79" i="112"/>
  <c r="BS78" i="112"/>
  <c r="BR78" i="112"/>
  <c r="BQ78" i="112"/>
  <c r="BO78" i="112"/>
  <c r="BN78" i="112"/>
  <c r="BL78" i="112"/>
  <c r="BK78" i="112"/>
  <c r="BJ78" i="112"/>
  <c r="AW78" i="112"/>
  <c r="AB78" i="112"/>
  <c r="AA78" i="112"/>
  <c r="Z78" i="112"/>
  <c r="Y78" i="112"/>
  <c r="T78" i="112"/>
  <c r="AS78" i="112" s="1"/>
  <c r="S78" i="112"/>
  <c r="R78" i="112"/>
  <c r="Q78" i="112"/>
  <c r="BS77" i="112"/>
  <c r="BR77" i="112"/>
  <c r="BQ77" i="112"/>
  <c r="BO77" i="112"/>
  <c r="BN77" i="112"/>
  <c r="BL77" i="112"/>
  <c r="BK77" i="112"/>
  <c r="BJ77" i="112"/>
  <c r="AW77" i="112"/>
  <c r="AB77" i="112"/>
  <c r="AA77" i="112"/>
  <c r="Z77" i="112"/>
  <c r="Y77" i="112"/>
  <c r="T77" i="112"/>
  <c r="AS77" i="112" s="1"/>
  <c r="S77" i="112"/>
  <c r="R77" i="112"/>
  <c r="Q77" i="112"/>
  <c r="BS76" i="112"/>
  <c r="BR76" i="112"/>
  <c r="BQ76" i="112"/>
  <c r="BO76" i="112"/>
  <c r="BN76" i="112"/>
  <c r="BL76" i="112"/>
  <c r="BK76" i="112"/>
  <c r="BJ76" i="112"/>
  <c r="AW76" i="112"/>
  <c r="AB76" i="112"/>
  <c r="AA76" i="112"/>
  <c r="Z76" i="112"/>
  <c r="Y76" i="112"/>
  <c r="T76" i="112"/>
  <c r="AS76" i="112" s="1"/>
  <c r="S76" i="112"/>
  <c r="R76" i="112"/>
  <c r="Q76" i="112"/>
  <c r="BS75" i="112"/>
  <c r="BR75" i="112"/>
  <c r="BQ75" i="112"/>
  <c r="BO75" i="112"/>
  <c r="BN75" i="112"/>
  <c r="BL75" i="112"/>
  <c r="BK75" i="112"/>
  <c r="BJ75" i="112"/>
  <c r="AJ75" i="112"/>
  <c r="AW75" i="112" s="1"/>
  <c r="AI75" i="112"/>
  <c r="AV75" i="112" s="1"/>
  <c r="AH75" i="112"/>
  <c r="AU75" i="112" s="1"/>
  <c r="AG75" i="112"/>
  <c r="AT75" i="112" s="1"/>
  <c r="AB75" i="112"/>
  <c r="AA75" i="112"/>
  <c r="Z75" i="112"/>
  <c r="Y75" i="112"/>
  <c r="R75" i="112"/>
  <c r="AP75" i="112" s="1"/>
  <c r="T75" i="112"/>
  <c r="AS75" i="112" s="1"/>
  <c r="S75" i="112"/>
  <c r="AQ75" i="112" s="1"/>
  <c r="Q75" i="112"/>
  <c r="AO75" i="112" s="1"/>
  <c r="BS74" i="112"/>
  <c r="BR74" i="112"/>
  <c r="BQ74" i="112"/>
  <c r="BO74" i="112"/>
  <c r="BN74" i="112"/>
  <c r="BL74" i="112"/>
  <c r="BK74" i="112"/>
  <c r="BJ74" i="112"/>
  <c r="AJ74" i="112"/>
  <c r="AW74" i="112" s="1"/>
  <c r="AI74" i="112"/>
  <c r="AV74" i="112" s="1"/>
  <c r="AH74" i="112"/>
  <c r="AU74" i="112" s="1"/>
  <c r="AG74" i="112"/>
  <c r="AT74" i="112" s="1"/>
  <c r="AB74" i="112"/>
  <c r="AA74" i="112"/>
  <c r="Z74" i="112"/>
  <c r="Y74" i="112"/>
  <c r="T74" i="112"/>
  <c r="AS74" i="112" s="1"/>
  <c r="S74" i="112"/>
  <c r="AQ74" i="112" s="1"/>
  <c r="R74" i="112"/>
  <c r="AP74" i="112" s="1"/>
  <c r="Q74" i="112"/>
  <c r="AO74" i="112" s="1"/>
  <c r="BS73" i="112"/>
  <c r="BR73" i="112"/>
  <c r="BQ73" i="112"/>
  <c r="BO73" i="112"/>
  <c r="BN73" i="112"/>
  <c r="BL73" i="112"/>
  <c r="BK73" i="112"/>
  <c r="BJ73" i="112"/>
  <c r="AH73" i="112"/>
  <c r="AU73" i="112" s="1"/>
  <c r="AJ73" i="112"/>
  <c r="AW73" i="112" s="1"/>
  <c r="AI73" i="112"/>
  <c r="AV73" i="112" s="1"/>
  <c r="AG73" i="112"/>
  <c r="AT73" i="112" s="1"/>
  <c r="AB73" i="112"/>
  <c r="AA73" i="112"/>
  <c r="Z73" i="112"/>
  <c r="Y73" i="112"/>
  <c r="T73" i="112"/>
  <c r="AS73" i="112" s="1"/>
  <c r="S73" i="112"/>
  <c r="AQ73" i="112" s="1"/>
  <c r="R73" i="112"/>
  <c r="AP73" i="112" s="1"/>
  <c r="Q73" i="112"/>
  <c r="AO73" i="112" s="1"/>
  <c r="BS72" i="112"/>
  <c r="BR72" i="112"/>
  <c r="BQ72" i="112"/>
  <c r="BO72" i="112"/>
  <c r="BN72" i="112"/>
  <c r="BL72" i="112"/>
  <c r="BK72" i="112"/>
  <c r="BJ72" i="112"/>
  <c r="AJ72" i="112"/>
  <c r="AW72" i="112" s="1"/>
  <c r="AI72" i="112"/>
  <c r="AV72" i="112" s="1"/>
  <c r="AH72" i="112"/>
  <c r="AU72" i="112" s="1"/>
  <c r="AG72" i="112"/>
  <c r="AT72" i="112" s="1"/>
  <c r="Z72" i="112"/>
  <c r="AB72" i="112"/>
  <c r="AA72" i="112"/>
  <c r="Y72" i="112"/>
  <c r="T72" i="112"/>
  <c r="AS72" i="112" s="1"/>
  <c r="S72" i="112"/>
  <c r="AQ72" i="112" s="1"/>
  <c r="R72" i="112"/>
  <c r="AP72" i="112" s="1"/>
  <c r="Q72" i="112"/>
  <c r="AO72" i="112" s="1"/>
  <c r="BS71" i="112"/>
  <c r="BR71" i="112"/>
  <c r="BQ71" i="112"/>
  <c r="BO71" i="112"/>
  <c r="BN71" i="112"/>
  <c r="BL71" i="112"/>
  <c r="BK71" i="112"/>
  <c r="BJ71" i="112"/>
  <c r="AH71" i="112"/>
  <c r="AU71" i="112" s="1"/>
  <c r="AJ71" i="112"/>
  <c r="AW71" i="112" s="1"/>
  <c r="AI71" i="112"/>
  <c r="AV71" i="112" s="1"/>
  <c r="AG71" i="112"/>
  <c r="AT71" i="112" s="1"/>
  <c r="AB71" i="112"/>
  <c r="AA71" i="112"/>
  <c r="Z71" i="112"/>
  <c r="Y71" i="112"/>
  <c r="T71" i="112"/>
  <c r="AS71" i="112" s="1"/>
  <c r="S71" i="112"/>
  <c r="AQ71" i="112" s="1"/>
  <c r="R71" i="112"/>
  <c r="AP71" i="112" s="1"/>
  <c r="Q71" i="112"/>
  <c r="AO71" i="112" s="1"/>
  <c r="BS70" i="112"/>
  <c r="BR70" i="112"/>
  <c r="BQ70" i="112"/>
  <c r="BO70" i="112"/>
  <c r="BN70" i="112"/>
  <c r="BL70" i="112"/>
  <c r="BK70" i="112"/>
  <c r="BJ70" i="112"/>
  <c r="AJ70" i="112"/>
  <c r="AW70" i="112" s="1"/>
  <c r="AI70" i="112"/>
  <c r="AV70" i="112" s="1"/>
  <c r="AH70" i="112"/>
  <c r="AU70" i="112" s="1"/>
  <c r="AG70" i="112"/>
  <c r="AT70" i="112" s="1"/>
  <c r="Z70" i="112"/>
  <c r="AB70" i="112"/>
  <c r="AA70" i="112"/>
  <c r="Y70" i="112"/>
  <c r="T70" i="112"/>
  <c r="AS70" i="112" s="1"/>
  <c r="S70" i="112"/>
  <c r="AQ70" i="112" s="1"/>
  <c r="R70" i="112"/>
  <c r="AP70" i="112" s="1"/>
  <c r="Q70" i="112"/>
  <c r="AO70" i="112" s="1"/>
  <c r="BS69" i="112"/>
  <c r="BR69" i="112"/>
  <c r="BQ69" i="112"/>
  <c r="BO69" i="112"/>
  <c r="BN69" i="112"/>
  <c r="BL69" i="112"/>
  <c r="BK69" i="112"/>
  <c r="BJ69" i="112"/>
  <c r="AJ69" i="112"/>
  <c r="AW69" i="112" s="1"/>
  <c r="AI69" i="112"/>
  <c r="AV69" i="112" s="1"/>
  <c r="AH69" i="112"/>
  <c r="AU69" i="112" s="1"/>
  <c r="AG69" i="112"/>
  <c r="AT69" i="112" s="1"/>
  <c r="AB69" i="112"/>
  <c r="AA69" i="112"/>
  <c r="Z69" i="112"/>
  <c r="Y69" i="112"/>
  <c r="R69" i="112"/>
  <c r="AP69" i="112" s="1"/>
  <c r="T69" i="112"/>
  <c r="AS69" i="112" s="1"/>
  <c r="S69" i="112"/>
  <c r="AQ69" i="112" s="1"/>
  <c r="Q69" i="112"/>
  <c r="AO69" i="112" s="1"/>
  <c r="BS68" i="112"/>
  <c r="BR68" i="112"/>
  <c r="BQ68" i="112"/>
  <c r="BO68" i="112"/>
  <c r="BN68" i="112"/>
  <c r="BL68" i="112"/>
  <c r="BK68" i="112"/>
  <c r="BJ68" i="112"/>
  <c r="AJ68" i="112"/>
  <c r="AW68" i="112" s="1"/>
  <c r="AI68" i="112"/>
  <c r="AV68" i="112" s="1"/>
  <c r="AH68" i="112"/>
  <c r="AU68" i="112" s="1"/>
  <c r="AG68" i="112"/>
  <c r="AT68" i="112" s="1"/>
  <c r="AB68" i="112"/>
  <c r="AA68" i="112"/>
  <c r="Z68" i="112"/>
  <c r="Y68" i="112"/>
  <c r="T68" i="112"/>
  <c r="AS68" i="112" s="1"/>
  <c r="S68" i="112"/>
  <c r="AQ68" i="112" s="1"/>
  <c r="R68" i="112"/>
  <c r="AP68" i="112" s="1"/>
  <c r="Q68" i="112"/>
  <c r="AO68" i="112" s="1"/>
  <c r="BS67" i="112"/>
  <c r="BR67" i="112"/>
  <c r="BQ67" i="112"/>
  <c r="BO67" i="112"/>
  <c r="BN67" i="112"/>
  <c r="BL67" i="112"/>
  <c r="BK67" i="112"/>
  <c r="BJ67" i="112"/>
  <c r="AJ67" i="112"/>
  <c r="AW67" i="112" s="1"/>
  <c r="AI67" i="112"/>
  <c r="AV67" i="112" s="1"/>
  <c r="AH67" i="112"/>
  <c r="AU67" i="112" s="1"/>
  <c r="AG67" i="112"/>
  <c r="AT67" i="112" s="1"/>
  <c r="AB67" i="112"/>
  <c r="AA67" i="112"/>
  <c r="Z67" i="112"/>
  <c r="Y67" i="112"/>
  <c r="R67" i="112"/>
  <c r="AP67" i="112" s="1"/>
  <c r="T67" i="112"/>
  <c r="AS67" i="112" s="1"/>
  <c r="S67" i="112"/>
  <c r="AQ67" i="112" s="1"/>
  <c r="Q67" i="112"/>
  <c r="AO67" i="112" s="1"/>
  <c r="BS66" i="112"/>
  <c r="BR66" i="112"/>
  <c r="BQ66" i="112"/>
  <c r="BO66" i="112"/>
  <c r="BN66" i="112"/>
  <c r="BL66" i="112"/>
  <c r="BK66" i="112"/>
  <c r="BJ66" i="112"/>
  <c r="AJ66" i="112"/>
  <c r="AW66" i="112" s="1"/>
  <c r="AI66" i="112"/>
  <c r="AV66" i="112" s="1"/>
  <c r="AH66" i="112"/>
  <c r="AU66" i="112" s="1"/>
  <c r="AG66" i="112"/>
  <c r="AT66" i="112" s="1"/>
  <c r="AB66" i="112"/>
  <c r="AA66" i="112"/>
  <c r="Z66" i="112"/>
  <c r="Y66" i="112"/>
  <c r="T66" i="112"/>
  <c r="AS66" i="112" s="1"/>
  <c r="S66" i="112"/>
  <c r="AQ66" i="112" s="1"/>
  <c r="R66" i="112"/>
  <c r="AP66" i="112" s="1"/>
  <c r="Q66" i="112"/>
  <c r="AO66" i="112" s="1"/>
  <c r="BS65" i="112"/>
  <c r="BR65" i="112"/>
  <c r="BQ65" i="112"/>
  <c r="BO65" i="112"/>
  <c r="BN65" i="112"/>
  <c r="BL65" i="112"/>
  <c r="BK65" i="112"/>
  <c r="BJ65" i="112"/>
  <c r="AH65" i="112"/>
  <c r="AU65" i="112" s="1"/>
  <c r="AJ65" i="112"/>
  <c r="AW65" i="112" s="1"/>
  <c r="AI65" i="112"/>
  <c r="AV65" i="112" s="1"/>
  <c r="AG65" i="112"/>
  <c r="AT65" i="112" s="1"/>
  <c r="AB65" i="112"/>
  <c r="AA65" i="112"/>
  <c r="Z65" i="112"/>
  <c r="Y65" i="112"/>
  <c r="T65" i="112"/>
  <c r="AS65" i="112" s="1"/>
  <c r="S65" i="112"/>
  <c r="AQ65" i="112" s="1"/>
  <c r="R65" i="112"/>
  <c r="AP65" i="112" s="1"/>
  <c r="Q65" i="112"/>
  <c r="AO65" i="112" s="1"/>
  <c r="BS64" i="112"/>
  <c r="BR64" i="112"/>
  <c r="BQ64" i="112"/>
  <c r="BO64" i="112"/>
  <c r="BN64" i="112"/>
  <c r="BL64" i="112"/>
  <c r="BK64" i="112"/>
  <c r="BJ64" i="112"/>
  <c r="AJ64" i="112"/>
  <c r="AW64" i="112" s="1"/>
  <c r="AI64" i="112"/>
  <c r="AV64" i="112" s="1"/>
  <c r="AH64" i="112"/>
  <c r="AU64" i="112" s="1"/>
  <c r="AG64" i="112"/>
  <c r="AT64" i="112" s="1"/>
  <c r="Z64" i="112"/>
  <c r="AB64" i="112"/>
  <c r="AA64" i="112"/>
  <c r="Y64" i="112"/>
  <c r="T64" i="112"/>
  <c r="AS64" i="112" s="1"/>
  <c r="S64" i="112"/>
  <c r="AQ64" i="112" s="1"/>
  <c r="R64" i="112"/>
  <c r="AP64" i="112" s="1"/>
  <c r="Q64" i="112"/>
  <c r="AO64" i="112" s="1"/>
  <c r="BS63" i="112"/>
  <c r="BR63" i="112"/>
  <c r="BQ63" i="112"/>
  <c r="BO63" i="112"/>
  <c r="BN63" i="112"/>
  <c r="BL63" i="112"/>
  <c r="BK63" i="112"/>
  <c r="BJ63" i="112"/>
  <c r="AH63" i="112"/>
  <c r="AU63" i="112" s="1"/>
  <c r="AJ63" i="112"/>
  <c r="AW63" i="112" s="1"/>
  <c r="AI63" i="112"/>
  <c r="AV63" i="112" s="1"/>
  <c r="AG63" i="112"/>
  <c r="AT63" i="112" s="1"/>
  <c r="AB63" i="112"/>
  <c r="AA63" i="112"/>
  <c r="Z63" i="112"/>
  <c r="Y63" i="112"/>
  <c r="T63" i="112"/>
  <c r="AS63" i="112" s="1"/>
  <c r="S63" i="112"/>
  <c r="AQ63" i="112" s="1"/>
  <c r="R63" i="112"/>
  <c r="AP63" i="112" s="1"/>
  <c r="Q63" i="112"/>
  <c r="AO63" i="112" s="1"/>
  <c r="BS62" i="112"/>
  <c r="BR62" i="112"/>
  <c r="BQ62" i="112"/>
  <c r="BO62" i="112"/>
  <c r="BN62" i="112"/>
  <c r="BL62" i="112"/>
  <c r="BK62" i="112"/>
  <c r="BJ62" i="112"/>
  <c r="AJ62" i="112"/>
  <c r="AW62" i="112" s="1"/>
  <c r="AI62" i="112"/>
  <c r="AV62" i="112" s="1"/>
  <c r="AH62" i="112"/>
  <c r="AU62" i="112" s="1"/>
  <c r="AG62" i="112"/>
  <c r="AT62" i="112" s="1"/>
  <c r="Z62" i="112"/>
  <c r="AB62" i="112"/>
  <c r="AA62" i="112"/>
  <c r="Y62" i="112"/>
  <c r="T62" i="112"/>
  <c r="AS62" i="112" s="1"/>
  <c r="S62" i="112"/>
  <c r="AQ62" i="112" s="1"/>
  <c r="R62" i="112"/>
  <c r="AP62" i="112" s="1"/>
  <c r="Q62" i="112"/>
  <c r="AO62" i="112" s="1"/>
  <c r="BS61" i="112"/>
  <c r="BR61" i="112"/>
  <c r="BQ61" i="112"/>
  <c r="BO61" i="112"/>
  <c r="BN61" i="112"/>
  <c r="BL61" i="112"/>
  <c r="BK61" i="112"/>
  <c r="BJ61" i="112"/>
  <c r="AJ61" i="112"/>
  <c r="AW61" i="112" s="1"/>
  <c r="AI61" i="112"/>
  <c r="AV61" i="112" s="1"/>
  <c r="AH61" i="112"/>
  <c r="AU61" i="112" s="1"/>
  <c r="AG61" i="112"/>
  <c r="AT61" i="112" s="1"/>
  <c r="AB61" i="112"/>
  <c r="AA61" i="112"/>
  <c r="Z61" i="112"/>
  <c r="Y61" i="112"/>
  <c r="R61" i="112"/>
  <c r="AP61" i="112" s="1"/>
  <c r="T61" i="112"/>
  <c r="AS61" i="112" s="1"/>
  <c r="S61" i="112"/>
  <c r="AQ61" i="112" s="1"/>
  <c r="Q61" i="112"/>
  <c r="AO61" i="112" s="1"/>
  <c r="BS60" i="112"/>
  <c r="BR60" i="112"/>
  <c r="BQ60" i="112"/>
  <c r="BO60" i="112"/>
  <c r="BN60" i="112"/>
  <c r="BL60" i="112"/>
  <c r="BK60" i="112"/>
  <c r="BJ60" i="112"/>
  <c r="AJ60" i="112"/>
  <c r="AW60" i="112" s="1"/>
  <c r="AI60" i="112"/>
  <c r="AV60" i="112" s="1"/>
  <c r="AH60" i="112"/>
  <c r="AU60" i="112" s="1"/>
  <c r="AG60" i="112"/>
  <c r="AT60" i="112" s="1"/>
  <c r="AB60" i="112"/>
  <c r="AA60" i="112"/>
  <c r="Z60" i="112"/>
  <c r="Y60" i="112"/>
  <c r="T60" i="112"/>
  <c r="AS60" i="112" s="1"/>
  <c r="S60" i="112"/>
  <c r="AQ60" i="112" s="1"/>
  <c r="R60" i="112"/>
  <c r="AP60" i="112" s="1"/>
  <c r="Q60" i="112"/>
  <c r="AO60" i="112" s="1"/>
  <c r="BS59" i="112"/>
  <c r="BR59" i="112"/>
  <c r="BQ59" i="112"/>
  <c r="BO59" i="112"/>
  <c r="BN59" i="112"/>
  <c r="BL59" i="112"/>
  <c r="BK59" i="112"/>
  <c r="BJ59" i="112"/>
  <c r="AJ59" i="112"/>
  <c r="AW59" i="112" s="1"/>
  <c r="AI59" i="112"/>
  <c r="AV59" i="112" s="1"/>
  <c r="AH59" i="112"/>
  <c r="AU59" i="112" s="1"/>
  <c r="AG59" i="112"/>
  <c r="AT59" i="112" s="1"/>
  <c r="AB59" i="112"/>
  <c r="AA59" i="112"/>
  <c r="Z59" i="112"/>
  <c r="Y59" i="112"/>
  <c r="R59" i="112"/>
  <c r="AP59" i="112" s="1"/>
  <c r="T59" i="112"/>
  <c r="AS59" i="112" s="1"/>
  <c r="S59" i="112"/>
  <c r="AQ59" i="112" s="1"/>
  <c r="Q59" i="112"/>
  <c r="AO59" i="112" s="1"/>
  <c r="BS58" i="112"/>
  <c r="BR58" i="112"/>
  <c r="BQ58" i="112"/>
  <c r="BO58" i="112"/>
  <c r="BN58" i="112"/>
  <c r="BL58" i="112"/>
  <c r="BK58" i="112"/>
  <c r="BJ58" i="112"/>
  <c r="AJ58" i="112"/>
  <c r="AW58" i="112" s="1"/>
  <c r="AI58" i="112"/>
  <c r="AV58" i="112" s="1"/>
  <c r="AH58" i="112"/>
  <c r="AU58" i="112" s="1"/>
  <c r="AG58" i="112"/>
  <c r="AT58" i="112" s="1"/>
  <c r="AB58" i="112"/>
  <c r="AA58" i="112"/>
  <c r="Z58" i="112"/>
  <c r="Y58" i="112"/>
  <c r="T58" i="112"/>
  <c r="AS58" i="112" s="1"/>
  <c r="S58" i="112"/>
  <c r="AQ58" i="112" s="1"/>
  <c r="R58" i="112"/>
  <c r="AP58" i="112" s="1"/>
  <c r="Q58" i="112"/>
  <c r="AO58" i="112" s="1"/>
  <c r="BS57" i="112"/>
  <c r="BR57" i="112"/>
  <c r="BQ57" i="112"/>
  <c r="BO57" i="112"/>
  <c r="BN57" i="112"/>
  <c r="BL57" i="112"/>
  <c r="BK57" i="112"/>
  <c r="BJ57" i="112"/>
  <c r="AH57" i="112"/>
  <c r="AU57" i="112" s="1"/>
  <c r="AJ57" i="112"/>
  <c r="AW57" i="112" s="1"/>
  <c r="AI57" i="112"/>
  <c r="AV57" i="112" s="1"/>
  <c r="AG57" i="112"/>
  <c r="AT57" i="112" s="1"/>
  <c r="AB57" i="112"/>
  <c r="AA57" i="112"/>
  <c r="Z57" i="112"/>
  <c r="Y57" i="112"/>
  <c r="T57" i="112"/>
  <c r="AS57" i="112" s="1"/>
  <c r="S57" i="112"/>
  <c r="AQ57" i="112" s="1"/>
  <c r="R57" i="112"/>
  <c r="AP57" i="112" s="1"/>
  <c r="Q57" i="112"/>
  <c r="AO57" i="112" s="1"/>
  <c r="BS56" i="112"/>
  <c r="BR56" i="112"/>
  <c r="BQ56" i="112"/>
  <c r="BO56" i="112"/>
  <c r="BN56" i="112"/>
  <c r="BL56" i="112"/>
  <c r="BK56" i="112"/>
  <c r="BJ56" i="112"/>
  <c r="AJ56" i="112"/>
  <c r="AW56" i="112" s="1"/>
  <c r="AI56" i="112"/>
  <c r="AV56" i="112" s="1"/>
  <c r="AH56" i="112"/>
  <c r="AU56" i="112" s="1"/>
  <c r="AG56" i="112"/>
  <c r="AT56" i="112" s="1"/>
  <c r="Z56" i="112"/>
  <c r="AB56" i="112"/>
  <c r="AA56" i="112"/>
  <c r="Y56" i="112"/>
  <c r="T56" i="112"/>
  <c r="AS56" i="112" s="1"/>
  <c r="S56" i="112"/>
  <c r="AQ56" i="112" s="1"/>
  <c r="R56" i="112"/>
  <c r="AP56" i="112" s="1"/>
  <c r="Q56" i="112"/>
  <c r="AO56" i="112" s="1"/>
  <c r="BS55" i="112"/>
  <c r="BR55" i="112"/>
  <c r="BQ55" i="112"/>
  <c r="BO55" i="112"/>
  <c r="BN55" i="112"/>
  <c r="BL55" i="112"/>
  <c r="BK55" i="112"/>
  <c r="BJ55" i="112"/>
  <c r="AH55" i="112"/>
  <c r="AU55" i="112" s="1"/>
  <c r="AJ55" i="112"/>
  <c r="AW55" i="112" s="1"/>
  <c r="AI55" i="112"/>
  <c r="AV55" i="112" s="1"/>
  <c r="AG55" i="112"/>
  <c r="AT55" i="112" s="1"/>
  <c r="AB55" i="112"/>
  <c r="AA55" i="112"/>
  <c r="Z55" i="112"/>
  <c r="Y55" i="112"/>
  <c r="T55" i="112"/>
  <c r="AS55" i="112" s="1"/>
  <c r="S55" i="112"/>
  <c r="AQ55" i="112" s="1"/>
  <c r="R55" i="112"/>
  <c r="AP55" i="112" s="1"/>
  <c r="Q55" i="112"/>
  <c r="AO55" i="112" s="1"/>
  <c r="BS54" i="112"/>
  <c r="BR54" i="112"/>
  <c r="BQ54" i="112"/>
  <c r="BO54" i="112"/>
  <c r="BN54" i="112"/>
  <c r="BL54" i="112"/>
  <c r="BK54" i="112"/>
  <c r="BJ54" i="112"/>
  <c r="AJ54" i="112"/>
  <c r="AW54" i="112" s="1"/>
  <c r="AI54" i="112"/>
  <c r="AV54" i="112" s="1"/>
  <c r="AH54" i="112"/>
  <c r="AU54" i="112" s="1"/>
  <c r="AG54" i="112"/>
  <c r="AT54" i="112" s="1"/>
  <c r="Z54" i="112"/>
  <c r="AB54" i="112"/>
  <c r="AA54" i="112"/>
  <c r="Y54" i="112"/>
  <c r="T54" i="112"/>
  <c r="AS54" i="112" s="1"/>
  <c r="S54" i="112"/>
  <c r="AQ54" i="112" s="1"/>
  <c r="R54" i="112"/>
  <c r="AP54" i="112" s="1"/>
  <c r="Q54" i="112"/>
  <c r="AO54" i="112" s="1"/>
  <c r="BS53" i="112"/>
  <c r="BR53" i="112"/>
  <c r="BQ53" i="112"/>
  <c r="BO53" i="112"/>
  <c r="BN53" i="112"/>
  <c r="BL53" i="112"/>
  <c r="BK53" i="112"/>
  <c r="BJ53" i="112"/>
  <c r="AJ53" i="112"/>
  <c r="AW53" i="112" s="1"/>
  <c r="AI53" i="112"/>
  <c r="AV53" i="112" s="1"/>
  <c r="AH53" i="112"/>
  <c r="AU53" i="112" s="1"/>
  <c r="AG53" i="112"/>
  <c r="AT53" i="112" s="1"/>
  <c r="AB53" i="112"/>
  <c r="AA53" i="112"/>
  <c r="Z53" i="112"/>
  <c r="Y53" i="112"/>
  <c r="R53" i="112"/>
  <c r="AP53" i="112" s="1"/>
  <c r="T53" i="112"/>
  <c r="AS53" i="112" s="1"/>
  <c r="S53" i="112"/>
  <c r="AQ53" i="112" s="1"/>
  <c r="Q53" i="112"/>
  <c r="AO53" i="112" s="1"/>
  <c r="BS52" i="112"/>
  <c r="BR52" i="112"/>
  <c r="BQ52" i="112"/>
  <c r="BO52" i="112"/>
  <c r="BN52" i="112"/>
  <c r="BL52" i="112"/>
  <c r="BK52" i="112"/>
  <c r="BJ52" i="112"/>
  <c r="AJ52" i="112"/>
  <c r="AW52" i="112" s="1"/>
  <c r="AI52" i="112"/>
  <c r="AV52" i="112" s="1"/>
  <c r="AH52" i="112"/>
  <c r="AU52" i="112" s="1"/>
  <c r="AG52" i="112"/>
  <c r="AT52" i="112" s="1"/>
  <c r="AB52" i="112"/>
  <c r="AA52" i="112"/>
  <c r="Z52" i="112"/>
  <c r="Y52" i="112"/>
  <c r="T52" i="112"/>
  <c r="AS52" i="112" s="1"/>
  <c r="S52" i="112"/>
  <c r="AQ52" i="112" s="1"/>
  <c r="R52" i="112"/>
  <c r="AP52" i="112" s="1"/>
  <c r="Q52" i="112"/>
  <c r="AO52" i="112" s="1"/>
  <c r="BS51" i="112"/>
  <c r="BR51" i="112"/>
  <c r="BQ51" i="112"/>
  <c r="BO51" i="112"/>
  <c r="BN51" i="112"/>
  <c r="BL51" i="112"/>
  <c r="BK51" i="112"/>
  <c r="BJ51" i="112"/>
  <c r="AJ51" i="112"/>
  <c r="AW51" i="112" s="1"/>
  <c r="AI51" i="112"/>
  <c r="AV51" i="112" s="1"/>
  <c r="AH51" i="112"/>
  <c r="AU51" i="112" s="1"/>
  <c r="AG51" i="112"/>
  <c r="AT51" i="112" s="1"/>
  <c r="AB51" i="112"/>
  <c r="AA51" i="112"/>
  <c r="Z51" i="112"/>
  <c r="Y51" i="112"/>
  <c r="R51" i="112"/>
  <c r="AP51" i="112" s="1"/>
  <c r="T51" i="112"/>
  <c r="AS51" i="112" s="1"/>
  <c r="S51" i="112"/>
  <c r="AQ51" i="112" s="1"/>
  <c r="Q51" i="112"/>
  <c r="AO51" i="112" s="1"/>
  <c r="BS50" i="112"/>
  <c r="BR50" i="112"/>
  <c r="BQ50" i="112"/>
  <c r="BO50" i="112"/>
  <c r="BN50" i="112"/>
  <c r="BL50" i="112"/>
  <c r="BK50" i="112"/>
  <c r="BJ50" i="112"/>
  <c r="AJ50" i="112"/>
  <c r="AW50" i="112" s="1"/>
  <c r="AI50" i="112"/>
  <c r="AV50" i="112" s="1"/>
  <c r="AH50" i="112"/>
  <c r="AU50" i="112" s="1"/>
  <c r="AG50" i="112"/>
  <c r="AT50" i="112" s="1"/>
  <c r="AB50" i="112"/>
  <c r="AA50" i="112"/>
  <c r="Z50" i="112"/>
  <c r="Y50" i="112"/>
  <c r="T50" i="112"/>
  <c r="AS50" i="112" s="1"/>
  <c r="S50" i="112"/>
  <c r="AQ50" i="112" s="1"/>
  <c r="R50" i="112"/>
  <c r="AP50" i="112" s="1"/>
  <c r="Q50" i="112"/>
  <c r="AO50" i="112" s="1"/>
  <c r="BS49" i="112"/>
  <c r="BR49" i="112"/>
  <c r="BQ49" i="112"/>
  <c r="BO49" i="112"/>
  <c r="BN49" i="112"/>
  <c r="BL49" i="112"/>
  <c r="BK49" i="112"/>
  <c r="BJ49" i="112"/>
  <c r="AW49" i="112"/>
  <c r="AB49" i="112"/>
  <c r="AA49" i="112"/>
  <c r="Z49" i="112"/>
  <c r="Y49" i="112"/>
  <c r="T49" i="112"/>
  <c r="AS49" i="112" s="1"/>
  <c r="S49" i="112"/>
  <c r="AQ49" i="112" s="1"/>
  <c r="R49" i="112"/>
  <c r="AP49" i="112" s="1"/>
  <c r="Q49" i="112"/>
  <c r="BS48" i="112"/>
  <c r="BR48" i="112"/>
  <c r="BQ48" i="112"/>
  <c r="BO48" i="112"/>
  <c r="BN48" i="112"/>
  <c r="BL48" i="112"/>
  <c r="BK48" i="112"/>
  <c r="BJ48" i="112"/>
  <c r="AH48" i="112"/>
  <c r="AU48" i="112" s="1"/>
  <c r="AJ48" i="112"/>
  <c r="AW48" i="112" s="1"/>
  <c r="AI48" i="112"/>
  <c r="AV48" i="112" s="1"/>
  <c r="AG48" i="112"/>
  <c r="AT48" i="112" s="1"/>
  <c r="AB48" i="112"/>
  <c r="AA48" i="112"/>
  <c r="Z48" i="112"/>
  <c r="Y48" i="112"/>
  <c r="T48" i="112"/>
  <c r="AS48" i="112" s="1"/>
  <c r="S48" i="112"/>
  <c r="AQ48" i="112" s="1"/>
  <c r="R48" i="112"/>
  <c r="AP48" i="112" s="1"/>
  <c r="Q48" i="112"/>
  <c r="AO48" i="112" s="1"/>
  <c r="BS47" i="112"/>
  <c r="BR47" i="112"/>
  <c r="BQ47" i="112"/>
  <c r="BO47" i="112"/>
  <c r="BN47" i="112"/>
  <c r="BL47" i="112"/>
  <c r="BK47" i="112"/>
  <c r="BJ47" i="112"/>
  <c r="AJ47" i="112"/>
  <c r="AW47" i="112" s="1"/>
  <c r="AI47" i="112"/>
  <c r="AV47" i="112" s="1"/>
  <c r="AH47" i="112"/>
  <c r="AU47" i="112" s="1"/>
  <c r="AG47" i="112"/>
  <c r="AT47" i="112" s="1"/>
  <c r="Z47" i="112"/>
  <c r="AB47" i="112"/>
  <c r="AA47" i="112"/>
  <c r="Y47" i="112"/>
  <c r="T47" i="112"/>
  <c r="AS47" i="112" s="1"/>
  <c r="S47" i="112"/>
  <c r="AQ47" i="112" s="1"/>
  <c r="R47" i="112"/>
  <c r="AP47" i="112" s="1"/>
  <c r="Q47" i="112"/>
  <c r="AO47" i="112" s="1"/>
  <c r="BS46" i="112"/>
  <c r="BR46" i="112"/>
  <c r="BQ46" i="112"/>
  <c r="BO46" i="112"/>
  <c r="BN46" i="112"/>
  <c r="BL46" i="112"/>
  <c r="BK46" i="112"/>
  <c r="BJ46" i="112"/>
  <c r="AH46" i="112"/>
  <c r="AU46" i="112" s="1"/>
  <c r="AJ46" i="112"/>
  <c r="AW46" i="112" s="1"/>
  <c r="AI46" i="112"/>
  <c r="AV46" i="112" s="1"/>
  <c r="AG46" i="112"/>
  <c r="AT46" i="112" s="1"/>
  <c r="AB46" i="112"/>
  <c r="AA46" i="112"/>
  <c r="Z46" i="112"/>
  <c r="Y46" i="112"/>
  <c r="T46" i="112"/>
  <c r="AS46" i="112" s="1"/>
  <c r="S46" i="112"/>
  <c r="AQ46" i="112" s="1"/>
  <c r="R46" i="112"/>
  <c r="AP46" i="112" s="1"/>
  <c r="Q46" i="112"/>
  <c r="AO46" i="112" s="1"/>
  <c r="BS45" i="112"/>
  <c r="BR45" i="112"/>
  <c r="BQ45" i="112"/>
  <c r="BO45" i="112"/>
  <c r="BN45" i="112"/>
  <c r="BL45" i="112"/>
  <c r="BK45" i="112"/>
  <c r="BJ45" i="112"/>
  <c r="AJ45" i="112"/>
  <c r="AW45" i="112" s="1"/>
  <c r="AI45" i="112"/>
  <c r="AV45" i="112" s="1"/>
  <c r="AH45" i="112"/>
  <c r="AU45" i="112" s="1"/>
  <c r="AG45" i="112"/>
  <c r="AT45" i="112" s="1"/>
  <c r="Z45" i="112"/>
  <c r="AB45" i="112"/>
  <c r="AA45" i="112"/>
  <c r="Y45" i="112"/>
  <c r="T45" i="112"/>
  <c r="AS45" i="112" s="1"/>
  <c r="S45" i="112"/>
  <c r="AQ45" i="112" s="1"/>
  <c r="R45" i="112"/>
  <c r="AP45" i="112" s="1"/>
  <c r="Q45" i="112"/>
  <c r="AO45" i="112" s="1"/>
  <c r="BS44" i="112"/>
  <c r="BR44" i="112"/>
  <c r="BQ44" i="112"/>
  <c r="BO44" i="112"/>
  <c r="BN44" i="112"/>
  <c r="BL44" i="112"/>
  <c r="BK44" i="112"/>
  <c r="BJ44" i="112"/>
  <c r="AJ44" i="112"/>
  <c r="AW44" i="112" s="1"/>
  <c r="AI44" i="112"/>
  <c r="AV44" i="112" s="1"/>
  <c r="AH44" i="112"/>
  <c r="AU44" i="112" s="1"/>
  <c r="AG44" i="112"/>
  <c r="AT44" i="112" s="1"/>
  <c r="AB44" i="112"/>
  <c r="AA44" i="112"/>
  <c r="Z44" i="112"/>
  <c r="Y44" i="112"/>
  <c r="R44" i="112"/>
  <c r="AP44" i="112" s="1"/>
  <c r="T44" i="112"/>
  <c r="AS44" i="112" s="1"/>
  <c r="S44" i="112"/>
  <c r="AQ44" i="112" s="1"/>
  <c r="Q44" i="112"/>
  <c r="AO44" i="112" s="1"/>
  <c r="BS43" i="112"/>
  <c r="BR43" i="112"/>
  <c r="BQ43" i="112"/>
  <c r="BO43" i="112"/>
  <c r="BN43" i="112"/>
  <c r="BL43" i="112"/>
  <c r="BK43" i="112"/>
  <c r="BJ43" i="112"/>
  <c r="AJ43" i="112"/>
  <c r="AW43" i="112" s="1"/>
  <c r="AI43" i="112"/>
  <c r="AV43" i="112" s="1"/>
  <c r="AH43" i="112"/>
  <c r="AU43" i="112" s="1"/>
  <c r="AG43" i="112"/>
  <c r="AT43" i="112" s="1"/>
  <c r="AB43" i="112"/>
  <c r="AA43" i="112"/>
  <c r="Z43" i="112"/>
  <c r="Y43" i="112"/>
  <c r="T43" i="112"/>
  <c r="AS43" i="112" s="1"/>
  <c r="S43" i="112"/>
  <c r="AQ43" i="112" s="1"/>
  <c r="R43" i="112"/>
  <c r="AP43" i="112" s="1"/>
  <c r="Q43" i="112"/>
  <c r="AO43" i="112" s="1"/>
  <c r="BS42" i="112"/>
  <c r="BR42" i="112"/>
  <c r="BQ42" i="112"/>
  <c r="BO42" i="112"/>
  <c r="BN42" i="112"/>
  <c r="BL42" i="112"/>
  <c r="BK42" i="112"/>
  <c r="BJ42" i="112"/>
  <c r="AJ42" i="112"/>
  <c r="AW42" i="112" s="1"/>
  <c r="AI42" i="112"/>
  <c r="AV42" i="112" s="1"/>
  <c r="AH42" i="112"/>
  <c r="AU42" i="112" s="1"/>
  <c r="AG42" i="112"/>
  <c r="AT42" i="112" s="1"/>
  <c r="Z42" i="112"/>
  <c r="AB42" i="112"/>
  <c r="AA42" i="112"/>
  <c r="Y42" i="112"/>
  <c r="T42" i="112"/>
  <c r="AS42" i="112" s="1"/>
  <c r="S42" i="112"/>
  <c r="AQ42" i="112" s="1"/>
  <c r="R42" i="112"/>
  <c r="AP42" i="112" s="1"/>
  <c r="Q42" i="112"/>
  <c r="AO42" i="112" s="1"/>
  <c r="BS41" i="112"/>
  <c r="BR41" i="112"/>
  <c r="BQ41" i="112"/>
  <c r="BO41" i="112"/>
  <c r="BN41" i="112"/>
  <c r="BL41" i="112"/>
  <c r="BK41" i="112"/>
  <c r="BJ41" i="112"/>
  <c r="AH41" i="112"/>
  <c r="AU41" i="112" s="1"/>
  <c r="AJ41" i="112"/>
  <c r="AW41" i="112" s="1"/>
  <c r="AI41" i="112"/>
  <c r="AV41" i="112" s="1"/>
  <c r="AG41" i="112"/>
  <c r="AT41" i="112" s="1"/>
  <c r="AB41" i="112"/>
  <c r="AA41" i="112"/>
  <c r="Z41" i="112"/>
  <c r="Y41" i="112"/>
  <c r="R41" i="112"/>
  <c r="AP41" i="112" s="1"/>
  <c r="T41" i="112"/>
  <c r="AS41" i="112" s="1"/>
  <c r="S41" i="112"/>
  <c r="AQ41" i="112" s="1"/>
  <c r="Q41" i="112"/>
  <c r="AO41" i="112" s="1"/>
  <c r="BS40" i="112"/>
  <c r="BR40" i="112"/>
  <c r="BQ40" i="112"/>
  <c r="BO40" i="112"/>
  <c r="BN40" i="112"/>
  <c r="BL40" i="112"/>
  <c r="BK40" i="112"/>
  <c r="BJ40" i="112"/>
  <c r="AH40" i="112"/>
  <c r="AU40" i="112" s="1"/>
  <c r="AJ40" i="112"/>
  <c r="AW40" i="112" s="1"/>
  <c r="AI40" i="112"/>
  <c r="AV40" i="112" s="1"/>
  <c r="AG40" i="112"/>
  <c r="AT40" i="112" s="1"/>
  <c r="AB40" i="112"/>
  <c r="AA40" i="112"/>
  <c r="Z40" i="112"/>
  <c r="Y40" i="112"/>
  <c r="R40" i="112"/>
  <c r="AP40" i="112" s="1"/>
  <c r="T40" i="112"/>
  <c r="AS40" i="112" s="1"/>
  <c r="S40" i="112"/>
  <c r="AQ40" i="112" s="1"/>
  <c r="Q40" i="112"/>
  <c r="AO40" i="112" s="1"/>
  <c r="BS39" i="112"/>
  <c r="BR39" i="112"/>
  <c r="BQ39" i="112"/>
  <c r="BO39" i="112"/>
  <c r="BN39" i="112"/>
  <c r="BL39" i="112"/>
  <c r="BK39" i="112"/>
  <c r="BJ39" i="112"/>
  <c r="AJ39" i="112"/>
  <c r="AW39" i="112" s="1"/>
  <c r="AI39" i="112"/>
  <c r="AV39" i="112" s="1"/>
  <c r="AH39" i="112"/>
  <c r="AU39" i="112" s="1"/>
  <c r="AG39" i="112"/>
  <c r="AT39" i="112" s="1"/>
  <c r="AB39" i="112"/>
  <c r="AA39" i="112"/>
  <c r="Z39" i="112"/>
  <c r="Y39" i="112"/>
  <c r="R39" i="112"/>
  <c r="AP39" i="112" s="1"/>
  <c r="T39" i="112"/>
  <c r="AS39" i="112" s="1"/>
  <c r="S39" i="112"/>
  <c r="AQ39" i="112" s="1"/>
  <c r="Q39" i="112"/>
  <c r="AO39" i="112" s="1"/>
  <c r="BS38" i="112"/>
  <c r="BR38" i="112"/>
  <c r="BQ38" i="112"/>
  <c r="BO38" i="112"/>
  <c r="BN38" i="112"/>
  <c r="BL38" i="112"/>
  <c r="BK38" i="112"/>
  <c r="BJ38" i="112"/>
  <c r="AJ38" i="112"/>
  <c r="AW38" i="112" s="1"/>
  <c r="AI38" i="112"/>
  <c r="AV38" i="112" s="1"/>
  <c r="AH38" i="112"/>
  <c r="AU38" i="112" s="1"/>
  <c r="AG38" i="112"/>
  <c r="AT38" i="112" s="1"/>
  <c r="Z38" i="112"/>
  <c r="AB38" i="112"/>
  <c r="AA38" i="112"/>
  <c r="Y38" i="112"/>
  <c r="R38" i="112"/>
  <c r="AP38" i="112" s="1"/>
  <c r="T38" i="112"/>
  <c r="AS38" i="112" s="1"/>
  <c r="S38" i="112"/>
  <c r="AQ38" i="112" s="1"/>
  <c r="Q38" i="112"/>
  <c r="AO38" i="112" s="1"/>
  <c r="BS37" i="112"/>
  <c r="BR37" i="112"/>
  <c r="BQ37" i="112"/>
  <c r="BO37" i="112"/>
  <c r="BN37" i="112"/>
  <c r="BL37" i="112"/>
  <c r="BK37" i="112"/>
  <c r="BJ37" i="112"/>
  <c r="AJ37" i="112"/>
  <c r="AW37" i="112" s="1"/>
  <c r="AI37" i="112"/>
  <c r="AV37" i="112" s="1"/>
  <c r="AH37" i="112"/>
  <c r="AU37" i="112" s="1"/>
  <c r="AG37" i="112"/>
  <c r="AT37" i="112" s="1"/>
  <c r="AB37" i="112"/>
  <c r="AA37" i="112"/>
  <c r="Z37" i="112"/>
  <c r="Y37" i="112"/>
  <c r="R37" i="112"/>
  <c r="AP37" i="112" s="1"/>
  <c r="T37" i="112"/>
  <c r="AS37" i="112" s="1"/>
  <c r="S37" i="112"/>
  <c r="AQ37" i="112" s="1"/>
  <c r="Q37" i="112"/>
  <c r="AO37" i="112" s="1"/>
  <c r="BS36" i="112"/>
  <c r="BR36" i="112"/>
  <c r="BQ36" i="112"/>
  <c r="BO36" i="112"/>
  <c r="BN36" i="112"/>
  <c r="BL36" i="112"/>
  <c r="BK36" i="112"/>
  <c r="BJ36" i="112"/>
  <c r="AJ36" i="112"/>
  <c r="AW36" i="112" s="1"/>
  <c r="AI36" i="112"/>
  <c r="AV36" i="112" s="1"/>
  <c r="AH36" i="112"/>
  <c r="AU36" i="112" s="1"/>
  <c r="AG36" i="112"/>
  <c r="AT36" i="112" s="1"/>
  <c r="Z36" i="112"/>
  <c r="AB36" i="112"/>
  <c r="AA36" i="112"/>
  <c r="Y36" i="112"/>
  <c r="T36" i="112"/>
  <c r="AS36" i="112" s="1"/>
  <c r="R36" i="112"/>
  <c r="AP36" i="112" s="1"/>
  <c r="S36" i="112"/>
  <c r="AQ36" i="112" s="1"/>
  <c r="Q36" i="112"/>
  <c r="AO36" i="112" s="1"/>
  <c r="BS35" i="112"/>
  <c r="BR35" i="112"/>
  <c r="BQ35" i="112"/>
  <c r="BO35" i="112"/>
  <c r="BN35" i="112"/>
  <c r="BL35" i="112"/>
  <c r="BK35" i="112"/>
  <c r="BJ35" i="112"/>
  <c r="AJ35" i="112"/>
  <c r="AW35" i="112" s="1"/>
  <c r="AI35" i="112"/>
  <c r="AV35" i="112" s="1"/>
  <c r="AH35" i="112"/>
  <c r="AU35" i="112" s="1"/>
  <c r="AG35" i="112"/>
  <c r="AT35" i="112" s="1"/>
  <c r="AB35" i="112"/>
  <c r="AA35" i="112"/>
  <c r="Z35" i="112"/>
  <c r="Y35" i="112"/>
  <c r="R35" i="112"/>
  <c r="AP35" i="112" s="1"/>
  <c r="T35" i="112"/>
  <c r="AS35" i="112" s="1"/>
  <c r="S35" i="112"/>
  <c r="AQ35" i="112" s="1"/>
  <c r="Q35" i="112"/>
  <c r="AO35" i="112" s="1"/>
  <c r="BS34" i="112"/>
  <c r="BR34" i="112"/>
  <c r="BQ34" i="112"/>
  <c r="BO34" i="112"/>
  <c r="BN34" i="112"/>
  <c r="BL34" i="112"/>
  <c r="BK34" i="112"/>
  <c r="BJ34" i="112"/>
  <c r="AJ34" i="112"/>
  <c r="AW34" i="112" s="1"/>
  <c r="AI34" i="112"/>
  <c r="AV34" i="112" s="1"/>
  <c r="AH34" i="112"/>
  <c r="AU34" i="112" s="1"/>
  <c r="AG34" i="112"/>
  <c r="AT34" i="112" s="1"/>
  <c r="Z34" i="112"/>
  <c r="AB34" i="112"/>
  <c r="AA34" i="112"/>
  <c r="Y34" i="112"/>
  <c r="R34" i="112"/>
  <c r="AP34" i="112" s="1"/>
  <c r="T34" i="112"/>
  <c r="AS34" i="112" s="1"/>
  <c r="S34" i="112"/>
  <c r="AQ34" i="112" s="1"/>
  <c r="Q34" i="112"/>
  <c r="AO34" i="112" s="1"/>
  <c r="BS33" i="112"/>
  <c r="BR33" i="112"/>
  <c r="BQ33" i="112"/>
  <c r="BO33" i="112"/>
  <c r="BN33" i="112"/>
  <c r="BL33" i="112"/>
  <c r="BK33" i="112"/>
  <c r="BJ33" i="112"/>
  <c r="AJ33" i="112"/>
  <c r="AW33" i="112" s="1"/>
  <c r="AI33" i="112"/>
  <c r="AV33" i="112" s="1"/>
  <c r="AH33" i="112"/>
  <c r="AU33" i="112" s="1"/>
  <c r="AG33" i="112"/>
  <c r="AT33" i="112" s="1"/>
  <c r="AB33" i="112"/>
  <c r="AA33" i="112"/>
  <c r="Z33" i="112"/>
  <c r="Y33" i="112"/>
  <c r="R33" i="112"/>
  <c r="AP33" i="112" s="1"/>
  <c r="T33" i="112"/>
  <c r="AS33" i="112" s="1"/>
  <c r="S33" i="112"/>
  <c r="AQ33" i="112" s="1"/>
  <c r="Q33" i="112"/>
  <c r="AO33" i="112" s="1"/>
  <c r="BS32" i="112"/>
  <c r="BR32" i="112"/>
  <c r="BQ32" i="112"/>
  <c r="BO32" i="112"/>
  <c r="BN32" i="112"/>
  <c r="BL32" i="112"/>
  <c r="BK32" i="112"/>
  <c r="BJ32" i="112"/>
  <c r="AJ32" i="112"/>
  <c r="AW32" i="112" s="1"/>
  <c r="AI32" i="112"/>
  <c r="AV32" i="112" s="1"/>
  <c r="AH32" i="112"/>
  <c r="AU32" i="112" s="1"/>
  <c r="AG32" i="112"/>
  <c r="AT32" i="112" s="1"/>
  <c r="Z32" i="112"/>
  <c r="AB32" i="112"/>
  <c r="AA32" i="112"/>
  <c r="Y32" i="112"/>
  <c r="R32" i="112"/>
  <c r="AP32" i="112" s="1"/>
  <c r="T32" i="112"/>
  <c r="AS32" i="112" s="1"/>
  <c r="S32" i="112"/>
  <c r="AQ32" i="112" s="1"/>
  <c r="Q32" i="112"/>
  <c r="AO32" i="112" s="1"/>
  <c r="BS31" i="112"/>
  <c r="BR31" i="112"/>
  <c r="BQ31" i="112"/>
  <c r="BO31" i="112"/>
  <c r="BN31" i="112"/>
  <c r="BL31" i="112"/>
  <c r="BK31" i="112"/>
  <c r="BJ31" i="112"/>
  <c r="AJ31" i="112"/>
  <c r="AW31" i="112" s="1"/>
  <c r="AI31" i="112"/>
  <c r="AV31" i="112" s="1"/>
  <c r="AH31" i="112"/>
  <c r="AU31" i="112" s="1"/>
  <c r="AG31" i="112"/>
  <c r="AT31" i="112" s="1"/>
  <c r="AB31" i="112"/>
  <c r="AA31" i="112"/>
  <c r="Z31" i="112"/>
  <c r="Y31" i="112"/>
  <c r="R31" i="112"/>
  <c r="AP31" i="112" s="1"/>
  <c r="T31" i="112"/>
  <c r="AS31" i="112" s="1"/>
  <c r="S31" i="112"/>
  <c r="AQ31" i="112" s="1"/>
  <c r="Q31" i="112"/>
  <c r="AO31" i="112" s="1"/>
  <c r="BS30" i="112"/>
  <c r="BR30" i="112"/>
  <c r="BQ30" i="112"/>
  <c r="BO30" i="112"/>
  <c r="BN30" i="112"/>
  <c r="BL30" i="112"/>
  <c r="BK30" i="112"/>
  <c r="BJ30" i="112"/>
  <c r="AH30" i="112"/>
  <c r="AU30" i="112" s="1"/>
  <c r="AJ30" i="112"/>
  <c r="AW30" i="112" s="1"/>
  <c r="AI30" i="112"/>
  <c r="AV30" i="112" s="1"/>
  <c r="AG30" i="112"/>
  <c r="AT30" i="112" s="1"/>
  <c r="AB30" i="112"/>
  <c r="AA30" i="112"/>
  <c r="Z30" i="112"/>
  <c r="Y30" i="112"/>
  <c r="T30" i="112"/>
  <c r="AS30" i="112" s="1"/>
  <c r="S30" i="112"/>
  <c r="AQ30" i="112" s="1"/>
  <c r="R30" i="112"/>
  <c r="AP30" i="112" s="1"/>
  <c r="Q30" i="112"/>
  <c r="AO30" i="112" s="1"/>
  <c r="I30" i="112"/>
  <c r="G30" i="112"/>
  <c r="E30" i="112"/>
  <c r="BS29" i="112"/>
  <c r="BR29" i="112"/>
  <c r="BQ29" i="112"/>
  <c r="BO29" i="112"/>
  <c r="BN29" i="112"/>
  <c r="BL29" i="112"/>
  <c r="BK29" i="112"/>
  <c r="BJ29" i="112"/>
  <c r="AJ29" i="112"/>
  <c r="AW29" i="112" s="1"/>
  <c r="AI29" i="112"/>
  <c r="AV29" i="112" s="1"/>
  <c r="AH29" i="112"/>
  <c r="AU29" i="112" s="1"/>
  <c r="AG29" i="112"/>
  <c r="AT29" i="112" s="1"/>
  <c r="AB29" i="112"/>
  <c r="AA29" i="112"/>
  <c r="Z29" i="112"/>
  <c r="Y29" i="112"/>
  <c r="S29" i="112"/>
  <c r="AQ29" i="112" s="1"/>
  <c r="T29" i="112"/>
  <c r="AS29" i="112" s="1"/>
  <c r="R29" i="112"/>
  <c r="AP29" i="112" s="1"/>
  <c r="Q29" i="112"/>
  <c r="AO29" i="112" s="1"/>
  <c r="BS28" i="112"/>
  <c r="BR28" i="112"/>
  <c r="BQ28" i="112"/>
  <c r="BO28" i="112"/>
  <c r="BN28" i="112"/>
  <c r="BL28" i="112"/>
  <c r="BK28" i="112"/>
  <c r="BJ28" i="112"/>
  <c r="AJ28" i="112"/>
  <c r="AW28" i="112" s="1"/>
  <c r="AI28" i="112"/>
  <c r="AV28" i="112" s="1"/>
  <c r="AH28" i="112"/>
  <c r="AU28" i="112" s="1"/>
  <c r="AG28" i="112"/>
  <c r="AT28" i="112" s="1"/>
  <c r="AA28" i="112"/>
  <c r="AB28" i="112"/>
  <c r="Z28" i="112"/>
  <c r="Y28" i="112"/>
  <c r="T28" i="112"/>
  <c r="AS28" i="112" s="1"/>
  <c r="S28" i="112"/>
  <c r="AQ28" i="112" s="1"/>
  <c r="R28" i="112"/>
  <c r="AP28" i="112" s="1"/>
  <c r="Q28" i="112"/>
  <c r="AO28" i="112" s="1"/>
  <c r="BS27" i="112"/>
  <c r="BR27" i="112"/>
  <c r="BQ27" i="112"/>
  <c r="BO27" i="112"/>
  <c r="BN27" i="112"/>
  <c r="BL27" i="112"/>
  <c r="BK27" i="112"/>
  <c r="BJ27" i="112"/>
  <c r="AW27" i="112"/>
  <c r="AB27" i="112"/>
  <c r="AA27" i="112"/>
  <c r="Z27" i="112"/>
  <c r="Y27" i="112"/>
  <c r="T27" i="112"/>
  <c r="AS27" i="112" s="1"/>
  <c r="S27" i="112"/>
  <c r="AQ27" i="112" s="1"/>
  <c r="R27" i="112"/>
  <c r="AP27" i="112" s="1"/>
  <c r="Q27" i="112"/>
  <c r="BS26" i="112"/>
  <c r="BR26" i="112"/>
  <c r="BQ26" i="112"/>
  <c r="BO26" i="112"/>
  <c r="BN26" i="112"/>
  <c r="BL26" i="112"/>
  <c r="BK26" i="112"/>
  <c r="BJ26" i="112"/>
  <c r="AJ26" i="112"/>
  <c r="AW26" i="112" s="1"/>
  <c r="AI26" i="112"/>
  <c r="AV26" i="112" s="1"/>
  <c r="AH26" i="112"/>
  <c r="AU26" i="112" s="1"/>
  <c r="AG26" i="112"/>
  <c r="AT26" i="112" s="1"/>
  <c r="AB26" i="112"/>
  <c r="AA26" i="112"/>
  <c r="Z26" i="112"/>
  <c r="Y26" i="112"/>
  <c r="T26" i="112"/>
  <c r="AS26" i="112" s="1"/>
  <c r="S26" i="112"/>
  <c r="AQ26" i="112" s="1"/>
  <c r="R26" i="112"/>
  <c r="AP26" i="112" s="1"/>
  <c r="Q26" i="112"/>
  <c r="AO26" i="112" s="1"/>
  <c r="BS25" i="112"/>
  <c r="BR25" i="112"/>
  <c r="BQ25" i="112"/>
  <c r="BO25" i="112"/>
  <c r="BN25" i="112"/>
  <c r="BL25" i="112"/>
  <c r="BK25" i="112"/>
  <c r="BJ25" i="112"/>
  <c r="AJ25" i="112"/>
  <c r="AW25" i="112" s="1"/>
  <c r="AI25" i="112"/>
  <c r="AV25" i="112" s="1"/>
  <c r="AH25" i="112"/>
  <c r="AU25" i="112" s="1"/>
  <c r="AG25" i="112"/>
  <c r="AT25" i="112" s="1"/>
  <c r="AB25" i="112"/>
  <c r="AA25" i="112"/>
  <c r="Z25" i="112"/>
  <c r="Y25" i="112"/>
  <c r="T25" i="112"/>
  <c r="AS25" i="112" s="1"/>
  <c r="S25" i="112"/>
  <c r="AQ25" i="112" s="1"/>
  <c r="R25" i="112"/>
  <c r="AP25" i="112" s="1"/>
  <c r="Q25" i="112"/>
  <c r="AO25" i="112" s="1"/>
  <c r="I25" i="112"/>
  <c r="G25" i="112"/>
  <c r="E25" i="112"/>
  <c r="BS24" i="112"/>
  <c r="BR24" i="112"/>
  <c r="BQ24" i="112"/>
  <c r="BO24" i="112"/>
  <c r="BN24" i="112"/>
  <c r="BL24" i="112"/>
  <c r="BK24" i="112"/>
  <c r="BJ24" i="112"/>
  <c r="AJ24" i="112"/>
  <c r="AW24" i="112" s="1"/>
  <c r="AI24" i="112"/>
  <c r="AV24" i="112" s="1"/>
  <c r="AH24" i="112"/>
  <c r="AU24" i="112" s="1"/>
  <c r="AG24" i="112"/>
  <c r="AT24" i="112" s="1"/>
  <c r="AB24" i="112"/>
  <c r="AA24" i="112"/>
  <c r="Z24" i="112"/>
  <c r="Y24" i="112"/>
  <c r="T24" i="112"/>
  <c r="AS24" i="112" s="1"/>
  <c r="S24" i="112"/>
  <c r="AQ24" i="112" s="1"/>
  <c r="R24" i="112"/>
  <c r="AP24" i="112" s="1"/>
  <c r="Q24" i="112"/>
  <c r="AO24" i="112" s="1"/>
  <c r="I24" i="112"/>
  <c r="G24" i="112"/>
  <c r="E24" i="112"/>
  <c r="BS23" i="112"/>
  <c r="BR23" i="112"/>
  <c r="BQ23" i="112"/>
  <c r="BO23" i="112"/>
  <c r="BN23" i="112"/>
  <c r="BL23" i="112"/>
  <c r="BK23" i="112"/>
  <c r="BJ23" i="112"/>
  <c r="AJ23" i="112"/>
  <c r="AW23" i="112" s="1"/>
  <c r="AI23" i="112"/>
  <c r="AV23" i="112" s="1"/>
  <c r="AH23" i="112"/>
  <c r="AU23" i="112" s="1"/>
  <c r="AG23" i="112"/>
  <c r="AT23" i="112" s="1"/>
  <c r="AB23" i="112"/>
  <c r="AA23" i="112"/>
  <c r="Z23" i="112"/>
  <c r="Y23" i="112"/>
  <c r="T23" i="112"/>
  <c r="AS23" i="112" s="1"/>
  <c r="S23" i="112"/>
  <c r="AQ23" i="112" s="1"/>
  <c r="R23" i="112"/>
  <c r="AP23" i="112" s="1"/>
  <c r="Q23" i="112"/>
  <c r="AO23" i="112" s="1"/>
  <c r="I23" i="112"/>
  <c r="G23" i="112"/>
  <c r="E23" i="112"/>
  <c r="BS22" i="112"/>
  <c r="BR22" i="112"/>
  <c r="BQ22" i="112"/>
  <c r="BO22" i="112"/>
  <c r="BN22" i="112"/>
  <c r="BL22" i="112"/>
  <c r="BK22" i="112"/>
  <c r="BJ22" i="112"/>
  <c r="AJ22" i="112"/>
  <c r="AW22" i="112" s="1"/>
  <c r="AI22" i="112"/>
  <c r="AV22" i="112" s="1"/>
  <c r="AH22" i="112"/>
  <c r="AU22" i="112" s="1"/>
  <c r="AG22" i="112"/>
  <c r="AT22" i="112" s="1"/>
  <c r="AB22" i="112"/>
  <c r="AA22" i="112"/>
  <c r="Z22" i="112"/>
  <c r="Y22" i="112"/>
  <c r="T22" i="112"/>
  <c r="AS22" i="112" s="1"/>
  <c r="S22" i="112"/>
  <c r="AQ22" i="112" s="1"/>
  <c r="R22" i="112"/>
  <c r="AP22" i="112" s="1"/>
  <c r="Q22" i="112"/>
  <c r="AO22" i="112" s="1"/>
  <c r="BS21" i="112"/>
  <c r="BR21" i="112"/>
  <c r="BQ21" i="112"/>
  <c r="BO21" i="112"/>
  <c r="BN21" i="112"/>
  <c r="BL21" i="112"/>
  <c r="BK21" i="112"/>
  <c r="BJ21" i="112"/>
  <c r="AJ21" i="112"/>
  <c r="AW21" i="112" s="1"/>
  <c r="AI21" i="112"/>
  <c r="AV21" i="112" s="1"/>
  <c r="AH21" i="112"/>
  <c r="AU21" i="112" s="1"/>
  <c r="AG21" i="112"/>
  <c r="AT21" i="112" s="1"/>
  <c r="AB21" i="112"/>
  <c r="AA21" i="112"/>
  <c r="Z21" i="112"/>
  <c r="Y21" i="112"/>
  <c r="T21" i="112"/>
  <c r="AS21" i="112" s="1"/>
  <c r="S21" i="112"/>
  <c r="AQ21" i="112" s="1"/>
  <c r="R21" i="112"/>
  <c r="AP21" i="112" s="1"/>
  <c r="Q21" i="112"/>
  <c r="AO21" i="112" s="1"/>
  <c r="BS20" i="112"/>
  <c r="BR20" i="112"/>
  <c r="BQ20" i="112"/>
  <c r="BO20" i="112"/>
  <c r="BN20" i="112"/>
  <c r="BL20" i="112"/>
  <c r="BK20" i="112"/>
  <c r="BJ20" i="112"/>
  <c r="AJ20" i="112"/>
  <c r="AW20" i="112" s="1"/>
  <c r="AI20" i="112"/>
  <c r="AV20" i="112" s="1"/>
  <c r="AH20" i="112"/>
  <c r="AU20" i="112" s="1"/>
  <c r="AG20" i="112"/>
  <c r="AT20" i="112" s="1"/>
  <c r="AB20" i="112"/>
  <c r="AA20" i="112"/>
  <c r="Z20" i="112"/>
  <c r="Y20" i="112"/>
  <c r="T20" i="112"/>
  <c r="AS20" i="112" s="1"/>
  <c r="S20" i="112"/>
  <c r="AQ20" i="112" s="1"/>
  <c r="R20" i="112"/>
  <c r="AP20" i="112" s="1"/>
  <c r="Q20" i="112"/>
  <c r="AO20" i="112" s="1"/>
  <c r="I20" i="112"/>
  <c r="G20" i="112"/>
  <c r="E20" i="112"/>
  <c r="BS19" i="112"/>
  <c r="BR19" i="112"/>
  <c r="BQ19" i="112"/>
  <c r="BO19" i="112"/>
  <c r="BN19" i="112"/>
  <c r="BL19" i="112"/>
  <c r="BK19" i="112"/>
  <c r="BJ19" i="112"/>
  <c r="AJ19" i="112"/>
  <c r="AW19" i="112" s="1"/>
  <c r="AI19" i="112"/>
  <c r="AV19" i="112" s="1"/>
  <c r="AH19" i="112"/>
  <c r="AU19" i="112" s="1"/>
  <c r="AG19" i="112"/>
  <c r="AT19" i="112" s="1"/>
  <c r="AB19" i="112"/>
  <c r="AA19" i="112"/>
  <c r="Z19" i="112"/>
  <c r="Y19" i="112"/>
  <c r="T19" i="112"/>
  <c r="AS19" i="112" s="1"/>
  <c r="S19" i="112"/>
  <c r="AQ19" i="112" s="1"/>
  <c r="R19" i="112"/>
  <c r="AP19" i="112" s="1"/>
  <c r="Q19" i="112"/>
  <c r="AO19" i="112" s="1"/>
  <c r="BS18" i="112"/>
  <c r="BR18" i="112"/>
  <c r="BQ18" i="112"/>
  <c r="BO18" i="112"/>
  <c r="BN18" i="112"/>
  <c r="BL18" i="112"/>
  <c r="BK18" i="112"/>
  <c r="BJ18" i="112"/>
  <c r="AJ18" i="112"/>
  <c r="AW18" i="112" s="1"/>
  <c r="AI18" i="112"/>
  <c r="AV18" i="112" s="1"/>
  <c r="AH18" i="112"/>
  <c r="AU18" i="112" s="1"/>
  <c r="AG18" i="112"/>
  <c r="AT18" i="112" s="1"/>
  <c r="AB18" i="112"/>
  <c r="AA18" i="112"/>
  <c r="Z18" i="112"/>
  <c r="Y18" i="112"/>
  <c r="T18" i="112"/>
  <c r="AS18" i="112" s="1"/>
  <c r="S18" i="112"/>
  <c r="AQ18" i="112" s="1"/>
  <c r="R18" i="112"/>
  <c r="AP18" i="112" s="1"/>
  <c r="Q18" i="112"/>
  <c r="AO18" i="112" s="1"/>
  <c r="BS17" i="112"/>
  <c r="BR17" i="112"/>
  <c r="BQ17" i="112"/>
  <c r="BO17" i="112"/>
  <c r="BN17" i="112"/>
  <c r="BL17" i="112"/>
  <c r="BK17" i="112"/>
  <c r="BJ17" i="112"/>
  <c r="AJ17" i="112"/>
  <c r="AW17" i="112" s="1"/>
  <c r="AI17" i="112"/>
  <c r="AV17" i="112" s="1"/>
  <c r="AH17" i="112"/>
  <c r="AU17" i="112" s="1"/>
  <c r="AG17" i="112"/>
  <c r="AT17" i="112" s="1"/>
  <c r="AB17" i="112"/>
  <c r="AA17" i="112"/>
  <c r="Z17" i="112"/>
  <c r="Y17" i="112"/>
  <c r="T17" i="112"/>
  <c r="AS17" i="112" s="1"/>
  <c r="S17" i="112"/>
  <c r="AQ17" i="112" s="1"/>
  <c r="R17" i="112"/>
  <c r="AP17" i="112" s="1"/>
  <c r="Q17" i="112"/>
  <c r="AO17" i="112" s="1"/>
  <c r="BS16" i="112"/>
  <c r="BR16" i="112"/>
  <c r="BQ16" i="112"/>
  <c r="BO16" i="112"/>
  <c r="BN16" i="112"/>
  <c r="BL16" i="112"/>
  <c r="BK16" i="112"/>
  <c r="BJ16" i="112"/>
  <c r="AJ16" i="112"/>
  <c r="AW16" i="112" s="1"/>
  <c r="AI16" i="112"/>
  <c r="AV16" i="112" s="1"/>
  <c r="AH16" i="112"/>
  <c r="AU16" i="112" s="1"/>
  <c r="AG16" i="112"/>
  <c r="AT16" i="112" s="1"/>
  <c r="AB16" i="112"/>
  <c r="AA16" i="112"/>
  <c r="Z16" i="112"/>
  <c r="Y16" i="112"/>
  <c r="T16" i="112"/>
  <c r="AS16" i="112" s="1"/>
  <c r="S16" i="112"/>
  <c r="AQ16" i="112" s="1"/>
  <c r="R16" i="112"/>
  <c r="AP16" i="112" s="1"/>
  <c r="Q16" i="112"/>
  <c r="AO16" i="112" s="1"/>
  <c r="BS15" i="112"/>
  <c r="BR15" i="112"/>
  <c r="BQ15" i="112"/>
  <c r="BO15" i="112"/>
  <c r="BN15" i="112"/>
  <c r="BL15" i="112"/>
  <c r="BK15" i="112"/>
  <c r="BJ15" i="112"/>
  <c r="AJ15" i="112"/>
  <c r="AW15" i="112" s="1"/>
  <c r="AI15" i="112"/>
  <c r="AV15" i="112" s="1"/>
  <c r="AH15" i="112"/>
  <c r="AU15" i="112" s="1"/>
  <c r="AG15" i="112"/>
  <c r="AT15" i="112" s="1"/>
  <c r="AB15" i="112"/>
  <c r="AA15" i="112"/>
  <c r="Z15" i="112"/>
  <c r="Y15" i="112"/>
  <c r="T15" i="112"/>
  <c r="AS15" i="112" s="1"/>
  <c r="S15" i="112"/>
  <c r="AQ15" i="112" s="1"/>
  <c r="R15" i="112"/>
  <c r="AP15" i="112" s="1"/>
  <c r="Q15" i="112"/>
  <c r="AO15" i="112" s="1"/>
  <c r="I15" i="112"/>
  <c r="G15" i="112"/>
  <c r="E15" i="112"/>
  <c r="BS14" i="112"/>
  <c r="BR14" i="112"/>
  <c r="BQ14" i="112"/>
  <c r="BO14" i="112"/>
  <c r="BN14" i="112"/>
  <c r="BL14" i="112"/>
  <c r="BK14" i="112"/>
  <c r="BJ14" i="112"/>
  <c r="AJ14" i="112"/>
  <c r="AW14" i="112" s="1"/>
  <c r="AI14" i="112"/>
  <c r="AV14" i="112" s="1"/>
  <c r="AH14" i="112"/>
  <c r="AU14" i="112" s="1"/>
  <c r="AG14" i="112"/>
  <c r="AT14" i="112" s="1"/>
  <c r="AB14" i="112"/>
  <c r="AA14" i="112"/>
  <c r="Z14" i="112"/>
  <c r="Y14" i="112"/>
  <c r="T14" i="112"/>
  <c r="AS14" i="112" s="1"/>
  <c r="S14" i="112"/>
  <c r="AQ14" i="112" s="1"/>
  <c r="R14" i="112"/>
  <c r="AP14" i="112" s="1"/>
  <c r="Q14" i="112"/>
  <c r="AO14" i="112" s="1"/>
  <c r="I14" i="112"/>
  <c r="G14" i="112"/>
  <c r="E14" i="112"/>
  <c r="BS13" i="112"/>
  <c r="BR13" i="112"/>
  <c r="BQ13" i="112"/>
  <c r="BO13" i="112"/>
  <c r="BN13" i="112"/>
  <c r="BL13" i="112"/>
  <c r="BK13" i="112"/>
  <c r="BJ13" i="112"/>
  <c r="AJ13" i="112"/>
  <c r="AW13" i="112" s="1"/>
  <c r="AI13" i="112"/>
  <c r="AV13" i="112" s="1"/>
  <c r="AH13" i="112"/>
  <c r="AU13" i="112" s="1"/>
  <c r="AG13" i="112"/>
  <c r="AT13" i="112" s="1"/>
  <c r="AB13" i="112"/>
  <c r="AA13" i="112"/>
  <c r="Z13" i="112"/>
  <c r="Y13" i="112"/>
  <c r="T13" i="112"/>
  <c r="AS13" i="112" s="1"/>
  <c r="S13" i="112"/>
  <c r="AQ13" i="112" s="1"/>
  <c r="R13" i="112"/>
  <c r="AP13" i="112" s="1"/>
  <c r="Q13" i="112"/>
  <c r="AO13" i="112" s="1"/>
  <c r="I13" i="112"/>
  <c r="G13" i="112"/>
  <c r="E13" i="112"/>
  <c r="BS12" i="112"/>
  <c r="BR12" i="112"/>
  <c r="BQ12" i="112"/>
  <c r="BO12" i="112"/>
  <c r="BN12" i="112"/>
  <c r="BL12" i="112"/>
  <c r="BK12" i="112"/>
  <c r="BJ12" i="112"/>
  <c r="AJ12" i="112"/>
  <c r="AW12" i="112" s="1"/>
  <c r="AI12" i="112"/>
  <c r="AV12" i="112" s="1"/>
  <c r="AH12" i="112"/>
  <c r="AU12" i="112" s="1"/>
  <c r="AG12" i="112"/>
  <c r="AT12" i="112" s="1"/>
  <c r="AB12" i="112"/>
  <c r="AA12" i="112"/>
  <c r="Z12" i="112"/>
  <c r="Y12" i="112"/>
  <c r="T12" i="112"/>
  <c r="AS12" i="112" s="1"/>
  <c r="S12" i="112"/>
  <c r="AQ12" i="112" s="1"/>
  <c r="R12" i="112"/>
  <c r="AP12" i="112" s="1"/>
  <c r="Q12" i="112"/>
  <c r="AO12" i="112" s="1"/>
  <c r="I12" i="112"/>
  <c r="G12" i="112"/>
  <c r="E12" i="112"/>
  <c r="BS11" i="112"/>
  <c r="BR11" i="112"/>
  <c r="BQ11" i="112"/>
  <c r="BO11" i="112"/>
  <c r="BN11" i="112"/>
  <c r="BL11" i="112"/>
  <c r="BK11" i="112"/>
  <c r="BJ11" i="112"/>
  <c r="AJ11" i="112"/>
  <c r="AW11" i="112" s="1"/>
  <c r="AI11" i="112"/>
  <c r="AV11" i="112" s="1"/>
  <c r="AH11" i="112"/>
  <c r="AU11" i="112" s="1"/>
  <c r="AG11" i="112"/>
  <c r="AT11" i="112" s="1"/>
  <c r="AB11" i="112"/>
  <c r="AA11" i="112"/>
  <c r="Z11" i="112"/>
  <c r="Y11" i="112"/>
  <c r="T11" i="112"/>
  <c r="AS11" i="112" s="1"/>
  <c r="S11" i="112"/>
  <c r="AQ11" i="112" s="1"/>
  <c r="R11" i="112"/>
  <c r="AP11" i="112" s="1"/>
  <c r="Q11" i="112"/>
  <c r="AO11" i="112" s="1"/>
  <c r="BS10" i="112"/>
  <c r="BR10" i="112"/>
  <c r="BQ10" i="112"/>
  <c r="BO10" i="112"/>
  <c r="BN10" i="112"/>
  <c r="BL10" i="112"/>
  <c r="BK10" i="112"/>
  <c r="BJ10" i="112"/>
  <c r="AJ10" i="112"/>
  <c r="AW10" i="112" s="1"/>
  <c r="AI10" i="112"/>
  <c r="AV10" i="112" s="1"/>
  <c r="AH10" i="112"/>
  <c r="AU10" i="112" s="1"/>
  <c r="AG10" i="112"/>
  <c r="AT10" i="112" s="1"/>
  <c r="AB10" i="112"/>
  <c r="AA10" i="112"/>
  <c r="Z10" i="112"/>
  <c r="Y10" i="112"/>
  <c r="T10" i="112"/>
  <c r="AS10" i="112" s="1"/>
  <c r="S10" i="112"/>
  <c r="AQ10" i="112" s="1"/>
  <c r="R10" i="112"/>
  <c r="AP10" i="112" s="1"/>
  <c r="Q10" i="112"/>
  <c r="AO10" i="112" s="1"/>
  <c r="I10" i="112"/>
  <c r="G10" i="112"/>
  <c r="E10" i="112"/>
  <c r="BS9" i="112"/>
  <c r="BR9" i="112"/>
  <c r="BQ9" i="112"/>
  <c r="BO9" i="112"/>
  <c r="BN9" i="112"/>
  <c r="BL9" i="112"/>
  <c r="BK9" i="112"/>
  <c r="BJ9" i="112"/>
  <c r="AJ9" i="112"/>
  <c r="AW9" i="112" s="1"/>
  <c r="AI9" i="112"/>
  <c r="AV9" i="112" s="1"/>
  <c r="AH9" i="112"/>
  <c r="AU9" i="112" s="1"/>
  <c r="AG9" i="112"/>
  <c r="AT9" i="112" s="1"/>
  <c r="AB9" i="112"/>
  <c r="AA9" i="112"/>
  <c r="Z9" i="112"/>
  <c r="Y9" i="112"/>
  <c r="T9" i="112"/>
  <c r="AS9" i="112" s="1"/>
  <c r="S9" i="112"/>
  <c r="AQ9" i="112" s="1"/>
  <c r="R9" i="112"/>
  <c r="AP9" i="112" s="1"/>
  <c r="Q9" i="112"/>
  <c r="AO9" i="112" s="1"/>
  <c r="I9" i="112"/>
  <c r="G9" i="112"/>
  <c r="E9" i="112"/>
  <c r="BS8" i="112"/>
  <c r="BR8" i="112"/>
  <c r="BQ8" i="112"/>
  <c r="BO8" i="112"/>
  <c r="BN8" i="112"/>
  <c r="BL8" i="112"/>
  <c r="BK8" i="112"/>
  <c r="BJ8" i="112"/>
  <c r="AJ8" i="112"/>
  <c r="AW8" i="112" s="1"/>
  <c r="AI8" i="112"/>
  <c r="AV8" i="112" s="1"/>
  <c r="AH8" i="112"/>
  <c r="AU8" i="112" s="1"/>
  <c r="AG8" i="112"/>
  <c r="AT8" i="112" s="1"/>
  <c r="AB8" i="112"/>
  <c r="AA8" i="112"/>
  <c r="Z8" i="112"/>
  <c r="Y8" i="112"/>
  <c r="T8" i="112"/>
  <c r="AS8" i="112" s="1"/>
  <c r="S8" i="112"/>
  <c r="AQ8" i="112" s="1"/>
  <c r="R8" i="112"/>
  <c r="AP8" i="112" s="1"/>
  <c r="Q8" i="112"/>
  <c r="AO8" i="112" s="1"/>
  <c r="I8" i="112"/>
  <c r="G8" i="112"/>
  <c r="E8" i="112"/>
  <c r="BS7" i="112"/>
  <c r="BR7" i="112"/>
  <c r="BQ7" i="112"/>
  <c r="BO7" i="112"/>
  <c r="BN7" i="112"/>
  <c r="BL7" i="112"/>
  <c r="BK7" i="112"/>
  <c r="BJ7" i="112"/>
  <c r="AJ7" i="112"/>
  <c r="AW7" i="112" s="1"/>
  <c r="AI7" i="112"/>
  <c r="AV7" i="112" s="1"/>
  <c r="AH7" i="112"/>
  <c r="AU7" i="112" s="1"/>
  <c r="AG7" i="112"/>
  <c r="AT7" i="112" s="1"/>
  <c r="AB7" i="112"/>
  <c r="AA7" i="112"/>
  <c r="Z7" i="112"/>
  <c r="Y7" i="112"/>
  <c r="T7" i="112"/>
  <c r="AS7" i="112" s="1"/>
  <c r="S7" i="112"/>
  <c r="AQ7" i="112" s="1"/>
  <c r="R7" i="112"/>
  <c r="AP7" i="112" s="1"/>
  <c r="Q7" i="112"/>
  <c r="AO7" i="112" s="1"/>
  <c r="I7" i="112"/>
  <c r="G7" i="112"/>
  <c r="E7" i="112"/>
  <c r="BS6" i="112"/>
  <c r="BR6" i="112"/>
  <c r="BQ6" i="112"/>
  <c r="BO6" i="112"/>
  <c r="BN6" i="112"/>
  <c r="BL6" i="112"/>
  <c r="BK6" i="112"/>
  <c r="BJ6" i="112"/>
  <c r="AJ6" i="112"/>
  <c r="AW6" i="112" s="1"/>
  <c r="AI6" i="112"/>
  <c r="AV6" i="112" s="1"/>
  <c r="AH6" i="112"/>
  <c r="AU6" i="112" s="1"/>
  <c r="AG6" i="112"/>
  <c r="AT6" i="112" s="1"/>
  <c r="AB6" i="112"/>
  <c r="AA6" i="112"/>
  <c r="Z6" i="112"/>
  <c r="Y6" i="112"/>
  <c r="T6" i="112"/>
  <c r="AS6" i="112" s="1"/>
  <c r="S6" i="112"/>
  <c r="AQ6" i="112" s="1"/>
  <c r="R6" i="112"/>
  <c r="AP6" i="112" s="1"/>
  <c r="Q6" i="112"/>
  <c r="AO6" i="112" s="1"/>
  <c r="I318" i="112" l="1"/>
  <c r="AG443" i="112"/>
  <c r="AT443" i="112" s="1"/>
  <c r="BL5" i="112"/>
  <c r="BR5" i="112"/>
  <c r="BN5" i="112"/>
  <c r="BS5" i="112"/>
  <c r="BJ323" i="112"/>
  <c r="I443" i="112"/>
  <c r="E443" i="112"/>
  <c r="G314" i="112"/>
  <c r="AI318" i="112"/>
  <c r="AV318" i="112" s="1"/>
  <c r="Y443" i="112"/>
  <c r="H444" i="112"/>
  <c r="AI448" i="112"/>
  <c r="AV448" i="112" s="1"/>
  <c r="BO5" i="112"/>
  <c r="BQ249" i="112"/>
  <c r="BL443" i="112"/>
  <c r="Z447" i="112"/>
  <c r="S318" i="112"/>
  <c r="AQ318" i="112" s="1"/>
  <c r="G443" i="112"/>
  <c r="T443" i="112"/>
  <c r="AS443" i="112" s="1"/>
  <c r="AG446" i="112"/>
  <c r="AT446" i="112" s="1"/>
  <c r="BJ5" i="112"/>
  <c r="BN249" i="112"/>
  <c r="BS249" i="112"/>
  <c r="E318" i="112"/>
  <c r="AG318" i="112"/>
  <c r="AT318" i="112" s="1"/>
  <c r="AJ443" i="112"/>
  <c r="AW443" i="112" s="1"/>
  <c r="J444" i="112"/>
  <c r="AJ446" i="112"/>
  <c r="AW446" i="112" s="1"/>
  <c r="BK199" i="112"/>
  <c r="BQ199" i="112"/>
  <c r="BK249" i="112"/>
  <c r="AA314" i="112"/>
  <c r="AB314" i="112"/>
  <c r="Q318" i="112"/>
  <c r="AO318" i="112" s="1"/>
  <c r="AH318" i="112"/>
  <c r="AU318" i="112" s="1"/>
  <c r="Q443" i="112"/>
  <c r="AO443" i="112" s="1"/>
  <c r="AA443" i="112"/>
  <c r="R446" i="112"/>
  <c r="AP446" i="112" s="1"/>
  <c r="T447" i="112"/>
  <c r="AS447" i="112" s="1"/>
  <c r="R447" i="112"/>
  <c r="AP447" i="112" s="1"/>
  <c r="AG447" i="112"/>
  <c r="AT447" i="112" s="1"/>
  <c r="BR323" i="112"/>
  <c r="S443" i="112"/>
  <c r="AQ443" i="112" s="1"/>
  <c r="AB443" i="112"/>
  <c r="F444" i="112"/>
  <c r="Q444" i="112" s="1"/>
  <c r="AO444" i="112" s="1"/>
  <c r="Y444" i="112"/>
  <c r="T446" i="112"/>
  <c r="AS446" i="112" s="1"/>
  <c r="AB447" i="112"/>
  <c r="S447" i="112"/>
  <c r="AQ447" i="112" s="1"/>
  <c r="AH447" i="112"/>
  <c r="AU447" i="112" s="1"/>
  <c r="AB448" i="112"/>
  <c r="BN204" i="112"/>
  <c r="BL249" i="112"/>
  <c r="BR249" i="112"/>
  <c r="Y314" i="112"/>
  <c r="R318" i="112"/>
  <c r="AP318" i="112" s="1"/>
  <c r="Z444" i="112"/>
  <c r="AP199" i="112"/>
  <c r="AT199" i="112"/>
  <c r="AU199" i="112"/>
  <c r="AT249" i="112"/>
  <c r="AS199" i="112"/>
  <c r="Q200" i="112"/>
  <c r="AO200" i="112" s="1"/>
  <c r="AO199" i="112" s="1"/>
  <c r="AW199" i="112"/>
  <c r="Z443" i="112"/>
  <c r="S446" i="112"/>
  <c r="AQ446" i="112" s="1"/>
  <c r="AJ447" i="112"/>
  <c r="AW447" i="112" s="1"/>
  <c r="BF153" i="1"/>
  <c r="BI179" i="1"/>
  <c r="BG178" i="1"/>
  <c r="BF178" i="1"/>
  <c r="BG179" i="1"/>
  <c r="BI178" i="1"/>
  <c r="BF179" i="1"/>
  <c r="BI152" i="1"/>
  <c r="BH156" i="1"/>
  <c r="BG156" i="1"/>
  <c r="BF156" i="1"/>
  <c r="BI156" i="1"/>
  <c r="BI153" i="1"/>
  <c r="BH152" i="1"/>
  <c r="AO5" i="112"/>
  <c r="AT5" i="112"/>
  <c r="AQ5" i="112"/>
  <c r="AV5" i="112"/>
  <c r="AS5" i="112"/>
  <c r="AW5" i="112"/>
  <c r="AU249" i="112"/>
  <c r="BK5" i="112"/>
  <c r="BQ5" i="112"/>
  <c r="AU204" i="112"/>
  <c r="AP5" i="112"/>
  <c r="AU5" i="112"/>
  <c r="AW249" i="112"/>
  <c r="AV249" i="112"/>
  <c r="Z265" i="112"/>
  <c r="W265" i="112"/>
  <c r="Z206" i="112"/>
  <c r="R206" i="112"/>
  <c r="AP206" i="112" s="1"/>
  <c r="AP204" i="112" s="1"/>
  <c r="AB206" i="112"/>
  <c r="T206" i="112"/>
  <c r="AS206" i="112" s="1"/>
  <c r="AS204" i="112" s="1"/>
  <c r="AG207" i="112"/>
  <c r="AT207" i="112" s="1"/>
  <c r="AT204" i="112" s="1"/>
  <c r="AI207" i="112"/>
  <c r="AV207" i="112" s="1"/>
  <c r="AV204" i="112" s="1"/>
  <c r="Y265" i="112"/>
  <c r="AT323" i="112"/>
  <c r="AU323" i="112"/>
  <c r="AQ199" i="112"/>
  <c r="AV199" i="112"/>
  <c r="BJ249" i="112"/>
  <c r="BO249" i="112"/>
  <c r="R265" i="112"/>
  <c r="AP265" i="112" s="1"/>
  <c r="O265" i="112"/>
  <c r="F320" i="112"/>
  <c r="T319" i="112"/>
  <c r="AS319" i="112" s="1"/>
  <c r="R319" i="112"/>
  <c r="AP319" i="112" s="1"/>
  <c r="Q319" i="112"/>
  <c r="AO319" i="112" s="1"/>
  <c r="E319" i="112"/>
  <c r="S319" i="112"/>
  <c r="AQ319" i="112" s="1"/>
  <c r="Q265" i="112"/>
  <c r="AO265" i="112" s="1"/>
  <c r="AO249" i="112" s="1"/>
  <c r="AV323" i="112"/>
  <c r="AW323" i="112"/>
  <c r="AJ206" i="112"/>
  <c r="AW206" i="112" s="1"/>
  <c r="AW204" i="112" s="1"/>
  <c r="S207" i="112"/>
  <c r="AQ207" i="112" s="1"/>
  <c r="AQ204" i="112" s="1"/>
  <c r="AA207" i="112"/>
  <c r="S314" i="112"/>
  <c r="AQ314" i="112" s="1"/>
  <c r="R314" i="112"/>
  <c r="AP314" i="112" s="1"/>
  <c r="E314" i="112"/>
  <c r="T314" i="112"/>
  <c r="AS314" i="112" s="1"/>
  <c r="Q314" i="112"/>
  <c r="AO314" i="112" s="1"/>
  <c r="AB318" i="112"/>
  <c r="H319" i="112"/>
  <c r="Y318" i="112"/>
  <c r="AA318" i="112"/>
  <c r="G318" i="112"/>
  <c r="Z318" i="112"/>
  <c r="Q207" i="112"/>
  <c r="AO207" i="112" s="1"/>
  <c r="AO204" i="112" s="1"/>
  <c r="J320" i="112"/>
  <c r="AJ319" i="112"/>
  <c r="AW319" i="112" s="1"/>
  <c r="AI319" i="112"/>
  <c r="AV319" i="112" s="1"/>
  <c r="AG319" i="112"/>
  <c r="AT319" i="112" s="1"/>
  <c r="AH319" i="112"/>
  <c r="AU319" i="112" s="1"/>
  <c r="BO323" i="112"/>
  <c r="BS323" i="112"/>
  <c r="BQ323" i="112"/>
  <c r="AI444" i="112"/>
  <c r="AV444" i="112" s="1"/>
  <c r="I444" i="112"/>
  <c r="J445" i="112"/>
  <c r="AH444" i="112"/>
  <c r="AU444" i="112" s="1"/>
  <c r="AJ444" i="112"/>
  <c r="AW444" i="112" s="1"/>
  <c r="AG444" i="112"/>
  <c r="AT444" i="112" s="1"/>
  <c r="Y448" i="112"/>
  <c r="AA448" i="112"/>
  <c r="Z448" i="112"/>
  <c r="AA444" i="112"/>
  <c r="AB444" i="112"/>
  <c r="G444" i="112"/>
  <c r="H445" i="112"/>
  <c r="AY444" i="112"/>
  <c r="AA446" i="112"/>
  <c r="Y446" i="112"/>
  <c r="AB446" i="112"/>
  <c r="Z446" i="112"/>
  <c r="T318" i="112"/>
  <c r="AS318" i="112" s="1"/>
  <c r="AJ318" i="112"/>
  <c r="AW318" i="112" s="1"/>
  <c r="Q448" i="112"/>
  <c r="AO448" i="112" s="1"/>
  <c r="T448" i="112"/>
  <c r="AS448" i="112" s="1"/>
  <c r="S448" i="112"/>
  <c r="AQ448" i="112" s="1"/>
  <c r="AZ457" i="112"/>
  <c r="BL444" i="112"/>
  <c r="AZ445" i="112"/>
  <c r="BL445" i="112" s="1"/>
  <c r="E444" i="112"/>
  <c r="Q446" i="112"/>
  <c r="AO446" i="112" s="1"/>
  <c r="Y447" i="112"/>
  <c r="AG448" i="112"/>
  <c r="AT448" i="112" s="1"/>
  <c r="AH448" i="112"/>
  <c r="AU448" i="112" s="1"/>
  <c r="AI443" i="112"/>
  <c r="AV443" i="112" s="1"/>
  <c r="BA444" i="112"/>
  <c r="AH446" i="112"/>
  <c r="AU446" i="112" s="1"/>
  <c r="T444" i="112" l="1"/>
  <c r="AS444" i="112" s="1"/>
  <c r="S444" i="112"/>
  <c r="AQ444" i="112" s="1"/>
  <c r="R444" i="112"/>
  <c r="AP444" i="112" s="1"/>
  <c r="F445" i="112"/>
  <c r="AY445" i="112"/>
  <c r="BK445" i="112" s="1"/>
  <c r="BK444" i="112"/>
  <c r="AG445" i="112"/>
  <c r="AT445" i="112" s="1"/>
  <c r="AJ445" i="112"/>
  <c r="AW445" i="112" s="1"/>
  <c r="AI445" i="112"/>
  <c r="AV445" i="112" s="1"/>
  <c r="I445" i="112"/>
  <c r="AH445" i="112"/>
  <c r="AU445" i="112" s="1"/>
  <c r="BN444" i="112"/>
  <c r="BA445" i="112"/>
  <c r="BN445" i="112" s="1"/>
  <c r="Y445" i="112"/>
  <c r="G445" i="112"/>
  <c r="AA445" i="112"/>
  <c r="AB445" i="112"/>
  <c r="Z445" i="112"/>
  <c r="BL323" i="112"/>
  <c r="AB319" i="112"/>
  <c r="AA319" i="112"/>
  <c r="G319" i="112"/>
  <c r="H320" i="112"/>
  <c r="Y319" i="112"/>
  <c r="Z319" i="112"/>
  <c r="P265" i="112"/>
  <c r="T265" i="112" s="1"/>
  <c r="AS265" i="112" s="1"/>
  <c r="S265" i="112"/>
  <c r="AQ265" i="112" s="1"/>
  <c r="Q445" i="112"/>
  <c r="AO445" i="112" s="1"/>
  <c r="AO323" i="112" s="1"/>
  <c r="R445" i="112"/>
  <c r="AP445" i="112" s="1"/>
  <c r="AP323" i="112" s="1"/>
  <c r="T445" i="112"/>
  <c r="AS445" i="112" s="1"/>
  <c r="AS323" i="112" s="1"/>
  <c r="S445" i="112"/>
  <c r="AQ445" i="112" s="1"/>
  <c r="AQ323" i="112" s="1"/>
  <c r="E445" i="112"/>
  <c r="AJ320" i="112"/>
  <c r="AW320" i="112" s="1"/>
  <c r="AI320" i="112"/>
  <c r="AV320" i="112" s="1"/>
  <c r="AG320" i="112"/>
  <c r="AT320" i="112" s="1"/>
  <c r="I320" i="112"/>
  <c r="AH320" i="112"/>
  <c r="AU320" i="112" s="1"/>
  <c r="T320" i="112"/>
  <c r="AS320" i="112" s="1"/>
  <c r="Q320" i="112"/>
  <c r="AO320" i="112" s="1"/>
  <c r="E320" i="112"/>
  <c r="R320" i="112"/>
  <c r="AP320" i="112" s="1"/>
  <c r="AP249" i="112" s="1"/>
  <c r="S320" i="112"/>
  <c r="AQ320" i="112" s="1"/>
  <c r="X265" i="112"/>
  <c r="AB265" i="112" s="1"/>
  <c r="AA265" i="112"/>
  <c r="AB320" i="112" l="1"/>
  <c r="Z320" i="112"/>
  <c r="Y320" i="112"/>
  <c r="AA320" i="112"/>
  <c r="G320" i="112"/>
  <c r="BN323" i="112"/>
  <c r="BK323" i="112"/>
  <c r="AQ249" i="112"/>
  <c r="AS249" i="112"/>
  <c r="B184" i="1" l="1"/>
  <c r="B178" i="1"/>
  <c r="B179" i="1"/>
  <c r="B171" i="1"/>
  <c r="B172" i="1"/>
  <c r="B173" i="1"/>
  <c r="B174" i="1"/>
  <c r="B175" i="1"/>
  <c r="B176" i="1"/>
  <c r="B169" i="1"/>
  <c r="B170" i="1"/>
  <c r="B168" i="1"/>
  <c r="B165" i="1"/>
  <c r="B166" i="1"/>
  <c r="B164" i="1"/>
  <c r="B162" i="1"/>
  <c r="B157" i="1"/>
  <c r="F569" i="98" l="1"/>
  <c r="V159" i="1" s="1"/>
  <c r="B158" i="1"/>
  <c r="B159" i="1"/>
  <c r="B160" i="1"/>
  <c r="B161" i="1"/>
  <c r="B163" i="1"/>
  <c r="B167" i="1"/>
  <c r="B177" i="1"/>
  <c r="B180" i="1"/>
  <c r="B181" i="1"/>
  <c r="B182" i="1"/>
  <c r="B183" i="1"/>
  <c r="B185" i="1"/>
  <c r="V110" i="1"/>
  <c r="T110" i="1"/>
  <c r="R110" i="1"/>
  <c r="BB110" i="1"/>
  <c r="BC110" i="1"/>
  <c r="BD110" i="1"/>
  <c r="BE110" i="1"/>
  <c r="BB111" i="1"/>
  <c r="BC111" i="1"/>
  <c r="BD111" i="1"/>
  <c r="BE111" i="1"/>
  <c r="BB112" i="1"/>
  <c r="BC112" i="1"/>
  <c r="BD112" i="1"/>
  <c r="BE112" i="1"/>
  <c r="BB113" i="1"/>
  <c r="BC113" i="1"/>
  <c r="BD113" i="1"/>
  <c r="BE113" i="1"/>
  <c r="BB114" i="1"/>
  <c r="BC114" i="1"/>
  <c r="BD114" i="1"/>
  <c r="BE114" i="1"/>
  <c r="BB115" i="1"/>
  <c r="BC115" i="1"/>
  <c r="BD115" i="1"/>
  <c r="BE115" i="1"/>
  <c r="BB116" i="1"/>
  <c r="BC116" i="1"/>
  <c r="BD116" i="1"/>
  <c r="BE116" i="1"/>
  <c r="BB117" i="1"/>
  <c r="BC117" i="1"/>
  <c r="BD117" i="1"/>
  <c r="BE117" i="1"/>
  <c r="BB118" i="1"/>
  <c r="BC118" i="1"/>
  <c r="BD118" i="1"/>
  <c r="BE118" i="1"/>
  <c r="BB119" i="1"/>
  <c r="BC119" i="1"/>
  <c r="BD119" i="1"/>
  <c r="BE119" i="1"/>
  <c r="BB120" i="1"/>
  <c r="BC120" i="1"/>
  <c r="BD120" i="1"/>
  <c r="BE120" i="1"/>
  <c r="BB121" i="1"/>
  <c r="BC121" i="1"/>
  <c r="BD121" i="1"/>
  <c r="BE121" i="1"/>
  <c r="BB122" i="1"/>
  <c r="BC122" i="1"/>
  <c r="BD122" i="1"/>
  <c r="BE122" i="1"/>
  <c r="BB123" i="1"/>
  <c r="BC123" i="1"/>
  <c r="BD123" i="1"/>
  <c r="BE123" i="1"/>
  <c r="BB124" i="1"/>
  <c r="BC124" i="1"/>
  <c r="BD124" i="1"/>
  <c r="BE124" i="1"/>
  <c r="BB125" i="1"/>
  <c r="BC125" i="1"/>
  <c r="BD125" i="1"/>
  <c r="BE125" i="1"/>
  <c r="BB126" i="1"/>
  <c r="BC126" i="1"/>
  <c r="BD126" i="1"/>
  <c r="BE126" i="1"/>
  <c r="BB127" i="1"/>
  <c r="BC127" i="1"/>
  <c r="BD127" i="1"/>
  <c r="BE127" i="1"/>
  <c r="BB128" i="1"/>
  <c r="BC128" i="1"/>
  <c r="BD128" i="1"/>
  <c r="BE128" i="1"/>
  <c r="BB129" i="1"/>
  <c r="BC129" i="1"/>
  <c r="BD129" i="1"/>
  <c r="BE129" i="1"/>
  <c r="BB130" i="1"/>
  <c r="BC130" i="1"/>
  <c r="BD130" i="1"/>
  <c r="BE130" i="1"/>
  <c r="BB131" i="1"/>
  <c r="BC131" i="1"/>
  <c r="BD131" i="1"/>
  <c r="BE131" i="1"/>
  <c r="BB132" i="1"/>
  <c r="BC132" i="1"/>
  <c r="BD132" i="1"/>
  <c r="BE132" i="1"/>
  <c r="BB133" i="1"/>
  <c r="BC133" i="1"/>
  <c r="BD133" i="1"/>
  <c r="BE133" i="1"/>
  <c r="BB134" i="1"/>
  <c r="BC134" i="1"/>
  <c r="BD134" i="1"/>
  <c r="BE134" i="1"/>
  <c r="BB135" i="1"/>
  <c r="BC135" i="1"/>
  <c r="BD135" i="1"/>
  <c r="BE135" i="1"/>
  <c r="BB136" i="1"/>
  <c r="BC136" i="1"/>
  <c r="BD136" i="1"/>
  <c r="BE136" i="1"/>
  <c r="BB137" i="1"/>
  <c r="BC137" i="1"/>
  <c r="BD137" i="1"/>
  <c r="BE137" i="1"/>
  <c r="BB138" i="1"/>
  <c r="BC138" i="1"/>
  <c r="BD138" i="1"/>
  <c r="BE138" i="1"/>
  <c r="BB139" i="1"/>
  <c r="BC139" i="1"/>
  <c r="BD139" i="1"/>
  <c r="BE139" i="1"/>
  <c r="BB140" i="1"/>
  <c r="BC140" i="1"/>
  <c r="BD140" i="1"/>
  <c r="BE140" i="1"/>
  <c r="BB141" i="1"/>
  <c r="BC141" i="1"/>
  <c r="BD141" i="1"/>
  <c r="BE141" i="1"/>
  <c r="BB142" i="1"/>
  <c r="BC142" i="1"/>
  <c r="BD142" i="1"/>
  <c r="BE142" i="1"/>
  <c r="BB143" i="1"/>
  <c r="BC143" i="1"/>
  <c r="BD143" i="1"/>
  <c r="BE143" i="1"/>
  <c r="BB144" i="1"/>
  <c r="BC144" i="1"/>
  <c r="BD144" i="1"/>
  <c r="BE144" i="1"/>
  <c r="BB145" i="1"/>
  <c r="BF145" i="1" s="1"/>
  <c r="BC145" i="1"/>
  <c r="BG145" i="1" s="1"/>
  <c r="BD145" i="1"/>
  <c r="BH145" i="1" s="1"/>
  <c r="BE145" i="1"/>
  <c r="BB146" i="1"/>
  <c r="BF146" i="1" s="1"/>
  <c r="BC146" i="1"/>
  <c r="BG146" i="1" s="1"/>
  <c r="BD146" i="1"/>
  <c r="BH146" i="1" s="1"/>
  <c r="BE146" i="1"/>
  <c r="BI146" i="1" s="1"/>
  <c r="BB147" i="1"/>
  <c r="BF147" i="1" s="1"/>
  <c r="BC147" i="1"/>
  <c r="BG147" i="1" s="1"/>
  <c r="BD147" i="1"/>
  <c r="BH147" i="1" s="1"/>
  <c r="BE147" i="1"/>
  <c r="BI147" i="1" s="1"/>
  <c r="BB148" i="1"/>
  <c r="BF148" i="1" s="1"/>
  <c r="BC148" i="1"/>
  <c r="BG148" i="1" s="1"/>
  <c r="BD148" i="1"/>
  <c r="BH148" i="1" s="1"/>
  <c r="BE148" i="1"/>
  <c r="BI148" i="1" s="1"/>
  <c r="BB149" i="1"/>
  <c r="BF149" i="1" s="1"/>
  <c r="BC149" i="1"/>
  <c r="BD149" i="1"/>
  <c r="BH149" i="1" s="1"/>
  <c r="BE149" i="1"/>
  <c r="BI149" i="1" s="1"/>
  <c r="BB150" i="1"/>
  <c r="BF150" i="1" s="1"/>
  <c r="BC150" i="1"/>
  <c r="BG150" i="1" s="1"/>
  <c r="BD150" i="1"/>
  <c r="BH150" i="1" s="1"/>
  <c r="BE150" i="1"/>
  <c r="BI150" i="1" s="1"/>
  <c r="BB151" i="1"/>
  <c r="BF151" i="1" s="1"/>
  <c r="BC151" i="1"/>
  <c r="BG151" i="1" s="1"/>
  <c r="BD151" i="1"/>
  <c r="BH151" i="1" s="1"/>
  <c r="BE151" i="1"/>
  <c r="BI151" i="1" s="1"/>
  <c r="AD118" i="1"/>
  <c r="AE118" i="1" s="1"/>
  <c r="AF118" i="1" s="1"/>
  <c r="AG118" i="1" s="1"/>
  <c r="AO118" i="1" s="1"/>
  <c r="V154" i="1"/>
  <c r="T154" i="1"/>
  <c r="R154" i="1"/>
  <c r="O154" i="1" l="1"/>
  <c r="O110" i="1"/>
  <c r="BG154" i="1"/>
  <c r="BI154" i="1"/>
  <c r="BF154" i="1"/>
  <c r="BH154" i="1"/>
  <c r="BJ154" i="1"/>
  <c r="BK154" i="1"/>
  <c r="BM154" i="1"/>
  <c r="BL154" i="1"/>
  <c r="BL159" i="1"/>
  <c r="BK159" i="1"/>
  <c r="BJ159" i="1"/>
  <c r="BM159" i="1"/>
  <c r="AN118" i="1"/>
  <c r="AL118" i="1"/>
  <c r="BG149" i="1"/>
  <c r="BI145" i="1"/>
  <c r="BK110" i="1"/>
  <c r="BJ110" i="1"/>
  <c r="BL110" i="1"/>
  <c r="BM110" i="1"/>
  <c r="BI110" i="1"/>
  <c r="AM118" i="1"/>
  <c r="V149" i="1"/>
  <c r="V150" i="1"/>
  <c r="O150" i="1" s="1"/>
  <c r="V148" i="1"/>
  <c r="O148" i="1" s="1"/>
  <c r="V145" i="1"/>
  <c r="O145" i="1" s="1"/>
  <c r="T142" i="1"/>
  <c r="R143" i="1"/>
  <c r="R142" i="1"/>
  <c r="V137" i="1"/>
  <c r="V155" i="1" s="1"/>
  <c r="V138" i="1"/>
  <c r="BK138" i="1" s="1"/>
  <c r="T137" i="1"/>
  <c r="T155" i="1" s="1"/>
  <c r="T138" i="1"/>
  <c r="R139" i="1"/>
  <c r="O139" i="1" s="1"/>
  <c r="R138" i="1"/>
  <c r="R137" i="1"/>
  <c r="V133" i="1"/>
  <c r="V132" i="1"/>
  <c r="BK132" i="1" s="1"/>
  <c r="V131" i="1"/>
  <c r="T134" i="1"/>
  <c r="T133" i="1"/>
  <c r="T132" i="1"/>
  <c r="T131" i="1"/>
  <c r="R134" i="1"/>
  <c r="R133" i="1"/>
  <c r="R132" i="1"/>
  <c r="O132" i="1" s="1"/>
  <c r="R131" i="1"/>
  <c r="O131" i="1" s="1"/>
  <c r="D84" i="102"/>
  <c r="C84" i="102"/>
  <c r="D83" i="102"/>
  <c r="C83" i="102"/>
  <c r="J83" i="102" s="1"/>
  <c r="C65" i="102"/>
  <c r="B41" i="102" s="1"/>
  <c r="E84" i="102" s="1"/>
  <c r="D41" i="102"/>
  <c r="F84" i="102" s="1"/>
  <c r="D40" i="102"/>
  <c r="F83" i="102" s="1"/>
  <c r="C21" i="102"/>
  <c r="C6" i="102"/>
  <c r="C11" i="102" s="1"/>
  <c r="C5" i="102"/>
  <c r="D84" i="101"/>
  <c r="C84" i="101"/>
  <c r="D83" i="101"/>
  <c r="C83" i="101"/>
  <c r="C65" i="101"/>
  <c r="B41" i="101" s="1"/>
  <c r="E84" i="101" s="1"/>
  <c r="D41" i="101"/>
  <c r="F84" i="101" s="1"/>
  <c r="D40" i="101"/>
  <c r="F83" i="101" s="1"/>
  <c r="C21" i="101"/>
  <c r="C6" i="101"/>
  <c r="C11" i="101" s="1"/>
  <c r="D84" i="100"/>
  <c r="C84" i="100"/>
  <c r="C5" i="100" s="1"/>
  <c r="D83" i="100"/>
  <c r="C83" i="100"/>
  <c r="C65" i="100"/>
  <c r="B41" i="100" s="1"/>
  <c r="D41" i="100"/>
  <c r="F84" i="100" s="1"/>
  <c r="D40" i="100"/>
  <c r="F83" i="100" s="1"/>
  <c r="C21" i="100"/>
  <c r="C6" i="100"/>
  <c r="C11" i="100" s="1"/>
  <c r="T125" i="1"/>
  <c r="T126" i="1"/>
  <c r="V126" i="1"/>
  <c r="T127" i="1"/>
  <c r="V127" i="1"/>
  <c r="T128" i="1"/>
  <c r="V128" i="1"/>
  <c r="T129" i="1"/>
  <c r="V129" i="1"/>
  <c r="R125" i="1"/>
  <c r="R126" i="1"/>
  <c r="O126" i="1" s="1"/>
  <c r="R127" i="1"/>
  <c r="R128" i="1"/>
  <c r="R129" i="1"/>
  <c r="V115" i="1"/>
  <c r="BM115" i="1" s="1"/>
  <c r="V116" i="1"/>
  <c r="V117" i="1"/>
  <c r="BM117" i="1" s="1"/>
  <c r="V118" i="1"/>
  <c r="V119" i="1"/>
  <c r="V120" i="1"/>
  <c r="V121" i="1"/>
  <c r="V122" i="1"/>
  <c r="T115" i="1"/>
  <c r="T116" i="1"/>
  <c r="T117" i="1"/>
  <c r="T118" i="1"/>
  <c r="T119" i="1"/>
  <c r="T120" i="1"/>
  <c r="T121" i="1"/>
  <c r="T122" i="1"/>
  <c r="T113" i="1"/>
  <c r="T190" i="1" s="1"/>
  <c r="R115" i="1"/>
  <c r="R116" i="1"/>
  <c r="R117" i="1"/>
  <c r="R118" i="1"/>
  <c r="R119" i="1"/>
  <c r="R120" i="1"/>
  <c r="R121" i="1"/>
  <c r="R122" i="1"/>
  <c r="R113" i="1"/>
  <c r="V111" i="1"/>
  <c r="T111" i="1"/>
  <c r="R111" i="1"/>
  <c r="EM684" i="98"/>
  <c r="EL684" i="98"/>
  <c r="EK684" i="98"/>
  <c r="EJ684" i="98"/>
  <c r="EI684" i="98"/>
  <c r="CE684" i="98"/>
  <c r="CD684" i="98"/>
  <c r="CC684" i="98"/>
  <c r="CB684" i="98"/>
  <c r="CA684" i="98"/>
  <c r="BI684" i="98"/>
  <c r="BH684" i="98"/>
  <c r="BH683" i="98" s="1"/>
  <c r="BG684" i="98"/>
  <c r="BF684" i="98"/>
  <c r="BF683" i="98" s="1"/>
  <c r="BE684" i="98"/>
  <c r="AZ684" i="98"/>
  <c r="BL684" i="98" s="1"/>
  <c r="BL683" i="98" s="1"/>
  <c r="AY684" i="98"/>
  <c r="EO684" i="98" s="1"/>
  <c r="AX684" i="98"/>
  <c r="EN684" i="98" s="1"/>
  <c r="AQ684" i="98"/>
  <c r="ET683" i="98"/>
  <c r="ES683" i="98"/>
  <c r="ER683" i="98"/>
  <c r="EQ683" i="98"/>
  <c r="EP683" i="98"/>
  <c r="EO683" i="98"/>
  <c r="EN683" i="98"/>
  <c r="EM683" i="98"/>
  <c r="EL683" i="98"/>
  <c r="EK683" i="98"/>
  <c r="EJ683" i="98"/>
  <c r="EI683" i="98"/>
  <c r="EH683" i="98"/>
  <c r="EG683" i="98"/>
  <c r="EF683" i="98"/>
  <c r="EE683" i="98"/>
  <c r="BI683" i="98"/>
  <c r="BG683" i="98"/>
  <c r="BE683" i="98"/>
  <c r="AQ683" i="98"/>
  <c r="ET682" i="98"/>
  <c r="ES682" i="98"/>
  <c r="ER682" i="98"/>
  <c r="EQ682" i="98"/>
  <c r="EP682" i="98"/>
  <c r="EO682" i="98"/>
  <c r="EN682" i="98"/>
  <c r="EM682" i="98"/>
  <c r="EL682" i="98"/>
  <c r="EK682" i="98"/>
  <c r="EJ682" i="98"/>
  <c r="EI682" i="98"/>
  <c r="EH682" i="98"/>
  <c r="EG682" i="98"/>
  <c r="EF682" i="98"/>
  <c r="EE682" i="98"/>
  <c r="CJ681" i="98"/>
  <c r="CI681" i="98"/>
  <c r="CH681" i="98"/>
  <c r="CE681" i="98"/>
  <c r="CD681" i="98"/>
  <c r="CC681" i="98"/>
  <c r="CB681" i="98"/>
  <c r="CA681" i="98"/>
  <c r="BA681" i="98"/>
  <c r="EQ681" i="98" s="1"/>
  <c r="AW681" i="98"/>
  <c r="EM681" i="98" s="1"/>
  <c r="AS681" i="98"/>
  <c r="EI681" i="98" s="1"/>
  <c r="F681" i="98"/>
  <c r="E681" i="98"/>
  <c r="EG681" i="98" s="1"/>
  <c r="D681" i="98"/>
  <c r="N681" i="98" s="1"/>
  <c r="AL681" i="98" s="1"/>
  <c r="C681" i="98"/>
  <c r="EE681" i="98" s="1"/>
  <c r="B681" i="98"/>
  <c r="A681" i="98"/>
  <c r="CJ680" i="98"/>
  <c r="CI680" i="98"/>
  <c r="CH680" i="98"/>
  <c r="CE680" i="98"/>
  <c r="CD680" i="98"/>
  <c r="CC680" i="98"/>
  <c r="CB680" i="98"/>
  <c r="CA680" i="98"/>
  <c r="BA680" i="98"/>
  <c r="EQ680" i="98" s="1"/>
  <c r="AW680" i="98"/>
  <c r="BI680" i="98" s="1"/>
  <c r="AS680" i="98"/>
  <c r="AV680" i="98" s="1"/>
  <c r="F680" i="98"/>
  <c r="V186" i="1" s="1"/>
  <c r="E680" i="98"/>
  <c r="D680" i="98"/>
  <c r="M680" i="98" s="1"/>
  <c r="AK680" i="98" s="1"/>
  <c r="C680" i="98"/>
  <c r="EE680" i="98" s="1"/>
  <c r="B680" i="98"/>
  <c r="CK679" i="98"/>
  <c r="CJ679" i="98"/>
  <c r="CI679" i="98"/>
  <c r="CH679" i="98"/>
  <c r="CE679" i="98"/>
  <c r="CD679" i="98"/>
  <c r="CC679" i="98"/>
  <c r="CB679" i="98"/>
  <c r="CA679" i="98"/>
  <c r="BA679" i="98"/>
  <c r="EQ679" i="98" s="1"/>
  <c r="AW679" i="98"/>
  <c r="BI679" i="98" s="1"/>
  <c r="AS679" i="98"/>
  <c r="EI679" i="98" s="1"/>
  <c r="F679" i="98"/>
  <c r="AF679" i="98" s="1"/>
  <c r="AR679" i="98" s="1"/>
  <c r="E679" i="98"/>
  <c r="EG679" i="98" s="1"/>
  <c r="D679" i="98"/>
  <c r="M679" i="98" s="1"/>
  <c r="AK679" i="98" s="1"/>
  <c r="C679" i="98"/>
  <c r="EE679" i="98" s="1"/>
  <c r="B679" i="98"/>
  <c r="CK678" i="98"/>
  <c r="CJ678" i="98"/>
  <c r="CI678" i="98"/>
  <c r="CH678" i="98"/>
  <c r="CE678" i="98"/>
  <c r="CD678" i="98"/>
  <c r="CC678" i="98"/>
  <c r="CB678" i="98"/>
  <c r="CA678" i="98"/>
  <c r="BA678" i="98"/>
  <c r="EQ678" i="98" s="1"/>
  <c r="AW678" i="98"/>
  <c r="BI678" i="98" s="1"/>
  <c r="AS678" i="98"/>
  <c r="BE678" i="98" s="1"/>
  <c r="F678" i="98"/>
  <c r="AD678" i="98" s="1"/>
  <c r="AP678" i="98" s="1"/>
  <c r="E678" i="98"/>
  <c r="D678" i="98"/>
  <c r="O678" i="98" s="1"/>
  <c r="AM678" i="98" s="1"/>
  <c r="C678" i="98"/>
  <c r="EE678" i="98" s="1"/>
  <c r="B678" i="98"/>
  <c r="CK677" i="98"/>
  <c r="CJ677" i="98"/>
  <c r="CI677" i="98"/>
  <c r="CH677" i="98"/>
  <c r="CE677" i="98"/>
  <c r="CD677" i="98"/>
  <c r="CC677" i="98"/>
  <c r="CB677" i="98"/>
  <c r="CA677" i="98"/>
  <c r="BA677" i="98"/>
  <c r="EQ677" i="98" s="1"/>
  <c r="AW677" i="98"/>
  <c r="BI677" i="98" s="1"/>
  <c r="AS677" i="98"/>
  <c r="F677" i="98"/>
  <c r="E677" i="98"/>
  <c r="EG677" i="98" s="1"/>
  <c r="D677" i="98"/>
  <c r="C677" i="98"/>
  <c r="EE677" i="98" s="1"/>
  <c r="B677" i="98"/>
  <c r="CK676" i="98"/>
  <c r="CJ676" i="98"/>
  <c r="CI676" i="98"/>
  <c r="CH676" i="98"/>
  <c r="CE676" i="98"/>
  <c r="CD676" i="98"/>
  <c r="CC676" i="98"/>
  <c r="CB676" i="98"/>
  <c r="CA676" i="98"/>
  <c r="BA676" i="98"/>
  <c r="EQ676" i="98" s="1"/>
  <c r="AW676" i="98"/>
  <c r="AZ676" i="98" s="1"/>
  <c r="EP676" i="98" s="1"/>
  <c r="AS676" i="98"/>
  <c r="BE676" i="98" s="1"/>
  <c r="M676" i="98"/>
  <c r="AK676" i="98" s="1"/>
  <c r="F676" i="98"/>
  <c r="E676" i="98"/>
  <c r="W676" i="98" s="1"/>
  <c r="D676" i="98"/>
  <c r="N676" i="98" s="1"/>
  <c r="AL676" i="98" s="1"/>
  <c r="C676" i="98"/>
  <c r="EE676" i="98" s="1"/>
  <c r="B676" i="98"/>
  <c r="CK675" i="98"/>
  <c r="CJ675" i="98"/>
  <c r="CI675" i="98"/>
  <c r="CH675" i="98"/>
  <c r="CE675" i="98"/>
  <c r="CD675" i="98"/>
  <c r="CC675" i="98"/>
  <c r="CB675" i="98"/>
  <c r="CA675" i="98"/>
  <c r="BA675" i="98"/>
  <c r="EQ675" i="98" s="1"/>
  <c r="AW675" i="98"/>
  <c r="BI675" i="98" s="1"/>
  <c r="AS675" i="98"/>
  <c r="F675" i="98"/>
  <c r="AD675" i="98" s="1"/>
  <c r="AP675" i="98" s="1"/>
  <c r="E675" i="98"/>
  <c r="W675" i="98" s="1"/>
  <c r="D675" i="98"/>
  <c r="M675" i="98" s="1"/>
  <c r="AK675" i="98" s="1"/>
  <c r="C675" i="98"/>
  <c r="EE675" i="98" s="1"/>
  <c r="B675" i="98"/>
  <c r="CK674" i="98"/>
  <c r="CJ674" i="98"/>
  <c r="CI674" i="98"/>
  <c r="CH674" i="98"/>
  <c r="CE674" i="98"/>
  <c r="CD674" i="98"/>
  <c r="CC674" i="98"/>
  <c r="CB674" i="98"/>
  <c r="CA674" i="98"/>
  <c r="BA674" i="98"/>
  <c r="EQ674" i="98" s="1"/>
  <c r="AW674" i="98"/>
  <c r="AZ674" i="98" s="1"/>
  <c r="BL674" i="98" s="1"/>
  <c r="AS674" i="98"/>
  <c r="AU674" i="98" s="1"/>
  <c r="F674" i="98"/>
  <c r="E674" i="98"/>
  <c r="EG674" i="98" s="1"/>
  <c r="D674" i="98"/>
  <c r="C674" i="98"/>
  <c r="EE674" i="98" s="1"/>
  <c r="B674" i="98"/>
  <c r="CK673" i="98"/>
  <c r="CJ673" i="98"/>
  <c r="CI673" i="98"/>
  <c r="CH673" i="98"/>
  <c r="CE673" i="98"/>
  <c r="CD673" i="98"/>
  <c r="CC673" i="98"/>
  <c r="CB673" i="98"/>
  <c r="CA673" i="98"/>
  <c r="BA673" i="98"/>
  <c r="EQ673" i="98" s="1"/>
  <c r="AW673" i="98"/>
  <c r="AY673" i="98" s="1"/>
  <c r="EO673" i="98" s="1"/>
  <c r="AS673" i="98"/>
  <c r="AU673" i="98" s="1"/>
  <c r="M673" i="98"/>
  <c r="AK673" i="98" s="1"/>
  <c r="F673" i="98"/>
  <c r="AE673" i="98" s="1"/>
  <c r="AQ673" i="98" s="1"/>
  <c r="E673" i="98"/>
  <c r="W673" i="98" s="1"/>
  <c r="D673" i="98"/>
  <c r="N673" i="98" s="1"/>
  <c r="AL673" i="98" s="1"/>
  <c r="C673" i="98"/>
  <c r="EE673" i="98" s="1"/>
  <c r="B673" i="98"/>
  <c r="CK672" i="98"/>
  <c r="CJ672" i="98"/>
  <c r="CI672" i="98"/>
  <c r="CH672" i="98"/>
  <c r="CE672" i="98"/>
  <c r="CD672" i="98"/>
  <c r="CC672" i="98"/>
  <c r="CB672" i="98"/>
  <c r="CA672" i="98"/>
  <c r="BA672" i="98"/>
  <c r="EQ672" i="98" s="1"/>
  <c r="AW672" i="98"/>
  <c r="AY672" i="98" s="1"/>
  <c r="BK672" i="98" s="1"/>
  <c r="AS672" i="98"/>
  <c r="F672" i="98"/>
  <c r="AD672" i="98" s="1"/>
  <c r="AP672" i="98" s="1"/>
  <c r="E672" i="98"/>
  <c r="W672" i="98" s="1"/>
  <c r="D672" i="98"/>
  <c r="N672" i="98" s="1"/>
  <c r="AL672" i="98" s="1"/>
  <c r="C672" i="98"/>
  <c r="EE672" i="98" s="1"/>
  <c r="B672" i="98"/>
  <c r="CK671" i="98"/>
  <c r="CJ671" i="98"/>
  <c r="CI671" i="98"/>
  <c r="CH671" i="98"/>
  <c r="CE671" i="98"/>
  <c r="CD671" i="98"/>
  <c r="CC671" i="98"/>
  <c r="CB671" i="98"/>
  <c r="CA671" i="98"/>
  <c r="BE671" i="98"/>
  <c r="BA671" i="98"/>
  <c r="EQ671" i="98" s="1"/>
  <c r="AW671" i="98"/>
  <c r="AS671" i="98"/>
  <c r="F671" i="98"/>
  <c r="AF671" i="98" s="1"/>
  <c r="AR671" i="98" s="1"/>
  <c r="E671" i="98"/>
  <c r="U671" i="98" s="1"/>
  <c r="D671" i="98"/>
  <c r="C671" i="98"/>
  <c r="EE671" i="98" s="1"/>
  <c r="B671" i="98"/>
  <c r="CK670" i="98"/>
  <c r="CJ670" i="98"/>
  <c r="CI670" i="98"/>
  <c r="CH670" i="98"/>
  <c r="CE670" i="98"/>
  <c r="CD670" i="98"/>
  <c r="CC670" i="98"/>
  <c r="CB670" i="98"/>
  <c r="CA670" i="98"/>
  <c r="BA670" i="98"/>
  <c r="EQ670" i="98" s="1"/>
  <c r="AX670" i="98"/>
  <c r="AW670" i="98"/>
  <c r="BI670" i="98" s="1"/>
  <c r="AS670" i="98"/>
  <c r="BE670" i="98" s="1"/>
  <c r="F670" i="98"/>
  <c r="AF670" i="98" s="1"/>
  <c r="AR670" i="98" s="1"/>
  <c r="E670" i="98"/>
  <c r="X670" i="98" s="1"/>
  <c r="D670" i="98"/>
  <c r="C670" i="98"/>
  <c r="EE670" i="98" s="1"/>
  <c r="B670" i="98"/>
  <c r="CK669" i="98"/>
  <c r="CJ669" i="98"/>
  <c r="CI669" i="98"/>
  <c r="CH669" i="98"/>
  <c r="CE669" i="98"/>
  <c r="CD669" i="98"/>
  <c r="CC669" i="98"/>
  <c r="CB669" i="98"/>
  <c r="CA669" i="98"/>
  <c r="BA669" i="98"/>
  <c r="EQ669" i="98" s="1"/>
  <c r="AW669" i="98"/>
  <c r="EM669" i="98" s="1"/>
  <c r="AS669" i="98"/>
  <c r="F669" i="98"/>
  <c r="EH669" i="98" s="1"/>
  <c r="E669" i="98"/>
  <c r="D669" i="98"/>
  <c r="O669" i="98" s="1"/>
  <c r="AM669" i="98" s="1"/>
  <c r="C669" i="98"/>
  <c r="EE669" i="98" s="1"/>
  <c r="B669" i="98"/>
  <c r="CK668" i="98"/>
  <c r="CJ668" i="98"/>
  <c r="CI668" i="98"/>
  <c r="CH668" i="98"/>
  <c r="CE668" i="98"/>
  <c r="CD668" i="98"/>
  <c r="CC668" i="98"/>
  <c r="CB668" i="98"/>
  <c r="CA668" i="98"/>
  <c r="BA668" i="98"/>
  <c r="EQ668" i="98" s="1"/>
  <c r="AW668" i="98"/>
  <c r="AV668" i="98"/>
  <c r="EL668" i="98" s="1"/>
  <c r="AS668" i="98"/>
  <c r="AU668" i="98" s="1"/>
  <c r="F668" i="98"/>
  <c r="AE668" i="98" s="1"/>
  <c r="AQ668" i="98" s="1"/>
  <c r="E668" i="98"/>
  <c r="W668" i="98" s="1"/>
  <c r="D668" i="98"/>
  <c r="EF668" i="98" s="1"/>
  <c r="C668" i="98"/>
  <c r="EE668" i="98" s="1"/>
  <c r="B668" i="98"/>
  <c r="CK667" i="98"/>
  <c r="CJ667" i="98"/>
  <c r="CI667" i="98"/>
  <c r="CH667" i="98"/>
  <c r="CE667" i="98"/>
  <c r="CD667" i="98"/>
  <c r="CC667" i="98"/>
  <c r="CB667" i="98"/>
  <c r="CA667" i="98"/>
  <c r="BA667" i="98"/>
  <c r="EQ667" i="98" s="1"/>
  <c r="AW667" i="98"/>
  <c r="AS667" i="98"/>
  <c r="F667" i="98"/>
  <c r="AF667" i="98" s="1"/>
  <c r="AR667" i="98" s="1"/>
  <c r="E667" i="98"/>
  <c r="EG667" i="98" s="1"/>
  <c r="D667" i="98"/>
  <c r="C667" i="98"/>
  <c r="EE667" i="98" s="1"/>
  <c r="B667" i="98"/>
  <c r="CK666" i="98"/>
  <c r="CJ666" i="98"/>
  <c r="CI666" i="98"/>
  <c r="CH666" i="98"/>
  <c r="CE666" i="98"/>
  <c r="CD666" i="98"/>
  <c r="CC666" i="98"/>
  <c r="CB666" i="98"/>
  <c r="CA666" i="98"/>
  <c r="BA666" i="98"/>
  <c r="EQ666" i="98" s="1"/>
  <c r="AW666" i="98"/>
  <c r="EM666" i="98" s="1"/>
  <c r="AS666" i="98"/>
  <c r="EI666" i="98" s="1"/>
  <c r="F666" i="98"/>
  <c r="AF666" i="98" s="1"/>
  <c r="AR666" i="98" s="1"/>
  <c r="E666" i="98"/>
  <c r="D666" i="98"/>
  <c r="N666" i="98" s="1"/>
  <c r="AL666" i="98" s="1"/>
  <c r="C666" i="98"/>
  <c r="EE666" i="98" s="1"/>
  <c r="B666" i="98"/>
  <c r="CK665" i="98"/>
  <c r="CJ665" i="98"/>
  <c r="CI665" i="98"/>
  <c r="CH665" i="98"/>
  <c r="CE665" i="98"/>
  <c r="CD665" i="98"/>
  <c r="CC665" i="98"/>
  <c r="CB665" i="98"/>
  <c r="CA665" i="98"/>
  <c r="BA665" i="98"/>
  <c r="EQ665" i="98" s="1"/>
  <c r="AW665" i="98"/>
  <c r="AS665" i="98"/>
  <c r="BE665" i="98" s="1"/>
  <c r="F665" i="98"/>
  <c r="AD665" i="98" s="1"/>
  <c r="AP665" i="98" s="1"/>
  <c r="E665" i="98"/>
  <c r="D665" i="98"/>
  <c r="N665" i="98" s="1"/>
  <c r="AL665" i="98" s="1"/>
  <c r="C665" i="98"/>
  <c r="EE665" i="98" s="1"/>
  <c r="B665" i="98"/>
  <c r="EL664" i="98"/>
  <c r="EK664" i="98"/>
  <c r="EJ664" i="98"/>
  <c r="CJ664" i="98"/>
  <c r="CH664" i="98"/>
  <c r="CE664" i="98"/>
  <c r="CD664" i="98"/>
  <c r="CC664" i="98"/>
  <c r="CB664" i="98"/>
  <c r="CA664" i="98"/>
  <c r="BH664" i="98"/>
  <c r="BG664" i="98"/>
  <c r="BF664" i="98"/>
  <c r="BB664" i="98"/>
  <c r="ER664" i="98" s="1"/>
  <c r="BC664" i="98"/>
  <c r="ES664" i="98" s="1"/>
  <c r="AW664" i="98"/>
  <c r="AZ664" i="98" s="1"/>
  <c r="EP664" i="98" s="1"/>
  <c r="BE664" i="98"/>
  <c r="AD190" i="1"/>
  <c r="B664" i="98"/>
  <c r="CK663" i="98"/>
  <c r="CJ663" i="98"/>
  <c r="CI663" i="98"/>
  <c r="CH663" i="98"/>
  <c r="CE663" i="98"/>
  <c r="CD663" i="98"/>
  <c r="CC663" i="98"/>
  <c r="CB663" i="98"/>
  <c r="CA663" i="98"/>
  <c r="BA663" i="98"/>
  <c r="EQ663" i="98" s="1"/>
  <c r="AZ663" i="98"/>
  <c r="EP663" i="98" s="1"/>
  <c r="AW663" i="98"/>
  <c r="BI663" i="98" s="1"/>
  <c r="AS663" i="98"/>
  <c r="BE663" i="98" s="1"/>
  <c r="AD189" i="1"/>
  <c r="F663" i="98"/>
  <c r="AF663" i="98" s="1"/>
  <c r="AR663" i="98" s="1"/>
  <c r="E663" i="98"/>
  <c r="U663" i="98" s="1"/>
  <c r="D663" i="98"/>
  <c r="N663" i="98" s="1"/>
  <c r="AL663" i="98" s="1"/>
  <c r="C663" i="98"/>
  <c r="EE663" i="98" s="1"/>
  <c r="B663" i="98"/>
  <c r="CJ662" i="98"/>
  <c r="CI662" i="98"/>
  <c r="CH662" i="98"/>
  <c r="CE662" i="98"/>
  <c r="CD662" i="98"/>
  <c r="CC662" i="98"/>
  <c r="CB662" i="98"/>
  <c r="CA662" i="98"/>
  <c r="BA662" i="98"/>
  <c r="EQ662" i="98" s="1"/>
  <c r="AW662" i="98"/>
  <c r="AY662" i="98" s="1"/>
  <c r="EO662" i="98" s="1"/>
  <c r="AS662" i="98"/>
  <c r="BE662" i="98" s="1"/>
  <c r="F662" i="98"/>
  <c r="E662" i="98"/>
  <c r="D662" i="98"/>
  <c r="O662" i="98" s="1"/>
  <c r="AM662" i="98" s="1"/>
  <c r="C662" i="98"/>
  <c r="EE662" i="98" s="1"/>
  <c r="B662" i="98"/>
  <c r="CJ661" i="98"/>
  <c r="CI661" i="98"/>
  <c r="CH661" i="98"/>
  <c r="CE661" i="98"/>
  <c r="CD661" i="98"/>
  <c r="CC661" i="98"/>
  <c r="CB661" i="98"/>
  <c r="CA661" i="98"/>
  <c r="BA661" i="98"/>
  <c r="EQ661" i="98" s="1"/>
  <c r="AW661" i="98"/>
  <c r="AY661" i="98" s="1"/>
  <c r="BK661" i="98" s="1"/>
  <c r="AS661" i="98"/>
  <c r="AU661" i="98" s="1"/>
  <c r="BG661" i="98" s="1"/>
  <c r="F661" i="98"/>
  <c r="AF661" i="98" s="1"/>
  <c r="AR661" i="98" s="1"/>
  <c r="E661" i="98"/>
  <c r="D661" i="98"/>
  <c r="EF661" i="98" s="1"/>
  <c r="C661" i="98"/>
  <c r="EE661" i="98" s="1"/>
  <c r="B661" i="98"/>
  <c r="CJ660" i="98"/>
  <c r="CI660" i="98"/>
  <c r="CH660" i="98"/>
  <c r="CE660" i="98"/>
  <c r="CD660" i="98"/>
  <c r="CC660" i="98"/>
  <c r="CB660" i="98"/>
  <c r="CA660" i="98"/>
  <c r="BA660" i="98"/>
  <c r="EQ660" i="98" s="1"/>
  <c r="AW660" i="98"/>
  <c r="AY660" i="98" s="1"/>
  <c r="AS660" i="98"/>
  <c r="AU660" i="98" s="1"/>
  <c r="AD187" i="1"/>
  <c r="F660" i="98"/>
  <c r="E660" i="98"/>
  <c r="V660" i="98" s="1"/>
  <c r="D660" i="98"/>
  <c r="C660" i="98"/>
  <c r="EE660" i="98" s="1"/>
  <c r="B660" i="98"/>
  <c r="CJ659" i="98"/>
  <c r="CH659" i="98"/>
  <c r="CE659" i="98"/>
  <c r="CD659" i="98"/>
  <c r="CC659" i="98"/>
  <c r="CB659" i="98"/>
  <c r="CA659" i="98"/>
  <c r="BD659" i="98"/>
  <c r="ET659" i="98" s="1"/>
  <c r="AZ659" i="98"/>
  <c r="AS659" i="98"/>
  <c r="AV659" i="98" s="1"/>
  <c r="AF659" i="98"/>
  <c r="AR659" i="98" s="1"/>
  <c r="EG659" i="98"/>
  <c r="EE659" i="98"/>
  <c r="B659" i="98"/>
  <c r="CJ658" i="98"/>
  <c r="CH658" i="98"/>
  <c r="CE658" i="98"/>
  <c r="CD658" i="98"/>
  <c r="CC658" i="98"/>
  <c r="CB658" i="98"/>
  <c r="CA658" i="98"/>
  <c r="BA658" i="98"/>
  <c r="EQ658" i="98" s="1"/>
  <c r="AW658" i="98"/>
  <c r="AS658" i="98"/>
  <c r="AT658" i="98" s="1"/>
  <c r="EJ658" i="98" s="1"/>
  <c r="AJ658" i="98"/>
  <c r="AI658" i="98"/>
  <c r="AH658" i="98"/>
  <c r="AG658" i="98"/>
  <c r="F658" i="98"/>
  <c r="AF658" i="98" s="1"/>
  <c r="E658" i="98"/>
  <c r="EG658" i="98" s="1"/>
  <c r="D658" i="98"/>
  <c r="P658" i="98" s="1"/>
  <c r="C658" i="98"/>
  <c r="EE658" i="98" s="1"/>
  <c r="B658" i="98"/>
  <c r="CJ657" i="98"/>
  <c r="CH657" i="98"/>
  <c r="CE657" i="98"/>
  <c r="CD657" i="98"/>
  <c r="CC657" i="98"/>
  <c r="CB657" i="98"/>
  <c r="CA657" i="98"/>
  <c r="AY657" i="98"/>
  <c r="AS657" i="98"/>
  <c r="E657" i="98"/>
  <c r="T184" i="1" s="1"/>
  <c r="D657" i="98"/>
  <c r="R184" i="1" s="1"/>
  <c r="B657" i="98"/>
  <c r="CJ656" i="98"/>
  <c r="CH656" i="98"/>
  <c r="CE656" i="98"/>
  <c r="CD656" i="98"/>
  <c r="CC656" i="98"/>
  <c r="CB656" i="98"/>
  <c r="CA656" i="98"/>
  <c r="BA656" i="98"/>
  <c r="EQ656" i="98" s="1"/>
  <c r="AW656" i="98"/>
  <c r="AY656" i="98" s="1"/>
  <c r="AS656" i="98"/>
  <c r="AU656" i="98" s="1"/>
  <c r="AJ656" i="98"/>
  <c r="AI656" i="98"/>
  <c r="AH656" i="98"/>
  <c r="AG656" i="98"/>
  <c r="F656" i="98"/>
  <c r="AF656" i="98" s="1"/>
  <c r="E656" i="98"/>
  <c r="W656" i="98" s="1"/>
  <c r="D656" i="98"/>
  <c r="P656" i="98" s="1"/>
  <c r="C656" i="98"/>
  <c r="EE656" i="98" s="1"/>
  <c r="B656" i="98"/>
  <c r="CJ655" i="98"/>
  <c r="CH655" i="98"/>
  <c r="CE655" i="98"/>
  <c r="CD655" i="98"/>
  <c r="CC655" i="98"/>
  <c r="CB655" i="98"/>
  <c r="CA655" i="98"/>
  <c r="BI655" i="98"/>
  <c r="AY655" i="98"/>
  <c r="AS655" i="98"/>
  <c r="B655" i="98"/>
  <c r="CJ654" i="98"/>
  <c r="CH654" i="98"/>
  <c r="CE654" i="98"/>
  <c r="CD654" i="98"/>
  <c r="CC654" i="98"/>
  <c r="CB654" i="98"/>
  <c r="CA654" i="98"/>
  <c r="BA654" i="98"/>
  <c r="EQ654" i="98" s="1"/>
  <c r="AW654" i="98"/>
  <c r="BI654" i="98" s="1"/>
  <c r="AS654" i="98"/>
  <c r="BE654" i="98" s="1"/>
  <c r="F654" i="98"/>
  <c r="V182" i="1" s="1"/>
  <c r="E654" i="98"/>
  <c r="T182" i="1" s="1"/>
  <c r="D654" i="98"/>
  <c r="C654" i="98"/>
  <c r="EE654" i="98" s="1"/>
  <c r="B654" i="98"/>
  <c r="CJ653" i="98"/>
  <c r="CH653" i="98"/>
  <c r="CE653" i="98"/>
  <c r="CD653" i="98"/>
  <c r="CC653" i="98"/>
  <c r="CB653" i="98"/>
  <c r="CA653" i="98"/>
  <c r="BA653" i="98"/>
  <c r="EQ653" i="98" s="1"/>
  <c r="AW653" i="98"/>
  <c r="BI653" i="98" s="1"/>
  <c r="AS653" i="98"/>
  <c r="F653" i="98"/>
  <c r="V181" i="1" s="1"/>
  <c r="E653" i="98"/>
  <c r="T181" i="1" s="1"/>
  <c r="D653" i="98"/>
  <c r="EF653" i="98" s="1"/>
  <c r="C653" i="98"/>
  <c r="EE653" i="98" s="1"/>
  <c r="B653" i="98"/>
  <c r="CJ652" i="98"/>
  <c r="CH652" i="98"/>
  <c r="CE652" i="98"/>
  <c r="CD652" i="98"/>
  <c r="CC652" i="98"/>
  <c r="CB652" i="98"/>
  <c r="CA652" i="98"/>
  <c r="BA652" i="98"/>
  <c r="EQ652" i="98" s="1"/>
  <c r="AW652" i="98"/>
  <c r="BI652" i="98" s="1"/>
  <c r="AU652" i="98"/>
  <c r="BG652" i="98" s="1"/>
  <c r="AS652" i="98"/>
  <c r="BE652" i="98" s="1"/>
  <c r="F652" i="98"/>
  <c r="E652" i="98"/>
  <c r="D652" i="98"/>
  <c r="R180" i="1" s="1"/>
  <c r="C652" i="98"/>
  <c r="EE652" i="98" s="1"/>
  <c r="B652" i="98"/>
  <c r="CJ651" i="98"/>
  <c r="CH651" i="98"/>
  <c r="CE651" i="98"/>
  <c r="CD651" i="98"/>
  <c r="CC651" i="98"/>
  <c r="CB651" i="98"/>
  <c r="CA651" i="98"/>
  <c r="EQ651" i="98"/>
  <c r="AY651" i="98"/>
  <c r="EM651" i="98"/>
  <c r="AS651" i="98"/>
  <c r="EI651" i="98" s="1"/>
  <c r="W651" i="98"/>
  <c r="EE651" i="98"/>
  <c r="B651" i="98"/>
  <c r="CJ650" i="98"/>
  <c r="CH650" i="98"/>
  <c r="CE650" i="98"/>
  <c r="CD650" i="98"/>
  <c r="CC650" i="98"/>
  <c r="CB650" i="98"/>
  <c r="CA650" i="98"/>
  <c r="EQ650" i="98"/>
  <c r="AY650" i="98"/>
  <c r="EO650" i="98" s="1"/>
  <c r="EM650" i="98"/>
  <c r="AS650" i="98"/>
  <c r="EI650" i="98" s="1"/>
  <c r="AF650" i="98"/>
  <c r="AR650" i="98" s="1"/>
  <c r="EG650" i="98"/>
  <c r="N650" i="98"/>
  <c r="AL650" i="98" s="1"/>
  <c r="EE650" i="98"/>
  <c r="B650" i="98"/>
  <c r="CJ649" i="98"/>
  <c r="CH649" i="98"/>
  <c r="CE649" i="98"/>
  <c r="CD649" i="98"/>
  <c r="CC649" i="98"/>
  <c r="CB649" i="98"/>
  <c r="CA649" i="98"/>
  <c r="BA649" i="98"/>
  <c r="EQ649" i="98" s="1"/>
  <c r="AW649" i="98"/>
  <c r="AZ649" i="98" s="1"/>
  <c r="EP649" i="98" s="1"/>
  <c r="AS649" i="98"/>
  <c r="AV649" i="98" s="1"/>
  <c r="F649" i="98"/>
  <c r="V177" i="1" s="1"/>
  <c r="E649" i="98"/>
  <c r="EG649" i="98" s="1"/>
  <c r="D649" i="98"/>
  <c r="P649" i="98" s="1"/>
  <c r="AN649" i="98" s="1"/>
  <c r="C649" i="98"/>
  <c r="EE649" i="98" s="1"/>
  <c r="B649" i="98"/>
  <c r="DA648" i="98"/>
  <c r="CJ648" i="98"/>
  <c r="CH648" i="98"/>
  <c r="CE648" i="98"/>
  <c r="CD648" i="98"/>
  <c r="CC648" i="98"/>
  <c r="CB648" i="98"/>
  <c r="CA648" i="98"/>
  <c r="B648" i="98"/>
  <c r="CJ647" i="98"/>
  <c r="CH647" i="98"/>
  <c r="CE647" i="98"/>
  <c r="CD647" i="98"/>
  <c r="CC647" i="98"/>
  <c r="CB647" i="98"/>
  <c r="CA647" i="98"/>
  <c r="BA647" i="98"/>
  <c r="EQ647" i="98" s="1"/>
  <c r="AW647" i="98"/>
  <c r="BI647" i="98" s="1"/>
  <c r="AS647" i="98"/>
  <c r="BE647" i="98" s="1"/>
  <c r="AD184" i="1"/>
  <c r="F647" i="98"/>
  <c r="EH647" i="98" s="1"/>
  <c r="E647" i="98"/>
  <c r="W647" i="98" s="1"/>
  <c r="D647" i="98"/>
  <c r="C647" i="98"/>
  <c r="EE647" i="98" s="1"/>
  <c r="B647" i="98"/>
  <c r="EQ646" i="98"/>
  <c r="CJ646" i="98"/>
  <c r="CH646" i="98"/>
  <c r="CE646" i="98"/>
  <c r="CD646" i="98"/>
  <c r="CC646" i="98"/>
  <c r="CB646" i="98"/>
  <c r="CA646" i="98"/>
  <c r="BD646" i="98"/>
  <c r="ET646" i="98" s="1"/>
  <c r="BC646" i="98"/>
  <c r="ES646" i="98" s="1"/>
  <c r="BB646" i="98"/>
  <c r="ER646" i="98" s="1"/>
  <c r="AY646" i="98"/>
  <c r="EO646" i="98" s="1"/>
  <c r="AX646" i="98"/>
  <c r="EM646" i="98"/>
  <c r="AS646" i="98"/>
  <c r="E646" i="98"/>
  <c r="T175" i="1" s="1"/>
  <c r="D646" i="98"/>
  <c r="R175" i="1" s="1"/>
  <c r="B646" i="98"/>
  <c r="CJ645" i="98"/>
  <c r="CH645" i="98"/>
  <c r="CE645" i="98"/>
  <c r="CD645" i="98"/>
  <c r="CC645" i="98"/>
  <c r="CB645" i="98"/>
  <c r="CA645" i="98"/>
  <c r="BA645" i="98"/>
  <c r="EQ645" i="98" s="1"/>
  <c r="AW645" i="98"/>
  <c r="BI645" i="98" s="1"/>
  <c r="AS645" i="98"/>
  <c r="BE645" i="98" s="1"/>
  <c r="AD183" i="1"/>
  <c r="F645" i="98"/>
  <c r="AD645" i="98" s="1"/>
  <c r="AP645" i="98" s="1"/>
  <c r="E645" i="98"/>
  <c r="V645" i="98" s="1"/>
  <c r="D645" i="98"/>
  <c r="P645" i="98" s="1"/>
  <c r="AN645" i="98" s="1"/>
  <c r="C645" i="98"/>
  <c r="EE645" i="98" s="1"/>
  <c r="B645" i="98"/>
  <c r="CJ644" i="98"/>
  <c r="CH644" i="98"/>
  <c r="CE644" i="98"/>
  <c r="CD644" i="98"/>
  <c r="CC644" i="98"/>
  <c r="CB644" i="98"/>
  <c r="CA644" i="98"/>
  <c r="AS644" i="98"/>
  <c r="BE644" i="98" s="1"/>
  <c r="E644" i="98"/>
  <c r="T174" i="1" s="1"/>
  <c r="D644" i="98"/>
  <c r="O644" i="98" s="1"/>
  <c r="AM644" i="98" s="1"/>
  <c r="C644" i="98"/>
  <c r="EE644" i="98" s="1"/>
  <c r="B644" i="98"/>
  <c r="CJ643" i="98"/>
  <c r="CH643" i="98"/>
  <c r="CE643" i="98"/>
  <c r="CD643" i="98"/>
  <c r="CC643" i="98"/>
  <c r="CB643" i="98"/>
  <c r="CA643" i="98"/>
  <c r="BA643" i="98"/>
  <c r="EQ643" i="98" s="1"/>
  <c r="AW643" i="98"/>
  <c r="AS643" i="98"/>
  <c r="AU643" i="98" s="1"/>
  <c r="BG643" i="98" s="1"/>
  <c r="F643" i="98"/>
  <c r="E643" i="98"/>
  <c r="U643" i="98" s="1"/>
  <c r="D643" i="98"/>
  <c r="C643" i="98"/>
  <c r="EE643" i="98" s="1"/>
  <c r="B643" i="98"/>
  <c r="CJ642" i="98"/>
  <c r="CH642" i="98"/>
  <c r="CE642" i="98"/>
  <c r="CD642" i="98"/>
  <c r="CC642" i="98"/>
  <c r="CB642" i="98"/>
  <c r="CA642" i="98"/>
  <c r="BA642" i="98"/>
  <c r="EQ642" i="98" s="1"/>
  <c r="AW642" i="98"/>
  <c r="BI642" i="98" s="1"/>
  <c r="AS642" i="98"/>
  <c r="BE642" i="98" s="1"/>
  <c r="F642" i="98"/>
  <c r="EH642" i="98" s="1"/>
  <c r="E642" i="98"/>
  <c r="W642" i="98" s="1"/>
  <c r="D642" i="98"/>
  <c r="EF642" i="98" s="1"/>
  <c r="C642" i="98"/>
  <c r="EE642" i="98" s="1"/>
  <c r="B642" i="98"/>
  <c r="CJ641" i="98"/>
  <c r="CH641" i="98"/>
  <c r="CE641" i="98"/>
  <c r="CD641" i="98"/>
  <c r="CC641" i="98"/>
  <c r="CB641" i="98"/>
  <c r="CA641" i="98"/>
  <c r="BA641" i="98"/>
  <c r="EQ641" i="98" s="1"/>
  <c r="AW641" i="98"/>
  <c r="AZ641" i="98" s="1"/>
  <c r="AS641" i="98"/>
  <c r="AV641" i="98" s="1"/>
  <c r="AD179" i="1"/>
  <c r="F641" i="98"/>
  <c r="AF641" i="98" s="1"/>
  <c r="AR641" i="98" s="1"/>
  <c r="E641" i="98"/>
  <c r="EG641" i="98" s="1"/>
  <c r="D641" i="98"/>
  <c r="C641" i="98"/>
  <c r="EE641" i="98" s="1"/>
  <c r="B641" i="98"/>
  <c r="CJ640" i="98"/>
  <c r="CH640" i="98"/>
  <c r="CE640" i="98"/>
  <c r="CD640" i="98"/>
  <c r="CC640" i="98"/>
  <c r="CB640" i="98"/>
  <c r="CA640" i="98"/>
  <c r="BA640" i="98"/>
  <c r="EQ640" i="98" s="1"/>
  <c r="AW640" i="98"/>
  <c r="BI640" i="98" s="1"/>
  <c r="AU640" i="98"/>
  <c r="EK640" i="98" s="1"/>
  <c r="AS640" i="98"/>
  <c r="BE640" i="98" s="1"/>
  <c r="AD178" i="1"/>
  <c r="F640" i="98"/>
  <c r="EH640" i="98" s="1"/>
  <c r="E640" i="98"/>
  <c r="W640" i="98" s="1"/>
  <c r="D640" i="98"/>
  <c r="O640" i="98" s="1"/>
  <c r="AM640" i="98" s="1"/>
  <c r="C640" i="98"/>
  <c r="EE640" i="98" s="1"/>
  <c r="B640" i="98"/>
  <c r="CJ639" i="98"/>
  <c r="CH639" i="98"/>
  <c r="CE639" i="98"/>
  <c r="CD639" i="98"/>
  <c r="CC639" i="98"/>
  <c r="CB639" i="98"/>
  <c r="CA639" i="98"/>
  <c r="BA639" i="98"/>
  <c r="EQ639" i="98" s="1"/>
  <c r="AW639" i="98"/>
  <c r="EM639" i="98" s="1"/>
  <c r="AS639" i="98"/>
  <c r="EI639" i="98" s="1"/>
  <c r="F639" i="98"/>
  <c r="AF639" i="98" s="1"/>
  <c r="AR639" i="98" s="1"/>
  <c r="E639" i="98"/>
  <c r="V639" i="98" s="1"/>
  <c r="D639" i="98"/>
  <c r="N639" i="98" s="1"/>
  <c r="AL639" i="98" s="1"/>
  <c r="C639" i="98"/>
  <c r="EE639" i="98" s="1"/>
  <c r="B639" i="98"/>
  <c r="CJ638" i="98"/>
  <c r="CH638" i="98"/>
  <c r="CE638" i="98"/>
  <c r="CD638" i="98"/>
  <c r="CC638" i="98"/>
  <c r="CB638" i="98"/>
  <c r="CA638" i="98"/>
  <c r="BA638" i="98"/>
  <c r="EQ638" i="98" s="1"/>
  <c r="AW638" i="98"/>
  <c r="BI638" i="98" s="1"/>
  <c r="AS638" i="98"/>
  <c r="U638" i="98"/>
  <c r="F638" i="98"/>
  <c r="EH638" i="98" s="1"/>
  <c r="E638" i="98"/>
  <c r="W638" i="98" s="1"/>
  <c r="D638" i="98"/>
  <c r="EF638" i="98" s="1"/>
  <c r="C638" i="98"/>
  <c r="EE638" i="98" s="1"/>
  <c r="B638" i="98"/>
  <c r="CJ637" i="98"/>
  <c r="CH637" i="98"/>
  <c r="CE637" i="98"/>
  <c r="CD637" i="98"/>
  <c r="CC637" i="98"/>
  <c r="CB637" i="98"/>
  <c r="CA637" i="98"/>
  <c r="BA637" i="98"/>
  <c r="EQ637" i="98" s="1"/>
  <c r="AW637" i="98"/>
  <c r="BI637" i="98" s="1"/>
  <c r="AS637" i="98"/>
  <c r="AV637" i="98" s="1"/>
  <c r="AD175" i="1"/>
  <c r="F637" i="98"/>
  <c r="AD637" i="98" s="1"/>
  <c r="AP637" i="98" s="1"/>
  <c r="E637" i="98"/>
  <c r="EG637" i="98" s="1"/>
  <c r="D637" i="98"/>
  <c r="N637" i="98" s="1"/>
  <c r="AL637" i="98" s="1"/>
  <c r="C637" i="98"/>
  <c r="EE637" i="98" s="1"/>
  <c r="B637" i="98"/>
  <c r="CJ636" i="98"/>
  <c r="CH636" i="98"/>
  <c r="CE636" i="98"/>
  <c r="CD636" i="98"/>
  <c r="CC636" i="98"/>
  <c r="CB636" i="98"/>
  <c r="CA636" i="98"/>
  <c r="BA636" i="98"/>
  <c r="EQ636" i="98" s="1"/>
  <c r="AW636" i="98"/>
  <c r="BI636" i="98" s="1"/>
  <c r="AS636" i="98"/>
  <c r="BE636" i="98" s="1"/>
  <c r="AD174" i="1"/>
  <c r="F636" i="98"/>
  <c r="EH636" i="98" s="1"/>
  <c r="E636" i="98"/>
  <c r="W636" i="98" s="1"/>
  <c r="D636" i="98"/>
  <c r="M636" i="98" s="1"/>
  <c r="AK636" i="98" s="1"/>
  <c r="C636" i="98"/>
  <c r="EE636" i="98" s="1"/>
  <c r="B636" i="98"/>
  <c r="CJ635" i="98"/>
  <c r="CH635" i="98"/>
  <c r="CE635" i="98"/>
  <c r="CD635" i="98"/>
  <c r="CC635" i="98"/>
  <c r="CB635" i="98"/>
  <c r="CA635" i="98"/>
  <c r="BA635" i="98"/>
  <c r="EQ635" i="98" s="1"/>
  <c r="AW635" i="98"/>
  <c r="AS635" i="98"/>
  <c r="AV635" i="98" s="1"/>
  <c r="EL635" i="98" s="1"/>
  <c r="F635" i="98"/>
  <c r="AC635" i="98" s="1"/>
  <c r="AO635" i="98" s="1"/>
  <c r="E635" i="98"/>
  <c r="V635" i="98" s="1"/>
  <c r="D635" i="98"/>
  <c r="N635" i="98" s="1"/>
  <c r="AL635" i="98" s="1"/>
  <c r="C635" i="98"/>
  <c r="EE635" i="98" s="1"/>
  <c r="B635" i="98"/>
  <c r="CJ634" i="98"/>
  <c r="CH634" i="98"/>
  <c r="CE634" i="98"/>
  <c r="CD634" i="98"/>
  <c r="CC634" i="98"/>
  <c r="CB634" i="98"/>
  <c r="CA634" i="98"/>
  <c r="AW634" i="98"/>
  <c r="BI634" i="98" s="1"/>
  <c r="AD172" i="1"/>
  <c r="B634" i="98"/>
  <c r="CJ633" i="98"/>
  <c r="CH633" i="98"/>
  <c r="CE633" i="98"/>
  <c r="CD633" i="98"/>
  <c r="CC633" i="98"/>
  <c r="CB633" i="98"/>
  <c r="CA633" i="98"/>
  <c r="BA633" i="98"/>
  <c r="EQ633" i="98" s="1"/>
  <c r="AW633" i="98"/>
  <c r="AZ633" i="98" s="1"/>
  <c r="AS633" i="98"/>
  <c r="AV633" i="98" s="1"/>
  <c r="F633" i="98"/>
  <c r="AF633" i="98" s="1"/>
  <c r="AR633" i="98" s="1"/>
  <c r="E633" i="98"/>
  <c r="W633" i="98" s="1"/>
  <c r="D633" i="98"/>
  <c r="N633" i="98" s="1"/>
  <c r="AL633" i="98" s="1"/>
  <c r="C633" i="98"/>
  <c r="EE633" i="98" s="1"/>
  <c r="B633" i="98"/>
  <c r="CJ632" i="98"/>
  <c r="CH632" i="98"/>
  <c r="CE632" i="98"/>
  <c r="CD632" i="98"/>
  <c r="CC632" i="98"/>
  <c r="CB632" i="98"/>
  <c r="CA632" i="98"/>
  <c r="BA632" i="98"/>
  <c r="EQ632" i="98" s="1"/>
  <c r="AW632" i="98"/>
  <c r="EM632" i="98" s="1"/>
  <c r="AS632" i="98"/>
  <c r="EI632" i="98" s="1"/>
  <c r="F632" i="98"/>
  <c r="E632" i="98"/>
  <c r="V632" i="98" s="1"/>
  <c r="D632" i="98"/>
  <c r="N632" i="98" s="1"/>
  <c r="AL632" i="98" s="1"/>
  <c r="C632" i="98"/>
  <c r="EE632" i="98" s="1"/>
  <c r="B632" i="98"/>
  <c r="CJ631" i="98"/>
  <c r="CH631" i="98"/>
  <c r="CE631" i="98"/>
  <c r="CD631" i="98"/>
  <c r="CC631" i="98"/>
  <c r="CB631" i="98"/>
  <c r="CA631" i="98"/>
  <c r="BA631" i="98"/>
  <c r="EQ631" i="98" s="1"/>
  <c r="AW631" i="98"/>
  <c r="BI631" i="98" s="1"/>
  <c r="AS631" i="98"/>
  <c r="BE631" i="98" s="1"/>
  <c r="F631" i="98"/>
  <c r="AD631" i="98" s="1"/>
  <c r="AP631" i="98" s="1"/>
  <c r="E631" i="98"/>
  <c r="D631" i="98"/>
  <c r="EF631" i="98" s="1"/>
  <c r="C631" i="98"/>
  <c r="EE631" i="98" s="1"/>
  <c r="B631" i="98"/>
  <c r="CJ630" i="98"/>
  <c r="CH630" i="98"/>
  <c r="CE630" i="98"/>
  <c r="CD630" i="98"/>
  <c r="CC630" i="98"/>
  <c r="CB630" i="98"/>
  <c r="CA630" i="98"/>
  <c r="BA630" i="98"/>
  <c r="EQ630" i="98" s="1"/>
  <c r="AZ630" i="98"/>
  <c r="BL630" i="98" s="1"/>
  <c r="AW630" i="98"/>
  <c r="BI630" i="98" s="1"/>
  <c r="AS630" i="98"/>
  <c r="BE630" i="98" s="1"/>
  <c r="F630" i="98"/>
  <c r="AE630" i="98" s="1"/>
  <c r="AQ630" i="98" s="1"/>
  <c r="E630" i="98"/>
  <c r="EG630" i="98" s="1"/>
  <c r="D630" i="98"/>
  <c r="N630" i="98" s="1"/>
  <c r="AL630" i="98" s="1"/>
  <c r="C630" i="98"/>
  <c r="EE630" i="98" s="1"/>
  <c r="B630" i="98"/>
  <c r="CJ629" i="98"/>
  <c r="CH629" i="98"/>
  <c r="CE629" i="98"/>
  <c r="CD629" i="98"/>
  <c r="CC629" i="98"/>
  <c r="CB629" i="98"/>
  <c r="CA629" i="98"/>
  <c r="BA629" i="98"/>
  <c r="EQ629" i="98" s="1"/>
  <c r="AW629" i="98"/>
  <c r="BI629" i="98" s="1"/>
  <c r="AS629" i="98"/>
  <c r="BE629" i="98" s="1"/>
  <c r="F629" i="98"/>
  <c r="EH629" i="98" s="1"/>
  <c r="E629" i="98"/>
  <c r="W629" i="98" s="1"/>
  <c r="D629" i="98"/>
  <c r="P629" i="98" s="1"/>
  <c r="AN629" i="98" s="1"/>
  <c r="C629" i="98"/>
  <c r="EE629" i="98" s="1"/>
  <c r="B629" i="98"/>
  <c r="CJ628" i="98"/>
  <c r="CH628" i="98"/>
  <c r="CE628" i="98"/>
  <c r="CD628" i="98"/>
  <c r="CC628" i="98"/>
  <c r="CB628" i="98"/>
  <c r="CA628" i="98"/>
  <c r="BD628" i="98"/>
  <c r="ET628" i="98" s="1"/>
  <c r="EQ628" i="98"/>
  <c r="AZ628" i="98"/>
  <c r="EP628" i="98" s="1"/>
  <c r="EM628" i="98"/>
  <c r="AV628" i="98"/>
  <c r="EL628" i="98" s="1"/>
  <c r="AS628" i="98"/>
  <c r="EI628" i="98" s="1"/>
  <c r="N628" i="98"/>
  <c r="AL628" i="98" s="1"/>
  <c r="EE628" i="98"/>
  <c r="B628" i="98"/>
  <c r="CH627" i="98"/>
  <c r="CE627" i="98"/>
  <c r="CD627" i="98"/>
  <c r="CC627" i="98"/>
  <c r="CB627" i="98"/>
  <c r="CA627" i="98"/>
  <c r="AS627" i="98"/>
  <c r="EH627" i="98"/>
  <c r="W627" i="98"/>
  <c r="EF627" i="98"/>
  <c r="EE627" i="98"/>
  <c r="B627" i="98"/>
  <c r="CJ626" i="98"/>
  <c r="CH626" i="98"/>
  <c r="CE626" i="98"/>
  <c r="CD626" i="98"/>
  <c r="CC626" i="98"/>
  <c r="CB626" i="98"/>
  <c r="CA626" i="98"/>
  <c r="BA626" i="98"/>
  <c r="EQ626" i="98" s="1"/>
  <c r="AW626" i="98"/>
  <c r="AZ626" i="98" s="1"/>
  <c r="AS626" i="98"/>
  <c r="AV626" i="98" s="1"/>
  <c r="F626" i="98"/>
  <c r="AC626" i="98" s="1"/>
  <c r="AO626" i="98" s="1"/>
  <c r="E626" i="98"/>
  <c r="EG626" i="98" s="1"/>
  <c r="D626" i="98"/>
  <c r="C626" i="98"/>
  <c r="EE626" i="98" s="1"/>
  <c r="B626" i="98"/>
  <c r="CJ625" i="98"/>
  <c r="CH625" i="98"/>
  <c r="CE625" i="98"/>
  <c r="CD625" i="98"/>
  <c r="CC625" i="98"/>
  <c r="CB625" i="98"/>
  <c r="CA625" i="98"/>
  <c r="BA625" i="98"/>
  <c r="EQ625" i="98" s="1"/>
  <c r="AD168" i="1"/>
  <c r="F625" i="98"/>
  <c r="AE625" i="98" s="1"/>
  <c r="AQ625" i="98" s="1"/>
  <c r="E625" i="98"/>
  <c r="D625" i="98"/>
  <c r="O625" i="98" s="1"/>
  <c r="AM625" i="98" s="1"/>
  <c r="C625" i="98"/>
  <c r="EE625" i="98" s="1"/>
  <c r="B625" i="98"/>
  <c r="CJ624" i="98"/>
  <c r="CH624" i="98"/>
  <c r="CE624" i="98"/>
  <c r="CD624" i="98"/>
  <c r="CC624" i="98"/>
  <c r="CB624" i="98"/>
  <c r="CA624" i="98"/>
  <c r="BA624" i="98"/>
  <c r="EQ624" i="98" s="1"/>
  <c r="AW624" i="98"/>
  <c r="AS624" i="98"/>
  <c r="EI624" i="98" s="1"/>
  <c r="F624" i="98"/>
  <c r="E624" i="98"/>
  <c r="D624" i="98"/>
  <c r="C624" i="98"/>
  <c r="EE624" i="98" s="1"/>
  <c r="B624" i="98"/>
  <c r="CJ623" i="98"/>
  <c r="CH623" i="98"/>
  <c r="CE623" i="98"/>
  <c r="CD623" i="98"/>
  <c r="CC623" i="98"/>
  <c r="CB623" i="98"/>
  <c r="CA623" i="98"/>
  <c r="BA623" i="98"/>
  <c r="EQ623" i="98" s="1"/>
  <c r="AW623" i="98"/>
  <c r="BI623" i="98" s="1"/>
  <c r="AS623" i="98"/>
  <c r="BE623" i="98" s="1"/>
  <c r="F623" i="98"/>
  <c r="EH623" i="98" s="1"/>
  <c r="E623" i="98"/>
  <c r="W623" i="98" s="1"/>
  <c r="D623" i="98"/>
  <c r="EF623" i="98" s="1"/>
  <c r="C623" i="98"/>
  <c r="EE623" i="98" s="1"/>
  <c r="B623" i="98"/>
  <c r="CJ622" i="98"/>
  <c r="CH622" i="98"/>
  <c r="CE622" i="98"/>
  <c r="CD622" i="98"/>
  <c r="CC622" i="98"/>
  <c r="CB622" i="98"/>
  <c r="CA622" i="98"/>
  <c r="BA622" i="98"/>
  <c r="EQ622" i="98" s="1"/>
  <c r="AW622" i="98"/>
  <c r="AZ622" i="98" s="1"/>
  <c r="AS622" i="98"/>
  <c r="F622" i="98"/>
  <c r="AF622" i="98" s="1"/>
  <c r="AR622" i="98" s="1"/>
  <c r="E622" i="98"/>
  <c r="EG622" i="98" s="1"/>
  <c r="D622" i="98"/>
  <c r="C622" i="98"/>
  <c r="EE622" i="98" s="1"/>
  <c r="B622" i="98"/>
  <c r="CJ621" i="98"/>
  <c r="CH621" i="98"/>
  <c r="CE621" i="98"/>
  <c r="CD621" i="98"/>
  <c r="CC621" i="98"/>
  <c r="CB621" i="98"/>
  <c r="CA621" i="98"/>
  <c r="BA621" i="98"/>
  <c r="EQ621" i="98" s="1"/>
  <c r="AW621" i="98"/>
  <c r="BI621" i="98" s="1"/>
  <c r="AS621" i="98"/>
  <c r="BE621" i="98" s="1"/>
  <c r="AD167" i="1"/>
  <c r="F621" i="98"/>
  <c r="EH621" i="98" s="1"/>
  <c r="E621" i="98"/>
  <c r="D621" i="98"/>
  <c r="EF621" i="98" s="1"/>
  <c r="C621" i="98"/>
  <c r="EE621" i="98" s="1"/>
  <c r="B621" i="98"/>
  <c r="CJ620" i="98"/>
  <c r="CH620" i="98"/>
  <c r="CE620" i="98"/>
  <c r="CD620" i="98"/>
  <c r="CC620" i="98"/>
  <c r="CB620" i="98"/>
  <c r="CA620" i="98"/>
  <c r="BA620" i="98"/>
  <c r="EQ620" i="98" s="1"/>
  <c r="AW620" i="98"/>
  <c r="EM620" i="98" s="1"/>
  <c r="AS620" i="98"/>
  <c r="EI620" i="98" s="1"/>
  <c r="F620" i="98"/>
  <c r="AF620" i="98" s="1"/>
  <c r="AR620" i="98" s="1"/>
  <c r="E620" i="98"/>
  <c r="EG620" i="98" s="1"/>
  <c r="D620" i="98"/>
  <c r="N620" i="98" s="1"/>
  <c r="AL620" i="98" s="1"/>
  <c r="C620" i="98"/>
  <c r="EE620" i="98" s="1"/>
  <c r="B620" i="98"/>
  <c r="DI619" i="98"/>
  <c r="DH619" i="98"/>
  <c r="DG619" i="98"/>
  <c r="DF619" i="98"/>
  <c r="AS619" i="98" s="1"/>
  <c r="EI619" i="98" s="1"/>
  <c r="CJ619" i="98"/>
  <c r="CH619" i="98"/>
  <c r="CE619" i="98"/>
  <c r="CD619" i="98"/>
  <c r="CC619" i="98"/>
  <c r="CB619" i="98"/>
  <c r="CA619" i="98"/>
  <c r="BA619" i="98"/>
  <c r="EQ619" i="98" s="1"/>
  <c r="F619" i="98"/>
  <c r="V171" i="1" s="1"/>
  <c r="E619" i="98"/>
  <c r="U619" i="98" s="1"/>
  <c r="D619" i="98"/>
  <c r="P619" i="98" s="1"/>
  <c r="AN619" i="98" s="1"/>
  <c r="C619" i="98"/>
  <c r="EE619" i="98" s="1"/>
  <c r="B619" i="98"/>
  <c r="CJ618" i="98"/>
  <c r="CH618" i="98"/>
  <c r="CE618" i="98"/>
  <c r="CD618" i="98"/>
  <c r="CC618" i="98"/>
  <c r="CB618" i="98"/>
  <c r="CA618" i="98"/>
  <c r="BA618" i="98"/>
  <c r="EQ618" i="98" s="1"/>
  <c r="AW618" i="98"/>
  <c r="AS618" i="98"/>
  <c r="F618" i="98"/>
  <c r="EH618" i="98" s="1"/>
  <c r="E618" i="98"/>
  <c r="V618" i="98" s="1"/>
  <c r="D618" i="98"/>
  <c r="C618" i="98"/>
  <c r="EE618" i="98" s="1"/>
  <c r="B618" i="98"/>
  <c r="CJ617" i="98"/>
  <c r="CH617" i="98"/>
  <c r="CE617" i="98"/>
  <c r="CD617" i="98"/>
  <c r="CC617" i="98"/>
  <c r="CB617" i="98"/>
  <c r="AD165" i="1"/>
  <c r="B617" i="98"/>
  <c r="CJ616" i="98"/>
  <c r="CH616" i="98"/>
  <c r="CE616" i="98"/>
  <c r="CD616" i="98"/>
  <c r="CC616" i="98"/>
  <c r="CB616" i="98"/>
  <c r="EM616" i="98"/>
  <c r="AV616" i="98"/>
  <c r="EL616" i="98" s="1"/>
  <c r="EI616" i="98"/>
  <c r="B616" i="98"/>
  <c r="CJ615" i="98"/>
  <c r="CH615" i="98"/>
  <c r="CE615" i="98"/>
  <c r="CD615" i="98"/>
  <c r="CC615" i="98"/>
  <c r="CB615" i="98"/>
  <c r="CA615" i="98"/>
  <c r="AS615" i="98"/>
  <c r="BE615" i="98" s="1"/>
  <c r="E615" i="98"/>
  <c r="D615" i="98"/>
  <c r="N615" i="98" s="1"/>
  <c r="AL615" i="98" s="1"/>
  <c r="B615" i="98"/>
  <c r="CJ614" i="98"/>
  <c r="CH614" i="98"/>
  <c r="CE614" i="98"/>
  <c r="CD614" i="98"/>
  <c r="CC614" i="98"/>
  <c r="CB614" i="98"/>
  <c r="CA614" i="98"/>
  <c r="BA614" i="98"/>
  <c r="EQ614" i="98" s="1"/>
  <c r="AD164" i="1"/>
  <c r="F614" i="98"/>
  <c r="AC614" i="98" s="1"/>
  <c r="AO614" i="98" s="1"/>
  <c r="E614" i="98"/>
  <c r="D614" i="98"/>
  <c r="P614" i="98" s="1"/>
  <c r="AN614" i="98" s="1"/>
  <c r="C614" i="98"/>
  <c r="EE614" i="98" s="1"/>
  <c r="B614" i="98"/>
  <c r="CJ613" i="98"/>
  <c r="CH613" i="98"/>
  <c r="CE613" i="98"/>
  <c r="CD613" i="98"/>
  <c r="CC613" i="98"/>
  <c r="CB613" i="98"/>
  <c r="CA613" i="98"/>
  <c r="BA613" i="98"/>
  <c r="EQ613" i="98" s="1"/>
  <c r="AD163" i="1"/>
  <c r="F613" i="98"/>
  <c r="AF613" i="98" s="1"/>
  <c r="AR613" i="98" s="1"/>
  <c r="E613" i="98"/>
  <c r="D613" i="98"/>
  <c r="N613" i="98" s="1"/>
  <c r="AL613" i="98" s="1"/>
  <c r="C613" i="98"/>
  <c r="EE613" i="98" s="1"/>
  <c r="B613" i="98"/>
  <c r="CJ612" i="98"/>
  <c r="CH612" i="98"/>
  <c r="CE612" i="98"/>
  <c r="CD612" i="98"/>
  <c r="CC612" i="98"/>
  <c r="CB612" i="98"/>
  <c r="CA612" i="98"/>
  <c r="BA612" i="98"/>
  <c r="EQ612" i="98" s="1"/>
  <c r="AD162" i="1"/>
  <c r="F612" i="98"/>
  <c r="AF612" i="98" s="1"/>
  <c r="AR612" i="98" s="1"/>
  <c r="E612" i="98"/>
  <c r="U612" i="98" s="1"/>
  <c r="D612" i="98"/>
  <c r="EF612" i="98" s="1"/>
  <c r="C612" i="98"/>
  <c r="EE612" i="98" s="1"/>
  <c r="B612" i="98"/>
  <c r="CJ611" i="98"/>
  <c r="CH611" i="98"/>
  <c r="CE611" i="98"/>
  <c r="CD611" i="98"/>
  <c r="CC611" i="98"/>
  <c r="CB611" i="98"/>
  <c r="CA611" i="98"/>
  <c r="BA611" i="98"/>
  <c r="EQ611" i="98" s="1"/>
  <c r="AW611" i="98"/>
  <c r="AY611" i="98" s="1"/>
  <c r="AS611" i="98"/>
  <c r="F611" i="98"/>
  <c r="AC611" i="98" s="1"/>
  <c r="AO611" i="98" s="1"/>
  <c r="E611" i="98"/>
  <c r="EG611" i="98" s="1"/>
  <c r="D611" i="98"/>
  <c r="N611" i="98" s="1"/>
  <c r="AL611" i="98" s="1"/>
  <c r="C611" i="98"/>
  <c r="EE611" i="98" s="1"/>
  <c r="B611" i="98"/>
  <c r="CJ610" i="98"/>
  <c r="CH610" i="98"/>
  <c r="CE610" i="98"/>
  <c r="CD610" i="98"/>
  <c r="CC610" i="98"/>
  <c r="CB610" i="98"/>
  <c r="CA610" i="98"/>
  <c r="BE610" i="98"/>
  <c r="BA610" i="98"/>
  <c r="EQ610" i="98" s="1"/>
  <c r="AW610" i="98"/>
  <c r="AS610" i="98"/>
  <c r="EI610" i="98" s="1"/>
  <c r="F610" i="98"/>
  <c r="AC610" i="98" s="1"/>
  <c r="AO610" i="98" s="1"/>
  <c r="E610" i="98"/>
  <c r="W610" i="98" s="1"/>
  <c r="D610" i="98"/>
  <c r="C610" i="98"/>
  <c r="EE610" i="98" s="1"/>
  <c r="B610" i="98"/>
  <c r="CJ609" i="98"/>
  <c r="CH609" i="98"/>
  <c r="CE609" i="98"/>
  <c r="CD609" i="98"/>
  <c r="CC609" i="98"/>
  <c r="CB609" i="98"/>
  <c r="CA609" i="98"/>
  <c r="BA609" i="98"/>
  <c r="EQ609" i="98" s="1"/>
  <c r="AW609" i="98"/>
  <c r="AZ609" i="98" s="1"/>
  <c r="AS609" i="98"/>
  <c r="AV609" i="98" s="1"/>
  <c r="AD159" i="1"/>
  <c r="F609" i="98"/>
  <c r="AF609" i="98" s="1"/>
  <c r="AR609" i="98" s="1"/>
  <c r="E609" i="98"/>
  <c r="W609" i="98" s="1"/>
  <c r="D609" i="98"/>
  <c r="EF609" i="98" s="1"/>
  <c r="C609" i="98"/>
  <c r="EE609" i="98" s="1"/>
  <c r="B609" i="98"/>
  <c r="EL608" i="98"/>
  <c r="EK608" i="98"/>
  <c r="EI608" i="98"/>
  <c r="CJ608" i="98"/>
  <c r="CH608" i="98"/>
  <c r="CE608" i="98"/>
  <c r="CD608" i="98"/>
  <c r="CC608" i="98"/>
  <c r="CB608" i="98"/>
  <c r="CA608" i="98"/>
  <c r="BH608" i="98"/>
  <c r="BG608" i="98"/>
  <c r="BE608" i="98"/>
  <c r="AW608" i="98"/>
  <c r="AT608" i="98"/>
  <c r="BF608" i="98" s="1"/>
  <c r="EE608" i="98"/>
  <c r="B608" i="98"/>
  <c r="A608" i="98"/>
  <c r="CJ607" i="98"/>
  <c r="CH607" i="98"/>
  <c r="CE607" i="98"/>
  <c r="CD607" i="98"/>
  <c r="CC607" i="98"/>
  <c r="CB607" i="98"/>
  <c r="CA607" i="98"/>
  <c r="BA607" i="98"/>
  <c r="EQ607" i="98" s="1"/>
  <c r="AW607" i="98"/>
  <c r="EM607" i="98" s="1"/>
  <c r="AS607" i="98"/>
  <c r="F607" i="98"/>
  <c r="AE607" i="98" s="1"/>
  <c r="AQ607" i="98" s="1"/>
  <c r="E607" i="98"/>
  <c r="W607" i="98" s="1"/>
  <c r="D607" i="98"/>
  <c r="C607" i="98"/>
  <c r="EE607" i="98" s="1"/>
  <c r="B607" i="98"/>
  <c r="A607" i="98"/>
  <c r="CJ606" i="98"/>
  <c r="CH606" i="98"/>
  <c r="CE606" i="98"/>
  <c r="CD606" i="98"/>
  <c r="CC606" i="98"/>
  <c r="CB606" i="98"/>
  <c r="CA606" i="98"/>
  <c r="BA606" i="98"/>
  <c r="EQ606" i="98" s="1"/>
  <c r="AW606" i="98"/>
  <c r="AZ606" i="98" s="1"/>
  <c r="AS606" i="98"/>
  <c r="F606" i="98"/>
  <c r="AF606" i="98" s="1"/>
  <c r="AR606" i="98" s="1"/>
  <c r="E606" i="98"/>
  <c r="D606" i="98"/>
  <c r="EF606" i="98" s="1"/>
  <c r="C606" i="98"/>
  <c r="EE606" i="98" s="1"/>
  <c r="B606" i="98"/>
  <c r="A606" i="98"/>
  <c r="CJ605" i="98"/>
  <c r="CH605" i="98"/>
  <c r="CE605" i="98"/>
  <c r="CD605" i="98"/>
  <c r="CC605" i="98"/>
  <c r="CB605" i="98"/>
  <c r="CA605" i="98"/>
  <c r="BA605" i="98"/>
  <c r="EQ605" i="98" s="1"/>
  <c r="AW605" i="98"/>
  <c r="BI605" i="98" s="1"/>
  <c r="AS605" i="98"/>
  <c r="BE605" i="98" s="1"/>
  <c r="F605" i="98"/>
  <c r="AF605" i="98" s="1"/>
  <c r="AR605" i="98" s="1"/>
  <c r="E605" i="98"/>
  <c r="W605" i="98" s="1"/>
  <c r="D605" i="98"/>
  <c r="M605" i="98" s="1"/>
  <c r="AK605" i="98" s="1"/>
  <c r="C605" i="98"/>
  <c r="EE605" i="98" s="1"/>
  <c r="B605" i="98"/>
  <c r="A605" i="98"/>
  <c r="CJ604" i="98"/>
  <c r="CH604" i="98"/>
  <c r="CE604" i="98"/>
  <c r="CD604" i="98"/>
  <c r="CC604" i="98"/>
  <c r="CB604" i="98"/>
  <c r="CA604" i="98"/>
  <c r="BA604" i="98"/>
  <c r="EQ604" i="98" s="1"/>
  <c r="AW604" i="98"/>
  <c r="AZ604" i="98" s="1"/>
  <c r="AS604" i="98"/>
  <c r="BE604" i="98" s="1"/>
  <c r="F604" i="98"/>
  <c r="EH604" i="98" s="1"/>
  <c r="E604" i="98"/>
  <c r="U604" i="98" s="1"/>
  <c r="D604" i="98"/>
  <c r="P604" i="98" s="1"/>
  <c r="AN604" i="98" s="1"/>
  <c r="C604" i="98"/>
  <c r="EE604" i="98" s="1"/>
  <c r="B604" i="98"/>
  <c r="A604" i="98"/>
  <c r="CJ603" i="98"/>
  <c r="CH603" i="98"/>
  <c r="CE603" i="98"/>
  <c r="CD603" i="98"/>
  <c r="CC603" i="98"/>
  <c r="CB603" i="98"/>
  <c r="CA603" i="98"/>
  <c r="BA603" i="98"/>
  <c r="EQ603" i="98" s="1"/>
  <c r="AW603" i="98"/>
  <c r="EM603" i="98" s="1"/>
  <c r="AS603" i="98"/>
  <c r="BE603" i="98" s="1"/>
  <c r="F603" i="98"/>
  <c r="E603" i="98"/>
  <c r="W603" i="98" s="1"/>
  <c r="D603" i="98"/>
  <c r="P603" i="98" s="1"/>
  <c r="AN603" i="98" s="1"/>
  <c r="C603" i="98"/>
  <c r="EE603" i="98" s="1"/>
  <c r="B603" i="98"/>
  <c r="A603" i="98"/>
  <c r="CJ602" i="98"/>
  <c r="CH602" i="98"/>
  <c r="CE602" i="98"/>
  <c r="CD602" i="98"/>
  <c r="CC602" i="98"/>
  <c r="CB602" i="98"/>
  <c r="CA602" i="98"/>
  <c r="BA602" i="98"/>
  <c r="EQ602" i="98" s="1"/>
  <c r="AW602" i="98"/>
  <c r="AS602" i="98"/>
  <c r="AV602" i="98" s="1"/>
  <c r="BH602" i="98" s="1"/>
  <c r="F602" i="98"/>
  <c r="AF602" i="98" s="1"/>
  <c r="AR602" i="98" s="1"/>
  <c r="E602" i="98"/>
  <c r="D602" i="98"/>
  <c r="O602" i="98" s="1"/>
  <c r="AM602" i="98" s="1"/>
  <c r="C602" i="98"/>
  <c r="EE602" i="98" s="1"/>
  <c r="B602" i="98"/>
  <c r="A602" i="98"/>
  <c r="CJ601" i="98"/>
  <c r="CH601" i="98"/>
  <c r="CE601" i="98"/>
  <c r="CD601" i="98"/>
  <c r="CC601" i="98"/>
  <c r="CB601" i="98"/>
  <c r="CA601" i="98"/>
  <c r="BA601" i="98"/>
  <c r="EQ601" i="98" s="1"/>
  <c r="AW601" i="98"/>
  <c r="BI601" i="98" s="1"/>
  <c r="AS601" i="98"/>
  <c r="BE601" i="98" s="1"/>
  <c r="F601" i="98"/>
  <c r="AE601" i="98" s="1"/>
  <c r="AQ601" i="98" s="1"/>
  <c r="E601" i="98"/>
  <c r="U601" i="98" s="1"/>
  <c r="D601" i="98"/>
  <c r="M601" i="98" s="1"/>
  <c r="AK601" i="98" s="1"/>
  <c r="C601" i="98"/>
  <c r="EE601" i="98" s="1"/>
  <c r="B601" i="98"/>
  <c r="A601" i="98"/>
  <c r="CJ600" i="98"/>
  <c r="CH600" i="98"/>
  <c r="CE600" i="98"/>
  <c r="CD600" i="98"/>
  <c r="CC600" i="98"/>
  <c r="CB600" i="98"/>
  <c r="CA600" i="98"/>
  <c r="BA600" i="98"/>
  <c r="EQ600" i="98" s="1"/>
  <c r="AW600" i="98"/>
  <c r="BI600" i="98" s="1"/>
  <c r="AS600" i="98"/>
  <c r="AU600" i="98" s="1"/>
  <c r="F600" i="98"/>
  <c r="EH600" i="98" s="1"/>
  <c r="E600" i="98"/>
  <c r="V600" i="98" s="1"/>
  <c r="D600" i="98"/>
  <c r="N600" i="98" s="1"/>
  <c r="AL600" i="98" s="1"/>
  <c r="C600" i="98"/>
  <c r="EE600" i="98" s="1"/>
  <c r="B600" i="98"/>
  <c r="A600" i="98"/>
  <c r="CJ599" i="98"/>
  <c r="CH599" i="98"/>
  <c r="CE599" i="98"/>
  <c r="CD599" i="98"/>
  <c r="CC599" i="98"/>
  <c r="CB599" i="98"/>
  <c r="CA599" i="98"/>
  <c r="BA599" i="98"/>
  <c r="EQ599" i="98" s="1"/>
  <c r="AW599" i="98"/>
  <c r="AS599" i="98"/>
  <c r="AU599" i="98" s="1"/>
  <c r="BG599" i="98" s="1"/>
  <c r="F599" i="98"/>
  <c r="E599" i="98"/>
  <c r="D599" i="98"/>
  <c r="C599" i="98"/>
  <c r="EE599" i="98" s="1"/>
  <c r="B599" i="98"/>
  <c r="A599" i="98"/>
  <c r="CJ598" i="98"/>
  <c r="CH598" i="98"/>
  <c r="CE598" i="98"/>
  <c r="CD598" i="98"/>
  <c r="CC598" i="98"/>
  <c r="CB598" i="98"/>
  <c r="CA598" i="98"/>
  <c r="AW598" i="98"/>
  <c r="AZ598" i="98" s="1"/>
  <c r="BL598" i="98" s="1"/>
  <c r="AV598" i="98"/>
  <c r="BH598" i="98" s="1"/>
  <c r="AU598" i="98"/>
  <c r="EK598" i="98" s="1"/>
  <c r="AT598" i="98"/>
  <c r="EJ598" i="98" s="1"/>
  <c r="EI598" i="98"/>
  <c r="AF598" i="98"/>
  <c r="AR598" i="98" s="1"/>
  <c r="O598" i="98"/>
  <c r="AM598" i="98" s="1"/>
  <c r="EE598" i="98"/>
  <c r="B598" i="98"/>
  <c r="A598" i="98"/>
  <c r="CJ597" i="98"/>
  <c r="CH597" i="98"/>
  <c r="CE597" i="98"/>
  <c r="CD597" i="98"/>
  <c r="CC597" i="98"/>
  <c r="CB597" i="98"/>
  <c r="BD597" i="98"/>
  <c r="ET597" i="98" s="1"/>
  <c r="BB597" i="98"/>
  <c r="ER597" i="98" s="1"/>
  <c r="EQ597" i="98"/>
  <c r="AZ597" i="98"/>
  <c r="AT597" i="98"/>
  <c r="EJ597" i="98" s="1"/>
  <c r="BE597" i="98"/>
  <c r="V597" i="98"/>
  <c r="EE597" i="98"/>
  <c r="B597" i="98"/>
  <c r="A597" i="98"/>
  <c r="CJ596" i="98"/>
  <c r="CH596" i="98"/>
  <c r="CE596" i="98"/>
  <c r="CD596" i="98"/>
  <c r="CC596" i="98"/>
  <c r="CB596" i="98"/>
  <c r="CA596" i="98"/>
  <c r="BA596" i="98"/>
  <c r="EQ596" i="98" s="1"/>
  <c r="AW596" i="98"/>
  <c r="AS596" i="98"/>
  <c r="F596" i="98"/>
  <c r="AE596" i="98" s="1"/>
  <c r="AQ596" i="98" s="1"/>
  <c r="E596" i="98"/>
  <c r="W596" i="98" s="1"/>
  <c r="D596" i="98"/>
  <c r="C596" i="98"/>
  <c r="EE596" i="98" s="1"/>
  <c r="B596" i="98"/>
  <c r="A596" i="98"/>
  <c r="CJ595" i="98"/>
  <c r="CH595" i="98"/>
  <c r="CE595" i="98"/>
  <c r="CD595" i="98"/>
  <c r="CC595" i="98"/>
  <c r="CB595" i="98"/>
  <c r="CA595" i="98"/>
  <c r="BA595" i="98"/>
  <c r="EQ595" i="98" s="1"/>
  <c r="AW595" i="98"/>
  <c r="AZ595" i="98" s="1"/>
  <c r="AS595" i="98"/>
  <c r="AV595" i="98" s="1"/>
  <c r="F595" i="98"/>
  <c r="EH595" i="98" s="1"/>
  <c r="E595" i="98"/>
  <c r="EG595" i="98" s="1"/>
  <c r="D595" i="98"/>
  <c r="C595" i="98"/>
  <c r="EE595" i="98" s="1"/>
  <c r="B595" i="98"/>
  <c r="A595" i="98"/>
  <c r="CJ594" i="98"/>
  <c r="CH594" i="98"/>
  <c r="CE594" i="98"/>
  <c r="CD594" i="98"/>
  <c r="CC594" i="98"/>
  <c r="CB594" i="98"/>
  <c r="CA594" i="98"/>
  <c r="BA594" i="98"/>
  <c r="EQ594" i="98" s="1"/>
  <c r="AW594" i="98"/>
  <c r="BI594" i="98" s="1"/>
  <c r="AS594" i="98"/>
  <c r="BE594" i="98" s="1"/>
  <c r="F594" i="98"/>
  <c r="AC594" i="98" s="1"/>
  <c r="AO594" i="98" s="1"/>
  <c r="E594" i="98"/>
  <c r="D594" i="98"/>
  <c r="C594" i="98"/>
  <c r="EE594" i="98" s="1"/>
  <c r="B594" i="98"/>
  <c r="A594" i="98"/>
  <c r="CJ593" i="98"/>
  <c r="CH593" i="98"/>
  <c r="CE593" i="98"/>
  <c r="CD593" i="98"/>
  <c r="CC593" i="98"/>
  <c r="CB593" i="98"/>
  <c r="CA593" i="98"/>
  <c r="BA593" i="98"/>
  <c r="EQ593" i="98" s="1"/>
  <c r="AW593" i="98"/>
  <c r="BI593" i="98" s="1"/>
  <c r="AS593" i="98"/>
  <c r="BE593" i="98" s="1"/>
  <c r="F593" i="98"/>
  <c r="E593" i="98"/>
  <c r="V593" i="98" s="1"/>
  <c r="D593" i="98"/>
  <c r="N593" i="98" s="1"/>
  <c r="AL593" i="98" s="1"/>
  <c r="C593" i="98"/>
  <c r="EE593" i="98" s="1"/>
  <c r="B593" i="98"/>
  <c r="A593" i="98"/>
  <c r="CJ592" i="98"/>
  <c r="CH592" i="98"/>
  <c r="CE592" i="98"/>
  <c r="CD592" i="98"/>
  <c r="CC592" i="98"/>
  <c r="CB592" i="98"/>
  <c r="CA592" i="98"/>
  <c r="BA592" i="98"/>
  <c r="EQ592" i="98" s="1"/>
  <c r="AW592" i="98"/>
  <c r="AS592" i="98"/>
  <c r="BE592" i="98" s="1"/>
  <c r="F592" i="98"/>
  <c r="E592" i="98"/>
  <c r="EG592" i="98" s="1"/>
  <c r="D592" i="98"/>
  <c r="EF592" i="98" s="1"/>
  <c r="C592" i="98"/>
  <c r="EE592" i="98" s="1"/>
  <c r="B592" i="98"/>
  <c r="A592" i="98"/>
  <c r="DF591" i="98"/>
  <c r="AS591" i="98" s="1"/>
  <c r="DA591" i="98"/>
  <c r="DI591" i="98" s="1"/>
  <c r="CZ591" i="98"/>
  <c r="DH591" i="98" s="1"/>
  <c r="CY591" i="98"/>
  <c r="DG591" i="98" s="1"/>
  <c r="CJ591" i="98"/>
  <c r="CH591" i="98"/>
  <c r="CE591" i="98"/>
  <c r="CD591" i="98"/>
  <c r="CC591" i="98"/>
  <c r="CB591" i="98"/>
  <c r="CA591" i="98"/>
  <c r="BA591" i="98"/>
  <c r="EQ591" i="98" s="1"/>
  <c r="F591" i="98"/>
  <c r="V167" i="1" s="1"/>
  <c r="E591" i="98"/>
  <c r="X591" i="98" s="1"/>
  <c r="D591" i="98"/>
  <c r="C591" i="98"/>
  <c r="EE591" i="98" s="1"/>
  <c r="B591" i="98"/>
  <c r="A591" i="98"/>
  <c r="CJ590" i="98"/>
  <c r="CH590" i="98"/>
  <c r="CE590" i="98"/>
  <c r="CD590" i="98"/>
  <c r="CC590" i="98"/>
  <c r="CB590" i="98"/>
  <c r="CA590" i="98"/>
  <c r="BA590" i="98"/>
  <c r="EQ590" i="98" s="1"/>
  <c r="F590" i="98"/>
  <c r="AF590" i="98" s="1"/>
  <c r="AR590" i="98" s="1"/>
  <c r="E590" i="98"/>
  <c r="W590" i="98" s="1"/>
  <c r="D590" i="98"/>
  <c r="N590" i="98" s="1"/>
  <c r="AL590" i="98" s="1"/>
  <c r="C590" i="98"/>
  <c r="EE590" i="98" s="1"/>
  <c r="B590" i="98"/>
  <c r="A590" i="98"/>
  <c r="CJ589" i="98"/>
  <c r="CH589" i="98"/>
  <c r="CE589" i="98"/>
  <c r="CD589" i="98"/>
  <c r="CC589" i="98"/>
  <c r="CB589" i="98"/>
  <c r="CA589" i="98"/>
  <c r="BA589" i="98"/>
  <c r="EQ589" i="98" s="1"/>
  <c r="AW589" i="98"/>
  <c r="BI589" i="98" s="1"/>
  <c r="AS589" i="98"/>
  <c r="BE589" i="98" s="1"/>
  <c r="F589" i="98"/>
  <c r="AF589" i="98" s="1"/>
  <c r="AR589" i="98" s="1"/>
  <c r="E589" i="98"/>
  <c r="W589" i="98" s="1"/>
  <c r="D589" i="98"/>
  <c r="O589" i="98" s="1"/>
  <c r="AM589" i="98" s="1"/>
  <c r="C589" i="98"/>
  <c r="EE589" i="98" s="1"/>
  <c r="B589" i="98"/>
  <c r="A589" i="98"/>
  <c r="DF588" i="98"/>
  <c r="AS588" i="98" s="1"/>
  <c r="DA588" i="98"/>
  <c r="DI588" i="98" s="1"/>
  <c r="CZ588" i="98"/>
  <c r="DH588" i="98" s="1"/>
  <c r="CY588" i="98"/>
  <c r="DG588" i="98" s="1"/>
  <c r="CJ588" i="98"/>
  <c r="CH588" i="98"/>
  <c r="CE588" i="98"/>
  <c r="CD588" i="98"/>
  <c r="CC588" i="98"/>
  <c r="CB588" i="98"/>
  <c r="CA588" i="98"/>
  <c r="BA588" i="98"/>
  <c r="EQ588" i="98" s="1"/>
  <c r="F588" i="98"/>
  <c r="AC588" i="98" s="1"/>
  <c r="AO588" i="98" s="1"/>
  <c r="E588" i="98"/>
  <c r="T166" i="1" s="1"/>
  <c r="D588" i="98"/>
  <c r="R166" i="1" s="1"/>
  <c r="C588" i="98"/>
  <c r="EE588" i="98" s="1"/>
  <c r="B588" i="98"/>
  <c r="A588" i="98"/>
  <c r="CJ587" i="98"/>
  <c r="CH587" i="98"/>
  <c r="CE587" i="98"/>
  <c r="CD587" i="98"/>
  <c r="CC587" i="98"/>
  <c r="CB587" i="98"/>
  <c r="CA587" i="98"/>
  <c r="BA587" i="98"/>
  <c r="EQ587" i="98" s="1"/>
  <c r="AW587" i="98"/>
  <c r="BI587" i="98" s="1"/>
  <c r="AS587" i="98"/>
  <c r="BE587" i="98" s="1"/>
  <c r="F587" i="98"/>
  <c r="AF587" i="98" s="1"/>
  <c r="AR587" i="98" s="1"/>
  <c r="E587" i="98"/>
  <c r="V587" i="98" s="1"/>
  <c r="D587" i="98"/>
  <c r="N587" i="98" s="1"/>
  <c r="AL587" i="98" s="1"/>
  <c r="C587" i="98"/>
  <c r="EE587" i="98" s="1"/>
  <c r="B587" i="98"/>
  <c r="A587" i="98"/>
  <c r="CJ586" i="98"/>
  <c r="CH586" i="98"/>
  <c r="CE586" i="98"/>
  <c r="CD586" i="98"/>
  <c r="CC586" i="98"/>
  <c r="CB586" i="98"/>
  <c r="CA586" i="98"/>
  <c r="BA586" i="98"/>
  <c r="EQ586" i="98" s="1"/>
  <c r="AW586" i="98"/>
  <c r="BI586" i="98" s="1"/>
  <c r="AS586" i="98"/>
  <c r="F586" i="98"/>
  <c r="E586" i="98"/>
  <c r="U586" i="98" s="1"/>
  <c r="D586" i="98"/>
  <c r="P586" i="98" s="1"/>
  <c r="AN586" i="98" s="1"/>
  <c r="C586" i="98"/>
  <c r="EE586" i="98" s="1"/>
  <c r="B586" i="98"/>
  <c r="A586" i="98"/>
  <c r="CJ585" i="98"/>
  <c r="CH585" i="98"/>
  <c r="CE585" i="98"/>
  <c r="CD585" i="98"/>
  <c r="CC585" i="98"/>
  <c r="CB585" i="98"/>
  <c r="CA585" i="98"/>
  <c r="BA585" i="98"/>
  <c r="EQ585" i="98" s="1"/>
  <c r="AW585" i="98"/>
  <c r="AZ585" i="98" s="1"/>
  <c r="AS585" i="98"/>
  <c r="AV585" i="98" s="1"/>
  <c r="F585" i="98"/>
  <c r="AF585" i="98" s="1"/>
  <c r="AR585" i="98" s="1"/>
  <c r="E585" i="98"/>
  <c r="EG585" i="98" s="1"/>
  <c r="D585" i="98"/>
  <c r="C585" i="98"/>
  <c r="EE585" i="98" s="1"/>
  <c r="B585" i="98"/>
  <c r="A585" i="98"/>
  <c r="CJ584" i="98"/>
  <c r="CH584" i="98"/>
  <c r="CE584" i="98"/>
  <c r="CD584" i="98"/>
  <c r="CC584" i="98"/>
  <c r="CB584" i="98"/>
  <c r="CA584" i="98"/>
  <c r="BA584" i="98"/>
  <c r="EQ584" i="98" s="1"/>
  <c r="AW584" i="98"/>
  <c r="BI584" i="98" s="1"/>
  <c r="AS584" i="98"/>
  <c r="BE584" i="98" s="1"/>
  <c r="F584" i="98"/>
  <c r="EH584" i="98" s="1"/>
  <c r="E584" i="98"/>
  <c r="W584" i="98" s="1"/>
  <c r="D584" i="98"/>
  <c r="EF584" i="98" s="1"/>
  <c r="C584" i="98"/>
  <c r="EE584" i="98" s="1"/>
  <c r="B584" i="98"/>
  <c r="A584" i="98"/>
  <c r="CJ583" i="98"/>
  <c r="CH583" i="98"/>
  <c r="CE583" i="98"/>
  <c r="CD583" i="98"/>
  <c r="CC583" i="98"/>
  <c r="CB583" i="98"/>
  <c r="CA583" i="98"/>
  <c r="BA583" i="98"/>
  <c r="EQ583" i="98" s="1"/>
  <c r="AW583" i="98"/>
  <c r="EM583" i="98" s="1"/>
  <c r="AS583" i="98"/>
  <c r="EI583" i="98" s="1"/>
  <c r="E583" i="98"/>
  <c r="T165" i="1" s="1"/>
  <c r="D583" i="98"/>
  <c r="R165" i="1" s="1"/>
  <c r="C583" i="98"/>
  <c r="EE583" i="98" s="1"/>
  <c r="B583" i="98"/>
  <c r="A583" i="98"/>
  <c r="CJ582" i="98"/>
  <c r="CH582" i="98"/>
  <c r="CE582" i="98"/>
  <c r="CD582" i="98"/>
  <c r="CC582" i="98"/>
  <c r="CB582" i="98"/>
  <c r="CA582" i="98"/>
  <c r="BA582" i="98"/>
  <c r="EQ582" i="98" s="1"/>
  <c r="AW582" i="98"/>
  <c r="BI582" i="98" s="1"/>
  <c r="AS582" i="98"/>
  <c r="F582" i="98"/>
  <c r="EH582" i="98" s="1"/>
  <c r="E582" i="98"/>
  <c r="W582" i="98" s="1"/>
  <c r="D582" i="98"/>
  <c r="EF582" i="98" s="1"/>
  <c r="C582" i="98"/>
  <c r="EE582" i="98" s="1"/>
  <c r="B582" i="98"/>
  <c r="A582" i="98"/>
  <c r="CJ581" i="98"/>
  <c r="CH581" i="98"/>
  <c r="CE581" i="98"/>
  <c r="CD581" i="98"/>
  <c r="CC581" i="98"/>
  <c r="CB581" i="98"/>
  <c r="CA581" i="98"/>
  <c r="BA581" i="98"/>
  <c r="EQ581" i="98" s="1"/>
  <c r="AW581" i="98"/>
  <c r="AZ581" i="98" s="1"/>
  <c r="AS581" i="98"/>
  <c r="AV581" i="98" s="1"/>
  <c r="F581" i="98"/>
  <c r="E581" i="98"/>
  <c r="U581" i="98" s="1"/>
  <c r="D581" i="98"/>
  <c r="C581" i="98"/>
  <c r="EE581" i="98" s="1"/>
  <c r="B581" i="98"/>
  <c r="A581" i="98"/>
  <c r="CJ580" i="98"/>
  <c r="CH580" i="98"/>
  <c r="CE580" i="98"/>
  <c r="CD580" i="98"/>
  <c r="CC580" i="98"/>
  <c r="CB580" i="98"/>
  <c r="CA580" i="98"/>
  <c r="BA580" i="98"/>
  <c r="EQ580" i="98" s="1"/>
  <c r="AW580" i="98"/>
  <c r="BI580" i="98" s="1"/>
  <c r="AS580" i="98"/>
  <c r="BE580" i="98" s="1"/>
  <c r="F580" i="98"/>
  <c r="E580" i="98"/>
  <c r="D580" i="98"/>
  <c r="C580" i="98"/>
  <c r="EE580" i="98" s="1"/>
  <c r="B580" i="98"/>
  <c r="A580" i="98"/>
  <c r="CJ579" i="98"/>
  <c r="CH579" i="98"/>
  <c r="CE579" i="98"/>
  <c r="CD579" i="98"/>
  <c r="CC579" i="98"/>
  <c r="CB579" i="98"/>
  <c r="CA579" i="98"/>
  <c r="BI579" i="98"/>
  <c r="BA579" i="98"/>
  <c r="EQ579" i="98" s="1"/>
  <c r="AW579" i="98"/>
  <c r="AS579" i="98"/>
  <c r="AC579" i="98"/>
  <c r="AO579" i="98" s="1"/>
  <c r="F579" i="98"/>
  <c r="AD579" i="98" s="1"/>
  <c r="AP579" i="98" s="1"/>
  <c r="E579" i="98"/>
  <c r="V579" i="98" s="1"/>
  <c r="D579" i="98"/>
  <c r="N579" i="98" s="1"/>
  <c r="AL579" i="98" s="1"/>
  <c r="C579" i="98"/>
  <c r="EE579" i="98" s="1"/>
  <c r="B579" i="98"/>
  <c r="A579" i="98"/>
  <c r="CJ578" i="98"/>
  <c r="CH578" i="98"/>
  <c r="CE578" i="98"/>
  <c r="CD578" i="98"/>
  <c r="CC578" i="98"/>
  <c r="CB578" i="98"/>
  <c r="CA578" i="98"/>
  <c r="AE578" i="98"/>
  <c r="AQ578" i="98" s="1"/>
  <c r="EG578" i="98"/>
  <c r="EE578" i="98"/>
  <c r="B578" i="98"/>
  <c r="A578" i="98"/>
  <c r="CJ577" i="98"/>
  <c r="CH577" i="98"/>
  <c r="CE577" i="98"/>
  <c r="CD577" i="98"/>
  <c r="CC577" i="98"/>
  <c r="CB577" i="98"/>
  <c r="CA577" i="98"/>
  <c r="BA577" i="98"/>
  <c r="EQ577" i="98" s="1"/>
  <c r="AY577" i="98"/>
  <c r="EO577" i="98" s="1"/>
  <c r="AW577" i="98"/>
  <c r="AZ577" i="98" s="1"/>
  <c r="AS577" i="98"/>
  <c r="F577" i="98"/>
  <c r="AF577" i="98" s="1"/>
  <c r="AR577" i="98" s="1"/>
  <c r="E577" i="98"/>
  <c r="D577" i="98"/>
  <c r="EF577" i="98" s="1"/>
  <c r="C577" i="98"/>
  <c r="EE577" i="98" s="1"/>
  <c r="B577" i="98"/>
  <c r="A577" i="98"/>
  <c r="DI576" i="98"/>
  <c r="DH576" i="98"/>
  <c r="DG576" i="98"/>
  <c r="DF576" i="98"/>
  <c r="CJ576" i="98"/>
  <c r="CH576" i="98"/>
  <c r="CE576" i="98"/>
  <c r="CD576" i="98"/>
  <c r="CC576" i="98"/>
  <c r="CB576" i="98"/>
  <c r="CA576" i="98"/>
  <c r="BA576" i="98"/>
  <c r="EQ576" i="98" s="1"/>
  <c r="AW576" i="98"/>
  <c r="BI576" i="98" s="1"/>
  <c r="AU576" i="98"/>
  <c r="BG576" i="98" s="1"/>
  <c r="AT576" i="98"/>
  <c r="BF576" i="98" s="1"/>
  <c r="AS576" i="98"/>
  <c r="BE576" i="98" s="1"/>
  <c r="F576" i="98"/>
  <c r="AF576" i="98" s="1"/>
  <c r="AR576" i="98" s="1"/>
  <c r="E576" i="98"/>
  <c r="EG576" i="98" s="1"/>
  <c r="D576" i="98"/>
  <c r="M576" i="98" s="1"/>
  <c r="AK576" i="98" s="1"/>
  <c r="C576" i="98"/>
  <c r="EE576" i="98" s="1"/>
  <c r="B576" i="98"/>
  <c r="A576" i="98"/>
  <c r="EH575" i="98"/>
  <c r="CH575" i="98"/>
  <c r="CE575" i="98"/>
  <c r="CD575" i="98"/>
  <c r="CC575" i="98"/>
  <c r="CB575" i="98"/>
  <c r="CA575" i="98"/>
  <c r="EG575" i="98"/>
  <c r="N575" i="98"/>
  <c r="AL575" i="98" s="1"/>
  <c r="EE575" i="98"/>
  <c r="B575" i="98"/>
  <c r="A575" i="98"/>
  <c r="CJ574" i="98"/>
  <c r="CH574" i="98"/>
  <c r="CE574" i="98"/>
  <c r="CD574" i="98"/>
  <c r="CC574" i="98"/>
  <c r="CB574" i="98"/>
  <c r="CA574" i="98"/>
  <c r="BA574" i="98"/>
  <c r="EQ574" i="98" s="1"/>
  <c r="AW574" i="98"/>
  <c r="AY574" i="98" s="1"/>
  <c r="AS574" i="98"/>
  <c r="AU574" i="98" s="1"/>
  <c r="F574" i="98"/>
  <c r="V162" i="1" s="1"/>
  <c r="E574" i="98"/>
  <c r="X574" i="98" s="1"/>
  <c r="D574" i="98"/>
  <c r="R162" i="1" s="1"/>
  <c r="C574" i="98"/>
  <c r="EE574" i="98" s="1"/>
  <c r="B574" i="98"/>
  <c r="A574" i="98"/>
  <c r="CJ573" i="98"/>
  <c r="CH573" i="98"/>
  <c r="CE573" i="98"/>
  <c r="CD573" i="98"/>
  <c r="CC573" i="98"/>
  <c r="CB573" i="98"/>
  <c r="CA573" i="98"/>
  <c r="BA573" i="98"/>
  <c r="EQ573" i="98" s="1"/>
  <c r="AW573" i="98"/>
  <c r="AZ573" i="98" s="1"/>
  <c r="AS573" i="98"/>
  <c r="AV573" i="98" s="1"/>
  <c r="F573" i="98"/>
  <c r="AE573" i="98" s="1"/>
  <c r="AQ573" i="98" s="1"/>
  <c r="E573" i="98"/>
  <c r="T161" i="1" s="1"/>
  <c r="D573" i="98"/>
  <c r="EF573" i="98" s="1"/>
  <c r="C573" i="98"/>
  <c r="EE573" i="98" s="1"/>
  <c r="B573" i="98"/>
  <c r="A573" i="98"/>
  <c r="CJ572" i="98"/>
  <c r="CH572" i="98"/>
  <c r="CE572" i="98"/>
  <c r="CD572" i="98"/>
  <c r="CC572" i="98"/>
  <c r="CB572" i="98"/>
  <c r="CA572" i="98"/>
  <c r="BA572" i="98"/>
  <c r="EQ572" i="98" s="1"/>
  <c r="AW572" i="98"/>
  <c r="BI572" i="98" s="1"/>
  <c r="AS572" i="98"/>
  <c r="BE572" i="98" s="1"/>
  <c r="F572" i="98"/>
  <c r="AF572" i="98" s="1"/>
  <c r="AR572" i="98" s="1"/>
  <c r="E572" i="98"/>
  <c r="X572" i="98" s="1"/>
  <c r="D572" i="98"/>
  <c r="M572" i="98" s="1"/>
  <c r="AK572" i="98" s="1"/>
  <c r="C572" i="98"/>
  <c r="EE572" i="98" s="1"/>
  <c r="B572" i="98"/>
  <c r="A572" i="98"/>
  <c r="CJ571" i="98"/>
  <c r="CH571" i="98"/>
  <c r="CE571" i="98"/>
  <c r="CD571" i="98"/>
  <c r="CC571" i="98"/>
  <c r="CB571" i="98"/>
  <c r="CA571" i="98"/>
  <c r="BA571" i="98"/>
  <c r="EQ571" i="98" s="1"/>
  <c r="AW571" i="98"/>
  <c r="BI571" i="98" s="1"/>
  <c r="AS571" i="98"/>
  <c r="F571" i="98"/>
  <c r="V160" i="1" s="1"/>
  <c r="E571" i="98"/>
  <c r="EG571" i="98" s="1"/>
  <c r="D571" i="98"/>
  <c r="P571" i="98" s="1"/>
  <c r="AN571" i="98" s="1"/>
  <c r="C571" i="98"/>
  <c r="EE571" i="98" s="1"/>
  <c r="B571" i="98"/>
  <c r="A571" i="98"/>
  <c r="CJ570" i="98"/>
  <c r="CH570" i="98"/>
  <c r="CE570" i="98"/>
  <c r="CD570" i="98"/>
  <c r="CC570" i="98"/>
  <c r="CB570" i="98"/>
  <c r="CA570" i="98"/>
  <c r="BA570" i="98"/>
  <c r="EQ570" i="98" s="1"/>
  <c r="AW570" i="98"/>
  <c r="AY570" i="98" s="1"/>
  <c r="AS570" i="98"/>
  <c r="AU570" i="98" s="1"/>
  <c r="F570" i="98"/>
  <c r="EH570" i="98" s="1"/>
  <c r="E570" i="98"/>
  <c r="W570" i="98" s="1"/>
  <c r="D570" i="98"/>
  <c r="C570" i="98"/>
  <c r="EE570" i="98" s="1"/>
  <c r="B570" i="98"/>
  <c r="A570" i="98"/>
  <c r="CJ569" i="98"/>
  <c r="CH569" i="98"/>
  <c r="CE569" i="98"/>
  <c r="CD569" i="98"/>
  <c r="CC569" i="98"/>
  <c r="CB569" i="98"/>
  <c r="CA569" i="98"/>
  <c r="BA569" i="98"/>
  <c r="EQ569" i="98" s="1"/>
  <c r="AW569" i="98"/>
  <c r="AZ569" i="98" s="1"/>
  <c r="AS569" i="98"/>
  <c r="AV569" i="98" s="1"/>
  <c r="AE569" i="98"/>
  <c r="AQ569" i="98" s="1"/>
  <c r="AD569" i="98"/>
  <c r="AP569" i="98" s="1"/>
  <c r="AF569" i="98"/>
  <c r="AR569" i="98" s="1"/>
  <c r="E569" i="98"/>
  <c r="T159" i="1" s="1"/>
  <c r="D569" i="98"/>
  <c r="EF569" i="98" s="1"/>
  <c r="C569" i="98"/>
  <c r="EE569" i="98" s="1"/>
  <c r="B569" i="98"/>
  <c r="A569" i="98"/>
  <c r="CJ568" i="98"/>
  <c r="CH568" i="98"/>
  <c r="CE568" i="98"/>
  <c r="CD568" i="98"/>
  <c r="CC568" i="98"/>
  <c r="CB568" i="98"/>
  <c r="CA568" i="98"/>
  <c r="BA568" i="98"/>
  <c r="EQ568" i="98" s="1"/>
  <c r="AW568" i="98"/>
  <c r="BI568" i="98" s="1"/>
  <c r="AS568" i="98"/>
  <c r="BE568" i="98" s="1"/>
  <c r="F568" i="98"/>
  <c r="AF568" i="98" s="1"/>
  <c r="AR568" i="98" s="1"/>
  <c r="E568" i="98"/>
  <c r="U568" i="98" s="1"/>
  <c r="D568" i="98"/>
  <c r="O568" i="98" s="1"/>
  <c r="AM568" i="98" s="1"/>
  <c r="C568" i="98"/>
  <c r="EE568" i="98" s="1"/>
  <c r="B568" i="98"/>
  <c r="A568" i="98"/>
  <c r="CJ567" i="98"/>
  <c r="CH567" i="98"/>
  <c r="CE567" i="98"/>
  <c r="CD567" i="98"/>
  <c r="CC567" i="98"/>
  <c r="CB567" i="98"/>
  <c r="CA567" i="98"/>
  <c r="BA567" i="98"/>
  <c r="EQ567" i="98" s="1"/>
  <c r="AW567" i="98"/>
  <c r="BI567" i="98" s="1"/>
  <c r="AS567" i="98"/>
  <c r="F567" i="98"/>
  <c r="AC567" i="98" s="1"/>
  <c r="AO567" i="98" s="1"/>
  <c r="E567" i="98"/>
  <c r="X567" i="98" s="1"/>
  <c r="D567" i="98"/>
  <c r="N567" i="98" s="1"/>
  <c r="AL567" i="98" s="1"/>
  <c r="C567" i="98"/>
  <c r="EE567" i="98" s="1"/>
  <c r="B567" i="98"/>
  <c r="A567" i="98"/>
  <c r="CJ566" i="98"/>
  <c r="CH566" i="98"/>
  <c r="CE566" i="98"/>
  <c r="CD566" i="98"/>
  <c r="CC566" i="98"/>
  <c r="CB566" i="98"/>
  <c r="CA566" i="98"/>
  <c r="BA566" i="98"/>
  <c r="EQ566" i="98" s="1"/>
  <c r="AW566" i="98"/>
  <c r="AS566" i="98"/>
  <c r="AU566" i="98" s="1"/>
  <c r="F566" i="98"/>
  <c r="EH566" i="98" s="1"/>
  <c r="E566" i="98"/>
  <c r="U566" i="98" s="1"/>
  <c r="D566" i="98"/>
  <c r="R158" i="1" s="1"/>
  <c r="C566" i="98"/>
  <c r="EE566" i="98" s="1"/>
  <c r="B566" i="98"/>
  <c r="A566" i="98"/>
  <c r="CJ565" i="98"/>
  <c r="CH565" i="98"/>
  <c r="CE565" i="98"/>
  <c r="CD565" i="98"/>
  <c r="CC565" i="98"/>
  <c r="CB565" i="98"/>
  <c r="CA565" i="98"/>
  <c r="BA565" i="98"/>
  <c r="EQ565" i="98" s="1"/>
  <c r="AW565" i="98"/>
  <c r="AZ565" i="98" s="1"/>
  <c r="AS565" i="98"/>
  <c r="F565" i="98"/>
  <c r="AD565" i="98" s="1"/>
  <c r="AP565" i="98" s="1"/>
  <c r="E565" i="98"/>
  <c r="W565" i="98" s="1"/>
  <c r="D565" i="98"/>
  <c r="P565" i="98" s="1"/>
  <c r="AN565" i="98" s="1"/>
  <c r="C565" i="98"/>
  <c r="EE565" i="98" s="1"/>
  <c r="B565" i="98"/>
  <c r="A565" i="98"/>
  <c r="CJ564" i="98"/>
  <c r="CH564" i="98"/>
  <c r="CE564" i="98"/>
  <c r="CD564" i="98"/>
  <c r="CC564" i="98"/>
  <c r="CB564" i="98"/>
  <c r="CA564" i="98"/>
  <c r="BA564" i="98"/>
  <c r="EQ564" i="98" s="1"/>
  <c r="AZ564" i="98"/>
  <c r="EP564" i="98" s="1"/>
  <c r="AW564" i="98"/>
  <c r="BI564" i="98" s="1"/>
  <c r="AS564" i="98"/>
  <c r="BE564" i="98" s="1"/>
  <c r="F564" i="98"/>
  <c r="AF564" i="98" s="1"/>
  <c r="AR564" i="98" s="1"/>
  <c r="E564" i="98"/>
  <c r="EG564" i="98" s="1"/>
  <c r="D564" i="98"/>
  <c r="EF564" i="98" s="1"/>
  <c r="C564" i="98"/>
  <c r="EE564" i="98" s="1"/>
  <c r="B564" i="98"/>
  <c r="A564" i="98"/>
  <c r="CJ563" i="98"/>
  <c r="CH563" i="98"/>
  <c r="CE563" i="98"/>
  <c r="CD563" i="98"/>
  <c r="CC563" i="98"/>
  <c r="CB563" i="98"/>
  <c r="CA563" i="98"/>
  <c r="BI563" i="98"/>
  <c r="AS563" i="98"/>
  <c r="BE563" i="98" s="1"/>
  <c r="V563" i="98"/>
  <c r="N563" i="98"/>
  <c r="AL563" i="98" s="1"/>
  <c r="EE563" i="98"/>
  <c r="B563" i="98"/>
  <c r="A563" i="98"/>
  <c r="CJ562" i="98"/>
  <c r="CH562" i="98"/>
  <c r="CE562" i="98"/>
  <c r="CC562" i="98"/>
  <c r="CB562" i="98"/>
  <c r="CA562" i="98"/>
  <c r="B562" i="98"/>
  <c r="A562" i="98"/>
  <c r="CJ561" i="98"/>
  <c r="CH561" i="98"/>
  <c r="CE561" i="98"/>
  <c r="CD561" i="98"/>
  <c r="CC561" i="98"/>
  <c r="CB561" i="98"/>
  <c r="CA561" i="98"/>
  <c r="BA561" i="98"/>
  <c r="EQ561" i="98" s="1"/>
  <c r="AW561" i="98"/>
  <c r="AZ561" i="98" s="1"/>
  <c r="AS561" i="98"/>
  <c r="F561" i="98"/>
  <c r="AD561" i="98" s="1"/>
  <c r="AP561" i="98" s="1"/>
  <c r="E561" i="98"/>
  <c r="D561" i="98"/>
  <c r="C561" i="98"/>
  <c r="EE561" i="98" s="1"/>
  <c r="B561" i="98"/>
  <c r="A561" i="98"/>
  <c r="CJ560" i="98"/>
  <c r="CH560" i="98"/>
  <c r="CE560" i="98"/>
  <c r="CD560" i="98"/>
  <c r="CC560" i="98"/>
  <c r="CB560" i="98"/>
  <c r="CA560" i="98"/>
  <c r="BA560" i="98"/>
  <c r="EQ560" i="98" s="1"/>
  <c r="AY560" i="98"/>
  <c r="BK560" i="98" s="1"/>
  <c r="AW560" i="98"/>
  <c r="BI560" i="98" s="1"/>
  <c r="AS560" i="98"/>
  <c r="BE560" i="98" s="1"/>
  <c r="X560" i="98"/>
  <c r="F560" i="98"/>
  <c r="E560" i="98"/>
  <c r="D560" i="98"/>
  <c r="EF560" i="98" s="1"/>
  <c r="C560" i="98"/>
  <c r="EE560" i="98" s="1"/>
  <c r="B560" i="98"/>
  <c r="A560" i="98"/>
  <c r="CJ559" i="98"/>
  <c r="CH559" i="98"/>
  <c r="CE559" i="98"/>
  <c r="CD559" i="98"/>
  <c r="CC559" i="98"/>
  <c r="CB559" i="98"/>
  <c r="CA559" i="98"/>
  <c r="BA559" i="98"/>
  <c r="EQ559" i="98" s="1"/>
  <c r="AW559" i="98"/>
  <c r="BI559" i="98" s="1"/>
  <c r="AS559" i="98"/>
  <c r="F559" i="98"/>
  <c r="AC559" i="98" s="1"/>
  <c r="AO559" i="98" s="1"/>
  <c r="E559" i="98"/>
  <c r="V559" i="98" s="1"/>
  <c r="D559" i="98"/>
  <c r="N559" i="98" s="1"/>
  <c r="AL559" i="98" s="1"/>
  <c r="C559" i="98"/>
  <c r="EE559" i="98" s="1"/>
  <c r="B559" i="98"/>
  <c r="A559" i="98"/>
  <c r="CJ558" i="98"/>
  <c r="CH558" i="98"/>
  <c r="CE558" i="98"/>
  <c r="CD558" i="98"/>
  <c r="CC558" i="98"/>
  <c r="CB558" i="98"/>
  <c r="CA558" i="98"/>
  <c r="BA558" i="98"/>
  <c r="EQ558" i="98" s="1"/>
  <c r="AW558" i="98"/>
  <c r="AY558" i="98" s="1"/>
  <c r="AS558" i="98"/>
  <c r="AU558" i="98" s="1"/>
  <c r="F558" i="98"/>
  <c r="AD558" i="98" s="1"/>
  <c r="AP558" i="98" s="1"/>
  <c r="E558" i="98"/>
  <c r="W558" i="98" s="1"/>
  <c r="D558" i="98"/>
  <c r="C558" i="98"/>
  <c r="EE558" i="98" s="1"/>
  <c r="B558" i="98"/>
  <c r="A558" i="98"/>
  <c r="CJ557" i="98"/>
  <c r="CH557" i="98"/>
  <c r="CE557" i="98"/>
  <c r="CD557" i="98"/>
  <c r="CC557" i="98"/>
  <c r="CB557" i="98"/>
  <c r="CA557" i="98"/>
  <c r="BA557" i="98"/>
  <c r="EQ557" i="98" s="1"/>
  <c r="AW557" i="98"/>
  <c r="AZ557" i="98" s="1"/>
  <c r="AS557" i="98"/>
  <c r="AV557" i="98" s="1"/>
  <c r="F557" i="98"/>
  <c r="AF557" i="98" s="1"/>
  <c r="AR557" i="98" s="1"/>
  <c r="E557" i="98"/>
  <c r="W557" i="98" s="1"/>
  <c r="D557" i="98"/>
  <c r="C557" i="98"/>
  <c r="EE557" i="98" s="1"/>
  <c r="B557" i="98"/>
  <c r="A557" i="98"/>
  <c r="CJ556" i="98"/>
  <c r="CH556" i="98"/>
  <c r="CE556" i="98"/>
  <c r="CD556" i="98"/>
  <c r="CC556" i="98"/>
  <c r="CB556" i="98"/>
  <c r="CA556" i="98"/>
  <c r="BA556" i="98"/>
  <c r="EQ556" i="98" s="1"/>
  <c r="AW556" i="98"/>
  <c r="BI556" i="98" s="1"/>
  <c r="AS556" i="98"/>
  <c r="BE556" i="98" s="1"/>
  <c r="F556" i="98"/>
  <c r="AF556" i="98" s="1"/>
  <c r="AR556" i="98" s="1"/>
  <c r="E556" i="98"/>
  <c r="X556" i="98" s="1"/>
  <c r="D556" i="98"/>
  <c r="M556" i="98" s="1"/>
  <c r="AK556" i="98" s="1"/>
  <c r="C556" i="98"/>
  <c r="EE556" i="98" s="1"/>
  <c r="B556" i="98"/>
  <c r="A556" i="98"/>
  <c r="CJ555" i="98"/>
  <c r="CH555" i="98"/>
  <c r="CE555" i="98"/>
  <c r="CD555" i="98"/>
  <c r="CC555" i="98"/>
  <c r="CB555" i="98"/>
  <c r="CA555" i="98"/>
  <c r="BA555" i="98"/>
  <c r="EQ555" i="98" s="1"/>
  <c r="AW555" i="98"/>
  <c r="AZ555" i="98" s="1"/>
  <c r="AS555" i="98"/>
  <c r="BE555" i="98" s="1"/>
  <c r="F555" i="98"/>
  <c r="E555" i="98"/>
  <c r="V555" i="98" s="1"/>
  <c r="D555" i="98"/>
  <c r="N555" i="98" s="1"/>
  <c r="AL555" i="98" s="1"/>
  <c r="C555" i="98"/>
  <c r="EE555" i="98" s="1"/>
  <c r="B555" i="98"/>
  <c r="A555" i="98"/>
  <c r="CJ554" i="98"/>
  <c r="CH554" i="98"/>
  <c r="CE554" i="98"/>
  <c r="CD554" i="98"/>
  <c r="CC554" i="98"/>
  <c r="CB554" i="98"/>
  <c r="CA554" i="98"/>
  <c r="BA554" i="98"/>
  <c r="EQ554" i="98" s="1"/>
  <c r="AW554" i="98"/>
  <c r="BI554" i="98" s="1"/>
  <c r="AS554" i="98"/>
  <c r="F554" i="98"/>
  <c r="AC554" i="98" s="1"/>
  <c r="AO554" i="98" s="1"/>
  <c r="E554" i="98"/>
  <c r="W554" i="98" s="1"/>
  <c r="D554" i="98"/>
  <c r="M554" i="98" s="1"/>
  <c r="AK554" i="98" s="1"/>
  <c r="C554" i="98"/>
  <c r="EE554" i="98" s="1"/>
  <c r="B554" i="98"/>
  <c r="A554" i="98"/>
  <c r="CJ553" i="98"/>
  <c r="CH553" i="98"/>
  <c r="CE553" i="98"/>
  <c r="CD553" i="98"/>
  <c r="CC553" i="98"/>
  <c r="CB553" i="98"/>
  <c r="CA553" i="98"/>
  <c r="BA553" i="98"/>
  <c r="EQ553" i="98" s="1"/>
  <c r="AW553" i="98"/>
  <c r="AZ553" i="98" s="1"/>
  <c r="AS553" i="98"/>
  <c r="F553" i="98"/>
  <c r="AF553" i="98" s="1"/>
  <c r="AR553" i="98" s="1"/>
  <c r="E553" i="98"/>
  <c r="W553" i="98" s="1"/>
  <c r="D553" i="98"/>
  <c r="C553" i="98"/>
  <c r="EE553" i="98" s="1"/>
  <c r="B553" i="98"/>
  <c r="A553" i="98"/>
  <c r="CJ552" i="98"/>
  <c r="CH552" i="98"/>
  <c r="CE552" i="98"/>
  <c r="CD552" i="98"/>
  <c r="CC552" i="98"/>
  <c r="CB552" i="98"/>
  <c r="CA552" i="98"/>
  <c r="BA552" i="98"/>
  <c r="EQ552" i="98" s="1"/>
  <c r="AW552" i="98"/>
  <c r="BI552" i="98" s="1"/>
  <c r="AS552" i="98"/>
  <c r="BE552" i="98" s="1"/>
  <c r="F552" i="98"/>
  <c r="E552" i="98"/>
  <c r="EG552" i="98" s="1"/>
  <c r="D552" i="98"/>
  <c r="P552" i="98" s="1"/>
  <c r="AN552" i="98" s="1"/>
  <c r="C552" i="98"/>
  <c r="EE552" i="98" s="1"/>
  <c r="B552" i="98"/>
  <c r="A552" i="98"/>
  <c r="DI551" i="98"/>
  <c r="DH551" i="98"/>
  <c r="DG551" i="98"/>
  <c r="DF551" i="98"/>
  <c r="AS551" i="98" s="1"/>
  <c r="BE551" i="98" s="1"/>
  <c r="CJ551" i="98"/>
  <c r="CH551" i="98"/>
  <c r="CE551" i="98"/>
  <c r="CD551" i="98"/>
  <c r="CC551" i="98"/>
  <c r="CB551" i="98"/>
  <c r="CA551" i="98"/>
  <c r="BA551" i="98"/>
  <c r="EQ551" i="98" s="1"/>
  <c r="F551" i="98"/>
  <c r="E551" i="98"/>
  <c r="EG551" i="98" s="1"/>
  <c r="D551" i="98"/>
  <c r="N551" i="98" s="1"/>
  <c r="AL551" i="98" s="1"/>
  <c r="C551" i="98"/>
  <c r="EE551" i="98" s="1"/>
  <c r="B551" i="98"/>
  <c r="A551" i="98"/>
  <c r="CJ550" i="98"/>
  <c r="CH550" i="98"/>
  <c r="CE550" i="98"/>
  <c r="CD550" i="98"/>
  <c r="CC550" i="98"/>
  <c r="CB550" i="98"/>
  <c r="CA550" i="98"/>
  <c r="BA550" i="98"/>
  <c r="EQ550" i="98" s="1"/>
  <c r="AW550" i="98"/>
  <c r="BI550" i="98" s="1"/>
  <c r="AS550" i="98"/>
  <c r="F550" i="98"/>
  <c r="E550" i="98"/>
  <c r="U550" i="98" s="1"/>
  <c r="D550" i="98"/>
  <c r="C550" i="98"/>
  <c r="EE550" i="98" s="1"/>
  <c r="B550" i="98"/>
  <c r="A550" i="98"/>
  <c r="CJ549" i="98"/>
  <c r="CH549" i="98"/>
  <c r="CE549" i="98"/>
  <c r="CD549" i="98"/>
  <c r="CC549" i="98"/>
  <c r="CB549" i="98"/>
  <c r="CA549" i="98"/>
  <c r="BA549" i="98"/>
  <c r="EQ549" i="98" s="1"/>
  <c r="AW549" i="98"/>
  <c r="AZ549" i="98" s="1"/>
  <c r="AS549" i="98"/>
  <c r="AV549" i="98" s="1"/>
  <c r="F549" i="98"/>
  <c r="E549" i="98"/>
  <c r="W549" i="98" s="1"/>
  <c r="D549" i="98"/>
  <c r="P549" i="98" s="1"/>
  <c r="AN549" i="98" s="1"/>
  <c r="C549" i="98"/>
  <c r="EE549" i="98" s="1"/>
  <c r="B549" i="98"/>
  <c r="A549" i="98"/>
  <c r="CJ548" i="98"/>
  <c r="CH548" i="98"/>
  <c r="CE548" i="98"/>
  <c r="CD548" i="98"/>
  <c r="CC548" i="98"/>
  <c r="CB548" i="98"/>
  <c r="CA548" i="98"/>
  <c r="BA548" i="98"/>
  <c r="EQ548" i="98" s="1"/>
  <c r="AW548" i="98"/>
  <c r="AZ548" i="98" s="1"/>
  <c r="AS548" i="98"/>
  <c r="AV548" i="98" s="1"/>
  <c r="F548" i="98"/>
  <c r="EH548" i="98" s="1"/>
  <c r="E548" i="98"/>
  <c r="D548" i="98"/>
  <c r="M548" i="98" s="1"/>
  <c r="AK548" i="98" s="1"/>
  <c r="C548" i="98"/>
  <c r="EE548" i="98" s="1"/>
  <c r="B548" i="98"/>
  <c r="A548" i="98"/>
  <c r="CJ547" i="98"/>
  <c r="CH547" i="98"/>
  <c r="CE547" i="98"/>
  <c r="CD547" i="98"/>
  <c r="CC547" i="98"/>
  <c r="CB547" i="98"/>
  <c r="CA547" i="98"/>
  <c r="BA547" i="98"/>
  <c r="EQ547" i="98" s="1"/>
  <c r="AW547" i="98"/>
  <c r="BI547" i="98" s="1"/>
  <c r="AS547" i="98"/>
  <c r="BE547" i="98" s="1"/>
  <c r="F547" i="98"/>
  <c r="AD547" i="98" s="1"/>
  <c r="AP547" i="98" s="1"/>
  <c r="E547" i="98"/>
  <c r="D547" i="98"/>
  <c r="C547" i="98"/>
  <c r="EE547" i="98" s="1"/>
  <c r="B547" i="98"/>
  <c r="A547" i="98"/>
  <c r="CJ546" i="98"/>
  <c r="CH546" i="98"/>
  <c r="CE546" i="98"/>
  <c r="CD546" i="98"/>
  <c r="CC546" i="98"/>
  <c r="CB546" i="98"/>
  <c r="CA546" i="98"/>
  <c r="BA546" i="98"/>
  <c r="EQ546" i="98" s="1"/>
  <c r="AW546" i="98"/>
  <c r="EM546" i="98" s="1"/>
  <c r="AS546" i="98"/>
  <c r="EI546" i="98" s="1"/>
  <c r="F546" i="98"/>
  <c r="E546" i="98"/>
  <c r="D546" i="98"/>
  <c r="EF546" i="98" s="1"/>
  <c r="C546" i="98"/>
  <c r="EE546" i="98" s="1"/>
  <c r="B546" i="98"/>
  <c r="A546" i="98"/>
  <c r="CJ545" i="98"/>
  <c r="CH545" i="98"/>
  <c r="CE545" i="98"/>
  <c r="CD545" i="98"/>
  <c r="CC545" i="98"/>
  <c r="CB545" i="98"/>
  <c r="CA545" i="98"/>
  <c r="BA545" i="98"/>
  <c r="EQ545" i="98" s="1"/>
  <c r="AW545" i="98"/>
  <c r="AY545" i="98" s="1"/>
  <c r="AS545" i="98"/>
  <c r="F545" i="98"/>
  <c r="E545" i="98"/>
  <c r="U545" i="98" s="1"/>
  <c r="D545" i="98"/>
  <c r="P545" i="98" s="1"/>
  <c r="AN545" i="98" s="1"/>
  <c r="C545" i="98"/>
  <c r="EE545" i="98" s="1"/>
  <c r="B545" i="98"/>
  <c r="A545" i="98"/>
  <c r="CJ544" i="98"/>
  <c r="CH544" i="98"/>
  <c r="CE544" i="98"/>
  <c r="CD544" i="98"/>
  <c r="CC544" i="98"/>
  <c r="CB544" i="98"/>
  <c r="CA544" i="98"/>
  <c r="BA544" i="98"/>
  <c r="EQ544" i="98" s="1"/>
  <c r="AW544" i="98"/>
  <c r="AZ544" i="98" s="1"/>
  <c r="AS544" i="98"/>
  <c r="AV544" i="98" s="1"/>
  <c r="F544" i="98"/>
  <c r="EH544" i="98" s="1"/>
  <c r="E544" i="98"/>
  <c r="U544" i="98" s="1"/>
  <c r="D544" i="98"/>
  <c r="C544" i="98"/>
  <c r="EE544" i="98" s="1"/>
  <c r="B544" i="98"/>
  <c r="A544" i="98"/>
  <c r="CJ543" i="98"/>
  <c r="CH543" i="98"/>
  <c r="CE543" i="98"/>
  <c r="CD543" i="98"/>
  <c r="CC543" i="98"/>
  <c r="CB543" i="98"/>
  <c r="CA543" i="98"/>
  <c r="BA543" i="98"/>
  <c r="EQ543" i="98" s="1"/>
  <c r="AW543" i="98"/>
  <c r="BI543" i="98" s="1"/>
  <c r="AS543" i="98"/>
  <c r="BE543" i="98" s="1"/>
  <c r="F543" i="98"/>
  <c r="E543" i="98"/>
  <c r="V543" i="98" s="1"/>
  <c r="D543" i="98"/>
  <c r="P543" i="98" s="1"/>
  <c r="AN543" i="98" s="1"/>
  <c r="C543" i="98"/>
  <c r="EE543" i="98" s="1"/>
  <c r="B543" i="98"/>
  <c r="A543" i="98"/>
  <c r="CJ542" i="98"/>
  <c r="CH542" i="98"/>
  <c r="CE542" i="98"/>
  <c r="CD542" i="98"/>
  <c r="CC542" i="98"/>
  <c r="CB542" i="98"/>
  <c r="CA542" i="98"/>
  <c r="BA542" i="98"/>
  <c r="EQ542" i="98" s="1"/>
  <c r="AW542" i="98"/>
  <c r="EM542" i="98" s="1"/>
  <c r="AS542" i="98"/>
  <c r="EI542" i="98" s="1"/>
  <c r="F542" i="98"/>
  <c r="AD542" i="98" s="1"/>
  <c r="AP542" i="98" s="1"/>
  <c r="E542" i="98"/>
  <c r="U542" i="98" s="1"/>
  <c r="D542" i="98"/>
  <c r="C542" i="98"/>
  <c r="EE542" i="98" s="1"/>
  <c r="B542" i="98"/>
  <c r="A542" i="98"/>
  <c r="CJ541" i="98"/>
  <c r="CH541" i="98"/>
  <c r="CE541" i="98"/>
  <c r="CD541" i="98"/>
  <c r="CC541" i="98"/>
  <c r="CB541" i="98"/>
  <c r="CA541" i="98"/>
  <c r="BA541" i="98"/>
  <c r="EQ541" i="98" s="1"/>
  <c r="AW541" i="98"/>
  <c r="AY541" i="98" s="1"/>
  <c r="AS541" i="98"/>
  <c r="AU541" i="98" s="1"/>
  <c r="F541" i="98"/>
  <c r="AD541" i="98" s="1"/>
  <c r="AP541" i="98" s="1"/>
  <c r="E541" i="98"/>
  <c r="W541" i="98" s="1"/>
  <c r="D541" i="98"/>
  <c r="EF541" i="98" s="1"/>
  <c r="C541" i="98"/>
  <c r="EE541" i="98" s="1"/>
  <c r="B541" i="98"/>
  <c r="A541" i="98"/>
  <c r="CJ540" i="98"/>
  <c r="CH540" i="98"/>
  <c r="CE540" i="98"/>
  <c r="CD540" i="98"/>
  <c r="CC540" i="98"/>
  <c r="CB540" i="98"/>
  <c r="CA540" i="98"/>
  <c r="BA540" i="98"/>
  <c r="EQ540" i="98" s="1"/>
  <c r="AW540" i="98"/>
  <c r="AZ540" i="98" s="1"/>
  <c r="AS540" i="98"/>
  <c r="AV540" i="98" s="1"/>
  <c r="F540" i="98"/>
  <c r="AF540" i="98" s="1"/>
  <c r="AR540" i="98" s="1"/>
  <c r="E540" i="98"/>
  <c r="EG540" i="98" s="1"/>
  <c r="D540" i="98"/>
  <c r="P540" i="98" s="1"/>
  <c r="AN540" i="98" s="1"/>
  <c r="C540" i="98"/>
  <c r="EE540" i="98" s="1"/>
  <c r="B540" i="98"/>
  <c r="A540" i="98"/>
  <c r="CJ539" i="98"/>
  <c r="CH539" i="98"/>
  <c r="CE539" i="98"/>
  <c r="CD539" i="98"/>
  <c r="CC539" i="98"/>
  <c r="CB539" i="98"/>
  <c r="CA539" i="98"/>
  <c r="BA539" i="98"/>
  <c r="EQ539" i="98" s="1"/>
  <c r="AW539" i="98"/>
  <c r="BI539" i="98" s="1"/>
  <c r="AS539" i="98"/>
  <c r="BE539" i="98" s="1"/>
  <c r="F539" i="98"/>
  <c r="EH539" i="98" s="1"/>
  <c r="E539" i="98"/>
  <c r="U539" i="98" s="1"/>
  <c r="D539" i="98"/>
  <c r="M539" i="98" s="1"/>
  <c r="AK539" i="98" s="1"/>
  <c r="C539" i="98"/>
  <c r="EE539" i="98" s="1"/>
  <c r="B539" i="98"/>
  <c r="A539" i="98"/>
  <c r="CJ538" i="98"/>
  <c r="CH538" i="98"/>
  <c r="CE538" i="98"/>
  <c r="CD538" i="98"/>
  <c r="CC538" i="98"/>
  <c r="CB538" i="98"/>
  <c r="CA538" i="98"/>
  <c r="BA538" i="98"/>
  <c r="EQ538" i="98" s="1"/>
  <c r="AW538" i="98"/>
  <c r="EM538" i="98" s="1"/>
  <c r="AS538" i="98"/>
  <c r="EI538" i="98" s="1"/>
  <c r="F538" i="98"/>
  <c r="AD538" i="98" s="1"/>
  <c r="AP538" i="98" s="1"/>
  <c r="E538" i="98"/>
  <c r="U538" i="98" s="1"/>
  <c r="D538" i="98"/>
  <c r="N538" i="98" s="1"/>
  <c r="AL538" i="98" s="1"/>
  <c r="C538" i="98"/>
  <c r="EE538" i="98" s="1"/>
  <c r="B538" i="98"/>
  <c r="A538" i="98"/>
  <c r="CJ537" i="98"/>
  <c r="CH537" i="98"/>
  <c r="CE537" i="98"/>
  <c r="CD537" i="98"/>
  <c r="CC537" i="98"/>
  <c r="CB537" i="98"/>
  <c r="CA537" i="98"/>
  <c r="BA537" i="98"/>
  <c r="EQ537" i="98" s="1"/>
  <c r="AW537" i="98"/>
  <c r="AY537" i="98" s="1"/>
  <c r="AS537" i="98"/>
  <c r="AU537" i="98" s="1"/>
  <c r="U537" i="98"/>
  <c r="F537" i="98"/>
  <c r="AD537" i="98" s="1"/>
  <c r="AP537" i="98" s="1"/>
  <c r="E537" i="98"/>
  <c r="W537" i="98" s="1"/>
  <c r="D537" i="98"/>
  <c r="EF537" i="98" s="1"/>
  <c r="C537" i="98"/>
  <c r="EE537" i="98" s="1"/>
  <c r="B537" i="98"/>
  <c r="A537" i="98"/>
  <c r="EI536" i="98"/>
  <c r="CJ536" i="98"/>
  <c r="CH536" i="98"/>
  <c r="CE536" i="98"/>
  <c r="CD536" i="98"/>
  <c r="CC536" i="98"/>
  <c r="CB536" i="98"/>
  <c r="CA536" i="98"/>
  <c r="BE536" i="98"/>
  <c r="BD536" i="98"/>
  <c r="ET536" i="98" s="1"/>
  <c r="AW536" i="98"/>
  <c r="AZ536" i="98" s="1"/>
  <c r="AV536" i="98"/>
  <c r="BH536" i="98" s="1"/>
  <c r="AU536" i="98"/>
  <c r="EK536" i="98" s="1"/>
  <c r="AT536" i="98"/>
  <c r="BF536" i="98" s="1"/>
  <c r="B536" i="98"/>
  <c r="A536" i="98"/>
  <c r="CJ535" i="98"/>
  <c r="CH535" i="98"/>
  <c r="CE535" i="98"/>
  <c r="CD535" i="98"/>
  <c r="CC535" i="98"/>
  <c r="CB535" i="98"/>
  <c r="CA535" i="98"/>
  <c r="BA535" i="98"/>
  <c r="EQ535" i="98" s="1"/>
  <c r="AW535" i="98"/>
  <c r="AZ535" i="98" s="1"/>
  <c r="AS535" i="98"/>
  <c r="AV535" i="98" s="1"/>
  <c r="F535" i="98"/>
  <c r="AF535" i="98" s="1"/>
  <c r="AR535" i="98" s="1"/>
  <c r="E535" i="98"/>
  <c r="EG535" i="98" s="1"/>
  <c r="D535" i="98"/>
  <c r="O535" i="98" s="1"/>
  <c r="AM535" i="98" s="1"/>
  <c r="C535" i="98"/>
  <c r="EE535" i="98" s="1"/>
  <c r="B535" i="98"/>
  <c r="A535" i="98"/>
  <c r="CJ534" i="98"/>
  <c r="CH534" i="98"/>
  <c r="CE534" i="98"/>
  <c r="CD534" i="98"/>
  <c r="CC534" i="98"/>
  <c r="CB534" i="98"/>
  <c r="CA534" i="98"/>
  <c r="BA534" i="98"/>
  <c r="EQ534" i="98" s="1"/>
  <c r="AW534" i="98"/>
  <c r="BI534" i="98" s="1"/>
  <c r="AS534" i="98"/>
  <c r="BE534" i="98" s="1"/>
  <c r="F534" i="98"/>
  <c r="EH534" i="98" s="1"/>
  <c r="E534" i="98"/>
  <c r="V534" i="98" s="1"/>
  <c r="D534" i="98"/>
  <c r="P534" i="98" s="1"/>
  <c r="AN534" i="98" s="1"/>
  <c r="C534" i="98"/>
  <c r="EE534" i="98" s="1"/>
  <c r="B534" i="98"/>
  <c r="A534" i="98"/>
  <c r="CJ533" i="98"/>
  <c r="CH533" i="98"/>
  <c r="CE533" i="98"/>
  <c r="CD533" i="98"/>
  <c r="CC533" i="98"/>
  <c r="CB533" i="98"/>
  <c r="CA533" i="98"/>
  <c r="BA533" i="98"/>
  <c r="EQ533" i="98" s="1"/>
  <c r="AW533" i="98"/>
  <c r="EM533" i="98" s="1"/>
  <c r="AS533" i="98"/>
  <c r="EI533" i="98" s="1"/>
  <c r="F533" i="98"/>
  <c r="AD533" i="98" s="1"/>
  <c r="AP533" i="98" s="1"/>
  <c r="E533" i="98"/>
  <c r="V533" i="98" s="1"/>
  <c r="D533" i="98"/>
  <c r="N533" i="98" s="1"/>
  <c r="AL533" i="98" s="1"/>
  <c r="C533" i="98"/>
  <c r="EE533" i="98" s="1"/>
  <c r="B533" i="98"/>
  <c r="A533" i="98"/>
  <c r="CJ532" i="98"/>
  <c r="CH532" i="98"/>
  <c r="CE532" i="98"/>
  <c r="CD532" i="98"/>
  <c r="CC532" i="98"/>
  <c r="CB532" i="98"/>
  <c r="CA532" i="98"/>
  <c r="BA532" i="98"/>
  <c r="EQ532" i="98" s="1"/>
  <c r="AW532" i="98"/>
  <c r="AS532" i="98"/>
  <c r="AU532" i="98" s="1"/>
  <c r="F532" i="98"/>
  <c r="AE532" i="98" s="1"/>
  <c r="AQ532" i="98" s="1"/>
  <c r="E532" i="98"/>
  <c r="W532" i="98" s="1"/>
  <c r="D532" i="98"/>
  <c r="EF532" i="98" s="1"/>
  <c r="C532" i="98"/>
  <c r="EE532" i="98" s="1"/>
  <c r="B532" i="98"/>
  <c r="A532" i="98"/>
  <c r="CJ531" i="98"/>
  <c r="CH531" i="98"/>
  <c r="CE531" i="98"/>
  <c r="CD531" i="98"/>
  <c r="CC531" i="98"/>
  <c r="CB531" i="98"/>
  <c r="CA531" i="98"/>
  <c r="BA531" i="98"/>
  <c r="EQ531" i="98" s="1"/>
  <c r="AW531" i="98"/>
  <c r="AZ531" i="98" s="1"/>
  <c r="AS531" i="98"/>
  <c r="AV531" i="98" s="1"/>
  <c r="F531" i="98"/>
  <c r="AF531" i="98" s="1"/>
  <c r="AR531" i="98" s="1"/>
  <c r="E531" i="98"/>
  <c r="W531" i="98" s="1"/>
  <c r="D531" i="98"/>
  <c r="EF531" i="98" s="1"/>
  <c r="C531" i="98"/>
  <c r="EE531" i="98" s="1"/>
  <c r="B531" i="98"/>
  <c r="A531" i="98"/>
  <c r="CJ530" i="98"/>
  <c r="CH530" i="98"/>
  <c r="CE530" i="98"/>
  <c r="CD530" i="98"/>
  <c r="CC530" i="98"/>
  <c r="CB530" i="98"/>
  <c r="CA530" i="98"/>
  <c r="BA530" i="98"/>
  <c r="EQ530" i="98" s="1"/>
  <c r="AW530" i="98"/>
  <c r="BI530" i="98" s="1"/>
  <c r="AS530" i="98"/>
  <c r="BE530" i="98" s="1"/>
  <c r="F530" i="98"/>
  <c r="AF530" i="98" s="1"/>
  <c r="AR530" i="98" s="1"/>
  <c r="E530" i="98"/>
  <c r="U530" i="98" s="1"/>
  <c r="D530" i="98"/>
  <c r="P530" i="98" s="1"/>
  <c r="AN530" i="98" s="1"/>
  <c r="C530" i="98"/>
  <c r="EE530" i="98" s="1"/>
  <c r="B530" i="98"/>
  <c r="A530" i="98"/>
  <c r="CJ529" i="98"/>
  <c r="CH529" i="98"/>
  <c r="CE529" i="98"/>
  <c r="CD529" i="98"/>
  <c r="CC529" i="98"/>
  <c r="CB529" i="98"/>
  <c r="CA529" i="98"/>
  <c r="BA529" i="98"/>
  <c r="EQ529" i="98" s="1"/>
  <c r="AW529" i="98"/>
  <c r="BI529" i="98" s="1"/>
  <c r="AS529" i="98"/>
  <c r="BE529" i="98" s="1"/>
  <c r="F529" i="98"/>
  <c r="AC529" i="98" s="1"/>
  <c r="AO529" i="98" s="1"/>
  <c r="E529" i="98"/>
  <c r="U529" i="98" s="1"/>
  <c r="D529" i="98"/>
  <c r="O529" i="98" s="1"/>
  <c r="AM529" i="98" s="1"/>
  <c r="C529" i="98"/>
  <c r="EE529" i="98" s="1"/>
  <c r="B529" i="98"/>
  <c r="A529" i="98"/>
  <c r="CJ528" i="98"/>
  <c r="CH528" i="98"/>
  <c r="CE528" i="98"/>
  <c r="CD528" i="98"/>
  <c r="CC528" i="98"/>
  <c r="CB528" i="98"/>
  <c r="CA528" i="98"/>
  <c r="BA528" i="98"/>
  <c r="EQ528" i="98" s="1"/>
  <c r="AW528" i="98"/>
  <c r="AY528" i="98" s="1"/>
  <c r="AS528" i="98"/>
  <c r="AU528" i="98" s="1"/>
  <c r="F528" i="98"/>
  <c r="AE528" i="98" s="1"/>
  <c r="AQ528" i="98" s="1"/>
  <c r="E528" i="98"/>
  <c r="W528" i="98" s="1"/>
  <c r="D528" i="98"/>
  <c r="N528" i="98" s="1"/>
  <c r="AL528" i="98" s="1"/>
  <c r="C528" i="98"/>
  <c r="EE528" i="98" s="1"/>
  <c r="B528" i="98"/>
  <c r="A528" i="98"/>
  <c r="CJ527" i="98"/>
  <c r="CH527" i="98"/>
  <c r="CE527" i="98"/>
  <c r="CD527" i="98"/>
  <c r="CC527" i="98"/>
  <c r="CB527" i="98"/>
  <c r="CA527" i="98"/>
  <c r="BA527" i="98"/>
  <c r="EQ527" i="98" s="1"/>
  <c r="AW527" i="98"/>
  <c r="AZ527" i="98" s="1"/>
  <c r="AS527" i="98"/>
  <c r="AV527" i="98" s="1"/>
  <c r="F527" i="98"/>
  <c r="AF527" i="98" s="1"/>
  <c r="AR527" i="98" s="1"/>
  <c r="E527" i="98"/>
  <c r="W527" i="98" s="1"/>
  <c r="D527" i="98"/>
  <c r="EF527" i="98" s="1"/>
  <c r="C527" i="98"/>
  <c r="EE527" i="98" s="1"/>
  <c r="B527" i="98"/>
  <c r="A527" i="98"/>
  <c r="CJ526" i="98"/>
  <c r="CH526" i="98"/>
  <c r="CE526" i="98"/>
  <c r="CD526" i="98"/>
  <c r="CC526" i="98"/>
  <c r="CB526" i="98"/>
  <c r="CA526" i="98"/>
  <c r="BA526" i="98"/>
  <c r="EQ526" i="98" s="1"/>
  <c r="AW526" i="98"/>
  <c r="BI526" i="98" s="1"/>
  <c r="AS526" i="98"/>
  <c r="BE526" i="98" s="1"/>
  <c r="F526" i="98"/>
  <c r="AF526" i="98" s="1"/>
  <c r="AR526" i="98" s="1"/>
  <c r="E526" i="98"/>
  <c r="U526" i="98" s="1"/>
  <c r="D526" i="98"/>
  <c r="P526" i="98" s="1"/>
  <c r="AN526" i="98" s="1"/>
  <c r="C526" i="98"/>
  <c r="EE526" i="98" s="1"/>
  <c r="B526" i="98"/>
  <c r="A526" i="98"/>
  <c r="CJ525" i="98"/>
  <c r="CH525" i="98"/>
  <c r="CE525" i="98"/>
  <c r="CD525" i="98"/>
  <c r="CC525" i="98"/>
  <c r="CB525" i="98"/>
  <c r="CA525" i="98"/>
  <c r="BA525" i="98"/>
  <c r="EQ525" i="98" s="1"/>
  <c r="AW525" i="98"/>
  <c r="BI525" i="98" s="1"/>
  <c r="AS525" i="98"/>
  <c r="BE525" i="98" s="1"/>
  <c r="F525" i="98"/>
  <c r="EH525" i="98" s="1"/>
  <c r="E525" i="98"/>
  <c r="U525" i="98" s="1"/>
  <c r="D525" i="98"/>
  <c r="EF525" i="98" s="1"/>
  <c r="C525" i="98"/>
  <c r="EE525" i="98" s="1"/>
  <c r="B525" i="98"/>
  <c r="A525" i="98"/>
  <c r="CJ524" i="98"/>
  <c r="CH524" i="98"/>
  <c r="CE524" i="98"/>
  <c r="CD524" i="98"/>
  <c r="CC524" i="98"/>
  <c r="CB524" i="98"/>
  <c r="CA524" i="98"/>
  <c r="BA524" i="98"/>
  <c r="EQ524" i="98" s="1"/>
  <c r="AW524" i="98"/>
  <c r="AS524" i="98"/>
  <c r="AU524" i="98" s="1"/>
  <c r="F524" i="98"/>
  <c r="AE524" i="98" s="1"/>
  <c r="AQ524" i="98" s="1"/>
  <c r="E524" i="98"/>
  <c r="D524" i="98"/>
  <c r="N524" i="98" s="1"/>
  <c r="AL524" i="98" s="1"/>
  <c r="C524" i="98"/>
  <c r="EE524" i="98" s="1"/>
  <c r="B524" i="98"/>
  <c r="A524" i="98"/>
  <c r="CJ523" i="98"/>
  <c r="CH523" i="98"/>
  <c r="CE523" i="98"/>
  <c r="CD523" i="98"/>
  <c r="CC523" i="98"/>
  <c r="CB523" i="98"/>
  <c r="CA523" i="98"/>
  <c r="BA523" i="98"/>
  <c r="EQ523" i="98" s="1"/>
  <c r="AW523" i="98"/>
  <c r="AZ523" i="98" s="1"/>
  <c r="AS523" i="98"/>
  <c r="AV523" i="98" s="1"/>
  <c r="F523" i="98"/>
  <c r="AF523" i="98" s="1"/>
  <c r="AR523" i="98" s="1"/>
  <c r="E523" i="98"/>
  <c r="W523" i="98" s="1"/>
  <c r="D523" i="98"/>
  <c r="O523" i="98" s="1"/>
  <c r="AM523" i="98" s="1"/>
  <c r="C523" i="98"/>
  <c r="EE523" i="98" s="1"/>
  <c r="B523" i="98"/>
  <c r="A523" i="98"/>
  <c r="CJ522" i="98"/>
  <c r="CH522" i="98"/>
  <c r="CE522" i="98"/>
  <c r="CD522" i="98"/>
  <c r="CC522" i="98"/>
  <c r="CB522" i="98"/>
  <c r="CA522" i="98"/>
  <c r="BA522" i="98"/>
  <c r="EQ522" i="98" s="1"/>
  <c r="AW522" i="98"/>
  <c r="BI522" i="98" s="1"/>
  <c r="AS522" i="98"/>
  <c r="BE522" i="98" s="1"/>
  <c r="X522" i="98"/>
  <c r="F522" i="98"/>
  <c r="AF522" i="98" s="1"/>
  <c r="AR522" i="98" s="1"/>
  <c r="E522" i="98"/>
  <c r="W522" i="98" s="1"/>
  <c r="D522" i="98"/>
  <c r="P522" i="98" s="1"/>
  <c r="AN522" i="98" s="1"/>
  <c r="C522" i="98"/>
  <c r="EE522" i="98" s="1"/>
  <c r="B522" i="98"/>
  <c r="A522" i="98"/>
  <c r="CJ521" i="98"/>
  <c r="CH521" i="98"/>
  <c r="CE521" i="98"/>
  <c r="CD521" i="98"/>
  <c r="CC521" i="98"/>
  <c r="CB521" i="98"/>
  <c r="CA521" i="98"/>
  <c r="BA521" i="98"/>
  <c r="EQ521" i="98" s="1"/>
  <c r="AW521" i="98"/>
  <c r="BI521" i="98" s="1"/>
  <c r="AS521" i="98"/>
  <c r="BE521" i="98" s="1"/>
  <c r="F521" i="98"/>
  <c r="AC521" i="98" s="1"/>
  <c r="AO521" i="98" s="1"/>
  <c r="E521" i="98"/>
  <c r="U521" i="98" s="1"/>
  <c r="D521" i="98"/>
  <c r="O521" i="98" s="1"/>
  <c r="AM521" i="98" s="1"/>
  <c r="C521" i="98"/>
  <c r="EE521" i="98" s="1"/>
  <c r="B521" i="98"/>
  <c r="A521" i="98"/>
  <c r="CJ520" i="98"/>
  <c r="CH520" i="98"/>
  <c r="CE520" i="98"/>
  <c r="CD520" i="98"/>
  <c r="CC520" i="98"/>
  <c r="CB520" i="98"/>
  <c r="CA520" i="98"/>
  <c r="BA520" i="98"/>
  <c r="EQ520" i="98" s="1"/>
  <c r="AW520" i="98"/>
  <c r="BI520" i="98" s="1"/>
  <c r="AS520" i="98"/>
  <c r="BE520" i="98" s="1"/>
  <c r="F520" i="98"/>
  <c r="AE520" i="98" s="1"/>
  <c r="AQ520" i="98" s="1"/>
  <c r="E520" i="98"/>
  <c r="X520" i="98" s="1"/>
  <c r="D520" i="98"/>
  <c r="N520" i="98" s="1"/>
  <c r="AL520" i="98" s="1"/>
  <c r="C520" i="98"/>
  <c r="EE520" i="98" s="1"/>
  <c r="B520" i="98"/>
  <c r="A520" i="98"/>
  <c r="CJ519" i="98"/>
  <c r="CH519" i="98"/>
  <c r="CE519" i="98"/>
  <c r="CD519" i="98"/>
  <c r="CC519" i="98"/>
  <c r="CB519" i="98"/>
  <c r="CA519" i="98"/>
  <c r="BA519" i="98"/>
  <c r="EQ519" i="98" s="1"/>
  <c r="AW519" i="98"/>
  <c r="AZ519" i="98" s="1"/>
  <c r="AS519" i="98"/>
  <c r="AV519" i="98" s="1"/>
  <c r="F519" i="98"/>
  <c r="E519" i="98"/>
  <c r="D519" i="98"/>
  <c r="M519" i="98" s="1"/>
  <c r="AK519" i="98" s="1"/>
  <c r="C519" i="98"/>
  <c r="EE519" i="98" s="1"/>
  <c r="B519" i="98"/>
  <c r="A519" i="98"/>
  <c r="CJ518" i="98"/>
  <c r="CH518" i="98"/>
  <c r="CE518" i="98"/>
  <c r="CD518" i="98"/>
  <c r="CC518" i="98"/>
  <c r="CB518" i="98"/>
  <c r="CA518" i="98"/>
  <c r="BA518" i="98"/>
  <c r="EQ518" i="98" s="1"/>
  <c r="AW518" i="98"/>
  <c r="BI518" i="98" s="1"/>
  <c r="AS518" i="98"/>
  <c r="BE518" i="98" s="1"/>
  <c r="F518" i="98"/>
  <c r="E518" i="98"/>
  <c r="D518" i="98"/>
  <c r="C518" i="98"/>
  <c r="EE518" i="98" s="1"/>
  <c r="B518" i="98"/>
  <c r="A518" i="98"/>
  <c r="CJ517" i="98"/>
  <c r="CH517" i="98"/>
  <c r="CE517" i="98"/>
  <c r="CD517" i="98"/>
  <c r="CC517" i="98"/>
  <c r="CB517" i="98"/>
  <c r="CA517" i="98"/>
  <c r="BA517" i="98"/>
  <c r="EQ517" i="98" s="1"/>
  <c r="AW517" i="98"/>
  <c r="BI517" i="98" s="1"/>
  <c r="AS517" i="98"/>
  <c r="BE517" i="98" s="1"/>
  <c r="F517" i="98"/>
  <c r="EH517" i="98" s="1"/>
  <c r="E517" i="98"/>
  <c r="D517" i="98"/>
  <c r="EF517" i="98" s="1"/>
  <c r="C517" i="98"/>
  <c r="EE517" i="98" s="1"/>
  <c r="B517" i="98"/>
  <c r="A517" i="98"/>
  <c r="CJ516" i="98"/>
  <c r="CH516" i="98"/>
  <c r="CE516" i="98"/>
  <c r="CD516" i="98"/>
  <c r="CC516" i="98"/>
  <c r="CB516" i="98"/>
  <c r="CA516" i="98"/>
  <c r="BA516" i="98"/>
  <c r="EQ516" i="98" s="1"/>
  <c r="AW516" i="98"/>
  <c r="AY516" i="98" s="1"/>
  <c r="AS516" i="98"/>
  <c r="AU516" i="98" s="1"/>
  <c r="F516" i="98"/>
  <c r="E516" i="98"/>
  <c r="D516" i="98"/>
  <c r="C516" i="98"/>
  <c r="EE516" i="98" s="1"/>
  <c r="B516" i="98"/>
  <c r="A516" i="98"/>
  <c r="CJ515" i="98"/>
  <c r="CH515" i="98"/>
  <c r="CE515" i="98"/>
  <c r="CD515" i="98"/>
  <c r="CC515" i="98"/>
  <c r="CB515" i="98"/>
  <c r="CA515" i="98"/>
  <c r="BA515" i="98"/>
  <c r="EQ515" i="98" s="1"/>
  <c r="AW515" i="98"/>
  <c r="AY515" i="98" s="1"/>
  <c r="AS515" i="98"/>
  <c r="F515" i="98"/>
  <c r="AC515" i="98" s="1"/>
  <c r="AO515" i="98" s="1"/>
  <c r="E515" i="98"/>
  <c r="D515" i="98"/>
  <c r="EF515" i="98" s="1"/>
  <c r="C515" i="98"/>
  <c r="EE515" i="98" s="1"/>
  <c r="B515" i="98"/>
  <c r="A515" i="98"/>
  <c r="CJ514" i="98"/>
  <c r="CH514" i="98"/>
  <c r="CE514" i="98"/>
  <c r="CD514" i="98"/>
  <c r="CC514" i="98"/>
  <c r="CB514" i="98"/>
  <c r="CA514" i="98"/>
  <c r="BA514" i="98"/>
  <c r="EQ514" i="98" s="1"/>
  <c r="AW514" i="98"/>
  <c r="BI514" i="98" s="1"/>
  <c r="AS514" i="98"/>
  <c r="F514" i="98"/>
  <c r="E514" i="98"/>
  <c r="U514" i="98" s="1"/>
  <c r="D514" i="98"/>
  <c r="N514" i="98" s="1"/>
  <c r="AL514" i="98" s="1"/>
  <c r="C514" i="98"/>
  <c r="EE514" i="98" s="1"/>
  <c r="B514" i="98"/>
  <c r="A514" i="98"/>
  <c r="CJ513" i="98"/>
  <c r="CH513" i="98"/>
  <c r="CE513" i="98"/>
  <c r="CD513" i="98"/>
  <c r="CC513" i="98"/>
  <c r="CB513" i="98"/>
  <c r="CA513" i="98"/>
  <c r="BA513" i="98"/>
  <c r="EQ513" i="98" s="1"/>
  <c r="AW513" i="98"/>
  <c r="BI513" i="98" s="1"/>
  <c r="AS513" i="98"/>
  <c r="BE513" i="98" s="1"/>
  <c r="F513" i="98"/>
  <c r="AC513" i="98" s="1"/>
  <c r="AO513" i="98" s="1"/>
  <c r="E513" i="98"/>
  <c r="W513" i="98" s="1"/>
  <c r="D513" i="98"/>
  <c r="N513" i="98" s="1"/>
  <c r="AL513" i="98" s="1"/>
  <c r="C513" i="98"/>
  <c r="EE513" i="98" s="1"/>
  <c r="B513" i="98"/>
  <c r="A513" i="98"/>
  <c r="CJ512" i="98"/>
  <c r="CH512" i="98"/>
  <c r="CE512" i="98"/>
  <c r="CD512" i="98"/>
  <c r="CC512" i="98"/>
  <c r="CB512" i="98"/>
  <c r="CA512" i="98"/>
  <c r="BA512" i="98"/>
  <c r="EQ512" i="98" s="1"/>
  <c r="AW512" i="98"/>
  <c r="AY512" i="98" s="1"/>
  <c r="BK512" i="98" s="1"/>
  <c r="AS512" i="98"/>
  <c r="AU512" i="98" s="1"/>
  <c r="BG512" i="98" s="1"/>
  <c r="F512" i="98"/>
  <c r="AD512" i="98" s="1"/>
  <c r="AP512" i="98" s="1"/>
  <c r="E512" i="98"/>
  <c r="X512" i="98" s="1"/>
  <c r="D512" i="98"/>
  <c r="N512" i="98" s="1"/>
  <c r="AL512" i="98" s="1"/>
  <c r="C512" i="98"/>
  <c r="EE512" i="98" s="1"/>
  <c r="B512" i="98"/>
  <c r="A512" i="98"/>
  <c r="CJ511" i="98"/>
  <c r="CH511" i="98"/>
  <c r="CE511" i="98"/>
  <c r="CD511" i="98"/>
  <c r="CC511" i="98"/>
  <c r="CB511" i="98"/>
  <c r="CA511" i="98"/>
  <c r="BA511" i="98"/>
  <c r="EQ511" i="98" s="1"/>
  <c r="AW511" i="98"/>
  <c r="AS511" i="98"/>
  <c r="AU511" i="98" s="1"/>
  <c r="F511" i="98"/>
  <c r="AF511" i="98" s="1"/>
  <c r="AR511" i="98" s="1"/>
  <c r="E511" i="98"/>
  <c r="W511" i="98" s="1"/>
  <c r="D511" i="98"/>
  <c r="P511" i="98" s="1"/>
  <c r="AN511" i="98" s="1"/>
  <c r="C511" i="98"/>
  <c r="EE511" i="98" s="1"/>
  <c r="B511" i="98"/>
  <c r="A511" i="98"/>
  <c r="CJ510" i="98"/>
  <c r="CH510" i="98"/>
  <c r="CE510" i="98"/>
  <c r="CD510" i="98"/>
  <c r="CC510" i="98"/>
  <c r="CB510" i="98"/>
  <c r="CA510" i="98"/>
  <c r="BA510" i="98"/>
  <c r="EQ510" i="98" s="1"/>
  <c r="AW510" i="98"/>
  <c r="BI510" i="98" s="1"/>
  <c r="AS510" i="98"/>
  <c r="BE510" i="98" s="1"/>
  <c r="F510" i="98"/>
  <c r="EH510" i="98" s="1"/>
  <c r="D510" i="98"/>
  <c r="EF510" i="98" s="1"/>
  <c r="C510" i="98"/>
  <c r="EE510" i="98" s="1"/>
  <c r="B510" i="98"/>
  <c r="A510" i="98"/>
  <c r="CJ509" i="98"/>
  <c r="CH509" i="98"/>
  <c r="CE509" i="98"/>
  <c r="CD509" i="98"/>
  <c r="CC509" i="98"/>
  <c r="CB509" i="98"/>
  <c r="CA509" i="98"/>
  <c r="BA509" i="98"/>
  <c r="EQ509" i="98" s="1"/>
  <c r="AW509" i="98"/>
  <c r="BI509" i="98" s="1"/>
  <c r="AS509" i="98"/>
  <c r="BE509" i="98" s="1"/>
  <c r="F509" i="98"/>
  <c r="AD509" i="98" s="1"/>
  <c r="AP509" i="98" s="1"/>
  <c r="E509" i="98"/>
  <c r="W509" i="98" s="1"/>
  <c r="D509" i="98"/>
  <c r="N509" i="98" s="1"/>
  <c r="AL509" i="98" s="1"/>
  <c r="C509" i="98"/>
  <c r="EE509" i="98" s="1"/>
  <c r="B509" i="98"/>
  <c r="A509" i="98"/>
  <c r="CJ508" i="98"/>
  <c r="CH508" i="98"/>
  <c r="CE508" i="98"/>
  <c r="CD508" i="98"/>
  <c r="CC508" i="98"/>
  <c r="CB508" i="98"/>
  <c r="CA508" i="98"/>
  <c r="BA508" i="98"/>
  <c r="EQ508" i="98" s="1"/>
  <c r="AW508" i="98"/>
  <c r="AY508" i="98" s="1"/>
  <c r="AS508" i="98"/>
  <c r="AU508" i="98" s="1"/>
  <c r="F508" i="98"/>
  <c r="AF508" i="98" s="1"/>
  <c r="AR508" i="98" s="1"/>
  <c r="E508" i="98"/>
  <c r="W508" i="98" s="1"/>
  <c r="D508" i="98"/>
  <c r="N508" i="98" s="1"/>
  <c r="AL508" i="98" s="1"/>
  <c r="C508" i="98"/>
  <c r="EE508" i="98" s="1"/>
  <c r="B508" i="98"/>
  <c r="A508" i="98"/>
  <c r="CJ507" i="98"/>
  <c r="CH507" i="98"/>
  <c r="CE507" i="98"/>
  <c r="CD507" i="98"/>
  <c r="CC507" i="98"/>
  <c r="CB507" i="98"/>
  <c r="CA507" i="98"/>
  <c r="BA507" i="98"/>
  <c r="EQ507" i="98" s="1"/>
  <c r="AW507" i="98"/>
  <c r="BI507" i="98" s="1"/>
  <c r="AS507" i="98"/>
  <c r="BE507" i="98" s="1"/>
  <c r="F507" i="98"/>
  <c r="AF507" i="98" s="1"/>
  <c r="AR507" i="98" s="1"/>
  <c r="C507" i="98"/>
  <c r="EE507" i="98" s="1"/>
  <c r="B507" i="98"/>
  <c r="A507" i="98"/>
  <c r="CJ506" i="98"/>
  <c r="CH506" i="98"/>
  <c r="CE506" i="98"/>
  <c r="CD506" i="98"/>
  <c r="CC506" i="98"/>
  <c r="CB506" i="98"/>
  <c r="CA506" i="98"/>
  <c r="BA506" i="98"/>
  <c r="EQ506" i="98" s="1"/>
  <c r="AW506" i="98"/>
  <c r="BI506" i="98" s="1"/>
  <c r="AS506" i="98"/>
  <c r="BE506" i="98" s="1"/>
  <c r="F506" i="98"/>
  <c r="EH506" i="98" s="1"/>
  <c r="E506" i="98"/>
  <c r="D506" i="98"/>
  <c r="P506" i="98" s="1"/>
  <c r="AN506" i="98" s="1"/>
  <c r="C506" i="98"/>
  <c r="EE506" i="98" s="1"/>
  <c r="B506" i="98"/>
  <c r="A506" i="98"/>
  <c r="CJ505" i="98"/>
  <c r="CH505" i="98"/>
  <c r="CE505" i="98"/>
  <c r="CD505" i="98"/>
  <c r="CC505" i="98"/>
  <c r="CB505" i="98"/>
  <c r="CA505" i="98"/>
  <c r="BA505" i="98"/>
  <c r="EQ505" i="98" s="1"/>
  <c r="AW505" i="98"/>
  <c r="BI505" i="98" s="1"/>
  <c r="AS505" i="98"/>
  <c r="BE505" i="98" s="1"/>
  <c r="F505" i="98"/>
  <c r="E505" i="98"/>
  <c r="EG505" i="98" s="1"/>
  <c r="D505" i="98"/>
  <c r="P505" i="98" s="1"/>
  <c r="AN505" i="98" s="1"/>
  <c r="C505" i="98"/>
  <c r="EE505" i="98" s="1"/>
  <c r="B505" i="98"/>
  <c r="A505" i="98"/>
  <c r="CJ504" i="98"/>
  <c r="CH504" i="98"/>
  <c r="CE504" i="98"/>
  <c r="CD504" i="98"/>
  <c r="CC504" i="98"/>
  <c r="CB504" i="98"/>
  <c r="CA504" i="98"/>
  <c r="BA504" i="98"/>
  <c r="EQ504" i="98" s="1"/>
  <c r="AW504" i="98"/>
  <c r="AY504" i="98" s="1"/>
  <c r="AS504" i="98"/>
  <c r="AU504" i="98" s="1"/>
  <c r="F504" i="98"/>
  <c r="AF504" i="98" s="1"/>
  <c r="AR504" i="98" s="1"/>
  <c r="E504" i="98"/>
  <c r="W504" i="98" s="1"/>
  <c r="D504" i="98"/>
  <c r="O504" i="98" s="1"/>
  <c r="AM504" i="98" s="1"/>
  <c r="C504" i="98"/>
  <c r="EE504" i="98" s="1"/>
  <c r="B504" i="98"/>
  <c r="A504" i="98"/>
  <c r="CJ503" i="98"/>
  <c r="CH503" i="98"/>
  <c r="CE503" i="98"/>
  <c r="CD503" i="98"/>
  <c r="CC503" i="98"/>
  <c r="CB503" i="98"/>
  <c r="CA503" i="98"/>
  <c r="BA503" i="98"/>
  <c r="EQ503" i="98" s="1"/>
  <c r="AW503" i="98"/>
  <c r="BI503" i="98" s="1"/>
  <c r="AS503" i="98"/>
  <c r="BE503" i="98" s="1"/>
  <c r="F503" i="98"/>
  <c r="AD503" i="98" s="1"/>
  <c r="AP503" i="98" s="1"/>
  <c r="E503" i="98"/>
  <c r="EG503" i="98" s="1"/>
  <c r="D503" i="98"/>
  <c r="C503" i="98"/>
  <c r="EE503" i="98" s="1"/>
  <c r="B503" i="98"/>
  <c r="A503" i="98"/>
  <c r="CJ502" i="98"/>
  <c r="CH502" i="98"/>
  <c r="CE502" i="98"/>
  <c r="CD502" i="98"/>
  <c r="CC502" i="98"/>
  <c r="CB502" i="98"/>
  <c r="CA502" i="98"/>
  <c r="BA502" i="98"/>
  <c r="EQ502" i="98" s="1"/>
  <c r="AW502" i="98"/>
  <c r="BI502" i="98" s="1"/>
  <c r="AS502" i="98"/>
  <c r="BE502" i="98" s="1"/>
  <c r="F502" i="98"/>
  <c r="AE502" i="98" s="1"/>
  <c r="AQ502" i="98" s="1"/>
  <c r="E502" i="98"/>
  <c r="D502" i="98"/>
  <c r="M502" i="98" s="1"/>
  <c r="AK502" i="98" s="1"/>
  <c r="C502" i="98"/>
  <c r="EE502" i="98" s="1"/>
  <c r="B502" i="98"/>
  <c r="A502" i="98"/>
  <c r="EI501" i="98"/>
  <c r="CJ501" i="98"/>
  <c r="CH501" i="98"/>
  <c r="CE501" i="98"/>
  <c r="CD501" i="98"/>
  <c r="CC501" i="98"/>
  <c r="CB501" i="98"/>
  <c r="CA501" i="98"/>
  <c r="BE501" i="98"/>
  <c r="BB501" i="98"/>
  <c r="ER501" i="98" s="1"/>
  <c r="BC501" i="98"/>
  <c r="ES501" i="98" s="1"/>
  <c r="AW501" i="98"/>
  <c r="BI501" i="98" s="1"/>
  <c r="AV501" i="98"/>
  <c r="EL501" i="98" s="1"/>
  <c r="AU501" i="98"/>
  <c r="BG501" i="98" s="1"/>
  <c r="AT501" i="98"/>
  <c r="BF501" i="98" s="1"/>
  <c r="B501" i="98"/>
  <c r="A501" i="98"/>
  <c r="CJ500" i="98"/>
  <c r="CH500" i="98"/>
  <c r="CE500" i="98"/>
  <c r="CD500" i="98"/>
  <c r="CC500" i="98"/>
  <c r="CB500" i="98"/>
  <c r="CA500" i="98"/>
  <c r="BA500" i="98"/>
  <c r="EQ500" i="98" s="1"/>
  <c r="AW500" i="98"/>
  <c r="BI500" i="98" s="1"/>
  <c r="AS500" i="98"/>
  <c r="F500" i="98"/>
  <c r="AD500" i="98" s="1"/>
  <c r="AP500" i="98" s="1"/>
  <c r="E500" i="98"/>
  <c r="W500" i="98" s="1"/>
  <c r="D500" i="98"/>
  <c r="N500" i="98" s="1"/>
  <c r="AL500" i="98" s="1"/>
  <c r="C500" i="98"/>
  <c r="EE500" i="98" s="1"/>
  <c r="B500" i="98"/>
  <c r="A500" i="98"/>
  <c r="CJ499" i="98"/>
  <c r="CH499" i="98"/>
  <c r="CE499" i="98"/>
  <c r="CD499" i="98"/>
  <c r="CC499" i="98"/>
  <c r="CB499" i="98"/>
  <c r="CA499" i="98"/>
  <c r="BA499" i="98"/>
  <c r="EQ499" i="98" s="1"/>
  <c r="AW499" i="98"/>
  <c r="AY499" i="98" s="1"/>
  <c r="AS499" i="98"/>
  <c r="AU499" i="98" s="1"/>
  <c r="F499" i="98"/>
  <c r="EH499" i="98" s="1"/>
  <c r="E499" i="98"/>
  <c r="D499" i="98"/>
  <c r="M499" i="98" s="1"/>
  <c r="AK499" i="98" s="1"/>
  <c r="C499" i="98"/>
  <c r="EE499" i="98" s="1"/>
  <c r="B499" i="98"/>
  <c r="A499" i="98"/>
  <c r="CJ498" i="98"/>
  <c r="CH498" i="98"/>
  <c r="CE498" i="98"/>
  <c r="CD498" i="98"/>
  <c r="CC498" i="98"/>
  <c r="CB498" i="98"/>
  <c r="CA498" i="98"/>
  <c r="BA498" i="98"/>
  <c r="EQ498" i="98" s="1"/>
  <c r="AW498" i="98"/>
  <c r="BI498" i="98" s="1"/>
  <c r="AS498" i="98"/>
  <c r="BE498" i="98" s="1"/>
  <c r="F498" i="98"/>
  <c r="AD498" i="98" s="1"/>
  <c r="AP498" i="98" s="1"/>
  <c r="E498" i="98"/>
  <c r="X498" i="98" s="1"/>
  <c r="D498" i="98"/>
  <c r="C498" i="98"/>
  <c r="EE498" i="98" s="1"/>
  <c r="B498" i="98"/>
  <c r="A498" i="98"/>
  <c r="CJ497" i="98"/>
  <c r="CH497" i="98"/>
  <c r="CE497" i="98"/>
  <c r="CD497" i="98"/>
  <c r="CC497" i="98"/>
  <c r="CB497" i="98"/>
  <c r="CA497" i="98"/>
  <c r="BA497" i="98"/>
  <c r="EQ497" i="98" s="1"/>
  <c r="AW497" i="98"/>
  <c r="BI497" i="98" s="1"/>
  <c r="AS497" i="98"/>
  <c r="BE497" i="98" s="1"/>
  <c r="F497" i="98"/>
  <c r="E497" i="98"/>
  <c r="D497" i="98"/>
  <c r="P497" i="98" s="1"/>
  <c r="AN497" i="98" s="1"/>
  <c r="C497" i="98"/>
  <c r="EE497" i="98" s="1"/>
  <c r="B497" i="98"/>
  <c r="A497" i="98"/>
  <c r="CJ496" i="98"/>
  <c r="CH496" i="98"/>
  <c r="CE496" i="98"/>
  <c r="CD496" i="98"/>
  <c r="CC496" i="98"/>
  <c r="CB496" i="98"/>
  <c r="CA496" i="98"/>
  <c r="BA496" i="98"/>
  <c r="EQ496" i="98" s="1"/>
  <c r="AW496" i="98"/>
  <c r="BI496" i="98" s="1"/>
  <c r="AS496" i="98"/>
  <c r="F496" i="98"/>
  <c r="AD496" i="98" s="1"/>
  <c r="AP496" i="98" s="1"/>
  <c r="E496" i="98"/>
  <c r="W496" i="98" s="1"/>
  <c r="D496" i="98"/>
  <c r="N496" i="98" s="1"/>
  <c r="AL496" i="98" s="1"/>
  <c r="C496" i="98"/>
  <c r="EE496" i="98" s="1"/>
  <c r="B496" i="98"/>
  <c r="A496" i="98"/>
  <c r="CJ495" i="98"/>
  <c r="CH495" i="98"/>
  <c r="CE495" i="98"/>
  <c r="CD495" i="98"/>
  <c r="CC495" i="98"/>
  <c r="CB495" i="98"/>
  <c r="CA495" i="98"/>
  <c r="BA495" i="98"/>
  <c r="EQ495" i="98" s="1"/>
  <c r="AW495" i="98"/>
  <c r="AY495" i="98" s="1"/>
  <c r="AS495" i="98"/>
  <c r="AU495" i="98" s="1"/>
  <c r="F495" i="98"/>
  <c r="EH495" i="98" s="1"/>
  <c r="E495" i="98"/>
  <c r="D495" i="98"/>
  <c r="EF495" i="98" s="1"/>
  <c r="C495" i="98"/>
  <c r="EE495" i="98" s="1"/>
  <c r="B495" i="98"/>
  <c r="A495" i="98"/>
  <c r="CJ494" i="98"/>
  <c r="CH494" i="98"/>
  <c r="CE494" i="98"/>
  <c r="CD494" i="98"/>
  <c r="CC494" i="98"/>
  <c r="CB494" i="98"/>
  <c r="CA494" i="98"/>
  <c r="BA494" i="98"/>
  <c r="EQ494" i="98" s="1"/>
  <c r="AW494" i="98"/>
  <c r="BI494" i="98" s="1"/>
  <c r="AS494" i="98"/>
  <c r="BE494" i="98" s="1"/>
  <c r="F494" i="98"/>
  <c r="E494" i="98"/>
  <c r="X494" i="98" s="1"/>
  <c r="D494" i="98"/>
  <c r="C494" i="98"/>
  <c r="EE494" i="98" s="1"/>
  <c r="B494" i="98"/>
  <c r="A494" i="98"/>
  <c r="CJ493" i="98"/>
  <c r="CH493" i="98"/>
  <c r="CE493" i="98"/>
  <c r="CD493" i="98"/>
  <c r="CC493" i="98"/>
  <c r="CB493" i="98"/>
  <c r="CA493" i="98"/>
  <c r="BA493" i="98"/>
  <c r="EQ493" i="98" s="1"/>
  <c r="AW493" i="98"/>
  <c r="BI493" i="98" s="1"/>
  <c r="AS493" i="98"/>
  <c r="BE493" i="98" s="1"/>
  <c r="F493" i="98"/>
  <c r="AE493" i="98" s="1"/>
  <c r="AQ493" i="98" s="1"/>
  <c r="E493" i="98"/>
  <c r="D493" i="98"/>
  <c r="M493" i="98" s="1"/>
  <c r="AK493" i="98" s="1"/>
  <c r="C493" i="98"/>
  <c r="EE493" i="98" s="1"/>
  <c r="B493" i="98"/>
  <c r="A493" i="98"/>
  <c r="CJ492" i="98"/>
  <c r="CH492" i="98"/>
  <c r="CE492" i="98"/>
  <c r="CD492" i="98"/>
  <c r="CC492" i="98"/>
  <c r="CB492" i="98"/>
  <c r="CA492" i="98"/>
  <c r="BA492" i="98"/>
  <c r="EQ492" i="98" s="1"/>
  <c r="AW492" i="98"/>
  <c r="BI492" i="98" s="1"/>
  <c r="AS492" i="98"/>
  <c r="BE492" i="98" s="1"/>
  <c r="F492" i="98"/>
  <c r="E492" i="98"/>
  <c r="U492" i="98" s="1"/>
  <c r="D492" i="98"/>
  <c r="P492" i="98" s="1"/>
  <c r="AN492" i="98" s="1"/>
  <c r="C492" i="98"/>
  <c r="EE492" i="98" s="1"/>
  <c r="B492" i="98"/>
  <c r="A492" i="98"/>
  <c r="CJ491" i="98"/>
  <c r="CH491" i="98"/>
  <c r="CE491" i="98"/>
  <c r="CD491" i="98"/>
  <c r="CC491" i="98"/>
  <c r="CB491" i="98"/>
  <c r="CA491" i="98"/>
  <c r="BC491" i="98"/>
  <c r="ES491" i="98" s="1"/>
  <c r="AW491" i="98"/>
  <c r="AY491" i="98" s="1"/>
  <c r="AU491" i="98"/>
  <c r="AE491" i="98"/>
  <c r="AQ491" i="98" s="1"/>
  <c r="AC491" i="98"/>
  <c r="AO491" i="98" s="1"/>
  <c r="U491" i="98"/>
  <c r="O491" i="98"/>
  <c r="AM491" i="98" s="1"/>
  <c r="M491" i="98"/>
  <c r="AK491" i="98" s="1"/>
  <c r="AF491" i="98"/>
  <c r="AR491" i="98" s="1"/>
  <c r="W491" i="98"/>
  <c r="N491" i="98"/>
  <c r="AL491" i="98" s="1"/>
  <c r="EE491" i="98"/>
  <c r="B491" i="98"/>
  <c r="A491" i="98"/>
  <c r="EH490" i="98"/>
  <c r="EG490" i="98"/>
  <c r="EF490" i="98"/>
  <c r="CH490" i="98"/>
  <c r="CE490" i="98"/>
  <c r="CD490" i="98"/>
  <c r="CC490" i="98"/>
  <c r="CB490" i="98"/>
  <c r="CA490" i="98"/>
  <c r="BA490" i="98"/>
  <c r="EQ490" i="98" s="1"/>
  <c r="AW490" i="98"/>
  <c r="BI490" i="98" s="1"/>
  <c r="AS490" i="98"/>
  <c r="AF490" i="98"/>
  <c r="AR490" i="98" s="1"/>
  <c r="AE490" i="98"/>
  <c r="AQ490" i="98" s="1"/>
  <c r="AD490" i="98"/>
  <c r="AP490" i="98" s="1"/>
  <c r="AC490" i="98"/>
  <c r="AO490" i="98" s="1"/>
  <c r="X490" i="98"/>
  <c r="W490" i="98"/>
  <c r="V490" i="98"/>
  <c r="U490" i="98"/>
  <c r="P490" i="98"/>
  <c r="AN490" i="98" s="1"/>
  <c r="O490" i="98"/>
  <c r="AM490" i="98" s="1"/>
  <c r="N490" i="98"/>
  <c r="AL490" i="98" s="1"/>
  <c r="M490" i="98"/>
  <c r="AK490" i="98" s="1"/>
  <c r="C490" i="98"/>
  <c r="EE490" i="98" s="1"/>
  <c r="B490" i="98"/>
  <c r="A490" i="98"/>
  <c r="EH489" i="98"/>
  <c r="EG489" i="98"/>
  <c r="EF489" i="98"/>
  <c r="CH489" i="98"/>
  <c r="CE489" i="98"/>
  <c r="CD489" i="98"/>
  <c r="CC489" i="98"/>
  <c r="CB489" i="98"/>
  <c r="CA489" i="98"/>
  <c r="BA489" i="98"/>
  <c r="EQ489" i="98" s="1"/>
  <c r="AW489" i="98"/>
  <c r="BI489" i="98" s="1"/>
  <c r="AS489" i="98"/>
  <c r="BE489" i="98" s="1"/>
  <c r="AF489" i="98"/>
  <c r="AR489" i="98" s="1"/>
  <c r="AE489" i="98"/>
  <c r="AQ489" i="98" s="1"/>
  <c r="AD489" i="98"/>
  <c r="AP489" i="98" s="1"/>
  <c r="AC489" i="98"/>
  <c r="AO489" i="98" s="1"/>
  <c r="X489" i="98"/>
  <c r="W489" i="98"/>
  <c r="V489" i="98"/>
  <c r="U489" i="98"/>
  <c r="P489" i="98"/>
  <c r="AN489" i="98" s="1"/>
  <c r="O489" i="98"/>
  <c r="AM489" i="98" s="1"/>
  <c r="N489" i="98"/>
  <c r="AL489" i="98" s="1"/>
  <c r="M489" i="98"/>
  <c r="AK489" i="98" s="1"/>
  <c r="C489" i="98"/>
  <c r="EE489" i="98" s="1"/>
  <c r="B489" i="98"/>
  <c r="A489" i="98"/>
  <c r="EH488" i="98"/>
  <c r="EG488" i="98"/>
  <c r="EF488" i="98"/>
  <c r="CJ488" i="98"/>
  <c r="CH488" i="98"/>
  <c r="CE488" i="98"/>
  <c r="CD488" i="98"/>
  <c r="CC488" i="98"/>
  <c r="CB488" i="98"/>
  <c r="CA488" i="98"/>
  <c r="BA488" i="98"/>
  <c r="EQ488" i="98" s="1"/>
  <c r="AW488" i="98"/>
  <c r="BI488" i="98" s="1"/>
  <c r="AS488" i="98"/>
  <c r="BE488" i="98" s="1"/>
  <c r="AF488" i="98"/>
  <c r="AR488" i="98" s="1"/>
  <c r="AE488" i="98"/>
  <c r="AQ488" i="98" s="1"/>
  <c r="AD488" i="98"/>
  <c r="AP488" i="98" s="1"/>
  <c r="AC488" i="98"/>
  <c r="AO488" i="98" s="1"/>
  <c r="X488" i="98"/>
  <c r="W488" i="98"/>
  <c r="V488" i="98"/>
  <c r="U488" i="98"/>
  <c r="P488" i="98"/>
  <c r="AN488" i="98" s="1"/>
  <c r="O488" i="98"/>
  <c r="AM488" i="98" s="1"/>
  <c r="N488" i="98"/>
  <c r="AL488" i="98" s="1"/>
  <c r="M488" i="98"/>
  <c r="AK488" i="98" s="1"/>
  <c r="C488" i="98"/>
  <c r="EE488" i="98" s="1"/>
  <c r="B488" i="98"/>
  <c r="A488" i="98"/>
  <c r="EH487" i="98"/>
  <c r="EG487" i="98"/>
  <c r="EF487" i="98"/>
  <c r="CJ487" i="98"/>
  <c r="CH487" i="98"/>
  <c r="CE487" i="98"/>
  <c r="CD487" i="98"/>
  <c r="CC487" i="98"/>
  <c r="CB487" i="98"/>
  <c r="CA487" i="98"/>
  <c r="BA487" i="98"/>
  <c r="EQ487" i="98" s="1"/>
  <c r="AW487" i="98"/>
  <c r="BI487" i="98" s="1"/>
  <c r="AV487" i="98"/>
  <c r="EL487" i="98" s="1"/>
  <c r="AS487" i="98"/>
  <c r="BE487" i="98" s="1"/>
  <c r="AF487" i="98"/>
  <c r="AR487" i="98" s="1"/>
  <c r="AE487" i="98"/>
  <c r="AQ487" i="98" s="1"/>
  <c r="AD487" i="98"/>
  <c r="AP487" i="98" s="1"/>
  <c r="AC487" i="98"/>
  <c r="AO487" i="98" s="1"/>
  <c r="X487" i="98"/>
  <c r="W487" i="98"/>
  <c r="V487" i="98"/>
  <c r="U487" i="98"/>
  <c r="P487" i="98"/>
  <c r="AN487" i="98" s="1"/>
  <c r="O487" i="98"/>
  <c r="AM487" i="98" s="1"/>
  <c r="N487" i="98"/>
  <c r="AL487" i="98" s="1"/>
  <c r="M487" i="98"/>
  <c r="AK487" i="98" s="1"/>
  <c r="C487" i="98"/>
  <c r="EE487" i="98" s="1"/>
  <c r="B487" i="98"/>
  <c r="A487" i="98"/>
  <c r="EH486" i="98"/>
  <c r="EG486" i="98"/>
  <c r="EF486" i="98"/>
  <c r="CJ486" i="98"/>
  <c r="CH486" i="98"/>
  <c r="CE486" i="98"/>
  <c r="CD486" i="98"/>
  <c r="CC486" i="98"/>
  <c r="CB486" i="98"/>
  <c r="CA486" i="98"/>
  <c r="BA486" i="98"/>
  <c r="EQ486" i="98" s="1"/>
  <c r="AW486" i="98"/>
  <c r="BI486" i="98" s="1"/>
  <c r="AS486" i="98"/>
  <c r="BE486" i="98" s="1"/>
  <c r="AF486" i="98"/>
  <c r="AR486" i="98" s="1"/>
  <c r="AE486" i="98"/>
  <c r="AQ486" i="98" s="1"/>
  <c r="AD486" i="98"/>
  <c r="AP486" i="98" s="1"/>
  <c r="AC486" i="98"/>
  <c r="AO486" i="98" s="1"/>
  <c r="X486" i="98"/>
  <c r="W486" i="98"/>
  <c r="V486" i="98"/>
  <c r="U486" i="98"/>
  <c r="P486" i="98"/>
  <c r="AN486" i="98" s="1"/>
  <c r="O486" i="98"/>
  <c r="AM486" i="98" s="1"/>
  <c r="N486" i="98"/>
  <c r="AL486" i="98" s="1"/>
  <c r="M486" i="98"/>
  <c r="AK486" i="98" s="1"/>
  <c r="C486" i="98"/>
  <c r="EE486" i="98" s="1"/>
  <c r="B486" i="98"/>
  <c r="A486" i="98"/>
  <c r="EH485" i="98"/>
  <c r="EG485" i="98"/>
  <c r="EF485" i="98"/>
  <c r="CJ485" i="98"/>
  <c r="CH485" i="98"/>
  <c r="CE485" i="98"/>
  <c r="CD485" i="98"/>
  <c r="CC485" i="98"/>
  <c r="CB485" i="98"/>
  <c r="CA485" i="98"/>
  <c r="BA485" i="98"/>
  <c r="EQ485" i="98" s="1"/>
  <c r="AW485" i="98"/>
  <c r="BI485" i="98" s="1"/>
  <c r="AF485" i="98"/>
  <c r="AR485" i="98" s="1"/>
  <c r="AE485" i="98"/>
  <c r="AQ485" i="98" s="1"/>
  <c r="AD485" i="98"/>
  <c r="AP485" i="98" s="1"/>
  <c r="AC485" i="98"/>
  <c r="AO485" i="98" s="1"/>
  <c r="X485" i="98"/>
  <c r="W485" i="98"/>
  <c r="V485" i="98"/>
  <c r="U485" i="98"/>
  <c r="P485" i="98"/>
  <c r="AN485" i="98" s="1"/>
  <c r="O485" i="98"/>
  <c r="AM485" i="98" s="1"/>
  <c r="N485" i="98"/>
  <c r="AL485" i="98" s="1"/>
  <c r="M485" i="98"/>
  <c r="AK485" i="98" s="1"/>
  <c r="C485" i="98"/>
  <c r="EE485" i="98" s="1"/>
  <c r="B485" i="98"/>
  <c r="A485" i="98"/>
  <c r="EG484" i="98"/>
  <c r="CJ484" i="98"/>
  <c r="CH484" i="98"/>
  <c r="CE484" i="98"/>
  <c r="CD484" i="98"/>
  <c r="CC484" i="98"/>
  <c r="CB484" i="98"/>
  <c r="CA484" i="98"/>
  <c r="AW484" i="98"/>
  <c r="BI484" i="98" s="1"/>
  <c r="AF484" i="98"/>
  <c r="AR484" i="98" s="1"/>
  <c r="W484" i="98"/>
  <c r="EF484" i="98"/>
  <c r="EE484" i="98"/>
  <c r="B484" i="98"/>
  <c r="A484" i="98"/>
  <c r="EF483" i="98"/>
  <c r="CJ483" i="98"/>
  <c r="CH483" i="98"/>
  <c r="CE483" i="98"/>
  <c r="CD483" i="98"/>
  <c r="CC483" i="98"/>
  <c r="CB483" i="98"/>
  <c r="CA483" i="98"/>
  <c r="BD483" i="98"/>
  <c r="ET483" i="98" s="1"/>
  <c r="AW483" i="98"/>
  <c r="BI483" i="98" s="1"/>
  <c r="BE483" i="98"/>
  <c r="AE483" i="98"/>
  <c r="AQ483" i="98" s="1"/>
  <c r="AC483" i="98"/>
  <c r="AO483" i="98" s="1"/>
  <c r="O483" i="98"/>
  <c r="AM483" i="98" s="1"/>
  <c r="M483" i="98"/>
  <c r="AK483" i="98" s="1"/>
  <c r="AF483" i="98"/>
  <c r="AR483" i="98" s="1"/>
  <c r="EG483" i="98"/>
  <c r="N483" i="98"/>
  <c r="AL483" i="98" s="1"/>
  <c r="EE483" i="98"/>
  <c r="B483" i="98"/>
  <c r="A483" i="98"/>
  <c r="EQ482" i="98"/>
  <c r="EI482" i="98"/>
  <c r="EH482" i="98"/>
  <c r="EG482" i="98"/>
  <c r="EF482" i="98"/>
  <c r="EE482" i="98"/>
  <c r="CJ482" i="98"/>
  <c r="CH482" i="98"/>
  <c r="CE482" i="98"/>
  <c r="CD482" i="98"/>
  <c r="CC482" i="98"/>
  <c r="CB482" i="98"/>
  <c r="CA482" i="98"/>
  <c r="BE482" i="98"/>
  <c r="BD482" i="98"/>
  <c r="ET482" i="98" s="1"/>
  <c r="BC482" i="98"/>
  <c r="ES482" i="98" s="1"/>
  <c r="BB482" i="98"/>
  <c r="ER482" i="98" s="1"/>
  <c r="AW482" i="98"/>
  <c r="EM482" i="98" s="1"/>
  <c r="AV482" i="98"/>
  <c r="EL482" i="98" s="1"/>
  <c r="AU482" i="98"/>
  <c r="EK482" i="98" s="1"/>
  <c r="AT482" i="98"/>
  <c r="EJ482" i="98" s="1"/>
  <c r="AF482" i="98"/>
  <c r="AR482" i="98" s="1"/>
  <c r="AE482" i="98"/>
  <c r="AQ482" i="98" s="1"/>
  <c r="AD482" i="98"/>
  <c r="AP482" i="98" s="1"/>
  <c r="AC482" i="98"/>
  <c r="AO482" i="98" s="1"/>
  <c r="X482" i="98"/>
  <c r="W482" i="98"/>
  <c r="V482" i="98"/>
  <c r="U482" i="98"/>
  <c r="P482" i="98"/>
  <c r="AN482" i="98" s="1"/>
  <c r="O482" i="98"/>
  <c r="AM482" i="98" s="1"/>
  <c r="N482" i="98"/>
  <c r="AL482" i="98" s="1"/>
  <c r="M482" i="98"/>
  <c r="AK482" i="98" s="1"/>
  <c r="B482" i="98"/>
  <c r="A482" i="98"/>
  <c r="CJ481" i="98"/>
  <c r="CH481" i="98"/>
  <c r="CE481" i="98"/>
  <c r="CD481" i="98"/>
  <c r="CC481" i="98"/>
  <c r="CB481" i="98"/>
  <c r="CA481" i="98"/>
  <c r="BD481" i="98"/>
  <c r="ET481" i="98" s="1"/>
  <c r="AW481" i="98"/>
  <c r="BI481" i="98" s="1"/>
  <c r="BE481" i="98"/>
  <c r="AF481" i="98"/>
  <c r="AR481" i="98" s="1"/>
  <c r="EG481" i="98"/>
  <c r="EE481" i="98"/>
  <c r="B481" i="98"/>
  <c r="A481" i="98"/>
  <c r="EH480" i="98"/>
  <c r="EG480" i="98"/>
  <c r="EF480" i="98"/>
  <c r="CJ480" i="98"/>
  <c r="CH480" i="98"/>
  <c r="CE480" i="98"/>
  <c r="CD480" i="98"/>
  <c r="CC480" i="98"/>
  <c r="CB480" i="98"/>
  <c r="CA480" i="98"/>
  <c r="BA480" i="98"/>
  <c r="EQ480" i="98" s="1"/>
  <c r="AW480" i="98"/>
  <c r="BI480" i="98" s="1"/>
  <c r="AS480" i="98"/>
  <c r="BE480" i="98" s="1"/>
  <c r="AF480" i="98"/>
  <c r="AR480" i="98" s="1"/>
  <c r="AE480" i="98"/>
  <c r="AQ480" i="98" s="1"/>
  <c r="AD480" i="98"/>
  <c r="AP480" i="98" s="1"/>
  <c r="AC480" i="98"/>
  <c r="AO480" i="98" s="1"/>
  <c r="X480" i="98"/>
  <c r="W480" i="98"/>
  <c r="V480" i="98"/>
  <c r="U480" i="98"/>
  <c r="P480" i="98"/>
  <c r="AN480" i="98" s="1"/>
  <c r="O480" i="98"/>
  <c r="AM480" i="98" s="1"/>
  <c r="N480" i="98"/>
  <c r="AL480" i="98" s="1"/>
  <c r="M480" i="98"/>
  <c r="AK480" i="98" s="1"/>
  <c r="C480" i="98"/>
  <c r="EE480" i="98" s="1"/>
  <c r="B480" i="98"/>
  <c r="A480" i="98"/>
  <c r="EH479" i="98"/>
  <c r="EG479" i="98"/>
  <c r="EF479" i="98"/>
  <c r="CJ479" i="98"/>
  <c r="CH479" i="98"/>
  <c r="CE479" i="98"/>
  <c r="CD479" i="98"/>
  <c r="CC479" i="98"/>
  <c r="CB479" i="98"/>
  <c r="CA479" i="98"/>
  <c r="BA479" i="98"/>
  <c r="EQ479" i="98" s="1"/>
  <c r="AW479" i="98"/>
  <c r="BI479" i="98" s="1"/>
  <c r="AS479" i="98"/>
  <c r="BE479" i="98" s="1"/>
  <c r="AF479" i="98"/>
  <c r="AR479" i="98" s="1"/>
  <c r="AE479" i="98"/>
  <c r="AQ479" i="98" s="1"/>
  <c r="AD479" i="98"/>
  <c r="AP479" i="98" s="1"/>
  <c r="AC479" i="98"/>
  <c r="AO479" i="98" s="1"/>
  <c r="X479" i="98"/>
  <c r="W479" i="98"/>
  <c r="V479" i="98"/>
  <c r="U479" i="98"/>
  <c r="P479" i="98"/>
  <c r="AN479" i="98" s="1"/>
  <c r="O479" i="98"/>
  <c r="AM479" i="98" s="1"/>
  <c r="N479" i="98"/>
  <c r="AL479" i="98" s="1"/>
  <c r="M479" i="98"/>
  <c r="AK479" i="98" s="1"/>
  <c r="C479" i="98"/>
  <c r="EE479" i="98" s="1"/>
  <c r="B479" i="98"/>
  <c r="A479" i="98"/>
  <c r="EH478" i="98"/>
  <c r="EG478" i="98"/>
  <c r="EF478" i="98"/>
  <c r="CJ478" i="98"/>
  <c r="CH478" i="98"/>
  <c r="CE478" i="98"/>
  <c r="CD478" i="98"/>
  <c r="CC478" i="98"/>
  <c r="CB478" i="98"/>
  <c r="CA478" i="98"/>
  <c r="BA478" i="98"/>
  <c r="EQ478" i="98" s="1"/>
  <c r="AW478" i="98"/>
  <c r="BI478" i="98" s="1"/>
  <c r="AS478" i="98"/>
  <c r="BE478" i="98" s="1"/>
  <c r="AF478" i="98"/>
  <c r="AR478" i="98" s="1"/>
  <c r="AE478" i="98"/>
  <c r="AQ478" i="98" s="1"/>
  <c r="AD478" i="98"/>
  <c r="AP478" i="98" s="1"/>
  <c r="AC478" i="98"/>
  <c r="AO478" i="98" s="1"/>
  <c r="X478" i="98"/>
  <c r="W478" i="98"/>
  <c r="V478" i="98"/>
  <c r="U478" i="98"/>
  <c r="P478" i="98"/>
  <c r="AN478" i="98" s="1"/>
  <c r="O478" i="98"/>
  <c r="AM478" i="98" s="1"/>
  <c r="N478" i="98"/>
  <c r="AL478" i="98" s="1"/>
  <c r="M478" i="98"/>
  <c r="AK478" i="98" s="1"/>
  <c r="C478" i="98"/>
  <c r="EE478" i="98" s="1"/>
  <c r="B478" i="98"/>
  <c r="A478" i="98"/>
  <c r="EQ477" i="98"/>
  <c r="CJ477" i="98"/>
  <c r="CH477" i="98"/>
  <c r="CE477" i="98"/>
  <c r="CD477" i="98"/>
  <c r="CC477" i="98"/>
  <c r="CB477" i="98"/>
  <c r="CA477" i="98"/>
  <c r="BD477" i="98"/>
  <c r="ET477" i="98" s="1"/>
  <c r="BB477" i="98"/>
  <c r="ER477" i="98" s="1"/>
  <c r="BC477" i="98"/>
  <c r="ES477" i="98" s="1"/>
  <c r="AW477" i="98"/>
  <c r="BI477" i="98" s="1"/>
  <c r="EG477" i="98"/>
  <c r="EF477" i="98"/>
  <c r="EE477" i="98"/>
  <c r="B477" i="98"/>
  <c r="A477" i="98"/>
  <c r="EH476" i="98"/>
  <c r="EG476" i="98"/>
  <c r="EF476" i="98"/>
  <c r="CJ476" i="98"/>
  <c r="CH476" i="98"/>
  <c r="CE476" i="98"/>
  <c r="CD476" i="98"/>
  <c r="CC476" i="98"/>
  <c r="CB476" i="98"/>
  <c r="CA476" i="98"/>
  <c r="BA476" i="98"/>
  <c r="EQ476" i="98" s="1"/>
  <c r="AW476" i="98"/>
  <c r="BI476" i="98" s="1"/>
  <c r="AF476" i="98"/>
  <c r="AR476" i="98" s="1"/>
  <c r="AE476" i="98"/>
  <c r="AQ476" i="98" s="1"/>
  <c r="AD476" i="98"/>
  <c r="AP476" i="98" s="1"/>
  <c r="AC476" i="98"/>
  <c r="AO476" i="98" s="1"/>
  <c r="X476" i="98"/>
  <c r="W476" i="98"/>
  <c r="V476" i="98"/>
  <c r="U476" i="98"/>
  <c r="P476" i="98"/>
  <c r="AN476" i="98" s="1"/>
  <c r="O476" i="98"/>
  <c r="AM476" i="98" s="1"/>
  <c r="N476" i="98"/>
  <c r="AL476" i="98" s="1"/>
  <c r="M476" i="98"/>
  <c r="AK476" i="98" s="1"/>
  <c r="C476" i="98"/>
  <c r="EE476" i="98" s="1"/>
  <c r="B476" i="98"/>
  <c r="A476" i="98"/>
  <c r="EH475" i="98"/>
  <c r="EG475" i="98"/>
  <c r="EF475" i="98"/>
  <c r="CJ475" i="98"/>
  <c r="CH475" i="98"/>
  <c r="CE475" i="98"/>
  <c r="CD475" i="98"/>
  <c r="CC475" i="98"/>
  <c r="CB475" i="98"/>
  <c r="CA475" i="98"/>
  <c r="BA475" i="98"/>
  <c r="EQ475" i="98" s="1"/>
  <c r="AW475" i="98"/>
  <c r="EM475" i="98" s="1"/>
  <c r="AF475" i="98"/>
  <c r="AR475" i="98" s="1"/>
  <c r="AE475" i="98"/>
  <c r="AQ475" i="98" s="1"/>
  <c r="AD475" i="98"/>
  <c r="AP475" i="98" s="1"/>
  <c r="AC475" i="98"/>
  <c r="AO475" i="98" s="1"/>
  <c r="X475" i="98"/>
  <c r="W475" i="98"/>
  <c r="V475" i="98"/>
  <c r="U475" i="98"/>
  <c r="P475" i="98"/>
  <c r="AN475" i="98" s="1"/>
  <c r="O475" i="98"/>
  <c r="AM475" i="98" s="1"/>
  <c r="N475" i="98"/>
  <c r="AL475" i="98" s="1"/>
  <c r="M475" i="98"/>
  <c r="AK475" i="98" s="1"/>
  <c r="C475" i="98"/>
  <c r="EE475" i="98" s="1"/>
  <c r="B475" i="98"/>
  <c r="A475" i="98"/>
  <c r="EH474" i="98"/>
  <c r="EG474" i="98"/>
  <c r="EF474" i="98"/>
  <c r="CJ474" i="98"/>
  <c r="CH474" i="98"/>
  <c r="CE474" i="98"/>
  <c r="CD474" i="98"/>
  <c r="CC474" i="98"/>
  <c r="CB474" i="98"/>
  <c r="CA474" i="98"/>
  <c r="BA474" i="98"/>
  <c r="EQ474" i="98" s="1"/>
  <c r="AW474" i="98"/>
  <c r="BI474" i="98" s="1"/>
  <c r="AF474" i="98"/>
  <c r="AR474" i="98" s="1"/>
  <c r="AE474" i="98"/>
  <c r="AQ474" i="98" s="1"/>
  <c r="AD474" i="98"/>
  <c r="AP474" i="98" s="1"/>
  <c r="AC474" i="98"/>
  <c r="AO474" i="98" s="1"/>
  <c r="X474" i="98"/>
  <c r="W474" i="98"/>
  <c r="V474" i="98"/>
  <c r="U474" i="98"/>
  <c r="P474" i="98"/>
  <c r="AN474" i="98" s="1"/>
  <c r="O474" i="98"/>
  <c r="AM474" i="98" s="1"/>
  <c r="N474" i="98"/>
  <c r="AL474" i="98" s="1"/>
  <c r="M474" i="98"/>
  <c r="AK474" i="98" s="1"/>
  <c r="C474" i="98"/>
  <c r="EE474" i="98" s="1"/>
  <c r="B474" i="98"/>
  <c r="A474" i="98"/>
  <c r="EH473" i="98"/>
  <c r="EG473" i="98"/>
  <c r="EF473" i="98"/>
  <c r="CJ473" i="98"/>
  <c r="CH473" i="98"/>
  <c r="CE473" i="98"/>
  <c r="CD473" i="98"/>
  <c r="CC473" i="98"/>
  <c r="CB473" i="98"/>
  <c r="CA473" i="98"/>
  <c r="BA473" i="98"/>
  <c r="EQ473" i="98" s="1"/>
  <c r="AW473" i="98"/>
  <c r="EM473" i="98" s="1"/>
  <c r="AF473" i="98"/>
  <c r="AR473" i="98" s="1"/>
  <c r="AE473" i="98"/>
  <c r="AQ473" i="98" s="1"/>
  <c r="AD473" i="98"/>
  <c r="AP473" i="98" s="1"/>
  <c r="AC473" i="98"/>
  <c r="AO473" i="98" s="1"/>
  <c r="X473" i="98"/>
  <c r="W473" i="98"/>
  <c r="V473" i="98"/>
  <c r="U473" i="98"/>
  <c r="P473" i="98"/>
  <c r="AN473" i="98" s="1"/>
  <c r="O473" i="98"/>
  <c r="AM473" i="98" s="1"/>
  <c r="N473" i="98"/>
  <c r="AL473" i="98" s="1"/>
  <c r="M473" i="98"/>
  <c r="AK473" i="98" s="1"/>
  <c r="C473" i="98"/>
  <c r="EE473" i="98" s="1"/>
  <c r="B473" i="98"/>
  <c r="A473" i="98"/>
  <c r="EH472" i="98"/>
  <c r="EG472" i="98"/>
  <c r="EF472" i="98"/>
  <c r="CJ472" i="98"/>
  <c r="CH472" i="98"/>
  <c r="CE472" i="98"/>
  <c r="CD472" i="98"/>
  <c r="CC472" i="98"/>
  <c r="CB472" i="98"/>
  <c r="CA472" i="98"/>
  <c r="BA472" i="98"/>
  <c r="EQ472" i="98" s="1"/>
  <c r="AW472" i="98"/>
  <c r="BI472" i="98" s="1"/>
  <c r="AF472" i="98"/>
  <c r="AR472" i="98" s="1"/>
  <c r="AE472" i="98"/>
  <c r="AQ472" i="98" s="1"/>
  <c r="AD472" i="98"/>
  <c r="AP472" i="98" s="1"/>
  <c r="AC472" i="98"/>
  <c r="AO472" i="98" s="1"/>
  <c r="X472" i="98"/>
  <c r="W472" i="98"/>
  <c r="V472" i="98"/>
  <c r="U472" i="98"/>
  <c r="P472" i="98"/>
  <c r="AN472" i="98" s="1"/>
  <c r="O472" i="98"/>
  <c r="AM472" i="98" s="1"/>
  <c r="N472" i="98"/>
  <c r="AL472" i="98" s="1"/>
  <c r="M472" i="98"/>
  <c r="AK472" i="98" s="1"/>
  <c r="C472" i="98"/>
  <c r="EE472" i="98" s="1"/>
  <c r="B472" i="98"/>
  <c r="A472" i="98"/>
  <c r="EH471" i="98"/>
  <c r="EG471" i="98"/>
  <c r="EF471" i="98"/>
  <c r="CJ471" i="98"/>
  <c r="CH471" i="98"/>
  <c r="CE471" i="98"/>
  <c r="CD471" i="98"/>
  <c r="CC471" i="98"/>
  <c r="CB471" i="98"/>
  <c r="CA471" i="98"/>
  <c r="BA471" i="98"/>
  <c r="EQ471" i="98" s="1"/>
  <c r="AW471" i="98"/>
  <c r="AY471" i="98" s="1"/>
  <c r="AF471" i="98"/>
  <c r="AR471" i="98" s="1"/>
  <c r="AE471" i="98"/>
  <c r="AQ471" i="98" s="1"/>
  <c r="AD471" i="98"/>
  <c r="AP471" i="98" s="1"/>
  <c r="AC471" i="98"/>
  <c r="AO471" i="98" s="1"/>
  <c r="X471" i="98"/>
  <c r="W471" i="98"/>
  <c r="V471" i="98"/>
  <c r="U471" i="98"/>
  <c r="P471" i="98"/>
  <c r="AN471" i="98" s="1"/>
  <c r="O471" i="98"/>
  <c r="AM471" i="98" s="1"/>
  <c r="N471" i="98"/>
  <c r="AL471" i="98" s="1"/>
  <c r="M471" i="98"/>
  <c r="AK471" i="98" s="1"/>
  <c r="C471" i="98"/>
  <c r="EE471" i="98" s="1"/>
  <c r="B471" i="98"/>
  <c r="A471" i="98"/>
  <c r="EH470" i="98"/>
  <c r="EG470" i="98"/>
  <c r="EF470" i="98"/>
  <c r="CJ470" i="98"/>
  <c r="CH470" i="98"/>
  <c r="CE470" i="98"/>
  <c r="CD470" i="98"/>
  <c r="CC470" i="98"/>
  <c r="CB470" i="98"/>
  <c r="CA470" i="98"/>
  <c r="BA470" i="98"/>
  <c r="EQ470" i="98" s="1"/>
  <c r="AW470" i="98"/>
  <c r="BI470" i="98" s="1"/>
  <c r="AF470" i="98"/>
  <c r="AR470" i="98" s="1"/>
  <c r="AE470" i="98"/>
  <c r="AQ470" i="98" s="1"/>
  <c r="AD470" i="98"/>
  <c r="AP470" i="98" s="1"/>
  <c r="AC470" i="98"/>
  <c r="AO470" i="98" s="1"/>
  <c r="X470" i="98"/>
  <c r="W470" i="98"/>
  <c r="V470" i="98"/>
  <c r="U470" i="98"/>
  <c r="P470" i="98"/>
  <c r="AN470" i="98" s="1"/>
  <c r="O470" i="98"/>
  <c r="AM470" i="98" s="1"/>
  <c r="N470" i="98"/>
  <c r="AL470" i="98" s="1"/>
  <c r="M470" i="98"/>
  <c r="AK470" i="98" s="1"/>
  <c r="C470" i="98"/>
  <c r="EE470" i="98" s="1"/>
  <c r="B470" i="98"/>
  <c r="A470" i="98"/>
  <c r="EH469" i="98"/>
  <c r="EG469" i="98"/>
  <c r="EF469" i="98"/>
  <c r="CJ469" i="98"/>
  <c r="CH469" i="98"/>
  <c r="CE469" i="98"/>
  <c r="CD469" i="98"/>
  <c r="CC469" i="98"/>
  <c r="CB469" i="98"/>
  <c r="CA469" i="98"/>
  <c r="BA469" i="98"/>
  <c r="EQ469" i="98" s="1"/>
  <c r="AW469" i="98"/>
  <c r="AF469" i="98"/>
  <c r="AR469" i="98" s="1"/>
  <c r="AE469" i="98"/>
  <c r="AQ469" i="98" s="1"/>
  <c r="AD469" i="98"/>
  <c r="AP469" i="98" s="1"/>
  <c r="AC469" i="98"/>
  <c r="AO469" i="98" s="1"/>
  <c r="X469" i="98"/>
  <c r="W469" i="98"/>
  <c r="V469" i="98"/>
  <c r="U469" i="98"/>
  <c r="P469" i="98"/>
  <c r="AN469" i="98" s="1"/>
  <c r="O469" i="98"/>
  <c r="AM469" i="98" s="1"/>
  <c r="N469" i="98"/>
  <c r="AL469" i="98" s="1"/>
  <c r="M469" i="98"/>
  <c r="AK469" i="98" s="1"/>
  <c r="C469" i="98"/>
  <c r="EE469" i="98" s="1"/>
  <c r="B469" i="98"/>
  <c r="A469" i="98"/>
  <c r="EH468" i="98"/>
  <c r="EG468" i="98"/>
  <c r="EF468" i="98"/>
  <c r="CJ468" i="98"/>
  <c r="CH468" i="98"/>
  <c r="CE468" i="98"/>
  <c r="CD468" i="98"/>
  <c r="CC468" i="98"/>
  <c r="CB468" i="98"/>
  <c r="CA468" i="98"/>
  <c r="BA468" i="98"/>
  <c r="EQ468" i="98" s="1"/>
  <c r="AW468" i="98"/>
  <c r="BI468" i="98" s="1"/>
  <c r="AF468" i="98"/>
  <c r="AR468" i="98" s="1"/>
  <c r="AE468" i="98"/>
  <c r="AQ468" i="98" s="1"/>
  <c r="AD468" i="98"/>
  <c r="AP468" i="98" s="1"/>
  <c r="AC468" i="98"/>
  <c r="AO468" i="98" s="1"/>
  <c r="X468" i="98"/>
  <c r="W468" i="98"/>
  <c r="V468" i="98"/>
  <c r="U468" i="98"/>
  <c r="P468" i="98"/>
  <c r="AN468" i="98" s="1"/>
  <c r="O468" i="98"/>
  <c r="AM468" i="98" s="1"/>
  <c r="N468" i="98"/>
  <c r="AL468" i="98" s="1"/>
  <c r="M468" i="98"/>
  <c r="AK468" i="98" s="1"/>
  <c r="C468" i="98"/>
  <c r="EE468" i="98" s="1"/>
  <c r="B468" i="98"/>
  <c r="A468" i="98"/>
  <c r="CJ467" i="98"/>
  <c r="CH467" i="98"/>
  <c r="CE467" i="98"/>
  <c r="CD467" i="98"/>
  <c r="CC467" i="98"/>
  <c r="CB467" i="98"/>
  <c r="CA467" i="98"/>
  <c r="BD467" i="98"/>
  <c r="ET467" i="98" s="1"/>
  <c r="AW467" i="98"/>
  <c r="AZ467" i="98" s="1"/>
  <c r="BL467" i="98" s="1"/>
  <c r="AV467" i="98"/>
  <c r="BH467" i="98" s="1"/>
  <c r="AC467" i="98"/>
  <c r="AO467" i="98" s="1"/>
  <c r="M467" i="98"/>
  <c r="AK467" i="98" s="1"/>
  <c r="EE467" i="98"/>
  <c r="B467" i="98"/>
  <c r="A467" i="98"/>
  <c r="ET466" i="98"/>
  <c r="ES466" i="98"/>
  <c r="ER466" i="98"/>
  <c r="EQ466" i="98"/>
  <c r="EP466" i="98"/>
  <c r="EO466" i="98"/>
  <c r="EN466" i="98"/>
  <c r="EM466" i="98"/>
  <c r="EL466" i="98"/>
  <c r="EK466" i="98"/>
  <c r="EJ466" i="98"/>
  <c r="EI466" i="98"/>
  <c r="EH466" i="98"/>
  <c r="EG466" i="98"/>
  <c r="EF466" i="98"/>
  <c r="EE466" i="98"/>
  <c r="ET465" i="98"/>
  <c r="ES465" i="98"/>
  <c r="ER465" i="98"/>
  <c r="EQ465" i="98"/>
  <c r="EP465" i="98"/>
  <c r="EO465" i="98"/>
  <c r="EN465" i="98"/>
  <c r="EM465" i="98"/>
  <c r="EL465" i="98"/>
  <c r="EK465" i="98"/>
  <c r="EJ465" i="98"/>
  <c r="EI465" i="98"/>
  <c r="EH465" i="98"/>
  <c r="EG465" i="98"/>
  <c r="EF465" i="98"/>
  <c r="EE465" i="98"/>
  <c r="CJ464" i="98"/>
  <c r="CI464" i="98"/>
  <c r="CH464" i="98"/>
  <c r="CE464" i="98"/>
  <c r="CD464" i="98"/>
  <c r="CC464" i="98"/>
  <c r="CB464" i="98"/>
  <c r="CA464" i="98"/>
  <c r="BA464" i="98"/>
  <c r="EQ464" i="98" s="1"/>
  <c r="AW464" i="98"/>
  <c r="AS464" i="98"/>
  <c r="BE464" i="98" s="1"/>
  <c r="F464" i="98"/>
  <c r="EH464" i="98" s="1"/>
  <c r="E464" i="98"/>
  <c r="W464" i="98" s="1"/>
  <c r="D464" i="98"/>
  <c r="EF464" i="98" s="1"/>
  <c r="C464" i="98"/>
  <c r="EE464" i="98" s="1"/>
  <c r="A464" i="98"/>
  <c r="CJ463" i="98"/>
  <c r="CI463" i="98"/>
  <c r="CH463" i="98"/>
  <c r="CE463" i="98"/>
  <c r="CD463" i="98"/>
  <c r="CC463" i="98"/>
  <c r="CB463" i="98"/>
  <c r="CA463" i="98"/>
  <c r="BA463" i="98"/>
  <c r="EQ463" i="98" s="1"/>
  <c r="AW463" i="98"/>
  <c r="BI463" i="98" s="1"/>
  <c r="AS463" i="98"/>
  <c r="BE463" i="98" s="1"/>
  <c r="F463" i="98"/>
  <c r="AE463" i="98" s="1"/>
  <c r="AQ463" i="98" s="1"/>
  <c r="E463" i="98"/>
  <c r="W463" i="98" s="1"/>
  <c r="D463" i="98"/>
  <c r="EF463" i="98" s="1"/>
  <c r="C463" i="98"/>
  <c r="EE463" i="98" s="1"/>
  <c r="CK462" i="98"/>
  <c r="CJ462" i="98"/>
  <c r="CI462" i="98"/>
  <c r="CH462" i="98"/>
  <c r="CE462" i="98"/>
  <c r="CD462" i="98"/>
  <c r="CC462" i="98"/>
  <c r="CB462" i="98"/>
  <c r="CA462" i="98"/>
  <c r="BA462" i="98"/>
  <c r="EQ462" i="98" s="1"/>
  <c r="AW462" i="98"/>
  <c r="BI462" i="98" s="1"/>
  <c r="AS462" i="98"/>
  <c r="F462" i="98"/>
  <c r="AE462" i="98" s="1"/>
  <c r="AQ462" i="98" s="1"/>
  <c r="E462" i="98"/>
  <c r="W462" i="98" s="1"/>
  <c r="D462" i="98"/>
  <c r="EF462" i="98" s="1"/>
  <c r="C462" i="98"/>
  <c r="EE462" i="98" s="1"/>
  <c r="CK461" i="98"/>
  <c r="CJ461" i="98"/>
  <c r="CI461" i="98"/>
  <c r="CH461" i="98"/>
  <c r="CE461" i="98"/>
  <c r="CD461" i="98"/>
  <c r="CC461" i="98"/>
  <c r="CB461" i="98"/>
  <c r="CA461" i="98"/>
  <c r="BA461" i="98"/>
  <c r="EQ461" i="98" s="1"/>
  <c r="AW461" i="98"/>
  <c r="BI461" i="98" s="1"/>
  <c r="AS461" i="98"/>
  <c r="BE461" i="98" s="1"/>
  <c r="F461" i="98"/>
  <c r="AE461" i="98" s="1"/>
  <c r="AQ461" i="98" s="1"/>
  <c r="E461" i="98"/>
  <c r="D461" i="98"/>
  <c r="EF461" i="98" s="1"/>
  <c r="C461" i="98"/>
  <c r="EE461" i="98" s="1"/>
  <c r="CK460" i="98"/>
  <c r="CJ460" i="98"/>
  <c r="CI460" i="98"/>
  <c r="CH460" i="98"/>
  <c r="CE460" i="98"/>
  <c r="CD460" i="98"/>
  <c r="CC460" i="98"/>
  <c r="CB460" i="98"/>
  <c r="CA460" i="98"/>
  <c r="BA460" i="98"/>
  <c r="EQ460" i="98" s="1"/>
  <c r="AW460" i="98"/>
  <c r="AY460" i="98" s="1"/>
  <c r="AS460" i="98"/>
  <c r="AU460" i="98" s="1"/>
  <c r="F460" i="98"/>
  <c r="E460" i="98"/>
  <c r="W460" i="98" s="1"/>
  <c r="D460" i="98"/>
  <c r="EF460" i="98" s="1"/>
  <c r="C460" i="98"/>
  <c r="EE460" i="98" s="1"/>
  <c r="CK459" i="98"/>
  <c r="CJ459" i="98"/>
  <c r="CI459" i="98"/>
  <c r="CH459" i="98"/>
  <c r="CE459" i="98"/>
  <c r="CD459" i="98"/>
  <c r="CC459" i="98"/>
  <c r="CB459" i="98"/>
  <c r="CA459" i="98"/>
  <c r="BA459" i="98"/>
  <c r="EQ459" i="98" s="1"/>
  <c r="AW459" i="98"/>
  <c r="AY459" i="98" s="1"/>
  <c r="AS459" i="98"/>
  <c r="AU459" i="98" s="1"/>
  <c r="F459" i="98"/>
  <c r="AE459" i="98" s="1"/>
  <c r="AQ459" i="98" s="1"/>
  <c r="E459" i="98"/>
  <c r="W459" i="98" s="1"/>
  <c r="D459" i="98"/>
  <c r="EF459" i="98" s="1"/>
  <c r="C459" i="98"/>
  <c r="EE459" i="98" s="1"/>
  <c r="CK458" i="98"/>
  <c r="CJ458" i="98"/>
  <c r="CI458" i="98"/>
  <c r="CH458" i="98"/>
  <c r="CE458" i="98"/>
  <c r="CD458" i="98"/>
  <c r="CC458" i="98"/>
  <c r="CB458" i="98"/>
  <c r="CA458" i="98"/>
  <c r="BA458" i="98"/>
  <c r="EQ458" i="98" s="1"/>
  <c r="AW458" i="98"/>
  <c r="AY458" i="98" s="1"/>
  <c r="AS458" i="98"/>
  <c r="AU458" i="98" s="1"/>
  <c r="F458" i="98"/>
  <c r="E458" i="98"/>
  <c r="W458" i="98" s="1"/>
  <c r="D458" i="98"/>
  <c r="EF458" i="98" s="1"/>
  <c r="C458" i="98"/>
  <c r="EE458" i="98" s="1"/>
  <c r="CK457" i="98"/>
  <c r="CJ457" i="98"/>
  <c r="CI457" i="98"/>
  <c r="CH457" i="98"/>
  <c r="CE457" i="98"/>
  <c r="CD457" i="98"/>
  <c r="CC457" i="98"/>
  <c r="CB457" i="98"/>
  <c r="CA457" i="98"/>
  <c r="BA457" i="98"/>
  <c r="EQ457" i="98" s="1"/>
  <c r="AW457" i="98"/>
  <c r="AY457" i="98" s="1"/>
  <c r="AS457" i="98"/>
  <c r="AU457" i="98" s="1"/>
  <c r="F457" i="98"/>
  <c r="AE457" i="98" s="1"/>
  <c r="AQ457" i="98" s="1"/>
  <c r="E457" i="98"/>
  <c r="W457" i="98" s="1"/>
  <c r="D457" i="98"/>
  <c r="EF457" i="98" s="1"/>
  <c r="C457" i="98"/>
  <c r="EE457" i="98" s="1"/>
  <c r="CK456" i="98"/>
  <c r="CJ456" i="98"/>
  <c r="CI456" i="98"/>
  <c r="CH456" i="98"/>
  <c r="CE456" i="98"/>
  <c r="CD456" i="98"/>
  <c r="CC456" i="98"/>
  <c r="CB456" i="98"/>
  <c r="CA456" i="98"/>
  <c r="BA456" i="98"/>
  <c r="EQ456" i="98" s="1"/>
  <c r="AW456" i="98"/>
  <c r="AY456" i="98" s="1"/>
  <c r="AS456" i="98"/>
  <c r="AU456" i="98" s="1"/>
  <c r="F456" i="98"/>
  <c r="E456" i="98"/>
  <c r="W456" i="98" s="1"/>
  <c r="D456" i="98"/>
  <c r="EF456" i="98" s="1"/>
  <c r="C456" i="98"/>
  <c r="EE456" i="98" s="1"/>
  <c r="CK455" i="98"/>
  <c r="CJ455" i="98"/>
  <c r="CI455" i="98"/>
  <c r="CH455" i="98"/>
  <c r="CE455" i="98"/>
  <c r="CD455" i="98"/>
  <c r="CC455" i="98"/>
  <c r="CB455" i="98"/>
  <c r="CA455" i="98"/>
  <c r="BA455" i="98"/>
  <c r="EQ455" i="98" s="1"/>
  <c r="AW455" i="98"/>
  <c r="AY455" i="98" s="1"/>
  <c r="AS455" i="98"/>
  <c r="AU455" i="98" s="1"/>
  <c r="F455" i="98"/>
  <c r="AE455" i="98" s="1"/>
  <c r="AQ455" i="98" s="1"/>
  <c r="E455" i="98"/>
  <c r="W455" i="98" s="1"/>
  <c r="D455" i="98"/>
  <c r="EF455" i="98" s="1"/>
  <c r="C455" i="98"/>
  <c r="EE455" i="98" s="1"/>
  <c r="CK454" i="98"/>
  <c r="CJ454" i="98"/>
  <c r="CI454" i="98"/>
  <c r="CH454" i="98"/>
  <c r="CE454" i="98"/>
  <c r="CD454" i="98"/>
  <c r="CC454" i="98"/>
  <c r="CB454" i="98"/>
  <c r="CA454" i="98"/>
  <c r="BA454" i="98"/>
  <c r="EQ454" i="98" s="1"/>
  <c r="AW454" i="98"/>
  <c r="AY454" i="98" s="1"/>
  <c r="AS454" i="98"/>
  <c r="AU454" i="98" s="1"/>
  <c r="F454" i="98"/>
  <c r="E454" i="98"/>
  <c r="W454" i="98" s="1"/>
  <c r="D454" i="98"/>
  <c r="EF454" i="98" s="1"/>
  <c r="C454" i="98"/>
  <c r="EE454" i="98" s="1"/>
  <c r="CK453" i="98"/>
  <c r="CJ453" i="98"/>
  <c r="CI453" i="98"/>
  <c r="CH453" i="98"/>
  <c r="CE453" i="98"/>
  <c r="CD453" i="98"/>
  <c r="CC453" i="98"/>
  <c r="CB453" i="98"/>
  <c r="CA453" i="98"/>
  <c r="BA453" i="98"/>
  <c r="EQ453" i="98" s="1"/>
  <c r="AW453" i="98"/>
  <c r="AY453" i="98" s="1"/>
  <c r="AS453" i="98"/>
  <c r="AU453" i="98" s="1"/>
  <c r="F453" i="98"/>
  <c r="AE453" i="98" s="1"/>
  <c r="AQ453" i="98" s="1"/>
  <c r="E453" i="98"/>
  <c r="W453" i="98" s="1"/>
  <c r="D453" i="98"/>
  <c r="EF453" i="98" s="1"/>
  <c r="C453" i="98"/>
  <c r="EE453" i="98" s="1"/>
  <c r="CK452" i="98"/>
  <c r="CJ452" i="98"/>
  <c r="CI452" i="98"/>
  <c r="CH452" i="98"/>
  <c r="CE452" i="98"/>
  <c r="CD452" i="98"/>
  <c r="CC452" i="98"/>
  <c r="CB452" i="98"/>
  <c r="CA452" i="98"/>
  <c r="BA452" i="98"/>
  <c r="EQ452" i="98" s="1"/>
  <c r="AW452" i="98"/>
  <c r="AY452" i="98" s="1"/>
  <c r="AS452" i="98"/>
  <c r="AU452" i="98" s="1"/>
  <c r="F452" i="98"/>
  <c r="E452" i="98"/>
  <c r="W452" i="98" s="1"/>
  <c r="D452" i="98"/>
  <c r="EF452" i="98" s="1"/>
  <c r="C452" i="98"/>
  <c r="EE452" i="98" s="1"/>
  <c r="CK451" i="98"/>
  <c r="CJ451" i="98"/>
  <c r="CI451" i="98"/>
  <c r="CH451" i="98"/>
  <c r="CE451" i="98"/>
  <c r="CD451" i="98"/>
  <c r="CC451" i="98"/>
  <c r="CB451" i="98"/>
  <c r="CA451" i="98"/>
  <c r="BA451" i="98"/>
  <c r="EQ451" i="98" s="1"/>
  <c r="AW451" i="98"/>
  <c r="AY451" i="98" s="1"/>
  <c r="AS451" i="98"/>
  <c r="AU451" i="98" s="1"/>
  <c r="F451" i="98"/>
  <c r="AE451" i="98" s="1"/>
  <c r="AQ451" i="98" s="1"/>
  <c r="E451" i="98"/>
  <c r="W451" i="98" s="1"/>
  <c r="D451" i="98"/>
  <c r="EF451" i="98" s="1"/>
  <c r="C451" i="98"/>
  <c r="EE451" i="98" s="1"/>
  <c r="CK450" i="98"/>
  <c r="CJ450" i="98"/>
  <c r="CI450" i="98"/>
  <c r="CH450" i="98"/>
  <c r="CE450" i="98"/>
  <c r="CD450" i="98"/>
  <c r="CC450" i="98"/>
  <c r="CB450" i="98"/>
  <c r="CA450" i="98"/>
  <c r="BA450" i="98"/>
  <c r="EQ450" i="98" s="1"/>
  <c r="AW450" i="98"/>
  <c r="AY450" i="98" s="1"/>
  <c r="AS450" i="98"/>
  <c r="AU450" i="98" s="1"/>
  <c r="F450" i="98"/>
  <c r="E450" i="98"/>
  <c r="W450" i="98" s="1"/>
  <c r="D450" i="98"/>
  <c r="EF450" i="98" s="1"/>
  <c r="C450" i="98"/>
  <c r="EE450" i="98" s="1"/>
  <c r="CK449" i="98"/>
  <c r="CJ449" i="98"/>
  <c r="CI449" i="98"/>
  <c r="CH449" i="98"/>
  <c r="CE449" i="98"/>
  <c r="CD449" i="98"/>
  <c r="CC449" i="98"/>
  <c r="CB449" i="98"/>
  <c r="CA449" i="98"/>
  <c r="BA449" i="98"/>
  <c r="EQ449" i="98" s="1"/>
  <c r="AW449" i="98"/>
  <c r="AY449" i="98" s="1"/>
  <c r="AS449" i="98"/>
  <c r="AU449" i="98" s="1"/>
  <c r="F449" i="98"/>
  <c r="AE449" i="98" s="1"/>
  <c r="AQ449" i="98" s="1"/>
  <c r="E449" i="98"/>
  <c r="W449" i="98" s="1"/>
  <c r="D449" i="98"/>
  <c r="EF449" i="98" s="1"/>
  <c r="C449" i="98"/>
  <c r="EE449" i="98" s="1"/>
  <c r="CK448" i="98"/>
  <c r="CJ448" i="98"/>
  <c r="CI448" i="98"/>
  <c r="CH448" i="98"/>
  <c r="CE448" i="98"/>
  <c r="CD448" i="98"/>
  <c r="CC448" i="98"/>
  <c r="CB448" i="98"/>
  <c r="CA448" i="98"/>
  <c r="BA448" i="98"/>
  <c r="EQ448" i="98" s="1"/>
  <c r="AW448" i="98"/>
  <c r="AY448" i="98" s="1"/>
  <c r="AS448" i="98"/>
  <c r="AU448" i="98" s="1"/>
  <c r="F448" i="98"/>
  <c r="E448" i="98"/>
  <c r="W448" i="98" s="1"/>
  <c r="D448" i="98"/>
  <c r="EF448" i="98" s="1"/>
  <c r="C448" i="98"/>
  <c r="EE448" i="98" s="1"/>
  <c r="EL447" i="98"/>
  <c r="EK447" i="98"/>
  <c r="EJ447" i="98"/>
  <c r="CJ447" i="98"/>
  <c r="CH447" i="98"/>
  <c r="CE447" i="98"/>
  <c r="CD447" i="98"/>
  <c r="CC447" i="98"/>
  <c r="CB447" i="98"/>
  <c r="CA447" i="98"/>
  <c r="BH447" i="98"/>
  <c r="BG447" i="98"/>
  <c r="BF447" i="98"/>
  <c r="BC447" i="98"/>
  <c r="ES447" i="98" s="1"/>
  <c r="AW447" i="98"/>
  <c r="AY447" i="98" s="1"/>
  <c r="EI447" i="98"/>
  <c r="EE447" i="98"/>
  <c r="CK446" i="98"/>
  <c r="CJ446" i="98"/>
  <c r="CI446" i="98"/>
  <c r="CH446" i="98"/>
  <c r="CE446" i="98"/>
  <c r="CD446" i="98"/>
  <c r="CC446" i="98"/>
  <c r="CB446" i="98"/>
  <c r="CA446" i="98"/>
  <c r="BA446" i="98"/>
  <c r="EQ446" i="98" s="1"/>
  <c r="AW446" i="98"/>
  <c r="AZ446" i="98" s="1"/>
  <c r="AS446" i="98"/>
  <c r="AV446" i="98" s="1"/>
  <c r="F446" i="98"/>
  <c r="AF446" i="98" s="1"/>
  <c r="AR446" i="98" s="1"/>
  <c r="E446" i="98"/>
  <c r="EG446" i="98" s="1"/>
  <c r="D446" i="98"/>
  <c r="P446" i="98" s="1"/>
  <c r="AN446" i="98" s="1"/>
  <c r="C446" i="98"/>
  <c r="EE446" i="98" s="1"/>
  <c r="CJ445" i="98"/>
  <c r="CI445" i="98"/>
  <c r="CH445" i="98"/>
  <c r="CE445" i="98"/>
  <c r="CD445" i="98"/>
  <c r="CC445" i="98"/>
  <c r="CB445" i="98"/>
  <c r="CA445" i="98"/>
  <c r="BA445" i="98"/>
  <c r="EQ445" i="98" s="1"/>
  <c r="AW445" i="98"/>
  <c r="AZ445" i="98" s="1"/>
  <c r="AS445" i="98"/>
  <c r="AV445" i="98" s="1"/>
  <c r="F445" i="98"/>
  <c r="AF445" i="98" s="1"/>
  <c r="AR445" i="98" s="1"/>
  <c r="E445" i="98"/>
  <c r="EG445" i="98" s="1"/>
  <c r="D445" i="98"/>
  <c r="C445" i="98"/>
  <c r="EE445" i="98" s="1"/>
  <c r="CJ444" i="98"/>
  <c r="CI444" i="98"/>
  <c r="CH444" i="98"/>
  <c r="CE444" i="98"/>
  <c r="CD444" i="98"/>
  <c r="CC444" i="98"/>
  <c r="CB444" i="98"/>
  <c r="CA444" i="98"/>
  <c r="BA444" i="98"/>
  <c r="EQ444" i="98" s="1"/>
  <c r="AW444" i="98"/>
  <c r="AZ444" i="98" s="1"/>
  <c r="AS444" i="98"/>
  <c r="AV444" i="98" s="1"/>
  <c r="F444" i="98"/>
  <c r="AF444" i="98" s="1"/>
  <c r="AR444" i="98" s="1"/>
  <c r="E444" i="98"/>
  <c r="EG444" i="98" s="1"/>
  <c r="D444" i="98"/>
  <c r="C444" i="98"/>
  <c r="EE444" i="98" s="1"/>
  <c r="EI443" i="98"/>
  <c r="CJ443" i="98"/>
  <c r="CI443" i="98"/>
  <c r="CH443" i="98"/>
  <c r="CE443" i="98"/>
  <c r="CD443" i="98"/>
  <c r="CC443" i="98"/>
  <c r="CB443" i="98"/>
  <c r="CA443" i="98"/>
  <c r="BE443" i="98"/>
  <c r="BA443" i="98"/>
  <c r="EQ443" i="98" s="1"/>
  <c r="AW443" i="98"/>
  <c r="AZ443" i="98" s="1"/>
  <c r="AV443" i="98"/>
  <c r="BH443" i="98" s="1"/>
  <c r="AU443" i="98"/>
  <c r="EK443" i="98" s="1"/>
  <c r="AT443" i="98"/>
  <c r="EJ443" i="98" s="1"/>
  <c r="F443" i="98"/>
  <c r="E443" i="98"/>
  <c r="EG443" i="98" s="1"/>
  <c r="D443" i="98"/>
  <c r="C443" i="98"/>
  <c r="EE443" i="98" s="1"/>
  <c r="CJ442" i="98"/>
  <c r="CH442" i="98"/>
  <c r="CE442" i="98"/>
  <c r="CD442" i="98"/>
  <c r="CC442" i="98"/>
  <c r="CB442" i="98"/>
  <c r="CA442" i="98"/>
  <c r="AS442" i="98"/>
  <c r="AU442" i="98" s="1"/>
  <c r="E442" i="98"/>
  <c r="W442" i="98" s="1"/>
  <c r="D442" i="98"/>
  <c r="EF442" i="98" s="1"/>
  <c r="B442" i="98"/>
  <c r="CJ441" i="98"/>
  <c r="CH441" i="98"/>
  <c r="CE441" i="98"/>
  <c r="CD441" i="98"/>
  <c r="CC441" i="98"/>
  <c r="CB441" i="98"/>
  <c r="CA441" i="98"/>
  <c r="BA441" i="98"/>
  <c r="EQ441" i="98" s="1"/>
  <c r="AW441" i="98"/>
  <c r="AY441" i="98" s="1"/>
  <c r="AS441" i="98"/>
  <c r="AU441" i="98" s="1"/>
  <c r="F441" i="98"/>
  <c r="E441" i="98"/>
  <c r="W441" i="98" s="1"/>
  <c r="D441" i="98"/>
  <c r="EF441" i="98" s="1"/>
  <c r="C441" i="98"/>
  <c r="EE441" i="98" s="1"/>
  <c r="B441" i="98"/>
  <c r="CJ440" i="98"/>
  <c r="CH440" i="98"/>
  <c r="CE440" i="98"/>
  <c r="CD440" i="98"/>
  <c r="CC440" i="98"/>
  <c r="CB440" i="98"/>
  <c r="CA440" i="98"/>
  <c r="AS440" i="98"/>
  <c r="AU440" i="98" s="1"/>
  <c r="E440" i="98"/>
  <c r="W440" i="98" s="1"/>
  <c r="D440" i="98"/>
  <c r="EF440" i="98" s="1"/>
  <c r="B440" i="98"/>
  <c r="CJ439" i="98"/>
  <c r="CH439" i="98"/>
  <c r="CE439" i="98"/>
  <c r="CD439" i="98"/>
  <c r="CC439" i="98"/>
  <c r="CB439" i="98"/>
  <c r="CA439" i="98"/>
  <c r="BA439" i="98"/>
  <c r="EQ439" i="98" s="1"/>
  <c r="AW439" i="98"/>
  <c r="AY439" i="98" s="1"/>
  <c r="AS439" i="98"/>
  <c r="AU439" i="98" s="1"/>
  <c r="F439" i="98"/>
  <c r="E439" i="98"/>
  <c r="W439" i="98" s="1"/>
  <c r="D439" i="98"/>
  <c r="EF439" i="98" s="1"/>
  <c r="C439" i="98"/>
  <c r="EE439" i="98" s="1"/>
  <c r="B439" i="98"/>
  <c r="CJ438" i="98"/>
  <c r="CH438" i="98"/>
  <c r="CE438" i="98"/>
  <c r="CD438" i="98"/>
  <c r="CC438" i="98"/>
  <c r="CB438" i="98"/>
  <c r="CA438" i="98"/>
  <c r="AS438" i="98"/>
  <c r="AU438" i="98" s="1"/>
  <c r="B438" i="98"/>
  <c r="CJ437" i="98"/>
  <c r="CH437" i="98"/>
  <c r="CE437" i="98"/>
  <c r="CD437" i="98"/>
  <c r="CC437" i="98"/>
  <c r="CB437" i="98"/>
  <c r="CA437" i="98"/>
  <c r="BA437" i="98"/>
  <c r="EQ437" i="98" s="1"/>
  <c r="AW437" i="98"/>
  <c r="AY437" i="98" s="1"/>
  <c r="AS437" i="98"/>
  <c r="AU437" i="98" s="1"/>
  <c r="F437" i="98"/>
  <c r="E437" i="98"/>
  <c r="W437" i="98" s="1"/>
  <c r="D437" i="98"/>
  <c r="EF437" i="98" s="1"/>
  <c r="C437" i="98"/>
  <c r="EE437" i="98" s="1"/>
  <c r="B437" i="98"/>
  <c r="CJ436" i="98"/>
  <c r="CH436" i="98"/>
  <c r="CE436" i="98"/>
  <c r="CD436" i="98"/>
  <c r="CC436" i="98"/>
  <c r="CB436" i="98"/>
  <c r="CA436" i="98"/>
  <c r="BA436" i="98"/>
  <c r="EQ436" i="98" s="1"/>
  <c r="AW436" i="98"/>
  <c r="AY436" i="98" s="1"/>
  <c r="AS436" i="98"/>
  <c r="AU436" i="98" s="1"/>
  <c r="F436" i="98"/>
  <c r="AE436" i="98" s="1"/>
  <c r="AQ436" i="98" s="1"/>
  <c r="E436" i="98"/>
  <c r="W436" i="98" s="1"/>
  <c r="D436" i="98"/>
  <c r="EF436" i="98" s="1"/>
  <c r="C436" i="98"/>
  <c r="EE436" i="98" s="1"/>
  <c r="B436" i="98"/>
  <c r="CJ435" i="98"/>
  <c r="CH435" i="98"/>
  <c r="CE435" i="98"/>
  <c r="CD435" i="98"/>
  <c r="CC435" i="98"/>
  <c r="CB435" i="98"/>
  <c r="CA435" i="98"/>
  <c r="BA435" i="98"/>
  <c r="EQ435" i="98" s="1"/>
  <c r="AW435" i="98"/>
  <c r="AY435" i="98" s="1"/>
  <c r="AS435" i="98"/>
  <c r="AU435" i="98" s="1"/>
  <c r="F435" i="98"/>
  <c r="E435" i="98"/>
  <c r="W435" i="98" s="1"/>
  <c r="D435" i="98"/>
  <c r="EF435" i="98" s="1"/>
  <c r="C435" i="98"/>
  <c r="EE435" i="98" s="1"/>
  <c r="B435" i="98"/>
  <c r="CJ434" i="98"/>
  <c r="CH434" i="98"/>
  <c r="CE434" i="98"/>
  <c r="CD434" i="98"/>
  <c r="CC434" i="98"/>
  <c r="CB434" i="98"/>
  <c r="CA434" i="98"/>
  <c r="AS434" i="98"/>
  <c r="AU434" i="98" s="1"/>
  <c r="E434" i="98"/>
  <c r="D434" i="98"/>
  <c r="EF434" i="98" s="1"/>
  <c r="B434" i="98"/>
  <c r="CJ433" i="98"/>
  <c r="CH433" i="98"/>
  <c r="CE433" i="98"/>
  <c r="CD433" i="98"/>
  <c r="CC433" i="98"/>
  <c r="CB433" i="98"/>
  <c r="CA433" i="98"/>
  <c r="AS433" i="98"/>
  <c r="AU433" i="98" s="1"/>
  <c r="E433" i="98"/>
  <c r="W433" i="98" s="1"/>
  <c r="D433" i="98"/>
  <c r="EF433" i="98" s="1"/>
  <c r="B433" i="98"/>
  <c r="CJ432" i="98"/>
  <c r="CH432" i="98"/>
  <c r="CE432" i="98"/>
  <c r="CD432" i="98"/>
  <c r="CC432" i="98"/>
  <c r="CB432" i="98"/>
  <c r="CA432" i="98"/>
  <c r="BA432" i="98"/>
  <c r="EQ432" i="98" s="1"/>
  <c r="AW432" i="98"/>
  <c r="AY432" i="98" s="1"/>
  <c r="AT432" i="98"/>
  <c r="EJ432" i="98" s="1"/>
  <c r="AS432" i="98"/>
  <c r="AU432" i="98" s="1"/>
  <c r="V432" i="98"/>
  <c r="U432" i="98"/>
  <c r="F432" i="98"/>
  <c r="AE432" i="98" s="1"/>
  <c r="AQ432" i="98" s="1"/>
  <c r="E432" i="98"/>
  <c r="W432" i="98" s="1"/>
  <c r="D432" i="98"/>
  <c r="EF432" i="98" s="1"/>
  <c r="C432" i="98"/>
  <c r="EE432" i="98" s="1"/>
  <c r="B432" i="98"/>
  <c r="CJ431" i="98"/>
  <c r="CH431" i="98"/>
  <c r="CE431" i="98"/>
  <c r="CD431" i="98"/>
  <c r="CC431" i="98"/>
  <c r="CB431" i="98"/>
  <c r="CA431" i="98"/>
  <c r="B431" i="98"/>
  <c r="CJ430" i="98"/>
  <c r="CH430" i="98"/>
  <c r="CE430" i="98"/>
  <c r="CD430" i="98"/>
  <c r="CC430" i="98"/>
  <c r="CB430" i="98"/>
  <c r="CA430" i="98"/>
  <c r="BA430" i="98"/>
  <c r="EQ430" i="98" s="1"/>
  <c r="AW430" i="98"/>
  <c r="AY430" i="98" s="1"/>
  <c r="AS430" i="98"/>
  <c r="AU430" i="98" s="1"/>
  <c r="F430" i="98"/>
  <c r="AD430" i="98" s="1"/>
  <c r="AP430" i="98" s="1"/>
  <c r="E430" i="98"/>
  <c r="W430" i="98" s="1"/>
  <c r="D430" i="98"/>
  <c r="EF430" i="98" s="1"/>
  <c r="C430" i="98"/>
  <c r="EE430" i="98" s="1"/>
  <c r="B430" i="98"/>
  <c r="CJ429" i="98"/>
  <c r="CH429" i="98"/>
  <c r="CE429" i="98"/>
  <c r="CD429" i="98"/>
  <c r="CC429" i="98"/>
  <c r="CB429" i="98"/>
  <c r="CA429" i="98"/>
  <c r="AS429" i="98"/>
  <c r="AU429" i="98" s="1"/>
  <c r="E429" i="98"/>
  <c r="W429" i="98" s="1"/>
  <c r="D429" i="98"/>
  <c r="EF429" i="98" s="1"/>
  <c r="B429" i="98"/>
  <c r="CJ428" i="98"/>
  <c r="CH428" i="98"/>
  <c r="CE428" i="98"/>
  <c r="CD428" i="98"/>
  <c r="CC428" i="98"/>
  <c r="CB428" i="98"/>
  <c r="CA428" i="98"/>
  <c r="BA428" i="98"/>
  <c r="EQ428" i="98" s="1"/>
  <c r="AX428" i="98"/>
  <c r="EN428" i="98" s="1"/>
  <c r="AW428" i="98"/>
  <c r="AY428" i="98" s="1"/>
  <c r="AS428" i="98"/>
  <c r="F428" i="98"/>
  <c r="AD428" i="98" s="1"/>
  <c r="AP428" i="98" s="1"/>
  <c r="E428" i="98"/>
  <c r="W428" i="98" s="1"/>
  <c r="D428" i="98"/>
  <c r="EF428" i="98" s="1"/>
  <c r="C428" i="98"/>
  <c r="EE428" i="98" s="1"/>
  <c r="B428" i="98"/>
  <c r="CJ427" i="98"/>
  <c r="CH427" i="98"/>
  <c r="CE427" i="98"/>
  <c r="CD427" i="98"/>
  <c r="CC427" i="98"/>
  <c r="CB427" i="98"/>
  <c r="CA427" i="98"/>
  <c r="AS427" i="98"/>
  <c r="AU427" i="98" s="1"/>
  <c r="E427" i="98"/>
  <c r="V427" i="98" s="1"/>
  <c r="D427" i="98"/>
  <c r="EF427" i="98" s="1"/>
  <c r="C427" i="98"/>
  <c r="EE427" i="98" s="1"/>
  <c r="B427" i="98"/>
  <c r="CJ426" i="98"/>
  <c r="CH426" i="98"/>
  <c r="CE426" i="98"/>
  <c r="CD426" i="98"/>
  <c r="CC426" i="98"/>
  <c r="CB426" i="98"/>
  <c r="CA426" i="98"/>
  <c r="BA426" i="98"/>
  <c r="EQ426" i="98" s="1"/>
  <c r="AW426" i="98"/>
  <c r="AY426" i="98" s="1"/>
  <c r="AS426" i="98"/>
  <c r="AU426" i="98" s="1"/>
  <c r="F426" i="98"/>
  <c r="AD426" i="98" s="1"/>
  <c r="AP426" i="98" s="1"/>
  <c r="E426" i="98"/>
  <c r="W426" i="98" s="1"/>
  <c r="D426" i="98"/>
  <c r="EF426" i="98" s="1"/>
  <c r="C426" i="98"/>
  <c r="EE426" i="98" s="1"/>
  <c r="B426" i="98"/>
  <c r="CJ425" i="98"/>
  <c r="CH425" i="98"/>
  <c r="CE425" i="98"/>
  <c r="CD425" i="98"/>
  <c r="CC425" i="98"/>
  <c r="CB425" i="98"/>
  <c r="CA425" i="98"/>
  <c r="BA425" i="98"/>
  <c r="EQ425" i="98" s="1"/>
  <c r="AW425" i="98"/>
  <c r="AY425" i="98" s="1"/>
  <c r="AS425" i="98"/>
  <c r="AU425" i="98" s="1"/>
  <c r="F425" i="98"/>
  <c r="AE425" i="98" s="1"/>
  <c r="AQ425" i="98" s="1"/>
  <c r="E425" i="98"/>
  <c r="W425" i="98" s="1"/>
  <c r="D425" i="98"/>
  <c r="EF425" i="98" s="1"/>
  <c r="C425" i="98"/>
  <c r="EE425" i="98" s="1"/>
  <c r="B425" i="98"/>
  <c r="CJ424" i="98"/>
  <c r="CH424" i="98"/>
  <c r="CE424" i="98"/>
  <c r="CD424" i="98"/>
  <c r="CC424" i="98"/>
  <c r="CB424" i="98"/>
  <c r="CA424" i="98"/>
  <c r="BA424" i="98"/>
  <c r="EQ424" i="98" s="1"/>
  <c r="AW424" i="98"/>
  <c r="AY424" i="98" s="1"/>
  <c r="AS424" i="98"/>
  <c r="AU424" i="98" s="1"/>
  <c r="F424" i="98"/>
  <c r="AD424" i="98" s="1"/>
  <c r="AP424" i="98" s="1"/>
  <c r="E424" i="98"/>
  <c r="W424" i="98" s="1"/>
  <c r="D424" i="98"/>
  <c r="EF424" i="98" s="1"/>
  <c r="C424" i="98"/>
  <c r="EE424" i="98" s="1"/>
  <c r="B424" i="98"/>
  <c r="CJ423" i="98"/>
  <c r="CH423" i="98"/>
  <c r="CE423" i="98"/>
  <c r="CD423" i="98"/>
  <c r="CC423" i="98"/>
  <c r="CB423" i="98"/>
  <c r="CA423" i="98"/>
  <c r="BA423" i="98"/>
  <c r="EQ423" i="98" s="1"/>
  <c r="AW423" i="98"/>
  <c r="AY423" i="98" s="1"/>
  <c r="AS423" i="98"/>
  <c r="AU423" i="98" s="1"/>
  <c r="F423" i="98"/>
  <c r="E423" i="98"/>
  <c r="W423" i="98" s="1"/>
  <c r="D423" i="98"/>
  <c r="EF423" i="98" s="1"/>
  <c r="C423" i="98"/>
  <c r="EE423" i="98" s="1"/>
  <c r="B423" i="98"/>
  <c r="CJ422" i="98"/>
  <c r="CH422" i="98"/>
  <c r="CE422" i="98"/>
  <c r="CD422" i="98"/>
  <c r="CC422" i="98"/>
  <c r="CB422" i="98"/>
  <c r="CA422" i="98"/>
  <c r="BA422" i="98"/>
  <c r="EQ422" i="98" s="1"/>
  <c r="AW422" i="98"/>
  <c r="AY422" i="98" s="1"/>
  <c r="AS422" i="98"/>
  <c r="AU422" i="98" s="1"/>
  <c r="F422" i="98"/>
  <c r="AD422" i="98" s="1"/>
  <c r="AP422" i="98" s="1"/>
  <c r="E422" i="98"/>
  <c r="W422" i="98" s="1"/>
  <c r="D422" i="98"/>
  <c r="EF422" i="98" s="1"/>
  <c r="C422" i="98"/>
  <c r="EE422" i="98" s="1"/>
  <c r="B422" i="98"/>
  <c r="CJ421" i="98"/>
  <c r="CH421" i="98"/>
  <c r="CE421" i="98"/>
  <c r="CD421" i="98"/>
  <c r="CC421" i="98"/>
  <c r="CB421" i="98"/>
  <c r="CA421" i="98"/>
  <c r="BA421" i="98"/>
  <c r="EQ421" i="98" s="1"/>
  <c r="AW421" i="98"/>
  <c r="AY421" i="98" s="1"/>
  <c r="AS421" i="98"/>
  <c r="AU421" i="98" s="1"/>
  <c r="F421" i="98"/>
  <c r="AE421" i="98" s="1"/>
  <c r="AQ421" i="98" s="1"/>
  <c r="E421" i="98"/>
  <c r="W421" i="98" s="1"/>
  <c r="D421" i="98"/>
  <c r="EF421" i="98" s="1"/>
  <c r="C421" i="98"/>
  <c r="EE421" i="98" s="1"/>
  <c r="B421" i="98"/>
  <c r="CJ420" i="98"/>
  <c r="CH420" i="98"/>
  <c r="CE420" i="98"/>
  <c r="CD420" i="98"/>
  <c r="CC420" i="98"/>
  <c r="CB420" i="98"/>
  <c r="CA420" i="98"/>
  <c r="BA420" i="98"/>
  <c r="EQ420" i="98" s="1"/>
  <c r="AW420" i="98"/>
  <c r="AS420" i="98"/>
  <c r="AU420" i="98" s="1"/>
  <c r="F420" i="98"/>
  <c r="AD420" i="98" s="1"/>
  <c r="AP420" i="98" s="1"/>
  <c r="E420" i="98"/>
  <c r="D420" i="98"/>
  <c r="EF420" i="98" s="1"/>
  <c r="C420" i="98"/>
  <c r="EE420" i="98" s="1"/>
  <c r="B420" i="98"/>
  <c r="CJ419" i="98"/>
  <c r="CH419" i="98"/>
  <c r="CE419" i="98"/>
  <c r="CD419" i="98"/>
  <c r="CC419" i="98"/>
  <c r="CB419" i="98"/>
  <c r="CA419" i="98"/>
  <c r="BA419" i="98"/>
  <c r="EQ419" i="98" s="1"/>
  <c r="AX419" i="98"/>
  <c r="EN419" i="98" s="1"/>
  <c r="AW419" i="98"/>
  <c r="AY419" i="98" s="1"/>
  <c r="AS419" i="98"/>
  <c r="AU419" i="98" s="1"/>
  <c r="F419" i="98"/>
  <c r="AE419" i="98" s="1"/>
  <c r="AQ419" i="98" s="1"/>
  <c r="E419" i="98"/>
  <c r="W419" i="98" s="1"/>
  <c r="D419" i="98"/>
  <c r="EF419" i="98" s="1"/>
  <c r="C419" i="98"/>
  <c r="EE419" i="98" s="1"/>
  <c r="B419" i="98"/>
  <c r="CJ418" i="98"/>
  <c r="CH418" i="98"/>
  <c r="CE418" i="98"/>
  <c r="CD418" i="98"/>
  <c r="CC418" i="98"/>
  <c r="CB418" i="98"/>
  <c r="CA418" i="98"/>
  <c r="BA418" i="98"/>
  <c r="EQ418" i="98" s="1"/>
  <c r="AW418" i="98"/>
  <c r="AY418" i="98" s="1"/>
  <c r="AS418" i="98"/>
  <c r="AU418" i="98" s="1"/>
  <c r="F418" i="98"/>
  <c r="AD418" i="98" s="1"/>
  <c r="AP418" i="98" s="1"/>
  <c r="E418" i="98"/>
  <c r="W418" i="98" s="1"/>
  <c r="D418" i="98"/>
  <c r="EF418" i="98" s="1"/>
  <c r="C418" i="98"/>
  <c r="EE418" i="98" s="1"/>
  <c r="B418" i="98"/>
  <c r="CJ417" i="98"/>
  <c r="CH417" i="98"/>
  <c r="CE417" i="98"/>
  <c r="CD417" i="98"/>
  <c r="CC417" i="98"/>
  <c r="CB417" i="98"/>
  <c r="CA417" i="98"/>
  <c r="AW417" i="98"/>
  <c r="AY417" i="98" s="1"/>
  <c r="B417" i="98"/>
  <c r="CJ416" i="98"/>
  <c r="CH416" i="98"/>
  <c r="CE416" i="98"/>
  <c r="CD416" i="98"/>
  <c r="CC416" i="98"/>
  <c r="CB416" i="98"/>
  <c r="CA416" i="98"/>
  <c r="BA416" i="98"/>
  <c r="EQ416" i="98" s="1"/>
  <c r="AW416" i="98"/>
  <c r="AY416" i="98" s="1"/>
  <c r="AS416" i="98"/>
  <c r="AU416" i="98" s="1"/>
  <c r="F416" i="98"/>
  <c r="AD416" i="98" s="1"/>
  <c r="AP416" i="98" s="1"/>
  <c r="E416" i="98"/>
  <c r="W416" i="98" s="1"/>
  <c r="D416" i="98"/>
  <c r="EF416" i="98" s="1"/>
  <c r="C416" i="98"/>
  <c r="EE416" i="98" s="1"/>
  <c r="B416" i="98"/>
  <c r="CJ415" i="98"/>
  <c r="CH415" i="98"/>
  <c r="CE415" i="98"/>
  <c r="CD415" i="98"/>
  <c r="CC415" i="98"/>
  <c r="CB415" i="98"/>
  <c r="CA415" i="98"/>
  <c r="BA415" i="98"/>
  <c r="EQ415" i="98" s="1"/>
  <c r="AW415" i="98"/>
  <c r="AY415" i="98" s="1"/>
  <c r="AS415" i="98"/>
  <c r="AU415" i="98" s="1"/>
  <c r="F415" i="98"/>
  <c r="AD415" i="98" s="1"/>
  <c r="AP415" i="98" s="1"/>
  <c r="E415" i="98"/>
  <c r="W415" i="98" s="1"/>
  <c r="D415" i="98"/>
  <c r="N415" i="98" s="1"/>
  <c r="AL415" i="98" s="1"/>
  <c r="C415" i="98"/>
  <c r="EE415" i="98" s="1"/>
  <c r="B415" i="98"/>
  <c r="EI414" i="98"/>
  <c r="CJ414" i="98"/>
  <c r="CH414" i="98"/>
  <c r="CE414" i="98"/>
  <c r="CD414" i="98"/>
  <c r="CC414" i="98"/>
  <c r="CB414" i="98"/>
  <c r="CA414" i="98"/>
  <c r="BE414" i="98"/>
  <c r="BA414" i="98"/>
  <c r="EQ414" i="98" s="1"/>
  <c r="AW414" i="98"/>
  <c r="AY414" i="98" s="1"/>
  <c r="AV414" i="98"/>
  <c r="EL414" i="98" s="1"/>
  <c r="AU414" i="98"/>
  <c r="BG414" i="98" s="1"/>
  <c r="AT414" i="98"/>
  <c r="EJ414" i="98" s="1"/>
  <c r="F414" i="98"/>
  <c r="AC414" i="98" s="1"/>
  <c r="AO414" i="98" s="1"/>
  <c r="E414" i="98"/>
  <c r="U414" i="98" s="1"/>
  <c r="D414" i="98"/>
  <c r="P414" i="98" s="1"/>
  <c r="AN414" i="98" s="1"/>
  <c r="C414" i="98"/>
  <c r="EE414" i="98" s="1"/>
  <c r="B414" i="98"/>
  <c r="CJ413" i="98"/>
  <c r="CH413" i="98"/>
  <c r="CE413" i="98"/>
  <c r="CD413" i="98"/>
  <c r="CC413" i="98"/>
  <c r="CB413" i="98"/>
  <c r="CA413" i="98"/>
  <c r="BA413" i="98"/>
  <c r="EQ413" i="98" s="1"/>
  <c r="AW413" i="98"/>
  <c r="BI413" i="98" s="1"/>
  <c r="AS413" i="98"/>
  <c r="BE413" i="98" s="1"/>
  <c r="F413" i="98"/>
  <c r="AD413" i="98" s="1"/>
  <c r="AP413" i="98" s="1"/>
  <c r="E413" i="98"/>
  <c r="U413" i="98" s="1"/>
  <c r="D413" i="98"/>
  <c r="N413" i="98" s="1"/>
  <c r="AL413" i="98" s="1"/>
  <c r="C413" i="98"/>
  <c r="EE413" i="98" s="1"/>
  <c r="B413" i="98"/>
  <c r="CJ412" i="98"/>
  <c r="CH412" i="98"/>
  <c r="CE412" i="98"/>
  <c r="CD412" i="98"/>
  <c r="CC412" i="98"/>
  <c r="CB412" i="98"/>
  <c r="CA412" i="98"/>
  <c r="BA412" i="98"/>
  <c r="EQ412" i="98" s="1"/>
  <c r="AW412" i="98"/>
  <c r="AZ412" i="98" s="1"/>
  <c r="EP412" i="98" s="1"/>
  <c r="AS412" i="98"/>
  <c r="AV412" i="98" s="1"/>
  <c r="EL412" i="98" s="1"/>
  <c r="F412" i="98"/>
  <c r="AF412" i="98" s="1"/>
  <c r="AR412" i="98" s="1"/>
  <c r="E412" i="98"/>
  <c r="X412" i="98" s="1"/>
  <c r="D412" i="98"/>
  <c r="N412" i="98" s="1"/>
  <c r="AL412" i="98" s="1"/>
  <c r="C412" i="98"/>
  <c r="EE412" i="98" s="1"/>
  <c r="B412" i="98"/>
  <c r="CJ411" i="98"/>
  <c r="CH411" i="98"/>
  <c r="CE411" i="98"/>
  <c r="CD411" i="98"/>
  <c r="CC411" i="98"/>
  <c r="CB411" i="98"/>
  <c r="CA411" i="98"/>
  <c r="AS411" i="98"/>
  <c r="EI411" i="98" s="1"/>
  <c r="B411" i="98"/>
  <c r="CH410" i="98"/>
  <c r="CE410" i="98"/>
  <c r="CD410" i="98"/>
  <c r="CC410" i="98"/>
  <c r="CB410" i="98"/>
  <c r="CA410" i="98"/>
  <c r="AS410" i="98"/>
  <c r="EI410" i="98" s="1"/>
  <c r="B410" i="98"/>
  <c r="CJ409" i="98"/>
  <c r="CH409" i="98"/>
  <c r="CE409" i="98"/>
  <c r="CD409" i="98"/>
  <c r="CC409" i="98"/>
  <c r="CB409" i="98"/>
  <c r="CA409" i="98"/>
  <c r="BA409" i="98"/>
  <c r="EQ409" i="98" s="1"/>
  <c r="AW409" i="98"/>
  <c r="EM409" i="98" s="1"/>
  <c r="AS409" i="98"/>
  <c r="EI409" i="98" s="1"/>
  <c r="F409" i="98"/>
  <c r="AF409" i="98" s="1"/>
  <c r="AR409" i="98" s="1"/>
  <c r="E409" i="98"/>
  <c r="EG409" i="98" s="1"/>
  <c r="D409" i="98"/>
  <c r="M409" i="98" s="1"/>
  <c r="AK409" i="98" s="1"/>
  <c r="C409" i="98"/>
  <c r="EE409" i="98" s="1"/>
  <c r="B409" i="98"/>
  <c r="CJ408" i="98"/>
  <c r="CH408" i="98"/>
  <c r="CE408" i="98"/>
  <c r="CD408" i="98"/>
  <c r="CC408" i="98"/>
  <c r="CB408" i="98"/>
  <c r="CA408" i="98"/>
  <c r="BA408" i="98"/>
  <c r="EQ408" i="98" s="1"/>
  <c r="F408" i="98"/>
  <c r="AD408" i="98" s="1"/>
  <c r="AP408" i="98" s="1"/>
  <c r="E408" i="98"/>
  <c r="EG408" i="98" s="1"/>
  <c r="D408" i="98"/>
  <c r="N408" i="98" s="1"/>
  <c r="AL408" i="98" s="1"/>
  <c r="C408" i="98"/>
  <c r="EE408" i="98" s="1"/>
  <c r="B408" i="98"/>
  <c r="CJ407" i="98"/>
  <c r="CH407" i="98"/>
  <c r="CE407" i="98"/>
  <c r="CD407" i="98"/>
  <c r="CC407" i="98"/>
  <c r="CB407" i="98"/>
  <c r="CA407" i="98"/>
  <c r="BA407" i="98"/>
  <c r="EQ407" i="98" s="1"/>
  <c r="AW407" i="98"/>
  <c r="EM407" i="98" s="1"/>
  <c r="AS407" i="98"/>
  <c r="EI407" i="98" s="1"/>
  <c r="F407" i="98"/>
  <c r="AD407" i="98" s="1"/>
  <c r="AP407" i="98" s="1"/>
  <c r="E407" i="98"/>
  <c r="U407" i="98" s="1"/>
  <c r="D407" i="98"/>
  <c r="N407" i="98" s="1"/>
  <c r="AL407" i="98" s="1"/>
  <c r="C407" i="98"/>
  <c r="EE407" i="98" s="1"/>
  <c r="B407" i="98"/>
  <c r="CJ406" i="98"/>
  <c r="CH406" i="98"/>
  <c r="CE406" i="98"/>
  <c r="CD406" i="98"/>
  <c r="CC406" i="98"/>
  <c r="CB406" i="98"/>
  <c r="CA406" i="98"/>
  <c r="BA406" i="98"/>
  <c r="EQ406" i="98" s="1"/>
  <c r="AW406" i="98"/>
  <c r="EM406" i="98" s="1"/>
  <c r="AS406" i="98"/>
  <c r="EI406" i="98" s="1"/>
  <c r="F406" i="98"/>
  <c r="AD406" i="98" s="1"/>
  <c r="AP406" i="98" s="1"/>
  <c r="E406" i="98"/>
  <c r="U406" i="98" s="1"/>
  <c r="D406" i="98"/>
  <c r="N406" i="98" s="1"/>
  <c r="AL406" i="98" s="1"/>
  <c r="C406" i="98"/>
  <c r="EE406" i="98" s="1"/>
  <c r="B406" i="98"/>
  <c r="CJ405" i="98"/>
  <c r="CH405" i="98"/>
  <c r="CE405" i="98"/>
  <c r="CD405" i="98"/>
  <c r="CC405" i="98"/>
  <c r="CB405" i="98"/>
  <c r="CA405" i="98"/>
  <c r="BA405" i="98"/>
  <c r="EQ405" i="98" s="1"/>
  <c r="AW405" i="98"/>
  <c r="EM405" i="98" s="1"/>
  <c r="AS405" i="98"/>
  <c r="EI405" i="98" s="1"/>
  <c r="F405" i="98"/>
  <c r="AD405" i="98" s="1"/>
  <c r="AP405" i="98" s="1"/>
  <c r="E405" i="98"/>
  <c r="U405" i="98" s="1"/>
  <c r="D405" i="98"/>
  <c r="N405" i="98" s="1"/>
  <c r="AL405" i="98" s="1"/>
  <c r="C405" i="98"/>
  <c r="EE405" i="98" s="1"/>
  <c r="B405" i="98"/>
  <c r="CJ404" i="98"/>
  <c r="CH404" i="98"/>
  <c r="CE404" i="98"/>
  <c r="CD404" i="98"/>
  <c r="CC404" i="98"/>
  <c r="CB404" i="98"/>
  <c r="CA404" i="98"/>
  <c r="BA404" i="98"/>
  <c r="EQ404" i="98" s="1"/>
  <c r="AW404" i="98"/>
  <c r="EM404" i="98" s="1"/>
  <c r="AS404" i="98"/>
  <c r="EI404" i="98" s="1"/>
  <c r="F404" i="98"/>
  <c r="AD404" i="98" s="1"/>
  <c r="AP404" i="98" s="1"/>
  <c r="E404" i="98"/>
  <c r="U404" i="98" s="1"/>
  <c r="D404" i="98"/>
  <c r="N404" i="98" s="1"/>
  <c r="AL404" i="98" s="1"/>
  <c r="C404" i="98"/>
  <c r="EE404" i="98" s="1"/>
  <c r="B404" i="98"/>
  <c r="CJ403" i="98"/>
  <c r="CH403" i="98"/>
  <c r="CE403" i="98"/>
  <c r="CD403" i="98"/>
  <c r="CC403" i="98"/>
  <c r="CB403" i="98"/>
  <c r="CA403" i="98"/>
  <c r="BA403" i="98"/>
  <c r="EQ403" i="98" s="1"/>
  <c r="AW403" i="98"/>
  <c r="EM403" i="98" s="1"/>
  <c r="AS403" i="98"/>
  <c r="EI403" i="98" s="1"/>
  <c r="F403" i="98"/>
  <c r="AD403" i="98" s="1"/>
  <c r="AP403" i="98" s="1"/>
  <c r="E403" i="98"/>
  <c r="U403" i="98" s="1"/>
  <c r="D403" i="98"/>
  <c r="N403" i="98" s="1"/>
  <c r="AL403" i="98" s="1"/>
  <c r="C403" i="98"/>
  <c r="EE403" i="98" s="1"/>
  <c r="B403" i="98"/>
  <c r="DI402" i="98"/>
  <c r="DH402" i="98"/>
  <c r="DG402" i="98"/>
  <c r="DF402" i="98"/>
  <c r="AS402" i="98" s="1"/>
  <c r="CJ402" i="98"/>
  <c r="CH402" i="98"/>
  <c r="CE402" i="98"/>
  <c r="CD402" i="98"/>
  <c r="CC402" i="98"/>
  <c r="CB402" i="98"/>
  <c r="CA402" i="98"/>
  <c r="BA402" i="98"/>
  <c r="EQ402" i="98" s="1"/>
  <c r="F402" i="98"/>
  <c r="V198" i="1" s="1"/>
  <c r="E402" i="98"/>
  <c r="T198" i="1" s="1"/>
  <c r="D402" i="98"/>
  <c r="R198" i="1" s="1"/>
  <c r="C402" i="98"/>
  <c r="EE402" i="98" s="1"/>
  <c r="B402" i="98"/>
  <c r="CJ401" i="98"/>
  <c r="CH401" i="98"/>
  <c r="CE401" i="98"/>
  <c r="CD401" i="98"/>
  <c r="CC401" i="98"/>
  <c r="CB401" i="98"/>
  <c r="CA401" i="98"/>
  <c r="BA401" i="98"/>
  <c r="EQ401" i="98" s="1"/>
  <c r="AW401" i="98"/>
  <c r="EM401" i="98" s="1"/>
  <c r="AS401" i="98"/>
  <c r="EI401" i="98" s="1"/>
  <c r="F401" i="98"/>
  <c r="AC401" i="98" s="1"/>
  <c r="AO401" i="98" s="1"/>
  <c r="E401" i="98"/>
  <c r="U401" i="98" s="1"/>
  <c r="D401" i="98"/>
  <c r="M401" i="98" s="1"/>
  <c r="AK401" i="98" s="1"/>
  <c r="C401" i="98"/>
  <c r="EE401" i="98" s="1"/>
  <c r="B401" i="98"/>
  <c r="CJ400" i="98"/>
  <c r="CH400" i="98"/>
  <c r="CE400" i="98"/>
  <c r="CD400" i="98"/>
  <c r="CC400" i="98"/>
  <c r="CB400" i="98"/>
  <c r="EQ400" i="98"/>
  <c r="EM400" i="98"/>
  <c r="EI400" i="98"/>
  <c r="B400" i="98"/>
  <c r="CJ399" i="98"/>
  <c r="CH399" i="98"/>
  <c r="CE399" i="98"/>
  <c r="CD399" i="98"/>
  <c r="CC399" i="98"/>
  <c r="CB399" i="98"/>
  <c r="EQ399" i="98"/>
  <c r="EM399" i="98"/>
  <c r="EI399" i="98"/>
  <c r="B399" i="98"/>
  <c r="CJ398" i="98"/>
  <c r="CH398" i="98"/>
  <c r="CE398" i="98"/>
  <c r="CD398" i="98"/>
  <c r="CC398" i="98"/>
  <c r="CB398" i="98"/>
  <c r="CA398" i="98"/>
  <c r="AS398" i="98"/>
  <c r="EI398" i="98" s="1"/>
  <c r="E398" i="98"/>
  <c r="U398" i="98" s="1"/>
  <c r="D398" i="98"/>
  <c r="N398" i="98" s="1"/>
  <c r="AL398" i="98" s="1"/>
  <c r="B398" i="98"/>
  <c r="CJ397" i="98"/>
  <c r="CH397" i="98"/>
  <c r="CE397" i="98"/>
  <c r="CD397" i="98"/>
  <c r="CC397" i="98"/>
  <c r="CB397" i="98"/>
  <c r="CA397" i="98"/>
  <c r="BA397" i="98"/>
  <c r="EQ397" i="98" s="1"/>
  <c r="F397" i="98"/>
  <c r="EH397" i="98" s="1"/>
  <c r="E397" i="98"/>
  <c r="V397" i="98" s="1"/>
  <c r="D397" i="98"/>
  <c r="C397" i="98"/>
  <c r="EE397" i="98" s="1"/>
  <c r="B397" i="98"/>
  <c r="CJ396" i="98"/>
  <c r="CH396" i="98"/>
  <c r="CE396" i="98"/>
  <c r="CD396" i="98"/>
  <c r="CC396" i="98"/>
  <c r="CB396" i="98"/>
  <c r="CA396" i="98"/>
  <c r="BA396" i="98"/>
  <c r="EQ396" i="98" s="1"/>
  <c r="F396" i="98"/>
  <c r="AD396" i="98" s="1"/>
  <c r="AP396" i="98" s="1"/>
  <c r="E396" i="98"/>
  <c r="V396" i="98" s="1"/>
  <c r="D396" i="98"/>
  <c r="N396" i="98" s="1"/>
  <c r="AL396" i="98" s="1"/>
  <c r="C396" i="98"/>
  <c r="EE396" i="98" s="1"/>
  <c r="B396" i="98"/>
  <c r="CJ395" i="98"/>
  <c r="CH395" i="98"/>
  <c r="CE395" i="98"/>
  <c r="CD395" i="98"/>
  <c r="CC395" i="98"/>
  <c r="CB395" i="98"/>
  <c r="CA395" i="98"/>
  <c r="BA395" i="98"/>
  <c r="EQ395" i="98" s="1"/>
  <c r="F395" i="98"/>
  <c r="EH395" i="98" s="1"/>
  <c r="E395" i="98"/>
  <c r="V395" i="98" s="1"/>
  <c r="D395" i="98"/>
  <c r="N395" i="98" s="1"/>
  <c r="AL395" i="98" s="1"/>
  <c r="C395" i="98"/>
  <c r="EE395" i="98" s="1"/>
  <c r="B395" i="98"/>
  <c r="CJ394" i="98"/>
  <c r="CH394" i="98"/>
  <c r="CE394" i="98"/>
  <c r="CD394" i="98"/>
  <c r="CC394" i="98"/>
  <c r="CB394" i="98"/>
  <c r="CA394" i="98"/>
  <c r="BA394" i="98"/>
  <c r="EQ394" i="98" s="1"/>
  <c r="AW394" i="98"/>
  <c r="EM394" i="98" s="1"/>
  <c r="AS394" i="98"/>
  <c r="EI394" i="98" s="1"/>
  <c r="F394" i="98"/>
  <c r="AC394" i="98" s="1"/>
  <c r="AO394" i="98" s="1"/>
  <c r="E394" i="98"/>
  <c r="V394" i="98" s="1"/>
  <c r="D394" i="98"/>
  <c r="N394" i="98" s="1"/>
  <c r="AL394" i="98" s="1"/>
  <c r="C394" i="98"/>
  <c r="EE394" i="98" s="1"/>
  <c r="B394" i="98"/>
  <c r="CJ393" i="98"/>
  <c r="CH393" i="98"/>
  <c r="CE393" i="98"/>
  <c r="CD393" i="98"/>
  <c r="CC393" i="98"/>
  <c r="CB393" i="98"/>
  <c r="CA393" i="98"/>
  <c r="BA393" i="98"/>
  <c r="EQ393" i="98" s="1"/>
  <c r="AW393" i="98"/>
  <c r="EM393" i="98" s="1"/>
  <c r="AS393" i="98"/>
  <c r="EI393" i="98" s="1"/>
  <c r="F393" i="98"/>
  <c r="EH393" i="98" s="1"/>
  <c r="E393" i="98"/>
  <c r="V393" i="98" s="1"/>
  <c r="D393" i="98"/>
  <c r="N393" i="98" s="1"/>
  <c r="AL393" i="98" s="1"/>
  <c r="C393" i="98"/>
  <c r="EE393" i="98" s="1"/>
  <c r="B393" i="98"/>
  <c r="CJ392" i="98"/>
  <c r="CH392" i="98"/>
  <c r="CE392" i="98"/>
  <c r="CD392" i="98"/>
  <c r="CC392" i="98"/>
  <c r="CB392" i="98"/>
  <c r="CA392" i="98"/>
  <c r="BA392" i="98"/>
  <c r="EQ392" i="98" s="1"/>
  <c r="AW392" i="98"/>
  <c r="EM392" i="98" s="1"/>
  <c r="AS392" i="98"/>
  <c r="EI392" i="98" s="1"/>
  <c r="F392" i="98"/>
  <c r="EH392" i="98" s="1"/>
  <c r="E392" i="98"/>
  <c r="V392" i="98" s="1"/>
  <c r="D392" i="98"/>
  <c r="N392" i="98" s="1"/>
  <c r="AL392" i="98" s="1"/>
  <c r="C392" i="98"/>
  <c r="EE392" i="98" s="1"/>
  <c r="B392" i="98"/>
  <c r="EI391" i="98"/>
  <c r="CJ391" i="98"/>
  <c r="CH391" i="98"/>
  <c r="CE391" i="98"/>
  <c r="CD391" i="98"/>
  <c r="CC391" i="98"/>
  <c r="CB391" i="98"/>
  <c r="CA391" i="98"/>
  <c r="BE391" i="98"/>
  <c r="AW391" i="98"/>
  <c r="EM391" i="98" s="1"/>
  <c r="AV391" i="98"/>
  <c r="BH391" i="98" s="1"/>
  <c r="AU391" i="98"/>
  <c r="EK391" i="98" s="1"/>
  <c r="AT391" i="98"/>
  <c r="BF391" i="98" s="1"/>
  <c r="B391" i="98"/>
  <c r="CJ390" i="98"/>
  <c r="CH390" i="98"/>
  <c r="CE390" i="98"/>
  <c r="CD390" i="98"/>
  <c r="CC390" i="98"/>
  <c r="CB390" i="98"/>
  <c r="CA390" i="98"/>
  <c r="BA390" i="98"/>
  <c r="EQ390" i="98" s="1"/>
  <c r="AW390" i="98"/>
  <c r="BI390" i="98" s="1"/>
  <c r="AS390" i="98"/>
  <c r="BE390" i="98" s="1"/>
  <c r="F390" i="98"/>
  <c r="EH390" i="98" s="1"/>
  <c r="E390" i="98"/>
  <c r="X390" i="98" s="1"/>
  <c r="D390" i="98"/>
  <c r="M390" i="98" s="1"/>
  <c r="AK390" i="98" s="1"/>
  <c r="C390" i="98"/>
  <c r="EE390" i="98" s="1"/>
  <c r="B390" i="98"/>
  <c r="CJ389" i="98"/>
  <c r="CH389" i="98"/>
  <c r="CE389" i="98"/>
  <c r="CD389" i="98"/>
  <c r="CC389" i="98"/>
  <c r="CB389" i="98"/>
  <c r="CA389" i="98"/>
  <c r="BA389" i="98"/>
  <c r="EQ389" i="98" s="1"/>
  <c r="AW389" i="98"/>
  <c r="BI389" i="98" s="1"/>
  <c r="AS389" i="98"/>
  <c r="BE389" i="98" s="1"/>
  <c r="F389" i="98"/>
  <c r="EH389" i="98" s="1"/>
  <c r="E389" i="98"/>
  <c r="EG389" i="98" s="1"/>
  <c r="D389" i="98"/>
  <c r="M389" i="98" s="1"/>
  <c r="AK389" i="98" s="1"/>
  <c r="C389" i="98"/>
  <c r="EE389" i="98" s="1"/>
  <c r="B389" i="98"/>
  <c r="CJ388" i="98"/>
  <c r="CH388" i="98"/>
  <c r="CE388" i="98"/>
  <c r="CD388" i="98"/>
  <c r="CC388" i="98"/>
  <c r="CB388" i="98"/>
  <c r="CA388" i="98"/>
  <c r="BA388" i="98"/>
  <c r="EQ388" i="98" s="1"/>
  <c r="AW388" i="98"/>
  <c r="BI388" i="98" s="1"/>
  <c r="AS388" i="98"/>
  <c r="BE388" i="98" s="1"/>
  <c r="F388" i="98"/>
  <c r="EH388" i="98" s="1"/>
  <c r="E388" i="98"/>
  <c r="X388" i="98" s="1"/>
  <c r="D388" i="98"/>
  <c r="M388" i="98" s="1"/>
  <c r="AK388" i="98" s="1"/>
  <c r="C388" i="98"/>
  <c r="EE388" i="98" s="1"/>
  <c r="B388" i="98"/>
  <c r="CJ387" i="98"/>
  <c r="CH387" i="98"/>
  <c r="CE387" i="98"/>
  <c r="CD387" i="98"/>
  <c r="CC387" i="98"/>
  <c r="CB387" i="98"/>
  <c r="CA387" i="98"/>
  <c r="BA387" i="98"/>
  <c r="EQ387" i="98" s="1"/>
  <c r="AW387" i="98"/>
  <c r="BI387" i="98" s="1"/>
  <c r="AS387" i="98"/>
  <c r="BE387" i="98" s="1"/>
  <c r="F387" i="98"/>
  <c r="EH387" i="98" s="1"/>
  <c r="E387" i="98"/>
  <c r="EG387" i="98" s="1"/>
  <c r="D387" i="98"/>
  <c r="M387" i="98" s="1"/>
  <c r="AK387" i="98" s="1"/>
  <c r="C387" i="98"/>
  <c r="EE387" i="98" s="1"/>
  <c r="B387" i="98"/>
  <c r="CJ386" i="98"/>
  <c r="CH386" i="98"/>
  <c r="CE386" i="98"/>
  <c r="CD386" i="98"/>
  <c r="CC386" i="98"/>
  <c r="CB386" i="98"/>
  <c r="CA386" i="98"/>
  <c r="BA386" i="98"/>
  <c r="EQ386" i="98" s="1"/>
  <c r="AW386" i="98"/>
  <c r="BI386" i="98" s="1"/>
  <c r="AS386" i="98"/>
  <c r="BE386" i="98" s="1"/>
  <c r="F386" i="98"/>
  <c r="EH386" i="98" s="1"/>
  <c r="E386" i="98"/>
  <c r="X386" i="98" s="1"/>
  <c r="D386" i="98"/>
  <c r="M386" i="98" s="1"/>
  <c r="AK386" i="98" s="1"/>
  <c r="C386" i="98"/>
  <c r="EE386" i="98" s="1"/>
  <c r="B386" i="98"/>
  <c r="CJ385" i="98"/>
  <c r="CH385" i="98"/>
  <c r="CE385" i="98"/>
  <c r="CD385" i="98"/>
  <c r="CC385" i="98"/>
  <c r="CB385" i="98"/>
  <c r="CA385" i="98"/>
  <c r="BA385" i="98"/>
  <c r="EQ385" i="98" s="1"/>
  <c r="AX385" i="98"/>
  <c r="EN385" i="98" s="1"/>
  <c r="AW385" i="98"/>
  <c r="BI385" i="98" s="1"/>
  <c r="AS385" i="98"/>
  <c r="BE385" i="98" s="1"/>
  <c r="F385" i="98"/>
  <c r="EH385" i="98" s="1"/>
  <c r="E385" i="98"/>
  <c r="EG385" i="98" s="1"/>
  <c r="D385" i="98"/>
  <c r="M385" i="98" s="1"/>
  <c r="AK385" i="98" s="1"/>
  <c r="C385" i="98"/>
  <c r="EE385" i="98" s="1"/>
  <c r="B385" i="98"/>
  <c r="CJ384" i="98"/>
  <c r="CH384" i="98"/>
  <c r="CE384" i="98"/>
  <c r="CD384" i="98"/>
  <c r="CC384" i="98"/>
  <c r="CB384" i="98"/>
  <c r="CA384" i="98"/>
  <c r="BA384" i="98"/>
  <c r="EQ384" i="98" s="1"/>
  <c r="AW384" i="98"/>
  <c r="BI384" i="98" s="1"/>
  <c r="AS384" i="98"/>
  <c r="BE384" i="98" s="1"/>
  <c r="F384" i="98"/>
  <c r="EH384" i="98" s="1"/>
  <c r="E384" i="98"/>
  <c r="X384" i="98" s="1"/>
  <c r="D384" i="98"/>
  <c r="M384" i="98" s="1"/>
  <c r="AK384" i="98" s="1"/>
  <c r="C384" i="98"/>
  <c r="EE384" i="98" s="1"/>
  <c r="B384" i="98"/>
  <c r="CJ383" i="98"/>
  <c r="CH383" i="98"/>
  <c r="CE383" i="98"/>
  <c r="CD383" i="98"/>
  <c r="CC383" i="98"/>
  <c r="CB383" i="98"/>
  <c r="CA383" i="98"/>
  <c r="BA383" i="98"/>
  <c r="EQ383" i="98" s="1"/>
  <c r="AW383" i="98"/>
  <c r="BI383" i="98" s="1"/>
  <c r="AS383" i="98"/>
  <c r="BE383" i="98" s="1"/>
  <c r="F383" i="98"/>
  <c r="EH383" i="98" s="1"/>
  <c r="E383" i="98"/>
  <c r="U383" i="98" s="1"/>
  <c r="D383" i="98"/>
  <c r="M383" i="98" s="1"/>
  <c r="AK383" i="98" s="1"/>
  <c r="C383" i="98"/>
  <c r="EE383" i="98" s="1"/>
  <c r="B383" i="98"/>
  <c r="CJ382" i="98"/>
  <c r="CH382" i="98"/>
  <c r="CE382" i="98"/>
  <c r="CD382" i="98"/>
  <c r="CC382" i="98"/>
  <c r="CB382" i="98"/>
  <c r="CA382" i="98"/>
  <c r="BA382" i="98"/>
  <c r="EQ382" i="98" s="1"/>
  <c r="AW382" i="98"/>
  <c r="BI382" i="98" s="1"/>
  <c r="AS382" i="98"/>
  <c r="BE382" i="98" s="1"/>
  <c r="F382" i="98"/>
  <c r="EH382" i="98" s="1"/>
  <c r="E382" i="98"/>
  <c r="U382" i="98" s="1"/>
  <c r="D382" i="98"/>
  <c r="M382" i="98" s="1"/>
  <c r="AK382" i="98" s="1"/>
  <c r="C382" i="98"/>
  <c r="EE382" i="98" s="1"/>
  <c r="B382" i="98"/>
  <c r="EL381" i="98"/>
  <c r="EK381" i="98"/>
  <c r="EJ381" i="98"/>
  <c r="EI381" i="98"/>
  <c r="CJ381" i="98"/>
  <c r="CH381" i="98"/>
  <c r="CE381" i="98"/>
  <c r="CD381" i="98"/>
  <c r="CC381" i="98"/>
  <c r="CB381" i="98"/>
  <c r="CA381" i="98"/>
  <c r="BH381" i="98"/>
  <c r="BG381" i="98"/>
  <c r="BF381" i="98"/>
  <c r="BE381" i="98"/>
  <c r="AW381" i="98"/>
  <c r="BI381" i="98" s="1"/>
  <c r="B381" i="98"/>
  <c r="CJ380" i="98"/>
  <c r="CH380" i="98"/>
  <c r="CE380" i="98"/>
  <c r="CD380" i="98"/>
  <c r="CC380" i="98"/>
  <c r="CB380" i="98"/>
  <c r="BC380" i="98"/>
  <c r="ES380" i="98" s="1"/>
  <c r="BI380" i="98"/>
  <c r="BE380" i="98"/>
  <c r="EH380" i="98"/>
  <c r="U380" i="98"/>
  <c r="EE380" i="98"/>
  <c r="B380" i="98"/>
  <c r="CJ379" i="98"/>
  <c r="CH379" i="98"/>
  <c r="CE379" i="98"/>
  <c r="CD379" i="98"/>
  <c r="CC379" i="98"/>
  <c r="CB379" i="98"/>
  <c r="CA379" i="98"/>
  <c r="BA379" i="98"/>
  <c r="EQ379" i="98" s="1"/>
  <c r="AW379" i="98"/>
  <c r="BI379" i="98" s="1"/>
  <c r="AS379" i="98"/>
  <c r="BE379" i="98" s="1"/>
  <c r="F379" i="98"/>
  <c r="EH379" i="98" s="1"/>
  <c r="E379" i="98"/>
  <c r="X379" i="98" s="1"/>
  <c r="D379" i="98"/>
  <c r="P379" i="98" s="1"/>
  <c r="AN379" i="98" s="1"/>
  <c r="C379" i="98"/>
  <c r="EE379" i="98" s="1"/>
  <c r="B379" i="98"/>
  <c r="CJ378" i="98"/>
  <c r="CH378" i="98"/>
  <c r="CE378" i="98"/>
  <c r="CD378" i="98"/>
  <c r="CC378" i="98"/>
  <c r="CB378" i="98"/>
  <c r="CA378" i="98"/>
  <c r="BA378" i="98"/>
  <c r="EQ378" i="98" s="1"/>
  <c r="AW378" i="98"/>
  <c r="BI378" i="98" s="1"/>
  <c r="AS378" i="98"/>
  <c r="BE378" i="98" s="1"/>
  <c r="F378" i="98"/>
  <c r="EH378" i="98" s="1"/>
  <c r="E378" i="98"/>
  <c r="U378" i="98" s="1"/>
  <c r="D378" i="98"/>
  <c r="P378" i="98" s="1"/>
  <c r="AN378" i="98" s="1"/>
  <c r="C378" i="98"/>
  <c r="EE378" i="98" s="1"/>
  <c r="B378" i="98"/>
  <c r="CJ377" i="98"/>
  <c r="CH377" i="98"/>
  <c r="CE377" i="98"/>
  <c r="CD377" i="98"/>
  <c r="CC377" i="98"/>
  <c r="CB377" i="98"/>
  <c r="CA377" i="98"/>
  <c r="BA377" i="98"/>
  <c r="EQ377" i="98" s="1"/>
  <c r="AW377" i="98"/>
  <c r="BI377" i="98" s="1"/>
  <c r="AS377" i="98"/>
  <c r="BE377" i="98" s="1"/>
  <c r="F377" i="98"/>
  <c r="EH377" i="98" s="1"/>
  <c r="E377" i="98"/>
  <c r="X377" i="98" s="1"/>
  <c r="D377" i="98"/>
  <c r="P377" i="98" s="1"/>
  <c r="AN377" i="98" s="1"/>
  <c r="C377" i="98"/>
  <c r="EE377" i="98" s="1"/>
  <c r="B377" i="98"/>
  <c r="CJ376" i="98"/>
  <c r="CH376" i="98"/>
  <c r="CE376" i="98"/>
  <c r="CD376" i="98"/>
  <c r="CC376" i="98"/>
  <c r="CB376" i="98"/>
  <c r="CA376" i="98"/>
  <c r="BA376" i="98"/>
  <c r="EQ376" i="98" s="1"/>
  <c r="AW376" i="98"/>
  <c r="AS376" i="98"/>
  <c r="F376" i="98"/>
  <c r="EH376" i="98" s="1"/>
  <c r="E376" i="98"/>
  <c r="D376" i="98"/>
  <c r="P376" i="98" s="1"/>
  <c r="AN376" i="98" s="1"/>
  <c r="C376" i="98"/>
  <c r="EE376" i="98" s="1"/>
  <c r="B376" i="98"/>
  <c r="CJ375" i="98"/>
  <c r="CH375" i="98"/>
  <c r="CE375" i="98"/>
  <c r="CD375" i="98"/>
  <c r="CC375" i="98"/>
  <c r="CB375" i="98"/>
  <c r="CA375" i="98"/>
  <c r="BA375" i="98"/>
  <c r="EQ375" i="98" s="1"/>
  <c r="AW375" i="98"/>
  <c r="BI375" i="98" s="1"/>
  <c r="AS375" i="98"/>
  <c r="BE375" i="98" s="1"/>
  <c r="F375" i="98"/>
  <c r="EH375" i="98" s="1"/>
  <c r="E375" i="98"/>
  <c r="X375" i="98" s="1"/>
  <c r="D375" i="98"/>
  <c r="P375" i="98" s="1"/>
  <c r="AN375" i="98" s="1"/>
  <c r="C375" i="98"/>
  <c r="EE375" i="98" s="1"/>
  <c r="B375" i="98"/>
  <c r="DI374" i="98"/>
  <c r="DH374" i="98"/>
  <c r="DG374" i="98"/>
  <c r="DF374" i="98"/>
  <c r="AS374" i="98" s="1"/>
  <c r="CJ374" i="98"/>
  <c r="CH374" i="98"/>
  <c r="CE374" i="98"/>
  <c r="CD374" i="98"/>
  <c r="CC374" i="98"/>
  <c r="CB374" i="98"/>
  <c r="CA374" i="98"/>
  <c r="BA374" i="98"/>
  <c r="EQ374" i="98" s="1"/>
  <c r="F374" i="98"/>
  <c r="E374" i="98"/>
  <c r="D374" i="98"/>
  <c r="R194" i="1" s="1"/>
  <c r="C374" i="98"/>
  <c r="EE374" i="98" s="1"/>
  <c r="B374" i="98"/>
  <c r="CJ373" i="98"/>
  <c r="CH373" i="98"/>
  <c r="CE373" i="98"/>
  <c r="CD373" i="98"/>
  <c r="CC373" i="98"/>
  <c r="CB373" i="98"/>
  <c r="CA373" i="98"/>
  <c r="BA373" i="98"/>
  <c r="EQ373" i="98" s="1"/>
  <c r="F373" i="98"/>
  <c r="EH373" i="98" s="1"/>
  <c r="E373" i="98"/>
  <c r="U373" i="98" s="1"/>
  <c r="D373" i="98"/>
  <c r="M373" i="98" s="1"/>
  <c r="AK373" i="98" s="1"/>
  <c r="C373" i="98"/>
  <c r="EE373" i="98" s="1"/>
  <c r="B373" i="98"/>
  <c r="CJ372" i="98"/>
  <c r="CH372" i="98"/>
  <c r="CE372" i="98"/>
  <c r="CD372" i="98"/>
  <c r="CC372" i="98"/>
  <c r="CB372" i="98"/>
  <c r="CA372" i="98"/>
  <c r="BA372" i="98"/>
  <c r="EQ372" i="98" s="1"/>
  <c r="AW372" i="98"/>
  <c r="BI372" i="98" s="1"/>
  <c r="AS372" i="98"/>
  <c r="BE372" i="98" s="1"/>
  <c r="F372" i="98"/>
  <c r="EH372" i="98" s="1"/>
  <c r="E372" i="98"/>
  <c r="EG372" i="98" s="1"/>
  <c r="D372" i="98"/>
  <c r="P372" i="98" s="1"/>
  <c r="AN372" i="98" s="1"/>
  <c r="C372" i="98"/>
  <c r="EE372" i="98" s="1"/>
  <c r="B372" i="98"/>
  <c r="DI371" i="98"/>
  <c r="DH371" i="98"/>
  <c r="DG371" i="98"/>
  <c r="DF371" i="98"/>
  <c r="AS371" i="98" s="1"/>
  <c r="CJ371" i="98"/>
  <c r="CH371" i="98"/>
  <c r="CE371" i="98"/>
  <c r="CD371" i="98"/>
  <c r="CC371" i="98"/>
  <c r="CB371" i="98"/>
  <c r="CA371" i="98"/>
  <c r="BA371" i="98"/>
  <c r="EQ371" i="98" s="1"/>
  <c r="F371" i="98"/>
  <c r="E371" i="98"/>
  <c r="X371" i="98" s="1"/>
  <c r="D371" i="98"/>
  <c r="R193" i="1" s="1"/>
  <c r="C371" i="98"/>
  <c r="EE371" i="98" s="1"/>
  <c r="B371" i="98"/>
  <c r="CJ370" i="98"/>
  <c r="CH370" i="98"/>
  <c r="CE370" i="98"/>
  <c r="CD370" i="98"/>
  <c r="CC370" i="98"/>
  <c r="CB370" i="98"/>
  <c r="CA370" i="98"/>
  <c r="BA370" i="98"/>
  <c r="EQ370" i="98" s="1"/>
  <c r="AW370" i="98"/>
  <c r="BI370" i="98" s="1"/>
  <c r="AS370" i="98"/>
  <c r="BE370" i="98" s="1"/>
  <c r="F370" i="98"/>
  <c r="EH370" i="98" s="1"/>
  <c r="E370" i="98"/>
  <c r="D370" i="98"/>
  <c r="M370" i="98" s="1"/>
  <c r="AK370" i="98" s="1"/>
  <c r="C370" i="98"/>
  <c r="EE370" i="98" s="1"/>
  <c r="B370" i="98"/>
  <c r="CJ369" i="98"/>
  <c r="CH369" i="98"/>
  <c r="CE369" i="98"/>
  <c r="CD369" i="98"/>
  <c r="CC369" i="98"/>
  <c r="CB369" i="98"/>
  <c r="CA369" i="98"/>
  <c r="BA369" i="98"/>
  <c r="EQ369" i="98" s="1"/>
  <c r="AW369" i="98"/>
  <c r="BI369" i="98" s="1"/>
  <c r="AS369" i="98"/>
  <c r="BE369" i="98" s="1"/>
  <c r="F369" i="98"/>
  <c r="EH369" i="98" s="1"/>
  <c r="E369" i="98"/>
  <c r="X369" i="98" s="1"/>
  <c r="D369" i="98"/>
  <c r="P369" i="98" s="1"/>
  <c r="AN369" i="98" s="1"/>
  <c r="C369" i="98"/>
  <c r="EE369" i="98" s="1"/>
  <c r="B369" i="98"/>
  <c r="CJ368" i="98"/>
  <c r="CH368" i="98"/>
  <c r="CE368" i="98"/>
  <c r="CD368" i="98"/>
  <c r="CC368" i="98"/>
  <c r="CB368" i="98"/>
  <c r="CA368" i="98"/>
  <c r="BA368" i="98"/>
  <c r="EQ368" i="98" s="1"/>
  <c r="AW368" i="98"/>
  <c r="AS368" i="98"/>
  <c r="BE368" i="98" s="1"/>
  <c r="F368" i="98"/>
  <c r="EH368" i="98" s="1"/>
  <c r="E368" i="98"/>
  <c r="U368" i="98" s="1"/>
  <c r="D368" i="98"/>
  <c r="P368" i="98" s="1"/>
  <c r="AN368" i="98" s="1"/>
  <c r="C368" i="98"/>
  <c r="EE368" i="98" s="1"/>
  <c r="B368" i="98"/>
  <c r="EI367" i="98"/>
  <c r="CJ367" i="98"/>
  <c r="CH367" i="98"/>
  <c r="CE367" i="98"/>
  <c r="CD367" i="98"/>
  <c r="CC367" i="98"/>
  <c r="CB367" i="98"/>
  <c r="CA367" i="98"/>
  <c r="BE367" i="98"/>
  <c r="BA367" i="98"/>
  <c r="EQ367" i="98" s="1"/>
  <c r="AW367" i="98"/>
  <c r="BI367" i="98" s="1"/>
  <c r="AV367" i="98"/>
  <c r="EL367" i="98" s="1"/>
  <c r="AU367" i="98"/>
  <c r="AT367" i="98"/>
  <c r="EJ367" i="98" s="1"/>
  <c r="F367" i="98"/>
  <c r="AE367" i="98" s="1"/>
  <c r="AQ367" i="98" s="1"/>
  <c r="E367" i="98"/>
  <c r="D367" i="98"/>
  <c r="C367" i="98"/>
  <c r="EE367" i="98" s="1"/>
  <c r="B367" i="98"/>
  <c r="CJ366" i="98"/>
  <c r="CH366" i="98"/>
  <c r="CE366" i="98"/>
  <c r="CD366" i="98"/>
  <c r="CC366" i="98"/>
  <c r="CB366" i="98"/>
  <c r="CA366" i="98"/>
  <c r="BA366" i="98"/>
  <c r="EQ366" i="98" s="1"/>
  <c r="AY366" i="98"/>
  <c r="EO366" i="98" s="1"/>
  <c r="AW366" i="98"/>
  <c r="AZ366" i="98" s="1"/>
  <c r="AS366" i="98"/>
  <c r="AV366" i="98" s="1"/>
  <c r="E366" i="98"/>
  <c r="EG366" i="98" s="1"/>
  <c r="D366" i="98"/>
  <c r="C366" i="98"/>
  <c r="EE366" i="98" s="1"/>
  <c r="B366" i="98"/>
  <c r="CJ365" i="98"/>
  <c r="CH365" i="98"/>
  <c r="CE365" i="98"/>
  <c r="CD365" i="98"/>
  <c r="CC365" i="98"/>
  <c r="CB365" i="98"/>
  <c r="CA365" i="98"/>
  <c r="BA365" i="98"/>
  <c r="EQ365" i="98" s="1"/>
  <c r="AW365" i="98"/>
  <c r="AZ365" i="98" s="1"/>
  <c r="AS365" i="98"/>
  <c r="AV365" i="98" s="1"/>
  <c r="F365" i="98"/>
  <c r="AF365" i="98" s="1"/>
  <c r="AR365" i="98" s="1"/>
  <c r="E365" i="98"/>
  <c r="EG365" i="98" s="1"/>
  <c r="D365" i="98"/>
  <c r="P365" i="98" s="1"/>
  <c r="AN365" i="98" s="1"/>
  <c r="C365" i="98"/>
  <c r="EE365" i="98" s="1"/>
  <c r="B365" i="98"/>
  <c r="CJ364" i="98"/>
  <c r="CH364" i="98"/>
  <c r="CE364" i="98"/>
  <c r="CD364" i="98"/>
  <c r="CC364" i="98"/>
  <c r="CB364" i="98"/>
  <c r="CA364" i="98"/>
  <c r="BA364" i="98"/>
  <c r="EQ364" i="98" s="1"/>
  <c r="AW364" i="98"/>
  <c r="AS364" i="98"/>
  <c r="AV364" i="98" s="1"/>
  <c r="F364" i="98"/>
  <c r="AF364" i="98" s="1"/>
  <c r="AR364" i="98" s="1"/>
  <c r="E364" i="98"/>
  <c r="EG364" i="98" s="1"/>
  <c r="D364" i="98"/>
  <c r="O364" i="98" s="1"/>
  <c r="AM364" i="98" s="1"/>
  <c r="C364" i="98"/>
  <c r="EE364" i="98" s="1"/>
  <c r="B364" i="98"/>
  <c r="EI363" i="98"/>
  <c r="CJ363" i="98"/>
  <c r="CH363" i="98"/>
  <c r="CE363" i="98"/>
  <c r="CD363" i="98"/>
  <c r="CC363" i="98"/>
  <c r="CB363" i="98"/>
  <c r="CA363" i="98"/>
  <c r="BE363" i="98"/>
  <c r="BA363" i="98"/>
  <c r="EQ363" i="98" s="1"/>
  <c r="AW363" i="98"/>
  <c r="AZ363" i="98" s="1"/>
  <c r="AV363" i="98"/>
  <c r="BH363" i="98" s="1"/>
  <c r="AU363" i="98"/>
  <c r="EK363" i="98" s="1"/>
  <c r="AT363" i="98"/>
  <c r="BF363" i="98" s="1"/>
  <c r="F363" i="98"/>
  <c r="AD363" i="98" s="1"/>
  <c r="AP363" i="98" s="1"/>
  <c r="E363" i="98"/>
  <c r="D363" i="98"/>
  <c r="C363" i="98"/>
  <c r="EE363" i="98" s="1"/>
  <c r="B363" i="98"/>
  <c r="CJ362" i="98"/>
  <c r="CH362" i="98"/>
  <c r="CE362" i="98"/>
  <c r="CD362" i="98"/>
  <c r="CC362" i="98"/>
  <c r="CB362" i="98"/>
  <c r="CA362" i="98"/>
  <c r="BA362" i="98"/>
  <c r="EQ362" i="98" s="1"/>
  <c r="AW362" i="98"/>
  <c r="AY362" i="98" s="1"/>
  <c r="AS362" i="98"/>
  <c r="AU362" i="98" s="1"/>
  <c r="F362" i="98"/>
  <c r="AD362" i="98" s="1"/>
  <c r="AP362" i="98" s="1"/>
  <c r="E362" i="98"/>
  <c r="W362" i="98" s="1"/>
  <c r="D362" i="98"/>
  <c r="EF362" i="98" s="1"/>
  <c r="C362" i="98"/>
  <c r="EE362" i="98" s="1"/>
  <c r="B362" i="98"/>
  <c r="CY361" i="98"/>
  <c r="CJ361" i="98"/>
  <c r="CH361" i="98"/>
  <c r="CE361" i="98"/>
  <c r="CD361" i="98"/>
  <c r="CC361" i="98"/>
  <c r="CB361" i="98"/>
  <c r="CA361" i="98"/>
  <c r="W361" i="98"/>
  <c r="EF361" i="98"/>
  <c r="EE361" i="98"/>
  <c r="B361" i="98"/>
  <c r="CJ360" i="98"/>
  <c r="CH360" i="98"/>
  <c r="CE360" i="98"/>
  <c r="CD360" i="98"/>
  <c r="CC360" i="98"/>
  <c r="CB360" i="98"/>
  <c r="CA360" i="98"/>
  <c r="BA360" i="98"/>
  <c r="EQ360" i="98" s="1"/>
  <c r="AW360" i="98"/>
  <c r="AY360" i="98" s="1"/>
  <c r="AS360" i="98"/>
  <c r="AU360" i="98" s="1"/>
  <c r="F360" i="98"/>
  <c r="AD360" i="98" s="1"/>
  <c r="AP360" i="98" s="1"/>
  <c r="E360" i="98"/>
  <c r="W360" i="98" s="1"/>
  <c r="D360" i="98"/>
  <c r="EF360" i="98" s="1"/>
  <c r="C360" i="98"/>
  <c r="EE360" i="98" s="1"/>
  <c r="B360" i="98"/>
  <c r="CJ359" i="98"/>
  <c r="CH359" i="98"/>
  <c r="CE359" i="98"/>
  <c r="CD359" i="98"/>
  <c r="CC359" i="98"/>
  <c r="CB359" i="98"/>
  <c r="CA359" i="98"/>
  <c r="BA359" i="98"/>
  <c r="EQ359" i="98" s="1"/>
  <c r="AW359" i="98"/>
  <c r="AS359" i="98"/>
  <c r="AU359" i="98" s="1"/>
  <c r="F359" i="98"/>
  <c r="AD359" i="98" s="1"/>
  <c r="AP359" i="98" s="1"/>
  <c r="E359" i="98"/>
  <c r="W359" i="98" s="1"/>
  <c r="D359" i="98"/>
  <c r="EF359" i="98" s="1"/>
  <c r="C359" i="98"/>
  <c r="EE359" i="98" s="1"/>
  <c r="B359" i="98"/>
  <c r="DI358" i="98"/>
  <c r="DH358" i="98"/>
  <c r="DG358" i="98"/>
  <c r="DF358" i="98"/>
  <c r="CH358" i="98"/>
  <c r="CE358" i="98"/>
  <c r="CD358" i="98"/>
  <c r="CC358" i="98"/>
  <c r="CB358" i="98"/>
  <c r="CA358" i="98"/>
  <c r="EQ358" i="98"/>
  <c r="AY358" i="98"/>
  <c r="AU358" i="98"/>
  <c r="W358" i="98"/>
  <c r="EF358" i="98"/>
  <c r="EE358" i="98"/>
  <c r="B358" i="98"/>
  <c r="CJ357" i="98"/>
  <c r="CH357" i="98"/>
  <c r="CE357" i="98"/>
  <c r="CD357" i="98"/>
  <c r="CC357" i="98"/>
  <c r="CB357" i="98"/>
  <c r="CA357" i="98"/>
  <c r="BA357" i="98"/>
  <c r="EQ357" i="98" s="1"/>
  <c r="AW357" i="98"/>
  <c r="AY357" i="98" s="1"/>
  <c r="AS357" i="98"/>
  <c r="AU357" i="98" s="1"/>
  <c r="F357" i="98"/>
  <c r="AE357" i="98" s="1"/>
  <c r="AQ357" i="98" s="1"/>
  <c r="E357" i="98"/>
  <c r="D357" i="98"/>
  <c r="EF357" i="98" s="1"/>
  <c r="C357" i="98"/>
  <c r="EE357" i="98" s="1"/>
  <c r="B357" i="98"/>
  <c r="CJ356" i="98"/>
  <c r="CH356" i="98"/>
  <c r="CE356" i="98"/>
  <c r="CD356" i="98"/>
  <c r="CC356" i="98"/>
  <c r="CB356" i="98"/>
  <c r="CA356" i="98"/>
  <c r="BA356" i="98"/>
  <c r="EQ356" i="98" s="1"/>
  <c r="AW356" i="98"/>
  <c r="AY356" i="98" s="1"/>
  <c r="AS356" i="98"/>
  <c r="AU356" i="98" s="1"/>
  <c r="F356" i="98"/>
  <c r="AD356" i="98" s="1"/>
  <c r="AP356" i="98" s="1"/>
  <c r="E356" i="98"/>
  <c r="W356" i="98" s="1"/>
  <c r="D356" i="98"/>
  <c r="EF356" i="98" s="1"/>
  <c r="C356" i="98"/>
  <c r="EE356" i="98" s="1"/>
  <c r="B356" i="98"/>
  <c r="CJ355" i="98"/>
  <c r="CH355" i="98"/>
  <c r="CE355" i="98"/>
  <c r="CD355" i="98"/>
  <c r="CC355" i="98"/>
  <c r="CB355" i="98"/>
  <c r="CA355" i="98"/>
  <c r="BA355" i="98"/>
  <c r="EQ355" i="98" s="1"/>
  <c r="AW355" i="98"/>
  <c r="AY355" i="98" s="1"/>
  <c r="AS355" i="98"/>
  <c r="AU355" i="98" s="1"/>
  <c r="F355" i="98"/>
  <c r="AE355" i="98" s="1"/>
  <c r="AQ355" i="98" s="1"/>
  <c r="E355" i="98"/>
  <c r="D355" i="98"/>
  <c r="EF355" i="98" s="1"/>
  <c r="C355" i="98"/>
  <c r="EE355" i="98" s="1"/>
  <c r="B355" i="98"/>
  <c r="CJ354" i="98"/>
  <c r="CH354" i="98"/>
  <c r="CE354" i="98"/>
  <c r="CD354" i="98"/>
  <c r="CC354" i="98"/>
  <c r="CB354" i="98"/>
  <c r="CA354" i="98"/>
  <c r="BA354" i="98"/>
  <c r="EQ354" i="98" s="1"/>
  <c r="AW354" i="98"/>
  <c r="AY354" i="98" s="1"/>
  <c r="AS354" i="98"/>
  <c r="AU354" i="98" s="1"/>
  <c r="F354" i="98"/>
  <c r="AD354" i="98" s="1"/>
  <c r="AP354" i="98" s="1"/>
  <c r="E354" i="98"/>
  <c r="W354" i="98" s="1"/>
  <c r="D354" i="98"/>
  <c r="EF354" i="98" s="1"/>
  <c r="C354" i="98"/>
  <c r="EE354" i="98" s="1"/>
  <c r="B354" i="98"/>
  <c r="CJ353" i="98"/>
  <c r="CH353" i="98"/>
  <c r="CE353" i="98"/>
  <c r="CD353" i="98"/>
  <c r="CC353" i="98"/>
  <c r="CB353" i="98"/>
  <c r="CA353" i="98"/>
  <c r="BA353" i="98"/>
  <c r="EQ353" i="98" s="1"/>
  <c r="AW353" i="98"/>
  <c r="AY353" i="98" s="1"/>
  <c r="AS353" i="98"/>
  <c r="AU353" i="98" s="1"/>
  <c r="F353" i="98"/>
  <c r="AE353" i="98" s="1"/>
  <c r="AQ353" i="98" s="1"/>
  <c r="E353" i="98"/>
  <c r="W353" i="98" s="1"/>
  <c r="D353" i="98"/>
  <c r="N353" i="98" s="1"/>
  <c r="AL353" i="98" s="1"/>
  <c r="C353" i="98"/>
  <c r="EE353" i="98" s="1"/>
  <c r="B353" i="98"/>
  <c r="CJ352" i="98"/>
  <c r="CH352" i="98"/>
  <c r="CE352" i="98"/>
  <c r="CD352" i="98"/>
  <c r="CC352" i="98"/>
  <c r="CB352" i="98"/>
  <c r="CA352" i="98"/>
  <c r="BA352" i="98"/>
  <c r="EQ352" i="98" s="1"/>
  <c r="AW352" i="98"/>
  <c r="AY352" i="98" s="1"/>
  <c r="AS352" i="98"/>
  <c r="AU352" i="98" s="1"/>
  <c r="V352" i="98"/>
  <c r="F352" i="98"/>
  <c r="AD352" i="98" s="1"/>
  <c r="AP352" i="98" s="1"/>
  <c r="E352" i="98"/>
  <c r="W352" i="98" s="1"/>
  <c r="D352" i="98"/>
  <c r="C352" i="98"/>
  <c r="EE352" i="98" s="1"/>
  <c r="B352" i="98"/>
  <c r="CJ351" i="98"/>
  <c r="CH351" i="98"/>
  <c r="CE351" i="98"/>
  <c r="CD351" i="98"/>
  <c r="CC351" i="98"/>
  <c r="CB351" i="98"/>
  <c r="CA351" i="98"/>
  <c r="BA351" i="98"/>
  <c r="EQ351" i="98" s="1"/>
  <c r="AW351" i="98"/>
  <c r="AS351" i="98"/>
  <c r="AU351" i="98" s="1"/>
  <c r="F351" i="98"/>
  <c r="AE351" i="98" s="1"/>
  <c r="AQ351" i="98" s="1"/>
  <c r="E351" i="98"/>
  <c r="W351" i="98" s="1"/>
  <c r="D351" i="98"/>
  <c r="N351" i="98" s="1"/>
  <c r="AL351" i="98" s="1"/>
  <c r="C351" i="98"/>
  <c r="EE351" i="98" s="1"/>
  <c r="B351" i="98"/>
  <c r="CJ350" i="98"/>
  <c r="CH350" i="98"/>
  <c r="CE350" i="98"/>
  <c r="CD350" i="98"/>
  <c r="CC350" i="98"/>
  <c r="CB350" i="98"/>
  <c r="CA350" i="98"/>
  <c r="BA350" i="98"/>
  <c r="EQ350" i="98" s="1"/>
  <c r="AW350" i="98"/>
  <c r="AY350" i="98" s="1"/>
  <c r="AS350" i="98"/>
  <c r="AU350" i="98" s="1"/>
  <c r="F350" i="98"/>
  <c r="AE350" i="98" s="1"/>
  <c r="AQ350" i="98" s="1"/>
  <c r="E350" i="98"/>
  <c r="V350" i="98" s="1"/>
  <c r="D350" i="98"/>
  <c r="C350" i="98"/>
  <c r="EE350" i="98" s="1"/>
  <c r="B350" i="98"/>
  <c r="CJ349" i="98"/>
  <c r="CH349" i="98"/>
  <c r="CE349" i="98"/>
  <c r="CD349" i="98"/>
  <c r="CC349" i="98"/>
  <c r="CB349" i="98"/>
  <c r="CA349" i="98"/>
  <c r="BA349" i="98"/>
  <c r="EQ349" i="98" s="1"/>
  <c r="AW349" i="98"/>
  <c r="AY349" i="98" s="1"/>
  <c r="AS349" i="98"/>
  <c r="AU349" i="98" s="1"/>
  <c r="F349" i="98"/>
  <c r="AE349" i="98" s="1"/>
  <c r="AQ349" i="98" s="1"/>
  <c r="E349" i="98"/>
  <c r="W349" i="98" s="1"/>
  <c r="D349" i="98"/>
  <c r="N349" i="98" s="1"/>
  <c r="AL349" i="98" s="1"/>
  <c r="C349" i="98"/>
  <c r="EE349" i="98" s="1"/>
  <c r="B349" i="98"/>
  <c r="CJ348" i="98"/>
  <c r="CH348" i="98"/>
  <c r="CE348" i="98"/>
  <c r="CD348" i="98"/>
  <c r="CC348" i="98"/>
  <c r="CB348" i="98"/>
  <c r="CA348" i="98"/>
  <c r="BA348" i="98"/>
  <c r="EQ348" i="98" s="1"/>
  <c r="AW348" i="98"/>
  <c r="AY348" i="98" s="1"/>
  <c r="AS348" i="98"/>
  <c r="AU348" i="98" s="1"/>
  <c r="F348" i="98"/>
  <c r="AD348" i="98" s="1"/>
  <c r="AP348" i="98" s="1"/>
  <c r="E348" i="98"/>
  <c r="W348" i="98" s="1"/>
  <c r="D348" i="98"/>
  <c r="C348" i="98"/>
  <c r="EE348" i="98" s="1"/>
  <c r="B348" i="98"/>
  <c r="CJ347" i="98"/>
  <c r="CH347" i="98"/>
  <c r="CE347" i="98"/>
  <c r="CD347" i="98"/>
  <c r="CC347" i="98"/>
  <c r="CB347" i="98"/>
  <c r="CA347" i="98"/>
  <c r="BA347" i="98"/>
  <c r="EQ347" i="98" s="1"/>
  <c r="AW347" i="98"/>
  <c r="AY347" i="98" s="1"/>
  <c r="AS347" i="98"/>
  <c r="AU347" i="98" s="1"/>
  <c r="F347" i="98"/>
  <c r="AD347" i="98" s="1"/>
  <c r="AP347" i="98" s="1"/>
  <c r="E347" i="98"/>
  <c r="W347" i="98" s="1"/>
  <c r="D347" i="98"/>
  <c r="C347" i="98"/>
  <c r="EE347" i="98" s="1"/>
  <c r="B347" i="98"/>
  <c r="CJ346" i="98"/>
  <c r="CH346" i="98"/>
  <c r="CE346" i="98"/>
  <c r="CD346" i="98"/>
  <c r="CC346" i="98"/>
  <c r="CB346" i="98"/>
  <c r="CA346" i="98"/>
  <c r="BC346" i="98"/>
  <c r="ES346" i="98" s="1"/>
  <c r="AY346" i="98"/>
  <c r="AS346" i="98"/>
  <c r="AU346" i="98" s="1"/>
  <c r="X346" i="98"/>
  <c r="AD346" i="98"/>
  <c r="AP346" i="98" s="1"/>
  <c r="W346" i="98"/>
  <c r="R191" i="1"/>
  <c r="EE346" i="98"/>
  <c r="B346" i="98"/>
  <c r="CJ345" i="98"/>
  <c r="CH345" i="98"/>
  <c r="CE345" i="98"/>
  <c r="CC345" i="98"/>
  <c r="CB345" i="98"/>
  <c r="CA345" i="98"/>
  <c r="B345" i="98"/>
  <c r="EM344" i="98"/>
  <c r="CJ344" i="98"/>
  <c r="CH344" i="98"/>
  <c r="CE344" i="98"/>
  <c r="CD344" i="98"/>
  <c r="CC344" i="98"/>
  <c r="CB344" i="98"/>
  <c r="CA344" i="98"/>
  <c r="BI344" i="98"/>
  <c r="BA344" i="98"/>
  <c r="EQ344" i="98" s="1"/>
  <c r="AZ344" i="98"/>
  <c r="EP344" i="98" s="1"/>
  <c r="AY344" i="98"/>
  <c r="EO344" i="98" s="1"/>
  <c r="AX344" i="98"/>
  <c r="AS344" i="98"/>
  <c r="EI344" i="98" s="1"/>
  <c r="F344" i="98"/>
  <c r="EH344" i="98" s="1"/>
  <c r="E344" i="98"/>
  <c r="V344" i="98" s="1"/>
  <c r="D344" i="98"/>
  <c r="M344" i="98" s="1"/>
  <c r="AK344" i="98" s="1"/>
  <c r="C344" i="98"/>
  <c r="EE344" i="98" s="1"/>
  <c r="B344" i="98"/>
  <c r="EI343" i="98"/>
  <c r="CJ343" i="98"/>
  <c r="CH343" i="98"/>
  <c r="CE343" i="98"/>
  <c r="CD343" i="98"/>
  <c r="CC343" i="98"/>
  <c r="CB343" i="98"/>
  <c r="CA343" i="98"/>
  <c r="BE343" i="98"/>
  <c r="BA343" i="98"/>
  <c r="EQ343" i="98" s="1"/>
  <c r="AW343" i="98"/>
  <c r="AV343" i="98"/>
  <c r="BH343" i="98" s="1"/>
  <c r="AU343" i="98"/>
  <c r="EK343" i="98" s="1"/>
  <c r="AT343" i="98"/>
  <c r="EJ343" i="98" s="1"/>
  <c r="F343" i="98"/>
  <c r="AF343" i="98" s="1"/>
  <c r="AR343" i="98" s="1"/>
  <c r="E343" i="98"/>
  <c r="EG343" i="98" s="1"/>
  <c r="D343" i="98"/>
  <c r="O343" i="98" s="1"/>
  <c r="AM343" i="98" s="1"/>
  <c r="C343" i="98"/>
  <c r="EE343" i="98" s="1"/>
  <c r="B343" i="98"/>
  <c r="CJ342" i="98"/>
  <c r="CH342" i="98"/>
  <c r="CE342" i="98"/>
  <c r="CD342" i="98"/>
  <c r="CC342" i="98"/>
  <c r="CB342" i="98"/>
  <c r="CA342" i="98"/>
  <c r="BA342" i="98"/>
  <c r="EQ342" i="98" s="1"/>
  <c r="AW342" i="98"/>
  <c r="AY342" i="98" s="1"/>
  <c r="BK342" i="98" s="1"/>
  <c r="AS342" i="98"/>
  <c r="AU342" i="98" s="1"/>
  <c r="BG342" i="98" s="1"/>
  <c r="F342" i="98"/>
  <c r="AF342" i="98" s="1"/>
  <c r="AR342" i="98" s="1"/>
  <c r="E342" i="98"/>
  <c r="D342" i="98"/>
  <c r="EF342" i="98" s="1"/>
  <c r="C342" i="98"/>
  <c r="EE342" i="98" s="1"/>
  <c r="B342" i="98"/>
  <c r="CJ341" i="98"/>
  <c r="CH341" i="98"/>
  <c r="CE341" i="98"/>
  <c r="CD341" i="98"/>
  <c r="CC341" i="98"/>
  <c r="CB341" i="98"/>
  <c r="CA341" i="98"/>
  <c r="BA341" i="98"/>
  <c r="EQ341" i="98" s="1"/>
  <c r="AW341" i="98"/>
  <c r="AY341" i="98" s="1"/>
  <c r="BK341" i="98" s="1"/>
  <c r="AS341" i="98"/>
  <c r="AU341" i="98" s="1"/>
  <c r="BG341" i="98" s="1"/>
  <c r="F341" i="98"/>
  <c r="AF341" i="98" s="1"/>
  <c r="AR341" i="98" s="1"/>
  <c r="E341" i="98"/>
  <c r="D341" i="98"/>
  <c r="EF341" i="98" s="1"/>
  <c r="C341" i="98"/>
  <c r="EE341" i="98" s="1"/>
  <c r="B341" i="98"/>
  <c r="CJ340" i="98"/>
  <c r="CH340" i="98"/>
  <c r="CE340" i="98"/>
  <c r="CD340" i="98"/>
  <c r="CC340" i="98"/>
  <c r="CB340" i="98"/>
  <c r="CA340" i="98"/>
  <c r="BA340" i="98"/>
  <c r="EQ340" i="98" s="1"/>
  <c r="AW340" i="98"/>
  <c r="AY340" i="98" s="1"/>
  <c r="AS340" i="98"/>
  <c r="AU340" i="98" s="1"/>
  <c r="BG340" i="98" s="1"/>
  <c r="F340" i="98"/>
  <c r="E340" i="98"/>
  <c r="W340" i="98" s="1"/>
  <c r="D340" i="98"/>
  <c r="EF340" i="98" s="1"/>
  <c r="C340" i="98"/>
  <c r="EE340" i="98" s="1"/>
  <c r="B340" i="98"/>
  <c r="CJ339" i="98"/>
  <c r="CH339" i="98"/>
  <c r="CE339" i="98"/>
  <c r="CD339" i="98"/>
  <c r="CC339" i="98"/>
  <c r="CB339" i="98"/>
  <c r="CA339" i="98"/>
  <c r="BA339" i="98"/>
  <c r="EQ339" i="98" s="1"/>
  <c r="AW339" i="98"/>
  <c r="AY339" i="98" s="1"/>
  <c r="BK339" i="98" s="1"/>
  <c r="AS339" i="98"/>
  <c r="AU339" i="98" s="1"/>
  <c r="BG339" i="98" s="1"/>
  <c r="F339" i="98"/>
  <c r="AF339" i="98" s="1"/>
  <c r="AR339" i="98" s="1"/>
  <c r="E339" i="98"/>
  <c r="W339" i="98" s="1"/>
  <c r="D339" i="98"/>
  <c r="EF339" i="98" s="1"/>
  <c r="C339" i="98"/>
  <c r="EE339" i="98" s="1"/>
  <c r="B339" i="98"/>
  <c r="CJ338" i="98"/>
  <c r="CH338" i="98"/>
  <c r="CE338" i="98"/>
  <c r="CD338" i="98"/>
  <c r="CC338" i="98"/>
  <c r="CB338" i="98"/>
  <c r="CA338" i="98"/>
  <c r="BA338" i="98"/>
  <c r="EQ338" i="98" s="1"/>
  <c r="AW338" i="98"/>
  <c r="AY338" i="98" s="1"/>
  <c r="BK338" i="98" s="1"/>
  <c r="AS338" i="98"/>
  <c r="AU338" i="98" s="1"/>
  <c r="BG338" i="98" s="1"/>
  <c r="F338" i="98"/>
  <c r="AF338" i="98" s="1"/>
  <c r="AR338" i="98" s="1"/>
  <c r="E338" i="98"/>
  <c r="W338" i="98" s="1"/>
  <c r="D338" i="98"/>
  <c r="EF338" i="98" s="1"/>
  <c r="C338" i="98"/>
  <c r="EE338" i="98" s="1"/>
  <c r="B338" i="98"/>
  <c r="CJ337" i="98"/>
  <c r="CH337" i="98"/>
  <c r="CE337" i="98"/>
  <c r="CD337" i="98"/>
  <c r="CC337" i="98"/>
  <c r="CB337" i="98"/>
  <c r="CA337" i="98"/>
  <c r="BA337" i="98"/>
  <c r="EQ337" i="98" s="1"/>
  <c r="AW337" i="98"/>
  <c r="AY337" i="98" s="1"/>
  <c r="BK337" i="98" s="1"/>
  <c r="AS337" i="98"/>
  <c r="F337" i="98"/>
  <c r="AF337" i="98" s="1"/>
  <c r="AR337" i="98" s="1"/>
  <c r="E337" i="98"/>
  <c r="W337" i="98" s="1"/>
  <c r="D337" i="98"/>
  <c r="EF337" i="98" s="1"/>
  <c r="C337" i="98"/>
  <c r="EE337" i="98" s="1"/>
  <c r="B337" i="98"/>
  <c r="CJ336" i="98"/>
  <c r="CH336" i="98"/>
  <c r="CE336" i="98"/>
  <c r="CD336" i="98"/>
  <c r="CC336" i="98"/>
  <c r="CB336" i="98"/>
  <c r="CA336" i="98"/>
  <c r="BA336" i="98"/>
  <c r="EQ336" i="98" s="1"/>
  <c r="AW336" i="98"/>
  <c r="AY336" i="98" s="1"/>
  <c r="AS336" i="98"/>
  <c r="F336" i="98"/>
  <c r="E336" i="98"/>
  <c r="W336" i="98" s="1"/>
  <c r="D336" i="98"/>
  <c r="EF336" i="98" s="1"/>
  <c r="C336" i="98"/>
  <c r="EE336" i="98" s="1"/>
  <c r="B336" i="98"/>
  <c r="CJ335" i="98"/>
  <c r="CH335" i="98"/>
  <c r="CE335" i="98"/>
  <c r="CD335" i="98"/>
  <c r="CC335" i="98"/>
  <c r="CB335" i="98"/>
  <c r="CA335" i="98"/>
  <c r="BA335" i="98"/>
  <c r="EQ335" i="98" s="1"/>
  <c r="AW335" i="98"/>
  <c r="AS335" i="98"/>
  <c r="AU335" i="98" s="1"/>
  <c r="BG335" i="98" s="1"/>
  <c r="F335" i="98"/>
  <c r="AF335" i="98" s="1"/>
  <c r="AR335" i="98" s="1"/>
  <c r="E335" i="98"/>
  <c r="W335" i="98" s="1"/>
  <c r="D335" i="98"/>
  <c r="EF335" i="98" s="1"/>
  <c r="C335" i="98"/>
  <c r="EE335" i="98" s="1"/>
  <c r="B335" i="98"/>
  <c r="CJ334" i="98"/>
  <c r="CH334" i="98"/>
  <c r="CE334" i="98"/>
  <c r="CD334" i="98"/>
  <c r="CC334" i="98"/>
  <c r="CB334" i="98"/>
  <c r="CA334" i="98"/>
  <c r="BA334" i="98"/>
  <c r="EQ334" i="98" s="1"/>
  <c r="F334" i="98"/>
  <c r="E334" i="98"/>
  <c r="D334" i="98"/>
  <c r="EF334" i="98" s="1"/>
  <c r="C334" i="98"/>
  <c r="EE334" i="98" s="1"/>
  <c r="B334" i="98"/>
  <c r="CJ333" i="98"/>
  <c r="CH333" i="98"/>
  <c r="CE333" i="98"/>
  <c r="CD333" i="98"/>
  <c r="CC333" i="98"/>
  <c r="CB333" i="98"/>
  <c r="CA333" i="98"/>
  <c r="BA333" i="98"/>
  <c r="EQ333" i="98" s="1"/>
  <c r="AW333" i="98"/>
  <c r="AS333" i="98"/>
  <c r="AU333" i="98" s="1"/>
  <c r="BG333" i="98" s="1"/>
  <c r="F333" i="98"/>
  <c r="AF333" i="98" s="1"/>
  <c r="AR333" i="98" s="1"/>
  <c r="E333" i="98"/>
  <c r="V333" i="98" s="1"/>
  <c r="D333" i="98"/>
  <c r="EF333" i="98" s="1"/>
  <c r="C333" i="98"/>
  <c r="EE333" i="98" s="1"/>
  <c r="B333" i="98"/>
  <c r="CJ332" i="98"/>
  <c r="CH332" i="98"/>
  <c r="CE332" i="98"/>
  <c r="CD332" i="98"/>
  <c r="CC332" i="98"/>
  <c r="CB332" i="98"/>
  <c r="CA332" i="98"/>
  <c r="BA332" i="98"/>
  <c r="EQ332" i="98" s="1"/>
  <c r="AZ332" i="98"/>
  <c r="EP332" i="98" s="1"/>
  <c r="AW332" i="98"/>
  <c r="AY332" i="98" s="1"/>
  <c r="BK332" i="98" s="1"/>
  <c r="AS332" i="98"/>
  <c r="AU332" i="98" s="1"/>
  <c r="BG332" i="98" s="1"/>
  <c r="F332" i="98"/>
  <c r="E332" i="98"/>
  <c r="D332" i="98"/>
  <c r="EF332" i="98" s="1"/>
  <c r="C332" i="98"/>
  <c r="EE332" i="98" s="1"/>
  <c r="B332" i="98"/>
  <c r="CJ331" i="98"/>
  <c r="CH331" i="98"/>
  <c r="CE331" i="98"/>
  <c r="CD331" i="98"/>
  <c r="CC331" i="98"/>
  <c r="CB331" i="98"/>
  <c r="CA331" i="98"/>
  <c r="BA331" i="98"/>
  <c r="EQ331" i="98" s="1"/>
  <c r="AW331" i="98"/>
  <c r="AS331" i="98"/>
  <c r="AU331" i="98" s="1"/>
  <c r="BG331" i="98" s="1"/>
  <c r="F331" i="98"/>
  <c r="AF331" i="98" s="1"/>
  <c r="AR331" i="98" s="1"/>
  <c r="E331" i="98"/>
  <c r="EG331" i="98" s="1"/>
  <c r="D331" i="98"/>
  <c r="C331" i="98"/>
  <c r="EE331" i="98" s="1"/>
  <c r="B331" i="98"/>
  <c r="CJ330" i="98"/>
  <c r="CH330" i="98"/>
  <c r="CE330" i="98"/>
  <c r="CD330" i="98"/>
  <c r="CC330" i="98"/>
  <c r="CB330" i="98"/>
  <c r="CA330" i="98"/>
  <c r="BA330" i="98"/>
  <c r="EQ330" i="98" s="1"/>
  <c r="AW330" i="98"/>
  <c r="AS330" i="98"/>
  <c r="AU330" i="98" s="1"/>
  <c r="BG330" i="98" s="1"/>
  <c r="F330" i="98"/>
  <c r="E330" i="98"/>
  <c r="U330" i="98" s="1"/>
  <c r="D330" i="98"/>
  <c r="EF330" i="98" s="1"/>
  <c r="C330" i="98"/>
  <c r="EE330" i="98" s="1"/>
  <c r="B330" i="98"/>
  <c r="CJ329" i="98"/>
  <c r="CH329" i="98"/>
  <c r="CE329" i="98"/>
  <c r="CD329" i="98"/>
  <c r="CC329" i="98"/>
  <c r="CB329" i="98"/>
  <c r="CA329" i="98"/>
  <c r="BA329" i="98"/>
  <c r="EQ329" i="98" s="1"/>
  <c r="AW329" i="98"/>
  <c r="AZ329" i="98" s="1"/>
  <c r="EP329" i="98" s="1"/>
  <c r="AS329" i="98"/>
  <c r="AU329" i="98" s="1"/>
  <c r="BG329" i="98" s="1"/>
  <c r="X329" i="98"/>
  <c r="U329" i="98"/>
  <c r="F329" i="98"/>
  <c r="AF329" i="98" s="1"/>
  <c r="AR329" i="98" s="1"/>
  <c r="E329" i="98"/>
  <c r="W329" i="98" s="1"/>
  <c r="D329" i="98"/>
  <c r="EF329" i="98" s="1"/>
  <c r="C329" i="98"/>
  <c r="EE329" i="98" s="1"/>
  <c r="B329" i="98"/>
  <c r="CJ328" i="98"/>
  <c r="CH328" i="98"/>
  <c r="CE328" i="98"/>
  <c r="CD328" i="98"/>
  <c r="CC328" i="98"/>
  <c r="CB328" i="98"/>
  <c r="CA328" i="98"/>
  <c r="BA328" i="98"/>
  <c r="EQ328" i="98" s="1"/>
  <c r="AW328" i="98"/>
  <c r="AY328" i="98" s="1"/>
  <c r="BK328" i="98" s="1"/>
  <c r="AS328" i="98"/>
  <c r="AU328" i="98" s="1"/>
  <c r="F328" i="98"/>
  <c r="E328" i="98"/>
  <c r="W328" i="98" s="1"/>
  <c r="D328" i="98"/>
  <c r="EF328" i="98" s="1"/>
  <c r="C328" i="98"/>
  <c r="EE328" i="98" s="1"/>
  <c r="B328" i="98"/>
  <c r="CJ327" i="98"/>
  <c r="CH327" i="98"/>
  <c r="CE327" i="98"/>
  <c r="CD327" i="98"/>
  <c r="CC327" i="98"/>
  <c r="CB327" i="98"/>
  <c r="CA327" i="98"/>
  <c r="BA327" i="98"/>
  <c r="EQ327" i="98" s="1"/>
  <c r="AW327" i="98"/>
  <c r="AY327" i="98" s="1"/>
  <c r="BK327" i="98" s="1"/>
  <c r="AS327" i="98"/>
  <c r="AU327" i="98" s="1"/>
  <c r="BG327" i="98" s="1"/>
  <c r="U327" i="98"/>
  <c r="F327" i="98"/>
  <c r="E327" i="98"/>
  <c r="W327" i="98" s="1"/>
  <c r="D327" i="98"/>
  <c r="EF327" i="98" s="1"/>
  <c r="C327" i="98"/>
  <c r="EE327" i="98" s="1"/>
  <c r="B327" i="98"/>
  <c r="CJ326" i="98"/>
  <c r="CH326" i="98"/>
  <c r="CE326" i="98"/>
  <c r="CD326" i="98"/>
  <c r="CC326" i="98"/>
  <c r="CB326" i="98"/>
  <c r="CA326" i="98"/>
  <c r="BA326" i="98"/>
  <c r="EQ326" i="98" s="1"/>
  <c r="AW326" i="98"/>
  <c r="AY326" i="98" s="1"/>
  <c r="BK326" i="98" s="1"/>
  <c r="AS326" i="98"/>
  <c r="F326" i="98"/>
  <c r="E326" i="98"/>
  <c r="D326" i="98"/>
  <c r="EF326" i="98" s="1"/>
  <c r="C326" i="98"/>
  <c r="EE326" i="98" s="1"/>
  <c r="B326" i="98"/>
  <c r="CJ325" i="98"/>
  <c r="CH325" i="98"/>
  <c r="CE325" i="98"/>
  <c r="CD325" i="98"/>
  <c r="CC325" i="98"/>
  <c r="CB325" i="98"/>
  <c r="CA325" i="98"/>
  <c r="BA325" i="98"/>
  <c r="EQ325" i="98" s="1"/>
  <c r="AW325" i="98"/>
  <c r="AY325" i="98" s="1"/>
  <c r="BK325" i="98" s="1"/>
  <c r="AS325" i="98"/>
  <c r="AU325" i="98" s="1"/>
  <c r="BG325" i="98" s="1"/>
  <c r="F325" i="98"/>
  <c r="E325" i="98"/>
  <c r="W325" i="98" s="1"/>
  <c r="D325" i="98"/>
  <c r="EF325" i="98" s="1"/>
  <c r="C325" i="98"/>
  <c r="EE325" i="98" s="1"/>
  <c r="B325" i="98"/>
  <c r="CJ324" i="98"/>
  <c r="CH324" i="98"/>
  <c r="CE324" i="98"/>
  <c r="CD324" i="98"/>
  <c r="CC324" i="98"/>
  <c r="CB324" i="98"/>
  <c r="CA324" i="98"/>
  <c r="BA324" i="98"/>
  <c r="EQ324" i="98" s="1"/>
  <c r="AW324" i="98"/>
  <c r="AY324" i="98" s="1"/>
  <c r="BK324" i="98" s="1"/>
  <c r="AS324" i="98"/>
  <c r="AU324" i="98" s="1"/>
  <c r="BG324" i="98" s="1"/>
  <c r="F324" i="98"/>
  <c r="AF324" i="98" s="1"/>
  <c r="AR324" i="98" s="1"/>
  <c r="E324" i="98"/>
  <c r="V324" i="98" s="1"/>
  <c r="D324" i="98"/>
  <c r="EF324" i="98" s="1"/>
  <c r="C324" i="98"/>
  <c r="EE324" i="98" s="1"/>
  <c r="B324" i="98"/>
  <c r="CJ323" i="98"/>
  <c r="CH323" i="98"/>
  <c r="CE323" i="98"/>
  <c r="CD323" i="98"/>
  <c r="CC323" i="98"/>
  <c r="CB323" i="98"/>
  <c r="CA323" i="98"/>
  <c r="BA323" i="98"/>
  <c r="EQ323" i="98" s="1"/>
  <c r="AW323" i="98"/>
  <c r="AY323" i="98" s="1"/>
  <c r="BK323" i="98" s="1"/>
  <c r="AS323" i="98"/>
  <c r="AU323" i="98" s="1"/>
  <c r="BG323" i="98" s="1"/>
  <c r="F323" i="98"/>
  <c r="E323" i="98"/>
  <c r="W323" i="98" s="1"/>
  <c r="D323" i="98"/>
  <c r="EF323" i="98" s="1"/>
  <c r="C323" i="98"/>
  <c r="EE323" i="98" s="1"/>
  <c r="B323" i="98"/>
  <c r="CJ322" i="98"/>
  <c r="CH322" i="98"/>
  <c r="CE322" i="98"/>
  <c r="CD322" i="98"/>
  <c r="CC322" i="98"/>
  <c r="CB322" i="98"/>
  <c r="CA322" i="98"/>
  <c r="BA322" i="98"/>
  <c r="EQ322" i="98" s="1"/>
  <c r="AW322" i="98"/>
  <c r="AY322" i="98" s="1"/>
  <c r="AS322" i="98"/>
  <c r="AU322" i="98" s="1"/>
  <c r="BG322" i="98" s="1"/>
  <c r="F322" i="98"/>
  <c r="AF322" i="98" s="1"/>
  <c r="AR322" i="98" s="1"/>
  <c r="E322" i="98"/>
  <c r="W322" i="98" s="1"/>
  <c r="D322" i="98"/>
  <c r="EF322" i="98" s="1"/>
  <c r="C322" i="98"/>
  <c r="EE322" i="98" s="1"/>
  <c r="B322" i="98"/>
  <c r="CJ321" i="98"/>
  <c r="CH321" i="98"/>
  <c r="CE321" i="98"/>
  <c r="CD321" i="98"/>
  <c r="CC321" i="98"/>
  <c r="CB321" i="98"/>
  <c r="CA321" i="98"/>
  <c r="BA321" i="98"/>
  <c r="EQ321" i="98" s="1"/>
  <c r="AW321" i="98"/>
  <c r="AZ321" i="98" s="1"/>
  <c r="EP321" i="98" s="1"/>
  <c r="AS321" i="98"/>
  <c r="F321" i="98"/>
  <c r="E321" i="98"/>
  <c r="W321" i="98" s="1"/>
  <c r="D321" i="98"/>
  <c r="EF321" i="98" s="1"/>
  <c r="C321" i="98"/>
  <c r="EE321" i="98" s="1"/>
  <c r="B321" i="98"/>
  <c r="CJ320" i="98"/>
  <c r="CH320" i="98"/>
  <c r="CE320" i="98"/>
  <c r="CD320" i="98"/>
  <c r="CC320" i="98"/>
  <c r="CB320" i="98"/>
  <c r="CA320" i="98"/>
  <c r="BA320" i="98"/>
  <c r="EQ320" i="98" s="1"/>
  <c r="AW320" i="98"/>
  <c r="AY320" i="98" s="1"/>
  <c r="BK320" i="98" s="1"/>
  <c r="AS320" i="98"/>
  <c r="AU320" i="98" s="1"/>
  <c r="BG320" i="98" s="1"/>
  <c r="F320" i="98"/>
  <c r="AF320" i="98" s="1"/>
  <c r="AR320" i="98" s="1"/>
  <c r="E320" i="98"/>
  <c r="EG320" i="98" s="1"/>
  <c r="D320" i="98"/>
  <c r="EF320" i="98" s="1"/>
  <c r="C320" i="98"/>
  <c r="EE320" i="98" s="1"/>
  <c r="B320" i="98"/>
  <c r="EI319" i="98"/>
  <c r="CJ319" i="98"/>
  <c r="CH319" i="98"/>
  <c r="CE319" i="98"/>
  <c r="CD319" i="98"/>
  <c r="CC319" i="98"/>
  <c r="CB319" i="98"/>
  <c r="CA319" i="98"/>
  <c r="BE319" i="98"/>
  <c r="AW319" i="98"/>
  <c r="AY319" i="98" s="1"/>
  <c r="BK319" i="98" s="1"/>
  <c r="AV319" i="98"/>
  <c r="AU319" i="98"/>
  <c r="BG319" i="98" s="1"/>
  <c r="AT319" i="98"/>
  <c r="EJ319" i="98" s="1"/>
  <c r="B319" i="98"/>
  <c r="CJ318" i="98"/>
  <c r="CH318" i="98"/>
  <c r="CE318" i="98"/>
  <c r="CD318" i="98"/>
  <c r="CC318" i="98"/>
  <c r="CB318" i="98"/>
  <c r="CA318" i="98"/>
  <c r="BA318" i="98"/>
  <c r="EQ318" i="98" s="1"/>
  <c r="AW318" i="98"/>
  <c r="EM318" i="98" s="1"/>
  <c r="AS318" i="98"/>
  <c r="EI318" i="98" s="1"/>
  <c r="F318" i="98"/>
  <c r="AD318" i="98" s="1"/>
  <c r="AP318" i="98" s="1"/>
  <c r="E318" i="98"/>
  <c r="D318" i="98"/>
  <c r="N318" i="98" s="1"/>
  <c r="AL318" i="98" s="1"/>
  <c r="C318" i="98"/>
  <c r="EE318" i="98" s="1"/>
  <c r="B318" i="98"/>
  <c r="CJ317" i="98"/>
  <c r="CH317" i="98"/>
  <c r="CE317" i="98"/>
  <c r="CD317" i="98"/>
  <c r="CC317" i="98"/>
  <c r="CB317" i="98"/>
  <c r="CA317" i="98"/>
  <c r="BA317" i="98"/>
  <c r="EQ317" i="98" s="1"/>
  <c r="AW317" i="98"/>
  <c r="EM317" i="98" s="1"/>
  <c r="AS317" i="98"/>
  <c r="EI317" i="98" s="1"/>
  <c r="F317" i="98"/>
  <c r="EH317" i="98" s="1"/>
  <c r="E317" i="98"/>
  <c r="W317" i="98" s="1"/>
  <c r="D317" i="98"/>
  <c r="N317" i="98" s="1"/>
  <c r="AL317" i="98" s="1"/>
  <c r="C317" i="98"/>
  <c r="EE317" i="98" s="1"/>
  <c r="B317" i="98"/>
  <c r="CJ316" i="98"/>
  <c r="CH316" i="98"/>
  <c r="CE316" i="98"/>
  <c r="CD316" i="98"/>
  <c r="CC316" i="98"/>
  <c r="CB316" i="98"/>
  <c r="CA316" i="98"/>
  <c r="BA316" i="98"/>
  <c r="EQ316" i="98" s="1"/>
  <c r="AW316" i="98"/>
  <c r="AS316" i="98"/>
  <c r="EI316" i="98" s="1"/>
  <c r="F316" i="98"/>
  <c r="AD316" i="98" s="1"/>
  <c r="AP316" i="98" s="1"/>
  <c r="E316" i="98"/>
  <c r="D316" i="98"/>
  <c r="N316" i="98" s="1"/>
  <c r="AL316" i="98" s="1"/>
  <c r="C316" i="98"/>
  <c r="EE316" i="98" s="1"/>
  <c r="B316" i="98"/>
  <c r="CJ315" i="98"/>
  <c r="CH315" i="98"/>
  <c r="CE315" i="98"/>
  <c r="CD315" i="98"/>
  <c r="CC315" i="98"/>
  <c r="CB315" i="98"/>
  <c r="CA315" i="98"/>
  <c r="BA315" i="98"/>
  <c r="EQ315" i="98" s="1"/>
  <c r="AW315" i="98"/>
  <c r="AS315" i="98"/>
  <c r="EI315" i="98" s="1"/>
  <c r="F315" i="98"/>
  <c r="AC315" i="98" s="1"/>
  <c r="AO315" i="98" s="1"/>
  <c r="E315" i="98"/>
  <c r="W315" i="98" s="1"/>
  <c r="D315" i="98"/>
  <c r="N315" i="98" s="1"/>
  <c r="AL315" i="98" s="1"/>
  <c r="C315" i="98"/>
  <c r="EE315" i="98" s="1"/>
  <c r="B315" i="98"/>
  <c r="CJ314" i="98"/>
  <c r="CH314" i="98"/>
  <c r="CE314" i="98"/>
  <c r="CD314" i="98"/>
  <c r="CC314" i="98"/>
  <c r="CB314" i="98"/>
  <c r="CA314" i="98"/>
  <c r="BA314" i="98"/>
  <c r="EQ314" i="98" s="1"/>
  <c r="AW314" i="98"/>
  <c r="EM314" i="98" s="1"/>
  <c r="AS314" i="98"/>
  <c r="EI314" i="98" s="1"/>
  <c r="F314" i="98"/>
  <c r="AD314" i="98" s="1"/>
  <c r="AP314" i="98" s="1"/>
  <c r="E314" i="98"/>
  <c r="D314" i="98"/>
  <c r="N314" i="98" s="1"/>
  <c r="AL314" i="98" s="1"/>
  <c r="C314" i="98"/>
  <c r="EE314" i="98" s="1"/>
  <c r="B314" i="98"/>
  <c r="CJ313" i="98"/>
  <c r="CH313" i="98"/>
  <c r="CE313" i="98"/>
  <c r="CD313" i="98"/>
  <c r="CC313" i="98"/>
  <c r="CB313" i="98"/>
  <c r="CA313" i="98"/>
  <c r="BA313" i="98"/>
  <c r="EQ313" i="98" s="1"/>
  <c r="AW313" i="98"/>
  <c r="AU313" i="98"/>
  <c r="EK313" i="98" s="1"/>
  <c r="AS313" i="98"/>
  <c r="EI313" i="98" s="1"/>
  <c r="F313" i="98"/>
  <c r="EH313" i="98" s="1"/>
  <c r="E313" i="98"/>
  <c r="W313" i="98" s="1"/>
  <c r="D313" i="98"/>
  <c r="N313" i="98" s="1"/>
  <c r="AL313" i="98" s="1"/>
  <c r="C313" i="98"/>
  <c r="EE313" i="98" s="1"/>
  <c r="B313" i="98"/>
  <c r="CJ312" i="98"/>
  <c r="CH312" i="98"/>
  <c r="CE312" i="98"/>
  <c r="CD312" i="98"/>
  <c r="CC312" i="98"/>
  <c r="CB312" i="98"/>
  <c r="CA312" i="98"/>
  <c r="BA312" i="98"/>
  <c r="EQ312" i="98" s="1"/>
  <c r="AW312" i="98"/>
  <c r="EM312" i="98" s="1"/>
  <c r="AS312" i="98"/>
  <c r="F312" i="98"/>
  <c r="AC312" i="98" s="1"/>
  <c r="AO312" i="98" s="1"/>
  <c r="E312" i="98"/>
  <c r="D312" i="98"/>
  <c r="EF312" i="98" s="1"/>
  <c r="C312" i="98"/>
  <c r="EE312" i="98" s="1"/>
  <c r="B312" i="98"/>
  <c r="CJ311" i="98"/>
  <c r="CH311" i="98"/>
  <c r="CE311" i="98"/>
  <c r="CD311" i="98"/>
  <c r="CC311" i="98"/>
  <c r="CB311" i="98"/>
  <c r="CA311" i="98"/>
  <c r="BA311" i="98"/>
  <c r="EQ311" i="98" s="1"/>
  <c r="AW311" i="98"/>
  <c r="EM311" i="98" s="1"/>
  <c r="AS311" i="98"/>
  <c r="EI311" i="98" s="1"/>
  <c r="F311" i="98"/>
  <c r="AC311" i="98" s="1"/>
  <c r="AO311" i="98" s="1"/>
  <c r="E311" i="98"/>
  <c r="D311" i="98"/>
  <c r="N311" i="98" s="1"/>
  <c r="AL311" i="98" s="1"/>
  <c r="C311" i="98"/>
  <c r="EE311" i="98" s="1"/>
  <c r="B311" i="98"/>
  <c r="CJ310" i="98"/>
  <c r="CH310" i="98"/>
  <c r="CE310" i="98"/>
  <c r="CD310" i="98"/>
  <c r="CC310" i="98"/>
  <c r="CB310" i="98"/>
  <c r="CA310" i="98"/>
  <c r="BA310" i="98"/>
  <c r="EQ310" i="98" s="1"/>
  <c r="AW310" i="98"/>
  <c r="EM310" i="98" s="1"/>
  <c r="AS310" i="98"/>
  <c r="EI310" i="98" s="1"/>
  <c r="F310" i="98"/>
  <c r="AD310" i="98" s="1"/>
  <c r="AP310" i="98" s="1"/>
  <c r="E310" i="98"/>
  <c r="D310" i="98"/>
  <c r="N310" i="98" s="1"/>
  <c r="AL310" i="98" s="1"/>
  <c r="C310" i="98"/>
  <c r="EE310" i="98" s="1"/>
  <c r="B310" i="98"/>
  <c r="CJ309" i="98"/>
  <c r="CH309" i="98"/>
  <c r="CE309" i="98"/>
  <c r="CD309" i="98"/>
  <c r="CC309" i="98"/>
  <c r="CB309" i="98"/>
  <c r="CA309" i="98"/>
  <c r="BA309" i="98"/>
  <c r="EQ309" i="98" s="1"/>
  <c r="AW309" i="98"/>
  <c r="EM309" i="98" s="1"/>
  <c r="AS309" i="98"/>
  <c r="EI309" i="98" s="1"/>
  <c r="F309" i="98"/>
  <c r="EH309" i="98" s="1"/>
  <c r="E309" i="98"/>
  <c r="W309" i="98" s="1"/>
  <c r="D309" i="98"/>
  <c r="N309" i="98" s="1"/>
  <c r="AL309" i="98" s="1"/>
  <c r="C309" i="98"/>
  <c r="EE309" i="98" s="1"/>
  <c r="B309" i="98"/>
  <c r="CJ308" i="98"/>
  <c r="CH308" i="98"/>
  <c r="CE308" i="98"/>
  <c r="CD308" i="98"/>
  <c r="CC308" i="98"/>
  <c r="CB308" i="98"/>
  <c r="CA308" i="98"/>
  <c r="BA308" i="98"/>
  <c r="EQ308" i="98" s="1"/>
  <c r="AW308" i="98"/>
  <c r="EM308" i="98" s="1"/>
  <c r="AS308" i="98"/>
  <c r="EI308" i="98" s="1"/>
  <c r="F308" i="98"/>
  <c r="AD308" i="98" s="1"/>
  <c r="AP308" i="98" s="1"/>
  <c r="E308" i="98"/>
  <c r="D308" i="98"/>
  <c r="N308" i="98" s="1"/>
  <c r="AL308" i="98" s="1"/>
  <c r="C308" i="98"/>
  <c r="EE308" i="98" s="1"/>
  <c r="B308" i="98"/>
  <c r="CJ307" i="98"/>
  <c r="CH307" i="98"/>
  <c r="CE307" i="98"/>
  <c r="CD307" i="98"/>
  <c r="CC307" i="98"/>
  <c r="CB307" i="98"/>
  <c r="CA307" i="98"/>
  <c r="BA307" i="98"/>
  <c r="EQ307" i="98" s="1"/>
  <c r="AW307" i="98"/>
  <c r="EM307" i="98" s="1"/>
  <c r="AS307" i="98"/>
  <c r="EI307" i="98" s="1"/>
  <c r="F307" i="98"/>
  <c r="AE307" i="98" s="1"/>
  <c r="AQ307" i="98" s="1"/>
  <c r="E307" i="98"/>
  <c r="W307" i="98" s="1"/>
  <c r="D307" i="98"/>
  <c r="N307" i="98" s="1"/>
  <c r="AL307" i="98" s="1"/>
  <c r="C307" i="98"/>
  <c r="EE307" i="98" s="1"/>
  <c r="B307" i="98"/>
  <c r="CJ306" i="98"/>
  <c r="CH306" i="98"/>
  <c r="CE306" i="98"/>
  <c r="CD306" i="98"/>
  <c r="CC306" i="98"/>
  <c r="CB306" i="98"/>
  <c r="CA306" i="98"/>
  <c r="BA306" i="98"/>
  <c r="EQ306" i="98" s="1"/>
  <c r="AW306" i="98"/>
  <c r="EM306" i="98" s="1"/>
  <c r="AS306" i="98"/>
  <c r="F306" i="98"/>
  <c r="AD306" i="98" s="1"/>
  <c r="AP306" i="98" s="1"/>
  <c r="E306" i="98"/>
  <c r="D306" i="98"/>
  <c r="N306" i="98" s="1"/>
  <c r="AL306" i="98" s="1"/>
  <c r="C306" i="98"/>
  <c r="EE306" i="98" s="1"/>
  <c r="B306" i="98"/>
  <c r="CJ305" i="98"/>
  <c r="CH305" i="98"/>
  <c r="CE305" i="98"/>
  <c r="CD305" i="98"/>
  <c r="CC305" i="98"/>
  <c r="CB305" i="98"/>
  <c r="CA305" i="98"/>
  <c r="BA305" i="98"/>
  <c r="EQ305" i="98" s="1"/>
  <c r="AW305" i="98"/>
  <c r="EM305" i="98" s="1"/>
  <c r="AS305" i="98"/>
  <c r="EI305" i="98" s="1"/>
  <c r="F305" i="98"/>
  <c r="AE305" i="98" s="1"/>
  <c r="AQ305" i="98" s="1"/>
  <c r="E305" i="98"/>
  <c r="W305" i="98" s="1"/>
  <c r="D305" i="98"/>
  <c r="N305" i="98" s="1"/>
  <c r="AL305" i="98" s="1"/>
  <c r="C305" i="98"/>
  <c r="EE305" i="98" s="1"/>
  <c r="B305" i="98"/>
  <c r="CJ304" i="98"/>
  <c r="CH304" i="98"/>
  <c r="CE304" i="98"/>
  <c r="CD304" i="98"/>
  <c r="CC304" i="98"/>
  <c r="CB304" i="98"/>
  <c r="CA304" i="98"/>
  <c r="BA304" i="98"/>
  <c r="EQ304" i="98" s="1"/>
  <c r="AW304" i="98"/>
  <c r="EM304" i="98" s="1"/>
  <c r="AS304" i="98"/>
  <c r="EI304" i="98" s="1"/>
  <c r="F304" i="98"/>
  <c r="EH304" i="98" s="1"/>
  <c r="E304" i="98"/>
  <c r="D304" i="98"/>
  <c r="P304" i="98" s="1"/>
  <c r="AN304" i="98" s="1"/>
  <c r="C304" i="98"/>
  <c r="EE304" i="98" s="1"/>
  <c r="B304" i="98"/>
  <c r="CJ303" i="98"/>
  <c r="CH303" i="98"/>
  <c r="CE303" i="98"/>
  <c r="CD303" i="98"/>
  <c r="CC303" i="98"/>
  <c r="CB303" i="98"/>
  <c r="CA303" i="98"/>
  <c r="BA303" i="98"/>
  <c r="EQ303" i="98" s="1"/>
  <c r="AW303" i="98"/>
  <c r="EM303" i="98" s="1"/>
  <c r="AS303" i="98"/>
  <c r="EI303" i="98" s="1"/>
  <c r="F303" i="98"/>
  <c r="EH303" i="98" s="1"/>
  <c r="E303" i="98"/>
  <c r="D303" i="98"/>
  <c r="P303" i="98" s="1"/>
  <c r="AN303" i="98" s="1"/>
  <c r="C303" i="98"/>
  <c r="EE303" i="98" s="1"/>
  <c r="B303" i="98"/>
  <c r="CJ302" i="98"/>
  <c r="CH302" i="98"/>
  <c r="CE302" i="98"/>
  <c r="CD302" i="98"/>
  <c r="CC302" i="98"/>
  <c r="CB302" i="98"/>
  <c r="CA302" i="98"/>
  <c r="BA302" i="98"/>
  <c r="EQ302" i="98" s="1"/>
  <c r="AY302" i="98"/>
  <c r="EO302" i="98" s="1"/>
  <c r="AW302" i="98"/>
  <c r="EM302" i="98" s="1"/>
  <c r="AS302" i="98"/>
  <c r="EI302" i="98" s="1"/>
  <c r="F302" i="98"/>
  <c r="AE302" i="98" s="1"/>
  <c r="AQ302" i="98" s="1"/>
  <c r="E302" i="98"/>
  <c r="D302" i="98"/>
  <c r="EF302" i="98" s="1"/>
  <c r="C302" i="98"/>
  <c r="EE302" i="98" s="1"/>
  <c r="B302" i="98"/>
  <c r="CJ301" i="98"/>
  <c r="CH301" i="98"/>
  <c r="CE301" i="98"/>
  <c r="CD301" i="98"/>
  <c r="CC301" i="98"/>
  <c r="CB301" i="98"/>
  <c r="CA301" i="98"/>
  <c r="BA301" i="98"/>
  <c r="EQ301" i="98" s="1"/>
  <c r="AW301" i="98"/>
  <c r="EM301" i="98" s="1"/>
  <c r="AS301" i="98"/>
  <c r="EI301" i="98" s="1"/>
  <c r="F301" i="98"/>
  <c r="AE301" i="98" s="1"/>
  <c r="AQ301" i="98" s="1"/>
  <c r="E301" i="98"/>
  <c r="W301" i="98" s="1"/>
  <c r="D301" i="98"/>
  <c r="EF301" i="98" s="1"/>
  <c r="C301" i="98"/>
  <c r="EE301" i="98" s="1"/>
  <c r="B301" i="98"/>
  <c r="CJ300" i="98"/>
  <c r="CH300" i="98"/>
  <c r="CE300" i="98"/>
  <c r="CD300" i="98"/>
  <c r="CC300" i="98"/>
  <c r="CB300" i="98"/>
  <c r="CA300" i="98"/>
  <c r="BA300" i="98"/>
  <c r="EQ300" i="98" s="1"/>
  <c r="AW300" i="98"/>
  <c r="EM300" i="98" s="1"/>
  <c r="AS300" i="98"/>
  <c r="EI300" i="98" s="1"/>
  <c r="F300" i="98"/>
  <c r="AD300" i="98" s="1"/>
  <c r="AP300" i="98" s="1"/>
  <c r="E300" i="98"/>
  <c r="D300" i="98"/>
  <c r="N300" i="98" s="1"/>
  <c r="AL300" i="98" s="1"/>
  <c r="C300" i="98"/>
  <c r="EE300" i="98" s="1"/>
  <c r="B300" i="98"/>
  <c r="CJ299" i="98"/>
  <c r="CH299" i="98"/>
  <c r="CE299" i="98"/>
  <c r="CD299" i="98"/>
  <c r="CC299" i="98"/>
  <c r="CB299" i="98"/>
  <c r="CA299" i="98"/>
  <c r="BA299" i="98"/>
  <c r="EQ299" i="98" s="1"/>
  <c r="AW299" i="98"/>
  <c r="EM299" i="98" s="1"/>
  <c r="AS299" i="98"/>
  <c r="EI299" i="98" s="1"/>
  <c r="F299" i="98"/>
  <c r="AE299" i="98" s="1"/>
  <c r="AQ299" i="98" s="1"/>
  <c r="E299" i="98"/>
  <c r="W299" i="98" s="1"/>
  <c r="D299" i="98"/>
  <c r="N299" i="98" s="1"/>
  <c r="AL299" i="98" s="1"/>
  <c r="C299" i="98"/>
  <c r="EE299" i="98" s="1"/>
  <c r="B299" i="98"/>
  <c r="CJ298" i="98"/>
  <c r="CH298" i="98"/>
  <c r="CE298" i="98"/>
  <c r="CD298" i="98"/>
  <c r="CC298" i="98"/>
  <c r="CB298" i="98"/>
  <c r="CA298" i="98"/>
  <c r="BA298" i="98"/>
  <c r="EQ298" i="98" s="1"/>
  <c r="AW298" i="98"/>
  <c r="EM298" i="98" s="1"/>
  <c r="AS298" i="98"/>
  <c r="EI298" i="98" s="1"/>
  <c r="F298" i="98"/>
  <c r="AD298" i="98" s="1"/>
  <c r="AP298" i="98" s="1"/>
  <c r="E298" i="98"/>
  <c r="D298" i="98"/>
  <c r="N298" i="98" s="1"/>
  <c r="AL298" i="98" s="1"/>
  <c r="C298" i="98"/>
  <c r="EE298" i="98" s="1"/>
  <c r="B298" i="98"/>
  <c r="CJ297" i="98"/>
  <c r="CH297" i="98"/>
  <c r="CE297" i="98"/>
  <c r="CD297" i="98"/>
  <c r="CC297" i="98"/>
  <c r="CB297" i="98"/>
  <c r="CA297" i="98"/>
  <c r="BA297" i="98"/>
  <c r="EQ297" i="98" s="1"/>
  <c r="AW297" i="98"/>
  <c r="EM297" i="98" s="1"/>
  <c r="AS297" i="98"/>
  <c r="EI297" i="98" s="1"/>
  <c r="F297" i="98"/>
  <c r="AE297" i="98" s="1"/>
  <c r="AQ297" i="98" s="1"/>
  <c r="E297" i="98"/>
  <c r="W297" i="98" s="1"/>
  <c r="D297" i="98"/>
  <c r="N297" i="98" s="1"/>
  <c r="AL297" i="98" s="1"/>
  <c r="C297" i="98"/>
  <c r="EE297" i="98" s="1"/>
  <c r="B297" i="98"/>
  <c r="CJ296" i="98"/>
  <c r="CH296" i="98"/>
  <c r="CE296" i="98"/>
  <c r="CD296" i="98"/>
  <c r="CC296" i="98"/>
  <c r="CB296" i="98"/>
  <c r="CA296" i="98"/>
  <c r="BA296" i="98"/>
  <c r="EQ296" i="98" s="1"/>
  <c r="AW296" i="98"/>
  <c r="EM296" i="98" s="1"/>
  <c r="AS296" i="98"/>
  <c r="EI296" i="98" s="1"/>
  <c r="F296" i="98"/>
  <c r="AD296" i="98" s="1"/>
  <c r="AP296" i="98" s="1"/>
  <c r="E296" i="98"/>
  <c r="D296" i="98"/>
  <c r="N296" i="98" s="1"/>
  <c r="AL296" i="98" s="1"/>
  <c r="C296" i="98"/>
  <c r="EE296" i="98" s="1"/>
  <c r="B296" i="98"/>
  <c r="CJ295" i="98"/>
  <c r="CH295" i="98"/>
  <c r="CE295" i="98"/>
  <c r="CD295" i="98"/>
  <c r="CC295" i="98"/>
  <c r="CB295" i="98"/>
  <c r="CA295" i="98"/>
  <c r="BA295" i="98"/>
  <c r="EQ295" i="98" s="1"/>
  <c r="AW295" i="98"/>
  <c r="EM295" i="98" s="1"/>
  <c r="AS295" i="98"/>
  <c r="EI295" i="98" s="1"/>
  <c r="F295" i="98"/>
  <c r="AE295" i="98" s="1"/>
  <c r="AQ295" i="98" s="1"/>
  <c r="E295" i="98"/>
  <c r="D295" i="98"/>
  <c r="P295" i="98" s="1"/>
  <c r="AN295" i="98" s="1"/>
  <c r="C295" i="98"/>
  <c r="EE295" i="98" s="1"/>
  <c r="B295" i="98"/>
  <c r="CJ294" i="98"/>
  <c r="CH294" i="98"/>
  <c r="CE294" i="98"/>
  <c r="CD294" i="98"/>
  <c r="CC294" i="98"/>
  <c r="CB294" i="98"/>
  <c r="CA294" i="98"/>
  <c r="BA294" i="98"/>
  <c r="EQ294" i="98" s="1"/>
  <c r="AW294" i="98"/>
  <c r="EM294" i="98" s="1"/>
  <c r="AS294" i="98"/>
  <c r="EI294" i="98" s="1"/>
  <c r="F294" i="98"/>
  <c r="AE294" i="98" s="1"/>
  <c r="AQ294" i="98" s="1"/>
  <c r="E294" i="98"/>
  <c r="D294" i="98"/>
  <c r="N294" i="98" s="1"/>
  <c r="AL294" i="98" s="1"/>
  <c r="C294" i="98"/>
  <c r="EE294" i="98" s="1"/>
  <c r="B294" i="98"/>
  <c r="CJ293" i="98"/>
  <c r="CH293" i="98"/>
  <c r="CE293" i="98"/>
  <c r="CD293" i="98"/>
  <c r="CC293" i="98"/>
  <c r="CB293" i="98"/>
  <c r="CA293" i="98"/>
  <c r="BA293" i="98"/>
  <c r="EQ293" i="98" s="1"/>
  <c r="AW293" i="98"/>
  <c r="EM293" i="98" s="1"/>
  <c r="AS293" i="98"/>
  <c r="EI293" i="98" s="1"/>
  <c r="F293" i="98"/>
  <c r="AE293" i="98" s="1"/>
  <c r="AQ293" i="98" s="1"/>
  <c r="D293" i="98"/>
  <c r="O293" i="98" s="1"/>
  <c r="AM293" i="98" s="1"/>
  <c r="C293" i="98"/>
  <c r="EE293" i="98" s="1"/>
  <c r="B293" i="98"/>
  <c r="CJ292" i="98"/>
  <c r="CH292" i="98"/>
  <c r="CE292" i="98"/>
  <c r="CD292" i="98"/>
  <c r="CC292" i="98"/>
  <c r="CB292" i="98"/>
  <c r="CA292" i="98"/>
  <c r="BA292" i="98"/>
  <c r="EQ292" i="98" s="1"/>
  <c r="AW292" i="98"/>
  <c r="EM292" i="98" s="1"/>
  <c r="AS292" i="98"/>
  <c r="EI292" i="98" s="1"/>
  <c r="F292" i="98"/>
  <c r="EH292" i="98" s="1"/>
  <c r="E292" i="98"/>
  <c r="W292" i="98" s="1"/>
  <c r="D292" i="98"/>
  <c r="N292" i="98" s="1"/>
  <c r="AL292" i="98" s="1"/>
  <c r="C292" i="98"/>
  <c r="EE292" i="98" s="1"/>
  <c r="B292" i="98"/>
  <c r="CJ291" i="98"/>
  <c r="CH291" i="98"/>
  <c r="CE291" i="98"/>
  <c r="CD291" i="98"/>
  <c r="CC291" i="98"/>
  <c r="CB291" i="98"/>
  <c r="CA291" i="98"/>
  <c r="BA291" i="98"/>
  <c r="EQ291" i="98" s="1"/>
  <c r="AW291" i="98"/>
  <c r="EM291" i="98" s="1"/>
  <c r="AS291" i="98"/>
  <c r="EI291" i="98" s="1"/>
  <c r="F291" i="98"/>
  <c r="AD291" i="98" s="1"/>
  <c r="AP291" i="98" s="1"/>
  <c r="E291" i="98"/>
  <c r="D291" i="98"/>
  <c r="N291" i="98" s="1"/>
  <c r="AL291" i="98" s="1"/>
  <c r="C291" i="98"/>
  <c r="EE291" i="98" s="1"/>
  <c r="B291" i="98"/>
  <c r="CJ290" i="98"/>
  <c r="CH290" i="98"/>
  <c r="CE290" i="98"/>
  <c r="CD290" i="98"/>
  <c r="CC290" i="98"/>
  <c r="CB290" i="98"/>
  <c r="CA290" i="98"/>
  <c r="BA290" i="98"/>
  <c r="EQ290" i="98" s="1"/>
  <c r="AW290" i="98"/>
  <c r="EM290" i="98" s="1"/>
  <c r="AS290" i="98"/>
  <c r="EI290" i="98" s="1"/>
  <c r="F290" i="98"/>
  <c r="EH290" i="98" s="1"/>
  <c r="C290" i="98"/>
  <c r="EE290" i="98" s="1"/>
  <c r="B290" i="98"/>
  <c r="EI289" i="98"/>
  <c r="CJ289" i="98"/>
  <c r="CH289" i="98"/>
  <c r="CE289" i="98"/>
  <c r="CD289" i="98"/>
  <c r="CC289" i="98"/>
  <c r="CB289" i="98"/>
  <c r="CA289" i="98"/>
  <c r="BE289" i="98"/>
  <c r="BA289" i="98"/>
  <c r="EQ289" i="98" s="1"/>
  <c r="AW289" i="98"/>
  <c r="EM289" i="98" s="1"/>
  <c r="AV289" i="98"/>
  <c r="BH289" i="98" s="1"/>
  <c r="AU289" i="98"/>
  <c r="AT289" i="98"/>
  <c r="BF289" i="98" s="1"/>
  <c r="AD198" i="1"/>
  <c r="F289" i="98"/>
  <c r="E289" i="98"/>
  <c r="D289" i="98"/>
  <c r="C289" i="98"/>
  <c r="EE289" i="98" s="1"/>
  <c r="B289" i="98"/>
  <c r="EI288" i="98"/>
  <c r="CJ288" i="98"/>
  <c r="CH288" i="98"/>
  <c r="CE288" i="98"/>
  <c r="CD288" i="98"/>
  <c r="CC288" i="98"/>
  <c r="CB288" i="98"/>
  <c r="CA288" i="98"/>
  <c r="BE288" i="98"/>
  <c r="BA288" i="98"/>
  <c r="EQ288" i="98" s="1"/>
  <c r="AW288" i="98"/>
  <c r="BI288" i="98" s="1"/>
  <c r="AV288" i="98"/>
  <c r="EL288" i="98" s="1"/>
  <c r="AU288" i="98"/>
  <c r="BG288" i="98" s="1"/>
  <c r="AT288" i="98"/>
  <c r="EJ288" i="98" s="1"/>
  <c r="F288" i="98"/>
  <c r="AC288" i="98" s="1"/>
  <c r="AO288" i="98" s="1"/>
  <c r="E288" i="98"/>
  <c r="D288" i="98"/>
  <c r="O288" i="98" s="1"/>
  <c r="AM288" i="98" s="1"/>
  <c r="C288" i="98"/>
  <c r="EE288" i="98" s="1"/>
  <c r="B288" i="98"/>
  <c r="CJ287" i="98"/>
  <c r="CH287" i="98"/>
  <c r="CE287" i="98"/>
  <c r="CD287" i="98"/>
  <c r="CC287" i="98"/>
  <c r="CB287" i="98"/>
  <c r="CA287" i="98"/>
  <c r="BA287" i="98"/>
  <c r="EQ287" i="98" s="1"/>
  <c r="AW287" i="98"/>
  <c r="AS287" i="98"/>
  <c r="BE287" i="98" s="1"/>
  <c r="F287" i="98"/>
  <c r="AF287" i="98" s="1"/>
  <c r="AR287" i="98" s="1"/>
  <c r="E287" i="98"/>
  <c r="D287" i="98"/>
  <c r="P287" i="98" s="1"/>
  <c r="AN287" i="98" s="1"/>
  <c r="C287" i="98"/>
  <c r="EE287" i="98" s="1"/>
  <c r="B287" i="98"/>
  <c r="CJ286" i="98"/>
  <c r="CH286" i="98"/>
  <c r="CE286" i="98"/>
  <c r="CD286" i="98"/>
  <c r="CC286" i="98"/>
  <c r="CB286" i="98"/>
  <c r="CA286" i="98"/>
  <c r="BA286" i="98"/>
  <c r="EQ286" i="98" s="1"/>
  <c r="AW286" i="98"/>
  <c r="AS286" i="98"/>
  <c r="BE286" i="98" s="1"/>
  <c r="F286" i="98"/>
  <c r="AF286" i="98" s="1"/>
  <c r="AR286" i="98" s="1"/>
  <c r="E286" i="98"/>
  <c r="EG286" i="98" s="1"/>
  <c r="D286" i="98"/>
  <c r="P286" i="98" s="1"/>
  <c r="AN286" i="98" s="1"/>
  <c r="C286" i="98"/>
  <c r="EE286" i="98" s="1"/>
  <c r="B286" i="98"/>
  <c r="CJ285" i="98"/>
  <c r="CH285" i="98"/>
  <c r="CE285" i="98"/>
  <c r="CD285" i="98"/>
  <c r="CC285" i="98"/>
  <c r="CB285" i="98"/>
  <c r="CA285" i="98"/>
  <c r="BA285" i="98"/>
  <c r="EQ285" i="98" s="1"/>
  <c r="AW285" i="98"/>
  <c r="AS285" i="98"/>
  <c r="BE285" i="98" s="1"/>
  <c r="F285" i="98"/>
  <c r="AF285" i="98" s="1"/>
  <c r="AR285" i="98" s="1"/>
  <c r="E285" i="98"/>
  <c r="D285" i="98"/>
  <c r="P285" i="98" s="1"/>
  <c r="AN285" i="98" s="1"/>
  <c r="C285" i="98"/>
  <c r="EE285" i="98" s="1"/>
  <c r="B285" i="98"/>
  <c r="EI284" i="98"/>
  <c r="CJ284" i="98"/>
  <c r="CH284" i="98"/>
  <c r="CE284" i="98"/>
  <c r="CD284" i="98"/>
  <c r="CC284" i="98"/>
  <c r="CB284" i="98"/>
  <c r="CA284" i="98"/>
  <c r="BE284" i="98"/>
  <c r="AW284" i="98"/>
  <c r="BI284" i="98" s="1"/>
  <c r="AV284" i="98"/>
  <c r="BH284" i="98" s="1"/>
  <c r="AU284" i="98"/>
  <c r="EK284" i="98" s="1"/>
  <c r="AT284" i="98"/>
  <c r="BF284" i="98" s="1"/>
  <c r="AD195" i="1"/>
  <c r="B284" i="98"/>
  <c r="CJ283" i="98"/>
  <c r="CH283" i="98"/>
  <c r="CE283" i="98"/>
  <c r="CD283" i="98"/>
  <c r="CC283" i="98"/>
  <c r="CB283" i="98"/>
  <c r="CA283" i="98"/>
  <c r="BA283" i="98"/>
  <c r="EQ283" i="98" s="1"/>
  <c r="AX283" i="98"/>
  <c r="EN283" i="98" s="1"/>
  <c r="AW283" i="98"/>
  <c r="AY283" i="98" s="1"/>
  <c r="BK283" i="98" s="1"/>
  <c r="AS283" i="98"/>
  <c r="AU283" i="98" s="1"/>
  <c r="BG283" i="98" s="1"/>
  <c r="AD194" i="1"/>
  <c r="F283" i="98"/>
  <c r="E283" i="98"/>
  <c r="W283" i="98" s="1"/>
  <c r="D283" i="98"/>
  <c r="EF283" i="98" s="1"/>
  <c r="C283" i="98"/>
  <c r="EE283" i="98" s="1"/>
  <c r="B283" i="98"/>
  <c r="CJ282" i="98"/>
  <c r="CH282" i="98"/>
  <c r="CE282" i="98"/>
  <c r="CD282" i="98"/>
  <c r="CC282" i="98"/>
  <c r="CB282" i="98"/>
  <c r="CA282" i="98"/>
  <c r="BA282" i="98"/>
  <c r="EQ282" i="98" s="1"/>
  <c r="AW282" i="98"/>
  <c r="AY282" i="98" s="1"/>
  <c r="AS282" i="98"/>
  <c r="AU282" i="98" s="1"/>
  <c r="BG282" i="98" s="1"/>
  <c r="AD193" i="1"/>
  <c r="F282" i="98"/>
  <c r="AF282" i="98" s="1"/>
  <c r="AR282" i="98" s="1"/>
  <c r="E282" i="98"/>
  <c r="U282" i="98" s="1"/>
  <c r="D282" i="98"/>
  <c r="EF282" i="98" s="1"/>
  <c r="C282" i="98"/>
  <c r="EE282" i="98" s="1"/>
  <c r="B282" i="98"/>
  <c r="CJ281" i="98"/>
  <c r="CH281" i="98"/>
  <c r="CE281" i="98"/>
  <c r="CD281" i="98"/>
  <c r="CC281" i="98"/>
  <c r="CB281" i="98"/>
  <c r="CA281" i="98"/>
  <c r="BA281" i="98"/>
  <c r="EQ281" i="98" s="1"/>
  <c r="AW281" i="98"/>
  <c r="AY281" i="98" s="1"/>
  <c r="BK281" i="98" s="1"/>
  <c r="AS281" i="98"/>
  <c r="AU281" i="98" s="1"/>
  <c r="BG281" i="98" s="1"/>
  <c r="V281" i="98"/>
  <c r="F281" i="98"/>
  <c r="E281" i="98"/>
  <c r="W281" i="98" s="1"/>
  <c r="D281" i="98"/>
  <c r="EF281" i="98" s="1"/>
  <c r="C281" i="98"/>
  <c r="EE281" i="98" s="1"/>
  <c r="B281" i="98"/>
  <c r="CJ280" i="98"/>
  <c r="CH280" i="98"/>
  <c r="CE280" i="98"/>
  <c r="CD280" i="98"/>
  <c r="CC280" i="98"/>
  <c r="CB280" i="98"/>
  <c r="CA280" i="98"/>
  <c r="BA280" i="98"/>
  <c r="EQ280" i="98" s="1"/>
  <c r="AW280" i="98"/>
  <c r="AY280" i="98" s="1"/>
  <c r="BK280" i="98" s="1"/>
  <c r="AS280" i="98"/>
  <c r="AU280" i="98" s="1"/>
  <c r="BG280" i="98" s="1"/>
  <c r="F280" i="98"/>
  <c r="AF280" i="98" s="1"/>
  <c r="AR280" i="98" s="1"/>
  <c r="E280" i="98"/>
  <c r="V280" i="98" s="1"/>
  <c r="D280" i="98"/>
  <c r="EF280" i="98" s="1"/>
  <c r="C280" i="98"/>
  <c r="EE280" i="98" s="1"/>
  <c r="B280" i="98"/>
  <c r="EG279" i="98"/>
  <c r="CJ279" i="98"/>
  <c r="CH279" i="98"/>
  <c r="CE279" i="98"/>
  <c r="CD279" i="98"/>
  <c r="CC279" i="98"/>
  <c r="CB279" i="98"/>
  <c r="CA279" i="98"/>
  <c r="BA279" i="98"/>
  <c r="EQ279" i="98" s="1"/>
  <c r="AW279" i="98"/>
  <c r="AY279" i="98" s="1"/>
  <c r="BK279" i="98" s="1"/>
  <c r="AS279" i="98"/>
  <c r="AU279" i="98" s="1"/>
  <c r="BG279" i="98" s="1"/>
  <c r="V279" i="98"/>
  <c r="AD192" i="1"/>
  <c r="F279" i="98"/>
  <c r="E279" i="98"/>
  <c r="W279" i="98" s="1"/>
  <c r="D279" i="98"/>
  <c r="EF279" i="98" s="1"/>
  <c r="C279" i="98"/>
  <c r="EE279" i="98" s="1"/>
  <c r="B279" i="98"/>
  <c r="CJ278" i="98"/>
  <c r="CH278" i="98"/>
  <c r="CE278" i="98"/>
  <c r="CD278" i="98"/>
  <c r="CC278" i="98"/>
  <c r="CB278" i="98"/>
  <c r="CA278" i="98"/>
  <c r="BA278" i="98"/>
  <c r="EQ278" i="98" s="1"/>
  <c r="AW278" i="98"/>
  <c r="AY278" i="98" s="1"/>
  <c r="AS278" i="98"/>
  <c r="AU278" i="98" s="1"/>
  <c r="BG278" i="98" s="1"/>
  <c r="AD191" i="1"/>
  <c r="F278" i="98"/>
  <c r="AF278" i="98" s="1"/>
  <c r="AR278" i="98" s="1"/>
  <c r="E278" i="98"/>
  <c r="X278" i="98" s="1"/>
  <c r="D278" i="98"/>
  <c r="EF278" i="98" s="1"/>
  <c r="C278" i="98"/>
  <c r="EE278" i="98" s="1"/>
  <c r="B278" i="98"/>
  <c r="CJ277" i="98"/>
  <c r="CH277" i="98"/>
  <c r="CE277" i="98"/>
  <c r="CD277" i="98"/>
  <c r="CC277" i="98"/>
  <c r="CB277" i="98"/>
  <c r="CA277" i="98"/>
  <c r="BA277" i="98"/>
  <c r="EQ277" i="98" s="1"/>
  <c r="AW277" i="98"/>
  <c r="AS277" i="98"/>
  <c r="AU277" i="98" s="1"/>
  <c r="BG277" i="98" s="1"/>
  <c r="F277" i="98"/>
  <c r="E277" i="98"/>
  <c r="D277" i="98"/>
  <c r="EF277" i="98" s="1"/>
  <c r="C277" i="98"/>
  <c r="EE277" i="98" s="1"/>
  <c r="B277" i="98"/>
  <c r="CJ276" i="98"/>
  <c r="CH276" i="98"/>
  <c r="CE276" i="98"/>
  <c r="CD276" i="98"/>
  <c r="CC276" i="98"/>
  <c r="CB276" i="98"/>
  <c r="CA276" i="98"/>
  <c r="BA276" i="98"/>
  <c r="EQ276" i="98" s="1"/>
  <c r="AZ276" i="98"/>
  <c r="EP276" i="98" s="1"/>
  <c r="AW276" i="98"/>
  <c r="AY276" i="98" s="1"/>
  <c r="BK276" i="98" s="1"/>
  <c r="AS276" i="98"/>
  <c r="AU276" i="98" s="1"/>
  <c r="BG276" i="98" s="1"/>
  <c r="V276" i="98"/>
  <c r="F276" i="98"/>
  <c r="AF276" i="98" s="1"/>
  <c r="AR276" i="98" s="1"/>
  <c r="E276" i="98"/>
  <c r="W276" i="98" s="1"/>
  <c r="D276" i="98"/>
  <c r="EF276" i="98" s="1"/>
  <c r="C276" i="98"/>
  <c r="EE276" i="98" s="1"/>
  <c r="B276" i="98"/>
  <c r="CJ275" i="98"/>
  <c r="CH275" i="98"/>
  <c r="CE275" i="98"/>
  <c r="CD275" i="98"/>
  <c r="CC275" i="98"/>
  <c r="CB275" i="98"/>
  <c r="CA275" i="98"/>
  <c r="BA275" i="98"/>
  <c r="EQ275" i="98" s="1"/>
  <c r="AW275" i="98"/>
  <c r="AS275" i="98"/>
  <c r="AU275" i="98" s="1"/>
  <c r="BG275" i="98" s="1"/>
  <c r="F275" i="98"/>
  <c r="E275" i="98"/>
  <c r="W275" i="98" s="1"/>
  <c r="D275" i="98"/>
  <c r="EF275" i="98" s="1"/>
  <c r="C275" i="98"/>
  <c r="EE275" i="98" s="1"/>
  <c r="B275" i="98"/>
  <c r="CJ274" i="98"/>
  <c r="CH274" i="98"/>
  <c r="CE274" i="98"/>
  <c r="CD274" i="98"/>
  <c r="CC274" i="98"/>
  <c r="CB274" i="98"/>
  <c r="CA274" i="98"/>
  <c r="BC274" i="98"/>
  <c r="ES274" i="98" s="1"/>
  <c r="AW274" i="98"/>
  <c r="AY274" i="98" s="1"/>
  <c r="BK274" i="98" s="1"/>
  <c r="AV274" i="98"/>
  <c r="EL274" i="98" s="1"/>
  <c r="AU274" i="98"/>
  <c r="V274" i="98"/>
  <c r="P274" i="98"/>
  <c r="AN274" i="98" s="1"/>
  <c r="EG274" i="98"/>
  <c r="EE274" i="98"/>
  <c r="B274" i="98"/>
  <c r="EH273" i="98"/>
  <c r="EG273" i="98"/>
  <c r="EF273" i="98"/>
  <c r="CH273" i="98"/>
  <c r="CE273" i="98"/>
  <c r="CD273" i="98"/>
  <c r="CC273" i="98"/>
  <c r="CB273" i="98"/>
  <c r="CA273" i="98"/>
  <c r="BA273" i="98"/>
  <c r="EQ273" i="98" s="1"/>
  <c r="AZ273" i="98"/>
  <c r="EP273" i="98" s="1"/>
  <c r="AW273" i="98"/>
  <c r="AY273" i="98" s="1"/>
  <c r="BK273" i="98" s="1"/>
  <c r="AS273" i="98"/>
  <c r="AU273" i="98" s="1"/>
  <c r="AF273" i="98"/>
  <c r="AR273" i="98" s="1"/>
  <c r="AE273" i="98"/>
  <c r="AQ273" i="98" s="1"/>
  <c r="AD273" i="98"/>
  <c r="AP273" i="98" s="1"/>
  <c r="AC273" i="98"/>
  <c r="AO273" i="98" s="1"/>
  <c r="X273" i="98"/>
  <c r="W273" i="98"/>
  <c r="V273" i="98"/>
  <c r="U273" i="98"/>
  <c r="P273" i="98"/>
  <c r="AN273" i="98" s="1"/>
  <c r="O273" i="98"/>
  <c r="AM273" i="98" s="1"/>
  <c r="N273" i="98"/>
  <c r="AL273" i="98" s="1"/>
  <c r="C273" i="98"/>
  <c r="EE273" i="98" s="1"/>
  <c r="B273" i="98"/>
  <c r="EH272" i="98"/>
  <c r="EG272" i="98"/>
  <c r="EF272" i="98"/>
  <c r="CH272" i="98"/>
  <c r="CE272" i="98"/>
  <c r="CD272" i="98"/>
  <c r="CC272" i="98"/>
  <c r="CB272" i="98"/>
  <c r="CA272" i="98"/>
  <c r="BA272" i="98"/>
  <c r="EQ272" i="98" s="1"/>
  <c r="AW272" i="98"/>
  <c r="BI272" i="98" s="1"/>
  <c r="AS272" i="98"/>
  <c r="BE272" i="98" s="1"/>
  <c r="AF272" i="98"/>
  <c r="AR272" i="98" s="1"/>
  <c r="AE272" i="98"/>
  <c r="AQ272" i="98" s="1"/>
  <c r="AD272" i="98"/>
  <c r="AP272" i="98" s="1"/>
  <c r="AC272" i="98"/>
  <c r="AO272" i="98" s="1"/>
  <c r="X272" i="98"/>
  <c r="W272" i="98"/>
  <c r="V272" i="98"/>
  <c r="U272" i="98"/>
  <c r="P272" i="98"/>
  <c r="AN272" i="98" s="1"/>
  <c r="O272" i="98"/>
  <c r="AM272" i="98" s="1"/>
  <c r="N272" i="98"/>
  <c r="AL272" i="98" s="1"/>
  <c r="C272" i="98"/>
  <c r="EE272" i="98" s="1"/>
  <c r="B272" i="98"/>
  <c r="CJ271" i="98"/>
  <c r="CH271" i="98"/>
  <c r="CE271" i="98"/>
  <c r="CD271" i="98"/>
  <c r="CC271" i="98"/>
  <c r="CB271" i="98"/>
  <c r="CA271" i="98"/>
  <c r="BA271" i="98"/>
  <c r="EQ271" i="98" s="1"/>
  <c r="AW271" i="98"/>
  <c r="BI271" i="98" s="1"/>
  <c r="AS271" i="98"/>
  <c r="BE271" i="98" s="1"/>
  <c r="F271" i="98"/>
  <c r="EH271" i="98" s="1"/>
  <c r="E271" i="98"/>
  <c r="EG271" i="98" s="1"/>
  <c r="D271" i="98"/>
  <c r="C271" i="98"/>
  <c r="EE271" i="98" s="1"/>
  <c r="B271" i="98"/>
  <c r="EH270" i="98"/>
  <c r="EG270" i="98"/>
  <c r="EF270" i="98"/>
  <c r="CJ270" i="98"/>
  <c r="CH270" i="98"/>
  <c r="CE270" i="98"/>
  <c r="CD270" i="98"/>
  <c r="CC270" i="98"/>
  <c r="CB270" i="98"/>
  <c r="CA270" i="98"/>
  <c r="BA270" i="98"/>
  <c r="EQ270" i="98" s="1"/>
  <c r="AW270" i="98"/>
  <c r="BI270" i="98" s="1"/>
  <c r="AS270" i="98"/>
  <c r="BE270" i="98" s="1"/>
  <c r="AF270" i="98"/>
  <c r="AR270" i="98" s="1"/>
  <c r="AE270" i="98"/>
  <c r="AQ270" i="98" s="1"/>
  <c r="AD270" i="98"/>
  <c r="AP270" i="98" s="1"/>
  <c r="AC270" i="98"/>
  <c r="AO270" i="98" s="1"/>
  <c r="X270" i="98"/>
  <c r="W270" i="98"/>
  <c r="V270" i="98"/>
  <c r="U270" i="98"/>
  <c r="P270" i="98"/>
  <c r="AN270" i="98" s="1"/>
  <c r="O270" i="98"/>
  <c r="AM270" i="98" s="1"/>
  <c r="N270" i="98"/>
  <c r="AL270" i="98" s="1"/>
  <c r="C270" i="98"/>
  <c r="EE270" i="98" s="1"/>
  <c r="B270" i="98"/>
  <c r="EH269" i="98"/>
  <c r="EG269" i="98"/>
  <c r="EF269" i="98"/>
  <c r="CJ269" i="98"/>
  <c r="CH269" i="98"/>
  <c r="CE269" i="98"/>
  <c r="CD269" i="98"/>
  <c r="CC269" i="98"/>
  <c r="CB269" i="98"/>
  <c r="CA269" i="98"/>
  <c r="BA269" i="98"/>
  <c r="EQ269" i="98" s="1"/>
  <c r="AW269" i="98"/>
  <c r="EM269" i="98" s="1"/>
  <c r="AS269" i="98"/>
  <c r="EI269" i="98" s="1"/>
  <c r="AF269" i="98"/>
  <c r="AR269" i="98" s="1"/>
  <c r="AE269" i="98"/>
  <c r="AQ269" i="98" s="1"/>
  <c r="AD269" i="98"/>
  <c r="AP269" i="98" s="1"/>
  <c r="AC269" i="98"/>
  <c r="AO269" i="98" s="1"/>
  <c r="X269" i="98"/>
  <c r="W269" i="98"/>
  <c r="V269" i="98"/>
  <c r="U269" i="98"/>
  <c r="P269" i="98"/>
  <c r="AN269" i="98" s="1"/>
  <c r="O269" i="98"/>
  <c r="AM269" i="98" s="1"/>
  <c r="N269" i="98"/>
  <c r="AL269" i="98" s="1"/>
  <c r="C269" i="98"/>
  <c r="EE269" i="98" s="1"/>
  <c r="B269" i="98"/>
  <c r="EH268" i="98"/>
  <c r="EG268" i="98"/>
  <c r="EF268" i="98"/>
  <c r="CJ268" i="98"/>
  <c r="CH268" i="98"/>
  <c r="CE268" i="98"/>
  <c r="CD268" i="98"/>
  <c r="CC268" i="98"/>
  <c r="CB268" i="98"/>
  <c r="CA268" i="98"/>
  <c r="BA268" i="98"/>
  <c r="EQ268" i="98" s="1"/>
  <c r="AW268" i="98"/>
  <c r="AY268" i="98" s="1"/>
  <c r="BK268" i="98" s="1"/>
  <c r="AF268" i="98"/>
  <c r="AR268" i="98" s="1"/>
  <c r="AE268" i="98"/>
  <c r="AQ268" i="98" s="1"/>
  <c r="AD268" i="98"/>
  <c r="AP268" i="98" s="1"/>
  <c r="AC268" i="98"/>
  <c r="AO268" i="98" s="1"/>
  <c r="X268" i="98"/>
  <c r="W268" i="98"/>
  <c r="V268" i="98"/>
  <c r="U268" i="98"/>
  <c r="P268" i="98"/>
  <c r="AN268" i="98" s="1"/>
  <c r="O268" i="98"/>
  <c r="AM268" i="98" s="1"/>
  <c r="N268" i="98"/>
  <c r="AL268" i="98" s="1"/>
  <c r="C268" i="98"/>
  <c r="EE268" i="98" s="1"/>
  <c r="B268" i="98"/>
  <c r="CJ267" i="98"/>
  <c r="CH267" i="98"/>
  <c r="CE267" i="98"/>
  <c r="CD267" i="98"/>
  <c r="CC267" i="98"/>
  <c r="CB267" i="98"/>
  <c r="CA267" i="98"/>
  <c r="AW267" i="98"/>
  <c r="BI267" i="98" s="1"/>
  <c r="P267" i="98"/>
  <c r="AN267" i="98" s="1"/>
  <c r="B267" i="98"/>
  <c r="CJ266" i="98"/>
  <c r="CH266" i="98"/>
  <c r="CE266" i="98"/>
  <c r="CD266" i="98"/>
  <c r="CC266" i="98"/>
  <c r="CB266" i="98"/>
  <c r="CA266" i="98"/>
  <c r="AW266" i="98"/>
  <c r="BI266" i="98" s="1"/>
  <c r="BE266" i="98"/>
  <c r="AF266" i="98"/>
  <c r="AR266" i="98" s="1"/>
  <c r="EG266" i="98"/>
  <c r="EE266" i="98"/>
  <c r="B266" i="98"/>
  <c r="CJ265" i="98"/>
  <c r="CH265" i="98"/>
  <c r="CE265" i="98"/>
  <c r="CD265" i="98"/>
  <c r="CC265" i="98"/>
  <c r="CB265" i="98"/>
  <c r="CA265" i="98"/>
  <c r="AW265" i="98"/>
  <c r="BI265" i="98" s="1"/>
  <c r="B265" i="98"/>
  <c r="CJ264" i="98"/>
  <c r="CH264" i="98"/>
  <c r="CE264" i="98"/>
  <c r="CD264" i="98"/>
  <c r="CC264" i="98"/>
  <c r="CB264" i="98"/>
  <c r="CA264" i="98"/>
  <c r="AW264" i="98"/>
  <c r="AY264" i="98" s="1"/>
  <c r="B264" i="98"/>
  <c r="EH263" i="98"/>
  <c r="EG263" i="98"/>
  <c r="EF263" i="98"/>
  <c r="CJ263" i="98"/>
  <c r="CH263" i="98"/>
  <c r="CE263" i="98"/>
  <c r="CD263" i="98"/>
  <c r="CC263" i="98"/>
  <c r="CB263" i="98"/>
  <c r="CA263" i="98"/>
  <c r="BA263" i="98"/>
  <c r="EQ263" i="98" s="1"/>
  <c r="AW263" i="98"/>
  <c r="BI263" i="98" s="1"/>
  <c r="AS263" i="98"/>
  <c r="AF263" i="98"/>
  <c r="AR263" i="98" s="1"/>
  <c r="AE263" i="98"/>
  <c r="AQ263" i="98" s="1"/>
  <c r="AD263" i="98"/>
  <c r="AP263" i="98" s="1"/>
  <c r="AC263" i="98"/>
  <c r="AO263" i="98" s="1"/>
  <c r="X263" i="98"/>
  <c r="W263" i="98"/>
  <c r="V263" i="98"/>
  <c r="U263" i="98"/>
  <c r="P263" i="98"/>
  <c r="AN263" i="98" s="1"/>
  <c r="O263" i="98"/>
  <c r="AM263" i="98" s="1"/>
  <c r="N263" i="98"/>
  <c r="AL263" i="98" s="1"/>
  <c r="C263" i="98"/>
  <c r="EE263" i="98" s="1"/>
  <c r="B263" i="98"/>
  <c r="EH262" i="98"/>
  <c r="EG262" i="98"/>
  <c r="EF262" i="98"/>
  <c r="CJ262" i="98"/>
  <c r="CH262" i="98"/>
  <c r="CE262" i="98"/>
  <c r="CD262" i="98"/>
  <c r="CC262" i="98"/>
  <c r="CB262" i="98"/>
  <c r="CA262" i="98"/>
  <c r="BA262" i="98"/>
  <c r="EQ262" i="98" s="1"/>
  <c r="AW262" i="98"/>
  <c r="BI262" i="98" s="1"/>
  <c r="AS262" i="98"/>
  <c r="BE262" i="98" s="1"/>
  <c r="AF262" i="98"/>
  <c r="AR262" i="98" s="1"/>
  <c r="AE262" i="98"/>
  <c r="AQ262" i="98" s="1"/>
  <c r="AD262" i="98"/>
  <c r="AP262" i="98" s="1"/>
  <c r="AC262" i="98"/>
  <c r="AO262" i="98" s="1"/>
  <c r="X262" i="98"/>
  <c r="W262" i="98"/>
  <c r="V262" i="98"/>
  <c r="U262" i="98"/>
  <c r="P262" i="98"/>
  <c r="AN262" i="98" s="1"/>
  <c r="O262" i="98"/>
  <c r="AM262" i="98" s="1"/>
  <c r="N262" i="98"/>
  <c r="AL262" i="98" s="1"/>
  <c r="C262" i="98"/>
  <c r="EE262" i="98" s="1"/>
  <c r="B262" i="98"/>
  <c r="EH261" i="98"/>
  <c r="EG261" i="98"/>
  <c r="EF261" i="98"/>
  <c r="CJ261" i="98"/>
  <c r="CH261" i="98"/>
  <c r="CE261" i="98"/>
  <c r="CD261" i="98"/>
  <c r="CC261" i="98"/>
  <c r="CB261" i="98"/>
  <c r="CA261" i="98"/>
  <c r="BA261" i="98"/>
  <c r="EQ261" i="98" s="1"/>
  <c r="AW261" i="98"/>
  <c r="AS261" i="98"/>
  <c r="BE261" i="98" s="1"/>
  <c r="AF261" i="98"/>
  <c r="AR261" i="98" s="1"/>
  <c r="AE261" i="98"/>
  <c r="AQ261" i="98" s="1"/>
  <c r="AD261" i="98"/>
  <c r="AP261" i="98" s="1"/>
  <c r="AC261" i="98"/>
  <c r="AO261" i="98" s="1"/>
  <c r="X261" i="98"/>
  <c r="W261" i="98"/>
  <c r="V261" i="98"/>
  <c r="U261" i="98"/>
  <c r="P261" i="98"/>
  <c r="AN261" i="98" s="1"/>
  <c r="O261" i="98"/>
  <c r="AM261" i="98" s="1"/>
  <c r="N261" i="98"/>
  <c r="AL261" i="98" s="1"/>
  <c r="C261" i="98"/>
  <c r="EE261" i="98" s="1"/>
  <c r="B261" i="98"/>
  <c r="CJ260" i="98"/>
  <c r="CH260" i="98"/>
  <c r="CE260" i="98"/>
  <c r="CD260" i="98"/>
  <c r="CC260" i="98"/>
  <c r="CB260" i="98"/>
  <c r="CA260" i="98"/>
  <c r="BD260" i="98"/>
  <c r="ET260" i="98" s="1"/>
  <c r="BC260" i="98"/>
  <c r="ES260" i="98" s="1"/>
  <c r="AW260" i="98"/>
  <c r="AY260" i="98" s="1"/>
  <c r="AU260" i="98"/>
  <c r="BG260" i="98" s="1"/>
  <c r="X260" i="98"/>
  <c r="V260" i="98"/>
  <c r="AF260" i="98"/>
  <c r="AR260" i="98" s="1"/>
  <c r="W260" i="98"/>
  <c r="EE260" i="98"/>
  <c r="B260" i="98"/>
  <c r="EH259" i="98"/>
  <c r="EG259" i="98"/>
  <c r="EF259" i="98"/>
  <c r="CJ259" i="98"/>
  <c r="CH259" i="98"/>
  <c r="CE259" i="98"/>
  <c r="CD259" i="98"/>
  <c r="CC259" i="98"/>
  <c r="CB259" i="98"/>
  <c r="CA259" i="98"/>
  <c r="BA259" i="98"/>
  <c r="EQ259" i="98" s="1"/>
  <c r="AW259" i="98"/>
  <c r="AY259" i="98" s="1"/>
  <c r="BK259" i="98" s="1"/>
  <c r="AF259" i="98"/>
  <c r="AR259" i="98" s="1"/>
  <c r="AE259" i="98"/>
  <c r="AQ259" i="98" s="1"/>
  <c r="AD259" i="98"/>
  <c r="AP259" i="98" s="1"/>
  <c r="AC259" i="98"/>
  <c r="AO259" i="98" s="1"/>
  <c r="X259" i="98"/>
  <c r="W259" i="98"/>
  <c r="V259" i="98"/>
  <c r="U259" i="98"/>
  <c r="N259" i="98"/>
  <c r="AL259" i="98" s="1"/>
  <c r="P259" i="98"/>
  <c r="AN259" i="98" s="1"/>
  <c r="O259" i="98"/>
  <c r="AM259" i="98" s="1"/>
  <c r="C259" i="98"/>
  <c r="EE259" i="98" s="1"/>
  <c r="B259" i="98"/>
  <c r="EH258" i="98"/>
  <c r="EG258" i="98"/>
  <c r="EF258" i="98"/>
  <c r="CJ258" i="98"/>
  <c r="CH258" i="98"/>
  <c r="CE258" i="98"/>
  <c r="CD258" i="98"/>
  <c r="CC258" i="98"/>
  <c r="CB258" i="98"/>
  <c r="CA258" i="98"/>
  <c r="BA258" i="98"/>
  <c r="EQ258" i="98" s="1"/>
  <c r="AW258" i="98"/>
  <c r="AF258" i="98"/>
  <c r="AR258" i="98" s="1"/>
  <c r="AE258" i="98"/>
  <c r="AQ258" i="98" s="1"/>
  <c r="AD258" i="98"/>
  <c r="AP258" i="98" s="1"/>
  <c r="AC258" i="98"/>
  <c r="AO258" i="98" s="1"/>
  <c r="X258" i="98"/>
  <c r="W258" i="98"/>
  <c r="V258" i="98"/>
  <c r="U258" i="98"/>
  <c r="P258" i="98"/>
  <c r="AN258" i="98" s="1"/>
  <c r="O258" i="98"/>
  <c r="AM258" i="98" s="1"/>
  <c r="N258" i="98"/>
  <c r="AL258" i="98" s="1"/>
  <c r="C258" i="98"/>
  <c r="EE258" i="98" s="1"/>
  <c r="B258" i="98"/>
  <c r="EH257" i="98"/>
  <c r="EG257" i="98"/>
  <c r="EF257" i="98"/>
  <c r="CJ257" i="98"/>
  <c r="CH257" i="98"/>
  <c r="CE257" i="98"/>
  <c r="CD257" i="98"/>
  <c r="CC257" i="98"/>
  <c r="CB257" i="98"/>
  <c r="CA257" i="98"/>
  <c r="BA257" i="98"/>
  <c r="EQ257" i="98" s="1"/>
  <c r="AW257" i="98"/>
  <c r="BI257" i="98" s="1"/>
  <c r="AF257" i="98"/>
  <c r="AR257" i="98" s="1"/>
  <c r="AE257" i="98"/>
  <c r="AQ257" i="98" s="1"/>
  <c r="AD257" i="98"/>
  <c r="AP257" i="98" s="1"/>
  <c r="AC257" i="98"/>
  <c r="AO257" i="98" s="1"/>
  <c r="X257" i="98"/>
  <c r="W257" i="98"/>
  <c r="V257" i="98"/>
  <c r="U257" i="98"/>
  <c r="P257" i="98"/>
  <c r="AN257" i="98" s="1"/>
  <c r="O257" i="98"/>
  <c r="AM257" i="98" s="1"/>
  <c r="N257" i="98"/>
  <c r="AL257" i="98" s="1"/>
  <c r="C257" i="98"/>
  <c r="EE257" i="98" s="1"/>
  <c r="B257" i="98"/>
  <c r="EH256" i="98"/>
  <c r="EG256" i="98"/>
  <c r="EF256" i="98"/>
  <c r="CJ256" i="98"/>
  <c r="CH256" i="98"/>
  <c r="CE256" i="98"/>
  <c r="CD256" i="98"/>
  <c r="CC256" i="98"/>
  <c r="CB256" i="98"/>
  <c r="CA256" i="98"/>
  <c r="BA256" i="98"/>
  <c r="EQ256" i="98" s="1"/>
  <c r="AW256" i="98"/>
  <c r="BI256" i="98" s="1"/>
  <c r="AF256" i="98"/>
  <c r="AR256" i="98" s="1"/>
  <c r="AE256" i="98"/>
  <c r="AQ256" i="98" s="1"/>
  <c r="AD256" i="98"/>
  <c r="AP256" i="98" s="1"/>
  <c r="AC256" i="98"/>
  <c r="AO256" i="98" s="1"/>
  <c r="X256" i="98"/>
  <c r="W256" i="98"/>
  <c r="V256" i="98"/>
  <c r="U256" i="98"/>
  <c r="P256" i="98"/>
  <c r="AN256" i="98" s="1"/>
  <c r="O256" i="98"/>
  <c r="AM256" i="98" s="1"/>
  <c r="N256" i="98"/>
  <c r="AL256" i="98" s="1"/>
  <c r="C256" i="98"/>
  <c r="EE256" i="98" s="1"/>
  <c r="B256" i="98"/>
  <c r="EH255" i="98"/>
  <c r="EG255" i="98"/>
  <c r="EF255" i="98"/>
  <c r="CJ255" i="98"/>
  <c r="CH255" i="98"/>
  <c r="CE255" i="98"/>
  <c r="CD255" i="98"/>
  <c r="CC255" i="98"/>
  <c r="CB255" i="98"/>
  <c r="CA255" i="98"/>
  <c r="BA255" i="98"/>
  <c r="EQ255" i="98" s="1"/>
  <c r="AW255" i="98"/>
  <c r="BI255" i="98" s="1"/>
  <c r="AF255" i="98"/>
  <c r="AR255" i="98" s="1"/>
  <c r="AE255" i="98"/>
  <c r="AQ255" i="98" s="1"/>
  <c r="AD255" i="98"/>
  <c r="AP255" i="98" s="1"/>
  <c r="AC255" i="98"/>
  <c r="AO255" i="98" s="1"/>
  <c r="X255" i="98"/>
  <c r="W255" i="98"/>
  <c r="V255" i="98"/>
  <c r="U255" i="98"/>
  <c r="N255" i="98"/>
  <c r="AL255" i="98" s="1"/>
  <c r="P255" i="98"/>
  <c r="AN255" i="98" s="1"/>
  <c r="O255" i="98"/>
  <c r="AM255" i="98" s="1"/>
  <c r="C255" i="98"/>
  <c r="EE255" i="98" s="1"/>
  <c r="B255" i="98"/>
  <c r="EH254" i="98"/>
  <c r="EG254" i="98"/>
  <c r="EF254" i="98"/>
  <c r="CJ254" i="98"/>
  <c r="CH254" i="98"/>
  <c r="CE254" i="98"/>
  <c r="CD254" i="98"/>
  <c r="CC254" i="98"/>
  <c r="CB254" i="98"/>
  <c r="CA254" i="98"/>
  <c r="BA254" i="98"/>
  <c r="EQ254" i="98" s="1"/>
  <c r="AW254" i="98"/>
  <c r="EM254" i="98" s="1"/>
  <c r="AF254" i="98"/>
  <c r="AR254" i="98" s="1"/>
  <c r="AE254" i="98"/>
  <c r="AQ254" i="98" s="1"/>
  <c r="AD254" i="98"/>
  <c r="AP254" i="98" s="1"/>
  <c r="AC254" i="98"/>
  <c r="AO254" i="98" s="1"/>
  <c r="X254" i="98"/>
  <c r="W254" i="98"/>
  <c r="V254" i="98"/>
  <c r="U254" i="98"/>
  <c r="P254" i="98"/>
  <c r="AN254" i="98" s="1"/>
  <c r="O254" i="98"/>
  <c r="AM254" i="98" s="1"/>
  <c r="N254" i="98"/>
  <c r="AL254" i="98" s="1"/>
  <c r="C254" i="98"/>
  <c r="EE254" i="98" s="1"/>
  <c r="B254" i="98"/>
  <c r="EH253" i="98"/>
  <c r="EG253" i="98"/>
  <c r="EF253" i="98"/>
  <c r="CJ253" i="98"/>
  <c r="CH253" i="98"/>
  <c r="CE253" i="98"/>
  <c r="CD253" i="98"/>
  <c r="CC253" i="98"/>
  <c r="CB253" i="98"/>
  <c r="CA253" i="98"/>
  <c r="BA253" i="98"/>
  <c r="EQ253" i="98" s="1"/>
  <c r="AW253" i="98"/>
  <c r="AY253" i="98" s="1"/>
  <c r="BK253" i="98" s="1"/>
  <c r="AF253" i="98"/>
  <c r="AR253" i="98" s="1"/>
  <c r="AE253" i="98"/>
  <c r="AQ253" i="98" s="1"/>
  <c r="AD253" i="98"/>
  <c r="AP253" i="98" s="1"/>
  <c r="AC253" i="98"/>
  <c r="AO253" i="98" s="1"/>
  <c r="X253" i="98"/>
  <c r="W253" i="98"/>
  <c r="V253" i="98"/>
  <c r="U253" i="98"/>
  <c r="P253" i="98"/>
  <c r="AN253" i="98" s="1"/>
  <c r="O253" i="98"/>
  <c r="AM253" i="98" s="1"/>
  <c r="N253" i="98"/>
  <c r="AL253" i="98" s="1"/>
  <c r="C253" i="98"/>
  <c r="EE253" i="98" s="1"/>
  <c r="B253" i="98"/>
  <c r="EH252" i="98"/>
  <c r="EG252" i="98"/>
  <c r="EF252" i="98"/>
  <c r="CJ252" i="98"/>
  <c r="CH252" i="98"/>
  <c r="CE252" i="98"/>
  <c r="CD252" i="98"/>
  <c r="CC252" i="98"/>
  <c r="CB252" i="98"/>
  <c r="CA252" i="98"/>
  <c r="BA252" i="98"/>
  <c r="EQ252" i="98" s="1"/>
  <c r="AW252" i="98"/>
  <c r="BI252" i="98" s="1"/>
  <c r="AF252" i="98"/>
  <c r="AR252" i="98" s="1"/>
  <c r="AE252" i="98"/>
  <c r="AQ252" i="98" s="1"/>
  <c r="AD252" i="98"/>
  <c r="AP252" i="98" s="1"/>
  <c r="AC252" i="98"/>
  <c r="AO252" i="98" s="1"/>
  <c r="X252" i="98"/>
  <c r="W252" i="98"/>
  <c r="V252" i="98"/>
  <c r="U252" i="98"/>
  <c r="P252" i="98"/>
  <c r="AN252" i="98" s="1"/>
  <c r="O252" i="98"/>
  <c r="AM252" i="98" s="1"/>
  <c r="N252" i="98"/>
  <c r="AL252" i="98" s="1"/>
  <c r="C252" i="98"/>
  <c r="EE252" i="98" s="1"/>
  <c r="B252" i="98"/>
  <c r="EH251" i="98"/>
  <c r="EG251" i="98"/>
  <c r="EF251" i="98"/>
  <c r="CJ251" i="98"/>
  <c r="CH251" i="98"/>
  <c r="CE251" i="98"/>
  <c r="CD251" i="98"/>
  <c r="CC251" i="98"/>
  <c r="CB251" i="98"/>
  <c r="CA251" i="98"/>
  <c r="BA251" i="98"/>
  <c r="EQ251" i="98" s="1"/>
  <c r="AW251" i="98"/>
  <c r="BI251" i="98" s="1"/>
  <c r="AF251" i="98"/>
  <c r="AR251" i="98" s="1"/>
  <c r="AE251" i="98"/>
  <c r="AQ251" i="98" s="1"/>
  <c r="AD251" i="98"/>
  <c r="AP251" i="98" s="1"/>
  <c r="AC251" i="98"/>
  <c r="AO251" i="98" s="1"/>
  <c r="X251" i="98"/>
  <c r="W251" i="98"/>
  <c r="V251" i="98"/>
  <c r="U251" i="98"/>
  <c r="P251" i="98"/>
  <c r="AN251" i="98" s="1"/>
  <c r="O251" i="98"/>
  <c r="AM251" i="98" s="1"/>
  <c r="N251" i="98"/>
  <c r="AL251" i="98" s="1"/>
  <c r="C251" i="98"/>
  <c r="EE251" i="98" s="1"/>
  <c r="B251" i="98"/>
  <c r="CJ250" i="98"/>
  <c r="CH250" i="98"/>
  <c r="CE250" i="98"/>
  <c r="CD250" i="98"/>
  <c r="CC250" i="98"/>
  <c r="CB250" i="98"/>
  <c r="CA250" i="98"/>
  <c r="EQ250" i="98"/>
  <c r="AW250" i="98"/>
  <c r="EM250" i="98" s="1"/>
  <c r="AU250" i="98"/>
  <c r="EK250" i="98" s="1"/>
  <c r="EI250" i="98"/>
  <c r="W250" i="98"/>
  <c r="N250" i="98"/>
  <c r="AL250" i="98" s="1"/>
  <c r="B250" i="98"/>
  <c r="ET249" i="98"/>
  <c r="ES249" i="98"/>
  <c r="ER249" i="98"/>
  <c r="EQ249" i="98"/>
  <c r="EP249" i="98"/>
  <c r="EO249" i="98"/>
  <c r="EN249" i="98"/>
  <c r="EM249" i="98"/>
  <c r="EL249" i="98"/>
  <c r="EK249" i="98"/>
  <c r="EJ249" i="98"/>
  <c r="EI249" i="98"/>
  <c r="EH249" i="98"/>
  <c r="EG249" i="98"/>
  <c r="EF249" i="98"/>
  <c r="EE249" i="98"/>
  <c r="ET248" i="98"/>
  <c r="ES248" i="98"/>
  <c r="ER248" i="98"/>
  <c r="EQ248" i="98"/>
  <c r="EP248" i="98"/>
  <c r="EO248" i="98"/>
  <c r="EN248" i="98"/>
  <c r="EM248" i="98"/>
  <c r="EL248" i="98"/>
  <c r="EK248" i="98"/>
  <c r="EJ248" i="98"/>
  <c r="EI248" i="98"/>
  <c r="EH248" i="98"/>
  <c r="EG248" i="98"/>
  <c r="EF248" i="98"/>
  <c r="EE248" i="98"/>
  <c r="ET247" i="98"/>
  <c r="ES247" i="98"/>
  <c r="ER247" i="98"/>
  <c r="EQ247" i="98"/>
  <c r="EP247" i="98"/>
  <c r="EO247" i="98"/>
  <c r="EN247" i="98"/>
  <c r="EM247" i="98"/>
  <c r="EL247" i="98"/>
  <c r="EK247" i="98"/>
  <c r="EJ247" i="98"/>
  <c r="EI247" i="98"/>
  <c r="EH247" i="98"/>
  <c r="EG247" i="98"/>
  <c r="EF247" i="98"/>
  <c r="EE247" i="98"/>
  <c r="EQ246" i="98"/>
  <c r="EM246" i="98"/>
  <c r="EI246" i="98"/>
  <c r="EH246" i="98"/>
  <c r="EG246" i="98"/>
  <c r="EF246" i="98"/>
  <c r="EE246" i="98"/>
  <c r="CK246" i="98"/>
  <c r="BI246" i="98"/>
  <c r="BE246" i="98"/>
  <c r="BD246" i="98"/>
  <c r="ET246" i="98" s="1"/>
  <c r="BC246" i="98"/>
  <c r="BB246" i="98"/>
  <c r="ER246" i="98" s="1"/>
  <c r="AZ246" i="98"/>
  <c r="BL246" i="98" s="1"/>
  <c r="AY246" i="98"/>
  <c r="EO246" i="98" s="1"/>
  <c r="AX246" i="98"/>
  <c r="EN246" i="98" s="1"/>
  <c r="AV246" i="98"/>
  <c r="BH246" i="98" s="1"/>
  <c r="AU246" i="98"/>
  <c r="AT246" i="98"/>
  <c r="BF246" i="98" s="1"/>
  <c r="AF246" i="98"/>
  <c r="AR246" i="98" s="1"/>
  <c r="AE246" i="98"/>
  <c r="AQ246" i="98" s="1"/>
  <c r="AD246" i="98"/>
  <c r="AP246" i="98" s="1"/>
  <c r="AC246" i="98"/>
  <c r="AO246" i="98" s="1"/>
  <c r="X246" i="98"/>
  <c r="W246" i="98"/>
  <c r="V246" i="98"/>
  <c r="U246" i="98"/>
  <c r="P246" i="98"/>
  <c r="AN246" i="98" s="1"/>
  <c r="O246" i="98"/>
  <c r="AM246" i="98" s="1"/>
  <c r="N246" i="98"/>
  <c r="AL246" i="98" s="1"/>
  <c r="M246" i="98"/>
  <c r="AK246" i="98" s="1"/>
  <c r="EQ245" i="98"/>
  <c r="EM245" i="98"/>
  <c r="EI245" i="98"/>
  <c r="EH245" i="98"/>
  <c r="EG245" i="98"/>
  <c r="EF245" i="98"/>
  <c r="EE245" i="98"/>
  <c r="CK245" i="98"/>
  <c r="BI245" i="98"/>
  <c r="BE245" i="98"/>
  <c r="BD245" i="98"/>
  <c r="ET245" i="98" s="1"/>
  <c r="BC245" i="98"/>
  <c r="BB245" i="98"/>
  <c r="ER245" i="98" s="1"/>
  <c r="AZ245" i="98"/>
  <c r="BL245" i="98" s="1"/>
  <c r="AY245" i="98"/>
  <c r="EO245" i="98" s="1"/>
  <c r="AX245" i="98"/>
  <c r="EN245" i="98" s="1"/>
  <c r="AV245" i="98"/>
  <c r="BH245" i="98" s="1"/>
  <c r="AU245" i="98"/>
  <c r="AT245" i="98"/>
  <c r="EJ245" i="98" s="1"/>
  <c r="AF245" i="98"/>
  <c r="AR245" i="98" s="1"/>
  <c r="AE245" i="98"/>
  <c r="AQ245" i="98" s="1"/>
  <c r="AD245" i="98"/>
  <c r="AP245" i="98" s="1"/>
  <c r="X245" i="98"/>
  <c r="W245" i="98"/>
  <c r="V245" i="98"/>
  <c r="U245" i="98"/>
  <c r="P245" i="98"/>
  <c r="AN245" i="98" s="1"/>
  <c r="O245" i="98"/>
  <c r="AM245" i="98" s="1"/>
  <c r="N245" i="98"/>
  <c r="AL245" i="98" s="1"/>
  <c r="EQ244" i="98"/>
  <c r="EM244" i="98"/>
  <c r="EI244" i="98"/>
  <c r="EH244" i="98"/>
  <c r="EG244" i="98"/>
  <c r="EF244" i="98"/>
  <c r="EE244" i="98"/>
  <c r="BI244" i="98"/>
  <c r="BE244" i="98"/>
  <c r="BD244" i="98"/>
  <c r="BC244" i="98"/>
  <c r="BB244" i="98"/>
  <c r="AZ244" i="98"/>
  <c r="BL244" i="98" s="1"/>
  <c r="AY244" i="98"/>
  <c r="AX244" i="98"/>
  <c r="EN244" i="98" s="1"/>
  <c r="AV244" i="98"/>
  <c r="EL244" i="98" s="1"/>
  <c r="AU244" i="98"/>
  <c r="EK244" i="98" s="1"/>
  <c r="AT244" i="98"/>
  <c r="AF244" i="98"/>
  <c r="AR244" i="98" s="1"/>
  <c r="AE244" i="98"/>
  <c r="AQ244" i="98" s="1"/>
  <c r="AD244" i="98"/>
  <c r="AP244" i="98" s="1"/>
  <c r="AC244" i="98"/>
  <c r="AO244" i="98" s="1"/>
  <c r="X244" i="98"/>
  <c r="W244" i="98"/>
  <c r="V244" i="98"/>
  <c r="U244" i="98"/>
  <c r="P244" i="98"/>
  <c r="AN244" i="98" s="1"/>
  <c r="O244" i="98"/>
  <c r="AM244" i="98" s="1"/>
  <c r="N244" i="98"/>
  <c r="AL244" i="98" s="1"/>
  <c r="M244" i="98"/>
  <c r="AK244" i="98" s="1"/>
  <c r="EQ243" i="98"/>
  <c r="EM243" i="98"/>
  <c r="EI243" i="98"/>
  <c r="EH243" i="98"/>
  <c r="EG243" i="98"/>
  <c r="EF243" i="98"/>
  <c r="EE243" i="98"/>
  <c r="BI243" i="98"/>
  <c r="BE243" i="98"/>
  <c r="BD243" i="98"/>
  <c r="BC243" i="98"/>
  <c r="BB243" i="98"/>
  <c r="AZ243" i="98"/>
  <c r="EP243" i="98" s="1"/>
  <c r="AY243" i="98"/>
  <c r="EO243" i="98" s="1"/>
  <c r="AX243" i="98"/>
  <c r="AV243" i="98"/>
  <c r="EL243" i="98" s="1"/>
  <c r="AU243" i="98"/>
  <c r="BG243" i="98" s="1"/>
  <c r="AT243" i="98"/>
  <c r="EJ243" i="98" s="1"/>
  <c r="AF243" i="98"/>
  <c r="AR243" i="98" s="1"/>
  <c r="AE243" i="98"/>
  <c r="AQ243" i="98" s="1"/>
  <c r="AD243" i="98"/>
  <c r="AP243" i="98" s="1"/>
  <c r="AC243" i="98"/>
  <c r="AO243" i="98" s="1"/>
  <c r="X243" i="98"/>
  <c r="W243" i="98"/>
  <c r="V243" i="98"/>
  <c r="U243" i="98"/>
  <c r="P243" i="98"/>
  <c r="AN243" i="98" s="1"/>
  <c r="O243" i="98"/>
  <c r="AM243" i="98" s="1"/>
  <c r="N243" i="98"/>
  <c r="AL243" i="98" s="1"/>
  <c r="M243" i="98"/>
  <c r="AK243" i="98" s="1"/>
  <c r="EQ242" i="98"/>
  <c r="EM242" i="98"/>
  <c r="EI242" i="98"/>
  <c r="EH242" i="98"/>
  <c r="EG242" i="98"/>
  <c r="EF242" i="98"/>
  <c r="EE242" i="98"/>
  <c r="BI242" i="98"/>
  <c r="BE242" i="98"/>
  <c r="BD242" i="98"/>
  <c r="BC242" i="98"/>
  <c r="BB242" i="98"/>
  <c r="ER242" i="98" s="1"/>
  <c r="AZ242" i="98"/>
  <c r="EP242" i="98" s="1"/>
  <c r="AY242" i="98"/>
  <c r="EO242" i="98" s="1"/>
  <c r="AX242" i="98"/>
  <c r="BJ242" i="98" s="1"/>
  <c r="AV242" i="98"/>
  <c r="AU242" i="98"/>
  <c r="EK242" i="98" s="1"/>
  <c r="AT242" i="98"/>
  <c r="EJ242" i="98" s="1"/>
  <c r="AF242" i="98"/>
  <c r="AR242" i="98" s="1"/>
  <c r="AE242" i="98"/>
  <c r="AQ242" i="98" s="1"/>
  <c r="AD242" i="98"/>
  <c r="AP242" i="98" s="1"/>
  <c r="AC242" i="98"/>
  <c r="AO242" i="98" s="1"/>
  <c r="X242" i="98"/>
  <c r="W242" i="98"/>
  <c r="V242" i="98"/>
  <c r="U242" i="98"/>
  <c r="P242" i="98"/>
  <c r="AN242" i="98" s="1"/>
  <c r="O242" i="98"/>
  <c r="AM242" i="98" s="1"/>
  <c r="N242" i="98"/>
  <c r="AL242" i="98" s="1"/>
  <c r="M242" i="98"/>
  <c r="AK242" i="98" s="1"/>
  <c r="EQ241" i="98"/>
  <c r="EM241" i="98"/>
  <c r="EI241" i="98"/>
  <c r="EH241" i="98"/>
  <c r="EG241" i="98"/>
  <c r="EF241" i="98"/>
  <c r="EE241" i="98"/>
  <c r="BI241" i="98"/>
  <c r="BE241" i="98"/>
  <c r="BD241" i="98"/>
  <c r="BC241" i="98"/>
  <c r="BB241" i="98"/>
  <c r="AZ241" i="98"/>
  <c r="AY241" i="98"/>
  <c r="EO241" i="98" s="1"/>
  <c r="AX241" i="98"/>
  <c r="EN241" i="98" s="1"/>
  <c r="AV241" i="98"/>
  <c r="EL241" i="98" s="1"/>
  <c r="AU241" i="98"/>
  <c r="AT241" i="98"/>
  <c r="EJ241" i="98" s="1"/>
  <c r="AF241" i="98"/>
  <c r="AR241" i="98" s="1"/>
  <c r="AE241" i="98"/>
  <c r="AQ241" i="98" s="1"/>
  <c r="AD241" i="98"/>
  <c r="AP241" i="98" s="1"/>
  <c r="AC241" i="98"/>
  <c r="AO241" i="98" s="1"/>
  <c r="X241" i="98"/>
  <c r="W241" i="98"/>
  <c r="V241" i="98"/>
  <c r="U241" i="98"/>
  <c r="N241" i="98"/>
  <c r="AL241" i="98" s="1"/>
  <c r="P241" i="98"/>
  <c r="AN241" i="98" s="1"/>
  <c r="O241" i="98"/>
  <c r="AM241" i="98" s="1"/>
  <c r="M241" i="98"/>
  <c r="AK241" i="98" s="1"/>
  <c r="EQ240" i="98"/>
  <c r="EM240" i="98"/>
  <c r="EL240" i="98"/>
  <c r="EI240" i="98"/>
  <c r="EH240" i="98"/>
  <c r="EG240" i="98"/>
  <c r="EF240" i="98"/>
  <c r="EE240" i="98"/>
  <c r="BI240" i="98"/>
  <c r="BE240" i="98"/>
  <c r="BD240" i="98"/>
  <c r="BC240" i="98"/>
  <c r="BB240" i="98"/>
  <c r="AZ240" i="98"/>
  <c r="EP240" i="98" s="1"/>
  <c r="AY240" i="98"/>
  <c r="AX240" i="98"/>
  <c r="BJ240" i="98" s="1"/>
  <c r="AV240" i="98"/>
  <c r="BH240" i="98" s="1"/>
  <c r="AU240" i="98"/>
  <c r="EK240" i="98" s="1"/>
  <c r="AT240" i="98"/>
  <c r="AF240" i="98"/>
  <c r="AR240" i="98" s="1"/>
  <c r="AE240" i="98"/>
  <c r="AQ240" i="98" s="1"/>
  <c r="AD240" i="98"/>
  <c r="AP240" i="98" s="1"/>
  <c r="AC240" i="98"/>
  <c r="AO240" i="98" s="1"/>
  <c r="X240" i="98"/>
  <c r="W240" i="98"/>
  <c r="V240" i="98"/>
  <c r="U240" i="98"/>
  <c r="P240" i="98"/>
  <c r="AN240" i="98" s="1"/>
  <c r="O240" i="98"/>
  <c r="AM240" i="98" s="1"/>
  <c r="N240" i="98"/>
  <c r="AL240" i="98" s="1"/>
  <c r="M240" i="98"/>
  <c r="AK240" i="98" s="1"/>
  <c r="EQ239" i="98"/>
  <c r="EM239" i="98"/>
  <c r="EI239" i="98"/>
  <c r="EH239" i="98"/>
  <c r="EG239" i="98"/>
  <c r="EF239" i="98"/>
  <c r="EE239" i="98"/>
  <c r="BI239" i="98"/>
  <c r="BE239" i="98"/>
  <c r="BD239" i="98"/>
  <c r="BC239" i="98"/>
  <c r="ES239" i="98" s="1"/>
  <c r="BB239" i="98"/>
  <c r="AZ239" i="98"/>
  <c r="EP239" i="98" s="1"/>
  <c r="AY239" i="98"/>
  <c r="EO239" i="98" s="1"/>
  <c r="AX239" i="98"/>
  <c r="AV239" i="98"/>
  <c r="EL239" i="98" s="1"/>
  <c r="AU239" i="98"/>
  <c r="BG239" i="98" s="1"/>
  <c r="AT239" i="98"/>
  <c r="EJ239" i="98" s="1"/>
  <c r="AF239" i="98"/>
  <c r="AR239" i="98" s="1"/>
  <c r="AE239" i="98"/>
  <c r="AQ239" i="98" s="1"/>
  <c r="AD239" i="98"/>
  <c r="AP239" i="98" s="1"/>
  <c r="AC239" i="98"/>
  <c r="AO239" i="98" s="1"/>
  <c r="X239" i="98"/>
  <c r="W239" i="98"/>
  <c r="V239" i="98"/>
  <c r="U239" i="98"/>
  <c r="P239" i="98"/>
  <c r="AN239" i="98" s="1"/>
  <c r="O239" i="98"/>
  <c r="AM239" i="98" s="1"/>
  <c r="N239" i="98"/>
  <c r="AL239" i="98" s="1"/>
  <c r="M239" i="98"/>
  <c r="AK239" i="98" s="1"/>
  <c r="EQ238" i="98"/>
  <c r="EM238" i="98"/>
  <c r="EI238" i="98"/>
  <c r="EH238" i="98"/>
  <c r="EG238" i="98"/>
  <c r="EF238" i="98"/>
  <c r="EE238" i="98"/>
  <c r="BI238" i="98"/>
  <c r="BF238" i="98"/>
  <c r="BE238" i="98"/>
  <c r="BD238" i="98"/>
  <c r="BC238" i="98"/>
  <c r="BB238" i="98"/>
  <c r="ER238" i="98" s="1"/>
  <c r="AZ238" i="98"/>
  <c r="BL238" i="98" s="1"/>
  <c r="AY238" i="98"/>
  <c r="EO238" i="98" s="1"/>
  <c r="AX238" i="98"/>
  <c r="EN238" i="98" s="1"/>
  <c r="AV238" i="98"/>
  <c r="AU238" i="98"/>
  <c r="EK238" i="98" s="1"/>
  <c r="AT238" i="98"/>
  <c r="EJ238" i="98" s="1"/>
  <c r="AF238" i="98"/>
  <c r="AR238" i="98" s="1"/>
  <c r="AE238" i="98"/>
  <c r="AQ238" i="98" s="1"/>
  <c r="AD238" i="98"/>
  <c r="AP238" i="98" s="1"/>
  <c r="AC238" i="98"/>
  <c r="AO238" i="98" s="1"/>
  <c r="X238" i="98"/>
  <c r="W238" i="98"/>
  <c r="V238" i="98"/>
  <c r="U238" i="98"/>
  <c r="P238" i="98"/>
  <c r="AN238" i="98" s="1"/>
  <c r="O238" i="98"/>
  <c r="AM238" i="98" s="1"/>
  <c r="N238" i="98"/>
  <c r="AL238" i="98" s="1"/>
  <c r="M238" i="98"/>
  <c r="AK238" i="98" s="1"/>
  <c r="EQ237" i="98"/>
  <c r="EM237" i="98"/>
  <c r="EI237" i="98"/>
  <c r="EH237" i="98"/>
  <c r="EG237" i="98"/>
  <c r="EF237" i="98"/>
  <c r="EE237" i="98"/>
  <c r="BI237" i="98"/>
  <c r="BE237" i="98"/>
  <c r="BD237" i="98"/>
  <c r="BC237" i="98"/>
  <c r="BB237" i="98"/>
  <c r="AZ237" i="98"/>
  <c r="AY237" i="98"/>
  <c r="BK237" i="98" s="1"/>
  <c r="AX237" i="98"/>
  <c r="EN237" i="98" s="1"/>
  <c r="AV237" i="98"/>
  <c r="EL237" i="98" s="1"/>
  <c r="AU237" i="98"/>
  <c r="AT237" i="98"/>
  <c r="EJ237" i="98" s="1"/>
  <c r="AF237" i="98"/>
  <c r="AR237" i="98" s="1"/>
  <c r="AE237" i="98"/>
  <c r="AQ237" i="98" s="1"/>
  <c r="AD237" i="98"/>
  <c r="AP237" i="98" s="1"/>
  <c r="AC237" i="98"/>
  <c r="AO237" i="98" s="1"/>
  <c r="X237" i="98"/>
  <c r="W237" i="98"/>
  <c r="V237" i="98"/>
  <c r="U237" i="98"/>
  <c r="P237" i="98"/>
  <c r="AN237" i="98" s="1"/>
  <c r="O237" i="98"/>
  <c r="AM237" i="98" s="1"/>
  <c r="N237" i="98"/>
  <c r="AL237" i="98" s="1"/>
  <c r="M237" i="98"/>
  <c r="AK237" i="98" s="1"/>
  <c r="EQ236" i="98"/>
  <c r="EM236" i="98"/>
  <c r="EI236" i="98"/>
  <c r="EH236" i="98"/>
  <c r="EG236" i="98"/>
  <c r="EF236" i="98"/>
  <c r="EE236" i="98"/>
  <c r="BI236" i="98"/>
  <c r="BE236" i="98"/>
  <c r="BD236" i="98"/>
  <c r="ET236" i="98" s="1"/>
  <c r="BC236" i="98"/>
  <c r="BB236" i="98"/>
  <c r="AZ236" i="98"/>
  <c r="EP236" i="98" s="1"/>
  <c r="AY236" i="98"/>
  <c r="AX236" i="98"/>
  <c r="BJ236" i="98" s="1"/>
  <c r="AV236" i="98"/>
  <c r="BH236" i="98" s="1"/>
  <c r="AU236" i="98"/>
  <c r="EK236" i="98" s="1"/>
  <c r="AT236" i="98"/>
  <c r="EJ236" i="98" s="1"/>
  <c r="AF236" i="98"/>
  <c r="AR236" i="98" s="1"/>
  <c r="AE236" i="98"/>
  <c r="AQ236" i="98" s="1"/>
  <c r="AD236" i="98"/>
  <c r="AP236" i="98" s="1"/>
  <c r="AC236" i="98"/>
  <c r="AO236" i="98" s="1"/>
  <c r="X236" i="98"/>
  <c r="W236" i="98"/>
  <c r="V236" i="98"/>
  <c r="U236" i="98"/>
  <c r="P236" i="98"/>
  <c r="AN236" i="98" s="1"/>
  <c r="O236" i="98"/>
  <c r="AM236" i="98" s="1"/>
  <c r="N236" i="98"/>
  <c r="AL236" i="98" s="1"/>
  <c r="M236" i="98"/>
  <c r="AK236" i="98" s="1"/>
  <c r="EQ235" i="98"/>
  <c r="EM235" i="98"/>
  <c r="EI235" i="98"/>
  <c r="EH235" i="98"/>
  <c r="EG235" i="98"/>
  <c r="EF235" i="98"/>
  <c r="EE235" i="98"/>
  <c r="BI235" i="98"/>
  <c r="BE235" i="98"/>
  <c r="BD235" i="98"/>
  <c r="BC235" i="98"/>
  <c r="BB235" i="98"/>
  <c r="AZ235" i="98"/>
  <c r="AY235" i="98"/>
  <c r="BK235" i="98" s="1"/>
  <c r="AX235" i="98"/>
  <c r="AV235" i="98"/>
  <c r="EL235" i="98" s="1"/>
  <c r="AU235" i="98"/>
  <c r="EK235" i="98" s="1"/>
  <c r="AT235" i="98"/>
  <c r="EJ235" i="98" s="1"/>
  <c r="AF235" i="98"/>
  <c r="AR235" i="98" s="1"/>
  <c r="AE235" i="98"/>
  <c r="AQ235" i="98" s="1"/>
  <c r="AD235" i="98"/>
  <c r="AP235" i="98" s="1"/>
  <c r="AC235" i="98"/>
  <c r="AO235" i="98" s="1"/>
  <c r="X235" i="98"/>
  <c r="W235" i="98"/>
  <c r="V235" i="98"/>
  <c r="U235" i="98"/>
  <c r="P235" i="98"/>
  <c r="AN235" i="98" s="1"/>
  <c r="O235" i="98"/>
  <c r="AM235" i="98" s="1"/>
  <c r="N235" i="98"/>
  <c r="AL235" i="98" s="1"/>
  <c r="M235" i="98"/>
  <c r="AK235" i="98" s="1"/>
  <c r="EQ234" i="98"/>
  <c r="EM234" i="98"/>
  <c r="EI234" i="98"/>
  <c r="EH234" i="98"/>
  <c r="EG234" i="98"/>
  <c r="EF234" i="98"/>
  <c r="EE234" i="98"/>
  <c r="BI234" i="98"/>
  <c r="BE234" i="98"/>
  <c r="BD234" i="98"/>
  <c r="ET234" i="98" s="1"/>
  <c r="BC234" i="98"/>
  <c r="BB234" i="98"/>
  <c r="AZ234" i="98"/>
  <c r="EP234" i="98" s="1"/>
  <c r="AY234" i="98"/>
  <c r="AX234" i="98"/>
  <c r="AV234" i="98"/>
  <c r="EL234" i="98" s="1"/>
  <c r="AU234" i="98"/>
  <c r="EK234" i="98" s="1"/>
  <c r="AT234" i="98"/>
  <c r="EJ234" i="98" s="1"/>
  <c r="AF234" i="98"/>
  <c r="AR234" i="98" s="1"/>
  <c r="AE234" i="98"/>
  <c r="AQ234" i="98" s="1"/>
  <c r="AD234" i="98"/>
  <c r="AP234" i="98" s="1"/>
  <c r="AC234" i="98"/>
  <c r="AO234" i="98" s="1"/>
  <c r="X234" i="98"/>
  <c r="W234" i="98"/>
  <c r="V234" i="98"/>
  <c r="U234" i="98"/>
  <c r="P234" i="98"/>
  <c r="AN234" i="98" s="1"/>
  <c r="O234" i="98"/>
  <c r="AM234" i="98" s="1"/>
  <c r="N234" i="98"/>
  <c r="AL234" i="98" s="1"/>
  <c r="M234" i="98"/>
  <c r="AK234" i="98" s="1"/>
  <c r="EQ233" i="98"/>
  <c r="EM233" i="98"/>
  <c r="EI233" i="98"/>
  <c r="EH233" i="98"/>
  <c r="EG233" i="98"/>
  <c r="EF233" i="98"/>
  <c r="EE233" i="98"/>
  <c r="BK233" i="98"/>
  <c r="BI233" i="98"/>
  <c r="BE233" i="98"/>
  <c r="BD233" i="98"/>
  <c r="BC233" i="98"/>
  <c r="ES233" i="98" s="1"/>
  <c r="BB233" i="98"/>
  <c r="AZ233" i="98"/>
  <c r="AY233" i="98"/>
  <c r="EO233" i="98" s="1"/>
  <c r="AX233" i="98"/>
  <c r="AV233" i="98"/>
  <c r="EL233" i="98" s="1"/>
  <c r="AU233" i="98"/>
  <c r="EK233" i="98" s="1"/>
  <c r="AT233" i="98"/>
  <c r="EJ233" i="98" s="1"/>
  <c r="AF233" i="98"/>
  <c r="AR233" i="98" s="1"/>
  <c r="AE233" i="98"/>
  <c r="AQ233" i="98" s="1"/>
  <c r="AD233" i="98"/>
  <c r="AP233" i="98" s="1"/>
  <c r="AC233" i="98"/>
  <c r="AO233" i="98" s="1"/>
  <c r="X233" i="98"/>
  <c r="W233" i="98"/>
  <c r="V233" i="98"/>
  <c r="U233" i="98"/>
  <c r="P233" i="98"/>
  <c r="AN233" i="98" s="1"/>
  <c r="O233" i="98"/>
  <c r="AM233" i="98" s="1"/>
  <c r="N233" i="98"/>
  <c r="AL233" i="98" s="1"/>
  <c r="M233" i="98"/>
  <c r="AK233" i="98" s="1"/>
  <c r="EQ232" i="98"/>
  <c r="EM232" i="98"/>
  <c r="EI232" i="98"/>
  <c r="EH232" i="98"/>
  <c r="EG232" i="98"/>
  <c r="EF232" i="98"/>
  <c r="EE232" i="98"/>
  <c r="BI232" i="98"/>
  <c r="BE232" i="98"/>
  <c r="BD232" i="98"/>
  <c r="ET232" i="98" s="1"/>
  <c r="BC232" i="98"/>
  <c r="BB232" i="98"/>
  <c r="AZ232" i="98"/>
  <c r="EP232" i="98" s="1"/>
  <c r="AY232" i="98"/>
  <c r="AX232" i="98"/>
  <c r="BJ232" i="98" s="1"/>
  <c r="AV232" i="98"/>
  <c r="BH232" i="98" s="1"/>
  <c r="AU232" i="98"/>
  <c r="EK232" i="98" s="1"/>
  <c r="AT232" i="98"/>
  <c r="BF232" i="98" s="1"/>
  <c r="AF232" i="98"/>
  <c r="AR232" i="98" s="1"/>
  <c r="AE232" i="98"/>
  <c r="AQ232" i="98" s="1"/>
  <c r="AD232" i="98"/>
  <c r="AP232" i="98" s="1"/>
  <c r="AC232" i="98"/>
  <c r="AO232" i="98" s="1"/>
  <c r="X232" i="98"/>
  <c r="W232" i="98"/>
  <c r="V232" i="98"/>
  <c r="U232" i="98"/>
  <c r="P232" i="98"/>
  <c r="AN232" i="98" s="1"/>
  <c r="O232" i="98"/>
  <c r="AM232" i="98" s="1"/>
  <c r="N232" i="98"/>
  <c r="AL232" i="98" s="1"/>
  <c r="M232" i="98"/>
  <c r="AK232" i="98" s="1"/>
  <c r="EQ231" i="98"/>
  <c r="EM231" i="98"/>
  <c r="EI231" i="98"/>
  <c r="EH231" i="98"/>
  <c r="EG231" i="98"/>
  <c r="EF231" i="98"/>
  <c r="EE231" i="98"/>
  <c r="BI231" i="98"/>
  <c r="BE231" i="98"/>
  <c r="BD231" i="98"/>
  <c r="BC231" i="98"/>
  <c r="BB231" i="98"/>
  <c r="AZ231" i="98"/>
  <c r="AY231" i="98"/>
  <c r="EO231" i="98" s="1"/>
  <c r="AX231" i="98"/>
  <c r="AV231" i="98"/>
  <c r="EL231" i="98" s="1"/>
  <c r="AU231" i="98"/>
  <c r="EK231" i="98" s="1"/>
  <c r="AT231" i="98"/>
  <c r="EJ231" i="98" s="1"/>
  <c r="AF231" i="98"/>
  <c r="AR231" i="98" s="1"/>
  <c r="AE231" i="98"/>
  <c r="AQ231" i="98" s="1"/>
  <c r="AD231" i="98"/>
  <c r="AP231" i="98" s="1"/>
  <c r="AC231" i="98"/>
  <c r="AO231" i="98" s="1"/>
  <c r="X231" i="98"/>
  <c r="W231" i="98"/>
  <c r="V231" i="98"/>
  <c r="U231" i="98"/>
  <c r="P231" i="98"/>
  <c r="AN231" i="98" s="1"/>
  <c r="O231" i="98"/>
  <c r="AM231" i="98" s="1"/>
  <c r="N231" i="98"/>
  <c r="AL231" i="98" s="1"/>
  <c r="M231" i="98"/>
  <c r="AK231" i="98" s="1"/>
  <c r="EQ230" i="98"/>
  <c r="EM230" i="98"/>
  <c r="EI230" i="98"/>
  <c r="EH230" i="98"/>
  <c r="EG230" i="98"/>
  <c r="EF230" i="98"/>
  <c r="EE230" i="98"/>
  <c r="BI230" i="98"/>
  <c r="BE230" i="98"/>
  <c r="BD230" i="98"/>
  <c r="ET230" i="98" s="1"/>
  <c r="BC230" i="98"/>
  <c r="BB230" i="98"/>
  <c r="AZ230" i="98"/>
  <c r="EP230" i="98" s="1"/>
  <c r="AY230" i="98"/>
  <c r="AX230" i="98"/>
  <c r="AV230" i="98"/>
  <c r="BH230" i="98" s="1"/>
  <c r="AU230" i="98"/>
  <c r="EK230" i="98" s="1"/>
  <c r="AT230" i="98"/>
  <c r="EJ230" i="98" s="1"/>
  <c r="AF230" i="98"/>
  <c r="AR230" i="98" s="1"/>
  <c r="AE230" i="98"/>
  <c r="AQ230" i="98" s="1"/>
  <c r="AD230" i="98"/>
  <c r="AP230" i="98" s="1"/>
  <c r="AC230" i="98"/>
  <c r="AO230" i="98" s="1"/>
  <c r="X230" i="98"/>
  <c r="W230" i="98"/>
  <c r="V230" i="98"/>
  <c r="U230" i="98"/>
  <c r="P230" i="98"/>
  <c r="AN230" i="98" s="1"/>
  <c r="O230" i="98"/>
  <c r="AM230" i="98" s="1"/>
  <c r="N230" i="98"/>
  <c r="AL230" i="98" s="1"/>
  <c r="M230" i="98"/>
  <c r="AK230" i="98" s="1"/>
  <c r="EM229" i="98"/>
  <c r="EL229" i="98"/>
  <c r="EK229" i="98"/>
  <c r="EJ229" i="98"/>
  <c r="BI229" i="98"/>
  <c r="BH229" i="98"/>
  <c r="BG229" i="98"/>
  <c r="BF229" i="98"/>
  <c r="AZ229" i="98"/>
  <c r="EP229" i="98" s="1"/>
  <c r="AY229" i="98"/>
  <c r="EO229" i="98" s="1"/>
  <c r="AX229" i="98"/>
  <c r="BJ229" i="98" s="1"/>
  <c r="BE229" i="98"/>
  <c r="F664" i="98"/>
  <c r="D664" i="98"/>
  <c r="EQ228" i="98"/>
  <c r="EM228" i="98"/>
  <c r="EI228" i="98"/>
  <c r="EH228" i="98"/>
  <c r="EG228" i="98"/>
  <c r="EF228" i="98"/>
  <c r="EE228" i="98"/>
  <c r="BI228" i="98"/>
  <c r="BE228" i="98"/>
  <c r="BD228" i="98"/>
  <c r="BC228" i="98"/>
  <c r="ES228" i="98" s="1"/>
  <c r="BB228" i="98"/>
  <c r="AZ228" i="98"/>
  <c r="AY228" i="98"/>
  <c r="EO228" i="98" s="1"/>
  <c r="AX228" i="98"/>
  <c r="AV228" i="98"/>
  <c r="EL228" i="98" s="1"/>
  <c r="AU228" i="98"/>
  <c r="EK228" i="98" s="1"/>
  <c r="AT228" i="98"/>
  <c r="EJ228" i="98" s="1"/>
  <c r="AD228" i="98"/>
  <c r="AP228" i="98" s="1"/>
  <c r="AF228" i="98"/>
  <c r="AR228" i="98" s="1"/>
  <c r="AE228" i="98"/>
  <c r="AQ228" i="98" s="1"/>
  <c r="AC228" i="98"/>
  <c r="AO228" i="98" s="1"/>
  <c r="X228" i="98"/>
  <c r="W228" i="98"/>
  <c r="V228" i="98"/>
  <c r="U228" i="98"/>
  <c r="P228" i="98"/>
  <c r="AN228" i="98" s="1"/>
  <c r="O228" i="98"/>
  <c r="AM228" i="98" s="1"/>
  <c r="N228" i="98"/>
  <c r="AL228" i="98" s="1"/>
  <c r="M228" i="98"/>
  <c r="AK228" i="98" s="1"/>
  <c r="EQ227" i="98"/>
  <c r="EM227" i="98"/>
  <c r="EI227" i="98"/>
  <c r="EH227" i="98"/>
  <c r="EG227" i="98"/>
  <c r="EF227" i="98"/>
  <c r="EE227" i="98"/>
  <c r="CK227" i="98"/>
  <c r="BI227" i="98"/>
  <c r="BE227" i="98"/>
  <c r="BD227" i="98"/>
  <c r="ET227" i="98" s="1"/>
  <c r="BC227" i="98"/>
  <c r="BB227" i="98"/>
  <c r="ER227" i="98" s="1"/>
  <c r="AZ227" i="98"/>
  <c r="BL227" i="98" s="1"/>
  <c r="AY227" i="98"/>
  <c r="EO227" i="98" s="1"/>
  <c r="AX227" i="98"/>
  <c r="BJ227" i="98" s="1"/>
  <c r="AV227" i="98"/>
  <c r="BH227" i="98" s="1"/>
  <c r="AU227" i="98"/>
  <c r="EK227" i="98" s="1"/>
  <c r="AT227" i="98"/>
  <c r="BF227" i="98" s="1"/>
  <c r="AF227" i="98"/>
  <c r="AR227" i="98" s="1"/>
  <c r="AE227" i="98"/>
  <c r="AQ227" i="98" s="1"/>
  <c r="AD227" i="98"/>
  <c r="AP227" i="98" s="1"/>
  <c r="V227" i="98"/>
  <c r="X227" i="98"/>
  <c r="W227" i="98"/>
  <c r="U227" i="98"/>
  <c r="P227" i="98"/>
  <c r="AN227" i="98" s="1"/>
  <c r="O227" i="98"/>
  <c r="AM227" i="98" s="1"/>
  <c r="N227" i="98"/>
  <c r="AL227" i="98" s="1"/>
  <c r="EQ226" i="98"/>
  <c r="EM226" i="98"/>
  <c r="EI226" i="98"/>
  <c r="EH226" i="98"/>
  <c r="EG226" i="98"/>
  <c r="EF226" i="98"/>
  <c r="EE226" i="98"/>
  <c r="CK226" i="98"/>
  <c r="BI226" i="98"/>
  <c r="BE226" i="98"/>
  <c r="BD226" i="98"/>
  <c r="ET226" i="98" s="1"/>
  <c r="BC226" i="98"/>
  <c r="BB226" i="98"/>
  <c r="ER226" i="98" s="1"/>
  <c r="AZ226" i="98"/>
  <c r="BL226" i="98" s="1"/>
  <c r="AY226" i="98"/>
  <c r="EO226" i="98" s="1"/>
  <c r="AX226" i="98"/>
  <c r="BJ226" i="98" s="1"/>
  <c r="AV226" i="98"/>
  <c r="BH226" i="98" s="1"/>
  <c r="AU226" i="98"/>
  <c r="EK226" i="98" s="1"/>
  <c r="AT226" i="98"/>
  <c r="EJ226" i="98" s="1"/>
  <c r="AF226" i="98"/>
  <c r="AR226" i="98" s="1"/>
  <c r="AE226" i="98"/>
  <c r="AQ226" i="98" s="1"/>
  <c r="AD226" i="98"/>
  <c r="AP226" i="98" s="1"/>
  <c r="AC226" i="98"/>
  <c r="AO226" i="98" s="1"/>
  <c r="X226" i="98"/>
  <c r="W226" i="98"/>
  <c r="V226" i="98"/>
  <c r="U226" i="98"/>
  <c r="P226" i="98"/>
  <c r="AN226" i="98" s="1"/>
  <c r="O226" i="98"/>
  <c r="AM226" i="98" s="1"/>
  <c r="N226" i="98"/>
  <c r="AL226" i="98" s="1"/>
  <c r="M226" i="98"/>
  <c r="AK226" i="98" s="1"/>
  <c r="EQ225" i="98"/>
  <c r="EM225" i="98"/>
  <c r="EI225" i="98"/>
  <c r="EH225" i="98"/>
  <c r="EG225" i="98"/>
  <c r="EF225" i="98"/>
  <c r="EE225" i="98"/>
  <c r="CK225" i="98"/>
  <c r="BI225" i="98"/>
  <c r="BE225" i="98"/>
  <c r="BD225" i="98"/>
  <c r="ET225" i="98" s="1"/>
  <c r="BC225" i="98"/>
  <c r="BB225" i="98"/>
  <c r="ER225" i="98" s="1"/>
  <c r="AZ225" i="98"/>
  <c r="BL225" i="98" s="1"/>
  <c r="AY225" i="98"/>
  <c r="EO225" i="98" s="1"/>
  <c r="AX225" i="98"/>
  <c r="BJ225" i="98" s="1"/>
  <c r="AV225" i="98"/>
  <c r="BH225" i="98" s="1"/>
  <c r="AU225" i="98"/>
  <c r="EK225" i="98" s="1"/>
  <c r="AT225" i="98"/>
  <c r="EJ225" i="98" s="1"/>
  <c r="AD225" i="98"/>
  <c r="AP225" i="98" s="1"/>
  <c r="AF225" i="98"/>
  <c r="AR225" i="98" s="1"/>
  <c r="AE225" i="98"/>
  <c r="AQ225" i="98" s="1"/>
  <c r="X225" i="98"/>
  <c r="W225" i="98"/>
  <c r="V225" i="98"/>
  <c r="U225" i="98"/>
  <c r="P225" i="98"/>
  <c r="AN225" i="98" s="1"/>
  <c r="O225" i="98"/>
  <c r="AM225" i="98" s="1"/>
  <c r="N225" i="98"/>
  <c r="AL225" i="98" s="1"/>
  <c r="ET224" i="98"/>
  <c r="ES224" i="98"/>
  <c r="ER224" i="98"/>
  <c r="EQ224" i="98"/>
  <c r="EP224" i="98"/>
  <c r="EO224" i="98"/>
  <c r="EN224" i="98"/>
  <c r="EM224" i="98"/>
  <c r="EL224" i="98"/>
  <c r="EK224" i="98"/>
  <c r="EJ224" i="98"/>
  <c r="EI224" i="98"/>
  <c r="EH224" i="98"/>
  <c r="EG224" i="98"/>
  <c r="EF224" i="98"/>
  <c r="EE224" i="98"/>
  <c r="CK224" i="98"/>
  <c r="ET223" i="98"/>
  <c r="ES223" i="98"/>
  <c r="ER223" i="98"/>
  <c r="EQ223" i="98"/>
  <c r="EP223" i="98"/>
  <c r="EO223" i="98"/>
  <c r="EN223" i="98"/>
  <c r="EM223" i="98"/>
  <c r="EL223" i="98"/>
  <c r="EK223" i="98"/>
  <c r="EJ223" i="98"/>
  <c r="EI223" i="98"/>
  <c r="EH223" i="98"/>
  <c r="EG223" i="98"/>
  <c r="EF223" i="98"/>
  <c r="EE223" i="98"/>
  <c r="CK223" i="98"/>
  <c r="ET222" i="98"/>
  <c r="ES222" i="98"/>
  <c r="ER222" i="98"/>
  <c r="EQ222" i="98"/>
  <c r="EP222" i="98"/>
  <c r="EO222" i="98"/>
  <c r="EN222" i="98"/>
  <c r="EM222" i="98"/>
  <c r="EL222" i="98"/>
  <c r="EK222" i="98"/>
  <c r="EJ222" i="98"/>
  <c r="EI222" i="98"/>
  <c r="EH222" i="98"/>
  <c r="EG222" i="98"/>
  <c r="EF222" i="98"/>
  <c r="EE222" i="98"/>
  <c r="CK222" i="98"/>
  <c r="ET221" i="98"/>
  <c r="ES221" i="98"/>
  <c r="ER221" i="98"/>
  <c r="EQ221" i="98"/>
  <c r="EP221" i="98"/>
  <c r="EO221" i="98"/>
  <c r="EN221" i="98"/>
  <c r="EM221" i="98"/>
  <c r="EL221" i="98"/>
  <c r="EK221" i="98"/>
  <c r="EJ221" i="98"/>
  <c r="EI221" i="98"/>
  <c r="EH221" i="98"/>
  <c r="EG221" i="98"/>
  <c r="EF221" i="98"/>
  <c r="EE221" i="98"/>
  <c r="CK221" i="98"/>
  <c r="ET220" i="98"/>
  <c r="ES220" i="98"/>
  <c r="ER220" i="98"/>
  <c r="EQ220" i="98"/>
  <c r="EP220" i="98"/>
  <c r="EO220" i="98"/>
  <c r="EN220" i="98"/>
  <c r="EM220" i="98"/>
  <c r="EL220" i="98"/>
  <c r="EK220" i="98"/>
  <c r="EJ220" i="98"/>
  <c r="EI220" i="98"/>
  <c r="EH220" i="98"/>
  <c r="EG220" i="98"/>
  <c r="EF220" i="98"/>
  <c r="EE220" i="98"/>
  <c r="CK220" i="98"/>
  <c r="ET219" i="98"/>
  <c r="ES219" i="98"/>
  <c r="ER219" i="98"/>
  <c r="EQ219" i="98"/>
  <c r="EP219" i="98"/>
  <c r="EO219" i="98"/>
  <c r="EN219" i="98"/>
  <c r="EM219" i="98"/>
  <c r="EL219" i="98"/>
  <c r="EK219" i="98"/>
  <c r="EJ219" i="98"/>
  <c r="EI219" i="98"/>
  <c r="EH219" i="98"/>
  <c r="EG219" i="98"/>
  <c r="EF219" i="98"/>
  <c r="EE219" i="98"/>
  <c r="CK219" i="98"/>
  <c r="ET218" i="98"/>
  <c r="ES218" i="98"/>
  <c r="ER218" i="98"/>
  <c r="EQ218" i="98"/>
  <c r="EP218" i="98"/>
  <c r="EO218" i="98"/>
  <c r="EN218" i="98"/>
  <c r="EM218" i="98"/>
  <c r="EL218" i="98"/>
  <c r="EK218" i="98"/>
  <c r="EJ218" i="98"/>
  <c r="EI218" i="98"/>
  <c r="EH218" i="98"/>
  <c r="EG218" i="98"/>
  <c r="EF218" i="98"/>
  <c r="EE218" i="98"/>
  <c r="CK218" i="98"/>
  <c r="ET217" i="98"/>
  <c r="ES217" i="98"/>
  <c r="ER217" i="98"/>
  <c r="EQ217" i="98"/>
  <c r="EP217" i="98"/>
  <c r="EO217" i="98"/>
  <c r="EN217" i="98"/>
  <c r="EM217" i="98"/>
  <c r="EL217" i="98"/>
  <c r="EK217" i="98"/>
  <c r="EJ217" i="98"/>
  <c r="EI217" i="98"/>
  <c r="EH217" i="98"/>
  <c r="EG217" i="98"/>
  <c r="EF217" i="98"/>
  <c r="EE217" i="98"/>
  <c r="CK217" i="98"/>
  <c r="EM216" i="98"/>
  <c r="CI684" i="98"/>
  <c r="CK684" i="98" s="1"/>
  <c r="BI216" i="98"/>
  <c r="BI215" i="98" s="1"/>
  <c r="BD216" i="98"/>
  <c r="ET216" i="98" s="1"/>
  <c r="BA684" i="98"/>
  <c r="AZ216" i="98"/>
  <c r="BL216" i="98" s="1"/>
  <c r="BL215" i="98" s="1"/>
  <c r="AY216" i="98"/>
  <c r="EO216" i="98" s="1"/>
  <c r="AX216" i="98"/>
  <c r="BJ216" i="98" s="1"/>
  <c r="BJ215" i="98" s="1"/>
  <c r="AU216" i="98"/>
  <c r="AQ216" i="98"/>
  <c r="EH216" i="98"/>
  <c r="E684" i="98"/>
  <c r="D684" i="98"/>
  <c r="C684" i="98"/>
  <c r="EE684" i="98" s="1"/>
  <c r="ET215" i="98"/>
  <c r="ES215" i="98"/>
  <c r="ER215" i="98"/>
  <c r="EQ215" i="98"/>
  <c r="EP215" i="98"/>
  <c r="EO215" i="98"/>
  <c r="EN215" i="98"/>
  <c r="EM215" i="98"/>
  <c r="EL215" i="98"/>
  <c r="EK215" i="98"/>
  <c r="EJ215" i="98"/>
  <c r="EI215" i="98"/>
  <c r="EH215" i="98"/>
  <c r="EG215" i="98"/>
  <c r="EF215" i="98"/>
  <c r="EE215" i="98"/>
  <c r="CK215" i="98"/>
  <c r="ET214" i="98"/>
  <c r="ES214" i="98"/>
  <c r="ER214" i="98"/>
  <c r="EQ214" i="98"/>
  <c r="EP214" i="98"/>
  <c r="EO214" i="98"/>
  <c r="EN214" i="98"/>
  <c r="EM214" i="98"/>
  <c r="EL214" i="98"/>
  <c r="EK214" i="98"/>
  <c r="EJ214" i="98"/>
  <c r="EI214" i="98"/>
  <c r="EH214" i="98"/>
  <c r="EG214" i="98"/>
  <c r="EF214" i="98"/>
  <c r="EE214" i="98"/>
  <c r="CK214" i="98"/>
  <c r="ET213" i="98"/>
  <c r="ES213" i="98"/>
  <c r="ER213" i="98"/>
  <c r="EQ213" i="98"/>
  <c r="EP213" i="98"/>
  <c r="EO213" i="98"/>
  <c r="EN213" i="98"/>
  <c r="EM213" i="98"/>
  <c r="EL213" i="98"/>
  <c r="EK213" i="98"/>
  <c r="EJ213" i="98"/>
  <c r="EI213" i="98"/>
  <c r="EH213" i="98"/>
  <c r="EG213" i="98"/>
  <c r="EF213" i="98"/>
  <c r="EE213" i="98"/>
  <c r="ET212" i="98"/>
  <c r="ES212" i="98"/>
  <c r="ER212" i="98"/>
  <c r="EQ212" i="98"/>
  <c r="EP212" i="98"/>
  <c r="EO212" i="98"/>
  <c r="EN212" i="98"/>
  <c r="EM212" i="98"/>
  <c r="EL212" i="98"/>
  <c r="EK212" i="98"/>
  <c r="EJ212" i="98"/>
  <c r="EI212" i="98"/>
  <c r="EH212" i="98"/>
  <c r="EG212" i="98"/>
  <c r="EF212" i="98"/>
  <c r="EE212" i="98"/>
  <c r="ET211" i="98"/>
  <c r="ES211" i="98"/>
  <c r="ER211" i="98"/>
  <c r="EQ211" i="98"/>
  <c r="EP211" i="98"/>
  <c r="EO211" i="98"/>
  <c r="EN211" i="98"/>
  <c r="EM211" i="98"/>
  <c r="EL211" i="98"/>
  <c r="EK211" i="98"/>
  <c r="EJ211" i="98"/>
  <c r="EI211" i="98"/>
  <c r="EH211" i="98"/>
  <c r="EG211" i="98"/>
  <c r="EF211" i="98"/>
  <c r="EE211" i="98"/>
  <c r="CK211" i="98"/>
  <c r="ET210" i="98"/>
  <c r="ES210" i="98"/>
  <c r="ER210" i="98"/>
  <c r="EQ210" i="98"/>
  <c r="EP210" i="98"/>
  <c r="EO210" i="98"/>
  <c r="EN210" i="98"/>
  <c r="EM210" i="98"/>
  <c r="EL210" i="98"/>
  <c r="EK210" i="98"/>
  <c r="EJ210" i="98"/>
  <c r="EI210" i="98"/>
  <c r="EH210" i="98"/>
  <c r="EG210" i="98"/>
  <c r="EF210" i="98"/>
  <c r="EE210" i="98"/>
  <c r="CK210" i="98"/>
  <c r="ET209" i="98"/>
  <c r="ES209" i="98"/>
  <c r="ER209" i="98"/>
  <c r="EQ209" i="98"/>
  <c r="EP209" i="98"/>
  <c r="EO209" i="98"/>
  <c r="EN209" i="98"/>
  <c r="EM209" i="98"/>
  <c r="EL209" i="98"/>
  <c r="EK209" i="98"/>
  <c r="EJ209" i="98"/>
  <c r="EI209" i="98"/>
  <c r="EH209" i="98"/>
  <c r="EG209" i="98"/>
  <c r="EF209" i="98"/>
  <c r="EE209" i="98"/>
  <c r="CK209" i="98"/>
  <c r="ET208" i="98"/>
  <c r="ES208" i="98"/>
  <c r="ER208" i="98"/>
  <c r="EQ208" i="98"/>
  <c r="EP208" i="98"/>
  <c r="EO208" i="98"/>
  <c r="EN208" i="98"/>
  <c r="EM208" i="98"/>
  <c r="EL208" i="98"/>
  <c r="EK208" i="98"/>
  <c r="EJ208" i="98"/>
  <c r="EI208" i="98"/>
  <c r="EH208" i="98"/>
  <c r="EG208" i="98"/>
  <c r="EF208" i="98"/>
  <c r="EE208" i="98"/>
  <c r="CK208" i="98"/>
  <c r="BL208" i="98"/>
  <c r="BK208" i="98"/>
  <c r="BJ208" i="98"/>
  <c r="BI208" i="98"/>
  <c r="BH208" i="98"/>
  <c r="BG208" i="98"/>
  <c r="BF208" i="98"/>
  <c r="BE208" i="98"/>
  <c r="AF208" i="98"/>
  <c r="AR208" i="98" s="1"/>
  <c r="AE208" i="98"/>
  <c r="AQ208" i="98" s="1"/>
  <c r="AD208" i="98"/>
  <c r="AP208" i="98" s="1"/>
  <c r="AC208" i="98"/>
  <c r="AO208" i="98" s="1"/>
  <c r="X208" i="98"/>
  <c r="W208" i="98"/>
  <c r="V208" i="98"/>
  <c r="U208" i="98"/>
  <c r="P208" i="98"/>
  <c r="AN208" i="98" s="1"/>
  <c r="O208" i="98"/>
  <c r="AM208" i="98" s="1"/>
  <c r="N208" i="98"/>
  <c r="AL208" i="98" s="1"/>
  <c r="M208" i="98"/>
  <c r="AK208" i="98" s="1"/>
  <c r="ET207" i="98"/>
  <c r="ES207" i="98"/>
  <c r="ER207" i="98"/>
  <c r="EQ207" i="98"/>
  <c r="EP207" i="98"/>
  <c r="EO207" i="98"/>
  <c r="EN207" i="98"/>
  <c r="EM207" i="98"/>
  <c r="EL207" i="98"/>
  <c r="EK207" i="98"/>
  <c r="EJ207" i="98"/>
  <c r="EI207" i="98"/>
  <c r="EH207" i="98"/>
  <c r="EG207" i="98"/>
  <c r="EF207" i="98"/>
  <c r="EE207" i="98"/>
  <c r="DJ207" i="98"/>
  <c r="DJ208" i="98" s="1"/>
  <c r="CK207" i="98"/>
  <c r="BL207" i="98"/>
  <c r="BK207" i="98"/>
  <c r="BJ207" i="98"/>
  <c r="BI207" i="98"/>
  <c r="BH207" i="98"/>
  <c r="BG207" i="98"/>
  <c r="BF207" i="98"/>
  <c r="BE207" i="98"/>
  <c r="AE207" i="98"/>
  <c r="AQ207" i="98" s="1"/>
  <c r="AC207" i="98"/>
  <c r="AO207" i="98" s="1"/>
  <c r="W207" i="98"/>
  <c r="O207" i="98"/>
  <c r="AM207" i="98" s="1"/>
  <c r="H207" i="98"/>
  <c r="AD207" i="98" s="1"/>
  <c r="AP207" i="98" s="1"/>
  <c r="G207" i="98"/>
  <c r="U207" i="98" s="1"/>
  <c r="ET206" i="98"/>
  <c r="ES206" i="98"/>
  <c r="ER206" i="98"/>
  <c r="EQ206" i="98"/>
  <c r="EP206" i="98"/>
  <c r="EO206" i="98"/>
  <c r="EN206" i="98"/>
  <c r="EM206" i="98"/>
  <c r="EL206" i="98"/>
  <c r="EK206" i="98"/>
  <c r="EJ206" i="98"/>
  <c r="EI206" i="98"/>
  <c r="EH206" i="98"/>
  <c r="EG206" i="98"/>
  <c r="EF206" i="98"/>
  <c r="EE206" i="98"/>
  <c r="DI206" i="98"/>
  <c r="DH206" i="98"/>
  <c r="DG206" i="98"/>
  <c r="DF206" i="98"/>
  <c r="CK206" i="98"/>
  <c r="BL206" i="98"/>
  <c r="BK206" i="98"/>
  <c r="BJ206" i="98"/>
  <c r="BI206" i="98"/>
  <c r="BH206" i="98"/>
  <c r="BG206" i="98"/>
  <c r="BF206" i="98"/>
  <c r="BE206" i="98"/>
  <c r="AO206" i="98"/>
  <c r="V206" i="98"/>
  <c r="X206" i="98"/>
  <c r="U206" i="98"/>
  <c r="P206" i="98"/>
  <c r="AN206" i="98" s="1"/>
  <c r="N206" i="98"/>
  <c r="AL206" i="98" s="1"/>
  <c r="M206" i="98"/>
  <c r="AK206" i="98" s="1"/>
  <c r="R212" i="1" s="1"/>
  <c r="O212" i="1" s="1"/>
  <c r="H206" i="98"/>
  <c r="G206" i="98"/>
  <c r="W206" i="98" s="1"/>
  <c r="ET205" i="98"/>
  <c r="ES205" i="98"/>
  <c r="ER205" i="98"/>
  <c r="EQ205" i="98"/>
  <c r="EP205" i="98"/>
  <c r="EO205" i="98"/>
  <c r="EN205" i="98"/>
  <c r="EM205" i="98"/>
  <c r="EL205" i="98"/>
  <c r="EK205" i="98"/>
  <c r="EJ205" i="98"/>
  <c r="EI205" i="98"/>
  <c r="EH205" i="98"/>
  <c r="EG205" i="98"/>
  <c r="EF205" i="98"/>
  <c r="EE205" i="98"/>
  <c r="DJ205" i="98"/>
  <c r="DJ206" i="98" s="1"/>
  <c r="DI205" i="98"/>
  <c r="DH205" i="98"/>
  <c r="DG205" i="98"/>
  <c r="DF205" i="98"/>
  <c r="CK205" i="98"/>
  <c r="BL205" i="98"/>
  <c r="BK205" i="98"/>
  <c r="BJ205" i="98"/>
  <c r="BJ204" i="98" s="1"/>
  <c r="BI205" i="98"/>
  <c r="BH205" i="98"/>
  <c r="BG205" i="98"/>
  <c r="BF205" i="98"/>
  <c r="BF204" i="98" s="1"/>
  <c r="BE205" i="98"/>
  <c r="AO205" i="98"/>
  <c r="AF205" i="98"/>
  <c r="AR205" i="98" s="1"/>
  <c r="AE205" i="98"/>
  <c r="AQ205" i="98" s="1"/>
  <c r="AD205" i="98"/>
  <c r="AP205" i="98" s="1"/>
  <c r="X205" i="98"/>
  <c r="W205" i="98"/>
  <c r="V205" i="98"/>
  <c r="U205" i="98"/>
  <c r="P205" i="98"/>
  <c r="AN205" i="98" s="1"/>
  <c r="R211" i="1" s="1"/>
  <c r="O211" i="1" s="1"/>
  <c r="O205" i="98"/>
  <c r="AM205" i="98" s="1"/>
  <c r="R210" i="1" s="1"/>
  <c r="O210" i="1" s="1"/>
  <c r="N205" i="98"/>
  <c r="AL205" i="98" s="1"/>
  <c r="R209" i="1" s="1"/>
  <c r="O209" i="1" s="1"/>
  <c r="M205" i="98"/>
  <c r="AK205" i="98" s="1"/>
  <c r="R208" i="1" s="1"/>
  <c r="O208" i="1" s="1"/>
  <c r="ET204" i="98"/>
  <c r="ES204" i="98"/>
  <c r="ER204" i="98"/>
  <c r="EQ204" i="98"/>
  <c r="EP204" i="98"/>
  <c r="EO204" i="98"/>
  <c r="EN204" i="98"/>
  <c r="EM204" i="98"/>
  <c r="EL204" i="98"/>
  <c r="EK204" i="98"/>
  <c r="EJ204" i="98"/>
  <c r="EI204" i="98"/>
  <c r="EH204" i="98"/>
  <c r="EG204" i="98"/>
  <c r="EF204" i="98"/>
  <c r="EE204" i="98"/>
  <c r="CK204" i="98"/>
  <c r="ET203" i="98"/>
  <c r="ES203" i="98"/>
  <c r="ER203" i="98"/>
  <c r="EQ203" i="98"/>
  <c r="EP203" i="98"/>
  <c r="EO203" i="98"/>
  <c r="EN203" i="98"/>
  <c r="EM203" i="98"/>
  <c r="EL203" i="98"/>
  <c r="EK203" i="98"/>
  <c r="EJ203" i="98"/>
  <c r="EI203" i="98"/>
  <c r="EH203" i="98"/>
  <c r="EG203" i="98"/>
  <c r="EF203" i="98"/>
  <c r="EE203" i="98"/>
  <c r="CK203" i="98"/>
  <c r="BL203" i="98"/>
  <c r="BK203" i="98"/>
  <c r="BJ203" i="98"/>
  <c r="BI203" i="98"/>
  <c r="BH203" i="98"/>
  <c r="BG203" i="98"/>
  <c r="BF203" i="98"/>
  <c r="BE203" i="98"/>
  <c r="AF203" i="98"/>
  <c r="AR203" i="98" s="1"/>
  <c r="AE203" i="98"/>
  <c r="AQ203" i="98" s="1"/>
  <c r="AD203" i="98"/>
  <c r="AP203" i="98" s="1"/>
  <c r="AC203" i="98"/>
  <c r="AO203" i="98" s="1"/>
  <c r="X203" i="98"/>
  <c r="W203" i="98"/>
  <c r="V203" i="98"/>
  <c r="U203" i="98"/>
  <c r="P203" i="98"/>
  <c r="AN203" i="98" s="1"/>
  <c r="O203" i="98"/>
  <c r="AM203" i="98" s="1"/>
  <c r="N203" i="98"/>
  <c r="AL203" i="98" s="1"/>
  <c r="M203" i="98"/>
  <c r="AK203" i="98" s="1"/>
  <c r="ET202" i="98"/>
  <c r="ES202" i="98"/>
  <c r="ER202" i="98"/>
  <c r="EQ202" i="98"/>
  <c r="EP202" i="98"/>
  <c r="EO202" i="98"/>
  <c r="EN202" i="98"/>
  <c r="EM202" i="98"/>
  <c r="EL202" i="98"/>
  <c r="EK202" i="98"/>
  <c r="EJ202" i="98"/>
  <c r="EI202" i="98"/>
  <c r="EH202" i="98"/>
  <c r="EG202" i="98"/>
  <c r="EF202" i="98"/>
  <c r="EE202" i="98"/>
  <c r="CK202" i="98"/>
  <c r="BL202" i="98"/>
  <c r="BK202" i="98"/>
  <c r="BJ202" i="98"/>
  <c r="BI202" i="98"/>
  <c r="BH202" i="98"/>
  <c r="BG202" i="98"/>
  <c r="BF202" i="98"/>
  <c r="BE202" i="98"/>
  <c r="AF202" i="98"/>
  <c r="AR202" i="98" s="1"/>
  <c r="AE202" i="98"/>
  <c r="AQ202" i="98" s="1"/>
  <c r="AD202" i="98"/>
  <c r="AP202" i="98" s="1"/>
  <c r="AC202" i="98"/>
  <c r="AO202" i="98" s="1"/>
  <c r="X202" i="98"/>
  <c r="W202" i="98"/>
  <c r="V202" i="98"/>
  <c r="U202" i="98"/>
  <c r="P202" i="98"/>
  <c r="AN202" i="98" s="1"/>
  <c r="O202" i="98"/>
  <c r="AM202" i="98" s="1"/>
  <c r="N202" i="98"/>
  <c r="AL202" i="98" s="1"/>
  <c r="M202" i="98"/>
  <c r="AK202" i="98" s="1"/>
  <c r="ET201" i="98"/>
  <c r="ES201" i="98"/>
  <c r="ER201" i="98"/>
  <c r="EQ201" i="98"/>
  <c r="EP201" i="98"/>
  <c r="EO201" i="98"/>
  <c r="EN201" i="98"/>
  <c r="EM201" i="98"/>
  <c r="EL201" i="98"/>
  <c r="EK201" i="98"/>
  <c r="EJ201" i="98"/>
  <c r="EI201" i="98"/>
  <c r="EH201" i="98"/>
  <c r="EG201" i="98"/>
  <c r="EF201" i="98"/>
  <c r="EE201" i="98"/>
  <c r="CK201" i="98"/>
  <c r="BL201" i="98"/>
  <c r="BK201" i="98"/>
  <c r="BJ201" i="98"/>
  <c r="BI201" i="98"/>
  <c r="BH201" i="98"/>
  <c r="BG201" i="98"/>
  <c r="BG199" i="98" s="1"/>
  <c r="BF201" i="98"/>
  <c r="BE201" i="98"/>
  <c r="AF201" i="98"/>
  <c r="AR201" i="98" s="1"/>
  <c r="AE201" i="98"/>
  <c r="AQ201" i="98" s="1"/>
  <c r="AD201" i="98"/>
  <c r="AP201" i="98" s="1"/>
  <c r="AC201" i="98"/>
  <c r="AO201" i="98" s="1"/>
  <c r="X201" i="98"/>
  <c r="W201" i="98"/>
  <c r="V201" i="98"/>
  <c r="U201" i="98"/>
  <c r="P201" i="98"/>
  <c r="AN201" i="98" s="1"/>
  <c r="O201" i="98"/>
  <c r="AM201" i="98" s="1"/>
  <c r="N201" i="98"/>
  <c r="AL201" i="98" s="1"/>
  <c r="M201" i="98"/>
  <c r="AK201" i="98" s="1"/>
  <c r="ET200" i="98"/>
  <c r="ES200" i="98"/>
  <c r="ER200" i="98"/>
  <c r="EQ200" i="98"/>
  <c r="EP200" i="98"/>
  <c r="EO200" i="98"/>
  <c r="EN200" i="98"/>
  <c r="EM200" i="98"/>
  <c r="EL200" i="98"/>
  <c r="EK200" i="98"/>
  <c r="EJ200" i="98"/>
  <c r="EI200" i="98"/>
  <c r="EH200" i="98"/>
  <c r="EG200" i="98"/>
  <c r="EF200" i="98"/>
  <c r="EE200" i="98"/>
  <c r="CK200" i="98"/>
  <c r="BL200" i="98"/>
  <c r="BK200" i="98"/>
  <c r="BJ200" i="98"/>
  <c r="BI200" i="98"/>
  <c r="BH200" i="98"/>
  <c r="BG200" i="98"/>
  <c r="BF200" i="98"/>
  <c r="BE200" i="98"/>
  <c r="AF200" i="98"/>
  <c r="AR200" i="98" s="1"/>
  <c r="AE200" i="98"/>
  <c r="AQ200" i="98" s="1"/>
  <c r="AD200" i="98"/>
  <c r="AP200" i="98" s="1"/>
  <c r="AC200" i="98"/>
  <c r="AO200" i="98" s="1"/>
  <c r="X200" i="98"/>
  <c r="W200" i="98"/>
  <c r="V200" i="98"/>
  <c r="U200" i="98"/>
  <c r="P200" i="98"/>
  <c r="AN200" i="98" s="1"/>
  <c r="O200" i="98"/>
  <c r="AM200" i="98" s="1"/>
  <c r="N200" i="98"/>
  <c r="AL200" i="98" s="1"/>
  <c r="M200" i="98"/>
  <c r="AK200" i="98" s="1"/>
  <c r="ET199" i="98"/>
  <c r="ES199" i="98"/>
  <c r="ER199" i="98"/>
  <c r="EQ199" i="98"/>
  <c r="EP199" i="98"/>
  <c r="EO199" i="98"/>
  <c r="EN199" i="98"/>
  <c r="EM199" i="98"/>
  <c r="EL199" i="98"/>
  <c r="EK199" i="98"/>
  <c r="EJ199" i="98"/>
  <c r="EI199" i="98"/>
  <c r="EH199" i="98"/>
  <c r="EG199" i="98"/>
  <c r="EF199" i="98"/>
  <c r="EE199" i="98"/>
  <c r="CK199" i="98"/>
  <c r="EP198" i="98"/>
  <c r="EO198" i="98"/>
  <c r="EI198" i="98"/>
  <c r="EG198" i="98"/>
  <c r="EF198" i="98"/>
  <c r="BL198" i="98"/>
  <c r="BK198" i="98"/>
  <c r="BE198" i="98"/>
  <c r="BI198" i="98"/>
  <c r="AV198" i="98"/>
  <c r="EL198" i="98" s="1"/>
  <c r="AU198" i="98"/>
  <c r="EK198" i="98" s="1"/>
  <c r="AT198" i="98"/>
  <c r="BF198" i="98" s="1"/>
  <c r="AT156" i="1"/>
  <c r="AU156" i="1" s="1"/>
  <c r="V198" i="98"/>
  <c r="X198" i="98"/>
  <c r="W198" i="98"/>
  <c r="U198" i="98"/>
  <c r="P198" i="98"/>
  <c r="AN198" i="98" s="1"/>
  <c r="O198" i="98"/>
  <c r="AM198" i="98" s="1"/>
  <c r="N198" i="98"/>
  <c r="AL198" i="98" s="1"/>
  <c r="AF198" i="98"/>
  <c r="AR198" i="98" s="1"/>
  <c r="C442" i="98"/>
  <c r="EE442" i="98" s="1"/>
  <c r="EQ197" i="98"/>
  <c r="EP197" i="98"/>
  <c r="EO197" i="98"/>
  <c r="EM197" i="98"/>
  <c r="EI197" i="98"/>
  <c r="EH197" i="98"/>
  <c r="EG197" i="98"/>
  <c r="EF197" i="98"/>
  <c r="EE197" i="98"/>
  <c r="CK197" i="98"/>
  <c r="BD197" i="98"/>
  <c r="BC197" i="98"/>
  <c r="BB197" i="98"/>
  <c r="AX197" i="98"/>
  <c r="EN197" i="98" s="1"/>
  <c r="AV197" i="98"/>
  <c r="AU197" i="98"/>
  <c r="EK197" i="98" s="1"/>
  <c r="AT197" i="98"/>
  <c r="AJ197" i="98"/>
  <c r="BL197" i="98" s="1"/>
  <c r="AI197" i="98"/>
  <c r="BK197" i="98" s="1"/>
  <c r="AH197" i="98"/>
  <c r="AG197" i="98"/>
  <c r="AF197" i="98"/>
  <c r="AE197" i="98"/>
  <c r="AQ197" i="98" s="1"/>
  <c r="AD197" i="98"/>
  <c r="X197" i="98"/>
  <c r="W197" i="98"/>
  <c r="V197" i="98"/>
  <c r="U197" i="98"/>
  <c r="P197" i="98"/>
  <c r="O197" i="98"/>
  <c r="N197" i="98"/>
  <c r="EI196" i="98"/>
  <c r="EG196" i="98"/>
  <c r="EF196" i="98"/>
  <c r="EE196" i="98"/>
  <c r="BE196" i="98"/>
  <c r="AY196" i="98"/>
  <c r="EO196" i="98" s="1"/>
  <c r="EM196" i="98"/>
  <c r="AV196" i="98"/>
  <c r="BH196" i="98" s="1"/>
  <c r="AU196" i="98"/>
  <c r="AT196" i="98"/>
  <c r="EJ196" i="98" s="1"/>
  <c r="AT152" i="1"/>
  <c r="AU152" i="1" s="1"/>
  <c r="X196" i="98"/>
  <c r="W196" i="98"/>
  <c r="V196" i="98"/>
  <c r="U196" i="98"/>
  <c r="P196" i="98"/>
  <c r="AN196" i="98" s="1"/>
  <c r="O196" i="98"/>
  <c r="AM196" i="98" s="1"/>
  <c r="N196" i="98"/>
  <c r="AL196" i="98" s="1"/>
  <c r="EQ195" i="98"/>
  <c r="EM195" i="98"/>
  <c r="EI195" i="98"/>
  <c r="EH195" i="98"/>
  <c r="EG195" i="98"/>
  <c r="EF195" i="98"/>
  <c r="EE195" i="98"/>
  <c r="CK195" i="98"/>
  <c r="BD195" i="98"/>
  <c r="ET195" i="98" s="1"/>
  <c r="BC195" i="98"/>
  <c r="BB195" i="98"/>
  <c r="AZ195" i="98"/>
  <c r="EP195" i="98" s="1"/>
  <c r="AY195" i="98"/>
  <c r="AX195" i="98"/>
  <c r="EN195" i="98" s="1"/>
  <c r="AV195" i="98"/>
  <c r="EL195" i="98" s="1"/>
  <c r="AU195" i="98"/>
  <c r="EK195" i="98" s="1"/>
  <c r="AT195" i="98"/>
  <c r="EJ195" i="98" s="1"/>
  <c r="AJ195" i="98"/>
  <c r="AI195" i="98"/>
  <c r="AH195" i="98"/>
  <c r="AG195" i="98"/>
  <c r="AF195" i="98"/>
  <c r="AE195" i="98"/>
  <c r="AD195" i="98"/>
  <c r="X195" i="98"/>
  <c r="W195" i="98"/>
  <c r="V195" i="98"/>
  <c r="U195" i="98"/>
  <c r="P195" i="98"/>
  <c r="O195" i="98"/>
  <c r="N195" i="98"/>
  <c r="EI194" i="98"/>
  <c r="EG194" i="98"/>
  <c r="BE194" i="98"/>
  <c r="EM194" i="98"/>
  <c r="AV194" i="98"/>
  <c r="EL194" i="98" s="1"/>
  <c r="AU194" i="98"/>
  <c r="EK194" i="98" s="1"/>
  <c r="AT194" i="98"/>
  <c r="BF194" i="98" s="1"/>
  <c r="AT151" i="1"/>
  <c r="AU151" i="1" s="1"/>
  <c r="AD151" i="1"/>
  <c r="N194" i="98"/>
  <c r="AL194" i="98" s="1"/>
  <c r="EE194" i="98"/>
  <c r="EQ193" i="98"/>
  <c r="EM193" i="98"/>
  <c r="EI193" i="98"/>
  <c r="EH193" i="98"/>
  <c r="EG193" i="98"/>
  <c r="EF193" i="98"/>
  <c r="EE193" i="98"/>
  <c r="CK193" i="98"/>
  <c r="BI193" i="98"/>
  <c r="BE193" i="98"/>
  <c r="BD193" i="98"/>
  <c r="BC193" i="98"/>
  <c r="BB193" i="98"/>
  <c r="ER193" i="98" s="1"/>
  <c r="AZ193" i="98"/>
  <c r="EP193" i="98" s="1"/>
  <c r="AY193" i="98"/>
  <c r="AX193" i="98"/>
  <c r="EN193" i="98" s="1"/>
  <c r="AV193" i="98"/>
  <c r="EL193" i="98" s="1"/>
  <c r="AU193" i="98"/>
  <c r="EK193" i="98" s="1"/>
  <c r="AT193" i="98"/>
  <c r="AF193" i="98"/>
  <c r="AR193" i="98" s="1"/>
  <c r="AE193" i="98"/>
  <c r="AQ193" i="98" s="1"/>
  <c r="AD193" i="98"/>
  <c r="AP193" i="98" s="1"/>
  <c r="X193" i="98"/>
  <c r="W193" i="98"/>
  <c r="V193" i="98"/>
  <c r="U193" i="98"/>
  <c r="P193" i="98"/>
  <c r="AN193" i="98" s="1"/>
  <c r="O193" i="98"/>
  <c r="AM193" i="98" s="1"/>
  <c r="N193" i="98"/>
  <c r="AL193" i="98" s="1"/>
  <c r="EQ192" i="98"/>
  <c r="EM192" i="98"/>
  <c r="EI192" i="98"/>
  <c r="EH192" i="98"/>
  <c r="EG192" i="98"/>
  <c r="EF192" i="98"/>
  <c r="EE192" i="98"/>
  <c r="BI192" i="98"/>
  <c r="BE192" i="98"/>
  <c r="BD192" i="98"/>
  <c r="BC192" i="98"/>
  <c r="ES192" i="98" s="1"/>
  <c r="BB192" i="98"/>
  <c r="ER192" i="98" s="1"/>
  <c r="AZ192" i="98"/>
  <c r="AY192" i="98"/>
  <c r="BK192" i="98" s="1"/>
  <c r="AX192" i="98"/>
  <c r="AV192" i="98"/>
  <c r="EL192" i="98" s="1"/>
  <c r="AU192" i="98"/>
  <c r="AT192" i="98"/>
  <c r="BF192" i="98" s="1"/>
  <c r="AF192" i="98"/>
  <c r="AR192" i="98" s="1"/>
  <c r="AE192" i="98"/>
  <c r="AQ192" i="98" s="1"/>
  <c r="AD192" i="98"/>
  <c r="AP192" i="98" s="1"/>
  <c r="X192" i="98"/>
  <c r="W192" i="98"/>
  <c r="V192" i="98"/>
  <c r="U192" i="98"/>
  <c r="N192" i="98"/>
  <c r="AL192" i="98" s="1"/>
  <c r="P192" i="98"/>
  <c r="AN192" i="98" s="1"/>
  <c r="O192" i="98"/>
  <c r="AM192" i="98" s="1"/>
  <c r="EQ191" i="98"/>
  <c r="EM191" i="98"/>
  <c r="EI191" i="98"/>
  <c r="EH191" i="98"/>
  <c r="EG191" i="98"/>
  <c r="EF191" i="98"/>
  <c r="EE191" i="98"/>
  <c r="CK191" i="98"/>
  <c r="BI191" i="98"/>
  <c r="BE191" i="98"/>
  <c r="BD191" i="98"/>
  <c r="ET191" i="98" s="1"/>
  <c r="BC191" i="98"/>
  <c r="ES191" i="98" s="1"/>
  <c r="BB191" i="98"/>
  <c r="ER191" i="98" s="1"/>
  <c r="AZ191" i="98"/>
  <c r="EP191" i="98" s="1"/>
  <c r="AY191" i="98"/>
  <c r="AX191" i="98"/>
  <c r="EN191" i="98" s="1"/>
  <c r="AV191" i="98"/>
  <c r="BH191" i="98" s="1"/>
  <c r="AU191" i="98"/>
  <c r="BG191" i="98" s="1"/>
  <c r="AT191" i="98"/>
  <c r="EJ191" i="98" s="1"/>
  <c r="AE191" i="98"/>
  <c r="AQ191" i="98" s="1"/>
  <c r="AF191" i="98"/>
  <c r="AR191" i="98" s="1"/>
  <c r="AD191" i="98"/>
  <c r="AP191" i="98" s="1"/>
  <c r="X191" i="98"/>
  <c r="W191" i="98"/>
  <c r="V191" i="98"/>
  <c r="U191" i="98"/>
  <c r="P191" i="98"/>
  <c r="AN191" i="98" s="1"/>
  <c r="O191" i="98"/>
  <c r="AM191" i="98" s="1"/>
  <c r="N191" i="98"/>
  <c r="AL191" i="98" s="1"/>
  <c r="EI190" i="98"/>
  <c r="EG190" i="98"/>
  <c r="EF190" i="98"/>
  <c r="BE190" i="98"/>
  <c r="EQ190" i="98"/>
  <c r="BI190" i="98"/>
  <c r="AV190" i="98"/>
  <c r="BH190" i="98" s="1"/>
  <c r="AU190" i="98"/>
  <c r="EK190" i="98" s="1"/>
  <c r="AT190" i="98"/>
  <c r="EJ190" i="98" s="1"/>
  <c r="AT147" i="1"/>
  <c r="AU147" i="1" s="1"/>
  <c r="X190" i="98"/>
  <c r="W190" i="98"/>
  <c r="V190" i="98"/>
  <c r="U190" i="98"/>
  <c r="P190" i="98"/>
  <c r="AN190" i="98" s="1"/>
  <c r="O190" i="98"/>
  <c r="AM190" i="98" s="1"/>
  <c r="N190" i="98"/>
  <c r="AL190" i="98" s="1"/>
  <c r="EQ189" i="98"/>
  <c r="EI189" i="98"/>
  <c r="EG189" i="98"/>
  <c r="EF189" i="98"/>
  <c r="CK189" i="98"/>
  <c r="BE189" i="98"/>
  <c r="BC189" i="98"/>
  <c r="BC433" i="98" s="1"/>
  <c r="ES433" i="98" s="1"/>
  <c r="AV189" i="98"/>
  <c r="BH189" i="98" s="1"/>
  <c r="AU189" i="98"/>
  <c r="EK189" i="98" s="1"/>
  <c r="AT189" i="98"/>
  <c r="BF189" i="98" s="1"/>
  <c r="AD189" i="98"/>
  <c r="AP189" i="98" s="1"/>
  <c r="X189" i="98"/>
  <c r="W189" i="98"/>
  <c r="V189" i="98"/>
  <c r="U189" i="98"/>
  <c r="O189" i="98"/>
  <c r="AM189" i="98" s="1"/>
  <c r="P189" i="98"/>
  <c r="AN189" i="98" s="1"/>
  <c r="N189" i="98"/>
  <c r="AL189" i="98" s="1"/>
  <c r="F433" i="98"/>
  <c r="EQ188" i="98"/>
  <c r="EM188" i="98"/>
  <c r="EI188" i="98"/>
  <c r="EH188" i="98"/>
  <c r="EG188" i="98"/>
  <c r="EF188" i="98"/>
  <c r="EE188" i="98"/>
  <c r="BI188" i="98"/>
  <c r="BE188" i="98"/>
  <c r="BD188" i="98"/>
  <c r="BC188" i="98"/>
  <c r="ES188" i="98" s="1"/>
  <c r="BB188" i="98"/>
  <c r="ER188" i="98" s="1"/>
  <c r="AZ188" i="98"/>
  <c r="AY188" i="98"/>
  <c r="BK188" i="98" s="1"/>
  <c r="AX188" i="98"/>
  <c r="AV188" i="98"/>
  <c r="EL188" i="98" s="1"/>
  <c r="AU188" i="98"/>
  <c r="EK188" i="98" s="1"/>
  <c r="AT188" i="98"/>
  <c r="BF188" i="98" s="1"/>
  <c r="AF188" i="98"/>
  <c r="AR188" i="98" s="1"/>
  <c r="AE188" i="98"/>
  <c r="AQ188" i="98" s="1"/>
  <c r="AD188" i="98"/>
  <c r="AP188" i="98" s="1"/>
  <c r="X188" i="98"/>
  <c r="W188" i="98"/>
  <c r="V188" i="98"/>
  <c r="U188" i="98"/>
  <c r="P188" i="98"/>
  <c r="AN188" i="98" s="1"/>
  <c r="O188" i="98"/>
  <c r="AM188" i="98" s="1"/>
  <c r="N188" i="98"/>
  <c r="AL188" i="98" s="1"/>
  <c r="EG187" i="98"/>
  <c r="CK187" i="98"/>
  <c r="BB187" i="98"/>
  <c r="AT144" i="1"/>
  <c r="AU144" i="1" s="1"/>
  <c r="AD144" i="1"/>
  <c r="N187" i="98"/>
  <c r="AL187" i="98" s="1"/>
  <c r="EQ186" i="98"/>
  <c r="EM186" i="98"/>
  <c r="EI186" i="98"/>
  <c r="EH186" i="98"/>
  <c r="EG186" i="98"/>
  <c r="EF186" i="98"/>
  <c r="EE186" i="98"/>
  <c r="CK186" i="98"/>
  <c r="BI186" i="98"/>
  <c r="BE186" i="98"/>
  <c r="BD186" i="98"/>
  <c r="ET186" i="98" s="1"/>
  <c r="BC186" i="98"/>
  <c r="ES186" i="98" s="1"/>
  <c r="BB186" i="98"/>
  <c r="ER186" i="98" s="1"/>
  <c r="AZ186" i="98"/>
  <c r="BL186" i="98" s="1"/>
  <c r="AY186" i="98"/>
  <c r="AX186" i="98"/>
  <c r="EN186" i="98" s="1"/>
  <c r="AV186" i="98"/>
  <c r="EL186" i="98" s="1"/>
  <c r="AU186" i="98"/>
  <c r="BG186" i="98" s="1"/>
  <c r="AT186" i="98"/>
  <c r="EJ186" i="98" s="1"/>
  <c r="AE186" i="98"/>
  <c r="AQ186" i="98" s="1"/>
  <c r="AF186" i="98"/>
  <c r="AR186" i="98" s="1"/>
  <c r="AD186" i="98"/>
  <c r="AP186" i="98" s="1"/>
  <c r="AC186" i="98"/>
  <c r="AO186" i="98" s="1"/>
  <c r="X186" i="98"/>
  <c r="W186" i="98"/>
  <c r="V186" i="98"/>
  <c r="U186" i="98"/>
  <c r="O186" i="98"/>
  <c r="AM186" i="98" s="1"/>
  <c r="P186" i="98"/>
  <c r="AN186" i="98" s="1"/>
  <c r="N186" i="98"/>
  <c r="AL186" i="98" s="1"/>
  <c r="M186" i="98"/>
  <c r="AK186" i="98" s="1"/>
  <c r="EQ185" i="98"/>
  <c r="EI185" i="98"/>
  <c r="EG185" i="98"/>
  <c r="EF185" i="98"/>
  <c r="EE185" i="98"/>
  <c r="BI185" i="98"/>
  <c r="BE185" i="98"/>
  <c r="AY185" i="98"/>
  <c r="AV185" i="98"/>
  <c r="BH185" i="98" s="1"/>
  <c r="AU185" i="98"/>
  <c r="BG185" i="98" s="1"/>
  <c r="AT185" i="98"/>
  <c r="EJ185" i="98" s="1"/>
  <c r="AT143" i="1"/>
  <c r="AU143" i="1" s="1"/>
  <c r="AV143" i="1" s="1"/>
  <c r="X185" i="98"/>
  <c r="W185" i="98"/>
  <c r="V185" i="98"/>
  <c r="U185" i="98"/>
  <c r="P185" i="98"/>
  <c r="AN185" i="98" s="1"/>
  <c r="O185" i="98"/>
  <c r="AM185" i="98" s="1"/>
  <c r="N185" i="98"/>
  <c r="AL185" i="98" s="1"/>
  <c r="EQ184" i="98"/>
  <c r="EM184" i="98"/>
  <c r="EI184" i="98"/>
  <c r="EH184" i="98"/>
  <c r="EG184" i="98"/>
  <c r="EF184" i="98"/>
  <c r="EE184" i="98"/>
  <c r="CK184" i="98"/>
  <c r="BI184" i="98"/>
  <c r="BE184" i="98"/>
  <c r="BD184" i="98"/>
  <c r="BC184" i="98"/>
  <c r="BB184" i="98"/>
  <c r="ER184" i="98" s="1"/>
  <c r="AZ184" i="98"/>
  <c r="BL184" i="98" s="1"/>
  <c r="AY184" i="98"/>
  <c r="AX184" i="98"/>
  <c r="BJ184" i="98" s="1"/>
  <c r="AV184" i="98"/>
  <c r="EL184" i="98" s="1"/>
  <c r="AU184" i="98"/>
  <c r="EK184" i="98" s="1"/>
  <c r="AT184" i="98"/>
  <c r="AF184" i="98"/>
  <c r="AR184" i="98" s="1"/>
  <c r="AE184" i="98"/>
  <c r="AQ184" i="98" s="1"/>
  <c r="AD184" i="98"/>
  <c r="AP184" i="98" s="1"/>
  <c r="AC184" i="98"/>
  <c r="AO184" i="98" s="1"/>
  <c r="W184" i="98"/>
  <c r="X184" i="98"/>
  <c r="V184" i="98"/>
  <c r="U184" i="98"/>
  <c r="P184" i="98"/>
  <c r="AN184" i="98" s="1"/>
  <c r="O184" i="98"/>
  <c r="AM184" i="98" s="1"/>
  <c r="N184" i="98"/>
  <c r="AL184" i="98" s="1"/>
  <c r="M184" i="98"/>
  <c r="AK184" i="98" s="1"/>
  <c r="EI183" i="98"/>
  <c r="EG183" i="98"/>
  <c r="EF183" i="98"/>
  <c r="EE183" i="98"/>
  <c r="BE183" i="98"/>
  <c r="BI183" i="98"/>
  <c r="AV183" i="98"/>
  <c r="EL183" i="98" s="1"/>
  <c r="AU183" i="98"/>
  <c r="BG183" i="98" s="1"/>
  <c r="AT183" i="98"/>
  <c r="BF183" i="98" s="1"/>
  <c r="AT142" i="1"/>
  <c r="AU142" i="1" s="1"/>
  <c r="AV142" i="1" s="1"/>
  <c r="AW142" i="1" s="1"/>
  <c r="X183" i="98"/>
  <c r="W183" i="98"/>
  <c r="V183" i="98"/>
  <c r="U183" i="98"/>
  <c r="N183" i="98"/>
  <c r="AL183" i="98" s="1"/>
  <c r="P183" i="98"/>
  <c r="AN183" i="98" s="1"/>
  <c r="O183" i="98"/>
  <c r="AM183" i="98" s="1"/>
  <c r="EQ182" i="98"/>
  <c r="EM182" i="98"/>
  <c r="EI182" i="98"/>
  <c r="EH182" i="98"/>
  <c r="EG182" i="98"/>
  <c r="EF182" i="98"/>
  <c r="EE182" i="98"/>
  <c r="BI182" i="98"/>
  <c r="BG182" i="98"/>
  <c r="BE182" i="98"/>
  <c r="BD182" i="98"/>
  <c r="BC182" i="98"/>
  <c r="BB182" i="98"/>
  <c r="ER182" i="98" s="1"/>
  <c r="AZ182" i="98"/>
  <c r="AY182" i="98"/>
  <c r="EO182" i="98" s="1"/>
  <c r="AX182" i="98"/>
  <c r="AV182" i="98"/>
  <c r="EL182" i="98" s="1"/>
  <c r="AU182" i="98"/>
  <c r="EK182" i="98" s="1"/>
  <c r="AT182" i="98"/>
  <c r="BF182" i="98" s="1"/>
  <c r="AF182" i="98"/>
  <c r="AR182" i="98" s="1"/>
  <c r="AE182" i="98"/>
  <c r="AQ182" i="98" s="1"/>
  <c r="AD182" i="98"/>
  <c r="AP182" i="98" s="1"/>
  <c r="X182" i="98"/>
  <c r="W182" i="98"/>
  <c r="V182" i="98"/>
  <c r="U182" i="98"/>
  <c r="P182" i="98"/>
  <c r="AN182" i="98" s="1"/>
  <c r="O182" i="98"/>
  <c r="AM182" i="98" s="1"/>
  <c r="N182" i="98"/>
  <c r="AL182" i="98" s="1"/>
  <c r="EQ181" i="98"/>
  <c r="EM181" i="98"/>
  <c r="EI181" i="98"/>
  <c r="EH181" i="98"/>
  <c r="EG181" i="98"/>
  <c r="EF181" i="98"/>
  <c r="EE181" i="98"/>
  <c r="CK181" i="98"/>
  <c r="BI181" i="98"/>
  <c r="BE181" i="98"/>
  <c r="BD181" i="98"/>
  <c r="ET181" i="98" s="1"/>
  <c r="BC181" i="98"/>
  <c r="ES181" i="98" s="1"/>
  <c r="BB181" i="98"/>
  <c r="ER181" i="98" s="1"/>
  <c r="AZ181" i="98"/>
  <c r="BL181" i="98" s="1"/>
  <c r="AY181" i="98"/>
  <c r="AX181" i="98"/>
  <c r="EN181" i="98" s="1"/>
  <c r="AV181" i="98"/>
  <c r="EL181" i="98" s="1"/>
  <c r="AU181" i="98"/>
  <c r="BG181" i="98" s="1"/>
  <c r="AT181" i="98"/>
  <c r="EJ181" i="98" s="1"/>
  <c r="AF181" i="98"/>
  <c r="AR181" i="98" s="1"/>
  <c r="AE181" i="98"/>
  <c r="AQ181" i="98" s="1"/>
  <c r="AD181" i="98"/>
  <c r="AP181" i="98" s="1"/>
  <c r="X181" i="98"/>
  <c r="W181" i="98"/>
  <c r="V181" i="98"/>
  <c r="U181" i="98"/>
  <c r="P181" i="98"/>
  <c r="AN181" i="98" s="1"/>
  <c r="O181" i="98"/>
  <c r="AM181" i="98" s="1"/>
  <c r="N181" i="98"/>
  <c r="AL181" i="98" s="1"/>
  <c r="EQ180" i="98"/>
  <c r="EM180" i="98"/>
  <c r="EI180" i="98"/>
  <c r="EH180" i="98"/>
  <c r="EG180" i="98"/>
  <c r="EF180" i="98"/>
  <c r="EE180" i="98"/>
  <c r="BI180" i="98"/>
  <c r="BE180" i="98"/>
  <c r="BD180" i="98"/>
  <c r="ET180" i="98" s="1"/>
  <c r="BC180" i="98"/>
  <c r="BB180" i="98"/>
  <c r="AZ180" i="98"/>
  <c r="AY180" i="98"/>
  <c r="BK180" i="98" s="1"/>
  <c r="AX180" i="98"/>
  <c r="AV180" i="98"/>
  <c r="BH180" i="98" s="1"/>
  <c r="AU180" i="98"/>
  <c r="EK180" i="98" s="1"/>
  <c r="AT180" i="98"/>
  <c r="EJ180" i="98" s="1"/>
  <c r="AF180" i="98"/>
  <c r="AR180" i="98" s="1"/>
  <c r="AE180" i="98"/>
  <c r="AQ180" i="98" s="1"/>
  <c r="AD180" i="98"/>
  <c r="AP180" i="98" s="1"/>
  <c r="X180" i="98"/>
  <c r="W180" i="98"/>
  <c r="V180" i="98"/>
  <c r="U180" i="98"/>
  <c r="P180" i="98"/>
  <c r="AN180" i="98" s="1"/>
  <c r="O180" i="98"/>
  <c r="AM180" i="98" s="1"/>
  <c r="N180" i="98"/>
  <c r="AL180" i="98" s="1"/>
  <c r="EQ179" i="98"/>
  <c r="EM179" i="98"/>
  <c r="EL179" i="98"/>
  <c r="EI179" i="98"/>
  <c r="EH179" i="98"/>
  <c r="EG179" i="98"/>
  <c r="EF179" i="98"/>
  <c r="EE179" i="98"/>
  <c r="CK179" i="98"/>
  <c r="BI179" i="98"/>
  <c r="BE179" i="98"/>
  <c r="BD179" i="98"/>
  <c r="BC179" i="98"/>
  <c r="BB179" i="98"/>
  <c r="ER179" i="98" s="1"/>
  <c r="AZ179" i="98"/>
  <c r="EP179" i="98" s="1"/>
  <c r="AY179" i="98"/>
  <c r="AX179" i="98"/>
  <c r="EN179" i="98" s="1"/>
  <c r="AV179" i="98"/>
  <c r="BH179" i="98" s="1"/>
  <c r="AU179" i="98"/>
  <c r="EK179" i="98" s="1"/>
  <c r="AT179" i="98"/>
  <c r="AF179" i="98"/>
  <c r="AR179" i="98" s="1"/>
  <c r="AE179" i="98"/>
  <c r="AQ179" i="98" s="1"/>
  <c r="AD179" i="98"/>
  <c r="AP179" i="98" s="1"/>
  <c r="X179" i="98"/>
  <c r="W179" i="98"/>
  <c r="V179" i="98"/>
  <c r="U179" i="98"/>
  <c r="P179" i="98"/>
  <c r="AN179" i="98" s="1"/>
  <c r="O179" i="98"/>
  <c r="AM179" i="98" s="1"/>
  <c r="N179" i="98"/>
  <c r="AL179" i="98" s="1"/>
  <c r="EQ178" i="98"/>
  <c r="EM178" i="98"/>
  <c r="EI178" i="98"/>
  <c r="EH178" i="98"/>
  <c r="EG178" i="98"/>
  <c r="EF178" i="98"/>
  <c r="EE178" i="98"/>
  <c r="BI178" i="98"/>
  <c r="BE178" i="98"/>
  <c r="BD178" i="98"/>
  <c r="BC178" i="98"/>
  <c r="ES178" i="98" s="1"/>
  <c r="BB178" i="98"/>
  <c r="ER178" i="98" s="1"/>
  <c r="AZ178" i="98"/>
  <c r="AY178" i="98"/>
  <c r="BK178" i="98" s="1"/>
  <c r="AX178" i="98"/>
  <c r="AV178" i="98"/>
  <c r="EL178" i="98" s="1"/>
  <c r="AU178" i="98"/>
  <c r="AT178" i="98"/>
  <c r="BF178" i="98" s="1"/>
  <c r="AF178" i="98"/>
  <c r="AR178" i="98" s="1"/>
  <c r="AE178" i="98"/>
  <c r="AQ178" i="98" s="1"/>
  <c r="AD178" i="98"/>
  <c r="AP178" i="98" s="1"/>
  <c r="X178" i="98"/>
  <c r="W178" i="98"/>
  <c r="V178" i="98"/>
  <c r="U178" i="98"/>
  <c r="N178" i="98"/>
  <c r="AL178" i="98" s="1"/>
  <c r="P178" i="98"/>
  <c r="AN178" i="98" s="1"/>
  <c r="O178" i="98"/>
  <c r="AM178" i="98" s="1"/>
  <c r="EQ177" i="98"/>
  <c r="EM177" i="98"/>
  <c r="EI177" i="98"/>
  <c r="EH177" i="98"/>
  <c r="EG177" i="98"/>
  <c r="EF177" i="98"/>
  <c r="EE177" i="98"/>
  <c r="CK177" i="98"/>
  <c r="BI177" i="98"/>
  <c r="BE177" i="98"/>
  <c r="BD177" i="98"/>
  <c r="ET177" i="98" s="1"/>
  <c r="BC177" i="98"/>
  <c r="ES177" i="98" s="1"/>
  <c r="BB177" i="98"/>
  <c r="ER177" i="98" s="1"/>
  <c r="AZ177" i="98"/>
  <c r="EP177" i="98" s="1"/>
  <c r="AY177" i="98"/>
  <c r="AX177" i="98"/>
  <c r="AV177" i="98"/>
  <c r="BH177" i="98" s="1"/>
  <c r="AU177" i="98"/>
  <c r="BG177" i="98" s="1"/>
  <c r="AT177" i="98"/>
  <c r="EJ177" i="98" s="1"/>
  <c r="AF177" i="98"/>
  <c r="AR177" i="98" s="1"/>
  <c r="AE177" i="98"/>
  <c r="AQ177" i="98" s="1"/>
  <c r="AD177" i="98"/>
  <c r="AP177" i="98" s="1"/>
  <c r="X177" i="98"/>
  <c r="W177" i="98"/>
  <c r="V177" i="98"/>
  <c r="U177" i="98"/>
  <c r="P177" i="98"/>
  <c r="AN177" i="98" s="1"/>
  <c r="O177" i="98"/>
  <c r="AM177" i="98" s="1"/>
  <c r="N177" i="98"/>
  <c r="AL177" i="98" s="1"/>
  <c r="EQ176" i="98"/>
  <c r="EM176" i="98"/>
  <c r="EI176" i="98"/>
  <c r="EH176" i="98"/>
  <c r="EG176" i="98"/>
  <c r="EF176" i="98"/>
  <c r="EE176" i="98"/>
  <c r="BI176" i="98"/>
  <c r="BE176" i="98"/>
  <c r="BD176" i="98"/>
  <c r="ET176" i="98" s="1"/>
  <c r="BC176" i="98"/>
  <c r="ES176" i="98" s="1"/>
  <c r="BB176" i="98"/>
  <c r="AZ176" i="98"/>
  <c r="AY176" i="98"/>
  <c r="EO176" i="98" s="1"/>
  <c r="AX176" i="98"/>
  <c r="AV176" i="98"/>
  <c r="BH176" i="98" s="1"/>
  <c r="AU176" i="98"/>
  <c r="BG176" i="98" s="1"/>
  <c r="AT176" i="98"/>
  <c r="EJ176" i="98" s="1"/>
  <c r="AF176" i="98"/>
  <c r="AR176" i="98" s="1"/>
  <c r="AE176" i="98"/>
  <c r="AQ176" i="98" s="1"/>
  <c r="AD176" i="98"/>
  <c r="AP176" i="98" s="1"/>
  <c r="V176" i="98"/>
  <c r="X176" i="98"/>
  <c r="W176" i="98"/>
  <c r="U176" i="98"/>
  <c r="P176" i="98"/>
  <c r="AN176" i="98" s="1"/>
  <c r="O176" i="98"/>
  <c r="AM176" i="98" s="1"/>
  <c r="N176" i="98"/>
  <c r="AL176" i="98" s="1"/>
  <c r="EQ175" i="98"/>
  <c r="EM175" i="98"/>
  <c r="EI175" i="98"/>
  <c r="EH175" i="98"/>
  <c r="EG175" i="98"/>
  <c r="EF175" i="98"/>
  <c r="EE175" i="98"/>
  <c r="CK175" i="98"/>
  <c r="BI175" i="98"/>
  <c r="BE175" i="98"/>
  <c r="BD175" i="98"/>
  <c r="ET175" i="98" s="1"/>
  <c r="BC175" i="98"/>
  <c r="BB175" i="98"/>
  <c r="AZ175" i="98"/>
  <c r="BL175" i="98" s="1"/>
  <c r="AY175" i="98"/>
  <c r="AX175" i="98"/>
  <c r="BJ175" i="98" s="1"/>
  <c r="AV175" i="98"/>
  <c r="AU175" i="98"/>
  <c r="EK175" i="98" s="1"/>
  <c r="AT175" i="98"/>
  <c r="BF175" i="98" s="1"/>
  <c r="AF175" i="98"/>
  <c r="AR175" i="98" s="1"/>
  <c r="AE175" i="98"/>
  <c r="AQ175" i="98" s="1"/>
  <c r="AD175" i="98"/>
  <c r="AP175" i="98" s="1"/>
  <c r="X175" i="98"/>
  <c r="W175" i="98"/>
  <c r="V175" i="98"/>
  <c r="U175" i="98"/>
  <c r="P175" i="98"/>
  <c r="AN175" i="98" s="1"/>
  <c r="O175" i="98"/>
  <c r="AM175" i="98" s="1"/>
  <c r="N175" i="98"/>
  <c r="AL175" i="98" s="1"/>
  <c r="EQ174" i="98"/>
  <c r="EM174" i="98"/>
  <c r="EI174" i="98"/>
  <c r="EH174" i="98"/>
  <c r="EG174" i="98"/>
  <c r="EF174" i="98"/>
  <c r="EE174" i="98"/>
  <c r="BI174" i="98"/>
  <c r="BE174" i="98"/>
  <c r="BD174" i="98"/>
  <c r="BC174" i="98"/>
  <c r="BB174" i="98"/>
  <c r="ER174" i="98" s="1"/>
  <c r="AZ174" i="98"/>
  <c r="AY174" i="98"/>
  <c r="EO174" i="98" s="1"/>
  <c r="AX174" i="98"/>
  <c r="AV174" i="98"/>
  <c r="EL174" i="98" s="1"/>
  <c r="AU174" i="98"/>
  <c r="EK174" i="98" s="1"/>
  <c r="AT174" i="98"/>
  <c r="BF174" i="98" s="1"/>
  <c r="AF174" i="98"/>
  <c r="AR174" i="98" s="1"/>
  <c r="AE174" i="98"/>
  <c r="AQ174" i="98" s="1"/>
  <c r="AD174" i="98"/>
  <c r="AP174" i="98" s="1"/>
  <c r="X174" i="98"/>
  <c r="W174" i="98"/>
  <c r="V174" i="98"/>
  <c r="U174" i="98"/>
  <c r="P174" i="98"/>
  <c r="AN174" i="98" s="1"/>
  <c r="O174" i="98"/>
  <c r="AM174" i="98" s="1"/>
  <c r="N174" i="98"/>
  <c r="AL174" i="98" s="1"/>
  <c r="EM173" i="98"/>
  <c r="CK173" i="98"/>
  <c r="BI173" i="98"/>
  <c r="BB173" i="98"/>
  <c r="ER173" i="98" s="1"/>
  <c r="BD173" i="98"/>
  <c r="AZ173" i="98"/>
  <c r="BL173" i="98" s="1"/>
  <c r="AY173" i="98"/>
  <c r="BK173" i="98" s="1"/>
  <c r="AX173" i="98"/>
  <c r="BJ173" i="98" s="1"/>
  <c r="AE173" i="98"/>
  <c r="AQ173" i="98" s="1"/>
  <c r="EH173" i="98"/>
  <c r="EQ172" i="98"/>
  <c r="EM172" i="98"/>
  <c r="EI172" i="98"/>
  <c r="EH172" i="98"/>
  <c r="EG172" i="98"/>
  <c r="EF172" i="98"/>
  <c r="EE172" i="98"/>
  <c r="BI172" i="98"/>
  <c r="BE172" i="98"/>
  <c r="BD172" i="98"/>
  <c r="BC172" i="98"/>
  <c r="ES172" i="98" s="1"/>
  <c r="BB172" i="98"/>
  <c r="ER172" i="98" s="1"/>
  <c r="AZ172" i="98"/>
  <c r="AY172" i="98"/>
  <c r="EO172" i="98" s="1"/>
  <c r="AX172" i="98"/>
  <c r="AV172" i="98"/>
  <c r="EL172" i="98" s="1"/>
  <c r="AU172" i="98"/>
  <c r="BG172" i="98" s="1"/>
  <c r="AT172" i="98"/>
  <c r="BF172" i="98" s="1"/>
  <c r="AF172" i="98"/>
  <c r="AR172" i="98" s="1"/>
  <c r="AE172" i="98"/>
  <c r="AQ172" i="98" s="1"/>
  <c r="AD172" i="98"/>
  <c r="AP172" i="98" s="1"/>
  <c r="AC172" i="98"/>
  <c r="AO172" i="98" s="1"/>
  <c r="V172" i="98"/>
  <c r="X172" i="98"/>
  <c r="W172" i="98"/>
  <c r="U172" i="98"/>
  <c r="P172" i="98"/>
  <c r="AN172" i="98" s="1"/>
  <c r="O172" i="98"/>
  <c r="AM172" i="98" s="1"/>
  <c r="N172" i="98"/>
  <c r="AL172" i="98" s="1"/>
  <c r="M172" i="98"/>
  <c r="AK172" i="98" s="1"/>
  <c r="EQ171" i="98"/>
  <c r="EM171" i="98"/>
  <c r="EI171" i="98"/>
  <c r="EH171" i="98"/>
  <c r="EG171" i="98"/>
  <c r="EF171" i="98"/>
  <c r="EE171" i="98"/>
  <c r="CK171" i="98"/>
  <c r="BI171" i="98"/>
  <c r="BE171" i="98"/>
  <c r="BD171" i="98"/>
  <c r="ET171" i="98" s="1"/>
  <c r="BC171" i="98"/>
  <c r="ES171" i="98" s="1"/>
  <c r="BB171" i="98"/>
  <c r="AZ171" i="98"/>
  <c r="EP171" i="98" s="1"/>
  <c r="AY171" i="98"/>
  <c r="AX171" i="98"/>
  <c r="EN171" i="98" s="1"/>
  <c r="AV171" i="98"/>
  <c r="AU171" i="98"/>
  <c r="BG171" i="98" s="1"/>
  <c r="AT171" i="98"/>
  <c r="EJ171" i="98" s="1"/>
  <c r="AF171" i="98"/>
  <c r="AR171" i="98" s="1"/>
  <c r="AE171" i="98"/>
  <c r="AQ171" i="98" s="1"/>
  <c r="AD171" i="98"/>
  <c r="AP171" i="98" s="1"/>
  <c r="AC171" i="98"/>
  <c r="AO171" i="98" s="1"/>
  <c r="X171" i="98"/>
  <c r="W171" i="98"/>
  <c r="V171" i="98"/>
  <c r="U171" i="98"/>
  <c r="P171" i="98"/>
  <c r="AN171" i="98" s="1"/>
  <c r="O171" i="98"/>
  <c r="AM171" i="98" s="1"/>
  <c r="N171" i="98"/>
  <c r="AL171" i="98" s="1"/>
  <c r="M171" i="98"/>
  <c r="AK171" i="98" s="1"/>
  <c r="EQ170" i="98"/>
  <c r="EM170" i="98"/>
  <c r="EI170" i="98"/>
  <c r="EH170" i="98"/>
  <c r="EG170" i="98"/>
  <c r="EF170" i="98"/>
  <c r="EE170" i="98"/>
  <c r="BI170" i="98"/>
  <c r="BE170" i="98"/>
  <c r="BD170" i="98"/>
  <c r="ET170" i="98" s="1"/>
  <c r="BC170" i="98"/>
  <c r="BB170" i="98"/>
  <c r="AZ170" i="98"/>
  <c r="AY170" i="98"/>
  <c r="EO170" i="98" s="1"/>
  <c r="AX170" i="98"/>
  <c r="AV170" i="98"/>
  <c r="BH170" i="98" s="1"/>
  <c r="AU170" i="98"/>
  <c r="EK170" i="98" s="1"/>
  <c r="AT170" i="98"/>
  <c r="EJ170" i="98" s="1"/>
  <c r="AF170" i="98"/>
  <c r="AR170" i="98" s="1"/>
  <c r="AE170" i="98"/>
  <c r="AQ170" i="98" s="1"/>
  <c r="AD170" i="98"/>
  <c r="AP170" i="98" s="1"/>
  <c r="V170" i="98"/>
  <c r="X170" i="98"/>
  <c r="W170" i="98"/>
  <c r="U170" i="98"/>
  <c r="P170" i="98"/>
  <c r="AN170" i="98" s="1"/>
  <c r="O170" i="98"/>
  <c r="AM170" i="98" s="1"/>
  <c r="N170" i="98"/>
  <c r="AL170" i="98" s="1"/>
  <c r="EQ169" i="98"/>
  <c r="EM169" i="98"/>
  <c r="EI169" i="98"/>
  <c r="EH169" i="98"/>
  <c r="EG169" i="98"/>
  <c r="EF169" i="98"/>
  <c r="EE169" i="98"/>
  <c r="CK169" i="98"/>
  <c r="BI169" i="98"/>
  <c r="BG169" i="98"/>
  <c r="BE169" i="98"/>
  <c r="BD169" i="98"/>
  <c r="ET169" i="98" s="1"/>
  <c r="BC169" i="98"/>
  <c r="BB169" i="98"/>
  <c r="ER169" i="98" s="1"/>
  <c r="AZ169" i="98"/>
  <c r="BL169" i="98" s="1"/>
  <c r="AY169" i="98"/>
  <c r="AX169" i="98"/>
  <c r="EN169" i="98" s="1"/>
  <c r="AV169" i="98"/>
  <c r="EL169" i="98" s="1"/>
  <c r="AU169" i="98"/>
  <c r="EK169" i="98" s="1"/>
  <c r="AT169" i="98"/>
  <c r="EJ169" i="98" s="1"/>
  <c r="AF169" i="98"/>
  <c r="AR169" i="98" s="1"/>
  <c r="AE169" i="98"/>
  <c r="AQ169" i="98" s="1"/>
  <c r="AD169" i="98"/>
  <c r="AP169" i="98" s="1"/>
  <c r="AC169" i="98"/>
  <c r="AO169" i="98" s="1"/>
  <c r="X169" i="98"/>
  <c r="W169" i="98"/>
  <c r="V169" i="98"/>
  <c r="U169" i="98"/>
  <c r="P169" i="98"/>
  <c r="AN169" i="98" s="1"/>
  <c r="O169" i="98"/>
  <c r="AM169" i="98" s="1"/>
  <c r="N169" i="98"/>
  <c r="AL169" i="98" s="1"/>
  <c r="M169" i="98"/>
  <c r="AK169" i="98" s="1"/>
  <c r="EQ168" i="98"/>
  <c r="EM168" i="98"/>
  <c r="EI168" i="98"/>
  <c r="EH168" i="98"/>
  <c r="EG168" i="98"/>
  <c r="EF168" i="98"/>
  <c r="EE168" i="98"/>
  <c r="BI168" i="98"/>
  <c r="BE168" i="98"/>
  <c r="BD168" i="98"/>
  <c r="BC168" i="98"/>
  <c r="ES168" i="98" s="1"/>
  <c r="BB168" i="98"/>
  <c r="ER168" i="98" s="1"/>
  <c r="AZ168" i="98"/>
  <c r="AY168" i="98"/>
  <c r="EO168" i="98" s="1"/>
  <c r="AX168" i="98"/>
  <c r="AV168" i="98"/>
  <c r="EL168" i="98" s="1"/>
  <c r="AU168" i="98"/>
  <c r="EK168" i="98" s="1"/>
  <c r="AT168" i="98"/>
  <c r="BF168" i="98" s="1"/>
  <c r="AF168" i="98"/>
  <c r="AR168" i="98" s="1"/>
  <c r="AE168" i="98"/>
  <c r="AQ168" i="98" s="1"/>
  <c r="AD168" i="98"/>
  <c r="AP168" i="98" s="1"/>
  <c r="AC168" i="98"/>
  <c r="AO168" i="98" s="1"/>
  <c r="X168" i="98"/>
  <c r="W168" i="98"/>
  <c r="V168" i="98"/>
  <c r="U168" i="98"/>
  <c r="P168" i="98"/>
  <c r="AN168" i="98" s="1"/>
  <c r="O168" i="98"/>
  <c r="AM168" i="98" s="1"/>
  <c r="N168" i="98"/>
  <c r="AL168" i="98" s="1"/>
  <c r="M168" i="98"/>
  <c r="AK168" i="98" s="1"/>
  <c r="EI167" i="98"/>
  <c r="CK167" i="98"/>
  <c r="BE167" i="98"/>
  <c r="BD167" i="98"/>
  <c r="BD411" i="98" s="1"/>
  <c r="ET411" i="98" s="1"/>
  <c r="BA411" i="98"/>
  <c r="EQ411" i="98" s="1"/>
  <c r="AX167" i="98"/>
  <c r="AW411" i="98"/>
  <c r="AV167" i="98"/>
  <c r="AU167" i="98"/>
  <c r="BG167" i="98" s="1"/>
  <c r="AT167" i="98"/>
  <c r="BF167" i="98" s="1"/>
  <c r="T141" i="1"/>
  <c r="EI166" i="98"/>
  <c r="EG166" i="98"/>
  <c r="BE166" i="98"/>
  <c r="BB166" i="98"/>
  <c r="BA410" i="98"/>
  <c r="EQ410" i="98" s="1"/>
  <c r="AV166" i="98"/>
  <c r="AU166" i="98"/>
  <c r="BG166" i="98" s="1"/>
  <c r="AT166" i="98"/>
  <c r="EJ166" i="98" s="1"/>
  <c r="AE166" i="98"/>
  <c r="AQ166" i="98" s="1"/>
  <c r="AD166" i="98"/>
  <c r="AP166" i="98" s="1"/>
  <c r="F410" i="98"/>
  <c r="D410" i="98"/>
  <c r="EQ165" i="98"/>
  <c r="EM165" i="98"/>
  <c r="EI165" i="98"/>
  <c r="EH165" i="98"/>
  <c r="EG165" i="98"/>
  <c r="EF165" i="98"/>
  <c r="EE165" i="98"/>
  <c r="BI165" i="98"/>
  <c r="BE165" i="98"/>
  <c r="BD165" i="98"/>
  <c r="ET165" i="98" s="1"/>
  <c r="BC165" i="98"/>
  <c r="BB165" i="98"/>
  <c r="ER165" i="98" s="1"/>
  <c r="AZ165" i="98"/>
  <c r="AY165" i="98"/>
  <c r="EO165" i="98" s="1"/>
  <c r="AX165" i="98"/>
  <c r="AV165" i="98"/>
  <c r="EL165" i="98" s="1"/>
  <c r="AU165" i="98"/>
  <c r="BG165" i="98" s="1"/>
  <c r="AT165" i="98"/>
  <c r="EJ165" i="98" s="1"/>
  <c r="AF165" i="98"/>
  <c r="AR165" i="98" s="1"/>
  <c r="AE165" i="98"/>
  <c r="AQ165" i="98" s="1"/>
  <c r="AD165" i="98"/>
  <c r="AP165" i="98" s="1"/>
  <c r="AC165" i="98"/>
  <c r="AO165" i="98" s="1"/>
  <c r="X165" i="98"/>
  <c r="W165" i="98"/>
  <c r="V165" i="98"/>
  <c r="U165" i="98"/>
  <c r="P165" i="98"/>
  <c r="AN165" i="98" s="1"/>
  <c r="O165" i="98"/>
  <c r="AM165" i="98" s="1"/>
  <c r="N165" i="98"/>
  <c r="AL165" i="98" s="1"/>
  <c r="M165" i="98"/>
  <c r="AK165" i="98" s="1"/>
  <c r="ER164" i="98"/>
  <c r="EQ164" i="98"/>
  <c r="EH164" i="98"/>
  <c r="EG164" i="98"/>
  <c r="EF164" i="98"/>
  <c r="EE164" i="98"/>
  <c r="DI164" i="98"/>
  <c r="DH164" i="98"/>
  <c r="DG164" i="98"/>
  <c r="DF164" i="98"/>
  <c r="CK164" i="98"/>
  <c r="BD164" i="98"/>
  <c r="ET164" i="98" s="1"/>
  <c r="BC164" i="98"/>
  <c r="ES164" i="98" s="1"/>
  <c r="BB164" i="98"/>
  <c r="AS164" i="98"/>
  <c r="AF164" i="98"/>
  <c r="AR164" i="98" s="1"/>
  <c r="AE164" i="98"/>
  <c r="AQ164" i="98" s="1"/>
  <c r="AD164" i="98"/>
  <c r="AP164" i="98" s="1"/>
  <c r="X164" i="98"/>
  <c r="W164" i="98"/>
  <c r="V164" i="98"/>
  <c r="U164" i="98"/>
  <c r="P164" i="98"/>
  <c r="AN164" i="98" s="1"/>
  <c r="O164" i="98"/>
  <c r="AM164" i="98" s="1"/>
  <c r="N164" i="98"/>
  <c r="AL164" i="98" s="1"/>
  <c r="EQ163" i="98"/>
  <c r="EM163" i="98"/>
  <c r="EI163" i="98"/>
  <c r="EH163" i="98"/>
  <c r="EG163" i="98"/>
  <c r="EF163" i="98"/>
  <c r="EE163" i="98"/>
  <c r="BI163" i="98"/>
  <c r="BE163" i="98"/>
  <c r="BD163" i="98"/>
  <c r="BC163" i="98"/>
  <c r="ES163" i="98" s="1"/>
  <c r="BB163" i="98"/>
  <c r="ER163" i="98" s="1"/>
  <c r="AZ163" i="98"/>
  <c r="AY163" i="98"/>
  <c r="EO163" i="98" s="1"/>
  <c r="AX163" i="98"/>
  <c r="AV163" i="98"/>
  <c r="EL163" i="98" s="1"/>
  <c r="AU163" i="98"/>
  <c r="EK163" i="98" s="1"/>
  <c r="AT163" i="98"/>
  <c r="BF163" i="98" s="1"/>
  <c r="AF163" i="98"/>
  <c r="AR163" i="98" s="1"/>
  <c r="AE163" i="98"/>
  <c r="AQ163" i="98" s="1"/>
  <c r="AD163" i="98"/>
  <c r="AP163" i="98" s="1"/>
  <c r="X163" i="98"/>
  <c r="W163" i="98"/>
  <c r="V163" i="98"/>
  <c r="U163" i="98"/>
  <c r="P163" i="98"/>
  <c r="AN163" i="98" s="1"/>
  <c r="O163" i="98"/>
  <c r="AM163" i="98" s="1"/>
  <c r="N163" i="98"/>
  <c r="AL163" i="98" s="1"/>
  <c r="EQ162" i="98"/>
  <c r="EM162" i="98"/>
  <c r="EI162" i="98"/>
  <c r="EH162" i="98"/>
  <c r="EG162" i="98"/>
  <c r="EF162" i="98"/>
  <c r="EE162" i="98"/>
  <c r="CK162" i="98"/>
  <c r="BI162" i="98"/>
  <c r="BE162" i="98"/>
  <c r="BD162" i="98"/>
  <c r="BC162" i="98"/>
  <c r="ES162" i="98" s="1"/>
  <c r="BB162" i="98"/>
  <c r="ER162" i="98" s="1"/>
  <c r="AZ162" i="98"/>
  <c r="BL162" i="98" s="1"/>
  <c r="AY162" i="98"/>
  <c r="AX162" i="98"/>
  <c r="EN162" i="98" s="1"/>
  <c r="AV162" i="98"/>
  <c r="BH162" i="98" s="1"/>
  <c r="AU162" i="98"/>
  <c r="BG162" i="98" s="1"/>
  <c r="AT162" i="98"/>
  <c r="AF162" i="98"/>
  <c r="AR162" i="98" s="1"/>
  <c r="AE162" i="98"/>
  <c r="AQ162" i="98" s="1"/>
  <c r="AD162" i="98"/>
  <c r="AP162" i="98" s="1"/>
  <c r="X162" i="98"/>
  <c r="W162" i="98"/>
  <c r="V162" i="98"/>
  <c r="U162" i="98"/>
  <c r="P162" i="98"/>
  <c r="AN162" i="98" s="1"/>
  <c r="O162" i="98"/>
  <c r="AM162" i="98" s="1"/>
  <c r="N162" i="98"/>
  <c r="AL162" i="98" s="1"/>
  <c r="EQ161" i="98"/>
  <c r="EM161" i="98"/>
  <c r="EI161" i="98"/>
  <c r="EH161" i="98"/>
  <c r="EG161" i="98"/>
  <c r="EF161" i="98"/>
  <c r="EE161" i="98"/>
  <c r="BI161" i="98"/>
  <c r="BE161" i="98"/>
  <c r="BD161" i="98"/>
  <c r="ET161" i="98" s="1"/>
  <c r="BC161" i="98"/>
  <c r="BB161" i="98"/>
  <c r="AZ161" i="98"/>
  <c r="AY161" i="98"/>
  <c r="EO161" i="98" s="1"/>
  <c r="AX161" i="98"/>
  <c r="AV161" i="98"/>
  <c r="BH161" i="98" s="1"/>
  <c r="AU161" i="98"/>
  <c r="AT161" i="98"/>
  <c r="EJ161" i="98" s="1"/>
  <c r="AF161" i="98"/>
  <c r="AR161" i="98" s="1"/>
  <c r="AE161" i="98"/>
  <c r="AQ161" i="98" s="1"/>
  <c r="AD161" i="98"/>
  <c r="AP161" i="98" s="1"/>
  <c r="V161" i="98"/>
  <c r="X161" i="98"/>
  <c r="W161" i="98"/>
  <c r="U161" i="98"/>
  <c r="P161" i="98"/>
  <c r="AN161" i="98" s="1"/>
  <c r="O161" i="98"/>
  <c r="AM161" i="98" s="1"/>
  <c r="N161" i="98"/>
  <c r="AL161" i="98" s="1"/>
  <c r="EQ160" i="98"/>
  <c r="EM160" i="98"/>
  <c r="EI160" i="98"/>
  <c r="EH160" i="98"/>
  <c r="EG160" i="98"/>
  <c r="EF160" i="98"/>
  <c r="EE160" i="98"/>
  <c r="CK160" i="98"/>
  <c r="BI160" i="98"/>
  <c r="BE160" i="98"/>
  <c r="BD160" i="98"/>
  <c r="BC160" i="98"/>
  <c r="BB160" i="98"/>
  <c r="ER160" i="98" s="1"/>
  <c r="AZ160" i="98"/>
  <c r="BL160" i="98" s="1"/>
  <c r="AY160" i="98"/>
  <c r="AX160" i="98"/>
  <c r="EN160" i="98" s="1"/>
  <c r="AV160" i="98"/>
  <c r="BH160" i="98" s="1"/>
  <c r="AU160" i="98"/>
  <c r="EK160" i="98" s="1"/>
  <c r="AT160" i="98"/>
  <c r="AF160" i="98"/>
  <c r="AR160" i="98" s="1"/>
  <c r="AE160" i="98"/>
  <c r="AQ160" i="98" s="1"/>
  <c r="AD160" i="98"/>
  <c r="AP160" i="98" s="1"/>
  <c r="AC160" i="98"/>
  <c r="AO160" i="98" s="1"/>
  <c r="X160" i="98"/>
  <c r="W160" i="98"/>
  <c r="V160" i="98"/>
  <c r="U160" i="98"/>
  <c r="P160" i="98"/>
  <c r="AN160" i="98" s="1"/>
  <c r="O160" i="98"/>
  <c r="AM160" i="98" s="1"/>
  <c r="N160" i="98"/>
  <c r="AL160" i="98" s="1"/>
  <c r="M160" i="98"/>
  <c r="AK160" i="98" s="1"/>
  <c r="EQ159" i="98"/>
  <c r="EM159" i="98"/>
  <c r="EI159" i="98"/>
  <c r="EH159" i="98"/>
  <c r="EG159" i="98"/>
  <c r="EF159" i="98"/>
  <c r="EE159" i="98"/>
  <c r="BI159" i="98"/>
  <c r="BG159" i="98"/>
  <c r="BE159" i="98"/>
  <c r="BD159" i="98"/>
  <c r="BC159" i="98"/>
  <c r="ES159" i="98" s="1"/>
  <c r="BB159" i="98"/>
  <c r="ER159" i="98" s="1"/>
  <c r="AZ159" i="98"/>
  <c r="AY159" i="98"/>
  <c r="EO159" i="98" s="1"/>
  <c r="AX159" i="98"/>
  <c r="AV159" i="98"/>
  <c r="EL159" i="98" s="1"/>
  <c r="AU159" i="98"/>
  <c r="EK159" i="98" s="1"/>
  <c r="AT159" i="98"/>
  <c r="BF159" i="98" s="1"/>
  <c r="AF159" i="98"/>
  <c r="AR159" i="98" s="1"/>
  <c r="AE159" i="98"/>
  <c r="AQ159" i="98" s="1"/>
  <c r="AD159" i="98"/>
  <c r="AP159" i="98" s="1"/>
  <c r="V159" i="98"/>
  <c r="X159" i="98"/>
  <c r="W159" i="98"/>
  <c r="U159" i="98"/>
  <c r="P159" i="98"/>
  <c r="AN159" i="98" s="1"/>
  <c r="O159" i="98"/>
  <c r="AM159" i="98" s="1"/>
  <c r="N159" i="98"/>
  <c r="AL159" i="98" s="1"/>
  <c r="EQ158" i="98"/>
  <c r="EH158" i="98"/>
  <c r="EG158" i="98"/>
  <c r="EF158" i="98"/>
  <c r="EE158" i="98"/>
  <c r="DI158" i="98"/>
  <c r="DH158" i="98"/>
  <c r="DG158" i="98"/>
  <c r="AT158" i="98" s="1"/>
  <c r="DF158" i="98"/>
  <c r="AS158" i="98" s="1"/>
  <c r="CK158" i="98"/>
  <c r="BD158" i="98"/>
  <c r="ET158" i="98" s="1"/>
  <c r="BC158" i="98"/>
  <c r="ES158" i="98" s="1"/>
  <c r="BB158" i="98"/>
  <c r="ER158" i="98" s="1"/>
  <c r="AF158" i="98"/>
  <c r="AR158" i="98" s="1"/>
  <c r="AE158" i="98"/>
  <c r="AQ158" i="98" s="1"/>
  <c r="AD158" i="98"/>
  <c r="AP158" i="98" s="1"/>
  <c r="X158" i="98"/>
  <c r="W158" i="98"/>
  <c r="V158" i="98"/>
  <c r="U158" i="98"/>
  <c r="P158" i="98"/>
  <c r="AN158" i="98" s="1"/>
  <c r="O158" i="98"/>
  <c r="AM158" i="98" s="1"/>
  <c r="N158" i="98"/>
  <c r="AL158" i="98" s="1"/>
  <c r="EQ157" i="98"/>
  <c r="EM157" i="98"/>
  <c r="EI157" i="98"/>
  <c r="EH157" i="98"/>
  <c r="EG157" i="98"/>
  <c r="EF157" i="98"/>
  <c r="EE157" i="98"/>
  <c r="BI157" i="98"/>
  <c r="BE157" i="98"/>
  <c r="BD157" i="98"/>
  <c r="BC157" i="98"/>
  <c r="BB157" i="98"/>
  <c r="ER157" i="98" s="1"/>
  <c r="AZ157" i="98"/>
  <c r="AY157" i="98"/>
  <c r="EO157" i="98" s="1"/>
  <c r="AX157" i="98"/>
  <c r="AV157" i="98"/>
  <c r="EL157" i="98" s="1"/>
  <c r="AU157" i="98"/>
  <c r="EK157" i="98" s="1"/>
  <c r="AT157" i="98"/>
  <c r="BF157" i="98" s="1"/>
  <c r="AF157" i="98"/>
  <c r="AR157" i="98" s="1"/>
  <c r="AE157" i="98"/>
  <c r="AQ157" i="98" s="1"/>
  <c r="AD157" i="98"/>
  <c r="AP157" i="98" s="1"/>
  <c r="X157" i="98"/>
  <c r="W157" i="98"/>
  <c r="V157" i="98"/>
  <c r="U157" i="98"/>
  <c r="P157" i="98"/>
  <c r="AN157" i="98" s="1"/>
  <c r="O157" i="98"/>
  <c r="AM157" i="98" s="1"/>
  <c r="N157" i="98"/>
  <c r="AL157" i="98" s="1"/>
  <c r="CK156" i="98"/>
  <c r="AY156" i="98"/>
  <c r="BE156" i="98"/>
  <c r="AZ155" i="98"/>
  <c r="AT135" i="1"/>
  <c r="AU135" i="1" s="1"/>
  <c r="N155" i="98"/>
  <c r="AL155" i="98" s="1"/>
  <c r="AD135" i="1"/>
  <c r="EE155" i="98"/>
  <c r="EI154" i="98"/>
  <c r="EH154" i="98"/>
  <c r="EG154" i="98"/>
  <c r="EF154" i="98"/>
  <c r="CK154" i="98"/>
  <c r="BE154" i="98"/>
  <c r="BD154" i="98"/>
  <c r="ET154" i="98" s="1"/>
  <c r="AX154" i="98"/>
  <c r="EM154" i="98"/>
  <c r="AV154" i="98"/>
  <c r="AU154" i="98"/>
  <c r="BG154" i="98" s="1"/>
  <c r="AT154" i="98"/>
  <c r="EJ154" i="98" s="1"/>
  <c r="AE154" i="98"/>
  <c r="AQ154" i="98" s="1"/>
  <c r="X154" i="98"/>
  <c r="W154" i="98"/>
  <c r="V154" i="98"/>
  <c r="U154" i="98"/>
  <c r="O154" i="98"/>
  <c r="AM154" i="98" s="1"/>
  <c r="P154" i="98"/>
  <c r="AN154" i="98" s="1"/>
  <c r="N154" i="98"/>
  <c r="AL154" i="98" s="1"/>
  <c r="EQ153" i="98"/>
  <c r="EH153" i="98"/>
  <c r="EG153" i="98"/>
  <c r="EF153" i="98"/>
  <c r="EE153" i="98"/>
  <c r="DI153" i="98"/>
  <c r="DH153" i="98"/>
  <c r="DG153" i="98"/>
  <c r="DF153" i="98"/>
  <c r="AS153" i="98" s="1"/>
  <c r="AV153" i="98" s="1"/>
  <c r="BD153" i="98"/>
  <c r="ET153" i="98" s="1"/>
  <c r="BC153" i="98"/>
  <c r="BB153" i="98"/>
  <c r="ER153" i="98" s="1"/>
  <c r="AD153" i="98"/>
  <c r="AP153" i="98" s="1"/>
  <c r="AF153" i="98"/>
  <c r="AR153" i="98" s="1"/>
  <c r="AE153" i="98"/>
  <c r="AQ153" i="98" s="1"/>
  <c r="X153" i="98"/>
  <c r="W153" i="98"/>
  <c r="V153" i="98"/>
  <c r="U153" i="98"/>
  <c r="P153" i="98"/>
  <c r="AN153" i="98" s="1"/>
  <c r="O153" i="98"/>
  <c r="AM153" i="98" s="1"/>
  <c r="N153" i="98"/>
  <c r="AL153" i="98" s="1"/>
  <c r="EQ152" i="98"/>
  <c r="EH152" i="98"/>
  <c r="EG152" i="98"/>
  <c r="EF152" i="98"/>
  <c r="EE152" i="98"/>
  <c r="DI152" i="98"/>
  <c r="DH152" i="98"/>
  <c r="DG152" i="98"/>
  <c r="DF152" i="98"/>
  <c r="AS152" i="98" s="1"/>
  <c r="AW152" i="98" s="1"/>
  <c r="CK152" i="98"/>
  <c r="BD152" i="98"/>
  <c r="BC152" i="98"/>
  <c r="BB152" i="98"/>
  <c r="AE152" i="98"/>
  <c r="AQ152" i="98" s="1"/>
  <c r="AF152" i="98"/>
  <c r="AR152" i="98" s="1"/>
  <c r="AD152" i="98"/>
  <c r="AP152" i="98" s="1"/>
  <c r="X152" i="98"/>
  <c r="W152" i="98"/>
  <c r="V152" i="98"/>
  <c r="U152" i="98"/>
  <c r="P152" i="98"/>
  <c r="AN152" i="98" s="1"/>
  <c r="O152" i="98"/>
  <c r="AM152" i="98" s="1"/>
  <c r="N152" i="98"/>
  <c r="AL152" i="98" s="1"/>
  <c r="EQ151" i="98"/>
  <c r="EH151" i="98"/>
  <c r="EG151" i="98"/>
  <c r="EF151" i="98"/>
  <c r="EE151" i="98"/>
  <c r="DI151" i="98"/>
  <c r="DH151" i="98"/>
  <c r="DG151" i="98"/>
  <c r="DF151" i="98"/>
  <c r="AS151" i="98" s="1"/>
  <c r="AV151" i="98" s="1"/>
  <c r="BD151" i="98"/>
  <c r="ET151" i="98" s="1"/>
  <c r="BC151" i="98"/>
  <c r="BB151" i="98"/>
  <c r="AF151" i="98"/>
  <c r="AR151" i="98" s="1"/>
  <c r="AE151" i="98"/>
  <c r="AQ151" i="98" s="1"/>
  <c r="AD151" i="98"/>
  <c r="AP151" i="98" s="1"/>
  <c r="X151" i="98"/>
  <c r="W151" i="98"/>
  <c r="V151" i="98"/>
  <c r="U151" i="98"/>
  <c r="P151" i="98"/>
  <c r="AN151" i="98" s="1"/>
  <c r="O151" i="98"/>
  <c r="AM151" i="98" s="1"/>
  <c r="N151" i="98"/>
  <c r="AL151" i="98" s="1"/>
  <c r="EQ150" i="98"/>
  <c r="EM150" i="98"/>
  <c r="EI150" i="98"/>
  <c r="EH150" i="98"/>
  <c r="EG150" i="98"/>
  <c r="EF150" i="98"/>
  <c r="EE150" i="98"/>
  <c r="CK150" i="98"/>
  <c r="BI150" i="98"/>
  <c r="BF150" i="98"/>
  <c r="BE150" i="98"/>
  <c r="BD150" i="98"/>
  <c r="ET150" i="98" s="1"/>
  <c r="BC150" i="98"/>
  <c r="ES150" i="98" s="1"/>
  <c r="BB150" i="98"/>
  <c r="AZ150" i="98"/>
  <c r="EP150" i="98" s="1"/>
  <c r="AY150" i="98"/>
  <c r="AX150" i="98"/>
  <c r="AV150" i="98"/>
  <c r="AU150" i="98"/>
  <c r="BG150" i="98" s="1"/>
  <c r="AT150" i="98"/>
  <c r="EJ150" i="98" s="1"/>
  <c r="AF150" i="98"/>
  <c r="AR150" i="98" s="1"/>
  <c r="AE150" i="98"/>
  <c r="AQ150" i="98" s="1"/>
  <c r="AD150" i="98"/>
  <c r="AP150" i="98" s="1"/>
  <c r="AC150" i="98"/>
  <c r="AO150" i="98" s="1"/>
  <c r="X150" i="98"/>
  <c r="W150" i="98"/>
  <c r="V150" i="98"/>
  <c r="U150" i="98"/>
  <c r="P150" i="98"/>
  <c r="AN150" i="98" s="1"/>
  <c r="O150" i="98"/>
  <c r="AM150" i="98" s="1"/>
  <c r="N150" i="98"/>
  <c r="AL150" i="98" s="1"/>
  <c r="M150" i="98"/>
  <c r="AK150" i="98" s="1"/>
  <c r="EQ149" i="98"/>
  <c r="EO149" i="98"/>
  <c r="EM149" i="98"/>
  <c r="EI149" i="98"/>
  <c r="EH149" i="98"/>
  <c r="EG149" i="98"/>
  <c r="EF149" i="98"/>
  <c r="EE149" i="98"/>
  <c r="BI149" i="98"/>
  <c r="BE149" i="98"/>
  <c r="BD149" i="98"/>
  <c r="ET149" i="98" s="1"/>
  <c r="BC149" i="98"/>
  <c r="BB149" i="98"/>
  <c r="AZ149" i="98"/>
  <c r="AY149" i="98"/>
  <c r="BK149" i="98" s="1"/>
  <c r="AX149" i="98"/>
  <c r="AV149" i="98"/>
  <c r="BH149" i="98" s="1"/>
  <c r="AU149" i="98"/>
  <c r="AT149" i="98"/>
  <c r="EJ149" i="98" s="1"/>
  <c r="AF149" i="98"/>
  <c r="AR149" i="98" s="1"/>
  <c r="AE149" i="98"/>
  <c r="AQ149" i="98" s="1"/>
  <c r="AD149" i="98"/>
  <c r="AP149" i="98" s="1"/>
  <c r="AC149" i="98"/>
  <c r="AO149" i="98" s="1"/>
  <c r="X149" i="98"/>
  <c r="W149" i="98"/>
  <c r="V149" i="98"/>
  <c r="U149" i="98"/>
  <c r="P149" i="98"/>
  <c r="AN149" i="98" s="1"/>
  <c r="O149" i="98"/>
  <c r="AM149" i="98" s="1"/>
  <c r="N149" i="98"/>
  <c r="AL149" i="98" s="1"/>
  <c r="M149" i="98"/>
  <c r="AK149" i="98" s="1"/>
  <c r="EQ148" i="98"/>
  <c r="EM148" i="98"/>
  <c r="EI148" i="98"/>
  <c r="EH148" i="98"/>
  <c r="EG148" i="98"/>
  <c r="EF148" i="98"/>
  <c r="EE148" i="98"/>
  <c r="CK148" i="98"/>
  <c r="BI148" i="98"/>
  <c r="BE148" i="98"/>
  <c r="BD148" i="98"/>
  <c r="ET148" i="98" s="1"/>
  <c r="BC148" i="98"/>
  <c r="BB148" i="98"/>
  <c r="AZ148" i="98"/>
  <c r="BL148" i="98" s="1"/>
  <c r="AY148" i="98"/>
  <c r="AX148" i="98"/>
  <c r="EN148" i="98" s="1"/>
  <c r="AV148" i="98"/>
  <c r="AU148" i="98"/>
  <c r="EK148" i="98" s="1"/>
  <c r="AT148" i="98"/>
  <c r="EJ148" i="98" s="1"/>
  <c r="AF148" i="98"/>
  <c r="AR148" i="98" s="1"/>
  <c r="AE148" i="98"/>
  <c r="AQ148" i="98" s="1"/>
  <c r="AD148" i="98"/>
  <c r="AP148" i="98" s="1"/>
  <c r="AC148" i="98"/>
  <c r="AO148" i="98" s="1"/>
  <c r="X148" i="98"/>
  <c r="W148" i="98"/>
  <c r="V148" i="98"/>
  <c r="U148" i="98"/>
  <c r="P148" i="98"/>
  <c r="AN148" i="98" s="1"/>
  <c r="O148" i="98"/>
  <c r="AM148" i="98" s="1"/>
  <c r="N148" i="98"/>
  <c r="AL148" i="98" s="1"/>
  <c r="M148" i="98"/>
  <c r="AK148" i="98" s="1"/>
  <c r="EM147" i="98"/>
  <c r="EL147" i="98"/>
  <c r="EK147" i="98"/>
  <c r="EJ147" i="98"/>
  <c r="EI147" i="98"/>
  <c r="BI147" i="98"/>
  <c r="BH147" i="98"/>
  <c r="BG147" i="98"/>
  <c r="BF147" i="98"/>
  <c r="BE147" i="98"/>
  <c r="AZ147" i="98"/>
  <c r="EP147" i="98" s="1"/>
  <c r="AY147" i="98"/>
  <c r="BK147" i="98" s="1"/>
  <c r="AX147" i="98"/>
  <c r="BJ147" i="98" s="1"/>
  <c r="P147" i="98"/>
  <c r="AN147" i="98" s="1"/>
  <c r="V147" i="98"/>
  <c r="C391" i="98"/>
  <c r="EE391" i="98" s="1"/>
  <c r="EQ146" i="98"/>
  <c r="EM146" i="98"/>
  <c r="EI146" i="98"/>
  <c r="EH146" i="98"/>
  <c r="EG146" i="98"/>
  <c r="EF146" i="98"/>
  <c r="EE146" i="98"/>
  <c r="CK146" i="98"/>
  <c r="BI146" i="98"/>
  <c r="BE146" i="98"/>
  <c r="BD146" i="98"/>
  <c r="BC146" i="98"/>
  <c r="BB146" i="98"/>
  <c r="ER146" i="98" s="1"/>
  <c r="AZ146" i="98"/>
  <c r="BL146" i="98" s="1"/>
  <c r="AY146" i="98"/>
  <c r="AX146" i="98"/>
  <c r="BJ146" i="98" s="1"/>
  <c r="AV146" i="98"/>
  <c r="BH146" i="98" s="1"/>
  <c r="AU146" i="98"/>
  <c r="EK146" i="98" s="1"/>
  <c r="AT146" i="98"/>
  <c r="AF146" i="98"/>
  <c r="AR146" i="98" s="1"/>
  <c r="AE146" i="98"/>
  <c r="AQ146" i="98" s="1"/>
  <c r="AD146" i="98"/>
  <c r="AP146" i="98" s="1"/>
  <c r="AC146" i="98"/>
  <c r="AO146" i="98" s="1"/>
  <c r="X146" i="98"/>
  <c r="W146" i="98"/>
  <c r="V146" i="98"/>
  <c r="U146" i="98"/>
  <c r="P146" i="98"/>
  <c r="AN146" i="98" s="1"/>
  <c r="O146" i="98"/>
  <c r="AM146" i="98" s="1"/>
  <c r="N146" i="98"/>
  <c r="AL146" i="98" s="1"/>
  <c r="M146" i="98"/>
  <c r="AK146" i="98" s="1"/>
  <c r="EQ145" i="98"/>
  <c r="EM145" i="98"/>
  <c r="EI145" i="98"/>
  <c r="EH145" i="98"/>
  <c r="EG145" i="98"/>
  <c r="EF145" i="98"/>
  <c r="EE145" i="98"/>
  <c r="BI145" i="98"/>
  <c r="BE145" i="98"/>
  <c r="BD145" i="98"/>
  <c r="BC145" i="98"/>
  <c r="BB145" i="98"/>
  <c r="ER145" i="98" s="1"/>
  <c r="AZ145" i="98"/>
  <c r="AY145" i="98"/>
  <c r="EO145" i="98" s="1"/>
  <c r="AX145" i="98"/>
  <c r="AV145" i="98"/>
  <c r="EL145" i="98" s="1"/>
  <c r="AU145" i="98"/>
  <c r="BG145" i="98" s="1"/>
  <c r="AT145" i="98"/>
  <c r="BF145" i="98" s="1"/>
  <c r="AF145" i="98"/>
  <c r="AR145" i="98" s="1"/>
  <c r="AE145" i="98"/>
  <c r="AQ145" i="98" s="1"/>
  <c r="AD145" i="98"/>
  <c r="AP145" i="98" s="1"/>
  <c r="AC145" i="98"/>
  <c r="AO145" i="98" s="1"/>
  <c r="X145" i="98"/>
  <c r="W145" i="98"/>
  <c r="V145" i="98"/>
  <c r="U145" i="98"/>
  <c r="P145" i="98"/>
  <c r="AN145" i="98" s="1"/>
  <c r="O145" i="98"/>
  <c r="AM145" i="98" s="1"/>
  <c r="N145" i="98"/>
  <c r="AL145" i="98" s="1"/>
  <c r="M145" i="98"/>
  <c r="AK145" i="98" s="1"/>
  <c r="EQ144" i="98"/>
  <c r="EM144" i="98"/>
  <c r="EI144" i="98"/>
  <c r="EH144" i="98"/>
  <c r="EG144" i="98"/>
  <c r="EF144" i="98"/>
  <c r="EE144" i="98"/>
  <c r="CK144" i="98"/>
  <c r="BI144" i="98"/>
  <c r="BE144" i="98"/>
  <c r="BD144" i="98"/>
  <c r="BC144" i="98"/>
  <c r="ES144" i="98" s="1"/>
  <c r="BB144" i="98"/>
  <c r="ER144" i="98" s="1"/>
  <c r="AZ144" i="98"/>
  <c r="BL144" i="98" s="1"/>
  <c r="AY144" i="98"/>
  <c r="AX144" i="98"/>
  <c r="EN144" i="98" s="1"/>
  <c r="AV144" i="98"/>
  <c r="BH144" i="98" s="1"/>
  <c r="AU144" i="98"/>
  <c r="BG144" i="98" s="1"/>
  <c r="AT144" i="98"/>
  <c r="AF144" i="98"/>
  <c r="AR144" i="98" s="1"/>
  <c r="AE144" i="98"/>
  <c r="AQ144" i="98" s="1"/>
  <c r="AD144" i="98"/>
  <c r="AP144" i="98" s="1"/>
  <c r="AC144" i="98"/>
  <c r="AO144" i="98" s="1"/>
  <c r="X144" i="98"/>
  <c r="W144" i="98"/>
  <c r="V144" i="98"/>
  <c r="U144" i="98"/>
  <c r="P144" i="98"/>
  <c r="AN144" i="98" s="1"/>
  <c r="O144" i="98"/>
  <c r="AM144" i="98" s="1"/>
  <c r="N144" i="98"/>
  <c r="AL144" i="98" s="1"/>
  <c r="M144" i="98"/>
  <c r="AK144" i="98" s="1"/>
  <c r="EQ143" i="98"/>
  <c r="EM143" i="98"/>
  <c r="EI143" i="98"/>
  <c r="EH143" i="98"/>
  <c r="EG143" i="98"/>
  <c r="EF143" i="98"/>
  <c r="EE143" i="98"/>
  <c r="BI143" i="98"/>
  <c r="BE143" i="98"/>
  <c r="BD143" i="98"/>
  <c r="ET143" i="98" s="1"/>
  <c r="BC143" i="98"/>
  <c r="ES143" i="98" s="1"/>
  <c r="BB143" i="98"/>
  <c r="AZ143" i="98"/>
  <c r="AY143" i="98"/>
  <c r="EO143" i="98" s="1"/>
  <c r="AX143" i="98"/>
  <c r="AV143" i="98"/>
  <c r="BH143" i="98" s="1"/>
  <c r="AU143" i="98"/>
  <c r="EK143" i="98" s="1"/>
  <c r="AT143" i="98"/>
  <c r="EJ143" i="98" s="1"/>
  <c r="AF143" i="98"/>
  <c r="AR143" i="98" s="1"/>
  <c r="AE143" i="98"/>
  <c r="AQ143" i="98" s="1"/>
  <c r="AD143" i="98"/>
  <c r="AP143" i="98" s="1"/>
  <c r="AC143" i="98"/>
  <c r="AO143" i="98" s="1"/>
  <c r="X143" i="98"/>
  <c r="W143" i="98"/>
  <c r="V143" i="98"/>
  <c r="U143" i="98"/>
  <c r="P143" i="98"/>
  <c r="AN143" i="98" s="1"/>
  <c r="O143" i="98"/>
  <c r="AM143" i="98" s="1"/>
  <c r="N143" i="98"/>
  <c r="AL143" i="98" s="1"/>
  <c r="M143" i="98"/>
  <c r="AK143" i="98" s="1"/>
  <c r="EQ142" i="98"/>
  <c r="EM142" i="98"/>
  <c r="EI142" i="98"/>
  <c r="EH142" i="98"/>
  <c r="EG142" i="98"/>
  <c r="EF142" i="98"/>
  <c r="EE142" i="98"/>
  <c r="CK142" i="98"/>
  <c r="BI142" i="98"/>
  <c r="BE142" i="98"/>
  <c r="BD142" i="98"/>
  <c r="ET142" i="98" s="1"/>
  <c r="BC142" i="98"/>
  <c r="BB142" i="98"/>
  <c r="ER142" i="98" s="1"/>
  <c r="AZ142" i="98"/>
  <c r="EP142" i="98" s="1"/>
  <c r="AY142" i="98"/>
  <c r="AX142" i="98"/>
  <c r="EN142" i="98" s="1"/>
  <c r="AV142" i="98"/>
  <c r="EL142" i="98" s="1"/>
  <c r="AU142" i="98"/>
  <c r="EK142" i="98" s="1"/>
  <c r="AT142" i="98"/>
  <c r="EJ142" i="98" s="1"/>
  <c r="AF142" i="98"/>
  <c r="AR142" i="98" s="1"/>
  <c r="AE142" i="98"/>
  <c r="AQ142" i="98" s="1"/>
  <c r="AD142" i="98"/>
  <c r="AP142" i="98" s="1"/>
  <c r="AC142" i="98"/>
  <c r="AO142" i="98" s="1"/>
  <c r="W142" i="98"/>
  <c r="X142" i="98"/>
  <c r="V142" i="98"/>
  <c r="U142" i="98"/>
  <c r="P142" i="98"/>
  <c r="AN142" i="98" s="1"/>
  <c r="O142" i="98"/>
  <c r="AM142" i="98" s="1"/>
  <c r="N142" i="98"/>
  <c r="AL142" i="98" s="1"/>
  <c r="M142" i="98"/>
  <c r="AK142" i="98" s="1"/>
  <c r="EQ141" i="98"/>
  <c r="EM141" i="98"/>
  <c r="EI141" i="98"/>
  <c r="EH141" i="98"/>
  <c r="EG141" i="98"/>
  <c r="EF141" i="98"/>
  <c r="EE141" i="98"/>
  <c r="BI141" i="98"/>
  <c r="BE141" i="98"/>
  <c r="BD141" i="98"/>
  <c r="BC141" i="98"/>
  <c r="BB141" i="98"/>
  <c r="ER141" i="98" s="1"/>
  <c r="AZ141" i="98"/>
  <c r="AY141" i="98"/>
  <c r="EO141" i="98" s="1"/>
  <c r="AX141" i="98"/>
  <c r="AV141" i="98"/>
  <c r="EL141" i="98" s="1"/>
  <c r="AU141" i="98"/>
  <c r="BG141" i="98" s="1"/>
  <c r="AT141" i="98"/>
  <c r="BF141" i="98" s="1"/>
  <c r="AF141" i="98"/>
  <c r="AR141" i="98" s="1"/>
  <c r="AE141" i="98"/>
  <c r="AQ141" i="98" s="1"/>
  <c r="AD141" i="98"/>
  <c r="AP141" i="98" s="1"/>
  <c r="AC141" i="98"/>
  <c r="AO141" i="98" s="1"/>
  <c r="X141" i="98"/>
  <c r="W141" i="98"/>
  <c r="V141" i="98"/>
  <c r="U141" i="98"/>
  <c r="P141" i="98"/>
  <c r="AN141" i="98" s="1"/>
  <c r="O141" i="98"/>
  <c r="AM141" i="98" s="1"/>
  <c r="N141" i="98"/>
  <c r="AL141" i="98" s="1"/>
  <c r="M141" i="98"/>
  <c r="AK141" i="98" s="1"/>
  <c r="EQ140" i="98"/>
  <c r="EM140" i="98"/>
  <c r="EI140" i="98"/>
  <c r="EH140" i="98"/>
  <c r="EG140" i="98"/>
  <c r="EF140" i="98"/>
  <c r="EE140" i="98"/>
  <c r="CK140" i="98"/>
  <c r="BI140" i="98"/>
  <c r="BE140" i="98"/>
  <c r="BD140" i="98"/>
  <c r="ET140" i="98" s="1"/>
  <c r="BC140" i="98"/>
  <c r="ES140" i="98" s="1"/>
  <c r="BB140" i="98"/>
  <c r="ER140" i="98" s="1"/>
  <c r="AZ140" i="98"/>
  <c r="BL140" i="98" s="1"/>
  <c r="AY140" i="98"/>
  <c r="AX140" i="98"/>
  <c r="EN140" i="98" s="1"/>
  <c r="AV140" i="98"/>
  <c r="EL140" i="98" s="1"/>
  <c r="AU140" i="98"/>
  <c r="BG140" i="98" s="1"/>
  <c r="AT140" i="98"/>
  <c r="EJ140" i="98" s="1"/>
  <c r="AF140" i="98"/>
  <c r="AR140" i="98" s="1"/>
  <c r="AE140" i="98"/>
  <c r="AQ140" i="98" s="1"/>
  <c r="AD140" i="98"/>
  <c r="AP140" i="98" s="1"/>
  <c r="AC140" i="98"/>
  <c r="AO140" i="98" s="1"/>
  <c r="W140" i="98"/>
  <c r="X140" i="98"/>
  <c r="V140" i="98"/>
  <c r="U140" i="98"/>
  <c r="P140" i="98"/>
  <c r="AN140" i="98" s="1"/>
  <c r="O140" i="98"/>
  <c r="AM140" i="98" s="1"/>
  <c r="N140" i="98"/>
  <c r="AL140" i="98" s="1"/>
  <c r="M140" i="98"/>
  <c r="AK140" i="98" s="1"/>
  <c r="EQ139" i="98"/>
  <c r="EM139" i="98"/>
  <c r="EI139" i="98"/>
  <c r="EH139" i="98"/>
  <c r="EG139" i="98"/>
  <c r="EF139" i="98"/>
  <c r="EE139" i="98"/>
  <c r="BI139" i="98"/>
  <c r="BE139" i="98"/>
  <c r="BD139" i="98"/>
  <c r="ET139" i="98" s="1"/>
  <c r="BC139" i="98"/>
  <c r="BB139" i="98"/>
  <c r="AZ139" i="98"/>
  <c r="AY139" i="98"/>
  <c r="EO139" i="98" s="1"/>
  <c r="AX139" i="98"/>
  <c r="AV139" i="98"/>
  <c r="BH139" i="98" s="1"/>
  <c r="AU139" i="98"/>
  <c r="BG139" i="98" s="1"/>
  <c r="AT139" i="98"/>
  <c r="EJ139" i="98" s="1"/>
  <c r="AF139" i="98"/>
  <c r="AR139" i="98" s="1"/>
  <c r="AE139" i="98"/>
  <c r="AQ139" i="98" s="1"/>
  <c r="AD139" i="98"/>
  <c r="AP139" i="98" s="1"/>
  <c r="AC139" i="98"/>
  <c r="AO139" i="98" s="1"/>
  <c r="V139" i="98"/>
  <c r="X139" i="98"/>
  <c r="W139" i="98"/>
  <c r="U139" i="98"/>
  <c r="P139" i="98"/>
  <c r="AN139" i="98" s="1"/>
  <c r="O139" i="98"/>
  <c r="AM139" i="98" s="1"/>
  <c r="N139" i="98"/>
  <c r="AL139" i="98" s="1"/>
  <c r="M139" i="98"/>
  <c r="AK139" i="98" s="1"/>
  <c r="EQ138" i="98"/>
  <c r="EM138" i="98"/>
  <c r="EI138" i="98"/>
  <c r="EH138" i="98"/>
  <c r="EG138" i="98"/>
  <c r="EF138" i="98"/>
  <c r="EE138" i="98"/>
  <c r="CK138" i="98"/>
  <c r="BI138" i="98"/>
  <c r="BE138" i="98"/>
  <c r="BD138" i="98"/>
  <c r="ET138" i="98" s="1"/>
  <c r="BC138" i="98"/>
  <c r="BB138" i="98"/>
  <c r="AZ138" i="98"/>
  <c r="EP138" i="98" s="1"/>
  <c r="AY138" i="98"/>
  <c r="AX138" i="98"/>
  <c r="EN138" i="98" s="1"/>
  <c r="AV138" i="98"/>
  <c r="AU138" i="98"/>
  <c r="EK138" i="98" s="1"/>
  <c r="AT138" i="98"/>
  <c r="BF138" i="98" s="1"/>
  <c r="AF138" i="98"/>
  <c r="AR138" i="98" s="1"/>
  <c r="AE138" i="98"/>
  <c r="AQ138" i="98" s="1"/>
  <c r="AD138" i="98"/>
  <c r="AP138" i="98" s="1"/>
  <c r="X138" i="98"/>
  <c r="W138" i="98"/>
  <c r="V138" i="98"/>
  <c r="U138" i="98"/>
  <c r="O138" i="98"/>
  <c r="AM138" i="98" s="1"/>
  <c r="P138" i="98"/>
  <c r="AN138" i="98" s="1"/>
  <c r="N138" i="98"/>
  <c r="AL138" i="98" s="1"/>
  <c r="EM137" i="98"/>
  <c r="EL137" i="98"/>
  <c r="EK137" i="98"/>
  <c r="EJ137" i="98"/>
  <c r="EI137" i="98"/>
  <c r="BI137" i="98"/>
  <c r="BH137" i="98"/>
  <c r="BG137" i="98"/>
  <c r="BF137" i="98"/>
  <c r="BE137" i="98"/>
  <c r="AZ137" i="98"/>
  <c r="EP137" i="98" s="1"/>
  <c r="AY137" i="98"/>
  <c r="BK137" i="98" s="1"/>
  <c r="AX137" i="98"/>
  <c r="BJ137" i="98" s="1"/>
  <c r="AF137" i="98"/>
  <c r="AR137" i="98" s="1"/>
  <c r="E381" i="98"/>
  <c r="P137" i="98"/>
  <c r="AN137" i="98" s="1"/>
  <c r="C381" i="98"/>
  <c r="EE381" i="98" s="1"/>
  <c r="CK136" i="98"/>
  <c r="CA136" i="98"/>
  <c r="AY136" i="98"/>
  <c r="BE136" i="98"/>
  <c r="AD136" i="98"/>
  <c r="AP136" i="98" s="1"/>
  <c r="N136" i="98"/>
  <c r="AL136" i="98" s="1"/>
  <c r="EE136" i="98"/>
  <c r="EQ135" i="98"/>
  <c r="EM135" i="98"/>
  <c r="EI135" i="98"/>
  <c r="EH135" i="98"/>
  <c r="EG135" i="98"/>
  <c r="EF135" i="98"/>
  <c r="EE135" i="98"/>
  <c r="BI135" i="98"/>
  <c r="BE135" i="98"/>
  <c r="BD135" i="98"/>
  <c r="BC135" i="98"/>
  <c r="BB135" i="98"/>
  <c r="ER135" i="98" s="1"/>
  <c r="AZ135" i="98"/>
  <c r="AY135" i="98"/>
  <c r="BK135" i="98" s="1"/>
  <c r="AX135" i="98"/>
  <c r="AV135" i="98"/>
  <c r="EL135" i="98" s="1"/>
  <c r="AU135" i="98"/>
  <c r="EK135" i="98" s="1"/>
  <c r="AT135" i="98"/>
  <c r="BF135" i="98" s="1"/>
  <c r="AR135" i="98"/>
  <c r="X135" i="98"/>
  <c r="W135" i="98"/>
  <c r="V135" i="98"/>
  <c r="U135" i="98"/>
  <c r="P135" i="98"/>
  <c r="O135" i="98"/>
  <c r="N135" i="98"/>
  <c r="M135" i="98"/>
  <c r="EQ134" i="98"/>
  <c r="EM134" i="98"/>
  <c r="EI134" i="98"/>
  <c r="EH134" i="98"/>
  <c r="EG134" i="98"/>
  <c r="EF134" i="98"/>
  <c r="EE134" i="98"/>
  <c r="BI134" i="98"/>
  <c r="BE134" i="98"/>
  <c r="BD134" i="98"/>
  <c r="ET134" i="98" s="1"/>
  <c r="BC134" i="98"/>
  <c r="BB134" i="98"/>
  <c r="AZ134" i="98"/>
  <c r="AY134" i="98"/>
  <c r="EO134" i="98" s="1"/>
  <c r="AX134" i="98"/>
  <c r="AV134" i="98"/>
  <c r="BH134" i="98" s="1"/>
  <c r="AU134" i="98"/>
  <c r="BG134" i="98" s="1"/>
  <c r="AT134" i="98"/>
  <c r="EJ134" i="98" s="1"/>
  <c r="AF134" i="98"/>
  <c r="AR134" i="98" s="1"/>
  <c r="AE134" i="98"/>
  <c r="AQ134" i="98" s="1"/>
  <c r="AD134" i="98"/>
  <c r="AP134" i="98" s="1"/>
  <c r="X134" i="98"/>
  <c r="W134" i="98"/>
  <c r="V134" i="98"/>
  <c r="U134" i="98"/>
  <c r="P134" i="98"/>
  <c r="AN134" i="98" s="1"/>
  <c r="O134" i="98"/>
  <c r="AM134" i="98" s="1"/>
  <c r="N134" i="98"/>
  <c r="AL134" i="98" s="1"/>
  <c r="EQ133" i="98"/>
  <c r="EM133" i="98"/>
  <c r="EI133" i="98"/>
  <c r="EH133" i="98"/>
  <c r="EG133" i="98"/>
  <c r="EF133" i="98"/>
  <c r="EE133" i="98"/>
  <c r="CK133" i="98"/>
  <c r="BI133" i="98"/>
  <c r="BE133" i="98"/>
  <c r="BD133" i="98"/>
  <c r="ET133" i="98" s="1"/>
  <c r="BC133" i="98"/>
  <c r="BB133" i="98"/>
  <c r="ER133" i="98" s="1"/>
  <c r="AZ133" i="98"/>
  <c r="EP133" i="98" s="1"/>
  <c r="AY133" i="98"/>
  <c r="AX133" i="98"/>
  <c r="EN133" i="98" s="1"/>
  <c r="AV133" i="98"/>
  <c r="EL133" i="98" s="1"/>
  <c r="AU133" i="98"/>
  <c r="EK133" i="98" s="1"/>
  <c r="AT133" i="98"/>
  <c r="EJ133" i="98" s="1"/>
  <c r="AF133" i="98"/>
  <c r="AR133" i="98" s="1"/>
  <c r="AE133" i="98"/>
  <c r="AQ133" i="98" s="1"/>
  <c r="AD133" i="98"/>
  <c r="AP133" i="98" s="1"/>
  <c r="X133" i="98"/>
  <c r="W133" i="98"/>
  <c r="V133" i="98"/>
  <c r="U133" i="98"/>
  <c r="P133" i="98"/>
  <c r="AN133" i="98" s="1"/>
  <c r="O133" i="98"/>
  <c r="AM133" i="98" s="1"/>
  <c r="N133" i="98"/>
  <c r="AL133" i="98" s="1"/>
  <c r="EQ132" i="98"/>
  <c r="EM132" i="98"/>
  <c r="EI132" i="98"/>
  <c r="EH132" i="98"/>
  <c r="EG132" i="98"/>
  <c r="EF132" i="98"/>
  <c r="EE132" i="98"/>
  <c r="BI132" i="98"/>
  <c r="BE132" i="98"/>
  <c r="BD132" i="98"/>
  <c r="BC132" i="98"/>
  <c r="BB132" i="98"/>
  <c r="ER132" i="98" s="1"/>
  <c r="AZ132" i="98"/>
  <c r="AY132" i="98"/>
  <c r="EO132" i="98" s="1"/>
  <c r="AX132" i="98"/>
  <c r="AV132" i="98"/>
  <c r="EL132" i="98" s="1"/>
  <c r="AU132" i="98"/>
  <c r="BG132" i="98" s="1"/>
  <c r="AT132" i="98"/>
  <c r="BF132" i="98" s="1"/>
  <c r="AF132" i="98"/>
  <c r="AR132" i="98" s="1"/>
  <c r="AE132" i="98"/>
  <c r="AQ132" i="98" s="1"/>
  <c r="AD132" i="98"/>
  <c r="AP132" i="98" s="1"/>
  <c r="X132" i="98"/>
  <c r="W132" i="98"/>
  <c r="V132" i="98"/>
  <c r="U132" i="98"/>
  <c r="P132" i="98"/>
  <c r="AN132" i="98" s="1"/>
  <c r="O132" i="98"/>
  <c r="AM132" i="98" s="1"/>
  <c r="N132" i="98"/>
  <c r="AL132" i="98" s="1"/>
  <c r="EQ131" i="98"/>
  <c r="EM131" i="98"/>
  <c r="EI131" i="98"/>
  <c r="EH131" i="98"/>
  <c r="EG131" i="98"/>
  <c r="EF131" i="98"/>
  <c r="EE131" i="98"/>
  <c r="CK131" i="98"/>
  <c r="BI131" i="98"/>
  <c r="BE131" i="98"/>
  <c r="BD131" i="98"/>
  <c r="ET131" i="98" s="1"/>
  <c r="BC131" i="98"/>
  <c r="ES131" i="98" s="1"/>
  <c r="BB131" i="98"/>
  <c r="ER131" i="98" s="1"/>
  <c r="AZ131" i="98"/>
  <c r="BL131" i="98" s="1"/>
  <c r="AY131" i="98"/>
  <c r="AX131" i="98"/>
  <c r="EN131" i="98" s="1"/>
  <c r="AV131" i="98"/>
  <c r="EL131" i="98" s="1"/>
  <c r="AU131" i="98"/>
  <c r="BG131" i="98" s="1"/>
  <c r="AT131" i="98"/>
  <c r="EJ131" i="98" s="1"/>
  <c r="AF131" i="98"/>
  <c r="AR131" i="98" s="1"/>
  <c r="AE131" i="98"/>
  <c r="AQ131" i="98" s="1"/>
  <c r="AD131" i="98"/>
  <c r="AP131" i="98" s="1"/>
  <c r="W131" i="98"/>
  <c r="X131" i="98"/>
  <c r="V131" i="98"/>
  <c r="U131" i="98"/>
  <c r="P131" i="98"/>
  <c r="AN131" i="98" s="1"/>
  <c r="O131" i="98"/>
  <c r="AM131" i="98" s="1"/>
  <c r="N131" i="98"/>
  <c r="AL131" i="98" s="1"/>
  <c r="EQ130" i="98"/>
  <c r="EH130" i="98"/>
  <c r="EG130" i="98"/>
  <c r="EF130" i="98"/>
  <c r="EE130" i="98"/>
  <c r="DI130" i="98"/>
  <c r="DH130" i="98"/>
  <c r="DG130" i="98"/>
  <c r="DF130" i="98"/>
  <c r="AS130" i="98" s="1"/>
  <c r="BD130" i="98"/>
  <c r="BC130" i="98"/>
  <c r="BB130" i="98"/>
  <c r="AF130" i="98"/>
  <c r="AR130" i="98" s="1"/>
  <c r="AE130" i="98"/>
  <c r="AQ130" i="98" s="1"/>
  <c r="AD130" i="98"/>
  <c r="AP130" i="98" s="1"/>
  <c r="X130" i="98"/>
  <c r="W130" i="98"/>
  <c r="V130" i="98"/>
  <c r="U130" i="98"/>
  <c r="P130" i="98"/>
  <c r="AN130" i="98" s="1"/>
  <c r="O130" i="98"/>
  <c r="AM130" i="98" s="1"/>
  <c r="N130" i="98"/>
  <c r="AL130" i="98" s="1"/>
  <c r="EQ129" i="98"/>
  <c r="EH129" i="98"/>
  <c r="EG129" i="98"/>
  <c r="EF129" i="98"/>
  <c r="EE129" i="98"/>
  <c r="DI129" i="98"/>
  <c r="DH129" i="98"/>
  <c r="DG129" i="98"/>
  <c r="DF129" i="98"/>
  <c r="AS129" i="98" s="1"/>
  <c r="CK129" i="98"/>
  <c r="BD129" i="98"/>
  <c r="ET129" i="98" s="1"/>
  <c r="BC129" i="98"/>
  <c r="BB129" i="98"/>
  <c r="AF129" i="98"/>
  <c r="AR129" i="98" s="1"/>
  <c r="AE129" i="98"/>
  <c r="AQ129" i="98" s="1"/>
  <c r="AD129" i="98"/>
  <c r="AP129" i="98" s="1"/>
  <c r="X129" i="98"/>
  <c r="W129" i="98"/>
  <c r="V129" i="98"/>
  <c r="U129" i="98"/>
  <c r="P129" i="98"/>
  <c r="AN129" i="98" s="1"/>
  <c r="O129" i="98"/>
  <c r="AM129" i="98" s="1"/>
  <c r="N129" i="98"/>
  <c r="AL129" i="98" s="1"/>
  <c r="EQ128" i="98"/>
  <c r="EM128" i="98"/>
  <c r="EI128" i="98"/>
  <c r="EH128" i="98"/>
  <c r="EG128" i="98"/>
  <c r="EF128" i="98"/>
  <c r="EE128" i="98"/>
  <c r="CK128" i="98"/>
  <c r="BI128" i="98"/>
  <c r="BE128" i="98"/>
  <c r="BD128" i="98"/>
  <c r="ET128" i="98" s="1"/>
  <c r="BC128" i="98"/>
  <c r="ES128" i="98" s="1"/>
  <c r="BB128" i="98"/>
  <c r="AZ128" i="98"/>
  <c r="BL128" i="98" s="1"/>
  <c r="AY128" i="98"/>
  <c r="BK128" i="98" s="1"/>
  <c r="AX128" i="98"/>
  <c r="EN128" i="98" s="1"/>
  <c r="AV128" i="98"/>
  <c r="BH128" i="98" s="1"/>
  <c r="AU128" i="98"/>
  <c r="BG128" i="98" s="1"/>
  <c r="AT128" i="98"/>
  <c r="EJ128" i="98" s="1"/>
  <c r="AF128" i="98"/>
  <c r="AR128" i="98" s="1"/>
  <c r="AE128" i="98"/>
  <c r="AQ128" i="98" s="1"/>
  <c r="AD128" i="98"/>
  <c r="AP128" i="98" s="1"/>
  <c r="X128" i="98"/>
  <c r="W128" i="98"/>
  <c r="V128" i="98"/>
  <c r="U128" i="98"/>
  <c r="P128" i="98"/>
  <c r="AN128" i="98" s="1"/>
  <c r="O128" i="98"/>
  <c r="AM128" i="98" s="1"/>
  <c r="N128" i="98"/>
  <c r="AL128" i="98" s="1"/>
  <c r="EQ127" i="98"/>
  <c r="EH127" i="98"/>
  <c r="EG127" i="98"/>
  <c r="EF127" i="98"/>
  <c r="EE127" i="98"/>
  <c r="DI127" i="98"/>
  <c r="DH127" i="98"/>
  <c r="DG127" i="98"/>
  <c r="DF127" i="98"/>
  <c r="AS127" i="98" s="1"/>
  <c r="CK127" i="98"/>
  <c r="BD127" i="98"/>
  <c r="ET127" i="98" s="1"/>
  <c r="BC127" i="98"/>
  <c r="BB127" i="98"/>
  <c r="AD127" i="98"/>
  <c r="AP127" i="98" s="1"/>
  <c r="AF127" i="98"/>
  <c r="AR127" i="98" s="1"/>
  <c r="AE127" i="98"/>
  <c r="AQ127" i="98" s="1"/>
  <c r="X127" i="98"/>
  <c r="W127" i="98"/>
  <c r="V127" i="98"/>
  <c r="U127" i="98"/>
  <c r="P127" i="98"/>
  <c r="AN127" i="98" s="1"/>
  <c r="O127" i="98"/>
  <c r="AM127" i="98" s="1"/>
  <c r="N127" i="98"/>
  <c r="AL127" i="98" s="1"/>
  <c r="EQ126" i="98"/>
  <c r="EM126" i="98"/>
  <c r="EI126" i="98"/>
  <c r="EH126" i="98"/>
  <c r="EG126" i="98"/>
  <c r="EF126" i="98"/>
  <c r="EE126" i="98"/>
  <c r="CK126" i="98"/>
  <c r="BI126" i="98"/>
  <c r="BE126" i="98"/>
  <c r="BD126" i="98"/>
  <c r="ET126" i="98" s="1"/>
  <c r="BC126" i="98"/>
  <c r="ES126" i="98" s="1"/>
  <c r="BB126" i="98"/>
  <c r="AZ126" i="98"/>
  <c r="BL126" i="98" s="1"/>
  <c r="AY126" i="98"/>
  <c r="EO126" i="98" s="1"/>
  <c r="AX126" i="98"/>
  <c r="EN126" i="98" s="1"/>
  <c r="AV126" i="98"/>
  <c r="BH126" i="98" s="1"/>
  <c r="AU126" i="98"/>
  <c r="BG126" i="98" s="1"/>
  <c r="AT126" i="98"/>
  <c r="EJ126" i="98" s="1"/>
  <c r="AF126" i="98"/>
  <c r="AR126" i="98" s="1"/>
  <c r="AE126" i="98"/>
  <c r="AQ126" i="98" s="1"/>
  <c r="AD126" i="98"/>
  <c r="AP126" i="98" s="1"/>
  <c r="X126" i="98"/>
  <c r="W126" i="98"/>
  <c r="V126" i="98"/>
  <c r="U126" i="98"/>
  <c r="P126" i="98"/>
  <c r="AN126" i="98" s="1"/>
  <c r="O126" i="98"/>
  <c r="AM126" i="98" s="1"/>
  <c r="N126" i="98"/>
  <c r="AL126" i="98" s="1"/>
  <c r="EQ125" i="98"/>
  <c r="EM125" i="98"/>
  <c r="EI125" i="98"/>
  <c r="EH125" i="98"/>
  <c r="EG125" i="98"/>
  <c r="EF125" i="98"/>
  <c r="EE125" i="98"/>
  <c r="CK125" i="98"/>
  <c r="BI125" i="98"/>
  <c r="BE125" i="98"/>
  <c r="BD125" i="98"/>
  <c r="ET125" i="98" s="1"/>
  <c r="BC125" i="98"/>
  <c r="BB125" i="98"/>
  <c r="AZ125" i="98"/>
  <c r="EP125" i="98" s="1"/>
  <c r="AY125" i="98"/>
  <c r="EO125" i="98" s="1"/>
  <c r="AX125" i="98"/>
  <c r="AV125" i="98"/>
  <c r="BH125" i="98" s="1"/>
  <c r="AU125" i="98"/>
  <c r="EK125" i="98" s="1"/>
  <c r="AT125" i="98"/>
  <c r="EJ125" i="98" s="1"/>
  <c r="AF125" i="98"/>
  <c r="AR125" i="98" s="1"/>
  <c r="AE125" i="98"/>
  <c r="AQ125" i="98" s="1"/>
  <c r="AD125" i="98"/>
  <c r="AP125" i="98" s="1"/>
  <c r="X125" i="98"/>
  <c r="W125" i="98"/>
  <c r="V125" i="98"/>
  <c r="U125" i="98"/>
  <c r="P125" i="98"/>
  <c r="AN125" i="98" s="1"/>
  <c r="O125" i="98"/>
  <c r="AM125" i="98" s="1"/>
  <c r="N125" i="98"/>
  <c r="AL125" i="98" s="1"/>
  <c r="EQ124" i="98"/>
  <c r="EM124" i="98"/>
  <c r="EI124" i="98"/>
  <c r="EH124" i="98"/>
  <c r="EG124" i="98"/>
  <c r="EF124" i="98"/>
  <c r="EE124" i="98"/>
  <c r="BI124" i="98"/>
  <c r="BE124" i="98"/>
  <c r="BD124" i="98"/>
  <c r="BC124" i="98"/>
  <c r="BB124" i="98"/>
  <c r="ER124" i="98" s="1"/>
  <c r="AZ124" i="98"/>
  <c r="EP124" i="98" s="1"/>
  <c r="AY124" i="98"/>
  <c r="AX124" i="98"/>
  <c r="BJ124" i="98" s="1"/>
  <c r="AV124" i="98"/>
  <c r="EL124" i="98" s="1"/>
  <c r="AU124" i="98"/>
  <c r="EK124" i="98" s="1"/>
  <c r="AT124" i="98"/>
  <c r="BF124" i="98" s="1"/>
  <c r="AF124" i="98"/>
  <c r="AR124" i="98" s="1"/>
  <c r="AE124" i="98"/>
  <c r="AQ124" i="98" s="1"/>
  <c r="AD124" i="98"/>
  <c r="AP124" i="98" s="1"/>
  <c r="X124" i="98"/>
  <c r="W124" i="98"/>
  <c r="V124" i="98"/>
  <c r="U124" i="98"/>
  <c r="P124" i="98"/>
  <c r="AN124" i="98" s="1"/>
  <c r="O124" i="98"/>
  <c r="AM124" i="98" s="1"/>
  <c r="N124" i="98"/>
  <c r="AL124" i="98" s="1"/>
  <c r="EQ123" i="98"/>
  <c r="EM123" i="98"/>
  <c r="EI123" i="98"/>
  <c r="EH123" i="98"/>
  <c r="EG123" i="98"/>
  <c r="EF123" i="98"/>
  <c r="EE123" i="98"/>
  <c r="BI123" i="98"/>
  <c r="BE123" i="98"/>
  <c r="BD123" i="98"/>
  <c r="BC123" i="98"/>
  <c r="ES123" i="98" s="1"/>
  <c r="BB123" i="98"/>
  <c r="ER123" i="98" s="1"/>
  <c r="AZ123" i="98"/>
  <c r="AY123" i="98"/>
  <c r="BK123" i="98" s="1"/>
  <c r="AX123" i="98"/>
  <c r="EN123" i="98" s="1"/>
  <c r="AV123" i="98"/>
  <c r="EL123" i="98" s="1"/>
  <c r="AU123" i="98"/>
  <c r="BG123" i="98" s="1"/>
  <c r="AT123" i="98"/>
  <c r="BF123" i="98" s="1"/>
  <c r="AF123" i="98"/>
  <c r="AR123" i="98" s="1"/>
  <c r="AE123" i="98"/>
  <c r="AQ123" i="98" s="1"/>
  <c r="AD123" i="98"/>
  <c r="AP123" i="98" s="1"/>
  <c r="X123" i="98"/>
  <c r="W123" i="98"/>
  <c r="V123" i="98"/>
  <c r="U123" i="98"/>
  <c r="P123" i="98"/>
  <c r="AN123" i="98" s="1"/>
  <c r="O123" i="98"/>
  <c r="AM123" i="98" s="1"/>
  <c r="N123" i="98"/>
  <c r="AL123" i="98" s="1"/>
  <c r="EQ122" i="98"/>
  <c r="EM122" i="98"/>
  <c r="EI122" i="98"/>
  <c r="EG122" i="98"/>
  <c r="EF122" i="98"/>
  <c r="EE122" i="98"/>
  <c r="CK122" i="98"/>
  <c r="BI122" i="98"/>
  <c r="BE122" i="98"/>
  <c r="BD122" i="98"/>
  <c r="ET122" i="98" s="1"/>
  <c r="BC122" i="98"/>
  <c r="ES122" i="98" s="1"/>
  <c r="BB122" i="98"/>
  <c r="AZ122" i="98"/>
  <c r="BL122" i="98" s="1"/>
  <c r="AY122" i="98"/>
  <c r="EO122" i="98" s="1"/>
  <c r="AX122" i="98"/>
  <c r="EN122" i="98" s="1"/>
  <c r="AV122" i="98"/>
  <c r="BH122" i="98" s="1"/>
  <c r="AU122" i="98"/>
  <c r="BG122" i="98" s="1"/>
  <c r="AT122" i="98"/>
  <c r="EJ122" i="98" s="1"/>
  <c r="AT125" i="1"/>
  <c r="AU125" i="1" s="1"/>
  <c r="X122" i="98"/>
  <c r="W122" i="98"/>
  <c r="V122" i="98"/>
  <c r="U122" i="98"/>
  <c r="P122" i="98"/>
  <c r="AN122" i="98" s="1"/>
  <c r="O122" i="98"/>
  <c r="AM122" i="98" s="1"/>
  <c r="N122" i="98"/>
  <c r="AL122" i="98" s="1"/>
  <c r="F122" i="98"/>
  <c r="V125" i="1" s="1"/>
  <c r="EQ121" i="98"/>
  <c r="EM121" i="98"/>
  <c r="EI121" i="98"/>
  <c r="EH121" i="98"/>
  <c r="EG121" i="98"/>
  <c r="EF121" i="98"/>
  <c r="EE121" i="98"/>
  <c r="BI121" i="98"/>
  <c r="BE121" i="98"/>
  <c r="BD121" i="98"/>
  <c r="BC121" i="98"/>
  <c r="BB121" i="98"/>
  <c r="ER121" i="98" s="1"/>
  <c r="AZ121" i="98"/>
  <c r="EP121" i="98" s="1"/>
  <c r="AY121" i="98"/>
  <c r="AX121" i="98"/>
  <c r="BJ121" i="98" s="1"/>
  <c r="AV121" i="98"/>
  <c r="EL121" i="98" s="1"/>
  <c r="AU121" i="98"/>
  <c r="AT121" i="98"/>
  <c r="BF121" i="98" s="1"/>
  <c r="AF121" i="98"/>
  <c r="AR121" i="98" s="1"/>
  <c r="AE121" i="98"/>
  <c r="AQ121" i="98" s="1"/>
  <c r="AD121" i="98"/>
  <c r="AP121" i="98" s="1"/>
  <c r="X121" i="98"/>
  <c r="W121" i="98"/>
  <c r="V121" i="98"/>
  <c r="U121" i="98"/>
  <c r="P121" i="98"/>
  <c r="AN121" i="98" s="1"/>
  <c r="O121" i="98"/>
  <c r="AM121" i="98" s="1"/>
  <c r="N121" i="98"/>
  <c r="AL121" i="98" s="1"/>
  <c r="EQ120" i="98"/>
  <c r="EM120" i="98"/>
  <c r="EI120" i="98"/>
  <c r="EH120" i="98"/>
  <c r="EG120" i="98"/>
  <c r="EF120" i="98"/>
  <c r="EE120" i="98"/>
  <c r="BI120" i="98"/>
  <c r="BE120" i="98"/>
  <c r="BD120" i="98"/>
  <c r="BC120" i="98"/>
  <c r="ES120" i="98" s="1"/>
  <c r="BB120" i="98"/>
  <c r="ER120" i="98" s="1"/>
  <c r="AZ120" i="98"/>
  <c r="AY120" i="98"/>
  <c r="BK120" i="98" s="1"/>
  <c r="AX120" i="98"/>
  <c r="EN120" i="98" s="1"/>
  <c r="AV120" i="98"/>
  <c r="EL120" i="98" s="1"/>
  <c r="AU120" i="98"/>
  <c r="BG120" i="98" s="1"/>
  <c r="AT120" i="98"/>
  <c r="BF120" i="98" s="1"/>
  <c r="AF120" i="98"/>
  <c r="AR120" i="98" s="1"/>
  <c r="AE120" i="98"/>
  <c r="AQ120" i="98" s="1"/>
  <c r="AD120" i="98"/>
  <c r="AP120" i="98" s="1"/>
  <c r="X120" i="98"/>
  <c r="W120" i="98"/>
  <c r="V120" i="98"/>
  <c r="U120" i="98"/>
  <c r="P120" i="98"/>
  <c r="AN120" i="98" s="1"/>
  <c r="O120" i="98"/>
  <c r="AM120" i="98" s="1"/>
  <c r="N120" i="98"/>
  <c r="AL120" i="98" s="1"/>
  <c r="EQ119" i="98"/>
  <c r="EM119" i="98"/>
  <c r="EI119" i="98"/>
  <c r="EH119" i="98"/>
  <c r="EG119" i="98"/>
  <c r="EF119" i="98"/>
  <c r="EE119" i="98"/>
  <c r="CK119" i="98"/>
  <c r="BI119" i="98"/>
  <c r="BE119" i="98"/>
  <c r="BD119" i="98"/>
  <c r="ET119" i="98" s="1"/>
  <c r="BC119" i="98"/>
  <c r="ES119" i="98" s="1"/>
  <c r="BB119" i="98"/>
  <c r="AZ119" i="98"/>
  <c r="BL119" i="98" s="1"/>
  <c r="AY119" i="98"/>
  <c r="BK119" i="98" s="1"/>
  <c r="AX119" i="98"/>
  <c r="AV119" i="98"/>
  <c r="BH119" i="98" s="1"/>
  <c r="AU119" i="98"/>
  <c r="BG119" i="98" s="1"/>
  <c r="AT119" i="98"/>
  <c r="EJ119" i="98" s="1"/>
  <c r="AF119" i="98"/>
  <c r="AR119" i="98" s="1"/>
  <c r="AE119" i="98"/>
  <c r="AQ119" i="98" s="1"/>
  <c r="AD119" i="98"/>
  <c r="AP119" i="98" s="1"/>
  <c r="X119" i="98"/>
  <c r="W119" i="98"/>
  <c r="V119" i="98"/>
  <c r="U119" i="98"/>
  <c r="P119" i="98"/>
  <c r="AN119" i="98" s="1"/>
  <c r="O119" i="98"/>
  <c r="AM119" i="98" s="1"/>
  <c r="N119" i="98"/>
  <c r="AL119" i="98" s="1"/>
  <c r="EQ118" i="98"/>
  <c r="EM118" i="98"/>
  <c r="EI118" i="98"/>
  <c r="EH118" i="98"/>
  <c r="EG118" i="98"/>
  <c r="EF118" i="98"/>
  <c r="EE118" i="98"/>
  <c r="CK118" i="98"/>
  <c r="BI118" i="98"/>
  <c r="BE118" i="98"/>
  <c r="BD118" i="98"/>
  <c r="ET118" i="98" s="1"/>
  <c r="BC118" i="98"/>
  <c r="BB118" i="98"/>
  <c r="AZ118" i="98"/>
  <c r="EP118" i="98" s="1"/>
  <c r="AY118" i="98"/>
  <c r="AX118" i="98"/>
  <c r="AV118" i="98"/>
  <c r="BH118" i="98" s="1"/>
  <c r="AU118" i="98"/>
  <c r="EK118" i="98" s="1"/>
  <c r="AT118" i="98"/>
  <c r="EJ118" i="98" s="1"/>
  <c r="AF118" i="98"/>
  <c r="AR118" i="98" s="1"/>
  <c r="AE118" i="98"/>
  <c r="AQ118" i="98" s="1"/>
  <c r="AD118" i="98"/>
  <c r="AP118" i="98" s="1"/>
  <c r="X118" i="98"/>
  <c r="W118" i="98"/>
  <c r="V118" i="98"/>
  <c r="U118" i="98"/>
  <c r="P118" i="98"/>
  <c r="AN118" i="98" s="1"/>
  <c r="O118" i="98"/>
  <c r="AM118" i="98" s="1"/>
  <c r="N118" i="98"/>
  <c r="AL118" i="98" s="1"/>
  <c r="EF117" i="98"/>
  <c r="EE117" i="98"/>
  <c r="DA117" i="98"/>
  <c r="BC117" i="98"/>
  <c r="AT124" i="1"/>
  <c r="AU124" i="1" s="1"/>
  <c r="AV124" i="1" s="1"/>
  <c r="P117" i="98"/>
  <c r="AN117" i="98" s="1"/>
  <c r="O117" i="98"/>
  <c r="AM117" i="98" s="1"/>
  <c r="N117" i="98"/>
  <c r="AL117" i="98" s="1"/>
  <c r="AF117" i="98"/>
  <c r="AR117" i="98" s="1"/>
  <c r="EQ116" i="98"/>
  <c r="EM116" i="98"/>
  <c r="EI116" i="98"/>
  <c r="EH116" i="98"/>
  <c r="EG116" i="98"/>
  <c r="EF116" i="98"/>
  <c r="EE116" i="98"/>
  <c r="CK116" i="98"/>
  <c r="BI116" i="98"/>
  <c r="BE116" i="98"/>
  <c r="BD116" i="98"/>
  <c r="ET116" i="98" s="1"/>
  <c r="BC116" i="98"/>
  <c r="BB116" i="98"/>
  <c r="AZ116" i="98"/>
  <c r="EP116" i="98" s="1"/>
  <c r="AY116" i="98"/>
  <c r="AX116" i="98"/>
  <c r="AV116" i="98"/>
  <c r="BH116" i="98" s="1"/>
  <c r="AU116" i="98"/>
  <c r="EK116" i="98" s="1"/>
  <c r="AT116" i="98"/>
  <c r="EJ116" i="98" s="1"/>
  <c r="AF116" i="98"/>
  <c r="AR116" i="98" s="1"/>
  <c r="AE116" i="98"/>
  <c r="AQ116" i="98" s="1"/>
  <c r="AD116" i="98"/>
  <c r="AP116" i="98" s="1"/>
  <c r="X116" i="98"/>
  <c r="W116" i="98"/>
  <c r="V116" i="98"/>
  <c r="U116" i="98"/>
  <c r="P116" i="98"/>
  <c r="AN116" i="98" s="1"/>
  <c r="O116" i="98"/>
  <c r="AM116" i="98" s="1"/>
  <c r="N116" i="98"/>
  <c r="AL116" i="98" s="1"/>
  <c r="EQ115" i="98"/>
  <c r="EM115" i="98"/>
  <c r="EI115" i="98"/>
  <c r="EH115" i="98"/>
  <c r="EG115" i="98"/>
  <c r="EF115" i="98"/>
  <c r="EE115" i="98"/>
  <c r="BI115" i="98"/>
  <c r="BE115" i="98"/>
  <c r="BD115" i="98"/>
  <c r="BC115" i="98"/>
  <c r="BB115" i="98"/>
  <c r="ER115" i="98" s="1"/>
  <c r="AZ115" i="98"/>
  <c r="EP115" i="98" s="1"/>
  <c r="AY115" i="98"/>
  <c r="AX115" i="98"/>
  <c r="BJ115" i="98" s="1"/>
  <c r="AV115" i="98"/>
  <c r="EL115" i="98" s="1"/>
  <c r="AU115" i="98"/>
  <c r="EK115" i="98" s="1"/>
  <c r="AT115" i="98"/>
  <c r="BF115" i="98" s="1"/>
  <c r="AF115" i="98"/>
  <c r="AR115" i="98" s="1"/>
  <c r="AE115" i="98"/>
  <c r="AQ115" i="98" s="1"/>
  <c r="AD115" i="98"/>
  <c r="AP115" i="98" s="1"/>
  <c r="X115" i="98"/>
  <c r="W115" i="98"/>
  <c r="V115" i="98"/>
  <c r="U115" i="98"/>
  <c r="P115" i="98"/>
  <c r="AN115" i="98" s="1"/>
  <c r="O115" i="98"/>
  <c r="AM115" i="98" s="1"/>
  <c r="N115" i="98"/>
  <c r="AL115" i="98" s="1"/>
  <c r="EI114" i="98"/>
  <c r="EF114" i="98"/>
  <c r="CJ114" i="98"/>
  <c r="BE114" i="98"/>
  <c r="BB114" i="98"/>
  <c r="BA575" i="98"/>
  <c r="EQ575" i="98" s="1"/>
  <c r="AX114" i="98"/>
  <c r="EN114" i="98" s="1"/>
  <c r="EM114" i="98"/>
  <c r="AV114" i="98"/>
  <c r="BH114" i="98" s="1"/>
  <c r="AU114" i="98"/>
  <c r="BG114" i="98" s="1"/>
  <c r="AT114" i="98"/>
  <c r="EJ114" i="98" s="1"/>
  <c r="EE114" i="98"/>
  <c r="EQ113" i="98"/>
  <c r="EM113" i="98"/>
  <c r="EI113" i="98"/>
  <c r="EH113" i="98"/>
  <c r="EG113" i="98"/>
  <c r="EF113" i="98"/>
  <c r="EE113" i="98"/>
  <c r="BI113" i="98"/>
  <c r="BE113" i="98"/>
  <c r="BD113" i="98"/>
  <c r="BC113" i="98"/>
  <c r="ES113" i="98" s="1"/>
  <c r="BB113" i="98"/>
  <c r="ER113" i="98" s="1"/>
  <c r="AZ113" i="98"/>
  <c r="AY113" i="98"/>
  <c r="BK113" i="98" s="1"/>
  <c r="AX113" i="98"/>
  <c r="BJ113" i="98" s="1"/>
  <c r="AV113" i="98"/>
  <c r="EL113" i="98" s="1"/>
  <c r="AU113" i="98"/>
  <c r="BG113" i="98" s="1"/>
  <c r="AT113" i="98"/>
  <c r="BF113" i="98" s="1"/>
  <c r="AF113" i="98"/>
  <c r="AR113" i="98" s="1"/>
  <c r="AE113" i="98"/>
  <c r="AQ113" i="98" s="1"/>
  <c r="AD113" i="98"/>
  <c r="AP113" i="98" s="1"/>
  <c r="X113" i="98"/>
  <c r="W113" i="98"/>
  <c r="V113" i="98"/>
  <c r="U113" i="98"/>
  <c r="P113" i="98"/>
  <c r="AN113" i="98" s="1"/>
  <c r="O113" i="98"/>
  <c r="AM113" i="98" s="1"/>
  <c r="N113" i="98"/>
  <c r="AL113" i="98" s="1"/>
  <c r="EQ112" i="98"/>
  <c r="EM112" i="98"/>
  <c r="EI112" i="98"/>
  <c r="EH112" i="98"/>
  <c r="EG112" i="98"/>
  <c r="EF112" i="98"/>
  <c r="EE112" i="98"/>
  <c r="CK112" i="98"/>
  <c r="BI112" i="98"/>
  <c r="BE112" i="98"/>
  <c r="BD112" i="98"/>
  <c r="ET112" i="98" s="1"/>
  <c r="BC112" i="98"/>
  <c r="ES112" i="98" s="1"/>
  <c r="BB112" i="98"/>
  <c r="AZ112" i="98"/>
  <c r="BL112" i="98" s="1"/>
  <c r="AY112" i="98"/>
  <c r="EO112" i="98" s="1"/>
  <c r="AX112" i="98"/>
  <c r="EN112" i="98" s="1"/>
  <c r="AV112" i="98"/>
  <c r="BH112" i="98" s="1"/>
  <c r="AU112" i="98"/>
  <c r="BG112" i="98" s="1"/>
  <c r="AT112" i="98"/>
  <c r="EJ112" i="98" s="1"/>
  <c r="AF112" i="98"/>
  <c r="AR112" i="98" s="1"/>
  <c r="AE112" i="98"/>
  <c r="AQ112" i="98" s="1"/>
  <c r="AD112" i="98"/>
  <c r="AP112" i="98" s="1"/>
  <c r="X112" i="98"/>
  <c r="W112" i="98"/>
  <c r="V112" i="98"/>
  <c r="U112" i="98"/>
  <c r="P112" i="98"/>
  <c r="AN112" i="98" s="1"/>
  <c r="O112" i="98"/>
  <c r="AM112" i="98" s="1"/>
  <c r="N112" i="98"/>
  <c r="AL112" i="98" s="1"/>
  <c r="EQ111" i="98"/>
  <c r="EM111" i="98"/>
  <c r="EI111" i="98"/>
  <c r="EH111" i="98"/>
  <c r="EG111" i="98"/>
  <c r="EF111" i="98"/>
  <c r="EE111" i="98"/>
  <c r="CK111" i="98"/>
  <c r="BI111" i="98"/>
  <c r="BE111" i="98"/>
  <c r="BD111" i="98"/>
  <c r="ET111" i="98" s="1"/>
  <c r="BC111" i="98"/>
  <c r="BB111" i="98"/>
  <c r="AZ111" i="98"/>
  <c r="AY111" i="98"/>
  <c r="EO111" i="98" s="1"/>
  <c r="AX111" i="98"/>
  <c r="AV111" i="98"/>
  <c r="BH111" i="98" s="1"/>
  <c r="AU111" i="98"/>
  <c r="EK111" i="98" s="1"/>
  <c r="AT111" i="98"/>
  <c r="EJ111" i="98" s="1"/>
  <c r="AF111" i="98"/>
  <c r="AR111" i="98" s="1"/>
  <c r="AE111" i="98"/>
  <c r="AQ111" i="98" s="1"/>
  <c r="AD111" i="98"/>
  <c r="AP111" i="98" s="1"/>
  <c r="X111" i="98"/>
  <c r="W111" i="98"/>
  <c r="V111" i="98"/>
  <c r="U111" i="98"/>
  <c r="P111" i="98"/>
  <c r="AN111" i="98" s="1"/>
  <c r="O111" i="98"/>
  <c r="AM111" i="98" s="1"/>
  <c r="N111" i="98"/>
  <c r="AL111" i="98" s="1"/>
  <c r="EQ110" i="98"/>
  <c r="EN110" i="98"/>
  <c r="EM110" i="98"/>
  <c r="EI110" i="98"/>
  <c r="EH110" i="98"/>
  <c r="EG110" i="98"/>
  <c r="EF110" i="98"/>
  <c r="EE110" i="98"/>
  <c r="BI110" i="98"/>
  <c r="BE110" i="98"/>
  <c r="BD110" i="98"/>
  <c r="BC110" i="98"/>
  <c r="BB110" i="98"/>
  <c r="ER110" i="98" s="1"/>
  <c r="AZ110" i="98"/>
  <c r="EP110" i="98" s="1"/>
  <c r="AY110" i="98"/>
  <c r="AX110" i="98"/>
  <c r="BJ110" i="98" s="1"/>
  <c r="AV110" i="98"/>
  <c r="EL110" i="98" s="1"/>
  <c r="AU110" i="98"/>
  <c r="AT110" i="98"/>
  <c r="BF110" i="98" s="1"/>
  <c r="AF110" i="98"/>
  <c r="AR110" i="98" s="1"/>
  <c r="AE110" i="98"/>
  <c r="AQ110" i="98" s="1"/>
  <c r="AD110" i="98"/>
  <c r="AP110" i="98" s="1"/>
  <c r="X110" i="98"/>
  <c r="W110" i="98"/>
  <c r="V110" i="98"/>
  <c r="U110" i="98"/>
  <c r="P110" i="98"/>
  <c r="AN110" i="98" s="1"/>
  <c r="O110" i="98"/>
  <c r="AM110" i="98" s="1"/>
  <c r="N110" i="98"/>
  <c r="AL110" i="98" s="1"/>
  <c r="EQ109" i="98"/>
  <c r="EM109" i="98"/>
  <c r="EI109" i="98"/>
  <c r="EH109" i="98"/>
  <c r="EG109" i="98"/>
  <c r="EF109" i="98"/>
  <c r="EE109" i="98"/>
  <c r="BI109" i="98"/>
  <c r="BE109" i="98"/>
  <c r="BD109" i="98"/>
  <c r="BC109" i="98"/>
  <c r="ES109" i="98" s="1"/>
  <c r="BB109" i="98"/>
  <c r="ER109" i="98" s="1"/>
  <c r="AZ109" i="98"/>
  <c r="AY109" i="98"/>
  <c r="BK109" i="98" s="1"/>
  <c r="AX109" i="98"/>
  <c r="EN109" i="98" s="1"/>
  <c r="AV109" i="98"/>
  <c r="EL109" i="98" s="1"/>
  <c r="AU109" i="98"/>
  <c r="BG109" i="98" s="1"/>
  <c r="AT109" i="98"/>
  <c r="BF109" i="98" s="1"/>
  <c r="AF109" i="98"/>
  <c r="AR109" i="98" s="1"/>
  <c r="AE109" i="98"/>
  <c r="AQ109" i="98" s="1"/>
  <c r="AD109" i="98"/>
  <c r="AP109" i="98" s="1"/>
  <c r="X109" i="98"/>
  <c r="W109" i="98"/>
  <c r="V109" i="98"/>
  <c r="U109" i="98"/>
  <c r="P109" i="98"/>
  <c r="AN109" i="98" s="1"/>
  <c r="O109" i="98"/>
  <c r="AM109" i="98" s="1"/>
  <c r="N109" i="98"/>
  <c r="AL109" i="98" s="1"/>
  <c r="M109" i="98"/>
  <c r="AK109" i="98" s="1"/>
  <c r="EQ108" i="98"/>
  <c r="EM108" i="98"/>
  <c r="EI108" i="98"/>
  <c r="EH108" i="98"/>
  <c r="EG108" i="98"/>
  <c r="EF108" i="98"/>
  <c r="EE108" i="98"/>
  <c r="CK108" i="98"/>
  <c r="BI108" i="98"/>
  <c r="BE108" i="98"/>
  <c r="BD108" i="98"/>
  <c r="ET108" i="98" s="1"/>
  <c r="BC108" i="98"/>
  <c r="ES108" i="98" s="1"/>
  <c r="BB108" i="98"/>
  <c r="AZ108" i="98"/>
  <c r="BL108" i="98" s="1"/>
  <c r="AY108" i="98"/>
  <c r="EO108" i="98" s="1"/>
  <c r="AX108" i="98"/>
  <c r="EN108" i="98" s="1"/>
  <c r="AV108" i="98"/>
  <c r="BH108" i="98" s="1"/>
  <c r="AU108" i="98"/>
  <c r="BG108" i="98" s="1"/>
  <c r="AT108" i="98"/>
  <c r="EJ108" i="98" s="1"/>
  <c r="AF108" i="98"/>
  <c r="AR108" i="98" s="1"/>
  <c r="AE108" i="98"/>
  <c r="AQ108" i="98" s="1"/>
  <c r="AD108" i="98"/>
  <c r="AP108" i="98" s="1"/>
  <c r="X108" i="98"/>
  <c r="W108" i="98"/>
  <c r="V108" i="98"/>
  <c r="U108" i="98"/>
  <c r="P108" i="98"/>
  <c r="AN108" i="98" s="1"/>
  <c r="O108" i="98"/>
  <c r="AM108" i="98" s="1"/>
  <c r="N108" i="98"/>
  <c r="AL108" i="98" s="1"/>
  <c r="EQ107" i="98"/>
  <c r="EM107" i="98"/>
  <c r="EI107" i="98"/>
  <c r="EH107" i="98"/>
  <c r="EG107" i="98"/>
  <c r="EF107" i="98"/>
  <c r="EE107" i="98"/>
  <c r="CK107" i="98"/>
  <c r="BI107" i="98"/>
  <c r="BE107" i="98"/>
  <c r="BD107" i="98"/>
  <c r="ET107" i="98" s="1"/>
  <c r="BC107" i="98"/>
  <c r="BB107" i="98"/>
  <c r="AZ107" i="98"/>
  <c r="AY107" i="98"/>
  <c r="EO107" i="98" s="1"/>
  <c r="AX107" i="98"/>
  <c r="AV107" i="98"/>
  <c r="BH107" i="98" s="1"/>
  <c r="AU107" i="98"/>
  <c r="EK107" i="98" s="1"/>
  <c r="AT107" i="98"/>
  <c r="EJ107" i="98" s="1"/>
  <c r="AF107" i="98"/>
  <c r="AR107" i="98" s="1"/>
  <c r="AE107" i="98"/>
  <c r="AQ107" i="98" s="1"/>
  <c r="AD107" i="98"/>
  <c r="AP107" i="98" s="1"/>
  <c r="X107" i="98"/>
  <c r="W107" i="98"/>
  <c r="V107" i="98"/>
  <c r="U107" i="98"/>
  <c r="P107" i="98"/>
  <c r="AN107" i="98" s="1"/>
  <c r="O107" i="98"/>
  <c r="AM107" i="98" s="1"/>
  <c r="N107" i="98"/>
  <c r="AL107" i="98" s="1"/>
  <c r="EQ106" i="98"/>
  <c r="EM106" i="98"/>
  <c r="EI106" i="98"/>
  <c r="EH106" i="98"/>
  <c r="EG106" i="98"/>
  <c r="EF106" i="98"/>
  <c r="EE106" i="98"/>
  <c r="BI106" i="98"/>
  <c r="BE106" i="98"/>
  <c r="BD106" i="98"/>
  <c r="BC106" i="98"/>
  <c r="BB106" i="98"/>
  <c r="ER106" i="98" s="1"/>
  <c r="AZ106" i="98"/>
  <c r="EP106" i="98" s="1"/>
  <c r="AY106" i="98"/>
  <c r="AX106" i="98"/>
  <c r="BJ106" i="98" s="1"/>
  <c r="AV106" i="98"/>
  <c r="EL106" i="98" s="1"/>
  <c r="AU106" i="98"/>
  <c r="EK106" i="98" s="1"/>
  <c r="AT106" i="98"/>
  <c r="BF106" i="98" s="1"/>
  <c r="AF106" i="98"/>
  <c r="AR106" i="98" s="1"/>
  <c r="AE106" i="98"/>
  <c r="AQ106" i="98" s="1"/>
  <c r="AD106" i="98"/>
  <c r="AP106" i="98" s="1"/>
  <c r="X106" i="98"/>
  <c r="W106" i="98"/>
  <c r="V106" i="98"/>
  <c r="U106" i="98"/>
  <c r="P106" i="98"/>
  <c r="AN106" i="98" s="1"/>
  <c r="O106" i="98"/>
  <c r="AM106" i="98" s="1"/>
  <c r="N106" i="98"/>
  <c r="AL106" i="98" s="1"/>
  <c r="EQ105" i="98"/>
  <c r="EM105" i="98"/>
  <c r="EI105" i="98"/>
  <c r="EH105" i="98"/>
  <c r="EG105" i="98"/>
  <c r="EF105" i="98"/>
  <c r="EE105" i="98"/>
  <c r="BI105" i="98"/>
  <c r="BE105" i="98"/>
  <c r="BD105" i="98"/>
  <c r="BC105" i="98"/>
  <c r="ES105" i="98" s="1"/>
  <c r="BB105" i="98"/>
  <c r="ER105" i="98" s="1"/>
  <c r="AZ105" i="98"/>
  <c r="AY105" i="98"/>
  <c r="BK105" i="98" s="1"/>
  <c r="AX105" i="98"/>
  <c r="AV105" i="98"/>
  <c r="EL105" i="98" s="1"/>
  <c r="AU105" i="98"/>
  <c r="BG105" i="98" s="1"/>
  <c r="AT105" i="98"/>
  <c r="BF105" i="98" s="1"/>
  <c r="AF105" i="98"/>
  <c r="AR105" i="98" s="1"/>
  <c r="AE105" i="98"/>
  <c r="AQ105" i="98" s="1"/>
  <c r="AD105" i="98"/>
  <c r="AP105" i="98" s="1"/>
  <c r="X105" i="98"/>
  <c r="W105" i="98"/>
  <c r="V105" i="98"/>
  <c r="U105" i="98"/>
  <c r="N105" i="98"/>
  <c r="AL105" i="98" s="1"/>
  <c r="P105" i="98"/>
  <c r="AN105" i="98" s="1"/>
  <c r="O105" i="98"/>
  <c r="AM105" i="98" s="1"/>
  <c r="EQ104" i="98"/>
  <c r="EM104" i="98"/>
  <c r="EI104" i="98"/>
  <c r="EH104" i="98"/>
  <c r="EG104" i="98"/>
  <c r="EF104" i="98"/>
  <c r="EE104" i="98"/>
  <c r="CK104" i="98"/>
  <c r="BI104" i="98"/>
  <c r="BE104" i="98"/>
  <c r="BD104" i="98"/>
  <c r="ET104" i="98" s="1"/>
  <c r="BC104" i="98"/>
  <c r="ES104" i="98" s="1"/>
  <c r="BB104" i="98"/>
  <c r="AZ104" i="98"/>
  <c r="AY104" i="98"/>
  <c r="EO104" i="98" s="1"/>
  <c r="AX104" i="98"/>
  <c r="EN104" i="98" s="1"/>
  <c r="AV104" i="98"/>
  <c r="BH104" i="98" s="1"/>
  <c r="AU104" i="98"/>
  <c r="BG104" i="98" s="1"/>
  <c r="AT104" i="98"/>
  <c r="EJ104" i="98" s="1"/>
  <c r="AF104" i="98"/>
  <c r="AR104" i="98" s="1"/>
  <c r="AE104" i="98"/>
  <c r="AQ104" i="98" s="1"/>
  <c r="AD104" i="98"/>
  <c r="AP104" i="98" s="1"/>
  <c r="X104" i="98"/>
  <c r="W104" i="98"/>
  <c r="V104" i="98"/>
  <c r="U104" i="98"/>
  <c r="P104" i="98"/>
  <c r="AN104" i="98" s="1"/>
  <c r="O104" i="98"/>
  <c r="AM104" i="98" s="1"/>
  <c r="N104" i="98"/>
  <c r="AL104" i="98" s="1"/>
  <c r="EQ103" i="98"/>
  <c r="EM103" i="98"/>
  <c r="EI103" i="98"/>
  <c r="EH103" i="98"/>
  <c r="EG103" i="98"/>
  <c r="EF103" i="98"/>
  <c r="EE103" i="98"/>
  <c r="CK103" i="98"/>
  <c r="BI103" i="98"/>
  <c r="BE103" i="98"/>
  <c r="BD103" i="98"/>
  <c r="ET103" i="98" s="1"/>
  <c r="BC103" i="98"/>
  <c r="BB103" i="98"/>
  <c r="AZ103" i="98"/>
  <c r="AY103" i="98"/>
  <c r="AX103" i="98"/>
  <c r="AV103" i="98"/>
  <c r="BH103" i="98" s="1"/>
  <c r="AU103" i="98"/>
  <c r="AT103" i="98"/>
  <c r="EJ103" i="98" s="1"/>
  <c r="AF103" i="98"/>
  <c r="AR103" i="98" s="1"/>
  <c r="AE103" i="98"/>
  <c r="AQ103" i="98" s="1"/>
  <c r="AD103" i="98"/>
  <c r="AP103" i="98" s="1"/>
  <c r="X103" i="98"/>
  <c r="W103" i="98"/>
  <c r="V103" i="98"/>
  <c r="U103" i="98"/>
  <c r="P103" i="98"/>
  <c r="AN103" i="98" s="1"/>
  <c r="O103" i="98"/>
  <c r="AM103" i="98" s="1"/>
  <c r="N103" i="98"/>
  <c r="AL103" i="98" s="1"/>
  <c r="EJ102" i="98"/>
  <c r="EI102" i="98"/>
  <c r="EG102" i="98"/>
  <c r="EF102" i="98"/>
  <c r="BE102" i="98"/>
  <c r="BC102" i="98"/>
  <c r="ES102" i="98" s="1"/>
  <c r="BB102" i="98"/>
  <c r="ER102" i="98" s="1"/>
  <c r="AX102" i="98"/>
  <c r="BJ102" i="98" s="1"/>
  <c r="AV102" i="98"/>
  <c r="EL102" i="98" s="1"/>
  <c r="AU102" i="98"/>
  <c r="EK102" i="98" s="1"/>
  <c r="AT102" i="98"/>
  <c r="BF102" i="98" s="1"/>
  <c r="AT113" i="1"/>
  <c r="AU113" i="1" s="1"/>
  <c r="X102" i="98"/>
  <c r="W102" i="98"/>
  <c r="V102" i="98"/>
  <c r="U102" i="98"/>
  <c r="P102" i="98"/>
  <c r="AN102" i="98" s="1"/>
  <c r="O102" i="98"/>
  <c r="AM102" i="98" s="1"/>
  <c r="N102" i="98"/>
  <c r="AL102" i="98" s="1"/>
  <c r="EE102" i="98"/>
  <c r="CZ101" i="98"/>
  <c r="DH101" i="98" s="1"/>
  <c r="CY101" i="98"/>
  <c r="DA101" i="98"/>
  <c r="BB101" i="98"/>
  <c r="U101" i="98"/>
  <c r="AD112" i="1"/>
  <c r="EH101" i="98"/>
  <c r="V101" i="98"/>
  <c r="N101" i="98"/>
  <c r="AL101" i="98" s="1"/>
  <c r="EQ100" i="98"/>
  <c r="EM100" i="98"/>
  <c r="EI100" i="98"/>
  <c r="EH100" i="98"/>
  <c r="EG100" i="98"/>
  <c r="EF100" i="98"/>
  <c r="EE100" i="98"/>
  <c r="CK100" i="98"/>
  <c r="BI100" i="98"/>
  <c r="BE100" i="98"/>
  <c r="BD100" i="98"/>
  <c r="ET100" i="98" s="1"/>
  <c r="BC100" i="98"/>
  <c r="ES100" i="98" s="1"/>
  <c r="BB100" i="98"/>
  <c r="AZ100" i="98"/>
  <c r="BL100" i="98" s="1"/>
  <c r="AY100" i="98"/>
  <c r="AX100" i="98"/>
  <c r="EN100" i="98" s="1"/>
  <c r="AV100" i="98"/>
  <c r="BH100" i="98" s="1"/>
  <c r="AU100" i="98"/>
  <c r="BG100" i="98" s="1"/>
  <c r="AT100" i="98"/>
  <c r="AF100" i="98"/>
  <c r="AR100" i="98" s="1"/>
  <c r="AE100" i="98"/>
  <c r="AQ100" i="98" s="1"/>
  <c r="AD100" i="98"/>
  <c r="AP100" i="98" s="1"/>
  <c r="X100" i="98"/>
  <c r="W100" i="98"/>
  <c r="V100" i="98"/>
  <c r="U100" i="98"/>
  <c r="P100" i="98"/>
  <c r="AN100" i="98" s="1"/>
  <c r="O100" i="98"/>
  <c r="AM100" i="98" s="1"/>
  <c r="N100" i="98"/>
  <c r="AL100" i="98" s="1"/>
  <c r="EQ99" i="98"/>
  <c r="EM99" i="98"/>
  <c r="EI99" i="98"/>
  <c r="EH99" i="98"/>
  <c r="EG99" i="98"/>
  <c r="EF99" i="98"/>
  <c r="EE99" i="98"/>
  <c r="CK99" i="98"/>
  <c r="BI99" i="98"/>
  <c r="BE99" i="98"/>
  <c r="BD99" i="98"/>
  <c r="ET99" i="98" s="1"/>
  <c r="BC99" i="98"/>
  <c r="BB99" i="98"/>
  <c r="AZ99" i="98"/>
  <c r="EP99" i="98" s="1"/>
  <c r="AY99" i="98"/>
  <c r="EO99" i="98" s="1"/>
  <c r="AX99" i="98"/>
  <c r="AV99" i="98"/>
  <c r="BH99" i="98" s="1"/>
  <c r="AU99" i="98"/>
  <c r="EK99" i="98" s="1"/>
  <c r="AT99" i="98"/>
  <c r="EJ99" i="98" s="1"/>
  <c r="AF99" i="98"/>
  <c r="AR99" i="98" s="1"/>
  <c r="AE99" i="98"/>
  <c r="AQ99" i="98" s="1"/>
  <c r="AD99" i="98"/>
  <c r="AP99" i="98" s="1"/>
  <c r="X99" i="98"/>
  <c r="W99" i="98"/>
  <c r="V99" i="98"/>
  <c r="U99" i="98"/>
  <c r="P99" i="98"/>
  <c r="AN99" i="98" s="1"/>
  <c r="O99" i="98"/>
  <c r="AM99" i="98" s="1"/>
  <c r="N99" i="98"/>
  <c r="AL99" i="98" s="1"/>
  <c r="EQ98" i="98"/>
  <c r="EM98" i="98"/>
  <c r="EI98" i="98"/>
  <c r="EH98" i="98"/>
  <c r="EG98" i="98"/>
  <c r="EF98" i="98"/>
  <c r="EE98" i="98"/>
  <c r="BI98" i="98"/>
  <c r="BE98" i="98"/>
  <c r="BD98" i="98"/>
  <c r="BC98" i="98"/>
  <c r="BB98" i="98"/>
  <c r="ER98" i="98" s="1"/>
  <c r="AZ98" i="98"/>
  <c r="EP98" i="98" s="1"/>
  <c r="AY98" i="98"/>
  <c r="AX98" i="98"/>
  <c r="AV98" i="98"/>
  <c r="EL98" i="98" s="1"/>
  <c r="AU98" i="98"/>
  <c r="EK98" i="98" s="1"/>
  <c r="AT98" i="98"/>
  <c r="BF98" i="98" s="1"/>
  <c r="AR98" i="98"/>
  <c r="X98" i="98"/>
  <c r="W98" i="98"/>
  <c r="V98" i="98"/>
  <c r="U98" i="98"/>
  <c r="P98" i="98"/>
  <c r="AN98" i="98" s="1"/>
  <c r="O98" i="98"/>
  <c r="N98" i="98"/>
  <c r="M98" i="98"/>
  <c r="EQ97" i="98"/>
  <c r="EM97" i="98"/>
  <c r="EI97" i="98"/>
  <c r="EH97" i="98"/>
  <c r="EG97" i="98"/>
  <c r="EF97" i="98"/>
  <c r="EE97" i="98"/>
  <c r="CK97" i="98"/>
  <c r="BI97" i="98"/>
  <c r="BG97" i="98"/>
  <c r="BE97" i="98"/>
  <c r="BD97" i="98"/>
  <c r="BC97" i="98"/>
  <c r="BB97" i="98"/>
  <c r="AZ97" i="98"/>
  <c r="EP97" i="98" s="1"/>
  <c r="AY97" i="98"/>
  <c r="AX97" i="98"/>
  <c r="AV97" i="98"/>
  <c r="BH97" i="98" s="1"/>
  <c r="AU97" i="98"/>
  <c r="EK97" i="98" s="1"/>
  <c r="AT97" i="98"/>
  <c r="EJ97" i="98" s="1"/>
  <c r="AR97" i="98"/>
  <c r="X97" i="98"/>
  <c r="W97" i="98"/>
  <c r="V97" i="98"/>
  <c r="U97" i="98"/>
  <c r="P97" i="98"/>
  <c r="AN97" i="98" s="1"/>
  <c r="O97" i="98"/>
  <c r="N97" i="98"/>
  <c r="M97" i="98"/>
  <c r="EQ96" i="98"/>
  <c r="EM96" i="98"/>
  <c r="EI96" i="98"/>
  <c r="EH96" i="98"/>
  <c r="EG96" i="98"/>
  <c r="EF96" i="98"/>
  <c r="EE96" i="98"/>
  <c r="CK96" i="98"/>
  <c r="BI96" i="98"/>
  <c r="BE96" i="98"/>
  <c r="BD96" i="98"/>
  <c r="ET96" i="98" s="1"/>
  <c r="BC96" i="98"/>
  <c r="ES96" i="98" s="1"/>
  <c r="BB96" i="98"/>
  <c r="AZ96" i="98"/>
  <c r="BL96" i="98" s="1"/>
  <c r="AY96" i="98"/>
  <c r="BK96" i="98" s="1"/>
  <c r="AX96" i="98"/>
  <c r="EN96" i="98" s="1"/>
  <c r="AV96" i="98"/>
  <c r="BH96" i="98" s="1"/>
  <c r="AU96" i="98"/>
  <c r="BG96" i="98" s="1"/>
  <c r="AT96" i="98"/>
  <c r="EJ96" i="98" s="1"/>
  <c r="AR96" i="98"/>
  <c r="X96" i="98"/>
  <c r="W96" i="98"/>
  <c r="V96" i="98"/>
  <c r="U96" i="98"/>
  <c r="P96" i="98"/>
  <c r="AN96" i="98" s="1"/>
  <c r="O96" i="98"/>
  <c r="N96" i="98"/>
  <c r="M96" i="98"/>
  <c r="EQ95" i="98"/>
  <c r="EM95" i="98"/>
  <c r="EI95" i="98"/>
  <c r="EH95" i="98"/>
  <c r="EG95" i="98"/>
  <c r="EF95" i="98"/>
  <c r="EE95" i="98"/>
  <c r="BI95" i="98"/>
  <c r="BE95" i="98"/>
  <c r="BD95" i="98"/>
  <c r="BC95" i="98"/>
  <c r="ES95" i="98" s="1"/>
  <c r="BB95" i="98"/>
  <c r="ER95" i="98" s="1"/>
  <c r="AZ95" i="98"/>
  <c r="AY95" i="98"/>
  <c r="AX95" i="98"/>
  <c r="EN95" i="98" s="1"/>
  <c r="AV95" i="98"/>
  <c r="EL95" i="98" s="1"/>
  <c r="AU95" i="98"/>
  <c r="BG95" i="98" s="1"/>
  <c r="AT95" i="98"/>
  <c r="BF95" i="98" s="1"/>
  <c r="AR95" i="98"/>
  <c r="X95" i="98"/>
  <c r="W95" i="98"/>
  <c r="V95" i="98"/>
  <c r="U95" i="98"/>
  <c r="P95" i="98"/>
  <c r="AN95" i="98" s="1"/>
  <c r="O95" i="98"/>
  <c r="N95" i="98"/>
  <c r="M95" i="98"/>
  <c r="EQ94" i="98"/>
  <c r="EM94" i="98"/>
  <c r="EI94" i="98"/>
  <c r="EH94" i="98"/>
  <c r="EG94" i="98"/>
  <c r="EF94" i="98"/>
  <c r="EE94" i="98"/>
  <c r="BI94" i="98"/>
  <c r="BG94" i="98"/>
  <c r="BE94" i="98"/>
  <c r="BD94" i="98"/>
  <c r="BC94" i="98"/>
  <c r="BB94" i="98"/>
  <c r="ER94" i="98" s="1"/>
  <c r="AZ94" i="98"/>
  <c r="EP94" i="98" s="1"/>
  <c r="AY94" i="98"/>
  <c r="AX94" i="98"/>
  <c r="AV94" i="98"/>
  <c r="AU94" i="98"/>
  <c r="EK94" i="98" s="1"/>
  <c r="AT94" i="98"/>
  <c r="BF94" i="98" s="1"/>
  <c r="AR94" i="98"/>
  <c r="X94" i="98"/>
  <c r="W94" i="98"/>
  <c r="V94" i="98"/>
  <c r="U94" i="98"/>
  <c r="P94" i="98"/>
  <c r="AN94" i="98" s="1"/>
  <c r="O94" i="98"/>
  <c r="N94" i="98"/>
  <c r="M94" i="98"/>
  <c r="EQ93" i="98"/>
  <c r="EM93" i="98"/>
  <c r="EI93" i="98"/>
  <c r="EH93" i="98"/>
  <c r="EG93" i="98"/>
  <c r="EF93" i="98"/>
  <c r="EE93" i="98"/>
  <c r="CK93" i="98"/>
  <c r="BI93" i="98"/>
  <c r="BE93" i="98"/>
  <c r="BD93" i="98"/>
  <c r="BD554" i="98" s="1"/>
  <c r="ET554" i="98" s="1"/>
  <c r="BC93" i="98"/>
  <c r="BB93" i="98"/>
  <c r="AZ93" i="98"/>
  <c r="AY93" i="98"/>
  <c r="AX93" i="98"/>
  <c r="AV93" i="98"/>
  <c r="BH93" i="98" s="1"/>
  <c r="AU93" i="98"/>
  <c r="EK93" i="98" s="1"/>
  <c r="AT93" i="98"/>
  <c r="EJ93" i="98" s="1"/>
  <c r="AR93" i="98"/>
  <c r="X93" i="98"/>
  <c r="W93" i="98"/>
  <c r="V93" i="98"/>
  <c r="U93" i="98"/>
  <c r="P93" i="98"/>
  <c r="AN93" i="98" s="1"/>
  <c r="O93" i="98"/>
  <c r="N93" i="98"/>
  <c r="M93" i="98"/>
  <c r="EQ92" i="98"/>
  <c r="EM92" i="98"/>
  <c r="EI92" i="98"/>
  <c r="EH92" i="98"/>
  <c r="EG92" i="98"/>
  <c r="EF92" i="98"/>
  <c r="EE92" i="98"/>
  <c r="CK92" i="98"/>
  <c r="BI92" i="98"/>
  <c r="BE92" i="98"/>
  <c r="BD92" i="98"/>
  <c r="ET92" i="98" s="1"/>
  <c r="BC92" i="98"/>
  <c r="ES92" i="98" s="1"/>
  <c r="BB92" i="98"/>
  <c r="AZ92" i="98"/>
  <c r="BL92" i="98" s="1"/>
  <c r="AY92" i="98"/>
  <c r="BK92" i="98" s="1"/>
  <c r="AX92" i="98"/>
  <c r="EN92" i="98" s="1"/>
  <c r="AV92" i="98"/>
  <c r="AU92" i="98"/>
  <c r="BG92" i="98" s="1"/>
  <c r="AT92" i="98"/>
  <c r="EJ92" i="98" s="1"/>
  <c r="AF92" i="98"/>
  <c r="AR92" i="98" s="1"/>
  <c r="AE92" i="98"/>
  <c r="AQ92" i="98" s="1"/>
  <c r="AD92" i="98"/>
  <c r="AP92" i="98" s="1"/>
  <c r="X92" i="98"/>
  <c r="W92" i="98"/>
  <c r="V92" i="98"/>
  <c r="U92" i="98"/>
  <c r="P92" i="98"/>
  <c r="AN92" i="98" s="1"/>
  <c r="O92" i="98"/>
  <c r="AM92" i="98" s="1"/>
  <c r="N92" i="98"/>
  <c r="AL92" i="98" s="1"/>
  <c r="EQ91" i="98"/>
  <c r="EM91" i="98"/>
  <c r="EI91" i="98"/>
  <c r="EH91" i="98"/>
  <c r="EG91" i="98"/>
  <c r="EF91" i="98"/>
  <c r="EE91" i="98"/>
  <c r="CK91" i="98"/>
  <c r="BI91" i="98"/>
  <c r="BE91" i="98"/>
  <c r="BD91" i="98"/>
  <c r="ET91" i="98" s="1"/>
  <c r="BC91" i="98"/>
  <c r="BB91" i="98"/>
  <c r="AZ91" i="98"/>
  <c r="AY91" i="98"/>
  <c r="EO91" i="98" s="1"/>
  <c r="AX91" i="98"/>
  <c r="AV91" i="98"/>
  <c r="BH91" i="98" s="1"/>
  <c r="AU91" i="98"/>
  <c r="EK91" i="98" s="1"/>
  <c r="AT91" i="98"/>
  <c r="EJ91" i="98" s="1"/>
  <c r="AF91" i="98"/>
  <c r="AR91" i="98" s="1"/>
  <c r="AE91" i="98"/>
  <c r="AQ91" i="98" s="1"/>
  <c r="AD91" i="98"/>
  <c r="AP91" i="98" s="1"/>
  <c r="AC91" i="98"/>
  <c r="AO91" i="98" s="1"/>
  <c r="X91" i="98"/>
  <c r="W91" i="98"/>
  <c r="V91" i="98"/>
  <c r="U91" i="98"/>
  <c r="P91" i="98"/>
  <c r="AN91" i="98" s="1"/>
  <c r="O91" i="98"/>
  <c r="AM91" i="98" s="1"/>
  <c r="N91" i="98"/>
  <c r="AL91" i="98" s="1"/>
  <c r="M91" i="98"/>
  <c r="AK91" i="98" s="1"/>
  <c r="EQ90" i="98"/>
  <c r="EL90" i="98"/>
  <c r="EK90" i="98"/>
  <c r="EJ90" i="98"/>
  <c r="EH90" i="98"/>
  <c r="EG90" i="98"/>
  <c r="EF90" i="98"/>
  <c r="EE90" i="98"/>
  <c r="DI90" i="98"/>
  <c r="DH90" i="98"/>
  <c r="DG90" i="98"/>
  <c r="DF90" i="98"/>
  <c r="AS90" i="98" s="1"/>
  <c r="BH90" i="98"/>
  <c r="BG90" i="98"/>
  <c r="BF90" i="98"/>
  <c r="BD90" i="98"/>
  <c r="BC90" i="98"/>
  <c r="BB90" i="98"/>
  <c r="ER90" i="98" s="1"/>
  <c r="AF90" i="98"/>
  <c r="AR90" i="98" s="1"/>
  <c r="AE90" i="98"/>
  <c r="AQ90" i="98" s="1"/>
  <c r="AD90" i="98"/>
  <c r="AP90" i="98" s="1"/>
  <c r="X90" i="98"/>
  <c r="W90" i="98"/>
  <c r="V90" i="98"/>
  <c r="U90" i="98"/>
  <c r="P90" i="98"/>
  <c r="AN90" i="98" s="1"/>
  <c r="O90" i="98"/>
  <c r="AM90" i="98" s="1"/>
  <c r="N90" i="98"/>
  <c r="AL90" i="98" s="1"/>
  <c r="EQ89" i="98"/>
  <c r="EM89" i="98"/>
  <c r="EI89" i="98"/>
  <c r="EH89" i="98"/>
  <c r="EG89" i="98"/>
  <c r="EF89" i="98"/>
  <c r="EE89" i="98"/>
  <c r="BI89" i="98"/>
  <c r="BE89" i="98"/>
  <c r="BD89" i="98"/>
  <c r="BC89" i="98"/>
  <c r="BB89" i="98"/>
  <c r="ER89" i="98" s="1"/>
  <c r="AZ89" i="98"/>
  <c r="EP89" i="98" s="1"/>
  <c r="AY89" i="98"/>
  <c r="AX89" i="98"/>
  <c r="AV89" i="98"/>
  <c r="EL89" i="98" s="1"/>
  <c r="AU89" i="98"/>
  <c r="AT89" i="98"/>
  <c r="BF89" i="98" s="1"/>
  <c r="AF89" i="98"/>
  <c r="AR89" i="98" s="1"/>
  <c r="AE89" i="98"/>
  <c r="AQ89" i="98" s="1"/>
  <c r="AD89" i="98"/>
  <c r="AP89" i="98" s="1"/>
  <c r="X89" i="98"/>
  <c r="W89" i="98"/>
  <c r="V89" i="98"/>
  <c r="U89" i="98"/>
  <c r="P89" i="98"/>
  <c r="AN89" i="98" s="1"/>
  <c r="O89" i="98"/>
  <c r="AM89" i="98" s="1"/>
  <c r="N89" i="98"/>
  <c r="AL89" i="98" s="1"/>
  <c r="EQ88" i="98"/>
  <c r="EM88" i="98"/>
  <c r="EI88" i="98"/>
  <c r="EH88" i="98"/>
  <c r="EG88" i="98"/>
  <c r="EF88" i="98"/>
  <c r="EE88" i="98"/>
  <c r="BI88" i="98"/>
  <c r="BE88" i="98"/>
  <c r="BD88" i="98"/>
  <c r="BC88" i="98"/>
  <c r="ES88" i="98" s="1"/>
  <c r="BB88" i="98"/>
  <c r="ER88" i="98" s="1"/>
  <c r="AZ88" i="98"/>
  <c r="EP88" i="98" s="1"/>
  <c r="AY88" i="98"/>
  <c r="BK88" i="98" s="1"/>
  <c r="AX88" i="98"/>
  <c r="EN88" i="98" s="1"/>
  <c r="AV88" i="98"/>
  <c r="EL88" i="98" s="1"/>
  <c r="AU88" i="98"/>
  <c r="BG88" i="98" s="1"/>
  <c r="AT88" i="98"/>
  <c r="BF88" i="98" s="1"/>
  <c r="AF88" i="98"/>
  <c r="AR88" i="98" s="1"/>
  <c r="AE88" i="98"/>
  <c r="AQ88" i="98" s="1"/>
  <c r="AD88" i="98"/>
  <c r="AP88" i="98" s="1"/>
  <c r="X88" i="98"/>
  <c r="W88" i="98"/>
  <c r="V88" i="98"/>
  <c r="U88" i="98"/>
  <c r="P88" i="98"/>
  <c r="AN88" i="98" s="1"/>
  <c r="O88" i="98"/>
  <c r="AM88" i="98" s="1"/>
  <c r="N88" i="98"/>
  <c r="AL88" i="98" s="1"/>
  <c r="EQ87" i="98"/>
  <c r="EM87" i="98"/>
  <c r="EI87" i="98"/>
  <c r="EH87" i="98"/>
  <c r="EG87" i="98"/>
  <c r="EF87" i="98"/>
  <c r="EE87" i="98"/>
  <c r="CK87" i="98"/>
  <c r="BI87" i="98"/>
  <c r="BE87" i="98"/>
  <c r="BD87" i="98"/>
  <c r="BD548" i="98" s="1"/>
  <c r="ET548" i="98" s="1"/>
  <c r="BC87" i="98"/>
  <c r="ES87" i="98" s="1"/>
  <c r="BB87" i="98"/>
  <c r="AZ87" i="98"/>
  <c r="BL87" i="98" s="1"/>
  <c r="AY87" i="98"/>
  <c r="AX87" i="98"/>
  <c r="AV87" i="98"/>
  <c r="BH87" i="98" s="1"/>
  <c r="AU87" i="98"/>
  <c r="BG87" i="98" s="1"/>
  <c r="AT87" i="98"/>
  <c r="EJ87" i="98" s="1"/>
  <c r="AF87" i="98"/>
  <c r="AR87" i="98" s="1"/>
  <c r="AE87" i="98"/>
  <c r="AQ87" i="98" s="1"/>
  <c r="AD87" i="98"/>
  <c r="AP87" i="98" s="1"/>
  <c r="V87" i="98"/>
  <c r="X87" i="98"/>
  <c r="W87" i="98"/>
  <c r="U87" i="98"/>
  <c r="P87" i="98"/>
  <c r="AN87" i="98" s="1"/>
  <c r="O87" i="98"/>
  <c r="AM87" i="98" s="1"/>
  <c r="N87" i="98"/>
  <c r="AL87" i="98" s="1"/>
  <c r="EQ86" i="98"/>
  <c r="EM86" i="98"/>
  <c r="EI86" i="98"/>
  <c r="EH86" i="98"/>
  <c r="EG86" i="98"/>
  <c r="EF86" i="98"/>
  <c r="EE86" i="98"/>
  <c r="CK86" i="98"/>
  <c r="BI86" i="98"/>
  <c r="BE86" i="98"/>
  <c r="BD86" i="98"/>
  <c r="ET86" i="98" s="1"/>
  <c r="BC86" i="98"/>
  <c r="BB86" i="98"/>
  <c r="AZ86" i="98"/>
  <c r="BL86" i="98" s="1"/>
  <c r="AY86" i="98"/>
  <c r="EO86" i="98" s="1"/>
  <c r="AX86" i="98"/>
  <c r="EN86" i="98" s="1"/>
  <c r="AV86" i="98"/>
  <c r="BH86" i="98" s="1"/>
  <c r="AU86" i="98"/>
  <c r="EK86" i="98" s="1"/>
  <c r="AT86" i="98"/>
  <c r="EJ86" i="98" s="1"/>
  <c r="AF86" i="98"/>
  <c r="AR86" i="98" s="1"/>
  <c r="AE86" i="98"/>
  <c r="AQ86" i="98" s="1"/>
  <c r="AD86" i="98"/>
  <c r="AP86" i="98" s="1"/>
  <c r="X86" i="98"/>
  <c r="W86" i="98"/>
  <c r="V86" i="98"/>
  <c r="U86" i="98"/>
  <c r="P86" i="98"/>
  <c r="AN86" i="98" s="1"/>
  <c r="O86" i="98"/>
  <c r="AM86" i="98" s="1"/>
  <c r="N86" i="98"/>
  <c r="AL86" i="98" s="1"/>
  <c r="EQ85" i="98"/>
  <c r="EM85" i="98"/>
  <c r="EI85" i="98"/>
  <c r="EH85" i="98"/>
  <c r="EG85" i="98"/>
  <c r="EF85" i="98"/>
  <c r="EE85" i="98"/>
  <c r="BI85" i="98"/>
  <c r="BE85" i="98"/>
  <c r="BD85" i="98"/>
  <c r="BC85" i="98"/>
  <c r="BB85" i="98"/>
  <c r="ER85" i="98" s="1"/>
  <c r="AZ85" i="98"/>
  <c r="AY85" i="98"/>
  <c r="EO85" i="98" s="1"/>
  <c r="AX85" i="98"/>
  <c r="BJ85" i="98" s="1"/>
  <c r="AV85" i="98"/>
  <c r="EL85" i="98" s="1"/>
  <c r="AU85" i="98"/>
  <c r="AT85" i="98"/>
  <c r="BF85" i="98" s="1"/>
  <c r="AF85" i="98"/>
  <c r="AR85" i="98" s="1"/>
  <c r="AE85" i="98"/>
  <c r="AQ85" i="98" s="1"/>
  <c r="AD85" i="98"/>
  <c r="AP85" i="98" s="1"/>
  <c r="X85" i="98"/>
  <c r="W85" i="98"/>
  <c r="V85" i="98"/>
  <c r="U85" i="98"/>
  <c r="P85" i="98"/>
  <c r="AN85" i="98" s="1"/>
  <c r="O85" i="98"/>
  <c r="AM85" i="98" s="1"/>
  <c r="N85" i="98"/>
  <c r="AL85" i="98" s="1"/>
  <c r="EQ84" i="98"/>
  <c r="EM84" i="98"/>
  <c r="EI84" i="98"/>
  <c r="EH84" i="98"/>
  <c r="EG84" i="98"/>
  <c r="EF84" i="98"/>
  <c r="EE84" i="98"/>
  <c r="BI84" i="98"/>
  <c r="BE84" i="98"/>
  <c r="BD84" i="98"/>
  <c r="BC84" i="98"/>
  <c r="ES84" i="98" s="1"/>
  <c r="BB84" i="98"/>
  <c r="ER84" i="98" s="1"/>
  <c r="AZ84" i="98"/>
  <c r="EP84" i="98" s="1"/>
  <c r="AY84" i="98"/>
  <c r="BK84" i="98" s="1"/>
  <c r="AX84" i="98"/>
  <c r="EN84" i="98" s="1"/>
  <c r="AV84" i="98"/>
  <c r="EL84" i="98" s="1"/>
  <c r="AU84" i="98"/>
  <c r="BG84" i="98" s="1"/>
  <c r="AT84" i="98"/>
  <c r="BF84" i="98" s="1"/>
  <c r="AF84" i="98"/>
  <c r="AR84" i="98" s="1"/>
  <c r="AE84" i="98"/>
  <c r="AQ84" i="98" s="1"/>
  <c r="AD84" i="98"/>
  <c r="AP84" i="98" s="1"/>
  <c r="X84" i="98"/>
  <c r="W84" i="98"/>
  <c r="V84" i="98"/>
  <c r="U84" i="98"/>
  <c r="P84" i="98"/>
  <c r="AN84" i="98" s="1"/>
  <c r="O84" i="98"/>
  <c r="AM84" i="98" s="1"/>
  <c r="N84" i="98"/>
  <c r="AL84" i="98" s="1"/>
  <c r="EQ83" i="98"/>
  <c r="EM83" i="98"/>
  <c r="EI83" i="98"/>
  <c r="EH83" i="98"/>
  <c r="EG83" i="98"/>
  <c r="EF83" i="98"/>
  <c r="EE83" i="98"/>
  <c r="CK83" i="98"/>
  <c r="BI83" i="98"/>
  <c r="BE83" i="98"/>
  <c r="BD83" i="98"/>
  <c r="ET83" i="98" s="1"/>
  <c r="BC83" i="98"/>
  <c r="ES83" i="98" s="1"/>
  <c r="BB83" i="98"/>
  <c r="AZ83" i="98"/>
  <c r="BL83" i="98" s="1"/>
  <c r="AY83" i="98"/>
  <c r="EO83" i="98" s="1"/>
  <c r="AX83" i="98"/>
  <c r="AV83" i="98"/>
  <c r="BH83" i="98" s="1"/>
  <c r="AU83" i="98"/>
  <c r="BG83" i="98" s="1"/>
  <c r="AT83" i="98"/>
  <c r="EJ83" i="98" s="1"/>
  <c r="AF83" i="98"/>
  <c r="AR83" i="98" s="1"/>
  <c r="AE83" i="98"/>
  <c r="AQ83" i="98" s="1"/>
  <c r="AD83" i="98"/>
  <c r="AP83" i="98" s="1"/>
  <c r="X83" i="98"/>
  <c r="W83" i="98"/>
  <c r="V83" i="98"/>
  <c r="U83" i="98"/>
  <c r="P83" i="98"/>
  <c r="AN83" i="98" s="1"/>
  <c r="O83" i="98"/>
  <c r="AM83" i="98" s="1"/>
  <c r="N83" i="98"/>
  <c r="AL83" i="98" s="1"/>
  <c r="EQ82" i="98"/>
  <c r="EM82" i="98"/>
  <c r="EI82" i="98"/>
  <c r="EH82" i="98"/>
  <c r="EG82" i="98"/>
  <c r="EF82" i="98"/>
  <c r="EE82" i="98"/>
  <c r="CK82" i="98"/>
  <c r="BI82" i="98"/>
  <c r="BE82" i="98"/>
  <c r="BD82" i="98"/>
  <c r="ET82" i="98" s="1"/>
  <c r="BC82" i="98"/>
  <c r="BB82" i="98"/>
  <c r="AZ82" i="98"/>
  <c r="EP82" i="98" s="1"/>
  <c r="AY82" i="98"/>
  <c r="EO82" i="98" s="1"/>
  <c r="AX82" i="98"/>
  <c r="EN82" i="98" s="1"/>
  <c r="AV82" i="98"/>
  <c r="BH82" i="98" s="1"/>
  <c r="AU82" i="98"/>
  <c r="EK82" i="98" s="1"/>
  <c r="AT82" i="98"/>
  <c r="EJ82" i="98" s="1"/>
  <c r="AF82" i="98"/>
  <c r="AR82" i="98" s="1"/>
  <c r="AE82" i="98"/>
  <c r="AQ82" i="98" s="1"/>
  <c r="AD82" i="98"/>
  <c r="AP82" i="98" s="1"/>
  <c r="X82" i="98"/>
  <c r="W82" i="98"/>
  <c r="V82" i="98"/>
  <c r="U82" i="98"/>
  <c r="P82" i="98"/>
  <c r="AN82" i="98" s="1"/>
  <c r="O82" i="98"/>
  <c r="AM82" i="98" s="1"/>
  <c r="N82" i="98"/>
  <c r="AL82" i="98" s="1"/>
  <c r="EQ81" i="98"/>
  <c r="EM81" i="98"/>
  <c r="EI81" i="98"/>
  <c r="EH81" i="98"/>
  <c r="EG81" i="98"/>
  <c r="EF81" i="98"/>
  <c r="EE81" i="98"/>
  <c r="BI81" i="98"/>
  <c r="BE81" i="98"/>
  <c r="BD81" i="98"/>
  <c r="BC81" i="98"/>
  <c r="BB81" i="98"/>
  <c r="ER81" i="98" s="1"/>
  <c r="AZ81" i="98"/>
  <c r="AY81" i="98"/>
  <c r="EO81" i="98" s="1"/>
  <c r="AX81" i="98"/>
  <c r="BJ81" i="98" s="1"/>
  <c r="AV81" i="98"/>
  <c r="EL81" i="98" s="1"/>
  <c r="AU81" i="98"/>
  <c r="AT81" i="98"/>
  <c r="BF81" i="98" s="1"/>
  <c r="AR81" i="98"/>
  <c r="X81" i="98"/>
  <c r="W81" i="98"/>
  <c r="V81" i="98"/>
  <c r="U81" i="98"/>
  <c r="P81" i="98"/>
  <c r="O81" i="98"/>
  <c r="N81" i="98"/>
  <c r="M81" i="98"/>
  <c r="EQ80" i="98"/>
  <c r="EM80" i="98"/>
  <c r="EI80" i="98"/>
  <c r="EH80" i="98"/>
  <c r="EG80" i="98"/>
  <c r="EF80" i="98"/>
  <c r="EE80" i="98"/>
  <c r="BI80" i="98"/>
  <c r="BE80" i="98"/>
  <c r="BD80" i="98"/>
  <c r="ET80" i="98" s="1"/>
  <c r="BC80" i="98"/>
  <c r="ES80" i="98" s="1"/>
  <c r="BB80" i="98"/>
  <c r="AZ80" i="98"/>
  <c r="BL80" i="98" s="1"/>
  <c r="AY80" i="98"/>
  <c r="BK80" i="98" s="1"/>
  <c r="AX80" i="98"/>
  <c r="EN80" i="98" s="1"/>
  <c r="AV80" i="98"/>
  <c r="BH80" i="98" s="1"/>
  <c r="AU80" i="98"/>
  <c r="BG80" i="98" s="1"/>
  <c r="AT80" i="98"/>
  <c r="EJ80" i="98" s="1"/>
  <c r="AR80" i="98"/>
  <c r="X80" i="98"/>
  <c r="W80" i="98"/>
  <c r="V80" i="98"/>
  <c r="U80" i="98"/>
  <c r="P80" i="98"/>
  <c r="O80" i="98"/>
  <c r="N80" i="98"/>
  <c r="M80" i="98"/>
  <c r="EQ79" i="98"/>
  <c r="EM79" i="98"/>
  <c r="EI79" i="98"/>
  <c r="EH79" i="98"/>
  <c r="EG79" i="98"/>
  <c r="EF79" i="98"/>
  <c r="EE79" i="98"/>
  <c r="BI79" i="98"/>
  <c r="BE79" i="98"/>
  <c r="BD79" i="98"/>
  <c r="BC79" i="98"/>
  <c r="BB79" i="98"/>
  <c r="ER79" i="98" s="1"/>
  <c r="AZ79" i="98"/>
  <c r="AY79" i="98"/>
  <c r="AX79" i="98"/>
  <c r="BJ79" i="98" s="1"/>
  <c r="AV79" i="98"/>
  <c r="AU79" i="98"/>
  <c r="AT79" i="98"/>
  <c r="AR79" i="98"/>
  <c r="X79" i="98"/>
  <c r="W79" i="98"/>
  <c r="V79" i="98"/>
  <c r="U79" i="98"/>
  <c r="P79" i="98"/>
  <c r="O79" i="98"/>
  <c r="N79" i="98"/>
  <c r="M79" i="98"/>
  <c r="EQ78" i="98"/>
  <c r="EM78" i="98"/>
  <c r="EI78" i="98"/>
  <c r="EH78" i="98"/>
  <c r="EG78" i="98"/>
  <c r="EF78" i="98"/>
  <c r="EE78" i="98"/>
  <c r="CK78" i="98"/>
  <c r="BI78" i="98"/>
  <c r="BE78" i="98"/>
  <c r="BD78" i="98"/>
  <c r="BC78" i="98"/>
  <c r="ES78" i="98" s="1"/>
  <c r="BB78" i="98"/>
  <c r="AZ78" i="98"/>
  <c r="BL78" i="98" s="1"/>
  <c r="AY78" i="98"/>
  <c r="AX78" i="98"/>
  <c r="EN78" i="98" s="1"/>
  <c r="AV78" i="98"/>
  <c r="BH78" i="98" s="1"/>
  <c r="AU78" i="98"/>
  <c r="BG78" i="98" s="1"/>
  <c r="AT78" i="98"/>
  <c r="AR78" i="98"/>
  <c r="X78" i="98"/>
  <c r="W78" i="98"/>
  <c r="V78" i="98"/>
  <c r="U78" i="98"/>
  <c r="P78" i="98"/>
  <c r="AN78" i="98" s="1"/>
  <c r="O78" i="98"/>
  <c r="N78" i="98"/>
  <c r="M78" i="98"/>
  <c r="EQ77" i="98"/>
  <c r="EM77" i="98"/>
  <c r="EI77" i="98"/>
  <c r="EH77" i="98"/>
  <c r="EG77" i="98"/>
  <c r="EF77" i="98"/>
  <c r="EE77" i="98"/>
  <c r="BI77" i="98"/>
  <c r="BE77" i="98"/>
  <c r="BD77" i="98"/>
  <c r="BC77" i="98"/>
  <c r="ES77" i="98" s="1"/>
  <c r="BB77" i="98"/>
  <c r="ER77" i="98" s="1"/>
  <c r="AZ77" i="98"/>
  <c r="EP77" i="98" s="1"/>
  <c r="AY77" i="98"/>
  <c r="BK77" i="98" s="1"/>
  <c r="AX77" i="98"/>
  <c r="EN77" i="98" s="1"/>
  <c r="AV77" i="98"/>
  <c r="EL77" i="98" s="1"/>
  <c r="AU77" i="98"/>
  <c r="BG77" i="98" s="1"/>
  <c r="AT77" i="98"/>
  <c r="BF77" i="98" s="1"/>
  <c r="AR77" i="98"/>
  <c r="X77" i="98"/>
  <c r="W77" i="98"/>
  <c r="V77" i="98"/>
  <c r="U77" i="98"/>
  <c r="P77" i="98"/>
  <c r="AN77" i="98" s="1"/>
  <c r="O77" i="98"/>
  <c r="N77" i="98"/>
  <c r="M77" i="98"/>
  <c r="EQ76" i="98"/>
  <c r="EM76" i="98"/>
  <c r="EI76" i="98"/>
  <c r="EH76" i="98"/>
  <c r="EG76" i="98"/>
  <c r="EF76" i="98"/>
  <c r="EE76" i="98"/>
  <c r="BI76" i="98"/>
  <c r="BE76" i="98"/>
  <c r="BD76" i="98"/>
  <c r="BC76" i="98"/>
  <c r="BB76" i="98"/>
  <c r="ER76" i="98" s="1"/>
  <c r="AZ76" i="98"/>
  <c r="AY76" i="98"/>
  <c r="EO76" i="98" s="1"/>
  <c r="AX76" i="98"/>
  <c r="BJ76" i="98" s="1"/>
  <c r="AV76" i="98"/>
  <c r="EL76" i="98" s="1"/>
  <c r="AU76" i="98"/>
  <c r="AT76" i="98"/>
  <c r="BF76" i="98" s="1"/>
  <c r="AR76" i="98"/>
  <c r="X76" i="98"/>
  <c r="W76" i="98"/>
  <c r="V76" i="98"/>
  <c r="U76" i="98"/>
  <c r="P76" i="98"/>
  <c r="AN76" i="98" s="1"/>
  <c r="O76" i="98"/>
  <c r="N76" i="98"/>
  <c r="M76" i="98"/>
  <c r="EM75" i="98"/>
  <c r="EH75" i="98"/>
  <c r="CK75" i="98"/>
  <c r="BI75" i="98"/>
  <c r="BD75" i="98"/>
  <c r="ET75" i="98" s="1"/>
  <c r="BA319" i="98"/>
  <c r="BD319" i="98" s="1"/>
  <c r="ET319" i="98" s="1"/>
  <c r="AZ75" i="98"/>
  <c r="AY75" i="98"/>
  <c r="EO75" i="98" s="1"/>
  <c r="AX75" i="98"/>
  <c r="EN75" i="98" s="1"/>
  <c r="EI75" i="98"/>
  <c r="AD75" i="98"/>
  <c r="AP75" i="98" s="1"/>
  <c r="V75" i="98"/>
  <c r="E536" i="98"/>
  <c r="EQ74" i="98"/>
  <c r="EM74" i="98"/>
  <c r="EI74" i="98"/>
  <c r="EH74" i="98"/>
  <c r="EG74" i="98"/>
  <c r="EF74" i="98"/>
  <c r="EE74" i="98"/>
  <c r="BI74" i="98"/>
  <c r="BE74" i="98"/>
  <c r="BD74" i="98"/>
  <c r="ET74" i="98" s="1"/>
  <c r="BC74" i="98"/>
  <c r="ES74" i="98" s="1"/>
  <c r="BB74" i="98"/>
  <c r="AZ74" i="98"/>
  <c r="BL74" i="98" s="1"/>
  <c r="AY74" i="98"/>
  <c r="BK74" i="98" s="1"/>
  <c r="AX74" i="98"/>
  <c r="EN74" i="98" s="1"/>
  <c r="AV74" i="98"/>
  <c r="BH74" i="98" s="1"/>
  <c r="AU74" i="98"/>
  <c r="BG74" i="98" s="1"/>
  <c r="AT74" i="98"/>
  <c r="EJ74" i="98" s="1"/>
  <c r="AF74" i="98"/>
  <c r="AR74" i="98" s="1"/>
  <c r="AE74" i="98"/>
  <c r="AQ74" i="98" s="1"/>
  <c r="AD74" i="98"/>
  <c r="AP74" i="98" s="1"/>
  <c r="AC74" i="98"/>
  <c r="AO74" i="98" s="1"/>
  <c r="X74" i="98"/>
  <c r="W74" i="98"/>
  <c r="V74" i="98"/>
  <c r="U74" i="98"/>
  <c r="N74" i="98"/>
  <c r="AL74" i="98" s="1"/>
  <c r="P74" i="98"/>
  <c r="AN74" i="98" s="1"/>
  <c r="O74" i="98"/>
  <c r="AM74" i="98" s="1"/>
  <c r="M74" i="98"/>
  <c r="AK74" i="98" s="1"/>
  <c r="EQ73" i="98"/>
  <c r="EM73" i="98"/>
  <c r="EI73" i="98"/>
  <c r="EH73" i="98"/>
  <c r="EG73" i="98"/>
  <c r="EF73" i="98"/>
  <c r="EE73" i="98"/>
  <c r="CK73" i="98"/>
  <c r="BI73" i="98"/>
  <c r="BE73" i="98"/>
  <c r="BD73" i="98"/>
  <c r="ET73" i="98" s="1"/>
  <c r="BC73" i="98"/>
  <c r="BB73" i="98"/>
  <c r="AZ73" i="98"/>
  <c r="EP73" i="98" s="1"/>
  <c r="AY73" i="98"/>
  <c r="AX73" i="98"/>
  <c r="EN73" i="98" s="1"/>
  <c r="AV73" i="98"/>
  <c r="BH73" i="98" s="1"/>
  <c r="AU73" i="98"/>
  <c r="EK73" i="98" s="1"/>
  <c r="AT73" i="98"/>
  <c r="AF73" i="98"/>
  <c r="AR73" i="98" s="1"/>
  <c r="AE73" i="98"/>
  <c r="AQ73" i="98" s="1"/>
  <c r="AD73" i="98"/>
  <c r="AP73" i="98" s="1"/>
  <c r="AC73" i="98"/>
  <c r="AO73" i="98" s="1"/>
  <c r="X73" i="98"/>
  <c r="W73" i="98"/>
  <c r="V73" i="98"/>
  <c r="U73" i="98"/>
  <c r="P73" i="98"/>
  <c r="AN73" i="98" s="1"/>
  <c r="O73" i="98"/>
  <c r="AM73" i="98" s="1"/>
  <c r="N73" i="98"/>
  <c r="AL73" i="98" s="1"/>
  <c r="M73" i="98"/>
  <c r="AK73" i="98" s="1"/>
  <c r="EQ72" i="98"/>
  <c r="EM72" i="98"/>
  <c r="EI72" i="98"/>
  <c r="EH72" i="98"/>
  <c r="EG72" i="98"/>
  <c r="EF72" i="98"/>
  <c r="EE72" i="98"/>
  <c r="BI72" i="98"/>
  <c r="BE72" i="98"/>
  <c r="BD72" i="98"/>
  <c r="BC72" i="98"/>
  <c r="BB72" i="98"/>
  <c r="ER72" i="98" s="1"/>
  <c r="AZ72" i="98"/>
  <c r="EP72" i="98" s="1"/>
  <c r="AY72" i="98"/>
  <c r="EO72" i="98" s="1"/>
  <c r="AX72" i="98"/>
  <c r="BJ72" i="98" s="1"/>
  <c r="AV72" i="98"/>
  <c r="EL72" i="98" s="1"/>
  <c r="AU72" i="98"/>
  <c r="EK72" i="98" s="1"/>
  <c r="AT72" i="98"/>
  <c r="BF72" i="98" s="1"/>
  <c r="AF72" i="98"/>
  <c r="AR72" i="98" s="1"/>
  <c r="AE72" i="98"/>
  <c r="AQ72" i="98" s="1"/>
  <c r="AD72" i="98"/>
  <c r="AP72" i="98" s="1"/>
  <c r="X72" i="98"/>
  <c r="W72" i="98"/>
  <c r="V72" i="98"/>
  <c r="U72" i="98"/>
  <c r="P72" i="98"/>
  <c r="AN72" i="98" s="1"/>
  <c r="O72" i="98"/>
  <c r="AM72" i="98" s="1"/>
  <c r="N72" i="98"/>
  <c r="AL72" i="98" s="1"/>
  <c r="EQ71" i="98"/>
  <c r="EM71" i="98"/>
  <c r="EI71" i="98"/>
  <c r="EH71" i="98"/>
  <c r="EG71" i="98"/>
  <c r="EF71" i="98"/>
  <c r="EE71" i="98"/>
  <c r="BI71" i="98"/>
  <c r="BE71" i="98"/>
  <c r="BD71" i="98"/>
  <c r="BC71" i="98"/>
  <c r="ES71" i="98" s="1"/>
  <c r="BB71" i="98"/>
  <c r="ER71" i="98" s="1"/>
  <c r="AZ71" i="98"/>
  <c r="EP71" i="98" s="1"/>
  <c r="AY71" i="98"/>
  <c r="BK71" i="98" s="1"/>
  <c r="AX71" i="98"/>
  <c r="EN71" i="98" s="1"/>
  <c r="AV71" i="98"/>
  <c r="EL71" i="98" s="1"/>
  <c r="AU71" i="98"/>
  <c r="BG71" i="98" s="1"/>
  <c r="AT71" i="98"/>
  <c r="BF71" i="98" s="1"/>
  <c r="AF71" i="98"/>
  <c r="AR71" i="98" s="1"/>
  <c r="AE71" i="98"/>
  <c r="AQ71" i="98" s="1"/>
  <c r="AD71" i="98"/>
  <c r="AP71" i="98" s="1"/>
  <c r="X71" i="98"/>
  <c r="W71" i="98"/>
  <c r="V71" i="98"/>
  <c r="U71" i="98"/>
  <c r="P71" i="98"/>
  <c r="AN71" i="98" s="1"/>
  <c r="O71" i="98"/>
  <c r="AM71" i="98" s="1"/>
  <c r="N71" i="98"/>
  <c r="AL71" i="98" s="1"/>
  <c r="EQ70" i="98"/>
  <c r="EM70" i="98"/>
  <c r="EI70" i="98"/>
  <c r="EH70" i="98"/>
  <c r="EG70" i="98"/>
  <c r="EF70" i="98"/>
  <c r="EE70" i="98"/>
  <c r="CK70" i="98"/>
  <c r="BI70" i="98"/>
  <c r="BE70" i="98"/>
  <c r="BD70" i="98"/>
  <c r="ET70" i="98" s="1"/>
  <c r="BC70" i="98"/>
  <c r="ES70" i="98" s="1"/>
  <c r="BB70" i="98"/>
  <c r="AZ70" i="98"/>
  <c r="BL70" i="98" s="1"/>
  <c r="AY70" i="98"/>
  <c r="EO70" i="98" s="1"/>
  <c r="AX70" i="98"/>
  <c r="EN70" i="98" s="1"/>
  <c r="AV70" i="98"/>
  <c r="BH70" i="98" s="1"/>
  <c r="AU70" i="98"/>
  <c r="BG70" i="98" s="1"/>
  <c r="AT70" i="98"/>
  <c r="EJ70" i="98" s="1"/>
  <c r="AF70" i="98"/>
  <c r="AR70" i="98" s="1"/>
  <c r="AE70" i="98"/>
  <c r="AQ70" i="98" s="1"/>
  <c r="AD70" i="98"/>
  <c r="AP70" i="98" s="1"/>
  <c r="X70" i="98"/>
  <c r="W70" i="98"/>
  <c r="V70" i="98"/>
  <c r="U70" i="98"/>
  <c r="O70" i="98"/>
  <c r="AM70" i="98" s="1"/>
  <c r="P70" i="98"/>
  <c r="AN70" i="98" s="1"/>
  <c r="N70" i="98"/>
  <c r="AL70" i="98" s="1"/>
  <c r="EQ69" i="98"/>
  <c r="EM69" i="98"/>
  <c r="EI69" i="98"/>
  <c r="EH69" i="98"/>
  <c r="EG69" i="98"/>
  <c r="EF69" i="98"/>
  <c r="EE69" i="98"/>
  <c r="CK69" i="98"/>
  <c r="BI69" i="98"/>
  <c r="BE69" i="98"/>
  <c r="BD69" i="98"/>
  <c r="ET69" i="98" s="1"/>
  <c r="BC69" i="98"/>
  <c r="BB69" i="98"/>
  <c r="AZ69" i="98"/>
  <c r="EP69" i="98" s="1"/>
  <c r="AY69" i="98"/>
  <c r="EO69" i="98" s="1"/>
  <c r="AX69" i="98"/>
  <c r="EN69" i="98" s="1"/>
  <c r="AV69" i="98"/>
  <c r="BH69" i="98" s="1"/>
  <c r="AU69" i="98"/>
  <c r="AT69" i="98"/>
  <c r="AF69" i="98"/>
  <c r="AR69" i="98" s="1"/>
  <c r="AE69" i="98"/>
  <c r="AQ69" i="98" s="1"/>
  <c r="AD69" i="98"/>
  <c r="AP69" i="98" s="1"/>
  <c r="X69" i="98"/>
  <c r="W69" i="98"/>
  <c r="V69" i="98"/>
  <c r="U69" i="98"/>
  <c r="P69" i="98"/>
  <c r="AN69" i="98" s="1"/>
  <c r="O69" i="98"/>
  <c r="AM69" i="98" s="1"/>
  <c r="N69" i="98"/>
  <c r="AL69" i="98" s="1"/>
  <c r="EQ68" i="98"/>
  <c r="EM68" i="98"/>
  <c r="EI68" i="98"/>
  <c r="EH68" i="98"/>
  <c r="EG68" i="98"/>
  <c r="EF68" i="98"/>
  <c r="EE68" i="98"/>
  <c r="BI68" i="98"/>
  <c r="BE68" i="98"/>
  <c r="BD68" i="98"/>
  <c r="BC68" i="98"/>
  <c r="BB68" i="98"/>
  <c r="ER68" i="98" s="1"/>
  <c r="AZ68" i="98"/>
  <c r="EP68" i="98" s="1"/>
  <c r="AY68" i="98"/>
  <c r="EO68" i="98" s="1"/>
  <c r="AX68" i="98"/>
  <c r="BJ68" i="98" s="1"/>
  <c r="AV68" i="98"/>
  <c r="EL68" i="98" s="1"/>
  <c r="AU68" i="98"/>
  <c r="AT68" i="98"/>
  <c r="BF68" i="98" s="1"/>
  <c r="AF68" i="98"/>
  <c r="AR68" i="98" s="1"/>
  <c r="AE68" i="98"/>
  <c r="AQ68" i="98" s="1"/>
  <c r="AD68" i="98"/>
  <c r="AP68" i="98" s="1"/>
  <c r="X68" i="98"/>
  <c r="W68" i="98"/>
  <c r="V68" i="98"/>
  <c r="U68" i="98"/>
  <c r="P68" i="98"/>
  <c r="AN68" i="98" s="1"/>
  <c r="O68" i="98"/>
  <c r="AM68" i="98" s="1"/>
  <c r="N68" i="98"/>
  <c r="AL68" i="98" s="1"/>
  <c r="EQ67" i="98"/>
  <c r="EM67" i="98"/>
  <c r="EI67" i="98"/>
  <c r="EH67" i="98"/>
  <c r="EG67" i="98"/>
  <c r="EF67" i="98"/>
  <c r="EE67" i="98"/>
  <c r="BI67" i="98"/>
  <c r="BE67" i="98"/>
  <c r="BD67" i="98"/>
  <c r="BC67" i="98"/>
  <c r="ES67" i="98" s="1"/>
  <c r="BB67" i="98"/>
  <c r="ER67" i="98" s="1"/>
  <c r="AZ67" i="98"/>
  <c r="EP67" i="98" s="1"/>
  <c r="AY67" i="98"/>
  <c r="BK67" i="98" s="1"/>
  <c r="AX67" i="98"/>
  <c r="BJ67" i="98" s="1"/>
  <c r="AV67" i="98"/>
  <c r="EL67" i="98" s="1"/>
  <c r="AU67" i="98"/>
  <c r="BG67" i="98" s="1"/>
  <c r="AT67" i="98"/>
  <c r="BF67" i="98" s="1"/>
  <c r="AF67" i="98"/>
  <c r="AR67" i="98" s="1"/>
  <c r="AE67" i="98"/>
  <c r="AQ67" i="98" s="1"/>
  <c r="AD67" i="98"/>
  <c r="AP67" i="98" s="1"/>
  <c r="X67" i="98"/>
  <c r="W67" i="98"/>
  <c r="V67" i="98"/>
  <c r="U67" i="98"/>
  <c r="P67" i="98"/>
  <c r="AN67" i="98" s="1"/>
  <c r="O67" i="98"/>
  <c r="AM67" i="98" s="1"/>
  <c r="N67" i="98"/>
  <c r="AL67" i="98" s="1"/>
  <c r="EQ66" i="98"/>
  <c r="EM66" i="98"/>
  <c r="EI66" i="98"/>
  <c r="EH66" i="98"/>
  <c r="EG66" i="98"/>
  <c r="EF66" i="98"/>
  <c r="EE66" i="98"/>
  <c r="CK66" i="98"/>
  <c r="BI66" i="98"/>
  <c r="BE66" i="98"/>
  <c r="BD66" i="98"/>
  <c r="ET66" i="98" s="1"/>
  <c r="BC66" i="98"/>
  <c r="ES66" i="98" s="1"/>
  <c r="BB66" i="98"/>
  <c r="AZ66" i="98"/>
  <c r="BL66" i="98" s="1"/>
  <c r="AY66" i="98"/>
  <c r="EO66" i="98" s="1"/>
  <c r="AX66" i="98"/>
  <c r="EN66" i="98" s="1"/>
  <c r="AV66" i="98"/>
  <c r="BH66" i="98" s="1"/>
  <c r="AU66" i="98"/>
  <c r="BG66" i="98" s="1"/>
  <c r="AT66" i="98"/>
  <c r="AD66" i="98"/>
  <c r="AP66" i="98" s="1"/>
  <c r="AF66" i="98"/>
  <c r="AR66" i="98" s="1"/>
  <c r="AE66" i="98"/>
  <c r="AQ66" i="98" s="1"/>
  <c r="X66" i="98"/>
  <c r="W66" i="98"/>
  <c r="V66" i="98"/>
  <c r="U66" i="98"/>
  <c r="P66" i="98"/>
  <c r="AN66" i="98" s="1"/>
  <c r="O66" i="98"/>
  <c r="AM66" i="98" s="1"/>
  <c r="N66" i="98"/>
  <c r="AL66" i="98" s="1"/>
  <c r="EQ65" i="98"/>
  <c r="EM65" i="98"/>
  <c r="EI65" i="98"/>
  <c r="EH65" i="98"/>
  <c r="EG65" i="98"/>
  <c r="EF65" i="98"/>
  <c r="EE65" i="98"/>
  <c r="CK65" i="98"/>
  <c r="BI65" i="98"/>
  <c r="BE65" i="98"/>
  <c r="BD65" i="98"/>
  <c r="ET65" i="98" s="1"/>
  <c r="BC65" i="98"/>
  <c r="BB65" i="98"/>
  <c r="AZ65" i="98"/>
  <c r="AY65" i="98"/>
  <c r="EO65" i="98" s="1"/>
  <c r="AX65" i="98"/>
  <c r="EN65" i="98" s="1"/>
  <c r="AV65" i="98"/>
  <c r="BH65" i="98" s="1"/>
  <c r="AU65" i="98"/>
  <c r="AT65" i="98"/>
  <c r="AF65" i="98"/>
  <c r="AR65" i="98" s="1"/>
  <c r="AE65" i="98"/>
  <c r="AQ65" i="98" s="1"/>
  <c r="AD65" i="98"/>
  <c r="AP65" i="98" s="1"/>
  <c r="X65" i="98"/>
  <c r="W65" i="98"/>
  <c r="V65" i="98"/>
  <c r="U65" i="98"/>
  <c r="P65" i="98"/>
  <c r="AN65" i="98" s="1"/>
  <c r="O65" i="98"/>
  <c r="AM65" i="98" s="1"/>
  <c r="N65" i="98"/>
  <c r="AL65" i="98" s="1"/>
  <c r="EQ64" i="98"/>
  <c r="EM64" i="98"/>
  <c r="EI64" i="98"/>
  <c r="EH64" i="98"/>
  <c r="EG64" i="98"/>
  <c r="EF64" i="98"/>
  <c r="EE64" i="98"/>
  <c r="BI64" i="98"/>
  <c r="BE64" i="98"/>
  <c r="BD64" i="98"/>
  <c r="BC64" i="98"/>
  <c r="BB64" i="98"/>
  <c r="ER64" i="98" s="1"/>
  <c r="AZ64" i="98"/>
  <c r="EP64" i="98" s="1"/>
  <c r="AY64" i="98"/>
  <c r="EO64" i="98" s="1"/>
  <c r="AX64" i="98"/>
  <c r="BJ64" i="98" s="1"/>
  <c r="AV64" i="98"/>
  <c r="EL64" i="98" s="1"/>
  <c r="AU64" i="98"/>
  <c r="EK64" i="98" s="1"/>
  <c r="AT64" i="98"/>
  <c r="BF64" i="98" s="1"/>
  <c r="AF64" i="98"/>
  <c r="AR64" i="98" s="1"/>
  <c r="AE64" i="98"/>
  <c r="AQ64" i="98" s="1"/>
  <c r="AD64" i="98"/>
  <c r="AP64" i="98" s="1"/>
  <c r="X64" i="98"/>
  <c r="W64" i="98"/>
  <c r="V64" i="98"/>
  <c r="U64" i="98"/>
  <c r="P64" i="98"/>
  <c r="AN64" i="98" s="1"/>
  <c r="O64" i="98"/>
  <c r="AM64" i="98" s="1"/>
  <c r="N64" i="98"/>
  <c r="AL64" i="98" s="1"/>
  <c r="EQ63" i="98"/>
  <c r="EM63" i="98"/>
  <c r="EI63" i="98"/>
  <c r="EH63" i="98"/>
  <c r="EG63" i="98"/>
  <c r="EF63" i="98"/>
  <c r="EE63" i="98"/>
  <c r="BI63" i="98"/>
  <c r="BE63" i="98"/>
  <c r="BD63" i="98"/>
  <c r="BC63" i="98"/>
  <c r="ES63" i="98" s="1"/>
  <c r="BB63" i="98"/>
  <c r="ER63" i="98" s="1"/>
  <c r="AZ63" i="98"/>
  <c r="EP63" i="98" s="1"/>
  <c r="AY63" i="98"/>
  <c r="BK63" i="98" s="1"/>
  <c r="AX63" i="98"/>
  <c r="BJ63" i="98" s="1"/>
  <c r="AV63" i="98"/>
  <c r="EL63" i="98" s="1"/>
  <c r="AU63" i="98"/>
  <c r="BG63" i="98" s="1"/>
  <c r="AT63" i="98"/>
  <c r="BF63" i="98" s="1"/>
  <c r="AF63" i="98"/>
  <c r="AR63" i="98" s="1"/>
  <c r="AE63" i="98"/>
  <c r="AQ63" i="98" s="1"/>
  <c r="AD63" i="98"/>
  <c r="AP63" i="98" s="1"/>
  <c r="X63" i="98"/>
  <c r="W63" i="98"/>
  <c r="V63" i="98"/>
  <c r="U63" i="98"/>
  <c r="P63" i="98"/>
  <c r="AN63" i="98" s="1"/>
  <c r="O63" i="98"/>
  <c r="AM63" i="98" s="1"/>
  <c r="N63" i="98"/>
  <c r="AL63" i="98" s="1"/>
  <c r="EQ62" i="98"/>
  <c r="EM62" i="98"/>
  <c r="EI62" i="98"/>
  <c r="EH62" i="98"/>
  <c r="EG62" i="98"/>
  <c r="EF62" i="98"/>
  <c r="EE62" i="98"/>
  <c r="CK62" i="98"/>
  <c r="BI62" i="98"/>
  <c r="BE62" i="98"/>
  <c r="BD62" i="98"/>
  <c r="ET62" i="98" s="1"/>
  <c r="BC62" i="98"/>
  <c r="ES62" i="98" s="1"/>
  <c r="BB62" i="98"/>
  <c r="AZ62" i="98"/>
  <c r="BL62" i="98" s="1"/>
  <c r="AY62" i="98"/>
  <c r="EO62" i="98" s="1"/>
  <c r="AX62" i="98"/>
  <c r="EN62" i="98" s="1"/>
  <c r="AV62" i="98"/>
  <c r="BH62" i="98" s="1"/>
  <c r="AU62" i="98"/>
  <c r="BG62" i="98" s="1"/>
  <c r="AT62" i="98"/>
  <c r="EJ62" i="98" s="1"/>
  <c r="AF62" i="98"/>
  <c r="AR62" i="98" s="1"/>
  <c r="AE62" i="98"/>
  <c r="AQ62" i="98" s="1"/>
  <c r="AD62" i="98"/>
  <c r="AP62" i="98" s="1"/>
  <c r="X62" i="98"/>
  <c r="W62" i="98"/>
  <c r="V62" i="98"/>
  <c r="U62" i="98"/>
  <c r="O62" i="98"/>
  <c r="AM62" i="98" s="1"/>
  <c r="P62" i="98"/>
  <c r="AN62" i="98" s="1"/>
  <c r="N62" i="98"/>
  <c r="AL62" i="98" s="1"/>
  <c r="EQ61" i="98"/>
  <c r="EM61" i="98"/>
  <c r="EI61" i="98"/>
  <c r="EH61" i="98"/>
  <c r="EG61" i="98"/>
  <c r="EF61" i="98"/>
  <c r="EE61" i="98"/>
  <c r="CK61" i="98"/>
  <c r="BI61" i="98"/>
  <c r="BE61" i="98"/>
  <c r="BD61" i="98"/>
  <c r="ET61" i="98" s="1"/>
  <c r="BC61" i="98"/>
  <c r="BB61" i="98"/>
  <c r="AZ61" i="98"/>
  <c r="EP61" i="98" s="1"/>
  <c r="AY61" i="98"/>
  <c r="EO61" i="98" s="1"/>
  <c r="AX61" i="98"/>
  <c r="EN61" i="98" s="1"/>
  <c r="AV61" i="98"/>
  <c r="BH61" i="98" s="1"/>
  <c r="AU61" i="98"/>
  <c r="EK61" i="98" s="1"/>
  <c r="AT61" i="98"/>
  <c r="EJ61" i="98" s="1"/>
  <c r="AE61" i="98"/>
  <c r="AQ61" i="98" s="1"/>
  <c r="AF61" i="98"/>
  <c r="AR61" i="98" s="1"/>
  <c r="AD61" i="98"/>
  <c r="AP61" i="98" s="1"/>
  <c r="X61" i="98"/>
  <c r="W61" i="98"/>
  <c r="V61" i="98"/>
  <c r="U61" i="98"/>
  <c r="P61" i="98"/>
  <c r="AN61" i="98" s="1"/>
  <c r="O61" i="98"/>
  <c r="AM61" i="98" s="1"/>
  <c r="N61" i="98"/>
  <c r="AL61" i="98" s="1"/>
  <c r="EQ60" i="98"/>
  <c r="EM60" i="98"/>
  <c r="EI60" i="98"/>
  <c r="EH60" i="98"/>
  <c r="EG60" i="98"/>
  <c r="EF60" i="98"/>
  <c r="EE60" i="98"/>
  <c r="BI60" i="98"/>
  <c r="BE60" i="98"/>
  <c r="BD60" i="98"/>
  <c r="BC60" i="98"/>
  <c r="BB60" i="98"/>
  <c r="ER60" i="98" s="1"/>
  <c r="AZ60" i="98"/>
  <c r="EP60" i="98" s="1"/>
  <c r="AY60" i="98"/>
  <c r="EO60" i="98" s="1"/>
  <c r="AX60" i="98"/>
  <c r="BJ60" i="98" s="1"/>
  <c r="AV60" i="98"/>
  <c r="EL60" i="98" s="1"/>
  <c r="AU60" i="98"/>
  <c r="EK60" i="98" s="1"/>
  <c r="AT60" i="98"/>
  <c r="BF60" i="98" s="1"/>
  <c r="AF60" i="98"/>
  <c r="AR60" i="98" s="1"/>
  <c r="AE60" i="98"/>
  <c r="AQ60" i="98" s="1"/>
  <c r="AD60" i="98"/>
  <c r="AP60" i="98" s="1"/>
  <c r="X60" i="98"/>
  <c r="W60" i="98"/>
  <c r="V60" i="98"/>
  <c r="U60" i="98"/>
  <c r="P60" i="98"/>
  <c r="AN60" i="98" s="1"/>
  <c r="O60" i="98"/>
  <c r="AM60" i="98" s="1"/>
  <c r="N60" i="98"/>
  <c r="AL60" i="98" s="1"/>
  <c r="EQ59" i="98"/>
  <c r="EM59" i="98"/>
  <c r="EI59" i="98"/>
  <c r="EH59" i="98"/>
  <c r="EG59" i="98"/>
  <c r="EF59" i="98"/>
  <c r="EE59" i="98"/>
  <c r="BI59" i="98"/>
  <c r="BE59" i="98"/>
  <c r="BD59" i="98"/>
  <c r="BC59" i="98"/>
  <c r="ES59" i="98" s="1"/>
  <c r="BB59" i="98"/>
  <c r="ER59" i="98" s="1"/>
  <c r="AZ59" i="98"/>
  <c r="EP59" i="98" s="1"/>
  <c r="AY59" i="98"/>
  <c r="BK59" i="98" s="1"/>
  <c r="AX59" i="98"/>
  <c r="BJ59" i="98" s="1"/>
  <c r="AV59" i="98"/>
  <c r="EL59" i="98" s="1"/>
  <c r="AU59" i="98"/>
  <c r="BG59" i="98" s="1"/>
  <c r="AT59" i="98"/>
  <c r="BF59" i="98" s="1"/>
  <c r="AF59" i="98"/>
  <c r="AR59" i="98" s="1"/>
  <c r="AE59" i="98"/>
  <c r="AQ59" i="98" s="1"/>
  <c r="AD59" i="98"/>
  <c r="AP59" i="98" s="1"/>
  <c r="X59" i="98"/>
  <c r="W59" i="98"/>
  <c r="V59" i="98"/>
  <c r="U59" i="98"/>
  <c r="P59" i="98"/>
  <c r="AN59" i="98" s="1"/>
  <c r="O59" i="98"/>
  <c r="AM59" i="98" s="1"/>
  <c r="N59" i="98"/>
  <c r="AL59" i="98" s="1"/>
  <c r="EQ58" i="98"/>
  <c r="EM58" i="98"/>
  <c r="EI58" i="98"/>
  <c r="EH58" i="98"/>
  <c r="EG58" i="98"/>
  <c r="EF58" i="98"/>
  <c r="EE58" i="98"/>
  <c r="BI58" i="98"/>
  <c r="BE58" i="98"/>
  <c r="BD58" i="98"/>
  <c r="ET58" i="98" s="1"/>
  <c r="BC58" i="98"/>
  <c r="ES58" i="98" s="1"/>
  <c r="BB58" i="98"/>
  <c r="AZ58" i="98"/>
  <c r="BL58" i="98" s="1"/>
  <c r="AY58" i="98"/>
  <c r="BK58" i="98" s="1"/>
  <c r="AX58" i="98"/>
  <c r="EN58" i="98" s="1"/>
  <c r="AV58" i="98"/>
  <c r="BH58" i="98" s="1"/>
  <c r="AU58" i="98"/>
  <c r="BG58" i="98" s="1"/>
  <c r="AT58" i="98"/>
  <c r="EJ58" i="98" s="1"/>
  <c r="AF58" i="98"/>
  <c r="AR58" i="98" s="1"/>
  <c r="AE58" i="98"/>
  <c r="AQ58" i="98" s="1"/>
  <c r="AD58" i="98"/>
  <c r="AP58" i="98" s="1"/>
  <c r="X58" i="98"/>
  <c r="W58" i="98"/>
  <c r="V58" i="98"/>
  <c r="U58" i="98"/>
  <c r="N58" i="98"/>
  <c r="AL58" i="98" s="1"/>
  <c r="P58" i="98"/>
  <c r="AN58" i="98" s="1"/>
  <c r="O58" i="98"/>
  <c r="AM58" i="98" s="1"/>
  <c r="EQ57" i="98"/>
  <c r="EM57" i="98"/>
  <c r="EI57" i="98"/>
  <c r="EH57" i="98"/>
  <c r="EG57" i="98"/>
  <c r="EF57" i="98"/>
  <c r="EE57" i="98"/>
  <c r="CK57" i="98"/>
  <c r="BI57" i="98"/>
  <c r="BE57" i="98"/>
  <c r="BD57" i="98"/>
  <c r="ET57" i="98" s="1"/>
  <c r="BC57" i="98"/>
  <c r="BB57" i="98"/>
  <c r="AZ57" i="98"/>
  <c r="AY57" i="98"/>
  <c r="EO57" i="98" s="1"/>
  <c r="AX57" i="98"/>
  <c r="EN57" i="98" s="1"/>
  <c r="AV57" i="98"/>
  <c r="BH57" i="98" s="1"/>
  <c r="AU57" i="98"/>
  <c r="EK57" i="98" s="1"/>
  <c r="AT57" i="98"/>
  <c r="EJ57" i="98" s="1"/>
  <c r="AF57" i="98"/>
  <c r="AR57" i="98" s="1"/>
  <c r="AE57" i="98"/>
  <c r="AQ57" i="98" s="1"/>
  <c r="AD57" i="98"/>
  <c r="AP57" i="98" s="1"/>
  <c r="X57" i="98"/>
  <c r="W57" i="98"/>
  <c r="V57" i="98"/>
  <c r="U57" i="98"/>
  <c r="P57" i="98"/>
  <c r="AN57" i="98" s="1"/>
  <c r="O57" i="98"/>
  <c r="AM57" i="98" s="1"/>
  <c r="N57" i="98"/>
  <c r="AL57" i="98" s="1"/>
  <c r="EQ56" i="98"/>
  <c r="EM56" i="98"/>
  <c r="EI56" i="98"/>
  <c r="EH56" i="98"/>
  <c r="EG56" i="98"/>
  <c r="EF56" i="98"/>
  <c r="EE56" i="98"/>
  <c r="BI56" i="98"/>
  <c r="BE56" i="98"/>
  <c r="BD56" i="98"/>
  <c r="BC56" i="98"/>
  <c r="BB56" i="98"/>
  <c r="ER56" i="98" s="1"/>
  <c r="AZ56" i="98"/>
  <c r="EP56" i="98" s="1"/>
  <c r="AY56" i="98"/>
  <c r="EO56" i="98" s="1"/>
  <c r="AX56" i="98"/>
  <c r="BJ56" i="98" s="1"/>
  <c r="AV56" i="98"/>
  <c r="EL56" i="98" s="1"/>
  <c r="AU56" i="98"/>
  <c r="EK56" i="98" s="1"/>
  <c r="AT56" i="98"/>
  <c r="BF56" i="98" s="1"/>
  <c r="AF56" i="98"/>
  <c r="AR56" i="98" s="1"/>
  <c r="AE56" i="98"/>
  <c r="AQ56" i="98" s="1"/>
  <c r="AD56" i="98"/>
  <c r="AP56" i="98" s="1"/>
  <c r="X56" i="98"/>
  <c r="W56" i="98"/>
  <c r="V56" i="98"/>
  <c r="U56" i="98"/>
  <c r="P56" i="98"/>
  <c r="AN56" i="98" s="1"/>
  <c r="O56" i="98"/>
  <c r="AM56" i="98" s="1"/>
  <c r="N56" i="98"/>
  <c r="AL56" i="98" s="1"/>
  <c r="EQ55" i="98"/>
  <c r="EM55" i="98"/>
  <c r="EI55" i="98"/>
  <c r="EH55" i="98"/>
  <c r="EG55" i="98"/>
  <c r="EF55" i="98"/>
  <c r="EE55" i="98"/>
  <c r="BI55" i="98"/>
  <c r="BE55" i="98"/>
  <c r="BD55" i="98"/>
  <c r="BC55" i="98"/>
  <c r="ES55" i="98" s="1"/>
  <c r="BB55" i="98"/>
  <c r="ER55" i="98" s="1"/>
  <c r="AZ55" i="98"/>
  <c r="EP55" i="98" s="1"/>
  <c r="AY55" i="98"/>
  <c r="BK55" i="98" s="1"/>
  <c r="AX55" i="98"/>
  <c r="EN55" i="98" s="1"/>
  <c r="AV55" i="98"/>
  <c r="EL55" i="98" s="1"/>
  <c r="AU55" i="98"/>
  <c r="BG55" i="98" s="1"/>
  <c r="AT55" i="98"/>
  <c r="BF55" i="98" s="1"/>
  <c r="AF55" i="98"/>
  <c r="AR55" i="98" s="1"/>
  <c r="AE55" i="98"/>
  <c r="AQ55" i="98" s="1"/>
  <c r="AD55" i="98"/>
  <c r="AP55" i="98" s="1"/>
  <c r="X55" i="98"/>
  <c r="W55" i="98"/>
  <c r="V55" i="98"/>
  <c r="U55" i="98"/>
  <c r="P55" i="98"/>
  <c r="AN55" i="98" s="1"/>
  <c r="O55" i="98"/>
  <c r="AM55" i="98" s="1"/>
  <c r="N55" i="98"/>
  <c r="AL55" i="98" s="1"/>
  <c r="EQ54" i="98"/>
  <c r="EM54" i="98"/>
  <c r="EI54" i="98"/>
  <c r="EH54" i="98"/>
  <c r="EG54" i="98"/>
  <c r="EF54" i="98"/>
  <c r="EE54" i="98"/>
  <c r="CK54" i="98"/>
  <c r="BI54" i="98"/>
  <c r="BE54" i="98"/>
  <c r="BD54" i="98"/>
  <c r="ET54" i="98" s="1"/>
  <c r="BC54" i="98"/>
  <c r="ES54" i="98" s="1"/>
  <c r="BB54" i="98"/>
  <c r="AZ54" i="98"/>
  <c r="BL54" i="98" s="1"/>
  <c r="AY54" i="98"/>
  <c r="EO54" i="98" s="1"/>
  <c r="AX54" i="98"/>
  <c r="EN54" i="98" s="1"/>
  <c r="AV54" i="98"/>
  <c r="BH54" i="98" s="1"/>
  <c r="AU54" i="98"/>
  <c r="BG54" i="98" s="1"/>
  <c r="AT54" i="98"/>
  <c r="EJ54" i="98" s="1"/>
  <c r="AF54" i="98"/>
  <c r="AR54" i="98" s="1"/>
  <c r="AE54" i="98"/>
  <c r="AQ54" i="98" s="1"/>
  <c r="AD54" i="98"/>
  <c r="AP54" i="98" s="1"/>
  <c r="X54" i="98"/>
  <c r="W54" i="98"/>
  <c r="V54" i="98"/>
  <c r="U54" i="98"/>
  <c r="P54" i="98"/>
  <c r="AN54" i="98" s="1"/>
  <c r="O54" i="98"/>
  <c r="AM54" i="98" s="1"/>
  <c r="N54" i="98"/>
  <c r="AL54" i="98" s="1"/>
  <c r="EQ53" i="98"/>
  <c r="EM53" i="98"/>
  <c r="EI53" i="98"/>
  <c r="EH53" i="98"/>
  <c r="EG53" i="98"/>
  <c r="EF53" i="98"/>
  <c r="EE53" i="98"/>
  <c r="CK53" i="98"/>
  <c r="BI53" i="98"/>
  <c r="BE53" i="98"/>
  <c r="BD53" i="98"/>
  <c r="ET53" i="98" s="1"/>
  <c r="BC53" i="98"/>
  <c r="BB53" i="98"/>
  <c r="AZ53" i="98"/>
  <c r="BL53" i="98" s="1"/>
  <c r="AY53" i="98"/>
  <c r="EO53" i="98" s="1"/>
  <c r="AX53" i="98"/>
  <c r="EN53" i="98" s="1"/>
  <c r="AV53" i="98"/>
  <c r="BH53" i="98" s="1"/>
  <c r="AU53" i="98"/>
  <c r="EK53" i="98" s="1"/>
  <c r="AT53" i="98"/>
  <c r="EJ53" i="98" s="1"/>
  <c r="AF53" i="98"/>
  <c r="AR53" i="98" s="1"/>
  <c r="AE53" i="98"/>
  <c r="AQ53" i="98" s="1"/>
  <c r="AD53" i="98"/>
  <c r="AP53" i="98" s="1"/>
  <c r="X53" i="98"/>
  <c r="W53" i="98"/>
  <c r="V53" i="98"/>
  <c r="U53" i="98"/>
  <c r="P53" i="98"/>
  <c r="AN53" i="98" s="1"/>
  <c r="O53" i="98"/>
  <c r="AM53" i="98" s="1"/>
  <c r="N53" i="98"/>
  <c r="AL53" i="98" s="1"/>
  <c r="EQ52" i="98"/>
  <c r="EM52" i="98"/>
  <c r="EI52" i="98"/>
  <c r="EH52" i="98"/>
  <c r="EG52" i="98"/>
  <c r="EF52" i="98"/>
  <c r="EE52" i="98"/>
  <c r="BI52" i="98"/>
  <c r="BE52" i="98"/>
  <c r="BD52" i="98"/>
  <c r="BC52" i="98"/>
  <c r="BB52" i="98"/>
  <c r="ER52" i="98" s="1"/>
  <c r="AZ52" i="98"/>
  <c r="EP52" i="98" s="1"/>
  <c r="AY52" i="98"/>
  <c r="AX52" i="98"/>
  <c r="BJ52" i="98" s="1"/>
  <c r="AV52" i="98"/>
  <c r="EL52" i="98" s="1"/>
  <c r="AU52" i="98"/>
  <c r="EK52" i="98" s="1"/>
  <c r="AT52" i="98"/>
  <c r="BF52" i="98" s="1"/>
  <c r="AF52" i="98"/>
  <c r="AR52" i="98" s="1"/>
  <c r="AE52" i="98"/>
  <c r="AQ52" i="98" s="1"/>
  <c r="AD52" i="98"/>
  <c r="AP52" i="98" s="1"/>
  <c r="X52" i="98"/>
  <c r="W52" i="98"/>
  <c r="V52" i="98"/>
  <c r="U52" i="98"/>
  <c r="P52" i="98"/>
  <c r="AN52" i="98" s="1"/>
  <c r="O52" i="98"/>
  <c r="AM52" i="98" s="1"/>
  <c r="N52" i="98"/>
  <c r="AL52" i="98" s="1"/>
  <c r="EQ51" i="98"/>
  <c r="EM51" i="98"/>
  <c r="EI51" i="98"/>
  <c r="EH51" i="98"/>
  <c r="EG51" i="98"/>
  <c r="EF51" i="98"/>
  <c r="EE51" i="98"/>
  <c r="BI51" i="98"/>
  <c r="BE51" i="98"/>
  <c r="BD51" i="98"/>
  <c r="BC51" i="98"/>
  <c r="ES51" i="98" s="1"/>
  <c r="BB51" i="98"/>
  <c r="ER51" i="98" s="1"/>
  <c r="AZ51" i="98"/>
  <c r="EP51" i="98" s="1"/>
  <c r="AY51" i="98"/>
  <c r="BK51" i="98" s="1"/>
  <c r="AX51" i="98"/>
  <c r="BJ51" i="98" s="1"/>
  <c r="AV51" i="98"/>
  <c r="EL51" i="98" s="1"/>
  <c r="AU51" i="98"/>
  <c r="BG51" i="98" s="1"/>
  <c r="AT51" i="98"/>
  <c r="BF51" i="98" s="1"/>
  <c r="AF51" i="98"/>
  <c r="AR51" i="98" s="1"/>
  <c r="AE51" i="98"/>
  <c r="AQ51" i="98" s="1"/>
  <c r="AD51" i="98"/>
  <c r="AP51" i="98" s="1"/>
  <c r="X51" i="98"/>
  <c r="W51" i="98"/>
  <c r="V51" i="98"/>
  <c r="U51" i="98"/>
  <c r="P51" i="98"/>
  <c r="AN51" i="98" s="1"/>
  <c r="O51" i="98"/>
  <c r="AM51" i="98" s="1"/>
  <c r="N51" i="98"/>
  <c r="AL51" i="98" s="1"/>
  <c r="EQ50" i="98"/>
  <c r="EM50" i="98"/>
  <c r="EI50" i="98"/>
  <c r="EH50" i="98"/>
  <c r="EG50" i="98"/>
  <c r="EF50" i="98"/>
  <c r="EE50" i="98"/>
  <c r="CK50" i="98"/>
  <c r="BI50" i="98"/>
  <c r="BE50" i="98"/>
  <c r="BD50" i="98"/>
  <c r="ET50" i="98" s="1"/>
  <c r="BC50" i="98"/>
  <c r="ES50" i="98" s="1"/>
  <c r="BB50" i="98"/>
  <c r="AZ50" i="98"/>
  <c r="BL50" i="98" s="1"/>
  <c r="AY50" i="98"/>
  <c r="EO50" i="98" s="1"/>
  <c r="AX50" i="98"/>
  <c r="EN50" i="98" s="1"/>
  <c r="AV50" i="98"/>
  <c r="BH50" i="98" s="1"/>
  <c r="AU50" i="98"/>
  <c r="BG50" i="98" s="1"/>
  <c r="AT50" i="98"/>
  <c r="EJ50" i="98" s="1"/>
  <c r="AF50" i="98"/>
  <c r="AR50" i="98" s="1"/>
  <c r="AE50" i="98"/>
  <c r="AQ50" i="98" s="1"/>
  <c r="AD50" i="98"/>
  <c r="AP50" i="98" s="1"/>
  <c r="X50" i="98"/>
  <c r="W50" i="98"/>
  <c r="V50" i="98"/>
  <c r="U50" i="98"/>
  <c r="P50" i="98"/>
  <c r="AN50" i="98" s="1"/>
  <c r="O50" i="98"/>
  <c r="AM50" i="98" s="1"/>
  <c r="N50" i="98"/>
  <c r="AL50" i="98" s="1"/>
  <c r="EQ49" i="98"/>
  <c r="EM49" i="98"/>
  <c r="EI49" i="98"/>
  <c r="EH49" i="98"/>
  <c r="EF49" i="98"/>
  <c r="EE49" i="98"/>
  <c r="CK49" i="98"/>
  <c r="BI49" i="98"/>
  <c r="BE49" i="98"/>
  <c r="BD49" i="98"/>
  <c r="ET49" i="98" s="1"/>
  <c r="BC49" i="98"/>
  <c r="BB49" i="98"/>
  <c r="AZ49" i="98"/>
  <c r="BL49" i="98" s="1"/>
  <c r="AY49" i="98"/>
  <c r="EO49" i="98" s="1"/>
  <c r="AX49" i="98"/>
  <c r="EN49" i="98" s="1"/>
  <c r="AV49" i="98"/>
  <c r="BH49" i="98" s="1"/>
  <c r="AU49" i="98"/>
  <c r="EK49" i="98" s="1"/>
  <c r="AT49" i="98"/>
  <c r="EJ49" i="98" s="1"/>
  <c r="AR49" i="98"/>
  <c r="P49" i="98"/>
  <c r="AN49" i="98" s="1"/>
  <c r="O49" i="98"/>
  <c r="AM49" i="98" s="1"/>
  <c r="N49" i="98"/>
  <c r="AL49" i="98" s="1"/>
  <c r="M49" i="98"/>
  <c r="EQ48" i="98"/>
  <c r="EM48" i="98"/>
  <c r="EI48" i="98"/>
  <c r="EH48" i="98"/>
  <c r="EG48" i="98"/>
  <c r="EF48" i="98"/>
  <c r="EE48" i="98"/>
  <c r="BI48" i="98"/>
  <c r="BE48" i="98"/>
  <c r="BD48" i="98"/>
  <c r="BC48" i="98"/>
  <c r="ES48" i="98" s="1"/>
  <c r="BB48" i="98"/>
  <c r="ER48" i="98" s="1"/>
  <c r="AZ48" i="98"/>
  <c r="EP48" i="98" s="1"/>
  <c r="AY48" i="98"/>
  <c r="BK48" i="98" s="1"/>
  <c r="AX48" i="98"/>
  <c r="EN48" i="98" s="1"/>
  <c r="AV48" i="98"/>
  <c r="EL48" i="98" s="1"/>
  <c r="AU48" i="98"/>
  <c r="BG48" i="98" s="1"/>
  <c r="AT48" i="98"/>
  <c r="BF48" i="98" s="1"/>
  <c r="AF48" i="98"/>
  <c r="AR48" i="98" s="1"/>
  <c r="AE48" i="98"/>
  <c r="AQ48" i="98" s="1"/>
  <c r="AD48" i="98"/>
  <c r="AP48" i="98" s="1"/>
  <c r="X48" i="98"/>
  <c r="W48" i="98"/>
  <c r="V48" i="98"/>
  <c r="U48" i="98"/>
  <c r="P48" i="98"/>
  <c r="AN48" i="98" s="1"/>
  <c r="O48" i="98"/>
  <c r="AM48" i="98" s="1"/>
  <c r="N48" i="98"/>
  <c r="AL48" i="98" s="1"/>
  <c r="EQ47" i="98"/>
  <c r="EM47" i="98"/>
  <c r="EI47" i="98"/>
  <c r="EH47" i="98"/>
  <c r="EG47" i="98"/>
  <c r="EF47" i="98"/>
  <c r="EE47" i="98"/>
  <c r="CK47" i="98"/>
  <c r="BI47" i="98"/>
  <c r="BE47" i="98"/>
  <c r="BD47" i="98"/>
  <c r="ET47" i="98" s="1"/>
  <c r="BC47" i="98"/>
  <c r="ES47" i="98" s="1"/>
  <c r="BB47" i="98"/>
  <c r="AZ47" i="98"/>
  <c r="BL47" i="98" s="1"/>
  <c r="AY47" i="98"/>
  <c r="EO47" i="98" s="1"/>
  <c r="AX47" i="98"/>
  <c r="EN47" i="98" s="1"/>
  <c r="AV47" i="98"/>
  <c r="BH47" i="98" s="1"/>
  <c r="AU47" i="98"/>
  <c r="BG47" i="98" s="1"/>
  <c r="AT47" i="98"/>
  <c r="EJ47" i="98" s="1"/>
  <c r="AF47" i="98"/>
  <c r="AR47" i="98" s="1"/>
  <c r="AE47" i="98"/>
  <c r="AQ47" i="98" s="1"/>
  <c r="AD47" i="98"/>
  <c r="AP47" i="98" s="1"/>
  <c r="X47" i="98"/>
  <c r="W47" i="98"/>
  <c r="V47" i="98"/>
  <c r="U47" i="98"/>
  <c r="P47" i="98"/>
  <c r="AN47" i="98" s="1"/>
  <c r="O47" i="98"/>
  <c r="AM47" i="98" s="1"/>
  <c r="N47" i="98"/>
  <c r="AL47" i="98" s="1"/>
  <c r="EQ46" i="98"/>
  <c r="EM46" i="98"/>
  <c r="EI46" i="98"/>
  <c r="EH46" i="98"/>
  <c r="EE46" i="98"/>
  <c r="CK46" i="98"/>
  <c r="BI46" i="98"/>
  <c r="BE46" i="98"/>
  <c r="BD46" i="98"/>
  <c r="ET46" i="98" s="1"/>
  <c r="BC46" i="98"/>
  <c r="BB46" i="98"/>
  <c r="AZ46" i="98"/>
  <c r="EP46" i="98" s="1"/>
  <c r="AY46" i="98"/>
  <c r="EO46" i="98" s="1"/>
  <c r="AX46" i="98"/>
  <c r="EN46" i="98" s="1"/>
  <c r="AV46" i="98"/>
  <c r="BH46" i="98" s="1"/>
  <c r="AU46" i="98"/>
  <c r="AT46" i="98"/>
  <c r="EJ46" i="98" s="1"/>
  <c r="AF46" i="98"/>
  <c r="AR46" i="98" s="1"/>
  <c r="AE46" i="98"/>
  <c r="AQ46" i="98" s="1"/>
  <c r="AD46" i="98"/>
  <c r="AP46" i="98" s="1"/>
  <c r="E46" i="98"/>
  <c r="D46" i="98"/>
  <c r="EQ45" i="98"/>
  <c r="EM45" i="98"/>
  <c r="EI45" i="98"/>
  <c r="EH45" i="98"/>
  <c r="EG45" i="98"/>
  <c r="EF45" i="98"/>
  <c r="EE45" i="98"/>
  <c r="BI45" i="98"/>
  <c r="BE45" i="98"/>
  <c r="BD45" i="98"/>
  <c r="ET45" i="98" s="1"/>
  <c r="BC45" i="98"/>
  <c r="ES45" i="98" s="1"/>
  <c r="BB45" i="98"/>
  <c r="AZ45" i="98"/>
  <c r="BL45" i="98" s="1"/>
  <c r="AY45" i="98"/>
  <c r="EO45" i="98" s="1"/>
  <c r="AX45" i="98"/>
  <c r="EN45" i="98" s="1"/>
  <c r="AV45" i="98"/>
  <c r="BH45" i="98" s="1"/>
  <c r="AU45" i="98"/>
  <c r="BG45" i="98" s="1"/>
  <c r="AT45" i="98"/>
  <c r="AE45" i="98"/>
  <c r="AQ45" i="98" s="1"/>
  <c r="AF45" i="98"/>
  <c r="AR45" i="98" s="1"/>
  <c r="AD45" i="98"/>
  <c r="AP45" i="98" s="1"/>
  <c r="X45" i="98"/>
  <c r="W45" i="98"/>
  <c r="V45" i="98"/>
  <c r="U45" i="98"/>
  <c r="P45" i="98"/>
  <c r="AN45" i="98" s="1"/>
  <c r="O45" i="98"/>
  <c r="AM45" i="98" s="1"/>
  <c r="N45" i="98"/>
  <c r="AL45" i="98" s="1"/>
  <c r="EQ44" i="98"/>
  <c r="EM44" i="98"/>
  <c r="EI44" i="98"/>
  <c r="EH44" i="98"/>
  <c r="EG44" i="98"/>
  <c r="EF44" i="98"/>
  <c r="EE44" i="98"/>
  <c r="CK44" i="98"/>
  <c r="BI44" i="98"/>
  <c r="BE44" i="98"/>
  <c r="BD44" i="98"/>
  <c r="ET44" i="98" s="1"/>
  <c r="BC44" i="98"/>
  <c r="BB44" i="98"/>
  <c r="AZ44" i="98"/>
  <c r="EP44" i="98" s="1"/>
  <c r="AY44" i="98"/>
  <c r="EO44" i="98" s="1"/>
  <c r="AX44" i="98"/>
  <c r="AV44" i="98"/>
  <c r="BH44" i="98" s="1"/>
  <c r="AU44" i="98"/>
  <c r="EK44" i="98" s="1"/>
  <c r="AT44" i="98"/>
  <c r="EJ44" i="98" s="1"/>
  <c r="AF44" i="98"/>
  <c r="AR44" i="98" s="1"/>
  <c r="AE44" i="98"/>
  <c r="AQ44" i="98" s="1"/>
  <c r="AD44" i="98"/>
  <c r="AP44" i="98" s="1"/>
  <c r="X44" i="98"/>
  <c r="W44" i="98"/>
  <c r="V44" i="98"/>
  <c r="U44" i="98"/>
  <c r="P44" i="98"/>
  <c r="AN44" i="98" s="1"/>
  <c r="O44" i="98"/>
  <c r="AM44" i="98" s="1"/>
  <c r="N44" i="98"/>
  <c r="AL44" i="98" s="1"/>
  <c r="EQ43" i="98"/>
  <c r="EM43" i="98"/>
  <c r="EI43" i="98"/>
  <c r="EH43" i="98"/>
  <c r="EG43" i="98"/>
  <c r="EF43" i="98"/>
  <c r="EE43" i="98"/>
  <c r="BI43" i="98"/>
  <c r="BE43" i="98"/>
  <c r="BD43" i="98"/>
  <c r="BC43" i="98"/>
  <c r="BB43" i="98"/>
  <c r="ER43" i="98" s="1"/>
  <c r="AZ43" i="98"/>
  <c r="EP43" i="98" s="1"/>
  <c r="AY43" i="98"/>
  <c r="EO43" i="98" s="1"/>
  <c r="AX43" i="98"/>
  <c r="BJ43" i="98" s="1"/>
  <c r="AV43" i="98"/>
  <c r="EL43" i="98" s="1"/>
  <c r="AU43" i="98"/>
  <c r="EK43" i="98" s="1"/>
  <c r="AT43" i="98"/>
  <c r="BF43" i="98" s="1"/>
  <c r="AF43" i="98"/>
  <c r="AR43" i="98" s="1"/>
  <c r="AE43" i="98"/>
  <c r="AQ43" i="98" s="1"/>
  <c r="AD43" i="98"/>
  <c r="AP43" i="98" s="1"/>
  <c r="X43" i="98"/>
  <c r="W43" i="98"/>
  <c r="V43" i="98"/>
  <c r="U43" i="98"/>
  <c r="P43" i="98"/>
  <c r="AN43" i="98" s="1"/>
  <c r="O43" i="98"/>
  <c r="AM43" i="98" s="1"/>
  <c r="N43" i="98"/>
  <c r="AL43" i="98" s="1"/>
  <c r="EQ42" i="98"/>
  <c r="EM42" i="98"/>
  <c r="EI42" i="98"/>
  <c r="EH42" i="98"/>
  <c r="EG42" i="98"/>
  <c r="EF42" i="98"/>
  <c r="EE42" i="98"/>
  <c r="BI42" i="98"/>
  <c r="BE42" i="98"/>
  <c r="BD42" i="98"/>
  <c r="BC42" i="98"/>
  <c r="ES42" i="98" s="1"/>
  <c r="BB42" i="98"/>
  <c r="ER42" i="98" s="1"/>
  <c r="AZ42" i="98"/>
  <c r="EP42" i="98" s="1"/>
  <c r="AY42" i="98"/>
  <c r="BK42" i="98" s="1"/>
  <c r="AX42" i="98"/>
  <c r="BJ42" i="98" s="1"/>
  <c r="AV42" i="98"/>
  <c r="EL42" i="98" s="1"/>
  <c r="AU42" i="98"/>
  <c r="BG42" i="98" s="1"/>
  <c r="AT42" i="98"/>
  <c r="BF42" i="98" s="1"/>
  <c r="AF42" i="98"/>
  <c r="AR42" i="98" s="1"/>
  <c r="AE42" i="98"/>
  <c r="AQ42" i="98" s="1"/>
  <c r="AD42" i="98"/>
  <c r="AP42" i="98" s="1"/>
  <c r="X42" i="98"/>
  <c r="W42" i="98"/>
  <c r="V42" i="98"/>
  <c r="U42" i="98"/>
  <c r="P42" i="98"/>
  <c r="AN42" i="98" s="1"/>
  <c r="O42" i="98"/>
  <c r="AM42" i="98" s="1"/>
  <c r="N42" i="98"/>
  <c r="AL42" i="98" s="1"/>
  <c r="EQ41" i="98"/>
  <c r="EM41" i="98"/>
  <c r="EI41" i="98"/>
  <c r="EH41" i="98"/>
  <c r="EG41" i="98"/>
  <c r="EF41" i="98"/>
  <c r="EE41" i="98"/>
  <c r="BI41" i="98"/>
  <c r="BE41" i="98"/>
  <c r="BD41" i="98"/>
  <c r="ET41" i="98" s="1"/>
  <c r="BC41" i="98"/>
  <c r="ES41" i="98" s="1"/>
  <c r="BB41" i="98"/>
  <c r="AZ41" i="98"/>
  <c r="BL41" i="98" s="1"/>
  <c r="AY41" i="98"/>
  <c r="AX41" i="98"/>
  <c r="EN41" i="98" s="1"/>
  <c r="AV41" i="98"/>
  <c r="BH41" i="98" s="1"/>
  <c r="AU41" i="98"/>
  <c r="BG41" i="98" s="1"/>
  <c r="AT41" i="98"/>
  <c r="AD41" i="98"/>
  <c r="AP41" i="98" s="1"/>
  <c r="AF41" i="98"/>
  <c r="AR41" i="98" s="1"/>
  <c r="AE41" i="98"/>
  <c r="AQ41" i="98" s="1"/>
  <c r="X41" i="98"/>
  <c r="W41" i="98"/>
  <c r="V41" i="98"/>
  <c r="U41" i="98"/>
  <c r="P41" i="98"/>
  <c r="AN41" i="98" s="1"/>
  <c r="O41" i="98"/>
  <c r="AM41" i="98" s="1"/>
  <c r="N41" i="98"/>
  <c r="AL41" i="98" s="1"/>
  <c r="EP40" i="98"/>
  <c r="EM40" i="98"/>
  <c r="EH40" i="98"/>
  <c r="CK40" i="98"/>
  <c r="BI40" i="98"/>
  <c r="AZ40" i="98"/>
  <c r="BL40" i="98" s="1"/>
  <c r="AY40" i="98"/>
  <c r="EO40" i="98" s="1"/>
  <c r="AX40" i="98"/>
  <c r="EN40" i="98" s="1"/>
  <c r="AE40" i="98"/>
  <c r="AQ40" i="98" s="1"/>
  <c r="EE40" i="98"/>
  <c r="EQ39" i="98"/>
  <c r="EM39" i="98"/>
  <c r="EI39" i="98"/>
  <c r="EH39" i="98"/>
  <c r="EG39" i="98"/>
  <c r="EF39" i="98"/>
  <c r="EE39" i="98"/>
  <c r="CK39" i="98"/>
  <c r="BI39" i="98"/>
  <c r="BE39" i="98"/>
  <c r="BD39" i="98"/>
  <c r="ET39" i="98" s="1"/>
  <c r="BC39" i="98"/>
  <c r="ES39" i="98" s="1"/>
  <c r="BB39" i="98"/>
  <c r="AZ39" i="98"/>
  <c r="BL39" i="98" s="1"/>
  <c r="AY39" i="98"/>
  <c r="EO39" i="98" s="1"/>
  <c r="AX39" i="98"/>
  <c r="EN39" i="98" s="1"/>
  <c r="AV39" i="98"/>
  <c r="BH39" i="98" s="1"/>
  <c r="AU39" i="98"/>
  <c r="BG39" i="98" s="1"/>
  <c r="AT39" i="98"/>
  <c r="AF39" i="98"/>
  <c r="AR39" i="98" s="1"/>
  <c r="AE39" i="98"/>
  <c r="AQ39" i="98" s="1"/>
  <c r="AD39" i="98"/>
  <c r="AP39" i="98" s="1"/>
  <c r="X39" i="98"/>
  <c r="W39" i="98"/>
  <c r="V39" i="98"/>
  <c r="U39" i="98"/>
  <c r="P39" i="98"/>
  <c r="AN39" i="98" s="1"/>
  <c r="O39" i="98"/>
  <c r="AM39" i="98" s="1"/>
  <c r="N39" i="98"/>
  <c r="AL39" i="98" s="1"/>
  <c r="EQ38" i="98"/>
  <c r="EM38" i="98"/>
  <c r="EI38" i="98"/>
  <c r="EH38" i="98"/>
  <c r="EG38" i="98"/>
  <c r="EF38" i="98"/>
  <c r="EE38" i="98"/>
  <c r="CK38" i="98"/>
  <c r="BI38" i="98"/>
  <c r="BE38" i="98"/>
  <c r="BD38" i="98"/>
  <c r="BD499" i="98" s="1"/>
  <c r="ET499" i="98" s="1"/>
  <c r="BC38" i="98"/>
  <c r="BB38" i="98"/>
  <c r="AZ38" i="98"/>
  <c r="EP38" i="98" s="1"/>
  <c r="AY38" i="98"/>
  <c r="EO38" i="98" s="1"/>
  <c r="AX38" i="98"/>
  <c r="EN38" i="98" s="1"/>
  <c r="AV38" i="98"/>
  <c r="BH38" i="98" s="1"/>
  <c r="AU38" i="98"/>
  <c r="EK38" i="98" s="1"/>
  <c r="AT38" i="98"/>
  <c r="EJ38" i="98" s="1"/>
  <c r="AF38" i="98"/>
  <c r="AR38" i="98" s="1"/>
  <c r="AE38" i="98"/>
  <c r="AQ38" i="98" s="1"/>
  <c r="AD38" i="98"/>
  <c r="AP38" i="98" s="1"/>
  <c r="X38" i="98"/>
  <c r="W38" i="98"/>
  <c r="V38" i="98"/>
  <c r="U38" i="98"/>
  <c r="P38" i="98"/>
  <c r="AN38" i="98" s="1"/>
  <c r="O38" i="98"/>
  <c r="AM38" i="98" s="1"/>
  <c r="N38" i="98"/>
  <c r="AL38" i="98" s="1"/>
  <c r="EQ37" i="98"/>
  <c r="EM37" i="98"/>
  <c r="EI37" i="98"/>
  <c r="EH37" i="98"/>
  <c r="EG37" i="98"/>
  <c r="EF37" i="98"/>
  <c r="EE37" i="98"/>
  <c r="BI37" i="98"/>
  <c r="BE37" i="98"/>
  <c r="BD37" i="98"/>
  <c r="BC37" i="98"/>
  <c r="BB37" i="98"/>
  <c r="ER37" i="98" s="1"/>
  <c r="AZ37" i="98"/>
  <c r="EP37" i="98" s="1"/>
  <c r="AY37" i="98"/>
  <c r="EO37" i="98" s="1"/>
  <c r="AX37" i="98"/>
  <c r="BJ37" i="98" s="1"/>
  <c r="AV37" i="98"/>
  <c r="EL37" i="98" s="1"/>
  <c r="AU37" i="98"/>
  <c r="EK37" i="98" s="1"/>
  <c r="AT37" i="98"/>
  <c r="BF37" i="98" s="1"/>
  <c r="AF37" i="98"/>
  <c r="AR37" i="98" s="1"/>
  <c r="AE37" i="98"/>
  <c r="AQ37" i="98" s="1"/>
  <c r="AD37" i="98"/>
  <c r="AP37" i="98" s="1"/>
  <c r="X37" i="98"/>
  <c r="W37" i="98"/>
  <c r="V37" i="98"/>
  <c r="U37" i="98"/>
  <c r="P37" i="98"/>
  <c r="AN37" i="98" s="1"/>
  <c r="O37" i="98"/>
  <c r="AM37" i="98" s="1"/>
  <c r="N37" i="98"/>
  <c r="AL37" i="98" s="1"/>
  <c r="ES36" i="98"/>
  <c r="EQ36" i="98"/>
  <c r="EM36" i="98"/>
  <c r="EI36" i="98"/>
  <c r="EH36" i="98"/>
  <c r="EG36" i="98"/>
  <c r="EF36" i="98"/>
  <c r="EE36" i="98"/>
  <c r="BI36" i="98"/>
  <c r="BE36" i="98"/>
  <c r="BD36" i="98"/>
  <c r="BC36" i="98"/>
  <c r="BB36" i="98"/>
  <c r="ER36" i="98" s="1"/>
  <c r="AZ36" i="98"/>
  <c r="EP36" i="98" s="1"/>
  <c r="AY36" i="98"/>
  <c r="BK36" i="98" s="1"/>
  <c r="AX36" i="98"/>
  <c r="BJ36" i="98" s="1"/>
  <c r="AV36" i="98"/>
  <c r="EL36" i="98" s="1"/>
  <c r="AU36" i="98"/>
  <c r="BG36" i="98" s="1"/>
  <c r="AT36" i="98"/>
  <c r="BF36" i="98" s="1"/>
  <c r="AF36" i="98"/>
  <c r="AR36" i="98" s="1"/>
  <c r="AE36" i="98"/>
  <c r="AQ36" i="98" s="1"/>
  <c r="AD36" i="98"/>
  <c r="AP36" i="98" s="1"/>
  <c r="X36" i="98"/>
  <c r="W36" i="98"/>
  <c r="V36" i="98"/>
  <c r="U36" i="98"/>
  <c r="P36" i="98"/>
  <c r="AN36" i="98" s="1"/>
  <c r="O36" i="98"/>
  <c r="AM36" i="98" s="1"/>
  <c r="N36" i="98"/>
  <c r="AL36" i="98" s="1"/>
  <c r="EQ35" i="98"/>
  <c r="EM35" i="98"/>
  <c r="EI35" i="98"/>
  <c r="EH35" i="98"/>
  <c r="EG35" i="98"/>
  <c r="EF35" i="98"/>
  <c r="EE35" i="98"/>
  <c r="BI35" i="98"/>
  <c r="BE35" i="98"/>
  <c r="BD35" i="98"/>
  <c r="ET35" i="98" s="1"/>
  <c r="BC35" i="98"/>
  <c r="ES35" i="98" s="1"/>
  <c r="BB35" i="98"/>
  <c r="AZ35" i="98"/>
  <c r="BL35" i="98" s="1"/>
  <c r="AY35" i="98"/>
  <c r="BK35" i="98" s="1"/>
  <c r="AX35" i="98"/>
  <c r="EN35" i="98" s="1"/>
  <c r="AV35" i="98"/>
  <c r="BH35" i="98" s="1"/>
  <c r="AU35" i="98"/>
  <c r="BG35" i="98" s="1"/>
  <c r="AT35" i="98"/>
  <c r="EJ35" i="98" s="1"/>
  <c r="AF35" i="98"/>
  <c r="AR35" i="98" s="1"/>
  <c r="AE35" i="98"/>
  <c r="AQ35" i="98" s="1"/>
  <c r="AD35" i="98"/>
  <c r="AP35" i="98" s="1"/>
  <c r="X35" i="98"/>
  <c r="W35" i="98"/>
  <c r="V35" i="98"/>
  <c r="U35" i="98"/>
  <c r="O35" i="98"/>
  <c r="AM35" i="98" s="1"/>
  <c r="P35" i="98"/>
  <c r="AN35" i="98" s="1"/>
  <c r="N35" i="98"/>
  <c r="AL35" i="98" s="1"/>
  <c r="EQ34" i="98"/>
  <c r="EM34" i="98"/>
  <c r="EI34" i="98"/>
  <c r="EH34" i="98"/>
  <c r="EG34" i="98"/>
  <c r="EF34" i="98"/>
  <c r="EE34" i="98"/>
  <c r="CK34" i="98"/>
  <c r="BI34" i="98"/>
  <c r="BE34" i="98"/>
  <c r="BD34" i="98"/>
  <c r="BD495" i="98" s="1"/>
  <c r="ET495" i="98" s="1"/>
  <c r="BC34" i="98"/>
  <c r="BB34" i="98"/>
  <c r="AZ34" i="98"/>
  <c r="AY34" i="98"/>
  <c r="EO34" i="98" s="1"/>
  <c r="AX34" i="98"/>
  <c r="EN34" i="98" s="1"/>
  <c r="AV34" i="98"/>
  <c r="BH34" i="98" s="1"/>
  <c r="AU34" i="98"/>
  <c r="AT34" i="98"/>
  <c r="EJ34" i="98" s="1"/>
  <c r="AF34" i="98"/>
  <c r="AR34" i="98" s="1"/>
  <c r="AE34" i="98"/>
  <c r="AQ34" i="98" s="1"/>
  <c r="AD34" i="98"/>
  <c r="AP34" i="98" s="1"/>
  <c r="X34" i="98"/>
  <c r="W34" i="98"/>
  <c r="V34" i="98"/>
  <c r="U34" i="98"/>
  <c r="P34" i="98"/>
  <c r="AN34" i="98" s="1"/>
  <c r="O34" i="98"/>
  <c r="AM34" i="98" s="1"/>
  <c r="N34" i="98"/>
  <c r="AL34" i="98" s="1"/>
  <c r="EQ33" i="98"/>
  <c r="EM33" i="98"/>
  <c r="EI33" i="98"/>
  <c r="EH33" i="98"/>
  <c r="EG33" i="98"/>
  <c r="EF33" i="98"/>
  <c r="EE33" i="98"/>
  <c r="BI33" i="98"/>
  <c r="BE33" i="98"/>
  <c r="BD33" i="98"/>
  <c r="BC33" i="98"/>
  <c r="BB33" i="98"/>
  <c r="ER33" i="98" s="1"/>
  <c r="AZ33" i="98"/>
  <c r="EP33" i="98" s="1"/>
  <c r="AY33" i="98"/>
  <c r="EO33" i="98" s="1"/>
  <c r="AX33" i="98"/>
  <c r="BJ33" i="98" s="1"/>
  <c r="AV33" i="98"/>
  <c r="EL33" i="98" s="1"/>
  <c r="AU33" i="98"/>
  <c r="EK33" i="98" s="1"/>
  <c r="AT33" i="98"/>
  <c r="BF33" i="98" s="1"/>
  <c r="AF33" i="98"/>
  <c r="AR33" i="98" s="1"/>
  <c r="AE33" i="98"/>
  <c r="AQ33" i="98" s="1"/>
  <c r="AD33" i="98"/>
  <c r="AP33" i="98" s="1"/>
  <c r="X33" i="98"/>
  <c r="W33" i="98"/>
  <c r="V33" i="98"/>
  <c r="U33" i="98"/>
  <c r="P33" i="98"/>
  <c r="AN33" i="98" s="1"/>
  <c r="O33" i="98"/>
  <c r="AM33" i="98" s="1"/>
  <c r="N33" i="98"/>
  <c r="AL33" i="98" s="1"/>
  <c r="ER32" i="98"/>
  <c r="EQ32" i="98"/>
  <c r="EM32" i="98"/>
  <c r="EI32" i="98"/>
  <c r="EH32" i="98"/>
  <c r="EG32" i="98"/>
  <c r="EF32" i="98"/>
  <c r="EE32" i="98"/>
  <c r="CK32" i="98"/>
  <c r="BI32" i="98"/>
  <c r="BE32" i="98"/>
  <c r="BD32" i="98"/>
  <c r="BC32" i="98"/>
  <c r="ES32" i="98" s="1"/>
  <c r="BB32" i="98"/>
  <c r="AZ32" i="98"/>
  <c r="EP32" i="98" s="1"/>
  <c r="AY32" i="98"/>
  <c r="BK32" i="98" s="1"/>
  <c r="AX32" i="98"/>
  <c r="EN32" i="98" s="1"/>
  <c r="AV32" i="98"/>
  <c r="EL32" i="98" s="1"/>
  <c r="AU32" i="98"/>
  <c r="BG32" i="98" s="1"/>
  <c r="AT32" i="98"/>
  <c r="BF32" i="98" s="1"/>
  <c r="AF32" i="98"/>
  <c r="AR32" i="98" s="1"/>
  <c r="AE32" i="98"/>
  <c r="AQ32" i="98" s="1"/>
  <c r="AD32" i="98"/>
  <c r="AP32" i="98" s="1"/>
  <c r="X32" i="98"/>
  <c r="W32" i="98"/>
  <c r="V32" i="98"/>
  <c r="U32" i="98"/>
  <c r="P32" i="98"/>
  <c r="AN32" i="98" s="1"/>
  <c r="O32" i="98"/>
  <c r="AM32" i="98" s="1"/>
  <c r="N32" i="98"/>
  <c r="AL32" i="98" s="1"/>
  <c r="EQ31" i="98"/>
  <c r="EM31" i="98"/>
  <c r="EI31" i="98"/>
  <c r="EH31" i="98"/>
  <c r="EG31" i="98"/>
  <c r="EF31" i="98"/>
  <c r="EE31" i="98"/>
  <c r="BI31" i="98"/>
  <c r="BE31" i="98"/>
  <c r="BD31" i="98"/>
  <c r="ET31" i="98" s="1"/>
  <c r="BC31" i="98"/>
  <c r="BB31" i="98"/>
  <c r="AZ31" i="98"/>
  <c r="BL31" i="98" s="1"/>
  <c r="AY31" i="98"/>
  <c r="EO31" i="98" s="1"/>
  <c r="AX31" i="98"/>
  <c r="EN31" i="98" s="1"/>
  <c r="AV31" i="98"/>
  <c r="BH31" i="98" s="1"/>
  <c r="AU31" i="98"/>
  <c r="BG31" i="98" s="1"/>
  <c r="AT31" i="98"/>
  <c r="EJ31" i="98" s="1"/>
  <c r="AD31" i="98"/>
  <c r="AP31" i="98" s="1"/>
  <c r="AF31" i="98"/>
  <c r="AR31" i="98" s="1"/>
  <c r="AE31" i="98"/>
  <c r="AQ31" i="98" s="1"/>
  <c r="X31" i="98"/>
  <c r="W31" i="98"/>
  <c r="V31" i="98"/>
  <c r="U31" i="98"/>
  <c r="P31" i="98"/>
  <c r="AN31" i="98" s="1"/>
  <c r="O31" i="98"/>
  <c r="AM31" i="98" s="1"/>
  <c r="N31" i="98"/>
  <c r="AL31" i="98" s="1"/>
  <c r="EM30" i="98"/>
  <c r="EF30" i="98"/>
  <c r="EE30" i="98"/>
  <c r="CK30" i="98"/>
  <c r="BI30" i="98"/>
  <c r="BD30" i="98"/>
  <c r="ET30" i="98" s="1"/>
  <c r="BB30" i="98"/>
  <c r="ER30" i="98" s="1"/>
  <c r="BC30" i="98"/>
  <c r="ES30" i="98" s="1"/>
  <c r="AZ30" i="98"/>
  <c r="BL30" i="98" s="1"/>
  <c r="AY30" i="98"/>
  <c r="AX30" i="98"/>
  <c r="EN30" i="98" s="1"/>
  <c r="AF30" i="98"/>
  <c r="AR30" i="98" s="1"/>
  <c r="EQ29" i="98"/>
  <c r="EM29" i="98"/>
  <c r="EI29" i="98"/>
  <c r="EH29" i="98"/>
  <c r="EG29" i="98"/>
  <c r="EF29" i="98"/>
  <c r="EE29" i="98"/>
  <c r="CJ29" i="98"/>
  <c r="BI29" i="98"/>
  <c r="BE29" i="98"/>
  <c r="BD29" i="98"/>
  <c r="ET29" i="98" s="1"/>
  <c r="BC29" i="98"/>
  <c r="ES29" i="98" s="1"/>
  <c r="BB29" i="98"/>
  <c r="ER29" i="98" s="1"/>
  <c r="AZ29" i="98"/>
  <c r="BL29" i="98" s="1"/>
  <c r="AY29" i="98"/>
  <c r="EO29" i="98" s="1"/>
  <c r="AX29" i="98"/>
  <c r="EN29" i="98" s="1"/>
  <c r="AV29" i="98"/>
  <c r="BH29" i="98" s="1"/>
  <c r="AU29" i="98"/>
  <c r="BG29" i="98" s="1"/>
  <c r="AT29" i="98"/>
  <c r="EJ29" i="98" s="1"/>
  <c r="AF29" i="98"/>
  <c r="AR29" i="98" s="1"/>
  <c r="AE29" i="98"/>
  <c r="AQ29" i="98" s="1"/>
  <c r="AD29" i="98"/>
  <c r="AP29" i="98" s="1"/>
  <c r="X29" i="98"/>
  <c r="W29" i="98"/>
  <c r="V29" i="98"/>
  <c r="U29" i="98"/>
  <c r="N29" i="98"/>
  <c r="AL29" i="98" s="1"/>
  <c r="P29" i="98"/>
  <c r="AN29" i="98" s="1"/>
  <c r="O29" i="98"/>
  <c r="AM29" i="98" s="1"/>
  <c r="EQ28" i="98"/>
  <c r="EM28" i="98"/>
  <c r="EI28" i="98"/>
  <c r="EH28" i="98"/>
  <c r="EG28" i="98"/>
  <c r="EF28" i="98"/>
  <c r="EE28" i="98"/>
  <c r="CJ28" i="98"/>
  <c r="CK28" i="98" s="1"/>
  <c r="BI28" i="98"/>
  <c r="BE28" i="98"/>
  <c r="BD28" i="98"/>
  <c r="BC28" i="98"/>
  <c r="BB28" i="98"/>
  <c r="ER28" i="98" s="1"/>
  <c r="AZ28" i="98"/>
  <c r="EP28" i="98" s="1"/>
  <c r="AY28" i="98"/>
  <c r="EO28" i="98" s="1"/>
  <c r="AX28" i="98"/>
  <c r="BJ28" i="98" s="1"/>
  <c r="AV28" i="98"/>
  <c r="BH28" i="98" s="1"/>
  <c r="AU28" i="98"/>
  <c r="EK28" i="98" s="1"/>
  <c r="AT28" i="98"/>
  <c r="BF28" i="98" s="1"/>
  <c r="AF28" i="98"/>
  <c r="AR28" i="98" s="1"/>
  <c r="AE28" i="98"/>
  <c r="AQ28" i="98" s="1"/>
  <c r="AD28" i="98"/>
  <c r="AP28" i="98" s="1"/>
  <c r="X28" i="98"/>
  <c r="W28" i="98"/>
  <c r="V28" i="98"/>
  <c r="U28" i="98"/>
  <c r="P28" i="98"/>
  <c r="AN28" i="98" s="1"/>
  <c r="O28" i="98"/>
  <c r="AM28" i="98" s="1"/>
  <c r="N28" i="98"/>
  <c r="AL28" i="98" s="1"/>
  <c r="EQ27" i="98"/>
  <c r="EM27" i="98"/>
  <c r="EI27" i="98"/>
  <c r="EH27" i="98"/>
  <c r="EG27" i="98"/>
  <c r="EF27" i="98"/>
  <c r="EE27" i="98"/>
  <c r="CK27" i="98"/>
  <c r="BI27" i="98"/>
  <c r="BE27" i="98"/>
  <c r="BD27" i="98"/>
  <c r="BC27" i="98"/>
  <c r="ES27" i="98" s="1"/>
  <c r="BB27" i="98"/>
  <c r="AZ27" i="98"/>
  <c r="EP27" i="98" s="1"/>
  <c r="AY27" i="98"/>
  <c r="BK27" i="98" s="1"/>
  <c r="AX27" i="98"/>
  <c r="EN27" i="98" s="1"/>
  <c r="AV27" i="98"/>
  <c r="EL27" i="98" s="1"/>
  <c r="AU27" i="98"/>
  <c r="BG27" i="98" s="1"/>
  <c r="AT27" i="98"/>
  <c r="AR27" i="98"/>
  <c r="X27" i="98"/>
  <c r="W27" i="98"/>
  <c r="V27" i="98"/>
  <c r="U27" i="98"/>
  <c r="P27" i="98"/>
  <c r="AN27" i="98" s="1"/>
  <c r="O27" i="98"/>
  <c r="AM27" i="98" s="1"/>
  <c r="N27" i="98"/>
  <c r="AL27" i="98" s="1"/>
  <c r="M27" i="98"/>
  <c r="EQ26" i="98"/>
  <c r="EM26" i="98"/>
  <c r="EI26" i="98"/>
  <c r="EH26" i="98"/>
  <c r="EG26" i="98"/>
  <c r="EF26" i="98"/>
  <c r="EE26" i="98"/>
  <c r="BI26" i="98"/>
  <c r="BE26" i="98"/>
  <c r="BD26" i="98"/>
  <c r="ET26" i="98" s="1"/>
  <c r="BC26" i="98"/>
  <c r="BB26" i="98"/>
  <c r="AZ26" i="98"/>
  <c r="BL26" i="98" s="1"/>
  <c r="AY26" i="98"/>
  <c r="EO26" i="98" s="1"/>
  <c r="AX26" i="98"/>
  <c r="EN26" i="98" s="1"/>
  <c r="AV26" i="98"/>
  <c r="BH26" i="98" s="1"/>
  <c r="AU26" i="98"/>
  <c r="EK26" i="98" s="1"/>
  <c r="AT26" i="98"/>
  <c r="EJ26" i="98" s="1"/>
  <c r="AF26" i="98"/>
  <c r="AR26" i="98" s="1"/>
  <c r="AE26" i="98"/>
  <c r="AQ26" i="98" s="1"/>
  <c r="AD26" i="98"/>
  <c r="AP26" i="98" s="1"/>
  <c r="X26" i="98"/>
  <c r="W26" i="98"/>
  <c r="V26" i="98"/>
  <c r="U26" i="98"/>
  <c r="P26" i="98"/>
  <c r="AN26" i="98" s="1"/>
  <c r="O26" i="98"/>
  <c r="AM26" i="98" s="1"/>
  <c r="N26" i="98"/>
  <c r="AL26" i="98" s="1"/>
  <c r="EQ25" i="98"/>
  <c r="EM25" i="98"/>
  <c r="EI25" i="98"/>
  <c r="EH25" i="98"/>
  <c r="EG25" i="98"/>
  <c r="EF25" i="98"/>
  <c r="EE25" i="98"/>
  <c r="CK25" i="98"/>
  <c r="BI25" i="98"/>
  <c r="BE25" i="98"/>
  <c r="BD25" i="98"/>
  <c r="ET25" i="98" s="1"/>
  <c r="BC25" i="98"/>
  <c r="BB25" i="98"/>
  <c r="AZ25" i="98"/>
  <c r="EP25" i="98" s="1"/>
  <c r="AY25" i="98"/>
  <c r="EO25" i="98" s="1"/>
  <c r="AX25" i="98"/>
  <c r="BJ25" i="98" s="1"/>
  <c r="AV25" i="98"/>
  <c r="EL25" i="98" s="1"/>
  <c r="AU25" i="98"/>
  <c r="EK25" i="98" s="1"/>
  <c r="AT25" i="98"/>
  <c r="BF25" i="98" s="1"/>
  <c r="AF25" i="98"/>
  <c r="AR25" i="98" s="1"/>
  <c r="AE25" i="98"/>
  <c r="AQ25" i="98" s="1"/>
  <c r="AD25" i="98"/>
  <c r="AP25" i="98" s="1"/>
  <c r="X25" i="98"/>
  <c r="W25" i="98"/>
  <c r="V25" i="98"/>
  <c r="U25" i="98"/>
  <c r="P25" i="98"/>
  <c r="AN25" i="98" s="1"/>
  <c r="O25" i="98"/>
  <c r="AM25" i="98" s="1"/>
  <c r="N25" i="98"/>
  <c r="AL25" i="98" s="1"/>
  <c r="EQ24" i="98"/>
  <c r="EM24" i="98"/>
  <c r="EH24" i="98"/>
  <c r="EG24" i="98"/>
  <c r="EF24" i="98"/>
  <c r="EE24" i="98"/>
  <c r="BI24" i="98"/>
  <c r="BD24" i="98"/>
  <c r="BC24" i="98"/>
  <c r="ES24" i="98" s="1"/>
  <c r="BB24" i="98"/>
  <c r="ER24" i="98" s="1"/>
  <c r="AZ24" i="98"/>
  <c r="EP24" i="98" s="1"/>
  <c r="AY24" i="98"/>
  <c r="EO24" i="98" s="1"/>
  <c r="AX24" i="98"/>
  <c r="BJ24" i="98" s="1"/>
  <c r="AS24" i="98"/>
  <c r="AU24" i="98" s="1"/>
  <c r="EK24" i="98" s="1"/>
  <c r="AF24" i="98"/>
  <c r="AR24" i="98" s="1"/>
  <c r="AE24" i="98"/>
  <c r="AQ24" i="98" s="1"/>
  <c r="AD24" i="98"/>
  <c r="AP24" i="98" s="1"/>
  <c r="X24" i="98"/>
  <c r="W24" i="98"/>
  <c r="V24" i="98"/>
  <c r="U24" i="98"/>
  <c r="P24" i="98"/>
  <c r="AN24" i="98" s="1"/>
  <c r="O24" i="98"/>
  <c r="AM24" i="98" s="1"/>
  <c r="N24" i="98"/>
  <c r="AL24" i="98" s="1"/>
  <c r="EM23" i="98"/>
  <c r="BI23" i="98"/>
  <c r="BD23" i="98"/>
  <c r="ET23" i="98" s="1"/>
  <c r="AZ23" i="98"/>
  <c r="BL23" i="98" s="1"/>
  <c r="AY23" i="98"/>
  <c r="EO23" i="98" s="1"/>
  <c r="AX23" i="98"/>
  <c r="EN23" i="98" s="1"/>
  <c r="AU23" i="98"/>
  <c r="BG23" i="98" s="1"/>
  <c r="E267" i="98"/>
  <c r="C267" i="98"/>
  <c r="EE267" i="98" s="1"/>
  <c r="EM22" i="98"/>
  <c r="CK22" i="98"/>
  <c r="BI22" i="98"/>
  <c r="BD22" i="98"/>
  <c r="ET22" i="98" s="1"/>
  <c r="BB22" i="98"/>
  <c r="ER22" i="98" s="1"/>
  <c r="AZ22" i="98"/>
  <c r="EP22" i="98" s="1"/>
  <c r="AY22" i="98"/>
  <c r="BK22" i="98" s="1"/>
  <c r="AX22" i="98"/>
  <c r="BJ22" i="98" s="1"/>
  <c r="P22" i="98"/>
  <c r="AN22" i="98" s="1"/>
  <c r="V22" i="98"/>
  <c r="N22" i="98"/>
  <c r="AL22" i="98" s="1"/>
  <c r="EE22" i="98"/>
  <c r="EM21" i="98"/>
  <c r="BI21" i="98"/>
  <c r="BD21" i="98"/>
  <c r="EQ21" i="98"/>
  <c r="AZ21" i="98"/>
  <c r="EP21" i="98" s="1"/>
  <c r="AY21" i="98"/>
  <c r="EO21" i="98" s="1"/>
  <c r="AX21" i="98"/>
  <c r="AF21" i="98"/>
  <c r="AR21" i="98" s="1"/>
  <c r="C265" i="98"/>
  <c r="EE265" i="98" s="1"/>
  <c r="EM20" i="98"/>
  <c r="CK20" i="98"/>
  <c r="BI20" i="98"/>
  <c r="BD20" i="98"/>
  <c r="BD264" i="98" s="1"/>
  <c r="ET264" i="98" s="1"/>
  <c r="BB20" i="98"/>
  <c r="BB264" i="98" s="1"/>
  <c r="ER264" i="98" s="1"/>
  <c r="BA264" i="98"/>
  <c r="EQ264" i="98" s="1"/>
  <c r="AZ20" i="98"/>
  <c r="BL20" i="98" s="1"/>
  <c r="AY20" i="98"/>
  <c r="EO20" i="98" s="1"/>
  <c r="AX20" i="98"/>
  <c r="AU20" i="98"/>
  <c r="V20" i="98"/>
  <c r="F264" i="98"/>
  <c r="C264" i="98"/>
  <c r="EE264" i="98" s="1"/>
  <c r="EQ19" i="98"/>
  <c r="EM19" i="98"/>
  <c r="EI19" i="98"/>
  <c r="EH19" i="98"/>
  <c r="EG19" i="98"/>
  <c r="EF19" i="98"/>
  <c r="EE19" i="98"/>
  <c r="CK19" i="98"/>
  <c r="BI19" i="98"/>
  <c r="BE19" i="98"/>
  <c r="BD19" i="98"/>
  <c r="ET19" i="98" s="1"/>
  <c r="BC19" i="98"/>
  <c r="ES19" i="98" s="1"/>
  <c r="BB19" i="98"/>
  <c r="AZ19" i="98"/>
  <c r="BL19" i="98" s="1"/>
  <c r="AY19" i="98"/>
  <c r="EO19" i="98" s="1"/>
  <c r="AX19" i="98"/>
  <c r="EN19" i="98" s="1"/>
  <c r="AV19" i="98"/>
  <c r="BH19" i="98" s="1"/>
  <c r="AU19" i="98"/>
  <c r="AT19" i="98"/>
  <c r="EJ19" i="98" s="1"/>
  <c r="AF19" i="98"/>
  <c r="AR19" i="98" s="1"/>
  <c r="AE19" i="98"/>
  <c r="AQ19" i="98" s="1"/>
  <c r="AD19" i="98"/>
  <c r="AP19" i="98" s="1"/>
  <c r="X19" i="98"/>
  <c r="W19" i="98"/>
  <c r="V19" i="98"/>
  <c r="U19" i="98"/>
  <c r="P19" i="98"/>
  <c r="AN19" i="98" s="1"/>
  <c r="O19" i="98"/>
  <c r="AM19" i="98" s="1"/>
  <c r="N19" i="98"/>
  <c r="AL19" i="98" s="1"/>
  <c r="EQ18" i="98"/>
  <c r="EM18" i="98"/>
  <c r="EI18" i="98"/>
  <c r="EH18" i="98"/>
  <c r="EG18" i="98"/>
  <c r="EF18" i="98"/>
  <c r="EE18" i="98"/>
  <c r="CK18" i="98"/>
  <c r="BI18" i="98"/>
  <c r="BE18" i="98"/>
  <c r="BD18" i="98"/>
  <c r="BC18" i="98"/>
  <c r="BB18" i="98"/>
  <c r="AZ18" i="98"/>
  <c r="AY18" i="98"/>
  <c r="EO18" i="98" s="1"/>
  <c r="AX18" i="98"/>
  <c r="EN18" i="98" s="1"/>
  <c r="AV18" i="98"/>
  <c r="EL18" i="98" s="1"/>
  <c r="AU18" i="98"/>
  <c r="AT18" i="98"/>
  <c r="EJ18" i="98" s="1"/>
  <c r="AF18" i="98"/>
  <c r="AR18" i="98" s="1"/>
  <c r="AE18" i="98"/>
  <c r="AQ18" i="98" s="1"/>
  <c r="AD18" i="98"/>
  <c r="AP18" i="98" s="1"/>
  <c r="X18" i="98"/>
  <c r="W18" i="98"/>
  <c r="V18" i="98"/>
  <c r="U18" i="98"/>
  <c r="P18" i="98"/>
  <c r="AN18" i="98" s="1"/>
  <c r="O18" i="98"/>
  <c r="AM18" i="98" s="1"/>
  <c r="N18" i="98"/>
  <c r="AL18" i="98" s="1"/>
  <c r="EQ17" i="98"/>
  <c r="EM17" i="98"/>
  <c r="EI17" i="98"/>
  <c r="EH17" i="98"/>
  <c r="EG17" i="98"/>
  <c r="EF17" i="98"/>
  <c r="EE17" i="98"/>
  <c r="BI17" i="98"/>
  <c r="BE17" i="98"/>
  <c r="BD17" i="98"/>
  <c r="BC17" i="98"/>
  <c r="BB17" i="98"/>
  <c r="ER17" i="98" s="1"/>
  <c r="AZ17" i="98"/>
  <c r="EP17" i="98" s="1"/>
  <c r="AY17" i="98"/>
  <c r="EO17" i="98" s="1"/>
  <c r="AX17" i="98"/>
  <c r="BJ17" i="98" s="1"/>
  <c r="AV17" i="98"/>
  <c r="EL17" i="98" s="1"/>
  <c r="AU17" i="98"/>
  <c r="BG17" i="98" s="1"/>
  <c r="AT17" i="98"/>
  <c r="BF17" i="98" s="1"/>
  <c r="AF17" i="98"/>
  <c r="AR17" i="98" s="1"/>
  <c r="AE17" i="98"/>
  <c r="AQ17" i="98" s="1"/>
  <c r="AD17" i="98"/>
  <c r="AP17" i="98" s="1"/>
  <c r="X17" i="98"/>
  <c r="W17" i="98"/>
  <c r="V17" i="98"/>
  <c r="U17" i="98"/>
  <c r="P17" i="98"/>
  <c r="AN17" i="98" s="1"/>
  <c r="O17" i="98"/>
  <c r="AM17" i="98" s="1"/>
  <c r="N17" i="98"/>
  <c r="AL17" i="98" s="1"/>
  <c r="EM16" i="98"/>
  <c r="CK16" i="98"/>
  <c r="BI16" i="98"/>
  <c r="BD16" i="98"/>
  <c r="ET16" i="98" s="1"/>
  <c r="AZ16" i="98"/>
  <c r="EP16" i="98" s="1"/>
  <c r="AY16" i="98"/>
  <c r="BK16" i="98" s="1"/>
  <c r="AX16" i="98"/>
  <c r="BJ16" i="98" s="1"/>
  <c r="AV16" i="98"/>
  <c r="W16" i="98"/>
  <c r="U16" i="98"/>
  <c r="V16" i="98"/>
  <c r="EE16" i="98"/>
  <c r="EQ15" i="98"/>
  <c r="EM15" i="98"/>
  <c r="EH15" i="98"/>
  <c r="EG15" i="98"/>
  <c r="EF15" i="98"/>
  <c r="EE15" i="98"/>
  <c r="BI15" i="98"/>
  <c r="BD15" i="98"/>
  <c r="BC15" i="98"/>
  <c r="BB15" i="98"/>
  <c r="ER15" i="98" s="1"/>
  <c r="AZ15" i="98"/>
  <c r="EP15" i="98" s="1"/>
  <c r="AY15" i="98"/>
  <c r="EO15" i="98" s="1"/>
  <c r="AX15" i="98"/>
  <c r="BJ15" i="98" s="1"/>
  <c r="AS15" i="98"/>
  <c r="AU15" i="98" s="1"/>
  <c r="EK15" i="98" s="1"/>
  <c r="AF15" i="98"/>
  <c r="AR15" i="98" s="1"/>
  <c r="AE15" i="98"/>
  <c r="AQ15" i="98" s="1"/>
  <c r="AD15" i="98"/>
  <c r="AP15" i="98" s="1"/>
  <c r="X15" i="98"/>
  <c r="W15" i="98"/>
  <c r="V15" i="98"/>
  <c r="U15" i="98"/>
  <c r="P15" i="98"/>
  <c r="AN15" i="98" s="1"/>
  <c r="O15" i="98"/>
  <c r="AM15" i="98" s="1"/>
  <c r="N15" i="98"/>
  <c r="AL15" i="98" s="1"/>
  <c r="EQ14" i="98"/>
  <c r="EM14" i="98"/>
  <c r="EH14" i="98"/>
  <c r="EG14" i="98"/>
  <c r="EF14" i="98"/>
  <c r="EE14" i="98"/>
  <c r="CK14" i="98"/>
  <c r="BI14" i="98"/>
  <c r="BD14" i="98"/>
  <c r="ET14" i="98" s="1"/>
  <c r="BC14" i="98"/>
  <c r="ES14" i="98" s="1"/>
  <c r="BB14" i="98"/>
  <c r="AZ14" i="98"/>
  <c r="BL14" i="98" s="1"/>
  <c r="AY14" i="98"/>
  <c r="EO14" i="98" s="1"/>
  <c r="AX14" i="98"/>
  <c r="AS14" i="98"/>
  <c r="AV14" i="98" s="1"/>
  <c r="AF14" i="98"/>
  <c r="AR14" i="98" s="1"/>
  <c r="AE14" i="98"/>
  <c r="AQ14" i="98" s="1"/>
  <c r="AD14" i="98"/>
  <c r="AP14" i="98" s="1"/>
  <c r="X14" i="98"/>
  <c r="W14" i="98"/>
  <c r="V14" i="98"/>
  <c r="U14" i="98"/>
  <c r="O14" i="98"/>
  <c r="AM14" i="98" s="1"/>
  <c r="P14" i="98"/>
  <c r="AN14" i="98" s="1"/>
  <c r="N14" i="98"/>
  <c r="AL14" i="98" s="1"/>
  <c r="EQ13" i="98"/>
  <c r="EM13" i="98"/>
  <c r="EH13" i="98"/>
  <c r="EG13" i="98"/>
  <c r="EF13" i="98"/>
  <c r="EE13" i="98"/>
  <c r="BI13" i="98"/>
  <c r="BD13" i="98"/>
  <c r="BC13" i="98"/>
  <c r="BB13" i="98"/>
  <c r="ER13" i="98" s="1"/>
  <c r="AZ13" i="98"/>
  <c r="EP13" i="98" s="1"/>
  <c r="AY13" i="98"/>
  <c r="EO13" i="98" s="1"/>
  <c r="AX13" i="98"/>
  <c r="BJ13" i="98" s="1"/>
  <c r="AS13" i="98"/>
  <c r="AU13" i="98" s="1"/>
  <c r="EK13" i="98" s="1"/>
  <c r="AF13" i="98"/>
  <c r="AR13" i="98" s="1"/>
  <c r="AE13" i="98"/>
  <c r="AQ13" i="98" s="1"/>
  <c r="AD13" i="98"/>
  <c r="AP13" i="98" s="1"/>
  <c r="X13" i="98"/>
  <c r="W13" i="98"/>
  <c r="V13" i="98"/>
  <c r="U13" i="98"/>
  <c r="P13" i="98"/>
  <c r="AN13" i="98" s="1"/>
  <c r="O13" i="98"/>
  <c r="AM13" i="98" s="1"/>
  <c r="N13" i="98"/>
  <c r="AL13" i="98" s="1"/>
  <c r="EQ12" i="98"/>
  <c r="EM12" i="98"/>
  <c r="EH12" i="98"/>
  <c r="EG12" i="98"/>
  <c r="EF12" i="98"/>
  <c r="EE12" i="98"/>
  <c r="CK12" i="98"/>
  <c r="BI12" i="98"/>
  <c r="BD12" i="98"/>
  <c r="ET12" i="98" s="1"/>
  <c r="BC12" i="98"/>
  <c r="ES12" i="98" s="1"/>
  <c r="BB12" i="98"/>
  <c r="AZ12" i="98"/>
  <c r="BL12" i="98" s="1"/>
  <c r="AY12" i="98"/>
  <c r="EO12" i="98" s="1"/>
  <c r="AX12" i="98"/>
  <c r="EN12" i="98" s="1"/>
  <c r="AS12" i="98"/>
  <c r="AV12" i="98" s="1"/>
  <c r="AF12" i="98"/>
  <c r="AR12" i="98" s="1"/>
  <c r="AE12" i="98"/>
  <c r="AQ12" i="98" s="1"/>
  <c r="AD12" i="98"/>
  <c r="AP12" i="98" s="1"/>
  <c r="X12" i="98"/>
  <c r="W12" i="98"/>
  <c r="V12" i="98"/>
  <c r="U12" i="98"/>
  <c r="P12" i="98"/>
  <c r="AN12" i="98" s="1"/>
  <c r="O12" i="98"/>
  <c r="AM12" i="98" s="1"/>
  <c r="N12" i="98"/>
  <c r="AL12" i="98" s="1"/>
  <c r="EQ11" i="98"/>
  <c r="EM11" i="98"/>
  <c r="EH11" i="98"/>
  <c r="EG11" i="98"/>
  <c r="EF11" i="98"/>
  <c r="EE11" i="98"/>
  <c r="BI11" i="98"/>
  <c r="BD11" i="98"/>
  <c r="BC11" i="98"/>
  <c r="BB11" i="98"/>
  <c r="BB472" i="98" s="1"/>
  <c r="ER472" i="98" s="1"/>
  <c r="AZ11" i="98"/>
  <c r="EP11" i="98" s="1"/>
  <c r="AY11" i="98"/>
  <c r="EO11" i="98" s="1"/>
  <c r="AX11" i="98"/>
  <c r="BJ11" i="98" s="1"/>
  <c r="AS11" i="98"/>
  <c r="AU11" i="98" s="1"/>
  <c r="EK11" i="98" s="1"/>
  <c r="AF11" i="98"/>
  <c r="AR11" i="98" s="1"/>
  <c r="AE11" i="98"/>
  <c r="AQ11" i="98" s="1"/>
  <c r="AD11" i="98"/>
  <c r="AP11" i="98" s="1"/>
  <c r="X11" i="98"/>
  <c r="W11" i="98"/>
  <c r="V11" i="98"/>
  <c r="U11" i="98"/>
  <c r="P11" i="98"/>
  <c r="AN11" i="98" s="1"/>
  <c r="O11" i="98"/>
  <c r="AM11" i="98" s="1"/>
  <c r="N11" i="98"/>
  <c r="AL11" i="98" s="1"/>
  <c r="EQ10" i="98"/>
  <c r="EM10" i="98"/>
  <c r="EH10" i="98"/>
  <c r="EG10" i="98"/>
  <c r="EF10" i="98"/>
  <c r="EE10" i="98"/>
  <c r="CK10" i="98"/>
  <c r="BI10" i="98"/>
  <c r="BD10" i="98"/>
  <c r="ET10" i="98" s="1"/>
  <c r="BC10" i="98"/>
  <c r="ES10" i="98" s="1"/>
  <c r="BB10" i="98"/>
  <c r="AZ10" i="98"/>
  <c r="BL10" i="98" s="1"/>
  <c r="AY10" i="98"/>
  <c r="BK10" i="98" s="1"/>
  <c r="AX10" i="98"/>
  <c r="EN10" i="98" s="1"/>
  <c r="AS10" i="98"/>
  <c r="AV10" i="98" s="1"/>
  <c r="AF10" i="98"/>
  <c r="AR10" i="98" s="1"/>
  <c r="AE10" i="98"/>
  <c r="AQ10" i="98" s="1"/>
  <c r="AD10" i="98"/>
  <c r="AP10" i="98" s="1"/>
  <c r="X10" i="98"/>
  <c r="W10" i="98"/>
  <c r="V10" i="98"/>
  <c r="U10" i="98"/>
  <c r="O10" i="98"/>
  <c r="AM10" i="98" s="1"/>
  <c r="P10" i="98"/>
  <c r="AN10" i="98" s="1"/>
  <c r="N10" i="98"/>
  <c r="AL10" i="98" s="1"/>
  <c r="EQ9" i="98"/>
  <c r="EM9" i="98"/>
  <c r="EH9" i="98"/>
  <c r="EG9" i="98"/>
  <c r="EF9" i="98"/>
  <c r="EE9" i="98"/>
  <c r="BI9" i="98"/>
  <c r="BD9" i="98"/>
  <c r="BC9" i="98"/>
  <c r="BB9" i="98"/>
  <c r="ER9" i="98" s="1"/>
  <c r="AZ9" i="98"/>
  <c r="AY9" i="98"/>
  <c r="EO9" i="98" s="1"/>
  <c r="AX9" i="98"/>
  <c r="BJ9" i="98" s="1"/>
  <c r="AS9" i="98"/>
  <c r="AU9" i="98" s="1"/>
  <c r="EK9" i="98" s="1"/>
  <c r="AF9" i="98"/>
  <c r="AR9" i="98" s="1"/>
  <c r="AE9" i="98"/>
  <c r="AQ9" i="98" s="1"/>
  <c r="AD9" i="98"/>
  <c r="AP9" i="98" s="1"/>
  <c r="X9" i="98"/>
  <c r="W9" i="98"/>
  <c r="V9" i="98"/>
  <c r="U9" i="98"/>
  <c r="P9" i="98"/>
  <c r="AN9" i="98" s="1"/>
  <c r="O9" i="98"/>
  <c r="AM9" i="98" s="1"/>
  <c r="N9" i="98"/>
  <c r="AL9" i="98" s="1"/>
  <c r="EQ8" i="98"/>
  <c r="EM8" i="98"/>
  <c r="EH8" i="98"/>
  <c r="EG8" i="98"/>
  <c r="EF8" i="98"/>
  <c r="EE8" i="98"/>
  <c r="CK8" i="98"/>
  <c r="BJ8" i="98"/>
  <c r="BI8" i="98"/>
  <c r="BD8" i="98"/>
  <c r="ET8" i="98" s="1"/>
  <c r="BC8" i="98"/>
  <c r="ES8" i="98" s="1"/>
  <c r="BB8" i="98"/>
  <c r="AZ8" i="98"/>
  <c r="BL8" i="98" s="1"/>
  <c r="AY8" i="98"/>
  <c r="BK8" i="98" s="1"/>
  <c r="AX8" i="98"/>
  <c r="EN8" i="98" s="1"/>
  <c r="AS8" i="98"/>
  <c r="EI8" i="98" s="1"/>
  <c r="AF8" i="98"/>
  <c r="AR8" i="98" s="1"/>
  <c r="AE8" i="98"/>
  <c r="AQ8" i="98" s="1"/>
  <c r="AD8" i="98"/>
  <c r="AP8" i="98" s="1"/>
  <c r="X8" i="98"/>
  <c r="W8" i="98"/>
  <c r="V8" i="98"/>
  <c r="U8" i="98"/>
  <c r="P8" i="98"/>
  <c r="AN8" i="98" s="1"/>
  <c r="O8" i="98"/>
  <c r="AM8" i="98" s="1"/>
  <c r="N8" i="98"/>
  <c r="AL8" i="98" s="1"/>
  <c r="EQ7" i="98"/>
  <c r="EM7" i="98"/>
  <c r="EH7" i="98"/>
  <c r="EG7" i="98"/>
  <c r="EF7" i="98"/>
  <c r="EE7" i="98"/>
  <c r="BI7" i="98"/>
  <c r="BD7" i="98"/>
  <c r="BC7" i="98"/>
  <c r="BB7" i="98"/>
  <c r="BB468" i="98" s="1"/>
  <c r="ER468" i="98" s="1"/>
  <c r="AZ7" i="98"/>
  <c r="EP7" i="98" s="1"/>
  <c r="AY7" i="98"/>
  <c r="EO7" i="98" s="1"/>
  <c r="AX7" i="98"/>
  <c r="BJ7" i="98" s="1"/>
  <c r="AS7" i="98"/>
  <c r="AU7" i="98" s="1"/>
  <c r="EK7" i="98" s="1"/>
  <c r="AF7" i="98"/>
  <c r="AR7" i="98" s="1"/>
  <c r="AE7" i="98"/>
  <c r="AQ7" i="98" s="1"/>
  <c r="AD7" i="98"/>
  <c r="AP7" i="98" s="1"/>
  <c r="X7" i="98"/>
  <c r="W7" i="98"/>
  <c r="V7" i="98"/>
  <c r="U7" i="98"/>
  <c r="P7" i="98"/>
  <c r="AN7" i="98" s="1"/>
  <c r="O7" i="98"/>
  <c r="AM7" i="98" s="1"/>
  <c r="N7" i="98"/>
  <c r="AL7" i="98" s="1"/>
  <c r="EM6" i="98"/>
  <c r="CK6" i="98"/>
  <c r="BI6" i="98"/>
  <c r="BC6" i="98"/>
  <c r="BC250" i="98" s="1"/>
  <c r="ES250" i="98" s="1"/>
  <c r="BB6" i="98"/>
  <c r="BD6" i="98"/>
  <c r="BD250" i="98" s="1"/>
  <c r="ET250" i="98" s="1"/>
  <c r="AZ6" i="98"/>
  <c r="BL6" i="98" s="1"/>
  <c r="AY6" i="98"/>
  <c r="BK6" i="98" s="1"/>
  <c r="AX6" i="98"/>
  <c r="EN6" i="98" s="1"/>
  <c r="AU6" i="98"/>
  <c r="EK6" i="98" s="1"/>
  <c r="EG6" i="98"/>
  <c r="C250" i="98"/>
  <c r="EE250" i="98" s="1"/>
  <c r="D84" i="97"/>
  <c r="C84" i="97"/>
  <c r="D83" i="97"/>
  <c r="C83" i="97"/>
  <c r="C65" i="97"/>
  <c r="B41" i="97" s="1"/>
  <c r="D41" i="97"/>
  <c r="F84" i="97" s="1"/>
  <c r="D40" i="97"/>
  <c r="F83" i="97" s="1"/>
  <c r="C21" i="97"/>
  <c r="C6" i="97"/>
  <c r="I72" i="96"/>
  <c r="H72" i="96"/>
  <c r="C7" i="96" s="1"/>
  <c r="F71" i="96"/>
  <c r="E71" i="96"/>
  <c r="F70" i="96"/>
  <c r="E70" i="96"/>
  <c r="F69" i="96"/>
  <c r="E69" i="96"/>
  <c r="D58" i="96"/>
  <c r="D62" i="96" s="1"/>
  <c r="C70" i="96" s="1"/>
  <c r="C16" i="96"/>
  <c r="C8" i="96"/>
  <c r="C5" i="96"/>
  <c r="I72" i="95"/>
  <c r="H72" i="95"/>
  <c r="C7" i="95" s="1"/>
  <c r="F71" i="95"/>
  <c r="E71" i="95"/>
  <c r="F70" i="95"/>
  <c r="E70" i="95"/>
  <c r="F69" i="95"/>
  <c r="E69" i="95"/>
  <c r="D58" i="95"/>
  <c r="D62" i="95" s="1"/>
  <c r="C70" i="95" s="1"/>
  <c r="C16" i="95"/>
  <c r="C8" i="95"/>
  <c r="C5" i="95"/>
  <c r="O128" i="94"/>
  <c r="O127" i="94"/>
  <c r="P120" i="94"/>
  <c r="O120" i="94"/>
  <c r="N120" i="94"/>
  <c r="M120" i="94"/>
  <c r="L120" i="94"/>
  <c r="K120" i="94"/>
  <c r="J120" i="94"/>
  <c r="I120" i="94"/>
  <c r="H120" i="94"/>
  <c r="G120" i="94"/>
  <c r="D120" i="94"/>
  <c r="P119" i="94"/>
  <c r="O119" i="94"/>
  <c r="N119" i="94"/>
  <c r="M119" i="94"/>
  <c r="L119" i="94"/>
  <c r="K119" i="94"/>
  <c r="J119" i="94"/>
  <c r="I119" i="94"/>
  <c r="H119" i="94"/>
  <c r="G119" i="94"/>
  <c r="D119" i="94"/>
  <c r="P118" i="94"/>
  <c r="O118" i="94"/>
  <c r="N118" i="94"/>
  <c r="M118" i="94"/>
  <c r="L118" i="94"/>
  <c r="K118" i="94"/>
  <c r="J118" i="94"/>
  <c r="I118" i="94"/>
  <c r="H118" i="94"/>
  <c r="G118" i="94"/>
  <c r="D118" i="94"/>
  <c r="P117" i="94"/>
  <c r="O117" i="94"/>
  <c r="N117" i="94"/>
  <c r="M117" i="94"/>
  <c r="L117" i="94"/>
  <c r="K117" i="94"/>
  <c r="J117" i="94"/>
  <c r="I117" i="94"/>
  <c r="H117" i="94"/>
  <c r="G117" i="94"/>
  <c r="D117" i="94"/>
  <c r="P116" i="94"/>
  <c r="O116" i="94"/>
  <c r="N116" i="94"/>
  <c r="M116" i="94"/>
  <c r="L116" i="94"/>
  <c r="K116" i="94"/>
  <c r="J116" i="94"/>
  <c r="I116" i="94"/>
  <c r="H116" i="94"/>
  <c r="G116" i="94"/>
  <c r="D116" i="94"/>
  <c r="P115" i="94"/>
  <c r="O115" i="94"/>
  <c r="N115" i="94"/>
  <c r="M115" i="94"/>
  <c r="L115" i="94"/>
  <c r="K115" i="94"/>
  <c r="J115" i="94"/>
  <c r="I115" i="94"/>
  <c r="H115" i="94"/>
  <c r="G115" i="94"/>
  <c r="D115" i="94"/>
  <c r="P114" i="94"/>
  <c r="O114" i="94"/>
  <c r="N114" i="94"/>
  <c r="M114" i="94"/>
  <c r="L114" i="94"/>
  <c r="K114" i="94"/>
  <c r="J114" i="94"/>
  <c r="I114" i="94"/>
  <c r="H114" i="94"/>
  <c r="G114" i="94"/>
  <c r="D114" i="94"/>
  <c r="P113" i="94"/>
  <c r="O113" i="94"/>
  <c r="N113" i="94"/>
  <c r="M113" i="94"/>
  <c r="L113" i="94"/>
  <c r="K113" i="94"/>
  <c r="J113" i="94"/>
  <c r="I113" i="94"/>
  <c r="H113" i="94"/>
  <c r="G113" i="94"/>
  <c r="D113" i="94"/>
  <c r="E105" i="94"/>
  <c r="E104" i="94"/>
  <c r="E103" i="94"/>
  <c r="E118" i="94" s="1"/>
  <c r="E102" i="94"/>
  <c r="E101" i="94"/>
  <c r="E116" i="94" s="1"/>
  <c r="E100" i="94"/>
  <c r="E99" i="94"/>
  <c r="E114" i="94" s="1"/>
  <c r="E98" i="94"/>
  <c r="F18" i="94"/>
  <c r="C18" i="94"/>
  <c r="O111" i="93"/>
  <c r="N111" i="93"/>
  <c r="M111" i="93"/>
  <c r="L111" i="93"/>
  <c r="K111" i="93"/>
  <c r="J111" i="93"/>
  <c r="I111" i="93"/>
  <c r="H111" i="93"/>
  <c r="G111" i="93"/>
  <c r="D111" i="93"/>
  <c r="O110" i="93"/>
  <c r="N110" i="93"/>
  <c r="M110" i="93"/>
  <c r="L110" i="93"/>
  <c r="K110" i="93"/>
  <c r="J110" i="93"/>
  <c r="I110" i="93"/>
  <c r="H110" i="93"/>
  <c r="G110" i="93"/>
  <c r="D110" i="93"/>
  <c r="O109" i="93"/>
  <c r="N109" i="93"/>
  <c r="M109" i="93"/>
  <c r="L109" i="93"/>
  <c r="K109" i="93"/>
  <c r="J109" i="93"/>
  <c r="I109" i="93"/>
  <c r="H109" i="93"/>
  <c r="G109" i="93"/>
  <c r="D109" i="93"/>
  <c r="O108" i="93"/>
  <c r="N108" i="93"/>
  <c r="M108" i="93"/>
  <c r="L108" i="93"/>
  <c r="K108" i="93"/>
  <c r="J108" i="93"/>
  <c r="I108" i="93"/>
  <c r="H108" i="93"/>
  <c r="G108" i="93"/>
  <c r="D108" i="93"/>
  <c r="O107" i="93"/>
  <c r="N107" i="93"/>
  <c r="M107" i="93"/>
  <c r="L107" i="93"/>
  <c r="K107" i="93"/>
  <c r="J107" i="93"/>
  <c r="I107" i="93"/>
  <c r="H107" i="93"/>
  <c r="G107" i="93"/>
  <c r="D107" i="93"/>
  <c r="O106" i="93"/>
  <c r="N106" i="93"/>
  <c r="M106" i="93"/>
  <c r="L106" i="93"/>
  <c r="K106" i="93"/>
  <c r="J106" i="93"/>
  <c r="I106" i="93"/>
  <c r="H106" i="93"/>
  <c r="G106" i="93"/>
  <c r="D106" i="93"/>
  <c r="O105" i="93"/>
  <c r="N105" i="93"/>
  <c r="M105" i="93"/>
  <c r="L105" i="93"/>
  <c r="K105" i="93"/>
  <c r="J105" i="93"/>
  <c r="I105" i="93"/>
  <c r="H105" i="93"/>
  <c r="G105" i="93"/>
  <c r="D105" i="93"/>
  <c r="O104" i="93"/>
  <c r="N104" i="93"/>
  <c r="M104" i="93"/>
  <c r="L104" i="93"/>
  <c r="K104" i="93"/>
  <c r="J104" i="93"/>
  <c r="I104" i="93"/>
  <c r="H104" i="93"/>
  <c r="G104" i="93"/>
  <c r="D104" i="93"/>
  <c r="E96" i="93"/>
  <c r="E95" i="93"/>
  <c r="E94" i="93"/>
  <c r="E93" i="93"/>
  <c r="E92" i="93"/>
  <c r="E91" i="93"/>
  <c r="E90" i="93"/>
  <c r="E89" i="93"/>
  <c r="F15" i="93"/>
  <c r="O111" i="92"/>
  <c r="N111" i="92"/>
  <c r="M111" i="92"/>
  <c r="L111" i="92"/>
  <c r="K111" i="92"/>
  <c r="J111" i="92"/>
  <c r="I111" i="92"/>
  <c r="H111" i="92"/>
  <c r="G111" i="92"/>
  <c r="D111" i="92"/>
  <c r="O110" i="92"/>
  <c r="N110" i="92"/>
  <c r="M110" i="92"/>
  <c r="L110" i="92"/>
  <c r="K110" i="92"/>
  <c r="J110" i="92"/>
  <c r="I110" i="92"/>
  <c r="G110" i="92"/>
  <c r="D110" i="92"/>
  <c r="O109" i="92"/>
  <c r="N109" i="92"/>
  <c r="M109" i="92"/>
  <c r="L109" i="92"/>
  <c r="K109" i="92"/>
  <c r="J109" i="92"/>
  <c r="I109" i="92"/>
  <c r="G109" i="92"/>
  <c r="D109" i="92"/>
  <c r="O108" i="92"/>
  <c r="N108" i="92"/>
  <c r="M108" i="92"/>
  <c r="L108" i="92"/>
  <c r="K108" i="92"/>
  <c r="J108" i="92"/>
  <c r="I108" i="92"/>
  <c r="G108" i="92"/>
  <c r="D108" i="92"/>
  <c r="O107" i="92"/>
  <c r="N107" i="92"/>
  <c r="M107" i="92"/>
  <c r="L107" i="92"/>
  <c r="K107" i="92"/>
  <c r="J107" i="92"/>
  <c r="I107" i="92"/>
  <c r="G107" i="92"/>
  <c r="D107" i="92"/>
  <c r="O106" i="92"/>
  <c r="N106" i="92"/>
  <c r="M106" i="92"/>
  <c r="L106" i="92"/>
  <c r="K106" i="92"/>
  <c r="J106" i="92"/>
  <c r="I106" i="92"/>
  <c r="G106" i="92"/>
  <c r="D106" i="92"/>
  <c r="O105" i="92"/>
  <c r="N105" i="92"/>
  <c r="M105" i="92"/>
  <c r="L105" i="92"/>
  <c r="K105" i="92"/>
  <c r="J105" i="92"/>
  <c r="I105" i="92"/>
  <c r="G105" i="92"/>
  <c r="D105" i="92"/>
  <c r="O104" i="92"/>
  <c r="N104" i="92"/>
  <c r="M104" i="92"/>
  <c r="L104" i="92"/>
  <c r="K104" i="92"/>
  <c r="J104" i="92"/>
  <c r="I104" i="92"/>
  <c r="H104" i="92"/>
  <c r="G104" i="92"/>
  <c r="D104" i="92"/>
  <c r="E96" i="92"/>
  <c r="E95" i="92"/>
  <c r="E94" i="92"/>
  <c r="E93" i="92"/>
  <c r="E92" i="92"/>
  <c r="E91" i="92"/>
  <c r="E90" i="92"/>
  <c r="E89" i="92"/>
  <c r="D72" i="92"/>
  <c r="D73" i="92" s="1"/>
  <c r="F15" i="92"/>
  <c r="D92" i="91"/>
  <c r="C92" i="91"/>
  <c r="D91" i="91"/>
  <c r="C91" i="91"/>
  <c r="L86" i="91"/>
  <c r="J86" i="91"/>
  <c r="I86" i="91"/>
  <c r="H86" i="91"/>
  <c r="G86" i="91"/>
  <c r="E86" i="91"/>
  <c r="D86" i="91"/>
  <c r="L85" i="91"/>
  <c r="J85" i="91"/>
  <c r="I85" i="91"/>
  <c r="H85" i="91"/>
  <c r="G85" i="91"/>
  <c r="E85" i="91"/>
  <c r="D85" i="91"/>
  <c r="L84" i="91"/>
  <c r="J84" i="91"/>
  <c r="I84" i="91"/>
  <c r="H84" i="91"/>
  <c r="G84" i="91"/>
  <c r="E84" i="91"/>
  <c r="D84" i="91"/>
  <c r="F84" i="91" s="1"/>
  <c r="L83" i="91"/>
  <c r="J83" i="91"/>
  <c r="I83" i="91"/>
  <c r="H83" i="91"/>
  <c r="G83" i="91"/>
  <c r="E83" i="91"/>
  <c r="D83" i="91"/>
  <c r="W82" i="91"/>
  <c r="L82" i="91"/>
  <c r="J82" i="91"/>
  <c r="I82" i="91"/>
  <c r="H82" i="91"/>
  <c r="G82" i="91"/>
  <c r="E82" i="91"/>
  <c r="D82" i="91"/>
  <c r="E72" i="91"/>
  <c r="F5" i="91" s="1"/>
  <c r="F71" i="91"/>
  <c r="F70" i="91"/>
  <c r="F69" i="91"/>
  <c r="F68" i="91"/>
  <c r="F67" i="91"/>
  <c r="C63" i="91"/>
  <c r="F15" i="91"/>
  <c r="I5" i="91"/>
  <c r="D92" i="90"/>
  <c r="C92" i="90"/>
  <c r="D91" i="90"/>
  <c r="C91" i="90"/>
  <c r="L86" i="90"/>
  <c r="J86" i="90"/>
  <c r="I86" i="90"/>
  <c r="H86" i="90"/>
  <c r="G86" i="90"/>
  <c r="E86" i="90"/>
  <c r="D86" i="90"/>
  <c r="L85" i="90"/>
  <c r="J85" i="90"/>
  <c r="I85" i="90"/>
  <c r="H85" i="90"/>
  <c r="G85" i="90"/>
  <c r="E85" i="90"/>
  <c r="D85" i="90"/>
  <c r="L84" i="90"/>
  <c r="J84" i="90"/>
  <c r="I84" i="90"/>
  <c r="H84" i="90"/>
  <c r="G84" i="90"/>
  <c r="E84" i="90"/>
  <c r="D84" i="90"/>
  <c r="L83" i="90"/>
  <c r="J83" i="90"/>
  <c r="I83" i="90"/>
  <c r="H83" i="90"/>
  <c r="G83" i="90"/>
  <c r="E83" i="90"/>
  <c r="D83" i="90"/>
  <c r="W82" i="90"/>
  <c r="L82" i="90"/>
  <c r="J82" i="90"/>
  <c r="I82" i="90"/>
  <c r="H82" i="90"/>
  <c r="G82" i="90"/>
  <c r="E82" i="90"/>
  <c r="D82" i="90"/>
  <c r="F82" i="90" s="1"/>
  <c r="E72" i="90"/>
  <c r="F71" i="90"/>
  <c r="F70" i="90"/>
  <c r="F69" i="90"/>
  <c r="F68" i="90"/>
  <c r="F67" i="90"/>
  <c r="C63" i="90"/>
  <c r="F15" i="90"/>
  <c r="F5" i="90"/>
  <c r="H205" i="89"/>
  <c r="G205" i="89"/>
  <c r="E205" i="89"/>
  <c r="C205" i="89"/>
  <c r="H204" i="89"/>
  <c r="G204" i="89"/>
  <c r="E204" i="89"/>
  <c r="C204" i="89"/>
  <c r="H203" i="89"/>
  <c r="G203" i="89"/>
  <c r="E203" i="89"/>
  <c r="C203" i="89"/>
  <c r="H202" i="89"/>
  <c r="G202" i="89"/>
  <c r="E202" i="89"/>
  <c r="C202" i="89"/>
  <c r="H201" i="89"/>
  <c r="G201" i="89"/>
  <c r="E201" i="89"/>
  <c r="C201" i="89"/>
  <c r="H200" i="89"/>
  <c r="G200" i="89"/>
  <c r="E200" i="89"/>
  <c r="C200" i="89"/>
  <c r="H199" i="89"/>
  <c r="G199" i="89"/>
  <c r="E199" i="89"/>
  <c r="C199" i="89"/>
  <c r="H198" i="89"/>
  <c r="G198" i="89"/>
  <c r="E198" i="89"/>
  <c r="C198" i="89"/>
  <c r="H197" i="89"/>
  <c r="G197" i="89"/>
  <c r="E197" i="89"/>
  <c r="C197" i="89"/>
  <c r="H196" i="89"/>
  <c r="G196" i="89"/>
  <c r="E196" i="89"/>
  <c r="C196" i="89"/>
  <c r="H195" i="89"/>
  <c r="G195" i="89"/>
  <c r="E195" i="89"/>
  <c r="C195" i="89"/>
  <c r="H194" i="89"/>
  <c r="G194" i="89"/>
  <c r="E194" i="89"/>
  <c r="C194" i="89"/>
  <c r="H193" i="89"/>
  <c r="G193" i="89"/>
  <c r="E193" i="89"/>
  <c r="C193" i="89"/>
  <c r="H192" i="89"/>
  <c r="G192" i="89"/>
  <c r="E192" i="89"/>
  <c r="C192" i="89"/>
  <c r="H191" i="89"/>
  <c r="G191" i="89"/>
  <c r="E191" i="89"/>
  <c r="C191" i="89"/>
  <c r="H190" i="89"/>
  <c r="G190" i="89"/>
  <c r="E190" i="89"/>
  <c r="C190" i="89"/>
  <c r="H189" i="89"/>
  <c r="G189" i="89"/>
  <c r="E189" i="89"/>
  <c r="C189" i="89"/>
  <c r="H188" i="89"/>
  <c r="G188" i="89"/>
  <c r="E188" i="89"/>
  <c r="C188" i="89"/>
  <c r="H187" i="89"/>
  <c r="G187" i="89"/>
  <c r="E187" i="89"/>
  <c r="C187" i="89"/>
  <c r="H186" i="89"/>
  <c r="G186" i="89"/>
  <c r="E186" i="89"/>
  <c r="C186" i="89"/>
  <c r="H185" i="89"/>
  <c r="G185" i="89"/>
  <c r="E185" i="89"/>
  <c r="C185" i="89"/>
  <c r="H184" i="89"/>
  <c r="G184" i="89"/>
  <c r="E184" i="89"/>
  <c r="C184" i="89"/>
  <c r="H183" i="89"/>
  <c r="G183" i="89"/>
  <c r="E183" i="89"/>
  <c r="C183" i="89"/>
  <c r="H182" i="89"/>
  <c r="G182" i="89"/>
  <c r="E182" i="89"/>
  <c r="C182" i="89"/>
  <c r="H181" i="89"/>
  <c r="G181" i="89"/>
  <c r="E181" i="89"/>
  <c r="C181" i="89"/>
  <c r="H180" i="89"/>
  <c r="G180" i="89"/>
  <c r="E180" i="89"/>
  <c r="C180" i="89"/>
  <c r="H179" i="89"/>
  <c r="G179" i="89"/>
  <c r="E179" i="89"/>
  <c r="C179" i="89"/>
  <c r="H178" i="89"/>
  <c r="G178" i="89"/>
  <c r="E178" i="89"/>
  <c r="C178" i="89"/>
  <c r="H177" i="89"/>
  <c r="G177" i="89"/>
  <c r="E177" i="89"/>
  <c r="C177" i="89"/>
  <c r="H176" i="89"/>
  <c r="G176" i="89"/>
  <c r="E176" i="89"/>
  <c r="C176" i="89"/>
  <c r="H175" i="89"/>
  <c r="G175" i="89"/>
  <c r="E175" i="89"/>
  <c r="C175" i="89"/>
  <c r="H174" i="89"/>
  <c r="G174" i="89"/>
  <c r="E174" i="89"/>
  <c r="C174" i="89"/>
  <c r="H173" i="89"/>
  <c r="G173" i="89"/>
  <c r="E173" i="89"/>
  <c r="C173" i="89"/>
  <c r="H172" i="89"/>
  <c r="G172" i="89"/>
  <c r="E172" i="89"/>
  <c r="C172" i="89"/>
  <c r="H171" i="89"/>
  <c r="G171" i="89"/>
  <c r="E171" i="89"/>
  <c r="C171" i="89"/>
  <c r="H170" i="89"/>
  <c r="G170" i="89"/>
  <c r="E170" i="89"/>
  <c r="C170" i="89"/>
  <c r="H169" i="89"/>
  <c r="G169" i="89"/>
  <c r="E169" i="89"/>
  <c r="C169" i="89"/>
  <c r="H168" i="89"/>
  <c r="G168" i="89"/>
  <c r="E168" i="89"/>
  <c r="C168" i="89"/>
  <c r="H167" i="89"/>
  <c r="G167" i="89"/>
  <c r="E167" i="89"/>
  <c r="C167" i="89"/>
  <c r="H166" i="89"/>
  <c r="G166" i="89"/>
  <c r="E166" i="89"/>
  <c r="C166" i="89"/>
  <c r="H165" i="89"/>
  <c r="G165" i="89"/>
  <c r="E165" i="89"/>
  <c r="C165" i="89"/>
  <c r="H164" i="89"/>
  <c r="G164" i="89"/>
  <c r="E164" i="89"/>
  <c r="C164" i="89"/>
  <c r="H163" i="89"/>
  <c r="G163" i="89"/>
  <c r="E163" i="89"/>
  <c r="C163" i="89"/>
  <c r="H162" i="89"/>
  <c r="G162" i="89"/>
  <c r="E162" i="89"/>
  <c r="C162" i="89"/>
  <c r="H161" i="89"/>
  <c r="G161" i="89"/>
  <c r="E161" i="89"/>
  <c r="C161" i="89"/>
  <c r="H160" i="89"/>
  <c r="G160" i="89"/>
  <c r="E160" i="89"/>
  <c r="C160" i="89"/>
  <c r="H159" i="89"/>
  <c r="G159" i="89"/>
  <c r="E159" i="89"/>
  <c r="C159" i="89"/>
  <c r="H158" i="89"/>
  <c r="G158" i="89"/>
  <c r="E158" i="89"/>
  <c r="C158" i="89"/>
  <c r="H157" i="89"/>
  <c r="G157" i="89"/>
  <c r="E157" i="89"/>
  <c r="C157" i="89"/>
  <c r="H156" i="89"/>
  <c r="G156" i="89"/>
  <c r="E156" i="89"/>
  <c r="C156" i="89"/>
  <c r="H155" i="89"/>
  <c r="G155" i="89"/>
  <c r="E155" i="89"/>
  <c r="C155" i="89"/>
  <c r="H154" i="89"/>
  <c r="G154" i="89"/>
  <c r="E154" i="89"/>
  <c r="C154" i="89"/>
  <c r="H153" i="89"/>
  <c r="G153" i="89"/>
  <c r="E153" i="89"/>
  <c r="C153" i="89"/>
  <c r="H152" i="89"/>
  <c r="G152" i="89"/>
  <c r="E152" i="89"/>
  <c r="C152" i="89"/>
  <c r="H151" i="89"/>
  <c r="G151" i="89"/>
  <c r="E151" i="89"/>
  <c r="C151" i="89"/>
  <c r="H150" i="89"/>
  <c r="G150" i="89"/>
  <c r="E150" i="89"/>
  <c r="C150" i="89"/>
  <c r="H149" i="89"/>
  <c r="G149" i="89"/>
  <c r="E149" i="89"/>
  <c r="C149" i="89"/>
  <c r="H148" i="89"/>
  <c r="G148" i="89"/>
  <c r="E148" i="89"/>
  <c r="C148" i="89"/>
  <c r="H147" i="89"/>
  <c r="G147" i="89"/>
  <c r="E147" i="89"/>
  <c r="C147" i="89"/>
  <c r="H146" i="89"/>
  <c r="G146" i="89"/>
  <c r="E146" i="89"/>
  <c r="C146" i="89"/>
  <c r="H145" i="89"/>
  <c r="G145" i="89"/>
  <c r="E145" i="89"/>
  <c r="C145" i="89"/>
  <c r="H144" i="89"/>
  <c r="G144" i="89"/>
  <c r="E144" i="89"/>
  <c r="C144" i="89"/>
  <c r="H143" i="89"/>
  <c r="G143" i="89"/>
  <c r="E143" i="89"/>
  <c r="C143" i="89"/>
  <c r="H142" i="89"/>
  <c r="G142" i="89"/>
  <c r="E142" i="89"/>
  <c r="C142" i="89"/>
  <c r="H141" i="89"/>
  <c r="G141" i="89"/>
  <c r="E141" i="89"/>
  <c r="C141" i="89"/>
  <c r="H140" i="89"/>
  <c r="G140" i="89"/>
  <c r="E140" i="89"/>
  <c r="C140" i="89"/>
  <c r="H139" i="89"/>
  <c r="G139" i="89"/>
  <c r="E139" i="89"/>
  <c r="C139" i="89"/>
  <c r="H138" i="89"/>
  <c r="G138" i="89"/>
  <c r="E138" i="89"/>
  <c r="C138" i="89"/>
  <c r="H137" i="89"/>
  <c r="G137" i="89"/>
  <c r="E137" i="89"/>
  <c r="C137" i="89"/>
  <c r="H136" i="89"/>
  <c r="G136" i="89"/>
  <c r="E136" i="89"/>
  <c r="C136" i="89"/>
  <c r="H135" i="89"/>
  <c r="G135" i="89"/>
  <c r="E135" i="89"/>
  <c r="C135" i="89"/>
  <c r="H134" i="89"/>
  <c r="G134" i="89"/>
  <c r="E134" i="89"/>
  <c r="C134" i="89"/>
  <c r="K133" i="89"/>
  <c r="H133" i="89"/>
  <c r="G133" i="89"/>
  <c r="E133" i="89"/>
  <c r="C133" i="89"/>
  <c r="H132" i="89"/>
  <c r="G132" i="89"/>
  <c r="E132" i="89"/>
  <c r="C132" i="89"/>
  <c r="H131" i="89"/>
  <c r="G131" i="89"/>
  <c r="E131" i="89"/>
  <c r="C131" i="89"/>
  <c r="O130" i="89"/>
  <c r="M130" i="89"/>
  <c r="H130" i="89"/>
  <c r="G130" i="89"/>
  <c r="E130" i="89"/>
  <c r="C130" i="89"/>
  <c r="O129" i="89"/>
  <c r="M129" i="89"/>
  <c r="H129" i="89"/>
  <c r="G129" i="89"/>
  <c r="E129" i="89"/>
  <c r="C129" i="89"/>
  <c r="O128" i="89"/>
  <c r="M128" i="89"/>
  <c r="H128" i="89"/>
  <c r="G128" i="89"/>
  <c r="E128" i="89"/>
  <c r="C128" i="89"/>
  <c r="O127" i="89"/>
  <c r="M127" i="89"/>
  <c r="T127" i="89" s="1"/>
  <c r="H127" i="89"/>
  <c r="G127" i="89"/>
  <c r="E127" i="89"/>
  <c r="C127" i="89"/>
  <c r="O126" i="89"/>
  <c r="M126" i="89"/>
  <c r="H126" i="89"/>
  <c r="G126" i="89"/>
  <c r="E126" i="89"/>
  <c r="C126" i="89"/>
  <c r="E120" i="89"/>
  <c r="D113" i="89"/>
  <c r="D106" i="89"/>
  <c r="C99" i="89"/>
  <c r="N130" i="89" s="1"/>
  <c r="C98" i="89"/>
  <c r="N129" i="89" s="1"/>
  <c r="Q129" i="89" s="1"/>
  <c r="C97" i="89"/>
  <c r="N128" i="89" s="1"/>
  <c r="C96" i="89"/>
  <c r="N127" i="89" s="1"/>
  <c r="C95" i="89"/>
  <c r="N126" i="89" s="1"/>
  <c r="C16" i="89"/>
  <c r="C15" i="89"/>
  <c r="C14" i="89"/>
  <c r="H205" i="88"/>
  <c r="G205" i="88"/>
  <c r="E205" i="88"/>
  <c r="C205" i="88"/>
  <c r="H204" i="88"/>
  <c r="G204" i="88"/>
  <c r="E204" i="88"/>
  <c r="C204" i="88"/>
  <c r="H203" i="88"/>
  <c r="G203" i="88"/>
  <c r="E203" i="88"/>
  <c r="C203" i="88"/>
  <c r="H202" i="88"/>
  <c r="G202" i="88"/>
  <c r="E202" i="88"/>
  <c r="C202" i="88"/>
  <c r="H201" i="88"/>
  <c r="G201" i="88"/>
  <c r="E201" i="88"/>
  <c r="C201" i="88"/>
  <c r="H200" i="88"/>
  <c r="G200" i="88"/>
  <c r="E200" i="88"/>
  <c r="C200" i="88"/>
  <c r="H199" i="88"/>
  <c r="G199" i="88"/>
  <c r="E199" i="88"/>
  <c r="C199" i="88"/>
  <c r="H198" i="88"/>
  <c r="G198" i="88"/>
  <c r="E198" i="88"/>
  <c r="C198" i="88"/>
  <c r="H197" i="88"/>
  <c r="G197" i="88"/>
  <c r="E197" i="88"/>
  <c r="C197" i="88"/>
  <c r="H196" i="88"/>
  <c r="G196" i="88"/>
  <c r="E196" i="88"/>
  <c r="C196" i="88"/>
  <c r="H195" i="88"/>
  <c r="G195" i="88"/>
  <c r="E195" i="88"/>
  <c r="C195" i="88"/>
  <c r="H194" i="88"/>
  <c r="G194" i="88"/>
  <c r="E194" i="88"/>
  <c r="C194" i="88"/>
  <c r="H193" i="88"/>
  <c r="G193" i="88"/>
  <c r="E193" i="88"/>
  <c r="C193" i="88"/>
  <c r="H192" i="88"/>
  <c r="G192" i="88"/>
  <c r="E192" i="88"/>
  <c r="C192" i="88"/>
  <c r="H191" i="88"/>
  <c r="G191" i="88"/>
  <c r="E191" i="88"/>
  <c r="C191" i="88"/>
  <c r="H190" i="88"/>
  <c r="G190" i="88"/>
  <c r="E190" i="88"/>
  <c r="C190" i="88"/>
  <c r="H189" i="88"/>
  <c r="G189" i="88"/>
  <c r="E189" i="88"/>
  <c r="C189" i="88"/>
  <c r="H188" i="88"/>
  <c r="G188" i="88"/>
  <c r="E188" i="88"/>
  <c r="C188" i="88"/>
  <c r="H187" i="88"/>
  <c r="G187" i="88"/>
  <c r="E187" i="88"/>
  <c r="C187" i="88"/>
  <c r="H186" i="88"/>
  <c r="G186" i="88"/>
  <c r="E186" i="88"/>
  <c r="C186" i="88"/>
  <c r="H185" i="88"/>
  <c r="G185" i="88"/>
  <c r="E185" i="88"/>
  <c r="C185" i="88"/>
  <c r="H184" i="88"/>
  <c r="G184" i="88"/>
  <c r="E184" i="88"/>
  <c r="C184" i="88"/>
  <c r="H183" i="88"/>
  <c r="G183" i="88"/>
  <c r="E183" i="88"/>
  <c r="C183" i="88"/>
  <c r="H182" i="88"/>
  <c r="G182" i="88"/>
  <c r="E182" i="88"/>
  <c r="C182" i="88"/>
  <c r="H181" i="88"/>
  <c r="G181" i="88"/>
  <c r="E181" i="88"/>
  <c r="C181" i="88"/>
  <c r="H180" i="88"/>
  <c r="G180" i="88"/>
  <c r="E180" i="88"/>
  <c r="C180" i="88"/>
  <c r="H179" i="88"/>
  <c r="G179" i="88"/>
  <c r="E179" i="88"/>
  <c r="C179" i="88"/>
  <c r="H178" i="88"/>
  <c r="G178" i="88"/>
  <c r="E178" i="88"/>
  <c r="C178" i="88"/>
  <c r="H177" i="88"/>
  <c r="G177" i="88"/>
  <c r="E177" i="88"/>
  <c r="C177" i="88"/>
  <c r="H176" i="88"/>
  <c r="G176" i="88"/>
  <c r="E176" i="88"/>
  <c r="C176" i="88"/>
  <c r="H175" i="88"/>
  <c r="G175" i="88"/>
  <c r="E175" i="88"/>
  <c r="C175" i="88"/>
  <c r="H174" i="88"/>
  <c r="G174" i="88"/>
  <c r="E174" i="88"/>
  <c r="C174" i="88"/>
  <c r="H173" i="88"/>
  <c r="G173" i="88"/>
  <c r="E173" i="88"/>
  <c r="C173" i="88"/>
  <c r="H172" i="88"/>
  <c r="G172" i="88"/>
  <c r="E172" i="88"/>
  <c r="C172" i="88"/>
  <c r="H171" i="88"/>
  <c r="G171" i="88"/>
  <c r="E171" i="88"/>
  <c r="C171" i="88"/>
  <c r="H170" i="88"/>
  <c r="G170" i="88"/>
  <c r="E170" i="88"/>
  <c r="C170" i="88"/>
  <c r="H169" i="88"/>
  <c r="G169" i="88"/>
  <c r="E169" i="88"/>
  <c r="C169" i="88"/>
  <c r="H168" i="88"/>
  <c r="G168" i="88"/>
  <c r="E168" i="88"/>
  <c r="C168" i="88"/>
  <c r="H167" i="88"/>
  <c r="G167" i="88"/>
  <c r="E167" i="88"/>
  <c r="C167" i="88"/>
  <c r="H166" i="88"/>
  <c r="G166" i="88"/>
  <c r="E166" i="88"/>
  <c r="C166" i="88"/>
  <c r="H165" i="88"/>
  <c r="G165" i="88"/>
  <c r="E165" i="88"/>
  <c r="C165" i="88"/>
  <c r="H164" i="88"/>
  <c r="G164" i="88"/>
  <c r="E164" i="88"/>
  <c r="C164" i="88"/>
  <c r="H163" i="88"/>
  <c r="G163" i="88"/>
  <c r="E163" i="88"/>
  <c r="C163" i="88"/>
  <c r="H162" i="88"/>
  <c r="G162" i="88"/>
  <c r="E162" i="88"/>
  <c r="C162" i="88"/>
  <c r="H161" i="88"/>
  <c r="G161" i="88"/>
  <c r="E161" i="88"/>
  <c r="C161" i="88"/>
  <c r="H160" i="88"/>
  <c r="G160" i="88"/>
  <c r="E160" i="88"/>
  <c r="C160" i="88"/>
  <c r="H159" i="88"/>
  <c r="G159" i="88"/>
  <c r="E159" i="88"/>
  <c r="C159" i="88"/>
  <c r="H158" i="88"/>
  <c r="G158" i="88"/>
  <c r="E158" i="88"/>
  <c r="C158" i="88"/>
  <c r="H157" i="88"/>
  <c r="G157" i="88"/>
  <c r="E157" i="88"/>
  <c r="C157" i="88"/>
  <c r="H156" i="88"/>
  <c r="G156" i="88"/>
  <c r="E156" i="88"/>
  <c r="C156" i="88"/>
  <c r="H155" i="88"/>
  <c r="G155" i="88"/>
  <c r="E155" i="88"/>
  <c r="C155" i="88"/>
  <c r="H154" i="88"/>
  <c r="G154" i="88"/>
  <c r="E154" i="88"/>
  <c r="C154" i="88"/>
  <c r="H153" i="88"/>
  <c r="G153" i="88"/>
  <c r="E153" i="88"/>
  <c r="C153" i="88"/>
  <c r="H152" i="88"/>
  <c r="G152" i="88"/>
  <c r="E152" i="88"/>
  <c r="C152" i="88"/>
  <c r="H151" i="88"/>
  <c r="G151" i="88"/>
  <c r="E151" i="88"/>
  <c r="C151" i="88"/>
  <c r="H150" i="88"/>
  <c r="G150" i="88"/>
  <c r="E150" i="88"/>
  <c r="C150" i="88"/>
  <c r="H149" i="88"/>
  <c r="G149" i="88"/>
  <c r="E149" i="88"/>
  <c r="C149" i="88"/>
  <c r="H148" i="88"/>
  <c r="G148" i="88"/>
  <c r="E148" i="88"/>
  <c r="C148" i="88"/>
  <c r="H147" i="88"/>
  <c r="G147" i="88"/>
  <c r="E147" i="88"/>
  <c r="C147" i="88"/>
  <c r="H146" i="88"/>
  <c r="G146" i="88"/>
  <c r="E146" i="88"/>
  <c r="C146" i="88"/>
  <c r="H145" i="88"/>
  <c r="G145" i="88"/>
  <c r="E145" i="88"/>
  <c r="C145" i="88"/>
  <c r="H144" i="88"/>
  <c r="G144" i="88"/>
  <c r="E144" i="88"/>
  <c r="C144" i="88"/>
  <c r="H143" i="88"/>
  <c r="G143" i="88"/>
  <c r="E143" i="88"/>
  <c r="C143" i="88"/>
  <c r="H142" i="88"/>
  <c r="G142" i="88"/>
  <c r="E142" i="88"/>
  <c r="C142" i="88"/>
  <c r="H141" i="88"/>
  <c r="G141" i="88"/>
  <c r="E141" i="88"/>
  <c r="C141" i="88"/>
  <c r="H140" i="88"/>
  <c r="G140" i="88"/>
  <c r="E140" i="88"/>
  <c r="C140" i="88"/>
  <c r="H139" i="88"/>
  <c r="G139" i="88"/>
  <c r="E139" i="88"/>
  <c r="C139" i="88"/>
  <c r="H138" i="88"/>
  <c r="G138" i="88"/>
  <c r="E138" i="88"/>
  <c r="C138" i="88"/>
  <c r="H137" i="88"/>
  <c r="G137" i="88"/>
  <c r="E137" i="88"/>
  <c r="C137" i="88"/>
  <c r="H136" i="88"/>
  <c r="G136" i="88"/>
  <c r="E136" i="88"/>
  <c r="C136" i="88"/>
  <c r="H135" i="88"/>
  <c r="G135" i="88"/>
  <c r="E135" i="88"/>
  <c r="C135" i="88"/>
  <c r="H134" i="88"/>
  <c r="G134" i="88"/>
  <c r="E134" i="88"/>
  <c r="C134" i="88"/>
  <c r="K133" i="88"/>
  <c r="H133" i="88"/>
  <c r="G133" i="88"/>
  <c r="E133" i="88"/>
  <c r="C133" i="88"/>
  <c r="H132" i="88"/>
  <c r="G132" i="88"/>
  <c r="E132" i="88"/>
  <c r="C132" i="88"/>
  <c r="H131" i="88"/>
  <c r="G131" i="88"/>
  <c r="E131" i="88"/>
  <c r="C131" i="88"/>
  <c r="S130" i="88"/>
  <c r="O130" i="88"/>
  <c r="M130" i="88"/>
  <c r="T130" i="88" s="1"/>
  <c r="H130" i="88"/>
  <c r="G130" i="88"/>
  <c r="E130" i="88"/>
  <c r="C130" i="88"/>
  <c r="O129" i="88"/>
  <c r="M129" i="88"/>
  <c r="H129" i="88"/>
  <c r="G129" i="88"/>
  <c r="E129" i="88"/>
  <c r="C129" i="88"/>
  <c r="O128" i="88"/>
  <c r="M128" i="88"/>
  <c r="T128" i="88" s="1"/>
  <c r="AC128" i="88" s="1"/>
  <c r="H128" i="88"/>
  <c r="G128" i="88"/>
  <c r="E128" i="88"/>
  <c r="C128" i="88"/>
  <c r="O127" i="88"/>
  <c r="M127" i="88"/>
  <c r="H127" i="88"/>
  <c r="G127" i="88"/>
  <c r="E127" i="88"/>
  <c r="C127" i="88"/>
  <c r="O126" i="88"/>
  <c r="M126" i="88"/>
  <c r="H126" i="88"/>
  <c r="G126" i="88"/>
  <c r="E126" i="88"/>
  <c r="C126" i="88"/>
  <c r="E120" i="88"/>
  <c r="D113" i="88"/>
  <c r="D106" i="88"/>
  <c r="C99" i="88"/>
  <c r="N130" i="88" s="1"/>
  <c r="C98" i="88"/>
  <c r="N129" i="88" s="1"/>
  <c r="Q129" i="88" s="1"/>
  <c r="C97" i="88"/>
  <c r="N128" i="88" s="1"/>
  <c r="C96" i="88"/>
  <c r="N127" i="88" s="1"/>
  <c r="C95" i="88"/>
  <c r="N126" i="88" s="1"/>
  <c r="C16" i="88"/>
  <c r="C15" i="88"/>
  <c r="C14" i="88"/>
  <c r="G173" i="87"/>
  <c r="F173" i="87"/>
  <c r="E173" i="87"/>
  <c r="D173" i="87"/>
  <c r="C173" i="87"/>
  <c r="G172" i="87"/>
  <c r="F172" i="87"/>
  <c r="E172" i="87"/>
  <c r="D172" i="87"/>
  <c r="C172" i="87"/>
  <c r="G171" i="87"/>
  <c r="F171" i="87"/>
  <c r="E171" i="87"/>
  <c r="D171" i="87"/>
  <c r="C171" i="87"/>
  <c r="G170" i="87"/>
  <c r="F170" i="87"/>
  <c r="E170" i="87"/>
  <c r="D170" i="87"/>
  <c r="C170" i="87"/>
  <c r="G169" i="87"/>
  <c r="F169" i="87"/>
  <c r="E169" i="87"/>
  <c r="D169" i="87"/>
  <c r="C169" i="87"/>
  <c r="G168" i="87"/>
  <c r="F168" i="87"/>
  <c r="E168" i="87"/>
  <c r="D168" i="87"/>
  <c r="C168" i="87"/>
  <c r="G166" i="87"/>
  <c r="F166" i="87"/>
  <c r="E166" i="87"/>
  <c r="D166" i="87"/>
  <c r="C166" i="87"/>
  <c r="G165" i="87"/>
  <c r="F165" i="87"/>
  <c r="E165" i="87"/>
  <c r="D165" i="87"/>
  <c r="C165" i="87"/>
  <c r="G164" i="87"/>
  <c r="F164" i="87"/>
  <c r="E164" i="87"/>
  <c r="D164" i="87"/>
  <c r="C164" i="87"/>
  <c r="G163" i="87"/>
  <c r="F163" i="87"/>
  <c r="E163" i="87"/>
  <c r="D163" i="87"/>
  <c r="C163" i="87"/>
  <c r="G162" i="87"/>
  <c r="F162" i="87"/>
  <c r="E162" i="87"/>
  <c r="D162" i="87"/>
  <c r="C162" i="87"/>
  <c r="G161" i="87"/>
  <c r="F161" i="87"/>
  <c r="E161" i="87"/>
  <c r="D161" i="87"/>
  <c r="C161" i="87"/>
  <c r="G160" i="87"/>
  <c r="F160" i="87"/>
  <c r="E160" i="87"/>
  <c r="D160" i="87"/>
  <c r="C160" i="87"/>
  <c r="G159" i="87"/>
  <c r="F159" i="87"/>
  <c r="E159" i="87"/>
  <c r="D159" i="87"/>
  <c r="C159" i="87"/>
  <c r="G158" i="87"/>
  <c r="F158" i="87"/>
  <c r="E158" i="87"/>
  <c r="D158" i="87"/>
  <c r="C158" i="87"/>
  <c r="G157" i="87"/>
  <c r="F157" i="87"/>
  <c r="E157" i="87"/>
  <c r="D157" i="87"/>
  <c r="C157" i="87"/>
  <c r="G156" i="87"/>
  <c r="F156" i="87"/>
  <c r="E156" i="87"/>
  <c r="D156" i="87"/>
  <c r="C156" i="87"/>
  <c r="G155" i="87"/>
  <c r="F155" i="87"/>
  <c r="E155" i="87"/>
  <c r="D155" i="87"/>
  <c r="C155" i="87"/>
  <c r="G154" i="87"/>
  <c r="F154" i="87"/>
  <c r="E154" i="87"/>
  <c r="D154" i="87"/>
  <c r="C154" i="87"/>
  <c r="G153" i="87"/>
  <c r="F153" i="87"/>
  <c r="E153" i="87"/>
  <c r="D153" i="87"/>
  <c r="C153" i="87"/>
  <c r="G152" i="87"/>
  <c r="F152" i="87"/>
  <c r="E152" i="87"/>
  <c r="D152" i="87"/>
  <c r="C152" i="87"/>
  <c r="G151" i="87"/>
  <c r="F151" i="87"/>
  <c r="E151" i="87"/>
  <c r="D151" i="87"/>
  <c r="C151" i="87"/>
  <c r="G150" i="87"/>
  <c r="F150" i="87"/>
  <c r="E150" i="87"/>
  <c r="D150" i="87"/>
  <c r="C150" i="87"/>
  <c r="G149" i="87"/>
  <c r="F149" i="87"/>
  <c r="E149" i="87"/>
  <c r="D149" i="87"/>
  <c r="C149" i="87"/>
  <c r="G148" i="87"/>
  <c r="F148" i="87"/>
  <c r="E148" i="87"/>
  <c r="D148" i="87"/>
  <c r="C148" i="87"/>
  <c r="G147" i="87"/>
  <c r="F147" i="87"/>
  <c r="E147" i="87"/>
  <c r="D147" i="87"/>
  <c r="C147" i="87"/>
  <c r="G146" i="87"/>
  <c r="F146" i="87"/>
  <c r="E146" i="87"/>
  <c r="D146" i="87"/>
  <c r="C146" i="87"/>
  <c r="G145" i="87"/>
  <c r="F145" i="87"/>
  <c r="E145" i="87"/>
  <c r="D145" i="87"/>
  <c r="C145" i="87"/>
  <c r="G144" i="87"/>
  <c r="F144" i="87"/>
  <c r="E144" i="87"/>
  <c r="D144" i="87"/>
  <c r="C144" i="87"/>
  <c r="G143" i="87"/>
  <c r="F143" i="87"/>
  <c r="E143" i="87"/>
  <c r="D143" i="87"/>
  <c r="C143" i="87"/>
  <c r="G141" i="87"/>
  <c r="F141" i="87"/>
  <c r="E141" i="87"/>
  <c r="D141" i="87"/>
  <c r="C141" i="87"/>
  <c r="G140" i="87"/>
  <c r="F140" i="87"/>
  <c r="E140" i="87"/>
  <c r="D140" i="87"/>
  <c r="C140" i="87"/>
  <c r="G138" i="87"/>
  <c r="F138" i="87"/>
  <c r="E138" i="87"/>
  <c r="D138" i="87"/>
  <c r="C138" i="87"/>
  <c r="G137" i="87"/>
  <c r="F137" i="87"/>
  <c r="E137" i="87"/>
  <c r="D137" i="87"/>
  <c r="C137" i="87"/>
  <c r="R135" i="87"/>
  <c r="Q135" i="87"/>
  <c r="D128" i="87"/>
  <c r="C23" i="87" s="1"/>
  <c r="C6" i="87"/>
  <c r="C5" i="87"/>
  <c r="M173" i="86"/>
  <c r="M172" i="86"/>
  <c r="M171" i="86"/>
  <c r="M170" i="86"/>
  <c r="M169" i="86"/>
  <c r="M168" i="86"/>
  <c r="M166" i="86"/>
  <c r="M165" i="86"/>
  <c r="M164" i="86"/>
  <c r="M163" i="86"/>
  <c r="M162" i="86"/>
  <c r="M161" i="86"/>
  <c r="M160" i="86"/>
  <c r="M159" i="86"/>
  <c r="M158" i="86"/>
  <c r="M157" i="86"/>
  <c r="M156" i="86"/>
  <c r="M155" i="86"/>
  <c r="M154" i="86"/>
  <c r="M153" i="86"/>
  <c r="M152" i="86"/>
  <c r="M151" i="86"/>
  <c r="M150" i="86"/>
  <c r="M149" i="86"/>
  <c r="M148" i="86"/>
  <c r="M147" i="86"/>
  <c r="M146" i="86"/>
  <c r="M145" i="86"/>
  <c r="M144" i="86"/>
  <c r="M143" i="86"/>
  <c r="M141" i="86"/>
  <c r="M140" i="86"/>
  <c r="M138" i="86"/>
  <c r="M137" i="86"/>
  <c r="R135" i="86"/>
  <c r="Q135" i="86"/>
  <c r="D128" i="86"/>
  <c r="C23" i="86" s="1"/>
  <c r="C6" i="86"/>
  <c r="C5" i="86"/>
  <c r="K289" i="85"/>
  <c r="J289" i="85"/>
  <c r="H289" i="85"/>
  <c r="G289" i="85"/>
  <c r="F289" i="85"/>
  <c r="E289" i="85"/>
  <c r="Q289" i="85" s="1"/>
  <c r="D289" i="85"/>
  <c r="O289" i="85" s="1"/>
  <c r="K288" i="85"/>
  <c r="J288" i="85"/>
  <c r="H288" i="85"/>
  <c r="G288" i="85"/>
  <c r="F288" i="85"/>
  <c r="E288" i="85"/>
  <c r="Q288" i="85" s="1"/>
  <c r="D288" i="85"/>
  <c r="O288" i="85" s="1"/>
  <c r="K287" i="85"/>
  <c r="J287" i="85"/>
  <c r="H287" i="85"/>
  <c r="G287" i="85"/>
  <c r="F287" i="85"/>
  <c r="E287" i="85"/>
  <c r="Q287" i="85" s="1"/>
  <c r="D287" i="85"/>
  <c r="O287" i="85" s="1"/>
  <c r="K286" i="85"/>
  <c r="J286" i="85"/>
  <c r="H286" i="85"/>
  <c r="G286" i="85"/>
  <c r="F286" i="85"/>
  <c r="E286" i="85"/>
  <c r="Q286" i="85" s="1"/>
  <c r="D286" i="85"/>
  <c r="O286" i="85" s="1"/>
  <c r="O285" i="85"/>
  <c r="K285" i="85"/>
  <c r="J285" i="85"/>
  <c r="H285" i="85"/>
  <c r="G285" i="85"/>
  <c r="M285" i="85" s="1"/>
  <c r="F285" i="85"/>
  <c r="E285" i="85"/>
  <c r="Q285" i="85" s="1"/>
  <c r="D285" i="85"/>
  <c r="K284" i="85"/>
  <c r="J284" i="85"/>
  <c r="H284" i="85"/>
  <c r="G284" i="85"/>
  <c r="F284" i="85"/>
  <c r="E284" i="85"/>
  <c r="Q284" i="85" s="1"/>
  <c r="D284" i="85"/>
  <c r="K283" i="85"/>
  <c r="J283" i="85"/>
  <c r="H283" i="85"/>
  <c r="G283" i="85"/>
  <c r="F283" i="85"/>
  <c r="E283" i="85"/>
  <c r="Q283" i="85" s="1"/>
  <c r="D283" i="85"/>
  <c r="O283" i="85" s="1"/>
  <c r="K282" i="85"/>
  <c r="J282" i="85"/>
  <c r="H282" i="85"/>
  <c r="G282" i="85"/>
  <c r="F282" i="85"/>
  <c r="E282" i="85"/>
  <c r="Q282" i="85" s="1"/>
  <c r="D282" i="85"/>
  <c r="O282" i="85" s="1"/>
  <c r="K281" i="85"/>
  <c r="J281" i="85"/>
  <c r="H281" i="85"/>
  <c r="G281" i="85"/>
  <c r="M281" i="85" s="1"/>
  <c r="F281" i="85"/>
  <c r="E281" i="85"/>
  <c r="Q281" i="85" s="1"/>
  <c r="D281" i="85"/>
  <c r="O281" i="85" s="1"/>
  <c r="K280" i="85"/>
  <c r="J280" i="85"/>
  <c r="H280" i="85"/>
  <c r="G280" i="85"/>
  <c r="F280" i="85"/>
  <c r="E280" i="85"/>
  <c r="Q280" i="85" s="1"/>
  <c r="D280" i="85"/>
  <c r="O280" i="85" s="1"/>
  <c r="K279" i="85"/>
  <c r="J279" i="85"/>
  <c r="H279" i="85"/>
  <c r="G279" i="85"/>
  <c r="F279" i="85"/>
  <c r="E279" i="85"/>
  <c r="Q279" i="85" s="1"/>
  <c r="D279" i="85"/>
  <c r="K278" i="85"/>
  <c r="J278" i="85"/>
  <c r="H278" i="85"/>
  <c r="G278" i="85"/>
  <c r="F278" i="85"/>
  <c r="E278" i="85"/>
  <c r="Q278" i="85" s="1"/>
  <c r="D278" i="85"/>
  <c r="O278" i="85" s="1"/>
  <c r="K277" i="85"/>
  <c r="J277" i="85"/>
  <c r="H277" i="85"/>
  <c r="G277" i="85"/>
  <c r="F277" i="85"/>
  <c r="E277" i="85"/>
  <c r="Q277" i="85" s="1"/>
  <c r="D277" i="85"/>
  <c r="O277" i="85" s="1"/>
  <c r="K276" i="85"/>
  <c r="J276" i="85"/>
  <c r="H276" i="85"/>
  <c r="G276" i="85"/>
  <c r="F276" i="85"/>
  <c r="E276" i="85"/>
  <c r="Q276" i="85" s="1"/>
  <c r="D276" i="85"/>
  <c r="K275" i="85"/>
  <c r="J275" i="85"/>
  <c r="H275" i="85"/>
  <c r="G275" i="85"/>
  <c r="F275" i="85"/>
  <c r="E275" i="85"/>
  <c r="Q275" i="85" s="1"/>
  <c r="D275" i="85"/>
  <c r="O275" i="85" s="1"/>
  <c r="K274" i="85"/>
  <c r="J274" i="85"/>
  <c r="H274" i="85"/>
  <c r="G274" i="85"/>
  <c r="F274" i="85"/>
  <c r="E274" i="85"/>
  <c r="Q274" i="85" s="1"/>
  <c r="D274" i="85"/>
  <c r="K273" i="85"/>
  <c r="J273" i="85"/>
  <c r="H273" i="85"/>
  <c r="G273" i="85"/>
  <c r="F273" i="85"/>
  <c r="E273" i="85"/>
  <c r="Q273" i="85" s="1"/>
  <c r="D273" i="85"/>
  <c r="O273" i="85" s="1"/>
  <c r="K272" i="85"/>
  <c r="J272" i="85"/>
  <c r="H272" i="85"/>
  <c r="G272" i="85"/>
  <c r="F272" i="85"/>
  <c r="E272" i="85"/>
  <c r="Q272" i="85" s="1"/>
  <c r="R272" i="85" s="1"/>
  <c r="D272" i="85"/>
  <c r="K271" i="85"/>
  <c r="J271" i="85"/>
  <c r="H271" i="85"/>
  <c r="G271" i="85"/>
  <c r="F271" i="85"/>
  <c r="E271" i="85"/>
  <c r="Q271" i="85" s="1"/>
  <c r="D271" i="85"/>
  <c r="M271" i="85" s="1"/>
  <c r="K270" i="85"/>
  <c r="J270" i="85"/>
  <c r="H270" i="85"/>
  <c r="G270" i="85"/>
  <c r="F270" i="85"/>
  <c r="E270" i="85"/>
  <c r="Q270" i="85" s="1"/>
  <c r="D270" i="85"/>
  <c r="O270" i="85" s="1"/>
  <c r="K269" i="85"/>
  <c r="J269" i="85"/>
  <c r="H269" i="85"/>
  <c r="G269" i="85"/>
  <c r="F269" i="85"/>
  <c r="E269" i="85"/>
  <c r="Q269" i="85" s="1"/>
  <c r="D269" i="85"/>
  <c r="O269" i="85" s="1"/>
  <c r="K268" i="85"/>
  <c r="J268" i="85"/>
  <c r="H268" i="85"/>
  <c r="G268" i="85"/>
  <c r="F268" i="85"/>
  <c r="E268" i="85"/>
  <c r="Q268" i="85" s="1"/>
  <c r="D268" i="85"/>
  <c r="O268" i="85" s="1"/>
  <c r="K267" i="85"/>
  <c r="J267" i="85"/>
  <c r="H267" i="85"/>
  <c r="G267" i="85"/>
  <c r="F267" i="85"/>
  <c r="E267" i="85"/>
  <c r="Q267" i="85" s="1"/>
  <c r="D267" i="85"/>
  <c r="O267" i="85" s="1"/>
  <c r="K266" i="85"/>
  <c r="J266" i="85"/>
  <c r="H266" i="85"/>
  <c r="G266" i="85"/>
  <c r="M266" i="85" s="1"/>
  <c r="F266" i="85"/>
  <c r="E266" i="85"/>
  <c r="Q266" i="85" s="1"/>
  <c r="D266" i="85"/>
  <c r="O266" i="85" s="1"/>
  <c r="K265" i="85"/>
  <c r="J265" i="85"/>
  <c r="H265" i="85"/>
  <c r="G265" i="85"/>
  <c r="F265" i="85"/>
  <c r="E265" i="85"/>
  <c r="Q265" i="85" s="1"/>
  <c r="D265" i="85"/>
  <c r="O265" i="85" s="1"/>
  <c r="K264" i="85"/>
  <c r="J264" i="85"/>
  <c r="H264" i="85"/>
  <c r="G264" i="85"/>
  <c r="F264" i="85"/>
  <c r="E264" i="85"/>
  <c r="Q264" i="85" s="1"/>
  <c r="D264" i="85"/>
  <c r="K263" i="85"/>
  <c r="J263" i="85"/>
  <c r="H263" i="85"/>
  <c r="G263" i="85"/>
  <c r="F263" i="85"/>
  <c r="E263" i="85"/>
  <c r="Q263" i="85" s="1"/>
  <c r="D263" i="85"/>
  <c r="O263" i="85" s="1"/>
  <c r="K262" i="85"/>
  <c r="J262" i="85"/>
  <c r="H262" i="85"/>
  <c r="G262" i="85"/>
  <c r="F262" i="85"/>
  <c r="E262" i="85"/>
  <c r="Q262" i="85" s="1"/>
  <c r="D262" i="85"/>
  <c r="O262" i="85" s="1"/>
  <c r="K261" i="85"/>
  <c r="J261" i="85"/>
  <c r="H261" i="85"/>
  <c r="G261" i="85"/>
  <c r="F261" i="85"/>
  <c r="E261" i="85"/>
  <c r="Q261" i="85" s="1"/>
  <c r="D261" i="85"/>
  <c r="O261" i="85" s="1"/>
  <c r="K260" i="85"/>
  <c r="J260" i="85"/>
  <c r="H260" i="85"/>
  <c r="G260" i="85"/>
  <c r="F260" i="85"/>
  <c r="E260" i="85"/>
  <c r="Q260" i="85" s="1"/>
  <c r="D260" i="85"/>
  <c r="K259" i="85"/>
  <c r="J259" i="85"/>
  <c r="H259" i="85"/>
  <c r="G259" i="85"/>
  <c r="F259" i="85"/>
  <c r="E259" i="85"/>
  <c r="Q259" i="85" s="1"/>
  <c r="D259" i="85"/>
  <c r="K258" i="85"/>
  <c r="J258" i="85"/>
  <c r="H258" i="85"/>
  <c r="G258" i="85"/>
  <c r="F258" i="85"/>
  <c r="E258" i="85"/>
  <c r="Q258" i="85" s="1"/>
  <c r="D258" i="85"/>
  <c r="O258" i="85" s="1"/>
  <c r="K257" i="85"/>
  <c r="J257" i="85"/>
  <c r="H257" i="85"/>
  <c r="G257" i="85"/>
  <c r="F257" i="85"/>
  <c r="E257" i="85"/>
  <c r="Q257" i="85" s="1"/>
  <c r="D257" i="85"/>
  <c r="O257" i="85" s="1"/>
  <c r="Q256" i="85"/>
  <c r="K256" i="85"/>
  <c r="J256" i="85"/>
  <c r="H256" i="85"/>
  <c r="G256" i="85"/>
  <c r="F256" i="85"/>
  <c r="E256" i="85"/>
  <c r="D256" i="85"/>
  <c r="O256" i="85" s="1"/>
  <c r="K255" i="85"/>
  <c r="J255" i="85"/>
  <c r="H255" i="85"/>
  <c r="G255" i="85"/>
  <c r="F255" i="85"/>
  <c r="E255" i="85"/>
  <c r="D255" i="85"/>
  <c r="O255" i="85" s="1"/>
  <c r="K254" i="85"/>
  <c r="J254" i="85"/>
  <c r="H254" i="85"/>
  <c r="G254" i="85"/>
  <c r="F254" i="85"/>
  <c r="E254" i="85"/>
  <c r="D254" i="85"/>
  <c r="O254" i="85" s="1"/>
  <c r="K253" i="85"/>
  <c r="J253" i="85"/>
  <c r="H253" i="85"/>
  <c r="G253" i="85"/>
  <c r="M253" i="85" s="1"/>
  <c r="F253" i="85"/>
  <c r="E253" i="85"/>
  <c r="D253" i="85"/>
  <c r="O253" i="85" s="1"/>
  <c r="O252" i="85"/>
  <c r="K252" i="85"/>
  <c r="J252" i="85"/>
  <c r="H252" i="85"/>
  <c r="G252" i="85"/>
  <c r="M252" i="85" s="1"/>
  <c r="F252" i="85"/>
  <c r="E252" i="85"/>
  <c r="D252" i="85"/>
  <c r="O251" i="85"/>
  <c r="K251" i="85"/>
  <c r="J251" i="85"/>
  <c r="H251" i="85"/>
  <c r="G251" i="85"/>
  <c r="M251" i="85" s="1"/>
  <c r="F251" i="85"/>
  <c r="E251" i="85"/>
  <c r="D251" i="85"/>
  <c r="O250" i="85"/>
  <c r="K250" i="85"/>
  <c r="J250" i="85"/>
  <c r="H250" i="85"/>
  <c r="G250" i="85"/>
  <c r="F250" i="85"/>
  <c r="E250" i="85"/>
  <c r="D250" i="85"/>
  <c r="K249" i="85"/>
  <c r="J249" i="85"/>
  <c r="H249" i="85"/>
  <c r="G249" i="85"/>
  <c r="F249" i="85"/>
  <c r="E249" i="85"/>
  <c r="D249" i="85"/>
  <c r="O249" i="85" s="1"/>
  <c r="K248" i="85"/>
  <c r="J248" i="85"/>
  <c r="H248" i="85"/>
  <c r="G248" i="85"/>
  <c r="F248" i="85"/>
  <c r="E248" i="85"/>
  <c r="D248" i="85"/>
  <c r="O248" i="85" s="1"/>
  <c r="K247" i="85"/>
  <c r="J247" i="85"/>
  <c r="H247" i="85"/>
  <c r="G247" i="85"/>
  <c r="F247" i="85"/>
  <c r="E247" i="85"/>
  <c r="Q247" i="85" s="1"/>
  <c r="D247" i="85"/>
  <c r="K246" i="85"/>
  <c r="J246" i="85"/>
  <c r="H246" i="85"/>
  <c r="G246" i="85"/>
  <c r="F246" i="85"/>
  <c r="E246" i="85"/>
  <c r="Q246" i="85" s="1"/>
  <c r="R246" i="85" s="1"/>
  <c r="D246" i="85"/>
  <c r="O246" i="85" s="1"/>
  <c r="K245" i="85"/>
  <c r="J245" i="85"/>
  <c r="H245" i="85"/>
  <c r="G245" i="85"/>
  <c r="F245" i="85"/>
  <c r="E245" i="85"/>
  <c r="Q245" i="85" s="1"/>
  <c r="D245" i="85"/>
  <c r="O245" i="85" s="1"/>
  <c r="K244" i="85"/>
  <c r="J244" i="85"/>
  <c r="H244" i="85"/>
  <c r="G244" i="85"/>
  <c r="F244" i="85"/>
  <c r="E244" i="85"/>
  <c r="Q244" i="85" s="1"/>
  <c r="D244" i="85"/>
  <c r="O244" i="85" s="1"/>
  <c r="K243" i="85"/>
  <c r="J243" i="85"/>
  <c r="H243" i="85"/>
  <c r="G243" i="85"/>
  <c r="F243" i="85"/>
  <c r="E243" i="85"/>
  <c r="D243" i="85"/>
  <c r="O243" i="85" s="1"/>
  <c r="K242" i="85"/>
  <c r="J242" i="85"/>
  <c r="H242" i="85"/>
  <c r="G242" i="85"/>
  <c r="F242" i="85"/>
  <c r="E242" i="85"/>
  <c r="Q242" i="85" s="1"/>
  <c r="R242" i="85" s="1"/>
  <c r="D242" i="85"/>
  <c r="O242" i="85" s="1"/>
  <c r="K241" i="85"/>
  <c r="J241" i="85"/>
  <c r="H241" i="85"/>
  <c r="G241" i="85"/>
  <c r="F241" i="85"/>
  <c r="E241" i="85"/>
  <c r="Q241" i="85" s="1"/>
  <c r="D241" i="85"/>
  <c r="M241" i="85" s="1"/>
  <c r="K240" i="85"/>
  <c r="J240" i="85"/>
  <c r="H240" i="85"/>
  <c r="G240" i="85"/>
  <c r="F240" i="85"/>
  <c r="E240" i="85"/>
  <c r="Q240" i="85" s="1"/>
  <c r="D240" i="85"/>
  <c r="O240" i="85" s="1"/>
  <c r="K239" i="85"/>
  <c r="J239" i="85"/>
  <c r="H239" i="85"/>
  <c r="G239" i="85"/>
  <c r="F239" i="85"/>
  <c r="E239" i="85"/>
  <c r="Q239" i="85" s="1"/>
  <c r="D239" i="85"/>
  <c r="K238" i="85"/>
  <c r="J238" i="85"/>
  <c r="H238" i="85"/>
  <c r="G238" i="85"/>
  <c r="F238" i="85"/>
  <c r="E238" i="85"/>
  <c r="D238" i="85"/>
  <c r="O238" i="85" s="1"/>
  <c r="K237" i="85"/>
  <c r="J237" i="85"/>
  <c r="H237" i="85"/>
  <c r="G237" i="85"/>
  <c r="F237" i="85"/>
  <c r="E237" i="85"/>
  <c r="Q237" i="85" s="1"/>
  <c r="D237" i="85"/>
  <c r="O237" i="85" s="1"/>
  <c r="K236" i="85"/>
  <c r="J236" i="85"/>
  <c r="H236" i="85"/>
  <c r="G236" i="85"/>
  <c r="F236" i="85"/>
  <c r="E236" i="85"/>
  <c r="Q236" i="85" s="1"/>
  <c r="D236" i="85"/>
  <c r="O236" i="85" s="1"/>
  <c r="K235" i="85"/>
  <c r="J235" i="85"/>
  <c r="H235" i="85"/>
  <c r="G235" i="85"/>
  <c r="F235" i="85"/>
  <c r="E235" i="85"/>
  <c r="Q235" i="85" s="1"/>
  <c r="D235" i="85"/>
  <c r="O235" i="85" s="1"/>
  <c r="K234" i="85"/>
  <c r="J234" i="85"/>
  <c r="H234" i="85"/>
  <c r="G234" i="85"/>
  <c r="F234" i="85"/>
  <c r="E234" i="85"/>
  <c r="Q234" i="85" s="1"/>
  <c r="R234" i="85" s="1"/>
  <c r="D234" i="85"/>
  <c r="O234" i="85" s="1"/>
  <c r="K233" i="85"/>
  <c r="J233" i="85"/>
  <c r="H233" i="85"/>
  <c r="G233" i="85"/>
  <c r="F233" i="85"/>
  <c r="E233" i="85"/>
  <c r="Q233" i="85" s="1"/>
  <c r="D233" i="85"/>
  <c r="O233" i="85" s="1"/>
  <c r="K232" i="85"/>
  <c r="J232" i="85"/>
  <c r="H232" i="85"/>
  <c r="G232" i="85"/>
  <c r="F232" i="85"/>
  <c r="E232" i="85"/>
  <c r="Q232" i="85" s="1"/>
  <c r="D232" i="85"/>
  <c r="O232" i="85" s="1"/>
  <c r="K231" i="85"/>
  <c r="J231" i="85"/>
  <c r="H231" i="85"/>
  <c r="G231" i="85"/>
  <c r="F231" i="85"/>
  <c r="E231" i="85"/>
  <c r="Q231" i="85" s="1"/>
  <c r="D231" i="85"/>
  <c r="O231" i="85" s="1"/>
  <c r="K230" i="85"/>
  <c r="J230" i="85"/>
  <c r="H230" i="85"/>
  <c r="G230" i="85"/>
  <c r="F230" i="85"/>
  <c r="E230" i="85"/>
  <c r="Q230" i="85" s="1"/>
  <c r="D230" i="85"/>
  <c r="O230" i="85" s="1"/>
  <c r="K229" i="85"/>
  <c r="J229" i="85"/>
  <c r="H229" i="85"/>
  <c r="G229" i="85"/>
  <c r="F229" i="85"/>
  <c r="E229" i="85"/>
  <c r="D229" i="85"/>
  <c r="O229" i="85" s="1"/>
  <c r="K228" i="85"/>
  <c r="J228" i="85"/>
  <c r="H228" i="85"/>
  <c r="G228" i="85"/>
  <c r="F228" i="85"/>
  <c r="E228" i="85"/>
  <c r="Q228" i="85" s="1"/>
  <c r="D228" i="85"/>
  <c r="O228" i="85" s="1"/>
  <c r="K227" i="85"/>
  <c r="J227" i="85"/>
  <c r="H227" i="85"/>
  <c r="G227" i="85"/>
  <c r="F227" i="85"/>
  <c r="E227" i="85"/>
  <c r="D227" i="85"/>
  <c r="O227" i="85" s="1"/>
  <c r="K226" i="85"/>
  <c r="J226" i="85"/>
  <c r="H226" i="85"/>
  <c r="G226" i="85"/>
  <c r="F226" i="85"/>
  <c r="E226" i="85"/>
  <c r="Q226" i="85" s="1"/>
  <c r="R226" i="85" s="1"/>
  <c r="D226" i="85"/>
  <c r="K225" i="85"/>
  <c r="J225" i="85"/>
  <c r="H225" i="85"/>
  <c r="G225" i="85"/>
  <c r="F225" i="85"/>
  <c r="E225" i="85"/>
  <c r="Q225" i="85" s="1"/>
  <c r="D225" i="85"/>
  <c r="K224" i="85"/>
  <c r="J224" i="85"/>
  <c r="H224" i="85"/>
  <c r="G224" i="85"/>
  <c r="F224" i="85"/>
  <c r="E224" i="85"/>
  <c r="Q224" i="85" s="1"/>
  <c r="D224" i="85"/>
  <c r="O224" i="85" s="1"/>
  <c r="K223" i="85"/>
  <c r="J223" i="85"/>
  <c r="H223" i="85"/>
  <c r="G223" i="85"/>
  <c r="F223" i="85"/>
  <c r="E223" i="85"/>
  <c r="D223" i="85"/>
  <c r="O223" i="85" s="1"/>
  <c r="K222" i="85"/>
  <c r="J222" i="85"/>
  <c r="H222" i="85"/>
  <c r="G222" i="85"/>
  <c r="F222" i="85"/>
  <c r="E222" i="85"/>
  <c r="D222" i="85"/>
  <c r="O222" i="85" s="1"/>
  <c r="I255" i="85"/>
  <c r="I252" i="85"/>
  <c r="I283" i="85"/>
  <c r="I278" i="85"/>
  <c r="I270" i="85"/>
  <c r="I266" i="85"/>
  <c r="I228" i="85"/>
  <c r="C142" i="85"/>
  <c r="D142" i="85" s="1"/>
  <c r="D124" i="85"/>
  <c r="E124" i="85" s="1"/>
  <c r="D123" i="85"/>
  <c r="E123" i="85" s="1"/>
  <c r="D122" i="85"/>
  <c r="E122" i="85" s="1"/>
  <c r="C16" i="85"/>
  <c r="C15" i="85"/>
  <c r="C14" i="85"/>
  <c r="M173" i="84"/>
  <c r="G173" i="84"/>
  <c r="F173" i="84"/>
  <c r="E173" i="84"/>
  <c r="D173" i="84"/>
  <c r="C173" i="84"/>
  <c r="M172" i="84"/>
  <c r="G172" i="84"/>
  <c r="F172" i="84"/>
  <c r="E172" i="84"/>
  <c r="D172" i="84"/>
  <c r="C172" i="84"/>
  <c r="M171" i="84"/>
  <c r="G171" i="84"/>
  <c r="F171" i="84"/>
  <c r="E171" i="84"/>
  <c r="D171" i="84"/>
  <c r="C171" i="84"/>
  <c r="M170" i="84"/>
  <c r="G170" i="84"/>
  <c r="F170" i="84"/>
  <c r="E170" i="84"/>
  <c r="D170" i="84"/>
  <c r="C170" i="84"/>
  <c r="M169" i="84"/>
  <c r="G169" i="84"/>
  <c r="F169" i="84"/>
  <c r="E169" i="84"/>
  <c r="D169" i="84"/>
  <c r="C169" i="84"/>
  <c r="M168" i="84"/>
  <c r="G168" i="84"/>
  <c r="F168" i="84"/>
  <c r="E168" i="84"/>
  <c r="D168" i="84"/>
  <c r="C168" i="84"/>
  <c r="M166" i="84"/>
  <c r="G166" i="84"/>
  <c r="F166" i="84"/>
  <c r="E166" i="84"/>
  <c r="D166" i="84"/>
  <c r="C166" i="84"/>
  <c r="M165" i="84"/>
  <c r="G165" i="84"/>
  <c r="F165" i="84"/>
  <c r="E165" i="84"/>
  <c r="D165" i="84"/>
  <c r="C165" i="84"/>
  <c r="M164" i="84"/>
  <c r="G164" i="84"/>
  <c r="F164" i="84"/>
  <c r="E164" i="84"/>
  <c r="D164" i="84"/>
  <c r="C164" i="84"/>
  <c r="M163" i="84"/>
  <c r="G163" i="84"/>
  <c r="F163" i="84"/>
  <c r="E163" i="84"/>
  <c r="D163" i="84"/>
  <c r="C163" i="84"/>
  <c r="M162" i="84"/>
  <c r="G162" i="84"/>
  <c r="F162" i="84"/>
  <c r="E162" i="84"/>
  <c r="D162" i="84"/>
  <c r="C162" i="84"/>
  <c r="M161" i="84"/>
  <c r="G161" i="84"/>
  <c r="F161" i="84"/>
  <c r="E161" i="84"/>
  <c r="D161" i="84"/>
  <c r="C161" i="84"/>
  <c r="M160" i="84"/>
  <c r="G160" i="84"/>
  <c r="F160" i="84"/>
  <c r="E160" i="84"/>
  <c r="D160" i="84"/>
  <c r="C160" i="84"/>
  <c r="M159" i="84"/>
  <c r="G159" i="84"/>
  <c r="F159" i="84"/>
  <c r="E159" i="84"/>
  <c r="D159" i="84"/>
  <c r="C159" i="84"/>
  <c r="M158" i="84"/>
  <c r="G158" i="84"/>
  <c r="F158" i="84"/>
  <c r="E158" i="84"/>
  <c r="D158" i="84"/>
  <c r="C158" i="84"/>
  <c r="M157" i="84"/>
  <c r="G157" i="84"/>
  <c r="F157" i="84"/>
  <c r="E157" i="84"/>
  <c r="D157" i="84"/>
  <c r="C157" i="84"/>
  <c r="M156" i="84"/>
  <c r="G156" i="84"/>
  <c r="F156" i="84"/>
  <c r="E156" i="84"/>
  <c r="D156" i="84"/>
  <c r="C156" i="84"/>
  <c r="M155" i="84"/>
  <c r="G155" i="84"/>
  <c r="F155" i="84"/>
  <c r="E155" i="84"/>
  <c r="D155" i="84"/>
  <c r="C155" i="84"/>
  <c r="M154" i="84"/>
  <c r="G154" i="84"/>
  <c r="F154" i="84"/>
  <c r="E154" i="84"/>
  <c r="D154" i="84"/>
  <c r="C154" i="84"/>
  <c r="M153" i="84"/>
  <c r="G153" i="84"/>
  <c r="F153" i="84"/>
  <c r="E153" i="84"/>
  <c r="D153" i="84"/>
  <c r="C153" i="84"/>
  <c r="M152" i="84"/>
  <c r="G152" i="84"/>
  <c r="F152" i="84"/>
  <c r="E152" i="84"/>
  <c r="D152" i="84"/>
  <c r="C152" i="84"/>
  <c r="M151" i="84"/>
  <c r="G151" i="84"/>
  <c r="F151" i="84"/>
  <c r="E151" i="84"/>
  <c r="D151" i="84"/>
  <c r="C151" i="84"/>
  <c r="M150" i="84"/>
  <c r="G150" i="84"/>
  <c r="F150" i="84"/>
  <c r="E150" i="84"/>
  <c r="D150" i="84"/>
  <c r="C150" i="84"/>
  <c r="M149" i="84"/>
  <c r="G149" i="84"/>
  <c r="F149" i="84"/>
  <c r="E149" i="84"/>
  <c r="D149" i="84"/>
  <c r="C149" i="84"/>
  <c r="M148" i="84"/>
  <c r="G148" i="84"/>
  <c r="F148" i="84"/>
  <c r="E148" i="84"/>
  <c r="D148" i="84"/>
  <c r="C148" i="84"/>
  <c r="M147" i="84"/>
  <c r="G147" i="84"/>
  <c r="F147" i="84"/>
  <c r="E147" i="84"/>
  <c r="D147" i="84"/>
  <c r="C147" i="84"/>
  <c r="M146" i="84"/>
  <c r="G146" i="84"/>
  <c r="F146" i="84"/>
  <c r="E146" i="84"/>
  <c r="D146" i="84"/>
  <c r="C146" i="84"/>
  <c r="M145" i="84"/>
  <c r="G145" i="84"/>
  <c r="F145" i="84"/>
  <c r="E145" i="84"/>
  <c r="D145" i="84"/>
  <c r="C145" i="84"/>
  <c r="M144" i="84"/>
  <c r="G144" i="84"/>
  <c r="F144" i="84"/>
  <c r="E144" i="84"/>
  <c r="D144" i="84"/>
  <c r="C144" i="84"/>
  <c r="M143" i="84"/>
  <c r="G143" i="84"/>
  <c r="F143" i="84"/>
  <c r="E143" i="84"/>
  <c r="D143" i="84"/>
  <c r="C143" i="84"/>
  <c r="M141" i="84"/>
  <c r="G141" i="84"/>
  <c r="F141" i="84"/>
  <c r="E141" i="84"/>
  <c r="D141" i="84"/>
  <c r="C141" i="84"/>
  <c r="M140" i="84"/>
  <c r="G140" i="84"/>
  <c r="F140" i="84"/>
  <c r="E140" i="84"/>
  <c r="D140" i="84"/>
  <c r="C140" i="84"/>
  <c r="M138" i="84"/>
  <c r="G138" i="84"/>
  <c r="F138" i="84"/>
  <c r="E138" i="84"/>
  <c r="D138" i="84"/>
  <c r="C138" i="84"/>
  <c r="M137" i="84"/>
  <c r="G137" i="84"/>
  <c r="F137" i="84"/>
  <c r="E137" i="84"/>
  <c r="D137" i="84"/>
  <c r="C137" i="84"/>
  <c r="R135" i="84"/>
  <c r="Q135" i="84"/>
  <c r="D128" i="84"/>
  <c r="C23" i="84" s="1"/>
  <c r="C6" i="84"/>
  <c r="C5" i="84"/>
  <c r="K289" i="83"/>
  <c r="J289" i="83"/>
  <c r="H289" i="83"/>
  <c r="G289" i="83"/>
  <c r="F289" i="83"/>
  <c r="E289" i="83"/>
  <c r="Q289" i="83" s="1"/>
  <c r="D289" i="83"/>
  <c r="K288" i="83"/>
  <c r="J288" i="83"/>
  <c r="H288" i="83"/>
  <c r="G288" i="83"/>
  <c r="F288" i="83"/>
  <c r="E288" i="83"/>
  <c r="Q288" i="83" s="1"/>
  <c r="D288" i="83"/>
  <c r="K287" i="83"/>
  <c r="J287" i="83"/>
  <c r="H287" i="83"/>
  <c r="G287" i="83"/>
  <c r="F287" i="83"/>
  <c r="E287" i="83"/>
  <c r="Q287" i="83" s="1"/>
  <c r="D287" i="83"/>
  <c r="O287" i="83" s="1"/>
  <c r="K286" i="83"/>
  <c r="J286" i="83"/>
  <c r="H286" i="83"/>
  <c r="G286" i="83"/>
  <c r="F286" i="83"/>
  <c r="E286" i="83"/>
  <c r="Q286" i="83" s="1"/>
  <c r="D286" i="83"/>
  <c r="K285" i="83"/>
  <c r="J285" i="83"/>
  <c r="H285" i="83"/>
  <c r="G285" i="83"/>
  <c r="F285" i="83"/>
  <c r="E285" i="83"/>
  <c r="Q285" i="83" s="1"/>
  <c r="D285" i="83"/>
  <c r="O285" i="83" s="1"/>
  <c r="K284" i="83"/>
  <c r="J284" i="83"/>
  <c r="H284" i="83"/>
  <c r="G284" i="83"/>
  <c r="F284" i="83"/>
  <c r="E284" i="83"/>
  <c r="Q284" i="83" s="1"/>
  <c r="D284" i="83"/>
  <c r="K283" i="83"/>
  <c r="J283" i="83"/>
  <c r="H283" i="83"/>
  <c r="G283" i="83"/>
  <c r="F283" i="83"/>
  <c r="E283" i="83"/>
  <c r="Q283" i="83" s="1"/>
  <c r="D283" i="83"/>
  <c r="K282" i="83"/>
  <c r="J282" i="83"/>
  <c r="H282" i="83"/>
  <c r="G282" i="83"/>
  <c r="F282" i="83"/>
  <c r="E282" i="83"/>
  <c r="Q282" i="83" s="1"/>
  <c r="D282" i="83"/>
  <c r="K281" i="83"/>
  <c r="J281" i="83"/>
  <c r="H281" i="83"/>
  <c r="G281" i="83"/>
  <c r="F281" i="83"/>
  <c r="E281" i="83"/>
  <c r="Q281" i="83" s="1"/>
  <c r="D281" i="83"/>
  <c r="M281" i="83" s="1"/>
  <c r="K280" i="83"/>
  <c r="J280" i="83"/>
  <c r="H280" i="83"/>
  <c r="G280" i="83"/>
  <c r="F280" i="83"/>
  <c r="E280" i="83"/>
  <c r="Q280" i="83" s="1"/>
  <c r="D280" i="83"/>
  <c r="O280" i="83" s="1"/>
  <c r="K279" i="83"/>
  <c r="J279" i="83"/>
  <c r="H279" i="83"/>
  <c r="G279" i="83"/>
  <c r="F279" i="83"/>
  <c r="E279" i="83"/>
  <c r="Q279" i="83" s="1"/>
  <c r="D279" i="83"/>
  <c r="K278" i="83"/>
  <c r="J278" i="83"/>
  <c r="H278" i="83"/>
  <c r="G278" i="83"/>
  <c r="F278" i="83"/>
  <c r="E278" i="83"/>
  <c r="Q278" i="83" s="1"/>
  <c r="D278" i="83"/>
  <c r="O278" i="83" s="1"/>
  <c r="K277" i="83"/>
  <c r="J277" i="83"/>
  <c r="H277" i="83"/>
  <c r="G277" i="83"/>
  <c r="F277" i="83"/>
  <c r="E277" i="83"/>
  <c r="Q277" i="83" s="1"/>
  <c r="D277" i="83"/>
  <c r="K276" i="83"/>
  <c r="J276" i="83"/>
  <c r="H276" i="83"/>
  <c r="G276" i="83"/>
  <c r="F276" i="83"/>
  <c r="E276" i="83"/>
  <c r="Q276" i="83" s="1"/>
  <c r="D276" i="83"/>
  <c r="K275" i="83"/>
  <c r="J275" i="83"/>
  <c r="H275" i="83"/>
  <c r="G275" i="83"/>
  <c r="F275" i="83"/>
  <c r="E275" i="83"/>
  <c r="Q275" i="83" s="1"/>
  <c r="D275" i="83"/>
  <c r="K274" i="83"/>
  <c r="J274" i="83"/>
  <c r="H274" i="83"/>
  <c r="G274" i="83"/>
  <c r="F274" i="83"/>
  <c r="E274" i="83"/>
  <c r="Q274" i="83" s="1"/>
  <c r="D274" i="83"/>
  <c r="O274" i="83" s="1"/>
  <c r="K273" i="83"/>
  <c r="J273" i="83"/>
  <c r="H273" i="83"/>
  <c r="G273" i="83"/>
  <c r="F273" i="83"/>
  <c r="E273" i="83"/>
  <c r="Q273" i="83" s="1"/>
  <c r="D273" i="83"/>
  <c r="O273" i="83" s="1"/>
  <c r="K272" i="83"/>
  <c r="J272" i="83"/>
  <c r="H272" i="83"/>
  <c r="G272" i="83"/>
  <c r="F272" i="83"/>
  <c r="E272" i="83"/>
  <c r="Q272" i="83" s="1"/>
  <c r="D272" i="83"/>
  <c r="O272" i="83" s="1"/>
  <c r="K271" i="83"/>
  <c r="J271" i="83"/>
  <c r="H271" i="83"/>
  <c r="G271" i="83"/>
  <c r="F271" i="83"/>
  <c r="E271" i="83"/>
  <c r="Q271" i="83" s="1"/>
  <c r="D271" i="83"/>
  <c r="O271" i="83" s="1"/>
  <c r="K270" i="83"/>
  <c r="J270" i="83"/>
  <c r="H270" i="83"/>
  <c r="G270" i="83"/>
  <c r="F270" i="83"/>
  <c r="E270" i="83"/>
  <c r="Q270" i="83" s="1"/>
  <c r="D270" i="83"/>
  <c r="O270" i="83" s="1"/>
  <c r="K269" i="83"/>
  <c r="J269" i="83"/>
  <c r="H269" i="83"/>
  <c r="G269" i="83"/>
  <c r="F269" i="83"/>
  <c r="E269" i="83"/>
  <c r="Q269" i="83" s="1"/>
  <c r="D269" i="83"/>
  <c r="O269" i="83" s="1"/>
  <c r="K268" i="83"/>
  <c r="J268" i="83"/>
  <c r="H268" i="83"/>
  <c r="G268" i="83"/>
  <c r="F268" i="83"/>
  <c r="E268" i="83"/>
  <c r="Q268" i="83" s="1"/>
  <c r="D268" i="83"/>
  <c r="K267" i="83"/>
  <c r="J267" i="83"/>
  <c r="H267" i="83"/>
  <c r="G267" i="83"/>
  <c r="F267" i="83"/>
  <c r="E267" i="83"/>
  <c r="Q267" i="83" s="1"/>
  <c r="D267" i="83"/>
  <c r="K266" i="83"/>
  <c r="J266" i="83"/>
  <c r="H266" i="83"/>
  <c r="G266" i="83"/>
  <c r="F266" i="83"/>
  <c r="E266" i="83"/>
  <c r="Q266" i="83" s="1"/>
  <c r="D266" i="83"/>
  <c r="O266" i="83" s="1"/>
  <c r="K265" i="83"/>
  <c r="J265" i="83"/>
  <c r="H265" i="83"/>
  <c r="G265" i="83"/>
  <c r="F265" i="83"/>
  <c r="E265" i="83"/>
  <c r="Q265" i="83" s="1"/>
  <c r="D265" i="83"/>
  <c r="O265" i="83" s="1"/>
  <c r="K264" i="83"/>
  <c r="J264" i="83"/>
  <c r="H264" i="83"/>
  <c r="G264" i="83"/>
  <c r="F264" i="83"/>
  <c r="E264" i="83"/>
  <c r="Q264" i="83" s="1"/>
  <c r="D264" i="83"/>
  <c r="O264" i="83" s="1"/>
  <c r="K263" i="83"/>
  <c r="J263" i="83"/>
  <c r="H263" i="83"/>
  <c r="G263" i="83"/>
  <c r="F263" i="83"/>
  <c r="E263" i="83"/>
  <c r="Q263" i="83" s="1"/>
  <c r="D263" i="83"/>
  <c r="O263" i="83" s="1"/>
  <c r="K262" i="83"/>
  <c r="J262" i="83"/>
  <c r="H262" i="83"/>
  <c r="G262" i="83"/>
  <c r="F262" i="83"/>
  <c r="E262" i="83"/>
  <c r="Q262" i="83" s="1"/>
  <c r="D262" i="83"/>
  <c r="O262" i="83" s="1"/>
  <c r="K261" i="83"/>
  <c r="J261" i="83"/>
  <c r="H261" i="83"/>
  <c r="G261" i="83"/>
  <c r="F261" i="83"/>
  <c r="E261" i="83"/>
  <c r="Q261" i="83" s="1"/>
  <c r="D261" i="83"/>
  <c r="O261" i="83" s="1"/>
  <c r="K260" i="83"/>
  <c r="J260" i="83"/>
  <c r="H260" i="83"/>
  <c r="G260" i="83"/>
  <c r="F260" i="83"/>
  <c r="E260" i="83"/>
  <c r="Q260" i="83" s="1"/>
  <c r="D260" i="83"/>
  <c r="K259" i="83"/>
  <c r="J259" i="83"/>
  <c r="H259" i="83"/>
  <c r="G259" i="83"/>
  <c r="F259" i="83"/>
  <c r="E259" i="83"/>
  <c r="Q259" i="83" s="1"/>
  <c r="D259" i="83"/>
  <c r="O259" i="83" s="1"/>
  <c r="K258" i="83"/>
  <c r="J258" i="83"/>
  <c r="H258" i="83"/>
  <c r="G258" i="83"/>
  <c r="F258" i="83"/>
  <c r="E258" i="83"/>
  <c r="Q258" i="83" s="1"/>
  <c r="R258" i="83" s="1"/>
  <c r="D258" i="83"/>
  <c r="O258" i="83" s="1"/>
  <c r="K257" i="83"/>
  <c r="J257" i="83"/>
  <c r="H257" i="83"/>
  <c r="G257" i="83"/>
  <c r="F257" i="83"/>
  <c r="E257" i="83"/>
  <c r="Q257" i="83" s="1"/>
  <c r="D257" i="83"/>
  <c r="O257" i="83" s="1"/>
  <c r="K256" i="83"/>
  <c r="J256" i="83"/>
  <c r="H256" i="83"/>
  <c r="G256" i="83"/>
  <c r="F256" i="83"/>
  <c r="E256" i="83"/>
  <c r="Q256" i="83" s="1"/>
  <c r="D256" i="83"/>
  <c r="O256" i="83" s="1"/>
  <c r="K255" i="83"/>
  <c r="J255" i="83"/>
  <c r="H255" i="83"/>
  <c r="G255" i="83"/>
  <c r="F255" i="83"/>
  <c r="E255" i="83"/>
  <c r="D255" i="83"/>
  <c r="O255" i="83" s="1"/>
  <c r="K254" i="83"/>
  <c r="J254" i="83"/>
  <c r="H254" i="83"/>
  <c r="G254" i="83"/>
  <c r="F254" i="83"/>
  <c r="E254" i="83"/>
  <c r="D254" i="83"/>
  <c r="K253" i="83"/>
  <c r="J253" i="83"/>
  <c r="H253" i="83"/>
  <c r="G253" i="83"/>
  <c r="F253" i="83"/>
  <c r="E253" i="83"/>
  <c r="D253" i="83"/>
  <c r="O253" i="83" s="1"/>
  <c r="K252" i="83"/>
  <c r="J252" i="83"/>
  <c r="H252" i="83"/>
  <c r="G252" i="83"/>
  <c r="F252" i="83"/>
  <c r="E252" i="83"/>
  <c r="D252" i="83"/>
  <c r="K251" i="83"/>
  <c r="J251" i="83"/>
  <c r="H251" i="83"/>
  <c r="G251" i="83"/>
  <c r="F251" i="83"/>
  <c r="E251" i="83"/>
  <c r="D251" i="83"/>
  <c r="O251" i="83" s="1"/>
  <c r="K250" i="83"/>
  <c r="J250" i="83"/>
  <c r="H250" i="83"/>
  <c r="G250" i="83"/>
  <c r="F250" i="83"/>
  <c r="E250" i="83"/>
  <c r="D250" i="83"/>
  <c r="K249" i="83"/>
  <c r="J249" i="83"/>
  <c r="H249" i="83"/>
  <c r="G249" i="83"/>
  <c r="F249" i="83"/>
  <c r="E249" i="83"/>
  <c r="D249" i="83"/>
  <c r="K248" i="83"/>
  <c r="J248" i="83"/>
  <c r="H248" i="83"/>
  <c r="G248" i="83"/>
  <c r="F248" i="83"/>
  <c r="E248" i="83"/>
  <c r="D248" i="83"/>
  <c r="O248" i="83" s="1"/>
  <c r="K247" i="83"/>
  <c r="J247" i="83"/>
  <c r="H247" i="83"/>
  <c r="G247" i="83"/>
  <c r="F247" i="83"/>
  <c r="E247" i="83"/>
  <c r="Q247" i="83" s="1"/>
  <c r="D247" i="83"/>
  <c r="K246" i="83"/>
  <c r="J246" i="83"/>
  <c r="H246" i="83"/>
  <c r="G246" i="83"/>
  <c r="M246" i="83" s="1"/>
  <c r="F246" i="83"/>
  <c r="E246" i="83"/>
  <c r="Q246" i="83" s="1"/>
  <c r="R246" i="83" s="1"/>
  <c r="D246" i="83"/>
  <c r="O246" i="83" s="1"/>
  <c r="O245" i="83"/>
  <c r="K245" i="83"/>
  <c r="J245" i="83"/>
  <c r="H245" i="83"/>
  <c r="G245" i="83"/>
  <c r="M245" i="83" s="1"/>
  <c r="F245" i="83"/>
  <c r="E245" i="83"/>
  <c r="Q245" i="83" s="1"/>
  <c r="D245" i="83"/>
  <c r="K244" i="83"/>
  <c r="J244" i="83"/>
  <c r="H244" i="83"/>
  <c r="G244" i="83"/>
  <c r="F244" i="83"/>
  <c r="E244" i="83"/>
  <c r="Q244" i="83" s="1"/>
  <c r="D244" i="83"/>
  <c r="K243" i="83"/>
  <c r="J243" i="83"/>
  <c r="H243" i="83"/>
  <c r="G243" i="83"/>
  <c r="F243" i="83"/>
  <c r="E243" i="83"/>
  <c r="D243" i="83"/>
  <c r="O243" i="83" s="1"/>
  <c r="K242" i="83"/>
  <c r="J242" i="83"/>
  <c r="H242" i="83"/>
  <c r="G242" i="83"/>
  <c r="F242" i="83"/>
  <c r="E242" i="83"/>
  <c r="Q242" i="83" s="1"/>
  <c r="D242" i="83"/>
  <c r="O242" i="83" s="1"/>
  <c r="K241" i="83"/>
  <c r="J241" i="83"/>
  <c r="H241" i="83"/>
  <c r="G241" i="83"/>
  <c r="F241" i="83"/>
  <c r="E241" i="83"/>
  <c r="Q241" i="83" s="1"/>
  <c r="D241" i="83"/>
  <c r="K240" i="83"/>
  <c r="J240" i="83"/>
  <c r="H240" i="83"/>
  <c r="G240" i="83"/>
  <c r="F240" i="83"/>
  <c r="E240" i="83"/>
  <c r="Q240" i="83" s="1"/>
  <c r="D240" i="83"/>
  <c r="O240" i="83" s="1"/>
  <c r="K239" i="83"/>
  <c r="J239" i="83"/>
  <c r="H239" i="83"/>
  <c r="G239" i="83"/>
  <c r="F239" i="83"/>
  <c r="E239" i="83"/>
  <c r="Q239" i="83" s="1"/>
  <c r="D239" i="83"/>
  <c r="O239" i="83" s="1"/>
  <c r="K238" i="83"/>
  <c r="J238" i="83"/>
  <c r="H238" i="83"/>
  <c r="G238" i="83"/>
  <c r="F238" i="83"/>
  <c r="E238" i="83"/>
  <c r="D238" i="83"/>
  <c r="O238" i="83" s="1"/>
  <c r="K237" i="83"/>
  <c r="J237" i="83"/>
  <c r="H237" i="83"/>
  <c r="G237" i="83"/>
  <c r="F237" i="83"/>
  <c r="E237" i="83"/>
  <c r="Q237" i="83" s="1"/>
  <c r="D237" i="83"/>
  <c r="O237" i="83" s="1"/>
  <c r="K236" i="83"/>
  <c r="J236" i="83"/>
  <c r="H236" i="83"/>
  <c r="G236" i="83"/>
  <c r="F236" i="83"/>
  <c r="E236" i="83"/>
  <c r="D236" i="83"/>
  <c r="K235" i="83"/>
  <c r="J235" i="83"/>
  <c r="H235" i="83"/>
  <c r="G235" i="83"/>
  <c r="F235" i="83"/>
  <c r="E235" i="83"/>
  <c r="Q235" i="83" s="1"/>
  <c r="D235" i="83"/>
  <c r="O235" i="83" s="1"/>
  <c r="K234" i="83"/>
  <c r="J234" i="83"/>
  <c r="H234" i="83"/>
  <c r="G234" i="83"/>
  <c r="F234" i="83"/>
  <c r="E234" i="83"/>
  <c r="Q234" i="83" s="1"/>
  <c r="D234" i="83"/>
  <c r="O234" i="83" s="1"/>
  <c r="K233" i="83"/>
  <c r="J233" i="83"/>
  <c r="H233" i="83"/>
  <c r="G233" i="83"/>
  <c r="F233" i="83"/>
  <c r="E233" i="83"/>
  <c r="Q233" i="83" s="1"/>
  <c r="D233" i="83"/>
  <c r="O233" i="83" s="1"/>
  <c r="K232" i="83"/>
  <c r="J232" i="83"/>
  <c r="H232" i="83"/>
  <c r="G232" i="83"/>
  <c r="F232" i="83"/>
  <c r="E232" i="83"/>
  <c r="Q232" i="83" s="1"/>
  <c r="D232" i="83"/>
  <c r="K231" i="83"/>
  <c r="J231" i="83"/>
  <c r="H231" i="83"/>
  <c r="G231" i="83"/>
  <c r="F231" i="83"/>
  <c r="E231" i="83"/>
  <c r="Q231" i="83" s="1"/>
  <c r="D231" i="83"/>
  <c r="O231" i="83" s="1"/>
  <c r="K230" i="83"/>
  <c r="J230" i="83"/>
  <c r="H230" i="83"/>
  <c r="G230" i="83"/>
  <c r="F230" i="83"/>
  <c r="E230" i="83"/>
  <c r="Q230" i="83" s="1"/>
  <c r="D230" i="83"/>
  <c r="O230" i="83" s="1"/>
  <c r="K229" i="83"/>
  <c r="J229" i="83"/>
  <c r="H229" i="83"/>
  <c r="G229" i="83"/>
  <c r="F229" i="83"/>
  <c r="E229" i="83"/>
  <c r="D229" i="83"/>
  <c r="O229" i="83" s="1"/>
  <c r="K228" i="83"/>
  <c r="J228" i="83"/>
  <c r="H228" i="83"/>
  <c r="G228" i="83"/>
  <c r="F228" i="83"/>
  <c r="E228" i="83"/>
  <c r="D228" i="83"/>
  <c r="K227" i="83"/>
  <c r="J227" i="83"/>
  <c r="H227" i="83"/>
  <c r="G227" i="83"/>
  <c r="F227" i="83"/>
  <c r="E227" i="83"/>
  <c r="D227" i="83"/>
  <c r="O227" i="83" s="1"/>
  <c r="K226" i="83"/>
  <c r="J226" i="83"/>
  <c r="H226" i="83"/>
  <c r="G226" i="83"/>
  <c r="F226" i="83"/>
  <c r="E226" i="83"/>
  <c r="D226" i="83"/>
  <c r="O226" i="83" s="1"/>
  <c r="K225" i="83"/>
  <c r="J225" i="83"/>
  <c r="H225" i="83"/>
  <c r="G225" i="83"/>
  <c r="F225" i="83"/>
  <c r="E225" i="83"/>
  <c r="D225" i="83"/>
  <c r="O225" i="83" s="1"/>
  <c r="K224" i="83"/>
  <c r="J224" i="83"/>
  <c r="H224" i="83"/>
  <c r="G224" i="83"/>
  <c r="F224" i="83"/>
  <c r="E224" i="83"/>
  <c r="D224" i="83"/>
  <c r="K223" i="83"/>
  <c r="J223" i="83"/>
  <c r="H223" i="83"/>
  <c r="G223" i="83"/>
  <c r="F223" i="83"/>
  <c r="E223" i="83"/>
  <c r="D223" i="83"/>
  <c r="O223" i="83" s="1"/>
  <c r="K222" i="83"/>
  <c r="J222" i="83"/>
  <c r="H222" i="83"/>
  <c r="G222" i="83"/>
  <c r="F222" i="83"/>
  <c r="E222" i="83"/>
  <c r="D222" i="83"/>
  <c r="O222" i="83" s="1"/>
  <c r="I289" i="83"/>
  <c r="I253" i="83"/>
  <c r="I286" i="83"/>
  <c r="I283" i="83"/>
  <c r="I281" i="83"/>
  <c r="I245" i="83"/>
  <c r="I278" i="83"/>
  <c r="I275" i="83"/>
  <c r="I273" i="83"/>
  <c r="I237" i="83"/>
  <c r="I270" i="83"/>
  <c r="I267" i="83"/>
  <c r="I231" i="83"/>
  <c r="I229" i="83"/>
  <c r="I262" i="83"/>
  <c r="C142" i="83"/>
  <c r="D142" i="83" s="1"/>
  <c r="I260" i="83"/>
  <c r="I258" i="83"/>
  <c r="I222" i="83"/>
  <c r="D124" i="83"/>
  <c r="E124" i="83" s="1"/>
  <c r="D123" i="83"/>
  <c r="E123" i="83" s="1"/>
  <c r="D122" i="83"/>
  <c r="E122" i="83" s="1"/>
  <c r="C16" i="83"/>
  <c r="C15" i="83"/>
  <c r="C14" i="83"/>
  <c r="K289" i="82"/>
  <c r="J289" i="82"/>
  <c r="H289" i="82"/>
  <c r="G289" i="82"/>
  <c r="F289" i="82"/>
  <c r="E289" i="82"/>
  <c r="Q289" i="82" s="1"/>
  <c r="D289" i="82"/>
  <c r="O289" i="82" s="1"/>
  <c r="K288" i="82"/>
  <c r="J288" i="82"/>
  <c r="H288" i="82"/>
  <c r="G288" i="82"/>
  <c r="F288" i="82"/>
  <c r="E288" i="82"/>
  <c r="Q288" i="82" s="1"/>
  <c r="D288" i="82"/>
  <c r="K287" i="82"/>
  <c r="J287" i="82"/>
  <c r="H287" i="82"/>
  <c r="G287" i="82"/>
  <c r="F287" i="82"/>
  <c r="E287" i="82"/>
  <c r="Q287" i="82" s="1"/>
  <c r="D287" i="82"/>
  <c r="O287" i="82" s="1"/>
  <c r="Q286" i="82"/>
  <c r="K286" i="82"/>
  <c r="J286" i="82"/>
  <c r="H286" i="82"/>
  <c r="G286" i="82"/>
  <c r="F286" i="82"/>
  <c r="E286" i="82"/>
  <c r="D286" i="82"/>
  <c r="K285" i="82"/>
  <c r="J285" i="82"/>
  <c r="H285" i="82"/>
  <c r="G285" i="82"/>
  <c r="F285" i="82"/>
  <c r="E285" i="82"/>
  <c r="Q285" i="82" s="1"/>
  <c r="D285" i="82"/>
  <c r="O285" i="82" s="1"/>
  <c r="K284" i="82"/>
  <c r="J284" i="82"/>
  <c r="H284" i="82"/>
  <c r="G284" i="82"/>
  <c r="F284" i="82"/>
  <c r="E284" i="82"/>
  <c r="Q284" i="82" s="1"/>
  <c r="D284" i="82"/>
  <c r="K283" i="82"/>
  <c r="J283" i="82"/>
  <c r="H283" i="82"/>
  <c r="G283" i="82"/>
  <c r="F283" i="82"/>
  <c r="E283" i="82"/>
  <c r="Q283" i="82" s="1"/>
  <c r="D283" i="82"/>
  <c r="O283" i="82" s="1"/>
  <c r="K282" i="82"/>
  <c r="J282" i="82"/>
  <c r="H282" i="82"/>
  <c r="G282" i="82"/>
  <c r="F282" i="82"/>
  <c r="E282" i="82"/>
  <c r="Q282" i="82" s="1"/>
  <c r="D282" i="82"/>
  <c r="K281" i="82"/>
  <c r="J281" i="82"/>
  <c r="H281" i="82"/>
  <c r="G281" i="82"/>
  <c r="F281" i="82"/>
  <c r="E281" i="82"/>
  <c r="Q281" i="82" s="1"/>
  <c r="D281" i="82"/>
  <c r="O281" i="82" s="1"/>
  <c r="K280" i="82"/>
  <c r="J280" i="82"/>
  <c r="H280" i="82"/>
  <c r="G280" i="82"/>
  <c r="F280" i="82"/>
  <c r="E280" i="82"/>
  <c r="Q280" i="82" s="1"/>
  <c r="D280" i="82"/>
  <c r="O280" i="82" s="1"/>
  <c r="K279" i="82"/>
  <c r="J279" i="82"/>
  <c r="H279" i="82"/>
  <c r="G279" i="82"/>
  <c r="F279" i="82"/>
  <c r="E279" i="82"/>
  <c r="Q279" i="82" s="1"/>
  <c r="D279" i="82"/>
  <c r="O279" i="82" s="1"/>
  <c r="K278" i="82"/>
  <c r="J278" i="82"/>
  <c r="H278" i="82"/>
  <c r="G278" i="82"/>
  <c r="M278" i="82" s="1"/>
  <c r="F278" i="82"/>
  <c r="E278" i="82"/>
  <c r="Q278" i="82" s="1"/>
  <c r="D278" i="82"/>
  <c r="O278" i="82" s="1"/>
  <c r="K277" i="82"/>
  <c r="J277" i="82"/>
  <c r="H277" i="82"/>
  <c r="G277" i="82"/>
  <c r="F277" i="82"/>
  <c r="E277" i="82"/>
  <c r="Q277" i="82" s="1"/>
  <c r="D277" i="82"/>
  <c r="O277" i="82" s="1"/>
  <c r="K276" i="82"/>
  <c r="J276" i="82"/>
  <c r="H276" i="82"/>
  <c r="G276" i="82"/>
  <c r="F276" i="82"/>
  <c r="E276" i="82"/>
  <c r="Q276" i="82" s="1"/>
  <c r="R276" i="82" s="1"/>
  <c r="D276" i="82"/>
  <c r="O276" i="82" s="1"/>
  <c r="K275" i="82"/>
  <c r="J275" i="82"/>
  <c r="H275" i="82"/>
  <c r="G275" i="82"/>
  <c r="F275" i="82"/>
  <c r="E275" i="82"/>
  <c r="Q275" i="82" s="1"/>
  <c r="D275" i="82"/>
  <c r="O275" i="82" s="1"/>
  <c r="K274" i="82"/>
  <c r="J274" i="82"/>
  <c r="H274" i="82"/>
  <c r="G274" i="82"/>
  <c r="F274" i="82"/>
  <c r="E274" i="82"/>
  <c r="Q274" i="82" s="1"/>
  <c r="D274" i="82"/>
  <c r="K273" i="82"/>
  <c r="J273" i="82"/>
  <c r="H273" i="82"/>
  <c r="G273" i="82"/>
  <c r="F273" i="82"/>
  <c r="E273" i="82"/>
  <c r="Q273" i="82" s="1"/>
  <c r="D273" i="82"/>
  <c r="O273" i="82" s="1"/>
  <c r="K272" i="82"/>
  <c r="J272" i="82"/>
  <c r="H272" i="82"/>
  <c r="G272" i="82"/>
  <c r="F272" i="82"/>
  <c r="E272" i="82"/>
  <c r="Q272" i="82" s="1"/>
  <c r="D272" i="82"/>
  <c r="O272" i="82" s="1"/>
  <c r="K271" i="82"/>
  <c r="J271" i="82"/>
  <c r="H271" i="82"/>
  <c r="G271" i="82"/>
  <c r="F271" i="82"/>
  <c r="E271" i="82"/>
  <c r="Q271" i="82" s="1"/>
  <c r="D271" i="82"/>
  <c r="O271" i="82" s="1"/>
  <c r="K270" i="82"/>
  <c r="J270" i="82"/>
  <c r="H270" i="82"/>
  <c r="G270" i="82"/>
  <c r="F270" i="82"/>
  <c r="E270" i="82"/>
  <c r="Q270" i="82" s="1"/>
  <c r="D270" i="82"/>
  <c r="O270" i="82" s="1"/>
  <c r="K269" i="82"/>
  <c r="J269" i="82"/>
  <c r="H269" i="82"/>
  <c r="G269" i="82"/>
  <c r="F269" i="82"/>
  <c r="E269" i="82"/>
  <c r="Q269" i="82" s="1"/>
  <c r="D269" i="82"/>
  <c r="O269" i="82" s="1"/>
  <c r="K268" i="82"/>
  <c r="J268" i="82"/>
  <c r="H268" i="82"/>
  <c r="G268" i="82"/>
  <c r="F268" i="82"/>
  <c r="E268" i="82"/>
  <c r="Q268" i="82" s="1"/>
  <c r="R268" i="82" s="1"/>
  <c r="D268" i="82"/>
  <c r="O268" i="82" s="1"/>
  <c r="O267" i="82"/>
  <c r="K267" i="82"/>
  <c r="J267" i="82"/>
  <c r="H267" i="82"/>
  <c r="G267" i="82"/>
  <c r="M267" i="82" s="1"/>
  <c r="F267" i="82"/>
  <c r="E267" i="82"/>
  <c r="Q267" i="82" s="1"/>
  <c r="R267" i="82" s="1"/>
  <c r="D267" i="82"/>
  <c r="K266" i="82"/>
  <c r="J266" i="82"/>
  <c r="H266" i="82"/>
  <c r="G266" i="82"/>
  <c r="F266" i="82"/>
  <c r="E266" i="82"/>
  <c r="Q266" i="82" s="1"/>
  <c r="D266" i="82"/>
  <c r="K265" i="82"/>
  <c r="J265" i="82"/>
  <c r="H265" i="82"/>
  <c r="G265" i="82"/>
  <c r="F265" i="82"/>
  <c r="E265" i="82"/>
  <c r="Q265" i="82" s="1"/>
  <c r="D265" i="82"/>
  <c r="O265" i="82" s="1"/>
  <c r="K264" i="82"/>
  <c r="J264" i="82"/>
  <c r="H264" i="82"/>
  <c r="G264" i="82"/>
  <c r="F264" i="82"/>
  <c r="E264" i="82"/>
  <c r="Q264" i="82" s="1"/>
  <c r="D264" i="82"/>
  <c r="O264" i="82" s="1"/>
  <c r="K263" i="82"/>
  <c r="J263" i="82"/>
  <c r="H263" i="82"/>
  <c r="G263" i="82"/>
  <c r="F263" i="82"/>
  <c r="E263" i="82"/>
  <c r="Q263" i="82" s="1"/>
  <c r="D263" i="82"/>
  <c r="O263" i="82" s="1"/>
  <c r="K262" i="82"/>
  <c r="J262" i="82"/>
  <c r="H262" i="82"/>
  <c r="G262" i="82"/>
  <c r="F262" i="82"/>
  <c r="E262" i="82"/>
  <c r="Q262" i="82" s="1"/>
  <c r="D262" i="82"/>
  <c r="O262" i="82" s="1"/>
  <c r="K261" i="82"/>
  <c r="J261" i="82"/>
  <c r="H261" i="82"/>
  <c r="G261" i="82"/>
  <c r="F261" i="82"/>
  <c r="E261" i="82"/>
  <c r="Q261" i="82" s="1"/>
  <c r="D261" i="82"/>
  <c r="O261" i="82" s="1"/>
  <c r="K260" i="82"/>
  <c r="J260" i="82"/>
  <c r="H260" i="82"/>
  <c r="G260" i="82"/>
  <c r="F260" i="82"/>
  <c r="E260" i="82"/>
  <c r="Q260" i="82" s="1"/>
  <c r="D260" i="82"/>
  <c r="O260" i="82" s="1"/>
  <c r="K259" i="82"/>
  <c r="J259" i="82"/>
  <c r="H259" i="82"/>
  <c r="G259" i="82"/>
  <c r="F259" i="82"/>
  <c r="E259" i="82"/>
  <c r="Q259" i="82" s="1"/>
  <c r="D259" i="82"/>
  <c r="O259" i="82" s="1"/>
  <c r="K258" i="82"/>
  <c r="J258" i="82"/>
  <c r="H258" i="82"/>
  <c r="G258" i="82"/>
  <c r="F258" i="82"/>
  <c r="E258" i="82"/>
  <c r="Q258" i="82" s="1"/>
  <c r="D258" i="82"/>
  <c r="K257" i="82"/>
  <c r="J257" i="82"/>
  <c r="H257" i="82"/>
  <c r="G257" i="82"/>
  <c r="F257" i="82"/>
  <c r="E257" i="82"/>
  <c r="Q257" i="82" s="1"/>
  <c r="D257" i="82"/>
  <c r="O257" i="82" s="1"/>
  <c r="K256" i="82"/>
  <c r="J256" i="82"/>
  <c r="H256" i="82"/>
  <c r="G256" i="82"/>
  <c r="F256" i="82"/>
  <c r="E256" i="82"/>
  <c r="Q256" i="82" s="1"/>
  <c r="D256" i="82"/>
  <c r="O256" i="82" s="1"/>
  <c r="K255" i="82"/>
  <c r="J255" i="82"/>
  <c r="H255" i="82"/>
  <c r="G255" i="82"/>
  <c r="F255" i="82"/>
  <c r="E255" i="82"/>
  <c r="Q255" i="82" s="1"/>
  <c r="D255" i="82"/>
  <c r="O255" i="82" s="1"/>
  <c r="K254" i="82"/>
  <c r="J254" i="82"/>
  <c r="H254" i="82"/>
  <c r="G254" i="82"/>
  <c r="F254" i="82"/>
  <c r="E254" i="82"/>
  <c r="Q254" i="82" s="1"/>
  <c r="D254" i="82"/>
  <c r="O254" i="82" s="1"/>
  <c r="K253" i="82"/>
  <c r="J253" i="82"/>
  <c r="H253" i="82"/>
  <c r="G253" i="82"/>
  <c r="F253" i="82"/>
  <c r="E253" i="82"/>
  <c r="Q253" i="82" s="1"/>
  <c r="D253" i="82"/>
  <c r="O253" i="82" s="1"/>
  <c r="K252" i="82"/>
  <c r="J252" i="82"/>
  <c r="H252" i="82"/>
  <c r="G252" i="82"/>
  <c r="F252" i="82"/>
  <c r="E252" i="82"/>
  <c r="Q252" i="82" s="1"/>
  <c r="D252" i="82"/>
  <c r="O252" i="82" s="1"/>
  <c r="K251" i="82"/>
  <c r="J251" i="82"/>
  <c r="H251" i="82"/>
  <c r="G251" i="82"/>
  <c r="F251" i="82"/>
  <c r="E251" i="82"/>
  <c r="Q251" i="82" s="1"/>
  <c r="D251" i="82"/>
  <c r="O251" i="82" s="1"/>
  <c r="K250" i="82"/>
  <c r="J250" i="82"/>
  <c r="H250" i="82"/>
  <c r="G250" i="82"/>
  <c r="F250" i="82"/>
  <c r="E250" i="82"/>
  <c r="Q250" i="82" s="1"/>
  <c r="D250" i="82"/>
  <c r="K249" i="82"/>
  <c r="J249" i="82"/>
  <c r="H249" i="82"/>
  <c r="G249" i="82"/>
  <c r="F249" i="82"/>
  <c r="E249" i="82"/>
  <c r="Q249" i="82" s="1"/>
  <c r="D249" i="82"/>
  <c r="O249" i="82" s="1"/>
  <c r="K248" i="82"/>
  <c r="J248" i="82"/>
  <c r="H248" i="82"/>
  <c r="G248" i="82"/>
  <c r="F248" i="82"/>
  <c r="E248" i="82"/>
  <c r="Q248" i="82" s="1"/>
  <c r="D248" i="82"/>
  <c r="O248" i="82" s="1"/>
  <c r="K247" i="82"/>
  <c r="J247" i="82"/>
  <c r="H247" i="82"/>
  <c r="G247" i="82"/>
  <c r="F247" i="82"/>
  <c r="E247" i="82"/>
  <c r="Q247" i="82" s="1"/>
  <c r="D247" i="82"/>
  <c r="O247" i="82" s="1"/>
  <c r="K246" i="82"/>
  <c r="J246" i="82"/>
  <c r="H246" i="82"/>
  <c r="G246" i="82"/>
  <c r="F246" i="82"/>
  <c r="E246" i="82"/>
  <c r="Q246" i="82" s="1"/>
  <c r="D246" i="82"/>
  <c r="O246" i="82" s="1"/>
  <c r="K245" i="82"/>
  <c r="J245" i="82"/>
  <c r="H245" i="82"/>
  <c r="G245" i="82"/>
  <c r="F245" i="82"/>
  <c r="E245" i="82"/>
  <c r="Q245" i="82" s="1"/>
  <c r="D245" i="82"/>
  <c r="O245" i="82" s="1"/>
  <c r="K244" i="82"/>
  <c r="J244" i="82"/>
  <c r="H244" i="82"/>
  <c r="G244" i="82"/>
  <c r="F244" i="82"/>
  <c r="E244" i="82"/>
  <c r="Q244" i="82" s="1"/>
  <c r="R244" i="82" s="1"/>
  <c r="D244" i="82"/>
  <c r="O244" i="82" s="1"/>
  <c r="K243" i="82"/>
  <c r="J243" i="82"/>
  <c r="H243" i="82"/>
  <c r="G243" i="82"/>
  <c r="F243" i="82"/>
  <c r="E243" i="82"/>
  <c r="Q243" i="82" s="1"/>
  <c r="D243" i="82"/>
  <c r="O243" i="82" s="1"/>
  <c r="K242" i="82"/>
  <c r="J242" i="82"/>
  <c r="H242" i="82"/>
  <c r="G242" i="82"/>
  <c r="F242" i="82"/>
  <c r="E242" i="82"/>
  <c r="Q242" i="82" s="1"/>
  <c r="D242" i="82"/>
  <c r="K241" i="82"/>
  <c r="J241" i="82"/>
  <c r="H241" i="82"/>
  <c r="G241" i="82"/>
  <c r="F241" i="82"/>
  <c r="E241" i="82"/>
  <c r="Q241" i="82" s="1"/>
  <c r="D241" i="82"/>
  <c r="O241" i="82" s="1"/>
  <c r="K240" i="82"/>
  <c r="J240" i="82"/>
  <c r="H240" i="82"/>
  <c r="G240" i="82"/>
  <c r="F240" i="82"/>
  <c r="E240" i="82"/>
  <c r="Q240" i="82" s="1"/>
  <c r="D240" i="82"/>
  <c r="O240" i="82" s="1"/>
  <c r="K239" i="82"/>
  <c r="J239" i="82"/>
  <c r="H239" i="82"/>
  <c r="G239" i="82"/>
  <c r="F239" i="82"/>
  <c r="E239" i="82"/>
  <c r="Q239" i="82" s="1"/>
  <c r="D239" i="82"/>
  <c r="O239" i="82" s="1"/>
  <c r="K238" i="82"/>
  <c r="J238" i="82"/>
  <c r="H238" i="82"/>
  <c r="G238" i="82"/>
  <c r="F238" i="82"/>
  <c r="E238" i="82"/>
  <c r="Q238" i="82" s="1"/>
  <c r="D238" i="82"/>
  <c r="O238" i="82" s="1"/>
  <c r="K237" i="82"/>
  <c r="J237" i="82"/>
  <c r="H237" i="82"/>
  <c r="G237" i="82"/>
  <c r="F237" i="82"/>
  <c r="E237" i="82"/>
  <c r="Q237" i="82" s="1"/>
  <c r="D237" i="82"/>
  <c r="O237" i="82" s="1"/>
  <c r="K236" i="82"/>
  <c r="J236" i="82"/>
  <c r="H236" i="82"/>
  <c r="G236" i="82"/>
  <c r="F236" i="82"/>
  <c r="E236" i="82"/>
  <c r="Q236" i="82" s="1"/>
  <c r="D236" i="82"/>
  <c r="O236" i="82" s="1"/>
  <c r="K235" i="82"/>
  <c r="J235" i="82"/>
  <c r="H235" i="82"/>
  <c r="G235" i="82"/>
  <c r="F235" i="82"/>
  <c r="E235" i="82"/>
  <c r="Q235" i="82" s="1"/>
  <c r="D235" i="82"/>
  <c r="O235" i="82" s="1"/>
  <c r="K234" i="82"/>
  <c r="J234" i="82"/>
  <c r="H234" i="82"/>
  <c r="G234" i="82"/>
  <c r="F234" i="82"/>
  <c r="E234" i="82"/>
  <c r="Q234" i="82" s="1"/>
  <c r="D234" i="82"/>
  <c r="K233" i="82"/>
  <c r="J233" i="82"/>
  <c r="H233" i="82"/>
  <c r="G233" i="82"/>
  <c r="F233" i="82"/>
  <c r="E233" i="82"/>
  <c r="Q233" i="82" s="1"/>
  <c r="D233" i="82"/>
  <c r="O233" i="82" s="1"/>
  <c r="K232" i="82"/>
  <c r="J232" i="82"/>
  <c r="H232" i="82"/>
  <c r="G232" i="82"/>
  <c r="F232" i="82"/>
  <c r="E232" i="82"/>
  <c r="Q232" i="82" s="1"/>
  <c r="D232" i="82"/>
  <c r="O232" i="82" s="1"/>
  <c r="K231" i="82"/>
  <c r="J231" i="82"/>
  <c r="H231" i="82"/>
  <c r="G231" i="82"/>
  <c r="F231" i="82"/>
  <c r="E231" i="82"/>
  <c r="Q231" i="82" s="1"/>
  <c r="D231" i="82"/>
  <c r="O231" i="82" s="1"/>
  <c r="K230" i="82"/>
  <c r="J230" i="82"/>
  <c r="H230" i="82"/>
  <c r="G230" i="82"/>
  <c r="F230" i="82"/>
  <c r="E230" i="82"/>
  <c r="Q230" i="82" s="1"/>
  <c r="D230" i="82"/>
  <c r="O230" i="82" s="1"/>
  <c r="K229" i="82"/>
  <c r="J229" i="82"/>
  <c r="H229" i="82"/>
  <c r="G229" i="82"/>
  <c r="F229" i="82"/>
  <c r="E229" i="82"/>
  <c r="Q229" i="82" s="1"/>
  <c r="D229" i="82"/>
  <c r="O229" i="82" s="1"/>
  <c r="K228" i="82"/>
  <c r="J228" i="82"/>
  <c r="H228" i="82"/>
  <c r="G228" i="82"/>
  <c r="F228" i="82"/>
  <c r="E228" i="82"/>
  <c r="Q228" i="82" s="1"/>
  <c r="D228" i="82"/>
  <c r="O228" i="82" s="1"/>
  <c r="K227" i="82"/>
  <c r="J227" i="82"/>
  <c r="H227" i="82"/>
  <c r="G227" i="82"/>
  <c r="F227" i="82"/>
  <c r="E227" i="82"/>
  <c r="Q227" i="82" s="1"/>
  <c r="D227" i="82"/>
  <c r="O227" i="82" s="1"/>
  <c r="K226" i="82"/>
  <c r="J226" i="82"/>
  <c r="H226" i="82"/>
  <c r="G226" i="82"/>
  <c r="F226" i="82"/>
  <c r="E226" i="82"/>
  <c r="Q226" i="82" s="1"/>
  <c r="D226" i="82"/>
  <c r="O226" i="82" s="1"/>
  <c r="K225" i="82"/>
  <c r="J225" i="82"/>
  <c r="H225" i="82"/>
  <c r="G225" i="82"/>
  <c r="F225" i="82"/>
  <c r="E225" i="82"/>
  <c r="Q225" i="82" s="1"/>
  <c r="D225" i="82"/>
  <c r="O225" i="82" s="1"/>
  <c r="K224" i="82"/>
  <c r="J224" i="82"/>
  <c r="H224" i="82"/>
  <c r="G224" i="82"/>
  <c r="F224" i="82"/>
  <c r="E224" i="82"/>
  <c r="Q224" i="82" s="1"/>
  <c r="R224" i="82" s="1"/>
  <c r="D224" i="82"/>
  <c r="O223" i="82"/>
  <c r="K223" i="82"/>
  <c r="J223" i="82"/>
  <c r="H223" i="82"/>
  <c r="G223" i="82"/>
  <c r="F223" i="82"/>
  <c r="E223" i="82"/>
  <c r="Q223" i="82" s="1"/>
  <c r="R223" i="82" s="1"/>
  <c r="D223" i="82"/>
  <c r="K222" i="82"/>
  <c r="J222" i="82"/>
  <c r="H222" i="82"/>
  <c r="G222" i="82"/>
  <c r="F222" i="82"/>
  <c r="E222" i="82"/>
  <c r="Q222" i="82" s="1"/>
  <c r="D222" i="82"/>
  <c r="I274" i="82"/>
  <c r="I230" i="82"/>
  <c r="I261" i="82"/>
  <c r="C142" i="82"/>
  <c r="D142" i="82" s="1"/>
  <c r="I258" i="82"/>
  <c r="C16" i="82"/>
  <c r="C15" i="82"/>
  <c r="C14" i="82"/>
  <c r="K289" i="81"/>
  <c r="J289" i="81"/>
  <c r="H289" i="81"/>
  <c r="G289" i="81"/>
  <c r="F289" i="81"/>
  <c r="E289" i="81"/>
  <c r="Q289" i="81" s="1"/>
  <c r="D289" i="81"/>
  <c r="O289" i="81" s="1"/>
  <c r="K288" i="81"/>
  <c r="J288" i="81"/>
  <c r="H288" i="81"/>
  <c r="G288" i="81"/>
  <c r="F288" i="81"/>
  <c r="E288" i="81"/>
  <c r="Q288" i="81" s="1"/>
  <c r="D288" i="81"/>
  <c r="K287" i="81"/>
  <c r="J287" i="81"/>
  <c r="H287" i="81"/>
  <c r="G287" i="81"/>
  <c r="F287" i="81"/>
  <c r="E287" i="81"/>
  <c r="Q287" i="81" s="1"/>
  <c r="D287" i="81"/>
  <c r="O287" i="81" s="1"/>
  <c r="K286" i="81"/>
  <c r="J286" i="81"/>
  <c r="H286" i="81"/>
  <c r="G286" i="81"/>
  <c r="F286" i="81"/>
  <c r="E286" i="81"/>
  <c r="Q286" i="81" s="1"/>
  <c r="D286" i="81"/>
  <c r="K285" i="81"/>
  <c r="J285" i="81"/>
  <c r="H285" i="81"/>
  <c r="G285" i="81"/>
  <c r="F285" i="81"/>
  <c r="E285" i="81"/>
  <c r="Q285" i="81" s="1"/>
  <c r="D285" i="81"/>
  <c r="O285" i="81" s="1"/>
  <c r="K284" i="81"/>
  <c r="J284" i="81"/>
  <c r="H284" i="81"/>
  <c r="G284" i="81"/>
  <c r="F284" i="81"/>
  <c r="E284" i="81"/>
  <c r="Q284" i="81" s="1"/>
  <c r="D284" i="81"/>
  <c r="K283" i="81"/>
  <c r="J283" i="81"/>
  <c r="H283" i="81"/>
  <c r="G283" i="81"/>
  <c r="F283" i="81"/>
  <c r="E283" i="81"/>
  <c r="Q283" i="81" s="1"/>
  <c r="D283" i="81"/>
  <c r="K282" i="81"/>
  <c r="J282" i="81"/>
  <c r="H282" i="81"/>
  <c r="G282" i="81"/>
  <c r="F282" i="81"/>
  <c r="E282" i="81"/>
  <c r="Q282" i="81" s="1"/>
  <c r="D282" i="81"/>
  <c r="K281" i="81"/>
  <c r="J281" i="81"/>
  <c r="H281" i="81"/>
  <c r="G281" i="81"/>
  <c r="F281" i="81"/>
  <c r="E281" i="81"/>
  <c r="Q281" i="81" s="1"/>
  <c r="D281" i="81"/>
  <c r="O281" i="81" s="1"/>
  <c r="K280" i="81"/>
  <c r="J280" i="81"/>
  <c r="H280" i="81"/>
  <c r="G280" i="81"/>
  <c r="F280" i="81"/>
  <c r="E280" i="81"/>
  <c r="Q280" i="81" s="1"/>
  <c r="D280" i="81"/>
  <c r="K279" i="81"/>
  <c r="J279" i="81"/>
  <c r="H279" i="81"/>
  <c r="G279" i="81"/>
  <c r="F279" i="81"/>
  <c r="E279" i="81"/>
  <c r="Q279" i="81" s="1"/>
  <c r="D279" i="81"/>
  <c r="O279" i="81" s="1"/>
  <c r="K278" i="81"/>
  <c r="J278" i="81"/>
  <c r="H278" i="81"/>
  <c r="G278" i="81"/>
  <c r="F278" i="81"/>
  <c r="E278" i="81"/>
  <c r="Q278" i="81" s="1"/>
  <c r="D278" i="81"/>
  <c r="K277" i="81"/>
  <c r="J277" i="81"/>
  <c r="H277" i="81"/>
  <c r="G277" i="81"/>
  <c r="F277" i="81"/>
  <c r="E277" i="81"/>
  <c r="Q277" i="81" s="1"/>
  <c r="D277" i="81"/>
  <c r="O277" i="81" s="1"/>
  <c r="K276" i="81"/>
  <c r="J276" i="81"/>
  <c r="H276" i="81"/>
  <c r="G276" i="81"/>
  <c r="F276" i="81"/>
  <c r="E276" i="81"/>
  <c r="Q276" i="81" s="1"/>
  <c r="D276" i="81"/>
  <c r="K275" i="81"/>
  <c r="J275" i="81"/>
  <c r="H275" i="81"/>
  <c r="G275" i="81"/>
  <c r="F275" i="81"/>
  <c r="E275" i="81"/>
  <c r="Q275" i="81" s="1"/>
  <c r="D275" i="81"/>
  <c r="O275" i="81" s="1"/>
  <c r="K274" i="81"/>
  <c r="J274" i="81"/>
  <c r="H274" i="81"/>
  <c r="G274" i="81"/>
  <c r="F274" i="81"/>
  <c r="E274" i="81"/>
  <c r="Q274" i="81" s="1"/>
  <c r="D274" i="81"/>
  <c r="K273" i="81"/>
  <c r="J273" i="81"/>
  <c r="H273" i="81"/>
  <c r="G273" i="81"/>
  <c r="F273" i="81"/>
  <c r="E273" i="81"/>
  <c r="Q273" i="81" s="1"/>
  <c r="D273" i="81"/>
  <c r="O273" i="81" s="1"/>
  <c r="K272" i="81"/>
  <c r="J272" i="81"/>
  <c r="H272" i="81"/>
  <c r="G272" i="81"/>
  <c r="F272" i="81"/>
  <c r="E272" i="81"/>
  <c r="Q272" i="81" s="1"/>
  <c r="D272" i="81"/>
  <c r="K271" i="81"/>
  <c r="J271" i="81"/>
  <c r="H271" i="81"/>
  <c r="G271" i="81"/>
  <c r="F271" i="81"/>
  <c r="E271" i="81"/>
  <c r="Q271" i="81" s="1"/>
  <c r="D271" i="81"/>
  <c r="O271" i="81" s="1"/>
  <c r="K270" i="81"/>
  <c r="J270" i="81"/>
  <c r="H270" i="81"/>
  <c r="G270" i="81"/>
  <c r="F270" i="81"/>
  <c r="E270" i="81"/>
  <c r="Q270" i="81" s="1"/>
  <c r="D270" i="81"/>
  <c r="K269" i="81"/>
  <c r="J269" i="81"/>
  <c r="H269" i="81"/>
  <c r="G269" i="81"/>
  <c r="F269" i="81"/>
  <c r="E269" i="81"/>
  <c r="Q269" i="81" s="1"/>
  <c r="D269" i="81"/>
  <c r="O269" i="81" s="1"/>
  <c r="K268" i="81"/>
  <c r="J268" i="81"/>
  <c r="H268" i="81"/>
  <c r="G268" i="81"/>
  <c r="F268" i="81"/>
  <c r="E268" i="81"/>
  <c r="Q268" i="81" s="1"/>
  <c r="D268" i="81"/>
  <c r="K267" i="81"/>
  <c r="J267" i="81"/>
  <c r="H267" i="81"/>
  <c r="G267" i="81"/>
  <c r="F267" i="81"/>
  <c r="E267" i="81"/>
  <c r="Q267" i="81" s="1"/>
  <c r="D267" i="81"/>
  <c r="O267" i="81" s="1"/>
  <c r="K266" i="81"/>
  <c r="J266" i="81"/>
  <c r="H266" i="81"/>
  <c r="G266" i="81"/>
  <c r="F266" i="81"/>
  <c r="E266" i="81"/>
  <c r="Q266" i="81" s="1"/>
  <c r="D266" i="81"/>
  <c r="K265" i="81"/>
  <c r="J265" i="81"/>
  <c r="H265" i="81"/>
  <c r="G265" i="81"/>
  <c r="F265" i="81"/>
  <c r="E265" i="81"/>
  <c r="Q265" i="81" s="1"/>
  <c r="D265" i="81"/>
  <c r="O265" i="81" s="1"/>
  <c r="K264" i="81"/>
  <c r="J264" i="81"/>
  <c r="H264" i="81"/>
  <c r="G264" i="81"/>
  <c r="F264" i="81"/>
  <c r="E264" i="81"/>
  <c r="Q264" i="81" s="1"/>
  <c r="D264" i="81"/>
  <c r="K263" i="81"/>
  <c r="J263" i="81"/>
  <c r="H263" i="81"/>
  <c r="G263" i="81"/>
  <c r="F263" i="81"/>
  <c r="E263" i="81"/>
  <c r="Q263" i="81" s="1"/>
  <c r="D263" i="81"/>
  <c r="O263" i="81" s="1"/>
  <c r="K262" i="81"/>
  <c r="J262" i="81"/>
  <c r="H262" i="81"/>
  <c r="G262" i="81"/>
  <c r="F262" i="81"/>
  <c r="E262" i="81"/>
  <c r="Q262" i="81" s="1"/>
  <c r="D262" i="81"/>
  <c r="K261" i="81"/>
  <c r="J261" i="81"/>
  <c r="H261" i="81"/>
  <c r="G261" i="81"/>
  <c r="F261" i="81"/>
  <c r="E261" i="81"/>
  <c r="Q261" i="81" s="1"/>
  <c r="D261" i="81"/>
  <c r="O261" i="81" s="1"/>
  <c r="K260" i="81"/>
  <c r="J260" i="81"/>
  <c r="H260" i="81"/>
  <c r="G260" i="81"/>
  <c r="F260" i="81"/>
  <c r="E260" i="81"/>
  <c r="Q260" i="81" s="1"/>
  <c r="D260" i="81"/>
  <c r="K259" i="81"/>
  <c r="J259" i="81"/>
  <c r="H259" i="81"/>
  <c r="G259" i="81"/>
  <c r="F259" i="81"/>
  <c r="E259" i="81"/>
  <c r="Q259" i="81" s="1"/>
  <c r="D259" i="81"/>
  <c r="O259" i="81" s="1"/>
  <c r="K258" i="81"/>
  <c r="J258" i="81"/>
  <c r="H258" i="81"/>
  <c r="G258" i="81"/>
  <c r="F258" i="81"/>
  <c r="E258" i="81"/>
  <c r="Q258" i="81" s="1"/>
  <c r="D258" i="81"/>
  <c r="K257" i="81"/>
  <c r="J257" i="81"/>
  <c r="H257" i="81"/>
  <c r="G257" i="81"/>
  <c r="F257" i="81"/>
  <c r="E257" i="81"/>
  <c r="Q257" i="81" s="1"/>
  <c r="D257" i="81"/>
  <c r="O257" i="81" s="1"/>
  <c r="K256" i="81"/>
  <c r="J256" i="81"/>
  <c r="H256" i="81"/>
  <c r="G256" i="81"/>
  <c r="F256" i="81"/>
  <c r="E256" i="81"/>
  <c r="Q256" i="81" s="1"/>
  <c r="D256" i="81"/>
  <c r="K255" i="81"/>
  <c r="J255" i="81"/>
  <c r="H255" i="81"/>
  <c r="G255" i="81"/>
  <c r="F255" i="81"/>
  <c r="E255" i="81"/>
  <c r="Q255" i="81" s="1"/>
  <c r="D255" i="81"/>
  <c r="O255" i="81" s="1"/>
  <c r="K254" i="81"/>
  <c r="J254" i="81"/>
  <c r="H254" i="81"/>
  <c r="G254" i="81"/>
  <c r="F254" i="81"/>
  <c r="E254" i="81"/>
  <c r="Q254" i="81" s="1"/>
  <c r="D254" i="81"/>
  <c r="K253" i="81"/>
  <c r="J253" i="81"/>
  <c r="H253" i="81"/>
  <c r="G253" i="81"/>
  <c r="F253" i="81"/>
  <c r="E253" i="81"/>
  <c r="Q253" i="81" s="1"/>
  <c r="D253" i="81"/>
  <c r="O253" i="81" s="1"/>
  <c r="K252" i="81"/>
  <c r="J252" i="81"/>
  <c r="H252" i="81"/>
  <c r="G252" i="81"/>
  <c r="F252" i="81"/>
  <c r="E252" i="81"/>
  <c r="Q252" i="81" s="1"/>
  <c r="D252" i="81"/>
  <c r="K251" i="81"/>
  <c r="J251" i="81"/>
  <c r="H251" i="81"/>
  <c r="G251" i="81"/>
  <c r="F251" i="81"/>
  <c r="E251" i="81"/>
  <c r="Q251" i="81" s="1"/>
  <c r="D251" i="81"/>
  <c r="O251" i="81" s="1"/>
  <c r="K250" i="81"/>
  <c r="J250" i="81"/>
  <c r="H250" i="81"/>
  <c r="G250" i="81"/>
  <c r="F250" i="81"/>
  <c r="E250" i="81"/>
  <c r="Q250" i="81" s="1"/>
  <c r="D250" i="81"/>
  <c r="K249" i="81"/>
  <c r="J249" i="81"/>
  <c r="H249" i="81"/>
  <c r="G249" i="81"/>
  <c r="F249" i="81"/>
  <c r="E249" i="81"/>
  <c r="Q249" i="81" s="1"/>
  <c r="D249" i="81"/>
  <c r="O249" i="81" s="1"/>
  <c r="K248" i="81"/>
  <c r="J248" i="81"/>
  <c r="H248" i="81"/>
  <c r="G248" i="81"/>
  <c r="F248" i="81"/>
  <c r="E248" i="81"/>
  <c r="Q248" i="81" s="1"/>
  <c r="D248" i="81"/>
  <c r="K247" i="81"/>
  <c r="J247" i="81"/>
  <c r="H247" i="81"/>
  <c r="G247" i="81"/>
  <c r="F247" i="81"/>
  <c r="E247" i="81"/>
  <c r="Q247" i="81" s="1"/>
  <c r="D247" i="81"/>
  <c r="O247" i="81" s="1"/>
  <c r="K246" i="81"/>
  <c r="J246" i="81"/>
  <c r="H246" i="81"/>
  <c r="G246" i="81"/>
  <c r="F246" i="81"/>
  <c r="E246" i="81"/>
  <c r="Q246" i="81" s="1"/>
  <c r="D246" i="81"/>
  <c r="K245" i="81"/>
  <c r="J245" i="81"/>
  <c r="H245" i="81"/>
  <c r="G245" i="81"/>
  <c r="F245" i="81"/>
  <c r="E245" i="81"/>
  <c r="Q245" i="81" s="1"/>
  <c r="D245" i="81"/>
  <c r="O245" i="81" s="1"/>
  <c r="K244" i="81"/>
  <c r="J244" i="81"/>
  <c r="H244" i="81"/>
  <c r="G244" i="81"/>
  <c r="F244" i="81"/>
  <c r="E244" i="81"/>
  <c r="Q244" i="81" s="1"/>
  <c r="D244" i="81"/>
  <c r="K243" i="81"/>
  <c r="J243" i="81"/>
  <c r="H243" i="81"/>
  <c r="G243" i="81"/>
  <c r="F243" i="81"/>
  <c r="E243" i="81"/>
  <c r="Q243" i="81" s="1"/>
  <c r="D243" i="81"/>
  <c r="O243" i="81" s="1"/>
  <c r="K242" i="81"/>
  <c r="J242" i="81"/>
  <c r="H242" i="81"/>
  <c r="G242" i="81"/>
  <c r="F242" i="81"/>
  <c r="E242" i="81"/>
  <c r="Q242" i="81" s="1"/>
  <c r="D242" i="81"/>
  <c r="K241" i="81"/>
  <c r="J241" i="81"/>
  <c r="H241" i="81"/>
  <c r="G241" i="81"/>
  <c r="F241" i="81"/>
  <c r="E241" i="81"/>
  <c r="Q241" i="81" s="1"/>
  <c r="D241" i="81"/>
  <c r="O241" i="81" s="1"/>
  <c r="K240" i="81"/>
  <c r="J240" i="81"/>
  <c r="H240" i="81"/>
  <c r="G240" i="81"/>
  <c r="F240" i="81"/>
  <c r="E240" i="81"/>
  <c r="Q240" i="81" s="1"/>
  <c r="D240" i="81"/>
  <c r="K239" i="81"/>
  <c r="J239" i="81"/>
  <c r="H239" i="81"/>
  <c r="G239" i="81"/>
  <c r="F239" i="81"/>
  <c r="E239" i="81"/>
  <c r="Q239" i="81" s="1"/>
  <c r="D239" i="81"/>
  <c r="O239" i="81" s="1"/>
  <c r="K238" i="81"/>
  <c r="J238" i="81"/>
  <c r="H238" i="81"/>
  <c r="G238" i="81"/>
  <c r="F238" i="81"/>
  <c r="E238" i="81"/>
  <c r="Q238" i="81" s="1"/>
  <c r="D238" i="81"/>
  <c r="K237" i="81"/>
  <c r="J237" i="81"/>
  <c r="H237" i="81"/>
  <c r="G237" i="81"/>
  <c r="F237" i="81"/>
  <c r="E237" i="81"/>
  <c r="Q237" i="81" s="1"/>
  <c r="D237" i="81"/>
  <c r="O237" i="81" s="1"/>
  <c r="K236" i="81"/>
  <c r="J236" i="81"/>
  <c r="H236" i="81"/>
  <c r="G236" i="81"/>
  <c r="F236" i="81"/>
  <c r="E236" i="81"/>
  <c r="Q236" i="81" s="1"/>
  <c r="D236" i="81"/>
  <c r="K235" i="81"/>
  <c r="J235" i="81"/>
  <c r="H235" i="81"/>
  <c r="G235" i="81"/>
  <c r="F235" i="81"/>
  <c r="E235" i="81"/>
  <c r="Q235" i="81" s="1"/>
  <c r="D235" i="81"/>
  <c r="O235" i="81" s="1"/>
  <c r="K234" i="81"/>
  <c r="J234" i="81"/>
  <c r="H234" i="81"/>
  <c r="G234" i="81"/>
  <c r="F234" i="81"/>
  <c r="E234" i="81"/>
  <c r="Q234" i="81" s="1"/>
  <c r="D234" i="81"/>
  <c r="K233" i="81"/>
  <c r="J233" i="81"/>
  <c r="H233" i="81"/>
  <c r="G233" i="81"/>
  <c r="F233" i="81"/>
  <c r="E233" i="81"/>
  <c r="Q233" i="81" s="1"/>
  <c r="D233" i="81"/>
  <c r="O233" i="81" s="1"/>
  <c r="K232" i="81"/>
  <c r="J232" i="81"/>
  <c r="H232" i="81"/>
  <c r="G232" i="81"/>
  <c r="F232" i="81"/>
  <c r="E232" i="81"/>
  <c r="Q232" i="81" s="1"/>
  <c r="D232" i="81"/>
  <c r="K231" i="81"/>
  <c r="J231" i="81"/>
  <c r="H231" i="81"/>
  <c r="G231" i="81"/>
  <c r="F231" i="81"/>
  <c r="E231" i="81"/>
  <c r="Q231" i="81" s="1"/>
  <c r="D231" i="81"/>
  <c r="O231" i="81" s="1"/>
  <c r="K230" i="81"/>
  <c r="J230" i="81"/>
  <c r="H230" i="81"/>
  <c r="G230" i="81"/>
  <c r="F230" i="81"/>
  <c r="E230" i="81"/>
  <c r="Q230" i="81" s="1"/>
  <c r="D230" i="81"/>
  <c r="K229" i="81"/>
  <c r="J229" i="81"/>
  <c r="H229" i="81"/>
  <c r="G229" i="81"/>
  <c r="F229" i="81"/>
  <c r="E229" i="81"/>
  <c r="Q229" i="81" s="1"/>
  <c r="D229" i="81"/>
  <c r="O229" i="81" s="1"/>
  <c r="K228" i="81"/>
  <c r="J228" i="81"/>
  <c r="H228" i="81"/>
  <c r="G228" i="81"/>
  <c r="F228" i="81"/>
  <c r="E228" i="81"/>
  <c r="Q228" i="81" s="1"/>
  <c r="D228" i="81"/>
  <c r="K227" i="81"/>
  <c r="J227" i="81"/>
  <c r="H227" i="81"/>
  <c r="G227" i="81"/>
  <c r="F227" i="81"/>
  <c r="E227" i="81"/>
  <c r="Q227" i="81" s="1"/>
  <c r="D227" i="81"/>
  <c r="O227" i="81" s="1"/>
  <c r="K226" i="81"/>
  <c r="J226" i="81"/>
  <c r="H226" i="81"/>
  <c r="G226" i="81"/>
  <c r="F226" i="81"/>
  <c r="E226" i="81"/>
  <c r="Q226" i="81" s="1"/>
  <c r="D226" i="81"/>
  <c r="K225" i="81"/>
  <c r="J225" i="81"/>
  <c r="H225" i="81"/>
  <c r="G225" i="81"/>
  <c r="F225" i="81"/>
  <c r="E225" i="81"/>
  <c r="Q225" i="81" s="1"/>
  <c r="D225" i="81"/>
  <c r="O225" i="81" s="1"/>
  <c r="K224" i="81"/>
  <c r="J224" i="81"/>
  <c r="H224" i="81"/>
  <c r="G224" i="81"/>
  <c r="F224" i="81"/>
  <c r="E224" i="81"/>
  <c r="Q224" i="81" s="1"/>
  <c r="D224" i="81"/>
  <c r="K223" i="81"/>
  <c r="J223" i="81"/>
  <c r="H223" i="81"/>
  <c r="G223" i="81"/>
  <c r="F223" i="81"/>
  <c r="E223" i="81"/>
  <c r="Q223" i="81" s="1"/>
  <c r="D223" i="81"/>
  <c r="O223" i="81" s="1"/>
  <c r="K222" i="81"/>
  <c r="J222" i="81"/>
  <c r="H222" i="81"/>
  <c r="G222" i="81"/>
  <c r="F222" i="81"/>
  <c r="E222" i="81"/>
  <c r="Q222" i="81" s="1"/>
  <c r="D222" i="81"/>
  <c r="J173" i="81" a="1"/>
  <c r="J173" i="81" s="1"/>
  <c r="I289" i="81" s="1"/>
  <c r="J172" i="81" a="1"/>
  <c r="J172" i="81" s="1"/>
  <c r="J171" i="81" a="1"/>
  <c r="J171" i="81" s="1"/>
  <c r="I287" i="81" s="1"/>
  <c r="J170" i="81" a="1"/>
  <c r="J170" i="81" s="1"/>
  <c r="J169" i="81" a="1"/>
  <c r="J169" i="81" s="1"/>
  <c r="I285" i="81" s="1"/>
  <c r="J168" i="81" a="1"/>
  <c r="J168" i="81" s="1"/>
  <c r="J166" i="81" a="1"/>
  <c r="J166" i="81" s="1"/>
  <c r="I283" i="81" s="1"/>
  <c r="J165" i="81" a="1"/>
  <c r="J165" i="81" s="1"/>
  <c r="J164" i="81" a="1"/>
  <c r="J164" i="81" s="1"/>
  <c r="I281" i="81" s="1"/>
  <c r="J163" i="81" a="1"/>
  <c r="J163" i="81" s="1"/>
  <c r="J162" i="81" a="1"/>
  <c r="J162" i="81" s="1"/>
  <c r="I279" i="81" s="1"/>
  <c r="J161" i="81" a="1"/>
  <c r="J161" i="81" s="1"/>
  <c r="J160" i="81" a="1"/>
  <c r="J160" i="81" s="1"/>
  <c r="I277" i="81" s="1"/>
  <c r="J159" i="81" a="1"/>
  <c r="J159" i="81" s="1"/>
  <c r="J158" i="81" a="1"/>
  <c r="J158" i="81" s="1"/>
  <c r="I275" i="81" s="1"/>
  <c r="J157" i="81" a="1"/>
  <c r="J157" i="81" s="1"/>
  <c r="J156" i="81" a="1"/>
  <c r="J156" i="81" s="1"/>
  <c r="I273" i="81" s="1"/>
  <c r="J155" i="81" a="1"/>
  <c r="J155" i="81" s="1"/>
  <c r="J154" i="81" a="1"/>
  <c r="J154" i="81" s="1"/>
  <c r="I271" i="81" s="1"/>
  <c r="J153" i="81" a="1"/>
  <c r="J153" i="81" s="1"/>
  <c r="J152" i="81" a="1"/>
  <c r="J152" i="81" s="1"/>
  <c r="I269" i="81" s="1"/>
  <c r="J151" i="81" a="1"/>
  <c r="J151" i="81" s="1"/>
  <c r="J150" i="81" a="1"/>
  <c r="J150" i="81" s="1"/>
  <c r="I267" i="81" s="1"/>
  <c r="J149" i="81" a="1"/>
  <c r="J149" i="81" s="1"/>
  <c r="J148" i="81" a="1"/>
  <c r="J148" i="81" s="1"/>
  <c r="I265" i="81" s="1"/>
  <c r="J147" i="81" a="1"/>
  <c r="J147" i="81" s="1"/>
  <c r="J146" i="81" a="1"/>
  <c r="J146" i="81" s="1"/>
  <c r="I263" i="81" s="1"/>
  <c r="J145" i="81" a="1"/>
  <c r="J145" i="81" s="1"/>
  <c r="J144" i="81" a="1"/>
  <c r="J144" i="81" s="1"/>
  <c r="I261" i="81" s="1"/>
  <c r="C142" i="81"/>
  <c r="D142" i="81" s="1"/>
  <c r="J143" i="81" a="1"/>
  <c r="J143" i="81" s="1"/>
  <c r="J141" i="81" a="1"/>
  <c r="J141" i="81" s="1"/>
  <c r="J140" i="81" a="1"/>
  <c r="J140" i="81" s="1"/>
  <c r="I258" i="81" s="1"/>
  <c r="J138" i="81" a="1"/>
  <c r="J138" i="81" s="1"/>
  <c r="J137" i="81" a="1"/>
  <c r="J137" i="81" s="1"/>
  <c r="I256" i="81" s="1"/>
  <c r="C16" i="81"/>
  <c r="C15" i="81"/>
  <c r="C14" i="81"/>
  <c r="E239" i="80"/>
  <c r="E240" i="80" s="1"/>
  <c r="E241" i="80" s="1"/>
  <c r="C112" i="80" s="1"/>
  <c r="H236" i="80"/>
  <c r="G236" i="80"/>
  <c r="M236" i="80" s="1"/>
  <c r="F236" i="80"/>
  <c r="E236" i="80"/>
  <c r="D236" i="80"/>
  <c r="I236" i="80" s="1"/>
  <c r="H235" i="80"/>
  <c r="G235" i="80"/>
  <c r="M235" i="80" s="1"/>
  <c r="F235" i="80"/>
  <c r="D235" i="80"/>
  <c r="I235" i="80" s="1"/>
  <c r="H234" i="80"/>
  <c r="G234" i="80"/>
  <c r="M234" i="80" s="1"/>
  <c r="F234" i="80"/>
  <c r="D234" i="80"/>
  <c r="I234" i="80" s="1"/>
  <c r="H233" i="80"/>
  <c r="G233" i="80"/>
  <c r="M233" i="80" s="1"/>
  <c r="F233" i="80"/>
  <c r="D233" i="80"/>
  <c r="I233" i="80" s="1"/>
  <c r="H232" i="80"/>
  <c r="G232" i="80"/>
  <c r="M232" i="80" s="1"/>
  <c r="F232" i="80"/>
  <c r="D232" i="80"/>
  <c r="I232" i="80" s="1"/>
  <c r="H231" i="80"/>
  <c r="G231" i="80"/>
  <c r="M231" i="80" s="1"/>
  <c r="F231" i="80"/>
  <c r="E231" i="80"/>
  <c r="D231" i="80"/>
  <c r="I231" i="80" s="1"/>
  <c r="H230" i="80"/>
  <c r="G230" i="80"/>
  <c r="M230" i="80" s="1"/>
  <c r="F230" i="80"/>
  <c r="D230" i="80"/>
  <c r="I230" i="80" s="1"/>
  <c r="H229" i="80"/>
  <c r="G229" i="80"/>
  <c r="M229" i="80" s="1"/>
  <c r="F229" i="80"/>
  <c r="D229" i="80"/>
  <c r="I229" i="80" s="1"/>
  <c r="H228" i="80"/>
  <c r="G228" i="80"/>
  <c r="M228" i="80" s="1"/>
  <c r="F228" i="80"/>
  <c r="D228" i="80"/>
  <c r="I228" i="80" s="1"/>
  <c r="H227" i="80"/>
  <c r="G227" i="80"/>
  <c r="M227" i="80" s="1"/>
  <c r="F227" i="80"/>
  <c r="D227" i="80"/>
  <c r="I227" i="80" s="1"/>
  <c r="C126" i="80"/>
  <c r="D126" i="80" s="1"/>
  <c r="C14" i="80"/>
  <c r="H236" i="79"/>
  <c r="G236" i="79"/>
  <c r="M236" i="79" s="1"/>
  <c r="F236" i="79"/>
  <c r="E236" i="79"/>
  <c r="D236" i="79"/>
  <c r="H235" i="79"/>
  <c r="G235" i="79"/>
  <c r="M235" i="79" s="1"/>
  <c r="F235" i="79"/>
  <c r="E235" i="79"/>
  <c r="D235" i="79"/>
  <c r="H234" i="79"/>
  <c r="G234" i="79"/>
  <c r="M234" i="79" s="1"/>
  <c r="F234" i="79"/>
  <c r="E234" i="79"/>
  <c r="D234" i="79"/>
  <c r="H233" i="79"/>
  <c r="G233" i="79"/>
  <c r="M233" i="79" s="1"/>
  <c r="F233" i="79"/>
  <c r="E233" i="79"/>
  <c r="D233" i="79"/>
  <c r="H232" i="79"/>
  <c r="G232" i="79"/>
  <c r="M232" i="79" s="1"/>
  <c r="F232" i="79"/>
  <c r="E232" i="79"/>
  <c r="D232" i="79"/>
  <c r="H231" i="79"/>
  <c r="G231" i="79"/>
  <c r="M231" i="79" s="1"/>
  <c r="F231" i="79"/>
  <c r="E231" i="79"/>
  <c r="D231" i="79"/>
  <c r="H230" i="79"/>
  <c r="G230" i="79"/>
  <c r="M230" i="79" s="1"/>
  <c r="F230" i="79"/>
  <c r="E230" i="79"/>
  <c r="D230" i="79"/>
  <c r="H229" i="79"/>
  <c r="G229" i="79"/>
  <c r="M229" i="79" s="1"/>
  <c r="F229" i="79"/>
  <c r="E229" i="79"/>
  <c r="D229" i="79"/>
  <c r="H228" i="79"/>
  <c r="G228" i="79"/>
  <c r="M228" i="79" s="1"/>
  <c r="F228" i="79"/>
  <c r="E228" i="79"/>
  <c r="D228" i="79"/>
  <c r="H227" i="79"/>
  <c r="G227" i="79"/>
  <c r="M227" i="79" s="1"/>
  <c r="F227" i="79"/>
  <c r="E227" i="79"/>
  <c r="D227" i="79"/>
  <c r="J157" i="79" a="1"/>
  <c r="J157" i="79" s="1"/>
  <c r="J156" i="79" a="1"/>
  <c r="J156" i="79" s="1"/>
  <c r="J155" i="79" a="1"/>
  <c r="J155" i="79" s="1"/>
  <c r="J154" i="79" a="1"/>
  <c r="J154" i="79" s="1"/>
  <c r="J153" i="79" a="1"/>
  <c r="J153" i="79" s="1"/>
  <c r="J152" i="79" a="1"/>
  <c r="J152" i="79" s="1"/>
  <c r="J150" i="79" a="1"/>
  <c r="J150" i="79" s="1"/>
  <c r="J149" i="79" a="1"/>
  <c r="J149" i="79" s="1"/>
  <c r="J148" i="79" a="1"/>
  <c r="J148" i="79" s="1"/>
  <c r="J147" i="79" a="1"/>
  <c r="J147" i="79" s="1"/>
  <c r="J146" i="79" a="1"/>
  <c r="J146" i="79" s="1"/>
  <c r="J145" i="79" a="1"/>
  <c r="J145" i="79" s="1"/>
  <c r="J144" i="79" a="1"/>
  <c r="J144" i="79" s="1"/>
  <c r="J143" i="79" a="1"/>
  <c r="J143" i="79" s="1"/>
  <c r="J142" i="79" a="1"/>
  <c r="J142" i="79" s="1"/>
  <c r="J141" i="79" a="1"/>
  <c r="J141" i="79" s="1"/>
  <c r="J140" i="79" a="1"/>
  <c r="J140" i="79" s="1"/>
  <c r="J139" i="79" a="1"/>
  <c r="J139" i="79" s="1"/>
  <c r="J138" i="79" a="1"/>
  <c r="J138" i="79" s="1"/>
  <c r="J137" i="79" a="1"/>
  <c r="J137" i="79" s="1"/>
  <c r="J136" i="79" a="1"/>
  <c r="J136" i="79" s="1"/>
  <c r="J135" i="79" a="1"/>
  <c r="J135" i="79" s="1"/>
  <c r="J134" i="79" a="1"/>
  <c r="J134" i="79" s="1"/>
  <c r="J133" i="79" a="1"/>
  <c r="J133" i="79" s="1"/>
  <c r="J132" i="79" a="1"/>
  <c r="J132" i="79" s="1"/>
  <c r="J131" i="79" a="1"/>
  <c r="J131" i="79" s="1"/>
  <c r="J130" i="79" a="1"/>
  <c r="J130" i="79" s="1"/>
  <c r="J129" i="79" a="1"/>
  <c r="J129" i="79" s="1"/>
  <c r="J128" i="79" a="1"/>
  <c r="J128" i="79" s="1"/>
  <c r="C126" i="79"/>
  <c r="D126" i="79" s="1"/>
  <c r="J127" i="79" a="1"/>
  <c r="J127" i="79" s="1"/>
  <c r="J125" i="79" a="1"/>
  <c r="J125" i="79" s="1"/>
  <c r="J124" i="79" a="1"/>
  <c r="J124" i="79" s="1"/>
  <c r="J122" i="79" a="1"/>
  <c r="J122" i="79" s="1"/>
  <c r="J121" i="79" a="1"/>
  <c r="J121" i="79" s="1"/>
  <c r="C14" i="79"/>
  <c r="J252" i="78"/>
  <c r="I252" i="78"/>
  <c r="F252" i="78"/>
  <c r="E252" i="78"/>
  <c r="J251" i="78"/>
  <c r="I251" i="78"/>
  <c r="F251" i="78"/>
  <c r="E251" i="78"/>
  <c r="J250" i="78"/>
  <c r="I250" i="78"/>
  <c r="F250" i="78"/>
  <c r="E250" i="78"/>
  <c r="J249" i="78"/>
  <c r="I249" i="78"/>
  <c r="F249" i="78"/>
  <c r="E249" i="78"/>
  <c r="J248" i="78"/>
  <c r="I248" i="78"/>
  <c r="F248" i="78"/>
  <c r="E248" i="78"/>
  <c r="J247" i="78"/>
  <c r="I247" i="78"/>
  <c r="F247" i="78"/>
  <c r="E247" i="78"/>
  <c r="J246" i="78"/>
  <c r="I246" i="78"/>
  <c r="F246" i="78"/>
  <c r="E246" i="78"/>
  <c r="J245" i="78"/>
  <c r="I245" i="78"/>
  <c r="F245" i="78"/>
  <c r="E245" i="78"/>
  <c r="J244" i="78"/>
  <c r="I244" i="78"/>
  <c r="F244" i="78"/>
  <c r="E244" i="78"/>
  <c r="J243" i="78"/>
  <c r="I243" i="78"/>
  <c r="F243" i="78"/>
  <c r="E243" i="78"/>
  <c r="F242" i="78"/>
  <c r="E242" i="78"/>
  <c r="D242" i="78"/>
  <c r="D252" i="78" s="1"/>
  <c r="F241" i="78"/>
  <c r="E241" i="78"/>
  <c r="D241" i="78"/>
  <c r="F240" i="78"/>
  <c r="E240" i="78"/>
  <c r="D240" i="78"/>
  <c r="D250" i="78" s="1"/>
  <c r="F239" i="78"/>
  <c r="E239" i="78"/>
  <c r="D239" i="78"/>
  <c r="F238" i="78"/>
  <c r="E238" i="78"/>
  <c r="D238" i="78"/>
  <c r="D248" i="78" s="1"/>
  <c r="F237" i="78"/>
  <c r="E237" i="78"/>
  <c r="D237" i="78"/>
  <c r="D247" i="78" s="1"/>
  <c r="F236" i="78"/>
  <c r="E236" i="78"/>
  <c r="D236" i="78"/>
  <c r="D246" i="78" s="1"/>
  <c r="F235" i="78"/>
  <c r="E235" i="78"/>
  <c r="D235" i="78"/>
  <c r="F234" i="78"/>
  <c r="E234" i="78"/>
  <c r="D234" i="78"/>
  <c r="F233" i="78"/>
  <c r="E233" i="78"/>
  <c r="D233" i="78"/>
  <c r="D243" i="78" s="1"/>
  <c r="E227" i="78"/>
  <c r="E226" i="78"/>
  <c r="E225" i="78"/>
  <c r="E224" i="78"/>
  <c r="E223" i="78"/>
  <c r="E222" i="78"/>
  <c r="E221" i="78"/>
  <c r="E220" i="78"/>
  <c r="E219" i="78"/>
  <c r="E218" i="78"/>
  <c r="C132" i="78"/>
  <c r="D132" i="78" s="1"/>
  <c r="C18" i="78"/>
  <c r="I12" i="78"/>
  <c r="J252" i="77"/>
  <c r="I252" i="77"/>
  <c r="F252" i="77"/>
  <c r="E252" i="77"/>
  <c r="J251" i="77"/>
  <c r="I251" i="77"/>
  <c r="F251" i="77"/>
  <c r="E251" i="77"/>
  <c r="J250" i="77"/>
  <c r="I250" i="77"/>
  <c r="F250" i="77"/>
  <c r="E250" i="77"/>
  <c r="J249" i="77"/>
  <c r="I249" i="77"/>
  <c r="F249" i="77"/>
  <c r="E249" i="77"/>
  <c r="J248" i="77"/>
  <c r="I248" i="77"/>
  <c r="F248" i="77"/>
  <c r="E248" i="77"/>
  <c r="J247" i="77"/>
  <c r="I247" i="77"/>
  <c r="F247" i="77"/>
  <c r="E247" i="77"/>
  <c r="J246" i="77"/>
  <c r="I246" i="77"/>
  <c r="F246" i="77"/>
  <c r="E246" i="77"/>
  <c r="J245" i="77"/>
  <c r="I245" i="77"/>
  <c r="F245" i="77"/>
  <c r="E245" i="77"/>
  <c r="J244" i="77"/>
  <c r="I244" i="77"/>
  <c r="F244" i="77"/>
  <c r="E244" i="77"/>
  <c r="J243" i="77"/>
  <c r="I243" i="77"/>
  <c r="F243" i="77"/>
  <c r="E243" i="77"/>
  <c r="F242" i="77"/>
  <c r="E242" i="77"/>
  <c r="D242" i="77"/>
  <c r="F241" i="77"/>
  <c r="E241" i="77"/>
  <c r="D241" i="77"/>
  <c r="D251" i="77" s="1"/>
  <c r="M251" i="77" s="1"/>
  <c r="F240" i="77"/>
  <c r="E240" i="77"/>
  <c r="D240" i="77"/>
  <c r="D250" i="77" s="1"/>
  <c r="F239" i="77"/>
  <c r="E239" i="77"/>
  <c r="D239" i="77"/>
  <c r="D249" i="77" s="1"/>
  <c r="F238" i="77"/>
  <c r="E238" i="77"/>
  <c r="D238" i="77"/>
  <c r="F237" i="77"/>
  <c r="E237" i="77"/>
  <c r="D237" i="77"/>
  <c r="D247" i="77" s="1"/>
  <c r="M247" i="77" s="1"/>
  <c r="F236" i="77"/>
  <c r="E236" i="77"/>
  <c r="D236" i="77"/>
  <c r="F235" i="77"/>
  <c r="E235" i="77"/>
  <c r="D235" i="77"/>
  <c r="D245" i="77" s="1"/>
  <c r="F234" i="77"/>
  <c r="E234" i="77"/>
  <c r="D234" i="77"/>
  <c r="F233" i="77"/>
  <c r="E233" i="77"/>
  <c r="D233" i="77"/>
  <c r="D243" i="77" s="1"/>
  <c r="M243" i="77" s="1"/>
  <c r="E227" i="77"/>
  <c r="E226" i="77"/>
  <c r="E225" i="77"/>
  <c r="E224" i="77"/>
  <c r="E223" i="77"/>
  <c r="E222" i="77"/>
  <c r="E221" i="77"/>
  <c r="E220" i="77"/>
  <c r="E219" i="77"/>
  <c r="E218" i="77"/>
  <c r="C132" i="77"/>
  <c r="D132" i="77" s="1"/>
  <c r="H107" i="77" a="1"/>
  <c r="H107" i="77" s="1"/>
  <c r="H106" i="77" a="1"/>
  <c r="H106" i="77" s="1"/>
  <c r="H105" i="77" a="1"/>
  <c r="H105" i="77" s="1"/>
  <c r="H104" i="77" a="1"/>
  <c r="H104" i="77" s="1"/>
  <c r="H103" i="77" a="1"/>
  <c r="H103" i="77" s="1"/>
  <c r="H102" i="77" a="1"/>
  <c r="H102" i="77" s="1"/>
  <c r="H100" i="77" a="1"/>
  <c r="H100" i="77" s="1"/>
  <c r="H99" i="77" a="1"/>
  <c r="H99" i="77" s="1"/>
  <c r="H98" i="77" a="1"/>
  <c r="H98" i="77" s="1"/>
  <c r="H97" i="77" a="1"/>
  <c r="H97" i="77" s="1"/>
  <c r="H96" i="77" a="1"/>
  <c r="H96" i="77" s="1"/>
  <c r="H95" i="77" a="1"/>
  <c r="H95" i="77" s="1"/>
  <c r="H94" i="77" a="1"/>
  <c r="H94" i="77" s="1"/>
  <c r="H93" i="77" a="1"/>
  <c r="H93" i="77" s="1"/>
  <c r="H92" i="77" a="1"/>
  <c r="H92" i="77" s="1"/>
  <c r="H91" i="77" a="1"/>
  <c r="H91" i="77" s="1"/>
  <c r="H90" i="77" a="1"/>
  <c r="H90" i="77" s="1"/>
  <c r="H89" i="77" a="1"/>
  <c r="H89" i="77" s="1"/>
  <c r="H88" i="77" a="1"/>
  <c r="H88" i="77" s="1"/>
  <c r="H87" i="77" a="1"/>
  <c r="H87" i="77" s="1"/>
  <c r="H86" i="77" a="1"/>
  <c r="H86" i="77" s="1"/>
  <c r="H85" i="77" a="1"/>
  <c r="H85" i="77" s="1"/>
  <c r="H84" i="77" a="1"/>
  <c r="H84" i="77" s="1"/>
  <c r="H83" i="77" a="1"/>
  <c r="H83" i="77" s="1"/>
  <c r="H82" i="77" a="1"/>
  <c r="H82" i="77" s="1"/>
  <c r="H81" i="77" a="1"/>
  <c r="H81" i="77" s="1"/>
  <c r="H80" i="77" a="1"/>
  <c r="H80" i="77" s="1"/>
  <c r="H79" i="77" a="1"/>
  <c r="H79" i="77" s="1"/>
  <c r="H78" i="77" a="1"/>
  <c r="H78" i="77" s="1"/>
  <c r="H77" i="77" a="1"/>
  <c r="H77" i="77" s="1"/>
  <c r="H75" i="77" a="1"/>
  <c r="H75" i="77" s="1"/>
  <c r="H74" i="77" a="1"/>
  <c r="H74" i="77" s="1"/>
  <c r="H72" i="77"/>
  <c r="H72" i="77" a="1"/>
  <c r="H71" i="77" a="1"/>
  <c r="H71" i="77" s="1"/>
  <c r="C18" i="77"/>
  <c r="I12" i="77"/>
  <c r="H109" i="76"/>
  <c r="G109" i="76"/>
  <c r="F109" i="76"/>
  <c r="E109" i="76"/>
  <c r="H108" i="76"/>
  <c r="G108" i="76"/>
  <c r="F108" i="76"/>
  <c r="E108" i="76"/>
  <c r="H107" i="76"/>
  <c r="G107" i="76"/>
  <c r="F107" i="76"/>
  <c r="E107" i="76"/>
  <c r="H106" i="76"/>
  <c r="G106" i="76"/>
  <c r="F106" i="76"/>
  <c r="E106" i="76"/>
  <c r="I106" i="76" s="1"/>
  <c r="H105" i="76"/>
  <c r="M105" i="76" s="1"/>
  <c r="G105" i="76"/>
  <c r="F105" i="76"/>
  <c r="J105" i="76" s="1"/>
  <c r="E105" i="76"/>
  <c r="H104" i="76"/>
  <c r="G104" i="76"/>
  <c r="F104" i="76"/>
  <c r="E104" i="76"/>
  <c r="H103" i="76"/>
  <c r="G103" i="76"/>
  <c r="F103" i="76"/>
  <c r="E103" i="76"/>
  <c r="H102" i="76"/>
  <c r="G102" i="76"/>
  <c r="F102" i="76"/>
  <c r="K102" i="76" s="1"/>
  <c r="E102" i="76"/>
  <c r="H101" i="76"/>
  <c r="G101" i="76"/>
  <c r="F101" i="76"/>
  <c r="J101" i="76" s="1"/>
  <c r="E101" i="76"/>
  <c r="H100" i="76"/>
  <c r="G100" i="76"/>
  <c r="F100" i="76"/>
  <c r="E100" i="76"/>
  <c r="H99" i="76"/>
  <c r="G99" i="76"/>
  <c r="F99" i="76"/>
  <c r="E99" i="76"/>
  <c r="H98" i="76"/>
  <c r="G98" i="76"/>
  <c r="F98" i="76"/>
  <c r="E98" i="76"/>
  <c r="H97" i="76"/>
  <c r="G97" i="76"/>
  <c r="F97" i="76"/>
  <c r="E97" i="76"/>
  <c r="H96" i="76"/>
  <c r="G96" i="76"/>
  <c r="F96" i="76"/>
  <c r="E96" i="76"/>
  <c r="H95" i="76"/>
  <c r="M95" i="76" s="1"/>
  <c r="G95" i="76"/>
  <c r="F95" i="76"/>
  <c r="E95" i="76"/>
  <c r="H109" i="75"/>
  <c r="J109" i="75" s="1"/>
  <c r="G109" i="75"/>
  <c r="F109" i="75"/>
  <c r="E109" i="75"/>
  <c r="H108" i="75"/>
  <c r="G108" i="75"/>
  <c r="F108" i="75"/>
  <c r="E108" i="75"/>
  <c r="H107" i="75"/>
  <c r="G107" i="75"/>
  <c r="F107" i="75"/>
  <c r="E107" i="75"/>
  <c r="H106" i="75"/>
  <c r="G106" i="75"/>
  <c r="F106" i="75"/>
  <c r="E106" i="75"/>
  <c r="H105" i="75"/>
  <c r="M105" i="75" s="1"/>
  <c r="G105" i="75"/>
  <c r="F105" i="75"/>
  <c r="K105" i="75" s="1"/>
  <c r="E105" i="75"/>
  <c r="H104" i="75"/>
  <c r="G104" i="75"/>
  <c r="F104" i="75"/>
  <c r="K104" i="75" s="1"/>
  <c r="E104" i="75"/>
  <c r="H103" i="75"/>
  <c r="G103" i="75"/>
  <c r="F103" i="75"/>
  <c r="K103" i="75" s="1"/>
  <c r="E103" i="75"/>
  <c r="H102" i="75"/>
  <c r="G102" i="75"/>
  <c r="F102" i="75"/>
  <c r="K102" i="75" s="1"/>
  <c r="E102" i="75"/>
  <c r="H101" i="75"/>
  <c r="G101" i="75"/>
  <c r="F101" i="75"/>
  <c r="E101" i="75"/>
  <c r="H100" i="75"/>
  <c r="G100" i="75"/>
  <c r="F100" i="75"/>
  <c r="E100" i="75"/>
  <c r="H99" i="75"/>
  <c r="G99" i="75"/>
  <c r="F99" i="75"/>
  <c r="E99" i="75"/>
  <c r="H98" i="75"/>
  <c r="G98" i="75"/>
  <c r="F98" i="75"/>
  <c r="E98" i="75"/>
  <c r="H97" i="75"/>
  <c r="G97" i="75"/>
  <c r="F97" i="75"/>
  <c r="E97" i="75"/>
  <c r="H96" i="75"/>
  <c r="G96" i="75"/>
  <c r="F96" i="75"/>
  <c r="E96" i="75"/>
  <c r="H95" i="75"/>
  <c r="M95" i="75" s="1"/>
  <c r="G95" i="75"/>
  <c r="F95" i="75"/>
  <c r="E95" i="75"/>
  <c r="H109" i="74"/>
  <c r="G109" i="74"/>
  <c r="F109" i="74"/>
  <c r="E109" i="74"/>
  <c r="H108" i="74"/>
  <c r="G108" i="74"/>
  <c r="F108" i="74"/>
  <c r="E108" i="74"/>
  <c r="H107" i="74"/>
  <c r="G107" i="74"/>
  <c r="F107" i="74"/>
  <c r="E107" i="74"/>
  <c r="H106" i="74"/>
  <c r="G106" i="74"/>
  <c r="F106" i="74"/>
  <c r="E106" i="74"/>
  <c r="H105" i="74"/>
  <c r="G105" i="74"/>
  <c r="F105" i="74"/>
  <c r="E105" i="74"/>
  <c r="H104" i="74"/>
  <c r="G104" i="74"/>
  <c r="F104" i="74"/>
  <c r="E104" i="74"/>
  <c r="H103" i="74"/>
  <c r="G103" i="74"/>
  <c r="F103" i="74"/>
  <c r="E103" i="74"/>
  <c r="H102" i="74"/>
  <c r="G102" i="74"/>
  <c r="F102" i="74"/>
  <c r="E102" i="74"/>
  <c r="H101" i="74"/>
  <c r="G101" i="74"/>
  <c r="F101" i="74"/>
  <c r="E101" i="74"/>
  <c r="H100" i="74"/>
  <c r="G100" i="74"/>
  <c r="F100" i="74"/>
  <c r="E100" i="74"/>
  <c r="H99" i="74"/>
  <c r="G99" i="74"/>
  <c r="F99" i="74"/>
  <c r="E99" i="74"/>
  <c r="H98" i="74"/>
  <c r="G98" i="74"/>
  <c r="F98" i="74"/>
  <c r="E98" i="74"/>
  <c r="J97" i="74"/>
  <c r="H97" i="74"/>
  <c r="G97" i="74"/>
  <c r="F97" i="74"/>
  <c r="E97" i="74"/>
  <c r="I97" i="74" s="1"/>
  <c r="H96" i="74"/>
  <c r="G96" i="74"/>
  <c r="F96" i="74"/>
  <c r="E96" i="74"/>
  <c r="H95" i="74"/>
  <c r="M95" i="74" s="1"/>
  <c r="G95" i="74"/>
  <c r="F95" i="74"/>
  <c r="E95" i="74"/>
  <c r="E78" i="73"/>
  <c r="E77" i="73"/>
  <c r="E76" i="73"/>
  <c r="D73" i="73"/>
  <c r="C73" i="73"/>
  <c r="C19" i="73"/>
  <c r="C20" i="73" s="1"/>
  <c r="C8" i="73"/>
  <c r="C5" i="73"/>
  <c r="C15" i="73" s="1"/>
  <c r="E78" i="72"/>
  <c r="E77" i="72"/>
  <c r="E76" i="72"/>
  <c r="D73" i="72"/>
  <c r="C73" i="72"/>
  <c r="C19" i="72"/>
  <c r="C20" i="72" s="1"/>
  <c r="C8" i="72"/>
  <c r="C5" i="72"/>
  <c r="C15" i="72" s="1"/>
  <c r="M114" i="49"/>
  <c r="L114" i="49"/>
  <c r="K114" i="49"/>
  <c r="J114" i="49"/>
  <c r="I114" i="49"/>
  <c r="E114" i="49"/>
  <c r="D114" i="49"/>
  <c r="M113" i="49"/>
  <c r="L113" i="49"/>
  <c r="K113" i="49"/>
  <c r="J113" i="49"/>
  <c r="I113" i="49"/>
  <c r="E113" i="49"/>
  <c r="D113" i="49"/>
  <c r="M112" i="49"/>
  <c r="L112" i="49"/>
  <c r="K112" i="49"/>
  <c r="J112" i="49"/>
  <c r="I112" i="49"/>
  <c r="E112" i="49"/>
  <c r="D112" i="49"/>
  <c r="M111" i="49"/>
  <c r="L111" i="49"/>
  <c r="K111" i="49"/>
  <c r="J111" i="49"/>
  <c r="I111" i="49"/>
  <c r="E111" i="49"/>
  <c r="D111" i="49"/>
  <c r="M110" i="49"/>
  <c r="L110" i="49"/>
  <c r="K110" i="49"/>
  <c r="J110" i="49"/>
  <c r="I110" i="49"/>
  <c r="E110" i="49"/>
  <c r="D110" i="49"/>
  <c r="M109" i="49"/>
  <c r="L109" i="49"/>
  <c r="K109" i="49"/>
  <c r="J109" i="49"/>
  <c r="I109" i="49"/>
  <c r="E109" i="49"/>
  <c r="D109" i="49"/>
  <c r="M108" i="49"/>
  <c r="L108" i="49"/>
  <c r="K108" i="49"/>
  <c r="J108" i="49"/>
  <c r="I108" i="49"/>
  <c r="E108" i="49"/>
  <c r="D108" i="49"/>
  <c r="M107" i="49"/>
  <c r="L107" i="49"/>
  <c r="K107" i="49"/>
  <c r="J107" i="49"/>
  <c r="I107" i="49"/>
  <c r="E107" i="49"/>
  <c r="D107" i="49"/>
  <c r="M106" i="49"/>
  <c r="L106" i="49"/>
  <c r="K106" i="49"/>
  <c r="J106" i="49"/>
  <c r="I106" i="49"/>
  <c r="E106" i="49"/>
  <c r="D106" i="49"/>
  <c r="M105" i="49"/>
  <c r="L105" i="49"/>
  <c r="K105" i="49"/>
  <c r="J105" i="49"/>
  <c r="I105" i="49"/>
  <c r="E105" i="49"/>
  <c r="D105" i="49"/>
  <c r="M104" i="49"/>
  <c r="L104" i="49"/>
  <c r="K104" i="49"/>
  <c r="J104" i="49"/>
  <c r="I104" i="49"/>
  <c r="E104" i="49"/>
  <c r="D104" i="49"/>
  <c r="M103" i="49"/>
  <c r="L103" i="49"/>
  <c r="K103" i="49"/>
  <c r="J103" i="49"/>
  <c r="I103" i="49"/>
  <c r="E103" i="49"/>
  <c r="D103" i="49"/>
  <c r="U102" i="49"/>
  <c r="M102" i="49"/>
  <c r="L102" i="49"/>
  <c r="K102" i="49"/>
  <c r="J102" i="49"/>
  <c r="I102" i="49"/>
  <c r="E102" i="49"/>
  <c r="D102" i="49"/>
  <c r="C92" i="49"/>
  <c r="C88" i="49"/>
  <c r="C87" i="49"/>
  <c r="D77" i="49"/>
  <c r="C5" i="49"/>
  <c r="M114" i="48"/>
  <c r="L114" i="48"/>
  <c r="K114" i="48"/>
  <c r="J114" i="48"/>
  <c r="I114" i="48"/>
  <c r="E114" i="48"/>
  <c r="D114" i="48"/>
  <c r="M113" i="48"/>
  <c r="L113" i="48"/>
  <c r="K113" i="48"/>
  <c r="J113" i="48"/>
  <c r="I113" i="48"/>
  <c r="E113" i="48"/>
  <c r="D113" i="48"/>
  <c r="M112" i="48"/>
  <c r="L112" i="48"/>
  <c r="K112" i="48"/>
  <c r="J112" i="48"/>
  <c r="I112" i="48"/>
  <c r="E112" i="48"/>
  <c r="D112" i="48"/>
  <c r="M111" i="48"/>
  <c r="L111" i="48"/>
  <c r="K111" i="48"/>
  <c r="J111" i="48"/>
  <c r="I111" i="48"/>
  <c r="E111" i="48"/>
  <c r="D111" i="48"/>
  <c r="M110" i="48"/>
  <c r="L110" i="48"/>
  <c r="K110" i="48"/>
  <c r="J110" i="48"/>
  <c r="I110" i="48"/>
  <c r="E110" i="48"/>
  <c r="D110" i="48"/>
  <c r="M109" i="48"/>
  <c r="L109" i="48"/>
  <c r="K109" i="48"/>
  <c r="J109" i="48"/>
  <c r="I109" i="48"/>
  <c r="E109" i="48"/>
  <c r="D109" i="48"/>
  <c r="M108" i="48"/>
  <c r="L108" i="48"/>
  <c r="K108" i="48"/>
  <c r="J108" i="48"/>
  <c r="I108" i="48"/>
  <c r="E108" i="48"/>
  <c r="D108" i="48"/>
  <c r="M107" i="48"/>
  <c r="L107" i="48"/>
  <c r="K107" i="48"/>
  <c r="J107" i="48"/>
  <c r="I107" i="48"/>
  <c r="E107" i="48"/>
  <c r="D107" i="48"/>
  <c r="M106" i="48"/>
  <c r="L106" i="48"/>
  <c r="K106" i="48"/>
  <c r="J106" i="48"/>
  <c r="I106" i="48"/>
  <c r="E106" i="48"/>
  <c r="D106" i="48"/>
  <c r="M105" i="48"/>
  <c r="L105" i="48"/>
  <c r="K105" i="48"/>
  <c r="J105" i="48"/>
  <c r="I105" i="48"/>
  <c r="E105" i="48"/>
  <c r="D105" i="48"/>
  <c r="M104" i="48"/>
  <c r="L104" i="48"/>
  <c r="K104" i="48"/>
  <c r="J104" i="48"/>
  <c r="I104" i="48"/>
  <c r="E104" i="48"/>
  <c r="D104" i="48"/>
  <c r="M103" i="48"/>
  <c r="L103" i="48"/>
  <c r="K103" i="48"/>
  <c r="J103" i="48"/>
  <c r="I103" i="48"/>
  <c r="E103" i="48"/>
  <c r="D103" i="48"/>
  <c r="U102" i="48"/>
  <c r="M102" i="48"/>
  <c r="L102" i="48"/>
  <c r="K102" i="48"/>
  <c r="J102" i="48"/>
  <c r="I102" i="48"/>
  <c r="E102" i="48"/>
  <c r="D102" i="48"/>
  <c r="C92" i="48"/>
  <c r="C91" i="48"/>
  <c r="C90" i="48"/>
  <c r="C89" i="48"/>
  <c r="C86" i="48"/>
  <c r="C85" i="48"/>
  <c r="C84" i="48"/>
  <c r="C83" i="48"/>
  <c r="C82" i="48"/>
  <c r="C81" i="48"/>
  <c r="C80" i="48"/>
  <c r="D77" i="48"/>
  <c r="D88" i="48" s="1"/>
  <c r="C110" i="48" s="1"/>
  <c r="C5" i="48"/>
  <c r="M114" i="47"/>
  <c r="L114" i="47"/>
  <c r="K114" i="47"/>
  <c r="J114" i="47"/>
  <c r="I114" i="47"/>
  <c r="E114" i="47"/>
  <c r="D114" i="47"/>
  <c r="M113" i="47"/>
  <c r="L113" i="47"/>
  <c r="K113" i="47"/>
  <c r="J113" i="47"/>
  <c r="I113" i="47"/>
  <c r="E113" i="47"/>
  <c r="D113" i="47"/>
  <c r="M112" i="47"/>
  <c r="L112" i="47"/>
  <c r="K112" i="47"/>
  <c r="J112" i="47"/>
  <c r="I112" i="47"/>
  <c r="E112" i="47"/>
  <c r="D112" i="47"/>
  <c r="M111" i="47"/>
  <c r="L111" i="47"/>
  <c r="K111" i="47"/>
  <c r="J111" i="47"/>
  <c r="I111" i="47"/>
  <c r="E111" i="47"/>
  <c r="D111" i="47"/>
  <c r="M110" i="47"/>
  <c r="L110" i="47"/>
  <c r="K110" i="47"/>
  <c r="J110" i="47"/>
  <c r="I110" i="47"/>
  <c r="E110" i="47"/>
  <c r="D110" i="47"/>
  <c r="M109" i="47"/>
  <c r="L109" i="47"/>
  <c r="K109" i="47"/>
  <c r="J109" i="47"/>
  <c r="I109" i="47"/>
  <c r="E109" i="47"/>
  <c r="D109" i="47"/>
  <c r="M108" i="47"/>
  <c r="L108" i="47"/>
  <c r="K108" i="47"/>
  <c r="J108" i="47"/>
  <c r="I108" i="47"/>
  <c r="E108" i="47"/>
  <c r="D108" i="47"/>
  <c r="M107" i="47"/>
  <c r="L107" i="47"/>
  <c r="K107" i="47"/>
  <c r="J107" i="47"/>
  <c r="I107" i="47"/>
  <c r="E107" i="47"/>
  <c r="D107" i="47"/>
  <c r="M106" i="47"/>
  <c r="L106" i="47"/>
  <c r="K106" i="47"/>
  <c r="J106" i="47"/>
  <c r="I106" i="47"/>
  <c r="E106" i="47"/>
  <c r="D106" i="47"/>
  <c r="M105" i="47"/>
  <c r="L105" i="47"/>
  <c r="K105" i="47"/>
  <c r="J105" i="47"/>
  <c r="I105" i="47"/>
  <c r="E105" i="47"/>
  <c r="D105" i="47"/>
  <c r="M104" i="47"/>
  <c r="L104" i="47"/>
  <c r="K104" i="47"/>
  <c r="J104" i="47"/>
  <c r="I104" i="47"/>
  <c r="E104" i="47"/>
  <c r="D104" i="47"/>
  <c r="M103" i="47"/>
  <c r="L103" i="47"/>
  <c r="K103" i="47"/>
  <c r="J103" i="47"/>
  <c r="I103" i="47"/>
  <c r="E103" i="47"/>
  <c r="D103" i="47"/>
  <c r="U102" i="47"/>
  <c r="M102" i="47"/>
  <c r="L102" i="47"/>
  <c r="K102" i="47"/>
  <c r="J102" i="47"/>
  <c r="I102" i="47"/>
  <c r="E102" i="47"/>
  <c r="D102" i="47"/>
  <c r="C92" i="47"/>
  <c r="C91" i="47"/>
  <c r="C90" i="47"/>
  <c r="C89" i="47"/>
  <c r="C88" i="47"/>
  <c r="C87" i="47"/>
  <c r="C86" i="47"/>
  <c r="C85" i="47"/>
  <c r="C84" i="47"/>
  <c r="C83" i="47"/>
  <c r="C82" i="47"/>
  <c r="C81" i="47"/>
  <c r="C80" i="47"/>
  <c r="D77" i="47"/>
  <c r="C5" i="47"/>
  <c r="M114" i="46"/>
  <c r="L114" i="46"/>
  <c r="K114" i="46"/>
  <c r="J114" i="46"/>
  <c r="I114" i="46"/>
  <c r="E114" i="46"/>
  <c r="D114" i="46"/>
  <c r="M113" i="46"/>
  <c r="L113" i="46"/>
  <c r="K113" i="46"/>
  <c r="J113" i="46"/>
  <c r="I113" i="46"/>
  <c r="E113" i="46"/>
  <c r="D113" i="46"/>
  <c r="M112" i="46"/>
  <c r="L112" i="46"/>
  <c r="K112" i="46"/>
  <c r="J112" i="46"/>
  <c r="I112" i="46"/>
  <c r="E112" i="46"/>
  <c r="D112" i="46"/>
  <c r="M111" i="46"/>
  <c r="L111" i="46"/>
  <c r="K111" i="46"/>
  <c r="J111" i="46"/>
  <c r="I111" i="46"/>
  <c r="E111" i="46"/>
  <c r="D111" i="46"/>
  <c r="M110" i="46"/>
  <c r="L110" i="46"/>
  <c r="K110" i="46"/>
  <c r="J110" i="46"/>
  <c r="I110" i="46"/>
  <c r="E110" i="46"/>
  <c r="D110" i="46"/>
  <c r="M109" i="46"/>
  <c r="L109" i="46"/>
  <c r="K109" i="46"/>
  <c r="J109" i="46"/>
  <c r="I109" i="46"/>
  <c r="E109" i="46"/>
  <c r="D109" i="46"/>
  <c r="M108" i="46"/>
  <c r="L108" i="46"/>
  <c r="K108" i="46"/>
  <c r="J108" i="46"/>
  <c r="I108" i="46"/>
  <c r="E108" i="46"/>
  <c r="D108" i="46"/>
  <c r="M107" i="46"/>
  <c r="L107" i="46"/>
  <c r="K107" i="46"/>
  <c r="J107" i="46"/>
  <c r="I107" i="46"/>
  <c r="E107" i="46"/>
  <c r="D107" i="46"/>
  <c r="M106" i="46"/>
  <c r="L106" i="46"/>
  <c r="K106" i="46"/>
  <c r="J106" i="46"/>
  <c r="I106" i="46"/>
  <c r="E106" i="46"/>
  <c r="D106" i="46"/>
  <c r="M105" i="46"/>
  <c r="L105" i="46"/>
  <c r="K105" i="46"/>
  <c r="J105" i="46"/>
  <c r="I105" i="46"/>
  <c r="E105" i="46"/>
  <c r="D105" i="46"/>
  <c r="M104" i="46"/>
  <c r="L104" i="46"/>
  <c r="K104" i="46"/>
  <c r="J104" i="46"/>
  <c r="I104" i="46"/>
  <c r="E104" i="46"/>
  <c r="D104" i="46"/>
  <c r="M103" i="46"/>
  <c r="L103" i="46"/>
  <c r="K103" i="46"/>
  <c r="J103" i="46"/>
  <c r="I103" i="46"/>
  <c r="E103" i="46"/>
  <c r="D103" i="46"/>
  <c r="U102" i="46"/>
  <c r="M102" i="46"/>
  <c r="L102" i="46"/>
  <c r="K102" i="46"/>
  <c r="J102" i="46"/>
  <c r="I102" i="46"/>
  <c r="E102" i="46"/>
  <c r="D102" i="46"/>
  <c r="C92" i="46"/>
  <c r="C88" i="46"/>
  <c r="C87" i="46"/>
  <c r="D77" i="46"/>
  <c r="D89" i="46" s="1"/>
  <c r="C111" i="46" s="1"/>
  <c r="C5" i="46"/>
  <c r="M114" i="45"/>
  <c r="L114" i="45"/>
  <c r="K114" i="45"/>
  <c r="J114" i="45"/>
  <c r="I114" i="45"/>
  <c r="E114" i="45"/>
  <c r="D114" i="45"/>
  <c r="M113" i="45"/>
  <c r="L113" i="45"/>
  <c r="K113" i="45"/>
  <c r="J113" i="45"/>
  <c r="I113" i="45"/>
  <c r="E113" i="45"/>
  <c r="D113" i="45"/>
  <c r="M112" i="45"/>
  <c r="L112" i="45"/>
  <c r="K112" i="45"/>
  <c r="J112" i="45"/>
  <c r="I112" i="45"/>
  <c r="E112" i="45"/>
  <c r="D112" i="45"/>
  <c r="M111" i="45"/>
  <c r="L111" i="45"/>
  <c r="K111" i="45"/>
  <c r="J111" i="45"/>
  <c r="I111" i="45"/>
  <c r="E111" i="45"/>
  <c r="D111" i="45"/>
  <c r="M110" i="45"/>
  <c r="L110" i="45"/>
  <c r="K110" i="45"/>
  <c r="J110" i="45"/>
  <c r="I110" i="45"/>
  <c r="E110" i="45"/>
  <c r="D110" i="45"/>
  <c r="M109" i="45"/>
  <c r="L109" i="45"/>
  <c r="K109" i="45"/>
  <c r="J109" i="45"/>
  <c r="I109" i="45"/>
  <c r="E109" i="45"/>
  <c r="D109" i="45"/>
  <c r="M108" i="45"/>
  <c r="L108" i="45"/>
  <c r="K108" i="45"/>
  <c r="J108" i="45"/>
  <c r="I108" i="45"/>
  <c r="E108" i="45"/>
  <c r="D108" i="45"/>
  <c r="M107" i="45"/>
  <c r="L107" i="45"/>
  <c r="K107" i="45"/>
  <c r="J107" i="45"/>
  <c r="I107" i="45"/>
  <c r="E107" i="45"/>
  <c r="D107" i="45"/>
  <c r="M106" i="45"/>
  <c r="L106" i="45"/>
  <c r="K106" i="45"/>
  <c r="J106" i="45"/>
  <c r="I106" i="45"/>
  <c r="E106" i="45"/>
  <c r="D106" i="45"/>
  <c r="M105" i="45"/>
  <c r="L105" i="45"/>
  <c r="K105" i="45"/>
  <c r="J105" i="45"/>
  <c r="I105" i="45"/>
  <c r="E105" i="45"/>
  <c r="D105" i="45"/>
  <c r="M104" i="45"/>
  <c r="L104" i="45"/>
  <c r="K104" i="45"/>
  <c r="J104" i="45"/>
  <c r="I104" i="45"/>
  <c r="E104" i="45"/>
  <c r="D104" i="45"/>
  <c r="M103" i="45"/>
  <c r="L103" i="45"/>
  <c r="K103" i="45"/>
  <c r="J103" i="45"/>
  <c r="I103" i="45"/>
  <c r="E103" i="45"/>
  <c r="D103" i="45"/>
  <c r="U102" i="45"/>
  <c r="M102" i="45"/>
  <c r="L102" i="45"/>
  <c r="K102" i="45"/>
  <c r="J102" i="45"/>
  <c r="I102" i="45"/>
  <c r="E102" i="45"/>
  <c r="D102" i="45"/>
  <c r="C92" i="45"/>
  <c r="C91" i="45"/>
  <c r="C90" i="45"/>
  <c r="C89" i="45"/>
  <c r="C86" i="45"/>
  <c r="C85" i="45"/>
  <c r="C84" i="45"/>
  <c r="C83" i="45"/>
  <c r="C82" i="45"/>
  <c r="C81" i="45"/>
  <c r="C80" i="45"/>
  <c r="D77" i="45"/>
  <c r="D88" i="45" s="1"/>
  <c r="C110" i="45" s="1"/>
  <c r="C5" i="45"/>
  <c r="M114" i="44"/>
  <c r="L114" i="44"/>
  <c r="K114" i="44"/>
  <c r="J114" i="44"/>
  <c r="I114" i="44"/>
  <c r="E114" i="44"/>
  <c r="D114" i="44"/>
  <c r="M113" i="44"/>
  <c r="L113" i="44"/>
  <c r="K113" i="44"/>
  <c r="J113" i="44"/>
  <c r="I113" i="44"/>
  <c r="E113" i="44"/>
  <c r="D113" i="44"/>
  <c r="M112" i="44"/>
  <c r="L112" i="44"/>
  <c r="K112" i="44"/>
  <c r="J112" i="44"/>
  <c r="I112" i="44"/>
  <c r="E112" i="44"/>
  <c r="D112" i="44"/>
  <c r="M111" i="44"/>
  <c r="L111" i="44"/>
  <c r="K111" i="44"/>
  <c r="J111" i="44"/>
  <c r="I111" i="44"/>
  <c r="E111" i="44"/>
  <c r="D111" i="44"/>
  <c r="M110" i="44"/>
  <c r="L110" i="44"/>
  <c r="K110" i="44"/>
  <c r="J110" i="44"/>
  <c r="I110" i="44"/>
  <c r="E110" i="44"/>
  <c r="D110" i="44"/>
  <c r="M109" i="44"/>
  <c r="L109" i="44"/>
  <c r="K109" i="44"/>
  <c r="J109" i="44"/>
  <c r="I109" i="44"/>
  <c r="E109" i="44"/>
  <c r="D109" i="44"/>
  <c r="M108" i="44"/>
  <c r="L108" i="44"/>
  <c r="K108" i="44"/>
  <c r="J108" i="44"/>
  <c r="I108" i="44"/>
  <c r="E108" i="44"/>
  <c r="D108" i="44"/>
  <c r="M107" i="44"/>
  <c r="L107" i="44"/>
  <c r="K107" i="44"/>
  <c r="J107" i="44"/>
  <c r="I107" i="44"/>
  <c r="E107" i="44"/>
  <c r="D107" i="44"/>
  <c r="M106" i="44"/>
  <c r="L106" i="44"/>
  <c r="K106" i="44"/>
  <c r="J106" i="44"/>
  <c r="I106" i="44"/>
  <c r="E106" i="44"/>
  <c r="D106" i="44"/>
  <c r="M105" i="44"/>
  <c r="L105" i="44"/>
  <c r="K105" i="44"/>
  <c r="J105" i="44"/>
  <c r="I105" i="44"/>
  <c r="E105" i="44"/>
  <c r="D105" i="44"/>
  <c r="M104" i="44"/>
  <c r="L104" i="44"/>
  <c r="K104" i="44"/>
  <c r="J104" i="44"/>
  <c r="I104" i="44"/>
  <c r="E104" i="44"/>
  <c r="D104" i="44"/>
  <c r="M103" i="44"/>
  <c r="L103" i="44"/>
  <c r="K103" i="44"/>
  <c r="J103" i="44"/>
  <c r="I103" i="44"/>
  <c r="E103" i="44"/>
  <c r="D103" i="44"/>
  <c r="U102" i="44"/>
  <c r="M102" i="44"/>
  <c r="L102" i="44"/>
  <c r="K102" i="44"/>
  <c r="J102" i="44"/>
  <c r="I102" i="44"/>
  <c r="E102" i="44"/>
  <c r="D102" i="44"/>
  <c r="C92" i="44"/>
  <c r="C91" i="44"/>
  <c r="C90" i="44"/>
  <c r="C89" i="44"/>
  <c r="C88" i="44"/>
  <c r="C87" i="44"/>
  <c r="C86" i="44"/>
  <c r="C85" i="44"/>
  <c r="C84" i="44"/>
  <c r="C83" i="44"/>
  <c r="C82" i="44"/>
  <c r="C81" i="44"/>
  <c r="C80" i="44"/>
  <c r="D77" i="44"/>
  <c r="C5" i="44"/>
  <c r="L93" i="41"/>
  <c r="G93" i="41"/>
  <c r="M93" i="41" s="1"/>
  <c r="F93" i="41"/>
  <c r="E93" i="41"/>
  <c r="I93" i="41" s="1"/>
  <c r="D93" i="41"/>
  <c r="L92" i="41"/>
  <c r="G92" i="41"/>
  <c r="F92" i="41"/>
  <c r="E92" i="41"/>
  <c r="D92" i="41"/>
  <c r="L91" i="41"/>
  <c r="G91" i="41"/>
  <c r="F91" i="41"/>
  <c r="E91" i="41"/>
  <c r="I91" i="41" s="1"/>
  <c r="D91" i="41"/>
  <c r="L90" i="41"/>
  <c r="G90" i="41"/>
  <c r="M90" i="41" s="1"/>
  <c r="O90" i="41" s="1"/>
  <c r="F90" i="41"/>
  <c r="E90" i="41"/>
  <c r="D90" i="41"/>
  <c r="L89" i="41"/>
  <c r="G89" i="41"/>
  <c r="M89" i="41" s="1"/>
  <c r="F89" i="41"/>
  <c r="E89" i="41"/>
  <c r="I89" i="41" s="1"/>
  <c r="D89" i="41"/>
  <c r="L88" i="41"/>
  <c r="G88" i="41"/>
  <c r="M88" i="41" s="1"/>
  <c r="F88" i="41"/>
  <c r="E88" i="41"/>
  <c r="D88" i="41"/>
  <c r="L87" i="41"/>
  <c r="G87" i="41"/>
  <c r="M87" i="41" s="1"/>
  <c r="F87" i="41"/>
  <c r="E87" i="41"/>
  <c r="I87" i="41" s="1"/>
  <c r="D87" i="41"/>
  <c r="L86" i="41"/>
  <c r="G86" i="41"/>
  <c r="M86" i="41" s="1"/>
  <c r="O86" i="41" s="1"/>
  <c r="F86" i="41"/>
  <c r="E86" i="41"/>
  <c r="D86" i="41"/>
  <c r="L85" i="41"/>
  <c r="G85" i="41"/>
  <c r="M85" i="41" s="1"/>
  <c r="F85" i="41"/>
  <c r="E85" i="41"/>
  <c r="I85" i="41" s="1"/>
  <c r="D85" i="41"/>
  <c r="C20" i="41"/>
  <c r="L93" i="40"/>
  <c r="G93" i="40"/>
  <c r="M93" i="40" s="1"/>
  <c r="F93" i="40"/>
  <c r="E93" i="40"/>
  <c r="I93" i="40" s="1"/>
  <c r="D93" i="40"/>
  <c r="L92" i="40"/>
  <c r="G92" i="40"/>
  <c r="M92" i="40" s="1"/>
  <c r="O92" i="40" s="1"/>
  <c r="F92" i="40"/>
  <c r="E92" i="40"/>
  <c r="D92" i="40"/>
  <c r="L91" i="40"/>
  <c r="G91" i="40"/>
  <c r="M91" i="40" s="1"/>
  <c r="F91" i="40"/>
  <c r="E91" i="40"/>
  <c r="D91" i="40"/>
  <c r="L90" i="40"/>
  <c r="G90" i="40"/>
  <c r="F90" i="40"/>
  <c r="E90" i="40"/>
  <c r="D90" i="40"/>
  <c r="L89" i="40"/>
  <c r="G89" i="40"/>
  <c r="M89" i="40" s="1"/>
  <c r="F89" i="40"/>
  <c r="E89" i="40"/>
  <c r="I89" i="40" s="1"/>
  <c r="D89" i="40"/>
  <c r="L88" i="40"/>
  <c r="G88" i="40"/>
  <c r="M88" i="40" s="1"/>
  <c r="O88" i="40" s="1"/>
  <c r="F88" i="40"/>
  <c r="E88" i="40"/>
  <c r="D88" i="40"/>
  <c r="L87" i="40"/>
  <c r="G87" i="40"/>
  <c r="M87" i="40" s="1"/>
  <c r="F87" i="40"/>
  <c r="E87" i="40"/>
  <c r="I87" i="40" s="1"/>
  <c r="D87" i="40"/>
  <c r="L86" i="40"/>
  <c r="G86" i="40"/>
  <c r="F86" i="40"/>
  <c r="E86" i="40"/>
  <c r="D86" i="40"/>
  <c r="L85" i="40"/>
  <c r="G85" i="40"/>
  <c r="F85" i="40"/>
  <c r="E85" i="40"/>
  <c r="I85" i="40" s="1"/>
  <c r="D85" i="40"/>
  <c r="C20" i="40"/>
  <c r="L93" i="39"/>
  <c r="G93" i="39"/>
  <c r="M93" i="39" s="1"/>
  <c r="F93" i="39"/>
  <c r="E93" i="39"/>
  <c r="I93" i="39" s="1"/>
  <c r="D93" i="39"/>
  <c r="L92" i="39"/>
  <c r="G92" i="39"/>
  <c r="F92" i="39"/>
  <c r="E92" i="39"/>
  <c r="D92" i="39"/>
  <c r="L91" i="39"/>
  <c r="G91" i="39"/>
  <c r="M91" i="39" s="1"/>
  <c r="F91" i="39"/>
  <c r="E91" i="39"/>
  <c r="I91" i="39" s="1"/>
  <c r="D91" i="39"/>
  <c r="L90" i="39"/>
  <c r="G90" i="39"/>
  <c r="M90" i="39" s="1"/>
  <c r="O90" i="39" s="1"/>
  <c r="F90" i="39"/>
  <c r="E90" i="39"/>
  <c r="D90" i="39"/>
  <c r="L89" i="39"/>
  <c r="G89" i="39"/>
  <c r="M89" i="39" s="1"/>
  <c r="F89" i="39"/>
  <c r="E89" i="39"/>
  <c r="I89" i="39" s="1"/>
  <c r="D89" i="39"/>
  <c r="L88" i="39"/>
  <c r="G88" i="39"/>
  <c r="M88" i="39" s="1"/>
  <c r="F88" i="39"/>
  <c r="E88" i="39"/>
  <c r="I88" i="39" s="1"/>
  <c r="D88" i="39"/>
  <c r="L87" i="39"/>
  <c r="G87" i="39"/>
  <c r="M87" i="39" s="1"/>
  <c r="F87" i="39"/>
  <c r="E87" i="39"/>
  <c r="D87" i="39"/>
  <c r="L86" i="39"/>
  <c r="G86" i="39"/>
  <c r="M86" i="39" s="1"/>
  <c r="O86" i="39" s="1"/>
  <c r="F86" i="39"/>
  <c r="E86" i="39"/>
  <c r="D86" i="39"/>
  <c r="L85" i="39"/>
  <c r="G85" i="39"/>
  <c r="M85" i="39" s="1"/>
  <c r="F85" i="39"/>
  <c r="E85" i="39"/>
  <c r="D85" i="39"/>
  <c r="C20" i="39"/>
  <c r="O111" i="38"/>
  <c r="N111" i="38"/>
  <c r="M111" i="38"/>
  <c r="L111" i="38"/>
  <c r="K111" i="38"/>
  <c r="J111" i="38"/>
  <c r="I111" i="38"/>
  <c r="H111" i="38"/>
  <c r="E111" i="38"/>
  <c r="O110" i="38"/>
  <c r="N110" i="38"/>
  <c r="M110" i="38"/>
  <c r="L110" i="38"/>
  <c r="K110" i="38"/>
  <c r="J110" i="38"/>
  <c r="I110" i="38"/>
  <c r="H110" i="38"/>
  <c r="E110" i="38"/>
  <c r="O109" i="38"/>
  <c r="N109" i="38"/>
  <c r="M109" i="38"/>
  <c r="L109" i="38"/>
  <c r="K109" i="38"/>
  <c r="J109" i="38"/>
  <c r="I109" i="38"/>
  <c r="H109" i="38"/>
  <c r="E109" i="38"/>
  <c r="O108" i="38"/>
  <c r="N108" i="38"/>
  <c r="M108" i="38"/>
  <c r="L108" i="38"/>
  <c r="K108" i="38"/>
  <c r="J108" i="38"/>
  <c r="I108" i="38"/>
  <c r="H108" i="38"/>
  <c r="E108" i="38"/>
  <c r="O107" i="38"/>
  <c r="N107" i="38"/>
  <c r="M107" i="38"/>
  <c r="L107" i="38"/>
  <c r="K107" i="38"/>
  <c r="J107" i="38"/>
  <c r="I107" i="38"/>
  <c r="H107" i="38"/>
  <c r="E107" i="38"/>
  <c r="O106" i="38"/>
  <c r="N106" i="38"/>
  <c r="M106" i="38"/>
  <c r="L106" i="38"/>
  <c r="K106" i="38"/>
  <c r="J106" i="38"/>
  <c r="I106" i="38"/>
  <c r="H106" i="38"/>
  <c r="E106" i="38"/>
  <c r="O105" i="38"/>
  <c r="N105" i="38"/>
  <c r="M105" i="38"/>
  <c r="L105" i="38"/>
  <c r="K105" i="38"/>
  <c r="J105" i="38"/>
  <c r="I105" i="38"/>
  <c r="H105" i="38"/>
  <c r="E105" i="38"/>
  <c r="O104" i="38"/>
  <c r="N104" i="38"/>
  <c r="M104" i="38"/>
  <c r="L104" i="38"/>
  <c r="K104" i="38"/>
  <c r="J104" i="38"/>
  <c r="I104" i="38"/>
  <c r="H104" i="38"/>
  <c r="E104" i="38"/>
  <c r="O103" i="38"/>
  <c r="N103" i="38"/>
  <c r="M103" i="38"/>
  <c r="L103" i="38"/>
  <c r="K103" i="38"/>
  <c r="J103" i="38"/>
  <c r="I103" i="38"/>
  <c r="H103" i="38"/>
  <c r="E103" i="38"/>
  <c r="O102" i="38"/>
  <c r="N102" i="38"/>
  <c r="M102" i="38"/>
  <c r="L102" i="38"/>
  <c r="K102" i="38"/>
  <c r="J102" i="38"/>
  <c r="I102" i="38"/>
  <c r="H102" i="38"/>
  <c r="E102" i="38"/>
  <c r="O101" i="38"/>
  <c r="N101" i="38"/>
  <c r="M101" i="38"/>
  <c r="L101" i="38"/>
  <c r="K101" i="38"/>
  <c r="J101" i="38"/>
  <c r="I101" i="38"/>
  <c r="H101" i="38"/>
  <c r="F101" i="38"/>
  <c r="E101" i="38"/>
  <c r="O100" i="38"/>
  <c r="N100" i="38"/>
  <c r="M100" i="38"/>
  <c r="L100" i="38"/>
  <c r="K100" i="38"/>
  <c r="J100" i="38"/>
  <c r="I100" i="38"/>
  <c r="H100" i="38"/>
  <c r="E100" i="38"/>
  <c r="W99" i="38"/>
  <c r="O99" i="38"/>
  <c r="N99" i="38"/>
  <c r="M99" i="38"/>
  <c r="L99" i="38"/>
  <c r="K99" i="38"/>
  <c r="J99" i="38"/>
  <c r="I99" i="38"/>
  <c r="H99" i="38"/>
  <c r="E99" i="38"/>
  <c r="C92" i="38"/>
  <c r="D74" i="38"/>
  <c r="D86" i="38" s="1"/>
  <c r="C108" i="38" s="1"/>
  <c r="T108" i="38" s="1"/>
  <c r="C5" i="38"/>
  <c r="O111" i="37"/>
  <c r="N111" i="37"/>
  <c r="M111" i="37"/>
  <c r="L111" i="37"/>
  <c r="K111" i="37"/>
  <c r="J111" i="37"/>
  <c r="I111" i="37"/>
  <c r="H111" i="37"/>
  <c r="G111" i="37"/>
  <c r="F111" i="37"/>
  <c r="E111" i="37"/>
  <c r="O110" i="37"/>
  <c r="N110" i="37"/>
  <c r="M110" i="37"/>
  <c r="L110" i="37"/>
  <c r="K110" i="37"/>
  <c r="J110" i="37"/>
  <c r="I110" i="37"/>
  <c r="H110" i="37"/>
  <c r="G110" i="37"/>
  <c r="F110" i="37"/>
  <c r="E110" i="37"/>
  <c r="O109" i="37"/>
  <c r="N109" i="37"/>
  <c r="M109" i="37"/>
  <c r="L109" i="37"/>
  <c r="K109" i="37"/>
  <c r="J109" i="37"/>
  <c r="I109" i="37"/>
  <c r="H109" i="37"/>
  <c r="G109" i="37"/>
  <c r="F109" i="37"/>
  <c r="E109" i="37"/>
  <c r="O108" i="37"/>
  <c r="N108" i="37"/>
  <c r="M108" i="37"/>
  <c r="L108" i="37"/>
  <c r="K108" i="37"/>
  <c r="J108" i="37"/>
  <c r="I108" i="37"/>
  <c r="H108" i="37"/>
  <c r="G108" i="37"/>
  <c r="F108" i="37"/>
  <c r="E108" i="37"/>
  <c r="O107" i="37"/>
  <c r="N107" i="37"/>
  <c r="M107" i="37"/>
  <c r="L107" i="37"/>
  <c r="K107" i="37"/>
  <c r="J107" i="37"/>
  <c r="I107" i="37"/>
  <c r="H107" i="37"/>
  <c r="G107" i="37"/>
  <c r="F107" i="37"/>
  <c r="E107" i="37"/>
  <c r="O106" i="37"/>
  <c r="N106" i="37"/>
  <c r="M106" i="37"/>
  <c r="L106" i="37"/>
  <c r="K106" i="37"/>
  <c r="J106" i="37"/>
  <c r="I106" i="37"/>
  <c r="H106" i="37"/>
  <c r="G106" i="37"/>
  <c r="F106" i="37"/>
  <c r="E106" i="37"/>
  <c r="O105" i="37"/>
  <c r="N105" i="37"/>
  <c r="M105" i="37"/>
  <c r="L105" i="37"/>
  <c r="K105" i="37"/>
  <c r="J105" i="37"/>
  <c r="I105" i="37"/>
  <c r="H105" i="37"/>
  <c r="G105" i="37"/>
  <c r="F105" i="37"/>
  <c r="E105" i="37"/>
  <c r="O104" i="37"/>
  <c r="N104" i="37"/>
  <c r="M104" i="37"/>
  <c r="L104" i="37"/>
  <c r="K104" i="37"/>
  <c r="J104" i="37"/>
  <c r="I104" i="37"/>
  <c r="H104" i="37"/>
  <c r="G104" i="37"/>
  <c r="F104" i="37"/>
  <c r="E104" i="37"/>
  <c r="O103" i="37"/>
  <c r="N103" i="37"/>
  <c r="M103" i="37"/>
  <c r="L103" i="37"/>
  <c r="K103" i="37"/>
  <c r="J103" i="37"/>
  <c r="I103" i="37"/>
  <c r="H103" i="37"/>
  <c r="G103" i="37"/>
  <c r="F103" i="37"/>
  <c r="E103" i="37"/>
  <c r="O102" i="37"/>
  <c r="N102" i="37"/>
  <c r="M102" i="37"/>
  <c r="L102" i="37"/>
  <c r="K102" i="37"/>
  <c r="J102" i="37"/>
  <c r="I102" i="37"/>
  <c r="H102" i="37"/>
  <c r="G102" i="37"/>
  <c r="F102" i="37"/>
  <c r="E102" i="37"/>
  <c r="O101" i="37"/>
  <c r="N101" i="37"/>
  <c r="M101" i="37"/>
  <c r="L101" i="37"/>
  <c r="K101" i="37"/>
  <c r="J101" i="37"/>
  <c r="I101" i="37"/>
  <c r="H101" i="37"/>
  <c r="G101" i="37"/>
  <c r="F101" i="37"/>
  <c r="E101" i="37"/>
  <c r="O100" i="37"/>
  <c r="N100" i="37"/>
  <c r="M100" i="37"/>
  <c r="L100" i="37"/>
  <c r="K100" i="37"/>
  <c r="J100" i="37"/>
  <c r="I100" i="37"/>
  <c r="H100" i="37"/>
  <c r="G100" i="37"/>
  <c r="F100" i="37"/>
  <c r="E100" i="37"/>
  <c r="W99" i="37"/>
  <c r="O99" i="37"/>
  <c r="N99" i="37"/>
  <c r="M99" i="37"/>
  <c r="L99" i="37"/>
  <c r="K99" i="37"/>
  <c r="J99" i="37"/>
  <c r="I99" i="37"/>
  <c r="H99" i="37"/>
  <c r="G99" i="37"/>
  <c r="F99" i="37"/>
  <c r="E99" i="37"/>
  <c r="D74" i="37"/>
  <c r="D87" i="37" s="1"/>
  <c r="C109" i="37" s="1"/>
  <c r="T109" i="37" s="1"/>
  <c r="C5" i="37"/>
  <c r="O111" i="36"/>
  <c r="N111" i="36"/>
  <c r="M111" i="36"/>
  <c r="L111" i="36"/>
  <c r="K111" i="36"/>
  <c r="J111" i="36"/>
  <c r="I111" i="36"/>
  <c r="H111" i="36"/>
  <c r="G111" i="36"/>
  <c r="F111" i="36"/>
  <c r="E111" i="36"/>
  <c r="O110" i="36"/>
  <c r="N110" i="36"/>
  <c r="M110" i="36"/>
  <c r="L110" i="36"/>
  <c r="K110" i="36"/>
  <c r="J110" i="36"/>
  <c r="I110" i="36"/>
  <c r="H110" i="36"/>
  <c r="G110" i="36"/>
  <c r="F110" i="36"/>
  <c r="E110" i="36"/>
  <c r="O109" i="36"/>
  <c r="N109" i="36"/>
  <c r="M109" i="36"/>
  <c r="L109" i="36"/>
  <c r="K109" i="36"/>
  <c r="J109" i="36"/>
  <c r="I109" i="36"/>
  <c r="H109" i="36"/>
  <c r="G109" i="36"/>
  <c r="F109" i="36"/>
  <c r="E109" i="36"/>
  <c r="O108" i="36"/>
  <c r="N108" i="36"/>
  <c r="M108" i="36"/>
  <c r="L108" i="36"/>
  <c r="K108" i="36"/>
  <c r="J108" i="36"/>
  <c r="I108" i="36"/>
  <c r="H108" i="36"/>
  <c r="G108" i="36"/>
  <c r="F108" i="36"/>
  <c r="E108" i="36"/>
  <c r="O107" i="36"/>
  <c r="N107" i="36"/>
  <c r="M107" i="36"/>
  <c r="L107" i="36"/>
  <c r="K107" i="36"/>
  <c r="J107" i="36"/>
  <c r="I107" i="36"/>
  <c r="H107" i="36"/>
  <c r="G107" i="36"/>
  <c r="F107" i="36"/>
  <c r="E107" i="36"/>
  <c r="O106" i="36"/>
  <c r="N106" i="36"/>
  <c r="M106" i="36"/>
  <c r="L106" i="36"/>
  <c r="K106" i="36"/>
  <c r="J106" i="36"/>
  <c r="I106" i="36"/>
  <c r="H106" i="36"/>
  <c r="G106" i="36"/>
  <c r="F106" i="36"/>
  <c r="E106" i="36"/>
  <c r="O105" i="36"/>
  <c r="N105" i="36"/>
  <c r="M105" i="36"/>
  <c r="L105" i="36"/>
  <c r="K105" i="36"/>
  <c r="J105" i="36"/>
  <c r="I105" i="36"/>
  <c r="H105" i="36"/>
  <c r="G105" i="36"/>
  <c r="F105" i="36"/>
  <c r="E105" i="36"/>
  <c r="O104" i="36"/>
  <c r="N104" i="36"/>
  <c r="M104" i="36"/>
  <c r="L104" i="36"/>
  <c r="K104" i="36"/>
  <c r="J104" i="36"/>
  <c r="I104" i="36"/>
  <c r="H104" i="36"/>
  <c r="G104" i="36"/>
  <c r="F104" i="36"/>
  <c r="E104" i="36"/>
  <c r="O103" i="36"/>
  <c r="N103" i="36"/>
  <c r="M103" i="36"/>
  <c r="L103" i="36"/>
  <c r="K103" i="36"/>
  <c r="J103" i="36"/>
  <c r="I103" i="36"/>
  <c r="H103" i="36"/>
  <c r="G103" i="36"/>
  <c r="F103" i="36"/>
  <c r="E103" i="36"/>
  <c r="O102" i="36"/>
  <c r="N102" i="36"/>
  <c r="M102" i="36"/>
  <c r="L102" i="36"/>
  <c r="K102" i="36"/>
  <c r="J102" i="36"/>
  <c r="I102" i="36"/>
  <c r="H102" i="36"/>
  <c r="G102" i="36"/>
  <c r="F102" i="36"/>
  <c r="E102" i="36"/>
  <c r="O101" i="36"/>
  <c r="N101" i="36"/>
  <c r="M101" i="36"/>
  <c r="L101" i="36"/>
  <c r="K101" i="36"/>
  <c r="J101" i="36"/>
  <c r="I101" i="36"/>
  <c r="H101" i="36"/>
  <c r="G101" i="36"/>
  <c r="F101" i="36"/>
  <c r="E101" i="36"/>
  <c r="O100" i="36"/>
  <c r="N100" i="36"/>
  <c r="M100" i="36"/>
  <c r="L100" i="36"/>
  <c r="K100" i="36"/>
  <c r="J100" i="36"/>
  <c r="I100" i="36"/>
  <c r="H100" i="36"/>
  <c r="G100" i="36"/>
  <c r="F100" i="36"/>
  <c r="E100" i="36"/>
  <c r="W99" i="36"/>
  <c r="O99" i="36"/>
  <c r="N99" i="36"/>
  <c r="M99" i="36"/>
  <c r="L99" i="36"/>
  <c r="K99" i="36"/>
  <c r="J99" i="36"/>
  <c r="I99" i="36"/>
  <c r="H99" i="36"/>
  <c r="G99" i="36"/>
  <c r="F99" i="36"/>
  <c r="E99" i="36"/>
  <c r="D74" i="36"/>
  <c r="D88" i="36" s="1"/>
  <c r="C110" i="36" s="1"/>
  <c r="T110" i="36" s="1"/>
  <c r="C5" i="36"/>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40" i="97" l="1"/>
  <c r="E83" i="97" s="1"/>
  <c r="O115" i="1"/>
  <c r="O111" i="1"/>
  <c r="D79" i="38"/>
  <c r="C101" i="38" s="1"/>
  <c r="T101" i="38" s="1"/>
  <c r="I85" i="39"/>
  <c r="I92" i="39"/>
  <c r="I86" i="40"/>
  <c r="I90" i="40"/>
  <c r="I88" i="41"/>
  <c r="I92" i="41"/>
  <c r="I98" i="75"/>
  <c r="I102" i="75"/>
  <c r="N105" i="75"/>
  <c r="M277" i="82"/>
  <c r="R283" i="82"/>
  <c r="M259" i="83"/>
  <c r="R266" i="83"/>
  <c r="M264" i="85"/>
  <c r="M275" i="85"/>
  <c r="O140" i="87"/>
  <c r="N140" i="87"/>
  <c r="O145" i="87"/>
  <c r="N145" i="87"/>
  <c r="O149" i="87"/>
  <c r="N149" i="87"/>
  <c r="O153" i="87"/>
  <c r="N153" i="87"/>
  <c r="O157" i="87"/>
  <c r="N157" i="87"/>
  <c r="O161" i="87"/>
  <c r="N161" i="87"/>
  <c r="O165" i="87"/>
  <c r="N165" i="87"/>
  <c r="O170" i="87"/>
  <c r="N170" i="87"/>
  <c r="ER11" i="98"/>
  <c r="BF46" i="98"/>
  <c r="BJ96" i="98"/>
  <c r="BF236" i="98"/>
  <c r="BF242" i="98"/>
  <c r="EV251" i="98"/>
  <c r="EM271" i="98"/>
  <c r="O286" i="98"/>
  <c r="AM286" i="98" s="1"/>
  <c r="O295" i="98"/>
  <c r="AM295" i="98" s="1"/>
  <c r="M313" i="98"/>
  <c r="AK313" i="98" s="1"/>
  <c r="AX324" i="98"/>
  <c r="EN324" i="98" s="1"/>
  <c r="AV327" i="98"/>
  <c r="V360" i="98"/>
  <c r="AT372" i="98"/>
  <c r="EJ372" i="98" s="1"/>
  <c r="AU461" i="98"/>
  <c r="BG461" i="98" s="1"/>
  <c r="AY497" i="98"/>
  <c r="EO497" i="98" s="1"/>
  <c r="AD507" i="98"/>
  <c r="AP507" i="98" s="1"/>
  <c r="M511" i="98"/>
  <c r="AK511" i="98" s="1"/>
  <c r="U574" i="98"/>
  <c r="AX601" i="98"/>
  <c r="EN601" i="98" s="1"/>
  <c r="V603" i="98"/>
  <c r="EF605" i="98"/>
  <c r="EF657" i="98"/>
  <c r="D87" i="38"/>
  <c r="C109" i="38" s="1"/>
  <c r="T109" i="38" s="1"/>
  <c r="I86" i="39"/>
  <c r="I91" i="40"/>
  <c r="J95" i="75"/>
  <c r="K96" i="75"/>
  <c r="K97" i="75"/>
  <c r="O141" i="87"/>
  <c r="N141" i="87"/>
  <c r="O146" i="87"/>
  <c r="N146" i="87"/>
  <c r="O150" i="87"/>
  <c r="N150" i="87"/>
  <c r="O154" i="87"/>
  <c r="N154" i="87"/>
  <c r="N158" i="87"/>
  <c r="O158" i="87"/>
  <c r="N162" i="87"/>
  <c r="O162" i="87"/>
  <c r="N166" i="87"/>
  <c r="O166" i="87"/>
  <c r="O171" i="87"/>
  <c r="N171" i="87"/>
  <c r="BF29" i="98"/>
  <c r="EP53" i="98"/>
  <c r="EV54" i="98"/>
  <c r="BG98" i="98"/>
  <c r="EP126" i="98"/>
  <c r="BG138" i="98"/>
  <c r="BF171" i="98"/>
  <c r="BG180" i="98"/>
  <c r="AE311" i="98"/>
  <c r="AQ311" i="98" s="1"/>
  <c r="AU315" i="98"/>
  <c r="EK315" i="98" s="1"/>
  <c r="AU372" i="98"/>
  <c r="BG372" i="98" s="1"/>
  <c r="AC407" i="98"/>
  <c r="AO407" i="98" s="1"/>
  <c r="AT503" i="98"/>
  <c r="EJ503" i="98" s="1"/>
  <c r="AD504" i="98"/>
  <c r="AP504" i="98" s="1"/>
  <c r="AY576" i="98"/>
  <c r="BK576" i="98" s="1"/>
  <c r="X579" i="98"/>
  <c r="AY583" i="98"/>
  <c r="BK583" i="98" s="1"/>
  <c r="AZ601" i="98"/>
  <c r="EP601" i="98" s="1"/>
  <c r="AF604" i="98"/>
  <c r="AR604" i="98" s="1"/>
  <c r="AD610" i="98"/>
  <c r="AP610" i="98" s="1"/>
  <c r="AD613" i="98"/>
  <c r="AP613" i="98" s="1"/>
  <c r="P635" i="98"/>
  <c r="AN635" i="98" s="1"/>
  <c r="AD647" i="98"/>
  <c r="AP647" i="98" s="1"/>
  <c r="AV652" i="98"/>
  <c r="AU662" i="98"/>
  <c r="EK662" i="98" s="1"/>
  <c r="C93" i="38"/>
  <c r="I87" i="39"/>
  <c r="I90" i="39"/>
  <c r="I88" i="40"/>
  <c r="I92" i="40"/>
  <c r="I86" i="41"/>
  <c r="I90" i="41"/>
  <c r="L250" i="77"/>
  <c r="K234" i="79"/>
  <c r="M233" i="82"/>
  <c r="R255" i="82"/>
  <c r="M279" i="82"/>
  <c r="M237" i="83"/>
  <c r="M238" i="83"/>
  <c r="R244" i="83"/>
  <c r="M251" i="83"/>
  <c r="R237" i="85"/>
  <c r="M255" i="85"/>
  <c r="M257" i="85"/>
  <c r="M265" i="85"/>
  <c r="R267" i="85"/>
  <c r="R271" i="85"/>
  <c r="O137" i="87"/>
  <c r="N137" i="87"/>
  <c r="O143" i="87"/>
  <c r="N143" i="87"/>
  <c r="O147" i="87"/>
  <c r="N147" i="87"/>
  <c r="O151" i="87"/>
  <c r="N151" i="87"/>
  <c r="O155" i="87"/>
  <c r="N155" i="87"/>
  <c r="O159" i="87"/>
  <c r="N159" i="87"/>
  <c r="O163" i="87"/>
  <c r="N163" i="87"/>
  <c r="O168" i="87"/>
  <c r="N168" i="87"/>
  <c r="N172" i="87"/>
  <c r="O172" i="87"/>
  <c r="C34" i="95"/>
  <c r="BL69" i="98"/>
  <c r="EV112" i="98"/>
  <c r="EV140" i="98"/>
  <c r="BF170" i="98"/>
  <c r="EV179" i="98"/>
  <c r="BF181" i="98"/>
  <c r="BF230" i="98"/>
  <c r="EV261" i="98"/>
  <c r="AX262" i="98"/>
  <c r="EN262" i="98" s="1"/>
  <c r="AX271" i="98"/>
  <c r="EN271" i="98" s="1"/>
  <c r="AC304" i="98"/>
  <c r="AO304" i="98" s="1"/>
  <c r="AX319" i="98"/>
  <c r="EN319" i="98" s="1"/>
  <c r="AT320" i="98"/>
  <c r="EJ320" i="98" s="1"/>
  <c r="U321" i="98"/>
  <c r="V336" i="98"/>
  <c r="AT353" i="98"/>
  <c r="EJ353" i="98" s="1"/>
  <c r="AT356" i="98"/>
  <c r="EJ356" i="98" s="1"/>
  <c r="AV370" i="98"/>
  <c r="EL370" i="98" s="1"/>
  <c r="P385" i="98"/>
  <c r="AN385" i="98" s="1"/>
  <c r="P394" i="98"/>
  <c r="AN394" i="98" s="1"/>
  <c r="U409" i="98"/>
  <c r="AV478" i="98"/>
  <c r="EL478" i="98" s="1"/>
  <c r="M523" i="98"/>
  <c r="AK523" i="98" s="1"/>
  <c r="P559" i="98"/>
  <c r="AN559" i="98" s="1"/>
  <c r="AT566" i="98"/>
  <c r="EJ566" i="98" s="1"/>
  <c r="AZ583" i="98"/>
  <c r="EP583" i="98" s="1"/>
  <c r="AX589" i="98"/>
  <c r="BJ589" i="98" s="1"/>
  <c r="X611" i="98"/>
  <c r="AC619" i="98"/>
  <c r="AO619" i="98" s="1"/>
  <c r="O629" i="98"/>
  <c r="AM629" i="98" s="1"/>
  <c r="V638" i="98"/>
  <c r="X643" i="98"/>
  <c r="AZ670" i="98"/>
  <c r="EP670" i="98" s="1"/>
  <c r="AT679" i="98"/>
  <c r="O138" i="87"/>
  <c r="N138" i="87"/>
  <c r="O144" i="87"/>
  <c r="N144" i="87"/>
  <c r="O148" i="87"/>
  <c r="N148" i="87"/>
  <c r="O152" i="87"/>
  <c r="N152" i="87"/>
  <c r="O156" i="87"/>
  <c r="N156" i="87"/>
  <c r="O160" i="87"/>
  <c r="N160" i="87"/>
  <c r="O164" i="87"/>
  <c r="N164" i="87"/>
  <c r="O169" i="87"/>
  <c r="N169" i="87"/>
  <c r="O173" i="87"/>
  <c r="N173" i="87"/>
  <c r="EO8" i="98"/>
  <c r="BJ10" i="98"/>
  <c r="BK12" i="98"/>
  <c r="EP30" i="98"/>
  <c r="EP31" i="98"/>
  <c r="EV38" i="98"/>
  <c r="BK39" i="98"/>
  <c r="BG73" i="98"/>
  <c r="EO80" i="98"/>
  <c r="EP160" i="98"/>
  <c r="BG175" i="98"/>
  <c r="EJ175" i="98"/>
  <c r="EV208" i="98"/>
  <c r="AZ262" i="98"/>
  <c r="EP262" i="98" s="1"/>
  <c r="AZ271" i="98"/>
  <c r="EP271" i="98" s="1"/>
  <c r="O292" i="98"/>
  <c r="AM292" i="98" s="1"/>
  <c r="AC297" i="98"/>
  <c r="AO297" i="98" s="1"/>
  <c r="M308" i="98"/>
  <c r="AK308" i="98" s="1"/>
  <c r="AE317" i="98"/>
  <c r="AQ317" i="98" s="1"/>
  <c r="AV320" i="98"/>
  <c r="EL320" i="98" s="1"/>
  <c r="AZ326" i="98"/>
  <c r="EP326" i="98" s="1"/>
  <c r="AT327" i="98"/>
  <c r="EJ327" i="98" s="1"/>
  <c r="AV333" i="98"/>
  <c r="EL333" i="98" s="1"/>
  <c r="AD344" i="98"/>
  <c r="AP344" i="98" s="1"/>
  <c r="AX348" i="98"/>
  <c r="EN348" i="98" s="1"/>
  <c r="AX349" i="98"/>
  <c r="EN349" i="98" s="1"/>
  <c r="U352" i="98"/>
  <c r="AX352" i="98"/>
  <c r="EN352" i="98" s="1"/>
  <c r="EI354" i="98"/>
  <c r="EI355" i="98"/>
  <c r="AU364" i="98"/>
  <c r="EK364" i="98" s="1"/>
  <c r="EM372" i="98"/>
  <c r="P396" i="98"/>
  <c r="AN396" i="98" s="1"/>
  <c r="AT429" i="98"/>
  <c r="EJ429" i="98" s="1"/>
  <c r="AV434" i="98"/>
  <c r="EL434" i="98" s="1"/>
  <c r="AC525" i="98"/>
  <c r="AO525" i="98" s="1"/>
  <c r="AX537" i="98"/>
  <c r="EN537" i="98" s="1"/>
  <c r="V607" i="98"/>
  <c r="AF619" i="98"/>
  <c r="AR619" i="98" s="1"/>
  <c r="AD641" i="98"/>
  <c r="AP641" i="98" s="1"/>
  <c r="AZ652" i="98"/>
  <c r="O665" i="98"/>
  <c r="AM665" i="98" s="1"/>
  <c r="V668" i="98"/>
  <c r="EV682" i="98"/>
  <c r="O121" i="1"/>
  <c r="O117" i="1"/>
  <c r="O128" i="1"/>
  <c r="O161" i="86"/>
  <c r="O155" i="86"/>
  <c r="R227" i="81"/>
  <c r="R263" i="81"/>
  <c r="R275" i="81"/>
  <c r="R279" i="81"/>
  <c r="R283" i="81"/>
  <c r="L256" i="81"/>
  <c r="R269" i="81"/>
  <c r="R235" i="81"/>
  <c r="M265" i="81"/>
  <c r="M275" i="81"/>
  <c r="R262" i="81"/>
  <c r="R287" i="81"/>
  <c r="R243" i="81"/>
  <c r="R247" i="81"/>
  <c r="N235" i="79"/>
  <c r="M233" i="78"/>
  <c r="L233" i="78"/>
  <c r="M234" i="78"/>
  <c r="L233" i="77"/>
  <c r="N281" i="85"/>
  <c r="N154" i="86"/>
  <c r="N158" i="86"/>
  <c r="C8" i="40"/>
  <c r="N92" i="40"/>
  <c r="H85" i="41"/>
  <c r="C8" i="39"/>
  <c r="C8" i="41"/>
  <c r="N85" i="39"/>
  <c r="N90" i="40"/>
  <c r="N85" i="41"/>
  <c r="H91" i="40"/>
  <c r="D83" i="38"/>
  <c r="C105" i="38" s="1"/>
  <c r="T105" i="38" s="1"/>
  <c r="D83" i="47"/>
  <c r="C105" i="47" s="1"/>
  <c r="R283" i="83"/>
  <c r="O283" i="83"/>
  <c r="Z133" i="94"/>
  <c r="S131" i="94"/>
  <c r="AD127" i="94"/>
  <c r="AB136" i="94"/>
  <c r="AE130" i="94"/>
  <c r="S127" i="94"/>
  <c r="EO87" i="98"/>
  <c r="BK87" i="98"/>
  <c r="EP111" i="98"/>
  <c r="BL111" i="98"/>
  <c r="AU326" i="98"/>
  <c r="AV326" i="98"/>
  <c r="EL326" i="98" s="1"/>
  <c r="D87" i="47"/>
  <c r="C109" i="47" s="1"/>
  <c r="C6" i="72"/>
  <c r="C11" i="72" s="1"/>
  <c r="L105" i="74"/>
  <c r="I101" i="76"/>
  <c r="F224" i="77"/>
  <c r="L240" i="77"/>
  <c r="L246" i="78"/>
  <c r="L250" i="78"/>
  <c r="Q223" i="85"/>
  <c r="R223" i="85" s="1"/>
  <c r="EJ45" i="98"/>
  <c r="BF45" i="98"/>
  <c r="EP81" i="98"/>
  <c r="BL81" i="98"/>
  <c r="EL154" i="98"/>
  <c r="BH154" i="98"/>
  <c r="EM315" i="98"/>
  <c r="AY315" i="98"/>
  <c r="EO315" i="98" s="1"/>
  <c r="BE496" i="98"/>
  <c r="AT496" i="98"/>
  <c r="BF496" i="98" s="1"/>
  <c r="AU545" i="98"/>
  <c r="AV545" i="98"/>
  <c r="EL545" i="98" s="1"/>
  <c r="AT545" i="98"/>
  <c r="EJ545" i="98" s="1"/>
  <c r="AV553" i="98"/>
  <c r="AT553" i="98"/>
  <c r="BF553" i="98" s="1"/>
  <c r="AV565" i="98"/>
  <c r="AU565" i="98"/>
  <c r="EK565" i="98" s="1"/>
  <c r="AT565" i="98"/>
  <c r="BF565" i="98" s="1"/>
  <c r="AV577" i="98"/>
  <c r="AT577" i="98"/>
  <c r="BF577" i="98" s="1"/>
  <c r="AV606" i="98"/>
  <c r="AU606" i="98"/>
  <c r="EK606" i="98" s="1"/>
  <c r="BE618" i="98"/>
  <c r="AT618" i="98"/>
  <c r="W631" i="98"/>
  <c r="U631" i="98"/>
  <c r="N93" i="40"/>
  <c r="N90" i="41"/>
  <c r="D80" i="48"/>
  <c r="C102" i="48" s="1"/>
  <c r="D84" i="48"/>
  <c r="C106" i="48" s="1"/>
  <c r="J101" i="74"/>
  <c r="K101" i="76"/>
  <c r="M241" i="78"/>
  <c r="R277" i="83"/>
  <c r="O277" i="83"/>
  <c r="Z129" i="94"/>
  <c r="EN20" i="98"/>
  <c r="BJ20" i="98"/>
  <c r="BJ105" i="98"/>
  <c r="EN105" i="98"/>
  <c r="EK121" i="98"/>
  <c r="BG121" i="98"/>
  <c r="EJ158" i="98"/>
  <c r="BF158" i="98"/>
  <c r="AU158" i="98"/>
  <c r="EK161" i="98"/>
  <c r="BG161" i="98"/>
  <c r="BJ177" i="98"/>
  <c r="EN177" i="98"/>
  <c r="EN230" i="98"/>
  <c r="BJ230" i="98"/>
  <c r="W277" i="98"/>
  <c r="V277" i="98"/>
  <c r="AY277" i="98"/>
  <c r="AX277" i="98"/>
  <c r="EN277" i="98" s="1"/>
  <c r="EM313" i="98"/>
  <c r="AY313" i="98"/>
  <c r="EO313" i="98" s="1"/>
  <c r="W355" i="98"/>
  <c r="V355" i="98"/>
  <c r="W357" i="98"/>
  <c r="U357" i="98"/>
  <c r="U370" i="98"/>
  <c r="X370" i="98"/>
  <c r="AY420" i="98"/>
  <c r="AX420" i="98"/>
  <c r="EN420" i="98" s="1"/>
  <c r="BE490" i="98"/>
  <c r="AU490" i="98"/>
  <c r="BG490" i="98" s="1"/>
  <c r="N88" i="39"/>
  <c r="D92" i="44"/>
  <c r="C114" i="44" s="1"/>
  <c r="K96" i="74"/>
  <c r="N95" i="75"/>
  <c r="L101" i="76"/>
  <c r="N101" i="76" s="1"/>
  <c r="M233" i="77"/>
  <c r="R275" i="83"/>
  <c r="O275" i="83"/>
  <c r="AB135" i="94"/>
  <c r="BL104" i="98"/>
  <c r="EP104" i="98"/>
  <c r="EO118" i="98"/>
  <c r="BK118" i="98"/>
  <c r="EN150" i="98"/>
  <c r="BJ150" i="98"/>
  <c r="W332" i="98"/>
  <c r="X332" i="98"/>
  <c r="W334" i="98"/>
  <c r="V334" i="98"/>
  <c r="W341" i="98"/>
  <c r="X341" i="98"/>
  <c r="R229" i="81"/>
  <c r="R233" i="81"/>
  <c r="R237" i="81"/>
  <c r="R241" i="81"/>
  <c r="R245" i="81"/>
  <c r="M263" i="81"/>
  <c r="N263" i="81" s="1"/>
  <c r="R271" i="81"/>
  <c r="M279" i="81"/>
  <c r="R226" i="82"/>
  <c r="R236" i="82"/>
  <c r="M239" i="82"/>
  <c r="R257" i="82"/>
  <c r="M271" i="82"/>
  <c r="M222" i="83"/>
  <c r="M224" i="83"/>
  <c r="N224" i="83" s="1"/>
  <c r="M227" i="83"/>
  <c r="M256" i="83"/>
  <c r="M289" i="83"/>
  <c r="N289" i="83" s="1"/>
  <c r="S135" i="84"/>
  <c r="C13" i="84" s="1"/>
  <c r="C26" i="84" s="1"/>
  <c r="O161" i="84"/>
  <c r="M226" i="85"/>
  <c r="EO22" i="98"/>
  <c r="BK24" i="98"/>
  <c r="BK46" i="98"/>
  <c r="BF50" i="98"/>
  <c r="BK86" i="98"/>
  <c r="BF96" i="98"/>
  <c r="EV110" i="98"/>
  <c r="BF111" i="98"/>
  <c r="BF112" i="98"/>
  <c r="EN121" i="98"/>
  <c r="EJ167" i="98"/>
  <c r="EV177" i="98"/>
  <c r="EV255" i="98"/>
  <c r="AU321" i="98"/>
  <c r="BG321" i="98" s="1"/>
  <c r="AV321" i="98"/>
  <c r="AT321" i="98"/>
  <c r="EJ321" i="98" s="1"/>
  <c r="AZ364" i="98"/>
  <c r="AY364" i="98"/>
  <c r="EO364" i="98" s="1"/>
  <c r="BI368" i="98"/>
  <c r="AZ368" i="98"/>
  <c r="EP368" i="98" s="1"/>
  <c r="W420" i="98"/>
  <c r="U420" i="98"/>
  <c r="AU428" i="98"/>
  <c r="AT428" i="98"/>
  <c r="EJ428" i="98" s="1"/>
  <c r="BE462" i="98"/>
  <c r="AT462" i="98"/>
  <c r="EJ462" i="98" s="1"/>
  <c r="EM469" i="98"/>
  <c r="AX469" i="98"/>
  <c r="EN469" i="98" s="1"/>
  <c r="BE500" i="98"/>
  <c r="AV500" i="98"/>
  <c r="EL500" i="98" s="1"/>
  <c r="N542" i="98"/>
  <c r="AL542" i="98" s="1"/>
  <c r="M542" i="98"/>
  <c r="AK542" i="98" s="1"/>
  <c r="EG661" i="98"/>
  <c r="U661" i="98"/>
  <c r="EI669" i="98"/>
  <c r="AU669" i="98"/>
  <c r="EK669" i="98" s="1"/>
  <c r="M242" i="78"/>
  <c r="N229" i="79"/>
  <c r="N233" i="79"/>
  <c r="N236" i="79"/>
  <c r="N233" i="80"/>
  <c r="N235" i="80"/>
  <c r="R230" i="82"/>
  <c r="M243" i="82"/>
  <c r="M249" i="82"/>
  <c r="M275" i="82"/>
  <c r="R279" i="82"/>
  <c r="Q236" i="83"/>
  <c r="R236" i="83" s="1"/>
  <c r="M231" i="83"/>
  <c r="M235" i="83"/>
  <c r="R237" i="83"/>
  <c r="M243" i="83"/>
  <c r="R264" i="83"/>
  <c r="N281" i="83"/>
  <c r="M287" i="83"/>
  <c r="M222" i="85"/>
  <c r="M223" i="85"/>
  <c r="N223" i="85" s="1"/>
  <c r="M224" i="85"/>
  <c r="M235" i="85"/>
  <c r="M236" i="85"/>
  <c r="M237" i="85"/>
  <c r="M278" i="85"/>
  <c r="M283" i="85"/>
  <c r="BL15" i="98"/>
  <c r="EK31" i="98"/>
  <c r="BK83" i="98"/>
  <c r="EK95" i="98"/>
  <c r="EV107" i="98"/>
  <c r="BK108" i="98"/>
  <c r="EV115" i="98"/>
  <c r="BL195" i="98"/>
  <c r="BH197" i="98"/>
  <c r="BF199" i="98"/>
  <c r="BJ199" i="98"/>
  <c r="EV200" i="98"/>
  <c r="BJ234" i="98"/>
  <c r="EN234" i="98"/>
  <c r="EU248" i="98"/>
  <c r="AY275" i="98"/>
  <c r="BK275" i="98" s="1"/>
  <c r="AZ275" i="98"/>
  <c r="EP275" i="98" s="1"/>
  <c r="EG287" i="98"/>
  <c r="U287" i="98"/>
  <c r="EI306" i="98"/>
  <c r="AU306" i="98"/>
  <c r="EK306" i="98" s="1"/>
  <c r="EI312" i="98"/>
  <c r="AU312" i="98"/>
  <c r="EK312" i="98" s="1"/>
  <c r="AY321" i="98"/>
  <c r="BK321" i="98" s="1"/>
  <c r="EM321" i="98"/>
  <c r="AX325" i="98"/>
  <c r="EN325" i="98" s="1"/>
  <c r="W326" i="98"/>
  <c r="U326" i="98"/>
  <c r="AU337" i="98"/>
  <c r="BG337" i="98" s="1"/>
  <c r="AV337" i="98"/>
  <c r="AY351" i="98"/>
  <c r="AX351" i="98"/>
  <c r="EN351" i="98" s="1"/>
  <c r="BG367" i="98"/>
  <c r="EK367" i="98"/>
  <c r="W461" i="98"/>
  <c r="V461" i="98"/>
  <c r="AY464" i="98"/>
  <c r="BK464" i="98" s="1"/>
  <c r="AX464" i="98"/>
  <c r="EN464" i="98" s="1"/>
  <c r="AY524" i="98"/>
  <c r="AX524" i="98"/>
  <c r="EN524" i="98" s="1"/>
  <c r="W614" i="98"/>
  <c r="X614" i="98"/>
  <c r="EM624" i="98"/>
  <c r="AZ624" i="98"/>
  <c r="EP624" i="98" s="1"/>
  <c r="V180" i="1"/>
  <c r="AF652" i="98"/>
  <c r="AR652" i="98" s="1"/>
  <c r="O667" i="98"/>
  <c r="AM667" i="98" s="1"/>
  <c r="M667" i="98"/>
  <c r="AK667" i="98" s="1"/>
  <c r="N230" i="79"/>
  <c r="N234" i="79"/>
  <c r="M223" i="81"/>
  <c r="M225" i="81"/>
  <c r="M271" i="81"/>
  <c r="M227" i="82"/>
  <c r="M257" i="82"/>
  <c r="R286" i="82"/>
  <c r="Q228" i="83"/>
  <c r="M275" i="83"/>
  <c r="M277" i="83"/>
  <c r="M278" i="83"/>
  <c r="M283" i="83"/>
  <c r="M285" i="83"/>
  <c r="M227" i="85"/>
  <c r="M228" i="85"/>
  <c r="M229" i="85"/>
  <c r="N241" i="85"/>
  <c r="M258" i="85"/>
  <c r="M263" i="85"/>
  <c r="N263" i="85" s="1"/>
  <c r="N264" i="85"/>
  <c r="M269" i="85"/>
  <c r="N269" i="85" s="1"/>
  <c r="I132" i="88"/>
  <c r="I147" i="88"/>
  <c r="I153" i="88"/>
  <c r="I155" i="88"/>
  <c r="I161" i="88"/>
  <c r="I163" i="88"/>
  <c r="I169" i="88"/>
  <c r="I171" i="88"/>
  <c r="I177" i="88"/>
  <c r="I179" i="88"/>
  <c r="I185" i="88"/>
  <c r="I187" i="88"/>
  <c r="I193" i="88"/>
  <c r="I195" i="88"/>
  <c r="I201" i="88"/>
  <c r="I203" i="88"/>
  <c r="I135" i="89"/>
  <c r="I137" i="89"/>
  <c r="I143" i="89"/>
  <c r="I145" i="89"/>
  <c r="I151" i="89"/>
  <c r="I153" i="89"/>
  <c r="I159" i="89"/>
  <c r="I161" i="89"/>
  <c r="I167" i="89"/>
  <c r="I169" i="89"/>
  <c r="I175" i="89"/>
  <c r="I177" i="89"/>
  <c r="I183" i="89"/>
  <c r="I185" i="89"/>
  <c r="I191" i="89"/>
  <c r="I193" i="89"/>
  <c r="I199" i="89"/>
  <c r="I201" i="89"/>
  <c r="F72" i="90"/>
  <c r="F84" i="90"/>
  <c r="F85" i="91"/>
  <c r="O69" i="95"/>
  <c r="BK14" i="98"/>
  <c r="BF44" i="98"/>
  <c r="EV64" i="98"/>
  <c r="EV197" i="98"/>
  <c r="EG285" i="98"/>
  <c r="U285" i="98"/>
  <c r="EM316" i="98"/>
  <c r="AY316" i="98"/>
  <c r="EO316" i="98" s="1"/>
  <c r="AU336" i="98"/>
  <c r="BG336" i="98" s="1"/>
  <c r="AV336" i="98"/>
  <c r="EL336" i="98" s="1"/>
  <c r="W342" i="98"/>
  <c r="V342" i="98"/>
  <c r="W350" i="98"/>
  <c r="U350" i="98"/>
  <c r="AY359" i="98"/>
  <c r="AX359" i="98"/>
  <c r="EN359" i="98" s="1"/>
  <c r="EF366" i="98"/>
  <c r="O366" i="98"/>
  <c r="AM366" i="98" s="1"/>
  <c r="N397" i="98"/>
  <c r="AL397" i="98" s="1"/>
  <c r="M397" i="98"/>
  <c r="AK397" i="98" s="1"/>
  <c r="AE423" i="98"/>
  <c r="AQ423" i="98" s="1"/>
  <c r="AD423" i="98"/>
  <c r="AP423" i="98" s="1"/>
  <c r="EH497" i="98"/>
  <c r="AE497" i="98"/>
  <c r="AQ497" i="98" s="1"/>
  <c r="BE514" i="98"/>
  <c r="AV514" i="98"/>
  <c r="EL514" i="98" s="1"/>
  <c r="W524" i="98"/>
  <c r="U524" i="98"/>
  <c r="AY532" i="98"/>
  <c r="AX532" i="98"/>
  <c r="EN532" i="98" s="1"/>
  <c r="N596" i="98"/>
  <c r="O596" i="98"/>
  <c r="BI608" i="98"/>
  <c r="AX608" i="98"/>
  <c r="BJ608" i="98" s="1"/>
  <c r="AU672" i="98"/>
  <c r="BG672" i="98" s="1"/>
  <c r="AT672" i="98"/>
  <c r="EJ672" i="98" s="1"/>
  <c r="N677" i="98"/>
  <c r="AL677" i="98" s="1"/>
  <c r="M677" i="98"/>
  <c r="AK677" i="98" s="1"/>
  <c r="EU683" i="98"/>
  <c r="EL289" i="98"/>
  <c r="M315" i="98"/>
  <c r="AK315" i="98" s="1"/>
  <c r="X327" i="98"/>
  <c r="AX372" i="98"/>
  <c r="EN372" i="98" s="1"/>
  <c r="BE412" i="98"/>
  <c r="AT415" i="98"/>
  <c r="EJ415" i="98" s="1"/>
  <c r="AT416" i="98"/>
  <c r="EJ416" i="98" s="1"/>
  <c r="AV435" i="98"/>
  <c r="EL435" i="98" s="1"/>
  <c r="AX446" i="98"/>
  <c r="EN446" i="98" s="1"/>
  <c r="AD464" i="98"/>
  <c r="AP464" i="98" s="1"/>
  <c r="AZ484" i="98"/>
  <c r="BL484" i="98" s="1"/>
  <c r="AU486" i="98"/>
  <c r="BG486" i="98" s="1"/>
  <c r="AX489" i="98"/>
  <c r="BJ489" i="98" s="1"/>
  <c r="AX494" i="98"/>
  <c r="EN494" i="98" s="1"/>
  <c r="AY507" i="98"/>
  <c r="BK507" i="98" s="1"/>
  <c r="AV509" i="98"/>
  <c r="EL509" i="98" s="1"/>
  <c r="AT516" i="98"/>
  <c r="EJ516" i="98" s="1"/>
  <c r="AV526" i="98"/>
  <c r="EL526" i="98" s="1"/>
  <c r="AX534" i="98"/>
  <c r="EN534" i="98" s="1"/>
  <c r="AU560" i="98"/>
  <c r="BG560" i="98" s="1"/>
  <c r="AX561" i="98"/>
  <c r="AU568" i="98"/>
  <c r="BG568" i="98" s="1"/>
  <c r="AU584" i="98"/>
  <c r="EK584" i="98" s="1"/>
  <c r="AV587" i="98"/>
  <c r="EL587" i="98" s="1"/>
  <c r="AT601" i="98"/>
  <c r="BF601" i="98" s="1"/>
  <c r="AX621" i="98"/>
  <c r="EN621" i="98" s="1"/>
  <c r="AV643" i="98"/>
  <c r="BG656" i="98"/>
  <c r="I83" i="102"/>
  <c r="BH204" i="98"/>
  <c r="BL204" i="98"/>
  <c r="EV225" i="98"/>
  <c r="EV238" i="98"/>
  <c r="EV241" i="98"/>
  <c r="EV242" i="98"/>
  <c r="AT282" i="98"/>
  <c r="EJ282" i="98" s="1"/>
  <c r="AY288" i="98"/>
  <c r="BK288" i="98" s="1"/>
  <c r="AY298" i="98"/>
  <c r="EO298" i="98" s="1"/>
  <c r="AY305" i="98"/>
  <c r="EO305" i="98" s="1"/>
  <c r="AY308" i="98"/>
  <c r="EO308" i="98" s="1"/>
  <c r="AY309" i="98"/>
  <c r="EO309" i="98" s="1"/>
  <c r="AY311" i="98"/>
  <c r="EO311" i="98" s="1"/>
  <c r="EI327" i="98"/>
  <c r="AV330" i="98"/>
  <c r="EL330" i="98" s="1"/>
  <c r="AV331" i="98"/>
  <c r="AY372" i="98"/>
  <c r="BK372" i="98" s="1"/>
  <c r="AU412" i="98"/>
  <c r="BG412" i="98" s="1"/>
  <c r="AY463" i="98"/>
  <c r="BK463" i="98" s="1"/>
  <c r="EV469" i="98"/>
  <c r="AT487" i="98"/>
  <c r="BF487" i="98" s="1"/>
  <c r="EV488" i="98"/>
  <c r="EV490" i="98"/>
  <c r="AY494" i="98"/>
  <c r="BK494" i="98" s="1"/>
  <c r="AE495" i="98"/>
  <c r="AQ495" i="98" s="1"/>
  <c r="X500" i="98"/>
  <c r="AU513" i="98"/>
  <c r="EK513" i="98" s="1"/>
  <c r="V514" i="98"/>
  <c r="AU519" i="98"/>
  <c r="EK519" i="98" s="1"/>
  <c r="AT528" i="98"/>
  <c r="EJ528" i="98" s="1"/>
  <c r="AY564" i="98"/>
  <c r="BK564" i="98" s="1"/>
  <c r="AV568" i="98"/>
  <c r="EL568" i="98" s="1"/>
  <c r="U571" i="98"/>
  <c r="AX572" i="98"/>
  <c r="BJ572" i="98" s="1"/>
  <c r="AX576" i="98"/>
  <c r="BJ576" i="98" s="1"/>
  <c r="AX577" i="98"/>
  <c r="BJ577" i="98" s="1"/>
  <c r="X604" i="98"/>
  <c r="AE618" i="98"/>
  <c r="AQ618" i="98" s="1"/>
  <c r="AX630" i="98"/>
  <c r="EN630" i="98" s="1"/>
  <c r="AC631" i="98"/>
  <c r="AO631" i="98" s="1"/>
  <c r="AX637" i="98"/>
  <c r="EN637" i="98" s="1"/>
  <c r="AX641" i="98"/>
  <c r="AY652" i="98"/>
  <c r="BK652" i="98" s="1"/>
  <c r="AX664" i="98"/>
  <c r="EN664" i="98" s="1"/>
  <c r="AY674" i="98"/>
  <c r="EO674" i="98" s="1"/>
  <c r="C12" i="100"/>
  <c r="I83" i="100"/>
  <c r="D89" i="49"/>
  <c r="C111" i="49" s="1"/>
  <c r="D86" i="49"/>
  <c r="C108" i="49" s="1"/>
  <c r="D90" i="49"/>
  <c r="C112" i="49" s="1"/>
  <c r="D81" i="49"/>
  <c r="C103" i="49" s="1"/>
  <c r="D80" i="49"/>
  <c r="C102" i="49" s="1"/>
  <c r="R239" i="85"/>
  <c r="O239" i="85"/>
  <c r="BH92" i="98"/>
  <c r="EL92" i="98"/>
  <c r="D77" i="36"/>
  <c r="C99" i="36" s="1"/>
  <c r="T99" i="36" s="1"/>
  <c r="K228" i="79"/>
  <c r="C5" i="79"/>
  <c r="I282" i="82"/>
  <c r="L282" i="82" s="1"/>
  <c r="I248" i="82"/>
  <c r="R267" i="83"/>
  <c r="O267" i="83"/>
  <c r="EK68" i="98"/>
  <c r="BG68" i="98"/>
  <c r="D83" i="45"/>
  <c r="C105" i="45" s="1"/>
  <c r="I266" i="82"/>
  <c r="L266" i="82" s="1"/>
  <c r="I232" i="82"/>
  <c r="EK79" i="98"/>
  <c r="BG79" i="98"/>
  <c r="BH89" i="98"/>
  <c r="D82" i="36"/>
  <c r="C104" i="36" s="1"/>
  <c r="T104" i="36" s="1"/>
  <c r="D246" i="77"/>
  <c r="M246" i="77" s="1"/>
  <c r="L236" i="77"/>
  <c r="F105" i="94"/>
  <c r="F120" i="94" s="1"/>
  <c r="T120" i="94" s="1"/>
  <c r="E120" i="94"/>
  <c r="EP79" i="98"/>
  <c r="BL79" i="98"/>
  <c r="D87" i="36"/>
  <c r="C109" i="36" s="1"/>
  <c r="T109" i="36" s="1"/>
  <c r="F105" i="38"/>
  <c r="F107" i="38"/>
  <c r="C6" i="40"/>
  <c r="M85" i="40"/>
  <c r="O85" i="40" s="1"/>
  <c r="N89" i="41"/>
  <c r="H86" i="39"/>
  <c r="H93" i="39"/>
  <c r="H88" i="40"/>
  <c r="H89" i="41"/>
  <c r="D87" i="44"/>
  <c r="C109" i="44" s="1"/>
  <c r="D91" i="44"/>
  <c r="C113" i="44" s="1"/>
  <c r="D84" i="45"/>
  <c r="C106" i="45" s="1"/>
  <c r="D85" i="47"/>
  <c r="C107" i="47" s="1"/>
  <c r="I101" i="74"/>
  <c r="M105" i="74"/>
  <c r="N105" i="74"/>
  <c r="I109" i="75"/>
  <c r="L237" i="77"/>
  <c r="K231" i="80"/>
  <c r="R261" i="81"/>
  <c r="R267" i="81"/>
  <c r="R234" i="83"/>
  <c r="M241" i="83"/>
  <c r="N241" i="83" s="1"/>
  <c r="M249" i="83"/>
  <c r="N249" i="83" s="1"/>
  <c r="C5" i="85"/>
  <c r="N229" i="85"/>
  <c r="R231" i="85"/>
  <c r="N235" i="85"/>
  <c r="N237" i="85"/>
  <c r="R240" i="85"/>
  <c r="N257" i="85"/>
  <c r="R264" i="85"/>
  <c r="S126" i="89"/>
  <c r="AB126" i="89" s="1"/>
  <c r="T126" i="89"/>
  <c r="AC126" i="89" s="1"/>
  <c r="T128" i="89"/>
  <c r="AC128" i="89" s="1"/>
  <c r="S128" i="89"/>
  <c r="AB128" i="89" s="1"/>
  <c r="AE140" i="94"/>
  <c r="AC140" i="94"/>
  <c r="S140" i="94"/>
  <c r="EJ65" i="98"/>
  <c r="BF65" i="98"/>
  <c r="BJ100" i="98"/>
  <c r="EN119" i="98"/>
  <c r="BJ119" i="98"/>
  <c r="H90" i="39"/>
  <c r="N86" i="41"/>
  <c r="H93" i="41"/>
  <c r="D80" i="44"/>
  <c r="C102" i="44" s="1"/>
  <c r="D84" i="44"/>
  <c r="C106" i="44" s="1"/>
  <c r="D81" i="45"/>
  <c r="C103" i="45" s="1"/>
  <c r="D92" i="48"/>
  <c r="C114" i="48" s="1"/>
  <c r="I105" i="74"/>
  <c r="J105" i="74"/>
  <c r="F220" i="77"/>
  <c r="M236" i="78"/>
  <c r="L248" i="78"/>
  <c r="M240" i="78"/>
  <c r="M252" i="78"/>
  <c r="N227" i="79"/>
  <c r="K232" i="79"/>
  <c r="K236" i="79"/>
  <c r="R278" i="81"/>
  <c r="N227" i="82"/>
  <c r="R229" i="82"/>
  <c r="R241" i="82"/>
  <c r="N243" i="82"/>
  <c r="R247" i="82"/>
  <c r="L260" i="83"/>
  <c r="R228" i="83"/>
  <c r="N235" i="83"/>
  <c r="M239" i="83"/>
  <c r="N239" i="83" s="1"/>
  <c r="N251" i="83"/>
  <c r="N256" i="83"/>
  <c r="M257" i="83"/>
  <c r="N257" i="83" s="1"/>
  <c r="M271" i="83"/>
  <c r="N271" i="83" s="1"/>
  <c r="R273" i="83"/>
  <c r="N275" i="83"/>
  <c r="N283" i="83"/>
  <c r="N146" i="84"/>
  <c r="N151" i="84"/>
  <c r="O155" i="84"/>
  <c r="N159" i="84"/>
  <c r="R247" i="85"/>
  <c r="O247" i="85"/>
  <c r="N253" i="85"/>
  <c r="M254" i="85"/>
  <c r="N254" i="85" s="1"/>
  <c r="R258" i="85"/>
  <c r="R263" i="85"/>
  <c r="N265" i="85"/>
  <c r="R287" i="85"/>
  <c r="O150" i="86"/>
  <c r="O153" i="86"/>
  <c r="T126" i="88"/>
  <c r="S126" i="88"/>
  <c r="AB126" i="88" s="1"/>
  <c r="AD136" i="94"/>
  <c r="Z135" i="94"/>
  <c r="X133" i="94"/>
  <c r="Z131" i="94"/>
  <c r="T130" i="94"/>
  <c r="AE128" i="94"/>
  <c r="AE127" i="94"/>
  <c r="AA134" i="94"/>
  <c r="T132" i="94"/>
  <c r="X130" i="94"/>
  <c r="X128" i="94"/>
  <c r="X127" i="94"/>
  <c r="Y134" i="94"/>
  <c r="AD131" i="94"/>
  <c r="AD129" i="94"/>
  <c r="T128" i="94"/>
  <c r="T127" i="94"/>
  <c r="S129" i="94"/>
  <c r="X132" i="94"/>
  <c r="BH17" i="98"/>
  <c r="EK18" i="98"/>
  <c r="BG18" i="98"/>
  <c r="EP18" i="98"/>
  <c r="BL18" i="98"/>
  <c r="EO30" i="98"/>
  <c r="BK30" i="98"/>
  <c r="EK46" i="98"/>
  <c r="BG46" i="98"/>
  <c r="BL46" i="98"/>
  <c r="BJ55" i="98"/>
  <c r="EK65" i="98"/>
  <c r="BG65" i="98"/>
  <c r="EP65" i="98"/>
  <c r="BL65" i="98"/>
  <c r="BJ71" i="98"/>
  <c r="BJ94" i="98"/>
  <c r="EN94" i="98"/>
  <c r="BJ98" i="98"/>
  <c r="EN98" i="98"/>
  <c r="BG99" i="98"/>
  <c r="H88" i="39"/>
  <c r="N85" i="40"/>
  <c r="H86" i="40"/>
  <c r="H88" i="41"/>
  <c r="H90" i="41"/>
  <c r="N93" i="41"/>
  <c r="D92" i="45"/>
  <c r="C114" i="45" s="1"/>
  <c r="D91" i="47"/>
  <c r="C113" i="47" s="1"/>
  <c r="D89" i="48"/>
  <c r="C111" i="48" s="1"/>
  <c r="Q110" i="48"/>
  <c r="I106" i="74"/>
  <c r="L109" i="75"/>
  <c r="N109" i="75" s="1"/>
  <c r="J95" i="76"/>
  <c r="J97" i="76"/>
  <c r="I105" i="76"/>
  <c r="M240" i="77"/>
  <c r="M241" i="77"/>
  <c r="D251" i="78"/>
  <c r="L241" i="78"/>
  <c r="I233" i="79"/>
  <c r="J233" i="79" s="1"/>
  <c r="D34" i="79" s="1"/>
  <c r="N228" i="79"/>
  <c r="K230" i="79"/>
  <c r="N231" i="79"/>
  <c r="R231" i="81"/>
  <c r="R239" i="81"/>
  <c r="M267" i="81"/>
  <c r="R270" i="81"/>
  <c r="M273" i="81"/>
  <c r="R277" i="81"/>
  <c r="R281" i="81"/>
  <c r="R285" i="81"/>
  <c r="R289" i="81"/>
  <c r="R222" i="82"/>
  <c r="M226" i="82"/>
  <c r="N226" i="82" s="1"/>
  <c r="R228" i="82"/>
  <c r="R239" i="82"/>
  <c r="R240" i="82"/>
  <c r="R246" i="82"/>
  <c r="R256" i="82"/>
  <c r="M259" i="82"/>
  <c r="N259" i="82" s="1"/>
  <c r="R260" i="82"/>
  <c r="M261" i="82"/>
  <c r="M262" i="82"/>
  <c r="N262" i="82" s="1"/>
  <c r="M263" i="82"/>
  <c r="N275" i="82"/>
  <c r="N278" i="82"/>
  <c r="R288" i="82"/>
  <c r="M263" i="83"/>
  <c r="M267" i="83"/>
  <c r="M279" i="83"/>
  <c r="N279" i="83" s="1"/>
  <c r="O145" i="84"/>
  <c r="N226" i="85"/>
  <c r="M231" i="85"/>
  <c r="M239" i="85"/>
  <c r="M240" i="85"/>
  <c r="M245" i="85"/>
  <c r="N245" i="85" s="1"/>
  <c r="M270" i="85"/>
  <c r="N270" i="85" s="1"/>
  <c r="R276" i="85"/>
  <c r="M279" i="85"/>
  <c r="AC127" i="89"/>
  <c r="Q128" i="89"/>
  <c r="Q127" i="89"/>
  <c r="F86" i="91"/>
  <c r="EP9" i="98"/>
  <c r="BL9" i="98"/>
  <c r="EV28" i="98"/>
  <c r="EL28" i="98"/>
  <c r="EV32" i="98"/>
  <c r="EJ32" i="98"/>
  <c r="EK34" i="98"/>
  <c r="BG34" i="98"/>
  <c r="EP34" i="98"/>
  <c r="BL34" i="98"/>
  <c r="EJ41" i="98"/>
  <c r="BF41" i="98"/>
  <c r="EO41" i="98"/>
  <c r="BK41" i="98"/>
  <c r="O46" i="98"/>
  <c r="AM46" i="98" s="1"/>
  <c r="BJ49" i="98"/>
  <c r="BL57" i="98"/>
  <c r="EP57" i="98"/>
  <c r="EJ69" i="98"/>
  <c r="BF69" i="98"/>
  <c r="BF79" i="98"/>
  <c r="EJ79" i="98"/>
  <c r="R275" i="85"/>
  <c r="R279" i="85"/>
  <c r="R281" i="85"/>
  <c r="N283" i="85"/>
  <c r="R285" i="85"/>
  <c r="O141" i="86"/>
  <c r="I127" i="88"/>
  <c r="I127" i="89"/>
  <c r="E91" i="90"/>
  <c r="K86" i="90" s="1"/>
  <c r="EN14" i="98"/>
  <c r="BJ14" i="98"/>
  <c r="EJ27" i="98"/>
  <c r="BF27" i="98"/>
  <c r="EV27" i="98"/>
  <c r="EJ39" i="98"/>
  <c r="BF39" i="98"/>
  <c r="EV43" i="98"/>
  <c r="EN44" i="98"/>
  <c r="BJ44" i="98"/>
  <c r="EO52" i="98"/>
  <c r="BK52" i="98"/>
  <c r="EV56" i="98"/>
  <c r="BJ61" i="98"/>
  <c r="EK69" i="98"/>
  <c r="BG69" i="98"/>
  <c r="EV72" i="98"/>
  <c r="EJ73" i="98"/>
  <c r="BF73" i="98"/>
  <c r="EO73" i="98"/>
  <c r="BK73" i="98"/>
  <c r="BH76" i="98"/>
  <c r="BJ78" i="98"/>
  <c r="BH85" i="98"/>
  <c r="BJ92" i="98"/>
  <c r="EP93" i="98"/>
  <c r="BL93" i="98"/>
  <c r="EV95" i="98"/>
  <c r="EO103" i="98"/>
  <c r="BK103" i="98"/>
  <c r="BJ104" i="98"/>
  <c r="BH106" i="98"/>
  <c r="EP107" i="98"/>
  <c r="BL107" i="98"/>
  <c r="EO116" i="98"/>
  <c r="BK116" i="98"/>
  <c r="K103" i="74"/>
  <c r="K104" i="74"/>
  <c r="K105" i="74"/>
  <c r="K109" i="75"/>
  <c r="I97" i="76"/>
  <c r="K106" i="76"/>
  <c r="K109" i="76"/>
  <c r="M236" i="77"/>
  <c r="M237" i="77"/>
  <c r="L241" i="77"/>
  <c r="N232" i="79"/>
  <c r="N229" i="80"/>
  <c r="R225" i="81"/>
  <c r="R226" i="81"/>
  <c r="R234" i="81"/>
  <c r="R242" i="81"/>
  <c r="R250" i="81"/>
  <c r="R258" i="81"/>
  <c r="M261" i="81"/>
  <c r="R265" i="81"/>
  <c r="M269" i="81"/>
  <c r="R273" i="81"/>
  <c r="M277" i="81"/>
  <c r="M222" i="82"/>
  <c r="M224" i="82"/>
  <c r="N224" i="82" s="1"/>
  <c r="R243" i="82"/>
  <c r="R245" i="82"/>
  <c r="M253" i="82"/>
  <c r="N253" i="82" s="1"/>
  <c r="M254" i="82"/>
  <c r="N254" i="82" s="1"/>
  <c r="M255" i="82"/>
  <c r="M256" i="82"/>
  <c r="N256" i="82" s="1"/>
  <c r="R263" i="82"/>
  <c r="R264" i="82"/>
  <c r="M273" i="82"/>
  <c r="R280" i="82"/>
  <c r="R284" i="82"/>
  <c r="R287" i="82"/>
  <c r="Q222" i="83"/>
  <c r="R222" i="83" s="1"/>
  <c r="R235" i="83"/>
  <c r="R239" i="83"/>
  <c r="R245" i="83"/>
  <c r="M247" i="83"/>
  <c r="N247" i="83" s="1"/>
  <c r="M255" i="83"/>
  <c r="R257" i="83"/>
  <c r="R260" i="83"/>
  <c r="M262" i="83"/>
  <c r="N262" i="83" s="1"/>
  <c r="R268" i="83"/>
  <c r="M270" i="83"/>
  <c r="M273" i="83"/>
  <c r="N273" i="83" s="1"/>
  <c r="R278" i="83"/>
  <c r="R285" i="83"/>
  <c r="O143" i="84"/>
  <c r="N169" i="84"/>
  <c r="N170" i="84"/>
  <c r="R228" i="85"/>
  <c r="R230" i="85"/>
  <c r="M233" i="85"/>
  <c r="N233" i="85" s="1"/>
  <c r="R235" i="85"/>
  <c r="R236" i="85"/>
  <c r="M247" i="85"/>
  <c r="N247" i="85" s="1"/>
  <c r="M248" i="85"/>
  <c r="M249" i="85"/>
  <c r="N249" i="85" s="1"/>
  <c r="M250" i="85"/>
  <c r="N250" i="85" s="1"/>
  <c r="R265" i="85"/>
  <c r="M267" i="85"/>
  <c r="R269" i="85"/>
  <c r="R284" i="85"/>
  <c r="M287" i="85"/>
  <c r="N287" i="85" s="1"/>
  <c r="S135" i="86"/>
  <c r="C13" i="86" s="1"/>
  <c r="C26" i="86" s="1"/>
  <c r="O164" i="86"/>
  <c r="O165" i="86"/>
  <c r="O170" i="86"/>
  <c r="F83" i="91"/>
  <c r="O69" i="96"/>
  <c r="C5" i="97"/>
  <c r="EV11" i="98"/>
  <c r="EK19" i="98"/>
  <c r="BG19" i="98"/>
  <c r="BJ21" i="98"/>
  <c r="EN21" i="98"/>
  <c r="BK23" i="98"/>
  <c r="BH25" i="98"/>
  <c r="EJ66" i="98"/>
  <c r="BF66" i="98"/>
  <c r="EJ78" i="98"/>
  <c r="BF78" i="98"/>
  <c r="BD539" i="98"/>
  <c r="ET539" i="98" s="1"/>
  <c r="ET78" i="98"/>
  <c r="BJ80" i="98"/>
  <c r="BG91" i="98"/>
  <c r="EL100" i="98"/>
  <c r="EK110" i="98"/>
  <c r="BG110" i="98"/>
  <c r="BH115" i="98"/>
  <c r="EO119" i="98"/>
  <c r="AE122" i="98"/>
  <c r="AQ122" i="98" s="1"/>
  <c r="BK122" i="98"/>
  <c r="EK123" i="98"/>
  <c r="EV124" i="98"/>
  <c r="BF126" i="98"/>
  <c r="BF128" i="98"/>
  <c r="EO137" i="98"/>
  <c r="EL144" i="98"/>
  <c r="EN146" i="98"/>
  <c r="EV148" i="98"/>
  <c r="EL19" i="98"/>
  <c r="BK29" i="98"/>
  <c r="EL31" i="98"/>
  <c r="EV33" i="98"/>
  <c r="BJ57" i="98"/>
  <c r="BK76" i="98"/>
  <c r="EV79" i="98"/>
  <c r="BH81" i="98"/>
  <c r="BK85" i="98"/>
  <c r="BL89" i="98"/>
  <c r="BL97" i="98"/>
  <c r="BK112" i="98"/>
  <c r="BH124" i="98"/>
  <c r="EJ138" i="98"/>
  <c r="BJ144" i="98"/>
  <c r="EK145" i="98"/>
  <c r="BJ148" i="98"/>
  <c r="C34" i="96"/>
  <c r="EK17" i="98"/>
  <c r="BG43" i="98"/>
  <c r="BK44" i="98"/>
  <c r="BK45" i="98"/>
  <c r="EV47" i="98"/>
  <c r="BJ48" i="98"/>
  <c r="BK50" i="98"/>
  <c r="EV51" i="98"/>
  <c r="BG53" i="98"/>
  <c r="EL53" i="98"/>
  <c r="BH56" i="98"/>
  <c r="BJ62" i="98"/>
  <c r="EV68" i="98"/>
  <c r="BH72" i="98"/>
  <c r="BL73" i="98"/>
  <c r="BJ77" i="98"/>
  <c r="BJ84" i="98"/>
  <c r="EL86" i="98"/>
  <c r="BJ88" i="98"/>
  <c r="BK91" i="98"/>
  <c r="BJ95" i="98"/>
  <c r="EO96" i="98"/>
  <c r="BK99" i="98"/>
  <c r="EK105" i="98"/>
  <c r="EO109" i="98"/>
  <c r="BF119" i="98"/>
  <c r="EO120" i="98"/>
  <c r="BJ123" i="98"/>
  <c r="BJ126" i="98"/>
  <c r="BJ128" i="98"/>
  <c r="EO128" i="98"/>
  <c r="EV131" i="98"/>
  <c r="BG135" i="98"/>
  <c r="EV146" i="98"/>
  <c r="EL146" i="98"/>
  <c r="EV121" i="98"/>
  <c r="EP122" i="98"/>
  <c r="BK125" i="98"/>
  <c r="EK154" i="98"/>
  <c r="BG163" i="98"/>
  <c r="EN173" i="98"/>
  <c r="BJ186" i="98"/>
  <c r="BJ191" i="98"/>
  <c r="BH193" i="98"/>
  <c r="BE199" i="98"/>
  <c r="BI199" i="98"/>
  <c r="EV201" i="98"/>
  <c r="EK243" i="98"/>
  <c r="EP245" i="98"/>
  <c r="AZ257" i="98"/>
  <c r="EP257" i="98" s="1"/>
  <c r="EM257" i="98"/>
  <c r="EM260" i="98"/>
  <c r="AV271" i="98"/>
  <c r="EL271" i="98" s="1"/>
  <c r="AT273" i="98"/>
  <c r="EJ273" i="98" s="1"/>
  <c r="AT275" i="98"/>
  <c r="EJ275" i="98" s="1"/>
  <c r="AT276" i="98"/>
  <c r="EJ276" i="98" s="1"/>
  <c r="EM276" i="98"/>
  <c r="X277" i="98"/>
  <c r="V278" i="98"/>
  <c r="AZ278" i="98"/>
  <c r="EP278" i="98" s="1"/>
  <c r="AX279" i="98"/>
  <c r="EN279" i="98" s="1"/>
  <c r="AX280" i="98"/>
  <c r="EN280" i="98" s="1"/>
  <c r="AX281" i="98"/>
  <c r="EN281" i="98" s="1"/>
  <c r="V283" i="98"/>
  <c r="EG283" i="98"/>
  <c r="AE286" i="98"/>
  <c r="AQ286" i="98" s="1"/>
  <c r="EF286" i="98"/>
  <c r="AE288" i="98"/>
  <c r="AQ288" i="98" s="1"/>
  <c r="AC291" i="98"/>
  <c r="AO291" i="98" s="1"/>
  <c r="AC294" i="98"/>
  <c r="AO294" i="98" s="1"/>
  <c r="AU296" i="98"/>
  <c r="EK296" i="98" s="1"/>
  <c r="O297" i="98"/>
  <c r="AM297" i="98" s="1"/>
  <c r="EH297" i="98"/>
  <c r="AE298" i="98"/>
  <c r="AQ298" i="98" s="1"/>
  <c r="AY301" i="98"/>
  <c r="EO301" i="98" s="1"/>
  <c r="AU303" i="98"/>
  <c r="EK303" i="98" s="1"/>
  <c r="O304" i="98"/>
  <c r="AM304" i="98" s="1"/>
  <c r="EF304" i="98"/>
  <c r="AY307" i="98"/>
  <c r="EO307" i="98" s="1"/>
  <c r="AE308" i="98"/>
  <c r="AQ308" i="98" s="1"/>
  <c r="P309" i="98"/>
  <c r="AN309" i="98" s="1"/>
  <c r="M311" i="98"/>
  <c r="AK311" i="98" s="1"/>
  <c r="AU311" i="98"/>
  <c r="EK311" i="98" s="1"/>
  <c r="EH312" i="98"/>
  <c r="AE313" i="98"/>
  <c r="AQ313" i="98" s="1"/>
  <c r="AE315" i="98"/>
  <c r="AQ315" i="98" s="1"/>
  <c r="P316" i="98"/>
  <c r="AN316" i="98" s="1"/>
  <c r="M317" i="98"/>
  <c r="AK317" i="98" s="1"/>
  <c r="AU317" i="98"/>
  <c r="EK317" i="98" s="1"/>
  <c r="EF317" i="98"/>
  <c r="EM320" i="98"/>
  <c r="AT322" i="98"/>
  <c r="EJ322" i="98" s="1"/>
  <c r="U323" i="98"/>
  <c r="U324" i="98"/>
  <c r="EM325" i="98"/>
  <c r="V331" i="98"/>
  <c r="X333" i="98"/>
  <c r="V335" i="98"/>
  <c r="EO337" i="98"/>
  <c r="X339" i="98"/>
  <c r="V340" i="98"/>
  <c r="U348" i="98"/>
  <c r="AT350" i="98"/>
  <c r="EJ350" i="98" s="1"/>
  <c r="EM350" i="98"/>
  <c r="AT352" i="98"/>
  <c r="EJ352" i="98" s="1"/>
  <c r="AX353" i="98"/>
  <c r="EN353" i="98" s="1"/>
  <c r="AT354" i="98"/>
  <c r="EJ354" i="98" s="1"/>
  <c r="U355" i="98"/>
  <c r="EI356" i="98"/>
  <c r="AT357" i="98"/>
  <c r="EJ357" i="98" s="1"/>
  <c r="EF365" i="98"/>
  <c r="AU370" i="98"/>
  <c r="BG370" i="98" s="1"/>
  <c r="AZ370" i="98"/>
  <c r="EP370" i="98" s="1"/>
  <c r="EI372" i="98"/>
  <c r="P373" i="98"/>
  <c r="AN373" i="98" s="1"/>
  <c r="BE376" i="98"/>
  <c r="AU376" i="98"/>
  <c r="BG376" i="98" s="1"/>
  <c r="AT376" i="98"/>
  <c r="EJ376" i="98" s="1"/>
  <c r="AV376" i="98"/>
  <c r="EL376" i="98" s="1"/>
  <c r="BJ162" i="98"/>
  <c r="BF165" i="98"/>
  <c r="EK165" i="98"/>
  <c r="BK168" i="98"/>
  <c r="EP169" i="98"/>
  <c r="BJ171" i="98"/>
  <c r="BG174" i="98"/>
  <c r="EK176" i="98"/>
  <c r="EL177" i="98"/>
  <c r="BJ179" i="98"/>
  <c r="EP181" i="98"/>
  <c r="BH184" i="98"/>
  <c r="BG188" i="98"/>
  <c r="BJ195" i="98"/>
  <c r="BG225" i="98"/>
  <c r="EL227" i="98"/>
  <c r="BK229" i="98"/>
  <c r="BG231" i="98"/>
  <c r="EO235" i="98"/>
  <c r="EO237" i="98"/>
  <c r="EK239" i="98"/>
  <c r="EP244" i="98"/>
  <c r="AX255" i="98"/>
  <c r="EN255" i="98" s="1"/>
  <c r="V271" i="98"/>
  <c r="EI271" i="98"/>
  <c r="EI273" i="98"/>
  <c r="EG278" i="98"/>
  <c r="EM280" i="98"/>
  <c r="V282" i="98"/>
  <c r="EG282" i="98"/>
  <c r="EO283" i="98"/>
  <c r="EF292" i="98"/>
  <c r="EH293" i="98"/>
  <c r="EF295" i="98"/>
  <c r="EF298" i="98"/>
  <c r="EH308" i="98"/>
  <c r="AE309" i="98"/>
  <c r="AQ309" i="98" s="1"/>
  <c r="P311" i="98"/>
  <c r="AN311" i="98" s="1"/>
  <c r="M312" i="98"/>
  <c r="AK312" i="98" s="1"/>
  <c r="EF313" i="98"/>
  <c r="EH315" i="98"/>
  <c r="AE316" i="98"/>
  <c r="AQ316" i="98" s="1"/>
  <c r="P317" i="98"/>
  <c r="AN317" i="98" s="1"/>
  <c r="P320" i="98"/>
  <c r="AN320" i="98" s="1"/>
  <c r="EG321" i="98"/>
  <c r="P322" i="98"/>
  <c r="AN322" i="98" s="1"/>
  <c r="X323" i="98"/>
  <c r="X324" i="98"/>
  <c r="AT326" i="98"/>
  <c r="EJ326" i="98" s="1"/>
  <c r="AV328" i="98"/>
  <c r="EL328" i="98" s="1"/>
  <c r="X335" i="98"/>
  <c r="AZ338" i="98"/>
  <c r="EP338" i="98" s="1"/>
  <c r="AZ339" i="98"/>
  <c r="EP339" i="98" s="1"/>
  <c r="X340" i="98"/>
  <c r="AZ340" i="98"/>
  <c r="EP340" i="98" s="1"/>
  <c r="EL343" i="98"/>
  <c r="AT346" i="98"/>
  <c r="EJ346" i="98" s="1"/>
  <c r="AT347" i="98"/>
  <c r="EJ347" i="98" s="1"/>
  <c r="EI347" i="98"/>
  <c r="V348" i="98"/>
  <c r="EI360" i="98"/>
  <c r="EM370" i="98"/>
  <c r="EG376" i="98"/>
  <c r="X376" i="98"/>
  <c r="BI376" i="98"/>
  <c r="AY376" i="98"/>
  <c r="BK376" i="98" s="1"/>
  <c r="AX376" i="98"/>
  <c r="EN376" i="98" s="1"/>
  <c r="AZ376" i="98"/>
  <c r="EP376" i="98" s="1"/>
  <c r="EP162" i="98"/>
  <c r="EV164" i="98"/>
  <c r="BF166" i="98"/>
  <c r="BF176" i="98"/>
  <c r="EK183" i="98"/>
  <c r="EK185" i="98"/>
  <c r="EV186" i="98"/>
  <c r="EL190" i="98"/>
  <c r="EV191" i="98"/>
  <c r="BK199" i="98"/>
  <c r="EV205" i="98"/>
  <c r="EV211" i="98"/>
  <c r="BF226" i="98"/>
  <c r="BK227" i="98"/>
  <c r="EV232" i="98"/>
  <c r="EL232" i="98"/>
  <c r="EN236" i="98"/>
  <c r="EP238" i="98"/>
  <c r="BJ244" i="98"/>
  <c r="AY255" i="98"/>
  <c r="AX260" i="98"/>
  <c r="EN260" i="98" s="1"/>
  <c r="AT262" i="98"/>
  <c r="AT278" i="98"/>
  <c r="EJ278" i="98" s="1"/>
  <c r="EM278" i="98"/>
  <c r="EM279" i="98"/>
  <c r="AV281" i="98"/>
  <c r="EO281" i="98"/>
  <c r="AC292" i="98"/>
  <c r="AO292" i="98" s="1"/>
  <c r="AC293" i="98"/>
  <c r="AO293" i="98" s="1"/>
  <c r="AC295" i="98"/>
  <c r="AO295" i="98" s="1"/>
  <c r="AY296" i="98"/>
  <c r="EO296" i="98" s="1"/>
  <c r="M298" i="98"/>
  <c r="AK298" i="98" s="1"/>
  <c r="AU298" i="98"/>
  <c r="EK298" i="98" s="1"/>
  <c r="AU301" i="98"/>
  <c r="EK301" i="98" s="1"/>
  <c r="AY303" i="98"/>
  <c r="EO303" i="98" s="1"/>
  <c r="AY306" i="98"/>
  <c r="AU307" i="98"/>
  <c r="EK307" i="98" s="1"/>
  <c r="AU308" i="98"/>
  <c r="EK308" i="98" s="1"/>
  <c r="P312" i="98"/>
  <c r="AN312" i="98" s="1"/>
  <c r="EH316" i="98"/>
  <c r="AY317" i="98"/>
  <c r="EG322" i="98"/>
  <c r="EI323" i="98"/>
  <c r="BH326" i="98"/>
  <c r="EG326" i="98"/>
  <c r="EK332" i="98"/>
  <c r="AV341" i="98"/>
  <c r="V343" i="98"/>
  <c r="EM347" i="98"/>
  <c r="AT349" i="98"/>
  <c r="EJ349" i="98" s="1"/>
  <c r="EI349" i="98"/>
  <c r="AX350" i="98"/>
  <c r="EN350" i="98" s="1"/>
  <c r="EI351" i="98"/>
  <c r="AX357" i="98"/>
  <c r="EN357" i="98" s="1"/>
  <c r="AU365" i="98"/>
  <c r="EK365" i="98" s="1"/>
  <c r="BJ160" i="98"/>
  <c r="BH168" i="98"/>
  <c r="EL185" i="98"/>
  <c r="EV188" i="98"/>
  <c r="BJ197" i="98"/>
  <c r="BJ238" i="98"/>
  <c r="EN240" i="98"/>
  <c r="BF245" i="98"/>
  <c r="AY250" i="98"/>
  <c r="EO250" i="98" s="1"/>
  <c r="AY254" i="98"/>
  <c r="EO254" i="98" s="1"/>
  <c r="AZ255" i="98"/>
  <c r="EP255" i="98" s="1"/>
  <c r="AX257" i="98"/>
  <c r="AV262" i="98"/>
  <c r="EL262" i="98" s="1"/>
  <c r="AX268" i="98"/>
  <c r="EN268" i="98" s="1"/>
  <c r="AT271" i="98"/>
  <c r="EJ271" i="98" s="1"/>
  <c r="EI275" i="98"/>
  <c r="EG276" i="98"/>
  <c r="AC286" i="98"/>
  <c r="AO286" i="98" s="1"/>
  <c r="AY289" i="98"/>
  <c r="EO289" i="98" s="1"/>
  <c r="AC290" i="98"/>
  <c r="AO290" i="98" s="1"/>
  <c r="O291" i="98"/>
  <c r="AM291" i="98" s="1"/>
  <c r="EH291" i="98"/>
  <c r="O294" i="98"/>
  <c r="AM294" i="98" s="1"/>
  <c r="EH294" i="98"/>
  <c r="P298" i="98"/>
  <c r="AN298" i="98" s="1"/>
  <c r="AU302" i="98"/>
  <c r="EK302" i="98" s="1"/>
  <c r="AU305" i="98"/>
  <c r="EK305" i="98" s="1"/>
  <c r="P308" i="98"/>
  <c r="AN308" i="98" s="1"/>
  <c r="M309" i="98"/>
  <c r="AK309" i="98" s="1"/>
  <c r="AU309" i="98"/>
  <c r="EK309" i="98" s="1"/>
  <c r="BK309" i="98"/>
  <c r="EF309" i="98"/>
  <c r="EH311" i="98"/>
  <c r="AE312" i="98"/>
  <c r="AQ312" i="98" s="1"/>
  <c r="AY312" i="98"/>
  <c r="EO312" i="98" s="1"/>
  <c r="P313" i="98"/>
  <c r="AN313" i="98" s="1"/>
  <c r="P315" i="98"/>
  <c r="AN315" i="98" s="1"/>
  <c r="M316" i="98"/>
  <c r="AK316" i="98" s="1"/>
  <c r="AU316" i="98"/>
  <c r="EK316" i="98" s="1"/>
  <c r="EM319" i="98"/>
  <c r="AZ320" i="98"/>
  <c r="EP320" i="98" s="1"/>
  <c r="X321" i="98"/>
  <c r="AT323" i="98"/>
  <c r="EJ323" i="98" s="1"/>
  <c r="P325" i="98"/>
  <c r="AN325" i="98" s="1"/>
  <c r="AZ325" i="98"/>
  <c r="EP325" i="98" s="1"/>
  <c r="X326" i="98"/>
  <c r="EM326" i="98"/>
  <c r="AZ327" i="98"/>
  <c r="EP327" i="98" s="1"/>
  <c r="P328" i="98"/>
  <c r="AN328" i="98" s="1"/>
  <c r="AX328" i="98"/>
  <c r="EN328" i="98" s="1"/>
  <c r="P330" i="98"/>
  <c r="AN330" i="98" s="1"/>
  <c r="AV332" i="98"/>
  <c r="EL332" i="98" s="1"/>
  <c r="M335" i="98"/>
  <c r="AK335" i="98" s="1"/>
  <c r="AV335" i="98"/>
  <c r="EL335" i="98" s="1"/>
  <c r="V337" i="98"/>
  <c r="AZ337" i="98"/>
  <c r="EP337" i="98" s="1"/>
  <c r="AV338" i="98"/>
  <c r="EL338" i="98" s="1"/>
  <c r="V339" i="98"/>
  <c r="AV339" i="98"/>
  <c r="EL339" i="98" s="1"/>
  <c r="M340" i="98"/>
  <c r="AK340" i="98" s="1"/>
  <c r="AV340" i="98"/>
  <c r="EL340" i="98" s="1"/>
  <c r="M341" i="98"/>
  <c r="AK341" i="98" s="1"/>
  <c r="AV342" i="98"/>
  <c r="EL342" i="98" s="1"/>
  <c r="AX347" i="98"/>
  <c r="EN347" i="98" s="1"/>
  <c r="AT348" i="98"/>
  <c r="EJ348" i="98" s="1"/>
  <c r="EM348" i="98"/>
  <c r="EM349" i="98"/>
  <c r="AT351" i="98"/>
  <c r="EJ351" i="98" s="1"/>
  <c r="EM351" i="98"/>
  <c r="AT355" i="98"/>
  <c r="EJ355" i="98" s="1"/>
  <c r="U356" i="98"/>
  <c r="AX356" i="98"/>
  <c r="EN356" i="98" s="1"/>
  <c r="EI357" i="98"/>
  <c r="AT359" i="98"/>
  <c r="EJ359" i="98" s="1"/>
  <c r="EI359" i="98"/>
  <c r="AT360" i="98"/>
  <c r="EJ360" i="98" s="1"/>
  <c r="V362" i="98"/>
  <c r="AX362" i="98"/>
  <c r="EN362" i="98" s="1"/>
  <c r="AY363" i="98"/>
  <c r="EO363" i="98" s="1"/>
  <c r="EF364" i="98"/>
  <c r="AY370" i="98"/>
  <c r="BK370" i="98" s="1"/>
  <c r="P371" i="98"/>
  <c r="AN371" i="98" s="1"/>
  <c r="X372" i="98"/>
  <c r="AV372" i="98"/>
  <c r="EL372" i="98" s="1"/>
  <c r="AZ372" i="98"/>
  <c r="EP372" i="98" s="1"/>
  <c r="AZ377" i="98"/>
  <c r="EP377" i="98" s="1"/>
  <c r="AZ378" i="98"/>
  <c r="EP378" i="98" s="1"/>
  <c r="AZ379" i="98"/>
  <c r="EP379" i="98" s="1"/>
  <c r="AX381" i="98"/>
  <c r="EN381" i="98" s="1"/>
  <c r="AT382" i="98"/>
  <c r="EJ382" i="98" s="1"/>
  <c r="AX382" i="98"/>
  <c r="EN382" i="98" s="1"/>
  <c r="X385" i="98"/>
  <c r="AV385" i="98"/>
  <c r="EL385" i="98" s="1"/>
  <c r="AZ385" i="98"/>
  <c r="EP385" i="98" s="1"/>
  <c r="AT387" i="98"/>
  <c r="EJ387" i="98" s="1"/>
  <c r="AX387" i="98"/>
  <c r="EN387" i="98" s="1"/>
  <c r="X389" i="98"/>
  <c r="AV389" i="98"/>
  <c r="EL389" i="98" s="1"/>
  <c r="AZ389" i="98"/>
  <c r="EP389" i="98" s="1"/>
  <c r="AC392" i="98"/>
  <c r="AO392" i="98" s="1"/>
  <c r="M393" i="98"/>
  <c r="AK393" i="98" s="1"/>
  <c r="AC395" i="98"/>
  <c r="AO395" i="98" s="1"/>
  <c r="U396" i="98"/>
  <c r="AC397" i="98"/>
  <c r="AO397" i="98" s="1"/>
  <c r="EH401" i="98"/>
  <c r="M414" i="98"/>
  <c r="AK414" i="98" s="1"/>
  <c r="AX421" i="98"/>
  <c r="EN421" i="98" s="1"/>
  <c r="AX423" i="98"/>
  <c r="EN423" i="98" s="1"/>
  <c r="AX425" i="98"/>
  <c r="EN425" i="98" s="1"/>
  <c r="V426" i="98"/>
  <c r="EI426" i="98"/>
  <c r="V428" i="98"/>
  <c r="EI429" i="98"/>
  <c r="AT461" i="98"/>
  <c r="EJ461" i="98" s="1"/>
  <c r="AY461" i="98"/>
  <c r="BK461" i="98" s="1"/>
  <c r="AY462" i="98"/>
  <c r="BK462" i="98" s="1"/>
  <c r="AD463" i="98"/>
  <c r="AP463" i="98" s="1"/>
  <c r="AX463" i="98"/>
  <c r="EN463" i="98" s="1"/>
  <c r="AX467" i="98"/>
  <c r="BJ467" i="98" s="1"/>
  <c r="AT478" i="98"/>
  <c r="BF478" i="98" s="1"/>
  <c r="AZ478" i="98"/>
  <c r="EP478" i="98" s="1"/>
  <c r="EM478" i="98"/>
  <c r="AY479" i="98"/>
  <c r="BK479" i="98" s="1"/>
  <c r="AX480" i="98"/>
  <c r="BJ480" i="98" s="1"/>
  <c r="AY484" i="98"/>
  <c r="BK484" i="98" s="1"/>
  <c r="AT486" i="98"/>
  <c r="EJ486" i="98" s="1"/>
  <c r="AY486" i="98"/>
  <c r="BK486" i="98" s="1"/>
  <c r="EM486" i="98"/>
  <c r="AX490" i="98"/>
  <c r="EN490" i="98" s="1"/>
  <c r="EM490" i="98"/>
  <c r="V494" i="98"/>
  <c r="AU494" i="98"/>
  <c r="BG494" i="98" s="1"/>
  <c r="EG494" i="98"/>
  <c r="U496" i="98"/>
  <c r="AX496" i="98"/>
  <c r="BJ496" i="98" s="1"/>
  <c r="EG500" i="98"/>
  <c r="V503" i="98"/>
  <c r="AU506" i="98"/>
  <c r="EK506" i="98" s="1"/>
  <c r="AU507" i="98"/>
  <c r="BG507" i="98" s="1"/>
  <c r="AZ507" i="98"/>
  <c r="BL507" i="98" s="1"/>
  <c r="EF508" i="98"/>
  <c r="X509" i="98"/>
  <c r="EG509" i="98"/>
  <c r="V512" i="98"/>
  <c r="AX512" i="98"/>
  <c r="EN512" i="98" s="1"/>
  <c r="AT514" i="98"/>
  <c r="EJ514" i="98" s="1"/>
  <c r="AZ514" i="98"/>
  <c r="EP514" i="98" s="1"/>
  <c r="M515" i="98"/>
  <c r="AK515" i="98" s="1"/>
  <c r="BI515" i="98"/>
  <c r="AZ516" i="98"/>
  <c r="EP516" i="98" s="1"/>
  <c r="EF519" i="98"/>
  <c r="U522" i="98"/>
  <c r="AV522" i="98"/>
  <c r="EL522" i="98" s="1"/>
  <c r="AE523" i="98"/>
  <c r="AQ523" i="98" s="1"/>
  <c r="EG524" i="98"/>
  <c r="M525" i="98"/>
  <c r="AK525" i="98" s="1"/>
  <c r="V530" i="98"/>
  <c r="AX530" i="98"/>
  <c r="EN530" i="98" s="1"/>
  <c r="U533" i="98"/>
  <c r="EM537" i="98"/>
  <c r="EG539" i="98"/>
  <c r="M551" i="98"/>
  <c r="AK551" i="98" s="1"/>
  <c r="EM553" i="98"/>
  <c r="M555" i="98"/>
  <c r="AK555" i="98" s="1"/>
  <c r="AV556" i="98"/>
  <c r="EL556" i="98" s="1"/>
  <c r="AZ556" i="98"/>
  <c r="EP556" i="98" s="1"/>
  <c r="P557" i="98"/>
  <c r="AN557" i="98" s="1"/>
  <c r="EF557" i="98"/>
  <c r="AD557" i="98"/>
  <c r="AP557" i="98" s="1"/>
  <c r="AU557" i="98"/>
  <c r="EK557" i="98" s="1"/>
  <c r="P382" i="98"/>
  <c r="AN382" i="98" s="1"/>
  <c r="AU382" i="98"/>
  <c r="BG382" i="98" s="1"/>
  <c r="AY382" i="98"/>
  <c r="BK382" i="98" s="1"/>
  <c r="P387" i="98"/>
  <c r="AN387" i="98" s="1"/>
  <c r="AU387" i="98"/>
  <c r="BG387" i="98" s="1"/>
  <c r="AY387" i="98"/>
  <c r="BK387" i="98" s="1"/>
  <c r="U393" i="98"/>
  <c r="EI415" i="98"/>
  <c r="EI430" i="98"/>
  <c r="M448" i="98"/>
  <c r="AK448" i="98" s="1"/>
  <c r="AY467" i="98"/>
  <c r="EO467" i="98" s="1"/>
  <c r="AU479" i="98"/>
  <c r="BG479" i="98" s="1"/>
  <c r="AZ479" i="98"/>
  <c r="BL479" i="98" s="1"/>
  <c r="EI479" i="98"/>
  <c r="AT490" i="98"/>
  <c r="EJ490" i="98" s="1"/>
  <c r="AY490" i="98"/>
  <c r="BK490" i="98" s="1"/>
  <c r="X492" i="98"/>
  <c r="P493" i="98"/>
  <c r="AN493" i="98" s="1"/>
  <c r="EH493" i="98"/>
  <c r="EI494" i="98"/>
  <c r="AD495" i="98"/>
  <c r="AP495" i="98" s="1"/>
  <c r="AZ496" i="98"/>
  <c r="EP496" i="98" s="1"/>
  <c r="M497" i="98"/>
  <c r="AK497" i="98" s="1"/>
  <c r="AY502" i="98"/>
  <c r="EO502" i="98" s="1"/>
  <c r="X503" i="98"/>
  <c r="AX503" i="98"/>
  <c r="EN503" i="98" s="1"/>
  <c r="M504" i="98"/>
  <c r="AK504" i="98" s="1"/>
  <c r="EF504" i="98"/>
  <c r="U505" i="98"/>
  <c r="AX505" i="98"/>
  <c r="BJ505" i="98" s="1"/>
  <c r="M506" i="98"/>
  <c r="AK506" i="98" s="1"/>
  <c r="AV507" i="98"/>
  <c r="BH507" i="98" s="1"/>
  <c r="M508" i="98"/>
  <c r="AK508" i="98" s="1"/>
  <c r="AF512" i="98"/>
  <c r="AR512" i="98" s="1"/>
  <c r="EM514" i="98"/>
  <c r="EG516" i="98"/>
  <c r="EM524" i="98"/>
  <c r="P525" i="98"/>
  <c r="AN525" i="98" s="1"/>
  <c r="EH529" i="98"/>
  <c r="P539" i="98"/>
  <c r="AN539" i="98" s="1"/>
  <c r="M544" i="98"/>
  <c r="AK544" i="98" s="1"/>
  <c r="AE557" i="98"/>
  <c r="AQ557" i="98" s="1"/>
  <c r="X382" i="98"/>
  <c r="AV382" i="98"/>
  <c r="EL382" i="98" s="1"/>
  <c r="AZ382" i="98"/>
  <c r="EP382" i="98" s="1"/>
  <c r="AZ383" i="98"/>
  <c r="EP383" i="98" s="1"/>
  <c r="AT385" i="98"/>
  <c r="EJ385" i="98" s="1"/>
  <c r="X387" i="98"/>
  <c r="AV387" i="98"/>
  <c r="EL387" i="98" s="1"/>
  <c r="AZ387" i="98"/>
  <c r="EP387" i="98" s="1"/>
  <c r="AT389" i="98"/>
  <c r="EJ389" i="98" s="1"/>
  <c r="AX389" i="98"/>
  <c r="EN389" i="98" s="1"/>
  <c r="EJ391" i="98"/>
  <c r="AC393" i="98"/>
  <c r="AO393" i="98" s="1"/>
  <c r="EH403" i="98"/>
  <c r="EH406" i="98"/>
  <c r="P413" i="98"/>
  <c r="AN413" i="98" s="1"/>
  <c r="EH413" i="98"/>
  <c r="AX417" i="98"/>
  <c r="EN417" i="98" s="1"/>
  <c r="EM417" i="98"/>
  <c r="AX422" i="98"/>
  <c r="EN422" i="98" s="1"/>
  <c r="AX424" i="98"/>
  <c r="EN424" i="98" s="1"/>
  <c r="AT425" i="98"/>
  <c r="EJ425" i="98" s="1"/>
  <c r="EI425" i="98"/>
  <c r="AT426" i="98"/>
  <c r="EJ426" i="98" s="1"/>
  <c r="AT427" i="98"/>
  <c r="EJ427" i="98" s="1"/>
  <c r="U429" i="98"/>
  <c r="AT463" i="98"/>
  <c r="EJ463" i="98" s="1"/>
  <c r="AY468" i="98"/>
  <c r="BK468" i="98" s="1"/>
  <c r="AX477" i="98"/>
  <c r="EN477" i="98" s="1"/>
  <c r="EM477" i="98"/>
  <c r="AV479" i="98"/>
  <c r="BH479" i="98" s="1"/>
  <c r="AX485" i="98"/>
  <c r="BJ485" i="98" s="1"/>
  <c r="EG492" i="98"/>
  <c r="EM496" i="98"/>
  <c r="P500" i="98"/>
  <c r="AN500" i="98" s="1"/>
  <c r="X505" i="98"/>
  <c r="EM507" i="98"/>
  <c r="AV530" i="98"/>
  <c r="EL530" i="98" s="1"/>
  <c r="AY531" i="98"/>
  <c r="EO531" i="98" s="1"/>
  <c r="M533" i="98"/>
  <c r="AK533" i="98" s="1"/>
  <c r="AY535" i="98"/>
  <c r="EO535" i="98" s="1"/>
  <c r="AY540" i="98"/>
  <c r="EO540" i="98" s="1"/>
  <c r="U541" i="98"/>
  <c r="EG541" i="98"/>
  <c r="P542" i="98"/>
  <c r="AN542" i="98" s="1"/>
  <c r="AZ545" i="98"/>
  <c r="EP545" i="98" s="1"/>
  <c r="AU546" i="98"/>
  <c r="EK546" i="98" s="1"/>
  <c r="AX549" i="98"/>
  <c r="EN549" i="98" s="1"/>
  <c r="AY552" i="98"/>
  <c r="EO552" i="98" s="1"/>
  <c r="AT556" i="98"/>
  <c r="BF556" i="98" s="1"/>
  <c r="AX556" i="98"/>
  <c r="BJ556" i="98" s="1"/>
  <c r="AU385" i="98"/>
  <c r="BG385" i="98" s="1"/>
  <c r="AY385" i="98"/>
  <c r="BK385" i="98" s="1"/>
  <c r="P389" i="98"/>
  <c r="AN389" i="98" s="1"/>
  <c r="AU389" i="98"/>
  <c r="BG389" i="98" s="1"/>
  <c r="AY389" i="98"/>
  <c r="BK389" i="98" s="1"/>
  <c r="U394" i="98"/>
  <c r="P395" i="98"/>
  <c r="AN395" i="98" s="1"/>
  <c r="U397" i="98"/>
  <c r="AC403" i="98"/>
  <c r="AO403" i="98" s="1"/>
  <c r="M405" i="98"/>
  <c r="AK405" i="98" s="1"/>
  <c r="EH407" i="98"/>
  <c r="AD409" i="98"/>
  <c r="AP409" i="98" s="1"/>
  <c r="AC413" i="98"/>
  <c r="AO413" i="98" s="1"/>
  <c r="AX415" i="98"/>
  <c r="EN415" i="98" s="1"/>
  <c r="V416" i="98"/>
  <c r="EI416" i="98"/>
  <c r="AX418" i="98"/>
  <c r="EN418" i="98" s="1"/>
  <c r="AT419" i="98"/>
  <c r="EJ419" i="98" s="1"/>
  <c r="EI419" i="98"/>
  <c r="AT430" i="98"/>
  <c r="EJ430" i="98" s="1"/>
  <c r="AX461" i="98"/>
  <c r="EN461" i="98" s="1"/>
  <c r="EM461" i="98"/>
  <c r="AX462" i="98"/>
  <c r="EN462" i="98" s="1"/>
  <c r="EM462" i="98"/>
  <c r="EM463" i="98"/>
  <c r="AE464" i="98"/>
  <c r="AQ464" i="98" s="1"/>
  <c r="AZ468" i="98"/>
  <c r="EP468" i="98" s="1"/>
  <c r="AY477" i="98"/>
  <c r="BK477" i="98" s="1"/>
  <c r="AX478" i="98"/>
  <c r="BJ478" i="98" s="1"/>
  <c r="AX484" i="98"/>
  <c r="EN484" i="98" s="1"/>
  <c r="AZ485" i="98"/>
  <c r="EP485" i="98" s="1"/>
  <c r="AX486" i="98"/>
  <c r="EN486" i="98" s="1"/>
  <c r="AV492" i="98"/>
  <c r="EL492" i="98" s="1"/>
  <c r="AU493" i="98"/>
  <c r="EK493" i="98" s="1"/>
  <c r="AT494" i="98"/>
  <c r="EJ494" i="98" s="1"/>
  <c r="AZ501" i="98"/>
  <c r="EP501" i="98" s="1"/>
  <c r="EM501" i="98"/>
  <c r="P509" i="98"/>
  <c r="AN509" i="98" s="1"/>
  <c r="AU510" i="98"/>
  <c r="EK510" i="98" s="1"/>
  <c r="AX514" i="98"/>
  <c r="EN514" i="98" s="1"/>
  <c r="V516" i="98"/>
  <c r="AX516" i="98"/>
  <c r="EN516" i="98" s="1"/>
  <c r="AX518" i="98"/>
  <c r="EN518" i="98" s="1"/>
  <c r="W519" i="98"/>
  <c r="AY519" i="98"/>
  <c r="EO519" i="98" s="1"/>
  <c r="AT522" i="98"/>
  <c r="EJ522" i="98" s="1"/>
  <c r="EG522" i="98"/>
  <c r="AD523" i="98"/>
  <c r="AP523" i="98" s="1"/>
  <c r="EH523" i="98"/>
  <c r="X524" i="98"/>
  <c r="AZ524" i="98"/>
  <c r="EP524" i="98" s="1"/>
  <c r="V526" i="98"/>
  <c r="AX526" i="98"/>
  <c r="EN526" i="98" s="1"/>
  <c r="V528" i="98"/>
  <c r="P533" i="98"/>
  <c r="AN533" i="98" s="1"/>
  <c r="M535" i="98"/>
  <c r="AK535" i="98" s="1"/>
  <c r="EJ536" i="98"/>
  <c r="V537" i="98"/>
  <c r="AZ537" i="98"/>
  <c r="EP537" i="98" s="1"/>
  <c r="M538" i="98"/>
  <c r="AK538" i="98" s="1"/>
  <c r="M540" i="98"/>
  <c r="AK540" i="98" s="1"/>
  <c r="EF540" i="98"/>
  <c r="V541" i="98"/>
  <c r="AY549" i="98"/>
  <c r="EO549" i="98" s="1"/>
  <c r="AZ552" i="98"/>
  <c r="EP552" i="98" s="1"/>
  <c r="AE553" i="98"/>
  <c r="AQ553" i="98" s="1"/>
  <c r="AY553" i="98"/>
  <c r="EO553" i="98" s="1"/>
  <c r="U554" i="98"/>
  <c r="AU556" i="98"/>
  <c r="BG556" i="98" s="1"/>
  <c r="AY556" i="98"/>
  <c r="BK556" i="98" s="1"/>
  <c r="O557" i="98"/>
  <c r="AM557" i="98" s="1"/>
  <c r="AT557" i="98"/>
  <c r="BF557" i="98" s="1"/>
  <c r="AC558" i="98"/>
  <c r="AO558" i="98" s="1"/>
  <c r="EM561" i="98"/>
  <c r="X564" i="98"/>
  <c r="EF568" i="98"/>
  <c r="AT570" i="98"/>
  <c r="EJ570" i="98" s="1"/>
  <c r="AT572" i="98"/>
  <c r="BF572" i="98" s="1"/>
  <c r="AC574" i="98"/>
  <c r="AO574" i="98" s="1"/>
  <c r="X576" i="98"/>
  <c r="EM576" i="98"/>
  <c r="EI577" i="98"/>
  <c r="AU580" i="98"/>
  <c r="EK580" i="98" s="1"/>
  <c r="EF580" i="98"/>
  <c r="O583" i="98"/>
  <c r="AM583" i="98" s="1"/>
  <c r="X587" i="98"/>
  <c r="AE588" i="98"/>
  <c r="AQ588" i="98" s="1"/>
  <c r="AE589" i="98"/>
  <c r="AQ589" i="98" s="1"/>
  <c r="AE594" i="98"/>
  <c r="AQ594" i="98" s="1"/>
  <c r="EF594" i="98"/>
  <c r="V595" i="98"/>
  <c r="AY598" i="98"/>
  <c r="EO598" i="98" s="1"/>
  <c r="EL598" i="98"/>
  <c r="V599" i="98"/>
  <c r="AV601" i="98"/>
  <c r="EL601" i="98" s="1"/>
  <c r="EG601" i="98"/>
  <c r="AT602" i="98"/>
  <c r="EJ602" i="98" s="1"/>
  <c r="BE602" i="98"/>
  <c r="AE605" i="98"/>
  <c r="AQ605" i="98" s="1"/>
  <c r="AV605" i="98"/>
  <c r="EL605" i="98" s="1"/>
  <c r="AZ605" i="98"/>
  <c r="EP605" i="98" s="1"/>
  <c r="W612" i="98"/>
  <c r="AW619" i="98"/>
  <c r="AV621" i="98"/>
  <c r="EL621" i="98" s="1"/>
  <c r="AX622" i="98"/>
  <c r="U623" i="98"/>
  <c r="AV624" i="98"/>
  <c r="U626" i="98"/>
  <c r="AX626" i="98"/>
  <c r="EN626" i="98" s="1"/>
  <c r="V630" i="98"/>
  <c r="AD633" i="98"/>
  <c r="AP633" i="98" s="1"/>
  <c r="EF633" i="98"/>
  <c r="AY636" i="98"/>
  <c r="EM637" i="98"/>
  <c r="P639" i="98"/>
  <c r="AN639" i="98" s="1"/>
  <c r="AU641" i="98"/>
  <c r="EK641" i="98" s="1"/>
  <c r="AC642" i="98"/>
  <c r="AO642" i="98" s="1"/>
  <c r="EI643" i="98"/>
  <c r="EF645" i="98"/>
  <c r="EM647" i="98"/>
  <c r="U649" i="98"/>
  <c r="BI649" i="98"/>
  <c r="EI652" i="98"/>
  <c r="O653" i="98"/>
  <c r="AM653" i="98" s="1"/>
  <c r="V654" i="98"/>
  <c r="V656" i="98"/>
  <c r="U657" i="98"/>
  <c r="AV658" i="98"/>
  <c r="EL658" i="98" s="1"/>
  <c r="AX660" i="98"/>
  <c r="EN660" i="98" s="1"/>
  <c r="AE665" i="98"/>
  <c r="AQ665" i="98" s="1"/>
  <c r="EF667" i="98"/>
  <c r="AY669" i="98"/>
  <c r="EO669" i="98" s="1"/>
  <c r="V670" i="98"/>
  <c r="AV670" i="98"/>
  <c r="EL670" i="98" s="1"/>
  <c r="AZ672" i="98"/>
  <c r="EP672" i="98" s="1"/>
  <c r="EI672" i="98"/>
  <c r="P673" i="98"/>
  <c r="AN673" i="98" s="1"/>
  <c r="X674" i="98"/>
  <c r="AX674" i="98"/>
  <c r="U679" i="98"/>
  <c r="AU681" i="98"/>
  <c r="EK681" i="98" s="1"/>
  <c r="EM565" i="98"/>
  <c r="P568" i="98"/>
  <c r="AN568" i="98" s="1"/>
  <c r="AX569" i="98"/>
  <c r="BJ569" i="98" s="1"/>
  <c r="AX573" i="98"/>
  <c r="BJ573" i="98" s="1"/>
  <c r="AD574" i="98"/>
  <c r="AP574" i="98" s="1"/>
  <c r="AX574" i="98"/>
  <c r="EN574" i="98" s="1"/>
  <c r="EN576" i="98"/>
  <c r="EJ577" i="98"/>
  <c r="EI580" i="98"/>
  <c r="EF589" i="98"/>
  <c r="O592" i="98"/>
  <c r="AM592" i="98" s="1"/>
  <c r="EM601" i="98"/>
  <c r="AC602" i="98"/>
  <c r="AO602" i="98" s="1"/>
  <c r="AU602" i="98"/>
  <c r="EH602" i="98"/>
  <c r="EM608" i="98"/>
  <c r="AV615" i="98"/>
  <c r="EL615" i="98" s="1"/>
  <c r="U618" i="98"/>
  <c r="AY620" i="98"/>
  <c r="AE621" i="98"/>
  <c r="AQ621" i="98" s="1"/>
  <c r="EM621" i="98"/>
  <c r="AD622" i="98"/>
  <c r="AP622" i="98" s="1"/>
  <c r="X623" i="98"/>
  <c r="O624" i="98"/>
  <c r="AM624" i="98" s="1"/>
  <c r="EM626" i="98"/>
  <c r="P632" i="98"/>
  <c r="AN632" i="98" s="1"/>
  <c r="AZ632" i="98"/>
  <c r="EP632" i="98" s="1"/>
  <c r="EM633" i="98"/>
  <c r="P640" i="98"/>
  <c r="AN640" i="98" s="1"/>
  <c r="W644" i="98"/>
  <c r="U646" i="98"/>
  <c r="AT652" i="98"/>
  <c r="EJ652" i="98" s="1"/>
  <c r="AX652" i="98"/>
  <c r="EN652" i="98" s="1"/>
  <c r="EM652" i="98"/>
  <c r="AE653" i="98"/>
  <c r="AQ653" i="98" s="1"/>
  <c r="EH653" i="98"/>
  <c r="AZ656" i="98"/>
  <c r="EP656" i="98" s="1"/>
  <c r="BI658" i="98"/>
  <c r="AX663" i="98"/>
  <c r="EN663" i="98" s="1"/>
  <c r="EM663" i="98"/>
  <c r="EH665" i="98"/>
  <c r="AT668" i="98"/>
  <c r="EJ668" i="98" s="1"/>
  <c r="AE670" i="98"/>
  <c r="AQ670" i="98" s="1"/>
  <c r="EH671" i="98"/>
  <c r="AC673" i="98"/>
  <c r="AO673" i="98" s="1"/>
  <c r="EP674" i="98"/>
  <c r="AV681" i="98"/>
  <c r="C12" i="101"/>
  <c r="J83" i="101"/>
  <c r="EH559" i="98"/>
  <c r="AU564" i="98"/>
  <c r="X568" i="98"/>
  <c r="AY569" i="98"/>
  <c r="EO569" i="98" s="1"/>
  <c r="EH571" i="98"/>
  <c r="P572" i="98"/>
  <c r="AN572" i="98" s="1"/>
  <c r="EH574" i="98"/>
  <c r="EG579" i="98"/>
  <c r="AX580" i="98"/>
  <c r="AT581" i="98"/>
  <c r="EJ581" i="98" s="1"/>
  <c r="AU583" i="98"/>
  <c r="BG583" i="98" s="1"/>
  <c r="EG583" i="98"/>
  <c r="AE584" i="98"/>
  <c r="AQ584" i="98" s="1"/>
  <c r="AY587" i="98"/>
  <c r="EM589" i="98"/>
  <c r="X590" i="98"/>
  <c r="X592" i="98"/>
  <c r="X593" i="98"/>
  <c r="AU594" i="98"/>
  <c r="EF596" i="98"/>
  <c r="AE602" i="98"/>
  <c r="AQ602" i="98" s="1"/>
  <c r="EL602" i="98"/>
  <c r="AT605" i="98"/>
  <c r="BF605" i="98" s="1"/>
  <c r="AX605" i="98"/>
  <c r="BJ605" i="98" s="1"/>
  <c r="EM605" i="98"/>
  <c r="AX606" i="98"/>
  <c r="AX609" i="98"/>
  <c r="EN609" i="98" s="1"/>
  <c r="EH613" i="98"/>
  <c r="AC618" i="98"/>
  <c r="AO618" i="98" s="1"/>
  <c r="EM622" i="98"/>
  <c r="AT626" i="98"/>
  <c r="EJ626" i="98" s="1"/>
  <c r="AY629" i="98"/>
  <c r="AT630" i="98"/>
  <c r="EJ630" i="98" s="1"/>
  <c r="AV636" i="98"/>
  <c r="EL636" i="98" s="1"/>
  <c r="AZ637" i="98"/>
  <c r="BL637" i="98" s="1"/>
  <c r="AE640" i="98"/>
  <c r="AQ640" i="98" s="1"/>
  <c r="EI656" i="98"/>
  <c r="EM660" i="98"/>
  <c r="AT661" i="98"/>
  <c r="EJ661" i="98" s="1"/>
  <c r="W662" i="98"/>
  <c r="EG668" i="98"/>
  <c r="EF673" i="98"/>
  <c r="X676" i="98"/>
  <c r="P677" i="98"/>
  <c r="AN677" i="98" s="1"/>
  <c r="AY677" i="98"/>
  <c r="EO677" i="98" s="1"/>
  <c r="X681" i="98"/>
  <c r="E84" i="100"/>
  <c r="U558" i="98"/>
  <c r="EM558" i="98"/>
  <c r="AZ560" i="98"/>
  <c r="EP560" i="98" s="1"/>
  <c r="AY561" i="98"/>
  <c r="EO561" i="98" s="1"/>
  <c r="P564" i="98"/>
  <c r="AN564" i="98" s="1"/>
  <c r="AV564" i="98"/>
  <c r="AY565" i="98"/>
  <c r="EO565" i="98" s="1"/>
  <c r="AZ568" i="98"/>
  <c r="EP568" i="98" s="1"/>
  <c r="AT569" i="98"/>
  <c r="BF569" i="98" s="1"/>
  <c r="EM570" i="98"/>
  <c r="AT574" i="98"/>
  <c r="EJ574" i="98" s="1"/>
  <c r="EI574" i="98"/>
  <c r="P576" i="98"/>
  <c r="AN576" i="98" s="1"/>
  <c r="EI576" i="98"/>
  <c r="AU577" i="98"/>
  <c r="EK577" i="98" s="1"/>
  <c r="AT580" i="98"/>
  <c r="AY580" i="98"/>
  <c r="EO580" i="98" s="1"/>
  <c r="BG584" i="98"/>
  <c r="AT585" i="98"/>
  <c r="EJ585" i="98" s="1"/>
  <c r="AU587" i="98"/>
  <c r="BG587" i="98" s="1"/>
  <c r="AZ587" i="98"/>
  <c r="EP587" i="98" s="1"/>
  <c r="EG590" i="98"/>
  <c r="AC592" i="98"/>
  <c r="AO592" i="98" s="1"/>
  <c r="AX595" i="98"/>
  <c r="EN595" i="98" s="1"/>
  <c r="X596" i="98"/>
  <c r="AX598" i="98"/>
  <c r="EN598" i="98" s="1"/>
  <c r="AV604" i="98"/>
  <c r="BH604" i="98" s="1"/>
  <c r="EG604" i="98"/>
  <c r="P605" i="98"/>
  <c r="AN605" i="98" s="1"/>
  <c r="AU605" i="98"/>
  <c r="BG605" i="98" s="1"/>
  <c r="AY605" i="98"/>
  <c r="BK605" i="98" s="1"/>
  <c r="AY606" i="98"/>
  <c r="EO606" i="98" s="1"/>
  <c r="AZ608" i="98"/>
  <c r="EP608" i="98" s="1"/>
  <c r="AY609" i="98"/>
  <c r="EO609" i="98" s="1"/>
  <c r="O615" i="98"/>
  <c r="AM615" i="98" s="1"/>
  <c r="AV620" i="98"/>
  <c r="EL620" i="98" s="1"/>
  <c r="AT621" i="98"/>
  <c r="AZ621" i="98"/>
  <c r="EP621" i="98" s="1"/>
  <c r="AU624" i="98"/>
  <c r="BG624" i="98" s="1"/>
  <c r="AV630" i="98"/>
  <c r="BH630" i="98" s="1"/>
  <c r="EI630" i="98"/>
  <c r="EH631" i="98"/>
  <c r="AV632" i="98"/>
  <c r="EL632" i="98" s="1"/>
  <c r="AX633" i="98"/>
  <c r="EN633" i="98" s="1"/>
  <c r="AF635" i="98"/>
  <c r="AR635" i="98" s="1"/>
  <c r="BG640" i="98"/>
  <c r="EF640" i="98"/>
  <c r="AV644" i="98"/>
  <c r="BH644" i="98" s="1"/>
  <c r="EG644" i="98"/>
  <c r="AX647" i="98"/>
  <c r="EN647" i="98" s="1"/>
  <c r="AU650" i="98"/>
  <c r="EK650" i="98" s="1"/>
  <c r="EG654" i="98"/>
  <c r="AT656" i="98"/>
  <c r="EJ656" i="98" s="1"/>
  <c r="O657" i="98"/>
  <c r="AM657" i="98" s="1"/>
  <c r="AV663" i="98"/>
  <c r="EL663" i="98" s="1"/>
  <c r="AC667" i="98"/>
  <c r="AO667" i="98" s="1"/>
  <c r="X668" i="98"/>
  <c r="AT670" i="98"/>
  <c r="EJ670" i="98" s="1"/>
  <c r="AC671" i="98"/>
  <c r="AO671" i="98" s="1"/>
  <c r="BK674" i="98"/>
  <c r="U677" i="98"/>
  <c r="J83" i="100"/>
  <c r="B40" i="101"/>
  <c r="O138" i="1"/>
  <c r="O119" i="1"/>
  <c r="R103" i="49"/>
  <c r="S103" i="49"/>
  <c r="O103" i="49" s="1"/>
  <c r="D79" i="36"/>
  <c r="C101" i="36" s="1"/>
  <c r="U101" i="36" s="1"/>
  <c r="Q101" i="36" s="1"/>
  <c r="D85" i="36"/>
  <c r="C107" i="36" s="1"/>
  <c r="T107" i="36" s="1"/>
  <c r="F103" i="38"/>
  <c r="F111" i="38"/>
  <c r="O88" i="39"/>
  <c r="H92" i="41"/>
  <c r="D82" i="44"/>
  <c r="C104" i="44" s="1"/>
  <c r="D85" i="44"/>
  <c r="C107" i="44" s="1"/>
  <c r="D89" i="44"/>
  <c r="C111" i="44" s="1"/>
  <c r="D90" i="45"/>
  <c r="C112" i="45" s="1"/>
  <c r="D89" i="47"/>
  <c r="C111" i="47" s="1"/>
  <c r="D92" i="47"/>
  <c r="C114" i="47" s="1"/>
  <c r="D82" i="48"/>
  <c r="C104" i="48" s="1"/>
  <c r="D86" i="48"/>
  <c r="C108" i="48" s="1"/>
  <c r="D90" i="48"/>
  <c r="C112" i="48" s="1"/>
  <c r="D84" i="49"/>
  <c r="C106" i="49" s="1"/>
  <c r="D87" i="49"/>
  <c r="C109" i="49" s="1"/>
  <c r="D92" i="49"/>
  <c r="C114" i="49" s="1"/>
  <c r="I260" i="81"/>
  <c r="L260" i="81" s="1"/>
  <c r="I226" i="81"/>
  <c r="L226" i="81" s="1"/>
  <c r="D81" i="36"/>
  <c r="C103" i="36" s="1"/>
  <c r="T103" i="36" s="1"/>
  <c r="D86" i="36"/>
  <c r="C108" i="36" s="1"/>
  <c r="T108" i="36" s="1"/>
  <c r="S107" i="36"/>
  <c r="U109" i="36"/>
  <c r="Q109" i="36" s="1"/>
  <c r="U101" i="38"/>
  <c r="Q101" i="38" s="1"/>
  <c r="P101" i="38" s="1"/>
  <c r="R101" i="38" s="1"/>
  <c r="F109" i="38"/>
  <c r="H92" i="39"/>
  <c r="C5" i="40"/>
  <c r="H90" i="40"/>
  <c r="H92" i="40"/>
  <c r="H86" i="41"/>
  <c r="D83" i="44"/>
  <c r="C105" i="44" s="1"/>
  <c r="D86" i="44"/>
  <c r="C108" i="44" s="1"/>
  <c r="D90" i="44"/>
  <c r="C112" i="44" s="1"/>
  <c r="D87" i="45"/>
  <c r="C109" i="45" s="1"/>
  <c r="D87" i="46"/>
  <c r="C109" i="46" s="1"/>
  <c r="D86" i="47"/>
  <c r="C108" i="47" s="1"/>
  <c r="D83" i="48"/>
  <c r="C105" i="48" s="1"/>
  <c r="D87" i="48"/>
  <c r="C109" i="48" s="1"/>
  <c r="D91" i="48"/>
  <c r="C113" i="48" s="1"/>
  <c r="D85" i="49"/>
  <c r="C107" i="49" s="1"/>
  <c r="D88" i="49"/>
  <c r="C110" i="49" s="1"/>
  <c r="O89" i="40"/>
  <c r="D78" i="36"/>
  <c r="C100" i="36" s="1"/>
  <c r="T100" i="36" s="1"/>
  <c r="D83" i="36"/>
  <c r="C105" i="36" s="1"/>
  <c r="T105" i="36" s="1"/>
  <c r="D89" i="36"/>
  <c r="C111" i="36" s="1"/>
  <c r="T111" i="36" s="1"/>
  <c r="H85" i="39"/>
  <c r="N86" i="39"/>
  <c r="H89" i="39"/>
  <c r="N90" i="39"/>
  <c r="H87" i="40"/>
  <c r="N88" i="40"/>
  <c r="O88" i="41"/>
  <c r="M91" i="41"/>
  <c r="O91" i="41" s="1"/>
  <c r="D81" i="44"/>
  <c r="C103" i="44" s="1"/>
  <c r="D88" i="44"/>
  <c r="C110" i="44" s="1"/>
  <c r="D85" i="45"/>
  <c r="C107" i="45" s="1"/>
  <c r="D92" i="46"/>
  <c r="C114" i="46" s="1"/>
  <c r="D81" i="47"/>
  <c r="C103" i="47" s="1"/>
  <c r="D84" i="47"/>
  <c r="C106" i="47" s="1"/>
  <c r="D81" i="48"/>
  <c r="C103" i="48" s="1"/>
  <c r="D85" i="48"/>
  <c r="C107" i="48" s="1"/>
  <c r="D82" i="49"/>
  <c r="C104" i="49" s="1"/>
  <c r="D91" i="49"/>
  <c r="C113" i="49" s="1"/>
  <c r="F73" i="73"/>
  <c r="C9" i="73" s="1"/>
  <c r="J95" i="74"/>
  <c r="L101" i="74"/>
  <c r="N101" i="74" s="1"/>
  <c r="K102" i="74"/>
  <c r="K109" i="74"/>
  <c r="K101" i="75"/>
  <c r="L102" i="75"/>
  <c r="L97" i="76"/>
  <c r="N97" i="76" s="1"/>
  <c r="L105" i="76"/>
  <c r="L106" i="76"/>
  <c r="L237" i="78"/>
  <c r="K235" i="79"/>
  <c r="N227" i="80"/>
  <c r="N265" i="81"/>
  <c r="N267" i="81"/>
  <c r="N269" i="81"/>
  <c r="N271" i="81"/>
  <c r="N275" i="81"/>
  <c r="N279" i="81"/>
  <c r="I246" i="82"/>
  <c r="I280" i="82"/>
  <c r="R231" i="82"/>
  <c r="M237" i="82"/>
  <c r="N237" i="82" s="1"/>
  <c r="M238" i="82"/>
  <c r="N238" i="82" s="1"/>
  <c r="M248" i="82"/>
  <c r="N248" i="82" s="1"/>
  <c r="I280" i="85"/>
  <c r="L280" i="85" s="1"/>
  <c r="I246" i="85"/>
  <c r="I284" i="85"/>
  <c r="I250" i="85"/>
  <c r="I98" i="74"/>
  <c r="L98" i="74"/>
  <c r="L109" i="74"/>
  <c r="N109" i="74" s="1"/>
  <c r="I97" i="75"/>
  <c r="J97" i="75"/>
  <c r="L101" i="75"/>
  <c r="N101" i="75" s="1"/>
  <c r="I105" i="75"/>
  <c r="J105" i="75"/>
  <c r="N95" i="76"/>
  <c r="I102" i="76"/>
  <c r="L102" i="76"/>
  <c r="I109" i="76"/>
  <c r="J109" i="76"/>
  <c r="F218" i="77"/>
  <c r="F226" i="77"/>
  <c r="M248" i="78"/>
  <c r="R249" i="81"/>
  <c r="R251" i="81"/>
  <c r="R253" i="81"/>
  <c r="R255" i="81"/>
  <c r="R257" i="81"/>
  <c r="R259" i="81"/>
  <c r="L267" i="81"/>
  <c r="L275" i="81"/>
  <c r="L283" i="81"/>
  <c r="O283" i="81"/>
  <c r="I238" i="82"/>
  <c r="I272" i="82"/>
  <c r="R238" i="82"/>
  <c r="R248" i="82"/>
  <c r="I268" i="83"/>
  <c r="L268" i="83" s="1"/>
  <c r="I234" i="83"/>
  <c r="I276" i="83"/>
  <c r="I242" i="83"/>
  <c r="I284" i="83"/>
  <c r="L284" i="83" s="1"/>
  <c r="I250" i="83"/>
  <c r="I223" i="85"/>
  <c r="I257" i="85"/>
  <c r="L257" i="85" s="1"/>
  <c r="I240" i="85"/>
  <c r="L240" i="85" s="1"/>
  <c r="I274" i="85"/>
  <c r="L274" i="85" s="1"/>
  <c r="I288" i="85"/>
  <c r="I254" i="85"/>
  <c r="L254" i="85" s="1"/>
  <c r="L106" i="74"/>
  <c r="L98" i="75"/>
  <c r="L235" i="77"/>
  <c r="L239" i="77"/>
  <c r="I227" i="79"/>
  <c r="J227" i="79" s="1"/>
  <c r="D28" i="79" s="1"/>
  <c r="I222" i="81"/>
  <c r="N225" i="81"/>
  <c r="I224" i="82"/>
  <c r="L224" i="82" s="1"/>
  <c r="M232" i="82"/>
  <c r="N232" i="82" s="1"/>
  <c r="R252" i="82"/>
  <c r="I259" i="83"/>
  <c r="L259" i="83" s="1"/>
  <c r="I225" i="83"/>
  <c r="I232" i="83"/>
  <c r="L232" i="83" s="1"/>
  <c r="I266" i="83"/>
  <c r="I240" i="83"/>
  <c r="I274" i="83"/>
  <c r="I248" i="83"/>
  <c r="L248" i="83" s="1"/>
  <c r="I282" i="83"/>
  <c r="I264" i="85"/>
  <c r="I230" i="85"/>
  <c r="L230" i="85" s="1"/>
  <c r="I268" i="85"/>
  <c r="L268" i="85" s="1"/>
  <c r="I234" i="85"/>
  <c r="L234" i="85" s="1"/>
  <c r="I248" i="85"/>
  <c r="I282" i="85"/>
  <c r="L282" i="85" s="1"/>
  <c r="C21" i="72"/>
  <c r="N95" i="74"/>
  <c r="K101" i="74"/>
  <c r="I102" i="74"/>
  <c r="L102" i="74"/>
  <c r="I109" i="74"/>
  <c r="J109" i="74"/>
  <c r="L97" i="75"/>
  <c r="N97" i="75" s="1"/>
  <c r="I101" i="75"/>
  <c r="J101" i="75"/>
  <c r="L105" i="75"/>
  <c r="I106" i="75"/>
  <c r="L106" i="75"/>
  <c r="K96" i="76"/>
  <c r="K97" i="76"/>
  <c r="I98" i="76"/>
  <c r="L98" i="76"/>
  <c r="K103" i="76"/>
  <c r="K104" i="76"/>
  <c r="K105" i="76"/>
  <c r="N105" i="76"/>
  <c r="L109" i="76"/>
  <c r="N109" i="76" s="1"/>
  <c r="F222" i="77"/>
  <c r="K249" i="77"/>
  <c r="D42" i="77" s="1"/>
  <c r="M237" i="78"/>
  <c r="M238" i="78"/>
  <c r="L252" i="78"/>
  <c r="N231" i="80"/>
  <c r="R223" i="81"/>
  <c r="I224" i="81"/>
  <c r="M227" i="81"/>
  <c r="N227" i="81" s="1"/>
  <c r="M229" i="81"/>
  <c r="M231" i="81"/>
  <c r="N231" i="81" s="1"/>
  <c r="M233" i="81"/>
  <c r="M235" i="81"/>
  <c r="N235" i="81" s="1"/>
  <c r="M237" i="81"/>
  <c r="N237" i="81" s="1"/>
  <c r="M239" i="81"/>
  <c r="N239" i="81" s="1"/>
  <c r="M241" i="81"/>
  <c r="N241" i="81" s="1"/>
  <c r="M243" i="81"/>
  <c r="N243" i="81" s="1"/>
  <c r="M245" i="81"/>
  <c r="M247" i="81"/>
  <c r="N247" i="81" s="1"/>
  <c r="M249" i="81"/>
  <c r="M251" i="81"/>
  <c r="N251" i="81" s="1"/>
  <c r="M253" i="81"/>
  <c r="N253" i="81" s="1"/>
  <c r="M255" i="81"/>
  <c r="N255" i="81" s="1"/>
  <c r="M257" i="81"/>
  <c r="N257" i="81" s="1"/>
  <c r="M259" i="81"/>
  <c r="N259" i="81" s="1"/>
  <c r="R286" i="81"/>
  <c r="R232" i="82"/>
  <c r="R235" i="82"/>
  <c r="I264" i="82"/>
  <c r="I223" i="83"/>
  <c r="I257" i="83"/>
  <c r="L257" i="83" s="1"/>
  <c r="I230" i="83"/>
  <c r="I264" i="83"/>
  <c r="L264" i="83" s="1"/>
  <c r="I238" i="83"/>
  <c r="I272" i="83"/>
  <c r="L272" i="83" s="1"/>
  <c r="I246" i="83"/>
  <c r="I280" i="83"/>
  <c r="I254" i="83"/>
  <c r="L254" i="83" s="1"/>
  <c r="I288" i="83"/>
  <c r="L288" i="83" s="1"/>
  <c r="I259" i="85"/>
  <c r="L259" i="85" s="1"/>
  <c r="I225" i="85"/>
  <c r="I272" i="85"/>
  <c r="L272" i="85" s="1"/>
  <c r="I238" i="85"/>
  <c r="L238" i="85" s="1"/>
  <c r="I276" i="85"/>
  <c r="L276" i="85" s="1"/>
  <c r="I242" i="85"/>
  <c r="R270" i="82"/>
  <c r="O224" i="83"/>
  <c r="R230" i="83"/>
  <c r="M233" i="83"/>
  <c r="N233" i="83" s="1"/>
  <c r="I239" i="83"/>
  <c r="O241" i="83"/>
  <c r="O249" i="83"/>
  <c r="Q254" i="83"/>
  <c r="R254" i="83" s="1"/>
  <c r="R261" i="83"/>
  <c r="M266" i="83"/>
  <c r="N266" i="83" s="1"/>
  <c r="R269" i="83"/>
  <c r="M274" i="83"/>
  <c r="N274" i="83" s="1"/>
  <c r="O281" i="83"/>
  <c r="L286" i="83"/>
  <c r="R286" i="83"/>
  <c r="O226" i="85"/>
  <c r="Q229" i="85"/>
  <c r="R229" i="85" s="1"/>
  <c r="M230" i="85"/>
  <c r="N230" i="85" s="1"/>
  <c r="R232" i="85"/>
  <c r="M238" i="85"/>
  <c r="N238" i="85" s="1"/>
  <c r="O241" i="85"/>
  <c r="R244" i="85"/>
  <c r="Q250" i="85"/>
  <c r="R250" i="85" s="1"/>
  <c r="O259" i="85"/>
  <c r="O271" i="85"/>
  <c r="R273" i="85"/>
  <c r="R277" i="85"/>
  <c r="O279" i="85"/>
  <c r="M282" i="85"/>
  <c r="N282" i="85" s="1"/>
  <c r="M286" i="85"/>
  <c r="N286" i="85" s="1"/>
  <c r="EK29" i="98"/>
  <c r="ET38" i="98"/>
  <c r="BK40" i="98"/>
  <c r="EN42" i="98"/>
  <c r="BH51" i="98"/>
  <c r="EJ64" i="98"/>
  <c r="EN67" i="98"/>
  <c r="EL73" i="98"/>
  <c r="EK76" i="98"/>
  <c r="BG76" i="98"/>
  <c r="EP76" i="98"/>
  <c r="BL76" i="98"/>
  <c r="EL79" i="98"/>
  <c r="BH79" i="98"/>
  <c r="BL82" i="98"/>
  <c r="EN83" i="98"/>
  <c r="BJ83" i="98"/>
  <c r="EP86" i="98"/>
  <c r="EN87" i="98"/>
  <c r="BJ87" i="98"/>
  <c r="EO97" i="98"/>
  <c r="BK97" i="98"/>
  <c r="BD558" i="98"/>
  <c r="ET558" i="98" s="1"/>
  <c r="ET97" i="98"/>
  <c r="EK103" i="98"/>
  <c r="BG103" i="98"/>
  <c r="EP103" i="98"/>
  <c r="BL103" i="98"/>
  <c r="R251" i="82"/>
  <c r="R254" i="82"/>
  <c r="N261" i="82"/>
  <c r="R265" i="82"/>
  <c r="R269" i="82"/>
  <c r="M272" i="82"/>
  <c r="N272" i="82" s="1"/>
  <c r="N277" i="82"/>
  <c r="R281" i="82"/>
  <c r="R285" i="82"/>
  <c r="R289" i="82"/>
  <c r="L222" i="83"/>
  <c r="M225" i="83"/>
  <c r="N225" i="83" s="1"/>
  <c r="R233" i="83"/>
  <c r="I233" i="83"/>
  <c r="N237" i="83"/>
  <c r="R241" i="83"/>
  <c r="M242" i="83"/>
  <c r="N242" i="83" s="1"/>
  <c r="R247" i="83"/>
  <c r="O247" i="83"/>
  <c r="Q249" i="83"/>
  <c r="R249" i="83" s="1"/>
  <c r="N259" i="83"/>
  <c r="R262" i="83"/>
  <c r="M265" i="83"/>
  <c r="N265" i="83" s="1"/>
  <c r="N267" i="83"/>
  <c r="R270" i="83"/>
  <c r="M272" i="83"/>
  <c r="N272" i="83" s="1"/>
  <c r="R274" i="83"/>
  <c r="R279" i="83"/>
  <c r="O279" i="83"/>
  <c r="R281" i="83"/>
  <c r="R289" i="83"/>
  <c r="O289" i="83"/>
  <c r="N137" i="84"/>
  <c r="N144" i="84"/>
  <c r="N145" i="84"/>
  <c r="O146" i="84"/>
  <c r="O150" i="84"/>
  <c r="O154" i="84"/>
  <c r="O169" i="84"/>
  <c r="N172" i="84"/>
  <c r="N227" i="85"/>
  <c r="N228" i="85"/>
  <c r="N236" i="85"/>
  <c r="N239" i="85"/>
  <c r="R241" i="85"/>
  <c r="M242" i="85"/>
  <c r="N242" i="85" s="1"/>
  <c r="N251" i="85"/>
  <c r="N252" i="85"/>
  <c r="R259" i="85"/>
  <c r="M260" i="85"/>
  <c r="N260" i="85" s="1"/>
  <c r="R261" i="85"/>
  <c r="M262" i="85"/>
  <c r="N262" i="85" s="1"/>
  <c r="N266" i="85"/>
  <c r="M274" i="85"/>
  <c r="N274" i="85" s="1"/>
  <c r="R282" i="85"/>
  <c r="R286" i="85"/>
  <c r="I286" i="85"/>
  <c r="L286" i="85" s="1"/>
  <c r="R289" i="85"/>
  <c r="I289" i="85"/>
  <c r="L289" i="85" s="1"/>
  <c r="N137" i="86"/>
  <c r="O138" i="86"/>
  <c r="O154" i="86"/>
  <c r="O158" i="86"/>
  <c r="N162" i="86"/>
  <c r="O163" i="86"/>
  <c r="N166" i="86"/>
  <c r="O173" i="86"/>
  <c r="I131" i="88"/>
  <c r="I134" i="88"/>
  <c r="I136" i="88"/>
  <c r="I137" i="88"/>
  <c r="I141" i="88"/>
  <c r="I146" i="88"/>
  <c r="I150" i="88"/>
  <c r="I152" i="88"/>
  <c r="I158" i="88"/>
  <c r="I160" i="88"/>
  <c r="I166" i="88"/>
  <c r="I168" i="88"/>
  <c r="I174" i="88"/>
  <c r="I176" i="88"/>
  <c r="I182" i="88"/>
  <c r="I184" i="88"/>
  <c r="I190" i="88"/>
  <c r="I192" i="88"/>
  <c r="I198" i="88"/>
  <c r="I200" i="88"/>
  <c r="I204" i="88"/>
  <c r="I126" i="89"/>
  <c r="I128" i="89"/>
  <c r="I132" i="89"/>
  <c r="F103" i="94"/>
  <c r="F118" i="94" s="1"/>
  <c r="BL11" i="98"/>
  <c r="EV13" i="98"/>
  <c r="EN16" i="98"/>
  <c r="EV17" i="98"/>
  <c r="BH18" i="98"/>
  <c r="EV25" i="98"/>
  <c r="BK26" i="98"/>
  <c r="EL29" i="98"/>
  <c r="BJ32" i="98"/>
  <c r="BL33" i="98"/>
  <c r="BJ35" i="98"/>
  <c r="EO35" i="98"/>
  <c r="BH36" i="98"/>
  <c r="EV36" i="98"/>
  <c r="BL37" i="98"/>
  <c r="BK38" i="98"/>
  <c r="BH43" i="98"/>
  <c r="BJ47" i="98"/>
  <c r="EN51" i="98"/>
  <c r="BG52" i="98"/>
  <c r="BL52" i="98"/>
  <c r="EV53" i="98"/>
  <c r="BJ54" i="98"/>
  <c r="EJ56" i="98"/>
  <c r="BJ58" i="98"/>
  <c r="EO58" i="98"/>
  <c r="BH59" i="98"/>
  <c r="EV59" i="98"/>
  <c r="BL60" i="98"/>
  <c r="EV61" i="98"/>
  <c r="BK62" i="98"/>
  <c r="BH63" i="98"/>
  <c r="EV63" i="98"/>
  <c r="BK64" i="98"/>
  <c r="EV66" i="98"/>
  <c r="BH68" i="98"/>
  <c r="BJ70" i="98"/>
  <c r="EJ72" i="98"/>
  <c r="BJ74" i="98"/>
  <c r="EO74" i="98"/>
  <c r="EK81" i="98"/>
  <c r="BG81" i="98"/>
  <c r="BG82" i="98"/>
  <c r="EK85" i="98"/>
  <c r="BG85" i="98"/>
  <c r="EP85" i="98"/>
  <c r="BL85" i="98"/>
  <c r="BG86" i="98"/>
  <c r="EK89" i="98"/>
  <c r="BG89" i="98"/>
  <c r="EO92" i="98"/>
  <c r="EO93" i="98"/>
  <c r="BK93" i="98"/>
  <c r="BH95" i="98"/>
  <c r="EJ100" i="98"/>
  <c r="BF100" i="98"/>
  <c r="EO100" i="98"/>
  <c r="BK100" i="98"/>
  <c r="M281" i="81"/>
  <c r="N281" i="81" s="1"/>
  <c r="M283" i="81"/>
  <c r="N283" i="81" s="1"/>
  <c r="M285" i="81"/>
  <c r="N285" i="81" s="1"/>
  <c r="M287" i="81"/>
  <c r="N287" i="81" s="1"/>
  <c r="M289" i="81"/>
  <c r="R227" i="82"/>
  <c r="M229" i="82"/>
  <c r="N229" i="82" s="1"/>
  <c r="M230" i="82"/>
  <c r="N230" i="82" s="1"/>
  <c r="R233" i="82"/>
  <c r="R237" i="82"/>
  <c r="M240" i="82"/>
  <c r="N240" i="82" s="1"/>
  <c r="M241" i="82"/>
  <c r="M245" i="82"/>
  <c r="N245" i="82" s="1"/>
  <c r="M246" i="82"/>
  <c r="N246" i="82" s="1"/>
  <c r="R249" i="82"/>
  <c r="R253" i="82"/>
  <c r="R259" i="82"/>
  <c r="R262" i="82"/>
  <c r="N267" i="82"/>
  <c r="R271" i="82"/>
  <c r="R272" i="82"/>
  <c r="R275" i="82"/>
  <c r="R278" i="82"/>
  <c r="M223" i="83"/>
  <c r="N223" i="83" s="1"/>
  <c r="Q225" i="83"/>
  <c r="R225" i="83" s="1"/>
  <c r="N227" i="83"/>
  <c r="R231" i="83"/>
  <c r="N231" i="83"/>
  <c r="M232" i="83"/>
  <c r="N232" i="83" s="1"/>
  <c r="M240" i="83"/>
  <c r="N240" i="83" s="1"/>
  <c r="R242" i="83"/>
  <c r="M248" i="83"/>
  <c r="N248" i="83" s="1"/>
  <c r="Q250" i="83"/>
  <c r="Q255" i="83"/>
  <c r="R255" i="83" s="1"/>
  <c r="N255" i="83"/>
  <c r="R259" i="83"/>
  <c r="R265" i="83"/>
  <c r="I265" i="83"/>
  <c r="L265" i="83" s="1"/>
  <c r="R272" i="83"/>
  <c r="M280" i="83"/>
  <c r="N280" i="83" s="1"/>
  <c r="R282" i="83"/>
  <c r="R284" i="83"/>
  <c r="R287" i="83"/>
  <c r="N287" i="83"/>
  <c r="M288" i="83"/>
  <c r="N288" i="83" s="1"/>
  <c r="O137" i="84"/>
  <c r="N143" i="84"/>
  <c r="N152" i="84"/>
  <c r="N153" i="84"/>
  <c r="N162" i="84"/>
  <c r="N168" i="84"/>
  <c r="O172" i="84"/>
  <c r="R224" i="85"/>
  <c r="N224" i="85"/>
  <c r="L225" i="85"/>
  <c r="M225" i="85"/>
  <c r="N225" i="85" s="1"/>
  <c r="N231" i="85"/>
  <c r="R233" i="85"/>
  <c r="M234" i="85"/>
  <c r="N234" i="85" s="1"/>
  <c r="N240" i="85"/>
  <c r="R245" i="85"/>
  <c r="M246" i="85"/>
  <c r="N246" i="85" s="1"/>
  <c r="R257" i="85"/>
  <c r="R260" i="85"/>
  <c r="R262" i="85"/>
  <c r="I262" i="85"/>
  <c r="R266" i="85"/>
  <c r="R270" i="85"/>
  <c r="M272" i="85"/>
  <c r="N272" i="85" s="1"/>
  <c r="R274" i="85"/>
  <c r="O274" i="85"/>
  <c r="R278" i="85"/>
  <c r="N285" i="85"/>
  <c r="O137" i="86"/>
  <c r="N143" i="86"/>
  <c r="N147" i="86"/>
  <c r="O148" i="86"/>
  <c r="O149" i="86"/>
  <c r="O166" i="86"/>
  <c r="N171" i="86"/>
  <c r="O172" i="86"/>
  <c r="I135" i="88"/>
  <c r="I140" i="88"/>
  <c r="I145" i="88"/>
  <c r="I149" i="88"/>
  <c r="I151" i="88"/>
  <c r="I157" i="88"/>
  <c r="I159" i="88"/>
  <c r="I165" i="88"/>
  <c r="I167" i="88"/>
  <c r="I173" i="88"/>
  <c r="I175" i="88"/>
  <c r="I181" i="88"/>
  <c r="I183" i="88"/>
  <c r="I189" i="88"/>
  <c r="I191" i="88"/>
  <c r="I197" i="88"/>
  <c r="I199" i="88"/>
  <c r="I205" i="88"/>
  <c r="I129" i="89"/>
  <c r="I139" i="89"/>
  <c r="I141" i="89"/>
  <c r="I147" i="89"/>
  <c r="I149" i="89"/>
  <c r="I155" i="89"/>
  <c r="I157" i="89"/>
  <c r="I163" i="89"/>
  <c r="I165" i="89"/>
  <c r="I171" i="89"/>
  <c r="I173" i="89"/>
  <c r="I179" i="89"/>
  <c r="I181" i="89"/>
  <c r="I187" i="89"/>
  <c r="I189" i="89"/>
  <c r="I195" i="89"/>
  <c r="I197" i="89"/>
  <c r="I203" i="89"/>
  <c r="I205" i="89"/>
  <c r="F85" i="90"/>
  <c r="N85" i="90" s="1"/>
  <c r="S85" i="90" s="1"/>
  <c r="C5" i="91"/>
  <c r="F101" i="94"/>
  <c r="F116" i="94" s="1"/>
  <c r="T116" i="94" s="1"/>
  <c r="Q120" i="94"/>
  <c r="W120" i="94"/>
  <c r="Z128" i="94"/>
  <c r="T129" i="94"/>
  <c r="AE129" i="94"/>
  <c r="Z130" i="94"/>
  <c r="T131" i="94"/>
  <c r="AE131" i="94"/>
  <c r="Z132" i="94"/>
  <c r="AF133" i="94"/>
  <c r="AG134" i="94"/>
  <c r="T136" i="94"/>
  <c r="U140" i="94"/>
  <c r="EP6" i="98"/>
  <c r="EV7" i="98"/>
  <c r="ER7" i="98"/>
  <c r="EO10" i="98"/>
  <c r="BB474" i="98"/>
  <c r="ER474" i="98" s="1"/>
  <c r="BB257" i="98"/>
  <c r="ER257" i="98" s="1"/>
  <c r="BL13" i="98"/>
  <c r="EV15" i="98"/>
  <c r="EO16" i="98"/>
  <c r="BL17" i="98"/>
  <c r="BK19" i="98"/>
  <c r="BK20" i="98"/>
  <c r="EP23" i="98"/>
  <c r="AT24" i="98"/>
  <c r="BF24" i="98" s="1"/>
  <c r="BE24" i="98"/>
  <c r="EV24" i="98"/>
  <c r="EN24" i="98"/>
  <c r="BK25" i="98"/>
  <c r="BF26" i="98"/>
  <c r="EP26" i="98"/>
  <c r="BJ27" i="98"/>
  <c r="BK31" i="98"/>
  <c r="BG33" i="98"/>
  <c r="BJ34" i="98"/>
  <c r="ET34" i="98"/>
  <c r="EN36" i="98"/>
  <c r="BG37" i="98"/>
  <c r="EV37" i="98"/>
  <c r="BF38" i="98"/>
  <c r="BL38" i="98"/>
  <c r="BG44" i="98"/>
  <c r="BL44" i="98"/>
  <c r="EL46" i="98"/>
  <c r="BK47" i="98"/>
  <c r="BH48" i="98"/>
  <c r="EV48" i="98"/>
  <c r="BF49" i="98"/>
  <c r="BK49" i="98"/>
  <c r="EP49" i="98"/>
  <c r="BH52" i="98"/>
  <c r="EV52" i="98"/>
  <c r="BK53" i="98"/>
  <c r="BK54" i="98"/>
  <c r="BH55" i="98"/>
  <c r="EV55" i="98"/>
  <c r="BK56" i="98"/>
  <c r="BF57" i="98"/>
  <c r="BK57" i="98"/>
  <c r="EL57" i="98"/>
  <c r="EN59" i="98"/>
  <c r="BG60" i="98"/>
  <c r="BF61" i="98"/>
  <c r="BK61" i="98"/>
  <c r="BF62" i="98"/>
  <c r="EN63" i="98"/>
  <c r="BG64" i="98"/>
  <c r="BL64" i="98"/>
  <c r="BJ66" i="98"/>
  <c r="EV69" i="98"/>
  <c r="BK70" i="98"/>
  <c r="BH71" i="98"/>
  <c r="EV71" i="98"/>
  <c r="BK72" i="98"/>
  <c r="EO79" i="98"/>
  <c r="BK79" i="98"/>
  <c r="EV82" i="98"/>
  <c r="EV87" i="98"/>
  <c r="EV89" i="98"/>
  <c r="EP91" i="98"/>
  <c r="BL91" i="98"/>
  <c r="BF92" i="98"/>
  <c r="EL96" i="98"/>
  <c r="BF97" i="98"/>
  <c r="M231" i="82"/>
  <c r="M235" i="82"/>
  <c r="N235" i="82" s="1"/>
  <c r="I240" i="82"/>
  <c r="L240" i="82" s="1"/>
  <c r="M247" i="82"/>
  <c r="M251" i="82"/>
  <c r="N251" i="82" s="1"/>
  <c r="R261" i="82"/>
  <c r="M264" i="82"/>
  <c r="N264" i="82" s="1"/>
  <c r="M265" i="82"/>
  <c r="M269" i="82"/>
  <c r="N269" i="82" s="1"/>
  <c r="M270" i="82"/>
  <c r="N270" i="82" s="1"/>
  <c r="R273" i="82"/>
  <c r="R277" i="82"/>
  <c r="M280" i="82"/>
  <c r="N280" i="82" s="1"/>
  <c r="M281" i="82"/>
  <c r="M229" i="83"/>
  <c r="N229" i="83" s="1"/>
  <c r="M230" i="83"/>
  <c r="N230" i="83" s="1"/>
  <c r="R232" i="83"/>
  <c r="O232" i="83"/>
  <c r="M234" i="83"/>
  <c r="N234" i="83" s="1"/>
  <c r="R240" i="83"/>
  <c r="L246" i="83"/>
  <c r="Q248" i="83"/>
  <c r="R248" i="83" s="1"/>
  <c r="M253" i="83"/>
  <c r="M254" i="83"/>
  <c r="N254" i="83" s="1"/>
  <c r="O254" i="83"/>
  <c r="R256" i="83"/>
  <c r="M261" i="83"/>
  <c r="N261" i="83" s="1"/>
  <c r="R263" i="83"/>
  <c r="N263" i="83"/>
  <c r="M264" i="83"/>
  <c r="N264" i="83" s="1"/>
  <c r="M269" i="83"/>
  <c r="N269" i="83" s="1"/>
  <c r="R271" i="83"/>
  <c r="I271" i="83"/>
  <c r="L278" i="83"/>
  <c r="R280" i="83"/>
  <c r="M286" i="83"/>
  <c r="N286" i="83" s="1"/>
  <c r="O286" i="83"/>
  <c r="R288" i="83"/>
  <c r="O288" i="83"/>
  <c r="O152" i="84"/>
  <c r="N155" i="84"/>
  <c r="O159" i="84"/>
  <c r="N160" i="84"/>
  <c r="N161" i="84"/>
  <c r="O162" i="84"/>
  <c r="O166" i="84"/>
  <c r="O171" i="84"/>
  <c r="R225" i="85"/>
  <c r="O225" i="85"/>
  <c r="M232" i="85"/>
  <c r="N232" i="85" s="1"/>
  <c r="M243" i="85"/>
  <c r="N243" i="85" s="1"/>
  <c r="M244" i="85"/>
  <c r="Q249" i="85"/>
  <c r="R249" i="85" s="1"/>
  <c r="Q253" i="85"/>
  <c r="R253" i="85" s="1"/>
  <c r="M259" i="85"/>
  <c r="N259" i="85" s="1"/>
  <c r="M261" i="85"/>
  <c r="N261" i="85" s="1"/>
  <c r="M273" i="85"/>
  <c r="N273" i="85" s="1"/>
  <c r="M277" i="85"/>
  <c r="N277" i="85" s="1"/>
  <c r="R283" i="85"/>
  <c r="M284" i="85"/>
  <c r="N284" i="85" s="1"/>
  <c r="M289" i="85"/>
  <c r="N289" i="85" s="1"/>
  <c r="N141" i="86"/>
  <c r="O147" i="86"/>
  <c r="N150" i="86"/>
  <c r="O156" i="86"/>
  <c r="O157" i="86"/>
  <c r="O171" i="86"/>
  <c r="Q128" i="88"/>
  <c r="I129" i="88"/>
  <c r="AC130" i="88"/>
  <c r="I139" i="88"/>
  <c r="I144" i="88"/>
  <c r="I136" i="89"/>
  <c r="I138" i="89"/>
  <c r="I144" i="89"/>
  <c r="I146" i="89"/>
  <c r="I152" i="89"/>
  <c r="I154" i="89"/>
  <c r="I160" i="89"/>
  <c r="I162" i="89"/>
  <c r="I168" i="89"/>
  <c r="I170" i="89"/>
  <c r="I176" i="89"/>
  <c r="I178" i="89"/>
  <c r="I184" i="89"/>
  <c r="I186" i="89"/>
  <c r="I192" i="89"/>
  <c r="I194" i="89"/>
  <c r="I200" i="89"/>
  <c r="I202" i="89"/>
  <c r="F83" i="90"/>
  <c r="O83" i="90" s="1"/>
  <c r="P83" i="90" s="1"/>
  <c r="F72" i="91"/>
  <c r="H105" i="92"/>
  <c r="F99" i="94"/>
  <c r="F114" i="94" s="1"/>
  <c r="Z127" i="94"/>
  <c r="S128" i="94"/>
  <c r="AD128" i="94"/>
  <c r="X129" i="94"/>
  <c r="S130" i="94"/>
  <c r="AD130" i="94"/>
  <c r="X131" i="94"/>
  <c r="S132" i="94"/>
  <c r="AF132" i="94"/>
  <c r="S134" i="94"/>
  <c r="T135" i="94"/>
  <c r="Z136" i="94"/>
  <c r="AA140" i="94"/>
  <c r="ET6" i="98"/>
  <c r="BL7" i="98"/>
  <c r="EV9" i="98"/>
  <c r="BJ12" i="98"/>
  <c r="BJ18" i="98"/>
  <c r="BF19" i="98"/>
  <c r="BJ23" i="98"/>
  <c r="BG25" i="98"/>
  <c r="BL25" i="98"/>
  <c r="BG26" i="98"/>
  <c r="BJ29" i="98"/>
  <c r="EV29" i="98"/>
  <c r="BF31" i="98"/>
  <c r="BH33" i="98"/>
  <c r="BF34" i="98"/>
  <c r="BK34" i="98"/>
  <c r="BF35" i="98"/>
  <c r="BH37" i="98"/>
  <c r="BG38" i="98"/>
  <c r="BJ39" i="98"/>
  <c r="BJ40" i="98"/>
  <c r="BJ41" i="98"/>
  <c r="BH42" i="98"/>
  <c r="EV42" i="98"/>
  <c r="BL43" i="98"/>
  <c r="BJ45" i="98"/>
  <c r="BJ46" i="98"/>
  <c r="BF47" i="98"/>
  <c r="BG49" i="98"/>
  <c r="BJ50" i="98"/>
  <c r="EJ52" i="98"/>
  <c r="BF53" i="98"/>
  <c r="BF54" i="98"/>
  <c r="BG56" i="98"/>
  <c r="BL56" i="98"/>
  <c r="BG57" i="98"/>
  <c r="BF58" i="98"/>
  <c r="BH60" i="98"/>
  <c r="BG61" i="98"/>
  <c r="BL61" i="98"/>
  <c r="BH64" i="98"/>
  <c r="BK65" i="98"/>
  <c r="EL65" i="98"/>
  <c r="BK66" i="98"/>
  <c r="BH67" i="98"/>
  <c r="EV67" i="98"/>
  <c r="BL68" i="98"/>
  <c r="BK69" i="98"/>
  <c r="BF70" i="98"/>
  <c r="BG72" i="98"/>
  <c r="BL72" i="98"/>
  <c r="BJ73" i="98"/>
  <c r="BF74" i="98"/>
  <c r="BL75" i="98"/>
  <c r="EP75" i="98"/>
  <c r="BH77" i="98"/>
  <c r="EV77" i="98"/>
  <c r="EO78" i="98"/>
  <c r="BK78" i="98"/>
  <c r="BF80" i="98"/>
  <c r="BJ82" i="98"/>
  <c r="BH84" i="98"/>
  <c r="EV84" i="98"/>
  <c r="BH88" i="98"/>
  <c r="EV88" i="98"/>
  <c r="BJ89" i="98"/>
  <c r="EN89" i="98"/>
  <c r="BF93" i="98"/>
  <c r="EV93" i="98"/>
  <c r="ET93" i="98"/>
  <c r="EL94" i="98"/>
  <c r="BH94" i="98"/>
  <c r="BK95" i="98"/>
  <c r="EO95" i="98"/>
  <c r="EO264" i="98"/>
  <c r="BK264" i="98"/>
  <c r="BF104" i="98"/>
  <c r="BH105" i="98"/>
  <c r="EV105" i="98"/>
  <c r="EV106" i="98"/>
  <c r="BF107" i="98"/>
  <c r="EP108" i="98"/>
  <c r="EV111" i="98"/>
  <c r="EL114" i="98"/>
  <c r="BL115" i="98"/>
  <c r="BG116" i="98"/>
  <c r="BG118" i="98"/>
  <c r="EL119" i="98"/>
  <c r="BL124" i="98"/>
  <c r="BG125" i="98"/>
  <c r="EV127" i="98"/>
  <c r="EL128" i="98"/>
  <c r="EP131" i="98"/>
  <c r="BJ133" i="98"/>
  <c r="EV133" i="98"/>
  <c r="BJ138" i="98"/>
  <c r="EV138" i="98"/>
  <c r="EP140" i="98"/>
  <c r="BJ142" i="98"/>
  <c r="EV142" i="98"/>
  <c r="BF143" i="98"/>
  <c r="EV143" i="98"/>
  <c r="BK145" i="98"/>
  <c r="BF148" i="98"/>
  <c r="EV150" i="98"/>
  <c r="EV157" i="98"/>
  <c r="EL160" i="98"/>
  <c r="BK161" i="98"/>
  <c r="EV162" i="98"/>
  <c r="EL162" i="98"/>
  <c r="BK163" i="98"/>
  <c r="BJ169" i="98"/>
  <c r="EV169" i="98"/>
  <c r="EV171" i="98"/>
  <c r="EN175" i="98"/>
  <c r="BH178" i="98"/>
  <c r="EO180" i="98"/>
  <c r="EN184" i="98"/>
  <c r="BH186" i="98"/>
  <c r="EL191" i="98"/>
  <c r="BH192" i="98"/>
  <c r="BJ193" i="98"/>
  <c r="EV193" i="98"/>
  <c r="EL197" i="98"/>
  <c r="EV199" i="98"/>
  <c r="BH199" i="98"/>
  <c r="BL199" i="98"/>
  <c r="EV202" i="98"/>
  <c r="EV203" i="98"/>
  <c r="EV209" i="98"/>
  <c r="EV210" i="98"/>
  <c r="EV215" i="98"/>
  <c r="BF225" i="98"/>
  <c r="EV226" i="98"/>
  <c r="BL232" i="98"/>
  <c r="EN232" i="98"/>
  <c r="EV235" i="98"/>
  <c r="EV237" i="98"/>
  <c r="BL242" i="98"/>
  <c r="EN242" i="98"/>
  <c r="BK243" i="98"/>
  <c r="BH244" i="98"/>
  <c r="BK245" i="98"/>
  <c r="EL245" i="98"/>
  <c r="EJ246" i="98"/>
  <c r="AZ251" i="98"/>
  <c r="EP251" i="98" s="1"/>
  <c r="AZ253" i="98"/>
  <c r="EP253" i="98" s="1"/>
  <c r="EM253" i="98"/>
  <c r="AZ259" i="98"/>
  <c r="BJ260" i="98"/>
  <c r="BJ262" i="98"/>
  <c r="AU270" i="98"/>
  <c r="AY270" i="98"/>
  <c r="AD271" i="98"/>
  <c r="AP271" i="98" s="1"/>
  <c r="AZ274" i="98"/>
  <c r="X275" i="98"/>
  <c r="EO275" i="98"/>
  <c r="P276" i="98"/>
  <c r="AN276" i="98" s="1"/>
  <c r="AV277" i="98"/>
  <c r="P278" i="98"/>
  <c r="AN278" i="98" s="1"/>
  <c r="AV279" i="98"/>
  <c r="X280" i="98"/>
  <c r="AV280" i="98"/>
  <c r="EL280" i="98" s="1"/>
  <c r="P281" i="98"/>
  <c r="AN281" i="98" s="1"/>
  <c r="EI281" i="98"/>
  <c r="AZ282" i="98"/>
  <c r="EP282" i="98" s="1"/>
  <c r="EM282" i="98"/>
  <c r="P283" i="98"/>
  <c r="AN283" i="98" s="1"/>
  <c r="AD285" i="98"/>
  <c r="AP285" i="98" s="1"/>
  <c r="EH287" i="98"/>
  <c r="X288" i="98"/>
  <c r="V289" i="98"/>
  <c r="AU290" i="98"/>
  <c r="EK290" i="98" s="1"/>
  <c r="AE291" i="98"/>
  <c r="AQ291" i="98" s="1"/>
  <c r="AY291" i="98"/>
  <c r="AE292" i="98"/>
  <c r="AQ292" i="98" s="1"/>
  <c r="AY292" i="98"/>
  <c r="EO292" i="98" s="1"/>
  <c r="P293" i="98"/>
  <c r="AN293" i="98" s="1"/>
  <c r="AU293" i="98"/>
  <c r="EK293" i="98" s="1"/>
  <c r="EF293" i="98"/>
  <c r="P294" i="98"/>
  <c r="AN294" i="98" s="1"/>
  <c r="AU294" i="98"/>
  <c r="EK294" i="98" s="1"/>
  <c r="EF294" i="98"/>
  <c r="AU295" i="98"/>
  <c r="EK295" i="98" s="1"/>
  <c r="EH295" i="98"/>
  <c r="AC296" i="98"/>
  <c r="AO296" i="98" s="1"/>
  <c r="AY297" i="98"/>
  <c r="AC298" i="98"/>
  <c r="AO298" i="98" s="1"/>
  <c r="EH298" i="98"/>
  <c r="O299" i="98"/>
  <c r="AM299" i="98" s="1"/>
  <c r="AU299" i="98"/>
  <c r="EK299" i="98" s="1"/>
  <c r="EH299" i="98"/>
  <c r="P300" i="98"/>
  <c r="AN300" i="98" s="1"/>
  <c r="AU300" i="98"/>
  <c r="EK300" i="98" s="1"/>
  <c r="EH300" i="98"/>
  <c r="AC301" i="98"/>
  <c r="AO301" i="98" s="1"/>
  <c r="EH301" i="98"/>
  <c r="AC302" i="98"/>
  <c r="AO302" i="98" s="1"/>
  <c r="EH302" i="98"/>
  <c r="AC303" i="98"/>
  <c r="AO303" i="98" s="1"/>
  <c r="AE304" i="98"/>
  <c r="AQ304" i="98" s="1"/>
  <c r="AY304" i="98"/>
  <c r="EO304" i="98" s="1"/>
  <c r="O305" i="98"/>
  <c r="AM305" i="98" s="1"/>
  <c r="O306" i="98"/>
  <c r="AM306" i="98" s="1"/>
  <c r="O307" i="98"/>
  <c r="AM307" i="98" s="1"/>
  <c r="EF307" i="98"/>
  <c r="O308" i="98"/>
  <c r="AM308" i="98" s="1"/>
  <c r="EF308" i="98"/>
  <c r="O309" i="98"/>
  <c r="AM309" i="98" s="1"/>
  <c r="M310" i="98"/>
  <c r="AK310" i="98" s="1"/>
  <c r="AE310" i="98"/>
  <c r="AQ310" i="98" s="1"/>
  <c r="AY310" i="98"/>
  <c r="AC313" i="98"/>
  <c r="AO313" i="98" s="1"/>
  <c r="P314" i="98"/>
  <c r="AN314" i="98" s="1"/>
  <c r="AU314" i="98"/>
  <c r="EK314" i="98" s="1"/>
  <c r="EF314" i="98"/>
  <c r="O315" i="98"/>
  <c r="AM315" i="98" s="1"/>
  <c r="EF315" i="98"/>
  <c r="O316" i="98"/>
  <c r="AM316" i="98" s="1"/>
  <c r="EF316" i="98"/>
  <c r="O317" i="98"/>
  <c r="AM317" i="98" s="1"/>
  <c r="M318" i="98"/>
  <c r="AK318" i="98" s="1"/>
  <c r="AE318" i="98"/>
  <c r="AQ318" i="98" s="1"/>
  <c r="AY318" i="98"/>
  <c r="EK319" i="98"/>
  <c r="U320" i="98"/>
  <c r="AX320" i="98"/>
  <c r="EN320" i="98" s="1"/>
  <c r="EI320" i="98"/>
  <c r="P321" i="98"/>
  <c r="AN321" i="98" s="1"/>
  <c r="AX321" i="98"/>
  <c r="EN321" i="98" s="1"/>
  <c r="EI321" i="98"/>
  <c r="X322" i="98"/>
  <c r="AV322" i="98"/>
  <c r="EL322" i="98" s="1"/>
  <c r="V323" i="98"/>
  <c r="AV323" i="98"/>
  <c r="EM323" i="98"/>
  <c r="P324" i="98"/>
  <c r="AN324" i="98" s="1"/>
  <c r="EG324" i="98"/>
  <c r="X325" i="98"/>
  <c r="EI325" i="98"/>
  <c r="P326" i="98"/>
  <c r="AN326" i="98" s="1"/>
  <c r="AX326" i="98"/>
  <c r="EN326" i="98" s="1"/>
  <c r="EI326" i="98"/>
  <c r="P327" i="98"/>
  <c r="AN327" i="98" s="1"/>
  <c r="AX327" i="98"/>
  <c r="EN327" i="98" s="1"/>
  <c r="EM327" i="98"/>
  <c r="U328" i="98"/>
  <c r="AT328" i="98"/>
  <c r="EJ328" i="98" s="1"/>
  <c r="AZ328" i="98"/>
  <c r="EP328" i="98" s="1"/>
  <c r="P329" i="98"/>
  <c r="AN329" i="98" s="1"/>
  <c r="AY329" i="98"/>
  <c r="BK329" i="98" s="1"/>
  <c r="AX329" i="98"/>
  <c r="EN329" i="98" s="1"/>
  <c r="BH330" i="98"/>
  <c r="EG330" i="98"/>
  <c r="X331" i="98"/>
  <c r="AY335" i="98"/>
  <c r="AZ335" i="98"/>
  <c r="EP335" i="98" s="1"/>
  <c r="EV85" i="98"/>
  <c r="EJ85" i="98"/>
  <c r="BF86" i="98"/>
  <c r="BF87" i="98"/>
  <c r="BF91" i="98"/>
  <c r="EP92" i="98"/>
  <c r="BG93" i="98"/>
  <c r="BL94" i="98"/>
  <c r="EP96" i="98"/>
  <c r="BL98" i="98"/>
  <c r="EV99" i="98"/>
  <c r="BF103" i="98"/>
  <c r="EV104" i="98"/>
  <c r="EN106" i="98"/>
  <c r="BG107" i="98"/>
  <c r="BJ108" i="98"/>
  <c r="EL108" i="98"/>
  <c r="BH109" i="98"/>
  <c r="EK109" i="98"/>
  <c r="BH110" i="98"/>
  <c r="BK111" i="98"/>
  <c r="EP112" i="98"/>
  <c r="BH113" i="98"/>
  <c r="BG115" i="98"/>
  <c r="EV116" i="98"/>
  <c r="EV118" i="98"/>
  <c r="BJ120" i="98"/>
  <c r="BL121" i="98"/>
  <c r="AD122" i="98"/>
  <c r="AP122" i="98" s="1"/>
  <c r="BF122" i="98"/>
  <c r="EH122" i="98"/>
  <c r="EV122" i="98" s="1"/>
  <c r="EO123" i="98"/>
  <c r="BG124" i="98"/>
  <c r="EV125" i="98"/>
  <c r="BK126" i="98"/>
  <c r="EV129" i="98"/>
  <c r="BK132" i="98"/>
  <c r="BL133" i="98"/>
  <c r="EK134" i="98"/>
  <c r="EO135" i="98"/>
  <c r="BL138" i="98"/>
  <c r="BK139" i="98"/>
  <c r="EK141" i="98"/>
  <c r="BL142" i="98"/>
  <c r="BG143" i="98"/>
  <c r="EP144" i="98"/>
  <c r="EV145" i="98"/>
  <c r="EP146" i="98"/>
  <c r="EO147" i="98"/>
  <c r="EP148" i="98"/>
  <c r="BL150" i="98"/>
  <c r="EV152" i="98"/>
  <c r="BF154" i="98"/>
  <c r="BG157" i="98"/>
  <c r="EV161" i="98"/>
  <c r="BK165" i="98"/>
  <c r="EK166" i="98"/>
  <c r="BG168" i="98"/>
  <c r="EV168" i="98"/>
  <c r="BF169" i="98"/>
  <c r="BK170" i="98"/>
  <c r="BL171" i="98"/>
  <c r="BH172" i="98"/>
  <c r="EK172" i="98"/>
  <c r="BH174" i="98"/>
  <c r="EP175" i="98"/>
  <c r="BL177" i="98"/>
  <c r="EO178" i="98"/>
  <c r="BG179" i="98"/>
  <c r="BL179" i="98"/>
  <c r="BJ181" i="98"/>
  <c r="EV181" i="98"/>
  <c r="BH182" i="98"/>
  <c r="EP184" i="98"/>
  <c r="EP186" i="98"/>
  <c r="BH188" i="98"/>
  <c r="BL191" i="98"/>
  <c r="EO192" i="98"/>
  <c r="BG193" i="98"/>
  <c r="BL193" i="98"/>
  <c r="EJ194" i="98"/>
  <c r="BF195" i="98"/>
  <c r="EL196" i="98"/>
  <c r="BH198" i="98"/>
  <c r="EV206" i="98"/>
  <c r="EV207" i="98"/>
  <c r="EU212" i="98"/>
  <c r="EV212" i="98"/>
  <c r="EV213" i="98"/>
  <c r="EV217" i="98"/>
  <c r="EV220" i="98"/>
  <c r="EV221" i="98"/>
  <c r="EV224" i="98"/>
  <c r="BK226" i="98"/>
  <c r="EL226" i="98"/>
  <c r="BK228" i="98"/>
  <c r="BL230" i="98"/>
  <c r="BK231" i="98"/>
  <c r="BL234" i="98"/>
  <c r="BL236" i="98"/>
  <c r="BK241" i="98"/>
  <c r="EV243" i="98"/>
  <c r="BK246" i="98"/>
  <c r="EL246" i="98"/>
  <c r="EM251" i="98"/>
  <c r="EV254" i="98"/>
  <c r="EM255" i="98"/>
  <c r="AY257" i="98"/>
  <c r="BL257" i="98"/>
  <c r="EM259" i="98"/>
  <c r="AZ260" i="98"/>
  <c r="EP260" i="98" s="1"/>
  <c r="AU262" i="98"/>
  <c r="AY262" i="98"/>
  <c r="EM262" i="98"/>
  <c r="EV263" i="98"/>
  <c r="AY269" i="98"/>
  <c r="EO269" i="98" s="1"/>
  <c r="AV270" i="98"/>
  <c r="EL270" i="98" s="1"/>
  <c r="AZ270" i="98"/>
  <c r="EP270" i="98" s="1"/>
  <c r="EM270" i="98"/>
  <c r="EV272" i="98"/>
  <c r="AX273" i="98"/>
  <c r="EN273" i="98" s="1"/>
  <c r="P275" i="98"/>
  <c r="AN275" i="98" s="1"/>
  <c r="AX275" i="98"/>
  <c r="EN275" i="98" s="1"/>
  <c r="EG275" i="98"/>
  <c r="U276" i="98"/>
  <c r="AX276" i="98"/>
  <c r="EN276" i="98" s="1"/>
  <c r="EI276" i="98"/>
  <c r="EG277" i="98"/>
  <c r="U278" i="98"/>
  <c r="AX278" i="98"/>
  <c r="EN278" i="98" s="1"/>
  <c r="EI278" i="98"/>
  <c r="X279" i="98"/>
  <c r="EO279" i="98"/>
  <c r="P280" i="98"/>
  <c r="AN280" i="98" s="1"/>
  <c r="U281" i="98"/>
  <c r="AT281" i="98"/>
  <c r="EJ281" i="98" s="1"/>
  <c r="AZ281" i="98"/>
  <c r="EP281" i="98" s="1"/>
  <c r="EM281" i="98"/>
  <c r="X282" i="98"/>
  <c r="AV282" i="98"/>
  <c r="EL282" i="98" s="1"/>
  <c r="U283" i="98"/>
  <c r="AT283" i="98"/>
  <c r="EJ283" i="98" s="1"/>
  <c r="AZ283" i="98"/>
  <c r="EP283" i="98" s="1"/>
  <c r="EI283" i="98"/>
  <c r="O285" i="98"/>
  <c r="AM285" i="98" s="1"/>
  <c r="AE285" i="98"/>
  <c r="AQ285" i="98" s="1"/>
  <c r="EF285" i="98"/>
  <c r="U286" i="98"/>
  <c r="EH286" i="98"/>
  <c r="AC287" i="98"/>
  <c r="AO287" i="98" s="1"/>
  <c r="EH288" i="98"/>
  <c r="AD288" i="98"/>
  <c r="AP288" i="98" s="1"/>
  <c r="AZ288" i="98"/>
  <c r="EP288" i="98" s="1"/>
  <c r="EK288" i="98"/>
  <c r="X289" i="98"/>
  <c r="AE296" i="98"/>
  <c r="AQ296" i="98" s="1"/>
  <c r="AC299" i="98"/>
  <c r="AO299" i="98" s="1"/>
  <c r="AC300" i="98"/>
  <c r="AO300" i="98" s="1"/>
  <c r="AE303" i="98"/>
  <c r="AQ303" i="98" s="1"/>
  <c r="P305" i="98"/>
  <c r="AN305" i="98" s="1"/>
  <c r="BK305" i="98"/>
  <c r="EF305" i="98"/>
  <c r="P306" i="98"/>
  <c r="AN306" i="98" s="1"/>
  <c r="EF306" i="98"/>
  <c r="P307" i="98"/>
  <c r="AN307" i="98" s="1"/>
  <c r="EH307" i="98"/>
  <c r="O310" i="98"/>
  <c r="AM310" i="98" s="1"/>
  <c r="AC314" i="98"/>
  <c r="AO314" i="98" s="1"/>
  <c r="EH314" i="98"/>
  <c r="O318" i="98"/>
  <c r="AM318" i="98" s="1"/>
  <c r="V320" i="98"/>
  <c r="EO323" i="98"/>
  <c r="EI324" i="98"/>
  <c r="V328" i="98"/>
  <c r="EV97" i="98"/>
  <c r="BL106" i="98"/>
  <c r="EN113" i="98"/>
  <c r="BH123" i="98"/>
  <c r="BJ131" i="98"/>
  <c r="BJ140" i="98"/>
  <c r="BK159" i="98"/>
  <c r="EV175" i="98"/>
  <c r="BK176" i="98"/>
  <c r="BF180" i="98"/>
  <c r="EV180" i="98"/>
  <c r="EV184" i="98"/>
  <c r="EO188" i="98"/>
  <c r="BH234" i="98"/>
  <c r="BK239" i="98"/>
  <c r="BL240" i="98"/>
  <c r="BF271" i="98"/>
  <c r="EM274" i="98"/>
  <c r="U275" i="98"/>
  <c r="P277" i="98"/>
  <c r="AN277" i="98" s="1"/>
  <c r="EI277" i="98"/>
  <c r="P279" i="98"/>
  <c r="AN279" i="98" s="1"/>
  <c r="U280" i="98"/>
  <c r="EG280" i="98"/>
  <c r="P282" i="98"/>
  <c r="AN282" i="98" s="1"/>
  <c r="AV283" i="98"/>
  <c r="EK283" i="98"/>
  <c r="EJ284" i="98"/>
  <c r="EH285" i="98"/>
  <c r="AD287" i="98"/>
  <c r="AP287" i="98" s="1"/>
  <c r="EM288" i="98"/>
  <c r="AD289" i="98"/>
  <c r="AP289" i="98" s="1"/>
  <c r="BK289" i="98"/>
  <c r="AE290" i="98"/>
  <c r="AQ290" i="98" s="1"/>
  <c r="AY290" i="98"/>
  <c r="EO290" i="98" s="1"/>
  <c r="P291" i="98"/>
  <c r="AN291" i="98" s="1"/>
  <c r="AU291" i="98"/>
  <c r="EK291" i="98" s="1"/>
  <c r="EF291" i="98"/>
  <c r="P292" i="98"/>
  <c r="AN292" i="98" s="1"/>
  <c r="AU292" i="98"/>
  <c r="EK292" i="98" s="1"/>
  <c r="AY293" i="98"/>
  <c r="AY294" i="98"/>
  <c r="AY295" i="98"/>
  <c r="EO295" i="98" s="1"/>
  <c r="O296" i="98"/>
  <c r="AM296" i="98" s="1"/>
  <c r="EF296" i="98"/>
  <c r="P297" i="98"/>
  <c r="AN297" i="98" s="1"/>
  <c r="AU297" i="98"/>
  <c r="EK297" i="98" s="1"/>
  <c r="EF297" i="98"/>
  <c r="O298" i="98"/>
  <c r="AM298" i="98" s="1"/>
  <c r="M299" i="98"/>
  <c r="AK299" i="98" s="1"/>
  <c r="AY299" i="98"/>
  <c r="EO299" i="98" s="1"/>
  <c r="M300" i="98"/>
  <c r="AK300" i="98" s="1"/>
  <c r="AE300" i="98"/>
  <c r="AQ300" i="98" s="1"/>
  <c r="AY300" i="98"/>
  <c r="EO300" i="98" s="1"/>
  <c r="O301" i="98"/>
  <c r="AM301" i="98" s="1"/>
  <c r="O302" i="98"/>
  <c r="AM302" i="98" s="1"/>
  <c r="O303" i="98"/>
  <c r="AM303" i="98" s="1"/>
  <c r="EF303" i="98"/>
  <c r="AU304" i="98"/>
  <c r="EK304" i="98" s="1"/>
  <c r="AC305" i="98"/>
  <c r="AO305" i="98" s="1"/>
  <c r="EH305" i="98"/>
  <c r="AC306" i="98"/>
  <c r="AO306" i="98" s="1"/>
  <c r="EH306" i="98"/>
  <c r="AC307" i="98"/>
  <c r="AO307" i="98" s="1"/>
  <c r="AC308" i="98"/>
  <c r="AO308" i="98" s="1"/>
  <c r="AC309" i="98"/>
  <c r="AO309" i="98" s="1"/>
  <c r="P310" i="98"/>
  <c r="AN310" i="98" s="1"/>
  <c r="AU310" i="98"/>
  <c r="EK310" i="98" s="1"/>
  <c r="EF310" i="98"/>
  <c r="O311" i="98"/>
  <c r="AM311" i="98" s="1"/>
  <c r="EF311" i="98"/>
  <c r="O312" i="98"/>
  <c r="AM312" i="98" s="1"/>
  <c r="O313" i="98"/>
  <c r="AM313" i="98" s="1"/>
  <c r="M314" i="98"/>
  <c r="AK314" i="98" s="1"/>
  <c r="AE314" i="98"/>
  <c r="AQ314" i="98" s="1"/>
  <c r="AY314" i="98"/>
  <c r="AC316" i="98"/>
  <c r="AO316" i="98" s="1"/>
  <c r="AC317" i="98"/>
  <c r="AO317" i="98" s="1"/>
  <c r="P318" i="98"/>
  <c r="AN318" i="98" s="1"/>
  <c r="AU318" i="98"/>
  <c r="EK318" i="98" s="1"/>
  <c r="EF318" i="98"/>
  <c r="AZ319" i="98"/>
  <c r="EP319" i="98" s="1"/>
  <c r="X320" i="98"/>
  <c r="V321" i="98"/>
  <c r="EO321" i="98"/>
  <c r="U322" i="98"/>
  <c r="AX322" i="98"/>
  <c r="EN322" i="98" s="1"/>
  <c r="EI322" i="98"/>
  <c r="P323" i="98"/>
  <c r="AN323" i="98" s="1"/>
  <c r="AX323" i="98"/>
  <c r="EN323" i="98" s="1"/>
  <c r="EG323" i="98"/>
  <c r="AT324" i="98"/>
  <c r="EJ324" i="98" s="1"/>
  <c r="AZ324" i="98"/>
  <c r="EP324" i="98" s="1"/>
  <c r="EM324" i="98"/>
  <c r="U325" i="98"/>
  <c r="AT325" i="98"/>
  <c r="EJ325" i="98" s="1"/>
  <c r="V326" i="98"/>
  <c r="V327" i="98"/>
  <c r="EG327" i="98"/>
  <c r="X328" i="98"/>
  <c r="BH328" i="98"/>
  <c r="EG328" i="98"/>
  <c r="V329" i="98"/>
  <c r="AT329" i="98"/>
  <c r="EJ329" i="98" s="1"/>
  <c r="EG329" i="98"/>
  <c r="AY330" i="98"/>
  <c r="AZ330" i="98"/>
  <c r="EP330" i="98" s="1"/>
  <c r="U331" i="98"/>
  <c r="EV76" i="98"/>
  <c r="EJ76" i="98"/>
  <c r="BF82" i="98"/>
  <c r="BK82" i="98"/>
  <c r="BF83" i="98"/>
  <c r="ET87" i="98"/>
  <c r="EV90" i="98"/>
  <c r="EV91" i="98"/>
  <c r="EV94" i="98"/>
  <c r="BH98" i="98"/>
  <c r="EV98" i="98"/>
  <c r="BF99" i="98"/>
  <c r="BL99" i="98"/>
  <c r="EP100" i="98"/>
  <c r="EV103" i="98"/>
  <c r="BK104" i="98"/>
  <c r="EO105" i="98"/>
  <c r="BG106" i="98"/>
  <c r="BK107" i="98"/>
  <c r="BF108" i="98"/>
  <c r="BJ109" i="98"/>
  <c r="BL110" i="98"/>
  <c r="BG111" i="98"/>
  <c r="BJ112" i="98"/>
  <c r="EO113" i="98"/>
  <c r="EK114" i="98"/>
  <c r="EN115" i="98"/>
  <c r="BF116" i="98"/>
  <c r="BL116" i="98"/>
  <c r="BF118" i="98"/>
  <c r="BL118" i="98"/>
  <c r="EV119" i="98"/>
  <c r="EP119" i="98"/>
  <c r="BH120" i="98"/>
  <c r="EK120" i="98"/>
  <c r="BH121" i="98"/>
  <c r="BJ122" i="98"/>
  <c r="EL122" i="98"/>
  <c r="EN124" i="98"/>
  <c r="BF125" i="98"/>
  <c r="BL125" i="98"/>
  <c r="EV126" i="98"/>
  <c r="EP128" i="98"/>
  <c r="EK132" i="98"/>
  <c r="BK134" i="98"/>
  <c r="EK139" i="98"/>
  <c r="BK141" i="98"/>
  <c r="BK143" i="98"/>
  <c r="BK157" i="98"/>
  <c r="EV158" i="98"/>
  <c r="EV159" i="98"/>
  <c r="BG170" i="98"/>
  <c r="BK172" i="98"/>
  <c r="EO173" i="98"/>
  <c r="BK174" i="98"/>
  <c r="BK182" i="98"/>
  <c r="EJ183" i="98"/>
  <c r="BG184" i="98"/>
  <c r="EL189" i="98"/>
  <c r="BG190" i="98"/>
  <c r="AM197" i="98"/>
  <c r="EP216" i="98"/>
  <c r="EV218" i="98"/>
  <c r="EV219" i="98"/>
  <c r="EV222" i="98"/>
  <c r="EV223" i="98"/>
  <c r="BK225" i="98"/>
  <c r="EL225" i="98"/>
  <c r="BG226" i="98"/>
  <c r="EP226" i="98"/>
  <c r="EV227" i="98"/>
  <c r="EJ227" i="98"/>
  <c r="BG228" i="98"/>
  <c r="EV230" i="98"/>
  <c r="BH231" i="98"/>
  <c r="EV233" i="98"/>
  <c r="EV234" i="98"/>
  <c r="EV236" i="98"/>
  <c r="EV239" i="98"/>
  <c r="BF241" i="98"/>
  <c r="EV245" i="98"/>
  <c r="EV247" i="98"/>
  <c r="EV248" i="98"/>
  <c r="EV249" i="98"/>
  <c r="AX251" i="98"/>
  <c r="EN251" i="98" s="1"/>
  <c r="AX253" i="98"/>
  <c r="EN253" i="98" s="1"/>
  <c r="AX259" i="98"/>
  <c r="EI262" i="98"/>
  <c r="AZ268" i="98"/>
  <c r="EP268" i="98" s="1"/>
  <c r="EM268" i="98"/>
  <c r="AU269" i="98"/>
  <c r="AT270" i="98"/>
  <c r="EJ270" i="98" s="1"/>
  <c r="AX270" i="98"/>
  <c r="EI270" i="98"/>
  <c r="X271" i="98"/>
  <c r="AU271" i="98"/>
  <c r="AY271" i="98"/>
  <c r="AV273" i="98"/>
  <c r="EM273" i="98"/>
  <c r="AX274" i="98"/>
  <c r="EN274" i="98" s="1"/>
  <c r="V275" i="98"/>
  <c r="AV275" i="98"/>
  <c r="EM275" i="98"/>
  <c r="X276" i="98"/>
  <c r="AV276" i="98"/>
  <c r="EL276" i="98" s="1"/>
  <c r="U277" i="98"/>
  <c r="AT277" i="98"/>
  <c r="EJ277" i="98" s="1"/>
  <c r="AZ277" i="98"/>
  <c r="EP277" i="98" s="1"/>
  <c r="EM277" i="98"/>
  <c r="AV278" i="98"/>
  <c r="EL278" i="98" s="1"/>
  <c r="U279" i="98"/>
  <c r="AT279" i="98"/>
  <c r="EJ279" i="98" s="1"/>
  <c r="AZ279" i="98"/>
  <c r="EP279" i="98" s="1"/>
  <c r="EI279" i="98"/>
  <c r="AT280" i="98"/>
  <c r="EJ280" i="98" s="1"/>
  <c r="AZ280" i="98"/>
  <c r="EI280" i="98"/>
  <c r="X281" i="98"/>
  <c r="EG281" i="98"/>
  <c r="AX282" i="98"/>
  <c r="EN282" i="98" s="1"/>
  <c r="EI282" i="98"/>
  <c r="X283" i="98"/>
  <c r="EM283" i="98"/>
  <c r="EL284" i="98"/>
  <c r="AC285" i="98"/>
  <c r="AO285" i="98" s="1"/>
  <c r="AD286" i="98"/>
  <c r="AP286" i="98" s="1"/>
  <c r="O287" i="98"/>
  <c r="AM287" i="98" s="1"/>
  <c r="AE287" i="98"/>
  <c r="AQ287" i="98" s="1"/>
  <c r="EF287" i="98"/>
  <c r="P288" i="98"/>
  <c r="AN288" i="98" s="1"/>
  <c r="U288" i="98"/>
  <c r="AX288" i="98"/>
  <c r="EO288" i="98"/>
  <c r="EF289" i="98"/>
  <c r="N289" i="98"/>
  <c r="AL289" i="98" s="1"/>
  <c r="EJ289" i="98"/>
  <c r="P296" i="98"/>
  <c r="AN296" i="98" s="1"/>
  <c r="EH296" i="98"/>
  <c r="BK298" i="98"/>
  <c r="P299" i="98"/>
  <c r="AN299" i="98" s="1"/>
  <c r="EF299" i="98"/>
  <c r="O300" i="98"/>
  <c r="AM300" i="98" s="1"/>
  <c r="EF300" i="98"/>
  <c r="P301" i="98"/>
  <c r="AN301" i="98" s="1"/>
  <c r="BK301" i="98"/>
  <c r="P302" i="98"/>
  <c r="AN302" i="98" s="1"/>
  <c r="BK302" i="98"/>
  <c r="AE306" i="98"/>
  <c r="AQ306" i="98" s="1"/>
  <c r="AC310" i="98"/>
  <c r="AO310" i="98" s="1"/>
  <c r="EH310" i="98"/>
  <c r="BK313" i="98"/>
  <c r="O314" i="98"/>
  <c r="AM314" i="98" s="1"/>
  <c r="AC318" i="98"/>
  <c r="AO318" i="98" s="1"/>
  <c r="EH318" i="98"/>
  <c r="V322" i="98"/>
  <c r="AZ322" i="98"/>
  <c r="EP322" i="98" s="1"/>
  <c r="EM322" i="98"/>
  <c r="AZ323" i="98"/>
  <c r="EP323" i="98" s="1"/>
  <c r="AV324" i="98"/>
  <c r="EL324" i="98" s="1"/>
  <c r="V325" i="98"/>
  <c r="AV325" i="98"/>
  <c r="EG325" i="98"/>
  <c r="AV329" i="98"/>
  <c r="EL329" i="98" s="1"/>
  <c r="EK329" i="98"/>
  <c r="W330" i="98"/>
  <c r="X330" i="98"/>
  <c r="V330" i="98"/>
  <c r="EF331" i="98"/>
  <c r="P331" i="98"/>
  <c r="AN331" i="98" s="1"/>
  <c r="AY331" i="98"/>
  <c r="AZ331" i="98"/>
  <c r="EP331" i="98" s="1"/>
  <c r="AY333" i="98"/>
  <c r="AZ333" i="98"/>
  <c r="EP333" i="98" s="1"/>
  <c r="U338" i="98"/>
  <c r="BH338" i="98"/>
  <c r="EG338" i="98"/>
  <c r="P339" i="98"/>
  <c r="AN339" i="98" s="1"/>
  <c r="EH343" i="98"/>
  <c r="BF348" i="98"/>
  <c r="AD349" i="98"/>
  <c r="AP349" i="98" s="1"/>
  <c r="BF350" i="98"/>
  <c r="AD351" i="98"/>
  <c r="AP351" i="98" s="1"/>
  <c r="BF352" i="98"/>
  <c r="AD353" i="98"/>
  <c r="AP353" i="98" s="1"/>
  <c r="X354" i="98"/>
  <c r="EM354" i="98"/>
  <c r="EM360" i="98"/>
  <c r="EG363" i="98"/>
  <c r="EG368" i="98"/>
  <c r="EG369" i="98"/>
  <c r="EK372" i="98"/>
  <c r="U374" i="98"/>
  <c r="T194" i="1"/>
  <c r="EG374" i="98"/>
  <c r="EG375" i="98"/>
  <c r="EO376" i="98"/>
  <c r="EG377" i="98"/>
  <c r="EG378" i="98"/>
  <c r="EG379" i="98"/>
  <c r="EO382" i="98"/>
  <c r="EG383" i="98"/>
  <c r="EG384" i="98"/>
  <c r="EO385" i="98"/>
  <c r="EG386" i="98"/>
  <c r="EO387" i="98"/>
  <c r="EG388" i="98"/>
  <c r="EO389" i="98"/>
  <c r="EG390" i="98"/>
  <c r="O392" i="98"/>
  <c r="AM392" i="98" s="1"/>
  <c r="EH394" i="98"/>
  <c r="BJ198" i="1"/>
  <c r="BL198" i="1"/>
  <c r="BK198" i="1"/>
  <c r="BM198" i="1"/>
  <c r="EH402" i="98"/>
  <c r="AC408" i="98"/>
  <c r="AO408" i="98" s="1"/>
  <c r="AD412" i="98"/>
  <c r="AP412" i="98" s="1"/>
  <c r="EH412" i="98"/>
  <c r="EM416" i="98"/>
  <c r="AD421" i="98"/>
  <c r="AP421" i="98" s="1"/>
  <c r="EM426" i="98"/>
  <c r="X430" i="98"/>
  <c r="EM430" i="98"/>
  <c r="P436" i="98"/>
  <c r="AN436" i="98" s="1"/>
  <c r="U437" i="98"/>
  <c r="U453" i="98"/>
  <c r="U454" i="98"/>
  <c r="U455" i="98"/>
  <c r="P332" i="98"/>
  <c r="AN332" i="98" s="1"/>
  <c r="P333" i="98"/>
  <c r="AN333" i="98" s="1"/>
  <c r="M334" i="98"/>
  <c r="AK334" i="98" s="1"/>
  <c r="X334" i="98"/>
  <c r="P335" i="98"/>
  <c r="AN335" i="98" s="1"/>
  <c r="M336" i="98"/>
  <c r="AK336" i="98" s="1"/>
  <c r="X336" i="98"/>
  <c r="AZ336" i="98"/>
  <c r="EP336" i="98" s="1"/>
  <c r="M337" i="98"/>
  <c r="AK337" i="98" s="1"/>
  <c r="X337" i="98"/>
  <c r="V338" i="98"/>
  <c r="EK338" i="98"/>
  <c r="U339" i="98"/>
  <c r="EG339" i="98"/>
  <c r="P340" i="98"/>
  <c r="AN340" i="98" s="1"/>
  <c r="P341" i="98"/>
  <c r="AN341" i="98" s="1"/>
  <c r="AZ341" i="98"/>
  <c r="EP341" i="98" s="1"/>
  <c r="M342" i="98"/>
  <c r="AK342" i="98" s="1"/>
  <c r="X342" i="98"/>
  <c r="AZ342" i="98"/>
  <c r="EP342" i="98" s="1"/>
  <c r="M343" i="98"/>
  <c r="AK343" i="98" s="1"/>
  <c r="X343" i="98"/>
  <c r="U344" i="98"/>
  <c r="AE344" i="98"/>
  <c r="AQ344" i="98" s="1"/>
  <c r="U347" i="98"/>
  <c r="X348" i="98"/>
  <c r="EI348" i="98"/>
  <c r="U349" i="98"/>
  <c r="X350" i="98"/>
  <c r="EI350" i="98"/>
  <c r="U351" i="98"/>
  <c r="X352" i="98"/>
  <c r="EI352" i="98"/>
  <c r="U353" i="98"/>
  <c r="AX354" i="98"/>
  <c r="EN354" i="98" s="1"/>
  <c r="X355" i="98"/>
  <c r="EM355" i="98"/>
  <c r="V356" i="98"/>
  <c r="EM356" i="98"/>
  <c r="V357" i="98"/>
  <c r="EM357" i="98"/>
  <c r="V359" i="98"/>
  <c r="EM359" i="98"/>
  <c r="AX360" i="98"/>
  <c r="EN360" i="98" s="1"/>
  <c r="AE363" i="98"/>
  <c r="AQ363" i="98" s="1"/>
  <c r="O365" i="98"/>
  <c r="AM365" i="98" s="1"/>
  <c r="AZ367" i="98"/>
  <c r="EP367" i="98" s="1"/>
  <c r="AV368" i="98"/>
  <c r="EL368" i="98" s="1"/>
  <c r="AT369" i="98"/>
  <c r="EJ369" i="98" s="1"/>
  <c r="AX369" i="98"/>
  <c r="EN369" i="98" s="1"/>
  <c r="EI369" i="98"/>
  <c r="EG370" i="98"/>
  <c r="EO370" i="98"/>
  <c r="BI193" i="1"/>
  <c r="BH193" i="1"/>
  <c r="BG193" i="1"/>
  <c r="BF193" i="1"/>
  <c r="EH374" i="98"/>
  <c r="V194" i="1"/>
  <c r="O194" i="1" s="1"/>
  <c r="AT375" i="98"/>
  <c r="EJ375" i="98" s="1"/>
  <c r="AX375" i="98"/>
  <c r="EN375" i="98" s="1"/>
  <c r="AV377" i="98"/>
  <c r="EL377" i="98" s="1"/>
  <c r="AV378" i="98"/>
  <c r="EL378" i="98" s="1"/>
  <c r="AV379" i="98"/>
  <c r="EL379" i="98" s="1"/>
  <c r="AY381" i="98"/>
  <c r="AV383" i="98"/>
  <c r="EL383" i="98" s="1"/>
  <c r="AT384" i="98"/>
  <c r="EJ384" i="98" s="1"/>
  <c r="AX384" i="98"/>
  <c r="EN384" i="98" s="1"/>
  <c r="AT386" i="98"/>
  <c r="EJ386" i="98" s="1"/>
  <c r="AX386" i="98"/>
  <c r="EN386" i="98" s="1"/>
  <c r="AT388" i="98"/>
  <c r="EJ388" i="98" s="1"/>
  <c r="AX388" i="98"/>
  <c r="EN388" i="98" s="1"/>
  <c r="AT390" i="98"/>
  <c r="EJ390" i="98" s="1"/>
  <c r="AX390" i="98"/>
  <c r="EN390" i="98" s="1"/>
  <c r="EI390" i="98"/>
  <c r="EL391" i="98"/>
  <c r="P392" i="98"/>
  <c r="AN392" i="98" s="1"/>
  <c r="O393" i="98"/>
  <c r="AM393" i="98" s="1"/>
  <c r="M394" i="98"/>
  <c r="AK394" i="98" s="1"/>
  <c r="U395" i="98"/>
  <c r="M396" i="98"/>
  <c r="AK396" i="98" s="1"/>
  <c r="AC396" i="98"/>
  <c r="AO396" i="98" s="1"/>
  <c r="O397" i="98"/>
  <c r="AM397" i="98" s="1"/>
  <c r="M398" i="98"/>
  <c r="AK398" i="98" s="1"/>
  <c r="M402" i="98"/>
  <c r="AK402" i="98" s="1"/>
  <c r="M404" i="98"/>
  <c r="AK404" i="98" s="1"/>
  <c r="EH405" i="98"/>
  <c r="AC406" i="98"/>
  <c r="AO406" i="98" s="1"/>
  <c r="M408" i="98"/>
  <c r="AK408" i="98" s="1"/>
  <c r="EH408" i="98"/>
  <c r="V409" i="98"/>
  <c r="U412" i="98"/>
  <c r="EF414" i="98"/>
  <c r="O414" i="98"/>
  <c r="AM414" i="98" s="1"/>
  <c r="AX414" i="98"/>
  <c r="V415" i="98"/>
  <c r="EM415" i="98"/>
  <c r="AX416" i="98"/>
  <c r="EN416" i="98" s="1"/>
  <c r="AT418" i="98"/>
  <c r="EJ418" i="98" s="1"/>
  <c r="EI418" i="98"/>
  <c r="V419" i="98"/>
  <c r="EM419" i="98"/>
  <c r="V420" i="98"/>
  <c r="AT420" i="98"/>
  <c r="EJ420" i="98" s="1"/>
  <c r="EI420" i="98"/>
  <c r="U421" i="98"/>
  <c r="AT424" i="98"/>
  <c r="EJ424" i="98" s="1"/>
  <c r="EI424" i="98"/>
  <c r="V425" i="98"/>
  <c r="EM425" i="98"/>
  <c r="AX426" i="98"/>
  <c r="EN426" i="98" s="1"/>
  <c r="EI427" i="98"/>
  <c r="V429" i="98"/>
  <c r="AX430" i="98"/>
  <c r="EN430" i="98" s="1"/>
  <c r="AD432" i="98"/>
  <c r="AP432" i="98" s="1"/>
  <c r="P435" i="98"/>
  <c r="AN435" i="98" s="1"/>
  <c r="AZ435" i="98"/>
  <c r="EP435" i="98" s="1"/>
  <c r="U436" i="98"/>
  <c r="X437" i="98"/>
  <c r="M440" i="98"/>
  <c r="AK440" i="98" s="1"/>
  <c r="U448" i="98"/>
  <c r="X453" i="98"/>
  <c r="X454" i="98"/>
  <c r="X455" i="98"/>
  <c r="AD461" i="98"/>
  <c r="AP461" i="98" s="1"/>
  <c r="V462" i="98"/>
  <c r="AU462" i="98"/>
  <c r="BG462" i="98" s="1"/>
  <c r="AU463" i="98"/>
  <c r="BG463" i="98" s="1"/>
  <c r="AT464" i="98"/>
  <c r="EJ464" i="98" s="1"/>
  <c r="EV465" i="98"/>
  <c r="EV466" i="98"/>
  <c r="U332" i="98"/>
  <c r="BH332" i="98"/>
  <c r="EG332" i="98"/>
  <c r="U333" i="98"/>
  <c r="EG333" i="98"/>
  <c r="P334" i="98"/>
  <c r="AN334" i="98" s="1"/>
  <c r="EG334" i="98"/>
  <c r="U335" i="98"/>
  <c r="EG335" i="98"/>
  <c r="P336" i="98"/>
  <c r="AN336" i="98" s="1"/>
  <c r="P337" i="98"/>
  <c r="AN337" i="98" s="1"/>
  <c r="M338" i="98"/>
  <c r="AK338" i="98" s="1"/>
  <c r="X338" i="98"/>
  <c r="EO339" i="98"/>
  <c r="U340" i="98"/>
  <c r="BH340" i="98"/>
  <c r="EG340" i="98"/>
  <c r="U341" i="98"/>
  <c r="EG341" i="98"/>
  <c r="P342" i="98"/>
  <c r="AN342" i="98" s="1"/>
  <c r="P343" i="98"/>
  <c r="AN343" i="98" s="1"/>
  <c r="V347" i="98"/>
  <c r="BF347" i="98"/>
  <c r="X349" i="98"/>
  <c r="BF349" i="98"/>
  <c r="AD350" i="98"/>
  <c r="AP350" i="98" s="1"/>
  <c r="V351" i="98"/>
  <c r="BF351" i="98"/>
  <c r="EM352" i="98"/>
  <c r="X353" i="98"/>
  <c r="EI353" i="98"/>
  <c r="U354" i="98"/>
  <c r="AD355" i="98"/>
  <c r="AP355" i="98" s="1"/>
  <c r="AX355" i="98"/>
  <c r="EN355" i="98" s="1"/>
  <c r="AD357" i="98"/>
  <c r="AP357" i="98" s="1"/>
  <c r="AT362" i="98"/>
  <c r="EJ362" i="98" s="1"/>
  <c r="EI362" i="98"/>
  <c r="V363" i="98"/>
  <c r="AE364" i="98"/>
  <c r="AQ364" i="98" s="1"/>
  <c r="AE365" i="98"/>
  <c r="AQ365" i="98" s="1"/>
  <c r="AY365" i="98"/>
  <c r="EO365" i="98" s="1"/>
  <c r="AU366" i="98"/>
  <c r="EK366" i="98" s="1"/>
  <c r="EH367" i="98"/>
  <c r="AU369" i="98"/>
  <c r="AY369" i="98"/>
  <c r="AT370" i="98"/>
  <c r="EJ370" i="98" s="1"/>
  <c r="AX370" i="98"/>
  <c r="EN370" i="98" s="1"/>
  <c r="EI370" i="98"/>
  <c r="U371" i="98"/>
  <c r="T193" i="1"/>
  <c r="EG371" i="98"/>
  <c r="EO372" i="98"/>
  <c r="X373" i="98"/>
  <c r="P374" i="98"/>
  <c r="AN374" i="98" s="1"/>
  <c r="AU375" i="98"/>
  <c r="AY375" i="98"/>
  <c r="AZ381" i="98"/>
  <c r="EP381" i="98" s="1"/>
  <c r="EG382" i="98"/>
  <c r="P383" i="98"/>
  <c r="AN383" i="98" s="1"/>
  <c r="P384" i="98"/>
  <c r="AN384" i="98" s="1"/>
  <c r="AU384" i="98"/>
  <c r="AY384" i="98"/>
  <c r="P386" i="98"/>
  <c r="AN386" i="98" s="1"/>
  <c r="AU386" i="98"/>
  <c r="AY386" i="98"/>
  <c r="P388" i="98"/>
  <c r="AN388" i="98" s="1"/>
  <c r="AU388" i="98"/>
  <c r="AY388" i="98"/>
  <c r="P390" i="98"/>
  <c r="AN390" i="98" s="1"/>
  <c r="AU390" i="98"/>
  <c r="AY390" i="98"/>
  <c r="U392" i="98"/>
  <c r="P393" i="98"/>
  <c r="AN393" i="98" s="1"/>
  <c r="O394" i="98"/>
  <c r="AM394" i="98" s="1"/>
  <c r="M395" i="98"/>
  <c r="AK395" i="98" s="1"/>
  <c r="O396" i="98"/>
  <c r="AM396" i="98" s="1"/>
  <c r="EH396" i="98"/>
  <c r="P397" i="98"/>
  <c r="AN397" i="98" s="1"/>
  <c r="O398" i="98"/>
  <c r="AM398" i="98" s="1"/>
  <c r="BG198" i="1"/>
  <c r="O198" i="1"/>
  <c r="BF198" i="1"/>
  <c r="BH198" i="1"/>
  <c r="BI198" i="1"/>
  <c r="U402" i="98"/>
  <c r="M403" i="98"/>
  <c r="AK403" i="98" s="1"/>
  <c r="EH404" i="98"/>
  <c r="AC405" i="98"/>
  <c r="AO405" i="98" s="1"/>
  <c r="M407" i="98"/>
  <c r="AK407" i="98" s="1"/>
  <c r="U408" i="98"/>
  <c r="AC409" i="98"/>
  <c r="AO409" i="98" s="1"/>
  <c r="EH409" i="98"/>
  <c r="V412" i="98"/>
  <c r="M413" i="98"/>
  <c r="AK413" i="98" s="1"/>
  <c r="V414" i="98"/>
  <c r="EM414" i="98"/>
  <c r="V418" i="98"/>
  <c r="EM418" i="98"/>
  <c r="AD419" i="98"/>
  <c r="AP419" i="98" s="1"/>
  <c r="X420" i="98"/>
  <c r="EM420" i="98"/>
  <c r="V421" i="98"/>
  <c r="AT421" i="98"/>
  <c r="EJ421" i="98" s="1"/>
  <c r="EI421" i="98"/>
  <c r="U422" i="98"/>
  <c r="AT422" i="98"/>
  <c r="EJ422" i="98" s="1"/>
  <c r="EI422" i="98"/>
  <c r="U423" i="98"/>
  <c r="AT423" i="98"/>
  <c r="EJ423" i="98" s="1"/>
  <c r="EI423" i="98"/>
  <c r="V424" i="98"/>
  <c r="EM424" i="98"/>
  <c r="AD425" i="98"/>
  <c r="AP425" i="98" s="1"/>
  <c r="EI428" i="98"/>
  <c r="X429" i="98"/>
  <c r="U430" i="98"/>
  <c r="X436" i="98"/>
  <c r="M437" i="98"/>
  <c r="AK437" i="98" s="1"/>
  <c r="M439" i="98"/>
  <c r="AK439" i="98" s="1"/>
  <c r="AT446" i="98"/>
  <c r="EJ446" i="98" s="1"/>
  <c r="M453" i="98"/>
  <c r="AK453" i="98" s="1"/>
  <c r="M454" i="98"/>
  <c r="AK454" i="98" s="1"/>
  <c r="M455" i="98"/>
  <c r="AK455" i="98" s="1"/>
  <c r="M456" i="98"/>
  <c r="AK456" i="98" s="1"/>
  <c r="EI461" i="98"/>
  <c r="AD462" i="98"/>
  <c r="AP462" i="98" s="1"/>
  <c r="EI463" i="98"/>
  <c r="AU464" i="98"/>
  <c r="BG464" i="98" s="1"/>
  <c r="EP555" i="98"/>
  <c r="BL555" i="98"/>
  <c r="V332" i="98"/>
  <c r="U334" i="98"/>
  <c r="U336" i="98"/>
  <c r="BH336" i="98"/>
  <c r="EG336" i="98"/>
  <c r="U337" i="98"/>
  <c r="EG337" i="98"/>
  <c r="P338" i="98"/>
  <c r="AN338" i="98" s="1"/>
  <c r="M339" i="98"/>
  <c r="AK339" i="98" s="1"/>
  <c r="V341" i="98"/>
  <c r="EO341" i="98"/>
  <c r="U342" i="98"/>
  <c r="BH342" i="98"/>
  <c r="EG342" i="98"/>
  <c r="U343" i="98"/>
  <c r="AC344" i="98"/>
  <c r="AO344" i="98" s="1"/>
  <c r="BF346" i="98"/>
  <c r="EI346" i="98"/>
  <c r="X347" i="98"/>
  <c r="V349" i="98"/>
  <c r="X351" i="98"/>
  <c r="V353" i="98"/>
  <c r="EM353" i="98"/>
  <c r="V354" i="98"/>
  <c r="EM362" i="98"/>
  <c r="O363" i="98"/>
  <c r="AM363" i="98" s="1"/>
  <c r="EJ363" i="98"/>
  <c r="O367" i="98"/>
  <c r="AM367" i="98" s="1"/>
  <c r="X368" i="98"/>
  <c r="AV369" i="98"/>
  <c r="EL369" i="98" s="1"/>
  <c r="AZ369" i="98"/>
  <c r="EP369" i="98" s="1"/>
  <c r="EM369" i="98"/>
  <c r="P370" i="98"/>
  <c r="AN370" i="98" s="1"/>
  <c r="EK370" i="98"/>
  <c r="EH371" i="98"/>
  <c r="V193" i="1"/>
  <c r="EG373" i="98"/>
  <c r="BI194" i="1"/>
  <c r="BF194" i="1"/>
  <c r="BH194" i="1"/>
  <c r="BG194" i="1"/>
  <c r="X374" i="98"/>
  <c r="AV375" i="98"/>
  <c r="EL375" i="98" s="1"/>
  <c r="AZ375" i="98"/>
  <c r="EP375" i="98" s="1"/>
  <c r="EK376" i="98"/>
  <c r="X378" i="98"/>
  <c r="EK382" i="98"/>
  <c r="X383" i="98"/>
  <c r="AV384" i="98"/>
  <c r="EL384" i="98" s="1"/>
  <c r="AZ384" i="98"/>
  <c r="EP384" i="98" s="1"/>
  <c r="EK385" i="98"/>
  <c r="AV386" i="98"/>
  <c r="EL386" i="98" s="1"/>
  <c r="AZ386" i="98"/>
  <c r="EP386" i="98" s="1"/>
  <c r="EK387" i="98"/>
  <c r="AV388" i="98"/>
  <c r="EL388" i="98" s="1"/>
  <c r="AZ388" i="98"/>
  <c r="EP388" i="98" s="1"/>
  <c r="EK389" i="98"/>
  <c r="AV390" i="98"/>
  <c r="EL390" i="98" s="1"/>
  <c r="AZ390" i="98"/>
  <c r="EP390" i="98" s="1"/>
  <c r="EM390" i="98"/>
  <c r="M392" i="98"/>
  <c r="AK392" i="98" s="1"/>
  <c r="O395" i="98"/>
  <c r="AM395" i="98" s="1"/>
  <c r="P398" i="98"/>
  <c r="AN398" i="98" s="1"/>
  <c r="AC402" i="98"/>
  <c r="AO402" i="98" s="1"/>
  <c r="AC404" i="98"/>
  <c r="AO404" i="98" s="1"/>
  <c r="M406" i="98"/>
  <c r="AK406" i="98" s="1"/>
  <c r="V408" i="98"/>
  <c r="AC412" i="98"/>
  <c r="AO412" i="98" s="1"/>
  <c r="EG412" i="98"/>
  <c r="O413" i="98"/>
  <c r="AM413" i="98" s="1"/>
  <c r="X421" i="98"/>
  <c r="EM421" i="98"/>
  <c r="V422" i="98"/>
  <c r="EM422" i="98"/>
  <c r="V423" i="98"/>
  <c r="EM423" i="98"/>
  <c r="EM428" i="98"/>
  <c r="V430" i="98"/>
  <c r="M436" i="98"/>
  <c r="AK436" i="98" s="1"/>
  <c r="P437" i="98"/>
  <c r="AN437" i="98" s="1"/>
  <c r="U439" i="98"/>
  <c r="P453" i="98"/>
  <c r="AN453" i="98" s="1"/>
  <c r="P454" i="98"/>
  <c r="AN454" i="98" s="1"/>
  <c r="P455" i="98"/>
  <c r="AN455" i="98" s="1"/>
  <c r="M457" i="98"/>
  <c r="AK457" i="98" s="1"/>
  <c r="EI462" i="98"/>
  <c r="BI464" i="98"/>
  <c r="EM464" i="98"/>
  <c r="EI464" i="98"/>
  <c r="EV471" i="98"/>
  <c r="AT479" i="98"/>
  <c r="EJ479" i="98" s="1"/>
  <c r="AX479" i="98"/>
  <c r="EN479" i="98" s="1"/>
  <c r="EM479" i="98"/>
  <c r="AV480" i="98"/>
  <c r="EL480" i="98" s="1"/>
  <c r="EI480" i="98"/>
  <c r="BF482" i="98"/>
  <c r="EO484" i="98"/>
  <c r="EK486" i="98"/>
  <c r="AZ487" i="98"/>
  <c r="EP487" i="98" s="1"/>
  <c r="EI487" i="98"/>
  <c r="AU488" i="98"/>
  <c r="AY488" i="98"/>
  <c r="EM488" i="98"/>
  <c r="AV489" i="98"/>
  <c r="EL489" i="98" s="1"/>
  <c r="EK490" i="98"/>
  <c r="N492" i="98"/>
  <c r="AL492" i="98" s="1"/>
  <c r="AT492" i="98"/>
  <c r="BF492" i="98" s="1"/>
  <c r="AZ492" i="98"/>
  <c r="EP492" i="98" s="1"/>
  <c r="EM492" i="98"/>
  <c r="AY493" i="98"/>
  <c r="EO493" i="98" s="1"/>
  <c r="AF494" i="98"/>
  <c r="AR494" i="98" s="1"/>
  <c r="EM494" i="98"/>
  <c r="AF495" i="98"/>
  <c r="AR495" i="98" s="1"/>
  <c r="AC495" i="98"/>
  <c r="AO495" i="98" s="1"/>
  <c r="X496" i="98"/>
  <c r="EG496" i="98"/>
  <c r="U497" i="98"/>
  <c r="AU497" i="98"/>
  <c r="EK497" i="98" s="1"/>
  <c r="AU498" i="98"/>
  <c r="AY498" i="98"/>
  <c r="EI498" i="98"/>
  <c r="N499" i="98"/>
  <c r="AL499" i="98" s="1"/>
  <c r="O499" i="98"/>
  <c r="AM499" i="98" s="1"/>
  <c r="AE499" i="98"/>
  <c r="AQ499" i="98" s="1"/>
  <c r="U500" i="98"/>
  <c r="AT500" i="98"/>
  <c r="BF500" i="98" s="1"/>
  <c r="AZ500" i="98"/>
  <c r="EP500" i="98" s="1"/>
  <c r="EM500" i="98"/>
  <c r="AX501" i="98"/>
  <c r="BJ501" i="98" s="1"/>
  <c r="AF502" i="98"/>
  <c r="AR502" i="98" s="1"/>
  <c r="AC502" i="98"/>
  <c r="AO502" i="98" s="1"/>
  <c r="W503" i="98"/>
  <c r="AV503" i="98"/>
  <c r="BH503" i="98" s="1"/>
  <c r="AZ503" i="98"/>
  <c r="BL503" i="98" s="1"/>
  <c r="U504" i="98"/>
  <c r="W505" i="98"/>
  <c r="V505" i="98"/>
  <c r="AV505" i="98"/>
  <c r="EL505" i="98" s="1"/>
  <c r="N506" i="98"/>
  <c r="AL506" i="98" s="1"/>
  <c r="O506" i="98"/>
  <c r="AM506" i="98" s="1"/>
  <c r="EF506" i="98"/>
  <c r="AT507" i="98"/>
  <c r="EJ507" i="98" s="1"/>
  <c r="AX507" i="98"/>
  <c r="EN507" i="98" s="1"/>
  <c r="EI507" i="98"/>
  <c r="O508" i="98"/>
  <c r="AM508" i="98" s="1"/>
  <c r="AE508" i="98"/>
  <c r="AQ508" i="98" s="1"/>
  <c r="EH508" i="98"/>
  <c r="U509" i="98"/>
  <c r="AT509" i="98"/>
  <c r="BF509" i="98" s="1"/>
  <c r="AZ509" i="98"/>
  <c r="EP509" i="98" s="1"/>
  <c r="EM509" i="98"/>
  <c r="O510" i="98"/>
  <c r="AM510" i="98" s="1"/>
  <c r="AC511" i="98"/>
  <c r="AO511" i="98" s="1"/>
  <c r="AV512" i="98"/>
  <c r="EL512" i="98" s="1"/>
  <c r="EM512" i="98"/>
  <c r="M513" i="98"/>
  <c r="AK513" i="98" s="1"/>
  <c r="AE513" i="98"/>
  <c r="AQ513" i="98" s="1"/>
  <c r="AY513" i="98"/>
  <c r="EH513" i="98"/>
  <c r="X514" i="98"/>
  <c r="BJ514" i="98"/>
  <c r="P515" i="98"/>
  <c r="AN515" i="98" s="1"/>
  <c r="O515" i="98"/>
  <c r="AM515" i="98" s="1"/>
  <c r="X516" i="98"/>
  <c r="AV516" i="98"/>
  <c r="EL516" i="98" s="1"/>
  <c r="EM516" i="98"/>
  <c r="M517" i="98"/>
  <c r="AK517" i="98" s="1"/>
  <c r="AE517" i="98"/>
  <c r="AQ517" i="98" s="1"/>
  <c r="P518" i="98"/>
  <c r="AN518" i="98" s="1"/>
  <c r="AT518" i="98"/>
  <c r="EJ518" i="98" s="1"/>
  <c r="AZ518" i="98"/>
  <c r="EP518" i="98" s="1"/>
  <c r="EM518" i="98"/>
  <c r="AC519" i="98"/>
  <c r="AO519" i="98" s="1"/>
  <c r="EH519" i="98"/>
  <c r="V520" i="98"/>
  <c r="AT520" i="98"/>
  <c r="EJ520" i="98" s="1"/>
  <c r="AX520" i="98"/>
  <c r="EN520" i="98" s="1"/>
  <c r="EG520" i="98"/>
  <c r="M521" i="98"/>
  <c r="AK521" i="98" s="1"/>
  <c r="AE521" i="98"/>
  <c r="AQ521" i="98" s="1"/>
  <c r="EF521" i="98"/>
  <c r="AX522" i="98"/>
  <c r="EN522" i="98" s="1"/>
  <c r="EI522" i="98"/>
  <c r="AC523" i="98"/>
  <c r="AO523" i="98" s="1"/>
  <c r="AU523" i="98"/>
  <c r="EF523" i="98"/>
  <c r="AD524" i="98"/>
  <c r="AP524" i="98" s="1"/>
  <c r="BJ524" i="98"/>
  <c r="O525" i="98"/>
  <c r="AM525" i="98" s="1"/>
  <c r="AE525" i="98"/>
  <c r="AQ525" i="98" s="1"/>
  <c r="AT526" i="98"/>
  <c r="EJ526" i="98" s="1"/>
  <c r="AZ526" i="98"/>
  <c r="EP526" i="98" s="1"/>
  <c r="EM526" i="98"/>
  <c r="M527" i="98"/>
  <c r="AK527" i="98" s="1"/>
  <c r="AE527" i="98"/>
  <c r="AQ527" i="98" s="1"/>
  <c r="AY527" i="98"/>
  <c r="EO527" i="98" s="1"/>
  <c r="X528" i="98"/>
  <c r="AV528" i="98"/>
  <c r="EL528" i="98" s="1"/>
  <c r="EM528" i="98"/>
  <c r="M529" i="98"/>
  <c r="AK529" i="98" s="1"/>
  <c r="AE529" i="98"/>
  <c r="AQ529" i="98" s="1"/>
  <c r="EF529" i="98"/>
  <c r="AT530" i="98"/>
  <c r="EJ530" i="98" s="1"/>
  <c r="AZ530" i="98"/>
  <c r="EP530" i="98" s="1"/>
  <c r="EM530" i="98"/>
  <c r="M531" i="98"/>
  <c r="AK531" i="98" s="1"/>
  <c r="AE531" i="98"/>
  <c r="AQ531" i="98" s="1"/>
  <c r="AD532" i="98"/>
  <c r="AP532" i="98" s="1"/>
  <c r="EG532" i="98"/>
  <c r="X534" i="98"/>
  <c r="EG534" i="98"/>
  <c r="AC535" i="98"/>
  <c r="AO535" i="98" s="1"/>
  <c r="EG537" i="98"/>
  <c r="P538" i="98"/>
  <c r="AN538" i="98" s="1"/>
  <c r="X539" i="98"/>
  <c r="AV539" i="98"/>
  <c r="EL539" i="98" s="1"/>
  <c r="AZ539" i="98"/>
  <c r="EP539" i="98" s="1"/>
  <c r="AC540" i="98"/>
  <c r="AO540" i="98" s="1"/>
  <c r="X541" i="98"/>
  <c r="AV541" i="98"/>
  <c r="EL541" i="98" s="1"/>
  <c r="O542" i="98"/>
  <c r="AM542" i="98" s="1"/>
  <c r="AE542" i="98"/>
  <c r="AQ542" i="98" s="1"/>
  <c r="EH542" i="98"/>
  <c r="M543" i="98"/>
  <c r="AK543" i="98" s="1"/>
  <c r="AV543" i="98"/>
  <c r="EL543" i="98" s="1"/>
  <c r="AZ543" i="98"/>
  <c r="EP543" i="98" s="1"/>
  <c r="AX545" i="98"/>
  <c r="EN545" i="98" s="1"/>
  <c r="EM545" i="98"/>
  <c r="M546" i="98"/>
  <c r="AK546" i="98" s="1"/>
  <c r="X547" i="98"/>
  <c r="AV547" i="98"/>
  <c r="EL547" i="98" s="1"/>
  <c r="EG548" i="98"/>
  <c r="U548" i="98"/>
  <c r="EF549" i="98"/>
  <c r="BJ549" i="98"/>
  <c r="W550" i="98"/>
  <c r="V550" i="98"/>
  <c r="X551" i="98"/>
  <c r="X552" i="98"/>
  <c r="BK552" i="98"/>
  <c r="EF552" i="98"/>
  <c r="AD553" i="98"/>
  <c r="AP553" i="98" s="1"/>
  <c r="AU553" i="98"/>
  <c r="EK553" i="98" s="1"/>
  <c r="AD554" i="98"/>
  <c r="AP554" i="98" s="1"/>
  <c r="EH554" i="98"/>
  <c r="P555" i="98"/>
  <c r="AN555" i="98" s="1"/>
  <c r="AV555" i="98"/>
  <c r="BH555" i="98" s="1"/>
  <c r="BI555" i="98"/>
  <c r="O556" i="98"/>
  <c r="AM556" i="98" s="1"/>
  <c r="EF556" i="98"/>
  <c r="AX557" i="98"/>
  <c r="EI557" i="98"/>
  <c r="V558" i="98"/>
  <c r="AT558" i="98"/>
  <c r="U559" i="98"/>
  <c r="EG560" i="98"/>
  <c r="P560" i="98"/>
  <c r="AN560" i="98" s="1"/>
  <c r="AV560" i="98"/>
  <c r="EL560" i="98" s="1"/>
  <c r="AV561" i="98"/>
  <c r="AU561" i="98"/>
  <c r="EK561" i="98" s="1"/>
  <c r="EI561" i="98"/>
  <c r="AC566" i="98"/>
  <c r="AO566" i="98" s="1"/>
  <c r="EV473" i="98"/>
  <c r="EV475" i="98"/>
  <c r="EI478" i="98"/>
  <c r="EO479" i="98"/>
  <c r="EM480" i="98"/>
  <c r="BH482" i="98"/>
  <c r="EM487" i="98"/>
  <c r="AV488" i="98"/>
  <c r="BH488" i="98" s="1"/>
  <c r="AZ488" i="98"/>
  <c r="BL488" i="98" s="1"/>
  <c r="W492" i="98"/>
  <c r="V492" i="98"/>
  <c r="N493" i="98"/>
  <c r="AL493" i="98" s="1"/>
  <c r="O493" i="98"/>
  <c r="AM493" i="98" s="1"/>
  <c r="EF493" i="98"/>
  <c r="EO494" i="98"/>
  <c r="M495" i="98"/>
  <c r="AK495" i="98" s="1"/>
  <c r="P496" i="98"/>
  <c r="AN496" i="98" s="1"/>
  <c r="EI496" i="98"/>
  <c r="AF497" i="98"/>
  <c r="AR497" i="98" s="1"/>
  <c r="AC497" i="98"/>
  <c r="AO497" i="98" s="1"/>
  <c r="W498" i="98"/>
  <c r="AV498" i="98"/>
  <c r="BH498" i="98" s="1"/>
  <c r="AZ498" i="98"/>
  <c r="BL498" i="98" s="1"/>
  <c r="W499" i="98"/>
  <c r="U499" i="98"/>
  <c r="V500" i="98"/>
  <c r="EK501" i="98"/>
  <c r="AF503" i="98"/>
  <c r="AR503" i="98" s="1"/>
  <c r="EM503" i="98"/>
  <c r="AC504" i="98"/>
  <c r="AO504" i="98" s="1"/>
  <c r="AD505" i="98"/>
  <c r="AP505" i="98" s="1"/>
  <c r="U506" i="98"/>
  <c r="EK507" i="98"/>
  <c r="U508" i="98"/>
  <c r="V509" i="98"/>
  <c r="P510" i="98"/>
  <c r="AN510" i="98" s="1"/>
  <c r="AE511" i="98"/>
  <c r="AQ511" i="98" s="1"/>
  <c r="BE511" i="98"/>
  <c r="EF511" i="98"/>
  <c r="O513" i="98"/>
  <c r="AM513" i="98" s="1"/>
  <c r="EG514" i="98"/>
  <c r="AD516" i="98"/>
  <c r="AP516" i="98" s="1"/>
  <c r="BJ516" i="98"/>
  <c r="N517" i="98"/>
  <c r="AL517" i="98" s="1"/>
  <c r="O517" i="98"/>
  <c r="AM517" i="98" s="1"/>
  <c r="V518" i="98"/>
  <c r="AV518" i="98"/>
  <c r="EL518" i="98" s="1"/>
  <c r="N519" i="98"/>
  <c r="AL519" i="98" s="1"/>
  <c r="O519" i="98"/>
  <c r="AM519" i="98" s="1"/>
  <c r="AE519" i="98"/>
  <c r="AQ519" i="98" s="1"/>
  <c r="AU520" i="98"/>
  <c r="AY520" i="98"/>
  <c r="EI520" i="98"/>
  <c r="EH521" i="98"/>
  <c r="AZ522" i="98"/>
  <c r="EP522" i="98" s="1"/>
  <c r="EM522" i="98"/>
  <c r="O527" i="98"/>
  <c r="AM527" i="98" s="1"/>
  <c r="AD528" i="98"/>
  <c r="AP528" i="98" s="1"/>
  <c r="O531" i="98"/>
  <c r="AM531" i="98" s="1"/>
  <c r="EI532" i="98"/>
  <c r="EI534" i="98"/>
  <c r="AE535" i="98"/>
  <c r="AQ535" i="98" s="1"/>
  <c r="EI537" i="98"/>
  <c r="EM539" i="98"/>
  <c r="AE540" i="98"/>
  <c r="AQ540" i="98" s="1"/>
  <c r="U543" i="98"/>
  <c r="EG544" i="98"/>
  <c r="AC544" i="98"/>
  <c r="AO544" i="98" s="1"/>
  <c r="EF545" i="98"/>
  <c r="N546" i="98"/>
  <c r="AL546" i="98" s="1"/>
  <c r="O546" i="98"/>
  <c r="AM546" i="98" s="1"/>
  <c r="EI547" i="98"/>
  <c r="AF548" i="98"/>
  <c r="AR548" i="98" s="1"/>
  <c r="AC548" i="98"/>
  <c r="AO548" i="98" s="1"/>
  <c r="V549" i="98"/>
  <c r="EI549" i="98"/>
  <c r="AE550" i="98"/>
  <c r="AQ550" i="98" s="1"/>
  <c r="AC550" i="98"/>
  <c r="AO550" i="98" s="1"/>
  <c r="U555" i="98"/>
  <c r="EG555" i="98"/>
  <c r="P556" i="98"/>
  <c r="AN556" i="98" s="1"/>
  <c r="EJ556" i="98"/>
  <c r="AY557" i="98"/>
  <c r="EO557" i="98" s="1"/>
  <c r="EJ557" i="98"/>
  <c r="EH558" i="98"/>
  <c r="X559" i="98"/>
  <c r="AF560" i="98"/>
  <c r="AR560" i="98" s="1"/>
  <c r="EK560" i="98"/>
  <c r="AT561" i="98"/>
  <c r="EL564" i="98"/>
  <c r="BH564" i="98"/>
  <c r="EO486" i="98"/>
  <c r="EI488" i="98"/>
  <c r="EI489" i="98"/>
  <c r="EO490" i="98"/>
  <c r="AD492" i="98"/>
  <c r="AP492" i="98" s="1"/>
  <c r="U493" i="98"/>
  <c r="N495" i="98"/>
  <c r="AL495" i="98" s="1"/>
  <c r="O495" i="98"/>
  <c r="AM495" i="98" s="1"/>
  <c r="AF498" i="98"/>
  <c r="AR498" i="98" s="1"/>
  <c r="EM498" i="98"/>
  <c r="AF499" i="98"/>
  <c r="AR499" i="98" s="1"/>
  <c r="AC499" i="98"/>
  <c r="AO499" i="98" s="1"/>
  <c r="N502" i="98"/>
  <c r="AL502" i="98" s="1"/>
  <c r="O502" i="98"/>
  <c r="AM502" i="98" s="1"/>
  <c r="EF502" i="98"/>
  <c r="EI505" i="98"/>
  <c r="AF506" i="98"/>
  <c r="AR506" i="98" s="1"/>
  <c r="AC506" i="98"/>
  <c r="AO506" i="98" s="1"/>
  <c r="AC508" i="98"/>
  <c r="AO508" i="98" s="1"/>
  <c r="AC510" i="98"/>
  <c r="AO510" i="98" s="1"/>
  <c r="EH511" i="98"/>
  <c r="EG512" i="98"/>
  <c r="EI514" i="98"/>
  <c r="AF515" i="98"/>
  <c r="AR515" i="98" s="1"/>
  <c r="AE515" i="98"/>
  <c r="AQ515" i="98" s="1"/>
  <c r="N516" i="98"/>
  <c r="AL516" i="98" s="1"/>
  <c r="U517" i="98"/>
  <c r="X518" i="98"/>
  <c r="EG518" i="98"/>
  <c r="P519" i="98"/>
  <c r="AN519" i="98" s="1"/>
  <c r="AD520" i="98"/>
  <c r="AP520" i="98" s="1"/>
  <c r="AV520" i="98"/>
  <c r="EL520" i="98" s="1"/>
  <c r="AZ520" i="98"/>
  <c r="EP520" i="98" s="1"/>
  <c r="V522" i="98"/>
  <c r="AY523" i="98"/>
  <c r="EO523" i="98" s="1"/>
  <c r="V524" i="98"/>
  <c r="AT524" i="98"/>
  <c r="EJ524" i="98" s="1"/>
  <c r="EI524" i="98"/>
  <c r="X526" i="98"/>
  <c r="EG526" i="98"/>
  <c r="AU527" i="98"/>
  <c r="AX528" i="98"/>
  <c r="EG528" i="98"/>
  <c r="X530" i="98"/>
  <c r="EG530" i="98"/>
  <c r="AU531" i="98"/>
  <c r="V532" i="98"/>
  <c r="AT532" i="98"/>
  <c r="EJ532" i="98" s="1"/>
  <c r="AZ532" i="98"/>
  <c r="EP532" i="98" s="1"/>
  <c r="EM532" i="98"/>
  <c r="AC533" i="98"/>
  <c r="AO533" i="98" s="1"/>
  <c r="EF533" i="98"/>
  <c r="AT534" i="98"/>
  <c r="EJ534" i="98" s="1"/>
  <c r="AZ534" i="98"/>
  <c r="EP534" i="98" s="1"/>
  <c r="EM534" i="98"/>
  <c r="EF535" i="98"/>
  <c r="AY536" i="98"/>
  <c r="EO536" i="98" s="1"/>
  <c r="EL536" i="98"/>
  <c r="AT537" i="98"/>
  <c r="EJ537" i="98" s="1"/>
  <c r="AC538" i="98"/>
  <c r="AO538" i="98" s="1"/>
  <c r="EF538" i="98"/>
  <c r="AT539" i="98"/>
  <c r="EJ539" i="98" s="1"/>
  <c r="AX539" i="98"/>
  <c r="EN539" i="98" s="1"/>
  <c r="AX541" i="98"/>
  <c r="EN541" i="98" s="1"/>
  <c r="EI541" i="98"/>
  <c r="EH543" i="98"/>
  <c r="AT543" i="98"/>
  <c r="EJ543" i="98" s="1"/>
  <c r="AX543" i="98"/>
  <c r="EN543" i="98" s="1"/>
  <c r="EI543" i="98"/>
  <c r="AF544" i="98"/>
  <c r="AR544" i="98" s="1"/>
  <c r="AE544" i="98"/>
  <c r="AQ544" i="98" s="1"/>
  <c r="W545" i="98"/>
  <c r="V545" i="98"/>
  <c r="EG545" i="98"/>
  <c r="V546" i="98"/>
  <c r="P546" i="98"/>
  <c r="AN546" i="98" s="1"/>
  <c r="EH547" i="98"/>
  <c r="AX547" i="98"/>
  <c r="EN547" i="98" s="1"/>
  <c r="EM547" i="98"/>
  <c r="AT549" i="98"/>
  <c r="BF549" i="98" s="1"/>
  <c r="EM549" i="98"/>
  <c r="M550" i="98"/>
  <c r="AK550" i="98" s="1"/>
  <c r="AD550" i="98"/>
  <c r="AP550" i="98" s="1"/>
  <c r="EH550" i="98"/>
  <c r="P551" i="98"/>
  <c r="AN551" i="98" s="1"/>
  <c r="AV551" i="98"/>
  <c r="EL551" i="98" s="1"/>
  <c r="O552" i="98"/>
  <c r="AM552" i="98" s="1"/>
  <c r="AU552" i="98"/>
  <c r="EK552" i="98" s="1"/>
  <c r="AX553" i="98"/>
  <c r="EI553" i="98"/>
  <c r="V554" i="98"/>
  <c r="X555" i="98"/>
  <c r="EN556" i="98"/>
  <c r="EM557" i="98"/>
  <c r="AX558" i="98"/>
  <c r="EN558" i="98" s="1"/>
  <c r="EI558" i="98"/>
  <c r="EG559" i="98"/>
  <c r="EO560" i="98"/>
  <c r="R157" i="1"/>
  <c r="EF561" i="98"/>
  <c r="O561" i="98"/>
  <c r="AM561" i="98" s="1"/>
  <c r="AE566" i="98"/>
  <c r="AQ566" i="98" s="1"/>
  <c r="V158" i="1"/>
  <c r="AD566" i="98"/>
  <c r="AP566" i="98" s="1"/>
  <c r="BI467" i="98"/>
  <c r="EP467" i="98"/>
  <c r="AY469" i="98"/>
  <c r="BK469" i="98" s="1"/>
  <c r="AY472" i="98"/>
  <c r="EO472" i="98" s="1"/>
  <c r="AY473" i="98"/>
  <c r="BK473" i="98" s="1"/>
  <c r="AY475" i="98"/>
  <c r="BK475" i="98" s="1"/>
  <c r="AZ477" i="98"/>
  <c r="BL477" i="98" s="1"/>
  <c r="EO477" i="98"/>
  <c r="EK479" i="98"/>
  <c r="AT480" i="98"/>
  <c r="BF480" i="98" s="1"/>
  <c r="AZ480" i="98"/>
  <c r="EP480" i="98" s="1"/>
  <c r="EM484" i="98"/>
  <c r="EM485" i="98"/>
  <c r="AV486" i="98"/>
  <c r="BH486" i="98" s="1"/>
  <c r="AZ486" i="98"/>
  <c r="BL486" i="98" s="1"/>
  <c r="EI486" i="98"/>
  <c r="AX487" i="98"/>
  <c r="BJ487" i="98" s="1"/>
  <c r="AT488" i="98"/>
  <c r="EJ488" i="98" s="1"/>
  <c r="AX488" i="98"/>
  <c r="EN488" i="98" s="1"/>
  <c r="AT489" i="98"/>
  <c r="BF489" i="98" s="1"/>
  <c r="AZ489" i="98"/>
  <c r="EP489" i="98" s="1"/>
  <c r="EM489" i="98"/>
  <c r="AV490" i="98"/>
  <c r="BH490" i="98" s="1"/>
  <c r="AZ490" i="98"/>
  <c r="BL490" i="98" s="1"/>
  <c r="EI490" i="98"/>
  <c r="AX492" i="98"/>
  <c r="BJ492" i="98" s="1"/>
  <c r="EI492" i="98"/>
  <c r="AF493" i="98"/>
  <c r="AR493" i="98" s="1"/>
  <c r="AC493" i="98"/>
  <c r="AO493" i="98" s="1"/>
  <c r="W494" i="98"/>
  <c r="AD494" i="98"/>
  <c r="AP494" i="98" s="1"/>
  <c r="AV494" i="98"/>
  <c r="BH494" i="98" s="1"/>
  <c r="AZ494" i="98"/>
  <c r="BL494" i="98" s="1"/>
  <c r="EK494" i="98"/>
  <c r="W495" i="98"/>
  <c r="U495" i="98"/>
  <c r="V496" i="98"/>
  <c r="AV496" i="98"/>
  <c r="EL496" i="98" s="1"/>
  <c r="N497" i="98"/>
  <c r="AL497" i="98" s="1"/>
  <c r="O497" i="98"/>
  <c r="AM497" i="98" s="1"/>
  <c r="EF497" i="98"/>
  <c r="V498" i="98"/>
  <c r="AT498" i="98"/>
  <c r="EJ498" i="98" s="1"/>
  <c r="AX498" i="98"/>
  <c r="EN498" i="98" s="1"/>
  <c r="EG498" i="98"/>
  <c r="AD499" i="98"/>
  <c r="AP499" i="98" s="1"/>
  <c r="EF499" i="98"/>
  <c r="AX500" i="98"/>
  <c r="BJ500" i="98" s="1"/>
  <c r="EI500" i="98"/>
  <c r="U502" i="98"/>
  <c r="P502" i="98"/>
  <c r="AN502" i="98" s="1"/>
  <c r="AU502" i="98"/>
  <c r="EK502" i="98" s="1"/>
  <c r="EH502" i="98"/>
  <c r="P503" i="98"/>
  <c r="AN503" i="98" s="1"/>
  <c r="AU503" i="98"/>
  <c r="AY503" i="98"/>
  <c r="EI503" i="98"/>
  <c r="AE504" i="98"/>
  <c r="AQ504" i="98" s="1"/>
  <c r="EH504" i="98"/>
  <c r="N505" i="98"/>
  <c r="AL505" i="98" s="1"/>
  <c r="AT505" i="98"/>
  <c r="BF505" i="98" s="1"/>
  <c r="AZ505" i="98"/>
  <c r="EP505" i="98" s="1"/>
  <c r="EM505" i="98"/>
  <c r="AE506" i="98"/>
  <c r="AQ506" i="98" s="1"/>
  <c r="AY506" i="98"/>
  <c r="EO506" i="98" s="1"/>
  <c r="EO507" i="98"/>
  <c r="AD508" i="98"/>
  <c r="AP508" i="98" s="1"/>
  <c r="AX509" i="98"/>
  <c r="BJ509" i="98" s="1"/>
  <c r="EI509" i="98"/>
  <c r="M510" i="98"/>
  <c r="AK510" i="98" s="1"/>
  <c r="AE510" i="98"/>
  <c r="AQ510" i="98" s="1"/>
  <c r="AY510" i="98"/>
  <c r="EO510" i="98" s="1"/>
  <c r="O511" i="98"/>
  <c r="AM511" i="98" s="1"/>
  <c r="AT512" i="98"/>
  <c r="EJ512" i="98" s="1"/>
  <c r="AZ512" i="98"/>
  <c r="EI512" i="98"/>
  <c r="EF513" i="98"/>
  <c r="EH515" i="98"/>
  <c r="EI516" i="98"/>
  <c r="AD517" i="98"/>
  <c r="AP517" i="98" s="1"/>
  <c r="AC517" i="98"/>
  <c r="AO517" i="98" s="1"/>
  <c r="EI518" i="98"/>
  <c r="BG519" i="98"/>
  <c r="EM520" i="98"/>
  <c r="AV524" i="98"/>
  <c r="EL524" i="98" s="1"/>
  <c r="EI526" i="98"/>
  <c r="AC527" i="98"/>
  <c r="AO527" i="98" s="1"/>
  <c r="EH527" i="98"/>
  <c r="AZ528" i="98"/>
  <c r="EP528" i="98" s="1"/>
  <c r="EI528" i="98"/>
  <c r="EI530" i="98"/>
  <c r="AC531" i="98"/>
  <c r="AO531" i="98" s="1"/>
  <c r="EH531" i="98"/>
  <c r="X532" i="98"/>
  <c r="AV532" i="98"/>
  <c r="EL532" i="98" s="1"/>
  <c r="O533" i="98"/>
  <c r="AM533" i="98" s="1"/>
  <c r="AE533" i="98"/>
  <c r="AQ533" i="98" s="1"/>
  <c r="EH533" i="98"/>
  <c r="AV534" i="98"/>
  <c r="EL534" i="98" s="1"/>
  <c r="AU535" i="98"/>
  <c r="EK535" i="98" s="1"/>
  <c r="EH535" i="98"/>
  <c r="X537" i="98"/>
  <c r="AV537" i="98"/>
  <c r="EL537" i="98" s="1"/>
  <c r="O538" i="98"/>
  <c r="AM538" i="98" s="1"/>
  <c r="AE538" i="98"/>
  <c r="AQ538" i="98" s="1"/>
  <c r="EH538" i="98"/>
  <c r="V539" i="98"/>
  <c r="AU539" i="98"/>
  <c r="AY539" i="98"/>
  <c r="EI539" i="98"/>
  <c r="O540" i="98"/>
  <c r="AM540" i="98" s="1"/>
  <c r="AU540" i="98"/>
  <c r="EK540" i="98" s="1"/>
  <c r="EH540" i="98"/>
  <c r="AT541" i="98"/>
  <c r="EJ541" i="98" s="1"/>
  <c r="AZ541" i="98"/>
  <c r="EP541" i="98" s="1"/>
  <c r="EM541" i="98"/>
  <c r="AC542" i="98"/>
  <c r="AO542" i="98" s="1"/>
  <c r="EF542" i="98"/>
  <c r="AU543" i="98"/>
  <c r="EK543" i="98" s="1"/>
  <c r="AY543" i="98"/>
  <c r="EO543" i="98" s="1"/>
  <c r="EM543" i="98"/>
  <c r="X545" i="98"/>
  <c r="EI545" i="98"/>
  <c r="AD546" i="98"/>
  <c r="AP546" i="98" s="1"/>
  <c r="AE546" i="98"/>
  <c r="AQ546" i="98" s="1"/>
  <c r="AY546" i="98"/>
  <c r="EO546" i="98" s="1"/>
  <c r="V547" i="98"/>
  <c r="AT547" i="98"/>
  <c r="EJ547" i="98" s="1"/>
  <c r="AZ547" i="98"/>
  <c r="EP547" i="98" s="1"/>
  <c r="O548" i="98"/>
  <c r="AM548" i="98" s="1"/>
  <c r="AU549" i="98"/>
  <c r="EK549" i="98" s="1"/>
  <c r="U551" i="98"/>
  <c r="AV552" i="98"/>
  <c r="EL552" i="98" s="1"/>
  <c r="M560" i="98"/>
  <c r="AK560" i="98" s="1"/>
  <c r="O560" i="98"/>
  <c r="AM560" i="98" s="1"/>
  <c r="W561" i="98"/>
  <c r="T157" i="1"/>
  <c r="BJ561" i="98"/>
  <c r="EN561" i="98"/>
  <c r="AF565" i="98"/>
  <c r="AR565" i="98" s="1"/>
  <c r="AE565" i="98"/>
  <c r="AQ565" i="98" s="1"/>
  <c r="AY566" i="98"/>
  <c r="AX566" i="98"/>
  <c r="EN566" i="98" s="1"/>
  <c r="EM566" i="98"/>
  <c r="EG567" i="98"/>
  <c r="U567" i="98"/>
  <c r="EK600" i="98"/>
  <c r="BG600" i="98"/>
  <c r="AF561" i="98"/>
  <c r="AR561" i="98" s="1"/>
  <c r="V157" i="1"/>
  <c r="AE561" i="98"/>
  <c r="AQ561" i="98" s="1"/>
  <c r="O564" i="98"/>
  <c r="AM564" i="98" s="1"/>
  <c r="AX564" i="98"/>
  <c r="EO564" i="98"/>
  <c r="O565" i="98"/>
  <c r="AM565" i="98" s="1"/>
  <c r="AX565" i="98"/>
  <c r="EI565" i="98"/>
  <c r="O158" i="1"/>
  <c r="BI158" i="1"/>
  <c r="BF158" i="1"/>
  <c r="BH158" i="1"/>
  <c r="BG158" i="1"/>
  <c r="P567" i="98"/>
  <c r="AN567" i="98" s="1"/>
  <c r="EH567" i="98"/>
  <c r="AY568" i="98"/>
  <c r="EK568" i="98"/>
  <c r="EN569" i="98"/>
  <c r="AD570" i="98"/>
  <c r="AP570" i="98" s="1"/>
  <c r="AX570" i="98"/>
  <c r="EN570" i="98" s="1"/>
  <c r="EI570" i="98"/>
  <c r="BM160" i="1"/>
  <c r="BK160" i="1"/>
  <c r="BJ160" i="1"/>
  <c r="BL160" i="1"/>
  <c r="AC571" i="98"/>
  <c r="AO571" i="98" s="1"/>
  <c r="AV572" i="98"/>
  <c r="EL572" i="98" s="1"/>
  <c r="AZ572" i="98"/>
  <c r="EP572" i="98" s="1"/>
  <c r="AF573" i="98"/>
  <c r="AR573" i="98" s="1"/>
  <c r="V161" i="1"/>
  <c r="AD573" i="98"/>
  <c r="AP573" i="98" s="1"/>
  <c r="AU573" i="98"/>
  <c r="EK573" i="98" s="1"/>
  <c r="EM573" i="98"/>
  <c r="BK162" i="1"/>
  <c r="BJ162" i="1"/>
  <c r="BM162" i="1"/>
  <c r="BL162" i="1"/>
  <c r="BF574" i="98"/>
  <c r="O576" i="98"/>
  <c r="AM576" i="98" s="1"/>
  <c r="EF576" i="98"/>
  <c r="EK576" i="98"/>
  <c r="O577" i="98"/>
  <c r="AM577" i="98" s="1"/>
  <c r="EH577" i="98"/>
  <c r="EN577" i="98"/>
  <c r="EM581" i="98"/>
  <c r="P582" i="98"/>
  <c r="AN582" i="98" s="1"/>
  <c r="X583" i="98"/>
  <c r="EF583" i="98"/>
  <c r="AT584" i="98"/>
  <c r="AY584" i="98"/>
  <c r="EO584" i="98" s="1"/>
  <c r="EI584" i="98"/>
  <c r="U585" i="98"/>
  <c r="EM585" i="98"/>
  <c r="P587" i="98"/>
  <c r="AN587" i="98" s="1"/>
  <c r="AT587" i="98"/>
  <c r="AX587" i="98"/>
  <c r="EG587" i="98"/>
  <c r="EM587" i="98"/>
  <c r="AD589" i="98"/>
  <c r="AP589" i="98" s="1"/>
  <c r="AU589" i="98"/>
  <c r="EI589" i="98"/>
  <c r="U590" i="98"/>
  <c r="AD590" i="98"/>
  <c r="AP590" i="98" s="1"/>
  <c r="EF591" i="98"/>
  <c r="R167" i="1"/>
  <c r="P591" i="98"/>
  <c r="AN591" i="98" s="1"/>
  <c r="W592" i="98"/>
  <c r="U592" i="98"/>
  <c r="P593" i="98"/>
  <c r="AN593" i="98" s="1"/>
  <c r="AU593" i="98"/>
  <c r="AY593" i="98"/>
  <c r="EG593" i="98"/>
  <c r="EM593" i="98"/>
  <c r="W594" i="98"/>
  <c r="AT594" i="98"/>
  <c r="AY594" i="98"/>
  <c r="EO594" i="98" s="1"/>
  <c r="EI594" i="98"/>
  <c r="N595" i="98"/>
  <c r="AL595" i="98" s="1"/>
  <c r="AC595" i="98"/>
  <c r="AO595" i="98" s="1"/>
  <c r="P596" i="98"/>
  <c r="EH596" i="98"/>
  <c r="BI598" i="98"/>
  <c r="EP598" i="98"/>
  <c r="P599" i="98"/>
  <c r="AN599" i="98" s="1"/>
  <c r="AC599" i="98"/>
  <c r="AO599" i="98" s="1"/>
  <c r="AV599" i="98"/>
  <c r="EI599" i="98"/>
  <c r="O600" i="98"/>
  <c r="AM600" i="98" s="1"/>
  <c r="X600" i="98"/>
  <c r="AV600" i="98"/>
  <c r="V601" i="98"/>
  <c r="AU601" i="98"/>
  <c r="AY601" i="98"/>
  <c r="BJ601" i="98"/>
  <c r="EI601" i="98"/>
  <c r="EI602" i="98"/>
  <c r="X603" i="98"/>
  <c r="AX603" i="98"/>
  <c r="EG603" i="98"/>
  <c r="EL604" i="98"/>
  <c r="O605" i="98"/>
  <c r="AM605" i="98" s="1"/>
  <c r="EI605" i="98"/>
  <c r="EN605" i="98"/>
  <c r="AE606" i="98"/>
  <c r="AQ606" i="98" s="1"/>
  <c r="BK606" i="98"/>
  <c r="EM606" i="98"/>
  <c r="U607" i="98"/>
  <c r="AD607" i="98"/>
  <c r="AP607" i="98" s="1"/>
  <c r="BI607" i="98"/>
  <c r="EG607" i="98"/>
  <c r="AY608" i="98"/>
  <c r="EO608" i="98" s="1"/>
  <c r="AE609" i="98"/>
  <c r="AQ609" i="98" s="1"/>
  <c r="BK609" i="98"/>
  <c r="EM609" i="98"/>
  <c r="V610" i="98"/>
  <c r="EH610" i="98"/>
  <c r="U611" i="98"/>
  <c r="X612" i="98"/>
  <c r="EG612" i="98"/>
  <c r="AC613" i="98"/>
  <c r="AO613" i="98" s="1"/>
  <c r="V614" i="98"/>
  <c r="EG614" i="98"/>
  <c r="AU615" i="98"/>
  <c r="BH615" i="98"/>
  <c r="EF615" i="98"/>
  <c r="AF618" i="98"/>
  <c r="AR618" i="98" s="1"/>
  <c r="AD618" i="98"/>
  <c r="AP618" i="98" s="1"/>
  <c r="V187" i="1"/>
  <c r="V199" i="1" s="1"/>
  <c r="BJ171" i="1"/>
  <c r="BK171" i="1"/>
  <c r="BL171" i="1"/>
  <c r="BM171" i="1"/>
  <c r="X619" i="98"/>
  <c r="EG619" i="98"/>
  <c r="X620" i="98"/>
  <c r="AU620" i="98"/>
  <c r="EK620" i="98" s="1"/>
  <c r="AZ620" i="98"/>
  <c r="EP620" i="98" s="1"/>
  <c r="AD621" i="98"/>
  <c r="AP621" i="98" s="1"/>
  <c r="AU621" i="98"/>
  <c r="AY621" i="98"/>
  <c r="EO621" i="98" s="1"/>
  <c r="BJ621" i="98"/>
  <c r="U622" i="98"/>
  <c r="AE622" i="98"/>
  <c r="AQ622" i="98" s="1"/>
  <c r="V623" i="98"/>
  <c r="AY624" i="98"/>
  <c r="EH625" i="98"/>
  <c r="AD625" i="98"/>
  <c r="AP625" i="98" s="1"/>
  <c r="EF625" i="98"/>
  <c r="EJ565" i="98"/>
  <c r="W566" i="98"/>
  <c r="T158" i="1"/>
  <c r="V566" i="98"/>
  <c r="BF566" i="98"/>
  <c r="P569" i="98"/>
  <c r="AN569" i="98" s="1"/>
  <c r="R159" i="1"/>
  <c r="O569" i="98"/>
  <c r="AM569" i="98" s="1"/>
  <c r="EI569" i="98"/>
  <c r="U570" i="98"/>
  <c r="O572" i="98"/>
  <c r="AM572" i="98" s="1"/>
  <c r="EF572" i="98"/>
  <c r="EN572" i="98"/>
  <c r="EN573" i="98"/>
  <c r="AC577" i="98"/>
  <c r="AO577" i="98" s="1"/>
  <c r="O579" i="98"/>
  <c r="AM579" i="98" s="1"/>
  <c r="EF579" i="98"/>
  <c r="BK580" i="98"/>
  <c r="EG581" i="98"/>
  <c r="V581" i="98"/>
  <c r="BF581" i="98"/>
  <c r="U582" i="98"/>
  <c r="AD584" i="98"/>
  <c r="AP584" i="98" s="1"/>
  <c r="V585" i="98"/>
  <c r="BF585" i="98"/>
  <c r="EF586" i="98"/>
  <c r="EI587" i="98"/>
  <c r="EH588" i="98"/>
  <c r="V166" i="1"/>
  <c r="O166" i="1" s="1"/>
  <c r="AD588" i="98"/>
  <c r="AP588" i="98" s="1"/>
  <c r="V590" i="98"/>
  <c r="EG591" i="98"/>
  <c r="T167" i="1"/>
  <c r="U591" i="98"/>
  <c r="AV593" i="98"/>
  <c r="AZ593" i="98"/>
  <c r="EP593" i="98" s="1"/>
  <c r="EI593" i="98"/>
  <c r="AF594" i="98"/>
  <c r="AR594" i="98" s="1"/>
  <c r="AD594" i="98"/>
  <c r="AP594" i="98" s="1"/>
  <c r="W595" i="98"/>
  <c r="U595" i="98"/>
  <c r="AD595" i="98"/>
  <c r="AP595" i="98" s="1"/>
  <c r="U596" i="98"/>
  <c r="BJ598" i="98"/>
  <c r="U599" i="98"/>
  <c r="AF599" i="98"/>
  <c r="AR599" i="98" s="1"/>
  <c r="EK599" i="98"/>
  <c r="P600" i="98"/>
  <c r="AN600" i="98" s="1"/>
  <c r="AF600" i="98"/>
  <c r="AR600" i="98" s="1"/>
  <c r="BE600" i="98"/>
  <c r="EF600" i="98"/>
  <c r="EJ601" i="98"/>
  <c r="EI603" i="98"/>
  <c r="BH605" i="98"/>
  <c r="EJ605" i="98"/>
  <c r="N606" i="98"/>
  <c r="AL606" i="98" s="1"/>
  <c r="EH607" i="98"/>
  <c r="BL608" i="98"/>
  <c r="N609" i="98"/>
  <c r="AL609" i="98" s="1"/>
  <c r="X610" i="98"/>
  <c r="O612" i="98"/>
  <c r="AM612" i="98" s="1"/>
  <c r="AE620" i="98"/>
  <c r="AQ620" i="98" s="1"/>
  <c r="V622" i="98"/>
  <c r="AF626" i="98"/>
  <c r="AR626" i="98" s="1"/>
  <c r="AD626" i="98"/>
  <c r="AP626" i="98" s="1"/>
  <c r="AE626" i="98"/>
  <c r="AQ626" i="98" s="1"/>
  <c r="W569" i="98"/>
  <c r="EJ569" i="98"/>
  <c r="V570" i="98"/>
  <c r="BF570" i="98"/>
  <c r="N571" i="98"/>
  <c r="AL571" i="98" s="1"/>
  <c r="R160" i="1"/>
  <c r="EG572" i="98"/>
  <c r="P573" i="98"/>
  <c r="AN573" i="98" s="1"/>
  <c r="R161" i="1"/>
  <c r="O573" i="98"/>
  <c r="AM573" i="98" s="1"/>
  <c r="EI573" i="98"/>
  <c r="O162" i="1"/>
  <c r="BF162" i="1"/>
  <c r="BI162" i="1"/>
  <c r="BG162" i="1"/>
  <c r="BH162" i="1"/>
  <c r="AD577" i="98"/>
  <c r="AP577" i="98" s="1"/>
  <c r="P579" i="98"/>
  <c r="AN579" i="98" s="1"/>
  <c r="AF581" i="98"/>
  <c r="AR581" i="98" s="1"/>
  <c r="AC581" i="98"/>
  <c r="AO581" i="98" s="1"/>
  <c r="EH581" i="98"/>
  <c r="X582" i="98"/>
  <c r="EG582" i="98"/>
  <c r="EK583" i="98"/>
  <c r="EM584" i="98"/>
  <c r="AC585" i="98"/>
  <c r="AO585" i="98" s="1"/>
  <c r="EH585" i="98"/>
  <c r="W586" i="98"/>
  <c r="X586" i="98"/>
  <c r="EG586" i="98"/>
  <c r="BJ167" i="1"/>
  <c r="BL167" i="1"/>
  <c r="BM167" i="1"/>
  <c r="BK167" i="1"/>
  <c r="EM594" i="98"/>
  <c r="AF595" i="98"/>
  <c r="AR595" i="98" s="1"/>
  <c r="EI595" i="98"/>
  <c r="BK598" i="98"/>
  <c r="EG599" i="98"/>
  <c r="U600" i="98"/>
  <c r="AY600" i="98"/>
  <c r="EG600" i="98"/>
  <c r="EF601" i="98"/>
  <c r="AD602" i="98"/>
  <c r="AP602" i="98" s="1"/>
  <c r="BF602" i="98"/>
  <c r="U603" i="98"/>
  <c r="AT603" i="98"/>
  <c r="O604" i="98"/>
  <c r="AM604" i="98" s="1"/>
  <c r="AC604" i="98"/>
  <c r="AO604" i="98" s="1"/>
  <c r="EF604" i="98"/>
  <c r="BL605" i="98"/>
  <c r="EK605" i="98"/>
  <c r="AC606" i="98"/>
  <c r="AO606" i="98" s="1"/>
  <c r="AT606" i="98"/>
  <c r="EJ606" i="98" s="1"/>
  <c r="EH606" i="98"/>
  <c r="X607" i="98"/>
  <c r="EJ608" i="98"/>
  <c r="EN608" i="98"/>
  <c r="AC609" i="98"/>
  <c r="AO609" i="98" s="1"/>
  <c r="AT609" i="98"/>
  <c r="EJ609" i="98" s="1"/>
  <c r="EH609" i="98"/>
  <c r="O611" i="98"/>
  <c r="AM611" i="98" s="1"/>
  <c r="EF611" i="98"/>
  <c r="V612" i="98"/>
  <c r="AE613" i="98"/>
  <c r="AQ613" i="98" s="1"/>
  <c r="P615" i="98"/>
  <c r="AN615" i="98" s="1"/>
  <c r="EF619" i="98"/>
  <c r="R171" i="1"/>
  <c r="P620" i="98"/>
  <c r="AN620" i="98" s="1"/>
  <c r="BH620" i="98"/>
  <c r="EI621" i="98"/>
  <c r="AC622" i="98"/>
  <c r="AO622" i="98" s="1"/>
  <c r="EH622" i="98"/>
  <c r="P623" i="98"/>
  <c r="AN623" i="98" s="1"/>
  <c r="AC623" i="98"/>
  <c r="AO623" i="98" s="1"/>
  <c r="EG623" i="98"/>
  <c r="P624" i="98"/>
  <c r="AN624" i="98" s="1"/>
  <c r="EF624" i="98"/>
  <c r="EH626" i="98"/>
  <c r="EF565" i="98"/>
  <c r="EI566" i="98"/>
  <c r="EG568" i="98"/>
  <c r="AU569" i="98"/>
  <c r="EK569" i="98" s="1"/>
  <c r="EM569" i="98"/>
  <c r="AC570" i="98"/>
  <c r="AO570" i="98" s="1"/>
  <c r="V571" i="98"/>
  <c r="T160" i="1"/>
  <c r="X571" i="98"/>
  <c r="AU572" i="98"/>
  <c r="AY572" i="98"/>
  <c r="EJ572" i="98"/>
  <c r="W573" i="98"/>
  <c r="AT573" i="98"/>
  <c r="AY573" i="98"/>
  <c r="EO573" i="98" s="1"/>
  <c r="W574" i="98"/>
  <c r="T162" i="1"/>
  <c r="V574" i="98"/>
  <c r="EM574" i="98"/>
  <c r="AV576" i="98"/>
  <c r="EL576" i="98" s="1"/>
  <c r="AZ576" i="98"/>
  <c r="EP576" i="98" s="1"/>
  <c r="EJ576" i="98"/>
  <c r="EO576" i="98"/>
  <c r="AE577" i="98"/>
  <c r="AQ577" i="98" s="1"/>
  <c r="EM577" i="98"/>
  <c r="U579" i="98"/>
  <c r="EH579" i="98"/>
  <c r="W580" i="98"/>
  <c r="AV580" i="98"/>
  <c r="EL580" i="98" s="1"/>
  <c r="AZ580" i="98"/>
  <c r="EP580" i="98" s="1"/>
  <c r="EM580" i="98"/>
  <c r="AD581" i="98"/>
  <c r="AP581" i="98" s="1"/>
  <c r="AX581" i="98"/>
  <c r="EN581" i="98" s="1"/>
  <c r="EI581" i="98"/>
  <c r="AC582" i="98"/>
  <c r="AO582" i="98" s="1"/>
  <c r="BH165" i="1"/>
  <c r="BG165" i="1"/>
  <c r="BF165" i="1"/>
  <c r="BI165" i="1"/>
  <c r="P583" i="98"/>
  <c r="AN583" i="98" s="1"/>
  <c r="AV583" i="98"/>
  <c r="EO583" i="98"/>
  <c r="O584" i="98"/>
  <c r="AM584" i="98" s="1"/>
  <c r="AX584" i="98"/>
  <c r="AD585" i="98"/>
  <c r="AP585" i="98" s="1"/>
  <c r="AX585" i="98"/>
  <c r="EN585" i="98" s="1"/>
  <c r="EI585" i="98"/>
  <c r="AC586" i="98"/>
  <c r="AO586" i="98" s="1"/>
  <c r="EH586" i="98"/>
  <c r="O587" i="98"/>
  <c r="AM587" i="98" s="1"/>
  <c r="EF587" i="98"/>
  <c r="EK587" i="98"/>
  <c r="BH166" i="1"/>
  <c r="BF166" i="1"/>
  <c r="BG166" i="1"/>
  <c r="BI166" i="1"/>
  <c r="O588" i="98"/>
  <c r="AM588" i="98" s="1"/>
  <c r="AC589" i="98"/>
  <c r="AO589" i="98" s="1"/>
  <c r="AT589" i="98"/>
  <c r="AY589" i="98"/>
  <c r="EO589" i="98" s="1"/>
  <c r="EH589" i="98"/>
  <c r="EN589" i="98"/>
  <c r="AC590" i="98"/>
  <c r="AO590" i="98" s="1"/>
  <c r="EH590" i="98"/>
  <c r="O591" i="98"/>
  <c r="AM591" i="98" s="1"/>
  <c r="AC591" i="98"/>
  <c r="AO591" i="98" s="1"/>
  <c r="N592" i="98"/>
  <c r="AL592" i="98" s="1"/>
  <c r="P592" i="98"/>
  <c r="AN592" i="98" s="1"/>
  <c r="EH592" i="98"/>
  <c r="O593" i="98"/>
  <c r="AM593" i="98" s="1"/>
  <c r="AT593" i="98"/>
  <c r="AX593" i="98"/>
  <c r="EF593" i="98"/>
  <c r="O594" i="98"/>
  <c r="AM594" i="98" s="1"/>
  <c r="AX594" i="98"/>
  <c r="EH594" i="98"/>
  <c r="X595" i="98"/>
  <c r="AT595" i="98"/>
  <c r="EM595" i="98"/>
  <c r="AC596" i="98"/>
  <c r="AO596" i="98" s="1"/>
  <c r="EG596" i="98"/>
  <c r="BF598" i="98"/>
  <c r="EM598" i="98"/>
  <c r="X599" i="98"/>
  <c r="AT599" i="98"/>
  <c r="BE599" i="98"/>
  <c r="EH599" i="98"/>
  <c r="W600" i="98"/>
  <c r="AZ600" i="98"/>
  <c r="P601" i="98"/>
  <c r="AN601" i="98" s="1"/>
  <c r="AD606" i="98"/>
  <c r="AP606" i="98" s="1"/>
  <c r="EI606" i="98"/>
  <c r="AC607" i="98"/>
  <c r="AO607" i="98" s="1"/>
  <c r="AD609" i="98"/>
  <c r="AP609" i="98" s="1"/>
  <c r="AU609" i="98"/>
  <c r="EI609" i="98"/>
  <c r="U610" i="98"/>
  <c r="EG610" i="98"/>
  <c r="P611" i="98"/>
  <c r="AN611" i="98" s="1"/>
  <c r="U614" i="98"/>
  <c r="EG618" i="98"/>
  <c r="W619" i="98"/>
  <c r="T171" i="1"/>
  <c r="T187" i="1" s="1"/>
  <c r="T199" i="1" s="1"/>
  <c r="V619" i="98"/>
  <c r="O620" i="98"/>
  <c r="AM620" i="98" s="1"/>
  <c r="EF620" i="98"/>
  <c r="EG624" i="98"/>
  <c r="X624" i="98"/>
  <c r="EK624" i="98"/>
  <c r="BH649" i="98"/>
  <c r="EL649" i="98"/>
  <c r="EI626" i="98"/>
  <c r="BH628" i="98"/>
  <c r="AE629" i="98"/>
  <c r="AQ629" i="98" s="1"/>
  <c r="EF629" i="98"/>
  <c r="AD630" i="98"/>
  <c r="AP630" i="98" s="1"/>
  <c r="AU630" i="98"/>
  <c r="EK630" i="98" s="1"/>
  <c r="AY630" i="98"/>
  <c r="EO630" i="98" s="1"/>
  <c r="BJ630" i="98"/>
  <c r="U632" i="98"/>
  <c r="AE633" i="98"/>
  <c r="AQ633" i="98" s="1"/>
  <c r="BJ633" i="98"/>
  <c r="EG635" i="98"/>
  <c r="P636" i="98"/>
  <c r="AN636" i="98" s="1"/>
  <c r="AU636" i="98"/>
  <c r="AZ636" i="98"/>
  <c r="EP636" i="98" s="1"/>
  <c r="AE637" i="98"/>
  <c r="AQ637" i="98" s="1"/>
  <c r="AC638" i="98"/>
  <c r="AO638" i="98" s="1"/>
  <c r="U639" i="98"/>
  <c r="AV639" i="98"/>
  <c r="EL639" i="98" s="1"/>
  <c r="AV640" i="98"/>
  <c r="EL640" i="98" s="1"/>
  <c r="V641" i="98"/>
  <c r="AT641" i="98"/>
  <c r="AY641" i="98"/>
  <c r="EO641" i="98" s="1"/>
  <c r="EM641" i="98"/>
  <c r="V642" i="98"/>
  <c r="AU644" i="98"/>
  <c r="AV645" i="98"/>
  <c r="AZ645" i="98"/>
  <c r="EM645" i="98"/>
  <c r="AE647" i="98"/>
  <c r="AQ647" i="98" s="1"/>
  <c r="EI647" i="98"/>
  <c r="W649" i="98"/>
  <c r="T177" i="1"/>
  <c r="X649" i="98"/>
  <c r="O180" i="1"/>
  <c r="BI180" i="1"/>
  <c r="BG180" i="1"/>
  <c r="BH180" i="1"/>
  <c r="BF180" i="1"/>
  <c r="P652" i="98"/>
  <c r="AN652" i="98" s="1"/>
  <c r="EK652" i="98"/>
  <c r="BK181" i="1"/>
  <c r="BM181" i="1"/>
  <c r="BJ181" i="1"/>
  <c r="BL181" i="1"/>
  <c r="AC653" i="98"/>
  <c r="AO653" i="98" s="1"/>
  <c r="AT654" i="98"/>
  <c r="AX654" i="98"/>
  <c r="EN654" i="98" s="1"/>
  <c r="EM654" i="98"/>
  <c r="X656" i="98"/>
  <c r="AV656" i="98"/>
  <c r="EL656" i="98" s="1"/>
  <c r="EK656" i="98"/>
  <c r="BI184" i="1"/>
  <c r="BG184" i="1"/>
  <c r="BH184" i="1"/>
  <c r="BF184" i="1"/>
  <c r="BE658" i="98"/>
  <c r="AX658" i="98"/>
  <c r="EN658" i="98" s="1"/>
  <c r="EI658" i="98"/>
  <c r="AU659" i="98"/>
  <c r="EK659" i="98" s="1"/>
  <c r="EF660" i="98"/>
  <c r="AT660" i="98"/>
  <c r="EJ660" i="98" s="1"/>
  <c r="AZ660" i="98"/>
  <c r="EP660" i="98" s="1"/>
  <c r="EI660" i="98"/>
  <c r="O661" i="98"/>
  <c r="AM661" i="98" s="1"/>
  <c r="AX661" i="98"/>
  <c r="EI661" i="98"/>
  <c r="BJ663" i="98"/>
  <c r="EI663" i="98"/>
  <c r="U666" i="98"/>
  <c r="EG666" i="98"/>
  <c r="X666" i="98"/>
  <c r="AU666" i="98"/>
  <c r="AV667" i="98"/>
  <c r="AU667" i="98"/>
  <c r="EK667" i="98" s="1"/>
  <c r="EK673" i="98"/>
  <c r="BG673" i="98"/>
  <c r="X632" i="98"/>
  <c r="BJ637" i="98"/>
  <c r="AD638" i="98"/>
  <c r="AP638" i="98" s="1"/>
  <c r="X639" i="98"/>
  <c r="N644" i="98"/>
  <c r="AL644" i="98" s="1"/>
  <c r="R174" i="1"/>
  <c r="BJ177" i="1"/>
  <c r="BM177" i="1"/>
  <c r="BL177" i="1"/>
  <c r="BK177" i="1"/>
  <c r="W652" i="98"/>
  <c r="T180" i="1"/>
  <c r="V652" i="98"/>
  <c r="BF652" i="98"/>
  <c r="N654" i="98"/>
  <c r="AL654" i="98" s="1"/>
  <c r="R182" i="1"/>
  <c r="AU654" i="98"/>
  <c r="AY654" i="98"/>
  <c r="EM656" i="98"/>
  <c r="V658" i="98"/>
  <c r="AZ658" i="98"/>
  <c r="EP658" i="98" s="1"/>
  <c r="EM658" i="98"/>
  <c r="W660" i="98"/>
  <c r="X660" i="98"/>
  <c r="AV660" i="98"/>
  <c r="EL660" i="98" s="1"/>
  <c r="AZ661" i="98"/>
  <c r="EP661" i="98" s="1"/>
  <c r="EM661" i="98"/>
  <c r="N662" i="98"/>
  <c r="AL662" i="98" s="1"/>
  <c r="BG662" i="98"/>
  <c r="AY665" i="98"/>
  <c r="EO665" i="98" s="1"/>
  <c r="BI665" i="98"/>
  <c r="BI666" i="98"/>
  <c r="AZ666" i="98"/>
  <c r="EP666" i="98" s="1"/>
  <c r="AX666" i="98"/>
  <c r="AZ667" i="98"/>
  <c r="AY667" i="98"/>
  <c r="EO667" i="98" s="1"/>
  <c r="V626" i="98"/>
  <c r="AU629" i="98"/>
  <c r="AZ629" i="98"/>
  <c r="EP629" i="98" s="1"/>
  <c r="EM630" i="98"/>
  <c r="V631" i="98"/>
  <c r="AT633" i="98"/>
  <c r="EJ633" i="98" s="1"/>
  <c r="AY633" i="98"/>
  <c r="EO633" i="98" s="1"/>
  <c r="EI633" i="98"/>
  <c r="U635" i="98"/>
  <c r="AE636" i="98"/>
  <c r="AQ636" i="98" s="1"/>
  <c r="EF636" i="98"/>
  <c r="V637" i="98"/>
  <c r="AT637" i="98"/>
  <c r="EJ637" i="98" s="1"/>
  <c r="AY637" i="98"/>
  <c r="EO637" i="98" s="1"/>
  <c r="EI637" i="98"/>
  <c r="AZ639" i="98"/>
  <c r="EP639" i="98" s="1"/>
  <c r="AY640" i="98"/>
  <c r="EO640" i="98" s="1"/>
  <c r="AE641" i="98"/>
  <c r="AQ641" i="98" s="1"/>
  <c r="AD642" i="98"/>
  <c r="AP642" i="98" s="1"/>
  <c r="EK643" i="98"/>
  <c r="X644" i="98"/>
  <c r="EF644" i="98"/>
  <c r="AT645" i="98"/>
  <c r="AX645" i="98"/>
  <c r="EI645" i="98"/>
  <c r="O646" i="98"/>
  <c r="AM646" i="98" s="1"/>
  <c r="AT647" i="98"/>
  <c r="EJ647" i="98" s="1"/>
  <c r="AY647" i="98"/>
  <c r="AV650" i="98"/>
  <c r="EL650" i="98" s="1"/>
  <c r="AT651" i="98"/>
  <c r="BL180" i="1"/>
  <c r="BM180" i="1"/>
  <c r="BK180" i="1"/>
  <c r="BJ180" i="1"/>
  <c r="X652" i="98"/>
  <c r="EG652" i="98"/>
  <c r="EO652" i="98"/>
  <c r="N653" i="98"/>
  <c r="AL653" i="98" s="1"/>
  <c r="R181" i="1"/>
  <c r="U653" i="98"/>
  <c r="X654" i="98"/>
  <c r="AV654" i="98"/>
  <c r="AZ654" i="98"/>
  <c r="EP654" i="98" s="1"/>
  <c r="EI654" i="98"/>
  <c r="AX656" i="98"/>
  <c r="EG656" i="98"/>
  <c r="X658" i="98"/>
  <c r="AD660" i="98"/>
  <c r="AP660" i="98" s="1"/>
  <c r="AD661" i="98"/>
  <c r="AP661" i="98" s="1"/>
  <c r="AV661" i="98"/>
  <c r="EL661" i="98" s="1"/>
  <c r="AC662" i="98"/>
  <c r="AO662" i="98" s="1"/>
  <c r="EF662" i="98"/>
  <c r="V663" i="98"/>
  <c r="AT663" i="98"/>
  <c r="EJ663" i="98" s="1"/>
  <c r="AY664" i="98"/>
  <c r="EM664" i="98"/>
  <c r="V666" i="98"/>
  <c r="AY666" i="98"/>
  <c r="N669" i="98"/>
  <c r="AL669" i="98" s="1"/>
  <c r="M669" i="98"/>
  <c r="AK669" i="98" s="1"/>
  <c r="EF669" i="98"/>
  <c r="BF670" i="98"/>
  <c r="AV629" i="98"/>
  <c r="EL629" i="98" s="1"/>
  <c r="BF630" i="98"/>
  <c r="BH632" i="98"/>
  <c r="EG632" i="98"/>
  <c r="AU633" i="98"/>
  <c r="X635" i="98"/>
  <c r="O636" i="98"/>
  <c r="AM636" i="98" s="1"/>
  <c r="AU637" i="98"/>
  <c r="EK637" i="98" s="1"/>
  <c r="EG639" i="98"/>
  <c r="AZ640" i="98"/>
  <c r="EP640" i="98" s="1"/>
  <c r="EI641" i="98"/>
  <c r="U642" i="98"/>
  <c r="P644" i="98"/>
  <c r="AN644" i="98" s="1"/>
  <c r="AU645" i="98"/>
  <c r="AY645" i="98"/>
  <c r="BI175" i="1"/>
  <c r="BF175" i="1"/>
  <c r="BH175" i="1"/>
  <c r="BG175" i="1"/>
  <c r="AU647" i="98"/>
  <c r="EK647" i="98" s="1"/>
  <c r="EF649" i="98"/>
  <c r="R177" i="1"/>
  <c r="AU651" i="98"/>
  <c r="EK651" i="98" s="1"/>
  <c r="W653" i="98"/>
  <c r="BK182" i="1"/>
  <c r="BL182" i="1"/>
  <c r="BJ182" i="1"/>
  <c r="BM182" i="1"/>
  <c r="EG660" i="98"/>
  <c r="AE662" i="98"/>
  <c r="AQ662" i="98" s="1"/>
  <c r="EH662" i="98"/>
  <c r="X663" i="98"/>
  <c r="EG663" i="98"/>
  <c r="BE666" i="98"/>
  <c r="AV666" i="98"/>
  <c r="EL666" i="98" s="1"/>
  <c r="AT666" i="98"/>
  <c r="AY668" i="98"/>
  <c r="AZ668" i="98"/>
  <c r="EP668" i="98" s="1"/>
  <c r="AX668" i="98"/>
  <c r="EN668" i="98" s="1"/>
  <c r="EM668" i="98"/>
  <c r="BJ670" i="98"/>
  <c r="EN670" i="98"/>
  <c r="V672" i="98"/>
  <c r="V675" i="98"/>
  <c r="BK677" i="98"/>
  <c r="AT678" i="98"/>
  <c r="AX678" i="98"/>
  <c r="EN678" i="98" s="1"/>
  <c r="AD679" i="98"/>
  <c r="AP679" i="98" s="1"/>
  <c r="EH679" i="98"/>
  <c r="EF680" i="98"/>
  <c r="R186" i="1"/>
  <c r="P680" i="98"/>
  <c r="AN680" i="98" s="1"/>
  <c r="M681" i="98"/>
  <c r="AK681" i="98" s="1"/>
  <c r="AY681" i="98"/>
  <c r="EF681" i="98"/>
  <c r="BK684" i="98"/>
  <c r="BK683" i="98" s="1"/>
  <c r="EP684" i="98"/>
  <c r="AE667" i="98"/>
  <c r="AQ667" i="98" s="1"/>
  <c r="EH667" i="98"/>
  <c r="AC669" i="98"/>
  <c r="AO669" i="98" s="1"/>
  <c r="AU670" i="98"/>
  <c r="AY670" i="98"/>
  <c r="BH670" i="98"/>
  <c r="EI670" i="98"/>
  <c r="AD671" i="98"/>
  <c r="AP671" i="98" s="1"/>
  <c r="X672" i="98"/>
  <c r="AV672" i="98"/>
  <c r="EL672" i="98" s="1"/>
  <c r="EG672" i="98"/>
  <c r="EH673" i="98"/>
  <c r="X675" i="98"/>
  <c r="EG675" i="98"/>
  <c r="O676" i="98"/>
  <c r="AM676" i="98" s="1"/>
  <c r="EF676" i="98"/>
  <c r="W677" i="98"/>
  <c r="AZ677" i="98"/>
  <c r="AU678" i="98"/>
  <c r="AY678" i="98"/>
  <c r="EO678" i="98" s="1"/>
  <c r="EM678" i="98"/>
  <c r="AE679" i="98"/>
  <c r="AQ679" i="98" s="1"/>
  <c r="W680" i="98"/>
  <c r="T186" i="1"/>
  <c r="U680" i="98"/>
  <c r="EG680" i="98"/>
  <c r="O681" i="98"/>
  <c r="AM681" i="98" s="1"/>
  <c r="AZ681" i="98"/>
  <c r="EV683" i="98"/>
  <c r="B40" i="100"/>
  <c r="E83" i="100" s="1"/>
  <c r="C5" i="101"/>
  <c r="I83" i="101"/>
  <c r="I84" i="101"/>
  <c r="C12" i="102"/>
  <c r="J84" i="102"/>
  <c r="AE669" i="98"/>
  <c r="AQ669" i="98" s="1"/>
  <c r="AE671" i="98"/>
  <c r="AQ671" i="98" s="1"/>
  <c r="BL672" i="98"/>
  <c r="BI673" i="98"/>
  <c r="AC675" i="98"/>
  <c r="AO675" i="98" s="1"/>
  <c r="EM675" i="98"/>
  <c r="P676" i="98"/>
  <c r="AN676" i="98" s="1"/>
  <c r="AV676" i="98"/>
  <c r="EG676" i="98"/>
  <c r="O677" i="98"/>
  <c r="AM677" i="98" s="1"/>
  <c r="EF677" i="98"/>
  <c r="AV678" i="98"/>
  <c r="AZ678" i="98"/>
  <c r="V679" i="98"/>
  <c r="BK186" i="1"/>
  <c r="BJ186" i="1"/>
  <c r="BL186" i="1"/>
  <c r="BM186" i="1"/>
  <c r="V680" i="98"/>
  <c r="P681" i="98"/>
  <c r="AN681" i="98" s="1"/>
  <c r="E83" i="101"/>
  <c r="AC665" i="98"/>
  <c r="AO665" i="98" s="1"/>
  <c r="EF665" i="98"/>
  <c r="EI668" i="98"/>
  <c r="BL670" i="98"/>
  <c r="EM670" i="98"/>
  <c r="U672" i="98"/>
  <c r="AX672" i="98"/>
  <c r="EN672" i="98" s="1"/>
  <c r="EM672" i="98"/>
  <c r="O673" i="98"/>
  <c r="AM673" i="98" s="1"/>
  <c r="V674" i="98"/>
  <c r="BI674" i="98"/>
  <c r="EM674" i="98"/>
  <c r="U675" i="98"/>
  <c r="U676" i="98"/>
  <c r="BL676" i="98"/>
  <c r="EI678" i="98"/>
  <c r="AC679" i="98"/>
  <c r="AO679" i="98" s="1"/>
  <c r="X680" i="98"/>
  <c r="BG681" i="98"/>
  <c r="BJ684" i="98"/>
  <c r="BJ683" i="98" s="1"/>
  <c r="G83" i="100"/>
  <c r="H83" i="100" s="1"/>
  <c r="I84" i="100"/>
  <c r="C10" i="100" s="1"/>
  <c r="C16" i="100" s="1"/>
  <c r="B40" i="102"/>
  <c r="E83" i="102" s="1"/>
  <c r="G83" i="102" s="1"/>
  <c r="H83" i="102" s="1"/>
  <c r="C28" i="102" s="1"/>
  <c r="BH120" i="1"/>
  <c r="O120" i="1"/>
  <c r="BI114" i="1"/>
  <c r="O114" i="1"/>
  <c r="BI127" i="1"/>
  <c r="O127" i="1"/>
  <c r="BI143" i="1"/>
  <c r="R190" i="1"/>
  <c r="BH190" i="1" s="1"/>
  <c r="BH133" i="1"/>
  <c r="O133" i="1"/>
  <c r="R155" i="1"/>
  <c r="O155" i="1" s="1"/>
  <c r="O137" i="1"/>
  <c r="O122" i="1"/>
  <c r="O118" i="1"/>
  <c r="O116" i="1"/>
  <c r="BI129" i="1"/>
  <c r="O129" i="1"/>
  <c r="BI125" i="1"/>
  <c r="O125" i="1"/>
  <c r="BH134" i="1"/>
  <c r="BK149" i="1"/>
  <c r="O149" i="1"/>
  <c r="N16" i="98"/>
  <c r="AL16" i="98" s="1"/>
  <c r="O16" i="98"/>
  <c r="AM16" i="98" s="1"/>
  <c r="N21" i="98"/>
  <c r="AL21" i="98" s="1"/>
  <c r="EH23" i="98"/>
  <c r="AF23" i="98"/>
  <c r="AR23" i="98" s="1"/>
  <c r="BD40" i="98"/>
  <c r="ET40" i="98" s="1"/>
  <c r="EQ40" i="98"/>
  <c r="BB40" i="98"/>
  <c r="ER40" i="98" s="1"/>
  <c r="BC155" i="98"/>
  <c r="BC399" i="98" s="1"/>
  <c r="ES399" i="98" s="1"/>
  <c r="BB155" i="98"/>
  <c r="BB399" i="98" s="1"/>
  <c r="ER399" i="98" s="1"/>
  <c r="AW410" i="98"/>
  <c r="AX166" i="98"/>
  <c r="EN166" i="98" s="1"/>
  <c r="DA187" i="98"/>
  <c r="DI187" i="98" s="1"/>
  <c r="CZ187" i="98"/>
  <c r="AW433" i="98"/>
  <c r="AX189" i="98"/>
  <c r="EN189" i="98" s="1"/>
  <c r="EM189" i="98"/>
  <c r="AZ189" i="98"/>
  <c r="EP189" i="98" s="1"/>
  <c r="N304" i="98"/>
  <c r="AL304" i="98" s="1"/>
  <c r="N347" i="98"/>
  <c r="AL347" i="98" s="1"/>
  <c r="N604" i="98"/>
  <c r="AL604" i="98" s="1"/>
  <c r="AZ166" i="98"/>
  <c r="EP166" i="98" s="1"/>
  <c r="AY189" i="98"/>
  <c r="EO189" i="98" s="1"/>
  <c r="AL199" i="98"/>
  <c r="N302" i="98"/>
  <c r="AL302" i="98" s="1"/>
  <c r="N401" i="98"/>
  <c r="AL401" i="98" s="1"/>
  <c r="N409" i="98"/>
  <c r="AL409" i="98" s="1"/>
  <c r="N521" i="98"/>
  <c r="AL521" i="98" s="1"/>
  <c r="N529" i="98"/>
  <c r="AL529" i="98" s="1"/>
  <c r="AE599" i="98"/>
  <c r="AQ599" i="98" s="1"/>
  <c r="AE6" i="98"/>
  <c r="AQ6" i="98" s="1"/>
  <c r="P6" i="98"/>
  <c r="AN6" i="98" s="1"/>
  <c r="BG6" i="98"/>
  <c r="P16" i="98"/>
  <c r="AN16" i="98" s="1"/>
  <c r="ER20" i="98"/>
  <c r="P30" i="98"/>
  <c r="AN30" i="98" s="1"/>
  <c r="AD30" i="98"/>
  <c r="AP30" i="98" s="1"/>
  <c r="EF136" i="98"/>
  <c r="BE155" i="98"/>
  <c r="EI155" i="98"/>
  <c r="AT155" i="98"/>
  <c r="EJ155" i="98" s="1"/>
  <c r="BD187" i="98"/>
  <c r="BD431" i="98" s="1"/>
  <c r="ET431" i="98" s="1"/>
  <c r="BA433" i="98"/>
  <c r="EQ433" i="98" s="1"/>
  <c r="BB189" i="98"/>
  <c r="BB433" i="98" s="1"/>
  <c r="ER433" i="98" s="1"/>
  <c r="BD189" i="98"/>
  <c r="BD433" i="98" s="1"/>
  <c r="ET433" i="98" s="1"/>
  <c r="AF194" i="98"/>
  <c r="AR194" i="98" s="1"/>
  <c r="AD194" i="98"/>
  <c r="AP194" i="98" s="1"/>
  <c r="P266" i="98"/>
  <c r="AN266" i="98" s="1"/>
  <c r="AD290" i="98"/>
  <c r="AP290" i="98" s="1"/>
  <c r="AD294" i="98"/>
  <c r="AP294" i="98" s="1"/>
  <c r="AD304" i="98"/>
  <c r="AP304" i="98" s="1"/>
  <c r="P344" i="98"/>
  <c r="AN344" i="98" s="1"/>
  <c r="AE347" i="98"/>
  <c r="AQ347" i="98" s="1"/>
  <c r="BE477" i="98"/>
  <c r="EI477" i="98"/>
  <c r="AT477" i="98"/>
  <c r="EJ477" i="98" s="1"/>
  <c r="N481" i="98"/>
  <c r="AL481" i="98" s="1"/>
  <c r="EF481" i="98"/>
  <c r="U534" i="98"/>
  <c r="P535" i="98"/>
  <c r="AN535" i="98" s="1"/>
  <c r="AD567" i="98"/>
  <c r="AP567" i="98" s="1"/>
  <c r="DF575" i="98"/>
  <c r="AS575" i="98" s="1"/>
  <c r="AV575" i="98" s="1"/>
  <c r="CZ575" i="98"/>
  <c r="DH575" i="98" s="1"/>
  <c r="AD578" i="98"/>
  <c r="AP578" i="98" s="1"/>
  <c r="BI617" i="98"/>
  <c r="AX617" i="98"/>
  <c r="EN617" i="98" s="1"/>
  <c r="U654" i="98"/>
  <c r="EQ155" i="98"/>
  <c r="EH266" i="98"/>
  <c r="N295" i="98"/>
  <c r="AL295" i="98" s="1"/>
  <c r="BI597" i="98"/>
  <c r="AX597" i="98"/>
  <c r="EN597" i="98" s="1"/>
  <c r="EQ608" i="98"/>
  <c r="BB608" i="98"/>
  <c r="ER608" i="98" s="1"/>
  <c r="EQ616" i="98"/>
  <c r="BC616" i="98"/>
  <c r="ES616" i="98" s="1"/>
  <c r="N624" i="98"/>
  <c r="AL624" i="98" s="1"/>
  <c r="BI644" i="98"/>
  <c r="AY644" i="98"/>
  <c r="EO644" i="98" s="1"/>
  <c r="BD155" i="98"/>
  <c r="BD399" i="98" s="1"/>
  <c r="ET399" i="98" s="1"/>
  <c r="EH167" i="98"/>
  <c r="AE167" i="98"/>
  <c r="AQ167" i="98" s="1"/>
  <c r="N301" i="98"/>
  <c r="AL301" i="98" s="1"/>
  <c r="N303" i="98"/>
  <c r="AL303" i="98" s="1"/>
  <c r="N312" i="98"/>
  <c r="AL312" i="98" s="1"/>
  <c r="N402" i="98"/>
  <c r="AL402" i="98" s="1"/>
  <c r="N504" i="98"/>
  <c r="AL504" i="98" s="1"/>
  <c r="N525" i="98"/>
  <c r="AL525" i="98" s="1"/>
  <c r="BE617" i="98"/>
  <c r="AT617" i="98"/>
  <c r="BF617" i="98" s="1"/>
  <c r="AS265" i="98"/>
  <c r="BE21" i="98"/>
  <c r="AT21" i="98"/>
  <c r="BF21" i="98" s="1"/>
  <c r="EI21" i="98"/>
  <c r="X147" i="98"/>
  <c r="EG147" i="98"/>
  <c r="X187" i="98"/>
  <c r="DH187" i="98"/>
  <c r="EQ194" i="98"/>
  <c r="BC194" i="98"/>
  <c r="ES194" i="98" s="1"/>
  <c r="AN199" i="98"/>
  <c r="C664" i="98"/>
  <c r="EE664" i="98" s="1"/>
  <c r="EE229" i="98"/>
  <c r="P260" i="98"/>
  <c r="AN260" i="98" s="1"/>
  <c r="AD302" i="98"/>
  <c r="AP302" i="98" s="1"/>
  <c r="AD312" i="98"/>
  <c r="AP312" i="98" s="1"/>
  <c r="AV477" i="98"/>
  <c r="BH477" i="98" s="1"/>
  <c r="P494" i="98"/>
  <c r="AN494" i="98" s="1"/>
  <c r="P498" i="98"/>
  <c r="AN498" i="98" s="1"/>
  <c r="AD521" i="98"/>
  <c r="AP521" i="98" s="1"/>
  <c r="AD525" i="98"/>
  <c r="AP525" i="98" s="1"/>
  <c r="AD529" i="98"/>
  <c r="AP529" i="98" s="1"/>
  <c r="P561" i="98"/>
  <c r="AN561" i="98" s="1"/>
  <c r="AE574" i="98"/>
  <c r="AQ574" i="98" s="1"/>
  <c r="V583" i="98"/>
  <c r="EM597" i="98"/>
  <c r="EQ617" i="98"/>
  <c r="BB617" i="98"/>
  <c r="ER617" i="98" s="1"/>
  <c r="P659" i="98"/>
  <c r="AN659" i="98" s="1"/>
  <c r="P667" i="98"/>
  <c r="AN667" i="98" s="1"/>
  <c r="U670" i="98"/>
  <c r="P671" i="98"/>
  <c r="AN671" i="98" s="1"/>
  <c r="BC20" i="98"/>
  <c r="EQ20" i="98"/>
  <c r="W21" i="98"/>
  <c r="AD22" i="98"/>
  <c r="AP22" i="98" s="1"/>
  <c r="EQ30" i="98"/>
  <c r="M40" i="98"/>
  <c r="AK40" i="98" s="1"/>
  <c r="V40" i="98"/>
  <c r="AD40" i="98"/>
  <c r="AP40" i="98" s="1"/>
  <c r="U75" i="98"/>
  <c r="EQ75" i="98"/>
  <c r="P114" i="98"/>
  <c r="AN114" i="98" s="1"/>
  <c r="V117" i="98"/>
  <c r="EE137" i="98"/>
  <c r="W166" i="98"/>
  <c r="AO199" i="98"/>
  <c r="AD250" i="98"/>
  <c r="AP250" i="98" s="1"/>
  <c r="AC266" i="98"/>
  <c r="AO266" i="98" s="1"/>
  <c r="W303" i="98"/>
  <c r="W324" i="98"/>
  <c r="AE352" i="98"/>
  <c r="AQ352" i="98" s="1"/>
  <c r="AE360" i="98"/>
  <c r="AQ360" i="98" s="1"/>
  <c r="V477" i="98"/>
  <c r="M481" i="98"/>
  <c r="AK481" i="98" s="1"/>
  <c r="AC481" i="98"/>
  <c r="AO481" i="98" s="1"/>
  <c r="V521" i="98"/>
  <c r="V525" i="98"/>
  <c r="V529" i="98"/>
  <c r="M534" i="98"/>
  <c r="AK534" i="98" s="1"/>
  <c r="M564" i="98"/>
  <c r="AK564" i="98" s="1"/>
  <c r="AE582" i="98"/>
  <c r="AQ582" i="98" s="1"/>
  <c r="AE591" i="98"/>
  <c r="AQ591" i="98" s="1"/>
  <c r="W599" i="98"/>
  <c r="AD600" i="98"/>
  <c r="AP600" i="98" s="1"/>
  <c r="N608" i="98"/>
  <c r="AL608" i="98" s="1"/>
  <c r="V624" i="98"/>
  <c r="AD627" i="98"/>
  <c r="AP627" i="98" s="1"/>
  <c r="V628" i="98"/>
  <c r="AC651" i="98"/>
  <c r="AO651" i="98" s="1"/>
  <c r="V677" i="98"/>
  <c r="O30" i="98"/>
  <c r="AM30" i="98" s="1"/>
  <c r="AE30" i="98"/>
  <c r="AQ30" i="98" s="1"/>
  <c r="AF147" i="98"/>
  <c r="AR147" i="98" s="1"/>
  <c r="AZ154" i="98"/>
  <c r="O167" i="98"/>
  <c r="AM167" i="98" s="1"/>
  <c r="O173" i="98"/>
  <c r="AM173" i="98" s="1"/>
  <c r="U187" i="98"/>
  <c r="AR199" i="98"/>
  <c r="EG260" i="98"/>
  <c r="O266" i="98"/>
  <c r="AM266" i="98" s="1"/>
  <c r="AE266" i="98"/>
  <c r="AQ266" i="98" s="1"/>
  <c r="N293" i="98"/>
  <c r="AL293" i="98" s="1"/>
  <c r="W295" i="98"/>
  <c r="W311" i="98"/>
  <c r="W320" i="98"/>
  <c r="U346" i="98"/>
  <c r="AE348" i="98"/>
  <c r="AQ348" i="98" s="1"/>
  <c r="AD358" i="98"/>
  <c r="AP358" i="98" s="1"/>
  <c r="DF361" i="98"/>
  <c r="AS361" i="98" s="1"/>
  <c r="BE361" i="98" s="1"/>
  <c r="X477" i="98"/>
  <c r="O481" i="98"/>
  <c r="AM481" i="98" s="1"/>
  <c r="AE481" i="98"/>
  <c r="AQ481" i="98" s="1"/>
  <c r="M522" i="98"/>
  <c r="AK522" i="98" s="1"/>
  <c r="M526" i="98"/>
  <c r="AK526" i="98" s="1"/>
  <c r="M530" i="98"/>
  <c r="AK530" i="98" s="1"/>
  <c r="AE537" i="98"/>
  <c r="AQ537" i="98" s="1"/>
  <c r="V538" i="98"/>
  <c r="AE541" i="98"/>
  <c r="AQ541" i="98" s="1"/>
  <c r="V542" i="98"/>
  <c r="V551" i="98"/>
  <c r="AE554" i="98"/>
  <c r="AQ554" i="98" s="1"/>
  <c r="AE558" i="98"/>
  <c r="AQ558" i="98" s="1"/>
  <c r="AD559" i="98"/>
  <c r="AP559" i="98" s="1"/>
  <c r="AD563" i="98"/>
  <c r="AP563" i="98" s="1"/>
  <c r="P563" i="98"/>
  <c r="AN563" i="98" s="1"/>
  <c r="X563" i="98"/>
  <c r="AE570" i="98"/>
  <c r="AQ570" i="98" s="1"/>
  <c r="AD571" i="98"/>
  <c r="AP571" i="98" s="1"/>
  <c r="X575" i="98"/>
  <c r="M589" i="98"/>
  <c r="AK589" i="98" s="1"/>
  <c r="AE592" i="98"/>
  <c r="AQ592" i="98" s="1"/>
  <c r="AV597" i="98"/>
  <c r="V604" i="98"/>
  <c r="AE610" i="98"/>
  <c r="AQ610" i="98" s="1"/>
  <c r="AE623" i="98"/>
  <c r="AQ623" i="98" s="1"/>
  <c r="AE638" i="98"/>
  <c r="AQ638" i="98" s="1"/>
  <c r="AE642" i="98"/>
  <c r="AQ642" i="98" s="1"/>
  <c r="V644" i="98"/>
  <c r="AZ650" i="98"/>
  <c r="EP650" i="98" s="1"/>
  <c r="AD653" i="98"/>
  <c r="AP653" i="98" s="1"/>
  <c r="N657" i="98"/>
  <c r="AL657" i="98" s="1"/>
  <c r="AC659" i="98"/>
  <c r="AO659" i="98" s="1"/>
  <c r="AE660" i="98"/>
  <c r="AQ660" i="98" s="1"/>
  <c r="AD662" i="98"/>
  <c r="AP662" i="98" s="1"/>
  <c r="AD673" i="98"/>
  <c r="AP673" i="98" s="1"/>
  <c r="W6" i="98"/>
  <c r="V6" i="98"/>
  <c r="AC8" i="98"/>
  <c r="AO8" i="98" s="1"/>
  <c r="AC10" i="98"/>
  <c r="AO10" i="98" s="1"/>
  <c r="AC12" i="98"/>
  <c r="AO12" i="98" s="1"/>
  <c r="AC14" i="98"/>
  <c r="AO14" i="98" s="1"/>
  <c r="AD16" i="98"/>
  <c r="AP16" i="98" s="1"/>
  <c r="AC18" i="98"/>
  <c r="AO18" i="98" s="1"/>
  <c r="M19" i="98"/>
  <c r="AK19" i="98" s="1"/>
  <c r="AC19" i="98"/>
  <c r="AO19" i="98" s="1"/>
  <c r="EH20" i="98"/>
  <c r="X21" i="98"/>
  <c r="EE21" i="98"/>
  <c r="EH22" i="98"/>
  <c r="V23" i="98"/>
  <c r="AC23" i="98"/>
  <c r="AO23" i="98" s="1"/>
  <c r="BE23" i="98"/>
  <c r="EK23" i="98"/>
  <c r="AC29" i="98"/>
  <c r="AO29" i="98" s="1"/>
  <c r="M33" i="98"/>
  <c r="AK33" i="98" s="1"/>
  <c r="AC34" i="98"/>
  <c r="AO34" i="98" s="1"/>
  <c r="M35" i="98"/>
  <c r="AK35" i="98" s="1"/>
  <c r="U40" i="98"/>
  <c r="AC40" i="98"/>
  <c r="AO40" i="98" s="1"/>
  <c r="AC43" i="98"/>
  <c r="AO43" i="98" s="1"/>
  <c r="P46" i="98"/>
  <c r="AN46" i="98" s="1"/>
  <c r="AC47" i="98"/>
  <c r="AO47" i="98" s="1"/>
  <c r="M51" i="98"/>
  <c r="AK51" i="98" s="1"/>
  <c r="AC51" i="98"/>
  <c r="AO51" i="98" s="1"/>
  <c r="M52" i="98"/>
  <c r="AK52" i="98" s="1"/>
  <c r="AC53" i="98"/>
  <c r="AO53" i="98" s="1"/>
  <c r="M54" i="98"/>
  <c r="AK54" i="98" s="1"/>
  <c r="M55" i="98"/>
  <c r="AK55" i="98" s="1"/>
  <c r="AC55" i="98"/>
  <c r="AO55" i="98" s="1"/>
  <c r="M56" i="98"/>
  <c r="AK56" i="98" s="1"/>
  <c r="M57" i="98"/>
  <c r="AK57" i="98" s="1"/>
  <c r="AC58" i="98"/>
  <c r="AO58" i="98" s="1"/>
  <c r="M65" i="98"/>
  <c r="AK65" i="98" s="1"/>
  <c r="M67" i="98"/>
  <c r="AK67" i="98" s="1"/>
  <c r="AC67" i="98"/>
  <c r="AO67" i="98" s="1"/>
  <c r="M68" i="98"/>
  <c r="AK68" i="98" s="1"/>
  <c r="M69" i="98"/>
  <c r="AK69" i="98" s="1"/>
  <c r="AC72" i="98"/>
  <c r="AO72" i="98" s="1"/>
  <c r="BC75" i="98"/>
  <c r="ES75" i="98" s="1"/>
  <c r="M84" i="98"/>
  <c r="AK84" i="98" s="1"/>
  <c r="AC84" i="98"/>
  <c r="AO84" i="98" s="1"/>
  <c r="M85" i="98"/>
  <c r="AK85" i="98" s="1"/>
  <c r="AC86" i="98"/>
  <c r="AO86" i="98" s="1"/>
  <c r="AC90" i="98"/>
  <c r="AO90" i="98" s="1"/>
  <c r="AT110" i="1"/>
  <c r="AU110" i="1" s="1"/>
  <c r="AV110" i="1" s="1"/>
  <c r="AC92" i="98"/>
  <c r="AO92" i="98" s="1"/>
  <c r="M99" i="98"/>
  <c r="AK99" i="98" s="1"/>
  <c r="M100" i="98"/>
  <c r="AK100" i="98" s="1"/>
  <c r="AD111" i="1"/>
  <c r="AD101" i="98"/>
  <c r="AP101" i="98" s="1"/>
  <c r="DF101" i="98"/>
  <c r="AS101" i="98" s="1"/>
  <c r="AT101" i="98" s="1"/>
  <c r="EJ101" i="98" s="1"/>
  <c r="EH102" i="98"/>
  <c r="AE102" i="98"/>
  <c r="AQ102" i="98" s="1"/>
  <c r="M103" i="98"/>
  <c r="AK103" i="98" s="1"/>
  <c r="AD114" i="1"/>
  <c r="M111" i="98"/>
  <c r="AK111" i="98" s="1"/>
  <c r="AD120" i="1"/>
  <c r="M112" i="98"/>
  <c r="AK112" i="98" s="1"/>
  <c r="AD121" i="1"/>
  <c r="AC112" i="98"/>
  <c r="AO112" i="98" s="1"/>
  <c r="AT121" i="1"/>
  <c r="AU121" i="1" s="1"/>
  <c r="AV121" i="1" s="1"/>
  <c r="M113" i="98"/>
  <c r="AK113" i="98" s="1"/>
  <c r="AD122" i="1"/>
  <c r="AC113" i="98"/>
  <c r="AO113" i="98" s="1"/>
  <c r="AT122" i="1"/>
  <c r="AU122" i="1" s="1"/>
  <c r="AV122" i="1" s="1"/>
  <c r="W114" i="98"/>
  <c r="T123" i="1"/>
  <c r="AC116" i="98"/>
  <c r="AO116" i="98" s="1"/>
  <c r="X117" i="98"/>
  <c r="BD117" i="98"/>
  <c r="DF117" i="98"/>
  <c r="AS117" i="98" s="1"/>
  <c r="AV117" i="98" s="1"/>
  <c r="EL117" i="98" s="1"/>
  <c r="M119" i="98"/>
  <c r="AK119" i="98" s="1"/>
  <c r="M124" i="98"/>
  <c r="AK124" i="98" s="1"/>
  <c r="AC124" i="98"/>
  <c r="AO124" i="98" s="1"/>
  <c r="M129" i="98"/>
  <c r="AK129" i="98" s="1"/>
  <c r="AD128" i="1"/>
  <c r="M130" i="98"/>
  <c r="AK130" i="98" s="1"/>
  <c r="AD129" i="1"/>
  <c r="M132" i="98"/>
  <c r="AK132" i="98" s="1"/>
  <c r="AC134" i="98"/>
  <c r="AO134" i="98" s="1"/>
  <c r="AC136" i="98"/>
  <c r="AO136" i="98" s="1"/>
  <c r="AT130" i="1"/>
  <c r="AU130" i="1" s="1"/>
  <c r="AV130" i="1" s="1"/>
  <c r="AE136" i="98"/>
  <c r="AQ136" i="98" s="1"/>
  <c r="X137" i="98"/>
  <c r="EE147" i="98"/>
  <c r="M152" i="98"/>
  <c r="AK152" i="98" s="1"/>
  <c r="AD132" i="1"/>
  <c r="AD154" i="98"/>
  <c r="AP154" i="98" s="1"/>
  <c r="V134" i="1"/>
  <c r="BL134" i="1" s="1"/>
  <c r="EF156" i="98"/>
  <c r="O156" i="98"/>
  <c r="AM156" i="98" s="1"/>
  <c r="AC173" i="98"/>
  <c r="AO173" i="98" s="1"/>
  <c r="AC174" i="98"/>
  <c r="AO174" i="98" s="1"/>
  <c r="ES6" i="98"/>
  <c r="M8" i="98"/>
  <c r="AK8" i="98" s="1"/>
  <c r="M10" i="98"/>
  <c r="AK10" i="98" s="1"/>
  <c r="M12" i="98"/>
  <c r="AK12" i="98" s="1"/>
  <c r="M14" i="98"/>
  <c r="AK14" i="98" s="1"/>
  <c r="M16" i="98"/>
  <c r="AK16" i="98" s="1"/>
  <c r="AC17" i="98"/>
  <c r="AO17" i="98" s="1"/>
  <c r="M18" i="98"/>
  <c r="AK18" i="98" s="1"/>
  <c r="M20" i="98"/>
  <c r="AK20" i="98" s="1"/>
  <c r="AC20" i="98"/>
  <c r="AO20" i="98" s="1"/>
  <c r="EI20" i="98"/>
  <c r="AD21" i="98"/>
  <c r="AP21" i="98" s="1"/>
  <c r="M22" i="98"/>
  <c r="AK22" i="98" s="1"/>
  <c r="AC26" i="98"/>
  <c r="AO26" i="98" s="1"/>
  <c r="M29" i="98"/>
  <c r="AK29" i="98" s="1"/>
  <c r="AC31" i="98"/>
  <c r="AO31" i="98" s="1"/>
  <c r="AC33" i="98"/>
  <c r="AO33" i="98" s="1"/>
  <c r="M36" i="98"/>
  <c r="AK36" i="98" s="1"/>
  <c r="AC36" i="98"/>
  <c r="AO36" i="98" s="1"/>
  <c r="M37" i="98"/>
  <c r="AK37" i="98" s="1"/>
  <c r="M38" i="98"/>
  <c r="AK38" i="98" s="1"/>
  <c r="AC39" i="98"/>
  <c r="AO39" i="98" s="1"/>
  <c r="AC41" i="98"/>
  <c r="AO41" i="98" s="1"/>
  <c r="M44" i="98"/>
  <c r="AK44" i="98" s="1"/>
  <c r="AC45" i="98"/>
  <c r="AO45" i="98" s="1"/>
  <c r="AC50" i="98"/>
  <c r="AO50" i="98" s="1"/>
  <c r="AC52" i="98"/>
  <c r="AO52" i="98" s="1"/>
  <c r="AC56" i="98"/>
  <c r="AO56" i="98" s="1"/>
  <c r="AC61" i="98"/>
  <c r="AO61" i="98" s="1"/>
  <c r="M62" i="98"/>
  <c r="AK62" i="98" s="1"/>
  <c r="AC66" i="98"/>
  <c r="AO66" i="98" s="1"/>
  <c r="AC68" i="98"/>
  <c r="AO68" i="98" s="1"/>
  <c r="M70" i="98"/>
  <c r="AK70" i="98" s="1"/>
  <c r="AC75" i="98"/>
  <c r="AO75" i="98" s="1"/>
  <c r="M82" i="98"/>
  <c r="AK82" i="98" s="1"/>
  <c r="AC83" i="98"/>
  <c r="AO83" i="98" s="1"/>
  <c r="AC85" i="98"/>
  <c r="AO85" i="98" s="1"/>
  <c r="M87" i="98"/>
  <c r="AK87" i="98" s="1"/>
  <c r="AC99" i="98"/>
  <c r="AO99" i="98" s="1"/>
  <c r="AC100" i="98"/>
  <c r="AO100" i="98" s="1"/>
  <c r="AT111" i="1"/>
  <c r="AU111" i="1" s="1"/>
  <c r="AV111" i="1" s="1"/>
  <c r="AW111" i="1" s="1"/>
  <c r="AE101" i="98"/>
  <c r="AQ101" i="98" s="1"/>
  <c r="DG101" i="98"/>
  <c r="EG101" i="98"/>
  <c r="M102" i="98"/>
  <c r="AK102" i="98" s="1"/>
  <c r="AD113" i="1"/>
  <c r="AC103" i="98"/>
  <c r="AO103" i="98" s="1"/>
  <c r="AT114" i="1"/>
  <c r="AU114" i="1" s="1"/>
  <c r="AV114" i="1" s="1"/>
  <c r="AC104" i="98"/>
  <c r="AO104" i="98" s="1"/>
  <c r="AT115" i="1"/>
  <c r="AU115" i="1" s="1"/>
  <c r="AV115" i="1" s="1"/>
  <c r="AW115" i="1" s="1"/>
  <c r="M105" i="98"/>
  <c r="AK105" i="98" s="1"/>
  <c r="AD116" i="1"/>
  <c r="AC109" i="98"/>
  <c r="AO109" i="98" s="1"/>
  <c r="AT118" i="1"/>
  <c r="AU118" i="1" s="1"/>
  <c r="AV118" i="1" s="1"/>
  <c r="AC111" i="98"/>
  <c r="AO111" i="98" s="1"/>
  <c r="AT120" i="1"/>
  <c r="AU120" i="1" s="1"/>
  <c r="AV120" i="1" s="1"/>
  <c r="AE114" i="98"/>
  <c r="AQ114" i="98" s="1"/>
  <c r="X114" i="98"/>
  <c r="AC118" i="98"/>
  <c r="AO118" i="98" s="1"/>
  <c r="AC119" i="98"/>
  <c r="AO119" i="98" s="1"/>
  <c r="M121" i="98"/>
  <c r="AK121" i="98" s="1"/>
  <c r="AC121" i="98"/>
  <c r="AO121" i="98" s="1"/>
  <c r="M123" i="98"/>
  <c r="AK123" i="98" s="1"/>
  <c r="M125" i="98"/>
  <c r="AK125" i="98" s="1"/>
  <c r="M126" i="98"/>
  <c r="AK126" i="98" s="1"/>
  <c r="AC126" i="98"/>
  <c r="AO126" i="98" s="1"/>
  <c r="M127" i="98"/>
  <c r="AK127" i="98" s="1"/>
  <c r="AD126" i="1"/>
  <c r="AC129" i="98"/>
  <c r="AO129" i="98" s="1"/>
  <c r="AT128" i="1"/>
  <c r="AU128" i="1" s="1"/>
  <c r="AV128" i="1" s="1"/>
  <c r="M131" i="98"/>
  <c r="AK131" i="98" s="1"/>
  <c r="V137" i="98"/>
  <c r="AD147" i="98"/>
  <c r="AP147" i="98" s="1"/>
  <c r="M153" i="98"/>
  <c r="AK153" i="98" s="1"/>
  <c r="AD133" i="1"/>
  <c r="EQ154" i="98"/>
  <c r="BB154" i="98"/>
  <c r="AL135" i="1"/>
  <c r="AE135" i="1"/>
  <c r="AM135" i="1" s="1"/>
  <c r="BI155" i="98"/>
  <c r="EM155" i="98"/>
  <c r="AX155" i="98"/>
  <c r="EN155" i="98" s="1"/>
  <c r="AC176" i="98"/>
  <c r="AO176" i="98" s="1"/>
  <c r="BL189" i="98"/>
  <c r="BH210" i="1"/>
  <c r="BI210" i="1"/>
  <c r="BF210" i="1"/>
  <c r="BG210" i="1"/>
  <c r="M6" i="98"/>
  <c r="AK6" i="98" s="1"/>
  <c r="X6" i="98"/>
  <c r="EH6" i="98"/>
  <c r="EF16" i="98"/>
  <c r="AD20" i="98"/>
  <c r="AP20" i="98" s="1"/>
  <c r="AT20" i="98"/>
  <c r="EJ20" i="98" s="1"/>
  <c r="AU21" i="98"/>
  <c r="BG21" i="98" s="1"/>
  <c r="AC22" i="98"/>
  <c r="AO22" i="98" s="1"/>
  <c r="AT23" i="98"/>
  <c r="EJ23" i="98" s="1"/>
  <c r="EG23" i="98"/>
  <c r="M25" i="98"/>
  <c r="AK25" i="98" s="1"/>
  <c r="M26" i="98"/>
  <c r="AK26" i="98" s="1"/>
  <c r="EH30" i="98"/>
  <c r="M32" i="98"/>
  <c r="AK32" i="98" s="1"/>
  <c r="AC32" i="98"/>
  <c r="AO32" i="98" s="1"/>
  <c r="M34" i="98"/>
  <c r="AK34" i="98" s="1"/>
  <c r="AC35" i="98"/>
  <c r="AO35" i="98" s="1"/>
  <c r="AC37" i="98"/>
  <c r="AO37" i="98" s="1"/>
  <c r="BC40" i="98"/>
  <c r="ES40" i="98" s="1"/>
  <c r="M47" i="98"/>
  <c r="AK47" i="98" s="1"/>
  <c r="M48" i="98"/>
  <c r="AK48" i="98" s="1"/>
  <c r="AC48" i="98"/>
  <c r="AO48" i="98" s="1"/>
  <c r="M53" i="98"/>
  <c r="AK53" i="98" s="1"/>
  <c r="AC54" i="98"/>
  <c r="AO54" i="98" s="1"/>
  <c r="AC57" i="98"/>
  <c r="AO57" i="98" s="1"/>
  <c r="M58" i="98"/>
  <c r="AK58" i="98" s="1"/>
  <c r="M59" i="98"/>
  <c r="AK59" i="98" s="1"/>
  <c r="AC59" i="98"/>
  <c r="AO59" i="98" s="1"/>
  <c r="M60" i="98"/>
  <c r="AK60" i="98" s="1"/>
  <c r="M63" i="98"/>
  <c r="AK63" i="98" s="1"/>
  <c r="AC63" i="98"/>
  <c r="AO63" i="98" s="1"/>
  <c r="M64" i="98"/>
  <c r="AK64" i="98" s="1"/>
  <c r="AC65" i="98"/>
  <c r="AO65" i="98" s="1"/>
  <c r="AC69" i="98"/>
  <c r="AO69" i="98" s="1"/>
  <c r="M75" i="98"/>
  <c r="AK75" i="98" s="1"/>
  <c r="AT75" i="98"/>
  <c r="EJ75" i="98" s="1"/>
  <c r="M86" i="98"/>
  <c r="AK86" i="98" s="1"/>
  <c r="M88" i="98"/>
  <c r="AK88" i="98" s="1"/>
  <c r="AC88" i="98"/>
  <c r="AO88" i="98" s="1"/>
  <c r="M89" i="98"/>
  <c r="AK89" i="98" s="1"/>
  <c r="AL112" i="1"/>
  <c r="AE112" i="1"/>
  <c r="AF112" i="1" s="1"/>
  <c r="AG112" i="1" s="1"/>
  <c r="AO112" i="1" s="1"/>
  <c r="CD101" i="98"/>
  <c r="AY102" i="98"/>
  <c r="EO102" i="98" s="1"/>
  <c r="BD102" i="98"/>
  <c r="ET102" i="98" s="1"/>
  <c r="EM102" i="98"/>
  <c r="AC105" i="98"/>
  <c r="AO105" i="98" s="1"/>
  <c r="AT116" i="1"/>
  <c r="AU116" i="1" s="1"/>
  <c r="AV116" i="1" s="1"/>
  <c r="M106" i="98"/>
  <c r="AK106" i="98" s="1"/>
  <c r="AC106" i="98"/>
  <c r="AO106" i="98" s="1"/>
  <c r="M107" i="98"/>
  <c r="AK107" i="98" s="1"/>
  <c r="M108" i="98"/>
  <c r="AK108" i="98" s="1"/>
  <c r="AD117" i="1"/>
  <c r="M114" i="98"/>
  <c r="AK114" i="98" s="1"/>
  <c r="AD123" i="1"/>
  <c r="U114" i="98"/>
  <c r="AC114" i="98"/>
  <c r="AO114" i="98" s="1"/>
  <c r="AT123" i="1"/>
  <c r="AU123" i="1" s="1"/>
  <c r="AV123" i="1" s="1"/>
  <c r="AW123" i="1" s="1"/>
  <c r="BJ114" i="98"/>
  <c r="EG114" i="98"/>
  <c r="M115" i="98"/>
  <c r="AK115" i="98" s="1"/>
  <c r="AC115" i="98"/>
  <c r="AO115" i="98" s="1"/>
  <c r="EQ117" i="98"/>
  <c r="M120" i="98"/>
  <c r="AK120" i="98" s="1"/>
  <c r="AC123" i="98"/>
  <c r="AO123" i="98" s="1"/>
  <c r="AC125" i="98"/>
  <c r="AO125" i="98" s="1"/>
  <c r="AC127" i="98"/>
  <c r="AO127" i="98" s="1"/>
  <c r="AT126" i="1"/>
  <c r="AU126" i="1" s="1"/>
  <c r="AV126" i="1" s="1"/>
  <c r="M128" i="98"/>
  <c r="AK128" i="98" s="1"/>
  <c r="AD127" i="1"/>
  <c r="AC130" i="98"/>
  <c r="AO130" i="98" s="1"/>
  <c r="AT129" i="1"/>
  <c r="AU129" i="1" s="1"/>
  <c r="AV129" i="1" s="1"/>
  <c r="AW129" i="1" s="1"/>
  <c r="AC131" i="98"/>
  <c r="AO131" i="98" s="1"/>
  <c r="AC132" i="98"/>
  <c r="AO132" i="98" s="1"/>
  <c r="M133" i="98"/>
  <c r="AK133" i="98" s="1"/>
  <c r="M134" i="98"/>
  <c r="AK134" i="98" s="1"/>
  <c r="M138" i="98"/>
  <c r="AK138" i="98" s="1"/>
  <c r="AC153" i="98"/>
  <c r="AO153" i="98" s="1"/>
  <c r="AT133" i="1"/>
  <c r="AU133" i="1" s="1"/>
  <c r="AV133" i="1" s="1"/>
  <c r="AC154" i="98"/>
  <c r="AO154" i="98" s="1"/>
  <c r="AT134" i="1"/>
  <c r="AU134" i="1" s="1"/>
  <c r="AV134" i="1" s="1"/>
  <c r="AD156" i="98"/>
  <c r="AP156" i="98" s="1"/>
  <c r="EH156" i="98"/>
  <c r="AC179" i="98"/>
  <c r="AO179" i="98" s="1"/>
  <c r="M183" i="98"/>
  <c r="AK183" i="98" s="1"/>
  <c r="AD142" i="1"/>
  <c r="M189" i="98"/>
  <c r="AK189" i="98" s="1"/>
  <c r="AD146" i="1"/>
  <c r="U6" i="98"/>
  <c r="AC6" i="98"/>
  <c r="AO6" i="98" s="1"/>
  <c r="M7" i="98"/>
  <c r="AK7" i="98" s="1"/>
  <c r="AC7" i="98"/>
  <c r="AO7" i="98" s="1"/>
  <c r="M9" i="98"/>
  <c r="AK9" i="98" s="1"/>
  <c r="AC9" i="98"/>
  <c r="AO9" i="98" s="1"/>
  <c r="M11" i="98"/>
  <c r="AK11" i="98" s="1"/>
  <c r="AC11" i="98"/>
  <c r="AO11" i="98" s="1"/>
  <c r="M13" i="98"/>
  <c r="AK13" i="98" s="1"/>
  <c r="AC13" i="98"/>
  <c r="AO13" i="98" s="1"/>
  <c r="M15" i="98"/>
  <c r="AK15" i="98" s="1"/>
  <c r="AC15" i="98"/>
  <c r="AO15" i="98" s="1"/>
  <c r="X16" i="98"/>
  <c r="EG16" i="98"/>
  <c r="M17" i="98"/>
  <c r="AK17" i="98" s="1"/>
  <c r="W20" i="98"/>
  <c r="AE20" i="98"/>
  <c r="AQ20" i="98" s="1"/>
  <c r="AV21" i="98"/>
  <c r="EL21" i="98" s="1"/>
  <c r="O22" i="98"/>
  <c r="AM22" i="98" s="1"/>
  <c r="EF22" i="98"/>
  <c r="M23" i="98"/>
  <c r="AK23" i="98" s="1"/>
  <c r="U23" i="98"/>
  <c r="X23" i="98"/>
  <c r="AV23" i="98"/>
  <c r="BH23" i="98" s="1"/>
  <c r="M24" i="98"/>
  <c r="AK24" i="98" s="1"/>
  <c r="AC24" i="98"/>
  <c r="AO24" i="98" s="1"/>
  <c r="AC25" i="98"/>
  <c r="AO25" i="98" s="1"/>
  <c r="M28" i="98"/>
  <c r="AK28" i="98" s="1"/>
  <c r="AC28" i="98"/>
  <c r="AO28" i="98" s="1"/>
  <c r="AC30" i="98"/>
  <c r="AO30" i="98" s="1"/>
  <c r="M31" i="98"/>
  <c r="AK31" i="98" s="1"/>
  <c r="AC38" i="98"/>
  <c r="AO38" i="98" s="1"/>
  <c r="M39" i="98"/>
  <c r="AK39" i="98" s="1"/>
  <c r="M41" i="98"/>
  <c r="AK41" i="98" s="1"/>
  <c r="M42" i="98"/>
  <c r="AK42" i="98" s="1"/>
  <c r="AC42" i="98"/>
  <c r="AO42" i="98" s="1"/>
  <c r="M43" i="98"/>
  <c r="AK43" i="98" s="1"/>
  <c r="AC44" i="98"/>
  <c r="AO44" i="98" s="1"/>
  <c r="M45" i="98"/>
  <c r="AK45" i="98" s="1"/>
  <c r="AC46" i="98"/>
  <c r="AO46" i="98" s="1"/>
  <c r="M50" i="98"/>
  <c r="AK50" i="98" s="1"/>
  <c r="AC60" i="98"/>
  <c r="AO60" i="98" s="1"/>
  <c r="M61" i="98"/>
  <c r="AK61" i="98" s="1"/>
  <c r="AC62" i="98"/>
  <c r="AO62" i="98" s="1"/>
  <c r="AC64" i="98"/>
  <c r="AO64" i="98" s="1"/>
  <c r="M66" i="98"/>
  <c r="AK66" i="98" s="1"/>
  <c r="AC70" i="98"/>
  <c r="AO70" i="98" s="1"/>
  <c r="M71" i="98"/>
  <c r="AK71" i="98" s="1"/>
  <c r="AC71" i="98"/>
  <c r="AO71" i="98" s="1"/>
  <c r="M72" i="98"/>
  <c r="AK72" i="98" s="1"/>
  <c r="AE75" i="98"/>
  <c r="AQ75" i="98" s="1"/>
  <c r="BB75" i="98"/>
  <c r="ER75" i="98" s="1"/>
  <c r="AC82" i="98"/>
  <c r="AO82" i="98" s="1"/>
  <c r="M83" i="98"/>
  <c r="AK83" i="98" s="1"/>
  <c r="AC87" i="98"/>
  <c r="AO87" i="98" s="1"/>
  <c r="AC89" i="98"/>
  <c r="AO89" i="98" s="1"/>
  <c r="M90" i="98"/>
  <c r="AK90" i="98" s="1"/>
  <c r="AD110" i="1"/>
  <c r="M92" i="98"/>
  <c r="AK92" i="98" s="1"/>
  <c r="AC101" i="98"/>
  <c r="AO101" i="98" s="1"/>
  <c r="AT112" i="1"/>
  <c r="AU112" i="1" s="1"/>
  <c r="AV112" i="1" s="1"/>
  <c r="AW112" i="1" s="1"/>
  <c r="DI101" i="98"/>
  <c r="AD102" i="98"/>
  <c r="AP102" i="98" s="1"/>
  <c r="AZ102" i="98"/>
  <c r="EQ102" i="98"/>
  <c r="M104" i="98"/>
  <c r="AK104" i="98" s="1"/>
  <c r="AD115" i="1"/>
  <c r="AC107" i="98"/>
  <c r="AO107" i="98" s="1"/>
  <c r="AC108" i="98"/>
  <c r="AO108" i="98" s="1"/>
  <c r="AT117" i="1"/>
  <c r="AU117" i="1" s="1"/>
  <c r="AV117" i="1" s="1"/>
  <c r="M110" i="98"/>
  <c r="AK110" i="98" s="1"/>
  <c r="AD119" i="1"/>
  <c r="AC110" i="98"/>
  <c r="AO110" i="98" s="1"/>
  <c r="AT119" i="1"/>
  <c r="AU119" i="1" s="1"/>
  <c r="AV119" i="1" s="1"/>
  <c r="O114" i="98"/>
  <c r="AM114" i="98" s="1"/>
  <c r="V114" i="98"/>
  <c r="M116" i="98"/>
  <c r="AK116" i="98" s="1"/>
  <c r="M117" i="98"/>
  <c r="AK117" i="98" s="1"/>
  <c r="AD124" i="1"/>
  <c r="CY117" i="98"/>
  <c r="DG117" i="98" s="1"/>
  <c r="M118" i="98"/>
  <c r="AK118" i="98" s="1"/>
  <c r="AC120" i="98"/>
  <c r="AO120" i="98" s="1"/>
  <c r="M122" i="98"/>
  <c r="AK122" i="98" s="1"/>
  <c r="AD125" i="1"/>
  <c r="AC128" i="98"/>
  <c r="AO128" i="98" s="1"/>
  <c r="AT127" i="1"/>
  <c r="AU127" i="1" s="1"/>
  <c r="AV127" i="1" s="1"/>
  <c r="AC133" i="98"/>
  <c r="AO133" i="98" s="1"/>
  <c r="M136" i="98"/>
  <c r="AK136" i="98" s="1"/>
  <c r="AD130" i="1"/>
  <c r="O136" i="98"/>
  <c r="AM136" i="98" s="1"/>
  <c r="EH136" i="98"/>
  <c r="AD137" i="98"/>
  <c r="AP137" i="98" s="1"/>
  <c r="EG137" i="98"/>
  <c r="AC138" i="98"/>
  <c r="AO138" i="98" s="1"/>
  <c r="BJ154" i="98"/>
  <c r="EN154" i="98"/>
  <c r="X155" i="98"/>
  <c r="EG155" i="98"/>
  <c r="V155" i="98"/>
  <c r="AC156" i="98"/>
  <c r="AO156" i="98" s="1"/>
  <c r="AT136" i="1"/>
  <c r="AU136" i="1" s="1"/>
  <c r="AV136" i="1" s="1"/>
  <c r="AE156" i="98"/>
  <c r="AQ156" i="98" s="1"/>
  <c r="AC163" i="98"/>
  <c r="AO163" i="98" s="1"/>
  <c r="BJ167" i="98"/>
  <c r="EN167" i="98"/>
  <c r="EF173" i="98"/>
  <c r="M178" i="98"/>
  <c r="AK178" i="98" s="1"/>
  <c r="C434" i="98"/>
  <c r="EE434" i="98" s="1"/>
  <c r="EE190" i="98"/>
  <c r="M151" i="98"/>
  <c r="AK151" i="98" s="1"/>
  <c r="AD131" i="1"/>
  <c r="AC152" i="98"/>
  <c r="AO152" i="98" s="1"/>
  <c r="AT132" i="1"/>
  <c r="AU132" i="1" s="1"/>
  <c r="AV132" i="1" s="1"/>
  <c r="M154" i="98"/>
  <c r="AK154" i="98" s="1"/>
  <c r="AD134" i="1"/>
  <c r="M156" i="98"/>
  <c r="AK156" i="98" s="1"/>
  <c r="AD136" i="1"/>
  <c r="M157" i="98"/>
  <c r="AK157" i="98" s="1"/>
  <c r="AC158" i="98"/>
  <c r="AO158" i="98" s="1"/>
  <c r="AT155" i="1"/>
  <c r="AU155" i="1" s="1"/>
  <c r="AV155" i="1" s="1"/>
  <c r="AW155" i="1" s="1"/>
  <c r="M159" i="98"/>
  <c r="AK159" i="98" s="1"/>
  <c r="AD138" i="1"/>
  <c r="M161" i="98"/>
  <c r="AK161" i="98" s="1"/>
  <c r="AC162" i="98"/>
  <c r="AO162" i="98" s="1"/>
  <c r="CJ166" i="98"/>
  <c r="EM166" i="98"/>
  <c r="D411" i="98"/>
  <c r="R141" i="1"/>
  <c r="BF141" i="1" s="1"/>
  <c r="AC167" i="98"/>
  <c r="AO167" i="98" s="1"/>
  <c r="AT141" i="1"/>
  <c r="AU141" i="1" s="1"/>
  <c r="AV141" i="1" s="1"/>
  <c r="AW141" i="1" s="1"/>
  <c r="BB167" i="98"/>
  <c r="BB411" i="98" s="1"/>
  <c r="ER411" i="98" s="1"/>
  <c r="AC170" i="98"/>
  <c r="AO170" i="98" s="1"/>
  <c r="M173" i="98"/>
  <c r="AK173" i="98" s="1"/>
  <c r="M175" i="98"/>
  <c r="AK175" i="98" s="1"/>
  <c r="M179" i="98"/>
  <c r="AK179" i="98" s="1"/>
  <c r="AC180" i="98"/>
  <c r="AO180" i="98" s="1"/>
  <c r="AC181" i="98"/>
  <c r="AO181" i="98" s="1"/>
  <c r="M182" i="98"/>
  <c r="AK182" i="98" s="1"/>
  <c r="AY183" i="98"/>
  <c r="EM183" i="98"/>
  <c r="M185" i="98"/>
  <c r="AK185" i="98" s="1"/>
  <c r="AD143" i="1"/>
  <c r="AL144" i="1"/>
  <c r="AE144" i="1"/>
  <c r="AF144" i="1" s="1"/>
  <c r="CY187" i="98"/>
  <c r="DG187" i="98" s="1"/>
  <c r="AC188" i="98"/>
  <c r="AO188" i="98" s="1"/>
  <c r="AT145" i="1"/>
  <c r="AU145" i="1" s="1"/>
  <c r="AV145" i="1" s="1"/>
  <c r="AW145" i="1" s="1"/>
  <c r="EH189" i="98"/>
  <c r="AC191" i="98"/>
  <c r="AO191" i="98" s="1"/>
  <c r="AT148" i="1"/>
  <c r="AU148" i="1" s="1"/>
  <c r="AV148" i="1" s="1"/>
  <c r="AL151" i="1"/>
  <c r="AP151" i="1" s="1"/>
  <c r="AE151" i="1"/>
  <c r="AM151" i="1" s="1"/>
  <c r="AQ151" i="1" s="1"/>
  <c r="X194" i="98"/>
  <c r="AC197" i="98"/>
  <c r="AO197" i="98" s="1"/>
  <c r="AQ199" i="98"/>
  <c r="X216" i="98"/>
  <c r="BB216" i="98"/>
  <c r="ER216" i="98" s="1"/>
  <c r="CK216" i="98"/>
  <c r="M229" i="98"/>
  <c r="AK229" i="98" s="1"/>
  <c r="AC229" i="98"/>
  <c r="AO229" i="98" s="1"/>
  <c r="M250" i="98"/>
  <c r="AK250" i="98" s="1"/>
  <c r="O250" i="98"/>
  <c r="AM250" i="98" s="1"/>
  <c r="AE250" i="98"/>
  <c r="AQ250" i="98" s="1"/>
  <c r="EH250" i="98"/>
  <c r="M252" i="98"/>
  <c r="AK252" i="98" s="1"/>
  <c r="U260" i="98"/>
  <c r="BB260" i="98"/>
  <c r="ER260" i="98" s="1"/>
  <c r="EI260" i="98"/>
  <c r="M262" i="98"/>
  <c r="AK262" i="98" s="1"/>
  <c r="AD266" i="98"/>
  <c r="AP266" i="98" s="1"/>
  <c r="O267" i="98"/>
  <c r="AM267" i="98" s="1"/>
  <c r="M268" i="98"/>
  <c r="AK268" i="98" s="1"/>
  <c r="M272" i="98"/>
  <c r="AK272" i="98" s="1"/>
  <c r="M273" i="98"/>
  <c r="AK273" i="98" s="1"/>
  <c r="W274" i="98"/>
  <c r="AT274" i="98"/>
  <c r="EJ274" i="98" s="1"/>
  <c r="EQ274" i="98"/>
  <c r="W278" i="98"/>
  <c r="AF279" i="98"/>
  <c r="AR279" i="98" s="1"/>
  <c r="W282" i="98"/>
  <c r="AF283" i="98"/>
  <c r="AR283" i="98" s="1"/>
  <c r="AT198" i="1"/>
  <c r="AL198" i="1"/>
  <c r="AP198" i="1" s="1"/>
  <c r="AE198" i="1"/>
  <c r="W291" i="98"/>
  <c r="M294" i="98"/>
  <c r="AK294" i="98" s="1"/>
  <c r="AD295" i="98"/>
  <c r="AP295" i="98" s="1"/>
  <c r="W296" i="98"/>
  <c r="AD299" i="98"/>
  <c r="AP299" i="98" s="1"/>
  <c r="W300" i="98"/>
  <c r="M302" i="98"/>
  <c r="AK302" i="98" s="1"/>
  <c r="AD303" i="98"/>
  <c r="AP303" i="98" s="1"/>
  <c r="W304" i="98"/>
  <c r="M306" i="98"/>
  <c r="AK306" i="98" s="1"/>
  <c r="AD307" i="98"/>
  <c r="AP307" i="98" s="1"/>
  <c r="W308" i="98"/>
  <c r="AD311" i="98"/>
  <c r="AP311" i="98" s="1"/>
  <c r="W312" i="98"/>
  <c r="AD315" i="98"/>
  <c r="AP315" i="98" s="1"/>
  <c r="W316" i="98"/>
  <c r="AF328" i="98"/>
  <c r="AR328" i="98" s="1"/>
  <c r="W331" i="98"/>
  <c r="M346" i="98"/>
  <c r="AK346" i="98" s="1"/>
  <c r="V346" i="98"/>
  <c r="AX346" i="98"/>
  <c r="EN346" i="98" s="1"/>
  <c r="EM346" i="98"/>
  <c r="AE356" i="98"/>
  <c r="AQ356" i="98" s="1"/>
  <c r="V358" i="98"/>
  <c r="AT358" i="98"/>
  <c r="EJ358" i="98" s="1"/>
  <c r="EM358" i="98"/>
  <c r="AE361" i="98"/>
  <c r="AQ361" i="98" s="1"/>
  <c r="X367" i="98"/>
  <c r="M368" i="98"/>
  <c r="AK368" i="98" s="1"/>
  <c r="M371" i="98"/>
  <c r="AK371" i="98" s="1"/>
  <c r="M374" i="98"/>
  <c r="AK374" i="98" s="1"/>
  <c r="M378" i="98"/>
  <c r="AK378" i="98" s="1"/>
  <c r="M380" i="98"/>
  <c r="AK380" i="98" s="1"/>
  <c r="AV380" i="98"/>
  <c r="EL380" i="98" s="1"/>
  <c r="BD380" i="98"/>
  <c r="ET380" i="98" s="1"/>
  <c r="V403" i="98"/>
  <c r="V404" i="98"/>
  <c r="V405" i="98"/>
  <c r="V406" i="98"/>
  <c r="V407" i="98"/>
  <c r="V413" i="98"/>
  <c r="BE484" i="98"/>
  <c r="AU484" i="98"/>
  <c r="EI484" i="98"/>
  <c r="AT484" i="98"/>
  <c r="EJ484" i="98" s="1"/>
  <c r="AV484" i="98"/>
  <c r="BH484" i="98" s="1"/>
  <c r="M571" i="98"/>
  <c r="AK571" i="98" s="1"/>
  <c r="AC192" i="98"/>
  <c r="AO192" i="98" s="1"/>
  <c r="AT149" i="1"/>
  <c r="AU149" i="1" s="1"/>
  <c r="AV149" i="1" s="1"/>
  <c r="AW149" i="1" s="1"/>
  <c r="M195" i="98"/>
  <c r="M196" i="98"/>
  <c r="AK196" i="98" s="1"/>
  <c r="AD152" i="1"/>
  <c r="AP197" i="98"/>
  <c r="M198" i="98"/>
  <c r="AK198" i="98" s="1"/>
  <c r="AD156" i="1"/>
  <c r="AK199" i="98"/>
  <c r="BF211" i="1"/>
  <c r="BH211" i="1"/>
  <c r="BG211" i="1"/>
  <c r="BI211" i="1"/>
  <c r="AC225" i="98"/>
  <c r="AO225" i="98" s="1"/>
  <c r="AC227" i="98"/>
  <c r="AO227" i="98" s="1"/>
  <c r="M257" i="98"/>
  <c r="AK257" i="98" s="1"/>
  <c r="M258" i="98"/>
  <c r="AK258" i="98" s="1"/>
  <c r="M259" i="98"/>
  <c r="AK259" i="98" s="1"/>
  <c r="EK260" i="98"/>
  <c r="M263" i="98"/>
  <c r="AK263" i="98" s="1"/>
  <c r="EF267" i="98"/>
  <c r="M269" i="98"/>
  <c r="AK269" i="98" s="1"/>
  <c r="AE192" i="1"/>
  <c r="AT192" i="1"/>
  <c r="AL192" i="1"/>
  <c r="AE194" i="1"/>
  <c r="AL194" i="1"/>
  <c r="AP194" i="1" s="1"/>
  <c r="AT194" i="1"/>
  <c r="AL195" i="1"/>
  <c r="AE195" i="1"/>
  <c r="AT195" i="1"/>
  <c r="M286" i="98"/>
  <c r="AK286" i="98" s="1"/>
  <c r="M288" i="98"/>
  <c r="AK288" i="98" s="1"/>
  <c r="AD197" i="1"/>
  <c r="M295" i="98"/>
  <c r="AK295" i="98" s="1"/>
  <c r="M303" i="98"/>
  <c r="AK303" i="98" s="1"/>
  <c r="M307" i="98"/>
  <c r="AK307" i="98" s="1"/>
  <c r="BI191" i="1"/>
  <c r="BG191" i="1"/>
  <c r="BF191" i="1"/>
  <c r="BH191" i="1"/>
  <c r="EQ346" i="98"/>
  <c r="AF447" i="98"/>
  <c r="AR447" i="98" s="1"/>
  <c r="EG467" i="98"/>
  <c r="BC484" i="98"/>
  <c r="ES484" i="98" s="1"/>
  <c r="EQ484" i="98"/>
  <c r="BB484" i="98"/>
  <c r="ER484" i="98" s="1"/>
  <c r="BD484" i="98"/>
  <c r="ET484" i="98" s="1"/>
  <c r="EH563" i="98"/>
  <c r="W578" i="98"/>
  <c r="V578" i="98"/>
  <c r="AC151" i="98"/>
  <c r="AO151" i="98" s="1"/>
  <c r="AT131" i="1"/>
  <c r="AU131" i="1" s="1"/>
  <c r="AV131" i="1" s="1"/>
  <c r="AV155" i="98"/>
  <c r="EL155" i="98" s="1"/>
  <c r="AC157" i="98"/>
  <c r="AO157" i="98" s="1"/>
  <c r="AC159" i="98"/>
  <c r="AO159" i="98" s="1"/>
  <c r="AT138" i="1"/>
  <c r="AU138" i="1" s="1"/>
  <c r="AV138" i="1" s="1"/>
  <c r="AC161" i="98"/>
  <c r="AO161" i="98" s="1"/>
  <c r="M164" i="98"/>
  <c r="AK164" i="98" s="1"/>
  <c r="AD139" i="1"/>
  <c r="M166" i="98"/>
  <c r="AK166" i="98" s="1"/>
  <c r="AD140" i="1"/>
  <c r="O166" i="98"/>
  <c r="AM166" i="98" s="1"/>
  <c r="AY166" i="98"/>
  <c r="BD166" i="98"/>
  <c r="BL166" i="98"/>
  <c r="EQ166" i="98"/>
  <c r="F411" i="98"/>
  <c r="AD411" i="98" s="1"/>
  <c r="AP411" i="98" s="1"/>
  <c r="P167" i="98"/>
  <c r="AN167" i="98" s="1"/>
  <c r="W167" i="98"/>
  <c r="AZ167" i="98"/>
  <c r="EF167" i="98"/>
  <c r="M170" i="98"/>
  <c r="AK170" i="98" s="1"/>
  <c r="AC175" i="98"/>
  <c r="AO175" i="98" s="1"/>
  <c r="M177" i="98"/>
  <c r="AK177" i="98" s="1"/>
  <c r="M180" i="98"/>
  <c r="AK180" i="98" s="1"/>
  <c r="AC182" i="98"/>
  <c r="AO182" i="98" s="1"/>
  <c r="V187" i="98"/>
  <c r="M188" i="98"/>
  <c r="AK188" i="98" s="1"/>
  <c r="AD145" i="1"/>
  <c r="AC189" i="98"/>
  <c r="AO189" i="98" s="1"/>
  <c r="AT146" i="1"/>
  <c r="AU146" i="1" s="1"/>
  <c r="AV146" i="1" s="1"/>
  <c r="AW146" i="1" s="1"/>
  <c r="AE189" i="98"/>
  <c r="AQ189" i="98" s="1"/>
  <c r="AF190" i="98"/>
  <c r="AR190" i="98" s="1"/>
  <c r="AY190" i="98"/>
  <c r="BK190" i="98" s="1"/>
  <c r="M193" i="98"/>
  <c r="AK193" i="98" s="1"/>
  <c r="AD150" i="1"/>
  <c r="V194" i="98"/>
  <c r="AC195" i="98"/>
  <c r="AO195" i="98" s="1"/>
  <c r="AR195" i="98"/>
  <c r="BI196" i="98"/>
  <c r="EE198" i="98"/>
  <c r="AM199" i="98"/>
  <c r="BG208" i="1"/>
  <c r="BF208" i="1"/>
  <c r="BI208" i="1"/>
  <c r="BH208" i="1"/>
  <c r="BI212" i="1"/>
  <c r="BH212" i="1"/>
  <c r="BG212" i="1"/>
  <c r="R213" i="1"/>
  <c r="O213" i="1" s="1"/>
  <c r="BF212" i="1"/>
  <c r="O229" i="98"/>
  <c r="AM229" i="98" s="1"/>
  <c r="AE229" i="98"/>
  <c r="AQ229" i="98" s="1"/>
  <c r="M245" i="98"/>
  <c r="AK245" i="98" s="1"/>
  <c r="AD154" i="1"/>
  <c r="AC250" i="98"/>
  <c r="AO250" i="98" s="1"/>
  <c r="M254" i="98"/>
  <c r="AK254" i="98" s="1"/>
  <c r="M256" i="98"/>
  <c r="AK256" i="98" s="1"/>
  <c r="AT260" i="98"/>
  <c r="EJ260" i="98" s="1"/>
  <c r="EF266" i="98"/>
  <c r="M267" i="98"/>
  <c r="AK267" i="98" s="1"/>
  <c r="U274" i="98"/>
  <c r="X274" i="98"/>
  <c r="BB274" i="98"/>
  <c r="ER274" i="98" s="1"/>
  <c r="EI274" i="98"/>
  <c r="AT191" i="1"/>
  <c r="AL191" i="1"/>
  <c r="AP191" i="1" s="1"/>
  <c r="AE191" i="1"/>
  <c r="W280" i="98"/>
  <c r="AT193" i="1"/>
  <c r="AL193" i="1"/>
  <c r="AP193" i="1" s="1"/>
  <c r="AE193" i="1"/>
  <c r="U289" i="98"/>
  <c r="M291" i="98"/>
  <c r="AK291" i="98" s="1"/>
  <c r="AD292" i="98"/>
  <c r="AP292" i="98" s="1"/>
  <c r="AD293" i="98"/>
  <c r="AP293" i="98" s="1"/>
  <c r="W294" i="98"/>
  <c r="M296" i="98"/>
  <c r="AK296" i="98" s="1"/>
  <c r="AD297" i="98"/>
  <c r="AP297" i="98" s="1"/>
  <c r="W298" i="98"/>
  <c r="AD301" i="98"/>
  <c r="AP301" i="98" s="1"/>
  <c r="W302" i="98"/>
  <c r="M304" i="98"/>
  <c r="AK304" i="98" s="1"/>
  <c r="AD305" i="98"/>
  <c r="AP305" i="98" s="1"/>
  <c r="W306" i="98"/>
  <c r="AD309" i="98"/>
  <c r="AP309" i="98" s="1"/>
  <c r="W310" i="98"/>
  <c r="AD313" i="98"/>
  <c r="AP313" i="98" s="1"/>
  <c r="W314" i="98"/>
  <c r="AD317" i="98"/>
  <c r="AP317" i="98" s="1"/>
  <c r="W318" i="98"/>
  <c r="AF332" i="98"/>
  <c r="AR332" i="98" s="1"/>
  <c r="W333" i="98"/>
  <c r="X344" i="98"/>
  <c r="BB346" i="98"/>
  <c r="ER346" i="98" s="1"/>
  <c r="AE354" i="98"/>
  <c r="AQ354" i="98" s="1"/>
  <c r="AE358" i="98"/>
  <c r="AQ358" i="98" s="1"/>
  <c r="AX358" i="98"/>
  <c r="EN358" i="98" s="1"/>
  <c r="AE359" i="98"/>
  <c r="AQ359" i="98" s="1"/>
  <c r="V361" i="98"/>
  <c r="AD361" i="98"/>
  <c r="AP361" i="98" s="1"/>
  <c r="AE362" i="98"/>
  <c r="AQ362" i="98" s="1"/>
  <c r="P364" i="98"/>
  <c r="AN364" i="98" s="1"/>
  <c r="P366" i="98"/>
  <c r="AN366" i="98" s="1"/>
  <c r="M369" i="98"/>
  <c r="AK369" i="98" s="1"/>
  <c r="M372" i="98"/>
  <c r="AK372" i="98" s="1"/>
  <c r="M375" i="98"/>
  <c r="AK375" i="98" s="1"/>
  <c r="M376" i="98"/>
  <c r="AK376" i="98" s="1"/>
  <c r="M377" i="98"/>
  <c r="AK377" i="98" s="1"/>
  <c r="M379" i="98"/>
  <c r="AK379" i="98" s="1"/>
  <c r="P380" i="98"/>
  <c r="AN380" i="98" s="1"/>
  <c r="X380" i="98"/>
  <c r="AZ380" i="98"/>
  <c r="EP380" i="98" s="1"/>
  <c r="U384" i="98"/>
  <c r="U385" i="98"/>
  <c r="U386" i="98"/>
  <c r="U387" i="98"/>
  <c r="U388" i="98"/>
  <c r="U389" i="98"/>
  <c r="U390" i="98"/>
  <c r="AD392" i="98"/>
  <c r="AP392" i="98" s="1"/>
  <c r="AD393" i="98"/>
  <c r="AP393" i="98" s="1"/>
  <c r="AD394" i="98"/>
  <c r="AP394" i="98" s="1"/>
  <c r="AD395" i="98"/>
  <c r="AP395" i="98" s="1"/>
  <c r="AD397" i="98"/>
  <c r="AP397" i="98" s="1"/>
  <c r="V398" i="98"/>
  <c r="V401" i="98"/>
  <c r="V402" i="98"/>
  <c r="AD414" i="98"/>
  <c r="AP414" i="98" s="1"/>
  <c r="AD513" i="98"/>
  <c r="AP513" i="98" s="1"/>
  <c r="M579" i="98"/>
  <c r="AK579" i="98" s="1"/>
  <c r="M582" i="98"/>
  <c r="AK582" i="98" s="1"/>
  <c r="M158" i="98"/>
  <c r="AK158" i="98" s="1"/>
  <c r="AD155" i="1"/>
  <c r="M162" i="98"/>
  <c r="AK162" i="98" s="1"/>
  <c r="M163" i="98"/>
  <c r="AK163" i="98" s="1"/>
  <c r="AC164" i="98"/>
  <c r="AO164" i="98" s="1"/>
  <c r="AT139" i="1"/>
  <c r="AU139" i="1" s="1"/>
  <c r="AV139" i="1" s="1"/>
  <c r="AW139" i="1" s="1"/>
  <c r="AC166" i="98"/>
  <c r="AO166" i="98" s="1"/>
  <c r="AT140" i="1"/>
  <c r="AU140" i="1" s="1"/>
  <c r="AV140" i="1" s="1"/>
  <c r="AW140" i="1" s="1"/>
  <c r="M167" i="98"/>
  <c r="AK167" i="98" s="1"/>
  <c r="AD141" i="1"/>
  <c r="P173" i="98"/>
  <c r="AN173" i="98" s="1"/>
  <c r="M174" i="98"/>
  <c r="AK174" i="98" s="1"/>
  <c r="M176" i="98"/>
  <c r="AK176" i="98" s="1"/>
  <c r="AC177" i="98"/>
  <c r="AO177" i="98" s="1"/>
  <c r="AC178" i="98"/>
  <c r="AO178" i="98" s="1"/>
  <c r="M181" i="98"/>
  <c r="AK181" i="98" s="1"/>
  <c r="AF185" i="98"/>
  <c r="AR185" i="98" s="1"/>
  <c r="DF187" i="98"/>
  <c r="AS187" i="98" s="1"/>
  <c r="AV187" i="98" s="1"/>
  <c r="EL187" i="98" s="1"/>
  <c r="M190" i="98"/>
  <c r="AK190" i="98" s="1"/>
  <c r="AD147" i="1"/>
  <c r="M191" i="98"/>
  <c r="AK191" i="98" s="1"/>
  <c r="AD148" i="1"/>
  <c r="M192" i="98"/>
  <c r="AK192" i="98" s="1"/>
  <c r="AD149" i="1"/>
  <c r="AC193" i="98"/>
  <c r="AO193" i="98" s="1"/>
  <c r="AT150" i="1"/>
  <c r="AU150" i="1" s="1"/>
  <c r="AV150" i="1" s="1"/>
  <c r="BK196" i="98"/>
  <c r="M197" i="98"/>
  <c r="AP199" i="98"/>
  <c r="BI209" i="1"/>
  <c r="BF209" i="1"/>
  <c r="BH209" i="1"/>
  <c r="BG209" i="1"/>
  <c r="V216" i="98"/>
  <c r="M225" i="98"/>
  <c r="AK225" i="98" s="1"/>
  <c r="M227" i="98"/>
  <c r="AK227" i="98" s="1"/>
  <c r="AC245" i="98"/>
  <c r="AO245" i="98" s="1"/>
  <c r="AT154" i="1"/>
  <c r="AU154" i="1" s="1"/>
  <c r="AV154" i="1" s="1"/>
  <c r="AW154" i="1" s="1"/>
  <c r="BG250" i="98"/>
  <c r="EF250" i="98"/>
  <c r="M251" i="98"/>
  <c r="AK251" i="98" s="1"/>
  <c r="M253" i="98"/>
  <c r="AK253" i="98" s="1"/>
  <c r="M255" i="98"/>
  <c r="AK255" i="98" s="1"/>
  <c r="AV260" i="98"/>
  <c r="EL260" i="98" s="1"/>
  <c r="EQ260" i="98"/>
  <c r="M261" i="98"/>
  <c r="AK261" i="98" s="1"/>
  <c r="M266" i="98"/>
  <c r="AK266" i="98" s="1"/>
  <c r="U266" i="98"/>
  <c r="M270" i="98"/>
  <c r="AK270" i="98" s="1"/>
  <c r="U271" i="98"/>
  <c r="EF274" i="98"/>
  <c r="BD274" i="98"/>
  <c r="ET274" i="98" s="1"/>
  <c r="M285" i="98"/>
  <c r="AK285" i="98" s="1"/>
  <c r="M287" i="98"/>
  <c r="AK287" i="98" s="1"/>
  <c r="AD196" i="1"/>
  <c r="AC289" i="98"/>
  <c r="AO289" i="98" s="1"/>
  <c r="M292" i="98"/>
  <c r="AK292" i="98" s="1"/>
  <c r="M293" i="98"/>
  <c r="AK293" i="98" s="1"/>
  <c r="M297" i="98"/>
  <c r="AK297" i="98" s="1"/>
  <c r="M301" i="98"/>
  <c r="AK301" i="98" s="1"/>
  <c r="AD199" i="1"/>
  <c r="M305" i="98"/>
  <c r="AK305" i="98" s="1"/>
  <c r="U358" i="98"/>
  <c r="EI358" i="98"/>
  <c r="E49" i="98" s="1"/>
  <c r="E510" i="98" s="1"/>
  <c r="P367" i="98"/>
  <c r="AN367" i="98" s="1"/>
  <c r="U369" i="98"/>
  <c r="U372" i="98"/>
  <c r="U375" i="98"/>
  <c r="U376" i="98"/>
  <c r="U377" i="98"/>
  <c r="U379" i="98"/>
  <c r="EG380" i="98"/>
  <c r="AD401" i="98"/>
  <c r="AP401" i="98" s="1"/>
  <c r="AD402" i="98"/>
  <c r="AP402" i="98" s="1"/>
  <c r="M559" i="98"/>
  <c r="AK559" i="98" s="1"/>
  <c r="AE416" i="98"/>
  <c r="AQ416" i="98" s="1"/>
  <c r="AE418" i="98"/>
  <c r="AQ418" i="98" s="1"/>
  <c r="AE422" i="98"/>
  <c r="AQ422" i="98" s="1"/>
  <c r="AE426" i="98"/>
  <c r="AQ426" i="98" s="1"/>
  <c r="W427" i="98"/>
  <c r="AE428" i="98"/>
  <c r="AQ428" i="98" s="1"/>
  <c r="W434" i="98"/>
  <c r="AE441" i="98"/>
  <c r="AQ441" i="98" s="1"/>
  <c r="O443" i="98"/>
  <c r="AM443" i="98" s="1"/>
  <c r="P444" i="98"/>
  <c r="AN444" i="98" s="1"/>
  <c r="P445" i="98"/>
  <c r="AN445" i="98" s="1"/>
  <c r="X447" i="98"/>
  <c r="AE450" i="98"/>
  <c r="AQ450" i="98" s="1"/>
  <c r="AE454" i="98"/>
  <c r="AQ454" i="98" s="1"/>
  <c r="AE458" i="98"/>
  <c r="AQ458" i="98" s="1"/>
  <c r="EF467" i="98"/>
  <c r="V467" i="98"/>
  <c r="AD467" i="98"/>
  <c r="AP467" i="98" s="1"/>
  <c r="BC467" i="98"/>
  <c r="ES467" i="98" s="1"/>
  <c r="P484" i="98"/>
  <c r="AN484" i="98" s="1"/>
  <c r="X484" i="98"/>
  <c r="EH491" i="98"/>
  <c r="BD501" i="98"/>
  <c r="ET501" i="98" s="1"/>
  <c r="EQ501" i="98"/>
  <c r="W516" i="98"/>
  <c r="V517" i="98"/>
  <c r="AF518" i="98"/>
  <c r="AR518" i="98" s="1"/>
  <c r="W520" i="98"/>
  <c r="U547" i="98"/>
  <c r="DF562" i="98"/>
  <c r="AS562" i="98" s="1"/>
  <c r="EG563" i="98"/>
  <c r="V567" i="98"/>
  <c r="M575" i="98"/>
  <c r="AK575" i="98" s="1"/>
  <c r="U575" i="98"/>
  <c r="AC575" i="98"/>
  <c r="AO575" i="98" s="1"/>
  <c r="CY575" i="98"/>
  <c r="DG575" i="98" s="1"/>
  <c r="W577" i="98"/>
  <c r="AC578" i="98"/>
  <c r="AO578" i="98" s="1"/>
  <c r="DF578" i="98"/>
  <c r="AS578" i="98" s="1"/>
  <c r="BE578" i="98" s="1"/>
  <c r="N583" i="98"/>
  <c r="AL583" i="98" s="1"/>
  <c r="M588" i="98"/>
  <c r="AK588" i="98" s="1"/>
  <c r="M591" i="98"/>
  <c r="AK591" i="98" s="1"/>
  <c r="AF593" i="98"/>
  <c r="AR593" i="98" s="1"/>
  <c r="M594" i="98"/>
  <c r="AK594" i="98" s="1"/>
  <c r="P597" i="98"/>
  <c r="AU597" i="98"/>
  <c r="BG597" i="98" s="1"/>
  <c r="AY597" i="98"/>
  <c r="EO597" i="98" s="1"/>
  <c r="BC597" i="98"/>
  <c r="ES597" i="98" s="1"/>
  <c r="EI597" i="98"/>
  <c r="AD598" i="98"/>
  <c r="AP598" i="98" s="1"/>
  <c r="M600" i="98"/>
  <c r="AK600" i="98" s="1"/>
  <c r="M603" i="98"/>
  <c r="AK603" i="98" s="1"/>
  <c r="M604" i="98"/>
  <c r="AK604" i="98" s="1"/>
  <c r="P608" i="98"/>
  <c r="AN608" i="98" s="1"/>
  <c r="EF608" i="98"/>
  <c r="M610" i="98"/>
  <c r="AK610" i="98" s="1"/>
  <c r="AD160" i="1"/>
  <c r="AT165" i="1"/>
  <c r="AU165" i="1" s="1"/>
  <c r="AV165" i="1" s="1"/>
  <c r="AW165" i="1" s="1"/>
  <c r="AE165" i="1"/>
  <c r="AL165" i="1"/>
  <c r="AP165" i="1" s="1"/>
  <c r="EI617" i="98"/>
  <c r="M620" i="98"/>
  <c r="AK620" i="98" s="1"/>
  <c r="AD166" i="1"/>
  <c r="V627" i="98"/>
  <c r="AF630" i="98"/>
  <c r="AR630" i="98" s="1"/>
  <c r="M635" i="98"/>
  <c r="AK635" i="98" s="1"/>
  <c r="AD173" i="1"/>
  <c r="M638" i="98"/>
  <c r="AK638" i="98" s="1"/>
  <c r="AD176" i="1"/>
  <c r="M642" i="98"/>
  <c r="AK642" i="98" s="1"/>
  <c r="AD180" i="1"/>
  <c r="DF648" i="98"/>
  <c r="AS648" i="98" s="1"/>
  <c r="P650" i="98"/>
  <c r="AN650" i="98" s="1"/>
  <c r="BD650" i="98"/>
  <c r="ET650" i="98" s="1"/>
  <c r="AD651" i="98"/>
  <c r="AP651" i="98" s="1"/>
  <c r="BD651" i="98"/>
  <c r="ET651" i="98" s="1"/>
  <c r="EH651" i="98"/>
  <c r="M659" i="98"/>
  <c r="AK659" i="98" s="1"/>
  <c r="AT190" i="1"/>
  <c r="AE190" i="1"/>
  <c r="AL190" i="1"/>
  <c r="AP190" i="1" s="1"/>
  <c r="AE598" i="98"/>
  <c r="AQ598" i="98" s="1"/>
  <c r="M608" i="98"/>
  <c r="AK608" i="98" s="1"/>
  <c r="AD158" i="1"/>
  <c r="EJ617" i="98"/>
  <c r="M624" i="98"/>
  <c r="AK624" i="98" s="1"/>
  <c r="AL168" i="1"/>
  <c r="AE168" i="1"/>
  <c r="AT168" i="1"/>
  <c r="AU168" i="1" s="1"/>
  <c r="AV168" i="1" s="1"/>
  <c r="AW168" i="1" s="1"/>
  <c r="AD169" i="1"/>
  <c r="AD170" i="1"/>
  <c r="M644" i="98"/>
  <c r="AK644" i="98" s="1"/>
  <c r="AD182" i="1"/>
  <c r="BK644" i="98"/>
  <c r="AE183" i="1"/>
  <c r="AT183" i="1"/>
  <c r="AU183" i="1" s="1"/>
  <c r="AV183" i="1" s="1"/>
  <c r="AW183" i="1" s="1"/>
  <c r="AL183" i="1"/>
  <c r="BK646" i="98"/>
  <c r="AE650" i="98"/>
  <c r="AQ650" i="98" s="1"/>
  <c r="BK650" i="98"/>
  <c r="EF650" i="98"/>
  <c r="AE651" i="98"/>
  <c r="AQ651" i="98" s="1"/>
  <c r="M653" i="98"/>
  <c r="AK653" i="98" s="1"/>
  <c r="AD186" i="1"/>
  <c r="BC659" i="98"/>
  <c r="ES659" i="98" s="1"/>
  <c r="EF659" i="98"/>
  <c r="AT187" i="1"/>
  <c r="AU187" i="1" s="1"/>
  <c r="AV187" i="1" s="1"/>
  <c r="AW187" i="1" s="1"/>
  <c r="AE187" i="1"/>
  <c r="AL187" i="1"/>
  <c r="M665" i="98"/>
  <c r="AK665" i="98" s="1"/>
  <c r="AE415" i="98"/>
  <c r="AQ415" i="98" s="1"/>
  <c r="AE420" i="98"/>
  <c r="AQ420" i="98" s="1"/>
  <c r="AE424" i="98"/>
  <c r="AQ424" i="98" s="1"/>
  <c r="AE430" i="98"/>
  <c r="AQ430" i="98" s="1"/>
  <c r="AE435" i="98"/>
  <c r="AQ435" i="98" s="1"/>
  <c r="AE437" i="98"/>
  <c r="AQ437" i="98" s="1"/>
  <c r="AE439" i="98"/>
  <c r="AQ439" i="98" s="1"/>
  <c r="AE443" i="98"/>
  <c r="AQ443" i="98" s="1"/>
  <c r="AE448" i="98"/>
  <c r="AQ448" i="98" s="1"/>
  <c r="AE452" i="98"/>
  <c r="AQ452" i="98" s="1"/>
  <c r="AE456" i="98"/>
  <c r="AQ456" i="98" s="1"/>
  <c r="AE460" i="98"/>
  <c r="AQ460" i="98" s="1"/>
  <c r="AF467" i="98"/>
  <c r="AR467" i="98" s="1"/>
  <c r="EQ467" i="98"/>
  <c r="W477" i="98"/>
  <c r="AU477" i="98"/>
  <c r="P481" i="98"/>
  <c r="AN481" i="98" s="1"/>
  <c r="EH481" i="98"/>
  <c r="P483" i="98"/>
  <c r="AN483" i="98" s="1"/>
  <c r="EH483" i="98"/>
  <c r="EV483" i="98" s="1"/>
  <c r="V484" i="98"/>
  <c r="AD491" i="98"/>
  <c r="AP491" i="98" s="1"/>
  <c r="W512" i="98"/>
  <c r="M518" i="98"/>
  <c r="AK518" i="98" s="1"/>
  <c r="AF519" i="98"/>
  <c r="AR519" i="98" s="1"/>
  <c r="AE545" i="98"/>
  <c r="AQ545" i="98" s="1"/>
  <c r="M552" i="98"/>
  <c r="AK552" i="98" s="1"/>
  <c r="U560" i="98"/>
  <c r="M563" i="98"/>
  <c r="AK563" i="98" s="1"/>
  <c r="U563" i="98"/>
  <c r="AC563" i="98"/>
  <c r="AO563" i="98" s="1"/>
  <c r="U564" i="98"/>
  <c r="M567" i="98"/>
  <c r="AK567" i="98" s="1"/>
  <c r="M568" i="98"/>
  <c r="AK568" i="98" s="1"/>
  <c r="U572" i="98"/>
  <c r="V575" i="98"/>
  <c r="O575" i="98"/>
  <c r="AM575" i="98" s="1"/>
  <c r="DA575" i="98"/>
  <c r="DI575" i="98" s="1"/>
  <c r="U576" i="98"/>
  <c r="X578" i="98"/>
  <c r="EH578" i="98"/>
  <c r="M584" i="98"/>
  <c r="AK584" i="98" s="1"/>
  <c r="AE586" i="98"/>
  <c r="AQ586" i="98" s="1"/>
  <c r="M592" i="98"/>
  <c r="AK592" i="98" s="1"/>
  <c r="M596" i="98"/>
  <c r="M597" i="98"/>
  <c r="BJ597" i="98"/>
  <c r="EF597" i="98"/>
  <c r="M607" i="98"/>
  <c r="AK607" i="98" s="1"/>
  <c r="AD157" i="1"/>
  <c r="AT162" i="1"/>
  <c r="AU162" i="1" s="1"/>
  <c r="AV162" i="1" s="1"/>
  <c r="AW162" i="1" s="1"/>
  <c r="AE162" i="1"/>
  <c r="AL162" i="1"/>
  <c r="AE163" i="1"/>
  <c r="AL163" i="1"/>
  <c r="AT163" i="1"/>
  <c r="AU163" i="1" s="1"/>
  <c r="AV163" i="1" s="1"/>
  <c r="AW163" i="1" s="1"/>
  <c r="AY616" i="98"/>
  <c r="BD616" i="98"/>
  <c r="ET616" i="98" s="1"/>
  <c r="AU617" i="98"/>
  <c r="AY617" i="98"/>
  <c r="BC617" i="98"/>
  <c r="ES617" i="98" s="1"/>
  <c r="EM617" i="98"/>
  <c r="AE167" i="1"/>
  <c r="AT167" i="1"/>
  <c r="AU167" i="1" s="1"/>
  <c r="AV167" i="1" s="1"/>
  <c r="AW167" i="1" s="1"/>
  <c r="AL167" i="1"/>
  <c r="M623" i="98"/>
  <c r="AK623" i="98" s="1"/>
  <c r="M625" i="98"/>
  <c r="AK625" i="98" s="1"/>
  <c r="AE627" i="98"/>
  <c r="AQ627" i="98" s="1"/>
  <c r="P628" i="98"/>
  <c r="AN628" i="98" s="1"/>
  <c r="X628" i="98"/>
  <c r="EG628" i="98"/>
  <c r="M629" i="98"/>
  <c r="AK629" i="98" s="1"/>
  <c r="AE631" i="98"/>
  <c r="AQ631" i="98" s="1"/>
  <c r="M632" i="98"/>
  <c r="AK632" i="98" s="1"/>
  <c r="AD171" i="1"/>
  <c r="AE172" i="1"/>
  <c r="AT172" i="1"/>
  <c r="AU172" i="1" s="1"/>
  <c r="AV172" i="1" s="1"/>
  <c r="AW172" i="1" s="1"/>
  <c r="AL172" i="1"/>
  <c r="AF637" i="98"/>
  <c r="AR637" i="98" s="1"/>
  <c r="M639" i="98"/>
  <c r="AK639" i="98" s="1"/>
  <c r="AD177" i="1"/>
  <c r="AL178" i="1"/>
  <c r="AP178" i="1" s="1"/>
  <c r="AE178" i="1"/>
  <c r="AT178" i="1"/>
  <c r="AU178" i="1" s="1"/>
  <c r="AV178" i="1" s="1"/>
  <c r="AW178" i="1" s="1"/>
  <c r="AE179" i="1"/>
  <c r="AT179" i="1"/>
  <c r="AU179" i="1" s="1"/>
  <c r="AV179" i="1" s="1"/>
  <c r="AW179" i="1" s="1"/>
  <c r="AL179" i="1"/>
  <c r="AP179" i="1" s="1"/>
  <c r="M643" i="98"/>
  <c r="AK643" i="98" s="1"/>
  <c r="AD181" i="1"/>
  <c r="AZ644" i="98"/>
  <c r="M645" i="98"/>
  <c r="AK645" i="98" s="1"/>
  <c r="AE184" i="1"/>
  <c r="AT184" i="1"/>
  <c r="AU184" i="1" s="1"/>
  <c r="AV184" i="1" s="1"/>
  <c r="AW184" i="1" s="1"/>
  <c r="AL184" i="1"/>
  <c r="AP184" i="1" s="1"/>
  <c r="M649" i="98"/>
  <c r="AK649" i="98" s="1"/>
  <c r="AD185" i="1"/>
  <c r="BB651" i="98"/>
  <c r="ER651" i="98" s="1"/>
  <c r="M658" i="98"/>
  <c r="O659" i="98"/>
  <c r="AM659" i="98" s="1"/>
  <c r="AE659" i="98"/>
  <c r="AQ659" i="98" s="1"/>
  <c r="EH659" i="98"/>
  <c r="M662" i="98"/>
  <c r="AK662" i="98" s="1"/>
  <c r="AD188" i="1"/>
  <c r="BD664" i="98"/>
  <c r="ET664" i="98" s="1"/>
  <c r="EQ664" i="98"/>
  <c r="V669" i="98"/>
  <c r="EF447" i="98"/>
  <c r="U467" i="98"/>
  <c r="AF477" i="98"/>
  <c r="AR477" i="98" s="1"/>
  <c r="P477" i="98"/>
  <c r="AN477" i="98" s="1"/>
  <c r="U481" i="98"/>
  <c r="U483" i="98"/>
  <c r="EF491" i="98"/>
  <c r="U518" i="98"/>
  <c r="P523" i="98"/>
  <c r="AN523" i="98" s="1"/>
  <c r="P527" i="98"/>
  <c r="AN527" i="98" s="1"/>
  <c r="P531" i="98"/>
  <c r="AN531" i="98" s="1"/>
  <c r="BC536" i="98"/>
  <c r="ES536" i="98" s="1"/>
  <c r="P544" i="98"/>
  <c r="AN544" i="98" s="1"/>
  <c r="M547" i="98"/>
  <c r="AK547" i="98" s="1"/>
  <c r="P548" i="98"/>
  <c r="AN548" i="98" s="1"/>
  <c r="AD575" i="98"/>
  <c r="AP575" i="98" s="1"/>
  <c r="P575" i="98"/>
  <c r="AN575" i="98" s="1"/>
  <c r="P577" i="98"/>
  <c r="AN577" i="98" s="1"/>
  <c r="U578" i="98"/>
  <c r="M586" i="98"/>
  <c r="AK586" i="98" s="1"/>
  <c r="U597" i="98"/>
  <c r="EG597" i="98"/>
  <c r="P598" i="98"/>
  <c r="AN598" i="98" s="1"/>
  <c r="AC598" i="98"/>
  <c r="AO598" i="98" s="1"/>
  <c r="BE598" i="98"/>
  <c r="EH598" i="98"/>
  <c r="P602" i="98"/>
  <c r="AN602" i="98" s="1"/>
  <c r="O608" i="98"/>
  <c r="AM608" i="98" s="1"/>
  <c r="AT159" i="1"/>
  <c r="AU159" i="1" s="1"/>
  <c r="AV159" i="1" s="1"/>
  <c r="AW159" i="1" s="1"/>
  <c r="AE159" i="1"/>
  <c r="AL159" i="1"/>
  <c r="AP159" i="1" s="1"/>
  <c r="M611" i="98"/>
  <c r="AK611" i="98" s="1"/>
  <c r="AD161" i="1"/>
  <c r="AT164" i="1"/>
  <c r="AU164" i="1" s="1"/>
  <c r="AV164" i="1" s="1"/>
  <c r="AW164" i="1" s="1"/>
  <c r="AE164" i="1"/>
  <c r="AL164" i="1"/>
  <c r="M615" i="98"/>
  <c r="AK615" i="98" s="1"/>
  <c r="AU616" i="98"/>
  <c r="EK616" i="98" s="1"/>
  <c r="AZ616" i="98"/>
  <c r="EP616" i="98" s="1"/>
  <c r="AV617" i="98"/>
  <c r="EL617" i="98" s="1"/>
  <c r="AZ617" i="98"/>
  <c r="EP617" i="98" s="1"/>
  <c r="BD617" i="98"/>
  <c r="ET617" i="98" s="1"/>
  <c r="M618" i="98"/>
  <c r="AK618" i="98" s="1"/>
  <c r="M619" i="98"/>
  <c r="AK619" i="98" s="1"/>
  <c r="M627" i="98"/>
  <c r="AK627" i="98" s="1"/>
  <c r="U627" i="98"/>
  <c r="AC627" i="98"/>
  <c r="AO627" i="98" s="1"/>
  <c r="M628" i="98"/>
  <c r="AK628" i="98" s="1"/>
  <c r="U628" i="98"/>
  <c r="M631" i="98"/>
  <c r="AK631" i="98" s="1"/>
  <c r="AL174" i="1"/>
  <c r="AP174" i="1" s="1"/>
  <c r="AE174" i="1"/>
  <c r="AT174" i="1"/>
  <c r="AU174" i="1" s="1"/>
  <c r="AV174" i="1" s="1"/>
  <c r="AW174" i="1" s="1"/>
  <c r="AE175" i="1"/>
  <c r="AT175" i="1"/>
  <c r="AU175" i="1" s="1"/>
  <c r="AV175" i="1" s="1"/>
  <c r="AW175" i="1" s="1"/>
  <c r="AL175" i="1"/>
  <c r="AP175" i="1" s="1"/>
  <c r="M640" i="98"/>
  <c r="AK640" i="98" s="1"/>
  <c r="P643" i="98"/>
  <c r="AN643" i="98" s="1"/>
  <c r="DI648" i="98"/>
  <c r="M650" i="98"/>
  <c r="AK650" i="98" s="1"/>
  <c r="O650" i="98"/>
  <c r="AM650" i="98" s="1"/>
  <c r="BC650" i="98"/>
  <c r="ES650" i="98" s="1"/>
  <c r="AX651" i="98"/>
  <c r="BJ651" i="98" s="1"/>
  <c r="BC651" i="98"/>
  <c r="ES651" i="98" s="1"/>
  <c r="M657" i="98"/>
  <c r="AK657" i="98" s="1"/>
  <c r="U658" i="98"/>
  <c r="AY659" i="98"/>
  <c r="EO659" i="98" s="1"/>
  <c r="M661" i="98"/>
  <c r="AK661" i="98" s="1"/>
  <c r="AT189" i="1"/>
  <c r="AU189" i="1" s="1"/>
  <c r="AV189" i="1" s="1"/>
  <c r="AW189" i="1" s="1"/>
  <c r="AL189" i="1"/>
  <c r="AE189" i="1"/>
  <c r="AD669" i="98"/>
  <c r="AP669" i="98" s="1"/>
  <c r="M670" i="98"/>
  <c r="AK670" i="98" s="1"/>
  <c r="AF672" i="98"/>
  <c r="AR672" i="98" s="1"/>
  <c r="AR118" i="1"/>
  <c r="BL155" i="1"/>
  <c r="BJ155" i="1"/>
  <c r="BM155" i="1"/>
  <c r="BK155" i="1"/>
  <c r="BJ137" i="1"/>
  <c r="BM138" i="1"/>
  <c r="BI120" i="1"/>
  <c r="BL138" i="1"/>
  <c r="BM149" i="1"/>
  <c r="AV156" i="1"/>
  <c r="BG111" i="1"/>
  <c r="BF111" i="1"/>
  <c r="BH111" i="1"/>
  <c r="BI111" i="1"/>
  <c r="BK111" i="1"/>
  <c r="BJ111" i="1"/>
  <c r="BL111" i="1"/>
  <c r="BM111" i="1"/>
  <c r="BG113" i="1"/>
  <c r="BF113" i="1"/>
  <c r="BH113" i="1"/>
  <c r="BI113" i="1"/>
  <c r="BG122" i="1"/>
  <c r="BF122" i="1"/>
  <c r="BI122" i="1"/>
  <c r="BH122" i="1"/>
  <c r="BG118" i="1"/>
  <c r="BF118" i="1"/>
  <c r="BI118" i="1"/>
  <c r="BH118" i="1"/>
  <c r="BG116" i="1"/>
  <c r="BF116" i="1"/>
  <c r="BH116" i="1"/>
  <c r="BI116" i="1"/>
  <c r="BK120" i="1"/>
  <c r="BJ120" i="1"/>
  <c r="BL120" i="1"/>
  <c r="BM120" i="1"/>
  <c r="BK114" i="1"/>
  <c r="BJ114" i="1"/>
  <c r="BL114" i="1"/>
  <c r="BM114" i="1"/>
  <c r="BG128" i="1"/>
  <c r="BF128" i="1"/>
  <c r="BI128" i="1"/>
  <c r="BH128" i="1"/>
  <c r="BK129" i="1"/>
  <c r="BJ129" i="1"/>
  <c r="BL129" i="1"/>
  <c r="BM129" i="1"/>
  <c r="BK127" i="1"/>
  <c r="BJ127" i="1"/>
  <c r="BL127" i="1"/>
  <c r="BM127" i="1"/>
  <c r="BK125" i="1"/>
  <c r="BJ125" i="1"/>
  <c r="BL125" i="1"/>
  <c r="BM125" i="1"/>
  <c r="BF131" i="1"/>
  <c r="BH131" i="1"/>
  <c r="BI131" i="1"/>
  <c r="BG131" i="1"/>
  <c r="BJ131" i="1"/>
  <c r="BL131" i="1"/>
  <c r="BM131" i="1"/>
  <c r="BK131" i="1"/>
  <c r="BF138" i="1"/>
  <c r="BG138" i="1"/>
  <c r="BH138" i="1"/>
  <c r="BI138" i="1"/>
  <c r="BF139" i="1"/>
  <c r="BG139" i="1"/>
  <c r="BI139" i="1"/>
  <c r="BH139" i="1"/>
  <c r="BF142" i="1"/>
  <c r="BH142" i="1"/>
  <c r="BI142" i="1"/>
  <c r="BG142" i="1"/>
  <c r="BG121" i="1"/>
  <c r="BF121" i="1"/>
  <c r="BH121" i="1"/>
  <c r="BI121" i="1"/>
  <c r="BG117" i="1"/>
  <c r="BF117" i="1"/>
  <c r="BH117" i="1"/>
  <c r="BI117" i="1"/>
  <c r="BH125" i="1"/>
  <c r="BG115" i="1"/>
  <c r="BF115" i="1"/>
  <c r="BK119" i="1"/>
  <c r="BJ119" i="1"/>
  <c r="BL119" i="1"/>
  <c r="BG127" i="1"/>
  <c r="BF127" i="1"/>
  <c r="BF132" i="1"/>
  <c r="BH132" i="1"/>
  <c r="BL132" i="1"/>
  <c r="BJ132" i="1"/>
  <c r="BF143" i="1"/>
  <c r="BH143" i="1"/>
  <c r="BJ148" i="1"/>
  <c r="BL148" i="1"/>
  <c r="BH115" i="1"/>
  <c r="BJ138" i="1"/>
  <c r="BG143" i="1"/>
  <c r="BK148" i="1"/>
  <c r="BG110" i="1"/>
  <c r="BF110" i="1"/>
  <c r="BG120" i="1"/>
  <c r="BF120" i="1"/>
  <c r="BG114" i="1"/>
  <c r="BF114" i="1"/>
  <c r="BK122" i="1"/>
  <c r="BJ122" i="1"/>
  <c r="BL122" i="1"/>
  <c r="BK118" i="1"/>
  <c r="BJ118" i="1"/>
  <c r="BL118" i="1"/>
  <c r="BM118" i="1"/>
  <c r="BK116" i="1"/>
  <c r="BJ116" i="1"/>
  <c r="BL116" i="1"/>
  <c r="BM116" i="1"/>
  <c r="BG126" i="1"/>
  <c r="BF126" i="1"/>
  <c r="BK128" i="1"/>
  <c r="BJ128" i="1"/>
  <c r="BL128" i="1"/>
  <c r="BM128" i="1"/>
  <c r="BK126" i="1"/>
  <c r="BJ126" i="1"/>
  <c r="BL126" i="1"/>
  <c r="BI133" i="1"/>
  <c r="BG133" i="1"/>
  <c r="BF133" i="1"/>
  <c r="BM133" i="1"/>
  <c r="BK133" i="1"/>
  <c r="BJ133" i="1"/>
  <c r="BJ139" i="1"/>
  <c r="BK139" i="1"/>
  <c r="BM139" i="1"/>
  <c r="BJ145" i="1"/>
  <c r="BL145" i="1"/>
  <c r="BJ150" i="1"/>
  <c r="BL150" i="1"/>
  <c r="BK150" i="1"/>
  <c r="AQ118" i="1"/>
  <c r="AS118" i="1"/>
  <c r="BI115" i="1"/>
  <c r="BH129" i="1"/>
  <c r="BK145" i="1"/>
  <c r="BM126" i="1"/>
  <c r="BH126" i="1"/>
  <c r="BM132" i="1"/>
  <c r="AP118" i="1"/>
  <c r="BM119" i="1"/>
  <c r="BM150" i="1"/>
  <c r="BG119" i="1"/>
  <c r="BF119" i="1"/>
  <c r="BK121" i="1"/>
  <c r="BJ121" i="1"/>
  <c r="BL121" i="1"/>
  <c r="BM121" i="1"/>
  <c r="BK117" i="1"/>
  <c r="BJ117" i="1"/>
  <c r="BL117" i="1"/>
  <c r="BK115" i="1"/>
  <c r="BJ115" i="1"/>
  <c r="BL115" i="1"/>
  <c r="BG129" i="1"/>
  <c r="BF129" i="1"/>
  <c r="BG125" i="1"/>
  <c r="BF125" i="1"/>
  <c r="BI134" i="1"/>
  <c r="BG134" i="1"/>
  <c r="BF134" i="1"/>
  <c r="BH137" i="1"/>
  <c r="BI137" i="1"/>
  <c r="BG137" i="1"/>
  <c r="BL137" i="1"/>
  <c r="BM137" i="1"/>
  <c r="BK137" i="1"/>
  <c r="BJ149" i="1"/>
  <c r="BL149" i="1"/>
  <c r="BL133" i="1"/>
  <c r="BG132" i="1"/>
  <c r="BL139" i="1"/>
  <c r="BF137" i="1"/>
  <c r="BH110" i="1"/>
  <c r="BM148" i="1"/>
  <c r="BI126" i="1"/>
  <c r="BH114" i="1"/>
  <c r="BH119" i="1"/>
  <c r="BH127" i="1"/>
  <c r="BI132" i="1"/>
  <c r="BI119" i="1"/>
  <c r="BM122" i="1"/>
  <c r="BM145" i="1"/>
  <c r="AD153" i="1"/>
  <c r="AT137" i="1"/>
  <c r="AU137" i="1" s="1"/>
  <c r="AV137" i="1" s="1"/>
  <c r="AW137" i="1" s="1"/>
  <c r="AT153" i="1"/>
  <c r="AU153" i="1" s="1"/>
  <c r="AV153" i="1" s="1"/>
  <c r="AW153" i="1" s="1"/>
  <c r="AD137" i="1"/>
  <c r="AV144" i="1"/>
  <c r="AV125" i="1"/>
  <c r="AW143" i="1"/>
  <c r="AV113" i="1"/>
  <c r="AV152" i="1"/>
  <c r="AV151" i="1"/>
  <c r="AV135" i="1"/>
  <c r="AW124" i="1"/>
  <c r="AV147" i="1"/>
  <c r="C28" i="100"/>
  <c r="G83" i="101"/>
  <c r="H83" i="101" s="1"/>
  <c r="C17" i="102"/>
  <c r="C18" i="102" s="1"/>
  <c r="J84" i="100"/>
  <c r="C17" i="100" s="1"/>
  <c r="C18" i="100" s="1"/>
  <c r="G84" i="101"/>
  <c r="H84" i="101" s="1"/>
  <c r="C29" i="101" s="1"/>
  <c r="I84" i="102"/>
  <c r="C10" i="102" s="1"/>
  <c r="G84" i="100"/>
  <c r="H84" i="100" s="1"/>
  <c r="C29" i="100" s="1"/>
  <c r="J84" i="101"/>
  <c r="C17" i="101" s="1"/>
  <c r="C18" i="101" s="1"/>
  <c r="G84" i="102"/>
  <c r="H84" i="102" s="1"/>
  <c r="C29" i="102" s="1"/>
  <c r="CK548" i="98"/>
  <c r="CK331" i="98"/>
  <c r="EI130" i="98"/>
  <c r="AW130" i="98"/>
  <c r="BE130" i="98"/>
  <c r="AV130" i="98"/>
  <c r="AT130" i="98"/>
  <c r="AU130" i="98"/>
  <c r="CK467" i="98"/>
  <c r="CK250" i="98"/>
  <c r="BE127" i="98"/>
  <c r="AV127" i="98"/>
  <c r="AU127" i="98"/>
  <c r="AW127" i="98"/>
  <c r="EI127" i="98"/>
  <c r="AT127" i="98"/>
  <c r="CK527" i="98"/>
  <c r="CK310" i="98"/>
  <c r="BH16" i="98"/>
  <c r="EL16" i="98"/>
  <c r="AW613" i="98"/>
  <c r="AW396" i="98"/>
  <c r="BI152" i="98"/>
  <c r="AZ152" i="98"/>
  <c r="EM152" i="98"/>
  <c r="AX152" i="98"/>
  <c r="AY152" i="98"/>
  <c r="BH10" i="98"/>
  <c r="EL10" i="98"/>
  <c r="BH12" i="98"/>
  <c r="EL12" i="98"/>
  <c r="BH14" i="98"/>
  <c r="EL14" i="98"/>
  <c r="CK480" i="98"/>
  <c r="CK263" i="98"/>
  <c r="CK483" i="98"/>
  <c r="CK266" i="98"/>
  <c r="AS590" i="98"/>
  <c r="AS373" i="98"/>
  <c r="BE129" i="98"/>
  <c r="AV129" i="98"/>
  <c r="AU129" i="98"/>
  <c r="AW129" i="98"/>
  <c r="EI129" i="98"/>
  <c r="AT129" i="98"/>
  <c r="AD6" i="98"/>
  <c r="AP6" i="98" s="1"/>
  <c r="EI6" i="98"/>
  <c r="EO6" i="98"/>
  <c r="BC468" i="98"/>
  <c r="ES468" i="98" s="1"/>
  <c r="BC251" i="98"/>
  <c r="ES251" i="98" s="1"/>
  <c r="CI468" i="98"/>
  <c r="CI251" i="98"/>
  <c r="CK7" i="98"/>
  <c r="AU8" i="98"/>
  <c r="BE8" i="98"/>
  <c r="EV8" i="98"/>
  <c r="BC470" i="98"/>
  <c r="ES470" i="98" s="1"/>
  <c r="BC253" i="98"/>
  <c r="ES253" i="98" s="1"/>
  <c r="CI470" i="98"/>
  <c r="CI253" i="98"/>
  <c r="CK9" i="98"/>
  <c r="AU10" i="98"/>
  <c r="BE10" i="98"/>
  <c r="EV10" i="98"/>
  <c r="EI10" i="98"/>
  <c r="BC472" i="98"/>
  <c r="ES472" i="98" s="1"/>
  <c r="BC255" i="98"/>
  <c r="ES255" i="98" s="1"/>
  <c r="CI472" i="98"/>
  <c r="CI255" i="98"/>
  <c r="CK11" i="98"/>
  <c r="AU12" i="98"/>
  <c r="BE12" i="98"/>
  <c r="EV12" i="98"/>
  <c r="EI12" i="98"/>
  <c r="BC474" i="98"/>
  <c r="ES474" i="98" s="1"/>
  <c r="BC257" i="98"/>
  <c r="ES257" i="98" s="1"/>
  <c r="CI474" i="98"/>
  <c r="CI257" i="98"/>
  <c r="CK13" i="98"/>
  <c r="AU14" i="98"/>
  <c r="BE14" i="98"/>
  <c r="EV14" i="98"/>
  <c r="EI14" i="98"/>
  <c r="BC476" i="98"/>
  <c r="ES476" i="98" s="1"/>
  <c r="BC259" i="98"/>
  <c r="ES259" i="98" s="1"/>
  <c r="CI476" i="98"/>
  <c r="CI259" i="98"/>
  <c r="CK15" i="98"/>
  <c r="AF16" i="98"/>
  <c r="AR16" i="98" s="1"/>
  <c r="AU16" i="98"/>
  <c r="BE16" i="98"/>
  <c r="BC478" i="98"/>
  <c r="ES478" i="98" s="1"/>
  <c r="BC261" i="98"/>
  <c r="ES261" i="98" s="1"/>
  <c r="CI478" i="98"/>
  <c r="CI261" i="98"/>
  <c r="CK17" i="98"/>
  <c r="EV18" i="98"/>
  <c r="D264" i="98"/>
  <c r="P20" i="98"/>
  <c r="AN20" i="98" s="1"/>
  <c r="N20" i="98"/>
  <c r="AL20" i="98" s="1"/>
  <c r="AU481" i="98"/>
  <c r="EK20" i="98"/>
  <c r="BF20" i="98"/>
  <c r="CK481" i="98"/>
  <c r="CK264" i="98"/>
  <c r="ET20" i="98"/>
  <c r="D265" i="98"/>
  <c r="M21" i="98"/>
  <c r="AK21" i="98" s="1"/>
  <c r="O21" i="98"/>
  <c r="AM21" i="98" s="1"/>
  <c r="BK21" i="98"/>
  <c r="EF21" i="98"/>
  <c r="EK21" i="98"/>
  <c r="U22" i="98"/>
  <c r="AE22" i="98"/>
  <c r="AQ22" i="98" s="1"/>
  <c r="EI22" i="98"/>
  <c r="AT22" i="98"/>
  <c r="EN22" i="98"/>
  <c r="EF23" i="98"/>
  <c r="O23" i="98"/>
  <c r="AM23" i="98" s="1"/>
  <c r="N23" i="98"/>
  <c r="AL23" i="98" s="1"/>
  <c r="BF23" i="98"/>
  <c r="EL23" i="98"/>
  <c r="EQ23" i="98"/>
  <c r="EJ24" i="98"/>
  <c r="BC486" i="98"/>
  <c r="ES486" i="98" s="1"/>
  <c r="ES25" i="98"/>
  <c r="BC269" i="98"/>
  <c r="ES269" i="98" s="1"/>
  <c r="EN25" i="98"/>
  <c r="BB487" i="98"/>
  <c r="ER487" i="98" s="1"/>
  <c r="BB270" i="98"/>
  <c r="ER270" i="98" s="1"/>
  <c r="ER26" i="98"/>
  <c r="BD489" i="98"/>
  <c r="ET489" i="98" s="1"/>
  <c r="BD272" i="98"/>
  <c r="ET272" i="98" s="1"/>
  <c r="CJ490" i="98"/>
  <c r="CJ273" i="98"/>
  <c r="EG30" i="98"/>
  <c r="EV30" i="98" s="1"/>
  <c r="X30" i="98"/>
  <c r="BC492" i="98"/>
  <c r="ES492" i="98" s="1"/>
  <c r="BC275" i="98"/>
  <c r="ES275" i="98" s="1"/>
  <c r="CI492" i="98"/>
  <c r="CI275" i="98"/>
  <c r="BC494" i="98"/>
  <c r="ES494" i="98" s="1"/>
  <c r="BC277" i="98"/>
  <c r="ES277" i="98" s="1"/>
  <c r="ES33" i="98"/>
  <c r="EN33" i="98"/>
  <c r="CK495" i="98"/>
  <c r="CK278" i="98"/>
  <c r="BB496" i="98"/>
  <c r="ER496" i="98" s="1"/>
  <c r="BB279" i="98"/>
  <c r="ER279" i="98" s="1"/>
  <c r="ER35" i="98"/>
  <c r="CI496" i="98"/>
  <c r="CI279" i="98"/>
  <c r="EL35" i="98"/>
  <c r="BD498" i="98"/>
  <c r="ET498" i="98" s="1"/>
  <c r="BD281" i="98"/>
  <c r="ET281" i="98" s="1"/>
  <c r="ET37" i="98"/>
  <c r="BB499" i="98"/>
  <c r="ER499" i="98" s="1"/>
  <c r="BB282" i="98"/>
  <c r="ER282" i="98" s="1"/>
  <c r="ER38" i="98"/>
  <c r="CK500" i="98"/>
  <c r="CK283" i="98"/>
  <c r="BE40" i="98"/>
  <c r="AV40" i="98"/>
  <c r="AU40" i="98"/>
  <c r="EK41" i="98"/>
  <c r="EP41" i="98"/>
  <c r="CI503" i="98"/>
  <c r="CI286" i="98"/>
  <c r="CK42" i="98"/>
  <c r="BC504" i="98"/>
  <c r="ES504" i="98" s="1"/>
  <c r="BC287" i="98"/>
  <c r="ES287" i="98" s="1"/>
  <c r="ES43" i="98"/>
  <c r="EN43" i="98"/>
  <c r="CK505" i="98"/>
  <c r="CK288" i="98"/>
  <c r="BB506" i="98"/>
  <c r="ER506" i="98" s="1"/>
  <c r="BB289" i="98"/>
  <c r="ER289" i="98" s="1"/>
  <c r="ER45" i="98"/>
  <c r="CI506" i="98"/>
  <c r="CI289" i="98"/>
  <c r="EL45" i="98"/>
  <c r="E507" i="98"/>
  <c r="E290" i="98"/>
  <c r="EG46" i="98"/>
  <c r="V46" i="98"/>
  <c r="U46" i="98"/>
  <c r="X46" i="98"/>
  <c r="CK507" i="98"/>
  <c r="CK290" i="98"/>
  <c r="BL48" i="98"/>
  <c r="EK48" i="98"/>
  <c r="E293" i="98"/>
  <c r="V49" i="98"/>
  <c r="X49" i="98"/>
  <c r="CK510" i="98"/>
  <c r="CK293" i="98"/>
  <c r="CK511" i="98"/>
  <c r="CK294" i="98"/>
  <c r="BD512" i="98"/>
  <c r="ET512" i="98" s="1"/>
  <c r="BD295" i="98"/>
  <c r="ET295" i="98" s="1"/>
  <c r="ET51" i="98"/>
  <c r="EJ51" i="98"/>
  <c r="EO51" i="98"/>
  <c r="BC514" i="98"/>
  <c r="ES514" i="98" s="1"/>
  <c r="BC297" i="98"/>
  <c r="ES297" i="98" s="1"/>
  <c r="ES53" i="98"/>
  <c r="BL55" i="98"/>
  <c r="EK55" i="98"/>
  <c r="EK58" i="98"/>
  <c r="EP58" i="98"/>
  <c r="CI520" i="98"/>
  <c r="CI303" i="98"/>
  <c r="CK59" i="98"/>
  <c r="BC521" i="98"/>
  <c r="ES521" i="98" s="1"/>
  <c r="BC304" i="98"/>
  <c r="ES304" i="98" s="1"/>
  <c r="ES60" i="98"/>
  <c r="EN60" i="98"/>
  <c r="EV60" i="98"/>
  <c r="CK522" i="98"/>
  <c r="CK305" i="98"/>
  <c r="BB523" i="98"/>
  <c r="ER523" i="98" s="1"/>
  <c r="BB306" i="98"/>
  <c r="ER306" i="98" s="1"/>
  <c r="ER62" i="98"/>
  <c r="CI523" i="98"/>
  <c r="CI306" i="98"/>
  <c r="EL62" i="98"/>
  <c r="BD525" i="98"/>
  <c r="ET525" i="98" s="1"/>
  <c r="BD308" i="98"/>
  <c r="ET308" i="98" s="1"/>
  <c r="ET64" i="98"/>
  <c r="BB526" i="98"/>
  <c r="ER526" i="98" s="1"/>
  <c r="BB309" i="98"/>
  <c r="ER309" i="98" s="1"/>
  <c r="ER65" i="98"/>
  <c r="EV65" i="98"/>
  <c r="BD528" i="98"/>
  <c r="ET528" i="98" s="1"/>
  <c r="BD311" i="98"/>
  <c r="ET311" i="98" s="1"/>
  <c r="ET67" i="98"/>
  <c r="EJ67" i="98"/>
  <c r="EO67" i="98"/>
  <c r="BK68" i="98"/>
  <c r="EJ68" i="98"/>
  <c r="BC530" i="98"/>
  <c r="ES530" i="98" s="1"/>
  <c r="BC313" i="98"/>
  <c r="ES313" i="98" s="1"/>
  <c r="ES69" i="98"/>
  <c r="EL69" i="98"/>
  <c r="EV70" i="98"/>
  <c r="BL71" i="98"/>
  <c r="EK71" i="98"/>
  <c r="EK74" i="98"/>
  <c r="EP74" i="98"/>
  <c r="C536" i="98"/>
  <c r="EE536" i="98" s="1"/>
  <c r="C319" i="98"/>
  <c r="EE319" i="98" s="1"/>
  <c r="BD537" i="98"/>
  <c r="ET537" i="98" s="1"/>
  <c r="BD320" i="98"/>
  <c r="ET320" i="98" s="1"/>
  <c r="ET76" i="98"/>
  <c r="EV78" i="98"/>
  <c r="EK80" i="98"/>
  <c r="EP80" i="98"/>
  <c r="BC542" i="98"/>
  <c r="ES542" i="98" s="1"/>
  <c r="BC325" i="98"/>
  <c r="ES325" i="98" s="1"/>
  <c r="ES81" i="98"/>
  <c r="EN81" i="98"/>
  <c r="EV81" i="98"/>
  <c r="CK543" i="98"/>
  <c r="CK326" i="98"/>
  <c r="BB544" i="98"/>
  <c r="ER544" i="98" s="1"/>
  <c r="BB327" i="98"/>
  <c r="ER327" i="98" s="1"/>
  <c r="ER83" i="98"/>
  <c r="CI544" i="98"/>
  <c r="CI327" i="98"/>
  <c r="EL83" i="98"/>
  <c r="BD546" i="98"/>
  <c r="ET546" i="98" s="1"/>
  <c r="BD329" i="98"/>
  <c r="ET329" i="98" s="1"/>
  <c r="ET85" i="98"/>
  <c r="BB547" i="98"/>
  <c r="ER547" i="98" s="1"/>
  <c r="BB330" i="98"/>
  <c r="ER330" i="98" s="1"/>
  <c r="ER86" i="98"/>
  <c r="EV86" i="98"/>
  <c r="BD549" i="98"/>
  <c r="ET549" i="98" s="1"/>
  <c r="BD332" i="98"/>
  <c r="ET332" i="98" s="1"/>
  <c r="ET88" i="98"/>
  <c r="EJ88" i="98"/>
  <c r="EO88" i="98"/>
  <c r="EV92" i="98"/>
  <c r="EV96" i="98"/>
  <c r="EV100" i="98"/>
  <c r="BB562" i="98"/>
  <c r="ER562" i="98" s="1"/>
  <c r="BB345" i="98"/>
  <c r="ER345" i="98" s="1"/>
  <c r="ER101" i="98"/>
  <c r="CI562" i="98"/>
  <c r="CI345" i="98"/>
  <c r="CK101" i="98"/>
  <c r="BH102" i="98"/>
  <c r="EN102" i="98"/>
  <c r="EN103" i="98"/>
  <c r="BJ103" i="98"/>
  <c r="BC564" i="98"/>
  <c r="ES564" i="98" s="1"/>
  <c r="BC347" i="98"/>
  <c r="ES347" i="98" s="1"/>
  <c r="ES103" i="98"/>
  <c r="CK565" i="98"/>
  <c r="CK348" i="98"/>
  <c r="EV108" i="98"/>
  <c r="EV109" i="98"/>
  <c r="EO110" i="98"/>
  <c r="BK110" i="98"/>
  <c r="BD571" i="98"/>
  <c r="ET571" i="98" s="1"/>
  <c r="BD354" i="98"/>
  <c r="ET354" i="98" s="1"/>
  <c r="ET110" i="98"/>
  <c r="EJ110" i="98"/>
  <c r="EL112" i="98"/>
  <c r="EV120" i="98"/>
  <c r="EO121" i="98"/>
  <c r="BK121" i="98"/>
  <c r="BD582" i="98"/>
  <c r="ET582" i="98" s="1"/>
  <c r="BD365" i="98"/>
  <c r="ET365" i="98" s="1"/>
  <c r="ET121" i="98"/>
  <c r="EJ121" i="98"/>
  <c r="EV123" i="98"/>
  <c r="EO124" i="98"/>
  <c r="BK124" i="98"/>
  <c r="BD585" i="98"/>
  <c r="ET585" i="98" s="1"/>
  <c r="BD368" i="98"/>
  <c r="ET368" i="98" s="1"/>
  <c r="ET124" i="98"/>
  <c r="EJ124" i="98"/>
  <c r="EL126" i="98"/>
  <c r="EV128" i="98"/>
  <c r="BC590" i="98"/>
  <c r="ES590" i="98" s="1"/>
  <c r="BC373" i="98"/>
  <c r="ES373" i="98" s="1"/>
  <c r="ES129" i="98"/>
  <c r="EO136" i="98"/>
  <c r="BK136" i="98"/>
  <c r="D381" i="98"/>
  <c r="M137" i="98"/>
  <c r="AK137" i="98" s="1"/>
  <c r="EF137" i="98"/>
  <c r="O137" i="98"/>
  <c r="AM137" i="98" s="1"/>
  <c r="N137" i="98"/>
  <c r="AL137" i="98" s="1"/>
  <c r="BJ145" i="98"/>
  <c r="EN145" i="98"/>
  <c r="BC606" i="98"/>
  <c r="ES606" i="98" s="1"/>
  <c r="BC389" i="98"/>
  <c r="ES389" i="98" s="1"/>
  <c r="ES145" i="98"/>
  <c r="EJ146" i="98"/>
  <c r="BF146" i="98"/>
  <c r="EO146" i="98"/>
  <c r="BK146" i="98"/>
  <c r="BD607" i="98"/>
  <c r="ET607" i="98" s="1"/>
  <c r="BD390" i="98"/>
  <c r="ET390" i="98" s="1"/>
  <c r="ET146" i="98"/>
  <c r="D391" i="98"/>
  <c r="M147" i="98"/>
  <c r="AK147" i="98" s="1"/>
  <c r="EF147" i="98"/>
  <c r="O147" i="98"/>
  <c r="AM147" i="98" s="1"/>
  <c r="N147" i="98"/>
  <c r="AL147" i="98" s="1"/>
  <c r="EL153" i="98"/>
  <c r="BH153" i="98"/>
  <c r="EP155" i="98"/>
  <c r="BL155" i="98"/>
  <c r="BF155" i="98"/>
  <c r="CK621" i="98"/>
  <c r="CK404" i="98"/>
  <c r="BJ165" i="98"/>
  <c r="EN165" i="98"/>
  <c r="BC626" i="98"/>
  <c r="ES626" i="98" s="1"/>
  <c r="BC409" i="98"/>
  <c r="ES409" i="98" s="1"/>
  <c r="ES165" i="98"/>
  <c r="EV165" i="98"/>
  <c r="EL175" i="98"/>
  <c r="BH175" i="98"/>
  <c r="BB636" i="98"/>
  <c r="ER636" i="98" s="1"/>
  <c r="BB419" i="98"/>
  <c r="ER419" i="98" s="1"/>
  <c r="ER175" i="98"/>
  <c r="CI641" i="98"/>
  <c r="CI424" i="98"/>
  <c r="CK180" i="98"/>
  <c r="BJ182" i="98"/>
  <c r="EN182" i="98"/>
  <c r="BC643" i="98"/>
  <c r="ES643" i="98" s="1"/>
  <c r="BC426" i="98"/>
  <c r="ES426" i="98" s="1"/>
  <c r="ES182" i="98"/>
  <c r="EV182" i="98"/>
  <c r="BK185" i="98"/>
  <c r="EO185" i="98"/>
  <c r="F648" i="98"/>
  <c r="F431" i="98"/>
  <c r="AE187" i="98"/>
  <c r="AQ187" i="98" s="1"/>
  <c r="AC187" i="98"/>
  <c r="AO187" i="98" s="1"/>
  <c r="AF187" i="98"/>
  <c r="AR187" i="98" s="1"/>
  <c r="AD187" i="98"/>
  <c r="AP187" i="98" s="1"/>
  <c r="BG192" i="98"/>
  <c r="EK192" i="98"/>
  <c r="EP192" i="98"/>
  <c r="BL192" i="98"/>
  <c r="BB656" i="98"/>
  <c r="ER656" i="98" s="1"/>
  <c r="BB439" i="98"/>
  <c r="ER439" i="98" s="1"/>
  <c r="BH195" i="98"/>
  <c r="CK656" i="98"/>
  <c r="CK439" i="98"/>
  <c r="BI197" i="98"/>
  <c r="BE197" i="98"/>
  <c r="AK197" i="98"/>
  <c r="CK658" i="98"/>
  <c r="CK441" i="98"/>
  <c r="CK473" i="98"/>
  <c r="CK256" i="98"/>
  <c r="BG15" i="98"/>
  <c r="AE16" i="98"/>
  <c r="AQ16" i="98" s="1"/>
  <c r="CK477" i="98"/>
  <c r="CK260" i="98"/>
  <c r="BD479" i="98"/>
  <c r="ET479" i="98" s="1"/>
  <c r="BD262" i="98"/>
  <c r="ET262" i="98" s="1"/>
  <c r="CI483" i="98"/>
  <c r="CI266" i="98"/>
  <c r="AT6" i="98"/>
  <c r="BE6" i="98"/>
  <c r="EE6" i="98"/>
  <c r="BB469" i="98"/>
  <c r="ER469" i="98" s="1"/>
  <c r="BB252" i="98"/>
  <c r="ER252" i="98" s="1"/>
  <c r="ER8" i="98"/>
  <c r="EP8" i="98"/>
  <c r="AS470" i="98"/>
  <c r="AS253" i="98"/>
  <c r="AV9" i="98"/>
  <c r="BD470" i="98"/>
  <c r="ET470" i="98" s="1"/>
  <c r="ET9" i="98"/>
  <c r="BD253" i="98"/>
  <c r="ET253" i="98" s="1"/>
  <c r="EI9" i="98"/>
  <c r="BB471" i="98"/>
  <c r="ER471" i="98" s="1"/>
  <c r="BB254" i="98"/>
  <c r="ER254" i="98" s="1"/>
  <c r="ER10" i="98"/>
  <c r="EP10" i="98"/>
  <c r="AS472" i="98"/>
  <c r="AS255" i="98"/>
  <c r="AV11" i="98"/>
  <c r="EI11" i="98"/>
  <c r="EN11" i="98"/>
  <c r="ES11" i="98"/>
  <c r="BB473" i="98"/>
  <c r="ER473" i="98" s="1"/>
  <c r="BB256" i="98"/>
  <c r="ER256" i="98" s="1"/>
  <c r="ER12" i="98"/>
  <c r="EP12" i="98"/>
  <c r="AS474" i="98"/>
  <c r="AS257" i="98"/>
  <c r="AV13" i="98"/>
  <c r="BD474" i="98"/>
  <c r="ET474" i="98" s="1"/>
  <c r="BD257" i="98"/>
  <c r="ET257" i="98" s="1"/>
  <c r="ET13" i="98"/>
  <c r="EI13" i="98"/>
  <c r="EN13" i="98"/>
  <c r="ES13" i="98"/>
  <c r="BB475" i="98"/>
  <c r="ER475" i="98" s="1"/>
  <c r="BB258" i="98"/>
  <c r="ER258" i="98" s="1"/>
  <c r="ER14" i="98"/>
  <c r="EP14" i="98"/>
  <c r="AS476" i="98"/>
  <c r="AS259" i="98"/>
  <c r="AV15" i="98"/>
  <c r="BD476" i="98"/>
  <c r="ET476" i="98" s="1"/>
  <c r="BD259" i="98"/>
  <c r="ET259" i="98" s="1"/>
  <c r="ET15" i="98"/>
  <c r="EI15" i="98"/>
  <c r="EN15" i="98"/>
  <c r="ES15" i="98"/>
  <c r="EQ16" i="98"/>
  <c r="BC16" i="98"/>
  <c r="ES16" i="98" s="1"/>
  <c r="BL16" i="98"/>
  <c r="BD478" i="98"/>
  <c r="ET478" i="98" s="1"/>
  <c r="BD261" i="98"/>
  <c r="ET261" i="98" s="1"/>
  <c r="ET17" i="98"/>
  <c r="EN17" i="98"/>
  <c r="ES17" i="98"/>
  <c r="BB479" i="98"/>
  <c r="ER479" i="98" s="1"/>
  <c r="BB262" i="98"/>
  <c r="ER262" i="98" s="1"/>
  <c r="BF18" i="98"/>
  <c r="CK479" i="98"/>
  <c r="CK262" i="98"/>
  <c r="ER18" i="98"/>
  <c r="BJ19" i="98"/>
  <c r="EV19" i="98"/>
  <c r="E264" i="98"/>
  <c r="EG20" i="98"/>
  <c r="X20" i="98"/>
  <c r="O20" i="98"/>
  <c r="AM20" i="98" s="1"/>
  <c r="BG20" i="98"/>
  <c r="EE20" i="98"/>
  <c r="EP20" i="98"/>
  <c r="E265" i="98"/>
  <c r="U21" i="98"/>
  <c r="P21" i="98"/>
  <c r="AN21" i="98" s="1"/>
  <c r="BB21" i="98"/>
  <c r="BA265" i="98"/>
  <c r="EQ265" i="98" s="1"/>
  <c r="BL21" i="98"/>
  <c r="EG21" i="98"/>
  <c r="W22" i="98"/>
  <c r="AF22" i="98"/>
  <c r="AR22" i="98" s="1"/>
  <c r="AU22" i="98"/>
  <c r="BE22" i="98"/>
  <c r="P23" i="98"/>
  <c r="AN23" i="98" s="1"/>
  <c r="BB23" i="98"/>
  <c r="ER23" i="98" s="1"/>
  <c r="CI484" i="98"/>
  <c r="CI267" i="98"/>
  <c r="BG24" i="98"/>
  <c r="BL24" i="98"/>
  <c r="BD486" i="98"/>
  <c r="ET486" i="98" s="1"/>
  <c r="BD269" i="98"/>
  <c r="ET269" i="98" s="1"/>
  <c r="EJ25" i="98"/>
  <c r="BC487" i="98"/>
  <c r="ES487" i="98" s="1"/>
  <c r="BC270" i="98"/>
  <c r="ES270" i="98" s="1"/>
  <c r="CI487" i="98"/>
  <c r="CI270" i="98"/>
  <c r="EL26" i="98"/>
  <c r="BB488" i="98"/>
  <c r="ER488" i="98" s="1"/>
  <c r="BB271" i="98"/>
  <c r="ER271" i="98" s="1"/>
  <c r="BL27" i="98"/>
  <c r="ER27" i="98"/>
  <c r="BK28" i="98"/>
  <c r="CK489" i="98"/>
  <c r="CK272" i="98"/>
  <c r="CK29" i="98"/>
  <c r="EP29" i="98"/>
  <c r="EU29" i="98" s="1"/>
  <c r="U30" i="98"/>
  <c r="BE30" i="98"/>
  <c r="AV30" i="98"/>
  <c r="CK31" i="98"/>
  <c r="ES31" i="98"/>
  <c r="BB493" i="98"/>
  <c r="ER493" i="98" s="1"/>
  <c r="BB276" i="98"/>
  <c r="ER276" i="98" s="1"/>
  <c r="BL32" i="98"/>
  <c r="BD494" i="98"/>
  <c r="ET494" i="98" s="1"/>
  <c r="BD277" i="98"/>
  <c r="ET277" i="98" s="1"/>
  <c r="ET33" i="98"/>
  <c r="BB495" i="98"/>
  <c r="ER495" i="98" s="1"/>
  <c r="BB278" i="98"/>
  <c r="ER278" i="98" s="1"/>
  <c r="ER34" i="98"/>
  <c r="EV34" i="98"/>
  <c r="CK35" i="98"/>
  <c r="BD497" i="98"/>
  <c r="ET497" i="98" s="1"/>
  <c r="BD280" i="98"/>
  <c r="ET280" i="98" s="1"/>
  <c r="ET36" i="98"/>
  <c r="EJ36" i="98"/>
  <c r="EO36" i="98"/>
  <c r="BK37" i="98"/>
  <c r="EJ37" i="98"/>
  <c r="BC499" i="98"/>
  <c r="ES499" i="98" s="1"/>
  <c r="BC282" i="98"/>
  <c r="ES282" i="98" s="1"/>
  <c r="ES38" i="98"/>
  <c r="EL38" i="98"/>
  <c r="EV39" i="98"/>
  <c r="AT40" i="98"/>
  <c r="BB502" i="98"/>
  <c r="ER502" i="98" s="1"/>
  <c r="BB285" i="98"/>
  <c r="ER285" i="98" s="1"/>
  <c r="ER41" i="98"/>
  <c r="CI502" i="98"/>
  <c r="CI285" i="98"/>
  <c r="EL41" i="98"/>
  <c r="BD504" i="98"/>
  <c r="ET504" i="98" s="1"/>
  <c r="BD287" i="98"/>
  <c r="ET287" i="98" s="1"/>
  <c r="ET43" i="98"/>
  <c r="BB505" i="98"/>
  <c r="ER505" i="98" s="1"/>
  <c r="BB288" i="98"/>
  <c r="ER288" i="98" s="1"/>
  <c r="ER44" i="98"/>
  <c r="EV44" i="98"/>
  <c r="CK45" i="98"/>
  <c r="BB507" i="98"/>
  <c r="ER507" i="98" s="1"/>
  <c r="BB290" i="98"/>
  <c r="ER290" i="98" s="1"/>
  <c r="ER46" i="98"/>
  <c r="EK47" i="98"/>
  <c r="EP47" i="98"/>
  <c r="CI509" i="98"/>
  <c r="CI292" i="98"/>
  <c r="CK48" i="98"/>
  <c r="BB510" i="98"/>
  <c r="ER510" i="98" s="1"/>
  <c r="BB293" i="98"/>
  <c r="ER293" i="98" s="1"/>
  <c r="ER49" i="98"/>
  <c r="EL49" i="98"/>
  <c r="EV50" i="98"/>
  <c r="BL51" i="98"/>
  <c r="EK51" i="98"/>
  <c r="EU51" i="98" s="1"/>
  <c r="EK54" i="98"/>
  <c r="EP54" i="98"/>
  <c r="CI516" i="98"/>
  <c r="CI299" i="98"/>
  <c r="CK55" i="98"/>
  <c r="BC517" i="98"/>
  <c r="ES517" i="98" s="1"/>
  <c r="BC300" i="98"/>
  <c r="ES300" i="98" s="1"/>
  <c r="ES56" i="98"/>
  <c r="EN56" i="98"/>
  <c r="CK518" i="98"/>
  <c r="CK301" i="98"/>
  <c r="BB519" i="98"/>
  <c r="ER519" i="98" s="1"/>
  <c r="BB302" i="98"/>
  <c r="ER302" i="98" s="1"/>
  <c r="ER58" i="98"/>
  <c r="CI519" i="98"/>
  <c r="CI302" i="98"/>
  <c r="EL58" i="98"/>
  <c r="BD521" i="98"/>
  <c r="ET521" i="98" s="1"/>
  <c r="BD304" i="98"/>
  <c r="ET304" i="98" s="1"/>
  <c r="ET60" i="98"/>
  <c r="BB522" i="98"/>
  <c r="ER522" i="98" s="1"/>
  <c r="BB305" i="98"/>
  <c r="ER305" i="98" s="1"/>
  <c r="ER61" i="98"/>
  <c r="CK523" i="98"/>
  <c r="CK306" i="98"/>
  <c r="BD524" i="98"/>
  <c r="ET524" i="98" s="1"/>
  <c r="BD307" i="98"/>
  <c r="ET307" i="98" s="1"/>
  <c r="ET63" i="98"/>
  <c r="EJ63" i="98"/>
  <c r="EO63" i="98"/>
  <c r="BC526" i="98"/>
  <c r="ES526" i="98" s="1"/>
  <c r="BC309" i="98"/>
  <c r="ES309" i="98" s="1"/>
  <c r="ES65" i="98"/>
  <c r="BL67" i="98"/>
  <c r="EK67" i="98"/>
  <c r="EK70" i="98"/>
  <c r="EP70" i="98"/>
  <c r="CI532" i="98"/>
  <c r="CI315" i="98"/>
  <c r="CK71" i="98"/>
  <c r="BC533" i="98"/>
  <c r="ES533" i="98" s="1"/>
  <c r="BC316" i="98"/>
  <c r="ES316" i="98" s="1"/>
  <c r="ES72" i="98"/>
  <c r="EN72" i="98"/>
  <c r="CK534" i="98"/>
  <c r="CK317" i="98"/>
  <c r="BB535" i="98"/>
  <c r="ER535" i="98" s="1"/>
  <c r="BB318" i="98"/>
  <c r="ER318" i="98" s="1"/>
  <c r="ER74" i="98"/>
  <c r="CI535" i="98"/>
  <c r="CI318" i="98"/>
  <c r="EL74" i="98"/>
  <c r="D536" i="98"/>
  <c r="D319" i="98"/>
  <c r="P75" i="98"/>
  <c r="AN75" i="98" s="1"/>
  <c r="EF75" i="98"/>
  <c r="O75" i="98"/>
  <c r="AM75" i="98" s="1"/>
  <c r="N75" i="98"/>
  <c r="AL75" i="98" s="1"/>
  <c r="CK536" i="98"/>
  <c r="CK319" i="98"/>
  <c r="BD538" i="98"/>
  <c r="ET538" i="98" s="1"/>
  <c r="BD321" i="98"/>
  <c r="ET321" i="98" s="1"/>
  <c r="ET77" i="98"/>
  <c r="EJ77" i="98"/>
  <c r="EK78" i="98"/>
  <c r="EP78" i="98"/>
  <c r="CI541" i="98"/>
  <c r="CI324" i="98"/>
  <c r="EL80" i="98"/>
  <c r="BD542" i="98"/>
  <c r="ET542" i="98" s="1"/>
  <c r="BD325" i="98"/>
  <c r="ET325" i="98" s="1"/>
  <c r="ET81" i="98"/>
  <c r="BB543" i="98"/>
  <c r="ER543" i="98" s="1"/>
  <c r="BB326" i="98"/>
  <c r="ER326" i="98" s="1"/>
  <c r="ER82" i="98"/>
  <c r="CK544" i="98"/>
  <c r="CK327" i="98"/>
  <c r="EO84" i="98"/>
  <c r="EK88" i="98"/>
  <c r="BD551" i="98"/>
  <c r="ET551" i="98" s="1"/>
  <c r="BD334" i="98"/>
  <c r="ET334" i="98" s="1"/>
  <c r="ET90" i="98"/>
  <c r="EO98" i="98"/>
  <c r="BK98" i="98"/>
  <c r="EJ98" i="98"/>
  <c r="AS345" i="98"/>
  <c r="EI101" i="98"/>
  <c r="AV101" i="98"/>
  <c r="AU101" i="98"/>
  <c r="BE101" i="98"/>
  <c r="AW101" i="98"/>
  <c r="EO106" i="98"/>
  <c r="BK106" i="98"/>
  <c r="EP113" i="98"/>
  <c r="BL113" i="98"/>
  <c r="CI574" i="98"/>
  <c r="CI357" i="98"/>
  <c r="CK113" i="98"/>
  <c r="EN116" i="98"/>
  <c r="BJ116" i="98"/>
  <c r="BD578" i="98"/>
  <c r="ET578" i="98" s="1"/>
  <c r="BD361" i="98"/>
  <c r="ET361" i="98" s="1"/>
  <c r="ET117" i="98"/>
  <c r="BB587" i="98"/>
  <c r="ER587" i="98" s="1"/>
  <c r="BB370" i="98"/>
  <c r="ER370" i="98" s="1"/>
  <c r="ER126" i="98"/>
  <c r="CI608" i="98"/>
  <c r="CI391" i="98"/>
  <c r="CK147" i="98"/>
  <c r="CI610" i="98"/>
  <c r="CI393" i="98"/>
  <c r="CK149" i="98"/>
  <c r="CK615" i="98"/>
  <c r="CK398" i="98"/>
  <c r="BB619" i="98"/>
  <c r="ER619" i="98" s="1"/>
  <c r="BB402" i="98"/>
  <c r="ER402" i="98" s="1"/>
  <c r="BJ159" i="98"/>
  <c r="EN159" i="98"/>
  <c r="EJ160" i="98"/>
  <c r="BF160" i="98"/>
  <c r="BJ163" i="98"/>
  <c r="EN163" i="98"/>
  <c r="AS625" i="98"/>
  <c r="AS408" i="98"/>
  <c r="EI164" i="98"/>
  <c r="AT164" i="98"/>
  <c r="BE164" i="98"/>
  <c r="AV164" i="98"/>
  <c r="AW164" i="98"/>
  <c r="AU164" i="98"/>
  <c r="EN170" i="98"/>
  <c r="BJ170" i="98"/>
  <c r="BC631" i="98"/>
  <c r="ES631" i="98" s="1"/>
  <c r="BC414" i="98"/>
  <c r="ES414" i="98" s="1"/>
  <c r="ES170" i="98"/>
  <c r="EV170" i="98"/>
  <c r="BD634" i="98"/>
  <c r="ET634" i="98" s="1"/>
  <c r="BD417" i="98"/>
  <c r="ET417" i="98" s="1"/>
  <c r="ET173" i="98"/>
  <c r="BF179" i="98"/>
  <c r="EJ179" i="98"/>
  <c r="EO179" i="98"/>
  <c r="BK179" i="98"/>
  <c r="BD640" i="98"/>
  <c r="ET640" i="98" s="1"/>
  <c r="BD423" i="98"/>
  <c r="ET423" i="98" s="1"/>
  <c r="ET179" i="98"/>
  <c r="F657" i="98"/>
  <c r="F440" i="98"/>
  <c r="AE196" i="98"/>
  <c r="AQ196" i="98" s="1"/>
  <c r="EH196" i="98"/>
  <c r="EV196" i="98" s="1"/>
  <c r="AC196" i="98"/>
  <c r="AO196" i="98" s="1"/>
  <c r="AF196" i="98"/>
  <c r="AR196" i="98" s="1"/>
  <c r="AD196" i="98"/>
  <c r="AP196" i="98" s="1"/>
  <c r="EJ197" i="98"/>
  <c r="BF197" i="98"/>
  <c r="BB658" i="98"/>
  <c r="ER658" i="98" s="1"/>
  <c r="BB441" i="98"/>
  <c r="ER441" i="98" s="1"/>
  <c r="ER197" i="98"/>
  <c r="BA442" i="98"/>
  <c r="EQ442" i="98" s="1"/>
  <c r="BB198" i="98"/>
  <c r="BD198" i="98"/>
  <c r="EQ198" i="98"/>
  <c r="BC198" i="98"/>
  <c r="BB250" i="98"/>
  <c r="ER250" i="98" s="1"/>
  <c r="ER6" i="98"/>
  <c r="CI467" i="98"/>
  <c r="CI250" i="98"/>
  <c r="BG7" i="98"/>
  <c r="AS469" i="98"/>
  <c r="AT8" i="98"/>
  <c r="AS252" i="98"/>
  <c r="CK469" i="98"/>
  <c r="CK252" i="98"/>
  <c r="BG9" i="98"/>
  <c r="AS471" i="98"/>
  <c r="AS254" i="98"/>
  <c r="AT10" i="98"/>
  <c r="CK471" i="98"/>
  <c r="CK254" i="98"/>
  <c r="BG11" i="98"/>
  <c r="AS473" i="98"/>
  <c r="AT12" i="98"/>
  <c r="AS256" i="98"/>
  <c r="BG13" i="98"/>
  <c r="AS475" i="98"/>
  <c r="AS258" i="98"/>
  <c r="AT14" i="98"/>
  <c r="CK475" i="98"/>
  <c r="CK258" i="98"/>
  <c r="EI16" i="98"/>
  <c r="AT16" i="98"/>
  <c r="BC480" i="98"/>
  <c r="ES480" i="98" s="1"/>
  <c r="BC263" i="98"/>
  <c r="ES263" i="98" s="1"/>
  <c r="CI480" i="98"/>
  <c r="CI263" i="98"/>
  <c r="BD265" i="98"/>
  <c r="ET265" i="98" s="1"/>
  <c r="ET21" i="98"/>
  <c r="EJ21" i="98"/>
  <c r="AF6" i="98"/>
  <c r="AR6" i="98" s="1"/>
  <c r="BJ6" i="98"/>
  <c r="AS468" i="98"/>
  <c r="AS251" i="98"/>
  <c r="AV7" i="98"/>
  <c r="BD468" i="98"/>
  <c r="ET468" i="98" s="1"/>
  <c r="BD251" i="98"/>
  <c r="ET251" i="98" s="1"/>
  <c r="ET7" i="98"/>
  <c r="EI7" i="98"/>
  <c r="EN7" i="98"/>
  <c r="ES7" i="98"/>
  <c r="AV8" i="98"/>
  <c r="EN9" i="98"/>
  <c r="ES9" i="98"/>
  <c r="BD472" i="98"/>
  <c r="ET472" i="98" s="1"/>
  <c r="BD255" i="98"/>
  <c r="ET255" i="98" s="1"/>
  <c r="ET11" i="98"/>
  <c r="EO77" i="98"/>
  <c r="BC540" i="98"/>
  <c r="ES540" i="98" s="1"/>
  <c r="BC323" i="98"/>
  <c r="ES323" i="98" s="1"/>
  <c r="ES79" i="98"/>
  <c r="EN79" i="98"/>
  <c r="BB541" i="98"/>
  <c r="ER541" i="98" s="1"/>
  <c r="BB324" i="98"/>
  <c r="ER324" i="98" s="1"/>
  <c r="ER80" i="98"/>
  <c r="BD545" i="98"/>
  <c r="ET545" i="98" s="1"/>
  <c r="BD328" i="98"/>
  <c r="ET328" i="98" s="1"/>
  <c r="ET84" i="98"/>
  <c r="EJ84" i="98"/>
  <c r="BC547" i="98"/>
  <c r="ES547" i="98" s="1"/>
  <c r="BC330" i="98"/>
  <c r="ES330" i="98" s="1"/>
  <c r="ES86" i="98"/>
  <c r="BL88" i="98"/>
  <c r="EO94" i="98"/>
  <c r="BK94" i="98"/>
  <c r="BD555" i="98"/>
  <c r="ET555" i="98" s="1"/>
  <c r="BD338" i="98"/>
  <c r="ET338" i="98" s="1"/>
  <c r="ET94" i="98"/>
  <c r="EJ94" i="98"/>
  <c r="BD559" i="98"/>
  <c r="ET559" i="98" s="1"/>
  <c r="BD342" i="98"/>
  <c r="ET342" i="98" s="1"/>
  <c r="ET98" i="98"/>
  <c r="D562" i="98"/>
  <c r="D345" i="98"/>
  <c r="P101" i="98"/>
  <c r="AN101" i="98" s="1"/>
  <c r="O101" i="98"/>
  <c r="AM101" i="98" s="1"/>
  <c r="EF101" i="98"/>
  <c r="M101" i="98"/>
  <c r="AK101" i="98" s="1"/>
  <c r="BF101" i="98"/>
  <c r="BD567" i="98"/>
  <c r="ET567" i="98" s="1"/>
  <c r="BD350" i="98"/>
  <c r="ET350" i="98" s="1"/>
  <c r="ET106" i="98"/>
  <c r="EJ106" i="98"/>
  <c r="BB573" i="98"/>
  <c r="ER573" i="98" s="1"/>
  <c r="BB356" i="98"/>
  <c r="ER356" i="98" s="1"/>
  <c r="ER112" i="98"/>
  <c r="BB575" i="98"/>
  <c r="ER575" i="98" s="1"/>
  <c r="BB358" i="98"/>
  <c r="ER358" i="98" s="1"/>
  <c r="ER114" i="98"/>
  <c r="BC577" i="98"/>
  <c r="ES577" i="98" s="1"/>
  <c r="BC360" i="98"/>
  <c r="ES360" i="98" s="1"/>
  <c r="ES116" i="98"/>
  <c r="BD591" i="98"/>
  <c r="ET591" i="98" s="1"/>
  <c r="BD374" i="98"/>
  <c r="ET374" i="98" s="1"/>
  <c r="ET130" i="98"/>
  <c r="CI598" i="98"/>
  <c r="CI381" i="98"/>
  <c r="CK137" i="98"/>
  <c r="CK605" i="98"/>
  <c r="CK388" i="98"/>
  <c r="BH151" i="98"/>
  <c r="EL151" i="98"/>
  <c r="EO156" i="98"/>
  <c r="BK156" i="98"/>
  <c r="BC620" i="98"/>
  <c r="ES620" i="98" s="1"/>
  <c r="BC403" i="98"/>
  <c r="ES403" i="98" s="1"/>
  <c r="EO160" i="98"/>
  <c r="BK160" i="98"/>
  <c r="BD621" i="98"/>
  <c r="ET621" i="98" s="1"/>
  <c r="BD404" i="98"/>
  <c r="ET404" i="98" s="1"/>
  <c r="ET160" i="98"/>
  <c r="BC624" i="98"/>
  <c r="ES624" i="98" s="1"/>
  <c r="BC407" i="98"/>
  <c r="ES407" i="98" s="1"/>
  <c r="EL167" i="98"/>
  <c r="BH167" i="98"/>
  <c r="CI629" i="98"/>
  <c r="CI412" i="98"/>
  <c r="CK168" i="98"/>
  <c r="EF6" i="98"/>
  <c r="O6" i="98"/>
  <c r="AM6" i="98" s="1"/>
  <c r="N6" i="98"/>
  <c r="AL6" i="98" s="1"/>
  <c r="AV6" i="98"/>
  <c r="EQ6" i="98"/>
  <c r="AT7" i="98"/>
  <c r="BE7" i="98"/>
  <c r="BK7" i="98"/>
  <c r="BC469" i="98"/>
  <c r="ES469" i="98" s="1"/>
  <c r="BC252" i="98"/>
  <c r="ES252" i="98" s="1"/>
  <c r="CI469" i="98"/>
  <c r="CI252" i="98"/>
  <c r="AT9" i="98"/>
  <c r="BE9" i="98"/>
  <c r="BK9" i="98"/>
  <c r="BC471" i="98"/>
  <c r="ES471" i="98" s="1"/>
  <c r="BC254" i="98"/>
  <c r="ES254" i="98" s="1"/>
  <c r="CI471" i="98"/>
  <c r="CI254" i="98"/>
  <c r="AT11" i="98"/>
  <c r="BE11" i="98"/>
  <c r="BK11" i="98"/>
  <c r="BC473" i="98"/>
  <c r="ES473" i="98" s="1"/>
  <c r="BC256" i="98"/>
  <c r="ES256" i="98" s="1"/>
  <c r="CI473" i="98"/>
  <c r="CI256" i="98"/>
  <c r="AT13" i="98"/>
  <c r="BE13" i="98"/>
  <c r="BK13" i="98"/>
  <c r="BC475" i="98"/>
  <c r="ES475" i="98" s="1"/>
  <c r="BC258" i="98"/>
  <c r="ES258" i="98" s="1"/>
  <c r="CI475" i="98"/>
  <c r="CI258" i="98"/>
  <c r="AT15" i="98"/>
  <c r="BE15" i="98"/>
  <c r="BK15" i="98"/>
  <c r="AC16" i="98"/>
  <c r="AO16" i="98" s="1"/>
  <c r="BB16" i="98"/>
  <c r="ER16" i="98" s="1"/>
  <c r="CI477" i="98"/>
  <c r="CI260" i="98"/>
  <c r="EH16" i="98"/>
  <c r="BK17" i="98"/>
  <c r="EJ17" i="98"/>
  <c r="BC479" i="98"/>
  <c r="ES479" i="98" s="1"/>
  <c r="BC262" i="98"/>
  <c r="ES262" i="98" s="1"/>
  <c r="ES18" i="98"/>
  <c r="BK18" i="98"/>
  <c r="ET18" i="98"/>
  <c r="BB480" i="98"/>
  <c r="ER480" i="98" s="1"/>
  <c r="BB263" i="98"/>
  <c r="ER263" i="98" s="1"/>
  <c r="ER19" i="98"/>
  <c r="EP19" i="98"/>
  <c r="EU19" i="98" s="1"/>
  <c r="U20" i="98"/>
  <c r="AS264" i="98"/>
  <c r="BE20" i="98"/>
  <c r="AV20" i="98"/>
  <c r="ES20" i="98"/>
  <c r="BC264" i="98"/>
  <c r="ES264" i="98" s="1"/>
  <c r="EF20" i="98"/>
  <c r="F265" i="98"/>
  <c r="EH21" i="98"/>
  <c r="AC21" i="98"/>
  <c r="AO21" i="98" s="1"/>
  <c r="V21" i="98"/>
  <c r="AE21" i="98"/>
  <c r="AQ21" i="98" s="1"/>
  <c r="AV265" i="98"/>
  <c r="EI265" i="98"/>
  <c r="AT265" i="98"/>
  <c r="BE265" i="98"/>
  <c r="AU265" i="98"/>
  <c r="BC21" i="98"/>
  <c r="BH21" i="98"/>
  <c r="CI482" i="98"/>
  <c r="CK21" i="98"/>
  <c r="CI265" i="98"/>
  <c r="X22" i="98"/>
  <c r="AV22" i="98"/>
  <c r="EQ22" i="98"/>
  <c r="BC22" i="98"/>
  <c r="ES22" i="98" s="1"/>
  <c r="BL22" i="98"/>
  <c r="EG22" i="98"/>
  <c r="EV22" i="98" s="1"/>
  <c r="F267" i="98"/>
  <c r="AE23" i="98"/>
  <c r="AQ23" i="98" s="1"/>
  <c r="AD23" i="98"/>
  <c r="AP23" i="98" s="1"/>
  <c r="BC23" i="98"/>
  <c r="ES23" i="98" s="1"/>
  <c r="CK23" i="98"/>
  <c r="EI23" i="98"/>
  <c r="BC485" i="98"/>
  <c r="ES485" i="98" s="1"/>
  <c r="BC268" i="98"/>
  <c r="ES268" i="98" s="1"/>
  <c r="CI485" i="98"/>
  <c r="CI268" i="98"/>
  <c r="CK24" i="98"/>
  <c r="CK26" i="98"/>
  <c r="ES26" i="98"/>
  <c r="BH27" i="98"/>
  <c r="CI488" i="98"/>
  <c r="CI271" i="98"/>
  <c r="EK27" i="98"/>
  <c r="EO27" i="98"/>
  <c r="BG28" i="98"/>
  <c r="BL28" i="98"/>
  <c r="EN28" i="98"/>
  <c r="ET28" i="98"/>
  <c r="BB490" i="98"/>
  <c r="ER490" i="98" s="1"/>
  <c r="BB273" i="98"/>
  <c r="ER273" i="98" s="1"/>
  <c r="M30" i="98"/>
  <c r="AK30" i="98" s="1"/>
  <c r="V30" i="98"/>
  <c r="AT30" i="98"/>
  <c r="BJ31" i="98"/>
  <c r="EV31" i="98"/>
  <c r="BH32" i="98"/>
  <c r="CI493" i="98"/>
  <c r="CI276" i="98"/>
  <c r="EK32" i="98"/>
  <c r="EO32" i="98"/>
  <c r="BK33" i="98"/>
  <c r="EJ33" i="98"/>
  <c r="BC495" i="98"/>
  <c r="ES495" i="98" s="1"/>
  <c r="BC278" i="98"/>
  <c r="ES278" i="98" s="1"/>
  <c r="ES34" i="98"/>
  <c r="EL34" i="98"/>
  <c r="EV35" i="98"/>
  <c r="BL36" i="98"/>
  <c r="EK36" i="98"/>
  <c r="EK39" i="98"/>
  <c r="EP39" i="98"/>
  <c r="C501" i="98"/>
  <c r="EE501" i="98" s="1"/>
  <c r="C284" i="98"/>
  <c r="EE284" i="98" s="1"/>
  <c r="EI40" i="98"/>
  <c r="CK41" i="98"/>
  <c r="BD503" i="98"/>
  <c r="ET503" i="98" s="1"/>
  <c r="BD286" i="98"/>
  <c r="ET286" i="98" s="1"/>
  <c r="ET42" i="98"/>
  <c r="EJ42" i="98"/>
  <c r="EO42" i="98"/>
  <c r="BK43" i="98"/>
  <c r="EJ43" i="98"/>
  <c r="BC505" i="98"/>
  <c r="ES505" i="98" s="1"/>
  <c r="BC288" i="98"/>
  <c r="ES288" i="98" s="1"/>
  <c r="ES44" i="98"/>
  <c r="EL44" i="98"/>
  <c r="EV45" i="98"/>
  <c r="BC507" i="98"/>
  <c r="ES507" i="98" s="1"/>
  <c r="BC290" i="98"/>
  <c r="ES290" i="98" s="1"/>
  <c r="ES46" i="98"/>
  <c r="BB508" i="98"/>
  <c r="ER508" i="98" s="1"/>
  <c r="BB291" i="98"/>
  <c r="ER291" i="98" s="1"/>
  <c r="ER47" i="98"/>
  <c r="CI508" i="98"/>
  <c r="CI291" i="98"/>
  <c r="EL47" i="98"/>
  <c r="BC510" i="98"/>
  <c r="ES510" i="98" s="1"/>
  <c r="BC293" i="98"/>
  <c r="ES293" i="98" s="1"/>
  <c r="ES49" i="98"/>
  <c r="EK50" i="98"/>
  <c r="EP50" i="98"/>
  <c r="CI512" i="98"/>
  <c r="CI295" i="98"/>
  <c r="CK51" i="98"/>
  <c r="BC513" i="98"/>
  <c r="ES513" i="98" s="1"/>
  <c r="BC296" i="98"/>
  <c r="ES296" i="98" s="1"/>
  <c r="ES52" i="98"/>
  <c r="EN52" i="98"/>
  <c r="BJ53" i="98"/>
  <c r="CK514" i="98"/>
  <c r="CK297" i="98"/>
  <c r="BB515" i="98"/>
  <c r="ER515" i="98" s="1"/>
  <c r="BB298" i="98"/>
  <c r="ER298" i="98" s="1"/>
  <c r="ER54" i="98"/>
  <c r="CI515" i="98"/>
  <c r="CI298" i="98"/>
  <c r="EL54" i="98"/>
  <c r="BD517" i="98"/>
  <c r="ET517" i="98" s="1"/>
  <c r="BD300" i="98"/>
  <c r="ET300" i="98" s="1"/>
  <c r="ET56" i="98"/>
  <c r="BB518" i="98"/>
  <c r="ER518" i="98" s="1"/>
  <c r="BB301" i="98"/>
  <c r="ER301" i="98" s="1"/>
  <c r="ER57" i="98"/>
  <c r="EV57" i="98"/>
  <c r="CK58" i="98"/>
  <c r="BD520" i="98"/>
  <c r="ET520" i="98" s="1"/>
  <c r="BD303" i="98"/>
  <c r="ET303" i="98" s="1"/>
  <c r="ET59" i="98"/>
  <c r="EJ59" i="98"/>
  <c r="EO59" i="98"/>
  <c r="BK60" i="98"/>
  <c r="EJ60" i="98"/>
  <c r="BC522" i="98"/>
  <c r="ES522" i="98" s="1"/>
  <c r="BC305" i="98"/>
  <c r="ES305" i="98" s="1"/>
  <c r="ES61" i="98"/>
  <c r="EL61" i="98"/>
  <c r="EV62" i="98"/>
  <c r="BL63" i="98"/>
  <c r="EK63" i="98"/>
  <c r="EK66" i="98"/>
  <c r="EP66" i="98"/>
  <c r="CI528" i="98"/>
  <c r="CI311" i="98"/>
  <c r="CK67" i="98"/>
  <c r="BC529" i="98"/>
  <c r="ES529" i="98" s="1"/>
  <c r="BC312" i="98"/>
  <c r="ES312" i="98" s="1"/>
  <c r="ES68" i="98"/>
  <c r="EN68" i="98"/>
  <c r="BJ69" i="98"/>
  <c r="CK530" i="98"/>
  <c r="CK313" i="98"/>
  <c r="BB531" i="98"/>
  <c r="ER531" i="98" s="1"/>
  <c r="BB314" i="98"/>
  <c r="ER314" i="98" s="1"/>
  <c r="ER70" i="98"/>
  <c r="CI531" i="98"/>
  <c r="CI314" i="98"/>
  <c r="EL70" i="98"/>
  <c r="BD533" i="98"/>
  <c r="ET533" i="98" s="1"/>
  <c r="BD316" i="98"/>
  <c r="ET316" i="98" s="1"/>
  <c r="ET72" i="98"/>
  <c r="BB534" i="98"/>
  <c r="ER534" i="98" s="1"/>
  <c r="BB317" i="98"/>
  <c r="ER317" i="98" s="1"/>
  <c r="ER73" i="98"/>
  <c r="EV73" i="98"/>
  <c r="CK74" i="98"/>
  <c r="BE75" i="98"/>
  <c r="AV75" i="98"/>
  <c r="AU75" i="98"/>
  <c r="BJ75" i="98"/>
  <c r="EE75" i="98"/>
  <c r="BL77" i="98"/>
  <c r="EK77" i="98"/>
  <c r="BB539" i="98"/>
  <c r="ER539" i="98" s="1"/>
  <c r="BB322" i="98"/>
  <c r="ER322" i="98" s="1"/>
  <c r="ER78" i="98"/>
  <c r="CI539" i="98"/>
  <c r="CI322" i="98"/>
  <c r="EL78" i="98"/>
  <c r="BD540" i="98"/>
  <c r="ET540" i="98" s="1"/>
  <c r="BD323" i="98"/>
  <c r="ET323" i="98" s="1"/>
  <c r="ET79" i="98"/>
  <c r="CK80" i="98"/>
  <c r="BK81" i="98"/>
  <c r="EJ81" i="98"/>
  <c r="BC543" i="98"/>
  <c r="ES543" i="98" s="1"/>
  <c r="BC326" i="98"/>
  <c r="ES326" i="98" s="1"/>
  <c r="ES82" i="98"/>
  <c r="EL82" i="98"/>
  <c r="EV83" i="98"/>
  <c r="BL84" i="98"/>
  <c r="EK84" i="98"/>
  <c r="EK87" i="98"/>
  <c r="EP87" i="98"/>
  <c r="CI549" i="98"/>
  <c r="CI332" i="98"/>
  <c r="CK88" i="98"/>
  <c r="BC550" i="98"/>
  <c r="ES550" i="98" s="1"/>
  <c r="BC333" i="98"/>
  <c r="ES333" i="98" s="1"/>
  <c r="ES89" i="98"/>
  <c r="BB553" i="98"/>
  <c r="ER553" i="98" s="1"/>
  <c r="BB336" i="98"/>
  <c r="ER336" i="98" s="1"/>
  <c r="ER92" i="98"/>
  <c r="EN93" i="98"/>
  <c r="BJ93" i="98"/>
  <c r="BC554" i="98"/>
  <c r="ES554" i="98" s="1"/>
  <c r="BC337" i="98"/>
  <c r="ES337" i="98" s="1"/>
  <c r="ES93" i="98"/>
  <c r="BB557" i="98"/>
  <c r="ER557" i="98" s="1"/>
  <c r="BB340" i="98"/>
  <c r="ER340" i="98" s="1"/>
  <c r="ER96" i="98"/>
  <c r="EN97" i="98"/>
  <c r="BJ97" i="98"/>
  <c r="BC558" i="98"/>
  <c r="ES558" i="98" s="1"/>
  <c r="BC341" i="98"/>
  <c r="ES341" i="98" s="1"/>
  <c r="ES97" i="98"/>
  <c r="BB561" i="98"/>
  <c r="ER561" i="98" s="1"/>
  <c r="ER100" i="98"/>
  <c r="BB344" i="98"/>
  <c r="ER344" i="98" s="1"/>
  <c r="EL104" i="98"/>
  <c r="BB569" i="98"/>
  <c r="ER569" i="98" s="1"/>
  <c r="BB352" i="98"/>
  <c r="ER352" i="98" s="1"/>
  <c r="ER108" i="98"/>
  <c r="EP109" i="98"/>
  <c r="BL109" i="98"/>
  <c r="CI570" i="98"/>
  <c r="CI353" i="98"/>
  <c r="CK109" i="98"/>
  <c r="EN111" i="98"/>
  <c r="BJ111" i="98"/>
  <c r="BC572" i="98"/>
  <c r="ES572" i="98" s="1"/>
  <c r="BC355" i="98"/>
  <c r="ES355" i="98" s="1"/>
  <c r="ES111" i="98"/>
  <c r="CK573" i="98"/>
  <c r="CK356" i="98"/>
  <c r="CJ575" i="98"/>
  <c r="CJ358" i="98"/>
  <c r="DI117" i="98"/>
  <c r="BB580" i="98"/>
  <c r="ER580" i="98" s="1"/>
  <c r="BB363" i="98"/>
  <c r="ER363" i="98" s="1"/>
  <c r="ER119" i="98"/>
  <c r="EP120" i="98"/>
  <c r="BL120" i="98"/>
  <c r="CI581" i="98"/>
  <c r="CI364" i="98"/>
  <c r="CK120" i="98"/>
  <c r="BB583" i="98"/>
  <c r="ER583" i="98" s="1"/>
  <c r="BB366" i="98"/>
  <c r="ER366" i="98" s="1"/>
  <c r="ER122" i="98"/>
  <c r="EP123" i="98"/>
  <c r="BL123" i="98"/>
  <c r="CI584" i="98"/>
  <c r="CI367" i="98"/>
  <c r="CK123" i="98"/>
  <c r="EN125" i="98"/>
  <c r="BJ125" i="98"/>
  <c r="BC586" i="98"/>
  <c r="ES586" i="98" s="1"/>
  <c r="BC369" i="98"/>
  <c r="ES369" i="98" s="1"/>
  <c r="ES125" i="98"/>
  <c r="CK587" i="98"/>
  <c r="CK370" i="98"/>
  <c r="BB589" i="98"/>
  <c r="ER589" i="98" s="1"/>
  <c r="BB372" i="98"/>
  <c r="ER372" i="98" s="1"/>
  <c r="ER128" i="98"/>
  <c r="BA381" i="98"/>
  <c r="BB137" i="98"/>
  <c r="ER137" i="98" s="1"/>
  <c r="BD137" i="98"/>
  <c r="ET137" i="98" s="1"/>
  <c r="EQ137" i="98"/>
  <c r="BC137" i="98"/>
  <c r="ES137" i="98" s="1"/>
  <c r="EL138" i="98"/>
  <c r="BH138" i="98"/>
  <c r="BB599" i="98"/>
  <c r="ER599" i="98" s="1"/>
  <c r="BB382" i="98"/>
  <c r="ER382" i="98" s="1"/>
  <c r="ER138" i="98"/>
  <c r="EJ144" i="98"/>
  <c r="BF144" i="98"/>
  <c r="BK144" i="98"/>
  <c r="EO144" i="98"/>
  <c r="BD605" i="98"/>
  <c r="ET605" i="98" s="1"/>
  <c r="BD388" i="98"/>
  <c r="ET388" i="98" s="1"/>
  <c r="ET144" i="98"/>
  <c r="BA391" i="98"/>
  <c r="BB147" i="98"/>
  <c r="EQ147" i="98"/>
  <c r="EL148" i="98"/>
  <c r="BH148" i="98"/>
  <c r="BB609" i="98"/>
  <c r="ER609" i="98" s="1"/>
  <c r="BB392" i="98"/>
  <c r="ER392" i="98" s="1"/>
  <c r="ER148" i="98"/>
  <c r="EK149" i="98"/>
  <c r="BG149" i="98"/>
  <c r="BL149" i="98"/>
  <c r="EP149" i="98"/>
  <c r="EL150" i="98"/>
  <c r="BH150" i="98"/>
  <c r="BB611" i="98"/>
  <c r="ER611" i="98" s="1"/>
  <c r="BB394" i="98"/>
  <c r="ER394" i="98" s="1"/>
  <c r="ER150" i="98"/>
  <c r="BC614" i="98"/>
  <c r="ES614" i="98" s="1"/>
  <c r="BC397" i="98"/>
  <c r="ES397" i="98" s="1"/>
  <c r="ES153" i="98"/>
  <c r="AS614" i="98"/>
  <c r="AS397" i="98"/>
  <c r="AW153" i="98"/>
  <c r="AU153" i="98"/>
  <c r="BE153" i="98"/>
  <c r="EI153" i="98"/>
  <c r="AT153" i="98"/>
  <c r="F616" i="98"/>
  <c r="F399" i="98"/>
  <c r="AC155" i="98"/>
  <c r="AO155" i="98" s="1"/>
  <c r="EH155" i="98"/>
  <c r="AE155" i="98"/>
  <c r="AQ155" i="98" s="1"/>
  <c r="AF155" i="98"/>
  <c r="AR155" i="98" s="1"/>
  <c r="AD155" i="98"/>
  <c r="AP155" i="98" s="1"/>
  <c r="EV160" i="98"/>
  <c r="CK623" i="98"/>
  <c r="CK406" i="98"/>
  <c r="BB625" i="98"/>
  <c r="ER625" i="98" s="1"/>
  <c r="BB408" i="98"/>
  <c r="ER408" i="98" s="1"/>
  <c r="C410" i="98"/>
  <c r="EE410" i="98" s="1"/>
  <c r="EE166" i="98"/>
  <c r="EL166" i="98"/>
  <c r="BH166" i="98"/>
  <c r="C411" i="98"/>
  <c r="EE411" i="98" s="1"/>
  <c r="EE167" i="98"/>
  <c r="CK630" i="98"/>
  <c r="CK413" i="98"/>
  <c r="EL171" i="98"/>
  <c r="BH171" i="98"/>
  <c r="BB632" i="98"/>
  <c r="ER632" i="98" s="1"/>
  <c r="BB415" i="98"/>
  <c r="ER415" i="98" s="1"/>
  <c r="ER171" i="98"/>
  <c r="F644" i="98"/>
  <c r="F427" i="98"/>
  <c r="EH183" i="98"/>
  <c r="EV183" i="98" s="1"/>
  <c r="AC183" i="98"/>
  <c r="AO183" i="98" s="1"/>
  <c r="AE183" i="98"/>
  <c r="AQ183" i="98" s="1"/>
  <c r="AF183" i="98"/>
  <c r="AR183" i="98" s="1"/>
  <c r="AD183" i="98"/>
  <c r="AP183" i="98" s="1"/>
  <c r="BB648" i="98"/>
  <c r="ER648" i="98" s="1"/>
  <c r="BB431" i="98"/>
  <c r="ER431" i="98" s="1"/>
  <c r="ER187" i="98"/>
  <c r="EH187" i="98"/>
  <c r="EO190" i="98"/>
  <c r="BF193" i="98"/>
  <c r="EJ193" i="98"/>
  <c r="EO193" i="98"/>
  <c r="BK193" i="98"/>
  <c r="BD654" i="98"/>
  <c r="ET654" i="98" s="1"/>
  <c r="BD437" i="98"/>
  <c r="ET437" i="98" s="1"/>
  <c r="ET193" i="98"/>
  <c r="EV195" i="98"/>
  <c r="ER195" i="98"/>
  <c r="EK196" i="98"/>
  <c r="BG196" i="98"/>
  <c r="BA440" i="98"/>
  <c r="EQ440" i="98" s="1"/>
  <c r="BD196" i="98"/>
  <c r="BB196" i="98"/>
  <c r="BC196" i="98"/>
  <c r="EQ196" i="98"/>
  <c r="EU206" i="98"/>
  <c r="EK216" i="98"/>
  <c r="BG216" i="98"/>
  <c r="BG215" i="98" s="1"/>
  <c r="EE23" i="98"/>
  <c r="AS485" i="98"/>
  <c r="AS268" i="98"/>
  <c r="AV24" i="98"/>
  <c r="BD485" i="98"/>
  <c r="ET485" i="98" s="1"/>
  <c r="BD268" i="98"/>
  <c r="ET268" i="98" s="1"/>
  <c r="ET24" i="98"/>
  <c r="EI24" i="98"/>
  <c r="BB486" i="98"/>
  <c r="ER486" i="98" s="1"/>
  <c r="BB269" i="98"/>
  <c r="ER269" i="98" s="1"/>
  <c r="CK486" i="98"/>
  <c r="CK269" i="98"/>
  <c r="ER25" i="98"/>
  <c r="EU25" i="98" s="1"/>
  <c r="BJ26" i="98"/>
  <c r="EV26" i="98"/>
  <c r="BD488" i="98"/>
  <c r="ET488" i="98" s="1"/>
  <c r="BD271" i="98"/>
  <c r="ET271" i="98" s="1"/>
  <c r="CK488" i="98"/>
  <c r="CK271" i="98"/>
  <c r="ET27" i="98"/>
  <c r="BC489" i="98"/>
  <c r="ES489" i="98" s="1"/>
  <c r="BC272" i="98"/>
  <c r="ES272" i="98" s="1"/>
  <c r="ES28" i="98"/>
  <c r="CI489" i="98"/>
  <c r="CI272" i="98"/>
  <c r="EJ28" i="98"/>
  <c r="BC490" i="98"/>
  <c r="ES490" i="98" s="1"/>
  <c r="BC273" i="98"/>
  <c r="ES273" i="98" s="1"/>
  <c r="CI490" i="98"/>
  <c r="CI273" i="98"/>
  <c r="N30" i="98"/>
  <c r="AL30" i="98" s="1"/>
  <c r="W30" i="98"/>
  <c r="AU30" i="98"/>
  <c r="BJ30" i="98"/>
  <c r="CK491" i="98"/>
  <c r="CK274" i="98"/>
  <c r="EI30" i="98"/>
  <c r="BB492" i="98"/>
  <c r="ER492" i="98" s="1"/>
  <c r="BB275" i="98"/>
  <c r="ER275" i="98" s="1"/>
  <c r="ER31" i="98"/>
  <c r="EU31" i="98" s="1"/>
  <c r="BD493" i="98"/>
  <c r="ET493" i="98" s="1"/>
  <c r="BD276" i="98"/>
  <c r="ET276" i="98" s="1"/>
  <c r="ET32" i="98"/>
  <c r="CK493" i="98"/>
  <c r="CK276" i="98"/>
  <c r="EK35" i="98"/>
  <c r="EP35" i="98"/>
  <c r="CI497" i="98"/>
  <c r="CI280" i="98"/>
  <c r="CK36" i="98"/>
  <c r="BC498" i="98"/>
  <c r="ES498" i="98" s="1"/>
  <c r="BC281" i="98"/>
  <c r="ES281" i="98" s="1"/>
  <c r="ES37" i="98"/>
  <c r="EN37" i="98"/>
  <c r="BJ38" i="98"/>
  <c r="CK499" i="98"/>
  <c r="CK282" i="98"/>
  <c r="BB500" i="98"/>
  <c r="ER500" i="98" s="1"/>
  <c r="BB283" i="98"/>
  <c r="ER283" i="98" s="1"/>
  <c r="ER39" i="98"/>
  <c r="CI500" i="98"/>
  <c r="CI283" i="98"/>
  <c r="EL39" i="98"/>
  <c r="D501" i="98"/>
  <c r="D284" i="98"/>
  <c r="P40" i="98"/>
  <c r="AN40" i="98" s="1"/>
  <c r="EF40" i="98"/>
  <c r="O40" i="98"/>
  <c r="AM40" i="98" s="1"/>
  <c r="N40" i="98"/>
  <c r="AL40" i="98" s="1"/>
  <c r="CK501" i="98"/>
  <c r="CK284" i="98"/>
  <c r="EV41" i="98"/>
  <c r="BL42" i="98"/>
  <c r="EK42" i="98"/>
  <c r="EK45" i="98"/>
  <c r="EP45" i="98"/>
  <c r="EU45" i="98" s="1"/>
  <c r="D507" i="98"/>
  <c r="D290" i="98"/>
  <c r="N46" i="98"/>
  <c r="AL46" i="98" s="1"/>
  <c r="EF46" i="98"/>
  <c r="EV46" i="98" s="1"/>
  <c r="M46" i="98"/>
  <c r="AK46" i="98" s="1"/>
  <c r="W46" i="98"/>
  <c r="CK508" i="98"/>
  <c r="CK291" i="98"/>
  <c r="BD509" i="98"/>
  <c r="ET509" i="98" s="1"/>
  <c r="BD292" i="98"/>
  <c r="ET292" i="98" s="1"/>
  <c r="ET48" i="98"/>
  <c r="EJ48" i="98"/>
  <c r="EO48" i="98"/>
  <c r="W49" i="98"/>
  <c r="BB511" i="98"/>
  <c r="ER511" i="98" s="1"/>
  <c r="BB294" i="98"/>
  <c r="ER294" i="98" s="1"/>
  <c r="ER50" i="98"/>
  <c r="CI511" i="98"/>
  <c r="CI294" i="98"/>
  <c r="EL50" i="98"/>
  <c r="EU50" i="98" s="1"/>
  <c r="BD513" i="98"/>
  <c r="ET513" i="98" s="1"/>
  <c r="BD296" i="98"/>
  <c r="ET296" i="98" s="1"/>
  <c r="ET52" i="98"/>
  <c r="BB514" i="98"/>
  <c r="ER514" i="98" s="1"/>
  <c r="BB297" i="98"/>
  <c r="ER297" i="98" s="1"/>
  <c r="ER53" i="98"/>
  <c r="EU53" i="98" s="1"/>
  <c r="CK515" i="98"/>
  <c r="CK298" i="98"/>
  <c r="BD516" i="98"/>
  <c r="ET516" i="98" s="1"/>
  <c r="BD299" i="98"/>
  <c r="ET299" i="98" s="1"/>
  <c r="ET55" i="98"/>
  <c r="EJ55" i="98"/>
  <c r="EO55" i="98"/>
  <c r="BC518" i="98"/>
  <c r="ES518" i="98" s="1"/>
  <c r="BC301" i="98"/>
  <c r="ES301" i="98" s="1"/>
  <c r="ES57" i="98"/>
  <c r="EU57" i="98" s="1"/>
  <c r="EV58" i="98"/>
  <c r="BL59" i="98"/>
  <c r="EK59" i="98"/>
  <c r="EK62" i="98"/>
  <c r="EP62" i="98"/>
  <c r="CI524" i="98"/>
  <c r="CI307" i="98"/>
  <c r="CK63" i="98"/>
  <c r="BC525" i="98"/>
  <c r="ES525" i="98" s="1"/>
  <c r="BC308" i="98"/>
  <c r="ES308" i="98" s="1"/>
  <c r="ES64" i="98"/>
  <c r="EN64" i="98"/>
  <c r="BJ65" i="98"/>
  <c r="CK526" i="98"/>
  <c r="CK309" i="98"/>
  <c r="BB527" i="98"/>
  <c r="ER527" i="98" s="1"/>
  <c r="BB310" i="98"/>
  <c r="ER310" i="98" s="1"/>
  <c r="ER66" i="98"/>
  <c r="CI527" i="98"/>
  <c r="CI310" i="98"/>
  <c r="EL66" i="98"/>
  <c r="EU67" i="98"/>
  <c r="BD529" i="98"/>
  <c r="ET529" i="98" s="1"/>
  <c r="BD312" i="98"/>
  <c r="ET312" i="98" s="1"/>
  <c r="ET68" i="98"/>
  <c r="BB530" i="98"/>
  <c r="ER530" i="98" s="1"/>
  <c r="BB313" i="98"/>
  <c r="ER313" i="98" s="1"/>
  <c r="ER69" i="98"/>
  <c r="CK531" i="98"/>
  <c r="CK314" i="98"/>
  <c r="BD532" i="98"/>
  <c r="ET532" i="98" s="1"/>
  <c r="BD315" i="98"/>
  <c r="ET315" i="98" s="1"/>
  <c r="ET71" i="98"/>
  <c r="EJ71" i="98"/>
  <c r="EO71" i="98"/>
  <c r="BC534" i="98"/>
  <c r="ES534" i="98" s="1"/>
  <c r="BC317" i="98"/>
  <c r="ES317" i="98" s="1"/>
  <c r="ES73" i="98"/>
  <c r="EV74" i="98"/>
  <c r="BF75" i="98"/>
  <c r="BK75" i="98"/>
  <c r="BC537" i="98"/>
  <c r="ES537" i="98" s="1"/>
  <c r="BC320" i="98"/>
  <c r="ES320" i="98" s="1"/>
  <c r="ES76" i="98"/>
  <c r="EN76" i="98"/>
  <c r="CI538" i="98"/>
  <c r="CI321" i="98"/>
  <c r="CK77" i="98"/>
  <c r="CK539" i="98"/>
  <c r="CK322" i="98"/>
  <c r="EV80" i="98"/>
  <c r="EK83" i="98"/>
  <c r="EP83" i="98"/>
  <c r="CI545" i="98"/>
  <c r="CI328" i="98"/>
  <c r="CK84" i="98"/>
  <c r="BC546" i="98"/>
  <c r="ES546" i="98" s="1"/>
  <c r="BC329" i="98"/>
  <c r="ES329" i="98" s="1"/>
  <c r="ES85" i="98"/>
  <c r="EN85" i="98"/>
  <c r="EU85" i="98" s="1"/>
  <c r="BJ86" i="98"/>
  <c r="CK547" i="98"/>
  <c r="CK330" i="98"/>
  <c r="BB548" i="98"/>
  <c r="ER548" i="98" s="1"/>
  <c r="BB331" i="98"/>
  <c r="ER331" i="98" s="1"/>
  <c r="ER87" i="98"/>
  <c r="CI548" i="98"/>
  <c r="CI331" i="98"/>
  <c r="EL87" i="98"/>
  <c r="EU88" i="98"/>
  <c r="EO89" i="98"/>
  <c r="BK89" i="98"/>
  <c r="BD550" i="98"/>
  <c r="ET550" i="98" s="1"/>
  <c r="BD333" i="98"/>
  <c r="ET333" i="98" s="1"/>
  <c r="ET89" i="98"/>
  <c r="EJ89" i="98"/>
  <c r="EU89" i="98" s="1"/>
  <c r="AS334" i="98"/>
  <c r="AW90" i="98"/>
  <c r="BE90" i="98"/>
  <c r="EI90" i="98"/>
  <c r="EN91" i="98"/>
  <c r="BJ91" i="98"/>
  <c r="BC552" i="98"/>
  <c r="ES552" i="98" s="1"/>
  <c r="BC335" i="98"/>
  <c r="ES335" i="98" s="1"/>
  <c r="ES91" i="98"/>
  <c r="CK553" i="98"/>
  <c r="CK336" i="98"/>
  <c r="EP95" i="98"/>
  <c r="BL95" i="98"/>
  <c r="CI556" i="98"/>
  <c r="CI339" i="98"/>
  <c r="CK95" i="98"/>
  <c r="CK557" i="98"/>
  <c r="CK340" i="98"/>
  <c r="EN99" i="98"/>
  <c r="BJ99" i="98"/>
  <c r="BC560" i="98"/>
  <c r="ES560" i="98" s="1"/>
  <c r="BC343" i="98"/>
  <c r="ES343" i="98" s="1"/>
  <c r="ES99" i="98"/>
  <c r="CK561" i="98"/>
  <c r="CK344" i="98"/>
  <c r="EV102" i="98"/>
  <c r="BB565" i="98"/>
  <c r="ER565" i="98" s="1"/>
  <c r="BB348" i="98"/>
  <c r="ER348" i="98" s="1"/>
  <c r="ER104" i="98"/>
  <c r="EP105" i="98"/>
  <c r="BL105" i="98"/>
  <c r="CI566" i="98"/>
  <c r="CI349" i="98"/>
  <c r="CK105" i="98"/>
  <c r="EN107" i="98"/>
  <c r="BJ107" i="98"/>
  <c r="BC568" i="98"/>
  <c r="ES568" i="98" s="1"/>
  <c r="BC351" i="98"/>
  <c r="ES351" i="98" s="1"/>
  <c r="ES107" i="98"/>
  <c r="CK569" i="98"/>
  <c r="CK352" i="98"/>
  <c r="EV113" i="98"/>
  <c r="EK113" i="98"/>
  <c r="BF114" i="98"/>
  <c r="EO115" i="98"/>
  <c r="BK115" i="98"/>
  <c r="BD576" i="98"/>
  <c r="ET576" i="98" s="1"/>
  <c r="BD359" i="98"/>
  <c r="ET359" i="98" s="1"/>
  <c r="ET115" i="98"/>
  <c r="EJ115" i="98"/>
  <c r="EH117" i="98"/>
  <c r="AD117" i="98"/>
  <c r="AP117" i="98" s="1"/>
  <c r="AC117" i="98"/>
  <c r="AO117" i="98" s="1"/>
  <c r="AE117" i="98"/>
  <c r="AQ117" i="98" s="1"/>
  <c r="BE117" i="98"/>
  <c r="AU117" i="98"/>
  <c r="EN118" i="98"/>
  <c r="BJ118" i="98"/>
  <c r="BC579" i="98"/>
  <c r="ES579" i="98" s="1"/>
  <c r="BC362" i="98"/>
  <c r="ES362" i="98" s="1"/>
  <c r="ES118" i="98"/>
  <c r="CK580" i="98"/>
  <c r="CK363" i="98"/>
  <c r="CK583" i="98"/>
  <c r="CK366" i="98"/>
  <c r="BC588" i="98"/>
  <c r="ES588" i="98" s="1"/>
  <c r="BC371" i="98"/>
  <c r="ES371" i="98" s="1"/>
  <c r="ES127" i="98"/>
  <c r="CK589" i="98"/>
  <c r="CK372" i="98"/>
  <c r="EV135" i="98"/>
  <c r="EV144" i="98"/>
  <c r="CK607" i="98"/>
  <c r="CK390" i="98"/>
  <c r="BC612" i="98"/>
  <c r="ES612" i="98" s="1"/>
  <c r="BC395" i="98"/>
  <c r="ES395" i="98" s="1"/>
  <c r="ES151" i="98"/>
  <c r="AS612" i="98"/>
  <c r="AS395" i="98"/>
  <c r="AU151" i="98"/>
  <c r="AW151" i="98"/>
  <c r="BE151" i="98"/>
  <c r="EI151" i="98"/>
  <c r="AT151" i="98"/>
  <c r="BD613" i="98"/>
  <c r="ET613" i="98" s="1"/>
  <c r="BD396" i="98"/>
  <c r="ET396" i="98" s="1"/>
  <c r="ET152" i="98"/>
  <c r="AS613" i="98"/>
  <c r="AS396" i="98"/>
  <c r="BE152" i="98"/>
  <c r="AV152" i="98"/>
  <c r="EI152" i="98"/>
  <c r="AT152" i="98"/>
  <c r="AU152" i="98"/>
  <c r="BB615" i="98"/>
  <c r="ER615" i="98" s="1"/>
  <c r="BB398" i="98"/>
  <c r="ER398" i="98" s="1"/>
  <c r="ER154" i="98"/>
  <c r="BJ157" i="98"/>
  <c r="EN157" i="98"/>
  <c r="BC618" i="98"/>
  <c r="ES618" i="98" s="1"/>
  <c r="BC401" i="98"/>
  <c r="ES401" i="98" s="1"/>
  <c r="ES157" i="98"/>
  <c r="EI158" i="98"/>
  <c r="BE158" i="98"/>
  <c r="AW158" i="98"/>
  <c r="CK619" i="98"/>
  <c r="CK402" i="98"/>
  <c r="EN161" i="98"/>
  <c r="BJ161" i="98"/>
  <c r="BC622" i="98"/>
  <c r="ES622" i="98" s="1"/>
  <c r="BC405" i="98"/>
  <c r="ES405" i="98" s="1"/>
  <c r="ES161" i="98"/>
  <c r="EJ162" i="98"/>
  <c r="BF162" i="98"/>
  <c r="BK162" i="98"/>
  <c r="EO162" i="98"/>
  <c r="BD623" i="98"/>
  <c r="ET623" i="98" s="1"/>
  <c r="BD406" i="98"/>
  <c r="ET406" i="98" s="1"/>
  <c r="ET162" i="98"/>
  <c r="CK625" i="98"/>
  <c r="CK408" i="98"/>
  <c r="BJ174" i="98"/>
  <c r="EN174" i="98"/>
  <c r="BC635" i="98"/>
  <c r="ES635" i="98" s="1"/>
  <c r="BC418" i="98"/>
  <c r="ES418" i="98" s="1"/>
  <c r="ES174" i="98"/>
  <c r="EV174" i="98"/>
  <c r="BG178" i="98"/>
  <c r="EK178" i="98"/>
  <c r="EP178" i="98"/>
  <c r="BL178" i="98"/>
  <c r="BA427" i="98"/>
  <c r="EQ427" i="98" s="1"/>
  <c r="BB183" i="98"/>
  <c r="BD183" i="98"/>
  <c r="BC183" i="98"/>
  <c r="EQ183" i="98"/>
  <c r="BF184" i="98"/>
  <c r="EJ184" i="98"/>
  <c r="EO184" i="98"/>
  <c r="BK184" i="98"/>
  <c r="BD645" i="98"/>
  <c r="ET645" i="98" s="1"/>
  <c r="BD428" i="98"/>
  <c r="ET428" i="98" s="1"/>
  <c r="ET184" i="98"/>
  <c r="EI187" i="98"/>
  <c r="AT187" i="98"/>
  <c r="CI649" i="98"/>
  <c r="CI432" i="98"/>
  <c r="CK188" i="98"/>
  <c r="BC438" i="98"/>
  <c r="ES438" i="98" s="1"/>
  <c r="BG195" i="98"/>
  <c r="AQ195" i="98"/>
  <c r="AM195" i="98"/>
  <c r="CI659" i="98"/>
  <c r="CI442" i="98"/>
  <c r="CK198" i="98"/>
  <c r="BC551" i="98"/>
  <c r="ES551" i="98" s="1"/>
  <c r="BC334" i="98"/>
  <c r="ES334" i="98" s="1"/>
  <c r="BB552" i="98"/>
  <c r="ER552" i="98" s="1"/>
  <c r="BB335" i="98"/>
  <c r="ER335" i="98" s="1"/>
  <c r="CK552" i="98"/>
  <c r="CK335" i="98"/>
  <c r="EL91" i="98"/>
  <c r="CI553" i="98"/>
  <c r="CI336" i="98"/>
  <c r="EK92" i="98"/>
  <c r="EU92" i="98" s="1"/>
  <c r="BB554" i="98"/>
  <c r="ER554" i="98" s="1"/>
  <c r="BB337" i="98"/>
  <c r="ER337" i="98" s="1"/>
  <c r="CK554" i="98"/>
  <c r="CK337" i="98"/>
  <c r="EL93" i="98"/>
  <c r="BC555" i="98"/>
  <c r="ES555" i="98" s="1"/>
  <c r="BC338" i="98"/>
  <c r="ES338" i="98" s="1"/>
  <c r="BD556" i="98"/>
  <c r="ET556" i="98" s="1"/>
  <c r="BD339" i="98"/>
  <c r="ET339" i="98" s="1"/>
  <c r="EJ95" i="98"/>
  <c r="CI557" i="98"/>
  <c r="CI340" i="98"/>
  <c r="EK96" i="98"/>
  <c r="EU96" i="98" s="1"/>
  <c r="BB558" i="98"/>
  <c r="ER558" i="98" s="1"/>
  <c r="BB341" i="98"/>
  <c r="ER341" i="98" s="1"/>
  <c r="CK558" i="98"/>
  <c r="CK341" i="98"/>
  <c r="EL97" i="98"/>
  <c r="BC559" i="98"/>
  <c r="ES559" i="98" s="1"/>
  <c r="BC342" i="98"/>
  <c r="ES342" i="98" s="1"/>
  <c r="BB560" i="98"/>
  <c r="ER560" i="98" s="1"/>
  <c r="BB343" i="98"/>
  <c r="ER343" i="98" s="1"/>
  <c r="CK560" i="98"/>
  <c r="CK343" i="98"/>
  <c r="EL99" i="98"/>
  <c r="CI561" i="98"/>
  <c r="CI344" i="98"/>
  <c r="EK100" i="98"/>
  <c r="EU100" i="98" s="1"/>
  <c r="C562" i="98"/>
  <c r="EE562" i="98" s="1"/>
  <c r="C345" i="98"/>
  <c r="EE345" i="98" s="1"/>
  <c r="BA562" i="98"/>
  <c r="EQ562" i="98" s="1"/>
  <c r="BA345" i="98"/>
  <c r="EQ345" i="98" s="1"/>
  <c r="CD562" i="98"/>
  <c r="CD345" i="98"/>
  <c r="BG102" i="98"/>
  <c r="BB564" i="98"/>
  <c r="ER564" i="98" s="1"/>
  <c r="BB347" i="98"/>
  <c r="ER347" i="98" s="1"/>
  <c r="CK564" i="98"/>
  <c r="CK347" i="98"/>
  <c r="EL103" i="98"/>
  <c r="CI565" i="98"/>
  <c r="CI348" i="98"/>
  <c r="EK104" i="98"/>
  <c r="EU104" i="98" s="1"/>
  <c r="BD566" i="98"/>
  <c r="ET566" i="98" s="1"/>
  <c r="BD349" i="98"/>
  <c r="ET349" i="98" s="1"/>
  <c r="EJ105" i="98"/>
  <c r="BC567" i="98"/>
  <c r="ES567" i="98" s="1"/>
  <c r="BC350" i="98"/>
  <c r="ES350" i="98" s="1"/>
  <c r="BB568" i="98"/>
  <c r="ER568" i="98" s="1"/>
  <c r="BB351" i="98"/>
  <c r="ER351" i="98" s="1"/>
  <c r="CK568" i="98"/>
  <c r="CK351" i="98"/>
  <c r="EL107" i="98"/>
  <c r="CI569" i="98"/>
  <c r="CI352" i="98"/>
  <c r="EK108" i="98"/>
  <c r="EU108" i="98" s="1"/>
  <c r="BD570" i="98"/>
  <c r="ET570" i="98" s="1"/>
  <c r="BD353" i="98"/>
  <c r="ET353" i="98" s="1"/>
  <c r="EJ109" i="98"/>
  <c r="BC571" i="98"/>
  <c r="ES571" i="98" s="1"/>
  <c r="BC354" i="98"/>
  <c r="ES354" i="98" s="1"/>
  <c r="BB572" i="98"/>
  <c r="ER572" i="98" s="1"/>
  <c r="BB355" i="98"/>
  <c r="ER355" i="98" s="1"/>
  <c r="CK572" i="98"/>
  <c r="CK355" i="98"/>
  <c r="EL111" i="98"/>
  <c r="CI573" i="98"/>
  <c r="CI356" i="98"/>
  <c r="EK112" i="98"/>
  <c r="EU112" i="98" s="1"/>
  <c r="BD574" i="98"/>
  <c r="ET574" i="98" s="1"/>
  <c r="BD357" i="98"/>
  <c r="ET357" i="98" s="1"/>
  <c r="EJ113" i="98"/>
  <c r="AF114" i="98"/>
  <c r="AR114" i="98" s="1"/>
  <c r="BI114" i="98"/>
  <c r="CI575" i="98"/>
  <c r="CI358" i="98"/>
  <c r="BC576" i="98"/>
  <c r="ES576" i="98" s="1"/>
  <c r="BC359" i="98"/>
  <c r="ES359" i="98" s="1"/>
  <c r="BB577" i="98"/>
  <c r="ER577" i="98" s="1"/>
  <c r="BB360" i="98"/>
  <c r="ER360" i="98" s="1"/>
  <c r="CK577" i="98"/>
  <c r="CK360" i="98"/>
  <c r="EL116" i="98"/>
  <c r="W117" i="98"/>
  <c r="BC578" i="98"/>
  <c r="ES578" i="98" s="1"/>
  <c r="BC361" i="98"/>
  <c r="ES361" i="98" s="1"/>
  <c r="BB579" i="98"/>
  <c r="ER579" i="98" s="1"/>
  <c r="BB362" i="98"/>
  <c r="ER362" i="98" s="1"/>
  <c r="CK579" i="98"/>
  <c r="CK362" i="98"/>
  <c r="EL118" i="98"/>
  <c r="CI580" i="98"/>
  <c r="CI363" i="98"/>
  <c r="EK119" i="98"/>
  <c r="BD581" i="98"/>
  <c r="ET581" i="98" s="1"/>
  <c r="BD364" i="98"/>
  <c r="ET364" i="98" s="1"/>
  <c r="EJ120" i="98"/>
  <c r="BC582" i="98"/>
  <c r="ES582" i="98" s="1"/>
  <c r="BC365" i="98"/>
  <c r="ES365" i="98" s="1"/>
  <c r="CI583" i="98"/>
  <c r="CI366" i="98"/>
  <c r="EK122" i="98"/>
  <c r="BD584" i="98"/>
  <c r="ET584" i="98" s="1"/>
  <c r="BD367" i="98"/>
  <c r="ET367" i="98" s="1"/>
  <c r="EJ123" i="98"/>
  <c r="BC585" i="98"/>
  <c r="ES585" i="98" s="1"/>
  <c r="BC368" i="98"/>
  <c r="ES368" i="98" s="1"/>
  <c r="BB586" i="98"/>
  <c r="ER586" i="98" s="1"/>
  <c r="BB369" i="98"/>
  <c r="ER369" i="98" s="1"/>
  <c r="CK586" i="98"/>
  <c r="CK369" i="98"/>
  <c r="EL125" i="98"/>
  <c r="CI587" i="98"/>
  <c r="CI370" i="98"/>
  <c r="EK126" i="98"/>
  <c r="BB588" i="98"/>
  <c r="ER588" i="98" s="1"/>
  <c r="BB371" i="98"/>
  <c r="ER371" i="98" s="1"/>
  <c r="CK588" i="98"/>
  <c r="CK371" i="98"/>
  <c r="CI589" i="98"/>
  <c r="CI372" i="98"/>
  <c r="EK128" i="98"/>
  <c r="BB590" i="98"/>
  <c r="ER590" i="98" s="1"/>
  <c r="BB373" i="98"/>
  <c r="ER373" i="98" s="1"/>
  <c r="CK590" i="98"/>
  <c r="CK373" i="98"/>
  <c r="BC591" i="98"/>
  <c r="ES591" i="98" s="1"/>
  <c r="BC374" i="98"/>
  <c r="ES374" i="98" s="1"/>
  <c r="CI591" i="98"/>
  <c r="CI374" i="98"/>
  <c r="CK130" i="98"/>
  <c r="ES130" i="98"/>
  <c r="BK131" i="98"/>
  <c r="EO131" i="98"/>
  <c r="BD592" i="98"/>
  <c r="ET592" i="98" s="1"/>
  <c r="BD375" i="98"/>
  <c r="ET375" i="98" s="1"/>
  <c r="CK592" i="98"/>
  <c r="CK375" i="98"/>
  <c r="BJ132" i="98"/>
  <c r="EN132" i="98"/>
  <c r="BC593" i="98"/>
  <c r="ES593" i="98" s="1"/>
  <c r="BC376" i="98"/>
  <c r="ES376" i="98" s="1"/>
  <c r="ES132" i="98"/>
  <c r="EO133" i="98"/>
  <c r="BK133" i="98"/>
  <c r="BD594" i="98"/>
  <c r="ET594" i="98" s="1"/>
  <c r="BD377" i="98"/>
  <c r="ET377" i="98" s="1"/>
  <c r="CK594" i="98"/>
  <c r="CK377" i="98"/>
  <c r="EN134" i="98"/>
  <c r="BJ134" i="98"/>
  <c r="BC595" i="98"/>
  <c r="ES595" i="98" s="1"/>
  <c r="BC378" i="98"/>
  <c r="ES378" i="98" s="1"/>
  <c r="ES134" i="98"/>
  <c r="EP135" i="98"/>
  <c r="BL135" i="98"/>
  <c r="CI596" i="98"/>
  <c r="CI379" i="98"/>
  <c r="CK135" i="98"/>
  <c r="AX136" i="98"/>
  <c r="EM136" i="98"/>
  <c r="AZ136" i="98"/>
  <c r="CA597" i="98"/>
  <c r="CA380" i="98"/>
  <c r="CK599" i="98"/>
  <c r="CK382" i="98"/>
  <c r="EN139" i="98"/>
  <c r="BJ139" i="98"/>
  <c r="BC600" i="98"/>
  <c r="ES600" i="98" s="1"/>
  <c r="BC383" i="98"/>
  <c r="ES383" i="98" s="1"/>
  <c r="ES139" i="98"/>
  <c r="BK140" i="98"/>
  <c r="EO140" i="98"/>
  <c r="BD601" i="98"/>
  <c r="ET601" i="98" s="1"/>
  <c r="BD384" i="98"/>
  <c r="ET384" i="98" s="1"/>
  <c r="CK601" i="98"/>
  <c r="CK384" i="98"/>
  <c r="BJ141" i="98"/>
  <c r="EN141" i="98"/>
  <c r="BC602" i="98"/>
  <c r="ES602" i="98" s="1"/>
  <c r="BC385" i="98"/>
  <c r="ES385" i="98" s="1"/>
  <c r="ES141" i="98"/>
  <c r="EO142" i="98"/>
  <c r="BK142" i="98"/>
  <c r="BD603" i="98"/>
  <c r="ET603" i="98" s="1"/>
  <c r="BD386" i="98"/>
  <c r="ET386" i="98" s="1"/>
  <c r="CK603" i="98"/>
  <c r="CK386" i="98"/>
  <c r="EN143" i="98"/>
  <c r="BJ143" i="98"/>
  <c r="BC604" i="98"/>
  <c r="ES604" i="98" s="1"/>
  <c r="BC387" i="98"/>
  <c r="ES387" i="98" s="1"/>
  <c r="ET155" i="98"/>
  <c r="C617" i="98"/>
  <c r="EE617" i="98" s="1"/>
  <c r="C400" i="98"/>
  <c r="EE400" i="98" s="1"/>
  <c r="EE156" i="98"/>
  <c r="EM156" i="98"/>
  <c r="AZ156" i="98"/>
  <c r="AX156" i="98"/>
  <c r="CA617" i="98"/>
  <c r="CA400" i="98"/>
  <c r="EV163" i="98"/>
  <c r="CI626" i="98"/>
  <c r="CI409" i="98"/>
  <c r="CK165" i="98"/>
  <c r="BD410" i="98"/>
  <c r="ET410" i="98" s="1"/>
  <c r="ET166" i="98"/>
  <c r="EP168" i="98"/>
  <c r="BL168" i="98"/>
  <c r="EO169" i="98"/>
  <c r="BK169" i="98"/>
  <c r="BD630" i="98"/>
  <c r="ET630" i="98" s="1"/>
  <c r="BD413" i="98"/>
  <c r="ET413" i="98" s="1"/>
  <c r="BH169" i="98"/>
  <c r="CI631" i="98"/>
  <c r="CI414" i="98"/>
  <c r="CK170" i="98"/>
  <c r="BJ172" i="98"/>
  <c r="EN172" i="98"/>
  <c r="BC633" i="98"/>
  <c r="ES633" i="98" s="1"/>
  <c r="BC416" i="98"/>
  <c r="ES416" i="98" s="1"/>
  <c r="EV172" i="98"/>
  <c r="C634" i="98"/>
  <c r="EE634" i="98" s="1"/>
  <c r="C417" i="98"/>
  <c r="EE417" i="98" s="1"/>
  <c r="EE173" i="98"/>
  <c r="BB634" i="98"/>
  <c r="ER634" i="98" s="1"/>
  <c r="BB417" i="98"/>
  <c r="ER417" i="98" s="1"/>
  <c r="CK634" i="98"/>
  <c r="CK417" i="98"/>
  <c r="EP173" i="98"/>
  <c r="CI635" i="98"/>
  <c r="CI418" i="98"/>
  <c r="CK174" i="98"/>
  <c r="CK636" i="98"/>
  <c r="CK419" i="98"/>
  <c r="EN176" i="98"/>
  <c r="BJ176" i="98"/>
  <c r="BC637" i="98"/>
  <c r="ES637" i="98" s="1"/>
  <c r="BC420" i="98"/>
  <c r="ES420" i="98" s="1"/>
  <c r="EV176" i="98"/>
  <c r="BB638" i="98"/>
  <c r="ER638" i="98" s="1"/>
  <c r="BB421" i="98"/>
  <c r="ER421" i="98" s="1"/>
  <c r="BF177" i="98"/>
  <c r="BL180" i="98"/>
  <c r="EP180" i="98"/>
  <c r="BK181" i="98"/>
  <c r="EO181" i="98"/>
  <c r="BD642" i="98"/>
  <c r="ET642" i="98" s="1"/>
  <c r="BD425" i="98"/>
  <c r="ET425" i="98" s="1"/>
  <c r="CK642" i="98"/>
  <c r="CK425" i="98"/>
  <c r="CI643" i="98"/>
  <c r="CI426" i="98"/>
  <c r="CK182" i="98"/>
  <c r="AW429" i="98"/>
  <c r="AZ185" i="98"/>
  <c r="AX185" i="98"/>
  <c r="CI646" i="98"/>
  <c r="CI429" i="98"/>
  <c r="CK185" i="98"/>
  <c r="BB647" i="98"/>
  <c r="ER647" i="98" s="1"/>
  <c r="BB430" i="98"/>
  <c r="ER430" i="98" s="1"/>
  <c r="BF186" i="98"/>
  <c r="CK648" i="98"/>
  <c r="CK431" i="98"/>
  <c r="EP188" i="98"/>
  <c r="BL188" i="98"/>
  <c r="BJ189" i="98"/>
  <c r="EJ189" i="98"/>
  <c r="AW434" i="98"/>
  <c r="AZ190" i="98"/>
  <c r="AX190" i="98"/>
  <c r="CI651" i="98"/>
  <c r="CI434" i="98"/>
  <c r="CK190" i="98"/>
  <c r="BB652" i="98"/>
  <c r="ER652" i="98" s="1"/>
  <c r="BB435" i="98"/>
  <c r="ER435" i="98" s="1"/>
  <c r="BF191" i="98"/>
  <c r="F655" i="98"/>
  <c r="F438" i="98"/>
  <c r="EH194" i="98"/>
  <c r="AC194" i="98"/>
  <c r="AO194" i="98" s="1"/>
  <c r="AE194" i="98"/>
  <c r="AQ194" i="98" s="1"/>
  <c r="BA438" i="98"/>
  <c r="EQ438" i="98" s="1"/>
  <c r="BB194" i="98"/>
  <c r="BD194" i="98"/>
  <c r="BI194" i="98"/>
  <c r="AP195" i="98"/>
  <c r="AR197" i="98"/>
  <c r="AW442" i="98"/>
  <c r="AX198" i="98"/>
  <c r="BG198" i="98"/>
  <c r="EV204" i="98"/>
  <c r="EU204" i="98"/>
  <c r="AE206" i="98"/>
  <c r="AQ206" i="98" s="1"/>
  <c r="AQ204" i="98" s="1"/>
  <c r="AF206" i="98"/>
  <c r="AR206" i="98" s="1"/>
  <c r="AO204" i="98"/>
  <c r="BG204" i="98"/>
  <c r="BK204" i="98"/>
  <c r="M207" i="98"/>
  <c r="AK207" i="98" s="1"/>
  <c r="AK204" i="98" s="1"/>
  <c r="EU209" i="98"/>
  <c r="EU211" i="98"/>
  <c r="EV214" i="98"/>
  <c r="EU214" i="98"/>
  <c r="O216" i="98"/>
  <c r="AM216" i="98" s="1"/>
  <c r="M216" i="98"/>
  <c r="AK216" i="98" s="1"/>
  <c r="P216" i="98"/>
  <c r="AN216" i="98" s="1"/>
  <c r="BE216" i="98"/>
  <c r="BE215" i="98" s="1"/>
  <c r="AV216" i="98"/>
  <c r="EI216" i="98"/>
  <c r="AT216" i="98"/>
  <c r="EN216" i="98"/>
  <c r="EU218" i="98"/>
  <c r="EU220" i="98"/>
  <c r="EU222" i="98"/>
  <c r="EU224" i="98"/>
  <c r="CK661" i="98"/>
  <c r="CK444" i="98"/>
  <c r="BC662" i="98"/>
  <c r="ES662" i="98" s="1"/>
  <c r="BC445" i="98"/>
  <c r="ES445" i="98" s="1"/>
  <c r="ES227" i="98"/>
  <c r="EP227" i="98"/>
  <c r="EP228" i="98"/>
  <c r="BL228" i="98"/>
  <c r="EV228" i="98"/>
  <c r="EI229" i="98"/>
  <c r="EL230" i="98"/>
  <c r="EV231" i="98"/>
  <c r="BB669" i="98"/>
  <c r="ER669" i="98" s="1"/>
  <c r="BB452" i="98"/>
  <c r="ER452" i="98" s="1"/>
  <c r="BF234" i="98"/>
  <c r="ER234" i="98"/>
  <c r="EN235" i="98"/>
  <c r="BJ235" i="98"/>
  <c r="BC670" i="98"/>
  <c r="ES670" i="98" s="1"/>
  <c r="BC453" i="98"/>
  <c r="ES453" i="98" s="1"/>
  <c r="EL236" i="98"/>
  <c r="EK237" i="98"/>
  <c r="BG237" i="98"/>
  <c r="EP237" i="98"/>
  <c r="BL237" i="98"/>
  <c r="EJ240" i="98"/>
  <c r="BF240" i="98"/>
  <c r="EO240" i="98"/>
  <c r="BK240" i="98"/>
  <c r="BD675" i="98"/>
  <c r="ET675" i="98" s="1"/>
  <c r="BD458" i="98"/>
  <c r="ET458" i="98" s="1"/>
  <c r="ET240" i="98"/>
  <c r="EL242" i="98"/>
  <c r="BH242" i="98"/>
  <c r="BB677" i="98"/>
  <c r="ER677" i="98" s="1"/>
  <c r="BB460" i="98"/>
  <c r="ER460" i="98" s="1"/>
  <c r="EN243" i="98"/>
  <c r="BJ243" i="98"/>
  <c r="BC678" i="98"/>
  <c r="ES678" i="98" s="1"/>
  <c r="BC461" i="98"/>
  <c r="ES461" i="98" s="1"/>
  <c r="EV244" i="98"/>
  <c r="EK245" i="98"/>
  <c r="BG245" i="98"/>
  <c r="CK680" i="98"/>
  <c r="CK463" i="98"/>
  <c r="EV246" i="98"/>
  <c r="EU249" i="98"/>
  <c r="BB251" i="98"/>
  <c r="ER251" i="98" s="1"/>
  <c r="BB255" i="98"/>
  <c r="ER255" i="98" s="1"/>
  <c r="EV256" i="98"/>
  <c r="EV259" i="98"/>
  <c r="AV263" i="98"/>
  <c r="EI263" i="98"/>
  <c r="AT263" i="98"/>
  <c r="BE263" i="98"/>
  <c r="AU263" i="98"/>
  <c r="AV267" i="98"/>
  <c r="AU267" i="98"/>
  <c r="EI267" i="98"/>
  <c r="AT267" i="98"/>
  <c r="BE267" i="98"/>
  <c r="EK269" i="98"/>
  <c r="BG269" i="98"/>
  <c r="EL277" i="98"/>
  <c r="BH277" i="98"/>
  <c r="BK282" i="98"/>
  <c r="EO282" i="98"/>
  <c r="BD282" i="98"/>
  <c r="ET282" i="98" s="1"/>
  <c r="BD284" i="98"/>
  <c r="ET284" i="98" s="1"/>
  <c r="BC284" i="98"/>
  <c r="ES284" i="98" s="1"/>
  <c r="EQ284" i="98"/>
  <c r="BB284" i="98"/>
  <c r="ER284" i="98" s="1"/>
  <c r="E319" i="98"/>
  <c r="EL319" i="98"/>
  <c r="BH319" i="98"/>
  <c r="AE321" i="98"/>
  <c r="AQ321" i="98" s="1"/>
  <c r="AD321" i="98"/>
  <c r="AP321" i="98" s="1"/>
  <c r="EH321" i="98"/>
  <c r="AC321" i="98"/>
  <c r="AO321" i="98" s="1"/>
  <c r="AF321" i="98"/>
  <c r="AR321" i="98" s="1"/>
  <c r="EL325" i="98"/>
  <c r="BH325" i="98"/>
  <c r="AF326" i="98"/>
  <c r="AR326" i="98" s="1"/>
  <c r="BG328" i="98"/>
  <c r="EK328" i="98"/>
  <c r="BK349" i="98"/>
  <c r="EO349" i="98"/>
  <c r="EF352" i="98"/>
  <c r="O352" i="98"/>
  <c r="AM352" i="98" s="1"/>
  <c r="M352" i="98"/>
  <c r="AK352" i="98" s="1"/>
  <c r="P352" i="98"/>
  <c r="AN352" i="98" s="1"/>
  <c r="N352" i="98"/>
  <c r="AL352" i="98" s="1"/>
  <c r="BG352" i="98"/>
  <c r="EK352" i="98"/>
  <c r="BG354" i="98"/>
  <c r="EK354" i="98"/>
  <c r="BK356" i="98"/>
  <c r="EO356" i="98"/>
  <c r="BG358" i="98"/>
  <c r="EK358" i="98"/>
  <c r="BG359" i="98"/>
  <c r="EK359" i="98"/>
  <c r="CK660" i="98"/>
  <c r="CK443" i="98"/>
  <c r="BC661" i="98"/>
  <c r="ES661" i="98" s="1"/>
  <c r="BC444" i="98"/>
  <c r="ES444" i="98" s="1"/>
  <c r="ES226" i="98"/>
  <c r="EN226" i="98"/>
  <c r="EU226" i="98" s="1"/>
  <c r="E664" i="98"/>
  <c r="V229" i="98"/>
  <c r="X229" i="98"/>
  <c r="U229" i="98"/>
  <c r="BB229" i="98"/>
  <c r="ER229" i="98" s="1"/>
  <c r="BD229" i="98"/>
  <c r="ET229" i="98" s="1"/>
  <c r="CI664" i="98"/>
  <c r="CI447" i="98"/>
  <c r="CK229" i="98"/>
  <c r="BB665" i="98"/>
  <c r="ER665" i="98" s="1"/>
  <c r="BB448" i="98"/>
  <c r="ER448" i="98" s="1"/>
  <c r="ER230" i="98"/>
  <c r="EN231" i="98"/>
  <c r="BJ231" i="98"/>
  <c r="BC666" i="98"/>
  <c r="ES666" i="98" s="1"/>
  <c r="BC449" i="98"/>
  <c r="ES449" i="98" s="1"/>
  <c r="ES231" i="98"/>
  <c r="EO232" i="98"/>
  <c r="BK232" i="98"/>
  <c r="BD667" i="98"/>
  <c r="ET667" i="98" s="1"/>
  <c r="BD450" i="98"/>
  <c r="ET450" i="98" s="1"/>
  <c r="EJ232" i="98"/>
  <c r="EP233" i="98"/>
  <c r="BL233" i="98"/>
  <c r="BB671" i="98"/>
  <c r="ER671" i="98" s="1"/>
  <c r="BB454" i="98"/>
  <c r="ER454" i="98" s="1"/>
  <c r="ER236" i="98"/>
  <c r="EJ244" i="98"/>
  <c r="BF244" i="98"/>
  <c r="EO244" i="98"/>
  <c r="BK244" i="98"/>
  <c r="BD679" i="98"/>
  <c r="ET679" i="98" s="1"/>
  <c r="BD462" i="98"/>
  <c r="ET462" i="98" s="1"/>
  <c r="ET244" i="98"/>
  <c r="BK250" i="98"/>
  <c r="EV253" i="98"/>
  <c r="BJ257" i="98"/>
  <c r="EN257" i="98"/>
  <c r="EP259" i="98"/>
  <c r="BL259" i="98"/>
  <c r="EF260" i="98"/>
  <c r="O260" i="98"/>
  <c r="AM260" i="98" s="1"/>
  <c r="M260" i="98"/>
  <c r="AK260" i="98" s="1"/>
  <c r="N260" i="98"/>
  <c r="AL260" i="98" s="1"/>
  <c r="EM261" i="98"/>
  <c r="AX261" i="98"/>
  <c r="AZ261" i="98"/>
  <c r="BI261" i="98"/>
  <c r="AY261" i="98"/>
  <c r="M271" i="98"/>
  <c r="AK271" i="98" s="1"/>
  <c r="P271" i="98"/>
  <c r="AN271" i="98" s="1"/>
  <c r="EF271" i="98"/>
  <c r="O271" i="98"/>
  <c r="AM271" i="98" s="1"/>
  <c r="N271" i="98"/>
  <c r="AL271" i="98" s="1"/>
  <c r="BG274" i="98"/>
  <c r="EK274" i="98"/>
  <c r="BK278" i="98"/>
  <c r="EO278" i="98"/>
  <c r="BD278" i="98"/>
  <c r="ET278" i="98" s="1"/>
  <c r="AZ285" i="98"/>
  <c r="AY285" i="98"/>
  <c r="EM285" i="98"/>
  <c r="AX285" i="98"/>
  <c r="BI285" i="98"/>
  <c r="AZ286" i="98"/>
  <c r="AY286" i="98"/>
  <c r="EM286" i="98"/>
  <c r="AX286" i="98"/>
  <c r="BI286" i="98"/>
  <c r="AZ287" i="98"/>
  <c r="AY287" i="98"/>
  <c r="EM287" i="98"/>
  <c r="AX287" i="98"/>
  <c r="BI287" i="98"/>
  <c r="EL321" i="98"/>
  <c r="BH321" i="98"/>
  <c r="AE327" i="98"/>
  <c r="AQ327" i="98" s="1"/>
  <c r="AD327" i="98"/>
  <c r="AP327" i="98" s="1"/>
  <c r="EH327" i="98"/>
  <c r="AC327" i="98"/>
  <c r="AO327" i="98" s="1"/>
  <c r="AF327" i="98"/>
  <c r="AR327" i="98" s="1"/>
  <c r="AE330" i="98"/>
  <c r="AQ330" i="98" s="1"/>
  <c r="AD330" i="98"/>
  <c r="AP330" i="98" s="1"/>
  <c r="EH330" i="98"/>
  <c r="AC330" i="98"/>
  <c r="AO330" i="98" s="1"/>
  <c r="AF330" i="98"/>
  <c r="AR330" i="98" s="1"/>
  <c r="AE334" i="98"/>
  <c r="AQ334" i="98" s="1"/>
  <c r="AD334" i="98"/>
  <c r="AP334" i="98" s="1"/>
  <c r="EH334" i="98"/>
  <c r="EV334" i="98" s="1"/>
  <c r="AC334" i="98"/>
  <c r="AO334" i="98" s="1"/>
  <c r="AF334" i="98"/>
  <c r="AR334" i="98" s="1"/>
  <c r="AE336" i="98"/>
  <c r="AQ336" i="98" s="1"/>
  <c r="AD336" i="98"/>
  <c r="AP336" i="98" s="1"/>
  <c r="EH336" i="98"/>
  <c r="AC336" i="98"/>
  <c r="AO336" i="98" s="1"/>
  <c r="AF336" i="98"/>
  <c r="AR336" i="98" s="1"/>
  <c r="AE340" i="98"/>
  <c r="AQ340" i="98" s="1"/>
  <c r="AD340" i="98"/>
  <c r="AP340" i="98" s="1"/>
  <c r="EH340" i="98"/>
  <c r="AC340" i="98"/>
  <c r="AO340" i="98" s="1"/>
  <c r="AF340" i="98"/>
  <c r="AR340" i="98" s="1"/>
  <c r="EK342" i="98"/>
  <c r="AZ343" i="98"/>
  <c r="AY343" i="98"/>
  <c r="EM343" i="98"/>
  <c r="AX343" i="98"/>
  <c r="BI343" i="98"/>
  <c r="BL134" i="98"/>
  <c r="EP134" i="98"/>
  <c r="CI595" i="98"/>
  <c r="CI378" i="98"/>
  <c r="CK134" i="98"/>
  <c r="BJ135" i="98"/>
  <c r="EN135" i="98"/>
  <c r="BC596" i="98"/>
  <c r="ES596" i="98" s="1"/>
  <c r="BC379" i="98"/>
  <c r="ES379" i="98" s="1"/>
  <c r="ES135" i="98"/>
  <c r="EG136" i="98"/>
  <c r="V136" i="98"/>
  <c r="X136" i="98"/>
  <c r="U136" i="98"/>
  <c r="AT136" i="98"/>
  <c r="EI136" i="98"/>
  <c r="AV136" i="98"/>
  <c r="BB136" i="98"/>
  <c r="ER136" i="98" s="1"/>
  <c r="EQ136" i="98"/>
  <c r="BD136" i="98"/>
  <c r="ET136" i="98" s="1"/>
  <c r="BI136" i="98"/>
  <c r="CK597" i="98"/>
  <c r="CK380" i="98"/>
  <c r="BL139" i="98"/>
  <c r="EP139" i="98"/>
  <c r="CI600" i="98"/>
  <c r="CI383" i="98"/>
  <c r="CK139" i="98"/>
  <c r="BB601" i="98"/>
  <c r="ER601" i="98" s="1"/>
  <c r="BB384" i="98"/>
  <c r="ER384" i="98" s="1"/>
  <c r="BF140" i="98"/>
  <c r="EP141" i="98"/>
  <c r="BL141" i="98"/>
  <c r="CI602" i="98"/>
  <c r="CI385" i="98"/>
  <c r="CK141" i="98"/>
  <c r="BB603" i="98"/>
  <c r="ER603" i="98" s="1"/>
  <c r="BB386" i="98"/>
  <c r="ER386" i="98" s="1"/>
  <c r="BF142" i="98"/>
  <c r="BL143" i="98"/>
  <c r="EP143" i="98"/>
  <c r="EV149" i="98"/>
  <c r="EV151" i="98"/>
  <c r="EV153" i="98"/>
  <c r="C615" i="98"/>
  <c r="EE615" i="98" s="1"/>
  <c r="C398" i="98"/>
  <c r="EE398" i="98" s="1"/>
  <c r="EE154" i="98"/>
  <c r="BD615" i="98"/>
  <c r="ET615" i="98" s="1"/>
  <c r="BD398" i="98"/>
  <c r="ET398" i="98" s="1"/>
  <c r="BH155" i="98"/>
  <c r="CI616" i="98"/>
  <c r="CI399" i="98"/>
  <c r="CK155" i="98"/>
  <c r="ES155" i="98"/>
  <c r="E617" i="98"/>
  <c r="T170" i="1" s="1"/>
  <c r="E400" i="98"/>
  <c r="T197" i="1" s="1"/>
  <c r="X156" i="98"/>
  <c r="EG156" i="98"/>
  <c r="V156" i="98"/>
  <c r="U156" i="98"/>
  <c r="EI156" i="98"/>
  <c r="AV156" i="98"/>
  <c r="AT156" i="98"/>
  <c r="EQ156" i="98"/>
  <c r="BD156" i="98"/>
  <c r="ET156" i="98" s="1"/>
  <c r="BB156" i="98"/>
  <c r="ER156" i="98" s="1"/>
  <c r="BI156" i="98"/>
  <c r="CK617" i="98"/>
  <c r="CK400" i="98"/>
  <c r="BG158" i="98"/>
  <c r="EK158" i="98"/>
  <c r="AX158" i="98"/>
  <c r="AV158" i="98"/>
  <c r="CK628" i="98"/>
  <c r="CK411" i="98"/>
  <c r="ER167" i="98"/>
  <c r="BJ168" i="98"/>
  <c r="EN168" i="98"/>
  <c r="BC629" i="98"/>
  <c r="ES629" i="98" s="1"/>
  <c r="BC412" i="98"/>
  <c r="ES412" i="98" s="1"/>
  <c r="BB630" i="98"/>
  <c r="ER630" i="98" s="1"/>
  <c r="BB413" i="98"/>
  <c r="ER413" i="98" s="1"/>
  <c r="EP172" i="98"/>
  <c r="BL172" i="98"/>
  <c r="E634" i="98"/>
  <c r="E417" i="98"/>
  <c r="V173" i="98"/>
  <c r="EG173" i="98"/>
  <c r="X173" i="98"/>
  <c r="U173" i="98"/>
  <c r="AS634" i="98"/>
  <c r="AS417" i="98"/>
  <c r="EI173" i="98"/>
  <c r="AT173" i="98"/>
  <c r="BE173" i="98"/>
  <c r="AV173" i="98"/>
  <c r="BL176" i="98"/>
  <c r="EP176" i="98"/>
  <c r="BK177" i="98"/>
  <c r="EO177" i="98"/>
  <c r="BD638" i="98"/>
  <c r="ET638" i="98" s="1"/>
  <c r="BD421" i="98"/>
  <c r="ET421" i="98" s="1"/>
  <c r="CK638" i="98"/>
  <c r="CK421" i="98"/>
  <c r="CI639" i="98"/>
  <c r="CI422" i="98"/>
  <c r="CK178" i="98"/>
  <c r="CK640" i="98"/>
  <c r="CK423" i="98"/>
  <c r="EN180" i="98"/>
  <c r="BJ180" i="98"/>
  <c r="BC641" i="98"/>
  <c r="ES641" i="98" s="1"/>
  <c r="BC424" i="98"/>
  <c r="ES424" i="98" s="1"/>
  <c r="BB642" i="98"/>
  <c r="ER642" i="98" s="1"/>
  <c r="BB425" i="98"/>
  <c r="ER425" i="98" s="1"/>
  <c r="CK645" i="98"/>
  <c r="CK428" i="98"/>
  <c r="F646" i="98"/>
  <c r="F429" i="98"/>
  <c r="AE185" i="98"/>
  <c r="AQ185" i="98" s="1"/>
  <c r="EH185" i="98"/>
  <c r="EV185" i="98" s="1"/>
  <c r="AC185" i="98"/>
  <c r="AO185" i="98" s="1"/>
  <c r="BA429" i="98"/>
  <c r="EQ429" i="98" s="1"/>
  <c r="BD185" i="98"/>
  <c r="BB185" i="98"/>
  <c r="BK186" i="98"/>
  <c r="EO186" i="98"/>
  <c r="BD647" i="98"/>
  <c r="ET647" i="98" s="1"/>
  <c r="BD430" i="98"/>
  <c r="ET430" i="98" s="1"/>
  <c r="CK647" i="98"/>
  <c r="CK430" i="98"/>
  <c r="BD648" i="98"/>
  <c r="ET648" i="98" s="1"/>
  <c r="BJ188" i="98"/>
  <c r="EN188" i="98"/>
  <c r="BC649" i="98"/>
  <c r="ES649" i="98" s="1"/>
  <c r="BC432" i="98"/>
  <c r="ES432" i="98" s="1"/>
  <c r="C433" i="98"/>
  <c r="EE433" i="98" s="1"/>
  <c r="EE189" i="98"/>
  <c r="ER189" i="98"/>
  <c r="F434" i="98"/>
  <c r="AE190" i="98"/>
  <c r="AQ190" i="98" s="1"/>
  <c r="EH190" i="98"/>
  <c r="AC190" i="98"/>
  <c r="AO190" i="98" s="1"/>
  <c r="BA434" i="98"/>
  <c r="EQ434" i="98" s="1"/>
  <c r="BD190" i="98"/>
  <c r="BB190" i="98"/>
  <c r="BK191" i="98"/>
  <c r="EO191" i="98"/>
  <c r="BD652" i="98"/>
  <c r="ET652" i="98" s="1"/>
  <c r="BD435" i="98"/>
  <c r="ET435" i="98" s="1"/>
  <c r="CK652" i="98"/>
  <c r="CK435" i="98"/>
  <c r="CI653" i="98"/>
  <c r="CI436" i="98"/>
  <c r="CK192" i="98"/>
  <c r="CK654" i="98"/>
  <c r="CK437" i="98"/>
  <c r="D655" i="98"/>
  <c r="R183" i="1" s="1"/>
  <c r="D438" i="98"/>
  <c r="M194" i="98"/>
  <c r="AK194" i="98" s="1"/>
  <c r="EF194" i="98"/>
  <c r="EV194" i="98" s="1"/>
  <c r="O194" i="98"/>
  <c r="AM194" i="98" s="1"/>
  <c r="P194" i="98"/>
  <c r="AN194" i="98" s="1"/>
  <c r="AW438" i="98"/>
  <c r="AX194" i="98"/>
  <c r="AZ194" i="98"/>
  <c r="CI655" i="98"/>
  <c r="CI438" i="98"/>
  <c r="CK194" i="98"/>
  <c r="F442" i="98"/>
  <c r="EH198" i="98"/>
  <c r="AE198" i="98"/>
  <c r="AQ198" i="98" s="1"/>
  <c r="AC198" i="98"/>
  <c r="AO198" i="98" s="1"/>
  <c r="EU199" i="98"/>
  <c r="EU200" i="98"/>
  <c r="EU201" i="98"/>
  <c r="EU202" i="98"/>
  <c r="EU203" i="98"/>
  <c r="EU205" i="98"/>
  <c r="BE204" i="98"/>
  <c r="BI204" i="98"/>
  <c r="V207" i="98"/>
  <c r="N207" i="98"/>
  <c r="AL207" i="98" s="1"/>
  <c r="AL204" i="98" s="1"/>
  <c r="X207" i="98"/>
  <c r="P207" i="98"/>
  <c r="AN207" i="98" s="1"/>
  <c r="AN204" i="98" s="1"/>
  <c r="EU207" i="98"/>
  <c r="EU208" i="98"/>
  <c r="EU210" i="98"/>
  <c r="EU213" i="98"/>
  <c r="EU215" i="98"/>
  <c r="F684" i="98"/>
  <c r="AF216" i="98"/>
  <c r="AR216" i="98" s="1"/>
  <c r="AC216" i="98"/>
  <c r="AO216" i="98" s="1"/>
  <c r="EU217" i="98"/>
  <c r="EU219" i="98"/>
  <c r="EU221" i="98"/>
  <c r="EU223" i="98"/>
  <c r="BC660" i="98"/>
  <c r="ES660" i="98" s="1"/>
  <c r="BC443" i="98"/>
  <c r="ES443" i="98" s="1"/>
  <c r="ES225" i="98"/>
  <c r="EN225" i="98"/>
  <c r="CK662" i="98"/>
  <c r="CK445" i="98"/>
  <c r="EN228" i="98"/>
  <c r="BJ228" i="98"/>
  <c r="BC663" i="98"/>
  <c r="ES663" i="98" s="1"/>
  <c r="BC446" i="98"/>
  <c r="ES446" i="98" s="1"/>
  <c r="W229" i="98"/>
  <c r="BC229" i="98"/>
  <c r="ES229" i="98" s="1"/>
  <c r="EQ229" i="98"/>
  <c r="BG233" i="98"/>
  <c r="EO234" i="98"/>
  <c r="BK234" i="98"/>
  <c r="BD669" i="98"/>
  <c r="ET669" i="98" s="1"/>
  <c r="BD452" i="98"/>
  <c r="ET452" i="98" s="1"/>
  <c r="EP235" i="98"/>
  <c r="BL235" i="98"/>
  <c r="CK681" i="98"/>
  <c r="CK464" i="98"/>
  <c r="BJ251" i="98"/>
  <c r="AZ252" i="98"/>
  <c r="AY252" i="98"/>
  <c r="EM252" i="98"/>
  <c r="AX252" i="98"/>
  <c r="BL253" i="98"/>
  <c r="BJ255" i="98"/>
  <c r="EV257" i="98"/>
  <c r="BK260" i="98"/>
  <c r="EO260" i="98"/>
  <c r="BD266" i="98"/>
  <c r="ET266" i="98" s="1"/>
  <c r="BC266" i="98"/>
  <c r="ES266" i="98" s="1"/>
  <c r="EQ266" i="98"/>
  <c r="BB266" i="98"/>
  <c r="ER266" i="98" s="1"/>
  <c r="EV270" i="98"/>
  <c r="BG273" i="98"/>
  <c r="EK273" i="98"/>
  <c r="BL276" i="98"/>
  <c r="EK279" i="98"/>
  <c r="AE281" i="98"/>
  <c r="AQ281" i="98" s="1"/>
  <c r="AD281" i="98"/>
  <c r="AP281" i="98" s="1"/>
  <c r="EH281" i="98"/>
  <c r="AC281" i="98"/>
  <c r="AO281" i="98" s="1"/>
  <c r="AF281" i="98"/>
  <c r="AR281" i="98" s="1"/>
  <c r="BK290" i="98"/>
  <c r="BK296" i="98"/>
  <c r="BK300" i="98"/>
  <c r="BK304" i="98"/>
  <c r="BK308" i="98"/>
  <c r="BK312" i="98"/>
  <c r="BK316" i="98"/>
  <c r="BK322" i="98"/>
  <c r="EO322" i="98"/>
  <c r="BD322" i="98"/>
  <c r="ET322" i="98" s="1"/>
  <c r="BL324" i="98"/>
  <c r="BG326" i="98"/>
  <c r="EK326" i="98"/>
  <c r="EL327" i="98"/>
  <c r="BH327" i="98"/>
  <c r="BK330" i="98"/>
  <c r="EO330" i="98"/>
  <c r="BK336" i="98"/>
  <c r="EO336" i="98"/>
  <c r="BK340" i="98"/>
  <c r="EO340" i="98"/>
  <c r="EN344" i="98"/>
  <c r="BJ344" i="98"/>
  <c r="CI494" i="98"/>
  <c r="CI277" i="98"/>
  <c r="BC496" i="98"/>
  <c r="ES496" i="98" s="1"/>
  <c r="BC279" i="98"/>
  <c r="ES279" i="98" s="1"/>
  <c r="EU35" i="98"/>
  <c r="BB497" i="98"/>
  <c r="ER497" i="98" s="1"/>
  <c r="BB280" i="98"/>
  <c r="ER280" i="98" s="1"/>
  <c r="CI498" i="98"/>
  <c r="CI281" i="98"/>
  <c r="BC500" i="98"/>
  <c r="ES500" i="98" s="1"/>
  <c r="BC283" i="98"/>
  <c r="ES283" i="98" s="1"/>
  <c r="E501" i="98"/>
  <c r="E284" i="98"/>
  <c r="W40" i="98"/>
  <c r="BC502" i="98"/>
  <c r="ES502" i="98" s="1"/>
  <c r="BC285" i="98"/>
  <c r="ES285" i="98" s="1"/>
  <c r="EU41" i="98"/>
  <c r="BB503" i="98"/>
  <c r="ER503" i="98" s="1"/>
  <c r="BB286" i="98"/>
  <c r="ER286" i="98" s="1"/>
  <c r="CI504" i="98"/>
  <c r="CI287" i="98"/>
  <c r="BD505" i="98"/>
  <c r="ET505" i="98" s="1"/>
  <c r="BD288" i="98"/>
  <c r="ET288" i="98" s="1"/>
  <c r="BC506" i="98"/>
  <c r="ES506" i="98" s="1"/>
  <c r="BC289" i="98"/>
  <c r="ES289" i="98" s="1"/>
  <c r="BD507" i="98"/>
  <c r="ET507" i="98" s="1"/>
  <c r="BD290" i="98"/>
  <c r="ET290" i="98" s="1"/>
  <c r="BC508" i="98"/>
  <c r="ES508" i="98" s="1"/>
  <c r="BC291" i="98"/>
  <c r="ES291" i="98" s="1"/>
  <c r="EU47" i="98"/>
  <c r="BB509" i="98"/>
  <c r="ER509" i="98" s="1"/>
  <c r="BB292" i="98"/>
  <c r="ER292" i="98" s="1"/>
  <c r="BD510" i="98"/>
  <c r="ET510" i="98" s="1"/>
  <c r="BD293" i="98"/>
  <c r="ET293" i="98" s="1"/>
  <c r="BC511" i="98"/>
  <c r="ES511" i="98" s="1"/>
  <c r="BC294" i="98"/>
  <c r="ES294" i="98" s="1"/>
  <c r="BB512" i="98"/>
  <c r="ER512" i="98" s="1"/>
  <c r="BB295" i="98"/>
  <c r="ER295" i="98" s="1"/>
  <c r="CI513" i="98"/>
  <c r="CI296" i="98"/>
  <c r="BD514" i="98"/>
  <c r="ET514" i="98" s="1"/>
  <c r="BD297" i="98"/>
  <c r="ET297" i="98" s="1"/>
  <c r="BC515" i="98"/>
  <c r="ES515" i="98" s="1"/>
  <c r="BC298" i="98"/>
  <c r="ES298" i="98" s="1"/>
  <c r="EU54" i="98"/>
  <c r="BB516" i="98"/>
  <c r="ER516" i="98" s="1"/>
  <c r="BB299" i="98"/>
  <c r="ER299" i="98" s="1"/>
  <c r="CI517" i="98"/>
  <c r="CI300" i="98"/>
  <c r="BD518" i="98"/>
  <c r="ET518" i="98" s="1"/>
  <c r="BD301" i="98"/>
  <c r="ET301" i="98" s="1"/>
  <c r="BC519" i="98"/>
  <c r="ES519" i="98" s="1"/>
  <c r="BC302" i="98"/>
  <c r="ES302" i="98" s="1"/>
  <c r="EU58" i="98"/>
  <c r="BB520" i="98"/>
  <c r="ER520" i="98" s="1"/>
  <c r="BB303" i="98"/>
  <c r="ER303" i="98" s="1"/>
  <c r="CI521" i="98"/>
  <c r="CI304" i="98"/>
  <c r="BD522" i="98"/>
  <c r="ET522" i="98" s="1"/>
  <c r="BD305" i="98"/>
  <c r="ET305" i="98" s="1"/>
  <c r="BC523" i="98"/>
  <c r="ES523" i="98" s="1"/>
  <c r="BC306" i="98"/>
  <c r="ES306" i="98" s="1"/>
  <c r="EU62" i="98"/>
  <c r="BB524" i="98"/>
  <c r="ER524" i="98" s="1"/>
  <c r="BB307" i="98"/>
  <c r="ER307" i="98" s="1"/>
  <c r="CI525" i="98"/>
  <c r="CI308" i="98"/>
  <c r="BD526" i="98"/>
  <c r="ET526" i="98" s="1"/>
  <c r="BD309" i="98"/>
  <c r="ET309" i="98" s="1"/>
  <c r="BC527" i="98"/>
  <c r="ES527" i="98" s="1"/>
  <c r="BC310" i="98"/>
  <c r="ES310" i="98" s="1"/>
  <c r="BB528" i="98"/>
  <c r="ER528" i="98" s="1"/>
  <c r="BB311" i="98"/>
  <c r="ER311" i="98" s="1"/>
  <c r="CI529" i="98"/>
  <c r="CI312" i="98"/>
  <c r="BD530" i="98"/>
  <c r="ET530" i="98" s="1"/>
  <c r="BD313" i="98"/>
  <c r="ET313" i="98" s="1"/>
  <c r="BC531" i="98"/>
  <c r="ES531" i="98" s="1"/>
  <c r="BC314" i="98"/>
  <c r="ES314" i="98" s="1"/>
  <c r="EU70" i="98"/>
  <c r="BB532" i="98"/>
  <c r="ER532" i="98" s="1"/>
  <c r="BB315" i="98"/>
  <c r="ER315" i="98" s="1"/>
  <c r="CI533" i="98"/>
  <c r="CI316" i="98"/>
  <c r="BD534" i="98"/>
  <c r="ET534" i="98" s="1"/>
  <c r="BD317" i="98"/>
  <c r="ET317" i="98" s="1"/>
  <c r="BC535" i="98"/>
  <c r="ES535" i="98" s="1"/>
  <c r="BC318" i="98"/>
  <c r="ES318" i="98" s="1"/>
  <c r="EU74" i="98"/>
  <c r="EG536" i="98"/>
  <c r="W536" i="98"/>
  <c r="V536" i="98"/>
  <c r="U536" i="98"/>
  <c r="X536" i="98"/>
  <c r="W75" i="98"/>
  <c r="CI537" i="98"/>
  <c r="CI320" i="98"/>
  <c r="BB538" i="98"/>
  <c r="ER538" i="98" s="1"/>
  <c r="BB321" i="98"/>
  <c r="ER321" i="98" s="1"/>
  <c r="BC539" i="98"/>
  <c r="ES539" i="98" s="1"/>
  <c r="BC322" i="98"/>
  <c r="ES322" i="98" s="1"/>
  <c r="CI540" i="98"/>
  <c r="CI323" i="98"/>
  <c r="BC541" i="98"/>
  <c r="ES541" i="98" s="1"/>
  <c r="BC324" i="98"/>
  <c r="ES324" i="98" s="1"/>
  <c r="EU80" i="98"/>
  <c r="CI542" i="98"/>
  <c r="CI325" i="98"/>
  <c r="BD543" i="98"/>
  <c r="ET543" i="98" s="1"/>
  <c r="BD326" i="98"/>
  <c r="ET326" i="98" s="1"/>
  <c r="BC544" i="98"/>
  <c r="ES544" i="98" s="1"/>
  <c r="BC327" i="98"/>
  <c r="ES327" i="98" s="1"/>
  <c r="BB545" i="98"/>
  <c r="ER545" i="98" s="1"/>
  <c r="BB328" i="98"/>
  <c r="ER328" i="98" s="1"/>
  <c r="CI546" i="98"/>
  <c r="CI329" i="98"/>
  <c r="BD547" i="98"/>
  <c r="ET547" i="98" s="1"/>
  <c r="BD330" i="98"/>
  <c r="ET330" i="98" s="1"/>
  <c r="BC548" i="98"/>
  <c r="ES548" i="98" s="1"/>
  <c r="BC331" i="98"/>
  <c r="ES331" i="98" s="1"/>
  <c r="BB549" i="98"/>
  <c r="ER549" i="98" s="1"/>
  <c r="BB332" i="98"/>
  <c r="ER332" i="98" s="1"/>
  <c r="CI550" i="98"/>
  <c r="CI333" i="98"/>
  <c r="CI551" i="98"/>
  <c r="CI334" i="98"/>
  <c r="ES90" i="98"/>
  <c r="BD552" i="98"/>
  <c r="ET552" i="98" s="1"/>
  <c r="BD335" i="98"/>
  <c r="ET335" i="98" s="1"/>
  <c r="ER91" i="98"/>
  <c r="BC553" i="98"/>
  <c r="ES553" i="98" s="1"/>
  <c r="BC336" i="98"/>
  <c r="ES336" i="98" s="1"/>
  <c r="ER93" i="98"/>
  <c r="CI555" i="98"/>
  <c r="CI338" i="98"/>
  <c r="ES94" i="98"/>
  <c r="BB556" i="98"/>
  <c r="ER556" i="98" s="1"/>
  <c r="BB339" i="98"/>
  <c r="ER339" i="98" s="1"/>
  <c r="ET95" i="98"/>
  <c r="BC557" i="98"/>
  <c r="ES557" i="98" s="1"/>
  <c r="BC340" i="98"/>
  <c r="ES340" i="98" s="1"/>
  <c r="ER97" i="98"/>
  <c r="CI559" i="98"/>
  <c r="CI342" i="98"/>
  <c r="ES98" i="98"/>
  <c r="BD560" i="98"/>
  <c r="ET560" i="98" s="1"/>
  <c r="BD343" i="98"/>
  <c r="ET343" i="98" s="1"/>
  <c r="ER99" i="98"/>
  <c r="BC561" i="98"/>
  <c r="ES561" i="98" s="1"/>
  <c r="BC344" i="98"/>
  <c r="ES344" i="98" s="1"/>
  <c r="E562" i="98"/>
  <c r="E345" i="98"/>
  <c r="W101" i="98"/>
  <c r="BC101" i="98"/>
  <c r="AF102" i="98"/>
  <c r="AR102" i="98" s="1"/>
  <c r="BI102" i="98"/>
  <c r="CI563" i="98"/>
  <c r="CI346" i="98"/>
  <c r="BD564" i="98"/>
  <c r="ET564" i="98" s="1"/>
  <c r="BD347" i="98"/>
  <c r="ET347" i="98" s="1"/>
  <c r="ER103" i="98"/>
  <c r="BC565" i="98"/>
  <c r="ES565" i="98" s="1"/>
  <c r="BC348" i="98"/>
  <c r="ES348" i="98" s="1"/>
  <c r="BB566" i="98"/>
  <c r="ER566" i="98" s="1"/>
  <c r="BB349" i="98"/>
  <c r="ER349" i="98" s="1"/>
  <c r="ET105" i="98"/>
  <c r="CI567" i="98"/>
  <c r="CI350" i="98"/>
  <c r="ES106" i="98"/>
  <c r="BD568" i="98"/>
  <c r="ET568" i="98" s="1"/>
  <c r="BD351" i="98"/>
  <c r="ET351" i="98" s="1"/>
  <c r="ER107" i="98"/>
  <c r="BC569" i="98"/>
  <c r="ES569" i="98" s="1"/>
  <c r="BC352" i="98"/>
  <c r="ES352" i="98" s="1"/>
  <c r="BB570" i="98"/>
  <c r="ER570" i="98" s="1"/>
  <c r="BB353" i="98"/>
  <c r="ER353" i="98" s="1"/>
  <c r="ET109" i="98"/>
  <c r="CI571" i="98"/>
  <c r="CI354" i="98"/>
  <c r="ES110" i="98"/>
  <c r="EU110" i="98" s="1"/>
  <c r="BD572" i="98"/>
  <c r="ET572" i="98" s="1"/>
  <c r="BD355" i="98"/>
  <c r="ET355" i="98" s="1"/>
  <c r="ER111" i="98"/>
  <c r="BC573" i="98"/>
  <c r="ES573" i="98" s="1"/>
  <c r="BC356" i="98"/>
  <c r="ES356" i="98" s="1"/>
  <c r="BB574" i="98"/>
  <c r="ER574" i="98" s="1"/>
  <c r="BB357" i="98"/>
  <c r="ER357" i="98" s="1"/>
  <c r="ET113" i="98"/>
  <c r="N114" i="98"/>
  <c r="AL114" i="98" s="1"/>
  <c r="AD114" i="98"/>
  <c r="AP114" i="98" s="1"/>
  <c r="AY114" i="98"/>
  <c r="BC114" i="98"/>
  <c r="CK114" i="98"/>
  <c r="EH114" i="98"/>
  <c r="CI576" i="98"/>
  <c r="CI359" i="98"/>
  <c r="ES115" i="98"/>
  <c r="BD577" i="98"/>
  <c r="ET577" i="98" s="1"/>
  <c r="BD360" i="98"/>
  <c r="ET360" i="98" s="1"/>
  <c r="ER116" i="98"/>
  <c r="U117" i="98"/>
  <c r="BA578" i="98"/>
  <c r="EQ578" i="98" s="1"/>
  <c r="BA361" i="98"/>
  <c r="EQ361" i="98" s="1"/>
  <c r="CI578" i="98"/>
  <c r="CI361" i="98"/>
  <c r="CZ117" i="98"/>
  <c r="DH117" i="98" s="1"/>
  <c r="EG117" i="98"/>
  <c r="EV117" i="98" s="1"/>
  <c r="ES117" i="98"/>
  <c r="BD579" i="98"/>
  <c r="ET579" i="98" s="1"/>
  <c r="BD362" i="98"/>
  <c r="ET362" i="98" s="1"/>
  <c r="ER118" i="98"/>
  <c r="BC580" i="98"/>
  <c r="ES580" i="98" s="1"/>
  <c r="BC363" i="98"/>
  <c r="ES363" i="98" s="1"/>
  <c r="EU119" i="98"/>
  <c r="BB581" i="98"/>
  <c r="ER581" i="98" s="1"/>
  <c r="BB364" i="98"/>
  <c r="ER364" i="98" s="1"/>
  <c r="ET120" i="98"/>
  <c r="EU120" i="98" s="1"/>
  <c r="CI582" i="98"/>
  <c r="CI365" i="98"/>
  <c r="ES121" i="98"/>
  <c r="F583" i="98"/>
  <c r="V165" i="1" s="1"/>
  <c r="F366" i="98"/>
  <c r="AF122" i="98"/>
  <c r="AR122" i="98" s="1"/>
  <c r="BC583" i="98"/>
  <c r="ES583" i="98" s="1"/>
  <c r="BC366" i="98"/>
  <c r="ES366" i="98" s="1"/>
  <c r="EU122" i="98"/>
  <c r="BB584" i="98"/>
  <c r="ER584" i="98" s="1"/>
  <c r="BB367" i="98"/>
  <c r="ER367" i="98" s="1"/>
  <c r="ET123" i="98"/>
  <c r="EU123" i="98" s="1"/>
  <c r="CI585" i="98"/>
  <c r="CI368" i="98"/>
  <c r="ES124" i="98"/>
  <c r="EU124" i="98" s="1"/>
  <c r="BD586" i="98"/>
  <c r="ET586" i="98" s="1"/>
  <c r="BD369" i="98"/>
  <c r="ET369" i="98" s="1"/>
  <c r="ER125" i="98"/>
  <c r="BC587" i="98"/>
  <c r="ES587" i="98" s="1"/>
  <c r="BC370" i="98"/>
  <c r="ES370" i="98" s="1"/>
  <c r="EU126" i="98"/>
  <c r="BD588" i="98"/>
  <c r="ET588" i="98" s="1"/>
  <c r="BD371" i="98"/>
  <c r="ET371" i="98" s="1"/>
  <c r="ER127" i="98"/>
  <c r="BC589" i="98"/>
  <c r="ES589" i="98" s="1"/>
  <c r="BC372" i="98"/>
  <c r="ES372" i="98" s="1"/>
  <c r="BD590" i="98"/>
  <c r="ET590" i="98" s="1"/>
  <c r="BD373" i="98"/>
  <c r="ET373" i="98" s="1"/>
  <c r="ER129" i="98"/>
  <c r="BB592" i="98"/>
  <c r="ER592" i="98" s="1"/>
  <c r="BB375" i="98"/>
  <c r="ER375" i="98" s="1"/>
  <c r="BF131" i="98"/>
  <c r="EP132" i="98"/>
  <c r="BL132" i="98"/>
  <c r="CI593" i="98"/>
  <c r="CI376" i="98"/>
  <c r="CK132" i="98"/>
  <c r="BB594" i="98"/>
  <c r="ER594" i="98" s="1"/>
  <c r="BB377" i="98"/>
  <c r="ER377" i="98" s="1"/>
  <c r="BF133" i="98"/>
  <c r="BD469" i="98"/>
  <c r="ET469" i="98" s="1"/>
  <c r="BD252" i="98"/>
  <c r="ET252" i="98" s="1"/>
  <c r="BB470" i="98"/>
  <c r="ER470" i="98" s="1"/>
  <c r="BB253" i="98"/>
  <c r="ER253" i="98" s="1"/>
  <c r="BD471" i="98"/>
  <c r="ET471" i="98" s="1"/>
  <c r="BD254" i="98"/>
  <c r="ET254" i="98" s="1"/>
  <c r="BD473" i="98"/>
  <c r="ET473" i="98" s="1"/>
  <c r="BD256" i="98"/>
  <c r="ET256" i="98" s="1"/>
  <c r="BD475" i="98"/>
  <c r="ET475" i="98" s="1"/>
  <c r="BD258" i="98"/>
  <c r="ET258" i="98" s="1"/>
  <c r="BB476" i="98"/>
  <c r="ER476" i="98" s="1"/>
  <c r="BB259" i="98"/>
  <c r="ER259" i="98" s="1"/>
  <c r="BB478" i="98"/>
  <c r="ER478" i="98" s="1"/>
  <c r="BB261" i="98"/>
  <c r="ER261" i="98" s="1"/>
  <c r="CI479" i="98"/>
  <c r="CI262" i="98"/>
  <c r="BD480" i="98"/>
  <c r="ET480" i="98" s="1"/>
  <c r="BD263" i="98"/>
  <c r="ET263" i="98" s="1"/>
  <c r="AF264" i="98"/>
  <c r="AR264" i="98" s="1"/>
  <c r="AD264" i="98"/>
  <c r="AP264" i="98" s="1"/>
  <c r="EH264" i="98"/>
  <c r="AE264" i="98"/>
  <c r="AQ264" i="98" s="1"/>
  <c r="AC264" i="98"/>
  <c r="AO264" i="98" s="1"/>
  <c r="AF20" i="98"/>
  <c r="AR20" i="98" s="1"/>
  <c r="CI481" i="98"/>
  <c r="CI264" i="98"/>
  <c r="EG267" i="98"/>
  <c r="X267" i="98"/>
  <c r="W267" i="98"/>
  <c r="V267" i="98"/>
  <c r="W23" i="98"/>
  <c r="BB485" i="98"/>
  <c r="ER485" i="98" s="1"/>
  <c r="BB268" i="98"/>
  <c r="ER268" i="98" s="1"/>
  <c r="CI486" i="98"/>
  <c r="CI269" i="98"/>
  <c r="BD487" i="98"/>
  <c r="ET487" i="98" s="1"/>
  <c r="BD270" i="98"/>
  <c r="ET270" i="98" s="1"/>
  <c r="BC488" i="98"/>
  <c r="ES488" i="98" s="1"/>
  <c r="BC271" i="98"/>
  <c r="ES271" i="98" s="1"/>
  <c r="BB489" i="98"/>
  <c r="ER489" i="98" s="1"/>
  <c r="BB272" i="98"/>
  <c r="ER272" i="98" s="1"/>
  <c r="CJ489" i="98"/>
  <c r="CJ272" i="98"/>
  <c r="BD490" i="98"/>
  <c r="ET490" i="98" s="1"/>
  <c r="BD273" i="98"/>
  <c r="ET273" i="98" s="1"/>
  <c r="CI491" i="98"/>
  <c r="CI274" i="98"/>
  <c r="BD492" i="98"/>
  <c r="ET492" i="98" s="1"/>
  <c r="BD275" i="98"/>
  <c r="ET275" i="98" s="1"/>
  <c r="BC493" i="98"/>
  <c r="ES493" i="98" s="1"/>
  <c r="BC276" i="98"/>
  <c r="ES276" i="98" s="1"/>
  <c r="BB494" i="98"/>
  <c r="ER494" i="98" s="1"/>
  <c r="BB277" i="98"/>
  <c r="ER277" i="98" s="1"/>
  <c r="CK33" i="98"/>
  <c r="CI495" i="98"/>
  <c r="CI278" i="98"/>
  <c r="BD496" i="98"/>
  <c r="ET496" i="98" s="1"/>
  <c r="BD279" i="98"/>
  <c r="ET279" i="98" s="1"/>
  <c r="BC497" i="98"/>
  <c r="ES497" i="98" s="1"/>
  <c r="BC280" i="98"/>
  <c r="ES280" i="98" s="1"/>
  <c r="BB498" i="98"/>
  <c r="ER498" i="98" s="1"/>
  <c r="BB281" i="98"/>
  <c r="ER281" i="98" s="1"/>
  <c r="CK37" i="98"/>
  <c r="CI499" i="98"/>
  <c r="CI282" i="98"/>
  <c r="BD500" i="98"/>
  <c r="ET500" i="98" s="1"/>
  <c r="BD283" i="98"/>
  <c r="ET283" i="98" s="1"/>
  <c r="F501" i="98"/>
  <c r="F284" i="98"/>
  <c r="X40" i="98"/>
  <c r="AF40" i="98"/>
  <c r="AR40" i="98" s="1"/>
  <c r="CI501" i="98"/>
  <c r="CI284" i="98"/>
  <c r="EG40" i="98"/>
  <c r="BD502" i="98"/>
  <c r="ET502" i="98" s="1"/>
  <c r="BD285" i="98"/>
  <c r="ET285" i="98" s="1"/>
  <c r="BC503" i="98"/>
  <c r="ES503" i="98" s="1"/>
  <c r="BC286" i="98"/>
  <c r="ES286" i="98" s="1"/>
  <c r="BB504" i="98"/>
  <c r="ER504" i="98" s="1"/>
  <c r="BB287" i="98"/>
  <c r="ER287" i="98" s="1"/>
  <c r="CK43" i="98"/>
  <c r="CI505" i="98"/>
  <c r="CI288" i="98"/>
  <c r="BD506" i="98"/>
  <c r="ET506" i="98" s="1"/>
  <c r="BD289" i="98"/>
  <c r="ET289" i="98" s="1"/>
  <c r="CI507" i="98"/>
  <c r="CI290" i="98"/>
  <c r="BD508" i="98"/>
  <c r="ET508" i="98" s="1"/>
  <c r="BD291" i="98"/>
  <c r="ET291" i="98" s="1"/>
  <c r="BC509" i="98"/>
  <c r="ES509" i="98" s="1"/>
  <c r="BC292" i="98"/>
  <c r="ES292" i="98" s="1"/>
  <c r="CI510" i="98"/>
  <c r="CI293" i="98"/>
  <c r="BD511" i="98"/>
  <c r="ET511" i="98" s="1"/>
  <c r="BD294" i="98"/>
  <c r="ET294" i="98" s="1"/>
  <c r="BC512" i="98"/>
  <c r="ES512" i="98" s="1"/>
  <c r="BC295" i="98"/>
  <c r="ES295" i="98" s="1"/>
  <c r="BB513" i="98"/>
  <c r="ER513" i="98" s="1"/>
  <c r="BB296" i="98"/>
  <c r="ER296" i="98" s="1"/>
  <c r="CK52" i="98"/>
  <c r="CI514" i="98"/>
  <c r="CI297" i="98"/>
  <c r="BD515" i="98"/>
  <c r="ET515" i="98" s="1"/>
  <c r="BD298" i="98"/>
  <c r="ET298" i="98" s="1"/>
  <c r="BC516" i="98"/>
  <c r="ES516" i="98" s="1"/>
  <c r="BC299" i="98"/>
  <c r="ES299" i="98" s="1"/>
  <c r="BB517" i="98"/>
  <c r="ER517" i="98" s="1"/>
  <c r="BB300" i="98"/>
  <c r="ER300" i="98" s="1"/>
  <c r="CK56" i="98"/>
  <c r="CI518" i="98"/>
  <c r="CI301" i="98"/>
  <c r="BD519" i="98"/>
  <c r="ET519" i="98" s="1"/>
  <c r="BD302" i="98"/>
  <c r="ET302" i="98" s="1"/>
  <c r="BC520" i="98"/>
  <c r="ES520" i="98" s="1"/>
  <c r="BC303" i="98"/>
  <c r="ES303" i="98" s="1"/>
  <c r="BB521" i="98"/>
  <c r="ER521" i="98" s="1"/>
  <c r="BB304" i="98"/>
  <c r="ER304" i="98" s="1"/>
  <c r="CK60" i="98"/>
  <c r="CI522" i="98"/>
  <c r="CI305" i="98"/>
  <c r="BD523" i="98"/>
  <c r="ET523" i="98" s="1"/>
  <c r="BD306" i="98"/>
  <c r="ET306" i="98" s="1"/>
  <c r="BC524" i="98"/>
  <c r="ES524" i="98" s="1"/>
  <c r="BC307" i="98"/>
  <c r="ES307" i="98" s="1"/>
  <c r="BB525" i="98"/>
  <c r="ER525" i="98" s="1"/>
  <c r="BB308" i="98"/>
  <c r="ER308" i="98" s="1"/>
  <c r="CK64" i="98"/>
  <c r="CI526" i="98"/>
  <c r="CI309" i="98"/>
  <c r="BD527" i="98"/>
  <c r="ET527" i="98" s="1"/>
  <c r="BD310" i="98"/>
  <c r="ET310" i="98" s="1"/>
  <c r="BC528" i="98"/>
  <c r="ES528" i="98" s="1"/>
  <c r="BC311" i="98"/>
  <c r="ES311" i="98" s="1"/>
  <c r="BB529" i="98"/>
  <c r="ER529" i="98" s="1"/>
  <c r="BB312" i="98"/>
  <c r="ER312" i="98" s="1"/>
  <c r="CK68" i="98"/>
  <c r="CI530" i="98"/>
  <c r="CI313" i="98"/>
  <c r="BD531" i="98"/>
  <c r="ET531" i="98" s="1"/>
  <c r="BD314" i="98"/>
  <c r="ET314" i="98" s="1"/>
  <c r="BC532" i="98"/>
  <c r="ES532" i="98" s="1"/>
  <c r="BC315" i="98"/>
  <c r="ES315" i="98" s="1"/>
  <c r="BB533" i="98"/>
  <c r="ER533" i="98" s="1"/>
  <c r="BB316" i="98"/>
  <c r="ER316" i="98" s="1"/>
  <c r="CK72" i="98"/>
  <c r="CI534" i="98"/>
  <c r="CI317" i="98"/>
  <c r="BD535" i="98"/>
  <c r="ET535" i="98" s="1"/>
  <c r="BD318" i="98"/>
  <c r="ET318" i="98" s="1"/>
  <c r="F536" i="98"/>
  <c r="F319" i="98"/>
  <c r="X75" i="98"/>
  <c r="AF75" i="98"/>
  <c r="AR75" i="98" s="1"/>
  <c r="BC319" i="98"/>
  <c r="ES319" i="98" s="1"/>
  <c r="EQ319" i="98"/>
  <c r="BB319" i="98"/>
  <c r="ER319" i="98" s="1"/>
  <c r="CI536" i="98"/>
  <c r="CI319" i="98"/>
  <c r="EG75" i="98"/>
  <c r="BB537" i="98"/>
  <c r="ER537" i="98" s="1"/>
  <c r="BB320" i="98"/>
  <c r="ER320" i="98" s="1"/>
  <c r="CK76" i="98"/>
  <c r="BC538" i="98"/>
  <c r="ES538" i="98" s="1"/>
  <c r="BC321" i="98"/>
  <c r="ES321" i="98" s="1"/>
  <c r="BB540" i="98"/>
  <c r="ER540" i="98" s="1"/>
  <c r="BB323" i="98"/>
  <c r="ER323" i="98" s="1"/>
  <c r="CK79" i="98"/>
  <c r="BD541" i="98"/>
  <c r="ET541" i="98" s="1"/>
  <c r="BD324" i="98"/>
  <c r="ET324" i="98" s="1"/>
  <c r="BB542" i="98"/>
  <c r="ER542" i="98" s="1"/>
  <c r="BB325" i="98"/>
  <c r="ER325" i="98" s="1"/>
  <c r="CK81" i="98"/>
  <c r="CI543" i="98"/>
  <c r="CI326" i="98"/>
  <c r="BD544" i="98"/>
  <c r="ET544" i="98" s="1"/>
  <c r="BD327" i="98"/>
  <c r="ET327" i="98" s="1"/>
  <c r="BC545" i="98"/>
  <c r="ES545" i="98" s="1"/>
  <c r="BC328" i="98"/>
  <c r="ES328" i="98" s="1"/>
  <c r="BB546" i="98"/>
  <c r="ER546" i="98" s="1"/>
  <c r="BB329" i="98"/>
  <c r="ER329" i="98" s="1"/>
  <c r="CK85" i="98"/>
  <c r="CI547" i="98"/>
  <c r="CI330" i="98"/>
  <c r="BC549" i="98"/>
  <c r="ES549" i="98" s="1"/>
  <c r="BC332" i="98"/>
  <c r="ES332" i="98" s="1"/>
  <c r="BB550" i="98"/>
  <c r="ER550" i="98" s="1"/>
  <c r="BB333" i="98"/>
  <c r="ER333" i="98" s="1"/>
  <c r="CK89" i="98"/>
  <c r="BB551" i="98"/>
  <c r="ER551" i="98" s="1"/>
  <c r="BB334" i="98"/>
  <c r="ER334" i="98" s="1"/>
  <c r="CK90" i="98"/>
  <c r="CI552" i="98"/>
  <c r="CI335" i="98"/>
  <c r="BD553" i="98"/>
  <c r="ET553" i="98" s="1"/>
  <c r="BD336" i="98"/>
  <c r="ET336" i="98" s="1"/>
  <c r="CI554" i="98"/>
  <c r="CI337" i="98"/>
  <c r="BB555" i="98"/>
  <c r="ER555" i="98" s="1"/>
  <c r="BB338" i="98"/>
  <c r="ER338" i="98" s="1"/>
  <c r="CK94" i="98"/>
  <c r="BC556" i="98"/>
  <c r="ES556" i="98" s="1"/>
  <c r="BC339" i="98"/>
  <c r="ES339" i="98" s="1"/>
  <c r="BD557" i="98"/>
  <c r="ET557" i="98" s="1"/>
  <c r="BD340" i="98"/>
  <c r="ET340" i="98" s="1"/>
  <c r="CI558" i="98"/>
  <c r="CI341" i="98"/>
  <c r="BB559" i="98"/>
  <c r="ER559" i="98" s="1"/>
  <c r="BB342" i="98"/>
  <c r="ER342" i="98" s="1"/>
  <c r="CK98" i="98"/>
  <c r="CI560" i="98"/>
  <c r="CI343" i="98"/>
  <c r="BD561" i="98"/>
  <c r="ET561" i="98" s="1"/>
  <c r="BD344" i="98"/>
  <c r="ET344" i="98" s="1"/>
  <c r="F562" i="98"/>
  <c r="F345" i="98"/>
  <c r="X101" i="98"/>
  <c r="AF101" i="98"/>
  <c r="AR101" i="98" s="1"/>
  <c r="BD101" i="98"/>
  <c r="EE101" i="98"/>
  <c r="EQ101" i="98"/>
  <c r="AC102" i="98"/>
  <c r="AO102" i="98" s="1"/>
  <c r="CK102" i="98"/>
  <c r="CI564" i="98"/>
  <c r="CI347" i="98"/>
  <c r="BD565" i="98"/>
  <c r="ET565" i="98" s="1"/>
  <c r="BD348" i="98"/>
  <c r="ET348" i="98" s="1"/>
  <c r="BC566" i="98"/>
  <c r="ES566" i="98" s="1"/>
  <c r="BC349" i="98"/>
  <c r="ES349" i="98" s="1"/>
  <c r="BB567" i="98"/>
  <c r="ER567" i="98" s="1"/>
  <c r="BB350" i="98"/>
  <c r="ER350" i="98" s="1"/>
  <c r="CK106" i="98"/>
  <c r="CI568" i="98"/>
  <c r="CI351" i="98"/>
  <c r="BD569" i="98"/>
  <c r="ET569" i="98" s="1"/>
  <c r="BD352" i="98"/>
  <c r="ET352" i="98" s="1"/>
  <c r="BC570" i="98"/>
  <c r="ES570" i="98" s="1"/>
  <c r="BC353" i="98"/>
  <c r="ES353" i="98" s="1"/>
  <c r="BB571" i="98"/>
  <c r="ER571" i="98" s="1"/>
  <c r="BB354" i="98"/>
  <c r="ER354" i="98" s="1"/>
  <c r="CK110" i="98"/>
  <c r="CI572" i="98"/>
  <c r="CI355" i="98"/>
  <c r="BD573" i="98"/>
  <c r="ET573" i="98" s="1"/>
  <c r="BD356" i="98"/>
  <c r="ET356" i="98" s="1"/>
  <c r="BC574" i="98"/>
  <c r="ES574" i="98" s="1"/>
  <c r="BC357" i="98"/>
  <c r="ES357" i="98" s="1"/>
  <c r="AZ114" i="98"/>
  <c r="BD114" i="98"/>
  <c r="EQ114" i="98"/>
  <c r="BB576" i="98"/>
  <c r="ER576" i="98" s="1"/>
  <c r="BB359" i="98"/>
  <c r="ER359" i="98" s="1"/>
  <c r="CK115" i="98"/>
  <c r="CI577" i="98"/>
  <c r="CI360" i="98"/>
  <c r="BB117" i="98"/>
  <c r="CK117" i="98"/>
  <c r="CI579" i="98"/>
  <c r="CI362" i="98"/>
  <c r="BD580" i="98"/>
  <c r="ET580" i="98" s="1"/>
  <c r="BD363" i="98"/>
  <c r="ET363" i="98" s="1"/>
  <c r="BC581" i="98"/>
  <c r="ES581" i="98" s="1"/>
  <c r="BC364" i="98"/>
  <c r="ES364" i="98" s="1"/>
  <c r="BB582" i="98"/>
  <c r="ER582" i="98" s="1"/>
  <c r="BB365" i="98"/>
  <c r="ER365" i="98" s="1"/>
  <c r="CK121" i="98"/>
  <c r="AC122" i="98"/>
  <c r="AO122" i="98" s="1"/>
  <c r="BD583" i="98"/>
  <c r="ET583" i="98" s="1"/>
  <c r="BD366" i="98"/>
  <c r="ET366" i="98" s="1"/>
  <c r="BC584" i="98"/>
  <c r="ES584" i="98" s="1"/>
  <c r="BC367" i="98"/>
  <c r="ES367" i="98" s="1"/>
  <c r="BB585" i="98"/>
  <c r="ER585" i="98" s="1"/>
  <c r="BB368" i="98"/>
  <c r="ER368" i="98" s="1"/>
  <c r="CK124" i="98"/>
  <c r="CI586" i="98"/>
  <c r="CI369" i="98"/>
  <c r="BD587" i="98"/>
  <c r="ET587" i="98" s="1"/>
  <c r="BD370" i="98"/>
  <c r="ET370" i="98" s="1"/>
  <c r="CI588" i="98"/>
  <c r="CI371" i="98"/>
  <c r="BD589" i="98"/>
  <c r="ET589" i="98" s="1"/>
  <c r="BD372" i="98"/>
  <c r="ET372" i="98" s="1"/>
  <c r="CI590" i="98"/>
  <c r="CI373" i="98"/>
  <c r="BB591" i="98"/>
  <c r="ER591" i="98" s="1"/>
  <c r="BB374" i="98"/>
  <c r="ER374" i="98" s="1"/>
  <c r="ER130" i="98"/>
  <c r="EV130" i="98"/>
  <c r="BH131" i="98"/>
  <c r="EV132" i="98"/>
  <c r="BH133" i="98"/>
  <c r="EV134" i="98"/>
  <c r="W136" i="98"/>
  <c r="AU136" i="98"/>
  <c r="BC136" i="98"/>
  <c r="ES136" i="98" s="1"/>
  <c r="EV136" i="98"/>
  <c r="F381" i="98"/>
  <c r="EH137" i="98"/>
  <c r="EV137" i="98" s="1"/>
  <c r="AC137" i="98"/>
  <c r="AO137" i="98" s="1"/>
  <c r="AE137" i="98"/>
  <c r="AQ137" i="98" s="1"/>
  <c r="EO138" i="98"/>
  <c r="BK138" i="98"/>
  <c r="BD599" i="98"/>
  <c r="ET599" i="98" s="1"/>
  <c r="BD382" i="98"/>
  <c r="ET382" i="98" s="1"/>
  <c r="EV139" i="98"/>
  <c r="BH140" i="98"/>
  <c r="EV141" i="98"/>
  <c r="BH142" i="98"/>
  <c r="CI604" i="98"/>
  <c r="CI387" i="98"/>
  <c r="CK143" i="98"/>
  <c r="BB605" i="98"/>
  <c r="ER605" i="98" s="1"/>
  <c r="BB388" i="98"/>
  <c r="ER388" i="98" s="1"/>
  <c r="EP145" i="98"/>
  <c r="BL145" i="98"/>
  <c r="CI606" i="98"/>
  <c r="CI389" i="98"/>
  <c r="CK145" i="98"/>
  <c r="BB607" i="98"/>
  <c r="ER607" i="98" s="1"/>
  <c r="BB390" i="98"/>
  <c r="ER390" i="98" s="1"/>
  <c r="F391" i="98"/>
  <c r="EH147" i="98"/>
  <c r="EV147" i="98" s="1"/>
  <c r="AC147" i="98"/>
  <c r="AO147" i="98" s="1"/>
  <c r="AE147" i="98"/>
  <c r="AQ147" i="98" s="1"/>
  <c r="EO148" i="98"/>
  <c r="BK148" i="98"/>
  <c r="BD609" i="98"/>
  <c r="ET609" i="98" s="1"/>
  <c r="BD392" i="98"/>
  <c r="ET392" i="98" s="1"/>
  <c r="CK609" i="98"/>
  <c r="CK392" i="98"/>
  <c r="EN149" i="98"/>
  <c r="BJ149" i="98"/>
  <c r="BC610" i="98"/>
  <c r="ES610" i="98" s="1"/>
  <c r="BC393" i="98"/>
  <c r="ES393" i="98" s="1"/>
  <c r="ES149" i="98"/>
  <c r="BK150" i="98"/>
  <c r="EO150" i="98"/>
  <c r="BD611" i="98"/>
  <c r="ET611" i="98" s="1"/>
  <c r="BD394" i="98"/>
  <c r="ET394" i="98" s="1"/>
  <c r="CK611" i="98"/>
  <c r="CK394" i="98"/>
  <c r="CI612" i="98"/>
  <c r="CI395" i="98"/>
  <c r="CK151" i="98"/>
  <c r="BB613" i="98"/>
  <c r="ER613" i="98" s="1"/>
  <c r="BB396" i="98"/>
  <c r="ER396" i="98" s="1"/>
  <c r="CK613" i="98"/>
  <c r="CK396" i="98"/>
  <c r="ER152" i="98"/>
  <c r="CI614" i="98"/>
  <c r="CI397" i="98"/>
  <c r="CK153" i="98"/>
  <c r="D616" i="98"/>
  <c r="D399" i="98"/>
  <c r="EF155" i="98"/>
  <c r="M155" i="98"/>
  <c r="AK155" i="98" s="1"/>
  <c r="O155" i="98"/>
  <c r="AM155" i="98" s="1"/>
  <c r="P155" i="98"/>
  <c r="AN155" i="98" s="1"/>
  <c r="ER155" i="98"/>
  <c r="W156" i="98"/>
  <c r="AU156" i="98"/>
  <c r="BC156" i="98"/>
  <c r="ES156" i="98" s="1"/>
  <c r="EP157" i="98"/>
  <c r="BL157" i="98"/>
  <c r="CI618" i="98"/>
  <c r="CI401" i="98"/>
  <c r="CK157" i="98"/>
  <c r="BD619" i="98"/>
  <c r="ET619" i="98" s="1"/>
  <c r="BD402" i="98"/>
  <c r="ET402" i="98" s="1"/>
  <c r="EP159" i="98"/>
  <c r="BL159" i="98"/>
  <c r="CI620" i="98"/>
  <c r="CI403" i="98"/>
  <c r="CK159" i="98"/>
  <c r="BB621" i="98"/>
  <c r="ER621" i="98" s="1"/>
  <c r="BB404" i="98"/>
  <c r="ER404" i="98" s="1"/>
  <c r="BL161" i="98"/>
  <c r="EP161" i="98"/>
  <c r="CI622" i="98"/>
  <c r="CI405" i="98"/>
  <c r="CK161" i="98"/>
  <c r="BB623" i="98"/>
  <c r="ER623" i="98" s="1"/>
  <c r="BB406" i="98"/>
  <c r="ER406" i="98" s="1"/>
  <c r="EP163" i="98"/>
  <c r="BL163" i="98"/>
  <c r="CI624" i="98"/>
  <c r="CI407" i="98"/>
  <c r="CK163" i="98"/>
  <c r="BD625" i="98"/>
  <c r="ET625" i="98" s="1"/>
  <c r="BD408" i="98"/>
  <c r="ET408" i="98" s="1"/>
  <c r="EP165" i="98"/>
  <c r="EU165" i="98" s="1"/>
  <c r="BL165" i="98"/>
  <c r="E410" i="98"/>
  <c r="V166" i="98"/>
  <c r="X166" i="98"/>
  <c r="U166" i="98"/>
  <c r="BB410" i="98"/>
  <c r="ER410" i="98" s="1"/>
  <c r="ER166" i="98"/>
  <c r="CJ627" i="98"/>
  <c r="CJ410" i="98"/>
  <c r="E411" i="98"/>
  <c r="V167" i="98"/>
  <c r="EG167" i="98"/>
  <c r="X167" i="98"/>
  <c r="U167" i="98"/>
  <c r="ET167" i="98"/>
  <c r="BL170" i="98"/>
  <c r="EP170" i="98"/>
  <c r="BK171" i="98"/>
  <c r="EO171" i="98"/>
  <c r="BD632" i="98"/>
  <c r="ET632" i="98" s="1"/>
  <c r="BD415" i="98"/>
  <c r="ET415" i="98" s="1"/>
  <c r="CK632" i="98"/>
  <c r="CK415" i="98"/>
  <c r="CI633" i="98"/>
  <c r="CI416" i="98"/>
  <c r="CK172" i="98"/>
  <c r="W173" i="98"/>
  <c r="AU173" i="98"/>
  <c r="EP174" i="98"/>
  <c r="BL174" i="98"/>
  <c r="EO175" i="98"/>
  <c r="BK175" i="98"/>
  <c r="BD636" i="98"/>
  <c r="ET636" i="98" s="1"/>
  <c r="BD419" i="98"/>
  <c r="ET419" i="98" s="1"/>
  <c r="CI637" i="98"/>
  <c r="CI420" i="98"/>
  <c r="CK176" i="98"/>
  <c r="BJ178" i="98"/>
  <c r="EN178" i="98"/>
  <c r="BC639" i="98"/>
  <c r="ES639" i="98" s="1"/>
  <c r="BC422" i="98"/>
  <c r="ES422" i="98" s="1"/>
  <c r="EV178" i="98"/>
  <c r="BB640" i="98"/>
  <c r="ER640" i="98" s="1"/>
  <c r="BB423" i="98"/>
  <c r="ER423" i="98" s="1"/>
  <c r="ES180" i="98"/>
  <c r="BH181" i="98"/>
  <c r="EP182" i="98"/>
  <c r="BL182" i="98"/>
  <c r="AW427" i="98"/>
  <c r="AX183" i="98"/>
  <c r="AZ183" i="98"/>
  <c r="CI644" i="98"/>
  <c r="CI427" i="98"/>
  <c r="CK183" i="98"/>
  <c r="BB645" i="98"/>
  <c r="ER645" i="98" s="1"/>
  <c r="BB428" i="98"/>
  <c r="ER428" i="98" s="1"/>
  <c r="AD185" i="98"/>
  <c r="AP185" i="98" s="1"/>
  <c r="BC185" i="98"/>
  <c r="EM185" i="98"/>
  <c r="D648" i="98"/>
  <c r="D431" i="98"/>
  <c r="O187" i="98"/>
  <c r="AM187" i="98" s="1"/>
  <c r="M187" i="98"/>
  <c r="AK187" i="98" s="1"/>
  <c r="P187" i="98"/>
  <c r="AN187" i="98" s="1"/>
  <c r="EF187" i="98"/>
  <c r="ET187" i="98"/>
  <c r="CK650" i="98"/>
  <c r="CK433" i="98"/>
  <c r="ET189" i="98"/>
  <c r="AD190" i="98"/>
  <c r="AP190" i="98" s="1"/>
  <c r="BC190" i="98"/>
  <c r="EM190" i="98"/>
  <c r="BJ192" i="98"/>
  <c r="EN192" i="98"/>
  <c r="BC653" i="98"/>
  <c r="ES653" i="98" s="1"/>
  <c r="BC436" i="98"/>
  <c r="ES436" i="98" s="1"/>
  <c r="EV192" i="98"/>
  <c r="BB654" i="98"/>
  <c r="ER654" i="98" s="1"/>
  <c r="BB437" i="98"/>
  <c r="ER437" i="98" s="1"/>
  <c r="AY194" i="98"/>
  <c r="BG194" i="98"/>
  <c r="BI195" i="98"/>
  <c r="BE195" i="98"/>
  <c r="AK195" i="98"/>
  <c r="EO195" i="98"/>
  <c r="BK195" i="98"/>
  <c r="BD656" i="98"/>
  <c r="ET656" i="98" s="1"/>
  <c r="BD439" i="98"/>
  <c r="ET439" i="98" s="1"/>
  <c r="AW440" i="98"/>
  <c r="AZ196" i="98"/>
  <c r="AX196" i="98"/>
  <c r="CI657" i="98"/>
  <c r="CI440" i="98"/>
  <c r="CK196" i="98"/>
  <c r="BD658" i="98"/>
  <c r="ET658" i="98" s="1"/>
  <c r="BD441" i="98"/>
  <c r="ET441" i="98" s="1"/>
  <c r="ET197" i="98"/>
  <c r="AD198" i="98"/>
  <c r="AP198" i="98" s="1"/>
  <c r="EM198" i="98"/>
  <c r="AD206" i="98"/>
  <c r="AP206" i="98" s="1"/>
  <c r="AP204" i="98" s="1"/>
  <c r="N216" i="98"/>
  <c r="AL216" i="98" s="1"/>
  <c r="AD216" i="98"/>
  <c r="AP216" i="98" s="1"/>
  <c r="EF216" i="98"/>
  <c r="EP225" i="98"/>
  <c r="EU225" i="98" s="1"/>
  <c r="BG227" i="98"/>
  <c r="EN227" i="98"/>
  <c r="EU227" i="98" s="1"/>
  <c r="EG229" i="98"/>
  <c r="EO230" i="98"/>
  <c r="BK230" i="98"/>
  <c r="BD665" i="98"/>
  <c r="ET665" i="98" s="1"/>
  <c r="BD448" i="98"/>
  <c r="ET448" i="98" s="1"/>
  <c r="EP231" i="98"/>
  <c r="BL231" i="98"/>
  <c r="BB667" i="98"/>
  <c r="ER667" i="98" s="1"/>
  <c r="BB450" i="98"/>
  <c r="ER450" i="98" s="1"/>
  <c r="ER232" i="98"/>
  <c r="EN233" i="98"/>
  <c r="BJ233" i="98"/>
  <c r="BC668" i="98"/>
  <c r="ES668" i="98" s="1"/>
  <c r="BC451" i="98"/>
  <c r="ES451" i="98" s="1"/>
  <c r="BG235" i="98"/>
  <c r="ES235" i="98"/>
  <c r="EO236" i="98"/>
  <c r="BK236" i="98"/>
  <c r="BD671" i="98"/>
  <c r="ET671" i="98" s="1"/>
  <c r="BD454" i="98"/>
  <c r="ET454" i="98" s="1"/>
  <c r="EL238" i="98"/>
  <c r="BH238" i="98"/>
  <c r="BB673" i="98"/>
  <c r="ER673" i="98" s="1"/>
  <c r="BB456" i="98"/>
  <c r="ER456" i="98" s="1"/>
  <c r="EN239" i="98"/>
  <c r="BJ239" i="98"/>
  <c r="BC674" i="98"/>
  <c r="ES674" i="98" s="1"/>
  <c r="BC457" i="98"/>
  <c r="ES457" i="98" s="1"/>
  <c r="EV240" i="98"/>
  <c r="EK241" i="98"/>
  <c r="BG241" i="98"/>
  <c r="EP241" i="98"/>
  <c r="BL241" i="98"/>
  <c r="ES243" i="98"/>
  <c r="EK246" i="98"/>
  <c r="BG246" i="98"/>
  <c r="EP246" i="98"/>
  <c r="EU247" i="98"/>
  <c r="V250" i="98"/>
  <c r="U250" i="98"/>
  <c r="EG250" i="98"/>
  <c r="X250" i="98"/>
  <c r="EV252" i="98"/>
  <c r="EO253" i="98"/>
  <c r="BK254" i="98"/>
  <c r="AZ256" i="98"/>
  <c r="AY256" i="98"/>
  <c r="EM256" i="98"/>
  <c r="AX256" i="98"/>
  <c r="AZ258" i="98"/>
  <c r="EM258" i="98"/>
  <c r="AX258" i="98"/>
  <c r="BI258" i="98"/>
  <c r="AY258" i="98"/>
  <c r="EV258" i="98"/>
  <c r="EV262" i="98"/>
  <c r="EJ262" i="98"/>
  <c r="BF262" i="98"/>
  <c r="U267" i="98"/>
  <c r="BL268" i="98"/>
  <c r="AF274" i="98"/>
  <c r="AR274" i="98" s="1"/>
  <c r="AF275" i="98"/>
  <c r="AR275" i="98" s="1"/>
  <c r="EK275" i="98"/>
  <c r="AE277" i="98"/>
  <c r="AQ277" i="98" s="1"/>
  <c r="AD277" i="98"/>
  <c r="AP277" i="98" s="1"/>
  <c r="EH277" i="98"/>
  <c r="EV277" i="98" s="1"/>
  <c r="AC277" i="98"/>
  <c r="AO277" i="98" s="1"/>
  <c r="AF277" i="98"/>
  <c r="AR277" i="98" s="1"/>
  <c r="EL281" i="98"/>
  <c r="BH281" i="98"/>
  <c r="EK289" i="98"/>
  <c r="BG289" i="98"/>
  <c r="BK292" i="98"/>
  <c r="BK295" i="98"/>
  <c r="BK299" i="98"/>
  <c r="BK303" i="98"/>
  <c r="BK307" i="98"/>
  <c r="BK311" i="98"/>
  <c r="BK315" i="98"/>
  <c r="BL320" i="98"/>
  <c r="AF323" i="98"/>
  <c r="AR323" i="98" s="1"/>
  <c r="EK323" i="98"/>
  <c r="AE325" i="98"/>
  <c r="AQ325" i="98" s="1"/>
  <c r="AD325" i="98"/>
  <c r="AP325" i="98" s="1"/>
  <c r="EH325" i="98"/>
  <c r="AC325" i="98"/>
  <c r="AO325" i="98" s="1"/>
  <c r="AF325" i="98"/>
  <c r="AR325" i="98" s="1"/>
  <c r="BL329" i="98"/>
  <c r="EL331" i="98"/>
  <c r="BH331" i="98"/>
  <c r="BD331" i="98"/>
  <c r="ET331" i="98" s="1"/>
  <c r="BL333" i="98"/>
  <c r="BL335" i="98"/>
  <c r="EL337" i="98"/>
  <c r="BH337" i="98"/>
  <c r="BD337" i="98"/>
  <c r="ET337" i="98" s="1"/>
  <c r="BL339" i="98"/>
  <c r="EL341" i="98"/>
  <c r="BH341" i="98"/>
  <c r="BD341" i="98"/>
  <c r="ET341" i="98" s="1"/>
  <c r="BG362" i="98"/>
  <c r="EK362" i="98"/>
  <c r="BL363" i="98"/>
  <c r="EP363" i="98"/>
  <c r="BL364" i="98"/>
  <c r="EP364" i="98"/>
  <c r="BH365" i="98"/>
  <c r="EL365" i="98"/>
  <c r="BE371" i="98"/>
  <c r="AW371" i="98"/>
  <c r="AV371" i="98"/>
  <c r="AU371" i="98"/>
  <c r="EI371" i="98"/>
  <c r="AT371" i="98"/>
  <c r="BE374" i="98"/>
  <c r="AW374" i="98"/>
  <c r="AV374" i="98"/>
  <c r="AU374" i="98"/>
  <c r="EI374" i="98"/>
  <c r="AT374" i="98"/>
  <c r="CI592" i="98"/>
  <c r="CI375" i="98"/>
  <c r="EK131" i="98"/>
  <c r="EU131" i="98" s="1"/>
  <c r="BD593" i="98"/>
  <c r="ET593" i="98" s="1"/>
  <c r="BD376" i="98"/>
  <c r="ET376" i="98" s="1"/>
  <c r="BH132" i="98"/>
  <c r="EJ132" i="98"/>
  <c r="BC594" i="98"/>
  <c r="ES594" i="98" s="1"/>
  <c r="BC377" i="98"/>
  <c r="ES377" i="98" s="1"/>
  <c r="BG133" i="98"/>
  <c r="BB595" i="98"/>
  <c r="ER595" i="98" s="1"/>
  <c r="BB378" i="98"/>
  <c r="ER378" i="98" s="1"/>
  <c r="BF134" i="98"/>
  <c r="EL134" i="98"/>
  <c r="BD596" i="98"/>
  <c r="ET596" i="98" s="1"/>
  <c r="BD379" i="98"/>
  <c r="ET379" i="98" s="1"/>
  <c r="BH135" i="98"/>
  <c r="EJ135" i="98"/>
  <c r="P136" i="98"/>
  <c r="AN136" i="98" s="1"/>
  <c r="AF136" i="98"/>
  <c r="AR136" i="98" s="1"/>
  <c r="U381" i="98"/>
  <c r="EG381" i="98"/>
  <c r="X381" i="98"/>
  <c r="W381" i="98"/>
  <c r="V381" i="98"/>
  <c r="W137" i="98"/>
  <c r="BL137" i="98"/>
  <c r="EN137" i="98"/>
  <c r="BC599" i="98"/>
  <c r="ES599" i="98" s="1"/>
  <c r="BC382" i="98"/>
  <c r="ES382" i="98" s="1"/>
  <c r="BB600" i="98"/>
  <c r="ER600" i="98" s="1"/>
  <c r="BB383" i="98"/>
  <c r="ER383" i="98" s="1"/>
  <c r="BF139" i="98"/>
  <c r="EL139" i="98"/>
  <c r="CI601" i="98"/>
  <c r="CI384" i="98"/>
  <c r="EK140" i="98"/>
  <c r="EU140" i="98" s="1"/>
  <c r="BD602" i="98"/>
  <c r="ET602" i="98" s="1"/>
  <c r="BD385" i="98"/>
  <c r="ET385" i="98" s="1"/>
  <c r="BH141" i="98"/>
  <c r="EJ141" i="98"/>
  <c r="BC603" i="98"/>
  <c r="ES603" i="98" s="1"/>
  <c r="BC386" i="98"/>
  <c r="ES386" i="98" s="1"/>
  <c r="BG142" i="98"/>
  <c r="BB604" i="98"/>
  <c r="ER604" i="98" s="1"/>
  <c r="BB387" i="98"/>
  <c r="ER387" i="98" s="1"/>
  <c r="EL143" i="98"/>
  <c r="CI605" i="98"/>
  <c r="CI388" i="98"/>
  <c r="EK144" i="98"/>
  <c r="BD606" i="98"/>
  <c r="ET606" i="98" s="1"/>
  <c r="BD389" i="98"/>
  <c r="ET389" i="98" s="1"/>
  <c r="BH145" i="98"/>
  <c r="EJ145" i="98"/>
  <c r="BC607" i="98"/>
  <c r="ES607" i="98" s="1"/>
  <c r="BC390" i="98"/>
  <c r="ES390" i="98" s="1"/>
  <c r="BG146" i="98"/>
  <c r="E608" i="98"/>
  <c r="E391" i="98"/>
  <c r="W147" i="98"/>
  <c r="BL147" i="98"/>
  <c r="EN147" i="98"/>
  <c r="BC609" i="98"/>
  <c r="ES609" i="98" s="1"/>
  <c r="BC392" i="98"/>
  <c r="ES392" i="98" s="1"/>
  <c r="BG148" i="98"/>
  <c r="BB610" i="98"/>
  <c r="ER610" i="98" s="1"/>
  <c r="BB393" i="98"/>
  <c r="ER393" i="98" s="1"/>
  <c r="BF149" i="98"/>
  <c r="EL149" i="98"/>
  <c r="CI611" i="98"/>
  <c r="CI394" i="98"/>
  <c r="EK150" i="98"/>
  <c r="EU150" i="98" s="1"/>
  <c r="BB612" i="98"/>
  <c r="ER612" i="98" s="1"/>
  <c r="BB395" i="98"/>
  <c r="ER395" i="98" s="1"/>
  <c r="BC613" i="98"/>
  <c r="ES613" i="98" s="1"/>
  <c r="BC396" i="98"/>
  <c r="ES396" i="98" s="1"/>
  <c r="BD614" i="98"/>
  <c r="ET614" i="98" s="1"/>
  <c r="BD397" i="98"/>
  <c r="ET397" i="98" s="1"/>
  <c r="AY154" i="98"/>
  <c r="BC154" i="98"/>
  <c r="E616" i="98"/>
  <c r="T169" i="1" s="1"/>
  <c r="E399" i="98"/>
  <c r="T196" i="1" s="1"/>
  <c r="W155" i="98"/>
  <c r="AU155" i="98"/>
  <c r="AY155" i="98"/>
  <c r="D617" i="98"/>
  <c r="D400" i="98"/>
  <c r="N156" i="98"/>
  <c r="AL156" i="98" s="1"/>
  <c r="CI617" i="98"/>
  <c r="CI400" i="98"/>
  <c r="BD618" i="98"/>
  <c r="ET618" i="98" s="1"/>
  <c r="BD401" i="98"/>
  <c r="ET401" i="98" s="1"/>
  <c r="BH157" i="98"/>
  <c r="EJ157" i="98"/>
  <c r="CI619" i="98"/>
  <c r="CI402" i="98"/>
  <c r="BD620" i="98"/>
  <c r="ET620" i="98" s="1"/>
  <c r="BD403" i="98"/>
  <c r="ET403" i="98" s="1"/>
  <c r="BH159" i="98"/>
  <c r="EJ159" i="98"/>
  <c r="BC621" i="98"/>
  <c r="ES621" i="98" s="1"/>
  <c r="BC404" i="98"/>
  <c r="ES404" i="98" s="1"/>
  <c r="BG160" i="98"/>
  <c r="BB622" i="98"/>
  <c r="ER622" i="98" s="1"/>
  <c r="BB405" i="98"/>
  <c r="ER405" i="98" s="1"/>
  <c r="BF161" i="98"/>
  <c r="EL161" i="98"/>
  <c r="CI623" i="98"/>
  <c r="CI406" i="98"/>
  <c r="EK162" i="98"/>
  <c r="BD624" i="98"/>
  <c r="ET624" i="98" s="1"/>
  <c r="BD407" i="98"/>
  <c r="ET407" i="98" s="1"/>
  <c r="BH163" i="98"/>
  <c r="EJ163" i="98"/>
  <c r="CI625" i="98"/>
  <c r="CI408" i="98"/>
  <c r="BD626" i="98"/>
  <c r="ET626" i="98" s="1"/>
  <c r="BD409" i="98"/>
  <c r="ET409" i="98" s="1"/>
  <c r="BH165" i="98"/>
  <c r="AD410" i="98"/>
  <c r="AP410" i="98" s="1"/>
  <c r="EH410" i="98"/>
  <c r="AC410" i="98"/>
  <c r="AO410" i="98" s="1"/>
  <c r="AF410" i="98"/>
  <c r="AR410" i="98" s="1"/>
  <c r="AE410" i="98"/>
  <c r="AQ410" i="98" s="1"/>
  <c r="P166" i="98"/>
  <c r="AN166" i="98" s="1"/>
  <c r="AF166" i="98"/>
  <c r="AR166" i="98" s="1"/>
  <c r="EM410" i="98"/>
  <c r="AX410" i="98"/>
  <c r="BI410" i="98"/>
  <c r="AZ410" i="98"/>
  <c r="AY410" i="98"/>
  <c r="BI166" i="98"/>
  <c r="CI627" i="98"/>
  <c r="CI410" i="98"/>
  <c r="EF166" i="98"/>
  <c r="EH411" i="98"/>
  <c r="AF411" i="98"/>
  <c r="AR411" i="98" s="1"/>
  <c r="AF167" i="98"/>
  <c r="AR167" i="98" s="1"/>
  <c r="EM411" i="98"/>
  <c r="AX411" i="98"/>
  <c r="BI411" i="98"/>
  <c r="AZ411" i="98"/>
  <c r="AY411" i="98"/>
  <c r="BI167" i="98"/>
  <c r="CI628" i="98"/>
  <c r="CI411" i="98"/>
  <c r="EK167" i="98"/>
  <c r="BD629" i="98"/>
  <c r="ET629" i="98" s="1"/>
  <c r="BD412" i="98"/>
  <c r="ET412" i="98" s="1"/>
  <c r="EJ168" i="98"/>
  <c r="BC630" i="98"/>
  <c r="ES630" i="98" s="1"/>
  <c r="BC413" i="98"/>
  <c r="ES413" i="98" s="1"/>
  <c r="BB631" i="98"/>
  <c r="ER631" i="98" s="1"/>
  <c r="BB414" i="98"/>
  <c r="ER414" i="98" s="1"/>
  <c r="EL170" i="98"/>
  <c r="CI632" i="98"/>
  <c r="CI415" i="98"/>
  <c r="EK171" i="98"/>
  <c r="EU171" i="98" s="1"/>
  <c r="BD633" i="98"/>
  <c r="ET633" i="98" s="1"/>
  <c r="BD416" i="98"/>
  <c r="ET416" i="98" s="1"/>
  <c r="EJ172" i="98"/>
  <c r="F634" i="98"/>
  <c r="F417" i="98"/>
  <c r="AF173" i="98"/>
  <c r="AR173" i="98" s="1"/>
  <c r="BA634" i="98"/>
  <c r="EQ634" i="98" s="1"/>
  <c r="BA417" i="98"/>
  <c r="EQ417" i="98" s="1"/>
  <c r="CI634" i="98"/>
  <c r="CI417" i="98"/>
  <c r="BD635" i="98"/>
  <c r="ET635" i="98" s="1"/>
  <c r="BD418" i="98"/>
  <c r="ET418" i="98" s="1"/>
  <c r="EJ174" i="98"/>
  <c r="BC636" i="98"/>
  <c r="ES636" i="98" s="1"/>
  <c r="BC419" i="98"/>
  <c r="ES419" i="98" s="1"/>
  <c r="BB637" i="98"/>
  <c r="ER637" i="98" s="1"/>
  <c r="BB420" i="98"/>
  <c r="ER420" i="98" s="1"/>
  <c r="EL176" i="98"/>
  <c r="CI638" i="98"/>
  <c r="CI421" i="98"/>
  <c r="EK177" i="98"/>
  <c r="EU177" i="98" s="1"/>
  <c r="BD639" i="98"/>
  <c r="ET639" i="98" s="1"/>
  <c r="BD422" i="98"/>
  <c r="ET422" i="98" s="1"/>
  <c r="EJ178" i="98"/>
  <c r="BC640" i="98"/>
  <c r="ES640" i="98" s="1"/>
  <c r="BC423" i="98"/>
  <c r="ES423" i="98" s="1"/>
  <c r="BB641" i="98"/>
  <c r="ER641" i="98" s="1"/>
  <c r="BB424" i="98"/>
  <c r="ER424" i="98" s="1"/>
  <c r="EL180" i="98"/>
  <c r="CI642" i="98"/>
  <c r="CI425" i="98"/>
  <c r="EK181" i="98"/>
  <c r="EU181" i="98" s="1"/>
  <c r="BD643" i="98"/>
  <c r="ET643" i="98" s="1"/>
  <c r="BD426" i="98"/>
  <c r="ET426" i="98" s="1"/>
  <c r="EJ182" i="98"/>
  <c r="BH183" i="98"/>
  <c r="BC645" i="98"/>
  <c r="ES645" i="98" s="1"/>
  <c r="BC428" i="98"/>
  <c r="ES428" i="98" s="1"/>
  <c r="BF185" i="98"/>
  <c r="CI647" i="98"/>
  <c r="CI430" i="98"/>
  <c r="EK186" i="98"/>
  <c r="EU186" i="98" s="1"/>
  <c r="C648" i="98"/>
  <c r="EE648" i="98" s="1"/>
  <c r="C431" i="98"/>
  <c r="EE431" i="98" s="1"/>
  <c r="BA648" i="98"/>
  <c r="EQ648" i="98" s="1"/>
  <c r="BA431" i="98"/>
  <c r="EQ431" i="98" s="1"/>
  <c r="CI648" i="98"/>
  <c r="CI431" i="98"/>
  <c r="BD649" i="98"/>
  <c r="ET649" i="98" s="1"/>
  <c r="BD432" i="98"/>
  <c r="ET432" i="98" s="1"/>
  <c r="EJ188" i="98"/>
  <c r="BG189" i="98"/>
  <c r="BK189" i="98"/>
  <c r="BF190" i="98"/>
  <c r="CI652" i="98"/>
  <c r="CI435" i="98"/>
  <c r="EK191" i="98"/>
  <c r="EU191" i="98" s="1"/>
  <c r="BD653" i="98"/>
  <c r="ET653" i="98" s="1"/>
  <c r="BD436" i="98"/>
  <c r="ET436" i="98" s="1"/>
  <c r="EJ192" i="98"/>
  <c r="BC654" i="98"/>
  <c r="ES654" i="98" s="1"/>
  <c r="BC437" i="98"/>
  <c r="ES437" i="98" s="1"/>
  <c r="E655" i="98"/>
  <c r="T183" i="1" s="1"/>
  <c r="E438" i="98"/>
  <c r="W194" i="98"/>
  <c r="BH194" i="98"/>
  <c r="AN195" i="98"/>
  <c r="BC656" i="98"/>
  <c r="ES656" i="98" s="1"/>
  <c r="BC439" i="98"/>
  <c r="ES439" i="98" s="1"/>
  <c r="BF196" i="98"/>
  <c r="AL197" i="98"/>
  <c r="BC658" i="98"/>
  <c r="ES658" i="98" s="1"/>
  <c r="BC441" i="98"/>
  <c r="ES441" i="98" s="1"/>
  <c r="BG197" i="98"/>
  <c r="EJ198" i="98"/>
  <c r="AF207" i="98"/>
  <c r="AR207" i="98" s="1"/>
  <c r="U216" i="98"/>
  <c r="BC216" i="98"/>
  <c r="ES216" i="98" s="1"/>
  <c r="BK216" i="98"/>
  <c r="BK215" i="98" s="1"/>
  <c r="EE216" i="98"/>
  <c r="EQ216" i="98"/>
  <c r="BB660" i="98"/>
  <c r="ER660" i="98" s="1"/>
  <c r="BB443" i="98"/>
  <c r="ER443" i="98" s="1"/>
  <c r="BB661" i="98"/>
  <c r="ER661" i="98" s="1"/>
  <c r="BB444" i="98"/>
  <c r="ER444" i="98" s="1"/>
  <c r="BB662" i="98"/>
  <c r="ER662" i="98" s="1"/>
  <c r="BB445" i="98"/>
  <c r="ER445" i="98" s="1"/>
  <c r="BB663" i="98"/>
  <c r="ER663" i="98" s="1"/>
  <c r="BB446" i="98"/>
  <c r="ER446" i="98" s="1"/>
  <c r="BF228" i="98"/>
  <c r="ER228" i="98"/>
  <c r="AF664" i="98"/>
  <c r="AR664" i="98" s="1"/>
  <c r="EH664" i="98"/>
  <c r="AD664" i="98"/>
  <c r="AP664" i="98" s="1"/>
  <c r="AE664" i="98"/>
  <c r="AQ664" i="98" s="1"/>
  <c r="AC664" i="98"/>
  <c r="AO664" i="98" s="1"/>
  <c r="P229" i="98"/>
  <c r="AN229" i="98" s="1"/>
  <c r="AF229" i="98"/>
  <c r="AR229" i="98" s="1"/>
  <c r="BL229" i="98"/>
  <c r="EF229" i="98"/>
  <c r="EN229" i="98"/>
  <c r="BC665" i="98"/>
  <c r="ES665" i="98" s="1"/>
  <c r="BC448" i="98"/>
  <c r="ES448" i="98" s="1"/>
  <c r="BG230" i="98"/>
  <c r="ES230" i="98"/>
  <c r="BD666" i="98"/>
  <c r="ET666" i="98" s="1"/>
  <c r="BD449" i="98"/>
  <c r="ET449" i="98" s="1"/>
  <c r="ET231" i="98"/>
  <c r="BB668" i="98"/>
  <c r="ER668" i="98" s="1"/>
  <c r="BB451" i="98"/>
  <c r="ER451" i="98" s="1"/>
  <c r="BF233" i="98"/>
  <c r="ER233" i="98"/>
  <c r="BC669" i="98"/>
  <c r="ES669" i="98" s="1"/>
  <c r="BC452" i="98"/>
  <c r="ES452" i="98" s="1"/>
  <c r="BG234" i="98"/>
  <c r="ES234" i="98"/>
  <c r="BD670" i="98"/>
  <c r="ET670" i="98" s="1"/>
  <c r="BD453" i="98"/>
  <c r="ET453" i="98" s="1"/>
  <c r="BH235" i="98"/>
  <c r="ET235" i="98"/>
  <c r="BB672" i="98"/>
  <c r="ER672" i="98" s="1"/>
  <c r="BB455" i="98"/>
  <c r="ER455" i="98" s="1"/>
  <c r="BF237" i="98"/>
  <c r="BJ237" i="98"/>
  <c r="ER237" i="98"/>
  <c r="BC673" i="98"/>
  <c r="ES673" i="98" s="1"/>
  <c r="BC456" i="98"/>
  <c r="ES456" i="98" s="1"/>
  <c r="BG238" i="98"/>
  <c r="BK238" i="98"/>
  <c r="ES238" i="98"/>
  <c r="BD674" i="98"/>
  <c r="ET674" i="98" s="1"/>
  <c r="BD457" i="98"/>
  <c r="ET457" i="98" s="1"/>
  <c r="BH239" i="98"/>
  <c r="BL239" i="98"/>
  <c r="ET239" i="98"/>
  <c r="BB676" i="98"/>
  <c r="ER676" i="98" s="1"/>
  <c r="BB459" i="98"/>
  <c r="ER459" i="98" s="1"/>
  <c r="BJ241" i="98"/>
  <c r="ER241" i="98"/>
  <c r="BC677" i="98"/>
  <c r="ES677" i="98" s="1"/>
  <c r="BC460" i="98"/>
  <c r="ES460" i="98" s="1"/>
  <c r="BG242" i="98"/>
  <c r="BK242" i="98"/>
  <c r="ES242" i="98"/>
  <c r="BD678" i="98"/>
  <c r="ET678" i="98" s="1"/>
  <c r="BD461" i="98"/>
  <c r="ET461" i="98" s="1"/>
  <c r="BH243" i="98"/>
  <c r="BL243" i="98"/>
  <c r="ET243" i="98"/>
  <c r="BB680" i="98"/>
  <c r="ER680" i="98" s="1"/>
  <c r="BB463" i="98"/>
  <c r="ER463" i="98" s="1"/>
  <c r="BJ245" i="98"/>
  <c r="BB681" i="98"/>
  <c r="ER681" i="98" s="1"/>
  <c r="BB464" i="98"/>
  <c r="ER464" i="98" s="1"/>
  <c r="BJ246" i="98"/>
  <c r="P250" i="98"/>
  <c r="AN250" i="98" s="1"/>
  <c r="AF250" i="98"/>
  <c r="AR250" i="98" s="1"/>
  <c r="AV250" i="98"/>
  <c r="AZ250" i="98"/>
  <c r="AY251" i="98"/>
  <c r="BI253" i="98"/>
  <c r="AZ254" i="98"/>
  <c r="BL260" i="98"/>
  <c r="BL262" i="98"/>
  <c r="AZ264" i="98"/>
  <c r="EM264" i="98"/>
  <c r="AX264" i="98"/>
  <c r="EV266" i="98"/>
  <c r="AZ267" i="98"/>
  <c r="AY267" i="98"/>
  <c r="EM267" i="98"/>
  <c r="AX267" i="98"/>
  <c r="EO268" i="98"/>
  <c r="EV269" i="98"/>
  <c r="BL273" i="98"/>
  <c r="BH274" i="98"/>
  <c r="BL275" i="98"/>
  <c r="AE276" i="98"/>
  <c r="AQ276" i="98" s="1"/>
  <c r="AD276" i="98"/>
  <c r="AP276" i="98" s="1"/>
  <c r="EH276" i="98"/>
  <c r="EV276" i="98" s="1"/>
  <c r="AC276" i="98"/>
  <c r="AO276" i="98" s="1"/>
  <c r="EO276" i="98"/>
  <c r="BH278" i="98"/>
  <c r="EK278" i="98"/>
  <c r="BL279" i="98"/>
  <c r="AE280" i="98"/>
  <c r="AQ280" i="98" s="1"/>
  <c r="AD280" i="98"/>
  <c r="AP280" i="98" s="1"/>
  <c r="EH280" i="98"/>
  <c r="EV280" i="98" s="1"/>
  <c r="AC280" i="98"/>
  <c r="AO280" i="98" s="1"/>
  <c r="EO280" i="98"/>
  <c r="BH282" i="98"/>
  <c r="EK282" i="98"/>
  <c r="BL283" i="98"/>
  <c r="BF288" i="98"/>
  <c r="AE320" i="98"/>
  <c r="AQ320" i="98" s="1"/>
  <c r="AD320" i="98"/>
  <c r="AP320" i="98" s="1"/>
  <c r="EH320" i="98"/>
  <c r="EV320" i="98" s="1"/>
  <c r="AC320" i="98"/>
  <c r="AO320" i="98" s="1"/>
  <c r="EO320" i="98"/>
  <c r="BH322" i="98"/>
  <c r="EK322" i="98"/>
  <c r="BL323" i="98"/>
  <c r="AE324" i="98"/>
  <c r="AQ324" i="98" s="1"/>
  <c r="AD324" i="98"/>
  <c r="AP324" i="98" s="1"/>
  <c r="EH324" i="98"/>
  <c r="AC324" i="98"/>
  <c r="AO324" i="98" s="1"/>
  <c r="EO324" i="98"/>
  <c r="EV325" i="98"/>
  <c r="EK325" i="98"/>
  <c r="BL326" i="98"/>
  <c r="EO326" i="98"/>
  <c r="EV327" i="98"/>
  <c r="EK327" i="98"/>
  <c r="BL328" i="98"/>
  <c r="AE329" i="98"/>
  <c r="AQ329" i="98" s="1"/>
  <c r="AD329" i="98"/>
  <c r="AP329" i="98" s="1"/>
  <c r="EH329" i="98"/>
  <c r="AC329" i="98"/>
  <c r="AO329" i="98" s="1"/>
  <c r="EV330" i="98"/>
  <c r="BL330" i="98"/>
  <c r="AE331" i="98"/>
  <c r="AQ331" i="98" s="1"/>
  <c r="AD331" i="98"/>
  <c r="AP331" i="98" s="1"/>
  <c r="EH331" i="98"/>
  <c r="AC331" i="98"/>
  <c r="AO331" i="98" s="1"/>
  <c r="EO332" i="98"/>
  <c r="EK333" i="98"/>
  <c r="EK335" i="98"/>
  <c r="EV336" i="98"/>
  <c r="BL336" i="98"/>
  <c r="AE337" i="98"/>
  <c r="AQ337" i="98" s="1"/>
  <c r="AD337" i="98"/>
  <c r="AP337" i="98" s="1"/>
  <c r="EH337" i="98"/>
  <c r="EV337" i="98" s="1"/>
  <c r="AC337" i="98"/>
  <c r="AO337" i="98" s="1"/>
  <c r="EO338" i="98"/>
  <c r="EK339" i="98"/>
  <c r="EV340" i="98"/>
  <c r="BL340" i="98"/>
  <c r="AE341" i="98"/>
  <c r="AQ341" i="98" s="1"/>
  <c r="AD341" i="98"/>
  <c r="AP341" i="98" s="1"/>
  <c r="EH341" i="98"/>
  <c r="EV341" i="98" s="1"/>
  <c r="AC341" i="98"/>
  <c r="AO341" i="98" s="1"/>
  <c r="EO342" i="98"/>
  <c r="BK347" i="98"/>
  <c r="EO347" i="98"/>
  <c r="EF350" i="98"/>
  <c r="O350" i="98"/>
  <c r="AM350" i="98" s="1"/>
  <c r="M350" i="98"/>
  <c r="AK350" i="98" s="1"/>
  <c r="P350" i="98"/>
  <c r="AN350" i="98" s="1"/>
  <c r="N350" i="98"/>
  <c r="AL350" i="98" s="1"/>
  <c r="BG350" i="98"/>
  <c r="EK350" i="98"/>
  <c r="BC672" i="98"/>
  <c r="ES672" i="98" s="1"/>
  <c r="BC455" i="98"/>
  <c r="ES455" i="98" s="1"/>
  <c r="ES237" i="98"/>
  <c r="BD673" i="98"/>
  <c r="ET673" i="98" s="1"/>
  <c r="BD456" i="98"/>
  <c r="ET456" i="98" s="1"/>
  <c r="ET238" i="98"/>
  <c r="BB675" i="98"/>
  <c r="ER675" i="98" s="1"/>
  <c r="BB458" i="98"/>
  <c r="ER458" i="98" s="1"/>
  <c r="ER240" i="98"/>
  <c r="BC676" i="98"/>
  <c r="ES676" i="98" s="1"/>
  <c r="BC459" i="98"/>
  <c r="ES459" i="98" s="1"/>
  <c r="ES241" i="98"/>
  <c r="BD677" i="98"/>
  <c r="ET677" i="98" s="1"/>
  <c r="BD460" i="98"/>
  <c r="ET460" i="98" s="1"/>
  <c r="ET242" i="98"/>
  <c r="BB679" i="98"/>
  <c r="ER679" i="98" s="1"/>
  <c r="BB462" i="98"/>
  <c r="ER462" i="98" s="1"/>
  <c r="ER244" i="98"/>
  <c r="BC680" i="98"/>
  <c r="ES680" i="98" s="1"/>
  <c r="BC463" i="98"/>
  <c r="ES463" i="98" s="1"/>
  <c r="BC681" i="98"/>
  <c r="ES681" i="98" s="1"/>
  <c r="BC464" i="98"/>
  <c r="ES464" i="98" s="1"/>
  <c r="BE250" i="98"/>
  <c r="BI250" i="98"/>
  <c r="BL251" i="98"/>
  <c r="BJ253" i="98"/>
  <c r="BI254" i="98"/>
  <c r="BL255" i="98"/>
  <c r="EO259" i="98"/>
  <c r="AE260" i="98"/>
  <c r="AQ260" i="98" s="1"/>
  <c r="EH260" i="98"/>
  <c r="AC260" i="98"/>
  <c r="AO260" i="98" s="1"/>
  <c r="EI261" i="98"/>
  <c r="AT261" i="98"/>
  <c r="AV261" i="98"/>
  <c r="AZ263" i="98"/>
  <c r="EM263" i="98"/>
  <c r="AX263" i="98"/>
  <c r="AZ265" i="98"/>
  <c r="EM265" i="98"/>
  <c r="AX265" i="98"/>
  <c r="AV266" i="98"/>
  <c r="AU266" i="98"/>
  <c r="EI266" i="98"/>
  <c r="AT266" i="98"/>
  <c r="BD267" i="98"/>
  <c r="ET267" i="98" s="1"/>
  <c r="BC267" i="98"/>
  <c r="ES267" i="98" s="1"/>
  <c r="EQ267" i="98"/>
  <c r="BB267" i="98"/>
  <c r="ER267" i="98" s="1"/>
  <c r="BK269" i="98"/>
  <c r="AV272" i="98"/>
  <c r="AU272" i="98"/>
  <c r="EI272" i="98"/>
  <c r="AT272" i="98"/>
  <c r="EV273" i="98"/>
  <c r="AE274" i="98"/>
  <c r="AQ274" i="98" s="1"/>
  <c r="AD274" i="98"/>
  <c r="AP274" i="98" s="1"/>
  <c r="EH274" i="98"/>
  <c r="EV274" i="98" s="1"/>
  <c r="AC274" i="98"/>
  <c r="AO274" i="98" s="1"/>
  <c r="AE275" i="98"/>
  <c r="AQ275" i="98" s="1"/>
  <c r="AD275" i="98"/>
  <c r="AP275" i="98" s="1"/>
  <c r="EH275" i="98"/>
  <c r="EV275" i="98" s="1"/>
  <c r="AC275" i="98"/>
  <c r="AO275" i="98" s="1"/>
  <c r="EK277" i="98"/>
  <c r="BL278" i="98"/>
  <c r="AE279" i="98"/>
  <c r="AQ279" i="98" s="1"/>
  <c r="AD279" i="98"/>
  <c r="AP279" i="98" s="1"/>
  <c r="EH279" i="98"/>
  <c r="EV279" i="98" s="1"/>
  <c r="AC279" i="98"/>
  <c r="AO279" i="98" s="1"/>
  <c r="EK281" i="98"/>
  <c r="EU281" i="98" s="1"/>
  <c r="BL282" i="98"/>
  <c r="AE283" i="98"/>
  <c r="AQ283" i="98" s="1"/>
  <c r="AD283" i="98"/>
  <c r="AP283" i="98" s="1"/>
  <c r="EH283" i="98"/>
  <c r="EV283" i="98" s="1"/>
  <c r="AC283" i="98"/>
  <c r="AO283" i="98" s="1"/>
  <c r="EV285" i="98"/>
  <c r="EV286" i="98"/>
  <c r="EV287" i="98"/>
  <c r="V291" i="98"/>
  <c r="U291" i="98"/>
  <c r="EG291" i="98"/>
  <c r="X291" i="98"/>
  <c r="V292" i="98"/>
  <c r="U292" i="98"/>
  <c r="EG292" i="98"/>
  <c r="X292" i="98"/>
  <c r="V294" i="98"/>
  <c r="U294" i="98"/>
  <c r="EG294" i="98"/>
  <c r="EV294" i="98" s="1"/>
  <c r="X294" i="98"/>
  <c r="V295" i="98"/>
  <c r="U295" i="98"/>
  <c r="EG295" i="98"/>
  <c r="EV295" i="98" s="1"/>
  <c r="X295" i="98"/>
  <c r="V296" i="98"/>
  <c r="U296" i="98"/>
  <c r="EG296" i="98"/>
  <c r="EV296" i="98" s="1"/>
  <c r="X296" i="98"/>
  <c r="V297" i="98"/>
  <c r="U297" i="98"/>
  <c r="EG297" i="98"/>
  <c r="X297" i="98"/>
  <c r="V298" i="98"/>
  <c r="U298" i="98"/>
  <c r="EG298" i="98"/>
  <c r="X298" i="98"/>
  <c r="V299" i="98"/>
  <c r="U299" i="98"/>
  <c r="EG299" i="98"/>
  <c r="X299" i="98"/>
  <c r="V300" i="98"/>
  <c r="U300" i="98"/>
  <c r="EG300" i="98"/>
  <c r="X300" i="98"/>
  <c r="V301" i="98"/>
  <c r="U301" i="98"/>
  <c r="EG301" i="98"/>
  <c r="X301" i="98"/>
  <c r="V302" i="98"/>
  <c r="U302" i="98"/>
  <c r="EG302" i="98"/>
  <c r="EV302" i="98" s="1"/>
  <c r="X302" i="98"/>
  <c r="V303" i="98"/>
  <c r="U303" i="98"/>
  <c r="EG303" i="98"/>
  <c r="EV303" i="98" s="1"/>
  <c r="X303" i="98"/>
  <c r="V304" i="98"/>
  <c r="U304" i="98"/>
  <c r="EG304" i="98"/>
  <c r="X304" i="98"/>
  <c r="V305" i="98"/>
  <c r="U305" i="98"/>
  <c r="EG305" i="98"/>
  <c r="X305" i="98"/>
  <c r="V306" i="98"/>
  <c r="U306" i="98"/>
  <c r="EG306" i="98"/>
  <c r="X306" i="98"/>
  <c r="V307" i="98"/>
  <c r="U307" i="98"/>
  <c r="EG307" i="98"/>
  <c r="X307" i="98"/>
  <c r="V308" i="98"/>
  <c r="U308" i="98"/>
  <c r="EG308" i="98"/>
  <c r="X308" i="98"/>
  <c r="V309" i="98"/>
  <c r="U309" i="98"/>
  <c r="EG309" i="98"/>
  <c r="EV309" i="98" s="1"/>
  <c r="X309" i="98"/>
  <c r="V310" i="98"/>
  <c r="U310" i="98"/>
  <c r="EG310" i="98"/>
  <c r="EV310" i="98" s="1"/>
  <c r="X310" i="98"/>
  <c r="V311" i="98"/>
  <c r="U311" i="98"/>
  <c r="EG311" i="98"/>
  <c r="EV311" i="98" s="1"/>
  <c r="X311" i="98"/>
  <c r="V312" i="98"/>
  <c r="U312" i="98"/>
  <c r="EG312" i="98"/>
  <c r="EV312" i="98" s="1"/>
  <c r="X312" i="98"/>
  <c r="V313" i="98"/>
  <c r="U313" i="98"/>
  <c r="EG313" i="98"/>
  <c r="X313" i="98"/>
  <c r="V314" i="98"/>
  <c r="U314" i="98"/>
  <c r="EG314" i="98"/>
  <c r="X314" i="98"/>
  <c r="V315" i="98"/>
  <c r="U315" i="98"/>
  <c r="EG315" i="98"/>
  <c r="X315" i="98"/>
  <c r="V316" i="98"/>
  <c r="U316" i="98"/>
  <c r="EG316" i="98"/>
  <c r="X316" i="98"/>
  <c r="V317" i="98"/>
  <c r="U317" i="98"/>
  <c r="EG317" i="98"/>
  <c r="X317" i="98"/>
  <c r="V318" i="98"/>
  <c r="U318" i="98"/>
  <c r="EG318" i="98"/>
  <c r="EV318" i="98" s="1"/>
  <c r="X318" i="98"/>
  <c r="EK321" i="98"/>
  <c r="BL322" i="98"/>
  <c r="AE323" i="98"/>
  <c r="AQ323" i="98" s="1"/>
  <c r="AD323" i="98"/>
  <c r="AP323" i="98" s="1"/>
  <c r="EH323" i="98"/>
  <c r="EV323" i="98" s="1"/>
  <c r="AC323" i="98"/>
  <c r="AO323" i="98" s="1"/>
  <c r="AE326" i="98"/>
  <c r="AQ326" i="98" s="1"/>
  <c r="AD326" i="98"/>
  <c r="AP326" i="98" s="1"/>
  <c r="EH326" i="98"/>
  <c r="AC326" i="98"/>
  <c r="AO326" i="98" s="1"/>
  <c r="AE328" i="98"/>
  <c r="AQ328" i="98" s="1"/>
  <c r="AD328" i="98"/>
  <c r="AP328" i="98" s="1"/>
  <c r="EH328" i="98"/>
  <c r="AC328" i="98"/>
  <c r="AO328" i="98" s="1"/>
  <c r="EV329" i="98"/>
  <c r="EO329" i="98"/>
  <c r="EK330" i="98"/>
  <c r="EV331" i="98"/>
  <c r="BL331" i="98"/>
  <c r="AE332" i="98"/>
  <c r="AQ332" i="98" s="1"/>
  <c r="AD332" i="98"/>
  <c r="AP332" i="98" s="1"/>
  <c r="EH332" i="98"/>
  <c r="AC332" i="98"/>
  <c r="AO332" i="98" s="1"/>
  <c r="EK336" i="98"/>
  <c r="BL337" i="98"/>
  <c r="AE338" i="98"/>
  <c r="AQ338" i="98" s="1"/>
  <c r="AD338" i="98"/>
  <c r="AP338" i="98" s="1"/>
  <c r="EH338" i="98"/>
  <c r="AC338" i="98"/>
  <c r="AO338" i="98" s="1"/>
  <c r="EK340" i="98"/>
  <c r="BL341" i="98"/>
  <c r="AE342" i="98"/>
  <c r="AQ342" i="98" s="1"/>
  <c r="AD342" i="98"/>
  <c r="AP342" i="98" s="1"/>
  <c r="EH342" i="98"/>
  <c r="AC342" i="98"/>
  <c r="AO342" i="98" s="1"/>
  <c r="EF348" i="98"/>
  <c r="O348" i="98"/>
  <c r="AM348" i="98" s="1"/>
  <c r="M348" i="98"/>
  <c r="AK348" i="98" s="1"/>
  <c r="P348" i="98"/>
  <c r="AN348" i="98" s="1"/>
  <c r="N348" i="98"/>
  <c r="AL348" i="98" s="1"/>
  <c r="BG348" i="98"/>
  <c r="EK348" i="98"/>
  <c r="BC592" i="98"/>
  <c r="ES592" i="98" s="1"/>
  <c r="BC375" i="98"/>
  <c r="ES375" i="98" s="1"/>
  <c r="BB593" i="98"/>
  <c r="ER593" i="98" s="1"/>
  <c r="BB376" i="98"/>
  <c r="ER376" i="98" s="1"/>
  <c r="ET132" i="98"/>
  <c r="CI594" i="98"/>
  <c r="CI377" i="98"/>
  <c r="ES133" i="98"/>
  <c r="BD595" i="98"/>
  <c r="ET595" i="98" s="1"/>
  <c r="BD378" i="98"/>
  <c r="ET378" i="98" s="1"/>
  <c r="ER134" i="98"/>
  <c r="BB596" i="98"/>
  <c r="ER596" i="98" s="1"/>
  <c r="BB379" i="98"/>
  <c r="ER379" i="98" s="1"/>
  <c r="ET135" i="98"/>
  <c r="CI597" i="98"/>
  <c r="CI380" i="98"/>
  <c r="U137" i="98"/>
  <c r="CI599" i="98"/>
  <c r="CI382" i="98"/>
  <c r="ES138" i="98"/>
  <c r="BD600" i="98"/>
  <c r="ET600" i="98" s="1"/>
  <c r="BD383" i="98"/>
  <c r="ET383" i="98" s="1"/>
  <c r="ER139" i="98"/>
  <c r="BC601" i="98"/>
  <c r="ES601" i="98" s="1"/>
  <c r="BC384" i="98"/>
  <c r="ES384" i="98" s="1"/>
  <c r="BB602" i="98"/>
  <c r="ER602" i="98" s="1"/>
  <c r="BB385" i="98"/>
  <c r="ER385" i="98" s="1"/>
  <c r="ET141" i="98"/>
  <c r="CI603" i="98"/>
  <c r="CI386" i="98"/>
  <c r="ES142" i="98"/>
  <c r="BD604" i="98"/>
  <c r="ET604" i="98" s="1"/>
  <c r="BD387" i="98"/>
  <c r="ET387" i="98" s="1"/>
  <c r="ER143" i="98"/>
  <c r="BC605" i="98"/>
  <c r="ES605" i="98" s="1"/>
  <c r="BC388" i="98"/>
  <c r="ES388" i="98" s="1"/>
  <c r="BB606" i="98"/>
  <c r="ER606" i="98" s="1"/>
  <c r="BB389" i="98"/>
  <c r="ER389" i="98" s="1"/>
  <c r="ET145" i="98"/>
  <c r="CI607" i="98"/>
  <c r="CI390" i="98"/>
  <c r="ES146" i="98"/>
  <c r="EU146" i="98" s="1"/>
  <c r="U147" i="98"/>
  <c r="CI609" i="98"/>
  <c r="CI392" i="98"/>
  <c r="ES148" i="98"/>
  <c r="BD610" i="98"/>
  <c r="ET610" i="98" s="1"/>
  <c r="BD393" i="98"/>
  <c r="ET393" i="98" s="1"/>
  <c r="ER149" i="98"/>
  <c r="BC611" i="98"/>
  <c r="ES611" i="98" s="1"/>
  <c r="BC394" i="98"/>
  <c r="ES394" i="98" s="1"/>
  <c r="BD612" i="98"/>
  <c r="ET612" i="98" s="1"/>
  <c r="BD395" i="98"/>
  <c r="ET395" i="98" s="1"/>
  <c r="ER151" i="98"/>
  <c r="CI613" i="98"/>
  <c r="CI396" i="98"/>
  <c r="ES152" i="98"/>
  <c r="BB614" i="98"/>
  <c r="ER614" i="98" s="1"/>
  <c r="BB397" i="98"/>
  <c r="ER397" i="98" s="1"/>
  <c r="F615" i="98"/>
  <c r="F398" i="98"/>
  <c r="AF154" i="98"/>
  <c r="AR154" i="98" s="1"/>
  <c r="AW615" i="98"/>
  <c r="AW398" i="98"/>
  <c r="BA615" i="98"/>
  <c r="EQ615" i="98" s="1"/>
  <c r="BA398" i="98"/>
  <c r="EQ398" i="98" s="1"/>
  <c r="BI154" i="98"/>
  <c r="CI615" i="98"/>
  <c r="CI398" i="98"/>
  <c r="C616" i="98"/>
  <c r="EE616" i="98" s="1"/>
  <c r="C399" i="98"/>
  <c r="EE399" i="98" s="1"/>
  <c r="U155" i="98"/>
  <c r="CA616" i="98"/>
  <c r="CA399" i="98"/>
  <c r="F617" i="98"/>
  <c r="F400" i="98"/>
  <c r="P156" i="98"/>
  <c r="AN156" i="98" s="1"/>
  <c r="AF156" i="98"/>
  <c r="AR156" i="98" s="1"/>
  <c r="BB618" i="98"/>
  <c r="ER618" i="98" s="1"/>
  <c r="BB401" i="98"/>
  <c r="ER401" i="98" s="1"/>
  <c r="ET157" i="98"/>
  <c r="BC619" i="98"/>
  <c r="ES619" i="98" s="1"/>
  <c r="BC402" i="98"/>
  <c r="ES402" i="98" s="1"/>
  <c r="BB620" i="98"/>
  <c r="ER620" i="98" s="1"/>
  <c r="BB403" i="98"/>
  <c r="ER403" i="98" s="1"/>
  <c r="ET159" i="98"/>
  <c r="EU159" i="98" s="1"/>
  <c r="CI621" i="98"/>
  <c r="CI404" i="98"/>
  <c r="ES160" i="98"/>
  <c r="EU160" i="98" s="1"/>
  <c r="BD622" i="98"/>
  <c r="ET622" i="98" s="1"/>
  <c r="BD405" i="98"/>
  <c r="ET405" i="98" s="1"/>
  <c r="ER161" i="98"/>
  <c r="BC623" i="98"/>
  <c r="ES623" i="98" s="1"/>
  <c r="BC406" i="98"/>
  <c r="ES406" i="98" s="1"/>
  <c r="BB624" i="98"/>
  <c r="ER624" i="98" s="1"/>
  <c r="BB407" i="98"/>
  <c r="ER407" i="98" s="1"/>
  <c r="ET163" i="98"/>
  <c r="BC625" i="98"/>
  <c r="ES625" i="98" s="1"/>
  <c r="BC408" i="98"/>
  <c r="ES408" i="98" s="1"/>
  <c r="BB626" i="98"/>
  <c r="ER626" i="98" s="1"/>
  <c r="BB409" i="98"/>
  <c r="ER409" i="98" s="1"/>
  <c r="N410" i="98"/>
  <c r="AL410" i="98" s="1"/>
  <c r="M410" i="98"/>
  <c r="AK410" i="98" s="1"/>
  <c r="P410" i="98"/>
  <c r="AN410" i="98" s="1"/>
  <c r="EF410" i="98"/>
  <c r="O410" i="98"/>
  <c r="AM410" i="98" s="1"/>
  <c r="N166" i="98"/>
  <c r="AL166" i="98" s="1"/>
  <c r="BC166" i="98"/>
  <c r="CK166" i="98"/>
  <c r="EH166" i="98"/>
  <c r="N411" i="98"/>
  <c r="AL411" i="98" s="1"/>
  <c r="M411" i="98"/>
  <c r="AK411" i="98" s="1"/>
  <c r="P411" i="98"/>
  <c r="AN411" i="98" s="1"/>
  <c r="EF411" i="98"/>
  <c r="O411" i="98"/>
  <c r="AM411" i="98" s="1"/>
  <c r="N167" i="98"/>
  <c r="AL167" i="98" s="1"/>
  <c r="AD167" i="98"/>
  <c r="AP167" i="98" s="1"/>
  <c r="AY167" i="98"/>
  <c r="BC167" i="98"/>
  <c r="EM167" i="98"/>
  <c r="EQ167" i="98"/>
  <c r="BB629" i="98"/>
  <c r="ER629" i="98" s="1"/>
  <c r="BB412" i="98"/>
  <c r="ER412" i="98" s="1"/>
  <c r="ET168" i="98"/>
  <c r="CI630" i="98"/>
  <c r="CI413" i="98"/>
  <c r="ES169" i="98"/>
  <c r="BD631" i="98"/>
  <c r="ET631" i="98" s="1"/>
  <c r="BD414" i="98"/>
  <c r="ET414" i="98" s="1"/>
  <c r="ER170" i="98"/>
  <c r="BC632" i="98"/>
  <c r="ES632" i="98" s="1"/>
  <c r="BC415" i="98"/>
  <c r="ES415" i="98" s="1"/>
  <c r="BB633" i="98"/>
  <c r="ER633" i="98" s="1"/>
  <c r="BB416" i="98"/>
  <c r="ER416" i="98" s="1"/>
  <c r="ET172" i="98"/>
  <c r="EU172" i="98" s="1"/>
  <c r="D634" i="98"/>
  <c r="D417" i="98"/>
  <c r="N173" i="98"/>
  <c r="AL173" i="98" s="1"/>
  <c r="AD173" i="98"/>
  <c r="AP173" i="98" s="1"/>
  <c r="BC173" i="98"/>
  <c r="EQ173" i="98"/>
  <c r="BB635" i="98"/>
  <c r="ER635" i="98" s="1"/>
  <c r="BB418" i="98"/>
  <c r="ER418" i="98" s="1"/>
  <c r="ET174" i="98"/>
  <c r="CI636" i="98"/>
  <c r="CI419" i="98"/>
  <c r="ES175" i="98"/>
  <c r="BD637" i="98"/>
  <c r="ET637" i="98" s="1"/>
  <c r="BD420" i="98"/>
  <c r="ET420" i="98" s="1"/>
  <c r="ER176" i="98"/>
  <c r="BC638" i="98"/>
  <c r="ES638" i="98" s="1"/>
  <c r="BC421" i="98"/>
  <c r="ES421" i="98" s="1"/>
  <c r="BB639" i="98"/>
  <c r="ER639" i="98" s="1"/>
  <c r="BB422" i="98"/>
  <c r="ER422" i="98" s="1"/>
  <c r="ET178" i="98"/>
  <c r="CI640" i="98"/>
  <c r="CI423" i="98"/>
  <c r="ES179" i="98"/>
  <c r="EU179" i="98" s="1"/>
  <c r="BD641" i="98"/>
  <c r="ET641" i="98" s="1"/>
  <c r="BD424" i="98"/>
  <c r="ET424" i="98" s="1"/>
  <c r="ER180" i="98"/>
  <c r="BC642" i="98"/>
  <c r="ES642" i="98" s="1"/>
  <c r="BC425" i="98"/>
  <c r="ES425" i="98" s="1"/>
  <c r="BB643" i="98"/>
  <c r="ER643" i="98" s="1"/>
  <c r="BB426" i="98"/>
  <c r="ER426" i="98" s="1"/>
  <c r="ET182" i="98"/>
  <c r="CI645" i="98"/>
  <c r="CI428" i="98"/>
  <c r="ES184" i="98"/>
  <c r="C646" i="98"/>
  <c r="EE646" i="98" s="1"/>
  <c r="C429" i="98"/>
  <c r="EE429" i="98" s="1"/>
  <c r="BC647" i="98"/>
  <c r="ES647" i="98" s="1"/>
  <c r="BC430" i="98"/>
  <c r="ES430" i="98" s="1"/>
  <c r="E648" i="98"/>
  <c r="E431" i="98"/>
  <c r="W187" i="98"/>
  <c r="BC187" i="98"/>
  <c r="EE187" i="98"/>
  <c r="EQ187" i="98"/>
  <c r="BB649" i="98"/>
  <c r="ER649" i="98" s="1"/>
  <c r="BB432" i="98"/>
  <c r="ER432" i="98" s="1"/>
  <c r="ET188" i="98"/>
  <c r="AE433" i="98"/>
  <c r="AQ433" i="98" s="1"/>
  <c r="AD433" i="98"/>
  <c r="AP433" i="98" s="1"/>
  <c r="EH433" i="98"/>
  <c r="AC433" i="98"/>
  <c r="AO433" i="98" s="1"/>
  <c r="AF433" i="98"/>
  <c r="AR433" i="98" s="1"/>
  <c r="AF189" i="98"/>
  <c r="AR189" i="98" s="1"/>
  <c r="AY433" i="98"/>
  <c r="EM433" i="98"/>
  <c r="AX433" i="98"/>
  <c r="BI433" i="98"/>
  <c r="AZ433" i="98"/>
  <c r="BI189" i="98"/>
  <c r="CI650" i="98"/>
  <c r="CI433" i="98"/>
  <c r="ES189" i="98"/>
  <c r="BC652" i="98"/>
  <c r="ES652" i="98" s="1"/>
  <c r="BC435" i="98"/>
  <c r="ES435" i="98" s="1"/>
  <c r="BB653" i="98"/>
  <c r="ER653" i="98" s="1"/>
  <c r="BB436" i="98"/>
  <c r="ER436" i="98" s="1"/>
  <c r="ET192" i="98"/>
  <c r="CI654" i="98"/>
  <c r="CI437" i="98"/>
  <c r="ES193" i="98"/>
  <c r="EU193" i="98" s="1"/>
  <c r="C655" i="98"/>
  <c r="EE655" i="98" s="1"/>
  <c r="C438" i="98"/>
  <c r="EE438" i="98" s="1"/>
  <c r="U194" i="98"/>
  <c r="AL195" i="98"/>
  <c r="CI656" i="98"/>
  <c r="CI439" i="98"/>
  <c r="ES195" i="98"/>
  <c r="C657" i="98"/>
  <c r="EE657" i="98" s="1"/>
  <c r="C440" i="98"/>
  <c r="EE440" i="98" s="1"/>
  <c r="AN197" i="98"/>
  <c r="CI658" i="98"/>
  <c r="CI441" i="98"/>
  <c r="ES197" i="98"/>
  <c r="EU197" i="98" s="1"/>
  <c r="O206" i="98"/>
  <c r="AM206" i="98" s="1"/>
  <c r="AM204" i="98" s="1"/>
  <c r="W684" i="98"/>
  <c r="V684" i="98"/>
  <c r="X684" i="98"/>
  <c r="U684" i="98"/>
  <c r="EG684" i="98"/>
  <c r="W216" i="98"/>
  <c r="EQ684" i="98"/>
  <c r="BD684" i="98"/>
  <c r="ET684" i="98" s="1"/>
  <c r="BC684" i="98"/>
  <c r="ES684" i="98" s="1"/>
  <c r="BB684" i="98"/>
  <c r="ER684" i="98" s="1"/>
  <c r="EG216" i="98"/>
  <c r="BD660" i="98"/>
  <c r="ET660" i="98" s="1"/>
  <c r="BD443" i="98"/>
  <c r="ET443" i="98" s="1"/>
  <c r="BD661" i="98"/>
  <c r="ET661" i="98" s="1"/>
  <c r="BD444" i="98"/>
  <c r="ET444" i="98" s="1"/>
  <c r="BD662" i="98"/>
  <c r="ET662" i="98" s="1"/>
  <c r="BD445" i="98"/>
  <c r="ET445" i="98" s="1"/>
  <c r="BD663" i="98"/>
  <c r="ET663" i="98" s="1"/>
  <c r="BD446" i="98"/>
  <c r="ET446" i="98" s="1"/>
  <c r="BH228" i="98"/>
  <c r="ET228" i="98"/>
  <c r="EF664" i="98"/>
  <c r="P664" i="98"/>
  <c r="AN664" i="98" s="1"/>
  <c r="N664" i="98"/>
  <c r="AL664" i="98" s="1"/>
  <c r="O664" i="98"/>
  <c r="AM664" i="98" s="1"/>
  <c r="M664" i="98"/>
  <c r="AK664" i="98" s="1"/>
  <c r="N229" i="98"/>
  <c r="AL229" i="98" s="1"/>
  <c r="AD229" i="98"/>
  <c r="AP229" i="98" s="1"/>
  <c r="EH229" i="98"/>
  <c r="BB666" i="98"/>
  <c r="ER666" i="98" s="1"/>
  <c r="BB449" i="98"/>
  <c r="ER449" i="98" s="1"/>
  <c r="BF231" i="98"/>
  <c r="ER231" i="98"/>
  <c r="BC667" i="98"/>
  <c r="ES667" i="98" s="1"/>
  <c r="BC450" i="98"/>
  <c r="ES450" i="98" s="1"/>
  <c r="BG232" i="98"/>
  <c r="ES232" i="98"/>
  <c r="BD668" i="98"/>
  <c r="ET668" i="98" s="1"/>
  <c r="BD451" i="98"/>
  <c r="ET451" i="98" s="1"/>
  <c r="BH233" i="98"/>
  <c r="ET233" i="98"/>
  <c r="BB670" i="98"/>
  <c r="ER670" i="98" s="1"/>
  <c r="BB453" i="98"/>
  <c r="ER453" i="98" s="1"/>
  <c r="BF235" i="98"/>
  <c r="ER235" i="98"/>
  <c r="BC671" i="98"/>
  <c r="ES671" i="98" s="1"/>
  <c r="BC454" i="98"/>
  <c r="ES454" i="98" s="1"/>
  <c r="BG236" i="98"/>
  <c r="ES236" i="98"/>
  <c r="BD672" i="98"/>
  <c r="ET672" i="98" s="1"/>
  <c r="BD455" i="98"/>
  <c r="ET455" i="98" s="1"/>
  <c r="BH237" i="98"/>
  <c r="ET237" i="98"/>
  <c r="EU237" i="98" s="1"/>
  <c r="BB674" i="98"/>
  <c r="ER674" i="98" s="1"/>
  <c r="BB457" i="98"/>
  <c r="ER457" i="98" s="1"/>
  <c r="BF239" i="98"/>
  <c r="ER239" i="98"/>
  <c r="BC675" i="98"/>
  <c r="ES675" i="98" s="1"/>
  <c r="BC458" i="98"/>
  <c r="ES458" i="98" s="1"/>
  <c r="BG240" i="98"/>
  <c r="ES240" i="98"/>
  <c r="BD676" i="98"/>
  <c r="ET676" i="98" s="1"/>
  <c r="BD459" i="98"/>
  <c r="ET459" i="98" s="1"/>
  <c r="BH241" i="98"/>
  <c r="ET241" i="98"/>
  <c r="BB678" i="98"/>
  <c r="ER678" i="98" s="1"/>
  <c r="BB461" i="98"/>
  <c r="ER461" i="98" s="1"/>
  <c r="BF243" i="98"/>
  <c r="ER243" i="98"/>
  <c r="EU243" i="98" s="1"/>
  <c r="BC679" i="98"/>
  <c r="ES679" i="98" s="1"/>
  <c r="BC462" i="98"/>
  <c r="ES462" i="98" s="1"/>
  <c r="BG244" i="98"/>
  <c r="ES244" i="98"/>
  <c r="BD680" i="98"/>
  <c r="ET680" i="98" s="1"/>
  <c r="BD463" i="98"/>
  <c r="ET463" i="98" s="1"/>
  <c r="ES245" i="98"/>
  <c r="BD681" i="98"/>
  <c r="ET681" i="98" s="1"/>
  <c r="BD464" i="98"/>
  <c r="ET464" i="98" s="1"/>
  <c r="ES246" i="98"/>
  <c r="AT250" i="98"/>
  <c r="AX250" i="98"/>
  <c r="AX254" i="98"/>
  <c r="AD260" i="98"/>
  <c r="AP260" i="98" s="1"/>
  <c r="BH260" i="98"/>
  <c r="AU261" i="98"/>
  <c r="BH262" i="98"/>
  <c r="AY263" i="98"/>
  <c r="BI264" i="98"/>
  <c r="AY265" i="98"/>
  <c r="AZ266" i="98"/>
  <c r="AY266" i="98"/>
  <c r="EM266" i="98"/>
  <c r="AX266" i="98"/>
  <c r="EV268" i="98"/>
  <c r="BF270" i="98"/>
  <c r="BJ271" i="98"/>
  <c r="EV271" i="98"/>
  <c r="AZ272" i="98"/>
  <c r="AY272" i="98"/>
  <c r="EM272" i="98"/>
  <c r="AX272" i="98"/>
  <c r="EO273" i="98"/>
  <c r="EO274" i="98"/>
  <c r="BH276" i="98"/>
  <c r="EK276" i="98"/>
  <c r="BL277" i="98"/>
  <c r="AE278" i="98"/>
  <c r="AQ278" i="98" s="1"/>
  <c r="AD278" i="98"/>
  <c r="AP278" i="98" s="1"/>
  <c r="EH278" i="98"/>
  <c r="EV278" i="98" s="1"/>
  <c r="AC278" i="98"/>
  <c r="AO278" i="98" s="1"/>
  <c r="BH280" i="98"/>
  <c r="EK280" i="98"/>
  <c r="BL281" i="98"/>
  <c r="EV281" i="98"/>
  <c r="AE282" i="98"/>
  <c r="AQ282" i="98" s="1"/>
  <c r="AD282" i="98"/>
  <c r="AP282" i="98" s="1"/>
  <c r="EH282" i="98"/>
  <c r="EV282" i="98" s="1"/>
  <c r="AC282" i="98"/>
  <c r="AO282" i="98" s="1"/>
  <c r="AZ284" i="98"/>
  <c r="AY284" i="98"/>
  <c r="EM284" i="98"/>
  <c r="AX284" i="98"/>
  <c r="AV285" i="98"/>
  <c r="AU285" i="98"/>
  <c r="EI285" i="98"/>
  <c r="AT285" i="98"/>
  <c r="AV286" i="98"/>
  <c r="AU286" i="98"/>
  <c r="EI286" i="98"/>
  <c r="AT286" i="98"/>
  <c r="AV287" i="98"/>
  <c r="AU287" i="98"/>
  <c r="EI287" i="98"/>
  <c r="AT287" i="98"/>
  <c r="M289" i="98"/>
  <c r="AK289" i="98" s="1"/>
  <c r="P289" i="98"/>
  <c r="AN289" i="98" s="1"/>
  <c r="O289" i="98"/>
  <c r="AM289" i="98" s="1"/>
  <c r="BG290" i="98"/>
  <c r="BG291" i="98"/>
  <c r="BG292" i="98"/>
  <c r="BG293" i="98"/>
  <c r="BG294" i="98"/>
  <c r="BG295" i="98"/>
  <c r="BG296" i="98"/>
  <c r="BG297" i="98"/>
  <c r="BG298" i="98"/>
  <c r="BG299" i="98"/>
  <c r="BG300" i="98"/>
  <c r="BG301" i="98"/>
  <c r="BG302" i="98"/>
  <c r="BG303" i="98"/>
  <c r="BG304" i="98"/>
  <c r="BG305" i="98"/>
  <c r="BG306" i="98"/>
  <c r="BG307" i="98"/>
  <c r="BG308" i="98"/>
  <c r="BG309" i="98"/>
  <c r="BG310" i="98"/>
  <c r="BG311" i="98"/>
  <c r="BG312" i="98"/>
  <c r="BG313" i="98"/>
  <c r="BG314" i="98"/>
  <c r="BG315" i="98"/>
  <c r="BG316" i="98"/>
  <c r="BG317" i="98"/>
  <c r="BG318" i="98"/>
  <c r="BL319" i="98"/>
  <c r="EO319" i="98"/>
  <c r="BH320" i="98"/>
  <c r="EK320" i="98"/>
  <c r="EU320" i="98" s="1"/>
  <c r="BL321" i="98"/>
  <c r="EV321" i="98"/>
  <c r="AE322" i="98"/>
  <c r="AQ322" i="98" s="1"/>
  <c r="AD322" i="98"/>
  <c r="AP322" i="98" s="1"/>
  <c r="EH322" i="98"/>
  <c r="EU322" i="98" s="1"/>
  <c r="AC322" i="98"/>
  <c r="AO322" i="98" s="1"/>
  <c r="BH324" i="98"/>
  <c r="EK324" i="98"/>
  <c r="BL325" i="98"/>
  <c r="EO325" i="98"/>
  <c r="EU325" i="98" s="1"/>
  <c r="EV326" i="98"/>
  <c r="EU326" i="98"/>
  <c r="BL327" i="98"/>
  <c r="EO327" i="98"/>
  <c r="EV328" i="98"/>
  <c r="EO328" i="98"/>
  <c r="BH329" i="98"/>
  <c r="EK331" i="98"/>
  <c r="EV332" i="98"/>
  <c r="BL332" i="98"/>
  <c r="AE333" i="98"/>
  <c r="AQ333" i="98" s="1"/>
  <c r="AD333" i="98"/>
  <c r="AP333" i="98" s="1"/>
  <c r="EH333" i="98"/>
  <c r="EV333" i="98" s="1"/>
  <c r="AC333" i="98"/>
  <c r="AO333" i="98" s="1"/>
  <c r="BH333" i="98"/>
  <c r="AE335" i="98"/>
  <c r="AQ335" i="98" s="1"/>
  <c r="AD335" i="98"/>
  <c r="AP335" i="98" s="1"/>
  <c r="EH335" i="98"/>
  <c r="EV335" i="98" s="1"/>
  <c r="AC335" i="98"/>
  <c r="AO335" i="98" s="1"/>
  <c r="BH335" i="98"/>
  <c r="EK337" i="98"/>
  <c r="EV338" i="98"/>
  <c r="BL338" i="98"/>
  <c r="AE339" i="98"/>
  <c r="AQ339" i="98" s="1"/>
  <c r="AD339" i="98"/>
  <c r="AP339" i="98" s="1"/>
  <c r="EH339" i="98"/>
  <c r="EV339" i="98" s="1"/>
  <c r="AC339" i="98"/>
  <c r="AO339" i="98" s="1"/>
  <c r="BH339" i="98"/>
  <c r="EK341" i="98"/>
  <c r="EV342" i="98"/>
  <c r="BL342" i="98"/>
  <c r="AE343" i="98"/>
  <c r="AQ343" i="98" s="1"/>
  <c r="AD343" i="98"/>
  <c r="AP343" i="98" s="1"/>
  <c r="AC343" i="98"/>
  <c r="AO343" i="98" s="1"/>
  <c r="BE344" i="98"/>
  <c r="AV344" i="98"/>
  <c r="AU344" i="98"/>
  <c r="AT344" i="98"/>
  <c r="BG346" i="98"/>
  <c r="EK346" i="98"/>
  <c r="BK351" i="98"/>
  <c r="EO351" i="98"/>
  <c r="BI259" i="98"/>
  <c r="BE260" i="98"/>
  <c r="BI260" i="98"/>
  <c r="N266" i="98"/>
  <c r="AL266" i="98" s="1"/>
  <c r="V266" i="98"/>
  <c r="N267" i="98"/>
  <c r="AL267" i="98" s="1"/>
  <c r="BI268" i="98"/>
  <c r="AV269" i="98"/>
  <c r="AZ269" i="98"/>
  <c r="W271" i="98"/>
  <c r="AE271" i="98"/>
  <c r="AQ271" i="98" s="1"/>
  <c r="BE273" i="98"/>
  <c r="BI273" i="98"/>
  <c r="M274" i="98"/>
  <c r="AK274" i="98" s="1"/>
  <c r="BE274" i="98"/>
  <c r="BI274" i="98"/>
  <c r="M275" i="98"/>
  <c r="AK275" i="98" s="1"/>
  <c r="BE275" i="98"/>
  <c r="BI275" i="98"/>
  <c r="M276" i="98"/>
  <c r="AK276" i="98" s="1"/>
  <c r="BE276" i="98"/>
  <c r="BI276" i="98"/>
  <c r="M277" i="98"/>
  <c r="AK277" i="98" s="1"/>
  <c r="BE277" i="98"/>
  <c r="BI277" i="98"/>
  <c r="M278" i="98"/>
  <c r="AK278" i="98" s="1"/>
  <c r="BE278" i="98"/>
  <c r="BI278" i="98"/>
  <c r="M279" i="98"/>
  <c r="AK279" i="98" s="1"/>
  <c r="BE279" i="98"/>
  <c r="BI279" i="98"/>
  <c r="M280" i="98"/>
  <c r="AK280" i="98" s="1"/>
  <c r="BE280" i="98"/>
  <c r="BI280" i="98"/>
  <c r="M281" i="98"/>
  <c r="AK281" i="98" s="1"/>
  <c r="BE281" i="98"/>
  <c r="BI281" i="98"/>
  <c r="M282" i="98"/>
  <c r="AK282" i="98" s="1"/>
  <c r="BE282" i="98"/>
  <c r="BI282" i="98"/>
  <c r="M283" i="98"/>
  <c r="AK283" i="98" s="1"/>
  <c r="BE283" i="98"/>
  <c r="BI283" i="98"/>
  <c r="N285" i="98"/>
  <c r="AL285" i="98" s="1"/>
  <c r="V285" i="98"/>
  <c r="N286" i="98"/>
  <c r="AL286" i="98" s="1"/>
  <c r="V286" i="98"/>
  <c r="N287" i="98"/>
  <c r="AL287" i="98" s="1"/>
  <c r="V287" i="98"/>
  <c r="N288" i="98"/>
  <c r="AL288" i="98" s="1"/>
  <c r="V288" i="98"/>
  <c r="EF288" i="98"/>
  <c r="W289" i="98"/>
  <c r="AE289" i="98"/>
  <c r="AQ289" i="98" s="1"/>
  <c r="AZ289" i="98"/>
  <c r="EG289" i="98"/>
  <c r="AF290" i="98"/>
  <c r="AR290" i="98" s="1"/>
  <c r="AV290" i="98"/>
  <c r="AZ290" i="98"/>
  <c r="AF291" i="98"/>
  <c r="AR291" i="98" s="1"/>
  <c r="AV291" i="98"/>
  <c r="AZ291" i="98"/>
  <c r="AF292" i="98"/>
  <c r="AR292" i="98" s="1"/>
  <c r="AV292" i="98"/>
  <c r="AZ292" i="98"/>
  <c r="AF293" i="98"/>
  <c r="AR293" i="98" s="1"/>
  <c r="AV293" i="98"/>
  <c r="AZ293" i="98"/>
  <c r="AF294" i="98"/>
  <c r="AR294" i="98" s="1"/>
  <c r="AV294" i="98"/>
  <c r="AZ294" i="98"/>
  <c r="AF295" i="98"/>
  <c r="AR295" i="98" s="1"/>
  <c r="AV295" i="98"/>
  <c r="AZ295" i="98"/>
  <c r="AF296" i="98"/>
  <c r="AR296" i="98" s="1"/>
  <c r="AV296" i="98"/>
  <c r="AZ296" i="98"/>
  <c r="AF297" i="98"/>
  <c r="AR297" i="98" s="1"/>
  <c r="AV297" i="98"/>
  <c r="AZ297" i="98"/>
  <c r="AF298" i="98"/>
  <c r="AR298" i="98" s="1"/>
  <c r="AV298" i="98"/>
  <c r="AZ298" i="98"/>
  <c r="AF299" i="98"/>
  <c r="AR299" i="98" s="1"/>
  <c r="AV299" i="98"/>
  <c r="AZ299" i="98"/>
  <c r="AF300" i="98"/>
  <c r="AR300" i="98" s="1"/>
  <c r="AV300" i="98"/>
  <c r="AZ300" i="98"/>
  <c r="AF301" i="98"/>
  <c r="AR301" i="98" s="1"/>
  <c r="AV301" i="98"/>
  <c r="AZ301" i="98"/>
  <c r="AF302" i="98"/>
  <c r="AR302" i="98" s="1"/>
  <c r="AV302" i="98"/>
  <c r="AZ302" i="98"/>
  <c r="AF303" i="98"/>
  <c r="AR303" i="98" s="1"/>
  <c r="AV303" i="98"/>
  <c r="AZ303" i="98"/>
  <c r="AF304" i="98"/>
  <c r="AR304" i="98" s="1"/>
  <c r="AV304" i="98"/>
  <c r="AZ304" i="98"/>
  <c r="AF305" i="98"/>
  <c r="AR305" i="98" s="1"/>
  <c r="AV305" i="98"/>
  <c r="AZ305" i="98"/>
  <c r="AF306" i="98"/>
  <c r="AR306" i="98" s="1"/>
  <c r="AV306" i="98"/>
  <c r="AZ306" i="98"/>
  <c r="AF307" i="98"/>
  <c r="AR307" i="98" s="1"/>
  <c r="AV307" i="98"/>
  <c r="AZ307" i="98"/>
  <c r="AF308" i="98"/>
  <c r="AR308" i="98" s="1"/>
  <c r="AV308" i="98"/>
  <c r="AZ308" i="98"/>
  <c r="AF309" i="98"/>
  <c r="AR309" i="98" s="1"/>
  <c r="AV309" i="98"/>
  <c r="AZ309" i="98"/>
  <c r="AF310" i="98"/>
  <c r="AR310" i="98" s="1"/>
  <c r="AV310" i="98"/>
  <c r="AZ310" i="98"/>
  <c r="AF311" i="98"/>
  <c r="AR311" i="98" s="1"/>
  <c r="AV311" i="98"/>
  <c r="AZ311" i="98"/>
  <c r="AF312" i="98"/>
  <c r="AR312" i="98" s="1"/>
  <c r="AV312" i="98"/>
  <c r="AZ312" i="98"/>
  <c r="AF313" i="98"/>
  <c r="AR313" i="98" s="1"/>
  <c r="AV313" i="98"/>
  <c r="AZ313" i="98"/>
  <c r="AF314" i="98"/>
  <c r="AR314" i="98" s="1"/>
  <c r="AV314" i="98"/>
  <c r="AZ314" i="98"/>
  <c r="AF315" i="98"/>
  <c r="AR315" i="98" s="1"/>
  <c r="AV315" i="98"/>
  <c r="AZ315" i="98"/>
  <c r="AF316" i="98"/>
  <c r="AR316" i="98" s="1"/>
  <c r="AV316" i="98"/>
  <c r="AZ316" i="98"/>
  <c r="AF317" i="98"/>
  <c r="AR317" i="98" s="1"/>
  <c r="AV317" i="98"/>
  <c r="AZ317" i="98"/>
  <c r="AF318" i="98"/>
  <c r="AR318" i="98" s="1"/>
  <c r="AV318" i="98"/>
  <c r="AZ318" i="98"/>
  <c r="BI319" i="98"/>
  <c r="M320" i="98"/>
  <c r="AK320" i="98" s="1"/>
  <c r="BE320" i="98"/>
  <c r="BI320" i="98"/>
  <c r="M321" i="98"/>
  <c r="AK321" i="98" s="1"/>
  <c r="BE321" i="98"/>
  <c r="BI321" i="98"/>
  <c r="M322" i="98"/>
  <c r="AK322" i="98" s="1"/>
  <c r="BE322" i="98"/>
  <c r="BI322" i="98"/>
  <c r="M323" i="98"/>
  <c r="AK323" i="98" s="1"/>
  <c r="BE323" i="98"/>
  <c r="BI323" i="98"/>
  <c r="M324" i="98"/>
  <c r="AK324" i="98" s="1"/>
  <c r="BE324" i="98"/>
  <c r="BI324" i="98"/>
  <c r="M325" i="98"/>
  <c r="AK325" i="98" s="1"/>
  <c r="BE325" i="98"/>
  <c r="BI325" i="98"/>
  <c r="M326" i="98"/>
  <c r="AK326" i="98" s="1"/>
  <c r="BE326" i="98"/>
  <c r="BI326" i="98"/>
  <c r="M327" i="98"/>
  <c r="AK327" i="98" s="1"/>
  <c r="BE327" i="98"/>
  <c r="BI327" i="98"/>
  <c r="M328" i="98"/>
  <c r="AK328" i="98" s="1"/>
  <c r="BE328" i="98"/>
  <c r="BI328" i="98"/>
  <c r="M329" i="98"/>
  <c r="AK329" i="98" s="1"/>
  <c r="BE329" i="98"/>
  <c r="BI329" i="98"/>
  <c r="M330" i="98"/>
  <c r="AK330" i="98" s="1"/>
  <c r="BE330" i="98"/>
  <c r="BI330" i="98"/>
  <c r="M331" i="98"/>
  <c r="AK331" i="98" s="1"/>
  <c r="BE331" i="98"/>
  <c r="BI331" i="98"/>
  <c r="M332" i="98"/>
  <c r="AK332" i="98" s="1"/>
  <c r="BE332" i="98"/>
  <c r="BI332" i="98"/>
  <c r="M333" i="98"/>
  <c r="AK333" i="98" s="1"/>
  <c r="BE333" i="98"/>
  <c r="BI333" i="98"/>
  <c r="BE335" i="98"/>
  <c r="BI335" i="98"/>
  <c r="BE336" i="98"/>
  <c r="BI336" i="98"/>
  <c r="BE337" i="98"/>
  <c r="BI337" i="98"/>
  <c r="BE338" i="98"/>
  <c r="BI338" i="98"/>
  <c r="BE339" i="98"/>
  <c r="BI339" i="98"/>
  <c r="BE340" i="98"/>
  <c r="BI340" i="98"/>
  <c r="BE341" i="98"/>
  <c r="BI341" i="98"/>
  <c r="BE342" i="98"/>
  <c r="BI342" i="98"/>
  <c r="BF343" i="98"/>
  <c r="N344" i="98"/>
  <c r="AL344" i="98" s="1"/>
  <c r="BK344" i="98"/>
  <c r="EF344" i="98"/>
  <c r="EF346" i="98"/>
  <c r="O346" i="98"/>
  <c r="AM346" i="98" s="1"/>
  <c r="N346" i="98"/>
  <c r="AL346" i="98" s="1"/>
  <c r="BJ347" i="98"/>
  <c r="BJ349" i="98"/>
  <c r="BJ351" i="98"/>
  <c r="BK353" i="98"/>
  <c r="EO353" i="98"/>
  <c r="BG355" i="98"/>
  <c r="EK355" i="98"/>
  <c r="BK357" i="98"/>
  <c r="EO357" i="98"/>
  <c r="BG360" i="98"/>
  <c r="EK360" i="98"/>
  <c r="BH366" i="98"/>
  <c r="EL366" i="98"/>
  <c r="EI402" i="98"/>
  <c r="BE402" i="98"/>
  <c r="AW402" i="98"/>
  <c r="W266" i="98"/>
  <c r="BJ268" i="98"/>
  <c r="BE269" i="98"/>
  <c r="BI269" i="98"/>
  <c r="BH270" i="98"/>
  <c r="BL270" i="98"/>
  <c r="AF271" i="98"/>
  <c r="AR271" i="98" s="1"/>
  <c r="BH271" i="98"/>
  <c r="BL271" i="98"/>
  <c r="BF273" i="98"/>
  <c r="BJ273" i="98"/>
  <c r="N274" i="98"/>
  <c r="AL274" i="98" s="1"/>
  <c r="BF274" i="98"/>
  <c r="BJ274" i="98"/>
  <c r="N275" i="98"/>
  <c r="AL275" i="98" s="1"/>
  <c r="BF275" i="98"/>
  <c r="BJ275" i="98"/>
  <c r="N276" i="98"/>
  <c r="AL276" i="98" s="1"/>
  <c r="BF276" i="98"/>
  <c r="BJ276" i="98"/>
  <c r="EU276" i="98"/>
  <c r="N277" i="98"/>
  <c r="AL277" i="98" s="1"/>
  <c r="BF277" i="98"/>
  <c r="BJ277" i="98"/>
  <c r="N278" i="98"/>
  <c r="AL278" i="98" s="1"/>
  <c r="BF278" i="98"/>
  <c r="BJ278" i="98"/>
  <c r="N279" i="98"/>
  <c r="AL279" i="98" s="1"/>
  <c r="BF279" i="98"/>
  <c r="BJ279" i="98"/>
  <c r="N280" i="98"/>
  <c r="AL280" i="98" s="1"/>
  <c r="BF280" i="98"/>
  <c r="BJ280" i="98"/>
  <c r="N281" i="98"/>
  <c r="AL281" i="98" s="1"/>
  <c r="BF281" i="98"/>
  <c r="BJ281" i="98"/>
  <c r="N282" i="98"/>
  <c r="AL282" i="98" s="1"/>
  <c r="BF282" i="98"/>
  <c r="BJ282" i="98"/>
  <c r="N283" i="98"/>
  <c r="AL283" i="98" s="1"/>
  <c r="BF283" i="98"/>
  <c r="BJ283" i="98"/>
  <c r="BG284" i="98"/>
  <c r="W285" i="98"/>
  <c r="W286" i="98"/>
  <c r="W287" i="98"/>
  <c r="W288" i="98"/>
  <c r="BH288" i="98"/>
  <c r="BL288" i="98"/>
  <c r="EG288" i="98"/>
  <c r="AF289" i="98"/>
  <c r="AR289" i="98" s="1"/>
  <c r="BI289" i="98"/>
  <c r="EH289" i="98"/>
  <c r="BE290" i="98"/>
  <c r="BI290" i="98"/>
  <c r="BE291" i="98"/>
  <c r="BI291" i="98"/>
  <c r="BE292" i="98"/>
  <c r="BI292" i="98"/>
  <c r="BE293" i="98"/>
  <c r="BI293" i="98"/>
  <c r="BE294" i="98"/>
  <c r="BI294" i="98"/>
  <c r="BE295" i="98"/>
  <c r="BI295" i="98"/>
  <c r="BE296" i="98"/>
  <c r="BI296" i="98"/>
  <c r="BE297" i="98"/>
  <c r="BI297" i="98"/>
  <c r="BE298" i="98"/>
  <c r="BI298" i="98"/>
  <c r="BE299" i="98"/>
  <c r="BI299" i="98"/>
  <c r="BE300" i="98"/>
  <c r="BI300" i="98"/>
  <c r="BE301" i="98"/>
  <c r="BI301" i="98"/>
  <c r="BE302" i="98"/>
  <c r="BI302" i="98"/>
  <c r="BE303" i="98"/>
  <c r="BI303" i="98"/>
  <c r="BE304" i="98"/>
  <c r="BI304" i="98"/>
  <c r="BE305" i="98"/>
  <c r="BI305" i="98"/>
  <c r="BE306" i="98"/>
  <c r="BI306" i="98"/>
  <c r="BE307" i="98"/>
  <c r="BI307" i="98"/>
  <c r="BE308" i="98"/>
  <c r="BI308" i="98"/>
  <c r="BE309" i="98"/>
  <c r="BI309" i="98"/>
  <c r="BE310" i="98"/>
  <c r="BI310" i="98"/>
  <c r="BE311" i="98"/>
  <c r="BI311" i="98"/>
  <c r="BE312" i="98"/>
  <c r="BI312" i="98"/>
  <c r="BE313" i="98"/>
  <c r="BI313" i="98"/>
  <c r="BE314" i="98"/>
  <c r="BI314" i="98"/>
  <c r="BE315" i="98"/>
  <c r="BI315" i="98"/>
  <c r="BE316" i="98"/>
  <c r="BI316" i="98"/>
  <c r="BE317" i="98"/>
  <c r="BI317" i="98"/>
  <c r="BE318" i="98"/>
  <c r="BI318" i="98"/>
  <c r="BF319" i="98"/>
  <c r="BJ319" i="98"/>
  <c r="N320" i="98"/>
  <c r="AL320" i="98" s="1"/>
  <c r="BF320" i="98"/>
  <c r="BJ320" i="98"/>
  <c r="N321" i="98"/>
  <c r="AL321" i="98" s="1"/>
  <c r="BF321" i="98"/>
  <c r="BJ321" i="98"/>
  <c r="N322" i="98"/>
  <c r="AL322" i="98" s="1"/>
  <c r="BF322" i="98"/>
  <c r="BJ322" i="98"/>
  <c r="N323" i="98"/>
  <c r="AL323" i="98" s="1"/>
  <c r="BF323" i="98"/>
  <c r="BJ323" i="98"/>
  <c r="N324" i="98"/>
  <c r="AL324" i="98" s="1"/>
  <c r="BF324" i="98"/>
  <c r="BJ324" i="98"/>
  <c r="N325" i="98"/>
  <c r="AL325" i="98" s="1"/>
  <c r="BF325" i="98"/>
  <c r="BJ325" i="98"/>
  <c r="N326" i="98"/>
  <c r="AL326" i="98" s="1"/>
  <c r="BF326" i="98"/>
  <c r="BJ326" i="98"/>
  <c r="N327" i="98"/>
  <c r="AL327" i="98" s="1"/>
  <c r="BF327" i="98"/>
  <c r="BJ327" i="98"/>
  <c r="N328" i="98"/>
  <c r="AL328" i="98" s="1"/>
  <c r="BF328" i="98"/>
  <c r="BJ328" i="98"/>
  <c r="EI328" i="98"/>
  <c r="EM328" i="98"/>
  <c r="N329" i="98"/>
  <c r="AL329" i="98" s="1"/>
  <c r="BF329" i="98"/>
  <c r="BJ329" i="98"/>
  <c r="EI329" i="98"/>
  <c r="EM329" i="98"/>
  <c r="N330" i="98"/>
  <c r="AL330" i="98" s="1"/>
  <c r="AT330" i="98"/>
  <c r="AX330" i="98"/>
  <c r="EI330" i="98"/>
  <c r="EM330" i="98"/>
  <c r="N331" i="98"/>
  <c r="AL331" i="98" s="1"/>
  <c r="AT331" i="98"/>
  <c r="AX331" i="98"/>
  <c r="EI331" i="98"/>
  <c r="EM331" i="98"/>
  <c r="N332" i="98"/>
  <c r="AL332" i="98" s="1"/>
  <c r="AT332" i="98"/>
  <c r="AX332" i="98"/>
  <c r="EI332" i="98"/>
  <c r="EM332" i="98"/>
  <c r="N333" i="98"/>
  <c r="AL333" i="98" s="1"/>
  <c r="AT333" i="98"/>
  <c r="AX333" i="98"/>
  <c r="EI333" i="98"/>
  <c r="EM333" i="98"/>
  <c r="N334" i="98"/>
  <c r="AL334" i="98" s="1"/>
  <c r="N335" i="98"/>
  <c r="AL335" i="98" s="1"/>
  <c r="AT335" i="98"/>
  <c r="AX335" i="98"/>
  <c r="EI335" i="98"/>
  <c r="EM335" i="98"/>
  <c r="N336" i="98"/>
  <c r="AL336" i="98" s="1"/>
  <c r="AT336" i="98"/>
  <c r="AX336" i="98"/>
  <c r="EI336" i="98"/>
  <c r="EM336" i="98"/>
  <c r="N337" i="98"/>
  <c r="AL337" i="98" s="1"/>
  <c r="AT337" i="98"/>
  <c r="AX337" i="98"/>
  <c r="EI337" i="98"/>
  <c r="EM337" i="98"/>
  <c r="N338" i="98"/>
  <c r="AL338" i="98" s="1"/>
  <c r="AT338" i="98"/>
  <c r="AX338" i="98"/>
  <c r="EI338" i="98"/>
  <c r="EM338" i="98"/>
  <c r="N339" i="98"/>
  <c r="AL339" i="98" s="1"/>
  <c r="AT339" i="98"/>
  <c r="AX339" i="98"/>
  <c r="EI339" i="98"/>
  <c r="EM339" i="98"/>
  <c r="N340" i="98"/>
  <c r="AL340" i="98" s="1"/>
  <c r="AT340" i="98"/>
  <c r="AX340" i="98"/>
  <c r="EI340" i="98"/>
  <c r="EM340" i="98"/>
  <c r="N341" i="98"/>
  <c r="AL341" i="98" s="1"/>
  <c r="AT341" i="98"/>
  <c r="AX341" i="98"/>
  <c r="EI341" i="98"/>
  <c r="EM341" i="98"/>
  <c r="N342" i="98"/>
  <c r="AL342" i="98" s="1"/>
  <c r="AT342" i="98"/>
  <c r="AX342" i="98"/>
  <c r="EI342" i="98"/>
  <c r="EM342" i="98"/>
  <c r="N343" i="98"/>
  <c r="AL343" i="98" s="1"/>
  <c r="BG343" i="98"/>
  <c r="EF343" i="98"/>
  <c r="EV343" i="98" s="1"/>
  <c r="O344" i="98"/>
  <c r="AM344" i="98" s="1"/>
  <c r="W344" i="98"/>
  <c r="BL344" i="98"/>
  <c r="EG344" i="98"/>
  <c r="P346" i="98"/>
  <c r="AN346" i="98" s="1"/>
  <c r="BK346" i="98"/>
  <c r="EO346" i="98"/>
  <c r="EF347" i="98"/>
  <c r="O347" i="98"/>
  <c r="AM347" i="98" s="1"/>
  <c r="M347" i="98"/>
  <c r="AK347" i="98" s="1"/>
  <c r="P347" i="98"/>
  <c r="AN347" i="98" s="1"/>
  <c r="BG347" i="98"/>
  <c r="EK347" i="98"/>
  <c r="BK348" i="98"/>
  <c r="EO348" i="98"/>
  <c r="EF349" i="98"/>
  <c r="O349" i="98"/>
  <c r="AM349" i="98" s="1"/>
  <c r="M349" i="98"/>
  <c r="AK349" i="98" s="1"/>
  <c r="P349" i="98"/>
  <c r="AN349" i="98" s="1"/>
  <c r="BG349" i="98"/>
  <c r="EK349" i="98"/>
  <c r="BK350" i="98"/>
  <c r="EO350" i="98"/>
  <c r="EF351" i="98"/>
  <c r="O351" i="98"/>
  <c r="AM351" i="98" s="1"/>
  <c r="M351" i="98"/>
  <c r="AK351" i="98" s="1"/>
  <c r="P351" i="98"/>
  <c r="AN351" i="98" s="1"/>
  <c r="BG351" i="98"/>
  <c r="EK351" i="98"/>
  <c r="BK352" i="98"/>
  <c r="EO352" i="98"/>
  <c r="EF353" i="98"/>
  <c r="O353" i="98"/>
  <c r="AM353" i="98" s="1"/>
  <c r="M353" i="98"/>
  <c r="AK353" i="98" s="1"/>
  <c r="P353" i="98"/>
  <c r="AN353" i="98" s="1"/>
  <c r="BK354" i="98"/>
  <c r="EO354" i="98"/>
  <c r="BG356" i="98"/>
  <c r="EK356" i="98"/>
  <c r="BK358" i="98"/>
  <c r="EO358" i="98"/>
  <c r="BK359" i="98"/>
  <c r="EO359" i="98"/>
  <c r="AU361" i="98"/>
  <c r="AT361" i="98"/>
  <c r="AV361" i="98"/>
  <c r="BK362" i="98"/>
  <c r="EO362" i="98"/>
  <c r="BH364" i="98"/>
  <c r="EL364" i="98"/>
  <c r="BL365" i="98"/>
  <c r="EP365" i="98"/>
  <c r="AX402" i="98"/>
  <c r="AT402" i="98"/>
  <c r="X266" i="98"/>
  <c r="AT269" i="98"/>
  <c r="AX269" i="98"/>
  <c r="AC271" i="98"/>
  <c r="AO271" i="98" s="1"/>
  <c r="O274" i="98"/>
  <c r="AM274" i="98" s="1"/>
  <c r="O275" i="98"/>
  <c r="AM275" i="98" s="1"/>
  <c r="O276" i="98"/>
  <c r="AM276" i="98" s="1"/>
  <c r="O277" i="98"/>
  <c r="AM277" i="98" s="1"/>
  <c r="O278" i="98"/>
  <c r="AM278" i="98" s="1"/>
  <c r="O279" i="98"/>
  <c r="AM279" i="98" s="1"/>
  <c r="O280" i="98"/>
  <c r="AM280" i="98" s="1"/>
  <c r="O281" i="98"/>
  <c r="AM281" i="98" s="1"/>
  <c r="O282" i="98"/>
  <c r="AM282" i="98" s="1"/>
  <c r="O283" i="98"/>
  <c r="AM283" i="98" s="1"/>
  <c r="X285" i="98"/>
  <c r="X286" i="98"/>
  <c r="X287" i="98"/>
  <c r="AF288" i="98"/>
  <c r="AR288" i="98" s="1"/>
  <c r="AX289" i="98"/>
  <c r="AT290" i="98"/>
  <c r="AX290" i="98"/>
  <c r="AT291" i="98"/>
  <c r="AX291" i="98"/>
  <c r="AT292" i="98"/>
  <c r="AX292" i="98"/>
  <c r="AT293" i="98"/>
  <c r="AX293" i="98"/>
  <c r="AT294" i="98"/>
  <c r="AX294" i="98"/>
  <c r="AT295" i="98"/>
  <c r="AX295" i="98"/>
  <c r="AT296" i="98"/>
  <c r="AX296" i="98"/>
  <c r="AT297" i="98"/>
  <c r="AX297" i="98"/>
  <c r="AT298" i="98"/>
  <c r="AX298" i="98"/>
  <c r="AT299" i="98"/>
  <c r="AX299" i="98"/>
  <c r="AT300" i="98"/>
  <c r="AX300" i="98"/>
  <c r="AT301" i="98"/>
  <c r="AX301" i="98"/>
  <c r="AT302" i="98"/>
  <c r="AX302" i="98"/>
  <c r="AT303" i="98"/>
  <c r="AX303" i="98"/>
  <c r="AT304" i="98"/>
  <c r="AX304" i="98"/>
  <c r="AT305" i="98"/>
  <c r="AX305" i="98"/>
  <c r="AT306" i="98"/>
  <c r="AX306" i="98"/>
  <c r="AT307" i="98"/>
  <c r="AX307" i="98"/>
  <c r="AT308" i="98"/>
  <c r="AX308" i="98"/>
  <c r="AT309" i="98"/>
  <c r="AX309" i="98"/>
  <c r="AT310" i="98"/>
  <c r="AX310" i="98"/>
  <c r="AT311" i="98"/>
  <c r="AX311" i="98"/>
  <c r="AT312" i="98"/>
  <c r="AX312" i="98"/>
  <c r="AT313" i="98"/>
  <c r="AX313" i="98"/>
  <c r="AT314" i="98"/>
  <c r="AX314" i="98"/>
  <c r="AT315" i="98"/>
  <c r="AX315" i="98"/>
  <c r="AT316" i="98"/>
  <c r="AX316" i="98"/>
  <c r="AT317" i="98"/>
  <c r="AX317" i="98"/>
  <c r="AT318" i="98"/>
  <c r="AX318" i="98"/>
  <c r="O320" i="98"/>
  <c r="AM320" i="98" s="1"/>
  <c r="O321" i="98"/>
  <c r="AM321" i="98" s="1"/>
  <c r="O322" i="98"/>
  <c r="AM322" i="98" s="1"/>
  <c r="O323" i="98"/>
  <c r="AM323" i="98" s="1"/>
  <c r="O324" i="98"/>
  <c r="AM324" i="98" s="1"/>
  <c r="O325" i="98"/>
  <c r="AM325" i="98" s="1"/>
  <c r="O326" i="98"/>
  <c r="AM326" i="98" s="1"/>
  <c r="O327" i="98"/>
  <c r="AM327" i="98" s="1"/>
  <c r="O328" i="98"/>
  <c r="AM328" i="98" s="1"/>
  <c r="O329" i="98"/>
  <c r="AM329" i="98" s="1"/>
  <c r="O330" i="98"/>
  <c r="AM330" i="98" s="1"/>
  <c r="O331" i="98"/>
  <c r="AM331" i="98" s="1"/>
  <c r="O332" i="98"/>
  <c r="AM332" i="98" s="1"/>
  <c r="O333" i="98"/>
  <c r="AM333" i="98" s="1"/>
  <c r="O334" i="98"/>
  <c r="AM334" i="98" s="1"/>
  <c r="O335" i="98"/>
  <c r="AM335" i="98" s="1"/>
  <c r="O336" i="98"/>
  <c r="AM336" i="98" s="1"/>
  <c r="O337" i="98"/>
  <c r="AM337" i="98" s="1"/>
  <c r="O338" i="98"/>
  <c r="AM338" i="98" s="1"/>
  <c r="O339" i="98"/>
  <c r="AM339" i="98" s="1"/>
  <c r="O340" i="98"/>
  <c r="AM340" i="98" s="1"/>
  <c r="O341" i="98"/>
  <c r="AM341" i="98" s="1"/>
  <c r="O342" i="98"/>
  <c r="AM342" i="98" s="1"/>
  <c r="W343" i="98"/>
  <c r="AF344" i="98"/>
  <c r="AR344" i="98" s="1"/>
  <c r="AE346" i="98"/>
  <c r="AQ346" i="98" s="1"/>
  <c r="EH346" i="98"/>
  <c r="AC346" i="98"/>
  <c r="AO346" i="98" s="1"/>
  <c r="AF346" i="98"/>
  <c r="AR346" i="98" s="1"/>
  <c r="BJ346" i="98"/>
  <c r="BJ348" i="98"/>
  <c r="BJ350" i="98"/>
  <c r="BJ352" i="98"/>
  <c r="BG353" i="98"/>
  <c r="EK353" i="98"/>
  <c r="BK355" i="98"/>
  <c r="EO355" i="98"/>
  <c r="BG357" i="98"/>
  <c r="EK357" i="98"/>
  <c r="BK360" i="98"/>
  <c r="EO360" i="98"/>
  <c r="DG361" i="98"/>
  <c r="BL366" i="98"/>
  <c r="EP366" i="98"/>
  <c r="AV346" i="98"/>
  <c r="AZ346" i="98"/>
  <c r="BD346" i="98"/>
  <c r="ET346" i="98" s="1"/>
  <c r="EG346" i="98"/>
  <c r="AF347" i="98"/>
  <c r="AR347" i="98" s="1"/>
  <c r="AV347" i="98"/>
  <c r="AZ347" i="98"/>
  <c r="EG347" i="98"/>
  <c r="AF348" i="98"/>
  <c r="AR348" i="98" s="1"/>
  <c r="AV348" i="98"/>
  <c r="AZ348" i="98"/>
  <c r="EG348" i="98"/>
  <c r="AF349" i="98"/>
  <c r="AR349" i="98" s="1"/>
  <c r="AV349" i="98"/>
  <c r="AZ349" i="98"/>
  <c r="EG349" i="98"/>
  <c r="AF350" i="98"/>
  <c r="AR350" i="98" s="1"/>
  <c r="AV350" i="98"/>
  <c r="AZ350" i="98"/>
  <c r="EG350" i="98"/>
  <c r="AF351" i="98"/>
  <c r="AR351" i="98" s="1"/>
  <c r="AV351" i="98"/>
  <c r="AZ351" i="98"/>
  <c r="EG351" i="98"/>
  <c r="AF352" i="98"/>
  <c r="AR352" i="98" s="1"/>
  <c r="AV352" i="98"/>
  <c r="AZ352" i="98"/>
  <c r="EG352" i="98"/>
  <c r="AF353" i="98"/>
  <c r="AR353" i="98" s="1"/>
  <c r="AV353" i="98"/>
  <c r="AZ353" i="98"/>
  <c r="EG353" i="98"/>
  <c r="P354" i="98"/>
  <c r="AN354" i="98" s="1"/>
  <c r="AF354" i="98"/>
  <c r="AR354" i="98" s="1"/>
  <c r="AV354" i="98"/>
  <c r="AZ354" i="98"/>
  <c r="EG354" i="98"/>
  <c r="P355" i="98"/>
  <c r="AN355" i="98" s="1"/>
  <c r="AF355" i="98"/>
  <c r="AR355" i="98" s="1"/>
  <c r="AV355" i="98"/>
  <c r="AZ355" i="98"/>
  <c r="EG355" i="98"/>
  <c r="P356" i="98"/>
  <c r="AN356" i="98" s="1"/>
  <c r="X356" i="98"/>
  <c r="AF356" i="98"/>
  <c r="AR356" i="98" s="1"/>
  <c r="AV356" i="98"/>
  <c r="AZ356" i="98"/>
  <c r="EG356" i="98"/>
  <c r="P357" i="98"/>
  <c r="AN357" i="98" s="1"/>
  <c r="X357" i="98"/>
  <c r="AF357" i="98"/>
  <c r="AR357" i="98" s="1"/>
  <c r="AV357" i="98"/>
  <c r="AZ357" i="98"/>
  <c r="EG357" i="98"/>
  <c r="P358" i="98"/>
  <c r="AN358" i="98" s="1"/>
  <c r="X358" i="98"/>
  <c r="AF358" i="98"/>
  <c r="AR358" i="98" s="1"/>
  <c r="AV358" i="98"/>
  <c r="AZ358" i="98"/>
  <c r="EG358" i="98"/>
  <c r="P359" i="98"/>
  <c r="AN359" i="98" s="1"/>
  <c r="X359" i="98"/>
  <c r="AF359" i="98"/>
  <c r="AR359" i="98" s="1"/>
  <c r="AV359" i="98"/>
  <c r="AZ359" i="98"/>
  <c r="EG359" i="98"/>
  <c r="P360" i="98"/>
  <c r="AN360" i="98" s="1"/>
  <c r="X360" i="98"/>
  <c r="AF360" i="98"/>
  <c r="AR360" i="98" s="1"/>
  <c r="AV360" i="98"/>
  <c r="AZ360" i="98"/>
  <c r="EG360" i="98"/>
  <c r="P361" i="98"/>
  <c r="AN361" i="98" s="1"/>
  <c r="X361" i="98"/>
  <c r="AF361" i="98"/>
  <c r="AR361" i="98" s="1"/>
  <c r="CZ361" i="98"/>
  <c r="DH361" i="98" s="1"/>
  <c r="EG361" i="98"/>
  <c r="P362" i="98"/>
  <c r="AN362" i="98" s="1"/>
  <c r="X362" i="98"/>
  <c r="AF362" i="98"/>
  <c r="AR362" i="98" s="1"/>
  <c r="AV362" i="98"/>
  <c r="AZ362" i="98"/>
  <c r="EG362" i="98"/>
  <c r="P363" i="98"/>
  <c r="AN363" i="98" s="1"/>
  <c r="X363" i="98"/>
  <c r="AF363" i="98"/>
  <c r="AR363" i="98" s="1"/>
  <c r="BI363" i="98"/>
  <c r="EH363" i="98"/>
  <c r="EL363" i="98"/>
  <c r="M364" i="98"/>
  <c r="AK364" i="98" s="1"/>
  <c r="U364" i="98"/>
  <c r="AC364" i="98"/>
  <c r="AO364" i="98" s="1"/>
  <c r="BE364" i="98"/>
  <c r="BI364" i="98"/>
  <c r="EH364" i="98"/>
  <c r="EV364" i="98" s="1"/>
  <c r="M365" i="98"/>
  <c r="AK365" i="98" s="1"/>
  <c r="U365" i="98"/>
  <c r="AC365" i="98"/>
  <c r="AO365" i="98" s="1"/>
  <c r="BE365" i="98"/>
  <c r="BI365" i="98"/>
  <c r="EH365" i="98"/>
  <c r="EV365" i="98" s="1"/>
  <c r="M366" i="98"/>
  <c r="AK366" i="98" s="1"/>
  <c r="U366" i="98"/>
  <c r="BE366" i="98"/>
  <c r="BI366" i="98"/>
  <c r="M367" i="98"/>
  <c r="AK367" i="98" s="1"/>
  <c r="U367" i="98"/>
  <c r="AC367" i="98"/>
  <c r="AO367" i="98" s="1"/>
  <c r="AX367" i="98"/>
  <c r="BF367" i="98"/>
  <c r="EM367" i="98"/>
  <c r="N368" i="98"/>
  <c r="AL368" i="98" s="1"/>
  <c r="V368" i="98"/>
  <c r="AD368" i="98"/>
  <c r="AP368" i="98" s="1"/>
  <c r="AT368" i="98"/>
  <c r="AX368" i="98"/>
  <c r="EI368" i="98"/>
  <c r="EM368" i="98"/>
  <c r="N369" i="98"/>
  <c r="AL369" i="98" s="1"/>
  <c r="V369" i="98"/>
  <c r="AD369" i="98"/>
  <c r="AP369" i="98" s="1"/>
  <c r="BF369" i="98"/>
  <c r="BJ369" i="98"/>
  <c r="N370" i="98"/>
  <c r="AL370" i="98" s="1"/>
  <c r="V370" i="98"/>
  <c r="AD370" i="98"/>
  <c r="AP370" i="98" s="1"/>
  <c r="BF370" i="98"/>
  <c r="BJ370" i="98"/>
  <c r="N371" i="98"/>
  <c r="AL371" i="98" s="1"/>
  <c r="V371" i="98"/>
  <c r="AD371" i="98"/>
  <c r="AP371" i="98" s="1"/>
  <c r="N372" i="98"/>
  <c r="AL372" i="98" s="1"/>
  <c r="V372" i="98"/>
  <c r="AD372" i="98"/>
  <c r="AP372" i="98" s="1"/>
  <c r="BF372" i="98"/>
  <c r="BJ372" i="98"/>
  <c r="N373" i="98"/>
  <c r="AL373" i="98" s="1"/>
  <c r="V373" i="98"/>
  <c r="AD373" i="98"/>
  <c r="AP373" i="98" s="1"/>
  <c r="N374" i="98"/>
  <c r="AL374" i="98" s="1"/>
  <c r="V374" i="98"/>
  <c r="AD374" i="98"/>
  <c r="AP374" i="98" s="1"/>
  <c r="N375" i="98"/>
  <c r="AL375" i="98" s="1"/>
  <c r="V375" i="98"/>
  <c r="AD375" i="98"/>
  <c r="AP375" i="98" s="1"/>
  <c r="BF375" i="98"/>
  <c r="BJ375" i="98"/>
  <c r="EI375" i="98"/>
  <c r="EM375" i="98"/>
  <c r="N376" i="98"/>
  <c r="AL376" i="98" s="1"/>
  <c r="V376" i="98"/>
  <c r="AD376" i="98"/>
  <c r="AP376" i="98" s="1"/>
  <c r="BF376" i="98"/>
  <c r="BJ376" i="98"/>
  <c r="EI376" i="98"/>
  <c r="EM376" i="98"/>
  <c r="N377" i="98"/>
  <c r="AL377" i="98" s="1"/>
  <c r="V377" i="98"/>
  <c r="AD377" i="98"/>
  <c r="AP377" i="98" s="1"/>
  <c r="AT377" i="98"/>
  <c r="AX377" i="98"/>
  <c r="EI377" i="98"/>
  <c r="EM377" i="98"/>
  <c r="N378" i="98"/>
  <c r="AL378" i="98" s="1"/>
  <c r="V378" i="98"/>
  <c r="AD378" i="98"/>
  <c r="AP378" i="98" s="1"/>
  <c r="AT378" i="98"/>
  <c r="AX378" i="98"/>
  <c r="EI378" i="98"/>
  <c r="EM378" i="98"/>
  <c r="N379" i="98"/>
  <c r="AL379" i="98" s="1"/>
  <c r="V379" i="98"/>
  <c r="AD379" i="98"/>
  <c r="AP379" i="98" s="1"/>
  <c r="AT379" i="98"/>
  <c r="AX379" i="98"/>
  <c r="EI379" i="98"/>
  <c r="EM379" i="98"/>
  <c r="N380" i="98"/>
  <c r="AL380" i="98" s="1"/>
  <c r="V380" i="98"/>
  <c r="AD380" i="98"/>
  <c r="AP380" i="98" s="1"/>
  <c r="AT380" i="98"/>
  <c r="AX380" i="98"/>
  <c r="BB380" i="98"/>
  <c r="ER380" i="98" s="1"/>
  <c r="EI380" i="98"/>
  <c r="EM380" i="98"/>
  <c r="EQ380" i="98"/>
  <c r="BJ381" i="98"/>
  <c r="EM381" i="98"/>
  <c r="N382" i="98"/>
  <c r="AL382" i="98" s="1"/>
  <c r="V382" i="98"/>
  <c r="AD382" i="98"/>
  <c r="AP382" i="98" s="1"/>
  <c r="BF382" i="98"/>
  <c r="BJ382" i="98"/>
  <c r="EI382" i="98"/>
  <c r="EM382" i="98"/>
  <c r="N383" i="98"/>
  <c r="AL383" i="98" s="1"/>
  <c r="V383" i="98"/>
  <c r="AD383" i="98"/>
  <c r="AP383" i="98" s="1"/>
  <c r="AT383" i="98"/>
  <c r="AX383" i="98"/>
  <c r="EI383" i="98"/>
  <c r="EM383" i="98"/>
  <c r="N384" i="98"/>
  <c r="AL384" i="98" s="1"/>
  <c r="V384" i="98"/>
  <c r="AD384" i="98"/>
  <c r="AP384" i="98" s="1"/>
  <c r="BF384" i="98"/>
  <c r="BJ384" i="98"/>
  <c r="EI384" i="98"/>
  <c r="EM384" i="98"/>
  <c r="N385" i="98"/>
  <c r="AL385" i="98" s="1"/>
  <c r="V385" i="98"/>
  <c r="AD385" i="98"/>
  <c r="AP385" i="98" s="1"/>
  <c r="BF385" i="98"/>
  <c r="BJ385" i="98"/>
  <c r="EI385" i="98"/>
  <c r="EM385" i="98"/>
  <c r="N386" i="98"/>
  <c r="AL386" i="98" s="1"/>
  <c r="V386" i="98"/>
  <c r="AD386" i="98"/>
  <c r="AP386" i="98" s="1"/>
  <c r="BF386" i="98"/>
  <c r="BJ386" i="98"/>
  <c r="EI386" i="98"/>
  <c r="EM386" i="98"/>
  <c r="N387" i="98"/>
  <c r="AL387" i="98" s="1"/>
  <c r="V387" i="98"/>
  <c r="AD387" i="98"/>
  <c r="AP387" i="98" s="1"/>
  <c r="BF387" i="98"/>
  <c r="BJ387" i="98"/>
  <c r="EI387" i="98"/>
  <c r="EM387" i="98"/>
  <c r="N388" i="98"/>
  <c r="AL388" i="98" s="1"/>
  <c r="V388" i="98"/>
  <c r="AD388" i="98"/>
  <c r="AP388" i="98" s="1"/>
  <c r="BF388" i="98"/>
  <c r="BJ388" i="98"/>
  <c r="EI388" i="98"/>
  <c r="EM388" i="98"/>
  <c r="N389" i="98"/>
  <c r="AL389" i="98" s="1"/>
  <c r="V389" i="98"/>
  <c r="AD389" i="98"/>
  <c r="AP389" i="98" s="1"/>
  <c r="BF389" i="98"/>
  <c r="BJ389" i="98"/>
  <c r="EI389" i="98"/>
  <c r="EM389" i="98"/>
  <c r="N390" i="98"/>
  <c r="AL390" i="98" s="1"/>
  <c r="V390" i="98"/>
  <c r="AD390" i="98"/>
  <c r="AP390" i="98" s="1"/>
  <c r="BF390" i="98"/>
  <c r="BJ390" i="98"/>
  <c r="AY391" i="98"/>
  <c r="BG391" i="98"/>
  <c r="W392" i="98"/>
  <c r="AE392" i="98"/>
  <c r="AQ392" i="98" s="1"/>
  <c r="AU392" i="98"/>
  <c r="AY392" i="98"/>
  <c r="EF392" i="98"/>
  <c r="W393" i="98"/>
  <c r="AE393" i="98"/>
  <c r="AQ393" i="98" s="1"/>
  <c r="AU393" i="98"/>
  <c r="AY393" i="98"/>
  <c r="EF393" i="98"/>
  <c r="W394" i="98"/>
  <c r="AE394" i="98"/>
  <c r="AQ394" i="98" s="1"/>
  <c r="AU394" i="98"/>
  <c r="AY394" i="98"/>
  <c r="EF394" i="98"/>
  <c r="W395" i="98"/>
  <c r="AE395" i="98"/>
  <c r="AQ395" i="98" s="1"/>
  <c r="EF395" i="98"/>
  <c r="W396" i="98"/>
  <c r="AE396" i="98"/>
  <c r="AQ396" i="98" s="1"/>
  <c r="EF396" i="98"/>
  <c r="W397" i="98"/>
  <c r="AE397" i="98"/>
  <c r="AQ397" i="98" s="1"/>
  <c r="EF397" i="98"/>
  <c r="W398" i="98"/>
  <c r="AU398" i="98"/>
  <c r="EF398" i="98"/>
  <c r="AU399" i="98"/>
  <c r="AY399" i="98"/>
  <c r="AU400" i="98"/>
  <c r="AY400" i="98"/>
  <c r="BC400" i="98"/>
  <c r="ES400" i="98" s="1"/>
  <c r="O401" i="98"/>
  <c r="AM401" i="98" s="1"/>
  <c r="W401" i="98"/>
  <c r="AE401" i="98"/>
  <c r="AQ401" i="98" s="1"/>
  <c r="AU401" i="98"/>
  <c r="AY401" i="98"/>
  <c r="EF401" i="98"/>
  <c r="O402" i="98"/>
  <c r="AM402" i="98" s="1"/>
  <c r="W402" i="98"/>
  <c r="AE402" i="98"/>
  <c r="AQ402" i="98" s="1"/>
  <c r="EF402" i="98"/>
  <c r="O403" i="98"/>
  <c r="AM403" i="98" s="1"/>
  <c r="W403" i="98"/>
  <c r="AE403" i="98"/>
  <c r="AQ403" i="98" s="1"/>
  <c r="AU403" i="98"/>
  <c r="AY403" i="98"/>
  <c r="EF403" i="98"/>
  <c r="O404" i="98"/>
  <c r="AM404" i="98" s="1"/>
  <c r="W404" i="98"/>
  <c r="AE404" i="98"/>
  <c r="AQ404" i="98" s="1"/>
  <c r="AU404" i="98"/>
  <c r="AY404" i="98"/>
  <c r="EF404" i="98"/>
  <c r="O405" i="98"/>
  <c r="AM405" i="98" s="1"/>
  <c r="W405" i="98"/>
  <c r="AE405" i="98"/>
  <c r="AQ405" i="98" s="1"/>
  <c r="AU405" i="98"/>
  <c r="AY405" i="98"/>
  <c r="EF405" i="98"/>
  <c r="O406" i="98"/>
  <c r="AM406" i="98" s="1"/>
  <c r="W406" i="98"/>
  <c r="AE406" i="98"/>
  <c r="AQ406" i="98" s="1"/>
  <c r="AU406" i="98"/>
  <c r="AY406" i="98"/>
  <c r="EF406" i="98"/>
  <c r="O407" i="98"/>
  <c r="AM407" i="98" s="1"/>
  <c r="W407" i="98"/>
  <c r="AE407" i="98"/>
  <c r="AQ407" i="98" s="1"/>
  <c r="AU407" i="98"/>
  <c r="AY407" i="98"/>
  <c r="EF407" i="98"/>
  <c r="O408" i="98"/>
  <c r="AM408" i="98" s="1"/>
  <c r="W408" i="98"/>
  <c r="AE408" i="98"/>
  <c r="AQ408" i="98" s="1"/>
  <c r="EF408" i="98"/>
  <c r="EV408" i="98" s="1"/>
  <c r="O409" i="98"/>
  <c r="AM409" i="98" s="1"/>
  <c r="W409" i="98"/>
  <c r="AE409" i="98"/>
  <c r="AQ409" i="98" s="1"/>
  <c r="AU409" i="98"/>
  <c r="AY409" i="98"/>
  <c r="EF409" i="98"/>
  <c r="EV409" i="98" s="1"/>
  <c r="AU410" i="98"/>
  <c r="AU411" i="98"/>
  <c r="O412" i="98"/>
  <c r="AM412" i="98" s="1"/>
  <c r="W412" i="98"/>
  <c r="AE412" i="98"/>
  <c r="AQ412" i="98" s="1"/>
  <c r="EM412" i="98"/>
  <c r="AX412" i="98"/>
  <c r="BH412" i="98"/>
  <c r="EK412" i="98"/>
  <c r="EM413" i="98"/>
  <c r="AX413" i="98"/>
  <c r="AZ413" i="98"/>
  <c r="AY413" i="98"/>
  <c r="BK415" i="98"/>
  <c r="EO415" i="98"/>
  <c r="BF415" i="98"/>
  <c r="BK416" i="98"/>
  <c r="EO416" i="98"/>
  <c r="BK418" i="98"/>
  <c r="EO418" i="98"/>
  <c r="BG420" i="98"/>
  <c r="EK420" i="98"/>
  <c r="BK422" i="98"/>
  <c r="EO422" i="98"/>
  <c r="BG424" i="98"/>
  <c r="EK424" i="98"/>
  <c r="BK426" i="98"/>
  <c r="EO426" i="98"/>
  <c r="BK428" i="98"/>
  <c r="EO428" i="98"/>
  <c r="BG430" i="98"/>
  <c r="EK430" i="98"/>
  <c r="BG435" i="98"/>
  <c r="EK435" i="98"/>
  <c r="BG437" i="98"/>
  <c r="EK437" i="98"/>
  <c r="BG439" i="98"/>
  <c r="EK439" i="98"/>
  <c r="BH444" i="98"/>
  <c r="EL444" i="98"/>
  <c r="BH445" i="98"/>
  <c r="EL445" i="98"/>
  <c r="BH446" i="98"/>
  <c r="EL446" i="98"/>
  <c r="BK447" i="98"/>
  <c r="EO447" i="98"/>
  <c r="BG448" i="98"/>
  <c r="EK448" i="98"/>
  <c r="BK451" i="98"/>
  <c r="EO451" i="98"/>
  <c r="BG452" i="98"/>
  <c r="EK452" i="98"/>
  <c r="BK455" i="98"/>
  <c r="EO455" i="98"/>
  <c r="BG456" i="98"/>
  <c r="EK456" i="98"/>
  <c r="BK459" i="98"/>
  <c r="EO459" i="98"/>
  <c r="BG460" i="98"/>
  <c r="EK460" i="98"/>
  <c r="BE346" i="98"/>
  <c r="BI346" i="98"/>
  <c r="AC347" i="98"/>
  <c r="AO347" i="98" s="1"/>
  <c r="BE347" i="98"/>
  <c r="BI347" i="98"/>
  <c r="EH347" i="98"/>
  <c r="AC348" i="98"/>
  <c r="AO348" i="98" s="1"/>
  <c r="BE348" i="98"/>
  <c r="BI348" i="98"/>
  <c r="EH348" i="98"/>
  <c r="AC349" i="98"/>
  <c r="AO349" i="98" s="1"/>
  <c r="BE349" i="98"/>
  <c r="BI349" i="98"/>
  <c r="EH349" i="98"/>
  <c r="AC350" i="98"/>
  <c r="AO350" i="98" s="1"/>
  <c r="BE350" i="98"/>
  <c r="BI350" i="98"/>
  <c r="EH350" i="98"/>
  <c r="AC351" i="98"/>
  <c r="AO351" i="98" s="1"/>
  <c r="BE351" i="98"/>
  <c r="BI351" i="98"/>
  <c r="EH351" i="98"/>
  <c r="AC352" i="98"/>
  <c r="AO352" i="98" s="1"/>
  <c r="BE352" i="98"/>
  <c r="BI352" i="98"/>
  <c r="EH352" i="98"/>
  <c r="EV352" i="98" s="1"/>
  <c r="AC353" i="98"/>
  <c r="AO353" i="98" s="1"/>
  <c r="BE353" i="98"/>
  <c r="BI353" i="98"/>
  <c r="EH353" i="98"/>
  <c r="EV353" i="98" s="1"/>
  <c r="M354" i="98"/>
  <c r="AK354" i="98" s="1"/>
  <c r="AC354" i="98"/>
  <c r="AO354" i="98" s="1"/>
  <c r="BE354" i="98"/>
  <c r="BI354" i="98"/>
  <c r="EH354" i="98"/>
  <c r="M355" i="98"/>
  <c r="AK355" i="98" s="1"/>
  <c r="AC355" i="98"/>
  <c r="AO355" i="98" s="1"/>
  <c r="BE355" i="98"/>
  <c r="BI355" i="98"/>
  <c r="EH355" i="98"/>
  <c r="M356" i="98"/>
  <c r="AK356" i="98" s="1"/>
  <c r="AC356" i="98"/>
  <c r="AO356" i="98" s="1"/>
  <c r="BE356" i="98"/>
  <c r="BI356" i="98"/>
  <c r="EH356" i="98"/>
  <c r="M357" i="98"/>
  <c r="AK357" i="98" s="1"/>
  <c r="AC357" i="98"/>
  <c r="AO357" i="98" s="1"/>
  <c r="BE357" i="98"/>
  <c r="BI357" i="98"/>
  <c r="EH357" i="98"/>
  <c r="M358" i="98"/>
  <c r="AK358" i="98" s="1"/>
  <c r="AC358" i="98"/>
  <c r="AO358" i="98" s="1"/>
  <c r="BE358" i="98"/>
  <c r="BI358" i="98"/>
  <c r="EH358" i="98"/>
  <c r="M359" i="98"/>
  <c r="AK359" i="98" s="1"/>
  <c r="U359" i="98"/>
  <c r="AC359" i="98"/>
  <c r="AO359" i="98" s="1"/>
  <c r="BE359" i="98"/>
  <c r="BI359" i="98"/>
  <c r="EH359" i="98"/>
  <c r="M360" i="98"/>
  <c r="AK360" i="98" s="1"/>
  <c r="U360" i="98"/>
  <c r="AC360" i="98"/>
  <c r="AO360" i="98" s="1"/>
  <c r="BE360" i="98"/>
  <c r="BI360" i="98"/>
  <c r="EH360" i="98"/>
  <c r="M361" i="98"/>
  <c r="AK361" i="98" s="1"/>
  <c r="U361" i="98"/>
  <c r="AC361" i="98"/>
  <c r="AO361" i="98" s="1"/>
  <c r="DA361" i="98"/>
  <c r="DI361" i="98" s="1"/>
  <c r="EH361" i="98"/>
  <c r="EV361" i="98" s="1"/>
  <c r="M362" i="98"/>
  <c r="AK362" i="98" s="1"/>
  <c r="U362" i="98"/>
  <c r="AC362" i="98"/>
  <c r="AO362" i="98" s="1"/>
  <c r="BE362" i="98"/>
  <c r="BI362" i="98"/>
  <c r="EH362" i="98"/>
  <c r="M363" i="98"/>
  <c r="AK363" i="98" s="1"/>
  <c r="U363" i="98"/>
  <c r="AC363" i="98"/>
  <c r="AO363" i="98" s="1"/>
  <c r="AX363" i="98"/>
  <c r="EM363" i="98"/>
  <c r="N364" i="98"/>
  <c r="AL364" i="98" s="1"/>
  <c r="V364" i="98"/>
  <c r="AD364" i="98"/>
  <c r="AP364" i="98" s="1"/>
  <c r="AT364" i="98"/>
  <c r="AX364" i="98"/>
  <c r="EI364" i="98"/>
  <c r="EM364" i="98"/>
  <c r="N365" i="98"/>
  <c r="AL365" i="98" s="1"/>
  <c r="V365" i="98"/>
  <c r="AD365" i="98"/>
  <c r="AP365" i="98" s="1"/>
  <c r="AT365" i="98"/>
  <c r="AX365" i="98"/>
  <c r="EI365" i="98"/>
  <c r="EM365" i="98"/>
  <c r="N366" i="98"/>
  <c r="AL366" i="98" s="1"/>
  <c r="V366" i="98"/>
  <c r="AT366" i="98"/>
  <c r="AX366" i="98"/>
  <c r="EI366" i="98"/>
  <c r="EM366" i="98"/>
  <c r="N367" i="98"/>
  <c r="AL367" i="98" s="1"/>
  <c r="V367" i="98"/>
  <c r="AD367" i="98"/>
  <c r="AP367" i="98" s="1"/>
  <c r="AY367" i="98"/>
  <c r="EF367" i="98"/>
  <c r="O368" i="98"/>
  <c r="AM368" i="98" s="1"/>
  <c r="W368" i="98"/>
  <c r="AE368" i="98"/>
  <c r="AQ368" i="98" s="1"/>
  <c r="AU368" i="98"/>
  <c r="AY368" i="98"/>
  <c r="EF368" i="98"/>
  <c r="EV368" i="98" s="1"/>
  <c r="O369" i="98"/>
  <c r="AM369" i="98" s="1"/>
  <c r="W369" i="98"/>
  <c r="AE369" i="98"/>
  <c r="AQ369" i="98" s="1"/>
  <c r="EF369" i="98"/>
  <c r="EV369" i="98" s="1"/>
  <c r="O370" i="98"/>
  <c r="AM370" i="98" s="1"/>
  <c r="W370" i="98"/>
  <c r="AE370" i="98"/>
  <c r="AQ370" i="98" s="1"/>
  <c r="EF370" i="98"/>
  <c r="EV370" i="98" s="1"/>
  <c r="O371" i="98"/>
  <c r="AM371" i="98" s="1"/>
  <c r="W371" i="98"/>
  <c r="AE371" i="98"/>
  <c r="AQ371" i="98" s="1"/>
  <c r="EF371" i="98"/>
  <c r="EV371" i="98" s="1"/>
  <c r="O372" i="98"/>
  <c r="AM372" i="98" s="1"/>
  <c r="W372" i="98"/>
  <c r="AE372" i="98"/>
  <c r="AQ372" i="98" s="1"/>
  <c r="EF372" i="98"/>
  <c r="EU372" i="98" s="1"/>
  <c r="O373" i="98"/>
  <c r="AM373" i="98" s="1"/>
  <c r="W373" i="98"/>
  <c r="AE373" i="98"/>
  <c r="AQ373" i="98" s="1"/>
  <c r="EF373" i="98"/>
  <c r="EV373" i="98" s="1"/>
  <c r="O374" i="98"/>
  <c r="AM374" i="98" s="1"/>
  <c r="W374" i="98"/>
  <c r="AE374" i="98"/>
  <c r="AQ374" i="98" s="1"/>
  <c r="EF374" i="98"/>
  <c r="EV374" i="98" s="1"/>
  <c r="O375" i="98"/>
  <c r="AM375" i="98" s="1"/>
  <c r="W375" i="98"/>
  <c r="AE375" i="98"/>
  <c r="AQ375" i="98" s="1"/>
  <c r="EF375" i="98"/>
  <c r="EV375" i="98" s="1"/>
  <c r="O376" i="98"/>
  <c r="AM376" i="98" s="1"/>
  <c r="W376" i="98"/>
  <c r="AE376" i="98"/>
  <c r="AQ376" i="98" s="1"/>
  <c r="EF376" i="98"/>
  <c r="EU376" i="98" s="1"/>
  <c r="O377" i="98"/>
  <c r="AM377" i="98" s="1"/>
  <c r="W377" i="98"/>
  <c r="AE377" i="98"/>
  <c r="AQ377" i="98" s="1"/>
  <c r="AU377" i="98"/>
  <c r="AY377" i="98"/>
  <c r="EF377" i="98"/>
  <c r="EV377" i="98" s="1"/>
  <c r="O378" i="98"/>
  <c r="AM378" i="98" s="1"/>
  <c r="W378" i="98"/>
  <c r="AE378" i="98"/>
  <c r="AQ378" i="98" s="1"/>
  <c r="AU378" i="98"/>
  <c r="AY378" i="98"/>
  <c r="EF378" i="98"/>
  <c r="EV378" i="98" s="1"/>
  <c r="O379" i="98"/>
  <c r="AM379" i="98" s="1"/>
  <c r="W379" i="98"/>
  <c r="AE379" i="98"/>
  <c r="AQ379" i="98" s="1"/>
  <c r="AU379" i="98"/>
  <c r="AY379" i="98"/>
  <c r="EF379" i="98"/>
  <c r="EV379" i="98" s="1"/>
  <c r="O380" i="98"/>
  <c r="AM380" i="98" s="1"/>
  <c r="W380" i="98"/>
  <c r="AE380" i="98"/>
  <c r="AQ380" i="98" s="1"/>
  <c r="AU380" i="98"/>
  <c r="AY380" i="98"/>
  <c r="EF380" i="98"/>
  <c r="O382" i="98"/>
  <c r="AM382" i="98" s="1"/>
  <c r="W382" i="98"/>
  <c r="AE382" i="98"/>
  <c r="AQ382" i="98" s="1"/>
  <c r="EF382" i="98"/>
  <c r="EV382" i="98" s="1"/>
  <c r="O383" i="98"/>
  <c r="AM383" i="98" s="1"/>
  <c r="W383" i="98"/>
  <c r="AE383" i="98"/>
  <c r="AQ383" i="98" s="1"/>
  <c r="AU383" i="98"/>
  <c r="AY383" i="98"/>
  <c r="EF383" i="98"/>
  <c r="EV383" i="98" s="1"/>
  <c r="O384" i="98"/>
  <c r="AM384" i="98" s="1"/>
  <c r="W384" i="98"/>
  <c r="AE384" i="98"/>
  <c r="AQ384" i="98" s="1"/>
  <c r="EF384" i="98"/>
  <c r="EV384" i="98" s="1"/>
  <c r="O385" i="98"/>
  <c r="AM385" i="98" s="1"/>
  <c r="W385" i="98"/>
  <c r="AE385" i="98"/>
  <c r="AQ385" i="98" s="1"/>
  <c r="EF385" i="98"/>
  <c r="EU385" i="98" s="1"/>
  <c r="O386" i="98"/>
  <c r="AM386" i="98" s="1"/>
  <c r="W386" i="98"/>
  <c r="AE386" i="98"/>
  <c r="AQ386" i="98" s="1"/>
  <c r="EF386" i="98"/>
  <c r="EV386" i="98" s="1"/>
  <c r="O387" i="98"/>
  <c r="AM387" i="98" s="1"/>
  <c r="W387" i="98"/>
  <c r="AE387" i="98"/>
  <c r="AQ387" i="98" s="1"/>
  <c r="EF387" i="98"/>
  <c r="EU387" i="98" s="1"/>
  <c r="O388" i="98"/>
  <c r="AM388" i="98" s="1"/>
  <c r="W388" i="98"/>
  <c r="AE388" i="98"/>
  <c r="AQ388" i="98" s="1"/>
  <c r="EF388" i="98"/>
  <c r="EV388" i="98" s="1"/>
  <c r="O389" i="98"/>
  <c r="AM389" i="98" s="1"/>
  <c r="W389" i="98"/>
  <c r="AE389" i="98"/>
  <c r="AQ389" i="98" s="1"/>
  <c r="EF389" i="98"/>
  <c r="EU389" i="98" s="1"/>
  <c r="O390" i="98"/>
  <c r="AM390" i="98" s="1"/>
  <c r="W390" i="98"/>
  <c r="AE390" i="98"/>
  <c r="AQ390" i="98" s="1"/>
  <c r="EF390" i="98"/>
  <c r="EV390" i="98" s="1"/>
  <c r="AZ391" i="98"/>
  <c r="X392" i="98"/>
  <c r="AF392" i="98"/>
  <c r="AR392" i="98" s="1"/>
  <c r="AV392" i="98"/>
  <c r="AZ392" i="98"/>
  <c r="EG392" i="98"/>
  <c r="X393" i="98"/>
  <c r="AF393" i="98"/>
  <c r="AR393" i="98" s="1"/>
  <c r="AV393" i="98"/>
  <c r="AZ393" i="98"/>
  <c r="EG393" i="98"/>
  <c r="X394" i="98"/>
  <c r="AF394" i="98"/>
  <c r="AR394" i="98" s="1"/>
  <c r="AV394" i="98"/>
  <c r="AZ394" i="98"/>
  <c r="EG394" i="98"/>
  <c r="X395" i="98"/>
  <c r="AF395" i="98"/>
  <c r="AR395" i="98" s="1"/>
  <c r="EG395" i="98"/>
  <c r="X396" i="98"/>
  <c r="AF396" i="98"/>
  <c r="AR396" i="98" s="1"/>
  <c r="EG396" i="98"/>
  <c r="X397" i="98"/>
  <c r="AF397" i="98"/>
  <c r="AR397" i="98" s="1"/>
  <c r="EG397" i="98"/>
  <c r="X398" i="98"/>
  <c r="AV398" i="98"/>
  <c r="EG398" i="98"/>
  <c r="AV399" i="98"/>
  <c r="AZ399" i="98"/>
  <c r="AV400" i="98"/>
  <c r="AZ400" i="98"/>
  <c r="BD400" i="98"/>
  <c r="ET400" i="98" s="1"/>
  <c r="P401" i="98"/>
  <c r="AN401" i="98" s="1"/>
  <c r="X401" i="98"/>
  <c r="AF401" i="98"/>
  <c r="AR401" i="98" s="1"/>
  <c r="AV401" i="98"/>
  <c r="AZ401" i="98"/>
  <c r="EG401" i="98"/>
  <c r="P402" i="98"/>
  <c r="AN402" i="98" s="1"/>
  <c r="X402" i="98"/>
  <c r="AF402" i="98"/>
  <c r="AR402" i="98" s="1"/>
  <c r="EG402" i="98"/>
  <c r="P403" i="98"/>
  <c r="AN403" i="98" s="1"/>
  <c r="X403" i="98"/>
  <c r="AF403" i="98"/>
  <c r="AR403" i="98" s="1"/>
  <c r="AV403" i="98"/>
  <c r="AZ403" i="98"/>
  <c r="EG403" i="98"/>
  <c r="P404" i="98"/>
  <c r="AN404" i="98" s="1"/>
  <c r="X404" i="98"/>
  <c r="AF404" i="98"/>
  <c r="AR404" i="98" s="1"/>
  <c r="AV404" i="98"/>
  <c r="AZ404" i="98"/>
  <c r="EG404" i="98"/>
  <c r="EV404" i="98" s="1"/>
  <c r="P405" i="98"/>
  <c r="AN405" i="98" s="1"/>
  <c r="X405" i="98"/>
  <c r="AF405" i="98"/>
  <c r="AR405" i="98" s="1"/>
  <c r="AV405" i="98"/>
  <c r="AZ405" i="98"/>
  <c r="EG405" i="98"/>
  <c r="P406" i="98"/>
  <c r="AN406" i="98" s="1"/>
  <c r="X406" i="98"/>
  <c r="AF406" i="98"/>
  <c r="AR406" i="98" s="1"/>
  <c r="AV406" i="98"/>
  <c r="AZ406" i="98"/>
  <c r="EG406" i="98"/>
  <c r="EV406" i="98" s="1"/>
  <c r="P407" i="98"/>
  <c r="AN407" i="98" s="1"/>
  <c r="X407" i="98"/>
  <c r="AF407" i="98"/>
  <c r="AR407" i="98" s="1"/>
  <c r="AV407" i="98"/>
  <c r="AZ407" i="98"/>
  <c r="EG407" i="98"/>
  <c r="P408" i="98"/>
  <c r="AN408" i="98" s="1"/>
  <c r="X408" i="98"/>
  <c r="AF408" i="98"/>
  <c r="AR408" i="98" s="1"/>
  <c r="P409" i="98"/>
  <c r="AN409" i="98" s="1"/>
  <c r="X409" i="98"/>
  <c r="AV409" i="98"/>
  <c r="AZ409" i="98"/>
  <c r="AV410" i="98"/>
  <c r="AV411" i="98"/>
  <c r="P412" i="98"/>
  <c r="AN412" i="98" s="1"/>
  <c r="EI412" i="98"/>
  <c r="AT412" i="98"/>
  <c r="AY412" i="98"/>
  <c r="BI412" i="98"/>
  <c r="EF412" i="98"/>
  <c r="EV412" i="98" s="1"/>
  <c r="BK414" i="98"/>
  <c r="EO414" i="98"/>
  <c r="BJ415" i="98"/>
  <c r="BK419" i="98"/>
  <c r="EO419" i="98"/>
  <c r="BG421" i="98"/>
  <c r="EK421" i="98"/>
  <c r="BK423" i="98"/>
  <c r="EO423" i="98"/>
  <c r="BG425" i="98"/>
  <c r="EK425" i="98"/>
  <c r="BG429" i="98"/>
  <c r="EK429" i="98"/>
  <c r="BG432" i="98"/>
  <c r="EK432" i="98"/>
  <c r="BG436" i="98"/>
  <c r="EK436" i="98"/>
  <c r="BK437" i="98"/>
  <c r="EO437" i="98"/>
  <c r="BK439" i="98"/>
  <c r="EO439" i="98"/>
  <c r="BG440" i="98"/>
  <c r="EK440" i="98"/>
  <c r="BL444" i="98"/>
  <c r="EP444" i="98"/>
  <c r="BL445" i="98"/>
  <c r="EP445" i="98"/>
  <c r="BK448" i="98"/>
  <c r="EO448" i="98"/>
  <c r="BG449" i="98"/>
  <c r="EK449" i="98"/>
  <c r="BK452" i="98"/>
  <c r="EO452" i="98"/>
  <c r="BG453" i="98"/>
  <c r="EK453" i="98"/>
  <c r="BK456" i="98"/>
  <c r="EO456" i="98"/>
  <c r="BG457" i="98"/>
  <c r="EK457" i="98"/>
  <c r="BK460" i="98"/>
  <c r="EO460" i="98"/>
  <c r="BF353" i="98"/>
  <c r="BJ353" i="98"/>
  <c r="N354" i="98"/>
  <c r="AL354" i="98" s="1"/>
  <c r="BF354" i="98"/>
  <c r="BJ354" i="98"/>
  <c r="N355" i="98"/>
  <c r="AL355" i="98" s="1"/>
  <c r="BF355" i="98"/>
  <c r="BJ355" i="98"/>
  <c r="N356" i="98"/>
  <c r="AL356" i="98" s="1"/>
  <c r="BF356" i="98"/>
  <c r="BJ356" i="98"/>
  <c r="N357" i="98"/>
  <c r="AL357" i="98" s="1"/>
  <c r="BF357" i="98"/>
  <c r="BJ357" i="98"/>
  <c r="N358" i="98"/>
  <c r="AL358" i="98" s="1"/>
  <c r="BF358" i="98"/>
  <c r="BJ358" i="98"/>
  <c r="N359" i="98"/>
  <c r="AL359" i="98" s="1"/>
  <c r="BF359" i="98"/>
  <c r="BJ359" i="98"/>
  <c r="N360" i="98"/>
  <c r="AL360" i="98" s="1"/>
  <c r="BF360" i="98"/>
  <c r="BJ360" i="98"/>
  <c r="N361" i="98"/>
  <c r="AL361" i="98" s="1"/>
  <c r="N362" i="98"/>
  <c r="AL362" i="98" s="1"/>
  <c r="BF362" i="98"/>
  <c r="BJ362" i="98"/>
  <c r="N363" i="98"/>
  <c r="AL363" i="98" s="1"/>
  <c r="BG363" i="98"/>
  <c r="BK363" i="98"/>
  <c r="EF363" i="98"/>
  <c r="EV363" i="98" s="1"/>
  <c r="W364" i="98"/>
  <c r="BG364" i="98"/>
  <c r="BK364" i="98"/>
  <c r="W365" i="98"/>
  <c r="BG365" i="98"/>
  <c r="BK365" i="98"/>
  <c r="W366" i="98"/>
  <c r="BG366" i="98"/>
  <c r="BK366" i="98"/>
  <c r="W367" i="98"/>
  <c r="BH367" i="98"/>
  <c r="BL367" i="98"/>
  <c r="EG367" i="98"/>
  <c r="AF368" i="98"/>
  <c r="AR368" i="98" s="1"/>
  <c r="BH368" i="98"/>
  <c r="BL368" i="98"/>
  <c r="AF369" i="98"/>
  <c r="AR369" i="98" s="1"/>
  <c r="BH369" i="98"/>
  <c r="BL369" i="98"/>
  <c r="AF370" i="98"/>
  <c r="AR370" i="98" s="1"/>
  <c r="BH370" i="98"/>
  <c r="BL370" i="98"/>
  <c r="AF371" i="98"/>
  <c r="AR371" i="98" s="1"/>
  <c r="AF372" i="98"/>
  <c r="AR372" i="98" s="1"/>
  <c r="BH372" i="98"/>
  <c r="BL372" i="98"/>
  <c r="AF373" i="98"/>
  <c r="AR373" i="98" s="1"/>
  <c r="AF374" i="98"/>
  <c r="AR374" i="98" s="1"/>
  <c r="AF375" i="98"/>
  <c r="AR375" i="98" s="1"/>
  <c r="BH375" i="98"/>
  <c r="BL375" i="98"/>
  <c r="AF376" i="98"/>
  <c r="AR376" i="98" s="1"/>
  <c r="BH376" i="98"/>
  <c r="BL376" i="98"/>
  <c r="AF377" i="98"/>
  <c r="AR377" i="98" s="1"/>
  <c r="BH377" i="98"/>
  <c r="BL377" i="98"/>
  <c r="AF378" i="98"/>
  <c r="AR378" i="98" s="1"/>
  <c r="BH378" i="98"/>
  <c r="BL378" i="98"/>
  <c r="AF379" i="98"/>
  <c r="AR379" i="98" s="1"/>
  <c r="BH379" i="98"/>
  <c r="BL379" i="98"/>
  <c r="AF380" i="98"/>
  <c r="AR380" i="98" s="1"/>
  <c r="BH380" i="98"/>
  <c r="BL381" i="98"/>
  <c r="AF382" i="98"/>
  <c r="AR382" i="98" s="1"/>
  <c r="BH382" i="98"/>
  <c r="BL382" i="98"/>
  <c r="AF383" i="98"/>
  <c r="AR383" i="98" s="1"/>
  <c r="BH383" i="98"/>
  <c r="BL383" i="98"/>
  <c r="AF384" i="98"/>
  <c r="AR384" i="98" s="1"/>
  <c r="BH384" i="98"/>
  <c r="BL384" i="98"/>
  <c r="AF385" i="98"/>
  <c r="AR385" i="98" s="1"/>
  <c r="BH385" i="98"/>
  <c r="BL385" i="98"/>
  <c r="AF386" i="98"/>
  <c r="AR386" i="98" s="1"/>
  <c r="BH386" i="98"/>
  <c r="BL386" i="98"/>
  <c r="AF387" i="98"/>
  <c r="AR387" i="98" s="1"/>
  <c r="BH387" i="98"/>
  <c r="BL387" i="98"/>
  <c r="AF388" i="98"/>
  <c r="AR388" i="98" s="1"/>
  <c r="BH388" i="98"/>
  <c r="BL388" i="98"/>
  <c r="AF389" i="98"/>
  <c r="AR389" i="98" s="1"/>
  <c r="BH389" i="98"/>
  <c r="BL389" i="98"/>
  <c r="AF390" i="98"/>
  <c r="AR390" i="98" s="1"/>
  <c r="BH390" i="98"/>
  <c r="BL390" i="98"/>
  <c r="BI391" i="98"/>
  <c r="BE392" i="98"/>
  <c r="BI392" i="98"/>
  <c r="BE393" i="98"/>
  <c r="BI393" i="98"/>
  <c r="BE394" i="98"/>
  <c r="BI394" i="98"/>
  <c r="BE398" i="98"/>
  <c r="BE399" i="98"/>
  <c r="BI399" i="98"/>
  <c r="BE400" i="98"/>
  <c r="BI400" i="98"/>
  <c r="BE401" i="98"/>
  <c r="BI401" i="98"/>
  <c r="BE403" i="98"/>
  <c r="BI403" i="98"/>
  <c r="BE404" i="98"/>
  <c r="BI404" i="98"/>
  <c r="BE405" i="98"/>
  <c r="BI405" i="98"/>
  <c r="BE406" i="98"/>
  <c r="BI406" i="98"/>
  <c r="BE407" i="98"/>
  <c r="BI407" i="98"/>
  <c r="BE409" i="98"/>
  <c r="BI409" i="98"/>
  <c r="BE410" i="98"/>
  <c r="BE411" i="98"/>
  <c r="M412" i="98"/>
  <c r="AK412" i="98" s="1"/>
  <c r="BF414" i="98"/>
  <c r="EF415" i="98"/>
  <c r="O415" i="98"/>
  <c r="AM415" i="98" s="1"/>
  <c r="M415" i="98"/>
  <c r="AK415" i="98" s="1"/>
  <c r="P415" i="98"/>
  <c r="AN415" i="98" s="1"/>
  <c r="BG415" i="98"/>
  <c r="EK415" i="98"/>
  <c r="BG416" i="98"/>
  <c r="EK416" i="98"/>
  <c r="BG418" i="98"/>
  <c r="EK418" i="98"/>
  <c r="BK420" i="98"/>
  <c r="EO420" i="98"/>
  <c r="BG422" i="98"/>
  <c r="EK422" i="98"/>
  <c r="BK424" i="98"/>
  <c r="EO424" i="98"/>
  <c r="BG426" i="98"/>
  <c r="EK426" i="98"/>
  <c r="BG427" i="98"/>
  <c r="EK427" i="98"/>
  <c r="BG428" i="98"/>
  <c r="EK428" i="98"/>
  <c r="BK430" i="98"/>
  <c r="EO430" i="98"/>
  <c r="BG434" i="98"/>
  <c r="EK434" i="98"/>
  <c r="BK435" i="98"/>
  <c r="EO435" i="98"/>
  <c r="BK436" i="98"/>
  <c r="EO436" i="98"/>
  <c r="BG441" i="98"/>
  <c r="EK441" i="98"/>
  <c r="BL446" i="98"/>
  <c r="EP446" i="98"/>
  <c r="BK449" i="98"/>
  <c r="EO449" i="98"/>
  <c r="BG450" i="98"/>
  <c r="EK450" i="98"/>
  <c r="BK453" i="98"/>
  <c r="EO453" i="98"/>
  <c r="BG454" i="98"/>
  <c r="EK454" i="98"/>
  <c r="BK457" i="98"/>
  <c r="EO457" i="98"/>
  <c r="BG458" i="98"/>
  <c r="EK458" i="98"/>
  <c r="O354" i="98"/>
  <c r="AM354" i="98" s="1"/>
  <c r="O355" i="98"/>
  <c r="AM355" i="98" s="1"/>
  <c r="O356" i="98"/>
  <c r="AM356" i="98" s="1"/>
  <c r="O357" i="98"/>
  <c r="AM357" i="98" s="1"/>
  <c r="O358" i="98"/>
  <c r="AM358" i="98" s="1"/>
  <c r="O359" i="98"/>
  <c r="AM359" i="98" s="1"/>
  <c r="O360" i="98"/>
  <c r="AM360" i="98" s="1"/>
  <c r="O361" i="98"/>
  <c r="AM361" i="98" s="1"/>
  <c r="O362" i="98"/>
  <c r="AM362" i="98" s="1"/>
  <c r="W363" i="98"/>
  <c r="X364" i="98"/>
  <c r="X365" i="98"/>
  <c r="X366" i="98"/>
  <c r="AF367" i="98"/>
  <c r="AR367" i="98" s="1"/>
  <c r="AC368" i="98"/>
  <c r="AO368" i="98" s="1"/>
  <c r="AC369" i="98"/>
  <c r="AO369" i="98" s="1"/>
  <c r="AC370" i="98"/>
  <c r="AO370" i="98" s="1"/>
  <c r="AC371" i="98"/>
  <c r="AO371" i="98" s="1"/>
  <c r="AC372" i="98"/>
  <c r="AO372" i="98" s="1"/>
  <c r="AC373" i="98"/>
  <c r="AO373" i="98" s="1"/>
  <c r="AC374" i="98"/>
  <c r="AO374" i="98" s="1"/>
  <c r="AC375" i="98"/>
  <c r="AO375" i="98" s="1"/>
  <c r="AC376" i="98"/>
  <c r="AO376" i="98" s="1"/>
  <c r="AC377" i="98"/>
  <c r="AO377" i="98" s="1"/>
  <c r="AC378" i="98"/>
  <c r="AO378" i="98" s="1"/>
  <c r="AC379" i="98"/>
  <c r="AO379" i="98" s="1"/>
  <c r="AC380" i="98"/>
  <c r="AO380" i="98" s="1"/>
  <c r="AC382" i="98"/>
  <c r="AO382" i="98" s="1"/>
  <c r="AC383" i="98"/>
  <c r="AO383" i="98" s="1"/>
  <c r="AC384" i="98"/>
  <c r="AO384" i="98" s="1"/>
  <c r="AC385" i="98"/>
  <c r="AO385" i="98" s="1"/>
  <c r="AC386" i="98"/>
  <c r="AO386" i="98" s="1"/>
  <c r="AC387" i="98"/>
  <c r="AO387" i="98" s="1"/>
  <c r="AC388" i="98"/>
  <c r="AO388" i="98" s="1"/>
  <c r="AC389" i="98"/>
  <c r="AO389" i="98" s="1"/>
  <c r="AC390" i="98"/>
  <c r="AO390" i="98" s="1"/>
  <c r="AX391" i="98"/>
  <c r="AT392" i="98"/>
  <c r="AX392" i="98"/>
  <c r="AT393" i="98"/>
  <c r="AX393" i="98"/>
  <c r="AT394" i="98"/>
  <c r="AX394" i="98"/>
  <c r="AT398" i="98"/>
  <c r="AT399" i="98"/>
  <c r="AX399" i="98"/>
  <c r="AT400" i="98"/>
  <c r="AX400" i="98"/>
  <c r="BB400" i="98"/>
  <c r="ER400" i="98" s="1"/>
  <c r="AT401" i="98"/>
  <c r="AX401" i="98"/>
  <c r="AT403" i="98"/>
  <c r="AX403" i="98"/>
  <c r="AT404" i="98"/>
  <c r="AX404" i="98"/>
  <c r="AT405" i="98"/>
  <c r="AX405" i="98"/>
  <c r="AT406" i="98"/>
  <c r="AX406" i="98"/>
  <c r="AT407" i="98"/>
  <c r="AX407" i="98"/>
  <c r="AT409" i="98"/>
  <c r="AX409" i="98"/>
  <c r="AT410" i="98"/>
  <c r="AT411" i="98"/>
  <c r="BL412" i="98"/>
  <c r="EI413" i="98"/>
  <c r="AT413" i="98"/>
  <c r="AV413" i="98"/>
  <c r="AU413" i="98"/>
  <c r="BK417" i="98"/>
  <c r="EO417" i="98"/>
  <c r="BG419" i="98"/>
  <c r="EK419" i="98"/>
  <c r="BK421" i="98"/>
  <c r="EO421" i="98"/>
  <c r="BG423" i="98"/>
  <c r="EK423" i="98"/>
  <c r="BK425" i="98"/>
  <c r="EO425" i="98"/>
  <c r="BK432" i="98"/>
  <c r="EO432" i="98"/>
  <c r="BG433" i="98"/>
  <c r="EK433" i="98"/>
  <c r="BG438" i="98"/>
  <c r="EK438" i="98"/>
  <c r="BK441" i="98"/>
  <c r="EO441" i="98"/>
  <c r="BG442" i="98"/>
  <c r="EK442" i="98"/>
  <c r="BL443" i="98"/>
  <c r="EP443" i="98"/>
  <c r="BK450" i="98"/>
  <c r="EO450" i="98"/>
  <c r="BG451" i="98"/>
  <c r="EK451" i="98"/>
  <c r="BK454" i="98"/>
  <c r="EO454" i="98"/>
  <c r="BG455" i="98"/>
  <c r="EK455" i="98"/>
  <c r="BK458" i="98"/>
  <c r="EO458" i="98"/>
  <c r="BG459" i="98"/>
  <c r="EK459" i="98"/>
  <c r="W413" i="98"/>
  <c r="AE413" i="98"/>
  <c r="AQ413" i="98" s="1"/>
  <c r="EF413" i="98"/>
  <c r="W414" i="98"/>
  <c r="AE414" i="98"/>
  <c r="AQ414" i="98" s="1"/>
  <c r="AZ414" i="98"/>
  <c r="BH414" i="98"/>
  <c r="EG414" i="98"/>
  <c r="EK414" i="98"/>
  <c r="X415" i="98"/>
  <c r="AF415" i="98"/>
  <c r="AR415" i="98" s="1"/>
  <c r="AV415" i="98"/>
  <c r="AZ415" i="98"/>
  <c r="EG415" i="98"/>
  <c r="P416" i="98"/>
  <c r="AN416" i="98" s="1"/>
  <c r="X416" i="98"/>
  <c r="AF416" i="98"/>
  <c r="AR416" i="98" s="1"/>
  <c r="AV416" i="98"/>
  <c r="AZ416" i="98"/>
  <c r="EG416" i="98"/>
  <c r="AZ417" i="98"/>
  <c r="P418" i="98"/>
  <c r="AN418" i="98" s="1"/>
  <c r="X418" i="98"/>
  <c r="AF418" i="98"/>
  <c r="AR418" i="98" s="1"/>
  <c r="AV418" i="98"/>
  <c r="AZ418" i="98"/>
  <c r="EG418" i="98"/>
  <c r="P419" i="98"/>
  <c r="AN419" i="98" s="1"/>
  <c r="X419" i="98"/>
  <c r="AF419" i="98"/>
  <c r="AR419" i="98" s="1"/>
  <c r="AV419" i="98"/>
  <c r="AZ419" i="98"/>
  <c r="EG419" i="98"/>
  <c r="P420" i="98"/>
  <c r="AN420" i="98" s="1"/>
  <c r="AF420" i="98"/>
  <c r="AR420" i="98" s="1"/>
  <c r="AV420" i="98"/>
  <c r="AZ420" i="98"/>
  <c r="EG420" i="98"/>
  <c r="P421" i="98"/>
  <c r="AN421" i="98" s="1"/>
  <c r="AF421" i="98"/>
  <c r="AR421" i="98" s="1"/>
  <c r="AV421" i="98"/>
  <c r="AZ421" i="98"/>
  <c r="EG421" i="98"/>
  <c r="P422" i="98"/>
  <c r="AN422" i="98" s="1"/>
  <c r="X422" i="98"/>
  <c r="AF422" i="98"/>
  <c r="AR422" i="98" s="1"/>
  <c r="AV422" i="98"/>
  <c r="AZ422" i="98"/>
  <c r="EG422" i="98"/>
  <c r="P423" i="98"/>
  <c r="AN423" i="98" s="1"/>
  <c r="X423" i="98"/>
  <c r="AF423" i="98"/>
  <c r="AR423" i="98" s="1"/>
  <c r="AV423" i="98"/>
  <c r="AZ423" i="98"/>
  <c r="EG423" i="98"/>
  <c r="P424" i="98"/>
  <c r="AN424" i="98" s="1"/>
  <c r="X424" i="98"/>
  <c r="AF424" i="98"/>
  <c r="AR424" i="98" s="1"/>
  <c r="AV424" i="98"/>
  <c r="AZ424" i="98"/>
  <c r="EG424" i="98"/>
  <c r="P425" i="98"/>
  <c r="AN425" i="98" s="1"/>
  <c r="X425" i="98"/>
  <c r="AF425" i="98"/>
  <c r="AR425" i="98" s="1"/>
  <c r="AV425" i="98"/>
  <c r="AZ425" i="98"/>
  <c r="EG425" i="98"/>
  <c r="P426" i="98"/>
  <c r="AN426" i="98" s="1"/>
  <c r="X426" i="98"/>
  <c r="AF426" i="98"/>
  <c r="AR426" i="98" s="1"/>
  <c r="AV426" i="98"/>
  <c r="AZ426" i="98"/>
  <c r="EG426" i="98"/>
  <c r="P427" i="98"/>
  <c r="AN427" i="98" s="1"/>
  <c r="X427" i="98"/>
  <c r="AV427" i="98"/>
  <c r="EG427" i="98"/>
  <c r="P428" i="98"/>
  <c r="AN428" i="98" s="1"/>
  <c r="X428" i="98"/>
  <c r="AF428" i="98"/>
  <c r="AR428" i="98" s="1"/>
  <c r="AV428" i="98"/>
  <c r="AZ428" i="98"/>
  <c r="EG428" i="98"/>
  <c r="P429" i="98"/>
  <c r="AN429" i="98" s="1"/>
  <c r="AV429" i="98"/>
  <c r="EG429" i="98"/>
  <c r="P430" i="98"/>
  <c r="AN430" i="98" s="1"/>
  <c r="AF430" i="98"/>
  <c r="AR430" i="98" s="1"/>
  <c r="AV430" i="98"/>
  <c r="AZ430" i="98"/>
  <c r="EG430" i="98"/>
  <c r="P432" i="98"/>
  <c r="AN432" i="98" s="1"/>
  <c r="X432" i="98"/>
  <c r="AF432" i="98"/>
  <c r="AR432" i="98" s="1"/>
  <c r="AV432" i="98"/>
  <c r="AZ432" i="98"/>
  <c r="EG432" i="98"/>
  <c r="P433" i="98"/>
  <c r="AN433" i="98" s="1"/>
  <c r="X433" i="98"/>
  <c r="AV433" i="98"/>
  <c r="EG433" i="98"/>
  <c r="P434" i="98"/>
  <c r="AN434" i="98" s="1"/>
  <c r="X434" i="98"/>
  <c r="BH434" i="98"/>
  <c r="EG434" i="98"/>
  <c r="X435" i="98"/>
  <c r="AF435" i="98"/>
  <c r="AR435" i="98" s="1"/>
  <c r="BH435" i="98"/>
  <c r="BL435" i="98"/>
  <c r="EG435" i="98"/>
  <c r="AF436" i="98"/>
  <c r="AR436" i="98" s="1"/>
  <c r="AV436" i="98"/>
  <c r="AZ436" i="98"/>
  <c r="EG436" i="98"/>
  <c r="AF437" i="98"/>
  <c r="AR437" i="98" s="1"/>
  <c r="AV437" i="98"/>
  <c r="AZ437" i="98"/>
  <c r="EG437" i="98"/>
  <c r="AV438" i="98"/>
  <c r="P439" i="98"/>
  <c r="AN439" i="98" s="1"/>
  <c r="X439" i="98"/>
  <c r="AF439" i="98"/>
  <c r="AR439" i="98" s="1"/>
  <c r="AV439" i="98"/>
  <c r="AZ439" i="98"/>
  <c r="EG439" i="98"/>
  <c r="P440" i="98"/>
  <c r="AN440" i="98" s="1"/>
  <c r="X440" i="98"/>
  <c r="AV440" i="98"/>
  <c r="EG440" i="98"/>
  <c r="P441" i="98"/>
  <c r="AN441" i="98" s="1"/>
  <c r="X441" i="98"/>
  <c r="AF441" i="98"/>
  <c r="AR441" i="98" s="1"/>
  <c r="AV441" i="98"/>
  <c r="AZ441" i="98"/>
  <c r="EG441" i="98"/>
  <c r="P442" i="98"/>
  <c r="AN442" i="98" s="1"/>
  <c r="X442" i="98"/>
  <c r="AV442" i="98"/>
  <c r="EG442" i="98"/>
  <c r="P443" i="98"/>
  <c r="AN443" i="98" s="1"/>
  <c r="X443" i="98"/>
  <c r="AF443" i="98"/>
  <c r="AR443" i="98" s="1"/>
  <c r="BI443" i="98"/>
  <c r="EH443" i="98"/>
  <c r="EL443" i="98"/>
  <c r="M444" i="98"/>
  <c r="AK444" i="98" s="1"/>
  <c r="U444" i="98"/>
  <c r="AC444" i="98"/>
  <c r="AO444" i="98" s="1"/>
  <c r="BE444" i="98"/>
  <c r="BI444" i="98"/>
  <c r="EH444" i="98"/>
  <c r="M445" i="98"/>
  <c r="AK445" i="98" s="1"/>
  <c r="U445" i="98"/>
  <c r="AC445" i="98"/>
  <c r="AO445" i="98" s="1"/>
  <c r="BE445" i="98"/>
  <c r="BI445" i="98"/>
  <c r="EH445" i="98"/>
  <c r="M446" i="98"/>
  <c r="AK446" i="98" s="1"/>
  <c r="U446" i="98"/>
  <c r="AC446" i="98"/>
  <c r="AO446" i="98" s="1"/>
  <c r="BE446" i="98"/>
  <c r="BI446" i="98"/>
  <c r="EH446" i="98"/>
  <c r="M447" i="98"/>
  <c r="AK447" i="98" s="1"/>
  <c r="U447" i="98"/>
  <c r="AC447" i="98"/>
  <c r="AO447" i="98" s="1"/>
  <c r="AZ447" i="98"/>
  <c r="BD447" i="98"/>
  <c r="ET447" i="98" s="1"/>
  <c r="EG447" i="98"/>
  <c r="P448" i="98"/>
  <c r="AN448" i="98" s="1"/>
  <c r="X448" i="98"/>
  <c r="AF448" i="98"/>
  <c r="AR448" i="98" s="1"/>
  <c r="AV448" i="98"/>
  <c r="AZ448" i="98"/>
  <c r="EG448" i="98"/>
  <c r="P449" i="98"/>
  <c r="AN449" i="98" s="1"/>
  <c r="X449" i="98"/>
  <c r="AF449" i="98"/>
  <c r="AR449" i="98" s="1"/>
  <c r="AV449" i="98"/>
  <c r="AZ449" i="98"/>
  <c r="EG449" i="98"/>
  <c r="P450" i="98"/>
  <c r="AN450" i="98" s="1"/>
  <c r="X450" i="98"/>
  <c r="AF450" i="98"/>
  <c r="AR450" i="98" s="1"/>
  <c r="AV450" i="98"/>
  <c r="AZ450" i="98"/>
  <c r="EG450" i="98"/>
  <c r="P451" i="98"/>
  <c r="AN451" i="98" s="1"/>
  <c r="X451" i="98"/>
  <c r="AF451" i="98"/>
  <c r="AR451" i="98" s="1"/>
  <c r="AV451" i="98"/>
  <c r="AZ451" i="98"/>
  <c r="EG451" i="98"/>
  <c r="P452" i="98"/>
  <c r="AN452" i="98" s="1"/>
  <c r="X452" i="98"/>
  <c r="AF452" i="98"/>
  <c r="AR452" i="98" s="1"/>
  <c r="AV452" i="98"/>
  <c r="AZ452" i="98"/>
  <c r="EG452" i="98"/>
  <c r="AF453" i="98"/>
  <c r="AR453" i="98" s="1"/>
  <c r="AV453" i="98"/>
  <c r="AZ453" i="98"/>
  <c r="EG453" i="98"/>
  <c r="AF454" i="98"/>
  <c r="AR454" i="98" s="1"/>
  <c r="AV454" i="98"/>
  <c r="AZ454" i="98"/>
  <c r="EG454" i="98"/>
  <c r="AF455" i="98"/>
  <c r="AR455" i="98" s="1"/>
  <c r="AV455" i="98"/>
  <c r="AZ455" i="98"/>
  <c r="EG455" i="98"/>
  <c r="P456" i="98"/>
  <c r="AN456" i="98" s="1"/>
  <c r="X456" i="98"/>
  <c r="AF456" i="98"/>
  <c r="AR456" i="98" s="1"/>
  <c r="AV456" i="98"/>
  <c r="AZ456" i="98"/>
  <c r="EG456" i="98"/>
  <c r="P457" i="98"/>
  <c r="AN457" i="98" s="1"/>
  <c r="X457" i="98"/>
  <c r="AF457" i="98"/>
  <c r="AR457" i="98" s="1"/>
  <c r="AV457" i="98"/>
  <c r="AZ457" i="98"/>
  <c r="EG457" i="98"/>
  <c r="P458" i="98"/>
  <c r="AN458" i="98" s="1"/>
  <c r="X458" i="98"/>
  <c r="AF458" i="98"/>
  <c r="AR458" i="98" s="1"/>
  <c r="AV458" i="98"/>
  <c r="AZ458" i="98"/>
  <c r="EG458" i="98"/>
  <c r="P459" i="98"/>
  <c r="AN459" i="98" s="1"/>
  <c r="X459" i="98"/>
  <c r="AF459" i="98"/>
  <c r="AR459" i="98" s="1"/>
  <c r="AV459" i="98"/>
  <c r="AZ459" i="98"/>
  <c r="EG459" i="98"/>
  <c r="P460" i="98"/>
  <c r="AN460" i="98" s="1"/>
  <c r="X460" i="98"/>
  <c r="AF460" i="98"/>
  <c r="AR460" i="98" s="1"/>
  <c r="AV460" i="98"/>
  <c r="AZ460" i="98"/>
  <c r="EG460" i="98"/>
  <c r="P461" i="98"/>
  <c r="AN461" i="98" s="1"/>
  <c r="X461" i="98"/>
  <c r="AF461" i="98"/>
  <c r="AR461" i="98" s="1"/>
  <c r="AV461" i="98"/>
  <c r="AZ461" i="98"/>
  <c r="EG461" i="98"/>
  <c r="EK461" i="98"/>
  <c r="EO461" i="98"/>
  <c r="P462" i="98"/>
  <c r="AN462" i="98" s="1"/>
  <c r="X462" i="98"/>
  <c r="AF462" i="98"/>
  <c r="AR462" i="98" s="1"/>
  <c r="AV462" i="98"/>
  <c r="AZ462" i="98"/>
  <c r="EG462" i="98"/>
  <c r="EK462" i="98"/>
  <c r="EO462" i="98"/>
  <c r="P463" i="98"/>
  <c r="AN463" i="98" s="1"/>
  <c r="X463" i="98"/>
  <c r="AF463" i="98"/>
  <c r="AR463" i="98" s="1"/>
  <c r="AV463" i="98"/>
  <c r="AZ463" i="98"/>
  <c r="EG463" i="98"/>
  <c r="EK463" i="98"/>
  <c r="EO463" i="98"/>
  <c r="P464" i="98"/>
  <c r="AN464" i="98" s="1"/>
  <c r="X464" i="98"/>
  <c r="AF464" i="98"/>
  <c r="AR464" i="98" s="1"/>
  <c r="AV464" i="98"/>
  <c r="AZ464" i="98"/>
  <c r="EG464" i="98"/>
  <c r="EV464" i="98" s="1"/>
  <c r="EK464" i="98"/>
  <c r="EO464" i="98"/>
  <c r="EU465" i="98"/>
  <c r="O467" i="98"/>
  <c r="AM467" i="98" s="1"/>
  <c r="W467" i="98"/>
  <c r="AE467" i="98"/>
  <c r="AQ467" i="98" s="1"/>
  <c r="AU467" i="98"/>
  <c r="BK467" i="98"/>
  <c r="EH467" i="98"/>
  <c r="EM467" i="98"/>
  <c r="BL468" i="98"/>
  <c r="EV481" i="98"/>
  <c r="X413" i="98"/>
  <c r="AF413" i="98"/>
  <c r="AR413" i="98" s="1"/>
  <c r="EG413" i="98"/>
  <c r="X414" i="98"/>
  <c r="AF414" i="98"/>
  <c r="AR414" i="98" s="1"/>
  <c r="BI414" i="98"/>
  <c r="EH414" i="98"/>
  <c r="U415" i="98"/>
  <c r="AC415" i="98"/>
  <c r="AO415" i="98" s="1"/>
  <c r="BE415" i="98"/>
  <c r="BI415" i="98"/>
  <c r="EH415" i="98"/>
  <c r="M416" i="98"/>
  <c r="AK416" i="98" s="1"/>
  <c r="U416" i="98"/>
  <c r="AC416" i="98"/>
  <c r="AO416" i="98" s="1"/>
  <c r="BE416" i="98"/>
  <c r="BI416" i="98"/>
  <c r="EH416" i="98"/>
  <c r="BI417" i="98"/>
  <c r="M418" i="98"/>
  <c r="AK418" i="98" s="1"/>
  <c r="U418" i="98"/>
  <c r="AC418" i="98"/>
  <c r="AO418" i="98" s="1"/>
  <c r="BE418" i="98"/>
  <c r="BI418" i="98"/>
  <c r="EH418" i="98"/>
  <c r="M419" i="98"/>
  <c r="AK419" i="98" s="1"/>
  <c r="U419" i="98"/>
  <c r="AC419" i="98"/>
  <c r="AO419" i="98" s="1"/>
  <c r="BE419" i="98"/>
  <c r="BI419" i="98"/>
  <c r="EH419" i="98"/>
  <c r="M420" i="98"/>
  <c r="AK420" i="98" s="1"/>
  <c r="AC420" i="98"/>
  <c r="AO420" i="98" s="1"/>
  <c r="BE420" i="98"/>
  <c r="BI420" i="98"/>
  <c r="EH420" i="98"/>
  <c r="M421" i="98"/>
  <c r="AK421" i="98" s="1"/>
  <c r="AC421" i="98"/>
  <c r="AO421" i="98" s="1"/>
  <c r="BE421" i="98"/>
  <c r="BI421" i="98"/>
  <c r="EH421" i="98"/>
  <c r="M422" i="98"/>
  <c r="AK422" i="98" s="1"/>
  <c r="AC422" i="98"/>
  <c r="AO422" i="98" s="1"/>
  <c r="BE422" i="98"/>
  <c r="BI422" i="98"/>
  <c r="EH422" i="98"/>
  <c r="M423" i="98"/>
  <c r="AK423" i="98" s="1"/>
  <c r="AC423" i="98"/>
  <c r="AO423" i="98" s="1"/>
  <c r="BE423" i="98"/>
  <c r="BI423" i="98"/>
  <c r="EH423" i="98"/>
  <c r="M424" i="98"/>
  <c r="AK424" i="98" s="1"/>
  <c r="U424" i="98"/>
  <c r="AC424" i="98"/>
  <c r="AO424" i="98" s="1"/>
  <c r="BE424" i="98"/>
  <c r="BI424" i="98"/>
  <c r="EH424" i="98"/>
  <c r="M425" i="98"/>
  <c r="AK425" i="98" s="1"/>
  <c r="U425" i="98"/>
  <c r="AC425" i="98"/>
  <c r="AO425" i="98" s="1"/>
  <c r="BE425" i="98"/>
  <c r="BI425" i="98"/>
  <c r="EH425" i="98"/>
  <c r="M426" i="98"/>
  <c r="AK426" i="98" s="1"/>
  <c r="U426" i="98"/>
  <c r="AC426" i="98"/>
  <c r="AO426" i="98" s="1"/>
  <c r="BE426" i="98"/>
  <c r="BI426" i="98"/>
  <c r="EH426" i="98"/>
  <c r="M427" i="98"/>
  <c r="AK427" i="98" s="1"/>
  <c r="U427" i="98"/>
  <c r="BE427" i="98"/>
  <c r="M428" i="98"/>
  <c r="AK428" i="98" s="1"/>
  <c r="U428" i="98"/>
  <c r="AC428" i="98"/>
  <c r="AO428" i="98" s="1"/>
  <c r="BE428" i="98"/>
  <c r="BI428" i="98"/>
  <c r="EH428" i="98"/>
  <c r="M429" i="98"/>
  <c r="AK429" i="98" s="1"/>
  <c r="BE429" i="98"/>
  <c r="M430" i="98"/>
  <c r="AK430" i="98" s="1"/>
  <c r="AC430" i="98"/>
  <c r="AO430" i="98" s="1"/>
  <c r="BE430" i="98"/>
  <c r="BI430" i="98"/>
  <c r="EH430" i="98"/>
  <c r="M432" i="98"/>
  <c r="AK432" i="98" s="1"/>
  <c r="AC432" i="98"/>
  <c r="AO432" i="98" s="1"/>
  <c r="BE432" i="98"/>
  <c r="BI432" i="98"/>
  <c r="EH432" i="98"/>
  <c r="M433" i="98"/>
  <c r="AK433" i="98" s="1"/>
  <c r="U433" i="98"/>
  <c r="BE433" i="98"/>
  <c r="M434" i="98"/>
  <c r="AK434" i="98" s="1"/>
  <c r="U434" i="98"/>
  <c r="BE434" i="98"/>
  <c r="M435" i="98"/>
  <c r="AK435" i="98" s="1"/>
  <c r="U435" i="98"/>
  <c r="AC435" i="98"/>
  <c r="AO435" i="98" s="1"/>
  <c r="BE435" i="98"/>
  <c r="BI435" i="98"/>
  <c r="EH435" i="98"/>
  <c r="AC436" i="98"/>
  <c r="AO436" i="98" s="1"/>
  <c r="BE436" i="98"/>
  <c r="BI436" i="98"/>
  <c r="EH436" i="98"/>
  <c r="AC437" i="98"/>
  <c r="AO437" i="98" s="1"/>
  <c r="BE437" i="98"/>
  <c r="BI437" i="98"/>
  <c r="EH437" i="98"/>
  <c r="BE438" i="98"/>
  <c r="AC439" i="98"/>
  <c r="AO439" i="98" s="1"/>
  <c r="BE439" i="98"/>
  <c r="BI439" i="98"/>
  <c r="EH439" i="98"/>
  <c r="U440" i="98"/>
  <c r="BE440" i="98"/>
  <c r="M441" i="98"/>
  <c r="AK441" i="98" s="1"/>
  <c r="U441" i="98"/>
  <c r="AC441" i="98"/>
  <c r="AO441" i="98" s="1"/>
  <c r="BE441" i="98"/>
  <c r="BI441" i="98"/>
  <c r="EH441" i="98"/>
  <c r="M442" i="98"/>
  <c r="AK442" i="98" s="1"/>
  <c r="U442" i="98"/>
  <c r="BE442" i="98"/>
  <c r="M443" i="98"/>
  <c r="AK443" i="98" s="1"/>
  <c r="U443" i="98"/>
  <c r="AC443" i="98"/>
  <c r="AO443" i="98" s="1"/>
  <c r="AX443" i="98"/>
  <c r="BF443" i="98"/>
  <c r="EM443" i="98"/>
  <c r="N444" i="98"/>
  <c r="AL444" i="98" s="1"/>
  <c r="V444" i="98"/>
  <c r="AD444" i="98"/>
  <c r="AP444" i="98" s="1"/>
  <c r="AT444" i="98"/>
  <c r="AX444" i="98"/>
  <c r="EI444" i="98"/>
  <c r="EM444" i="98"/>
  <c r="N445" i="98"/>
  <c r="AL445" i="98" s="1"/>
  <c r="V445" i="98"/>
  <c r="AD445" i="98"/>
  <c r="AP445" i="98" s="1"/>
  <c r="AT445" i="98"/>
  <c r="AX445" i="98"/>
  <c r="EI445" i="98"/>
  <c r="EM445" i="98"/>
  <c r="N446" i="98"/>
  <c r="AL446" i="98" s="1"/>
  <c r="V446" i="98"/>
  <c r="AD446" i="98"/>
  <c r="AP446" i="98" s="1"/>
  <c r="BF446" i="98"/>
  <c r="BJ446" i="98"/>
  <c r="EI446" i="98"/>
  <c r="EM446" i="98"/>
  <c r="N447" i="98"/>
  <c r="AL447" i="98" s="1"/>
  <c r="V447" i="98"/>
  <c r="AD447" i="98"/>
  <c r="AP447" i="98" s="1"/>
  <c r="BE447" i="98"/>
  <c r="BI447" i="98"/>
  <c r="EH447" i="98"/>
  <c r="AC448" i="98"/>
  <c r="AO448" i="98" s="1"/>
  <c r="BE448" i="98"/>
  <c r="BI448" i="98"/>
  <c r="EH448" i="98"/>
  <c r="M449" i="98"/>
  <c r="AK449" i="98" s="1"/>
  <c r="U449" i="98"/>
  <c r="AC449" i="98"/>
  <c r="AO449" i="98" s="1"/>
  <c r="BE449" i="98"/>
  <c r="BI449" i="98"/>
  <c r="EH449" i="98"/>
  <c r="M450" i="98"/>
  <c r="AK450" i="98" s="1"/>
  <c r="U450" i="98"/>
  <c r="AC450" i="98"/>
  <c r="AO450" i="98" s="1"/>
  <c r="BE450" i="98"/>
  <c r="BI450" i="98"/>
  <c r="EH450" i="98"/>
  <c r="M451" i="98"/>
  <c r="AK451" i="98" s="1"/>
  <c r="U451" i="98"/>
  <c r="AC451" i="98"/>
  <c r="AO451" i="98" s="1"/>
  <c r="BE451" i="98"/>
  <c r="BI451" i="98"/>
  <c r="EH451" i="98"/>
  <c r="M452" i="98"/>
  <c r="AK452" i="98" s="1"/>
  <c r="U452" i="98"/>
  <c r="AC452" i="98"/>
  <c r="AO452" i="98" s="1"/>
  <c r="BE452" i="98"/>
  <c r="BI452" i="98"/>
  <c r="EH452" i="98"/>
  <c r="AC453" i="98"/>
  <c r="AO453" i="98" s="1"/>
  <c r="BE453" i="98"/>
  <c r="BI453" i="98"/>
  <c r="EH453" i="98"/>
  <c r="AC454" i="98"/>
  <c r="AO454" i="98" s="1"/>
  <c r="BE454" i="98"/>
  <c r="BI454" i="98"/>
  <c r="EH454" i="98"/>
  <c r="AC455" i="98"/>
  <c r="AO455" i="98" s="1"/>
  <c r="BE455" i="98"/>
  <c r="BI455" i="98"/>
  <c r="EH455" i="98"/>
  <c r="U456" i="98"/>
  <c r="AC456" i="98"/>
  <c r="AO456" i="98" s="1"/>
  <c r="BE456" i="98"/>
  <c r="BI456" i="98"/>
  <c r="EH456" i="98"/>
  <c r="U457" i="98"/>
  <c r="AC457" i="98"/>
  <c r="AO457" i="98" s="1"/>
  <c r="BE457" i="98"/>
  <c r="BI457" i="98"/>
  <c r="EH457" i="98"/>
  <c r="M458" i="98"/>
  <c r="AK458" i="98" s="1"/>
  <c r="U458" i="98"/>
  <c r="AC458" i="98"/>
  <c r="AO458" i="98" s="1"/>
  <c r="BE458" i="98"/>
  <c r="BI458" i="98"/>
  <c r="EH458" i="98"/>
  <c r="M459" i="98"/>
  <c r="AK459" i="98" s="1"/>
  <c r="U459" i="98"/>
  <c r="AC459" i="98"/>
  <c r="AO459" i="98" s="1"/>
  <c r="BE459" i="98"/>
  <c r="BI459" i="98"/>
  <c r="EH459" i="98"/>
  <c r="M460" i="98"/>
  <c r="AK460" i="98" s="1"/>
  <c r="U460" i="98"/>
  <c r="AC460" i="98"/>
  <c r="AO460" i="98" s="1"/>
  <c r="BE460" i="98"/>
  <c r="BI460" i="98"/>
  <c r="EH460" i="98"/>
  <c r="M461" i="98"/>
  <c r="AK461" i="98" s="1"/>
  <c r="U461" i="98"/>
  <c r="AC461" i="98"/>
  <c r="AO461" i="98" s="1"/>
  <c r="EH461" i="98"/>
  <c r="M462" i="98"/>
  <c r="AK462" i="98" s="1"/>
  <c r="U462" i="98"/>
  <c r="AC462" i="98"/>
  <c r="AO462" i="98" s="1"/>
  <c r="EH462" i="98"/>
  <c r="M463" i="98"/>
  <c r="AK463" i="98" s="1"/>
  <c r="U463" i="98"/>
  <c r="AC463" i="98"/>
  <c r="AO463" i="98" s="1"/>
  <c r="EH463" i="98"/>
  <c r="M464" i="98"/>
  <c r="AK464" i="98" s="1"/>
  <c r="U464" i="98"/>
  <c r="AC464" i="98"/>
  <c r="AO464" i="98" s="1"/>
  <c r="P467" i="98"/>
  <c r="AN467" i="98" s="1"/>
  <c r="X467" i="98"/>
  <c r="BB467" i="98"/>
  <c r="ER467" i="98" s="1"/>
  <c r="EI467" i="98"/>
  <c r="EN467" i="98"/>
  <c r="EM468" i="98"/>
  <c r="AX468" i="98"/>
  <c r="EO468" i="98"/>
  <c r="EV472" i="98"/>
  <c r="EV479" i="98"/>
  <c r="EV489" i="98"/>
  <c r="BG504" i="98"/>
  <c r="EK504" i="98"/>
  <c r="EO515" i="98"/>
  <c r="BK515" i="98"/>
  <c r="N416" i="98"/>
  <c r="AL416" i="98" s="1"/>
  <c r="BF416" i="98"/>
  <c r="BJ416" i="98"/>
  <c r="BJ417" i="98"/>
  <c r="N418" i="98"/>
  <c r="AL418" i="98" s="1"/>
  <c r="BF418" i="98"/>
  <c r="BJ418" i="98"/>
  <c r="N419" i="98"/>
  <c r="AL419" i="98" s="1"/>
  <c r="BF419" i="98"/>
  <c r="BJ419" i="98"/>
  <c r="N420" i="98"/>
  <c r="AL420" i="98" s="1"/>
  <c r="BF420" i="98"/>
  <c r="BJ420" i="98"/>
  <c r="N421" i="98"/>
  <c r="AL421" i="98" s="1"/>
  <c r="BF421" i="98"/>
  <c r="BJ421" i="98"/>
  <c r="N422" i="98"/>
  <c r="AL422" i="98" s="1"/>
  <c r="BF422" i="98"/>
  <c r="BJ422" i="98"/>
  <c r="N423" i="98"/>
  <c r="AL423" i="98" s="1"/>
  <c r="BF423" i="98"/>
  <c r="BJ423" i="98"/>
  <c r="N424" i="98"/>
  <c r="AL424" i="98" s="1"/>
  <c r="BF424" i="98"/>
  <c r="BJ424" i="98"/>
  <c r="N425" i="98"/>
  <c r="AL425" i="98" s="1"/>
  <c r="BF425" i="98"/>
  <c r="BJ425" i="98"/>
  <c r="N426" i="98"/>
  <c r="AL426" i="98" s="1"/>
  <c r="BF426" i="98"/>
  <c r="BJ426" i="98"/>
  <c r="N427" i="98"/>
  <c r="AL427" i="98" s="1"/>
  <c r="BF427" i="98"/>
  <c r="N428" i="98"/>
  <c r="AL428" i="98" s="1"/>
  <c r="BF428" i="98"/>
  <c r="BJ428" i="98"/>
  <c r="N429" i="98"/>
  <c r="AL429" i="98" s="1"/>
  <c r="BF429" i="98"/>
  <c r="N430" i="98"/>
  <c r="AL430" i="98" s="1"/>
  <c r="BF430" i="98"/>
  <c r="BJ430" i="98"/>
  <c r="N432" i="98"/>
  <c r="AL432" i="98" s="1"/>
  <c r="AX432" i="98"/>
  <c r="BF432" i="98"/>
  <c r="EI432" i="98"/>
  <c r="EM432" i="98"/>
  <c r="N433" i="98"/>
  <c r="AL433" i="98" s="1"/>
  <c r="V433" i="98"/>
  <c r="AT433" i="98"/>
  <c r="EI433" i="98"/>
  <c r="N434" i="98"/>
  <c r="AL434" i="98" s="1"/>
  <c r="V434" i="98"/>
  <c r="AT434" i="98"/>
  <c r="EI434" i="98"/>
  <c r="N435" i="98"/>
  <c r="AL435" i="98" s="1"/>
  <c r="V435" i="98"/>
  <c r="AD435" i="98"/>
  <c r="AP435" i="98" s="1"/>
  <c r="AT435" i="98"/>
  <c r="AX435" i="98"/>
  <c r="EI435" i="98"/>
  <c r="EM435" i="98"/>
  <c r="N436" i="98"/>
  <c r="AL436" i="98" s="1"/>
  <c r="V436" i="98"/>
  <c r="AD436" i="98"/>
  <c r="AP436" i="98" s="1"/>
  <c r="AT436" i="98"/>
  <c r="AX436" i="98"/>
  <c r="EI436" i="98"/>
  <c r="EM436" i="98"/>
  <c r="N437" i="98"/>
  <c r="AL437" i="98" s="1"/>
  <c r="V437" i="98"/>
  <c r="AD437" i="98"/>
  <c r="AP437" i="98" s="1"/>
  <c r="AT437" i="98"/>
  <c r="AX437" i="98"/>
  <c r="EI437" i="98"/>
  <c r="EM437" i="98"/>
  <c r="AT438" i="98"/>
  <c r="EI438" i="98"/>
  <c r="N439" i="98"/>
  <c r="AL439" i="98" s="1"/>
  <c r="V439" i="98"/>
  <c r="AD439" i="98"/>
  <c r="AP439" i="98" s="1"/>
  <c r="AT439" i="98"/>
  <c r="AX439" i="98"/>
  <c r="EI439" i="98"/>
  <c r="EM439" i="98"/>
  <c r="N440" i="98"/>
  <c r="AL440" i="98" s="1"/>
  <c r="V440" i="98"/>
  <c r="AT440" i="98"/>
  <c r="EI440" i="98"/>
  <c r="N441" i="98"/>
  <c r="AL441" i="98" s="1"/>
  <c r="V441" i="98"/>
  <c r="AD441" i="98"/>
  <c r="AP441" i="98" s="1"/>
  <c r="AT441" i="98"/>
  <c r="AX441" i="98"/>
  <c r="EI441" i="98"/>
  <c r="EM441" i="98"/>
  <c r="N442" i="98"/>
  <c r="AL442" i="98" s="1"/>
  <c r="V442" i="98"/>
  <c r="AT442" i="98"/>
  <c r="EI442" i="98"/>
  <c r="N443" i="98"/>
  <c r="AL443" i="98" s="1"/>
  <c r="V443" i="98"/>
  <c r="AD443" i="98"/>
  <c r="AP443" i="98" s="1"/>
  <c r="AY443" i="98"/>
  <c r="BG443" i="98"/>
  <c r="EF443" i="98"/>
  <c r="EV443" i="98" s="1"/>
  <c r="O444" i="98"/>
  <c r="AM444" i="98" s="1"/>
  <c r="W444" i="98"/>
  <c r="AE444" i="98"/>
  <c r="AQ444" i="98" s="1"/>
  <c r="AU444" i="98"/>
  <c r="AY444" i="98"/>
  <c r="EF444" i="98"/>
  <c r="EV444" i="98" s="1"/>
  <c r="O445" i="98"/>
  <c r="AM445" i="98" s="1"/>
  <c r="W445" i="98"/>
  <c r="AE445" i="98"/>
  <c r="AQ445" i="98" s="1"/>
  <c r="AU445" i="98"/>
  <c r="AY445" i="98"/>
  <c r="EF445" i="98"/>
  <c r="O446" i="98"/>
  <c r="AM446" i="98" s="1"/>
  <c r="W446" i="98"/>
  <c r="AE446" i="98"/>
  <c r="AQ446" i="98" s="1"/>
  <c r="AU446" i="98"/>
  <c r="AY446" i="98"/>
  <c r="EF446" i="98"/>
  <c r="EV446" i="98" s="1"/>
  <c r="O447" i="98"/>
  <c r="AM447" i="98" s="1"/>
  <c r="W447" i="98"/>
  <c r="AE447" i="98"/>
  <c r="AQ447" i="98" s="1"/>
  <c r="AX447" i="98"/>
  <c r="BB447" i="98"/>
  <c r="ER447" i="98" s="1"/>
  <c r="EM447" i="98"/>
  <c r="EQ447" i="98"/>
  <c r="N448" i="98"/>
  <c r="AL448" i="98" s="1"/>
  <c r="V448" i="98"/>
  <c r="AD448" i="98"/>
  <c r="AP448" i="98" s="1"/>
  <c r="AT448" i="98"/>
  <c r="AX448" i="98"/>
  <c r="EI448" i="98"/>
  <c r="EM448" i="98"/>
  <c r="N449" i="98"/>
  <c r="AL449" i="98" s="1"/>
  <c r="V449" i="98"/>
  <c r="AD449" i="98"/>
  <c r="AP449" i="98" s="1"/>
  <c r="AT449" i="98"/>
  <c r="AX449" i="98"/>
  <c r="EI449" i="98"/>
  <c r="EM449" i="98"/>
  <c r="N450" i="98"/>
  <c r="AL450" i="98" s="1"/>
  <c r="V450" i="98"/>
  <c r="AD450" i="98"/>
  <c r="AP450" i="98" s="1"/>
  <c r="AT450" i="98"/>
  <c r="AX450" i="98"/>
  <c r="EI450" i="98"/>
  <c r="EM450" i="98"/>
  <c r="N451" i="98"/>
  <c r="AL451" i="98" s="1"/>
  <c r="V451" i="98"/>
  <c r="AD451" i="98"/>
  <c r="AP451" i="98" s="1"/>
  <c r="AT451" i="98"/>
  <c r="AX451" i="98"/>
  <c r="EI451" i="98"/>
  <c r="EM451" i="98"/>
  <c r="N452" i="98"/>
  <c r="AL452" i="98" s="1"/>
  <c r="V452" i="98"/>
  <c r="AD452" i="98"/>
  <c r="AP452" i="98" s="1"/>
  <c r="AT452" i="98"/>
  <c r="AX452" i="98"/>
  <c r="EI452" i="98"/>
  <c r="EM452" i="98"/>
  <c r="N453" i="98"/>
  <c r="AL453" i="98" s="1"/>
  <c r="V453" i="98"/>
  <c r="AD453" i="98"/>
  <c r="AP453" i="98" s="1"/>
  <c r="AT453" i="98"/>
  <c r="AX453" i="98"/>
  <c r="EI453" i="98"/>
  <c r="EM453" i="98"/>
  <c r="N454" i="98"/>
  <c r="AL454" i="98" s="1"/>
  <c r="V454" i="98"/>
  <c r="AD454" i="98"/>
  <c r="AP454" i="98" s="1"/>
  <c r="AT454" i="98"/>
  <c r="AX454" i="98"/>
  <c r="EI454" i="98"/>
  <c r="EM454" i="98"/>
  <c r="N455" i="98"/>
  <c r="AL455" i="98" s="1"/>
  <c r="V455" i="98"/>
  <c r="AD455" i="98"/>
  <c r="AP455" i="98" s="1"/>
  <c r="AT455" i="98"/>
  <c r="AX455" i="98"/>
  <c r="EI455" i="98"/>
  <c r="EM455" i="98"/>
  <c r="N456" i="98"/>
  <c r="AL456" i="98" s="1"/>
  <c r="V456" i="98"/>
  <c r="AD456" i="98"/>
  <c r="AP456" i="98" s="1"/>
  <c r="AT456" i="98"/>
  <c r="AX456" i="98"/>
  <c r="EI456" i="98"/>
  <c r="EM456" i="98"/>
  <c r="N457" i="98"/>
  <c r="AL457" i="98" s="1"/>
  <c r="V457" i="98"/>
  <c r="AD457" i="98"/>
  <c r="AP457" i="98" s="1"/>
  <c r="AT457" i="98"/>
  <c r="AX457" i="98"/>
  <c r="EI457" i="98"/>
  <c r="EM457" i="98"/>
  <c r="N458" i="98"/>
  <c r="AL458" i="98" s="1"/>
  <c r="V458" i="98"/>
  <c r="AD458" i="98"/>
  <c r="AP458" i="98" s="1"/>
  <c r="AT458" i="98"/>
  <c r="AX458" i="98"/>
  <c r="EI458" i="98"/>
  <c r="EM458" i="98"/>
  <c r="N459" i="98"/>
  <c r="AL459" i="98" s="1"/>
  <c r="V459" i="98"/>
  <c r="AD459" i="98"/>
  <c r="AP459" i="98" s="1"/>
  <c r="AT459" i="98"/>
  <c r="AX459" i="98"/>
  <c r="EI459" i="98"/>
  <c r="EM459" i="98"/>
  <c r="N460" i="98"/>
  <c r="AL460" i="98" s="1"/>
  <c r="V460" i="98"/>
  <c r="AD460" i="98"/>
  <c r="AP460" i="98" s="1"/>
  <c r="AT460" i="98"/>
  <c r="AX460" i="98"/>
  <c r="EI460" i="98"/>
  <c r="EM460" i="98"/>
  <c r="N461" i="98"/>
  <c r="AL461" i="98" s="1"/>
  <c r="BF461" i="98"/>
  <c r="BJ461" i="98"/>
  <c r="N462" i="98"/>
  <c r="AL462" i="98" s="1"/>
  <c r="BF462" i="98"/>
  <c r="BJ462" i="98"/>
  <c r="N463" i="98"/>
  <c r="AL463" i="98" s="1"/>
  <c r="V463" i="98"/>
  <c r="BF463" i="98"/>
  <c r="BJ463" i="98"/>
  <c r="N464" i="98"/>
  <c r="AL464" i="98" s="1"/>
  <c r="V464" i="98"/>
  <c r="BF464" i="98"/>
  <c r="BJ464" i="98"/>
  <c r="EU466" i="98"/>
  <c r="EV468" i="98"/>
  <c r="EV470" i="98"/>
  <c r="BK471" i="98"/>
  <c r="EO471" i="98"/>
  <c r="EV474" i="98"/>
  <c r="EV476" i="98"/>
  <c r="EV478" i="98"/>
  <c r="EV487" i="98"/>
  <c r="BG491" i="98"/>
  <c r="EK491" i="98"/>
  <c r="BG495" i="98"/>
  <c r="EK495" i="98"/>
  <c r="BG499" i="98"/>
  <c r="EK499" i="98"/>
  <c r="BK504" i="98"/>
  <c r="EO504" i="98"/>
  <c r="BG508" i="98"/>
  <c r="EK508" i="98"/>
  <c r="EK511" i="98"/>
  <c r="BG511" i="98"/>
  <c r="N414" i="98"/>
  <c r="AL414" i="98" s="1"/>
  <c r="O416" i="98"/>
  <c r="AM416" i="98" s="1"/>
  <c r="O418" i="98"/>
  <c r="AM418" i="98" s="1"/>
  <c r="O419" i="98"/>
  <c r="AM419" i="98" s="1"/>
  <c r="O420" i="98"/>
  <c r="AM420" i="98" s="1"/>
  <c r="O421" i="98"/>
  <c r="AM421" i="98" s="1"/>
  <c r="O422" i="98"/>
  <c r="AM422" i="98" s="1"/>
  <c r="O423" i="98"/>
  <c r="AM423" i="98" s="1"/>
  <c r="O424" i="98"/>
  <c r="AM424" i="98" s="1"/>
  <c r="O425" i="98"/>
  <c r="AM425" i="98" s="1"/>
  <c r="O426" i="98"/>
  <c r="AM426" i="98" s="1"/>
  <c r="O427" i="98"/>
  <c r="AM427" i="98" s="1"/>
  <c r="O428" i="98"/>
  <c r="AM428" i="98" s="1"/>
  <c r="O429" i="98"/>
  <c r="AM429" i="98" s="1"/>
  <c r="O430" i="98"/>
  <c r="AM430" i="98" s="1"/>
  <c r="O432" i="98"/>
  <c r="AM432" i="98" s="1"/>
  <c r="O433" i="98"/>
  <c r="AM433" i="98" s="1"/>
  <c r="O434" i="98"/>
  <c r="AM434" i="98" s="1"/>
  <c r="O435" i="98"/>
  <c r="AM435" i="98" s="1"/>
  <c r="O436" i="98"/>
  <c r="AM436" i="98" s="1"/>
  <c r="O437" i="98"/>
  <c r="AM437" i="98" s="1"/>
  <c r="O439" i="98"/>
  <c r="AM439" i="98" s="1"/>
  <c r="O440" i="98"/>
  <c r="AM440" i="98" s="1"/>
  <c r="O441" i="98"/>
  <c r="AM441" i="98" s="1"/>
  <c r="O442" i="98"/>
  <c r="AM442" i="98" s="1"/>
  <c r="W443" i="98"/>
  <c r="X444" i="98"/>
  <c r="X445" i="98"/>
  <c r="X446" i="98"/>
  <c r="P447" i="98"/>
  <c r="AN447" i="98" s="1"/>
  <c r="O448" i="98"/>
  <c r="AM448" i="98" s="1"/>
  <c r="O449" i="98"/>
  <c r="AM449" i="98" s="1"/>
  <c r="O450" i="98"/>
  <c r="AM450" i="98" s="1"/>
  <c r="O451" i="98"/>
  <c r="AM451" i="98" s="1"/>
  <c r="O452" i="98"/>
  <c r="AM452" i="98" s="1"/>
  <c r="O453" i="98"/>
  <c r="AM453" i="98" s="1"/>
  <c r="O454" i="98"/>
  <c r="AM454" i="98" s="1"/>
  <c r="O455" i="98"/>
  <c r="AM455" i="98" s="1"/>
  <c r="O456" i="98"/>
  <c r="AM456" i="98" s="1"/>
  <c r="O457" i="98"/>
  <c r="AM457" i="98" s="1"/>
  <c r="O458" i="98"/>
  <c r="AM458" i="98" s="1"/>
  <c r="O459" i="98"/>
  <c r="AM459" i="98" s="1"/>
  <c r="O460" i="98"/>
  <c r="AM460" i="98" s="1"/>
  <c r="O461" i="98"/>
  <c r="AM461" i="98" s="1"/>
  <c r="O462" i="98"/>
  <c r="AM462" i="98" s="1"/>
  <c r="O463" i="98"/>
  <c r="AM463" i="98" s="1"/>
  <c r="O464" i="98"/>
  <c r="AM464" i="98" s="1"/>
  <c r="N467" i="98"/>
  <c r="AL467" i="98" s="1"/>
  <c r="AT467" i="98"/>
  <c r="BE467" i="98"/>
  <c r="EL467" i="98"/>
  <c r="EV486" i="98"/>
  <c r="BK491" i="98"/>
  <c r="EO491" i="98"/>
  <c r="BK495" i="98"/>
  <c r="EO495" i="98"/>
  <c r="BK499" i="98"/>
  <c r="EO499" i="98"/>
  <c r="BK508" i="98"/>
  <c r="EO508" i="98"/>
  <c r="AZ469" i="98"/>
  <c r="EO469" i="98"/>
  <c r="AX470" i="98"/>
  <c r="EM470" i="98"/>
  <c r="AZ471" i="98"/>
  <c r="AX472" i="98"/>
  <c r="EM472" i="98"/>
  <c r="AZ473" i="98"/>
  <c r="EO473" i="98"/>
  <c r="AX474" i="98"/>
  <c r="EM474" i="98"/>
  <c r="AZ475" i="98"/>
  <c r="EO475" i="98"/>
  <c r="AX476" i="98"/>
  <c r="EM476" i="98"/>
  <c r="M477" i="98"/>
  <c r="AK477" i="98" s="1"/>
  <c r="U477" i="98"/>
  <c r="AC477" i="98"/>
  <c r="AO477" i="98" s="1"/>
  <c r="EH477" i="98"/>
  <c r="EV477" i="98" s="1"/>
  <c r="EL477" i="98"/>
  <c r="EP477" i="98"/>
  <c r="AU478" i="98"/>
  <c r="AY478" i="98"/>
  <c r="EJ478" i="98"/>
  <c r="EN478" i="98"/>
  <c r="EL479" i="98"/>
  <c r="EP479" i="98"/>
  <c r="AU480" i="98"/>
  <c r="AY480" i="98"/>
  <c r="EJ480" i="98"/>
  <c r="EN480" i="98"/>
  <c r="EV480" i="98"/>
  <c r="V481" i="98"/>
  <c r="AD481" i="98"/>
  <c r="AP481" i="98" s="1"/>
  <c r="AT481" i="98"/>
  <c r="AX481" i="98"/>
  <c r="BB481" i="98"/>
  <c r="ER481" i="98" s="1"/>
  <c r="EI481" i="98"/>
  <c r="EM481" i="98"/>
  <c r="EQ481" i="98"/>
  <c r="AX482" i="98"/>
  <c r="BG482" i="98"/>
  <c r="EV482" i="98"/>
  <c r="V483" i="98"/>
  <c r="AD483" i="98"/>
  <c r="AP483" i="98" s="1"/>
  <c r="AT483" i="98"/>
  <c r="AX483" i="98"/>
  <c r="BB483" i="98"/>
  <c r="ER483" i="98" s="1"/>
  <c r="EI483" i="98"/>
  <c r="EM483" i="98"/>
  <c r="EQ483" i="98"/>
  <c r="M484" i="98"/>
  <c r="AK484" i="98" s="1"/>
  <c r="U484" i="98"/>
  <c r="AC484" i="98"/>
  <c r="AO484" i="98" s="1"/>
  <c r="EH484" i="98"/>
  <c r="EL484" i="98"/>
  <c r="EP484" i="98"/>
  <c r="AY485" i="98"/>
  <c r="EN485" i="98"/>
  <c r="EV485" i="98"/>
  <c r="EL486" i="98"/>
  <c r="EP486" i="98"/>
  <c r="EU486" i="98" s="1"/>
  <c r="AU487" i="98"/>
  <c r="AY487" i="98"/>
  <c r="EJ487" i="98"/>
  <c r="EN487" i="98"/>
  <c r="EL488" i="98"/>
  <c r="EP488" i="98"/>
  <c r="AU489" i="98"/>
  <c r="AY489" i="98"/>
  <c r="EJ489" i="98"/>
  <c r="EN489" i="98"/>
  <c r="EL490" i="98"/>
  <c r="EP490" i="98"/>
  <c r="EU490" i="98" s="1"/>
  <c r="P491" i="98"/>
  <c r="AN491" i="98" s="1"/>
  <c r="X491" i="98"/>
  <c r="AV491" i="98"/>
  <c r="AZ491" i="98"/>
  <c r="BD491" i="98"/>
  <c r="ET491" i="98" s="1"/>
  <c r="EG491" i="98"/>
  <c r="O492" i="98"/>
  <c r="AM492" i="98" s="1"/>
  <c r="AE492" i="98"/>
  <c r="AQ492" i="98" s="1"/>
  <c r="AU492" i="98"/>
  <c r="AY492" i="98"/>
  <c r="EF492" i="98"/>
  <c r="EJ492" i="98"/>
  <c r="EN492" i="98"/>
  <c r="V493" i="98"/>
  <c r="AD493" i="98"/>
  <c r="AP493" i="98" s="1"/>
  <c r="AT493" i="98"/>
  <c r="AX493" i="98"/>
  <c r="EI493" i="98"/>
  <c r="EM493" i="98"/>
  <c r="M494" i="98"/>
  <c r="AK494" i="98" s="1"/>
  <c r="U494" i="98"/>
  <c r="AC494" i="98"/>
  <c r="AO494" i="98" s="1"/>
  <c r="EH494" i="98"/>
  <c r="EL494" i="98"/>
  <c r="EP494" i="98"/>
  <c r="P495" i="98"/>
  <c r="AN495" i="98" s="1"/>
  <c r="X495" i="98"/>
  <c r="AV495" i="98"/>
  <c r="AZ495" i="98"/>
  <c r="EG495" i="98"/>
  <c r="EV495" i="98" s="1"/>
  <c r="O496" i="98"/>
  <c r="AM496" i="98" s="1"/>
  <c r="AE496" i="98"/>
  <c r="AQ496" i="98" s="1"/>
  <c r="AU496" i="98"/>
  <c r="AY496" i="98"/>
  <c r="EF496" i="98"/>
  <c r="EJ496" i="98"/>
  <c r="EN496" i="98"/>
  <c r="V497" i="98"/>
  <c r="AD497" i="98"/>
  <c r="AP497" i="98" s="1"/>
  <c r="AT497" i="98"/>
  <c r="AX497" i="98"/>
  <c r="EI497" i="98"/>
  <c r="EM497" i="98"/>
  <c r="M498" i="98"/>
  <c r="AK498" i="98" s="1"/>
  <c r="U498" i="98"/>
  <c r="AC498" i="98"/>
  <c r="AO498" i="98" s="1"/>
  <c r="EH498" i="98"/>
  <c r="EL498" i="98"/>
  <c r="EP498" i="98"/>
  <c r="P499" i="98"/>
  <c r="AN499" i="98" s="1"/>
  <c r="X499" i="98"/>
  <c r="AV499" i="98"/>
  <c r="AZ499" i="98"/>
  <c r="EG499" i="98"/>
  <c r="EV499" i="98" s="1"/>
  <c r="O500" i="98"/>
  <c r="AM500" i="98" s="1"/>
  <c r="AE500" i="98"/>
  <c r="AQ500" i="98" s="1"/>
  <c r="AU500" i="98"/>
  <c r="AY500" i="98"/>
  <c r="EF500" i="98"/>
  <c r="EJ500" i="98"/>
  <c r="EN500" i="98"/>
  <c r="AY501" i="98"/>
  <c r="EJ501" i="98"/>
  <c r="EN501" i="98"/>
  <c r="V502" i="98"/>
  <c r="AD502" i="98"/>
  <c r="AP502" i="98" s="1"/>
  <c r="AT502" i="98"/>
  <c r="AX502" i="98"/>
  <c r="EI502" i="98"/>
  <c r="EM502" i="98"/>
  <c r="M503" i="98"/>
  <c r="AK503" i="98" s="1"/>
  <c r="U503" i="98"/>
  <c r="AC503" i="98"/>
  <c r="AO503" i="98" s="1"/>
  <c r="EH503" i="98"/>
  <c r="EL503" i="98"/>
  <c r="EP503" i="98"/>
  <c r="P504" i="98"/>
  <c r="AN504" i="98" s="1"/>
  <c r="X504" i="98"/>
  <c r="AV504" i="98"/>
  <c r="AZ504" i="98"/>
  <c r="EG504" i="98"/>
  <c r="EV504" i="98" s="1"/>
  <c r="O505" i="98"/>
  <c r="AM505" i="98" s="1"/>
  <c r="AE505" i="98"/>
  <c r="AQ505" i="98" s="1"/>
  <c r="AU505" i="98"/>
  <c r="AY505" i="98"/>
  <c r="EF505" i="98"/>
  <c r="EJ505" i="98"/>
  <c r="EN505" i="98"/>
  <c r="V506" i="98"/>
  <c r="AD506" i="98"/>
  <c r="AP506" i="98" s="1"/>
  <c r="AT506" i="98"/>
  <c r="AX506" i="98"/>
  <c r="EI506" i="98"/>
  <c r="EM506" i="98"/>
  <c r="AC507" i="98"/>
  <c r="AO507" i="98" s="1"/>
  <c r="EH507" i="98"/>
  <c r="EL507" i="98"/>
  <c r="EP507" i="98"/>
  <c r="P508" i="98"/>
  <c r="AN508" i="98" s="1"/>
  <c r="X508" i="98"/>
  <c r="AV508" i="98"/>
  <c r="AZ508" i="98"/>
  <c r="EG508" i="98"/>
  <c r="EV508" i="98" s="1"/>
  <c r="O509" i="98"/>
  <c r="AM509" i="98" s="1"/>
  <c r="AE509" i="98"/>
  <c r="AQ509" i="98" s="1"/>
  <c r="AU509" i="98"/>
  <c r="AY509" i="98"/>
  <c r="EF509" i="98"/>
  <c r="EJ509" i="98"/>
  <c r="EN509" i="98"/>
  <c r="N510" i="98"/>
  <c r="AL510" i="98" s="1"/>
  <c r="AD510" i="98"/>
  <c r="AP510" i="98" s="1"/>
  <c r="AT510" i="98"/>
  <c r="AX510" i="98"/>
  <c r="EI510" i="98"/>
  <c r="AE512" i="98"/>
  <c r="AQ512" i="98" s="1"/>
  <c r="EH512" i="98"/>
  <c r="AC512" i="98"/>
  <c r="AO512" i="98" s="1"/>
  <c r="BF512" i="98"/>
  <c r="EO512" i="98"/>
  <c r="V513" i="98"/>
  <c r="EG513" i="98"/>
  <c r="EV513" i="98" s="1"/>
  <c r="X513" i="98"/>
  <c r="U513" i="98"/>
  <c r="EI513" i="98"/>
  <c r="AT513" i="98"/>
  <c r="AV513" i="98"/>
  <c r="BL514" i="98"/>
  <c r="EF516" i="98"/>
  <c r="O516" i="98"/>
  <c r="AM516" i="98" s="1"/>
  <c r="M516" i="98"/>
  <c r="AK516" i="98" s="1"/>
  <c r="P516" i="98"/>
  <c r="AN516" i="98" s="1"/>
  <c r="BG516" i="98"/>
  <c r="EK516" i="98"/>
  <c r="BF516" i="98"/>
  <c r="BL518" i="98"/>
  <c r="EG519" i="98"/>
  <c r="X519" i="98"/>
  <c r="V519" i="98"/>
  <c r="U519" i="98"/>
  <c r="EF520" i="98"/>
  <c r="O520" i="98"/>
  <c r="AM520" i="98" s="1"/>
  <c r="M520" i="98"/>
  <c r="AK520" i="98" s="1"/>
  <c r="P520" i="98"/>
  <c r="AN520" i="98" s="1"/>
  <c r="BL522" i="98"/>
  <c r="EG523" i="98"/>
  <c r="EV523" i="98" s="1"/>
  <c r="X523" i="98"/>
  <c r="V523" i="98"/>
  <c r="U523" i="98"/>
  <c r="EF524" i="98"/>
  <c r="O524" i="98"/>
  <c r="AM524" i="98" s="1"/>
  <c r="M524" i="98"/>
  <c r="AK524" i="98" s="1"/>
  <c r="P524" i="98"/>
  <c r="AN524" i="98" s="1"/>
  <c r="BG524" i="98"/>
  <c r="EK524" i="98"/>
  <c r="BF524" i="98"/>
  <c r="BL526" i="98"/>
  <c r="EG527" i="98"/>
  <c r="EV527" i="98" s="1"/>
  <c r="X527" i="98"/>
  <c r="V527" i="98"/>
  <c r="U527" i="98"/>
  <c r="EF528" i="98"/>
  <c r="O528" i="98"/>
  <c r="AM528" i="98" s="1"/>
  <c r="M528" i="98"/>
  <c r="AK528" i="98" s="1"/>
  <c r="P528" i="98"/>
  <c r="AN528" i="98" s="1"/>
  <c r="BG528" i="98"/>
  <c r="EK528" i="98"/>
  <c r="BF528" i="98"/>
  <c r="BL530" i="98"/>
  <c r="EG531" i="98"/>
  <c r="X531" i="98"/>
  <c r="V531" i="98"/>
  <c r="U531" i="98"/>
  <c r="BL535" i="98"/>
  <c r="EP535" i="98"/>
  <c r="BL540" i="98"/>
  <c r="EP540" i="98"/>
  <c r="BL544" i="98"/>
  <c r="EP544" i="98"/>
  <c r="BG545" i="98"/>
  <c r="EK545" i="98"/>
  <c r="BL548" i="98"/>
  <c r="EP548" i="98"/>
  <c r="BI469" i="98"/>
  <c r="AY470" i="98"/>
  <c r="BI471" i="98"/>
  <c r="BK472" i="98"/>
  <c r="BI473" i="98"/>
  <c r="AY474" i="98"/>
  <c r="BI475" i="98"/>
  <c r="AY476" i="98"/>
  <c r="N477" i="98"/>
  <c r="AL477" i="98" s="1"/>
  <c r="AD477" i="98"/>
  <c r="AP477" i="98" s="1"/>
  <c r="BJ477" i="98"/>
  <c r="BH478" i="98"/>
  <c r="BL478" i="98"/>
  <c r="BF479" i="98"/>
  <c r="BJ479" i="98"/>
  <c r="BH480" i="98"/>
  <c r="BL480" i="98"/>
  <c r="W481" i="98"/>
  <c r="AY481" i="98"/>
  <c r="BC481" i="98"/>
  <c r="ES481" i="98" s="1"/>
  <c r="AY482" i="98"/>
  <c r="W483" i="98"/>
  <c r="AU483" i="98"/>
  <c r="AY483" i="98"/>
  <c r="BC483" i="98"/>
  <c r="ES483" i="98" s="1"/>
  <c r="N484" i="98"/>
  <c r="AL484" i="98" s="1"/>
  <c r="AD484" i="98"/>
  <c r="AP484" i="98" s="1"/>
  <c r="BJ484" i="98"/>
  <c r="BL485" i="98"/>
  <c r="BF486" i="98"/>
  <c r="BJ486" i="98"/>
  <c r="BH487" i="98"/>
  <c r="BL487" i="98"/>
  <c r="BF488" i="98"/>
  <c r="BJ488" i="98"/>
  <c r="BH489" i="98"/>
  <c r="BL489" i="98"/>
  <c r="BF490" i="98"/>
  <c r="BJ490" i="98"/>
  <c r="BE491" i="98"/>
  <c r="BI491" i="98"/>
  <c r="AF492" i="98"/>
  <c r="AR492" i="98" s="1"/>
  <c r="BH492" i="98"/>
  <c r="BL492" i="98"/>
  <c r="W493" i="98"/>
  <c r="BG493" i="98"/>
  <c r="BK493" i="98"/>
  <c r="N494" i="98"/>
  <c r="AL494" i="98" s="1"/>
  <c r="BF494" i="98"/>
  <c r="BJ494" i="98"/>
  <c r="BE495" i="98"/>
  <c r="BI495" i="98"/>
  <c r="AF496" i="98"/>
  <c r="AR496" i="98" s="1"/>
  <c r="BH496" i="98"/>
  <c r="BL496" i="98"/>
  <c r="W497" i="98"/>
  <c r="BG497" i="98"/>
  <c r="BK497" i="98"/>
  <c r="N498" i="98"/>
  <c r="AL498" i="98" s="1"/>
  <c r="BF498" i="98"/>
  <c r="BJ498" i="98"/>
  <c r="BE499" i="98"/>
  <c r="BI499" i="98"/>
  <c r="AF500" i="98"/>
  <c r="AR500" i="98" s="1"/>
  <c r="BH500" i="98"/>
  <c r="BL500" i="98"/>
  <c r="BH501" i="98"/>
  <c r="BL501" i="98"/>
  <c r="W502" i="98"/>
  <c r="BG502" i="98"/>
  <c r="BK502" i="98"/>
  <c r="N503" i="98"/>
  <c r="AL503" i="98" s="1"/>
  <c r="BF503" i="98"/>
  <c r="BJ503" i="98"/>
  <c r="BE504" i="98"/>
  <c r="BI504" i="98"/>
  <c r="AF505" i="98"/>
  <c r="AR505" i="98" s="1"/>
  <c r="BH505" i="98"/>
  <c r="BL505" i="98"/>
  <c r="W506" i="98"/>
  <c r="BG506" i="98"/>
  <c r="BK506" i="98"/>
  <c r="BF507" i="98"/>
  <c r="BJ507" i="98"/>
  <c r="BE508" i="98"/>
  <c r="BI508" i="98"/>
  <c r="AF509" i="98"/>
  <c r="AR509" i="98" s="1"/>
  <c r="BH509" i="98"/>
  <c r="BL509" i="98"/>
  <c r="BG510" i="98"/>
  <c r="BK510" i="98"/>
  <c r="AZ511" i="98"/>
  <c r="EM511" i="98"/>
  <c r="AX511" i="98"/>
  <c r="BH512" i="98"/>
  <c r="EH514" i="98"/>
  <c r="AC514" i="98"/>
  <c r="AO514" i="98" s="1"/>
  <c r="AE514" i="98"/>
  <c r="AQ514" i="98" s="1"/>
  <c r="BF514" i="98"/>
  <c r="EG515" i="98"/>
  <c r="X515" i="98"/>
  <c r="V515" i="98"/>
  <c r="U515" i="98"/>
  <c r="AV515" i="98"/>
  <c r="EI515" i="98"/>
  <c r="AT515" i="98"/>
  <c r="EH518" i="98"/>
  <c r="AC518" i="98"/>
  <c r="AO518" i="98" s="1"/>
  <c r="AE518" i="98"/>
  <c r="AQ518" i="98" s="1"/>
  <c r="AD518" i="98"/>
  <c r="AP518" i="98" s="1"/>
  <c r="BL519" i="98"/>
  <c r="EP519" i="98"/>
  <c r="EH522" i="98"/>
  <c r="AC522" i="98"/>
  <c r="AO522" i="98" s="1"/>
  <c r="AE522" i="98"/>
  <c r="AQ522" i="98" s="1"/>
  <c r="AD522" i="98"/>
  <c r="AP522" i="98" s="1"/>
  <c r="BL523" i="98"/>
  <c r="EP523" i="98"/>
  <c r="EH526" i="98"/>
  <c r="AC526" i="98"/>
  <c r="AO526" i="98" s="1"/>
  <c r="AE526" i="98"/>
  <c r="AQ526" i="98" s="1"/>
  <c r="AD526" i="98"/>
  <c r="AP526" i="98" s="1"/>
  <c r="BL527" i="98"/>
  <c r="EP527" i="98"/>
  <c r="EH530" i="98"/>
  <c r="AC530" i="98"/>
  <c r="AO530" i="98" s="1"/>
  <c r="AE530" i="98"/>
  <c r="AQ530" i="98" s="1"/>
  <c r="AD530" i="98"/>
  <c r="AP530" i="98" s="1"/>
  <c r="BL531" i="98"/>
  <c r="EP531" i="98"/>
  <c r="BK532" i="98"/>
  <c r="EO532" i="98"/>
  <c r="BL536" i="98"/>
  <c r="EP536" i="98"/>
  <c r="BK537" i="98"/>
  <c r="EO537" i="98"/>
  <c r="BK541" i="98"/>
  <c r="EO541" i="98"/>
  <c r="AU562" i="98"/>
  <c r="BE562" i="98"/>
  <c r="AV562" i="98"/>
  <c r="EI562" i="98"/>
  <c r="AT562" i="98"/>
  <c r="AU578" i="98"/>
  <c r="AV578" i="98"/>
  <c r="AT578" i="98"/>
  <c r="BJ469" i="98"/>
  <c r="AZ470" i="98"/>
  <c r="AX471" i="98"/>
  <c r="EM471" i="98"/>
  <c r="AZ472" i="98"/>
  <c r="AX473" i="98"/>
  <c r="AZ474" i="98"/>
  <c r="AX475" i="98"/>
  <c r="AZ476" i="98"/>
  <c r="O477" i="98"/>
  <c r="AM477" i="98" s="1"/>
  <c r="AE477" i="98"/>
  <c r="AQ477" i="98" s="1"/>
  <c r="X481" i="98"/>
  <c r="AZ481" i="98"/>
  <c r="AZ482" i="98"/>
  <c r="BI482" i="98"/>
  <c r="X483" i="98"/>
  <c r="AV483" i="98"/>
  <c r="AZ483" i="98"/>
  <c r="O484" i="98"/>
  <c r="AM484" i="98" s="1"/>
  <c r="AE484" i="98"/>
  <c r="AQ484" i="98" s="1"/>
  <c r="V491" i="98"/>
  <c r="AT491" i="98"/>
  <c r="AX491" i="98"/>
  <c r="BB491" i="98"/>
  <c r="ER491" i="98" s="1"/>
  <c r="EI491" i="98"/>
  <c r="EM491" i="98"/>
  <c r="EQ491" i="98"/>
  <c r="M492" i="98"/>
  <c r="AK492" i="98" s="1"/>
  <c r="AC492" i="98"/>
  <c r="AO492" i="98" s="1"/>
  <c r="EH492" i="98"/>
  <c r="EV492" i="98" s="1"/>
  <c r="X493" i="98"/>
  <c r="AV493" i="98"/>
  <c r="AZ493" i="98"/>
  <c r="EG493" i="98"/>
  <c r="EV493" i="98" s="1"/>
  <c r="O494" i="98"/>
  <c r="AM494" i="98" s="1"/>
  <c r="AE494" i="98"/>
  <c r="AQ494" i="98" s="1"/>
  <c r="EF494" i="98"/>
  <c r="EU494" i="98" s="1"/>
  <c r="V495" i="98"/>
  <c r="AT495" i="98"/>
  <c r="AX495" i="98"/>
  <c r="EI495" i="98"/>
  <c r="EM495" i="98"/>
  <c r="M496" i="98"/>
  <c r="AK496" i="98" s="1"/>
  <c r="AC496" i="98"/>
  <c r="AO496" i="98" s="1"/>
  <c r="EH496" i="98"/>
  <c r="X497" i="98"/>
  <c r="AV497" i="98"/>
  <c r="AZ497" i="98"/>
  <c r="EG497" i="98"/>
  <c r="EV497" i="98" s="1"/>
  <c r="O498" i="98"/>
  <c r="AM498" i="98" s="1"/>
  <c r="AE498" i="98"/>
  <c r="AQ498" i="98" s="1"/>
  <c r="EF498" i="98"/>
  <c r="V499" i="98"/>
  <c r="AT499" i="98"/>
  <c r="AX499" i="98"/>
  <c r="EI499" i="98"/>
  <c r="EM499" i="98"/>
  <c r="M500" i="98"/>
  <c r="AK500" i="98" s="1"/>
  <c r="AC500" i="98"/>
  <c r="AO500" i="98" s="1"/>
  <c r="EH500" i="98"/>
  <c r="X502" i="98"/>
  <c r="AV502" i="98"/>
  <c r="AZ502" i="98"/>
  <c r="EG502" i="98"/>
  <c r="EV502" i="98" s="1"/>
  <c r="O503" i="98"/>
  <c r="AM503" i="98" s="1"/>
  <c r="AE503" i="98"/>
  <c r="AQ503" i="98" s="1"/>
  <c r="EF503" i="98"/>
  <c r="EV503" i="98" s="1"/>
  <c r="V504" i="98"/>
  <c r="AT504" i="98"/>
  <c r="AX504" i="98"/>
  <c r="EI504" i="98"/>
  <c r="EM504" i="98"/>
  <c r="M505" i="98"/>
  <c r="AK505" i="98" s="1"/>
  <c r="AC505" i="98"/>
  <c r="AO505" i="98" s="1"/>
  <c r="EH505" i="98"/>
  <c r="X506" i="98"/>
  <c r="AV506" i="98"/>
  <c r="AZ506" i="98"/>
  <c r="EG506" i="98"/>
  <c r="EV506" i="98" s="1"/>
  <c r="AE507" i="98"/>
  <c r="AQ507" i="98" s="1"/>
  <c r="V508" i="98"/>
  <c r="AT508" i="98"/>
  <c r="AX508" i="98"/>
  <c r="EI508" i="98"/>
  <c r="EM508" i="98"/>
  <c r="M509" i="98"/>
  <c r="AK509" i="98" s="1"/>
  <c r="AC509" i="98"/>
  <c r="AO509" i="98" s="1"/>
  <c r="EH509" i="98"/>
  <c r="AF510" i="98"/>
  <c r="AR510" i="98" s="1"/>
  <c r="AV510" i="98"/>
  <c r="AZ510" i="98"/>
  <c r="EM510" i="98"/>
  <c r="AY511" i="98"/>
  <c r="EF512" i="98"/>
  <c r="O512" i="98"/>
  <c r="AM512" i="98" s="1"/>
  <c r="M512" i="98"/>
  <c r="AK512" i="98" s="1"/>
  <c r="P512" i="98"/>
  <c r="AN512" i="98" s="1"/>
  <c r="BJ512" i="98"/>
  <c r="EK512" i="98"/>
  <c r="EM513" i="98"/>
  <c r="AX513" i="98"/>
  <c r="AZ513" i="98"/>
  <c r="AD514" i="98"/>
  <c r="AP514" i="98" s="1"/>
  <c r="BH514" i="98"/>
  <c r="W515" i="98"/>
  <c r="AU515" i="98"/>
  <c r="AE516" i="98"/>
  <c r="AQ516" i="98" s="1"/>
  <c r="EH516" i="98"/>
  <c r="AC516" i="98"/>
  <c r="AO516" i="98" s="1"/>
  <c r="AF516" i="98"/>
  <c r="AR516" i="98" s="1"/>
  <c r="EI517" i="98"/>
  <c r="AT517" i="98"/>
  <c r="AV517" i="98"/>
  <c r="AU517" i="98"/>
  <c r="BK519" i="98"/>
  <c r="BF520" i="98"/>
  <c r="EI521" i="98"/>
  <c r="AT521" i="98"/>
  <c r="AV521" i="98"/>
  <c r="AU521" i="98"/>
  <c r="BK523" i="98"/>
  <c r="EI525" i="98"/>
  <c r="AT525" i="98"/>
  <c r="AV525" i="98"/>
  <c r="AU525" i="98"/>
  <c r="BK527" i="98"/>
  <c r="EI529" i="98"/>
  <c r="AT529" i="98"/>
  <c r="AV529" i="98"/>
  <c r="AU529" i="98"/>
  <c r="EV531" i="98"/>
  <c r="BK531" i="98"/>
  <c r="BG532" i="98"/>
  <c r="EK532" i="98"/>
  <c r="EV535" i="98"/>
  <c r="BH535" i="98"/>
  <c r="EL535" i="98"/>
  <c r="BG537" i="98"/>
  <c r="EK537" i="98"/>
  <c r="EV540" i="98"/>
  <c r="BH540" i="98"/>
  <c r="EL540" i="98"/>
  <c r="BG541" i="98"/>
  <c r="EK541" i="98"/>
  <c r="EG511" i="98"/>
  <c r="X511" i="98"/>
  <c r="V511" i="98"/>
  <c r="U511" i="98"/>
  <c r="AV511" i="98"/>
  <c r="EI511" i="98"/>
  <c r="AT511" i="98"/>
  <c r="BI511" i="98"/>
  <c r="BG513" i="98"/>
  <c r="M514" i="98"/>
  <c r="AK514" i="98" s="1"/>
  <c r="EF514" i="98"/>
  <c r="EV514" i="98" s="1"/>
  <c r="O514" i="98"/>
  <c r="AM514" i="98" s="1"/>
  <c r="P514" i="98"/>
  <c r="AN514" i="98" s="1"/>
  <c r="AF514" i="98"/>
  <c r="AR514" i="98" s="1"/>
  <c r="AZ515" i="98"/>
  <c r="EM515" i="98"/>
  <c r="AX515" i="98"/>
  <c r="BE515" i="98"/>
  <c r="BK516" i="98"/>
  <c r="EO516" i="98"/>
  <c r="EM517" i="98"/>
  <c r="AX517" i="98"/>
  <c r="AZ517" i="98"/>
  <c r="AY517" i="98"/>
  <c r="BH518" i="98"/>
  <c r="BH519" i="98"/>
  <c r="EL519" i="98"/>
  <c r="BJ520" i="98"/>
  <c r="EM521" i="98"/>
  <c r="AX521" i="98"/>
  <c r="AZ521" i="98"/>
  <c r="AY521" i="98"/>
  <c r="BH522" i="98"/>
  <c r="BH523" i="98"/>
  <c r="EL523" i="98"/>
  <c r="BK524" i="98"/>
  <c r="EO524" i="98"/>
  <c r="EM525" i="98"/>
  <c r="AX525" i="98"/>
  <c r="AZ525" i="98"/>
  <c r="AY525" i="98"/>
  <c r="BH526" i="98"/>
  <c r="BH527" i="98"/>
  <c r="EL527" i="98"/>
  <c r="BK528" i="98"/>
  <c r="EO528" i="98"/>
  <c r="EM529" i="98"/>
  <c r="AX529" i="98"/>
  <c r="AZ529" i="98"/>
  <c r="AY529" i="98"/>
  <c r="BH530" i="98"/>
  <c r="BH531" i="98"/>
  <c r="EL531" i="98"/>
  <c r="BH544" i="98"/>
  <c r="EL544" i="98"/>
  <c r="BK545" i="98"/>
  <c r="EO545" i="98"/>
  <c r="BH548" i="98"/>
  <c r="EL548" i="98"/>
  <c r="BH516" i="98"/>
  <c r="BL516" i="98"/>
  <c r="W517" i="98"/>
  <c r="N518" i="98"/>
  <c r="AL518" i="98" s="1"/>
  <c r="BF518" i="98"/>
  <c r="BJ518" i="98"/>
  <c r="BE519" i="98"/>
  <c r="BI519" i="98"/>
  <c r="AF520" i="98"/>
  <c r="AR520" i="98" s="1"/>
  <c r="BH520" i="98"/>
  <c r="BL520" i="98"/>
  <c r="W521" i="98"/>
  <c r="N522" i="98"/>
  <c r="AL522" i="98" s="1"/>
  <c r="BF522" i="98"/>
  <c r="BJ522" i="98"/>
  <c r="BE523" i="98"/>
  <c r="BI523" i="98"/>
  <c r="AF524" i="98"/>
  <c r="AR524" i="98" s="1"/>
  <c r="BH524" i="98"/>
  <c r="BL524" i="98"/>
  <c r="W525" i="98"/>
  <c r="N526" i="98"/>
  <c r="AL526" i="98" s="1"/>
  <c r="BF526" i="98"/>
  <c r="BJ526" i="98"/>
  <c r="BE527" i="98"/>
  <c r="BI527" i="98"/>
  <c r="AF528" i="98"/>
  <c r="AR528" i="98" s="1"/>
  <c r="BH528" i="98"/>
  <c r="BL528" i="98"/>
  <c r="W529" i="98"/>
  <c r="N530" i="98"/>
  <c r="AL530" i="98" s="1"/>
  <c r="BF530" i="98"/>
  <c r="BJ530" i="98"/>
  <c r="BE531" i="98"/>
  <c r="BI531" i="98"/>
  <c r="P532" i="98"/>
  <c r="AN532" i="98" s="1"/>
  <c r="AF532" i="98"/>
  <c r="AR532" i="98" s="1"/>
  <c r="BH532" i="98"/>
  <c r="BL532" i="98"/>
  <c r="W533" i="98"/>
  <c r="AU533" i="98"/>
  <c r="AY533" i="98"/>
  <c r="N534" i="98"/>
  <c r="AL534" i="98" s="1"/>
  <c r="AD534" i="98"/>
  <c r="AP534" i="98" s="1"/>
  <c r="BF534" i="98"/>
  <c r="BJ534" i="98"/>
  <c r="U535" i="98"/>
  <c r="BE535" i="98"/>
  <c r="BI535" i="98"/>
  <c r="BI536" i="98"/>
  <c r="P537" i="98"/>
  <c r="AN537" i="98" s="1"/>
  <c r="AF537" i="98"/>
  <c r="AR537" i="98" s="1"/>
  <c r="BH537" i="98"/>
  <c r="BL537" i="98"/>
  <c r="W538" i="98"/>
  <c r="AU538" i="98"/>
  <c r="AY538" i="98"/>
  <c r="N539" i="98"/>
  <c r="AL539" i="98" s="1"/>
  <c r="AD539" i="98"/>
  <c r="AP539" i="98" s="1"/>
  <c r="BF539" i="98"/>
  <c r="BJ539" i="98"/>
  <c r="U540" i="98"/>
  <c r="BE540" i="98"/>
  <c r="BI540" i="98"/>
  <c r="P541" i="98"/>
  <c r="AN541" i="98" s="1"/>
  <c r="AF541" i="98"/>
  <c r="AR541" i="98" s="1"/>
  <c r="BH541" i="98"/>
  <c r="BL541" i="98"/>
  <c r="W542" i="98"/>
  <c r="AU542" i="98"/>
  <c r="AY542" i="98"/>
  <c r="N543" i="98"/>
  <c r="AL543" i="98" s="1"/>
  <c r="AD543" i="98"/>
  <c r="AP543" i="98" s="1"/>
  <c r="BF543" i="98"/>
  <c r="BJ543" i="98"/>
  <c r="BE544" i="98"/>
  <c r="BI544" i="98"/>
  <c r="AF545" i="98"/>
  <c r="AR545" i="98" s="1"/>
  <c r="BH545" i="98"/>
  <c r="BL545" i="98"/>
  <c r="W546" i="98"/>
  <c r="BG546" i="98"/>
  <c r="BK546" i="98"/>
  <c r="N547" i="98"/>
  <c r="AL547" i="98" s="1"/>
  <c r="BF547" i="98"/>
  <c r="BJ547" i="98"/>
  <c r="BE548" i="98"/>
  <c r="BI548" i="98"/>
  <c r="AF549" i="98"/>
  <c r="AR549" i="98" s="1"/>
  <c r="EH549" i="98"/>
  <c r="AC549" i="98"/>
  <c r="AO549" i="98" s="1"/>
  <c r="AE549" i="98"/>
  <c r="AQ549" i="98" s="1"/>
  <c r="BL549" i="98"/>
  <c r="EP549" i="98"/>
  <c r="AU550" i="98"/>
  <c r="AV550" i="98"/>
  <c r="EI550" i="98"/>
  <c r="AD551" i="98"/>
  <c r="AP551" i="98" s="1"/>
  <c r="AE551" i="98"/>
  <c r="AQ551" i="98" s="1"/>
  <c r="EH551" i="98"/>
  <c r="EH552" i="98"/>
  <c r="AC552" i="98"/>
  <c r="AO552" i="98" s="1"/>
  <c r="AD552" i="98"/>
  <c r="AP552" i="98" s="1"/>
  <c r="BG552" i="98"/>
  <c r="P553" i="98"/>
  <c r="AN553" i="98" s="1"/>
  <c r="M553" i="98"/>
  <c r="AK553" i="98" s="1"/>
  <c r="O553" i="98"/>
  <c r="AM553" i="98" s="1"/>
  <c r="BL553" i="98"/>
  <c r="EP553" i="98"/>
  <c r="AU554" i="98"/>
  <c r="AV554" i="98"/>
  <c r="EI554" i="98"/>
  <c r="AD555" i="98"/>
  <c r="AP555" i="98" s="1"/>
  <c r="AE555" i="98"/>
  <c r="AQ555" i="98" s="1"/>
  <c r="EL555" i="98"/>
  <c r="BL556" i="98"/>
  <c r="EF558" i="98"/>
  <c r="O558" i="98"/>
  <c r="AM558" i="98" s="1"/>
  <c r="M558" i="98"/>
  <c r="AK558" i="98" s="1"/>
  <c r="P558" i="98"/>
  <c r="AN558" i="98" s="1"/>
  <c r="BG558" i="98"/>
  <c r="EK558" i="98"/>
  <c r="EI559" i="98"/>
  <c r="AT559" i="98"/>
  <c r="AV559" i="98"/>
  <c r="AU559" i="98"/>
  <c r="CY562" i="98"/>
  <c r="DA562" i="98"/>
  <c r="DI562" i="98" s="1"/>
  <c r="AW562" i="98"/>
  <c r="CZ562" i="98"/>
  <c r="DH562" i="98" s="1"/>
  <c r="EQ563" i="98"/>
  <c r="BB563" i="98"/>
  <c r="ER563" i="98" s="1"/>
  <c r="BD563" i="98"/>
  <c r="ET563" i="98" s="1"/>
  <c r="BC563" i="98"/>
  <c r="ES563" i="98" s="1"/>
  <c r="EF566" i="98"/>
  <c r="O566" i="98"/>
  <c r="AM566" i="98" s="1"/>
  <c r="M566" i="98"/>
  <c r="AK566" i="98" s="1"/>
  <c r="P566" i="98"/>
  <c r="AN566" i="98" s="1"/>
  <c r="BG566" i="98"/>
  <c r="EK566" i="98"/>
  <c r="EI567" i="98"/>
  <c r="AT567" i="98"/>
  <c r="AV567" i="98"/>
  <c r="AU567" i="98"/>
  <c r="EF570" i="98"/>
  <c r="O570" i="98"/>
  <c r="AM570" i="98" s="1"/>
  <c r="M570" i="98"/>
  <c r="AK570" i="98" s="1"/>
  <c r="P570" i="98"/>
  <c r="AN570" i="98" s="1"/>
  <c r="BG570" i="98"/>
  <c r="EK570" i="98"/>
  <c r="EI571" i="98"/>
  <c r="AT571" i="98"/>
  <c r="AV571" i="98"/>
  <c r="AU571" i="98"/>
  <c r="BL572" i="98"/>
  <c r="EF574" i="98"/>
  <c r="O574" i="98"/>
  <c r="AM574" i="98" s="1"/>
  <c r="M574" i="98"/>
  <c r="AK574" i="98" s="1"/>
  <c r="P574" i="98"/>
  <c r="AN574" i="98" s="1"/>
  <c r="BG574" i="98"/>
  <c r="EK574" i="98"/>
  <c r="AT575" i="98"/>
  <c r="AU575" i="98"/>
  <c r="BL576" i="98"/>
  <c r="BL577" i="98"/>
  <c r="EP577" i="98"/>
  <c r="EF578" i="98"/>
  <c r="O578" i="98"/>
  <c r="AM578" i="98" s="1"/>
  <c r="M578" i="98"/>
  <c r="AK578" i="98" s="1"/>
  <c r="P578" i="98"/>
  <c r="AN578" i="98" s="1"/>
  <c r="CY578" i="98"/>
  <c r="DG578" i="98" s="1"/>
  <c r="DA578" i="98"/>
  <c r="DI578" i="98" s="1"/>
  <c r="CZ578" i="98"/>
  <c r="DH578" i="98" s="1"/>
  <c r="EI579" i="98"/>
  <c r="AT579" i="98"/>
  <c r="AV579" i="98"/>
  <c r="AU579" i="98"/>
  <c r="EH580" i="98"/>
  <c r="AC580" i="98"/>
  <c r="AO580" i="98" s="1"/>
  <c r="AF580" i="98"/>
  <c r="AR580" i="98" s="1"/>
  <c r="AD580" i="98"/>
  <c r="AP580" i="98" s="1"/>
  <c r="AE580" i="98"/>
  <c r="AQ580" i="98" s="1"/>
  <c r="BF580" i="98"/>
  <c r="EJ580" i="98"/>
  <c r="BJ580" i="98"/>
  <c r="EN580" i="98"/>
  <c r="U588" i="98"/>
  <c r="X588" i="98"/>
  <c r="V588" i="98"/>
  <c r="EG588" i="98"/>
  <c r="W588" i="98"/>
  <c r="EI588" i="98"/>
  <c r="BE588" i="98"/>
  <c r="AW588" i="98"/>
  <c r="AV588" i="98"/>
  <c r="AT588" i="98"/>
  <c r="AU588" i="98"/>
  <c r="AY592" i="98"/>
  <c r="EM592" i="98"/>
  <c r="AX592" i="98"/>
  <c r="AZ592" i="98"/>
  <c r="BI592" i="98"/>
  <c r="EL593" i="98"/>
  <c r="BH593" i="98"/>
  <c r="AU607" i="98"/>
  <c r="AV607" i="98"/>
  <c r="BE607" i="98"/>
  <c r="EI607" i="98"/>
  <c r="AT607" i="98"/>
  <c r="N511" i="98"/>
  <c r="AL511" i="98" s="1"/>
  <c r="AD511" i="98"/>
  <c r="AP511" i="98" s="1"/>
  <c r="U512" i="98"/>
  <c r="BE512" i="98"/>
  <c r="BI512" i="98"/>
  <c r="P513" i="98"/>
  <c r="AN513" i="98" s="1"/>
  <c r="AF513" i="98"/>
  <c r="AR513" i="98" s="1"/>
  <c r="W514" i="98"/>
  <c r="AU514" i="98"/>
  <c r="AY514" i="98"/>
  <c r="N515" i="98"/>
  <c r="AL515" i="98" s="1"/>
  <c r="AD515" i="98"/>
  <c r="AP515" i="98" s="1"/>
  <c r="U516" i="98"/>
  <c r="BE516" i="98"/>
  <c r="BI516" i="98"/>
  <c r="P517" i="98"/>
  <c r="AN517" i="98" s="1"/>
  <c r="X517" i="98"/>
  <c r="AF517" i="98"/>
  <c r="AR517" i="98" s="1"/>
  <c r="EG517" i="98"/>
  <c r="EV517" i="98" s="1"/>
  <c r="O518" i="98"/>
  <c r="AM518" i="98" s="1"/>
  <c r="W518" i="98"/>
  <c r="AU518" i="98"/>
  <c r="AY518" i="98"/>
  <c r="EF518" i="98"/>
  <c r="AD519" i="98"/>
  <c r="AP519" i="98" s="1"/>
  <c r="AT519" i="98"/>
  <c r="AX519" i="98"/>
  <c r="EI519" i="98"/>
  <c r="EM519" i="98"/>
  <c r="U520" i="98"/>
  <c r="AC520" i="98"/>
  <c r="AO520" i="98" s="1"/>
  <c r="EH520" i="98"/>
  <c r="P521" i="98"/>
  <c r="AN521" i="98" s="1"/>
  <c r="X521" i="98"/>
  <c r="AF521" i="98"/>
  <c r="AR521" i="98" s="1"/>
  <c r="EG521" i="98"/>
  <c r="EV521" i="98" s="1"/>
  <c r="O522" i="98"/>
  <c r="AM522" i="98" s="1"/>
  <c r="AU522" i="98"/>
  <c r="AY522" i="98"/>
  <c r="EF522" i="98"/>
  <c r="N523" i="98"/>
  <c r="AL523" i="98" s="1"/>
  <c r="AT523" i="98"/>
  <c r="AX523" i="98"/>
  <c r="EI523" i="98"/>
  <c r="EM523" i="98"/>
  <c r="AC524" i="98"/>
  <c r="AO524" i="98" s="1"/>
  <c r="BE524" i="98"/>
  <c r="BI524" i="98"/>
  <c r="EH524" i="98"/>
  <c r="EU524" i="98" s="1"/>
  <c r="X525" i="98"/>
  <c r="AF525" i="98"/>
  <c r="AR525" i="98" s="1"/>
  <c r="EG525" i="98"/>
  <c r="O526" i="98"/>
  <c r="AM526" i="98" s="1"/>
  <c r="W526" i="98"/>
  <c r="AU526" i="98"/>
  <c r="AY526" i="98"/>
  <c r="EF526" i="98"/>
  <c r="EV526" i="98" s="1"/>
  <c r="N527" i="98"/>
  <c r="AL527" i="98" s="1"/>
  <c r="AD527" i="98"/>
  <c r="AP527" i="98" s="1"/>
  <c r="AT527" i="98"/>
  <c r="AX527" i="98"/>
  <c r="EI527" i="98"/>
  <c r="EM527" i="98"/>
  <c r="U528" i="98"/>
  <c r="AC528" i="98"/>
  <c r="AO528" i="98" s="1"/>
  <c r="BE528" i="98"/>
  <c r="BI528" i="98"/>
  <c r="EH528" i="98"/>
  <c r="EV528" i="98" s="1"/>
  <c r="P529" i="98"/>
  <c r="AN529" i="98" s="1"/>
  <c r="X529" i="98"/>
  <c r="AF529" i="98"/>
  <c r="AR529" i="98" s="1"/>
  <c r="EG529" i="98"/>
  <c r="O530" i="98"/>
  <c r="AM530" i="98" s="1"/>
  <c r="W530" i="98"/>
  <c r="AU530" i="98"/>
  <c r="AY530" i="98"/>
  <c r="EF530" i="98"/>
  <c r="EV530" i="98" s="1"/>
  <c r="N531" i="98"/>
  <c r="AL531" i="98" s="1"/>
  <c r="AD531" i="98"/>
  <c r="AP531" i="98" s="1"/>
  <c r="AT531" i="98"/>
  <c r="AX531" i="98"/>
  <c r="EI531" i="98"/>
  <c r="EM531" i="98"/>
  <c r="M532" i="98"/>
  <c r="AK532" i="98" s="1"/>
  <c r="U532" i="98"/>
  <c r="AC532" i="98"/>
  <c r="AO532" i="98" s="1"/>
  <c r="BE532" i="98"/>
  <c r="BI532" i="98"/>
  <c r="EH532" i="98"/>
  <c r="EV532" i="98" s="1"/>
  <c r="X533" i="98"/>
  <c r="AF533" i="98"/>
  <c r="AR533" i="98" s="1"/>
  <c r="AV533" i="98"/>
  <c r="AZ533" i="98"/>
  <c r="EG533" i="98"/>
  <c r="O534" i="98"/>
  <c r="AM534" i="98" s="1"/>
  <c r="W534" i="98"/>
  <c r="AE534" i="98"/>
  <c r="AQ534" i="98" s="1"/>
  <c r="AU534" i="98"/>
  <c r="AY534" i="98"/>
  <c r="EF534" i="98"/>
  <c r="EV534" i="98" s="1"/>
  <c r="N535" i="98"/>
  <c r="AL535" i="98" s="1"/>
  <c r="V535" i="98"/>
  <c r="AD535" i="98"/>
  <c r="AP535" i="98" s="1"/>
  <c r="AT535" i="98"/>
  <c r="AX535" i="98"/>
  <c r="EI535" i="98"/>
  <c r="EM535" i="98"/>
  <c r="AX536" i="98"/>
  <c r="BB536" i="98"/>
  <c r="ER536" i="98" s="1"/>
  <c r="EM536" i="98"/>
  <c r="EQ536" i="98"/>
  <c r="M537" i="98"/>
  <c r="AK537" i="98" s="1"/>
  <c r="AC537" i="98"/>
  <c r="AO537" i="98" s="1"/>
  <c r="BE537" i="98"/>
  <c r="BI537" i="98"/>
  <c r="EH537" i="98"/>
  <c r="EV537" i="98" s="1"/>
  <c r="X538" i="98"/>
  <c r="AF538" i="98"/>
  <c r="AR538" i="98" s="1"/>
  <c r="AV538" i="98"/>
  <c r="AZ538" i="98"/>
  <c r="EG538" i="98"/>
  <c r="EV538" i="98" s="1"/>
  <c r="O539" i="98"/>
  <c r="AM539" i="98" s="1"/>
  <c r="W539" i="98"/>
  <c r="AE539" i="98"/>
  <c r="AQ539" i="98" s="1"/>
  <c r="EF539" i="98"/>
  <c r="EV539" i="98" s="1"/>
  <c r="N540" i="98"/>
  <c r="AL540" i="98" s="1"/>
  <c r="V540" i="98"/>
  <c r="AD540" i="98"/>
  <c r="AP540" i="98" s="1"/>
  <c r="AT540" i="98"/>
  <c r="AX540" i="98"/>
  <c r="EI540" i="98"/>
  <c r="EM540" i="98"/>
  <c r="M541" i="98"/>
  <c r="AK541" i="98" s="1"/>
  <c r="AC541" i="98"/>
  <c r="AO541" i="98" s="1"/>
  <c r="BE541" i="98"/>
  <c r="BI541" i="98"/>
  <c r="EH541" i="98"/>
  <c r="EV541" i="98" s="1"/>
  <c r="X542" i="98"/>
  <c r="AF542" i="98"/>
  <c r="AR542" i="98" s="1"/>
  <c r="AV542" i="98"/>
  <c r="AZ542" i="98"/>
  <c r="EG542" i="98"/>
  <c r="EV542" i="98" s="1"/>
  <c r="O543" i="98"/>
  <c r="AM543" i="98" s="1"/>
  <c r="W543" i="98"/>
  <c r="AE543" i="98"/>
  <c r="AQ543" i="98" s="1"/>
  <c r="BG543" i="98"/>
  <c r="BK543" i="98"/>
  <c r="EF543" i="98"/>
  <c r="N544" i="98"/>
  <c r="AL544" i="98" s="1"/>
  <c r="V544" i="98"/>
  <c r="AD544" i="98"/>
  <c r="AP544" i="98" s="1"/>
  <c r="AT544" i="98"/>
  <c r="AX544" i="98"/>
  <c r="EI544" i="98"/>
  <c r="EM544" i="98"/>
  <c r="M545" i="98"/>
  <c r="AK545" i="98" s="1"/>
  <c r="AC545" i="98"/>
  <c r="AO545" i="98" s="1"/>
  <c r="BE545" i="98"/>
  <c r="BI545" i="98"/>
  <c r="EH545" i="98"/>
  <c r="EV545" i="98" s="1"/>
  <c r="X546" i="98"/>
  <c r="AF546" i="98"/>
  <c r="AR546" i="98" s="1"/>
  <c r="AV546" i="98"/>
  <c r="AZ546" i="98"/>
  <c r="EG546" i="98"/>
  <c r="O547" i="98"/>
  <c r="AM547" i="98" s="1"/>
  <c r="W547" i="98"/>
  <c r="AE547" i="98"/>
  <c r="AQ547" i="98" s="1"/>
  <c r="AU547" i="98"/>
  <c r="AY547" i="98"/>
  <c r="EF547" i="98"/>
  <c r="N548" i="98"/>
  <c r="AL548" i="98" s="1"/>
  <c r="V548" i="98"/>
  <c r="AD548" i="98"/>
  <c r="AP548" i="98" s="1"/>
  <c r="AT548" i="98"/>
  <c r="AX548" i="98"/>
  <c r="EI548" i="98"/>
  <c r="EM548" i="98"/>
  <c r="M549" i="98"/>
  <c r="AK549" i="98" s="1"/>
  <c r="BH549" i="98"/>
  <c r="EL549" i="98"/>
  <c r="BK549" i="98"/>
  <c r="EJ549" i="98"/>
  <c r="AT550" i="98"/>
  <c r="AC551" i="98"/>
  <c r="AO551" i="98" s="1"/>
  <c r="AW551" i="98"/>
  <c r="AE552" i="98"/>
  <c r="AQ552" i="98" s="1"/>
  <c r="BH552" i="98"/>
  <c r="EG553" i="98"/>
  <c r="X553" i="98"/>
  <c r="U553" i="98"/>
  <c r="V553" i="98"/>
  <c r="BH553" i="98"/>
  <c r="EL553" i="98"/>
  <c r="BK553" i="98"/>
  <c r="EJ553" i="98"/>
  <c r="AT554" i="98"/>
  <c r="AC555" i="98"/>
  <c r="AO555" i="98" s="1"/>
  <c r="EM555" i="98"/>
  <c r="AX555" i="98"/>
  <c r="AY555" i="98"/>
  <c r="U556" i="98"/>
  <c r="V556" i="98"/>
  <c r="W556" i="98"/>
  <c r="EG556" i="98"/>
  <c r="EO556" i="98"/>
  <c r="BL557" i="98"/>
  <c r="EP557" i="98"/>
  <c r="EM559" i="98"/>
  <c r="AX559" i="98"/>
  <c r="AZ559" i="98"/>
  <c r="AY559" i="98"/>
  <c r="BH560" i="98"/>
  <c r="BL561" i="98"/>
  <c r="EP561" i="98"/>
  <c r="EH564" i="98"/>
  <c r="EV564" i="98" s="1"/>
  <c r="AC564" i="98"/>
  <c r="AO564" i="98" s="1"/>
  <c r="AE564" i="98"/>
  <c r="AQ564" i="98" s="1"/>
  <c r="AD564" i="98"/>
  <c r="AP564" i="98" s="1"/>
  <c r="BL564" i="98"/>
  <c r="BL565" i="98"/>
  <c r="EP565" i="98"/>
  <c r="EM567" i="98"/>
  <c r="AX567" i="98"/>
  <c r="AZ567" i="98"/>
  <c r="AY567" i="98"/>
  <c r="BH568" i="98"/>
  <c r="BL569" i="98"/>
  <c r="EP569" i="98"/>
  <c r="EM571" i="98"/>
  <c r="AX571" i="98"/>
  <c r="AZ571" i="98"/>
  <c r="AY571" i="98"/>
  <c r="BL573" i="98"/>
  <c r="EP573" i="98"/>
  <c r="AW575" i="98"/>
  <c r="BH577" i="98"/>
  <c r="EL577" i="98"/>
  <c r="BG577" i="98"/>
  <c r="EM579" i="98"/>
  <c r="AX579" i="98"/>
  <c r="AZ579" i="98"/>
  <c r="AY579" i="98"/>
  <c r="BL583" i="98"/>
  <c r="BJ595" i="98"/>
  <c r="EK609" i="98"/>
  <c r="BG609" i="98"/>
  <c r="N532" i="98"/>
  <c r="AL532" i="98" s="1"/>
  <c r="BF532" i="98"/>
  <c r="BJ532" i="98"/>
  <c r="BE533" i="98"/>
  <c r="BI533" i="98"/>
  <c r="AF534" i="98"/>
  <c r="AR534" i="98" s="1"/>
  <c r="BH534" i="98"/>
  <c r="BL534" i="98"/>
  <c r="W535" i="98"/>
  <c r="BG535" i="98"/>
  <c r="BK535" i="98"/>
  <c r="BG536" i="98"/>
  <c r="BK536" i="98"/>
  <c r="N537" i="98"/>
  <c r="AL537" i="98" s="1"/>
  <c r="BF537" i="98"/>
  <c r="BJ537" i="98"/>
  <c r="BE538" i="98"/>
  <c r="BI538" i="98"/>
  <c r="AF539" i="98"/>
  <c r="AR539" i="98" s="1"/>
  <c r="BH539" i="98"/>
  <c r="BL539" i="98"/>
  <c r="W540" i="98"/>
  <c r="BG540" i="98"/>
  <c r="BK540" i="98"/>
  <c r="N541" i="98"/>
  <c r="AL541" i="98" s="1"/>
  <c r="BF541" i="98"/>
  <c r="BJ541" i="98"/>
  <c r="BE542" i="98"/>
  <c r="BI542" i="98"/>
  <c r="X543" i="98"/>
  <c r="AF543" i="98"/>
  <c r="AR543" i="98" s="1"/>
  <c r="BH543" i="98"/>
  <c r="BL543" i="98"/>
  <c r="EG543" i="98"/>
  <c r="O544" i="98"/>
  <c r="AM544" i="98" s="1"/>
  <c r="W544" i="98"/>
  <c r="AU544" i="98"/>
  <c r="AY544" i="98"/>
  <c r="EF544" i="98"/>
  <c r="EV544" i="98" s="1"/>
  <c r="N545" i="98"/>
  <c r="AL545" i="98" s="1"/>
  <c r="AD545" i="98"/>
  <c r="AP545" i="98" s="1"/>
  <c r="BF545" i="98"/>
  <c r="BJ545" i="98"/>
  <c r="U546" i="98"/>
  <c r="AC546" i="98"/>
  <c r="AO546" i="98" s="1"/>
  <c r="BE546" i="98"/>
  <c r="BI546" i="98"/>
  <c r="EH546" i="98"/>
  <c r="P547" i="98"/>
  <c r="AN547" i="98" s="1"/>
  <c r="AF547" i="98"/>
  <c r="AR547" i="98" s="1"/>
  <c r="BH547" i="98"/>
  <c r="BL547" i="98"/>
  <c r="EG547" i="98"/>
  <c r="W548" i="98"/>
  <c r="AE548" i="98"/>
  <c r="AQ548" i="98" s="1"/>
  <c r="AU548" i="98"/>
  <c r="AY548" i="98"/>
  <c r="EF548" i="98"/>
  <c r="EV548" i="98" s="1"/>
  <c r="N549" i="98"/>
  <c r="AL549" i="98" s="1"/>
  <c r="AY550" i="98"/>
  <c r="AZ550" i="98"/>
  <c r="BE550" i="98"/>
  <c r="EM550" i="98"/>
  <c r="AF551" i="98"/>
  <c r="AR551" i="98" s="1"/>
  <c r="BH551" i="98"/>
  <c r="AF552" i="98"/>
  <c r="AR552" i="98" s="1"/>
  <c r="AY554" i="98"/>
  <c r="AZ554" i="98"/>
  <c r="BE554" i="98"/>
  <c r="EM554" i="98"/>
  <c r="AF555" i="98"/>
  <c r="AR555" i="98" s="1"/>
  <c r="EH555" i="98"/>
  <c r="EH556" i="98"/>
  <c r="AC556" i="98"/>
  <c r="AO556" i="98" s="1"/>
  <c r="AD556" i="98"/>
  <c r="AP556" i="98" s="1"/>
  <c r="BH557" i="98"/>
  <c r="EL557" i="98"/>
  <c r="BG557" i="98"/>
  <c r="BK558" i="98"/>
  <c r="EO558" i="98"/>
  <c r="BL560" i="98"/>
  <c r="BH561" i="98"/>
  <c r="EL561" i="98"/>
  <c r="BG561" i="98"/>
  <c r="DG562" i="98"/>
  <c r="EI563" i="98"/>
  <c r="AT563" i="98"/>
  <c r="AV563" i="98"/>
  <c r="AU563" i="98"/>
  <c r="BH565" i="98"/>
  <c r="EL565" i="98"/>
  <c r="BG565" i="98"/>
  <c r="BK566" i="98"/>
  <c r="EO566" i="98"/>
  <c r="BL568" i="98"/>
  <c r="BH569" i="98"/>
  <c r="EL569" i="98"/>
  <c r="BG569" i="98"/>
  <c r="BK570" i="98"/>
  <c r="EO570" i="98"/>
  <c r="BH573" i="98"/>
  <c r="EL573" i="98"/>
  <c r="BG573" i="98"/>
  <c r="BK574" i="98"/>
  <c r="EO574" i="98"/>
  <c r="EG577" i="98"/>
  <c r="EV577" i="98" s="1"/>
  <c r="X577" i="98"/>
  <c r="V577" i="98"/>
  <c r="U577" i="98"/>
  <c r="BK577" i="98"/>
  <c r="EV578" i="98"/>
  <c r="BL581" i="98"/>
  <c r="EP581" i="98"/>
  <c r="BL585" i="98"/>
  <c r="EP585" i="98"/>
  <c r="AU591" i="98"/>
  <c r="AT591" i="98"/>
  <c r="AV591" i="98"/>
  <c r="BE591" i="98"/>
  <c r="AW591" i="98"/>
  <c r="BL593" i="98"/>
  <c r="EK594" i="98"/>
  <c r="BG594" i="98"/>
  <c r="V615" i="98"/>
  <c r="U615" i="98"/>
  <c r="EG615" i="98"/>
  <c r="W615" i="98"/>
  <c r="X615" i="98"/>
  <c r="O532" i="98"/>
  <c r="AM532" i="98" s="1"/>
  <c r="AT533" i="98"/>
  <c r="AX533" i="98"/>
  <c r="AC534" i="98"/>
  <c r="AO534" i="98" s="1"/>
  <c r="X535" i="98"/>
  <c r="O537" i="98"/>
  <c r="AM537" i="98" s="1"/>
  <c r="AT538" i="98"/>
  <c r="AX538" i="98"/>
  <c r="AC539" i="98"/>
  <c r="AO539" i="98" s="1"/>
  <c r="X540" i="98"/>
  <c r="O541" i="98"/>
  <c r="AM541" i="98" s="1"/>
  <c r="AT542" i="98"/>
  <c r="AX542" i="98"/>
  <c r="AC543" i="98"/>
  <c r="AO543" i="98" s="1"/>
  <c r="X544" i="98"/>
  <c r="O545" i="98"/>
  <c r="AM545" i="98" s="1"/>
  <c r="AT546" i="98"/>
  <c r="AX546" i="98"/>
  <c r="AC547" i="98"/>
  <c r="AO547" i="98" s="1"/>
  <c r="X548" i="98"/>
  <c r="EG549" i="98"/>
  <c r="EV549" i="98" s="1"/>
  <c r="X549" i="98"/>
  <c r="U549" i="98"/>
  <c r="O549" i="98"/>
  <c r="AM549" i="98" s="1"/>
  <c r="AD549" i="98"/>
  <c r="AP549" i="98" s="1"/>
  <c r="BG549" i="98"/>
  <c r="EF550" i="98"/>
  <c r="O550" i="98"/>
  <c r="AM550" i="98" s="1"/>
  <c r="P550" i="98"/>
  <c r="AN550" i="98" s="1"/>
  <c r="N550" i="98"/>
  <c r="AL550" i="98" s="1"/>
  <c r="AX550" i="98"/>
  <c r="EI551" i="98"/>
  <c r="AT551" i="98"/>
  <c r="AU551" i="98"/>
  <c r="U552" i="98"/>
  <c r="V552" i="98"/>
  <c r="W552" i="98"/>
  <c r="BL552" i="98"/>
  <c r="N553" i="98"/>
  <c r="AL553" i="98" s="1"/>
  <c r="BG553" i="98"/>
  <c r="EF553" i="98"/>
  <c r="EF554" i="98"/>
  <c r="O554" i="98"/>
  <c r="AM554" i="98" s="1"/>
  <c r="P554" i="98"/>
  <c r="AN554" i="98" s="1"/>
  <c r="N554" i="98"/>
  <c r="AL554" i="98" s="1"/>
  <c r="AX554" i="98"/>
  <c r="EI555" i="98"/>
  <c r="AT555" i="98"/>
  <c r="AU555" i="98"/>
  <c r="AE556" i="98"/>
  <c r="AQ556" i="98" s="1"/>
  <c r="BH556" i="98"/>
  <c r="EK556" i="98"/>
  <c r="EG557" i="98"/>
  <c r="X557" i="98"/>
  <c r="V557" i="98"/>
  <c r="U557" i="98"/>
  <c r="BK557" i="98"/>
  <c r="N558" i="98"/>
  <c r="AL558" i="98" s="1"/>
  <c r="BJ558" i="98"/>
  <c r="BE559" i="98"/>
  <c r="EH560" i="98"/>
  <c r="EV560" i="98" s="1"/>
  <c r="AC560" i="98"/>
  <c r="AO560" i="98" s="1"/>
  <c r="AE560" i="98"/>
  <c r="AQ560" i="98" s="1"/>
  <c r="AD560" i="98"/>
  <c r="AP560" i="98" s="1"/>
  <c r="EG561" i="98"/>
  <c r="X561" i="98"/>
  <c r="V561" i="98"/>
  <c r="U561" i="98"/>
  <c r="BK561" i="98"/>
  <c r="EM563" i="98"/>
  <c r="AX563" i="98"/>
  <c r="AZ563" i="98"/>
  <c r="AY563" i="98"/>
  <c r="EG565" i="98"/>
  <c r="X565" i="98"/>
  <c r="V565" i="98"/>
  <c r="U565" i="98"/>
  <c r="BK565" i="98"/>
  <c r="N566" i="98"/>
  <c r="AL566" i="98" s="1"/>
  <c r="BJ566" i="98"/>
  <c r="BE567" i="98"/>
  <c r="EH568" i="98"/>
  <c r="EV568" i="98" s="1"/>
  <c r="AC568" i="98"/>
  <c r="AO568" i="98" s="1"/>
  <c r="AE568" i="98"/>
  <c r="AQ568" i="98" s="1"/>
  <c r="AD568" i="98"/>
  <c r="AP568" i="98" s="1"/>
  <c r="EG569" i="98"/>
  <c r="X569" i="98"/>
  <c r="V569" i="98"/>
  <c r="U569" i="98"/>
  <c r="BK569" i="98"/>
  <c r="N570" i="98"/>
  <c r="AL570" i="98" s="1"/>
  <c r="BJ570" i="98"/>
  <c r="BE571" i="98"/>
  <c r="EH572" i="98"/>
  <c r="EV572" i="98" s="1"/>
  <c r="AC572" i="98"/>
  <c r="AO572" i="98" s="1"/>
  <c r="AE572" i="98"/>
  <c r="AQ572" i="98" s="1"/>
  <c r="AD572" i="98"/>
  <c r="AP572" i="98" s="1"/>
  <c r="BH572" i="98"/>
  <c r="EG573" i="98"/>
  <c r="X573" i="98"/>
  <c r="V573" i="98"/>
  <c r="U573" i="98"/>
  <c r="BK573" i="98"/>
  <c r="N574" i="98"/>
  <c r="AL574" i="98" s="1"/>
  <c r="BJ574" i="98"/>
  <c r="BE575" i="98"/>
  <c r="EH576" i="98"/>
  <c r="EU576" i="98" s="1"/>
  <c r="AC576" i="98"/>
  <c r="AO576" i="98" s="1"/>
  <c r="AE576" i="98"/>
  <c r="AQ576" i="98" s="1"/>
  <c r="AD576" i="98"/>
  <c r="AP576" i="98" s="1"/>
  <c r="BH576" i="98"/>
  <c r="N578" i="98"/>
  <c r="AL578" i="98" s="1"/>
  <c r="EV579" i="98"/>
  <c r="BE579" i="98"/>
  <c r="EI591" i="98"/>
  <c r="EG606" i="98"/>
  <c r="X606" i="98"/>
  <c r="U606" i="98"/>
  <c r="W606" i="98"/>
  <c r="V606" i="98"/>
  <c r="AY627" i="98"/>
  <c r="EM627" i="98"/>
  <c r="AX627" i="98"/>
  <c r="AZ627" i="98"/>
  <c r="BI627" i="98"/>
  <c r="BE549" i="98"/>
  <c r="BI549" i="98"/>
  <c r="X550" i="98"/>
  <c r="AF550" i="98"/>
  <c r="AR550" i="98" s="1"/>
  <c r="EG550" i="98"/>
  <c r="O551" i="98"/>
  <c r="AM551" i="98" s="1"/>
  <c r="W551" i="98"/>
  <c r="EF551" i="98"/>
  <c r="N552" i="98"/>
  <c r="AL552" i="98" s="1"/>
  <c r="AT552" i="98"/>
  <c r="AX552" i="98"/>
  <c r="EI552" i="98"/>
  <c r="EM552" i="98"/>
  <c r="AC553" i="98"/>
  <c r="AO553" i="98" s="1"/>
  <c r="BE553" i="98"/>
  <c r="BI553" i="98"/>
  <c r="EH553" i="98"/>
  <c r="X554" i="98"/>
  <c r="AF554" i="98"/>
  <c r="AR554" i="98" s="1"/>
  <c r="EG554" i="98"/>
  <c r="O555" i="98"/>
  <c r="AM555" i="98" s="1"/>
  <c r="W555" i="98"/>
  <c r="EF555" i="98"/>
  <c r="N556" i="98"/>
  <c r="AL556" i="98" s="1"/>
  <c r="EI556" i="98"/>
  <c r="EM556" i="98"/>
  <c r="M557" i="98"/>
  <c r="AK557" i="98" s="1"/>
  <c r="AC557" i="98"/>
  <c r="AO557" i="98" s="1"/>
  <c r="BE557" i="98"/>
  <c r="BI557" i="98"/>
  <c r="EH557" i="98"/>
  <c r="X558" i="98"/>
  <c r="AF558" i="98"/>
  <c r="AR558" i="98" s="1"/>
  <c r="AV558" i="98"/>
  <c r="AZ558" i="98"/>
  <c r="EG558" i="98"/>
  <c r="O559" i="98"/>
  <c r="AM559" i="98" s="1"/>
  <c r="W559" i="98"/>
  <c r="AE559" i="98"/>
  <c r="AQ559" i="98" s="1"/>
  <c r="EF559" i="98"/>
  <c r="EV559" i="98" s="1"/>
  <c r="N560" i="98"/>
  <c r="AL560" i="98" s="1"/>
  <c r="V560" i="98"/>
  <c r="AT560" i="98"/>
  <c r="AX560" i="98"/>
  <c r="EI560" i="98"/>
  <c r="EM560" i="98"/>
  <c r="M561" i="98"/>
  <c r="AK561" i="98" s="1"/>
  <c r="AC561" i="98"/>
  <c r="AO561" i="98" s="1"/>
  <c r="BE561" i="98"/>
  <c r="BI561" i="98"/>
  <c r="EH561" i="98"/>
  <c r="O563" i="98"/>
  <c r="AM563" i="98" s="1"/>
  <c r="W563" i="98"/>
  <c r="AE563" i="98"/>
  <c r="AQ563" i="98" s="1"/>
  <c r="EF563" i="98"/>
  <c r="N564" i="98"/>
  <c r="AL564" i="98" s="1"/>
  <c r="V564" i="98"/>
  <c r="AT564" i="98"/>
  <c r="EI564" i="98"/>
  <c r="EM564" i="98"/>
  <c r="M565" i="98"/>
  <c r="AK565" i="98" s="1"/>
  <c r="AC565" i="98"/>
  <c r="AO565" i="98" s="1"/>
  <c r="BE565" i="98"/>
  <c r="BI565" i="98"/>
  <c r="EH565" i="98"/>
  <c r="X566" i="98"/>
  <c r="AF566" i="98"/>
  <c r="AR566" i="98" s="1"/>
  <c r="AV566" i="98"/>
  <c r="AZ566" i="98"/>
  <c r="EG566" i="98"/>
  <c r="O567" i="98"/>
  <c r="AM567" i="98" s="1"/>
  <c r="W567" i="98"/>
  <c r="AE567" i="98"/>
  <c r="AQ567" i="98" s="1"/>
  <c r="EF567" i="98"/>
  <c r="EV567" i="98" s="1"/>
  <c r="N568" i="98"/>
  <c r="AL568" i="98" s="1"/>
  <c r="V568" i="98"/>
  <c r="AT568" i="98"/>
  <c r="AX568" i="98"/>
  <c r="EI568" i="98"/>
  <c r="EM568" i="98"/>
  <c r="M569" i="98"/>
  <c r="AK569" i="98" s="1"/>
  <c r="AC569" i="98"/>
  <c r="AO569" i="98" s="1"/>
  <c r="BE569" i="98"/>
  <c r="BI569" i="98"/>
  <c r="EH569" i="98"/>
  <c r="X570" i="98"/>
  <c r="AF570" i="98"/>
  <c r="AR570" i="98" s="1"/>
  <c r="AV570" i="98"/>
  <c r="AZ570" i="98"/>
  <c r="EG570" i="98"/>
  <c r="O571" i="98"/>
  <c r="AM571" i="98" s="1"/>
  <c r="W571" i="98"/>
  <c r="AE571" i="98"/>
  <c r="AQ571" i="98" s="1"/>
  <c r="EF571" i="98"/>
  <c r="EV571" i="98" s="1"/>
  <c r="N572" i="98"/>
  <c r="AL572" i="98" s="1"/>
  <c r="V572" i="98"/>
  <c r="EI572" i="98"/>
  <c r="EM572" i="98"/>
  <c r="M573" i="98"/>
  <c r="AK573" i="98" s="1"/>
  <c r="AC573" i="98"/>
  <c r="AO573" i="98" s="1"/>
  <c r="BE573" i="98"/>
  <c r="BI573" i="98"/>
  <c r="EH573" i="98"/>
  <c r="AF574" i="98"/>
  <c r="AR574" i="98" s="1"/>
  <c r="AV574" i="98"/>
  <c r="AZ574" i="98"/>
  <c r="EG574" i="98"/>
  <c r="W575" i="98"/>
  <c r="AE575" i="98"/>
  <c r="AQ575" i="98" s="1"/>
  <c r="EF575" i="98"/>
  <c r="EV575" i="98" s="1"/>
  <c r="N576" i="98"/>
  <c r="AL576" i="98" s="1"/>
  <c r="V576" i="98"/>
  <c r="M577" i="98"/>
  <c r="AK577" i="98" s="1"/>
  <c r="BE577" i="98"/>
  <c r="BI577" i="98"/>
  <c r="AF578" i="98"/>
  <c r="AR578" i="98" s="1"/>
  <c r="W579" i="98"/>
  <c r="AE579" i="98"/>
  <c r="AQ579" i="98" s="1"/>
  <c r="M580" i="98"/>
  <c r="AK580" i="98" s="1"/>
  <c r="P580" i="98"/>
  <c r="AN580" i="98" s="1"/>
  <c r="O580" i="98"/>
  <c r="AM580" i="98" s="1"/>
  <c r="P581" i="98"/>
  <c r="AN581" i="98" s="1"/>
  <c r="EF581" i="98"/>
  <c r="O581" i="98"/>
  <c r="AM581" i="98" s="1"/>
  <c r="M581" i="98"/>
  <c r="AK581" i="98" s="1"/>
  <c r="BH581" i="98"/>
  <c r="EL581" i="98"/>
  <c r="AU582" i="98"/>
  <c r="EI582" i="98"/>
  <c r="AT582" i="98"/>
  <c r="AV582" i="98"/>
  <c r="P585" i="98"/>
  <c r="AN585" i="98" s="1"/>
  <c r="EF585" i="98"/>
  <c r="O585" i="98"/>
  <c r="AM585" i="98" s="1"/>
  <c r="M585" i="98"/>
  <c r="AK585" i="98" s="1"/>
  <c r="BH585" i="98"/>
  <c r="EL585" i="98"/>
  <c r="AU586" i="98"/>
  <c r="EI586" i="98"/>
  <c r="AT586" i="98"/>
  <c r="AV586" i="98"/>
  <c r="BL587" i="98"/>
  <c r="EV592" i="98"/>
  <c r="EM596" i="98"/>
  <c r="BI596" i="98"/>
  <c r="AY596" i="98"/>
  <c r="AX596" i="98"/>
  <c r="AZ596" i="98"/>
  <c r="EL597" i="98"/>
  <c r="BH597" i="98"/>
  <c r="EP597" i="98"/>
  <c r="BL597" i="98"/>
  <c r="EG598" i="98"/>
  <c r="X598" i="98"/>
  <c r="V598" i="98"/>
  <c r="U598" i="98"/>
  <c r="W598" i="98"/>
  <c r="AY599" i="98"/>
  <c r="EM599" i="98"/>
  <c r="AZ599" i="98"/>
  <c r="BI599" i="98"/>
  <c r="AX599" i="98"/>
  <c r="BH600" i="98"/>
  <c r="EL600" i="98"/>
  <c r="EG602" i="98"/>
  <c r="X602" i="98"/>
  <c r="V602" i="98"/>
  <c r="U602" i="98"/>
  <c r="W602" i="98"/>
  <c r="EN603" i="98"/>
  <c r="BJ603" i="98"/>
  <c r="U605" i="98"/>
  <c r="V605" i="98"/>
  <c r="EG605" i="98"/>
  <c r="X605" i="98"/>
  <c r="BH606" i="98"/>
  <c r="EL606" i="98"/>
  <c r="EN606" i="98"/>
  <c r="BJ606" i="98"/>
  <c r="EV606" i="98"/>
  <c r="EH608" i="98"/>
  <c r="AD608" i="98"/>
  <c r="AP608" i="98" s="1"/>
  <c r="AE608" i="98"/>
  <c r="AQ608" i="98" s="1"/>
  <c r="AF608" i="98"/>
  <c r="AR608" i="98" s="1"/>
  <c r="AC608" i="98"/>
  <c r="AO608" i="98" s="1"/>
  <c r="BK611" i="98"/>
  <c r="EO611" i="98"/>
  <c r="M612" i="98"/>
  <c r="AK612" i="98" s="1"/>
  <c r="P612" i="98"/>
  <c r="AN612" i="98" s="1"/>
  <c r="N612" i="98"/>
  <c r="AL612" i="98" s="1"/>
  <c r="EM635" i="98"/>
  <c r="AX635" i="98"/>
  <c r="BI635" i="98"/>
  <c r="AY635" i="98"/>
  <c r="AZ635" i="98"/>
  <c r="N557" i="98"/>
  <c r="AL557" i="98" s="1"/>
  <c r="BE558" i="98"/>
  <c r="BI558" i="98"/>
  <c r="AF559" i="98"/>
  <c r="AR559" i="98" s="1"/>
  <c r="W560" i="98"/>
  <c r="N561" i="98"/>
  <c r="AL561" i="98" s="1"/>
  <c r="AF563" i="98"/>
  <c r="AR563" i="98" s="1"/>
  <c r="W564" i="98"/>
  <c r="N565" i="98"/>
  <c r="AL565" i="98" s="1"/>
  <c r="BE566" i="98"/>
  <c r="BI566" i="98"/>
  <c r="AF567" i="98"/>
  <c r="AR567" i="98" s="1"/>
  <c r="W568" i="98"/>
  <c r="N569" i="98"/>
  <c r="AL569" i="98" s="1"/>
  <c r="BE570" i="98"/>
  <c r="BI570" i="98"/>
  <c r="AF571" i="98"/>
  <c r="AR571" i="98" s="1"/>
  <c r="W572" i="98"/>
  <c r="N573" i="98"/>
  <c r="AL573" i="98" s="1"/>
  <c r="BE574" i="98"/>
  <c r="BI574" i="98"/>
  <c r="AF575" i="98"/>
  <c r="AR575" i="98" s="1"/>
  <c r="W576" i="98"/>
  <c r="N577" i="98"/>
  <c r="AL577" i="98" s="1"/>
  <c r="AF579" i="98"/>
  <c r="AR579" i="98" s="1"/>
  <c r="U580" i="98"/>
  <c r="EG580" i="98"/>
  <c r="EV580" i="98" s="1"/>
  <c r="X580" i="98"/>
  <c r="V580" i="98"/>
  <c r="AY582" i="98"/>
  <c r="EM582" i="98"/>
  <c r="AX582" i="98"/>
  <c r="AZ582" i="98"/>
  <c r="AY586" i="98"/>
  <c r="EM586" i="98"/>
  <c r="AX586" i="98"/>
  <c r="AZ586" i="98"/>
  <c r="P590" i="98"/>
  <c r="AN590" i="98" s="1"/>
  <c r="EF590" i="98"/>
  <c r="O590" i="98"/>
  <c r="AM590" i="98" s="1"/>
  <c r="M590" i="98"/>
  <c r="AK590" i="98" s="1"/>
  <c r="AU592" i="98"/>
  <c r="EI592" i="98"/>
  <c r="AT592" i="98"/>
  <c r="AV592" i="98"/>
  <c r="AD593" i="98"/>
  <c r="AP593" i="98" s="1"/>
  <c r="EH593" i="98"/>
  <c r="AC593" i="98"/>
  <c r="AO593" i="98" s="1"/>
  <c r="AE593" i="98"/>
  <c r="AQ593" i="98" s="1"/>
  <c r="U594" i="98"/>
  <c r="EG594" i="98"/>
  <c r="EV594" i="98" s="1"/>
  <c r="X594" i="98"/>
  <c r="V594" i="98"/>
  <c r="BK594" i="98"/>
  <c r="BL595" i="98"/>
  <c r="EP595" i="98"/>
  <c r="EH597" i="98"/>
  <c r="EV597" i="98" s="1"/>
  <c r="AC597" i="98"/>
  <c r="AO597" i="98" s="1"/>
  <c r="AF597" i="98"/>
  <c r="AR597" i="98" s="1"/>
  <c r="AD597" i="98"/>
  <c r="AP597" i="98" s="1"/>
  <c r="BD598" i="98"/>
  <c r="ET598" i="98" s="1"/>
  <c r="BC598" i="98"/>
  <c r="ES598" i="98" s="1"/>
  <c r="BB598" i="98"/>
  <c r="ER598" i="98" s="1"/>
  <c r="EQ598" i="98"/>
  <c r="AZ602" i="98"/>
  <c r="AY602" i="98"/>
  <c r="BI602" i="98"/>
  <c r="AX602" i="98"/>
  <c r="EM602" i="98"/>
  <c r="AE603" i="98"/>
  <c r="AQ603" i="98" s="1"/>
  <c r="AF603" i="98"/>
  <c r="AR603" i="98" s="1"/>
  <c r="EH603" i="98"/>
  <c r="AC603" i="98"/>
  <c r="AO603" i="98" s="1"/>
  <c r="BL604" i="98"/>
  <c r="EP604" i="98"/>
  <c r="AY610" i="98"/>
  <c r="AZ610" i="98"/>
  <c r="BI610" i="98"/>
  <c r="EM610" i="98"/>
  <c r="AX610" i="98"/>
  <c r="AD624" i="98"/>
  <c r="AP624" i="98" s="1"/>
  <c r="EH624" i="98"/>
  <c r="AC624" i="98"/>
  <c r="AO624" i="98" s="1"/>
  <c r="AE624" i="98"/>
  <c r="AQ624" i="98" s="1"/>
  <c r="AF624" i="98"/>
  <c r="AR624" i="98" s="1"/>
  <c r="EU580" i="98"/>
  <c r="N580" i="98"/>
  <c r="AL580" i="98" s="1"/>
  <c r="BG580" i="98"/>
  <c r="N581" i="98"/>
  <c r="AL581" i="98" s="1"/>
  <c r="BJ581" i="98"/>
  <c r="EV582" i="98"/>
  <c r="BE582" i="98"/>
  <c r="U584" i="98"/>
  <c r="EG584" i="98"/>
  <c r="EV584" i="98" s="1"/>
  <c r="X584" i="98"/>
  <c r="V584" i="98"/>
  <c r="BK584" i="98"/>
  <c r="N585" i="98"/>
  <c r="AL585" i="98" s="1"/>
  <c r="BJ585" i="98"/>
  <c r="EV585" i="98"/>
  <c r="EV586" i="98"/>
  <c r="BE586" i="98"/>
  <c r="AD587" i="98"/>
  <c r="AP587" i="98" s="1"/>
  <c r="EH587" i="98"/>
  <c r="EV587" i="98" s="1"/>
  <c r="AC587" i="98"/>
  <c r="AO587" i="98" s="1"/>
  <c r="AE587" i="98"/>
  <c r="AQ587" i="98" s="1"/>
  <c r="BH587" i="98"/>
  <c r="U589" i="98"/>
  <c r="EG589" i="98"/>
  <c r="EV589" i="98" s="1"/>
  <c r="X589" i="98"/>
  <c r="V589" i="98"/>
  <c r="BK589" i="98"/>
  <c r="EV593" i="98"/>
  <c r="P595" i="98"/>
  <c r="AN595" i="98" s="1"/>
  <c r="EF595" i="98"/>
  <c r="O595" i="98"/>
  <c r="AM595" i="98" s="1"/>
  <c r="M595" i="98"/>
  <c r="AK595" i="98" s="1"/>
  <c r="BH595" i="98"/>
  <c r="EL595" i="98"/>
  <c r="EV596" i="98"/>
  <c r="EI596" i="98"/>
  <c r="AU596" i="98"/>
  <c r="AT596" i="98"/>
  <c r="BE596" i="98"/>
  <c r="AV596" i="98"/>
  <c r="AE597" i="98"/>
  <c r="AQ597" i="98" s="1"/>
  <c r="EH601" i="98"/>
  <c r="EV601" i="98" s="1"/>
  <c r="AC601" i="98"/>
  <c r="AO601" i="98" s="1"/>
  <c r="AF601" i="98"/>
  <c r="AR601" i="98" s="1"/>
  <c r="AD601" i="98"/>
  <c r="AP601" i="98" s="1"/>
  <c r="AD603" i="98"/>
  <c r="AP603" i="98" s="1"/>
  <c r="U621" i="98"/>
  <c r="EG621" i="98"/>
  <c r="EV621" i="98" s="1"/>
  <c r="X621" i="98"/>
  <c r="V621" i="98"/>
  <c r="W621" i="98"/>
  <c r="P622" i="98"/>
  <c r="AN622" i="98" s="1"/>
  <c r="EF622" i="98"/>
  <c r="EV622" i="98" s="1"/>
  <c r="O622" i="98"/>
  <c r="AM622" i="98" s="1"/>
  <c r="M622" i="98"/>
  <c r="AK622" i="98" s="1"/>
  <c r="N622" i="98"/>
  <c r="AL622" i="98" s="1"/>
  <c r="AV622" i="98"/>
  <c r="AU622" i="98"/>
  <c r="BE622" i="98"/>
  <c r="EI622" i="98"/>
  <c r="AT622" i="98"/>
  <c r="BE581" i="98"/>
  <c r="BI581" i="98"/>
  <c r="AF582" i="98"/>
  <c r="AR582" i="98" s="1"/>
  <c r="W583" i="98"/>
  <c r="N584" i="98"/>
  <c r="AL584" i="98" s="1"/>
  <c r="BE585" i="98"/>
  <c r="BI585" i="98"/>
  <c r="AF586" i="98"/>
  <c r="AR586" i="98" s="1"/>
  <c r="W587" i="98"/>
  <c r="N588" i="98"/>
  <c r="AL588" i="98" s="1"/>
  <c r="EF588" i="98"/>
  <c r="EV588" i="98" s="1"/>
  <c r="N589" i="98"/>
  <c r="AL589" i="98" s="1"/>
  <c r="AF591" i="98"/>
  <c r="AR591" i="98" s="1"/>
  <c r="EH591" i="98"/>
  <c r="EV591" i="98" s="1"/>
  <c r="AF592" i="98"/>
  <c r="AR592" i="98" s="1"/>
  <c r="W593" i="98"/>
  <c r="N594" i="98"/>
  <c r="AL594" i="98" s="1"/>
  <c r="BE595" i="98"/>
  <c r="BI595" i="98"/>
  <c r="AF596" i="98"/>
  <c r="AR596" i="98" s="1"/>
  <c r="EK597" i="98"/>
  <c r="N598" i="98"/>
  <c r="AL598" i="98" s="1"/>
  <c r="EF598" i="98"/>
  <c r="EF599" i="98"/>
  <c r="EV599" i="98" s="1"/>
  <c r="O599" i="98"/>
  <c r="AM599" i="98" s="1"/>
  <c r="N599" i="98"/>
  <c r="AL599" i="98" s="1"/>
  <c r="N602" i="98"/>
  <c r="AL602" i="98" s="1"/>
  <c r="AY603" i="98"/>
  <c r="AZ603" i="98"/>
  <c r="EV604" i="98"/>
  <c r="EM604" i="98"/>
  <c r="AX604" i="98"/>
  <c r="AY604" i="98"/>
  <c r="EO605" i="98"/>
  <c r="P606" i="98"/>
  <c r="AN606" i="98" s="1"/>
  <c r="M606" i="98"/>
  <c r="AK606" i="98" s="1"/>
  <c r="O606" i="98"/>
  <c r="AM606" i="98" s="1"/>
  <c r="BL606" i="98"/>
  <c r="EP606" i="98"/>
  <c r="EU606" i="98" s="1"/>
  <c r="EF607" i="98"/>
  <c r="EV607" i="98" s="1"/>
  <c r="O607" i="98"/>
  <c r="AM607" i="98" s="1"/>
  <c r="P607" i="98"/>
  <c r="AN607" i="98" s="1"/>
  <c r="N607" i="98"/>
  <c r="AL607" i="98" s="1"/>
  <c r="AX607" i="98"/>
  <c r="BK608" i="98"/>
  <c r="BF609" i="98"/>
  <c r="AT610" i="98"/>
  <c r="AD611" i="98"/>
  <c r="AP611" i="98" s="1"/>
  <c r="EH611" i="98"/>
  <c r="EV611" i="98" s="1"/>
  <c r="AE611" i="98"/>
  <c r="AQ611" i="98" s="1"/>
  <c r="EM611" i="98"/>
  <c r="AX611" i="98"/>
  <c r="AZ611" i="98"/>
  <c r="EG613" i="98"/>
  <c r="X613" i="98"/>
  <c r="U613" i="98"/>
  <c r="V613" i="98"/>
  <c r="W613" i="98"/>
  <c r="AE614" i="98"/>
  <c r="AQ614" i="98" s="1"/>
  <c r="EH614" i="98"/>
  <c r="AF614" i="98"/>
  <c r="AR614" i="98" s="1"/>
  <c r="AD614" i="98"/>
  <c r="AP614" i="98" s="1"/>
  <c r="BH616" i="98"/>
  <c r="AZ618" i="98"/>
  <c r="AY618" i="98"/>
  <c r="AX618" i="98"/>
  <c r="BI618" i="98"/>
  <c r="EM618" i="98"/>
  <c r="AX619" i="98"/>
  <c r="AT619" i="98"/>
  <c r="EJ621" i="98"/>
  <c r="BF621" i="98"/>
  <c r="EV623" i="98"/>
  <c r="U625" i="98"/>
  <c r="EG625" i="98"/>
  <c r="EV625" i="98" s="1"/>
  <c r="X625" i="98"/>
  <c r="V625" i="98"/>
  <c r="W625" i="98"/>
  <c r="BL626" i="98"/>
  <c r="EP626" i="98"/>
  <c r="BF626" i="98"/>
  <c r="AD628" i="98"/>
  <c r="AP628" i="98" s="1"/>
  <c r="EH628" i="98"/>
  <c r="AC628" i="98"/>
  <c r="AO628" i="98" s="1"/>
  <c r="AE628" i="98"/>
  <c r="AQ628" i="98" s="1"/>
  <c r="AF628" i="98"/>
  <c r="AR628" i="98" s="1"/>
  <c r="BH580" i="98"/>
  <c r="BL580" i="98"/>
  <c r="W581" i="98"/>
  <c r="AE581" i="98"/>
  <c r="AQ581" i="98" s="1"/>
  <c r="AU581" i="98"/>
  <c r="AY581" i="98"/>
  <c r="N582" i="98"/>
  <c r="AL582" i="98" s="1"/>
  <c r="V582" i="98"/>
  <c r="AD582" i="98"/>
  <c r="AP582" i="98" s="1"/>
  <c r="M583" i="98"/>
  <c r="AK583" i="98" s="1"/>
  <c r="U583" i="98"/>
  <c r="BE583" i="98"/>
  <c r="BI583" i="98"/>
  <c r="P584" i="98"/>
  <c r="AN584" i="98" s="1"/>
  <c r="AF584" i="98"/>
  <c r="AR584" i="98" s="1"/>
  <c r="AV584" i="98"/>
  <c r="AZ584" i="98"/>
  <c r="W585" i="98"/>
  <c r="AE585" i="98"/>
  <c r="AQ585" i="98" s="1"/>
  <c r="AU585" i="98"/>
  <c r="AY585" i="98"/>
  <c r="N586" i="98"/>
  <c r="AL586" i="98" s="1"/>
  <c r="V586" i="98"/>
  <c r="AD586" i="98"/>
  <c r="AP586" i="98" s="1"/>
  <c r="M587" i="98"/>
  <c r="AK587" i="98" s="1"/>
  <c r="U587" i="98"/>
  <c r="P588" i="98"/>
  <c r="AN588" i="98" s="1"/>
  <c r="AF588" i="98"/>
  <c r="AR588" i="98" s="1"/>
  <c r="P589" i="98"/>
  <c r="AN589" i="98" s="1"/>
  <c r="AV589" i="98"/>
  <c r="AZ589" i="98"/>
  <c r="AE590" i="98"/>
  <c r="AQ590" i="98" s="1"/>
  <c r="N591" i="98"/>
  <c r="AL591" i="98" s="1"/>
  <c r="V591" i="98"/>
  <c r="AD591" i="98"/>
  <c r="AP591" i="98" s="1"/>
  <c r="V592" i="98"/>
  <c r="AD592" i="98"/>
  <c r="AP592" i="98" s="1"/>
  <c r="M593" i="98"/>
  <c r="AK593" i="98" s="1"/>
  <c r="U593" i="98"/>
  <c r="P594" i="98"/>
  <c r="AN594" i="98" s="1"/>
  <c r="AV594" i="98"/>
  <c r="AZ594" i="98"/>
  <c r="AE595" i="98"/>
  <c r="AQ595" i="98" s="1"/>
  <c r="AU595" i="98"/>
  <c r="AY595" i="98"/>
  <c r="V596" i="98"/>
  <c r="AD596" i="98"/>
  <c r="AP596" i="98" s="1"/>
  <c r="N597" i="98"/>
  <c r="W597" i="98"/>
  <c r="BF597" i="98"/>
  <c r="BG598" i="98"/>
  <c r="AD599" i="98"/>
  <c r="AP599" i="98" s="1"/>
  <c r="AC600" i="98"/>
  <c r="AO600" i="98" s="1"/>
  <c r="EM600" i="98"/>
  <c r="AX600" i="98"/>
  <c r="N601" i="98"/>
  <c r="AL601" i="98" s="1"/>
  <c r="W601" i="98"/>
  <c r="BL601" i="98"/>
  <c r="AU603" i="98"/>
  <c r="AV603" i="98"/>
  <c r="BI603" i="98"/>
  <c r="EI604" i="98"/>
  <c r="AT604" i="98"/>
  <c r="AU604" i="98"/>
  <c r="BI604" i="98"/>
  <c r="EH605" i="98"/>
  <c r="EU605" i="98" s="1"/>
  <c r="AC605" i="98"/>
  <c r="AO605" i="98" s="1"/>
  <c r="AD605" i="98"/>
  <c r="AP605" i="98" s="1"/>
  <c r="BF606" i="98"/>
  <c r="P609" i="98"/>
  <c r="AN609" i="98" s="1"/>
  <c r="M609" i="98"/>
  <c r="AK609" i="98" s="1"/>
  <c r="O609" i="98"/>
  <c r="AM609" i="98" s="1"/>
  <c r="BL609" i="98"/>
  <c r="EP609" i="98"/>
  <c r="BJ609" i="98"/>
  <c r="EF610" i="98"/>
  <c r="EV610" i="98" s="1"/>
  <c r="O610" i="98"/>
  <c r="AM610" i="98" s="1"/>
  <c r="P610" i="98"/>
  <c r="AN610" i="98" s="1"/>
  <c r="N610" i="98"/>
  <c r="AL610" i="98" s="1"/>
  <c r="AF611" i="98"/>
  <c r="AR611" i="98" s="1"/>
  <c r="BI611" i="98"/>
  <c r="EK617" i="98"/>
  <c r="BG617" i="98"/>
  <c r="BE619" i="98"/>
  <c r="EV624" i="98"/>
  <c r="EO629" i="98"/>
  <c r="BK629" i="98"/>
  <c r="BL632" i="98"/>
  <c r="X581" i="98"/>
  <c r="O582" i="98"/>
  <c r="AM582" i="98" s="1"/>
  <c r="AT583" i="98"/>
  <c r="AX583" i="98"/>
  <c r="AC584" i="98"/>
  <c r="AO584" i="98" s="1"/>
  <c r="X585" i="98"/>
  <c r="O586" i="98"/>
  <c r="AM586" i="98" s="1"/>
  <c r="W591" i="98"/>
  <c r="O597" i="98"/>
  <c r="X597" i="98"/>
  <c r="M598" i="98"/>
  <c r="AK598" i="98" s="1"/>
  <c r="M599" i="98"/>
  <c r="AK599" i="98" s="1"/>
  <c r="AE600" i="98"/>
  <c r="AQ600" i="98" s="1"/>
  <c r="EI600" i="98"/>
  <c r="AT600" i="98"/>
  <c r="EV600" i="98"/>
  <c r="O601" i="98"/>
  <c r="AM601" i="98" s="1"/>
  <c r="X601" i="98"/>
  <c r="BH601" i="98"/>
  <c r="M602" i="98"/>
  <c r="AK602" i="98" s="1"/>
  <c r="EF602" i="98"/>
  <c r="EF603" i="98"/>
  <c r="O603" i="98"/>
  <c r="AM603" i="98" s="1"/>
  <c r="N603" i="98"/>
  <c r="AL603" i="98" s="1"/>
  <c r="AD604" i="98"/>
  <c r="AP604" i="98" s="1"/>
  <c r="AE604" i="98"/>
  <c r="AQ604" i="98" s="1"/>
  <c r="BG606" i="98"/>
  <c r="AY607" i="98"/>
  <c r="AZ607" i="98"/>
  <c r="EG609" i="98"/>
  <c r="X609" i="98"/>
  <c r="U609" i="98"/>
  <c r="V609" i="98"/>
  <c r="BH609" i="98"/>
  <c r="EL609" i="98"/>
  <c r="AU610" i="98"/>
  <c r="AV610" i="98"/>
  <c r="EI611" i="98"/>
  <c r="AT611" i="98"/>
  <c r="BE611" i="98"/>
  <c r="AU611" i="98"/>
  <c r="AV611" i="98"/>
  <c r="P613" i="98"/>
  <c r="AN613" i="98" s="1"/>
  <c r="EF613" i="98"/>
  <c r="EV613" i="98" s="1"/>
  <c r="M613" i="98"/>
  <c r="AK613" i="98" s="1"/>
  <c r="O613" i="98"/>
  <c r="AM613" i="98" s="1"/>
  <c r="BL616" i="98"/>
  <c r="BG616" i="98"/>
  <c r="EJ618" i="98"/>
  <c r="BF618" i="98"/>
  <c r="EM619" i="98"/>
  <c r="BI619" i="98"/>
  <c r="AU623" i="98"/>
  <c r="EI623" i="98"/>
  <c r="AT623" i="98"/>
  <c r="AV623" i="98"/>
  <c r="EL624" i="98"/>
  <c r="BH624" i="98"/>
  <c r="EK633" i="98"/>
  <c r="BG633" i="98"/>
  <c r="EO636" i="98"/>
  <c r="BK636" i="98"/>
  <c r="W604" i="98"/>
  <c r="N605" i="98"/>
  <c r="AL605" i="98" s="1"/>
  <c r="BE606" i="98"/>
  <c r="BI606" i="98"/>
  <c r="AF607" i="98"/>
  <c r="AR607" i="98" s="1"/>
  <c r="BE609" i="98"/>
  <c r="BI609" i="98"/>
  <c r="AF610" i="98"/>
  <c r="AR610" i="98" s="1"/>
  <c r="W611" i="98"/>
  <c r="EH612" i="98"/>
  <c r="AC612" i="98"/>
  <c r="AO612" i="98" s="1"/>
  <c r="AE612" i="98"/>
  <c r="AQ612" i="98" s="1"/>
  <c r="EF614" i="98"/>
  <c r="O614" i="98"/>
  <c r="AM614" i="98" s="1"/>
  <c r="N614" i="98"/>
  <c r="AL614" i="98" s="1"/>
  <c r="AV618" i="98"/>
  <c r="AU618" i="98"/>
  <c r="EI618" i="98"/>
  <c r="AE619" i="98"/>
  <c r="AQ619" i="98" s="1"/>
  <c r="AD619" i="98"/>
  <c r="AP619" i="98" s="1"/>
  <c r="EH619" i="98"/>
  <c r="EV619" i="98" s="1"/>
  <c r="AD620" i="98"/>
  <c r="AP620" i="98" s="1"/>
  <c r="EH620" i="98"/>
  <c r="EV620" i="98" s="1"/>
  <c r="AC620" i="98"/>
  <c r="AO620" i="98" s="1"/>
  <c r="BG620" i="98"/>
  <c r="M621" i="98"/>
  <c r="AK621" i="98" s="1"/>
  <c r="P621" i="98"/>
  <c r="AN621" i="98" s="1"/>
  <c r="O621" i="98"/>
  <c r="AM621" i="98" s="1"/>
  <c r="BL622" i="98"/>
  <c r="EP622" i="98"/>
  <c r="BL624" i="98"/>
  <c r="P626" i="98"/>
  <c r="AN626" i="98" s="1"/>
  <c r="EF626" i="98"/>
  <c r="EV626" i="98" s="1"/>
  <c r="O626" i="98"/>
  <c r="AM626" i="98" s="1"/>
  <c r="M626" i="98"/>
  <c r="AK626" i="98" s="1"/>
  <c r="BH626" i="98"/>
  <c r="EL626" i="98"/>
  <c r="AU627" i="98"/>
  <c r="EI627" i="98"/>
  <c r="AT627" i="98"/>
  <c r="AV627" i="98"/>
  <c r="AD632" i="98"/>
  <c r="AP632" i="98" s="1"/>
  <c r="EH632" i="98"/>
  <c r="AC632" i="98"/>
  <c r="AO632" i="98" s="1"/>
  <c r="AE632" i="98"/>
  <c r="AQ632" i="98" s="1"/>
  <c r="AU638" i="98"/>
  <c r="EI638" i="98"/>
  <c r="AT638" i="98"/>
  <c r="AV638" i="98"/>
  <c r="BE638" i="98"/>
  <c r="EL643" i="98"/>
  <c r="BH643" i="98"/>
  <c r="AV648" i="98"/>
  <c r="AU648" i="98"/>
  <c r="AT648" i="98"/>
  <c r="BE648" i="98"/>
  <c r="AW648" i="98"/>
  <c r="EI648" i="98"/>
  <c r="BC627" i="98"/>
  <c r="ES627" i="98" s="1"/>
  <c r="EQ627" i="98"/>
  <c r="BB627" i="98"/>
  <c r="ER627" i="98" s="1"/>
  <c r="BD627" i="98"/>
  <c r="ET627" i="98" s="1"/>
  <c r="BL628" i="98"/>
  <c r="U629" i="98"/>
  <c r="EG629" i="98"/>
  <c r="X629" i="98"/>
  <c r="V629" i="98"/>
  <c r="AU631" i="98"/>
  <c r="EI631" i="98"/>
  <c r="AT631" i="98"/>
  <c r="AV631" i="98"/>
  <c r="EK644" i="98"/>
  <c r="BG644" i="98"/>
  <c r="EP644" i="98"/>
  <c r="BL644" i="98"/>
  <c r="V611" i="98"/>
  <c r="AD612" i="98"/>
  <c r="AP612" i="98" s="1"/>
  <c r="M614" i="98"/>
  <c r="AK614" i="98" s="1"/>
  <c r="EI615" i="98"/>
  <c r="AT615" i="98"/>
  <c r="P618" i="98"/>
  <c r="AN618" i="98" s="1"/>
  <c r="EF618" i="98"/>
  <c r="O618" i="98"/>
  <c r="AM618" i="98" s="1"/>
  <c r="N618" i="98"/>
  <c r="AL618" i="98" s="1"/>
  <c r="V620" i="98"/>
  <c r="U620" i="98"/>
  <c r="W620" i="98"/>
  <c r="BL620" i="98"/>
  <c r="N621" i="98"/>
  <c r="AL621" i="98" s="1"/>
  <c r="BK621" i="98"/>
  <c r="AY623" i="98"/>
  <c r="EM623" i="98"/>
  <c r="AX623" i="98"/>
  <c r="AZ623" i="98"/>
  <c r="N626" i="98"/>
  <c r="AL626" i="98" s="1"/>
  <c r="BJ626" i="98"/>
  <c r="BE627" i="98"/>
  <c r="EV629" i="98"/>
  <c r="P630" i="98"/>
  <c r="AN630" i="98" s="1"/>
  <c r="EF630" i="98"/>
  <c r="O630" i="98"/>
  <c r="AM630" i="98" s="1"/>
  <c r="M630" i="98"/>
  <c r="AK630" i="98" s="1"/>
  <c r="AY631" i="98"/>
  <c r="EM631" i="98"/>
  <c r="AX631" i="98"/>
  <c r="AZ631" i="98"/>
  <c r="AF632" i="98"/>
  <c r="AR632" i="98" s="1"/>
  <c r="BH635" i="98"/>
  <c r="P641" i="98"/>
  <c r="AN641" i="98" s="1"/>
  <c r="EF641" i="98"/>
  <c r="O641" i="98"/>
  <c r="AM641" i="98" s="1"/>
  <c r="M641" i="98"/>
  <c r="AK641" i="98" s="1"/>
  <c r="N641" i="98"/>
  <c r="AL641" i="98" s="1"/>
  <c r="BH641" i="98"/>
  <c r="EL641" i="98"/>
  <c r="EN641" i="98"/>
  <c r="BJ641" i="98"/>
  <c r="BI622" i="98"/>
  <c r="AF623" i="98"/>
  <c r="AR623" i="98" s="1"/>
  <c r="W624" i="98"/>
  <c r="N625" i="98"/>
  <c r="AL625" i="98" s="1"/>
  <c r="BE626" i="98"/>
  <c r="BI626" i="98"/>
  <c r="P627" i="98"/>
  <c r="AN627" i="98" s="1"/>
  <c r="X627" i="98"/>
  <c r="AF627" i="98"/>
  <c r="AR627" i="98" s="1"/>
  <c r="EG627" i="98"/>
  <c r="EV627" i="98" s="1"/>
  <c r="O628" i="98"/>
  <c r="AM628" i="98" s="1"/>
  <c r="W628" i="98"/>
  <c r="AU628" i="98"/>
  <c r="AY628" i="98"/>
  <c r="BC628" i="98"/>
  <c r="ES628" i="98" s="1"/>
  <c r="EF628" i="98"/>
  <c r="N629" i="98"/>
  <c r="AL629" i="98" s="1"/>
  <c r="AD629" i="98"/>
  <c r="AP629" i="98" s="1"/>
  <c r="AT629" i="98"/>
  <c r="AX629" i="98"/>
  <c r="EI629" i="98"/>
  <c r="EM629" i="98"/>
  <c r="U630" i="98"/>
  <c r="AC630" i="98"/>
  <c r="AO630" i="98" s="1"/>
  <c r="EH630" i="98"/>
  <c r="EL630" i="98"/>
  <c r="EP630" i="98"/>
  <c r="P631" i="98"/>
  <c r="AN631" i="98" s="1"/>
  <c r="X631" i="98"/>
  <c r="AF631" i="98"/>
  <c r="AR631" i="98" s="1"/>
  <c r="EG631" i="98"/>
  <c r="EV631" i="98" s="1"/>
  <c r="O632" i="98"/>
  <c r="AM632" i="98" s="1"/>
  <c r="W632" i="98"/>
  <c r="AU632" i="98"/>
  <c r="AY632" i="98"/>
  <c r="EF632" i="98"/>
  <c r="EV632" i="98" s="1"/>
  <c r="BF633" i="98"/>
  <c r="AD635" i="98"/>
  <c r="AP635" i="98" s="1"/>
  <c r="EH635" i="98"/>
  <c r="AE635" i="98"/>
  <c r="AQ635" i="98" s="1"/>
  <c r="BF637" i="98"/>
  <c r="BL639" i="98"/>
  <c r="U640" i="98"/>
  <c r="EG640" i="98"/>
  <c r="X640" i="98"/>
  <c r="V640" i="98"/>
  <c r="BK640" i="98"/>
  <c r="BL641" i="98"/>
  <c r="EP641" i="98"/>
  <c r="AE643" i="98"/>
  <c r="AQ643" i="98" s="1"/>
  <c r="AD643" i="98"/>
  <c r="AP643" i="98" s="1"/>
  <c r="EH643" i="98"/>
  <c r="AF643" i="98"/>
  <c r="AR643" i="98" s="1"/>
  <c r="AC643" i="98"/>
  <c r="AO643" i="98" s="1"/>
  <c r="EI646" i="98"/>
  <c r="BE646" i="98"/>
  <c r="AV646" i="98"/>
  <c r="AT646" i="98"/>
  <c r="AU646" i="98"/>
  <c r="BE616" i="98"/>
  <c r="BI616" i="98"/>
  <c r="BH617" i="98"/>
  <c r="BL617" i="98"/>
  <c r="W618" i="98"/>
  <c r="N619" i="98"/>
  <c r="AL619" i="98" s="1"/>
  <c r="BE620" i="98"/>
  <c r="BI620" i="98"/>
  <c r="AF621" i="98"/>
  <c r="AR621" i="98" s="1"/>
  <c r="BH621" i="98"/>
  <c r="BL621" i="98"/>
  <c r="W622" i="98"/>
  <c r="AY622" i="98"/>
  <c r="N623" i="98"/>
  <c r="AL623" i="98" s="1"/>
  <c r="AD623" i="98"/>
  <c r="AP623" i="98" s="1"/>
  <c r="U624" i="98"/>
  <c r="BE624" i="98"/>
  <c r="BI624" i="98"/>
  <c r="P625" i="98"/>
  <c r="AN625" i="98" s="1"/>
  <c r="AF625" i="98"/>
  <c r="AR625" i="98" s="1"/>
  <c r="W626" i="98"/>
  <c r="AU626" i="98"/>
  <c r="AY626" i="98"/>
  <c r="N627" i="98"/>
  <c r="AL627" i="98" s="1"/>
  <c r="BE628" i="98"/>
  <c r="BI628" i="98"/>
  <c r="AF629" i="98"/>
  <c r="AR629" i="98" s="1"/>
  <c r="BH629" i="98"/>
  <c r="BL629" i="98"/>
  <c r="W630" i="98"/>
  <c r="BG630" i="98"/>
  <c r="BK630" i="98"/>
  <c r="N631" i="98"/>
  <c r="AL631" i="98" s="1"/>
  <c r="BE632" i="98"/>
  <c r="BI632" i="98"/>
  <c r="P633" i="98"/>
  <c r="AN633" i="98" s="1"/>
  <c r="M633" i="98"/>
  <c r="AK633" i="98" s="1"/>
  <c r="O633" i="98"/>
  <c r="AM633" i="98" s="1"/>
  <c r="BL633" i="98"/>
  <c r="EP633" i="98"/>
  <c r="AY634" i="98"/>
  <c r="AZ634" i="98"/>
  <c r="EM634" i="98"/>
  <c r="U636" i="98"/>
  <c r="EG636" i="98"/>
  <c r="EV636" i="98" s="1"/>
  <c r="X636" i="98"/>
  <c r="V636" i="98"/>
  <c r="AY638" i="98"/>
  <c r="EM638" i="98"/>
  <c r="AX638" i="98"/>
  <c r="AZ638" i="98"/>
  <c r="AU642" i="98"/>
  <c r="EI642" i="98"/>
  <c r="AT642" i="98"/>
  <c r="AV642" i="98"/>
  <c r="AT616" i="98"/>
  <c r="AX616" i="98"/>
  <c r="BB616" i="98"/>
  <c r="ER616" i="98" s="1"/>
  <c r="X618" i="98"/>
  <c r="O619" i="98"/>
  <c r="AM619" i="98" s="1"/>
  <c r="AT620" i="98"/>
  <c r="AX620" i="98"/>
  <c r="AC621" i="98"/>
  <c r="AO621" i="98" s="1"/>
  <c r="X622" i="98"/>
  <c r="O623" i="98"/>
  <c r="AM623" i="98" s="1"/>
  <c r="AT624" i="98"/>
  <c r="AX624" i="98"/>
  <c r="AC625" i="98"/>
  <c r="AO625" i="98" s="1"/>
  <c r="X626" i="98"/>
  <c r="O627" i="98"/>
  <c r="AM627" i="98" s="1"/>
  <c r="AT628" i="98"/>
  <c r="AX628" i="98"/>
  <c r="BB628" i="98"/>
  <c r="ER628" i="98" s="1"/>
  <c r="AC629" i="98"/>
  <c r="AO629" i="98" s="1"/>
  <c r="X630" i="98"/>
  <c r="O631" i="98"/>
  <c r="AM631" i="98" s="1"/>
  <c r="AT632" i="98"/>
  <c r="AX632" i="98"/>
  <c r="EG633" i="98"/>
  <c r="X633" i="98"/>
  <c r="U633" i="98"/>
  <c r="V633" i="98"/>
  <c r="BH633" i="98"/>
  <c r="EL633" i="98"/>
  <c r="BK633" i="98"/>
  <c r="AX634" i="98"/>
  <c r="EI635" i="98"/>
  <c r="AT635" i="98"/>
  <c r="BE635" i="98"/>
  <c r="AU635" i="98"/>
  <c r="P637" i="98"/>
  <c r="AN637" i="98" s="1"/>
  <c r="EF637" i="98"/>
  <c r="O637" i="98"/>
  <c r="AM637" i="98" s="1"/>
  <c r="M637" i="98"/>
  <c r="AK637" i="98" s="1"/>
  <c r="BH637" i="98"/>
  <c r="EL637" i="98"/>
  <c r="AD639" i="98"/>
  <c r="AP639" i="98" s="1"/>
  <c r="EH639" i="98"/>
  <c r="AC639" i="98"/>
  <c r="AO639" i="98" s="1"/>
  <c r="AE639" i="98"/>
  <c r="AQ639" i="98" s="1"/>
  <c r="BH639" i="98"/>
  <c r="AY642" i="98"/>
  <c r="EM642" i="98"/>
  <c r="AX642" i="98"/>
  <c r="AZ642" i="98"/>
  <c r="AC633" i="98"/>
  <c r="AO633" i="98" s="1"/>
  <c r="BE633" i="98"/>
  <c r="BI633" i="98"/>
  <c r="EH633" i="98"/>
  <c r="O635" i="98"/>
  <c r="AM635" i="98" s="1"/>
  <c r="W635" i="98"/>
  <c r="EF635" i="98"/>
  <c r="N636" i="98"/>
  <c r="AL636" i="98" s="1"/>
  <c r="AD636" i="98"/>
  <c r="AP636" i="98" s="1"/>
  <c r="AT636" i="98"/>
  <c r="AX636" i="98"/>
  <c r="EI636" i="98"/>
  <c r="EM636" i="98"/>
  <c r="U637" i="98"/>
  <c r="AC637" i="98"/>
  <c r="AO637" i="98" s="1"/>
  <c r="BE637" i="98"/>
  <c r="EH637" i="98"/>
  <c r="EP637" i="98"/>
  <c r="P638" i="98"/>
  <c r="AN638" i="98" s="1"/>
  <c r="X638" i="98"/>
  <c r="AF638" i="98"/>
  <c r="AR638" i="98" s="1"/>
  <c r="EG638" i="98"/>
  <c r="EV638" i="98" s="1"/>
  <c r="O639" i="98"/>
  <c r="AM639" i="98" s="1"/>
  <c r="W639" i="98"/>
  <c r="AU639" i="98"/>
  <c r="AY639" i="98"/>
  <c r="EF639" i="98"/>
  <c r="EV639" i="98" s="1"/>
  <c r="N640" i="98"/>
  <c r="AL640" i="98" s="1"/>
  <c r="AD640" i="98"/>
  <c r="AP640" i="98" s="1"/>
  <c r="AT640" i="98"/>
  <c r="AX640" i="98"/>
  <c r="EI640" i="98"/>
  <c r="EM640" i="98"/>
  <c r="U641" i="98"/>
  <c r="AC641" i="98"/>
  <c r="AO641" i="98" s="1"/>
  <c r="BE641" i="98"/>
  <c r="BI641" i="98"/>
  <c r="EH641" i="98"/>
  <c r="P642" i="98"/>
  <c r="AN642" i="98" s="1"/>
  <c r="X642" i="98"/>
  <c r="AF642" i="98"/>
  <c r="AR642" i="98" s="1"/>
  <c r="EG642" i="98"/>
  <c r="EV642" i="98" s="1"/>
  <c r="W643" i="98"/>
  <c r="EG643" i="98"/>
  <c r="V643" i="98"/>
  <c r="X646" i="98"/>
  <c r="V646" i="98"/>
  <c r="EG646" i="98"/>
  <c r="W646" i="98"/>
  <c r="BF647" i="98"/>
  <c r="EI653" i="98"/>
  <c r="AT653" i="98"/>
  <c r="AV653" i="98"/>
  <c r="BE653" i="98"/>
  <c r="AU653" i="98"/>
  <c r="AF636" i="98"/>
  <c r="AR636" i="98" s="1"/>
  <c r="BH636" i="98"/>
  <c r="BL636" i="98"/>
  <c r="W637" i="98"/>
  <c r="BG637" i="98"/>
  <c r="BK637" i="98"/>
  <c r="N638" i="98"/>
  <c r="AL638" i="98" s="1"/>
  <c r="BE639" i="98"/>
  <c r="BI639" i="98"/>
  <c r="AF640" i="98"/>
  <c r="AR640" i="98" s="1"/>
  <c r="BH640" i="98"/>
  <c r="BL640" i="98"/>
  <c r="W641" i="98"/>
  <c r="BG641" i="98"/>
  <c r="BK641" i="98"/>
  <c r="N642" i="98"/>
  <c r="AL642" i="98" s="1"/>
  <c r="AY643" i="98"/>
  <c r="BI643" i="98"/>
  <c r="AX643" i="98"/>
  <c r="EM643" i="98"/>
  <c r="AZ643" i="98"/>
  <c r="EQ644" i="98"/>
  <c r="BB644" i="98"/>
  <c r="ER644" i="98" s="1"/>
  <c r="BC644" i="98"/>
  <c r="ES644" i="98" s="1"/>
  <c r="BD644" i="98"/>
  <c r="ET644" i="98" s="1"/>
  <c r="EL644" i="98"/>
  <c r="U645" i="98"/>
  <c r="W645" i="98"/>
  <c r="X645" i="98"/>
  <c r="EL645" i="98"/>
  <c r="BH645" i="98"/>
  <c r="EP645" i="98"/>
  <c r="BL645" i="98"/>
  <c r="EG645" i="98"/>
  <c r="EO647" i="98"/>
  <c r="BK647" i="98"/>
  <c r="AE649" i="98"/>
  <c r="AQ649" i="98" s="1"/>
  <c r="AD649" i="98"/>
  <c r="AP649" i="98" s="1"/>
  <c r="AC649" i="98"/>
  <c r="AO649" i="98" s="1"/>
  <c r="EH649" i="98"/>
  <c r="AF649" i="98"/>
  <c r="AR649" i="98" s="1"/>
  <c r="EJ651" i="98"/>
  <c r="BF651" i="98"/>
  <c r="EO651" i="98"/>
  <c r="BK651" i="98"/>
  <c r="EL652" i="98"/>
  <c r="BH652" i="98"/>
  <c r="EP652" i="98"/>
  <c r="BL652" i="98"/>
  <c r="BD655" i="98"/>
  <c r="ET655" i="98" s="1"/>
  <c r="EQ655" i="98"/>
  <c r="BB655" i="98"/>
  <c r="ER655" i="98" s="1"/>
  <c r="BC655" i="98"/>
  <c r="ES655" i="98" s="1"/>
  <c r="AC636" i="98"/>
  <c r="AO636" i="98" s="1"/>
  <c r="X637" i="98"/>
  <c r="O638" i="98"/>
  <c r="AM638" i="98" s="1"/>
  <c r="AT639" i="98"/>
  <c r="AX639" i="98"/>
  <c r="AC640" i="98"/>
  <c r="AO640" i="98" s="1"/>
  <c r="X641" i="98"/>
  <c r="O642" i="98"/>
  <c r="AM642" i="98" s="1"/>
  <c r="EF643" i="98"/>
  <c r="N643" i="98"/>
  <c r="AL643" i="98" s="1"/>
  <c r="O643" i="98"/>
  <c r="AM643" i="98" s="1"/>
  <c r="EH645" i="98"/>
  <c r="AC645" i="98"/>
  <c r="AO645" i="98" s="1"/>
  <c r="AF645" i="98"/>
  <c r="AR645" i="98" s="1"/>
  <c r="AE645" i="98"/>
  <c r="AQ645" i="98" s="1"/>
  <c r="P646" i="98"/>
  <c r="AN646" i="98" s="1"/>
  <c r="EF646" i="98"/>
  <c r="M646" i="98"/>
  <c r="AK646" i="98" s="1"/>
  <c r="N646" i="98"/>
  <c r="AL646" i="98" s="1"/>
  <c r="BJ646" i="98"/>
  <c r="EN646" i="98"/>
  <c r="BL649" i="98"/>
  <c r="X650" i="98"/>
  <c r="AN656" i="98"/>
  <c r="BL656" i="98"/>
  <c r="AR656" i="98"/>
  <c r="AT643" i="98"/>
  <c r="BE643" i="98"/>
  <c r="U644" i="98"/>
  <c r="EI644" i="98"/>
  <c r="AT644" i="98"/>
  <c r="O645" i="98"/>
  <c r="AM645" i="98" s="1"/>
  <c r="M647" i="98"/>
  <c r="AK647" i="98" s="1"/>
  <c r="P647" i="98"/>
  <c r="AN647" i="98" s="1"/>
  <c r="O647" i="98"/>
  <c r="AM647" i="98" s="1"/>
  <c r="BJ647" i="98"/>
  <c r="CZ648" i="98"/>
  <c r="DH648" i="98" s="1"/>
  <c r="CY648" i="98"/>
  <c r="DG648" i="98" s="1"/>
  <c r="AD650" i="98"/>
  <c r="AP650" i="98" s="1"/>
  <c r="EH650" i="98"/>
  <c r="EV650" i="98" s="1"/>
  <c r="AC650" i="98"/>
  <c r="AO650" i="98" s="1"/>
  <c r="BG650" i="98"/>
  <c r="EF651" i="98"/>
  <c r="M651" i="98"/>
  <c r="AK651" i="98" s="1"/>
  <c r="P651" i="98"/>
  <c r="AN651" i="98" s="1"/>
  <c r="O651" i="98"/>
  <c r="AM651" i="98" s="1"/>
  <c r="BG651" i="98"/>
  <c r="V653" i="98"/>
  <c r="EG653" i="98"/>
  <c r="X653" i="98"/>
  <c r="BK656" i="98"/>
  <c r="EO656" i="98"/>
  <c r="EQ657" i="98"/>
  <c r="BB657" i="98"/>
  <c r="ER657" i="98" s="1"/>
  <c r="BD657" i="98"/>
  <c r="ET657" i="98" s="1"/>
  <c r="BC657" i="98"/>
  <c r="ES657" i="98" s="1"/>
  <c r="U647" i="98"/>
  <c r="EG647" i="98"/>
  <c r="X647" i="98"/>
  <c r="V647" i="98"/>
  <c r="AU649" i="98"/>
  <c r="EI649" i="98"/>
  <c r="AT649" i="98"/>
  <c r="BH650" i="98"/>
  <c r="U651" i="98"/>
  <c r="X651" i="98"/>
  <c r="V651" i="98"/>
  <c r="EN651" i="98"/>
  <c r="EJ654" i="98"/>
  <c r="BF654" i="98"/>
  <c r="EO655" i="98"/>
  <c r="BK655" i="98"/>
  <c r="EF656" i="98"/>
  <c r="O656" i="98"/>
  <c r="AM656" i="98" s="1"/>
  <c r="M656" i="98"/>
  <c r="AK656" i="98" s="1"/>
  <c r="N656" i="98"/>
  <c r="AL656" i="98" s="1"/>
  <c r="EI657" i="98"/>
  <c r="AT657" i="98"/>
  <c r="AV657" i="98"/>
  <c r="BE657" i="98"/>
  <c r="AU657" i="98"/>
  <c r="EV659" i="98"/>
  <c r="BH659" i="98"/>
  <c r="EL659" i="98"/>
  <c r="BK660" i="98"/>
  <c r="EO660" i="98"/>
  <c r="EM644" i="98"/>
  <c r="AX644" i="98"/>
  <c r="N645" i="98"/>
  <c r="AL645" i="98" s="1"/>
  <c r="N647" i="98"/>
  <c r="AL647" i="98" s="1"/>
  <c r="BG647" i="98"/>
  <c r="EF647" i="98"/>
  <c r="EV649" i="98"/>
  <c r="AY649" i="98"/>
  <c r="EM649" i="98"/>
  <c r="AX649" i="98"/>
  <c r="BE649" i="98"/>
  <c r="V650" i="98"/>
  <c r="U650" i="98"/>
  <c r="W650" i="98"/>
  <c r="BL650" i="98"/>
  <c r="N651" i="98"/>
  <c r="AL651" i="98" s="1"/>
  <c r="EG651" i="98"/>
  <c r="EF652" i="98"/>
  <c r="O652" i="98"/>
  <c r="AM652" i="98" s="1"/>
  <c r="M652" i="98"/>
  <c r="AK652" i="98" s="1"/>
  <c r="N652" i="98"/>
  <c r="AL652" i="98" s="1"/>
  <c r="EH654" i="98"/>
  <c r="AC654" i="98"/>
  <c r="AO654" i="98" s="1"/>
  <c r="AE654" i="98"/>
  <c r="AQ654" i="98" s="1"/>
  <c r="AF654" i="98"/>
  <c r="AR654" i="98" s="1"/>
  <c r="AD654" i="98"/>
  <c r="AP654" i="98" s="1"/>
  <c r="BJ654" i="98"/>
  <c r="AV655" i="98"/>
  <c r="EI655" i="98"/>
  <c r="AT655" i="98"/>
  <c r="BE655" i="98"/>
  <c r="AU655" i="98"/>
  <c r="EO657" i="98"/>
  <c r="BK657" i="98"/>
  <c r="AR658" i="98"/>
  <c r="AN658" i="98"/>
  <c r="AZ646" i="98"/>
  <c r="BI646" i="98"/>
  <c r="AF647" i="98"/>
  <c r="AR647" i="98" s="1"/>
  <c r="AV647" i="98"/>
  <c r="AZ647" i="98"/>
  <c r="N649" i="98"/>
  <c r="AL649" i="98" s="1"/>
  <c r="V649" i="98"/>
  <c r="BE650" i="98"/>
  <c r="BI650" i="98"/>
  <c r="AF651" i="98"/>
  <c r="AR651" i="98" s="1"/>
  <c r="AV651" i="98"/>
  <c r="AZ651" i="98"/>
  <c r="AE652" i="98"/>
  <c r="AQ652" i="98" s="1"/>
  <c r="EH652" i="98"/>
  <c r="EV652" i="98" s="1"/>
  <c r="AC652" i="98"/>
  <c r="AO652" i="98" s="1"/>
  <c r="BJ652" i="98"/>
  <c r="EM653" i="98"/>
  <c r="AX653" i="98"/>
  <c r="AZ653" i="98"/>
  <c r="BL654" i="98"/>
  <c r="AE656" i="98"/>
  <c r="EH656" i="98"/>
  <c r="AC656" i="98"/>
  <c r="AO656" i="98" s="1"/>
  <c r="BF656" i="98"/>
  <c r="V657" i="98"/>
  <c r="EG657" i="98"/>
  <c r="X657" i="98"/>
  <c r="W657" i="98"/>
  <c r="EH658" i="98"/>
  <c r="AC658" i="98"/>
  <c r="AO658" i="98" s="1"/>
  <c r="AE658" i="98"/>
  <c r="AQ658" i="98" s="1"/>
  <c r="AD658" i="98"/>
  <c r="AP658" i="98" s="1"/>
  <c r="BG660" i="98"/>
  <c r="EK660" i="98"/>
  <c r="AC647" i="98"/>
  <c r="AO647" i="98" s="1"/>
  <c r="O649" i="98"/>
  <c r="AM649" i="98" s="1"/>
  <c r="AT650" i="98"/>
  <c r="AX650" i="98"/>
  <c r="BB650" i="98"/>
  <c r="ER650" i="98" s="1"/>
  <c r="BE651" i="98"/>
  <c r="BI651" i="98"/>
  <c r="AD652" i="98"/>
  <c r="AP652" i="98" s="1"/>
  <c r="EU652" i="98"/>
  <c r="AY653" i="98"/>
  <c r="EV653" i="98"/>
  <c r="M654" i="98"/>
  <c r="AK654" i="98" s="1"/>
  <c r="EF654" i="98"/>
  <c r="EV654" i="98" s="1"/>
  <c r="O654" i="98"/>
  <c r="AM654" i="98" s="1"/>
  <c r="P654" i="98"/>
  <c r="AN654" i="98" s="1"/>
  <c r="AZ655" i="98"/>
  <c r="EM655" i="98"/>
  <c r="AX655" i="98"/>
  <c r="AD656" i="98"/>
  <c r="AP656" i="98" s="1"/>
  <c r="AQ656" i="98"/>
  <c r="BH656" i="98"/>
  <c r="EM657" i="98"/>
  <c r="AX657" i="98"/>
  <c r="AZ657" i="98"/>
  <c r="BI657" i="98"/>
  <c r="BL659" i="98"/>
  <c r="EP659" i="98"/>
  <c r="N658" i="98"/>
  <c r="AL658" i="98" s="1"/>
  <c r="BF658" i="98"/>
  <c r="BJ658" i="98"/>
  <c r="U659" i="98"/>
  <c r="BE659" i="98"/>
  <c r="BI659" i="98"/>
  <c r="P660" i="98"/>
  <c r="AN660" i="98" s="1"/>
  <c r="AF660" i="98"/>
  <c r="AR660" i="98" s="1"/>
  <c r="BH660" i="98"/>
  <c r="BL660" i="98"/>
  <c r="W661" i="98"/>
  <c r="BK662" i="98"/>
  <c r="EH663" i="98"/>
  <c r="AC663" i="98"/>
  <c r="AO663" i="98" s="1"/>
  <c r="AE663" i="98"/>
  <c r="AQ663" i="98" s="1"/>
  <c r="BF663" i="98"/>
  <c r="EM665" i="98"/>
  <c r="AX665" i="98"/>
  <c r="AZ665" i="98"/>
  <c r="AD666" i="98"/>
  <c r="AP666" i="98" s="1"/>
  <c r="BH666" i="98"/>
  <c r="EV667" i="98"/>
  <c r="BH667" i="98"/>
  <c r="EL667" i="98"/>
  <c r="U652" i="98"/>
  <c r="P653" i="98"/>
  <c r="AN653" i="98" s="1"/>
  <c r="AF653" i="98"/>
  <c r="AR653" i="98" s="1"/>
  <c r="W654" i="98"/>
  <c r="U656" i="98"/>
  <c r="BE656" i="98"/>
  <c r="BI656" i="98"/>
  <c r="P657" i="98"/>
  <c r="AN657" i="98" s="1"/>
  <c r="O658" i="98"/>
  <c r="W658" i="98"/>
  <c r="AM658" i="98"/>
  <c r="AU658" i="98"/>
  <c r="AY658" i="98"/>
  <c r="EF658" i="98"/>
  <c r="EV658" i="98" s="1"/>
  <c r="N659" i="98"/>
  <c r="AL659" i="98" s="1"/>
  <c r="V659" i="98"/>
  <c r="AD659" i="98"/>
  <c r="AP659" i="98" s="1"/>
  <c r="AT659" i="98"/>
  <c r="AX659" i="98"/>
  <c r="BB659" i="98"/>
  <c r="ER659" i="98" s="1"/>
  <c r="EI659" i="98"/>
  <c r="EM659" i="98"/>
  <c r="EQ659" i="98"/>
  <c r="M660" i="98"/>
  <c r="AK660" i="98" s="1"/>
  <c r="U660" i="98"/>
  <c r="AC660" i="98"/>
  <c r="AO660" i="98" s="1"/>
  <c r="BE660" i="98"/>
  <c r="BI660" i="98"/>
  <c r="EH660" i="98"/>
  <c r="EV660" i="98" s="1"/>
  <c r="EH661" i="98"/>
  <c r="EV661" i="98" s="1"/>
  <c r="AC661" i="98"/>
  <c r="AO661" i="98" s="1"/>
  <c r="P661" i="98"/>
  <c r="AN661" i="98" s="1"/>
  <c r="X661" i="98"/>
  <c r="BL661" i="98"/>
  <c r="EK661" i="98"/>
  <c r="EM662" i="98"/>
  <c r="AX662" i="98"/>
  <c r="AZ662" i="98"/>
  <c r="AD663" i="98"/>
  <c r="AP663" i="98" s="1"/>
  <c r="BH663" i="98"/>
  <c r="EI664" i="98"/>
  <c r="M666" i="98"/>
  <c r="AK666" i="98" s="1"/>
  <c r="EF666" i="98"/>
  <c r="O666" i="98"/>
  <c r="AM666" i="98" s="1"/>
  <c r="P666" i="98"/>
  <c r="AN666" i="98" s="1"/>
  <c r="BL666" i="98"/>
  <c r="BK668" i="98"/>
  <c r="EO668" i="98"/>
  <c r="BH658" i="98"/>
  <c r="BL658" i="98"/>
  <c r="W659" i="98"/>
  <c r="BG659" i="98"/>
  <c r="BK659" i="98"/>
  <c r="N660" i="98"/>
  <c r="AL660" i="98" s="1"/>
  <c r="BF660" i="98"/>
  <c r="BJ660" i="98"/>
  <c r="BF661" i="98"/>
  <c r="M663" i="98"/>
  <c r="AK663" i="98" s="1"/>
  <c r="EF663" i="98"/>
  <c r="EV663" i="98" s="1"/>
  <c r="O663" i="98"/>
  <c r="AM663" i="98" s="1"/>
  <c r="P663" i="98"/>
  <c r="AN663" i="98" s="1"/>
  <c r="BJ664" i="98"/>
  <c r="V665" i="98"/>
  <c r="EG665" i="98"/>
  <c r="EV665" i="98" s="1"/>
  <c r="X665" i="98"/>
  <c r="U665" i="98"/>
  <c r="EI665" i="98"/>
  <c r="AT665" i="98"/>
  <c r="AV665" i="98"/>
  <c r="BL667" i="98"/>
  <c r="EP667" i="98"/>
  <c r="BG668" i="98"/>
  <c r="EK668" i="98"/>
  <c r="AK658" i="98"/>
  <c r="X659" i="98"/>
  <c r="O660" i="98"/>
  <c r="AM660" i="98" s="1"/>
  <c r="N661" i="98"/>
  <c r="AL661" i="98" s="1"/>
  <c r="V661" i="98"/>
  <c r="AE661" i="98"/>
  <c r="AQ661" i="98" s="1"/>
  <c r="BH661" i="98"/>
  <c r="EO661" i="98"/>
  <c r="V662" i="98"/>
  <c r="EG662" i="98"/>
  <c r="EV662" i="98" s="1"/>
  <c r="X662" i="98"/>
  <c r="U662" i="98"/>
  <c r="EI662" i="98"/>
  <c r="AT662" i="98"/>
  <c r="AV662" i="98"/>
  <c r="BI662" i="98"/>
  <c r="BL663" i="98"/>
  <c r="BL664" i="98"/>
  <c r="W665" i="98"/>
  <c r="AU665" i="98"/>
  <c r="BK665" i="98"/>
  <c r="EH666" i="98"/>
  <c r="EV666" i="98" s="1"/>
  <c r="AC666" i="98"/>
  <c r="AO666" i="98" s="1"/>
  <c r="AE666" i="98"/>
  <c r="AQ666" i="98" s="1"/>
  <c r="EJ666" i="98"/>
  <c r="BF666" i="98"/>
  <c r="EN666" i="98"/>
  <c r="BJ666" i="98"/>
  <c r="U667" i="98"/>
  <c r="BE667" i="98"/>
  <c r="BI667" i="98"/>
  <c r="P668" i="98"/>
  <c r="AN668" i="98" s="1"/>
  <c r="AF668" i="98"/>
  <c r="AR668" i="98" s="1"/>
  <c r="BH668" i="98"/>
  <c r="BL668" i="98"/>
  <c r="W669" i="98"/>
  <c r="BG669" i="98"/>
  <c r="BK669" i="98"/>
  <c r="N670" i="98"/>
  <c r="AL670" i="98" s="1"/>
  <c r="EF670" i="98"/>
  <c r="N671" i="98"/>
  <c r="AL671" i="98" s="1"/>
  <c r="AZ671" i="98"/>
  <c r="EM671" i="98"/>
  <c r="AX671" i="98"/>
  <c r="BH672" i="98"/>
  <c r="M674" i="98"/>
  <c r="AK674" i="98" s="1"/>
  <c r="EF674" i="98"/>
  <c r="O674" i="98"/>
  <c r="AM674" i="98" s="1"/>
  <c r="P674" i="98"/>
  <c r="AN674" i="98" s="1"/>
  <c r="EK674" i="98"/>
  <c r="BG674" i="98"/>
  <c r="AV675" i="98"/>
  <c r="AU675" i="98"/>
  <c r="AT675" i="98"/>
  <c r="AE676" i="98"/>
  <c r="AQ676" i="98" s="1"/>
  <c r="AD676" i="98"/>
  <c r="AP676" i="98" s="1"/>
  <c r="AF676" i="98"/>
  <c r="AR676" i="98" s="1"/>
  <c r="AC676" i="98"/>
  <c r="AO676" i="98" s="1"/>
  <c r="EL676" i="98"/>
  <c r="BH676" i="98"/>
  <c r="EI677" i="98"/>
  <c r="AT677" i="98"/>
  <c r="AV677" i="98"/>
  <c r="BE677" i="98"/>
  <c r="AU677" i="98"/>
  <c r="AD681" i="98"/>
  <c r="AP681" i="98" s="1"/>
  <c r="EH681" i="98"/>
  <c r="AC681" i="98"/>
  <c r="AO681" i="98" s="1"/>
  <c r="AF681" i="98"/>
  <c r="AR681" i="98" s="1"/>
  <c r="AE681" i="98"/>
  <c r="AQ681" i="98" s="1"/>
  <c r="BE661" i="98"/>
  <c r="BI661" i="98"/>
  <c r="P662" i="98"/>
  <c r="AN662" i="98" s="1"/>
  <c r="AF662" i="98"/>
  <c r="AR662" i="98" s="1"/>
  <c r="W663" i="98"/>
  <c r="AU663" i="98"/>
  <c r="AY663" i="98"/>
  <c r="BI664" i="98"/>
  <c r="P665" i="98"/>
  <c r="AN665" i="98" s="1"/>
  <c r="AF665" i="98"/>
  <c r="AR665" i="98" s="1"/>
  <c r="W666" i="98"/>
  <c r="N667" i="98"/>
  <c r="AL667" i="98" s="1"/>
  <c r="V667" i="98"/>
  <c r="AD667" i="98"/>
  <c r="AP667" i="98" s="1"/>
  <c r="AT667" i="98"/>
  <c r="AX667" i="98"/>
  <c r="EI667" i="98"/>
  <c r="EM667" i="98"/>
  <c r="M668" i="98"/>
  <c r="AK668" i="98" s="1"/>
  <c r="U668" i="98"/>
  <c r="AC668" i="98"/>
  <c r="AO668" i="98" s="1"/>
  <c r="BE668" i="98"/>
  <c r="BI668" i="98"/>
  <c r="EH668" i="98"/>
  <c r="EU668" i="98" s="1"/>
  <c r="P669" i="98"/>
  <c r="AN669" i="98" s="1"/>
  <c r="X669" i="98"/>
  <c r="AF669" i="98"/>
  <c r="AR669" i="98" s="1"/>
  <c r="AV669" i="98"/>
  <c r="AZ669" i="98"/>
  <c r="EG669" i="98"/>
  <c r="O670" i="98"/>
  <c r="AM670" i="98" s="1"/>
  <c r="W670" i="98"/>
  <c r="EG670" i="98"/>
  <c r="EG671" i="98"/>
  <c r="X671" i="98"/>
  <c r="V671" i="98"/>
  <c r="O671" i="98"/>
  <c r="AM671" i="98" s="1"/>
  <c r="AY671" i="98"/>
  <c r="EF671" i="98"/>
  <c r="EF672" i="98"/>
  <c r="O672" i="98"/>
  <c r="AM672" i="98" s="1"/>
  <c r="M672" i="98"/>
  <c r="AK672" i="98" s="1"/>
  <c r="P672" i="98"/>
  <c r="AN672" i="98" s="1"/>
  <c r="BJ672" i="98"/>
  <c r="EO672" i="98"/>
  <c r="V673" i="98"/>
  <c r="EG673" i="98"/>
  <c r="EV673" i="98" s="1"/>
  <c r="X673" i="98"/>
  <c r="U673" i="98"/>
  <c r="EI673" i="98"/>
  <c r="AT673" i="98"/>
  <c r="AV673" i="98"/>
  <c r="AZ675" i="98"/>
  <c r="AY675" i="98"/>
  <c r="AX675" i="98"/>
  <c r="AD677" i="98"/>
  <c r="AP677" i="98" s="1"/>
  <c r="AC677" i="98"/>
  <c r="AO677" i="98" s="1"/>
  <c r="EH677" i="98"/>
  <c r="AF677" i="98"/>
  <c r="AR677" i="98" s="1"/>
  <c r="BH680" i="98"/>
  <c r="EL680" i="98"/>
  <c r="W667" i="98"/>
  <c r="BG667" i="98"/>
  <c r="BK667" i="98"/>
  <c r="N668" i="98"/>
  <c r="AL668" i="98" s="1"/>
  <c r="AD668" i="98"/>
  <c r="AP668" i="98" s="1"/>
  <c r="BF668" i="98"/>
  <c r="BJ668" i="98"/>
  <c r="U669" i="98"/>
  <c r="BE669" i="98"/>
  <c r="BI669" i="98"/>
  <c r="EH670" i="98"/>
  <c r="AC670" i="98"/>
  <c r="AO670" i="98" s="1"/>
  <c r="P670" i="98"/>
  <c r="AN670" i="98" s="1"/>
  <c r="AV671" i="98"/>
  <c r="EI671" i="98"/>
  <c r="AT671" i="98"/>
  <c r="BI671" i="98"/>
  <c r="BK673" i="98"/>
  <c r="AF674" i="98"/>
  <c r="AR674" i="98" s="1"/>
  <c r="AC674" i="98"/>
  <c r="AO674" i="98" s="1"/>
  <c r="AE674" i="98"/>
  <c r="AQ674" i="98" s="1"/>
  <c r="EN674" i="98"/>
  <c r="BJ674" i="98"/>
  <c r="EH676" i="98"/>
  <c r="EL681" i="98"/>
  <c r="BH681" i="98"/>
  <c r="X667" i="98"/>
  <c r="O668" i="98"/>
  <c r="AM668" i="98" s="1"/>
  <c r="AT669" i="98"/>
  <c r="AX669" i="98"/>
  <c r="AD670" i="98"/>
  <c r="AP670" i="98" s="1"/>
  <c r="M671" i="98"/>
  <c r="AK671" i="98" s="1"/>
  <c r="W671" i="98"/>
  <c r="AU671" i="98"/>
  <c r="AE672" i="98"/>
  <c r="AQ672" i="98" s="1"/>
  <c r="EH672" i="98"/>
  <c r="AC672" i="98"/>
  <c r="AO672" i="98" s="1"/>
  <c r="BF672" i="98"/>
  <c r="EK672" i="98"/>
  <c r="EM673" i="98"/>
  <c r="AX673" i="98"/>
  <c r="AZ673" i="98"/>
  <c r="BE673" i="98"/>
  <c r="N674" i="98"/>
  <c r="AL674" i="98" s="1"/>
  <c r="AD674" i="98"/>
  <c r="AP674" i="98" s="1"/>
  <c r="AV674" i="98"/>
  <c r="EI674" i="98"/>
  <c r="BE674" i="98"/>
  <c r="AT674" i="98"/>
  <c r="EH674" i="98"/>
  <c r="EV674" i="98" s="1"/>
  <c r="BE675" i="98"/>
  <c r="EI675" i="98"/>
  <c r="AE677" i="98"/>
  <c r="AQ677" i="98" s="1"/>
  <c r="BL677" i="98"/>
  <c r="EP677" i="98"/>
  <c r="EU682" i="98"/>
  <c r="BE672" i="98"/>
  <c r="BI672" i="98"/>
  <c r="AF673" i="98"/>
  <c r="AR673" i="98" s="1"/>
  <c r="W674" i="98"/>
  <c r="P675" i="98"/>
  <c r="AN675" i="98" s="1"/>
  <c r="EF675" i="98"/>
  <c r="O675" i="98"/>
  <c r="AM675" i="98" s="1"/>
  <c r="N675" i="98"/>
  <c r="AL675" i="98" s="1"/>
  <c r="EV676" i="98"/>
  <c r="AY676" i="98"/>
  <c r="EM676" i="98"/>
  <c r="AX676" i="98"/>
  <c r="EV677" i="98"/>
  <c r="M678" i="98"/>
  <c r="AK678" i="98" s="1"/>
  <c r="EF678" i="98"/>
  <c r="N678" i="98"/>
  <c r="AL678" i="98" s="1"/>
  <c r="P678" i="98"/>
  <c r="AN678" i="98" s="1"/>
  <c r="AV679" i="98"/>
  <c r="AU679" i="98"/>
  <c r="BE679" i="98"/>
  <c r="U678" i="98"/>
  <c r="EG678" i="98"/>
  <c r="W678" i="98"/>
  <c r="V678" i="98"/>
  <c r="X678" i="98"/>
  <c r="EK678" i="98"/>
  <c r="BG678" i="98"/>
  <c r="EJ679" i="98"/>
  <c r="BF679" i="98"/>
  <c r="AE680" i="98"/>
  <c r="AQ680" i="98" s="1"/>
  <c r="AD680" i="98"/>
  <c r="AP680" i="98" s="1"/>
  <c r="AF680" i="98"/>
  <c r="AR680" i="98" s="1"/>
  <c r="AC680" i="98"/>
  <c r="AO680" i="98" s="1"/>
  <c r="U674" i="98"/>
  <c r="AF675" i="98"/>
  <c r="AR675" i="98" s="1"/>
  <c r="AE675" i="98"/>
  <c r="AQ675" i="98" s="1"/>
  <c r="EH675" i="98"/>
  <c r="AU676" i="98"/>
  <c r="EI676" i="98"/>
  <c r="AT676" i="98"/>
  <c r="BI676" i="98"/>
  <c r="EL678" i="98"/>
  <c r="BH678" i="98"/>
  <c r="EP678" i="98"/>
  <c r="BL678" i="98"/>
  <c r="BK678" i="98"/>
  <c r="AU680" i="98"/>
  <c r="EI680" i="98"/>
  <c r="AT680" i="98"/>
  <c r="BE680" i="98"/>
  <c r="EH680" i="98"/>
  <c r="EV680" i="98" s="1"/>
  <c r="EP681" i="98"/>
  <c r="BL681" i="98"/>
  <c r="EV681" i="98"/>
  <c r="V676" i="98"/>
  <c r="X677" i="98"/>
  <c r="EH678" i="98"/>
  <c r="AC678" i="98"/>
  <c r="AO678" i="98" s="1"/>
  <c r="AE678" i="98"/>
  <c r="AQ678" i="98" s="1"/>
  <c r="AZ679" i="98"/>
  <c r="AY679" i="98"/>
  <c r="AY680" i="98"/>
  <c r="EM680" i="98"/>
  <c r="AX680" i="98"/>
  <c r="EM677" i="98"/>
  <c r="AX677" i="98"/>
  <c r="AF678" i="98"/>
  <c r="AR678" i="98" s="1"/>
  <c r="BJ678" i="98"/>
  <c r="P679" i="98"/>
  <c r="AN679" i="98" s="1"/>
  <c r="EF679" i="98"/>
  <c r="O679" i="98"/>
  <c r="AM679" i="98" s="1"/>
  <c r="N679" i="98"/>
  <c r="AL679" i="98" s="1"/>
  <c r="AX679" i="98"/>
  <c r="EM679" i="98"/>
  <c r="AZ680" i="98"/>
  <c r="V681" i="98"/>
  <c r="U681" i="98"/>
  <c r="W681" i="98"/>
  <c r="W679" i="98"/>
  <c r="N680" i="98"/>
  <c r="AL680" i="98" s="1"/>
  <c r="BE681" i="98"/>
  <c r="BI681" i="98"/>
  <c r="X679" i="98"/>
  <c r="O680" i="98"/>
  <c r="AM680" i="98" s="1"/>
  <c r="AT681" i="98"/>
  <c r="AX681" i="98"/>
  <c r="S108" i="36"/>
  <c r="R109" i="44"/>
  <c r="S109" i="44"/>
  <c r="O109" i="44" s="1"/>
  <c r="Q109" i="44"/>
  <c r="Q114" i="45"/>
  <c r="R114" i="45"/>
  <c r="S114" i="45"/>
  <c r="O114" i="45" s="1"/>
  <c r="S105" i="47"/>
  <c r="O105" i="47" s="1"/>
  <c r="Q105" i="47"/>
  <c r="R105" i="47"/>
  <c r="S106" i="48"/>
  <c r="O106" i="48" s="1"/>
  <c r="Q106" i="48"/>
  <c r="R106" i="48"/>
  <c r="S103" i="36"/>
  <c r="U105" i="38"/>
  <c r="Q105" i="38" s="1"/>
  <c r="R105" i="45"/>
  <c r="Q105" i="45"/>
  <c r="S105" i="45"/>
  <c r="O105" i="45" s="1"/>
  <c r="R105" i="48"/>
  <c r="Q105" i="48"/>
  <c r="S105" i="48"/>
  <c r="O105" i="48" s="1"/>
  <c r="R102" i="49"/>
  <c r="Q102" i="49"/>
  <c r="S102" i="49"/>
  <c r="O102" i="49" s="1"/>
  <c r="S107" i="49"/>
  <c r="O107" i="49" s="1"/>
  <c r="Q106" i="44"/>
  <c r="R106" i="44"/>
  <c r="S106" i="44"/>
  <c r="O106" i="44" s="1"/>
  <c r="Q103" i="45"/>
  <c r="S103" i="45"/>
  <c r="O103" i="45" s="1"/>
  <c r="R103" i="45"/>
  <c r="R103" i="47"/>
  <c r="S103" i="47"/>
  <c r="O103" i="47" s="1"/>
  <c r="Q103" i="47"/>
  <c r="Q104" i="49"/>
  <c r="R104" i="49"/>
  <c r="S104" i="49"/>
  <c r="O104" i="49" s="1"/>
  <c r="S109" i="37"/>
  <c r="R105" i="44"/>
  <c r="Q105" i="44"/>
  <c r="S105" i="44"/>
  <c r="O105" i="44" s="1"/>
  <c r="S112" i="44"/>
  <c r="O112" i="44" s="1"/>
  <c r="Q112" i="44"/>
  <c r="R112" i="44"/>
  <c r="R109" i="45"/>
  <c r="S109" i="45"/>
  <c r="O109" i="45" s="1"/>
  <c r="Q109" i="45"/>
  <c r="R109" i="46"/>
  <c r="Q109" i="46"/>
  <c r="S109" i="46"/>
  <c r="O109" i="46" s="1"/>
  <c r="R113" i="48"/>
  <c r="Q113" i="48"/>
  <c r="S113" i="48"/>
  <c r="O113" i="48" s="1"/>
  <c r="S104" i="36"/>
  <c r="S110" i="36"/>
  <c r="R113" i="44"/>
  <c r="Q113" i="44"/>
  <c r="S113" i="44"/>
  <c r="O113" i="44" s="1"/>
  <c r="Q109" i="47"/>
  <c r="S109" i="47"/>
  <c r="O109" i="47" s="1"/>
  <c r="R109" i="47"/>
  <c r="S102" i="48"/>
  <c r="O102" i="48" s="1"/>
  <c r="Q112" i="49"/>
  <c r="R112" i="49"/>
  <c r="S112" i="49"/>
  <c r="O112" i="49" s="1"/>
  <c r="U109" i="37"/>
  <c r="Q109" i="37" s="1"/>
  <c r="P109" i="37" s="1"/>
  <c r="R109" i="37" s="1"/>
  <c r="U109" i="38"/>
  <c r="Q109" i="38" s="1"/>
  <c r="P109" i="38" s="1"/>
  <c r="R109" i="38" s="1"/>
  <c r="Q110" i="44"/>
  <c r="S110" i="44"/>
  <c r="O110" i="44" s="1"/>
  <c r="R110" i="44"/>
  <c r="Q114" i="46"/>
  <c r="S114" i="46"/>
  <c r="O114" i="46" s="1"/>
  <c r="R114" i="46"/>
  <c r="S113" i="47"/>
  <c r="O113" i="47" s="1"/>
  <c r="Q113" i="47"/>
  <c r="R113" i="47"/>
  <c r="R111" i="48"/>
  <c r="Q111" i="48"/>
  <c r="S111" i="48"/>
  <c r="O111" i="48" s="1"/>
  <c r="R113" i="49"/>
  <c r="S113" i="49"/>
  <c r="O113" i="49" s="1"/>
  <c r="Q113" i="49"/>
  <c r="S101" i="36"/>
  <c r="T101" i="36"/>
  <c r="U103" i="36"/>
  <c r="Q103" i="36" s="1"/>
  <c r="S105" i="36"/>
  <c r="S109" i="36"/>
  <c r="U110" i="36"/>
  <c r="Q110" i="36" s="1"/>
  <c r="P110" i="36" s="1"/>
  <c r="R110" i="36" s="1"/>
  <c r="R104" i="44"/>
  <c r="Q107" i="44"/>
  <c r="R107" i="44"/>
  <c r="S107" i="44"/>
  <c r="O107" i="44" s="1"/>
  <c r="Q114" i="44"/>
  <c r="S114" i="44"/>
  <c r="O114" i="44" s="1"/>
  <c r="R114" i="44"/>
  <c r="Q110" i="45"/>
  <c r="S110" i="45"/>
  <c r="O110" i="45" s="1"/>
  <c r="N110" i="45" s="1"/>
  <c r="P110" i="45" s="1"/>
  <c r="R110" i="45"/>
  <c r="R111" i="46"/>
  <c r="S111" i="46"/>
  <c r="O111" i="46" s="1"/>
  <c r="N111" i="46" s="1"/>
  <c r="P111" i="46" s="1"/>
  <c r="Q111" i="46"/>
  <c r="R107" i="47"/>
  <c r="S107" i="47"/>
  <c r="O107" i="47" s="1"/>
  <c r="Q107" i="47"/>
  <c r="Q104" i="48"/>
  <c r="R104" i="48"/>
  <c r="S104" i="48"/>
  <c r="O104" i="48" s="1"/>
  <c r="Q108" i="48"/>
  <c r="R108" i="48"/>
  <c r="S108" i="48"/>
  <c r="O108" i="48" s="1"/>
  <c r="R111" i="49"/>
  <c r="Q111" i="49"/>
  <c r="S111" i="49"/>
  <c r="O111" i="49" s="1"/>
  <c r="S109" i="49"/>
  <c r="O109" i="49" s="1"/>
  <c r="R109" i="49"/>
  <c r="Q109" i="49"/>
  <c r="D88" i="37"/>
  <c r="C110" i="37" s="1"/>
  <c r="U110" i="37" s="1"/>
  <c r="Q110" i="37" s="1"/>
  <c r="G109" i="38"/>
  <c r="G105" i="38"/>
  <c r="S101" i="38"/>
  <c r="G104" i="38"/>
  <c r="D84" i="46"/>
  <c r="C106" i="46" s="1"/>
  <c r="U99" i="36"/>
  <c r="Q99" i="36" s="1"/>
  <c r="U108" i="36"/>
  <c r="Q108" i="36" s="1"/>
  <c r="D81" i="37"/>
  <c r="C103" i="37" s="1"/>
  <c r="T103" i="37" s="1"/>
  <c r="D84" i="38"/>
  <c r="C106" i="38" s="1"/>
  <c r="T106" i="38" s="1"/>
  <c r="G101" i="38"/>
  <c r="G102" i="38"/>
  <c r="S105" i="38"/>
  <c r="G107" i="38"/>
  <c r="N87" i="39"/>
  <c r="M92" i="39"/>
  <c r="O92" i="39" s="1"/>
  <c r="M86" i="40"/>
  <c r="O86" i="40" s="1"/>
  <c r="M92" i="41"/>
  <c r="O92" i="41" s="1"/>
  <c r="Q111" i="44"/>
  <c r="D82" i="45"/>
  <c r="C104" i="45" s="1"/>
  <c r="D88" i="46"/>
  <c r="C110" i="46" s="1"/>
  <c r="U107" i="36"/>
  <c r="Q107" i="36" s="1"/>
  <c r="U111" i="36"/>
  <c r="Q111" i="36" s="1"/>
  <c r="D84" i="37"/>
  <c r="C106" i="37" s="1"/>
  <c r="T106" i="37" s="1"/>
  <c r="G99" i="38"/>
  <c r="U108" i="38"/>
  <c r="Q108" i="38" s="1"/>
  <c r="P108" i="38" s="1"/>
  <c r="R108" i="38" s="1"/>
  <c r="U100" i="36"/>
  <c r="Q100" i="36" s="1"/>
  <c r="U104" i="36"/>
  <c r="Q104" i="36" s="1"/>
  <c r="D85" i="37"/>
  <c r="C107" i="37" s="1"/>
  <c r="T107" i="37" s="1"/>
  <c r="U103" i="37"/>
  <c r="Q103" i="37" s="1"/>
  <c r="D80" i="38"/>
  <c r="C102" i="38" s="1"/>
  <c r="T102" i="38" s="1"/>
  <c r="G110" i="38"/>
  <c r="G111" i="38"/>
  <c r="C22" i="39"/>
  <c r="O87" i="39"/>
  <c r="N87" i="41"/>
  <c r="D91" i="45"/>
  <c r="C113" i="45" s="1"/>
  <c r="D80" i="46"/>
  <c r="C102" i="46" s="1"/>
  <c r="D78" i="37"/>
  <c r="C100" i="37" s="1"/>
  <c r="D82" i="37"/>
  <c r="C104" i="37" s="1"/>
  <c r="D86" i="37"/>
  <c r="C108" i="37" s="1"/>
  <c r="T108" i="37" s="1"/>
  <c r="D77" i="38"/>
  <c r="C99" i="38" s="1"/>
  <c r="U99" i="38" s="1"/>
  <c r="Q99" i="38" s="1"/>
  <c r="D81" i="38"/>
  <c r="C103" i="38" s="1"/>
  <c r="T103" i="38" s="1"/>
  <c r="D85" i="38"/>
  <c r="C107" i="38" s="1"/>
  <c r="T107" i="38" s="1"/>
  <c r="D89" i="38"/>
  <c r="C111" i="38" s="1"/>
  <c r="T111" i="38" s="1"/>
  <c r="S108" i="38"/>
  <c r="C5" i="39"/>
  <c r="H87" i="39"/>
  <c r="H91" i="39"/>
  <c r="N92" i="39"/>
  <c r="H85" i="40"/>
  <c r="N86" i="40"/>
  <c r="H89" i="40"/>
  <c r="H93" i="40"/>
  <c r="C5" i="41"/>
  <c r="H87" i="41"/>
  <c r="N88" i="41"/>
  <c r="H91" i="41"/>
  <c r="N92" i="41"/>
  <c r="R103" i="44"/>
  <c r="R111" i="44"/>
  <c r="D80" i="45"/>
  <c r="C102" i="45" s="1"/>
  <c r="D89" i="45"/>
  <c r="C111" i="45" s="1"/>
  <c r="D82" i="46"/>
  <c r="C104" i="46" s="1"/>
  <c r="D82" i="47"/>
  <c r="C104" i="47" s="1"/>
  <c r="D90" i="47"/>
  <c r="C112" i="47" s="1"/>
  <c r="S110" i="48"/>
  <c r="O110" i="48" s="1"/>
  <c r="N110" i="48" s="1"/>
  <c r="P110" i="48" s="1"/>
  <c r="Q109" i="48"/>
  <c r="R110" i="48"/>
  <c r="S114" i="49"/>
  <c r="O114" i="49" s="1"/>
  <c r="R114" i="49"/>
  <c r="D80" i="37"/>
  <c r="C102" i="37" s="1"/>
  <c r="T102" i="37" s="1"/>
  <c r="G100" i="38"/>
  <c r="G108" i="38"/>
  <c r="S112" i="45"/>
  <c r="O112" i="45" s="1"/>
  <c r="R112" i="45"/>
  <c r="D91" i="46"/>
  <c r="C113" i="46" s="1"/>
  <c r="D85" i="46"/>
  <c r="C107" i="46" s="1"/>
  <c r="D81" i="46"/>
  <c r="C103" i="46" s="1"/>
  <c r="S114" i="48"/>
  <c r="O114" i="48" s="1"/>
  <c r="D77" i="37"/>
  <c r="C99" i="37" s="1"/>
  <c r="S99" i="37" s="1"/>
  <c r="D89" i="37"/>
  <c r="C111" i="37" s="1"/>
  <c r="T111" i="37" s="1"/>
  <c r="D88" i="38"/>
  <c r="C110" i="38" s="1"/>
  <c r="T110" i="38" s="1"/>
  <c r="G103" i="38"/>
  <c r="G106" i="38"/>
  <c r="S109" i="38"/>
  <c r="N91" i="39"/>
  <c r="O91" i="39"/>
  <c r="N89" i="40"/>
  <c r="M90" i="40"/>
  <c r="O90" i="40" s="1"/>
  <c r="O93" i="40"/>
  <c r="C22" i="41"/>
  <c r="O87" i="41"/>
  <c r="N91" i="41"/>
  <c r="Q103" i="44"/>
  <c r="D86" i="46"/>
  <c r="C108" i="46" s="1"/>
  <c r="S106" i="47"/>
  <c r="O106" i="47" s="1"/>
  <c r="S114" i="47"/>
  <c r="O114" i="47" s="1"/>
  <c r="R106" i="47"/>
  <c r="R114" i="47"/>
  <c r="D80" i="36"/>
  <c r="C102" i="36" s="1"/>
  <c r="T102" i="36" s="1"/>
  <c r="D84" i="36"/>
  <c r="C106" i="36" s="1"/>
  <c r="T106" i="36" s="1"/>
  <c r="D79" i="37"/>
  <c r="C101" i="37" s="1"/>
  <c r="T101" i="37" s="1"/>
  <c r="D83" i="37"/>
  <c r="C105" i="37" s="1"/>
  <c r="T105" i="37" s="1"/>
  <c r="D78" i="38"/>
  <c r="C100" i="38" s="1"/>
  <c r="T100" i="38" s="1"/>
  <c r="D82" i="38"/>
  <c r="C104" i="38" s="1"/>
  <c r="T104" i="38" s="1"/>
  <c r="F110" i="38"/>
  <c r="F106" i="38"/>
  <c r="F102" i="38"/>
  <c r="F99" i="38"/>
  <c r="F100" i="38"/>
  <c r="S100" i="38"/>
  <c r="F104" i="38"/>
  <c r="F108" i="38"/>
  <c r="S111" i="38"/>
  <c r="C6" i="39"/>
  <c r="C12" i="39" s="1"/>
  <c r="O85" i="39"/>
  <c r="N89" i="39"/>
  <c r="O89" i="39"/>
  <c r="N93" i="39"/>
  <c r="O93" i="39"/>
  <c r="C22" i="40"/>
  <c r="N87" i="40"/>
  <c r="O87" i="40"/>
  <c r="N91" i="40"/>
  <c r="O91" i="40"/>
  <c r="C6" i="41"/>
  <c r="C12" i="41" s="1"/>
  <c r="T163" i="1" s="1"/>
  <c r="O85" i="41"/>
  <c r="O89" i="41"/>
  <c r="O93" i="41"/>
  <c r="D86" i="45"/>
  <c r="C108" i="45" s="1"/>
  <c r="Q112" i="45"/>
  <c r="D83" i="46"/>
  <c r="C105" i="46" s="1"/>
  <c r="D90" i="46"/>
  <c r="C112" i="46" s="1"/>
  <c r="D80" i="47"/>
  <c r="C102" i="47" s="1"/>
  <c r="D88" i="47"/>
  <c r="C110" i="47" s="1"/>
  <c r="Q107" i="48"/>
  <c r="Q114" i="48"/>
  <c r="Q103" i="49"/>
  <c r="D83" i="49"/>
  <c r="C105" i="49" s="1"/>
  <c r="L108" i="74"/>
  <c r="N108" i="74" s="1"/>
  <c r="O242" i="82"/>
  <c r="M242" i="82"/>
  <c r="N242" i="82" s="1"/>
  <c r="C5" i="82"/>
  <c r="O274" i="82"/>
  <c r="M274" i="82"/>
  <c r="N274" i="82" s="1"/>
  <c r="L274" i="82"/>
  <c r="N100" i="75"/>
  <c r="M100" i="75"/>
  <c r="L100" i="75"/>
  <c r="L108" i="76"/>
  <c r="N108" i="76" s="1"/>
  <c r="K107" i="74"/>
  <c r="J107" i="74"/>
  <c r="K99" i="75"/>
  <c r="J99" i="75"/>
  <c r="K107" i="76"/>
  <c r="J107" i="76"/>
  <c r="M107" i="76" s="1"/>
  <c r="M245" i="77"/>
  <c r="L245" i="77"/>
  <c r="M249" i="77"/>
  <c r="L249" i="77"/>
  <c r="E227" i="80"/>
  <c r="K227" i="80" s="1"/>
  <c r="C115" i="80"/>
  <c r="C114" i="80"/>
  <c r="E232" i="80"/>
  <c r="C113" i="80"/>
  <c r="I268" i="81"/>
  <c r="L268" i="81" s="1"/>
  <c r="I234" i="81"/>
  <c r="L234" i="81" s="1"/>
  <c r="I276" i="81"/>
  <c r="L276" i="81" s="1"/>
  <c r="I242" i="81"/>
  <c r="L242" i="81" s="1"/>
  <c r="I284" i="81"/>
  <c r="L284" i="81" s="1"/>
  <c r="I250" i="81"/>
  <c r="L250" i="81" s="1"/>
  <c r="O266" i="81"/>
  <c r="M266" i="81"/>
  <c r="N266" i="81" s="1"/>
  <c r="I227" i="85"/>
  <c r="L227" i="85" s="1"/>
  <c r="I261" i="85"/>
  <c r="L261" i="85" s="1"/>
  <c r="I235" i="85"/>
  <c r="I269" i="85"/>
  <c r="L269" i="85" s="1"/>
  <c r="I277" i="85"/>
  <c r="I243" i="85"/>
  <c r="L243" i="85" s="1"/>
  <c r="I251" i="85"/>
  <c r="L251" i="85" s="1"/>
  <c r="I285" i="85"/>
  <c r="L285" i="85" s="1"/>
  <c r="N100" i="74"/>
  <c r="M100" i="74"/>
  <c r="L100" i="74"/>
  <c r="L108" i="75"/>
  <c r="N108" i="75" s="1"/>
  <c r="N100" i="76"/>
  <c r="M100" i="76"/>
  <c r="L100" i="76"/>
  <c r="J239" i="78"/>
  <c r="O238" i="81"/>
  <c r="M238" i="81"/>
  <c r="N238" i="81" s="1"/>
  <c r="O282" i="81"/>
  <c r="M282" i="81"/>
  <c r="N282" i="81" s="1"/>
  <c r="I222" i="82"/>
  <c r="I256" i="82"/>
  <c r="L256" i="82" s="1"/>
  <c r="I263" i="82"/>
  <c r="I229" i="82"/>
  <c r="I268" i="82"/>
  <c r="L268" i="82" s="1"/>
  <c r="I234" i="82"/>
  <c r="L234" i="82" s="1"/>
  <c r="I271" i="82"/>
  <c r="I237" i="82"/>
  <c r="I276" i="82"/>
  <c r="L276" i="82" s="1"/>
  <c r="I242" i="82"/>
  <c r="L242" i="82" s="1"/>
  <c r="I279" i="82"/>
  <c r="I245" i="82"/>
  <c r="L245" i="82" s="1"/>
  <c r="I284" i="82"/>
  <c r="L284" i="82" s="1"/>
  <c r="I250" i="82"/>
  <c r="I287" i="82"/>
  <c r="L287" i="82" s="1"/>
  <c r="I253" i="82"/>
  <c r="L222" i="82"/>
  <c r="L99" i="74"/>
  <c r="N99" i="74" s="1"/>
  <c r="K99" i="74"/>
  <c r="J99" i="74"/>
  <c r="K107" i="75"/>
  <c r="J107" i="75"/>
  <c r="M107" i="75" s="1"/>
  <c r="K99" i="76"/>
  <c r="J99" i="76"/>
  <c r="J240" i="77"/>
  <c r="J236" i="77"/>
  <c r="J239" i="77"/>
  <c r="K239" i="77" s="1"/>
  <c r="D32" i="77" s="1"/>
  <c r="J235" i="77"/>
  <c r="J242" i="77"/>
  <c r="J238" i="77"/>
  <c r="J234" i="77"/>
  <c r="J241" i="77"/>
  <c r="K241" i="77" s="1"/>
  <c r="D34" i="77" s="1"/>
  <c r="J237" i="77"/>
  <c r="J233" i="77"/>
  <c r="K233" i="77" s="1"/>
  <c r="K245" i="77"/>
  <c r="D38" i="77" s="1"/>
  <c r="K232" i="80"/>
  <c r="J232" i="80"/>
  <c r="D33" i="80" s="1"/>
  <c r="N232" i="80"/>
  <c r="O254" i="81"/>
  <c r="M254" i="81"/>
  <c r="N254" i="81" s="1"/>
  <c r="C22" i="73"/>
  <c r="I95" i="74"/>
  <c r="L97" i="74"/>
  <c r="N97" i="74" s="1"/>
  <c r="K97" i="74"/>
  <c r="N98" i="74"/>
  <c r="I100" i="74"/>
  <c r="M101" i="74"/>
  <c r="I103" i="74"/>
  <c r="J103" i="74"/>
  <c r="M103" i="74" s="1"/>
  <c r="N106" i="74"/>
  <c r="L107" i="74"/>
  <c r="N107" i="74" s="1"/>
  <c r="I108" i="74"/>
  <c r="M109" i="74"/>
  <c r="I95" i="75"/>
  <c r="N98" i="75"/>
  <c r="L99" i="75"/>
  <c r="N99" i="75" s="1"/>
  <c r="I100" i="75"/>
  <c r="M101" i="75"/>
  <c r="I103" i="75"/>
  <c r="J103" i="75"/>
  <c r="M103" i="75" s="1"/>
  <c r="N106" i="75"/>
  <c r="L107" i="75"/>
  <c r="N107" i="75" s="1"/>
  <c r="I108" i="75"/>
  <c r="M109" i="75"/>
  <c r="I95" i="76"/>
  <c r="N98" i="76"/>
  <c r="L99" i="76"/>
  <c r="N99" i="76" s="1"/>
  <c r="I100" i="76"/>
  <c r="M101" i="76"/>
  <c r="I103" i="76"/>
  <c r="J103" i="76"/>
  <c r="M103" i="76" s="1"/>
  <c r="N106" i="76"/>
  <c r="L107" i="76"/>
  <c r="N107" i="76" s="1"/>
  <c r="I108" i="76"/>
  <c r="M109" i="76"/>
  <c r="M250" i="77"/>
  <c r="K251" i="77"/>
  <c r="D44" i="77" s="1"/>
  <c r="F218" i="78"/>
  <c r="F222" i="78"/>
  <c r="F226" i="78"/>
  <c r="M251" i="78"/>
  <c r="L251" i="78"/>
  <c r="I229" i="79"/>
  <c r="J229" i="79" s="1"/>
  <c r="D30" i="79" s="1"/>
  <c r="J230" i="80"/>
  <c r="D31" i="80" s="1"/>
  <c r="N230" i="80"/>
  <c r="N223" i="81"/>
  <c r="N229" i="81"/>
  <c r="R230" i="81"/>
  <c r="O242" i="81"/>
  <c r="M242" i="81"/>
  <c r="N242" i="81" s="1"/>
  <c r="N245" i="81"/>
  <c r="R246" i="81"/>
  <c r="O258" i="81"/>
  <c r="M258" i="81"/>
  <c r="N258" i="81" s="1"/>
  <c r="L258" i="81"/>
  <c r="O270" i="81"/>
  <c r="M270" i="81"/>
  <c r="N270" i="81" s="1"/>
  <c r="N273" i="81"/>
  <c r="R274" i="81"/>
  <c r="O286" i="81"/>
  <c r="M286" i="81"/>
  <c r="N286" i="81" s="1"/>
  <c r="N289" i="81"/>
  <c r="O234" i="82"/>
  <c r="M234" i="82"/>
  <c r="N234" i="82" s="1"/>
  <c r="O266" i="82"/>
  <c r="M266" i="82"/>
  <c r="N266" i="82" s="1"/>
  <c r="N168" i="86"/>
  <c r="F73" i="72"/>
  <c r="C9" i="72" s="1"/>
  <c r="C13" i="72" s="1"/>
  <c r="V151" i="1" s="1"/>
  <c r="V183" i="1" s="1"/>
  <c r="E73" i="72"/>
  <c r="C10" i="72" s="1"/>
  <c r="E73" i="73"/>
  <c r="C10" i="73" s="1"/>
  <c r="C6" i="73"/>
  <c r="C11" i="73" s="1"/>
  <c r="C6" i="74"/>
  <c r="L95" i="74"/>
  <c r="K95" i="74"/>
  <c r="C5" i="74"/>
  <c r="M99" i="74"/>
  <c r="K100" i="74"/>
  <c r="M107" i="74"/>
  <c r="K108" i="74"/>
  <c r="C6" i="75"/>
  <c r="K95" i="75"/>
  <c r="C5" i="75"/>
  <c r="M99" i="75"/>
  <c r="K100" i="75"/>
  <c r="K108" i="75"/>
  <c r="C6" i="76"/>
  <c r="K95" i="76"/>
  <c r="C5" i="76"/>
  <c r="M99" i="76"/>
  <c r="K100" i="76"/>
  <c r="K108" i="76"/>
  <c r="J233" i="78"/>
  <c r="J235" i="78"/>
  <c r="M247" i="78"/>
  <c r="L247" i="78"/>
  <c r="K236" i="80"/>
  <c r="J236" i="80"/>
  <c r="D37" i="80" s="1"/>
  <c r="O224" i="81"/>
  <c r="M224" i="81"/>
  <c r="N224" i="81" s="1"/>
  <c r="L224" i="81"/>
  <c r="O230" i="81"/>
  <c r="M230" i="81"/>
  <c r="N230" i="81" s="1"/>
  <c r="N233" i="81"/>
  <c r="O246" i="81"/>
  <c r="M246" i="81"/>
  <c r="N246" i="81" s="1"/>
  <c r="N249" i="81"/>
  <c r="N261" i="81"/>
  <c r="O274" i="81"/>
  <c r="M274" i="81"/>
  <c r="N274" i="81" s="1"/>
  <c r="N277" i="81"/>
  <c r="O258" i="82"/>
  <c r="M258" i="82"/>
  <c r="N258" i="82" s="1"/>
  <c r="L258" i="82"/>
  <c r="C12" i="72"/>
  <c r="I73" i="72"/>
  <c r="C16" i="72" s="1"/>
  <c r="C29" i="72" s="1"/>
  <c r="I73" i="73"/>
  <c r="C16" i="73" s="1"/>
  <c r="C29" i="73" s="1"/>
  <c r="I96" i="74"/>
  <c r="L96" i="74"/>
  <c r="N96" i="74" s="1"/>
  <c r="M97" i="74"/>
  <c r="K98" i="74"/>
  <c r="I99" i="74"/>
  <c r="N102" i="74"/>
  <c r="L103" i="74"/>
  <c r="N103" i="74" s="1"/>
  <c r="I104" i="74"/>
  <c r="L104" i="74"/>
  <c r="N104" i="74" s="1"/>
  <c r="K106" i="74"/>
  <c r="I107" i="74"/>
  <c r="L95" i="75"/>
  <c r="I96" i="75"/>
  <c r="L96" i="75"/>
  <c r="N96" i="75" s="1"/>
  <c r="M97" i="75"/>
  <c r="K98" i="75"/>
  <c r="I99" i="75"/>
  <c r="N102" i="75"/>
  <c r="L103" i="75"/>
  <c r="N103" i="75" s="1"/>
  <c r="I104" i="75"/>
  <c r="L104" i="75"/>
  <c r="N104" i="75" s="1"/>
  <c r="K106" i="75"/>
  <c r="I107" i="75"/>
  <c r="L95" i="76"/>
  <c r="I96" i="76"/>
  <c r="L96" i="76"/>
  <c r="N96" i="76" s="1"/>
  <c r="M97" i="76"/>
  <c r="K98" i="76"/>
  <c r="I99" i="76"/>
  <c r="N102" i="76"/>
  <c r="L103" i="76"/>
  <c r="N103" i="76" s="1"/>
  <c r="I104" i="76"/>
  <c r="L104" i="76"/>
  <c r="N104" i="76" s="1"/>
  <c r="I107" i="76"/>
  <c r="D244" i="77"/>
  <c r="L234" i="77"/>
  <c r="M234" i="77"/>
  <c r="D248" i="77"/>
  <c r="L238" i="77"/>
  <c r="M238" i="77"/>
  <c r="D252" i="77"/>
  <c r="L242" i="77"/>
  <c r="M242" i="77"/>
  <c r="K243" i="77"/>
  <c r="D36" i="77" s="1"/>
  <c r="J241" i="78"/>
  <c r="J237" i="78"/>
  <c r="J240" i="78"/>
  <c r="J236" i="78"/>
  <c r="J242" i="78"/>
  <c r="J238" i="78"/>
  <c r="J234" i="78"/>
  <c r="F220" i="78"/>
  <c r="F224" i="78"/>
  <c r="L235" i="78"/>
  <c r="D245" i="78"/>
  <c r="M235" i="78"/>
  <c r="L239" i="78"/>
  <c r="D249" i="78"/>
  <c r="M239" i="78"/>
  <c r="M243" i="78"/>
  <c r="L243" i="78"/>
  <c r="O234" i="81"/>
  <c r="M234" i="81"/>
  <c r="N234" i="81" s="1"/>
  <c r="R238" i="81"/>
  <c r="O250" i="81"/>
  <c r="M250" i="81"/>
  <c r="N250" i="81" s="1"/>
  <c r="R254" i="81"/>
  <c r="O262" i="81"/>
  <c r="M262" i="81"/>
  <c r="N262" i="81" s="1"/>
  <c r="R266" i="81"/>
  <c r="O278" i="81"/>
  <c r="M278" i="81"/>
  <c r="N278" i="81" s="1"/>
  <c r="R282" i="81"/>
  <c r="N222" i="82"/>
  <c r="O250" i="82"/>
  <c r="M250" i="82"/>
  <c r="N250" i="82" s="1"/>
  <c r="L250" i="82"/>
  <c r="O282" i="82"/>
  <c r="M282" i="82"/>
  <c r="N282" i="82" s="1"/>
  <c r="C22" i="72"/>
  <c r="C21" i="73"/>
  <c r="M235" i="77"/>
  <c r="M239" i="77"/>
  <c r="L243" i="77"/>
  <c r="L247" i="77"/>
  <c r="L251" i="77"/>
  <c r="I236" i="79"/>
  <c r="J236" i="79" s="1"/>
  <c r="D37" i="79" s="1"/>
  <c r="I234" i="79"/>
  <c r="J234" i="79" s="1"/>
  <c r="D35" i="79" s="1"/>
  <c r="I232" i="79"/>
  <c r="J232" i="79" s="1"/>
  <c r="D33" i="79" s="1"/>
  <c r="I230" i="79"/>
  <c r="J230" i="79" s="1"/>
  <c r="D31" i="79" s="1"/>
  <c r="I228" i="79"/>
  <c r="J228" i="79" s="1"/>
  <c r="K227" i="79"/>
  <c r="K231" i="79"/>
  <c r="J235" i="80"/>
  <c r="D36" i="80" s="1"/>
  <c r="J233" i="80"/>
  <c r="D34" i="80" s="1"/>
  <c r="J231" i="80"/>
  <c r="D32" i="80" s="1"/>
  <c r="J229" i="80"/>
  <c r="D30" i="80" s="1"/>
  <c r="J227" i="80"/>
  <c r="N236" i="80"/>
  <c r="I259" i="81"/>
  <c r="L259" i="81" s="1"/>
  <c r="I225" i="81"/>
  <c r="L225" i="81" s="1"/>
  <c r="I266" i="81"/>
  <c r="L266" i="81" s="1"/>
  <c r="I232" i="81"/>
  <c r="L232" i="81" s="1"/>
  <c r="I274" i="81"/>
  <c r="L274" i="81" s="1"/>
  <c r="I240" i="81"/>
  <c r="L240" i="81" s="1"/>
  <c r="I282" i="81"/>
  <c r="L282" i="81" s="1"/>
  <c r="I248" i="81"/>
  <c r="L248" i="81" s="1"/>
  <c r="O222" i="81"/>
  <c r="M222" i="81"/>
  <c r="C5" i="81"/>
  <c r="L222" i="81"/>
  <c r="R224" i="81"/>
  <c r="L263" i="81"/>
  <c r="L271" i="81"/>
  <c r="L279" i="81"/>
  <c r="L287" i="81"/>
  <c r="I259" i="82"/>
  <c r="L259" i="82" s="1"/>
  <c r="I225" i="82"/>
  <c r="I269" i="82"/>
  <c r="L269" i="82" s="1"/>
  <c r="I235" i="82"/>
  <c r="L235" i="82" s="1"/>
  <c r="I277" i="82"/>
  <c r="L277" i="82" s="1"/>
  <c r="I243" i="82"/>
  <c r="L243" i="82" s="1"/>
  <c r="I285" i="82"/>
  <c r="L285" i="82" s="1"/>
  <c r="I251" i="82"/>
  <c r="L251" i="82" s="1"/>
  <c r="M225" i="82"/>
  <c r="N225" i="82" s="1"/>
  <c r="R234" i="82"/>
  <c r="R242" i="82"/>
  <c r="R250" i="82"/>
  <c r="R258" i="82"/>
  <c r="R266" i="82"/>
  <c r="R274" i="82"/>
  <c r="R282" i="82"/>
  <c r="N243" i="83"/>
  <c r="O250" i="83"/>
  <c r="M250" i="83"/>
  <c r="N250" i="83" s="1"/>
  <c r="L250" i="83"/>
  <c r="R276" i="83"/>
  <c r="O282" i="83"/>
  <c r="M282" i="83"/>
  <c r="N282" i="83" s="1"/>
  <c r="L282" i="83"/>
  <c r="N148" i="84"/>
  <c r="N164" i="84"/>
  <c r="I260" i="85"/>
  <c r="L260" i="85" s="1"/>
  <c r="I226" i="85"/>
  <c r="L226" i="85" s="1"/>
  <c r="I267" i="85"/>
  <c r="L267" i="85" s="1"/>
  <c r="I233" i="85"/>
  <c r="L233" i="85" s="1"/>
  <c r="I275" i="85"/>
  <c r="L275" i="85" s="1"/>
  <c r="I241" i="85"/>
  <c r="L241" i="85" s="1"/>
  <c r="N248" i="85"/>
  <c r="M280" i="85"/>
  <c r="N280" i="85" s="1"/>
  <c r="R280" i="85"/>
  <c r="J96" i="74"/>
  <c r="M96" i="74" s="1"/>
  <c r="J98" i="74"/>
  <c r="M98" i="74" s="1"/>
  <c r="J100" i="74"/>
  <c r="J102" i="74"/>
  <c r="M102" i="74" s="1"/>
  <c r="J104" i="74"/>
  <c r="M104" i="74" s="1"/>
  <c r="J106" i="74"/>
  <c r="M106" i="74" s="1"/>
  <c r="J108" i="74"/>
  <c r="M108" i="74" s="1"/>
  <c r="J96" i="75"/>
  <c r="M96" i="75" s="1"/>
  <c r="J98" i="75"/>
  <c r="M98" i="75" s="1"/>
  <c r="J100" i="75"/>
  <c r="J102" i="75"/>
  <c r="M102" i="75" s="1"/>
  <c r="J104" i="75"/>
  <c r="M104" i="75" s="1"/>
  <c r="J106" i="75"/>
  <c r="M106" i="75" s="1"/>
  <c r="J108" i="75"/>
  <c r="M108" i="75" s="1"/>
  <c r="J96" i="76"/>
  <c r="J98" i="76"/>
  <c r="M98" i="76" s="1"/>
  <c r="J100" i="76"/>
  <c r="J102" i="76"/>
  <c r="M102" i="76" s="1"/>
  <c r="J104" i="76"/>
  <c r="M104" i="76" s="1"/>
  <c r="J106" i="76"/>
  <c r="M106" i="76" s="1"/>
  <c r="J108" i="76"/>
  <c r="M108" i="76" s="1"/>
  <c r="F219" i="77"/>
  <c r="F221" i="77"/>
  <c r="F223" i="77"/>
  <c r="F225" i="77"/>
  <c r="F227" i="77"/>
  <c r="I231" i="79"/>
  <c r="J231" i="79" s="1"/>
  <c r="D32" i="79" s="1"/>
  <c r="I235" i="79"/>
  <c r="J235" i="79" s="1"/>
  <c r="D36" i="79" s="1"/>
  <c r="C5" i="80"/>
  <c r="J228" i="80"/>
  <c r="D29" i="80" s="1"/>
  <c r="N228" i="80"/>
  <c r="J234" i="80"/>
  <c r="D35" i="80" s="1"/>
  <c r="N234" i="80"/>
  <c r="I257" i="81"/>
  <c r="L257" i="81" s="1"/>
  <c r="I223" i="81"/>
  <c r="L223" i="81" s="1"/>
  <c r="I264" i="81"/>
  <c r="L264" i="81" s="1"/>
  <c r="I230" i="81"/>
  <c r="L230" i="81" s="1"/>
  <c r="I272" i="81"/>
  <c r="L272" i="81" s="1"/>
  <c r="I238" i="81"/>
  <c r="L238" i="81" s="1"/>
  <c r="I280" i="81"/>
  <c r="L280" i="81" s="1"/>
  <c r="I246" i="81"/>
  <c r="L246" i="81" s="1"/>
  <c r="I288" i="81"/>
  <c r="L288" i="81" s="1"/>
  <c r="I254" i="81"/>
  <c r="L254" i="81" s="1"/>
  <c r="R222" i="81"/>
  <c r="O228" i="81"/>
  <c r="M228" i="81"/>
  <c r="N228" i="81" s="1"/>
  <c r="R228" i="81"/>
  <c r="O232" i="81"/>
  <c r="M232" i="81"/>
  <c r="N232" i="81" s="1"/>
  <c r="R232" i="81"/>
  <c r="O236" i="81"/>
  <c r="M236" i="81"/>
  <c r="N236" i="81" s="1"/>
  <c r="R236" i="81"/>
  <c r="O240" i="81"/>
  <c r="M240" i="81"/>
  <c r="N240" i="81" s="1"/>
  <c r="R240" i="81"/>
  <c r="O244" i="81"/>
  <c r="M244" i="81"/>
  <c r="N244" i="81" s="1"/>
  <c r="R244" i="81"/>
  <c r="O248" i="81"/>
  <c r="M248" i="81"/>
  <c r="N248" i="81" s="1"/>
  <c r="R248" i="81"/>
  <c r="O252" i="81"/>
  <c r="M252" i="81"/>
  <c r="N252" i="81" s="1"/>
  <c r="R252" i="81"/>
  <c r="O256" i="81"/>
  <c r="M256" i="81"/>
  <c r="N256" i="81" s="1"/>
  <c r="R256" i="81"/>
  <c r="O260" i="81"/>
  <c r="M260" i="81"/>
  <c r="N260" i="81" s="1"/>
  <c r="R260" i="81"/>
  <c r="O264" i="81"/>
  <c r="M264" i="81"/>
  <c r="N264" i="81" s="1"/>
  <c r="R264" i="81"/>
  <c r="O268" i="81"/>
  <c r="M268" i="81"/>
  <c r="N268" i="81" s="1"/>
  <c r="R268" i="81"/>
  <c r="O272" i="81"/>
  <c r="M272" i="81"/>
  <c r="N272" i="81" s="1"/>
  <c r="R272" i="81"/>
  <c r="O276" i="81"/>
  <c r="M276" i="81"/>
  <c r="N276" i="81" s="1"/>
  <c r="R276" i="81"/>
  <c r="O280" i="81"/>
  <c r="M280" i="81"/>
  <c r="N280" i="81" s="1"/>
  <c r="R280" i="81"/>
  <c r="O284" i="81"/>
  <c r="M284" i="81"/>
  <c r="N284" i="81" s="1"/>
  <c r="R284" i="81"/>
  <c r="O288" i="81"/>
  <c r="M288" i="81"/>
  <c r="N288" i="81" s="1"/>
  <c r="R288" i="81"/>
  <c r="I257" i="82"/>
  <c r="I223" i="82"/>
  <c r="L223" i="82" s="1"/>
  <c r="I226" i="82"/>
  <c r="L226" i="82" s="1"/>
  <c r="I260" i="82"/>
  <c r="L260" i="82" s="1"/>
  <c r="I267" i="82"/>
  <c r="L267" i="82" s="1"/>
  <c r="I233" i="82"/>
  <c r="I275" i="82"/>
  <c r="L275" i="82" s="1"/>
  <c r="I241" i="82"/>
  <c r="L241" i="82" s="1"/>
  <c r="I283" i="82"/>
  <c r="L283" i="82" s="1"/>
  <c r="I249" i="82"/>
  <c r="I288" i="82"/>
  <c r="L288" i="82" s="1"/>
  <c r="I254" i="82"/>
  <c r="L254" i="82" s="1"/>
  <c r="M223" i="82"/>
  <c r="N223" i="82" s="1"/>
  <c r="N231" i="82"/>
  <c r="N239" i="82"/>
  <c r="N247" i="82"/>
  <c r="N255" i="82"/>
  <c r="N263" i="82"/>
  <c r="N271" i="82"/>
  <c r="N279" i="82"/>
  <c r="O244" i="83"/>
  <c r="M244" i="83"/>
  <c r="N244" i="83" s="1"/>
  <c r="R250" i="83"/>
  <c r="O276" i="83"/>
  <c r="M276" i="83"/>
  <c r="N276" i="83" s="1"/>
  <c r="L276" i="83"/>
  <c r="N147" i="84"/>
  <c r="N163" i="84"/>
  <c r="I258" i="85"/>
  <c r="I224" i="85"/>
  <c r="L224" i="85" s="1"/>
  <c r="I265" i="85"/>
  <c r="I231" i="85"/>
  <c r="L231" i="85" s="1"/>
  <c r="I239" i="85"/>
  <c r="I273" i="85"/>
  <c r="L273" i="85" s="1"/>
  <c r="I247" i="85"/>
  <c r="L247" i="85" s="1"/>
  <c r="I281" i="85"/>
  <c r="L281" i="85" s="1"/>
  <c r="M268" i="85"/>
  <c r="N268" i="85" s="1"/>
  <c r="N145" i="86"/>
  <c r="O145" i="86"/>
  <c r="N151" i="86"/>
  <c r="F219" i="78"/>
  <c r="F221" i="78"/>
  <c r="F223" i="78"/>
  <c r="F225" i="78"/>
  <c r="F227" i="78"/>
  <c r="D244" i="78"/>
  <c r="L244" i="78" s="1"/>
  <c r="L234" i="78"/>
  <c r="L236" i="78"/>
  <c r="L240" i="78"/>
  <c r="M246" i="78"/>
  <c r="M250" i="78"/>
  <c r="K229" i="79"/>
  <c r="K233" i="79"/>
  <c r="I262" i="81"/>
  <c r="L262" i="81" s="1"/>
  <c r="I228" i="81"/>
  <c r="L228" i="81" s="1"/>
  <c r="I270" i="81"/>
  <c r="L270" i="81" s="1"/>
  <c r="I236" i="81"/>
  <c r="L236" i="81" s="1"/>
  <c r="I278" i="81"/>
  <c r="L278" i="81" s="1"/>
  <c r="I244" i="81"/>
  <c r="L244" i="81" s="1"/>
  <c r="I286" i="81"/>
  <c r="L286" i="81" s="1"/>
  <c r="I252" i="81"/>
  <c r="L252" i="81" s="1"/>
  <c r="O226" i="81"/>
  <c r="M226" i="81"/>
  <c r="N226" i="81" s="1"/>
  <c r="L261" i="81"/>
  <c r="L265" i="81"/>
  <c r="L269" i="81"/>
  <c r="L273" i="81"/>
  <c r="L277" i="81"/>
  <c r="L281" i="81"/>
  <c r="L285" i="81"/>
  <c r="L289" i="81"/>
  <c r="I262" i="82"/>
  <c r="L262" i="82" s="1"/>
  <c r="I228" i="82"/>
  <c r="L228" i="82" s="1"/>
  <c r="I265" i="82"/>
  <c r="L265" i="82" s="1"/>
  <c r="I231" i="82"/>
  <c r="L231" i="82" s="1"/>
  <c r="I270" i="82"/>
  <c r="L270" i="82" s="1"/>
  <c r="I236" i="82"/>
  <c r="L236" i="82" s="1"/>
  <c r="I273" i="82"/>
  <c r="L273" i="82" s="1"/>
  <c r="I239" i="82"/>
  <c r="I278" i="82"/>
  <c r="L278" i="82" s="1"/>
  <c r="I244" i="82"/>
  <c r="I281" i="82"/>
  <c r="L281" i="82" s="1"/>
  <c r="I247" i="82"/>
  <c r="L247" i="82" s="1"/>
  <c r="I286" i="82"/>
  <c r="L286" i="82" s="1"/>
  <c r="I252" i="82"/>
  <c r="L252" i="82" s="1"/>
  <c r="I289" i="82"/>
  <c r="L289" i="82" s="1"/>
  <c r="I255" i="82"/>
  <c r="I227" i="82"/>
  <c r="L227" i="82" s="1"/>
  <c r="N233" i="82"/>
  <c r="N241" i="82"/>
  <c r="N249" i="82"/>
  <c r="N257" i="82"/>
  <c r="N265" i="82"/>
  <c r="N273" i="82"/>
  <c r="N281" i="82"/>
  <c r="L273" i="83"/>
  <c r="I256" i="85"/>
  <c r="L256" i="85" s="1"/>
  <c r="I222" i="85"/>
  <c r="L222" i="85" s="1"/>
  <c r="I263" i="85"/>
  <c r="L263" i="85" s="1"/>
  <c r="I229" i="85"/>
  <c r="L229" i="85" s="1"/>
  <c r="I271" i="85"/>
  <c r="L271" i="85" s="1"/>
  <c r="I237" i="85"/>
  <c r="L237" i="85" s="1"/>
  <c r="I279" i="85"/>
  <c r="L279" i="85" s="1"/>
  <c r="I245" i="85"/>
  <c r="L245" i="85" s="1"/>
  <c r="I287" i="85"/>
  <c r="L287" i="85" s="1"/>
  <c r="I253" i="85"/>
  <c r="L253" i="85" s="1"/>
  <c r="L223" i="85"/>
  <c r="N244" i="85"/>
  <c r="I249" i="85"/>
  <c r="L249" i="85" s="1"/>
  <c r="M276" i="85"/>
  <c r="N276" i="85" s="1"/>
  <c r="O276" i="85"/>
  <c r="N278" i="85"/>
  <c r="L225" i="82"/>
  <c r="R225" i="82"/>
  <c r="L229" i="82"/>
  <c r="L237" i="82"/>
  <c r="L244" i="82"/>
  <c r="L253" i="82"/>
  <c r="C62" i="82" s="1"/>
  <c r="L261" i="82"/>
  <c r="Q224" i="83"/>
  <c r="R224" i="83" s="1"/>
  <c r="I224" i="83"/>
  <c r="L224" i="83" s="1"/>
  <c r="L230" i="83"/>
  <c r="N238" i="83"/>
  <c r="I241" i="83"/>
  <c r="L241" i="83" s="1"/>
  <c r="N245" i="83"/>
  <c r="I247" i="83"/>
  <c r="L247" i="83" s="1"/>
  <c r="O252" i="83"/>
  <c r="M252" i="83"/>
  <c r="N252" i="83" s="1"/>
  <c r="Q252" i="83"/>
  <c r="R252" i="83" s="1"/>
  <c r="I256" i="83"/>
  <c r="L256" i="83" s="1"/>
  <c r="L258" i="83"/>
  <c r="L262" i="83"/>
  <c r="L267" i="83"/>
  <c r="N270" i="83"/>
  <c r="N277" i="83"/>
  <c r="I279" i="83"/>
  <c r="L279" i="83" s="1"/>
  <c r="L281" i="83"/>
  <c r="O284" i="83"/>
  <c r="M284" i="83"/>
  <c r="N284" i="83" s="1"/>
  <c r="O144" i="84"/>
  <c r="O149" i="84"/>
  <c r="O160" i="84"/>
  <c r="O165" i="84"/>
  <c r="L252" i="85"/>
  <c r="Q254" i="85"/>
  <c r="R254" i="85" s="1"/>
  <c r="L266" i="85"/>
  <c r="R268" i="85"/>
  <c r="N160" i="86"/>
  <c r="L238" i="78"/>
  <c r="L242" i="78"/>
  <c r="O222" i="82"/>
  <c r="O224" i="82"/>
  <c r="M228" i="82"/>
  <c r="N228" i="82" s="1"/>
  <c r="L230" i="82"/>
  <c r="M236" i="82"/>
  <c r="N236" i="82" s="1"/>
  <c r="L238" i="82"/>
  <c r="L239" i="82"/>
  <c r="M244" i="82"/>
  <c r="N244" i="82" s="1"/>
  <c r="L246" i="82"/>
  <c r="M252" i="82"/>
  <c r="N252" i="82" s="1"/>
  <c r="L255" i="82"/>
  <c r="M260" i="82"/>
  <c r="N260" i="82" s="1"/>
  <c r="L263" i="82"/>
  <c r="M268" i="82"/>
  <c r="N268" i="82" s="1"/>
  <c r="L271" i="82"/>
  <c r="M276" i="82"/>
  <c r="N276" i="82" s="1"/>
  <c r="L279" i="82"/>
  <c r="O284" i="82"/>
  <c r="M284" i="82"/>
  <c r="N284" i="82" s="1"/>
  <c r="O286" i="82"/>
  <c r="M286" i="82"/>
  <c r="N286" i="82" s="1"/>
  <c r="O288" i="82"/>
  <c r="M288" i="82"/>
  <c r="N288" i="82" s="1"/>
  <c r="C5" i="83"/>
  <c r="Q223" i="83"/>
  <c r="R223" i="83" s="1"/>
  <c r="L225" i="83"/>
  <c r="Q226" i="83"/>
  <c r="R226" i="83" s="1"/>
  <c r="I226" i="83"/>
  <c r="L226" i="83" s="1"/>
  <c r="C35" i="83" s="1"/>
  <c r="M226" i="83"/>
  <c r="N226" i="83" s="1"/>
  <c r="O228" i="83"/>
  <c r="M228" i="83"/>
  <c r="N228" i="83" s="1"/>
  <c r="L234" i="83"/>
  <c r="L238" i="83"/>
  <c r="Q238" i="83"/>
  <c r="R238" i="83" s="1"/>
  <c r="L240" i="83"/>
  <c r="N246" i="83"/>
  <c r="I249" i="83"/>
  <c r="L249" i="83" s="1"/>
  <c r="N253" i="83"/>
  <c r="I255" i="83"/>
  <c r="L255" i="83" s="1"/>
  <c r="M258" i="83"/>
  <c r="N258" i="83" s="1"/>
  <c r="O260" i="83"/>
  <c r="M260" i="83"/>
  <c r="N260" i="83" s="1"/>
  <c r="L266" i="83"/>
  <c r="L270" i="83"/>
  <c r="L275" i="83"/>
  <c r="N278" i="83"/>
  <c r="N285" i="83"/>
  <c r="I287" i="83"/>
  <c r="L287" i="83" s="1"/>
  <c r="L289" i="83"/>
  <c r="N138" i="84"/>
  <c r="O141" i="84"/>
  <c r="O147" i="84"/>
  <c r="O151" i="84"/>
  <c r="O153" i="84"/>
  <c r="N154" i="84"/>
  <c r="N156" i="84"/>
  <c r="O158" i="84"/>
  <c r="O163" i="84"/>
  <c r="O168" i="84"/>
  <c r="O170" i="84"/>
  <c r="N171" i="84"/>
  <c r="N173" i="84"/>
  <c r="N222" i="85"/>
  <c r="L228" i="85"/>
  <c r="L248" i="85"/>
  <c r="N255" i="85"/>
  <c r="N258" i="85"/>
  <c r="M288" i="85"/>
  <c r="N288" i="85" s="1"/>
  <c r="L288" i="85"/>
  <c r="R288" i="85"/>
  <c r="N159" i="86"/>
  <c r="O162" i="86"/>
  <c r="T127" i="88"/>
  <c r="AC127" i="88" s="1"/>
  <c r="S127" i="88"/>
  <c r="AB127" i="88" s="1"/>
  <c r="T129" i="88"/>
  <c r="AC129" i="88" s="1"/>
  <c r="S129" i="88"/>
  <c r="AB129" i="88" s="1"/>
  <c r="Z127" i="89"/>
  <c r="R127" i="89"/>
  <c r="AA127" i="89" s="1"/>
  <c r="I227" i="81"/>
  <c r="L227" i="81" s="1"/>
  <c r="I229" i="81"/>
  <c r="L229" i="81" s="1"/>
  <c r="I231" i="81"/>
  <c r="L231" i="81" s="1"/>
  <c r="I233" i="81"/>
  <c r="L233" i="81" s="1"/>
  <c r="C42" i="81" s="1"/>
  <c r="I235" i="81"/>
  <c r="L235" i="81" s="1"/>
  <c r="I237" i="81"/>
  <c r="L237" i="81" s="1"/>
  <c r="C46" i="81" s="1"/>
  <c r="I239" i="81"/>
  <c r="L239" i="81" s="1"/>
  <c r="C48" i="81" s="1"/>
  <c r="I241" i="81"/>
  <c r="L241" i="81" s="1"/>
  <c r="C50" i="81" s="1"/>
  <c r="I243" i="81"/>
  <c r="L243" i="81" s="1"/>
  <c r="I245" i="81"/>
  <c r="L245" i="81" s="1"/>
  <c r="I247" i="81"/>
  <c r="L247" i="81" s="1"/>
  <c r="I249" i="81"/>
  <c r="L249" i="81" s="1"/>
  <c r="C58" i="81" s="1"/>
  <c r="I251" i="81"/>
  <c r="L251" i="81" s="1"/>
  <c r="I253" i="81"/>
  <c r="L253" i="81" s="1"/>
  <c r="I255" i="81"/>
  <c r="L255" i="81" s="1"/>
  <c r="C64" i="81" s="1"/>
  <c r="L232" i="82"/>
  <c r="L233" i="82"/>
  <c r="L248" i="82"/>
  <c r="L249" i="82"/>
  <c r="L257" i="82"/>
  <c r="L264" i="82"/>
  <c r="L272" i="82"/>
  <c r="L280" i="82"/>
  <c r="I261" i="83"/>
  <c r="L261" i="83" s="1"/>
  <c r="I227" i="83"/>
  <c r="L227" i="83" s="1"/>
  <c r="I269" i="83"/>
  <c r="L269" i="83" s="1"/>
  <c r="I235" i="83"/>
  <c r="L235" i="83" s="1"/>
  <c r="I277" i="83"/>
  <c r="L277" i="83" s="1"/>
  <c r="I243" i="83"/>
  <c r="L243" i="83" s="1"/>
  <c r="I285" i="83"/>
  <c r="L285" i="83" s="1"/>
  <c r="I251" i="83"/>
  <c r="L251" i="83" s="1"/>
  <c r="N222" i="83"/>
  <c r="L233" i="83"/>
  <c r="O236" i="83"/>
  <c r="M236" i="83"/>
  <c r="N236" i="83" s="1"/>
  <c r="L242" i="83"/>
  <c r="C51" i="83" s="1"/>
  <c r="I263" i="83"/>
  <c r="L263" i="83" s="1"/>
  <c r="O268" i="83"/>
  <c r="M268" i="83"/>
  <c r="N268" i="83" s="1"/>
  <c r="L274" i="83"/>
  <c r="L280" i="83"/>
  <c r="C55" i="83" s="1"/>
  <c r="L283" i="83"/>
  <c r="O140" i="84"/>
  <c r="O157" i="84"/>
  <c r="Q238" i="85"/>
  <c r="R238" i="85" s="1"/>
  <c r="M256" i="85"/>
  <c r="N256" i="85" s="1"/>
  <c r="R256" i="85"/>
  <c r="N144" i="86"/>
  <c r="N146" i="86"/>
  <c r="O146" i="86"/>
  <c r="N152" i="86"/>
  <c r="N169" i="86"/>
  <c r="R128" i="88"/>
  <c r="AA128" i="88" s="1"/>
  <c r="Z128" i="88"/>
  <c r="T130" i="89"/>
  <c r="AC130" i="89" s="1"/>
  <c r="S130" i="89"/>
  <c r="AB130" i="89" s="1"/>
  <c r="M283" i="82"/>
  <c r="N283" i="82" s="1"/>
  <c r="M285" i="82"/>
  <c r="N285" i="82" s="1"/>
  <c r="M287" i="82"/>
  <c r="N287" i="82" s="1"/>
  <c r="M289" i="82"/>
  <c r="N289" i="82" s="1"/>
  <c r="Q227" i="83"/>
  <c r="R227" i="83" s="1"/>
  <c r="I228" i="83"/>
  <c r="L228" i="83" s="1"/>
  <c r="L229" i="83"/>
  <c r="I236" i="83"/>
  <c r="L236" i="83" s="1"/>
  <c r="L237" i="83"/>
  <c r="Q243" i="83"/>
  <c r="R243" i="83" s="1"/>
  <c r="I244" i="83"/>
  <c r="L244" i="83" s="1"/>
  <c r="L245" i="83"/>
  <c r="Q251" i="83"/>
  <c r="R251" i="83" s="1"/>
  <c r="I252" i="83"/>
  <c r="L252" i="83" s="1"/>
  <c r="L253" i="83"/>
  <c r="N141" i="84"/>
  <c r="N150" i="84"/>
  <c r="N158" i="84"/>
  <c r="N166" i="84"/>
  <c r="I232" i="85"/>
  <c r="L232" i="85" s="1"/>
  <c r="L235" i="85"/>
  <c r="I236" i="85"/>
  <c r="L236" i="85" s="1"/>
  <c r="L239" i="85"/>
  <c r="I244" i="85"/>
  <c r="L244" i="85" s="1"/>
  <c r="Q248" i="85"/>
  <c r="R248" i="85" s="1"/>
  <c r="Q252" i="85"/>
  <c r="R252" i="85" s="1"/>
  <c r="L255" i="85"/>
  <c r="L258" i="85"/>
  <c r="O260" i="85"/>
  <c r="L264" i="85"/>
  <c r="O272" i="85"/>
  <c r="N275" i="85"/>
  <c r="N279" i="85"/>
  <c r="L283" i="85"/>
  <c r="L284" i="85"/>
  <c r="N138" i="86"/>
  <c r="O143" i="86"/>
  <c r="O144" i="86"/>
  <c r="N148" i="86"/>
  <c r="O152" i="86"/>
  <c r="N156" i="86"/>
  <c r="O160" i="86"/>
  <c r="N164" i="86"/>
  <c r="O169" i="86"/>
  <c r="N173" i="86"/>
  <c r="Z129" i="88"/>
  <c r="R129" i="88"/>
  <c r="AA129" i="88" s="1"/>
  <c r="I133" i="88"/>
  <c r="I148" i="88"/>
  <c r="Z129" i="89"/>
  <c r="R129" i="89"/>
  <c r="AA129" i="89" s="1"/>
  <c r="K82" i="90"/>
  <c r="M82" i="90" s="1"/>
  <c r="K84" i="90"/>
  <c r="M84" i="90" s="1"/>
  <c r="R84" i="90" s="1"/>
  <c r="D30" i="90" s="1"/>
  <c r="K83" i="90"/>
  <c r="K85" i="90"/>
  <c r="E104" i="92"/>
  <c r="F89" i="92"/>
  <c r="E108" i="92"/>
  <c r="F93" i="92"/>
  <c r="F108" i="92" s="1"/>
  <c r="E97" i="92"/>
  <c r="L223" i="83"/>
  <c r="Q229" i="83"/>
  <c r="R229" i="83" s="1"/>
  <c r="L231" i="83"/>
  <c r="L239" i="83"/>
  <c r="Q253" i="83"/>
  <c r="R253" i="83" s="1"/>
  <c r="L271" i="83"/>
  <c r="O138" i="84"/>
  <c r="N140" i="84"/>
  <c r="O148" i="84"/>
  <c r="N149" i="84"/>
  <c r="O156" i="84"/>
  <c r="N157" i="84"/>
  <c r="O164" i="84"/>
  <c r="N165" i="84"/>
  <c r="O173" i="84"/>
  <c r="Q222" i="85"/>
  <c r="R222" i="85" s="1"/>
  <c r="Q227" i="85"/>
  <c r="R227" i="85" s="1"/>
  <c r="L242" i="85"/>
  <c r="Q243" i="85"/>
  <c r="R243" i="85" s="1"/>
  <c r="L246" i="85"/>
  <c r="L250" i="85"/>
  <c r="Q251" i="85"/>
  <c r="R251" i="85" s="1"/>
  <c r="Q255" i="85"/>
  <c r="R255" i="85" s="1"/>
  <c r="O264" i="85"/>
  <c r="N267" i="85"/>
  <c r="N271" i="85"/>
  <c r="O284" i="85"/>
  <c r="N140" i="86"/>
  <c r="O140" i="86"/>
  <c r="O151" i="86"/>
  <c r="N155" i="86"/>
  <c r="O159" i="86"/>
  <c r="N163" i="86"/>
  <c r="O168" i="86"/>
  <c r="N172" i="86"/>
  <c r="T129" i="89"/>
  <c r="AC129" i="89" s="1"/>
  <c r="AC132" i="89" s="1"/>
  <c r="C11" i="89" s="1"/>
  <c r="S129" i="89"/>
  <c r="AB129" i="89" s="1"/>
  <c r="E106" i="93"/>
  <c r="F91" i="93"/>
  <c r="F106" i="93" s="1"/>
  <c r="U106" i="93" s="1"/>
  <c r="E110" i="93"/>
  <c r="F95" i="93"/>
  <c r="F110" i="93" s="1"/>
  <c r="L262" i="85"/>
  <c r="L270" i="85"/>
  <c r="L277" i="85"/>
  <c r="L278" i="85"/>
  <c r="N149" i="86"/>
  <c r="N153" i="86"/>
  <c r="N157" i="86"/>
  <c r="N161" i="86"/>
  <c r="N165" i="86"/>
  <c r="N170" i="86"/>
  <c r="S135" i="87"/>
  <c r="C13" i="87" s="1"/>
  <c r="C26" i="87" s="1"/>
  <c r="I128" i="88"/>
  <c r="AB130" i="88"/>
  <c r="I143" i="88"/>
  <c r="Z128" i="89"/>
  <c r="R128" i="89"/>
  <c r="AA128" i="89" s="1"/>
  <c r="T83" i="90"/>
  <c r="O86" i="91"/>
  <c r="P86" i="91" s="1"/>
  <c r="N86" i="91"/>
  <c r="S86" i="91" s="1"/>
  <c r="L265" i="85"/>
  <c r="I126" i="88"/>
  <c r="Q126" i="88"/>
  <c r="Q127" i="88"/>
  <c r="Q130" i="88"/>
  <c r="C5" i="90"/>
  <c r="I5" i="90"/>
  <c r="N83" i="90"/>
  <c r="S83" i="90" s="1"/>
  <c r="M83" i="90"/>
  <c r="R83" i="90" s="1"/>
  <c r="D29" i="90" s="1"/>
  <c r="O84" i="91"/>
  <c r="P84" i="91" s="1"/>
  <c r="N84" i="91"/>
  <c r="S84" i="91" s="1"/>
  <c r="O132" i="88"/>
  <c r="C5" i="88" s="1"/>
  <c r="AC126" i="88"/>
  <c r="I130" i="88"/>
  <c r="I142" i="88"/>
  <c r="I154" i="88"/>
  <c r="I162" i="88"/>
  <c r="I170" i="88"/>
  <c r="I178" i="88"/>
  <c r="I186" i="88"/>
  <c r="I194" i="88"/>
  <c r="I202" i="88"/>
  <c r="Q130" i="89"/>
  <c r="N84" i="90"/>
  <c r="S84" i="90" s="1"/>
  <c r="O84" i="90"/>
  <c r="P84" i="90" s="1"/>
  <c r="F82" i="91"/>
  <c r="E87" i="91"/>
  <c r="O83" i="91"/>
  <c r="P83" i="91" s="1"/>
  <c r="N83" i="91"/>
  <c r="S83" i="91" s="1"/>
  <c r="O85" i="91"/>
  <c r="P85" i="91" s="1"/>
  <c r="N85" i="91"/>
  <c r="S85" i="91" s="1"/>
  <c r="F104" i="94"/>
  <c r="F119" i="94" s="1"/>
  <c r="W119" i="94" s="1"/>
  <c r="E119" i="94"/>
  <c r="S128" i="88"/>
  <c r="AB128" i="88" s="1"/>
  <c r="I138" i="88"/>
  <c r="I156" i="88"/>
  <c r="I164" i="88"/>
  <c r="I172" i="88"/>
  <c r="I180" i="88"/>
  <c r="I188" i="88"/>
  <c r="I196" i="88"/>
  <c r="O82" i="90"/>
  <c r="N82" i="90"/>
  <c r="E91" i="91"/>
  <c r="S120" i="94"/>
  <c r="U120" i="94" s="1"/>
  <c r="V120" i="94"/>
  <c r="X120" i="94" s="1"/>
  <c r="R120" i="94"/>
  <c r="S127" i="89"/>
  <c r="AB127" i="89" s="1"/>
  <c r="AB132" i="89" s="1"/>
  <c r="C9" i="89" s="1"/>
  <c r="I131" i="89"/>
  <c r="I133" i="89"/>
  <c r="I140" i="89"/>
  <c r="I148" i="89"/>
  <c r="I156" i="89"/>
  <c r="I164" i="89"/>
  <c r="I172" i="89"/>
  <c r="I180" i="89"/>
  <c r="I188" i="89"/>
  <c r="I196" i="89"/>
  <c r="I204" i="89"/>
  <c r="M85" i="90"/>
  <c r="R85" i="90" s="1"/>
  <c r="D31" i="90" s="1"/>
  <c r="D77" i="92"/>
  <c r="H110" i="92" s="1"/>
  <c r="D75" i="92"/>
  <c r="H108" i="92" s="1"/>
  <c r="D76" i="92"/>
  <c r="H109" i="92" s="1"/>
  <c r="E106" i="92"/>
  <c r="F91" i="92"/>
  <c r="F106" i="92" s="1"/>
  <c r="E110" i="92"/>
  <c r="F95" i="92"/>
  <c r="F110" i="92" s="1"/>
  <c r="U110" i="92" s="1"/>
  <c r="H106" i="92"/>
  <c r="F100" i="94"/>
  <c r="F115" i="94" s="1"/>
  <c r="E115" i="94"/>
  <c r="O132" i="89"/>
  <c r="C5" i="89" s="1"/>
  <c r="I130" i="89"/>
  <c r="Q126" i="89"/>
  <c r="I134" i="89"/>
  <c r="I142" i="89"/>
  <c r="I150" i="89"/>
  <c r="I158" i="89"/>
  <c r="I166" i="89"/>
  <c r="I174" i="89"/>
  <c r="I182" i="89"/>
  <c r="I190" i="89"/>
  <c r="I198" i="89"/>
  <c r="E87" i="90"/>
  <c r="O85" i="90"/>
  <c r="P85" i="90" s="1"/>
  <c r="F86" i="90"/>
  <c r="D74" i="92"/>
  <c r="H107" i="92" s="1"/>
  <c r="E104" i="93"/>
  <c r="F89" i="93"/>
  <c r="E108" i="93"/>
  <c r="F93" i="93"/>
  <c r="F108" i="93" s="1"/>
  <c r="U108" i="93" s="1"/>
  <c r="E97" i="93"/>
  <c r="Q116" i="94"/>
  <c r="W116" i="94"/>
  <c r="F92" i="92"/>
  <c r="F107" i="92" s="1"/>
  <c r="E107" i="92"/>
  <c r="F96" i="92"/>
  <c r="F111" i="92" s="1"/>
  <c r="U111" i="92" s="1"/>
  <c r="E111" i="92"/>
  <c r="F90" i="93"/>
  <c r="F105" i="93" s="1"/>
  <c r="E105" i="93"/>
  <c r="F94" i="93"/>
  <c r="F109" i="93" s="1"/>
  <c r="U109" i="93" s="1"/>
  <c r="E109" i="93"/>
  <c r="Q118" i="94"/>
  <c r="T118" i="94"/>
  <c r="W118" i="94"/>
  <c r="C23" i="96"/>
  <c r="F90" i="92"/>
  <c r="F105" i="92" s="1"/>
  <c r="E105" i="92"/>
  <c r="F94" i="92"/>
  <c r="F109" i="92" s="1"/>
  <c r="E109" i="92"/>
  <c r="F92" i="93"/>
  <c r="F107" i="93" s="1"/>
  <c r="U107" i="93" s="1"/>
  <c r="E107" i="93"/>
  <c r="F96" i="93"/>
  <c r="F111" i="93" s="1"/>
  <c r="E111" i="93"/>
  <c r="T114" i="94"/>
  <c r="W114" i="94"/>
  <c r="C23" i="95"/>
  <c r="I83" i="97"/>
  <c r="J83" i="97"/>
  <c r="E117" i="94"/>
  <c r="F102" i="94"/>
  <c r="F117" i="94" s="1"/>
  <c r="Q114" i="94"/>
  <c r="K70" i="95"/>
  <c r="M70" i="95"/>
  <c r="J70" i="95"/>
  <c r="K70" i="96"/>
  <c r="M70" i="96"/>
  <c r="J70" i="96"/>
  <c r="C11" i="97"/>
  <c r="C12" i="97"/>
  <c r="I84" i="97"/>
  <c r="E113" i="94"/>
  <c r="F98" i="94"/>
  <c r="F113" i="94" s="1"/>
  <c r="Q113" i="94" s="1"/>
  <c r="G83" i="97"/>
  <c r="H83" i="97" s="1"/>
  <c r="J84" i="97"/>
  <c r="V127" i="94"/>
  <c r="AA127" i="94"/>
  <c r="AF127" i="94"/>
  <c r="V128" i="94"/>
  <c r="AA128" i="94"/>
  <c r="AF128" i="94"/>
  <c r="V129" i="94"/>
  <c r="AA129" i="94"/>
  <c r="AF129" i="94"/>
  <c r="V130" i="94"/>
  <c r="AA130" i="94"/>
  <c r="AF130" i="94"/>
  <c r="V131" i="94"/>
  <c r="AA131" i="94"/>
  <c r="AF131" i="94"/>
  <c r="V132" i="94"/>
  <c r="AB132" i="94"/>
  <c r="T133" i="94"/>
  <c r="AB133" i="94"/>
  <c r="U134" i="94"/>
  <c r="AC134" i="94"/>
  <c r="V135" i="94"/>
  <c r="AD135" i="94"/>
  <c r="V136" i="94"/>
  <c r="W140" i="94"/>
  <c r="E84" i="97"/>
  <c r="G84" i="97" s="1"/>
  <c r="H84" i="97" s="1"/>
  <c r="C29" i="97" s="1"/>
  <c r="AG136" i="94"/>
  <c r="AC136" i="94"/>
  <c r="Y136" i="94"/>
  <c r="U136" i="94"/>
  <c r="AG135" i="94"/>
  <c r="AC135" i="94"/>
  <c r="Y135" i="94"/>
  <c r="U135" i="94"/>
  <c r="AF134" i="94"/>
  <c r="AB134" i="94"/>
  <c r="X134" i="94"/>
  <c r="T134" i="94"/>
  <c r="AE133" i="94"/>
  <c r="AA133" i="94"/>
  <c r="W133" i="94"/>
  <c r="S133" i="94"/>
  <c r="AE132" i="94"/>
  <c r="AA132" i="94"/>
  <c r="AE136" i="94"/>
  <c r="AA136" i="94"/>
  <c r="W136" i="94"/>
  <c r="S136" i="94"/>
  <c r="AE135" i="94"/>
  <c r="AA135" i="94"/>
  <c r="W135" i="94"/>
  <c r="S135" i="94"/>
  <c r="AD134" i="94"/>
  <c r="Z134" i="94"/>
  <c r="Z137" i="94" s="1"/>
  <c r="V134" i="94"/>
  <c r="AG133" i="94"/>
  <c r="AC133" i="94"/>
  <c r="Y133" i="94"/>
  <c r="U133" i="94"/>
  <c r="AG132" i="94"/>
  <c r="AC132" i="94"/>
  <c r="Y132" i="94"/>
  <c r="U132" i="94"/>
  <c r="AG131" i="94"/>
  <c r="AC131" i="94"/>
  <c r="Y131" i="94"/>
  <c r="U131" i="94"/>
  <c r="AG130" i="94"/>
  <c r="AC130" i="94"/>
  <c r="Y130" i="94"/>
  <c r="U130" i="94"/>
  <c r="AG129" i="94"/>
  <c r="AC129" i="94"/>
  <c r="Y129" i="94"/>
  <c r="U129" i="94"/>
  <c r="AG128" i="94"/>
  <c r="AC128" i="94"/>
  <c r="Y128" i="94"/>
  <c r="U128" i="94"/>
  <c r="AG127" i="94"/>
  <c r="AC127" i="94"/>
  <c r="AC137" i="94" s="1"/>
  <c r="Y127" i="94"/>
  <c r="U127" i="94"/>
  <c r="U137" i="94" s="1"/>
  <c r="W127" i="94"/>
  <c r="AB127" i="94"/>
  <c r="AD140" i="94"/>
  <c r="Z140" i="94"/>
  <c r="V140" i="94"/>
  <c r="AF140" i="94"/>
  <c r="AB140" i="94"/>
  <c r="X140" i="94"/>
  <c r="T140" i="94"/>
  <c r="W128" i="94"/>
  <c r="AB128" i="94"/>
  <c r="W129" i="94"/>
  <c r="AB129" i="94"/>
  <c r="W130" i="94"/>
  <c r="AB130" i="94"/>
  <c r="W131" i="94"/>
  <c r="AB131" i="94"/>
  <c r="W132" i="94"/>
  <c r="AD132" i="94"/>
  <c r="V133" i="94"/>
  <c r="AD133" i="94"/>
  <c r="W134" i="94"/>
  <c r="AE134" i="94"/>
  <c r="X135" i="94"/>
  <c r="AF135" i="94"/>
  <c r="X136" i="94"/>
  <c r="AF136" i="94"/>
  <c r="Y140" i="94"/>
  <c r="AG140" i="94"/>
  <c r="D61" i="95"/>
  <c r="C69" i="95" s="1"/>
  <c r="D63" i="95"/>
  <c r="C71" i="95" s="1"/>
  <c r="C31" i="95"/>
  <c r="C22" i="95"/>
  <c r="D61" i="96"/>
  <c r="C69" i="96" s="1"/>
  <c r="J69" i="96" s="1"/>
  <c r="D63" i="96"/>
  <c r="C71" i="96" s="1"/>
  <c r="C31" i="96"/>
  <c r="C22" i="96"/>
  <c r="N114" i="46" l="1"/>
  <c r="P114" i="46" s="1"/>
  <c r="R109" i="48"/>
  <c r="N109" i="45"/>
  <c r="P109" i="45" s="1"/>
  <c r="S112" i="48"/>
  <c r="O112" i="48" s="1"/>
  <c r="N112" i="48" s="1"/>
  <c r="P112" i="48" s="1"/>
  <c r="Q111" i="47"/>
  <c r="Q104" i="44"/>
  <c r="N111" i="48"/>
  <c r="P111" i="48" s="1"/>
  <c r="N106" i="44"/>
  <c r="P106" i="44" s="1"/>
  <c r="N107" i="47"/>
  <c r="P107" i="47" s="1"/>
  <c r="N102" i="49"/>
  <c r="N111" i="49"/>
  <c r="P111" i="49" s="1"/>
  <c r="N105" i="47"/>
  <c r="P105" i="47" s="1"/>
  <c r="P110" i="37"/>
  <c r="P103" i="36"/>
  <c r="R103" i="36" s="1"/>
  <c r="P108" i="36"/>
  <c r="R108" i="36" s="1"/>
  <c r="EU71" i="98"/>
  <c r="EU37" i="98"/>
  <c r="R103" i="48"/>
  <c r="R107" i="45"/>
  <c r="N105" i="48"/>
  <c r="P105" i="48" s="1"/>
  <c r="N112" i="44"/>
  <c r="P112" i="44" s="1"/>
  <c r="Q114" i="49"/>
  <c r="N114" i="49"/>
  <c r="P114" i="49" s="1"/>
  <c r="N108" i="48"/>
  <c r="P108" i="48" s="1"/>
  <c r="N112" i="45"/>
  <c r="P112" i="45" s="1"/>
  <c r="N113" i="47"/>
  <c r="P113" i="47" s="1"/>
  <c r="R106" i="45"/>
  <c r="N103" i="49"/>
  <c r="P103" i="49" s="1"/>
  <c r="N106" i="48"/>
  <c r="P106" i="48" s="1"/>
  <c r="P101" i="36"/>
  <c r="R101" i="36" s="1"/>
  <c r="P99" i="38"/>
  <c r="P103" i="37"/>
  <c r="R103" i="37" s="1"/>
  <c r="P104" i="36"/>
  <c r="R104" i="36" s="1"/>
  <c r="EU76" i="98"/>
  <c r="EU61" i="98"/>
  <c r="EU38" i="98"/>
  <c r="C10" i="101"/>
  <c r="C16" i="101" s="1"/>
  <c r="N113" i="49"/>
  <c r="P113" i="49" s="1"/>
  <c r="Q106" i="47"/>
  <c r="N106" i="47"/>
  <c r="P106" i="47" s="1"/>
  <c r="N110" i="44"/>
  <c r="P110" i="44" s="1"/>
  <c r="N107" i="49"/>
  <c r="P107" i="49" s="1"/>
  <c r="Q108" i="47"/>
  <c r="S108" i="44"/>
  <c r="O108" i="44" s="1"/>
  <c r="N108" i="44"/>
  <c r="N109" i="49"/>
  <c r="P109" i="49" s="1"/>
  <c r="N104" i="48"/>
  <c r="P104" i="48" s="1"/>
  <c r="S111" i="44"/>
  <c r="O111" i="44" s="1"/>
  <c r="N111" i="44"/>
  <c r="P111" i="44" s="1"/>
  <c r="N114" i="45"/>
  <c r="P114" i="45" s="1"/>
  <c r="R114" i="48"/>
  <c r="N114" i="48"/>
  <c r="P114" i="48" s="1"/>
  <c r="N113" i="44"/>
  <c r="P113" i="44" s="1"/>
  <c r="N105" i="45"/>
  <c r="P105" i="45" s="1"/>
  <c r="N112" i="49"/>
  <c r="P112" i="49" s="1"/>
  <c r="N114" i="44"/>
  <c r="P114" i="44" s="1"/>
  <c r="Q102" i="48"/>
  <c r="N102" i="48"/>
  <c r="P111" i="36"/>
  <c r="R111" i="36" s="1"/>
  <c r="P100" i="36"/>
  <c r="N104" i="49"/>
  <c r="P104" i="49" s="1"/>
  <c r="N103" i="47"/>
  <c r="P103" i="47" s="1"/>
  <c r="S103" i="44"/>
  <c r="O103" i="44" s="1"/>
  <c r="N103" i="44" s="1"/>
  <c r="P103" i="44" s="1"/>
  <c r="S109" i="48"/>
  <c r="O109" i="48" s="1"/>
  <c r="N109" i="48" s="1"/>
  <c r="P109" i="48" s="1"/>
  <c r="N113" i="48"/>
  <c r="P113" i="48" s="1"/>
  <c r="N109" i="46"/>
  <c r="P109" i="46" s="1"/>
  <c r="N105" i="44"/>
  <c r="P105" i="44" s="1"/>
  <c r="R106" i="49"/>
  <c r="Q114" i="47"/>
  <c r="N114" i="47"/>
  <c r="P114" i="47" s="1"/>
  <c r="N107" i="44"/>
  <c r="P107" i="44" s="1"/>
  <c r="N103" i="45"/>
  <c r="P103" i="45" s="1"/>
  <c r="N109" i="44"/>
  <c r="P109" i="44" s="1"/>
  <c r="Q108" i="49"/>
  <c r="N109" i="47"/>
  <c r="P109" i="47" s="1"/>
  <c r="P109" i="36"/>
  <c r="R109" i="36" s="1"/>
  <c r="P105" i="38"/>
  <c r="R105" i="38" s="1"/>
  <c r="P107" i="36"/>
  <c r="R107" i="36" s="1"/>
  <c r="P99" i="36"/>
  <c r="BF190" i="1"/>
  <c r="C41" i="85"/>
  <c r="C45" i="83"/>
  <c r="C48" i="83"/>
  <c r="C36" i="82"/>
  <c r="C49" i="82"/>
  <c r="C60" i="82"/>
  <c r="C33" i="82"/>
  <c r="C51" i="81"/>
  <c r="C35" i="81"/>
  <c r="C54" i="81"/>
  <c r="C59" i="81"/>
  <c r="C43" i="81"/>
  <c r="C56" i="81"/>
  <c r="C40" i="81"/>
  <c r="C38" i="81"/>
  <c r="C55" i="81"/>
  <c r="C62" i="81"/>
  <c r="C39" i="81"/>
  <c r="C52" i="81"/>
  <c r="C36" i="81"/>
  <c r="L246" i="77"/>
  <c r="C47" i="85"/>
  <c r="C33" i="85"/>
  <c r="C34" i="85"/>
  <c r="C51" i="85"/>
  <c r="C49" i="85"/>
  <c r="C55" i="85"/>
  <c r="C63" i="85"/>
  <c r="C39" i="85"/>
  <c r="C43" i="85"/>
  <c r="C40" i="83"/>
  <c r="C53" i="83"/>
  <c r="C61" i="83"/>
  <c r="C59" i="83"/>
  <c r="C56" i="83"/>
  <c r="C31" i="83"/>
  <c r="C41" i="83"/>
  <c r="C43" i="83"/>
  <c r="C59" i="82"/>
  <c r="C41" i="82"/>
  <c r="BF155" i="1"/>
  <c r="C7" i="40"/>
  <c r="C21" i="40" s="1"/>
  <c r="C7" i="41"/>
  <c r="C21" i="41" s="1"/>
  <c r="C7" i="39"/>
  <c r="C9" i="41"/>
  <c r="C9" i="39"/>
  <c r="C9" i="40"/>
  <c r="C12" i="40"/>
  <c r="S99" i="36"/>
  <c r="R99" i="36"/>
  <c r="S103" i="38"/>
  <c r="U106" i="37"/>
  <c r="Q106" i="37" s="1"/>
  <c r="P106" i="37" s="1"/>
  <c r="R106" i="37" s="1"/>
  <c r="R100" i="36"/>
  <c r="C115" i="44"/>
  <c r="R102" i="48"/>
  <c r="R112" i="48"/>
  <c r="S103" i="48"/>
  <c r="O103" i="48" s="1"/>
  <c r="N103" i="48" s="1"/>
  <c r="Q106" i="45"/>
  <c r="S102" i="44"/>
  <c r="O102" i="44" s="1"/>
  <c r="Q108" i="44"/>
  <c r="S111" i="47"/>
  <c r="O111" i="47" s="1"/>
  <c r="N111" i="47" s="1"/>
  <c r="P111" i="47" s="1"/>
  <c r="Q103" i="48"/>
  <c r="Q107" i="45"/>
  <c r="P102" i="48"/>
  <c r="S106" i="45"/>
  <c r="O106" i="45" s="1"/>
  <c r="N106" i="45" s="1"/>
  <c r="P106" i="45" s="1"/>
  <c r="R102" i="44"/>
  <c r="R108" i="47"/>
  <c r="R108" i="44"/>
  <c r="Q112" i="48"/>
  <c r="R111" i="47"/>
  <c r="S104" i="44"/>
  <c r="S107" i="45"/>
  <c r="O107" i="45" s="1"/>
  <c r="N107" i="45" s="1"/>
  <c r="P107" i="45" s="1"/>
  <c r="C115" i="48"/>
  <c r="Q102" i="44"/>
  <c r="S108" i="47"/>
  <c r="O108" i="47" s="1"/>
  <c r="N108" i="47" s="1"/>
  <c r="P108" i="47" s="1"/>
  <c r="P108" i="44"/>
  <c r="R107" i="49"/>
  <c r="Q107" i="49"/>
  <c r="Q106" i="49"/>
  <c r="S110" i="49"/>
  <c r="O110" i="49" s="1"/>
  <c r="N110" i="49" s="1"/>
  <c r="P110" i="49" s="1"/>
  <c r="R108" i="49"/>
  <c r="R110" i="49"/>
  <c r="Q110" i="49"/>
  <c r="S108" i="49"/>
  <c r="O108" i="49" s="1"/>
  <c r="N108" i="49" s="1"/>
  <c r="P108" i="49" s="1"/>
  <c r="S106" i="49"/>
  <c r="O106" i="49" s="1"/>
  <c r="N106" i="49" s="1"/>
  <c r="P106" i="49" s="1"/>
  <c r="C34" i="83"/>
  <c r="BK277" i="98"/>
  <c r="EO277" i="98"/>
  <c r="EU609" i="98"/>
  <c r="EU238" i="98"/>
  <c r="C39" i="83"/>
  <c r="C10" i="39"/>
  <c r="EV452" i="98"/>
  <c r="C17" i="97"/>
  <c r="C18" i="97" s="1"/>
  <c r="EV641" i="98"/>
  <c r="EV558" i="98"/>
  <c r="EV463" i="98"/>
  <c r="EV462" i="98"/>
  <c r="EV461" i="98"/>
  <c r="EV459" i="98"/>
  <c r="EV457" i="98"/>
  <c r="EV455" i="98"/>
  <c r="EV454" i="98"/>
  <c r="EV453" i="98"/>
  <c r="EV450" i="98"/>
  <c r="EV448" i="98"/>
  <c r="EV441" i="98"/>
  <c r="EV430" i="98"/>
  <c r="EV425" i="98"/>
  <c r="EV423" i="98"/>
  <c r="EV421" i="98"/>
  <c r="EV418" i="98"/>
  <c r="EV413" i="98"/>
  <c r="EV367" i="98"/>
  <c r="EU232" i="98"/>
  <c r="EU245" i="98"/>
  <c r="BK620" i="98"/>
  <c r="EO620" i="98"/>
  <c r="EN622" i="98"/>
  <c r="BJ622" i="98"/>
  <c r="C58" i="83"/>
  <c r="C63" i="81"/>
  <c r="C10" i="41"/>
  <c r="EV643" i="98"/>
  <c r="EV602" i="98"/>
  <c r="EV550" i="98"/>
  <c r="EV576" i="98"/>
  <c r="EU541" i="98"/>
  <c r="EV520" i="98"/>
  <c r="EU516" i="98"/>
  <c r="EV359" i="98"/>
  <c r="EV357" i="98"/>
  <c r="EV344" i="98"/>
  <c r="EU242" i="98"/>
  <c r="EU233" i="98"/>
  <c r="EU192" i="98"/>
  <c r="EU163" i="98"/>
  <c r="EU157" i="98"/>
  <c r="EU135" i="98"/>
  <c r="EU115" i="98"/>
  <c r="EU66" i="98"/>
  <c r="BK587" i="98"/>
  <c r="EO587" i="98"/>
  <c r="BG564" i="98"/>
  <c r="EK564" i="98"/>
  <c r="EK602" i="98"/>
  <c r="BG602" i="98"/>
  <c r="EO317" i="98"/>
  <c r="BK317" i="98"/>
  <c r="C44" i="83"/>
  <c r="C46" i="82"/>
  <c r="C33" i="81"/>
  <c r="S106" i="38"/>
  <c r="U100" i="37"/>
  <c r="Q100" i="37" s="1"/>
  <c r="P100" i="37" s="1"/>
  <c r="R100" i="37" s="1"/>
  <c r="EV630" i="98"/>
  <c r="EV565" i="98"/>
  <c r="EV460" i="98"/>
  <c r="EV458" i="98"/>
  <c r="EV456" i="98"/>
  <c r="EV451" i="98"/>
  <c r="EV449" i="98"/>
  <c r="EV447" i="98"/>
  <c r="EV439" i="98"/>
  <c r="EV426" i="98"/>
  <c r="EV424" i="98"/>
  <c r="EV419" i="98"/>
  <c r="EV395" i="98"/>
  <c r="EV393" i="98"/>
  <c r="EV376" i="98"/>
  <c r="EU230" i="98"/>
  <c r="EU125" i="98"/>
  <c r="EU103" i="98"/>
  <c r="EU72" i="98"/>
  <c r="EU34" i="98"/>
  <c r="EU121" i="98"/>
  <c r="EU86" i="98"/>
  <c r="EU65" i="98"/>
  <c r="EO306" i="98"/>
  <c r="BK306" i="98"/>
  <c r="BK255" i="98"/>
  <c r="EO255" i="98"/>
  <c r="C9" i="85"/>
  <c r="C60" i="85"/>
  <c r="C44" i="82"/>
  <c r="EV678" i="98"/>
  <c r="EV672" i="98"/>
  <c r="EU660" i="98"/>
  <c r="EU543" i="98"/>
  <c r="EU537" i="98"/>
  <c r="EV500" i="98"/>
  <c r="EU479" i="98"/>
  <c r="EV360" i="98"/>
  <c r="EV356" i="98"/>
  <c r="EU324" i="98"/>
  <c r="EU236" i="98"/>
  <c r="EU175" i="98"/>
  <c r="EU48" i="98"/>
  <c r="EU39" i="98"/>
  <c r="EU78" i="98"/>
  <c r="EU32" i="98"/>
  <c r="C11" i="79"/>
  <c r="C25" i="79" s="1"/>
  <c r="BH155" i="1"/>
  <c r="AU190" i="1"/>
  <c r="BG190" i="1"/>
  <c r="BI155" i="1"/>
  <c r="BG155" i="1"/>
  <c r="AP187" i="1"/>
  <c r="AP167" i="1"/>
  <c r="AP162" i="1"/>
  <c r="C38" i="85"/>
  <c r="AB137" i="94"/>
  <c r="AE137" i="94"/>
  <c r="X137" i="94"/>
  <c r="E121" i="94"/>
  <c r="Q83" i="90"/>
  <c r="U83" i="90" s="1"/>
  <c r="C45" i="85"/>
  <c r="C6" i="83"/>
  <c r="C52" i="83"/>
  <c r="C37" i="85"/>
  <c r="C55" i="82"/>
  <c r="C58" i="85"/>
  <c r="C52" i="82"/>
  <c r="C41" i="81"/>
  <c r="C12" i="73"/>
  <c r="C36" i="85"/>
  <c r="EV647" i="98"/>
  <c r="EU630" i="98"/>
  <c r="EV554" i="98"/>
  <c r="EV522" i="98"/>
  <c r="EV566" i="98"/>
  <c r="EU532" i="98"/>
  <c r="EV524" i="98"/>
  <c r="EV496" i="98"/>
  <c r="EV428" i="98"/>
  <c r="EV350" i="98"/>
  <c r="EV351" i="98"/>
  <c r="EV349" i="98"/>
  <c r="EV347" i="98"/>
  <c r="EU244" i="98"/>
  <c r="EU282" i="98"/>
  <c r="EU176" i="98"/>
  <c r="EU234" i="98"/>
  <c r="EU169" i="98"/>
  <c r="EU105" i="98"/>
  <c r="EU95" i="98"/>
  <c r="EU184" i="98"/>
  <c r="EU144" i="98"/>
  <c r="EU73" i="98"/>
  <c r="EU60" i="98"/>
  <c r="EU52" i="98"/>
  <c r="EU36" i="98"/>
  <c r="BJ151" i="1"/>
  <c r="EV198" i="98"/>
  <c r="O151" i="1"/>
  <c r="BK664" i="98"/>
  <c r="EO664" i="98"/>
  <c r="BF181" i="1"/>
  <c r="BG181" i="1"/>
  <c r="O181" i="1"/>
  <c r="BI181" i="1"/>
  <c r="BH181" i="1"/>
  <c r="EJ645" i="98"/>
  <c r="BF645" i="98"/>
  <c r="BG654" i="98"/>
  <c r="EK654" i="98"/>
  <c r="EN661" i="98"/>
  <c r="EU661" i="98" s="1"/>
  <c r="BJ661" i="98"/>
  <c r="O161" i="1"/>
  <c r="BI161" i="1"/>
  <c r="BG161" i="1"/>
  <c r="BF161" i="1"/>
  <c r="BH161" i="1"/>
  <c r="BK166" i="1"/>
  <c r="BJ166" i="1"/>
  <c r="BL166" i="1"/>
  <c r="BM166" i="1"/>
  <c r="O159" i="1"/>
  <c r="BI159" i="1"/>
  <c r="BF159" i="1"/>
  <c r="BG159" i="1"/>
  <c r="BH159" i="1"/>
  <c r="EK621" i="98"/>
  <c r="BG621" i="98"/>
  <c r="BG601" i="98"/>
  <c r="EK601" i="98"/>
  <c r="BK593" i="98"/>
  <c r="EO593" i="98"/>
  <c r="EK589" i="98"/>
  <c r="BG589" i="98"/>
  <c r="BJ587" i="98"/>
  <c r="EN587" i="98"/>
  <c r="BK157" i="1"/>
  <c r="BJ157" i="1"/>
  <c r="BM157" i="1"/>
  <c r="BL157" i="1"/>
  <c r="BK158" i="1"/>
  <c r="BJ158" i="1"/>
  <c r="BL158" i="1"/>
  <c r="BM158" i="1"/>
  <c r="O157" i="1"/>
  <c r="BG157" i="1"/>
  <c r="BF157" i="1"/>
  <c r="BI157" i="1"/>
  <c r="BH157" i="1"/>
  <c r="BK520" i="98"/>
  <c r="EO520" i="98"/>
  <c r="EJ558" i="98"/>
  <c r="BF558" i="98"/>
  <c r="BJ193" i="1"/>
  <c r="BL193" i="1"/>
  <c r="BM193" i="1"/>
  <c r="BK193" i="1"/>
  <c r="BG390" i="98"/>
  <c r="EK390" i="98"/>
  <c r="BK384" i="98"/>
  <c r="EO384" i="98"/>
  <c r="EN414" i="98"/>
  <c r="BJ414" i="98"/>
  <c r="BM199" i="1"/>
  <c r="BK199" i="1"/>
  <c r="BL199" i="1"/>
  <c r="BJ199" i="1"/>
  <c r="BK331" i="98"/>
  <c r="EO331" i="98"/>
  <c r="EP280" i="98"/>
  <c r="BL280" i="98"/>
  <c r="BG271" i="98"/>
  <c r="EK271" i="98"/>
  <c r="EO314" i="98"/>
  <c r="BK314" i="98"/>
  <c r="BG262" i="98"/>
  <c r="EK262" i="98"/>
  <c r="BK257" i="98"/>
  <c r="EO257" i="98"/>
  <c r="EP274" i="98"/>
  <c r="BL274" i="98"/>
  <c r="H73" i="73"/>
  <c r="C27" i="73" s="1"/>
  <c r="S111" i="36"/>
  <c r="AD137" i="94"/>
  <c r="AG137" i="94"/>
  <c r="S137" i="94"/>
  <c r="K127" i="89"/>
  <c r="C29" i="89"/>
  <c r="C37" i="83"/>
  <c r="AB132" i="88"/>
  <c r="C9" i="88" s="1"/>
  <c r="C57" i="85"/>
  <c r="C47" i="83"/>
  <c r="C11" i="83"/>
  <c r="C28" i="83" s="1"/>
  <c r="C53" i="82"/>
  <c r="C11" i="82"/>
  <c r="C28" i="82" s="1"/>
  <c r="C54" i="85"/>
  <c r="C61" i="82"/>
  <c r="C45" i="82"/>
  <c r="C63" i="82"/>
  <c r="C50" i="85"/>
  <c r="C35" i="85"/>
  <c r="C9" i="79"/>
  <c r="C51" i="82"/>
  <c r="C43" i="82"/>
  <c r="U104" i="38"/>
  <c r="Q104" i="38" s="1"/>
  <c r="P104" i="38" s="1"/>
  <c r="R104" i="38" s="1"/>
  <c r="U108" i="37"/>
  <c r="Q108" i="37" s="1"/>
  <c r="P108" i="37" s="1"/>
  <c r="R108" i="37" s="1"/>
  <c r="S103" i="37"/>
  <c r="EV645" i="98"/>
  <c r="EV628" i="98"/>
  <c r="EV614" i="98"/>
  <c r="EV605" i="98"/>
  <c r="EV574" i="98"/>
  <c r="EV569" i="98"/>
  <c r="EV512" i="98"/>
  <c r="EV505" i="98"/>
  <c r="EV437" i="98"/>
  <c r="EV436" i="98"/>
  <c r="EV435" i="98"/>
  <c r="EV420" i="98"/>
  <c r="EV415" i="98"/>
  <c r="EV362" i="98"/>
  <c r="EU329" i="98"/>
  <c r="EU328" i="98"/>
  <c r="EV389" i="98"/>
  <c r="EU235" i="98"/>
  <c r="EU180" i="98"/>
  <c r="EU174" i="98"/>
  <c r="EU170" i="98"/>
  <c r="EU161" i="98"/>
  <c r="EU143" i="98"/>
  <c r="EU239" i="98"/>
  <c r="EU195" i="98"/>
  <c r="EU148" i="98"/>
  <c r="EU327" i="98"/>
  <c r="EU321" i="98"/>
  <c r="BM165" i="1"/>
  <c r="BK165" i="1"/>
  <c r="BJ165" i="1"/>
  <c r="BL165" i="1"/>
  <c r="EU278" i="98"/>
  <c r="EU107" i="98"/>
  <c r="EU99" i="98"/>
  <c r="EU93" i="98"/>
  <c r="EU91" i="98"/>
  <c r="EU64" i="98"/>
  <c r="EU55" i="98"/>
  <c r="EU28" i="98"/>
  <c r="EU149" i="98"/>
  <c r="EU138" i="98"/>
  <c r="EU42" i="98"/>
  <c r="EU17" i="98"/>
  <c r="EU94" i="98"/>
  <c r="EU98" i="98"/>
  <c r="EU63" i="98"/>
  <c r="EU56" i="98"/>
  <c r="EU26" i="98"/>
  <c r="EU43" i="98"/>
  <c r="BK151" i="1"/>
  <c r="BI186" i="1"/>
  <c r="BG186" i="1"/>
  <c r="BF186" i="1"/>
  <c r="O186" i="1"/>
  <c r="BH186" i="1"/>
  <c r="BK666" i="98"/>
  <c r="EO666" i="98"/>
  <c r="EL654" i="98"/>
  <c r="BH654" i="98"/>
  <c r="EK629" i="98"/>
  <c r="BG629" i="98"/>
  <c r="O182" i="1"/>
  <c r="BF182" i="1"/>
  <c r="BH182" i="1"/>
  <c r="BI182" i="1"/>
  <c r="BG182" i="1"/>
  <c r="BG666" i="98"/>
  <c r="EK666" i="98"/>
  <c r="EJ641" i="98"/>
  <c r="EU641" i="98" s="1"/>
  <c r="BF641" i="98"/>
  <c r="EK636" i="98"/>
  <c r="BG636" i="98"/>
  <c r="BJ594" i="98"/>
  <c r="EN594" i="98"/>
  <c r="BJ593" i="98"/>
  <c r="EN593" i="98"/>
  <c r="O165" i="1"/>
  <c r="BG171" i="1"/>
  <c r="R187" i="1"/>
  <c r="R199" i="1" s="1"/>
  <c r="BG199" i="1" s="1"/>
  <c r="BH171" i="1"/>
  <c r="O171" i="1"/>
  <c r="BF171" i="1"/>
  <c r="BI171" i="1"/>
  <c r="EO600" i="98"/>
  <c r="BK600" i="98"/>
  <c r="EK615" i="98"/>
  <c r="BG615" i="98"/>
  <c r="BG593" i="98"/>
  <c r="EK593" i="98"/>
  <c r="BF587" i="98"/>
  <c r="EJ587" i="98"/>
  <c r="EU587" i="98" s="1"/>
  <c r="BK568" i="98"/>
  <c r="EO568" i="98"/>
  <c r="BJ564" i="98"/>
  <c r="EN564" i="98"/>
  <c r="BK539" i="98"/>
  <c r="EO539" i="98"/>
  <c r="EP512" i="98"/>
  <c r="BL512" i="98"/>
  <c r="BK503" i="98"/>
  <c r="EO503" i="98"/>
  <c r="BG520" i="98"/>
  <c r="EK520" i="98"/>
  <c r="EU520" i="98" s="1"/>
  <c r="BK488" i="98"/>
  <c r="EO488" i="98"/>
  <c r="BK386" i="98"/>
  <c r="EO386" i="98"/>
  <c r="BG384" i="98"/>
  <c r="EK384" i="98"/>
  <c r="BK369" i="98"/>
  <c r="EO369" i="98"/>
  <c r="BK194" i="1"/>
  <c r="BL194" i="1"/>
  <c r="BJ194" i="1"/>
  <c r="BM194" i="1"/>
  <c r="O193" i="1"/>
  <c r="EN259" i="98"/>
  <c r="BJ259" i="98"/>
  <c r="C63" i="83"/>
  <c r="O174" i="84"/>
  <c r="C10" i="84" s="1"/>
  <c r="C53" i="85"/>
  <c r="N174" i="84"/>
  <c r="C9" i="84" s="1"/>
  <c r="C24" i="84" s="1"/>
  <c r="V191" i="1" s="1"/>
  <c r="C34" i="82"/>
  <c r="C35" i="82"/>
  <c r="C7" i="76"/>
  <c r="C7" i="74"/>
  <c r="C49" i="81"/>
  <c r="C34" i="81"/>
  <c r="EU556" i="98"/>
  <c r="EV570" i="98"/>
  <c r="EV494" i="98"/>
  <c r="EV432" i="98"/>
  <c r="EV422" i="98"/>
  <c r="EV355" i="98"/>
  <c r="EV387" i="98"/>
  <c r="EU178" i="98"/>
  <c r="EU145" i="98"/>
  <c r="EU139" i="98"/>
  <c r="EU134" i="98"/>
  <c r="EU240" i="98"/>
  <c r="EU133" i="98"/>
  <c r="EU113" i="98"/>
  <c r="EU79" i="98"/>
  <c r="EU77" i="98"/>
  <c r="EU69" i="98"/>
  <c r="BM151" i="1"/>
  <c r="EU274" i="98"/>
  <c r="EO670" i="98"/>
  <c r="BK670" i="98"/>
  <c r="BK681" i="98"/>
  <c r="EO681" i="98"/>
  <c r="EJ678" i="98"/>
  <c r="BF678" i="98"/>
  <c r="O177" i="1"/>
  <c r="BH177" i="1"/>
  <c r="BF177" i="1"/>
  <c r="BG177" i="1"/>
  <c r="BI177" i="1"/>
  <c r="EO645" i="98"/>
  <c r="BK645" i="98"/>
  <c r="EN656" i="98"/>
  <c r="BJ656" i="98"/>
  <c r="EJ595" i="98"/>
  <c r="BF595" i="98"/>
  <c r="BF593" i="98"/>
  <c r="EJ593" i="98"/>
  <c r="EU593" i="98" s="1"/>
  <c r="EL583" i="98"/>
  <c r="BH583" i="98"/>
  <c r="BK572" i="98"/>
  <c r="EO572" i="98"/>
  <c r="BK624" i="98"/>
  <c r="EO624" i="98"/>
  <c r="EL599" i="98"/>
  <c r="BH599" i="98"/>
  <c r="BJ565" i="98"/>
  <c r="EN565" i="98"/>
  <c r="BG539" i="98"/>
  <c r="EK539" i="98"/>
  <c r="BG503" i="98"/>
  <c r="EK503" i="98"/>
  <c r="BJ553" i="98"/>
  <c r="EN553" i="98"/>
  <c r="EK531" i="98"/>
  <c r="BG531" i="98"/>
  <c r="EN528" i="98"/>
  <c r="BJ528" i="98"/>
  <c r="BK498" i="98"/>
  <c r="EO498" i="98"/>
  <c r="BG488" i="98"/>
  <c r="EK488" i="98"/>
  <c r="BK388" i="98"/>
  <c r="EO388" i="98"/>
  <c r="BG386" i="98"/>
  <c r="EK386" i="98"/>
  <c r="BK375" i="98"/>
  <c r="EO375" i="98"/>
  <c r="BG369" i="98"/>
  <c r="EK369" i="98"/>
  <c r="BK333" i="98"/>
  <c r="EO333" i="98"/>
  <c r="EL275" i="98"/>
  <c r="EU275" i="98" s="1"/>
  <c r="BH275" i="98"/>
  <c r="EL273" i="98"/>
  <c r="BH273" i="98"/>
  <c r="EO294" i="98"/>
  <c r="BK294" i="98"/>
  <c r="EL283" i="98"/>
  <c r="EU283" i="98" s="1"/>
  <c r="BH283" i="98"/>
  <c r="BK335" i="98"/>
  <c r="EO335" i="98"/>
  <c r="EO318" i="98"/>
  <c r="BK318" i="98"/>
  <c r="EO310" i="98"/>
  <c r="BK310" i="98"/>
  <c r="EL279" i="98"/>
  <c r="EU279" i="98" s="1"/>
  <c r="BH279" i="98"/>
  <c r="BK270" i="98"/>
  <c r="EO270" i="98"/>
  <c r="K237" i="77"/>
  <c r="D30" i="77" s="1"/>
  <c r="K247" i="77"/>
  <c r="D40" i="77" s="1"/>
  <c r="R107" i="48"/>
  <c r="S107" i="48"/>
  <c r="O107" i="48" s="1"/>
  <c r="N107" i="48" s="1"/>
  <c r="P107" i="48" s="1"/>
  <c r="S100" i="36"/>
  <c r="T137" i="94"/>
  <c r="C10" i="97"/>
  <c r="O174" i="87"/>
  <c r="C10" i="87" s="1"/>
  <c r="O174" i="86"/>
  <c r="C10" i="86" s="1"/>
  <c r="N174" i="86"/>
  <c r="C9" i="86" s="1"/>
  <c r="C64" i="83"/>
  <c r="C47" i="82"/>
  <c r="C50" i="83"/>
  <c r="C46" i="85"/>
  <c r="C11" i="80"/>
  <c r="C25" i="80" s="1"/>
  <c r="C42" i="85"/>
  <c r="M244" i="78"/>
  <c r="S107" i="38"/>
  <c r="U107" i="38"/>
  <c r="Q107" i="38" s="1"/>
  <c r="P107" i="38" s="1"/>
  <c r="R107" i="38" s="1"/>
  <c r="EV671" i="98"/>
  <c r="EV637" i="98"/>
  <c r="EU553" i="98"/>
  <c r="EU569" i="98"/>
  <c r="EV556" i="98"/>
  <c r="EV546" i="98"/>
  <c r="EU539" i="98"/>
  <c r="EU577" i="98"/>
  <c r="EV516" i="98"/>
  <c r="EV509" i="98"/>
  <c r="EU488" i="98"/>
  <c r="EV414" i="98"/>
  <c r="EV401" i="98"/>
  <c r="EV354" i="98"/>
  <c r="EV372" i="98"/>
  <c r="EV385" i="98"/>
  <c r="EV348" i="98"/>
  <c r="EV322" i="98"/>
  <c r="EU182" i="98"/>
  <c r="EU246" i="98"/>
  <c r="EU273" i="98"/>
  <c r="EU228" i="98"/>
  <c r="EU231" i="98"/>
  <c r="EU142" i="98"/>
  <c r="EU109" i="98"/>
  <c r="EU162" i="98"/>
  <c r="EU118" i="98"/>
  <c r="EU87" i="98"/>
  <c r="EU83" i="98"/>
  <c r="EV155" i="98"/>
  <c r="EU128" i="98"/>
  <c r="EU82" i="98"/>
  <c r="EU81" i="98"/>
  <c r="EU59" i="98"/>
  <c r="EU44" i="98"/>
  <c r="EU33" i="98"/>
  <c r="EU27" i="98"/>
  <c r="EU106" i="98"/>
  <c r="EU84" i="98"/>
  <c r="EU18" i="98"/>
  <c r="BL151" i="1"/>
  <c r="AP163" i="1"/>
  <c r="BG670" i="98"/>
  <c r="EK670" i="98"/>
  <c r="EU670" i="98" s="1"/>
  <c r="BG645" i="98"/>
  <c r="EK645" i="98"/>
  <c r="EN645" i="98"/>
  <c r="BJ645" i="98"/>
  <c r="BK654" i="98"/>
  <c r="EO654" i="98"/>
  <c r="BF174" i="1"/>
  <c r="BG174" i="1"/>
  <c r="BH174" i="1"/>
  <c r="BI174" i="1"/>
  <c r="EP600" i="98"/>
  <c r="BL600" i="98"/>
  <c r="EJ599" i="98"/>
  <c r="BF599" i="98"/>
  <c r="BF589" i="98"/>
  <c r="EJ589" i="98"/>
  <c r="BJ584" i="98"/>
  <c r="EN584" i="98"/>
  <c r="BF573" i="98"/>
  <c r="EJ573" i="98"/>
  <c r="BG572" i="98"/>
  <c r="EK572" i="98"/>
  <c r="EU572" i="98" s="1"/>
  <c r="EJ603" i="98"/>
  <c r="BF603" i="98"/>
  <c r="O160" i="1"/>
  <c r="BH160" i="1"/>
  <c r="BF160" i="1"/>
  <c r="BG160" i="1"/>
  <c r="BI160" i="1"/>
  <c r="BK187" i="1"/>
  <c r="BJ187" i="1"/>
  <c r="BM187" i="1"/>
  <c r="BL187" i="1"/>
  <c r="EO601" i="98"/>
  <c r="EU601" i="98" s="1"/>
  <c r="BK601" i="98"/>
  <c r="BF594" i="98"/>
  <c r="EJ594" i="98"/>
  <c r="O167" i="1"/>
  <c r="BI167" i="1"/>
  <c r="BH167" i="1"/>
  <c r="BG167" i="1"/>
  <c r="BF167" i="1"/>
  <c r="BF584" i="98"/>
  <c r="EJ584" i="98"/>
  <c r="BK161" i="1"/>
  <c r="BJ161" i="1"/>
  <c r="BL161" i="1"/>
  <c r="BM161" i="1"/>
  <c r="EK527" i="98"/>
  <c r="BG527" i="98"/>
  <c r="BF561" i="98"/>
  <c r="EJ561" i="98"/>
  <c r="EU561" i="98" s="1"/>
  <c r="BJ557" i="98"/>
  <c r="EN557" i="98"/>
  <c r="EU557" i="98" s="1"/>
  <c r="EK523" i="98"/>
  <c r="BG523" i="98"/>
  <c r="EO513" i="98"/>
  <c r="BK513" i="98"/>
  <c r="BG498" i="98"/>
  <c r="EK498" i="98"/>
  <c r="EU498" i="98" s="1"/>
  <c r="BK390" i="98"/>
  <c r="EO390" i="98"/>
  <c r="BG388" i="98"/>
  <c r="EK388" i="98"/>
  <c r="BG375" i="98"/>
  <c r="EK375" i="98"/>
  <c r="BK381" i="98"/>
  <c r="EO381" i="98"/>
  <c r="EN288" i="98"/>
  <c r="EU288" i="98" s="1"/>
  <c r="BJ288" i="98"/>
  <c r="BK271" i="98"/>
  <c r="EO271" i="98"/>
  <c r="EN270" i="98"/>
  <c r="BJ270" i="98"/>
  <c r="EO293" i="98"/>
  <c r="BK293" i="98"/>
  <c r="BK262" i="98"/>
  <c r="EO262" i="98"/>
  <c r="EU262" i="98" s="1"/>
  <c r="EL323" i="98"/>
  <c r="EU323" i="98" s="1"/>
  <c r="BH323" i="98"/>
  <c r="EO297" i="98"/>
  <c r="BK297" i="98"/>
  <c r="EO291" i="98"/>
  <c r="BK291" i="98"/>
  <c r="BG270" i="98"/>
  <c r="EK270" i="98"/>
  <c r="U105" i="36"/>
  <c r="Q105" i="36" s="1"/>
  <c r="P105" i="36" s="1"/>
  <c r="R105" i="36" s="1"/>
  <c r="BI190" i="1"/>
  <c r="BG141" i="1"/>
  <c r="O183" i="1"/>
  <c r="BK134" i="1"/>
  <c r="BI141" i="1"/>
  <c r="O134" i="1"/>
  <c r="AF135" i="1"/>
  <c r="AG135" i="1" s="1"/>
  <c r="AO135" i="1" s="1"/>
  <c r="EU597" i="98"/>
  <c r="EI575" i="98"/>
  <c r="EI578" i="98"/>
  <c r="BF477" i="98"/>
  <c r="EV467" i="98"/>
  <c r="EI361" i="98"/>
  <c r="BF260" i="98"/>
  <c r="AC411" i="98"/>
  <c r="AO411" i="98" s="1"/>
  <c r="EV190" i="98"/>
  <c r="AW187" i="98"/>
  <c r="AY187" i="98" s="1"/>
  <c r="AS431" i="98"/>
  <c r="AT117" i="98"/>
  <c r="BF117" i="98" s="1"/>
  <c r="EG49" i="98"/>
  <c r="BH187" i="98"/>
  <c r="BM134" i="1"/>
  <c r="BJ617" i="98"/>
  <c r="AR204" i="98"/>
  <c r="BE187" i="98"/>
  <c r="BK597" i="98"/>
  <c r="EU598" i="98"/>
  <c r="AW578" i="98"/>
  <c r="BI578" i="98" s="1"/>
  <c r="BF484" i="98"/>
  <c r="EV491" i="98"/>
  <c r="BL380" i="98"/>
  <c r="EV380" i="98"/>
  <c r="AW361" i="98"/>
  <c r="EV260" i="98"/>
  <c r="AE411" i="98"/>
  <c r="AQ411" i="98" s="1"/>
  <c r="BJ155" i="98"/>
  <c r="AW117" i="98"/>
  <c r="BI117" i="98" s="1"/>
  <c r="BK102" i="98"/>
  <c r="AU187" i="98"/>
  <c r="EI117" i="98"/>
  <c r="BH117" i="98"/>
  <c r="EV16" i="98"/>
  <c r="U49" i="98"/>
  <c r="AM144" i="1"/>
  <c r="BJ134" i="1"/>
  <c r="BH141" i="1"/>
  <c r="BJ166" i="98"/>
  <c r="BL154" i="98"/>
  <c r="EP154" i="98"/>
  <c r="AF151" i="1"/>
  <c r="AG151" i="1" s="1"/>
  <c r="AN112" i="1"/>
  <c r="AM112" i="1"/>
  <c r="EV651" i="98"/>
  <c r="EV598" i="98"/>
  <c r="BG183" i="1"/>
  <c r="BI183" i="1"/>
  <c r="BH183" i="1"/>
  <c r="BF183" i="1"/>
  <c r="BL183" i="1"/>
  <c r="BK183" i="1"/>
  <c r="BM183" i="1"/>
  <c r="BJ183" i="1"/>
  <c r="EV40" i="98"/>
  <c r="AO5" i="98"/>
  <c r="AK5" i="98"/>
  <c r="AF189" i="1"/>
  <c r="AM189" i="1"/>
  <c r="AM174" i="1"/>
  <c r="AQ174" i="1" s="1"/>
  <c r="AF174" i="1"/>
  <c r="AM164" i="1"/>
  <c r="AF164" i="1"/>
  <c r="AM178" i="1"/>
  <c r="AQ178" i="1" s="1"/>
  <c r="AF178" i="1"/>
  <c r="AE171" i="1"/>
  <c r="AT171" i="1"/>
  <c r="AU171" i="1" s="1"/>
  <c r="AV171" i="1" s="1"/>
  <c r="AW171" i="1" s="1"/>
  <c r="AL171" i="1"/>
  <c r="AP171" i="1" s="1"/>
  <c r="EO617" i="98"/>
  <c r="BK617" i="98"/>
  <c r="BG477" i="98"/>
  <c r="EK477" i="98"/>
  <c r="EU477" i="98" s="1"/>
  <c r="AF168" i="1"/>
  <c r="AM168" i="1"/>
  <c r="AF165" i="1"/>
  <c r="AM165" i="1"/>
  <c r="AQ165" i="1" s="1"/>
  <c r="AE196" i="1"/>
  <c r="AL196" i="1"/>
  <c r="AP196" i="1" s="1"/>
  <c r="AT196" i="1"/>
  <c r="AL148" i="1"/>
  <c r="AP148" i="1" s="1"/>
  <c r="AE148" i="1"/>
  <c r="AE155" i="1"/>
  <c r="AL155" i="1"/>
  <c r="AP155" i="1" s="1"/>
  <c r="AM193" i="1"/>
  <c r="AQ193" i="1" s="1"/>
  <c r="AF193" i="1"/>
  <c r="AM191" i="1"/>
  <c r="AQ191" i="1" s="1"/>
  <c r="AF191" i="1"/>
  <c r="BL167" i="98"/>
  <c r="EP167" i="98"/>
  <c r="BK166" i="98"/>
  <c r="EO166" i="98"/>
  <c r="AE139" i="1"/>
  <c r="AL139" i="1"/>
  <c r="AP139" i="1" s="1"/>
  <c r="AL197" i="1"/>
  <c r="AP197" i="1" s="1"/>
  <c r="AT197" i="1"/>
  <c r="AE197" i="1"/>
  <c r="AL156" i="1"/>
  <c r="AP156" i="1" s="1"/>
  <c r="AE156" i="1"/>
  <c r="AF198" i="1"/>
  <c r="AM198" i="1"/>
  <c r="AQ198" i="1" s="1"/>
  <c r="AL138" i="1"/>
  <c r="AP138" i="1" s="1"/>
  <c r="AE138" i="1"/>
  <c r="AL134" i="1"/>
  <c r="AP134" i="1" s="1"/>
  <c r="AE134" i="1"/>
  <c r="AL131" i="1"/>
  <c r="AP131" i="1" s="1"/>
  <c r="AE131" i="1"/>
  <c r="EP102" i="98"/>
  <c r="EU102" i="98" s="1"/>
  <c r="BL102" i="98"/>
  <c r="AL127" i="1"/>
  <c r="AP127" i="1" s="1"/>
  <c r="AE127" i="1"/>
  <c r="AL123" i="1"/>
  <c r="AP123" i="1" s="1"/>
  <c r="AE123" i="1"/>
  <c r="AE132" i="1"/>
  <c r="AL132" i="1"/>
  <c r="AP132" i="1" s="1"/>
  <c r="AE129" i="1"/>
  <c r="AL129" i="1"/>
  <c r="AP129" i="1" s="1"/>
  <c r="EU229" i="98"/>
  <c r="EV21" i="98"/>
  <c r="AN5" i="98"/>
  <c r="AM159" i="1"/>
  <c r="AQ159" i="1" s="1"/>
  <c r="AF159" i="1"/>
  <c r="AM167" i="1"/>
  <c r="AQ167" i="1" s="1"/>
  <c r="AF167" i="1"/>
  <c r="AM163" i="1"/>
  <c r="AQ163" i="1" s="1"/>
  <c r="AF163" i="1"/>
  <c r="AL157" i="1"/>
  <c r="AP157" i="1" s="1"/>
  <c r="AE157" i="1"/>
  <c r="AT157" i="1"/>
  <c r="AU157" i="1" s="1"/>
  <c r="AV157" i="1" s="1"/>
  <c r="AW157" i="1" s="1"/>
  <c r="AE182" i="1"/>
  <c r="AL182" i="1"/>
  <c r="AP182" i="1" s="1"/>
  <c r="AT182" i="1"/>
  <c r="AU182" i="1" s="1"/>
  <c r="AV182" i="1" s="1"/>
  <c r="AW182" i="1" s="1"/>
  <c r="AL169" i="1"/>
  <c r="AP169" i="1" s="1"/>
  <c r="AE169" i="1"/>
  <c r="AT169" i="1"/>
  <c r="AU169" i="1" s="1"/>
  <c r="AV169" i="1" s="1"/>
  <c r="AW169" i="1" s="1"/>
  <c r="AE158" i="1"/>
  <c r="AL158" i="1"/>
  <c r="AP158" i="1" s="1"/>
  <c r="AT158" i="1"/>
  <c r="AU158" i="1" s="1"/>
  <c r="AV158" i="1" s="1"/>
  <c r="AW158" i="1" s="1"/>
  <c r="AE180" i="1"/>
  <c r="AL180" i="1"/>
  <c r="AP180" i="1" s="1"/>
  <c r="AT180" i="1"/>
  <c r="AU180" i="1" s="1"/>
  <c r="AV180" i="1" s="1"/>
  <c r="AW180" i="1" s="1"/>
  <c r="AE173" i="1"/>
  <c r="AL173" i="1"/>
  <c r="AT173" i="1"/>
  <c r="AU173" i="1" s="1"/>
  <c r="AV173" i="1" s="1"/>
  <c r="AW173" i="1" s="1"/>
  <c r="AU195" i="1"/>
  <c r="S199" i="117" s="1"/>
  <c r="AU194" i="1"/>
  <c r="S198" i="117" s="1"/>
  <c r="BG484" i="98"/>
  <c r="EK484" i="98"/>
  <c r="EU484" i="98" s="1"/>
  <c r="EO183" i="98"/>
  <c r="BK183" i="98"/>
  <c r="AL130" i="1"/>
  <c r="AE130" i="1"/>
  <c r="AE115" i="1"/>
  <c r="AL115" i="1"/>
  <c r="AP115" i="1" s="1"/>
  <c r="AE142" i="1"/>
  <c r="AL142" i="1"/>
  <c r="AP142" i="1" s="1"/>
  <c r="AL116" i="1"/>
  <c r="AP116" i="1" s="1"/>
  <c r="AE116" i="1"/>
  <c r="AE120" i="1"/>
  <c r="AL120" i="1"/>
  <c r="AP120" i="1" s="1"/>
  <c r="AP183" i="1"/>
  <c r="AM175" i="1"/>
  <c r="AQ175" i="1" s="1"/>
  <c r="AF175" i="1"/>
  <c r="AL161" i="1"/>
  <c r="AP161" i="1" s="1"/>
  <c r="AE161" i="1"/>
  <c r="AT161" i="1"/>
  <c r="AU161" i="1" s="1"/>
  <c r="AV161" i="1" s="1"/>
  <c r="AW161" i="1" s="1"/>
  <c r="AT188" i="1"/>
  <c r="AU188" i="1" s="1"/>
  <c r="AV188" i="1" s="1"/>
  <c r="AW188" i="1" s="1"/>
  <c r="AE188" i="1"/>
  <c r="AL188" i="1"/>
  <c r="AE181" i="1"/>
  <c r="AT181" i="1"/>
  <c r="AU181" i="1" s="1"/>
  <c r="AV181" i="1" s="1"/>
  <c r="AW181" i="1" s="1"/>
  <c r="AL181" i="1"/>
  <c r="AP181" i="1" s="1"/>
  <c r="AM179" i="1"/>
  <c r="AQ179" i="1" s="1"/>
  <c r="AF179" i="1"/>
  <c r="AL177" i="1"/>
  <c r="AP177" i="1" s="1"/>
  <c r="AT177" i="1"/>
  <c r="AU177" i="1" s="1"/>
  <c r="AV177" i="1" s="1"/>
  <c r="AW177" i="1" s="1"/>
  <c r="AE177" i="1"/>
  <c r="AT186" i="1"/>
  <c r="AU186" i="1" s="1"/>
  <c r="AV186" i="1" s="1"/>
  <c r="AW186" i="1" s="1"/>
  <c r="AL186" i="1"/>
  <c r="AP186" i="1" s="1"/>
  <c r="AE186" i="1"/>
  <c r="AT160" i="1"/>
  <c r="AU160" i="1" s="1"/>
  <c r="AV160" i="1" s="1"/>
  <c r="AW160" i="1" s="1"/>
  <c r="AE160" i="1"/>
  <c r="AL160" i="1"/>
  <c r="AP160" i="1" s="1"/>
  <c r="AL149" i="1"/>
  <c r="AP149" i="1" s="1"/>
  <c r="AE149" i="1"/>
  <c r="AE147" i="1"/>
  <c r="AL147" i="1"/>
  <c r="AP147" i="1" s="1"/>
  <c r="AL141" i="1"/>
  <c r="AP141" i="1" s="1"/>
  <c r="AE141" i="1"/>
  <c r="AU193" i="1"/>
  <c r="S197" i="117" s="1"/>
  <c r="AU191" i="1"/>
  <c r="S195" i="117" s="1"/>
  <c r="AL145" i="1"/>
  <c r="AP145" i="1" s="1"/>
  <c r="AE145" i="1"/>
  <c r="AL140" i="1"/>
  <c r="AE140" i="1"/>
  <c r="AF195" i="1"/>
  <c r="AM195" i="1"/>
  <c r="AU192" i="1"/>
  <c r="S196" i="117" s="1"/>
  <c r="AU198" i="1"/>
  <c r="S202" i="117" s="1"/>
  <c r="AL143" i="1"/>
  <c r="AP143" i="1" s="1"/>
  <c r="AE143" i="1"/>
  <c r="AL136" i="1"/>
  <c r="AE136" i="1"/>
  <c r="AL124" i="1"/>
  <c r="AE124" i="1"/>
  <c r="AL117" i="1"/>
  <c r="AP117" i="1" s="1"/>
  <c r="AE117" i="1"/>
  <c r="AL128" i="1"/>
  <c r="AP128" i="1" s="1"/>
  <c r="AE128" i="1"/>
  <c r="AE111" i="1"/>
  <c r="AL111" i="1"/>
  <c r="AP111" i="1" s="1"/>
  <c r="EV358" i="98"/>
  <c r="EV346" i="98"/>
  <c r="AQ5" i="98"/>
  <c r="AE185" i="1"/>
  <c r="AT185" i="1"/>
  <c r="AU185" i="1" s="1"/>
  <c r="AV185" i="1" s="1"/>
  <c r="AW185" i="1" s="1"/>
  <c r="AL185" i="1"/>
  <c r="AF184" i="1"/>
  <c r="AM184" i="1"/>
  <c r="AQ184" i="1" s="1"/>
  <c r="AM172" i="1"/>
  <c r="AF172" i="1"/>
  <c r="BK616" i="98"/>
  <c r="EO616" i="98"/>
  <c r="AF162" i="1"/>
  <c r="AM162" i="1"/>
  <c r="AQ162" i="1" s="1"/>
  <c r="AF187" i="1"/>
  <c r="AM187" i="1"/>
  <c r="AQ187" i="1" s="1"/>
  <c r="AM183" i="1"/>
  <c r="AQ183" i="1" s="1"/>
  <c r="AF183" i="1"/>
  <c r="AE170" i="1"/>
  <c r="AL170" i="1"/>
  <c r="AP170" i="1" s="1"/>
  <c r="AT170" i="1"/>
  <c r="AU170" i="1" s="1"/>
  <c r="AV170" i="1" s="1"/>
  <c r="AW170" i="1" s="1"/>
  <c r="AM190" i="1"/>
  <c r="AQ190" i="1" s="1"/>
  <c r="AF190" i="1"/>
  <c r="AE176" i="1"/>
  <c r="AL176" i="1"/>
  <c r="AT176" i="1"/>
  <c r="AU176" i="1" s="1"/>
  <c r="AV176" i="1" s="1"/>
  <c r="AW176" i="1" s="1"/>
  <c r="AT166" i="1"/>
  <c r="AU166" i="1" s="1"/>
  <c r="AV166" i="1" s="1"/>
  <c r="AW166" i="1" s="1"/>
  <c r="AE166" i="1"/>
  <c r="AL166" i="1"/>
  <c r="AP166" i="1" s="1"/>
  <c r="AT199" i="1"/>
  <c r="AE199" i="1"/>
  <c r="AL199" i="1"/>
  <c r="AP199" i="1" s="1"/>
  <c r="AL154" i="1"/>
  <c r="AP154" i="1" s="1"/>
  <c r="AE154" i="1"/>
  <c r="BH213" i="1"/>
  <c r="BG213" i="1"/>
  <c r="BF213" i="1"/>
  <c r="R214" i="1"/>
  <c r="O214" i="1" s="1"/>
  <c r="BI213" i="1"/>
  <c r="AL150" i="1"/>
  <c r="AP150" i="1" s="1"/>
  <c r="AE150" i="1"/>
  <c r="AM194" i="1"/>
  <c r="AQ194" i="1" s="1"/>
  <c r="AF194" i="1"/>
  <c r="AF192" i="1"/>
  <c r="AM192" i="1"/>
  <c r="AL152" i="1"/>
  <c r="AP152" i="1" s="1"/>
  <c r="AE152" i="1"/>
  <c r="AL125" i="1"/>
  <c r="AP125" i="1" s="1"/>
  <c r="AE125" i="1"/>
  <c r="AL119" i="1"/>
  <c r="AP119" i="1" s="1"/>
  <c r="AE119" i="1"/>
  <c r="AL110" i="1"/>
  <c r="AP110" i="1" s="1"/>
  <c r="AE110" i="1"/>
  <c r="AE146" i="1"/>
  <c r="AL146" i="1"/>
  <c r="AP146" i="1" s="1"/>
  <c r="AE133" i="1"/>
  <c r="AL133" i="1"/>
  <c r="AP133" i="1" s="1"/>
  <c r="AL126" i="1"/>
  <c r="AP126" i="1" s="1"/>
  <c r="AE126" i="1"/>
  <c r="AE113" i="1"/>
  <c r="AL113" i="1"/>
  <c r="AP113" i="1" s="1"/>
  <c r="AE122" i="1"/>
  <c r="AL122" i="1"/>
  <c r="AP122" i="1" s="1"/>
  <c r="AE121" i="1"/>
  <c r="AL121" i="1"/>
  <c r="AP121" i="1" s="1"/>
  <c r="AL114" i="1"/>
  <c r="AP114" i="1" s="1"/>
  <c r="AE114" i="1"/>
  <c r="AW156" i="1"/>
  <c r="AN144" i="1"/>
  <c r="AG144" i="1"/>
  <c r="AL137" i="1"/>
  <c r="AP137" i="1" s="1"/>
  <c r="AE137" i="1"/>
  <c r="AL153" i="1"/>
  <c r="AP153" i="1" s="1"/>
  <c r="AE153" i="1"/>
  <c r="AW120" i="1"/>
  <c r="AW119" i="1"/>
  <c r="AW130" i="1"/>
  <c r="AW132" i="1"/>
  <c r="AW117" i="1"/>
  <c r="AW147" i="1"/>
  <c r="AW121" i="1"/>
  <c r="AW114" i="1"/>
  <c r="AW127" i="1"/>
  <c r="AW152" i="1"/>
  <c r="AW136" i="1"/>
  <c r="AW138" i="1"/>
  <c r="AW113" i="1"/>
  <c r="AW125" i="1"/>
  <c r="AW144" i="1"/>
  <c r="AW122" i="1"/>
  <c r="AW131" i="1"/>
  <c r="AW148" i="1"/>
  <c r="AW128" i="1"/>
  <c r="AW133" i="1"/>
  <c r="AW118" i="1"/>
  <c r="AW135" i="1"/>
  <c r="AW151" i="1"/>
  <c r="AW134" i="1"/>
  <c r="AW116" i="1"/>
  <c r="AW126" i="1"/>
  <c r="AW110" i="1"/>
  <c r="AW150" i="1"/>
  <c r="C9" i="101"/>
  <c r="C28" i="101"/>
  <c r="C9" i="100"/>
  <c r="C16" i="102"/>
  <c r="C9" i="102"/>
  <c r="C14" i="102" s="1"/>
  <c r="BF681" i="98"/>
  <c r="EJ681" i="98"/>
  <c r="EN679" i="98"/>
  <c r="BJ679" i="98"/>
  <c r="BG680" i="98"/>
  <c r="EK680" i="98"/>
  <c r="EV679" i="98"/>
  <c r="EN676" i="98"/>
  <c r="BJ676" i="98"/>
  <c r="BH674" i="98"/>
  <c r="EL674" i="98"/>
  <c r="BL673" i="98"/>
  <c r="EP673" i="98"/>
  <c r="EN675" i="98"/>
  <c r="BJ675" i="98"/>
  <c r="BF673" i="98"/>
  <c r="EJ673" i="98"/>
  <c r="EJ667" i="98"/>
  <c r="BF667" i="98"/>
  <c r="BK663" i="98"/>
  <c r="EO663" i="98"/>
  <c r="BG677" i="98"/>
  <c r="EK677" i="98"/>
  <c r="EK675" i="98"/>
  <c r="BG675" i="98"/>
  <c r="EU672" i="98"/>
  <c r="EK665" i="98"/>
  <c r="BG665" i="98"/>
  <c r="BL662" i="98"/>
  <c r="EP662" i="98"/>
  <c r="EN659" i="98"/>
  <c r="BJ659" i="98"/>
  <c r="BL657" i="98"/>
  <c r="EP657" i="98"/>
  <c r="BL655" i="98"/>
  <c r="EP655" i="98"/>
  <c r="EP647" i="98"/>
  <c r="BL647" i="98"/>
  <c r="EP646" i="98"/>
  <c r="BL646" i="98"/>
  <c r="EK657" i="98"/>
  <c r="BG657" i="98"/>
  <c r="EU656" i="98"/>
  <c r="BF644" i="98"/>
  <c r="EJ644" i="98"/>
  <c r="EJ643" i="98"/>
  <c r="BF643" i="98"/>
  <c r="BL643" i="98"/>
  <c r="EP643" i="98"/>
  <c r="BK643" i="98"/>
  <c r="EO643" i="98"/>
  <c r="BF653" i="98"/>
  <c r="EJ653" i="98"/>
  <c r="BJ640" i="98"/>
  <c r="EN640" i="98"/>
  <c r="BJ636" i="98"/>
  <c r="EN636" i="98"/>
  <c r="EN642" i="98"/>
  <c r="BJ642" i="98"/>
  <c r="BF632" i="98"/>
  <c r="EJ632" i="98"/>
  <c r="BF620" i="98"/>
  <c r="EJ620" i="98"/>
  <c r="BJ616" i="98"/>
  <c r="EN616" i="98"/>
  <c r="EJ642" i="98"/>
  <c r="BF642" i="98"/>
  <c r="BK634" i="98"/>
  <c r="EO634" i="98"/>
  <c r="EO622" i="98"/>
  <c r="BK622" i="98"/>
  <c r="BG628" i="98"/>
  <c r="EK628" i="98"/>
  <c r="EV635" i="98"/>
  <c r="BL631" i="98"/>
  <c r="EP631" i="98"/>
  <c r="EN623" i="98"/>
  <c r="BJ623" i="98"/>
  <c r="BH631" i="98"/>
  <c r="EL631" i="98"/>
  <c r="EJ648" i="98"/>
  <c r="BF648" i="98"/>
  <c r="BH638" i="98"/>
  <c r="EL638" i="98"/>
  <c r="EU637" i="98"/>
  <c r="EJ627" i="98"/>
  <c r="BF627" i="98"/>
  <c r="BH618" i="98"/>
  <c r="EL618" i="98"/>
  <c r="BG611" i="98"/>
  <c r="EK611" i="98"/>
  <c r="BH610" i="98"/>
  <c r="EL610" i="98"/>
  <c r="EV640" i="98"/>
  <c r="BF604" i="98"/>
  <c r="EJ604" i="98"/>
  <c r="BG603" i="98"/>
  <c r="EK603" i="98"/>
  <c r="BJ600" i="98"/>
  <c r="EN600" i="98"/>
  <c r="EK595" i="98"/>
  <c r="BG595" i="98"/>
  <c r="EK585" i="98"/>
  <c r="BG585" i="98"/>
  <c r="EL584" i="98"/>
  <c r="BH584" i="98"/>
  <c r="BJ611" i="98"/>
  <c r="EN611" i="98"/>
  <c r="EN607" i="98"/>
  <c r="BJ607" i="98"/>
  <c r="BK604" i="98"/>
  <c r="EO604" i="98"/>
  <c r="BH596" i="98"/>
  <c r="EL596" i="98"/>
  <c r="EJ378" i="98"/>
  <c r="BF378" i="98"/>
  <c r="EP356" i="98"/>
  <c r="BL356" i="98"/>
  <c r="EL354" i="98"/>
  <c r="BH354" i="98"/>
  <c r="EP352" i="98"/>
  <c r="BL352" i="98"/>
  <c r="EP350" i="98"/>
  <c r="BL350" i="98"/>
  <c r="EP348" i="98"/>
  <c r="BL348" i="98"/>
  <c r="EP347" i="98"/>
  <c r="BL347" i="98"/>
  <c r="BJ317" i="98"/>
  <c r="EN317" i="98"/>
  <c r="BJ313" i="98"/>
  <c r="EN313" i="98"/>
  <c r="BJ307" i="98"/>
  <c r="EN307" i="98"/>
  <c r="BJ303" i="98"/>
  <c r="EN303" i="98"/>
  <c r="BJ297" i="98"/>
  <c r="EN297" i="98"/>
  <c r="BJ291" i="98"/>
  <c r="EN291" i="98"/>
  <c r="EL316" i="98"/>
  <c r="BH316" i="98"/>
  <c r="EP313" i="98"/>
  <c r="BL313" i="98"/>
  <c r="EL300" i="98"/>
  <c r="BH300" i="98"/>
  <c r="EL292" i="98"/>
  <c r="BH292" i="98"/>
  <c r="EL269" i="98"/>
  <c r="BH269" i="98"/>
  <c r="EJ344" i="98"/>
  <c r="BF344" i="98"/>
  <c r="BH287" i="98"/>
  <c r="EL287" i="98"/>
  <c r="EN266" i="98"/>
  <c r="BJ266" i="98"/>
  <c r="EJ272" i="98"/>
  <c r="BF272" i="98"/>
  <c r="BH266" i="98"/>
  <c r="EL266" i="98"/>
  <c r="EP250" i="98"/>
  <c r="BL250" i="98"/>
  <c r="AE417" i="98"/>
  <c r="AQ417" i="98" s="1"/>
  <c r="AD417" i="98"/>
  <c r="AP417" i="98" s="1"/>
  <c r="EH417" i="98"/>
  <c r="AC417" i="98"/>
  <c r="AO417" i="98" s="1"/>
  <c r="AF417" i="98"/>
  <c r="AR417" i="98" s="1"/>
  <c r="EO411" i="98"/>
  <c r="BK411" i="98"/>
  <c r="EP410" i="98"/>
  <c r="BL410" i="98"/>
  <c r="M617" i="98"/>
  <c r="AK617" i="98" s="1"/>
  <c r="P617" i="98"/>
  <c r="AN617" i="98" s="1"/>
  <c r="EF617" i="98"/>
  <c r="O617" i="98"/>
  <c r="AM617" i="98" s="1"/>
  <c r="N617" i="98"/>
  <c r="AL617" i="98" s="1"/>
  <c r="V399" i="98"/>
  <c r="U399" i="98"/>
  <c r="EG399" i="98"/>
  <c r="X399" i="98"/>
  <c r="W399" i="98"/>
  <c r="V608" i="98"/>
  <c r="W608" i="98"/>
  <c r="EG608" i="98"/>
  <c r="U608" i="98"/>
  <c r="X608" i="98"/>
  <c r="EJ374" i="98"/>
  <c r="BF374" i="98"/>
  <c r="BI374" i="98"/>
  <c r="AZ374" i="98"/>
  <c r="AY374" i="98"/>
  <c r="EM374" i="98"/>
  <c r="AX374" i="98"/>
  <c r="EJ371" i="98"/>
  <c r="BF371" i="98"/>
  <c r="BI371" i="98"/>
  <c r="AZ371" i="98"/>
  <c r="AY371" i="98"/>
  <c r="EM371" i="98"/>
  <c r="AX371" i="98"/>
  <c r="EV316" i="98"/>
  <c r="EV300" i="98"/>
  <c r="EO256" i="98"/>
  <c r="BK256" i="98"/>
  <c r="AY440" i="98"/>
  <c r="EM440" i="98"/>
  <c r="AX440" i="98"/>
  <c r="BI440" i="98"/>
  <c r="AZ440" i="98"/>
  <c r="P648" i="98"/>
  <c r="AN648" i="98" s="1"/>
  <c r="EF648" i="98"/>
  <c r="O648" i="98"/>
  <c r="AM648" i="98" s="1"/>
  <c r="N648" i="98"/>
  <c r="AL648" i="98" s="1"/>
  <c r="M648" i="98"/>
  <c r="AK648" i="98" s="1"/>
  <c r="CK644" i="98"/>
  <c r="CK427" i="98"/>
  <c r="BJ183" i="98"/>
  <c r="EN183" i="98"/>
  <c r="CK637" i="98"/>
  <c r="CK420" i="98"/>
  <c r="CK633" i="98"/>
  <c r="CK416" i="98"/>
  <c r="V411" i="98"/>
  <c r="U411" i="98"/>
  <c r="EG411" i="98"/>
  <c r="EV411" i="98" s="1"/>
  <c r="X411" i="98"/>
  <c r="W411" i="98"/>
  <c r="V410" i="98"/>
  <c r="U410" i="98"/>
  <c r="EG410" i="98"/>
  <c r="X410" i="98"/>
  <c r="W410" i="98"/>
  <c r="CK622" i="98"/>
  <c r="CK405" i="98"/>
  <c r="EK156" i="98"/>
  <c r="BG156" i="98"/>
  <c r="N616" i="98"/>
  <c r="AL616" i="98" s="1"/>
  <c r="M616" i="98"/>
  <c r="AK616" i="98" s="1"/>
  <c r="P616" i="98"/>
  <c r="AN616" i="98" s="1"/>
  <c r="EF616" i="98"/>
  <c r="O616" i="98"/>
  <c r="AM616" i="98" s="1"/>
  <c r="AC391" i="98"/>
  <c r="AO391" i="98" s="1"/>
  <c r="EH391" i="98"/>
  <c r="AF391" i="98"/>
  <c r="AR391" i="98" s="1"/>
  <c r="AE391" i="98"/>
  <c r="AQ391" i="98" s="1"/>
  <c r="AD391" i="98"/>
  <c r="AP391" i="98" s="1"/>
  <c r="EH381" i="98"/>
  <c r="AC381" i="98"/>
  <c r="AO381" i="98" s="1"/>
  <c r="AF381" i="98"/>
  <c r="AR381" i="98" s="1"/>
  <c r="AE381" i="98"/>
  <c r="AQ381" i="98" s="1"/>
  <c r="AD381" i="98"/>
  <c r="AP381" i="98" s="1"/>
  <c r="CK578" i="98"/>
  <c r="CK361" i="98"/>
  <c r="CK576" i="98"/>
  <c r="CK359" i="98"/>
  <c r="BD575" i="98"/>
  <c r="ET575" i="98" s="1"/>
  <c r="BD358" i="98"/>
  <c r="ET358" i="98" s="1"/>
  <c r="ET114" i="98"/>
  <c r="CK571" i="98"/>
  <c r="CK354" i="98"/>
  <c r="CK555" i="98"/>
  <c r="CK338" i="98"/>
  <c r="CK550" i="98"/>
  <c r="CK333" i="98"/>
  <c r="CK542" i="98"/>
  <c r="CK325" i="98"/>
  <c r="CK529" i="98"/>
  <c r="CK312" i="98"/>
  <c r="CK513" i="98"/>
  <c r="CK296" i="98"/>
  <c r="AC501" i="98"/>
  <c r="AO501" i="98" s="1"/>
  <c r="EH501" i="98"/>
  <c r="AF501" i="98"/>
  <c r="AR501" i="98" s="1"/>
  <c r="AE501" i="98"/>
  <c r="AQ501" i="98" s="1"/>
  <c r="AD501" i="98"/>
  <c r="AP501" i="98" s="1"/>
  <c r="AF366" i="98"/>
  <c r="AR366" i="98" s="1"/>
  <c r="AE366" i="98"/>
  <c r="AQ366" i="98" s="1"/>
  <c r="AD366" i="98"/>
  <c r="AP366" i="98" s="1"/>
  <c r="EH366" i="98"/>
  <c r="AC366" i="98"/>
  <c r="AO366" i="98" s="1"/>
  <c r="BK114" i="98"/>
  <c r="EO114" i="98"/>
  <c r="BC562" i="98"/>
  <c r="ES562" i="98" s="1"/>
  <c r="BC345" i="98"/>
  <c r="ES345" i="98" s="1"/>
  <c r="ES101" i="98"/>
  <c r="EV324" i="98"/>
  <c r="EV313" i="98"/>
  <c r="EV297" i="98"/>
  <c r="AE442" i="98"/>
  <c r="AQ442" i="98" s="1"/>
  <c r="AD442" i="98"/>
  <c r="AP442" i="98" s="1"/>
  <c r="EH442" i="98"/>
  <c r="AC442" i="98"/>
  <c r="AO442" i="98" s="1"/>
  <c r="AF442" i="98"/>
  <c r="AR442" i="98" s="1"/>
  <c r="AY438" i="98"/>
  <c r="EM438" i="98"/>
  <c r="AX438" i="98"/>
  <c r="BI438" i="98"/>
  <c r="AZ438" i="98"/>
  <c r="AE434" i="98"/>
  <c r="AQ434" i="98" s="1"/>
  <c r="AD434" i="98"/>
  <c r="AP434" i="98" s="1"/>
  <c r="EH434" i="98"/>
  <c r="EV434" i="98" s="1"/>
  <c r="AC434" i="98"/>
  <c r="AO434" i="98" s="1"/>
  <c r="AF434" i="98"/>
  <c r="AR434" i="98" s="1"/>
  <c r="BB429" i="98"/>
  <c r="ER429" i="98" s="1"/>
  <c r="ER185" i="98"/>
  <c r="W634" i="98"/>
  <c r="EG634" i="98"/>
  <c r="X634" i="98"/>
  <c r="U634" i="98"/>
  <c r="V634" i="98"/>
  <c r="BF156" i="98"/>
  <c r="EJ156" i="98"/>
  <c r="U617" i="98"/>
  <c r="EG617" i="98"/>
  <c r="X617" i="98"/>
  <c r="V617" i="98"/>
  <c r="W617" i="98"/>
  <c r="EV154" i="98"/>
  <c r="EN287" i="98"/>
  <c r="BJ287" i="98"/>
  <c r="BL286" i="98"/>
  <c r="EP286" i="98"/>
  <c r="EO285" i="98"/>
  <c r="BK285" i="98"/>
  <c r="V319" i="98"/>
  <c r="U319" i="98"/>
  <c r="X319" i="98"/>
  <c r="EG319" i="98"/>
  <c r="W319" i="98"/>
  <c r="EL216" i="98"/>
  <c r="BH216" i="98"/>
  <c r="BH215" i="98" s="1"/>
  <c r="BJ198" i="98"/>
  <c r="EN198" i="98"/>
  <c r="AE438" i="98"/>
  <c r="AQ438" i="98" s="1"/>
  <c r="AD438" i="98"/>
  <c r="AP438" i="98" s="1"/>
  <c r="EH438" i="98"/>
  <c r="AC438" i="98"/>
  <c r="AO438" i="98" s="1"/>
  <c r="AF438" i="98"/>
  <c r="AR438" i="98" s="1"/>
  <c r="EN190" i="98"/>
  <c r="BJ190" i="98"/>
  <c r="CK646" i="98"/>
  <c r="CK429" i="98"/>
  <c r="BL185" i="98"/>
  <c r="EP185" i="98"/>
  <c r="CK635" i="98"/>
  <c r="CK418" i="98"/>
  <c r="EV173" i="98"/>
  <c r="EV156" i="98"/>
  <c r="BC427" i="98"/>
  <c r="ES427" i="98" s="1"/>
  <c r="ES183" i="98"/>
  <c r="EM158" i="98"/>
  <c r="BI158" i="98"/>
  <c r="EJ152" i="98"/>
  <c r="BF152" i="98"/>
  <c r="EI396" i="98"/>
  <c r="AT396" i="98"/>
  <c r="BE396" i="98"/>
  <c r="AV396" i="98"/>
  <c r="AU396" i="98"/>
  <c r="AW612" i="98"/>
  <c r="AW395" i="98"/>
  <c r="AY151" i="98"/>
  <c r="AZ151" i="98"/>
  <c r="AX151" i="98"/>
  <c r="EM151" i="98"/>
  <c r="BI151" i="98"/>
  <c r="EK117" i="98"/>
  <c r="BG117" i="98"/>
  <c r="AU334" i="98"/>
  <c r="EI334" i="98"/>
  <c r="AT334" i="98"/>
  <c r="BE334" i="98"/>
  <c r="AV334" i="98"/>
  <c r="O284" i="98"/>
  <c r="AM284" i="98" s="1"/>
  <c r="EF284" i="98"/>
  <c r="N284" i="98"/>
  <c r="AL284" i="98" s="1"/>
  <c r="M284" i="98"/>
  <c r="AK284" i="98" s="1"/>
  <c r="P284" i="98"/>
  <c r="AN284" i="98" s="1"/>
  <c r="EI485" i="98"/>
  <c r="AT485" i="98"/>
  <c r="BE485" i="98"/>
  <c r="AV485" i="98"/>
  <c r="AU485" i="98"/>
  <c r="BC440" i="98"/>
  <c r="ES440" i="98" s="1"/>
  <c r="ES196" i="98"/>
  <c r="EV410" i="98"/>
  <c r="AD399" i="98"/>
  <c r="AP399" i="98" s="1"/>
  <c r="EH399" i="98"/>
  <c r="AC399" i="98"/>
  <c r="AO399" i="98" s="1"/>
  <c r="AF399" i="98"/>
  <c r="AR399" i="98" s="1"/>
  <c r="AE399" i="98"/>
  <c r="AQ399" i="98" s="1"/>
  <c r="AU614" i="98"/>
  <c r="BE614" i="98"/>
  <c r="AT614" i="98"/>
  <c r="EI614" i="98"/>
  <c r="AV614" i="98"/>
  <c r="ER147" i="98"/>
  <c r="BC147" i="98"/>
  <c r="BH75" i="98"/>
  <c r="EL75" i="98"/>
  <c r="CK528" i="98"/>
  <c r="CK311" i="98"/>
  <c r="CK519" i="98"/>
  <c r="CK302" i="98"/>
  <c r="CK484" i="98"/>
  <c r="CK267" i="98"/>
  <c r="AF267" i="98"/>
  <c r="AR267" i="98" s="1"/>
  <c r="AE267" i="98"/>
  <c r="AQ267" i="98" s="1"/>
  <c r="AD267" i="98"/>
  <c r="AP267" i="98" s="1"/>
  <c r="EH267" i="98"/>
  <c r="EV267" i="98" s="1"/>
  <c r="AC267" i="98"/>
  <c r="AO267" i="98" s="1"/>
  <c r="BC265" i="98"/>
  <c r="ES265" i="98" s="1"/>
  <c r="ES21" i="98"/>
  <c r="EI264" i="98"/>
  <c r="AT264" i="98"/>
  <c r="BE264" i="98"/>
  <c r="BF13" i="98"/>
  <c r="EJ13" i="98"/>
  <c r="AL5" i="98"/>
  <c r="EF345" i="98"/>
  <c r="M345" i="98"/>
  <c r="AK345" i="98" s="1"/>
  <c r="P345" i="98"/>
  <c r="AN345" i="98" s="1"/>
  <c r="O345" i="98"/>
  <c r="AM345" i="98" s="1"/>
  <c r="N345" i="98"/>
  <c r="AL345" i="98" s="1"/>
  <c r="BH8" i="98"/>
  <c r="EL8" i="98"/>
  <c r="BE251" i="98"/>
  <c r="AV251" i="98"/>
  <c r="AU251" i="98"/>
  <c r="AT251" i="98"/>
  <c r="EI251" i="98"/>
  <c r="EV250" i="98"/>
  <c r="AV258" i="98"/>
  <c r="EI258" i="98"/>
  <c r="AT258" i="98"/>
  <c r="AU258" i="98"/>
  <c r="BE258" i="98"/>
  <c r="EJ12" i="98"/>
  <c r="BF12" i="98"/>
  <c r="EJ8" i="98"/>
  <c r="BF8" i="98"/>
  <c r="BC442" i="98"/>
  <c r="ES442" i="98" s="1"/>
  <c r="ES198" i="98"/>
  <c r="AE440" i="98"/>
  <c r="AQ440" i="98" s="1"/>
  <c r="AD440" i="98"/>
  <c r="AP440" i="98" s="1"/>
  <c r="EH440" i="98"/>
  <c r="EV440" i="98" s="1"/>
  <c r="AC440" i="98"/>
  <c r="AO440" i="98" s="1"/>
  <c r="AF440" i="98"/>
  <c r="AR440" i="98" s="1"/>
  <c r="BG164" i="98"/>
  <c r="EK164" i="98"/>
  <c r="EJ164" i="98"/>
  <c r="BF164" i="98"/>
  <c r="AW345" i="98"/>
  <c r="EM101" i="98"/>
  <c r="AZ101" i="98"/>
  <c r="AY101" i="98"/>
  <c r="BI101" i="98"/>
  <c r="AX101" i="98"/>
  <c r="CK509" i="98"/>
  <c r="CK292" i="98"/>
  <c r="EG264" i="98"/>
  <c r="X264" i="98"/>
  <c r="V264" i="98"/>
  <c r="U264" i="98"/>
  <c r="W264" i="98"/>
  <c r="EL15" i="98"/>
  <c r="BH15" i="98"/>
  <c r="BE474" i="98"/>
  <c r="AV474" i="98"/>
  <c r="AU474" i="98"/>
  <c r="EI474" i="98"/>
  <c r="AT474" i="98"/>
  <c r="AE431" i="98"/>
  <c r="AQ431" i="98" s="1"/>
  <c r="AD431" i="98"/>
  <c r="AP431" i="98" s="1"/>
  <c r="EH431" i="98"/>
  <c r="AC431" i="98"/>
  <c r="AO431" i="98" s="1"/>
  <c r="AF431" i="98"/>
  <c r="AR431" i="98" s="1"/>
  <c r="M381" i="98"/>
  <c r="AK381" i="98" s="1"/>
  <c r="P381" i="98"/>
  <c r="AN381" i="98" s="1"/>
  <c r="EF381" i="98"/>
  <c r="O381" i="98"/>
  <c r="AM381" i="98" s="1"/>
  <c r="N381" i="98"/>
  <c r="AL381" i="98" s="1"/>
  <c r="EU68" i="98"/>
  <c r="CK520" i="98"/>
  <c r="CK303" i="98"/>
  <c r="EG510" i="98"/>
  <c r="U510" i="98"/>
  <c r="X510" i="98"/>
  <c r="W510" i="98"/>
  <c r="V510" i="98"/>
  <c r="CK478" i="98"/>
  <c r="CK261" i="98"/>
  <c r="CK470" i="98"/>
  <c r="CK253" i="98"/>
  <c r="CK468" i="98"/>
  <c r="CK251" i="98"/>
  <c r="EN152" i="98"/>
  <c r="BJ152" i="98"/>
  <c r="EM396" i="98"/>
  <c r="AX396" i="98"/>
  <c r="BI396" i="98"/>
  <c r="AZ396" i="98"/>
  <c r="AY396" i="98"/>
  <c r="EL130" i="98"/>
  <c r="BH130" i="98"/>
  <c r="EN450" i="98"/>
  <c r="BJ450" i="98"/>
  <c r="EJ449" i="98"/>
  <c r="BF449" i="98"/>
  <c r="EK446" i="98"/>
  <c r="BG446" i="98"/>
  <c r="EK444" i="98"/>
  <c r="BG444" i="98"/>
  <c r="EJ439" i="98"/>
  <c r="BF439" i="98"/>
  <c r="EJ433" i="98"/>
  <c r="BF433" i="98"/>
  <c r="EJ444" i="98"/>
  <c r="BF444" i="98"/>
  <c r="EV519" i="98"/>
  <c r="EP460" i="98"/>
  <c r="BL460" i="98"/>
  <c r="EP458" i="98"/>
  <c r="BL458" i="98"/>
  <c r="EP456" i="98"/>
  <c r="BL456" i="98"/>
  <c r="EL440" i="98"/>
  <c r="BH440" i="98"/>
  <c r="EP439" i="98"/>
  <c r="BL439" i="98"/>
  <c r="EL437" i="98"/>
  <c r="BH437" i="98"/>
  <c r="EL433" i="98"/>
  <c r="BH433" i="98"/>
  <c r="EP432" i="98"/>
  <c r="BL432" i="98"/>
  <c r="BF406" i="98"/>
  <c r="EJ406" i="98"/>
  <c r="BF401" i="98"/>
  <c r="EJ401" i="98"/>
  <c r="BF394" i="98"/>
  <c r="EJ394" i="98"/>
  <c r="EL406" i="98"/>
  <c r="BH406" i="98"/>
  <c r="EP392" i="98"/>
  <c r="BL392" i="98"/>
  <c r="EO368" i="98"/>
  <c r="BK368" i="98"/>
  <c r="EK409" i="98"/>
  <c r="BG409" i="98"/>
  <c r="EK404" i="98"/>
  <c r="BG404" i="98"/>
  <c r="EO392" i="98"/>
  <c r="BK392" i="98"/>
  <c r="EJ383" i="98"/>
  <c r="BF383" i="98"/>
  <c r="EN379" i="98"/>
  <c r="BJ379" i="98"/>
  <c r="EP358" i="98"/>
  <c r="BL358" i="98"/>
  <c r="EP349" i="98"/>
  <c r="BL349" i="98"/>
  <c r="BJ311" i="98"/>
  <c r="EN311" i="98"/>
  <c r="BJ299" i="98"/>
  <c r="EN299" i="98"/>
  <c r="BJ402" i="98"/>
  <c r="AZ402" i="98"/>
  <c r="EN402" i="98"/>
  <c r="AY402" i="98"/>
  <c r="EJ331" i="98"/>
  <c r="BF331" i="98"/>
  <c r="EP317" i="98"/>
  <c r="BL317" i="98"/>
  <c r="EL308" i="98"/>
  <c r="BH308" i="98"/>
  <c r="EL304" i="98"/>
  <c r="BH304" i="98"/>
  <c r="EP301" i="98"/>
  <c r="BL301" i="98"/>
  <c r="EP297" i="98"/>
  <c r="BL297" i="98"/>
  <c r="EP293" i="98"/>
  <c r="BL293" i="98"/>
  <c r="BH285" i="98"/>
  <c r="EL285" i="98"/>
  <c r="EG648" i="98"/>
  <c r="X648" i="98"/>
  <c r="W648" i="98"/>
  <c r="V648" i="98"/>
  <c r="U648" i="98"/>
  <c r="BJ263" i="98"/>
  <c r="EN263" i="98"/>
  <c r="BF261" i="98"/>
  <c r="EJ261" i="98"/>
  <c r="EN680" i="98"/>
  <c r="BJ680" i="98"/>
  <c r="BG676" i="98"/>
  <c r="EK676" i="98"/>
  <c r="EK679" i="98"/>
  <c r="BG679" i="98"/>
  <c r="EU678" i="98"/>
  <c r="BF674" i="98"/>
  <c r="EJ674" i="98"/>
  <c r="BJ673" i="98"/>
  <c r="EN673" i="98"/>
  <c r="EK671" i="98"/>
  <c r="BG671" i="98"/>
  <c r="BF671" i="98"/>
  <c r="EJ671" i="98"/>
  <c r="EO675" i="98"/>
  <c r="BK675" i="98"/>
  <c r="EO671" i="98"/>
  <c r="BK671" i="98"/>
  <c r="BG663" i="98"/>
  <c r="EK663" i="98"/>
  <c r="EU663" i="98" s="1"/>
  <c r="BH675" i="98"/>
  <c r="EL675" i="98"/>
  <c r="BL671" i="98"/>
  <c r="EP671" i="98"/>
  <c r="EV670" i="98"/>
  <c r="BH662" i="98"/>
  <c r="EL662" i="98"/>
  <c r="EV668" i="98"/>
  <c r="EV669" i="98"/>
  <c r="BJ662" i="98"/>
  <c r="EN662" i="98"/>
  <c r="EJ659" i="98"/>
  <c r="BF659" i="98"/>
  <c r="BJ657" i="98"/>
  <c r="EN657" i="98"/>
  <c r="BL653" i="98"/>
  <c r="EP653" i="98"/>
  <c r="BL651" i="98"/>
  <c r="EP651" i="98"/>
  <c r="EL647" i="98"/>
  <c r="BH647" i="98"/>
  <c r="EV656" i="98"/>
  <c r="BF655" i="98"/>
  <c r="EJ655" i="98"/>
  <c r="EN649" i="98"/>
  <c r="BJ649" i="98"/>
  <c r="BG649" i="98"/>
  <c r="EK649" i="98"/>
  <c r="EK653" i="98"/>
  <c r="BG653" i="98"/>
  <c r="EU645" i="98"/>
  <c r="BF640" i="98"/>
  <c r="EJ640" i="98"/>
  <c r="EU640" i="98" s="1"/>
  <c r="BK639" i="98"/>
  <c r="EO639" i="98"/>
  <c r="BF636" i="98"/>
  <c r="EJ636" i="98"/>
  <c r="EU636" i="98" s="1"/>
  <c r="BF635" i="98"/>
  <c r="EJ635" i="98"/>
  <c r="BJ628" i="98"/>
  <c r="EN628" i="98"/>
  <c r="BF616" i="98"/>
  <c r="EJ616" i="98"/>
  <c r="BK638" i="98"/>
  <c r="EO638" i="98"/>
  <c r="BG646" i="98"/>
  <c r="EK646" i="98"/>
  <c r="BJ629" i="98"/>
  <c r="EN629" i="98"/>
  <c r="EN631" i="98"/>
  <c r="BJ631" i="98"/>
  <c r="BF615" i="98"/>
  <c r="EJ615" i="98"/>
  <c r="EJ631" i="98"/>
  <c r="BF631" i="98"/>
  <c r="EK648" i="98"/>
  <c r="BG648" i="98"/>
  <c r="EJ638" i="98"/>
  <c r="BF638" i="98"/>
  <c r="BG623" i="98"/>
  <c r="EK623" i="98"/>
  <c r="BG610" i="98"/>
  <c r="EK610" i="98"/>
  <c r="BL607" i="98"/>
  <c r="EP607" i="98"/>
  <c r="EP589" i="98"/>
  <c r="BL589" i="98"/>
  <c r="EJ619" i="98"/>
  <c r="AU619" i="98"/>
  <c r="BF619" i="98"/>
  <c r="AV619" i="98"/>
  <c r="EN618" i="98"/>
  <c r="BJ618" i="98"/>
  <c r="EJ610" i="98"/>
  <c r="BF610" i="98"/>
  <c r="BJ604" i="98"/>
  <c r="EN604" i="98"/>
  <c r="EV603" i="98"/>
  <c r="EK622" i="98"/>
  <c r="BG622" i="98"/>
  <c r="EV612" i="98"/>
  <c r="BL610" i="98"/>
  <c r="EP610" i="98"/>
  <c r="EO602" i="98"/>
  <c r="BK602" i="98"/>
  <c r="EJ592" i="98"/>
  <c r="BF592" i="98"/>
  <c r="BK586" i="98"/>
  <c r="EO586" i="98"/>
  <c r="BK582" i="98"/>
  <c r="EO582" i="98"/>
  <c r="EV609" i="98"/>
  <c r="EJ582" i="98"/>
  <c r="BF582" i="98"/>
  <c r="EP574" i="98"/>
  <c r="BL574" i="98"/>
  <c r="EN568" i="98"/>
  <c r="BJ568" i="98"/>
  <c r="EJ564" i="98"/>
  <c r="EU564" i="98" s="1"/>
  <c r="BF564" i="98"/>
  <c r="EL558" i="98"/>
  <c r="BH558" i="98"/>
  <c r="BF552" i="98"/>
  <c r="EJ552" i="98"/>
  <c r="EN627" i="98"/>
  <c r="BJ627" i="98"/>
  <c r="EV618" i="98"/>
  <c r="EV590" i="98"/>
  <c r="EV573" i="98"/>
  <c r="EO563" i="98"/>
  <c r="BK563" i="98"/>
  <c r="EV557" i="98"/>
  <c r="EN550" i="98"/>
  <c r="BJ550" i="98"/>
  <c r="BF538" i="98"/>
  <c r="EJ538" i="98"/>
  <c r="BJ533" i="98"/>
  <c r="EN533" i="98"/>
  <c r="EJ591" i="98"/>
  <c r="BF591" i="98"/>
  <c r="BH563" i="98"/>
  <c r="EL563" i="98"/>
  <c r="BL554" i="98"/>
  <c r="EP554" i="98"/>
  <c r="BL550" i="98"/>
  <c r="EP550" i="98"/>
  <c r="EO544" i="98"/>
  <c r="BK544" i="98"/>
  <c r="EV595" i="98"/>
  <c r="EO579" i="98"/>
  <c r="BK579" i="98"/>
  <c r="BJ571" i="98"/>
  <c r="EN571" i="98"/>
  <c r="EV563" i="98"/>
  <c r="BK555" i="98"/>
  <c r="EO555" i="98"/>
  <c r="EV555" i="98"/>
  <c r="EV551" i="98"/>
  <c r="EO547" i="98"/>
  <c r="BK547" i="98"/>
  <c r="EN540" i="98"/>
  <c r="BJ540" i="98"/>
  <c r="EK534" i="98"/>
  <c r="BG534" i="98"/>
  <c r="BF523" i="98"/>
  <c r="EJ523" i="98"/>
  <c r="BG522" i="98"/>
  <c r="EK522" i="98"/>
  <c r="BF519" i="98"/>
  <c r="EJ519" i="98"/>
  <c r="BG518" i="98"/>
  <c r="EK518" i="98"/>
  <c r="BK514" i="98"/>
  <c r="EO514" i="98"/>
  <c r="EJ607" i="98"/>
  <c r="BF607" i="98"/>
  <c r="BG607" i="98"/>
  <c r="EK607" i="98"/>
  <c r="BK592" i="98"/>
  <c r="EO592" i="98"/>
  <c r="EM588" i="98"/>
  <c r="BI588" i="98"/>
  <c r="AZ588" i="98"/>
  <c r="AX588" i="98"/>
  <c r="AY588" i="98"/>
  <c r="BH575" i="98"/>
  <c r="EL575" i="98"/>
  <c r="BF567" i="98"/>
  <c r="EJ567" i="98"/>
  <c r="EU565" i="98"/>
  <c r="BH550" i="98"/>
  <c r="EL550" i="98"/>
  <c r="EK542" i="98"/>
  <c r="BG542" i="98"/>
  <c r="EV533" i="98"/>
  <c r="BJ525" i="98"/>
  <c r="EN525" i="98"/>
  <c r="BL521" i="98"/>
  <c r="EP521" i="98"/>
  <c r="EO517" i="98"/>
  <c r="BK517" i="98"/>
  <c r="BF511" i="98"/>
  <c r="EJ511" i="98"/>
  <c r="EV552" i="98"/>
  <c r="EK529" i="98"/>
  <c r="BG529" i="98"/>
  <c r="EU528" i="98"/>
  <c r="BH525" i="98"/>
  <c r="EL525" i="98"/>
  <c r="BF521" i="98"/>
  <c r="EJ521" i="98"/>
  <c r="EV511" i="98"/>
  <c r="EL510" i="98"/>
  <c r="BH510" i="98"/>
  <c r="EJ508" i="98"/>
  <c r="BF508" i="98"/>
  <c r="EP506" i="98"/>
  <c r="BL506" i="98"/>
  <c r="EN504" i="98"/>
  <c r="BJ504" i="98"/>
  <c r="EL502" i="98"/>
  <c r="BH502" i="98"/>
  <c r="EJ499" i="98"/>
  <c r="BF499" i="98"/>
  <c r="EJ491" i="98"/>
  <c r="BF491" i="98"/>
  <c r="EP483" i="98"/>
  <c r="BL483" i="98"/>
  <c r="EP482" i="98"/>
  <c r="BL482" i="98"/>
  <c r="EN473" i="98"/>
  <c r="BJ473" i="98"/>
  <c r="EP470" i="98"/>
  <c r="BL470" i="98"/>
  <c r="EJ562" i="98"/>
  <c r="BF562" i="98"/>
  <c r="BG562" i="98"/>
  <c r="EK562" i="98"/>
  <c r="EV543" i="98"/>
  <c r="EV529" i="98"/>
  <c r="EO483" i="98"/>
  <c r="BK483" i="98"/>
  <c r="EO474" i="98"/>
  <c r="BK474" i="98"/>
  <c r="EO470" i="98"/>
  <c r="BK470" i="98"/>
  <c r="EV518" i="98"/>
  <c r="BH513" i="98"/>
  <c r="EL513" i="98"/>
  <c r="EN506" i="98"/>
  <c r="BJ506" i="98"/>
  <c r="EO505" i="98"/>
  <c r="BK505" i="98"/>
  <c r="EO500" i="98"/>
  <c r="BK500" i="98"/>
  <c r="EP491" i="98"/>
  <c r="BL491" i="98"/>
  <c r="EO489" i="98"/>
  <c r="BK489" i="98"/>
  <c r="EO485" i="98"/>
  <c r="BK485" i="98"/>
  <c r="EJ483" i="98"/>
  <c r="BF483" i="98"/>
  <c r="EK478" i="98"/>
  <c r="BG478" i="98"/>
  <c r="EN476" i="98"/>
  <c r="BJ476" i="98"/>
  <c r="EN474" i="98"/>
  <c r="BJ474" i="98"/>
  <c r="EN472" i="98"/>
  <c r="BJ472" i="98"/>
  <c r="EJ467" i="98"/>
  <c r="BF467" i="98"/>
  <c r="EN459" i="98"/>
  <c r="BJ459" i="98"/>
  <c r="EJ458" i="98"/>
  <c r="BF458" i="98"/>
  <c r="EN455" i="98"/>
  <c r="BJ455" i="98"/>
  <c r="EJ454" i="98"/>
  <c r="BF454" i="98"/>
  <c r="EN451" i="98"/>
  <c r="BJ451" i="98"/>
  <c r="EJ450" i="98"/>
  <c r="BF450" i="98"/>
  <c r="EO445" i="98"/>
  <c r="BK445" i="98"/>
  <c r="EJ441" i="98"/>
  <c r="BF441" i="98"/>
  <c r="EJ438" i="98"/>
  <c r="BF438" i="98"/>
  <c r="EJ437" i="98"/>
  <c r="BF437" i="98"/>
  <c r="EV498" i="98"/>
  <c r="EV484" i="98"/>
  <c r="EJ445" i="98"/>
  <c r="BF445" i="98"/>
  <c r="EV515" i="98"/>
  <c r="EL460" i="98"/>
  <c r="BH460" i="98"/>
  <c r="EL458" i="98"/>
  <c r="BH458" i="98"/>
  <c r="EL456" i="98"/>
  <c r="BH456" i="98"/>
  <c r="EL451" i="98"/>
  <c r="BH451" i="98"/>
  <c r="EL449" i="98"/>
  <c r="BH449" i="98"/>
  <c r="EP447" i="98"/>
  <c r="BL447" i="98"/>
  <c r="EL439" i="98"/>
  <c r="BH439" i="98"/>
  <c r="EL438" i="98"/>
  <c r="BH438" i="98"/>
  <c r="EL432" i="98"/>
  <c r="BH432" i="98"/>
  <c r="EL426" i="98"/>
  <c r="BH426" i="98"/>
  <c r="EL424" i="98"/>
  <c r="BH424" i="98"/>
  <c r="EL422" i="98"/>
  <c r="BH422" i="98"/>
  <c r="EL419" i="98"/>
  <c r="BH419" i="98"/>
  <c r="EP416" i="98"/>
  <c r="BL416" i="98"/>
  <c r="BH413" i="98"/>
  <c r="EL413" i="98"/>
  <c r="BF411" i="98"/>
  <c r="EJ411" i="98"/>
  <c r="BJ407" i="98"/>
  <c r="EN407" i="98"/>
  <c r="BJ405" i="98"/>
  <c r="EN405" i="98"/>
  <c r="BJ403" i="98"/>
  <c r="EN403" i="98"/>
  <c r="BF399" i="98"/>
  <c r="EJ399" i="98"/>
  <c r="BJ393" i="98"/>
  <c r="EN393" i="98"/>
  <c r="BJ391" i="98"/>
  <c r="EN391" i="98"/>
  <c r="EV416" i="98"/>
  <c r="EP409" i="98"/>
  <c r="BL409" i="98"/>
  <c r="EP407" i="98"/>
  <c r="BL407" i="98"/>
  <c r="EP405" i="98"/>
  <c r="BL405" i="98"/>
  <c r="EP403" i="98"/>
  <c r="BL403" i="98"/>
  <c r="EP400" i="98"/>
  <c r="BL400" i="98"/>
  <c r="EL392" i="98"/>
  <c r="BH392" i="98"/>
  <c r="EK380" i="98"/>
  <c r="BG380" i="98"/>
  <c r="EK378" i="98"/>
  <c r="BG378" i="98"/>
  <c r="EK368" i="98"/>
  <c r="BG368" i="98"/>
  <c r="EJ366" i="98"/>
  <c r="BF366" i="98"/>
  <c r="EN364" i="98"/>
  <c r="BJ364" i="98"/>
  <c r="EO413" i="98"/>
  <c r="BK413" i="98"/>
  <c r="EK410" i="98"/>
  <c r="BG410" i="98"/>
  <c r="EO407" i="98"/>
  <c r="BK407" i="98"/>
  <c r="EO405" i="98"/>
  <c r="BK405" i="98"/>
  <c r="EO403" i="98"/>
  <c r="BK403" i="98"/>
  <c r="EO400" i="98"/>
  <c r="BK400" i="98"/>
  <c r="EK392" i="98"/>
  <c r="BG392" i="98"/>
  <c r="EO391" i="98"/>
  <c r="BK391" i="98"/>
  <c r="EN380" i="98"/>
  <c r="BJ380" i="98"/>
  <c r="EJ379" i="98"/>
  <c r="BF379" i="98"/>
  <c r="EP362" i="98"/>
  <c r="BL362" i="98"/>
  <c r="EL360" i="98"/>
  <c r="BH360" i="98"/>
  <c r="EL358" i="98"/>
  <c r="BH358" i="98"/>
  <c r="EL356" i="98"/>
  <c r="EU356" i="98" s="1"/>
  <c r="BH356" i="98"/>
  <c r="EL353" i="98"/>
  <c r="BH353" i="98"/>
  <c r="EL352" i="98"/>
  <c r="EU352" i="98" s="1"/>
  <c r="BH352" i="98"/>
  <c r="EL351" i="98"/>
  <c r="BH351" i="98"/>
  <c r="EL350" i="98"/>
  <c r="EU350" i="98" s="1"/>
  <c r="BH350" i="98"/>
  <c r="EL349" i="98"/>
  <c r="EU349" i="98" s="1"/>
  <c r="BH349" i="98"/>
  <c r="EL348" i="98"/>
  <c r="EU348" i="98" s="1"/>
  <c r="BH348" i="98"/>
  <c r="EL347" i="98"/>
  <c r="EU347" i="98" s="1"/>
  <c r="BH347" i="98"/>
  <c r="EP346" i="98"/>
  <c r="BL346" i="98"/>
  <c r="EV407" i="98"/>
  <c r="EV405" i="98"/>
  <c r="EV403" i="98"/>
  <c r="EU382" i="98"/>
  <c r="BF317" i="98"/>
  <c r="EJ317" i="98"/>
  <c r="BF315" i="98"/>
  <c r="EJ315" i="98"/>
  <c r="BF313" i="98"/>
  <c r="EJ313" i="98"/>
  <c r="BF311" i="98"/>
  <c r="EJ311" i="98"/>
  <c r="BF309" i="98"/>
  <c r="EJ309" i="98"/>
  <c r="BF307" i="98"/>
  <c r="EJ307" i="98"/>
  <c r="BF305" i="98"/>
  <c r="EJ305" i="98"/>
  <c r="BF303" i="98"/>
  <c r="EJ303" i="98"/>
  <c r="BF301" i="98"/>
  <c r="EJ301" i="98"/>
  <c r="BF299" i="98"/>
  <c r="EJ299" i="98"/>
  <c r="BF297" i="98"/>
  <c r="EJ297" i="98"/>
  <c r="BF295" i="98"/>
  <c r="EJ295" i="98"/>
  <c r="BF293" i="98"/>
  <c r="EJ293" i="98"/>
  <c r="BF291" i="98"/>
  <c r="EJ291" i="98"/>
  <c r="BF269" i="98"/>
  <c r="EJ269" i="98"/>
  <c r="EV396" i="98"/>
  <c r="EU375" i="98"/>
  <c r="EU369" i="98"/>
  <c r="EJ342" i="98"/>
  <c r="BF342" i="98"/>
  <c r="EN341" i="98"/>
  <c r="BJ341" i="98"/>
  <c r="EJ338" i="98"/>
  <c r="BF338" i="98"/>
  <c r="EN337" i="98"/>
  <c r="BJ337" i="98"/>
  <c r="EN333" i="98"/>
  <c r="BJ333" i="98"/>
  <c r="EJ330" i="98"/>
  <c r="BF330" i="98"/>
  <c r="EU280" i="98"/>
  <c r="EU277" i="98"/>
  <c r="EV402" i="98"/>
  <c r="EU390" i="98"/>
  <c r="EU388" i="98"/>
  <c r="EU386" i="98"/>
  <c r="EU384" i="98"/>
  <c r="EU370" i="98"/>
  <c r="EP318" i="98"/>
  <c r="BL318" i="98"/>
  <c r="EL317" i="98"/>
  <c r="BH317" i="98"/>
  <c r="EP314" i="98"/>
  <c r="BL314" i="98"/>
  <c r="EL313" i="98"/>
  <c r="BH313" i="98"/>
  <c r="EP310" i="98"/>
  <c r="BL310" i="98"/>
  <c r="EL309" i="98"/>
  <c r="BH309" i="98"/>
  <c r="EP306" i="98"/>
  <c r="BL306" i="98"/>
  <c r="EL305" i="98"/>
  <c r="BH305" i="98"/>
  <c r="EP302" i="98"/>
  <c r="BL302" i="98"/>
  <c r="EL301" i="98"/>
  <c r="BH301" i="98"/>
  <c r="EP298" i="98"/>
  <c r="BL298" i="98"/>
  <c r="EL297" i="98"/>
  <c r="BH297" i="98"/>
  <c r="EP294" i="98"/>
  <c r="BL294" i="98"/>
  <c r="EL293" i="98"/>
  <c r="BH293" i="98"/>
  <c r="EP290" i="98"/>
  <c r="BL290" i="98"/>
  <c r="EP289" i="98"/>
  <c r="BL289" i="98"/>
  <c r="EK344" i="98"/>
  <c r="BG344" i="98"/>
  <c r="EV289" i="98"/>
  <c r="EJ287" i="98"/>
  <c r="BF287" i="98"/>
  <c r="EJ286" i="98"/>
  <c r="BF286" i="98"/>
  <c r="EJ285" i="98"/>
  <c r="BF285" i="98"/>
  <c r="EN284" i="98"/>
  <c r="BJ284" i="98"/>
  <c r="EO272" i="98"/>
  <c r="BK272" i="98"/>
  <c r="EK261" i="98"/>
  <c r="BG261" i="98"/>
  <c r="BJ254" i="98"/>
  <c r="EN254" i="98"/>
  <c r="EP433" i="98"/>
  <c r="BL433" i="98"/>
  <c r="BK433" i="98"/>
  <c r="EO433" i="98"/>
  <c r="BC648" i="98"/>
  <c r="ES648" i="98" s="1"/>
  <c r="BC431" i="98"/>
  <c r="ES431" i="98" s="1"/>
  <c r="ES187" i="98"/>
  <c r="EF417" i="98"/>
  <c r="O417" i="98"/>
  <c r="AM417" i="98" s="1"/>
  <c r="N417" i="98"/>
  <c r="AL417" i="98" s="1"/>
  <c r="M417" i="98"/>
  <c r="AK417" i="98" s="1"/>
  <c r="P417" i="98"/>
  <c r="AN417" i="98" s="1"/>
  <c r="CK627" i="98"/>
  <c r="CK410" i="98"/>
  <c r="AD398" i="98"/>
  <c r="AP398" i="98" s="1"/>
  <c r="EH398" i="98"/>
  <c r="AC398" i="98"/>
  <c r="AO398" i="98" s="1"/>
  <c r="AF398" i="98"/>
  <c r="AR398" i="98" s="1"/>
  <c r="AE398" i="98"/>
  <c r="AQ398" i="98" s="1"/>
  <c r="EJ266" i="98"/>
  <c r="BF266" i="98"/>
  <c r="BJ265" i="98"/>
  <c r="EN265" i="98"/>
  <c r="EO267" i="98"/>
  <c r="BK267" i="98"/>
  <c r="BJ264" i="98"/>
  <c r="EN264" i="98"/>
  <c r="EU260" i="98"/>
  <c r="EP254" i="98"/>
  <c r="BL254" i="98"/>
  <c r="EL250" i="98"/>
  <c r="BH250" i="98"/>
  <c r="W438" i="98"/>
  <c r="V438" i="98"/>
  <c r="U438" i="98"/>
  <c r="EG438" i="98"/>
  <c r="X438" i="98"/>
  <c r="AE634" i="98"/>
  <c r="AQ634" i="98" s="1"/>
  <c r="AF634" i="98"/>
  <c r="AR634" i="98" s="1"/>
  <c r="EH634" i="98"/>
  <c r="AD634" i="98"/>
  <c r="AP634" i="98" s="1"/>
  <c r="AC634" i="98"/>
  <c r="AO634" i="98" s="1"/>
  <c r="EU168" i="98"/>
  <c r="EP411" i="98"/>
  <c r="BL411" i="98"/>
  <c r="BK155" i="98"/>
  <c r="EO155" i="98"/>
  <c r="V616" i="98"/>
  <c r="U616" i="98"/>
  <c r="W616" i="98"/>
  <c r="X616" i="98"/>
  <c r="EG616" i="98"/>
  <c r="EU141" i="98"/>
  <c r="EV304" i="98"/>
  <c r="EO258" i="98"/>
  <c r="BK258" i="98"/>
  <c r="BL258" i="98"/>
  <c r="EP258" i="98"/>
  <c r="BL256" i="98"/>
  <c r="EP256" i="98"/>
  <c r="BC434" i="98"/>
  <c r="ES434" i="98" s="1"/>
  <c r="ES190" i="98"/>
  <c r="AY427" i="98"/>
  <c r="EM427" i="98"/>
  <c r="AX427" i="98"/>
  <c r="BI427" i="98"/>
  <c r="AZ427" i="98"/>
  <c r="BG173" i="98"/>
  <c r="EK173" i="98"/>
  <c r="CK624" i="98"/>
  <c r="CK407" i="98"/>
  <c r="CK614" i="98"/>
  <c r="CK397" i="98"/>
  <c r="CK612" i="98"/>
  <c r="CK395" i="98"/>
  <c r="BB578" i="98"/>
  <c r="ER578" i="98" s="1"/>
  <c r="BB361" i="98"/>
  <c r="ER361" i="98" s="1"/>
  <c r="ER117" i="98"/>
  <c r="BL114" i="98"/>
  <c r="EP114" i="98"/>
  <c r="CK567" i="98"/>
  <c r="CK350" i="98"/>
  <c r="EV101" i="98"/>
  <c r="AC345" i="98"/>
  <c r="AO345" i="98" s="1"/>
  <c r="AF345" i="98"/>
  <c r="AR345" i="98" s="1"/>
  <c r="AE345" i="98"/>
  <c r="AQ345" i="98" s="1"/>
  <c r="EH345" i="98"/>
  <c r="AD345" i="98"/>
  <c r="AP345" i="98" s="1"/>
  <c r="CK551" i="98"/>
  <c r="CK334" i="98"/>
  <c r="CK540" i="98"/>
  <c r="CK323" i="98"/>
  <c r="AD319" i="98"/>
  <c r="AP319" i="98" s="1"/>
  <c r="AC319" i="98"/>
  <c r="AO319" i="98" s="1"/>
  <c r="EH319" i="98"/>
  <c r="AF319" i="98"/>
  <c r="AR319" i="98" s="1"/>
  <c r="AE319" i="98"/>
  <c r="AQ319" i="98" s="1"/>
  <c r="CK525" i="98"/>
  <c r="CK308" i="98"/>
  <c r="CK498" i="98"/>
  <c r="CK281" i="98"/>
  <c r="AD583" i="98"/>
  <c r="AP583" i="98" s="1"/>
  <c r="EH583" i="98"/>
  <c r="AC583" i="98"/>
  <c r="AO583" i="98" s="1"/>
  <c r="AE583" i="98"/>
  <c r="AQ583" i="98" s="1"/>
  <c r="AF583" i="98"/>
  <c r="AR583" i="98" s="1"/>
  <c r="AX117" i="98"/>
  <c r="EM117" i="98"/>
  <c r="AY117" i="98"/>
  <c r="AZ117" i="98"/>
  <c r="EV317" i="98"/>
  <c r="EV301" i="98"/>
  <c r="EO252" i="98"/>
  <c r="BK252" i="98"/>
  <c r="EV229" i="98"/>
  <c r="AF684" i="98"/>
  <c r="AR684" i="98" s="1"/>
  <c r="AR683" i="98" s="1"/>
  <c r="AD684" i="98"/>
  <c r="AP684" i="98" s="1"/>
  <c r="AP683" i="98" s="1"/>
  <c r="EH684" i="98"/>
  <c r="AC684" i="98"/>
  <c r="AO684" i="98" s="1"/>
  <c r="AO683" i="98" s="1"/>
  <c r="EF438" i="98"/>
  <c r="EV438" i="98" s="1"/>
  <c r="O438" i="98"/>
  <c r="AM438" i="98" s="1"/>
  <c r="N438" i="98"/>
  <c r="AL438" i="98" s="1"/>
  <c r="M438" i="98"/>
  <c r="AK438" i="98" s="1"/>
  <c r="P438" i="98"/>
  <c r="AN438" i="98" s="1"/>
  <c r="CK653" i="98"/>
  <c r="CK436" i="98"/>
  <c r="BD429" i="98"/>
  <c r="ET429" i="98" s="1"/>
  <c r="ET185" i="98"/>
  <c r="BH173" i="98"/>
  <c r="EL173" i="98"/>
  <c r="AU417" i="98"/>
  <c r="EI417" i="98"/>
  <c r="AT417" i="98"/>
  <c r="BE417" i="98"/>
  <c r="AV417" i="98"/>
  <c r="EL158" i="98"/>
  <c r="BH158" i="98"/>
  <c r="BH156" i="98"/>
  <c r="EL156" i="98"/>
  <c r="EV398" i="98"/>
  <c r="CK602" i="98"/>
  <c r="CK385" i="98"/>
  <c r="CK600" i="98"/>
  <c r="CK383" i="98"/>
  <c r="BH136" i="98"/>
  <c r="EL136" i="98"/>
  <c r="CK595" i="98"/>
  <c r="CK378" i="98"/>
  <c r="EO343" i="98"/>
  <c r="BK343" i="98"/>
  <c r="EV314" i="98"/>
  <c r="EV306" i="98"/>
  <c r="EV298" i="98"/>
  <c r="EV291" i="98"/>
  <c r="EN286" i="98"/>
  <c r="BJ286" i="98"/>
  <c r="BL285" i="98"/>
  <c r="EP285" i="98"/>
  <c r="BL261" i="98"/>
  <c r="EP261" i="98"/>
  <c r="EV315" i="98"/>
  <c r="EV307" i="98"/>
  <c r="EV299" i="98"/>
  <c r="EV292" i="98"/>
  <c r="EK267" i="98"/>
  <c r="BG267" i="98"/>
  <c r="BF263" i="98"/>
  <c r="EJ263" i="98"/>
  <c r="EF684" i="98"/>
  <c r="O684" i="98"/>
  <c r="AM684" i="98" s="1"/>
  <c r="AM683" i="98" s="1"/>
  <c r="N684" i="98"/>
  <c r="AL684" i="98" s="1"/>
  <c r="AL683" i="98" s="1"/>
  <c r="P684" i="98"/>
  <c r="AN684" i="98" s="1"/>
  <c r="AN683" i="98" s="1"/>
  <c r="M684" i="98"/>
  <c r="AK684" i="98" s="1"/>
  <c r="AK683" i="98" s="1"/>
  <c r="AY442" i="98"/>
  <c r="EM442" i="98"/>
  <c r="AX442" i="98"/>
  <c r="BI442" i="98"/>
  <c r="AZ442" i="98"/>
  <c r="AF655" i="98"/>
  <c r="AR655" i="98" s="1"/>
  <c r="AD655" i="98"/>
  <c r="AP655" i="98" s="1"/>
  <c r="AC655" i="98"/>
  <c r="AO655" i="98" s="1"/>
  <c r="AE655" i="98"/>
  <c r="AQ655" i="98" s="1"/>
  <c r="EH655" i="98"/>
  <c r="CK651" i="98"/>
  <c r="CK434" i="98"/>
  <c r="BL190" i="98"/>
  <c r="EP190" i="98"/>
  <c r="AY429" i="98"/>
  <c r="EM429" i="98"/>
  <c r="AX429" i="98"/>
  <c r="BI429" i="98"/>
  <c r="AZ429" i="98"/>
  <c r="CK631" i="98"/>
  <c r="CK414" i="98"/>
  <c r="CK626" i="98"/>
  <c r="CK409" i="98"/>
  <c r="BJ156" i="98"/>
  <c r="EN156" i="98"/>
  <c r="BL136" i="98"/>
  <c r="EP136" i="98"/>
  <c r="CK596" i="98"/>
  <c r="CK379" i="98"/>
  <c r="CK591" i="98"/>
  <c r="CK374" i="98"/>
  <c r="EU116" i="98"/>
  <c r="BG187" i="98"/>
  <c r="EK187" i="98"/>
  <c r="BD427" i="98"/>
  <c r="ET427" i="98" s="1"/>
  <c r="ET183" i="98"/>
  <c r="AV613" i="98"/>
  <c r="BE613" i="98"/>
  <c r="AT613" i="98"/>
  <c r="EI613" i="98"/>
  <c r="AU613" i="98"/>
  <c r="EJ151" i="98"/>
  <c r="BF151" i="98"/>
  <c r="EK151" i="98"/>
  <c r="BG151" i="98"/>
  <c r="CK556" i="98"/>
  <c r="CK339" i="98"/>
  <c r="CK545" i="98"/>
  <c r="CK328" i="98"/>
  <c r="M501" i="98"/>
  <c r="AK501" i="98" s="1"/>
  <c r="P501" i="98"/>
  <c r="AN501" i="98" s="1"/>
  <c r="O501" i="98"/>
  <c r="AM501" i="98" s="1"/>
  <c r="EF501" i="98"/>
  <c r="N501" i="98"/>
  <c r="AL501" i="98" s="1"/>
  <c r="EK30" i="98"/>
  <c r="BG30" i="98"/>
  <c r="EV23" i="98"/>
  <c r="EU23" i="98"/>
  <c r="BB440" i="98"/>
  <c r="ER440" i="98" s="1"/>
  <c r="ER196" i="98"/>
  <c r="AE427" i="98"/>
  <c r="AQ427" i="98" s="1"/>
  <c r="AD427" i="98"/>
  <c r="AP427" i="98" s="1"/>
  <c r="EH427" i="98"/>
  <c r="EV427" i="98" s="1"/>
  <c r="AC427" i="98"/>
  <c r="AO427" i="98" s="1"/>
  <c r="AF427" i="98"/>
  <c r="AR427" i="98" s="1"/>
  <c r="AD616" i="98"/>
  <c r="AP616" i="98" s="1"/>
  <c r="EH616" i="98"/>
  <c r="AC616" i="98"/>
  <c r="AO616" i="98" s="1"/>
  <c r="AF616" i="98"/>
  <c r="AR616" i="98" s="1"/>
  <c r="AE616" i="98"/>
  <c r="AQ616" i="98" s="1"/>
  <c r="EK153" i="98"/>
  <c r="BG153" i="98"/>
  <c r="EQ391" i="98"/>
  <c r="BB391" i="98"/>
  <c r="ER391" i="98" s="1"/>
  <c r="EV114" i="98"/>
  <c r="CK541" i="98"/>
  <c r="CK324" i="98"/>
  <c r="EV75" i="98"/>
  <c r="CK502" i="98"/>
  <c r="CK285" i="98"/>
  <c r="BF30" i="98"/>
  <c r="EJ30" i="98"/>
  <c r="CK487" i="98"/>
  <c r="CK270" i="98"/>
  <c r="CK482" i="98"/>
  <c r="CK265" i="98"/>
  <c r="EK265" i="98"/>
  <c r="BG265" i="98"/>
  <c r="BH265" i="98"/>
  <c r="EL265" i="98"/>
  <c r="BF15" i="98"/>
  <c r="EJ15" i="98"/>
  <c r="EU15" i="98" s="1"/>
  <c r="BF7" i="98"/>
  <c r="EJ7" i="98"/>
  <c r="AM5" i="98"/>
  <c r="EF562" i="98"/>
  <c r="O562" i="98"/>
  <c r="AM562" i="98" s="1"/>
  <c r="M562" i="98"/>
  <c r="AK562" i="98" s="1"/>
  <c r="P562" i="98"/>
  <c r="AN562" i="98" s="1"/>
  <c r="N562" i="98"/>
  <c r="AL562" i="98" s="1"/>
  <c r="EI468" i="98"/>
  <c r="AT468" i="98"/>
  <c r="BE468" i="98"/>
  <c r="AU468" i="98"/>
  <c r="AV468" i="98"/>
  <c r="AU475" i="98"/>
  <c r="EI475" i="98"/>
  <c r="AT475" i="98"/>
  <c r="BE475" i="98"/>
  <c r="AV475" i="98"/>
  <c r="AU473" i="98"/>
  <c r="EI473" i="98"/>
  <c r="AT473" i="98"/>
  <c r="BE473" i="98"/>
  <c r="AV473" i="98"/>
  <c r="EJ10" i="98"/>
  <c r="BF10" i="98"/>
  <c r="AU469" i="98"/>
  <c r="EI469" i="98"/>
  <c r="BE469" i="98"/>
  <c r="AV469" i="98"/>
  <c r="AT469" i="98"/>
  <c r="AD657" i="98"/>
  <c r="AP657" i="98" s="1"/>
  <c r="AF657" i="98"/>
  <c r="AR657" i="98" s="1"/>
  <c r="AC657" i="98"/>
  <c r="AO657" i="98" s="1"/>
  <c r="EH657" i="98"/>
  <c r="AE657" i="98"/>
  <c r="AQ657" i="98" s="1"/>
  <c r="AW625" i="98"/>
  <c r="AW408" i="98"/>
  <c r="EM164" i="98"/>
  <c r="AX164" i="98"/>
  <c r="BI164" i="98"/>
  <c r="AZ164" i="98"/>
  <c r="AY164" i="98"/>
  <c r="CK608" i="98"/>
  <c r="CK391" i="98"/>
  <c r="CK574" i="98"/>
  <c r="CK357" i="98"/>
  <c r="AU345" i="98"/>
  <c r="EI345" i="98"/>
  <c r="AV345" i="98"/>
  <c r="AT345" i="98"/>
  <c r="BE345" i="98"/>
  <c r="EF319" i="98"/>
  <c r="N319" i="98"/>
  <c r="AL319" i="98" s="1"/>
  <c r="M319" i="98"/>
  <c r="AK319" i="98" s="1"/>
  <c r="P319" i="98"/>
  <c r="AN319" i="98" s="1"/>
  <c r="O319" i="98"/>
  <c r="AM319" i="98" s="1"/>
  <c r="EU46" i="98"/>
  <c r="EJ40" i="98"/>
  <c r="BF40" i="98"/>
  <c r="EG265" i="98"/>
  <c r="X265" i="98"/>
  <c r="V265" i="98"/>
  <c r="W265" i="98"/>
  <c r="U265" i="98"/>
  <c r="AU259" i="98"/>
  <c r="BE259" i="98"/>
  <c r="EI259" i="98"/>
  <c r="AV259" i="98"/>
  <c r="AT259" i="98"/>
  <c r="EL11" i="98"/>
  <c r="BH11" i="98"/>
  <c r="EL9" i="98"/>
  <c r="BH9" i="98"/>
  <c r="EV6" i="98"/>
  <c r="AF648" i="98"/>
  <c r="AR648" i="98" s="1"/>
  <c r="AE648" i="98"/>
  <c r="AQ648" i="98" s="1"/>
  <c r="EH648" i="98"/>
  <c r="AD648" i="98"/>
  <c r="AP648" i="98" s="1"/>
  <c r="AC648" i="98"/>
  <c r="AO648" i="98" s="1"/>
  <c r="V290" i="98"/>
  <c r="U290" i="98"/>
  <c r="EG290" i="98"/>
  <c r="X290" i="98"/>
  <c r="W290" i="98"/>
  <c r="P265" i="98"/>
  <c r="AN265" i="98" s="1"/>
  <c r="N265" i="98"/>
  <c r="AL265" i="98" s="1"/>
  <c r="EF265" i="98"/>
  <c r="O265" i="98"/>
  <c r="AM265" i="98" s="1"/>
  <c r="M265" i="98"/>
  <c r="AK265" i="98" s="1"/>
  <c r="CK476" i="98"/>
  <c r="CK259" i="98"/>
  <c r="BG14" i="98"/>
  <c r="EK14" i="98"/>
  <c r="AW590" i="98"/>
  <c r="AW373" i="98"/>
  <c r="BI129" i="98"/>
  <c r="AZ129" i="98"/>
  <c r="AY129" i="98"/>
  <c r="AX129" i="98"/>
  <c r="EM129" i="98"/>
  <c r="BE373" i="98"/>
  <c r="AV373" i="98"/>
  <c r="AU373" i="98"/>
  <c r="EI373" i="98"/>
  <c r="AT373" i="98"/>
  <c r="AZ613" i="98"/>
  <c r="BI613" i="98"/>
  <c r="AX613" i="98"/>
  <c r="AY613" i="98"/>
  <c r="EM613" i="98"/>
  <c r="BI127" i="98"/>
  <c r="AZ127" i="98"/>
  <c r="AY127" i="98"/>
  <c r="EM127" i="98"/>
  <c r="AX127" i="98"/>
  <c r="BJ665" i="98"/>
  <c r="EN665" i="98"/>
  <c r="BH592" i="98"/>
  <c r="EL592" i="98"/>
  <c r="BK635" i="98"/>
  <c r="EO635" i="98"/>
  <c r="EN599" i="98"/>
  <c r="BJ599" i="98"/>
  <c r="BK599" i="98"/>
  <c r="EO599" i="98"/>
  <c r="EO596" i="98"/>
  <c r="BK596" i="98"/>
  <c r="EJ586" i="98"/>
  <c r="BF586" i="98"/>
  <c r="BH582" i="98"/>
  <c r="EL582" i="98"/>
  <c r="EJ560" i="98"/>
  <c r="BF560" i="98"/>
  <c r="EP558" i="98"/>
  <c r="BL558" i="98"/>
  <c r="BJ552" i="98"/>
  <c r="EN552" i="98"/>
  <c r="BL627" i="98"/>
  <c r="EP627" i="98"/>
  <c r="BF555" i="98"/>
  <c r="EJ555" i="98"/>
  <c r="BF542" i="98"/>
  <c r="EJ542" i="98"/>
  <c r="BJ538" i="98"/>
  <c r="EN538" i="98"/>
  <c r="EL591" i="98"/>
  <c r="BH591" i="98"/>
  <c r="EK563" i="98"/>
  <c r="BG563" i="98"/>
  <c r="EM575" i="98"/>
  <c r="AX575" i="98"/>
  <c r="AZ575" i="98"/>
  <c r="AY575" i="98"/>
  <c r="BI575" i="98"/>
  <c r="BL571" i="98"/>
  <c r="EP571" i="98"/>
  <c r="BJ567" i="98"/>
  <c r="EN567" i="98"/>
  <c r="BJ559" i="98"/>
  <c r="EN559" i="98"/>
  <c r="EJ548" i="98"/>
  <c r="BF548" i="98"/>
  <c r="EL546" i="98"/>
  <c r="BH546" i="98"/>
  <c r="EL538" i="98"/>
  <c r="BH538" i="98"/>
  <c r="EO534" i="98"/>
  <c r="BK534" i="98"/>
  <c r="BG530" i="98"/>
  <c r="EK530" i="98"/>
  <c r="BG526" i="98"/>
  <c r="EK526" i="98"/>
  <c r="BJ523" i="98"/>
  <c r="EN523" i="98"/>
  <c r="BK522" i="98"/>
  <c r="EO522" i="98"/>
  <c r="BJ519" i="98"/>
  <c r="EN519" i="98"/>
  <c r="BK518" i="98"/>
  <c r="EO518" i="98"/>
  <c r="BH607" i="98"/>
  <c r="EL607" i="98"/>
  <c r="EL588" i="98"/>
  <c r="BH588" i="98"/>
  <c r="BF579" i="98"/>
  <c r="EJ579" i="98"/>
  <c r="AY578" i="98"/>
  <c r="AZ578" i="98"/>
  <c r="AX578" i="98"/>
  <c r="EK575" i="98"/>
  <c r="BG575" i="98"/>
  <c r="BF571" i="98"/>
  <c r="EJ571" i="98"/>
  <c r="BH567" i="98"/>
  <c r="EL567" i="98"/>
  <c r="AY562" i="98"/>
  <c r="BI562" i="98"/>
  <c r="AZ562" i="98"/>
  <c r="AX562" i="98"/>
  <c r="EM562" i="98"/>
  <c r="BF559" i="98"/>
  <c r="EJ559" i="98"/>
  <c r="EO542" i="98"/>
  <c r="BK542" i="98"/>
  <c r="EK538" i="98"/>
  <c r="BG538" i="98"/>
  <c r="EK533" i="98"/>
  <c r="BG533" i="98"/>
  <c r="BJ529" i="98"/>
  <c r="EN529" i="98"/>
  <c r="BL525" i="98"/>
  <c r="EP525" i="98"/>
  <c r="EO521" i="98"/>
  <c r="BK521" i="98"/>
  <c r="BJ515" i="98"/>
  <c r="EN515" i="98"/>
  <c r="EV553" i="98"/>
  <c r="EK525" i="98"/>
  <c r="BG525" i="98"/>
  <c r="BH521" i="98"/>
  <c r="EL521" i="98"/>
  <c r="BF517" i="98"/>
  <c r="EJ517" i="98"/>
  <c r="BJ513" i="98"/>
  <c r="EN513" i="98"/>
  <c r="EP510" i="98"/>
  <c r="BL510" i="98"/>
  <c r="EN508" i="98"/>
  <c r="BJ508" i="98"/>
  <c r="EP502" i="98"/>
  <c r="BL502" i="98"/>
  <c r="EN499" i="98"/>
  <c r="BJ499" i="98"/>
  <c r="EL497" i="98"/>
  <c r="BH497" i="98"/>
  <c r="EJ495" i="98"/>
  <c r="BF495" i="98"/>
  <c r="EN491" i="98"/>
  <c r="BJ491" i="98"/>
  <c r="EP474" i="98"/>
  <c r="BL474" i="98"/>
  <c r="EN471" i="98"/>
  <c r="BJ471" i="98"/>
  <c r="EJ578" i="98"/>
  <c r="BF578" i="98"/>
  <c r="BG578" i="98"/>
  <c r="EK578" i="98"/>
  <c r="EV547" i="98"/>
  <c r="BH515" i="98"/>
  <c r="EL515" i="98"/>
  <c r="BL511" i="98"/>
  <c r="EP511" i="98"/>
  <c r="EU503" i="98"/>
  <c r="EO482" i="98"/>
  <c r="BK482" i="98"/>
  <c r="EL508" i="98"/>
  <c r="BH508" i="98"/>
  <c r="EO501" i="98"/>
  <c r="BK501" i="98"/>
  <c r="EL495" i="98"/>
  <c r="BH495" i="98"/>
  <c r="EJ493" i="98"/>
  <c r="BF493" i="98"/>
  <c r="EK492" i="98"/>
  <c r="BG492" i="98"/>
  <c r="EK487" i="98"/>
  <c r="BG487" i="98"/>
  <c r="EN483" i="98"/>
  <c r="BJ483" i="98"/>
  <c r="EJ481" i="98"/>
  <c r="BF481" i="98"/>
  <c r="EO478" i="98"/>
  <c r="BK478" i="98"/>
  <c r="EN470" i="98"/>
  <c r="BJ470" i="98"/>
  <c r="EN458" i="98"/>
  <c r="BJ458" i="98"/>
  <c r="EJ457" i="98"/>
  <c r="BF457" i="98"/>
  <c r="EN454" i="98"/>
  <c r="BJ454" i="98"/>
  <c r="EJ453" i="98"/>
  <c r="BF453" i="98"/>
  <c r="EN441" i="98"/>
  <c r="BJ441" i="98"/>
  <c r="EN437" i="98"/>
  <c r="BJ437" i="98"/>
  <c r="EJ436" i="98"/>
  <c r="BF436" i="98"/>
  <c r="EJ434" i="98"/>
  <c r="BF434" i="98"/>
  <c r="EN445" i="98"/>
  <c r="BJ445" i="98"/>
  <c r="EP451" i="98"/>
  <c r="BL451" i="98"/>
  <c r="EP449" i="98"/>
  <c r="BL449" i="98"/>
  <c r="EL436" i="98"/>
  <c r="BH436" i="98"/>
  <c r="EL427" i="98"/>
  <c r="BH427" i="98"/>
  <c r="EP426" i="98"/>
  <c r="BL426" i="98"/>
  <c r="EP424" i="98"/>
  <c r="BL424" i="98"/>
  <c r="EP422" i="98"/>
  <c r="BL422" i="98"/>
  <c r="EL420" i="98"/>
  <c r="BH420" i="98"/>
  <c r="EP419" i="98"/>
  <c r="BL419" i="98"/>
  <c r="EL415" i="98"/>
  <c r="BH415" i="98"/>
  <c r="EK413" i="98"/>
  <c r="BG413" i="98"/>
  <c r="BF409" i="98"/>
  <c r="EJ409" i="98"/>
  <c r="BF404" i="98"/>
  <c r="EJ404" i="98"/>
  <c r="BJ399" i="98"/>
  <c r="EN399" i="98"/>
  <c r="BF392" i="98"/>
  <c r="EJ392" i="98"/>
  <c r="BF412" i="98"/>
  <c r="EJ412" i="98"/>
  <c r="EL410" i="98"/>
  <c r="BH410" i="98"/>
  <c r="EL404" i="98"/>
  <c r="BH404" i="98"/>
  <c r="EL401" i="98"/>
  <c r="BH401" i="98"/>
  <c r="EL399" i="98"/>
  <c r="BH399" i="98"/>
  <c r="EL393" i="98"/>
  <c r="BH393" i="98"/>
  <c r="EP391" i="98"/>
  <c r="BL391" i="98"/>
  <c r="EO380" i="98"/>
  <c r="BK380" i="98"/>
  <c r="EO378" i="98"/>
  <c r="BK378" i="98"/>
  <c r="EN366" i="98"/>
  <c r="BJ366" i="98"/>
  <c r="EV445" i="98"/>
  <c r="EK411" i="98"/>
  <c r="BG411" i="98"/>
  <c r="EK406" i="98"/>
  <c r="BG406" i="98"/>
  <c r="EK401" i="98"/>
  <c r="BG401" i="98"/>
  <c r="EK399" i="98"/>
  <c r="BG399" i="98"/>
  <c r="EK393" i="98"/>
  <c r="BG393" i="98"/>
  <c r="EJ368" i="98"/>
  <c r="BF368" i="98"/>
  <c r="EP360" i="98"/>
  <c r="BL360" i="98"/>
  <c r="EP353" i="98"/>
  <c r="BL353" i="98"/>
  <c r="EP351" i="98"/>
  <c r="BL351" i="98"/>
  <c r="BJ315" i="98"/>
  <c r="EN315" i="98"/>
  <c r="BJ309" i="98"/>
  <c r="EN309" i="98"/>
  <c r="BJ305" i="98"/>
  <c r="EN305" i="98"/>
  <c r="BJ301" i="98"/>
  <c r="EN301" i="98"/>
  <c r="BJ295" i="98"/>
  <c r="EN295" i="98"/>
  <c r="BJ293" i="98"/>
  <c r="EN293" i="98"/>
  <c r="BJ289" i="98"/>
  <c r="EN289" i="98"/>
  <c r="BJ269" i="98"/>
  <c r="EN269" i="98"/>
  <c r="EJ361" i="98"/>
  <c r="BF361" i="98"/>
  <c r="EN342" i="98"/>
  <c r="BJ342" i="98"/>
  <c r="EJ339" i="98"/>
  <c r="BF339" i="98"/>
  <c r="EN338" i="98"/>
  <c r="BJ338" i="98"/>
  <c r="EJ335" i="98"/>
  <c r="BF335" i="98"/>
  <c r="EN330" i="98"/>
  <c r="BJ330" i="98"/>
  <c r="EL312" i="98"/>
  <c r="BH312" i="98"/>
  <c r="EP309" i="98"/>
  <c r="BL309" i="98"/>
  <c r="EP305" i="98"/>
  <c r="BL305" i="98"/>
  <c r="EL296" i="98"/>
  <c r="BH296" i="98"/>
  <c r="BH286" i="98"/>
  <c r="EL286" i="98"/>
  <c r="BL284" i="98"/>
  <c r="EP284" i="98"/>
  <c r="EO265" i="98"/>
  <c r="BK265" i="98"/>
  <c r="EV187" i="98"/>
  <c r="BK167" i="98"/>
  <c r="EO167" i="98"/>
  <c r="EP680" i="98"/>
  <c r="BL680" i="98"/>
  <c r="EO679" i="98"/>
  <c r="BK679" i="98"/>
  <c r="EJ680" i="98"/>
  <c r="BF680" i="98"/>
  <c r="BH679" i="98"/>
  <c r="EL679" i="98"/>
  <c r="BK676" i="98"/>
  <c r="EO676" i="98"/>
  <c r="BJ669" i="98"/>
  <c r="EN669" i="98"/>
  <c r="BL675" i="98"/>
  <c r="EP675" i="98"/>
  <c r="EP669" i="98"/>
  <c r="BL669" i="98"/>
  <c r="BH677" i="98"/>
  <c r="EL677" i="98"/>
  <c r="EU674" i="98"/>
  <c r="BF662" i="98"/>
  <c r="EJ662" i="98"/>
  <c r="BH665" i="98"/>
  <c r="EL665" i="98"/>
  <c r="EO658" i="98"/>
  <c r="BK658" i="98"/>
  <c r="BL665" i="98"/>
  <c r="EP665" i="98"/>
  <c r="BJ655" i="98"/>
  <c r="EN655" i="98"/>
  <c r="EO653" i="98"/>
  <c r="BK653" i="98"/>
  <c r="BJ650" i="98"/>
  <c r="EN650" i="98"/>
  <c r="EU654" i="98"/>
  <c r="BJ653" i="98"/>
  <c r="EN653" i="98"/>
  <c r="EL651" i="98"/>
  <c r="EU651" i="98" s="1"/>
  <c r="BH651" i="98"/>
  <c r="BH657" i="98"/>
  <c r="EL657" i="98"/>
  <c r="BJ639" i="98"/>
  <c r="EN639" i="98"/>
  <c r="EN643" i="98"/>
  <c r="BJ643" i="98"/>
  <c r="EU647" i="98"/>
  <c r="BG639" i="98"/>
  <c r="EK639" i="98"/>
  <c r="BK642" i="98"/>
  <c r="EO642" i="98"/>
  <c r="EV633" i="98"/>
  <c r="BF628" i="98"/>
  <c r="EJ628" i="98"/>
  <c r="BJ624" i="98"/>
  <c r="EN624" i="98"/>
  <c r="BG642" i="98"/>
  <c r="EK642" i="98"/>
  <c r="BL638" i="98"/>
  <c r="EP638" i="98"/>
  <c r="EO626" i="98"/>
  <c r="BK626" i="98"/>
  <c r="BF646" i="98"/>
  <c r="EJ646" i="98"/>
  <c r="BK632" i="98"/>
  <c r="EO632" i="98"/>
  <c r="BF629" i="98"/>
  <c r="EJ629" i="98"/>
  <c r="EU629" i="98" s="1"/>
  <c r="EU633" i="98"/>
  <c r="BK623" i="98"/>
  <c r="EO623" i="98"/>
  <c r="AZ648" i="98"/>
  <c r="AY648" i="98"/>
  <c r="AX648" i="98"/>
  <c r="EM648" i="98"/>
  <c r="BI648" i="98"/>
  <c r="BH648" i="98"/>
  <c r="EL648" i="98"/>
  <c r="BG627" i="98"/>
  <c r="EK627" i="98"/>
  <c r="BH623" i="98"/>
  <c r="EL623" i="98"/>
  <c r="EU621" i="98"/>
  <c r="BF611" i="98"/>
  <c r="EJ611" i="98"/>
  <c r="BK607" i="98"/>
  <c r="EO607" i="98"/>
  <c r="BJ583" i="98"/>
  <c r="EN583" i="98"/>
  <c r="EP594" i="98"/>
  <c r="BL594" i="98"/>
  <c r="EL589" i="98"/>
  <c r="EU589" i="98" s="1"/>
  <c r="BH589" i="98"/>
  <c r="EO581" i="98"/>
  <c r="BK581" i="98"/>
  <c r="EN619" i="98"/>
  <c r="AY619" i="98"/>
  <c r="BJ619" i="98"/>
  <c r="AZ619" i="98"/>
  <c r="EO618" i="98"/>
  <c r="BK618" i="98"/>
  <c r="BL603" i="98"/>
  <c r="EP603" i="98"/>
  <c r="EJ622" i="98"/>
  <c r="BF622" i="98"/>
  <c r="BH622" i="98"/>
  <c r="EL622" i="98"/>
  <c r="BF596" i="98"/>
  <c r="EJ596" i="98"/>
  <c r="EV581" i="98"/>
  <c r="EN610" i="98"/>
  <c r="BJ610" i="98"/>
  <c r="BK610" i="98"/>
  <c r="EO610" i="98"/>
  <c r="BL602" i="98"/>
  <c r="EP602" i="98"/>
  <c r="BL586" i="98"/>
  <c r="EP586" i="98"/>
  <c r="BL582" i="98"/>
  <c r="EP582" i="98"/>
  <c r="BJ635" i="98"/>
  <c r="EN635" i="98"/>
  <c r="BL599" i="98"/>
  <c r="EP599" i="98"/>
  <c r="EP596" i="98"/>
  <c r="BL596" i="98"/>
  <c r="BG586" i="98"/>
  <c r="EK586" i="98"/>
  <c r="EL574" i="98"/>
  <c r="EU574" i="98" s="1"/>
  <c r="BH574" i="98"/>
  <c r="EP570" i="98"/>
  <c r="BL570" i="98"/>
  <c r="EJ568" i="98"/>
  <c r="EU568" i="98" s="1"/>
  <c r="BF568" i="98"/>
  <c r="EP566" i="98"/>
  <c r="BL566" i="98"/>
  <c r="BL563" i="98"/>
  <c r="EP563" i="98"/>
  <c r="EV561" i="98"/>
  <c r="EN554" i="98"/>
  <c r="BJ554" i="98"/>
  <c r="BG551" i="98"/>
  <c r="EK551" i="98"/>
  <c r="BJ546" i="98"/>
  <c r="EN546" i="98"/>
  <c r="BF533" i="98"/>
  <c r="EJ533" i="98"/>
  <c r="AY591" i="98"/>
  <c r="AX591" i="98"/>
  <c r="AZ591" i="98"/>
  <c r="EM591" i="98"/>
  <c r="BI591" i="98"/>
  <c r="EK591" i="98"/>
  <c r="BG591" i="98"/>
  <c r="BF563" i="98"/>
  <c r="EJ563" i="98"/>
  <c r="BK554" i="98"/>
  <c r="EO554" i="98"/>
  <c r="BK550" i="98"/>
  <c r="EO550" i="98"/>
  <c r="EO548" i="98"/>
  <c r="BK548" i="98"/>
  <c r="EK544" i="98"/>
  <c r="BG544" i="98"/>
  <c r="BL579" i="98"/>
  <c r="EP579" i="98"/>
  <c r="EO567" i="98"/>
  <c r="BK567" i="98"/>
  <c r="EO559" i="98"/>
  <c r="BK559" i="98"/>
  <c r="BJ555" i="98"/>
  <c r="EN555" i="98"/>
  <c r="EK547" i="98"/>
  <c r="EU547" i="98" s="1"/>
  <c r="BG547" i="98"/>
  <c r="EN544" i="98"/>
  <c r="BJ544" i="98"/>
  <c r="EP542" i="98"/>
  <c r="BL542" i="98"/>
  <c r="EJ540" i="98"/>
  <c r="EU540" i="98" s="1"/>
  <c r="BF540" i="98"/>
  <c r="EN535" i="98"/>
  <c r="BJ535" i="98"/>
  <c r="EP533" i="98"/>
  <c r="BL533" i="98"/>
  <c r="BJ531" i="98"/>
  <c r="EN531" i="98"/>
  <c r="BJ527" i="98"/>
  <c r="EN527" i="98"/>
  <c r="BG514" i="98"/>
  <c r="EK514" i="98"/>
  <c r="EU514" i="98" s="1"/>
  <c r="BL592" i="98"/>
  <c r="EP592" i="98"/>
  <c r="BG588" i="98"/>
  <c r="EK588" i="98"/>
  <c r="EK579" i="98"/>
  <c r="BG579" i="98"/>
  <c r="BF575" i="98"/>
  <c r="EJ575" i="98"/>
  <c r="EU573" i="98"/>
  <c r="EK571" i="98"/>
  <c r="BG571" i="98"/>
  <c r="EK559" i="98"/>
  <c r="BG559" i="98"/>
  <c r="BH554" i="98"/>
  <c r="EL554" i="98"/>
  <c r="BG550" i="98"/>
  <c r="EK550" i="98"/>
  <c r="EO529" i="98"/>
  <c r="BK529" i="98"/>
  <c r="BJ521" i="98"/>
  <c r="EN521" i="98"/>
  <c r="BL517" i="98"/>
  <c r="EP517" i="98"/>
  <c r="BL515" i="98"/>
  <c r="EP515" i="98"/>
  <c r="EU512" i="98"/>
  <c r="BH529" i="98"/>
  <c r="EL529" i="98"/>
  <c r="BF525" i="98"/>
  <c r="EJ525" i="98"/>
  <c r="EK517" i="98"/>
  <c r="BG517" i="98"/>
  <c r="EO511" i="98"/>
  <c r="BK511" i="98"/>
  <c r="EL506" i="98"/>
  <c r="BH506" i="98"/>
  <c r="EJ504" i="98"/>
  <c r="BF504" i="98"/>
  <c r="EP493" i="98"/>
  <c r="BL493" i="98"/>
  <c r="EL483" i="98"/>
  <c r="BH483" i="98"/>
  <c r="EP481" i="98"/>
  <c r="BL481" i="98"/>
  <c r="EP476" i="98"/>
  <c r="BL476" i="98"/>
  <c r="EP472" i="98"/>
  <c r="BL472" i="98"/>
  <c r="EL578" i="98"/>
  <c r="BH578" i="98"/>
  <c r="EV525" i="98"/>
  <c r="BF515" i="98"/>
  <c r="EJ515" i="98"/>
  <c r="BJ511" i="98"/>
  <c r="EN511" i="98"/>
  <c r="EK483" i="98"/>
  <c r="BG483" i="98"/>
  <c r="EO481" i="98"/>
  <c r="BK481" i="98"/>
  <c r="EU545" i="98"/>
  <c r="BF513" i="98"/>
  <c r="EJ513" i="98"/>
  <c r="EN510" i="98"/>
  <c r="BJ510" i="98"/>
  <c r="EO509" i="98"/>
  <c r="BK509" i="98"/>
  <c r="EJ506" i="98"/>
  <c r="BF506" i="98"/>
  <c r="EK505" i="98"/>
  <c r="EU505" i="98" s="1"/>
  <c r="BG505" i="98"/>
  <c r="EP504" i="98"/>
  <c r="BL504" i="98"/>
  <c r="EN502" i="98"/>
  <c r="BJ502" i="98"/>
  <c r="EK500" i="98"/>
  <c r="BG500" i="98"/>
  <c r="EP499" i="98"/>
  <c r="BL499" i="98"/>
  <c r="EN497" i="98"/>
  <c r="BJ497" i="98"/>
  <c r="EO496" i="98"/>
  <c r="BK496" i="98"/>
  <c r="EL491" i="98"/>
  <c r="BH491" i="98"/>
  <c r="EK489" i="98"/>
  <c r="EU489" i="98" s="1"/>
  <c r="BG489" i="98"/>
  <c r="BJ482" i="98"/>
  <c r="EN482" i="98"/>
  <c r="EO480" i="98"/>
  <c r="BK480" i="98"/>
  <c r="EP471" i="98"/>
  <c r="BL471" i="98"/>
  <c r="EP469" i="98"/>
  <c r="BL469" i="98"/>
  <c r="EN460" i="98"/>
  <c r="BJ460" i="98"/>
  <c r="EJ459" i="98"/>
  <c r="BF459" i="98"/>
  <c r="EN456" i="98"/>
  <c r="BJ456" i="98"/>
  <c r="EJ455" i="98"/>
  <c r="BF455" i="98"/>
  <c r="EN452" i="98"/>
  <c r="BJ452" i="98"/>
  <c r="EJ451" i="98"/>
  <c r="EU451" i="98" s="1"/>
  <c r="BF451" i="98"/>
  <c r="EN448" i="98"/>
  <c r="BJ448" i="98"/>
  <c r="EN447" i="98"/>
  <c r="EU447" i="98" s="1"/>
  <c r="BJ447" i="98"/>
  <c r="EK445" i="98"/>
  <c r="BG445" i="98"/>
  <c r="EO443" i="98"/>
  <c r="BK443" i="98"/>
  <c r="EJ440" i="98"/>
  <c r="BF440" i="98"/>
  <c r="EN435" i="98"/>
  <c r="BJ435" i="98"/>
  <c r="EN432" i="98"/>
  <c r="BJ432" i="98"/>
  <c r="EN443" i="98"/>
  <c r="EU443" i="98" s="1"/>
  <c r="BJ443" i="98"/>
  <c r="EK467" i="98"/>
  <c r="BG467" i="98"/>
  <c r="EP464" i="98"/>
  <c r="BL464" i="98"/>
  <c r="EP463" i="98"/>
  <c r="BL463" i="98"/>
  <c r="EP462" i="98"/>
  <c r="BL462" i="98"/>
  <c r="EP461" i="98"/>
  <c r="BL461" i="98"/>
  <c r="EP459" i="98"/>
  <c r="BL459" i="98"/>
  <c r="EP457" i="98"/>
  <c r="BL457" i="98"/>
  <c r="EP455" i="98"/>
  <c r="BL455" i="98"/>
  <c r="EP454" i="98"/>
  <c r="BL454" i="98"/>
  <c r="EP453" i="98"/>
  <c r="BL453" i="98"/>
  <c r="EP452" i="98"/>
  <c r="BL452" i="98"/>
  <c r="EP450" i="98"/>
  <c r="BL450" i="98"/>
  <c r="EP448" i="98"/>
  <c r="BL448" i="98"/>
  <c r="EL442" i="98"/>
  <c r="BH442" i="98"/>
  <c r="EP441" i="98"/>
  <c r="BL441" i="98"/>
  <c r="EP430" i="98"/>
  <c r="BL430" i="98"/>
  <c r="EP428" i="98"/>
  <c r="BL428" i="98"/>
  <c r="EP425" i="98"/>
  <c r="BL425" i="98"/>
  <c r="EP423" i="98"/>
  <c r="BL423" i="98"/>
  <c r="EP421" i="98"/>
  <c r="BL421" i="98"/>
  <c r="EP418" i="98"/>
  <c r="BL418" i="98"/>
  <c r="EL416" i="98"/>
  <c r="EU416" i="98" s="1"/>
  <c r="BH416" i="98"/>
  <c r="EP414" i="98"/>
  <c r="EU414" i="98" s="1"/>
  <c r="BL414" i="98"/>
  <c r="BF413" i="98"/>
  <c r="EJ413" i="98"/>
  <c r="BF410" i="98"/>
  <c r="EJ410" i="98"/>
  <c r="EU410" i="98" s="1"/>
  <c r="BF407" i="98"/>
  <c r="EJ407" i="98"/>
  <c r="BF405" i="98"/>
  <c r="EJ405" i="98"/>
  <c r="BF403" i="98"/>
  <c r="EJ403" i="98"/>
  <c r="BJ400" i="98"/>
  <c r="EN400" i="98"/>
  <c r="BF398" i="98"/>
  <c r="EJ398" i="98"/>
  <c r="BF393" i="98"/>
  <c r="EJ393" i="98"/>
  <c r="EU432" i="98"/>
  <c r="EL409" i="98"/>
  <c r="BH409" i="98"/>
  <c r="EL407" i="98"/>
  <c r="BH407" i="98"/>
  <c r="EL405" i="98"/>
  <c r="BH405" i="98"/>
  <c r="EL403" i="98"/>
  <c r="BH403" i="98"/>
  <c r="EL400" i="98"/>
  <c r="BH400" i="98"/>
  <c r="EL398" i="98"/>
  <c r="BH398" i="98"/>
  <c r="EP394" i="98"/>
  <c r="BL394" i="98"/>
  <c r="EO383" i="98"/>
  <c r="BK383" i="98"/>
  <c r="EO379" i="98"/>
  <c r="BK379" i="98"/>
  <c r="EO377" i="98"/>
  <c r="BK377" i="98"/>
  <c r="EO367" i="98"/>
  <c r="BK367" i="98"/>
  <c r="EN365" i="98"/>
  <c r="BJ365" i="98"/>
  <c r="EJ364" i="98"/>
  <c r="EU364" i="98" s="1"/>
  <c r="BF364" i="98"/>
  <c r="BL413" i="98"/>
  <c r="EP413" i="98"/>
  <c r="EK407" i="98"/>
  <c r="BG407" i="98"/>
  <c r="EK405" i="98"/>
  <c r="BG405" i="98"/>
  <c r="EK403" i="98"/>
  <c r="BG403" i="98"/>
  <c r="EK400" i="98"/>
  <c r="BG400" i="98"/>
  <c r="EK398" i="98"/>
  <c r="BG398" i="98"/>
  <c r="EO394" i="98"/>
  <c r="BK394" i="98"/>
  <c r="EJ380" i="98"/>
  <c r="BF380" i="98"/>
  <c r="EN377" i="98"/>
  <c r="BJ377" i="98"/>
  <c r="EN367" i="98"/>
  <c r="EU367" i="98" s="1"/>
  <c r="BJ367" i="98"/>
  <c r="EL362" i="98"/>
  <c r="EU362" i="98" s="1"/>
  <c r="BH362" i="98"/>
  <c r="EP359" i="98"/>
  <c r="BL359" i="98"/>
  <c r="EP357" i="98"/>
  <c r="BL357" i="98"/>
  <c r="EP355" i="98"/>
  <c r="BL355" i="98"/>
  <c r="EL346" i="98"/>
  <c r="EU346" i="98" s="1"/>
  <c r="BH346" i="98"/>
  <c r="BJ318" i="98"/>
  <c r="EN318" i="98"/>
  <c r="BJ316" i="98"/>
  <c r="EN316" i="98"/>
  <c r="BJ314" i="98"/>
  <c r="EN314" i="98"/>
  <c r="BJ312" i="98"/>
  <c r="EN312" i="98"/>
  <c r="BJ310" i="98"/>
  <c r="EN310" i="98"/>
  <c r="BJ308" i="98"/>
  <c r="EN308" i="98"/>
  <c r="BJ306" i="98"/>
  <c r="EN306" i="98"/>
  <c r="BJ304" i="98"/>
  <c r="EN304" i="98"/>
  <c r="BJ302" i="98"/>
  <c r="EN302" i="98"/>
  <c r="BJ300" i="98"/>
  <c r="EN300" i="98"/>
  <c r="BJ298" i="98"/>
  <c r="EN298" i="98"/>
  <c r="BJ296" i="98"/>
  <c r="EN296" i="98"/>
  <c r="BJ294" i="98"/>
  <c r="EN294" i="98"/>
  <c r="BJ292" i="98"/>
  <c r="EN292" i="98"/>
  <c r="BJ290" i="98"/>
  <c r="EN290" i="98"/>
  <c r="EL361" i="98"/>
  <c r="BH361" i="98"/>
  <c r="BG361" i="98"/>
  <c r="EK361" i="98"/>
  <c r="EJ341" i="98"/>
  <c r="EU341" i="98" s="1"/>
  <c r="BF341" i="98"/>
  <c r="EN340" i="98"/>
  <c r="BJ340" i="98"/>
  <c r="EJ337" i="98"/>
  <c r="EU337" i="98" s="1"/>
  <c r="BF337" i="98"/>
  <c r="EN336" i="98"/>
  <c r="BJ336" i="98"/>
  <c r="EJ333" i="98"/>
  <c r="EU333" i="98" s="1"/>
  <c r="BF333" i="98"/>
  <c r="EN332" i="98"/>
  <c r="BJ332" i="98"/>
  <c r="EM402" i="98"/>
  <c r="BI402" i="98"/>
  <c r="EU351" i="98"/>
  <c r="EL318" i="98"/>
  <c r="BH318" i="98"/>
  <c r="EP315" i="98"/>
  <c r="BL315" i="98"/>
  <c r="EL314" i="98"/>
  <c r="BH314" i="98"/>
  <c r="EP311" i="98"/>
  <c r="BL311" i="98"/>
  <c r="EL310" i="98"/>
  <c r="BH310" i="98"/>
  <c r="EP307" i="98"/>
  <c r="BL307" i="98"/>
  <c r="EL306" i="98"/>
  <c r="BH306" i="98"/>
  <c r="EP303" i="98"/>
  <c r="BL303" i="98"/>
  <c r="EL302" i="98"/>
  <c r="BH302" i="98"/>
  <c r="EP299" i="98"/>
  <c r="BL299" i="98"/>
  <c r="EL298" i="98"/>
  <c r="BH298" i="98"/>
  <c r="EP295" i="98"/>
  <c r="BL295" i="98"/>
  <c r="EL294" i="98"/>
  <c r="BH294" i="98"/>
  <c r="EP291" i="98"/>
  <c r="BL291" i="98"/>
  <c r="EL290" i="98"/>
  <c r="BH290" i="98"/>
  <c r="EL344" i="98"/>
  <c r="BH344" i="98"/>
  <c r="BL272" i="98"/>
  <c r="EP272" i="98"/>
  <c r="EO266" i="98"/>
  <c r="BK266" i="98"/>
  <c r="BJ250" i="98"/>
  <c r="EN250" i="98"/>
  <c r="BC634" i="98"/>
  <c r="ES634" i="98" s="1"/>
  <c r="BC417" i="98"/>
  <c r="ES417" i="98" s="1"/>
  <c r="ES173" i="98"/>
  <c r="EF634" i="98"/>
  <c r="O634" i="98"/>
  <c r="AM634" i="98" s="1"/>
  <c r="P634" i="98"/>
  <c r="AN634" i="98" s="1"/>
  <c r="N634" i="98"/>
  <c r="AL634" i="98" s="1"/>
  <c r="M634" i="98"/>
  <c r="AK634" i="98" s="1"/>
  <c r="BC410" i="98"/>
  <c r="ES410" i="98" s="1"/>
  <c r="ES166" i="98"/>
  <c r="AD400" i="98"/>
  <c r="AP400" i="98" s="1"/>
  <c r="EH400" i="98"/>
  <c r="AC400" i="98"/>
  <c r="AO400" i="98" s="1"/>
  <c r="AF400" i="98"/>
  <c r="AR400" i="98" s="1"/>
  <c r="AE400" i="98"/>
  <c r="AQ400" i="98" s="1"/>
  <c r="EM398" i="98"/>
  <c r="AX398" i="98"/>
  <c r="BI398" i="98"/>
  <c r="AZ398" i="98"/>
  <c r="AY398" i="98"/>
  <c r="AD615" i="98"/>
  <c r="AP615" i="98" s="1"/>
  <c r="AE615" i="98"/>
  <c r="AQ615" i="98" s="1"/>
  <c r="AF615" i="98"/>
  <c r="AR615" i="98" s="1"/>
  <c r="EH615" i="98"/>
  <c r="EV615" i="98" s="1"/>
  <c r="AC615" i="98"/>
  <c r="AO615" i="98" s="1"/>
  <c r="EK272" i="98"/>
  <c r="BG272" i="98"/>
  <c r="BL263" i="98"/>
  <c r="EP263" i="98"/>
  <c r="BL267" i="98"/>
  <c r="EP267" i="98"/>
  <c r="EG655" i="98"/>
  <c r="X655" i="98"/>
  <c r="V655" i="98"/>
  <c r="W655" i="98"/>
  <c r="U655" i="98"/>
  <c r="EU188" i="98"/>
  <c r="BJ410" i="98"/>
  <c r="EN410" i="98"/>
  <c r="BG155" i="98"/>
  <c r="EK155" i="98"/>
  <c r="BC615" i="98"/>
  <c r="ES615" i="98" s="1"/>
  <c r="BC398" i="98"/>
  <c r="ES398" i="98" s="1"/>
  <c r="ES154" i="98"/>
  <c r="EV397" i="98"/>
  <c r="EV394" i="98"/>
  <c r="EV392" i="98"/>
  <c r="EK374" i="98"/>
  <c r="BG374" i="98"/>
  <c r="EK371" i="98"/>
  <c r="BG371" i="98"/>
  <c r="EV308" i="98"/>
  <c r="EN256" i="98"/>
  <c r="BJ256" i="98"/>
  <c r="EU241" i="98"/>
  <c r="EN196" i="98"/>
  <c r="BJ196" i="98"/>
  <c r="EO194" i="98"/>
  <c r="BK194" i="98"/>
  <c r="CK618" i="98"/>
  <c r="CK401" i="98"/>
  <c r="CK604" i="98"/>
  <c r="CK387" i="98"/>
  <c r="CK563" i="98"/>
  <c r="CK346" i="98"/>
  <c r="BD562" i="98"/>
  <c r="ET562" i="98" s="1"/>
  <c r="BD345" i="98"/>
  <c r="ET345" i="98" s="1"/>
  <c r="ET101" i="98"/>
  <c r="AE562" i="98"/>
  <c r="AQ562" i="98" s="1"/>
  <c r="EH562" i="98"/>
  <c r="AC562" i="98"/>
  <c r="AO562" i="98" s="1"/>
  <c r="AF562" i="98"/>
  <c r="AR562" i="98" s="1"/>
  <c r="AD562" i="98"/>
  <c r="AP562" i="98" s="1"/>
  <c r="CK537" i="98"/>
  <c r="CK320" i="98"/>
  <c r="AE536" i="98"/>
  <c r="AQ536" i="98" s="1"/>
  <c r="AD536" i="98"/>
  <c r="AP536" i="98" s="1"/>
  <c r="AC536" i="98"/>
  <c r="AO536" i="98" s="1"/>
  <c r="EH536" i="98"/>
  <c r="AF536" i="98"/>
  <c r="AR536" i="98" s="1"/>
  <c r="CK521" i="98"/>
  <c r="CK304" i="98"/>
  <c r="CK494" i="98"/>
  <c r="CK277" i="98"/>
  <c r="CK575" i="98"/>
  <c r="CK358" i="98"/>
  <c r="EG345" i="98"/>
  <c r="U345" i="98"/>
  <c r="X345" i="98"/>
  <c r="W345" i="98"/>
  <c r="V345" i="98"/>
  <c r="EG284" i="98"/>
  <c r="W284" i="98"/>
  <c r="V284" i="98"/>
  <c r="U284" i="98"/>
  <c r="X284" i="98"/>
  <c r="EV305" i="98"/>
  <c r="BL252" i="98"/>
  <c r="EP252" i="98"/>
  <c r="EP194" i="98"/>
  <c r="BL194" i="98"/>
  <c r="P655" i="98"/>
  <c r="AN655" i="98" s="1"/>
  <c r="N655" i="98"/>
  <c r="AL655" i="98" s="1"/>
  <c r="M655" i="98"/>
  <c r="AK655" i="98" s="1"/>
  <c r="EF655" i="98"/>
  <c r="O655" i="98"/>
  <c r="AM655" i="98" s="1"/>
  <c r="BB434" i="98"/>
  <c r="ER434" i="98" s="1"/>
  <c r="ER190" i="98"/>
  <c r="EU189" i="98"/>
  <c r="EV189" i="98"/>
  <c r="AE429" i="98"/>
  <c r="AQ429" i="98" s="1"/>
  <c r="AD429" i="98"/>
  <c r="AP429" i="98" s="1"/>
  <c r="EH429" i="98"/>
  <c r="EV429" i="98" s="1"/>
  <c r="AC429" i="98"/>
  <c r="AO429" i="98" s="1"/>
  <c r="AF429" i="98"/>
  <c r="AR429" i="98" s="1"/>
  <c r="CK639" i="98"/>
  <c r="CK422" i="98"/>
  <c r="AU634" i="98"/>
  <c r="AV634" i="98"/>
  <c r="BE634" i="98"/>
  <c r="EI634" i="98"/>
  <c r="AT634" i="98"/>
  <c r="AZ158" i="98"/>
  <c r="EN158" i="98"/>
  <c r="BJ158" i="98"/>
  <c r="AY158" i="98"/>
  <c r="CK616" i="98"/>
  <c r="CK399" i="98"/>
  <c r="BL343" i="98"/>
  <c r="EP343" i="98"/>
  <c r="EO287" i="98"/>
  <c r="BK287" i="98"/>
  <c r="EN285" i="98"/>
  <c r="BJ285" i="98"/>
  <c r="EU271" i="98"/>
  <c r="BJ261" i="98"/>
  <c r="EN261" i="98"/>
  <c r="EU344" i="98"/>
  <c r="BH267" i="98"/>
  <c r="EL267" i="98"/>
  <c r="BF216" i="98"/>
  <c r="BF215" i="98" s="1"/>
  <c r="EJ216" i="98"/>
  <c r="EU216" i="98" s="1"/>
  <c r="BD438" i="98"/>
  <c r="ET438" i="98" s="1"/>
  <c r="ET194" i="98"/>
  <c r="AY434" i="98"/>
  <c r="EM434" i="98"/>
  <c r="AX434" i="98"/>
  <c r="BI434" i="98"/>
  <c r="AZ434" i="98"/>
  <c r="BL156" i="98"/>
  <c r="EP156" i="98"/>
  <c r="EU111" i="98"/>
  <c r="CK659" i="98"/>
  <c r="CK442" i="98"/>
  <c r="BF187" i="98"/>
  <c r="EJ187" i="98"/>
  <c r="BB427" i="98"/>
  <c r="ER427" i="98" s="1"/>
  <c r="ER183" i="98"/>
  <c r="EL152" i="98"/>
  <c r="BH152" i="98"/>
  <c r="EI395" i="98"/>
  <c r="AT395" i="98"/>
  <c r="BE395" i="98"/>
  <c r="AV395" i="98"/>
  <c r="AU395" i="98"/>
  <c r="CK566" i="98"/>
  <c r="CK349" i="98"/>
  <c r="CK538" i="98"/>
  <c r="CK321" i="98"/>
  <c r="CK524" i="98"/>
  <c r="CK307" i="98"/>
  <c r="N290" i="98"/>
  <c r="AL290" i="98" s="1"/>
  <c r="M290" i="98"/>
  <c r="AK290" i="98" s="1"/>
  <c r="P290" i="98"/>
  <c r="AN290" i="98" s="1"/>
  <c r="EF290" i="98"/>
  <c r="O290" i="98"/>
  <c r="AM290" i="98" s="1"/>
  <c r="EL24" i="98"/>
  <c r="EU24" i="98" s="1"/>
  <c r="BH24" i="98"/>
  <c r="BD440" i="98"/>
  <c r="ET440" i="98" s="1"/>
  <c r="ET196" i="98"/>
  <c r="AD644" i="98"/>
  <c r="AP644" i="98" s="1"/>
  <c r="AC644" i="98"/>
  <c r="AO644" i="98" s="1"/>
  <c r="AE644" i="98"/>
  <c r="AQ644" i="98" s="1"/>
  <c r="AF644" i="98"/>
  <c r="AR644" i="98" s="1"/>
  <c r="EH644" i="98"/>
  <c r="BF153" i="98"/>
  <c r="EJ153" i="98"/>
  <c r="AW614" i="98"/>
  <c r="AW397" i="98"/>
  <c r="AY153" i="98"/>
  <c r="AZ153" i="98"/>
  <c r="AX153" i="98"/>
  <c r="EM153" i="98"/>
  <c r="BI153" i="98"/>
  <c r="BD381" i="98"/>
  <c r="ET381" i="98" s="1"/>
  <c r="BC381" i="98"/>
  <c r="ES381" i="98" s="1"/>
  <c r="EQ381" i="98"/>
  <c r="BB381" i="98"/>
  <c r="ER381" i="98" s="1"/>
  <c r="CK549" i="98"/>
  <c r="CK332" i="98"/>
  <c r="CK535" i="98"/>
  <c r="CK318" i="98"/>
  <c r="CK512" i="98"/>
  <c r="CK295" i="98"/>
  <c r="CK485" i="98"/>
  <c r="CK268" i="98"/>
  <c r="EL22" i="98"/>
  <c r="BH22" i="98"/>
  <c r="AF265" i="98"/>
  <c r="AR265" i="98" s="1"/>
  <c r="AD265" i="98"/>
  <c r="AP265" i="98" s="1"/>
  <c r="AE265" i="98"/>
  <c r="AQ265" i="98" s="1"/>
  <c r="AC265" i="98"/>
  <c r="AO265" i="98" s="1"/>
  <c r="EH265" i="98"/>
  <c r="AV481" i="98"/>
  <c r="EL20" i="98"/>
  <c r="EU20" i="98" s="1"/>
  <c r="BH20" i="98"/>
  <c r="BF9" i="98"/>
  <c r="EJ9" i="98"/>
  <c r="EU9" i="98" s="1"/>
  <c r="CK629" i="98"/>
  <c r="CK412" i="98"/>
  <c r="EI254" i="98"/>
  <c r="AT254" i="98"/>
  <c r="BE254" i="98"/>
  <c r="AV254" i="98"/>
  <c r="AU254" i="98"/>
  <c r="BD442" i="98"/>
  <c r="ET442" i="98" s="1"/>
  <c r="ET198" i="98"/>
  <c r="EL164" i="98"/>
  <c r="BH164" i="98"/>
  <c r="EI408" i="98"/>
  <c r="AT408" i="98"/>
  <c r="BE408" i="98"/>
  <c r="AV408" i="98"/>
  <c r="AU408" i="98"/>
  <c r="CK610" i="98"/>
  <c r="CK393" i="98"/>
  <c r="BG101" i="98"/>
  <c r="EK101" i="98"/>
  <c r="O536" i="98"/>
  <c r="AM536" i="98" s="1"/>
  <c r="EF536" i="98"/>
  <c r="N536" i="98"/>
  <c r="AL536" i="98" s="1"/>
  <c r="M536" i="98"/>
  <c r="AK536" i="98" s="1"/>
  <c r="P536" i="98"/>
  <c r="AN536" i="98" s="1"/>
  <c r="CK506" i="98"/>
  <c r="CK289" i="98"/>
  <c r="CK496" i="98"/>
  <c r="CK279" i="98"/>
  <c r="CK492" i="98"/>
  <c r="CK275" i="98"/>
  <c r="BB265" i="98"/>
  <c r="ER265" i="98" s="1"/>
  <c r="ER21" i="98"/>
  <c r="EU21" i="98" s="1"/>
  <c r="BE476" i="98"/>
  <c r="AV476" i="98"/>
  <c r="AU476" i="98"/>
  <c r="EI476" i="98"/>
  <c r="AT476" i="98"/>
  <c r="EL13" i="98"/>
  <c r="BH13" i="98"/>
  <c r="BE255" i="98"/>
  <c r="AV255" i="98"/>
  <c r="AU255" i="98"/>
  <c r="EI255" i="98"/>
  <c r="AT255" i="98"/>
  <c r="AU253" i="98"/>
  <c r="EI253" i="98"/>
  <c r="AT253" i="98"/>
  <c r="BE253" i="98"/>
  <c r="AV253" i="98"/>
  <c r="BE5" i="98"/>
  <c r="M391" i="98"/>
  <c r="AK391" i="98" s="1"/>
  <c r="P391" i="98"/>
  <c r="AN391" i="98" s="1"/>
  <c r="O391" i="98"/>
  <c r="AM391" i="98" s="1"/>
  <c r="EF391" i="98"/>
  <c r="N391" i="98"/>
  <c r="AL391" i="98" s="1"/>
  <c r="EU137" i="98"/>
  <c r="EG507" i="98"/>
  <c r="X507" i="98"/>
  <c r="W507" i="98"/>
  <c r="V507" i="98"/>
  <c r="U507" i="98"/>
  <c r="EK40" i="98"/>
  <c r="BG40" i="98"/>
  <c r="P264" i="98"/>
  <c r="AN264" i="98" s="1"/>
  <c r="N264" i="98"/>
  <c r="AL264" i="98" s="1"/>
  <c r="EF264" i="98"/>
  <c r="O264" i="98"/>
  <c r="AM264" i="98" s="1"/>
  <c r="M264" i="98"/>
  <c r="AK264" i="98" s="1"/>
  <c r="BG16" i="98"/>
  <c r="EK16" i="98"/>
  <c r="CK474" i="98"/>
  <c r="CK257" i="98"/>
  <c r="BG12" i="98"/>
  <c r="EK12" i="98"/>
  <c r="EK129" i="98"/>
  <c r="BG129" i="98"/>
  <c r="AV590" i="98"/>
  <c r="AU590" i="98"/>
  <c r="BE590" i="98"/>
  <c r="EI590" i="98"/>
  <c r="AT590" i="98"/>
  <c r="EP152" i="98"/>
  <c r="BL152" i="98"/>
  <c r="EK127" i="98"/>
  <c r="BG127" i="98"/>
  <c r="EK130" i="98"/>
  <c r="BG130" i="98"/>
  <c r="BI130" i="98"/>
  <c r="AZ130" i="98"/>
  <c r="AX130" i="98"/>
  <c r="EM130" i="98"/>
  <c r="AY130" i="98"/>
  <c r="BJ681" i="98"/>
  <c r="EN681" i="98"/>
  <c r="BJ677" i="98"/>
  <c r="EN677" i="98"/>
  <c r="BK680" i="98"/>
  <c r="EO680" i="98"/>
  <c r="BL679" i="98"/>
  <c r="EP679" i="98"/>
  <c r="EJ676" i="98"/>
  <c r="EU676" i="98" s="1"/>
  <c r="BF676" i="98"/>
  <c r="EV675" i="98"/>
  <c r="BF669" i="98"/>
  <c r="EJ669" i="98"/>
  <c r="BH671" i="98"/>
  <c r="EL671" i="98"/>
  <c r="BH673" i="98"/>
  <c r="EL673" i="98"/>
  <c r="EL669" i="98"/>
  <c r="BH669" i="98"/>
  <c r="EN667" i="98"/>
  <c r="BJ667" i="98"/>
  <c r="BF677" i="98"/>
  <c r="EJ677" i="98"/>
  <c r="EU677" i="98" s="1"/>
  <c r="EJ675" i="98"/>
  <c r="EU675" i="98" s="1"/>
  <c r="BF675" i="98"/>
  <c r="BJ671" i="98"/>
  <c r="EN671" i="98"/>
  <c r="BF665" i="98"/>
  <c r="EJ665" i="98"/>
  <c r="EK658" i="98"/>
  <c r="EU658" i="98" s="1"/>
  <c r="BG658" i="98"/>
  <c r="BF650" i="98"/>
  <c r="EJ650" i="98"/>
  <c r="EK655" i="98"/>
  <c r="BG655" i="98"/>
  <c r="BH655" i="98"/>
  <c r="EL655" i="98"/>
  <c r="BK649" i="98"/>
  <c r="EO649" i="98"/>
  <c r="BJ644" i="98"/>
  <c r="EN644" i="98"/>
  <c r="BF657" i="98"/>
  <c r="EJ657" i="98"/>
  <c r="EU657" i="98" s="1"/>
  <c r="EJ649" i="98"/>
  <c r="BF649" i="98"/>
  <c r="BF639" i="98"/>
  <c r="EJ639" i="98"/>
  <c r="EU639" i="98" s="1"/>
  <c r="BH653" i="98"/>
  <c r="EL653" i="98"/>
  <c r="BL642" i="98"/>
  <c r="EP642" i="98"/>
  <c r="BG635" i="98"/>
  <c r="EK635" i="98"/>
  <c r="EN634" i="98"/>
  <c r="BJ634" i="98"/>
  <c r="BJ632" i="98"/>
  <c r="EN632" i="98"/>
  <c r="BF624" i="98"/>
  <c r="EJ624" i="98"/>
  <c r="EU624" i="98" s="1"/>
  <c r="BJ620" i="98"/>
  <c r="EN620" i="98"/>
  <c r="BH642" i="98"/>
  <c r="EL642" i="98"/>
  <c r="EN638" i="98"/>
  <c r="BJ638" i="98"/>
  <c r="BL634" i="98"/>
  <c r="EP634" i="98"/>
  <c r="EK626" i="98"/>
  <c r="BG626" i="98"/>
  <c r="EL646" i="98"/>
  <c r="BH646" i="98"/>
  <c r="BG632" i="98"/>
  <c r="EK632" i="98"/>
  <c r="BK628" i="98"/>
  <c r="EO628" i="98"/>
  <c r="BK631" i="98"/>
  <c r="EO631" i="98"/>
  <c r="BL623" i="98"/>
  <c r="EP623" i="98"/>
  <c r="BG631" i="98"/>
  <c r="EK631" i="98"/>
  <c r="BG638" i="98"/>
  <c r="EK638" i="98"/>
  <c r="BH627" i="98"/>
  <c r="EL627" i="98"/>
  <c r="EK618" i="98"/>
  <c r="BG618" i="98"/>
  <c r="EJ623" i="98"/>
  <c r="BF623" i="98"/>
  <c r="EL611" i="98"/>
  <c r="BH611" i="98"/>
  <c r="BF600" i="98"/>
  <c r="EJ600" i="98"/>
  <c r="EU600" i="98" s="1"/>
  <c r="BF583" i="98"/>
  <c r="EJ583" i="98"/>
  <c r="BG604" i="98"/>
  <c r="EK604" i="98"/>
  <c r="BH603" i="98"/>
  <c r="EL603" i="98"/>
  <c r="EO595" i="98"/>
  <c r="BK595" i="98"/>
  <c r="EL594" i="98"/>
  <c r="EU594" i="98" s="1"/>
  <c r="BH594" i="98"/>
  <c r="EO585" i="98"/>
  <c r="BK585" i="98"/>
  <c r="EP584" i="98"/>
  <c r="BL584" i="98"/>
  <c r="EK581" i="98"/>
  <c r="EU581" i="98" s="1"/>
  <c r="BG581" i="98"/>
  <c r="BL618" i="98"/>
  <c r="EP618" i="98"/>
  <c r="BL611" i="98"/>
  <c r="EP611" i="98"/>
  <c r="BK603" i="98"/>
  <c r="EO603" i="98"/>
  <c r="EK596" i="98"/>
  <c r="BG596" i="98"/>
  <c r="BJ602" i="98"/>
  <c r="EN602" i="98"/>
  <c r="EU602" i="98" s="1"/>
  <c r="BG592" i="98"/>
  <c r="EK592" i="98"/>
  <c r="EN586" i="98"/>
  <c r="BJ586" i="98"/>
  <c r="EN582" i="98"/>
  <c r="BJ582" i="98"/>
  <c r="EP635" i="98"/>
  <c r="BL635" i="98"/>
  <c r="BJ596" i="98"/>
  <c r="EN596" i="98"/>
  <c r="BH586" i="98"/>
  <c r="EL586" i="98"/>
  <c r="EU585" i="98"/>
  <c r="BG582" i="98"/>
  <c r="EK582" i="98"/>
  <c r="EL570" i="98"/>
  <c r="EU570" i="98" s="1"/>
  <c r="BH570" i="98"/>
  <c r="EL566" i="98"/>
  <c r="EU566" i="98" s="1"/>
  <c r="BH566" i="98"/>
  <c r="EN560" i="98"/>
  <c r="BJ560" i="98"/>
  <c r="BK627" i="98"/>
  <c r="EO627" i="98"/>
  <c r="BJ563" i="98"/>
  <c r="EN563" i="98"/>
  <c r="BG555" i="98"/>
  <c r="EK555" i="98"/>
  <c r="BF551" i="98"/>
  <c r="EJ551" i="98"/>
  <c r="BF546" i="98"/>
  <c r="EJ546" i="98"/>
  <c r="BJ542" i="98"/>
  <c r="EN542" i="98"/>
  <c r="EU549" i="98"/>
  <c r="EK548" i="98"/>
  <c r="BG548" i="98"/>
  <c r="BJ579" i="98"/>
  <c r="EN579" i="98"/>
  <c r="EO571" i="98"/>
  <c r="BK571" i="98"/>
  <c r="BL567" i="98"/>
  <c r="EP567" i="98"/>
  <c r="BL559" i="98"/>
  <c r="EP559" i="98"/>
  <c r="EJ554" i="98"/>
  <c r="BF554" i="98"/>
  <c r="EM551" i="98"/>
  <c r="AX551" i="98"/>
  <c r="AY551" i="98"/>
  <c r="BI551" i="98"/>
  <c r="AZ551" i="98"/>
  <c r="EJ550" i="98"/>
  <c r="EU550" i="98" s="1"/>
  <c r="BF550" i="98"/>
  <c r="EN548" i="98"/>
  <c r="BJ548" i="98"/>
  <c r="EP546" i="98"/>
  <c r="BL546" i="98"/>
  <c r="EJ544" i="98"/>
  <c r="EU544" i="98" s="1"/>
  <c r="BF544" i="98"/>
  <c r="EL542" i="98"/>
  <c r="BH542" i="98"/>
  <c r="EP538" i="98"/>
  <c r="BL538" i="98"/>
  <c r="EN536" i="98"/>
  <c r="BJ536" i="98"/>
  <c r="EJ535" i="98"/>
  <c r="BF535" i="98"/>
  <c r="EL533" i="98"/>
  <c r="BH533" i="98"/>
  <c r="BF531" i="98"/>
  <c r="EJ531" i="98"/>
  <c r="EU531" i="98" s="1"/>
  <c r="BK530" i="98"/>
  <c r="EO530" i="98"/>
  <c r="BF527" i="98"/>
  <c r="EJ527" i="98"/>
  <c r="EU527" i="98" s="1"/>
  <c r="BK526" i="98"/>
  <c r="EO526" i="98"/>
  <c r="EN592" i="98"/>
  <c r="BJ592" i="98"/>
  <c r="EJ588" i="98"/>
  <c r="BF588" i="98"/>
  <c r="BH579" i="98"/>
  <c r="EL579" i="98"/>
  <c r="BH571" i="98"/>
  <c r="EL571" i="98"/>
  <c r="EK567" i="98"/>
  <c r="BG567" i="98"/>
  <c r="BH559" i="98"/>
  <c r="EL559" i="98"/>
  <c r="EU558" i="98"/>
  <c r="BG554" i="98"/>
  <c r="EK554" i="98"/>
  <c r="EO538" i="98"/>
  <c r="BK538" i="98"/>
  <c r="EO533" i="98"/>
  <c r="BK533" i="98"/>
  <c r="BL529" i="98"/>
  <c r="EP529" i="98"/>
  <c r="EO525" i="98"/>
  <c r="BK525" i="98"/>
  <c r="BJ517" i="98"/>
  <c r="EN517" i="98"/>
  <c r="BH511" i="98"/>
  <c r="EL511" i="98"/>
  <c r="EU511" i="98" s="1"/>
  <c r="BF529" i="98"/>
  <c r="EJ529" i="98"/>
  <c r="EU529" i="98" s="1"/>
  <c r="EK521" i="98"/>
  <c r="BG521" i="98"/>
  <c r="BH517" i="98"/>
  <c r="EL517" i="98"/>
  <c r="EK515" i="98"/>
  <c r="BG515" i="98"/>
  <c r="BL513" i="98"/>
  <c r="EP513" i="98"/>
  <c r="EP497" i="98"/>
  <c r="BL497" i="98"/>
  <c r="EN495" i="98"/>
  <c r="BJ495" i="98"/>
  <c r="EL493" i="98"/>
  <c r="EU493" i="98" s="1"/>
  <c r="BH493" i="98"/>
  <c r="EN475" i="98"/>
  <c r="BJ475" i="98"/>
  <c r="EL562" i="98"/>
  <c r="BH562" i="98"/>
  <c r="EO476" i="98"/>
  <c r="BK476" i="98"/>
  <c r="EJ510" i="98"/>
  <c r="BF510" i="98"/>
  <c r="EK509" i="98"/>
  <c r="BG509" i="98"/>
  <c r="EP508" i="98"/>
  <c r="BL508" i="98"/>
  <c r="EL504" i="98"/>
  <c r="BH504" i="98"/>
  <c r="EJ502" i="98"/>
  <c r="EU502" i="98" s="1"/>
  <c r="BF502" i="98"/>
  <c r="EL499" i="98"/>
  <c r="BH499" i="98"/>
  <c r="EJ497" i="98"/>
  <c r="EU497" i="98" s="1"/>
  <c r="BF497" i="98"/>
  <c r="EK496" i="98"/>
  <c r="BG496" i="98"/>
  <c r="EP495" i="98"/>
  <c r="BL495" i="98"/>
  <c r="EN493" i="98"/>
  <c r="BJ493" i="98"/>
  <c r="EO492" i="98"/>
  <c r="BK492" i="98"/>
  <c r="EO487" i="98"/>
  <c r="BK487" i="98"/>
  <c r="EN481" i="98"/>
  <c r="BJ481" i="98"/>
  <c r="EK480" i="98"/>
  <c r="BG480" i="98"/>
  <c r="EP475" i="98"/>
  <c r="BL475" i="98"/>
  <c r="EP473" i="98"/>
  <c r="BL473" i="98"/>
  <c r="EJ460" i="98"/>
  <c r="EU460" i="98" s="1"/>
  <c r="BF460" i="98"/>
  <c r="EN457" i="98"/>
  <c r="BJ457" i="98"/>
  <c r="EJ456" i="98"/>
  <c r="EU456" i="98" s="1"/>
  <c r="BF456" i="98"/>
  <c r="EN453" i="98"/>
  <c r="BJ453" i="98"/>
  <c r="EJ452" i="98"/>
  <c r="BF452" i="98"/>
  <c r="EN449" i="98"/>
  <c r="BJ449" i="98"/>
  <c r="EJ448" i="98"/>
  <c r="BF448" i="98"/>
  <c r="EO446" i="98"/>
  <c r="BK446" i="98"/>
  <c r="EO444" i="98"/>
  <c r="BK444" i="98"/>
  <c r="EJ442" i="98"/>
  <c r="BF442" i="98"/>
  <c r="EN439" i="98"/>
  <c r="BJ439" i="98"/>
  <c r="EN436" i="98"/>
  <c r="BJ436" i="98"/>
  <c r="EJ435" i="98"/>
  <c r="EU435" i="98" s="1"/>
  <c r="BF435" i="98"/>
  <c r="BJ468" i="98"/>
  <c r="EN468" i="98"/>
  <c r="EN444" i="98"/>
  <c r="BJ444" i="98"/>
  <c r="EL464" i="98"/>
  <c r="EU464" i="98" s="1"/>
  <c r="BH464" i="98"/>
  <c r="EL463" i="98"/>
  <c r="EU463" i="98" s="1"/>
  <c r="BH463" i="98"/>
  <c r="EL462" i="98"/>
  <c r="EU462" i="98" s="1"/>
  <c r="BH462" i="98"/>
  <c r="EL461" i="98"/>
  <c r="EU461" i="98" s="1"/>
  <c r="BH461" i="98"/>
  <c r="EL459" i="98"/>
  <c r="BH459" i="98"/>
  <c r="EL457" i="98"/>
  <c r="EU457" i="98" s="1"/>
  <c r="BH457" i="98"/>
  <c r="EL455" i="98"/>
  <c r="BH455" i="98"/>
  <c r="EL454" i="98"/>
  <c r="BH454" i="98"/>
  <c r="EL453" i="98"/>
  <c r="BH453" i="98"/>
  <c r="EL452" i="98"/>
  <c r="BH452" i="98"/>
  <c r="EL450" i="98"/>
  <c r="BH450" i="98"/>
  <c r="EL448" i="98"/>
  <c r="BH448" i="98"/>
  <c r="EL441" i="98"/>
  <c r="BH441" i="98"/>
  <c r="EP437" i="98"/>
  <c r="BL437" i="98"/>
  <c r="EP436" i="98"/>
  <c r="BL436" i="98"/>
  <c r="EL430" i="98"/>
  <c r="EU430" i="98" s="1"/>
  <c r="BH430" i="98"/>
  <c r="EL429" i="98"/>
  <c r="BH429" i="98"/>
  <c r="EL428" i="98"/>
  <c r="EU428" i="98" s="1"/>
  <c r="BH428" i="98"/>
  <c r="EL425" i="98"/>
  <c r="EU425" i="98" s="1"/>
  <c r="BH425" i="98"/>
  <c r="EL423" i="98"/>
  <c r="BH423" i="98"/>
  <c r="EL421" i="98"/>
  <c r="EU421" i="98" s="1"/>
  <c r="BH421" i="98"/>
  <c r="EP420" i="98"/>
  <c r="BL420" i="98"/>
  <c r="EL418" i="98"/>
  <c r="EU418" i="98" s="1"/>
  <c r="BH418" i="98"/>
  <c r="EP417" i="98"/>
  <c r="BL417" i="98"/>
  <c r="EP415" i="98"/>
  <c r="BL415" i="98"/>
  <c r="BJ409" i="98"/>
  <c r="EN409" i="98"/>
  <c r="BJ406" i="98"/>
  <c r="EN406" i="98"/>
  <c r="BJ404" i="98"/>
  <c r="EN404" i="98"/>
  <c r="BJ401" i="98"/>
  <c r="EN401" i="98"/>
  <c r="BF400" i="98"/>
  <c r="EJ400" i="98"/>
  <c r="BJ394" i="98"/>
  <c r="EN394" i="98"/>
  <c r="BJ392" i="98"/>
  <c r="EN392" i="98"/>
  <c r="EO412" i="98"/>
  <c r="BK412" i="98"/>
  <c r="EL411" i="98"/>
  <c r="BH411" i="98"/>
  <c r="EP406" i="98"/>
  <c r="BL406" i="98"/>
  <c r="EP404" i="98"/>
  <c r="BL404" i="98"/>
  <c r="EP401" i="98"/>
  <c r="BL401" i="98"/>
  <c r="EP399" i="98"/>
  <c r="BL399" i="98"/>
  <c r="EL394" i="98"/>
  <c r="BH394" i="98"/>
  <c r="EP393" i="98"/>
  <c r="BL393" i="98"/>
  <c r="EK383" i="98"/>
  <c r="BG383" i="98"/>
  <c r="EK379" i="98"/>
  <c r="BG379" i="98"/>
  <c r="EK377" i="98"/>
  <c r="BG377" i="98"/>
  <c r="EJ365" i="98"/>
  <c r="BF365" i="98"/>
  <c r="EN363" i="98"/>
  <c r="EU363" i="98" s="1"/>
  <c r="BJ363" i="98"/>
  <c r="AY361" i="98"/>
  <c r="EM361" i="98"/>
  <c r="AX361" i="98"/>
  <c r="BI361" i="98"/>
  <c r="AZ361" i="98"/>
  <c r="BJ413" i="98"/>
  <c r="EN413" i="98"/>
  <c r="BJ412" i="98"/>
  <c r="EN412" i="98"/>
  <c r="EO409" i="98"/>
  <c r="BK409" i="98"/>
  <c r="EO406" i="98"/>
  <c r="BK406" i="98"/>
  <c r="EO404" i="98"/>
  <c r="BK404" i="98"/>
  <c r="EO401" i="98"/>
  <c r="BK401" i="98"/>
  <c r="EO399" i="98"/>
  <c r="BK399" i="98"/>
  <c r="EK394" i="98"/>
  <c r="BG394" i="98"/>
  <c r="EO393" i="98"/>
  <c r="BK393" i="98"/>
  <c r="EN383" i="98"/>
  <c r="BJ383" i="98"/>
  <c r="EN378" i="98"/>
  <c r="EU378" i="98" s="1"/>
  <c r="BJ378" i="98"/>
  <c r="EJ377" i="98"/>
  <c r="BF377" i="98"/>
  <c r="EN368" i="98"/>
  <c r="BJ368" i="98"/>
  <c r="EL359" i="98"/>
  <c r="EU359" i="98" s="1"/>
  <c r="BH359" i="98"/>
  <c r="EL357" i="98"/>
  <c r="EU357" i="98" s="1"/>
  <c r="BH357" i="98"/>
  <c r="EL355" i="98"/>
  <c r="EU355" i="98" s="1"/>
  <c r="BH355" i="98"/>
  <c r="EP354" i="98"/>
  <c r="BL354" i="98"/>
  <c r="BF318" i="98"/>
  <c r="EJ318" i="98"/>
  <c r="EU318" i="98" s="1"/>
  <c r="BF316" i="98"/>
  <c r="EJ316" i="98"/>
  <c r="BF314" i="98"/>
  <c r="EJ314" i="98"/>
  <c r="EU314" i="98" s="1"/>
  <c r="BF312" i="98"/>
  <c r="EJ312" i="98"/>
  <c r="BF310" i="98"/>
  <c r="EJ310" i="98"/>
  <c r="EU310" i="98" s="1"/>
  <c r="BF308" i="98"/>
  <c r="EJ308" i="98"/>
  <c r="BF306" i="98"/>
  <c r="EJ306" i="98"/>
  <c r="EU306" i="98" s="1"/>
  <c r="BF304" i="98"/>
  <c r="EJ304" i="98"/>
  <c r="BF302" i="98"/>
  <c r="EJ302" i="98"/>
  <c r="EU302" i="98" s="1"/>
  <c r="BF300" i="98"/>
  <c r="EJ300" i="98"/>
  <c r="BF298" i="98"/>
  <c r="EJ298" i="98"/>
  <c r="EU298" i="98" s="1"/>
  <c r="BF296" i="98"/>
  <c r="EJ296" i="98"/>
  <c r="BF294" i="98"/>
  <c r="EJ294" i="98"/>
  <c r="EU294" i="98" s="1"/>
  <c r="BF292" i="98"/>
  <c r="EJ292" i="98"/>
  <c r="BF290" i="98"/>
  <c r="EJ290" i="98"/>
  <c r="BF402" i="98"/>
  <c r="AV402" i="98"/>
  <c r="EJ402" i="98"/>
  <c r="AU402" i="98"/>
  <c r="EJ340" i="98"/>
  <c r="EU340" i="98" s="1"/>
  <c r="BF340" i="98"/>
  <c r="EN339" i="98"/>
  <c r="BJ339" i="98"/>
  <c r="EJ336" i="98"/>
  <c r="EU336" i="98" s="1"/>
  <c r="BF336" i="98"/>
  <c r="EN335" i="98"/>
  <c r="BJ335" i="98"/>
  <c r="EJ332" i="98"/>
  <c r="EU332" i="98" s="1"/>
  <c r="BF332" i="98"/>
  <c r="EN331" i="98"/>
  <c r="BJ331" i="98"/>
  <c r="EP316" i="98"/>
  <c r="BL316" i="98"/>
  <c r="EL315" i="98"/>
  <c r="BH315" i="98"/>
  <c r="EP312" i="98"/>
  <c r="BL312" i="98"/>
  <c r="EL311" i="98"/>
  <c r="EU311" i="98" s="1"/>
  <c r="BH311" i="98"/>
  <c r="EP308" i="98"/>
  <c r="BL308" i="98"/>
  <c r="EL307" i="98"/>
  <c r="BH307" i="98"/>
  <c r="EP304" i="98"/>
  <c r="BL304" i="98"/>
  <c r="EL303" i="98"/>
  <c r="BH303" i="98"/>
  <c r="EP300" i="98"/>
  <c r="BL300" i="98"/>
  <c r="EL299" i="98"/>
  <c r="BH299" i="98"/>
  <c r="EP296" i="98"/>
  <c r="BL296" i="98"/>
  <c r="EL295" i="98"/>
  <c r="BH295" i="98"/>
  <c r="EP292" i="98"/>
  <c r="BL292" i="98"/>
  <c r="EL291" i="98"/>
  <c r="BH291" i="98"/>
  <c r="EP269" i="98"/>
  <c r="BL269" i="98"/>
  <c r="EK287" i="98"/>
  <c r="BG287" i="98"/>
  <c r="EK286" i="98"/>
  <c r="BG286" i="98"/>
  <c r="EK285" i="98"/>
  <c r="BG285" i="98"/>
  <c r="EO284" i="98"/>
  <c r="BK284" i="98"/>
  <c r="EN272" i="98"/>
  <c r="BJ272" i="98"/>
  <c r="BL266" i="98"/>
  <c r="EP266" i="98"/>
  <c r="EO263" i="98"/>
  <c r="BK263" i="98"/>
  <c r="BF250" i="98"/>
  <c r="EJ250" i="98"/>
  <c r="EV657" i="98"/>
  <c r="EN433" i="98"/>
  <c r="EU433" i="98" s="1"/>
  <c r="BJ433" i="98"/>
  <c r="W431" i="98"/>
  <c r="V431" i="98"/>
  <c r="U431" i="98"/>
  <c r="EG431" i="98"/>
  <c r="X431" i="98"/>
  <c r="BC411" i="98"/>
  <c r="ES411" i="98" s="1"/>
  <c r="ES167" i="98"/>
  <c r="EH617" i="98"/>
  <c r="EV617" i="98" s="1"/>
  <c r="AC617" i="98"/>
  <c r="AO617" i="98" s="1"/>
  <c r="AF617" i="98"/>
  <c r="AR617" i="98" s="1"/>
  <c r="AD617" i="98"/>
  <c r="AP617" i="98" s="1"/>
  <c r="AE617" i="98"/>
  <c r="AQ617" i="98" s="1"/>
  <c r="EM615" i="98"/>
  <c r="AX615" i="98"/>
  <c r="BI615" i="98"/>
  <c r="AY615" i="98"/>
  <c r="AZ615" i="98"/>
  <c r="BH272" i="98"/>
  <c r="EL272" i="98"/>
  <c r="EK266" i="98"/>
  <c r="BG266" i="98"/>
  <c r="BL265" i="98"/>
  <c r="EP265" i="98"/>
  <c r="BH261" i="98"/>
  <c r="EL261" i="98"/>
  <c r="EN267" i="98"/>
  <c r="BJ267" i="98"/>
  <c r="BL264" i="98"/>
  <c r="EP264" i="98"/>
  <c r="EO251" i="98"/>
  <c r="BK251" i="98"/>
  <c r="EV216" i="98"/>
  <c r="BJ411" i="98"/>
  <c r="EN411" i="98"/>
  <c r="EO410" i="98"/>
  <c r="BK410" i="98"/>
  <c r="N400" i="98"/>
  <c r="AL400" i="98" s="1"/>
  <c r="M400" i="98"/>
  <c r="AK400" i="98" s="1"/>
  <c r="P400" i="98"/>
  <c r="AN400" i="98" s="1"/>
  <c r="EF400" i="98"/>
  <c r="O400" i="98"/>
  <c r="AM400" i="98" s="1"/>
  <c r="EO154" i="98"/>
  <c r="EU154" i="98" s="1"/>
  <c r="BK154" i="98"/>
  <c r="U391" i="98"/>
  <c r="X391" i="98"/>
  <c r="EG391" i="98"/>
  <c r="W391" i="98"/>
  <c r="V391" i="98"/>
  <c r="EU132" i="98"/>
  <c r="EL374" i="98"/>
  <c r="BH374" i="98"/>
  <c r="EL371" i="98"/>
  <c r="BH371" i="98"/>
  <c r="EV288" i="98"/>
  <c r="BJ258" i="98"/>
  <c r="EN258" i="98"/>
  <c r="CK657" i="98"/>
  <c r="CK440" i="98"/>
  <c r="BL196" i="98"/>
  <c r="EP196" i="98"/>
  <c r="EF431" i="98"/>
  <c r="O431" i="98"/>
  <c r="AM431" i="98" s="1"/>
  <c r="N431" i="98"/>
  <c r="AL431" i="98" s="1"/>
  <c r="M431" i="98"/>
  <c r="AK431" i="98" s="1"/>
  <c r="P431" i="98"/>
  <c r="AN431" i="98" s="1"/>
  <c r="BC429" i="98"/>
  <c r="ES429" i="98" s="1"/>
  <c r="ES185" i="98"/>
  <c r="EP183" i="98"/>
  <c r="BL183" i="98"/>
  <c r="CK620" i="98"/>
  <c r="CK403" i="98"/>
  <c r="N399" i="98"/>
  <c r="AL399" i="98" s="1"/>
  <c r="M399" i="98"/>
  <c r="AK399" i="98" s="1"/>
  <c r="P399" i="98"/>
  <c r="AN399" i="98" s="1"/>
  <c r="EF399" i="98"/>
  <c r="O399" i="98"/>
  <c r="AM399" i="98" s="1"/>
  <c r="CK606" i="98"/>
  <c r="CK389" i="98"/>
  <c r="EK136" i="98"/>
  <c r="BG136" i="98"/>
  <c r="CK585" i="98"/>
  <c r="CK368" i="98"/>
  <c r="CK582" i="98"/>
  <c r="CK365" i="98"/>
  <c r="CK559" i="98"/>
  <c r="CK342" i="98"/>
  <c r="CK546" i="98"/>
  <c r="CK329" i="98"/>
  <c r="CK533" i="98"/>
  <c r="CK316" i="98"/>
  <c r="CK517" i="98"/>
  <c r="CK300" i="98"/>
  <c r="CK504" i="98"/>
  <c r="CK287" i="98"/>
  <c r="AE284" i="98"/>
  <c r="AQ284" i="98" s="1"/>
  <c r="AD284" i="98"/>
  <c r="AP284" i="98" s="1"/>
  <c r="AC284" i="98"/>
  <c r="AO284" i="98" s="1"/>
  <c r="EH284" i="98"/>
  <c r="EV284" i="98" s="1"/>
  <c r="AF284" i="98"/>
  <c r="AR284" i="98" s="1"/>
  <c r="CK593" i="98"/>
  <c r="CK376" i="98"/>
  <c r="BC575" i="98"/>
  <c r="ES575" i="98" s="1"/>
  <c r="BC358" i="98"/>
  <c r="ES358" i="98" s="1"/>
  <c r="ES114" i="98"/>
  <c r="W562" i="98"/>
  <c r="U562" i="98"/>
  <c r="EG562" i="98"/>
  <c r="X562" i="98"/>
  <c r="V562" i="98"/>
  <c r="U501" i="98"/>
  <c r="X501" i="98"/>
  <c r="EG501" i="98"/>
  <c r="W501" i="98"/>
  <c r="V501" i="98"/>
  <c r="EN252" i="98"/>
  <c r="BJ252" i="98"/>
  <c r="CK655" i="98"/>
  <c r="CK438" i="98"/>
  <c r="BJ194" i="98"/>
  <c r="EN194" i="98"/>
  <c r="BD434" i="98"/>
  <c r="ET434" i="98" s="1"/>
  <c r="ET190" i="98"/>
  <c r="EV433" i="98"/>
  <c r="EH646" i="98"/>
  <c r="AF646" i="98"/>
  <c r="AR646" i="98" s="1"/>
  <c r="AE646" i="98"/>
  <c r="AQ646" i="98" s="1"/>
  <c r="AC646" i="98"/>
  <c r="AO646" i="98" s="1"/>
  <c r="AD646" i="98"/>
  <c r="AP646" i="98" s="1"/>
  <c r="EJ173" i="98"/>
  <c r="EU173" i="98" s="1"/>
  <c r="BF173" i="98"/>
  <c r="W417" i="98"/>
  <c r="V417" i="98"/>
  <c r="U417" i="98"/>
  <c r="EG417" i="98"/>
  <c r="X417" i="98"/>
  <c r="V400" i="98"/>
  <c r="U400" i="98"/>
  <c r="EG400" i="98"/>
  <c r="X400" i="98"/>
  <c r="W400" i="98"/>
  <c r="BF136" i="98"/>
  <c r="EJ136" i="98"/>
  <c r="EN343" i="98"/>
  <c r="EU343" i="98" s="1"/>
  <c r="BJ343" i="98"/>
  <c r="BL287" i="98"/>
  <c r="EP287" i="98"/>
  <c r="EO286" i="98"/>
  <c r="BK286" i="98"/>
  <c r="EO261" i="98"/>
  <c r="BK261" i="98"/>
  <c r="CK664" i="98"/>
  <c r="CK447" i="98"/>
  <c r="X664" i="98"/>
  <c r="V664" i="98"/>
  <c r="W664" i="98"/>
  <c r="EG664" i="98"/>
  <c r="EV664" i="98" s="1"/>
  <c r="U664" i="98"/>
  <c r="EJ267" i="98"/>
  <c r="BF267" i="98"/>
  <c r="EK263" i="98"/>
  <c r="BG263" i="98"/>
  <c r="BH263" i="98"/>
  <c r="EL263" i="98"/>
  <c r="BB438" i="98"/>
  <c r="ER438" i="98" s="1"/>
  <c r="ER194" i="98"/>
  <c r="EN185" i="98"/>
  <c r="BJ185" i="98"/>
  <c r="CK643" i="98"/>
  <c r="CK426" i="98"/>
  <c r="BJ136" i="98"/>
  <c r="EN136" i="98"/>
  <c r="EU97" i="98"/>
  <c r="CK649" i="98"/>
  <c r="CK432" i="98"/>
  <c r="AW431" i="98"/>
  <c r="EM187" i="98"/>
  <c r="BI187" i="98"/>
  <c r="AZ187" i="98"/>
  <c r="AX187" i="98"/>
  <c r="AU431" i="98"/>
  <c r="EI431" i="98"/>
  <c r="AT431" i="98"/>
  <c r="BE431" i="98"/>
  <c r="AV431" i="98"/>
  <c r="EK152" i="98"/>
  <c r="BG152" i="98"/>
  <c r="BE612" i="98"/>
  <c r="EI612" i="98"/>
  <c r="AT612" i="98"/>
  <c r="AU612" i="98"/>
  <c r="AV612" i="98"/>
  <c r="EJ117" i="98"/>
  <c r="AW334" i="98"/>
  <c r="BI90" i="98"/>
  <c r="AZ90" i="98"/>
  <c r="EM90" i="98"/>
  <c r="AX90" i="98"/>
  <c r="AY90" i="98"/>
  <c r="P507" i="98"/>
  <c r="AN507" i="98" s="1"/>
  <c r="EF507" i="98"/>
  <c r="O507" i="98"/>
  <c r="AM507" i="98" s="1"/>
  <c r="N507" i="98"/>
  <c r="AL507" i="98" s="1"/>
  <c r="M507" i="98"/>
  <c r="AK507" i="98" s="1"/>
  <c r="CK497" i="98"/>
  <c r="CK280" i="98"/>
  <c r="AU268" i="98"/>
  <c r="EI268" i="98"/>
  <c r="AT268" i="98"/>
  <c r="BE268" i="98"/>
  <c r="AV268" i="98"/>
  <c r="EV167" i="98"/>
  <c r="EV166" i="98"/>
  <c r="EU166" i="98"/>
  <c r="EI397" i="98"/>
  <c r="AT397" i="98"/>
  <c r="BE397" i="98"/>
  <c r="AV397" i="98"/>
  <c r="AU397" i="98"/>
  <c r="CK584" i="98"/>
  <c r="CK367" i="98"/>
  <c r="CK581" i="98"/>
  <c r="CK364" i="98"/>
  <c r="CK570" i="98"/>
  <c r="CK353" i="98"/>
  <c r="EK75" i="98"/>
  <c r="BG75" i="98"/>
  <c r="BF265" i="98"/>
  <c r="EJ265" i="98"/>
  <c r="BF11" i="98"/>
  <c r="EJ11" i="98"/>
  <c r="EU11" i="98" s="1"/>
  <c r="BH6" i="98"/>
  <c r="EL6" i="98"/>
  <c r="CK598" i="98"/>
  <c r="CK381" i="98"/>
  <c r="EL7" i="98"/>
  <c r="BH7" i="98"/>
  <c r="AR5" i="98"/>
  <c r="EJ16" i="98"/>
  <c r="EU16" i="98" s="1"/>
  <c r="BF16" i="98"/>
  <c r="EJ14" i="98"/>
  <c r="EU14" i="98" s="1"/>
  <c r="BF14" i="98"/>
  <c r="AV256" i="98"/>
  <c r="AU256" i="98"/>
  <c r="EI256" i="98"/>
  <c r="AT256" i="98"/>
  <c r="BE256" i="98"/>
  <c r="AU471" i="98"/>
  <c r="EI471" i="98"/>
  <c r="AT471" i="98"/>
  <c r="BE471" i="98"/>
  <c r="AV471" i="98"/>
  <c r="AV252" i="98"/>
  <c r="AU252" i="98"/>
  <c r="EI252" i="98"/>
  <c r="AT252" i="98"/>
  <c r="BE252" i="98"/>
  <c r="BB442" i="98"/>
  <c r="ER442" i="98" s="1"/>
  <c r="ER198" i="98"/>
  <c r="EU198" i="98" s="1"/>
  <c r="BE625" i="98"/>
  <c r="AV625" i="98"/>
  <c r="EI625" i="98"/>
  <c r="AT625" i="98"/>
  <c r="AU625" i="98"/>
  <c r="BH101" i="98"/>
  <c r="EL101" i="98"/>
  <c r="CK532" i="98"/>
  <c r="CK315" i="98"/>
  <c r="CK516" i="98"/>
  <c r="CK299" i="98"/>
  <c r="EL30" i="98"/>
  <c r="BH30" i="98"/>
  <c r="CK490" i="98"/>
  <c r="CK273" i="98"/>
  <c r="BG22" i="98"/>
  <c r="EK22" i="98"/>
  <c r="EV20" i="98"/>
  <c r="BE257" i="98"/>
  <c r="AV257" i="98"/>
  <c r="EI257" i="98"/>
  <c r="AU257" i="98"/>
  <c r="AT257" i="98"/>
  <c r="BE472" i="98"/>
  <c r="AV472" i="98"/>
  <c r="AU472" i="98"/>
  <c r="EI472" i="98"/>
  <c r="AT472" i="98"/>
  <c r="BE470" i="98"/>
  <c r="AV470" i="98"/>
  <c r="AU470" i="98"/>
  <c r="EI470" i="98"/>
  <c r="AT470" i="98"/>
  <c r="EJ6" i="98"/>
  <c r="BF6" i="98"/>
  <c r="CK641" i="98"/>
  <c r="CK424" i="98"/>
  <c r="CK562" i="98"/>
  <c r="CK345" i="98"/>
  <c r="V293" i="98"/>
  <c r="U293" i="98"/>
  <c r="EG293" i="98"/>
  <c r="X293" i="98"/>
  <c r="W293" i="98"/>
  <c r="CK503" i="98"/>
  <c r="CK286" i="98"/>
  <c r="BH40" i="98"/>
  <c r="EL40" i="98"/>
  <c r="BF22" i="98"/>
  <c r="EJ22" i="98"/>
  <c r="EK481" i="98"/>
  <c r="BG481" i="98"/>
  <c r="CK472" i="98"/>
  <c r="CK255" i="98"/>
  <c r="BG10" i="98"/>
  <c r="EK10" i="98"/>
  <c r="BG8" i="98"/>
  <c r="EK8" i="98"/>
  <c r="AP5" i="98"/>
  <c r="EJ129" i="98"/>
  <c r="BF129" i="98"/>
  <c r="BH129" i="98"/>
  <c r="EL129" i="98"/>
  <c r="EO152" i="98"/>
  <c r="BK152" i="98"/>
  <c r="EJ127" i="98"/>
  <c r="BF127" i="98"/>
  <c r="BH127" i="98"/>
  <c r="EL127" i="98"/>
  <c r="EJ130" i="98"/>
  <c r="BF130" i="98"/>
  <c r="C25" i="86"/>
  <c r="C36" i="83"/>
  <c r="R82" i="90"/>
  <c r="D28" i="90" s="1"/>
  <c r="C16" i="39"/>
  <c r="C17" i="39" s="1"/>
  <c r="C28" i="88"/>
  <c r="V113" i="94"/>
  <c r="R113" i="94"/>
  <c r="S113" i="94"/>
  <c r="P130" i="89"/>
  <c r="Y130" i="89" s="1"/>
  <c r="P128" i="89"/>
  <c r="Y128" i="89" s="1"/>
  <c r="P129" i="89"/>
  <c r="Y129" i="89" s="1"/>
  <c r="P127" i="89"/>
  <c r="Y127" i="89" s="1"/>
  <c r="P126" i="89"/>
  <c r="Y126" i="89" s="1"/>
  <c r="C25" i="84"/>
  <c r="C27" i="85"/>
  <c r="C34" i="76"/>
  <c r="C25" i="76"/>
  <c r="C11" i="76"/>
  <c r="R164" i="1" s="1"/>
  <c r="C41" i="76"/>
  <c r="C34" i="74"/>
  <c r="C25" i="74"/>
  <c r="C11" i="74"/>
  <c r="R124" i="1" s="1"/>
  <c r="C41" i="74"/>
  <c r="D29" i="79"/>
  <c r="C8" i="79"/>
  <c r="C10" i="79" s="1"/>
  <c r="C72" i="95"/>
  <c r="M69" i="95"/>
  <c r="K69" i="95"/>
  <c r="S114" i="94"/>
  <c r="R114" i="94"/>
  <c r="V114" i="94"/>
  <c r="X114" i="94" s="1"/>
  <c r="T115" i="94"/>
  <c r="Q115" i="94"/>
  <c r="Q106" i="92"/>
  <c r="R106" i="92"/>
  <c r="S106" i="92" s="1"/>
  <c r="T106" i="92" s="1"/>
  <c r="P106" i="92"/>
  <c r="C25" i="87"/>
  <c r="C38" i="83"/>
  <c r="C37" i="82"/>
  <c r="C24" i="79"/>
  <c r="C6" i="82"/>
  <c r="K249" i="78"/>
  <c r="D42" i="78" s="1"/>
  <c r="K239" i="78"/>
  <c r="D32" i="78" s="1"/>
  <c r="L248" i="77"/>
  <c r="M248" i="77"/>
  <c r="M96" i="76"/>
  <c r="C36" i="73"/>
  <c r="C23" i="73"/>
  <c r="C28" i="73"/>
  <c r="C14" i="73"/>
  <c r="S102" i="45"/>
  <c r="O102" i="45" s="1"/>
  <c r="R102" i="45"/>
  <c r="C115" i="45"/>
  <c r="Q102" i="45"/>
  <c r="C115" i="46"/>
  <c r="Q102" i="46"/>
  <c r="S102" i="46"/>
  <c r="O102" i="46" s="1"/>
  <c r="R102" i="46"/>
  <c r="S111" i="37"/>
  <c r="S101" i="37"/>
  <c r="Q105" i="93"/>
  <c r="R105" i="93"/>
  <c r="S105" i="93" s="1"/>
  <c r="P105" i="93"/>
  <c r="E112" i="93"/>
  <c r="R126" i="89"/>
  <c r="AA126" i="89" s="1"/>
  <c r="Z126" i="89"/>
  <c r="Z130" i="89"/>
  <c r="R130" i="89"/>
  <c r="AA130" i="89" s="1"/>
  <c r="K127" i="88"/>
  <c r="C11" i="85"/>
  <c r="C28" i="85" s="1"/>
  <c r="C7" i="82"/>
  <c r="M249" i="78"/>
  <c r="L249" i="78"/>
  <c r="M245" i="78"/>
  <c r="I5" i="78" s="1"/>
  <c r="L245" i="78"/>
  <c r="L252" i="77"/>
  <c r="M252" i="77"/>
  <c r="L244" i="77"/>
  <c r="C10" i="77" s="1"/>
  <c r="M244" i="77"/>
  <c r="C9" i="76"/>
  <c r="C8" i="75"/>
  <c r="C9" i="74"/>
  <c r="C14" i="72"/>
  <c r="C36" i="72"/>
  <c r="C23" i="72"/>
  <c r="C28" i="72"/>
  <c r="K243" i="78"/>
  <c r="D36" i="78" s="1"/>
  <c r="K233" i="78"/>
  <c r="C10" i="74"/>
  <c r="C31" i="82"/>
  <c r="C8" i="82"/>
  <c r="C47" i="81"/>
  <c r="E235" i="80"/>
  <c r="K235" i="80" s="1"/>
  <c r="E230" i="80"/>
  <c r="K230" i="80" s="1"/>
  <c r="R105" i="49"/>
  <c r="R115" i="49" s="1"/>
  <c r="C10" i="49" s="1"/>
  <c r="S105" i="49"/>
  <c r="O105" i="49" s="1"/>
  <c r="N105" i="49" s="1"/>
  <c r="P105" i="49" s="1"/>
  <c r="Q105" i="49"/>
  <c r="Q115" i="49" s="1"/>
  <c r="C9" i="49" s="1"/>
  <c r="R105" i="46"/>
  <c r="Q105" i="46"/>
  <c r="S105" i="46"/>
  <c r="O105" i="46" s="1"/>
  <c r="N105" i="46" s="1"/>
  <c r="P105" i="46" s="1"/>
  <c r="T99" i="37"/>
  <c r="C112" i="37"/>
  <c r="Q107" i="46"/>
  <c r="S107" i="46"/>
  <c r="O107" i="46" s="1"/>
  <c r="N107" i="46" s="1"/>
  <c r="P107" i="46" s="1"/>
  <c r="R107" i="46"/>
  <c r="Q104" i="47"/>
  <c r="S104" i="47"/>
  <c r="O104" i="47" s="1"/>
  <c r="N104" i="47" s="1"/>
  <c r="P104" i="47" s="1"/>
  <c r="R104" i="47"/>
  <c r="R113" i="45"/>
  <c r="Q113" i="45"/>
  <c r="S113" i="45"/>
  <c r="O113" i="45" s="1"/>
  <c r="N113" i="45" s="1"/>
  <c r="P113" i="45" s="1"/>
  <c r="U111" i="37"/>
  <c r="Q111" i="37" s="1"/>
  <c r="P111" i="37" s="1"/>
  <c r="R111" i="37" s="1"/>
  <c r="C11" i="39"/>
  <c r="U102" i="37"/>
  <c r="Q102" i="37" s="1"/>
  <c r="P102" i="37" s="1"/>
  <c r="R102" i="37" s="1"/>
  <c r="Q110" i="46"/>
  <c r="R110" i="46"/>
  <c r="S110" i="46"/>
  <c r="O110" i="46" s="1"/>
  <c r="N110" i="46" s="1"/>
  <c r="P110" i="46" s="1"/>
  <c r="U106" i="38"/>
  <c r="Q106" i="38" s="1"/>
  <c r="P106" i="38" s="1"/>
  <c r="R106" i="38" s="1"/>
  <c r="S106" i="37"/>
  <c r="U99" i="37"/>
  <c r="Q99" i="37" s="1"/>
  <c r="U102" i="36"/>
  <c r="Q102" i="36" s="1"/>
  <c r="P102" i="36" s="1"/>
  <c r="R102" i="36" s="1"/>
  <c r="S108" i="37"/>
  <c r="C6" i="44"/>
  <c r="V102" i="44"/>
  <c r="W102" i="44" s="1"/>
  <c r="C19" i="44" s="1"/>
  <c r="C37" i="44" s="1"/>
  <c r="C15" i="40"/>
  <c r="C11" i="40"/>
  <c r="S106" i="36"/>
  <c r="AA137" i="94"/>
  <c r="C9" i="97"/>
  <c r="C28" i="97"/>
  <c r="Q111" i="93"/>
  <c r="R111" i="93"/>
  <c r="S111" i="93" s="1"/>
  <c r="P111" i="93"/>
  <c r="F97" i="93"/>
  <c r="F104" i="93"/>
  <c r="C28" i="89"/>
  <c r="I5" i="92"/>
  <c r="C5" i="92"/>
  <c r="F5" i="92"/>
  <c r="C52" i="85"/>
  <c r="C17" i="83"/>
  <c r="C24" i="83"/>
  <c r="R112" i="1" s="1"/>
  <c r="C56" i="82"/>
  <c r="K252" i="78"/>
  <c r="D45" i="78" s="1"/>
  <c r="K246" i="77"/>
  <c r="D39" i="77" s="1"/>
  <c r="K236" i="77"/>
  <c r="D29" i="77" s="1"/>
  <c r="N222" i="81"/>
  <c r="C7" i="81" s="1"/>
  <c r="C6" i="81"/>
  <c r="C7" i="75"/>
  <c r="S112" i="46"/>
  <c r="O112" i="46" s="1"/>
  <c r="N112" i="46" s="1"/>
  <c r="P112" i="46" s="1"/>
  <c r="Q112" i="46"/>
  <c r="R112" i="46"/>
  <c r="Q112" i="47"/>
  <c r="S112" i="47"/>
  <c r="O112" i="47" s="1"/>
  <c r="N112" i="47" s="1"/>
  <c r="P112" i="47" s="1"/>
  <c r="R112" i="47"/>
  <c r="U101" i="37"/>
  <c r="Q101" i="37" s="1"/>
  <c r="P101" i="37" s="1"/>
  <c r="R101" i="37" s="1"/>
  <c r="Q107" i="92"/>
  <c r="R107" i="92"/>
  <c r="S107" i="92" s="1"/>
  <c r="T107" i="92" s="1"/>
  <c r="P107" i="92"/>
  <c r="C5" i="93"/>
  <c r="I5" i="93"/>
  <c r="F5" i="93"/>
  <c r="C53" i="81"/>
  <c r="K242" i="77"/>
  <c r="D35" i="77" s="1"/>
  <c r="K252" i="77"/>
  <c r="D45" i="77" s="1"/>
  <c r="T117" i="94"/>
  <c r="W117" i="94"/>
  <c r="Q105" i="92"/>
  <c r="R105" i="92"/>
  <c r="S105" i="92" s="1"/>
  <c r="P105" i="92"/>
  <c r="T85" i="90"/>
  <c r="Q85" i="90"/>
  <c r="U85" i="90" s="1"/>
  <c r="Q110" i="92"/>
  <c r="R110" i="92"/>
  <c r="S110" i="92" s="1"/>
  <c r="T110" i="92" s="1"/>
  <c r="P110" i="92"/>
  <c r="U107" i="92"/>
  <c r="F87" i="91"/>
  <c r="N82" i="91"/>
  <c r="O82" i="91"/>
  <c r="Q86" i="91"/>
  <c r="U86" i="91" s="1"/>
  <c r="T86" i="91"/>
  <c r="U111" i="93"/>
  <c r="C64" i="85"/>
  <c r="C58" i="82"/>
  <c r="C32" i="85"/>
  <c r="C32" i="81"/>
  <c r="K238" i="78"/>
  <c r="D31" i="78" s="1"/>
  <c r="K248" i="78"/>
  <c r="D41" i="78" s="1"/>
  <c r="C11" i="81"/>
  <c r="C28" i="81" s="1"/>
  <c r="K250" i="77"/>
  <c r="D43" i="77" s="1"/>
  <c r="K240" i="77"/>
  <c r="D33" i="77" s="1"/>
  <c r="C60" i="81"/>
  <c r="C44" i="81"/>
  <c r="C31" i="81"/>
  <c r="C8" i="81"/>
  <c r="C57" i="81"/>
  <c r="C6" i="78"/>
  <c r="C5" i="77"/>
  <c r="C9" i="75"/>
  <c r="C8" i="76"/>
  <c r="C15" i="75"/>
  <c r="I5" i="75"/>
  <c r="C15" i="74"/>
  <c r="I5" i="74"/>
  <c r="K247" i="78"/>
  <c r="D40" i="78" s="1"/>
  <c r="C10" i="76"/>
  <c r="K235" i="77"/>
  <c r="D28" i="77" s="1"/>
  <c r="E233" i="80"/>
  <c r="K233" i="80" s="1"/>
  <c r="E228" i="80"/>
  <c r="K228" i="80" s="1"/>
  <c r="S110" i="47"/>
  <c r="O110" i="47" s="1"/>
  <c r="N110" i="47" s="1"/>
  <c r="P110" i="47" s="1"/>
  <c r="R110" i="47"/>
  <c r="Q110" i="47"/>
  <c r="S108" i="46"/>
  <c r="O108" i="46" s="1"/>
  <c r="N108" i="46" s="1"/>
  <c r="P108" i="46" s="1"/>
  <c r="Q108" i="46"/>
  <c r="R108" i="46"/>
  <c r="R113" i="46"/>
  <c r="Q113" i="46"/>
  <c r="S113" i="46"/>
  <c r="O113" i="46" s="1"/>
  <c r="N113" i="46" s="1"/>
  <c r="P113" i="46" s="1"/>
  <c r="S104" i="46"/>
  <c r="O104" i="46" s="1"/>
  <c r="N104" i="46" s="1"/>
  <c r="P104" i="46" s="1"/>
  <c r="R104" i="46"/>
  <c r="Q104" i="46"/>
  <c r="S104" i="38"/>
  <c r="T104" i="37"/>
  <c r="S104" i="37"/>
  <c r="U102" i="38"/>
  <c r="Q102" i="38" s="1"/>
  <c r="P102" i="38" s="1"/>
  <c r="R102" i="38" s="1"/>
  <c r="S104" i="45"/>
  <c r="O104" i="45" s="1"/>
  <c r="N104" i="45" s="1"/>
  <c r="P104" i="45" s="1"/>
  <c r="Q104" i="45"/>
  <c r="R104" i="45"/>
  <c r="U111" i="38"/>
  <c r="Q111" i="38" s="1"/>
  <c r="P111" i="38" s="1"/>
  <c r="R111" i="38" s="1"/>
  <c r="C15" i="41"/>
  <c r="C11" i="41"/>
  <c r="R163" i="1" s="1"/>
  <c r="S102" i="38"/>
  <c r="S110" i="38"/>
  <c r="U103" i="38"/>
  <c r="Q103" i="38" s="1"/>
  <c r="P103" i="38" s="1"/>
  <c r="R103" i="38" s="1"/>
  <c r="U104" i="37"/>
  <c r="Q104" i="37" s="1"/>
  <c r="P104" i="37" s="1"/>
  <c r="R104" i="37" s="1"/>
  <c r="U106" i="36"/>
  <c r="Q106" i="36" s="1"/>
  <c r="P106" i="36" s="1"/>
  <c r="R106" i="36" s="1"/>
  <c r="U105" i="37"/>
  <c r="Q105" i="37" s="1"/>
  <c r="P105" i="37" s="1"/>
  <c r="R105" i="37" s="1"/>
  <c r="R115" i="48"/>
  <c r="C10" i="48" s="1"/>
  <c r="S107" i="37"/>
  <c r="C112" i="36"/>
  <c r="P102" i="49"/>
  <c r="F121" i="94"/>
  <c r="T113" i="94"/>
  <c r="W113" i="94"/>
  <c r="Q109" i="92"/>
  <c r="R109" i="92"/>
  <c r="S109" i="92" s="1"/>
  <c r="P109" i="92"/>
  <c r="S82" i="90"/>
  <c r="Q83" i="91"/>
  <c r="U83" i="91" s="1"/>
  <c r="T83" i="91"/>
  <c r="Q84" i="91"/>
  <c r="U84" i="91" s="1"/>
  <c r="T84" i="91"/>
  <c r="Z126" i="88"/>
  <c r="R126" i="88"/>
  <c r="AA126" i="88" s="1"/>
  <c r="E112" i="92"/>
  <c r="C62" i="83"/>
  <c r="C50" i="82"/>
  <c r="C8" i="83"/>
  <c r="K234" i="78"/>
  <c r="D27" i="78" s="1"/>
  <c r="K244" i="78"/>
  <c r="D37" i="78" s="1"/>
  <c r="C33" i="83"/>
  <c r="K242" i="78"/>
  <c r="D35" i="78" s="1"/>
  <c r="C8" i="74"/>
  <c r="D26" i="77"/>
  <c r="E229" i="80"/>
  <c r="K229" i="80" s="1"/>
  <c r="E234" i="80"/>
  <c r="K234" i="80" s="1"/>
  <c r="R103" i="46"/>
  <c r="S103" i="46"/>
  <c r="O103" i="46" s="1"/>
  <c r="N103" i="46" s="1"/>
  <c r="P103" i="46" s="1"/>
  <c r="Q103" i="46"/>
  <c r="C10" i="40"/>
  <c r="C112" i="38"/>
  <c r="T99" i="38"/>
  <c r="T112" i="38" s="1"/>
  <c r="C10" i="38" s="1"/>
  <c r="U107" i="37"/>
  <c r="Q107" i="37" s="1"/>
  <c r="P107" i="37" s="1"/>
  <c r="R107" i="37" s="1"/>
  <c r="C6" i="48"/>
  <c r="V102" i="48"/>
  <c r="W102" i="48" s="1"/>
  <c r="C19" i="48" s="1"/>
  <c r="C37" i="48" s="1"/>
  <c r="Q115" i="44"/>
  <c r="C9" i="44" s="1"/>
  <c r="C24" i="41"/>
  <c r="C16" i="41"/>
  <c r="C17" i="41" s="1"/>
  <c r="C14" i="41"/>
  <c r="K71" i="96"/>
  <c r="M71" i="96"/>
  <c r="J71" i="96"/>
  <c r="J72" i="96" s="1"/>
  <c r="C9" i="96" s="1"/>
  <c r="W137" i="94"/>
  <c r="V137" i="94"/>
  <c r="S118" i="94"/>
  <c r="U118" i="94" s="1"/>
  <c r="R118" i="94"/>
  <c r="V118" i="94"/>
  <c r="N86" i="90"/>
  <c r="S86" i="90" s="1"/>
  <c r="M86" i="90"/>
  <c r="R86" i="90" s="1"/>
  <c r="D32" i="90" s="1"/>
  <c r="O86" i="90"/>
  <c r="P86" i="90" s="1"/>
  <c r="F87" i="90"/>
  <c r="W115" i="94"/>
  <c r="P82" i="90"/>
  <c r="Q85" i="91"/>
  <c r="U85" i="91" s="1"/>
  <c r="T85" i="91"/>
  <c r="N174" i="87"/>
  <c r="C9" i="87" s="1"/>
  <c r="Q110" i="93"/>
  <c r="R110" i="93"/>
  <c r="S110" i="93" s="1"/>
  <c r="T110" i="93" s="1"/>
  <c r="P110" i="93"/>
  <c r="C32" i="83"/>
  <c r="Q108" i="92"/>
  <c r="R108" i="92"/>
  <c r="S108" i="92" s="1"/>
  <c r="T108" i="92" s="1"/>
  <c r="P108" i="92"/>
  <c r="C48" i="85"/>
  <c r="C40" i="85"/>
  <c r="C60" i="83"/>
  <c r="C7" i="83"/>
  <c r="C64" i="82"/>
  <c r="C37" i="81"/>
  <c r="K240" i="78"/>
  <c r="D33" i="78" s="1"/>
  <c r="K250" i="78"/>
  <c r="D43" i="78" s="1"/>
  <c r="K234" i="77"/>
  <c r="D27" i="77" s="1"/>
  <c r="K244" i="77"/>
  <c r="D37" i="77" s="1"/>
  <c r="C9" i="81"/>
  <c r="C72" i="96"/>
  <c r="M69" i="96"/>
  <c r="K69" i="96"/>
  <c r="J69" i="95"/>
  <c r="C14" i="97"/>
  <c r="C16" i="97"/>
  <c r="U114" i="94"/>
  <c r="Q107" i="93"/>
  <c r="R107" i="93"/>
  <c r="S107" i="93" s="1"/>
  <c r="P107" i="93"/>
  <c r="S116" i="94"/>
  <c r="U116" i="94" s="1"/>
  <c r="V116" i="94"/>
  <c r="X116" i="94" s="1"/>
  <c r="R116" i="94"/>
  <c r="Q108" i="93"/>
  <c r="R108" i="93"/>
  <c r="S108" i="93" s="1"/>
  <c r="P108" i="93"/>
  <c r="U109" i="92"/>
  <c r="U105" i="93"/>
  <c r="K85" i="91"/>
  <c r="M85" i="91" s="1"/>
  <c r="R85" i="91" s="1"/>
  <c r="D31" i="91" s="1"/>
  <c r="K83" i="91"/>
  <c r="M83" i="91" s="1"/>
  <c r="R83" i="91" s="1"/>
  <c r="D29" i="91" s="1"/>
  <c r="K86" i="91"/>
  <c r="M86" i="91" s="1"/>
  <c r="R86" i="91" s="1"/>
  <c r="D32" i="91" s="1"/>
  <c r="K84" i="91"/>
  <c r="M84" i="91" s="1"/>
  <c r="R84" i="91" s="1"/>
  <c r="D30" i="91" s="1"/>
  <c r="K82" i="91"/>
  <c r="M82" i="91" s="1"/>
  <c r="R130" i="88"/>
  <c r="AA130" i="88" s="1"/>
  <c r="Z130" i="88"/>
  <c r="C56" i="85"/>
  <c r="C46" i="83"/>
  <c r="C57" i="83"/>
  <c r="C42" i="82"/>
  <c r="C7" i="85"/>
  <c r="C49" i="83"/>
  <c r="C40" i="82"/>
  <c r="C9" i="82"/>
  <c r="K71" i="95"/>
  <c r="M71" i="95"/>
  <c r="J71" i="95"/>
  <c r="Y137" i="94"/>
  <c r="AF137" i="94"/>
  <c r="Q117" i="94"/>
  <c r="X118" i="94"/>
  <c r="Q109" i="93"/>
  <c r="R109" i="93"/>
  <c r="S109" i="93" s="1"/>
  <c r="P109" i="93"/>
  <c r="Q111" i="92"/>
  <c r="R111" i="92"/>
  <c r="S111" i="92" s="1"/>
  <c r="P111" i="92"/>
  <c r="U110" i="93"/>
  <c r="U105" i="92"/>
  <c r="U108" i="92"/>
  <c r="T119" i="94"/>
  <c r="Q119" i="94"/>
  <c r="T84" i="90"/>
  <c r="Q84" i="90"/>
  <c r="U84" i="90" s="1"/>
  <c r="AC132" i="88"/>
  <c r="C11" i="88" s="1"/>
  <c r="C29" i="88" s="1"/>
  <c r="Z127" i="88"/>
  <c r="R127" i="88"/>
  <c r="AA127" i="88" s="1"/>
  <c r="Q106" i="93"/>
  <c r="R106" i="93"/>
  <c r="S106" i="93" s="1"/>
  <c r="P106" i="93"/>
  <c r="C59" i="85"/>
  <c r="U106" i="92"/>
  <c r="F97" i="92"/>
  <c r="F104" i="92"/>
  <c r="C44" i="85"/>
  <c r="C8" i="85"/>
  <c r="C31" i="85"/>
  <c r="C54" i="83"/>
  <c r="C42" i="83"/>
  <c r="C57" i="82"/>
  <c r="C62" i="85"/>
  <c r="C6" i="85"/>
  <c r="C9" i="83"/>
  <c r="C48" i="82"/>
  <c r="C39" i="82"/>
  <c r="C61" i="85"/>
  <c r="C54" i="82"/>
  <c r="C38" i="82"/>
  <c r="C32" i="82"/>
  <c r="C61" i="81"/>
  <c r="C45" i="81"/>
  <c r="K236" i="78"/>
  <c r="D29" i="78" s="1"/>
  <c r="K246" i="78"/>
  <c r="D39" i="78" s="1"/>
  <c r="K238" i="77"/>
  <c r="K248" i="77"/>
  <c r="D41" i="77" s="1"/>
  <c r="D28" i="80"/>
  <c r="C8" i="80"/>
  <c r="C5" i="78"/>
  <c r="K245" i="78"/>
  <c r="D38" i="78" s="1"/>
  <c r="K235" i="78"/>
  <c r="D28" i="78" s="1"/>
  <c r="K237" i="78"/>
  <c r="D30" i="78" s="1"/>
  <c r="C6" i="77"/>
  <c r="C15" i="76"/>
  <c r="I5" i="76"/>
  <c r="H73" i="72"/>
  <c r="C27" i="72" s="1"/>
  <c r="K251" i="78"/>
  <c r="D44" i="78" s="1"/>
  <c r="K241" i="78"/>
  <c r="D34" i="78" s="1"/>
  <c r="C10" i="75"/>
  <c r="C13" i="73"/>
  <c r="R102" i="47"/>
  <c r="S102" i="47"/>
  <c r="O102" i="47" s="1"/>
  <c r="N102" i="47" s="1"/>
  <c r="Q102" i="47"/>
  <c r="C115" i="47"/>
  <c r="S108" i="45"/>
  <c r="O108" i="45" s="1"/>
  <c r="N108" i="45" s="1"/>
  <c r="P108" i="45" s="1"/>
  <c r="R108" i="45"/>
  <c r="Q108" i="45"/>
  <c r="S99" i="38"/>
  <c r="S111" i="45"/>
  <c r="O111" i="45" s="1"/>
  <c r="N111" i="45" s="1"/>
  <c r="P111" i="45" s="1"/>
  <c r="R111" i="45"/>
  <c r="Q111" i="45"/>
  <c r="T100" i="37"/>
  <c r="S100" i="37"/>
  <c r="U100" i="38"/>
  <c r="Q100" i="38" s="1"/>
  <c r="Q112" i="38" s="1"/>
  <c r="U110" i="38"/>
  <c r="Q110" i="38" s="1"/>
  <c r="P110" i="38" s="1"/>
  <c r="R110" i="38" s="1"/>
  <c r="Q106" i="46"/>
  <c r="S106" i="46"/>
  <c r="O106" i="46" s="1"/>
  <c r="N106" i="46" s="1"/>
  <c r="P106" i="46" s="1"/>
  <c r="R106" i="46"/>
  <c r="C21" i="39"/>
  <c r="C24" i="39" s="1"/>
  <c r="T110" i="37"/>
  <c r="R110" i="37"/>
  <c r="S110" i="37"/>
  <c r="S102" i="37"/>
  <c r="R115" i="44"/>
  <c r="C10" i="44" s="1"/>
  <c r="S105" i="37"/>
  <c r="T112" i="36"/>
  <c r="C10" i="36" s="1"/>
  <c r="C115" i="49"/>
  <c r="S102" i="36"/>
  <c r="BF199" i="1" l="1"/>
  <c r="BH199" i="1"/>
  <c r="O199" i="1"/>
  <c r="BI199" i="1"/>
  <c r="P103" i="48"/>
  <c r="N115" i="48"/>
  <c r="C7" i="48" s="1"/>
  <c r="O115" i="45"/>
  <c r="O115" i="48"/>
  <c r="N102" i="45"/>
  <c r="Q112" i="37"/>
  <c r="EU270" i="98"/>
  <c r="C14" i="39"/>
  <c r="N102" i="44"/>
  <c r="O115" i="49"/>
  <c r="O115" i="47"/>
  <c r="O115" i="46"/>
  <c r="P100" i="38"/>
  <c r="R100" i="38" s="1"/>
  <c r="N102" i="46"/>
  <c r="Q112" i="36"/>
  <c r="P115" i="49"/>
  <c r="C8" i="49" s="1"/>
  <c r="S115" i="44"/>
  <c r="C18" i="44" s="1"/>
  <c r="C36" i="44" s="1"/>
  <c r="O104" i="44"/>
  <c r="N104" i="44" s="1"/>
  <c r="P104" i="44" s="1"/>
  <c r="P99" i="37"/>
  <c r="R99" i="37" s="1"/>
  <c r="C12" i="86"/>
  <c r="C11" i="86"/>
  <c r="C17" i="86"/>
  <c r="C18" i="86" s="1"/>
  <c r="C24" i="86"/>
  <c r="C17" i="84"/>
  <c r="C18" i="84" s="1"/>
  <c r="C11" i="84"/>
  <c r="C12" i="84"/>
  <c r="C15" i="39"/>
  <c r="U112" i="36"/>
  <c r="C18" i="36" s="1"/>
  <c r="C36" i="36" s="1"/>
  <c r="S112" i="36"/>
  <c r="C9" i="36" s="1"/>
  <c r="P115" i="48"/>
  <c r="C8" i="48" s="1"/>
  <c r="S115" i="48"/>
  <c r="C18" i="48" s="1"/>
  <c r="C36" i="48" s="1"/>
  <c r="N115" i="44"/>
  <c r="C7" i="44" s="1"/>
  <c r="Q115" i="48"/>
  <c r="C9" i="48" s="1"/>
  <c r="P102" i="44"/>
  <c r="P115" i="44" s="1"/>
  <c r="C8" i="44" s="1"/>
  <c r="C14" i="44" s="1"/>
  <c r="T135" i="1" s="1"/>
  <c r="S115" i="47"/>
  <c r="C18" i="47" s="1"/>
  <c r="C36" i="47" s="1"/>
  <c r="S115" i="49"/>
  <c r="C18" i="49" s="1"/>
  <c r="C36" i="49" s="1"/>
  <c r="N115" i="49"/>
  <c r="C7" i="49" s="1"/>
  <c r="T111" i="92"/>
  <c r="U112" i="38"/>
  <c r="C18" i="38" s="1"/>
  <c r="C36" i="38" s="1"/>
  <c r="EU405" i="98"/>
  <c r="EU526" i="98"/>
  <c r="EU517" i="98"/>
  <c r="EU286" i="98"/>
  <c r="EU611" i="98"/>
  <c r="EU437" i="98"/>
  <c r="EU506" i="98"/>
  <c r="EU519" i="98"/>
  <c r="EU523" i="98"/>
  <c r="S112" i="37"/>
  <c r="C9" i="37" s="1"/>
  <c r="Q121" i="94"/>
  <c r="EU455" i="98"/>
  <c r="EU459" i="98"/>
  <c r="EU504" i="98"/>
  <c r="EU622" i="98"/>
  <c r="EU330" i="98"/>
  <c r="AU197" i="1"/>
  <c r="AV190" i="1"/>
  <c r="S194" i="117"/>
  <c r="AU196" i="1"/>
  <c r="BH163" i="1"/>
  <c r="BG163" i="1"/>
  <c r="BF163" i="1"/>
  <c r="BI163" i="1"/>
  <c r="T111" i="93"/>
  <c r="I5" i="77"/>
  <c r="I7" i="77" s="1"/>
  <c r="C10" i="78"/>
  <c r="K72" i="95"/>
  <c r="C10" i="95" s="1"/>
  <c r="M87" i="90"/>
  <c r="EU292" i="98"/>
  <c r="EU296" i="98"/>
  <c r="EU300" i="98"/>
  <c r="EU304" i="98"/>
  <c r="EU308" i="98"/>
  <c r="EU312" i="98"/>
  <c r="EU316" i="98"/>
  <c r="EU480" i="98"/>
  <c r="EU496" i="98"/>
  <c r="EU499" i="98"/>
  <c r="EU509" i="98"/>
  <c r="EU554" i="98"/>
  <c r="EU626" i="98"/>
  <c r="EU649" i="98"/>
  <c r="EU513" i="98"/>
  <c r="EU525" i="98"/>
  <c r="EU642" i="98"/>
  <c r="EU335" i="98"/>
  <c r="EU392" i="98"/>
  <c r="EU548" i="98"/>
  <c r="EU555" i="98"/>
  <c r="EU419" i="98"/>
  <c r="EU424" i="98"/>
  <c r="EU439" i="98"/>
  <c r="EU449" i="98"/>
  <c r="EU508" i="98"/>
  <c r="EU534" i="98"/>
  <c r="EU635" i="98"/>
  <c r="EU261" i="98"/>
  <c r="EU331" i="98"/>
  <c r="EU383" i="98"/>
  <c r="EV648" i="98"/>
  <c r="T107" i="93"/>
  <c r="EU603" i="98"/>
  <c r="EU393" i="98"/>
  <c r="EU515" i="98"/>
  <c r="EU596" i="98"/>
  <c r="EU291" i="98"/>
  <c r="EU295" i="98"/>
  <c r="EU299" i="98"/>
  <c r="EU303" i="98"/>
  <c r="EU307" i="98"/>
  <c r="EU315" i="98"/>
  <c r="EU638" i="98"/>
  <c r="EU444" i="98"/>
  <c r="EU446" i="98"/>
  <c r="EU12" i="98"/>
  <c r="EU643" i="98"/>
  <c r="J72" i="95"/>
  <c r="C9" i="95" s="1"/>
  <c r="BF112" i="1"/>
  <c r="BH112" i="1"/>
  <c r="BI112" i="1"/>
  <c r="R189" i="1"/>
  <c r="BG112" i="1"/>
  <c r="BG124" i="1"/>
  <c r="BI124" i="1"/>
  <c r="BF124" i="1"/>
  <c r="BH124" i="1"/>
  <c r="BF164" i="1"/>
  <c r="BG164" i="1"/>
  <c r="BH164" i="1"/>
  <c r="BI164" i="1"/>
  <c r="EU448" i="98"/>
  <c r="EU452" i="98"/>
  <c r="EU546" i="98"/>
  <c r="EU618" i="98"/>
  <c r="EU482" i="98"/>
  <c r="EU409" i="98"/>
  <c r="EU559" i="98"/>
  <c r="EU542" i="98"/>
  <c r="EU360" i="98"/>
  <c r="EU379" i="98"/>
  <c r="EU426" i="98"/>
  <c r="EU584" i="98"/>
  <c r="EU595" i="98"/>
  <c r="EU667" i="98"/>
  <c r="BH187" i="1"/>
  <c r="BG187" i="1"/>
  <c r="BI187" i="1"/>
  <c r="BF187" i="1"/>
  <c r="O187" i="1"/>
  <c r="EU666" i="98"/>
  <c r="C9" i="80"/>
  <c r="T105" i="92"/>
  <c r="V113" i="1"/>
  <c r="BM191" i="1"/>
  <c r="BJ191" i="1"/>
  <c r="BK191" i="1"/>
  <c r="BL191" i="1"/>
  <c r="V190" i="1"/>
  <c r="O191" i="1"/>
  <c r="EU377" i="98"/>
  <c r="EU394" i="98"/>
  <c r="EU535" i="98"/>
  <c r="EU665" i="98"/>
  <c r="EU669" i="98"/>
  <c r="EU403" i="98"/>
  <c r="EU407" i="98"/>
  <c r="EU500" i="98"/>
  <c r="EU533" i="98"/>
  <c r="EU610" i="98"/>
  <c r="EU662" i="98"/>
  <c r="EU680" i="98"/>
  <c r="EU289" i="98"/>
  <c r="EU415" i="98"/>
  <c r="EU420" i="98"/>
  <c r="EU436" i="98"/>
  <c r="EU492" i="98"/>
  <c r="EU571" i="98"/>
  <c r="EU599" i="98"/>
  <c r="EU7" i="98"/>
  <c r="EV319" i="98"/>
  <c r="EU338" i="98"/>
  <c r="EU297" i="98"/>
  <c r="EU301" i="98"/>
  <c r="EU305" i="98"/>
  <c r="EU309" i="98"/>
  <c r="EU313" i="98"/>
  <c r="EU317" i="98"/>
  <c r="EU445" i="98"/>
  <c r="EU441" i="98"/>
  <c r="EU450" i="98"/>
  <c r="EU454" i="98"/>
  <c r="EU458" i="98"/>
  <c r="EU478" i="98"/>
  <c r="EU518" i="98"/>
  <c r="EU552" i="98"/>
  <c r="EU659" i="98"/>
  <c r="EU679" i="98"/>
  <c r="EV345" i="98"/>
  <c r="AN135" i="1"/>
  <c r="EU22" i="98"/>
  <c r="EU6" i="98"/>
  <c r="EU75" i="98"/>
  <c r="AM466" i="98"/>
  <c r="EU646" i="98"/>
  <c r="EU650" i="98"/>
  <c r="EV536" i="98"/>
  <c r="EU155" i="98"/>
  <c r="EM578" i="98"/>
  <c r="EU319" i="98"/>
  <c r="BG5" i="98"/>
  <c r="BE249" i="98"/>
  <c r="EU250" i="98"/>
  <c r="EU467" i="98"/>
  <c r="AN151" i="1"/>
  <c r="AR151" i="1" s="1"/>
  <c r="EU185" i="98"/>
  <c r="EU267" i="98"/>
  <c r="EV417" i="98"/>
  <c r="EV399" i="98"/>
  <c r="AN249" i="98"/>
  <c r="EU167" i="98"/>
  <c r="EV634" i="98"/>
  <c r="EU49" i="98"/>
  <c r="EV49" i="98"/>
  <c r="AQ249" i="98"/>
  <c r="AQ466" i="98"/>
  <c r="EU617" i="98"/>
  <c r="EU655" i="98"/>
  <c r="EU563" i="98"/>
  <c r="EU627" i="98"/>
  <c r="EU40" i="98"/>
  <c r="AL466" i="98"/>
  <c r="AK466" i="98"/>
  <c r="EU190" i="98"/>
  <c r="EU491" i="98"/>
  <c r="EU114" i="98"/>
  <c r="AF121" i="1"/>
  <c r="AM121" i="1"/>
  <c r="AQ121" i="1" s="1"/>
  <c r="AF119" i="1"/>
  <c r="AM119" i="1"/>
  <c r="AQ119" i="1" s="1"/>
  <c r="AM125" i="1"/>
  <c r="AQ125" i="1" s="1"/>
  <c r="AF125" i="1"/>
  <c r="AG192" i="1"/>
  <c r="AN192" i="1"/>
  <c r="AF150" i="1"/>
  <c r="AM150" i="1"/>
  <c r="AQ150" i="1" s="1"/>
  <c r="BH214" i="1"/>
  <c r="BI214" i="1"/>
  <c r="BF214" i="1"/>
  <c r="BG214" i="1"/>
  <c r="R215" i="1"/>
  <c r="O215" i="1" s="1"/>
  <c r="AG190" i="1"/>
  <c r="AO190" i="1" s="1"/>
  <c r="AS190" i="1" s="1"/>
  <c r="R194" i="117" s="1"/>
  <c r="AN190" i="1"/>
  <c r="AR190" i="1" s="1"/>
  <c r="AF170" i="1"/>
  <c r="AM170" i="1"/>
  <c r="AQ170" i="1" s="1"/>
  <c r="AG172" i="1"/>
  <c r="AO172" i="1" s="1"/>
  <c r="AN172" i="1"/>
  <c r="AF117" i="1"/>
  <c r="AM117" i="1"/>
  <c r="AQ117" i="1" s="1"/>
  <c r="AF124" i="1"/>
  <c r="AM124" i="1"/>
  <c r="AF143" i="1"/>
  <c r="AM143" i="1"/>
  <c r="AQ143" i="1" s="1"/>
  <c r="AM140" i="1"/>
  <c r="AF140" i="1"/>
  <c r="AF186" i="1"/>
  <c r="AM186" i="1"/>
  <c r="AQ186" i="1" s="1"/>
  <c r="AN179" i="1"/>
  <c r="AR179" i="1" s="1"/>
  <c r="AG179" i="1"/>
  <c r="AO179" i="1" s="1"/>
  <c r="AS179" i="1" s="1"/>
  <c r="AM181" i="1"/>
  <c r="AQ181" i="1" s="1"/>
  <c r="AF181" i="1"/>
  <c r="AV194" i="1"/>
  <c r="T198" i="117" s="1"/>
  <c r="AM180" i="1"/>
  <c r="AQ180" i="1" s="1"/>
  <c r="AF180" i="1"/>
  <c r="AM158" i="1"/>
  <c r="AQ158" i="1" s="1"/>
  <c r="AF158" i="1"/>
  <c r="AG159" i="1"/>
  <c r="AO159" i="1" s="1"/>
  <c r="AS159" i="1" s="1"/>
  <c r="AN159" i="1"/>
  <c r="AR159" i="1" s="1"/>
  <c r="AG198" i="1"/>
  <c r="AN198" i="1"/>
  <c r="AR198" i="1" s="1"/>
  <c r="AF139" i="1"/>
  <c r="AM139" i="1"/>
  <c r="AQ139" i="1" s="1"/>
  <c r="AN191" i="1"/>
  <c r="AR191" i="1" s="1"/>
  <c r="AG191" i="1"/>
  <c r="AG168" i="1"/>
  <c r="AO168" i="1" s="1"/>
  <c r="AN168" i="1"/>
  <c r="AG164" i="1"/>
  <c r="AO164" i="1" s="1"/>
  <c r="AN164" i="1"/>
  <c r="AN174" i="1"/>
  <c r="AR174" i="1" s="1"/>
  <c r="AG174" i="1"/>
  <c r="AO174" i="1" s="1"/>
  <c r="AS174" i="1" s="1"/>
  <c r="AP249" i="98"/>
  <c r="EU196" i="98"/>
  <c r="EU399" i="98"/>
  <c r="EU501" i="98"/>
  <c r="AF114" i="1"/>
  <c r="AM114" i="1"/>
  <c r="AQ114" i="1" s="1"/>
  <c r="AM146" i="1"/>
  <c r="AQ146" i="1" s="1"/>
  <c r="AF146" i="1"/>
  <c r="AN183" i="1"/>
  <c r="AR183" i="1" s="1"/>
  <c r="AG183" i="1"/>
  <c r="AO183" i="1" s="1"/>
  <c r="AS183" i="1" s="1"/>
  <c r="AN162" i="1"/>
  <c r="AR162" i="1" s="1"/>
  <c r="AG162" i="1"/>
  <c r="AO162" i="1" s="1"/>
  <c r="AS162" i="1" s="1"/>
  <c r="AF128" i="1"/>
  <c r="AM128" i="1"/>
  <c r="AQ128" i="1" s="1"/>
  <c r="AN195" i="1"/>
  <c r="AG195" i="1"/>
  <c r="AV193" i="1"/>
  <c r="T197" i="117" s="1"/>
  <c r="AM147" i="1"/>
  <c r="AQ147" i="1" s="1"/>
  <c r="AF147" i="1"/>
  <c r="AM177" i="1"/>
  <c r="AQ177" i="1" s="1"/>
  <c r="AF177" i="1"/>
  <c r="AF120" i="1"/>
  <c r="AM120" i="1"/>
  <c r="AQ120" i="1" s="1"/>
  <c r="AM115" i="1"/>
  <c r="AQ115" i="1" s="1"/>
  <c r="AF115" i="1"/>
  <c r="AM173" i="1"/>
  <c r="AF173" i="1"/>
  <c r="AN163" i="1"/>
  <c r="AR163" i="1" s="1"/>
  <c r="AG163" i="1"/>
  <c r="AO163" i="1" s="1"/>
  <c r="AS163" i="1" s="1"/>
  <c r="AG167" i="1"/>
  <c r="AO167" i="1" s="1"/>
  <c r="AS167" i="1" s="1"/>
  <c r="AN167" i="1"/>
  <c r="AR167" i="1" s="1"/>
  <c r="AM123" i="1"/>
  <c r="AQ123" i="1" s="1"/>
  <c r="AF123" i="1"/>
  <c r="AF127" i="1"/>
  <c r="AM127" i="1"/>
  <c r="AQ127" i="1" s="1"/>
  <c r="AF131" i="1"/>
  <c r="AM131" i="1"/>
  <c r="AQ131" i="1" s="1"/>
  <c r="AM156" i="1"/>
  <c r="AQ156" i="1" s="1"/>
  <c r="AF156" i="1"/>
  <c r="AF197" i="1"/>
  <c r="AM197" i="1"/>
  <c r="AQ197" i="1" s="1"/>
  <c r="AF148" i="1"/>
  <c r="AM148" i="1"/>
  <c r="AQ148" i="1" s="1"/>
  <c r="AM196" i="1"/>
  <c r="AQ196" i="1" s="1"/>
  <c r="AF196" i="1"/>
  <c r="EU400" i="98"/>
  <c r="AR249" i="98"/>
  <c r="BE466" i="98"/>
  <c r="EU616" i="98"/>
  <c r="AF122" i="1"/>
  <c r="AM122" i="1"/>
  <c r="AQ122" i="1" s="1"/>
  <c r="AF126" i="1"/>
  <c r="AM126" i="1"/>
  <c r="AQ126" i="1" s="1"/>
  <c r="AF110" i="1"/>
  <c r="AM110" i="1"/>
  <c r="AQ110" i="1" s="1"/>
  <c r="AF152" i="1"/>
  <c r="AM152" i="1"/>
  <c r="AQ152" i="1" s="1"/>
  <c r="AG194" i="1"/>
  <c r="AN194" i="1"/>
  <c r="AR194" i="1" s="1"/>
  <c r="AF199" i="1"/>
  <c r="AM199" i="1"/>
  <c r="AQ199" i="1" s="1"/>
  <c r="AM185" i="1"/>
  <c r="AF185" i="1"/>
  <c r="AF111" i="1"/>
  <c r="AM111" i="1"/>
  <c r="AQ111" i="1" s="1"/>
  <c r="AF136" i="1"/>
  <c r="AM136" i="1"/>
  <c r="AV198" i="1"/>
  <c r="T202" i="117" s="1"/>
  <c r="AV192" i="1"/>
  <c r="T196" i="117" s="1"/>
  <c r="AM145" i="1"/>
  <c r="AQ145" i="1" s="1"/>
  <c r="AF145" i="1"/>
  <c r="AF141" i="1"/>
  <c r="AM141" i="1"/>
  <c r="AQ141" i="1" s="1"/>
  <c r="AM149" i="1"/>
  <c r="AQ149" i="1" s="1"/>
  <c r="AF149" i="1"/>
  <c r="AM160" i="1"/>
  <c r="AQ160" i="1" s="1"/>
  <c r="AF160" i="1"/>
  <c r="AM161" i="1"/>
  <c r="AQ161" i="1" s="1"/>
  <c r="AF161" i="1"/>
  <c r="AF116" i="1"/>
  <c r="AM116" i="1"/>
  <c r="AQ116" i="1" s="1"/>
  <c r="AM130" i="1"/>
  <c r="AF130" i="1"/>
  <c r="AV195" i="1"/>
  <c r="T199" i="117" s="1"/>
  <c r="AF169" i="1"/>
  <c r="AM169" i="1"/>
  <c r="AQ169" i="1" s="1"/>
  <c r="AM182" i="1"/>
  <c r="AQ182" i="1" s="1"/>
  <c r="AF182" i="1"/>
  <c r="AF129" i="1"/>
  <c r="AM129" i="1"/>
  <c r="AQ129" i="1" s="1"/>
  <c r="AF132" i="1"/>
  <c r="AM132" i="1"/>
  <c r="AQ132" i="1" s="1"/>
  <c r="AF155" i="1"/>
  <c r="AM155" i="1"/>
  <c r="AQ155" i="1" s="1"/>
  <c r="AG165" i="1"/>
  <c r="AO165" i="1" s="1"/>
  <c r="AS165" i="1" s="1"/>
  <c r="AN165" i="1"/>
  <c r="AR165" i="1" s="1"/>
  <c r="AM171" i="1"/>
  <c r="AQ171" i="1" s="1"/>
  <c r="AF171" i="1"/>
  <c r="AG189" i="1"/>
  <c r="AO189" i="1" s="1"/>
  <c r="AN189" i="1"/>
  <c r="AL249" i="98"/>
  <c r="AO249" i="98"/>
  <c r="EU194" i="98"/>
  <c r="EV655" i="98"/>
  <c r="AN466" i="98"/>
  <c r="EU411" i="98"/>
  <c r="AP466" i="98"/>
  <c r="AO466" i="98"/>
  <c r="EU156" i="98"/>
  <c r="AF113" i="1"/>
  <c r="AM113" i="1"/>
  <c r="AQ113" i="1" s="1"/>
  <c r="AF133" i="1"/>
  <c r="AM133" i="1"/>
  <c r="AQ133" i="1" s="1"/>
  <c r="AF154" i="1"/>
  <c r="AM154" i="1"/>
  <c r="AQ154" i="1" s="1"/>
  <c r="AU199" i="1"/>
  <c r="S203" i="117" s="1"/>
  <c r="AM166" i="1"/>
  <c r="AQ166" i="1" s="1"/>
  <c r="AF166" i="1"/>
  <c r="AF176" i="1"/>
  <c r="AM176" i="1"/>
  <c r="AG187" i="1"/>
  <c r="AO187" i="1" s="1"/>
  <c r="AS187" i="1" s="1"/>
  <c r="AN187" i="1"/>
  <c r="AR187" i="1" s="1"/>
  <c r="AG184" i="1"/>
  <c r="AO184" i="1" s="1"/>
  <c r="AS184" i="1" s="1"/>
  <c r="AN184" i="1"/>
  <c r="AR184" i="1" s="1"/>
  <c r="AV191" i="1"/>
  <c r="T195" i="117" s="1"/>
  <c r="AF188" i="1"/>
  <c r="AM188" i="1"/>
  <c r="AG175" i="1"/>
  <c r="AO175" i="1" s="1"/>
  <c r="AS175" i="1" s="1"/>
  <c r="AN175" i="1"/>
  <c r="AR175" i="1" s="1"/>
  <c r="AF142" i="1"/>
  <c r="AM142" i="1"/>
  <c r="AQ142" i="1" s="1"/>
  <c r="AF157" i="1"/>
  <c r="AM157" i="1"/>
  <c r="AQ157" i="1" s="1"/>
  <c r="AF134" i="1"/>
  <c r="AM134" i="1"/>
  <c r="AQ134" i="1" s="1"/>
  <c r="AF138" i="1"/>
  <c r="AM138" i="1"/>
  <c r="AQ138" i="1" s="1"/>
  <c r="AG193" i="1"/>
  <c r="AN193" i="1"/>
  <c r="AR193" i="1" s="1"/>
  <c r="AG178" i="1"/>
  <c r="AO178" i="1" s="1"/>
  <c r="AS178" i="1" s="1"/>
  <c r="AN178" i="1"/>
  <c r="AR178" i="1" s="1"/>
  <c r="AM153" i="1"/>
  <c r="AQ153" i="1" s="1"/>
  <c r="AF153" i="1"/>
  <c r="AF137" i="1"/>
  <c r="AM137" i="1"/>
  <c r="AQ137" i="1" s="1"/>
  <c r="AO151" i="1"/>
  <c r="AS151" i="1" s="1"/>
  <c r="AO144" i="1"/>
  <c r="C13" i="102"/>
  <c r="V179" i="1" s="1"/>
  <c r="C15" i="102"/>
  <c r="C24" i="102"/>
  <c r="C25" i="102" s="1"/>
  <c r="C13" i="100"/>
  <c r="V178" i="1" s="1"/>
  <c r="C15" i="100"/>
  <c r="C24" i="100"/>
  <c r="C25" i="100" s="1"/>
  <c r="C14" i="100"/>
  <c r="C13" i="101"/>
  <c r="V147" i="1" s="1"/>
  <c r="C15" i="101"/>
  <c r="C24" i="101"/>
  <c r="C25" i="101" s="1"/>
  <c r="C14" i="101"/>
  <c r="EK472" i="98"/>
  <c r="BG472" i="98"/>
  <c r="EJ256" i="98"/>
  <c r="BF256" i="98"/>
  <c r="EL476" i="98"/>
  <c r="BH476" i="98"/>
  <c r="EK254" i="98"/>
  <c r="BG254" i="98"/>
  <c r="EJ634" i="98"/>
  <c r="BF634" i="98"/>
  <c r="BG634" i="98"/>
  <c r="EK634" i="98"/>
  <c r="EU413" i="98"/>
  <c r="EP591" i="98"/>
  <c r="BL591" i="98"/>
  <c r="EP619" i="98"/>
  <c r="BL619" i="98"/>
  <c r="BL648" i="98"/>
  <c r="EP648" i="98"/>
  <c r="EU339" i="98"/>
  <c r="EO575" i="98"/>
  <c r="BK575" i="98"/>
  <c r="BL613" i="98"/>
  <c r="EP613" i="98"/>
  <c r="EL373" i="98"/>
  <c r="BH373" i="98"/>
  <c r="EO129" i="98"/>
  <c r="BK129" i="98"/>
  <c r="AZ590" i="98"/>
  <c r="AY590" i="98"/>
  <c r="BI590" i="98"/>
  <c r="EM590" i="98"/>
  <c r="AX590" i="98"/>
  <c r="EJ259" i="98"/>
  <c r="BF259" i="98"/>
  <c r="BG259" i="98"/>
  <c r="EK259" i="98"/>
  <c r="EL345" i="98"/>
  <c r="BH345" i="98"/>
  <c r="EP164" i="98"/>
  <c r="BL164" i="98"/>
  <c r="EM408" i="98"/>
  <c r="AX408" i="98"/>
  <c r="BI408" i="98"/>
  <c r="AZ408" i="98"/>
  <c r="AY408" i="98"/>
  <c r="EL469" i="98"/>
  <c r="BH469" i="98"/>
  <c r="EJ473" i="98"/>
  <c r="BF473" i="98"/>
  <c r="EL468" i="98"/>
  <c r="BH468" i="98"/>
  <c r="EJ613" i="98"/>
  <c r="BF613" i="98"/>
  <c r="EP429" i="98"/>
  <c r="BL429" i="98"/>
  <c r="BK429" i="98"/>
  <c r="EO429" i="98"/>
  <c r="EN442" i="98"/>
  <c r="BJ442" i="98"/>
  <c r="EU263" i="98"/>
  <c r="EJ417" i="98"/>
  <c r="BF417" i="98"/>
  <c r="EO117" i="98"/>
  <c r="BK117" i="98"/>
  <c r="EP427" i="98"/>
  <c r="BL427" i="98"/>
  <c r="BK427" i="98"/>
  <c r="EO427" i="98"/>
  <c r="EV431" i="98"/>
  <c r="EU269" i="98"/>
  <c r="EU483" i="98"/>
  <c r="EN588" i="98"/>
  <c r="BJ588" i="98"/>
  <c r="EU522" i="98"/>
  <c r="EP402" i="98"/>
  <c r="BL402" i="98"/>
  <c r="EU401" i="98"/>
  <c r="EO396" i="98"/>
  <c r="BK396" i="98"/>
  <c r="EK474" i="98"/>
  <c r="BG474" i="98"/>
  <c r="EN101" i="98"/>
  <c r="BJ101" i="98"/>
  <c r="EJ251" i="98"/>
  <c r="BF251" i="98"/>
  <c r="EU13" i="98"/>
  <c r="EL614" i="98"/>
  <c r="BH614" i="98"/>
  <c r="BG614" i="98"/>
  <c r="EK614" i="98"/>
  <c r="EK485" i="98"/>
  <c r="BG485" i="98"/>
  <c r="EJ334" i="98"/>
  <c r="BF334" i="98"/>
  <c r="BL151" i="98"/>
  <c r="EP151" i="98"/>
  <c r="EK396" i="98"/>
  <c r="BG396" i="98"/>
  <c r="EV562" i="98"/>
  <c r="EO371" i="98"/>
  <c r="BK371" i="98"/>
  <c r="EP374" i="98"/>
  <c r="BL374" i="98"/>
  <c r="EV646" i="98"/>
  <c r="EU681" i="98"/>
  <c r="EU293" i="98"/>
  <c r="EV293" i="98"/>
  <c r="EL470" i="98"/>
  <c r="BH470" i="98"/>
  <c r="EK257" i="98"/>
  <c r="BG257" i="98"/>
  <c r="EK252" i="98"/>
  <c r="BG252" i="98"/>
  <c r="EJ268" i="98"/>
  <c r="BF268" i="98"/>
  <c r="EV507" i="98"/>
  <c r="EU507" i="98"/>
  <c r="BJ551" i="98"/>
  <c r="EN551" i="98"/>
  <c r="EN130" i="98"/>
  <c r="BJ130" i="98"/>
  <c r="EK590" i="98"/>
  <c r="BG590" i="98"/>
  <c r="EV264" i="98"/>
  <c r="EK255" i="98"/>
  <c r="BG255" i="98"/>
  <c r="EL408" i="98"/>
  <c r="BH408" i="98"/>
  <c r="EP153" i="98"/>
  <c r="BL153" i="98"/>
  <c r="EV290" i="98"/>
  <c r="EU290" i="98"/>
  <c r="EN434" i="98"/>
  <c r="BJ434" i="98"/>
  <c r="BK158" i="98"/>
  <c r="EO158" i="98"/>
  <c r="EO398" i="98"/>
  <c r="BK398" i="98"/>
  <c r="EJ472" i="98"/>
  <c r="BF472" i="98"/>
  <c r="EL257" i="98"/>
  <c r="BH257" i="98"/>
  <c r="EK625" i="98"/>
  <c r="BG625" i="98"/>
  <c r="EJ252" i="98"/>
  <c r="BF252" i="98"/>
  <c r="EL471" i="98"/>
  <c r="BH471" i="98"/>
  <c r="BG471" i="98"/>
  <c r="EK471" i="98"/>
  <c r="EK256" i="98"/>
  <c r="BG256" i="98"/>
  <c r="BH5" i="98"/>
  <c r="EL397" i="98"/>
  <c r="BH397" i="98"/>
  <c r="EP90" i="98"/>
  <c r="BL90" i="98"/>
  <c r="EL431" i="98"/>
  <c r="BH431" i="98"/>
  <c r="BG431" i="98"/>
  <c r="EK431" i="98"/>
  <c r="BK187" i="98"/>
  <c r="EO187" i="98"/>
  <c r="BK615" i="98"/>
  <c r="EO615" i="98"/>
  <c r="EL402" i="98"/>
  <c r="BH402" i="98"/>
  <c r="EN361" i="98"/>
  <c r="BJ361" i="98"/>
  <c r="EP551" i="98"/>
  <c r="BL551" i="98"/>
  <c r="BL130" i="98"/>
  <c r="EP130" i="98"/>
  <c r="EJ590" i="98"/>
  <c r="BF590" i="98"/>
  <c r="BH590" i="98"/>
  <c r="EL590" i="98"/>
  <c r="EL253" i="98"/>
  <c r="BH253" i="98"/>
  <c r="BG253" i="98"/>
  <c r="EK253" i="98"/>
  <c r="EL255" i="98"/>
  <c r="BH255" i="98"/>
  <c r="EJ476" i="98"/>
  <c r="BF476" i="98"/>
  <c r="EL254" i="98"/>
  <c r="BH254" i="98"/>
  <c r="EL481" i="98"/>
  <c r="EU481" i="98" s="1"/>
  <c r="BH481" i="98"/>
  <c r="BK153" i="98"/>
  <c r="EO153" i="98"/>
  <c r="BF395" i="98"/>
  <c r="EJ395" i="98"/>
  <c r="EP398" i="98"/>
  <c r="BL398" i="98"/>
  <c r="EN591" i="98"/>
  <c r="BJ591" i="98"/>
  <c r="EU368" i="98"/>
  <c r="EU404" i="98"/>
  <c r="EU495" i="98"/>
  <c r="BK562" i="98"/>
  <c r="EO562" i="98"/>
  <c r="EN578" i="98"/>
  <c r="BJ578" i="98"/>
  <c r="BK578" i="98"/>
  <c r="EO578" i="98"/>
  <c r="BL575" i="98"/>
  <c r="EP575" i="98"/>
  <c r="EU560" i="98"/>
  <c r="EO127" i="98"/>
  <c r="BK127" i="98"/>
  <c r="EO613" i="98"/>
  <c r="BK613" i="98"/>
  <c r="EJ373" i="98"/>
  <c r="BF373" i="98"/>
  <c r="BL129" i="98"/>
  <c r="EP129" i="98"/>
  <c r="EL259" i="98"/>
  <c r="BH259" i="98"/>
  <c r="BI625" i="98"/>
  <c r="AZ625" i="98"/>
  <c r="EM625" i="98"/>
  <c r="AX625" i="98"/>
  <c r="AY625" i="98"/>
  <c r="EU10" i="98"/>
  <c r="EJ475" i="98"/>
  <c r="BF475" i="98"/>
  <c r="EK468" i="98"/>
  <c r="BG468" i="98"/>
  <c r="EU285" i="98"/>
  <c r="EU287" i="98"/>
  <c r="EU567" i="98"/>
  <c r="EP588" i="98"/>
  <c r="BL588" i="98"/>
  <c r="EU607" i="98"/>
  <c r="EU538" i="98"/>
  <c r="EU582" i="98"/>
  <c r="EU592" i="98"/>
  <c r="EL619" i="98"/>
  <c r="BH619" i="98"/>
  <c r="EU671" i="98"/>
  <c r="EP396" i="98"/>
  <c r="BL396" i="98"/>
  <c r="EV381" i="98"/>
  <c r="EU381" i="98"/>
  <c r="EL474" i="98"/>
  <c r="BH474" i="98"/>
  <c r="AY345" i="98"/>
  <c r="BI345" i="98"/>
  <c r="AX345" i="98"/>
  <c r="EM345" i="98"/>
  <c r="AZ345" i="98"/>
  <c r="BH258" i="98"/>
  <c r="EL258" i="98"/>
  <c r="EK251" i="98"/>
  <c r="BG251" i="98"/>
  <c r="EL485" i="98"/>
  <c r="BH485" i="98"/>
  <c r="BK151" i="98"/>
  <c r="EO151" i="98"/>
  <c r="EL396" i="98"/>
  <c r="BH396" i="98"/>
  <c r="EP438" i="98"/>
  <c r="BL438" i="98"/>
  <c r="BK438" i="98"/>
  <c r="EO438" i="98"/>
  <c r="EU366" i="98"/>
  <c r="EV366" i="98"/>
  <c r="EN440" i="98"/>
  <c r="BJ440" i="98"/>
  <c r="EP371" i="98"/>
  <c r="BL371" i="98"/>
  <c r="EN374" i="98"/>
  <c r="BJ374" i="98"/>
  <c r="EU272" i="98"/>
  <c r="EU620" i="98"/>
  <c r="EU673" i="98"/>
  <c r="EJ471" i="98"/>
  <c r="EU471" i="98" s="1"/>
  <c r="BF471" i="98"/>
  <c r="EJ470" i="98"/>
  <c r="BF470" i="98"/>
  <c r="EL472" i="98"/>
  <c r="BH472" i="98"/>
  <c r="EL625" i="98"/>
  <c r="BH625" i="98"/>
  <c r="BH252" i="98"/>
  <c r="EL252" i="98"/>
  <c r="EK397" i="98"/>
  <c r="BG397" i="98"/>
  <c r="EJ612" i="98"/>
  <c r="BF612" i="98"/>
  <c r="EP615" i="98"/>
  <c r="BL615" i="98"/>
  <c r="BF5" i="98"/>
  <c r="EK470" i="98"/>
  <c r="BG470" i="98"/>
  <c r="BF257" i="98"/>
  <c r="EJ257" i="98"/>
  <c r="BF625" i="98"/>
  <c r="EJ625" i="98"/>
  <c r="BH256" i="98"/>
  <c r="EL256" i="98"/>
  <c r="EU284" i="98"/>
  <c r="EL268" i="98"/>
  <c r="BH268" i="98"/>
  <c r="BG268" i="98"/>
  <c r="EK268" i="98"/>
  <c r="EO90" i="98"/>
  <c r="BK90" i="98"/>
  <c r="BI5" i="98"/>
  <c r="EL612" i="98"/>
  <c r="BH612" i="98"/>
  <c r="EN187" i="98"/>
  <c r="BJ187" i="98"/>
  <c r="EU136" i="98"/>
  <c r="BK130" i="98"/>
  <c r="EO130" i="98"/>
  <c r="AK249" i="98"/>
  <c r="EU536" i="98"/>
  <c r="EJ255" i="98"/>
  <c r="BF255" i="98"/>
  <c r="BF408" i="98"/>
  <c r="EJ408" i="98"/>
  <c r="EM397" i="98"/>
  <c r="AX397" i="98"/>
  <c r="BI397" i="98"/>
  <c r="AZ397" i="98"/>
  <c r="AY397" i="98"/>
  <c r="EU644" i="98"/>
  <c r="EV644" i="98"/>
  <c r="EK395" i="98"/>
  <c r="BG395" i="98"/>
  <c r="EP434" i="98"/>
  <c r="BL434" i="98"/>
  <c r="BK434" i="98"/>
  <c r="EO434" i="98"/>
  <c r="EO591" i="98"/>
  <c r="BK591" i="98"/>
  <c r="BK619" i="98"/>
  <c r="EO619" i="98"/>
  <c r="EN648" i="98"/>
  <c r="BJ648" i="98"/>
  <c r="EU453" i="98"/>
  <c r="EU487" i="98"/>
  <c r="EN562" i="98"/>
  <c r="BJ562" i="98"/>
  <c r="EU579" i="98"/>
  <c r="BJ575" i="98"/>
  <c r="EN575" i="98"/>
  <c r="EU586" i="98"/>
  <c r="BL127" i="98"/>
  <c r="EP127" i="98"/>
  <c r="BJ613" i="98"/>
  <c r="EN613" i="98"/>
  <c r="BG345" i="98"/>
  <c r="EK345" i="98"/>
  <c r="EN164" i="98"/>
  <c r="BJ164" i="98"/>
  <c r="EL473" i="98"/>
  <c r="BH473" i="98"/>
  <c r="BG473" i="98"/>
  <c r="EK473" i="98"/>
  <c r="EU473" i="98" s="1"/>
  <c r="EK613" i="98"/>
  <c r="BG613" i="98"/>
  <c r="BH613" i="98"/>
  <c r="EL613" i="98"/>
  <c r="EV400" i="98"/>
  <c r="EN429" i="98"/>
  <c r="BJ429" i="98"/>
  <c r="EP442" i="98"/>
  <c r="BL442" i="98"/>
  <c r="BK442" i="98"/>
  <c r="EO442" i="98"/>
  <c r="EL417" i="98"/>
  <c r="BH417" i="98"/>
  <c r="BG417" i="98"/>
  <c r="EK417" i="98"/>
  <c r="EN427" i="98"/>
  <c r="EU427" i="98" s="1"/>
  <c r="BJ427" i="98"/>
  <c r="EU266" i="98"/>
  <c r="EU342" i="98"/>
  <c r="EU353" i="98"/>
  <c r="EU358" i="98"/>
  <c r="EU422" i="98"/>
  <c r="EO402" i="98"/>
  <c r="BK402" i="98"/>
  <c r="EU406" i="98"/>
  <c r="EJ474" i="98"/>
  <c r="BF474" i="98"/>
  <c r="BK101" i="98"/>
  <c r="EO101" i="98"/>
  <c r="EU8" i="98"/>
  <c r="EK258" i="98"/>
  <c r="BG258" i="98"/>
  <c r="EL251" i="98"/>
  <c r="BH251" i="98"/>
  <c r="EV501" i="98"/>
  <c r="BC608" i="98"/>
  <c r="ES608" i="98" s="1"/>
  <c r="BC391" i="98"/>
  <c r="ES391" i="98" s="1"/>
  <c r="BD147" i="98"/>
  <c r="ES147" i="98"/>
  <c r="EJ614" i="98"/>
  <c r="BF614" i="98"/>
  <c r="EL334" i="98"/>
  <c r="BH334" i="98"/>
  <c r="BG334" i="98"/>
  <c r="EK334" i="98"/>
  <c r="EM395" i="98"/>
  <c r="AX395" i="98"/>
  <c r="BI395" i="98"/>
  <c r="AZ395" i="98"/>
  <c r="AY395" i="98"/>
  <c r="EU152" i="98"/>
  <c r="EU183" i="98"/>
  <c r="EN371" i="98"/>
  <c r="BJ371" i="98"/>
  <c r="EV608" i="98"/>
  <c r="EV616" i="98"/>
  <c r="EU604" i="98"/>
  <c r="EU664" i="98"/>
  <c r="EV442" i="98"/>
  <c r="BF397" i="98"/>
  <c r="EJ397" i="98"/>
  <c r="BJ90" i="98"/>
  <c r="EN90" i="98"/>
  <c r="AY334" i="98"/>
  <c r="EM334" i="98"/>
  <c r="AX334" i="98"/>
  <c r="BI334" i="98"/>
  <c r="AZ334" i="98"/>
  <c r="BG612" i="98"/>
  <c r="EK612" i="98"/>
  <c r="EJ431" i="98"/>
  <c r="BF431" i="98"/>
  <c r="BL187" i="98"/>
  <c r="EP187" i="98"/>
  <c r="AY431" i="98"/>
  <c r="EM431" i="98"/>
  <c r="AX431" i="98"/>
  <c r="BI431" i="98"/>
  <c r="AZ431" i="98"/>
  <c r="BJ615" i="98"/>
  <c r="EN615" i="98"/>
  <c r="EK402" i="98"/>
  <c r="BG402" i="98"/>
  <c r="EP361" i="98"/>
  <c r="BL361" i="98"/>
  <c r="BK361" i="98"/>
  <c r="EO361" i="98"/>
  <c r="EU365" i="98"/>
  <c r="EU423" i="98"/>
  <c r="BK551" i="98"/>
  <c r="EO551" i="98"/>
  <c r="EU623" i="98"/>
  <c r="AM249" i="98"/>
  <c r="EV391" i="98"/>
  <c r="EJ253" i="98"/>
  <c r="BF253" i="98"/>
  <c r="EK476" i="98"/>
  <c r="BG476" i="98"/>
  <c r="EK408" i="98"/>
  <c r="BG408" i="98"/>
  <c r="BF254" i="98"/>
  <c r="EJ254" i="98"/>
  <c r="BJ153" i="98"/>
  <c r="EN153" i="98"/>
  <c r="AY614" i="98"/>
  <c r="EM614" i="98"/>
  <c r="AZ614" i="98"/>
  <c r="BI614" i="98"/>
  <c r="AX614" i="98"/>
  <c r="EL395" i="98"/>
  <c r="BH395" i="98"/>
  <c r="EP158" i="98"/>
  <c r="BL158" i="98"/>
  <c r="BH634" i="98"/>
  <c r="EL634" i="98"/>
  <c r="BJ398" i="98"/>
  <c r="EN398" i="98"/>
  <c r="EU380" i="98"/>
  <c r="EO648" i="98"/>
  <c r="BK648" i="98"/>
  <c r="EU628" i="98"/>
  <c r="EU412" i="98"/>
  <c r="EP562" i="98"/>
  <c r="BL562" i="98"/>
  <c r="EP578" i="98"/>
  <c r="BL578" i="98"/>
  <c r="EU530" i="98"/>
  <c r="EN127" i="98"/>
  <c r="BJ127" i="98"/>
  <c r="EK373" i="98"/>
  <c r="BG373" i="98"/>
  <c r="EN129" i="98"/>
  <c r="BJ129" i="98"/>
  <c r="BI373" i="98"/>
  <c r="AZ373" i="98"/>
  <c r="AY373" i="98"/>
  <c r="EM373" i="98"/>
  <c r="AX373" i="98"/>
  <c r="EU265" i="98"/>
  <c r="EV265" i="98"/>
  <c r="EJ345" i="98"/>
  <c r="BF345" i="98"/>
  <c r="BK164" i="98"/>
  <c r="EO164" i="98"/>
  <c r="EJ469" i="98"/>
  <c r="BF469" i="98"/>
  <c r="BG469" i="98"/>
  <c r="EK469" i="98"/>
  <c r="EL475" i="98"/>
  <c r="BH475" i="98"/>
  <c r="BG475" i="98"/>
  <c r="EK475" i="98"/>
  <c r="BF468" i="98"/>
  <c r="EJ468" i="98"/>
  <c r="EU30" i="98"/>
  <c r="EU684" i="98"/>
  <c r="EV684" i="98"/>
  <c r="EP117" i="98"/>
  <c r="BL117" i="98"/>
  <c r="BJ117" i="98"/>
  <c r="EN117" i="98"/>
  <c r="EU583" i="98"/>
  <c r="EV583" i="98"/>
  <c r="EU521" i="98"/>
  <c r="EO588" i="98"/>
  <c r="EU588" i="98" s="1"/>
  <c r="BK588" i="98"/>
  <c r="BG619" i="98"/>
  <c r="EK619" i="98"/>
  <c r="EU631" i="98"/>
  <c r="BJ396" i="98"/>
  <c r="EN396" i="98"/>
  <c r="EV510" i="98"/>
  <c r="EU510" i="98"/>
  <c r="BL101" i="98"/>
  <c r="EP101" i="98"/>
  <c r="EU164" i="98"/>
  <c r="BF258" i="98"/>
  <c r="EJ258" i="98"/>
  <c r="AV264" i="98"/>
  <c r="BF264" i="98"/>
  <c r="EJ264" i="98"/>
  <c r="AU264" i="98"/>
  <c r="BF485" i="98"/>
  <c r="EJ485" i="98"/>
  <c r="EU485" i="98" s="1"/>
  <c r="EN151" i="98"/>
  <c r="BJ151" i="98"/>
  <c r="BI612" i="98"/>
  <c r="AX612" i="98"/>
  <c r="AY612" i="98"/>
  <c r="AZ612" i="98"/>
  <c r="EM612" i="98"/>
  <c r="BF396" i="98"/>
  <c r="EJ396" i="98"/>
  <c r="EN438" i="98"/>
  <c r="BJ438" i="98"/>
  <c r="AR466" i="98"/>
  <c r="EP440" i="98"/>
  <c r="BL440" i="98"/>
  <c r="BK440" i="98"/>
  <c r="EO440" i="98"/>
  <c r="EO374" i="98"/>
  <c r="BK374" i="98"/>
  <c r="EU354" i="98"/>
  <c r="EU632" i="98"/>
  <c r="EU653" i="98"/>
  <c r="D31" i="77"/>
  <c r="C9" i="77"/>
  <c r="C14" i="77" s="1"/>
  <c r="R82" i="91"/>
  <c r="D28" i="91" s="1"/>
  <c r="M87" i="91"/>
  <c r="C24" i="96"/>
  <c r="C32" i="96"/>
  <c r="C10" i="80"/>
  <c r="C24" i="80"/>
  <c r="I10" i="78"/>
  <c r="C16" i="78"/>
  <c r="I9" i="78"/>
  <c r="C34" i="36"/>
  <c r="C26" i="36"/>
  <c r="C26" i="37"/>
  <c r="C34" i="37"/>
  <c r="C9" i="78"/>
  <c r="C14" i="78" s="1"/>
  <c r="D26" i="78"/>
  <c r="I10" i="77"/>
  <c r="C16" i="77"/>
  <c r="I9" i="77"/>
  <c r="I7" i="78"/>
  <c r="I6" i="78"/>
  <c r="C19" i="85"/>
  <c r="C20" i="85" s="1"/>
  <c r="C26" i="85"/>
  <c r="C27" i="82"/>
  <c r="C10" i="82"/>
  <c r="C27" i="81"/>
  <c r="C10" i="81"/>
  <c r="X82" i="90"/>
  <c r="Y82" i="90" s="1"/>
  <c r="C6" i="90"/>
  <c r="C14" i="40"/>
  <c r="C24" i="40"/>
  <c r="C16" i="40"/>
  <c r="C17" i="40" s="1"/>
  <c r="C33" i="49"/>
  <c r="C24" i="49"/>
  <c r="I7" i="74"/>
  <c r="I8" i="74"/>
  <c r="I6" i="74"/>
  <c r="N87" i="91"/>
  <c r="S82" i="91"/>
  <c r="R112" i="37"/>
  <c r="C8" i="37" s="1"/>
  <c r="T112" i="37"/>
  <c r="C10" i="37" s="1"/>
  <c r="C39" i="74"/>
  <c r="C14" i="74"/>
  <c r="C38" i="74"/>
  <c r="C37" i="74"/>
  <c r="C28" i="74"/>
  <c r="C12" i="75"/>
  <c r="T192" i="1" s="1"/>
  <c r="AP192" i="1" s="1"/>
  <c r="C35" i="75"/>
  <c r="C26" i="75"/>
  <c r="C42" i="75"/>
  <c r="AA132" i="89"/>
  <c r="C7" i="89" s="1"/>
  <c r="C12" i="49"/>
  <c r="C35" i="49"/>
  <c r="C11" i="49"/>
  <c r="S115" i="46"/>
  <c r="C18" i="46" s="1"/>
  <c r="C36" i="46" s="1"/>
  <c r="N115" i="45"/>
  <c r="C7" i="45" s="1"/>
  <c r="P102" i="45"/>
  <c r="P115" i="45" s="1"/>
  <c r="C8" i="45" s="1"/>
  <c r="C33" i="95"/>
  <c r="C15" i="95"/>
  <c r="C20" i="94"/>
  <c r="F20" i="94"/>
  <c r="R91" i="90"/>
  <c r="F28" i="90" s="1"/>
  <c r="I9" i="90"/>
  <c r="I21" i="90" s="1"/>
  <c r="C9" i="90"/>
  <c r="C6" i="49"/>
  <c r="C13" i="49" s="1"/>
  <c r="V102" i="49"/>
  <c r="W102" i="49" s="1"/>
  <c r="C19" i="49" s="1"/>
  <c r="C37" i="49" s="1"/>
  <c r="R115" i="47"/>
  <c r="C10" i="47" s="1"/>
  <c r="I7" i="76"/>
  <c r="I8" i="76"/>
  <c r="I6" i="76"/>
  <c r="C11" i="77"/>
  <c r="C12" i="77"/>
  <c r="C27" i="83"/>
  <c r="C10" i="83"/>
  <c r="K72" i="96"/>
  <c r="C10" i="96" s="1"/>
  <c r="Q82" i="90"/>
  <c r="P87" i="90"/>
  <c r="T82" i="90"/>
  <c r="T86" i="90"/>
  <c r="Q86" i="90"/>
  <c r="U86" i="90" s="1"/>
  <c r="C34" i="44"/>
  <c r="C26" i="44"/>
  <c r="C15" i="44"/>
  <c r="V135" i="1" s="1"/>
  <c r="C19" i="83"/>
  <c r="C20" i="83" s="1"/>
  <c r="C26" i="83"/>
  <c r="V112" i="1" s="1"/>
  <c r="AA132" i="88"/>
  <c r="C7" i="88" s="1"/>
  <c r="W121" i="94"/>
  <c r="O133" i="94" s="1"/>
  <c r="X113" i="94"/>
  <c r="C25" i="49"/>
  <c r="C35" i="48"/>
  <c r="C11" i="48"/>
  <c r="C12" i="48"/>
  <c r="C39" i="76"/>
  <c r="C14" i="76"/>
  <c r="C38" i="76"/>
  <c r="C37" i="76"/>
  <c r="C28" i="76"/>
  <c r="C40" i="74"/>
  <c r="C18" i="74"/>
  <c r="C17" i="74"/>
  <c r="C16" i="74"/>
  <c r="C26" i="81"/>
  <c r="V144" i="1" s="1"/>
  <c r="C19" i="81"/>
  <c r="C20" i="81" s="1"/>
  <c r="C6" i="91"/>
  <c r="X82" i="91"/>
  <c r="Y82" i="91" s="1"/>
  <c r="P112" i="37"/>
  <c r="C7" i="37" s="1"/>
  <c r="C24" i="81"/>
  <c r="R144" i="1" s="1"/>
  <c r="C17" i="81"/>
  <c r="F112" i="93"/>
  <c r="C6" i="93" s="1"/>
  <c r="Q104" i="93"/>
  <c r="Q112" i="93" s="1"/>
  <c r="C10" i="93" s="1"/>
  <c r="R104" i="93"/>
  <c r="P104" i="93"/>
  <c r="P112" i="93" s="1"/>
  <c r="U104" i="93"/>
  <c r="U112" i="93" s="1"/>
  <c r="C25" i="82"/>
  <c r="C18" i="82"/>
  <c r="Q115" i="46"/>
  <c r="C9" i="46" s="1"/>
  <c r="Q115" i="45"/>
  <c r="C9" i="45" s="1"/>
  <c r="R112" i="36"/>
  <c r="C8" i="36" s="1"/>
  <c r="M72" i="95"/>
  <c r="C17" i="95" s="1"/>
  <c r="C35" i="95" s="1"/>
  <c r="C23" i="79"/>
  <c r="V143" i="1" s="1"/>
  <c r="C17" i="79"/>
  <c r="C18" i="79" s="1"/>
  <c r="C13" i="40"/>
  <c r="C23" i="40"/>
  <c r="C13" i="44"/>
  <c r="R135" i="1" s="1"/>
  <c r="C24" i="44"/>
  <c r="C33" i="44"/>
  <c r="C13" i="41"/>
  <c r="V163" i="1" s="1"/>
  <c r="O163" i="1" s="1"/>
  <c r="C23" i="41"/>
  <c r="C24" i="95"/>
  <c r="C26" i="95" s="1"/>
  <c r="C32" i="95"/>
  <c r="C12" i="74"/>
  <c r="T124" i="1" s="1"/>
  <c r="AP124" i="1" s="1"/>
  <c r="C35" i="74"/>
  <c r="C26" i="74"/>
  <c r="C42" i="74"/>
  <c r="C12" i="76"/>
  <c r="T164" i="1" s="1"/>
  <c r="AP164" i="1" s="1"/>
  <c r="C35" i="76"/>
  <c r="C26" i="76"/>
  <c r="C42" i="76"/>
  <c r="C34" i="49"/>
  <c r="C26" i="49"/>
  <c r="C34" i="48"/>
  <c r="C26" i="48"/>
  <c r="C15" i="48"/>
  <c r="S115" i="45"/>
  <c r="C18" i="45" s="1"/>
  <c r="C36" i="45" s="1"/>
  <c r="C14" i="48"/>
  <c r="C25" i="48"/>
  <c r="N115" i="47"/>
  <c r="C7" i="47" s="1"/>
  <c r="P102" i="47"/>
  <c r="P115" i="47" s="1"/>
  <c r="C8" i="47" s="1"/>
  <c r="P112" i="38"/>
  <c r="C7" i="38" s="1"/>
  <c r="R99" i="38"/>
  <c r="R112" i="38" s="1"/>
  <c r="C8" i="38" s="1"/>
  <c r="C12" i="44"/>
  <c r="C35" i="44"/>
  <c r="C11" i="44"/>
  <c r="C13" i="48"/>
  <c r="C33" i="48"/>
  <c r="C24" i="48"/>
  <c r="S112" i="38"/>
  <c r="C9" i="38" s="1"/>
  <c r="V102" i="47"/>
  <c r="W102" i="47" s="1"/>
  <c r="C19" i="47" s="1"/>
  <c r="C37" i="47" s="1"/>
  <c r="C6" i="47"/>
  <c r="C40" i="76"/>
  <c r="C18" i="76"/>
  <c r="C17" i="76"/>
  <c r="C16" i="76"/>
  <c r="C24" i="85"/>
  <c r="C17" i="85"/>
  <c r="F112" i="92"/>
  <c r="C6" i="92" s="1"/>
  <c r="Q104" i="92"/>
  <c r="Q112" i="92" s="1"/>
  <c r="C10" i="92" s="1"/>
  <c r="R104" i="92"/>
  <c r="P104" i="92"/>
  <c r="P112" i="92" s="1"/>
  <c r="U104" i="92"/>
  <c r="U112" i="92" s="1"/>
  <c r="S119" i="94"/>
  <c r="U119" i="94" s="1"/>
  <c r="R119" i="94"/>
  <c r="V119" i="94"/>
  <c r="X119" i="94" s="1"/>
  <c r="V117" i="94"/>
  <c r="X117" i="94" s="1"/>
  <c r="R117" i="94"/>
  <c r="S117" i="94"/>
  <c r="U117" i="94" s="1"/>
  <c r="T108" i="93"/>
  <c r="M72" i="96"/>
  <c r="C17" i="96" s="1"/>
  <c r="C35" i="96" s="1"/>
  <c r="C11" i="87"/>
  <c r="C17" i="87"/>
  <c r="C18" i="87" s="1"/>
  <c r="C24" i="87"/>
  <c r="O87" i="90"/>
  <c r="F6" i="90" s="1"/>
  <c r="C12" i="38"/>
  <c r="C35" i="38"/>
  <c r="C11" i="38"/>
  <c r="Z132" i="88"/>
  <c r="C6" i="88" s="1"/>
  <c r="T121" i="94"/>
  <c r="O131" i="94" s="1"/>
  <c r="U113" i="94"/>
  <c r="X99" i="36"/>
  <c r="Y99" i="36" s="1"/>
  <c r="C19" i="36" s="1"/>
  <c r="C37" i="36" s="1"/>
  <c r="C6" i="36"/>
  <c r="C15" i="36" s="1"/>
  <c r="V130" i="1" s="1"/>
  <c r="I7" i="75"/>
  <c r="I8" i="75"/>
  <c r="I6" i="75"/>
  <c r="C34" i="75"/>
  <c r="C25" i="75"/>
  <c r="C11" i="75"/>
  <c r="R192" i="1" s="1"/>
  <c r="C41" i="75"/>
  <c r="C25" i="81"/>
  <c r="T144" i="1" s="1"/>
  <c r="AQ144" i="1" s="1"/>
  <c r="C18" i="81"/>
  <c r="C26" i="82"/>
  <c r="C19" i="82"/>
  <c r="C20" i="82" s="1"/>
  <c r="N115" i="46"/>
  <c r="C7" i="46" s="1"/>
  <c r="P102" i="46"/>
  <c r="P115" i="46" s="1"/>
  <c r="C8" i="46" s="1"/>
  <c r="V102" i="46"/>
  <c r="W102" i="46" s="1"/>
  <c r="C19" i="46" s="1"/>
  <c r="C37" i="46" s="1"/>
  <c r="C6" i="46"/>
  <c r="C6" i="45"/>
  <c r="V102" i="45"/>
  <c r="W102" i="45" s="1"/>
  <c r="C19" i="45" s="1"/>
  <c r="C37" i="45" s="1"/>
  <c r="P112" i="36"/>
  <c r="C7" i="36" s="1"/>
  <c r="P69" i="95"/>
  <c r="Q69" i="95" s="1"/>
  <c r="C6" i="95"/>
  <c r="C13" i="95" s="1"/>
  <c r="C10" i="85"/>
  <c r="C11" i="36"/>
  <c r="C35" i="36"/>
  <c r="C12" i="36"/>
  <c r="C13" i="39"/>
  <c r="C23" i="39"/>
  <c r="Q115" i="47"/>
  <c r="C9" i="47" s="1"/>
  <c r="C39" i="75"/>
  <c r="C14" i="75"/>
  <c r="C38" i="75"/>
  <c r="C37" i="75"/>
  <c r="C28" i="75"/>
  <c r="C23" i="80"/>
  <c r="C17" i="80"/>
  <c r="C18" i="80" s="1"/>
  <c r="T106" i="93"/>
  <c r="T109" i="93"/>
  <c r="C18" i="85"/>
  <c r="C25" i="85"/>
  <c r="P69" i="96"/>
  <c r="Q69" i="96" s="1"/>
  <c r="C6" i="96"/>
  <c r="C25" i="83"/>
  <c r="T112" i="1" s="1"/>
  <c r="AR112" i="1" s="1"/>
  <c r="C18" i="83"/>
  <c r="X99" i="38"/>
  <c r="Y99" i="38" s="1"/>
  <c r="C19" i="38" s="1"/>
  <c r="C37" i="38" s="1"/>
  <c r="C6" i="38"/>
  <c r="N87" i="90"/>
  <c r="T109" i="92"/>
  <c r="F19" i="94"/>
  <c r="C19" i="94"/>
  <c r="C40" i="75"/>
  <c r="C18" i="75"/>
  <c r="C17" i="75"/>
  <c r="C16" i="75"/>
  <c r="C36" i="75"/>
  <c r="C27" i="75"/>
  <c r="C43" i="75"/>
  <c r="C13" i="75"/>
  <c r="V192" i="1" s="1"/>
  <c r="C11" i="78"/>
  <c r="C12" i="78"/>
  <c r="P82" i="91"/>
  <c r="O87" i="91"/>
  <c r="F6" i="91" s="1"/>
  <c r="C13" i="97"/>
  <c r="C15" i="97"/>
  <c r="C24" i="97"/>
  <c r="C25" i="97" s="1"/>
  <c r="U112" i="37"/>
  <c r="C18" i="37" s="1"/>
  <c r="C36" i="37" s="1"/>
  <c r="C6" i="37"/>
  <c r="C15" i="37" s="1"/>
  <c r="V195" i="1" s="1"/>
  <c r="X99" i="37"/>
  <c r="Y99" i="37" s="1"/>
  <c r="C19" i="37" s="1"/>
  <c r="C37" i="37" s="1"/>
  <c r="C36" i="74"/>
  <c r="C27" i="74"/>
  <c r="C43" i="74"/>
  <c r="C13" i="74"/>
  <c r="V124" i="1" s="1"/>
  <c r="C36" i="76"/>
  <c r="C27" i="76"/>
  <c r="C43" i="76"/>
  <c r="C13" i="76"/>
  <c r="V164" i="1" s="1"/>
  <c r="O164" i="1" s="1"/>
  <c r="P130" i="88"/>
  <c r="Y130" i="88" s="1"/>
  <c r="P128" i="88"/>
  <c r="Y128" i="88" s="1"/>
  <c r="P129" i="88"/>
  <c r="Y129" i="88" s="1"/>
  <c r="P126" i="88"/>
  <c r="Y126" i="88" s="1"/>
  <c r="P127" i="88"/>
  <c r="Y127" i="88" s="1"/>
  <c r="Z132" i="89"/>
  <c r="C6" i="89" s="1"/>
  <c r="T105" i="93"/>
  <c r="R115" i="46"/>
  <c r="C10" i="46" s="1"/>
  <c r="R115" i="45"/>
  <c r="C10" i="45" s="1"/>
  <c r="C24" i="82"/>
  <c r="C17" i="82"/>
  <c r="C12" i="87"/>
  <c r="S115" i="94"/>
  <c r="R115" i="94"/>
  <c r="R121" i="94" s="1"/>
  <c r="V115" i="94"/>
  <c r="Y132" i="89"/>
  <c r="C8" i="89" s="1"/>
  <c r="O115" i="44" l="1"/>
  <c r="I6" i="77"/>
  <c r="I8" i="77"/>
  <c r="C25" i="44"/>
  <c r="V121" i="94"/>
  <c r="O132" i="94" s="1"/>
  <c r="EU255" i="98"/>
  <c r="EU575" i="98"/>
  <c r="EU469" i="98"/>
  <c r="EU398" i="98"/>
  <c r="EU268" i="98"/>
  <c r="EU129" i="98"/>
  <c r="EU257" i="98"/>
  <c r="AV197" i="1"/>
  <c r="S201" i="117"/>
  <c r="AV196" i="1"/>
  <c r="S200" i="117"/>
  <c r="AW190" i="1"/>
  <c r="U194" i="117" s="1"/>
  <c r="T194" i="117"/>
  <c r="BJ195" i="1"/>
  <c r="BM195" i="1"/>
  <c r="BL195" i="1"/>
  <c r="BK195" i="1"/>
  <c r="BL124" i="1"/>
  <c r="BM124" i="1"/>
  <c r="BK124" i="1"/>
  <c r="BJ124" i="1"/>
  <c r="AQ135" i="1"/>
  <c r="AP135" i="1"/>
  <c r="BM130" i="1"/>
  <c r="BK130" i="1"/>
  <c r="BJ130" i="1"/>
  <c r="BL130" i="1"/>
  <c r="V176" i="1"/>
  <c r="BL144" i="1"/>
  <c r="BK144" i="1"/>
  <c r="BM144" i="1"/>
  <c r="BJ144" i="1"/>
  <c r="C14" i="49"/>
  <c r="V189" i="1"/>
  <c r="O189" i="1" s="1"/>
  <c r="BJ112" i="1"/>
  <c r="BL112" i="1"/>
  <c r="BM112" i="1"/>
  <c r="BK112" i="1"/>
  <c r="EU158" i="98"/>
  <c r="EU153" i="98"/>
  <c r="BG466" i="98"/>
  <c r="EU252" i="98"/>
  <c r="EU251" i="98"/>
  <c r="EU361" i="98"/>
  <c r="EU434" i="98"/>
  <c r="O147" i="1"/>
  <c r="BL147" i="1"/>
  <c r="BM147" i="1"/>
  <c r="BK147" i="1"/>
  <c r="BJ147" i="1"/>
  <c r="AS144" i="1"/>
  <c r="AR192" i="1"/>
  <c r="AS135" i="1"/>
  <c r="BK113" i="1"/>
  <c r="BJ113" i="1"/>
  <c r="BM113" i="1"/>
  <c r="BL113" i="1"/>
  <c r="O113" i="1"/>
  <c r="AR144" i="1"/>
  <c r="O124" i="1"/>
  <c r="O112" i="1"/>
  <c r="AR164" i="1"/>
  <c r="AQ124" i="1"/>
  <c r="AR135" i="1"/>
  <c r="T176" i="1"/>
  <c r="AP176" i="1" s="1"/>
  <c r="AP144" i="1"/>
  <c r="V175" i="1"/>
  <c r="BJ143" i="1"/>
  <c r="BK143" i="1"/>
  <c r="BL143" i="1"/>
  <c r="O143" i="1"/>
  <c r="BM143" i="1"/>
  <c r="V196" i="1"/>
  <c r="BJ135" i="1"/>
  <c r="BL135" i="1"/>
  <c r="BM135" i="1"/>
  <c r="V169" i="1"/>
  <c r="BK135" i="1"/>
  <c r="S121" i="94"/>
  <c r="O130" i="94" s="1"/>
  <c r="BK192" i="1"/>
  <c r="BL192" i="1"/>
  <c r="BJ192" i="1"/>
  <c r="BM192" i="1"/>
  <c r="T189" i="1"/>
  <c r="AS189" i="1" s="1"/>
  <c r="AS112" i="1"/>
  <c r="AP112" i="1"/>
  <c r="C15" i="49"/>
  <c r="BG135" i="1"/>
  <c r="O135" i="1"/>
  <c r="BH135" i="1"/>
  <c r="R196" i="1"/>
  <c r="BF135" i="1"/>
  <c r="R169" i="1"/>
  <c r="BI135" i="1"/>
  <c r="BG144" i="1"/>
  <c r="BF144" i="1"/>
  <c r="O144" i="1"/>
  <c r="BH144" i="1"/>
  <c r="R176" i="1"/>
  <c r="BI144" i="1"/>
  <c r="EU258" i="98"/>
  <c r="EU468" i="98"/>
  <c r="EU254" i="98"/>
  <c r="EU253" i="98"/>
  <c r="EU259" i="98"/>
  <c r="EU256" i="98"/>
  <c r="EU476" i="98"/>
  <c r="EU472" i="98"/>
  <c r="O178" i="1"/>
  <c r="BM178" i="1"/>
  <c r="BJ178" i="1"/>
  <c r="BK178" i="1"/>
  <c r="BL178" i="1"/>
  <c r="AS164" i="1"/>
  <c r="AQ112" i="1"/>
  <c r="BH189" i="1"/>
  <c r="BI189" i="1"/>
  <c r="BF189" i="1"/>
  <c r="BG189" i="1"/>
  <c r="BK164" i="1"/>
  <c r="BM164" i="1"/>
  <c r="BJ164" i="1"/>
  <c r="BL164" i="1"/>
  <c r="BH192" i="1"/>
  <c r="BF192" i="1"/>
  <c r="BG192" i="1"/>
  <c r="O192" i="1"/>
  <c r="BI192" i="1"/>
  <c r="BM163" i="1"/>
  <c r="BK163" i="1"/>
  <c r="BL163" i="1"/>
  <c r="BJ163" i="1"/>
  <c r="U115" i="94"/>
  <c r="EU475" i="98"/>
  <c r="EU474" i="98"/>
  <c r="EU470" i="98"/>
  <c r="O179" i="1"/>
  <c r="BJ179" i="1"/>
  <c r="BM179" i="1"/>
  <c r="BK179" i="1"/>
  <c r="BL179" i="1"/>
  <c r="BK190" i="1"/>
  <c r="BJ190" i="1"/>
  <c r="BL190" i="1"/>
  <c r="BM190" i="1"/>
  <c r="O190" i="1"/>
  <c r="AQ192" i="1"/>
  <c r="AQ164" i="1"/>
  <c r="EU619" i="98"/>
  <c r="EU429" i="98"/>
  <c r="EU438" i="98"/>
  <c r="EU117" i="98"/>
  <c r="BF466" i="98"/>
  <c r="EU442" i="98"/>
  <c r="EU615" i="98"/>
  <c r="EU151" i="98"/>
  <c r="EU90" i="98"/>
  <c r="EU374" i="98"/>
  <c r="EU396" i="98"/>
  <c r="EU578" i="98"/>
  <c r="BF249" i="98"/>
  <c r="AW191" i="1"/>
  <c r="U195" i="117" s="1"/>
  <c r="AN176" i="1"/>
  <c r="AG176" i="1"/>
  <c r="AO176" i="1" s="1"/>
  <c r="AG132" i="1"/>
  <c r="AO132" i="1" s="1"/>
  <c r="AS132" i="1" s="1"/>
  <c r="AN132" i="1"/>
  <c r="AR132" i="1" s="1"/>
  <c r="AN169" i="1"/>
  <c r="AR169" i="1" s="1"/>
  <c r="AG169" i="1"/>
  <c r="AO169" i="1" s="1"/>
  <c r="AS169" i="1" s="1"/>
  <c r="AG116" i="1"/>
  <c r="AO116" i="1" s="1"/>
  <c r="AS116" i="1" s="1"/>
  <c r="AN116" i="1"/>
  <c r="AR116" i="1" s="1"/>
  <c r="AN149" i="1"/>
  <c r="AR149" i="1" s="1"/>
  <c r="AG149" i="1"/>
  <c r="AO149" i="1" s="1"/>
  <c r="AS149" i="1" s="1"/>
  <c r="AG145" i="1"/>
  <c r="AO145" i="1" s="1"/>
  <c r="AS145" i="1" s="1"/>
  <c r="AN145" i="1"/>
  <c r="AR145" i="1" s="1"/>
  <c r="AO194" i="1"/>
  <c r="AS194" i="1" s="1"/>
  <c r="R198" i="117" s="1"/>
  <c r="AG152" i="1"/>
  <c r="AO152" i="1" s="1"/>
  <c r="AS152" i="1" s="1"/>
  <c r="AN152" i="1"/>
  <c r="AR152" i="1" s="1"/>
  <c r="AN115" i="1"/>
  <c r="AR115" i="1" s="1"/>
  <c r="AG115" i="1"/>
  <c r="AO115" i="1" s="1"/>
  <c r="AS115" i="1" s="1"/>
  <c r="AO195" i="1"/>
  <c r="AG158" i="1"/>
  <c r="AO158" i="1" s="1"/>
  <c r="AS158" i="1" s="1"/>
  <c r="AN158" i="1"/>
  <c r="AR158" i="1" s="1"/>
  <c r="EU417" i="98"/>
  <c r="EU562" i="98"/>
  <c r="EU648" i="98"/>
  <c r="EU187" i="98"/>
  <c r="BK5" i="98"/>
  <c r="EU127" i="98"/>
  <c r="EU551" i="98"/>
  <c r="EU591" i="98"/>
  <c r="AO193" i="1"/>
  <c r="AS193" i="1" s="1"/>
  <c r="R197" i="117" s="1"/>
  <c r="AN138" i="1"/>
  <c r="AR138" i="1" s="1"/>
  <c r="AG138" i="1"/>
  <c r="AO138" i="1" s="1"/>
  <c r="AS138" i="1" s="1"/>
  <c r="AN157" i="1"/>
  <c r="AR157" i="1" s="1"/>
  <c r="AG157" i="1"/>
  <c r="AO157" i="1" s="1"/>
  <c r="AS157" i="1" s="1"/>
  <c r="AN166" i="1"/>
  <c r="AR166" i="1" s="1"/>
  <c r="AG166" i="1"/>
  <c r="AO166" i="1" s="1"/>
  <c r="AS166" i="1" s="1"/>
  <c r="AN155" i="1"/>
  <c r="AR155" i="1" s="1"/>
  <c r="AG155" i="1"/>
  <c r="AO155" i="1" s="1"/>
  <c r="AS155" i="1" s="1"/>
  <c r="AG182" i="1"/>
  <c r="AO182" i="1" s="1"/>
  <c r="AS182" i="1" s="1"/>
  <c r="AN182" i="1"/>
  <c r="AR182" i="1" s="1"/>
  <c r="AG161" i="1"/>
  <c r="AO161" i="1" s="1"/>
  <c r="AS161" i="1" s="1"/>
  <c r="AN161" i="1"/>
  <c r="AR161" i="1" s="1"/>
  <c r="AG160" i="1"/>
  <c r="AO160" i="1" s="1"/>
  <c r="AS160" i="1" s="1"/>
  <c r="AN160" i="1"/>
  <c r="AR160" i="1" s="1"/>
  <c r="AG122" i="1"/>
  <c r="AO122" i="1" s="1"/>
  <c r="AS122" i="1" s="1"/>
  <c r="AN122" i="1"/>
  <c r="AR122" i="1" s="1"/>
  <c r="AG197" i="1"/>
  <c r="AN197" i="1"/>
  <c r="AR197" i="1" s="1"/>
  <c r="AG128" i="1"/>
  <c r="AO128" i="1" s="1"/>
  <c r="AS128" i="1" s="1"/>
  <c r="AN128" i="1"/>
  <c r="AR128" i="1" s="1"/>
  <c r="AO198" i="1"/>
  <c r="AS198" i="1" s="1"/>
  <c r="R202" i="117" s="1"/>
  <c r="AG186" i="1"/>
  <c r="AN186" i="1"/>
  <c r="AR186" i="1" s="1"/>
  <c r="AN140" i="1"/>
  <c r="AG140" i="1"/>
  <c r="AO140" i="1" s="1"/>
  <c r="AN150" i="1"/>
  <c r="AR150" i="1" s="1"/>
  <c r="AG150" i="1"/>
  <c r="AO150" i="1" s="1"/>
  <c r="AS150" i="1" s="1"/>
  <c r="AN119" i="1"/>
  <c r="AR119" i="1" s="1"/>
  <c r="AG119" i="1"/>
  <c r="AO119" i="1" s="1"/>
  <c r="AS119" i="1" s="1"/>
  <c r="EU371" i="98"/>
  <c r="EU130" i="98"/>
  <c r="EU402" i="98"/>
  <c r="AV199" i="1"/>
  <c r="T203" i="117" s="1"/>
  <c r="AG154" i="1"/>
  <c r="AO154" i="1" s="1"/>
  <c r="AS154" i="1" s="1"/>
  <c r="AN154" i="1"/>
  <c r="AR154" i="1" s="1"/>
  <c r="AG133" i="1"/>
  <c r="AO133" i="1" s="1"/>
  <c r="AS133" i="1" s="1"/>
  <c r="AN133" i="1"/>
  <c r="AR133" i="1" s="1"/>
  <c r="AG113" i="1"/>
  <c r="AO113" i="1" s="1"/>
  <c r="AS113" i="1" s="1"/>
  <c r="AN113" i="1"/>
  <c r="AR113" i="1" s="1"/>
  <c r="AG129" i="1"/>
  <c r="AO129" i="1" s="1"/>
  <c r="AS129" i="1" s="1"/>
  <c r="AN129" i="1"/>
  <c r="AR129" i="1" s="1"/>
  <c r="AW198" i="1"/>
  <c r="U202" i="117" s="1"/>
  <c r="AN131" i="1"/>
  <c r="AR131" i="1" s="1"/>
  <c r="AG131" i="1"/>
  <c r="AO131" i="1" s="1"/>
  <c r="AS131" i="1" s="1"/>
  <c r="AG127" i="1"/>
  <c r="AO127" i="1" s="1"/>
  <c r="AS127" i="1" s="1"/>
  <c r="AN127" i="1"/>
  <c r="AR127" i="1" s="1"/>
  <c r="AN177" i="1"/>
  <c r="AR177" i="1" s="1"/>
  <c r="AG177" i="1"/>
  <c r="AO177" i="1" s="1"/>
  <c r="AS177" i="1" s="1"/>
  <c r="AW193" i="1"/>
  <c r="U197" i="117" s="1"/>
  <c r="AN114" i="1"/>
  <c r="AR114" i="1" s="1"/>
  <c r="AG114" i="1"/>
  <c r="AO114" i="1" s="1"/>
  <c r="AS114" i="1" s="1"/>
  <c r="AO191" i="1"/>
  <c r="AS191" i="1" s="1"/>
  <c r="R195" i="117" s="1"/>
  <c r="AN180" i="1"/>
  <c r="AR180" i="1" s="1"/>
  <c r="AG180" i="1"/>
  <c r="AO180" i="1" s="1"/>
  <c r="AS180" i="1" s="1"/>
  <c r="AG170" i="1"/>
  <c r="AO170" i="1" s="1"/>
  <c r="AS170" i="1" s="1"/>
  <c r="AN170" i="1"/>
  <c r="AR170" i="1" s="1"/>
  <c r="AG125" i="1"/>
  <c r="AO125" i="1" s="1"/>
  <c r="AS125" i="1" s="1"/>
  <c r="AN125" i="1"/>
  <c r="AR125" i="1" s="1"/>
  <c r="EU101" i="98"/>
  <c r="AG134" i="1"/>
  <c r="AO134" i="1" s="1"/>
  <c r="AS134" i="1" s="1"/>
  <c r="AN134" i="1"/>
  <c r="AR134" i="1" s="1"/>
  <c r="AG142" i="1"/>
  <c r="AO142" i="1" s="1"/>
  <c r="AS142" i="1" s="1"/>
  <c r="AN142" i="1"/>
  <c r="AR142" i="1" s="1"/>
  <c r="AN188" i="1"/>
  <c r="AG188" i="1"/>
  <c r="AG171" i="1"/>
  <c r="AO171" i="1" s="1"/>
  <c r="AS171" i="1" s="1"/>
  <c r="AN171" i="1"/>
  <c r="AR171" i="1" s="1"/>
  <c r="AW195" i="1"/>
  <c r="U199" i="117" s="1"/>
  <c r="AG130" i="1"/>
  <c r="AO130" i="1" s="1"/>
  <c r="AN130" i="1"/>
  <c r="AG141" i="1"/>
  <c r="AO141" i="1" s="1"/>
  <c r="AS141" i="1" s="1"/>
  <c r="AN141" i="1"/>
  <c r="AR141" i="1" s="1"/>
  <c r="AW192" i="1"/>
  <c r="U196" i="117" s="1"/>
  <c r="AG136" i="1"/>
  <c r="AO136" i="1" s="1"/>
  <c r="AN136" i="1"/>
  <c r="AG111" i="1"/>
  <c r="AO111" i="1" s="1"/>
  <c r="AS111" i="1" s="1"/>
  <c r="AN111" i="1"/>
  <c r="AR111" i="1" s="1"/>
  <c r="AG185" i="1"/>
  <c r="AO185" i="1" s="1"/>
  <c r="AN185" i="1"/>
  <c r="AG199" i="1"/>
  <c r="AN199" i="1"/>
  <c r="AR199" i="1" s="1"/>
  <c r="AN110" i="1"/>
  <c r="AR110" i="1" s="1"/>
  <c r="AG110" i="1"/>
  <c r="AO110" i="1" s="1"/>
  <c r="AS110" i="1" s="1"/>
  <c r="AG126" i="1"/>
  <c r="AO126" i="1" s="1"/>
  <c r="AS126" i="1" s="1"/>
  <c r="AN126" i="1"/>
  <c r="AR126" i="1" s="1"/>
  <c r="AN196" i="1"/>
  <c r="AR196" i="1" s="1"/>
  <c r="AG196" i="1"/>
  <c r="AG148" i="1"/>
  <c r="AO148" i="1" s="1"/>
  <c r="AS148" i="1" s="1"/>
  <c r="AN148" i="1"/>
  <c r="AR148" i="1" s="1"/>
  <c r="AG156" i="1"/>
  <c r="AO156" i="1" s="1"/>
  <c r="AS156" i="1" s="1"/>
  <c r="AN156" i="1"/>
  <c r="AR156" i="1" s="1"/>
  <c r="AN123" i="1"/>
  <c r="AR123" i="1" s="1"/>
  <c r="AG123" i="1"/>
  <c r="AO123" i="1" s="1"/>
  <c r="AS123" i="1" s="1"/>
  <c r="AG173" i="1"/>
  <c r="AO173" i="1" s="1"/>
  <c r="AN173" i="1"/>
  <c r="AG120" i="1"/>
  <c r="AO120" i="1" s="1"/>
  <c r="AS120" i="1" s="1"/>
  <c r="AN120" i="1"/>
  <c r="AR120" i="1" s="1"/>
  <c r="AG147" i="1"/>
  <c r="AO147" i="1" s="1"/>
  <c r="AS147" i="1" s="1"/>
  <c r="AN147" i="1"/>
  <c r="AR147" i="1" s="1"/>
  <c r="AN146" i="1"/>
  <c r="AR146" i="1" s="1"/>
  <c r="AG146" i="1"/>
  <c r="AO146" i="1" s="1"/>
  <c r="AS146" i="1" s="1"/>
  <c r="AN139" i="1"/>
  <c r="AR139" i="1" s="1"/>
  <c r="AG139" i="1"/>
  <c r="AO139" i="1" s="1"/>
  <c r="AS139" i="1" s="1"/>
  <c r="AW194" i="1"/>
  <c r="U198" i="117" s="1"/>
  <c r="AN181" i="1"/>
  <c r="AR181" i="1" s="1"/>
  <c r="AG181" i="1"/>
  <c r="AO181" i="1" s="1"/>
  <c r="AS181" i="1" s="1"/>
  <c r="AG143" i="1"/>
  <c r="AO143" i="1" s="1"/>
  <c r="AS143" i="1" s="1"/>
  <c r="AN143" i="1"/>
  <c r="AR143" i="1" s="1"/>
  <c r="AG124" i="1"/>
  <c r="AO124" i="1" s="1"/>
  <c r="AS124" i="1" s="1"/>
  <c r="AN124" i="1"/>
  <c r="AR124" i="1" s="1"/>
  <c r="AG117" i="1"/>
  <c r="AO117" i="1" s="1"/>
  <c r="AS117" i="1" s="1"/>
  <c r="AN117" i="1"/>
  <c r="AR117" i="1" s="1"/>
  <c r="BF215" i="1"/>
  <c r="BI215" i="1"/>
  <c r="BG215" i="1"/>
  <c r="BH215" i="1"/>
  <c r="AO192" i="1"/>
  <c r="AS192" i="1" s="1"/>
  <c r="R196" i="117" s="1"/>
  <c r="AN121" i="1"/>
  <c r="AR121" i="1" s="1"/>
  <c r="AG121" i="1"/>
  <c r="AO121" i="1" s="1"/>
  <c r="AS121" i="1" s="1"/>
  <c r="AG153" i="1"/>
  <c r="AN153" i="1"/>
  <c r="AR153" i="1" s="1"/>
  <c r="AN137" i="1"/>
  <c r="AR137" i="1" s="1"/>
  <c r="AG137" i="1"/>
  <c r="EP612" i="98"/>
  <c r="BL612" i="98"/>
  <c r="EK264" i="98"/>
  <c r="BG264" i="98"/>
  <c r="BG249" i="98" s="1"/>
  <c r="EP334" i="98"/>
  <c r="BL334" i="98"/>
  <c r="BK334" i="98"/>
  <c r="EO334" i="98"/>
  <c r="EP395" i="98"/>
  <c r="BL395" i="98"/>
  <c r="BJ397" i="98"/>
  <c r="EN397" i="98"/>
  <c r="EN345" i="98"/>
  <c r="BJ345" i="98"/>
  <c r="EP625" i="98"/>
  <c r="BL625" i="98"/>
  <c r="BJ408" i="98"/>
  <c r="EN408" i="98"/>
  <c r="BI466" i="98"/>
  <c r="BH264" i="98"/>
  <c r="BH249" i="98" s="1"/>
  <c r="EL264" i="98"/>
  <c r="EN373" i="98"/>
  <c r="BJ373" i="98"/>
  <c r="BL614" i="98"/>
  <c r="EP614" i="98"/>
  <c r="EU634" i="98"/>
  <c r="EO612" i="98"/>
  <c r="BK612" i="98"/>
  <c r="EO373" i="98"/>
  <c r="BK373" i="98"/>
  <c r="EN614" i="98"/>
  <c r="BJ614" i="98"/>
  <c r="BK614" i="98"/>
  <c r="EO614" i="98"/>
  <c r="EP431" i="98"/>
  <c r="BL431" i="98"/>
  <c r="BK431" i="98"/>
  <c r="EO431" i="98"/>
  <c r="BI249" i="98"/>
  <c r="EO397" i="98"/>
  <c r="BK397" i="98"/>
  <c r="EU440" i="98"/>
  <c r="EO625" i="98"/>
  <c r="BK625" i="98"/>
  <c r="BL5" i="98"/>
  <c r="EU613" i="98"/>
  <c r="EO408" i="98"/>
  <c r="BK408" i="98"/>
  <c r="EO590" i="98"/>
  <c r="BK590" i="98"/>
  <c r="EN431" i="98"/>
  <c r="BJ431" i="98"/>
  <c r="EO395" i="98"/>
  <c r="BK395" i="98"/>
  <c r="BD608" i="98"/>
  <c r="ET608" i="98" s="1"/>
  <c r="EU608" i="98" s="1"/>
  <c r="BD391" i="98"/>
  <c r="ET391" i="98" s="1"/>
  <c r="EU391" i="98" s="1"/>
  <c r="ET147" i="98"/>
  <c r="EU147" i="98" s="1"/>
  <c r="BH466" i="98"/>
  <c r="EN612" i="98"/>
  <c r="BJ612" i="98"/>
  <c r="EP373" i="98"/>
  <c r="BL373" i="98"/>
  <c r="EN334" i="98"/>
  <c r="BJ334" i="98"/>
  <c r="BJ5" i="98"/>
  <c r="BJ395" i="98"/>
  <c r="EN395" i="98"/>
  <c r="EP397" i="98"/>
  <c r="EU397" i="98" s="1"/>
  <c r="BL397" i="98"/>
  <c r="EP345" i="98"/>
  <c r="BL345" i="98"/>
  <c r="BK345" i="98"/>
  <c r="EO345" i="98"/>
  <c r="BJ625" i="98"/>
  <c r="EN625" i="98"/>
  <c r="EP408" i="98"/>
  <c r="BL408" i="98"/>
  <c r="EN590" i="98"/>
  <c r="BJ590" i="98"/>
  <c r="BL590" i="98"/>
  <c r="EP590" i="98"/>
  <c r="AC143" i="94"/>
  <c r="U143" i="94"/>
  <c r="AA143" i="94"/>
  <c r="S143" i="94"/>
  <c r="AE143" i="94"/>
  <c r="V143" i="94"/>
  <c r="Z143" i="94"/>
  <c r="AG143" i="94"/>
  <c r="Y143" i="94"/>
  <c r="AD143" i="94"/>
  <c r="AB143" i="94"/>
  <c r="AF143" i="94"/>
  <c r="T143" i="94"/>
  <c r="W143" i="94"/>
  <c r="X143" i="94"/>
  <c r="Q124" i="94"/>
  <c r="O129" i="94"/>
  <c r="C21" i="94"/>
  <c r="S142" i="94"/>
  <c r="AE142" i="94"/>
  <c r="U142" i="94"/>
  <c r="AC142" i="94"/>
  <c r="AA142" i="94"/>
  <c r="AG142" i="94"/>
  <c r="Y142" i="94"/>
  <c r="AB142" i="94"/>
  <c r="V142" i="94"/>
  <c r="W142" i="94"/>
  <c r="Z142" i="94"/>
  <c r="AF142" i="94"/>
  <c r="X142" i="94"/>
  <c r="AD142" i="94"/>
  <c r="T142" i="94"/>
  <c r="C17" i="36"/>
  <c r="C28" i="36"/>
  <c r="U121" i="94"/>
  <c r="C22" i="94" s="1"/>
  <c r="T91" i="90"/>
  <c r="H28" i="90" s="1"/>
  <c r="F10" i="90"/>
  <c r="I15" i="90"/>
  <c r="V91" i="90"/>
  <c r="J28" i="90" s="1"/>
  <c r="C15" i="90"/>
  <c r="Y132" i="88"/>
  <c r="C8" i="88" s="1"/>
  <c r="T82" i="91"/>
  <c r="P87" i="91"/>
  <c r="Q82" i="91"/>
  <c r="C33" i="36"/>
  <c r="C13" i="36"/>
  <c r="R130" i="1" s="1"/>
  <c r="C24" i="36"/>
  <c r="C27" i="36" s="1"/>
  <c r="C16" i="38"/>
  <c r="Q115" i="92"/>
  <c r="C27" i="92" s="1"/>
  <c r="I9" i="92"/>
  <c r="C9" i="92"/>
  <c r="C14" i="92" s="1"/>
  <c r="C15" i="38"/>
  <c r="V168" i="1" s="1"/>
  <c r="C34" i="38"/>
  <c r="C26" i="38"/>
  <c r="C28" i="38" s="1"/>
  <c r="C28" i="44"/>
  <c r="C17" i="44"/>
  <c r="C24" i="47"/>
  <c r="C33" i="47"/>
  <c r="C13" i="47"/>
  <c r="R136" i="1" s="1"/>
  <c r="C14" i="36"/>
  <c r="T130" i="1" s="1"/>
  <c r="AP130" i="1" s="1"/>
  <c r="C25" i="36"/>
  <c r="C26" i="45"/>
  <c r="C34" i="45"/>
  <c r="C15" i="45"/>
  <c r="C15" i="93"/>
  <c r="C29" i="93" s="1"/>
  <c r="I15" i="93"/>
  <c r="I29" i="93" s="1"/>
  <c r="I11" i="93"/>
  <c r="F12" i="93"/>
  <c r="C11" i="93"/>
  <c r="R185" i="1" s="1"/>
  <c r="I12" i="93"/>
  <c r="F11" i="93"/>
  <c r="C12" i="93"/>
  <c r="T185" i="1" s="1"/>
  <c r="AP185" i="1" s="1"/>
  <c r="C28" i="48"/>
  <c r="C17" i="48"/>
  <c r="U82" i="90"/>
  <c r="Q87" i="90"/>
  <c r="C12" i="47"/>
  <c r="C35" i="47"/>
  <c r="C11" i="47"/>
  <c r="C24" i="45"/>
  <c r="C33" i="45"/>
  <c r="C13" i="45"/>
  <c r="C17" i="49"/>
  <c r="C28" i="49"/>
  <c r="C11" i="37"/>
  <c r="C12" i="37"/>
  <c r="C35" i="37"/>
  <c r="I8" i="78"/>
  <c r="C9" i="91"/>
  <c r="I9" i="91"/>
  <c r="I21" i="91" s="1"/>
  <c r="R91" i="91"/>
  <c r="F28" i="91" s="1"/>
  <c r="C34" i="47"/>
  <c r="C15" i="47"/>
  <c r="V136" i="1" s="1"/>
  <c r="C26" i="47"/>
  <c r="C24" i="46"/>
  <c r="C13" i="46"/>
  <c r="C33" i="46"/>
  <c r="I15" i="92"/>
  <c r="I29" i="92" s="1"/>
  <c r="C15" i="92"/>
  <c r="C29" i="92" s="1"/>
  <c r="C25" i="47"/>
  <c r="C14" i="47"/>
  <c r="T136" i="1" s="1"/>
  <c r="AP136" i="1" s="1"/>
  <c r="C28" i="93"/>
  <c r="C12" i="91"/>
  <c r="C11" i="91"/>
  <c r="C14" i="45"/>
  <c r="C25" i="45"/>
  <c r="C16" i="36"/>
  <c r="C12" i="95"/>
  <c r="C11" i="95"/>
  <c r="C25" i="88"/>
  <c r="R140" i="1" s="1"/>
  <c r="C17" i="88"/>
  <c r="S104" i="92"/>
  <c r="R112" i="92"/>
  <c r="F6" i="92" s="1"/>
  <c r="F13" i="92" s="1"/>
  <c r="C25" i="38"/>
  <c r="C14" i="38"/>
  <c r="T168" i="1" s="1"/>
  <c r="Q115" i="93"/>
  <c r="C27" i="93" s="1"/>
  <c r="I9" i="93"/>
  <c r="C9" i="93"/>
  <c r="C33" i="37"/>
  <c r="C13" i="37"/>
  <c r="R195" i="1" s="1"/>
  <c r="C24" i="37"/>
  <c r="C16" i="48"/>
  <c r="C27" i="48"/>
  <c r="C33" i="96"/>
  <c r="C15" i="96"/>
  <c r="C26" i="96"/>
  <c r="C13" i="90"/>
  <c r="V152" i="1" s="1"/>
  <c r="C21" i="90"/>
  <c r="C26" i="89"/>
  <c r="T172" i="1" s="1"/>
  <c r="AS172" i="1" s="1"/>
  <c r="C18" i="89"/>
  <c r="S91" i="91"/>
  <c r="G28" i="91" s="1"/>
  <c r="C10" i="91"/>
  <c r="C27" i="89"/>
  <c r="V172" i="1" s="1"/>
  <c r="C19" i="89"/>
  <c r="C20" i="89" s="1"/>
  <c r="C10" i="89"/>
  <c r="C12" i="46"/>
  <c r="C35" i="46"/>
  <c r="C11" i="46"/>
  <c r="X115" i="94"/>
  <c r="X121" i="94" s="1"/>
  <c r="C23" i="94" s="1"/>
  <c r="C39" i="94" s="1"/>
  <c r="F12" i="92"/>
  <c r="C11" i="92"/>
  <c r="I11" i="92"/>
  <c r="F11" i="92"/>
  <c r="I12" i="92"/>
  <c r="C12" i="92"/>
  <c r="C26" i="46"/>
  <c r="C15" i="46"/>
  <c r="C34" i="46"/>
  <c r="C18" i="88"/>
  <c r="C26" i="88"/>
  <c r="T140" i="1" s="1"/>
  <c r="AP140" i="1" s="1"/>
  <c r="C13" i="78"/>
  <c r="C15" i="78"/>
  <c r="C21" i="78"/>
  <c r="C22" i="78" s="1"/>
  <c r="C12" i="45"/>
  <c r="C35" i="45"/>
  <c r="C11" i="45"/>
  <c r="C25" i="89"/>
  <c r="R172" i="1" s="1"/>
  <c r="C17" i="89"/>
  <c r="C10" i="90"/>
  <c r="S91" i="90"/>
  <c r="G28" i="90" s="1"/>
  <c r="C12" i="96"/>
  <c r="T173" i="1" s="1"/>
  <c r="AP173" i="1" s="1"/>
  <c r="C11" i="96"/>
  <c r="R173" i="1" s="1"/>
  <c r="C25" i="46"/>
  <c r="C14" i="46"/>
  <c r="C17" i="38"/>
  <c r="C28" i="92"/>
  <c r="C16" i="44"/>
  <c r="C27" i="44"/>
  <c r="C24" i="38"/>
  <c r="C27" i="38" s="1"/>
  <c r="C33" i="38"/>
  <c r="C13" i="38"/>
  <c r="R168" i="1" s="1"/>
  <c r="S104" i="93"/>
  <c r="R112" i="93"/>
  <c r="F6" i="93" s="1"/>
  <c r="F13" i="93" s="1"/>
  <c r="V91" i="91"/>
  <c r="J28" i="91" s="1"/>
  <c r="C15" i="91"/>
  <c r="I15" i="91"/>
  <c r="C27" i="49"/>
  <c r="C16" i="49"/>
  <c r="C25" i="37"/>
  <c r="C14" i="37"/>
  <c r="T195" i="1" s="1"/>
  <c r="AR195" i="1" s="1"/>
  <c r="C11" i="90"/>
  <c r="C12" i="90"/>
  <c r="C13" i="96"/>
  <c r="V173" i="1" s="1"/>
  <c r="C13" i="77"/>
  <c r="C15" i="77"/>
  <c r="C21" i="77"/>
  <c r="C22" i="77" s="1"/>
  <c r="AS176" i="1" l="1"/>
  <c r="AW196" i="1"/>
  <c r="U200" i="117" s="1"/>
  <c r="T200" i="117"/>
  <c r="AW197" i="1"/>
  <c r="U201" i="117" s="1"/>
  <c r="T201" i="117"/>
  <c r="AR176" i="1"/>
  <c r="O195" i="1"/>
  <c r="BI195" i="1"/>
  <c r="BF195" i="1"/>
  <c r="BG195" i="1"/>
  <c r="BH195" i="1"/>
  <c r="V142" i="1"/>
  <c r="V174" i="1"/>
  <c r="V141" i="1"/>
  <c r="BM173" i="1"/>
  <c r="BL173" i="1"/>
  <c r="BK173" i="1"/>
  <c r="BJ173" i="1"/>
  <c r="O168" i="1"/>
  <c r="BI168" i="1"/>
  <c r="BF168" i="1"/>
  <c r="BH168" i="1"/>
  <c r="BG168" i="1"/>
  <c r="BK172" i="1"/>
  <c r="BM172" i="1"/>
  <c r="BL172" i="1"/>
  <c r="BJ172" i="1"/>
  <c r="AP168" i="1"/>
  <c r="AQ168" i="1"/>
  <c r="BK136" i="1"/>
  <c r="BJ136" i="1"/>
  <c r="V197" i="1"/>
  <c r="BL136" i="1"/>
  <c r="V170" i="1"/>
  <c r="BM136" i="1"/>
  <c r="BG185" i="1"/>
  <c r="BF185" i="1"/>
  <c r="BI185" i="1"/>
  <c r="BH185" i="1"/>
  <c r="AR173" i="1"/>
  <c r="AR130" i="1"/>
  <c r="AR140" i="1"/>
  <c r="AQ130" i="1"/>
  <c r="AQ173" i="1"/>
  <c r="AR172" i="1"/>
  <c r="BL176" i="1"/>
  <c r="BM176" i="1"/>
  <c r="BK176" i="1"/>
  <c r="BJ176" i="1"/>
  <c r="AS173" i="1"/>
  <c r="AS130" i="1"/>
  <c r="AS195" i="1"/>
  <c r="R199" i="117" s="1"/>
  <c r="AS168" i="1"/>
  <c r="AQ185" i="1"/>
  <c r="BF169" i="1"/>
  <c r="BH169" i="1"/>
  <c r="O169" i="1"/>
  <c r="BG169" i="1"/>
  <c r="BI169" i="1"/>
  <c r="BJ169" i="1"/>
  <c r="BL169" i="1"/>
  <c r="BM169" i="1"/>
  <c r="BK169" i="1"/>
  <c r="BM196" i="1"/>
  <c r="BK196" i="1"/>
  <c r="BJ196" i="1"/>
  <c r="BL196" i="1"/>
  <c r="O173" i="1"/>
  <c r="BI173" i="1"/>
  <c r="BF173" i="1"/>
  <c r="BH173" i="1"/>
  <c r="BG173" i="1"/>
  <c r="BK168" i="1"/>
  <c r="BL168" i="1"/>
  <c r="BM168" i="1"/>
  <c r="BJ168" i="1"/>
  <c r="O130" i="1"/>
  <c r="BF130" i="1"/>
  <c r="BI130" i="1"/>
  <c r="BH130" i="1"/>
  <c r="BG130" i="1"/>
  <c r="BJ466" i="98"/>
  <c r="AR185" i="1"/>
  <c r="AR136" i="1"/>
  <c r="AR168" i="1"/>
  <c r="AP189" i="1"/>
  <c r="AQ189" i="1"/>
  <c r="BK189" i="1"/>
  <c r="BJ189" i="1"/>
  <c r="BL189" i="1"/>
  <c r="BM189" i="1"/>
  <c r="AP195" i="1"/>
  <c r="AQ195" i="1"/>
  <c r="BJ152" i="1"/>
  <c r="BL152" i="1"/>
  <c r="O152" i="1"/>
  <c r="BM152" i="1"/>
  <c r="BK152" i="1"/>
  <c r="BF172" i="1"/>
  <c r="BG172" i="1"/>
  <c r="BH172" i="1"/>
  <c r="O172" i="1"/>
  <c r="BI172" i="1"/>
  <c r="AP172" i="1"/>
  <c r="AQ172" i="1"/>
  <c r="BH140" i="1"/>
  <c r="BF140" i="1"/>
  <c r="BG140" i="1"/>
  <c r="BI140" i="1"/>
  <c r="BI136" i="1"/>
  <c r="O136" i="1"/>
  <c r="BG136" i="1"/>
  <c r="R197" i="1"/>
  <c r="BH136" i="1"/>
  <c r="R170" i="1"/>
  <c r="BF136" i="1"/>
  <c r="EU590" i="98"/>
  <c r="AS185" i="1"/>
  <c r="AS136" i="1"/>
  <c r="AS140" i="1"/>
  <c r="AQ176" i="1"/>
  <c r="O176" i="1"/>
  <c r="BG176" i="1"/>
  <c r="BI176" i="1"/>
  <c r="BH176" i="1"/>
  <c r="BF176" i="1"/>
  <c r="O196" i="1"/>
  <c r="BI196" i="1"/>
  <c r="BG196" i="1"/>
  <c r="BF196" i="1"/>
  <c r="BH196" i="1"/>
  <c r="O175" i="1"/>
  <c r="BM175" i="1"/>
  <c r="BJ175" i="1"/>
  <c r="BK175" i="1"/>
  <c r="BL175" i="1"/>
  <c r="AQ140" i="1"/>
  <c r="AQ136" i="1"/>
  <c r="AR189" i="1"/>
  <c r="BK466" i="98"/>
  <c r="EU373" i="98"/>
  <c r="EU334" i="98"/>
  <c r="EU614" i="98"/>
  <c r="EU345" i="98"/>
  <c r="AO199" i="1"/>
  <c r="AS199" i="1" s="1"/>
  <c r="R203" i="117" s="1"/>
  <c r="AO188" i="1"/>
  <c r="AO197" i="1"/>
  <c r="AS197" i="1" s="1"/>
  <c r="R201" i="117" s="1"/>
  <c r="BL466" i="98"/>
  <c r="AO196" i="1"/>
  <c r="AS196" i="1" s="1"/>
  <c r="R200" i="117" s="1"/>
  <c r="EU264" i="98"/>
  <c r="AW199" i="1"/>
  <c r="U203" i="117" s="1"/>
  <c r="EU408" i="98"/>
  <c r="AO186" i="1"/>
  <c r="AS186" i="1" s="1"/>
  <c r="AO137" i="1"/>
  <c r="AS137" i="1" s="1"/>
  <c r="AO153" i="1"/>
  <c r="AS153" i="1" s="1"/>
  <c r="BL249" i="98"/>
  <c r="EU395" i="98"/>
  <c r="BJ249" i="98"/>
  <c r="EU431" i="98"/>
  <c r="EU612" i="98"/>
  <c r="EU625" i="98"/>
  <c r="BK249" i="98"/>
  <c r="S112" i="92"/>
  <c r="F10" i="92" s="1"/>
  <c r="T104" i="92"/>
  <c r="T112" i="92" s="1"/>
  <c r="I10" i="92" s="1"/>
  <c r="U91" i="90"/>
  <c r="I28" i="90" s="1"/>
  <c r="I10" i="90"/>
  <c r="I22" i="90" s="1"/>
  <c r="AG138" i="94"/>
  <c r="AC138" i="94"/>
  <c r="Y138" i="94"/>
  <c r="U138" i="94"/>
  <c r="AE138" i="94"/>
  <c r="AA138" i="94"/>
  <c r="W138" i="94"/>
  <c r="S138" i="94"/>
  <c r="AF138" i="94"/>
  <c r="X138" i="94"/>
  <c r="AD138" i="94"/>
  <c r="V138" i="94"/>
  <c r="AB138" i="94"/>
  <c r="T138" i="94"/>
  <c r="Z138" i="94"/>
  <c r="O138" i="94"/>
  <c r="F23" i="94" s="1"/>
  <c r="F39" i="94" s="1"/>
  <c r="C16" i="45"/>
  <c r="C27" i="45"/>
  <c r="S112" i="93"/>
  <c r="F10" i="93" s="1"/>
  <c r="T104" i="93"/>
  <c r="T112" i="93" s="1"/>
  <c r="I10" i="93" s="1"/>
  <c r="C14" i="90"/>
  <c r="C22" i="90"/>
  <c r="C14" i="91"/>
  <c r="C13" i="93"/>
  <c r="V185" i="1" s="1"/>
  <c r="O185" i="1" s="1"/>
  <c r="C21" i="93"/>
  <c r="C22" i="93" s="1"/>
  <c r="C14" i="93"/>
  <c r="C27" i="37"/>
  <c r="C16" i="37"/>
  <c r="C13" i="92"/>
  <c r="V153" i="1" s="1"/>
  <c r="C21" i="92"/>
  <c r="C22" i="92" s="1"/>
  <c r="Q87" i="91"/>
  <c r="U82" i="91"/>
  <c r="C27" i="88"/>
  <c r="V140" i="1" s="1"/>
  <c r="O140" i="1" s="1"/>
  <c r="C19" i="88"/>
  <c r="C20" i="88" s="1"/>
  <c r="C10" i="88"/>
  <c r="O137" i="94"/>
  <c r="F22" i="94" s="1"/>
  <c r="C28" i="46"/>
  <c r="C17" i="46"/>
  <c r="C21" i="91"/>
  <c r="C22" i="91" s="1"/>
  <c r="C13" i="91"/>
  <c r="C17" i="37"/>
  <c r="C28" i="37"/>
  <c r="C16" i="47"/>
  <c r="C27" i="47"/>
  <c r="C28" i="45"/>
  <c r="C17" i="45"/>
  <c r="C16" i="46"/>
  <c r="C27" i="46"/>
  <c r="I27" i="93"/>
  <c r="I21" i="93"/>
  <c r="C28" i="47"/>
  <c r="C17" i="47"/>
  <c r="I27" i="92"/>
  <c r="I21" i="92"/>
  <c r="F10" i="91"/>
  <c r="T91" i="91"/>
  <c r="H28" i="91" s="1"/>
  <c r="C24" i="94"/>
  <c r="C38" i="94"/>
  <c r="C25" i="94"/>
  <c r="C37" i="94"/>
  <c r="C31" i="94"/>
  <c r="C32" i="94" s="1"/>
  <c r="O197" i="1" l="1"/>
  <c r="BG197" i="1"/>
  <c r="BF197" i="1"/>
  <c r="BI197" i="1"/>
  <c r="BH197" i="1"/>
  <c r="BK141" i="1"/>
  <c r="BM141" i="1"/>
  <c r="BL141" i="1"/>
  <c r="BJ141" i="1"/>
  <c r="O141" i="1"/>
  <c r="BK197" i="1"/>
  <c r="BJ197" i="1"/>
  <c r="BM197" i="1"/>
  <c r="BL197" i="1"/>
  <c r="O174" i="1"/>
  <c r="BK174" i="1"/>
  <c r="BM174" i="1"/>
  <c r="BJ174" i="1"/>
  <c r="BL174" i="1"/>
  <c r="O153" i="1"/>
  <c r="V156" i="1"/>
  <c r="BM153" i="1"/>
  <c r="BL153" i="1"/>
  <c r="BJ153" i="1"/>
  <c r="BK153" i="1"/>
  <c r="BL185" i="1"/>
  <c r="BJ185" i="1"/>
  <c r="BM185" i="1"/>
  <c r="BK185" i="1"/>
  <c r="BI170" i="1"/>
  <c r="BH170" i="1"/>
  <c r="O170" i="1"/>
  <c r="BG170" i="1"/>
  <c r="BF170" i="1"/>
  <c r="BL142" i="1"/>
  <c r="BK142" i="1"/>
  <c r="BM142" i="1"/>
  <c r="O142" i="1"/>
  <c r="BJ142" i="1"/>
  <c r="BJ140" i="1"/>
  <c r="BL140" i="1"/>
  <c r="BK140" i="1"/>
  <c r="BM140" i="1"/>
  <c r="BJ170" i="1"/>
  <c r="BK170" i="1"/>
  <c r="BM170" i="1"/>
  <c r="BL170" i="1"/>
  <c r="F38" i="94"/>
  <c r="O136" i="94"/>
  <c r="F21" i="94" s="1"/>
  <c r="I28" i="92"/>
  <c r="I22" i="92"/>
  <c r="I14" i="92"/>
  <c r="U91" i="91"/>
  <c r="I28" i="91" s="1"/>
  <c r="I10" i="91"/>
  <c r="I22" i="91" s="1"/>
  <c r="I28" i="93"/>
  <c r="I22" i="93"/>
  <c r="I14" i="93"/>
  <c r="O156" i="1" l="1"/>
  <c r="BJ156" i="1"/>
  <c r="BM156" i="1"/>
  <c r="BL156" i="1"/>
  <c r="BK156" i="1"/>
  <c r="F37" i="94"/>
  <c r="F24" i="94"/>
  <c r="F31" i="94"/>
  <c r="F32" i="94" s="1"/>
  <c r="F25" i="94"/>
  <c r="I12" i="74" l="1"/>
  <c r="I9" i="74"/>
  <c r="C19" i="74"/>
  <c r="I12" i="75"/>
  <c r="I9" i="75"/>
  <c r="C19" i="75"/>
  <c r="I12" i="76"/>
  <c r="I9" i="76"/>
  <c r="C19" i="76"/>
  <c r="C20" i="76" l="1"/>
  <c r="I10" i="76"/>
  <c r="I10" i="75"/>
  <c r="C20" i="75"/>
  <c r="I10" i="74"/>
  <c r="C20" i="74"/>
  <c r="X25" i="30" l="1"/>
  <c r="U25" i="30"/>
  <c r="R25" i="30"/>
  <c r="O25" i="30"/>
  <c r="L25" i="30"/>
  <c r="L27" i="30" s="1"/>
  <c r="I25" i="30"/>
  <c r="I27" i="30" s="1"/>
  <c r="F25" i="30"/>
  <c r="F27" i="30" s="1"/>
  <c r="X15" i="30"/>
  <c r="X27" i="30" s="1"/>
  <c r="U15" i="30"/>
  <c r="R15" i="30"/>
  <c r="O15" i="30"/>
  <c r="M4" i="2"/>
  <c r="U27" i="30" l="1"/>
  <c r="R27" i="30"/>
  <c r="O27" i="30"/>
  <c r="B22" i="116" s="1"/>
  <c r="M748" i="2" l="1"/>
  <c r="N748" i="2"/>
  <c r="O748" i="2"/>
  <c r="P748" i="2"/>
  <c r="Q748" i="2"/>
  <c r="R748" i="2"/>
  <c r="S748" i="2"/>
  <c r="T748" i="2"/>
  <c r="M749" i="2"/>
  <c r="N749" i="2"/>
  <c r="O749" i="2"/>
  <c r="P749" i="2"/>
  <c r="Q749" i="2"/>
  <c r="R749" i="2"/>
  <c r="S749" i="2"/>
  <c r="T749" i="2"/>
  <c r="M6" i="18" l="1"/>
  <c r="M5" i="18"/>
  <c r="M4" i="18"/>
  <c r="C351" i="18"/>
  <c r="C353" i="18" s="1"/>
  <c r="C28" i="18"/>
  <c r="N8" i="18" l="1"/>
  <c r="C33" i="18" s="1"/>
  <c r="C31" i="18"/>
  <c r="AD98" i="1" l="1"/>
  <c r="AE98" i="1" s="1"/>
  <c r="AT98" i="1"/>
  <c r="AU98" i="1" s="1"/>
  <c r="BB98" i="1"/>
  <c r="BF98" i="1" s="1"/>
  <c r="BC98" i="1"/>
  <c r="BG98" i="1" s="1"/>
  <c r="BD98" i="1"/>
  <c r="BH98" i="1" s="1"/>
  <c r="BE98" i="1"/>
  <c r="BI98" i="1" s="1"/>
  <c r="B98" i="1"/>
  <c r="AL98" i="1" l="1"/>
  <c r="AP98" i="1" s="1"/>
  <c r="AV98" i="1"/>
  <c r="AM98" i="1"/>
  <c r="AQ98" i="1" s="1"/>
  <c r="AF98" i="1"/>
  <c r="AN98" i="1" l="1"/>
  <c r="AR98" i="1" s="1"/>
  <c r="AG98" i="1"/>
  <c r="AW98" i="1"/>
  <c r="AO98" i="1" l="1"/>
  <c r="AS98" i="1" s="1"/>
  <c r="K241" i="16" l="1"/>
  <c r="J241" i="16"/>
  <c r="C241" i="16"/>
  <c r="L241" i="16"/>
  <c r="M241" i="16" l="1"/>
  <c r="S102" i="117" l="1"/>
  <c r="S103" i="117"/>
  <c r="S104" i="117"/>
  <c r="S105" i="117"/>
  <c r="S106" i="117"/>
  <c r="S107" i="117"/>
  <c r="S108" i="117"/>
  <c r="S109" i="117"/>
  <c r="S110" i="117"/>
  <c r="S112" i="117"/>
  <c r="S114" i="117"/>
  <c r="S115" i="117"/>
  <c r="S116" i="117"/>
  <c r="S117" i="117"/>
  <c r="S118" i="117"/>
  <c r="S119" i="117"/>
  <c r="S120" i="117"/>
  <c r="S121" i="117"/>
  <c r="S122" i="117"/>
  <c r="S123" i="117"/>
  <c r="S124" i="117"/>
  <c r="S125" i="117"/>
  <c r="S126" i="117"/>
  <c r="S127" i="117"/>
  <c r="S128" i="117"/>
  <c r="S129" i="117"/>
  <c r="S130" i="117"/>
  <c r="S131" i="117"/>
  <c r="S132" i="117"/>
  <c r="S133" i="117"/>
  <c r="S134" i="117"/>
  <c r="S135" i="117"/>
  <c r="S136" i="117"/>
  <c r="S137" i="117"/>
  <c r="S138" i="117"/>
  <c r="S139" i="117"/>
  <c r="S140" i="117"/>
  <c r="S141" i="117"/>
  <c r="S142" i="117"/>
  <c r="S143" i="117"/>
  <c r="S144" i="117"/>
  <c r="S145" i="117"/>
  <c r="S146" i="117"/>
  <c r="S147" i="117"/>
  <c r="S148" i="117"/>
  <c r="S149" i="117"/>
  <c r="S150" i="117"/>
  <c r="S151" i="117"/>
  <c r="S152" i="117"/>
  <c r="U102" i="117"/>
  <c r="U103" i="117"/>
  <c r="U104" i="117"/>
  <c r="U105" i="117"/>
  <c r="U106" i="117"/>
  <c r="U107" i="117"/>
  <c r="U108" i="117"/>
  <c r="U109" i="117"/>
  <c r="U110" i="117"/>
  <c r="U112" i="117"/>
  <c r="U114" i="117"/>
  <c r="U115" i="117"/>
  <c r="U116" i="117"/>
  <c r="U117" i="117"/>
  <c r="U118" i="117"/>
  <c r="U119" i="117"/>
  <c r="U120" i="117"/>
  <c r="U121" i="117"/>
  <c r="U122" i="117"/>
  <c r="U123" i="117"/>
  <c r="U124" i="117"/>
  <c r="U125" i="117"/>
  <c r="U126" i="117"/>
  <c r="U127" i="117"/>
  <c r="U128" i="117"/>
  <c r="U129" i="117"/>
  <c r="U130" i="117"/>
  <c r="U131" i="117"/>
  <c r="U132" i="117"/>
  <c r="U133" i="117"/>
  <c r="U134" i="117"/>
  <c r="U135" i="117"/>
  <c r="U136" i="117"/>
  <c r="U137" i="117"/>
  <c r="U138" i="117"/>
  <c r="U139" i="117"/>
  <c r="U140" i="117"/>
  <c r="U141" i="117"/>
  <c r="U142" i="117"/>
  <c r="U143" i="117"/>
  <c r="U144" i="117"/>
  <c r="U145" i="117"/>
  <c r="U146" i="117"/>
  <c r="U147" i="117"/>
  <c r="U148" i="117"/>
  <c r="U149" i="117"/>
  <c r="U150" i="117"/>
  <c r="U151" i="117"/>
  <c r="U152" i="117"/>
  <c r="R103" i="117"/>
  <c r="R105" i="117"/>
  <c r="R107" i="117"/>
  <c r="R109" i="117"/>
  <c r="R115" i="117"/>
  <c r="R117" i="117"/>
  <c r="R119" i="117"/>
  <c r="R121" i="117"/>
  <c r="R123" i="117"/>
  <c r="R125" i="117"/>
  <c r="R127" i="117"/>
  <c r="R129" i="117"/>
  <c r="R131" i="117"/>
  <c r="R133" i="117"/>
  <c r="R135" i="117"/>
  <c r="R137" i="117"/>
  <c r="R139" i="117"/>
  <c r="R141" i="117"/>
  <c r="R143" i="117"/>
  <c r="R145" i="117"/>
  <c r="R147" i="117"/>
  <c r="R149" i="117"/>
  <c r="R151" i="117"/>
  <c r="R153" i="117"/>
  <c r="R154" i="117"/>
  <c r="R155" i="117"/>
  <c r="R156" i="117"/>
  <c r="R157" i="117"/>
  <c r="R158" i="117"/>
  <c r="R159" i="117"/>
  <c r="R160" i="117"/>
  <c r="R161" i="117"/>
  <c r="R162" i="117"/>
  <c r="R163" i="117"/>
  <c r="R164" i="117"/>
  <c r="R165" i="117"/>
  <c r="R166" i="117"/>
  <c r="R167" i="117"/>
  <c r="R168" i="117"/>
  <c r="R169" i="117"/>
  <c r="R170" i="117"/>
  <c r="R171" i="117"/>
  <c r="R172" i="117"/>
  <c r="R173" i="117"/>
  <c r="R174" i="117"/>
  <c r="R175" i="117"/>
  <c r="R176" i="117"/>
  <c r="R177" i="117"/>
  <c r="R178" i="117"/>
  <c r="R179" i="117"/>
  <c r="R180" i="117"/>
  <c r="R181" i="117"/>
  <c r="R182" i="117"/>
  <c r="R183" i="117"/>
  <c r="R184" i="117"/>
  <c r="R185" i="117"/>
  <c r="R186" i="117"/>
  <c r="R187" i="117"/>
  <c r="R188" i="117"/>
  <c r="R189" i="117"/>
  <c r="R190" i="117"/>
  <c r="R191" i="117"/>
  <c r="R192" i="117"/>
  <c r="R193" i="117"/>
  <c r="T103" i="117"/>
  <c r="T105" i="117"/>
  <c r="T107" i="117"/>
  <c r="T109" i="117"/>
  <c r="T115" i="117"/>
  <c r="T117" i="117"/>
  <c r="T119" i="117"/>
  <c r="T121" i="117"/>
  <c r="T123" i="117"/>
  <c r="T125" i="117"/>
  <c r="T127" i="117"/>
  <c r="T129" i="117"/>
  <c r="T131" i="117"/>
  <c r="T133" i="117"/>
  <c r="T135" i="117"/>
  <c r="T137" i="117"/>
  <c r="T139" i="117"/>
  <c r="T141" i="117"/>
  <c r="T143" i="117"/>
  <c r="T145" i="117"/>
  <c r="T147" i="117"/>
  <c r="T149" i="117"/>
  <c r="T151" i="117"/>
  <c r="S153" i="117"/>
  <c r="S154" i="117"/>
  <c r="S155" i="117"/>
  <c r="S156" i="117"/>
  <c r="S157" i="117"/>
  <c r="S158" i="117"/>
  <c r="S159" i="117"/>
  <c r="S160" i="117"/>
  <c r="S161" i="117"/>
  <c r="S162" i="117"/>
  <c r="S163" i="117"/>
  <c r="S164" i="117"/>
  <c r="S165" i="117"/>
  <c r="S166" i="117"/>
  <c r="S167" i="117"/>
  <c r="S168" i="117"/>
  <c r="S169" i="117"/>
  <c r="S170" i="117"/>
  <c r="S171" i="117"/>
  <c r="S172" i="117"/>
  <c r="S173" i="117"/>
  <c r="S174" i="117"/>
  <c r="S175" i="117"/>
  <c r="S176" i="117"/>
  <c r="S177" i="117"/>
  <c r="S178" i="117"/>
  <c r="S179" i="117"/>
  <c r="S180" i="117"/>
  <c r="S181" i="117"/>
  <c r="S182" i="117"/>
  <c r="S183" i="117"/>
  <c r="S184" i="117"/>
  <c r="S185" i="117"/>
  <c r="S186" i="117"/>
  <c r="S187" i="117"/>
  <c r="S188" i="117"/>
  <c r="S189" i="117"/>
  <c r="S190" i="117"/>
  <c r="S191" i="117"/>
  <c r="S192" i="117"/>
  <c r="S193" i="117"/>
  <c r="R102" i="117"/>
  <c r="R104" i="117"/>
  <c r="R106" i="117"/>
  <c r="R108" i="117"/>
  <c r="R110" i="117"/>
  <c r="R112" i="117"/>
  <c r="R114" i="117"/>
  <c r="R116" i="117"/>
  <c r="R118" i="117"/>
  <c r="R120" i="117"/>
  <c r="R122" i="117"/>
  <c r="R124" i="117"/>
  <c r="R126" i="117"/>
  <c r="R128" i="117"/>
  <c r="R130" i="117"/>
  <c r="R132" i="117"/>
  <c r="R134" i="117"/>
  <c r="R136" i="117"/>
  <c r="R138" i="117"/>
  <c r="R140" i="117"/>
  <c r="R142" i="117"/>
  <c r="R144" i="117"/>
  <c r="R146" i="117"/>
  <c r="R148" i="117"/>
  <c r="R150" i="117"/>
  <c r="R152" i="117"/>
  <c r="T153" i="117"/>
  <c r="T154" i="117"/>
  <c r="T155" i="117"/>
  <c r="T156" i="117"/>
  <c r="T157" i="117"/>
  <c r="T158" i="117"/>
  <c r="T159" i="117"/>
  <c r="T160" i="117"/>
  <c r="T161" i="117"/>
  <c r="T162" i="117"/>
  <c r="T163" i="117"/>
  <c r="T164" i="117"/>
  <c r="T165" i="117"/>
  <c r="T166" i="117"/>
  <c r="T167" i="117"/>
  <c r="T168" i="117"/>
  <c r="T169" i="117"/>
  <c r="T170" i="117"/>
  <c r="T171" i="117"/>
  <c r="T172" i="117"/>
  <c r="T173" i="117"/>
  <c r="T174" i="117"/>
  <c r="T175" i="117"/>
  <c r="T176" i="117"/>
  <c r="T177" i="117"/>
  <c r="T178" i="117"/>
  <c r="T179" i="117"/>
  <c r="T180" i="117"/>
  <c r="T181" i="117"/>
  <c r="T182" i="117"/>
  <c r="T183" i="117"/>
  <c r="T184" i="117"/>
  <c r="T185" i="117"/>
  <c r="T186" i="117"/>
  <c r="T187" i="117"/>
  <c r="T188" i="117"/>
  <c r="T189" i="117"/>
  <c r="T190" i="117"/>
  <c r="T191" i="117"/>
  <c r="T192" i="117"/>
  <c r="T193" i="117"/>
  <c r="T102" i="117"/>
  <c r="T104" i="117"/>
  <c r="T106" i="117"/>
  <c r="T108" i="117"/>
  <c r="T110" i="117"/>
  <c r="T112" i="117"/>
  <c r="T114" i="117"/>
  <c r="T116" i="117"/>
  <c r="T118" i="117"/>
  <c r="T120" i="117"/>
  <c r="T122" i="117"/>
  <c r="T124" i="117"/>
  <c r="T126" i="117"/>
  <c r="T128" i="117"/>
  <c r="T130" i="117"/>
  <c r="T132" i="117"/>
  <c r="T134" i="117"/>
  <c r="T136" i="117"/>
  <c r="T138" i="117"/>
  <c r="T140" i="117"/>
  <c r="T142" i="117"/>
  <c r="T144" i="117"/>
  <c r="T146" i="117"/>
  <c r="T148" i="117"/>
  <c r="T150" i="117"/>
  <c r="T152" i="117"/>
  <c r="U153" i="117"/>
  <c r="U154" i="117"/>
  <c r="U155" i="117"/>
  <c r="U156" i="117"/>
  <c r="U157" i="117"/>
  <c r="U158" i="117"/>
  <c r="U159" i="117"/>
  <c r="U160" i="117"/>
  <c r="U161" i="117"/>
  <c r="U162" i="117"/>
  <c r="U163" i="117"/>
  <c r="U164" i="117"/>
  <c r="U165" i="117"/>
  <c r="U166" i="117"/>
  <c r="U167" i="117"/>
  <c r="U168" i="117"/>
  <c r="U169" i="117"/>
  <c r="U170" i="117"/>
  <c r="U171" i="117"/>
  <c r="U172" i="117"/>
  <c r="U173" i="117"/>
  <c r="U174" i="117"/>
  <c r="U175" i="117"/>
  <c r="U176" i="117"/>
  <c r="U177" i="117"/>
  <c r="U178" i="117"/>
  <c r="U179" i="117"/>
  <c r="U180" i="117"/>
  <c r="U181" i="117"/>
  <c r="U182" i="117"/>
  <c r="U183" i="117"/>
  <c r="U184" i="117"/>
  <c r="U185" i="117"/>
  <c r="U186" i="117"/>
  <c r="U187" i="117"/>
  <c r="U188" i="117"/>
  <c r="U189" i="117"/>
  <c r="U190" i="117"/>
  <c r="U191" i="117"/>
  <c r="U192" i="117"/>
  <c r="U193" i="117"/>
  <c r="F193" i="117"/>
  <c r="F191" i="117"/>
  <c r="F189" i="117"/>
  <c r="J192" i="117"/>
  <c r="J190" i="117"/>
  <c r="J188" i="117"/>
  <c r="F192" i="117"/>
  <c r="F190" i="117"/>
  <c r="F188" i="117"/>
  <c r="J191" i="117"/>
  <c r="G185" i="117"/>
  <c r="E183" i="117"/>
  <c r="E181" i="117"/>
  <c r="L178" i="117"/>
  <c r="B178" i="117"/>
  <c r="L177" i="117"/>
  <c r="B177" i="117"/>
  <c r="L176" i="117"/>
  <c r="B176" i="117"/>
  <c r="L175" i="117"/>
  <c r="B175" i="117"/>
  <c r="L174" i="117"/>
  <c r="B174" i="117"/>
  <c r="L173" i="117"/>
  <c r="B173" i="117"/>
  <c r="I184" i="117"/>
  <c r="I182" i="117"/>
  <c r="J193" i="117"/>
  <c r="J189" i="117"/>
  <c r="G187" i="117"/>
  <c r="E184" i="117"/>
  <c r="E182" i="117"/>
  <c r="J178" i="117"/>
  <c r="F178" i="117"/>
  <c r="J177" i="117"/>
  <c r="F177" i="117"/>
  <c r="J176" i="117"/>
  <c r="F176" i="117"/>
  <c r="J175" i="117"/>
  <c r="F175" i="117"/>
  <c r="J174" i="117"/>
  <c r="F174" i="117"/>
  <c r="J173" i="117"/>
  <c r="F173" i="117"/>
  <c r="I181" i="117"/>
  <c r="I177" i="117"/>
  <c r="I175" i="117"/>
  <c r="I173" i="117"/>
  <c r="E177" i="117"/>
  <c r="E175" i="117"/>
  <c r="E173" i="117"/>
  <c r="L172" i="117"/>
  <c r="F172" i="117"/>
  <c r="L171" i="117"/>
  <c r="F171" i="117"/>
  <c r="L170" i="117"/>
  <c r="F170" i="117"/>
  <c r="L169" i="117"/>
  <c r="F169" i="117"/>
  <c r="K186" i="117"/>
  <c r="I183" i="117"/>
  <c r="I178" i="117"/>
  <c r="I176" i="117"/>
  <c r="I174" i="117"/>
  <c r="J172" i="117"/>
  <c r="E172" i="117"/>
  <c r="J171" i="117"/>
  <c r="E171" i="117"/>
  <c r="J170" i="117"/>
  <c r="E170" i="117"/>
  <c r="J169" i="117"/>
  <c r="E169" i="117"/>
  <c r="E178" i="117"/>
  <c r="G167" i="117"/>
  <c r="G163" i="117"/>
  <c r="J162" i="117"/>
  <c r="B162" i="117"/>
  <c r="J158" i="117"/>
  <c r="B158" i="117"/>
  <c r="E174" i="117"/>
  <c r="I172" i="117"/>
  <c r="I171" i="117"/>
  <c r="I170" i="117"/>
  <c r="I169" i="117"/>
  <c r="K168" i="117"/>
  <c r="K164" i="117"/>
  <c r="L162" i="117"/>
  <c r="G162" i="117"/>
  <c r="K161" i="117"/>
  <c r="F161" i="117"/>
  <c r="L158" i="117"/>
  <c r="G158" i="117"/>
  <c r="K157" i="117"/>
  <c r="F157" i="117"/>
  <c r="E176" i="117"/>
  <c r="B170" i="117"/>
  <c r="L159" i="117"/>
  <c r="K158" i="117"/>
  <c r="J157" i="117"/>
  <c r="J154" i="117"/>
  <c r="J152" i="117"/>
  <c r="J143" i="117"/>
  <c r="E143" i="117"/>
  <c r="J139" i="117"/>
  <c r="E139" i="117"/>
  <c r="B171" i="117"/>
  <c r="K167" i="117"/>
  <c r="K163" i="117"/>
  <c r="G159" i="117"/>
  <c r="F158" i="117"/>
  <c r="B157" i="117"/>
  <c r="F154" i="117"/>
  <c r="F152" i="117"/>
  <c r="B172" i="117"/>
  <c r="G168" i="117"/>
  <c r="G164" i="117"/>
  <c r="K162" i="117"/>
  <c r="J161" i="117"/>
  <c r="L155" i="117"/>
  <c r="J153" i="117"/>
  <c r="J151" i="117"/>
  <c r="G150" i="117"/>
  <c r="G148" i="117"/>
  <c r="G146" i="117"/>
  <c r="G144" i="117"/>
  <c r="G143" i="117"/>
  <c r="K142" i="117"/>
  <c r="F142" i="117"/>
  <c r="G139" i="117"/>
  <c r="K138" i="117"/>
  <c r="F138" i="117"/>
  <c r="F162" i="117"/>
  <c r="F146" i="117"/>
  <c r="G140" i="117"/>
  <c r="F139" i="117"/>
  <c r="E138" i="117"/>
  <c r="F136" i="117"/>
  <c r="F134" i="117"/>
  <c r="F132" i="117"/>
  <c r="F130" i="117"/>
  <c r="F128" i="117"/>
  <c r="F126" i="117"/>
  <c r="F124" i="117"/>
  <c r="J119" i="117"/>
  <c r="E119" i="117"/>
  <c r="J115" i="117"/>
  <c r="E115" i="117"/>
  <c r="J111" i="117"/>
  <c r="E111" i="117"/>
  <c r="L110" i="117"/>
  <c r="B110" i="117"/>
  <c r="L109" i="117"/>
  <c r="B109" i="117"/>
  <c r="L108" i="117"/>
  <c r="B108" i="117"/>
  <c r="L107" i="117"/>
  <c r="B107" i="117"/>
  <c r="B169" i="117"/>
  <c r="F151" i="117"/>
  <c r="F148" i="117"/>
  <c r="J145" i="117"/>
  <c r="K143" i="117"/>
  <c r="J142" i="117"/>
  <c r="J135" i="117"/>
  <c r="J133" i="117"/>
  <c r="F153" i="117"/>
  <c r="F150" i="117"/>
  <c r="J147" i="117"/>
  <c r="F143" i="117"/>
  <c r="E142" i="117"/>
  <c r="F135" i="117"/>
  <c r="F133" i="117"/>
  <c r="J130" i="117"/>
  <c r="J128" i="117"/>
  <c r="J126" i="117"/>
  <c r="J124" i="117"/>
  <c r="K122" i="117"/>
  <c r="F122" i="117"/>
  <c r="G119" i="117"/>
  <c r="K118" i="117"/>
  <c r="F118" i="117"/>
  <c r="G115" i="117"/>
  <c r="K114" i="117"/>
  <c r="F114" i="117"/>
  <c r="G111" i="117"/>
  <c r="J110" i="117"/>
  <c r="F110" i="117"/>
  <c r="G155" i="117"/>
  <c r="F144" i="117"/>
  <c r="K139" i="117"/>
  <c r="E122" i="117"/>
  <c r="G116" i="117"/>
  <c r="F115" i="117"/>
  <c r="E114" i="117"/>
  <c r="E110" i="117"/>
  <c r="F109" i="117"/>
  <c r="E108" i="117"/>
  <c r="J107" i="117"/>
  <c r="L106" i="117"/>
  <c r="F106" i="117"/>
  <c r="L105" i="117"/>
  <c r="F105" i="117"/>
  <c r="L104" i="117"/>
  <c r="F104" i="117"/>
  <c r="L103" i="117"/>
  <c r="F103" i="117"/>
  <c r="L102" i="117"/>
  <c r="F102" i="117"/>
  <c r="L101" i="117"/>
  <c r="F101" i="117"/>
  <c r="L100" i="117"/>
  <c r="F100" i="117"/>
  <c r="L99" i="117"/>
  <c r="F99" i="117"/>
  <c r="L98" i="117"/>
  <c r="F98" i="117"/>
  <c r="L97" i="117"/>
  <c r="F97" i="117"/>
  <c r="L96" i="117"/>
  <c r="F96" i="117"/>
  <c r="J149" i="117"/>
  <c r="J136" i="117"/>
  <c r="J132" i="117"/>
  <c r="G128" i="117"/>
  <c r="G124" i="117"/>
  <c r="K119" i="117"/>
  <c r="J118" i="117"/>
  <c r="K111" i="117"/>
  <c r="E109" i="117"/>
  <c r="J108" i="117"/>
  <c r="I107" i="117"/>
  <c r="J106" i="117"/>
  <c r="E106" i="117"/>
  <c r="J105" i="117"/>
  <c r="E105" i="117"/>
  <c r="J104" i="117"/>
  <c r="E104" i="117"/>
  <c r="J103" i="117"/>
  <c r="E103" i="117"/>
  <c r="J102" i="117"/>
  <c r="E102" i="117"/>
  <c r="E101" i="117"/>
  <c r="E100" i="117"/>
  <c r="E99" i="117"/>
  <c r="E98" i="117"/>
  <c r="E97" i="117"/>
  <c r="E96" i="117"/>
  <c r="I137" i="117"/>
  <c r="G120" i="117"/>
  <c r="F119" i="117"/>
  <c r="E118" i="117"/>
  <c r="G112" i="117"/>
  <c r="F111" i="117"/>
  <c r="J109" i="117"/>
  <c r="I108" i="117"/>
  <c r="F107" i="117"/>
  <c r="I106" i="117"/>
  <c r="B106" i="117"/>
  <c r="I105" i="117"/>
  <c r="B105" i="117"/>
  <c r="I104" i="117"/>
  <c r="B104" i="117"/>
  <c r="I103" i="117"/>
  <c r="B103" i="117"/>
  <c r="I102" i="117"/>
  <c r="B102" i="117"/>
  <c r="B101" i="117"/>
  <c r="B100" i="117"/>
  <c r="B99" i="117"/>
  <c r="B98" i="117"/>
  <c r="B97" i="117"/>
  <c r="B96" i="117"/>
  <c r="J134" i="117"/>
  <c r="I110" i="117"/>
  <c r="I109" i="117"/>
  <c r="E107" i="117"/>
  <c r="G92" i="117"/>
  <c r="G88" i="117"/>
  <c r="G84" i="117"/>
  <c r="G80" i="117"/>
  <c r="G76" i="117"/>
  <c r="B71" i="117"/>
  <c r="B67" i="117"/>
  <c r="B63" i="117"/>
  <c r="B59" i="117"/>
  <c r="B55" i="117"/>
  <c r="L52" i="117"/>
  <c r="B52" i="117"/>
  <c r="L51" i="117"/>
  <c r="B51" i="117"/>
  <c r="L50" i="117"/>
  <c r="B50" i="117"/>
  <c r="L49" i="117"/>
  <c r="B49" i="117"/>
  <c r="L48" i="117"/>
  <c r="B48" i="117"/>
  <c r="L47" i="117"/>
  <c r="B47" i="117"/>
  <c r="L46" i="117"/>
  <c r="B46" i="117"/>
  <c r="L45" i="117"/>
  <c r="B45" i="117"/>
  <c r="L44" i="117"/>
  <c r="B44" i="117"/>
  <c r="B161" i="117"/>
  <c r="I121" i="117"/>
  <c r="J138" i="117"/>
  <c r="G130" i="117"/>
  <c r="G126" i="117"/>
  <c r="J122" i="117"/>
  <c r="J114" i="117"/>
  <c r="F108" i="117"/>
  <c r="L71" i="117"/>
  <c r="G71" i="117"/>
  <c r="F70" i="117"/>
  <c r="L67" i="117"/>
  <c r="G67" i="117"/>
  <c r="F66" i="117"/>
  <c r="L63" i="117"/>
  <c r="G63" i="117"/>
  <c r="F62" i="117"/>
  <c r="L59" i="117"/>
  <c r="G59" i="117"/>
  <c r="F58" i="117"/>
  <c r="L55" i="117"/>
  <c r="G55" i="117"/>
  <c r="F54" i="117"/>
  <c r="F52" i="117"/>
  <c r="F51" i="117"/>
  <c r="F50" i="117"/>
  <c r="F49" i="117"/>
  <c r="F48" i="117"/>
  <c r="F47" i="117"/>
  <c r="F46" i="117"/>
  <c r="F45" i="117"/>
  <c r="F44" i="117"/>
  <c r="G93" i="117"/>
  <c r="G89" i="117"/>
  <c r="G85" i="117"/>
  <c r="G81" i="117"/>
  <c r="G77" i="117"/>
  <c r="L68" i="117"/>
  <c r="L60" i="117"/>
  <c r="E43" i="117"/>
  <c r="E42" i="117"/>
  <c r="E41" i="117"/>
  <c r="E40" i="117"/>
  <c r="E39" i="117"/>
  <c r="E38" i="117"/>
  <c r="E37" i="117"/>
  <c r="E36" i="117"/>
  <c r="E35" i="117"/>
  <c r="E34" i="117"/>
  <c r="E33" i="117"/>
  <c r="E32" i="117"/>
  <c r="E31" i="117"/>
  <c r="E30" i="117"/>
  <c r="E29" i="117"/>
  <c r="E28" i="117"/>
  <c r="E27" i="117"/>
  <c r="E26" i="117"/>
  <c r="E25" i="117"/>
  <c r="E24" i="117"/>
  <c r="E23" i="117"/>
  <c r="E22" i="117"/>
  <c r="E21" i="117"/>
  <c r="G68" i="117"/>
  <c r="F67" i="117"/>
  <c r="B66" i="117"/>
  <c r="G60" i="117"/>
  <c r="F59" i="117"/>
  <c r="B58" i="117"/>
  <c r="E51" i="117"/>
  <c r="E49" i="117"/>
  <c r="E47" i="117"/>
  <c r="E45" i="117"/>
  <c r="B43" i="117"/>
  <c r="B42" i="117"/>
  <c r="B41" i="117"/>
  <c r="B40" i="117"/>
  <c r="B39" i="117"/>
  <c r="B38" i="117"/>
  <c r="B37" i="117"/>
  <c r="B36" i="117"/>
  <c r="B35" i="117"/>
  <c r="B34" i="117"/>
  <c r="B33" i="117"/>
  <c r="B32" i="117"/>
  <c r="B31" i="117"/>
  <c r="B30" i="117"/>
  <c r="B29" i="117"/>
  <c r="B28" i="117"/>
  <c r="B27" i="117"/>
  <c r="B26" i="117"/>
  <c r="B25" i="117"/>
  <c r="B24" i="117"/>
  <c r="B23" i="117"/>
  <c r="B22" i="117"/>
  <c r="B21" i="117"/>
  <c r="K115" i="117"/>
  <c r="G72" i="117"/>
  <c r="F71" i="117"/>
  <c r="B70" i="117"/>
  <c r="G64" i="117"/>
  <c r="F63" i="117"/>
  <c r="B62" i="117"/>
  <c r="G56" i="117"/>
  <c r="F55" i="117"/>
  <c r="B54" i="117"/>
  <c r="E52" i="117"/>
  <c r="E50" i="117"/>
  <c r="E48" i="117"/>
  <c r="E46" i="117"/>
  <c r="E44" i="117"/>
  <c r="L43" i="117"/>
  <c r="F43" i="117"/>
  <c r="L42" i="117"/>
  <c r="F42" i="117"/>
  <c r="L41" i="117"/>
  <c r="F41" i="117"/>
  <c r="L40" i="117"/>
  <c r="F40" i="117"/>
  <c r="L39" i="117"/>
  <c r="F39" i="117"/>
  <c r="F38" i="117"/>
  <c r="F37" i="117"/>
  <c r="F36" i="117"/>
  <c r="F35" i="117"/>
  <c r="F34" i="117"/>
  <c r="F33" i="117"/>
  <c r="L32" i="117"/>
  <c r="F32" i="117"/>
  <c r="F31" i="117"/>
  <c r="L72" i="117"/>
  <c r="L64" i="117"/>
  <c r="L56" i="117"/>
  <c r="L38" i="117"/>
  <c r="L37" i="117"/>
  <c r="L36" i="117"/>
  <c r="L35" i="117"/>
  <c r="L34" i="117"/>
  <c r="L33" i="117"/>
  <c r="L31" i="117"/>
  <c r="F19" i="117"/>
  <c r="F17" i="117"/>
  <c r="F15" i="117"/>
  <c r="F13" i="117"/>
  <c r="F11" i="117"/>
  <c r="F9" i="117"/>
  <c r="L30" i="117"/>
  <c r="L29" i="117"/>
  <c r="L28" i="117"/>
  <c r="L27" i="117"/>
  <c r="L26" i="117"/>
  <c r="L25" i="117"/>
  <c r="L24" i="117"/>
  <c r="L23" i="117"/>
  <c r="L22" i="117"/>
  <c r="L21" i="117"/>
  <c r="L20" i="117"/>
  <c r="F30" i="117"/>
  <c r="F29" i="117"/>
  <c r="F28" i="117"/>
  <c r="F27" i="117"/>
  <c r="F26" i="117"/>
  <c r="F25" i="117"/>
  <c r="F24" i="117"/>
  <c r="F23" i="117"/>
  <c r="F22" i="117"/>
  <c r="F21" i="117"/>
  <c r="F20" i="117"/>
  <c r="F18" i="117"/>
  <c r="F16" i="117"/>
  <c r="F14" i="117"/>
  <c r="F12" i="117"/>
  <c r="F10" i="117"/>
  <c r="B73" i="117"/>
  <c r="F74" i="117"/>
  <c r="E74" i="117"/>
  <c r="G74" i="117"/>
  <c r="F78" i="117"/>
  <c r="E78" i="117"/>
  <c r="G78" i="117"/>
  <c r="F82" i="117"/>
  <c r="E82" i="117"/>
  <c r="G82" i="117"/>
  <c r="F86" i="117"/>
  <c r="E86" i="117"/>
  <c r="G86" i="117"/>
  <c r="F90" i="117"/>
  <c r="E90" i="117"/>
  <c r="G90" i="117"/>
  <c r="F94" i="117"/>
  <c r="E94" i="117"/>
  <c r="G94" i="117"/>
  <c r="G53" i="117"/>
  <c r="G69" i="117"/>
  <c r="L9" i="117"/>
  <c r="B11" i="117"/>
  <c r="L13" i="117"/>
  <c r="B15" i="117"/>
  <c r="L17" i="117"/>
  <c r="B19" i="117"/>
  <c r="L57" i="117"/>
  <c r="F57" i="117"/>
  <c r="B57" i="117"/>
  <c r="G20" i="117"/>
  <c r="F73" i="117"/>
  <c r="E73" i="117"/>
  <c r="G73" i="117"/>
  <c r="B74" i="117"/>
  <c r="B78" i="117"/>
  <c r="B82" i="117"/>
  <c r="B86" i="117"/>
  <c r="B90" i="117"/>
  <c r="B94" i="117"/>
  <c r="E53" i="117"/>
  <c r="L61" i="117"/>
  <c r="F61" i="117"/>
  <c r="B61" i="117"/>
  <c r="E69" i="117"/>
  <c r="L10" i="117"/>
  <c r="B12" i="117"/>
  <c r="L14" i="117"/>
  <c r="B16" i="117"/>
  <c r="L18" i="117"/>
  <c r="B20" i="117"/>
  <c r="G57" i="117"/>
  <c r="E65" i="117"/>
  <c r="E10" i="117"/>
  <c r="E14" i="117"/>
  <c r="E18" i="117"/>
  <c r="E64" i="117"/>
  <c r="L75" i="117"/>
  <c r="B79" i="117"/>
  <c r="L83" i="117"/>
  <c r="B87" i="117"/>
  <c r="L91" i="117"/>
  <c r="B95" i="117"/>
  <c r="G21" i="117"/>
  <c r="G25" i="117"/>
  <c r="L73" i="117"/>
  <c r="L74" i="117"/>
  <c r="L78" i="117"/>
  <c r="L82" i="117"/>
  <c r="L86" i="117"/>
  <c r="L90" i="117"/>
  <c r="L94" i="117"/>
  <c r="L53" i="117"/>
  <c r="F53" i="117"/>
  <c r="B53" i="117"/>
  <c r="E61" i="117"/>
  <c r="L69" i="117"/>
  <c r="F69" i="117"/>
  <c r="B69" i="117"/>
  <c r="B10" i="117"/>
  <c r="L12" i="117"/>
  <c r="B14" i="117"/>
  <c r="L16" i="117"/>
  <c r="B18" i="117"/>
  <c r="G10" i="117"/>
  <c r="G14" i="117"/>
  <c r="G18" i="117"/>
  <c r="L11" i="117"/>
  <c r="B65" i="117"/>
  <c r="E11" i="117"/>
  <c r="E13" i="117"/>
  <c r="E20" i="117"/>
  <c r="E60" i="117"/>
  <c r="E72" i="117"/>
  <c r="E75" i="117"/>
  <c r="B75" i="117"/>
  <c r="F79" i="117"/>
  <c r="E87" i="117"/>
  <c r="G28" i="117"/>
  <c r="G32" i="117"/>
  <c r="G36" i="117"/>
  <c r="G40" i="117"/>
  <c r="G44" i="117"/>
  <c r="G48" i="117"/>
  <c r="G52" i="117"/>
  <c r="L54" i="117"/>
  <c r="E55" i="117"/>
  <c r="B56" i="117"/>
  <c r="G58" i="117"/>
  <c r="L70" i="117"/>
  <c r="E71" i="117"/>
  <c r="B72" i="117"/>
  <c r="G75" i="117"/>
  <c r="F76" i="117"/>
  <c r="E76" i="117"/>
  <c r="B80" i="117"/>
  <c r="L88" i="117"/>
  <c r="G91" i="117"/>
  <c r="F92" i="117"/>
  <c r="E92" i="117"/>
  <c r="B127" i="117"/>
  <c r="G127" i="117"/>
  <c r="K127" i="117"/>
  <c r="E131" i="117"/>
  <c r="F77" i="117"/>
  <c r="E77" i="117"/>
  <c r="B81" i="117"/>
  <c r="L89" i="117"/>
  <c r="F93" i="117"/>
  <c r="E93" i="117"/>
  <c r="L117" i="117"/>
  <c r="F117" i="117"/>
  <c r="I129" i="117"/>
  <c r="L129" i="117"/>
  <c r="J129" i="117"/>
  <c r="F129" i="117"/>
  <c r="B113" i="117"/>
  <c r="K121" i="117"/>
  <c r="E121" i="117"/>
  <c r="B112" i="117"/>
  <c r="B116" i="117"/>
  <c r="B120" i="117"/>
  <c r="B141" i="117"/>
  <c r="J141" i="117"/>
  <c r="L160" i="117"/>
  <c r="F160" i="117"/>
  <c r="B160" i="117"/>
  <c r="G96" i="117"/>
  <c r="G100" i="117"/>
  <c r="G12" i="117"/>
  <c r="G16" i="117"/>
  <c r="B13" i="117"/>
  <c r="L19" i="117"/>
  <c r="L65" i="117"/>
  <c r="E12" i="117"/>
  <c r="E19" i="117"/>
  <c r="F83" i="117"/>
  <c r="L87" i="117"/>
  <c r="E91" i="117"/>
  <c r="B91" i="117"/>
  <c r="F95" i="117"/>
  <c r="G26" i="117"/>
  <c r="G30" i="117"/>
  <c r="G34" i="117"/>
  <c r="G38" i="117"/>
  <c r="G42" i="117"/>
  <c r="G46" i="117"/>
  <c r="G50" i="117"/>
  <c r="L62" i="117"/>
  <c r="E63" i="117"/>
  <c r="B64" i="117"/>
  <c r="G66" i="117"/>
  <c r="L80" i="117"/>
  <c r="G83" i="117"/>
  <c r="F84" i="117"/>
  <c r="E84" i="117"/>
  <c r="B88" i="117"/>
  <c r="E123" i="117"/>
  <c r="I127" i="117"/>
  <c r="L127" i="117"/>
  <c r="J127" i="117"/>
  <c r="F127" i="117"/>
  <c r="L81" i="117"/>
  <c r="F85" i="117"/>
  <c r="E85" i="117"/>
  <c r="G9" i="117"/>
  <c r="G13" i="117"/>
  <c r="G17" i="117"/>
  <c r="G61" i="117"/>
  <c r="B17" i="117"/>
  <c r="G65" i="117"/>
  <c r="E9" i="117"/>
  <c r="E16" i="117"/>
  <c r="E56" i="117"/>
  <c r="E68" i="117"/>
  <c r="E79" i="117"/>
  <c r="F91" i="117"/>
  <c r="L95" i="117"/>
  <c r="G23" i="117"/>
  <c r="G29" i="117"/>
  <c r="G33" i="117"/>
  <c r="G37" i="117"/>
  <c r="G41" i="117"/>
  <c r="G45" i="117"/>
  <c r="G49" i="117"/>
  <c r="G54" i="117"/>
  <c r="L66" i="117"/>
  <c r="E67" i="117"/>
  <c r="B68" i="117"/>
  <c r="G70" i="117"/>
  <c r="L76" i="117"/>
  <c r="G79" i="117"/>
  <c r="F80" i="117"/>
  <c r="E80" i="117"/>
  <c r="B84" i="117"/>
  <c r="L92" i="117"/>
  <c r="G95" i="117"/>
  <c r="B123" i="117"/>
  <c r="G123" i="117"/>
  <c r="K123" i="117"/>
  <c r="E127" i="117"/>
  <c r="I131" i="117"/>
  <c r="L131" i="117"/>
  <c r="J131" i="117"/>
  <c r="F131" i="117"/>
  <c r="E58" i="117"/>
  <c r="F60" i="117"/>
  <c r="E66" i="117"/>
  <c r="F68" i="117"/>
  <c r="L77" i="117"/>
  <c r="F81" i="117"/>
  <c r="E81" i="117"/>
  <c r="B85" i="117"/>
  <c r="B9" i="117"/>
  <c r="E57" i="117"/>
  <c r="E83" i="117"/>
  <c r="E95" i="117"/>
  <c r="G24" i="117"/>
  <c r="G35" i="117"/>
  <c r="G51" i="117"/>
  <c r="G62" i="117"/>
  <c r="L84" i="117"/>
  <c r="B92" i="117"/>
  <c r="J123" i="117"/>
  <c r="B131" i="117"/>
  <c r="F56" i="117"/>
  <c r="E62" i="117"/>
  <c r="E89" i="117"/>
  <c r="B93" i="117"/>
  <c r="G117" i="117"/>
  <c r="J117" i="117"/>
  <c r="I125" i="117"/>
  <c r="G125" i="117"/>
  <c r="E129" i="117"/>
  <c r="B129" i="117"/>
  <c r="L121" i="117"/>
  <c r="G121" i="117"/>
  <c r="J121" i="117"/>
  <c r="K141" i="117"/>
  <c r="G97" i="117"/>
  <c r="G99" i="117"/>
  <c r="G102" i="117"/>
  <c r="K103" i="117"/>
  <c r="G106" i="117"/>
  <c r="K107" i="117"/>
  <c r="G110" i="117"/>
  <c r="I111" i="117"/>
  <c r="J112" i="117"/>
  <c r="B115" i="117"/>
  <c r="E116" i="117"/>
  <c r="G122" i="117"/>
  <c r="I124" i="117"/>
  <c r="L124" i="117"/>
  <c r="E126" i="117"/>
  <c r="B128" i="117"/>
  <c r="K130" i="117"/>
  <c r="B114" i="117"/>
  <c r="F116" i="117"/>
  <c r="I118" i="117"/>
  <c r="K120" i="117"/>
  <c r="I122" i="117"/>
  <c r="L137" i="117"/>
  <c r="F137" i="117"/>
  <c r="L140" i="117"/>
  <c r="I145" i="117"/>
  <c r="L145" i="117"/>
  <c r="E147" i="117"/>
  <c r="B149" i="117"/>
  <c r="L132" i="117"/>
  <c r="B134" i="117"/>
  <c r="L136" i="117"/>
  <c r="G142" i="117"/>
  <c r="L143" i="117"/>
  <c r="J148" i="117"/>
  <c r="K156" i="117"/>
  <c r="J156" i="117"/>
  <c r="E134" i="117"/>
  <c r="I135" i="117"/>
  <c r="B142" i="117"/>
  <c r="B144" i="117"/>
  <c r="E146" i="117"/>
  <c r="G147" i="117"/>
  <c r="I148" i="117"/>
  <c r="L148" i="117"/>
  <c r="K150" i="117"/>
  <c r="F165" i="117"/>
  <c r="E165" i="117"/>
  <c r="G165" i="117"/>
  <c r="E155" i="117"/>
  <c r="E179" i="117"/>
  <c r="L151" i="117"/>
  <c r="B153" i="117"/>
  <c r="J159" i="117"/>
  <c r="L161" i="117"/>
  <c r="E162" i="117"/>
  <c r="B163" i="117"/>
  <c r="E152" i="117"/>
  <c r="I153" i="117"/>
  <c r="K159" i="117"/>
  <c r="I161" i="117"/>
  <c r="F164" i="117"/>
  <c r="E164" i="117"/>
  <c r="F168" i="117"/>
  <c r="E168" i="117"/>
  <c r="B168" i="117"/>
  <c r="J180" i="117"/>
  <c r="G171" i="117"/>
  <c r="K172" i="117"/>
  <c r="G175" i="117"/>
  <c r="K176" i="117"/>
  <c r="J181" i="117"/>
  <c r="J182" i="117"/>
  <c r="J183" i="117"/>
  <c r="J184" i="117"/>
  <c r="J187" i="117"/>
  <c r="E185" i="117"/>
  <c r="B187" i="117"/>
  <c r="L181" i="117"/>
  <c r="L182" i="117"/>
  <c r="L183" i="117"/>
  <c r="L184" i="117"/>
  <c r="F187" i="117"/>
  <c r="L188" i="117"/>
  <c r="B190" i="117"/>
  <c r="L192" i="117"/>
  <c r="E188" i="117"/>
  <c r="I189" i="117"/>
  <c r="E192" i="117"/>
  <c r="I193" i="117"/>
  <c r="K140" i="117"/>
  <c r="K153" i="117"/>
  <c r="F166" i="117"/>
  <c r="B151" i="117"/>
  <c r="I163" i="117"/>
  <c r="F167" i="117"/>
  <c r="I151" i="117"/>
  <c r="I157" i="117"/>
  <c r="K170" i="117"/>
  <c r="K178" i="117"/>
  <c r="K181" i="117"/>
  <c r="K184" i="117"/>
  <c r="I187" i="117"/>
  <c r="B181" i="117"/>
  <c r="F185" i="117"/>
  <c r="G190" i="117"/>
  <c r="G193" i="117"/>
  <c r="G11" i="117"/>
  <c r="E15" i="117"/>
  <c r="B83" i="117"/>
  <c r="G31" i="117"/>
  <c r="G47" i="117"/>
  <c r="L58" i="117"/>
  <c r="B76" i="117"/>
  <c r="G87" i="117"/>
  <c r="F123" i="117"/>
  <c r="G131" i="117"/>
  <c r="F64" i="117"/>
  <c r="E70" i="117"/>
  <c r="L85" i="117"/>
  <c r="E117" i="117"/>
  <c r="I117" i="117"/>
  <c r="E125" i="117"/>
  <c r="B125" i="117"/>
  <c r="F125" i="117"/>
  <c r="L113" i="117"/>
  <c r="G113" i="117"/>
  <c r="E113" i="117"/>
  <c r="K125" i="117"/>
  <c r="L112" i="117"/>
  <c r="I116" i="117"/>
  <c r="L120" i="117"/>
  <c r="F141" i="117"/>
  <c r="G160" i="117"/>
  <c r="G101" i="117"/>
  <c r="K102" i="117"/>
  <c r="G105" i="117"/>
  <c r="K106" i="117"/>
  <c r="G109" i="117"/>
  <c r="K110" i="117"/>
  <c r="L111" i="117"/>
  <c r="I115" i="117"/>
  <c r="J116" i="117"/>
  <c r="B119" i="117"/>
  <c r="E120" i="117"/>
  <c r="E124" i="117"/>
  <c r="B126" i="117"/>
  <c r="K128" i="117"/>
  <c r="I130" i="117"/>
  <c r="L130" i="117"/>
  <c r="F112" i="117"/>
  <c r="I114" i="117"/>
  <c r="K116" i="117"/>
  <c r="L118" i="117"/>
  <c r="L122" i="117"/>
  <c r="G137" i="117"/>
  <c r="E145" i="117"/>
  <c r="B147" i="117"/>
  <c r="K149" i="117"/>
  <c r="L133" i="117"/>
  <c r="B135" i="117"/>
  <c r="B139" i="117"/>
  <c r="E140" i="117"/>
  <c r="J146" i="117"/>
  <c r="F149" i="117"/>
  <c r="L156" i="117"/>
  <c r="F156" i="117"/>
  <c r="B156" i="117"/>
  <c r="E133" i="117"/>
  <c r="I134" i="117"/>
  <c r="B138" i="117"/>
  <c r="F140" i="117"/>
  <c r="I142" i="117"/>
  <c r="K144" i="117"/>
  <c r="B146" i="117"/>
  <c r="E148" i="117"/>
  <c r="G149" i="117"/>
  <c r="I150" i="117"/>
  <c r="L150" i="117"/>
  <c r="B165" i="117"/>
  <c r="G151" i="117"/>
  <c r="G152" i="117"/>
  <c r="G153" i="117"/>
  <c r="G154" i="117"/>
  <c r="J166" i="117"/>
  <c r="I166" i="117"/>
  <c r="L166" i="117"/>
  <c r="G179" i="117"/>
  <c r="L152" i="117"/>
  <c r="B154" i="117"/>
  <c r="J167" i="117"/>
  <c r="I167" i="117"/>
  <c r="L167" i="117"/>
  <c r="E151" i="117"/>
  <c r="I152" i="117"/>
  <c r="F155" i="117"/>
  <c r="E161" i="117"/>
  <c r="B164" i="117"/>
  <c r="B180" i="117"/>
  <c r="F180" i="117"/>
  <c r="G180" i="117"/>
  <c r="K180" i="117"/>
  <c r="G170" i="117"/>
  <c r="K171" i="117"/>
  <c r="G174" i="117"/>
  <c r="K175" i="117"/>
  <c r="G178" i="117"/>
  <c r="I186" i="117"/>
  <c r="L186" i="117"/>
  <c r="J186" i="117"/>
  <c r="F186" i="117"/>
  <c r="G181" i="117"/>
  <c r="G182" i="117"/>
  <c r="G183" i="117"/>
  <c r="G184" i="117"/>
  <c r="B185" i="117"/>
  <c r="K187" i="117"/>
  <c r="L189" i="117"/>
  <c r="B191" i="117"/>
  <c r="L193" i="117"/>
  <c r="I188" i="117"/>
  <c r="E191" i="117"/>
  <c r="I192" i="117"/>
  <c r="G15" i="117"/>
  <c r="L15" i="117"/>
  <c r="F65" i="117"/>
  <c r="E17" i="117"/>
  <c r="F75" i="117"/>
  <c r="L79" i="117"/>
  <c r="F87" i="117"/>
  <c r="G27" i="117"/>
  <c r="G43" i="117"/>
  <c r="E59" i="117"/>
  <c r="F88" i="117"/>
  <c r="I123" i="117"/>
  <c r="K131" i="117"/>
  <c r="F72" i="117"/>
  <c r="B77" i="117"/>
  <c r="B89" i="117"/>
  <c r="B117" i="117"/>
  <c r="K117" i="117"/>
  <c r="J125" i="117"/>
  <c r="B121" i="117"/>
  <c r="F121" i="117"/>
  <c r="K129" i="117"/>
  <c r="I160" i="117"/>
  <c r="J160" i="117"/>
  <c r="G98" i="117"/>
  <c r="G104" i="117"/>
  <c r="K105" i="117"/>
  <c r="G108" i="117"/>
  <c r="K109" i="117"/>
  <c r="G114" i="117"/>
  <c r="L115" i="117"/>
  <c r="I119" i="117"/>
  <c r="J120" i="117"/>
  <c r="B124" i="117"/>
  <c r="K126" i="117"/>
  <c r="I128" i="117"/>
  <c r="L128" i="117"/>
  <c r="E130" i="117"/>
  <c r="I141" i="117"/>
  <c r="K112" i="117"/>
  <c r="L114" i="117"/>
  <c r="B137" i="117"/>
  <c r="J137" i="117"/>
  <c r="G132" i="117"/>
  <c r="G133" i="117"/>
  <c r="G134" i="117"/>
  <c r="G135" i="117"/>
  <c r="G136" i="117"/>
  <c r="B140" i="117"/>
  <c r="B145" i="117"/>
  <c r="K147" i="117"/>
  <c r="I149" i="117"/>
  <c r="L149" i="117"/>
  <c r="B132" i="117"/>
  <c r="L134" i="117"/>
  <c r="B136" i="117"/>
  <c r="I139" i="117"/>
  <c r="J140" i="117"/>
  <c r="B143" i="117"/>
  <c r="J144" i="117"/>
  <c r="F147" i="117"/>
  <c r="I156" i="117"/>
  <c r="G156" i="117"/>
  <c r="I133" i="117"/>
  <c r="E136" i="117"/>
  <c r="I138" i="117"/>
  <c r="L142" i="117"/>
  <c r="I144" i="117"/>
  <c r="K146" i="117"/>
  <c r="B148" i="117"/>
  <c r="E150" i="117"/>
  <c r="K151" i="117"/>
  <c r="K154" i="117"/>
  <c r="I159" i="117"/>
  <c r="E166" i="117"/>
  <c r="J179" i="117"/>
  <c r="I179" i="117"/>
  <c r="B155" i="117"/>
  <c r="G157" i="117"/>
  <c r="J163" i="117"/>
  <c r="G166" i="117"/>
  <c r="K155" i="117"/>
  <c r="L168" i="117"/>
  <c r="G169" i="117"/>
  <c r="G173" i="117"/>
  <c r="G177" i="117"/>
  <c r="E186" i="117"/>
  <c r="K182" i="117"/>
  <c r="K185" i="117"/>
  <c r="B182" i="117"/>
  <c r="B184" i="117"/>
  <c r="G189" i="117"/>
  <c r="G192" i="117"/>
  <c r="B188" i="117"/>
  <c r="L190" i="117"/>
  <c r="I191" i="117"/>
  <c r="G19" i="117"/>
  <c r="G22" i="117"/>
  <c r="G39" i="117"/>
  <c r="B60" i="117"/>
  <c r="E88" i="117"/>
  <c r="L123" i="117"/>
  <c r="E54" i="117"/>
  <c r="F89" i="117"/>
  <c r="L93" i="117"/>
  <c r="L125" i="117"/>
  <c r="G129" i="117"/>
  <c r="F113" i="117"/>
  <c r="I112" i="117"/>
  <c r="L116" i="117"/>
  <c r="I120" i="117"/>
  <c r="L141" i="117"/>
  <c r="G141" i="117"/>
  <c r="E141" i="117"/>
  <c r="E160" i="117"/>
  <c r="K160" i="117"/>
  <c r="G103" i="117"/>
  <c r="K104" i="117"/>
  <c r="G107" i="117"/>
  <c r="K108" i="117"/>
  <c r="B111" i="117"/>
  <c r="E112" i="117"/>
  <c r="G118" i="117"/>
  <c r="L119" i="117"/>
  <c r="K124" i="117"/>
  <c r="I126" i="117"/>
  <c r="L126" i="117"/>
  <c r="E128" i="117"/>
  <c r="B130" i="117"/>
  <c r="B118" i="117"/>
  <c r="F120" i="117"/>
  <c r="B122" i="117"/>
  <c r="K137" i="117"/>
  <c r="E137" i="117"/>
  <c r="K132" i="117"/>
  <c r="K133" i="117"/>
  <c r="K134" i="117"/>
  <c r="K135" i="117"/>
  <c r="K136" i="117"/>
  <c r="I140" i="117"/>
  <c r="K145" i="117"/>
  <c r="I147" i="117"/>
  <c r="L147" i="117"/>
  <c r="E149" i="117"/>
  <c r="B133" i="117"/>
  <c r="L135" i="117"/>
  <c r="G138" i="117"/>
  <c r="L139" i="117"/>
  <c r="I143" i="117"/>
  <c r="F145" i="117"/>
  <c r="J150" i="117"/>
  <c r="E156" i="117"/>
  <c r="I132" i="117"/>
  <c r="E135" i="117"/>
  <c r="I136" i="117"/>
  <c r="L138" i="117"/>
  <c r="E144" i="117"/>
  <c r="G145" i="117"/>
  <c r="I146" i="117"/>
  <c r="L146" i="117"/>
  <c r="K148" i="117"/>
  <c r="B150" i="117"/>
  <c r="J165" i="117"/>
  <c r="I165" i="117"/>
  <c r="L165" i="117"/>
  <c r="K165" i="117"/>
  <c r="I155" i="117"/>
  <c r="E159" i="117"/>
  <c r="B166" i="117"/>
  <c r="L179" i="117"/>
  <c r="F179" i="117"/>
  <c r="K179" i="117"/>
  <c r="B179" i="117"/>
  <c r="B152" i="117"/>
  <c r="L154" i="117"/>
  <c r="J155" i="117"/>
  <c r="L157" i="117"/>
  <c r="E158" i="117"/>
  <c r="B159" i="117"/>
  <c r="G161" i="117"/>
  <c r="I162" i="117"/>
  <c r="F163" i="117"/>
  <c r="E163" i="117"/>
  <c r="B167" i="117"/>
  <c r="E153" i="117"/>
  <c r="I154" i="117"/>
  <c r="E157" i="117"/>
  <c r="F159" i="117"/>
  <c r="J164" i="117"/>
  <c r="I164" i="117"/>
  <c r="L164" i="117"/>
  <c r="K166" i="117"/>
  <c r="J168" i="117"/>
  <c r="I168" i="117"/>
  <c r="L180" i="117"/>
  <c r="I180" i="117"/>
  <c r="E180" i="117"/>
  <c r="K169" i="117"/>
  <c r="G172" i="117"/>
  <c r="K173" i="117"/>
  <c r="G176" i="117"/>
  <c r="K177" i="117"/>
  <c r="B186" i="117"/>
  <c r="G186" i="117"/>
  <c r="F181" i="117"/>
  <c r="F182" i="117"/>
  <c r="F183" i="117"/>
  <c r="F184" i="117"/>
  <c r="J185" i="117"/>
  <c r="I185" i="117"/>
  <c r="L185" i="117"/>
  <c r="E187" i="117"/>
  <c r="K188" i="117"/>
  <c r="K189" i="117"/>
  <c r="K190" i="117"/>
  <c r="K191" i="117"/>
  <c r="K192" i="117"/>
  <c r="K193" i="117"/>
  <c r="B189" i="117"/>
  <c r="L191" i="117"/>
  <c r="B193" i="117"/>
  <c r="E189" i="117"/>
  <c r="I190" i="117"/>
  <c r="E193" i="117"/>
  <c r="E132" i="117"/>
  <c r="L144" i="117"/>
  <c r="K152" i="117"/>
  <c r="L153" i="117"/>
  <c r="I158" i="117"/>
  <c r="L163" i="117"/>
  <c r="E167" i="117"/>
  <c r="E154" i="117"/>
  <c r="K174" i="117"/>
  <c r="K183" i="117"/>
  <c r="L187" i="117"/>
  <c r="B183" i="117"/>
  <c r="G188" i="117"/>
  <c r="G191" i="117"/>
  <c r="B192" i="117"/>
  <c r="E190" i="117"/>
  <c r="AD15" i="1" l="1"/>
  <c r="AT15" i="1" s="1"/>
  <c r="B5" i="1" l="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109" i="1"/>
  <c r="M739" i="2" l="1"/>
  <c r="N739" i="2"/>
  <c r="O739" i="2"/>
  <c r="P739" i="2"/>
  <c r="Q739" i="2"/>
  <c r="R739" i="2"/>
  <c r="S739" i="2"/>
  <c r="T739" i="2"/>
  <c r="M740" i="2"/>
  <c r="N740" i="2"/>
  <c r="O740" i="2"/>
  <c r="P740" i="2"/>
  <c r="Q740" i="2"/>
  <c r="R740" i="2"/>
  <c r="S740" i="2"/>
  <c r="T740" i="2"/>
  <c r="M741" i="2"/>
  <c r="N741" i="2"/>
  <c r="O741" i="2"/>
  <c r="P741" i="2"/>
  <c r="Q741" i="2"/>
  <c r="R741" i="2"/>
  <c r="S741" i="2"/>
  <c r="T741" i="2"/>
  <c r="M742" i="2"/>
  <c r="N742" i="2"/>
  <c r="O742" i="2"/>
  <c r="P742" i="2"/>
  <c r="Q742" i="2"/>
  <c r="R742" i="2"/>
  <c r="S742" i="2"/>
  <c r="T742" i="2"/>
  <c r="M743" i="2"/>
  <c r="N743" i="2"/>
  <c r="O743" i="2"/>
  <c r="P743" i="2"/>
  <c r="Q743" i="2"/>
  <c r="R743" i="2"/>
  <c r="S743" i="2"/>
  <c r="T743" i="2"/>
  <c r="M744" i="2"/>
  <c r="N744" i="2"/>
  <c r="O744" i="2"/>
  <c r="P744" i="2"/>
  <c r="Q744" i="2"/>
  <c r="R744" i="2"/>
  <c r="S744" i="2"/>
  <c r="T744" i="2"/>
  <c r="M745" i="2"/>
  <c r="N745" i="2"/>
  <c r="O745" i="2"/>
  <c r="P745" i="2"/>
  <c r="Q745" i="2"/>
  <c r="R745" i="2"/>
  <c r="S745" i="2"/>
  <c r="T745" i="2"/>
  <c r="M746" i="2"/>
  <c r="N746" i="2"/>
  <c r="O746" i="2"/>
  <c r="P746" i="2"/>
  <c r="Q746" i="2"/>
  <c r="R746" i="2"/>
  <c r="S746" i="2"/>
  <c r="T746" i="2"/>
  <c r="P98" i="1"/>
  <c r="Q98" i="1"/>
  <c r="M747" i="2"/>
  <c r="BW98" i="1" s="1"/>
  <c r="N747" i="2"/>
  <c r="BX98" i="1" s="1"/>
  <c r="O747" i="2"/>
  <c r="BY98" i="1" s="1"/>
  <c r="P747" i="2"/>
  <c r="BZ98" i="1" s="1"/>
  <c r="Q747" i="2"/>
  <c r="CA98" i="1" s="1"/>
  <c r="R747" i="2"/>
  <c r="CB98" i="1" s="1"/>
  <c r="S747" i="2"/>
  <c r="CC98" i="1" s="1"/>
  <c r="T747" i="2"/>
  <c r="CD98" i="1" s="1"/>
  <c r="AJ98" i="1" l="1"/>
  <c r="BP98" i="1" s="1"/>
  <c r="CG98" i="1" s="1"/>
  <c r="AH98" i="1"/>
  <c r="BN98" i="1" s="1"/>
  <c r="CE98" i="1" s="1"/>
  <c r="AK98" i="1"/>
  <c r="AI98" i="1"/>
  <c r="BO98" i="1" s="1"/>
  <c r="CF98" i="1" s="1"/>
  <c r="C411" i="18"/>
  <c r="C415" i="18" s="1"/>
  <c r="BQ98" i="1" l="1"/>
  <c r="CH98" i="1" s="1"/>
  <c r="AU109" i="1"/>
  <c r="AV109" i="1"/>
  <c r="AW109" i="1"/>
  <c r="AT109" i="1"/>
  <c r="S113" i="117" l="1"/>
  <c r="U113" i="117"/>
  <c r="T113" i="117"/>
  <c r="T43" i="1" l="1"/>
  <c r="T42" i="1"/>
  <c r="T188" i="1" s="1"/>
  <c r="T41" i="1"/>
  <c r="T40" i="1"/>
  <c r="M224" i="18"/>
  <c r="M223" i="18"/>
  <c r="AP188" i="1" l="1"/>
  <c r="AQ188" i="1"/>
  <c r="AR188" i="1"/>
  <c r="AS188" i="1"/>
  <c r="J119" i="16"/>
  <c r="U232" i="17"/>
  <c r="U237" i="17"/>
  <c r="U236" i="17"/>
  <c r="U238" i="17"/>
  <c r="U235" i="17"/>
  <c r="C255" i="17" l="1"/>
  <c r="N232" i="17" s="1"/>
  <c r="O270" i="17"/>
  <c r="O271" i="17"/>
  <c r="O269" i="17"/>
  <c r="C238" i="17"/>
  <c r="S246" i="17" l="1"/>
  <c r="T246" i="17" s="1"/>
  <c r="S248" i="17"/>
  <c r="T248" i="17" s="1"/>
  <c r="S247" i="17"/>
  <c r="T247" i="17" s="1"/>
  <c r="S249" i="17"/>
  <c r="T249" i="17" s="1"/>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CD110" i="1" s="1"/>
  <c r="T79" i="2"/>
  <c r="T80" i="2"/>
  <c r="T81" i="2"/>
  <c r="CD111" i="1" s="1"/>
  <c r="T82" i="2"/>
  <c r="CD112" i="1" s="1"/>
  <c r="T83" i="2"/>
  <c r="CD113" i="1" s="1"/>
  <c r="T84" i="2"/>
  <c r="CD114" i="1" s="1"/>
  <c r="T85" i="2"/>
  <c r="CD115" i="1" s="1"/>
  <c r="T86" i="2"/>
  <c r="CD116" i="1" s="1"/>
  <c r="T87" i="2"/>
  <c r="T88" i="2"/>
  <c r="T89" i="2"/>
  <c r="CD117" i="1" s="1"/>
  <c r="T90" i="2"/>
  <c r="CD118" i="1" s="1"/>
  <c r="T91" i="2"/>
  <c r="CD119" i="1" s="1"/>
  <c r="T92" i="2"/>
  <c r="CD120" i="1" s="1"/>
  <c r="T93" i="2"/>
  <c r="CD121" i="1" s="1"/>
  <c r="T94" i="2"/>
  <c r="CD122" i="1" s="1"/>
  <c r="T95" i="2"/>
  <c r="CD123" i="1" s="1"/>
  <c r="T96" i="2"/>
  <c r="T97" i="2"/>
  <c r="T98" i="2"/>
  <c r="CD124" i="1" s="1"/>
  <c r="T99" i="2"/>
  <c r="T100" i="2"/>
  <c r="T101" i="2"/>
  <c r="T102" i="2"/>
  <c r="T103" i="2"/>
  <c r="CD125" i="1" s="1"/>
  <c r="T104" i="2"/>
  <c r="T105" i="2"/>
  <c r="T106" i="2"/>
  <c r="T107" i="2"/>
  <c r="T108" i="2"/>
  <c r="CD126" i="1" s="1"/>
  <c r="T109" i="2"/>
  <c r="CD127" i="1" s="1"/>
  <c r="T110" i="2"/>
  <c r="CD128" i="1" s="1"/>
  <c r="T111" i="2"/>
  <c r="CD129" i="1" s="1"/>
  <c r="T112" i="2"/>
  <c r="T113" i="2"/>
  <c r="T114" i="2"/>
  <c r="T115" i="2"/>
  <c r="T116" i="2"/>
  <c r="CD130" i="1" s="1"/>
  <c r="T117" i="2"/>
  <c r="T118" i="2"/>
  <c r="T119" i="2"/>
  <c r="T120" i="2"/>
  <c r="CD131" i="1" s="1"/>
  <c r="T121" i="2"/>
  <c r="CD132" i="1" s="1"/>
  <c r="T122" i="2"/>
  <c r="CD133" i="1" s="1"/>
  <c r="T123" i="2"/>
  <c r="CD134" i="1" s="1"/>
  <c r="T124" i="2"/>
  <c r="CD135" i="1" s="1"/>
  <c r="T125" i="2"/>
  <c r="CD136" i="1" s="1"/>
  <c r="T126" i="2"/>
  <c r="T127" i="2"/>
  <c r="CD137" i="1" s="1"/>
  <c r="T128" i="2"/>
  <c r="CD138" i="1" s="1"/>
  <c r="T129" i="2"/>
  <c r="T130" i="2"/>
  <c r="T131" i="2"/>
  <c r="T132" i="2"/>
  <c r="CD139" i="1" s="1"/>
  <c r="T133" i="2"/>
  <c r="CD140" i="1" s="1"/>
  <c r="T134" i="2"/>
  <c r="CD141" i="1" s="1"/>
  <c r="T135" i="2"/>
  <c r="T136" i="2"/>
  <c r="T137" i="2"/>
  <c r="T138" i="2"/>
  <c r="T139" i="2"/>
  <c r="T140" i="2"/>
  <c r="T141" i="2"/>
  <c r="T142" i="2"/>
  <c r="T143" i="2"/>
  <c r="T144" i="2"/>
  <c r="T145" i="2"/>
  <c r="T146" i="2"/>
  <c r="CD142" i="1" s="1"/>
  <c r="T147" i="2"/>
  <c r="CD143" i="1" s="1"/>
  <c r="T148" i="2"/>
  <c r="CD144" i="1" s="1"/>
  <c r="T149" i="2"/>
  <c r="CD145" i="1" s="1"/>
  <c r="T150" i="2"/>
  <c r="CD146" i="1" s="1"/>
  <c r="T151" i="2"/>
  <c r="CD147" i="1" s="1"/>
  <c r="T152" i="2"/>
  <c r="CD148" i="1" s="1"/>
  <c r="T153" i="2"/>
  <c r="CD149" i="1" s="1"/>
  <c r="T154" i="2"/>
  <c r="CD150" i="1" s="1"/>
  <c r="T155" i="2"/>
  <c r="CD151" i="1" s="1"/>
  <c r="T156" i="2"/>
  <c r="T157" i="2"/>
  <c r="CD152" i="1" s="1"/>
  <c r="T158" i="2"/>
  <c r="T159" i="2"/>
  <c r="CD153" i="1" s="1"/>
  <c r="T160" i="2"/>
  <c r="T161" i="2"/>
  <c r="T162" i="2"/>
  <c r="CD154" i="1" s="1"/>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CD200" i="1" s="1"/>
  <c r="T270" i="2"/>
  <c r="CD201" i="1" s="1"/>
  <c r="T271" i="2"/>
  <c r="CD202" i="1" s="1"/>
  <c r="T272" i="2"/>
  <c r="CD208" i="1" s="1"/>
  <c r="T273" i="2"/>
  <c r="CD209" i="1" s="1"/>
  <c r="T274" i="2"/>
  <c r="CD210" i="1" s="1"/>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CD191" i="1" s="1"/>
  <c r="T306" i="2"/>
  <c r="CD192" i="1" s="1"/>
  <c r="T307" i="2"/>
  <c r="T308" i="2"/>
  <c r="T309" i="2"/>
  <c r="CD193" i="1" s="1"/>
  <c r="T310" i="2"/>
  <c r="CD194" i="1" s="1"/>
  <c r="T311" i="2"/>
  <c r="CD195" i="1" s="1"/>
  <c r="T312" i="2"/>
  <c r="T313" i="2"/>
  <c r="T314" i="2"/>
  <c r="CD196" i="1" s="1"/>
  <c r="T315" i="2"/>
  <c r="CD197" i="1" s="1"/>
  <c r="T316" i="2"/>
  <c r="CD198" i="1" s="1"/>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CD188" i="1" s="1"/>
  <c r="T377" i="2"/>
  <c r="T378" i="2"/>
  <c r="CD157" i="1" s="1"/>
  <c r="T379" i="2"/>
  <c r="CD189" i="1" s="1"/>
  <c r="T380" i="2"/>
  <c r="CD190" i="1" s="1"/>
  <c r="T381" i="2"/>
  <c r="CD158" i="1" s="1"/>
  <c r="T382" i="2"/>
  <c r="CD159" i="1" s="1"/>
  <c r="T383" i="2"/>
  <c r="CD160" i="1" s="1"/>
  <c r="T384" i="2"/>
  <c r="CD161" i="1" s="1"/>
  <c r="T385" i="2"/>
  <c r="CD162" i="1" s="1"/>
  <c r="T386" i="2"/>
  <c r="CD163" i="1" s="1"/>
  <c r="T387" i="2"/>
  <c r="CD164" i="1" s="1"/>
  <c r="T388" i="2"/>
  <c r="T389" i="2"/>
  <c r="T390" i="2"/>
  <c r="CD165" i="1" s="1"/>
  <c r="T391" i="2"/>
  <c r="T392" i="2"/>
  <c r="T393" i="2"/>
  <c r="CD166" i="1" s="1"/>
  <c r="T394" i="2"/>
  <c r="CD167" i="1" s="1"/>
  <c r="T395" i="2"/>
  <c r="T396" i="2"/>
  <c r="T397" i="2"/>
  <c r="T398" i="2"/>
  <c r="CD168" i="1" s="1"/>
  <c r="T399" i="2"/>
  <c r="T400" i="2"/>
  <c r="T401" i="2"/>
  <c r="T402" i="2"/>
  <c r="CD169" i="1" s="1"/>
  <c r="T403" i="2"/>
  <c r="CD170" i="1" s="1"/>
  <c r="T404" i="2"/>
  <c r="T405" i="2"/>
  <c r="CD171" i="1" s="1"/>
  <c r="T406" i="2"/>
  <c r="T407" i="2"/>
  <c r="CD172" i="1" s="1"/>
  <c r="T408" i="2"/>
  <c r="CD173" i="1" s="1"/>
  <c r="T409" i="2"/>
  <c r="CD174" i="1" s="1"/>
  <c r="T410" i="2"/>
  <c r="CD175" i="1" s="1"/>
  <c r="T411" i="2"/>
  <c r="CD176" i="1" s="1"/>
  <c r="T412" i="2"/>
  <c r="CD177" i="1" s="1"/>
  <c r="T413" i="2"/>
  <c r="CD178" i="1" s="1"/>
  <c r="T414" i="2"/>
  <c r="CD179" i="1" s="1"/>
  <c r="T415" i="2"/>
  <c r="CD180" i="1" s="1"/>
  <c r="T416" i="2"/>
  <c r="CD181" i="1" s="1"/>
  <c r="T417" i="2"/>
  <c r="CD182" i="1" s="1"/>
  <c r="T418" i="2"/>
  <c r="CD183" i="1" s="1"/>
  <c r="T419" i="2"/>
  <c r="T420" i="2"/>
  <c r="CD184" i="1" s="1"/>
  <c r="T421" i="2"/>
  <c r="T422" i="2"/>
  <c r="CD185" i="1" s="1"/>
  <c r="T423" i="2"/>
  <c r="T424" i="2"/>
  <c r="T425" i="2"/>
  <c r="T426" i="2"/>
  <c r="CD186" i="1" s="1"/>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CD203" i="1" s="1"/>
  <c r="T518" i="2"/>
  <c r="CD204" i="1" s="1"/>
  <c r="T519" i="2"/>
  <c r="CD205" i="1" s="1"/>
  <c r="T520" i="2"/>
  <c r="CD206" i="1" s="1"/>
  <c r="T521" i="2"/>
  <c r="CD207" i="1" s="1"/>
  <c r="T522" i="2"/>
  <c r="CD211" i="1" s="1"/>
  <c r="T523" i="2"/>
  <c r="CD212" i="1" s="1"/>
  <c r="T524" i="2"/>
  <c r="CD213" i="1" s="1"/>
  <c r="T525" i="2"/>
  <c r="CD214" i="1" s="1"/>
  <c r="T526" i="2"/>
  <c r="CD215" i="1" s="1"/>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CD155" i="1" s="1"/>
  <c r="T652" i="2"/>
  <c r="T653" i="2"/>
  <c r="T654" i="2"/>
  <c r="T655" i="2"/>
  <c r="CD156" i="1" s="1"/>
  <c r="T656" i="2"/>
  <c r="CD199" i="1" s="1"/>
  <c r="T657" i="2"/>
  <c r="T658" i="2"/>
  <c r="T659" i="2"/>
  <c r="T660" i="2"/>
  <c r="T661" i="2"/>
  <c r="CD187" i="1" s="1"/>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4" i="2"/>
  <c r="L120" i="120" l="1"/>
  <c r="L124" i="120"/>
  <c r="L136" i="120"/>
  <c r="L172" i="120"/>
  <c r="L176" i="120"/>
  <c r="L121" i="120"/>
  <c r="L125" i="120"/>
  <c r="L129" i="120"/>
  <c r="L133" i="120"/>
  <c r="L169" i="120"/>
  <c r="L177" i="120"/>
  <c r="L127" i="120"/>
  <c r="L175" i="120"/>
  <c r="L122" i="120"/>
  <c r="L126" i="120"/>
  <c r="L154" i="120"/>
  <c r="L170" i="120"/>
  <c r="L178" i="120"/>
  <c r="L119" i="120"/>
  <c r="L123" i="120"/>
  <c r="L171" i="120"/>
  <c r="L179" i="120"/>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BZ110" i="1" s="1"/>
  <c r="P79" i="2"/>
  <c r="P80" i="2"/>
  <c r="P81" i="2"/>
  <c r="BZ111" i="1" s="1"/>
  <c r="P82" i="2"/>
  <c r="BZ112" i="1" s="1"/>
  <c r="P83" i="2"/>
  <c r="BZ113" i="1" s="1"/>
  <c r="P84" i="2"/>
  <c r="BZ114" i="1" s="1"/>
  <c r="P85" i="2"/>
  <c r="BZ115" i="1" s="1"/>
  <c r="P86" i="2"/>
  <c r="BZ116" i="1" s="1"/>
  <c r="P87" i="2"/>
  <c r="P88" i="2"/>
  <c r="P89" i="2"/>
  <c r="BZ117" i="1" s="1"/>
  <c r="P90" i="2"/>
  <c r="BZ118" i="1" s="1"/>
  <c r="P91" i="2"/>
  <c r="BZ119" i="1" s="1"/>
  <c r="P92" i="2"/>
  <c r="BZ120" i="1" s="1"/>
  <c r="P93" i="2"/>
  <c r="BZ121" i="1" s="1"/>
  <c r="P94" i="2"/>
  <c r="BZ122" i="1" s="1"/>
  <c r="P95" i="2"/>
  <c r="BZ123" i="1" s="1"/>
  <c r="P96" i="2"/>
  <c r="P97" i="2"/>
  <c r="P98" i="2"/>
  <c r="BZ124" i="1" s="1"/>
  <c r="P99" i="2"/>
  <c r="P100" i="2"/>
  <c r="P101" i="2"/>
  <c r="P102" i="2"/>
  <c r="P103" i="2"/>
  <c r="BZ125" i="1" s="1"/>
  <c r="P104" i="2"/>
  <c r="P105" i="2"/>
  <c r="P106" i="2"/>
  <c r="P107" i="2"/>
  <c r="P108" i="2"/>
  <c r="BZ126" i="1" s="1"/>
  <c r="P109" i="2"/>
  <c r="BZ127" i="1" s="1"/>
  <c r="P110" i="2"/>
  <c r="BZ128" i="1" s="1"/>
  <c r="P111" i="2"/>
  <c r="BZ129" i="1" s="1"/>
  <c r="P112" i="2"/>
  <c r="P113" i="2"/>
  <c r="P114" i="2"/>
  <c r="P115" i="2"/>
  <c r="P116" i="2"/>
  <c r="BZ130" i="1" s="1"/>
  <c r="P117" i="2"/>
  <c r="P118" i="2"/>
  <c r="P119" i="2"/>
  <c r="P120" i="2"/>
  <c r="BZ131" i="1" s="1"/>
  <c r="P121" i="2"/>
  <c r="BZ132" i="1" s="1"/>
  <c r="P122" i="2"/>
  <c r="BZ133" i="1" s="1"/>
  <c r="P123" i="2"/>
  <c r="BZ134" i="1" s="1"/>
  <c r="P124" i="2"/>
  <c r="BZ135" i="1" s="1"/>
  <c r="P125" i="2"/>
  <c r="BZ136" i="1" s="1"/>
  <c r="P126" i="2"/>
  <c r="P127" i="2"/>
  <c r="BZ137" i="1" s="1"/>
  <c r="P128" i="2"/>
  <c r="BZ138" i="1" s="1"/>
  <c r="P129" i="2"/>
  <c r="P130" i="2"/>
  <c r="P131" i="2"/>
  <c r="P132" i="2"/>
  <c r="BZ139" i="1" s="1"/>
  <c r="P133" i="2"/>
  <c r="BZ140" i="1" s="1"/>
  <c r="P134" i="2"/>
  <c r="BZ141" i="1" s="1"/>
  <c r="P135" i="2"/>
  <c r="P136" i="2"/>
  <c r="P137" i="2"/>
  <c r="P138" i="2"/>
  <c r="P139" i="2"/>
  <c r="P140" i="2"/>
  <c r="P141" i="2"/>
  <c r="P142" i="2"/>
  <c r="P143" i="2"/>
  <c r="P144" i="2"/>
  <c r="P145" i="2"/>
  <c r="P146" i="2"/>
  <c r="BZ142" i="1" s="1"/>
  <c r="P147" i="2"/>
  <c r="BZ143" i="1" s="1"/>
  <c r="P148" i="2"/>
  <c r="BZ144" i="1" s="1"/>
  <c r="P149" i="2"/>
  <c r="BZ145" i="1" s="1"/>
  <c r="P150" i="2"/>
  <c r="BZ146" i="1" s="1"/>
  <c r="P151" i="2"/>
  <c r="BZ147" i="1" s="1"/>
  <c r="P152" i="2"/>
  <c r="BZ148" i="1" s="1"/>
  <c r="P153" i="2"/>
  <c r="BZ149" i="1" s="1"/>
  <c r="P154" i="2"/>
  <c r="BZ150" i="1" s="1"/>
  <c r="P155" i="2"/>
  <c r="BZ151" i="1" s="1"/>
  <c r="P156" i="2"/>
  <c r="P157" i="2"/>
  <c r="BZ152" i="1" s="1"/>
  <c r="P158" i="2"/>
  <c r="P159" i="2"/>
  <c r="BZ153" i="1" s="1"/>
  <c r="P160" i="2"/>
  <c r="P161" i="2"/>
  <c r="P162" i="2"/>
  <c r="BZ154" i="1" s="1"/>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BZ200" i="1" s="1"/>
  <c r="P270" i="2"/>
  <c r="BZ201" i="1" s="1"/>
  <c r="P271" i="2"/>
  <c r="BZ202" i="1" s="1"/>
  <c r="P272" i="2"/>
  <c r="BZ208" i="1" s="1"/>
  <c r="P273" i="2"/>
  <c r="BZ209" i="1" s="1"/>
  <c r="P274" i="2"/>
  <c r="BZ210" i="1" s="1"/>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BZ191" i="1" s="1"/>
  <c r="P306" i="2"/>
  <c r="BZ192" i="1" s="1"/>
  <c r="P307" i="2"/>
  <c r="P308" i="2"/>
  <c r="P309" i="2"/>
  <c r="BZ193" i="1" s="1"/>
  <c r="P310" i="2"/>
  <c r="BZ194" i="1" s="1"/>
  <c r="P311" i="2"/>
  <c r="BZ195" i="1" s="1"/>
  <c r="P312" i="2"/>
  <c r="P313" i="2"/>
  <c r="P314" i="2"/>
  <c r="BZ196" i="1" s="1"/>
  <c r="P315" i="2"/>
  <c r="BZ197" i="1" s="1"/>
  <c r="P316" i="2"/>
  <c r="BZ198" i="1" s="1"/>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BZ188" i="1" s="1"/>
  <c r="P377" i="2"/>
  <c r="P378" i="2"/>
  <c r="BZ157" i="1" s="1"/>
  <c r="P379" i="2"/>
  <c r="BZ189" i="1" s="1"/>
  <c r="P380" i="2"/>
  <c r="BZ190" i="1" s="1"/>
  <c r="P381" i="2"/>
  <c r="BZ158" i="1" s="1"/>
  <c r="P382" i="2"/>
  <c r="BZ159" i="1" s="1"/>
  <c r="P383" i="2"/>
  <c r="BZ160" i="1" s="1"/>
  <c r="P384" i="2"/>
  <c r="BZ161" i="1" s="1"/>
  <c r="P385" i="2"/>
  <c r="BZ162" i="1" s="1"/>
  <c r="P386" i="2"/>
  <c r="BZ163" i="1" s="1"/>
  <c r="P387" i="2"/>
  <c r="BZ164" i="1" s="1"/>
  <c r="P388" i="2"/>
  <c r="P389" i="2"/>
  <c r="P390" i="2"/>
  <c r="BZ165" i="1" s="1"/>
  <c r="P391" i="2"/>
  <c r="P392" i="2"/>
  <c r="P393" i="2"/>
  <c r="BZ166" i="1" s="1"/>
  <c r="P394" i="2"/>
  <c r="BZ167" i="1" s="1"/>
  <c r="P395" i="2"/>
  <c r="P396" i="2"/>
  <c r="P397" i="2"/>
  <c r="P398" i="2"/>
  <c r="BZ168" i="1" s="1"/>
  <c r="P399" i="2"/>
  <c r="P400" i="2"/>
  <c r="P401" i="2"/>
  <c r="P402" i="2"/>
  <c r="BZ169" i="1" s="1"/>
  <c r="P403" i="2"/>
  <c r="BZ170" i="1" s="1"/>
  <c r="P404" i="2"/>
  <c r="P405" i="2"/>
  <c r="BZ171" i="1" s="1"/>
  <c r="P406" i="2"/>
  <c r="P407" i="2"/>
  <c r="BZ172" i="1" s="1"/>
  <c r="P408" i="2"/>
  <c r="BZ173" i="1" s="1"/>
  <c r="P409" i="2"/>
  <c r="BZ174" i="1" s="1"/>
  <c r="P410" i="2"/>
  <c r="BZ175" i="1" s="1"/>
  <c r="P411" i="2"/>
  <c r="BZ176" i="1" s="1"/>
  <c r="P412" i="2"/>
  <c r="BZ177" i="1" s="1"/>
  <c r="P413" i="2"/>
  <c r="BZ178" i="1" s="1"/>
  <c r="P414" i="2"/>
  <c r="BZ179" i="1" s="1"/>
  <c r="P415" i="2"/>
  <c r="BZ180" i="1" s="1"/>
  <c r="P416" i="2"/>
  <c r="BZ181" i="1" s="1"/>
  <c r="P417" i="2"/>
  <c r="BZ182" i="1" s="1"/>
  <c r="P418" i="2"/>
  <c r="BZ183" i="1" s="1"/>
  <c r="P419" i="2"/>
  <c r="P420" i="2"/>
  <c r="BZ184" i="1" s="1"/>
  <c r="P421" i="2"/>
  <c r="P422" i="2"/>
  <c r="BZ185" i="1" s="1"/>
  <c r="P423" i="2"/>
  <c r="P424" i="2"/>
  <c r="P425" i="2"/>
  <c r="P426" i="2"/>
  <c r="BZ186" i="1" s="1"/>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BZ203" i="1"/>
  <c r="P518" i="2"/>
  <c r="BZ204" i="1" s="1"/>
  <c r="P519" i="2"/>
  <c r="BZ205" i="1" s="1"/>
  <c r="P520" i="2"/>
  <c r="BZ206" i="1" s="1"/>
  <c r="P521" i="2"/>
  <c r="BZ207" i="1" s="1"/>
  <c r="P522" i="2"/>
  <c r="BZ211" i="1" s="1"/>
  <c r="P523" i="2"/>
  <c r="BZ212" i="1" s="1"/>
  <c r="P524" i="2"/>
  <c r="BZ213" i="1" s="1"/>
  <c r="P525" i="2"/>
  <c r="BZ214" i="1" s="1"/>
  <c r="P526" i="2"/>
  <c r="BZ215" i="1" s="1"/>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BZ155" i="1" s="1"/>
  <c r="P652" i="2"/>
  <c r="P653" i="2"/>
  <c r="P654" i="2"/>
  <c r="P655" i="2"/>
  <c r="BZ156" i="1" s="1"/>
  <c r="P656" i="2"/>
  <c r="BZ199" i="1" s="1"/>
  <c r="P657" i="2"/>
  <c r="P658" i="2"/>
  <c r="P659" i="2"/>
  <c r="P660" i="2"/>
  <c r="P661" i="2"/>
  <c r="BZ187" i="1" s="1"/>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4" i="2"/>
  <c r="L138" i="120" l="1"/>
  <c r="N123" i="120"/>
  <c r="M123" i="120"/>
  <c r="M154" i="120"/>
  <c r="N154" i="120"/>
  <c r="N127" i="120"/>
  <c r="M127" i="120"/>
  <c r="M129" i="120"/>
  <c r="N129" i="120"/>
  <c r="N172" i="120"/>
  <c r="M172" i="120"/>
  <c r="N119" i="120"/>
  <c r="M119" i="120"/>
  <c r="N126" i="120"/>
  <c r="M126" i="120"/>
  <c r="N177" i="120"/>
  <c r="M177" i="120"/>
  <c r="M125" i="120"/>
  <c r="N125" i="120"/>
  <c r="N136" i="120"/>
  <c r="M136" i="120"/>
  <c r="N179" i="120"/>
  <c r="M179" i="120"/>
  <c r="N178" i="120"/>
  <c r="M178" i="120"/>
  <c r="N122" i="120"/>
  <c r="M122" i="120"/>
  <c r="M169" i="120"/>
  <c r="N169" i="120"/>
  <c r="M121" i="120"/>
  <c r="N121" i="120"/>
  <c r="N124" i="120"/>
  <c r="M124" i="120"/>
  <c r="M171" i="120"/>
  <c r="N171" i="120"/>
  <c r="M170" i="120"/>
  <c r="N170" i="120"/>
  <c r="M175" i="120"/>
  <c r="N175" i="120"/>
  <c r="M133" i="120"/>
  <c r="N133" i="120"/>
  <c r="N176" i="120"/>
  <c r="M176" i="120"/>
  <c r="N120" i="120"/>
  <c r="M120" i="120"/>
  <c r="L76" i="120"/>
  <c r="L91" i="120"/>
  <c r="L59" i="120"/>
  <c r="L24" i="120"/>
  <c r="L162" i="120"/>
  <c r="L62" i="120"/>
  <c r="L97" i="120"/>
  <c r="L17" i="120"/>
  <c r="L111" i="120"/>
  <c r="L79" i="120"/>
  <c r="L47" i="120"/>
  <c r="L158" i="120"/>
  <c r="L110" i="120"/>
  <c r="L46" i="120"/>
  <c r="L81" i="120"/>
  <c r="L14" i="120"/>
  <c r="L60" i="120"/>
  <c r="L159" i="120"/>
  <c r="L107" i="120"/>
  <c r="L75" i="120"/>
  <c r="L39" i="120"/>
  <c r="L174" i="120"/>
  <c r="L94" i="120"/>
  <c r="L27" i="120"/>
  <c r="L65" i="120"/>
  <c r="L156" i="120"/>
  <c r="L108" i="120"/>
  <c r="L44" i="120"/>
  <c r="L95" i="120"/>
  <c r="L63" i="120"/>
  <c r="L28" i="120"/>
  <c r="L78" i="120"/>
  <c r="L113" i="120"/>
  <c r="L49" i="120"/>
  <c r="L147" i="120"/>
  <c r="L157" i="120"/>
  <c r="L92" i="120"/>
  <c r="L29" i="120"/>
  <c r="L103" i="120"/>
  <c r="L87" i="120"/>
  <c r="L71" i="120"/>
  <c r="L55" i="120"/>
  <c r="L35" i="120"/>
  <c r="L20" i="120"/>
  <c r="L106" i="120"/>
  <c r="L90" i="120"/>
  <c r="L74" i="120"/>
  <c r="L58" i="120"/>
  <c r="L38" i="120"/>
  <c r="L23" i="120"/>
  <c r="L109" i="120"/>
  <c r="L93" i="120"/>
  <c r="L77" i="120"/>
  <c r="L61" i="120"/>
  <c r="L45" i="120"/>
  <c r="L26" i="120"/>
  <c r="L143" i="120"/>
  <c r="L173" i="120"/>
  <c r="L137" i="120"/>
  <c r="L104" i="120"/>
  <c r="L88" i="120"/>
  <c r="L72" i="120"/>
  <c r="L56" i="120"/>
  <c r="L40" i="120"/>
  <c r="L25" i="120"/>
  <c r="L167" i="120"/>
  <c r="L115" i="120"/>
  <c r="L99" i="120"/>
  <c r="L83" i="120"/>
  <c r="L67" i="120"/>
  <c r="L51" i="120"/>
  <c r="L31" i="120"/>
  <c r="L16" i="120"/>
  <c r="L166" i="120"/>
  <c r="L142" i="120"/>
  <c r="L118" i="120"/>
  <c r="L102" i="120"/>
  <c r="L86" i="120"/>
  <c r="L70" i="120"/>
  <c r="L54" i="120"/>
  <c r="L34" i="120"/>
  <c r="L19" i="120"/>
  <c r="L105" i="120"/>
  <c r="L89" i="120"/>
  <c r="L73" i="120"/>
  <c r="L57" i="120"/>
  <c r="L37" i="120"/>
  <c r="L22" i="120"/>
  <c r="L163" i="120"/>
  <c r="L117" i="120"/>
  <c r="L168" i="120"/>
  <c r="L116" i="120"/>
  <c r="L100" i="120"/>
  <c r="L68" i="120"/>
  <c r="L52" i="120"/>
  <c r="L36" i="120"/>
  <c r="L21" i="120"/>
  <c r="L114" i="120"/>
  <c r="L98" i="120"/>
  <c r="L82" i="120"/>
  <c r="L66" i="120"/>
  <c r="L50" i="120"/>
  <c r="L30" i="120"/>
  <c r="L15" i="120"/>
  <c r="L101" i="120"/>
  <c r="L69" i="120"/>
  <c r="L53" i="120"/>
  <c r="L33" i="120"/>
  <c r="L18" i="120"/>
  <c r="L155" i="120"/>
  <c r="L161" i="120"/>
  <c r="L180" i="120"/>
  <c r="L160" i="120"/>
  <c r="L128" i="120"/>
  <c r="L112" i="120"/>
  <c r="L96" i="120"/>
  <c r="L80" i="120"/>
  <c r="L64" i="120"/>
  <c r="L48" i="120"/>
  <c r="L32" i="120"/>
  <c r="N80" i="120" l="1"/>
  <c r="M80" i="120"/>
  <c r="N160" i="120"/>
  <c r="M160" i="120"/>
  <c r="M69" i="120"/>
  <c r="N69" i="120"/>
  <c r="N30" i="120"/>
  <c r="M30" i="120"/>
  <c r="N98" i="120"/>
  <c r="M98" i="120"/>
  <c r="N52" i="120"/>
  <c r="M52" i="120"/>
  <c r="N116" i="120"/>
  <c r="M116" i="120"/>
  <c r="M22" i="120"/>
  <c r="N22" i="120"/>
  <c r="M89" i="120"/>
  <c r="N89" i="120"/>
  <c r="N54" i="120"/>
  <c r="M54" i="120"/>
  <c r="N118" i="120"/>
  <c r="M118" i="120"/>
  <c r="M31" i="120"/>
  <c r="N31" i="120"/>
  <c r="N99" i="120"/>
  <c r="M99" i="120"/>
  <c r="N40" i="120"/>
  <c r="M40" i="120"/>
  <c r="N104" i="120"/>
  <c r="M104" i="120"/>
  <c r="M26" i="120"/>
  <c r="N26" i="120"/>
  <c r="M93" i="120"/>
  <c r="N93" i="120"/>
  <c r="N58" i="120"/>
  <c r="M58" i="120"/>
  <c r="N20" i="120"/>
  <c r="M20" i="120"/>
  <c r="N87" i="120"/>
  <c r="M87" i="120"/>
  <c r="M157" i="120"/>
  <c r="N157" i="120"/>
  <c r="N78" i="120"/>
  <c r="M78" i="120"/>
  <c r="N44" i="120"/>
  <c r="M44" i="120"/>
  <c r="M27" i="120"/>
  <c r="N27" i="120"/>
  <c r="N32" i="120"/>
  <c r="M32" i="120"/>
  <c r="N96" i="120"/>
  <c r="M96" i="120"/>
  <c r="N180" i="120"/>
  <c r="M180" i="120"/>
  <c r="M18" i="120"/>
  <c r="N18" i="120"/>
  <c r="M85" i="120"/>
  <c r="N85" i="120"/>
  <c r="N50" i="120"/>
  <c r="M50" i="120"/>
  <c r="N114" i="120"/>
  <c r="M114" i="120"/>
  <c r="N68" i="120"/>
  <c r="M68" i="120"/>
  <c r="N168" i="120"/>
  <c r="M168" i="120"/>
  <c r="M37" i="120"/>
  <c r="N37" i="120"/>
  <c r="M105" i="120"/>
  <c r="N105" i="120"/>
  <c r="N70" i="120"/>
  <c r="M70" i="120"/>
  <c r="N142" i="120"/>
  <c r="M142" i="120"/>
  <c r="N51" i="120"/>
  <c r="M51" i="120"/>
  <c r="N115" i="120"/>
  <c r="M115" i="120"/>
  <c r="N56" i="120"/>
  <c r="M56" i="120"/>
  <c r="M137" i="120"/>
  <c r="N137" i="120"/>
  <c r="M45" i="120"/>
  <c r="N45" i="120"/>
  <c r="M109" i="120"/>
  <c r="N109" i="120"/>
  <c r="N74" i="120"/>
  <c r="M74" i="120"/>
  <c r="N35" i="120"/>
  <c r="M35" i="120"/>
  <c r="N103" i="120"/>
  <c r="M103" i="120"/>
  <c r="M147" i="120"/>
  <c r="N147" i="120"/>
  <c r="M28" i="120"/>
  <c r="N28" i="120"/>
  <c r="N108" i="120"/>
  <c r="M108" i="120"/>
  <c r="N94" i="120"/>
  <c r="M94" i="120"/>
  <c r="N48" i="120"/>
  <c r="M48" i="120"/>
  <c r="N112" i="120"/>
  <c r="M112" i="120"/>
  <c r="M161" i="120"/>
  <c r="N161" i="120"/>
  <c r="M33" i="120"/>
  <c r="N33" i="120"/>
  <c r="M101" i="120"/>
  <c r="N101" i="120"/>
  <c r="N66" i="120"/>
  <c r="M66" i="120"/>
  <c r="N21" i="120"/>
  <c r="M21" i="120"/>
  <c r="N84" i="120"/>
  <c r="M84" i="120"/>
  <c r="M117" i="120"/>
  <c r="N117" i="120"/>
  <c r="M57" i="120"/>
  <c r="N57" i="120"/>
  <c r="M19" i="120"/>
  <c r="N19" i="120"/>
  <c r="N86" i="120"/>
  <c r="M86" i="120"/>
  <c r="M166" i="120"/>
  <c r="N166" i="120"/>
  <c r="N67" i="120"/>
  <c r="M67" i="120"/>
  <c r="N167" i="120"/>
  <c r="M167" i="120"/>
  <c r="N72" i="120"/>
  <c r="M72" i="120"/>
  <c r="M173" i="120"/>
  <c r="N173" i="120"/>
  <c r="M61" i="120"/>
  <c r="N61" i="120"/>
  <c r="M23" i="120"/>
  <c r="N23" i="120"/>
  <c r="N90" i="120"/>
  <c r="M90" i="120"/>
  <c r="N55" i="120"/>
  <c r="M55" i="120"/>
  <c r="N29" i="120"/>
  <c r="M29" i="120"/>
  <c r="M49" i="120"/>
  <c r="N49" i="120"/>
  <c r="N63" i="120"/>
  <c r="M63" i="120"/>
  <c r="N156" i="120"/>
  <c r="M156" i="120"/>
  <c r="M174" i="120"/>
  <c r="N174" i="120"/>
  <c r="M159" i="120"/>
  <c r="N159" i="120"/>
  <c r="N46" i="120"/>
  <c r="M46" i="120"/>
  <c r="N79" i="120"/>
  <c r="M79" i="120"/>
  <c r="M97" i="120"/>
  <c r="N97" i="120"/>
  <c r="N59" i="120"/>
  <c r="M59" i="120"/>
  <c r="M155" i="120"/>
  <c r="N155" i="120"/>
  <c r="N64" i="120"/>
  <c r="M64" i="120"/>
  <c r="N128" i="120"/>
  <c r="M128" i="120"/>
  <c r="M53" i="120"/>
  <c r="N53" i="120"/>
  <c r="N15" i="120"/>
  <c r="M15" i="120"/>
  <c r="N82" i="120"/>
  <c r="M82" i="120"/>
  <c r="N36" i="120"/>
  <c r="M36" i="120"/>
  <c r="N100" i="120"/>
  <c r="M100" i="120"/>
  <c r="M163" i="120"/>
  <c r="N163" i="120"/>
  <c r="M73" i="120"/>
  <c r="N73" i="120"/>
  <c r="M34" i="120"/>
  <c r="N34" i="120"/>
  <c r="N102" i="120"/>
  <c r="M102" i="120"/>
  <c r="M16" i="120"/>
  <c r="N16" i="120"/>
  <c r="N83" i="120"/>
  <c r="M83" i="120"/>
  <c r="N25" i="120"/>
  <c r="M25" i="120"/>
  <c r="N88" i="120"/>
  <c r="M88" i="120"/>
  <c r="N143" i="120"/>
  <c r="M143" i="120"/>
  <c r="M77" i="120"/>
  <c r="N77" i="120"/>
  <c r="M38" i="120"/>
  <c r="N38" i="120"/>
  <c r="N106" i="120"/>
  <c r="M106" i="120"/>
  <c r="N71" i="120"/>
  <c r="M71" i="120"/>
  <c r="N92" i="120"/>
  <c r="M92" i="120"/>
  <c r="M113" i="120"/>
  <c r="N113" i="120"/>
  <c r="N95" i="120"/>
  <c r="M95" i="120"/>
  <c r="M65" i="120"/>
  <c r="N65" i="120"/>
  <c r="M39" i="120"/>
  <c r="N39" i="120"/>
  <c r="N60" i="120"/>
  <c r="M60" i="120"/>
  <c r="N110" i="120"/>
  <c r="M110" i="120"/>
  <c r="N111" i="120"/>
  <c r="M111" i="120"/>
  <c r="N62" i="120"/>
  <c r="M62" i="120"/>
  <c r="N91" i="120"/>
  <c r="M91" i="120"/>
  <c r="N75" i="120"/>
  <c r="M75" i="120"/>
  <c r="M14" i="120"/>
  <c r="N14" i="120"/>
  <c r="M158" i="120"/>
  <c r="N158" i="120"/>
  <c r="N17" i="120"/>
  <c r="M17" i="120"/>
  <c r="N162" i="120"/>
  <c r="M162" i="120"/>
  <c r="N76" i="120"/>
  <c r="M76" i="120"/>
  <c r="N107" i="120"/>
  <c r="M107" i="120"/>
  <c r="M81" i="120"/>
  <c r="N81" i="120"/>
  <c r="N47" i="120"/>
  <c r="M47" i="120"/>
  <c r="M24" i="120"/>
  <c r="N24" i="120"/>
  <c r="N138" i="120"/>
  <c r="M138" i="120"/>
  <c r="C119" i="17"/>
  <c r="C123" i="17" s="1"/>
  <c r="V14" i="1" s="1"/>
  <c r="Q92" i="17"/>
  <c r="Q85" i="17"/>
  <c r="Q91" i="17"/>
  <c r="V13" i="1" s="1"/>
  <c r="W97" i="1"/>
  <c r="S76" i="1"/>
  <c r="T76" i="1"/>
  <c r="U76" i="1"/>
  <c r="W76" i="1"/>
  <c r="R76" i="1"/>
  <c r="S78" i="1"/>
  <c r="T78" i="1"/>
  <c r="U78" i="1"/>
  <c r="S57" i="1"/>
  <c r="T57" i="1"/>
  <c r="T84" i="1" s="1"/>
  <c r="U57" i="1"/>
  <c r="R78" i="1"/>
  <c r="R57" i="1"/>
  <c r="S77" i="1"/>
  <c r="T77" i="1"/>
  <c r="U77" i="1"/>
  <c r="W77" i="1"/>
  <c r="S56" i="1"/>
  <c r="S107" i="1" s="1"/>
  <c r="T56" i="1"/>
  <c r="T107" i="1" s="1"/>
  <c r="U56" i="1"/>
  <c r="U107" i="1" s="1"/>
  <c r="W56" i="1"/>
  <c r="W107" i="1" s="1"/>
  <c r="R77" i="1"/>
  <c r="R56" i="1"/>
  <c r="R107" i="1" s="1"/>
  <c r="S66" i="1"/>
  <c r="S87" i="1" s="1"/>
  <c r="T66" i="1"/>
  <c r="U66" i="1"/>
  <c r="U87" i="1" s="1"/>
  <c r="W66" i="1"/>
  <c r="W87" i="1" s="1"/>
  <c r="R66" i="1"/>
  <c r="S84" i="1"/>
  <c r="U84" i="1"/>
  <c r="W84" i="1"/>
  <c r="S63" i="1"/>
  <c r="T63" i="1"/>
  <c r="U63" i="1"/>
  <c r="W63" i="1"/>
  <c r="S83" i="1"/>
  <c r="T83" i="1"/>
  <c r="U83" i="1"/>
  <c r="W83" i="1"/>
  <c r="S62" i="1"/>
  <c r="T62" i="1"/>
  <c r="U62" i="1"/>
  <c r="W62" i="1"/>
  <c r="R83" i="1"/>
  <c r="R62" i="1"/>
  <c r="W81" i="1"/>
  <c r="W60" i="1"/>
  <c r="M346" i="18"/>
  <c r="S92" i="1"/>
  <c r="U92" i="1"/>
  <c r="S79" i="1"/>
  <c r="U79" i="1"/>
  <c r="S71" i="1"/>
  <c r="U71" i="1"/>
  <c r="S58" i="1"/>
  <c r="U58" i="1"/>
  <c r="W58" i="1"/>
  <c r="S85" i="1"/>
  <c r="U85" i="1"/>
  <c r="S86" i="1"/>
  <c r="U86" i="1"/>
  <c r="U69" i="1"/>
  <c r="U90" i="1" s="1"/>
  <c r="S69" i="1"/>
  <c r="S90" i="1" s="1"/>
  <c r="T64" i="1"/>
  <c r="S88" i="1"/>
  <c r="U88" i="1"/>
  <c r="S89" i="1"/>
  <c r="U89" i="1"/>
  <c r="M3" i="120" l="1"/>
  <c r="BH107" i="1"/>
  <c r="BF107" i="1"/>
  <c r="BI107" i="1"/>
  <c r="BG107" i="1"/>
  <c r="N3" i="120"/>
  <c r="N4" i="120"/>
  <c r="M4" i="120"/>
  <c r="O13" i="1"/>
  <c r="O101" i="1" s="1"/>
  <c r="O14" i="1"/>
  <c r="O102" i="1" s="1"/>
  <c r="R87" i="1"/>
  <c r="T87" i="1"/>
  <c r="K91" i="17"/>
  <c r="V12" i="1" s="1"/>
  <c r="K85" i="17"/>
  <c r="K92" i="17"/>
  <c r="K84" i="17"/>
  <c r="BJ108" i="1" l="1"/>
  <c r="BJ101" i="1"/>
  <c r="BK101" i="1"/>
  <c r="BM101" i="1"/>
  <c r="BL101" i="1"/>
  <c r="AY101" i="1"/>
  <c r="BA101" i="1"/>
  <c r="H105" i="117" s="1"/>
  <c r="AX101" i="1"/>
  <c r="AZ101" i="1"/>
  <c r="O106" i="1"/>
  <c r="O108" i="1" s="1"/>
  <c r="BJ102" i="1"/>
  <c r="BM102" i="1"/>
  <c r="BL102" i="1"/>
  <c r="BK102" i="1"/>
  <c r="AX102" i="1"/>
  <c r="AZ102" i="1"/>
  <c r="BA102" i="1"/>
  <c r="H106" i="117" s="1"/>
  <c r="AY102" i="1"/>
  <c r="BL105" i="1"/>
  <c r="BM105" i="1"/>
  <c r="BJ105" i="1"/>
  <c r="BK105" i="1"/>
  <c r="AX105" i="1"/>
  <c r="AZ105" i="1"/>
  <c r="BA105" i="1"/>
  <c r="H109" i="117" s="1"/>
  <c r="AY105" i="1"/>
  <c r="BJ106" i="1"/>
  <c r="BM106" i="1"/>
  <c r="BK106" i="1"/>
  <c r="BL106" i="1"/>
  <c r="AZ106" i="1"/>
  <c r="AX106" i="1"/>
  <c r="AY106" i="1"/>
  <c r="BA106" i="1"/>
  <c r="O12" i="1"/>
  <c r="O100" i="1" s="1"/>
  <c r="Q84" i="17"/>
  <c r="M347" i="18"/>
  <c r="M348" i="18"/>
  <c r="M349" i="18"/>
  <c r="M341" i="18"/>
  <c r="M340" i="18"/>
  <c r="M339" i="18"/>
  <c r="M338" i="18"/>
  <c r="BZ5" i="1"/>
  <c r="CD5" i="1"/>
  <c r="BZ6" i="1"/>
  <c r="CD6" i="1"/>
  <c r="BZ7" i="1"/>
  <c r="CD7" i="1"/>
  <c r="BZ8" i="1"/>
  <c r="CD8" i="1"/>
  <c r="BZ9" i="1"/>
  <c r="CD9" i="1"/>
  <c r="BZ10" i="1"/>
  <c r="CD10" i="1"/>
  <c r="BZ11" i="1"/>
  <c r="CD11" i="1"/>
  <c r="BZ12" i="1"/>
  <c r="CD12" i="1"/>
  <c r="BZ13" i="1"/>
  <c r="CD13" i="1"/>
  <c r="BZ14" i="1"/>
  <c r="CD14" i="1"/>
  <c r="BZ15" i="1"/>
  <c r="CD15" i="1"/>
  <c r="BZ16" i="1"/>
  <c r="CD16" i="1"/>
  <c r="BZ17" i="1"/>
  <c r="CD17" i="1"/>
  <c r="BZ18" i="1"/>
  <c r="CD18" i="1"/>
  <c r="BZ19" i="1"/>
  <c r="CD19" i="1"/>
  <c r="BZ20" i="1"/>
  <c r="CD20" i="1"/>
  <c r="BZ21" i="1"/>
  <c r="CD21" i="1"/>
  <c r="BZ22" i="1"/>
  <c r="CD22" i="1"/>
  <c r="BZ23" i="1"/>
  <c r="CD23" i="1"/>
  <c r="BZ24" i="1"/>
  <c r="CD24" i="1"/>
  <c r="BZ25" i="1"/>
  <c r="CD25" i="1"/>
  <c r="BZ26" i="1"/>
  <c r="CD26" i="1"/>
  <c r="BZ27" i="1"/>
  <c r="CD27" i="1"/>
  <c r="BZ28" i="1"/>
  <c r="CD28" i="1"/>
  <c r="BZ29" i="1"/>
  <c r="CD29" i="1"/>
  <c r="BZ30" i="1"/>
  <c r="CD30" i="1"/>
  <c r="BZ31" i="1"/>
  <c r="CD31" i="1"/>
  <c r="BZ32" i="1"/>
  <c r="CD32" i="1"/>
  <c r="BZ33" i="1"/>
  <c r="CD33" i="1"/>
  <c r="BZ34" i="1"/>
  <c r="CD34" i="1"/>
  <c r="BZ35" i="1"/>
  <c r="CD35" i="1"/>
  <c r="BZ36" i="1"/>
  <c r="CD36" i="1"/>
  <c r="BZ37" i="1"/>
  <c r="CD37" i="1"/>
  <c r="BZ38" i="1"/>
  <c r="CD38" i="1"/>
  <c r="BZ39" i="1"/>
  <c r="CD39" i="1"/>
  <c r="BZ40" i="1"/>
  <c r="CD40" i="1"/>
  <c r="BZ41" i="1"/>
  <c r="CD41" i="1"/>
  <c r="BZ42" i="1"/>
  <c r="CD42" i="1"/>
  <c r="BZ43" i="1"/>
  <c r="CD43" i="1"/>
  <c r="BZ44" i="1"/>
  <c r="CD44" i="1"/>
  <c r="BZ45" i="1"/>
  <c r="CD45" i="1"/>
  <c r="BZ46" i="1"/>
  <c r="CD46" i="1"/>
  <c r="BZ47" i="1"/>
  <c r="CD47" i="1"/>
  <c r="BZ48" i="1"/>
  <c r="CD48" i="1"/>
  <c r="BZ49" i="1"/>
  <c r="CD49" i="1"/>
  <c r="BZ50" i="1"/>
  <c r="CD50" i="1"/>
  <c r="BZ51" i="1"/>
  <c r="CD51" i="1"/>
  <c r="BZ52" i="1"/>
  <c r="CD52" i="1"/>
  <c r="BZ53" i="1"/>
  <c r="CD53" i="1"/>
  <c r="BZ54" i="1"/>
  <c r="CD54" i="1"/>
  <c r="BZ55" i="1"/>
  <c r="CD55" i="1"/>
  <c r="BZ56" i="1"/>
  <c r="CD56" i="1"/>
  <c r="BZ57" i="1"/>
  <c r="CD57" i="1"/>
  <c r="BZ58" i="1"/>
  <c r="CD58" i="1"/>
  <c r="BZ59" i="1"/>
  <c r="CD59" i="1"/>
  <c r="BZ60" i="1"/>
  <c r="CD60" i="1"/>
  <c r="BZ61" i="1"/>
  <c r="CD61" i="1"/>
  <c r="BZ62" i="1"/>
  <c r="CD62" i="1"/>
  <c r="BZ63" i="1"/>
  <c r="CD63" i="1"/>
  <c r="BZ64" i="1"/>
  <c r="CD64" i="1"/>
  <c r="BZ65" i="1"/>
  <c r="CD65" i="1"/>
  <c r="BZ66" i="1"/>
  <c r="CD66" i="1"/>
  <c r="BZ67" i="1"/>
  <c r="CD67" i="1"/>
  <c r="BZ68" i="1"/>
  <c r="CD68" i="1"/>
  <c r="BZ69" i="1"/>
  <c r="CD69" i="1"/>
  <c r="BZ70" i="1"/>
  <c r="CD70" i="1"/>
  <c r="BZ71" i="1"/>
  <c r="CD71" i="1"/>
  <c r="BZ72" i="1"/>
  <c r="CD72" i="1"/>
  <c r="BZ73" i="1"/>
  <c r="CD73" i="1"/>
  <c r="BZ74" i="1"/>
  <c r="CD74" i="1"/>
  <c r="BZ75" i="1"/>
  <c r="CD75" i="1"/>
  <c r="BZ76" i="1"/>
  <c r="CD76" i="1"/>
  <c r="BZ77" i="1"/>
  <c r="CD77" i="1"/>
  <c r="BZ78" i="1"/>
  <c r="CD78" i="1"/>
  <c r="BZ79" i="1"/>
  <c r="CD79" i="1"/>
  <c r="BZ80" i="1"/>
  <c r="CD80" i="1"/>
  <c r="BZ81" i="1"/>
  <c r="CD81" i="1"/>
  <c r="BZ82" i="1"/>
  <c r="CD82" i="1"/>
  <c r="BZ83" i="1"/>
  <c r="CD83" i="1"/>
  <c r="BZ84" i="1"/>
  <c r="CD84" i="1"/>
  <c r="BZ85" i="1"/>
  <c r="CD85" i="1"/>
  <c r="BZ86" i="1"/>
  <c r="CD86" i="1"/>
  <c r="BZ87" i="1"/>
  <c r="CD87" i="1"/>
  <c r="BZ88" i="1"/>
  <c r="CD88" i="1"/>
  <c r="BZ89" i="1"/>
  <c r="CD89" i="1"/>
  <c r="BZ90" i="1"/>
  <c r="CD90" i="1"/>
  <c r="BZ91" i="1"/>
  <c r="CD91" i="1"/>
  <c r="BZ92" i="1"/>
  <c r="CD92" i="1"/>
  <c r="BZ93" i="1"/>
  <c r="CD93" i="1"/>
  <c r="BZ94" i="1"/>
  <c r="CD94" i="1"/>
  <c r="BZ95" i="1"/>
  <c r="CD95" i="1"/>
  <c r="BZ96" i="1"/>
  <c r="CD96" i="1"/>
  <c r="BZ97" i="1"/>
  <c r="CD97" i="1"/>
  <c r="BZ109" i="1"/>
  <c r="CD109" i="1"/>
  <c r="R83" i="29"/>
  <c r="O38" i="29"/>
  <c r="O37" i="29"/>
  <c r="O36" i="29"/>
  <c r="O35" i="29"/>
  <c r="H32" i="29"/>
  <c r="O32" i="29" s="1"/>
  <c r="R32" i="29" s="1"/>
  <c r="H31" i="29"/>
  <c r="O31" i="29" s="1"/>
  <c r="R31" i="29" s="1"/>
  <c r="H29" i="29"/>
  <c r="O29" i="29" s="1"/>
  <c r="R29" i="29" s="1"/>
  <c r="P17" i="29"/>
  <c r="O17" i="29"/>
  <c r="P16" i="29"/>
  <c r="O16" i="29"/>
  <c r="P15" i="29"/>
  <c r="O15" i="29"/>
  <c r="P14" i="29"/>
  <c r="O14" i="29"/>
  <c r="O12" i="29"/>
  <c r="O11" i="29"/>
  <c r="O10" i="29"/>
  <c r="R9" i="29"/>
  <c r="P8" i="29"/>
  <c r="O8" i="29"/>
  <c r="P7" i="29"/>
  <c r="H7" i="29"/>
  <c r="O7" i="29" s="1"/>
  <c r="R7" i="29" s="1"/>
  <c r="P6" i="29"/>
  <c r="H6" i="29"/>
  <c r="O6" i="29" s="1"/>
  <c r="O5" i="29"/>
  <c r="R5" i="29" s="1"/>
  <c r="O4" i="29"/>
  <c r="R4" i="29" s="1"/>
  <c r="W19" i="1"/>
  <c r="W21" i="1"/>
  <c r="T28" i="1"/>
  <c r="T69" i="1" s="1"/>
  <c r="T90" i="1" s="1"/>
  <c r="S72" i="1"/>
  <c r="U72" i="1"/>
  <c r="W72" i="1"/>
  <c r="S73" i="1"/>
  <c r="U73" i="1"/>
  <c r="W73" i="1"/>
  <c r="S74" i="1"/>
  <c r="U74" i="1"/>
  <c r="W74" i="1"/>
  <c r="S75" i="1"/>
  <c r="U75" i="1"/>
  <c r="W75" i="1"/>
  <c r="S93" i="1"/>
  <c r="U93" i="1"/>
  <c r="W93" i="1"/>
  <c r="S94" i="1"/>
  <c r="U94" i="1"/>
  <c r="W94" i="1"/>
  <c r="S95" i="1"/>
  <c r="S70" i="1" s="1"/>
  <c r="S91" i="1" s="1"/>
  <c r="S97" i="1" s="1"/>
  <c r="U95" i="1"/>
  <c r="U70" i="1" s="1"/>
  <c r="U91" i="1" s="1"/>
  <c r="U97" i="1" s="1"/>
  <c r="W95" i="1"/>
  <c r="S96" i="1"/>
  <c r="U96" i="1"/>
  <c r="W96" i="1"/>
  <c r="BK108" i="1" l="1"/>
  <c r="BM108" i="1"/>
  <c r="BL108" i="1"/>
  <c r="AQ110" i="117"/>
  <c r="AK110" i="117"/>
  <c r="AU110" i="117"/>
  <c r="H110" i="117"/>
  <c r="AE110" i="117" s="1"/>
  <c r="BU105" i="1"/>
  <c r="CL105" i="1" s="1"/>
  <c r="AU109" i="117"/>
  <c r="BR102" i="1"/>
  <c r="CI102" i="1" s="1"/>
  <c r="AE106" i="117"/>
  <c r="BU101" i="1"/>
  <c r="CL101" i="1" s="1"/>
  <c r="AU105" i="117"/>
  <c r="BT105" i="1"/>
  <c r="CK105" i="1" s="1"/>
  <c r="AQ109" i="117"/>
  <c r="BS102" i="1"/>
  <c r="CJ102" i="1" s="1"/>
  <c r="AK106" i="117"/>
  <c r="BS101" i="1"/>
  <c r="CJ101" i="1" s="1"/>
  <c r="AK105" i="117"/>
  <c r="BR105" i="1"/>
  <c r="CI105" i="1" s="1"/>
  <c r="AE109" i="117"/>
  <c r="BU102" i="1"/>
  <c r="CL102" i="1" s="1"/>
  <c r="AU106" i="117"/>
  <c r="BT101" i="1"/>
  <c r="CK101" i="1" s="1"/>
  <c r="AQ105" i="117"/>
  <c r="BS105" i="1"/>
  <c r="CJ105" i="1" s="1"/>
  <c r="AK109" i="117"/>
  <c r="BT102" i="1"/>
  <c r="CK102" i="1" s="1"/>
  <c r="AQ106" i="117"/>
  <c r="BR101" i="1"/>
  <c r="CI101" i="1" s="1"/>
  <c r="AE105" i="117"/>
  <c r="R17" i="29"/>
  <c r="O104" i="1"/>
  <c r="BT106" i="1"/>
  <c r="CK106" i="1" s="1"/>
  <c r="BU106" i="1"/>
  <c r="CL106" i="1" s="1"/>
  <c r="H112" i="117"/>
  <c r="BS106" i="1"/>
  <c r="CJ106" i="1" s="1"/>
  <c r="BR106" i="1"/>
  <c r="CI106" i="1" s="1"/>
  <c r="BM100" i="1"/>
  <c r="BJ100" i="1"/>
  <c r="BL100" i="1"/>
  <c r="BK100" i="1"/>
  <c r="BA100" i="1"/>
  <c r="H104" i="117" s="1"/>
  <c r="AY100" i="1"/>
  <c r="AX100" i="1"/>
  <c r="AZ100" i="1"/>
  <c r="BJ104" i="1"/>
  <c r="BK104" i="1"/>
  <c r="BM104" i="1"/>
  <c r="BL104" i="1"/>
  <c r="AY104" i="1"/>
  <c r="BA104" i="1"/>
  <c r="H108" i="117" s="1"/>
  <c r="AX104" i="1"/>
  <c r="AZ104" i="1"/>
  <c r="R16" i="29"/>
  <c r="R6" i="29"/>
  <c r="R8" i="29"/>
  <c r="R15" i="29"/>
  <c r="AW106" i="117" l="1"/>
  <c r="AW110" i="117"/>
  <c r="AW105" i="117"/>
  <c r="AW109" i="117"/>
  <c r="BT104" i="1"/>
  <c r="CK104" i="1" s="1"/>
  <c r="AQ108" i="117"/>
  <c r="BA108" i="117" s="1"/>
  <c r="BT100" i="1"/>
  <c r="CK100" i="1" s="1"/>
  <c r="AQ104" i="117"/>
  <c r="BT108" i="1"/>
  <c r="CK108" i="1" s="1"/>
  <c r="AQ112" i="117"/>
  <c r="BR104" i="1"/>
  <c r="CI104" i="1" s="1"/>
  <c r="AE108" i="117"/>
  <c r="AY108" i="117" s="1"/>
  <c r="BR108" i="1"/>
  <c r="CI108" i="1" s="1"/>
  <c r="AE112" i="117"/>
  <c r="BS104" i="1"/>
  <c r="CJ104" i="1" s="1"/>
  <c r="AK108" i="117"/>
  <c r="AZ108" i="117" s="1"/>
  <c r="BU100" i="1"/>
  <c r="CL100" i="1" s="1"/>
  <c r="AU104" i="117"/>
  <c r="BS108" i="1"/>
  <c r="CJ108" i="1" s="1"/>
  <c r="AK112" i="117"/>
  <c r="BR100" i="1"/>
  <c r="CI100" i="1" s="1"/>
  <c r="AE104" i="117"/>
  <c r="BU108" i="1"/>
  <c r="CL108" i="1" s="1"/>
  <c r="AU112" i="117"/>
  <c r="BU104" i="1"/>
  <c r="CL104" i="1" s="1"/>
  <c r="AU108" i="117"/>
  <c r="BS100" i="1"/>
  <c r="CJ100" i="1" s="1"/>
  <c r="AK104" i="117"/>
  <c r="F200" i="16"/>
  <c r="AW112" i="117" l="1"/>
  <c r="AW104" i="117"/>
  <c r="AW108" i="117"/>
  <c r="BB108" i="117" s="1"/>
  <c r="BC108" i="117" s="1"/>
  <c r="F197" i="16"/>
  <c r="V22" i="1"/>
  <c r="O22" i="1" s="1"/>
  <c r="O105" i="1" s="1"/>
  <c r="V83" i="1" l="1"/>
  <c r="O83" i="1" s="1"/>
  <c r="V62" i="1"/>
  <c r="O62" i="1" s="1"/>
  <c r="T20" i="16"/>
  <c r="T15" i="1" l="1"/>
  <c r="T6" i="1"/>
  <c r="T67" i="1"/>
  <c r="T88" i="1" s="1"/>
  <c r="T26" i="1"/>
  <c r="Q110" i="1" l="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58" i="1"/>
  <c r="Q7" i="1"/>
  <c r="Q8" i="1"/>
  <c r="Q9" i="1"/>
  <c r="Q11" i="1"/>
  <c r="Q12" i="1"/>
  <c r="Q13" i="1"/>
  <c r="Q14" i="1"/>
  <c r="Q69" i="1"/>
  <c r="Q10" i="1"/>
  <c r="Q73" i="1"/>
  <c r="Q200" i="1"/>
  <c r="Q201" i="1"/>
  <c r="Q202" i="1"/>
  <c r="Q209" i="1"/>
  <c r="Q210" i="1"/>
  <c r="Q15" i="1"/>
  <c r="Q191" i="1"/>
  <c r="Q192" i="1"/>
  <c r="Q193" i="1"/>
  <c r="Q194" i="1"/>
  <c r="Q195" i="1"/>
  <c r="Q196" i="1"/>
  <c r="Q197" i="1"/>
  <c r="Q198" i="1"/>
  <c r="Q188" i="1"/>
  <c r="Q157" i="1"/>
  <c r="Q158" i="1"/>
  <c r="Q159" i="1"/>
  <c r="Q160" i="1"/>
  <c r="Q161" i="1"/>
  <c r="Q162" i="1"/>
  <c r="Q163" i="1"/>
  <c r="Q164" i="1"/>
  <c r="Q165" i="1"/>
  <c r="Q166" i="1"/>
  <c r="Q167" i="1"/>
  <c r="Q169" i="1"/>
  <c r="Q170" i="1"/>
  <c r="Q171" i="1"/>
  <c r="Q172" i="1"/>
  <c r="Q173" i="1"/>
  <c r="Q174" i="1"/>
  <c r="Q175" i="1"/>
  <c r="Q176" i="1"/>
  <c r="Q177" i="1"/>
  <c r="Q178" i="1"/>
  <c r="Q179" i="1"/>
  <c r="Q180" i="1"/>
  <c r="Q181" i="1"/>
  <c r="Q182" i="1"/>
  <c r="Q183" i="1"/>
  <c r="Q184" i="1"/>
  <c r="Q185" i="1"/>
  <c r="Q186" i="1"/>
  <c r="Q36" i="1"/>
  <c r="Q42" i="1"/>
  <c r="Q43" i="1"/>
  <c r="Q44" i="1"/>
  <c r="Q45" i="1"/>
  <c r="Q46" i="1"/>
  <c r="Q47" i="1"/>
  <c r="Q48" i="1"/>
  <c r="Q49" i="1"/>
  <c r="Q50" i="1"/>
  <c r="Q51" i="1"/>
  <c r="Q52" i="1"/>
  <c r="Q53" i="1"/>
  <c r="Q54" i="1"/>
  <c r="Q55" i="1"/>
  <c r="Q16" i="1"/>
  <c r="Q17" i="1"/>
  <c r="Q18" i="1"/>
  <c r="Q19" i="1"/>
  <c r="Q20" i="1"/>
  <c r="Q21" i="1"/>
  <c r="Q22" i="1"/>
  <c r="Q23" i="1"/>
  <c r="Q24" i="1"/>
  <c r="Q203" i="1"/>
  <c r="Q204" i="1"/>
  <c r="Q205" i="1"/>
  <c r="Q206" i="1"/>
  <c r="Q207" i="1"/>
  <c r="Q211" i="1"/>
  <c r="Q212" i="1"/>
  <c r="Q213" i="1"/>
  <c r="Q214" i="1"/>
  <c r="Q215" i="1"/>
  <c r="Q25" i="1"/>
  <c r="Q26" i="1"/>
  <c r="Q27" i="1"/>
  <c r="Q28" i="1"/>
  <c r="Q29" i="1"/>
  <c r="Q30" i="1"/>
  <c r="Q31" i="1"/>
  <c r="Q32" i="1"/>
  <c r="Q33" i="1"/>
  <c r="Q34" i="1"/>
  <c r="Q35" i="1"/>
  <c r="Q155" i="1"/>
  <c r="Q156" i="1"/>
  <c r="Q199" i="1"/>
  <c r="Q187" i="1"/>
  <c r="Q189" i="1"/>
  <c r="Q190" i="1"/>
  <c r="Q80" i="1"/>
  <c r="AJ190" i="1" l="1"/>
  <c r="BP190" i="1" s="1"/>
  <c r="AH190" i="1"/>
  <c r="BN190" i="1" s="1"/>
  <c r="AK190" i="1"/>
  <c r="BQ190" i="1" s="1"/>
  <c r="CH190" i="1" s="1"/>
  <c r="AI190" i="1"/>
  <c r="BO190" i="1" s="1"/>
  <c r="AJ199" i="1"/>
  <c r="AH199" i="1"/>
  <c r="AI199" i="1"/>
  <c r="AK199" i="1"/>
  <c r="AJ215" i="1"/>
  <c r="AH215" i="1"/>
  <c r="AK215" i="1"/>
  <c r="AI215" i="1"/>
  <c r="AJ211" i="1"/>
  <c r="AH211" i="1"/>
  <c r="AK211" i="1"/>
  <c r="AI211" i="1"/>
  <c r="AJ204" i="1"/>
  <c r="AH204" i="1"/>
  <c r="AI204" i="1"/>
  <c r="AK204" i="1"/>
  <c r="AH36" i="1"/>
  <c r="AH180" i="1"/>
  <c r="BN180" i="1" s="1"/>
  <c r="AJ180" i="1"/>
  <c r="BP180" i="1" s="1"/>
  <c r="AI180" i="1"/>
  <c r="BO180" i="1" s="1"/>
  <c r="AK180" i="1"/>
  <c r="BQ180" i="1" s="1"/>
  <c r="CH180" i="1" s="1"/>
  <c r="AH176" i="1"/>
  <c r="AJ176" i="1"/>
  <c r="AI176" i="1"/>
  <c r="AK176" i="1"/>
  <c r="AH172" i="1"/>
  <c r="BN172" i="1" s="1"/>
  <c r="AJ172" i="1"/>
  <c r="BP172" i="1" s="1"/>
  <c r="AI172" i="1"/>
  <c r="BO172" i="1" s="1"/>
  <c r="AK172" i="1"/>
  <c r="BQ172" i="1" s="1"/>
  <c r="CH172" i="1" s="1"/>
  <c r="AH170" i="1"/>
  <c r="AJ170" i="1"/>
  <c r="AI170" i="1"/>
  <c r="AK170" i="1"/>
  <c r="AH167" i="1"/>
  <c r="AJ167" i="1"/>
  <c r="AI167" i="1"/>
  <c r="AK167" i="1"/>
  <c r="AH165" i="1"/>
  <c r="BN165" i="1" s="1"/>
  <c r="AJ165" i="1"/>
  <c r="BP165" i="1" s="1"/>
  <c r="AI165" i="1"/>
  <c r="BO165" i="1" s="1"/>
  <c r="AK165" i="1"/>
  <c r="BQ165" i="1" s="1"/>
  <c r="CH165" i="1" s="1"/>
  <c r="AH163" i="1"/>
  <c r="AJ163" i="1"/>
  <c r="AI163" i="1"/>
  <c r="AK163" i="1"/>
  <c r="AH159" i="1"/>
  <c r="AJ159" i="1"/>
  <c r="BP159" i="1" s="1"/>
  <c r="AI159" i="1"/>
  <c r="BO159" i="1" s="1"/>
  <c r="AK159" i="1"/>
  <c r="BQ159" i="1" s="1"/>
  <c r="CH159" i="1" s="1"/>
  <c r="AJ193" i="1"/>
  <c r="AH193" i="1"/>
  <c r="AK193" i="1"/>
  <c r="AI193" i="1"/>
  <c r="AJ191" i="1"/>
  <c r="BP191" i="1" s="1"/>
  <c r="AH191" i="1"/>
  <c r="BN191" i="1" s="1"/>
  <c r="AK191" i="1"/>
  <c r="BQ191" i="1" s="1"/>
  <c r="CH191" i="1" s="1"/>
  <c r="AI191" i="1"/>
  <c r="BO191" i="1" s="1"/>
  <c r="AJ209" i="1"/>
  <c r="AH209" i="1"/>
  <c r="AK209" i="1"/>
  <c r="AI209" i="1"/>
  <c r="AH154" i="1"/>
  <c r="BN154" i="1" s="1"/>
  <c r="AJ154" i="1"/>
  <c r="BP154" i="1" s="1"/>
  <c r="AI154" i="1"/>
  <c r="BO154" i="1" s="1"/>
  <c r="AK154" i="1"/>
  <c r="BQ154" i="1" s="1"/>
  <c r="CH154" i="1" s="1"/>
  <c r="AH150" i="1"/>
  <c r="BN150" i="1" s="1"/>
  <c r="AJ150" i="1"/>
  <c r="BP150" i="1" s="1"/>
  <c r="AI150" i="1"/>
  <c r="BO150" i="1" s="1"/>
  <c r="AK150" i="1"/>
  <c r="BQ150" i="1" s="1"/>
  <c r="CH150" i="1" s="1"/>
  <c r="AH146" i="1"/>
  <c r="BN146" i="1" s="1"/>
  <c r="AJ146" i="1"/>
  <c r="BP146" i="1" s="1"/>
  <c r="AI146" i="1"/>
  <c r="BO146" i="1" s="1"/>
  <c r="AK146" i="1"/>
  <c r="BQ146" i="1" s="1"/>
  <c r="CH146" i="1" s="1"/>
  <c r="AH142" i="1"/>
  <c r="AJ142" i="1"/>
  <c r="BP142" i="1" s="1"/>
  <c r="AI142" i="1"/>
  <c r="BO142" i="1" s="1"/>
  <c r="AK142" i="1"/>
  <c r="BQ142" i="1" s="1"/>
  <c r="CH142" i="1" s="1"/>
  <c r="AH141" i="1"/>
  <c r="AJ141" i="1"/>
  <c r="BP141" i="1" s="1"/>
  <c r="AI141" i="1"/>
  <c r="BO141" i="1" s="1"/>
  <c r="AK141" i="1"/>
  <c r="BQ141" i="1" s="1"/>
  <c r="CH141" i="1" s="1"/>
  <c r="AH133" i="1"/>
  <c r="AJ133" i="1"/>
  <c r="AI133" i="1"/>
  <c r="AK133" i="1"/>
  <c r="AH128" i="1"/>
  <c r="AJ128" i="1"/>
  <c r="AI128" i="1"/>
  <c r="AK128" i="1"/>
  <c r="AH124" i="1"/>
  <c r="AJ124" i="1"/>
  <c r="AI124" i="1"/>
  <c r="AK124" i="1"/>
  <c r="AH122" i="1"/>
  <c r="BN122" i="1" s="1"/>
  <c r="AJ122" i="1"/>
  <c r="BP122" i="1" s="1"/>
  <c r="AI122" i="1"/>
  <c r="BO122" i="1" s="1"/>
  <c r="AK122" i="1"/>
  <c r="BQ122" i="1" s="1"/>
  <c r="CH122" i="1" s="1"/>
  <c r="AH118" i="1"/>
  <c r="BN118" i="1" s="1"/>
  <c r="AJ118" i="1"/>
  <c r="BP118" i="1" s="1"/>
  <c r="AI118" i="1"/>
  <c r="BO118" i="1" s="1"/>
  <c r="AK118" i="1"/>
  <c r="BQ118" i="1" s="1"/>
  <c r="CH118" i="1" s="1"/>
  <c r="AH116" i="1"/>
  <c r="AJ116" i="1"/>
  <c r="BP116" i="1" s="1"/>
  <c r="AI116" i="1"/>
  <c r="BO116" i="1" s="1"/>
  <c r="AK116" i="1"/>
  <c r="BQ116" i="1" s="1"/>
  <c r="CH116" i="1" s="1"/>
  <c r="AH112" i="1"/>
  <c r="AJ112" i="1"/>
  <c r="AI112" i="1"/>
  <c r="AK112" i="1"/>
  <c r="AH110" i="1"/>
  <c r="AJ110" i="1"/>
  <c r="AI110" i="1"/>
  <c r="AK110" i="1"/>
  <c r="AJ189" i="1"/>
  <c r="AH189" i="1"/>
  <c r="AI189" i="1"/>
  <c r="AK189" i="1"/>
  <c r="AH156" i="1"/>
  <c r="AJ156" i="1"/>
  <c r="BP156" i="1" s="1"/>
  <c r="AI156" i="1"/>
  <c r="BO156" i="1" s="1"/>
  <c r="AK156" i="1"/>
  <c r="BQ156" i="1" s="1"/>
  <c r="CH156" i="1" s="1"/>
  <c r="AH155" i="1"/>
  <c r="AJ155" i="1"/>
  <c r="AI155" i="1"/>
  <c r="AK155" i="1"/>
  <c r="AJ214" i="1"/>
  <c r="AH214" i="1"/>
  <c r="AI214" i="1"/>
  <c r="AK214" i="1"/>
  <c r="AJ207" i="1"/>
  <c r="AH207" i="1"/>
  <c r="AK207" i="1"/>
  <c r="AI207" i="1"/>
  <c r="AJ203" i="1"/>
  <c r="AH203" i="1"/>
  <c r="AK203" i="1"/>
  <c r="AI203" i="1"/>
  <c r="AJ186" i="1"/>
  <c r="BP186" i="1" s="1"/>
  <c r="AH186" i="1"/>
  <c r="BN186" i="1" s="1"/>
  <c r="AI186" i="1"/>
  <c r="BO186" i="1" s="1"/>
  <c r="AK186" i="1"/>
  <c r="BQ186" i="1" s="1"/>
  <c r="CH186" i="1" s="1"/>
  <c r="AH185" i="1"/>
  <c r="BN185" i="1" s="1"/>
  <c r="AJ185" i="1"/>
  <c r="BP185" i="1" s="1"/>
  <c r="AI185" i="1"/>
  <c r="BO185" i="1" s="1"/>
  <c r="AK185" i="1"/>
  <c r="BQ185" i="1" s="1"/>
  <c r="CH185" i="1" s="1"/>
  <c r="AH183" i="1"/>
  <c r="BN183" i="1" s="1"/>
  <c r="AJ183" i="1"/>
  <c r="BP183" i="1" s="1"/>
  <c r="AI183" i="1"/>
  <c r="BO183" i="1" s="1"/>
  <c r="AK183" i="1"/>
  <c r="BQ183" i="1" s="1"/>
  <c r="CH183" i="1" s="1"/>
  <c r="AH179" i="1"/>
  <c r="BN179" i="1" s="1"/>
  <c r="AJ179" i="1"/>
  <c r="BP179" i="1" s="1"/>
  <c r="AI179" i="1"/>
  <c r="BO179" i="1" s="1"/>
  <c r="AK179" i="1"/>
  <c r="BQ179" i="1" s="1"/>
  <c r="CH179" i="1" s="1"/>
  <c r="AH175" i="1"/>
  <c r="BN175" i="1" s="1"/>
  <c r="AJ175" i="1"/>
  <c r="BP175" i="1" s="1"/>
  <c r="AI175" i="1"/>
  <c r="BO175" i="1" s="1"/>
  <c r="AK175" i="1"/>
  <c r="BQ175" i="1" s="1"/>
  <c r="CH175" i="1" s="1"/>
  <c r="AH169" i="1"/>
  <c r="AJ169" i="1"/>
  <c r="AI169" i="1"/>
  <c r="AK169" i="1"/>
  <c r="AH166" i="1"/>
  <c r="AJ166" i="1"/>
  <c r="AI166" i="1"/>
  <c r="AK166" i="1"/>
  <c r="AH162" i="1"/>
  <c r="BN162" i="1" s="1"/>
  <c r="AJ162" i="1"/>
  <c r="BP162" i="1" s="1"/>
  <c r="AI162" i="1"/>
  <c r="BO162" i="1" s="1"/>
  <c r="AK162" i="1"/>
  <c r="BQ162" i="1" s="1"/>
  <c r="CH162" i="1" s="1"/>
  <c r="AH158" i="1"/>
  <c r="BN158" i="1" s="1"/>
  <c r="AJ158" i="1"/>
  <c r="BP158" i="1" s="1"/>
  <c r="AI158" i="1"/>
  <c r="BO158" i="1" s="1"/>
  <c r="AK158" i="1"/>
  <c r="BQ158" i="1" s="1"/>
  <c r="CH158" i="1" s="1"/>
  <c r="AJ198" i="1"/>
  <c r="AH198" i="1"/>
  <c r="AI198" i="1"/>
  <c r="AK198" i="1"/>
  <c r="AJ202" i="1"/>
  <c r="AH202" i="1"/>
  <c r="AI202" i="1"/>
  <c r="AK202" i="1"/>
  <c r="AH152" i="1"/>
  <c r="BN152" i="1" s="1"/>
  <c r="AJ152" i="1"/>
  <c r="BP152" i="1" s="1"/>
  <c r="AI152" i="1"/>
  <c r="BO152" i="1" s="1"/>
  <c r="AK152" i="1"/>
  <c r="BQ152" i="1" s="1"/>
  <c r="CH152" i="1" s="1"/>
  <c r="AH149" i="1"/>
  <c r="BN149" i="1" s="1"/>
  <c r="AJ149" i="1"/>
  <c r="BP149" i="1" s="1"/>
  <c r="AI149" i="1"/>
  <c r="BO149" i="1" s="1"/>
  <c r="AK149" i="1"/>
  <c r="BQ149" i="1" s="1"/>
  <c r="CH149" i="1" s="1"/>
  <c r="AH145" i="1"/>
  <c r="BN145" i="1" s="1"/>
  <c r="AJ145" i="1"/>
  <c r="BP145" i="1" s="1"/>
  <c r="AI145" i="1"/>
  <c r="BO145" i="1" s="1"/>
  <c r="AK145" i="1"/>
  <c r="BQ145" i="1" s="1"/>
  <c r="CH145" i="1" s="1"/>
  <c r="AH140" i="1"/>
  <c r="BN140" i="1" s="1"/>
  <c r="AJ140" i="1"/>
  <c r="BP140" i="1" s="1"/>
  <c r="AI140" i="1"/>
  <c r="BO140" i="1" s="1"/>
  <c r="AK140" i="1"/>
  <c r="BQ140" i="1" s="1"/>
  <c r="CH140" i="1" s="1"/>
  <c r="AH136" i="1"/>
  <c r="AJ136" i="1"/>
  <c r="AI136" i="1"/>
  <c r="AK136" i="1"/>
  <c r="AH132" i="1"/>
  <c r="AJ132" i="1"/>
  <c r="AI132" i="1"/>
  <c r="AK132" i="1"/>
  <c r="AH127" i="1"/>
  <c r="BN127" i="1" s="1"/>
  <c r="AJ127" i="1"/>
  <c r="BP127" i="1" s="1"/>
  <c r="AI127" i="1"/>
  <c r="BO127" i="1" s="1"/>
  <c r="AK127" i="1"/>
  <c r="BQ127" i="1" s="1"/>
  <c r="CH127" i="1" s="1"/>
  <c r="AH121" i="1"/>
  <c r="BN121" i="1" s="1"/>
  <c r="AJ121" i="1"/>
  <c r="AI121" i="1"/>
  <c r="BO121" i="1" s="1"/>
  <c r="AK121" i="1"/>
  <c r="BQ121" i="1" s="1"/>
  <c r="CH121" i="1" s="1"/>
  <c r="AH117" i="1"/>
  <c r="BN117" i="1" s="1"/>
  <c r="AJ117" i="1"/>
  <c r="BP117" i="1" s="1"/>
  <c r="AI117" i="1"/>
  <c r="BO117" i="1" s="1"/>
  <c r="AK117" i="1"/>
  <c r="BQ117" i="1" s="1"/>
  <c r="CH117" i="1" s="1"/>
  <c r="AH115" i="1"/>
  <c r="BN115" i="1" s="1"/>
  <c r="AJ115" i="1"/>
  <c r="AI115" i="1"/>
  <c r="BO115" i="1" s="1"/>
  <c r="AK115" i="1"/>
  <c r="BQ115" i="1" s="1"/>
  <c r="CH115" i="1" s="1"/>
  <c r="AH111" i="1"/>
  <c r="BN111" i="1" s="1"/>
  <c r="AJ111" i="1"/>
  <c r="BP111" i="1" s="1"/>
  <c r="AI111" i="1"/>
  <c r="BO111" i="1" s="1"/>
  <c r="AK111" i="1"/>
  <c r="BQ111" i="1" s="1"/>
  <c r="CH111" i="1" s="1"/>
  <c r="AJ213" i="1"/>
  <c r="AH213" i="1"/>
  <c r="AK213" i="1"/>
  <c r="AI213" i="1"/>
  <c r="AJ206" i="1"/>
  <c r="AH206" i="1"/>
  <c r="AI206" i="1"/>
  <c r="AK206" i="1"/>
  <c r="AH182" i="1"/>
  <c r="BN182" i="1" s="1"/>
  <c r="AJ182" i="1"/>
  <c r="AI182" i="1"/>
  <c r="BO182" i="1" s="1"/>
  <c r="AK182" i="1"/>
  <c r="BQ182" i="1" s="1"/>
  <c r="CH182" i="1" s="1"/>
  <c r="AH178" i="1"/>
  <c r="BN178" i="1" s="1"/>
  <c r="AJ178" i="1"/>
  <c r="AI178" i="1"/>
  <c r="BO178" i="1" s="1"/>
  <c r="AK178" i="1"/>
  <c r="BQ178" i="1" s="1"/>
  <c r="CH178" i="1" s="1"/>
  <c r="AH174" i="1"/>
  <c r="BN174" i="1" s="1"/>
  <c r="AJ174" i="1"/>
  <c r="AI174" i="1"/>
  <c r="BO174" i="1" s="1"/>
  <c r="AK174" i="1"/>
  <c r="BQ174" i="1" s="1"/>
  <c r="CH174" i="1" s="1"/>
  <c r="AH171" i="1"/>
  <c r="AJ171" i="1"/>
  <c r="AI171" i="1"/>
  <c r="AK171" i="1"/>
  <c r="AH161" i="1"/>
  <c r="BN161" i="1" s="1"/>
  <c r="AJ161" i="1"/>
  <c r="AI161" i="1"/>
  <c r="BO161" i="1" s="1"/>
  <c r="AK161" i="1"/>
  <c r="BQ161" i="1" s="1"/>
  <c r="CH161" i="1" s="1"/>
  <c r="AH157" i="1"/>
  <c r="BN157" i="1" s="1"/>
  <c r="AJ157" i="1"/>
  <c r="BP157" i="1" s="1"/>
  <c r="AI157" i="1"/>
  <c r="BO157" i="1" s="1"/>
  <c r="AK157" i="1"/>
  <c r="BQ157" i="1" s="1"/>
  <c r="CH157" i="1" s="1"/>
  <c r="AJ197" i="1"/>
  <c r="AH197" i="1"/>
  <c r="AK197" i="1"/>
  <c r="AI197" i="1"/>
  <c r="AJ195" i="1"/>
  <c r="AH195" i="1"/>
  <c r="AK195" i="1"/>
  <c r="AI195" i="1"/>
  <c r="AJ201" i="1"/>
  <c r="AH201" i="1"/>
  <c r="AK201" i="1"/>
  <c r="AI201" i="1"/>
  <c r="AH148" i="1"/>
  <c r="BN148" i="1" s="1"/>
  <c r="AJ148" i="1"/>
  <c r="AI148" i="1"/>
  <c r="BO148" i="1" s="1"/>
  <c r="AK148" i="1"/>
  <c r="BQ148" i="1" s="1"/>
  <c r="CH148" i="1" s="1"/>
  <c r="AH144" i="1"/>
  <c r="AJ144" i="1"/>
  <c r="AI144" i="1"/>
  <c r="AK144" i="1"/>
  <c r="AH139" i="1"/>
  <c r="AJ139" i="1"/>
  <c r="AI139" i="1"/>
  <c r="AK139" i="1"/>
  <c r="AH138" i="1"/>
  <c r="BN138" i="1" s="1"/>
  <c r="AJ138" i="1"/>
  <c r="AI138" i="1"/>
  <c r="BO138" i="1" s="1"/>
  <c r="AK138" i="1"/>
  <c r="BQ138" i="1" s="1"/>
  <c r="CH138" i="1" s="1"/>
  <c r="AH135" i="1"/>
  <c r="AJ135" i="1"/>
  <c r="AI135" i="1"/>
  <c r="AK135" i="1"/>
  <c r="AH131" i="1"/>
  <c r="AJ131" i="1"/>
  <c r="AI131" i="1"/>
  <c r="AK131" i="1"/>
  <c r="AH130" i="1"/>
  <c r="AJ130" i="1"/>
  <c r="AI130" i="1"/>
  <c r="AK130" i="1"/>
  <c r="AH126" i="1"/>
  <c r="AJ126" i="1"/>
  <c r="AI126" i="1"/>
  <c r="AK126" i="1"/>
  <c r="AH120" i="1"/>
  <c r="BN120" i="1" s="1"/>
  <c r="AJ120" i="1"/>
  <c r="AI120" i="1"/>
  <c r="BO120" i="1" s="1"/>
  <c r="AK120" i="1"/>
  <c r="BQ120" i="1" s="1"/>
  <c r="CH120" i="1" s="1"/>
  <c r="AH114" i="1"/>
  <c r="BN114" i="1" s="1"/>
  <c r="AJ114" i="1"/>
  <c r="BP114" i="1" s="1"/>
  <c r="AI114" i="1"/>
  <c r="BO114" i="1" s="1"/>
  <c r="AK114" i="1"/>
  <c r="BQ114" i="1" s="1"/>
  <c r="CH114" i="1" s="1"/>
  <c r="AJ187" i="1"/>
  <c r="AH187" i="1"/>
  <c r="AK187" i="1"/>
  <c r="AI187" i="1"/>
  <c r="AJ212" i="1"/>
  <c r="AH212" i="1"/>
  <c r="AI212" i="1"/>
  <c r="AK212" i="1"/>
  <c r="AJ205" i="1"/>
  <c r="AH205" i="1"/>
  <c r="AK205" i="1"/>
  <c r="AI205" i="1"/>
  <c r="AH184" i="1"/>
  <c r="AJ184" i="1"/>
  <c r="BP184" i="1" s="1"/>
  <c r="AI184" i="1"/>
  <c r="BO184" i="1" s="1"/>
  <c r="AK184" i="1"/>
  <c r="BQ184" i="1" s="1"/>
  <c r="CH184" i="1" s="1"/>
  <c r="AH181" i="1"/>
  <c r="AJ181" i="1"/>
  <c r="BP181" i="1" s="1"/>
  <c r="AI181" i="1"/>
  <c r="BO181" i="1" s="1"/>
  <c r="AK181" i="1"/>
  <c r="BQ181" i="1" s="1"/>
  <c r="CH181" i="1" s="1"/>
  <c r="AH177" i="1"/>
  <c r="AJ177" i="1"/>
  <c r="BP177" i="1" s="1"/>
  <c r="AI177" i="1"/>
  <c r="BO177" i="1" s="1"/>
  <c r="AK177" i="1"/>
  <c r="BQ177" i="1" s="1"/>
  <c r="CH177" i="1" s="1"/>
  <c r="AH173" i="1"/>
  <c r="AJ173" i="1"/>
  <c r="BP173" i="1" s="1"/>
  <c r="AI173" i="1"/>
  <c r="BO173" i="1" s="1"/>
  <c r="AK173" i="1"/>
  <c r="BQ173" i="1" s="1"/>
  <c r="CH173" i="1" s="1"/>
  <c r="AH164" i="1"/>
  <c r="AJ164" i="1"/>
  <c r="AI164" i="1"/>
  <c r="AK164" i="1"/>
  <c r="AH160" i="1"/>
  <c r="AJ160" i="1"/>
  <c r="BP160" i="1" s="1"/>
  <c r="AI160" i="1"/>
  <c r="BO160" i="1" s="1"/>
  <c r="AK160" i="1"/>
  <c r="BQ160" i="1" s="1"/>
  <c r="CH160" i="1" s="1"/>
  <c r="AJ196" i="1"/>
  <c r="AH196" i="1"/>
  <c r="AI196" i="1"/>
  <c r="AK196" i="1"/>
  <c r="AJ194" i="1"/>
  <c r="AH194" i="1"/>
  <c r="AI194" i="1"/>
  <c r="AK194" i="1"/>
  <c r="AJ192" i="1"/>
  <c r="AH192" i="1"/>
  <c r="AI192" i="1"/>
  <c r="AK192" i="1"/>
  <c r="AJ210" i="1"/>
  <c r="AH210" i="1"/>
  <c r="AI210" i="1"/>
  <c r="AK210" i="1"/>
  <c r="AJ200" i="1"/>
  <c r="AH200" i="1"/>
  <c r="AI200" i="1"/>
  <c r="AK200" i="1"/>
  <c r="AH153" i="1"/>
  <c r="BN153" i="1" s="1"/>
  <c r="AJ153" i="1"/>
  <c r="BP153" i="1" s="1"/>
  <c r="AI153" i="1"/>
  <c r="BO153" i="1" s="1"/>
  <c r="AK153" i="1"/>
  <c r="BQ153" i="1" s="1"/>
  <c r="CH153" i="1" s="1"/>
  <c r="AH151" i="1"/>
  <c r="AJ151" i="1"/>
  <c r="BP151" i="1" s="1"/>
  <c r="AI151" i="1"/>
  <c r="BO151" i="1" s="1"/>
  <c r="AK151" i="1"/>
  <c r="BQ151" i="1" s="1"/>
  <c r="CH151" i="1" s="1"/>
  <c r="AH147" i="1"/>
  <c r="AJ147" i="1"/>
  <c r="BP147" i="1" s="1"/>
  <c r="AI147" i="1"/>
  <c r="BO147" i="1" s="1"/>
  <c r="AK147" i="1"/>
  <c r="BQ147" i="1" s="1"/>
  <c r="CH147" i="1" s="1"/>
  <c r="AH143" i="1"/>
  <c r="AJ143" i="1"/>
  <c r="BP143" i="1" s="1"/>
  <c r="AI143" i="1"/>
  <c r="BO143" i="1" s="1"/>
  <c r="AK143" i="1"/>
  <c r="BQ143" i="1" s="1"/>
  <c r="CH143" i="1" s="1"/>
  <c r="AH137" i="1"/>
  <c r="AJ137" i="1"/>
  <c r="AI137" i="1"/>
  <c r="AK137" i="1"/>
  <c r="AH134" i="1"/>
  <c r="AJ134" i="1"/>
  <c r="BP134" i="1" s="1"/>
  <c r="AI134" i="1"/>
  <c r="BO134" i="1" s="1"/>
  <c r="AK134" i="1"/>
  <c r="BQ134" i="1" s="1"/>
  <c r="CH134" i="1" s="1"/>
  <c r="AH129" i="1"/>
  <c r="AJ129" i="1"/>
  <c r="AI129" i="1"/>
  <c r="AK129" i="1"/>
  <c r="AH125" i="1"/>
  <c r="AJ125" i="1"/>
  <c r="BP125" i="1" s="1"/>
  <c r="AI125" i="1"/>
  <c r="BO125" i="1" s="1"/>
  <c r="AK125" i="1"/>
  <c r="BQ125" i="1" s="1"/>
  <c r="CH125" i="1" s="1"/>
  <c r="AH119" i="1"/>
  <c r="AJ119" i="1"/>
  <c r="BP119" i="1" s="1"/>
  <c r="AI119" i="1"/>
  <c r="BO119" i="1" s="1"/>
  <c r="AK119" i="1"/>
  <c r="BQ119" i="1" s="1"/>
  <c r="CH119" i="1" s="1"/>
  <c r="AH113" i="1"/>
  <c r="AJ113" i="1"/>
  <c r="BP113" i="1" s="1"/>
  <c r="AI113" i="1"/>
  <c r="BO113" i="1" s="1"/>
  <c r="AK113" i="1"/>
  <c r="BQ113" i="1" s="1"/>
  <c r="CH113" i="1" s="1"/>
  <c r="AX203" i="1"/>
  <c r="AY203" i="1"/>
  <c r="AZ203" i="1"/>
  <c r="BA203" i="1"/>
  <c r="AX193" i="1"/>
  <c r="AY193" i="1"/>
  <c r="AZ193" i="1"/>
  <c r="BA193" i="1"/>
  <c r="BA215" i="1"/>
  <c r="AY215" i="1"/>
  <c r="AX215" i="1"/>
  <c r="AZ215" i="1"/>
  <c r="AX211" i="1"/>
  <c r="AY211" i="1"/>
  <c r="AZ211" i="1"/>
  <c r="BA211" i="1"/>
  <c r="AX204" i="1"/>
  <c r="AZ204" i="1"/>
  <c r="AY204" i="1"/>
  <c r="BA204" i="1"/>
  <c r="Q168" i="1"/>
  <c r="BA196" i="1"/>
  <c r="AX196" i="1"/>
  <c r="AZ196" i="1"/>
  <c r="AY196" i="1"/>
  <c r="AX194" i="1"/>
  <c r="AY194" i="1"/>
  <c r="AZ194" i="1"/>
  <c r="BA194" i="1"/>
  <c r="AX192" i="1"/>
  <c r="AY192" i="1"/>
  <c r="AZ192" i="1"/>
  <c r="BA192" i="1"/>
  <c r="AZ210" i="1"/>
  <c r="AX210" i="1"/>
  <c r="AY210" i="1"/>
  <c r="BA210" i="1"/>
  <c r="AX201" i="1"/>
  <c r="AY201" i="1"/>
  <c r="AZ201" i="1"/>
  <c r="BA201" i="1"/>
  <c r="Q76" i="1"/>
  <c r="AX207" i="1"/>
  <c r="AZ207" i="1"/>
  <c r="BA207" i="1"/>
  <c r="AY207" i="1"/>
  <c r="AX209" i="1"/>
  <c r="AY209" i="1"/>
  <c r="AZ209" i="1"/>
  <c r="BA209" i="1"/>
  <c r="AX199" i="1"/>
  <c r="AY199" i="1"/>
  <c r="AZ199" i="1"/>
  <c r="BA199" i="1"/>
  <c r="AX213" i="1"/>
  <c r="AY213" i="1"/>
  <c r="AZ213" i="1"/>
  <c r="BA213" i="1"/>
  <c r="AY206" i="1"/>
  <c r="BA206" i="1"/>
  <c r="AZ206" i="1"/>
  <c r="AX206" i="1"/>
  <c r="AX198" i="1"/>
  <c r="AY198" i="1"/>
  <c r="AZ198" i="1"/>
  <c r="BA198" i="1"/>
  <c r="Q208" i="1"/>
  <c r="BA214" i="1"/>
  <c r="AX214" i="1"/>
  <c r="AZ214" i="1"/>
  <c r="AY214" i="1"/>
  <c r="AX191" i="1"/>
  <c r="AY191" i="1"/>
  <c r="AZ191" i="1"/>
  <c r="BA191" i="1"/>
  <c r="H195" i="117" s="1"/>
  <c r="AX200" i="1"/>
  <c r="AY200" i="1"/>
  <c r="AZ200" i="1"/>
  <c r="BA200" i="1"/>
  <c r="AX212" i="1"/>
  <c r="AY212" i="1"/>
  <c r="AZ212" i="1"/>
  <c r="BA212" i="1"/>
  <c r="AZ205" i="1"/>
  <c r="AX205" i="1"/>
  <c r="AY205" i="1"/>
  <c r="BA205" i="1"/>
  <c r="AX197" i="1"/>
  <c r="BA197" i="1"/>
  <c r="AY197" i="1"/>
  <c r="AZ197" i="1"/>
  <c r="AX195" i="1"/>
  <c r="AY195" i="1"/>
  <c r="AZ195" i="1"/>
  <c r="BA195" i="1"/>
  <c r="AX202" i="1"/>
  <c r="AY202" i="1"/>
  <c r="AZ202" i="1"/>
  <c r="BA202" i="1"/>
  <c r="BA190" i="1"/>
  <c r="H194" i="117" s="1"/>
  <c r="AY190" i="1"/>
  <c r="AZ190" i="1"/>
  <c r="AX190" i="1"/>
  <c r="BA189" i="1"/>
  <c r="AY189" i="1"/>
  <c r="AZ189" i="1"/>
  <c r="AX189" i="1"/>
  <c r="AX187" i="1"/>
  <c r="AZ187" i="1"/>
  <c r="BA187" i="1"/>
  <c r="AY187" i="1"/>
  <c r="AX186" i="1"/>
  <c r="AZ186" i="1"/>
  <c r="AY186" i="1"/>
  <c r="BA186" i="1"/>
  <c r="AX185" i="1"/>
  <c r="BA185" i="1"/>
  <c r="AZ185" i="1"/>
  <c r="AY185" i="1"/>
  <c r="AX183" i="1"/>
  <c r="BA183" i="1"/>
  <c r="AY183" i="1"/>
  <c r="AZ183" i="1"/>
  <c r="AX179" i="1"/>
  <c r="BA179" i="1"/>
  <c r="AZ179" i="1"/>
  <c r="AY179" i="1"/>
  <c r="BA175" i="1"/>
  <c r="AY175" i="1"/>
  <c r="AX175" i="1"/>
  <c r="AZ175" i="1"/>
  <c r="BA169" i="1"/>
  <c r="AX169" i="1"/>
  <c r="AZ169" i="1"/>
  <c r="AY169" i="1"/>
  <c r="BA167" i="1"/>
  <c r="AZ167" i="1"/>
  <c r="AY167" i="1"/>
  <c r="AX167" i="1"/>
  <c r="BA165" i="1"/>
  <c r="AY165" i="1"/>
  <c r="AZ165" i="1"/>
  <c r="AX165" i="1"/>
  <c r="BA163" i="1"/>
  <c r="AY163" i="1"/>
  <c r="AZ163" i="1"/>
  <c r="AX163" i="1"/>
  <c r="AY159" i="1"/>
  <c r="AZ159" i="1"/>
  <c r="BA159" i="1"/>
  <c r="AX159" i="1"/>
  <c r="BN159" i="1"/>
  <c r="AY157" i="1"/>
  <c r="AX157" i="1"/>
  <c r="BA157" i="1"/>
  <c r="AZ157" i="1"/>
  <c r="AX182" i="1"/>
  <c r="AZ182" i="1"/>
  <c r="BA182" i="1"/>
  <c r="AY182" i="1"/>
  <c r="BA178" i="1"/>
  <c r="AZ178" i="1"/>
  <c r="AX178" i="1"/>
  <c r="AY178" i="1"/>
  <c r="BA174" i="1"/>
  <c r="AZ174" i="1"/>
  <c r="AX174" i="1"/>
  <c r="AY174" i="1"/>
  <c r="BA171" i="1"/>
  <c r="AZ171" i="1"/>
  <c r="AX171" i="1"/>
  <c r="AY171" i="1"/>
  <c r="BA166" i="1"/>
  <c r="AX166" i="1"/>
  <c r="AY166" i="1"/>
  <c r="AZ166" i="1"/>
  <c r="BA162" i="1"/>
  <c r="AZ162" i="1"/>
  <c r="AY162" i="1"/>
  <c r="AX162" i="1"/>
  <c r="AY158" i="1"/>
  <c r="BA158" i="1"/>
  <c r="AZ158" i="1"/>
  <c r="AX158" i="1"/>
  <c r="AX181" i="1"/>
  <c r="AY181" i="1"/>
  <c r="BA181" i="1"/>
  <c r="AZ181" i="1"/>
  <c r="BA177" i="1"/>
  <c r="AY177" i="1"/>
  <c r="AX177" i="1"/>
  <c r="AZ177" i="1"/>
  <c r="BA173" i="1"/>
  <c r="AX173" i="1"/>
  <c r="AY173" i="1"/>
  <c r="AZ173" i="1"/>
  <c r="AY161" i="1"/>
  <c r="AZ161" i="1"/>
  <c r="AX161" i="1"/>
  <c r="BA161" i="1"/>
  <c r="AX180" i="1"/>
  <c r="AZ180" i="1"/>
  <c r="AY180" i="1"/>
  <c r="BA180" i="1"/>
  <c r="BA176" i="1"/>
  <c r="AX176" i="1"/>
  <c r="AZ176" i="1"/>
  <c r="AY176" i="1"/>
  <c r="BA172" i="1"/>
  <c r="AX172" i="1"/>
  <c r="AY172" i="1"/>
  <c r="AZ172" i="1"/>
  <c r="BA170" i="1"/>
  <c r="AZ170" i="1"/>
  <c r="AY170" i="1"/>
  <c r="AX170" i="1"/>
  <c r="BA164" i="1"/>
  <c r="AX164" i="1"/>
  <c r="AY164" i="1"/>
  <c r="AZ164" i="1"/>
  <c r="AY160" i="1"/>
  <c r="AX160" i="1"/>
  <c r="BA160" i="1"/>
  <c r="AZ160" i="1"/>
  <c r="AX152" i="1"/>
  <c r="AY152" i="1"/>
  <c r="AZ152" i="1"/>
  <c r="BA152" i="1"/>
  <c r="AX149" i="1"/>
  <c r="AY149" i="1"/>
  <c r="AZ149" i="1"/>
  <c r="BA149" i="1"/>
  <c r="AX145" i="1"/>
  <c r="AZ145" i="1"/>
  <c r="AY145" i="1"/>
  <c r="BA145" i="1"/>
  <c r="AX140" i="1"/>
  <c r="AY140" i="1"/>
  <c r="AZ140" i="1"/>
  <c r="BA140" i="1"/>
  <c r="AX136" i="1"/>
  <c r="AY136" i="1"/>
  <c r="AZ136" i="1"/>
  <c r="BA136" i="1"/>
  <c r="AX132" i="1"/>
  <c r="AY132" i="1"/>
  <c r="AZ132" i="1"/>
  <c r="BA132" i="1"/>
  <c r="AX127" i="1"/>
  <c r="AY127" i="1"/>
  <c r="AZ127" i="1"/>
  <c r="BA127" i="1"/>
  <c r="AX121" i="1"/>
  <c r="AY121" i="1"/>
  <c r="AZ121" i="1"/>
  <c r="BA121" i="1"/>
  <c r="AX117" i="1"/>
  <c r="AY117" i="1"/>
  <c r="AZ117" i="1"/>
  <c r="BA117" i="1"/>
  <c r="AX115" i="1"/>
  <c r="AY115" i="1"/>
  <c r="AZ115" i="1"/>
  <c r="BA115" i="1"/>
  <c r="AX111" i="1"/>
  <c r="AZ111" i="1"/>
  <c r="AY111" i="1"/>
  <c r="BA111" i="1"/>
  <c r="AX148" i="1"/>
  <c r="AY148" i="1"/>
  <c r="AZ148" i="1"/>
  <c r="BA148" i="1"/>
  <c r="AX144" i="1"/>
  <c r="AY144" i="1"/>
  <c r="AZ144" i="1"/>
  <c r="BA144" i="1"/>
  <c r="AX139" i="1"/>
  <c r="AY139" i="1"/>
  <c r="AZ139" i="1"/>
  <c r="BA139" i="1"/>
  <c r="AX138" i="1"/>
  <c r="AY138" i="1"/>
  <c r="AZ138" i="1"/>
  <c r="BA138" i="1"/>
  <c r="AX135" i="1"/>
  <c r="AY135" i="1"/>
  <c r="AZ135" i="1"/>
  <c r="BA135" i="1"/>
  <c r="AX131" i="1"/>
  <c r="AY131" i="1"/>
  <c r="AZ131" i="1"/>
  <c r="BA131" i="1"/>
  <c r="AX130" i="1"/>
  <c r="AY130" i="1"/>
  <c r="AZ130" i="1"/>
  <c r="BA130" i="1"/>
  <c r="AX126" i="1"/>
  <c r="AY126" i="1"/>
  <c r="AZ126" i="1"/>
  <c r="BA126" i="1"/>
  <c r="AX120" i="1"/>
  <c r="AY120" i="1"/>
  <c r="AZ120" i="1"/>
  <c r="BA120" i="1"/>
  <c r="AX114" i="1"/>
  <c r="AY114" i="1"/>
  <c r="AZ114" i="1"/>
  <c r="BA114" i="1"/>
  <c r="AY153" i="1"/>
  <c r="AX153" i="1"/>
  <c r="BA153" i="1"/>
  <c r="AZ153" i="1"/>
  <c r="AX151" i="1"/>
  <c r="AY151" i="1"/>
  <c r="AZ151" i="1"/>
  <c r="BA151" i="1"/>
  <c r="AX147" i="1"/>
  <c r="AY147" i="1"/>
  <c r="AZ147" i="1"/>
  <c r="BA147" i="1"/>
  <c r="AY143" i="1"/>
  <c r="AX143" i="1"/>
  <c r="AZ143" i="1"/>
  <c r="BA143" i="1"/>
  <c r="AX137" i="1"/>
  <c r="AY137" i="1"/>
  <c r="AZ137" i="1"/>
  <c r="BA137" i="1"/>
  <c r="AX134" i="1"/>
  <c r="AY134" i="1"/>
  <c r="AZ134" i="1"/>
  <c r="BA134" i="1"/>
  <c r="AX129" i="1"/>
  <c r="AY129" i="1"/>
  <c r="AZ129" i="1"/>
  <c r="BA129" i="1"/>
  <c r="AX125" i="1"/>
  <c r="AY125" i="1"/>
  <c r="AZ125" i="1"/>
  <c r="BA125" i="1"/>
  <c r="AX119" i="1"/>
  <c r="AY119" i="1"/>
  <c r="AZ119" i="1"/>
  <c r="BA119" i="1"/>
  <c r="AX113" i="1"/>
  <c r="AY113" i="1"/>
  <c r="AZ113" i="1"/>
  <c r="BA113" i="1"/>
  <c r="AY156" i="1"/>
  <c r="BN156" i="1"/>
  <c r="AX156" i="1"/>
  <c r="AZ156" i="1"/>
  <c r="BA156" i="1"/>
  <c r="H160" i="117" s="1"/>
  <c r="BN155" i="1"/>
  <c r="BA155" i="1"/>
  <c r="AZ155" i="1"/>
  <c r="AX155" i="1"/>
  <c r="AY155" i="1"/>
  <c r="BA154" i="1"/>
  <c r="AX154" i="1"/>
  <c r="AZ154" i="1"/>
  <c r="AY154" i="1"/>
  <c r="AX150" i="1"/>
  <c r="AY150" i="1"/>
  <c r="AZ150" i="1"/>
  <c r="BA150" i="1"/>
  <c r="AZ142" i="1"/>
  <c r="AX142" i="1"/>
  <c r="BN142" i="1"/>
  <c r="BA142" i="1"/>
  <c r="AY142" i="1"/>
  <c r="AX141" i="1"/>
  <c r="AY141" i="1"/>
  <c r="AZ141" i="1"/>
  <c r="BN141" i="1"/>
  <c r="BA141" i="1"/>
  <c r="AX133" i="1"/>
  <c r="AY133" i="1"/>
  <c r="AZ133" i="1"/>
  <c r="BA133" i="1"/>
  <c r="AX128" i="1"/>
  <c r="AY128" i="1"/>
  <c r="AZ128" i="1"/>
  <c r="BA128" i="1"/>
  <c r="AX124" i="1"/>
  <c r="AY124" i="1"/>
  <c r="AZ124" i="1"/>
  <c r="BA124" i="1"/>
  <c r="AX122" i="1"/>
  <c r="AY122" i="1"/>
  <c r="AZ122" i="1"/>
  <c r="BA122" i="1"/>
  <c r="AX118" i="1"/>
  <c r="AY118" i="1"/>
  <c r="AZ118" i="1"/>
  <c r="BA118" i="1"/>
  <c r="AX116" i="1"/>
  <c r="AY116" i="1"/>
  <c r="BN116" i="1"/>
  <c r="AZ116" i="1"/>
  <c r="BA116" i="1"/>
  <c r="AX112" i="1"/>
  <c r="AY112" i="1"/>
  <c r="AZ112" i="1"/>
  <c r="BA112" i="1"/>
  <c r="AX110" i="1"/>
  <c r="AY110" i="1"/>
  <c r="AZ110" i="1"/>
  <c r="BA110" i="1"/>
  <c r="Q74" i="1"/>
  <c r="Q70" i="1"/>
  <c r="Q38" i="1"/>
  <c r="Q71" i="1"/>
  <c r="Q91" i="1"/>
  <c r="Q88" i="1"/>
  <c r="Q82" i="1"/>
  <c r="Q39" i="1"/>
  <c r="Q96" i="1"/>
  <c r="Q41" i="1"/>
  <c r="Q37" i="1"/>
  <c r="Q5" i="1"/>
  <c r="Q92" i="1"/>
  <c r="Q95" i="1"/>
  <c r="Q40" i="1"/>
  <c r="Q67" i="1"/>
  <c r="Q79" i="1"/>
  <c r="Q90" i="1"/>
  <c r="Q6" i="1"/>
  <c r="Q61" i="1"/>
  <c r="Q81" i="1"/>
  <c r="Q75" i="1"/>
  <c r="Q109" i="1"/>
  <c r="Q60" i="1"/>
  <c r="Q56" i="1"/>
  <c r="Q107" i="1" s="1"/>
  <c r="Q59" i="1"/>
  <c r="Q89" i="1"/>
  <c r="Q65" i="1"/>
  <c r="Q97" i="1"/>
  <c r="Q94" i="1"/>
  <c r="Q86" i="1"/>
  <c r="Q84" i="1"/>
  <c r="Q78" i="1"/>
  <c r="Q72" i="1"/>
  <c r="Q66" i="1"/>
  <c r="Q64" i="1"/>
  <c r="Q63" i="1"/>
  <c r="Q57" i="1"/>
  <c r="Q93" i="1"/>
  <c r="Q87" i="1"/>
  <c r="Q85" i="1"/>
  <c r="Q83" i="1"/>
  <c r="Q77" i="1"/>
  <c r="Q62" i="1"/>
  <c r="Q68" i="1"/>
  <c r="AK166" i="117" l="1"/>
  <c r="AK145" i="117"/>
  <c r="AK174" i="117"/>
  <c r="AZ174" i="117" s="1"/>
  <c r="AQ180" i="117"/>
  <c r="AQ157" i="117"/>
  <c r="BA157" i="117" s="1"/>
  <c r="AK168" i="117"/>
  <c r="AZ168" i="117" s="1"/>
  <c r="AK176" i="117"/>
  <c r="AK184" i="117"/>
  <c r="AK177" i="117"/>
  <c r="AQ162" i="117"/>
  <c r="BA162" i="117" s="1"/>
  <c r="AK170" i="117"/>
  <c r="AZ170" i="117" s="1"/>
  <c r="AK173" i="117"/>
  <c r="AZ173" i="117" s="1"/>
  <c r="AQ179" i="117"/>
  <c r="AK146" i="117"/>
  <c r="AZ146" i="117" s="1"/>
  <c r="AK183" i="117"/>
  <c r="AQ187" i="117"/>
  <c r="AK189" i="117"/>
  <c r="AQ114" i="117"/>
  <c r="BA114" i="117" s="1"/>
  <c r="AQ116" i="117"/>
  <c r="AQ117" i="117"/>
  <c r="AQ123" i="117"/>
  <c r="AQ129" i="117"/>
  <c r="BA129" i="117" s="1"/>
  <c r="AQ133" i="117"/>
  <c r="AQ138" i="117"/>
  <c r="AQ141" i="117"/>
  <c r="BA141" i="117" s="1"/>
  <c r="AQ151" i="117"/>
  <c r="BA151" i="117" s="1"/>
  <c r="AQ155" i="117"/>
  <c r="AQ118" i="117"/>
  <c r="BA118" i="117" s="1"/>
  <c r="AQ124" i="117"/>
  <c r="BA124" i="117" s="1"/>
  <c r="AQ130" i="117"/>
  <c r="BA130" i="117" s="1"/>
  <c r="AQ134" i="117"/>
  <c r="BA134" i="117" s="1"/>
  <c r="AQ135" i="117"/>
  <c r="AQ139" i="117"/>
  <c r="AQ142" i="117"/>
  <c r="BA142" i="117" s="1"/>
  <c r="AQ143" i="117"/>
  <c r="AQ148" i="117"/>
  <c r="BA148" i="117" s="1"/>
  <c r="AQ152" i="117"/>
  <c r="BA152" i="117" s="1"/>
  <c r="AQ144" i="117"/>
  <c r="AQ153" i="117"/>
  <c r="BA153" i="117" s="1"/>
  <c r="AQ156" i="117"/>
  <c r="BA156" i="117" s="1"/>
  <c r="AQ165" i="117"/>
  <c r="AK185" i="117"/>
  <c r="AQ167" i="117"/>
  <c r="BA167" i="117" s="1"/>
  <c r="AQ169" i="117"/>
  <c r="BA169" i="117" s="1"/>
  <c r="AK147" i="117"/>
  <c r="AZ147" i="117" s="1"/>
  <c r="AK157" i="117"/>
  <c r="AZ157" i="117" s="1"/>
  <c r="AQ115" i="117"/>
  <c r="AQ164" i="117"/>
  <c r="AK186" i="117"/>
  <c r="AQ161" i="117"/>
  <c r="BA161" i="117" s="1"/>
  <c r="AQ190" i="117"/>
  <c r="AQ120" i="117"/>
  <c r="BA120" i="117" s="1"/>
  <c r="AK158" i="117"/>
  <c r="AQ147" i="117"/>
  <c r="BA147" i="117" s="1"/>
  <c r="AK149" i="117"/>
  <c r="AQ175" i="117"/>
  <c r="BA175" i="117" s="1"/>
  <c r="AQ178" i="117"/>
  <c r="AQ182" i="117"/>
  <c r="AQ186" i="117"/>
  <c r="AK187" i="117"/>
  <c r="AY168" i="1"/>
  <c r="BS168" i="1" s="1"/>
  <c r="AU114" i="117"/>
  <c r="H114" i="117"/>
  <c r="V114" i="117" s="1"/>
  <c r="AU116" i="117"/>
  <c r="H116" i="117"/>
  <c r="AE116" i="117" s="1"/>
  <c r="AU120" i="117"/>
  <c r="H120" i="117"/>
  <c r="AQ146" i="117"/>
  <c r="BA146" i="117" s="1"/>
  <c r="H159" i="117"/>
  <c r="V159" i="117" s="1"/>
  <c r="AU117" i="117"/>
  <c r="H117" i="117"/>
  <c r="V117" i="117" s="1"/>
  <c r="H127" i="117"/>
  <c r="AU129" i="117"/>
  <c r="H129" i="117"/>
  <c r="AU133" i="117"/>
  <c r="H133" i="117"/>
  <c r="V133" i="117" s="1"/>
  <c r="AU141" i="117"/>
  <c r="H141" i="117"/>
  <c r="AE141" i="117" s="1"/>
  <c r="AY141" i="117" s="1"/>
  <c r="AU151" i="117"/>
  <c r="H151" i="117"/>
  <c r="V151" i="117" s="1"/>
  <c r="AU124" i="117"/>
  <c r="H124" i="117"/>
  <c r="AE124" i="117" s="1"/>
  <c r="AY124" i="117" s="1"/>
  <c r="AU130" i="117"/>
  <c r="H130" i="117"/>
  <c r="AE130" i="117" s="1"/>
  <c r="AY130" i="117" s="1"/>
  <c r="AU135" i="117"/>
  <c r="H135" i="117"/>
  <c r="V135" i="117" s="1"/>
  <c r="AU142" i="117"/>
  <c r="H142" i="117"/>
  <c r="V142" i="117" s="1"/>
  <c r="AU148" i="117"/>
  <c r="H148" i="117"/>
  <c r="AU149" i="117"/>
  <c r="H149" i="117"/>
  <c r="AE149" i="117" s="1"/>
  <c r="AU156" i="117"/>
  <c r="H156" i="117"/>
  <c r="AE156" i="117" s="1"/>
  <c r="AY156" i="117" s="1"/>
  <c r="AU164" i="117"/>
  <c r="H164" i="117"/>
  <c r="V164" i="117" s="1"/>
  <c r="AU185" i="117"/>
  <c r="H185" i="117"/>
  <c r="AE185" i="117" s="1"/>
  <c r="H188" i="117"/>
  <c r="H218" i="117"/>
  <c r="V218" i="117" s="1"/>
  <c r="H211" i="117"/>
  <c r="V211" i="117" s="1"/>
  <c r="AU122" i="117"/>
  <c r="H122" i="117"/>
  <c r="AE122" i="117" s="1"/>
  <c r="AY122" i="117" s="1"/>
  <c r="AU126" i="117"/>
  <c r="H126" i="117"/>
  <c r="AE126" i="117" s="1"/>
  <c r="AU128" i="117"/>
  <c r="H128" i="117"/>
  <c r="AE128" i="117" s="1"/>
  <c r="AU132" i="117"/>
  <c r="H132" i="117"/>
  <c r="AE132" i="117" s="1"/>
  <c r="AU137" i="117"/>
  <c r="H137" i="117"/>
  <c r="AE137" i="117" s="1"/>
  <c r="AU145" i="117"/>
  <c r="H145" i="117"/>
  <c r="AE145" i="117" s="1"/>
  <c r="AU146" i="117"/>
  <c r="H146" i="117"/>
  <c r="AE146" i="117" s="1"/>
  <c r="AY146" i="117" s="1"/>
  <c r="H150" i="117"/>
  <c r="AU154" i="117"/>
  <c r="H154" i="117"/>
  <c r="AU157" i="117"/>
  <c r="H157" i="117"/>
  <c r="AE157" i="117" s="1"/>
  <c r="AY157" i="117" s="1"/>
  <c r="AU115" i="117"/>
  <c r="H115" i="117"/>
  <c r="AU119" i="117"/>
  <c r="H119" i="117"/>
  <c r="V119" i="117" s="1"/>
  <c r="AU121" i="117"/>
  <c r="H121" i="117"/>
  <c r="AE121" i="117" s="1"/>
  <c r="AY121" i="117" s="1"/>
  <c r="AU125" i="117"/>
  <c r="H125" i="117"/>
  <c r="AE125" i="117" s="1"/>
  <c r="AY125" i="117" s="1"/>
  <c r="AU131" i="117"/>
  <c r="H131" i="117"/>
  <c r="V131" i="117" s="1"/>
  <c r="AU136" i="117"/>
  <c r="H136" i="117"/>
  <c r="AE136" i="117" s="1"/>
  <c r="AU140" i="117"/>
  <c r="H140" i="117"/>
  <c r="AE140" i="117" s="1"/>
  <c r="AQ174" i="117"/>
  <c r="BA174" i="117" s="1"/>
  <c r="AQ184" i="117"/>
  <c r="AK181" i="117"/>
  <c r="AU162" i="117"/>
  <c r="H162" i="117"/>
  <c r="AE162" i="117" s="1"/>
  <c r="AY162" i="117" s="1"/>
  <c r="AQ166" i="117"/>
  <c r="AU163" i="117"/>
  <c r="H163" i="117"/>
  <c r="AK171" i="117"/>
  <c r="AQ173" i="117"/>
  <c r="BA173" i="117" s="1"/>
  <c r="AQ183" i="117"/>
  <c r="AQ189" i="117"/>
  <c r="AU190" i="117"/>
  <c r="H190" i="117"/>
  <c r="AE190" i="117" s="1"/>
  <c r="AK191" i="117"/>
  <c r="H206" i="117"/>
  <c r="V206" i="117" s="1"/>
  <c r="H199" i="117"/>
  <c r="V199" i="117" s="1"/>
  <c r="H209" i="117"/>
  <c r="V209" i="117" s="1"/>
  <c r="H216" i="117"/>
  <c r="V216" i="117" s="1"/>
  <c r="H210" i="117"/>
  <c r="V210" i="117" s="1"/>
  <c r="AU123" i="117"/>
  <c r="H123" i="117"/>
  <c r="AE123" i="117" s="1"/>
  <c r="AU138" i="117"/>
  <c r="H138" i="117"/>
  <c r="AE138" i="117" s="1"/>
  <c r="AU147" i="117"/>
  <c r="H147" i="117"/>
  <c r="V147" i="117" s="1"/>
  <c r="AU155" i="117"/>
  <c r="H155" i="117"/>
  <c r="AE155" i="117" s="1"/>
  <c r="AU118" i="117"/>
  <c r="H118" i="117"/>
  <c r="AE118" i="117" s="1"/>
  <c r="AY118" i="117" s="1"/>
  <c r="AU139" i="117"/>
  <c r="H139" i="117"/>
  <c r="AE139" i="117" s="1"/>
  <c r="AU144" i="117"/>
  <c r="H144" i="117"/>
  <c r="V144" i="117" s="1"/>
  <c r="AU153" i="117"/>
  <c r="H153" i="117"/>
  <c r="V153" i="117" s="1"/>
  <c r="AU186" i="117"/>
  <c r="H186" i="117"/>
  <c r="AE186" i="117" s="1"/>
  <c r="AU161" i="117"/>
  <c r="H161" i="117"/>
  <c r="AE161" i="117" s="1"/>
  <c r="AY161" i="117" s="1"/>
  <c r="AU193" i="117"/>
  <c r="H193" i="117"/>
  <c r="AE193" i="117" s="1"/>
  <c r="AK114" i="117"/>
  <c r="AZ114" i="117" s="1"/>
  <c r="AK116" i="117"/>
  <c r="AQ122" i="117"/>
  <c r="BA122" i="117" s="1"/>
  <c r="AQ126" i="117"/>
  <c r="AQ128" i="117"/>
  <c r="AQ132" i="117"/>
  <c r="AQ137" i="117"/>
  <c r="AQ154" i="117"/>
  <c r="BA154" i="117" s="1"/>
  <c r="AQ158" i="117"/>
  <c r="AK117" i="117"/>
  <c r="AK123" i="117"/>
  <c r="AK129" i="117"/>
  <c r="AZ129" i="117" s="1"/>
  <c r="AK133" i="117"/>
  <c r="AK138" i="117"/>
  <c r="AK141" i="117"/>
  <c r="AZ141" i="117" s="1"/>
  <c r="AK151" i="117"/>
  <c r="AZ151" i="117" s="1"/>
  <c r="AK155" i="117"/>
  <c r="AK118" i="117"/>
  <c r="AZ118" i="117" s="1"/>
  <c r="AK124" i="117"/>
  <c r="AZ124" i="117" s="1"/>
  <c r="AK130" i="117"/>
  <c r="AZ130" i="117" s="1"/>
  <c r="AK134" i="117"/>
  <c r="AZ134" i="117" s="1"/>
  <c r="AK135" i="117"/>
  <c r="AK139" i="117"/>
  <c r="AK142" i="117"/>
  <c r="AZ142" i="117" s="1"/>
  <c r="AK143" i="117"/>
  <c r="AK148" i="117"/>
  <c r="AZ148" i="117" s="1"/>
  <c r="AK152" i="117"/>
  <c r="AZ152" i="117" s="1"/>
  <c r="AK115" i="117"/>
  <c r="AQ119" i="117"/>
  <c r="BA119" i="117" s="1"/>
  <c r="AQ121" i="117"/>
  <c r="BA121" i="117" s="1"/>
  <c r="AQ125" i="117"/>
  <c r="BA125" i="117" s="1"/>
  <c r="AQ131" i="117"/>
  <c r="BA131" i="117" s="1"/>
  <c r="AQ136" i="117"/>
  <c r="AQ140" i="117"/>
  <c r="AK144" i="117"/>
  <c r="AQ149" i="117"/>
  <c r="AK153" i="117"/>
  <c r="AZ153" i="117" s="1"/>
  <c r="AK156" i="117"/>
  <c r="AZ156" i="117" s="1"/>
  <c r="AK164" i="117"/>
  <c r="AU168" i="117"/>
  <c r="H168" i="117"/>
  <c r="AU174" i="117"/>
  <c r="H174" i="117"/>
  <c r="AE174" i="117" s="1"/>
  <c r="AY174" i="117" s="1"/>
  <c r="AU176" i="117"/>
  <c r="H176" i="117"/>
  <c r="AE176" i="117" s="1"/>
  <c r="AU180" i="117"/>
  <c r="H180" i="117"/>
  <c r="V180" i="117" s="1"/>
  <c r="AK165" i="117"/>
  <c r="AU177" i="117"/>
  <c r="H177" i="117"/>
  <c r="AE177" i="117" s="1"/>
  <c r="AU181" i="117"/>
  <c r="H181" i="117"/>
  <c r="AE181" i="117" s="1"/>
  <c r="AK162" i="117"/>
  <c r="AZ162" i="117" s="1"/>
  <c r="AU166" i="117"/>
  <c r="H166" i="117"/>
  <c r="V166" i="117" s="1"/>
  <c r="AU170" i="117"/>
  <c r="H170" i="117"/>
  <c r="AE170" i="117" s="1"/>
  <c r="AY170" i="117" s="1"/>
  <c r="AU175" i="117"/>
  <c r="H175" i="117"/>
  <c r="AE175" i="117" s="1"/>
  <c r="AY175" i="117" s="1"/>
  <c r="AU178" i="117"/>
  <c r="H178" i="117"/>
  <c r="AE178" i="117" s="1"/>
  <c r="AU182" i="117"/>
  <c r="H182" i="117"/>
  <c r="AE182" i="117" s="1"/>
  <c r="AK161" i="117"/>
  <c r="AZ161" i="117" s="1"/>
  <c r="AQ163" i="117"/>
  <c r="BA163" i="117" s="1"/>
  <c r="AK167" i="117"/>
  <c r="AZ167" i="117" s="1"/>
  <c r="AK169" i="117"/>
  <c r="AZ169" i="117" s="1"/>
  <c r="AQ171" i="117"/>
  <c r="AU158" i="117"/>
  <c r="H158" i="117"/>
  <c r="AE158" i="117" s="1"/>
  <c r="AU134" i="117"/>
  <c r="H134" i="117"/>
  <c r="AE134" i="117" s="1"/>
  <c r="AY134" i="117" s="1"/>
  <c r="AU143" i="117"/>
  <c r="H143" i="117"/>
  <c r="AE143" i="117" s="1"/>
  <c r="AU152" i="117"/>
  <c r="H152" i="117"/>
  <c r="AE152" i="117" s="1"/>
  <c r="AY152" i="117" s="1"/>
  <c r="H200" i="117"/>
  <c r="V200" i="117" s="1"/>
  <c r="AK120" i="117"/>
  <c r="AZ120" i="117" s="1"/>
  <c r="AK122" i="117"/>
  <c r="AZ122" i="117" s="1"/>
  <c r="AK126" i="117"/>
  <c r="AK128" i="117"/>
  <c r="AK132" i="117"/>
  <c r="AK137" i="117"/>
  <c r="AQ145" i="117"/>
  <c r="AK154" i="117"/>
  <c r="AZ154" i="117" s="1"/>
  <c r="AK119" i="117"/>
  <c r="AZ119" i="117" s="1"/>
  <c r="AK121" i="117"/>
  <c r="AZ121" i="117" s="1"/>
  <c r="AK125" i="117"/>
  <c r="AZ125" i="117" s="1"/>
  <c r="AK131" i="117"/>
  <c r="AZ131" i="117" s="1"/>
  <c r="AK136" i="117"/>
  <c r="AK140" i="117"/>
  <c r="AQ168" i="117"/>
  <c r="BA168" i="117" s="1"/>
  <c r="AQ176" i="117"/>
  <c r="AK180" i="117"/>
  <c r="AU184" i="117"/>
  <c r="H184" i="117"/>
  <c r="AE184" i="117" s="1"/>
  <c r="AU165" i="117"/>
  <c r="H165" i="117"/>
  <c r="AE165" i="117" s="1"/>
  <c r="AQ177" i="117"/>
  <c r="AQ181" i="117"/>
  <c r="AQ185" i="117"/>
  <c r="AQ170" i="117"/>
  <c r="BA170" i="117" s="1"/>
  <c r="AK175" i="117"/>
  <c r="AZ175" i="117" s="1"/>
  <c r="AK178" i="117"/>
  <c r="AK182" i="117"/>
  <c r="AK163" i="117"/>
  <c r="AZ163" i="117" s="1"/>
  <c r="AU167" i="117"/>
  <c r="H167" i="117"/>
  <c r="AE167" i="117" s="1"/>
  <c r="AY167" i="117" s="1"/>
  <c r="AU169" i="117"/>
  <c r="H169" i="117"/>
  <c r="AE169" i="117" s="1"/>
  <c r="AY169" i="117" s="1"/>
  <c r="AU171" i="117"/>
  <c r="H171" i="117"/>
  <c r="AE171" i="117" s="1"/>
  <c r="AU173" i="117"/>
  <c r="H173" i="117"/>
  <c r="AE173" i="117" s="1"/>
  <c r="AY173" i="117" s="1"/>
  <c r="AU179" i="117"/>
  <c r="H179" i="117"/>
  <c r="AE179" i="117" s="1"/>
  <c r="AQ191" i="117"/>
  <c r="H192" i="117"/>
  <c r="AK193" i="117"/>
  <c r="H201" i="117"/>
  <c r="V201" i="117" s="1"/>
  <c r="H204" i="117"/>
  <c r="V204" i="117" s="1"/>
  <c r="H202" i="117"/>
  <c r="V202" i="117" s="1"/>
  <c r="H217" i="117"/>
  <c r="V217" i="117" s="1"/>
  <c r="H203" i="117"/>
  <c r="V203" i="117" s="1"/>
  <c r="H213" i="117"/>
  <c r="V213" i="117" s="1"/>
  <c r="H205" i="117"/>
  <c r="V205" i="117" s="1"/>
  <c r="H214" i="117"/>
  <c r="V214" i="117" s="1"/>
  <c r="H196" i="117"/>
  <c r="V196" i="117" s="1"/>
  <c r="H198" i="117"/>
  <c r="V198" i="117" s="1"/>
  <c r="H219" i="117"/>
  <c r="V219" i="117" s="1"/>
  <c r="AK179" i="117"/>
  <c r="AU183" i="117"/>
  <c r="H183" i="117"/>
  <c r="V183" i="117" s="1"/>
  <c r="AU187" i="117"/>
  <c r="H187" i="117"/>
  <c r="AE187" i="117" s="1"/>
  <c r="AU189" i="117"/>
  <c r="H189" i="117"/>
  <c r="AE189" i="117" s="1"/>
  <c r="AK190" i="117"/>
  <c r="AU191" i="117"/>
  <c r="H191" i="117"/>
  <c r="AE191" i="117" s="1"/>
  <c r="AQ193" i="117"/>
  <c r="AK209" i="117"/>
  <c r="AZ209" i="117" s="1"/>
  <c r="H208" i="117"/>
  <c r="V208" i="117" s="1"/>
  <c r="H215" i="117"/>
  <c r="V215" i="117" s="1"/>
  <c r="H197" i="117"/>
  <c r="V197" i="117" s="1"/>
  <c r="H207" i="117"/>
  <c r="V207" i="117" s="1"/>
  <c r="BN192" i="1"/>
  <c r="BN194" i="1"/>
  <c r="BN196" i="1"/>
  <c r="BP132" i="1"/>
  <c r="BP136" i="1"/>
  <c r="BO155" i="1"/>
  <c r="BO189" i="1"/>
  <c r="BO128" i="1"/>
  <c r="BO163" i="1"/>
  <c r="BO167" i="1"/>
  <c r="BO170" i="1"/>
  <c r="BO176" i="1"/>
  <c r="BS155" i="1"/>
  <c r="AK159" i="117"/>
  <c r="V194" i="117"/>
  <c r="AE194" i="117"/>
  <c r="AY194" i="117" s="1"/>
  <c r="Y206" i="117"/>
  <c r="AU206" i="117"/>
  <c r="Y199" i="117"/>
  <c r="AU199" i="117"/>
  <c r="X201" i="117"/>
  <c r="AQ201" i="117"/>
  <c r="BA201" i="117" s="1"/>
  <c r="Y209" i="117"/>
  <c r="AU209" i="117"/>
  <c r="Y216" i="117"/>
  <c r="AU216" i="117"/>
  <c r="W204" i="117"/>
  <c r="AK204" i="117"/>
  <c r="AZ204" i="117" s="1"/>
  <c r="X195" i="117"/>
  <c r="AQ195" i="117"/>
  <c r="BA195" i="117" s="1"/>
  <c r="W218" i="117"/>
  <c r="AK218" i="117"/>
  <c r="AZ218" i="117" s="1"/>
  <c r="W202" i="117"/>
  <c r="AK202" i="117"/>
  <c r="AZ202" i="117" s="1"/>
  <c r="Y210" i="117"/>
  <c r="AU210" i="117"/>
  <c r="W217" i="117"/>
  <c r="AK217" i="117"/>
  <c r="AZ217" i="117" s="1"/>
  <c r="W203" i="117"/>
  <c r="AK203" i="117"/>
  <c r="AZ203" i="117" s="1"/>
  <c r="W213" i="117"/>
  <c r="AK213" i="117"/>
  <c r="AZ213" i="117" s="1"/>
  <c r="X211" i="117"/>
  <c r="AQ211" i="117"/>
  <c r="BA211" i="117" s="1"/>
  <c r="Y205" i="117"/>
  <c r="AU205" i="117"/>
  <c r="Y214" i="117"/>
  <c r="AU214" i="117"/>
  <c r="Y196" i="117"/>
  <c r="AU196" i="117"/>
  <c r="Y198" i="117"/>
  <c r="AU198" i="117"/>
  <c r="W200" i="117"/>
  <c r="AK200" i="117"/>
  <c r="AZ200" i="117" s="1"/>
  <c r="Y219" i="117"/>
  <c r="AU219" i="117"/>
  <c r="BN137" i="1"/>
  <c r="BP192" i="1"/>
  <c r="BP196" i="1"/>
  <c r="BP212" i="1"/>
  <c r="BP187" i="1"/>
  <c r="BN126" i="1"/>
  <c r="BN130" i="1"/>
  <c r="BN131" i="1"/>
  <c r="BN135" i="1"/>
  <c r="BN139" i="1"/>
  <c r="BN144" i="1"/>
  <c r="BP195" i="1"/>
  <c r="BP197" i="1"/>
  <c r="BN171" i="1"/>
  <c r="BN132" i="1"/>
  <c r="BN136" i="1"/>
  <c r="BP166" i="1"/>
  <c r="BP169" i="1"/>
  <c r="BP155" i="1"/>
  <c r="BN189" i="1"/>
  <c r="BP110" i="1"/>
  <c r="BP112" i="1"/>
  <c r="BP124" i="1"/>
  <c r="BP128" i="1"/>
  <c r="BP133" i="1"/>
  <c r="BN193" i="1"/>
  <c r="BP163" i="1"/>
  <c r="BP167" i="1"/>
  <c r="BP170" i="1"/>
  <c r="BP176" i="1"/>
  <c r="Y194" i="117"/>
  <c r="AU194" i="117"/>
  <c r="Y195" i="117"/>
  <c r="AU195" i="117"/>
  <c r="Y218" i="117"/>
  <c r="AU218" i="117"/>
  <c r="X210" i="117"/>
  <c r="AQ210" i="117"/>
  <c r="BA210" i="117" s="1"/>
  <c r="X213" i="117"/>
  <c r="AQ213" i="117"/>
  <c r="BA213" i="117" s="1"/>
  <c r="X208" i="117"/>
  <c r="AQ208" i="117"/>
  <c r="BA208" i="117" s="1"/>
  <c r="W219" i="117"/>
  <c r="AK219" i="117"/>
  <c r="AZ219" i="117" s="1"/>
  <c r="W197" i="117"/>
  <c r="AK197" i="117"/>
  <c r="AZ197" i="117" s="1"/>
  <c r="W207" i="117"/>
  <c r="AK207" i="117"/>
  <c r="AZ207" i="117" s="1"/>
  <c r="BP129" i="1"/>
  <c r="BP137" i="1"/>
  <c r="BN187" i="1"/>
  <c r="BR155" i="1"/>
  <c r="BU156" i="1"/>
  <c r="CL156" i="1" s="1"/>
  <c r="AU160" i="117"/>
  <c r="BS156" i="1"/>
  <c r="AK160" i="117"/>
  <c r="X194" i="117"/>
  <c r="AQ194" i="117"/>
  <c r="BA194" i="117" s="1"/>
  <c r="X206" i="117"/>
  <c r="AQ206" i="117"/>
  <c r="BA206" i="117" s="1"/>
  <c r="X199" i="117"/>
  <c r="AQ199" i="117"/>
  <c r="BA199" i="117" s="1"/>
  <c r="W201" i="117"/>
  <c r="AK201" i="117"/>
  <c r="AZ201" i="117" s="1"/>
  <c r="X216" i="117"/>
  <c r="AQ216" i="117"/>
  <c r="BA216" i="117" s="1"/>
  <c r="W195" i="117"/>
  <c r="AK195" i="117"/>
  <c r="AZ195" i="117" s="1"/>
  <c r="X218" i="117"/>
  <c r="AQ218" i="117"/>
  <c r="BA218" i="117" s="1"/>
  <c r="W210" i="117"/>
  <c r="AK210" i="117"/>
  <c r="AZ210" i="117" s="1"/>
  <c r="X205" i="117"/>
  <c r="AQ205" i="117"/>
  <c r="BA205" i="117" s="1"/>
  <c r="W214" i="117"/>
  <c r="AK214" i="117"/>
  <c r="AZ214" i="117" s="1"/>
  <c r="X196" i="117"/>
  <c r="AQ196" i="117"/>
  <c r="BA196" i="117" s="1"/>
  <c r="X198" i="117"/>
  <c r="AQ198" i="117"/>
  <c r="BA198" i="117" s="1"/>
  <c r="X200" i="117"/>
  <c r="AQ200" i="117"/>
  <c r="BA200" i="117" s="1"/>
  <c r="Y208" i="117"/>
  <c r="AU208" i="117"/>
  <c r="Y215" i="117"/>
  <c r="AU215" i="117"/>
  <c r="X219" i="117"/>
  <c r="AQ219" i="117"/>
  <c r="BA219" i="117" s="1"/>
  <c r="Y197" i="117"/>
  <c r="AU197" i="117"/>
  <c r="Y207" i="117"/>
  <c r="AU207" i="117"/>
  <c r="BQ129" i="1"/>
  <c r="CH129" i="1" s="1"/>
  <c r="BQ137" i="1"/>
  <c r="CH137" i="1" s="1"/>
  <c r="BQ200" i="1"/>
  <c r="CH200" i="1" s="1"/>
  <c r="BQ192" i="1"/>
  <c r="CH192" i="1" s="1"/>
  <c r="BQ194" i="1"/>
  <c r="CH194" i="1" s="1"/>
  <c r="BQ196" i="1"/>
  <c r="CH196" i="1" s="1"/>
  <c r="BQ164" i="1"/>
  <c r="CH164" i="1" s="1"/>
  <c r="BO187" i="1"/>
  <c r="BQ126" i="1"/>
  <c r="CH126" i="1" s="1"/>
  <c r="BQ130" i="1"/>
  <c r="CH130" i="1" s="1"/>
  <c r="BQ131" i="1"/>
  <c r="CH131" i="1" s="1"/>
  <c r="BQ135" i="1"/>
  <c r="CH135" i="1" s="1"/>
  <c r="BQ139" i="1"/>
  <c r="CH139" i="1" s="1"/>
  <c r="BQ144" i="1"/>
  <c r="CH144" i="1" s="1"/>
  <c r="BO195" i="1"/>
  <c r="BO197" i="1"/>
  <c r="BQ171" i="1"/>
  <c r="CH171" i="1" s="1"/>
  <c r="BQ132" i="1"/>
  <c r="CH132" i="1" s="1"/>
  <c r="BQ136" i="1"/>
  <c r="CH136" i="1" s="1"/>
  <c r="BN166" i="1"/>
  <c r="BN169" i="1"/>
  <c r="BP214" i="1"/>
  <c r="BP189" i="1"/>
  <c r="BN110" i="1"/>
  <c r="BN112" i="1"/>
  <c r="BN124" i="1"/>
  <c r="BN128" i="1"/>
  <c r="BN133" i="1"/>
  <c r="BP193" i="1"/>
  <c r="BN163" i="1"/>
  <c r="BN167" i="1"/>
  <c r="BN170" i="1"/>
  <c r="BN176" i="1"/>
  <c r="BU155" i="1"/>
  <c r="CL155" i="1" s="1"/>
  <c r="AU159" i="117"/>
  <c r="BR156" i="1"/>
  <c r="AE160" i="117"/>
  <c r="X209" i="117"/>
  <c r="AQ209" i="117"/>
  <c r="BA209" i="117" s="1"/>
  <c r="X204" i="117"/>
  <c r="AQ204" i="117"/>
  <c r="BA204" i="117" s="1"/>
  <c r="X202" i="117"/>
  <c r="AQ202" i="117"/>
  <c r="BA202" i="117" s="1"/>
  <c r="X217" i="117"/>
  <c r="AQ217" i="117"/>
  <c r="BA217" i="117" s="1"/>
  <c r="X203" i="117"/>
  <c r="AQ203" i="117"/>
  <c r="BA203" i="117" s="1"/>
  <c r="Y211" i="117"/>
  <c r="AU211" i="117"/>
  <c r="X214" i="117"/>
  <c r="AQ214" i="117"/>
  <c r="BA214" i="117" s="1"/>
  <c r="Y200" i="117"/>
  <c r="AU200" i="117"/>
  <c r="W215" i="117"/>
  <c r="AK215" i="117"/>
  <c r="AZ215" i="117" s="1"/>
  <c r="BP164" i="1"/>
  <c r="BP144" i="1"/>
  <c r="BO166" i="1"/>
  <c r="BO169" i="1"/>
  <c r="BO110" i="1"/>
  <c r="BO112" i="1"/>
  <c r="BO124" i="1"/>
  <c r="BO133" i="1"/>
  <c r="BQ193" i="1"/>
  <c r="CH193" i="1" s="1"/>
  <c r="BT155" i="1"/>
  <c r="AQ159" i="117"/>
  <c r="BT156" i="1"/>
  <c r="AQ160" i="117"/>
  <c r="W194" i="117"/>
  <c r="AK194" i="117"/>
  <c r="AZ194" i="117" s="1"/>
  <c r="W206" i="117"/>
  <c r="AK206" i="117"/>
  <c r="AZ206" i="117" s="1"/>
  <c r="W199" i="117"/>
  <c r="AK199" i="117"/>
  <c r="AZ199" i="117" s="1"/>
  <c r="Y201" i="117"/>
  <c r="AU201" i="117"/>
  <c r="W216" i="117"/>
  <c r="AK216" i="117"/>
  <c r="AZ216" i="117" s="1"/>
  <c r="Y204" i="117"/>
  <c r="AU204" i="117"/>
  <c r="V195" i="117"/>
  <c r="AE195" i="117"/>
  <c r="Y202" i="117"/>
  <c r="AU202" i="117"/>
  <c r="Y217" i="117"/>
  <c r="AU217" i="117"/>
  <c r="Y203" i="117"/>
  <c r="AU203" i="117"/>
  <c r="Y213" i="117"/>
  <c r="AU213" i="117"/>
  <c r="W211" i="117"/>
  <c r="AK211" i="117"/>
  <c r="AZ211" i="117" s="1"/>
  <c r="W205" i="117"/>
  <c r="AK205" i="117"/>
  <c r="AZ205" i="117" s="1"/>
  <c r="W196" i="117"/>
  <c r="AK196" i="117"/>
  <c r="AZ196" i="117" s="1"/>
  <c r="W198" i="117"/>
  <c r="AK198" i="117"/>
  <c r="AZ198" i="117" s="1"/>
  <c r="W208" i="117"/>
  <c r="AK208" i="117"/>
  <c r="AZ208" i="117" s="1"/>
  <c r="X215" i="117"/>
  <c r="AQ215" i="117"/>
  <c r="BA215" i="117" s="1"/>
  <c r="X197" i="117"/>
  <c r="AQ197" i="117"/>
  <c r="BA197" i="117" s="1"/>
  <c r="X207" i="117"/>
  <c r="AQ207" i="117"/>
  <c r="BA207" i="117" s="1"/>
  <c r="BO129" i="1"/>
  <c r="BO137" i="1"/>
  <c r="BO164" i="1"/>
  <c r="BQ187" i="1"/>
  <c r="CH187" i="1" s="1"/>
  <c r="BO126" i="1"/>
  <c r="BO130" i="1"/>
  <c r="BO131" i="1"/>
  <c r="BO135" i="1"/>
  <c r="BO139" i="1"/>
  <c r="BO144" i="1"/>
  <c r="BQ195" i="1"/>
  <c r="CH195" i="1" s="1"/>
  <c r="BQ197" i="1"/>
  <c r="CH197" i="1" s="1"/>
  <c r="BO171" i="1"/>
  <c r="BO132" i="1"/>
  <c r="BO136" i="1"/>
  <c r="BQ166" i="1"/>
  <c r="CH166" i="1" s="1"/>
  <c r="BQ169" i="1"/>
  <c r="CH169" i="1" s="1"/>
  <c r="BQ155" i="1"/>
  <c r="CH155" i="1" s="1"/>
  <c r="BQ189" i="1"/>
  <c r="CH189" i="1" s="1"/>
  <c r="BQ110" i="1"/>
  <c r="CH110" i="1" s="1"/>
  <c r="BQ112" i="1"/>
  <c r="CH112" i="1" s="1"/>
  <c r="BQ124" i="1"/>
  <c r="CH124" i="1" s="1"/>
  <c r="BQ128" i="1"/>
  <c r="CH128" i="1" s="1"/>
  <c r="BQ133" i="1"/>
  <c r="CH133" i="1" s="1"/>
  <c r="BO193" i="1"/>
  <c r="BQ163" i="1"/>
  <c r="CH163" i="1" s="1"/>
  <c r="BQ167" i="1"/>
  <c r="CH167" i="1" s="1"/>
  <c r="BQ170" i="1"/>
  <c r="CH170" i="1" s="1"/>
  <c r="BQ176" i="1"/>
  <c r="CH176" i="1" s="1"/>
  <c r="BQ211" i="1"/>
  <c r="CH211" i="1" s="1"/>
  <c r="BO204" i="1"/>
  <c r="BP213" i="1"/>
  <c r="BP211" i="1"/>
  <c r="BP199" i="1"/>
  <c r="BP207" i="1"/>
  <c r="BP203" i="1"/>
  <c r="BP204" i="1"/>
  <c r="BP215" i="1"/>
  <c r="BP198" i="1"/>
  <c r="BP209" i="1"/>
  <c r="BS205" i="1"/>
  <c r="W209" i="117"/>
  <c r="BN200" i="1"/>
  <c r="BO206" i="1"/>
  <c r="BQ201" i="1"/>
  <c r="CH201" i="1" s="1"/>
  <c r="BQ202" i="1"/>
  <c r="CH202" i="1" s="1"/>
  <c r="BN202" i="1"/>
  <c r="BQ213" i="1"/>
  <c r="CH213" i="1" s="1"/>
  <c r="BQ205" i="1"/>
  <c r="CH205" i="1" s="1"/>
  <c r="BO212" i="1"/>
  <c r="BP206" i="1"/>
  <c r="BN210" i="1"/>
  <c r="BN212" i="1"/>
  <c r="BO203" i="1"/>
  <c r="BO207" i="1"/>
  <c r="BQ214" i="1"/>
  <c r="CH214" i="1" s="1"/>
  <c r="BO209" i="1"/>
  <c r="BQ204" i="1"/>
  <c r="CH204" i="1" s="1"/>
  <c r="BO211" i="1"/>
  <c r="BO215" i="1"/>
  <c r="BQ199" i="1"/>
  <c r="CH199" i="1" s="1"/>
  <c r="BQ210" i="1"/>
  <c r="CH210" i="1" s="1"/>
  <c r="BP205" i="1"/>
  <c r="BP201" i="1"/>
  <c r="BO198" i="1"/>
  <c r="BQ203" i="1"/>
  <c r="CH203" i="1" s="1"/>
  <c r="BQ207" i="1"/>
  <c r="CH207" i="1" s="1"/>
  <c r="BO214" i="1"/>
  <c r="BQ209" i="1"/>
  <c r="CH209" i="1" s="1"/>
  <c r="BQ215" i="1"/>
  <c r="CH215" i="1" s="1"/>
  <c r="BO199" i="1"/>
  <c r="BO200" i="1"/>
  <c r="BO210" i="1"/>
  <c r="BQ212" i="1"/>
  <c r="CH212" i="1" s="1"/>
  <c r="BO201" i="1"/>
  <c r="BQ206" i="1"/>
  <c r="CH206" i="1" s="1"/>
  <c r="BO213" i="1"/>
  <c r="BP202" i="1"/>
  <c r="BN198" i="1"/>
  <c r="BN203" i="1"/>
  <c r="BN207" i="1"/>
  <c r="BN214" i="1"/>
  <c r="BN209" i="1"/>
  <c r="BN204" i="1"/>
  <c r="BN211" i="1"/>
  <c r="BN215" i="1"/>
  <c r="BN199" i="1"/>
  <c r="BO205" i="1"/>
  <c r="BU116" i="1"/>
  <c r="BU141" i="1"/>
  <c r="Y119" i="117"/>
  <c r="BU150" i="1"/>
  <c r="Y128" i="117"/>
  <c r="BT134" i="1"/>
  <c r="X112" i="117"/>
  <c r="BR120" i="1"/>
  <c r="BR135" i="1"/>
  <c r="BU121" i="1"/>
  <c r="BU145" i="1"/>
  <c r="Y123" i="117"/>
  <c r="BU172" i="1"/>
  <c r="CL172" i="1" s="1"/>
  <c r="Y150" i="117"/>
  <c r="BR180" i="1"/>
  <c r="BS181" i="1"/>
  <c r="W159" i="117"/>
  <c r="BR174" i="1"/>
  <c r="BU178" i="1"/>
  <c r="CL178" i="1" s="1"/>
  <c r="Y156" i="117"/>
  <c r="BS213" i="1"/>
  <c r="W191" i="117"/>
  <c r="BU207" i="1"/>
  <c r="CL207" i="1" s="1"/>
  <c r="Y185" i="117"/>
  <c r="BS116" i="1"/>
  <c r="BU124" i="1"/>
  <c r="BS133" i="1"/>
  <c r="Y124" i="117"/>
  <c r="BU119" i="1"/>
  <c r="BU147" i="1"/>
  <c r="Y125" i="117"/>
  <c r="BU151" i="1"/>
  <c r="Y129" i="117"/>
  <c r="BS153" i="1"/>
  <c r="W134" i="117"/>
  <c r="W131" i="117"/>
  <c r="BT114" i="1"/>
  <c r="BS120" i="1"/>
  <c r="BR126" i="1"/>
  <c r="V104" i="117"/>
  <c r="BT131" i="1"/>
  <c r="X109" i="117"/>
  <c r="BT135" i="1"/>
  <c r="BS139" i="1"/>
  <c r="W117" i="117"/>
  <c r="BU148" i="1"/>
  <c r="Y126" i="117"/>
  <c r="BU117" i="1"/>
  <c r="BR140" i="1"/>
  <c r="BU160" i="1"/>
  <c r="CL160" i="1" s="1"/>
  <c r="Y138" i="117"/>
  <c r="BU170" i="1"/>
  <c r="CL170" i="1" s="1"/>
  <c r="Y148" i="117"/>
  <c r="BS180" i="1"/>
  <c r="W158" i="117"/>
  <c r="BR161" i="1"/>
  <c r="BT177" i="1"/>
  <c r="X155" i="117"/>
  <c r="BS158" i="1"/>
  <c r="W136" i="117"/>
  <c r="BU166" i="1"/>
  <c r="CL166" i="1" s="1"/>
  <c r="Y144" i="117"/>
  <c r="BR165" i="1"/>
  <c r="W166" i="117"/>
  <c r="BT110" i="1"/>
  <c r="BS112" i="1"/>
  <c r="BT116" i="1"/>
  <c r="BT118" i="1"/>
  <c r="BS118" i="1"/>
  <c r="BT124" i="1"/>
  <c r="BT128" i="1"/>
  <c r="X106" i="117"/>
  <c r="BT133" i="1"/>
  <c r="BR133" i="1"/>
  <c r="BU142" i="1"/>
  <c r="Y120" i="117"/>
  <c r="BR142" i="1"/>
  <c r="BT150" i="1"/>
  <c r="BR150" i="1"/>
  <c r="BR154" i="1"/>
  <c r="BU113" i="1"/>
  <c r="BT119" i="1"/>
  <c r="BR119" i="1"/>
  <c r="BU125" i="1"/>
  <c r="BR129" i="1"/>
  <c r="BS134" i="1"/>
  <c r="W112" i="117"/>
  <c r="AZ112" i="117" s="1"/>
  <c r="BU137" i="1"/>
  <c r="Y115" i="117"/>
  <c r="Y133" i="117"/>
  <c r="BU143" i="1"/>
  <c r="Y121" i="117"/>
  <c r="BT147" i="1"/>
  <c r="X125" i="117"/>
  <c r="BR147" i="1"/>
  <c r="BT151" i="1"/>
  <c r="X129" i="117"/>
  <c r="BR151" i="1"/>
  <c r="BT153" i="1"/>
  <c r="X131" i="117"/>
  <c r="X134" i="117"/>
  <c r="BU130" i="1"/>
  <c r="Y108" i="117"/>
  <c r="AX108" i="117" s="1"/>
  <c r="BS130" i="1"/>
  <c r="W108" i="117"/>
  <c r="AL108" i="117" s="1"/>
  <c r="BS131" i="1"/>
  <c r="W109" i="117"/>
  <c r="BR131" i="1"/>
  <c r="V109" i="117"/>
  <c r="BS135" i="1"/>
  <c r="BT139" i="1"/>
  <c r="X117" i="117"/>
  <c r="BR139" i="1"/>
  <c r="BU144" i="1"/>
  <c r="Y122" i="117"/>
  <c r="BT148" i="1"/>
  <c r="X126" i="117"/>
  <c r="BR148" i="1"/>
  <c r="BU111" i="1"/>
  <c r="BT117" i="1"/>
  <c r="BT121" i="1"/>
  <c r="BS127" i="1"/>
  <c r="W105" i="117"/>
  <c r="BR132" i="1"/>
  <c r="V110" i="117"/>
  <c r="AF110" i="117" s="1"/>
  <c r="BR136" i="1"/>
  <c r="BS149" i="1"/>
  <c r="W127" i="117"/>
  <c r="BT152" i="1"/>
  <c r="X130" i="117"/>
  <c r="BR160" i="1"/>
  <c r="BS176" i="1"/>
  <c r="W154" i="117"/>
  <c r="BR173" i="1"/>
  <c r="BR181" i="1"/>
  <c r="Y162" i="117"/>
  <c r="BR162" i="1"/>
  <c r="BT166" i="1"/>
  <c r="X144" i="117"/>
  <c r="BS171" i="1"/>
  <c r="W149" i="117"/>
  <c r="BU174" i="1"/>
  <c r="CL174" i="1" s="1"/>
  <c r="Y152" i="117"/>
  <c r="BR178" i="1"/>
  <c r="BS182" i="1"/>
  <c r="W160" i="117"/>
  <c r="BT182" i="1"/>
  <c r="X160" i="117"/>
  <c r="BT157" i="1"/>
  <c r="X135" i="117"/>
  <c r="BR157" i="1"/>
  <c r="BT159" i="1"/>
  <c r="X137" i="117"/>
  <c r="BS163" i="1"/>
  <c r="W141" i="117"/>
  <c r="BS165" i="1"/>
  <c r="W143" i="117"/>
  <c r="BT167" i="1"/>
  <c r="X145" i="117"/>
  <c r="BS169" i="1"/>
  <c r="W147" i="117"/>
  <c r="BR169" i="1"/>
  <c r="BT175" i="1"/>
  <c r="X153" i="117"/>
  <c r="BS175" i="1"/>
  <c r="W153" i="117"/>
  <c r="BU179" i="1"/>
  <c r="CL179" i="1" s="1"/>
  <c r="Y157" i="117"/>
  <c r="BT183" i="1"/>
  <c r="X161" i="117"/>
  <c r="BU183" i="1"/>
  <c r="CL183" i="1" s="1"/>
  <c r="Y161" i="117"/>
  <c r="BS185" i="1"/>
  <c r="W163" i="117"/>
  <c r="BU185" i="1"/>
  <c r="CL185" i="1" s="1"/>
  <c r="Y163" i="117"/>
  <c r="BT186" i="1"/>
  <c r="X164" i="117"/>
  <c r="BT187" i="1"/>
  <c r="X165" i="117"/>
  <c r="Y166" i="117"/>
  <c r="BS189" i="1"/>
  <c r="W167" i="117"/>
  <c r="BS190" i="1"/>
  <c r="W168" i="117"/>
  <c r="BS202" i="1"/>
  <c r="W180" i="117"/>
  <c r="BU195" i="1"/>
  <c r="CL195" i="1" s="1"/>
  <c r="Y173" i="117"/>
  <c r="BU205" i="1"/>
  <c r="CL205" i="1" s="1"/>
  <c r="Y183" i="117"/>
  <c r="BR205" i="1"/>
  <c r="BS212" i="1"/>
  <c r="W190" i="117"/>
  <c r="BT200" i="1"/>
  <c r="X178" i="117"/>
  <c r="BR200" i="1"/>
  <c r="BR214" i="1"/>
  <c r="BS198" i="1"/>
  <c r="W176" i="117"/>
  <c r="BU206" i="1"/>
  <c r="CL206" i="1" s="1"/>
  <c r="Y184" i="117"/>
  <c r="BR213" i="1"/>
  <c r="BS199" i="1"/>
  <c r="W177" i="117"/>
  <c r="BR209" i="1"/>
  <c r="BS201" i="1"/>
  <c r="W179" i="117"/>
  <c r="BU210" i="1"/>
  <c r="CL210" i="1" s="1"/>
  <c r="Y188" i="117"/>
  <c r="BS194" i="1"/>
  <c r="W172" i="117"/>
  <c r="BU204" i="1"/>
  <c r="CL204" i="1" s="1"/>
  <c r="Y182" i="117"/>
  <c r="BS211" i="1"/>
  <c r="W189" i="117"/>
  <c r="BS215" i="1"/>
  <c r="W193" i="117"/>
  <c r="BU110" i="1"/>
  <c r="BU122" i="1"/>
  <c r="BS142" i="1"/>
  <c r="W120" i="117"/>
  <c r="BS129" i="1"/>
  <c r="BR137" i="1"/>
  <c r="BR143" i="1"/>
  <c r="BT145" i="1"/>
  <c r="X123" i="117"/>
  <c r="BU152" i="1"/>
  <c r="Y130" i="117"/>
  <c r="BT164" i="1"/>
  <c r="X142" i="117"/>
  <c r="BT176" i="1"/>
  <c r="X154" i="117"/>
  <c r="BT181" i="1"/>
  <c r="X159" i="117"/>
  <c r="BU162" i="1"/>
  <c r="CL162" i="1" s="1"/>
  <c r="Y140" i="117"/>
  <c r="BS166" i="1"/>
  <c r="W144" i="117"/>
  <c r="BS186" i="1"/>
  <c r="W164" i="117"/>
  <c r="BT190" i="1"/>
  <c r="X168" i="117"/>
  <c r="BS195" i="1"/>
  <c r="W173" i="117"/>
  <c r="BT212" i="1"/>
  <c r="X190" i="117"/>
  <c r="BT214" i="1"/>
  <c r="X192" i="117"/>
  <c r="BS209" i="1"/>
  <c r="W187" i="117"/>
  <c r="BR207" i="1"/>
  <c r="BT201" i="1"/>
  <c r="X179" i="117"/>
  <c r="BT210" i="1"/>
  <c r="X188" i="117"/>
  <c r="BU192" i="1"/>
  <c r="CL192" i="1" s="1"/>
  <c r="Y170" i="117"/>
  <c r="BR192" i="1"/>
  <c r="BT194" i="1"/>
  <c r="BR196" i="1"/>
  <c r="BT204" i="1"/>
  <c r="X182" i="117"/>
  <c r="BT211" i="1"/>
  <c r="X189" i="117"/>
  <c r="BR215" i="1"/>
  <c r="BT193" i="1"/>
  <c r="X171" i="117"/>
  <c r="BS203" i="1"/>
  <c r="W181" i="117"/>
  <c r="BT112" i="1"/>
  <c r="BT122" i="1"/>
  <c r="BR128" i="1"/>
  <c r="V106" i="117"/>
  <c r="BT141" i="1"/>
  <c r="X119" i="117"/>
  <c r="BT142" i="1"/>
  <c r="X120" i="117"/>
  <c r="X124" i="117"/>
  <c r="BS154" i="1"/>
  <c r="W132" i="117"/>
  <c r="BT113" i="1"/>
  <c r="BR113" i="1"/>
  <c r="BT125" i="1"/>
  <c r="BR125" i="1"/>
  <c r="BU129" i="1"/>
  <c r="BR134" i="1"/>
  <c r="V112" i="117"/>
  <c r="BT137" i="1"/>
  <c r="X115" i="117"/>
  <c r="X133" i="117"/>
  <c r="BT143" i="1"/>
  <c r="X121" i="117"/>
  <c r="BS143" i="1"/>
  <c r="W121" i="117"/>
  <c r="BS147" i="1"/>
  <c r="W125" i="117"/>
  <c r="BU153" i="1"/>
  <c r="Y131" i="117"/>
  <c r="Y134" i="117"/>
  <c r="BS114" i="1"/>
  <c r="BR114" i="1"/>
  <c r="BU120" i="1"/>
  <c r="BS126" i="1"/>
  <c r="W104" i="117"/>
  <c r="BT130" i="1"/>
  <c r="X108" i="117"/>
  <c r="AR108" i="117" s="1"/>
  <c r="BR130" i="1"/>
  <c r="V108" i="117"/>
  <c r="BU135" i="1"/>
  <c r="BU138" i="1"/>
  <c r="Y116" i="117"/>
  <c r="BS138" i="1"/>
  <c r="W116" i="117"/>
  <c r="BT144" i="1"/>
  <c r="X122" i="117"/>
  <c r="BR144" i="1"/>
  <c r="BS148" i="1"/>
  <c r="W126" i="117"/>
  <c r="BT111" i="1"/>
  <c r="BU115" i="1"/>
  <c r="BS115" i="1"/>
  <c r="BR121" i="1"/>
  <c r="BR127" i="1"/>
  <c r="V105" i="117"/>
  <c r="BU132" i="1"/>
  <c r="Y110" i="117"/>
  <c r="BS132" i="1"/>
  <c r="W110" i="117"/>
  <c r="BU136" i="1"/>
  <c r="Y114" i="117"/>
  <c r="BS136" i="1"/>
  <c r="W114" i="117"/>
  <c r="BU140" i="1"/>
  <c r="Y118" i="117"/>
  <c r="BS145" i="1"/>
  <c r="W123" i="117"/>
  <c r="BR149" i="1"/>
  <c r="BS152" i="1"/>
  <c r="W130" i="117"/>
  <c r="BU164" i="1"/>
  <c r="CL164" i="1" s="1"/>
  <c r="Y142" i="117"/>
  <c r="BR170" i="1"/>
  <c r="BT170" i="1"/>
  <c r="X148" i="117"/>
  <c r="BT172" i="1"/>
  <c r="X150" i="117"/>
  <c r="BR172" i="1"/>
  <c r="BR176" i="1"/>
  <c r="BU161" i="1"/>
  <c r="CL161" i="1" s="1"/>
  <c r="Y139" i="117"/>
  <c r="BT161" i="1"/>
  <c r="X139" i="117"/>
  <c r="BT173" i="1"/>
  <c r="X151" i="117"/>
  <c r="BR177" i="1"/>
  <c r="BU177" i="1"/>
  <c r="CL177" i="1" s="1"/>
  <c r="Y155" i="117"/>
  <c r="BU181" i="1"/>
  <c r="CL181" i="1" s="1"/>
  <c r="Y159" i="117"/>
  <c r="BR158" i="1"/>
  <c r="BU158" i="1"/>
  <c r="CL158" i="1" s="1"/>
  <c r="Y136" i="117"/>
  <c r="BT162" i="1"/>
  <c r="X140" i="117"/>
  <c r="BR166" i="1"/>
  <c r="BU171" i="1"/>
  <c r="CL171" i="1" s="1"/>
  <c r="Y149" i="117"/>
  <c r="BT178" i="1"/>
  <c r="X156" i="117"/>
  <c r="BU157" i="1"/>
  <c r="CL157" i="1" s="1"/>
  <c r="Y135" i="117"/>
  <c r="BR159" i="1"/>
  <c r="BR163" i="1"/>
  <c r="BT165" i="1"/>
  <c r="X143" i="117"/>
  <c r="BR167" i="1"/>
  <c r="BU186" i="1"/>
  <c r="CL186" i="1" s="1"/>
  <c r="Y164" i="117"/>
  <c r="BR186" i="1"/>
  <c r="BR187" i="1"/>
  <c r="BU189" i="1"/>
  <c r="CL189" i="1" s="1"/>
  <c r="Y167" i="117"/>
  <c r="BU190" i="1"/>
  <c r="CL190" i="1" s="1"/>
  <c r="Y168" i="117"/>
  <c r="BU202" i="1"/>
  <c r="CL202" i="1" s="1"/>
  <c r="Y180" i="117"/>
  <c r="BR202" i="1"/>
  <c r="BR195" i="1"/>
  <c r="BT197" i="1"/>
  <c r="X175" i="117"/>
  <c r="BR197" i="1"/>
  <c r="W183" i="117"/>
  <c r="BT205" i="1"/>
  <c r="X183" i="117"/>
  <c r="BR212" i="1"/>
  <c r="BS200" i="1"/>
  <c r="W178" i="117"/>
  <c r="BU191" i="1"/>
  <c r="CL191" i="1" s="1"/>
  <c r="Y169" i="117"/>
  <c r="BS191" i="1"/>
  <c r="W169" i="117"/>
  <c r="BU214" i="1"/>
  <c r="CL214" i="1" s="1"/>
  <c r="Y192" i="117"/>
  <c r="BU198" i="1"/>
  <c r="CL198" i="1" s="1"/>
  <c r="Y176" i="117"/>
  <c r="BR198" i="1"/>
  <c r="BR206" i="1"/>
  <c r="BS206" i="1"/>
  <c r="W184" i="117"/>
  <c r="BU213" i="1"/>
  <c r="CL213" i="1" s="1"/>
  <c r="Y191" i="117"/>
  <c r="BU199" i="1"/>
  <c r="CL199" i="1" s="1"/>
  <c r="Y177" i="117"/>
  <c r="BU209" i="1"/>
  <c r="CL209" i="1" s="1"/>
  <c r="Y187" i="117"/>
  <c r="BS210" i="1"/>
  <c r="W188" i="117"/>
  <c r="BT192" i="1"/>
  <c r="X170" i="117"/>
  <c r="BU194" i="1"/>
  <c r="CL194" i="1" s="1"/>
  <c r="BR194" i="1"/>
  <c r="BS196" i="1"/>
  <c r="W174" i="117"/>
  <c r="BU196" i="1"/>
  <c r="CL196" i="1" s="1"/>
  <c r="Y174" i="117"/>
  <c r="BR204" i="1"/>
  <c r="BR211" i="1"/>
  <c r="BU215" i="1"/>
  <c r="CL215" i="1" s="1"/>
  <c r="Y193" i="117"/>
  <c r="BU193" i="1"/>
  <c r="CL193" i="1" s="1"/>
  <c r="Y171" i="117"/>
  <c r="BS193" i="1"/>
  <c r="W171" i="117"/>
  <c r="BU203" i="1"/>
  <c r="CL203" i="1" s="1"/>
  <c r="Y181" i="117"/>
  <c r="BR203" i="1"/>
  <c r="X128" i="117"/>
  <c r="BU112" i="1"/>
  <c r="BU118" i="1"/>
  <c r="BS124" i="1"/>
  <c r="BU128" i="1"/>
  <c r="Y106" i="117"/>
  <c r="BU133" i="1"/>
  <c r="W124" i="117"/>
  <c r="BT126" i="1"/>
  <c r="X104" i="117"/>
  <c r="BU139" i="1"/>
  <c r="Y117" i="117"/>
  <c r="BS144" i="1"/>
  <c r="W122" i="117"/>
  <c r="BR111" i="1"/>
  <c r="BS117" i="1"/>
  <c r="BT127" i="1"/>
  <c r="X105" i="117"/>
  <c r="BU149" i="1"/>
  <c r="Y127" i="117"/>
  <c r="BR164" i="1"/>
  <c r="BS172" i="1"/>
  <c r="W150" i="117"/>
  <c r="BU176" i="1"/>
  <c r="CL176" i="1" s="1"/>
  <c r="Y154" i="117"/>
  <c r="BS161" i="1"/>
  <c r="W139" i="117"/>
  <c r="BS177" i="1"/>
  <c r="W155" i="117"/>
  <c r="X162" i="117"/>
  <c r="BT171" i="1"/>
  <c r="X149" i="117"/>
  <c r="BS179" i="1"/>
  <c r="W157" i="117"/>
  <c r="BU187" i="1"/>
  <c r="CL187" i="1" s="1"/>
  <c r="Y165" i="117"/>
  <c r="BT189" i="1"/>
  <c r="X167" i="117"/>
  <c r="BU197" i="1"/>
  <c r="CL197" i="1" s="1"/>
  <c r="Y175" i="117"/>
  <c r="BS110" i="1"/>
  <c r="BR110" i="1"/>
  <c r="BR112" i="1"/>
  <c r="BR116" i="1"/>
  <c r="BR118" i="1"/>
  <c r="BS122" i="1"/>
  <c r="BR122" i="1"/>
  <c r="BR124" i="1"/>
  <c r="BS128" i="1"/>
  <c r="W106" i="117"/>
  <c r="BS141" i="1"/>
  <c r="W119" i="117"/>
  <c r="BR141" i="1"/>
  <c r="BS150" i="1"/>
  <c r="W128" i="117"/>
  <c r="BT154" i="1"/>
  <c r="X132" i="117"/>
  <c r="BU154" i="1"/>
  <c r="Y132" i="117"/>
  <c r="BS113" i="1"/>
  <c r="BS119" i="1"/>
  <c r="BS125" i="1"/>
  <c r="BT129" i="1"/>
  <c r="BU134" i="1"/>
  <c r="Y112" i="117"/>
  <c r="BS137" i="1"/>
  <c r="W133" i="117"/>
  <c r="W115" i="117"/>
  <c r="BS151" i="1"/>
  <c r="W129" i="117"/>
  <c r="BR153" i="1"/>
  <c r="BU114" i="1"/>
  <c r="BT120" i="1"/>
  <c r="BU126" i="1"/>
  <c r="Y104" i="117"/>
  <c r="BU131" i="1"/>
  <c r="Y109" i="117"/>
  <c r="BT138" i="1"/>
  <c r="X116" i="117"/>
  <c r="BR138" i="1"/>
  <c r="BS111" i="1"/>
  <c r="BT115" i="1"/>
  <c r="BR115" i="1"/>
  <c r="BR117" i="1"/>
  <c r="BS121" i="1"/>
  <c r="BU127" i="1"/>
  <c r="Y105" i="117"/>
  <c r="BT132" i="1"/>
  <c r="X110" i="117"/>
  <c r="BT136" i="1"/>
  <c r="X114" i="117"/>
  <c r="BT140" i="1"/>
  <c r="X118" i="117"/>
  <c r="BS140" i="1"/>
  <c r="W118" i="117"/>
  <c r="BR145" i="1"/>
  <c r="BT149" i="1"/>
  <c r="X127" i="117"/>
  <c r="BR152" i="1"/>
  <c r="BT160" i="1"/>
  <c r="X138" i="117"/>
  <c r="BS160" i="1"/>
  <c r="W138" i="117"/>
  <c r="BS164" i="1"/>
  <c r="W142" i="117"/>
  <c r="BS170" i="1"/>
  <c r="W148" i="117"/>
  <c r="BU180" i="1"/>
  <c r="CL180" i="1" s="1"/>
  <c r="Y158" i="117"/>
  <c r="BT180" i="1"/>
  <c r="X158" i="117"/>
  <c r="BS173" i="1"/>
  <c r="W151" i="117"/>
  <c r="BU173" i="1"/>
  <c r="CL173" i="1" s="1"/>
  <c r="Y151" i="117"/>
  <c r="W162" i="117"/>
  <c r="BT158" i="1"/>
  <c r="X136" i="117"/>
  <c r="BS162" i="1"/>
  <c r="W140" i="117"/>
  <c r="BR171" i="1"/>
  <c r="BS174" i="1"/>
  <c r="W152" i="117"/>
  <c r="BT174" i="1"/>
  <c r="X152" i="117"/>
  <c r="BS178" i="1"/>
  <c r="W156" i="117"/>
  <c r="BU182" i="1"/>
  <c r="CL182" i="1" s="1"/>
  <c r="Y160" i="117"/>
  <c r="BR182" i="1"/>
  <c r="V160" i="117"/>
  <c r="BS157" i="1"/>
  <c r="W135" i="117"/>
  <c r="BU159" i="1"/>
  <c r="CL159" i="1" s="1"/>
  <c r="Y137" i="117"/>
  <c r="BS159" i="1"/>
  <c r="W137" i="117"/>
  <c r="BT163" i="1"/>
  <c r="X141" i="117"/>
  <c r="BU163" i="1"/>
  <c r="CL163" i="1" s="1"/>
  <c r="Y141" i="117"/>
  <c r="BU165" i="1"/>
  <c r="CL165" i="1" s="1"/>
  <c r="Y143" i="117"/>
  <c r="BS167" i="1"/>
  <c r="W145" i="117"/>
  <c r="BU167" i="1"/>
  <c r="CL167" i="1" s="1"/>
  <c r="Y145" i="117"/>
  <c r="BT169" i="1"/>
  <c r="X147" i="117"/>
  <c r="BU169" i="1"/>
  <c r="CL169" i="1" s="1"/>
  <c r="Y147" i="117"/>
  <c r="BR175" i="1"/>
  <c r="BU175" i="1"/>
  <c r="CL175" i="1" s="1"/>
  <c r="Y153" i="117"/>
  <c r="BT179" i="1"/>
  <c r="X157" i="117"/>
  <c r="BR179" i="1"/>
  <c r="BS183" i="1"/>
  <c r="W161" i="117"/>
  <c r="BR183" i="1"/>
  <c r="BT185" i="1"/>
  <c r="X163" i="117"/>
  <c r="BR185" i="1"/>
  <c r="BS187" i="1"/>
  <c r="W165" i="117"/>
  <c r="X166" i="117"/>
  <c r="BR189" i="1"/>
  <c r="BR190" i="1"/>
  <c r="BT202" i="1"/>
  <c r="X180" i="117"/>
  <c r="BT195" i="1"/>
  <c r="X173" i="117"/>
  <c r="BS197" i="1"/>
  <c r="W175" i="117"/>
  <c r="BU212" i="1"/>
  <c r="CL212" i="1" s="1"/>
  <c r="Y190" i="117"/>
  <c r="BU200" i="1"/>
  <c r="CL200" i="1" s="1"/>
  <c r="Y178" i="117"/>
  <c r="BT191" i="1"/>
  <c r="X169" i="117"/>
  <c r="BR191" i="1"/>
  <c r="BS214" i="1"/>
  <c r="W192" i="117"/>
  <c r="BT198" i="1"/>
  <c r="X176" i="117"/>
  <c r="BT206" i="1"/>
  <c r="X184" i="117"/>
  <c r="BT213" i="1"/>
  <c r="X191" i="117"/>
  <c r="BT199" i="1"/>
  <c r="X177" i="117"/>
  <c r="BR199" i="1"/>
  <c r="BT209" i="1"/>
  <c r="X187" i="117"/>
  <c r="BS207" i="1"/>
  <c r="W185" i="117"/>
  <c r="BT207" i="1"/>
  <c r="X185" i="117"/>
  <c r="BU201" i="1"/>
  <c r="CL201" i="1" s="1"/>
  <c r="Y179" i="117"/>
  <c r="BR201" i="1"/>
  <c r="BR210" i="1"/>
  <c r="BS192" i="1"/>
  <c r="W170" i="117"/>
  <c r="BT196" i="1"/>
  <c r="X174" i="117"/>
  <c r="BS204" i="1"/>
  <c r="W182" i="117"/>
  <c r="BU211" i="1"/>
  <c r="CL211" i="1" s="1"/>
  <c r="Y189" i="117"/>
  <c r="BT215" i="1"/>
  <c r="X193" i="117"/>
  <c r="BR193" i="1"/>
  <c r="BT203" i="1"/>
  <c r="X181" i="117"/>
  <c r="BP121" i="1"/>
  <c r="BP161" i="1"/>
  <c r="BN173" i="1"/>
  <c r="BN181" i="1"/>
  <c r="BN184" i="1"/>
  <c r="BP171" i="1"/>
  <c r="BP174" i="1"/>
  <c r="BP178" i="1"/>
  <c r="BN197" i="1"/>
  <c r="BN205" i="1"/>
  <c r="BP200" i="1"/>
  <c r="BN206" i="1"/>
  <c r="BN213" i="1"/>
  <c r="BN113" i="1"/>
  <c r="BN125" i="1"/>
  <c r="BN143" i="1"/>
  <c r="BN147" i="1"/>
  <c r="BN151" i="1"/>
  <c r="BP120" i="1"/>
  <c r="BP130" i="1"/>
  <c r="BP182" i="1"/>
  <c r="BO202" i="1"/>
  <c r="BQ198" i="1"/>
  <c r="CH198" i="1" s="1"/>
  <c r="BP210" i="1"/>
  <c r="BN119" i="1"/>
  <c r="BN129" i="1"/>
  <c r="BN134" i="1"/>
  <c r="BP126" i="1"/>
  <c r="BP131" i="1"/>
  <c r="BP135" i="1"/>
  <c r="BP138" i="1"/>
  <c r="BP139" i="1"/>
  <c r="BP148" i="1"/>
  <c r="BP115" i="1"/>
  <c r="BN160" i="1"/>
  <c r="BN164" i="1"/>
  <c r="BN177" i="1"/>
  <c r="BN195" i="1"/>
  <c r="BN201" i="1"/>
  <c r="BP194" i="1"/>
  <c r="AZ168" i="1"/>
  <c r="AX168" i="1"/>
  <c r="BA168" i="1"/>
  <c r="BO192" i="1"/>
  <c r="BO194" i="1"/>
  <c r="BO196" i="1"/>
  <c r="AJ208" i="1"/>
  <c r="AH208" i="1"/>
  <c r="AI208" i="1"/>
  <c r="AK208" i="1"/>
  <c r="AJ109" i="1"/>
  <c r="AH109" i="1"/>
  <c r="AK109" i="1"/>
  <c r="AI109" i="1"/>
  <c r="AH168" i="1"/>
  <c r="AJ168" i="1"/>
  <c r="AI168" i="1"/>
  <c r="AK168" i="1"/>
  <c r="AX208" i="1"/>
  <c r="AY208" i="1"/>
  <c r="AZ208" i="1"/>
  <c r="BA208" i="1"/>
  <c r="AW213" i="117" l="1"/>
  <c r="BB213" i="117" s="1"/>
  <c r="AW215" i="117"/>
  <c r="BB215" i="117" s="1"/>
  <c r="AW205" i="117"/>
  <c r="BB205" i="117" s="1"/>
  <c r="AW183" i="117"/>
  <c r="AX183" i="117" s="1"/>
  <c r="AW145" i="117"/>
  <c r="AW132" i="117"/>
  <c r="AX132" i="117" s="1"/>
  <c r="AW126" i="117"/>
  <c r="BB126" i="117" s="1"/>
  <c r="AW116" i="117"/>
  <c r="AX116" i="117" s="1"/>
  <c r="AW200" i="117"/>
  <c r="BB200" i="117" s="1"/>
  <c r="AW211" i="117"/>
  <c r="BB211" i="117" s="1"/>
  <c r="AW191" i="117"/>
  <c r="AW179" i="117"/>
  <c r="AX179" i="117" s="1"/>
  <c r="AW171" i="117"/>
  <c r="AW167" i="117"/>
  <c r="BB167" i="117" s="1"/>
  <c r="BC167" i="117" s="1"/>
  <c r="AW184" i="117"/>
  <c r="BB184" i="117" s="1"/>
  <c r="AW152" i="117"/>
  <c r="BB152" i="117" s="1"/>
  <c r="AW134" i="117"/>
  <c r="BB134" i="117" s="1"/>
  <c r="BC134" i="117" s="1"/>
  <c r="AW181" i="117"/>
  <c r="BB181" i="117" s="1"/>
  <c r="AW193" i="117"/>
  <c r="AX193" i="117" s="1"/>
  <c r="AW186" i="117"/>
  <c r="AW144" i="117"/>
  <c r="BB144" i="117" s="1"/>
  <c r="AW118" i="117"/>
  <c r="BB118" i="117" s="1"/>
  <c r="BC118" i="117" s="1"/>
  <c r="AW147" i="117"/>
  <c r="BB147" i="117" s="1"/>
  <c r="AW123" i="117"/>
  <c r="BB123" i="117" s="1"/>
  <c r="AW190" i="117"/>
  <c r="AW136" i="117"/>
  <c r="AX136" i="117" s="1"/>
  <c r="AW125" i="117"/>
  <c r="BB125" i="117" s="1"/>
  <c r="BC125" i="117" s="1"/>
  <c r="AW119" i="117"/>
  <c r="BB119" i="117" s="1"/>
  <c r="AW157" i="117"/>
  <c r="BB157" i="117" s="1"/>
  <c r="AW164" i="117"/>
  <c r="BB164" i="117" s="1"/>
  <c r="AW149" i="117"/>
  <c r="AX149" i="117" s="1"/>
  <c r="AW142" i="117"/>
  <c r="BB142" i="117" s="1"/>
  <c r="AW130" i="117"/>
  <c r="BB130" i="117" s="1"/>
  <c r="AW151" i="117"/>
  <c r="BB151" i="117" s="1"/>
  <c r="AW133" i="117"/>
  <c r="AW197" i="117"/>
  <c r="BB197" i="117" s="1"/>
  <c r="AW196" i="117"/>
  <c r="BB196" i="117" s="1"/>
  <c r="AW176" i="117"/>
  <c r="AX176" i="117" s="1"/>
  <c r="AW204" i="117"/>
  <c r="BB204" i="117" s="1"/>
  <c r="AW208" i="117"/>
  <c r="BB208" i="117" s="1"/>
  <c r="AW219" i="117"/>
  <c r="BB219" i="117" s="1"/>
  <c r="AW210" i="117"/>
  <c r="BB210" i="117" s="1"/>
  <c r="AW199" i="117"/>
  <c r="BB199" i="117" s="1"/>
  <c r="AW187" i="117"/>
  <c r="BB187" i="117" s="1"/>
  <c r="AW182" i="117"/>
  <c r="AX182" i="117" s="1"/>
  <c r="AW175" i="117"/>
  <c r="BB175" i="117" s="1"/>
  <c r="BC175" i="117" s="1"/>
  <c r="AW166" i="117"/>
  <c r="AX166" i="117" s="1"/>
  <c r="AW180" i="117"/>
  <c r="AX180" i="117" s="1"/>
  <c r="AW174" i="117"/>
  <c r="BB174" i="117" s="1"/>
  <c r="BC174" i="117" s="1"/>
  <c r="AW162" i="117"/>
  <c r="BB162" i="117" s="1"/>
  <c r="BC162" i="117" s="1"/>
  <c r="AW146" i="117"/>
  <c r="BB146" i="117" s="1"/>
  <c r="BC146" i="117" s="1"/>
  <c r="AW137" i="117"/>
  <c r="BB137" i="117" s="1"/>
  <c r="AW128" i="117"/>
  <c r="AW122" i="117"/>
  <c r="BB122" i="117" s="1"/>
  <c r="BC122" i="117" s="1"/>
  <c r="AW117" i="117"/>
  <c r="BB117" i="117" s="1"/>
  <c r="AW120" i="117"/>
  <c r="BB120" i="117" s="1"/>
  <c r="AW114" i="117"/>
  <c r="BB114" i="117" s="1"/>
  <c r="AW217" i="117"/>
  <c r="BB217" i="117" s="1"/>
  <c r="AW160" i="117"/>
  <c r="AW195" i="117"/>
  <c r="BB195" i="117" s="1"/>
  <c r="AW216" i="117"/>
  <c r="BB216" i="117" s="1"/>
  <c r="AW206" i="117"/>
  <c r="BB206" i="117" s="1"/>
  <c r="AW189" i="117"/>
  <c r="BB189" i="117" s="1"/>
  <c r="AW178" i="117"/>
  <c r="BB178" i="117" s="1"/>
  <c r="AW170" i="117"/>
  <c r="BB170" i="117" s="1"/>
  <c r="AW168" i="117"/>
  <c r="BB168" i="117" s="1"/>
  <c r="AW203" i="117"/>
  <c r="BB203" i="117" s="1"/>
  <c r="AW202" i="117"/>
  <c r="BB202" i="117" s="1"/>
  <c r="AW201" i="117"/>
  <c r="BB201" i="117" s="1"/>
  <c r="AW207" i="117"/>
  <c r="BB207" i="117" s="1"/>
  <c r="AW218" i="117"/>
  <c r="BB218" i="117" s="1"/>
  <c r="AW194" i="117"/>
  <c r="BB194" i="117" s="1"/>
  <c r="BC194" i="117" s="1"/>
  <c r="AW198" i="117"/>
  <c r="BB198" i="117" s="1"/>
  <c r="AW214" i="117"/>
  <c r="BB214" i="117" s="1"/>
  <c r="AW209" i="117"/>
  <c r="BB209" i="117" s="1"/>
  <c r="AW159" i="117"/>
  <c r="BB159" i="117" s="1"/>
  <c r="AW173" i="117"/>
  <c r="BB173" i="117" s="1"/>
  <c r="AW169" i="117"/>
  <c r="BB169" i="117" s="1"/>
  <c r="BC169" i="117" s="1"/>
  <c r="AW165" i="117"/>
  <c r="BB165" i="117" s="1"/>
  <c r="AW143" i="117"/>
  <c r="BB143" i="117" s="1"/>
  <c r="AW158" i="117"/>
  <c r="AW177" i="117"/>
  <c r="BB177" i="117" s="1"/>
  <c r="AW161" i="117"/>
  <c r="BB161" i="117" s="1"/>
  <c r="AW153" i="117"/>
  <c r="BB153" i="117" s="1"/>
  <c r="AW139" i="117"/>
  <c r="AX139" i="117" s="1"/>
  <c r="AW155" i="117"/>
  <c r="BB155" i="117" s="1"/>
  <c r="AW138" i="117"/>
  <c r="BB138" i="117" s="1"/>
  <c r="AW163" i="117"/>
  <c r="BB163" i="117" s="1"/>
  <c r="AW140" i="117"/>
  <c r="AX140" i="117" s="1"/>
  <c r="AW131" i="117"/>
  <c r="BB131" i="117" s="1"/>
  <c r="AW121" i="117"/>
  <c r="BB121" i="117" s="1"/>
  <c r="BC121" i="117" s="1"/>
  <c r="AW115" i="117"/>
  <c r="BB115" i="117" s="1"/>
  <c r="AW154" i="117"/>
  <c r="BB154" i="117" s="1"/>
  <c r="AW185" i="117"/>
  <c r="BB185" i="117" s="1"/>
  <c r="AW156" i="117"/>
  <c r="BB156" i="117" s="1"/>
  <c r="AW148" i="117"/>
  <c r="BB148" i="117" s="1"/>
  <c r="AW135" i="117"/>
  <c r="AW124" i="117"/>
  <c r="BB124" i="117" s="1"/>
  <c r="BC124" i="117" s="1"/>
  <c r="AW141" i="117"/>
  <c r="BB141" i="117" s="1"/>
  <c r="BC141" i="117" s="1"/>
  <c r="AW129" i="117"/>
  <c r="BB129" i="117" s="1"/>
  <c r="P16" i="116"/>
  <c r="T16" i="116" s="1"/>
  <c r="L16" i="116"/>
  <c r="H16" i="116"/>
  <c r="AK172" i="117"/>
  <c r="AZ172" i="117" s="1"/>
  <c r="AR156" i="117"/>
  <c r="AR167" i="117"/>
  <c r="AR157" i="117"/>
  <c r="AL174" i="117"/>
  <c r="AR148" i="117"/>
  <c r="D16" i="116"/>
  <c r="AL170" i="117"/>
  <c r="V140" i="117"/>
  <c r="AF140" i="117" s="1"/>
  <c r="AR138" i="117"/>
  <c r="AR118" i="117"/>
  <c r="V152" i="117"/>
  <c r="AF152" i="117" s="1"/>
  <c r="V158" i="117"/>
  <c r="AF158" i="117" s="1"/>
  <c r="AR182" i="117"/>
  <c r="AR134" i="117"/>
  <c r="V182" i="117"/>
  <c r="AF182" i="117" s="1"/>
  <c r="AL168" i="117"/>
  <c r="AR162" i="117"/>
  <c r="AR153" i="117"/>
  <c r="AE117" i="117"/>
  <c r="AY117" i="117" s="1"/>
  <c r="AR129" i="117"/>
  <c r="AR144" i="117"/>
  <c r="AL177" i="117"/>
  <c r="AR161" i="117"/>
  <c r="AE201" i="117"/>
  <c r="AY201" i="117" s="1"/>
  <c r="AX157" i="117"/>
  <c r="AL173" i="117"/>
  <c r="BA180" i="117"/>
  <c r="AL184" i="117"/>
  <c r="AE119" i="117"/>
  <c r="AY119" i="117" s="1"/>
  <c r="AE164" i="117"/>
  <c r="AY164" i="117" s="1"/>
  <c r="AR120" i="117"/>
  <c r="AE219" i="117"/>
  <c r="AY219" i="117" s="1"/>
  <c r="V161" i="117"/>
  <c r="AF161" i="117" s="1"/>
  <c r="AR141" i="117"/>
  <c r="AR124" i="117"/>
  <c r="AE214" i="117"/>
  <c r="AY214" i="117" s="1"/>
  <c r="AR169" i="117"/>
  <c r="AL191" i="117"/>
  <c r="V169" i="117"/>
  <c r="Z169" i="117" s="1"/>
  <c r="AL175" i="117"/>
  <c r="AR175" i="117"/>
  <c r="AR151" i="117"/>
  <c r="AR119" i="117"/>
  <c r="V188" i="117"/>
  <c r="Z188" i="117" s="1"/>
  <c r="AR142" i="117"/>
  <c r="AR130" i="117"/>
  <c r="V132" i="117"/>
  <c r="Z132" i="117" s="1"/>
  <c r="AE159" i="117"/>
  <c r="AY159" i="117" s="1"/>
  <c r="V122" i="117"/>
  <c r="Z122" i="117" s="1"/>
  <c r="V156" i="117"/>
  <c r="AF156" i="117" s="1"/>
  <c r="V177" i="117"/>
  <c r="AF177" i="117" s="1"/>
  <c r="AL124" i="117"/>
  <c r="V176" i="117"/>
  <c r="AF176" i="117" s="1"/>
  <c r="V190" i="117"/>
  <c r="AF190" i="117" s="1"/>
  <c r="V128" i="117"/>
  <c r="AF128" i="117" s="1"/>
  <c r="V134" i="117"/>
  <c r="AF134" i="117" s="1"/>
  <c r="V124" i="117"/>
  <c r="Z124" i="117" s="1"/>
  <c r="AE131" i="117"/>
  <c r="AY131" i="117" s="1"/>
  <c r="AR128" i="117"/>
  <c r="AE151" i="117"/>
  <c r="AY151" i="117" s="1"/>
  <c r="V130" i="117"/>
  <c r="AF130" i="117" s="1"/>
  <c r="V116" i="117"/>
  <c r="AF116" i="117" s="1"/>
  <c r="V181" i="117"/>
  <c r="Z181" i="117" s="1"/>
  <c r="AE166" i="117"/>
  <c r="AY166" i="117" s="1"/>
  <c r="V149" i="117"/>
  <c r="AF149" i="117" s="1"/>
  <c r="AL141" i="117"/>
  <c r="V175" i="117"/>
  <c r="Z175" i="117" s="1"/>
  <c r="V193" i="117"/>
  <c r="AF193" i="117" s="1"/>
  <c r="V170" i="117"/>
  <c r="Z170" i="117" s="1"/>
  <c r="V126" i="117"/>
  <c r="Z126" i="117" s="1"/>
  <c r="AE209" i="117"/>
  <c r="AY209" i="117" s="1"/>
  <c r="AE199" i="117"/>
  <c r="AY199" i="117" s="1"/>
  <c r="BC199" i="117" s="1"/>
  <c r="AR168" i="117"/>
  <c r="AR125" i="117"/>
  <c r="AE210" i="117"/>
  <c r="AY210" i="117" s="1"/>
  <c r="AE211" i="117"/>
  <c r="AY211" i="117" s="1"/>
  <c r="AL209" i="117"/>
  <c r="AL190" i="117"/>
  <c r="AE206" i="117"/>
  <c r="AY206" i="117" s="1"/>
  <c r="V189" i="117"/>
  <c r="Z189" i="117" s="1"/>
  <c r="V173" i="117"/>
  <c r="Z173" i="117" s="1"/>
  <c r="V192" i="117"/>
  <c r="Z192" i="117" s="1"/>
  <c r="AE196" i="117"/>
  <c r="AY196" i="117" s="1"/>
  <c r="V167" i="117"/>
  <c r="Z167" i="117" s="1"/>
  <c r="AL125" i="117"/>
  <c r="AE203" i="117"/>
  <c r="AY203" i="117" s="1"/>
  <c r="BC203" i="117" s="1"/>
  <c r="V165" i="117"/>
  <c r="Z165" i="117" s="1"/>
  <c r="AX173" i="117"/>
  <c r="AL121" i="117"/>
  <c r="AE198" i="117"/>
  <c r="AY198" i="117" s="1"/>
  <c r="BC173" i="117"/>
  <c r="V171" i="117"/>
  <c r="AF171" i="117" s="1"/>
  <c r="AR174" i="117"/>
  <c r="V123" i="117"/>
  <c r="Z123" i="117" s="1"/>
  <c r="BA171" i="117"/>
  <c r="V174" i="117"/>
  <c r="Z174" i="117" s="1"/>
  <c r="V138" i="117"/>
  <c r="AF138" i="117" s="1"/>
  <c r="AL214" i="117"/>
  <c r="AE153" i="117"/>
  <c r="AY153" i="117" s="1"/>
  <c r="V155" i="117"/>
  <c r="AF155" i="117" s="1"/>
  <c r="AX170" i="117"/>
  <c r="AE216" i="117"/>
  <c r="AE142" i="117"/>
  <c r="AY142" i="117" s="1"/>
  <c r="V179" i="117"/>
  <c r="AF179" i="117" s="1"/>
  <c r="AR121" i="117"/>
  <c r="V121" i="117"/>
  <c r="Z121" i="117" s="1"/>
  <c r="V162" i="117"/>
  <c r="AF162" i="117" s="1"/>
  <c r="V139" i="117"/>
  <c r="Z139" i="117" s="1"/>
  <c r="Z216" i="117"/>
  <c r="BC157" i="117"/>
  <c r="AR218" i="117"/>
  <c r="AL201" i="117"/>
  <c r="AR206" i="117"/>
  <c r="V157" i="117"/>
  <c r="AF157" i="117" s="1"/>
  <c r="V184" i="117"/>
  <c r="Z184" i="117" s="1"/>
  <c r="V145" i="117"/>
  <c r="AF145" i="117" s="1"/>
  <c r="V141" i="117"/>
  <c r="AF141" i="117" s="1"/>
  <c r="V127" i="117"/>
  <c r="AL160" i="117"/>
  <c r="AR131" i="117"/>
  <c r="AL197" i="117"/>
  <c r="AR208" i="117"/>
  <c r="AR210" i="117"/>
  <c r="AE197" i="117"/>
  <c r="AY197" i="117" s="1"/>
  <c r="AE215" i="117"/>
  <c r="AY215" i="117" s="1"/>
  <c r="AE133" i="117"/>
  <c r="AY133" i="117" s="1"/>
  <c r="AL122" i="117"/>
  <c r="V150" i="117"/>
  <c r="V125" i="117"/>
  <c r="Z125" i="117" s="1"/>
  <c r="AE217" i="117"/>
  <c r="AY217" i="117" s="1"/>
  <c r="BC130" i="117"/>
  <c r="BB190" i="117"/>
  <c r="AR163" i="117"/>
  <c r="V137" i="117"/>
  <c r="Z137" i="117" s="1"/>
  <c r="V120" i="117"/>
  <c r="AE120" i="117"/>
  <c r="AY120" i="117" s="1"/>
  <c r="AE115" i="117"/>
  <c r="AY115" i="117" s="1"/>
  <c r="V115" i="117"/>
  <c r="Z115" i="117" s="1"/>
  <c r="V154" i="117"/>
  <c r="Z154" i="117" s="1"/>
  <c r="AE154" i="117"/>
  <c r="AY154" i="117" s="1"/>
  <c r="BC156" i="117"/>
  <c r="V148" i="117"/>
  <c r="Z148" i="117" s="1"/>
  <c r="AE148" i="117"/>
  <c r="AY148" i="117" s="1"/>
  <c r="BC148" i="117" s="1"/>
  <c r="AE129" i="117"/>
  <c r="AY129" i="117" s="1"/>
  <c r="V129" i="117"/>
  <c r="Z129" i="117" s="1"/>
  <c r="AE183" i="117"/>
  <c r="AF183" i="117" s="1"/>
  <c r="BC152" i="117"/>
  <c r="AE168" i="117"/>
  <c r="AY168" i="117" s="1"/>
  <c r="V168" i="117"/>
  <c r="Z168" i="117" s="1"/>
  <c r="AE163" i="117"/>
  <c r="AY163" i="117" s="1"/>
  <c r="V163" i="117"/>
  <c r="Z163" i="117" s="1"/>
  <c r="AE213" i="117"/>
  <c r="AY213" i="117" s="1"/>
  <c r="BC170" i="117"/>
  <c r="AL156" i="117"/>
  <c r="AL118" i="117"/>
  <c r="AR159" i="117"/>
  <c r="AL199" i="117"/>
  <c r="AL194" i="117"/>
  <c r="AE207" i="117"/>
  <c r="AY207" i="117" s="1"/>
  <c r="AE208" i="117"/>
  <c r="AY208" i="117" s="1"/>
  <c r="AR193" i="117"/>
  <c r="AR170" i="117"/>
  <c r="AE180" i="117"/>
  <c r="AY180" i="117" s="1"/>
  <c r="V136" i="117"/>
  <c r="Z136" i="117" s="1"/>
  <c r="AR122" i="117"/>
  <c r="V185" i="117"/>
  <c r="AF185" i="117" s="1"/>
  <c r="V187" i="117"/>
  <c r="Z187" i="117" s="1"/>
  <c r="V191" i="117"/>
  <c r="Z191" i="117" s="1"/>
  <c r="V178" i="117"/>
  <c r="AF178" i="117" s="1"/>
  <c r="AL167" i="117"/>
  <c r="AR137" i="117"/>
  <c r="V118" i="117"/>
  <c r="Z118" i="117" s="1"/>
  <c r="AX156" i="117"/>
  <c r="AE200" i="117"/>
  <c r="AY200" i="117" s="1"/>
  <c r="AE202" i="117"/>
  <c r="AE114" i="117"/>
  <c r="AY114" i="117" s="1"/>
  <c r="AE147" i="117"/>
  <c r="AY147" i="117" s="1"/>
  <c r="BC147" i="117" s="1"/>
  <c r="H212" i="117"/>
  <c r="V212" i="117" s="1"/>
  <c r="D17" i="116" s="1"/>
  <c r="AY189" i="117"/>
  <c r="AE205" i="117"/>
  <c r="AY205" i="117" s="1"/>
  <c r="BC205" i="117" s="1"/>
  <c r="AL200" i="117"/>
  <c r="AX196" i="117"/>
  <c r="AL213" i="117"/>
  <c r="AL217" i="117"/>
  <c r="AL202" i="117"/>
  <c r="AR195" i="117"/>
  <c r="AX216" i="117"/>
  <c r="AR201" i="117"/>
  <c r="AE144" i="117"/>
  <c r="AY144" i="117" s="1"/>
  <c r="AE135" i="117"/>
  <c r="AF135" i="117" s="1"/>
  <c r="BC161" i="117"/>
  <c r="H172" i="117"/>
  <c r="V172" i="117" s="1"/>
  <c r="AR173" i="117"/>
  <c r="AL162" i="117"/>
  <c r="AL151" i="117"/>
  <c r="AL179" i="117"/>
  <c r="AL153" i="117"/>
  <c r="V143" i="117"/>
  <c r="AF143" i="117" s="1"/>
  <c r="AZ136" i="117"/>
  <c r="AE218" i="117"/>
  <c r="AY218" i="117" s="1"/>
  <c r="BC218" i="117" s="1"/>
  <c r="AE204" i="117"/>
  <c r="AY204" i="117" s="1"/>
  <c r="BC204" i="117" s="1"/>
  <c r="Z194" i="117"/>
  <c r="AF194" i="117"/>
  <c r="AY195" i="117"/>
  <c r="AF195" i="117"/>
  <c r="AR219" i="117"/>
  <c r="Z219" i="117"/>
  <c r="AR198" i="117"/>
  <c r="Z198" i="117"/>
  <c r="AL210" i="117"/>
  <c r="Z210" i="117"/>
  <c r="Z211" i="117"/>
  <c r="AR197" i="117"/>
  <c r="AR215" i="117"/>
  <c r="AL196" i="117"/>
  <c r="AL205" i="117"/>
  <c r="AL216" i="117"/>
  <c r="AX201" i="117"/>
  <c r="AL206" i="117"/>
  <c r="Z197" i="117"/>
  <c r="Z215" i="117"/>
  <c r="AR207" i="117"/>
  <c r="AL208" i="117"/>
  <c r="AL198" i="117"/>
  <c r="Z214" i="117"/>
  <c r="AL211" i="117"/>
  <c r="AX203" i="117"/>
  <c r="X212" i="117"/>
  <c r="L17" i="116" s="1"/>
  <c r="AQ212" i="117"/>
  <c r="BA212" i="117" s="1"/>
  <c r="AR205" i="117"/>
  <c r="AR199" i="117"/>
  <c r="Z201" i="117"/>
  <c r="Z202" i="117"/>
  <c r="AX200" i="117"/>
  <c r="AR203" i="117"/>
  <c r="AR202" i="117"/>
  <c r="AR209" i="117"/>
  <c r="AR200" i="117"/>
  <c r="AR196" i="117"/>
  <c r="AL195" i="117"/>
  <c r="AR216" i="117"/>
  <c r="AR194" i="117"/>
  <c r="W212" i="117"/>
  <c r="H17" i="116" s="1"/>
  <c r="AK212" i="117"/>
  <c r="AZ212" i="117" s="1"/>
  <c r="Y172" i="117"/>
  <c r="AU172" i="117"/>
  <c r="X172" i="117"/>
  <c r="AQ172" i="117"/>
  <c r="BA172" i="117" s="1"/>
  <c r="Z205" i="117"/>
  <c r="Z217" i="117"/>
  <c r="Z218" i="117"/>
  <c r="Z199" i="117"/>
  <c r="Z207" i="117"/>
  <c r="Z213" i="117"/>
  <c r="Z206" i="117"/>
  <c r="Z196" i="117"/>
  <c r="AL207" i="117"/>
  <c r="AL219" i="117"/>
  <c r="AR213" i="117"/>
  <c r="AX198" i="117"/>
  <c r="AR211" i="117"/>
  <c r="AL203" i="117"/>
  <c r="AL218" i="117"/>
  <c r="AL204" i="117"/>
  <c r="AX209" i="117"/>
  <c r="AX199" i="117"/>
  <c r="Y212" i="117"/>
  <c r="P17" i="116" s="1"/>
  <c r="T17" i="116" s="1"/>
  <c r="AU212" i="117"/>
  <c r="Z195" i="117"/>
  <c r="Z208" i="117"/>
  <c r="Z200" i="117"/>
  <c r="Z203" i="117"/>
  <c r="Z204" i="117"/>
  <c r="AL215" i="117"/>
  <c r="AR214" i="117"/>
  <c r="AR217" i="117"/>
  <c r="AR204" i="117"/>
  <c r="AL130" i="117"/>
  <c r="AL114" i="117"/>
  <c r="AL116" i="117"/>
  <c r="AL147" i="117"/>
  <c r="AL143" i="117"/>
  <c r="AL134" i="117"/>
  <c r="AL154" i="117"/>
  <c r="AL152" i="117"/>
  <c r="AL142" i="117"/>
  <c r="AL129" i="117"/>
  <c r="AZ135" i="117"/>
  <c r="AL131" i="117"/>
  <c r="Z209" i="117"/>
  <c r="AY110" i="117"/>
  <c r="AY132" i="117"/>
  <c r="AZ116" i="117"/>
  <c r="AZ177" i="117"/>
  <c r="BA182" i="117"/>
  <c r="AZ160" i="117"/>
  <c r="BA159" i="117"/>
  <c r="BA128" i="117"/>
  <c r="BQ208" i="1"/>
  <c r="CH208" i="1" s="1"/>
  <c r="BA138" i="117"/>
  <c r="BA137" i="117"/>
  <c r="BA144" i="117"/>
  <c r="BP208" i="1"/>
  <c r="AY145" i="117"/>
  <c r="AY178" i="117"/>
  <c r="AZ143" i="117"/>
  <c r="AY137" i="117"/>
  <c r="AZ110" i="117"/>
  <c r="AL110" i="117"/>
  <c r="AZ105" i="117"/>
  <c r="AL105" i="117"/>
  <c r="BA164" i="117"/>
  <c r="AR164" i="117"/>
  <c r="AX126" i="117"/>
  <c r="AR171" i="117"/>
  <c r="AY158" i="117"/>
  <c r="AR145" i="117"/>
  <c r="BA145" i="117"/>
  <c r="AL158" i="117"/>
  <c r="AZ158" i="117"/>
  <c r="AX138" i="117"/>
  <c r="BA181" i="117"/>
  <c r="AR181" i="117"/>
  <c r="AY139" i="117"/>
  <c r="AR112" i="117"/>
  <c r="BA112" i="117"/>
  <c r="AZ191" i="117"/>
  <c r="AZ159" i="117"/>
  <c r="AL159" i="117"/>
  <c r="BA193" i="117"/>
  <c r="AY140" i="117"/>
  <c r="AZ190" i="117"/>
  <c r="AY177" i="117"/>
  <c r="AR176" i="117"/>
  <c r="BA176" i="117"/>
  <c r="BA158" i="117"/>
  <c r="AR158" i="117"/>
  <c r="AZ155" i="117"/>
  <c r="AL155" i="117"/>
  <c r="AZ184" i="117"/>
  <c r="AZ126" i="117"/>
  <c r="AL126" i="117"/>
  <c r="AY128" i="117"/>
  <c r="AR106" i="117"/>
  <c r="BA106" i="117"/>
  <c r="AY143" i="117"/>
  <c r="BA155" i="117"/>
  <c r="AR155" i="117"/>
  <c r="AR136" i="117"/>
  <c r="BA136" i="117"/>
  <c r="AR180" i="117"/>
  <c r="BA187" i="117"/>
  <c r="AR187" i="117"/>
  <c r="BA185" i="117"/>
  <c r="AR185" i="117"/>
  <c r="BA177" i="117"/>
  <c r="AR177" i="117"/>
  <c r="BA166" i="117"/>
  <c r="AR166" i="117"/>
  <c r="BB105" i="117"/>
  <c r="AX105" i="117"/>
  <c r="AY136" i="117"/>
  <c r="BB139" i="117"/>
  <c r="AY106" i="117"/>
  <c r="AF106" i="117"/>
  <c r="BA189" i="117"/>
  <c r="AR189" i="117"/>
  <c r="AY185" i="117"/>
  <c r="AY126" i="117"/>
  <c r="BA132" i="117"/>
  <c r="AR132" i="117"/>
  <c r="AZ178" i="117"/>
  <c r="AL178" i="117"/>
  <c r="AL135" i="117"/>
  <c r="AZ139" i="117"/>
  <c r="AL139" i="117"/>
  <c r="AX184" i="117"/>
  <c r="AZ179" i="117"/>
  <c r="AL136" i="117"/>
  <c r="AX190" i="117"/>
  <c r="AL112" i="117"/>
  <c r="AL120" i="117"/>
  <c r="AZ189" i="117"/>
  <c r="AL189" i="117"/>
  <c r="AY187" i="117"/>
  <c r="AY191" i="117"/>
  <c r="AZ176" i="117"/>
  <c r="AL176" i="117"/>
  <c r="AL180" i="117"/>
  <c r="AZ180" i="117"/>
  <c r="BA135" i="117"/>
  <c r="AR135" i="117"/>
  <c r="Z135" i="117"/>
  <c r="Z151" i="117"/>
  <c r="AY138" i="117"/>
  <c r="BA126" i="117"/>
  <c r="AR126" i="117"/>
  <c r="AY171" i="117"/>
  <c r="AX189" i="117"/>
  <c r="AZ185" i="117"/>
  <c r="AL185" i="117"/>
  <c r="BA191" i="117"/>
  <c r="AR191" i="117"/>
  <c r="AL161" i="117"/>
  <c r="AR147" i="117"/>
  <c r="Z147" i="117"/>
  <c r="AL145" i="117"/>
  <c r="AZ145" i="117"/>
  <c r="AX141" i="117"/>
  <c r="AL137" i="117"/>
  <c r="AZ137" i="117"/>
  <c r="AX160" i="117"/>
  <c r="BB160" i="117"/>
  <c r="AR152" i="117"/>
  <c r="AL148" i="117"/>
  <c r="AZ138" i="117"/>
  <c r="AL138" i="117"/>
  <c r="AY123" i="117"/>
  <c r="AR110" i="117"/>
  <c r="Z110" i="117"/>
  <c r="BA110" i="117"/>
  <c r="BA116" i="117"/>
  <c r="AR116" i="117"/>
  <c r="AL119" i="117"/>
  <c r="Z119" i="117"/>
  <c r="Z142" i="117"/>
  <c r="BA105" i="117"/>
  <c r="AR105" i="117"/>
  <c r="BB106" i="117"/>
  <c r="AX106" i="117"/>
  <c r="AY181" i="117"/>
  <c r="AL171" i="117"/>
  <c r="AZ171" i="117"/>
  <c r="BB193" i="117"/>
  <c r="AY182" i="117"/>
  <c r="AX177" i="117"/>
  <c r="AY176" i="117"/>
  <c r="AY190" i="117"/>
  <c r="AL183" i="117"/>
  <c r="AZ183" i="117"/>
  <c r="Z180" i="117"/>
  <c r="BB135" i="117"/>
  <c r="AX135" i="117"/>
  <c r="BA140" i="117"/>
  <c r="AR140" i="117"/>
  <c r="AX110" i="117"/>
  <c r="BB110" i="117"/>
  <c r="AY112" i="117"/>
  <c r="AF112" i="117"/>
  <c r="Z112" i="117"/>
  <c r="AZ132" i="117"/>
  <c r="AL132" i="117"/>
  <c r="AL164" i="117"/>
  <c r="Z164" i="117"/>
  <c r="AZ164" i="117"/>
  <c r="BB140" i="117"/>
  <c r="AR154" i="117"/>
  <c r="AL193" i="117"/>
  <c r="AZ193" i="117"/>
  <c r="BB182" i="117"/>
  <c r="AR178" i="117"/>
  <c r="BA178" i="117"/>
  <c r="Z183" i="117"/>
  <c r="AL163" i="117"/>
  <c r="BA160" i="117"/>
  <c r="AR160" i="117"/>
  <c r="Z159" i="117"/>
  <c r="BB128" i="117"/>
  <c r="AX128" i="117"/>
  <c r="AL182" i="117"/>
  <c r="AZ182" i="117"/>
  <c r="AY179" i="117"/>
  <c r="BA184" i="117"/>
  <c r="AR184" i="117"/>
  <c r="Z153" i="117"/>
  <c r="AX145" i="117"/>
  <c r="BB145" i="117"/>
  <c r="AX143" i="117"/>
  <c r="AY160" i="117"/>
  <c r="AF160" i="117"/>
  <c r="Z160" i="117"/>
  <c r="AZ140" i="117"/>
  <c r="AL140" i="117"/>
  <c r="BB158" i="117"/>
  <c r="AX158" i="117"/>
  <c r="AR114" i="117"/>
  <c r="Z114" i="117"/>
  <c r="AY116" i="117"/>
  <c r="BB112" i="117"/>
  <c r="AX112" i="117"/>
  <c r="AZ128" i="117"/>
  <c r="AL128" i="117"/>
  <c r="AZ106" i="117"/>
  <c r="AL106" i="117"/>
  <c r="Z106" i="117"/>
  <c r="AL157" i="117"/>
  <c r="BB171" i="117"/>
  <c r="AX171" i="117"/>
  <c r="AX187" i="117"/>
  <c r="BB191" i="117"/>
  <c r="AX191" i="117"/>
  <c r="AY184" i="117"/>
  <c r="BB176" i="117"/>
  <c r="AL169" i="117"/>
  <c r="BA183" i="117"/>
  <c r="AR183" i="117"/>
  <c r="BA143" i="117"/>
  <c r="AR143" i="117"/>
  <c r="AY155" i="117"/>
  <c r="AR139" i="117"/>
  <c r="BA139" i="117"/>
  <c r="AL123" i="117"/>
  <c r="AZ123" i="117"/>
  <c r="AF105" i="117"/>
  <c r="Z105" i="117"/>
  <c r="AY105" i="117"/>
  <c r="AL181" i="117"/>
  <c r="AZ181" i="117"/>
  <c r="AY193" i="117"/>
  <c r="BA179" i="117"/>
  <c r="AR179" i="117"/>
  <c r="AZ187" i="117"/>
  <c r="AL187" i="117"/>
  <c r="BA190" i="117"/>
  <c r="AR190" i="117"/>
  <c r="AZ144" i="117"/>
  <c r="AL144" i="117"/>
  <c r="Z144" i="117"/>
  <c r="BA123" i="117"/>
  <c r="AR123" i="117"/>
  <c r="Z166" i="117"/>
  <c r="AZ166" i="117"/>
  <c r="AL166" i="117"/>
  <c r="AX144" i="117"/>
  <c r="BR208" i="1"/>
  <c r="V186" i="117"/>
  <c r="BU208" i="1"/>
  <c r="CL208" i="1" s="1"/>
  <c r="Y186" i="117"/>
  <c r="BT208" i="1"/>
  <c r="X186" i="117"/>
  <c r="BU168" i="1"/>
  <c r="CL168" i="1" s="1"/>
  <c r="Y146" i="117"/>
  <c r="P18" i="116" s="1"/>
  <c r="BT168" i="1"/>
  <c r="X146" i="117"/>
  <c r="AR146" i="117" s="1"/>
  <c r="BS208" i="1"/>
  <c r="W186" i="117"/>
  <c r="BR168" i="1"/>
  <c r="V146" i="117"/>
  <c r="BO208" i="1"/>
  <c r="AZ149" i="117"/>
  <c r="AL149" i="117"/>
  <c r="Z108" i="117"/>
  <c r="AF108" i="117"/>
  <c r="BA117" i="117"/>
  <c r="AR117" i="117"/>
  <c r="W146" i="117"/>
  <c r="AL146" i="117" s="1"/>
  <c r="BN208" i="1"/>
  <c r="BA133" i="117"/>
  <c r="AR133" i="117"/>
  <c r="BA104" i="117"/>
  <c r="AR104" i="117"/>
  <c r="Z131" i="117"/>
  <c r="AZ133" i="117"/>
  <c r="AL133" i="117"/>
  <c r="AY165" i="117"/>
  <c r="AZ117" i="117"/>
  <c r="AL117" i="117"/>
  <c r="AZ109" i="117"/>
  <c r="AL109" i="117"/>
  <c r="AX165" i="117"/>
  <c r="BA115" i="117"/>
  <c r="AR115" i="117"/>
  <c r="AX117" i="117"/>
  <c r="BB109" i="117"/>
  <c r="AX109" i="117"/>
  <c r="BB104" i="117"/>
  <c r="AX104" i="117"/>
  <c r="AZ165" i="117"/>
  <c r="AL165" i="117"/>
  <c r="AZ115" i="117"/>
  <c r="AL115" i="117"/>
  <c r="Z109" i="117"/>
  <c r="AY109" i="117"/>
  <c r="AF109" i="117"/>
  <c r="Z104" i="117"/>
  <c r="AY104" i="117"/>
  <c r="AF104" i="117"/>
  <c r="BA165" i="117"/>
  <c r="AR165" i="117"/>
  <c r="BB133" i="117"/>
  <c r="AX133" i="117"/>
  <c r="BA149" i="117"/>
  <c r="AR149" i="117"/>
  <c r="AZ104" i="117"/>
  <c r="AL104" i="117"/>
  <c r="BA109" i="117"/>
  <c r="AR109" i="117"/>
  <c r="Z133" i="117"/>
  <c r="BB149" i="117"/>
  <c r="AY149" i="117"/>
  <c r="Z117" i="117"/>
  <c r="AX115" i="117"/>
  <c r="BP168" i="1"/>
  <c r="BN168" i="1"/>
  <c r="BQ168" i="1"/>
  <c r="CH168" i="1" s="1"/>
  <c r="BO168" i="1"/>
  <c r="F158" i="17"/>
  <c r="T18" i="116" l="1"/>
  <c r="D18" i="116"/>
  <c r="H18" i="116"/>
  <c r="J18" i="116" s="1"/>
  <c r="L18" i="116"/>
  <c r="AX146" i="117"/>
  <c r="BB166" i="117"/>
  <c r="BC166" i="117" s="1"/>
  <c r="AX219" i="117"/>
  <c r="AX213" i="117"/>
  <c r="AX205" i="117"/>
  <c r="AX121" i="117"/>
  <c r="BC114" i="117"/>
  <c r="AX134" i="117"/>
  <c r="BC213" i="117"/>
  <c r="AX218" i="117"/>
  <c r="BC209" i="117"/>
  <c r="BC200" i="117"/>
  <c r="AX130" i="117"/>
  <c r="AX204" i="117"/>
  <c r="AX161" i="117"/>
  <c r="AX147" i="117"/>
  <c r="AX174" i="117"/>
  <c r="BC195" i="117"/>
  <c r="AX148" i="117"/>
  <c r="BC207" i="117"/>
  <c r="AX197" i="117"/>
  <c r="BC206" i="117"/>
  <c r="BC210" i="117"/>
  <c r="AX169" i="117"/>
  <c r="AX154" i="117"/>
  <c r="BC154" i="117"/>
  <c r="BC120" i="117"/>
  <c r="BC197" i="117"/>
  <c r="BC198" i="117"/>
  <c r="BC196" i="117"/>
  <c r="AX114" i="117"/>
  <c r="AX125" i="117"/>
  <c r="BC219" i="117"/>
  <c r="BC201" i="117"/>
  <c r="AX159" i="117"/>
  <c r="BB179" i="117"/>
  <c r="BC179" i="117" s="1"/>
  <c r="BC215" i="117"/>
  <c r="AX178" i="117"/>
  <c r="AX152" i="117"/>
  <c r="AX175" i="117"/>
  <c r="BC163" i="117"/>
  <c r="BC217" i="117"/>
  <c r="AX208" i="117"/>
  <c r="AX119" i="117"/>
  <c r="AX118" i="117"/>
  <c r="AX124" i="117"/>
  <c r="BC151" i="117"/>
  <c r="AX142" i="117"/>
  <c r="BB132" i="117"/>
  <c r="BC132" i="117" s="1"/>
  <c r="AX167" i="117"/>
  <c r="AX181" i="117"/>
  <c r="AX137" i="117"/>
  <c r="BB180" i="117"/>
  <c r="BC180" i="117" s="1"/>
  <c r="AX211" i="117"/>
  <c r="AX214" i="117"/>
  <c r="AX151" i="117"/>
  <c r="AX185" i="117"/>
  <c r="BC142" i="117"/>
  <c r="AX207" i="117"/>
  <c r="AX168" i="117"/>
  <c r="AX210" i="117"/>
  <c r="AX120" i="117"/>
  <c r="AX194" i="117"/>
  <c r="BC153" i="117"/>
  <c r="BC119" i="117"/>
  <c r="BB136" i="117"/>
  <c r="BC136" i="117" s="1"/>
  <c r="AX164" i="117"/>
  <c r="AX153" i="117"/>
  <c r="AX155" i="117"/>
  <c r="AX123" i="117"/>
  <c r="AX202" i="117"/>
  <c r="AX129" i="117"/>
  <c r="BB183" i="117"/>
  <c r="BB116" i="117"/>
  <c r="BC116" i="117" s="1"/>
  <c r="AX215" i="117"/>
  <c r="AX217" i="117"/>
  <c r="AX206" i="117"/>
  <c r="AX162" i="117"/>
  <c r="BC208" i="117"/>
  <c r="BC168" i="117"/>
  <c r="BC129" i="117"/>
  <c r="AX163" i="117"/>
  <c r="AX122" i="117"/>
  <c r="AX195" i="117"/>
  <c r="BC211" i="117"/>
  <c r="BC131" i="117"/>
  <c r="BC214" i="117"/>
  <c r="AX131" i="117"/>
  <c r="AW172" i="117"/>
  <c r="BB172" i="117" s="1"/>
  <c r="AW212" i="117"/>
  <c r="BB212" i="117" s="1"/>
  <c r="AL172" i="117"/>
  <c r="Z158" i="117"/>
  <c r="Z193" i="117"/>
  <c r="AF117" i="117"/>
  <c r="AF201" i="117"/>
  <c r="Z140" i="117"/>
  <c r="Z176" i="117"/>
  <c r="Z182" i="117"/>
  <c r="AF119" i="117"/>
  <c r="Z190" i="117"/>
  <c r="AF164" i="117"/>
  <c r="AF170" i="117"/>
  <c r="Z152" i="117"/>
  <c r="Z171" i="117"/>
  <c r="Z149" i="117"/>
  <c r="AF169" i="117"/>
  <c r="AF132" i="117"/>
  <c r="Z116" i="117"/>
  <c r="AF175" i="117"/>
  <c r="Z156" i="117"/>
  <c r="AF151" i="117"/>
  <c r="AF219" i="117"/>
  <c r="AF131" i="117"/>
  <c r="AF173" i="117"/>
  <c r="AF126" i="117"/>
  <c r="Z157" i="117"/>
  <c r="Z161" i="117"/>
  <c r="AF124" i="117"/>
  <c r="AF166" i="117"/>
  <c r="AF181" i="117"/>
  <c r="AF214" i="117"/>
  <c r="AF122" i="117"/>
  <c r="Z128" i="117"/>
  <c r="Z177" i="117"/>
  <c r="AF187" i="117"/>
  <c r="AF206" i="117"/>
  <c r="AF167" i="117"/>
  <c r="AF159" i="117"/>
  <c r="Z130" i="117"/>
  <c r="AF153" i="117"/>
  <c r="AF174" i="117"/>
  <c r="Z134" i="117"/>
  <c r="AF209" i="117"/>
  <c r="AF199" i="117"/>
  <c r="AF210" i="117"/>
  <c r="AF211" i="117"/>
  <c r="AF165" i="117"/>
  <c r="AF123" i="117"/>
  <c r="AF125" i="117"/>
  <c r="Z155" i="117"/>
  <c r="Z145" i="117"/>
  <c r="AF115" i="117"/>
  <c r="AY183" i="117"/>
  <c r="BC183" i="117" s="1"/>
  <c r="AF142" i="117"/>
  <c r="AF196" i="117"/>
  <c r="AF136" i="117"/>
  <c r="AF198" i="117"/>
  <c r="Z162" i="117"/>
  <c r="AE212" i="117"/>
  <c r="AY212" i="117" s="1"/>
  <c r="BC212" i="117" s="1"/>
  <c r="AF203" i="117"/>
  <c r="AF133" i="117"/>
  <c r="AF168" i="117"/>
  <c r="AF129" i="117"/>
  <c r="AF191" i="117"/>
  <c r="AF121" i="117"/>
  <c r="Z138" i="117"/>
  <c r="AF189" i="117"/>
  <c r="AF184" i="117"/>
  <c r="AF144" i="117"/>
  <c r="AE172" i="117"/>
  <c r="AF217" i="117"/>
  <c r="AF218" i="117"/>
  <c r="AF137" i="117"/>
  <c r="AF205" i="117"/>
  <c r="AF213" i="117"/>
  <c r="Z179" i="117"/>
  <c r="Z185" i="117"/>
  <c r="Z127" i="117"/>
  <c r="AF215" i="117"/>
  <c r="AY216" i="117"/>
  <c r="BC216" i="117" s="1"/>
  <c r="AF216" i="117"/>
  <c r="AF139" i="117"/>
  <c r="Z178" i="117"/>
  <c r="Z212" i="117"/>
  <c r="AF120" i="117"/>
  <c r="Z141" i="117"/>
  <c r="AF163" i="117"/>
  <c r="Z150" i="117"/>
  <c r="AY135" i="117"/>
  <c r="BC135" i="117" s="1"/>
  <c r="AF197" i="117"/>
  <c r="AF118" i="117"/>
  <c r="Z120" i="117"/>
  <c r="AF208" i="117"/>
  <c r="AF154" i="117"/>
  <c r="AF207" i="117"/>
  <c r="AF148" i="117"/>
  <c r="AF204" i="117"/>
  <c r="AF200" i="117"/>
  <c r="AF147" i="117"/>
  <c r="AF180" i="117"/>
  <c r="AY202" i="117"/>
  <c r="BC202" i="117" s="1"/>
  <c r="AF202" i="117"/>
  <c r="AF114" i="117"/>
  <c r="Z143" i="117"/>
  <c r="AX172" i="117"/>
  <c r="AR172" i="117"/>
  <c r="Z172" i="117"/>
  <c r="AR212" i="117"/>
  <c r="A16" i="116"/>
  <c r="Y16" i="116"/>
  <c r="AX212" i="117"/>
  <c r="AL212" i="117"/>
  <c r="S16" i="116"/>
  <c r="N16" i="116"/>
  <c r="J16" i="116"/>
  <c r="BC105" i="117"/>
  <c r="BC159" i="117"/>
  <c r="BC110" i="117"/>
  <c r="BC126" i="117"/>
  <c r="BC112" i="117"/>
  <c r="BC158" i="117"/>
  <c r="BC137" i="117"/>
  <c r="BC123" i="117"/>
  <c r="BC181" i="117"/>
  <c r="BC143" i="117"/>
  <c r="BC106" i="117"/>
  <c r="BC177" i="117"/>
  <c r="BC164" i="117"/>
  <c r="BC145" i="117"/>
  <c r="BC176" i="117"/>
  <c r="BC190" i="117"/>
  <c r="BC191" i="117"/>
  <c r="BC133" i="117"/>
  <c r="BC187" i="117"/>
  <c r="BC185" i="117"/>
  <c r="BC128" i="117"/>
  <c r="BC193" i="117"/>
  <c r="BC140" i="117"/>
  <c r="BC138" i="117"/>
  <c r="BC189" i="117"/>
  <c r="BC144" i="117"/>
  <c r="BC139" i="117"/>
  <c r="BC155" i="117"/>
  <c r="BC184" i="117"/>
  <c r="BC182" i="117"/>
  <c r="BC178" i="117"/>
  <c r="BC160" i="117"/>
  <c r="BC171" i="117"/>
  <c r="BC117" i="117"/>
  <c r="AZ186" i="117"/>
  <c r="AL186" i="117"/>
  <c r="BB186" i="117"/>
  <c r="S17" i="116" s="1"/>
  <c r="V17" i="116" s="1"/>
  <c r="AX186" i="117"/>
  <c r="Z146" i="117"/>
  <c r="AF146" i="117"/>
  <c r="BC109" i="117"/>
  <c r="BC115" i="117"/>
  <c r="BC104" i="117"/>
  <c r="Z186" i="117"/>
  <c r="AY186" i="117"/>
  <c r="AF186" i="117"/>
  <c r="BA186" i="117"/>
  <c r="AR186" i="117"/>
  <c r="BC149" i="117"/>
  <c r="BC165" i="117"/>
  <c r="A18" i="116" l="1"/>
  <c r="F18" i="116"/>
  <c r="Y18" i="116"/>
  <c r="N18" i="116"/>
  <c r="W16" i="116"/>
  <c r="V16" i="116"/>
  <c r="N17" i="116"/>
  <c r="AF212" i="117"/>
  <c r="AY172" i="117"/>
  <c r="BC172" i="117" s="1"/>
  <c r="AF172" i="117"/>
  <c r="J17" i="116"/>
  <c r="W17" i="116"/>
  <c r="A17" i="116"/>
  <c r="Y17" i="116"/>
  <c r="F16" i="116"/>
  <c r="Z16" i="116"/>
  <c r="AA16" i="116" s="1"/>
  <c r="BC186" i="117"/>
  <c r="C104" i="17"/>
  <c r="C115" i="17" s="1"/>
  <c r="F17" i="116" l="1"/>
  <c r="Z17" i="116"/>
  <c r="AA17" i="116" s="1"/>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7" i="24"/>
  <c r="J76" i="24"/>
  <c r="E76" i="24"/>
  <c r="J75" i="24"/>
  <c r="E75" i="24"/>
  <c r="J74" i="24"/>
  <c r="E74" i="24"/>
  <c r="E73" i="24"/>
  <c r="J72" i="24"/>
  <c r="E72" i="24"/>
  <c r="J71" i="24"/>
  <c r="E71" i="24"/>
  <c r="J70" i="24"/>
  <c r="E70" i="24"/>
  <c r="J69" i="24"/>
  <c r="E69" i="24"/>
  <c r="E68" i="24"/>
  <c r="E67" i="24"/>
  <c r="E63" i="24"/>
  <c r="J62" i="24"/>
  <c r="E62" i="24"/>
  <c r="J61" i="24"/>
  <c r="E61" i="24"/>
  <c r="J60" i="24"/>
  <c r="E60" i="24"/>
  <c r="J59" i="24"/>
  <c r="E59" i="24"/>
  <c r="J58" i="24"/>
  <c r="E58" i="24"/>
  <c r="F57" i="24"/>
  <c r="E57" i="24" s="1"/>
  <c r="E56" i="24"/>
  <c r="E54" i="24"/>
  <c r="E53" i="24"/>
  <c r="E51" i="24"/>
  <c r="E50" i="24"/>
  <c r="E49" i="24"/>
  <c r="E48" i="24"/>
  <c r="E47" i="24"/>
  <c r="J46" i="24"/>
  <c r="E46" i="24"/>
  <c r="J45" i="24"/>
  <c r="E45" i="24"/>
  <c r="J44" i="24"/>
  <c r="E44" i="24"/>
  <c r="J43" i="24"/>
  <c r="E43" i="24"/>
  <c r="J42" i="24"/>
  <c r="E42" i="24"/>
  <c r="E41" i="24"/>
  <c r="J40" i="24"/>
  <c r="E40" i="24"/>
  <c r="J39" i="24"/>
  <c r="E39" i="24"/>
  <c r="E33" i="24"/>
  <c r="E31" i="24"/>
  <c r="E30" i="24"/>
  <c r="J29" i="24"/>
  <c r="E29" i="24"/>
  <c r="J28" i="24"/>
  <c r="E28" i="24"/>
  <c r="J27" i="24"/>
  <c r="E27" i="24"/>
  <c r="E26" i="24"/>
  <c r="E25" i="24"/>
  <c r="E24" i="24"/>
  <c r="J23" i="24"/>
  <c r="E23" i="24"/>
  <c r="J22" i="24"/>
  <c r="E22" i="24"/>
  <c r="J21" i="24"/>
  <c r="E21" i="24"/>
  <c r="J20" i="24"/>
  <c r="E20" i="24"/>
  <c r="E17" i="24"/>
  <c r="F16" i="24"/>
  <c r="E16" i="24" s="1"/>
  <c r="J15" i="24"/>
  <c r="E15" i="24"/>
  <c r="E14" i="24"/>
  <c r="J13" i="24"/>
  <c r="J12" i="24"/>
  <c r="E12" i="24"/>
  <c r="E11" i="24"/>
  <c r="J10" i="24"/>
  <c r="E10" i="24"/>
  <c r="E9" i="24"/>
  <c r="J8" i="24"/>
  <c r="E8" i="24"/>
  <c r="J7" i="24"/>
  <c r="E7" i="24"/>
  <c r="AC6" i="1" l="1"/>
  <c r="AA6" i="1"/>
  <c r="AC5" i="1"/>
  <c r="AA5" i="1"/>
  <c r="AB6" i="1"/>
  <c r="AB5" i="1"/>
  <c r="Z6" i="1"/>
  <c r="X6" i="1"/>
  <c r="Z5" i="1"/>
  <c r="X5" i="1"/>
  <c r="Y6" i="1"/>
  <c r="Y5" i="1"/>
  <c r="AA13" i="1"/>
  <c r="AB14" i="1"/>
  <c r="AC11" i="1"/>
  <c r="AB10" i="1"/>
  <c r="AB13" i="1"/>
  <c r="AC14" i="1"/>
  <c r="AA12" i="1"/>
  <c r="AC10" i="1"/>
  <c r="AC13" i="1"/>
  <c r="AA11" i="1"/>
  <c r="AB12" i="1"/>
  <c r="AA14" i="1"/>
  <c r="AB11" i="1"/>
  <c r="AC12" i="1"/>
  <c r="AA10" i="1"/>
  <c r="Z7" i="1"/>
  <c r="Z8" i="1"/>
  <c r="Z9" i="1"/>
  <c r="X10" i="1"/>
  <c r="X11" i="1"/>
  <c r="Y12" i="1"/>
  <c r="Z13" i="1"/>
  <c r="Y10" i="1"/>
  <c r="Y11" i="1"/>
  <c r="Z12" i="1"/>
  <c r="X14" i="1"/>
  <c r="X7" i="1"/>
  <c r="X8" i="1"/>
  <c r="X9" i="1"/>
  <c r="Z10" i="1"/>
  <c r="Z11" i="1"/>
  <c r="X13" i="1"/>
  <c r="Y14" i="1"/>
  <c r="Y7" i="1"/>
  <c r="Y8" i="1"/>
  <c r="Y9" i="1"/>
  <c r="X12" i="1"/>
  <c r="Y13" i="1"/>
  <c r="Z14" i="1"/>
  <c r="AC8" i="1"/>
  <c r="AB8" i="1"/>
  <c r="AA7" i="1"/>
  <c r="AA9" i="1"/>
  <c r="AC9" i="1"/>
  <c r="AA8" i="1"/>
  <c r="AB7" i="1"/>
  <c r="AB9" i="1"/>
  <c r="AC7" i="1"/>
  <c r="L140" i="16" l="1"/>
  <c r="L139" i="16"/>
  <c r="K140" i="16"/>
  <c r="K139" i="16"/>
  <c r="I140" i="16"/>
  <c r="I139" i="16"/>
  <c r="L134" i="16"/>
  <c r="L133" i="16"/>
  <c r="K134" i="16"/>
  <c r="K133" i="16"/>
  <c r="I134" i="16"/>
  <c r="I133" i="16"/>
  <c r="F199" i="16" l="1"/>
  <c r="J133" i="16"/>
  <c r="D8" i="30" l="1"/>
  <c r="E8" i="30" s="1"/>
  <c r="J134" i="16"/>
  <c r="BC5" i="1" l="1"/>
  <c r="BD5" i="1"/>
  <c r="BE5" i="1"/>
  <c r="BC6" i="1"/>
  <c r="BD6" i="1"/>
  <c r="BE6" i="1"/>
  <c r="BB5" i="1"/>
  <c r="BB6" i="1"/>
  <c r="G8" i="30" l="1"/>
  <c r="H8" i="30" s="1"/>
  <c r="J9" i="117"/>
  <c r="K10" i="117"/>
  <c r="I9" i="117"/>
  <c r="J10" i="117"/>
  <c r="I10" i="117"/>
  <c r="K9" i="117"/>
  <c r="AT10" i="1"/>
  <c r="AT29" i="1"/>
  <c r="AT30" i="1"/>
  <c r="AT33" i="1"/>
  <c r="AT34" i="1"/>
  <c r="AT36" i="1"/>
  <c r="AT37" i="1"/>
  <c r="AT38" i="1"/>
  <c r="AT39" i="1"/>
  <c r="AT40" i="1"/>
  <c r="AT41" i="1"/>
  <c r="AT42" i="1"/>
  <c r="AT43" i="1"/>
  <c r="AT44" i="1"/>
  <c r="AT45" i="1"/>
  <c r="AT46" i="1"/>
  <c r="AT47" i="1"/>
  <c r="AT48" i="1"/>
  <c r="AT49" i="1"/>
  <c r="AT50" i="1"/>
  <c r="AT51" i="1"/>
  <c r="AT52" i="1"/>
  <c r="AT53" i="1"/>
  <c r="AT54" i="1"/>
  <c r="AT55" i="1"/>
  <c r="AT56" i="1"/>
  <c r="AT107" i="1" s="1"/>
  <c r="R111" i="117" s="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X109" i="1"/>
  <c r="AD10" i="1"/>
  <c r="AD29" i="1"/>
  <c r="AD30" i="1"/>
  <c r="AD33" i="1"/>
  <c r="AD34" i="1"/>
  <c r="AD37" i="1"/>
  <c r="AD38" i="1"/>
  <c r="AD39" i="1"/>
  <c r="AD40" i="1"/>
  <c r="AD41" i="1"/>
  <c r="AD42" i="1"/>
  <c r="AD43" i="1"/>
  <c r="AD44" i="1"/>
  <c r="AD45" i="1"/>
  <c r="AD46" i="1"/>
  <c r="AD47" i="1"/>
  <c r="AD48" i="1"/>
  <c r="AD49" i="1"/>
  <c r="AD50" i="1"/>
  <c r="AD51" i="1"/>
  <c r="AD52" i="1"/>
  <c r="AD53" i="1"/>
  <c r="AD54" i="1"/>
  <c r="AD55" i="1"/>
  <c r="AD56" i="1"/>
  <c r="AD107" i="1" s="1"/>
  <c r="AD57" i="1"/>
  <c r="AD58" i="1"/>
  <c r="AD59" i="1"/>
  <c r="AD60" i="1"/>
  <c r="AD61" i="1"/>
  <c r="AD62" i="1"/>
  <c r="AD63" i="1"/>
  <c r="AD64" i="1"/>
  <c r="AD65" i="1"/>
  <c r="AD66" i="1"/>
  <c r="AD67" i="1"/>
  <c r="AD68" i="1"/>
  <c r="AD69" i="1"/>
  <c r="AD70" i="1"/>
  <c r="AD71" i="1"/>
  <c r="AD72" i="1"/>
  <c r="AD73" i="1"/>
  <c r="AD74" i="1"/>
  <c r="AD75" i="1"/>
  <c r="AD76" i="1"/>
  <c r="AD77" i="1"/>
  <c r="AH77" i="1" s="1"/>
  <c r="AD78" i="1"/>
  <c r="AH78" i="1" s="1"/>
  <c r="AD79" i="1"/>
  <c r="AE79" i="1" s="1"/>
  <c r="AD80" i="1"/>
  <c r="AD81" i="1"/>
  <c r="AD82" i="1"/>
  <c r="AD83" i="1"/>
  <c r="AH83" i="1" s="1"/>
  <c r="AD84" i="1"/>
  <c r="AD85" i="1"/>
  <c r="AD86" i="1"/>
  <c r="AD87" i="1"/>
  <c r="AD88" i="1"/>
  <c r="AD89" i="1"/>
  <c r="AD90" i="1"/>
  <c r="AD91" i="1"/>
  <c r="AD92" i="1"/>
  <c r="AD93" i="1"/>
  <c r="AD94" i="1"/>
  <c r="AD95" i="1"/>
  <c r="AD96" i="1"/>
  <c r="AD97" i="1"/>
  <c r="BB109" i="1"/>
  <c r="BC109" i="1"/>
  <c r="BD109" i="1"/>
  <c r="BE109" i="1"/>
  <c r="BB7" i="1"/>
  <c r="BC7" i="1"/>
  <c r="BD7" i="1"/>
  <c r="BE7" i="1"/>
  <c r="BB8" i="1"/>
  <c r="BC8" i="1"/>
  <c r="BD8" i="1"/>
  <c r="BE8" i="1"/>
  <c r="BB9" i="1"/>
  <c r="BC9" i="1"/>
  <c r="BD9" i="1"/>
  <c r="BE9" i="1"/>
  <c r="BB10" i="1"/>
  <c r="BC10" i="1"/>
  <c r="BD10" i="1"/>
  <c r="BE10" i="1"/>
  <c r="BB11" i="1"/>
  <c r="BC11" i="1"/>
  <c r="BD11" i="1"/>
  <c r="BE11" i="1"/>
  <c r="BB12" i="1"/>
  <c r="BC12" i="1"/>
  <c r="BD12" i="1"/>
  <c r="BE12" i="1"/>
  <c r="BB13" i="1"/>
  <c r="BC13" i="1"/>
  <c r="BD13" i="1"/>
  <c r="BE13" i="1"/>
  <c r="BB14" i="1"/>
  <c r="BC14" i="1"/>
  <c r="BD14" i="1"/>
  <c r="BE14" i="1"/>
  <c r="BB15" i="1"/>
  <c r="BC15" i="1"/>
  <c r="BD15" i="1"/>
  <c r="BE15" i="1"/>
  <c r="BB16" i="1"/>
  <c r="BC16" i="1"/>
  <c r="BD16" i="1"/>
  <c r="BE16" i="1"/>
  <c r="BB17" i="1"/>
  <c r="BC17" i="1"/>
  <c r="BD17" i="1"/>
  <c r="BE17" i="1"/>
  <c r="BB18" i="1"/>
  <c r="BC18" i="1"/>
  <c r="BD18" i="1"/>
  <c r="BE18" i="1"/>
  <c r="BB19" i="1"/>
  <c r="BC19" i="1"/>
  <c r="BD19" i="1"/>
  <c r="BE19" i="1"/>
  <c r="BB20" i="1"/>
  <c r="BC20" i="1"/>
  <c r="BD20" i="1"/>
  <c r="BE20" i="1"/>
  <c r="BB21" i="1"/>
  <c r="BC21" i="1"/>
  <c r="BD21" i="1"/>
  <c r="BE21" i="1"/>
  <c r="BB22" i="1"/>
  <c r="BC22" i="1"/>
  <c r="BD22" i="1"/>
  <c r="BE22" i="1"/>
  <c r="BB23" i="1"/>
  <c r="BC23" i="1"/>
  <c r="BD23" i="1"/>
  <c r="BE23" i="1"/>
  <c r="BB24" i="1"/>
  <c r="BC24" i="1"/>
  <c r="BD24" i="1"/>
  <c r="BE24" i="1"/>
  <c r="BB25" i="1"/>
  <c r="BC25" i="1"/>
  <c r="BD25" i="1"/>
  <c r="BE25" i="1"/>
  <c r="BB26" i="1"/>
  <c r="BC26" i="1"/>
  <c r="BD26" i="1"/>
  <c r="BE26" i="1"/>
  <c r="BB27" i="1"/>
  <c r="BC27" i="1"/>
  <c r="BD27" i="1"/>
  <c r="BE27" i="1"/>
  <c r="BB28" i="1"/>
  <c r="BC28" i="1"/>
  <c r="BD28" i="1"/>
  <c r="BE28" i="1"/>
  <c r="BB29" i="1"/>
  <c r="BC29" i="1"/>
  <c r="BD29" i="1"/>
  <c r="BE29" i="1"/>
  <c r="BB30" i="1"/>
  <c r="BC30" i="1"/>
  <c r="BD30" i="1"/>
  <c r="BE30" i="1"/>
  <c r="BB31" i="1"/>
  <c r="BC31" i="1"/>
  <c r="BD31" i="1"/>
  <c r="BE31" i="1"/>
  <c r="BB32" i="1"/>
  <c r="BC32" i="1"/>
  <c r="BD32" i="1"/>
  <c r="BE32" i="1"/>
  <c r="BB33" i="1"/>
  <c r="BC33" i="1"/>
  <c r="BD33" i="1"/>
  <c r="BE33" i="1"/>
  <c r="BB34" i="1"/>
  <c r="BC34" i="1"/>
  <c r="BD34" i="1"/>
  <c r="BE34" i="1"/>
  <c r="BB35" i="1"/>
  <c r="BC35" i="1"/>
  <c r="BD35" i="1"/>
  <c r="BE35" i="1"/>
  <c r="BB36" i="1"/>
  <c r="BC36" i="1"/>
  <c r="BD36" i="1"/>
  <c r="BE36" i="1"/>
  <c r="BB37" i="1"/>
  <c r="BC37" i="1"/>
  <c r="BD37" i="1"/>
  <c r="BE37" i="1"/>
  <c r="BB38" i="1"/>
  <c r="BC38" i="1"/>
  <c r="BD38" i="1"/>
  <c r="BE38" i="1"/>
  <c r="BB39" i="1"/>
  <c r="BC39" i="1"/>
  <c r="BD39" i="1"/>
  <c r="BE39" i="1"/>
  <c r="BB40" i="1"/>
  <c r="BC40" i="1"/>
  <c r="BD40" i="1"/>
  <c r="BE40" i="1"/>
  <c r="BB41" i="1"/>
  <c r="BC41" i="1"/>
  <c r="BD41" i="1"/>
  <c r="BE41" i="1"/>
  <c r="BB42" i="1"/>
  <c r="BC42" i="1"/>
  <c r="BD42" i="1"/>
  <c r="BE42" i="1"/>
  <c r="BB43" i="1"/>
  <c r="BC43" i="1"/>
  <c r="BD43" i="1"/>
  <c r="BE43" i="1"/>
  <c r="BB44" i="1"/>
  <c r="BC44" i="1"/>
  <c r="BD44" i="1"/>
  <c r="BE44" i="1"/>
  <c r="BB45" i="1"/>
  <c r="BC45" i="1"/>
  <c r="BD45" i="1"/>
  <c r="BE45" i="1"/>
  <c r="BB46" i="1"/>
  <c r="BC46" i="1"/>
  <c r="BD46" i="1"/>
  <c r="BE46" i="1"/>
  <c r="BB47" i="1"/>
  <c r="BC47" i="1"/>
  <c r="BD47" i="1"/>
  <c r="BE47" i="1"/>
  <c r="BB48" i="1"/>
  <c r="BC48" i="1"/>
  <c r="BD48" i="1"/>
  <c r="BE48" i="1"/>
  <c r="BB49" i="1"/>
  <c r="BC49" i="1"/>
  <c r="BD49" i="1"/>
  <c r="BE49" i="1"/>
  <c r="BB50" i="1"/>
  <c r="BC50" i="1"/>
  <c r="BD50" i="1"/>
  <c r="BE50" i="1"/>
  <c r="BB51" i="1"/>
  <c r="BC51" i="1"/>
  <c r="BD51" i="1"/>
  <c r="BE51" i="1"/>
  <c r="BB52" i="1"/>
  <c r="BC52" i="1"/>
  <c r="BD52" i="1"/>
  <c r="BE52" i="1"/>
  <c r="BB53" i="1"/>
  <c r="BC53" i="1"/>
  <c r="BD53" i="1"/>
  <c r="BE53" i="1"/>
  <c r="BB54" i="1"/>
  <c r="BC54" i="1"/>
  <c r="BD54" i="1"/>
  <c r="BE54" i="1"/>
  <c r="BB55" i="1"/>
  <c r="BC55" i="1"/>
  <c r="BD55" i="1"/>
  <c r="BE55" i="1"/>
  <c r="BB56" i="1"/>
  <c r="BC56" i="1"/>
  <c r="BD56" i="1"/>
  <c r="BE56" i="1"/>
  <c r="BB57" i="1"/>
  <c r="BC57" i="1"/>
  <c r="BD57" i="1"/>
  <c r="BE57" i="1"/>
  <c r="BB58" i="1"/>
  <c r="BC58" i="1"/>
  <c r="BD58" i="1"/>
  <c r="BE58" i="1"/>
  <c r="BB59" i="1"/>
  <c r="BC59" i="1"/>
  <c r="BD59" i="1"/>
  <c r="BE59" i="1"/>
  <c r="BB60" i="1"/>
  <c r="BC60" i="1"/>
  <c r="BD60" i="1"/>
  <c r="BE60" i="1"/>
  <c r="BB61" i="1"/>
  <c r="BC61" i="1"/>
  <c r="BD61" i="1"/>
  <c r="BE61" i="1"/>
  <c r="BB62" i="1"/>
  <c r="BC62" i="1"/>
  <c r="BD62" i="1"/>
  <c r="BE62" i="1"/>
  <c r="BB63" i="1"/>
  <c r="BC63" i="1"/>
  <c r="BD63" i="1"/>
  <c r="BE63" i="1"/>
  <c r="BB64" i="1"/>
  <c r="BC64" i="1"/>
  <c r="BD64" i="1"/>
  <c r="BE64" i="1"/>
  <c r="BB65" i="1"/>
  <c r="BC65" i="1"/>
  <c r="BD65" i="1"/>
  <c r="BE65" i="1"/>
  <c r="BB66" i="1"/>
  <c r="BC66" i="1"/>
  <c r="BD66" i="1"/>
  <c r="BE66" i="1"/>
  <c r="BB67" i="1"/>
  <c r="BC67" i="1"/>
  <c r="BD67" i="1"/>
  <c r="BE67" i="1"/>
  <c r="BB68" i="1"/>
  <c r="BC68" i="1"/>
  <c r="BD68" i="1"/>
  <c r="BE68" i="1"/>
  <c r="BB69" i="1"/>
  <c r="BC69" i="1"/>
  <c r="BD69" i="1"/>
  <c r="BE69" i="1"/>
  <c r="BB70" i="1"/>
  <c r="BC70" i="1"/>
  <c r="BD70" i="1"/>
  <c r="BE70" i="1"/>
  <c r="BB71" i="1"/>
  <c r="BC71" i="1"/>
  <c r="BD71" i="1"/>
  <c r="BE71" i="1"/>
  <c r="BB72" i="1"/>
  <c r="BC72" i="1"/>
  <c r="BD72" i="1"/>
  <c r="BE72" i="1"/>
  <c r="BB73" i="1"/>
  <c r="BC73" i="1"/>
  <c r="BD73" i="1"/>
  <c r="BE73" i="1"/>
  <c r="BB74" i="1"/>
  <c r="BC74" i="1"/>
  <c r="BD74" i="1"/>
  <c r="BE74" i="1"/>
  <c r="BB75" i="1"/>
  <c r="BC75" i="1"/>
  <c r="BD75" i="1"/>
  <c r="BE75" i="1"/>
  <c r="BB76" i="1"/>
  <c r="BC76" i="1"/>
  <c r="BD76" i="1"/>
  <c r="BE76" i="1"/>
  <c r="BB77" i="1"/>
  <c r="BC77" i="1"/>
  <c r="BD77" i="1"/>
  <c r="BE77" i="1"/>
  <c r="BB78" i="1"/>
  <c r="BC78" i="1"/>
  <c r="BD78" i="1"/>
  <c r="BE78" i="1"/>
  <c r="BB79" i="1"/>
  <c r="BC79" i="1"/>
  <c r="BD79" i="1"/>
  <c r="BE79" i="1"/>
  <c r="BB80" i="1"/>
  <c r="BC80" i="1"/>
  <c r="BD80" i="1"/>
  <c r="BE80" i="1"/>
  <c r="BB81" i="1"/>
  <c r="BC81" i="1"/>
  <c r="BD81" i="1"/>
  <c r="BE81" i="1"/>
  <c r="BB82" i="1"/>
  <c r="BC82" i="1"/>
  <c r="BD82" i="1"/>
  <c r="BE82" i="1"/>
  <c r="BB83" i="1"/>
  <c r="BJ83" i="1" s="1"/>
  <c r="BC83" i="1"/>
  <c r="BK83" i="1" s="1"/>
  <c r="BD83" i="1"/>
  <c r="BE83" i="1"/>
  <c r="BM83" i="1" s="1"/>
  <c r="BB84" i="1"/>
  <c r="BC84" i="1"/>
  <c r="BD84" i="1"/>
  <c r="BE84" i="1"/>
  <c r="BB85" i="1"/>
  <c r="BC85" i="1"/>
  <c r="BD85" i="1"/>
  <c r="BE85" i="1"/>
  <c r="BB86" i="1"/>
  <c r="BC86" i="1"/>
  <c r="BD86" i="1"/>
  <c r="BE86" i="1"/>
  <c r="BB87" i="1"/>
  <c r="BC87" i="1"/>
  <c r="BD87" i="1"/>
  <c r="BE87" i="1"/>
  <c r="BB88" i="1"/>
  <c r="BC88" i="1"/>
  <c r="BD88" i="1"/>
  <c r="BE88" i="1"/>
  <c r="BB89" i="1"/>
  <c r="BC89" i="1"/>
  <c r="BD89" i="1"/>
  <c r="BE89" i="1"/>
  <c r="BB90" i="1"/>
  <c r="BC90" i="1"/>
  <c r="BD90" i="1"/>
  <c r="BE90" i="1"/>
  <c r="BB91" i="1"/>
  <c r="BC91" i="1"/>
  <c r="BD91" i="1"/>
  <c r="BE91" i="1"/>
  <c r="BB92" i="1"/>
  <c r="BC92" i="1"/>
  <c r="BD92" i="1"/>
  <c r="BE92" i="1"/>
  <c r="BB93" i="1"/>
  <c r="BC93" i="1"/>
  <c r="BD93" i="1"/>
  <c r="BE93" i="1"/>
  <c r="BB94" i="1"/>
  <c r="BC94" i="1"/>
  <c r="BD94" i="1"/>
  <c r="BE94" i="1"/>
  <c r="BB95" i="1"/>
  <c r="BC95" i="1"/>
  <c r="BD95" i="1"/>
  <c r="BE95" i="1"/>
  <c r="BB96" i="1"/>
  <c r="BC96" i="1"/>
  <c r="BD96" i="1"/>
  <c r="BE96" i="1"/>
  <c r="BB97" i="1"/>
  <c r="BC97" i="1"/>
  <c r="BD97" i="1"/>
  <c r="BE97" i="1"/>
  <c r="K24" i="117" l="1"/>
  <c r="K23" i="117"/>
  <c r="K18" i="117"/>
  <c r="K17" i="117"/>
  <c r="K16" i="117"/>
  <c r="K15" i="117"/>
  <c r="I101" i="117"/>
  <c r="I100" i="117"/>
  <c r="I99" i="117"/>
  <c r="I98" i="117"/>
  <c r="I97" i="117"/>
  <c r="I96" i="117"/>
  <c r="I95" i="117"/>
  <c r="I94" i="117"/>
  <c r="I93" i="117"/>
  <c r="I92" i="117"/>
  <c r="I90" i="117"/>
  <c r="I89" i="117"/>
  <c r="I88" i="117"/>
  <c r="I43" i="117"/>
  <c r="I42" i="117"/>
  <c r="I41" i="117"/>
  <c r="I40" i="117"/>
  <c r="I24" i="117"/>
  <c r="I23" i="117"/>
  <c r="I18" i="117"/>
  <c r="I17" i="117"/>
  <c r="I16" i="117"/>
  <c r="I15" i="117"/>
  <c r="K101" i="117"/>
  <c r="K100" i="117"/>
  <c r="K99" i="117"/>
  <c r="K98" i="117"/>
  <c r="K97" i="117"/>
  <c r="K96" i="117"/>
  <c r="K95" i="117"/>
  <c r="K94" i="117"/>
  <c r="K93" i="117"/>
  <c r="K92" i="117"/>
  <c r="K90" i="117"/>
  <c r="K89" i="117"/>
  <c r="K88" i="117"/>
  <c r="K43" i="117"/>
  <c r="K42" i="117"/>
  <c r="K41" i="117"/>
  <c r="K40" i="117"/>
  <c r="J101" i="117"/>
  <c r="J100" i="117"/>
  <c r="J99" i="117"/>
  <c r="J98" i="117"/>
  <c r="J97" i="117"/>
  <c r="J96" i="117"/>
  <c r="J95" i="117"/>
  <c r="J94" i="117"/>
  <c r="J93" i="117"/>
  <c r="J92" i="117"/>
  <c r="J90" i="117"/>
  <c r="J89" i="117"/>
  <c r="J88" i="117"/>
  <c r="J43" i="117"/>
  <c r="J42" i="117"/>
  <c r="J41" i="117"/>
  <c r="J40" i="117"/>
  <c r="J24" i="117"/>
  <c r="J23" i="117"/>
  <c r="J18" i="117"/>
  <c r="J17" i="117"/>
  <c r="J16" i="117"/>
  <c r="J15" i="117"/>
  <c r="I113" i="117"/>
  <c r="J8" i="30"/>
  <c r="K8" i="30" s="1"/>
  <c r="K113" i="117"/>
  <c r="J113" i="117"/>
  <c r="AX83" i="1"/>
  <c r="BR83" i="1" s="1"/>
  <c r="J86" i="117"/>
  <c r="K75" i="117"/>
  <c r="K91" i="117"/>
  <c r="J75" i="117"/>
  <c r="J91" i="117"/>
  <c r="I75" i="117"/>
  <c r="I91" i="117"/>
  <c r="K86" i="117"/>
  <c r="K54" i="117"/>
  <c r="K51" i="117"/>
  <c r="K14" i="117"/>
  <c r="K12" i="117"/>
  <c r="K11" i="117"/>
  <c r="J54" i="117"/>
  <c r="J51" i="117"/>
  <c r="J14" i="117"/>
  <c r="J12" i="117"/>
  <c r="J11" i="117"/>
  <c r="I86" i="117"/>
  <c r="I54" i="117"/>
  <c r="I51" i="117"/>
  <c r="I14" i="117"/>
  <c r="I12" i="117"/>
  <c r="I11" i="117"/>
  <c r="K39" i="117"/>
  <c r="K38" i="117"/>
  <c r="K37" i="117"/>
  <c r="K36" i="117"/>
  <c r="K35" i="117"/>
  <c r="K34" i="117"/>
  <c r="K33" i="117"/>
  <c r="K32" i="117"/>
  <c r="K31" i="117"/>
  <c r="K30" i="117"/>
  <c r="K29" i="117"/>
  <c r="K28" i="117"/>
  <c r="K27" i="117"/>
  <c r="K26" i="117"/>
  <c r="K25" i="117"/>
  <c r="K22" i="117"/>
  <c r="K21" i="117"/>
  <c r="K20" i="117"/>
  <c r="J39" i="117"/>
  <c r="J38" i="117"/>
  <c r="J37" i="117"/>
  <c r="J36" i="117"/>
  <c r="J35" i="117"/>
  <c r="J34" i="117"/>
  <c r="J33" i="117"/>
  <c r="J32" i="117"/>
  <c r="J31" i="117"/>
  <c r="J30" i="117"/>
  <c r="J29" i="117"/>
  <c r="J28" i="117"/>
  <c r="J27" i="117"/>
  <c r="J26" i="117"/>
  <c r="J25" i="117"/>
  <c r="J22" i="117"/>
  <c r="J21" i="117"/>
  <c r="J20" i="117"/>
  <c r="I39" i="117"/>
  <c r="I38" i="117"/>
  <c r="I37" i="117"/>
  <c r="I36" i="117"/>
  <c r="I35" i="117"/>
  <c r="I34" i="117"/>
  <c r="I33" i="117"/>
  <c r="I32" i="117"/>
  <c r="I31" i="117"/>
  <c r="I30" i="117"/>
  <c r="I29" i="117"/>
  <c r="I28" i="117"/>
  <c r="I27" i="117"/>
  <c r="I26" i="117"/>
  <c r="I25" i="117"/>
  <c r="I22" i="117"/>
  <c r="I21" i="117"/>
  <c r="I20" i="117"/>
  <c r="K19" i="117"/>
  <c r="J19" i="117"/>
  <c r="I19" i="117"/>
  <c r="K72" i="117"/>
  <c r="K85" i="117"/>
  <c r="K64" i="117"/>
  <c r="K63" i="117"/>
  <c r="K84" i="117"/>
  <c r="K83" i="117"/>
  <c r="K62" i="117"/>
  <c r="K61" i="117"/>
  <c r="K82" i="117"/>
  <c r="K60" i="117"/>
  <c r="K81" i="117"/>
  <c r="K80" i="117"/>
  <c r="K59" i="117"/>
  <c r="K58" i="117"/>
  <c r="K79" i="117"/>
  <c r="K57" i="117"/>
  <c r="K78" i="117"/>
  <c r="K77" i="117"/>
  <c r="K56" i="117"/>
  <c r="K55" i="117"/>
  <c r="K76" i="117"/>
  <c r="K53" i="117"/>
  <c r="K74" i="117"/>
  <c r="K73" i="117"/>
  <c r="K52" i="117"/>
  <c r="K71" i="117"/>
  <c r="K50" i="117"/>
  <c r="K70" i="117"/>
  <c r="K49" i="117"/>
  <c r="K69" i="117"/>
  <c r="K48" i="117"/>
  <c r="K47" i="117"/>
  <c r="K68" i="117"/>
  <c r="K67" i="117"/>
  <c r="K46" i="117"/>
  <c r="K45" i="117"/>
  <c r="K66" i="117"/>
  <c r="K44" i="117"/>
  <c r="K65" i="117"/>
  <c r="K13" i="117"/>
  <c r="K87" i="117"/>
  <c r="AH10" i="1"/>
  <c r="BN10" i="1" s="1"/>
  <c r="J72" i="117"/>
  <c r="J64" i="117"/>
  <c r="J85" i="117"/>
  <c r="J84" i="117"/>
  <c r="J63" i="117"/>
  <c r="J62" i="117"/>
  <c r="J83" i="117"/>
  <c r="J61" i="117"/>
  <c r="J82" i="117"/>
  <c r="J81" i="117"/>
  <c r="J60" i="117"/>
  <c r="J59" i="117"/>
  <c r="J80" i="117"/>
  <c r="J58" i="117"/>
  <c r="J79" i="117"/>
  <c r="J78" i="117"/>
  <c r="J57" i="117"/>
  <c r="J77" i="117"/>
  <c r="J56" i="117"/>
  <c r="J76" i="117"/>
  <c r="J55" i="117"/>
  <c r="J74" i="117"/>
  <c r="J53" i="117"/>
  <c r="J52" i="117"/>
  <c r="J73" i="117"/>
  <c r="J71" i="117"/>
  <c r="J50" i="117"/>
  <c r="J49" i="117"/>
  <c r="J70" i="117"/>
  <c r="J48" i="117"/>
  <c r="J69" i="117"/>
  <c r="J47" i="117"/>
  <c r="J68" i="117"/>
  <c r="J67" i="117"/>
  <c r="J46" i="117"/>
  <c r="J45" i="117"/>
  <c r="J66" i="117"/>
  <c r="J44" i="117"/>
  <c r="J65" i="117"/>
  <c r="J13" i="117"/>
  <c r="J87" i="117"/>
  <c r="AH87" i="1"/>
  <c r="BN87" i="1" s="1"/>
  <c r="AH57" i="1"/>
  <c r="BN57" i="1" s="1"/>
  <c r="I72" i="117"/>
  <c r="I85" i="117"/>
  <c r="I64" i="117"/>
  <c r="I84" i="117"/>
  <c r="I63" i="117"/>
  <c r="I83" i="117"/>
  <c r="I62" i="117"/>
  <c r="I82" i="117"/>
  <c r="I61" i="117"/>
  <c r="I60" i="117"/>
  <c r="I81" i="117"/>
  <c r="I80" i="117"/>
  <c r="I59" i="117"/>
  <c r="I58" i="117"/>
  <c r="I79" i="117"/>
  <c r="I57" i="117"/>
  <c r="I78" i="117"/>
  <c r="I56" i="117"/>
  <c r="I77" i="117"/>
  <c r="I55" i="117"/>
  <c r="I76" i="117"/>
  <c r="I53" i="117"/>
  <c r="I74" i="117"/>
  <c r="I73" i="117"/>
  <c r="I52" i="117"/>
  <c r="I50" i="117"/>
  <c r="I71" i="117"/>
  <c r="I49" i="117"/>
  <c r="I70" i="117"/>
  <c r="I48" i="117"/>
  <c r="I69" i="117"/>
  <c r="I47" i="117"/>
  <c r="I68" i="117"/>
  <c r="I46" i="117"/>
  <c r="I67" i="117"/>
  <c r="I45" i="117"/>
  <c r="I66" i="117"/>
  <c r="I44" i="117"/>
  <c r="I65" i="117"/>
  <c r="I13" i="117"/>
  <c r="I87" i="117"/>
  <c r="AH76" i="1"/>
  <c r="BN76" i="1" s="1"/>
  <c r="AH62" i="1"/>
  <c r="BN62" i="1" s="1"/>
  <c r="AH56" i="1"/>
  <c r="AH66" i="1"/>
  <c r="BN66" i="1" s="1"/>
  <c r="AH55" i="1"/>
  <c r="BN55" i="1" s="1"/>
  <c r="AH51" i="1"/>
  <c r="BN51" i="1" s="1"/>
  <c r="AH47" i="1"/>
  <c r="BN47" i="1" s="1"/>
  <c r="AH43" i="1"/>
  <c r="BN43" i="1" s="1"/>
  <c r="AH39" i="1"/>
  <c r="AH54" i="1"/>
  <c r="BN54" i="1" s="1"/>
  <c r="AH50" i="1"/>
  <c r="BN50" i="1" s="1"/>
  <c r="AH46" i="1"/>
  <c r="BN46" i="1" s="1"/>
  <c r="AH42" i="1"/>
  <c r="BN42" i="1" s="1"/>
  <c r="AH38" i="1"/>
  <c r="AH53" i="1"/>
  <c r="BN53" i="1" s="1"/>
  <c r="AH49" i="1"/>
  <c r="BN49" i="1" s="1"/>
  <c r="AH45" i="1"/>
  <c r="BN45" i="1" s="1"/>
  <c r="AH41" i="1"/>
  <c r="BN41" i="1" s="1"/>
  <c r="AH37" i="1"/>
  <c r="BN37" i="1" s="1"/>
  <c r="AH52" i="1"/>
  <c r="BN52" i="1" s="1"/>
  <c r="AH48" i="1"/>
  <c r="BN48" i="1" s="1"/>
  <c r="AH44" i="1"/>
  <c r="BN44" i="1" s="1"/>
  <c r="AH40" i="1"/>
  <c r="BN40" i="1" s="1"/>
  <c r="BD218" i="1"/>
  <c r="BE218" i="1"/>
  <c r="BB218" i="1"/>
  <c r="BC218" i="1"/>
  <c r="BJ55" i="1"/>
  <c r="BJ54" i="1"/>
  <c r="BJ53" i="1"/>
  <c r="BJ52" i="1"/>
  <c r="BJ51" i="1"/>
  <c r="BJ50" i="1"/>
  <c r="BJ49" i="1"/>
  <c r="BJ48" i="1"/>
  <c r="BJ47" i="1"/>
  <c r="BJ46" i="1"/>
  <c r="BJ45" i="1"/>
  <c r="BJ44" i="1"/>
  <c r="BJ39" i="1"/>
  <c r="BJ38" i="1"/>
  <c r="BJ37" i="1"/>
  <c r="BJ36" i="1"/>
  <c r="AX54" i="1"/>
  <c r="AX50" i="1"/>
  <c r="AX46" i="1"/>
  <c r="AX38" i="1"/>
  <c r="BM55" i="1"/>
  <c r="BM54" i="1"/>
  <c r="BM53" i="1"/>
  <c r="BM52" i="1"/>
  <c r="BM51" i="1"/>
  <c r="BM50" i="1"/>
  <c r="BM49" i="1"/>
  <c r="BM48" i="1"/>
  <c r="BM47" i="1"/>
  <c r="BM46" i="1"/>
  <c r="BM45" i="1"/>
  <c r="BM44" i="1"/>
  <c r="BM39" i="1"/>
  <c r="BM38" i="1"/>
  <c r="BM37" i="1"/>
  <c r="BM36" i="1"/>
  <c r="AX53" i="1"/>
  <c r="AX49" i="1"/>
  <c r="AX45" i="1"/>
  <c r="AX37" i="1"/>
  <c r="BL55" i="1"/>
  <c r="BL54" i="1"/>
  <c r="BL53" i="1"/>
  <c r="BL52" i="1"/>
  <c r="BL51" i="1"/>
  <c r="BL50" i="1"/>
  <c r="BL49" i="1"/>
  <c r="BL48" i="1"/>
  <c r="BL47" i="1"/>
  <c r="BL46" i="1"/>
  <c r="BL45" i="1"/>
  <c r="BL44" i="1"/>
  <c r="BL39" i="1"/>
  <c r="BL38" i="1"/>
  <c r="BL37" i="1"/>
  <c r="BL36" i="1"/>
  <c r="AX52" i="1"/>
  <c r="AX48" i="1"/>
  <c r="AX44" i="1"/>
  <c r="AX36" i="1"/>
  <c r="BK55" i="1"/>
  <c r="BK54" i="1"/>
  <c r="BK53" i="1"/>
  <c r="BK52" i="1"/>
  <c r="BK51" i="1"/>
  <c r="BK50" i="1"/>
  <c r="BK49" i="1"/>
  <c r="BK48" i="1"/>
  <c r="BK47" i="1"/>
  <c r="BK46" i="1"/>
  <c r="BK45" i="1"/>
  <c r="BK44" i="1"/>
  <c r="BK39" i="1"/>
  <c r="BK38" i="1"/>
  <c r="BK37" i="1"/>
  <c r="BK36" i="1"/>
  <c r="AX55" i="1"/>
  <c r="AX51" i="1"/>
  <c r="AX47" i="1"/>
  <c r="AX39" i="1"/>
  <c r="BJ109" i="1"/>
  <c r="BK22" i="1"/>
  <c r="BG8" i="1"/>
  <c r="BG7" i="1"/>
  <c r="BJ62" i="1"/>
  <c r="BJ22" i="1"/>
  <c r="BF8" i="1"/>
  <c r="BF7" i="1"/>
  <c r="BK62" i="1"/>
  <c r="BM62" i="1"/>
  <c r="BM22" i="1"/>
  <c r="BI8" i="1"/>
  <c r="BI7" i="1"/>
  <c r="BL62" i="1"/>
  <c r="BL22" i="1"/>
  <c r="BH8" i="1"/>
  <c r="BH7" i="1"/>
  <c r="AX62" i="1"/>
  <c r="AE96" i="1"/>
  <c r="AE92" i="1"/>
  <c r="AM92" i="1" s="1"/>
  <c r="AE80" i="1"/>
  <c r="AE74" i="1"/>
  <c r="AE70" i="1"/>
  <c r="AE68" i="1"/>
  <c r="AE95" i="1"/>
  <c r="AE91" i="1"/>
  <c r="AE89" i="1"/>
  <c r="AE76" i="1"/>
  <c r="AE73" i="1"/>
  <c r="AE69" i="1"/>
  <c r="AE67" i="1"/>
  <c r="AE97" i="1"/>
  <c r="AE94" i="1"/>
  <c r="AE90" i="1"/>
  <c r="AM90" i="1" s="1"/>
  <c r="AQ90" i="1" s="1"/>
  <c r="AE88" i="1"/>
  <c r="AE86" i="1"/>
  <c r="AE84" i="1"/>
  <c r="AE82" i="1"/>
  <c r="AE78" i="1"/>
  <c r="BN78" i="1"/>
  <c r="AE72" i="1"/>
  <c r="AE93" i="1"/>
  <c r="AE87" i="1"/>
  <c r="AE85" i="1"/>
  <c r="AM85" i="1" s="1"/>
  <c r="AE83" i="1"/>
  <c r="AI83" i="1" s="1"/>
  <c r="BN83" i="1"/>
  <c r="AE81" i="1"/>
  <c r="AM81" i="1" s="1"/>
  <c r="AE77" i="1"/>
  <c r="AI77" i="1" s="1"/>
  <c r="BN77" i="1"/>
  <c r="BI87" i="1"/>
  <c r="BH87" i="1"/>
  <c r="BG87" i="1"/>
  <c r="BH83" i="1"/>
  <c r="BL83" i="1"/>
  <c r="BH78" i="1"/>
  <c r="BH77" i="1"/>
  <c r="BH76" i="1"/>
  <c r="BH66" i="1"/>
  <c r="BI109" i="1"/>
  <c r="BM109" i="1"/>
  <c r="BH109" i="1"/>
  <c r="BL109" i="1"/>
  <c r="BG109" i="1"/>
  <c r="BK109" i="1"/>
  <c r="BN109" i="1"/>
  <c r="D14" i="30" s="1"/>
  <c r="AU97" i="1"/>
  <c r="S101" i="117" s="1"/>
  <c r="AU95" i="1"/>
  <c r="S99" i="117" s="1"/>
  <c r="AU93" i="1"/>
  <c r="S97" i="117" s="1"/>
  <c r="AU90" i="1"/>
  <c r="S94" i="117" s="1"/>
  <c r="AU89" i="1"/>
  <c r="S93" i="117" s="1"/>
  <c r="AU37" i="1"/>
  <c r="S41" i="117" s="1"/>
  <c r="AU15" i="1"/>
  <c r="AE15" i="1"/>
  <c r="AU38" i="1"/>
  <c r="S42" i="117" s="1"/>
  <c r="AU42" i="1"/>
  <c r="AU29" i="1"/>
  <c r="AE30" i="1"/>
  <c r="BG76" i="1"/>
  <c r="BG55" i="1"/>
  <c r="BG51" i="1"/>
  <c r="BG46" i="1"/>
  <c r="BG38" i="1"/>
  <c r="BG25" i="1"/>
  <c r="BG22" i="1"/>
  <c r="BG17" i="1"/>
  <c r="BG16" i="1"/>
  <c r="BG14" i="1"/>
  <c r="BK14" i="1"/>
  <c r="BG13" i="1"/>
  <c r="BK13" i="1"/>
  <c r="BG12" i="1"/>
  <c r="BK12" i="1"/>
  <c r="BG11" i="1"/>
  <c r="BG10" i="1"/>
  <c r="BG78" i="1"/>
  <c r="BG66" i="1"/>
  <c r="BG57" i="1"/>
  <c r="BG54" i="1"/>
  <c r="BG50" i="1"/>
  <c r="BG47" i="1"/>
  <c r="BG39" i="1"/>
  <c r="BG35" i="1"/>
  <c r="BF87" i="1"/>
  <c r="BF83" i="1"/>
  <c r="BF78" i="1"/>
  <c r="BF77" i="1"/>
  <c r="BF76" i="1"/>
  <c r="BF66" i="1"/>
  <c r="BF62" i="1"/>
  <c r="BF57" i="1"/>
  <c r="BF56" i="1"/>
  <c r="BF55" i="1"/>
  <c r="BF54" i="1"/>
  <c r="BF53" i="1"/>
  <c r="BF52" i="1"/>
  <c r="BF51" i="1"/>
  <c r="BF50" i="1"/>
  <c r="BF49" i="1"/>
  <c r="BF48" i="1"/>
  <c r="BF47" i="1"/>
  <c r="BF46" i="1"/>
  <c r="BF45" i="1"/>
  <c r="BF44" i="1"/>
  <c r="BF39" i="1"/>
  <c r="BF38" i="1"/>
  <c r="BF37" i="1"/>
  <c r="BF36" i="1"/>
  <c r="BF35" i="1"/>
  <c r="BF25" i="1"/>
  <c r="BF22" i="1"/>
  <c r="BF17" i="1"/>
  <c r="BF16" i="1"/>
  <c r="BF14" i="1"/>
  <c r="BJ14" i="1"/>
  <c r="BF13" i="1"/>
  <c r="BJ13" i="1"/>
  <c r="BF12" i="1"/>
  <c r="BJ12" i="1"/>
  <c r="BF11" i="1"/>
  <c r="BF10" i="1"/>
  <c r="BF109" i="1"/>
  <c r="BG83" i="1"/>
  <c r="BG77" i="1"/>
  <c r="BG62" i="1"/>
  <c r="BG56" i="1"/>
  <c r="BG52" i="1"/>
  <c r="BG48" i="1"/>
  <c r="BG44" i="1"/>
  <c r="BG36" i="1"/>
  <c r="BI83" i="1"/>
  <c r="BI78" i="1"/>
  <c r="BI77" i="1"/>
  <c r="BI76" i="1"/>
  <c r="BI66" i="1"/>
  <c r="BI62" i="1"/>
  <c r="BI57" i="1"/>
  <c r="BI56" i="1"/>
  <c r="BI55" i="1"/>
  <c r="BI54" i="1"/>
  <c r="BI53" i="1"/>
  <c r="BI52" i="1"/>
  <c r="BI51" i="1"/>
  <c r="BI50" i="1"/>
  <c r="BI49" i="1"/>
  <c r="BI48" i="1"/>
  <c r="BI47" i="1"/>
  <c r="BI46" i="1"/>
  <c r="BI45" i="1"/>
  <c r="BI44" i="1"/>
  <c r="BI39" i="1"/>
  <c r="BI38" i="1"/>
  <c r="BI37" i="1"/>
  <c r="BI36" i="1"/>
  <c r="BI35" i="1"/>
  <c r="BI25" i="1"/>
  <c r="BI22" i="1"/>
  <c r="BI17" i="1"/>
  <c r="BI16" i="1"/>
  <c r="BI14" i="1"/>
  <c r="BM14" i="1"/>
  <c r="BI13" i="1"/>
  <c r="BM13" i="1"/>
  <c r="BI12" i="1"/>
  <c r="BM12" i="1"/>
  <c r="BI11" i="1"/>
  <c r="BI10" i="1"/>
  <c r="BG53" i="1"/>
  <c r="BG49" i="1"/>
  <c r="BG45" i="1"/>
  <c r="BG37" i="1"/>
  <c r="BH62" i="1"/>
  <c r="BH57" i="1"/>
  <c r="BH56" i="1"/>
  <c r="BH55" i="1"/>
  <c r="BH54" i="1"/>
  <c r="BH53" i="1"/>
  <c r="BH52" i="1"/>
  <c r="BH51" i="1"/>
  <c r="BH50" i="1"/>
  <c r="BH49" i="1"/>
  <c r="BH48" i="1"/>
  <c r="BH47" i="1"/>
  <c r="BH46" i="1"/>
  <c r="BH45" i="1"/>
  <c r="BH44" i="1"/>
  <c r="BH39" i="1"/>
  <c r="BH38" i="1"/>
  <c r="BH37" i="1"/>
  <c r="BH36" i="1"/>
  <c r="BH35" i="1"/>
  <c r="BH25" i="1"/>
  <c r="BH22" i="1"/>
  <c r="BH17" i="1"/>
  <c r="BH16" i="1"/>
  <c r="BH14" i="1"/>
  <c r="BL14" i="1"/>
  <c r="BH13" i="1"/>
  <c r="BL13" i="1"/>
  <c r="BH12" i="1"/>
  <c r="BL12" i="1"/>
  <c r="BH11" i="1"/>
  <c r="BH10" i="1"/>
  <c r="AM79" i="1"/>
  <c r="AF79" i="1"/>
  <c r="AL93" i="1"/>
  <c r="AL87" i="1"/>
  <c r="AP87" i="1" s="1"/>
  <c r="AL85" i="1"/>
  <c r="AL83" i="1"/>
  <c r="AP83" i="1" s="1"/>
  <c r="AL81" i="1"/>
  <c r="AL77" i="1"/>
  <c r="AP77" i="1" s="1"/>
  <c r="AL75" i="1"/>
  <c r="AL71" i="1"/>
  <c r="AE66" i="1"/>
  <c r="AL66" i="1"/>
  <c r="AP66" i="1" s="1"/>
  <c r="AE60" i="1"/>
  <c r="AL60" i="1"/>
  <c r="AE56" i="1"/>
  <c r="AE107" i="1" s="1"/>
  <c r="AL56" i="1"/>
  <c r="AE53" i="1"/>
  <c r="AL53" i="1"/>
  <c r="AP53" i="1" s="1"/>
  <c r="AE50" i="1"/>
  <c r="AL50" i="1"/>
  <c r="AP50" i="1" s="1"/>
  <c r="AE45" i="1"/>
  <c r="AL45" i="1"/>
  <c r="AP45" i="1" s="1"/>
  <c r="AE42" i="1"/>
  <c r="AL42" i="1"/>
  <c r="AP42" i="1" s="1"/>
  <c r="AE37" i="1"/>
  <c r="AL37" i="1"/>
  <c r="AP37" i="1" s="1"/>
  <c r="AE34" i="1"/>
  <c r="AL34" i="1"/>
  <c r="AL97" i="1"/>
  <c r="AL94" i="1"/>
  <c r="AL90" i="1"/>
  <c r="AP90" i="1" s="1"/>
  <c r="AL88" i="1"/>
  <c r="AP88" i="1" s="1"/>
  <c r="AL86" i="1"/>
  <c r="AL84" i="1"/>
  <c r="AP84" i="1" s="1"/>
  <c r="AL82" i="1"/>
  <c r="AL78" i="1"/>
  <c r="AP78" i="1" s="1"/>
  <c r="AL72" i="1"/>
  <c r="AE65" i="1"/>
  <c r="AL65" i="1"/>
  <c r="AE63" i="1"/>
  <c r="AL63" i="1"/>
  <c r="AP63" i="1" s="1"/>
  <c r="AE55" i="1"/>
  <c r="AL55" i="1"/>
  <c r="AP55" i="1" s="1"/>
  <c r="AE52" i="1"/>
  <c r="AL52" i="1"/>
  <c r="AP52" i="1" s="1"/>
  <c r="AE47" i="1"/>
  <c r="AL47" i="1"/>
  <c r="AP47" i="1" s="1"/>
  <c r="AE44" i="1"/>
  <c r="AL44" i="1"/>
  <c r="AP44" i="1" s="1"/>
  <c r="AE39" i="1"/>
  <c r="AL39" i="1"/>
  <c r="AP39" i="1" s="1"/>
  <c r="AE36" i="1"/>
  <c r="BN36" i="1"/>
  <c r="D11" i="30" s="1"/>
  <c r="AL36" i="1"/>
  <c r="AP36" i="1" s="1"/>
  <c r="AE33" i="1"/>
  <c r="AL33" i="1"/>
  <c r="AE10" i="1"/>
  <c r="AL10" i="1"/>
  <c r="AP10" i="1" s="1"/>
  <c r="AL95" i="1"/>
  <c r="AL91" i="1"/>
  <c r="AL89" i="1"/>
  <c r="AL79" i="1"/>
  <c r="AL76" i="1"/>
  <c r="AP76" i="1" s="1"/>
  <c r="AL73" i="1"/>
  <c r="AL69" i="1"/>
  <c r="AP69" i="1" s="1"/>
  <c r="AL67" i="1"/>
  <c r="AP67" i="1" s="1"/>
  <c r="AE64" i="1"/>
  <c r="AL64" i="1"/>
  <c r="AP64" i="1" s="1"/>
  <c r="AE62" i="1"/>
  <c r="AL62" i="1"/>
  <c r="AP62" i="1" s="1"/>
  <c r="AE59" i="1"/>
  <c r="AL59" i="1"/>
  <c r="AE54" i="1"/>
  <c r="AL54" i="1"/>
  <c r="AP54" i="1" s="1"/>
  <c r="AE49" i="1"/>
  <c r="AL49" i="1"/>
  <c r="AP49" i="1" s="1"/>
  <c r="AE46" i="1"/>
  <c r="AL46" i="1"/>
  <c r="AP46" i="1" s="1"/>
  <c r="AE41" i="1"/>
  <c r="AL41" i="1"/>
  <c r="AP41" i="1" s="1"/>
  <c r="AE38" i="1"/>
  <c r="AL38" i="1"/>
  <c r="AP38" i="1" s="1"/>
  <c r="AL96" i="1"/>
  <c r="AL92" i="1"/>
  <c r="AL80" i="1"/>
  <c r="AE75" i="1"/>
  <c r="AL74" i="1"/>
  <c r="AE71" i="1"/>
  <c r="AL70" i="1"/>
  <c r="AL68" i="1"/>
  <c r="AE61" i="1"/>
  <c r="AL61" i="1"/>
  <c r="AE58" i="1"/>
  <c r="AL58" i="1"/>
  <c r="AE57" i="1"/>
  <c r="AL57" i="1"/>
  <c r="AP57" i="1" s="1"/>
  <c r="AE51" i="1"/>
  <c r="AL51" i="1"/>
  <c r="AP51" i="1" s="1"/>
  <c r="AE48" i="1"/>
  <c r="AL48" i="1"/>
  <c r="AP48" i="1" s="1"/>
  <c r="AE43" i="1"/>
  <c r="AL43" i="1"/>
  <c r="AP43" i="1" s="1"/>
  <c r="AE40" i="1"/>
  <c r="AL40" i="1"/>
  <c r="AP40" i="1" s="1"/>
  <c r="AE29" i="1"/>
  <c r="AL15" i="1"/>
  <c r="AP15" i="1" s="1"/>
  <c r="AL30" i="1"/>
  <c r="AL29" i="1"/>
  <c r="AL109" i="1"/>
  <c r="AY109" i="1"/>
  <c r="BR109" i="1"/>
  <c r="AU96" i="1"/>
  <c r="S100" i="117" s="1"/>
  <c r="AU91" i="1"/>
  <c r="S95" i="117" s="1"/>
  <c r="AU88" i="1"/>
  <c r="S92" i="117" s="1"/>
  <c r="AU87" i="1"/>
  <c r="AU81" i="1"/>
  <c r="AU84" i="1"/>
  <c r="S88" i="117" s="1"/>
  <c r="AU94" i="1"/>
  <c r="S98" i="117" s="1"/>
  <c r="AU92" i="1"/>
  <c r="S96" i="117" s="1"/>
  <c r="AU86" i="1"/>
  <c r="S90" i="117" s="1"/>
  <c r="AU77" i="1"/>
  <c r="AU71" i="1"/>
  <c r="AU66" i="1"/>
  <c r="AU60" i="1"/>
  <c r="AU56" i="1"/>
  <c r="AU107" i="1" s="1"/>
  <c r="S111" i="117" s="1"/>
  <c r="AU53" i="1"/>
  <c r="AU50" i="1"/>
  <c r="AU45" i="1"/>
  <c r="AU41" i="1"/>
  <c r="AU30" i="1"/>
  <c r="S34" i="117" s="1"/>
  <c r="AU83" i="1"/>
  <c r="AU80" i="1"/>
  <c r="AU78" i="1"/>
  <c r="AU73" i="1"/>
  <c r="AU70" i="1"/>
  <c r="AU67" i="1"/>
  <c r="AU65" i="1"/>
  <c r="AU63" i="1"/>
  <c r="AU55" i="1"/>
  <c r="AU52" i="1"/>
  <c r="AU47" i="1"/>
  <c r="AU44" i="1"/>
  <c r="AU40" i="1"/>
  <c r="AU33" i="1"/>
  <c r="S37" i="117" s="1"/>
  <c r="AU75" i="1"/>
  <c r="AU72" i="1"/>
  <c r="AU64" i="1"/>
  <c r="AU62" i="1"/>
  <c r="AU59" i="1"/>
  <c r="AU54" i="1"/>
  <c r="AU49" i="1"/>
  <c r="AU46" i="1"/>
  <c r="AU36" i="1"/>
  <c r="S40" i="117" s="1"/>
  <c r="AU85" i="1"/>
  <c r="S89" i="117" s="1"/>
  <c r="AU82" i="1"/>
  <c r="S86" i="117" s="1"/>
  <c r="AU79" i="1"/>
  <c r="AU76" i="1"/>
  <c r="AU74" i="1"/>
  <c r="AU69" i="1"/>
  <c r="AU68" i="1"/>
  <c r="AU61" i="1"/>
  <c r="AU58" i="1"/>
  <c r="AU57" i="1"/>
  <c r="AU51" i="1"/>
  <c r="AU48" i="1"/>
  <c r="AU43" i="1"/>
  <c r="AU39" i="1"/>
  <c r="S43" i="117" s="1"/>
  <c r="AU34" i="1"/>
  <c r="AU10" i="1"/>
  <c r="AP56" i="1" l="1"/>
  <c r="AP107" i="1" s="1"/>
  <c r="AL107" i="1"/>
  <c r="BN56" i="1"/>
  <c r="AH107" i="1"/>
  <c r="BN107" i="1" s="1"/>
  <c r="CE107" i="1" s="1"/>
  <c r="AK113" i="117"/>
  <c r="AZ113" i="117" s="1"/>
  <c r="S75" i="117"/>
  <c r="S91" i="117"/>
  <c r="S54" i="117"/>
  <c r="W113" i="117"/>
  <c r="AY83" i="1"/>
  <c r="BS83" i="1" s="1"/>
  <c r="S87" i="117"/>
  <c r="S72" i="117"/>
  <c r="S14" i="117"/>
  <c r="S51" i="117"/>
  <c r="S33" i="117"/>
  <c r="M8" i="30"/>
  <c r="N8" i="30" s="1"/>
  <c r="K230" i="117"/>
  <c r="BN39" i="1"/>
  <c r="BN38" i="1"/>
  <c r="S63" i="117"/>
  <c r="S84" i="117"/>
  <c r="S55" i="117"/>
  <c r="S76" i="117"/>
  <c r="S52" i="117"/>
  <c r="S73" i="117"/>
  <c r="S74" i="117"/>
  <c r="S53" i="117"/>
  <c r="S58" i="117"/>
  <c r="S79" i="117"/>
  <c r="S70" i="117"/>
  <c r="S49" i="117"/>
  <c r="S78" i="117"/>
  <c r="S57" i="117"/>
  <c r="BR62" i="1"/>
  <c r="BR47" i="1"/>
  <c r="BR37" i="1"/>
  <c r="BR53" i="1"/>
  <c r="BR50" i="1"/>
  <c r="S46" i="117"/>
  <c r="S67" i="117"/>
  <c r="S56" i="117"/>
  <c r="S77" i="117"/>
  <c r="S47" i="117"/>
  <c r="S68" i="117"/>
  <c r="S82" i="117"/>
  <c r="S61" i="117"/>
  <c r="S48" i="117"/>
  <c r="S69" i="117"/>
  <c r="S62" i="117"/>
  <c r="S83" i="117"/>
  <c r="S50" i="117"/>
  <c r="S71" i="117"/>
  <c r="S60" i="117"/>
  <c r="S81" i="117"/>
  <c r="BR51" i="1"/>
  <c r="BR44" i="1"/>
  <c r="BR38" i="1"/>
  <c r="BR54" i="1"/>
  <c r="S44" i="117"/>
  <c r="S65" i="117"/>
  <c r="S59" i="117"/>
  <c r="S80" i="117"/>
  <c r="BR39" i="1"/>
  <c r="BR55" i="1"/>
  <c r="BR48" i="1"/>
  <c r="BR45" i="1"/>
  <c r="S66" i="117"/>
  <c r="S45" i="117"/>
  <c r="S64" i="117"/>
  <c r="S85" i="117"/>
  <c r="BR36" i="1"/>
  <c r="P11" i="30" s="1"/>
  <c r="Q11" i="30" s="1"/>
  <c r="BR52" i="1"/>
  <c r="BR49" i="1"/>
  <c r="BR46" i="1"/>
  <c r="AI62" i="1"/>
  <c r="BO62" i="1" s="1"/>
  <c r="AI10" i="1"/>
  <c r="BO10" i="1" s="1"/>
  <c r="AI87" i="1"/>
  <c r="BO87" i="1" s="1"/>
  <c r="I230" i="117"/>
  <c r="AI56" i="1"/>
  <c r="AI57" i="1"/>
  <c r="BO57" i="1" s="1"/>
  <c r="AI66" i="1"/>
  <c r="BO66" i="1" s="1"/>
  <c r="J230" i="117"/>
  <c r="AI51" i="1"/>
  <c r="BO51" i="1" s="1"/>
  <c r="AI40" i="1"/>
  <c r="BO40" i="1" s="1"/>
  <c r="AI38" i="1"/>
  <c r="BO38" i="1" s="1"/>
  <c r="AI44" i="1"/>
  <c r="BO44" i="1" s="1"/>
  <c r="AI48" i="1"/>
  <c r="BO48" i="1" s="1"/>
  <c r="AI46" i="1"/>
  <c r="BO46" i="1" s="1"/>
  <c r="AI54" i="1"/>
  <c r="BO54" i="1" s="1"/>
  <c r="AI36" i="1"/>
  <c r="BO36" i="1" s="1"/>
  <c r="AI52" i="1"/>
  <c r="BO52" i="1" s="1"/>
  <c r="AI37" i="1"/>
  <c r="BO37" i="1" s="1"/>
  <c r="G11" i="30" s="1"/>
  <c r="AI45" i="1"/>
  <c r="BO45" i="1" s="1"/>
  <c r="AI53" i="1"/>
  <c r="BO53" i="1" s="1"/>
  <c r="AF78" i="1"/>
  <c r="AJ78" i="1" s="1"/>
  <c r="BP78" i="1" s="1"/>
  <c r="AI78" i="1"/>
  <c r="BO78" i="1" s="1"/>
  <c r="AI76" i="1"/>
  <c r="BO76" i="1" s="1"/>
  <c r="AI43" i="1"/>
  <c r="BO43" i="1" s="1"/>
  <c r="AI41" i="1"/>
  <c r="BO41" i="1" s="1"/>
  <c r="AI39" i="1"/>
  <c r="BO39" i="1" s="1"/>
  <c r="AI47" i="1"/>
  <c r="BO47" i="1" s="1"/>
  <c r="AI55" i="1"/>
  <c r="BO55" i="1" s="1"/>
  <c r="AI49" i="1"/>
  <c r="BO49" i="1" s="1"/>
  <c r="AI42" i="1"/>
  <c r="BO42" i="1" s="1"/>
  <c r="AI50" i="1"/>
  <c r="BO50" i="1" s="1"/>
  <c r="AM70" i="1"/>
  <c r="AY38" i="1"/>
  <c r="AK42" i="117" s="1"/>
  <c r="AY36" i="1"/>
  <c r="AK40" i="117" s="1"/>
  <c r="AY49" i="1"/>
  <c r="AY44" i="1"/>
  <c r="AY53" i="1"/>
  <c r="AY39" i="1"/>
  <c r="AK43" i="117" s="1"/>
  <c r="AY37" i="1"/>
  <c r="AK41" i="117" s="1"/>
  <c r="AY48" i="1"/>
  <c r="AY52" i="1"/>
  <c r="AY45" i="1"/>
  <c r="AY51" i="1"/>
  <c r="AY46" i="1"/>
  <c r="AY54" i="1"/>
  <c r="AY47" i="1"/>
  <c r="AY55" i="1"/>
  <c r="AY50" i="1"/>
  <c r="AY62" i="1"/>
  <c r="E11" i="30"/>
  <c r="AP109" i="1"/>
  <c r="AM68" i="1"/>
  <c r="AM96" i="1"/>
  <c r="AM77" i="1"/>
  <c r="AQ77" i="1" s="1"/>
  <c r="BO77" i="1"/>
  <c r="AM83" i="1"/>
  <c r="AQ83" i="1" s="1"/>
  <c r="BO83" i="1"/>
  <c r="AM80" i="1"/>
  <c r="AM93" i="1"/>
  <c r="AM74" i="1"/>
  <c r="AM87" i="1"/>
  <c r="AQ87" i="1" s="1"/>
  <c r="AM82" i="1"/>
  <c r="AF72" i="1"/>
  <c r="AM72" i="1"/>
  <c r="AF94" i="1"/>
  <c r="AN94" i="1" s="1"/>
  <c r="AM73" i="1"/>
  <c r="AM67" i="1"/>
  <c r="AQ67" i="1" s="1"/>
  <c r="AF88" i="1"/>
  <c r="AG88" i="1" s="1"/>
  <c r="AV37" i="1"/>
  <c r="T41" i="117" s="1"/>
  <c r="AF97" i="1"/>
  <c r="AF84" i="1"/>
  <c r="AM88" i="1"/>
  <c r="AQ88" i="1" s="1"/>
  <c r="AF86" i="1"/>
  <c r="AM94" i="1"/>
  <c r="AF67" i="1"/>
  <c r="AM84" i="1"/>
  <c r="AQ84" i="1" s="1"/>
  <c r="AF73" i="1"/>
  <c r="AM86" i="1"/>
  <c r="AF90" i="1"/>
  <c r="AM69" i="1"/>
  <c r="AQ69" i="1" s="1"/>
  <c r="AF82" i="1"/>
  <c r="AM76" i="1"/>
  <c r="AQ76" i="1" s="1"/>
  <c r="AM78" i="1"/>
  <c r="AQ78" i="1" s="1"/>
  <c r="AM97" i="1"/>
  <c r="AF69" i="1"/>
  <c r="AF76" i="1"/>
  <c r="AM95" i="1"/>
  <c r="AF89" i="1"/>
  <c r="AF95" i="1"/>
  <c r="AM89" i="1"/>
  <c r="AM91" i="1"/>
  <c r="AF91" i="1"/>
  <c r="AM109" i="1"/>
  <c r="AQ109" i="1" s="1"/>
  <c r="BO109" i="1"/>
  <c r="AV15" i="1"/>
  <c r="AF83" i="1"/>
  <c r="AJ83" i="1" s="1"/>
  <c r="AF85" i="1"/>
  <c r="AF93" i="1"/>
  <c r="AF68" i="1"/>
  <c r="AF74" i="1"/>
  <c r="AF80" i="1"/>
  <c r="AF96" i="1"/>
  <c r="AM15" i="1"/>
  <c r="AQ15" i="1" s="1"/>
  <c r="AF77" i="1"/>
  <c r="AJ77" i="1" s="1"/>
  <c r="AF81" i="1"/>
  <c r="AF87" i="1"/>
  <c r="AM30" i="1"/>
  <c r="AV89" i="1"/>
  <c r="T93" i="117" s="1"/>
  <c r="AF70" i="1"/>
  <c r="AF92" i="1"/>
  <c r="AV93" i="1"/>
  <c r="T97" i="117" s="1"/>
  <c r="AV95" i="1"/>
  <c r="T99" i="117" s="1"/>
  <c r="AV29" i="1"/>
  <c r="AV90" i="1"/>
  <c r="T94" i="117" s="1"/>
  <c r="AV97" i="1"/>
  <c r="T101" i="117" s="1"/>
  <c r="AF15" i="1"/>
  <c r="AV38" i="1"/>
  <c r="T42" i="117" s="1"/>
  <c r="AF30" i="1"/>
  <c r="AV42" i="1"/>
  <c r="AV48" i="1"/>
  <c r="AV58" i="1"/>
  <c r="AV68" i="1"/>
  <c r="AV74" i="1"/>
  <c r="AV79" i="1"/>
  <c r="AV46" i="1"/>
  <c r="AV54" i="1"/>
  <c r="AV62" i="1"/>
  <c r="AV64" i="1"/>
  <c r="AV72" i="1"/>
  <c r="AV47" i="1"/>
  <c r="AV55" i="1"/>
  <c r="AV63" i="1"/>
  <c r="AV65" i="1"/>
  <c r="AV67" i="1"/>
  <c r="AV73" i="1"/>
  <c r="AV80" i="1"/>
  <c r="AV81" i="1"/>
  <c r="AF29" i="1"/>
  <c r="AM29" i="1"/>
  <c r="AM51" i="1"/>
  <c r="AQ51" i="1" s="1"/>
  <c r="AF51" i="1"/>
  <c r="AM61" i="1"/>
  <c r="AF61" i="1"/>
  <c r="AF46" i="1"/>
  <c r="AM46" i="1"/>
  <c r="AQ46" i="1" s="1"/>
  <c r="AF64" i="1"/>
  <c r="AM64" i="1"/>
  <c r="AQ64" i="1" s="1"/>
  <c r="AF44" i="1"/>
  <c r="AM44" i="1"/>
  <c r="AQ44" i="1" s="1"/>
  <c r="AF50" i="1"/>
  <c r="AM50" i="1"/>
  <c r="AQ50" i="1" s="1"/>
  <c r="AF60" i="1"/>
  <c r="AM60" i="1"/>
  <c r="AF66" i="1"/>
  <c r="AM66" i="1"/>
  <c r="AQ66" i="1" s="1"/>
  <c r="AG79" i="1"/>
  <c r="AN79" i="1"/>
  <c r="AV34" i="1"/>
  <c r="AV39" i="1"/>
  <c r="T43" i="117" s="1"/>
  <c r="AV33" i="1"/>
  <c r="AV45" i="1"/>
  <c r="AV53" i="1"/>
  <c r="AV71" i="1"/>
  <c r="AV92" i="1"/>
  <c r="T96" i="117" s="1"/>
  <c r="AF48" i="1"/>
  <c r="AM48" i="1"/>
  <c r="AQ48" i="1" s="1"/>
  <c r="AF58" i="1"/>
  <c r="AM58" i="1"/>
  <c r="AM41" i="1"/>
  <c r="AQ41" i="1" s="1"/>
  <c r="AF41" i="1"/>
  <c r="AM39" i="1"/>
  <c r="AQ39" i="1" s="1"/>
  <c r="AF39" i="1"/>
  <c r="AM55" i="1"/>
  <c r="AQ55" i="1" s="1"/>
  <c r="AF55" i="1"/>
  <c r="AM63" i="1"/>
  <c r="AQ63" i="1" s="1"/>
  <c r="AF63" i="1"/>
  <c r="AM45" i="1"/>
  <c r="AQ45" i="1" s="1"/>
  <c r="AF45" i="1"/>
  <c r="AV10" i="1"/>
  <c r="AV43" i="1"/>
  <c r="AV51" i="1"/>
  <c r="AV57" i="1"/>
  <c r="AV61" i="1"/>
  <c r="AV69" i="1"/>
  <c r="AV76" i="1"/>
  <c r="AV82" i="1"/>
  <c r="T86" i="117" s="1"/>
  <c r="AV85" i="1"/>
  <c r="T89" i="117" s="1"/>
  <c r="AV36" i="1"/>
  <c r="T40" i="117" s="1"/>
  <c r="AV49" i="1"/>
  <c r="AV59" i="1"/>
  <c r="AV75" i="1"/>
  <c r="AV44" i="1"/>
  <c r="AV52" i="1"/>
  <c r="AV70" i="1"/>
  <c r="AV78" i="1"/>
  <c r="AV83" i="1"/>
  <c r="AV87" i="1"/>
  <c r="AV88" i="1"/>
  <c r="T92" i="117" s="1"/>
  <c r="AV91" i="1"/>
  <c r="T95" i="117" s="1"/>
  <c r="AV96" i="1"/>
  <c r="T100" i="117" s="1"/>
  <c r="AZ109" i="1"/>
  <c r="AQ113" i="117" s="1"/>
  <c r="BA113" i="117" s="1"/>
  <c r="BS109" i="1"/>
  <c r="AM43" i="1"/>
  <c r="AQ43" i="1" s="1"/>
  <c r="AF43" i="1"/>
  <c r="AM57" i="1"/>
  <c r="AQ57" i="1" s="1"/>
  <c r="AF57" i="1"/>
  <c r="AM75" i="1"/>
  <c r="AF75" i="1"/>
  <c r="AF38" i="1"/>
  <c r="AM38" i="1"/>
  <c r="AQ38" i="1" s="1"/>
  <c r="AF54" i="1"/>
  <c r="AM54" i="1"/>
  <c r="AQ54" i="1" s="1"/>
  <c r="AF62" i="1"/>
  <c r="AM62" i="1"/>
  <c r="AQ62" i="1" s="1"/>
  <c r="AF33" i="1"/>
  <c r="AM33" i="1"/>
  <c r="AF36" i="1"/>
  <c r="AM36" i="1"/>
  <c r="AQ36" i="1" s="1"/>
  <c r="AF52" i="1"/>
  <c r="AM52" i="1"/>
  <c r="AQ52" i="1" s="1"/>
  <c r="AF42" i="1"/>
  <c r="AM42" i="1"/>
  <c r="AQ42" i="1" s="1"/>
  <c r="AF56" i="1"/>
  <c r="AF107" i="1" s="1"/>
  <c r="AM56" i="1"/>
  <c r="AV40" i="1"/>
  <c r="AV30" i="1"/>
  <c r="T34" i="117" s="1"/>
  <c r="AV41" i="1"/>
  <c r="AV50" i="1"/>
  <c r="AV56" i="1"/>
  <c r="AV107" i="1" s="1"/>
  <c r="T111" i="117" s="1"/>
  <c r="AV60" i="1"/>
  <c r="AV66" i="1"/>
  <c r="AV77" i="1"/>
  <c r="AV86" i="1"/>
  <c r="T90" i="117" s="1"/>
  <c r="AV94" i="1"/>
  <c r="T98" i="117" s="1"/>
  <c r="AV84" i="1"/>
  <c r="T88" i="117" s="1"/>
  <c r="AF40" i="1"/>
  <c r="AM40" i="1"/>
  <c r="AQ40" i="1" s="1"/>
  <c r="AM71" i="1"/>
  <c r="AF71" i="1"/>
  <c r="AM49" i="1"/>
  <c r="AQ49" i="1" s="1"/>
  <c r="AF49" i="1"/>
  <c r="AM59" i="1"/>
  <c r="AF59" i="1"/>
  <c r="AF10" i="1"/>
  <c r="AM10" i="1"/>
  <c r="AQ10" i="1" s="1"/>
  <c r="AM47" i="1"/>
  <c r="AQ47" i="1" s="1"/>
  <c r="AF47" i="1"/>
  <c r="AM65" i="1"/>
  <c r="AF65" i="1"/>
  <c r="AF34" i="1"/>
  <c r="AM34" i="1"/>
  <c r="AM37" i="1"/>
  <c r="AQ37" i="1" s="1"/>
  <c r="AF37" i="1"/>
  <c r="AM53" i="1"/>
  <c r="AQ53" i="1" s="1"/>
  <c r="AF53" i="1"/>
  <c r="AQ56" i="1" l="1"/>
  <c r="AQ107" i="1" s="1"/>
  <c r="AM107" i="1"/>
  <c r="BO56" i="1"/>
  <c r="AI107" i="1"/>
  <c r="BO107" i="1" s="1"/>
  <c r="CF107" i="1" s="1"/>
  <c r="AL113" i="117"/>
  <c r="AK54" i="117"/>
  <c r="AK53" i="117"/>
  <c r="AK66" i="117"/>
  <c r="AK57" i="117"/>
  <c r="AZ48" i="117"/>
  <c r="AK58" i="117"/>
  <c r="AZ58" i="117" s="1"/>
  <c r="AK52" i="117"/>
  <c r="AZ52" i="117" s="1"/>
  <c r="AK56" i="117"/>
  <c r="AZ56" i="117" s="1"/>
  <c r="AZ49" i="117"/>
  <c r="AK59" i="117"/>
  <c r="AZ59" i="117" s="1"/>
  <c r="AK55" i="117"/>
  <c r="AZ55" i="117" s="1"/>
  <c r="AK87" i="117"/>
  <c r="AZ87" i="117" s="1"/>
  <c r="W87" i="117"/>
  <c r="T75" i="117"/>
  <c r="T91" i="117"/>
  <c r="T54" i="117"/>
  <c r="X113" i="117"/>
  <c r="AZ83" i="1"/>
  <c r="BT83" i="1" s="1"/>
  <c r="T87" i="117"/>
  <c r="S38" i="117"/>
  <c r="T51" i="117"/>
  <c r="T14" i="117"/>
  <c r="T72" i="117"/>
  <c r="T33" i="117"/>
  <c r="T37" i="117"/>
  <c r="AG78" i="1"/>
  <c r="AK78" i="1" s="1"/>
  <c r="BQ78" i="1" s="1"/>
  <c r="CH78" i="1" s="1"/>
  <c r="AN78" i="1"/>
  <c r="AR78" i="1" s="1"/>
  <c r="T63" i="117"/>
  <c r="T84" i="117"/>
  <c r="T69" i="117"/>
  <c r="T48" i="117"/>
  <c r="T44" i="117"/>
  <c r="T65" i="117"/>
  <c r="T47" i="117"/>
  <c r="T68" i="117"/>
  <c r="T49" i="117"/>
  <c r="T70" i="117"/>
  <c r="T59" i="117"/>
  <c r="T80" i="117"/>
  <c r="T76" i="117"/>
  <c r="T55" i="117"/>
  <c r="T64" i="117"/>
  <c r="T85" i="117"/>
  <c r="T66" i="117"/>
  <c r="T45" i="117"/>
  <c r="T73" i="117"/>
  <c r="T52" i="117"/>
  <c r="T83" i="117"/>
  <c r="T62" i="117"/>
  <c r="BS62" i="1"/>
  <c r="BS47" i="1"/>
  <c r="BS51" i="1"/>
  <c r="BS48" i="1"/>
  <c r="BS53" i="1"/>
  <c r="BS38" i="1"/>
  <c r="W42" i="117"/>
  <c r="T71" i="117"/>
  <c r="T50" i="117"/>
  <c r="T56" i="117"/>
  <c r="T77" i="117"/>
  <c r="BS50" i="1"/>
  <c r="BS37" i="1"/>
  <c r="S11" i="30" s="1"/>
  <c r="T11" i="30" s="1"/>
  <c r="W41" i="117"/>
  <c r="AL41" i="117" s="1"/>
  <c r="BS44" i="1"/>
  <c r="T57" i="117"/>
  <c r="T78" i="117"/>
  <c r="T61" i="117"/>
  <c r="T82" i="117"/>
  <c r="T74" i="117"/>
  <c r="T53" i="117"/>
  <c r="T81" i="117"/>
  <c r="T60" i="117"/>
  <c r="BS54" i="1"/>
  <c r="BS45" i="1"/>
  <c r="BS49" i="1"/>
  <c r="T79" i="117"/>
  <c r="T58" i="117"/>
  <c r="T67" i="117"/>
  <c r="T46" i="117"/>
  <c r="BS55" i="1"/>
  <c r="BS46" i="1"/>
  <c r="BS52" i="1"/>
  <c r="BS39" i="1"/>
  <c r="W43" i="117"/>
  <c r="BS36" i="1"/>
  <c r="W40" i="117"/>
  <c r="AY44" i="117"/>
  <c r="AY47" i="117"/>
  <c r="AJ62" i="1"/>
  <c r="BP62" i="1" s="1"/>
  <c r="AJ66" i="1"/>
  <c r="BP66" i="1" s="1"/>
  <c r="AJ56" i="1"/>
  <c r="AJ76" i="1"/>
  <c r="BP76" i="1" s="1"/>
  <c r="AY46" i="117"/>
  <c r="AY45" i="117"/>
  <c r="AJ57" i="1"/>
  <c r="BP57" i="1" s="1"/>
  <c r="AJ87" i="1"/>
  <c r="BP87" i="1" s="1"/>
  <c r="AJ10" i="1"/>
  <c r="BP10" i="1" s="1"/>
  <c r="AJ38" i="1"/>
  <c r="BP38" i="1" s="1"/>
  <c r="J11" i="30" s="1"/>
  <c r="AJ53" i="1"/>
  <c r="BP53" i="1" s="1"/>
  <c r="AJ47" i="1"/>
  <c r="BP47" i="1" s="1"/>
  <c r="AJ40" i="1"/>
  <c r="BP40" i="1" s="1"/>
  <c r="AJ42" i="1"/>
  <c r="BP42" i="1" s="1"/>
  <c r="AJ52" i="1"/>
  <c r="BP52" i="1" s="1"/>
  <c r="AJ39" i="1"/>
  <c r="BP39" i="1" s="1"/>
  <c r="AJ46" i="1"/>
  <c r="BP46" i="1" s="1"/>
  <c r="AJ50" i="1"/>
  <c r="BP50" i="1" s="1"/>
  <c r="AJ51" i="1"/>
  <c r="BP51" i="1" s="1"/>
  <c r="AJ49" i="1"/>
  <c r="BP49" i="1" s="1"/>
  <c r="AJ41" i="1"/>
  <c r="BP41" i="1" s="1"/>
  <c r="AJ48" i="1"/>
  <c r="BP48" i="1" s="1"/>
  <c r="AJ44" i="1"/>
  <c r="BP44" i="1" s="1"/>
  <c r="AJ37" i="1"/>
  <c r="BP37" i="1" s="1"/>
  <c r="AJ36" i="1"/>
  <c r="BP36" i="1" s="1"/>
  <c r="AJ43" i="1"/>
  <c r="BP43" i="1" s="1"/>
  <c r="AJ45" i="1"/>
  <c r="BP45" i="1" s="1"/>
  <c r="AJ55" i="1"/>
  <c r="BP55" i="1" s="1"/>
  <c r="AG97" i="1"/>
  <c r="AJ54" i="1"/>
  <c r="BP54" i="1" s="1"/>
  <c r="AN72" i="1"/>
  <c r="AZ36" i="1"/>
  <c r="AQ40" i="117" s="1"/>
  <c r="AZ39" i="1"/>
  <c r="AQ43" i="117" s="1"/>
  <c r="AZ50" i="1"/>
  <c r="AZ44" i="1"/>
  <c r="AZ45" i="1"/>
  <c r="AZ47" i="1"/>
  <c r="AZ46" i="1"/>
  <c r="AZ49" i="1"/>
  <c r="AZ52" i="1"/>
  <c r="AZ51" i="1"/>
  <c r="AZ53" i="1"/>
  <c r="AZ55" i="1"/>
  <c r="AZ54" i="1"/>
  <c r="AZ48" i="1"/>
  <c r="AZ38" i="1"/>
  <c r="AQ42" i="117" s="1"/>
  <c r="AZ37" i="1"/>
  <c r="AQ41" i="117" s="1"/>
  <c r="AZ62" i="1"/>
  <c r="H11" i="30"/>
  <c r="G14" i="30"/>
  <c r="AG94" i="1"/>
  <c r="AO94" i="1" s="1"/>
  <c r="AW37" i="1"/>
  <c r="AG72" i="1"/>
  <c r="AG67" i="1"/>
  <c r="AN73" i="1"/>
  <c r="AN88" i="1"/>
  <c r="AR88" i="1" s="1"/>
  <c r="AG82" i="1"/>
  <c r="AO82" i="1" s="1"/>
  <c r="AN67" i="1"/>
  <c r="AR67" i="1" s="1"/>
  <c r="AN82" i="1"/>
  <c r="AG73" i="1"/>
  <c r="AN95" i="1"/>
  <c r="AN97" i="1"/>
  <c r="AG86" i="1"/>
  <c r="AN84" i="1"/>
  <c r="AR84" i="1" s="1"/>
  <c r="AG76" i="1"/>
  <c r="AN69" i="1"/>
  <c r="AR69" i="1" s="1"/>
  <c r="AN90" i="1"/>
  <c r="AR90" i="1" s="1"/>
  <c r="AN86" i="1"/>
  <c r="AG84" i="1"/>
  <c r="AN76" i="1"/>
  <c r="AR76" i="1" s="1"/>
  <c r="AG69" i="1"/>
  <c r="AG90" i="1"/>
  <c r="AO90" i="1" s="1"/>
  <c r="AS90" i="1" s="1"/>
  <c r="R94" i="117" s="1"/>
  <c r="AG91" i="1"/>
  <c r="AN91" i="1"/>
  <c r="AG95" i="1"/>
  <c r="AW15" i="1"/>
  <c r="AG89" i="1"/>
  <c r="AN89" i="1"/>
  <c r="AW89" i="1"/>
  <c r="U93" i="117" s="1"/>
  <c r="AW93" i="1"/>
  <c r="U97" i="117" s="1"/>
  <c r="AW95" i="1"/>
  <c r="U99" i="117" s="1"/>
  <c r="AG30" i="1"/>
  <c r="BP109" i="1"/>
  <c r="AN70" i="1"/>
  <c r="AG70" i="1"/>
  <c r="AN87" i="1"/>
  <c r="AR87" i="1" s="1"/>
  <c r="AG87" i="1"/>
  <c r="AG81" i="1"/>
  <c r="AN81" i="1"/>
  <c r="AN96" i="1"/>
  <c r="AG96" i="1"/>
  <c r="AG80" i="1"/>
  <c r="AN80" i="1"/>
  <c r="AN68" i="1"/>
  <c r="AG68" i="1"/>
  <c r="AN93" i="1"/>
  <c r="AG93" i="1"/>
  <c r="AG85" i="1"/>
  <c r="AN85" i="1"/>
  <c r="AG15" i="1"/>
  <c r="AN92" i="1"/>
  <c r="AG92" i="1"/>
  <c r="BP77" i="1"/>
  <c r="AN77" i="1"/>
  <c r="AR77" i="1" s="1"/>
  <c r="AG77" i="1"/>
  <c r="AK77" i="1" s="1"/>
  <c r="AN74" i="1"/>
  <c r="AG74" i="1"/>
  <c r="BP83" i="1"/>
  <c r="AN83" i="1"/>
  <c r="AR83" i="1" s="1"/>
  <c r="AG83" i="1"/>
  <c r="AK83" i="1" s="1"/>
  <c r="AW29" i="1"/>
  <c r="AN15" i="1"/>
  <c r="AR15" i="1" s="1"/>
  <c r="AW38" i="1"/>
  <c r="AW97" i="1"/>
  <c r="U101" i="117" s="1"/>
  <c r="AW90" i="1"/>
  <c r="U94" i="117" s="1"/>
  <c r="AW42" i="1"/>
  <c r="AN30" i="1"/>
  <c r="AN109" i="1"/>
  <c r="AR109" i="1" s="1"/>
  <c r="AG34" i="1"/>
  <c r="AN34" i="1"/>
  <c r="AG65" i="1"/>
  <c r="AN65" i="1"/>
  <c r="AG37" i="1"/>
  <c r="AN37" i="1"/>
  <c r="AR37" i="1" s="1"/>
  <c r="AG49" i="1"/>
  <c r="AN49" i="1"/>
  <c r="AR49" i="1" s="1"/>
  <c r="AG40" i="1"/>
  <c r="AN40" i="1"/>
  <c r="AR40" i="1" s="1"/>
  <c r="AW84" i="1"/>
  <c r="U88" i="117" s="1"/>
  <c r="AW94" i="1"/>
  <c r="U98" i="117" s="1"/>
  <c r="AW86" i="1"/>
  <c r="U90" i="117" s="1"/>
  <c r="AW56" i="1"/>
  <c r="AW107" i="1" s="1"/>
  <c r="U111" i="117" s="1"/>
  <c r="AW41" i="1"/>
  <c r="AW30" i="1"/>
  <c r="AG56" i="1"/>
  <c r="AG107" i="1" s="1"/>
  <c r="AN56" i="1"/>
  <c r="AG62" i="1"/>
  <c r="AN62" i="1"/>
  <c r="AR62" i="1" s="1"/>
  <c r="AG75" i="1"/>
  <c r="AN75" i="1"/>
  <c r="AG43" i="1"/>
  <c r="AN43" i="1"/>
  <c r="AR43" i="1" s="1"/>
  <c r="AW96" i="1"/>
  <c r="U100" i="117" s="1"/>
  <c r="AW43" i="1"/>
  <c r="AG55" i="1"/>
  <c r="AN55" i="1"/>
  <c r="AR55" i="1" s="1"/>
  <c r="AG58" i="1"/>
  <c r="AN58" i="1"/>
  <c r="AW92" i="1"/>
  <c r="U96" i="117" s="1"/>
  <c r="AW53" i="1"/>
  <c r="AW33" i="1"/>
  <c r="AG64" i="1"/>
  <c r="AN64" i="1"/>
  <c r="AR64" i="1" s="1"/>
  <c r="AW80" i="1"/>
  <c r="AW79" i="1"/>
  <c r="AG53" i="1"/>
  <c r="AN53" i="1"/>
  <c r="AR53" i="1" s="1"/>
  <c r="AG47" i="1"/>
  <c r="AN47" i="1"/>
  <c r="AR47" i="1" s="1"/>
  <c r="AG59" i="1"/>
  <c r="AN59" i="1"/>
  <c r="AW77" i="1"/>
  <c r="AG36" i="1"/>
  <c r="AN36" i="1"/>
  <c r="AR36" i="1" s="1"/>
  <c r="AG57" i="1"/>
  <c r="AN57" i="1"/>
  <c r="AR57" i="1" s="1"/>
  <c r="BA109" i="1"/>
  <c r="BT109" i="1"/>
  <c r="AW88" i="1"/>
  <c r="U92" i="117" s="1"/>
  <c r="AW78" i="1"/>
  <c r="AW52" i="1"/>
  <c r="AW75" i="1"/>
  <c r="AW59" i="1"/>
  <c r="AW49" i="1"/>
  <c r="AW82" i="1"/>
  <c r="U86" i="117" s="1"/>
  <c r="AW69" i="1"/>
  <c r="AW57" i="1"/>
  <c r="AW10" i="1"/>
  <c r="AG63" i="1"/>
  <c r="AN63" i="1"/>
  <c r="AR63" i="1" s="1"/>
  <c r="AW39" i="1"/>
  <c r="AO79" i="1"/>
  <c r="AG66" i="1"/>
  <c r="AN66" i="1"/>
  <c r="AR66" i="1" s="1"/>
  <c r="AG44" i="1"/>
  <c r="AN44" i="1"/>
  <c r="AR44" i="1" s="1"/>
  <c r="AG29" i="1"/>
  <c r="AN29" i="1"/>
  <c r="AW67" i="1"/>
  <c r="AW63" i="1"/>
  <c r="AW55" i="1"/>
  <c r="AW72" i="1"/>
  <c r="AW64" i="1"/>
  <c r="AW46" i="1"/>
  <c r="AW68" i="1"/>
  <c r="AG71" i="1"/>
  <c r="AN71" i="1"/>
  <c r="AW66" i="1"/>
  <c r="AW60" i="1"/>
  <c r="AW50" i="1"/>
  <c r="AW40" i="1"/>
  <c r="AG52" i="1"/>
  <c r="AN52" i="1"/>
  <c r="AR52" i="1" s="1"/>
  <c r="AG33" i="1"/>
  <c r="AN33" i="1"/>
  <c r="AG38" i="1"/>
  <c r="AN38" i="1"/>
  <c r="AR38" i="1" s="1"/>
  <c r="AW87" i="1"/>
  <c r="AW83" i="1"/>
  <c r="AW85" i="1"/>
  <c r="U89" i="117" s="1"/>
  <c r="AG45" i="1"/>
  <c r="AN45" i="1"/>
  <c r="AR45" i="1" s="1"/>
  <c r="AG41" i="1"/>
  <c r="AN41" i="1"/>
  <c r="AR41" i="1" s="1"/>
  <c r="AW71" i="1"/>
  <c r="AW45" i="1"/>
  <c r="AG50" i="1"/>
  <c r="AN50" i="1"/>
  <c r="AR50" i="1" s="1"/>
  <c r="AG46" i="1"/>
  <c r="AN46" i="1"/>
  <c r="AR46" i="1" s="1"/>
  <c r="AG51" i="1"/>
  <c r="AN51" i="1"/>
  <c r="AR51" i="1" s="1"/>
  <c r="AW81" i="1"/>
  <c r="AG10" i="1"/>
  <c r="AN10" i="1"/>
  <c r="AR10" i="1" s="1"/>
  <c r="AG42" i="1"/>
  <c r="AN42" i="1"/>
  <c r="AR42" i="1" s="1"/>
  <c r="AG54" i="1"/>
  <c r="AN54" i="1"/>
  <c r="AR54" i="1" s="1"/>
  <c r="AW91" i="1"/>
  <c r="U95" i="117" s="1"/>
  <c r="AW70" i="1"/>
  <c r="AW44" i="1"/>
  <c r="AW36" i="1"/>
  <c r="AW76" i="1"/>
  <c r="AW61" i="1"/>
  <c r="AW51" i="1"/>
  <c r="AG39" i="1"/>
  <c r="AN39" i="1"/>
  <c r="AR39" i="1" s="1"/>
  <c r="AG48" i="1"/>
  <c r="AN48" i="1"/>
  <c r="AR48" i="1" s="1"/>
  <c r="AW34" i="1"/>
  <c r="AO88" i="1"/>
  <c r="AS88" i="1" s="1"/>
  <c r="R92" i="117" s="1"/>
  <c r="AG60" i="1"/>
  <c r="AN60" i="1"/>
  <c r="AG61" i="1"/>
  <c r="AN61" i="1"/>
  <c r="AW73" i="1"/>
  <c r="AW65" i="1"/>
  <c r="AW47" i="1"/>
  <c r="AW62" i="1"/>
  <c r="AW54" i="1"/>
  <c r="AW74" i="1"/>
  <c r="AW58" i="1"/>
  <c r="AW48" i="1"/>
  <c r="BP56" i="1" l="1"/>
  <c r="AJ107" i="1"/>
  <c r="BP107" i="1" s="1"/>
  <c r="CG107" i="1" s="1"/>
  <c r="AR56" i="1"/>
  <c r="AR107" i="1" s="1"/>
  <c r="AN107" i="1"/>
  <c r="U40" i="117"/>
  <c r="U43" i="117"/>
  <c r="U42" i="117"/>
  <c r="U41" i="117"/>
  <c r="AU113" i="117"/>
  <c r="H113" i="117"/>
  <c r="AQ57" i="117"/>
  <c r="AQ56" i="117"/>
  <c r="AQ66" i="117"/>
  <c r="AQ49" i="117"/>
  <c r="AQ50" i="117"/>
  <c r="AQ48" i="117"/>
  <c r="AQ58" i="117"/>
  <c r="AQ59" i="117"/>
  <c r="AQ51" i="117"/>
  <c r="AQ87" i="117"/>
  <c r="AL87" i="117"/>
  <c r="U54" i="117"/>
  <c r="X87" i="117"/>
  <c r="U75" i="117"/>
  <c r="U91" i="117"/>
  <c r="BA83" i="1"/>
  <c r="U87" i="117"/>
  <c r="Y113" i="117"/>
  <c r="AR113" i="117"/>
  <c r="T38" i="117"/>
  <c r="U72" i="117"/>
  <c r="U14" i="117"/>
  <c r="U51" i="117"/>
  <c r="U34" i="117"/>
  <c r="U33" i="117"/>
  <c r="U37" i="117"/>
  <c r="AO97" i="1"/>
  <c r="AZ41" i="117"/>
  <c r="AO78" i="1"/>
  <c r="AS78" i="1" s="1"/>
  <c r="R82" i="117" s="1"/>
  <c r="AZ43" i="117"/>
  <c r="AL43" i="117"/>
  <c r="AL40" i="117"/>
  <c r="AZ40" i="117"/>
  <c r="AZ42" i="117"/>
  <c r="AL42" i="117"/>
  <c r="U62" i="117"/>
  <c r="U83" i="117"/>
  <c r="U49" i="117"/>
  <c r="U70" i="117"/>
  <c r="U56" i="117"/>
  <c r="U77" i="117"/>
  <c r="U76" i="117"/>
  <c r="U55" i="117"/>
  <c r="U45" i="117"/>
  <c r="U66" i="117"/>
  <c r="U57" i="117"/>
  <c r="U78" i="117"/>
  <c r="U44" i="117"/>
  <c r="U65" i="117"/>
  <c r="BT38" i="1"/>
  <c r="V11" i="30" s="1"/>
  <c r="W11" i="30" s="1"/>
  <c r="X42" i="117"/>
  <c r="BT53" i="1"/>
  <c r="BT49" i="1"/>
  <c r="BT45" i="1"/>
  <c r="U46" i="117"/>
  <c r="U67" i="117"/>
  <c r="U61" i="117"/>
  <c r="U82" i="117"/>
  <c r="U58" i="117"/>
  <c r="U79" i="117"/>
  <c r="U80" i="117"/>
  <c r="U59" i="117"/>
  <c r="BT48" i="1"/>
  <c r="BT51" i="1"/>
  <c r="BT44" i="1"/>
  <c r="BT36" i="1"/>
  <c r="X40" i="117"/>
  <c r="U48" i="117"/>
  <c r="U69" i="117"/>
  <c r="U60" i="117"/>
  <c r="U81" i="117"/>
  <c r="U68" i="117"/>
  <c r="U47" i="117"/>
  <c r="U50" i="117"/>
  <c r="U71" i="117"/>
  <c r="BT62" i="1"/>
  <c r="BT54" i="1"/>
  <c r="BT52" i="1"/>
  <c r="BT46" i="1"/>
  <c r="BT50" i="1"/>
  <c r="U53" i="117"/>
  <c r="U74" i="117"/>
  <c r="U64" i="117"/>
  <c r="U85" i="117"/>
  <c r="U52" i="117"/>
  <c r="U73" i="117"/>
  <c r="U84" i="117"/>
  <c r="U63" i="117"/>
  <c r="BT37" i="1"/>
  <c r="X41" i="117"/>
  <c r="BA41" i="117" s="1"/>
  <c r="BT55" i="1"/>
  <c r="BT47" i="1"/>
  <c r="BT39" i="1"/>
  <c r="X43" i="117"/>
  <c r="AK10" i="1"/>
  <c r="BQ10" i="1" s="1"/>
  <c r="CH10" i="1" s="1"/>
  <c r="AK87" i="1"/>
  <c r="BQ87" i="1" s="1"/>
  <c r="CH87" i="1" s="1"/>
  <c r="AZ54" i="117"/>
  <c r="AZ53" i="117"/>
  <c r="AK57" i="1"/>
  <c r="BQ57" i="1" s="1"/>
  <c r="CH57" i="1" s="1"/>
  <c r="AK66" i="1"/>
  <c r="BQ66" i="1" s="1"/>
  <c r="CH66" i="1" s="1"/>
  <c r="AK62" i="1"/>
  <c r="BQ62" i="1" s="1"/>
  <c r="CH62" i="1" s="1"/>
  <c r="AK56" i="1"/>
  <c r="AZ57" i="117"/>
  <c r="AZ66" i="117"/>
  <c r="AZ51" i="117"/>
  <c r="AK51" i="1"/>
  <c r="BQ51" i="1" s="1"/>
  <c r="CH51" i="1" s="1"/>
  <c r="AK45" i="1"/>
  <c r="AK52" i="1"/>
  <c r="BQ52" i="1" s="1"/>
  <c r="CH52" i="1" s="1"/>
  <c r="AK47" i="1"/>
  <c r="BQ47" i="1" s="1"/>
  <c r="CH47" i="1" s="1"/>
  <c r="AK40" i="1"/>
  <c r="BQ40" i="1" s="1"/>
  <c r="CH40" i="1" s="1"/>
  <c r="AK76" i="1"/>
  <c r="BQ76" i="1" s="1"/>
  <c r="CH76" i="1" s="1"/>
  <c r="AK44" i="1"/>
  <c r="BQ44" i="1" s="1"/>
  <c r="CH44" i="1" s="1"/>
  <c r="AK37" i="1"/>
  <c r="BQ37" i="1" s="1"/>
  <c r="CH37" i="1" s="1"/>
  <c r="AK48" i="1"/>
  <c r="BQ48" i="1" s="1"/>
  <c r="CH48" i="1" s="1"/>
  <c r="AK43" i="1"/>
  <c r="BQ43" i="1" s="1"/>
  <c r="CH43" i="1" s="1"/>
  <c r="AK46" i="1"/>
  <c r="AK36" i="1"/>
  <c r="BQ36" i="1" s="1"/>
  <c r="AK53" i="1"/>
  <c r="BQ53" i="1" s="1"/>
  <c r="CH53" i="1" s="1"/>
  <c r="AK49" i="1"/>
  <c r="BQ49" i="1" s="1"/>
  <c r="CH49" i="1" s="1"/>
  <c r="AK54" i="1"/>
  <c r="BQ54" i="1" s="1"/>
  <c r="CH54" i="1" s="1"/>
  <c r="AK50" i="1"/>
  <c r="BQ50" i="1" s="1"/>
  <c r="CH50" i="1" s="1"/>
  <c r="AK41" i="1"/>
  <c r="BQ41" i="1" s="1"/>
  <c r="CH41" i="1" s="1"/>
  <c r="AK38" i="1"/>
  <c r="BQ38" i="1" s="1"/>
  <c r="CH38" i="1" s="1"/>
  <c r="AK39" i="1"/>
  <c r="BQ39" i="1" s="1"/>
  <c r="AK42" i="1"/>
  <c r="BQ42" i="1" s="1"/>
  <c r="CH42" i="1" s="1"/>
  <c r="AK55" i="1"/>
  <c r="BQ55" i="1" s="1"/>
  <c r="CH55" i="1" s="1"/>
  <c r="AO84" i="1"/>
  <c r="AS84" i="1" s="1"/>
  <c r="R88" i="117" s="1"/>
  <c r="AO72" i="1"/>
  <c r="AO67" i="1"/>
  <c r="AS67" i="1" s="1"/>
  <c r="R71" i="117" s="1"/>
  <c r="AO73" i="1"/>
  <c r="BA39" i="1"/>
  <c r="BA37" i="1"/>
  <c r="BA54" i="1"/>
  <c r="BA52" i="1"/>
  <c r="BA44" i="1"/>
  <c r="BA48" i="1"/>
  <c r="BA36" i="1"/>
  <c r="BA49" i="1"/>
  <c r="BA53" i="1"/>
  <c r="BA45" i="1"/>
  <c r="BA46" i="1"/>
  <c r="BA55" i="1"/>
  <c r="BA47" i="1"/>
  <c r="BA51" i="1"/>
  <c r="BA50" i="1"/>
  <c r="BA38" i="1"/>
  <c r="BA62" i="1"/>
  <c r="H66" i="117" s="1"/>
  <c r="J14" i="30"/>
  <c r="K11" i="30"/>
  <c r="AO76" i="1"/>
  <c r="AS76" i="1" s="1"/>
  <c r="R80" i="117" s="1"/>
  <c r="AO30" i="1"/>
  <c r="AO89" i="1"/>
  <c r="AO69" i="1"/>
  <c r="AS69" i="1" s="1"/>
  <c r="R73" i="117" s="1"/>
  <c r="AO86" i="1"/>
  <c r="AO91" i="1"/>
  <c r="AO95" i="1"/>
  <c r="AO15" i="1"/>
  <c r="AS15" i="1" s="1"/>
  <c r="AO70" i="1"/>
  <c r="BQ83" i="1"/>
  <c r="CH83" i="1" s="1"/>
  <c r="AO83" i="1"/>
  <c r="AS83" i="1" s="1"/>
  <c r="R87" i="117" s="1"/>
  <c r="BQ77" i="1"/>
  <c r="CH77" i="1" s="1"/>
  <c r="AO77" i="1"/>
  <c r="AS77" i="1" s="1"/>
  <c r="R81" i="117" s="1"/>
  <c r="AO80" i="1"/>
  <c r="AO96" i="1"/>
  <c r="AO81" i="1"/>
  <c r="AO109" i="1"/>
  <c r="AS109" i="1" s="1"/>
  <c r="R113" i="117" s="1"/>
  <c r="BQ109" i="1"/>
  <c r="AO85" i="1"/>
  <c r="AO68" i="1"/>
  <c r="AO87" i="1"/>
  <c r="AS87" i="1" s="1"/>
  <c r="R91" i="117" s="1"/>
  <c r="AO74" i="1"/>
  <c r="AO92" i="1"/>
  <c r="AO93" i="1"/>
  <c r="BU109" i="1"/>
  <c r="AO61" i="1"/>
  <c r="AO10" i="1"/>
  <c r="AS10" i="1" s="1"/>
  <c r="R14" i="117" s="1"/>
  <c r="AO45" i="1"/>
  <c r="AS45" i="1" s="1"/>
  <c r="R49" i="117" s="1"/>
  <c r="AO33" i="1"/>
  <c r="AO53" i="1"/>
  <c r="AS53" i="1" s="1"/>
  <c r="R57" i="117" s="1"/>
  <c r="AO75" i="1"/>
  <c r="AO62" i="1"/>
  <c r="AS62" i="1" s="1"/>
  <c r="R66" i="117" s="1"/>
  <c r="AO40" i="1"/>
  <c r="AS40" i="1" s="1"/>
  <c r="R44" i="117" s="1"/>
  <c r="AO37" i="1"/>
  <c r="AS37" i="1" s="1"/>
  <c r="R41" i="117" s="1"/>
  <c r="AO46" i="1"/>
  <c r="AS46" i="1" s="1"/>
  <c r="R50" i="117" s="1"/>
  <c r="AO50" i="1"/>
  <c r="AS50" i="1" s="1"/>
  <c r="R54" i="117" s="1"/>
  <c r="AO41" i="1"/>
  <c r="AS41" i="1" s="1"/>
  <c r="R45" i="117" s="1"/>
  <c r="AO38" i="1"/>
  <c r="AS38" i="1" s="1"/>
  <c r="R42" i="117" s="1"/>
  <c r="AO71" i="1"/>
  <c r="AO43" i="1"/>
  <c r="AS43" i="1" s="1"/>
  <c r="R47" i="117" s="1"/>
  <c r="AO49" i="1"/>
  <c r="AS49" i="1" s="1"/>
  <c r="R53" i="117" s="1"/>
  <c r="AO60" i="1"/>
  <c r="AO39" i="1"/>
  <c r="AS39" i="1" s="1"/>
  <c r="R43" i="117" s="1"/>
  <c r="AO54" i="1"/>
  <c r="AS54" i="1" s="1"/>
  <c r="R58" i="117" s="1"/>
  <c r="AO42" i="1"/>
  <c r="AS42" i="1" s="1"/>
  <c r="R46" i="117" s="1"/>
  <c r="AO51" i="1"/>
  <c r="AS51" i="1" s="1"/>
  <c r="R55" i="117" s="1"/>
  <c r="AO52" i="1"/>
  <c r="AS52" i="1" s="1"/>
  <c r="R56" i="117" s="1"/>
  <c r="AO66" i="1"/>
  <c r="AS66" i="1" s="1"/>
  <c r="R70" i="117" s="1"/>
  <c r="AO63" i="1"/>
  <c r="AS63" i="1" s="1"/>
  <c r="R67" i="117" s="1"/>
  <c r="AO36" i="1"/>
  <c r="AS36" i="1" s="1"/>
  <c r="R40" i="117" s="1"/>
  <c r="AO59" i="1"/>
  <c r="AO64" i="1"/>
  <c r="AS64" i="1" s="1"/>
  <c r="R68" i="117" s="1"/>
  <c r="AO56" i="1"/>
  <c r="AO34" i="1"/>
  <c r="AO48" i="1"/>
  <c r="AS48" i="1" s="1"/>
  <c r="R52" i="117" s="1"/>
  <c r="AO29" i="1"/>
  <c r="AO44" i="1"/>
  <c r="AS44" i="1" s="1"/>
  <c r="R48" i="117" s="1"/>
  <c r="AO57" i="1"/>
  <c r="AS57" i="1" s="1"/>
  <c r="R61" i="117" s="1"/>
  <c r="AO47" i="1"/>
  <c r="AS47" i="1" s="1"/>
  <c r="R51" i="117" s="1"/>
  <c r="AO58" i="1"/>
  <c r="AO55" i="1"/>
  <c r="AS55" i="1" s="1"/>
  <c r="R59" i="117" s="1"/>
  <c r="AO65" i="1"/>
  <c r="AW113" i="117" l="1"/>
  <c r="BB113" i="117" s="1"/>
  <c r="AS56" i="1"/>
  <c r="AO107" i="1"/>
  <c r="BQ56" i="1"/>
  <c r="CH56" i="1" s="1"/>
  <c r="AK107" i="1"/>
  <c r="BQ107" i="1" s="1"/>
  <c r="CH107" i="1" s="1"/>
  <c r="H50" i="117"/>
  <c r="AE50" i="117" s="1"/>
  <c r="H46" i="117"/>
  <c r="H55" i="117"/>
  <c r="AE55" i="117" s="1"/>
  <c r="AY55" i="117" s="1"/>
  <c r="H49" i="117"/>
  <c r="AE49" i="117" s="1"/>
  <c r="AY49" i="117" s="1"/>
  <c r="H56" i="117"/>
  <c r="AE56" i="117" s="1"/>
  <c r="AY56" i="117" s="1"/>
  <c r="AX113" i="117"/>
  <c r="H44" i="117"/>
  <c r="H53" i="117"/>
  <c r="AE53" i="117" s="1"/>
  <c r="AY53" i="117" s="1"/>
  <c r="H47" i="117"/>
  <c r="H51" i="117"/>
  <c r="AE51" i="117" s="1"/>
  <c r="AY51" i="117" s="1"/>
  <c r="H45" i="117"/>
  <c r="H52" i="117"/>
  <c r="AE52" i="117" s="1"/>
  <c r="AY52" i="117" s="1"/>
  <c r="H58" i="117"/>
  <c r="AE58" i="117" s="1"/>
  <c r="AY58" i="117" s="1"/>
  <c r="H54" i="117"/>
  <c r="AE54" i="117" s="1"/>
  <c r="AY54" i="117" s="1"/>
  <c r="H59" i="117"/>
  <c r="AE59" i="117" s="1"/>
  <c r="AY59" i="117" s="1"/>
  <c r="H57" i="117"/>
  <c r="AE57" i="117" s="1"/>
  <c r="AY57" i="117" s="1"/>
  <c r="H48" i="117"/>
  <c r="AE48" i="117" s="1"/>
  <c r="AY48" i="117" s="1"/>
  <c r="AE66" i="117"/>
  <c r="AY66" i="117" s="1"/>
  <c r="AU43" i="117"/>
  <c r="H43" i="117"/>
  <c r="BU83" i="1"/>
  <c r="CL83" i="1" s="1"/>
  <c r="H87" i="117"/>
  <c r="AU42" i="117"/>
  <c r="H42" i="117"/>
  <c r="AU40" i="117"/>
  <c r="H40" i="117"/>
  <c r="AE113" i="117"/>
  <c r="AY113" i="117" s="1"/>
  <c r="BC113" i="117" s="1"/>
  <c r="V113" i="117"/>
  <c r="Z113" i="117" s="1"/>
  <c r="AU41" i="117"/>
  <c r="H41" i="117"/>
  <c r="AU54" i="117"/>
  <c r="AU57" i="117"/>
  <c r="AU49" i="117"/>
  <c r="AU59" i="117"/>
  <c r="AU48" i="117"/>
  <c r="AU66" i="117"/>
  <c r="AU51" i="117"/>
  <c r="AU52" i="117"/>
  <c r="AU53" i="117"/>
  <c r="AU56" i="117"/>
  <c r="AU50" i="117"/>
  <c r="AU58" i="117"/>
  <c r="AU55" i="117"/>
  <c r="AU87" i="117"/>
  <c r="Y87" i="117"/>
  <c r="BA87" i="117"/>
  <c r="AR87" i="117"/>
  <c r="U38" i="117"/>
  <c r="BA42" i="117"/>
  <c r="AR42" i="117"/>
  <c r="AR41" i="117"/>
  <c r="BA40" i="117"/>
  <c r="AR40" i="117"/>
  <c r="BA43" i="117"/>
  <c r="AR43" i="117"/>
  <c r="Y42" i="117"/>
  <c r="Y43" i="117"/>
  <c r="Y40" i="117"/>
  <c r="Y41" i="117"/>
  <c r="BA58" i="117"/>
  <c r="BA49" i="117"/>
  <c r="BA52" i="117"/>
  <c r="BQ45" i="1"/>
  <c r="CH45" i="1" s="1"/>
  <c r="BQ46" i="1"/>
  <c r="CH46" i="1" s="1"/>
  <c r="BA53" i="117"/>
  <c r="BA48" i="117"/>
  <c r="BA59" i="117"/>
  <c r="BA54" i="117"/>
  <c r="BA51" i="117"/>
  <c r="BA56" i="117"/>
  <c r="BA57" i="117"/>
  <c r="BA55" i="117"/>
  <c r="BA66" i="117"/>
  <c r="BU62" i="1"/>
  <c r="CL62" i="1" s="1"/>
  <c r="BU51" i="1"/>
  <c r="CL51" i="1" s="1"/>
  <c r="BU46" i="1"/>
  <c r="CL46" i="1" s="1"/>
  <c r="BU49" i="1"/>
  <c r="CL49" i="1" s="1"/>
  <c r="BU36" i="1"/>
  <c r="CL36" i="1" s="1"/>
  <c r="BU44" i="1"/>
  <c r="CL44" i="1" s="1"/>
  <c r="BU52" i="1"/>
  <c r="CL52" i="1" s="1"/>
  <c r="BU39" i="1"/>
  <c r="CL39" i="1" s="1"/>
  <c r="BU37" i="1"/>
  <c r="CL37" i="1" s="1"/>
  <c r="BU38" i="1"/>
  <c r="CL38" i="1" s="1"/>
  <c r="BU50" i="1"/>
  <c r="CL50" i="1" s="1"/>
  <c r="BU55" i="1"/>
  <c r="CL55" i="1" s="1"/>
  <c r="BU45" i="1"/>
  <c r="CL45" i="1" s="1"/>
  <c r="BU53" i="1"/>
  <c r="CL53" i="1" s="1"/>
  <c r="BU47" i="1"/>
  <c r="CL47" i="1" s="1"/>
  <c r="BU48" i="1"/>
  <c r="CL48" i="1" s="1"/>
  <c r="BU54" i="1"/>
  <c r="CL54" i="1" s="1"/>
  <c r="CH39" i="1"/>
  <c r="M11" i="30"/>
  <c r="N11" i="30" s="1"/>
  <c r="CH109" i="1"/>
  <c r="M14" i="30"/>
  <c r="CH36" i="1"/>
  <c r="CL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56" i="1"/>
  <c r="P107" i="1" s="1"/>
  <c r="P57" i="1"/>
  <c r="P58" i="1"/>
  <c r="P59" i="1"/>
  <c r="P60" i="1"/>
  <c r="P61" i="1"/>
  <c r="P62" i="1"/>
  <c r="P63" i="1"/>
  <c r="P7" i="1"/>
  <c r="P8" i="1"/>
  <c r="P9" i="1"/>
  <c r="P11" i="1"/>
  <c r="P12" i="1"/>
  <c r="P13" i="1"/>
  <c r="P14" i="1"/>
  <c r="P6" i="1"/>
  <c r="P64" i="1"/>
  <c r="P65" i="1"/>
  <c r="P66" i="1"/>
  <c r="P67" i="1"/>
  <c r="P68" i="1"/>
  <c r="P69" i="1"/>
  <c r="P70" i="1"/>
  <c r="P71" i="1"/>
  <c r="P72" i="1"/>
  <c r="P73" i="1"/>
  <c r="P74" i="1"/>
  <c r="P75" i="1"/>
  <c r="P10" i="1"/>
  <c r="P76" i="1"/>
  <c r="P5" i="1"/>
  <c r="P200" i="1"/>
  <c r="P201" i="1"/>
  <c r="P202" i="1"/>
  <c r="P208" i="1"/>
  <c r="P209" i="1"/>
  <c r="P210" i="1"/>
  <c r="P15" i="1"/>
  <c r="P191" i="1"/>
  <c r="P192" i="1"/>
  <c r="P193" i="1"/>
  <c r="P194" i="1"/>
  <c r="P195" i="1"/>
  <c r="P196" i="1"/>
  <c r="P197" i="1"/>
  <c r="P198" i="1"/>
  <c r="P188" i="1"/>
  <c r="P157" i="1"/>
  <c r="P189" i="1"/>
  <c r="P190"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36" i="1"/>
  <c r="P37" i="1"/>
  <c r="P38" i="1"/>
  <c r="P39" i="1"/>
  <c r="P40" i="1"/>
  <c r="P41" i="1"/>
  <c r="P42" i="1"/>
  <c r="P43" i="1"/>
  <c r="P44" i="1"/>
  <c r="P45" i="1"/>
  <c r="P46" i="1"/>
  <c r="P47" i="1"/>
  <c r="P48" i="1"/>
  <c r="P49" i="1"/>
  <c r="P50" i="1"/>
  <c r="P51" i="1"/>
  <c r="P52" i="1"/>
  <c r="P53" i="1"/>
  <c r="P54" i="1"/>
  <c r="P55" i="1"/>
  <c r="P16" i="1"/>
  <c r="P17" i="1"/>
  <c r="P18" i="1"/>
  <c r="P19" i="1"/>
  <c r="P20" i="1"/>
  <c r="P21" i="1"/>
  <c r="P22" i="1"/>
  <c r="P23" i="1"/>
  <c r="P24" i="1"/>
  <c r="P203" i="1"/>
  <c r="P204" i="1"/>
  <c r="P205" i="1"/>
  <c r="P206" i="1"/>
  <c r="P207" i="1"/>
  <c r="P211" i="1"/>
  <c r="P212" i="1"/>
  <c r="P213" i="1"/>
  <c r="P214" i="1"/>
  <c r="P215" i="1"/>
  <c r="P25" i="1"/>
  <c r="P26" i="1"/>
  <c r="P27" i="1"/>
  <c r="P28" i="1"/>
  <c r="P29" i="1"/>
  <c r="P30" i="1"/>
  <c r="P31" i="1"/>
  <c r="P32" i="1"/>
  <c r="P33" i="1"/>
  <c r="P34" i="1"/>
  <c r="P35" i="1"/>
  <c r="P155" i="1"/>
  <c r="P156" i="1"/>
  <c r="P199" i="1"/>
  <c r="P187" i="1"/>
  <c r="P77" i="1"/>
  <c r="P78" i="1"/>
  <c r="P79" i="1"/>
  <c r="P80" i="1"/>
  <c r="P81" i="1"/>
  <c r="P82" i="1"/>
  <c r="P83" i="1"/>
  <c r="P84" i="1"/>
  <c r="P85" i="1"/>
  <c r="P86" i="1"/>
  <c r="P87" i="1"/>
  <c r="P88" i="1"/>
  <c r="P89" i="1"/>
  <c r="P90" i="1"/>
  <c r="P91" i="1"/>
  <c r="P92" i="1"/>
  <c r="P93" i="1"/>
  <c r="P94" i="1"/>
  <c r="P95" i="1"/>
  <c r="P96" i="1"/>
  <c r="P97" i="1"/>
  <c r="P109" i="1"/>
  <c r="M16" i="2"/>
  <c r="O621" i="2"/>
  <c r="Q5" i="2"/>
  <c r="R5" i="2"/>
  <c r="S5" i="2"/>
  <c r="Q6" i="2"/>
  <c r="R6" i="2"/>
  <c r="S6" i="2"/>
  <c r="Q7" i="2"/>
  <c r="R7" i="2"/>
  <c r="S7" i="2"/>
  <c r="Q8" i="2"/>
  <c r="R8" i="2"/>
  <c r="S8" i="2"/>
  <c r="Q9" i="2"/>
  <c r="R9" i="2"/>
  <c r="S9" i="2"/>
  <c r="Q10" i="2"/>
  <c r="R10" i="2"/>
  <c r="S10" i="2"/>
  <c r="Q11" i="2"/>
  <c r="R11" i="2"/>
  <c r="S11" i="2"/>
  <c r="Q12" i="2"/>
  <c r="R12" i="2"/>
  <c r="S12" i="2"/>
  <c r="Q13" i="2"/>
  <c r="R13" i="2"/>
  <c r="S13" i="2"/>
  <c r="Q14" i="2"/>
  <c r="R14" i="2"/>
  <c r="S14" i="2"/>
  <c r="Q15" i="2"/>
  <c r="R15" i="2"/>
  <c r="S15" i="2"/>
  <c r="Q16" i="2"/>
  <c r="R16" i="2"/>
  <c r="S16" i="2"/>
  <c r="Q17" i="2"/>
  <c r="R17" i="2"/>
  <c r="S17" i="2"/>
  <c r="Q18" i="2"/>
  <c r="R18" i="2"/>
  <c r="S18" i="2"/>
  <c r="Q19" i="2"/>
  <c r="R19" i="2"/>
  <c r="S19" i="2"/>
  <c r="Q20" i="2"/>
  <c r="R20" i="2"/>
  <c r="S20" i="2"/>
  <c r="Q21" i="2"/>
  <c r="R21" i="2"/>
  <c r="S21" i="2"/>
  <c r="Q22" i="2"/>
  <c r="R22" i="2"/>
  <c r="S22" i="2"/>
  <c r="Q23" i="2"/>
  <c r="R23" i="2"/>
  <c r="S23" i="2"/>
  <c r="Q24" i="2"/>
  <c r="R24" i="2"/>
  <c r="S24" i="2"/>
  <c r="Q25" i="2"/>
  <c r="R25" i="2"/>
  <c r="S25" i="2"/>
  <c r="Q26" i="2"/>
  <c r="R26" i="2"/>
  <c r="S26" i="2"/>
  <c r="Q27" i="2"/>
  <c r="R27" i="2"/>
  <c r="S27" i="2"/>
  <c r="Q28" i="2"/>
  <c r="R28" i="2"/>
  <c r="S28" i="2"/>
  <c r="Q29" i="2"/>
  <c r="R29" i="2"/>
  <c r="S29" i="2"/>
  <c r="Q30" i="2"/>
  <c r="R30" i="2"/>
  <c r="S30" i="2"/>
  <c r="Q31" i="2"/>
  <c r="R31" i="2"/>
  <c r="S31" i="2"/>
  <c r="Q32" i="2"/>
  <c r="R32" i="2"/>
  <c r="S32" i="2"/>
  <c r="Q33" i="2"/>
  <c r="R33" i="2"/>
  <c r="S33" i="2"/>
  <c r="Q34" i="2"/>
  <c r="R34" i="2"/>
  <c r="S34" i="2"/>
  <c r="Q35" i="2"/>
  <c r="R35" i="2"/>
  <c r="S35" i="2"/>
  <c r="Q36" i="2"/>
  <c r="R36" i="2"/>
  <c r="S36" i="2"/>
  <c r="Q37" i="2"/>
  <c r="R37" i="2"/>
  <c r="S37" i="2"/>
  <c r="Q38" i="2"/>
  <c r="R38" i="2"/>
  <c r="S38" i="2"/>
  <c r="Q39" i="2"/>
  <c r="R39" i="2"/>
  <c r="S39" i="2"/>
  <c r="Q40" i="2"/>
  <c r="R40" i="2"/>
  <c r="S40" i="2"/>
  <c r="Q41" i="2"/>
  <c r="R41" i="2"/>
  <c r="S41" i="2"/>
  <c r="Q42" i="2"/>
  <c r="R42" i="2"/>
  <c r="S42" i="2"/>
  <c r="Q43" i="2"/>
  <c r="R43" i="2"/>
  <c r="S43" i="2"/>
  <c r="Q44" i="2"/>
  <c r="R44" i="2"/>
  <c r="S44" i="2"/>
  <c r="Q45" i="2"/>
  <c r="R45" i="2"/>
  <c r="S45" i="2"/>
  <c r="Q46" i="2"/>
  <c r="R46" i="2"/>
  <c r="S46" i="2"/>
  <c r="Q47" i="2"/>
  <c r="R47" i="2"/>
  <c r="S47" i="2"/>
  <c r="Q48" i="2"/>
  <c r="R48" i="2"/>
  <c r="S48" i="2"/>
  <c r="Q49" i="2"/>
  <c r="R49" i="2"/>
  <c r="S49" i="2"/>
  <c r="Q50" i="2"/>
  <c r="R50" i="2"/>
  <c r="S50" i="2"/>
  <c r="Q51" i="2"/>
  <c r="R51" i="2"/>
  <c r="S51" i="2"/>
  <c r="Q52" i="2"/>
  <c r="R52" i="2"/>
  <c r="S52" i="2"/>
  <c r="Q53" i="2"/>
  <c r="R53" i="2"/>
  <c r="S53" i="2"/>
  <c r="Q54" i="2"/>
  <c r="R54" i="2"/>
  <c r="S54" i="2"/>
  <c r="Q55" i="2"/>
  <c r="R55" i="2"/>
  <c r="S55" i="2"/>
  <c r="Q56" i="2"/>
  <c r="R56" i="2"/>
  <c r="S56" i="2"/>
  <c r="Q57" i="2"/>
  <c r="R57" i="2"/>
  <c r="S57" i="2"/>
  <c r="Q58" i="2"/>
  <c r="R58" i="2"/>
  <c r="S58" i="2"/>
  <c r="Q59" i="2"/>
  <c r="R59" i="2"/>
  <c r="S59" i="2"/>
  <c r="Q60" i="2"/>
  <c r="R60" i="2"/>
  <c r="S60" i="2"/>
  <c r="Q61" i="2"/>
  <c r="R61" i="2"/>
  <c r="S61" i="2"/>
  <c r="Q62" i="2"/>
  <c r="R62" i="2"/>
  <c r="S62" i="2"/>
  <c r="Q63" i="2"/>
  <c r="R63" i="2"/>
  <c r="S63" i="2"/>
  <c r="Q64" i="2"/>
  <c r="R64" i="2"/>
  <c r="S64" i="2"/>
  <c r="Q65" i="2"/>
  <c r="R65" i="2"/>
  <c r="S65" i="2"/>
  <c r="Q66" i="2"/>
  <c r="R66" i="2"/>
  <c r="S66" i="2"/>
  <c r="Q67" i="2"/>
  <c r="R67" i="2"/>
  <c r="S67" i="2"/>
  <c r="Q68" i="2"/>
  <c r="R68" i="2"/>
  <c r="S68" i="2"/>
  <c r="Q69" i="2"/>
  <c r="R69" i="2"/>
  <c r="S69" i="2"/>
  <c r="Q70" i="2"/>
  <c r="R70" i="2"/>
  <c r="S70" i="2"/>
  <c r="Q71" i="2"/>
  <c r="R71" i="2"/>
  <c r="S71" i="2"/>
  <c r="Q72" i="2"/>
  <c r="R72" i="2"/>
  <c r="S72" i="2"/>
  <c r="Q73" i="2"/>
  <c r="R73" i="2"/>
  <c r="S73" i="2"/>
  <c r="Q74" i="2"/>
  <c r="R74" i="2"/>
  <c r="S74" i="2"/>
  <c r="Q75" i="2"/>
  <c r="R75" i="2"/>
  <c r="S75" i="2"/>
  <c r="Q76" i="2"/>
  <c r="R76" i="2"/>
  <c r="S76" i="2"/>
  <c r="Q77" i="2"/>
  <c r="R77" i="2"/>
  <c r="S77" i="2"/>
  <c r="Q78" i="2"/>
  <c r="R78" i="2"/>
  <c r="CB110" i="1" s="1"/>
  <c r="S78" i="2"/>
  <c r="CC110" i="1" s="1"/>
  <c r="Q79" i="2"/>
  <c r="R79" i="2"/>
  <c r="S79" i="2"/>
  <c r="Q80" i="2"/>
  <c r="R80" i="2"/>
  <c r="S80" i="2"/>
  <c r="Q81" i="2"/>
  <c r="R81" i="2"/>
  <c r="CB111" i="1" s="1"/>
  <c r="S81" i="2"/>
  <c r="CC111" i="1" s="1"/>
  <c r="Q82" i="2"/>
  <c r="R82" i="2"/>
  <c r="CB112" i="1" s="1"/>
  <c r="S82" i="2"/>
  <c r="CC112" i="1" s="1"/>
  <c r="Q83" i="2"/>
  <c r="R83" i="2"/>
  <c r="CB113" i="1" s="1"/>
  <c r="S83" i="2"/>
  <c r="CC113" i="1" s="1"/>
  <c r="Q84" i="2"/>
  <c r="R84" i="2"/>
  <c r="CB114" i="1" s="1"/>
  <c r="S84" i="2"/>
  <c r="CC114" i="1" s="1"/>
  <c r="Q85" i="2"/>
  <c r="R85" i="2"/>
  <c r="CB115" i="1" s="1"/>
  <c r="S85" i="2"/>
  <c r="CC115" i="1" s="1"/>
  <c r="Q86" i="2"/>
  <c r="R86" i="2"/>
  <c r="CB116" i="1" s="1"/>
  <c r="S86" i="2"/>
  <c r="CC116" i="1" s="1"/>
  <c r="Q87" i="2"/>
  <c r="R87" i="2"/>
  <c r="S87" i="2"/>
  <c r="Q88" i="2"/>
  <c r="R88" i="2"/>
  <c r="S88" i="2"/>
  <c r="Q89" i="2"/>
  <c r="R89" i="2"/>
  <c r="CB117" i="1" s="1"/>
  <c r="S89" i="2"/>
  <c r="CC117" i="1" s="1"/>
  <c r="Q90" i="2"/>
  <c r="R90" i="2"/>
  <c r="CB118" i="1" s="1"/>
  <c r="S90" i="2"/>
  <c r="CC118" i="1" s="1"/>
  <c r="Q91" i="2"/>
  <c r="R91" i="2"/>
  <c r="CB119" i="1" s="1"/>
  <c r="S91" i="2"/>
  <c r="CC119" i="1" s="1"/>
  <c r="Q92" i="2"/>
  <c r="R92" i="2"/>
  <c r="CB120" i="1" s="1"/>
  <c r="S92" i="2"/>
  <c r="CC120" i="1" s="1"/>
  <c r="Q93" i="2"/>
  <c r="R93" i="2"/>
  <c r="CB121" i="1" s="1"/>
  <c r="S93" i="2"/>
  <c r="CC121" i="1" s="1"/>
  <c r="Q94" i="2"/>
  <c r="R94" i="2"/>
  <c r="CB122" i="1" s="1"/>
  <c r="S94" i="2"/>
  <c r="CC122" i="1" s="1"/>
  <c r="Q95" i="2"/>
  <c r="R95" i="2"/>
  <c r="CB123" i="1" s="1"/>
  <c r="S95" i="2"/>
  <c r="CC123" i="1" s="1"/>
  <c r="Q96" i="2"/>
  <c r="R96" i="2"/>
  <c r="S96" i="2"/>
  <c r="Q97" i="2"/>
  <c r="R97" i="2"/>
  <c r="S97" i="2"/>
  <c r="Q98" i="2"/>
  <c r="R98" i="2"/>
  <c r="CB124" i="1" s="1"/>
  <c r="S98" i="2"/>
  <c r="CC124" i="1" s="1"/>
  <c r="Q99" i="2"/>
  <c r="R99" i="2"/>
  <c r="S99" i="2"/>
  <c r="Q100" i="2"/>
  <c r="R100" i="2"/>
  <c r="S100" i="2"/>
  <c r="Q101" i="2"/>
  <c r="R101" i="2"/>
  <c r="S101" i="2"/>
  <c r="Q102" i="2"/>
  <c r="R102" i="2"/>
  <c r="S102" i="2"/>
  <c r="Q103" i="2"/>
  <c r="R103" i="2"/>
  <c r="CB125" i="1" s="1"/>
  <c r="S103" i="2"/>
  <c r="CC125" i="1" s="1"/>
  <c r="Q104" i="2"/>
  <c r="R104" i="2"/>
  <c r="S104" i="2"/>
  <c r="Q105" i="2"/>
  <c r="R105" i="2"/>
  <c r="S105" i="2"/>
  <c r="Q106" i="2"/>
  <c r="R106" i="2"/>
  <c r="S106" i="2"/>
  <c r="Q107" i="2"/>
  <c r="R107" i="2"/>
  <c r="S107" i="2"/>
  <c r="Q108" i="2"/>
  <c r="R108" i="2"/>
  <c r="CB126" i="1" s="1"/>
  <c r="S108" i="2"/>
  <c r="CC126" i="1" s="1"/>
  <c r="Q109" i="2"/>
  <c r="R109" i="2"/>
  <c r="CB127" i="1" s="1"/>
  <c r="S109" i="2"/>
  <c r="CC127" i="1" s="1"/>
  <c r="Q110" i="2"/>
  <c r="R110" i="2"/>
  <c r="CB128" i="1" s="1"/>
  <c r="S110" i="2"/>
  <c r="CC128" i="1" s="1"/>
  <c r="Q111" i="2"/>
  <c r="R111" i="2"/>
  <c r="CB129" i="1" s="1"/>
  <c r="S111" i="2"/>
  <c r="CC129" i="1" s="1"/>
  <c r="Q112" i="2"/>
  <c r="R112" i="2"/>
  <c r="S112" i="2"/>
  <c r="Q113" i="2"/>
  <c r="R113" i="2"/>
  <c r="S113" i="2"/>
  <c r="Q114" i="2"/>
  <c r="R114" i="2"/>
  <c r="S114" i="2"/>
  <c r="Q115" i="2"/>
  <c r="R115" i="2"/>
  <c r="S115" i="2"/>
  <c r="Q116" i="2"/>
  <c r="R116" i="2"/>
  <c r="CB130" i="1" s="1"/>
  <c r="S116" i="2"/>
  <c r="CC130" i="1" s="1"/>
  <c r="Q117" i="2"/>
  <c r="R117" i="2"/>
  <c r="S117" i="2"/>
  <c r="Q118" i="2"/>
  <c r="R118" i="2"/>
  <c r="S118" i="2"/>
  <c r="Q119" i="2"/>
  <c r="R119" i="2"/>
  <c r="S119" i="2"/>
  <c r="Q120" i="2"/>
  <c r="R120" i="2"/>
  <c r="CB131" i="1" s="1"/>
  <c r="S120" i="2"/>
  <c r="CC131" i="1" s="1"/>
  <c r="Q121" i="2"/>
  <c r="R121" i="2"/>
  <c r="CB132" i="1" s="1"/>
  <c r="S121" i="2"/>
  <c r="CC132" i="1" s="1"/>
  <c r="Q122" i="2"/>
  <c r="R122" i="2"/>
  <c r="CB133" i="1" s="1"/>
  <c r="S122" i="2"/>
  <c r="CC133" i="1" s="1"/>
  <c r="Q123" i="2"/>
  <c r="R123" i="2"/>
  <c r="CB134" i="1" s="1"/>
  <c r="S123" i="2"/>
  <c r="CC134" i="1" s="1"/>
  <c r="Q124" i="2"/>
  <c r="R124" i="2"/>
  <c r="CB135" i="1" s="1"/>
  <c r="S124" i="2"/>
  <c r="CC135" i="1" s="1"/>
  <c r="Q125" i="2"/>
  <c r="R125" i="2"/>
  <c r="CB136" i="1" s="1"/>
  <c r="S125" i="2"/>
  <c r="CC136" i="1" s="1"/>
  <c r="Q126" i="2"/>
  <c r="R126" i="2"/>
  <c r="S126" i="2"/>
  <c r="Q127" i="2"/>
  <c r="R127" i="2"/>
  <c r="CB137" i="1" s="1"/>
  <c r="S127" i="2"/>
  <c r="CC137" i="1" s="1"/>
  <c r="Q128" i="2"/>
  <c r="R128" i="2"/>
  <c r="CB138" i="1" s="1"/>
  <c r="S128" i="2"/>
  <c r="CC138" i="1" s="1"/>
  <c r="Q129" i="2"/>
  <c r="R129" i="2"/>
  <c r="S129" i="2"/>
  <c r="Q130" i="2"/>
  <c r="R130" i="2"/>
  <c r="S130" i="2"/>
  <c r="Q131" i="2"/>
  <c r="R131" i="2"/>
  <c r="S131" i="2"/>
  <c r="Q132" i="2"/>
  <c r="R132" i="2"/>
  <c r="CB139" i="1" s="1"/>
  <c r="S132" i="2"/>
  <c r="CC139" i="1" s="1"/>
  <c r="Q133" i="2"/>
  <c r="R133" i="2"/>
  <c r="CB140" i="1" s="1"/>
  <c r="S133" i="2"/>
  <c r="CC140" i="1" s="1"/>
  <c r="Q134" i="2"/>
  <c r="R134" i="2"/>
  <c r="CB141" i="1" s="1"/>
  <c r="S134" i="2"/>
  <c r="CC141" i="1" s="1"/>
  <c r="Q135" i="2"/>
  <c r="R135" i="2"/>
  <c r="S135" i="2"/>
  <c r="Q136" i="2"/>
  <c r="R136" i="2"/>
  <c r="S136" i="2"/>
  <c r="Q137" i="2"/>
  <c r="R137" i="2"/>
  <c r="S137" i="2"/>
  <c r="Q138" i="2"/>
  <c r="R138" i="2"/>
  <c r="S138" i="2"/>
  <c r="Q139" i="2"/>
  <c r="R139" i="2"/>
  <c r="S139" i="2"/>
  <c r="Q140" i="2"/>
  <c r="R140" i="2"/>
  <c r="S140" i="2"/>
  <c r="Q141" i="2"/>
  <c r="R141" i="2"/>
  <c r="S141" i="2"/>
  <c r="Q142" i="2"/>
  <c r="R142" i="2"/>
  <c r="S142" i="2"/>
  <c r="Q143" i="2"/>
  <c r="R143" i="2"/>
  <c r="S143" i="2"/>
  <c r="Q144" i="2"/>
  <c r="R144" i="2"/>
  <c r="S144" i="2"/>
  <c r="Q145" i="2"/>
  <c r="R145" i="2"/>
  <c r="S145" i="2"/>
  <c r="Q146" i="2"/>
  <c r="R146" i="2"/>
  <c r="CB142" i="1" s="1"/>
  <c r="S146" i="2"/>
  <c r="CC142" i="1" s="1"/>
  <c r="Q147" i="2"/>
  <c r="R147" i="2"/>
  <c r="CB143" i="1" s="1"/>
  <c r="S147" i="2"/>
  <c r="CC143" i="1" s="1"/>
  <c r="Q148" i="2"/>
  <c r="R148" i="2"/>
  <c r="CB144" i="1" s="1"/>
  <c r="S148" i="2"/>
  <c r="CC144" i="1" s="1"/>
  <c r="Q149" i="2"/>
  <c r="R149" i="2"/>
  <c r="CB145" i="1" s="1"/>
  <c r="S149" i="2"/>
  <c r="CC145" i="1" s="1"/>
  <c r="Q150" i="2"/>
  <c r="R150" i="2"/>
  <c r="CB146" i="1" s="1"/>
  <c r="S150" i="2"/>
  <c r="CC146" i="1" s="1"/>
  <c r="Q151" i="2"/>
  <c r="R151" i="2"/>
  <c r="CB147" i="1" s="1"/>
  <c r="S151" i="2"/>
  <c r="CC147" i="1" s="1"/>
  <c r="Q152" i="2"/>
  <c r="R152" i="2"/>
  <c r="CB148" i="1" s="1"/>
  <c r="S152" i="2"/>
  <c r="CC148" i="1" s="1"/>
  <c r="Q153" i="2"/>
  <c r="R153" i="2"/>
  <c r="CB149" i="1" s="1"/>
  <c r="S153" i="2"/>
  <c r="CC149" i="1" s="1"/>
  <c r="Q154" i="2"/>
  <c r="R154" i="2"/>
  <c r="CB150" i="1" s="1"/>
  <c r="S154" i="2"/>
  <c r="CC150" i="1" s="1"/>
  <c r="Q155" i="2"/>
  <c r="R155" i="2"/>
  <c r="CB151" i="1" s="1"/>
  <c r="S155" i="2"/>
  <c r="CC151" i="1" s="1"/>
  <c r="Q156" i="2"/>
  <c r="R156" i="2"/>
  <c r="S156" i="2"/>
  <c r="Q157" i="2"/>
  <c r="R157" i="2"/>
  <c r="CB152" i="1" s="1"/>
  <c r="S157" i="2"/>
  <c r="CC152" i="1" s="1"/>
  <c r="Q158" i="2"/>
  <c r="R158" i="2"/>
  <c r="S158" i="2"/>
  <c r="Q159" i="2"/>
  <c r="R159" i="2"/>
  <c r="CB153" i="1" s="1"/>
  <c r="S159" i="2"/>
  <c r="CC153" i="1" s="1"/>
  <c r="Q160" i="2"/>
  <c r="R160" i="2"/>
  <c r="S160" i="2"/>
  <c r="Q161" i="2"/>
  <c r="R161" i="2"/>
  <c r="S161" i="2"/>
  <c r="Q162" i="2"/>
  <c r="R162" i="2"/>
  <c r="CB154" i="1" s="1"/>
  <c r="S162" i="2"/>
  <c r="CC154" i="1" s="1"/>
  <c r="Q163" i="2"/>
  <c r="R163" i="2"/>
  <c r="S163" i="2"/>
  <c r="Q164" i="2"/>
  <c r="R164" i="2"/>
  <c r="S164" i="2"/>
  <c r="Q165" i="2"/>
  <c r="R165" i="2"/>
  <c r="S165" i="2"/>
  <c r="Q166" i="2"/>
  <c r="R166" i="2"/>
  <c r="S166" i="2"/>
  <c r="Q167" i="2"/>
  <c r="R167" i="2"/>
  <c r="S167" i="2"/>
  <c r="Q168" i="2"/>
  <c r="R168" i="2"/>
  <c r="S168" i="2"/>
  <c r="Q169" i="2"/>
  <c r="R169" i="2"/>
  <c r="S169" i="2"/>
  <c r="Q170" i="2"/>
  <c r="R170" i="2"/>
  <c r="S170" i="2"/>
  <c r="Q171" i="2"/>
  <c r="R171" i="2"/>
  <c r="S171" i="2"/>
  <c r="Q172" i="2"/>
  <c r="R172" i="2"/>
  <c r="S172" i="2"/>
  <c r="Q173" i="2"/>
  <c r="R173" i="2"/>
  <c r="S173" i="2"/>
  <c r="Q174" i="2"/>
  <c r="R174" i="2"/>
  <c r="S174" i="2"/>
  <c r="Q175" i="2"/>
  <c r="R175" i="2"/>
  <c r="S175" i="2"/>
  <c r="Q176" i="2"/>
  <c r="R176" i="2"/>
  <c r="S176" i="2"/>
  <c r="Q177" i="2"/>
  <c r="R177" i="2"/>
  <c r="S177" i="2"/>
  <c r="Q178" i="2"/>
  <c r="R178" i="2"/>
  <c r="S178" i="2"/>
  <c r="Q179" i="2"/>
  <c r="R179" i="2"/>
  <c r="S179" i="2"/>
  <c r="Q180" i="2"/>
  <c r="R180" i="2"/>
  <c r="S180" i="2"/>
  <c r="Q181" i="2"/>
  <c r="R181" i="2"/>
  <c r="S181" i="2"/>
  <c r="Q182" i="2"/>
  <c r="R182" i="2"/>
  <c r="S182" i="2"/>
  <c r="Q183" i="2"/>
  <c r="R183" i="2"/>
  <c r="S183" i="2"/>
  <c r="Q184" i="2"/>
  <c r="R184" i="2"/>
  <c r="S184" i="2"/>
  <c r="Q185" i="2"/>
  <c r="R185" i="2"/>
  <c r="S185" i="2"/>
  <c r="Q186" i="2"/>
  <c r="R186" i="2"/>
  <c r="S186" i="2"/>
  <c r="Q187" i="2"/>
  <c r="R187" i="2"/>
  <c r="S187" i="2"/>
  <c r="Q188" i="2"/>
  <c r="R188" i="2"/>
  <c r="S188" i="2"/>
  <c r="Q189" i="2"/>
  <c r="R189" i="2"/>
  <c r="S189" i="2"/>
  <c r="Q190" i="2"/>
  <c r="R190" i="2"/>
  <c r="S190" i="2"/>
  <c r="Q191" i="2"/>
  <c r="R191" i="2"/>
  <c r="S191" i="2"/>
  <c r="Q192" i="2"/>
  <c r="R192" i="2"/>
  <c r="S192" i="2"/>
  <c r="Q193" i="2"/>
  <c r="R193" i="2"/>
  <c r="S193" i="2"/>
  <c r="Q194" i="2"/>
  <c r="R194" i="2"/>
  <c r="S194" i="2"/>
  <c r="Q195" i="2"/>
  <c r="R195" i="2"/>
  <c r="S195" i="2"/>
  <c r="Q196" i="2"/>
  <c r="R196" i="2"/>
  <c r="S196" i="2"/>
  <c r="Q197" i="2"/>
  <c r="R197" i="2"/>
  <c r="S197" i="2"/>
  <c r="Q198" i="2"/>
  <c r="R198" i="2"/>
  <c r="S198" i="2"/>
  <c r="Q199" i="2"/>
  <c r="R199" i="2"/>
  <c r="S199" i="2"/>
  <c r="Q200" i="2"/>
  <c r="R200" i="2"/>
  <c r="S200" i="2"/>
  <c r="Q201" i="2"/>
  <c r="R201" i="2"/>
  <c r="S201" i="2"/>
  <c r="Q202" i="2"/>
  <c r="R202" i="2"/>
  <c r="S202" i="2"/>
  <c r="Q203" i="2"/>
  <c r="R203" i="2"/>
  <c r="S203" i="2"/>
  <c r="Q204" i="2"/>
  <c r="R204" i="2"/>
  <c r="S204" i="2"/>
  <c r="Q205" i="2"/>
  <c r="R205" i="2"/>
  <c r="S205" i="2"/>
  <c r="Q206" i="2"/>
  <c r="R206" i="2"/>
  <c r="S206" i="2"/>
  <c r="Q207" i="2"/>
  <c r="CA13" i="1" s="1"/>
  <c r="R207" i="2"/>
  <c r="CB13" i="1" s="1"/>
  <c r="S207" i="2"/>
  <c r="CC13" i="1" s="1"/>
  <c r="Q208" i="2"/>
  <c r="R208" i="2"/>
  <c r="S208" i="2"/>
  <c r="Q209" i="2"/>
  <c r="R209" i="2"/>
  <c r="S209" i="2"/>
  <c r="Q210" i="2"/>
  <c r="R210" i="2"/>
  <c r="S210" i="2"/>
  <c r="Q211" i="2"/>
  <c r="R211" i="2"/>
  <c r="S211" i="2"/>
  <c r="Q212" i="2"/>
  <c r="R212" i="2"/>
  <c r="S212" i="2"/>
  <c r="Q213" i="2"/>
  <c r="R213" i="2"/>
  <c r="S213" i="2"/>
  <c r="Q214" i="2"/>
  <c r="R214" i="2"/>
  <c r="S214" i="2"/>
  <c r="Q215" i="2"/>
  <c r="R215" i="2"/>
  <c r="S215" i="2"/>
  <c r="Q216" i="2"/>
  <c r="R216" i="2"/>
  <c r="S216" i="2"/>
  <c r="Q217" i="2"/>
  <c r="R217" i="2"/>
  <c r="S217" i="2"/>
  <c r="Q218" i="2"/>
  <c r="R218" i="2"/>
  <c r="S218" i="2"/>
  <c r="Q219" i="2"/>
  <c r="R219" i="2"/>
  <c r="S219" i="2"/>
  <c r="Q220" i="2"/>
  <c r="R220" i="2"/>
  <c r="S220" i="2"/>
  <c r="Q221" i="2"/>
  <c r="R221" i="2"/>
  <c r="S221" i="2"/>
  <c r="Q222" i="2"/>
  <c r="R222" i="2"/>
  <c r="S222" i="2"/>
  <c r="Q223" i="2"/>
  <c r="R223" i="2"/>
  <c r="S223" i="2"/>
  <c r="Q224" i="2"/>
  <c r="R224" i="2"/>
  <c r="S224" i="2"/>
  <c r="Q225" i="2"/>
  <c r="R225" i="2"/>
  <c r="S225" i="2"/>
  <c r="Q226" i="2"/>
  <c r="R226" i="2"/>
  <c r="S226" i="2"/>
  <c r="Q227" i="2"/>
  <c r="R227" i="2"/>
  <c r="S227" i="2"/>
  <c r="Q228" i="2"/>
  <c r="R228" i="2"/>
  <c r="S228" i="2"/>
  <c r="Q229" i="2"/>
  <c r="R229" i="2"/>
  <c r="S229" i="2"/>
  <c r="Q230" i="2"/>
  <c r="R230" i="2"/>
  <c r="S230" i="2"/>
  <c r="Q231" i="2"/>
  <c r="R231" i="2"/>
  <c r="S231" i="2"/>
  <c r="Q232" i="2"/>
  <c r="R232" i="2"/>
  <c r="S232" i="2"/>
  <c r="Q233" i="2"/>
  <c r="R233" i="2"/>
  <c r="S233" i="2"/>
  <c r="Q234" i="2"/>
  <c r="R234" i="2"/>
  <c r="S234" i="2"/>
  <c r="Q235" i="2"/>
  <c r="R235" i="2"/>
  <c r="S235" i="2"/>
  <c r="Q236" i="2"/>
  <c r="R236" i="2"/>
  <c r="S236" i="2"/>
  <c r="Q237" i="2"/>
  <c r="R237" i="2"/>
  <c r="S237" i="2"/>
  <c r="Q238" i="2"/>
  <c r="R238" i="2"/>
  <c r="S238" i="2"/>
  <c r="Q239" i="2"/>
  <c r="R239" i="2"/>
  <c r="S239" i="2"/>
  <c r="Q240" i="2"/>
  <c r="R240" i="2"/>
  <c r="S240" i="2"/>
  <c r="Q241" i="2"/>
  <c r="R241" i="2"/>
  <c r="S241" i="2"/>
  <c r="Q242" i="2"/>
  <c r="R242" i="2"/>
  <c r="S242" i="2"/>
  <c r="Q243" i="2"/>
  <c r="R243" i="2"/>
  <c r="S243" i="2"/>
  <c r="Q244" i="2"/>
  <c r="R244" i="2"/>
  <c r="S244" i="2"/>
  <c r="Q245" i="2"/>
  <c r="R245" i="2"/>
  <c r="S245" i="2"/>
  <c r="Q246" i="2"/>
  <c r="R246" i="2"/>
  <c r="S246" i="2"/>
  <c r="Q247" i="2"/>
  <c r="R247" i="2"/>
  <c r="S247" i="2"/>
  <c r="Q248" i="2"/>
  <c r="R248" i="2"/>
  <c r="S248" i="2"/>
  <c r="Q249" i="2"/>
  <c r="R249" i="2"/>
  <c r="S249" i="2"/>
  <c r="Q250" i="2"/>
  <c r="R250" i="2"/>
  <c r="S250" i="2"/>
  <c r="Q251" i="2"/>
  <c r="R251" i="2"/>
  <c r="S251" i="2"/>
  <c r="Q252" i="2"/>
  <c r="R252" i="2"/>
  <c r="S252" i="2"/>
  <c r="Q253" i="2"/>
  <c r="R253" i="2"/>
  <c r="S253" i="2"/>
  <c r="Q254" i="2"/>
  <c r="R254" i="2"/>
  <c r="S254" i="2"/>
  <c r="Q255" i="2"/>
  <c r="R255" i="2"/>
  <c r="S255" i="2"/>
  <c r="Q256" i="2"/>
  <c r="R256" i="2"/>
  <c r="S256" i="2"/>
  <c r="Q257" i="2"/>
  <c r="R257" i="2"/>
  <c r="S257" i="2"/>
  <c r="Q258" i="2"/>
  <c r="R258" i="2"/>
  <c r="S258" i="2"/>
  <c r="Q259" i="2"/>
  <c r="R259" i="2"/>
  <c r="S259" i="2"/>
  <c r="Q260" i="2"/>
  <c r="R260" i="2"/>
  <c r="S260" i="2"/>
  <c r="Q261" i="2"/>
  <c r="R261" i="2"/>
  <c r="S261" i="2"/>
  <c r="Q262" i="2"/>
  <c r="R262" i="2"/>
  <c r="S262" i="2"/>
  <c r="Q263" i="2"/>
  <c r="R263" i="2"/>
  <c r="S263" i="2"/>
  <c r="Q264" i="2"/>
  <c r="R264" i="2"/>
  <c r="S264" i="2"/>
  <c r="Q265" i="2"/>
  <c r="R265" i="2"/>
  <c r="S265" i="2"/>
  <c r="Q266" i="2"/>
  <c r="R266" i="2"/>
  <c r="S266" i="2"/>
  <c r="Q267" i="2"/>
  <c r="R267" i="2"/>
  <c r="S267" i="2"/>
  <c r="Q268" i="2"/>
  <c r="R268" i="2"/>
  <c r="S268" i="2"/>
  <c r="Q269" i="2"/>
  <c r="CA200" i="1" s="1"/>
  <c r="CI200" i="1" s="1"/>
  <c r="R269" i="2"/>
  <c r="S269" i="2"/>
  <c r="CC200" i="1" s="1"/>
  <c r="CK200" i="1" s="1"/>
  <c r="Q270" i="2"/>
  <c r="CA201" i="1" s="1"/>
  <c r="CI201" i="1" s="1"/>
  <c r="R270" i="2"/>
  <c r="CB201" i="1" s="1"/>
  <c r="CJ201" i="1" s="1"/>
  <c r="S270" i="2"/>
  <c r="Q271" i="2"/>
  <c r="CA202" i="1" s="1"/>
  <c r="CI202" i="1" s="1"/>
  <c r="R271" i="2"/>
  <c r="CB202" i="1" s="1"/>
  <c r="CJ202" i="1" s="1"/>
  <c r="S271" i="2"/>
  <c r="CC202" i="1" s="1"/>
  <c r="CK202" i="1" s="1"/>
  <c r="Q272" i="2"/>
  <c r="R272" i="2"/>
  <c r="CB208" i="1" s="1"/>
  <c r="CJ208" i="1" s="1"/>
  <c r="S272" i="2"/>
  <c r="CC208" i="1" s="1"/>
  <c r="CK208" i="1" s="1"/>
  <c r="Q273" i="2"/>
  <c r="CA209" i="1" s="1"/>
  <c r="CI209" i="1" s="1"/>
  <c r="R273" i="2"/>
  <c r="S273" i="2"/>
  <c r="CC209" i="1" s="1"/>
  <c r="CK209" i="1" s="1"/>
  <c r="Q274" i="2"/>
  <c r="CA210" i="1" s="1"/>
  <c r="CI210" i="1" s="1"/>
  <c r="R274" i="2"/>
  <c r="CB210" i="1" s="1"/>
  <c r="CJ210" i="1" s="1"/>
  <c r="S274" i="2"/>
  <c r="CC210" i="1" s="1"/>
  <c r="CK210" i="1" s="1"/>
  <c r="Q275" i="2"/>
  <c r="R275" i="2"/>
  <c r="S275" i="2"/>
  <c r="Q276" i="2"/>
  <c r="R276" i="2"/>
  <c r="S276" i="2"/>
  <c r="Q277" i="2"/>
  <c r="R277" i="2"/>
  <c r="S277" i="2"/>
  <c r="Q278" i="2"/>
  <c r="R278" i="2"/>
  <c r="S278" i="2"/>
  <c r="Q279" i="2"/>
  <c r="R279" i="2"/>
  <c r="S279" i="2"/>
  <c r="Q280" i="2"/>
  <c r="R280" i="2"/>
  <c r="S280" i="2"/>
  <c r="Q281" i="2"/>
  <c r="R281" i="2"/>
  <c r="S281" i="2"/>
  <c r="Q282" i="2"/>
  <c r="R282" i="2"/>
  <c r="S282" i="2"/>
  <c r="Q283" i="2"/>
  <c r="R283" i="2"/>
  <c r="S283" i="2"/>
  <c r="Q284" i="2"/>
  <c r="R284" i="2"/>
  <c r="S284" i="2"/>
  <c r="Q285" i="2"/>
  <c r="R285" i="2"/>
  <c r="S285" i="2"/>
  <c r="Q286" i="2"/>
  <c r="R286" i="2"/>
  <c r="S286" i="2"/>
  <c r="Q287" i="2"/>
  <c r="R287" i="2"/>
  <c r="S287" i="2"/>
  <c r="Q288" i="2"/>
  <c r="R288" i="2"/>
  <c r="S288" i="2"/>
  <c r="Q289" i="2"/>
  <c r="R289" i="2"/>
  <c r="S289" i="2"/>
  <c r="Q290" i="2"/>
  <c r="R290" i="2"/>
  <c r="S290" i="2"/>
  <c r="Q291" i="2"/>
  <c r="R291" i="2"/>
  <c r="S291" i="2"/>
  <c r="Q292" i="2"/>
  <c r="R292" i="2"/>
  <c r="S292" i="2"/>
  <c r="Q293" i="2"/>
  <c r="R293" i="2"/>
  <c r="S293" i="2"/>
  <c r="Q294" i="2"/>
  <c r="R294" i="2"/>
  <c r="S294" i="2"/>
  <c r="Q295" i="2"/>
  <c r="R295" i="2"/>
  <c r="S295" i="2"/>
  <c r="Q296" i="2"/>
  <c r="R296" i="2"/>
  <c r="S296" i="2"/>
  <c r="Q297" i="2"/>
  <c r="R297" i="2"/>
  <c r="S297" i="2"/>
  <c r="Q298" i="2"/>
  <c r="R298" i="2"/>
  <c r="S298" i="2"/>
  <c r="Q299" i="2"/>
  <c r="R299" i="2"/>
  <c r="S299" i="2"/>
  <c r="Q300" i="2"/>
  <c r="R300" i="2"/>
  <c r="S300" i="2"/>
  <c r="Q301" i="2"/>
  <c r="R301" i="2"/>
  <c r="S301" i="2"/>
  <c r="Q302" i="2"/>
  <c r="R302" i="2"/>
  <c r="S302" i="2"/>
  <c r="Q303" i="2"/>
  <c r="R303" i="2"/>
  <c r="S303" i="2"/>
  <c r="Q304" i="2"/>
  <c r="R304" i="2"/>
  <c r="S304" i="2"/>
  <c r="Q305" i="2"/>
  <c r="CA191" i="1" s="1"/>
  <c r="CI191" i="1" s="1"/>
  <c r="R305" i="2"/>
  <c r="CB191" i="1" s="1"/>
  <c r="CJ191" i="1" s="1"/>
  <c r="S305" i="2"/>
  <c r="CC191" i="1" s="1"/>
  <c r="CK191" i="1" s="1"/>
  <c r="Q306" i="2"/>
  <c r="CA192" i="1" s="1"/>
  <c r="CI192" i="1" s="1"/>
  <c r="R306" i="2"/>
  <c r="CB192" i="1" s="1"/>
  <c r="CJ192" i="1" s="1"/>
  <c r="S306" i="2"/>
  <c r="CC192" i="1" s="1"/>
  <c r="CK192" i="1" s="1"/>
  <c r="Q307" i="2"/>
  <c r="R307" i="2"/>
  <c r="S307" i="2"/>
  <c r="Q308" i="2"/>
  <c r="R308" i="2"/>
  <c r="S308" i="2"/>
  <c r="Q309" i="2"/>
  <c r="CA193" i="1" s="1"/>
  <c r="CI193" i="1" s="1"/>
  <c r="R309" i="2"/>
  <c r="CB193" i="1" s="1"/>
  <c r="CJ193" i="1" s="1"/>
  <c r="S309" i="2"/>
  <c r="CC193" i="1" s="1"/>
  <c r="CK193" i="1" s="1"/>
  <c r="Q310" i="2"/>
  <c r="CA194" i="1" s="1"/>
  <c r="CI194" i="1" s="1"/>
  <c r="R310" i="2"/>
  <c r="CB194" i="1" s="1"/>
  <c r="CJ194" i="1" s="1"/>
  <c r="S310" i="2"/>
  <c r="CC194" i="1" s="1"/>
  <c r="CK194" i="1" s="1"/>
  <c r="Q311" i="2"/>
  <c r="CA195" i="1" s="1"/>
  <c r="CI195" i="1" s="1"/>
  <c r="R311" i="2"/>
  <c r="CB195" i="1" s="1"/>
  <c r="CJ195" i="1" s="1"/>
  <c r="S311" i="2"/>
  <c r="CC195" i="1" s="1"/>
  <c r="CK195" i="1" s="1"/>
  <c r="Q312" i="2"/>
  <c r="R312" i="2"/>
  <c r="S312" i="2"/>
  <c r="Q313" i="2"/>
  <c r="R313" i="2"/>
  <c r="S313" i="2"/>
  <c r="Q314" i="2"/>
  <c r="CA196" i="1" s="1"/>
  <c r="CI196" i="1" s="1"/>
  <c r="R314" i="2"/>
  <c r="CB196" i="1" s="1"/>
  <c r="CJ196" i="1" s="1"/>
  <c r="S314" i="2"/>
  <c r="CC196" i="1" s="1"/>
  <c r="CK196" i="1" s="1"/>
  <c r="Q315" i="2"/>
  <c r="CA197" i="1" s="1"/>
  <c r="CI197" i="1" s="1"/>
  <c r="R315" i="2"/>
  <c r="CB197" i="1" s="1"/>
  <c r="CJ197" i="1" s="1"/>
  <c r="S315" i="2"/>
  <c r="CC197" i="1" s="1"/>
  <c r="CK197" i="1" s="1"/>
  <c r="Q316" i="2"/>
  <c r="CA198" i="1" s="1"/>
  <c r="CI198" i="1" s="1"/>
  <c r="R316" i="2"/>
  <c r="CB198" i="1" s="1"/>
  <c r="CJ198" i="1" s="1"/>
  <c r="S316" i="2"/>
  <c r="CC198" i="1" s="1"/>
  <c r="CK198" i="1" s="1"/>
  <c r="Q317" i="2"/>
  <c r="R317" i="2"/>
  <c r="S317" i="2"/>
  <c r="Q318" i="2"/>
  <c r="R318" i="2"/>
  <c r="S318" i="2"/>
  <c r="Q319" i="2"/>
  <c r="R319" i="2"/>
  <c r="S319" i="2"/>
  <c r="Q320" i="2"/>
  <c r="R320" i="2"/>
  <c r="S320" i="2"/>
  <c r="Q321" i="2"/>
  <c r="R321" i="2"/>
  <c r="S321" i="2"/>
  <c r="Q322" i="2"/>
  <c r="R322" i="2"/>
  <c r="S322" i="2"/>
  <c r="Q323" i="2"/>
  <c r="R323" i="2"/>
  <c r="S323" i="2"/>
  <c r="Q324" i="2"/>
  <c r="R324" i="2"/>
  <c r="S324" i="2"/>
  <c r="Q325" i="2"/>
  <c r="R325" i="2"/>
  <c r="S325" i="2"/>
  <c r="Q326" i="2"/>
  <c r="R326" i="2"/>
  <c r="S326" i="2"/>
  <c r="Q327" i="2"/>
  <c r="R327" i="2"/>
  <c r="S327" i="2"/>
  <c r="Q328" i="2"/>
  <c r="R328" i="2"/>
  <c r="S328" i="2"/>
  <c r="Q329" i="2"/>
  <c r="R329" i="2"/>
  <c r="S329" i="2"/>
  <c r="Q330" i="2"/>
  <c r="R330" i="2"/>
  <c r="S330" i="2"/>
  <c r="Q331" i="2"/>
  <c r="R331" i="2"/>
  <c r="S331" i="2"/>
  <c r="Q332" i="2"/>
  <c r="R332" i="2"/>
  <c r="S332" i="2"/>
  <c r="Q333" i="2"/>
  <c r="R333" i="2"/>
  <c r="S333" i="2"/>
  <c r="Q334" i="2"/>
  <c r="R334" i="2"/>
  <c r="S334" i="2"/>
  <c r="Q335" i="2"/>
  <c r="R335" i="2"/>
  <c r="S335" i="2"/>
  <c r="Q336" i="2"/>
  <c r="R336" i="2"/>
  <c r="S336" i="2"/>
  <c r="Q337" i="2"/>
  <c r="R337" i="2"/>
  <c r="S337" i="2"/>
  <c r="Q338" i="2"/>
  <c r="R338" i="2"/>
  <c r="S338" i="2"/>
  <c r="Q339" i="2"/>
  <c r="R339" i="2"/>
  <c r="S339" i="2"/>
  <c r="Q340" i="2"/>
  <c r="R340" i="2"/>
  <c r="S340" i="2"/>
  <c r="Q341" i="2"/>
  <c r="R341" i="2"/>
  <c r="S341" i="2"/>
  <c r="Q342" i="2"/>
  <c r="R342" i="2"/>
  <c r="S342" i="2"/>
  <c r="Q343" i="2"/>
  <c r="R343" i="2"/>
  <c r="S343" i="2"/>
  <c r="Q344" i="2"/>
  <c r="R344" i="2"/>
  <c r="S344" i="2"/>
  <c r="Q345" i="2"/>
  <c r="R345" i="2"/>
  <c r="S345" i="2"/>
  <c r="Q346" i="2"/>
  <c r="R346" i="2"/>
  <c r="S346" i="2"/>
  <c r="Q347" i="2"/>
  <c r="R347" i="2"/>
  <c r="S347" i="2"/>
  <c r="Q348" i="2"/>
  <c r="R348" i="2"/>
  <c r="S348" i="2"/>
  <c r="Q349" i="2"/>
  <c r="R349" i="2"/>
  <c r="S349" i="2"/>
  <c r="Q350" i="2"/>
  <c r="R350" i="2"/>
  <c r="S350" i="2"/>
  <c r="Q351" i="2"/>
  <c r="R351" i="2"/>
  <c r="S351" i="2"/>
  <c r="Q352" i="2"/>
  <c r="R352" i="2"/>
  <c r="S352" i="2"/>
  <c r="Q353" i="2"/>
  <c r="R353" i="2"/>
  <c r="S353" i="2"/>
  <c r="Q354" i="2"/>
  <c r="R354" i="2"/>
  <c r="S354" i="2"/>
  <c r="Q355" i="2"/>
  <c r="R355" i="2"/>
  <c r="S355" i="2"/>
  <c r="Q356" i="2"/>
  <c r="R356" i="2"/>
  <c r="S356" i="2"/>
  <c r="Q357" i="2"/>
  <c r="R357" i="2"/>
  <c r="S357" i="2"/>
  <c r="Q358" i="2"/>
  <c r="R358" i="2"/>
  <c r="S358" i="2"/>
  <c r="Q359" i="2"/>
  <c r="R359" i="2"/>
  <c r="S359" i="2"/>
  <c r="Q360" i="2"/>
  <c r="R360" i="2"/>
  <c r="S360" i="2"/>
  <c r="Q361" i="2"/>
  <c r="R361" i="2"/>
  <c r="S361" i="2"/>
  <c r="Q362" i="2"/>
  <c r="R362" i="2"/>
  <c r="S362" i="2"/>
  <c r="Q363" i="2"/>
  <c r="R363" i="2"/>
  <c r="S363" i="2"/>
  <c r="Q364" i="2"/>
  <c r="R364" i="2"/>
  <c r="S364" i="2"/>
  <c r="Q365" i="2"/>
  <c r="R365" i="2"/>
  <c r="S365" i="2"/>
  <c r="Q366" i="2"/>
  <c r="R366" i="2"/>
  <c r="S366" i="2"/>
  <c r="Q367" i="2"/>
  <c r="R367" i="2"/>
  <c r="S367" i="2"/>
  <c r="Q368" i="2"/>
  <c r="R368" i="2"/>
  <c r="S368" i="2"/>
  <c r="Q369" i="2"/>
  <c r="R369" i="2"/>
  <c r="S369" i="2"/>
  <c r="Q370" i="2"/>
  <c r="R370" i="2"/>
  <c r="S370" i="2"/>
  <c r="Q371" i="2"/>
  <c r="R371" i="2"/>
  <c r="S371" i="2"/>
  <c r="Q372" i="2"/>
  <c r="R372" i="2"/>
  <c r="S372" i="2"/>
  <c r="Q373" i="2"/>
  <c r="R373" i="2"/>
  <c r="S373" i="2"/>
  <c r="Q374" i="2"/>
  <c r="R374" i="2"/>
  <c r="S374" i="2"/>
  <c r="Q375" i="2"/>
  <c r="R375" i="2"/>
  <c r="S375" i="2"/>
  <c r="Q376" i="2"/>
  <c r="CA188" i="1" s="1"/>
  <c r="R376" i="2"/>
  <c r="CB188" i="1" s="1"/>
  <c r="S376" i="2"/>
  <c r="CC188" i="1" s="1"/>
  <c r="Q377" i="2"/>
  <c r="R377" i="2"/>
  <c r="S377" i="2"/>
  <c r="Q378" i="2"/>
  <c r="CA157" i="1" s="1"/>
  <c r="CI157" i="1" s="1"/>
  <c r="R378" i="2"/>
  <c r="CB157" i="1" s="1"/>
  <c r="CJ157" i="1" s="1"/>
  <c r="S378" i="2"/>
  <c r="CC157" i="1" s="1"/>
  <c r="CK157" i="1" s="1"/>
  <c r="Q379" i="2"/>
  <c r="CA189" i="1" s="1"/>
  <c r="CI189" i="1" s="1"/>
  <c r="R379" i="2"/>
  <c r="CB189" i="1" s="1"/>
  <c r="CJ189" i="1" s="1"/>
  <c r="S379" i="2"/>
  <c r="CC189" i="1" s="1"/>
  <c r="CK189" i="1" s="1"/>
  <c r="Q380" i="2"/>
  <c r="CA190" i="1" s="1"/>
  <c r="CI190" i="1" s="1"/>
  <c r="R380" i="2"/>
  <c r="CB190" i="1" s="1"/>
  <c r="CJ190" i="1" s="1"/>
  <c r="S380" i="2"/>
  <c r="CC190" i="1" s="1"/>
  <c r="CK190" i="1" s="1"/>
  <c r="Q381" i="2"/>
  <c r="CA158" i="1" s="1"/>
  <c r="CI158" i="1" s="1"/>
  <c r="R381" i="2"/>
  <c r="CB158" i="1" s="1"/>
  <c r="CJ158" i="1" s="1"/>
  <c r="S381" i="2"/>
  <c r="CC158" i="1" s="1"/>
  <c r="CK158" i="1" s="1"/>
  <c r="Q382" i="2"/>
  <c r="CA159" i="1" s="1"/>
  <c r="CI159" i="1" s="1"/>
  <c r="R382" i="2"/>
  <c r="CB159" i="1" s="1"/>
  <c r="CJ159" i="1" s="1"/>
  <c r="S382" i="2"/>
  <c r="CC159" i="1" s="1"/>
  <c r="CK159" i="1" s="1"/>
  <c r="Q383" i="2"/>
  <c r="CA160" i="1" s="1"/>
  <c r="CI160" i="1" s="1"/>
  <c r="R383" i="2"/>
  <c r="CB160" i="1" s="1"/>
  <c r="CJ160" i="1" s="1"/>
  <c r="S383" i="2"/>
  <c r="CC160" i="1" s="1"/>
  <c r="CK160" i="1" s="1"/>
  <c r="Q384" i="2"/>
  <c r="CA161" i="1" s="1"/>
  <c r="CI161" i="1" s="1"/>
  <c r="R384" i="2"/>
  <c r="CB161" i="1" s="1"/>
  <c r="CJ161" i="1" s="1"/>
  <c r="S384" i="2"/>
  <c r="CC161" i="1" s="1"/>
  <c r="CK161" i="1" s="1"/>
  <c r="Q385" i="2"/>
  <c r="CA162" i="1" s="1"/>
  <c r="CI162" i="1" s="1"/>
  <c r="R385" i="2"/>
  <c r="CB162" i="1" s="1"/>
  <c r="CJ162" i="1" s="1"/>
  <c r="S385" i="2"/>
  <c r="CC162" i="1" s="1"/>
  <c r="CK162" i="1" s="1"/>
  <c r="Q386" i="2"/>
  <c r="CA163" i="1" s="1"/>
  <c r="CI163" i="1" s="1"/>
  <c r="R386" i="2"/>
  <c r="CB163" i="1" s="1"/>
  <c r="CJ163" i="1" s="1"/>
  <c r="S386" i="2"/>
  <c r="CC163" i="1" s="1"/>
  <c r="CK163" i="1" s="1"/>
  <c r="Q387" i="2"/>
  <c r="CA164" i="1" s="1"/>
  <c r="CI164" i="1" s="1"/>
  <c r="R387" i="2"/>
  <c r="CB164" i="1" s="1"/>
  <c r="CJ164" i="1" s="1"/>
  <c r="S387" i="2"/>
  <c r="CC164" i="1" s="1"/>
  <c r="CK164" i="1" s="1"/>
  <c r="Q388" i="2"/>
  <c r="R388" i="2"/>
  <c r="S388" i="2"/>
  <c r="Q389" i="2"/>
  <c r="R389" i="2"/>
  <c r="S389" i="2"/>
  <c r="Q390" i="2"/>
  <c r="CA165" i="1" s="1"/>
  <c r="CI165" i="1" s="1"/>
  <c r="R390" i="2"/>
  <c r="CB165" i="1" s="1"/>
  <c r="CJ165" i="1" s="1"/>
  <c r="S390" i="2"/>
  <c r="CC165" i="1" s="1"/>
  <c r="CK165" i="1" s="1"/>
  <c r="Q391" i="2"/>
  <c r="R391" i="2"/>
  <c r="S391" i="2"/>
  <c r="Q392" i="2"/>
  <c r="R392" i="2"/>
  <c r="S392" i="2"/>
  <c r="Q393" i="2"/>
  <c r="CA166" i="1" s="1"/>
  <c r="CI166" i="1" s="1"/>
  <c r="R393" i="2"/>
  <c r="CB166" i="1" s="1"/>
  <c r="CJ166" i="1" s="1"/>
  <c r="S393" i="2"/>
  <c r="CC166" i="1" s="1"/>
  <c r="CK166" i="1" s="1"/>
  <c r="Q394" i="2"/>
  <c r="CA167" i="1" s="1"/>
  <c r="CI167" i="1" s="1"/>
  <c r="R394" i="2"/>
  <c r="CB167" i="1" s="1"/>
  <c r="CJ167" i="1" s="1"/>
  <c r="S394" i="2"/>
  <c r="CC167" i="1" s="1"/>
  <c r="CK167" i="1" s="1"/>
  <c r="Q395" i="2"/>
  <c r="R395" i="2"/>
  <c r="S395" i="2"/>
  <c r="Q396" i="2"/>
  <c r="R396" i="2"/>
  <c r="S396" i="2"/>
  <c r="Q397" i="2"/>
  <c r="R397" i="2"/>
  <c r="S397" i="2"/>
  <c r="Q398" i="2"/>
  <c r="CA168" i="1" s="1"/>
  <c r="CI168" i="1" s="1"/>
  <c r="R398" i="2"/>
  <c r="CB168" i="1" s="1"/>
  <c r="CJ168" i="1" s="1"/>
  <c r="S398" i="2"/>
  <c r="CC168" i="1" s="1"/>
  <c r="CK168" i="1" s="1"/>
  <c r="Q399" i="2"/>
  <c r="R399" i="2"/>
  <c r="S399" i="2"/>
  <c r="Q400" i="2"/>
  <c r="R400" i="2"/>
  <c r="S400" i="2"/>
  <c r="Q401" i="2"/>
  <c r="R401" i="2"/>
  <c r="S401" i="2"/>
  <c r="Q402" i="2"/>
  <c r="CA169" i="1" s="1"/>
  <c r="CI169" i="1" s="1"/>
  <c r="R402" i="2"/>
  <c r="CB169" i="1" s="1"/>
  <c r="CJ169" i="1" s="1"/>
  <c r="S402" i="2"/>
  <c r="CC169" i="1" s="1"/>
  <c r="CK169" i="1" s="1"/>
  <c r="Q403" i="2"/>
  <c r="CA170" i="1" s="1"/>
  <c r="CI170" i="1" s="1"/>
  <c r="R403" i="2"/>
  <c r="CB170" i="1" s="1"/>
  <c r="CJ170" i="1" s="1"/>
  <c r="S403" i="2"/>
  <c r="CC170" i="1" s="1"/>
  <c r="CK170" i="1" s="1"/>
  <c r="Q404" i="2"/>
  <c r="R404" i="2"/>
  <c r="S404" i="2"/>
  <c r="Q405" i="2"/>
  <c r="CA171" i="1" s="1"/>
  <c r="CI171" i="1" s="1"/>
  <c r="R405" i="2"/>
  <c r="CB171" i="1" s="1"/>
  <c r="CJ171" i="1" s="1"/>
  <c r="S405" i="2"/>
  <c r="CC171" i="1" s="1"/>
  <c r="CK171" i="1" s="1"/>
  <c r="Q406" i="2"/>
  <c r="R406" i="2"/>
  <c r="S406" i="2"/>
  <c r="Q407" i="2"/>
  <c r="CA172" i="1" s="1"/>
  <c r="CI172" i="1" s="1"/>
  <c r="R407" i="2"/>
  <c r="CB172" i="1" s="1"/>
  <c r="CJ172" i="1" s="1"/>
  <c r="S407" i="2"/>
  <c r="CC172" i="1" s="1"/>
  <c r="CK172" i="1" s="1"/>
  <c r="Q408" i="2"/>
  <c r="CA173" i="1" s="1"/>
  <c r="CI173" i="1" s="1"/>
  <c r="R408" i="2"/>
  <c r="CB173" i="1" s="1"/>
  <c r="CJ173" i="1" s="1"/>
  <c r="S408" i="2"/>
  <c r="CC173" i="1" s="1"/>
  <c r="CK173" i="1" s="1"/>
  <c r="Q409" i="2"/>
  <c r="CA174" i="1" s="1"/>
  <c r="CI174" i="1" s="1"/>
  <c r="R409" i="2"/>
  <c r="CB174" i="1" s="1"/>
  <c r="CJ174" i="1" s="1"/>
  <c r="S409" i="2"/>
  <c r="CC174" i="1" s="1"/>
  <c r="CK174" i="1" s="1"/>
  <c r="Q410" i="2"/>
  <c r="CA175" i="1" s="1"/>
  <c r="CI175" i="1" s="1"/>
  <c r="R410" i="2"/>
  <c r="CB175" i="1" s="1"/>
  <c r="CJ175" i="1" s="1"/>
  <c r="S410" i="2"/>
  <c r="CC175" i="1" s="1"/>
  <c r="CK175" i="1" s="1"/>
  <c r="Q411" i="2"/>
  <c r="CA176" i="1" s="1"/>
  <c r="CI176" i="1" s="1"/>
  <c r="R411" i="2"/>
  <c r="CB176" i="1" s="1"/>
  <c r="CJ176" i="1" s="1"/>
  <c r="S411" i="2"/>
  <c r="CC176" i="1" s="1"/>
  <c r="CK176" i="1" s="1"/>
  <c r="Q412" i="2"/>
  <c r="CA177" i="1" s="1"/>
  <c r="CI177" i="1" s="1"/>
  <c r="R412" i="2"/>
  <c r="CB177" i="1" s="1"/>
  <c r="CJ177" i="1" s="1"/>
  <c r="S412" i="2"/>
  <c r="CC177" i="1" s="1"/>
  <c r="CK177" i="1" s="1"/>
  <c r="Q413" i="2"/>
  <c r="CA178" i="1" s="1"/>
  <c r="CI178" i="1" s="1"/>
  <c r="R413" i="2"/>
  <c r="CB178" i="1" s="1"/>
  <c r="CJ178" i="1" s="1"/>
  <c r="S413" i="2"/>
  <c r="CC178" i="1" s="1"/>
  <c r="CK178" i="1" s="1"/>
  <c r="Q414" i="2"/>
  <c r="CA179" i="1" s="1"/>
  <c r="CI179" i="1" s="1"/>
  <c r="R414" i="2"/>
  <c r="CB179" i="1" s="1"/>
  <c r="CJ179" i="1" s="1"/>
  <c r="S414" i="2"/>
  <c r="CC179" i="1" s="1"/>
  <c r="CK179" i="1" s="1"/>
  <c r="Q415" i="2"/>
  <c r="CA180" i="1" s="1"/>
  <c r="CI180" i="1" s="1"/>
  <c r="R415" i="2"/>
  <c r="CB180" i="1" s="1"/>
  <c r="CJ180" i="1" s="1"/>
  <c r="S415" i="2"/>
  <c r="CC180" i="1" s="1"/>
  <c r="CK180" i="1" s="1"/>
  <c r="Q416" i="2"/>
  <c r="CA181" i="1" s="1"/>
  <c r="CI181" i="1" s="1"/>
  <c r="R416" i="2"/>
  <c r="CB181" i="1" s="1"/>
  <c r="CJ181" i="1" s="1"/>
  <c r="S416" i="2"/>
  <c r="CC181" i="1" s="1"/>
  <c r="CK181" i="1" s="1"/>
  <c r="Q417" i="2"/>
  <c r="CA182" i="1" s="1"/>
  <c r="CI182" i="1" s="1"/>
  <c r="R417" i="2"/>
  <c r="CB182" i="1" s="1"/>
  <c r="CJ182" i="1" s="1"/>
  <c r="S417" i="2"/>
  <c r="CC182" i="1" s="1"/>
  <c r="CK182" i="1" s="1"/>
  <c r="Q418" i="2"/>
  <c r="CA183" i="1" s="1"/>
  <c r="CI183" i="1" s="1"/>
  <c r="R418" i="2"/>
  <c r="CB183" i="1" s="1"/>
  <c r="CJ183" i="1" s="1"/>
  <c r="S418" i="2"/>
  <c r="CC183" i="1" s="1"/>
  <c r="CK183" i="1" s="1"/>
  <c r="Q419" i="2"/>
  <c r="R419" i="2"/>
  <c r="S419" i="2"/>
  <c r="Q420" i="2"/>
  <c r="CA184" i="1" s="1"/>
  <c r="R420" i="2"/>
  <c r="CB184" i="1" s="1"/>
  <c r="S420" i="2"/>
  <c r="CC184" i="1" s="1"/>
  <c r="Q421" i="2"/>
  <c r="R421" i="2"/>
  <c r="S421" i="2"/>
  <c r="Q422" i="2"/>
  <c r="CA185" i="1" s="1"/>
  <c r="CI185" i="1" s="1"/>
  <c r="R422" i="2"/>
  <c r="CB185" i="1" s="1"/>
  <c r="CJ185" i="1" s="1"/>
  <c r="S422" i="2"/>
  <c r="CC185" i="1" s="1"/>
  <c r="CK185" i="1" s="1"/>
  <c r="Q423" i="2"/>
  <c r="R423" i="2"/>
  <c r="S423" i="2"/>
  <c r="Q424" i="2"/>
  <c r="R424" i="2"/>
  <c r="S424" i="2"/>
  <c r="Q425" i="2"/>
  <c r="R425" i="2"/>
  <c r="S425" i="2"/>
  <c r="Q426" i="2"/>
  <c r="CA186" i="1" s="1"/>
  <c r="CI186" i="1" s="1"/>
  <c r="R426" i="2"/>
  <c r="CB186" i="1" s="1"/>
  <c r="CJ186" i="1" s="1"/>
  <c r="S426" i="2"/>
  <c r="CC186" i="1" s="1"/>
  <c r="CK186" i="1" s="1"/>
  <c r="Q427" i="2"/>
  <c r="R427" i="2"/>
  <c r="S427" i="2"/>
  <c r="Q428" i="2"/>
  <c r="R428" i="2"/>
  <c r="S428" i="2"/>
  <c r="Q429" i="2"/>
  <c r="R429" i="2"/>
  <c r="S429" i="2"/>
  <c r="Q430" i="2"/>
  <c r="R430" i="2"/>
  <c r="S430" i="2"/>
  <c r="Q431" i="2"/>
  <c r="R431" i="2"/>
  <c r="S431" i="2"/>
  <c r="Q432" i="2"/>
  <c r="R432" i="2"/>
  <c r="S432" i="2"/>
  <c r="Q433" i="2"/>
  <c r="R433" i="2"/>
  <c r="S433" i="2"/>
  <c r="Q434" i="2"/>
  <c r="R434" i="2"/>
  <c r="S434" i="2"/>
  <c r="Q435" i="2"/>
  <c r="R435" i="2"/>
  <c r="S435" i="2"/>
  <c r="Q436" i="2"/>
  <c r="R436" i="2"/>
  <c r="S436" i="2"/>
  <c r="Q437" i="2"/>
  <c r="R437" i="2"/>
  <c r="S437" i="2"/>
  <c r="Q438" i="2"/>
  <c r="R438" i="2"/>
  <c r="S438" i="2"/>
  <c r="Q439" i="2"/>
  <c r="R439" i="2"/>
  <c r="S439" i="2"/>
  <c r="Q440" i="2"/>
  <c r="R440" i="2"/>
  <c r="S440" i="2"/>
  <c r="Q441" i="2"/>
  <c r="R441" i="2"/>
  <c r="S441" i="2"/>
  <c r="Q442" i="2"/>
  <c r="R442" i="2"/>
  <c r="S442" i="2"/>
  <c r="Q443" i="2"/>
  <c r="R443" i="2"/>
  <c r="S443" i="2"/>
  <c r="Q444" i="2"/>
  <c r="R444" i="2"/>
  <c r="S444" i="2"/>
  <c r="Q445" i="2"/>
  <c r="R445" i="2"/>
  <c r="S445" i="2"/>
  <c r="Q446" i="2"/>
  <c r="R446" i="2"/>
  <c r="S446" i="2"/>
  <c r="Q447" i="2"/>
  <c r="R447" i="2"/>
  <c r="S447" i="2"/>
  <c r="Q448" i="2"/>
  <c r="R448" i="2"/>
  <c r="S448" i="2"/>
  <c r="Q449" i="2"/>
  <c r="R449" i="2"/>
  <c r="S449" i="2"/>
  <c r="Q450" i="2"/>
  <c r="R450" i="2"/>
  <c r="S450" i="2"/>
  <c r="Q451" i="2"/>
  <c r="R451" i="2"/>
  <c r="S451" i="2"/>
  <c r="Q452" i="2"/>
  <c r="R452" i="2"/>
  <c r="S452" i="2"/>
  <c r="Q453" i="2"/>
  <c r="R453" i="2"/>
  <c r="S453" i="2"/>
  <c r="Q454" i="2"/>
  <c r="R454" i="2"/>
  <c r="S454" i="2"/>
  <c r="Q455" i="2"/>
  <c r="R455" i="2"/>
  <c r="S455" i="2"/>
  <c r="Q456" i="2"/>
  <c r="R456" i="2"/>
  <c r="S456" i="2"/>
  <c r="Q457" i="2"/>
  <c r="R457" i="2"/>
  <c r="S457" i="2"/>
  <c r="Q458" i="2"/>
  <c r="R458" i="2"/>
  <c r="S458" i="2"/>
  <c r="Q459" i="2"/>
  <c r="R459" i="2"/>
  <c r="S459" i="2"/>
  <c r="Q460" i="2"/>
  <c r="R460" i="2"/>
  <c r="S460" i="2"/>
  <c r="Q461" i="2"/>
  <c r="R461" i="2"/>
  <c r="S461" i="2"/>
  <c r="Q462" i="2"/>
  <c r="R462" i="2"/>
  <c r="S462" i="2"/>
  <c r="Q463" i="2"/>
  <c r="R463" i="2"/>
  <c r="S463" i="2"/>
  <c r="Q464" i="2"/>
  <c r="R464" i="2"/>
  <c r="S464" i="2"/>
  <c r="Q465" i="2"/>
  <c r="R465" i="2"/>
  <c r="S465" i="2"/>
  <c r="Q466" i="2"/>
  <c r="R466" i="2"/>
  <c r="S466" i="2"/>
  <c r="Q467" i="2"/>
  <c r="R467" i="2"/>
  <c r="S467" i="2"/>
  <c r="Q468" i="2"/>
  <c r="R468" i="2"/>
  <c r="S468" i="2"/>
  <c r="Q469" i="2"/>
  <c r="R469" i="2"/>
  <c r="S469" i="2"/>
  <c r="Q470" i="2"/>
  <c r="R470" i="2"/>
  <c r="S470" i="2"/>
  <c r="Q471" i="2"/>
  <c r="R471" i="2"/>
  <c r="S471" i="2"/>
  <c r="Q472" i="2"/>
  <c r="R472" i="2"/>
  <c r="S472" i="2"/>
  <c r="Q473" i="2"/>
  <c r="R473" i="2"/>
  <c r="S473" i="2"/>
  <c r="Q474" i="2"/>
  <c r="R474" i="2"/>
  <c r="S474" i="2"/>
  <c r="Q475" i="2"/>
  <c r="R475" i="2"/>
  <c r="S475" i="2"/>
  <c r="Q476" i="2"/>
  <c r="R476" i="2"/>
  <c r="S476" i="2"/>
  <c r="Q477" i="2"/>
  <c r="R477" i="2"/>
  <c r="S477" i="2"/>
  <c r="Q478" i="2"/>
  <c r="R478" i="2"/>
  <c r="S478" i="2"/>
  <c r="Q479" i="2"/>
  <c r="R479" i="2"/>
  <c r="S479" i="2"/>
  <c r="Q480" i="2"/>
  <c r="R480" i="2"/>
  <c r="S480" i="2"/>
  <c r="Q481" i="2"/>
  <c r="R481" i="2"/>
  <c r="S481" i="2"/>
  <c r="Q482" i="2"/>
  <c r="R482" i="2"/>
  <c r="S482" i="2"/>
  <c r="Q483" i="2"/>
  <c r="R483" i="2"/>
  <c r="S483" i="2"/>
  <c r="Q484" i="2"/>
  <c r="R484" i="2"/>
  <c r="S484" i="2"/>
  <c r="Q485" i="2"/>
  <c r="R485" i="2"/>
  <c r="S485" i="2"/>
  <c r="Q486" i="2"/>
  <c r="R486" i="2"/>
  <c r="S486" i="2"/>
  <c r="Q487" i="2"/>
  <c r="R487" i="2"/>
  <c r="S487" i="2"/>
  <c r="Q488" i="2"/>
  <c r="R488" i="2"/>
  <c r="S488" i="2"/>
  <c r="Q489" i="2"/>
  <c r="R489" i="2"/>
  <c r="S489" i="2"/>
  <c r="Q490" i="2"/>
  <c r="R490" i="2"/>
  <c r="S490" i="2"/>
  <c r="Q491" i="2"/>
  <c r="R491" i="2"/>
  <c r="S491" i="2"/>
  <c r="Q492" i="2"/>
  <c r="R492" i="2"/>
  <c r="S492" i="2"/>
  <c r="Q493" i="2"/>
  <c r="R493" i="2"/>
  <c r="S493" i="2"/>
  <c r="Q494" i="2"/>
  <c r="R494" i="2"/>
  <c r="S494" i="2"/>
  <c r="Q495" i="2"/>
  <c r="R495" i="2"/>
  <c r="S495" i="2"/>
  <c r="Q496" i="2"/>
  <c r="R496" i="2"/>
  <c r="S496" i="2"/>
  <c r="Q497" i="2"/>
  <c r="R497" i="2"/>
  <c r="S497" i="2"/>
  <c r="Q498" i="2"/>
  <c r="R498" i="2"/>
  <c r="S498" i="2"/>
  <c r="Q499" i="2"/>
  <c r="R499" i="2"/>
  <c r="S499" i="2"/>
  <c r="Q500" i="2"/>
  <c r="R500" i="2"/>
  <c r="S500" i="2"/>
  <c r="Q501" i="2"/>
  <c r="R501" i="2"/>
  <c r="S501" i="2"/>
  <c r="Q502" i="2"/>
  <c r="R502" i="2"/>
  <c r="S502" i="2"/>
  <c r="Q503" i="2"/>
  <c r="R503" i="2"/>
  <c r="S503" i="2"/>
  <c r="Q504" i="2"/>
  <c r="R504" i="2"/>
  <c r="S504" i="2"/>
  <c r="Q505" i="2"/>
  <c r="R505" i="2"/>
  <c r="S505" i="2"/>
  <c r="Q506" i="2"/>
  <c r="R506" i="2"/>
  <c r="S506" i="2"/>
  <c r="CC21" i="1" s="1"/>
  <c r="Q507" i="2"/>
  <c r="R507" i="2"/>
  <c r="S507" i="2"/>
  <c r="Q508" i="2"/>
  <c r="R508" i="2"/>
  <c r="S508" i="2"/>
  <c r="Q509" i="2"/>
  <c r="R509" i="2"/>
  <c r="S509" i="2"/>
  <c r="Q510" i="2"/>
  <c r="R510" i="2"/>
  <c r="S510" i="2"/>
  <c r="CC23" i="1" s="1"/>
  <c r="Q511" i="2"/>
  <c r="R511" i="2"/>
  <c r="S511" i="2"/>
  <c r="Q512" i="2"/>
  <c r="R512" i="2"/>
  <c r="S512" i="2"/>
  <c r="Q513" i="2"/>
  <c r="R513" i="2"/>
  <c r="S513" i="2"/>
  <c r="Q514" i="2"/>
  <c r="R514" i="2"/>
  <c r="S514" i="2"/>
  <c r="Q515" i="2"/>
  <c r="R515" i="2"/>
  <c r="S515" i="2"/>
  <c r="Q516" i="2"/>
  <c r="R516" i="2"/>
  <c r="S516" i="2"/>
  <c r="Q517" i="2"/>
  <c r="CA203" i="1" s="1"/>
  <c r="CI203" i="1" s="1"/>
  <c r="R517" i="2"/>
  <c r="CB203" i="1" s="1"/>
  <c r="CJ203" i="1" s="1"/>
  <c r="S517" i="2"/>
  <c r="CC203" i="1" s="1"/>
  <c r="CK203" i="1" s="1"/>
  <c r="Q518" i="2"/>
  <c r="CA204" i="1" s="1"/>
  <c r="CI204" i="1" s="1"/>
  <c r="R518" i="2"/>
  <c r="CB204" i="1" s="1"/>
  <c r="CJ204" i="1" s="1"/>
  <c r="S518" i="2"/>
  <c r="CC204" i="1" s="1"/>
  <c r="CK204" i="1" s="1"/>
  <c r="Q519" i="2"/>
  <c r="CA205" i="1" s="1"/>
  <c r="CI205" i="1" s="1"/>
  <c r="R519" i="2"/>
  <c r="CB205" i="1" s="1"/>
  <c r="CJ205" i="1" s="1"/>
  <c r="S519" i="2"/>
  <c r="CC205" i="1" s="1"/>
  <c r="CK205" i="1" s="1"/>
  <c r="Q520" i="2"/>
  <c r="CA206" i="1" s="1"/>
  <c r="CI206" i="1" s="1"/>
  <c r="R520" i="2"/>
  <c r="CB206" i="1" s="1"/>
  <c r="CJ206" i="1" s="1"/>
  <c r="S520" i="2"/>
  <c r="CC206" i="1" s="1"/>
  <c r="CK206" i="1" s="1"/>
  <c r="Q521" i="2"/>
  <c r="CA207" i="1" s="1"/>
  <c r="CI207" i="1" s="1"/>
  <c r="R521" i="2"/>
  <c r="CB207" i="1" s="1"/>
  <c r="CJ207" i="1" s="1"/>
  <c r="S521" i="2"/>
  <c r="CC207" i="1" s="1"/>
  <c r="CK207" i="1" s="1"/>
  <c r="Q522" i="2"/>
  <c r="CA211" i="1" s="1"/>
  <c r="CI211" i="1" s="1"/>
  <c r="R522" i="2"/>
  <c r="CB211" i="1" s="1"/>
  <c r="CJ211" i="1" s="1"/>
  <c r="S522" i="2"/>
  <c r="CC211" i="1" s="1"/>
  <c r="CK211" i="1" s="1"/>
  <c r="Q523" i="2"/>
  <c r="CA212" i="1" s="1"/>
  <c r="CI212" i="1" s="1"/>
  <c r="R523" i="2"/>
  <c r="CB212" i="1" s="1"/>
  <c r="CJ212" i="1" s="1"/>
  <c r="S523" i="2"/>
  <c r="CC212" i="1" s="1"/>
  <c r="CK212" i="1" s="1"/>
  <c r="Q524" i="2"/>
  <c r="CA213" i="1" s="1"/>
  <c r="CI213" i="1" s="1"/>
  <c r="R524" i="2"/>
  <c r="CB213" i="1" s="1"/>
  <c r="CJ213" i="1" s="1"/>
  <c r="S524" i="2"/>
  <c r="CC213" i="1" s="1"/>
  <c r="CK213" i="1" s="1"/>
  <c r="Q525" i="2"/>
  <c r="CA214" i="1" s="1"/>
  <c r="CI214" i="1" s="1"/>
  <c r="R525" i="2"/>
  <c r="CB214" i="1" s="1"/>
  <c r="CJ214" i="1" s="1"/>
  <c r="S525" i="2"/>
  <c r="CC214" i="1" s="1"/>
  <c r="CK214" i="1" s="1"/>
  <c r="Q526" i="2"/>
  <c r="CA215" i="1" s="1"/>
  <c r="CI215" i="1" s="1"/>
  <c r="R526" i="2"/>
  <c r="CB215" i="1" s="1"/>
  <c r="CJ215" i="1" s="1"/>
  <c r="S526" i="2"/>
  <c r="CC215" i="1" s="1"/>
  <c r="CK215" i="1" s="1"/>
  <c r="Q527" i="2"/>
  <c r="R527" i="2"/>
  <c r="S527" i="2"/>
  <c r="Q528" i="2"/>
  <c r="R528" i="2"/>
  <c r="S528" i="2"/>
  <c r="Q529" i="2"/>
  <c r="R529" i="2"/>
  <c r="S529" i="2"/>
  <c r="Q530" i="2"/>
  <c r="R530" i="2"/>
  <c r="S530" i="2"/>
  <c r="Q531" i="2"/>
  <c r="R531" i="2"/>
  <c r="S531" i="2"/>
  <c r="Q532" i="2"/>
  <c r="R532" i="2"/>
  <c r="S532" i="2"/>
  <c r="Q533" i="2"/>
  <c r="R533" i="2"/>
  <c r="S533" i="2"/>
  <c r="Q534" i="2"/>
  <c r="R534" i="2"/>
  <c r="S534" i="2"/>
  <c r="Q535" i="2"/>
  <c r="R535" i="2"/>
  <c r="S535" i="2"/>
  <c r="Q536" i="2"/>
  <c r="R536" i="2"/>
  <c r="S536" i="2"/>
  <c r="Q537" i="2"/>
  <c r="R537" i="2"/>
  <c r="S537" i="2"/>
  <c r="Q538" i="2"/>
  <c r="R538" i="2"/>
  <c r="S538" i="2"/>
  <c r="Q539" i="2"/>
  <c r="R539" i="2"/>
  <c r="S539" i="2"/>
  <c r="Q540" i="2"/>
  <c r="R540" i="2"/>
  <c r="S540" i="2"/>
  <c r="Q541" i="2"/>
  <c r="R541" i="2"/>
  <c r="S541" i="2"/>
  <c r="Q542" i="2"/>
  <c r="R542" i="2"/>
  <c r="S542" i="2"/>
  <c r="Q543" i="2"/>
  <c r="R543" i="2"/>
  <c r="S543" i="2"/>
  <c r="Q544" i="2"/>
  <c r="R544" i="2"/>
  <c r="S544" i="2"/>
  <c r="Q545" i="2"/>
  <c r="R545" i="2"/>
  <c r="S545" i="2"/>
  <c r="Q546" i="2"/>
  <c r="R546" i="2"/>
  <c r="S546" i="2"/>
  <c r="Q547" i="2"/>
  <c r="R547" i="2"/>
  <c r="S547" i="2"/>
  <c r="Q548" i="2"/>
  <c r="R548" i="2"/>
  <c r="S548" i="2"/>
  <c r="Q549" i="2"/>
  <c r="R549" i="2"/>
  <c r="S549" i="2"/>
  <c r="Q550" i="2"/>
  <c r="R550" i="2"/>
  <c r="S550" i="2"/>
  <c r="Q551" i="2"/>
  <c r="R551" i="2"/>
  <c r="S551" i="2"/>
  <c r="Q552" i="2"/>
  <c r="R552" i="2"/>
  <c r="S552" i="2"/>
  <c r="Q553" i="2"/>
  <c r="R553" i="2"/>
  <c r="S553" i="2"/>
  <c r="Q554" i="2"/>
  <c r="R554" i="2"/>
  <c r="S554" i="2"/>
  <c r="Q555" i="2"/>
  <c r="R555" i="2"/>
  <c r="S555" i="2"/>
  <c r="Q556" i="2"/>
  <c r="R556" i="2"/>
  <c r="S556" i="2"/>
  <c r="Q557" i="2"/>
  <c r="R557" i="2"/>
  <c r="S557" i="2"/>
  <c r="Q558" i="2"/>
  <c r="R558" i="2"/>
  <c r="S558" i="2"/>
  <c r="Q559" i="2"/>
  <c r="R559" i="2"/>
  <c r="S559" i="2"/>
  <c r="Q560" i="2"/>
  <c r="R560" i="2"/>
  <c r="S560" i="2"/>
  <c r="Q561" i="2"/>
  <c r="R561" i="2"/>
  <c r="S561" i="2"/>
  <c r="Q562" i="2"/>
  <c r="R562" i="2"/>
  <c r="S562" i="2"/>
  <c r="Q563" i="2"/>
  <c r="R563" i="2"/>
  <c r="S563" i="2"/>
  <c r="Q564" i="2"/>
  <c r="R564" i="2"/>
  <c r="S564" i="2"/>
  <c r="Q565" i="2"/>
  <c r="R565" i="2"/>
  <c r="S565" i="2"/>
  <c r="Q566" i="2"/>
  <c r="R566" i="2"/>
  <c r="S566" i="2"/>
  <c r="Q567" i="2"/>
  <c r="R567" i="2"/>
  <c r="S567" i="2"/>
  <c r="Q568" i="2"/>
  <c r="R568" i="2"/>
  <c r="S568" i="2"/>
  <c r="Q569" i="2"/>
  <c r="R569" i="2"/>
  <c r="S569" i="2"/>
  <c r="Q570" i="2"/>
  <c r="R570" i="2"/>
  <c r="S570" i="2"/>
  <c r="Q571" i="2"/>
  <c r="R571" i="2"/>
  <c r="S571" i="2"/>
  <c r="Q572" i="2"/>
  <c r="R572" i="2"/>
  <c r="S572" i="2"/>
  <c r="Q573" i="2"/>
  <c r="R573" i="2"/>
  <c r="S573" i="2"/>
  <c r="Q574" i="2"/>
  <c r="R574" i="2"/>
  <c r="S574" i="2"/>
  <c r="Q575" i="2"/>
  <c r="R575" i="2"/>
  <c r="S575" i="2"/>
  <c r="Q576" i="2"/>
  <c r="R576" i="2"/>
  <c r="S576" i="2"/>
  <c r="Q577" i="2"/>
  <c r="R577" i="2"/>
  <c r="S577" i="2"/>
  <c r="Q578" i="2"/>
  <c r="R578" i="2"/>
  <c r="S578" i="2"/>
  <c r="Q579" i="2"/>
  <c r="R579" i="2"/>
  <c r="S579" i="2"/>
  <c r="Q580" i="2"/>
  <c r="R580" i="2"/>
  <c r="S580" i="2"/>
  <c r="Q581" i="2"/>
  <c r="R581" i="2"/>
  <c r="S581" i="2"/>
  <c r="Q582" i="2"/>
  <c r="R582" i="2"/>
  <c r="S582" i="2"/>
  <c r="Q583" i="2"/>
  <c r="R583" i="2"/>
  <c r="S583" i="2"/>
  <c r="Q584" i="2"/>
  <c r="R584" i="2"/>
  <c r="S584" i="2"/>
  <c r="Q585" i="2"/>
  <c r="R585" i="2"/>
  <c r="S585" i="2"/>
  <c r="Q586" i="2"/>
  <c r="R586" i="2"/>
  <c r="S586" i="2"/>
  <c r="Q587" i="2"/>
  <c r="R587" i="2"/>
  <c r="S587" i="2"/>
  <c r="Q588" i="2"/>
  <c r="R588" i="2"/>
  <c r="S588" i="2"/>
  <c r="Q589" i="2"/>
  <c r="R589" i="2"/>
  <c r="S589" i="2"/>
  <c r="Q590" i="2"/>
  <c r="R590" i="2"/>
  <c r="S590" i="2"/>
  <c r="Q591" i="2"/>
  <c r="R591" i="2"/>
  <c r="S591" i="2"/>
  <c r="Q592" i="2"/>
  <c r="R592" i="2"/>
  <c r="S592" i="2"/>
  <c r="Q593" i="2"/>
  <c r="R593" i="2"/>
  <c r="S593" i="2"/>
  <c r="Q594" i="2"/>
  <c r="R594" i="2"/>
  <c r="S594" i="2"/>
  <c r="Q595" i="2"/>
  <c r="R595" i="2"/>
  <c r="S595" i="2"/>
  <c r="Q596" i="2"/>
  <c r="R596" i="2"/>
  <c r="S596" i="2"/>
  <c r="Q597" i="2"/>
  <c r="R597" i="2"/>
  <c r="S597" i="2"/>
  <c r="Q598" i="2"/>
  <c r="R598" i="2"/>
  <c r="S598" i="2"/>
  <c r="Q599" i="2"/>
  <c r="R599" i="2"/>
  <c r="S599" i="2"/>
  <c r="Q600" i="2"/>
  <c r="R600" i="2"/>
  <c r="S600" i="2"/>
  <c r="Q601" i="2"/>
  <c r="R601" i="2"/>
  <c r="S601" i="2"/>
  <c r="Q602" i="2"/>
  <c r="R602" i="2"/>
  <c r="S602" i="2"/>
  <c r="Q603" i="2"/>
  <c r="R603" i="2"/>
  <c r="S603" i="2"/>
  <c r="Q604" i="2"/>
  <c r="R604" i="2"/>
  <c r="S604" i="2"/>
  <c r="Q605" i="2"/>
  <c r="R605" i="2"/>
  <c r="S605" i="2"/>
  <c r="Q606" i="2"/>
  <c r="R606" i="2"/>
  <c r="S606" i="2"/>
  <c r="Q607" i="2"/>
  <c r="R607" i="2"/>
  <c r="S607" i="2"/>
  <c r="Q608" i="2"/>
  <c r="R608" i="2"/>
  <c r="S608" i="2"/>
  <c r="Q609" i="2"/>
  <c r="R609" i="2"/>
  <c r="S609" i="2"/>
  <c r="Q610" i="2"/>
  <c r="R610" i="2"/>
  <c r="S610" i="2"/>
  <c r="Q611" i="2"/>
  <c r="R611" i="2"/>
  <c r="S611" i="2"/>
  <c r="Q612" i="2"/>
  <c r="R612" i="2"/>
  <c r="S612" i="2"/>
  <c r="Q613" i="2"/>
  <c r="R613" i="2"/>
  <c r="S613" i="2"/>
  <c r="Q614" i="2"/>
  <c r="R614" i="2"/>
  <c r="S614" i="2"/>
  <c r="Q615" i="2"/>
  <c r="R615" i="2"/>
  <c r="S615" i="2"/>
  <c r="Q616" i="2"/>
  <c r="R616" i="2"/>
  <c r="S616" i="2"/>
  <c r="Q617" i="2"/>
  <c r="R617" i="2"/>
  <c r="S617" i="2"/>
  <c r="Q618" i="2"/>
  <c r="R618" i="2"/>
  <c r="S618" i="2"/>
  <c r="Q619" i="2"/>
  <c r="R619" i="2"/>
  <c r="S619" i="2"/>
  <c r="Q620" i="2"/>
  <c r="R620" i="2"/>
  <c r="S620" i="2"/>
  <c r="Q621" i="2"/>
  <c r="R621" i="2"/>
  <c r="S621" i="2"/>
  <c r="Q622" i="2"/>
  <c r="R622" i="2"/>
  <c r="S622" i="2"/>
  <c r="Q623" i="2"/>
  <c r="R623" i="2"/>
  <c r="S623" i="2"/>
  <c r="Q624" i="2"/>
  <c r="R624" i="2"/>
  <c r="S624" i="2"/>
  <c r="Q625" i="2"/>
  <c r="R625" i="2"/>
  <c r="S625" i="2"/>
  <c r="Q626" i="2"/>
  <c r="R626" i="2"/>
  <c r="S626" i="2"/>
  <c r="Q627" i="2"/>
  <c r="R627" i="2"/>
  <c r="S627" i="2"/>
  <c r="Q628" i="2"/>
  <c r="R628" i="2"/>
  <c r="S628" i="2"/>
  <c r="Q629" i="2"/>
  <c r="R629" i="2"/>
  <c r="S629" i="2"/>
  <c r="Q630" i="2"/>
  <c r="CA25" i="1" s="1"/>
  <c r="R630" i="2"/>
  <c r="CB25" i="1" s="1"/>
  <c r="S630" i="2"/>
  <c r="CC25" i="1" s="1"/>
  <c r="Q631" i="2"/>
  <c r="R631" i="2"/>
  <c r="S631" i="2"/>
  <c r="Q632" i="2"/>
  <c r="R632" i="2"/>
  <c r="S632" i="2"/>
  <c r="Q633" i="2"/>
  <c r="R633" i="2"/>
  <c r="CB26" i="1" s="1"/>
  <c r="S633" i="2"/>
  <c r="Q634" i="2"/>
  <c r="CA27" i="1" s="1"/>
  <c r="R634" i="2"/>
  <c r="S634" i="2"/>
  <c r="CC27" i="1" s="1"/>
  <c r="Q635" i="2"/>
  <c r="R635" i="2"/>
  <c r="S635" i="2"/>
  <c r="Q636" i="2"/>
  <c r="R636" i="2"/>
  <c r="S636" i="2"/>
  <c r="Q637" i="2"/>
  <c r="R637" i="2"/>
  <c r="CB28" i="1" s="1"/>
  <c r="S637" i="2"/>
  <c r="Q638" i="2"/>
  <c r="CA29" i="1" s="1"/>
  <c r="R638" i="2"/>
  <c r="CB29" i="1" s="1"/>
  <c r="S638" i="2"/>
  <c r="CC29" i="1" s="1"/>
  <c r="Q639" i="2"/>
  <c r="CA30" i="1" s="1"/>
  <c r="R639" i="2"/>
  <c r="CB30" i="1" s="1"/>
  <c r="S639" i="2"/>
  <c r="CC30" i="1" s="1"/>
  <c r="Q640" i="2"/>
  <c r="R640" i="2"/>
  <c r="CB31" i="1" s="1"/>
  <c r="S640" i="2"/>
  <c r="Q641" i="2"/>
  <c r="R641" i="2"/>
  <c r="S641" i="2"/>
  <c r="CC32" i="1" s="1"/>
  <c r="Q642" i="2"/>
  <c r="R642" i="2"/>
  <c r="S642" i="2"/>
  <c r="CC33" i="1" s="1"/>
  <c r="Q643" i="2"/>
  <c r="CA34" i="1" s="1"/>
  <c r="R643" i="2"/>
  <c r="CB34" i="1" s="1"/>
  <c r="S643" i="2"/>
  <c r="Q644" i="2"/>
  <c r="R644" i="2"/>
  <c r="S644" i="2"/>
  <c r="Q645" i="2"/>
  <c r="R645" i="2"/>
  <c r="CB35" i="1" s="1"/>
  <c r="S645" i="2"/>
  <c r="CC35" i="1" s="1"/>
  <c r="Q646" i="2"/>
  <c r="R646" i="2"/>
  <c r="S646" i="2"/>
  <c r="Q647" i="2"/>
  <c r="R647" i="2"/>
  <c r="S647" i="2"/>
  <c r="Q648" i="2"/>
  <c r="R648" i="2"/>
  <c r="S648" i="2"/>
  <c r="Q649" i="2"/>
  <c r="R649" i="2"/>
  <c r="S649" i="2"/>
  <c r="Q650" i="2"/>
  <c r="R650" i="2"/>
  <c r="S650" i="2"/>
  <c r="Q651" i="2"/>
  <c r="CA155" i="1" s="1"/>
  <c r="CI155" i="1" s="1"/>
  <c r="R651" i="2"/>
  <c r="S651" i="2"/>
  <c r="Q652" i="2"/>
  <c r="R652" i="2"/>
  <c r="S652" i="2"/>
  <c r="Q653" i="2"/>
  <c r="R653" i="2"/>
  <c r="S653" i="2"/>
  <c r="Q654" i="2"/>
  <c r="R654" i="2"/>
  <c r="S654" i="2"/>
  <c r="Q655" i="2"/>
  <c r="CA156" i="1" s="1"/>
  <c r="CI156" i="1" s="1"/>
  <c r="R655" i="2"/>
  <c r="S655" i="2"/>
  <c r="Q656" i="2"/>
  <c r="CA199" i="1" s="1"/>
  <c r="CI199" i="1" s="1"/>
  <c r="R656" i="2"/>
  <c r="CB199" i="1" s="1"/>
  <c r="CJ199" i="1" s="1"/>
  <c r="S656" i="2"/>
  <c r="CC199" i="1" s="1"/>
  <c r="CK199" i="1" s="1"/>
  <c r="Q657" i="2"/>
  <c r="R657" i="2"/>
  <c r="S657" i="2"/>
  <c r="Q658" i="2"/>
  <c r="R658" i="2"/>
  <c r="S658" i="2"/>
  <c r="Q659" i="2"/>
  <c r="R659" i="2"/>
  <c r="S659" i="2"/>
  <c r="Q660" i="2"/>
  <c r="R660" i="2"/>
  <c r="S660" i="2"/>
  <c r="Q661" i="2"/>
  <c r="CA187" i="1" s="1"/>
  <c r="CI187" i="1" s="1"/>
  <c r="R661" i="2"/>
  <c r="CB187" i="1" s="1"/>
  <c r="CJ187" i="1" s="1"/>
  <c r="S661" i="2"/>
  <c r="CC187" i="1" s="1"/>
  <c r="CK187" i="1" s="1"/>
  <c r="Q662" i="2"/>
  <c r="R662" i="2"/>
  <c r="S662" i="2"/>
  <c r="Q663" i="2"/>
  <c r="R663" i="2"/>
  <c r="S663" i="2"/>
  <c r="Q664" i="2"/>
  <c r="R664" i="2"/>
  <c r="S664" i="2"/>
  <c r="Q665" i="2"/>
  <c r="R665" i="2"/>
  <c r="S665" i="2"/>
  <c r="Q666" i="2"/>
  <c r="R666" i="2"/>
  <c r="S666" i="2"/>
  <c r="Q667" i="2"/>
  <c r="R667" i="2"/>
  <c r="S667" i="2"/>
  <c r="Q668" i="2"/>
  <c r="R668" i="2"/>
  <c r="S668" i="2"/>
  <c r="Q669" i="2"/>
  <c r="R669" i="2"/>
  <c r="S669" i="2"/>
  <c r="Q670" i="2"/>
  <c r="R670" i="2"/>
  <c r="S670" i="2"/>
  <c r="Q671" i="2"/>
  <c r="R671" i="2"/>
  <c r="S671" i="2"/>
  <c r="Q672" i="2"/>
  <c r="R672" i="2"/>
  <c r="S672" i="2"/>
  <c r="Q673" i="2"/>
  <c r="R673" i="2"/>
  <c r="S673" i="2"/>
  <c r="Q674" i="2"/>
  <c r="R674" i="2"/>
  <c r="S674" i="2"/>
  <c r="Q675" i="2"/>
  <c r="R675" i="2"/>
  <c r="S675" i="2"/>
  <c r="Q676" i="2"/>
  <c r="R676" i="2"/>
  <c r="S676" i="2"/>
  <c r="Q677" i="2"/>
  <c r="R677" i="2"/>
  <c r="S677" i="2"/>
  <c r="Q678" i="2"/>
  <c r="R678" i="2"/>
  <c r="S678" i="2"/>
  <c r="Q679" i="2"/>
  <c r="R679" i="2"/>
  <c r="S679" i="2"/>
  <c r="Q680" i="2"/>
  <c r="R680" i="2"/>
  <c r="S680" i="2"/>
  <c r="Q681" i="2"/>
  <c r="R681" i="2"/>
  <c r="S681" i="2"/>
  <c r="Q682" i="2"/>
  <c r="R682" i="2"/>
  <c r="S682" i="2"/>
  <c r="Q683" i="2"/>
  <c r="R683" i="2"/>
  <c r="S683" i="2"/>
  <c r="Q684" i="2"/>
  <c r="R684" i="2"/>
  <c r="S684" i="2"/>
  <c r="Q685" i="2"/>
  <c r="R685" i="2"/>
  <c r="S685" i="2"/>
  <c r="Q686" i="2"/>
  <c r="R686" i="2"/>
  <c r="S686" i="2"/>
  <c r="Q687" i="2"/>
  <c r="R687" i="2"/>
  <c r="S687" i="2"/>
  <c r="Q688" i="2"/>
  <c r="R688" i="2"/>
  <c r="S688" i="2"/>
  <c r="Q689" i="2"/>
  <c r="R689" i="2"/>
  <c r="S689" i="2"/>
  <c r="Q690" i="2"/>
  <c r="R690" i="2"/>
  <c r="S690" i="2"/>
  <c r="Q691" i="2"/>
  <c r="R691" i="2"/>
  <c r="S691" i="2"/>
  <c r="Q692" i="2"/>
  <c r="R692" i="2"/>
  <c r="S692" i="2"/>
  <c r="Q693" i="2"/>
  <c r="R693" i="2"/>
  <c r="S693" i="2"/>
  <c r="Q694" i="2"/>
  <c r="R694" i="2"/>
  <c r="S694" i="2"/>
  <c r="Q695" i="2"/>
  <c r="R695" i="2"/>
  <c r="S695" i="2"/>
  <c r="Q696" i="2"/>
  <c r="R696" i="2"/>
  <c r="S696" i="2"/>
  <c r="Q697" i="2"/>
  <c r="R697" i="2"/>
  <c r="S697" i="2"/>
  <c r="Q698" i="2"/>
  <c r="R698" i="2"/>
  <c r="S698" i="2"/>
  <c r="Q699" i="2"/>
  <c r="R699" i="2"/>
  <c r="S699" i="2"/>
  <c r="Q700" i="2"/>
  <c r="R700" i="2"/>
  <c r="S700" i="2"/>
  <c r="Q701" i="2"/>
  <c r="R701" i="2"/>
  <c r="S701" i="2"/>
  <c r="Q702" i="2"/>
  <c r="R702" i="2"/>
  <c r="S702" i="2"/>
  <c r="Q703" i="2"/>
  <c r="R703" i="2"/>
  <c r="S703" i="2"/>
  <c r="Q704" i="2"/>
  <c r="R704" i="2"/>
  <c r="S704" i="2"/>
  <c r="Q705" i="2"/>
  <c r="R705" i="2"/>
  <c r="S705" i="2"/>
  <c r="Q706" i="2"/>
  <c r="R706" i="2"/>
  <c r="S706" i="2"/>
  <c r="Q707" i="2"/>
  <c r="R707" i="2"/>
  <c r="S707" i="2"/>
  <c r="Q708" i="2"/>
  <c r="R708" i="2"/>
  <c r="S708" i="2"/>
  <c r="Q709" i="2"/>
  <c r="R709" i="2"/>
  <c r="S709" i="2"/>
  <c r="Q710" i="2"/>
  <c r="R710" i="2"/>
  <c r="S710" i="2"/>
  <c r="Q711" i="2"/>
  <c r="R711" i="2"/>
  <c r="S711" i="2"/>
  <c r="Q712" i="2"/>
  <c r="R712" i="2"/>
  <c r="S712" i="2"/>
  <c r="Q713" i="2"/>
  <c r="R713" i="2"/>
  <c r="S713" i="2"/>
  <c r="Q714" i="2"/>
  <c r="R714" i="2"/>
  <c r="S714" i="2"/>
  <c r="Q715" i="2"/>
  <c r="R715" i="2"/>
  <c r="S715" i="2"/>
  <c r="Q716" i="2"/>
  <c r="R716" i="2"/>
  <c r="S716" i="2"/>
  <c r="Q717" i="2"/>
  <c r="R717" i="2"/>
  <c r="S717" i="2"/>
  <c r="Q718" i="2"/>
  <c r="R718" i="2"/>
  <c r="S718" i="2"/>
  <c r="Q719" i="2"/>
  <c r="R719" i="2"/>
  <c r="S719" i="2"/>
  <c r="Q720" i="2"/>
  <c r="R720" i="2"/>
  <c r="S720" i="2"/>
  <c r="Q721" i="2"/>
  <c r="R721" i="2"/>
  <c r="S721" i="2"/>
  <c r="Q722" i="2"/>
  <c r="R722" i="2"/>
  <c r="S722" i="2"/>
  <c r="Q723" i="2"/>
  <c r="R723" i="2"/>
  <c r="S723" i="2"/>
  <c r="Q724" i="2"/>
  <c r="CA91" i="1" s="1"/>
  <c r="R724" i="2"/>
  <c r="S724" i="2"/>
  <c r="Q725" i="2"/>
  <c r="R725" i="2"/>
  <c r="CB92" i="1" s="1"/>
  <c r="S725" i="2"/>
  <c r="Q726" i="2"/>
  <c r="R726" i="2"/>
  <c r="S726" i="2"/>
  <c r="Q727" i="2"/>
  <c r="R727" i="2"/>
  <c r="S727" i="2"/>
  <c r="Q728" i="2"/>
  <c r="R728" i="2"/>
  <c r="S728" i="2"/>
  <c r="Q729" i="2"/>
  <c r="R729" i="2"/>
  <c r="CB96" i="1" s="1"/>
  <c r="S729" i="2"/>
  <c r="Q730" i="2"/>
  <c r="R730" i="2"/>
  <c r="S730" i="2"/>
  <c r="Q731" i="2"/>
  <c r="R731" i="2"/>
  <c r="S731" i="2"/>
  <c r="Q732" i="2"/>
  <c r="R732" i="2"/>
  <c r="S732" i="2"/>
  <c r="Q733" i="2"/>
  <c r="R733" i="2"/>
  <c r="S733" i="2"/>
  <c r="Q734" i="2"/>
  <c r="R734" i="2"/>
  <c r="S734" i="2"/>
  <c r="Q735" i="2"/>
  <c r="R735" i="2"/>
  <c r="S735" i="2"/>
  <c r="Q736" i="2"/>
  <c r="R736" i="2"/>
  <c r="S736" i="2"/>
  <c r="Q737" i="2"/>
  <c r="R737" i="2"/>
  <c r="S737" i="2"/>
  <c r="Q738" i="2"/>
  <c r="R738" i="2"/>
  <c r="S738" i="2"/>
  <c r="S4" i="2"/>
  <c r="R4" i="2"/>
  <c r="Q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M49" i="2"/>
  <c r="N49" i="2"/>
  <c r="O49" i="2"/>
  <c r="M50" i="2"/>
  <c r="N50" i="2"/>
  <c r="O50" i="2"/>
  <c r="M51" i="2"/>
  <c r="N51" i="2"/>
  <c r="O51" i="2"/>
  <c r="M52" i="2"/>
  <c r="N52" i="2"/>
  <c r="O52" i="2"/>
  <c r="M53" i="2"/>
  <c r="N53" i="2"/>
  <c r="O53" i="2"/>
  <c r="M54" i="2"/>
  <c r="N54" i="2"/>
  <c r="O54" i="2"/>
  <c r="M55" i="2"/>
  <c r="N55" i="2"/>
  <c r="O55" i="2"/>
  <c r="M56" i="2"/>
  <c r="N56" i="2"/>
  <c r="O56" i="2"/>
  <c r="M57" i="2"/>
  <c r="N57" i="2"/>
  <c r="O57" i="2"/>
  <c r="M58" i="2"/>
  <c r="N58" i="2"/>
  <c r="O58" i="2"/>
  <c r="M59" i="2"/>
  <c r="N59" i="2"/>
  <c r="O59" i="2"/>
  <c r="M60" i="2"/>
  <c r="N60" i="2"/>
  <c r="O60" i="2"/>
  <c r="M61" i="2"/>
  <c r="N61" i="2"/>
  <c r="O61" i="2"/>
  <c r="M62" i="2"/>
  <c r="N62" i="2"/>
  <c r="O62" i="2"/>
  <c r="M63" i="2"/>
  <c r="N63" i="2"/>
  <c r="O63" i="2"/>
  <c r="M64" i="2"/>
  <c r="N64" i="2"/>
  <c r="O64" i="2"/>
  <c r="M65" i="2"/>
  <c r="N65" i="2"/>
  <c r="O65" i="2"/>
  <c r="M66" i="2"/>
  <c r="N66" i="2"/>
  <c r="O66" i="2"/>
  <c r="M67" i="2"/>
  <c r="N67" i="2"/>
  <c r="O67" i="2"/>
  <c r="M68" i="2"/>
  <c r="N68" i="2"/>
  <c r="O68" i="2"/>
  <c r="M69" i="2"/>
  <c r="N69" i="2"/>
  <c r="O69" i="2"/>
  <c r="M70" i="2"/>
  <c r="N70" i="2"/>
  <c r="O70" i="2"/>
  <c r="M71" i="2"/>
  <c r="N71" i="2"/>
  <c r="O71" i="2"/>
  <c r="M72" i="2"/>
  <c r="N72" i="2"/>
  <c r="O72" i="2"/>
  <c r="M73" i="2"/>
  <c r="N73" i="2"/>
  <c r="O73" i="2"/>
  <c r="M74" i="2"/>
  <c r="N74" i="2"/>
  <c r="O74" i="2"/>
  <c r="M75" i="2"/>
  <c r="N75" i="2"/>
  <c r="O75" i="2"/>
  <c r="M76" i="2"/>
  <c r="N76" i="2"/>
  <c r="O76" i="2"/>
  <c r="M77" i="2"/>
  <c r="N77" i="2"/>
  <c r="O77" i="2"/>
  <c r="M78" i="2"/>
  <c r="BW110" i="1" s="1"/>
  <c r="CE110" i="1" s="1"/>
  <c r="N78" i="2"/>
  <c r="BX110" i="1" s="1"/>
  <c r="CF110" i="1" s="1"/>
  <c r="O78" i="2"/>
  <c r="BY110" i="1" s="1"/>
  <c r="CG110" i="1" s="1"/>
  <c r="M79" i="2"/>
  <c r="N79" i="2"/>
  <c r="O79" i="2"/>
  <c r="M80" i="2"/>
  <c r="N80" i="2"/>
  <c r="O80" i="2"/>
  <c r="M81" i="2"/>
  <c r="BW111" i="1" s="1"/>
  <c r="CE111" i="1" s="1"/>
  <c r="N81" i="2"/>
  <c r="BX111" i="1" s="1"/>
  <c r="CF111" i="1" s="1"/>
  <c r="O81" i="2"/>
  <c r="BY111" i="1" s="1"/>
  <c r="CG111" i="1" s="1"/>
  <c r="M82" i="2"/>
  <c r="BW112" i="1" s="1"/>
  <c r="CE112" i="1" s="1"/>
  <c r="N82" i="2"/>
  <c r="BX112" i="1" s="1"/>
  <c r="CF112" i="1" s="1"/>
  <c r="O82" i="2"/>
  <c r="BY112" i="1" s="1"/>
  <c r="CG112" i="1" s="1"/>
  <c r="M83" i="2"/>
  <c r="BW113" i="1" s="1"/>
  <c r="CE113" i="1" s="1"/>
  <c r="N83" i="2"/>
  <c r="BX113" i="1" s="1"/>
  <c r="CF113" i="1" s="1"/>
  <c r="O83" i="2"/>
  <c r="BY113" i="1" s="1"/>
  <c r="CG113" i="1" s="1"/>
  <c r="M84" i="2"/>
  <c r="BW114" i="1" s="1"/>
  <c r="CE114" i="1" s="1"/>
  <c r="N84" i="2"/>
  <c r="BX114" i="1" s="1"/>
  <c r="CF114" i="1" s="1"/>
  <c r="O84" i="2"/>
  <c r="BY114" i="1" s="1"/>
  <c r="CG114" i="1" s="1"/>
  <c r="M85" i="2"/>
  <c r="BW115" i="1" s="1"/>
  <c r="CE115" i="1" s="1"/>
  <c r="N85" i="2"/>
  <c r="BX115" i="1" s="1"/>
  <c r="CF115" i="1" s="1"/>
  <c r="O85" i="2"/>
  <c r="BY115" i="1" s="1"/>
  <c r="CG115" i="1" s="1"/>
  <c r="M86" i="2"/>
  <c r="BW116" i="1" s="1"/>
  <c r="CE116" i="1" s="1"/>
  <c r="N86" i="2"/>
  <c r="BX116" i="1" s="1"/>
  <c r="CF116" i="1" s="1"/>
  <c r="O86" i="2"/>
  <c r="BY116" i="1" s="1"/>
  <c r="CG116" i="1" s="1"/>
  <c r="M87" i="2"/>
  <c r="N87" i="2"/>
  <c r="O87" i="2"/>
  <c r="M88" i="2"/>
  <c r="N88" i="2"/>
  <c r="O88" i="2"/>
  <c r="M89" i="2"/>
  <c r="BW117" i="1" s="1"/>
  <c r="CE117" i="1" s="1"/>
  <c r="N89" i="2"/>
  <c r="BX117" i="1" s="1"/>
  <c r="CF117" i="1" s="1"/>
  <c r="O89" i="2"/>
  <c r="BY117" i="1" s="1"/>
  <c r="CG117" i="1" s="1"/>
  <c r="M90" i="2"/>
  <c r="BW118" i="1" s="1"/>
  <c r="CE118" i="1" s="1"/>
  <c r="N90" i="2"/>
  <c r="BX118" i="1" s="1"/>
  <c r="CF118" i="1" s="1"/>
  <c r="O90" i="2"/>
  <c r="BY118" i="1" s="1"/>
  <c r="CG118" i="1" s="1"/>
  <c r="M91" i="2"/>
  <c r="BW119" i="1" s="1"/>
  <c r="CE119" i="1" s="1"/>
  <c r="N91" i="2"/>
  <c r="BX119" i="1" s="1"/>
  <c r="CF119" i="1" s="1"/>
  <c r="O91" i="2"/>
  <c r="BY119" i="1" s="1"/>
  <c r="CG119" i="1" s="1"/>
  <c r="M92" i="2"/>
  <c r="BW120" i="1" s="1"/>
  <c r="CE120" i="1" s="1"/>
  <c r="N92" i="2"/>
  <c r="BX120" i="1" s="1"/>
  <c r="CF120" i="1" s="1"/>
  <c r="O92" i="2"/>
  <c r="BY120" i="1" s="1"/>
  <c r="CG120" i="1" s="1"/>
  <c r="M93" i="2"/>
  <c r="BW121" i="1" s="1"/>
  <c r="CE121" i="1" s="1"/>
  <c r="N93" i="2"/>
  <c r="BX121" i="1" s="1"/>
  <c r="CF121" i="1" s="1"/>
  <c r="O93" i="2"/>
  <c r="BY121" i="1" s="1"/>
  <c r="CG121" i="1" s="1"/>
  <c r="M94" i="2"/>
  <c r="BW122" i="1" s="1"/>
  <c r="CE122" i="1" s="1"/>
  <c r="N94" i="2"/>
  <c r="BX122" i="1" s="1"/>
  <c r="CF122" i="1" s="1"/>
  <c r="O94" i="2"/>
  <c r="BY122" i="1" s="1"/>
  <c r="CG122" i="1" s="1"/>
  <c r="M95" i="2"/>
  <c r="BW123" i="1" s="1"/>
  <c r="N95" i="2"/>
  <c r="BX123" i="1" s="1"/>
  <c r="O95" i="2"/>
  <c r="BY123" i="1" s="1"/>
  <c r="M96" i="2"/>
  <c r="N96" i="2"/>
  <c r="O96" i="2"/>
  <c r="M97" i="2"/>
  <c r="N97" i="2"/>
  <c r="O97" i="2"/>
  <c r="M98" i="2"/>
  <c r="BW124" i="1" s="1"/>
  <c r="CE124" i="1" s="1"/>
  <c r="N98" i="2"/>
  <c r="BX124" i="1" s="1"/>
  <c r="CF124" i="1" s="1"/>
  <c r="O98" i="2"/>
  <c r="BY124" i="1" s="1"/>
  <c r="CG124" i="1" s="1"/>
  <c r="M99" i="2"/>
  <c r="N99" i="2"/>
  <c r="O99" i="2"/>
  <c r="M100" i="2"/>
  <c r="N100" i="2"/>
  <c r="O100" i="2"/>
  <c r="M101" i="2"/>
  <c r="N101" i="2"/>
  <c r="O101" i="2"/>
  <c r="M102" i="2"/>
  <c r="N102" i="2"/>
  <c r="O102" i="2"/>
  <c r="M103" i="2"/>
  <c r="BW125" i="1" s="1"/>
  <c r="CE125" i="1" s="1"/>
  <c r="N103" i="2"/>
  <c r="BX125" i="1" s="1"/>
  <c r="CF125" i="1" s="1"/>
  <c r="O103" i="2"/>
  <c r="BY125" i="1" s="1"/>
  <c r="CG125" i="1" s="1"/>
  <c r="M104" i="2"/>
  <c r="N104" i="2"/>
  <c r="O104" i="2"/>
  <c r="M105" i="2"/>
  <c r="N105" i="2"/>
  <c r="O105" i="2"/>
  <c r="M106" i="2"/>
  <c r="N106" i="2"/>
  <c r="O106" i="2"/>
  <c r="M107" i="2"/>
  <c r="N107" i="2"/>
  <c r="O107" i="2"/>
  <c r="M108" i="2"/>
  <c r="BW126" i="1" s="1"/>
  <c r="CE126" i="1" s="1"/>
  <c r="N108" i="2"/>
  <c r="BX126" i="1" s="1"/>
  <c r="CF126" i="1" s="1"/>
  <c r="O108" i="2"/>
  <c r="BY126" i="1" s="1"/>
  <c r="CG126" i="1" s="1"/>
  <c r="M109" i="2"/>
  <c r="BW127" i="1" s="1"/>
  <c r="CE127" i="1" s="1"/>
  <c r="N109" i="2"/>
  <c r="BX127" i="1" s="1"/>
  <c r="CF127" i="1" s="1"/>
  <c r="O109" i="2"/>
  <c r="BY127" i="1" s="1"/>
  <c r="CG127" i="1" s="1"/>
  <c r="M110" i="2"/>
  <c r="BW128" i="1" s="1"/>
  <c r="CE128" i="1" s="1"/>
  <c r="N110" i="2"/>
  <c r="BX128" i="1" s="1"/>
  <c r="CF128" i="1" s="1"/>
  <c r="O110" i="2"/>
  <c r="BY128" i="1" s="1"/>
  <c r="CG128" i="1" s="1"/>
  <c r="M111" i="2"/>
  <c r="BW129" i="1" s="1"/>
  <c r="CE129" i="1" s="1"/>
  <c r="N111" i="2"/>
  <c r="BX129" i="1" s="1"/>
  <c r="CF129" i="1" s="1"/>
  <c r="O111" i="2"/>
  <c r="BY129" i="1" s="1"/>
  <c r="CG129" i="1" s="1"/>
  <c r="M112" i="2"/>
  <c r="N112" i="2"/>
  <c r="O112" i="2"/>
  <c r="M113" i="2"/>
  <c r="N113" i="2"/>
  <c r="O113" i="2"/>
  <c r="M114" i="2"/>
  <c r="N114" i="2"/>
  <c r="O114" i="2"/>
  <c r="M115" i="2"/>
  <c r="N115" i="2"/>
  <c r="O115" i="2"/>
  <c r="M116" i="2"/>
  <c r="BW130" i="1" s="1"/>
  <c r="CE130" i="1" s="1"/>
  <c r="N116" i="2"/>
  <c r="BX130" i="1" s="1"/>
  <c r="CF130" i="1" s="1"/>
  <c r="O116" i="2"/>
  <c r="BY130" i="1" s="1"/>
  <c r="CG130" i="1" s="1"/>
  <c r="M117" i="2"/>
  <c r="N117" i="2"/>
  <c r="O117" i="2"/>
  <c r="M118" i="2"/>
  <c r="N118" i="2"/>
  <c r="O118" i="2"/>
  <c r="M119" i="2"/>
  <c r="N119" i="2"/>
  <c r="O119" i="2"/>
  <c r="M120" i="2"/>
  <c r="BW131" i="1" s="1"/>
  <c r="CE131" i="1" s="1"/>
  <c r="N120" i="2"/>
  <c r="BX131" i="1" s="1"/>
  <c r="CF131" i="1" s="1"/>
  <c r="O120" i="2"/>
  <c r="BY131" i="1" s="1"/>
  <c r="CG131" i="1" s="1"/>
  <c r="M121" i="2"/>
  <c r="BW132" i="1" s="1"/>
  <c r="CE132" i="1" s="1"/>
  <c r="N121" i="2"/>
  <c r="BX132" i="1" s="1"/>
  <c r="CF132" i="1" s="1"/>
  <c r="O121" i="2"/>
  <c r="BY132" i="1" s="1"/>
  <c r="CG132" i="1" s="1"/>
  <c r="M122" i="2"/>
  <c r="BW133" i="1" s="1"/>
  <c r="CE133" i="1" s="1"/>
  <c r="N122" i="2"/>
  <c r="BX133" i="1" s="1"/>
  <c r="CF133" i="1" s="1"/>
  <c r="O122" i="2"/>
  <c r="BY133" i="1" s="1"/>
  <c r="CG133" i="1" s="1"/>
  <c r="M123" i="2"/>
  <c r="BW134" i="1" s="1"/>
  <c r="CE134" i="1" s="1"/>
  <c r="N123" i="2"/>
  <c r="BX134" i="1" s="1"/>
  <c r="CF134" i="1" s="1"/>
  <c r="O123" i="2"/>
  <c r="BY134" i="1" s="1"/>
  <c r="CG134" i="1" s="1"/>
  <c r="M124" i="2"/>
  <c r="BW135" i="1" s="1"/>
  <c r="CE135" i="1" s="1"/>
  <c r="N124" i="2"/>
  <c r="BX135" i="1" s="1"/>
  <c r="CF135" i="1" s="1"/>
  <c r="O124" i="2"/>
  <c r="BY135" i="1" s="1"/>
  <c r="CG135" i="1" s="1"/>
  <c r="M125" i="2"/>
  <c r="BW136" i="1" s="1"/>
  <c r="CE136" i="1" s="1"/>
  <c r="N125" i="2"/>
  <c r="BX136" i="1" s="1"/>
  <c r="CF136" i="1" s="1"/>
  <c r="O125" i="2"/>
  <c r="BY136" i="1" s="1"/>
  <c r="CG136" i="1" s="1"/>
  <c r="M126" i="2"/>
  <c r="N126" i="2"/>
  <c r="O126" i="2"/>
  <c r="M127" i="2"/>
  <c r="BW137" i="1" s="1"/>
  <c r="CE137" i="1" s="1"/>
  <c r="N127" i="2"/>
  <c r="BX137" i="1" s="1"/>
  <c r="CF137" i="1" s="1"/>
  <c r="O127" i="2"/>
  <c r="BY137" i="1" s="1"/>
  <c r="CG137" i="1" s="1"/>
  <c r="M128" i="2"/>
  <c r="BW138" i="1" s="1"/>
  <c r="CE138" i="1" s="1"/>
  <c r="N128" i="2"/>
  <c r="BX138" i="1" s="1"/>
  <c r="CF138" i="1" s="1"/>
  <c r="O128" i="2"/>
  <c r="BY138" i="1" s="1"/>
  <c r="CG138" i="1" s="1"/>
  <c r="M129" i="2"/>
  <c r="N129" i="2"/>
  <c r="O129" i="2"/>
  <c r="M130" i="2"/>
  <c r="N130" i="2"/>
  <c r="O130" i="2"/>
  <c r="M131" i="2"/>
  <c r="N131" i="2"/>
  <c r="O131" i="2"/>
  <c r="M132" i="2"/>
  <c r="BW139" i="1" s="1"/>
  <c r="CE139" i="1" s="1"/>
  <c r="N132" i="2"/>
  <c r="BX139" i="1" s="1"/>
  <c r="CF139" i="1" s="1"/>
  <c r="O132" i="2"/>
  <c r="BY139" i="1" s="1"/>
  <c r="CG139" i="1" s="1"/>
  <c r="M133" i="2"/>
  <c r="BW140" i="1" s="1"/>
  <c r="CE140" i="1" s="1"/>
  <c r="N133" i="2"/>
  <c r="BX140" i="1" s="1"/>
  <c r="CF140" i="1" s="1"/>
  <c r="O133" i="2"/>
  <c r="BY140" i="1" s="1"/>
  <c r="CG140" i="1" s="1"/>
  <c r="M134" i="2"/>
  <c r="BW141" i="1" s="1"/>
  <c r="CE141" i="1" s="1"/>
  <c r="N134" i="2"/>
  <c r="BX141" i="1" s="1"/>
  <c r="CF141" i="1" s="1"/>
  <c r="O134" i="2"/>
  <c r="BY141" i="1" s="1"/>
  <c r="CG141" i="1" s="1"/>
  <c r="M135" i="2"/>
  <c r="N135" i="2"/>
  <c r="O135" i="2"/>
  <c r="M136" i="2"/>
  <c r="N136" i="2"/>
  <c r="O136" i="2"/>
  <c r="M137" i="2"/>
  <c r="N137" i="2"/>
  <c r="O137" i="2"/>
  <c r="M138" i="2"/>
  <c r="N138" i="2"/>
  <c r="O138" i="2"/>
  <c r="M139" i="2"/>
  <c r="N139" i="2"/>
  <c r="O139" i="2"/>
  <c r="M140" i="2"/>
  <c r="N140" i="2"/>
  <c r="O140" i="2"/>
  <c r="M141" i="2"/>
  <c r="N141" i="2"/>
  <c r="O141" i="2"/>
  <c r="M142" i="2"/>
  <c r="N142" i="2"/>
  <c r="O142" i="2"/>
  <c r="M143" i="2"/>
  <c r="N143" i="2"/>
  <c r="O143" i="2"/>
  <c r="M144" i="2"/>
  <c r="N144" i="2"/>
  <c r="O144" i="2"/>
  <c r="M145" i="2"/>
  <c r="N145" i="2"/>
  <c r="O145" i="2"/>
  <c r="M146" i="2"/>
  <c r="BW142" i="1" s="1"/>
  <c r="CE142" i="1" s="1"/>
  <c r="N146" i="2"/>
  <c r="BX142" i="1" s="1"/>
  <c r="CF142" i="1" s="1"/>
  <c r="O146" i="2"/>
  <c r="BY142" i="1" s="1"/>
  <c r="CG142" i="1" s="1"/>
  <c r="M147" i="2"/>
  <c r="BW143" i="1" s="1"/>
  <c r="CE143" i="1" s="1"/>
  <c r="N147" i="2"/>
  <c r="BX143" i="1" s="1"/>
  <c r="CF143" i="1" s="1"/>
  <c r="O147" i="2"/>
  <c r="BY143" i="1" s="1"/>
  <c r="CG143" i="1" s="1"/>
  <c r="M148" i="2"/>
  <c r="BW144" i="1" s="1"/>
  <c r="CE144" i="1" s="1"/>
  <c r="N148" i="2"/>
  <c r="BX144" i="1" s="1"/>
  <c r="CF144" i="1" s="1"/>
  <c r="O148" i="2"/>
  <c r="BY144" i="1" s="1"/>
  <c r="CG144" i="1" s="1"/>
  <c r="M149" i="2"/>
  <c r="BW145" i="1" s="1"/>
  <c r="CE145" i="1" s="1"/>
  <c r="N149" i="2"/>
  <c r="BX145" i="1" s="1"/>
  <c r="CF145" i="1" s="1"/>
  <c r="O149" i="2"/>
  <c r="BY145" i="1" s="1"/>
  <c r="CG145" i="1" s="1"/>
  <c r="M150" i="2"/>
  <c r="BW146" i="1" s="1"/>
  <c r="CE146" i="1" s="1"/>
  <c r="N150" i="2"/>
  <c r="BX146" i="1" s="1"/>
  <c r="CF146" i="1" s="1"/>
  <c r="O150" i="2"/>
  <c r="BY146" i="1" s="1"/>
  <c r="CG146" i="1" s="1"/>
  <c r="M151" i="2"/>
  <c r="BW147" i="1" s="1"/>
  <c r="CE147" i="1" s="1"/>
  <c r="N151" i="2"/>
  <c r="BX147" i="1" s="1"/>
  <c r="CF147" i="1" s="1"/>
  <c r="O151" i="2"/>
  <c r="BY147" i="1" s="1"/>
  <c r="CG147" i="1" s="1"/>
  <c r="M152" i="2"/>
  <c r="BW148" i="1" s="1"/>
  <c r="CE148" i="1" s="1"/>
  <c r="N152" i="2"/>
  <c r="BX148" i="1" s="1"/>
  <c r="CF148" i="1" s="1"/>
  <c r="O152" i="2"/>
  <c r="BY148" i="1" s="1"/>
  <c r="CG148" i="1" s="1"/>
  <c r="M153" i="2"/>
  <c r="BW149" i="1" s="1"/>
  <c r="CE149" i="1" s="1"/>
  <c r="N153" i="2"/>
  <c r="BX149" i="1" s="1"/>
  <c r="CF149" i="1" s="1"/>
  <c r="O153" i="2"/>
  <c r="BY149" i="1" s="1"/>
  <c r="CG149" i="1" s="1"/>
  <c r="M154" i="2"/>
  <c r="BW150" i="1" s="1"/>
  <c r="CE150" i="1" s="1"/>
  <c r="N154" i="2"/>
  <c r="BX150" i="1" s="1"/>
  <c r="CF150" i="1" s="1"/>
  <c r="O154" i="2"/>
  <c r="BY150" i="1" s="1"/>
  <c r="CG150" i="1" s="1"/>
  <c r="M155" i="2"/>
  <c r="BW151" i="1" s="1"/>
  <c r="CE151" i="1" s="1"/>
  <c r="N155" i="2"/>
  <c r="BX151" i="1" s="1"/>
  <c r="CF151" i="1" s="1"/>
  <c r="O155" i="2"/>
  <c r="BY151" i="1" s="1"/>
  <c r="CG151" i="1" s="1"/>
  <c r="M156" i="2"/>
  <c r="N156" i="2"/>
  <c r="O156" i="2"/>
  <c r="M157" i="2"/>
  <c r="BW152" i="1" s="1"/>
  <c r="CE152" i="1" s="1"/>
  <c r="N157" i="2"/>
  <c r="BX152" i="1" s="1"/>
  <c r="CF152" i="1" s="1"/>
  <c r="O157" i="2"/>
  <c r="BY152" i="1" s="1"/>
  <c r="CG152" i="1" s="1"/>
  <c r="M158" i="2"/>
  <c r="N158" i="2"/>
  <c r="O158" i="2"/>
  <c r="M159" i="2"/>
  <c r="BW153" i="1" s="1"/>
  <c r="CE153" i="1" s="1"/>
  <c r="N159" i="2"/>
  <c r="BX153" i="1" s="1"/>
  <c r="CF153" i="1" s="1"/>
  <c r="O159" i="2"/>
  <c r="BY153" i="1" s="1"/>
  <c r="CG153" i="1" s="1"/>
  <c r="M160" i="2"/>
  <c r="N160" i="2"/>
  <c r="O160" i="2"/>
  <c r="M161" i="2"/>
  <c r="N161" i="2"/>
  <c r="O161" i="2"/>
  <c r="M162" i="2"/>
  <c r="BW154" i="1" s="1"/>
  <c r="CE154" i="1" s="1"/>
  <c r="N162" i="2"/>
  <c r="BX154" i="1" s="1"/>
  <c r="CF154" i="1" s="1"/>
  <c r="O162" i="2"/>
  <c r="BY154" i="1" s="1"/>
  <c r="CG154" i="1" s="1"/>
  <c r="M163" i="2"/>
  <c r="N163" i="2"/>
  <c r="O163" i="2"/>
  <c r="M164" i="2"/>
  <c r="N164" i="2"/>
  <c r="O164" i="2"/>
  <c r="M165" i="2"/>
  <c r="N165" i="2"/>
  <c r="O165" i="2"/>
  <c r="M166" i="2"/>
  <c r="N166" i="2"/>
  <c r="O166" i="2"/>
  <c r="M167" i="2"/>
  <c r="N167" i="2"/>
  <c r="O167" i="2"/>
  <c r="M168" i="2"/>
  <c r="N168" i="2"/>
  <c r="O168" i="2"/>
  <c r="M169" i="2"/>
  <c r="N169" i="2"/>
  <c r="O169" i="2"/>
  <c r="M170" i="2"/>
  <c r="N170" i="2"/>
  <c r="O170" i="2"/>
  <c r="M171" i="2"/>
  <c r="N171" i="2"/>
  <c r="BX58" i="1" s="1"/>
  <c r="O171" i="2"/>
  <c r="M172" i="2"/>
  <c r="N172" i="2"/>
  <c r="O172" i="2"/>
  <c r="M173" i="2"/>
  <c r="N173" i="2"/>
  <c r="BX60" i="1" s="1"/>
  <c r="O173" i="2"/>
  <c r="M174" i="2"/>
  <c r="N174" i="2"/>
  <c r="O174" i="2"/>
  <c r="M175" i="2"/>
  <c r="N175" i="2"/>
  <c r="O175" i="2"/>
  <c r="M176" i="2"/>
  <c r="N176" i="2"/>
  <c r="O176" i="2"/>
  <c r="M177" i="2"/>
  <c r="N177" i="2"/>
  <c r="O177" i="2"/>
  <c r="M178" i="2"/>
  <c r="N178" i="2"/>
  <c r="O178" i="2"/>
  <c r="M179" i="2"/>
  <c r="N179" i="2"/>
  <c r="O179" i="2"/>
  <c r="M180" i="2"/>
  <c r="N180" i="2"/>
  <c r="O180" i="2"/>
  <c r="M181" i="2"/>
  <c r="N181" i="2"/>
  <c r="O181" i="2"/>
  <c r="M182" i="2"/>
  <c r="N182" i="2"/>
  <c r="O182" i="2"/>
  <c r="M183" i="2"/>
  <c r="N183" i="2"/>
  <c r="O183" i="2"/>
  <c r="M184" i="2"/>
  <c r="N184" i="2"/>
  <c r="O184" i="2"/>
  <c r="M185" i="2"/>
  <c r="N185" i="2"/>
  <c r="O185" i="2"/>
  <c r="M186" i="2"/>
  <c r="N186" i="2"/>
  <c r="O186" i="2"/>
  <c r="M187" i="2"/>
  <c r="N187" i="2"/>
  <c r="O187" i="2"/>
  <c r="M188" i="2"/>
  <c r="N188" i="2"/>
  <c r="O188" i="2"/>
  <c r="M189" i="2"/>
  <c r="N189" i="2"/>
  <c r="O189" i="2"/>
  <c r="M190" i="2"/>
  <c r="N190" i="2"/>
  <c r="O190" i="2"/>
  <c r="M191" i="2"/>
  <c r="N191" i="2"/>
  <c r="O191" i="2"/>
  <c r="M192" i="2"/>
  <c r="N192" i="2"/>
  <c r="O192" i="2"/>
  <c r="M193" i="2"/>
  <c r="N193" i="2"/>
  <c r="O193" i="2"/>
  <c r="M194" i="2"/>
  <c r="N194" i="2"/>
  <c r="O194" i="2"/>
  <c r="M195" i="2"/>
  <c r="N195" i="2"/>
  <c r="O195" i="2"/>
  <c r="M196" i="2"/>
  <c r="N196" i="2"/>
  <c r="O196" i="2"/>
  <c r="M197" i="2"/>
  <c r="N197" i="2"/>
  <c r="O197" i="2"/>
  <c r="M198" i="2"/>
  <c r="N198" i="2"/>
  <c r="O198" i="2"/>
  <c r="M199" i="2"/>
  <c r="N199" i="2"/>
  <c r="O199" i="2"/>
  <c r="M200" i="2"/>
  <c r="N200" i="2"/>
  <c r="O200" i="2"/>
  <c r="M201" i="2"/>
  <c r="N201" i="2"/>
  <c r="O201" i="2"/>
  <c r="M202" i="2"/>
  <c r="N202" i="2"/>
  <c r="O202" i="2"/>
  <c r="M203" i="2"/>
  <c r="N203" i="2"/>
  <c r="O203" i="2"/>
  <c r="M204" i="2"/>
  <c r="N204" i="2"/>
  <c r="O204" i="2"/>
  <c r="M205" i="2"/>
  <c r="N205" i="2"/>
  <c r="O205" i="2"/>
  <c r="M206" i="2"/>
  <c r="N206" i="2"/>
  <c r="O206" i="2"/>
  <c r="M207" i="2"/>
  <c r="BW13" i="1" s="1"/>
  <c r="N207" i="2"/>
  <c r="BX13" i="1" s="1"/>
  <c r="O207" i="2"/>
  <c r="BY13" i="1" s="1"/>
  <c r="M208" i="2"/>
  <c r="N208" i="2"/>
  <c r="O208" i="2"/>
  <c r="M209" i="2"/>
  <c r="N209" i="2"/>
  <c r="O209" i="2"/>
  <c r="M210" i="2"/>
  <c r="N210" i="2"/>
  <c r="O210" i="2"/>
  <c r="M211" i="2"/>
  <c r="N211" i="2"/>
  <c r="O211" i="2"/>
  <c r="M212" i="2"/>
  <c r="N212" i="2"/>
  <c r="O212" i="2"/>
  <c r="M213" i="2"/>
  <c r="N213" i="2"/>
  <c r="O213" i="2"/>
  <c r="M214" i="2"/>
  <c r="N214" i="2"/>
  <c r="O214" i="2"/>
  <c r="M215" i="2"/>
  <c r="N215" i="2"/>
  <c r="O215" i="2"/>
  <c r="M216" i="2"/>
  <c r="N216" i="2"/>
  <c r="O216" i="2"/>
  <c r="M217" i="2"/>
  <c r="N217" i="2"/>
  <c r="O217" i="2"/>
  <c r="M218" i="2"/>
  <c r="N218" i="2"/>
  <c r="O218" i="2"/>
  <c r="M219" i="2"/>
  <c r="N219" i="2"/>
  <c r="O219" i="2"/>
  <c r="M220" i="2"/>
  <c r="N220" i="2"/>
  <c r="O220" i="2"/>
  <c r="M221" i="2"/>
  <c r="N221" i="2"/>
  <c r="O221" i="2"/>
  <c r="M222" i="2"/>
  <c r="N222" i="2"/>
  <c r="O222" i="2"/>
  <c r="M223" i="2"/>
  <c r="N223" i="2"/>
  <c r="O223" i="2"/>
  <c r="M224" i="2"/>
  <c r="N224" i="2"/>
  <c r="O224" i="2"/>
  <c r="M225" i="2"/>
  <c r="N225" i="2"/>
  <c r="O225" i="2"/>
  <c r="M226" i="2"/>
  <c r="N226" i="2"/>
  <c r="O226" i="2"/>
  <c r="M227" i="2"/>
  <c r="N227" i="2"/>
  <c r="O227" i="2"/>
  <c r="M228" i="2"/>
  <c r="N228" i="2"/>
  <c r="O228" i="2"/>
  <c r="M229" i="2"/>
  <c r="N229" i="2"/>
  <c r="O229" i="2"/>
  <c r="M230" i="2"/>
  <c r="N230" i="2"/>
  <c r="O230" i="2"/>
  <c r="M231" i="2"/>
  <c r="N231" i="2"/>
  <c r="O231" i="2"/>
  <c r="M232" i="2"/>
  <c r="N232" i="2"/>
  <c r="O232" i="2"/>
  <c r="M233" i="2"/>
  <c r="N233" i="2"/>
  <c r="O233" i="2"/>
  <c r="M234" i="2"/>
  <c r="N234" i="2"/>
  <c r="O234" i="2"/>
  <c r="M235" i="2"/>
  <c r="N235" i="2"/>
  <c r="O235" i="2"/>
  <c r="M236" i="2"/>
  <c r="N236" i="2"/>
  <c r="O236" i="2"/>
  <c r="M237" i="2"/>
  <c r="N237" i="2"/>
  <c r="O237" i="2"/>
  <c r="M238" i="2"/>
  <c r="N238" i="2"/>
  <c r="O238" i="2"/>
  <c r="M239" i="2"/>
  <c r="N239" i="2"/>
  <c r="O239" i="2"/>
  <c r="M240" i="2"/>
  <c r="N240" i="2"/>
  <c r="O240" i="2"/>
  <c r="M241" i="2"/>
  <c r="N241" i="2"/>
  <c r="O241" i="2"/>
  <c r="M242" i="2"/>
  <c r="N242" i="2"/>
  <c r="O242" i="2"/>
  <c r="M243" i="2"/>
  <c r="N243" i="2"/>
  <c r="O243" i="2"/>
  <c r="M244" i="2"/>
  <c r="N244" i="2"/>
  <c r="O244" i="2"/>
  <c r="M245" i="2"/>
  <c r="N245" i="2"/>
  <c r="O245" i="2"/>
  <c r="M246" i="2"/>
  <c r="N246" i="2"/>
  <c r="O246" i="2"/>
  <c r="M247" i="2"/>
  <c r="N247" i="2"/>
  <c r="O247" i="2"/>
  <c r="M248" i="2"/>
  <c r="N248" i="2"/>
  <c r="O248" i="2"/>
  <c r="M249" i="2"/>
  <c r="N249" i="2"/>
  <c r="O249" i="2"/>
  <c r="M250" i="2"/>
  <c r="N250" i="2"/>
  <c r="O250" i="2"/>
  <c r="M251" i="2"/>
  <c r="N251" i="2"/>
  <c r="O251" i="2"/>
  <c r="M252" i="2"/>
  <c r="N252" i="2"/>
  <c r="O252" i="2"/>
  <c r="M253" i="2"/>
  <c r="N253" i="2"/>
  <c r="O253" i="2"/>
  <c r="M254" i="2"/>
  <c r="N254" i="2"/>
  <c r="O254" i="2"/>
  <c r="M255" i="2"/>
  <c r="N255" i="2"/>
  <c r="O255" i="2"/>
  <c r="M256" i="2"/>
  <c r="N256" i="2"/>
  <c r="O256" i="2"/>
  <c r="M257" i="2"/>
  <c r="N257" i="2"/>
  <c r="O257" i="2"/>
  <c r="M258" i="2"/>
  <c r="N258" i="2"/>
  <c r="O258" i="2"/>
  <c r="M259" i="2"/>
  <c r="N259" i="2"/>
  <c r="O259" i="2"/>
  <c r="M260" i="2"/>
  <c r="N260" i="2"/>
  <c r="O260" i="2"/>
  <c r="M261" i="2"/>
  <c r="N261" i="2"/>
  <c r="O261" i="2"/>
  <c r="M262" i="2"/>
  <c r="N262" i="2"/>
  <c r="O262" i="2"/>
  <c r="M263" i="2"/>
  <c r="N263" i="2"/>
  <c r="O263" i="2"/>
  <c r="M264" i="2"/>
  <c r="N264" i="2"/>
  <c r="O264" i="2"/>
  <c r="M265" i="2"/>
  <c r="N265" i="2"/>
  <c r="O265" i="2"/>
  <c r="M266" i="2"/>
  <c r="N266" i="2"/>
  <c r="O266" i="2"/>
  <c r="M267" i="2"/>
  <c r="N267" i="2"/>
  <c r="O267" i="2"/>
  <c r="M268" i="2"/>
  <c r="N268" i="2"/>
  <c r="O268" i="2"/>
  <c r="BW200" i="1"/>
  <c r="CE200" i="1" s="1"/>
  <c r="N269" i="2"/>
  <c r="O269" i="2"/>
  <c r="BY200" i="1" s="1"/>
  <c r="CG200" i="1" s="1"/>
  <c r="M270" i="2"/>
  <c r="BW201" i="1" s="1"/>
  <c r="CE201" i="1" s="1"/>
  <c r="BX201" i="1"/>
  <c r="CF201" i="1" s="1"/>
  <c r="O270" i="2"/>
  <c r="BY201" i="1" s="1"/>
  <c r="CG201" i="1" s="1"/>
  <c r="M271" i="2"/>
  <c r="BW202" i="1" s="1"/>
  <c r="CE202" i="1" s="1"/>
  <c r="N271" i="2"/>
  <c r="BX202" i="1" s="1"/>
  <c r="CF202" i="1" s="1"/>
  <c r="BY202" i="1"/>
  <c r="CG202" i="1" s="1"/>
  <c r="M272" i="2"/>
  <c r="N272" i="2"/>
  <c r="BX208" i="1" s="1"/>
  <c r="CF208" i="1" s="1"/>
  <c r="O272" i="2"/>
  <c r="BY208" i="1" s="1"/>
  <c r="CG208" i="1" s="1"/>
  <c r="M273" i="2"/>
  <c r="BW209" i="1" s="1"/>
  <c r="CE209" i="1" s="1"/>
  <c r="N273" i="2"/>
  <c r="O273" i="2"/>
  <c r="BY209" i="1" s="1"/>
  <c r="CG209" i="1" s="1"/>
  <c r="M274" i="2"/>
  <c r="BW210" i="1" s="1"/>
  <c r="CE210" i="1" s="1"/>
  <c r="N274" i="2"/>
  <c r="BX210" i="1" s="1"/>
  <c r="CF210" i="1" s="1"/>
  <c r="O274" i="2"/>
  <c r="BY210" i="1" s="1"/>
  <c r="CG210" i="1" s="1"/>
  <c r="M275" i="2"/>
  <c r="N275" i="2"/>
  <c r="O275" i="2"/>
  <c r="M276" i="2"/>
  <c r="N276" i="2"/>
  <c r="O276" i="2"/>
  <c r="M277" i="2"/>
  <c r="N277" i="2"/>
  <c r="O277" i="2"/>
  <c r="M278" i="2"/>
  <c r="N278" i="2"/>
  <c r="O278" i="2"/>
  <c r="M279" i="2"/>
  <c r="N279" i="2"/>
  <c r="O279" i="2"/>
  <c r="M280" i="2"/>
  <c r="N280" i="2"/>
  <c r="O280" i="2"/>
  <c r="M281" i="2"/>
  <c r="N281" i="2"/>
  <c r="O281" i="2"/>
  <c r="M282" i="2"/>
  <c r="N282" i="2"/>
  <c r="O282" i="2"/>
  <c r="M283" i="2"/>
  <c r="N283" i="2"/>
  <c r="O283" i="2"/>
  <c r="M284" i="2"/>
  <c r="N284" i="2"/>
  <c r="O284" i="2"/>
  <c r="M285" i="2"/>
  <c r="N285" i="2"/>
  <c r="O285" i="2"/>
  <c r="M286" i="2"/>
  <c r="N286" i="2"/>
  <c r="O286" i="2"/>
  <c r="M287" i="2"/>
  <c r="N287" i="2"/>
  <c r="O287" i="2"/>
  <c r="M288" i="2"/>
  <c r="N288" i="2"/>
  <c r="O288" i="2"/>
  <c r="M289" i="2"/>
  <c r="N289" i="2"/>
  <c r="O289" i="2"/>
  <c r="M290" i="2"/>
  <c r="N290" i="2"/>
  <c r="O290" i="2"/>
  <c r="M291" i="2"/>
  <c r="N291" i="2"/>
  <c r="O291" i="2"/>
  <c r="M292" i="2"/>
  <c r="N292" i="2"/>
  <c r="O292" i="2"/>
  <c r="M293" i="2"/>
  <c r="N293" i="2"/>
  <c r="O293" i="2"/>
  <c r="M294" i="2"/>
  <c r="N294" i="2"/>
  <c r="O294" i="2"/>
  <c r="M295" i="2"/>
  <c r="N295" i="2"/>
  <c r="O295" i="2"/>
  <c r="M296" i="2"/>
  <c r="N296" i="2"/>
  <c r="O296" i="2"/>
  <c r="M297" i="2"/>
  <c r="N297" i="2"/>
  <c r="O297" i="2"/>
  <c r="M298" i="2"/>
  <c r="N298" i="2"/>
  <c r="O298" i="2"/>
  <c r="M299" i="2"/>
  <c r="N299" i="2"/>
  <c r="O299" i="2"/>
  <c r="M300" i="2"/>
  <c r="N300" i="2"/>
  <c r="O300" i="2"/>
  <c r="M301" i="2"/>
  <c r="N301" i="2"/>
  <c r="O301" i="2"/>
  <c r="M302" i="2"/>
  <c r="N302" i="2"/>
  <c r="O302" i="2"/>
  <c r="M303" i="2"/>
  <c r="N303" i="2"/>
  <c r="O303" i="2"/>
  <c r="M304" i="2"/>
  <c r="N304" i="2"/>
  <c r="O304" i="2"/>
  <c r="M305" i="2"/>
  <c r="BW191" i="1" s="1"/>
  <c r="CE191" i="1" s="1"/>
  <c r="N305" i="2"/>
  <c r="BX191" i="1" s="1"/>
  <c r="CF191" i="1" s="1"/>
  <c r="O305" i="2"/>
  <c r="BY191" i="1" s="1"/>
  <c r="CG191" i="1" s="1"/>
  <c r="M306" i="2"/>
  <c r="BW192" i="1" s="1"/>
  <c r="CE192" i="1" s="1"/>
  <c r="N306" i="2"/>
  <c r="BX192" i="1" s="1"/>
  <c r="CF192" i="1" s="1"/>
  <c r="O306" i="2"/>
  <c r="BY192" i="1" s="1"/>
  <c r="CG192" i="1" s="1"/>
  <c r="M307" i="2"/>
  <c r="N307" i="2"/>
  <c r="O307" i="2"/>
  <c r="M308" i="2"/>
  <c r="N308" i="2"/>
  <c r="O308" i="2"/>
  <c r="M309" i="2"/>
  <c r="BW193" i="1" s="1"/>
  <c r="CE193" i="1" s="1"/>
  <c r="N309" i="2"/>
  <c r="BX193" i="1" s="1"/>
  <c r="CF193" i="1" s="1"/>
  <c r="O309" i="2"/>
  <c r="BY193" i="1" s="1"/>
  <c r="CG193" i="1" s="1"/>
  <c r="M310" i="2"/>
  <c r="BW194" i="1" s="1"/>
  <c r="CE194" i="1" s="1"/>
  <c r="N310" i="2"/>
  <c r="BX194" i="1" s="1"/>
  <c r="CF194" i="1" s="1"/>
  <c r="O310" i="2"/>
  <c r="BY194" i="1" s="1"/>
  <c r="CG194" i="1" s="1"/>
  <c r="M311" i="2"/>
  <c r="BW195" i="1" s="1"/>
  <c r="CE195" i="1" s="1"/>
  <c r="N311" i="2"/>
  <c r="BX195" i="1" s="1"/>
  <c r="CF195" i="1" s="1"/>
  <c r="O311" i="2"/>
  <c r="BY195" i="1" s="1"/>
  <c r="CG195" i="1" s="1"/>
  <c r="M312" i="2"/>
  <c r="N312" i="2"/>
  <c r="O312" i="2"/>
  <c r="M313" i="2"/>
  <c r="N313" i="2"/>
  <c r="O313" i="2"/>
  <c r="M314" i="2"/>
  <c r="BW196" i="1" s="1"/>
  <c r="CE196" i="1" s="1"/>
  <c r="N314" i="2"/>
  <c r="BX196" i="1" s="1"/>
  <c r="CF196" i="1" s="1"/>
  <c r="O314" i="2"/>
  <c r="BY196" i="1" s="1"/>
  <c r="CG196" i="1" s="1"/>
  <c r="M315" i="2"/>
  <c r="BW197" i="1" s="1"/>
  <c r="CE197" i="1" s="1"/>
  <c r="N315" i="2"/>
  <c r="BX197" i="1" s="1"/>
  <c r="CF197" i="1" s="1"/>
  <c r="O315" i="2"/>
  <c r="BY197" i="1" s="1"/>
  <c r="CG197" i="1" s="1"/>
  <c r="M316" i="2"/>
  <c r="BW198" i="1" s="1"/>
  <c r="CE198" i="1" s="1"/>
  <c r="N316" i="2"/>
  <c r="BX198" i="1" s="1"/>
  <c r="CF198" i="1" s="1"/>
  <c r="O316" i="2"/>
  <c r="BY198" i="1" s="1"/>
  <c r="CG198" i="1" s="1"/>
  <c r="M317" i="2"/>
  <c r="N317" i="2"/>
  <c r="O317" i="2"/>
  <c r="M318" i="2"/>
  <c r="N318" i="2"/>
  <c r="O318" i="2"/>
  <c r="M319" i="2"/>
  <c r="N319" i="2"/>
  <c r="O319" i="2"/>
  <c r="M320" i="2"/>
  <c r="N320" i="2"/>
  <c r="O320" i="2"/>
  <c r="M321" i="2"/>
  <c r="N321" i="2"/>
  <c r="O321" i="2"/>
  <c r="M322" i="2"/>
  <c r="N322" i="2"/>
  <c r="O322" i="2"/>
  <c r="M323" i="2"/>
  <c r="N323" i="2"/>
  <c r="O323" i="2"/>
  <c r="M324" i="2"/>
  <c r="N324" i="2"/>
  <c r="O324" i="2"/>
  <c r="M325" i="2"/>
  <c r="N325" i="2"/>
  <c r="O325" i="2"/>
  <c r="M326" i="2"/>
  <c r="N326" i="2"/>
  <c r="O326" i="2"/>
  <c r="M327" i="2"/>
  <c r="N327" i="2"/>
  <c r="O327" i="2"/>
  <c r="M328" i="2"/>
  <c r="N328" i="2"/>
  <c r="O328" i="2"/>
  <c r="M329" i="2"/>
  <c r="N329" i="2"/>
  <c r="O329" i="2"/>
  <c r="M330" i="2"/>
  <c r="N330" i="2"/>
  <c r="O330" i="2"/>
  <c r="M331" i="2"/>
  <c r="N331" i="2"/>
  <c r="O331" i="2"/>
  <c r="M332" i="2"/>
  <c r="N332" i="2"/>
  <c r="O332" i="2"/>
  <c r="M333" i="2"/>
  <c r="N333" i="2"/>
  <c r="O333" i="2"/>
  <c r="M334" i="2"/>
  <c r="N334" i="2"/>
  <c r="O334" i="2"/>
  <c r="M335" i="2"/>
  <c r="N335" i="2"/>
  <c r="O335" i="2"/>
  <c r="M336" i="2"/>
  <c r="N336" i="2"/>
  <c r="O336" i="2"/>
  <c r="M337" i="2"/>
  <c r="N337" i="2"/>
  <c r="O337" i="2"/>
  <c r="M338" i="2"/>
  <c r="N338" i="2"/>
  <c r="O338" i="2"/>
  <c r="M339" i="2"/>
  <c r="N339" i="2"/>
  <c r="O339" i="2"/>
  <c r="M340" i="2"/>
  <c r="N340" i="2"/>
  <c r="O340" i="2"/>
  <c r="M341" i="2"/>
  <c r="N341" i="2"/>
  <c r="O341" i="2"/>
  <c r="M342" i="2"/>
  <c r="N342" i="2"/>
  <c r="O342" i="2"/>
  <c r="M343" i="2"/>
  <c r="N343" i="2"/>
  <c r="O343" i="2"/>
  <c r="M344" i="2"/>
  <c r="N344" i="2"/>
  <c r="O344" i="2"/>
  <c r="M345" i="2"/>
  <c r="N345" i="2"/>
  <c r="O345" i="2"/>
  <c r="M346" i="2"/>
  <c r="N346" i="2"/>
  <c r="O346" i="2"/>
  <c r="M347" i="2"/>
  <c r="N347" i="2"/>
  <c r="O347" i="2"/>
  <c r="M348" i="2"/>
  <c r="N348" i="2"/>
  <c r="O348" i="2"/>
  <c r="M349" i="2"/>
  <c r="N349" i="2"/>
  <c r="O349" i="2"/>
  <c r="M350" i="2"/>
  <c r="N350" i="2"/>
  <c r="O350" i="2"/>
  <c r="M351" i="2"/>
  <c r="N351" i="2"/>
  <c r="O351" i="2"/>
  <c r="M352" i="2"/>
  <c r="N352" i="2"/>
  <c r="O352" i="2"/>
  <c r="M353" i="2"/>
  <c r="N353" i="2"/>
  <c r="O353" i="2"/>
  <c r="M354" i="2"/>
  <c r="N354" i="2"/>
  <c r="O354" i="2"/>
  <c r="M355" i="2"/>
  <c r="N355" i="2"/>
  <c r="O355" i="2"/>
  <c r="M356" i="2"/>
  <c r="N356" i="2"/>
  <c r="O356" i="2"/>
  <c r="M357" i="2"/>
  <c r="N357" i="2"/>
  <c r="O357" i="2"/>
  <c r="M358" i="2"/>
  <c r="N358" i="2"/>
  <c r="O358" i="2"/>
  <c r="M359" i="2"/>
  <c r="N359" i="2"/>
  <c r="O359" i="2"/>
  <c r="M360" i="2"/>
  <c r="N360" i="2"/>
  <c r="O360" i="2"/>
  <c r="M361" i="2"/>
  <c r="N361" i="2"/>
  <c r="O361" i="2"/>
  <c r="M362" i="2"/>
  <c r="N362" i="2"/>
  <c r="O362" i="2"/>
  <c r="M363" i="2"/>
  <c r="N363" i="2"/>
  <c r="O363" i="2"/>
  <c r="M364" i="2"/>
  <c r="N364" i="2"/>
  <c r="O364" i="2"/>
  <c r="M365" i="2"/>
  <c r="N365" i="2"/>
  <c r="O365" i="2"/>
  <c r="M366" i="2"/>
  <c r="N366" i="2"/>
  <c r="O366" i="2"/>
  <c r="M367" i="2"/>
  <c r="N367" i="2"/>
  <c r="O367" i="2"/>
  <c r="M368" i="2"/>
  <c r="N368" i="2"/>
  <c r="O368" i="2"/>
  <c r="M369" i="2"/>
  <c r="N369" i="2"/>
  <c r="O369" i="2"/>
  <c r="M370" i="2"/>
  <c r="N370" i="2"/>
  <c r="O370" i="2"/>
  <c r="M371" i="2"/>
  <c r="N371" i="2"/>
  <c r="O371" i="2"/>
  <c r="M372" i="2"/>
  <c r="N372" i="2"/>
  <c r="O372" i="2"/>
  <c r="M373" i="2"/>
  <c r="N373" i="2"/>
  <c r="O373" i="2"/>
  <c r="M374" i="2"/>
  <c r="N374" i="2"/>
  <c r="O374" i="2"/>
  <c r="M375" i="2"/>
  <c r="N375" i="2"/>
  <c r="O375" i="2"/>
  <c r="M376" i="2"/>
  <c r="BW188" i="1" s="1"/>
  <c r="N376" i="2"/>
  <c r="BX188" i="1" s="1"/>
  <c r="O376" i="2"/>
  <c r="BY188" i="1" s="1"/>
  <c r="M377" i="2"/>
  <c r="N377" i="2"/>
  <c r="O377" i="2"/>
  <c r="M378" i="2"/>
  <c r="BW157" i="1" s="1"/>
  <c r="CE157" i="1" s="1"/>
  <c r="N378" i="2"/>
  <c r="BX157" i="1" s="1"/>
  <c r="CF157" i="1" s="1"/>
  <c r="O378" i="2"/>
  <c r="BY157" i="1" s="1"/>
  <c r="CG157" i="1" s="1"/>
  <c r="M379" i="2"/>
  <c r="BW189" i="1" s="1"/>
  <c r="CE189" i="1" s="1"/>
  <c r="N379" i="2"/>
  <c r="BX189" i="1" s="1"/>
  <c r="CF189" i="1" s="1"/>
  <c r="O379" i="2"/>
  <c r="BY189" i="1" s="1"/>
  <c r="CG189" i="1" s="1"/>
  <c r="M380" i="2"/>
  <c r="BW190" i="1" s="1"/>
  <c r="CE190" i="1" s="1"/>
  <c r="N380" i="2"/>
  <c r="BX190" i="1" s="1"/>
  <c r="CF190" i="1" s="1"/>
  <c r="O380" i="2"/>
  <c r="BY190" i="1" s="1"/>
  <c r="CG190" i="1" s="1"/>
  <c r="M381" i="2"/>
  <c r="BW158" i="1" s="1"/>
  <c r="CE158" i="1" s="1"/>
  <c r="N381" i="2"/>
  <c r="BX158" i="1" s="1"/>
  <c r="CF158" i="1" s="1"/>
  <c r="O381" i="2"/>
  <c r="BY158" i="1" s="1"/>
  <c r="CG158" i="1" s="1"/>
  <c r="M382" i="2"/>
  <c r="BW159" i="1" s="1"/>
  <c r="CE159" i="1" s="1"/>
  <c r="N382" i="2"/>
  <c r="BX159" i="1" s="1"/>
  <c r="CF159" i="1" s="1"/>
  <c r="O382" i="2"/>
  <c r="BY159" i="1" s="1"/>
  <c r="CG159" i="1" s="1"/>
  <c r="M383" i="2"/>
  <c r="BW160" i="1" s="1"/>
  <c r="CE160" i="1" s="1"/>
  <c r="N383" i="2"/>
  <c r="BX160" i="1" s="1"/>
  <c r="CF160" i="1" s="1"/>
  <c r="O383" i="2"/>
  <c r="BY160" i="1" s="1"/>
  <c r="CG160" i="1" s="1"/>
  <c r="M384" i="2"/>
  <c r="BW161" i="1" s="1"/>
  <c r="CE161" i="1" s="1"/>
  <c r="N384" i="2"/>
  <c r="BX161" i="1" s="1"/>
  <c r="CF161" i="1" s="1"/>
  <c r="O384" i="2"/>
  <c r="BY161" i="1" s="1"/>
  <c r="CG161" i="1" s="1"/>
  <c r="M385" i="2"/>
  <c r="BW162" i="1" s="1"/>
  <c r="CE162" i="1" s="1"/>
  <c r="N385" i="2"/>
  <c r="BX162" i="1" s="1"/>
  <c r="CF162" i="1" s="1"/>
  <c r="O385" i="2"/>
  <c r="BY162" i="1" s="1"/>
  <c r="CG162" i="1" s="1"/>
  <c r="M386" i="2"/>
  <c r="BW163" i="1" s="1"/>
  <c r="CE163" i="1" s="1"/>
  <c r="N386" i="2"/>
  <c r="BX163" i="1" s="1"/>
  <c r="CF163" i="1" s="1"/>
  <c r="O386" i="2"/>
  <c r="BY163" i="1" s="1"/>
  <c r="CG163" i="1" s="1"/>
  <c r="M387" i="2"/>
  <c r="BW164" i="1" s="1"/>
  <c r="CE164" i="1" s="1"/>
  <c r="N387" i="2"/>
  <c r="BX164" i="1" s="1"/>
  <c r="CF164" i="1" s="1"/>
  <c r="O387" i="2"/>
  <c r="BY164" i="1" s="1"/>
  <c r="CG164" i="1" s="1"/>
  <c r="M388" i="2"/>
  <c r="N388" i="2"/>
  <c r="O388" i="2"/>
  <c r="M389" i="2"/>
  <c r="N389" i="2"/>
  <c r="O389" i="2"/>
  <c r="M390" i="2"/>
  <c r="BW165" i="1" s="1"/>
  <c r="CE165" i="1" s="1"/>
  <c r="N390" i="2"/>
  <c r="BX165" i="1" s="1"/>
  <c r="CF165" i="1" s="1"/>
  <c r="O390" i="2"/>
  <c r="BY165" i="1" s="1"/>
  <c r="CG165" i="1" s="1"/>
  <c r="M391" i="2"/>
  <c r="N391" i="2"/>
  <c r="O391" i="2"/>
  <c r="M392" i="2"/>
  <c r="N392" i="2"/>
  <c r="O392" i="2"/>
  <c r="M393" i="2"/>
  <c r="BW166" i="1" s="1"/>
  <c r="CE166" i="1" s="1"/>
  <c r="N393" i="2"/>
  <c r="BX166" i="1" s="1"/>
  <c r="CF166" i="1" s="1"/>
  <c r="O393" i="2"/>
  <c r="BY166" i="1" s="1"/>
  <c r="CG166" i="1" s="1"/>
  <c r="M394" i="2"/>
  <c r="BW167" i="1" s="1"/>
  <c r="CE167" i="1" s="1"/>
  <c r="N394" i="2"/>
  <c r="BX167" i="1" s="1"/>
  <c r="CF167" i="1" s="1"/>
  <c r="O394" i="2"/>
  <c r="BY167" i="1" s="1"/>
  <c r="CG167" i="1" s="1"/>
  <c r="M395" i="2"/>
  <c r="N395" i="2"/>
  <c r="O395" i="2"/>
  <c r="M396" i="2"/>
  <c r="N396" i="2"/>
  <c r="O396" i="2"/>
  <c r="M397" i="2"/>
  <c r="N397" i="2"/>
  <c r="O397" i="2"/>
  <c r="M398" i="2"/>
  <c r="BW168" i="1" s="1"/>
  <c r="CE168" i="1" s="1"/>
  <c r="N398" i="2"/>
  <c r="BX168" i="1" s="1"/>
  <c r="CF168" i="1" s="1"/>
  <c r="O398" i="2"/>
  <c r="BY168" i="1" s="1"/>
  <c r="CG168" i="1" s="1"/>
  <c r="M399" i="2"/>
  <c r="N399" i="2"/>
  <c r="O399" i="2"/>
  <c r="M400" i="2"/>
  <c r="N400" i="2"/>
  <c r="O400" i="2"/>
  <c r="M401" i="2"/>
  <c r="N401" i="2"/>
  <c r="O401" i="2"/>
  <c r="M402" i="2"/>
  <c r="BW169" i="1" s="1"/>
  <c r="CE169" i="1" s="1"/>
  <c r="N402" i="2"/>
  <c r="BX169" i="1" s="1"/>
  <c r="CF169" i="1" s="1"/>
  <c r="O402" i="2"/>
  <c r="BY169" i="1" s="1"/>
  <c r="CG169" i="1" s="1"/>
  <c r="M403" i="2"/>
  <c r="BW170" i="1" s="1"/>
  <c r="CE170" i="1" s="1"/>
  <c r="N403" i="2"/>
  <c r="BX170" i="1" s="1"/>
  <c r="CF170" i="1" s="1"/>
  <c r="O403" i="2"/>
  <c r="BY170" i="1" s="1"/>
  <c r="CG170" i="1" s="1"/>
  <c r="M404" i="2"/>
  <c r="N404" i="2"/>
  <c r="O404" i="2"/>
  <c r="M405" i="2"/>
  <c r="BW171" i="1" s="1"/>
  <c r="CE171" i="1" s="1"/>
  <c r="N405" i="2"/>
  <c r="BX171" i="1" s="1"/>
  <c r="CF171" i="1" s="1"/>
  <c r="O405" i="2"/>
  <c r="BY171" i="1" s="1"/>
  <c r="CG171" i="1" s="1"/>
  <c r="M406" i="2"/>
  <c r="N406" i="2"/>
  <c r="O406" i="2"/>
  <c r="M407" i="2"/>
  <c r="BW172" i="1" s="1"/>
  <c r="CE172" i="1" s="1"/>
  <c r="N407" i="2"/>
  <c r="BX172" i="1" s="1"/>
  <c r="CF172" i="1" s="1"/>
  <c r="O407" i="2"/>
  <c r="BY172" i="1" s="1"/>
  <c r="CG172" i="1" s="1"/>
  <c r="M408" i="2"/>
  <c r="BW173" i="1" s="1"/>
  <c r="CE173" i="1" s="1"/>
  <c r="N408" i="2"/>
  <c r="BX173" i="1" s="1"/>
  <c r="CF173" i="1" s="1"/>
  <c r="O408" i="2"/>
  <c r="BY173" i="1" s="1"/>
  <c r="CG173" i="1" s="1"/>
  <c r="M409" i="2"/>
  <c r="BW174" i="1" s="1"/>
  <c r="CE174" i="1" s="1"/>
  <c r="N409" i="2"/>
  <c r="BX174" i="1" s="1"/>
  <c r="CF174" i="1" s="1"/>
  <c r="O409" i="2"/>
  <c r="BY174" i="1" s="1"/>
  <c r="CG174" i="1" s="1"/>
  <c r="M410" i="2"/>
  <c r="BW175" i="1" s="1"/>
  <c r="CE175" i="1" s="1"/>
  <c r="N410" i="2"/>
  <c r="BX175" i="1" s="1"/>
  <c r="CF175" i="1" s="1"/>
  <c r="O410" i="2"/>
  <c r="BY175" i="1" s="1"/>
  <c r="CG175" i="1" s="1"/>
  <c r="M411" i="2"/>
  <c r="BW176" i="1" s="1"/>
  <c r="CE176" i="1" s="1"/>
  <c r="N411" i="2"/>
  <c r="BX176" i="1" s="1"/>
  <c r="CF176" i="1" s="1"/>
  <c r="O411" i="2"/>
  <c r="BY176" i="1" s="1"/>
  <c r="CG176" i="1" s="1"/>
  <c r="M412" i="2"/>
  <c r="BW177" i="1" s="1"/>
  <c r="CE177" i="1" s="1"/>
  <c r="N412" i="2"/>
  <c r="BX177" i="1" s="1"/>
  <c r="CF177" i="1" s="1"/>
  <c r="O412" i="2"/>
  <c r="BY177" i="1" s="1"/>
  <c r="CG177" i="1" s="1"/>
  <c r="M413" i="2"/>
  <c r="BW178" i="1" s="1"/>
  <c r="CE178" i="1" s="1"/>
  <c r="N413" i="2"/>
  <c r="BX178" i="1" s="1"/>
  <c r="CF178" i="1" s="1"/>
  <c r="O413" i="2"/>
  <c r="BY178" i="1" s="1"/>
  <c r="CG178" i="1" s="1"/>
  <c r="M414" i="2"/>
  <c r="BW179" i="1" s="1"/>
  <c r="CE179" i="1" s="1"/>
  <c r="N414" i="2"/>
  <c r="BX179" i="1" s="1"/>
  <c r="CF179" i="1" s="1"/>
  <c r="O414" i="2"/>
  <c r="BY179" i="1" s="1"/>
  <c r="CG179" i="1" s="1"/>
  <c r="M415" i="2"/>
  <c r="BW180" i="1" s="1"/>
  <c r="CE180" i="1" s="1"/>
  <c r="N415" i="2"/>
  <c r="BX180" i="1" s="1"/>
  <c r="CF180" i="1" s="1"/>
  <c r="O415" i="2"/>
  <c r="BY180" i="1" s="1"/>
  <c r="CG180" i="1" s="1"/>
  <c r="M416" i="2"/>
  <c r="BW181" i="1" s="1"/>
  <c r="CE181" i="1" s="1"/>
  <c r="N416" i="2"/>
  <c r="BX181" i="1" s="1"/>
  <c r="CF181" i="1" s="1"/>
  <c r="O416" i="2"/>
  <c r="BY181" i="1" s="1"/>
  <c r="CG181" i="1" s="1"/>
  <c r="M417" i="2"/>
  <c r="BW182" i="1" s="1"/>
  <c r="CE182" i="1" s="1"/>
  <c r="N417" i="2"/>
  <c r="BX182" i="1" s="1"/>
  <c r="CF182" i="1" s="1"/>
  <c r="O417" i="2"/>
  <c r="BY182" i="1" s="1"/>
  <c r="CG182" i="1" s="1"/>
  <c r="M418" i="2"/>
  <c r="BW183" i="1" s="1"/>
  <c r="CE183" i="1" s="1"/>
  <c r="N418" i="2"/>
  <c r="BX183" i="1" s="1"/>
  <c r="CF183" i="1" s="1"/>
  <c r="O418" i="2"/>
  <c r="BY183" i="1" s="1"/>
  <c r="CG183" i="1" s="1"/>
  <c r="M419" i="2"/>
  <c r="N419" i="2"/>
  <c r="O419" i="2"/>
  <c r="M420" i="2"/>
  <c r="BW184" i="1" s="1"/>
  <c r="CE184" i="1" s="1"/>
  <c r="N420" i="2"/>
  <c r="BX184" i="1" s="1"/>
  <c r="CF184" i="1" s="1"/>
  <c r="O420" i="2"/>
  <c r="BY184" i="1" s="1"/>
  <c r="CG184" i="1" s="1"/>
  <c r="M421" i="2"/>
  <c r="N421" i="2"/>
  <c r="O421" i="2"/>
  <c r="M422" i="2"/>
  <c r="BW185" i="1" s="1"/>
  <c r="CE185" i="1" s="1"/>
  <c r="N422" i="2"/>
  <c r="BX185" i="1" s="1"/>
  <c r="CF185" i="1" s="1"/>
  <c r="O422" i="2"/>
  <c r="BY185" i="1" s="1"/>
  <c r="CG185" i="1" s="1"/>
  <c r="M423" i="2"/>
  <c r="N423" i="2"/>
  <c r="O423" i="2"/>
  <c r="M424" i="2"/>
  <c r="N424" i="2"/>
  <c r="O424" i="2"/>
  <c r="M425" i="2"/>
  <c r="N425" i="2"/>
  <c r="O425" i="2"/>
  <c r="M426" i="2"/>
  <c r="BW186" i="1" s="1"/>
  <c r="CE186" i="1" s="1"/>
  <c r="N426" i="2"/>
  <c r="BX186" i="1" s="1"/>
  <c r="CF186" i="1" s="1"/>
  <c r="O426" i="2"/>
  <c r="BY186" i="1" s="1"/>
  <c r="CG186" i="1" s="1"/>
  <c r="M427" i="2"/>
  <c r="N427" i="2"/>
  <c r="O427" i="2"/>
  <c r="M428" i="2"/>
  <c r="N428" i="2"/>
  <c r="O428" i="2"/>
  <c r="M429" i="2"/>
  <c r="N429" i="2"/>
  <c r="O429" i="2"/>
  <c r="M430" i="2"/>
  <c r="N430" i="2"/>
  <c r="O430" i="2"/>
  <c r="M431" i="2"/>
  <c r="N431" i="2"/>
  <c r="O431" i="2"/>
  <c r="M432" i="2"/>
  <c r="N432" i="2"/>
  <c r="O432" i="2"/>
  <c r="M433" i="2"/>
  <c r="N433" i="2"/>
  <c r="O433" i="2"/>
  <c r="M434" i="2"/>
  <c r="N434" i="2"/>
  <c r="O434" i="2"/>
  <c r="M435" i="2"/>
  <c r="N435" i="2"/>
  <c r="O435" i="2"/>
  <c r="M436" i="2"/>
  <c r="N436" i="2"/>
  <c r="O436" i="2"/>
  <c r="M437" i="2"/>
  <c r="N437" i="2"/>
  <c r="O437" i="2"/>
  <c r="M438" i="2"/>
  <c r="N438" i="2"/>
  <c r="O438" i="2"/>
  <c r="M439" i="2"/>
  <c r="N439" i="2"/>
  <c r="O439" i="2"/>
  <c r="M440" i="2"/>
  <c r="N440" i="2"/>
  <c r="O440" i="2"/>
  <c r="M441" i="2"/>
  <c r="N441" i="2"/>
  <c r="O441" i="2"/>
  <c r="M442" i="2"/>
  <c r="N442" i="2"/>
  <c r="O442" i="2"/>
  <c r="M443" i="2"/>
  <c r="N443" i="2"/>
  <c r="O443" i="2"/>
  <c r="M444" i="2"/>
  <c r="N444" i="2"/>
  <c r="O444" i="2"/>
  <c r="M445" i="2"/>
  <c r="N445" i="2"/>
  <c r="O445" i="2"/>
  <c r="M446" i="2"/>
  <c r="N446" i="2"/>
  <c r="O446" i="2"/>
  <c r="M447" i="2"/>
  <c r="N447" i="2"/>
  <c r="O447" i="2"/>
  <c r="M448" i="2"/>
  <c r="N448" i="2"/>
  <c r="O448" i="2"/>
  <c r="M449" i="2"/>
  <c r="N449" i="2"/>
  <c r="O449" i="2"/>
  <c r="M450" i="2"/>
  <c r="N450" i="2"/>
  <c r="O450" i="2"/>
  <c r="M451" i="2"/>
  <c r="N451" i="2"/>
  <c r="O451" i="2"/>
  <c r="M452" i="2"/>
  <c r="N452" i="2"/>
  <c r="O452" i="2"/>
  <c r="M453" i="2"/>
  <c r="N453" i="2"/>
  <c r="O453" i="2"/>
  <c r="M454" i="2"/>
  <c r="N454" i="2"/>
  <c r="O454" i="2"/>
  <c r="M455" i="2"/>
  <c r="N455" i="2"/>
  <c r="O455" i="2"/>
  <c r="M456" i="2"/>
  <c r="N456" i="2"/>
  <c r="O456" i="2"/>
  <c r="M457" i="2"/>
  <c r="N457" i="2"/>
  <c r="O457" i="2"/>
  <c r="M458" i="2"/>
  <c r="N458" i="2"/>
  <c r="O458" i="2"/>
  <c r="M459" i="2"/>
  <c r="N459" i="2"/>
  <c r="O459" i="2"/>
  <c r="M460" i="2"/>
  <c r="N460" i="2"/>
  <c r="O460" i="2"/>
  <c r="M461" i="2"/>
  <c r="N461" i="2"/>
  <c r="O461" i="2"/>
  <c r="M462" i="2"/>
  <c r="N462" i="2"/>
  <c r="O462" i="2"/>
  <c r="M463" i="2"/>
  <c r="N463" i="2"/>
  <c r="O463" i="2"/>
  <c r="M464" i="2"/>
  <c r="N464" i="2"/>
  <c r="O464" i="2"/>
  <c r="M465" i="2"/>
  <c r="N465" i="2"/>
  <c r="O465" i="2"/>
  <c r="M466" i="2"/>
  <c r="N466" i="2"/>
  <c r="O466" i="2"/>
  <c r="M467" i="2"/>
  <c r="N467" i="2"/>
  <c r="O467" i="2"/>
  <c r="M468" i="2"/>
  <c r="N468" i="2"/>
  <c r="O468" i="2"/>
  <c r="M469" i="2"/>
  <c r="N469" i="2"/>
  <c r="O469" i="2"/>
  <c r="M470" i="2"/>
  <c r="N470" i="2"/>
  <c r="O470" i="2"/>
  <c r="M471" i="2"/>
  <c r="N471" i="2"/>
  <c r="O471" i="2"/>
  <c r="M472" i="2"/>
  <c r="N472" i="2"/>
  <c r="O472" i="2"/>
  <c r="M473" i="2"/>
  <c r="N473" i="2"/>
  <c r="O473" i="2"/>
  <c r="M474" i="2"/>
  <c r="N474" i="2"/>
  <c r="O474" i="2"/>
  <c r="M475" i="2"/>
  <c r="N475" i="2"/>
  <c r="O475" i="2"/>
  <c r="M476" i="2"/>
  <c r="N476" i="2"/>
  <c r="O476" i="2"/>
  <c r="M477" i="2"/>
  <c r="N477" i="2"/>
  <c r="O477" i="2"/>
  <c r="M478" i="2"/>
  <c r="N478" i="2"/>
  <c r="O478" i="2"/>
  <c r="M479" i="2"/>
  <c r="N479" i="2"/>
  <c r="O479" i="2"/>
  <c r="M480" i="2"/>
  <c r="N480" i="2"/>
  <c r="O480" i="2"/>
  <c r="M481" i="2"/>
  <c r="N481" i="2"/>
  <c r="O481" i="2"/>
  <c r="M482" i="2"/>
  <c r="N482" i="2"/>
  <c r="O482" i="2"/>
  <c r="M483" i="2"/>
  <c r="N483" i="2"/>
  <c r="O483" i="2"/>
  <c r="M484" i="2"/>
  <c r="N484" i="2"/>
  <c r="O484" i="2"/>
  <c r="M485" i="2"/>
  <c r="N485" i="2"/>
  <c r="O485" i="2"/>
  <c r="M486" i="2"/>
  <c r="N486" i="2"/>
  <c r="O486" i="2"/>
  <c r="M487" i="2"/>
  <c r="N487" i="2"/>
  <c r="O487" i="2"/>
  <c r="M488" i="2"/>
  <c r="N488" i="2"/>
  <c r="O488" i="2"/>
  <c r="M489" i="2"/>
  <c r="N489" i="2"/>
  <c r="O489" i="2"/>
  <c r="M490" i="2"/>
  <c r="N490" i="2"/>
  <c r="O490" i="2"/>
  <c r="M491" i="2"/>
  <c r="N491" i="2"/>
  <c r="O491" i="2"/>
  <c r="M492" i="2"/>
  <c r="N492" i="2"/>
  <c r="O492" i="2"/>
  <c r="M493" i="2"/>
  <c r="N493" i="2"/>
  <c r="O493" i="2"/>
  <c r="M494" i="2"/>
  <c r="N494" i="2"/>
  <c r="O494" i="2"/>
  <c r="M495" i="2"/>
  <c r="N495" i="2"/>
  <c r="O495" i="2"/>
  <c r="M496" i="2"/>
  <c r="N496" i="2"/>
  <c r="O496" i="2"/>
  <c r="M497" i="2"/>
  <c r="N497" i="2"/>
  <c r="O497" i="2"/>
  <c r="M498" i="2"/>
  <c r="N498" i="2"/>
  <c r="O498" i="2"/>
  <c r="M499" i="2"/>
  <c r="N499" i="2"/>
  <c r="O499" i="2"/>
  <c r="M500" i="2"/>
  <c r="N500" i="2"/>
  <c r="O500" i="2"/>
  <c r="M501" i="2"/>
  <c r="N501" i="2"/>
  <c r="O501" i="2"/>
  <c r="M502" i="2"/>
  <c r="N502" i="2"/>
  <c r="O502" i="2"/>
  <c r="M503" i="2"/>
  <c r="N503" i="2"/>
  <c r="O503" i="2"/>
  <c r="M504" i="2"/>
  <c r="N504" i="2"/>
  <c r="O504" i="2"/>
  <c r="M505" i="2"/>
  <c r="N505" i="2"/>
  <c r="O505" i="2"/>
  <c r="M506" i="2"/>
  <c r="N506" i="2"/>
  <c r="O506" i="2"/>
  <c r="M507" i="2"/>
  <c r="N507" i="2"/>
  <c r="O507" i="2"/>
  <c r="M508" i="2"/>
  <c r="N508" i="2"/>
  <c r="O508" i="2"/>
  <c r="M509" i="2"/>
  <c r="N509" i="2"/>
  <c r="O509" i="2"/>
  <c r="M510" i="2"/>
  <c r="N510" i="2"/>
  <c r="O510" i="2"/>
  <c r="M511" i="2"/>
  <c r="N511" i="2"/>
  <c r="O511" i="2"/>
  <c r="M512" i="2"/>
  <c r="N512" i="2"/>
  <c r="O512" i="2"/>
  <c r="M513" i="2"/>
  <c r="N513" i="2"/>
  <c r="O513" i="2"/>
  <c r="M514" i="2"/>
  <c r="N514" i="2"/>
  <c r="O514" i="2"/>
  <c r="M515" i="2"/>
  <c r="N515" i="2"/>
  <c r="O515" i="2"/>
  <c r="M516" i="2"/>
  <c r="N516" i="2"/>
  <c r="O516" i="2"/>
  <c r="M517" i="2"/>
  <c r="BW203" i="1" s="1"/>
  <c r="CE203" i="1" s="1"/>
  <c r="N517" i="2"/>
  <c r="BX203" i="1" s="1"/>
  <c r="CF203" i="1" s="1"/>
  <c r="O517" i="2"/>
  <c r="BY203" i="1" s="1"/>
  <c r="CG203" i="1" s="1"/>
  <c r="M518" i="2"/>
  <c r="BW204" i="1" s="1"/>
  <c r="CE204" i="1" s="1"/>
  <c r="N518" i="2"/>
  <c r="BX204" i="1" s="1"/>
  <c r="CF204" i="1" s="1"/>
  <c r="O518" i="2"/>
  <c r="BY204" i="1" s="1"/>
  <c r="CG204" i="1" s="1"/>
  <c r="M519" i="2"/>
  <c r="BW205" i="1" s="1"/>
  <c r="CE205" i="1" s="1"/>
  <c r="N519" i="2"/>
  <c r="BX205" i="1" s="1"/>
  <c r="CF205" i="1" s="1"/>
  <c r="O519" i="2"/>
  <c r="BY205" i="1" s="1"/>
  <c r="CG205" i="1" s="1"/>
  <c r="M520" i="2"/>
  <c r="BW206" i="1" s="1"/>
  <c r="CE206" i="1" s="1"/>
  <c r="N520" i="2"/>
  <c r="BX206" i="1" s="1"/>
  <c r="CF206" i="1" s="1"/>
  <c r="O520" i="2"/>
  <c r="BY206" i="1" s="1"/>
  <c r="CG206" i="1" s="1"/>
  <c r="M521" i="2"/>
  <c r="BW207" i="1" s="1"/>
  <c r="CE207" i="1" s="1"/>
  <c r="N521" i="2"/>
  <c r="BX207" i="1" s="1"/>
  <c r="CF207" i="1" s="1"/>
  <c r="O521" i="2"/>
  <c r="BY207" i="1" s="1"/>
  <c r="CG207" i="1" s="1"/>
  <c r="M522" i="2"/>
  <c r="BW211" i="1" s="1"/>
  <c r="CE211" i="1" s="1"/>
  <c r="N522" i="2"/>
  <c r="BX211" i="1" s="1"/>
  <c r="CF211" i="1" s="1"/>
  <c r="O522" i="2"/>
  <c r="BY211" i="1" s="1"/>
  <c r="CG211" i="1" s="1"/>
  <c r="M523" i="2"/>
  <c r="BW212" i="1" s="1"/>
  <c r="CE212" i="1" s="1"/>
  <c r="N523" i="2"/>
  <c r="BX212" i="1" s="1"/>
  <c r="CF212" i="1" s="1"/>
  <c r="O523" i="2"/>
  <c r="BY212" i="1" s="1"/>
  <c r="CG212" i="1" s="1"/>
  <c r="M524" i="2"/>
  <c r="BW213" i="1" s="1"/>
  <c r="CE213" i="1" s="1"/>
  <c r="N524" i="2"/>
  <c r="BX213" i="1" s="1"/>
  <c r="CF213" i="1" s="1"/>
  <c r="O524" i="2"/>
  <c r="BY213" i="1" s="1"/>
  <c r="CG213" i="1" s="1"/>
  <c r="M525" i="2"/>
  <c r="BW214" i="1" s="1"/>
  <c r="CE214" i="1" s="1"/>
  <c r="N525" i="2"/>
  <c r="BX214" i="1" s="1"/>
  <c r="CF214" i="1" s="1"/>
  <c r="O525" i="2"/>
  <c r="BY214" i="1" s="1"/>
  <c r="CG214" i="1" s="1"/>
  <c r="M526" i="2"/>
  <c r="BW215" i="1" s="1"/>
  <c r="CE215" i="1" s="1"/>
  <c r="N526" i="2"/>
  <c r="BX215" i="1" s="1"/>
  <c r="CF215" i="1" s="1"/>
  <c r="O526" i="2"/>
  <c r="BY215" i="1" s="1"/>
  <c r="CG215" i="1" s="1"/>
  <c r="M527" i="2"/>
  <c r="N527" i="2"/>
  <c r="O527" i="2"/>
  <c r="M528" i="2"/>
  <c r="N528" i="2"/>
  <c r="O528" i="2"/>
  <c r="M529" i="2"/>
  <c r="N529" i="2"/>
  <c r="O529" i="2"/>
  <c r="M530" i="2"/>
  <c r="N530" i="2"/>
  <c r="O530" i="2"/>
  <c r="M531" i="2"/>
  <c r="N531" i="2"/>
  <c r="O531" i="2"/>
  <c r="M532" i="2"/>
  <c r="N532" i="2"/>
  <c r="O532" i="2"/>
  <c r="M533" i="2"/>
  <c r="N533" i="2"/>
  <c r="O533" i="2"/>
  <c r="M534" i="2"/>
  <c r="N534" i="2"/>
  <c r="O534" i="2"/>
  <c r="M535" i="2"/>
  <c r="N535" i="2"/>
  <c r="O535" i="2"/>
  <c r="M536" i="2"/>
  <c r="N536" i="2"/>
  <c r="O536" i="2"/>
  <c r="M537" i="2"/>
  <c r="N537" i="2"/>
  <c r="O537" i="2"/>
  <c r="M538" i="2"/>
  <c r="N538" i="2"/>
  <c r="O538" i="2"/>
  <c r="M539" i="2"/>
  <c r="N539" i="2"/>
  <c r="O539" i="2"/>
  <c r="M540" i="2"/>
  <c r="N540" i="2"/>
  <c r="O540" i="2"/>
  <c r="M541" i="2"/>
  <c r="N541" i="2"/>
  <c r="O541" i="2"/>
  <c r="M542" i="2"/>
  <c r="N542" i="2"/>
  <c r="O542" i="2"/>
  <c r="M543" i="2"/>
  <c r="N543" i="2"/>
  <c r="O543" i="2"/>
  <c r="M544" i="2"/>
  <c r="N544" i="2"/>
  <c r="O544" i="2"/>
  <c r="M545" i="2"/>
  <c r="N545" i="2"/>
  <c r="O545" i="2"/>
  <c r="M546" i="2"/>
  <c r="N546" i="2"/>
  <c r="O546" i="2"/>
  <c r="M547" i="2"/>
  <c r="N547" i="2"/>
  <c r="O547" i="2"/>
  <c r="M548" i="2"/>
  <c r="N548" i="2"/>
  <c r="O548" i="2"/>
  <c r="M549" i="2"/>
  <c r="N549" i="2"/>
  <c r="O549" i="2"/>
  <c r="M550" i="2"/>
  <c r="N550" i="2"/>
  <c r="O550" i="2"/>
  <c r="M551" i="2"/>
  <c r="N551" i="2"/>
  <c r="O551" i="2"/>
  <c r="M552" i="2"/>
  <c r="N552" i="2"/>
  <c r="O552" i="2"/>
  <c r="M553" i="2"/>
  <c r="N553" i="2"/>
  <c r="O553" i="2"/>
  <c r="M554" i="2"/>
  <c r="N554" i="2"/>
  <c r="O554" i="2"/>
  <c r="M555" i="2"/>
  <c r="N555" i="2"/>
  <c r="O555" i="2"/>
  <c r="M556" i="2"/>
  <c r="N556" i="2"/>
  <c r="O556" i="2"/>
  <c r="M557" i="2"/>
  <c r="N557" i="2"/>
  <c r="O557" i="2"/>
  <c r="M558" i="2"/>
  <c r="N558" i="2"/>
  <c r="O558" i="2"/>
  <c r="M559" i="2"/>
  <c r="N559" i="2"/>
  <c r="O559" i="2"/>
  <c r="M560" i="2"/>
  <c r="N560" i="2"/>
  <c r="O560" i="2"/>
  <c r="M561" i="2"/>
  <c r="N561" i="2"/>
  <c r="O561" i="2"/>
  <c r="M562" i="2"/>
  <c r="N562" i="2"/>
  <c r="O562" i="2"/>
  <c r="M563" i="2"/>
  <c r="N563" i="2"/>
  <c r="O563" i="2"/>
  <c r="M564" i="2"/>
  <c r="N564" i="2"/>
  <c r="O564" i="2"/>
  <c r="M565" i="2"/>
  <c r="N565" i="2"/>
  <c r="O565" i="2"/>
  <c r="M566" i="2"/>
  <c r="N566" i="2"/>
  <c r="O566" i="2"/>
  <c r="M567" i="2"/>
  <c r="N567" i="2"/>
  <c r="O567" i="2"/>
  <c r="M568" i="2"/>
  <c r="N568" i="2"/>
  <c r="O568" i="2"/>
  <c r="M569" i="2"/>
  <c r="N569" i="2"/>
  <c r="O569" i="2"/>
  <c r="M570" i="2"/>
  <c r="N570" i="2"/>
  <c r="O570" i="2"/>
  <c r="M571" i="2"/>
  <c r="N571" i="2"/>
  <c r="O571" i="2"/>
  <c r="M572" i="2"/>
  <c r="N572" i="2"/>
  <c r="O572" i="2"/>
  <c r="M573" i="2"/>
  <c r="N573" i="2"/>
  <c r="O573" i="2"/>
  <c r="M574" i="2"/>
  <c r="N574" i="2"/>
  <c r="O574" i="2"/>
  <c r="M575" i="2"/>
  <c r="N575" i="2"/>
  <c r="O575" i="2"/>
  <c r="M576" i="2"/>
  <c r="N576" i="2"/>
  <c r="O576" i="2"/>
  <c r="M577" i="2"/>
  <c r="N577" i="2"/>
  <c r="O577" i="2"/>
  <c r="M578" i="2"/>
  <c r="N578" i="2"/>
  <c r="O578" i="2"/>
  <c r="M579" i="2"/>
  <c r="N579" i="2"/>
  <c r="O579" i="2"/>
  <c r="M580" i="2"/>
  <c r="N580" i="2"/>
  <c r="O580" i="2"/>
  <c r="M581" i="2"/>
  <c r="N581" i="2"/>
  <c r="O581" i="2"/>
  <c r="M582" i="2"/>
  <c r="N582" i="2"/>
  <c r="O582" i="2"/>
  <c r="M583" i="2"/>
  <c r="N583" i="2"/>
  <c r="O583" i="2"/>
  <c r="M584" i="2"/>
  <c r="N584" i="2"/>
  <c r="O584" i="2"/>
  <c r="M585" i="2"/>
  <c r="N585" i="2"/>
  <c r="O585" i="2"/>
  <c r="M586" i="2"/>
  <c r="N586" i="2"/>
  <c r="O586" i="2"/>
  <c r="M587" i="2"/>
  <c r="N587" i="2"/>
  <c r="O587" i="2"/>
  <c r="M588" i="2"/>
  <c r="N588" i="2"/>
  <c r="O588" i="2"/>
  <c r="M589" i="2"/>
  <c r="N589" i="2"/>
  <c r="O589" i="2"/>
  <c r="M590" i="2"/>
  <c r="N590" i="2"/>
  <c r="O590" i="2"/>
  <c r="M591" i="2"/>
  <c r="N591" i="2"/>
  <c r="O591" i="2"/>
  <c r="M592" i="2"/>
  <c r="N592" i="2"/>
  <c r="O592" i="2"/>
  <c r="M593" i="2"/>
  <c r="N593" i="2"/>
  <c r="O593" i="2"/>
  <c r="M594" i="2"/>
  <c r="N594" i="2"/>
  <c r="O594" i="2"/>
  <c r="M595" i="2"/>
  <c r="N595" i="2"/>
  <c r="O595" i="2"/>
  <c r="M596" i="2"/>
  <c r="N596" i="2"/>
  <c r="O596" i="2"/>
  <c r="M597" i="2"/>
  <c r="N597" i="2"/>
  <c r="O597" i="2"/>
  <c r="M598" i="2"/>
  <c r="N598" i="2"/>
  <c r="O598" i="2"/>
  <c r="M599" i="2"/>
  <c r="N599" i="2"/>
  <c r="O599" i="2"/>
  <c r="M600" i="2"/>
  <c r="N600" i="2"/>
  <c r="O600" i="2"/>
  <c r="M601" i="2"/>
  <c r="N601" i="2"/>
  <c r="O601" i="2"/>
  <c r="M602" i="2"/>
  <c r="N602" i="2"/>
  <c r="O602" i="2"/>
  <c r="M603" i="2"/>
  <c r="N603" i="2"/>
  <c r="O603" i="2"/>
  <c r="M604" i="2"/>
  <c r="N604" i="2"/>
  <c r="O604" i="2"/>
  <c r="M605" i="2"/>
  <c r="N605" i="2"/>
  <c r="O605" i="2"/>
  <c r="M606" i="2"/>
  <c r="N606" i="2"/>
  <c r="O606" i="2"/>
  <c r="M607" i="2"/>
  <c r="N607" i="2"/>
  <c r="O607" i="2"/>
  <c r="M608" i="2"/>
  <c r="N608" i="2"/>
  <c r="O608" i="2"/>
  <c r="M609" i="2"/>
  <c r="N609" i="2"/>
  <c r="O609" i="2"/>
  <c r="M610" i="2"/>
  <c r="N610" i="2"/>
  <c r="O610" i="2"/>
  <c r="M611" i="2"/>
  <c r="N611" i="2"/>
  <c r="O611" i="2"/>
  <c r="M612" i="2"/>
  <c r="N612" i="2"/>
  <c r="O612" i="2"/>
  <c r="M613" i="2"/>
  <c r="N613" i="2"/>
  <c r="O613" i="2"/>
  <c r="M614" i="2"/>
  <c r="N614" i="2"/>
  <c r="O614" i="2"/>
  <c r="M615" i="2"/>
  <c r="N615" i="2"/>
  <c r="O615" i="2"/>
  <c r="M616" i="2"/>
  <c r="N616" i="2"/>
  <c r="O616" i="2"/>
  <c r="M617" i="2"/>
  <c r="N617" i="2"/>
  <c r="O617" i="2"/>
  <c r="M618" i="2"/>
  <c r="N618" i="2"/>
  <c r="O618" i="2"/>
  <c r="M619" i="2"/>
  <c r="N619" i="2"/>
  <c r="O619" i="2"/>
  <c r="M620" i="2"/>
  <c r="N620" i="2"/>
  <c r="O620" i="2"/>
  <c r="M621" i="2"/>
  <c r="N621" i="2"/>
  <c r="M622" i="2"/>
  <c r="N622" i="2"/>
  <c r="O622" i="2"/>
  <c r="M623" i="2"/>
  <c r="N623" i="2"/>
  <c r="O623" i="2"/>
  <c r="M624" i="2"/>
  <c r="N624" i="2"/>
  <c r="O624" i="2"/>
  <c r="M625" i="2"/>
  <c r="N625" i="2"/>
  <c r="O625" i="2"/>
  <c r="M626" i="2"/>
  <c r="N626" i="2"/>
  <c r="O626" i="2"/>
  <c r="M627" i="2"/>
  <c r="N627" i="2"/>
  <c r="O627" i="2"/>
  <c r="M628" i="2"/>
  <c r="N628" i="2"/>
  <c r="O628" i="2"/>
  <c r="M629" i="2"/>
  <c r="N629" i="2"/>
  <c r="O629" i="2"/>
  <c r="M630" i="2"/>
  <c r="BW25" i="1" s="1"/>
  <c r="N630" i="2"/>
  <c r="BX25" i="1" s="1"/>
  <c r="O630" i="2"/>
  <c r="BY25" i="1" s="1"/>
  <c r="M631" i="2"/>
  <c r="N631" i="2"/>
  <c r="O631" i="2"/>
  <c r="M632" i="2"/>
  <c r="N632" i="2"/>
  <c r="O632" i="2"/>
  <c r="M633" i="2"/>
  <c r="BW26" i="1" s="1"/>
  <c r="N633" i="2"/>
  <c r="O633" i="2"/>
  <c r="BY26" i="1" s="1"/>
  <c r="M634" i="2"/>
  <c r="BW27" i="1" s="1"/>
  <c r="N634" i="2"/>
  <c r="BX27" i="1" s="1"/>
  <c r="O634" i="2"/>
  <c r="M635" i="2"/>
  <c r="N635" i="2"/>
  <c r="O635" i="2"/>
  <c r="M636" i="2"/>
  <c r="N636" i="2"/>
  <c r="O636" i="2"/>
  <c r="M637" i="2"/>
  <c r="BW28" i="1" s="1"/>
  <c r="N637" i="2"/>
  <c r="O637" i="2"/>
  <c r="BY28" i="1" s="1"/>
  <c r="M638" i="2"/>
  <c r="BW29" i="1" s="1"/>
  <c r="N638" i="2"/>
  <c r="BX29" i="1" s="1"/>
  <c r="O638" i="2"/>
  <c r="BY29" i="1" s="1"/>
  <c r="M639" i="2"/>
  <c r="BW30" i="1" s="1"/>
  <c r="N639" i="2"/>
  <c r="BX30" i="1" s="1"/>
  <c r="O639" i="2"/>
  <c r="BY30" i="1" s="1"/>
  <c r="M640" i="2"/>
  <c r="N640" i="2"/>
  <c r="O640" i="2"/>
  <c r="BY31" i="1" s="1"/>
  <c r="M641" i="2"/>
  <c r="BW32" i="1" s="1"/>
  <c r="N641" i="2"/>
  <c r="O641" i="2"/>
  <c r="M642" i="2"/>
  <c r="BW33" i="1" s="1"/>
  <c r="N642" i="2"/>
  <c r="BX33" i="1" s="1"/>
  <c r="O642" i="2"/>
  <c r="M643" i="2"/>
  <c r="BW34" i="1" s="1"/>
  <c r="N643" i="2"/>
  <c r="BX34" i="1" s="1"/>
  <c r="O643" i="2"/>
  <c r="BY34" i="1" s="1"/>
  <c r="M644" i="2"/>
  <c r="N644" i="2"/>
  <c r="O644" i="2"/>
  <c r="M645" i="2"/>
  <c r="BW35" i="1" s="1"/>
  <c r="N645" i="2"/>
  <c r="O645" i="2"/>
  <c r="BY35" i="1" s="1"/>
  <c r="M646" i="2"/>
  <c r="N646" i="2"/>
  <c r="O646" i="2"/>
  <c r="M647" i="2"/>
  <c r="N647" i="2"/>
  <c r="O647" i="2"/>
  <c r="M648" i="2"/>
  <c r="N648" i="2"/>
  <c r="O648" i="2"/>
  <c r="M649" i="2"/>
  <c r="N649" i="2"/>
  <c r="O649" i="2"/>
  <c r="M650" i="2"/>
  <c r="N650" i="2"/>
  <c r="O650" i="2"/>
  <c r="M651" i="2"/>
  <c r="N651" i="2"/>
  <c r="BX155" i="1" s="1"/>
  <c r="CF155" i="1" s="1"/>
  <c r="O651" i="2"/>
  <c r="BY155" i="1" s="1"/>
  <c r="CG155" i="1" s="1"/>
  <c r="M652" i="2"/>
  <c r="N652" i="2"/>
  <c r="O652" i="2"/>
  <c r="M653" i="2"/>
  <c r="N653" i="2"/>
  <c r="O653" i="2"/>
  <c r="M654" i="2"/>
  <c r="N654" i="2"/>
  <c r="O654" i="2"/>
  <c r="M655" i="2"/>
  <c r="BW156" i="1" s="1"/>
  <c r="CE156" i="1" s="1"/>
  <c r="N655" i="2"/>
  <c r="BX156" i="1" s="1"/>
  <c r="CF156" i="1" s="1"/>
  <c r="O655" i="2"/>
  <c r="BY156" i="1" s="1"/>
  <c r="CG156" i="1" s="1"/>
  <c r="M656" i="2"/>
  <c r="BW199" i="1" s="1"/>
  <c r="CE199" i="1" s="1"/>
  <c r="N656" i="2"/>
  <c r="BX199" i="1" s="1"/>
  <c r="CF199" i="1" s="1"/>
  <c r="O656" i="2"/>
  <c r="BY199" i="1" s="1"/>
  <c r="CG199" i="1" s="1"/>
  <c r="M657" i="2"/>
  <c r="N657" i="2"/>
  <c r="O657" i="2"/>
  <c r="M658" i="2"/>
  <c r="N658" i="2"/>
  <c r="O658" i="2"/>
  <c r="M659" i="2"/>
  <c r="N659" i="2"/>
  <c r="O659" i="2"/>
  <c r="M660" i="2"/>
  <c r="N660" i="2"/>
  <c r="O660" i="2"/>
  <c r="M661" i="2"/>
  <c r="BW187" i="1" s="1"/>
  <c r="CE187" i="1" s="1"/>
  <c r="N661" i="2"/>
  <c r="BX187" i="1" s="1"/>
  <c r="CF187" i="1" s="1"/>
  <c r="O661" i="2"/>
  <c r="BY187" i="1" s="1"/>
  <c r="CG187" i="1" s="1"/>
  <c r="M662" i="2"/>
  <c r="N662" i="2"/>
  <c r="O662" i="2"/>
  <c r="M663" i="2"/>
  <c r="N663" i="2"/>
  <c r="O663" i="2"/>
  <c r="M664" i="2"/>
  <c r="N664" i="2"/>
  <c r="O664" i="2"/>
  <c r="M665" i="2"/>
  <c r="N665" i="2"/>
  <c r="O665" i="2"/>
  <c r="M666" i="2"/>
  <c r="N666" i="2"/>
  <c r="O666" i="2"/>
  <c r="M667" i="2"/>
  <c r="N667" i="2"/>
  <c r="O667" i="2"/>
  <c r="M668" i="2"/>
  <c r="N668" i="2"/>
  <c r="O668" i="2"/>
  <c r="M669" i="2"/>
  <c r="N669" i="2"/>
  <c r="O669" i="2"/>
  <c r="M670" i="2"/>
  <c r="N670" i="2"/>
  <c r="O670" i="2"/>
  <c r="M671" i="2"/>
  <c r="N671" i="2"/>
  <c r="O671" i="2"/>
  <c r="M672" i="2"/>
  <c r="N672" i="2"/>
  <c r="O672" i="2"/>
  <c r="M673" i="2"/>
  <c r="N673" i="2"/>
  <c r="O673" i="2"/>
  <c r="M674" i="2"/>
  <c r="N674" i="2"/>
  <c r="O674" i="2"/>
  <c r="M675" i="2"/>
  <c r="N675" i="2"/>
  <c r="O675" i="2"/>
  <c r="M676" i="2"/>
  <c r="N676" i="2"/>
  <c r="O676" i="2"/>
  <c r="M677" i="2"/>
  <c r="N677" i="2"/>
  <c r="O677" i="2"/>
  <c r="M678" i="2"/>
  <c r="N678" i="2"/>
  <c r="O678" i="2"/>
  <c r="M679" i="2"/>
  <c r="N679" i="2"/>
  <c r="O679" i="2"/>
  <c r="M680" i="2"/>
  <c r="N680" i="2"/>
  <c r="O680" i="2"/>
  <c r="M681" i="2"/>
  <c r="N681" i="2"/>
  <c r="O681" i="2"/>
  <c r="M682" i="2"/>
  <c r="N682" i="2"/>
  <c r="O682" i="2"/>
  <c r="M683" i="2"/>
  <c r="N683" i="2"/>
  <c r="O683" i="2"/>
  <c r="M684" i="2"/>
  <c r="N684" i="2"/>
  <c r="O684" i="2"/>
  <c r="M685" i="2"/>
  <c r="N685" i="2"/>
  <c r="O685" i="2"/>
  <c r="M686" i="2"/>
  <c r="N686" i="2"/>
  <c r="O686" i="2"/>
  <c r="M687" i="2"/>
  <c r="N687" i="2"/>
  <c r="O687" i="2"/>
  <c r="M688" i="2"/>
  <c r="N688" i="2"/>
  <c r="O688" i="2"/>
  <c r="M689" i="2"/>
  <c r="N689" i="2"/>
  <c r="O689" i="2"/>
  <c r="M690" i="2"/>
  <c r="N690" i="2"/>
  <c r="O690" i="2"/>
  <c r="M691" i="2"/>
  <c r="N691" i="2"/>
  <c r="O691" i="2"/>
  <c r="M692" i="2"/>
  <c r="N692" i="2"/>
  <c r="O692" i="2"/>
  <c r="M693" i="2"/>
  <c r="N693" i="2"/>
  <c r="O693" i="2"/>
  <c r="M694" i="2"/>
  <c r="N694" i="2"/>
  <c r="O694" i="2"/>
  <c r="M695" i="2"/>
  <c r="N695" i="2"/>
  <c r="O695" i="2"/>
  <c r="M696" i="2"/>
  <c r="N696" i="2"/>
  <c r="O696" i="2"/>
  <c r="M697" i="2"/>
  <c r="N697" i="2"/>
  <c r="O697" i="2"/>
  <c r="M698" i="2"/>
  <c r="N698" i="2"/>
  <c r="O698" i="2"/>
  <c r="M699" i="2"/>
  <c r="N699" i="2"/>
  <c r="O699" i="2"/>
  <c r="M700" i="2"/>
  <c r="N700" i="2"/>
  <c r="O700" i="2"/>
  <c r="M701" i="2"/>
  <c r="N701" i="2"/>
  <c r="O701" i="2"/>
  <c r="M702" i="2"/>
  <c r="N702" i="2"/>
  <c r="O702" i="2"/>
  <c r="M703" i="2"/>
  <c r="N703" i="2"/>
  <c r="O703" i="2"/>
  <c r="M704" i="2"/>
  <c r="N704" i="2"/>
  <c r="O704" i="2"/>
  <c r="M705" i="2"/>
  <c r="N705" i="2"/>
  <c r="O705" i="2"/>
  <c r="M706" i="2"/>
  <c r="N706" i="2"/>
  <c r="O706" i="2"/>
  <c r="M707" i="2"/>
  <c r="N707" i="2"/>
  <c r="O707" i="2"/>
  <c r="M708" i="2"/>
  <c r="N708" i="2"/>
  <c r="O708" i="2"/>
  <c r="M709" i="2"/>
  <c r="N709" i="2"/>
  <c r="O709" i="2"/>
  <c r="M710" i="2"/>
  <c r="N710" i="2"/>
  <c r="O710" i="2"/>
  <c r="M711" i="2"/>
  <c r="N711" i="2"/>
  <c r="O711" i="2"/>
  <c r="M712" i="2"/>
  <c r="N712" i="2"/>
  <c r="O712" i="2"/>
  <c r="M713" i="2"/>
  <c r="N713" i="2"/>
  <c r="O713" i="2"/>
  <c r="M714" i="2"/>
  <c r="N714" i="2"/>
  <c r="O714" i="2"/>
  <c r="M715" i="2"/>
  <c r="N715" i="2"/>
  <c r="O715" i="2"/>
  <c r="M716" i="2"/>
  <c r="N716" i="2"/>
  <c r="O716" i="2"/>
  <c r="M717" i="2"/>
  <c r="N717" i="2"/>
  <c r="O717" i="2"/>
  <c r="M718" i="2"/>
  <c r="N718" i="2"/>
  <c r="O718" i="2"/>
  <c r="M719" i="2"/>
  <c r="N719" i="2"/>
  <c r="O719" i="2"/>
  <c r="M720" i="2"/>
  <c r="N720" i="2"/>
  <c r="O720" i="2"/>
  <c r="M721" i="2"/>
  <c r="N721" i="2"/>
  <c r="O721" i="2"/>
  <c r="M722" i="2"/>
  <c r="N722" i="2"/>
  <c r="O722" i="2"/>
  <c r="M723" i="2"/>
  <c r="N723" i="2"/>
  <c r="O723" i="2"/>
  <c r="M724" i="2"/>
  <c r="N724" i="2"/>
  <c r="BX91" i="1" s="1"/>
  <c r="O724" i="2"/>
  <c r="M725" i="2"/>
  <c r="N725" i="2"/>
  <c r="O725" i="2"/>
  <c r="BY92" i="1" s="1"/>
  <c r="M726" i="2"/>
  <c r="N726" i="2"/>
  <c r="O726" i="2"/>
  <c r="M727" i="2"/>
  <c r="N727" i="2"/>
  <c r="O727" i="2"/>
  <c r="M728" i="2"/>
  <c r="N728" i="2"/>
  <c r="O728" i="2"/>
  <c r="M729" i="2"/>
  <c r="N729" i="2"/>
  <c r="O729" i="2"/>
  <c r="M730" i="2"/>
  <c r="N730" i="2"/>
  <c r="O730" i="2"/>
  <c r="M731" i="2"/>
  <c r="N731" i="2"/>
  <c r="O731" i="2"/>
  <c r="M732" i="2"/>
  <c r="N732" i="2"/>
  <c r="O732" i="2"/>
  <c r="M733" i="2"/>
  <c r="N733" i="2"/>
  <c r="O733" i="2"/>
  <c r="M734" i="2"/>
  <c r="N734" i="2"/>
  <c r="O734" i="2"/>
  <c r="M735" i="2"/>
  <c r="N735" i="2"/>
  <c r="O735" i="2"/>
  <c r="M736" i="2"/>
  <c r="N736" i="2"/>
  <c r="O736" i="2"/>
  <c r="M737" i="2"/>
  <c r="N737" i="2"/>
  <c r="O737" i="2"/>
  <c r="M738" i="2"/>
  <c r="N738" i="2"/>
  <c r="O738" i="2"/>
  <c r="O4" i="2"/>
  <c r="N4" i="2"/>
  <c r="AW52" i="117" l="1"/>
  <c r="AW50" i="117"/>
  <c r="AW51" i="117"/>
  <c r="AW49" i="117"/>
  <c r="BB49" i="117" s="1"/>
  <c r="BC49" i="117" s="1"/>
  <c r="AW41" i="117"/>
  <c r="AW40" i="117"/>
  <c r="BB40" i="117" s="1"/>
  <c r="AW87" i="117"/>
  <c r="BB87" i="117" s="1"/>
  <c r="AW66" i="117"/>
  <c r="BB66" i="117" s="1"/>
  <c r="BC66" i="117" s="1"/>
  <c r="AW55" i="117"/>
  <c r="AW53" i="117"/>
  <c r="BB53" i="117" s="1"/>
  <c r="BC53" i="117" s="1"/>
  <c r="AW48" i="117"/>
  <c r="AW54" i="117"/>
  <c r="BB54" i="117" s="1"/>
  <c r="BC54" i="117" s="1"/>
  <c r="AW42" i="117"/>
  <c r="AW43" i="117"/>
  <c r="BB43" i="117" s="1"/>
  <c r="R60" i="117"/>
  <c r="AS107" i="1"/>
  <c r="BY21" i="1"/>
  <c r="BY54" i="1"/>
  <c r="CG54" i="1" s="1"/>
  <c r="BX53" i="1"/>
  <c r="CF53" i="1" s="1"/>
  <c r="BY50" i="1"/>
  <c r="CG50" i="1" s="1"/>
  <c r="BY47" i="1"/>
  <c r="CG47" i="1" s="1"/>
  <c r="BX46" i="1"/>
  <c r="CF46" i="1" s="1"/>
  <c r="BY43" i="1"/>
  <c r="CG43" i="1" s="1"/>
  <c r="BX42" i="1"/>
  <c r="CF42" i="1" s="1"/>
  <c r="BY39" i="1"/>
  <c r="CG39" i="1" s="1"/>
  <c r="CC17" i="1"/>
  <c r="CC54" i="1"/>
  <c r="CK54" i="1" s="1"/>
  <c r="CB53" i="1"/>
  <c r="CJ53" i="1" s="1"/>
  <c r="CA52" i="1"/>
  <c r="CI52" i="1" s="1"/>
  <c r="CC50" i="1"/>
  <c r="CK50" i="1" s="1"/>
  <c r="CA49" i="1"/>
  <c r="CI49" i="1" s="1"/>
  <c r="CC47" i="1"/>
  <c r="CK47" i="1" s="1"/>
  <c r="CB46" i="1"/>
  <c r="CJ46" i="1" s="1"/>
  <c r="CA45" i="1"/>
  <c r="CI45" i="1" s="1"/>
  <c r="CC43" i="1"/>
  <c r="CB42" i="1"/>
  <c r="CA41" i="1"/>
  <c r="CC39" i="1"/>
  <c r="CK39" i="1" s="1"/>
  <c r="BB42" i="117"/>
  <c r="BB41" i="117"/>
  <c r="AE41" i="117"/>
  <c r="V41" i="117"/>
  <c r="Z41" i="117" s="1"/>
  <c r="AF113" i="117"/>
  <c r="AE40" i="117"/>
  <c r="V40" i="117"/>
  <c r="V42" i="117"/>
  <c r="Z42" i="117" s="1"/>
  <c r="AE42" i="117"/>
  <c r="AY42" i="117" s="1"/>
  <c r="V87" i="117"/>
  <c r="Z87" i="117" s="1"/>
  <c r="AE87" i="117"/>
  <c r="AE43" i="117"/>
  <c r="V43" i="117"/>
  <c r="Z43" i="117" s="1"/>
  <c r="AX87" i="117"/>
  <c r="BX75" i="1"/>
  <c r="BW88" i="1"/>
  <c r="BW52" i="1"/>
  <c r="CE52" i="1" s="1"/>
  <c r="BW49" i="1"/>
  <c r="CE49" i="1" s="1"/>
  <c r="BW45" i="1"/>
  <c r="CE45" i="1" s="1"/>
  <c r="BW41" i="1"/>
  <c r="CE41" i="1" s="1"/>
  <c r="BW74" i="1"/>
  <c r="BW70" i="1"/>
  <c r="BW84" i="1"/>
  <c r="BW78" i="1"/>
  <c r="CE78" i="1" s="1"/>
  <c r="CB38" i="1"/>
  <c r="CJ38" i="1" s="1"/>
  <c r="BW7" i="1"/>
  <c r="CA7" i="1"/>
  <c r="BX71" i="1"/>
  <c r="BY66" i="1"/>
  <c r="CG66" i="1" s="1"/>
  <c r="CC9" i="1"/>
  <c r="CC63" i="1"/>
  <c r="BX7" i="1"/>
  <c r="BW63" i="1"/>
  <c r="AX42" i="117"/>
  <c r="AX41" i="117"/>
  <c r="BB59" i="117"/>
  <c r="BC59" i="117" s="1"/>
  <c r="BB52" i="117"/>
  <c r="BC52" i="117" s="1"/>
  <c r="BB48" i="117"/>
  <c r="BC48" i="117" s="1"/>
  <c r="BB57" i="117"/>
  <c r="BC57" i="117" s="1"/>
  <c r="BB55" i="117"/>
  <c r="BC55" i="117" s="1"/>
  <c r="BB58" i="117"/>
  <c r="BC58" i="117" s="1"/>
  <c r="BB56" i="117"/>
  <c r="BB51" i="117"/>
  <c r="BC51" i="117" s="1"/>
  <c r="CB76" i="1"/>
  <c r="CB75" i="1"/>
  <c r="CB156" i="1"/>
  <c r="CJ156" i="1" s="1"/>
  <c r="CB155" i="1"/>
  <c r="CJ155" i="1" s="1"/>
  <c r="BX15" i="1"/>
  <c r="BX209" i="1"/>
  <c r="CF209" i="1" s="1"/>
  <c r="BW208" i="1"/>
  <c r="CE208" i="1" s="1"/>
  <c r="BX5" i="1"/>
  <c r="BX200" i="1"/>
  <c r="CF200" i="1" s="1"/>
  <c r="CB15" i="1"/>
  <c r="CB209" i="1"/>
  <c r="CJ209" i="1" s="1"/>
  <c r="CA208" i="1"/>
  <c r="CI208" i="1" s="1"/>
  <c r="CC201" i="1"/>
  <c r="CK201" i="1" s="1"/>
  <c r="CB5" i="1"/>
  <c r="CB200" i="1"/>
  <c r="CJ200" i="1" s="1"/>
  <c r="CC156" i="1"/>
  <c r="CK156" i="1" s="1"/>
  <c r="CC155" i="1"/>
  <c r="CK155" i="1" s="1"/>
  <c r="Y11" i="30"/>
  <c r="Z11" i="30" s="1"/>
  <c r="CK154" i="1"/>
  <c r="CL154" i="1"/>
  <c r="CA154" i="1"/>
  <c r="CI154" i="1" s="1"/>
  <c r="CJ154" i="1"/>
  <c r="CL150" i="1"/>
  <c r="CA150" i="1"/>
  <c r="CI150" i="1" s="1"/>
  <c r="CJ150" i="1"/>
  <c r="CK150" i="1"/>
  <c r="CA146" i="1"/>
  <c r="CL142" i="1"/>
  <c r="CA142" i="1"/>
  <c r="CI142" i="1" s="1"/>
  <c r="CJ142" i="1"/>
  <c r="CK142" i="1"/>
  <c r="CL141" i="1"/>
  <c r="CA141" i="1"/>
  <c r="CI141" i="1" s="1"/>
  <c r="CJ141" i="1"/>
  <c r="CK141" i="1"/>
  <c r="CL133" i="1"/>
  <c r="CA133" i="1"/>
  <c r="CI133" i="1" s="1"/>
  <c r="CJ133" i="1"/>
  <c r="CK133" i="1"/>
  <c r="CL128" i="1"/>
  <c r="CA128" i="1"/>
  <c r="CI128" i="1" s="1"/>
  <c r="CJ128" i="1"/>
  <c r="CK128" i="1"/>
  <c r="CL124" i="1"/>
  <c r="CA124" i="1"/>
  <c r="CI124" i="1" s="1"/>
  <c r="CJ124" i="1"/>
  <c r="CK124" i="1"/>
  <c r="CL122" i="1"/>
  <c r="CA122" i="1"/>
  <c r="CI122" i="1" s="1"/>
  <c r="CJ122" i="1"/>
  <c r="CK122" i="1"/>
  <c r="CL118" i="1"/>
  <c r="CA118" i="1"/>
  <c r="CI118" i="1" s="1"/>
  <c r="CJ118" i="1"/>
  <c r="CK118" i="1"/>
  <c r="CL116" i="1"/>
  <c r="CA116" i="1"/>
  <c r="CI116" i="1" s="1"/>
  <c r="CJ116" i="1"/>
  <c r="CK116" i="1"/>
  <c r="CL112" i="1"/>
  <c r="CA112" i="1"/>
  <c r="CI112" i="1" s="1"/>
  <c r="CJ112" i="1"/>
  <c r="CK112" i="1"/>
  <c r="CL110" i="1"/>
  <c r="CA110" i="1"/>
  <c r="CI110" i="1" s="1"/>
  <c r="CJ110" i="1"/>
  <c r="CK110" i="1"/>
  <c r="BW97" i="1"/>
  <c r="BW155" i="1"/>
  <c r="CE155" i="1" s="1"/>
  <c r="CK153" i="1"/>
  <c r="CL153" i="1"/>
  <c r="CA153" i="1"/>
  <c r="CI153" i="1" s="1"/>
  <c r="CJ153" i="1"/>
  <c r="CL151" i="1"/>
  <c r="CA151" i="1"/>
  <c r="CI151" i="1" s="1"/>
  <c r="CJ151" i="1"/>
  <c r="CK151" i="1"/>
  <c r="CL147" i="1"/>
  <c r="CA147" i="1"/>
  <c r="CI147" i="1" s="1"/>
  <c r="CJ147" i="1"/>
  <c r="CK147" i="1"/>
  <c r="CL143" i="1"/>
  <c r="CA143" i="1"/>
  <c r="CI143" i="1" s="1"/>
  <c r="CJ143" i="1"/>
  <c r="CK143" i="1"/>
  <c r="CL137" i="1"/>
  <c r="CA137" i="1"/>
  <c r="CI137" i="1" s="1"/>
  <c r="CJ137" i="1"/>
  <c r="CK137" i="1"/>
  <c r="CL134" i="1"/>
  <c r="CA134" i="1"/>
  <c r="CI134" i="1" s="1"/>
  <c r="CJ134" i="1"/>
  <c r="CK134" i="1"/>
  <c r="CL129" i="1"/>
  <c r="CA129" i="1"/>
  <c r="CI129" i="1" s="1"/>
  <c r="CJ129" i="1"/>
  <c r="CK129" i="1"/>
  <c r="CL125" i="1"/>
  <c r="CA125" i="1"/>
  <c r="CI125" i="1" s="1"/>
  <c r="CJ125" i="1"/>
  <c r="CK125" i="1"/>
  <c r="CA123" i="1"/>
  <c r="CL119" i="1"/>
  <c r="CA119" i="1"/>
  <c r="CI119" i="1" s="1"/>
  <c r="CJ119" i="1"/>
  <c r="CK119" i="1"/>
  <c r="CL113" i="1"/>
  <c r="CA113" i="1"/>
  <c r="CI113" i="1" s="1"/>
  <c r="CJ113" i="1"/>
  <c r="CK113" i="1"/>
  <c r="CL148" i="1"/>
  <c r="CA148" i="1"/>
  <c r="CI148" i="1" s="1"/>
  <c r="CJ148" i="1"/>
  <c r="CK148" i="1"/>
  <c r="CL144" i="1"/>
  <c r="CA144" i="1"/>
  <c r="CI144" i="1" s="1"/>
  <c r="CJ144" i="1"/>
  <c r="CK144" i="1"/>
  <c r="CL139" i="1"/>
  <c r="CA139" i="1"/>
  <c r="CI139" i="1" s="1"/>
  <c r="CJ139" i="1"/>
  <c r="CK139" i="1"/>
  <c r="CL138" i="1"/>
  <c r="CA138" i="1"/>
  <c r="CI138" i="1" s="1"/>
  <c r="CJ138" i="1"/>
  <c r="CK138" i="1"/>
  <c r="CL135" i="1"/>
  <c r="CA135" i="1"/>
  <c r="CI135" i="1" s="1"/>
  <c r="CJ135" i="1"/>
  <c r="CK135" i="1"/>
  <c r="CL131" i="1"/>
  <c r="CA131" i="1"/>
  <c r="CI131" i="1" s="1"/>
  <c r="CJ131" i="1"/>
  <c r="CK131" i="1"/>
  <c r="CL130" i="1"/>
  <c r="CA130" i="1"/>
  <c r="CI130" i="1" s="1"/>
  <c r="CJ130" i="1"/>
  <c r="CK130" i="1"/>
  <c r="CL126" i="1"/>
  <c r="CA126" i="1"/>
  <c r="CI126" i="1" s="1"/>
  <c r="CJ126" i="1"/>
  <c r="CK126" i="1"/>
  <c r="CL120" i="1"/>
  <c r="CA120" i="1"/>
  <c r="CI120" i="1" s="1"/>
  <c r="CJ120" i="1"/>
  <c r="CK120" i="1"/>
  <c r="CL114" i="1"/>
  <c r="CA114" i="1"/>
  <c r="CI114" i="1" s="1"/>
  <c r="CJ114" i="1"/>
  <c r="CK114" i="1"/>
  <c r="CL152" i="1"/>
  <c r="CA152" i="1"/>
  <c r="CI152" i="1" s="1"/>
  <c r="CJ152" i="1"/>
  <c r="CK152" i="1"/>
  <c r="CL149" i="1"/>
  <c r="CA149" i="1"/>
  <c r="CI149" i="1" s="1"/>
  <c r="CJ149" i="1"/>
  <c r="CK149" i="1"/>
  <c r="CL145" i="1"/>
  <c r="CA145" i="1"/>
  <c r="CI145" i="1" s="1"/>
  <c r="CJ145" i="1"/>
  <c r="CK145" i="1"/>
  <c r="CL140" i="1"/>
  <c r="CA140" i="1"/>
  <c r="CI140" i="1" s="1"/>
  <c r="CJ140" i="1"/>
  <c r="CK140" i="1"/>
  <c r="CL136" i="1"/>
  <c r="CA136" i="1"/>
  <c r="CI136" i="1" s="1"/>
  <c r="CJ136" i="1"/>
  <c r="CK136" i="1"/>
  <c r="CL132" i="1"/>
  <c r="CA132" i="1"/>
  <c r="CI132" i="1" s="1"/>
  <c r="CJ132" i="1"/>
  <c r="CK132" i="1"/>
  <c r="CL127" i="1"/>
  <c r="CA127" i="1"/>
  <c r="CI127" i="1" s="1"/>
  <c r="CJ127" i="1"/>
  <c r="CK127" i="1"/>
  <c r="CL121" i="1"/>
  <c r="CA121" i="1"/>
  <c r="CI121" i="1" s="1"/>
  <c r="CJ121" i="1"/>
  <c r="CK121" i="1"/>
  <c r="CL117" i="1"/>
  <c r="CA117" i="1"/>
  <c r="CI117" i="1" s="1"/>
  <c r="CJ117" i="1"/>
  <c r="CK117" i="1"/>
  <c r="CL115" i="1"/>
  <c r="CA115" i="1"/>
  <c r="CI115" i="1" s="1"/>
  <c r="CJ115" i="1"/>
  <c r="CK115" i="1"/>
  <c r="CL111" i="1"/>
  <c r="CA111" i="1"/>
  <c r="CI111" i="1" s="1"/>
  <c r="CJ111" i="1"/>
  <c r="CK111" i="1"/>
  <c r="CB80" i="1"/>
  <c r="CC77" i="1"/>
  <c r="CB21" i="1"/>
  <c r="CC18" i="1"/>
  <c r="CC55" i="1"/>
  <c r="CK55" i="1" s="1"/>
  <c r="CB54" i="1"/>
  <c r="CJ54" i="1" s="1"/>
  <c r="CA53" i="1"/>
  <c r="CI53" i="1" s="1"/>
  <c r="CC51" i="1"/>
  <c r="CK51" i="1" s="1"/>
  <c r="CB50" i="1"/>
  <c r="CJ50" i="1" s="1"/>
  <c r="CC44" i="1"/>
  <c r="CK44" i="1" s="1"/>
  <c r="CA42" i="1"/>
  <c r="CB39" i="1"/>
  <c r="CJ39" i="1" s="1"/>
  <c r="CA74" i="1"/>
  <c r="CC72" i="1"/>
  <c r="CB71" i="1"/>
  <c r="CA70" i="1"/>
  <c r="CC66" i="1"/>
  <c r="BY15" i="1"/>
  <c r="BY5" i="1"/>
  <c r="BY76" i="1"/>
  <c r="CG76" i="1" s="1"/>
  <c r="BW10" i="1"/>
  <c r="CE10" i="1" s="1"/>
  <c r="BY75" i="1"/>
  <c r="BW73" i="1"/>
  <c r="BY71" i="1"/>
  <c r="CA84" i="1"/>
  <c r="CA82" i="1"/>
  <c r="CC80" i="1"/>
  <c r="CA78" i="1"/>
  <c r="CA44" i="1"/>
  <c r="CI44" i="1" s="1"/>
  <c r="CC42" i="1"/>
  <c r="CB41" i="1"/>
  <c r="CA40" i="1"/>
  <c r="CC38" i="1"/>
  <c r="CK38" i="1" s="1"/>
  <c r="CC15" i="1"/>
  <c r="CC5" i="1"/>
  <c r="CC76" i="1"/>
  <c r="CA10" i="1"/>
  <c r="CC75" i="1"/>
  <c r="CB74" i="1"/>
  <c r="CA73" i="1"/>
  <c r="CC71" i="1"/>
  <c r="CB70" i="1"/>
  <c r="BY70" i="1"/>
  <c r="BY91" i="1"/>
  <c r="CA55" i="1"/>
  <c r="CI55" i="1" s="1"/>
  <c r="CC53" i="1"/>
  <c r="CK53" i="1" s="1"/>
  <c r="CB52" i="1"/>
  <c r="CJ52" i="1" s="1"/>
  <c r="CA51" i="1"/>
  <c r="CI51" i="1" s="1"/>
  <c r="CB49" i="1"/>
  <c r="CJ49" i="1" s="1"/>
  <c r="CA15" i="1"/>
  <c r="CA5" i="1"/>
  <c r="CA75" i="1"/>
  <c r="CA71" i="1"/>
  <c r="BW66" i="1"/>
  <c r="CE66" i="1" s="1"/>
  <c r="BX94" i="1"/>
  <c r="BX90" i="1"/>
  <c r="BX84" i="1"/>
  <c r="BX78" i="1"/>
  <c r="CF78" i="1" s="1"/>
  <c r="BX74" i="1"/>
  <c r="BX70" i="1"/>
  <c r="BX10" i="1"/>
  <c r="CF10" i="1" s="1"/>
  <c r="BY95" i="1"/>
  <c r="CA95" i="1"/>
  <c r="BX21" i="1"/>
  <c r="BY18" i="1"/>
  <c r="BY55" i="1"/>
  <c r="CG55" i="1" s="1"/>
  <c r="BX54" i="1"/>
  <c r="CF54" i="1" s="1"/>
  <c r="BW53" i="1"/>
  <c r="CE53" i="1" s="1"/>
  <c r="BY51" i="1"/>
  <c r="CG51" i="1" s="1"/>
  <c r="BX50" i="1"/>
  <c r="CF50" i="1" s="1"/>
  <c r="BY44" i="1"/>
  <c r="CG44" i="1" s="1"/>
  <c r="BW42" i="1"/>
  <c r="CE42" i="1" s="1"/>
  <c r="BX39" i="1"/>
  <c r="CF39" i="1" s="1"/>
  <c r="BW15" i="1"/>
  <c r="BW5" i="1"/>
  <c r="BW71" i="1"/>
  <c r="CA92" i="1"/>
  <c r="BW93" i="1"/>
  <c r="BY97" i="1"/>
  <c r="BW96" i="1"/>
  <c r="BY94" i="1"/>
  <c r="BX93" i="1"/>
  <c r="BW92" i="1"/>
  <c r="BY90" i="1"/>
  <c r="BY88" i="1"/>
  <c r="BY84" i="1"/>
  <c r="BY82" i="1"/>
  <c r="BX81" i="1"/>
  <c r="BW80" i="1"/>
  <c r="BY78" i="1"/>
  <c r="CG78" i="1" s="1"/>
  <c r="BW23" i="1"/>
  <c r="BW21" i="1"/>
  <c r="BX18" i="1"/>
  <c r="BW17" i="1"/>
  <c r="BX55" i="1"/>
  <c r="CF55" i="1" s="1"/>
  <c r="BW54" i="1"/>
  <c r="CE54" i="1" s="1"/>
  <c r="BY52" i="1"/>
  <c r="CG52" i="1" s="1"/>
  <c r="BX51" i="1"/>
  <c r="CF51" i="1" s="1"/>
  <c r="BW50" i="1"/>
  <c r="CE50" i="1" s="1"/>
  <c r="BY49" i="1"/>
  <c r="CG49" i="1" s="1"/>
  <c r="BX44" i="1"/>
  <c r="CF44" i="1" s="1"/>
  <c r="BY41" i="1"/>
  <c r="CG41" i="1" s="1"/>
  <c r="BX40" i="1"/>
  <c r="CF40" i="1" s="1"/>
  <c r="BW39" i="1"/>
  <c r="CE39" i="1" s="1"/>
  <c r="CB97" i="1"/>
  <c r="CC95" i="1"/>
  <c r="CC91" i="1"/>
  <c r="CB88" i="1"/>
  <c r="CB84" i="1"/>
  <c r="CB82" i="1"/>
  <c r="CA81" i="1"/>
  <c r="CB78" i="1"/>
  <c r="CA21" i="1"/>
  <c r="CB18" i="1"/>
  <c r="CB55" i="1"/>
  <c r="CJ55" i="1" s="1"/>
  <c r="CA54" i="1"/>
  <c r="CI54" i="1" s="1"/>
  <c r="CC52" i="1"/>
  <c r="CK52" i="1" s="1"/>
  <c r="CB51" i="1"/>
  <c r="CJ51" i="1" s="1"/>
  <c r="CA50" i="1"/>
  <c r="CI50" i="1" s="1"/>
  <c r="CC49" i="1"/>
  <c r="CK49" i="1" s="1"/>
  <c r="CB44" i="1"/>
  <c r="CJ44" i="1" s="1"/>
  <c r="CC41" i="1"/>
  <c r="CB40" i="1"/>
  <c r="CA39" i="1"/>
  <c r="CI39" i="1" s="1"/>
  <c r="CB10" i="1"/>
  <c r="CC70" i="1"/>
  <c r="BY22" i="1"/>
  <c r="BW18" i="1"/>
  <c r="BW55" i="1"/>
  <c r="CE55" i="1" s="1"/>
  <c r="BY53" i="1"/>
  <c r="CG53" i="1" s="1"/>
  <c r="BX52" i="1"/>
  <c r="CF52" i="1" s="1"/>
  <c r="BW51" i="1"/>
  <c r="CE51" i="1" s="1"/>
  <c r="BX49" i="1"/>
  <c r="CF49" i="1" s="1"/>
  <c r="BY46" i="1"/>
  <c r="CG46" i="1" s="1"/>
  <c r="BX45" i="1"/>
  <c r="CF45" i="1" s="1"/>
  <c r="BW44" i="1"/>
  <c r="CE44" i="1" s="1"/>
  <c r="BY42" i="1"/>
  <c r="CG42" i="1" s="1"/>
  <c r="BX41" i="1"/>
  <c r="CF41" i="1" s="1"/>
  <c r="BW40" i="1"/>
  <c r="CE40" i="1" s="1"/>
  <c r="BY38" i="1"/>
  <c r="CG38" i="1" s="1"/>
  <c r="CA97" i="1"/>
  <c r="CC96" i="1"/>
  <c r="CB95" i="1"/>
  <c r="CA94" i="1"/>
  <c r="CC92" i="1"/>
  <c r="CB91" i="1"/>
  <c r="CA90" i="1"/>
  <c r="CA88" i="1"/>
  <c r="CA18" i="1"/>
  <c r="BY96" i="1"/>
  <c r="BW82" i="1"/>
  <c r="BX79" i="1"/>
  <c r="BX96" i="1"/>
  <c r="BW95" i="1"/>
  <c r="BX92" i="1"/>
  <c r="BW91" i="1"/>
  <c r="BY81" i="1"/>
  <c r="BX80" i="1"/>
  <c r="BW79" i="1"/>
  <c r="BY33" i="1"/>
  <c r="BX28" i="1"/>
  <c r="BW22" i="1"/>
  <c r="BW20" i="1"/>
  <c r="BY48" i="1"/>
  <c r="CG48" i="1" s="1"/>
  <c r="BX47" i="1"/>
  <c r="CF47" i="1" s="1"/>
  <c r="BW46" i="1"/>
  <c r="CE46" i="1" s="1"/>
  <c r="BX43" i="1"/>
  <c r="CF43" i="1" s="1"/>
  <c r="BY40" i="1"/>
  <c r="CG40" i="1" s="1"/>
  <c r="BW38" i="1"/>
  <c r="CE38" i="1" s="1"/>
  <c r="BY36" i="1"/>
  <c r="CG36" i="1" s="1"/>
  <c r="BW75" i="1"/>
  <c r="BY69" i="1"/>
  <c r="BX6" i="1"/>
  <c r="BX12" i="1"/>
  <c r="BW11" i="1"/>
  <c r="BW109" i="1"/>
  <c r="CE109" i="1" s="1"/>
  <c r="BX61" i="1"/>
  <c r="BW60" i="1"/>
  <c r="BY58" i="1"/>
  <c r="CA96" i="1"/>
  <c r="CC90" i="1"/>
  <c r="CC82" i="1"/>
  <c r="CB81" i="1"/>
  <c r="CA80" i="1"/>
  <c r="CC34" i="1"/>
  <c r="CB33" i="1"/>
  <c r="CA28" i="1"/>
  <c r="CA22" i="1"/>
  <c r="CA20" i="1"/>
  <c r="CC48" i="1"/>
  <c r="CK48" i="1" s="1"/>
  <c r="CB47" i="1"/>
  <c r="CJ47" i="1" s="1"/>
  <c r="CA46" i="1"/>
  <c r="CI46" i="1" s="1"/>
  <c r="CB43" i="1"/>
  <c r="CC40" i="1"/>
  <c r="CA38" i="1"/>
  <c r="CI38" i="1" s="1"/>
  <c r="CC36" i="1"/>
  <c r="CK36" i="1" s="1"/>
  <c r="CC69" i="1"/>
  <c r="CB6" i="1"/>
  <c r="CB12" i="1"/>
  <c r="CA11" i="1"/>
  <c r="CA109" i="1"/>
  <c r="CI109" i="1" s="1"/>
  <c r="CB61" i="1"/>
  <c r="CA60" i="1"/>
  <c r="CC58" i="1"/>
  <c r="BX77" i="1"/>
  <c r="CF77" i="1" s="1"/>
  <c r="BY19" i="1"/>
  <c r="BX48" i="1"/>
  <c r="CF48" i="1" s="1"/>
  <c r="BW47" i="1"/>
  <c r="CE47" i="1" s="1"/>
  <c r="BY45" i="1"/>
  <c r="CG45" i="1" s="1"/>
  <c r="BW43" i="1"/>
  <c r="CE43" i="1" s="1"/>
  <c r="BY37" i="1"/>
  <c r="CG37" i="1" s="1"/>
  <c r="BX36" i="1"/>
  <c r="CF36" i="1" s="1"/>
  <c r="BY74" i="1"/>
  <c r="BX73" i="1"/>
  <c r="BW72" i="1"/>
  <c r="BX69" i="1"/>
  <c r="BY68" i="1"/>
  <c r="BX67" i="1"/>
  <c r="BW6" i="1"/>
  <c r="BY14" i="1"/>
  <c r="BW12" i="1"/>
  <c r="BW9" i="1"/>
  <c r="BY8" i="1"/>
  <c r="BW61" i="1"/>
  <c r="BY59" i="1"/>
  <c r="BW57" i="1"/>
  <c r="CE57" i="1" s="1"/>
  <c r="CB90" i="1"/>
  <c r="CC79" i="1"/>
  <c r="CA77" i="1"/>
  <c r="CA33" i="1"/>
  <c r="CC19" i="1"/>
  <c r="CB48" i="1"/>
  <c r="CJ48" i="1" s="1"/>
  <c r="CA47" i="1"/>
  <c r="CI47" i="1" s="1"/>
  <c r="CC45" i="1"/>
  <c r="CK45" i="1" s="1"/>
  <c r="CA43" i="1"/>
  <c r="CC37" i="1"/>
  <c r="CK37" i="1" s="1"/>
  <c r="CB36" i="1"/>
  <c r="CJ36" i="1" s="1"/>
  <c r="CC74" i="1"/>
  <c r="CB69" i="1"/>
  <c r="CC68" i="1"/>
  <c r="CB67" i="1"/>
  <c r="CA6" i="1"/>
  <c r="CC14" i="1"/>
  <c r="CA12" i="1"/>
  <c r="CA9" i="1"/>
  <c r="CA61" i="1"/>
  <c r="CC59" i="1"/>
  <c r="CB58" i="1"/>
  <c r="BX82" i="1"/>
  <c r="BW81" i="1"/>
  <c r="BY79" i="1"/>
  <c r="BW77" i="1"/>
  <c r="CE77" i="1" s="1"/>
  <c r="BY20" i="1"/>
  <c r="BX19" i="1"/>
  <c r="BY16" i="1"/>
  <c r="BW48" i="1"/>
  <c r="CE48" i="1" s="1"/>
  <c r="BX37" i="1"/>
  <c r="CF37" i="1" s="1"/>
  <c r="BW36" i="1"/>
  <c r="CE36" i="1" s="1"/>
  <c r="BW69" i="1"/>
  <c r="BX68" i="1"/>
  <c r="BW67" i="1"/>
  <c r="BX14" i="1"/>
  <c r="BY11" i="1"/>
  <c r="BY109" i="1"/>
  <c r="CG109" i="1" s="1"/>
  <c r="BX8" i="1"/>
  <c r="BY60" i="1"/>
  <c r="BX59" i="1"/>
  <c r="BW58" i="1"/>
  <c r="BY56" i="1"/>
  <c r="CG56" i="1" s="1"/>
  <c r="CB79" i="1"/>
  <c r="CC28" i="1"/>
  <c r="CC22" i="1"/>
  <c r="CC20" i="1"/>
  <c r="CB19" i="1"/>
  <c r="CC16" i="1"/>
  <c r="CA48" i="1"/>
  <c r="CI48" i="1" s="1"/>
  <c r="CC46" i="1"/>
  <c r="CK46" i="1" s="1"/>
  <c r="CB45" i="1"/>
  <c r="CJ45" i="1" s="1"/>
  <c r="CB37" i="1"/>
  <c r="CJ37" i="1" s="1"/>
  <c r="CA36" i="1"/>
  <c r="CI36" i="1" s="1"/>
  <c r="CA69" i="1"/>
  <c r="CB68" i="1"/>
  <c r="CA67" i="1"/>
  <c r="CB14" i="1"/>
  <c r="CC11" i="1"/>
  <c r="CC109" i="1"/>
  <c r="CK109" i="1" s="1"/>
  <c r="CB8" i="1"/>
  <c r="CC60" i="1"/>
  <c r="CB59" i="1"/>
  <c r="CA58" i="1"/>
  <c r="CC56" i="1"/>
  <c r="BX95" i="1"/>
  <c r="BW90" i="1"/>
  <c r="BY80" i="1"/>
  <c r="BX22" i="1"/>
  <c r="BX20" i="1"/>
  <c r="BW19" i="1"/>
  <c r="BX38" i="1"/>
  <c r="CF38" i="1" s="1"/>
  <c r="BW37" i="1"/>
  <c r="CE37" i="1" s="1"/>
  <c r="BY6" i="1"/>
  <c r="BW14" i="1"/>
  <c r="BY12" i="1"/>
  <c r="BX11" i="1"/>
  <c r="BX109" i="1"/>
  <c r="CF109" i="1" s="1"/>
  <c r="BY61" i="1"/>
  <c r="BW59" i="1"/>
  <c r="CC81" i="1"/>
  <c r="CA79" i="1"/>
  <c r="CB22" i="1"/>
  <c r="CB20" i="1"/>
  <c r="CA19" i="1"/>
  <c r="CB16" i="1"/>
  <c r="CA37" i="1"/>
  <c r="CI37" i="1" s="1"/>
  <c r="CA68" i="1"/>
  <c r="CC6" i="1"/>
  <c r="CA14" i="1"/>
  <c r="CC12" i="1"/>
  <c r="CB11" i="1"/>
  <c r="CB109" i="1"/>
  <c r="CJ109" i="1" s="1"/>
  <c r="CA8" i="1"/>
  <c r="CC61" i="1"/>
  <c r="CB60" i="1"/>
  <c r="CA59" i="1"/>
  <c r="CC57" i="1"/>
  <c r="CB56" i="1"/>
  <c r="BW94" i="1"/>
  <c r="BX89" i="1"/>
  <c r="BW86" i="1"/>
  <c r="BY93" i="1"/>
  <c r="BW89" i="1"/>
  <c r="BY87" i="1"/>
  <c r="CG87" i="1" s="1"/>
  <c r="BX87" i="1"/>
  <c r="CF87" i="1" s="1"/>
  <c r="BY86" i="1"/>
  <c r="BX85" i="1"/>
  <c r="BX97" i="1"/>
  <c r="BY89" i="1"/>
  <c r="BX88" i="1"/>
  <c r="BW87" i="1"/>
  <c r="CE87" i="1" s="1"/>
  <c r="BX86" i="1"/>
  <c r="BW85" i="1"/>
  <c r="BY32" i="1"/>
  <c r="BX31" i="1"/>
  <c r="BY24" i="1"/>
  <c r="BY23" i="1"/>
  <c r="BY17" i="1"/>
  <c r="BX16" i="1"/>
  <c r="BX76" i="1"/>
  <c r="CF76" i="1" s="1"/>
  <c r="BY72" i="1"/>
  <c r="BW68" i="1"/>
  <c r="BY64" i="1"/>
  <c r="BY9" i="1"/>
  <c r="BW8" i="1"/>
  <c r="BY63" i="1"/>
  <c r="BX62" i="1"/>
  <c r="CF62" i="1" s="1"/>
  <c r="BY57" i="1"/>
  <c r="CG57" i="1" s="1"/>
  <c r="BX56" i="1"/>
  <c r="CF56" i="1" s="1"/>
  <c r="CC93" i="1"/>
  <c r="CA89" i="1"/>
  <c r="CC87" i="1"/>
  <c r="BY85" i="1"/>
  <c r="BY83" i="1"/>
  <c r="CG83" i="1" s="1"/>
  <c r="BY77" i="1"/>
  <c r="CG77" i="1" s="1"/>
  <c r="BX35" i="1"/>
  <c r="BX32" i="1"/>
  <c r="BW31" i="1"/>
  <c r="BY27" i="1"/>
  <c r="BX26" i="1"/>
  <c r="BX24" i="1"/>
  <c r="BX23" i="1"/>
  <c r="BX17" i="1"/>
  <c r="BW16" i="1"/>
  <c r="BW76" i="1"/>
  <c r="CE76" i="1" s="1"/>
  <c r="BY10" i="1"/>
  <c r="CG10" i="1" s="1"/>
  <c r="BY73" i="1"/>
  <c r="BX72" i="1"/>
  <c r="BY67" i="1"/>
  <c r="BX66" i="1"/>
  <c r="CF66" i="1" s="1"/>
  <c r="BY65" i="1"/>
  <c r="BX64" i="1"/>
  <c r="BX9" i="1"/>
  <c r="BY7" i="1"/>
  <c r="BX63" i="1"/>
  <c r="BW62" i="1"/>
  <c r="CE62" i="1" s="1"/>
  <c r="BX57" i="1"/>
  <c r="CF57" i="1" s="1"/>
  <c r="BW56" i="1"/>
  <c r="CE56" i="1" s="1"/>
  <c r="CC97" i="1"/>
  <c r="CC94" i="1"/>
  <c r="CB93" i="1"/>
  <c r="CC88" i="1"/>
  <c r="CB87" i="1"/>
  <c r="BX83" i="1"/>
  <c r="CF83" i="1" s="1"/>
  <c r="BW24" i="1"/>
  <c r="BX65" i="1"/>
  <c r="BW64" i="1"/>
  <c r="CB94" i="1"/>
  <c r="CA93" i="1"/>
  <c r="CC89" i="1"/>
  <c r="CA87" i="1"/>
  <c r="CB86" i="1"/>
  <c r="CA85" i="1"/>
  <c r="BW83" i="1"/>
  <c r="CE83" i="1" s="1"/>
  <c r="BW65" i="1"/>
  <c r="BY62" i="1"/>
  <c r="CG62" i="1" s="1"/>
  <c r="CB89" i="1"/>
  <c r="CA86" i="1"/>
  <c r="CC85" i="1"/>
  <c r="CC83" i="1"/>
  <c r="CK83" i="1" s="1"/>
  <c r="CB32" i="1"/>
  <c r="CA31" i="1"/>
  <c r="CC24" i="1"/>
  <c r="CC86" i="1"/>
  <c r="CB85" i="1"/>
  <c r="CC84" i="1"/>
  <c r="CB83" i="1"/>
  <c r="CJ83" i="1" s="1"/>
  <c r="CC78" i="1"/>
  <c r="CB77" i="1"/>
  <c r="CA35" i="1"/>
  <c r="CA32" i="1"/>
  <c r="CB27" i="1"/>
  <c r="CA26" i="1"/>
  <c r="CB24" i="1"/>
  <c r="CB23" i="1"/>
  <c r="CB17" i="1"/>
  <c r="CA16" i="1"/>
  <c r="CA83" i="1"/>
  <c r="CI83" i="1" s="1"/>
  <c r="CC31" i="1"/>
  <c r="CA24" i="1"/>
  <c r="CA23" i="1"/>
  <c r="CA17" i="1"/>
  <c r="CC26" i="1"/>
  <c r="CC64" i="1"/>
  <c r="CB62" i="1"/>
  <c r="CJ62" i="1" s="1"/>
  <c r="CA76" i="1"/>
  <c r="CC10" i="1"/>
  <c r="CC73" i="1"/>
  <c r="CB72" i="1"/>
  <c r="CC67" i="1"/>
  <c r="CB66" i="1"/>
  <c r="CC65" i="1"/>
  <c r="CB64" i="1"/>
  <c r="CB9" i="1"/>
  <c r="CC7" i="1"/>
  <c r="CB63" i="1"/>
  <c r="CA62" i="1"/>
  <c r="CI62" i="1" s="1"/>
  <c r="CB57" i="1"/>
  <c r="CA56" i="1"/>
  <c r="CB73" i="1"/>
  <c r="CA72" i="1"/>
  <c r="CA66" i="1"/>
  <c r="CB65" i="1"/>
  <c r="CA64" i="1"/>
  <c r="CC8" i="1"/>
  <c r="CB7" i="1"/>
  <c r="CA63" i="1"/>
  <c r="CA57" i="1"/>
  <c r="CA65" i="1"/>
  <c r="CC62" i="1"/>
  <c r="CK62" i="1" s="1"/>
  <c r="AD17" i="1"/>
  <c r="AT16" i="1"/>
  <c r="AT17" i="1"/>
  <c r="AD16" i="1"/>
  <c r="AX43" i="117" l="1"/>
  <c r="AX40" i="117"/>
  <c r="Z40" i="117"/>
  <c r="BC42" i="117"/>
  <c r="AY43" i="117"/>
  <c r="BC43" i="117" s="1"/>
  <c r="AF43" i="117"/>
  <c r="AF42" i="117"/>
  <c r="AF87" i="117"/>
  <c r="AY87" i="117"/>
  <c r="BC87" i="117" s="1"/>
  <c r="AF41" i="117"/>
  <c r="AY41" i="117"/>
  <c r="BC41" i="117" s="1"/>
  <c r="AF40" i="117"/>
  <c r="AY40" i="117"/>
  <c r="BC40" i="117" s="1"/>
  <c r="BC56" i="117"/>
  <c r="AH16" i="1"/>
  <c r="BN16" i="1" s="1"/>
  <c r="CE16" i="1" s="1"/>
  <c r="AH17" i="1"/>
  <c r="BN17" i="1" s="1"/>
  <c r="CE17" i="1" s="1"/>
  <c r="AU17" i="1"/>
  <c r="S21" i="117" s="1"/>
  <c r="AU16" i="1"/>
  <c r="S20" i="117" s="1"/>
  <c r="AE17" i="1"/>
  <c r="AL17" i="1"/>
  <c r="AP17" i="1" s="1"/>
  <c r="AE16" i="1"/>
  <c r="AL16" i="1"/>
  <c r="AP16" i="1" s="1"/>
  <c r="AI17" i="1" l="1"/>
  <c r="BO17" i="1" s="1"/>
  <c r="CF17" i="1" s="1"/>
  <c r="AI16" i="1"/>
  <c r="BO16" i="1" s="1"/>
  <c r="CF16" i="1" s="1"/>
  <c r="AF17" i="1"/>
  <c r="AV17" i="1"/>
  <c r="T21" i="117" s="1"/>
  <c r="AV16" i="1"/>
  <c r="T20" i="117" s="1"/>
  <c r="AM17" i="1"/>
  <c r="AQ17" i="1" s="1"/>
  <c r="AF16" i="1"/>
  <c r="AM16" i="1"/>
  <c r="AQ16" i="1" s="1"/>
  <c r="AJ16" i="1" l="1"/>
  <c r="BP16" i="1" s="1"/>
  <c r="CG16" i="1" s="1"/>
  <c r="AJ17" i="1"/>
  <c r="BP17" i="1" s="1"/>
  <c r="CG17" i="1" s="1"/>
  <c r="AG17" i="1"/>
  <c r="AN17" i="1"/>
  <c r="AR17" i="1" s="1"/>
  <c r="AW16" i="1"/>
  <c r="U20" i="117" s="1"/>
  <c r="AW17" i="1"/>
  <c r="U21" i="117" s="1"/>
  <c r="AG16" i="1"/>
  <c r="AN16" i="1"/>
  <c r="AR16" i="1" s="1"/>
  <c r="AK16" i="1" l="1"/>
  <c r="BQ16" i="1" s="1"/>
  <c r="CH16" i="1" s="1"/>
  <c r="AK17" i="1"/>
  <c r="BQ17" i="1" s="1"/>
  <c r="CH17" i="1" s="1"/>
  <c r="AO17" i="1"/>
  <c r="AS17" i="1" s="1"/>
  <c r="R21" i="117" s="1"/>
  <c r="AO16" i="1"/>
  <c r="AS16" i="1" s="1"/>
  <c r="R20" i="117" s="1"/>
  <c r="AD8" i="1" l="1"/>
  <c r="AD18" i="1"/>
  <c r="AD25" i="1"/>
  <c r="AH25" i="1" l="1"/>
  <c r="AH8" i="1"/>
  <c r="BN8" i="1" s="1"/>
  <c r="CE8" i="1" s="1"/>
  <c r="AD31" i="1"/>
  <c r="AD21" i="1"/>
  <c r="AT31" i="1"/>
  <c r="AD35" i="1"/>
  <c r="AD22" i="1"/>
  <c r="AD28" i="1"/>
  <c r="AT23" i="1"/>
  <c r="AD26" i="1"/>
  <c r="AD19" i="1"/>
  <c r="AT18" i="1"/>
  <c r="AT11" i="1"/>
  <c r="AD7" i="1"/>
  <c r="AT5" i="1"/>
  <c r="AD14" i="1"/>
  <c r="AD5" i="1"/>
  <c r="AL25" i="1"/>
  <c r="AP25" i="1" s="1"/>
  <c r="AE25" i="1"/>
  <c r="AL18" i="1"/>
  <c r="AE18" i="1"/>
  <c r="AE8" i="1"/>
  <c r="AL8" i="1"/>
  <c r="AP8" i="1" s="1"/>
  <c r="AT35" i="1"/>
  <c r="AT9" i="1"/>
  <c r="AT26" i="1"/>
  <c r="AT6" i="1"/>
  <c r="AT19" i="1"/>
  <c r="AD6" i="1"/>
  <c r="AD32" i="1"/>
  <c r="AT8" i="1"/>
  <c r="AT32" i="1"/>
  <c r="AT22" i="1"/>
  <c r="AT27" i="1"/>
  <c r="AD23" i="1"/>
  <c r="AD24" i="1"/>
  <c r="AT28" i="1"/>
  <c r="AT12" i="1"/>
  <c r="AT13" i="1"/>
  <c r="AT14" i="1"/>
  <c r="AT7" i="1"/>
  <c r="AD20" i="1"/>
  <c r="AD12" i="1"/>
  <c r="AD27" i="1"/>
  <c r="AD13" i="1"/>
  <c r="AD9" i="1"/>
  <c r="AD11" i="1"/>
  <c r="AT25" i="1"/>
  <c r="AT20" i="1"/>
  <c r="AT21" i="1"/>
  <c r="AT24" i="1"/>
  <c r="BN25" i="1" l="1"/>
  <c r="CE25" i="1" s="1"/>
  <c r="R19" i="117"/>
  <c r="AH11" i="1"/>
  <c r="BN11" i="1" s="1"/>
  <c r="CE11" i="1" s="1"/>
  <c r="AH35" i="1"/>
  <c r="BN35" i="1" s="1"/>
  <c r="CE35" i="1" s="1"/>
  <c r="AI25" i="1"/>
  <c r="AH7" i="1"/>
  <c r="BN7" i="1" s="1"/>
  <c r="CE7" i="1" s="1"/>
  <c r="AI8" i="1"/>
  <c r="AH22" i="1"/>
  <c r="AH12" i="1"/>
  <c r="BN12" i="1" s="1"/>
  <c r="CE12" i="1" s="1"/>
  <c r="AH13" i="1"/>
  <c r="BN13" i="1" s="1"/>
  <c r="CE13" i="1" s="1"/>
  <c r="AH14" i="1"/>
  <c r="BN14" i="1" s="1"/>
  <c r="CE14" i="1" s="1"/>
  <c r="AL21" i="1"/>
  <c r="AX22" i="1"/>
  <c r="AX14" i="1"/>
  <c r="AX13" i="1"/>
  <c r="AX12" i="1"/>
  <c r="AE7" i="1"/>
  <c r="AE28" i="1"/>
  <c r="AL31" i="1"/>
  <c r="AU8" i="1"/>
  <c r="S12" i="117" s="1"/>
  <c r="AU9" i="1"/>
  <c r="S13" i="117" s="1"/>
  <c r="AL14" i="1"/>
  <c r="AP14" i="1" s="1"/>
  <c r="AU18" i="1"/>
  <c r="S22" i="117" s="1"/>
  <c r="AL26" i="1"/>
  <c r="AP26" i="1" s="1"/>
  <c r="AE5" i="1"/>
  <c r="AU5" i="1"/>
  <c r="S9" i="117" s="1"/>
  <c r="AU11" i="1"/>
  <c r="S15" i="117" s="1"/>
  <c r="AU7" i="1"/>
  <c r="S11" i="117" s="1"/>
  <c r="AE21" i="1"/>
  <c r="AU24" i="1"/>
  <c r="S28" i="117" s="1"/>
  <c r="AU25" i="1"/>
  <c r="S29" i="117" s="1"/>
  <c r="AU28" i="1"/>
  <c r="S32" i="117" s="1"/>
  <c r="AU27" i="1"/>
  <c r="S31" i="117" s="1"/>
  <c r="AU32" i="1"/>
  <c r="S36" i="117" s="1"/>
  <c r="AU26" i="1"/>
  <c r="S30" i="117" s="1"/>
  <c r="AU35" i="1"/>
  <c r="S39" i="117" s="1"/>
  <c r="AU23" i="1"/>
  <c r="AU31" i="1"/>
  <c r="S35" i="117" s="1"/>
  <c r="AE31" i="1"/>
  <c r="AE35" i="1"/>
  <c r="AE19" i="1"/>
  <c r="AE26" i="1"/>
  <c r="AL19" i="1"/>
  <c r="AL35" i="1"/>
  <c r="AP35" i="1" s="1"/>
  <c r="AE22" i="1"/>
  <c r="AE14" i="1"/>
  <c r="AL28" i="1"/>
  <c r="AP28" i="1" s="1"/>
  <c r="AL22" i="1"/>
  <c r="AP22" i="1" s="1"/>
  <c r="AL7" i="1"/>
  <c r="AP7" i="1" s="1"/>
  <c r="AL5" i="1"/>
  <c r="AP5" i="1" s="1"/>
  <c r="AE9" i="1"/>
  <c r="AL9" i="1"/>
  <c r="AP9" i="1" s="1"/>
  <c r="AU21" i="1"/>
  <c r="S25" i="117" s="1"/>
  <c r="AU20" i="1"/>
  <c r="S24" i="117" s="1"/>
  <c r="AE20" i="1"/>
  <c r="AL20" i="1"/>
  <c r="AU13" i="1"/>
  <c r="S17" i="117" s="1"/>
  <c r="AE32" i="1"/>
  <c r="AL32" i="1"/>
  <c r="AL11" i="1"/>
  <c r="AP11" i="1" s="1"/>
  <c r="AE11" i="1"/>
  <c r="AU14" i="1"/>
  <c r="S18" i="117" s="1"/>
  <c r="AF25" i="1"/>
  <c r="AM25" i="1"/>
  <c r="AQ25" i="1" s="1"/>
  <c r="AL27" i="1"/>
  <c r="AE27" i="1"/>
  <c r="AE12" i="1"/>
  <c r="AL12" i="1"/>
  <c r="AP12" i="1" s="1"/>
  <c r="AL23" i="1"/>
  <c r="AP23" i="1" s="1"/>
  <c r="AE23" i="1"/>
  <c r="AU22" i="1"/>
  <c r="S26" i="117" s="1"/>
  <c r="AU19" i="1"/>
  <c r="S23" i="117" s="1"/>
  <c r="AF8" i="1"/>
  <c r="AM8" i="1"/>
  <c r="AQ8" i="1" s="1"/>
  <c r="AF18" i="1"/>
  <c r="AM18" i="1"/>
  <c r="AE13" i="1"/>
  <c r="AL13" i="1"/>
  <c r="AP13" i="1" s="1"/>
  <c r="AU12" i="1"/>
  <c r="S16" i="117" s="1"/>
  <c r="AL24" i="1"/>
  <c r="AE24" i="1"/>
  <c r="AE6" i="1"/>
  <c r="AL6" i="1"/>
  <c r="AP6" i="1" s="1"/>
  <c r="AU6" i="1"/>
  <c r="S10" i="117" s="1"/>
  <c r="S27" i="117" l="1"/>
  <c r="S19" i="117"/>
  <c r="BO25" i="1"/>
  <c r="CF25" i="1" s="1"/>
  <c r="BN22" i="1"/>
  <c r="CE22" i="1" s="1"/>
  <c r="BO8" i="1"/>
  <c r="CF8" i="1" s="1"/>
  <c r="BR12" i="1"/>
  <c r="CI12" i="1" s="1"/>
  <c r="BR13" i="1"/>
  <c r="CI13" i="1" s="1"/>
  <c r="BR14" i="1"/>
  <c r="CI14" i="1" s="1"/>
  <c r="BR22" i="1"/>
  <c r="CI22" i="1" s="1"/>
  <c r="AI11" i="1"/>
  <c r="BO11" i="1" s="1"/>
  <c r="CF11" i="1" s="1"/>
  <c r="AI22" i="1"/>
  <c r="AJ25" i="1"/>
  <c r="AI7" i="1"/>
  <c r="AJ8" i="1"/>
  <c r="BP8" i="1" s="1"/>
  <c r="CG8" i="1" s="1"/>
  <c r="AI35" i="1"/>
  <c r="BO35" i="1" s="1"/>
  <c r="CF35" i="1" s="1"/>
  <c r="AI14" i="1"/>
  <c r="BO14" i="1" s="1"/>
  <c r="CF14" i="1" s="1"/>
  <c r="AI13" i="1"/>
  <c r="BO13" i="1" s="1"/>
  <c r="CF13" i="1" s="1"/>
  <c r="AI12" i="1"/>
  <c r="BO12" i="1" s="1"/>
  <c r="CF12" i="1" s="1"/>
  <c r="AF28" i="1"/>
  <c r="AY12" i="1"/>
  <c r="AK16" i="117" s="1"/>
  <c r="AV18" i="1"/>
  <c r="T22" i="117" s="1"/>
  <c r="AY22" i="1"/>
  <c r="AY14" i="1"/>
  <c r="AK18" i="117" s="1"/>
  <c r="AY13" i="1"/>
  <c r="AK17" i="117" s="1"/>
  <c r="AF31" i="1"/>
  <c r="AM21" i="1"/>
  <c r="AM28" i="1"/>
  <c r="AQ28" i="1" s="1"/>
  <c r="AM7" i="1"/>
  <c r="AQ7" i="1" s="1"/>
  <c r="AM5" i="1"/>
  <c r="AQ5" i="1" s="1"/>
  <c r="AF5" i="1"/>
  <c r="AF7" i="1"/>
  <c r="AM26" i="1"/>
  <c r="AQ26" i="1" s="1"/>
  <c r="AF14" i="1"/>
  <c r="AM19" i="1"/>
  <c r="AM31" i="1"/>
  <c r="AV9" i="1"/>
  <c r="T13" i="117" s="1"/>
  <c r="AV8" i="1"/>
  <c r="T12" i="117" s="1"/>
  <c r="AV7" i="1"/>
  <c r="T11" i="117" s="1"/>
  <c r="AM35" i="1"/>
  <c r="AQ35" i="1" s="1"/>
  <c r="AF21" i="1"/>
  <c r="AV11" i="1"/>
  <c r="T15" i="117" s="1"/>
  <c r="AV5" i="1"/>
  <c r="T9" i="117" s="1"/>
  <c r="AV31" i="1"/>
  <c r="T35" i="117" s="1"/>
  <c r="AV23" i="1"/>
  <c r="AV35" i="1"/>
  <c r="T39" i="117" s="1"/>
  <c r="AV26" i="1"/>
  <c r="T30" i="117" s="1"/>
  <c r="AV32" i="1"/>
  <c r="T36" i="117" s="1"/>
  <c r="AV27" i="1"/>
  <c r="T31" i="117" s="1"/>
  <c r="AV28" i="1"/>
  <c r="T32" i="117" s="1"/>
  <c r="AV25" i="1"/>
  <c r="T29" i="117" s="1"/>
  <c r="AV24" i="1"/>
  <c r="T28" i="117" s="1"/>
  <c r="AF19" i="1"/>
  <c r="AF35" i="1"/>
  <c r="AF26" i="1"/>
  <c r="AF22" i="1"/>
  <c r="AM14" i="1"/>
  <c r="AQ14" i="1" s="1"/>
  <c r="AM22" i="1"/>
  <c r="AQ22" i="1" s="1"/>
  <c r="AF13" i="1"/>
  <c r="AM13" i="1"/>
  <c r="AQ13" i="1" s="1"/>
  <c r="AG8" i="1"/>
  <c r="AN8" i="1"/>
  <c r="AR8" i="1" s="1"/>
  <c r="AV14" i="1"/>
  <c r="T18" i="117" s="1"/>
  <c r="AF32" i="1"/>
  <c r="AM32" i="1"/>
  <c r="AF20" i="1"/>
  <c r="AM20" i="1"/>
  <c r="AV21" i="1"/>
  <c r="T25" i="117" s="1"/>
  <c r="AV6" i="1"/>
  <c r="T10" i="117" s="1"/>
  <c r="AF24" i="1"/>
  <c r="AM24" i="1"/>
  <c r="AV12" i="1"/>
  <c r="T16" i="117" s="1"/>
  <c r="AV19" i="1"/>
  <c r="T23" i="117" s="1"/>
  <c r="AF12" i="1"/>
  <c r="AM12" i="1"/>
  <c r="AQ12" i="1" s="1"/>
  <c r="AF11" i="1"/>
  <c r="AM11" i="1"/>
  <c r="AQ11" i="1" s="1"/>
  <c r="AF6" i="1"/>
  <c r="AM6" i="1"/>
  <c r="AQ6" i="1" s="1"/>
  <c r="AF23" i="1"/>
  <c r="AM23" i="1"/>
  <c r="AQ23" i="1" s="1"/>
  <c r="AF27" i="1"/>
  <c r="AM27" i="1"/>
  <c r="AG25" i="1"/>
  <c r="AN25" i="1"/>
  <c r="AR25" i="1" s="1"/>
  <c r="AV13" i="1"/>
  <c r="T17" i="117" s="1"/>
  <c r="AV20" i="1"/>
  <c r="T24" i="117" s="1"/>
  <c r="AG18" i="1"/>
  <c r="AN18" i="1"/>
  <c r="AV22" i="1"/>
  <c r="T26" i="117" s="1"/>
  <c r="AF9" i="1"/>
  <c r="AM9" i="1"/>
  <c r="AQ9" i="1" s="1"/>
  <c r="F198" i="16"/>
  <c r="G198" i="16"/>
  <c r="I198" i="16" s="1"/>
  <c r="C198" i="16"/>
  <c r="H197" i="16"/>
  <c r="H199" i="16" s="1"/>
  <c r="I199" i="16" s="1"/>
  <c r="G197" i="16"/>
  <c r="C197" i="16"/>
  <c r="V25" i="1"/>
  <c r="T158" i="16"/>
  <c r="S158" i="16"/>
  <c r="R158" i="16"/>
  <c r="P158" i="16"/>
  <c r="K158" i="16"/>
  <c r="J158" i="16"/>
  <c r="B158" i="16"/>
  <c r="T157" i="16"/>
  <c r="S157" i="16"/>
  <c r="R157" i="16"/>
  <c r="P157" i="16"/>
  <c r="K157" i="16"/>
  <c r="J157" i="16"/>
  <c r="B157" i="16"/>
  <c r="T27" i="117" l="1"/>
  <c r="T19" i="117"/>
  <c r="BO22" i="1"/>
  <c r="CF22" i="1" s="1"/>
  <c r="AN28" i="1"/>
  <c r="AR28" i="1" s="1"/>
  <c r="BP25" i="1"/>
  <c r="CG25" i="1" s="1"/>
  <c r="BO7" i="1"/>
  <c r="CF7" i="1" s="1"/>
  <c r="AY25" i="1"/>
  <c r="O25" i="1"/>
  <c r="BS13" i="1"/>
  <c r="CJ13" i="1" s="1"/>
  <c r="W17" i="117"/>
  <c r="AL17" i="117" s="1"/>
  <c r="BS12" i="1"/>
  <c r="CJ12" i="1" s="1"/>
  <c r="W16" i="117"/>
  <c r="AL16" i="117" s="1"/>
  <c r="BS14" i="1"/>
  <c r="CJ14" i="1" s="1"/>
  <c r="W18" i="117"/>
  <c r="BS22" i="1"/>
  <c r="CJ22" i="1" s="1"/>
  <c r="AG28" i="1"/>
  <c r="AK25" i="1"/>
  <c r="AJ22" i="1"/>
  <c r="AJ35" i="1"/>
  <c r="BP35" i="1" s="1"/>
  <c r="CG35" i="1" s="1"/>
  <c r="AJ11" i="1"/>
  <c r="BP11" i="1" s="1"/>
  <c r="CG11" i="1" s="1"/>
  <c r="AK8" i="1"/>
  <c r="BQ8" i="1" s="1"/>
  <c r="CH8" i="1" s="1"/>
  <c r="AJ7" i="1"/>
  <c r="BP7" i="1" s="1"/>
  <c r="CG7" i="1" s="1"/>
  <c r="AK26" i="117"/>
  <c r="AZ16" i="117"/>
  <c r="AZ17" i="117"/>
  <c r="AZ18" i="117"/>
  <c r="AJ12" i="1"/>
  <c r="BP12" i="1" s="1"/>
  <c r="CG12" i="1" s="1"/>
  <c r="AJ13" i="1"/>
  <c r="BP13" i="1" s="1"/>
  <c r="CG13" i="1" s="1"/>
  <c r="AJ14" i="1"/>
  <c r="AG31" i="1"/>
  <c r="AO31" i="1" s="1"/>
  <c r="I200" i="16"/>
  <c r="AW18" i="1"/>
  <c r="U22" i="117" s="1"/>
  <c r="V66" i="1"/>
  <c r="O66" i="1" s="1"/>
  <c r="BL25" i="1"/>
  <c r="BM25" i="1"/>
  <c r="BK25" i="1"/>
  <c r="BJ25" i="1"/>
  <c r="AX25" i="1"/>
  <c r="AZ25" i="1"/>
  <c r="AQ29" i="117" s="1"/>
  <c r="AZ14" i="1"/>
  <c r="AQ18" i="117" s="1"/>
  <c r="AZ22" i="1"/>
  <c r="AZ13" i="1"/>
  <c r="AQ17" i="117" s="1"/>
  <c r="AZ12" i="1"/>
  <c r="AQ16" i="117" s="1"/>
  <c r="AN31" i="1"/>
  <c r="AG5" i="1"/>
  <c r="AG35" i="1"/>
  <c r="AN5" i="1"/>
  <c r="AR5" i="1" s="1"/>
  <c r="AN21" i="1"/>
  <c r="AG21" i="1"/>
  <c r="AN7" i="1"/>
  <c r="AR7" i="1" s="1"/>
  <c r="AG7" i="1"/>
  <c r="AG14" i="1"/>
  <c r="AN14" i="1"/>
  <c r="AR14" i="1" s="1"/>
  <c r="AG26" i="1"/>
  <c r="AN19" i="1"/>
  <c r="AW5" i="1"/>
  <c r="U9" i="117" s="1"/>
  <c r="AW11" i="1"/>
  <c r="U15" i="117" s="1"/>
  <c r="AW7" i="1"/>
  <c r="U11" i="117" s="1"/>
  <c r="AW8" i="1"/>
  <c r="U12" i="117" s="1"/>
  <c r="AG22" i="1"/>
  <c r="AN35" i="1"/>
  <c r="AR35" i="1" s="1"/>
  <c r="AW9" i="1"/>
  <c r="U13" i="117" s="1"/>
  <c r="AW24" i="1"/>
  <c r="U28" i="117" s="1"/>
  <c r="AW25" i="1"/>
  <c r="U29" i="117" s="1"/>
  <c r="AW28" i="1"/>
  <c r="U32" i="117" s="1"/>
  <c r="AW27" i="1"/>
  <c r="U31" i="117" s="1"/>
  <c r="AW32" i="1"/>
  <c r="U36" i="117" s="1"/>
  <c r="AW26" i="1"/>
  <c r="U30" i="117" s="1"/>
  <c r="AW35" i="1"/>
  <c r="U39" i="117" s="1"/>
  <c r="AW23" i="1"/>
  <c r="AW31" i="1"/>
  <c r="U35" i="117" s="1"/>
  <c r="AG19" i="1"/>
  <c r="AN26" i="1"/>
  <c r="AR26" i="1" s="1"/>
  <c r="AN22" i="1"/>
  <c r="AR22" i="1" s="1"/>
  <c r="AN9" i="1"/>
  <c r="AR9" i="1" s="1"/>
  <c r="AG9" i="1"/>
  <c r="AG11" i="1"/>
  <c r="AN11" i="1"/>
  <c r="AR11" i="1" s="1"/>
  <c r="AG12" i="1"/>
  <c r="AN12" i="1"/>
  <c r="AR12" i="1" s="1"/>
  <c r="AO8" i="1"/>
  <c r="AS8" i="1" s="1"/>
  <c r="R12" i="117" s="1"/>
  <c r="AW20" i="1"/>
  <c r="U24" i="117" s="1"/>
  <c r="AG27" i="1"/>
  <c r="AN27" i="1"/>
  <c r="AW19" i="1"/>
  <c r="U23" i="117" s="1"/>
  <c r="AG24" i="1"/>
  <c r="AN24" i="1"/>
  <c r="AW22" i="1"/>
  <c r="AG23" i="1"/>
  <c r="AN23" i="1"/>
  <c r="AR23" i="1" s="1"/>
  <c r="AG20" i="1"/>
  <c r="AN20" i="1"/>
  <c r="AG32" i="1"/>
  <c r="AN32" i="1"/>
  <c r="AO18" i="1"/>
  <c r="AW13" i="1"/>
  <c r="AO25" i="1"/>
  <c r="AS25" i="1" s="1"/>
  <c r="R29" i="117" s="1"/>
  <c r="AN6" i="1"/>
  <c r="AR6" i="1" s="1"/>
  <c r="AG6" i="1"/>
  <c r="AW12" i="1"/>
  <c r="AW6" i="1"/>
  <c r="U10" i="117" s="1"/>
  <c r="AW21" i="1"/>
  <c r="U25" i="117" s="1"/>
  <c r="AW14" i="1"/>
  <c r="AG13" i="1"/>
  <c r="AN13" i="1"/>
  <c r="AR13" i="1" s="1"/>
  <c r="I197" i="16"/>
  <c r="U26" i="117" l="1"/>
  <c r="AK29" i="117"/>
  <c r="AZ29" i="117" s="1"/>
  <c r="U18" i="117"/>
  <c r="U17" i="117"/>
  <c r="U16" i="117"/>
  <c r="AL18" i="117"/>
  <c r="AO28" i="1"/>
  <c r="AS28" i="1" s="1"/>
  <c r="R32" i="117" s="1"/>
  <c r="U27" i="117"/>
  <c r="U19" i="117"/>
  <c r="BQ25" i="1"/>
  <c r="CH25" i="1" s="1"/>
  <c r="BP22" i="1"/>
  <c r="CG22" i="1" s="1"/>
  <c r="BS25" i="1"/>
  <c r="CJ25" i="1" s="1"/>
  <c r="BT12" i="1"/>
  <c r="CK12" i="1" s="1"/>
  <c r="X16" i="117"/>
  <c r="AR16" i="117" s="1"/>
  <c r="BT25" i="1"/>
  <c r="CK25" i="1" s="1"/>
  <c r="BT13" i="1"/>
  <c r="CK13" i="1" s="1"/>
  <c r="X17" i="117"/>
  <c r="AR17" i="117" s="1"/>
  <c r="BR25" i="1"/>
  <c r="CI25" i="1" s="1"/>
  <c r="BT22" i="1"/>
  <c r="CK22" i="1" s="1"/>
  <c r="BT14" i="1"/>
  <c r="CK14" i="1" s="1"/>
  <c r="X18" i="117"/>
  <c r="AR18" i="117" s="1"/>
  <c r="BP14" i="1"/>
  <c r="CG14" i="1" s="1"/>
  <c r="BA17" i="117"/>
  <c r="AK22" i="1"/>
  <c r="AZ26" i="117"/>
  <c r="BA16" i="117"/>
  <c r="BA18" i="117"/>
  <c r="AQ26" i="117"/>
  <c r="AK11" i="1"/>
  <c r="BQ11" i="1" s="1"/>
  <c r="CH11" i="1" s="1"/>
  <c r="AK7" i="1"/>
  <c r="BQ7" i="1" s="1"/>
  <c r="CH7" i="1" s="1"/>
  <c r="BA29" i="117"/>
  <c r="AK14" i="1"/>
  <c r="BQ14" i="1" s="1"/>
  <c r="CH14" i="1" s="1"/>
  <c r="AK12" i="1"/>
  <c r="BQ12" i="1" s="1"/>
  <c r="CH12" i="1" s="1"/>
  <c r="AK13" i="1"/>
  <c r="BQ13" i="1" s="1"/>
  <c r="CH13" i="1" s="1"/>
  <c r="AK35" i="1"/>
  <c r="BQ35" i="1" s="1"/>
  <c r="CH35" i="1" s="1"/>
  <c r="AO21" i="1"/>
  <c r="V87" i="1"/>
  <c r="O87" i="1" s="1"/>
  <c r="BK66" i="1"/>
  <c r="BL66" i="1"/>
  <c r="BJ66" i="1"/>
  <c r="AX66" i="1"/>
  <c r="BM66" i="1"/>
  <c r="AY66" i="1"/>
  <c r="AZ66" i="1"/>
  <c r="BA66" i="1"/>
  <c r="BA22" i="1"/>
  <c r="AO35" i="1"/>
  <c r="AS35" i="1" s="1"/>
  <c r="R39" i="117" s="1"/>
  <c r="AO5" i="1"/>
  <c r="AS5" i="1" s="1"/>
  <c r="R9" i="117" s="1"/>
  <c r="AO7" i="1"/>
  <c r="AS7" i="1" s="1"/>
  <c r="R11" i="117" s="1"/>
  <c r="AO14" i="1"/>
  <c r="AS14" i="1" s="1"/>
  <c r="R18" i="117" s="1"/>
  <c r="AO22" i="1"/>
  <c r="AS22" i="1" s="1"/>
  <c r="R26" i="117" s="1"/>
  <c r="BA14" i="1"/>
  <c r="AO23" i="1"/>
  <c r="AS23" i="1" s="1"/>
  <c r="R27" i="117" s="1"/>
  <c r="AO26" i="1"/>
  <c r="AS26" i="1" s="1"/>
  <c r="R30" i="117" s="1"/>
  <c r="BA13" i="1"/>
  <c r="AO32" i="1"/>
  <c r="AO27" i="1"/>
  <c r="BA25" i="1"/>
  <c r="BA12" i="1"/>
  <c r="AO24" i="1"/>
  <c r="AO9" i="1"/>
  <c r="AS9" i="1" s="1"/>
  <c r="R13" i="117" s="1"/>
  <c r="AO19" i="1"/>
  <c r="AO20" i="1"/>
  <c r="AO11" i="1"/>
  <c r="AS11" i="1" s="1"/>
  <c r="R15" i="117" s="1"/>
  <c r="AO13" i="1"/>
  <c r="AS13" i="1" s="1"/>
  <c r="R17" i="117" s="1"/>
  <c r="AO6" i="1"/>
  <c r="AS6" i="1" s="1"/>
  <c r="R10" i="117" s="1"/>
  <c r="AO12" i="1"/>
  <c r="AS12" i="1" s="1"/>
  <c r="R16" i="117" s="1"/>
  <c r="J406" i="18"/>
  <c r="A443" i="18"/>
  <c r="A442" i="18"/>
  <c r="A441" i="18"/>
  <c r="A440" i="18"/>
  <c r="A439" i="18"/>
  <c r="A438" i="18"/>
  <c r="A437" i="18"/>
  <c r="A436" i="18"/>
  <c r="A435" i="18"/>
  <c r="A434" i="18"/>
  <c r="A433" i="18"/>
  <c r="A432" i="18"/>
  <c r="C426" i="18"/>
  <c r="C429" i="18" s="1"/>
  <c r="J413" i="18"/>
  <c r="J412" i="18"/>
  <c r="C434" i="18"/>
  <c r="J411" i="18"/>
  <c r="J410" i="18"/>
  <c r="J409" i="18"/>
  <c r="C408" i="18"/>
  <c r="C410" i="18" s="1"/>
  <c r="J408" i="18"/>
  <c r="J407" i="18"/>
  <c r="C396" i="18"/>
  <c r="C398" i="18" s="1"/>
  <c r="AU26" i="117" l="1"/>
  <c r="H26" i="117"/>
  <c r="AE26" i="117" s="1"/>
  <c r="AY26" i="117" s="1"/>
  <c r="AU70" i="117"/>
  <c r="H70" i="117"/>
  <c r="AE70" i="117" s="1"/>
  <c r="AU17" i="117"/>
  <c r="H17" i="117"/>
  <c r="V17" i="117" s="1"/>
  <c r="AQ70" i="117"/>
  <c r="AU16" i="117"/>
  <c r="H16" i="117"/>
  <c r="V16" i="117" s="1"/>
  <c r="AK70" i="117"/>
  <c r="AU29" i="117"/>
  <c r="H29" i="117"/>
  <c r="AE29" i="117" s="1"/>
  <c r="AY29" i="117" s="1"/>
  <c r="AU18" i="117"/>
  <c r="H18" i="117"/>
  <c r="V18" i="117" s="1"/>
  <c r="V433" i="18"/>
  <c r="W433" i="18" s="1"/>
  <c r="V437" i="18"/>
  <c r="W437" i="18" s="1"/>
  <c r="V432" i="18"/>
  <c r="W432" i="18" s="1"/>
  <c r="T436" i="18"/>
  <c r="U436" i="18" s="1"/>
  <c r="T432" i="18"/>
  <c r="U432" i="18" s="1"/>
  <c r="R436" i="18"/>
  <c r="S436" i="18" s="1"/>
  <c r="R432" i="18"/>
  <c r="S432" i="18" s="1"/>
  <c r="V434" i="18"/>
  <c r="W434" i="18" s="1"/>
  <c r="V438" i="18"/>
  <c r="W438" i="18" s="1"/>
  <c r="T433" i="18"/>
  <c r="U433" i="18" s="1"/>
  <c r="T437" i="18"/>
  <c r="U437" i="18" s="1"/>
  <c r="T435" i="18"/>
  <c r="U435" i="18" s="1"/>
  <c r="V435" i="18"/>
  <c r="W435" i="18" s="1"/>
  <c r="V439" i="18"/>
  <c r="W439" i="18" s="1"/>
  <c r="T434" i="18"/>
  <c r="U434" i="18" s="1"/>
  <c r="T438" i="18"/>
  <c r="U438" i="18" s="1"/>
  <c r="R434" i="18"/>
  <c r="S434" i="18" s="1"/>
  <c r="R438" i="18"/>
  <c r="S438" i="18" s="1"/>
  <c r="V436" i="18"/>
  <c r="W436" i="18" s="1"/>
  <c r="T439" i="18"/>
  <c r="U439" i="18" s="1"/>
  <c r="F416" i="18"/>
  <c r="F435" i="18" s="1"/>
  <c r="R439" i="18" s="1"/>
  <c r="S439" i="18" s="1"/>
  <c r="F414" i="18"/>
  <c r="F433" i="18" s="1"/>
  <c r="R437" i="18" s="1"/>
  <c r="S437" i="18" s="1"/>
  <c r="W26" i="117"/>
  <c r="Y26" i="117"/>
  <c r="X26" i="117"/>
  <c r="AR26" i="117" s="1"/>
  <c r="BQ22" i="1"/>
  <c r="CH22" i="1" s="1"/>
  <c r="V98" i="1"/>
  <c r="O98" i="1" s="1"/>
  <c r="BS66" i="1"/>
  <c r="CJ66" i="1" s="1"/>
  <c r="Y16" i="117"/>
  <c r="Y18" i="117"/>
  <c r="BR66" i="1"/>
  <c r="CI66" i="1" s="1"/>
  <c r="Y17" i="117"/>
  <c r="BT66" i="1"/>
  <c r="CK66" i="1" s="1"/>
  <c r="BA26" i="117"/>
  <c r="BU13" i="1"/>
  <c r="CL13" i="1" s="1"/>
  <c r="BU66" i="1"/>
  <c r="CL66" i="1" s="1"/>
  <c r="BU12" i="1"/>
  <c r="CL12" i="1" s="1"/>
  <c r="BU22" i="1"/>
  <c r="CL22" i="1" s="1"/>
  <c r="BU25" i="1"/>
  <c r="CL25" i="1" s="1"/>
  <c r="BU14" i="1"/>
  <c r="CL14" i="1" s="1"/>
  <c r="C416" i="18"/>
  <c r="C435" i="18" s="1"/>
  <c r="R413" i="18" s="1"/>
  <c r="S413" i="18" s="1"/>
  <c r="C413" i="18"/>
  <c r="C432" i="18" s="1"/>
  <c r="R406" i="18" s="1"/>
  <c r="S406" i="18" s="1"/>
  <c r="R21" i="1" s="1"/>
  <c r="BL87" i="1"/>
  <c r="BJ87" i="1"/>
  <c r="BM87" i="1"/>
  <c r="AX87" i="1"/>
  <c r="BK87" i="1"/>
  <c r="AY87" i="1"/>
  <c r="AZ87" i="1"/>
  <c r="BA87" i="1"/>
  <c r="H91" i="117" s="1"/>
  <c r="R408" i="18"/>
  <c r="S408" i="18" s="1"/>
  <c r="S417" i="18" s="1"/>
  <c r="R412" i="18"/>
  <c r="S412" i="18" s="1"/>
  <c r="V407" i="18"/>
  <c r="W407" i="18" s="1"/>
  <c r="V413" i="18"/>
  <c r="W413" i="18" s="1"/>
  <c r="V409" i="18"/>
  <c r="W409" i="18" s="1"/>
  <c r="C440" i="18"/>
  <c r="V406" i="18" s="1"/>
  <c r="V412" i="18"/>
  <c r="W412" i="18" s="1"/>
  <c r="V408" i="18"/>
  <c r="T412" i="18"/>
  <c r="U412" i="18" s="1"/>
  <c r="T408" i="18"/>
  <c r="V411" i="18"/>
  <c r="W411" i="18" s="1"/>
  <c r="C421" i="18"/>
  <c r="C414" i="18"/>
  <c r="C433" i="18" s="1"/>
  <c r="R411" i="18" s="1"/>
  <c r="S411" i="18" s="1"/>
  <c r="C422" i="18"/>
  <c r="Q213" i="18"/>
  <c r="Q214" i="18"/>
  <c r="M307" i="18"/>
  <c r="M308" i="18"/>
  <c r="M309" i="18"/>
  <c r="M310" i="18"/>
  <c r="A308" i="18"/>
  <c r="A309" i="18"/>
  <c r="A310" i="18"/>
  <c r="A311" i="18"/>
  <c r="A312" i="18"/>
  <c r="A313" i="18"/>
  <c r="A314" i="18"/>
  <c r="A315" i="18"/>
  <c r="A316" i="18"/>
  <c r="A317" i="18"/>
  <c r="A318" i="18"/>
  <c r="A307" i="18"/>
  <c r="M304" i="18"/>
  <c r="M305" i="18"/>
  <c r="M306" i="18"/>
  <c r="M303" i="18"/>
  <c r="AW29" i="117" l="1"/>
  <c r="BB29" i="117" s="1"/>
  <c r="AW70" i="117"/>
  <c r="AW16" i="117"/>
  <c r="BB16" i="117" s="1"/>
  <c r="AW18" i="117"/>
  <c r="BB18" i="117" s="1"/>
  <c r="AW17" i="117"/>
  <c r="BB17" i="117" s="1"/>
  <c r="AW26" i="117"/>
  <c r="AX26" i="117" s="1"/>
  <c r="Z17" i="117"/>
  <c r="BC29" i="117"/>
  <c r="V26" i="117"/>
  <c r="AF26" i="117" s="1"/>
  <c r="Z18" i="117"/>
  <c r="Z16" i="117"/>
  <c r="AE16" i="117"/>
  <c r="AY16" i="117" s="1"/>
  <c r="BC16" i="117" s="1"/>
  <c r="AE18" i="117"/>
  <c r="AY18" i="117" s="1"/>
  <c r="BC18" i="117" s="1"/>
  <c r="AE91" i="117"/>
  <c r="AY91" i="117" s="1"/>
  <c r="AE17" i="117"/>
  <c r="AY17" i="117" s="1"/>
  <c r="BC17" i="117" s="1"/>
  <c r="Y91" i="117"/>
  <c r="AU91" i="117"/>
  <c r="X91" i="117"/>
  <c r="AQ91" i="117"/>
  <c r="BA91" i="117" s="1"/>
  <c r="W91" i="117"/>
  <c r="AK91" i="117"/>
  <c r="AZ91" i="117" s="1"/>
  <c r="AL26" i="117"/>
  <c r="R435" i="18"/>
  <c r="S435" i="18" s="1"/>
  <c r="R433" i="18"/>
  <c r="S433" i="18" s="1"/>
  <c r="BK98" i="1"/>
  <c r="BR87" i="1"/>
  <c r="CI87" i="1" s="1"/>
  <c r="V91" i="117"/>
  <c r="BJ98" i="1"/>
  <c r="AH21" i="1"/>
  <c r="AI21" i="1"/>
  <c r="AJ21" i="1"/>
  <c r="AK21" i="1"/>
  <c r="AZ98" i="1"/>
  <c r="BL98" i="1"/>
  <c r="AX17" i="117"/>
  <c r="BA98" i="1"/>
  <c r="BM98" i="1"/>
  <c r="AY98" i="1"/>
  <c r="AX16" i="117"/>
  <c r="AX98" i="1"/>
  <c r="AX18" i="117"/>
  <c r="BT87" i="1"/>
  <c r="CK87" i="1" s="1"/>
  <c r="BS87" i="1"/>
  <c r="CJ87" i="1" s="1"/>
  <c r="BU87" i="1"/>
  <c r="CL87" i="1" s="1"/>
  <c r="R409" i="18"/>
  <c r="S409" i="18" s="1"/>
  <c r="S418" i="18" s="1"/>
  <c r="U408" i="18"/>
  <c r="T417" i="18" s="1"/>
  <c r="W408" i="18"/>
  <c r="W406" i="18"/>
  <c r="V21" i="1" s="1"/>
  <c r="O21" i="1" s="1"/>
  <c r="R61" i="1"/>
  <c r="BG21" i="1"/>
  <c r="BF21" i="1"/>
  <c r="BI21" i="1"/>
  <c r="BH21" i="1"/>
  <c r="R410" i="18"/>
  <c r="S410" i="18" s="1"/>
  <c r="T305" i="18"/>
  <c r="V410" i="18"/>
  <c r="W410" i="18" s="1"/>
  <c r="T308" i="18"/>
  <c r="T304" i="18"/>
  <c r="R407" i="18"/>
  <c r="S407" i="18" s="1"/>
  <c r="S416" i="18" s="1"/>
  <c r="T310" i="18"/>
  <c r="T306" i="18"/>
  <c r="C439" i="18"/>
  <c r="C437" i="18"/>
  <c r="C436" i="18"/>
  <c r="T309" i="18"/>
  <c r="BB26" i="117" l="1"/>
  <c r="BC26" i="117" s="1"/>
  <c r="AW91" i="117"/>
  <c r="BB91" i="117" s="1"/>
  <c r="BC91" i="117" s="1"/>
  <c r="AK102" i="117"/>
  <c r="AZ102" i="117" s="1"/>
  <c r="Z26" i="117"/>
  <c r="AF17" i="117"/>
  <c r="AF16" i="117"/>
  <c r="AQ102" i="117"/>
  <c r="BA102" i="117" s="1"/>
  <c r="AF18" i="117"/>
  <c r="AU102" i="117"/>
  <c r="H102" i="117"/>
  <c r="AE102" i="117" s="1"/>
  <c r="AY102" i="117" s="1"/>
  <c r="AR91" i="117"/>
  <c r="BP21" i="1"/>
  <c r="CG21" i="1" s="1"/>
  <c r="BO21" i="1"/>
  <c r="CF21" i="1" s="1"/>
  <c r="AX91" i="117"/>
  <c r="BN21" i="1"/>
  <c r="CE21" i="1" s="1"/>
  <c r="BQ21" i="1"/>
  <c r="CH21" i="1" s="1"/>
  <c r="AL91" i="117"/>
  <c r="Z91" i="117"/>
  <c r="AF91" i="117"/>
  <c r="X102" i="117"/>
  <c r="BR98" i="1"/>
  <c r="CI98" i="1" s="1"/>
  <c r="Y102" i="117"/>
  <c r="W102" i="117"/>
  <c r="BT98" i="1"/>
  <c r="CK98" i="1" s="1"/>
  <c r="S419" i="18"/>
  <c r="BS98" i="1"/>
  <c r="CJ98" i="1" s="1"/>
  <c r="BU98" i="1"/>
  <c r="CL98" i="1" s="1"/>
  <c r="AJ61" i="1"/>
  <c r="AH61" i="1"/>
  <c r="AK61" i="1"/>
  <c r="AI61" i="1"/>
  <c r="V61" i="1"/>
  <c r="O61" i="1" s="1"/>
  <c r="BL21" i="1"/>
  <c r="BM21" i="1"/>
  <c r="BJ21" i="1"/>
  <c r="BK21" i="1"/>
  <c r="AX21" i="1"/>
  <c r="AY21" i="1"/>
  <c r="AZ21" i="1"/>
  <c r="AQ25" i="117" s="1"/>
  <c r="BA25" i="117" s="1"/>
  <c r="BA21" i="1"/>
  <c r="BF61" i="1"/>
  <c r="BI61" i="1"/>
  <c r="BG61" i="1"/>
  <c r="BH61" i="1"/>
  <c r="U82" i="1"/>
  <c r="U61" i="1"/>
  <c r="T410" i="18"/>
  <c r="U410" i="18" s="1"/>
  <c r="T406" i="18"/>
  <c r="T413" i="18"/>
  <c r="U413" i="18" s="1"/>
  <c r="T409" i="18"/>
  <c r="U409" i="18" s="1"/>
  <c r="T418" i="18" s="1"/>
  <c r="T411" i="18"/>
  <c r="U411" i="18" s="1"/>
  <c r="T407" i="18"/>
  <c r="U407" i="18" s="1"/>
  <c r="T416" i="18" s="1"/>
  <c r="U216" i="18"/>
  <c r="S19" i="1" s="1"/>
  <c r="W216" i="18"/>
  <c r="U19" i="1" s="1"/>
  <c r="U217" i="18"/>
  <c r="W217" i="18"/>
  <c r="U218" i="18"/>
  <c r="W218" i="18"/>
  <c r="U219" i="18"/>
  <c r="W219" i="18"/>
  <c r="Q215" i="18"/>
  <c r="A236" i="18"/>
  <c r="A237" i="18"/>
  <c r="A238" i="18"/>
  <c r="A239" i="18"/>
  <c r="A240" i="18"/>
  <c r="A241" i="18"/>
  <c r="A242" i="18"/>
  <c r="A243" i="18"/>
  <c r="A244" i="18"/>
  <c r="A245" i="18"/>
  <c r="A246" i="18"/>
  <c r="A235" i="18"/>
  <c r="AW102" i="117" l="1"/>
  <c r="BB102" i="117" s="1"/>
  <c r="BC102" i="117" s="1"/>
  <c r="X231" i="18"/>
  <c r="X235" i="18" s="1"/>
  <c r="T230" i="18"/>
  <c r="T234" i="18" s="1"/>
  <c r="T229" i="18"/>
  <c r="T233" i="18" s="1"/>
  <c r="X232" i="18"/>
  <c r="X236" i="18" s="1"/>
  <c r="T231" i="18"/>
  <c r="T235" i="18" s="1"/>
  <c r="X230" i="18"/>
  <c r="X234" i="18" s="1"/>
  <c r="X229" i="18"/>
  <c r="X233" i="18" s="1"/>
  <c r="T232" i="18"/>
  <c r="T236" i="18" s="1"/>
  <c r="AL102" i="117"/>
  <c r="AR102" i="117"/>
  <c r="AK25" i="117"/>
  <c r="AZ25" i="117" s="1"/>
  <c r="AU25" i="117"/>
  <c r="H25" i="117"/>
  <c r="V102" i="117"/>
  <c r="AF102" i="117" s="1"/>
  <c r="BP61" i="1"/>
  <c r="CG61" i="1" s="1"/>
  <c r="BO61" i="1"/>
  <c r="CF61" i="1" s="1"/>
  <c r="BN61" i="1"/>
  <c r="CE61" i="1" s="1"/>
  <c r="BT21" i="1"/>
  <c r="CK21" i="1" s="1"/>
  <c r="BS21" i="1"/>
  <c r="CJ21" i="1" s="1"/>
  <c r="BR21" i="1"/>
  <c r="CI21" i="1" s="1"/>
  <c r="BQ61" i="1"/>
  <c r="CH61" i="1" s="1"/>
  <c r="BU21" i="1"/>
  <c r="CL21" i="1" s="1"/>
  <c r="T419" i="18"/>
  <c r="U59" i="1"/>
  <c r="U80" i="1"/>
  <c r="S80" i="1"/>
  <c r="S59" i="1"/>
  <c r="AX61" i="1"/>
  <c r="BJ61" i="1"/>
  <c r="BK61" i="1"/>
  <c r="BL61" i="1"/>
  <c r="BM61" i="1"/>
  <c r="AY61" i="1"/>
  <c r="AZ61" i="1"/>
  <c r="BA61" i="1"/>
  <c r="U406" i="18"/>
  <c r="T21" i="1" s="1"/>
  <c r="T85" i="1" s="1"/>
  <c r="X213" i="18"/>
  <c r="X217" i="18" s="1"/>
  <c r="X215" i="18"/>
  <c r="X219" i="18" s="1"/>
  <c r="X214" i="18"/>
  <c r="X218" i="18" s="1"/>
  <c r="AX102" i="117" l="1"/>
  <c r="AW25" i="117"/>
  <c r="BB25" i="117" s="1"/>
  <c r="AP85" i="1"/>
  <c r="AQ85" i="1"/>
  <c r="AR85" i="1"/>
  <c r="AS85" i="1"/>
  <c r="R89" i="117" s="1"/>
  <c r="AK65" i="117"/>
  <c r="AZ65" i="117" s="1"/>
  <c r="AQ65" i="117"/>
  <c r="BA65" i="117" s="1"/>
  <c r="Z102" i="117"/>
  <c r="H86" i="117"/>
  <c r="AU65" i="117"/>
  <c r="H65" i="117"/>
  <c r="W86" i="117"/>
  <c r="Y86" i="117"/>
  <c r="X86" i="117"/>
  <c r="Y49" i="117"/>
  <c r="Y70" i="117"/>
  <c r="BS61" i="1"/>
  <c r="CJ61" i="1" s="1"/>
  <c r="W70" i="117"/>
  <c r="BT61" i="1"/>
  <c r="CK61" i="1" s="1"/>
  <c r="X49" i="117"/>
  <c r="X70" i="117"/>
  <c r="BR61" i="1"/>
  <c r="CI61" i="1" s="1"/>
  <c r="V70" i="117"/>
  <c r="BU61" i="1"/>
  <c r="CL61" i="1" s="1"/>
  <c r="S82" i="1"/>
  <c r="S61" i="1"/>
  <c r="T82" i="1"/>
  <c r="T61" i="1"/>
  <c r="AP21" i="1"/>
  <c r="AQ21" i="1"/>
  <c r="AR21" i="1"/>
  <c r="AS21" i="1"/>
  <c r="R25" i="117" s="1"/>
  <c r="AE25" i="117" s="1"/>
  <c r="AY25" i="117" s="1"/>
  <c r="BC25" i="117" s="1"/>
  <c r="O89" i="18"/>
  <c r="O81" i="18"/>
  <c r="D74" i="18"/>
  <c r="O77" i="18"/>
  <c r="O78" i="18"/>
  <c r="O80" i="18"/>
  <c r="O82" i="18"/>
  <c r="O83" i="18"/>
  <c r="O79" i="18"/>
  <c r="O84" i="18"/>
  <c r="O85" i="18"/>
  <c r="O86" i="18"/>
  <c r="O87" i="18"/>
  <c r="O88" i="18"/>
  <c r="O90" i="18"/>
  <c r="O91" i="18"/>
  <c r="O76" i="18"/>
  <c r="A148" i="18"/>
  <c r="A149" i="18"/>
  <c r="A150" i="18"/>
  <c r="A151" i="18"/>
  <c r="A152" i="18"/>
  <c r="A153" i="18"/>
  <c r="A154" i="18"/>
  <c r="A155" i="18"/>
  <c r="A156" i="18"/>
  <c r="A157" i="18"/>
  <c r="A158" i="18"/>
  <c r="A147" i="18"/>
  <c r="R334" i="18"/>
  <c r="J334" i="18"/>
  <c r="R333" i="18"/>
  <c r="J333" i="18"/>
  <c r="R332" i="18"/>
  <c r="J332" i="18"/>
  <c r="R331" i="18"/>
  <c r="J331" i="18"/>
  <c r="J329" i="18"/>
  <c r="J327" i="18"/>
  <c r="J328" i="18"/>
  <c r="J326" i="18"/>
  <c r="P349" i="18"/>
  <c r="P348" i="18"/>
  <c r="P347" i="18"/>
  <c r="P339" i="18"/>
  <c r="O340" i="18"/>
  <c r="P341" i="18"/>
  <c r="H14" i="19"/>
  <c r="G14" i="19"/>
  <c r="V77" i="18" s="1"/>
  <c r="P331" i="18"/>
  <c r="C358" i="18"/>
  <c r="C339" i="18"/>
  <c r="C344" i="18" s="1"/>
  <c r="R329" i="18"/>
  <c r="R328" i="18"/>
  <c r="R327" i="18"/>
  <c r="R326" i="18"/>
  <c r="AW65" i="117" l="1"/>
  <c r="BB65" i="117" s="1"/>
  <c r="C357" i="18"/>
  <c r="AL49" i="117"/>
  <c r="Z49" i="117"/>
  <c r="AR49" i="117"/>
  <c r="AF70" i="117"/>
  <c r="AY70" i="117"/>
  <c r="AX70" i="117"/>
  <c r="BB70" i="117"/>
  <c r="AR70" i="117"/>
  <c r="BA70" i="117"/>
  <c r="AL70" i="117"/>
  <c r="AZ70" i="117"/>
  <c r="AF49" i="117"/>
  <c r="Z70" i="117"/>
  <c r="AP61" i="1"/>
  <c r="AQ61" i="1"/>
  <c r="AR61" i="1"/>
  <c r="AS61" i="1"/>
  <c r="R65" i="117" s="1"/>
  <c r="AE65" i="117" s="1"/>
  <c r="AY65" i="117" s="1"/>
  <c r="AP82" i="1"/>
  <c r="AQ82" i="1"/>
  <c r="AS82" i="1"/>
  <c r="R86" i="117" s="1"/>
  <c r="AR82" i="1"/>
  <c r="C356" i="18"/>
  <c r="P346" i="18"/>
  <c r="V18" i="1" s="1"/>
  <c r="V76" i="18"/>
  <c r="V89" i="18"/>
  <c r="V85" i="18"/>
  <c r="V81" i="18"/>
  <c r="L333" i="18"/>
  <c r="N348" i="18" s="1"/>
  <c r="N355" i="18" s="1"/>
  <c r="L328" i="18"/>
  <c r="N340" i="18" s="1"/>
  <c r="V84" i="18"/>
  <c r="V88" i="18"/>
  <c r="V79" i="18"/>
  <c r="V80" i="18"/>
  <c r="V91" i="18"/>
  <c r="V87" i="18"/>
  <c r="V83" i="18"/>
  <c r="V78" i="18"/>
  <c r="P340" i="18"/>
  <c r="V90" i="18"/>
  <c r="V86" i="18"/>
  <c r="V82" i="18"/>
  <c r="P326" i="18"/>
  <c r="P338" i="18" s="1"/>
  <c r="V30" i="1" s="1"/>
  <c r="C365" i="18"/>
  <c r="C364" i="18"/>
  <c r="C359" i="18"/>
  <c r="BC65" i="117" l="1"/>
  <c r="V86" i="117"/>
  <c r="Z86" i="117" s="1"/>
  <c r="AB339" i="18"/>
  <c r="AB341" i="18"/>
  <c r="AB338" i="18"/>
  <c r="AA345" i="18"/>
  <c r="AA338" i="18"/>
  <c r="AB345" i="18"/>
  <c r="AB346" i="18"/>
  <c r="AB347" i="18"/>
  <c r="AB348" i="18"/>
  <c r="AX49" i="117"/>
  <c r="BC70" i="117"/>
  <c r="L326" i="18"/>
  <c r="N338" i="18" s="1"/>
  <c r="R30" i="1" s="1"/>
  <c r="V71" i="1"/>
  <c r="V92" i="1"/>
  <c r="AX30" i="1"/>
  <c r="BJ30" i="1"/>
  <c r="BM30" i="1"/>
  <c r="BK30" i="1"/>
  <c r="BL30" i="1"/>
  <c r="AY30" i="1"/>
  <c r="AZ30" i="1"/>
  <c r="BA30" i="1"/>
  <c r="AX18" i="1"/>
  <c r="AZ18" i="1"/>
  <c r="AQ22" i="117" s="1"/>
  <c r="BA22" i="117" s="1"/>
  <c r="AY18" i="1"/>
  <c r="BS18" i="1" s="1"/>
  <c r="CJ18" i="1" s="1"/>
  <c r="BA18" i="1"/>
  <c r="V79" i="1"/>
  <c r="V58" i="1"/>
  <c r="BM18" i="1"/>
  <c r="BJ18" i="1"/>
  <c r="BK18" i="1"/>
  <c r="BL18" i="1"/>
  <c r="L331" i="18"/>
  <c r="N346" i="18" s="1"/>
  <c r="R18" i="1" s="1"/>
  <c r="L329" i="18"/>
  <c r="N341" i="18" s="1"/>
  <c r="L334" i="18"/>
  <c r="N349" i="18" s="1"/>
  <c r="N356" i="18" s="1"/>
  <c r="N329" i="18"/>
  <c r="O341" i="18" s="1"/>
  <c r="N327" i="18"/>
  <c r="O339" i="18" s="1"/>
  <c r="N326" i="18"/>
  <c r="O338" i="18" s="1"/>
  <c r="T30" i="1" s="1"/>
  <c r="N331" i="18"/>
  <c r="O346" i="18" s="1"/>
  <c r="T18" i="1" s="1"/>
  <c r="N332" i="18"/>
  <c r="O347" i="18" s="1"/>
  <c r="O354" i="18" s="1"/>
  <c r="N333" i="18"/>
  <c r="O348" i="18" s="1"/>
  <c r="O355" i="18" s="1"/>
  <c r="N334" i="18"/>
  <c r="O349" i="18" s="1"/>
  <c r="O356" i="18" s="1"/>
  <c r="L327" i="18"/>
  <c r="N339" i="18" s="1"/>
  <c r="L332" i="18"/>
  <c r="N347" i="18" s="1"/>
  <c r="N354" i="18" s="1"/>
  <c r="AK22" i="117" l="1"/>
  <c r="AZ22" i="117" s="1"/>
  <c r="AQ34" i="117"/>
  <c r="BA34" i="117" s="1"/>
  <c r="AK34" i="117"/>
  <c r="AZ34" i="117" s="1"/>
  <c r="AU22" i="117"/>
  <c r="H22" i="117"/>
  <c r="H34" i="117"/>
  <c r="Y34" i="117"/>
  <c r="AU34" i="117"/>
  <c r="O30" i="1"/>
  <c r="AH30" i="1"/>
  <c r="AI30" i="1"/>
  <c r="AJ30" i="1"/>
  <c r="AK30" i="1"/>
  <c r="O18" i="1"/>
  <c r="AH18" i="1"/>
  <c r="AI18" i="1"/>
  <c r="AJ18" i="1"/>
  <c r="AK18" i="1"/>
  <c r="BT18" i="1"/>
  <c r="CK18" i="1" s="1"/>
  <c r="BS30" i="1"/>
  <c r="CJ30" i="1" s="1"/>
  <c r="W34" i="117"/>
  <c r="BR18" i="1"/>
  <c r="CI18" i="1" s="1"/>
  <c r="BR30" i="1"/>
  <c r="CI30" i="1" s="1"/>
  <c r="BT30" i="1"/>
  <c r="CK30" i="1" s="1"/>
  <c r="X34" i="117"/>
  <c r="BU30" i="1"/>
  <c r="CL30" i="1" s="1"/>
  <c r="BU18" i="1"/>
  <c r="CL18" i="1" s="1"/>
  <c r="N357" i="18"/>
  <c r="O357" i="18"/>
  <c r="T71" i="1"/>
  <c r="T92" i="1"/>
  <c r="AP30" i="1"/>
  <c r="AQ30" i="1"/>
  <c r="AR30" i="1"/>
  <c r="AS30" i="1"/>
  <c r="R34" i="117" s="1"/>
  <c r="AP18" i="1"/>
  <c r="AQ18" i="1"/>
  <c r="AR18" i="1"/>
  <c r="AS18" i="1"/>
  <c r="R22" i="117" s="1"/>
  <c r="AX92" i="1"/>
  <c r="BL92" i="1"/>
  <c r="BJ92" i="1"/>
  <c r="BM92" i="1"/>
  <c r="BK92" i="1"/>
  <c r="AY92" i="1"/>
  <c r="AZ92" i="1"/>
  <c r="BA92" i="1"/>
  <c r="R92" i="1"/>
  <c r="R71" i="1"/>
  <c r="BJ71" i="1"/>
  <c r="BM71" i="1"/>
  <c r="AX71" i="1"/>
  <c r="BK71" i="1"/>
  <c r="BL71" i="1"/>
  <c r="AY71" i="1"/>
  <c r="AZ71" i="1"/>
  <c r="BA71" i="1"/>
  <c r="BA58" i="1"/>
  <c r="BU58" i="1" s="1"/>
  <c r="CL58" i="1" s="1"/>
  <c r="AX58" i="1"/>
  <c r="AY58" i="1"/>
  <c r="AZ58" i="1"/>
  <c r="BK58" i="1"/>
  <c r="BJ58" i="1"/>
  <c r="BL58" i="1"/>
  <c r="BM58" i="1"/>
  <c r="AY79" i="1"/>
  <c r="AX79" i="1"/>
  <c r="BA79" i="1"/>
  <c r="AZ79" i="1"/>
  <c r="BK79" i="1"/>
  <c r="BJ79" i="1"/>
  <c r="BL79" i="1"/>
  <c r="BM79" i="1"/>
  <c r="T79" i="1"/>
  <c r="T58" i="1"/>
  <c r="R79" i="1"/>
  <c r="R58" i="1"/>
  <c r="BG18" i="1"/>
  <c r="BH18" i="1"/>
  <c r="BF18" i="1"/>
  <c r="BI18" i="1"/>
  <c r="BF30" i="1"/>
  <c r="BG30" i="1"/>
  <c r="BI30" i="1"/>
  <c r="BH30" i="1"/>
  <c r="C219" i="17"/>
  <c r="V17" i="1" s="1"/>
  <c r="O17" i="1" s="1"/>
  <c r="C201" i="17"/>
  <c r="C171" i="17"/>
  <c r="V7" i="1" s="1"/>
  <c r="O7" i="1" s="1"/>
  <c r="C170" i="17"/>
  <c r="V16" i="1" s="1"/>
  <c r="O16" i="1" s="1"/>
  <c r="V310" i="18"/>
  <c r="V309" i="18"/>
  <c r="V308" i="18"/>
  <c r="V307" i="18"/>
  <c r="V306" i="18"/>
  <c r="V305" i="18"/>
  <c r="V304" i="18"/>
  <c r="V303" i="18"/>
  <c r="D283" i="18"/>
  <c r="C283" i="18"/>
  <c r="D274" i="18"/>
  <c r="C274" i="18"/>
  <c r="D266" i="18"/>
  <c r="C266" i="18"/>
  <c r="C241" i="18"/>
  <c r="Z215" i="18"/>
  <c r="Z214" i="18"/>
  <c r="D230" i="18"/>
  <c r="D232" i="18" s="1"/>
  <c r="C230" i="18"/>
  <c r="C232" i="18" s="1"/>
  <c r="C243" i="18" s="1"/>
  <c r="X212" i="18" s="1"/>
  <c r="X216" i="18" s="1"/>
  <c r="V19" i="1" s="1"/>
  <c r="Z213" i="18"/>
  <c r="Z212" i="18"/>
  <c r="E217" i="18"/>
  <c r="E216" i="18"/>
  <c r="E215" i="18"/>
  <c r="E214" i="18"/>
  <c r="D212" i="18"/>
  <c r="D216" i="18" s="1"/>
  <c r="C212" i="18"/>
  <c r="C216" i="18" s="1"/>
  <c r="C237" i="18" s="1"/>
  <c r="T214" i="18" s="1"/>
  <c r="T218" i="18" s="1"/>
  <c r="N223" i="18" s="1"/>
  <c r="D209" i="18"/>
  <c r="D211" i="18" s="1"/>
  <c r="C209" i="18"/>
  <c r="C211" i="18" s="1"/>
  <c r="D200" i="18"/>
  <c r="D202" i="18" s="1"/>
  <c r="C200" i="18"/>
  <c r="K153" i="18"/>
  <c r="J153" i="18"/>
  <c r="I153" i="18"/>
  <c r="H153" i="18"/>
  <c r="G153" i="18"/>
  <c r="F153" i="18"/>
  <c r="E153" i="18"/>
  <c r="D153" i="18"/>
  <c r="I155" i="18"/>
  <c r="E155" i="18"/>
  <c r="D155" i="18"/>
  <c r="K115" i="18"/>
  <c r="K149" i="18" s="1"/>
  <c r="J115" i="18"/>
  <c r="J149" i="18" s="1"/>
  <c r="I115" i="18"/>
  <c r="I149" i="18" s="1"/>
  <c r="H115" i="18"/>
  <c r="H149" i="18" s="1"/>
  <c r="G115" i="18"/>
  <c r="G149" i="18" s="1"/>
  <c r="F115" i="18"/>
  <c r="F149" i="18" s="1"/>
  <c r="E115" i="18"/>
  <c r="E149" i="18" s="1"/>
  <c r="D115" i="18"/>
  <c r="D149" i="18" s="1"/>
  <c r="K104" i="18"/>
  <c r="K108" i="18" s="1"/>
  <c r="J104" i="18"/>
  <c r="J108" i="18" s="1"/>
  <c r="I104" i="18"/>
  <c r="I108" i="18" s="1"/>
  <c r="H104" i="18"/>
  <c r="H108" i="18" s="1"/>
  <c r="G104" i="18"/>
  <c r="G108" i="18" s="1"/>
  <c r="F104" i="18"/>
  <c r="F108" i="18" s="1"/>
  <c r="E104" i="18"/>
  <c r="E108" i="18" s="1"/>
  <c r="D104" i="18"/>
  <c r="D108" i="18" s="1"/>
  <c r="K88" i="18"/>
  <c r="K95" i="18" s="1"/>
  <c r="J88" i="18"/>
  <c r="J95" i="18" s="1"/>
  <c r="I88" i="18"/>
  <c r="I95" i="18" s="1"/>
  <c r="H88" i="18"/>
  <c r="H95" i="18" s="1"/>
  <c r="G88" i="18"/>
  <c r="G95" i="18" s="1"/>
  <c r="F88" i="18"/>
  <c r="E88" i="18"/>
  <c r="D88" i="18"/>
  <c r="D95" i="18" s="1"/>
  <c r="K74" i="18"/>
  <c r="J74" i="18"/>
  <c r="I74" i="18"/>
  <c r="H74" i="18"/>
  <c r="G74" i="18"/>
  <c r="F74" i="18"/>
  <c r="E74" i="18"/>
  <c r="C57" i="18"/>
  <c r="C56" i="18"/>
  <c r="C49" i="18"/>
  <c r="C48" i="18"/>
  <c r="P46" i="18"/>
  <c r="P45" i="18"/>
  <c r="P44" i="18"/>
  <c r="P43" i="18"/>
  <c r="C239" i="17"/>
  <c r="U239" i="17"/>
  <c r="P273" i="17"/>
  <c r="C29" i="18"/>
  <c r="C24" i="18"/>
  <c r="R23" i="18"/>
  <c r="R22" i="18"/>
  <c r="R10" i="18" s="1"/>
  <c r="R11" i="18" s="1"/>
  <c r="C20" i="18"/>
  <c r="W29" i="18" s="1"/>
  <c r="C19" i="18"/>
  <c r="R14" i="18"/>
  <c r="C13" i="18" s="1"/>
  <c r="C126" i="17"/>
  <c r="C44" i="17"/>
  <c r="C43" i="17"/>
  <c r="V11" i="1" s="1"/>
  <c r="C37" i="17"/>
  <c r="AW34" i="117" l="1"/>
  <c r="BB34" i="117" s="1"/>
  <c r="AW22" i="117"/>
  <c r="BB22" i="117" s="1"/>
  <c r="E95" i="18"/>
  <c r="E113" i="18" s="1"/>
  <c r="F95" i="18"/>
  <c r="F114" i="18" s="1"/>
  <c r="F148" i="18" s="1"/>
  <c r="W76" i="18" s="1"/>
  <c r="X76" i="18" s="1"/>
  <c r="V214" i="18"/>
  <c r="V218" i="18" s="1"/>
  <c r="O223" i="18" s="1"/>
  <c r="V231" i="18"/>
  <c r="V235" i="18" s="1"/>
  <c r="AL34" i="117"/>
  <c r="AE22" i="117"/>
  <c r="AY22" i="117" s="1"/>
  <c r="AR34" i="117"/>
  <c r="AK62" i="117"/>
  <c r="AQ75" i="117"/>
  <c r="BA75" i="117" s="1"/>
  <c r="AQ96" i="117"/>
  <c r="BA96" i="117" s="1"/>
  <c r="O92" i="1"/>
  <c r="O58" i="1"/>
  <c r="O79" i="1"/>
  <c r="O71" i="1"/>
  <c r="AE34" i="117"/>
  <c r="AY34" i="117" s="1"/>
  <c r="AU62" i="117"/>
  <c r="H62" i="117"/>
  <c r="AQ62" i="117"/>
  <c r="AU75" i="117"/>
  <c r="H75" i="117"/>
  <c r="AK96" i="117"/>
  <c r="AZ96" i="117" s="1"/>
  <c r="V34" i="117"/>
  <c r="H83" i="117"/>
  <c r="AK75" i="117"/>
  <c r="AZ75" i="117" s="1"/>
  <c r="AU96" i="117"/>
  <c r="H96" i="117"/>
  <c r="BT79" i="1"/>
  <c r="CK79" i="1" s="1"/>
  <c r="AQ83" i="117"/>
  <c r="BA83" i="117" s="1"/>
  <c r="BN18" i="1"/>
  <c r="CE18" i="1" s="1"/>
  <c r="BO30" i="1"/>
  <c r="CF30" i="1" s="1"/>
  <c r="BU79" i="1"/>
  <c r="CL79" i="1" s="1"/>
  <c r="AU83" i="117"/>
  <c r="BR79" i="1"/>
  <c r="CI79" i="1" s="1"/>
  <c r="BS79" i="1"/>
  <c r="CJ79" i="1" s="1"/>
  <c r="AK83" i="117"/>
  <c r="AZ83" i="117" s="1"/>
  <c r="BP30" i="1"/>
  <c r="CG30" i="1" s="1"/>
  <c r="Q44" i="18"/>
  <c r="Q43" i="18"/>
  <c r="C203" i="17"/>
  <c r="C205" i="17" s="1"/>
  <c r="C207" i="17" s="1"/>
  <c r="C220" i="17"/>
  <c r="V8" i="1" s="1"/>
  <c r="O8" i="1" s="1"/>
  <c r="C74" i="17"/>
  <c r="C76" i="17" s="1"/>
  <c r="C78" i="17" s="1"/>
  <c r="C84" i="17" s="1"/>
  <c r="C75" i="17"/>
  <c r="C77" i="17" s="1"/>
  <c r="C79" i="17" s="1"/>
  <c r="C85" i="17" s="1"/>
  <c r="M29" i="18"/>
  <c r="R29" i="18" s="1"/>
  <c r="V29" i="18"/>
  <c r="W31" i="18"/>
  <c r="AB36" i="18"/>
  <c r="AB31" i="18"/>
  <c r="V31" i="18"/>
  <c r="AB35" i="18"/>
  <c r="AB30" i="18"/>
  <c r="BU92" i="1"/>
  <c r="CL92" i="1" s="1"/>
  <c r="Y96" i="117"/>
  <c r="BT92" i="1"/>
  <c r="CK92" i="1" s="1"/>
  <c r="X96" i="117"/>
  <c r="BR92" i="1"/>
  <c r="CI92" i="1" s="1"/>
  <c r="BS92" i="1"/>
  <c r="CJ92" i="1" s="1"/>
  <c r="W96" i="117"/>
  <c r="O11" i="1"/>
  <c r="O99" i="1" s="1"/>
  <c r="BP18" i="1"/>
  <c r="CG18" i="1" s="1"/>
  <c r="BQ30" i="1"/>
  <c r="CH30" i="1" s="1"/>
  <c r="BO18" i="1"/>
  <c r="CF18" i="1" s="1"/>
  <c r="BN30" i="1"/>
  <c r="CE30" i="1" s="1"/>
  <c r="BQ18" i="1"/>
  <c r="CH18" i="1" s="1"/>
  <c r="BS71" i="1"/>
  <c r="CJ71" i="1" s="1"/>
  <c r="BT58" i="1"/>
  <c r="CK58" i="1" s="1"/>
  <c r="X46" i="117"/>
  <c r="BR58" i="1"/>
  <c r="CI58" i="1" s="1"/>
  <c r="BS58" i="1"/>
  <c r="CJ58" i="1" s="1"/>
  <c r="BT71" i="1"/>
  <c r="CK71" i="1" s="1"/>
  <c r="BR71" i="1"/>
  <c r="CI71" i="1" s="1"/>
  <c r="AJ92" i="1"/>
  <c r="AH92" i="1"/>
  <c r="AK92" i="1"/>
  <c r="AI92" i="1"/>
  <c r="AJ58" i="1"/>
  <c r="AH58" i="1"/>
  <c r="AK58" i="1"/>
  <c r="AI58" i="1"/>
  <c r="AI79" i="1"/>
  <c r="AJ79" i="1"/>
  <c r="AH79" i="1"/>
  <c r="AK79" i="1"/>
  <c r="AI71" i="1"/>
  <c r="AJ71" i="1"/>
  <c r="AH71" i="1"/>
  <c r="AK71" i="1"/>
  <c r="BU71" i="1"/>
  <c r="CL71" i="1" s="1"/>
  <c r="S30" i="18"/>
  <c r="V30" i="18" s="1"/>
  <c r="Z30" i="18" s="1"/>
  <c r="S31" i="18"/>
  <c r="V29" i="1" s="1"/>
  <c r="N29" i="18"/>
  <c r="S35" i="18"/>
  <c r="V64" i="1" s="1"/>
  <c r="M31" i="18"/>
  <c r="N31" i="18"/>
  <c r="S36" i="18"/>
  <c r="W30" i="18" s="1"/>
  <c r="Z35" i="18" s="1"/>
  <c r="AX17" i="1"/>
  <c r="AY17" i="1"/>
  <c r="AZ17" i="1"/>
  <c r="BA17" i="1"/>
  <c r="H21" i="117" s="1"/>
  <c r="AX7" i="1"/>
  <c r="AY7" i="1"/>
  <c r="AZ7" i="1"/>
  <c r="BA7" i="1"/>
  <c r="C202" i="18"/>
  <c r="C217" i="18" s="1"/>
  <c r="C238" i="18" s="1"/>
  <c r="T215" i="18" s="1"/>
  <c r="T219" i="18" s="1"/>
  <c r="N224" i="18" s="1"/>
  <c r="AX11" i="1"/>
  <c r="AY11" i="1"/>
  <c r="AZ11" i="1"/>
  <c r="BA11" i="1"/>
  <c r="H15" i="117" s="1"/>
  <c r="M232" i="17"/>
  <c r="S232" i="17" s="1"/>
  <c r="T232" i="17" s="1"/>
  <c r="M238" i="17"/>
  <c r="M237" i="17"/>
  <c r="M239" i="17"/>
  <c r="V56" i="1"/>
  <c r="V77" i="1"/>
  <c r="O77" i="1" s="1"/>
  <c r="BK16" i="1"/>
  <c r="BL16" i="1"/>
  <c r="BM16" i="1"/>
  <c r="BJ16" i="1"/>
  <c r="AX16" i="1"/>
  <c r="AY16" i="1"/>
  <c r="AZ16" i="1"/>
  <c r="BA16" i="1"/>
  <c r="H20" i="117" s="1"/>
  <c r="V57" i="1"/>
  <c r="O57" i="1" s="1"/>
  <c r="V78" i="1"/>
  <c r="O78" i="1" s="1"/>
  <c r="BM17" i="1"/>
  <c r="BJ17" i="1"/>
  <c r="BK17" i="1"/>
  <c r="BL17" i="1"/>
  <c r="C91" i="17"/>
  <c r="G114" i="18"/>
  <c r="G148" i="18" s="1"/>
  <c r="W80" i="18" s="1"/>
  <c r="X80" i="18" s="1"/>
  <c r="G124" i="18"/>
  <c r="AY8" i="1"/>
  <c r="BA8" i="1"/>
  <c r="V80" i="1"/>
  <c r="V184" i="1" s="1"/>
  <c r="V59" i="1"/>
  <c r="BK19" i="1"/>
  <c r="BL19" i="1"/>
  <c r="BJ19" i="1"/>
  <c r="BM19" i="1"/>
  <c r="AX19" i="1"/>
  <c r="AY19" i="1"/>
  <c r="AZ19" i="1"/>
  <c r="BA19" i="1"/>
  <c r="D285" i="18"/>
  <c r="N238" i="17"/>
  <c r="N237" i="17"/>
  <c r="S235" i="17" s="1"/>
  <c r="N242" i="17"/>
  <c r="N243" i="17"/>
  <c r="N239" i="17"/>
  <c r="BH71" i="1"/>
  <c r="BF71" i="1"/>
  <c r="BI71" i="1"/>
  <c r="BG71" i="1"/>
  <c r="AP92" i="1"/>
  <c r="AQ92" i="1"/>
  <c r="AR92" i="1"/>
  <c r="AS92" i="1"/>
  <c r="R96" i="117" s="1"/>
  <c r="BH92" i="1"/>
  <c r="BI92" i="1"/>
  <c r="BG92" i="1"/>
  <c r="BF92" i="1"/>
  <c r="AP71" i="1"/>
  <c r="AQ71" i="1"/>
  <c r="AR71" i="1"/>
  <c r="AS71" i="1"/>
  <c r="R75" i="117" s="1"/>
  <c r="AQ58" i="1"/>
  <c r="AS58" i="1"/>
  <c r="R62" i="117" s="1"/>
  <c r="AR58" i="1"/>
  <c r="AP58" i="1"/>
  <c r="AQ79" i="1"/>
  <c r="AP79" i="1"/>
  <c r="AR79" i="1"/>
  <c r="AS79" i="1"/>
  <c r="R83" i="117" s="1"/>
  <c r="BH79" i="1"/>
  <c r="BG79" i="1"/>
  <c r="BF79" i="1"/>
  <c r="BI79" i="1"/>
  <c r="BF58" i="1"/>
  <c r="BG58" i="1"/>
  <c r="BI58" i="1"/>
  <c r="BH58" i="1"/>
  <c r="V10" i="1"/>
  <c r="O10" i="1" s="1"/>
  <c r="BK7" i="1"/>
  <c r="BL7" i="1"/>
  <c r="BM7" i="1"/>
  <c r="BJ7" i="1"/>
  <c r="BJ8" i="1"/>
  <c r="BK11" i="1"/>
  <c r="BL11" i="1"/>
  <c r="BM11" i="1"/>
  <c r="BJ11" i="1"/>
  <c r="D214" i="18"/>
  <c r="D221" i="18"/>
  <c r="D222" i="18" s="1"/>
  <c r="D224" i="18" s="1"/>
  <c r="E114" i="18"/>
  <c r="E148" i="18" s="1"/>
  <c r="C164" i="17"/>
  <c r="C212" i="17"/>
  <c r="C286" i="18"/>
  <c r="C290" i="18" s="1"/>
  <c r="C309" i="18" s="1"/>
  <c r="C276" i="18"/>
  <c r="AA90" i="18"/>
  <c r="AB90" i="18" s="1"/>
  <c r="AA86" i="18"/>
  <c r="AB86" i="18" s="1"/>
  <c r="AA88" i="18"/>
  <c r="AB88" i="18" s="1"/>
  <c r="AA77" i="18"/>
  <c r="AB77" i="18" s="1"/>
  <c r="AA78" i="18"/>
  <c r="AB78" i="18" s="1"/>
  <c r="Y81" i="18"/>
  <c r="AA80" i="18"/>
  <c r="AB80" i="18" s="1"/>
  <c r="AA76" i="18"/>
  <c r="AB76" i="18" s="1"/>
  <c r="AA89" i="18"/>
  <c r="AB89" i="18" s="1"/>
  <c r="Y89" i="18"/>
  <c r="Z89" i="18" s="1"/>
  <c r="Y86" i="18"/>
  <c r="Z86" i="18" s="1"/>
  <c r="AA81" i="18"/>
  <c r="AA87" i="18"/>
  <c r="Y77" i="18"/>
  <c r="Z77" i="18" s="1"/>
  <c r="AA85" i="18"/>
  <c r="AB85" i="18" s="1"/>
  <c r="AA82" i="18"/>
  <c r="AB82" i="18" s="1"/>
  <c r="C36" i="17"/>
  <c r="D286" i="18"/>
  <c r="D290" i="18" s="1"/>
  <c r="C163" i="17"/>
  <c r="W81" i="18"/>
  <c r="X81" i="18" s="1"/>
  <c r="W77" i="18"/>
  <c r="X77" i="18" s="1"/>
  <c r="W86" i="18"/>
  <c r="X86" i="18" s="1"/>
  <c r="W89" i="18"/>
  <c r="X89" i="18" s="1"/>
  <c r="G155" i="18"/>
  <c r="AA83" i="18" s="1"/>
  <c r="AB83" i="18" s="1"/>
  <c r="F113" i="18"/>
  <c r="H155" i="18"/>
  <c r="C299" i="18"/>
  <c r="C315" i="18" s="1"/>
  <c r="D299" i="18"/>
  <c r="D302" i="18" s="1"/>
  <c r="I114" i="18"/>
  <c r="I148" i="18" s="1"/>
  <c r="M243" i="17"/>
  <c r="D114" i="18"/>
  <c r="D148" i="18" s="1"/>
  <c r="D113" i="18"/>
  <c r="D124" i="18"/>
  <c r="D116" i="18"/>
  <c r="D150" i="18" s="1"/>
  <c r="H114" i="18"/>
  <c r="H148" i="18" s="1"/>
  <c r="H113" i="18"/>
  <c r="H147" i="18" s="1"/>
  <c r="H116" i="18"/>
  <c r="H150" i="18" s="1"/>
  <c r="H124" i="18"/>
  <c r="K114" i="18"/>
  <c r="K148" i="18" s="1"/>
  <c r="W88" i="18" s="1"/>
  <c r="X88" i="18" s="1"/>
  <c r="K124" i="18"/>
  <c r="K113" i="18"/>
  <c r="K147" i="18" s="1"/>
  <c r="W91" i="18" s="1"/>
  <c r="X91" i="18" s="1"/>
  <c r="R31" i="1" s="1"/>
  <c r="K116" i="18"/>
  <c r="K150" i="18" s="1"/>
  <c r="W90" i="18" s="1"/>
  <c r="X90" i="18" s="1"/>
  <c r="C285" i="18"/>
  <c r="E124" i="18"/>
  <c r="E116" i="18"/>
  <c r="E150" i="18" s="1"/>
  <c r="F124" i="18"/>
  <c r="F116" i="18"/>
  <c r="F150" i="18" s="1"/>
  <c r="W78" i="18" s="1"/>
  <c r="X78" i="18" s="1"/>
  <c r="J124" i="18"/>
  <c r="J116" i="18"/>
  <c r="J150" i="18" s="1"/>
  <c r="W87" i="18" s="1"/>
  <c r="X87" i="18" s="1"/>
  <c r="J113" i="18"/>
  <c r="F155" i="18"/>
  <c r="AA79" i="18" s="1"/>
  <c r="AB79" i="18" s="1"/>
  <c r="J155" i="18"/>
  <c r="AA84" i="18" s="1"/>
  <c r="AB84" i="18" s="1"/>
  <c r="D215" i="18"/>
  <c r="D217" i="18"/>
  <c r="I113" i="18"/>
  <c r="I124" i="18"/>
  <c r="I116" i="18"/>
  <c r="I150" i="18" s="1"/>
  <c r="G113" i="18"/>
  <c r="G147" i="18" s="1"/>
  <c r="W83" i="18" s="1"/>
  <c r="X83" i="18" s="1"/>
  <c r="R33" i="1" s="1"/>
  <c r="J114" i="18"/>
  <c r="J148" i="18" s="1"/>
  <c r="W85" i="18" s="1"/>
  <c r="X85" i="18" s="1"/>
  <c r="G116" i="18"/>
  <c r="G150" i="18" s="1"/>
  <c r="W82" i="18" s="1"/>
  <c r="X82" i="18" s="1"/>
  <c r="K155" i="18"/>
  <c r="AA91" i="18" s="1"/>
  <c r="AB91" i="18" s="1"/>
  <c r="V35" i="1"/>
  <c r="O35" i="1" s="1"/>
  <c r="D276" i="18"/>
  <c r="D295" i="18" s="1"/>
  <c r="M242" i="17"/>
  <c r="C92" i="17"/>
  <c r="C114" i="17"/>
  <c r="C116" i="17" s="1"/>
  <c r="BC22" i="117" l="1"/>
  <c r="BC34" i="117"/>
  <c r="AX34" i="117"/>
  <c r="AW75" i="117"/>
  <c r="BB75" i="117" s="1"/>
  <c r="AW96" i="117"/>
  <c r="BB96" i="117" s="1"/>
  <c r="AW83" i="117"/>
  <c r="BB83" i="117" s="1"/>
  <c r="AW62" i="117"/>
  <c r="BL8" i="1"/>
  <c r="BM8" i="1"/>
  <c r="AZ8" i="1"/>
  <c r="AQ12" i="117" s="1"/>
  <c r="BA12" i="117" s="1"/>
  <c r="BK8" i="1"/>
  <c r="BK184" i="1"/>
  <c r="BM184" i="1"/>
  <c r="BJ184" i="1"/>
  <c r="O184" i="1"/>
  <c r="BL184" i="1"/>
  <c r="AZ184" i="1"/>
  <c r="AX184" i="1"/>
  <c r="AY184" i="1"/>
  <c r="BA184" i="1"/>
  <c r="AX8" i="1"/>
  <c r="R31" i="18"/>
  <c r="R34" i="18"/>
  <c r="AR96" i="117"/>
  <c r="AK23" i="117"/>
  <c r="AZ23" i="117" s="1"/>
  <c r="AK12" i="117"/>
  <c r="AZ12" i="117" s="1"/>
  <c r="AQ20" i="117"/>
  <c r="BA20" i="117" s="1"/>
  <c r="AK21" i="117"/>
  <c r="AZ21" i="117" s="1"/>
  <c r="AF34" i="117"/>
  <c r="AX96" i="117"/>
  <c r="AE83" i="117"/>
  <c r="AY83" i="117" s="1"/>
  <c r="AE20" i="117"/>
  <c r="AY20" i="117" s="1"/>
  <c r="AQ15" i="117"/>
  <c r="BA15" i="117" s="1"/>
  <c r="AQ11" i="117"/>
  <c r="BA11" i="117" s="1"/>
  <c r="AE62" i="117"/>
  <c r="AE15" i="117"/>
  <c r="AY15" i="117" s="1"/>
  <c r="Z34" i="117"/>
  <c r="V96" i="117"/>
  <c r="Z96" i="117" s="1"/>
  <c r="AE75" i="117"/>
  <c r="AY75" i="117" s="1"/>
  <c r="AE96" i="117"/>
  <c r="AY96" i="117" s="1"/>
  <c r="AK20" i="117"/>
  <c r="AZ20" i="117" s="1"/>
  <c r="AU11" i="117"/>
  <c r="H11" i="117"/>
  <c r="AE11" i="117" s="1"/>
  <c r="AY11" i="117" s="1"/>
  <c r="AE21" i="117"/>
  <c r="AY21" i="117" s="1"/>
  <c r="H23" i="117"/>
  <c r="AU12" i="117"/>
  <c r="H12" i="117"/>
  <c r="AQ23" i="117"/>
  <c r="BA23" i="117" s="1"/>
  <c r="AK15" i="117"/>
  <c r="AZ15" i="117" s="1"/>
  <c r="AK11" i="117"/>
  <c r="AZ11" i="117" s="1"/>
  <c r="AQ21" i="117"/>
  <c r="BA21" i="117" s="1"/>
  <c r="AL96" i="117"/>
  <c r="BO79" i="1"/>
  <c r="CF79" i="1" s="1"/>
  <c r="BQ79" i="1"/>
  <c r="CH79" i="1" s="1"/>
  <c r="BO58" i="1"/>
  <c r="CF58" i="1" s="1"/>
  <c r="Y15" i="117"/>
  <c r="P10" i="116" s="1"/>
  <c r="T10" i="116" s="1"/>
  <c r="AU15" i="117"/>
  <c r="BN79" i="1"/>
  <c r="CE79" i="1" s="1"/>
  <c r="BQ58" i="1"/>
  <c r="CH58" i="1" s="1"/>
  <c r="Y20" i="117"/>
  <c r="AU20" i="117"/>
  <c r="BP58" i="1"/>
  <c r="CG58" i="1" s="1"/>
  <c r="Y23" i="117"/>
  <c r="AU23" i="117"/>
  <c r="Y21" i="117"/>
  <c r="AU21" i="117"/>
  <c r="BP79" i="1"/>
  <c r="CG79" i="1" s="1"/>
  <c r="BN58" i="1"/>
  <c r="CE58" i="1" s="1"/>
  <c r="S236" i="17"/>
  <c r="T236" i="17" s="1"/>
  <c r="Z28" i="18"/>
  <c r="Z34" i="18"/>
  <c r="Z36" i="18"/>
  <c r="Z29" i="18"/>
  <c r="Z31" i="18"/>
  <c r="Z33" i="18"/>
  <c r="AA34" i="18"/>
  <c r="AA36" i="18"/>
  <c r="AA29" i="18"/>
  <c r="AA31" i="18"/>
  <c r="O56" i="1"/>
  <c r="V107" i="1"/>
  <c r="BJ107" i="1" s="1"/>
  <c r="BM103" i="1"/>
  <c r="BJ103" i="1"/>
  <c r="BL103" i="1"/>
  <c r="BK103" i="1"/>
  <c r="AX103" i="1"/>
  <c r="AZ103" i="1"/>
  <c r="BA103" i="1"/>
  <c r="H107" i="117" s="1"/>
  <c r="AY103" i="1"/>
  <c r="BL99" i="1"/>
  <c r="BM99" i="1"/>
  <c r="BK99" i="1"/>
  <c r="BJ99" i="1"/>
  <c r="AY99" i="1"/>
  <c r="BA99" i="1"/>
  <c r="AX99" i="1"/>
  <c r="AZ99" i="1"/>
  <c r="AH33" i="1"/>
  <c r="AI33" i="1"/>
  <c r="AJ33" i="1"/>
  <c r="AK33" i="1"/>
  <c r="AH31" i="1"/>
  <c r="AI31" i="1"/>
  <c r="AJ31" i="1"/>
  <c r="AK31" i="1"/>
  <c r="BN71" i="1"/>
  <c r="CE71" i="1" s="1"/>
  <c r="BQ92" i="1"/>
  <c r="CH92" i="1" s="1"/>
  <c r="BQ71" i="1"/>
  <c r="CH71" i="1" s="1"/>
  <c r="BO92" i="1"/>
  <c r="CF92" i="1" s="1"/>
  <c r="BP71" i="1"/>
  <c r="CG71" i="1" s="1"/>
  <c r="BN92" i="1"/>
  <c r="CE92" i="1" s="1"/>
  <c r="BO71" i="1"/>
  <c r="CF71" i="1" s="1"/>
  <c r="BP92" i="1"/>
  <c r="CG92" i="1" s="1"/>
  <c r="BT19" i="1"/>
  <c r="CK19" i="1" s="1"/>
  <c r="X23" i="117"/>
  <c r="BS8" i="1"/>
  <c r="CJ8" i="1" s="1"/>
  <c r="BT8" i="1"/>
  <c r="CK8" i="1" s="1"/>
  <c r="BS11" i="1"/>
  <c r="CJ11" i="1" s="1"/>
  <c r="W15" i="117"/>
  <c r="H10" i="116" s="1"/>
  <c r="BS7" i="1"/>
  <c r="CJ7" i="1" s="1"/>
  <c r="BT17" i="1"/>
  <c r="CK17" i="1" s="1"/>
  <c r="X21" i="117"/>
  <c r="BR11" i="1"/>
  <c r="CI11" i="1" s="1"/>
  <c r="V15" i="117"/>
  <c r="D10" i="116" s="1"/>
  <c r="BS17" i="1"/>
  <c r="CJ17" i="1" s="1"/>
  <c r="W21" i="117"/>
  <c r="BS19" i="1"/>
  <c r="CJ19" i="1" s="1"/>
  <c r="W23" i="117"/>
  <c r="BR8" i="1"/>
  <c r="CI8" i="1" s="1"/>
  <c r="BS16" i="1"/>
  <c r="CJ16" i="1" s="1"/>
  <c r="W20" i="117"/>
  <c r="BT16" i="1"/>
  <c r="CK16" i="1" s="1"/>
  <c r="X20" i="117"/>
  <c r="BR7" i="1"/>
  <c r="CI7" i="1" s="1"/>
  <c r="BU7" i="1"/>
  <c r="CL7" i="1" s="1"/>
  <c r="BR17" i="1"/>
  <c r="CI17" i="1" s="1"/>
  <c r="V21" i="117"/>
  <c r="BR19" i="1"/>
  <c r="CI19" i="1" s="1"/>
  <c r="BU8" i="1"/>
  <c r="CL8" i="1" s="1"/>
  <c r="BR16" i="1"/>
  <c r="CI16" i="1" s="1"/>
  <c r="V20" i="117"/>
  <c r="BT11" i="1"/>
  <c r="CK11" i="1" s="1"/>
  <c r="X15" i="117"/>
  <c r="L10" i="116" s="1"/>
  <c r="BT7" i="1"/>
  <c r="CK7" i="1" s="1"/>
  <c r="W46" i="117"/>
  <c r="Y46" i="117"/>
  <c r="BU19" i="1"/>
  <c r="CL19" i="1" s="1"/>
  <c r="BU16" i="1"/>
  <c r="CL16" i="1" s="1"/>
  <c r="BU17" i="1"/>
  <c r="CL17" i="1" s="1"/>
  <c r="BU11" i="1"/>
  <c r="CL11" i="1" s="1"/>
  <c r="C214" i="18"/>
  <c r="C235" i="18" s="1"/>
  <c r="T212" i="18" s="1"/>
  <c r="T216" i="18" s="1"/>
  <c r="R19" i="1" s="1"/>
  <c r="M30" i="18"/>
  <c r="Q30" i="18" s="1"/>
  <c r="R28" i="1" s="1"/>
  <c r="V28" i="1"/>
  <c r="C215" i="18"/>
  <c r="C236" i="18" s="1"/>
  <c r="T213" i="18" s="1"/>
  <c r="T217" i="18" s="1"/>
  <c r="N222" i="18" s="1"/>
  <c r="N225" i="18" s="1"/>
  <c r="V24" i="1"/>
  <c r="BK24" i="1" s="1"/>
  <c r="V65" i="1"/>
  <c r="AX65" i="1" s="1"/>
  <c r="N30" i="18"/>
  <c r="Q36" i="18" s="1"/>
  <c r="AX78" i="1"/>
  <c r="AY78" i="1"/>
  <c r="AZ78" i="1"/>
  <c r="BA78" i="1"/>
  <c r="H82" i="117" s="1"/>
  <c r="V76" i="1"/>
  <c r="O76" i="1" s="1"/>
  <c r="BJ35" i="1"/>
  <c r="BL35" i="1"/>
  <c r="BM35" i="1"/>
  <c r="BK35" i="1"/>
  <c r="AX35" i="1"/>
  <c r="AY35" i="1"/>
  <c r="AZ35" i="1"/>
  <c r="BA35" i="1"/>
  <c r="H39" i="117" s="1"/>
  <c r="S237" i="17"/>
  <c r="T237" i="17" s="1"/>
  <c r="BJ78" i="1"/>
  <c r="BK78" i="1"/>
  <c r="BL78" i="1"/>
  <c r="BM78" i="1"/>
  <c r="AX10" i="1"/>
  <c r="AY10" i="1"/>
  <c r="AZ10" i="1"/>
  <c r="BA10" i="1"/>
  <c r="T235" i="17"/>
  <c r="BM57" i="1"/>
  <c r="BK57" i="1"/>
  <c r="BJ57" i="1"/>
  <c r="AX57" i="1"/>
  <c r="BL57" i="1"/>
  <c r="AY57" i="1"/>
  <c r="AZ57" i="1"/>
  <c r="BA57" i="1"/>
  <c r="BM77" i="1"/>
  <c r="BJ77" i="1"/>
  <c r="BK77" i="1"/>
  <c r="BL77" i="1"/>
  <c r="AX77" i="1"/>
  <c r="AY77" i="1"/>
  <c r="AZ77" i="1"/>
  <c r="BA77" i="1"/>
  <c r="H81" i="117" s="1"/>
  <c r="S238" i="17"/>
  <c r="T238" i="17" s="1"/>
  <c r="BL56" i="1"/>
  <c r="BJ56" i="1"/>
  <c r="BM56" i="1"/>
  <c r="BK56" i="1"/>
  <c r="AX56" i="1"/>
  <c r="AY56" i="1"/>
  <c r="AZ56" i="1"/>
  <c r="BA56" i="1"/>
  <c r="C221" i="18"/>
  <c r="C239" i="18" s="1"/>
  <c r="V229" i="18" s="1"/>
  <c r="V233" i="18" s="1"/>
  <c r="AX59" i="1"/>
  <c r="BK59" i="1"/>
  <c r="BM59" i="1"/>
  <c r="BJ59" i="1"/>
  <c r="BL59" i="1"/>
  <c r="AY59" i="1"/>
  <c r="AZ59" i="1"/>
  <c r="BA59" i="1"/>
  <c r="BK80" i="1"/>
  <c r="AX80" i="1"/>
  <c r="BM80" i="1"/>
  <c r="BJ80" i="1"/>
  <c r="BL80" i="1"/>
  <c r="AY80" i="1"/>
  <c r="AZ80" i="1"/>
  <c r="BA80" i="1"/>
  <c r="R74" i="1"/>
  <c r="R95" i="1"/>
  <c r="Z81" i="18"/>
  <c r="V31" i="1"/>
  <c r="O31" i="1" s="1"/>
  <c r="V33" i="1"/>
  <c r="O33" i="1" s="1"/>
  <c r="AB81" i="18"/>
  <c r="V34" i="1"/>
  <c r="V32" i="1"/>
  <c r="AB87" i="18"/>
  <c r="R72" i="1"/>
  <c r="R93" i="1"/>
  <c r="BL29" i="1"/>
  <c r="BJ29" i="1"/>
  <c r="BM29" i="1"/>
  <c r="BK29" i="1"/>
  <c r="AX29" i="1"/>
  <c r="AY29" i="1"/>
  <c r="AZ29" i="1"/>
  <c r="BA29" i="1"/>
  <c r="V85" i="1"/>
  <c r="AX85" i="1" s="1"/>
  <c r="BL64" i="1"/>
  <c r="BJ64" i="1"/>
  <c r="BM64" i="1"/>
  <c r="BK64" i="1"/>
  <c r="AX64" i="1"/>
  <c r="AY64" i="1"/>
  <c r="AZ64" i="1"/>
  <c r="BA64" i="1"/>
  <c r="BG33" i="1"/>
  <c r="BH33" i="1"/>
  <c r="BI33" i="1"/>
  <c r="BF33" i="1"/>
  <c r="I147" i="18"/>
  <c r="F147" i="18"/>
  <c r="W79" i="18" s="1"/>
  <c r="X79" i="18" s="1"/>
  <c r="R34" i="1" s="1"/>
  <c r="D147" i="18"/>
  <c r="BK10" i="1"/>
  <c r="BM10" i="1"/>
  <c r="BL10" i="1"/>
  <c r="BJ10" i="1"/>
  <c r="BF31" i="1"/>
  <c r="BG31" i="1"/>
  <c r="BH31" i="1"/>
  <c r="BI31" i="1"/>
  <c r="T303" i="18"/>
  <c r="T307" i="18"/>
  <c r="P309" i="18"/>
  <c r="Q309" i="18" s="1"/>
  <c r="U309" i="18" s="1"/>
  <c r="P305" i="18"/>
  <c r="Q305" i="18" s="1"/>
  <c r="Q313" i="18" s="1"/>
  <c r="E147" i="18"/>
  <c r="C302" i="18"/>
  <c r="R43" i="18"/>
  <c r="C213" i="17"/>
  <c r="R44" i="18"/>
  <c r="C295" i="18"/>
  <c r="C288" i="18"/>
  <c r="T29" i="1"/>
  <c r="R36" i="18"/>
  <c r="K151" i="18"/>
  <c r="Y91" i="18" s="1"/>
  <c r="Z91" i="18" s="1"/>
  <c r="K125" i="18"/>
  <c r="F151" i="18"/>
  <c r="Y79" i="18" s="1"/>
  <c r="Z79" i="18" s="1"/>
  <c r="F125" i="18"/>
  <c r="D125" i="18"/>
  <c r="D151" i="18"/>
  <c r="D288" i="18"/>
  <c r="D291" i="18"/>
  <c r="D289" i="18"/>
  <c r="J147" i="18"/>
  <c r="W84" i="18" s="1"/>
  <c r="X84" i="18" s="1"/>
  <c r="H125" i="18"/>
  <c r="H151" i="18"/>
  <c r="I125" i="18"/>
  <c r="I151" i="18"/>
  <c r="C291" i="18"/>
  <c r="C310" i="18" s="1"/>
  <c r="C289" i="18"/>
  <c r="C308" i="18" s="1"/>
  <c r="J151" i="18"/>
  <c r="Y84" i="18" s="1"/>
  <c r="Z84" i="18" s="1"/>
  <c r="J125" i="18"/>
  <c r="G151" i="18"/>
  <c r="Y83" i="18" s="1"/>
  <c r="Z83" i="18" s="1"/>
  <c r="G125" i="18"/>
  <c r="E125" i="18"/>
  <c r="E151" i="18"/>
  <c r="BC96" i="117" l="1"/>
  <c r="BC83" i="117"/>
  <c r="BC75" i="117"/>
  <c r="AW21" i="117"/>
  <c r="BB21" i="117" s="1"/>
  <c r="BC21" i="117" s="1"/>
  <c r="AW12" i="117"/>
  <c r="BB12" i="117" s="1"/>
  <c r="AW11" i="117"/>
  <c r="BB11" i="117" s="1"/>
  <c r="BC11" i="117" s="1"/>
  <c r="AW20" i="117"/>
  <c r="BB20" i="117" s="1"/>
  <c r="BC20" i="117" s="1"/>
  <c r="AW15" i="117"/>
  <c r="BB15" i="117" s="1"/>
  <c r="S10" i="116" s="1"/>
  <c r="V10" i="116" s="1"/>
  <c r="AW23" i="117"/>
  <c r="BB23" i="117" s="1"/>
  <c r="AE12" i="117"/>
  <c r="AY12" i="117" s="1"/>
  <c r="AU188" i="117"/>
  <c r="BU184" i="1"/>
  <c r="CL184" i="1" s="1"/>
  <c r="BS184" i="1"/>
  <c r="CJ184" i="1" s="1"/>
  <c r="AK188" i="117"/>
  <c r="AE188" i="117"/>
  <c r="BR184" i="1"/>
  <c r="CI184" i="1" s="1"/>
  <c r="AQ188" i="117"/>
  <c r="BT184" i="1"/>
  <c r="CK184" i="1" s="1"/>
  <c r="AL21" i="117"/>
  <c r="AR23" i="117"/>
  <c r="AR21" i="117"/>
  <c r="AQ68" i="117"/>
  <c r="BA68" i="117" s="1"/>
  <c r="AK60" i="117"/>
  <c r="AQ61" i="117"/>
  <c r="BA61" i="117" s="1"/>
  <c r="AK14" i="117"/>
  <c r="AZ14" i="117" s="1"/>
  <c r="AK68" i="117"/>
  <c r="AZ68" i="117" s="1"/>
  <c r="AQ33" i="117"/>
  <c r="BA33" i="117" s="1"/>
  <c r="AQ103" i="117"/>
  <c r="BA103" i="117" s="1"/>
  <c r="AF21" i="117"/>
  <c r="AF96" i="117"/>
  <c r="AK33" i="117"/>
  <c r="AZ33" i="117" s="1"/>
  <c r="AQ63" i="117"/>
  <c r="BA63" i="117" s="1"/>
  <c r="AU60" i="117"/>
  <c r="H60" i="117"/>
  <c r="AE60" i="117" s="1"/>
  <c r="AU14" i="117"/>
  <c r="H14" i="117"/>
  <c r="AE14" i="117" s="1"/>
  <c r="AY14" i="117" s="1"/>
  <c r="AQ82" i="117"/>
  <c r="AK103" i="117"/>
  <c r="AZ103" i="117" s="1"/>
  <c r="AU68" i="117"/>
  <c r="H68" i="117"/>
  <c r="AE68" i="117" s="1"/>
  <c r="AY68" i="117" s="1"/>
  <c r="AK63" i="117"/>
  <c r="AZ63" i="117" s="1"/>
  <c r="AQ60" i="117"/>
  <c r="AU61" i="117"/>
  <c r="H61" i="117"/>
  <c r="AE61" i="117" s="1"/>
  <c r="AY61" i="117" s="1"/>
  <c r="AQ14" i="117"/>
  <c r="BA14" i="117" s="1"/>
  <c r="AK82" i="117"/>
  <c r="H33" i="117"/>
  <c r="H84" i="117"/>
  <c r="AU63" i="117"/>
  <c r="H63" i="117"/>
  <c r="AK61" i="117"/>
  <c r="AZ61" i="117" s="1"/>
  <c r="AU103" i="117"/>
  <c r="H103" i="117"/>
  <c r="AE103" i="117" s="1"/>
  <c r="AY103" i="117" s="1"/>
  <c r="AX20" i="117"/>
  <c r="AX23" i="117"/>
  <c r="BT80" i="1"/>
  <c r="CK80" i="1" s="1"/>
  <c r="AQ84" i="117"/>
  <c r="AX107" i="1"/>
  <c r="AE81" i="117"/>
  <c r="AY81" i="117" s="1"/>
  <c r="X39" i="117"/>
  <c r="AQ39" i="117"/>
  <c r="BA39" i="117" s="1"/>
  <c r="X107" i="117"/>
  <c r="AQ107" i="117"/>
  <c r="BA107" i="117" s="1"/>
  <c r="Y39" i="117"/>
  <c r="AU39" i="117"/>
  <c r="Y54" i="117"/>
  <c r="AX54" i="117" s="1"/>
  <c r="AU82" i="117"/>
  <c r="Y107" i="117"/>
  <c r="AU107" i="117"/>
  <c r="BS80" i="1"/>
  <c r="CJ80" i="1" s="1"/>
  <c r="AK84" i="117"/>
  <c r="BR80" i="1"/>
  <c r="CI80" i="1" s="1"/>
  <c r="BA107" i="1"/>
  <c r="H111" i="117" s="1"/>
  <c r="V111" i="117" s="1"/>
  <c r="AU81" i="117"/>
  <c r="W39" i="117"/>
  <c r="AK39" i="117"/>
  <c r="AZ39" i="117" s="1"/>
  <c r="V107" i="117"/>
  <c r="AE107" i="117"/>
  <c r="AY107" i="117" s="1"/>
  <c r="BU80" i="1"/>
  <c r="CL80" i="1" s="1"/>
  <c r="AU84" i="117"/>
  <c r="AY107" i="1"/>
  <c r="BS107" i="1" s="1"/>
  <c r="CJ107" i="1" s="1"/>
  <c r="AK81" i="117"/>
  <c r="AZ81" i="117" s="1"/>
  <c r="Y33" i="117"/>
  <c r="AU33" i="117"/>
  <c r="AZ107" i="1"/>
  <c r="BT107" i="1" s="1"/>
  <c r="CK107" i="1" s="1"/>
  <c r="AQ81" i="117"/>
  <c r="BA81" i="117" s="1"/>
  <c r="V39" i="117"/>
  <c r="AE39" i="117"/>
  <c r="AY39" i="117" s="1"/>
  <c r="V54" i="117"/>
  <c r="AF54" i="117" s="1"/>
  <c r="AE82" i="117"/>
  <c r="W107" i="117"/>
  <c r="AK107" i="117"/>
  <c r="AZ107" i="117" s="1"/>
  <c r="AL23" i="117"/>
  <c r="C222" i="18"/>
  <c r="BO31" i="1"/>
  <c r="CF31" i="1" s="1"/>
  <c r="BK65" i="1"/>
  <c r="BL65" i="1"/>
  <c r="BA65" i="1"/>
  <c r="V86" i="1"/>
  <c r="BK86" i="1" s="1"/>
  <c r="BQ33" i="1"/>
  <c r="CH33" i="1" s="1"/>
  <c r="BN31" i="1"/>
  <c r="CE31" i="1" s="1"/>
  <c r="W54" i="117"/>
  <c r="AL54" i="117" s="1"/>
  <c r="AR54" i="117"/>
  <c r="BK107" i="1"/>
  <c r="BT99" i="1"/>
  <c r="CK99" i="1" s="1"/>
  <c r="X103" i="117"/>
  <c r="BR99" i="1"/>
  <c r="CI99" i="1" s="1"/>
  <c r="BU99" i="1"/>
  <c r="CL99" i="1" s="1"/>
  <c r="Y103" i="117"/>
  <c r="BM107" i="1"/>
  <c r="BS99" i="1"/>
  <c r="CJ99" i="1" s="1"/>
  <c r="W103" i="117"/>
  <c r="BL107" i="1"/>
  <c r="BS103" i="1"/>
  <c r="CJ103" i="1" s="1"/>
  <c r="BU103" i="1"/>
  <c r="CL103" i="1" s="1"/>
  <c r="BT103" i="1"/>
  <c r="CK103" i="1" s="1"/>
  <c r="BR103" i="1"/>
  <c r="CI103" i="1" s="1"/>
  <c r="BN33" i="1"/>
  <c r="CE33" i="1" s="1"/>
  <c r="BS77" i="1"/>
  <c r="CJ77" i="1" s="1"/>
  <c r="W22" i="117"/>
  <c r="BS78" i="1"/>
  <c r="CJ78" i="1" s="1"/>
  <c r="W25" i="117"/>
  <c r="BR77" i="1"/>
  <c r="CI77" i="1" s="1"/>
  <c r="V22" i="117"/>
  <c r="BR78" i="1"/>
  <c r="CI78" i="1" s="1"/>
  <c r="V25" i="117"/>
  <c r="BU77" i="1"/>
  <c r="CL77" i="1" s="1"/>
  <c r="Y22" i="117"/>
  <c r="AX22" i="117" s="1"/>
  <c r="BU78" i="1"/>
  <c r="CL78" i="1" s="1"/>
  <c r="Y25" i="117"/>
  <c r="AX25" i="117" s="1"/>
  <c r="BT77" i="1"/>
  <c r="CK77" i="1" s="1"/>
  <c r="X22" i="117"/>
  <c r="AR22" i="117" s="1"/>
  <c r="BT78" i="1"/>
  <c r="CK78" i="1" s="1"/>
  <c r="X25" i="117"/>
  <c r="AR25" i="117" s="1"/>
  <c r="BP33" i="1"/>
  <c r="CG33" i="1" s="1"/>
  <c r="R24" i="1"/>
  <c r="R91" i="1"/>
  <c r="R97" i="1" s="1"/>
  <c r="R70" i="1"/>
  <c r="AL20" i="117"/>
  <c r="BO33" i="1"/>
  <c r="CF33" i="1" s="1"/>
  <c r="AR20" i="117"/>
  <c r="AR15" i="117"/>
  <c r="N10" i="116"/>
  <c r="AL15" i="117"/>
  <c r="J10" i="116"/>
  <c r="BQ31" i="1"/>
  <c r="CH31" i="1" s="1"/>
  <c r="O28" i="1"/>
  <c r="AH28" i="1"/>
  <c r="AI28" i="1"/>
  <c r="AJ28" i="1"/>
  <c r="AK28" i="1"/>
  <c r="O19" i="1"/>
  <c r="AH19" i="1"/>
  <c r="AI19" i="1"/>
  <c r="AJ19" i="1"/>
  <c r="AK19" i="1"/>
  <c r="AZ65" i="1"/>
  <c r="BM65" i="1"/>
  <c r="BP31" i="1"/>
  <c r="CG31" i="1" s="1"/>
  <c r="O34" i="1"/>
  <c r="AH34" i="1"/>
  <c r="AI34" i="1"/>
  <c r="AJ34" i="1"/>
  <c r="AK34" i="1"/>
  <c r="AY65" i="1"/>
  <c r="BJ65" i="1"/>
  <c r="Y52" i="117"/>
  <c r="BR29" i="1"/>
  <c r="CI29" i="1" s="1"/>
  <c r="BT64" i="1"/>
  <c r="CK64" i="1" s="1"/>
  <c r="BS64" i="1"/>
  <c r="CJ64" i="1" s="1"/>
  <c r="W52" i="117"/>
  <c r="BT29" i="1"/>
  <c r="CK29" i="1" s="1"/>
  <c r="X33" i="117"/>
  <c r="BT56" i="1"/>
  <c r="CK56" i="1" s="1"/>
  <c r="X65" i="117"/>
  <c r="AR65" i="117" s="1"/>
  <c r="X44" i="117"/>
  <c r="Z21" i="117"/>
  <c r="Z15" i="117"/>
  <c r="Y45" i="117"/>
  <c r="Y66" i="117"/>
  <c r="AF20" i="117"/>
  <c r="AF15" i="117"/>
  <c r="BR64" i="1"/>
  <c r="CI64" i="1" s="1"/>
  <c r="V52" i="117"/>
  <c r="AF52" i="117" s="1"/>
  <c r="BT59" i="1"/>
  <c r="CK59" i="1" s="1"/>
  <c r="BR57" i="1"/>
  <c r="CI57" i="1" s="1"/>
  <c r="AF45" i="117"/>
  <c r="V66" i="117"/>
  <c r="AF66" i="117" s="1"/>
  <c r="BS59" i="1"/>
  <c r="CJ59" i="1" s="1"/>
  <c r="BR65" i="1"/>
  <c r="CI65" i="1" s="1"/>
  <c r="BS29" i="1"/>
  <c r="CJ29" i="1" s="1"/>
  <c r="W33" i="117"/>
  <c r="BS56" i="1"/>
  <c r="CJ56" i="1" s="1"/>
  <c r="W65" i="117"/>
  <c r="AL65" i="117" s="1"/>
  <c r="W44" i="117"/>
  <c r="BT10" i="1"/>
  <c r="CK10" i="1" s="1"/>
  <c r="BR56" i="1"/>
  <c r="CI56" i="1" s="1"/>
  <c r="V65" i="117"/>
  <c r="BT57" i="1"/>
  <c r="CK57" i="1" s="1"/>
  <c r="X45" i="117"/>
  <c r="X66" i="117"/>
  <c r="AR66" i="117" s="1"/>
  <c r="BS10" i="1"/>
  <c r="CJ10" i="1" s="1"/>
  <c r="BR59" i="1"/>
  <c r="CI59" i="1" s="1"/>
  <c r="Y44" i="117"/>
  <c r="Y65" i="117"/>
  <c r="AX65" i="117" s="1"/>
  <c r="BS57" i="1"/>
  <c r="CJ57" i="1" s="1"/>
  <c r="W66" i="117"/>
  <c r="W45" i="117"/>
  <c r="BR10" i="1"/>
  <c r="CI10" i="1" s="1"/>
  <c r="Z20" i="117"/>
  <c r="Z46" i="117"/>
  <c r="AF46" i="117"/>
  <c r="AH93" i="1"/>
  <c r="AK93" i="1"/>
  <c r="AI93" i="1"/>
  <c r="AJ93" i="1"/>
  <c r="AJ95" i="1"/>
  <c r="AH95" i="1"/>
  <c r="AK95" i="1"/>
  <c r="AI95" i="1"/>
  <c r="AI72" i="1"/>
  <c r="AJ72" i="1"/>
  <c r="AH72" i="1"/>
  <c r="AK72" i="1"/>
  <c r="AI74" i="1"/>
  <c r="AJ74" i="1"/>
  <c r="AH74" i="1"/>
  <c r="AK74" i="1"/>
  <c r="BU29" i="1"/>
  <c r="CL29" i="1" s="1"/>
  <c r="BU59" i="1"/>
  <c r="CL59" i="1" s="1"/>
  <c r="BU57" i="1"/>
  <c r="CL57" i="1" s="1"/>
  <c r="BU56" i="1"/>
  <c r="CL56" i="1" s="1"/>
  <c r="BU64" i="1"/>
  <c r="CL64" i="1" s="1"/>
  <c r="BU10" i="1"/>
  <c r="CL10" i="1" s="1"/>
  <c r="BL24" i="1"/>
  <c r="AZ24" i="1"/>
  <c r="BA28" i="1"/>
  <c r="V69" i="1"/>
  <c r="AX28" i="1"/>
  <c r="BK28" i="1"/>
  <c r="BL28" i="1"/>
  <c r="BF19" i="1"/>
  <c r="R59" i="1"/>
  <c r="BH19" i="1"/>
  <c r="R80" i="1"/>
  <c r="BI19" i="1"/>
  <c r="BG19" i="1"/>
  <c r="AZ28" i="1"/>
  <c r="BM28" i="1"/>
  <c r="Q28" i="18"/>
  <c r="Q29" i="18"/>
  <c r="AY28" i="1"/>
  <c r="BJ28" i="1"/>
  <c r="C307" i="18"/>
  <c r="P307" i="18" s="1"/>
  <c r="Q307" i="18" s="1"/>
  <c r="U307" i="18" s="1"/>
  <c r="AX76" i="1"/>
  <c r="BM76" i="1"/>
  <c r="BK76" i="1"/>
  <c r="BL76" i="1"/>
  <c r="BJ76" i="1"/>
  <c r="AY76" i="1"/>
  <c r="AZ76" i="1"/>
  <c r="BA76" i="1"/>
  <c r="H80" i="117" s="1"/>
  <c r="C311" i="18"/>
  <c r="C312" i="18"/>
  <c r="C313" i="18"/>
  <c r="C314" i="18"/>
  <c r="BA24" i="1"/>
  <c r="BM24" i="1"/>
  <c r="AX24" i="1"/>
  <c r="AY24" i="1"/>
  <c r="BJ24" i="1"/>
  <c r="Q35" i="18"/>
  <c r="R64" i="1" s="1"/>
  <c r="Q31" i="18"/>
  <c r="R96" i="1"/>
  <c r="R75" i="1"/>
  <c r="V74" i="1"/>
  <c r="O74" i="1" s="1"/>
  <c r="V95" i="1"/>
  <c r="AX33" i="1"/>
  <c r="BM33" i="1"/>
  <c r="BJ33" i="1"/>
  <c r="BL33" i="1"/>
  <c r="BK33" i="1"/>
  <c r="AY33" i="1"/>
  <c r="AZ33" i="1"/>
  <c r="BA33" i="1"/>
  <c r="R32" i="1"/>
  <c r="V75" i="1"/>
  <c r="V96" i="1"/>
  <c r="BJ34" i="1"/>
  <c r="AX34" i="1"/>
  <c r="BM34" i="1"/>
  <c r="BK34" i="1"/>
  <c r="BL34" i="1"/>
  <c r="AY34" i="1"/>
  <c r="AK38" i="117" s="1"/>
  <c r="AZ38" i="117" s="1"/>
  <c r="AZ34" i="1"/>
  <c r="BA34" i="1"/>
  <c r="T34" i="1"/>
  <c r="T32" i="1"/>
  <c r="T31" i="1"/>
  <c r="T33" i="1"/>
  <c r="X75" i="117"/>
  <c r="AR75" i="117" s="1"/>
  <c r="V94" i="1"/>
  <c r="V73" i="1"/>
  <c r="BJ32" i="1"/>
  <c r="BM32" i="1"/>
  <c r="BK32" i="1"/>
  <c r="BL32" i="1"/>
  <c r="AX32" i="1"/>
  <c r="AY32" i="1"/>
  <c r="AZ32" i="1"/>
  <c r="BA32" i="1"/>
  <c r="V72" i="1"/>
  <c r="O72" i="1" s="1"/>
  <c r="V93" i="1"/>
  <c r="O93" i="1" s="1"/>
  <c r="BM31" i="1"/>
  <c r="BK31" i="1"/>
  <c r="BJ31" i="1"/>
  <c r="BL31" i="1"/>
  <c r="AX31" i="1"/>
  <c r="AY31" i="1"/>
  <c r="AZ31" i="1"/>
  <c r="BA31" i="1"/>
  <c r="AP29" i="1"/>
  <c r="AQ29" i="1"/>
  <c r="AR29" i="1"/>
  <c r="AS29" i="1"/>
  <c r="R33" i="117" s="1"/>
  <c r="S60" i="1"/>
  <c r="S81" i="1"/>
  <c r="T65" i="1"/>
  <c r="T24" i="1"/>
  <c r="U305" i="18"/>
  <c r="R69" i="1"/>
  <c r="BK85" i="1"/>
  <c r="BL85" i="1"/>
  <c r="BJ85" i="1"/>
  <c r="BM85" i="1"/>
  <c r="BR85" i="1"/>
  <c r="CI85" i="1" s="1"/>
  <c r="AY85" i="1"/>
  <c r="AK89" i="117" s="1"/>
  <c r="AZ85" i="1"/>
  <c r="BA85" i="1"/>
  <c r="BG93" i="1"/>
  <c r="BI93" i="1"/>
  <c r="BH93" i="1"/>
  <c r="BF93" i="1"/>
  <c r="BG95" i="1"/>
  <c r="BI95" i="1"/>
  <c r="BH95" i="1"/>
  <c r="BF95" i="1"/>
  <c r="BI74" i="1"/>
  <c r="BG74" i="1"/>
  <c r="BF74" i="1"/>
  <c r="BH74" i="1"/>
  <c r="BI34" i="1"/>
  <c r="BG34" i="1"/>
  <c r="BF34" i="1"/>
  <c r="BH34" i="1"/>
  <c r="BI72" i="1"/>
  <c r="BF72" i="1"/>
  <c r="BG72" i="1"/>
  <c r="BH72" i="1"/>
  <c r="BI28" i="1"/>
  <c r="BF28" i="1"/>
  <c r="BG28" i="1"/>
  <c r="BH28" i="1"/>
  <c r="BT35" i="1"/>
  <c r="CK35" i="1" s="1"/>
  <c r="BU35" i="1"/>
  <c r="CL35" i="1" s="1"/>
  <c r="BR35" i="1"/>
  <c r="CI35" i="1" s="1"/>
  <c r="BS35" i="1"/>
  <c r="CJ35" i="1" s="1"/>
  <c r="P304" i="18"/>
  <c r="P308" i="18"/>
  <c r="Q308" i="18" s="1"/>
  <c r="U308" i="18" s="1"/>
  <c r="P306" i="18"/>
  <c r="Q306" i="18" s="1"/>
  <c r="P310" i="18"/>
  <c r="Q310" i="18" s="1"/>
  <c r="U310" i="18" s="1"/>
  <c r="V212" i="18"/>
  <c r="V216" i="18" s="1"/>
  <c r="T19" i="1" s="1"/>
  <c r="F152" i="18"/>
  <c r="Y76" i="18" s="1"/>
  <c r="Z76" i="18" s="1"/>
  <c r="F127" i="18"/>
  <c r="F154" i="18" s="1"/>
  <c r="Y78" i="18" s="1"/>
  <c r="Z78" i="18" s="1"/>
  <c r="D127" i="18"/>
  <c r="D154" i="18" s="1"/>
  <c r="D152" i="18"/>
  <c r="E152" i="18"/>
  <c r="E127" i="18"/>
  <c r="E154" i="18" s="1"/>
  <c r="H152" i="18"/>
  <c r="H127" i="18"/>
  <c r="H154" i="18" s="1"/>
  <c r="C224" i="18"/>
  <c r="C242" i="18" s="1"/>
  <c r="C240" i="18"/>
  <c r="K127" i="18"/>
  <c r="K154" i="18" s="1"/>
  <c r="Y90" i="18" s="1"/>
  <c r="Z90" i="18" s="1"/>
  <c r="K152" i="18"/>
  <c r="I152" i="18"/>
  <c r="I127" i="18"/>
  <c r="I154" i="18" s="1"/>
  <c r="J152" i="18"/>
  <c r="Y85" i="18" s="1"/>
  <c r="Z85" i="18" s="1"/>
  <c r="J127" i="18"/>
  <c r="J154" i="18" s="1"/>
  <c r="Y87" i="18" s="1"/>
  <c r="Z87" i="18" s="1"/>
  <c r="G127" i="18"/>
  <c r="G154" i="18" s="1"/>
  <c r="Y82" i="18" s="1"/>
  <c r="Z82" i="18" s="1"/>
  <c r="G152" i="18"/>
  <c r="Y80" i="18" s="1"/>
  <c r="AX15" i="117" l="1"/>
  <c r="AX21" i="117"/>
  <c r="BC12" i="117"/>
  <c r="BC15" i="117"/>
  <c r="Z10" i="116"/>
  <c r="W10" i="116"/>
  <c r="AW33" i="117"/>
  <c r="BB33" i="117" s="1"/>
  <c r="AW68" i="117"/>
  <c r="BB68" i="117" s="1"/>
  <c r="BC68" i="117" s="1"/>
  <c r="AW81" i="117"/>
  <c r="BB81" i="117" s="1"/>
  <c r="BC81" i="117" s="1"/>
  <c r="AW63" i="117"/>
  <c r="BB63" i="117" s="1"/>
  <c r="AW60" i="117"/>
  <c r="AW107" i="117"/>
  <c r="BB107" i="117" s="1"/>
  <c r="AW39" i="117"/>
  <c r="BB39" i="117" s="1"/>
  <c r="BC39" i="117" s="1"/>
  <c r="AW103" i="117"/>
  <c r="BB103" i="117" s="1"/>
  <c r="BC103" i="117" s="1"/>
  <c r="AW84" i="117"/>
  <c r="AW61" i="117"/>
  <c r="BB61" i="117" s="1"/>
  <c r="BC61" i="117" s="1"/>
  <c r="AW14" i="117"/>
  <c r="BB14" i="117" s="1"/>
  <c r="BC14" i="117" s="1"/>
  <c r="AW188" i="117"/>
  <c r="BB188" i="117" s="1"/>
  <c r="AW82" i="117"/>
  <c r="AH97" i="1"/>
  <c r="BN97" i="1" s="1"/>
  <c r="CE97" i="1" s="1"/>
  <c r="BH97" i="1"/>
  <c r="BG97" i="1"/>
  <c r="BF97" i="1"/>
  <c r="BI97" i="1"/>
  <c r="AI97" i="1"/>
  <c r="BO97" i="1" s="1"/>
  <c r="CF97" i="1" s="1"/>
  <c r="AJ97" i="1"/>
  <c r="BP97" i="1" s="1"/>
  <c r="CG97" i="1" s="1"/>
  <c r="AK97" i="1"/>
  <c r="BQ97" i="1" s="1"/>
  <c r="CH97" i="1" s="1"/>
  <c r="O95" i="1"/>
  <c r="V70" i="1"/>
  <c r="V91" i="1" s="1"/>
  <c r="V97" i="1" s="1"/>
  <c r="O97" i="1" s="1"/>
  <c r="AY188" i="117"/>
  <c r="AF188" i="117"/>
  <c r="BA188" i="117"/>
  <c r="AR188" i="117"/>
  <c r="AZ188" i="117"/>
  <c r="AL188" i="117"/>
  <c r="P303" i="18"/>
  <c r="Q303" i="18" s="1"/>
  <c r="AR33" i="117"/>
  <c r="AE33" i="117"/>
  <c r="AY33" i="117" s="1"/>
  <c r="BC33" i="117" s="1"/>
  <c r="BU107" i="1"/>
  <c r="CL107" i="1" s="1"/>
  <c r="BR107" i="1"/>
  <c r="CI107" i="1" s="1"/>
  <c r="AJ24" i="1"/>
  <c r="BP24" i="1" s="1"/>
  <c r="CG24" i="1" s="1"/>
  <c r="AQ89" i="117"/>
  <c r="BA89" i="117" s="1"/>
  <c r="AK35" i="117"/>
  <c r="AZ35" i="117" s="1"/>
  <c r="AR103" i="117"/>
  <c r="O80" i="1"/>
  <c r="O59" i="1"/>
  <c r="AK36" i="117"/>
  <c r="AZ36" i="117" s="1"/>
  <c r="AQ37" i="117"/>
  <c r="BA37" i="117" s="1"/>
  <c r="AQ28" i="117"/>
  <c r="BA28" i="117" s="1"/>
  <c r="AL33" i="117"/>
  <c r="AF39" i="117"/>
  <c r="V103" i="117"/>
  <c r="AF103" i="117" s="1"/>
  <c r="AL103" i="117"/>
  <c r="H32" i="117"/>
  <c r="AE32" i="117" s="1"/>
  <c r="AY32" i="117" s="1"/>
  <c r="V33" i="117"/>
  <c r="H69" i="117"/>
  <c r="H36" i="117"/>
  <c r="H74" i="117"/>
  <c r="AQ36" i="117"/>
  <c r="BA36" i="117" s="1"/>
  <c r="Y53" i="117"/>
  <c r="AX53" i="117" s="1"/>
  <c r="H37" i="117"/>
  <c r="H35" i="117"/>
  <c r="Y75" i="117"/>
  <c r="AX75" i="117" s="1"/>
  <c r="AU28" i="117"/>
  <c r="H28" i="117"/>
  <c r="AE111" i="117"/>
  <c r="AY111" i="117" s="1"/>
  <c r="H38" i="117"/>
  <c r="AU89" i="117"/>
  <c r="H89" i="117"/>
  <c r="V89" i="117" s="1"/>
  <c r="AQ35" i="117"/>
  <c r="BA35" i="117" s="1"/>
  <c r="AQ38" i="117"/>
  <c r="BA38" i="117" s="1"/>
  <c r="AK37" i="117"/>
  <c r="AZ37" i="117" s="1"/>
  <c r="AK28" i="117"/>
  <c r="AZ28" i="117" s="1"/>
  <c r="AK32" i="117"/>
  <c r="AZ32" i="117" s="1"/>
  <c r="AQ32" i="117"/>
  <c r="BA32" i="117" s="1"/>
  <c r="AR39" i="117"/>
  <c r="Z54" i="117"/>
  <c r="Z39" i="117"/>
  <c r="AR107" i="117"/>
  <c r="AF107" i="117"/>
  <c r="Y10" i="116"/>
  <c r="Y37" i="117"/>
  <c r="AU37" i="117"/>
  <c r="Y101" i="117"/>
  <c r="Y35" i="117"/>
  <c r="AU35" i="117"/>
  <c r="Y38" i="117"/>
  <c r="AU38" i="117"/>
  <c r="X101" i="117"/>
  <c r="V80" i="117"/>
  <c r="AE80" i="117"/>
  <c r="AY80" i="117" s="1"/>
  <c r="BT65" i="1"/>
  <c r="CK65" i="1" s="1"/>
  <c r="AQ69" i="117"/>
  <c r="BA69" i="117" s="1"/>
  <c r="BN28" i="1"/>
  <c r="CE28" i="1" s="1"/>
  <c r="Z107" i="117"/>
  <c r="X111" i="117"/>
  <c r="AQ111" i="117"/>
  <c r="BA111" i="117" s="1"/>
  <c r="BC107" i="117"/>
  <c r="F10" i="116"/>
  <c r="W80" i="117"/>
  <c r="AK80" i="117"/>
  <c r="AZ80" i="117" s="1"/>
  <c r="BO28" i="1"/>
  <c r="CF28" i="1" s="1"/>
  <c r="W101" i="117"/>
  <c r="Y80" i="117"/>
  <c r="AU80" i="117"/>
  <c r="Y32" i="117"/>
  <c r="AU32" i="117"/>
  <c r="BS65" i="1"/>
  <c r="CJ65" i="1" s="1"/>
  <c r="AK69" i="117"/>
  <c r="AZ69" i="117" s="1"/>
  <c r="BQ28" i="1"/>
  <c r="CH28" i="1" s="1"/>
  <c r="Y111" i="117"/>
  <c r="AU111" i="117"/>
  <c r="Y36" i="117"/>
  <c r="AU36" i="117"/>
  <c r="BP34" i="1"/>
  <c r="CG34" i="1" s="1"/>
  <c r="X80" i="117"/>
  <c r="AQ80" i="117"/>
  <c r="BA80" i="117" s="1"/>
  <c r="BO19" i="1"/>
  <c r="CF19" i="1" s="1"/>
  <c r="BU65" i="1"/>
  <c r="CL65" i="1" s="1"/>
  <c r="AU69" i="117"/>
  <c r="AL107" i="117"/>
  <c r="W111" i="117"/>
  <c r="AK111" i="117"/>
  <c r="AZ111" i="117" s="1"/>
  <c r="AL39" i="117"/>
  <c r="AL25" i="117"/>
  <c r="AL22" i="117"/>
  <c r="AL66" i="117"/>
  <c r="V213" i="18"/>
  <c r="V217" i="18" s="1"/>
  <c r="O222" i="18" s="1"/>
  <c r="V230" i="18"/>
  <c r="V234" i="18" s="1"/>
  <c r="V215" i="18"/>
  <c r="V219" i="18" s="1"/>
  <c r="O224" i="18" s="1"/>
  <c r="V232" i="18"/>
  <c r="V236" i="18" s="1"/>
  <c r="BM86" i="1"/>
  <c r="AZ86" i="1"/>
  <c r="AX86" i="1"/>
  <c r="AY86" i="1"/>
  <c r="BL86" i="1"/>
  <c r="BJ86" i="1"/>
  <c r="BA86" i="1"/>
  <c r="O91" i="1"/>
  <c r="AR52" i="117"/>
  <c r="AL52" i="117"/>
  <c r="BN34" i="1"/>
  <c r="CE34" i="1" s="1"/>
  <c r="BT85" i="1"/>
  <c r="CK85" i="1" s="1"/>
  <c r="X89" i="117"/>
  <c r="BU85" i="1"/>
  <c r="CL85" i="1" s="1"/>
  <c r="Y89" i="117"/>
  <c r="BS85" i="1"/>
  <c r="CJ85" i="1" s="1"/>
  <c r="W89" i="117"/>
  <c r="X90" i="117"/>
  <c r="BQ19" i="1"/>
  <c r="CH19" i="1" s="1"/>
  <c r="BN19" i="1"/>
  <c r="CE19" i="1" s="1"/>
  <c r="AI24" i="1"/>
  <c r="BH24" i="1"/>
  <c r="O24" i="1"/>
  <c r="AK24" i="1"/>
  <c r="AH24" i="1"/>
  <c r="W75" i="117"/>
  <c r="AL75" i="117" s="1"/>
  <c r="BO93" i="1"/>
  <c r="CF93" i="1" s="1"/>
  <c r="V75" i="117"/>
  <c r="BQ93" i="1"/>
  <c r="CH93" i="1" s="1"/>
  <c r="BN93" i="1"/>
  <c r="CE93" i="1" s="1"/>
  <c r="BP93" i="1"/>
  <c r="CG93" i="1" s="1"/>
  <c r="V53" i="117"/>
  <c r="AF53" i="117" s="1"/>
  <c r="V50" i="117"/>
  <c r="BN72" i="1"/>
  <c r="CE72" i="1" s="1"/>
  <c r="AF25" i="117"/>
  <c r="Z25" i="117"/>
  <c r="BP72" i="1"/>
  <c r="CG72" i="1" s="1"/>
  <c r="Y50" i="117"/>
  <c r="BO72" i="1"/>
  <c r="CF72" i="1" s="1"/>
  <c r="AF22" i="117"/>
  <c r="Z22" i="117"/>
  <c r="X50" i="117"/>
  <c r="AH91" i="1"/>
  <c r="AI91" i="1"/>
  <c r="AJ91" i="1"/>
  <c r="AK91" i="1"/>
  <c r="R86" i="1"/>
  <c r="R65" i="1"/>
  <c r="AH70" i="1"/>
  <c r="AI70" i="1"/>
  <c r="AJ70" i="1"/>
  <c r="AK70" i="1"/>
  <c r="BO34" i="1"/>
  <c r="CF34" i="1" s="1"/>
  <c r="A10" i="116"/>
  <c r="BQ34" i="1"/>
  <c r="CH34" i="1" s="1"/>
  <c r="BP19" i="1"/>
  <c r="CG19" i="1" s="1"/>
  <c r="BG32" i="1"/>
  <c r="O32" i="1"/>
  <c r="AH32" i="1"/>
  <c r="AI32" i="1"/>
  <c r="AJ32" i="1"/>
  <c r="AK32" i="1"/>
  <c r="BP28" i="1"/>
  <c r="CG28" i="1" s="1"/>
  <c r="O64" i="1"/>
  <c r="AH64" i="1"/>
  <c r="AI64" i="1"/>
  <c r="AJ64" i="1"/>
  <c r="AK64" i="1"/>
  <c r="Y74" i="117"/>
  <c r="X74" i="117"/>
  <c r="W74" i="117"/>
  <c r="BP95" i="1"/>
  <c r="CG95" i="1" s="1"/>
  <c r="BN95" i="1"/>
  <c r="CE95" i="1" s="1"/>
  <c r="BN74" i="1"/>
  <c r="CE74" i="1" s="1"/>
  <c r="BO95" i="1"/>
  <c r="CF95" i="1" s="1"/>
  <c r="BO74" i="1"/>
  <c r="CF74" i="1" s="1"/>
  <c r="BP74" i="1"/>
  <c r="CG74" i="1" s="1"/>
  <c r="BQ95" i="1"/>
  <c r="CH95" i="1" s="1"/>
  <c r="O96" i="1"/>
  <c r="O69" i="1"/>
  <c r="O75" i="1"/>
  <c r="V58" i="117"/>
  <c r="AF58" i="117" s="1"/>
  <c r="BR31" i="1"/>
  <c r="CI31" i="1" s="1"/>
  <c r="BT32" i="1"/>
  <c r="CK32" i="1" s="1"/>
  <c r="X36" i="117"/>
  <c r="BR76" i="1"/>
  <c r="CI76" i="1" s="1"/>
  <c r="BS32" i="1"/>
  <c r="CJ32" i="1" s="1"/>
  <c r="W36" i="117"/>
  <c r="X58" i="117"/>
  <c r="BT31" i="1"/>
  <c r="CK31" i="1" s="1"/>
  <c r="X35" i="117"/>
  <c r="BR32" i="1"/>
  <c r="CI32" i="1" s="1"/>
  <c r="BT34" i="1"/>
  <c r="CK34" i="1" s="1"/>
  <c r="X38" i="117"/>
  <c r="BR33" i="1"/>
  <c r="CI33" i="1" s="1"/>
  <c r="BT76" i="1"/>
  <c r="CK76" i="1" s="1"/>
  <c r="BR28" i="1"/>
  <c r="CI28" i="1" s="1"/>
  <c r="BT33" i="1"/>
  <c r="CK33" i="1" s="1"/>
  <c r="X37" i="117"/>
  <c r="BR24" i="1"/>
  <c r="CI24" i="1" s="1"/>
  <c r="BS31" i="1"/>
  <c r="CJ31" i="1" s="1"/>
  <c r="W35" i="117"/>
  <c r="BS34" i="1"/>
  <c r="CJ34" i="1" s="1"/>
  <c r="W38" i="117"/>
  <c r="AL38" i="117" s="1"/>
  <c r="BR34" i="1"/>
  <c r="CI34" i="1" s="1"/>
  <c r="BS24" i="1"/>
  <c r="CJ24" i="1" s="1"/>
  <c r="BS76" i="1"/>
  <c r="CJ76" i="1" s="1"/>
  <c r="BT24" i="1"/>
  <c r="CK24" i="1" s="1"/>
  <c r="AF44" i="117"/>
  <c r="Z44" i="117"/>
  <c r="AF65" i="117"/>
  <c r="Z65" i="117"/>
  <c r="Z66" i="117"/>
  <c r="AX66" i="117"/>
  <c r="BS28" i="1"/>
  <c r="CJ28" i="1" s="1"/>
  <c r="W32" i="117"/>
  <c r="BT28" i="1"/>
  <c r="CK28" i="1" s="1"/>
  <c r="X32" i="117"/>
  <c r="BS33" i="1"/>
  <c r="CJ33" i="1" s="1"/>
  <c r="W37" i="117"/>
  <c r="Z45" i="117"/>
  <c r="Z52" i="117"/>
  <c r="AX52" i="117"/>
  <c r="BQ74" i="1"/>
  <c r="CH74" i="1" s="1"/>
  <c r="BQ72" i="1"/>
  <c r="CH72" i="1" s="1"/>
  <c r="AJ69" i="1"/>
  <c r="AH69" i="1"/>
  <c r="AK69" i="1"/>
  <c r="AI69" i="1"/>
  <c r="AJ75" i="1"/>
  <c r="AH75" i="1"/>
  <c r="AK75" i="1"/>
  <c r="AI75" i="1"/>
  <c r="AJ59" i="1"/>
  <c r="AH59" i="1"/>
  <c r="AK59" i="1"/>
  <c r="AI59" i="1"/>
  <c r="AJ96" i="1"/>
  <c r="AH96" i="1"/>
  <c r="AK96" i="1"/>
  <c r="AI96" i="1"/>
  <c r="BI80" i="1"/>
  <c r="AI80" i="1"/>
  <c r="AJ80" i="1"/>
  <c r="AH80" i="1"/>
  <c r="AK80" i="1"/>
  <c r="BI59" i="1"/>
  <c r="BU31" i="1"/>
  <c r="CL31" i="1" s="1"/>
  <c r="BU34" i="1"/>
  <c r="CL34" i="1" s="1"/>
  <c r="BU76" i="1"/>
  <c r="CL76" i="1" s="1"/>
  <c r="BU32" i="1"/>
  <c r="CL32" i="1" s="1"/>
  <c r="BU24" i="1"/>
  <c r="CL24" i="1" s="1"/>
  <c r="BU33" i="1"/>
  <c r="CL33" i="1" s="1"/>
  <c r="BU28" i="1"/>
  <c r="CL28" i="1" s="1"/>
  <c r="AZ69" i="1"/>
  <c r="AX69" i="1"/>
  <c r="AY69" i="1"/>
  <c r="BL69" i="1"/>
  <c r="BM69" i="1"/>
  <c r="BK69" i="1"/>
  <c r="R29" i="1"/>
  <c r="BA69" i="1"/>
  <c r="BJ69" i="1"/>
  <c r="V90" i="1"/>
  <c r="AX90" i="1" s="1"/>
  <c r="BF80" i="1"/>
  <c r="BH80" i="1"/>
  <c r="BG80" i="1"/>
  <c r="BG59" i="1"/>
  <c r="BH59" i="1"/>
  <c r="BF59" i="1"/>
  <c r="R308" i="18"/>
  <c r="S308" i="18" s="1"/>
  <c r="R304" i="18"/>
  <c r="S304" i="18" s="1"/>
  <c r="R312" i="18" s="1"/>
  <c r="R303" i="18"/>
  <c r="S303" i="18" s="1"/>
  <c r="T20" i="1" s="1"/>
  <c r="R307" i="18"/>
  <c r="S307" i="18" s="1"/>
  <c r="Y88" i="18"/>
  <c r="Z88" i="18" s="1"/>
  <c r="R306" i="18"/>
  <c r="S306" i="18" s="1"/>
  <c r="R314" i="18" s="1"/>
  <c r="R310" i="18"/>
  <c r="S310" i="18" s="1"/>
  <c r="R309" i="18"/>
  <c r="S309" i="18" s="1"/>
  <c r="R305" i="18"/>
  <c r="S305" i="18" s="1"/>
  <c r="R313" i="18" s="1"/>
  <c r="BG64" i="1"/>
  <c r="BF64" i="1"/>
  <c r="BI64" i="1"/>
  <c r="BH64" i="1"/>
  <c r="R85" i="1"/>
  <c r="BF24" i="1"/>
  <c r="BG24" i="1"/>
  <c r="BI24" i="1"/>
  <c r="BH32" i="1"/>
  <c r="T80" i="1"/>
  <c r="T59" i="1"/>
  <c r="AP19" i="1"/>
  <c r="AQ19" i="1"/>
  <c r="AR19" i="1"/>
  <c r="AS19" i="1"/>
  <c r="R23" i="117" s="1"/>
  <c r="AX94" i="1"/>
  <c r="BM94" i="1"/>
  <c r="BK94" i="1"/>
  <c r="BL94" i="1"/>
  <c r="BJ94" i="1"/>
  <c r="AY94" i="1"/>
  <c r="AZ94" i="1"/>
  <c r="BA94" i="1"/>
  <c r="BI32" i="1"/>
  <c r="BL72" i="1"/>
  <c r="AX72" i="1"/>
  <c r="BJ72" i="1"/>
  <c r="BM72" i="1"/>
  <c r="BK72" i="1"/>
  <c r="AY72" i="1"/>
  <c r="AK76" i="117" s="1"/>
  <c r="AZ76" i="117" s="1"/>
  <c r="AZ72" i="1"/>
  <c r="BA72" i="1"/>
  <c r="T95" i="1"/>
  <c r="T70" i="1" s="1"/>
  <c r="AQ70" i="1" s="1"/>
  <c r="T74" i="1"/>
  <c r="AP33" i="1"/>
  <c r="AQ33" i="1"/>
  <c r="AR33" i="1"/>
  <c r="AS33" i="1"/>
  <c r="R37" i="117" s="1"/>
  <c r="BL75" i="1"/>
  <c r="BJ75" i="1"/>
  <c r="BM75" i="1"/>
  <c r="AX75" i="1"/>
  <c r="BK75" i="1"/>
  <c r="AY75" i="1"/>
  <c r="AZ75" i="1"/>
  <c r="BA75" i="1"/>
  <c r="BJ74" i="1"/>
  <c r="BM74" i="1"/>
  <c r="BL74" i="1"/>
  <c r="AX74" i="1"/>
  <c r="BK74" i="1"/>
  <c r="AY74" i="1"/>
  <c r="AZ74" i="1"/>
  <c r="BA74" i="1"/>
  <c r="BK73" i="1"/>
  <c r="AX73" i="1"/>
  <c r="BJ73" i="1"/>
  <c r="BM73" i="1"/>
  <c r="BL73" i="1"/>
  <c r="AY73" i="1"/>
  <c r="AK77" i="117" s="1"/>
  <c r="AZ77" i="117" s="1"/>
  <c r="AZ73" i="1"/>
  <c r="BA73" i="1"/>
  <c r="T93" i="1"/>
  <c r="T72" i="1"/>
  <c r="AP31" i="1"/>
  <c r="AQ31" i="1"/>
  <c r="AR31" i="1"/>
  <c r="AS31" i="1"/>
  <c r="R35" i="117" s="1"/>
  <c r="R73" i="1"/>
  <c r="R94" i="1"/>
  <c r="BF32" i="1"/>
  <c r="T94" i="1"/>
  <c r="T73" i="1"/>
  <c r="AP32" i="1"/>
  <c r="AQ32" i="1"/>
  <c r="AR32" i="1"/>
  <c r="AS32" i="1"/>
  <c r="R36" i="117" s="1"/>
  <c r="BH75" i="1"/>
  <c r="BG75" i="1"/>
  <c r="BI75" i="1"/>
  <c r="BF75" i="1"/>
  <c r="BL93" i="1"/>
  <c r="BJ93" i="1"/>
  <c r="BK93" i="1"/>
  <c r="AX93" i="1"/>
  <c r="BM93" i="1"/>
  <c r="AY93" i="1"/>
  <c r="AZ93" i="1"/>
  <c r="BA93" i="1"/>
  <c r="T96" i="1"/>
  <c r="T75" i="1"/>
  <c r="AP34" i="1"/>
  <c r="AQ34" i="1"/>
  <c r="AR34" i="1"/>
  <c r="AS34" i="1"/>
  <c r="R38" i="117" s="1"/>
  <c r="BJ96" i="1"/>
  <c r="BL96" i="1"/>
  <c r="BM96" i="1"/>
  <c r="AX96" i="1"/>
  <c r="BK96" i="1"/>
  <c r="AY96" i="1"/>
  <c r="AZ96" i="1"/>
  <c r="BA96" i="1"/>
  <c r="BJ95" i="1"/>
  <c r="BK95" i="1"/>
  <c r="AX95" i="1"/>
  <c r="BM95" i="1"/>
  <c r="BL95" i="1"/>
  <c r="AY95" i="1"/>
  <c r="AZ95" i="1"/>
  <c r="BA95" i="1"/>
  <c r="BI96" i="1"/>
  <c r="BG96" i="1"/>
  <c r="BF96" i="1"/>
  <c r="BH96" i="1"/>
  <c r="U306" i="18"/>
  <c r="Q314" i="18"/>
  <c r="BJ91" i="1"/>
  <c r="AX91" i="1"/>
  <c r="BM91" i="1"/>
  <c r="BK91" i="1"/>
  <c r="BL91" i="1"/>
  <c r="AY91" i="1"/>
  <c r="AZ91" i="1"/>
  <c r="BA91" i="1"/>
  <c r="T86" i="1"/>
  <c r="AP65" i="1"/>
  <c r="AQ65" i="1"/>
  <c r="AR65" i="1"/>
  <c r="AS65" i="1"/>
  <c r="R69" i="117" s="1"/>
  <c r="R90" i="1"/>
  <c r="BH69" i="1"/>
  <c r="BI69" i="1"/>
  <c r="BG69" i="1"/>
  <c r="BF69" i="1"/>
  <c r="U303" i="18"/>
  <c r="V20" i="1" s="1"/>
  <c r="R20" i="1"/>
  <c r="AP24" i="1"/>
  <c r="AQ24" i="1"/>
  <c r="AR24" i="1"/>
  <c r="AS24" i="1"/>
  <c r="R28" i="117" s="1"/>
  <c r="Z80" i="18"/>
  <c r="Q304" i="18"/>
  <c r="Q312" i="18" s="1"/>
  <c r="J131" i="16"/>
  <c r="K128" i="16"/>
  <c r="J122" i="16"/>
  <c r="J121" i="16"/>
  <c r="M131" i="16"/>
  <c r="L128" i="16"/>
  <c r="L127" i="16"/>
  <c r="K127" i="16"/>
  <c r="L125" i="16"/>
  <c r="L122" i="16"/>
  <c r="K122" i="16"/>
  <c r="L121" i="16"/>
  <c r="K121" i="16"/>
  <c r="L119" i="16"/>
  <c r="M119" i="16" s="1"/>
  <c r="P113" i="16"/>
  <c r="P106" i="16"/>
  <c r="AA10" i="116" l="1"/>
  <c r="AX103" i="117"/>
  <c r="AX39" i="117"/>
  <c r="AX33" i="117"/>
  <c r="AW89" i="117"/>
  <c r="BB89" i="117" s="1"/>
  <c r="AW28" i="117"/>
  <c r="BB28" i="117" s="1"/>
  <c r="AW69" i="117"/>
  <c r="BB69" i="117" s="1"/>
  <c r="AW111" i="117"/>
  <c r="BB111" i="117" s="1"/>
  <c r="BC111" i="117" s="1"/>
  <c r="AX107" i="117"/>
  <c r="AX188" i="117"/>
  <c r="AW36" i="117"/>
  <c r="BB36" i="117" s="1"/>
  <c r="AW37" i="117"/>
  <c r="BB37" i="117" s="1"/>
  <c r="AW80" i="117"/>
  <c r="BB80" i="117" s="1"/>
  <c r="AW35" i="117"/>
  <c r="BB35" i="117" s="1"/>
  <c r="AW32" i="117"/>
  <c r="BB32" i="117" s="1"/>
  <c r="AW38" i="117"/>
  <c r="BB38" i="117" s="1"/>
  <c r="O70" i="1"/>
  <c r="AR70" i="1"/>
  <c r="BJ97" i="1"/>
  <c r="AP70" i="1"/>
  <c r="AY97" i="1"/>
  <c r="BK97" i="1"/>
  <c r="BL97" i="1"/>
  <c r="AX97" i="1"/>
  <c r="BR97" i="1" s="1"/>
  <c r="CI97" i="1" s="1"/>
  <c r="BM97" i="1"/>
  <c r="T91" i="1"/>
  <c r="T97" i="1" s="1"/>
  <c r="AR97" i="1" s="1"/>
  <c r="BA97" i="1"/>
  <c r="AZ97" i="1"/>
  <c r="AS70" i="1"/>
  <c r="R74" i="117" s="1"/>
  <c r="V74" i="117" s="1"/>
  <c r="AP97" i="1"/>
  <c r="BC188" i="117"/>
  <c r="BJ70" i="1"/>
  <c r="AY70" i="1"/>
  <c r="AZ70" i="1"/>
  <c r="BM70" i="1"/>
  <c r="BK70" i="1"/>
  <c r="BA70" i="1"/>
  <c r="AX70" i="1"/>
  <c r="BR70" i="1" s="1"/>
  <c r="CI70" i="1" s="1"/>
  <c r="BL70" i="1"/>
  <c r="O225" i="18"/>
  <c r="AR32" i="117"/>
  <c r="AF111" i="117"/>
  <c r="AF33" i="117"/>
  <c r="AR38" i="117"/>
  <c r="AR89" i="117"/>
  <c r="AL36" i="117"/>
  <c r="AQ90" i="117"/>
  <c r="BA90" i="117" s="1"/>
  <c r="AK95" i="117"/>
  <c r="BF65" i="1"/>
  <c r="V38" i="117"/>
  <c r="Z38" i="117" s="1"/>
  <c r="V36" i="117"/>
  <c r="Z36" i="117" s="1"/>
  <c r="AR37" i="117"/>
  <c r="Z103" i="117"/>
  <c r="AQ95" i="117"/>
  <c r="BA95" i="117" s="1"/>
  <c r="AQ97" i="117"/>
  <c r="BA97" i="117" s="1"/>
  <c r="O85" i="1"/>
  <c r="O94" i="1"/>
  <c r="O73" i="1"/>
  <c r="BT86" i="1"/>
  <c r="CK86" i="1" s="1"/>
  <c r="AQ99" i="117"/>
  <c r="BA99" i="117" s="1"/>
  <c r="AQ76" i="117"/>
  <c r="BA76" i="117" s="1"/>
  <c r="AQ98" i="117"/>
  <c r="BA98" i="117" s="1"/>
  <c r="V35" i="117"/>
  <c r="Z35" i="117" s="1"/>
  <c r="V37" i="117"/>
  <c r="Z37" i="117" s="1"/>
  <c r="AR36" i="117"/>
  <c r="AE28" i="117"/>
  <c r="AY28" i="117" s="1"/>
  <c r="AL37" i="117"/>
  <c r="Z33" i="117"/>
  <c r="AX36" i="117"/>
  <c r="BC32" i="117"/>
  <c r="AR35" i="117"/>
  <c r="V32" i="117"/>
  <c r="AF32" i="117" s="1"/>
  <c r="AL32" i="117"/>
  <c r="AE69" i="117"/>
  <c r="AY69" i="117" s="1"/>
  <c r="H78" i="117"/>
  <c r="AU95" i="117"/>
  <c r="H95" i="117"/>
  <c r="AK99" i="117"/>
  <c r="AZ99" i="117" s="1"/>
  <c r="AU97" i="117"/>
  <c r="H97" i="117"/>
  <c r="AQ78" i="117"/>
  <c r="BA78" i="117" s="1"/>
  <c r="AQ79" i="117"/>
  <c r="BA79" i="117" s="1"/>
  <c r="AK98" i="117"/>
  <c r="AZ98" i="117" s="1"/>
  <c r="H73" i="117"/>
  <c r="V73" i="117" s="1"/>
  <c r="AE35" i="117"/>
  <c r="AY35" i="117" s="1"/>
  <c r="AE37" i="117"/>
  <c r="AY37" i="117" s="1"/>
  <c r="BU86" i="1"/>
  <c r="CL86" i="1" s="1"/>
  <c r="H90" i="117"/>
  <c r="AE36" i="117"/>
  <c r="AY36" i="117" s="1"/>
  <c r="BC36" i="117" s="1"/>
  <c r="AE38" i="117"/>
  <c r="AY38" i="117" s="1"/>
  <c r="AU79" i="117"/>
  <c r="H79" i="117"/>
  <c r="AU77" i="117"/>
  <c r="H77" i="117"/>
  <c r="AK78" i="117"/>
  <c r="AZ78" i="117" s="1"/>
  <c r="AK79" i="117"/>
  <c r="AZ79" i="117" s="1"/>
  <c r="V23" i="117"/>
  <c r="AE23" i="117"/>
  <c r="AY23" i="117" s="1"/>
  <c r="BC23" i="117" s="1"/>
  <c r="AU99" i="117"/>
  <c r="H99" i="117"/>
  <c r="H100" i="117"/>
  <c r="AK97" i="117"/>
  <c r="AZ97" i="117" s="1"/>
  <c r="AQ77" i="117"/>
  <c r="BA77" i="117" s="1"/>
  <c r="AU76" i="117"/>
  <c r="H76" i="117"/>
  <c r="AU98" i="117"/>
  <c r="H98" i="117"/>
  <c r="AE89" i="117"/>
  <c r="AR80" i="117"/>
  <c r="Z80" i="117"/>
  <c r="AX80" i="117"/>
  <c r="Y100" i="117"/>
  <c r="AU100" i="117"/>
  <c r="BN96" i="1"/>
  <c r="CE96" i="1" s="1"/>
  <c r="BN75" i="1"/>
  <c r="CE75" i="1" s="1"/>
  <c r="X100" i="117"/>
  <c r="AQ100" i="117"/>
  <c r="BA100" i="117" s="1"/>
  <c r="Y47" i="117"/>
  <c r="AU78" i="117"/>
  <c r="X73" i="117"/>
  <c r="AQ73" i="117"/>
  <c r="BA73" i="117" s="1"/>
  <c r="BP96" i="1"/>
  <c r="CG96" i="1" s="1"/>
  <c r="BP64" i="1"/>
  <c r="CG64" i="1" s="1"/>
  <c r="W90" i="117"/>
  <c r="AK90" i="117"/>
  <c r="AZ90" i="117" s="1"/>
  <c r="BC80" i="117"/>
  <c r="AR111" i="117"/>
  <c r="AF80" i="117"/>
  <c r="BO96" i="1"/>
  <c r="CF96" i="1" s="1"/>
  <c r="BO64" i="1"/>
  <c r="CF64" i="1" s="1"/>
  <c r="Y90" i="117"/>
  <c r="AU90" i="117"/>
  <c r="BR86" i="1"/>
  <c r="CI86" i="1" s="1"/>
  <c r="W100" i="117"/>
  <c r="AK100" i="117"/>
  <c r="AZ100" i="117" s="1"/>
  <c r="Y73" i="117"/>
  <c r="AU73" i="117"/>
  <c r="W73" i="117"/>
  <c r="AK73" i="117"/>
  <c r="AZ73" i="117" s="1"/>
  <c r="BQ96" i="1"/>
  <c r="CH96" i="1" s="1"/>
  <c r="BQ75" i="1"/>
  <c r="CH75" i="1" s="1"/>
  <c r="BN24" i="1"/>
  <c r="CE24" i="1" s="1"/>
  <c r="BO24" i="1"/>
  <c r="CF24" i="1" s="1"/>
  <c r="Z111" i="117"/>
  <c r="AL111" i="117"/>
  <c r="AL80" i="117"/>
  <c r="AL35" i="117"/>
  <c r="BS86" i="1"/>
  <c r="CJ86" i="1" s="1"/>
  <c r="BH65" i="1"/>
  <c r="BG65" i="1"/>
  <c r="BI65" i="1"/>
  <c r="BO32" i="1"/>
  <c r="CF32" i="1" s="1"/>
  <c r="W58" i="117"/>
  <c r="AL58" i="117" s="1"/>
  <c r="W53" i="117"/>
  <c r="AL53" i="117" s="1"/>
  <c r="AR53" i="117"/>
  <c r="BB50" i="117"/>
  <c r="AR58" i="117"/>
  <c r="BU95" i="1"/>
  <c r="CL95" i="1" s="1"/>
  <c r="Y99" i="117"/>
  <c r="BS91" i="1"/>
  <c r="CJ91" i="1" s="1"/>
  <c r="W95" i="117"/>
  <c r="BR91" i="1"/>
  <c r="CI91" i="1" s="1"/>
  <c r="BT93" i="1"/>
  <c r="CK93" i="1" s="1"/>
  <c r="X97" i="117"/>
  <c r="BQ32" i="1"/>
  <c r="CH32" i="1" s="1"/>
  <c r="BT94" i="1"/>
  <c r="CK94" i="1" s="1"/>
  <c r="X98" i="117"/>
  <c r="BS94" i="1"/>
  <c r="CJ94" i="1" s="1"/>
  <c r="W98" i="117"/>
  <c r="AZ89" i="117"/>
  <c r="AL89" i="117"/>
  <c r="Z89" i="117"/>
  <c r="BU91" i="1"/>
  <c r="CL91" i="1" s="1"/>
  <c r="Y95" i="117"/>
  <c r="BO70" i="1"/>
  <c r="CF70" i="1" s="1"/>
  <c r="BT95" i="1"/>
  <c r="CK95" i="1" s="1"/>
  <c r="X99" i="117"/>
  <c r="BR95" i="1"/>
  <c r="CI95" i="1" s="1"/>
  <c r="BS93" i="1"/>
  <c r="CJ93" i="1" s="1"/>
  <c r="W97" i="117"/>
  <c r="BR94" i="1"/>
  <c r="CI94" i="1" s="1"/>
  <c r="BR90" i="1"/>
  <c r="CI90" i="1" s="1"/>
  <c r="BT91" i="1"/>
  <c r="CK91" i="1" s="1"/>
  <c r="X95" i="117"/>
  <c r="BS95" i="1"/>
  <c r="CJ95" i="1" s="1"/>
  <c r="W99" i="117"/>
  <c r="BU93" i="1"/>
  <c r="CL93" i="1" s="1"/>
  <c r="Y97" i="117"/>
  <c r="BR93" i="1"/>
  <c r="CI93" i="1" s="1"/>
  <c r="BU94" i="1"/>
  <c r="CL94" i="1" s="1"/>
  <c r="Y98" i="117"/>
  <c r="BN32" i="1"/>
  <c r="CE32" i="1" s="1"/>
  <c r="BP70" i="1"/>
  <c r="CG70" i="1" s="1"/>
  <c r="BQ24" i="1"/>
  <c r="CH24" i="1" s="1"/>
  <c r="AR50" i="117"/>
  <c r="BA50" i="117"/>
  <c r="AL50" i="117"/>
  <c r="AZ50" i="117"/>
  <c r="W47" i="117"/>
  <c r="AF50" i="117"/>
  <c r="AY50" i="117"/>
  <c r="X47" i="117"/>
  <c r="BU96" i="1"/>
  <c r="CL96" i="1" s="1"/>
  <c r="Y11" i="117"/>
  <c r="BR96" i="1"/>
  <c r="CI96" i="1" s="1"/>
  <c r="V11" i="117"/>
  <c r="BT96" i="1"/>
  <c r="CK96" i="1" s="1"/>
  <c r="X11" i="117"/>
  <c r="BS96" i="1"/>
  <c r="CJ96" i="1" s="1"/>
  <c r="W11" i="117"/>
  <c r="AF75" i="117"/>
  <c r="Z75" i="117"/>
  <c r="BP80" i="1"/>
  <c r="CG80" i="1" s="1"/>
  <c r="BQ59" i="1"/>
  <c r="CH59" i="1" s="1"/>
  <c r="BO80" i="1"/>
  <c r="CF80" i="1" s="1"/>
  <c r="BN59" i="1"/>
  <c r="CE59" i="1" s="1"/>
  <c r="BQ80" i="1"/>
  <c r="CH80" i="1" s="1"/>
  <c r="BP59" i="1"/>
  <c r="CG59" i="1" s="1"/>
  <c r="BN80" i="1"/>
  <c r="CE80" i="1" s="1"/>
  <c r="Z50" i="117"/>
  <c r="AX50" i="117"/>
  <c r="AH86" i="1"/>
  <c r="AI86" i="1"/>
  <c r="AJ86" i="1"/>
  <c r="AK86" i="1"/>
  <c r="O86" i="1"/>
  <c r="AH65" i="1"/>
  <c r="AI65" i="1"/>
  <c r="AJ65" i="1"/>
  <c r="AK65" i="1"/>
  <c r="O65" i="1"/>
  <c r="O103" i="1" s="1"/>
  <c r="O107" i="1" s="1"/>
  <c r="BP32" i="1"/>
  <c r="CG32" i="1" s="1"/>
  <c r="BQ64" i="1"/>
  <c r="CH64" i="1" s="1"/>
  <c r="BN64" i="1"/>
  <c r="CE64" i="1" s="1"/>
  <c r="O29" i="1"/>
  <c r="AH29" i="1"/>
  <c r="AI29" i="1"/>
  <c r="AJ29" i="1"/>
  <c r="AK29" i="1"/>
  <c r="O20" i="1"/>
  <c r="AH20" i="1"/>
  <c r="AI20" i="1"/>
  <c r="AJ20" i="1"/>
  <c r="AK20" i="1"/>
  <c r="W79" i="117"/>
  <c r="X79" i="117"/>
  <c r="O90" i="1"/>
  <c r="Y79" i="117"/>
  <c r="BO69" i="1"/>
  <c r="CF69" i="1" s="1"/>
  <c r="BQ69" i="1"/>
  <c r="CH69" i="1" s="1"/>
  <c r="BN69" i="1"/>
  <c r="CE69" i="1" s="1"/>
  <c r="BS74" i="1"/>
  <c r="CJ74" i="1" s="1"/>
  <c r="W62" i="117"/>
  <c r="BR69" i="1"/>
  <c r="CI69" i="1" s="1"/>
  <c r="V57" i="117"/>
  <c r="BA90" i="1"/>
  <c r="BS73" i="1"/>
  <c r="CJ73" i="1" s="1"/>
  <c r="BR73" i="1"/>
  <c r="CI73" i="1" s="1"/>
  <c r="Y62" i="117"/>
  <c r="BR74" i="1"/>
  <c r="CI74" i="1" s="1"/>
  <c r="V62" i="117"/>
  <c r="Y84" i="117"/>
  <c r="BB84" i="117" s="1"/>
  <c r="BR75" i="1"/>
  <c r="CI75" i="1" s="1"/>
  <c r="BT72" i="1"/>
  <c r="CK72" i="1" s="1"/>
  <c r="X60" i="117"/>
  <c r="X81" i="117"/>
  <c r="AR81" i="117" s="1"/>
  <c r="BT74" i="1"/>
  <c r="CK74" i="1" s="1"/>
  <c r="X62" i="117"/>
  <c r="BT75" i="1"/>
  <c r="CK75" i="1" s="1"/>
  <c r="X84" i="117"/>
  <c r="BA84" i="117" s="1"/>
  <c r="BS72" i="1"/>
  <c r="CJ72" i="1" s="1"/>
  <c r="W60" i="117"/>
  <c r="W81" i="117"/>
  <c r="AL81" i="117" s="1"/>
  <c r="BR72" i="1"/>
  <c r="CI72" i="1" s="1"/>
  <c r="V81" i="117"/>
  <c r="AF81" i="117" s="1"/>
  <c r="V60" i="117"/>
  <c r="BS69" i="1"/>
  <c r="CJ69" i="1" s="1"/>
  <c r="BS75" i="1"/>
  <c r="CJ75" i="1" s="1"/>
  <c r="W84" i="117"/>
  <c r="AZ84" i="117" s="1"/>
  <c r="BT73" i="1"/>
  <c r="CK73" i="1" s="1"/>
  <c r="Y81" i="117"/>
  <c r="AX81" i="117" s="1"/>
  <c r="Y60" i="117"/>
  <c r="BT69" i="1"/>
  <c r="CK69" i="1" s="1"/>
  <c r="AX58" i="117"/>
  <c r="X68" i="117"/>
  <c r="AR68" i="117" s="1"/>
  <c r="BP75" i="1"/>
  <c r="CG75" i="1" s="1"/>
  <c r="W68" i="117"/>
  <c r="AL68" i="117" s="1"/>
  <c r="BP69" i="1"/>
  <c r="CG69" i="1" s="1"/>
  <c r="BO75" i="1"/>
  <c r="CF75" i="1" s="1"/>
  <c r="BO59" i="1"/>
  <c r="CF59" i="1" s="1"/>
  <c r="Y68" i="117"/>
  <c r="AX68" i="117" s="1"/>
  <c r="V68" i="117"/>
  <c r="AH94" i="1"/>
  <c r="AK94" i="1"/>
  <c r="AI94" i="1"/>
  <c r="AJ94" i="1"/>
  <c r="AJ85" i="1"/>
  <c r="AH85" i="1"/>
  <c r="AK85" i="1"/>
  <c r="AI85" i="1"/>
  <c r="AI73" i="1"/>
  <c r="AJ73" i="1"/>
  <c r="AH73" i="1"/>
  <c r="AK73" i="1"/>
  <c r="AH90" i="1"/>
  <c r="AK90" i="1"/>
  <c r="AI90" i="1"/>
  <c r="AJ90" i="1"/>
  <c r="BJ90" i="1"/>
  <c r="BK90" i="1"/>
  <c r="BM90" i="1"/>
  <c r="BU73" i="1"/>
  <c r="CL73" i="1" s="1"/>
  <c r="BU72" i="1"/>
  <c r="CL72" i="1" s="1"/>
  <c r="BU74" i="1"/>
  <c r="CL74" i="1" s="1"/>
  <c r="BU75" i="1"/>
  <c r="CL75" i="1" s="1"/>
  <c r="BU69" i="1"/>
  <c r="CL69" i="1" s="1"/>
  <c r="BG29" i="1"/>
  <c r="AZ90" i="1"/>
  <c r="BF29" i="1"/>
  <c r="BL90" i="1"/>
  <c r="AY90" i="1"/>
  <c r="AK94" i="117" s="1"/>
  <c r="AZ94" i="117" s="1"/>
  <c r="BI29" i="1"/>
  <c r="BH29" i="1"/>
  <c r="T81" i="1"/>
  <c r="AR20" i="1"/>
  <c r="T60" i="1"/>
  <c r="AS20" i="1"/>
  <c r="R24" i="117" s="1"/>
  <c r="AP20" i="1"/>
  <c r="AQ20" i="1"/>
  <c r="R315" i="18"/>
  <c r="BG85" i="1"/>
  <c r="Q103" i="16"/>
  <c r="Q110" i="16"/>
  <c r="BH85" i="1"/>
  <c r="BI85" i="1"/>
  <c r="BF85" i="1"/>
  <c r="BO91" i="1"/>
  <c r="CF91" i="1" s="1"/>
  <c r="BF70" i="1"/>
  <c r="BH70" i="1"/>
  <c r="BN70" i="1"/>
  <c r="CE70" i="1" s="1"/>
  <c r="BG70" i="1"/>
  <c r="BQ70" i="1"/>
  <c r="CH70" i="1" s="1"/>
  <c r="BI70" i="1"/>
  <c r="AP80" i="1"/>
  <c r="AQ80" i="1"/>
  <c r="AR80" i="1"/>
  <c r="AS80" i="1"/>
  <c r="R84" i="117" s="1"/>
  <c r="AE84" i="117" s="1"/>
  <c r="AP59" i="1"/>
  <c r="AQ59" i="1"/>
  <c r="AR59" i="1"/>
  <c r="AS59" i="1"/>
  <c r="R63" i="117" s="1"/>
  <c r="AE63" i="117" s="1"/>
  <c r="AY63" i="117" s="1"/>
  <c r="BC63" i="117" s="1"/>
  <c r="BG73" i="1"/>
  <c r="BI73" i="1"/>
  <c r="BH73" i="1"/>
  <c r="BF73" i="1"/>
  <c r="AP72" i="1"/>
  <c r="AR72" i="1"/>
  <c r="AQ72" i="1"/>
  <c r="AS72" i="1"/>
  <c r="R76" i="117" s="1"/>
  <c r="AP75" i="1"/>
  <c r="AQ75" i="1"/>
  <c r="AR75" i="1"/>
  <c r="AS75" i="1"/>
  <c r="R79" i="117" s="1"/>
  <c r="AP94" i="1"/>
  <c r="AR94" i="1"/>
  <c r="AQ94" i="1"/>
  <c r="AS94" i="1"/>
  <c r="R98" i="117" s="1"/>
  <c r="BH94" i="1"/>
  <c r="BF94" i="1"/>
  <c r="BI94" i="1"/>
  <c r="BG94" i="1"/>
  <c r="AP95" i="1"/>
  <c r="AQ95" i="1"/>
  <c r="AR95" i="1"/>
  <c r="AS95" i="1"/>
  <c r="R99" i="117" s="1"/>
  <c r="AP96" i="1"/>
  <c r="AQ96" i="1"/>
  <c r="AR96" i="1"/>
  <c r="AS96" i="1"/>
  <c r="R100" i="117" s="1"/>
  <c r="AP73" i="1"/>
  <c r="AQ73" i="1"/>
  <c r="AR73" i="1"/>
  <c r="AS73" i="1"/>
  <c r="R77" i="117" s="1"/>
  <c r="AP93" i="1"/>
  <c r="AQ93" i="1"/>
  <c r="AR93" i="1"/>
  <c r="AS93" i="1"/>
  <c r="R97" i="117" s="1"/>
  <c r="AP74" i="1"/>
  <c r="AQ74" i="1"/>
  <c r="AR74" i="1"/>
  <c r="AS74" i="1"/>
  <c r="R78" i="117" s="1"/>
  <c r="U304" i="18"/>
  <c r="Q315" i="18"/>
  <c r="R81" i="1"/>
  <c r="R60" i="1"/>
  <c r="BG20" i="1"/>
  <c r="BH20" i="1"/>
  <c r="BF20" i="1"/>
  <c r="BI20" i="1"/>
  <c r="V14" i="117"/>
  <c r="W14" i="117"/>
  <c r="X14" i="117"/>
  <c r="AR14" i="117" s="1"/>
  <c r="BH90" i="1"/>
  <c r="BI90" i="1"/>
  <c r="BG90" i="1"/>
  <c r="BF90" i="1"/>
  <c r="V60" i="1"/>
  <c r="V81" i="1"/>
  <c r="BK20" i="1"/>
  <c r="BL20" i="1"/>
  <c r="BJ20" i="1"/>
  <c r="BM20" i="1"/>
  <c r="AX20" i="1"/>
  <c r="AY20" i="1"/>
  <c r="AZ20" i="1"/>
  <c r="BA20" i="1"/>
  <c r="AP86" i="1"/>
  <c r="AQ86" i="1"/>
  <c r="AR86" i="1"/>
  <c r="AS86" i="1"/>
  <c r="R90" i="117" s="1"/>
  <c r="AP91" i="1"/>
  <c r="AQ91" i="1"/>
  <c r="AR91" i="1"/>
  <c r="AS91" i="1"/>
  <c r="R95" i="117" s="1"/>
  <c r="BG86" i="1"/>
  <c r="BI86" i="1"/>
  <c r="BH86" i="1"/>
  <c r="BF86" i="1"/>
  <c r="M134" i="16"/>
  <c r="M121" i="16"/>
  <c r="M122" i="16"/>
  <c r="M133" i="16"/>
  <c r="Q102" i="16"/>
  <c r="Q105" i="16"/>
  <c r="Q112" i="16"/>
  <c r="Q104" i="16"/>
  <c r="Q111" i="16"/>
  <c r="Q109" i="16"/>
  <c r="BC69" i="117" l="1"/>
  <c r="BC35" i="117"/>
  <c r="AX37" i="117"/>
  <c r="AX35" i="117"/>
  <c r="BC38" i="117"/>
  <c r="BC37" i="117"/>
  <c r="AX38" i="117"/>
  <c r="AX89" i="117"/>
  <c r="AW98" i="117"/>
  <c r="BB98" i="117" s="1"/>
  <c r="AW77" i="117"/>
  <c r="BB77" i="117" s="1"/>
  <c r="AW73" i="117"/>
  <c r="BB73" i="117" s="1"/>
  <c r="AW100" i="117"/>
  <c r="BB100" i="117" s="1"/>
  <c r="AX32" i="117"/>
  <c r="AW76" i="117"/>
  <c r="BB76" i="117" s="1"/>
  <c r="AW95" i="117"/>
  <c r="BB95" i="117" s="1"/>
  <c r="AX111" i="117"/>
  <c r="BC28" i="117"/>
  <c r="AW78" i="117"/>
  <c r="BB78" i="117" s="1"/>
  <c r="AW90" i="117"/>
  <c r="BB90" i="117" s="1"/>
  <c r="AW99" i="117"/>
  <c r="BB99" i="117" s="1"/>
  <c r="AW79" i="117"/>
  <c r="BB79" i="117" s="1"/>
  <c r="AW97" i="117"/>
  <c r="BB97" i="117" s="1"/>
  <c r="AS97" i="1"/>
  <c r="R101" i="117" s="1"/>
  <c r="AQ97" i="1"/>
  <c r="BS97" i="1"/>
  <c r="CJ97" i="1" s="1"/>
  <c r="AK101" i="117"/>
  <c r="BT97" i="1"/>
  <c r="CK97" i="1" s="1"/>
  <c r="AQ101" i="117"/>
  <c r="H101" i="117"/>
  <c r="AU101" i="117"/>
  <c r="BU97" i="1"/>
  <c r="CL97" i="1" s="1"/>
  <c r="AU74" i="117"/>
  <c r="BU70" i="1"/>
  <c r="CL70" i="1" s="1"/>
  <c r="BS70" i="1"/>
  <c r="CJ70" i="1" s="1"/>
  <c r="AK74" i="117"/>
  <c r="BT70" i="1"/>
  <c r="CK70" i="1" s="1"/>
  <c r="AQ74" i="117"/>
  <c r="AE74" i="117"/>
  <c r="AY74" i="117" s="1"/>
  <c r="AR90" i="117"/>
  <c r="AR11" i="117"/>
  <c r="AX11" i="117"/>
  <c r="AR99" i="117"/>
  <c r="AR95" i="117"/>
  <c r="AE73" i="117"/>
  <c r="AY73" i="117" s="1"/>
  <c r="AR97" i="117"/>
  <c r="AR98" i="117"/>
  <c r="AK24" i="117"/>
  <c r="AZ24" i="117" s="1"/>
  <c r="AQ94" i="117"/>
  <c r="BA94" i="117" s="1"/>
  <c r="Z32" i="117"/>
  <c r="AE99" i="117"/>
  <c r="AY99" i="117" s="1"/>
  <c r="AE98" i="117"/>
  <c r="AY98" i="117" s="1"/>
  <c r="AL79" i="117"/>
  <c r="AE95" i="117"/>
  <c r="AY95" i="117" s="1"/>
  <c r="V97" i="117"/>
  <c r="Z97" i="117" s="1"/>
  <c r="AE77" i="117"/>
  <c r="AY77" i="117" s="1"/>
  <c r="V100" i="117"/>
  <c r="Z100" i="117" s="1"/>
  <c r="V79" i="117"/>
  <c r="Z79" i="117" s="1"/>
  <c r="AL99" i="117"/>
  <c r="AE76" i="117"/>
  <c r="AY76" i="117" s="1"/>
  <c r="BC76" i="117" s="1"/>
  <c r="AE78" i="117"/>
  <c r="AY78" i="117" s="1"/>
  <c r="AX79" i="117"/>
  <c r="AR79" i="117"/>
  <c r="AR73" i="117"/>
  <c r="AL97" i="117"/>
  <c r="Z74" i="117"/>
  <c r="AE90" i="117"/>
  <c r="AY90" i="117" s="1"/>
  <c r="AL98" i="117"/>
  <c r="V98" i="117"/>
  <c r="Z98" i="117" s="1"/>
  <c r="V99" i="117"/>
  <c r="Z99" i="117" s="1"/>
  <c r="AE100" i="117"/>
  <c r="AY100" i="117" s="1"/>
  <c r="AF23" i="117"/>
  <c r="Z23" i="117"/>
  <c r="AE79" i="117"/>
  <c r="AY79" i="117" s="1"/>
  <c r="BC79" i="117" s="1"/>
  <c r="AF38" i="117"/>
  <c r="V78" i="117"/>
  <c r="V95" i="117"/>
  <c r="V90" i="117"/>
  <c r="Z90" i="117" s="1"/>
  <c r="AE97" i="117"/>
  <c r="AY97" i="117" s="1"/>
  <c r="AF36" i="117"/>
  <c r="H24" i="117"/>
  <c r="AF37" i="117"/>
  <c r="Y14" i="117"/>
  <c r="AX14" i="117" s="1"/>
  <c r="AQ24" i="117"/>
  <c r="BA24" i="117" s="1"/>
  <c r="V84" i="117"/>
  <c r="Z84" i="117" s="1"/>
  <c r="AU94" i="117"/>
  <c r="H94" i="117"/>
  <c r="AY89" i="117"/>
  <c r="BC89" i="117" s="1"/>
  <c r="AF89" i="117"/>
  <c r="AF35" i="117"/>
  <c r="Z73" i="117"/>
  <c r="BQ86" i="1"/>
  <c r="CH86" i="1" s="1"/>
  <c r="BQ29" i="1"/>
  <c r="CH29" i="1" s="1"/>
  <c r="BP86" i="1"/>
  <c r="CG86" i="1" s="1"/>
  <c r="AL73" i="117"/>
  <c r="AL100" i="117"/>
  <c r="AX90" i="117"/>
  <c r="BO86" i="1"/>
  <c r="CF86" i="1" s="1"/>
  <c r="Y24" i="117"/>
  <c r="AU24" i="117"/>
  <c r="BO29" i="1"/>
  <c r="CF29" i="1" s="1"/>
  <c r="BN86" i="1"/>
  <c r="CE86" i="1" s="1"/>
  <c r="AL90" i="117"/>
  <c r="AR100" i="117"/>
  <c r="AL14" i="117"/>
  <c r="AL11" i="117"/>
  <c r="Z53" i="117"/>
  <c r="Z58" i="117"/>
  <c r="W57" i="117"/>
  <c r="AL57" i="117" s="1"/>
  <c r="AX57" i="117"/>
  <c r="AR57" i="117"/>
  <c r="BN20" i="1"/>
  <c r="CE20" i="1" s="1"/>
  <c r="BS90" i="1"/>
  <c r="CJ90" i="1" s="1"/>
  <c r="W94" i="117"/>
  <c r="AL94" i="117" s="1"/>
  <c r="BT90" i="1"/>
  <c r="CK90" i="1" s="1"/>
  <c r="X94" i="117"/>
  <c r="BP20" i="1"/>
  <c r="CG20" i="1" s="1"/>
  <c r="BU90" i="1"/>
  <c r="CL90" i="1" s="1"/>
  <c r="Y94" i="117"/>
  <c r="AZ95" i="117"/>
  <c r="AL95" i="117"/>
  <c r="AF62" i="117"/>
  <c r="AY62" i="117"/>
  <c r="AY84" i="117"/>
  <c r="AX62" i="117"/>
  <c r="BB62" i="117"/>
  <c r="BC50" i="117"/>
  <c r="AX60" i="117"/>
  <c r="BB60" i="117"/>
  <c r="AF60" i="117"/>
  <c r="AY60" i="117"/>
  <c r="AL60" i="117"/>
  <c r="AZ60" i="117"/>
  <c r="AR62" i="117"/>
  <c r="BA62" i="117"/>
  <c r="AR60" i="117"/>
  <c r="BA60" i="117"/>
  <c r="AL62" i="117"/>
  <c r="AZ62" i="117"/>
  <c r="AF14" i="117"/>
  <c r="X59" i="117"/>
  <c r="V59" i="117"/>
  <c r="AF11" i="117"/>
  <c r="Z11" i="117"/>
  <c r="AL84" i="117"/>
  <c r="AX84" i="117"/>
  <c r="AR84" i="117"/>
  <c r="BN65" i="1"/>
  <c r="CE65" i="1" s="1"/>
  <c r="BQ65" i="1"/>
  <c r="CH65" i="1" s="1"/>
  <c r="BP65" i="1"/>
  <c r="CG65" i="1" s="1"/>
  <c r="BO65" i="1"/>
  <c r="CF65" i="1" s="1"/>
  <c r="BO20" i="1"/>
  <c r="CF20" i="1" s="1"/>
  <c r="X78" i="117"/>
  <c r="AR78" i="117" s="1"/>
  <c r="BQ20" i="1"/>
  <c r="CH20" i="1" s="1"/>
  <c r="BP29" i="1"/>
  <c r="CG29" i="1" s="1"/>
  <c r="BN29" i="1"/>
  <c r="CE29" i="1" s="1"/>
  <c r="Y78" i="117"/>
  <c r="W78" i="117"/>
  <c r="AL78" i="117" s="1"/>
  <c r="BO90" i="1"/>
  <c r="CF90" i="1" s="1"/>
  <c r="BN73" i="1"/>
  <c r="CE73" i="1" s="1"/>
  <c r="BQ85" i="1"/>
  <c r="CH85" i="1" s="1"/>
  <c r="BO94" i="1"/>
  <c r="CF94" i="1" s="1"/>
  <c r="BQ90" i="1"/>
  <c r="CH90" i="1" s="1"/>
  <c r="BP73" i="1"/>
  <c r="CG73" i="1" s="1"/>
  <c r="BN85" i="1"/>
  <c r="CE85" i="1" s="1"/>
  <c r="BQ94" i="1"/>
  <c r="CH94" i="1" s="1"/>
  <c r="BN90" i="1"/>
  <c r="CE90" i="1" s="1"/>
  <c r="BP85" i="1"/>
  <c r="CG85" i="1" s="1"/>
  <c r="BN94" i="1"/>
  <c r="CE94" i="1" s="1"/>
  <c r="BP90" i="1"/>
  <c r="CG90" i="1" s="1"/>
  <c r="BQ73" i="1"/>
  <c r="CH73" i="1" s="1"/>
  <c r="BO85" i="1"/>
  <c r="CF85" i="1" s="1"/>
  <c r="BP94" i="1"/>
  <c r="CG94" i="1" s="1"/>
  <c r="O81" i="1"/>
  <c r="Z62" i="117"/>
  <c r="Z60" i="117"/>
  <c r="O60" i="1"/>
  <c r="Z81" i="117"/>
  <c r="BS20" i="1"/>
  <c r="CJ20" i="1" s="1"/>
  <c r="W24" i="117"/>
  <c r="BR20" i="1"/>
  <c r="CI20" i="1" s="1"/>
  <c r="BT20" i="1"/>
  <c r="CK20" i="1" s="1"/>
  <c r="X24" i="117"/>
  <c r="AF57" i="117"/>
  <c r="Z68" i="117"/>
  <c r="AF68" i="117"/>
  <c r="W82" i="117"/>
  <c r="AZ82" i="117" s="1"/>
  <c r="Y82" i="117"/>
  <c r="BB82" i="117" s="1"/>
  <c r="BO73" i="1"/>
  <c r="CF73" i="1" s="1"/>
  <c r="V82" i="117"/>
  <c r="X82" i="117"/>
  <c r="BA82" i="117" s="1"/>
  <c r="Z47" i="117"/>
  <c r="AF47" i="117"/>
  <c r="AJ81" i="1"/>
  <c r="AH81" i="1"/>
  <c r="AK81" i="1"/>
  <c r="AI81" i="1"/>
  <c r="AI60" i="1"/>
  <c r="AJ60" i="1"/>
  <c r="AH60" i="1"/>
  <c r="AK60" i="1"/>
  <c r="BU20" i="1"/>
  <c r="CL20" i="1" s="1"/>
  <c r="AS81" i="1"/>
  <c r="R85" i="117" s="1"/>
  <c r="AQ81" i="1"/>
  <c r="AP81" i="1"/>
  <c r="AR81" i="1"/>
  <c r="AP60" i="1"/>
  <c r="AQ60" i="1"/>
  <c r="AR60" i="1"/>
  <c r="AS60" i="1"/>
  <c r="R64" i="117" s="1"/>
  <c r="BN91" i="1"/>
  <c r="CE91" i="1" s="1"/>
  <c r="BI91" i="1"/>
  <c r="S106" i="16"/>
  <c r="BH91" i="1"/>
  <c r="BQ91" i="1"/>
  <c r="CH91" i="1" s="1"/>
  <c r="BF91" i="1"/>
  <c r="BP91" i="1"/>
  <c r="CG91" i="1" s="1"/>
  <c r="BG91" i="1"/>
  <c r="BJ81" i="1"/>
  <c r="BM81" i="1"/>
  <c r="AX81" i="1"/>
  <c r="BK81" i="1"/>
  <c r="BL81" i="1"/>
  <c r="AY81" i="1"/>
  <c r="AZ81" i="1"/>
  <c r="BA81" i="1"/>
  <c r="AX60" i="1"/>
  <c r="BL60" i="1"/>
  <c r="BJ60" i="1"/>
  <c r="BM60" i="1"/>
  <c r="BK60" i="1"/>
  <c r="AY60" i="1"/>
  <c r="AZ60" i="1"/>
  <c r="BA60" i="1"/>
  <c r="BG60" i="1"/>
  <c r="BI60" i="1"/>
  <c r="BH60" i="1"/>
  <c r="BF60" i="1"/>
  <c r="BI81" i="1"/>
  <c r="BG81" i="1"/>
  <c r="BH81" i="1"/>
  <c r="BF81" i="1"/>
  <c r="S113" i="16"/>
  <c r="C96" i="16"/>
  <c r="C91" i="16"/>
  <c r="T56" i="16" s="1"/>
  <c r="C88" i="16"/>
  <c r="C85" i="16"/>
  <c r="C84" i="16"/>
  <c r="C66" i="16"/>
  <c r="C65" i="16"/>
  <c r="C46" i="16"/>
  <c r="C31" i="16" s="1"/>
  <c r="C41" i="16"/>
  <c r="C38" i="16"/>
  <c r="C35" i="16"/>
  <c r="C34" i="16"/>
  <c r="T21" i="16"/>
  <c r="C18" i="16"/>
  <c r="T19" i="16"/>
  <c r="C17" i="16"/>
  <c r="T17" i="16"/>
  <c r="T14" i="16"/>
  <c r="T13" i="16"/>
  <c r="T12" i="16"/>
  <c r="T10" i="16"/>
  <c r="AX99" i="117" l="1"/>
  <c r="AX98" i="117"/>
  <c r="BC73" i="117"/>
  <c r="BC98" i="117"/>
  <c r="AX100" i="117"/>
  <c r="AX73" i="117"/>
  <c r="AW94" i="117"/>
  <c r="BB94" i="117" s="1"/>
  <c r="BC78" i="117"/>
  <c r="BC77" i="117"/>
  <c r="AW24" i="117"/>
  <c r="BB24" i="117" s="1"/>
  <c r="AW74" i="117"/>
  <c r="BB74" i="117" s="1"/>
  <c r="AX95" i="117"/>
  <c r="AX78" i="117"/>
  <c r="BC97" i="117"/>
  <c r="BC100" i="117"/>
  <c r="BC90" i="117"/>
  <c r="AX97" i="117"/>
  <c r="BC99" i="117"/>
  <c r="AW101" i="117"/>
  <c r="BB101" i="117" s="1"/>
  <c r="AE101" i="117"/>
  <c r="AY101" i="117" s="1"/>
  <c r="V101" i="117"/>
  <c r="Z101" i="117" s="1"/>
  <c r="AZ101" i="117"/>
  <c r="AL101" i="117"/>
  <c r="AF74" i="117"/>
  <c r="BA101" i="117"/>
  <c r="AR101" i="117"/>
  <c r="AZ74" i="117"/>
  <c r="AL74" i="117"/>
  <c r="BA74" i="117"/>
  <c r="AR74" i="117"/>
  <c r="C79" i="16"/>
  <c r="C76" i="16"/>
  <c r="C81" i="16"/>
  <c r="C80" i="16"/>
  <c r="C77" i="16"/>
  <c r="AR94" i="117"/>
  <c r="AE24" i="117"/>
  <c r="AY24" i="117" s="1"/>
  <c r="AF95" i="117"/>
  <c r="AF73" i="117"/>
  <c r="AF84" i="117"/>
  <c r="V24" i="117"/>
  <c r="Z24" i="117" s="1"/>
  <c r="Z95" i="117"/>
  <c r="BC95" i="117"/>
  <c r="AF99" i="117"/>
  <c r="AQ85" i="117"/>
  <c r="BA85" i="117" s="1"/>
  <c r="AF78" i="117"/>
  <c r="AX94" i="117"/>
  <c r="AF100" i="117"/>
  <c r="Z14" i="117"/>
  <c r="AF97" i="117"/>
  <c r="AF98" i="117"/>
  <c r="AF90" i="117"/>
  <c r="AE94" i="117"/>
  <c r="V94" i="117"/>
  <c r="Z94" i="117" s="1"/>
  <c r="H64" i="117"/>
  <c r="V64" i="117" s="1"/>
  <c r="AU85" i="117"/>
  <c r="H85" i="117"/>
  <c r="V85" i="117" s="1"/>
  <c r="AK85" i="117"/>
  <c r="AZ85" i="117" s="1"/>
  <c r="AF79" i="117"/>
  <c r="W64" i="117"/>
  <c r="AK64" i="117"/>
  <c r="AZ64" i="117" s="1"/>
  <c r="Y64" i="117"/>
  <c r="AU64" i="117"/>
  <c r="X64" i="117"/>
  <c r="AQ64" i="117"/>
  <c r="BA64" i="117" s="1"/>
  <c r="Q56" i="16"/>
  <c r="Q81" i="16"/>
  <c r="Q73" i="16"/>
  <c r="Q74" i="16"/>
  <c r="Q80" i="16"/>
  <c r="Q70" i="16"/>
  <c r="Q77" i="16"/>
  <c r="Q79" i="16"/>
  <c r="Q78" i="16"/>
  <c r="Q72" i="16"/>
  <c r="Q71" i="16"/>
  <c r="Z57" i="117"/>
  <c r="W59" i="117"/>
  <c r="AL59" i="117" s="1"/>
  <c r="AR59" i="117"/>
  <c r="AX59" i="117"/>
  <c r="BS81" i="1"/>
  <c r="CJ81" i="1" s="1"/>
  <c r="W85" i="117"/>
  <c r="BT81" i="1"/>
  <c r="CK81" i="1" s="1"/>
  <c r="X85" i="117"/>
  <c r="BR81" i="1"/>
  <c r="CI81" i="1" s="1"/>
  <c r="BU81" i="1"/>
  <c r="CL81" i="1" s="1"/>
  <c r="Y85" i="117"/>
  <c r="Z78" i="117"/>
  <c r="BC84" i="117"/>
  <c r="BC62" i="117"/>
  <c r="AY82" i="117"/>
  <c r="BC60" i="117"/>
  <c r="AF59" i="117"/>
  <c r="W28" i="117"/>
  <c r="Y28" i="117"/>
  <c r="AX28" i="117" s="1"/>
  <c r="V28" i="117"/>
  <c r="AL82" i="117"/>
  <c r="AR82" i="117"/>
  <c r="AX82" i="117"/>
  <c r="X28" i="117"/>
  <c r="AR28" i="117" s="1"/>
  <c r="AL24" i="117"/>
  <c r="AR24" i="117"/>
  <c r="BN60" i="1"/>
  <c r="CE60" i="1" s="1"/>
  <c r="BQ81" i="1"/>
  <c r="CH81" i="1" s="1"/>
  <c r="BP60" i="1"/>
  <c r="CG60" i="1" s="1"/>
  <c r="BN81" i="1"/>
  <c r="CE81" i="1" s="1"/>
  <c r="BO60" i="1"/>
  <c r="CF60" i="1" s="1"/>
  <c r="BP81" i="1"/>
  <c r="CG81" i="1" s="1"/>
  <c r="BO81" i="1"/>
  <c r="CF81" i="1" s="1"/>
  <c r="BR60" i="1"/>
  <c r="CI60" i="1" s="1"/>
  <c r="V69" i="117"/>
  <c r="Y48" i="117"/>
  <c r="Y69" i="117"/>
  <c r="AX69" i="117" s="1"/>
  <c r="BT60" i="1"/>
  <c r="CK60" i="1" s="1"/>
  <c r="X69" i="117"/>
  <c r="AR69" i="117" s="1"/>
  <c r="X48" i="117"/>
  <c r="BS60" i="1"/>
  <c r="CJ60" i="1" s="1"/>
  <c r="W69" i="117"/>
  <c r="AL69" i="117" s="1"/>
  <c r="BQ60" i="1"/>
  <c r="CH60" i="1" s="1"/>
  <c r="Z82" i="117"/>
  <c r="AF82" i="117"/>
  <c r="BU60" i="1"/>
  <c r="CL60" i="1" s="1"/>
  <c r="T106" i="16"/>
  <c r="C111" i="16" s="1"/>
  <c r="R20" i="16"/>
  <c r="R17" i="16"/>
  <c r="R18" i="16"/>
  <c r="Q17" i="16"/>
  <c r="Q10" i="16"/>
  <c r="T68" i="1"/>
  <c r="T27" i="1"/>
  <c r="Q65" i="16"/>
  <c r="G65" i="16"/>
  <c r="Q18" i="16"/>
  <c r="G17" i="16"/>
  <c r="Q13" i="16"/>
  <c r="Q19" i="16"/>
  <c r="C27" i="16"/>
  <c r="O17" i="16" s="1"/>
  <c r="P17" i="16" s="1"/>
  <c r="Q63" i="16"/>
  <c r="Q66" i="16"/>
  <c r="C74" i="16"/>
  <c r="Q59" i="16"/>
  <c r="C75" i="16"/>
  <c r="O57" i="16" s="1"/>
  <c r="P57" i="16" s="1"/>
  <c r="Q21" i="16"/>
  <c r="Q60" i="16"/>
  <c r="Q67" i="16"/>
  <c r="C78" i="16"/>
  <c r="O13" i="16"/>
  <c r="O14" i="16"/>
  <c r="O59" i="16"/>
  <c r="V9" i="1" s="1"/>
  <c r="O60" i="16"/>
  <c r="P60" i="16" s="1"/>
  <c r="R19" i="16"/>
  <c r="R21" i="16"/>
  <c r="C28" i="16"/>
  <c r="Q11" i="16"/>
  <c r="Q14" i="16"/>
  <c r="Q20" i="16"/>
  <c r="C29" i="16"/>
  <c r="Q12" i="16"/>
  <c r="Q57" i="16"/>
  <c r="Q58" i="16"/>
  <c r="Q64" i="16"/>
  <c r="AX24" i="117" l="1"/>
  <c r="BC24" i="117"/>
  <c r="AX74" i="117"/>
  <c r="AX101" i="117"/>
  <c r="AW85" i="117"/>
  <c r="BB85" i="117" s="1"/>
  <c r="AW64" i="117"/>
  <c r="BB64" i="117" s="1"/>
  <c r="AF101" i="117"/>
  <c r="BC101" i="117"/>
  <c r="BC74" i="117"/>
  <c r="V43" i="1"/>
  <c r="V40" i="1"/>
  <c r="V41" i="1"/>
  <c r="V42" i="1"/>
  <c r="O73" i="16"/>
  <c r="P73" i="16" s="1"/>
  <c r="O74" i="16"/>
  <c r="P74" i="16" s="1"/>
  <c r="S74" i="16" s="1"/>
  <c r="O81" i="16"/>
  <c r="P81" i="16" s="1"/>
  <c r="S81" i="16" s="1"/>
  <c r="O80" i="16"/>
  <c r="P80" i="16" s="1"/>
  <c r="S80" i="16" s="1"/>
  <c r="S73" i="16"/>
  <c r="O72" i="16"/>
  <c r="P72" i="16" s="1"/>
  <c r="S72" i="16" s="1"/>
  <c r="O71" i="16"/>
  <c r="P71" i="16" s="1"/>
  <c r="S71" i="16" s="1"/>
  <c r="O70" i="16"/>
  <c r="P70" i="16" s="1"/>
  <c r="S70" i="16"/>
  <c r="O79" i="16"/>
  <c r="P79" i="16" s="1"/>
  <c r="S79" i="16" s="1"/>
  <c r="O78" i="16"/>
  <c r="P78" i="16" s="1"/>
  <c r="S78" i="16" s="1"/>
  <c r="O77" i="16"/>
  <c r="P77" i="16" s="1"/>
  <c r="S77" i="16" s="1"/>
  <c r="AF24" i="117"/>
  <c r="AR85" i="117"/>
  <c r="AE64" i="117"/>
  <c r="AY64" i="117" s="1"/>
  <c r="AE85" i="117"/>
  <c r="AY85" i="117" s="1"/>
  <c r="AL64" i="117"/>
  <c r="AL85" i="117"/>
  <c r="AY94" i="117"/>
  <c r="BC94" i="117" s="1"/>
  <c r="AF94" i="117"/>
  <c r="Z64" i="117"/>
  <c r="AR64" i="117"/>
  <c r="AL28" i="117"/>
  <c r="C140" i="16"/>
  <c r="C125" i="16"/>
  <c r="C127" i="16"/>
  <c r="C139" i="16"/>
  <c r="C137" i="16"/>
  <c r="C128" i="16"/>
  <c r="C113" i="16"/>
  <c r="Z59" i="117"/>
  <c r="Z85" i="117"/>
  <c r="BC82" i="117"/>
  <c r="AF28" i="117"/>
  <c r="Z28" i="117"/>
  <c r="AL48" i="117"/>
  <c r="AX48" i="117"/>
  <c r="Z69" i="117"/>
  <c r="AF69" i="117"/>
  <c r="AR48" i="117"/>
  <c r="Z48" i="117"/>
  <c r="AF48" i="117"/>
  <c r="AX9" i="1"/>
  <c r="AY9" i="1"/>
  <c r="AZ9" i="1"/>
  <c r="BA9" i="1"/>
  <c r="F35" i="16"/>
  <c r="J137" i="16"/>
  <c r="J140" i="16"/>
  <c r="J139" i="16"/>
  <c r="AP27" i="1"/>
  <c r="AQ27" i="1"/>
  <c r="AR27" i="1"/>
  <c r="AS27" i="1"/>
  <c r="R31" i="117" s="1"/>
  <c r="T89" i="1"/>
  <c r="AP68" i="1"/>
  <c r="AQ68" i="1"/>
  <c r="AR68" i="1"/>
  <c r="AS68" i="1"/>
  <c r="R72" i="117" s="1"/>
  <c r="P59" i="16"/>
  <c r="S59" i="16" s="1"/>
  <c r="R9" i="1" s="1"/>
  <c r="S17" i="16"/>
  <c r="M139" i="16"/>
  <c r="M127" i="16"/>
  <c r="J127" i="16"/>
  <c r="M137" i="16"/>
  <c r="M125" i="16"/>
  <c r="J128" i="16"/>
  <c r="M140" i="16"/>
  <c r="M128" i="16"/>
  <c r="J125" i="16"/>
  <c r="O19" i="16"/>
  <c r="P19" i="16" s="1"/>
  <c r="S19" i="16" s="1"/>
  <c r="S57" i="16"/>
  <c r="O58" i="16"/>
  <c r="P58" i="16" s="1"/>
  <c r="S58" i="16" s="1"/>
  <c r="O18" i="16"/>
  <c r="P18" i="16" s="1"/>
  <c r="S18" i="16" s="1"/>
  <c r="P14" i="16"/>
  <c r="O65" i="16"/>
  <c r="P65" i="16" s="1"/>
  <c r="O64" i="16"/>
  <c r="P64" i="16" s="1"/>
  <c r="S64" i="16" s="1"/>
  <c r="O63" i="16"/>
  <c r="P63" i="16" s="1"/>
  <c r="S63" i="16" s="1"/>
  <c r="O56" i="16"/>
  <c r="P56" i="16" s="1"/>
  <c r="S56" i="16" s="1"/>
  <c r="P13" i="16"/>
  <c r="S60" i="16"/>
  <c r="O67" i="16"/>
  <c r="O66" i="16"/>
  <c r="O21" i="16"/>
  <c r="O20" i="16"/>
  <c r="O12" i="16"/>
  <c r="P12" i="16" s="1"/>
  <c r="O11" i="16"/>
  <c r="P11" i="16" s="1"/>
  <c r="O10" i="16"/>
  <c r="P10" i="16" s="1"/>
  <c r="BC64" i="117" l="1"/>
  <c r="AX85" i="117"/>
  <c r="BC85" i="117"/>
  <c r="AX64" i="117"/>
  <c r="V188" i="1"/>
  <c r="AX42" i="1"/>
  <c r="BL42" i="1"/>
  <c r="BK42" i="1"/>
  <c r="BJ42" i="1"/>
  <c r="BM42" i="1"/>
  <c r="AY42" i="1"/>
  <c r="AZ42" i="1"/>
  <c r="BA42" i="1"/>
  <c r="V82" i="1"/>
  <c r="BM41" i="1"/>
  <c r="AX41" i="1"/>
  <c r="BL41" i="1"/>
  <c r="BK41" i="1"/>
  <c r="BJ41" i="1"/>
  <c r="AY41" i="1"/>
  <c r="AZ41" i="1"/>
  <c r="BA41" i="1"/>
  <c r="BJ40" i="1"/>
  <c r="BM40" i="1"/>
  <c r="BL40" i="1"/>
  <c r="AX40" i="1"/>
  <c r="BK40" i="1"/>
  <c r="AY40" i="1"/>
  <c r="AZ40" i="1"/>
  <c r="BA40" i="1"/>
  <c r="R41" i="1"/>
  <c r="R42" i="1"/>
  <c r="R43" i="1"/>
  <c r="R40" i="1"/>
  <c r="BK43" i="1"/>
  <c r="BJ43" i="1"/>
  <c r="BM43" i="1"/>
  <c r="BL43" i="1"/>
  <c r="AX43" i="1"/>
  <c r="AY43" i="1"/>
  <c r="AZ43" i="1"/>
  <c r="BA43" i="1"/>
  <c r="AF64" i="117"/>
  <c r="AF85" i="117"/>
  <c r="H13" i="117"/>
  <c r="V13" i="117" s="1"/>
  <c r="Y13" i="117"/>
  <c r="AU13" i="117"/>
  <c r="X13" i="117"/>
  <c r="AQ13" i="117"/>
  <c r="BA13" i="117" s="1"/>
  <c r="W13" i="117"/>
  <c r="AK13" i="117"/>
  <c r="AZ13" i="117" s="1"/>
  <c r="O9" i="1"/>
  <c r="AH9" i="1"/>
  <c r="AI9" i="1"/>
  <c r="AJ9" i="1"/>
  <c r="AK9" i="1"/>
  <c r="V56" i="16"/>
  <c r="V68" i="1"/>
  <c r="V27" i="1"/>
  <c r="P20" i="16"/>
  <c r="S20" i="16" s="1"/>
  <c r="R6" i="1" s="1"/>
  <c r="V6" i="1"/>
  <c r="V67" i="1"/>
  <c r="V26" i="1"/>
  <c r="S65" i="16"/>
  <c r="R12" i="16"/>
  <c r="S12" i="16" s="1"/>
  <c r="R10" i="16"/>
  <c r="S10" i="16" s="1"/>
  <c r="R13" i="16"/>
  <c r="S13" i="16" s="1"/>
  <c r="R11" i="16"/>
  <c r="S11" i="16" s="1"/>
  <c r="R14" i="16"/>
  <c r="S14" i="16" s="1"/>
  <c r="V23" i="1"/>
  <c r="V5" i="1"/>
  <c r="V123" i="1" s="1"/>
  <c r="AP89" i="1"/>
  <c r="AQ89" i="1"/>
  <c r="AR89" i="1"/>
  <c r="AS89" i="1"/>
  <c r="R93" i="117" s="1"/>
  <c r="BI9" i="1"/>
  <c r="BF9" i="1"/>
  <c r="BG9" i="1"/>
  <c r="BH9" i="1"/>
  <c r="BT9" i="1"/>
  <c r="CK9" i="1" s="1"/>
  <c r="BU9" i="1"/>
  <c r="CL9" i="1" s="1"/>
  <c r="BR9" i="1"/>
  <c r="CI9" i="1" s="1"/>
  <c r="BS9" i="1"/>
  <c r="CJ9" i="1" s="1"/>
  <c r="BK9" i="1"/>
  <c r="BL9" i="1"/>
  <c r="BM9" i="1"/>
  <c r="BJ9" i="1"/>
  <c r="W17" i="16"/>
  <c r="Q33" i="18"/>
  <c r="Q34" i="18"/>
  <c r="P66" i="16"/>
  <c r="S66" i="16" s="1"/>
  <c r="P67" i="16"/>
  <c r="S67" i="16" s="1"/>
  <c r="P21" i="16"/>
  <c r="S21" i="16" s="1"/>
  <c r="R15" i="1" s="1"/>
  <c r="AW13" i="117" l="1"/>
  <c r="BB13" i="117" s="1"/>
  <c r="AU47" i="117"/>
  <c r="BU43" i="1"/>
  <c r="CL43" i="1" s="1"/>
  <c r="BU40" i="1"/>
  <c r="CL40" i="1" s="1"/>
  <c r="AU44" i="117"/>
  <c r="AU45" i="117"/>
  <c r="BU41" i="1"/>
  <c r="CL41" i="1" s="1"/>
  <c r="BT43" i="1"/>
  <c r="CK43" i="1" s="1"/>
  <c r="AQ47" i="117"/>
  <c r="O43" i="1"/>
  <c r="BG43" i="1"/>
  <c r="BI43" i="1"/>
  <c r="BF43" i="1"/>
  <c r="BH43" i="1"/>
  <c r="AK47" i="117"/>
  <c r="BS43" i="1"/>
  <c r="CJ43" i="1" s="1"/>
  <c r="R188" i="1"/>
  <c r="O42" i="1"/>
  <c r="BF42" i="1"/>
  <c r="BH42" i="1"/>
  <c r="BG42" i="1"/>
  <c r="BI42" i="1"/>
  <c r="R82" i="1"/>
  <c r="O82" i="1" s="1"/>
  <c r="AK44" i="117"/>
  <c r="BS40" i="1"/>
  <c r="CJ40" i="1" s="1"/>
  <c r="AK45" i="117"/>
  <c r="BS41" i="1"/>
  <c r="CJ41" i="1" s="1"/>
  <c r="BR41" i="1"/>
  <c r="CI41" i="1" s="1"/>
  <c r="AQ46" i="117"/>
  <c r="BT42" i="1"/>
  <c r="CK42" i="1" s="1"/>
  <c r="V146" i="1"/>
  <c r="BJ123" i="1"/>
  <c r="BL123" i="1"/>
  <c r="BK123" i="1"/>
  <c r="BM123" i="1"/>
  <c r="BA123" i="1"/>
  <c r="AY123" i="1"/>
  <c r="AX123" i="1"/>
  <c r="AZ123" i="1"/>
  <c r="O40" i="1"/>
  <c r="BG40" i="1"/>
  <c r="BI40" i="1"/>
  <c r="BF40" i="1"/>
  <c r="BH40" i="1"/>
  <c r="BR40" i="1"/>
  <c r="CI40" i="1" s="1"/>
  <c r="BJ82" i="1"/>
  <c r="AZ82" i="1"/>
  <c r="AX82" i="1"/>
  <c r="BL82" i="1"/>
  <c r="BM82" i="1"/>
  <c r="AY82" i="1"/>
  <c r="BK82" i="1"/>
  <c r="BA82" i="1"/>
  <c r="BR42" i="1"/>
  <c r="CI42" i="1" s="1"/>
  <c r="BT40" i="1"/>
  <c r="CK40" i="1" s="1"/>
  <c r="AQ44" i="117"/>
  <c r="AQ45" i="117"/>
  <c r="BT41" i="1"/>
  <c r="CK41" i="1" s="1"/>
  <c r="AU46" i="117"/>
  <c r="BU42" i="1"/>
  <c r="CL42" i="1" s="1"/>
  <c r="BM188" i="1"/>
  <c r="BJ188" i="1"/>
  <c r="BK188" i="1"/>
  <c r="BL188" i="1"/>
  <c r="AX188" i="1"/>
  <c r="BA188" i="1"/>
  <c r="AY188" i="1"/>
  <c r="AZ188" i="1"/>
  <c r="BR43" i="1"/>
  <c r="CI43" i="1" s="1"/>
  <c r="O41" i="1"/>
  <c r="BI41" i="1"/>
  <c r="BF41" i="1"/>
  <c r="BH41" i="1"/>
  <c r="BG41" i="1"/>
  <c r="BS42" i="1"/>
  <c r="CJ42" i="1" s="1"/>
  <c r="AK46" i="117"/>
  <c r="AE13" i="117"/>
  <c r="AY13" i="117" s="1"/>
  <c r="AR13" i="117"/>
  <c r="AL13" i="117"/>
  <c r="S13" i="116"/>
  <c r="V13" i="116" s="1"/>
  <c r="Z13" i="117"/>
  <c r="BQ9" i="1"/>
  <c r="CH9" i="1" s="1"/>
  <c r="BO9" i="1"/>
  <c r="CF9" i="1" s="1"/>
  <c r="R67" i="1"/>
  <c r="BG67" i="1" s="1"/>
  <c r="BN9" i="1"/>
  <c r="CE9" i="1" s="1"/>
  <c r="O6" i="1"/>
  <c r="AH6" i="1"/>
  <c r="AI6" i="1"/>
  <c r="AJ6" i="1"/>
  <c r="AK6" i="1"/>
  <c r="BP9" i="1"/>
  <c r="CG9" i="1" s="1"/>
  <c r="AH15" i="1"/>
  <c r="BH15" i="1"/>
  <c r="AI15" i="1"/>
  <c r="AJ15" i="1"/>
  <c r="AK15" i="1"/>
  <c r="O15" i="1"/>
  <c r="BM6" i="1"/>
  <c r="BK6" i="1"/>
  <c r="BJ6" i="1"/>
  <c r="BL6" i="1"/>
  <c r="AX6" i="1"/>
  <c r="AY6" i="1"/>
  <c r="AZ6" i="1"/>
  <c r="BA6" i="1"/>
  <c r="BI15" i="1"/>
  <c r="BG15" i="1"/>
  <c r="BF15" i="1"/>
  <c r="BG6" i="1"/>
  <c r="BH6" i="1"/>
  <c r="BI6" i="1"/>
  <c r="BF6" i="1"/>
  <c r="R23" i="1"/>
  <c r="R5" i="1"/>
  <c r="R123" i="1" s="1"/>
  <c r="R26" i="1"/>
  <c r="AX5" i="1"/>
  <c r="AY5" i="1"/>
  <c r="AZ5" i="1"/>
  <c r="BA5" i="1"/>
  <c r="BK26" i="1"/>
  <c r="BJ26" i="1"/>
  <c r="BM26" i="1"/>
  <c r="BL26" i="1"/>
  <c r="AX26" i="1"/>
  <c r="AY26" i="1"/>
  <c r="AZ26" i="1"/>
  <c r="BA26" i="1"/>
  <c r="BL27" i="1"/>
  <c r="BM27" i="1"/>
  <c r="BK27" i="1"/>
  <c r="BJ27" i="1"/>
  <c r="AX27" i="1"/>
  <c r="AY27" i="1"/>
  <c r="AZ27" i="1"/>
  <c r="BA27" i="1"/>
  <c r="V63" i="1"/>
  <c r="V84" i="1"/>
  <c r="BL23" i="1"/>
  <c r="BM23" i="1"/>
  <c r="BK23" i="1"/>
  <c r="BJ23" i="1"/>
  <c r="AX23" i="1"/>
  <c r="AY23" i="1"/>
  <c r="AZ23" i="1"/>
  <c r="BA23" i="1"/>
  <c r="V88" i="1"/>
  <c r="BJ67" i="1"/>
  <c r="BL67" i="1"/>
  <c r="BK67" i="1"/>
  <c r="BM67" i="1"/>
  <c r="AX67" i="1"/>
  <c r="AY67" i="1"/>
  <c r="AZ67" i="1"/>
  <c r="BA67" i="1"/>
  <c r="V89" i="1"/>
  <c r="AX68" i="1"/>
  <c r="BM68" i="1"/>
  <c r="BL68" i="1"/>
  <c r="BJ68" i="1"/>
  <c r="BK68" i="1"/>
  <c r="AY68" i="1"/>
  <c r="AZ68" i="1"/>
  <c r="BA68" i="1"/>
  <c r="R68" i="1"/>
  <c r="R27" i="1"/>
  <c r="BM5" i="1"/>
  <c r="BJ5" i="1"/>
  <c r="BK5" i="1"/>
  <c r="BL5" i="1"/>
  <c r="AX13" i="117" l="1"/>
  <c r="AW46" i="117"/>
  <c r="BB46" i="117" s="1"/>
  <c r="AW45" i="117"/>
  <c r="AX45" i="117" s="1"/>
  <c r="AW47" i="117"/>
  <c r="BB47" i="117" s="1"/>
  <c r="AW44" i="117"/>
  <c r="AX44" i="117" s="1"/>
  <c r="AZ46" i="117"/>
  <c r="AL46" i="117"/>
  <c r="AE192" i="117"/>
  <c r="BR188" i="1"/>
  <c r="CI188" i="1" s="1"/>
  <c r="BA45" i="117"/>
  <c r="AR45" i="117"/>
  <c r="AU127" i="117"/>
  <c r="BU123" i="1"/>
  <c r="CL123" i="1" s="1"/>
  <c r="BH188" i="1"/>
  <c r="BI188" i="1"/>
  <c r="BG188" i="1"/>
  <c r="O188" i="1"/>
  <c r="BF188" i="1"/>
  <c r="AI188" i="1"/>
  <c r="BO188" i="1" s="1"/>
  <c r="CF188" i="1" s="1"/>
  <c r="AJ188" i="1"/>
  <c r="BP188" i="1" s="1"/>
  <c r="CG188" i="1" s="1"/>
  <c r="AH188" i="1"/>
  <c r="BN188" i="1" s="1"/>
  <c r="CE188" i="1" s="1"/>
  <c r="AK188" i="1"/>
  <c r="BQ188" i="1" s="1"/>
  <c r="CH188" i="1" s="1"/>
  <c r="BA47" i="117"/>
  <c r="AR47" i="117"/>
  <c r="AQ192" i="117"/>
  <c r="BT188" i="1"/>
  <c r="CK188" i="1" s="1"/>
  <c r="BA44" i="117"/>
  <c r="AR44" i="117"/>
  <c r="AU86" i="117"/>
  <c r="BU82" i="1"/>
  <c r="CL82" i="1" s="1"/>
  <c r="AQ127" i="117"/>
  <c r="BT123" i="1"/>
  <c r="CK123" i="1" s="1"/>
  <c r="O146" i="1"/>
  <c r="BJ146" i="1"/>
  <c r="BL146" i="1"/>
  <c r="BK146" i="1"/>
  <c r="BM146" i="1"/>
  <c r="AY146" i="1"/>
  <c r="BA146" i="1"/>
  <c r="AX146" i="1"/>
  <c r="AZ146" i="1"/>
  <c r="AZ44" i="117"/>
  <c r="AL44" i="117"/>
  <c r="BH123" i="1"/>
  <c r="BG123" i="1"/>
  <c r="BI123" i="1"/>
  <c r="BF123" i="1"/>
  <c r="O123" i="1"/>
  <c r="AK123" i="1"/>
  <c r="BQ123" i="1" s="1"/>
  <c r="CH123" i="1" s="1"/>
  <c r="AH123" i="1"/>
  <c r="BN123" i="1" s="1"/>
  <c r="CE123" i="1" s="1"/>
  <c r="AJ123" i="1"/>
  <c r="BP123" i="1" s="1"/>
  <c r="CG123" i="1" s="1"/>
  <c r="AI123" i="1"/>
  <c r="BO123" i="1" s="1"/>
  <c r="CF123" i="1" s="1"/>
  <c r="BS188" i="1"/>
  <c r="CJ188" i="1" s="1"/>
  <c r="AK192" i="117"/>
  <c r="BR82" i="1"/>
  <c r="CI82" i="1" s="1"/>
  <c r="AE86" i="117"/>
  <c r="AE127" i="117"/>
  <c r="BR123" i="1"/>
  <c r="CI123" i="1" s="1"/>
  <c r="AH82" i="1"/>
  <c r="BN82" i="1" s="1"/>
  <c r="CE82" i="1" s="1"/>
  <c r="BG82" i="1"/>
  <c r="AK82" i="1"/>
  <c r="BQ82" i="1" s="1"/>
  <c r="CH82" i="1" s="1"/>
  <c r="BF82" i="1"/>
  <c r="BH82" i="1"/>
  <c r="AI82" i="1"/>
  <c r="BO82" i="1" s="1"/>
  <c r="CF82" i="1" s="1"/>
  <c r="AJ82" i="1"/>
  <c r="BP82" i="1" s="1"/>
  <c r="CG82" i="1" s="1"/>
  <c r="BI82" i="1"/>
  <c r="AZ47" i="117"/>
  <c r="AL47" i="117"/>
  <c r="BU188" i="1"/>
  <c r="CL188" i="1" s="1"/>
  <c r="AU192" i="117"/>
  <c r="AK86" i="117"/>
  <c r="BS82" i="1"/>
  <c r="CJ82" i="1" s="1"/>
  <c r="AQ86" i="117"/>
  <c r="BT82" i="1"/>
  <c r="CK82" i="1" s="1"/>
  <c r="AK127" i="117"/>
  <c r="BS123" i="1"/>
  <c r="CJ123" i="1" s="1"/>
  <c r="BA46" i="117"/>
  <c r="AR46" i="117"/>
  <c r="AZ45" i="117"/>
  <c r="AL45" i="117"/>
  <c r="AH67" i="1"/>
  <c r="BN67" i="1" s="1"/>
  <c r="CE67" i="1" s="1"/>
  <c r="AQ31" i="117"/>
  <c r="BA31" i="117" s="1"/>
  <c r="AQ30" i="117"/>
  <c r="BA30" i="117" s="1"/>
  <c r="AQ9" i="117"/>
  <c r="BA9" i="117" s="1"/>
  <c r="AQ10" i="117"/>
  <c r="BA10" i="117" s="1"/>
  <c r="AJ67" i="1"/>
  <c r="BI67" i="1"/>
  <c r="R88" i="1"/>
  <c r="AJ88" i="1" s="1"/>
  <c r="AK67" i="1"/>
  <c r="BQ67" i="1" s="1"/>
  <c r="CH67" i="1" s="1"/>
  <c r="O67" i="1"/>
  <c r="BF67" i="1"/>
  <c r="AI67" i="1"/>
  <c r="BH67" i="1"/>
  <c r="AQ71" i="117"/>
  <c r="BA71" i="117" s="1"/>
  <c r="AK31" i="117"/>
  <c r="AZ31" i="117" s="1"/>
  <c r="AK30" i="117"/>
  <c r="AZ30" i="117" s="1"/>
  <c r="AK9" i="117"/>
  <c r="AZ9" i="117" s="1"/>
  <c r="AK10" i="117"/>
  <c r="AZ10" i="117" s="1"/>
  <c r="AK71" i="117"/>
  <c r="AZ71" i="117" s="1"/>
  <c r="AQ27" i="117"/>
  <c r="BA27" i="117" s="1"/>
  <c r="BC13" i="117"/>
  <c r="AF13" i="117"/>
  <c r="AU71" i="117"/>
  <c r="H71" i="117"/>
  <c r="AE71" i="117" s="1"/>
  <c r="AY71" i="117" s="1"/>
  <c r="H72" i="117"/>
  <c r="AK27" i="117"/>
  <c r="AZ27" i="117" s="1"/>
  <c r="H31" i="117"/>
  <c r="AE31" i="117" s="1"/>
  <c r="AY31" i="117" s="1"/>
  <c r="H30" i="117"/>
  <c r="AE30" i="117" s="1"/>
  <c r="AY30" i="117" s="1"/>
  <c r="H9" i="117"/>
  <c r="V9" i="117" s="1"/>
  <c r="AU10" i="117"/>
  <c r="H10" i="117"/>
  <c r="AE10" i="117" s="1"/>
  <c r="AY10" i="117" s="1"/>
  <c r="H27" i="117"/>
  <c r="AE27" i="117" s="1"/>
  <c r="AY27" i="117" s="1"/>
  <c r="V63" i="117"/>
  <c r="AF63" i="117" s="1"/>
  <c r="Y27" i="117"/>
  <c r="AU27" i="117"/>
  <c r="Y31" i="117"/>
  <c r="AU31" i="117"/>
  <c r="Y30" i="117"/>
  <c r="AU30" i="117"/>
  <c r="Y9" i="117"/>
  <c r="AU9" i="117"/>
  <c r="BO15" i="1"/>
  <c r="CF15" i="1" s="1"/>
  <c r="W63" i="117"/>
  <c r="AL63" i="117" s="1"/>
  <c r="AK72" i="117"/>
  <c r="AZ72" i="117" s="1"/>
  <c r="Y63" i="117"/>
  <c r="AX63" i="117" s="1"/>
  <c r="AU72" i="117"/>
  <c r="X63" i="117"/>
  <c r="AR63" i="117" s="1"/>
  <c r="AQ72" i="117"/>
  <c r="BA72" i="117" s="1"/>
  <c r="Z13" i="116"/>
  <c r="Y61" i="117"/>
  <c r="Y71" i="117"/>
  <c r="X61" i="117"/>
  <c r="X71" i="117"/>
  <c r="W61" i="117"/>
  <c r="W71" i="117"/>
  <c r="V61" i="117"/>
  <c r="BQ6" i="1"/>
  <c r="CH6" i="1" s="1"/>
  <c r="BP15" i="1"/>
  <c r="CG15" i="1" s="1"/>
  <c r="BN6" i="1"/>
  <c r="CE6" i="1" s="1"/>
  <c r="BP6" i="1"/>
  <c r="CG6" i="1" s="1"/>
  <c r="BF27" i="1"/>
  <c r="O27" i="1"/>
  <c r="AH27" i="1"/>
  <c r="AI27" i="1"/>
  <c r="AJ27" i="1"/>
  <c r="AK27" i="1"/>
  <c r="BN15" i="1"/>
  <c r="D10" i="30" s="1"/>
  <c r="O68" i="1"/>
  <c r="AH68" i="1"/>
  <c r="AI68" i="1"/>
  <c r="AJ68" i="1"/>
  <c r="AK68" i="1"/>
  <c r="O26" i="1"/>
  <c r="AH26" i="1"/>
  <c r="AI26" i="1"/>
  <c r="AJ26" i="1"/>
  <c r="AK26" i="1"/>
  <c r="O23" i="1"/>
  <c r="AH23" i="1"/>
  <c r="AI23" i="1"/>
  <c r="AJ23" i="1"/>
  <c r="BP23" i="1" s="1"/>
  <c r="CG23" i="1" s="1"/>
  <c r="AK23" i="1"/>
  <c r="O5" i="1"/>
  <c r="AH5" i="1"/>
  <c r="AI5" i="1"/>
  <c r="AJ5" i="1"/>
  <c r="AK5" i="1"/>
  <c r="BO6" i="1"/>
  <c r="CF6" i="1" s="1"/>
  <c r="BQ15" i="1"/>
  <c r="CH15" i="1" s="1"/>
  <c r="BS67" i="1"/>
  <c r="CJ67" i="1" s="1"/>
  <c r="BS68" i="1"/>
  <c r="CJ68" i="1" s="1"/>
  <c r="BT67" i="1"/>
  <c r="CK67" i="1" s="1"/>
  <c r="BS27" i="1"/>
  <c r="CJ27" i="1" s="1"/>
  <c r="W31" i="117"/>
  <c r="BS26" i="1"/>
  <c r="CJ26" i="1" s="1"/>
  <c r="W30" i="117"/>
  <c r="BS5" i="1"/>
  <c r="CJ5" i="1" s="1"/>
  <c r="W9" i="117"/>
  <c r="BS6" i="1"/>
  <c r="CJ6" i="1" s="1"/>
  <c r="W10" i="117"/>
  <c r="BR6" i="1"/>
  <c r="CI6" i="1" s="1"/>
  <c r="BR5" i="1"/>
  <c r="CI5" i="1" s="1"/>
  <c r="BR67" i="1"/>
  <c r="CI67" i="1" s="1"/>
  <c r="V55" i="117"/>
  <c r="AF55" i="117" s="1"/>
  <c r="BS23" i="1"/>
  <c r="CJ23" i="1" s="1"/>
  <c r="W27" i="117"/>
  <c r="BU6" i="1"/>
  <c r="CL6" i="1" s="1"/>
  <c r="Y10" i="117"/>
  <c r="BR68" i="1"/>
  <c r="CI68" i="1" s="1"/>
  <c r="V56" i="117"/>
  <c r="AF56" i="117" s="1"/>
  <c r="BT23" i="1"/>
  <c r="CK23" i="1" s="1"/>
  <c r="X27" i="117"/>
  <c r="BR27" i="1"/>
  <c r="CI27" i="1" s="1"/>
  <c r="BR26" i="1"/>
  <c r="CI26" i="1" s="1"/>
  <c r="BT68" i="1"/>
  <c r="CK68" i="1" s="1"/>
  <c r="Y55" i="117"/>
  <c r="BR23" i="1"/>
  <c r="CI23" i="1" s="1"/>
  <c r="BT27" i="1"/>
  <c r="CK27" i="1" s="1"/>
  <c r="X31" i="117"/>
  <c r="BT26" i="1"/>
  <c r="CK26" i="1" s="1"/>
  <c r="X30" i="117"/>
  <c r="BT5" i="1"/>
  <c r="CK5" i="1" s="1"/>
  <c r="X9" i="117"/>
  <c r="BT6" i="1"/>
  <c r="CK6" i="1" s="1"/>
  <c r="X10" i="117"/>
  <c r="BU68" i="1"/>
  <c r="CL68" i="1" s="1"/>
  <c r="BU27" i="1"/>
  <c r="CL27" i="1" s="1"/>
  <c r="BU26" i="1"/>
  <c r="CL26" i="1" s="1"/>
  <c r="BU67" i="1"/>
  <c r="CL67" i="1" s="1"/>
  <c r="BU5" i="1"/>
  <c r="CL5" i="1" s="1"/>
  <c r="BU23" i="1"/>
  <c r="CL23" i="1" s="1"/>
  <c r="BG26" i="1"/>
  <c r="BI26" i="1"/>
  <c r="BH26" i="1"/>
  <c r="BF26" i="1"/>
  <c r="BJ89" i="1"/>
  <c r="BM89" i="1"/>
  <c r="AX89" i="1"/>
  <c r="BL89" i="1"/>
  <c r="BK89" i="1"/>
  <c r="AY89" i="1"/>
  <c r="AZ89" i="1"/>
  <c r="BA89" i="1"/>
  <c r="BM88" i="1"/>
  <c r="BJ88" i="1"/>
  <c r="BL88" i="1"/>
  <c r="AX88" i="1"/>
  <c r="BK88" i="1"/>
  <c r="AY88" i="1"/>
  <c r="AZ88" i="1"/>
  <c r="BA88" i="1"/>
  <c r="R63" i="1"/>
  <c r="R84" i="1"/>
  <c r="BM63" i="1"/>
  <c r="BJ63" i="1"/>
  <c r="BK63" i="1"/>
  <c r="AX63" i="1"/>
  <c r="BL63" i="1"/>
  <c r="AY63" i="1"/>
  <c r="AZ63" i="1"/>
  <c r="BA63" i="1"/>
  <c r="BM84" i="1"/>
  <c r="BK84" i="1"/>
  <c r="AX84" i="1"/>
  <c r="BJ84" i="1"/>
  <c r="BL84" i="1"/>
  <c r="AY84" i="1"/>
  <c r="AZ84" i="1"/>
  <c r="BA84" i="1"/>
  <c r="N10" i="30"/>
  <c r="AX15" i="1"/>
  <c r="BJ15" i="1"/>
  <c r="BL15" i="1"/>
  <c r="BK15" i="1"/>
  <c r="BM15" i="1"/>
  <c r="AY15" i="1"/>
  <c r="AZ15" i="1"/>
  <c r="BA15" i="1"/>
  <c r="BI27" i="1"/>
  <c r="BH27" i="1"/>
  <c r="BG27" i="1"/>
  <c r="R89" i="1"/>
  <c r="BG68" i="1"/>
  <c r="BH68" i="1"/>
  <c r="BI68" i="1"/>
  <c r="BF68" i="1"/>
  <c r="BF23" i="1"/>
  <c r="BG23" i="1"/>
  <c r="BH23" i="1"/>
  <c r="BI23" i="1"/>
  <c r="BI5" i="1"/>
  <c r="BF5" i="1"/>
  <c r="BG5" i="1"/>
  <c r="BH5" i="1"/>
  <c r="AX47" i="117" l="1"/>
  <c r="AX46" i="117"/>
  <c r="BB45" i="117"/>
  <c r="BC45" i="117" s="1"/>
  <c r="BC47" i="117"/>
  <c r="BB44" i="117"/>
  <c r="BC44" i="117" s="1"/>
  <c r="AW31" i="117"/>
  <c r="BB31" i="117" s="1"/>
  <c r="BC31" i="117" s="1"/>
  <c r="AW127" i="117"/>
  <c r="AX127" i="117" s="1"/>
  <c r="AW30" i="117"/>
  <c r="BB30" i="117" s="1"/>
  <c r="BC30" i="117" s="1"/>
  <c r="AW27" i="117"/>
  <c r="BB27" i="117" s="1"/>
  <c r="BC27" i="117" s="1"/>
  <c r="AW71" i="117"/>
  <c r="BB71" i="117" s="1"/>
  <c r="BC71" i="117" s="1"/>
  <c r="AW86" i="117"/>
  <c r="AX86" i="117" s="1"/>
  <c r="AW9" i="117"/>
  <c r="BB9" i="117" s="1"/>
  <c r="AW72" i="117"/>
  <c r="BB72" i="117" s="1"/>
  <c r="AW10" i="117"/>
  <c r="BB10" i="117" s="1"/>
  <c r="BC10" i="117" s="1"/>
  <c r="AW192" i="117"/>
  <c r="BB192" i="117" s="1"/>
  <c r="L11" i="116"/>
  <c r="H11" i="116"/>
  <c r="P11" i="116"/>
  <c r="T11" i="116" s="1"/>
  <c r="BA86" i="117"/>
  <c r="AR86" i="117"/>
  <c r="AY127" i="117"/>
  <c r="AF127" i="117"/>
  <c r="BC46" i="117"/>
  <c r="AU150" i="117"/>
  <c r="BU146" i="1"/>
  <c r="CL146" i="1" s="1"/>
  <c r="BA127" i="117"/>
  <c r="AR127" i="117"/>
  <c r="S9" i="116"/>
  <c r="V9" i="116" s="1"/>
  <c r="AY86" i="117"/>
  <c r="AF86" i="117"/>
  <c r="AZ192" i="117"/>
  <c r="AL192" i="117"/>
  <c r="AK150" i="117"/>
  <c r="BS146" i="1"/>
  <c r="CJ146" i="1" s="1"/>
  <c r="AY192" i="117"/>
  <c r="AF192" i="117"/>
  <c r="AL127" i="117"/>
  <c r="AZ127" i="117"/>
  <c r="AZ86" i="117"/>
  <c r="AL86" i="117"/>
  <c r="BT146" i="1"/>
  <c r="CK146" i="1" s="1"/>
  <c r="AQ150" i="117"/>
  <c r="AR192" i="117"/>
  <c r="BA192" i="117"/>
  <c r="AE150" i="117"/>
  <c r="BR146" i="1"/>
  <c r="CI146" i="1" s="1"/>
  <c r="BI88" i="1"/>
  <c r="AR31" i="117"/>
  <c r="AR61" i="117"/>
  <c r="AL61" i="117"/>
  <c r="AX61" i="117"/>
  <c r="BF88" i="1"/>
  <c r="V71" i="117"/>
  <c r="AF71" i="117" s="1"/>
  <c r="BG88" i="1"/>
  <c r="AI88" i="1"/>
  <c r="BO88" i="1" s="1"/>
  <c r="CF88" i="1" s="1"/>
  <c r="O88" i="1"/>
  <c r="AK88" i="1"/>
  <c r="BH88" i="1"/>
  <c r="AH88" i="1"/>
  <c r="BP67" i="1"/>
  <c r="CG67" i="1" s="1"/>
  <c r="BO67" i="1"/>
  <c r="CF67" i="1" s="1"/>
  <c r="AL30" i="117"/>
  <c r="AR30" i="117"/>
  <c r="AL31" i="117"/>
  <c r="AR71" i="117"/>
  <c r="AR10" i="117"/>
  <c r="AQ19" i="117"/>
  <c r="BA19" i="117" s="1"/>
  <c r="AL71" i="117"/>
  <c r="O89" i="1"/>
  <c r="O84" i="1"/>
  <c r="O63" i="1"/>
  <c r="AQ92" i="117"/>
  <c r="BA92" i="117" s="1"/>
  <c r="AQ93" i="117"/>
  <c r="BA93" i="117" s="1"/>
  <c r="V30" i="117"/>
  <c r="AF30" i="117" s="1"/>
  <c r="V27" i="117"/>
  <c r="Z27" i="117" s="1"/>
  <c r="V10" i="117"/>
  <c r="AF10" i="117" s="1"/>
  <c r="V31" i="117"/>
  <c r="AF31" i="117" s="1"/>
  <c r="AU92" i="117"/>
  <c r="H92" i="117"/>
  <c r="AE92" i="117" s="1"/>
  <c r="AY92" i="117" s="1"/>
  <c r="AU93" i="117"/>
  <c r="H93" i="117"/>
  <c r="V93" i="117" s="1"/>
  <c r="AU88" i="117"/>
  <c r="H88" i="117"/>
  <c r="V88" i="117" s="1"/>
  <c r="AU67" i="117"/>
  <c r="H67" i="117"/>
  <c r="V67" i="117" s="1"/>
  <c r="AK92" i="117"/>
  <c r="AZ92" i="117" s="1"/>
  <c r="AK93" i="117"/>
  <c r="AZ93" i="117" s="1"/>
  <c r="AK19" i="117"/>
  <c r="AZ19" i="117" s="1"/>
  <c r="AE9" i="117"/>
  <c r="AY9" i="117" s="1"/>
  <c r="H19" i="117"/>
  <c r="AE19" i="117" s="1"/>
  <c r="AY19" i="117" s="1"/>
  <c r="AE72" i="117"/>
  <c r="AY72" i="117" s="1"/>
  <c r="G10" i="30"/>
  <c r="H10" i="30" s="1"/>
  <c r="BO68" i="1"/>
  <c r="CF68" i="1" s="1"/>
  <c r="Y19" i="117"/>
  <c r="P15" i="116" s="1"/>
  <c r="T15" i="116" s="1"/>
  <c r="AU19" i="117"/>
  <c r="X67" i="117"/>
  <c r="AQ67" i="117"/>
  <c r="BA67" i="117" s="1"/>
  <c r="BN68" i="1"/>
  <c r="CE68" i="1" s="1"/>
  <c r="X88" i="117"/>
  <c r="AQ88" i="117"/>
  <c r="BA88" i="117" s="1"/>
  <c r="W88" i="117"/>
  <c r="AK88" i="117"/>
  <c r="AZ88" i="117" s="1"/>
  <c r="W67" i="117"/>
  <c r="AK67" i="117"/>
  <c r="AZ67" i="117" s="1"/>
  <c r="Z63" i="117"/>
  <c r="AL10" i="117"/>
  <c r="W56" i="117"/>
  <c r="AL56" i="117" s="1"/>
  <c r="W55" i="117"/>
  <c r="AL55" i="117" s="1"/>
  <c r="AR56" i="117"/>
  <c r="AR55" i="117"/>
  <c r="Z61" i="117"/>
  <c r="AF61" i="117"/>
  <c r="Y88" i="117"/>
  <c r="J10" i="30"/>
  <c r="K10" i="30" s="1"/>
  <c r="BT88" i="1"/>
  <c r="CK88" i="1" s="1"/>
  <c r="X92" i="117"/>
  <c r="BT89" i="1"/>
  <c r="CK89" i="1" s="1"/>
  <c r="X93" i="117"/>
  <c r="BR89" i="1"/>
  <c r="CI89" i="1" s="1"/>
  <c r="BU88" i="1"/>
  <c r="CL88" i="1" s="1"/>
  <c r="Y92" i="117"/>
  <c r="BR88" i="1"/>
  <c r="CI88" i="1" s="1"/>
  <c r="BU89" i="1"/>
  <c r="CL89" i="1" s="1"/>
  <c r="Y93" i="117"/>
  <c r="BS88" i="1"/>
  <c r="CJ88" i="1" s="1"/>
  <c r="W92" i="117"/>
  <c r="BS89" i="1"/>
  <c r="CJ89" i="1" s="1"/>
  <c r="W93" i="117"/>
  <c r="Y51" i="117"/>
  <c r="Y67" i="117"/>
  <c r="BP5" i="1"/>
  <c r="CG5" i="1" s="1"/>
  <c r="BN27" i="1"/>
  <c r="CE27" i="1" s="1"/>
  <c r="BO26" i="1"/>
  <c r="CF26" i="1" s="1"/>
  <c r="BP26" i="1"/>
  <c r="CG26" i="1" s="1"/>
  <c r="BP27" i="1"/>
  <c r="CG27" i="1" s="1"/>
  <c r="AR9" i="117"/>
  <c r="AR27" i="117"/>
  <c r="BN23" i="1"/>
  <c r="CE23" i="1" s="1"/>
  <c r="AL9" i="117"/>
  <c r="CE15" i="1"/>
  <c r="AL27" i="117"/>
  <c r="BO27" i="1"/>
  <c r="CF27" i="1" s="1"/>
  <c r="BQ5" i="1"/>
  <c r="CH5" i="1" s="1"/>
  <c r="BQ23" i="1"/>
  <c r="CH23" i="1" s="1"/>
  <c r="BO23" i="1"/>
  <c r="CF23" i="1" s="1"/>
  <c r="BQ68" i="1"/>
  <c r="CH68" i="1" s="1"/>
  <c r="BQ27" i="1"/>
  <c r="CH27" i="1" s="1"/>
  <c r="BP68" i="1"/>
  <c r="CG68" i="1" s="1"/>
  <c r="W77" i="117"/>
  <c r="AL77" i="117" s="1"/>
  <c r="BN26" i="1"/>
  <c r="CE26" i="1" s="1"/>
  <c r="BO5" i="1"/>
  <c r="CF5" i="1" s="1"/>
  <c r="BQ26" i="1"/>
  <c r="CH26" i="1" s="1"/>
  <c r="BP88" i="1"/>
  <c r="CG88" i="1" s="1"/>
  <c r="BN5" i="1"/>
  <c r="CE5" i="1" s="1"/>
  <c r="Y76" i="117"/>
  <c r="AX76" i="117" s="1"/>
  <c r="X76" i="117"/>
  <c r="AR76" i="117" s="1"/>
  <c r="X77" i="117"/>
  <c r="AR77" i="117" s="1"/>
  <c r="Y77" i="117"/>
  <c r="AX77" i="117" s="1"/>
  <c r="V77" i="117"/>
  <c r="AF77" i="117" s="1"/>
  <c r="V76" i="117"/>
  <c r="AF76" i="117" s="1"/>
  <c r="W76" i="117"/>
  <c r="BT15" i="1"/>
  <c r="CK15" i="1" s="1"/>
  <c r="X19" i="117"/>
  <c r="L15" i="116" s="1"/>
  <c r="BT63" i="1"/>
  <c r="CK63" i="1" s="1"/>
  <c r="X51" i="117"/>
  <c r="AX56" i="117"/>
  <c r="BS63" i="1"/>
  <c r="CJ63" i="1" s="1"/>
  <c r="Z9" i="117"/>
  <c r="BR63" i="1"/>
  <c r="CI63" i="1" s="1"/>
  <c r="BS15" i="1"/>
  <c r="CJ15" i="1" s="1"/>
  <c r="W19" i="117"/>
  <c r="H15" i="116" s="1"/>
  <c r="BR15" i="1"/>
  <c r="CI15" i="1" s="1"/>
  <c r="BT84" i="1"/>
  <c r="CK84" i="1" s="1"/>
  <c r="BR84" i="1"/>
  <c r="CI84" i="1" s="1"/>
  <c r="BS84" i="1"/>
  <c r="CJ84" i="1" s="1"/>
  <c r="AX55" i="117"/>
  <c r="AJ84" i="1"/>
  <c r="AH84" i="1"/>
  <c r="AK84" i="1"/>
  <c r="AI84" i="1"/>
  <c r="AJ63" i="1"/>
  <c r="AH63" i="1"/>
  <c r="AK63" i="1"/>
  <c r="AI63" i="1"/>
  <c r="AJ89" i="1"/>
  <c r="AH89" i="1"/>
  <c r="AK89" i="1"/>
  <c r="AI89" i="1"/>
  <c r="BU84" i="1"/>
  <c r="CL84" i="1" s="1"/>
  <c r="BU63" i="1"/>
  <c r="CL63" i="1" s="1"/>
  <c r="BU15" i="1"/>
  <c r="CL15" i="1" s="1"/>
  <c r="E10" i="30"/>
  <c r="BI84" i="1"/>
  <c r="BH84" i="1"/>
  <c r="BG84" i="1"/>
  <c r="BF84" i="1"/>
  <c r="BF63" i="1"/>
  <c r="BH63" i="1"/>
  <c r="BG63" i="1"/>
  <c r="BI63" i="1"/>
  <c r="BI89" i="1"/>
  <c r="BG89" i="1"/>
  <c r="BF89" i="1"/>
  <c r="BH89" i="1"/>
  <c r="BC72" i="117" l="1"/>
  <c r="AX10" i="117"/>
  <c r="S11" i="116"/>
  <c r="V11" i="116" s="1"/>
  <c r="AX31" i="117"/>
  <c r="AX71" i="117"/>
  <c r="AX30" i="117"/>
  <c r="S14" i="116"/>
  <c r="V14" i="116" s="1"/>
  <c r="BB86" i="117"/>
  <c r="BC86" i="117" s="1"/>
  <c r="AX192" i="117"/>
  <c r="AX27" i="117"/>
  <c r="BB127" i="117"/>
  <c r="AX9" i="117"/>
  <c r="AW88" i="117"/>
  <c r="BB88" i="117" s="1"/>
  <c r="AW92" i="117"/>
  <c r="BB92" i="117" s="1"/>
  <c r="BC92" i="117" s="1"/>
  <c r="AW19" i="117"/>
  <c r="BB19" i="117" s="1"/>
  <c r="S15" i="116" s="1"/>
  <c r="V15" i="116" s="1"/>
  <c r="AW150" i="117"/>
  <c r="BB150" i="117" s="1"/>
  <c r="AW67" i="117"/>
  <c r="BB67" i="117" s="1"/>
  <c r="AW93" i="117"/>
  <c r="BB93" i="117" s="1"/>
  <c r="Z9" i="116"/>
  <c r="BC192" i="117"/>
  <c r="BC127" i="117"/>
  <c r="BA150" i="117"/>
  <c r="AR150" i="117"/>
  <c r="AY150" i="117"/>
  <c r="AF150" i="117"/>
  <c r="AZ150" i="117"/>
  <c r="AZ227" i="117" s="1"/>
  <c r="AL150" i="117"/>
  <c r="Z71" i="117"/>
  <c r="BQ88" i="1"/>
  <c r="CH88" i="1" s="1"/>
  <c r="N11" i="116"/>
  <c r="Z10" i="117"/>
  <c r="AF27" i="117"/>
  <c r="BN88" i="1"/>
  <c r="CE88" i="1" s="1"/>
  <c r="J11" i="116"/>
  <c r="D11" i="116"/>
  <c r="F11" i="116" s="1"/>
  <c r="V92" i="117"/>
  <c r="Z92" i="117" s="1"/>
  <c r="AL92" i="117"/>
  <c r="AR93" i="117"/>
  <c r="Z31" i="117"/>
  <c r="AR92" i="117"/>
  <c r="Z30" i="117"/>
  <c r="AE67" i="117"/>
  <c r="AF9" i="117"/>
  <c r="AL93" i="117"/>
  <c r="AE88" i="117"/>
  <c r="AY88" i="117" s="1"/>
  <c r="BC88" i="117" s="1"/>
  <c r="BC9" i="117"/>
  <c r="AR67" i="117"/>
  <c r="AE93" i="117"/>
  <c r="AY93" i="117" s="1"/>
  <c r="V19" i="117"/>
  <c r="AR88" i="117"/>
  <c r="H230" i="117"/>
  <c r="AL88" i="117"/>
  <c r="AL67" i="117"/>
  <c r="Z56" i="117"/>
  <c r="AL76" i="117"/>
  <c r="Z55" i="117"/>
  <c r="Z88" i="117"/>
  <c r="D6" i="30"/>
  <c r="E6" i="30" s="1"/>
  <c r="G6" i="30"/>
  <c r="H6" i="30" s="1"/>
  <c r="Z67" i="117"/>
  <c r="J6" i="30"/>
  <c r="K6" i="30" s="1"/>
  <c r="Z93" i="117"/>
  <c r="BO84" i="1"/>
  <c r="CF84" i="1" s="1"/>
  <c r="M6" i="30"/>
  <c r="N6" i="30" s="1"/>
  <c r="AR19" i="117"/>
  <c r="N15" i="116"/>
  <c r="AL19" i="117"/>
  <c r="J15" i="116"/>
  <c r="D12" i="30"/>
  <c r="E12" i="30" s="1"/>
  <c r="Z76" i="117"/>
  <c r="Z77" i="117"/>
  <c r="BN89" i="1"/>
  <c r="CE89" i="1" s="1"/>
  <c r="X72" i="117"/>
  <c r="AR72" i="117" s="1"/>
  <c r="BP89" i="1"/>
  <c r="CG89" i="1" s="1"/>
  <c r="BP63" i="1"/>
  <c r="CG63" i="1" s="1"/>
  <c r="BQ89" i="1"/>
  <c r="CH89" i="1" s="1"/>
  <c r="AX51" i="117"/>
  <c r="Y72" i="117"/>
  <c r="AX72" i="117" s="1"/>
  <c r="BO89" i="1"/>
  <c r="CF89" i="1" s="1"/>
  <c r="W72" i="117"/>
  <c r="AL72" i="117" s="1"/>
  <c r="AL51" i="117"/>
  <c r="BQ84" i="1"/>
  <c r="CH84" i="1" s="1"/>
  <c r="BP84" i="1"/>
  <c r="CG84" i="1" s="1"/>
  <c r="BQ63" i="1"/>
  <c r="CH63" i="1" s="1"/>
  <c r="AR51" i="117"/>
  <c r="BO63" i="1"/>
  <c r="CF63" i="1" s="1"/>
  <c r="BN63" i="1"/>
  <c r="CE63" i="1" s="1"/>
  <c r="V51" i="117"/>
  <c r="D9" i="116" s="1"/>
  <c r="BN84" i="1"/>
  <c r="CE84" i="1" s="1"/>
  <c r="V72" i="117"/>
  <c r="M12" i="30"/>
  <c r="N12" i="30" s="1"/>
  <c r="J12" i="30"/>
  <c r="K12" i="30" s="1"/>
  <c r="G12" i="30"/>
  <c r="H12" i="30" s="1"/>
  <c r="S18" i="116" l="1"/>
  <c r="W11" i="116"/>
  <c r="Z11" i="116"/>
  <c r="S12" i="116"/>
  <c r="V12" i="116" s="1"/>
  <c r="BC19" i="117"/>
  <c r="AX19" i="117"/>
  <c r="AX88" i="117"/>
  <c r="BC93" i="117"/>
  <c r="AX92" i="117"/>
  <c r="AX93" i="117"/>
  <c r="AX150" i="117"/>
  <c r="BB227" i="117"/>
  <c r="W15" i="116"/>
  <c r="AX67" i="117"/>
  <c r="Z15" i="116"/>
  <c r="BA227" i="117"/>
  <c r="BC150" i="117"/>
  <c r="Z19" i="117"/>
  <c r="D15" i="116"/>
  <c r="Y15" i="116" s="1"/>
  <c r="AF92" i="117"/>
  <c r="A11" i="116"/>
  <c r="AY67" i="117"/>
  <c r="AF67" i="117"/>
  <c r="Y11" i="116"/>
  <c r="AA11" i="116" s="1"/>
  <c r="AF88" i="117"/>
  <c r="AF93" i="117"/>
  <c r="AF19" i="117"/>
  <c r="I22" i="116"/>
  <c r="AZ228" i="117" s="1"/>
  <c r="Z72" i="117"/>
  <c r="AF72" i="117"/>
  <c r="Z51" i="117"/>
  <c r="AF51" i="117"/>
  <c r="Z18" i="116" l="1"/>
  <c r="AA18" i="116" s="1"/>
  <c r="V18" i="116"/>
  <c r="V22" i="116" s="1"/>
  <c r="W18" i="116"/>
  <c r="AA15" i="116"/>
  <c r="S22" i="116"/>
  <c r="BB228" i="117" s="1"/>
  <c r="Z14" i="116"/>
  <c r="A15" i="116"/>
  <c r="BC67" i="117"/>
  <c r="BC227" i="117" s="1"/>
  <c r="AY227" i="117"/>
  <c r="F15" i="116"/>
  <c r="M22" i="116" l="1"/>
  <c r="BA228" i="117" s="1"/>
  <c r="Z12" i="116"/>
  <c r="E22" i="116"/>
  <c r="AY228" i="117" s="1"/>
  <c r="G7" i="30"/>
  <c r="H7" i="30" s="1"/>
  <c r="J7" i="30"/>
  <c r="K7" i="30" s="1"/>
  <c r="M7" i="30"/>
  <c r="N7" i="30" s="1"/>
  <c r="D7" i="30"/>
  <c r="Z22" i="116" l="1"/>
  <c r="G22" i="30"/>
  <c r="H22" i="30" s="1"/>
  <c r="M21" i="30"/>
  <c r="N21" i="30" s="1"/>
  <c r="M22" i="30"/>
  <c r="N22" i="30" s="1"/>
  <c r="M13" i="30"/>
  <c r="N13" i="30" s="1"/>
  <c r="G13" i="30"/>
  <c r="H13" i="30" s="1"/>
  <c r="J13" i="30"/>
  <c r="K13" i="30" s="1"/>
  <c r="D13" i="30"/>
  <c r="E13" i="30" s="1"/>
  <c r="M18" i="30"/>
  <c r="N18" i="30" s="1"/>
  <c r="D17" i="30"/>
  <c r="E17" i="30" s="1"/>
  <c r="M23" i="30"/>
  <c r="N23" i="30" s="1"/>
  <c r="M17" i="30"/>
  <c r="N17" i="30" s="1"/>
  <c r="G23" i="30"/>
  <c r="H23" i="30" s="1"/>
  <c r="M16" i="30"/>
  <c r="N16" i="30" s="1"/>
  <c r="M9" i="30"/>
  <c r="N9" i="30" s="1"/>
  <c r="M19" i="30"/>
  <c r="N19" i="30" s="1"/>
  <c r="M20" i="30"/>
  <c r="N20" i="30" s="1"/>
  <c r="G16" i="30"/>
  <c r="H16" i="30" s="1"/>
  <c r="G21" i="30"/>
  <c r="H21" i="30" s="1"/>
  <c r="G24" i="30"/>
  <c r="H24" i="30" s="1"/>
  <c r="M24" i="30"/>
  <c r="N24" i="30" s="1"/>
  <c r="G18" i="30"/>
  <c r="H18" i="30" s="1"/>
  <c r="G9" i="30"/>
  <c r="H9" i="30" s="1"/>
  <c r="G17" i="30"/>
  <c r="H17" i="30" s="1"/>
  <c r="G20" i="30"/>
  <c r="H20" i="30" s="1"/>
  <c r="G19" i="30"/>
  <c r="H19" i="30" s="1"/>
  <c r="D21" i="30"/>
  <c r="E21" i="30" s="1"/>
  <c r="J20" i="30"/>
  <c r="K20" i="30" s="1"/>
  <c r="D9" i="30"/>
  <c r="E9" i="30" s="1"/>
  <c r="J22" i="30"/>
  <c r="K22" i="30" s="1"/>
  <c r="J23" i="30"/>
  <c r="K23" i="30" s="1"/>
  <c r="D18" i="30"/>
  <c r="E18" i="30" s="1"/>
  <c r="D20" i="30"/>
  <c r="E20" i="30" s="1"/>
  <c r="J19" i="30"/>
  <c r="K19" i="30" s="1"/>
  <c r="J9" i="30"/>
  <c r="K9" i="30" s="1"/>
  <c r="D19" i="30"/>
  <c r="E19" i="30" s="1"/>
  <c r="J21" i="30"/>
  <c r="K21" i="30" s="1"/>
  <c r="D16" i="30"/>
  <c r="E16" i="30" s="1"/>
  <c r="J17" i="30"/>
  <c r="K17" i="30" s="1"/>
  <c r="D24" i="30"/>
  <c r="E24" i="30" s="1"/>
  <c r="D22" i="30"/>
  <c r="E22" i="30" s="1"/>
  <c r="J24" i="30"/>
  <c r="K24" i="30" s="1"/>
  <c r="J16" i="30"/>
  <c r="K16" i="30" s="1"/>
  <c r="D23" i="30"/>
  <c r="E23" i="30" s="1"/>
  <c r="J18" i="30"/>
  <c r="K18" i="30" s="1"/>
  <c r="E7" i="30"/>
  <c r="M25" i="30" l="1"/>
  <c r="N25" i="30" s="1"/>
  <c r="G25" i="30"/>
  <c r="H25" i="30" s="1"/>
  <c r="G15" i="30"/>
  <c r="M15" i="30"/>
  <c r="D15" i="30"/>
  <c r="J25" i="30"/>
  <c r="K25" i="30" s="1"/>
  <c r="D25" i="30"/>
  <c r="E25" i="30" s="1"/>
  <c r="J15" i="30"/>
  <c r="W12" i="117"/>
  <c r="H13" i="116" s="1"/>
  <c r="V12" i="117"/>
  <c r="D13" i="116" s="1"/>
  <c r="F13" i="116" l="1"/>
  <c r="J13" i="116"/>
  <c r="M27" i="30"/>
  <c r="N15" i="30"/>
  <c r="N27" i="30" s="1"/>
  <c r="A13" i="116"/>
  <c r="G27" i="30"/>
  <c r="H15" i="30"/>
  <c r="H27" i="30" s="1"/>
  <c r="AL12" i="117"/>
  <c r="AF12" i="117"/>
  <c r="Y29" i="117"/>
  <c r="Y12" i="117"/>
  <c r="P13" i="116" s="1"/>
  <c r="T13" i="116" s="1"/>
  <c r="X29" i="117"/>
  <c r="X12" i="117"/>
  <c r="L13" i="116" s="1"/>
  <c r="V29" i="117"/>
  <c r="W29" i="117"/>
  <c r="E15" i="30"/>
  <c r="E27" i="30" s="1"/>
  <c r="D27" i="30"/>
  <c r="K15" i="30"/>
  <c r="K27" i="30" s="1"/>
  <c r="J27" i="30"/>
  <c r="X83" i="117"/>
  <c r="AR83" i="117" s="1"/>
  <c r="N13" i="116" l="1"/>
  <c r="W13" i="116"/>
  <c r="Y83" i="117"/>
  <c r="AX83" i="117" s="1"/>
  <c r="AL29" i="117"/>
  <c r="AR29" i="117"/>
  <c r="AX29" i="117"/>
  <c r="Z12" i="117"/>
  <c r="AX12" i="117"/>
  <c r="AR12" i="117"/>
  <c r="X227" i="117"/>
  <c r="V83" i="117"/>
  <c r="W83" i="117"/>
  <c r="AF29" i="117"/>
  <c r="Z29" i="117"/>
  <c r="Y9" i="30"/>
  <c r="Z9" i="30" s="1"/>
  <c r="L9" i="116" l="1"/>
  <c r="N9" i="116" s="1"/>
  <c r="L14" i="116"/>
  <c r="N14" i="116" s="1"/>
  <c r="L12" i="116"/>
  <c r="N12" i="116" s="1"/>
  <c r="Y13" i="116"/>
  <c r="AA13" i="116" s="1"/>
  <c r="S22" i="30"/>
  <c r="T22" i="30" s="1"/>
  <c r="S8" i="30"/>
  <c r="T8" i="30" s="1"/>
  <c r="Y227" i="117"/>
  <c r="AL83" i="117"/>
  <c r="AL227" i="117" s="1"/>
  <c r="S23" i="30"/>
  <c r="T23" i="30" s="1"/>
  <c r="P12" i="30"/>
  <c r="Q12" i="30" s="1"/>
  <c r="S10" i="30"/>
  <c r="T10" i="30" s="1"/>
  <c r="V7" i="30"/>
  <c r="W7" i="30" s="1"/>
  <c r="AX227" i="117"/>
  <c r="AR227" i="117"/>
  <c r="V14" i="30"/>
  <c r="W14" i="30" s="1"/>
  <c r="V10" i="30"/>
  <c r="W10" i="30" s="1"/>
  <c r="V16" i="30"/>
  <c r="W16" i="30" s="1"/>
  <c r="V17" i="30"/>
  <c r="W17" i="30" s="1"/>
  <c r="V8" i="30"/>
  <c r="W8" i="30" s="1"/>
  <c r="V19" i="30"/>
  <c r="W19" i="30" s="1"/>
  <c r="W227" i="117"/>
  <c r="V9" i="30"/>
  <c r="W9" i="30" s="1"/>
  <c r="S21" i="30"/>
  <c r="T21" i="30" s="1"/>
  <c r="S17" i="30"/>
  <c r="T17" i="30" s="1"/>
  <c r="S19" i="30"/>
  <c r="T19" i="30" s="1"/>
  <c r="S9" i="30"/>
  <c r="T9" i="30" s="1"/>
  <c r="S6" i="30"/>
  <c r="T6" i="30" s="1"/>
  <c r="V227" i="117"/>
  <c r="S12" i="30"/>
  <c r="T12" i="30" s="1"/>
  <c r="S7" i="30"/>
  <c r="T7" i="30" s="1"/>
  <c r="S20" i="30"/>
  <c r="T20" i="30" s="1"/>
  <c r="S16" i="30"/>
  <c r="T16" i="30" s="1"/>
  <c r="S24" i="30"/>
  <c r="T24" i="30" s="1"/>
  <c r="S18" i="30"/>
  <c r="T18" i="30" s="1"/>
  <c r="S14" i="30"/>
  <c r="T14" i="30" s="1"/>
  <c r="S13" i="30"/>
  <c r="T13" i="30" s="1"/>
  <c r="P19" i="30"/>
  <c r="Q19" i="30" s="1"/>
  <c r="P18" i="30"/>
  <c r="Q18" i="30" s="1"/>
  <c r="P24" i="30"/>
  <c r="Q24" i="30" s="1"/>
  <c r="P21" i="30"/>
  <c r="Q21" i="30" s="1"/>
  <c r="P9" i="30"/>
  <c r="Q9" i="30" s="1"/>
  <c r="V12" i="30"/>
  <c r="W12" i="30" s="1"/>
  <c r="V13" i="30"/>
  <c r="W13" i="30" s="1"/>
  <c r="V20" i="30"/>
  <c r="W20" i="30" s="1"/>
  <c r="P7" i="30"/>
  <c r="Q7" i="30" s="1"/>
  <c r="V23" i="30"/>
  <c r="W23" i="30" s="1"/>
  <c r="P14" i="30"/>
  <c r="Q14" i="30" s="1"/>
  <c r="V24" i="30"/>
  <c r="W24" i="30" s="1"/>
  <c r="P20" i="30"/>
  <c r="Q20" i="30" s="1"/>
  <c r="P17" i="30"/>
  <c r="Q17" i="30" s="1"/>
  <c r="P10" i="30"/>
  <c r="Q10" i="30" s="1"/>
  <c r="V18" i="30"/>
  <c r="W18" i="30" s="1"/>
  <c r="V6" i="30"/>
  <c r="W6" i="30" s="1"/>
  <c r="V21" i="30"/>
  <c r="W21" i="30" s="1"/>
  <c r="V22" i="30"/>
  <c r="W22" i="30" s="1"/>
  <c r="P13" i="30"/>
  <c r="Q13" i="30" s="1"/>
  <c r="P16" i="30"/>
  <c r="P8" i="30"/>
  <c r="Q8" i="30" s="1"/>
  <c r="P22" i="30"/>
  <c r="Q22" i="30" s="1"/>
  <c r="P23" i="30"/>
  <c r="Q23" i="30" s="1"/>
  <c r="P6" i="30"/>
  <c r="Q6" i="30" s="1"/>
  <c r="AF83" i="117"/>
  <c r="AF227" i="117" s="1"/>
  <c r="Z83" i="117"/>
  <c r="Y10" i="30"/>
  <c r="Z10" i="30" s="1"/>
  <c r="Y13" i="30"/>
  <c r="Z13" i="30" s="1"/>
  <c r="Y19" i="30"/>
  <c r="Z19" i="30" s="1"/>
  <c r="Y14" i="30"/>
  <c r="Z14" i="30" s="1"/>
  <c r="Y6" i="30"/>
  <c r="Z6" i="30" s="1"/>
  <c r="Y23" i="30"/>
  <c r="Z23" i="30" s="1"/>
  <c r="Y22" i="30"/>
  <c r="Z22" i="30" s="1"/>
  <c r="Y18" i="30"/>
  <c r="Z18" i="30" s="1"/>
  <c r="Y16" i="30"/>
  <c r="Z16" i="30" s="1"/>
  <c r="Y8" i="30"/>
  <c r="Z8" i="30" s="1"/>
  <c r="Y20" i="30"/>
  <c r="Z20" i="30" s="1"/>
  <c r="Y17" i="30"/>
  <c r="Z17" i="30" s="1"/>
  <c r="Y21" i="30"/>
  <c r="Z21" i="30" s="1"/>
  <c r="Y7" i="30"/>
  <c r="Z7" i="30" s="1"/>
  <c r="Y24" i="30"/>
  <c r="Z24" i="30" s="1"/>
  <c r="Y12" i="30"/>
  <c r="Z12" i="30" s="1"/>
  <c r="H14" i="116" l="1"/>
  <c r="J14" i="116" s="1"/>
  <c r="H9" i="116"/>
  <c r="J9" i="116" s="1"/>
  <c r="H12" i="116"/>
  <c r="J12" i="116" s="1"/>
  <c r="P9" i="116"/>
  <c r="P14" i="116"/>
  <c r="P12" i="116"/>
  <c r="D14" i="116"/>
  <c r="A14" i="116" s="1"/>
  <c r="D12" i="116"/>
  <c r="F9" i="116"/>
  <c r="N22" i="116"/>
  <c r="L22" i="116"/>
  <c r="V15" i="30"/>
  <c r="W15" i="30" s="1"/>
  <c r="A9" i="116"/>
  <c r="Z227" i="117"/>
  <c r="S15" i="30"/>
  <c r="T15" i="30" s="1"/>
  <c r="S25" i="30"/>
  <c r="T25" i="30" s="1"/>
  <c r="P15" i="30"/>
  <c r="Q15" i="30" s="1"/>
  <c r="V25" i="30"/>
  <c r="W25" i="30" s="1"/>
  <c r="P25" i="30"/>
  <c r="Q25" i="30" s="1"/>
  <c r="Q16" i="30"/>
  <c r="Y15" i="30"/>
  <c r="Y25" i="30"/>
  <c r="Z25" i="30" s="1"/>
  <c r="W9" i="116" l="1"/>
  <c r="T9" i="116"/>
  <c r="W12" i="116"/>
  <c r="T12" i="116"/>
  <c r="W14" i="116"/>
  <c r="T14" i="116"/>
  <c r="Y12" i="116"/>
  <c r="AA12" i="116" s="1"/>
  <c r="F14" i="116"/>
  <c r="D22" i="116"/>
  <c r="A22" i="116" s="1"/>
  <c r="J22" i="116"/>
  <c r="F12" i="116"/>
  <c r="A12" i="116"/>
  <c r="Y14" i="116"/>
  <c r="AA14" i="116" s="1"/>
  <c r="P22" i="116"/>
  <c r="Y9" i="116"/>
  <c r="AA9" i="116" s="1"/>
  <c r="H22" i="116"/>
  <c r="W27" i="30"/>
  <c r="V27" i="30"/>
  <c r="S27" i="30"/>
  <c r="T27" i="30"/>
  <c r="Q27" i="30"/>
  <c r="P27" i="30"/>
  <c r="Y27" i="30"/>
  <c r="Z15" i="30"/>
  <c r="Z27" i="30" s="1"/>
  <c r="W22" i="116" l="1"/>
  <c r="T22" i="116"/>
  <c r="F22" i="116"/>
  <c r="AA22" i="116"/>
  <c r="Y22"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s>
  <commentList>
    <comment ref="C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C2" authorId="0" shapeId="0" xr:uid="{00000000-0006-0000-0200-000002000000}">
      <text>
        <r>
          <rPr>
            <sz val="9"/>
            <color indexed="81"/>
            <rFont val="Tahoma"/>
            <family val="2"/>
          </rPr>
          <t xml:space="preserve">Please specify the current date in this cell and in the filename when saving the document.
</t>
        </r>
      </text>
    </comment>
    <comment ref="C3" authorId="0" shapeId="0" xr:uid="{00000000-0006-0000-0200-000003000000}">
      <text>
        <r>
          <rPr>
            <sz val="9"/>
            <color indexed="81"/>
            <rFont val="Tahoma"/>
            <family val="2"/>
          </rPr>
          <t>Please specify the name of the Program Administrator.</t>
        </r>
      </text>
    </comment>
    <comment ref="D5" authorId="0" shapeId="0" xr:uid="{00000000-0006-0000-02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E5" authorId="0" shapeId="0" xr:uid="{00000000-0006-0000-02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F5" authorId="0" shapeId="0" xr:uid="{00000000-0006-0000-02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G5" authorId="0" shapeId="0" xr:uid="{00000000-0006-0000-0200-000007000000}">
      <text>
        <r>
          <rPr>
            <sz val="9"/>
            <color indexed="81"/>
            <rFont val="Tahoma"/>
            <family val="2"/>
          </rPr>
          <t>Briefly describe the main cause of the significant savings goal adjustments.</t>
        </r>
      </text>
    </comment>
    <comment ref="H5" authorId="0" shapeId="0" xr:uid="{0A8EDC99-3903-4533-9650-9335AECB413D}">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I5" authorId="0" shapeId="0" xr:uid="{00000000-0006-0000-02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J5" authorId="0" shapeId="0" xr:uid="{00000000-0006-0000-02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K5" authorId="0" shapeId="0" xr:uid="{00000000-0006-0000-0200-00000B000000}">
      <text>
        <r>
          <rPr>
            <sz val="9"/>
            <color indexed="81"/>
            <rFont val="Tahoma"/>
            <family val="2"/>
          </rPr>
          <t xml:space="preserve">Briefly describe the main cause of the significant savings goal adjustments.
</t>
        </r>
      </text>
    </comment>
    <comment ref="L5" authorId="0" shapeId="0" xr:uid="{A4B825A1-83B8-48C7-8CDB-E6F4203B4E26}">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M5" authorId="0" shapeId="0" xr:uid="{00000000-0006-0000-02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N5" authorId="0" shapeId="0" xr:uid="{00000000-0006-0000-02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O5" authorId="0" shapeId="0" xr:uid="{00000000-0006-0000-0200-00000F000000}">
      <text>
        <r>
          <rPr>
            <sz val="9"/>
            <color indexed="81"/>
            <rFont val="Tahoma"/>
            <family val="2"/>
          </rPr>
          <t>Briefly describe the main cause of the significant savings goal adjustments.</t>
        </r>
      </text>
    </comment>
    <comment ref="P5" authorId="0" shapeId="0" xr:uid="{C34FBC2B-819E-4F13-9F7B-A71DD1803518}">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S5" authorId="0" shapeId="0" xr:uid="{00000000-0006-0000-02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T5" authorId="0" shapeId="0" xr:uid="{D96E113C-5A87-43CD-9E60-251486EB7CEB}">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U5" authorId="0" shapeId="0" xr:uid="{6F28563D-BB0B-4E32-A2D0-D1F481586839}">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V5" authorId="0" shapeId="0" xr:uid="{D055BB88-DCA9-4535-AD27-2A7EBBB1282A}">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W5" authorId="0" shapeId="0" xr:uid="{00000000-0006-0000-02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X5" authorId="0" shapeId="0" xr:uid="{00000000-0006-0000-0200-000013000000}">
      <text>
        <r>
          <rPr>
            <sz val="9"/>
            <color indexed="81"/>
            <rFont val="Tahoma"/>
            <family val="2"/>
          </rPr>
          <t>Briefly describe the main cause of the significant savings goal adjustments.</t>
        </r>
      </text>
    </comment>
    <comment ref="Y5" authorId="1" shapeId="0" xr:uid="{00CEA8A8-D980-44DF-86DE-03D2FBA80883}">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Z5" authorId="0" shapeId="0" xr:uid="{00000000-0006-0000-02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AA5" authorId="0" shapeId="0" xr:uid="{00000000-0006-0000-02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C6" authorId="0" shapeId="0" xr:uid="{00000000-0006-0000-02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C22" authorId="0" shapeId="0" xr:uid="{00000000-0006-0000-02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D22" authorId="0" shapeId="0" xr:uid="{00000000-0006-0000-02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E22" authorId="0" shapeId="0" xr:uid="{00000000-0006-0000-02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F22" authorId="0" shapeId="0" xr:uid="{00000000-0006-0000-0200-00001B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H22" authorId="0" shapeId="0" xr:uid="{00000000-0006-0000-02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I22" authorId="0" shapeId="0" xr:uid="{00000000-0006-0000-0200-00001D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J22" authorId="0" shapeId="0" xr:uid="{00000000-0006-0000-0200-00001E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L22" authorId="0" shapeId="0" xr:uid="{00000000-0006-0000-02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M22" authorId="0" shapeId="0" xr:uid="{00000000-0006-0000-02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N22" authorId="0" shapeId="0" xr:uid="{00000000-0006-0000-0200-000021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P22" authorId="0" shapeId="0" xr:uid="{00000000-0006-0000-0200-000022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S22" authorId="0" shapeId="0" xr:uid="{00000000-0006-0000-0200-000023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T22" authorId="0" shapeId="0" xr:uid="{FFC1C032-4679-4270-9A5D-A03AE24AF9B8}">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U22" authorId="0" shapeId="0" xr:uid="{9F9C9981-8C38-48E9-8D30-E4549446232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V22" authorId="0" shapeId="0" xr:uid="{1836E5FE-B3C2-4DFE-9D2C-5D3614ED94E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W22" authorId="0" shapeId="0" xr:uid="{00000000-0006-0000-0200-000024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Y22" authorId="0" shapeId="0" xr:uid="{00000000-0006-0000-0200-000025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Z22" authorId="0" shapeId="0" xr:uid="{00000000-0006-0000-0200-000026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A22" authorId="0" shapeId="0" xr:uid="{00000000-0006-0000-0200-000027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B22" authorId="0" shapeId="0" xr:uid="{00000000-0006-0000-0200-000028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44" authorId="0" shapeId="0" xr:uid="{042D127A-60BD-40D6-A074-5F557E9CEDA8}">
      <text>
        <r>
          <rPr>
            <b/>
            <sz val="9"/>
            <color indexed="81"/>
            <rFont val="Tahoma"/>
            <family val="2"/>
          </rPr>
          <t>Froio, Zach:</t>
        </r>
        <r>
          <rPr>
            <sz val="9"/>
            <color indexed="81"/>
            <rFont val="Tahoma"/>
            <family val="2"/>
          </rPr>
          <t xml:space="preserve">
Updated per IL TRM v8 p. 132</t>
        </r>
      </text>
    </comment>
    <comment ref="C46" authorId="0" shapeId="0" xr:uid="{087C2DAE-0471-409E-AA36-3594E3F6298C}">
      <text>
        <r>
          <rPr>
            <b/>
            <sz val="9"/>
            <color indexed="81"/>
            <rFont val="Tahoma"/>
            <family val="2"/>
          </rPr>
          <t>Froio, Zach:</t>
        </r>
        <r>
          <rPr>
            <sz val="9"/>
            <color indexed="81"/>
            <rFont val="Tahoma"/>
            <family val="2"/>
          </rPr>
          <t xml:space="preserve">
Updated per IL TRM v8 p. 135</t>
        </r>
      </text>
    </comment>
    <comment ref="J46" authorId="0" shapeId="0" xr:uid="{1EBC82D0-1139-455B-919B-D41EC25AF6DE}">
      <text>
        <r>
          <rPr>
            <b/>
            <sz val="9"/>
            <color indexed="81"/>
            <rFont val="Tahoma"/>
            <family val="2"/>
          </rPr>
          <t>Froio, Zach:</t>
        </r>
        <r>
          <rPr>
            <sz val="9"/>
            <color indexed="81"/>
            <rFont val="Tahoma"/>
            <family val="2"/>
          </rPr>
          <t xml:space="preserve">
Added per IL TRM v7 p. 102</t>
        </r>
      </text>
    </comment>
    <comment ref="B51" authorId="0" shapeId="0" xr:uid="{170E5B70-79EE-46CA-8D89-91053123314D}">
      <text>
        <r>
          <rPr>
            <b/>
            <sz val="9"/>
            <color indexed="81"/>
            <rFont val="Tahoma"/>
            <family val="2"/>
          </rPr>
          <t>Froio, Zach:</t>
        </r>
        <r>
          <rPr>
            <sz val="9"/>
            <color indexed="81"/>
            <rFont val="Tahoma"/>
            <family val="2"/>
          </rPr>
          <t xml:space="preserve">
Added per IL TRM v7 p. 102</t>
        </r>
      </text>
    </comment>
    <comment ref="J62" authorId="0" shapeId="0" xr:uid="{D79C509D-D3E1-468F-B085-843F743FECB3}">
      <text>
        <r>
          <rPr>
            <b/>
            <sz val="9"/>
            <color indexed="81"/>
            <rFont val="Tahoma"/>
            <family val="2"/>
          </rPr>
          <t>Froio, Zach:</t>
        </r>
        <r>
          <rPr>
            <sz val="9"/>
            <color indexed="81"/>
            <rFont val="Tahoma"/>
            <family val="2"/>
          </rPr>
          <t xml:space="preserve">
Added per IL TRM v7 p. 102</t>
        </r>
      </text>
    </comment>
    <comment ref="P98" authorId="0" shapeId="0" xr:uid="{A1FAED2E-F592-41B7-AF48-72FFB1E59E9E}">
      <text>
        <r>
          <rPr>
            <b/>
            <sz val="9"/>
            <color indexed="81"/>
            <rFont val="Tahoma"/>
            <family val="2"/>
          </rPr>
          <t>Froio, Zach:</t>
        </r>
        <r>
          <rPr>
            <sz val="9"/>
            <color indexed="81"/>
            <rFont val="Tahoma"/>
            <family val="2"/>
          </rPr>
          <t xml:space="preserve">
Added per IL TRM v7 p. 102</t>
        </r>
      </text>
    </comment>
    <comment ref="Q98" authorId="0" shapeId="0" xr:uid="{7A0F72C3-7996-4E82-86D4-F771261A7BC6}">
      <text>
        <r>
          <rPr>
            <b/>
            <sz val="9"/>
            <color indexed="81"/>
            <rFont val="Tahoma"/>
            <family val="2"/>
          </rPr>
          <t>Froio, Zach:</t>
        </r>
        <r>
          <rPr>
            <sz val="9"/>
            <color indexed="81"/>
            <rFont val="Tahoma"/>
            <family val="2"/>
          </rPr>
          <t xml:space="preserve">
Added per IL TRM v7 p. 102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44" authorId="0" shapeId="0" xr:uid="{99011128-EA22-4638-A42C-ADAEA9C09D6A}">
      <text>
        <r>
          <rPr>
            <b/>
            <sz val="9"/>
            <color indexed="81"/>
            <rFont val="Tahoma"/>
            <family val="2"/>
          </rPr>
          <t>Froio, Zach:</t>
        </r>
        <r>
          <rPr>
            <sz val="9"/>
            <color indexed="81"/>
            <rFont val="Tahoma"/>
            <family val="2"/>
          </rPr>
          <t xml:space="preserve">
Updated per IL TRM v8 p. 132</t>
        </r>
      </text>
    </comment>
    <comment ref="C46" authorId="0" shapeId="0" xr:uid="{AB84A9B8-FF52-458A-AD52-7A904F79BB2C}">
      <text>
        <r>
          <rPr>
            <b/>
            <sz val="9"/>
            <color indexed="81"/>
            <rFont val="Tahoma"/>
            <family val="2"/>
          </rPr>
          <t>Froio, Zach:</t>
        </r>
        <r>
          <rPr>
            <sz val="9"/>
            <color indexed="81"/>
            <rFont val="Tahoma"/>
            <family val="2"/>
          </rPr>
          <t xml:space="preserve">
Updated per IL TRM v8 p. 135</t>
        </r>
      </text>
    </comment>
    <comment ref="J46" authorId="0" shapeId="0" xr:uid="{23C411AA-ABB8-4BD2-B5F0-1526B66FD5B0}">
      <text>
        <r>
          <rPr>
            <b/>
            <sz val="9"/>
            <color indexed="81"/>
            <rFont val="Tahoma"/>
            <family val="2"/>
          </rPr>
          <t>Froio, Zach:</t>
        </r>
        <r>
          <rPr>
            <sz val="9"/>
            <color indexed="81"/>
            <rFont val="Tahoma"/>
            <family val="2"/>
          </rPr>
          <t xml:space="preserve">
Added per IL TRM v7 p. 102</t>
        </r>
      </text>
    </comment>
    <comment ref="B51" authorId="0" shapeId="0" xr:uid="{577906F2-6AC9-45A4-92B0-5D6D57569AEB}">
      <text>
        <r>
          <rPr>
            <b/>
            <sz val="9"/>
            <color indexed="81"/>
            <rFont val="Tahoma"/>
            <family val="2"/>
          </rPr>
          <t>Froio, Zach:</t>
        </r>
        <r>
          <rPr>
            <sz val="9"/>
            <color indexed="81"/>
            <rFont val="Tahoma"/>
            <family val="2"/>
          </rPr>
          <t xml:space="preserve">
Added per IL TRM v7 p. 102</t>
        </r>
      </text>
    </comment>
    <comment ref="J62" authorId="0" shapeId="0" xr:uid="{8E47B7AC-6B9F-41C1-A0F0-BA4A490D3637}">
      <text>
        <r>
          <rPr>
            <b/>
            <sz val="9"/>
            <color indexed="81"/>
            <rFont val="Tahoma"/>
            <family val="2"/>
          </rPr>
          <t>Froio, Zach:</t>
        </r>
        <r>
          <rPr>
            <sz val="9"/>
            <color indexed="81"/>
            <rFont val="Tahoma"/>
            <family val="2"/>
          </rPr>
          <t xml:space="preserve">
Added per IL TRM v7 p. 102</t>
        </r>
      </text>
    </comment>
    <comment ref="P98" authorId="0" shapeId="0" xr:uid="{48B8869F-03E3-4ECB-A1E7-3C9A97CC5125}">
      <text>
        <r>
          <rPr>
            <b/>
            <sz val="9"/>
            <color indexed="81"/>
            <rFont val="Tahoma"/>
            <family val="2"/>
          </rPr>
          <t>Froio, Zach:</t>
        </r>
        <r>
          <rPr>
            <sz val="9"/>
            <color indexed="81"/>
            <rFont val="Tahoma"/>
            <family val="2"/>
          </rPr>
          <t xml:space="preserve">
Added per IL TRM v7 p. 102</t>
        </r>
      </text>
    </comment>
    <comment ref="Q98" authorId="0" shapeId="0" xr:uid="{BA6B6342-9E56-44FC-BD77-34CE3DC46663}">
      <text>
        <r>
          <rPr>
            <b/>
            <sz val="9"/>
            <color indexed="81"/>
            <rFont val="Tahoma"/>
            <family val="2"/>
          </rPr>
          <t>Froio, Zach:</t>
        </r>
        <r>
          <rPr>
            <sz val="9"/>
            <color indexed="81"/>
            <rFont val="Tahoma"/>
            <family val="2"/>
          </rPr>
          <t xml:space="preserve">
Added per IL TRM v7 p. 102</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7" authorId="0" shapeId="0" xr:uid="{A3F8CE87-0112-4CE1-9770-929873562164}">
      <text>
        <r>
          <rPr>
            <b/>
            <sz val="9"/>
            <color indexed="81"/>
            <rFont val="Tahoma"/>
            <family val="2"/>
          </rPr>
          <t>Froio, Zach:</t>
        </r>
        <r>
          <rPr>
            <sz val="9"/>
            <color indexed="81"/>
            <rFont val="Tahoma"/>
            <family val="2"/>
          </rPr>
          <t xml:space="preserve">
Fixed SUM equation, which did not include entire array (only up to row 92)</t>
        </r>
      </text>
    </comment>
    <comment ref="C8" authorId="0" shapeId="0" xr:uid="{60DCC40D-BD74-495A-887B-A38FC25CBCBF}">
      <text>
        <r>
          <rPr>
            <b/>
            <sz val="9"/>
            <color indexed="81"/>
            <rFont val="Tahoma"/>
            <family val="2"/>
          </rPr>
          <t>Froio, Zach:</t>
        </r>
        <r>
          <rPr>
            <sz val="9"/>
            <color indexed="81"/>
            <rFont val="Tahoma"/>
            <family val="2"/>
          </rPr>
          <t xml:space="preserve">
Fixed SUM equation, which did not include entire array (only up to row 92)</t>
        </r>
      </text>
    </comment>
    <comment ref="C9" authorId="0" shapeId="0" xr:uid="{D5B29C36-6E4E-4900-9611-3520EE93F4DD}">
      <text>
        <r>
          <rPr>
            <b/>
            <sz val="9"/>
            <color indexed="81"/>
            <rFont val="Tahoma"/>
            <family val="2"/>
          </rPr>
          <t>Froio, Zach:</t>
        </r>
        <r>
          <rPr>
            <sz val="9"/>
            <color indexed="81"/>
            <rFont val="Tahoma"/>
            <family val="2"/>
          </rPr>
          <t xml:space="preserve">
Fixed SUM equation, which did not include entire array (only up to row 92)</t>
        </r>
      </text>
    </comment>
    <comment ref="H38" authorId="0" shapeId="0" xr:uid="{BF7138D5-F008-4A56-AD8A-99EA2C0F4CFA}">
      <text>
        <r>
          <rPr>
            <b/>
            <sz val="9"/>
            <color indexed="81"/>
            <rFont val="Tahoma"/>
            <family val="2"/>
          </rPr>
          <t>Froio, Zach:</t>
        </r>
        <r>
          <rPr>
            <sz val="9"/>
            <color indexed="81"/>
            <rFont val="Tahoma"/>
            <family val="2"/>
          </rPr>
          <t xml:space="preserve">
Added per IL TRM v7 p. 118</t>
        </r>
      </text>
    </comment>
    <comment ref="I38" authorId="0" shapeId="0" xr:uid="{6E347BC8-1682-4996-B21B-F63BD7FE2484}">
      <text>
        <r>
          <rPr>
            <b/>
            <sz val="9"/>
            <color indexed="81"/>
            <rFont val="Tahoma"/>
            <family val="2"/>
          </rPr>
          <t>Froio, Zach:</t>
        </r>
        <r>
          <rPr>
            <sz val="9"/>
            <color indexed="81"/>
            <rFont val="Tahoma"/>
            <family val="2"/>
          </rPr>
          <t xml:space="preserve">
Added per IL TRM v7 p. 118</t>
        </r>
      </text>
    </comment>
    <comment ref="K38" authorId="0" shapeId="0" xr:uid="{7DA9250F-8CCF-4929-8C93-BCDAA80A4645}">
      <text>
        <r>
          <rPr>
            <b/>
            <sz val="9"/>
            <color indexed="81"/>
            <rFont val="Tahoma"/>
            <family val="2"/>
          </rPr>
          <t>Froio, Zach:</t>
        </r>
        <r>
          <rPr>
            <sz val="9"/>
            <color indexed="81"/>
            <rFont val="Tahoma"/>
            <family val="2"/>
          </rPr>
          <t xml:space="preserve">
Added per IL TRM v7 p. 118</t>
        </r>
      </text>
    </comment>
    <comment ref="K44" authorId="0" shapeId="0" xr:uid="{62EEF1A9-B368-4628-99A8-EC3A4852703A}">
      <text>
        <r>
          <rPr>
            <b/>
            <sz val="9"/>
            <color indexed="81"/>
            <rFont val="Tahoma"/>
            <family val="2"/>
          </rPr>
          <t>Froio, Zach:</t>
        </r>
        <r>
          <rPr>
            <sz val="9"/>
            <color indexed="81"/>
            <rFont val="Tahoma"/>
            <family val="2"/>
          </rPr>
          <t xml:space="preserve">
Added per IL TRM v7 p. 118</t>
        </r>
      </text>
    </comment>
    <comment ref="K45" authorId="0" shapeId="0" xr:uid="{CF431EEE-E070-4C32-A84C-26AEFD29FAEC}">
      <text>
        <r>
          <rPr>
            <b/>
            <sz val="9"/>
            <color indexed="81"/>
            <rFont val="Tahoma"/>
            <family val="2"/>
          </rPr>
          <t>Froio, Zach:</t>
        </r>
        <r>
          <rPr>
            <sz val="9"/>
            <color indexed="81"/>
            <rFont val="Tahoma"/>
            <family val="2"/>
          </rPr>
          <t xml:space="preserve">
Added per IL TRM v7 p. 118</t>
        </r>
      </text>
    </comment>
    <comment ref="K55" authorId="0" shapeId="0" xr:uid="{738F35EB-47FC-41C5-A166-3FCF8F20D96D}">
      <text>
        <r>
          <rPr>
            <b/>
            <sz val="9"/>
            <color indexed="81"/>
            <rFont val="Tahoma"/>
            <family val="2"/>
          </rPr>
          <t>Froio, Zach:</t>
        </r>
        <r>
          <rPr>
            <sz val="9"/>
            <color indexed="81"/>
            <rFont val="Tahoma"/>
            <family val="2"/>
          </rPr>
          <t xml:space="preserve">
Added per IL TRM v7 p. 118</t>
        </r>
      </text>
    </comment>
    <comment ref="K56" authorId="0" shapeId="0" xr:uid="{AD849EC4-9A65-42FB-BF3C-A8DBD37E9753}">
      <text>
        <r>
          <rPr>
            <b/>
            <sz val="9"/>
            <color indexed="81"/>
            <rFont val="Tahoma"/>
            <family val="2"/>
          </rPr>
          <t>Froio, Zach:</t>
        </r>
        <r>
          <rPr>
            <sz val="9"/>
            <color indexed="81"/>
            <rFont val="Tahoma"/>
            <family val="2"/>
          </rPr>
          <t xml:space="preserve">
Added per IL TRM v7 p. 118</t>
        </r>
      </text>
    </comment>
    <comment ref="I84" authorId="0" shapeId="0" xr:uid="{7C5A2D03-8211-48FF-97BF-C3E176B53DC4}">
      <text>
        <r>
          <rPr>
            <b/>
            <sz val="9"/>
            <color indexed="81"/>
            <rFont val="Tahoma"/>
            <family val="2"/>
          </rPr>
          <t>Froio, Zach:</t>
        </r>
        <r>
          <rPr>
            <sz val="9"/>
            <color indexed="81"/>
            <rFont val="Tahoma"/>
            <family val="2"/>
          </rPr>
          <t xml:space="preserve">
Added per IL TRM v7 p. 118</t>
        </r>
      </text>
    </comment>
    <comment ref="J84" authorId="0" shapeId="0" xr:uid="{22160EC3-3C1E-4FE3-B860-D642CBE4A891}">
      <text>
        <r>
          <rPr>
            <b/>
            <sz val="9"/>
            <color indexed="81"/>
            <rFont val="Tahoma"/>
            <family val="2"/>
          </rPr>
          <t>Froio, Zach:</t>
        </r>
        <r>
          <rPr>
            <sz val="9"/>
            <color indexed="81"/>
            <rFont val="Tahoma"/>
            <family val="2"/>
          </rPr>
          <t xml:space="preserve">
Added per IL TRM v7 p. 118</t>
        </r>
      </text>
    </comment>
    <comment ref="K84" authorId="0" shapeId="0" xr:uid="{282E8E6C-C8DD-424E-B80A-1B67BDB5EFAC}">
      <text>
        <r>
          <rPr>
            <b/>
            <sz val="9"/>
            <color indexed="81"/>
            <rFont val="Tahoma"/>
            <family val="2"/>
          </rPr>
          <t>Froio, Zach:</t>
        </r>
        <r>
          <rPr>
            <sz val="9"/>
            <color indexed="81"/>
            <rFont val="Tahoma"/>
            <family val="2"/>
          </rPr>
          <t xml:space="preserve">
Added per IL TRM v7 p. 118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7" authorId="0" shapeId="0" xr:uid="{DA85A2E5-5F6D-478D-99DD-53BF3B3AA648}">
      <text>
        <r>
          <rPr>
            <b/>
            <sz val="9"/>
            <color indexed="81"/>
            <rFont val="Tahoma"/>
            <family val="2"/>
          </rPr>
          <t>Froio, Zach:</t>
        </r>
        <r>
          <rPr>
            <sz val="9"/>
            <color indexed="81"/>
            <rFont val="Tahoma"/>
            <family val="2"/>
          </rPr>
          <t xml:space="preserve">
Fixed SUM equation, which did not include entire array (only up to row 92)</t>
        </r>
      </text>
    </comment>
    <comment ref="C8" authorId="0" shapeId="0" xr:uid="{F1E32458-2837-4F6C-B0E9-2E7ACDC669BF}">
      <text>
        <r>
          <rPr>
            <b/>
            <sz val="9"/>
            <color indexed="81"/>
            <rFont val="Tahoma"/>
            <family val="2"/>
          </rPr>
          <t>Froio, Zach:</t>
        </r>
        <r>
          <rPr>
            <sz val="9"/>
            <color indexed="81"/>
            <rFont val="Tahoma"/>
            <family val="2"/>
          </rPr>
          <t xml:space="preserve">
Fixed SUM equation, which did not include entire array (only up to row 92)</t>
        </r>
      </text>
    </comment>
    <comment ref="C9" authorId="0" shapeId="0" xr:uid="{4EEC011A-3100-45FE-9BD8-002F7BB1E6E8}">
      <text>
        <r>
          <rPr>
            <b/>
            <sz val="9"/>
            <color indexed="81"/>
            <rFont val="Tahoma"/>
            <family val="2"/>
          </rPr>
          <t>Froio, Zach:</t>
        </r>
        <r>
          <rPr>
            <sz val="9"/>
            <color indexed="81"/>
            <rFont val="Tahoma"/>
            <family val="2"/>
          </rPr>
          <t xml:space="preserve">
Fixed SUM equation, which did not include entire array (only up to row 92)</t>
        </r>
      </text>
    </comment>
    <comment ref="H38" authorId="0" shapeId="0" xr:uid="{884B624C-A868-4417-B5E7-4C2D38A15CEA}">
      <text>
        <r>
          <rPr>
            <b/>
            <sz val="9"/>
            <color indexed="81"/>
            <rFont val="Tahoma"/>
            <family val="2"/>
          </rPr>
          <t>Froio, Zach:</t>
        </r>
        <r>
          <rPr>
            <sz val="9"/>
            <color indexed="81"/>
            <rFont val="Tahoma"/>
            <family val="2"/>
          </rPr>
          <t xml:space="preserve">
Added per IL TRM v7 p. 118</t>
        </r>
      </text>
    </comment>
    <comment ref="I38" authorId="0" shapeId="0" xr:uid="{A07BD2F3-90BE-4197-B504-974FECC691E6}">
      <text>
        <r>
          <rPr>
            <b/>
            <sz val="9"/>
            <color indexed="81"/>
            <rFont val="Tahoma"/>
            <family val="2"/>
          </rPr>
          <t>Froio, Zach:</t>
        </r>
        <r>
          <rPr>
            <sz val="9"/>
            <color indexed="81"/>
            <rFont val="Tahoma"/>
            <family val="2"/>
          </rPr>
          <t xml:space="preserve">
Added per IL TRM v7 p. 118</t>
        </r>
      </text>
    </comment>
    <comment ref="K38" authorId="0" shapeId="0" xr:uid="{59CBD5D9-B29B-4DC6-BE79-7A28C0FB38FF}">
      <text>
        <r>
          <rPr>
            <b/>
            <sz val="9"/>
            <color indexed="81"/>
            <rFont val="Tahoma"/>
            <family val="2"/>
          </rPr>
          <t>Froio, Zach:</t>
        </r>
        <r>
          <rPr>
            <sz val="9"/>
            <color indexed="81"/>
            <rFont val="Tahoma"/>
            <family val="2"/>
          </rPr>
          <t xml:space="preserve">
Added per IL TRM v7 p. 118</t>
        </r>
      </text>
    </comment>
    <comment ref="K44" authorId="0" shapeId="0" xr:uid="{8A460983-B7CA-46FD-837C-6B64FBB0B2AC}">
      <text>
        <r>
          <rPr>
            <b/>
            <sz val="9"/>
            <color indexed="81"/>
            <rFont val="Tahoma"/>
            <family val="2"/>
          </rPr>
          <t>Froio, Zach:</t>
        </r>
        <r>
          <rPr>
            <sz val="9"/>
            <color indexed="81"/>
            <rFont val="Tahoma"/>
            <family val="2"/>
          </rPr>
          <t xml:space="preserve">
Added per IL TRM v7 p. 118</t>
        </r>
      </text>
    </comment>
    <comment ref="K45" authorId="0" shapeId="0" xr:uid="{FC28BFF1-9CA4-4E81-BCA5-40D448EC498E}">
      <text>
        <r>
          <rPr>
            <b/>
            <sz val="9"/>
            <color indexed="81"/>
            <rFont val="Tahoma"/>
            <family val="2"/>
          </rPr>
          <t>Froio, Zach:</t>
        </r>
        <r>
          <rPr>
            <sz val="9"/>
            <color indexed="81"/>
            <rFont val="Tahoma"/>
            <family val="2"/>
          </rPr>
          <t xml:space="preserve">
Added per IL TRM v7 p. 118</t>
        </r>
      </text>
    </comment>
    <comment ref="K55" authorId="0" shapeId="0" xr:uid="{67989FCB-1995-4DA4-8385-043CBA2F2445}">
      <text>
        <r>
          <rPr>
            <b/>
            <sz val="9"/>
            <color indexed="81"/>
            <rFont val="Tahoma"/>
            <family val="2"/>
          </rPr>
          <t>Froio, Zach:</t>
        </r>
        <r>
          <rPr>
            <sz val="9"/>
            <color indexed="81"/>
            <rFont val="Tahoma"/>
            <family val="2"/>
          </rPr>
          <t xml:space="preserve">
Added per IL TRM v7 p. 118</t>
        </r>
      </text>
    </comment>
    <comment ref="K56" authorId="0" shapeId="0" xr:uid="{FE876EFF-C316-4AA2-98DA-8879892B99FA}">
      <text>
        <r>
          <rPr>
            <b/>
            <sz val="9"/>
            <color indexed="81"/>
            <rFont val="Tahoma"/>
            <family val="2"/>
          </rPr>
          <t>Froio, Zach:</t>
        </r>
        <r>
          <rPr>
            <sz val="9"/>
            <color indexed="81"/>
            <rFont val="Tahoma"/>
            <family val="2"/>
          </rPr>
          <t xml:space="preserve">
Added per IL TRM v7 p. 118</t>
        </r>
      </text>
    </comment>
    <comment ref="I84" authorId="0" shapeId="0" xr:uid="{540B7F6A-4738-49B8-8440-1C02D52C93E7}">
      <text>
        <r>
          <rPr>
            <b/>
            <sz val="9"/>
            <color indexed="81"/>
            <rFont val="Tahoma"/>
            <family val="2"/>
          </rPr>
          <t>Froio, Zach:</t>
        </r>
        <r>
          <rPr>
            <sz val="9"/>
            <color indexed="81"/>
            <rFont val="Tahoma"/>
            <family val="2"/>
          </rPr>
          <t xml:space="preserve">
Added per IL TRM v7 p. 118</t>
        </r>
      </text>
    </comment>
    <comment ref="J84" authorId="0" shapeId="0" xr:uid="{CDE4CD4F-FBD5-4549-8D11-1A269407DED0}">
      <text>
        <r>
          <rPr>
            <b/>
            <sz val="9"/>
            <color indexed="81"/>
            <rFont val="Tahoma"/>
            <family val="2"/>
          </rPr>
          <t>Froio, Zach:</t>
        </r>
        <r>
          <rPr>
            <sz val="9"/>
            <color indexed="81"/>
            <rFont val="Tahoma"/>
            <family val="2"/>
          </rPr>
          <t xml:space="preserve">
Added per IL TRM v7 p. 118</t>
        </r>
      </text>
    </comment>
    <comment ref="K84" authorId="0" shapeId="0" xr:uid="{E0A5397E-2CB8-48B2-8932-1681F398434A}">
      <text>
        <r>
          <rPr>
            <b/>
            <sz val="9"/>
            <color indexed="81"/>
            <rFont val="Tahoma"/>
            <family val="2"/>
          </rPr>
          <t>Froio, Zach:</t>
        </r>
        <r>
          <rPr>
            <sz val="9"/>
            <color indexed="81"/>
            <rFont val="Tahoma"/>
            <family val="2"/>
          </rPr>
          <t xml:space="preserve">
Added per IL TRM v7 p. 118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7" authorId="0" shapeId="0" xr:uid="{52C7ECA7-0D48-47A5-B02D-37C45228691D}">
      <text>
        <r>
          <rPr>
            <b/>
            <sz val="9"/>
            <color indexed="81"/>
            <rFont val="Tahoma"/>
            <family val="2"/>
          </rPr>
          <t>Froio, Zach:</t>
        </r>
        <r>
          <rPr>
            <sz val="9"/>
            <color indexed="81"/>
            <rFont val="Tahoma"/>
            <family val="2"/>
          </rPr>
          <t xml:space="preserve">
Fixed SUM equation, which did not include entire array (only up to row 92)</t>
        </r>
      </text>
    </comment>
    <comment ref="C8" authorId="0" shapeId="0" xr:uid="{AF3EBDF6-9E4F-45AB-8493-119B353354BC}">
      <text>
        <r>
          <rPr>
            <b/>
            <sz val="9"/>
            <color indexed="81"/>
            <rFont val="Tahoma"/>
            <family val="2"/>
          </rPr>
          <t>Froio, Zach:</t>
        </r>
        <r>
          <rPr>
            <sz val="9"/>
            <color indexed="81"/>
            <rFont val="Tahoma"/>
            <family val="2"/>
          </rPr>
          <t xml:space="preserve">
Fixed SUM equation, which did not include entire array (only up to row 92)</t>
        </r>
      </text>
    </comment>
    <comment ref="C9" authorId="0" shapeId="0" xr:uid="{7BA40AA7-106B-4EB1-B231-50916707A4B5}">
      <text>
        <r>
          <rPr>
            <b/>
            <sz val="9"/>
            <color indexed="81"/>
            <rFont val="Tahoma"/>
            <family val="2"/>
          </rPr>
          <t>Froio, Zach:</t>
        </r>
        <r>
          <rPr>
            <sz val="9"/>
            <color indexed="81"/>
            <rFont val="Tahoma"/>
            <family val="2"/>
          </rPr>
          <t xml:space="preserve">
Fixed SUM equation, which did not include entire array (only up to row 92)</t>
        </r>
      </text>
    </comment>
    <comment ref="H38" authorId="0" shapeId="0" xr:uid="{575F2B29-40A7-41E5-B610-E6937DD63251}">
      <text>
        <r>
          <rPr>
            <b/>
            <sz val="9"/>
            <color indexed="81"/>
            <rFont val="Tahoma"/>
            <family val="2"/>
          </rPr>
          <t>Froio, Zach:</t>
        </r>
        <r>
          <rPr>
            <sz val="9"/>
            <color indexed="81"/>
            <rFont val="Tahoma"/>
            <family val="2"/>
          </rPr>
          <t xml:space="preserve">
Added per IL TRM v7 p. 118</t>
        </r>
      </text>
    </comment>
    <comment ref="I38" authorId="0" shapeId="0" xr:uid="{0DD2C4C4-CBBC-4224-ACCF-FC008A87A8C1}">
      <text>
        <r>
          <rPr>
            <b/>
            <sz val="9"/>
            <color indexed="81"/>
            <rFont val="Tahoma"/>
            <family val="2"/>
          </rPr>
          <t>Froio, Zach:</t>
        </r>
        <r>
          <rPr>
            <sz val="9"/>
            <color indexed="81"/>
            <rFont val="Tahoma"/>
            <family val="2"/>
          </rPr>
          <t xml:space="preserve">
Added per IL TRM v7 p. 118</t>
        </r>
      </text>
    </comment>
    <comment ref="K38" authorId="0" shapeId="0" xr:uid="{C28B9297-F954-4AFE-B766-86CFC59EC02F}">
      <text>
        <r>
          <rPr>
            <b/>
            <sz val="9"/>
            <color indexed="81"/>
            <rFont val="Tahoma"/>
            <family val="2"/>
          </rPr>
          <t>Froio, Zach:</t>
        </r>
        <r>
          <rPr>
            <sz val="9"/>
            <color indexed="81"/>
            <rFont val="Tahoma"/>
            <family val="2"/>
          </rPr>
          <t xml:space="preserve">
Added per IL TRM v7 p. 118</t>
        </r>
      </text>
    </comment>
    <comment ref="K44" authorId="0" shapeId="0" xr:uid="{5A89E27A-1687-4C1C-A485-274722CF58CB}">
      <text>
        <r>
          <rPr>
            <b/>
            <sz val="9"/>
            <color indexed="81"/>
            <rFont val="Tahoma"/>
            <family val="2"/>
          </rPr>
          <t>Froio, Zach:</t>
        </r>
        <r>
          <rPr>
            <sz val="9"/>
            <color indexed="81"/>
            <rFont val="Tahoma"/>
            <family val="2"/>
          </rPr>
          <t xml:space="preserve">
Added per IL TRM v7 p. 118</t>
        </r>
      </text>
    </comment>
    <comment ref="K45" authorId="0" shapeId="0" xr:uid="{7A1D99B2-EC01-48E1-95E8-ACE87050B621}">
      <text>
        <r>
          <rPr>
            <b/>
            <sz val="9"/>
            <color indexed="81"/>
            <rFont val="Tahoma"/>
            <family val="2"/>
          </rPr>
          <t>Froio, Zach:</t>
        </r>
        <r>
          <rPr>
            <sz val="9"/>
            <color indexed="81"/>
            <rFont val="Tahoma"/>
            <family val="2"/>
          </rPr>
          <t xml:space="preserve">
Added per IL TRM v7 p. 118</t>
        </r>
      </text>
    </comment>
    <comment ref="K55" authorId="0" shapeId="0" xr:uid="{40B43848-2C99-440F-AC4A-7645FCB5B1E6}">
      <text>
        <r>
          <rPr>
            <b/>
            <sz val="9"/>
            <color indexed="81"/>
            <rFont val="Tahoma"/>
            <family val="2"/>
          </rPr>
          <t>Froio, Zach:</t>
        </r>
        <r>
          <rPr>
            <sz val="9"/>
            <color indexed="81"/>
            <rFont val="Tahoma"/>
            <family val="2"/>
          </rPr>
          <t xml:space="preserve">
Added per IL TRM v7 p. 118</t>
        </r>
      </text>
    </comment>
    <comment ref="K56" authorId="0" shapeId="0" xr:uid="{758265F6-B02E-4429-89E4-19B0FF31B432}">
      <text>
        <r>
          <rPr>
            <b/>
            <sz val="9"/>
            <color indexed="81"/>
            <rFont val="Tahoma"/>
            <family val="2"/>
          </rPr>
          <t>Froio, Zach:</t>
        </r>
        <r>
          <rPr>
            <sz val="9"/>
            <color indexed="81"/>
            <rFont val="Tahoma"/>
            <family val="2"/>
          </rPr>
          <t xml:space="preserve">
Added per IL TRM v7 p. 118</t>
        </r>
      </text>
    </comment>
    <comment ref="I84" authorId="0" shapeId="0" xr:uid="{5078CBE5-549D-435D-97E3-AAD8042C3B5F}">
      <text>
        <r>
          <rPr>
            <b/>
            <sz val="9"/>
            <color indexed="81"/>
            <rFont val="Tahoma"/>
            <family val="2"/>
          </rPr>
          <t>Froio, Zach:</t>
        </r>
        <r>
          <rPr>
            <sz val="9"/>
            <color indexed="81"/>
            <rFont val="Tahoma"/>
            <family val="2"/>
          </rPr>
          <t xml:space="preserve">
Added per IL TRM v7 p. 118</t>
        </r>
      </text>
    </comment>
    <comment ref="J84" authorId="0" shapeId="0" xr:uid="{4CC8ADC8-1254-4355-A695-1025E1424920}">
      <text>
        <r>
          <rPr>
            <b/>
            <sz val="9"/>
            <color indexed="81"/>
            <rFont val="Tahoma"/>
            <family val="2"/>
          </rPr>
          <t>Froio, Zach:</t>
        </r>
        <r>
          <rPr>
            <sz val="9"/>
            <color indexed="81"/>
            <rFont val="Tahoma"/>
            <family val="2"/>
          </rPr>
          <t xml:space="preserve">
Added per IL TRM v7 p. 118</t>
        </r>
      </text>
    </comment>
    <comment ref="K84" authorId="0" shapeId="0" xr:uid="{1C4EB1DA-0CAE-4596-A5F9-8F7B96BC1238}">
      <text>
        <r>
          <rPr>
            <b/>
            <sz val="9"/>
            <color indexed="81"/>
            <rFont val="Tahoma"/>
            <family val="2"/>
          </rPr>
          <t>Froio, Zach:</t>
        </r>
        <r>
          <rPr>
            <sz val="9"/>
            <color indexed="81"/>
            <rFont val="Tahoma"/>
            <family val="2"/>
          </rPr>
          <t xml:space="preserve">
Added per IL TRM v7 p. 118</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B34B2EF1-4FF1-4B1C-BE47-1A33C47074CB}">
      <text>
        <r>
          <rPr>
            <b/>
            <sz val="9"/>
            <color indexed="81"/>
            <rFont val="Tahoma"/>
            <family val="2"/>
          </rPr>
          <t>Froio, Zach:</t>
        </r>
        <r>
          <rPr>
            <sz val="9"/>
            <color indexed="81"/>
            <rFont val="Tahoma"/>
            <family val="2"/>
          </rPr>
          <t xml:space="preserve">
Updated per IL TRM v7</t>
        </r>
      </text>
    </comment>
    <comment ref="B49" authorId="0" shapeId="0" xr:uid="{DC6FE7AB-B468-48F4-9EFB-27911A6FD12E}">
      <text>
        <r>
          <rPr>
            <b/>
            <sz val="9"/>
            <color indexed="81"/>
            <rFont val="Tahoma"/>
            <family val="2"/>
          </rPr>
          <t>Froio, Zach:</t>
        </r>
        <r>
          <rPr>
            <sz val="9"/>
            <color indexed="81"/>
            <rFont val="Tahoma"/>
            <family val="2"/>
          </rPr>
          <t xml:space="preserve">
Added per IL TRM v7 p. 96</t>
        </r>
      </text>
    </comment>
    <comment ref="J49" authorId="0" shapeId="0" xr:uid="{3B8117FD-B538-44BD-9DFD-BB7D10D9F97B}">
      <text>
        <r>
          <rPr>
            <b/>
            <sz val="9"/>
            <color indexed="81"/>
            <rFont val="Tahoma"/>
            <family val="2"/>
          </rPr>
          <t>Froio, Zach:</t>
        </r>
        <r>
          <rPr>
            <sz val="9"/>
            <color indexed="81"/>
            <rFont val="Tahoma"/>
            <family val="2"/>
          </rPr>
          <t xml:space="preserve">
Added per IL TRM v7 p. 96</t>
        </r>
      </text>
    </comment>
    <comment ref="J65" authorId="0" shapeId="0" xr:uid="{96B77530-8729-4CF1-B3D6-97FE7B6928E7}">
      <text>
        <r>
          <rPr>
            <b/>
            <sz val="9"/>
            <color indexed="81"/>
            <rFont val="Tahoma"/>
            <family val="2"/>
          </rPr>
          <t>Froio, Zach:</t>
        </r>
        <r>
          <rPr>
            <sz val="9"/>
            <color indexed="81"/>
            <rFont val="Tahoma"/>
            <family val="2"/>
          </rPr>
          <t xml:space="preserve">
Added per IL TRM v7 p. 96</t>
        </r>
      </text>
    </comment>
    <comment ref="N101" authorId="0" shapeId="0" xr:uid="{24EB9A59-BBE9-4399-9D09-B8CAEB67540C}">
      <text>
        <r>
          <rPr>
            <b/>
            <sz val="9"/>
            <color indexed="81"/>
            <rFont val="Tahoma"/>
            <family val="2"/>
          </rPr>
          <t>Froio, Zach:</t>
        </r>
        <r>
          <rPr>
            <sz val="9"/>
            <color indexed="81"/>
            <rFont val="Tahoma"/>
            <family val="2"/>
          </rPr>
          <t xml:space="preserve">
Includes kWh_water savings</t>
        </r>
      </text>
    </comment>
    <comment ref="O101" authorId="0" shapeId="0" xr:uid="{8A57C143-72CB-4038-A472-8A10F28324B2}">
      <text>
        <r>
          <rPr>
            <b/>
            <sz val="9"/>
            <color indexed="81"/>
            <rFont val="Tahoma"/>
            <family val="2"/>
          </rPr>
          <t>Froio, Zach:</t>
        </r>
        <r>
          <rPr>
            <sz val="9"/>
            <color indexed="81"/>
            <rFont val="Tahoma"/>
            <family val="2"/>
          </rPr>
          <t xml:space="preserve">
per IL TRM v7 p. 96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8BC568B5-F934-4DFB-9641-93E8BDD39B25}">
      <text>
        <r>
          <rPr>
            <b/>
            <sz val="9"/>
            <color indexed="81"/>
            <rFont val="Tahoma"/>
            <family val="2"/>
          </rPr>
          <t>Froio, Zach:</t>
        </r>
        <r>
          <rPr>
            <sz val="9"/>
            <color indexed="81"/>
            <rFont val="Tahoma"/>
            <family val="2"/>
          </rPr>
          <t xml:space="preserve">
Updated per IL TRM v7</t>
        </r>
      </text>
    </comment>
    <comment ref="B49" authorId="0" shapeId="0" xr:uid="{CE3B5944-01A1-4FDD-A69E-6E2790FFAC2A}">
      <text>
        <r>
          <rPr>
            <b/>
            <sz val="9"/>
            <color indexed="81"/>
            <rFont val="Tahoma"/>
            <family val="2"/>
          </rPr>
          <t>Froio, Zach:</t>
        </r>
        <r>
          <rPr>
            <sz val="9"/>
            <color indexed="81"/>
            <rFont val="Tahoma"/>
            <family val="2"/>
          </rPr>
          <t xml:space="preserve">
Added per IL TRM v7 p. 96</t>
        </r>
      </text>
    </comment>
    <comment ref="J49" authorId="0" shapeId="0" xr:uid="{4CC4D2E2-F72A-4555-AFF9-63476A8CDC0F}">
      <text>
        <r>
          <rPr>
            <b/>
            <sz val="9"/>
            <color indexed="81"/>
            <rFont val="Tahoma"/>
            <family val="2"/>
          </rPr>
          <t>Froio, Zach:</t>
        </r>
        <r>
          <rPr>
            <sz val="9"/>
            <color indexed="81"/>
            <rFont val="Tahoma"/>
            <family val="2"/>
          </rPr>
          <t xml:space="preserve">
Added per IL TRM v7 p. 96</t>
        </r>
      </text>
    </comment>
    <comment ref="J65" authorId="0" shapeId="0" xr:uid="{2295D991-233D-4F80-B5EE-9DD7BCB588AA}">
      <text>
        <r>
          <rPr>
            <b/>
            <sz val="9"/>
            <color indexed="81"/>
            <rFont val="Tahoma"/>
            <family val="2"/>
          </rPr>
          <t>Froio, Zach:</t>
        </r>
        <r>
          <rPr>
            <sz val="9"/>
            <color indexed="81"/>
            <rFont val="Tahoma"/>
            <family val="2"/>
          </rPr>
          <t xml:space="preserve">
Added per IL TRM v7 p. 96</t>
        </r>
      </text>
    </comment>
    <comment ref="N101" authorId="0" shapeId="0" xr:uid="{10CAF8AA-6B0C-42FD-AB9B-EE13C2E4C4CA}">
      <text>
        <r>
          <rPr>
            <b/>
            <sz val="9"/>
            <color indexed="81"/>
            <rFont val="Tahoma"/>
            <family val="2"/>
          </rPr>
          <t>Froio, Zach:</t>
        </r>
        <r>
          <rPr>
            <sz val="9"/>
            <color indexed="81"/>
            <rFont val="Tahoma"/>
            <family val="2"/>
          </rPr>
          <t xml:space="preserve">
Includes kWh_water savings</t>
        </r>
      </text>
    </comment>
    <comment ref="O101" authorId="0" shapeId="0" xr:uid="{E8051F03-7655-4EC4-BDA3-D7A25DCE4FB4}">
      <text>
        <r>
          <rPr>
            <b/>
            <sz val="9"/>
            <color indexed="81"/>
            <rFont val="Tahoma"/>
            <family val="2"/>
          </rPr>
          <t>Froio, Zach:</t>
        </r>
        <r>
          <rPr>
            <sz val="9"/>
            <color indexed="81"/>
            <rFont val="Tahoma"/>
            <family val="2"/>
          </rPr>
          <t xml:space="preserve">
per IL TRM v7 p. 96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555A03BB-CD91-4DE2-B216-39125B151E12}">
      <text>
        <r>
          <rPr>
            <b/>
            <sz val="9"/>
            <color indexed="81"/>
            <rFont val="Tahoma"/>
            <family val="2"/>
          </rPr>
          <t>Froio, Zach:</t>
        </r>
        <r>
          <rPr>
            <sz val="9"/>
            <color indexed="81"/>
            <rFont val="Tahoma"/>
            <family val="2"/>
          </rPr>
          <t xml:space="preserve">
Updated per IL TRM v7</t>
        </r>
      </text>
    </comment>
    <comment ref="B49" authorId="0" shapeId="0" xr:uid="{4F27EEE3-5601-40D9-B6D4-3A83A48508CD}">
      <text>
        <r>
          <rPr>
            <b/>
            <sz val="9"/>
            <color indexed="81"/>
            <rFont val="Tahoma"/>
            <family val="2"/>
          </rPr>
          <t>Froio, Zach:</t>
        </r>
        <r>
          <rPr>
            <sz val="9"/>
            <color indexed="81"/>
            <rFont val="Tahoma"/>
            <family val="2"/>
          </rPr>
          <t xml:space="preserve">
Added per IL TRM v7 p. 96</t>
        </r>
      </text>
    </comment>
    <comment ref="J49" authorId="0" shapeId="0" xr:uid="{9580BDD2-8DD5-473F-8F96-F1CDE9FF18ED}">
      <text>
        <r>
          <rPr>
            <b/>
            <sz val="9"/>
            <color indexed="81"/>
            <rFont val="Tahoma"/>
            <family val="2"/>
          </rPr>
          <t>Froio, Zach:</t>
        </r>
        <r>
          <rPr>
            <sz val="9"/>
            <color indexed="81"/>
            <rFont val="Tahoma"/>
            <family val="2"/>
          </rPr>
          <t xml:space="preserve">
Added per IL TRM v7 p. 96</t>
        </r>
      </text>
    </comment>
    <comment ref="J65" authorId="0" shapeId="0" xr:uid="{CC59365B-8D8A-4351-8428-B9C0FD7A9803}">
      <text>
        <r>
          <rPr>
            <b/>
            <sz val="9"/>
            <color indexed="81"/>
            <rFont val="Tahoma"/>
            <family val="2"/>
          </rPr>
          <t>Froio, Zach:</t>
        </r>
        <r>
          <rPr>
            <sz val="9"/>
            <color indexed="81"/>
            <rFont val="Tahoma"/>
            <family val="2"/>
          </rPr>
          <t xml:space="preserve">
Added per IL TRM v7 p. 96</t>
        </r>
      </text>
    </comment>
    <comment ref="N101" authorId="0" shapeId="0" xr:uid="{2A69B980-4DA5-4644-AA14-546E8C7B6B53}">
      <text>
        <r>
          <rPr>
            <b/>
            <sz val="9"/>
            <color indexed="81"/>
            <rFont val="Tahoma"/>
            <family val="2"/>
          </rPr>
          <t>Froio, Zach:</t>
        </r>
        <r>
          <rPr>
            <sz val="9"/>
            <color indexed="81"/>
            <rFont val="Tahoma"/>
            <family val="2"/>
          </rPr>
          <t xml:space="preserve">
Includes kWh_water savings</t>
        </r>
      </text>
    </comment>
    <comment ref="O101" authorId="0" shapeId="0" xr:uid="{40FA3E68-6A3D-4744-BBA1-77D768DA1D7F}">
      <text>
        <r>
          <rPr>
            <b/>
            <sz val="9"/>
            <color indexed="81"/>
            <rFont val="Tahoma"/>
            <family val="2"/>
          </rPr>
          <t>Froio, Zach:</t>
        </r>
        <r>
          <rPr>
            <sz val="9"/>
            <color indexed="81"/>
            <rFont val="Tahoma"/>
            <family val="2"/>
          </rPr>
          <t xml:space="preserve">
per IL TRM v7 p. 96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AD350C3F-5CE3-435B-9BB2-378358576F8A}">
      <text>
        <r>
          <rPr>
            <b/>
            <sz val="9"/>
            <color indexed="81"/>
            <rFont val="Tahoma"/>
            <family val="2"/>
          </rPr>
          <t>Froio, Zach:</t>
        </r>
        <r>
          <rPr>
            <sz val="9"/>
            <color indexed="81"/>
            <rFont val="Tahoma"/>
            <family val="2"/>
          </rPr>
          <t xml:space="preserve">
Updated per IL TRM v7</t>
        </r>
      </text>
    </comment>
    <comment ref="B49" authorId="0" shapeId="0" xr:uid="{C01AA6DE-E555-4A3A-889F-04E1B20B46E8}">
      <text>
        <r>
          <rPr>
            <b/>
            <sz val="9"/>
            <color indexed="81"/>
            <rFont val="Tahoma"/>
            <family val="2"/>
          </rPr>
          <t>Froio, Zach:</t>
        </r>
        <r>
          <rPr>
            <sz val="9"/>
            <color indexed="81"/>
            <rFont val="Tahoma"/>
            <family val="2"/>
          </rPr>
          <t xml:space="preserve">
Added per IL TRM v7 p. 96</t>
        </r>
      </text>
    </comment>
    <comment ref="J49" authorId="0" shapeId="0" xr:uid="{2B710C18-7FBF-41B0-B73F-33D4D9059AD1}">
      <text>
        <r>
          <rPr>
            <b/>
            <sz val="9"/>
            <color indexed="81"/>
            <rFont val="Tahoma"/>
            <family val="2"/>
          </rPr>
          <t>Froio, Zach:</t>
        </r>
        <r>
          <rPr>
            <sz val="9"/>
            <color indexed="81"/>
            <rFont val="Tahoma"/>
            <family val="2"/>
          </rPr>
          <t xml:space="preserve">
Added per IL TRM v7 p. 96</t>
        </r>
      </text>
    </comment>
    <comment ref="J65" authorId="0" shapeId="0" xr:uid="{C70CB571-BDAE-4C38-B666-1567BE8A09D0}">
      <text>
        <r>
          <rPr>
            <b/>
            <sz val="9"/>
            <color indexed="81"/>
            <rFont val="Tahoma"/>
            <family val="2"/>
          </rPr>
          <t>Froio, Zach:</t>
        </r>
        <r>
          <rPr>
            <sz val="9"/>
            <color indexed="81"/>
            <rFont val="Tahoma"/>
            <family val="2"/>
          </rPr>
          <t xml:space="preserve">
Added per IL TRM v7 p. 96</t>
        </r>
      </text>
    </comment>
    <comment ref="N101" authorId="0" shapeId="0" xr:uid="{780FB670-9DC2-45D5-88E5-1249457FEFC1}">
      <text>
        <r>
          <rPr>
            <b/>
            <sz val="9"/>
            <color indexed="81"/>
            <rFont val="Tahoma"/>
            <family val="2"/>
          </rPr>
          <t>Froio, Zach:</t>
        </r>
        <r>
          <rPr>
            <sz val="9"/>
            <color indexed="81"/>
            <rFont val="Tahoma"/>
            <family val="2"/>
          </rPr>
          <t xml:space="preserve">
Includes kWh_water savings</t>
        </r>
      </text>
    </comment>
    <comment ref="O101" authorId="0" shapeId="0" xr:uid="{0CF44272-00AD-4F8E-BC3A-A2A55E25515B}">
      <text>
        <r>
          <rPr>
            <b/>
            <sz val="9"/>
            <color indexed="81"/>
            <rFont val="Tahoma"/>
            <family val="2"/>
          </rPr>
          <t>Froio, Zach:</t>
        </r>
        <r>
          <rPr>
            <sz val="9"/>
            <color indexed="81"/>
            <rFont val="Tahoma"/>
            <family val="2"/>
          </rPr>
          <t xml:space="preserve">
per IL TRM v7 p. 96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6E643CD8-5A03-4B4A-991E-B90B8387C056}">
      <text>
        <r>
          <rPr>
            <b/>
            <sz val="9"/>
            <color indexed="81"/>
            <rFont val="Tahoma"/>
            <family val="2"/>
          </rPr>
          <t>Froio, Zach:</t>
        </r>
        <r>
          <rPr>
            <sz val="9"/>
            <color indexed="81"/>
            <rFont val="Tahoma"/>
            <family val="2"/>
          </rPr>
          <t xml:space="preserve">
Updated per IL TRM v7</t>
        </r>
      </text>
    </comment>
    <comment ref="B49" authorId="0" shapeId="0" xr:uid="{94646FCD-18D5-4BF5-8110-8E4A22461ADD}">
      <text>
        <r>
          <rPr>
            <b/>
            <sz val="9"/>
            <color indexed="81"/>
            <rFont val="Tahoma"/>
            <family val="2"/>
          </rPr>
          <t>Froio, Zach:</t>
        </r>
        <r>
          <rPr>
            <sz val="9"/>
            <color indexed="81"/>
            <rFont val="Tahoma"/>
            <family val="2"/>
          </rPr>
          <t xml:space="preserve">
Added per IL TRM v7 p. 96</t>
        </r>
      </text>
    </comment>
    <comment ref="J49" authorId="0" shapeId="0" xr:uid="{4E8971FC-866B-40AC-9958-2EF4533C2409}">
      <text>
        <r>
          <rPr>
            <b/>
            <sz val="9"/>
            <color indexed="81"/>
            <rFont val="Tahoma"/>
            <family val="2"/>
          </rPr>
          <t>Froio, Zach:</t>
        </r>
        <r>
          <rPr>
            <sz val="9"/>
            <color indexed="81"/>
            <rFont val="Tahoma"/>
            <family val="2"/>
          </rPr>
          <t xml:space="preserve">
Added per IL TRM v7 p. 96</t>
        </r>
      </text>
    </comment>
    <comment ref="J65" authorId="0" shapeId="0" xr:uid="{3B39D3D3-F7C8-4D08-9FF4-D2D6B28B6528}">
      <text>
        <r>
          <rPr>
            <b/>
            <sz val="9"/>
            <color indexed="81"/>
            <rFont val="Tahoma"/>
            <family val="2"/>
          </rPr>
          <t>Froio, Zach:</t>
        </r>
        <r>
          <rPr>
            <sz val="9"/>
            <color indexed="81"/>
            <rFont val="Tahoma"/>
            <family val="2"/>
          </rPr>
          <t xml:space="preserve">
Added per IL TRM v7 p. 96</t>
        </r>
      </text>
    </comment>
    <comment ref="N101" authorId="0" shapeId="0" xr:uid="{2E21753F-32A1-43EF-8E06-43E9306814D2}">
      <text>
        <r>
          <rPr>
            <b/>
            <sz val="9"/>
            <color indexed="81"/>
            <rFont val="Tahoma"/>
            <family val="2"/>
          </rPr>
          <t>Froio, Zach:</t>
        </r>
        <r>
          <rPr>
            <sz val="9"/>
            <color indexed="81"/>
            <rFont val="Tahoma"/>
            <family val="2"/>
          </rPr>
          <t xml:space="preserve">
Includes kWh_water savings</t>
        </r>
      </text>
    </comment>
    <comment ref="O101" authorId="0" shapeId="0" xr:uid="{450090A5-0521-4FCE-A371-B09809AFDC7A}">
      <text>
        <r>
          <rPr>
            <b/>
            <sz val="9"/>
            <color indexed="81"/>
            <rFont val="Tahoma"/>
            <family val="2"/>
          </rPr>
          <t>Froio, Zach:</t>
        </r>
        <r>
          <rPr>
            <sz val="9"/>
            <color indexed="81"/>
            <rFont val="Tahoma"/>
            <family val="2"/>
          </rPr>
          <t xml:space="preserve">
per IL TRM v7 p. 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C1" authorId="0" shapeId="0" xr:uid="{00000000-0006-0000-03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C2" authorId="0" shapeId="0" xr:uid="{00000000-0006-0000-0300-000002000000}">
      <text>
        <r>
          <rPr>
            <sz val="9"/>
            <color indexed="81"/>
            <rFont val="Tahoma"/>
            <family val="2"/>
          </rPr>
          <t xml:space="preserve">Please specify the current date in this cell and in the filename when saving the document.
</t>
        </r>
      </text>
    </comment>
    <comment ref="C3" authorId="0" shapeId="0" xr:uid="{00000000-0006-0000-0300-000003000000}">
      <text>
        <r>
          <rPr>
            <sz val="9"/>
            <color indexed="81"/>
            <rFont val="Tahoma"/>
            <family val="2"/>
          </rPr>
          <t xml:space="preserve">Please specify the name of the Program Administrator.
</t>
        </r>
      </text>
    </comment>
    <comment ref="AG4" authorId="1" shapeId="0" xr:uid="{00000000-0006-0000-03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3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3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C6" authorId="0" shapeId="0" xr:uid="{00000000-0006-0000-03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D6" authorId="0" shapeId="0" xr:uid="{00000000-0006-0000-03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E6" authorId="0" shapeId="0" xr:uid="{00000000-0006-0000-03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F6" authorId="0" shapeId="0" xr:uid="{00000000-0006-0000-03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3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3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3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3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3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3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3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3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3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3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3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3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3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3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3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3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3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3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3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3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3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3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3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3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3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3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3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3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3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3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3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3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3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3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3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3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3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3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3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3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3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3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3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3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3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3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3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3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3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3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3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3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3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3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3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C227" authorId="0" shapeId="0" xr:uid="{00000000-0006-0000-03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227" authorId="0" shapeId="0" xr:uid="{00000000-0006-0000-03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227" authorId="0" shapeId="0" xr:uid="{00000000-0006-0000-03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227" authorId="0" shapeId="0" xr:uid="{00000000-0006-0000-03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227" authorId="0" shapeId="0" xr:uid="{00000000-0006-0000-03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227" authorId="0" shapeId="0" xr:uid="{00000000-0006-0000-03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227" authorId="0" shapeId="0" xr:uid="{00000000-0006-0000-0300-000048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227" authorId="0" shapeId="0" xr:uid="{00000000-0006-0000-0300-000049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227" authorId="0" shapeId="0" xr:uid="{00000000-0006-0000-0300-00004A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227" authorId="0" shapeId="0" xr:uid="{00000000-0006-0000-0300-00004B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227" authorId="0" shapeId="0" xr:uid="{00000000-0006-0000-0300-00004C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7C236319-2867-4C20-87F3-8C4F1A7FA9AD}">
      <text>
        <r>
          <rPr>
            <b/>
            <sz val="9"/>
            <color indexed="81"/>
            <rFont val="Tahoma"/>
            <family val="2"/>
          </rPr>
          <t>Froio, Zach:</t>
        </r>
        <r>
          <rPr>
            <sz val="9"/>
            <color indexed="81"/>
            <rFont val="Tahoma"/>
            <family val="2"/>
          </rPr>
          <t xml:space="preserve">
Updated per IL TRM v7</t>
        </r>
      </text>
    </comment>
    <comment ref="B49" authorId="0" shapeId="0" xr:uid="{32206F2F-40E5-43C2-B87A-03C7D88A4EE3}">
      <text>
        <r>
          <rPr>
            <b/>
            <sz val="9"/>
            <color indexed="81"/>
            <rFont val="Tahoma"/>
            <family val="2"/>
          </rPr>
          <t>Froio, Zach:</t>
        </r>
        <r>
          <rPr>
            <sz val="9"/>
            <color indexed="81"/>
            <rFont val="Tahoma"/>
            <family val="2"/>
          </rPr>
          <t xml:space="preserve">
Added per IL TRM v7 p. 96</t>
        </r>
      </text>
    </comment>
    <comment ref="J49" authorId="0" shapeId="0" xr:uid="{2575F490-734E-45DE-9008-4A6136ABA355}">
      <text>
        <r>
          <rPr>
            <b/>
            <sz val="9"/>
            <color indexed="81"/>
            <rFont val="Tahoma"/>
            <family val="2"/>
          </rPr>
          <t>Froio, Zach:</t>
        </r>
        <r>
          <rPr>
            <sz val="9"/>
            <color indexed="81"/>
            <rFont val="Tahoma"/>
            <family val="2"/>
          </rPr>
          <t xml:space="preserve">
Added per IL TRM v7 p. 96</t>
        </r>
      </text>
    </comment>
    <comment ref="J65" authorId="0" shapeId="0" xr:uid="{EBD15BD3-E76F-4204-B7FE-5EDC85D4AF0B}">
      <text>
        <r>
          <rPr>
            <b/>
            <sz val="9"/>
            <color indexed="81"/>
            <rFont val="Tahoma"/>
            <family val="2"/>
          </rPr>
          <t>Froio, Zach:</t>
        </r>
        <r>
          <rPr>
            <sz val="9"/>
            <color indexed="81"/>
            <rFont val="Tahoma"/>
            <family val="2"/>
          </rPr>
          <t xml:space="preserve">
Added per IL TRM v7 p. 96</t>
        </r>
      </text>
    </comment>
    <comment ref="N101" authorId="0" shapeId="0" xr:uid="{0D85D180-F6E6-4C11-9026-BB1D432AD027}">
      <text>
        <r>
          <rPr>
            <b/>
            <sz val="9"/>
            <color indexed="81"/>
            <rFont val="Tahoma"/>
            <family val="2"/>
          </rPr>
          <t>Froio, Zach:</t>
        </r>
        <r>
          <rPr>
            <sz val="9"/>
            <color indexed="81"/>
            <rFont val="Tahoma"/>
            <family val="2"/>
          </rPr>
          <t xml:space="preserve">
Includes kWh_water savings</t>
        </r>
      </text>
    </comment>
    <comment ref="O101" authorId="0" shapeId="0" xr:uid="{2FD98D5E-3356-4C2D-A673-9C1A8EECC639}">
      <text>
        <r>
          <rPr>
            <b/>
            <sz val="9"/>
            <color indexed="81"/>
            <rFont val="Tahoma"/>
            <family val="2"/>
          </rPr>
          <t>Froio, Zach:</t>
        </r>
        <r>
          <rPr>
            <sz val="9"/>
            <color indexed="81"/>
            <rFont val="Tahoma"/>
            <family val="2"/>
          </rPr>
          <t xml:space="preserve">
per IL TRM v7 p. 96</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9C2E739D-1405-46C4-938F-5F14E2B2E8FD}">
      <text>
        <r>
          <rPr>
            <b/>
            <sz val="9"/>
            <color indexed="81"/>
            <rFont val="Tahoma"/>
            <family val="2"/>
          </rPr>
          <t>Froio, Zach:</t>
        </r>
        <r>
          <rPr>
            <sz val="9"/>
            <color indexed="81"/>
            <rFont val="Tahoma"/>
            <family val="2"/>
          </rPr>
          <t xml:space="preserve">
Updated per IL TRM v7</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17767EBC-5017-45E0-8391-3777F00F1426}">
      <text>
        <r>
          <rPr>
            <b/>
            <sz val="9"/>
            <color indexed="81"/>
            <rFont val="Tahoma"/>
            <family val="2"/>
          </rPr>
          <t>Froio, Zach:</t>
        </r>
        <r>
          <rPr>
            <sz val="9"/>
            <color indexed="81"/>
            <rFont val="Tahoma"/>
            <family val="2"/>
          </rPr>
          <t xml:space="preserve">
Updated per IL TRM v7</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Froio, Zach</author>
    <author>tc={F095F268-B743-4096-BFC9-A0FCB1E9A7C7}</author>
    <author>tc={5CEA8B82-DCAE-445B-A6CD-D3C512AD85C8}</author>
    <author>tc={53AE3791-0DD1-47FB-A4A0-1C9E12E3F3FA}</author>
    <author>tc={B2D8BE6E-541B-4876-881C-6BD5EF56ACF3}</author>
    <author>tc={39232EF8-9EA6-42A8-8B82-2960FF3B30F3}</author>
    <author>tc={25AF2436-7CEA-4650-8F6C-51A50EDE832F}</author>
    <author>tc={57DE27A6-A686-46CA-A501-7B38BA35E6D7}</author>
    <author>tc={40D6AEA1-9DB9-436D-A26B-8B711BCC54E3}</author>
    <author>tc={388C175E-49C5-4E60-9EF3-98CA37C5E784}</author>
    <author>tc={41CA2515-8B09-4BA9-819E-4E78F940DD7C}</author>
    <author>tc={93063B48-E5DC-4038-AF19-0F807C631A67}</author>
    <author>tc={88C813D3-EE21-41F8-926F-E5569EB525DA}</author>
    <author>tc={F2E340F6-DBD8-4E31-9B92-21B8AF2F31A8}</author>
    <author>tc={E847ECC0-A6E1-42E8-86C7-14382EE21DCD}</author>
    <author>tc={66B467DC-AF9B-41F2-84DC-B312F0C6CD86}</author>
    <author>tc={79197937-79F2-476E-96A6-D9726744C1D6}</author>
    <author>tc={A31F9E72-37D5-4FF5-8901-6D165531C851}</author>
    <author>tc={CBEF9231-048B-4A48-95EA-7AF982477015}</author>
    <author>tc={A1D3084D-06EE-4870-BFE9-594BAAD94C91}</author>
    <author>tc={649F60DB-475D-474C-8183-90C0B112C69D}</author>
    <author>tc={15C7098B-38B1-4D2F-A2D7-AC243393A747}</author>
    <author>tc={CBAC58A9-D672-4EB2-83FA-113FAFF45EBD}</author>
    <author>tc={30220B58-9622-4D83-8FAA-96E75BE19073}</author>
    <author>tc={28DC0D47-1262-400B-9DAA-00EA4577FC32}</author>
    <author>tc={C5E76828-7EFD-4F24-86E8-2EF611C91378}</author>
    <author>tc={2EC9E6D2-504E-418B-9F09-E3B02D7763A6}</author>
    <author>tc={A7C28ABF-394F-4C5C-BCD6-B55043531F85}</author>
    <author>tc={DE89169E-8B7A-4672-92FF-090E9D08B1FD}</author>
    <author>tc={CE993401-0897-4907-9BE4-42D80200CCAC}</author>
    <author>tc={85C6CBF4-FB93-4E70-963C-98B6E782A732}</author>
    <author>tc={92888AD5-CBE8-47AB-8521-36AC7EA8B537}</author>
    <author>tc={EA96E9A9-D995-40F8-8EBF-E0774E4ED160}</author>
    <author>tc={A7F978B3-C5AF-465C-8E31-1C56837E9094}</author>
    <author>tc={26093471-8FE6-49EE-AC7A-A8F17A5A8806}</author>
    <author>tc={D56DB2DD-8CC2-4C73-94E0-8B02532714AA}</author>
    <author>tc={9BCFA350-629B-482D-B078-9E0686D9F3A1}</author>
    <author>tc={FD1F95C8-F4C1-4617-9DBF-EE0F60306182}</author>
    <author>tc={EBBBD795-A952-4708-9D77-76E045BEB0D2}</author>
    <author>tc={DF313A73-9BFE-43CF-8B3E-C4C00810612C}</author>
    <author>tc={5D19287A-658A-4BF1-B4B3-6ADA9C7B43C8}</author>
  </authors>
  <commentList>
    <comment ref="C69" authorId="0" shapeId="0" xr:uid="{C98790C8-FA41-4890-B4AF-2A5553A1E5F2}">
      <text>
        <r>
          <rPr>
            <b/>
            <sz val="9"/>
            <color indexed="81"/>
            <rFont val="Tahoma"/>
            <family val="2"/>
          </rPr>
          <t>Froio, Zach:</t>
        </r>
        <r>
          <rPr>
            <sz val="9"/>
            <color indexed="81"/>
            <rFont val="Tahoma"/>
            <family val="2"/>
          </rPr>
          <t xml:space="preserve">
Updated per TRM v8 Section 4.4</t>
        </r>
      </text>
    </comment>
    <comment ref="B73" authorId="0" shapeId="0" xr:uid="{1900D505-767D-48D6-BCDA-E47756E37C2D}">
      <text>
        <r>
          <rPr>
            <b/>
            <sz val="9"/>
            <color indexed="81"/>
            <rFont val="Tahoma"/>
            <family val="2"/>
          </rPr>
          <t>Froio, Zach:</t>
        </r>
        <r>
          <rPr>
            <sz val="9"/>
            <color indexed="81"/>
            <rFont val="Tahoma"/>
            <family val="2"/>
          </rPr>
          <t xml:space="preserve">
Updated per IL TRM v8 Section 4.4</t>
        </r>
      </text>
    </comment>
    <comment ref="B74" authorId="0" shapeId="0" xr:uid="{956D9178-1688-427F-8C2B-9AA81BEC7566}">
      <text>
        <r>
          <rPr>
            <b/>
            <sz val="9"/>
            <color indexed="81"/>
            <rFont val="Tahoma"/>
            <family val="2"/>
          </rPr>
          <t>Froio, Zach:</t>
        </r>
        <r>
          <rPr>
            <sz val="9"/>
            <color indexed="81"/>
            <rFont val="Tahoma"/>
            <family val="2"/>
          </rPr>
          <t xml:space="preserve">
Updated per IL TRM v8 Section 4.4</t>
        </r>
      </text>
    </comment>
    <comment ref="B76" authorId="0" shapeId="0" xr:uid="{61A6B139-FAE2-4A8B-819B-DA2DBBA470A8}">
      <text>
        <r>
          <rPr>
            <b/>
            <sz val="9"/>
            <color indexed="81"/>
            <rFont val="Tahoma"/>
            <family val="2"/>
          </rPr>
          <t>Froio, Zach:</t>
        </r>
        <r>
          <rPr>
            <sz val="9"/>
            <color indexed="81"/>
            <rFont val="Tahoma"/>
            <family val="2"/>
          </rPr>
          <t xml:space="preserve">
Updated per IL TRM v8 Section 4.4</t>
        </r>
      </text>
    </comment>
    <comment ref="B77" authorId="0" shapeId="0" xr:uid="{FBC6B18C-BC22-46B2-A772-4DBE349A91C2}">
      <text>
        <r>
          <rPr>
            <b/>
            <sz val="9"/>
            <color indexed="81"/>
            <rFont val="Tahoma"/>
            <family val="2"/>
          </rPr>
          <t>Froio, Zach:</t>
        </r>
        <r>
          <rPr>
            <sz val="9"/>
            <color indexed="81"/>
            <rFont val="Tahoma"/>
            <family val="2"/>
          </rPr>
          <t xml:space="preserve">
Updated per IL TRM v8 Section 4.4</t>
        </r>
      </text>
    </comment>
    <comment ref="B79" authorId="0" shapeId="0" xr:uid="{B15F12CD-663B-4AE2-ABB4-8DBE33685748}">
      <text>
        <r>
          <rPr>
            <b/>
            <sz val="9"/>
            <color indexed="81"/>
            <rFont val="Tahoma"/>
            <family val="2"/>
          </rPr>
          <t>Froio, Zach:</t>
        </r>
        <r>
          <rPr>
            <sz val="9"/>
            <color indexed="81"/>
            <rFont val="Tahoma"/>
            <family val="2"/>
          </rPr>
          <t xml:space="preserve">
Updated per IL TRM v8 Section 4.4</t>
        </r>
      </text>
    </comment>
    <comment ref="B80" authorId="0" shapeId="0" xr:uid="{A7245543-1575-4FE9-A67E-9DB80E07CC64}">
      <text>
        <r>
          <rPr>
            <b/>
            <sz val="9"/>
            <color indexed="81"/>
            <rFont val="Tahoma"/>
            <family val="2"/>
          </rPr>
          <t>Froio, Zach:</t>
        </r>
        <r>
          <rPr>
            <sz val="9"/>
            <color indexed="81"/>
            <rFont val="Tahoma"/>
            <family val="2"/>
          </rPr>
          <t xml:space="preserve">
Updated per IL TRM v8 Section 4.4</t>
        </r>
      </text>
    </comment>
    <comment ref="B81" authorId="0" shapeId="0" xr:uid="{8EF6D039-3543-400B-AB59-F729EAC53DAC}">
      <text>
        <r>
          <rPr>
            <b/>
            <sz val="9"/>
            <color indexed="81"/>
            <rFont val="Tahoma"/>
            <family val="2"/>
          </rPr>
          <t>Froio, Zach:</t>
        </r>
        <r>
          <rPr>
            <sz val="9"/>
            <color indexed="81"/>
            <rFont val="Tahoma"/>
            <family val="2"/>
          </rPr>
          <t xml:space="preserve">
Updated per IL TRM v8 Section 4.4</t>
        </r>
      </text>
    </comment>
    <comment ref="B82" authorId="0" shapeId="0" xr:uid="{61C290F7-A8B8-4665-A02D-697CD8F2551C}">
      <text>
        <r>
          <rPr>
            <b/>
            <sz val="9"/>
            <color indexed="81"/>
            <rFont val="Tahoma"/>
            <family val="2"/>
          </rPr>
          <t>Froio, Zach:</t>
        </r>
        <r>
          <rPr>
            <sz val="9"/>
            <color indexed="81"/>
            <rFont val="Tahoma"/>
            <family val="2"/>
          </rPr>
          <t xml:space="preserve">
Updated per IL TRM v8 Section 4.4</t>
        </r>
      </text>
    </comment>
    <comment ref="B83" authorId="0" shapeId="0" xr:uid="{F5161CE3-B41C-4DE9-A7AB-5EE2766CB8A6}">
      <text>
        <r>
          <rPr>
            <b/>
            <sz val="9"/>
            <color indexed="81"/>
            <rFont val="Tahoma"/>
            <family val="2"/>
          </rPr>
          <t>Froio, Zach:</t>
        </r>
        <r>
          <rPr>
            <sz val="9"/>
            <color indexed="81"/>
            <rFont val="Tahoma"/>
            <family val="2"/>
          </rPr>
          <t xml:space="preserve">
Updated per IL TRM v8 Section 4.4</t>
        </r>
      </text>
    </comment>
    <comment ref="B84" authorId="0" shapeId="0" xr:uid="{0D6B7806-0BCF-4EAA-8F81-D6B5AC464A00}">
      <text>
        <r>
          <rPr>
            <b/>
            <sz val="9"/>
            <color indexed="81"/>
            <rFont val="Tahoma"/>
            <family val="2"/>
          </rPr>
          <t>Froio, Zach:</t>
        </r>
        <r>
          <rPr>
            <sz val="9"/>
            <color indexed="81"/>
            <rFont val="Tahoma"/>
            <family val="2"/>
          </rPr>
          <t xml:space="preserve">
Updated per IL TRM v8 Section 4.4</t>
        </r>
      </text>
    </comment>
    <comment ref="B85" authorId="0" shapeId="0" xr:uid="{2FB36396-70BD-4B93-ABF0-2EE189710C4E}">
      <text>
        <r>
          <rPr>
            <b/>
            <sz val="9"/>
            <color indexed="81"/>
            <rFont val="Tahoma"/>
            <family val="2"/>
          </rPr>
          <t>Froio, Zach:</t>
        </r>
        <r>
          <rPr>
            <sz val="9"/>
            <color indexed="81"/>
            <rFont val="Tahoma"/>
            <family val="2"/>
          </rPr>
          <t xml:space="preserve">
Updated per IL TRM v8 Section 4.4</t>
        </r>
      </text>
    </comment>
    <comment ref="B86" authorId="0" shapeId="0" xr:uid="{8ECD0EE1-C5DE-4D4E-8EE9-F79E078FF7EE}">
      <text>
        <r>
          <rPr>
            <b/>
            <sz val="9"/>
            <color indexed="81"/>
            <rFont val="Tahoma"/>
            <family val="2"/>
          </rPr>
          <t>Froio, Zach:</t>
        </r>
        <r>
          <rPr>
            <sz val="9"/>
            <color indexed="81"/>
            <rFont val="Tahoma"/>
            <family val="2"/>
          </rPr>
          <t xml:space="preserve">
Updated per IL TRM v8 Section 4.4</t>
        </r>
      </text>
    </comment>
    <comment ref="B87" authorId="0" shapeId="0" xr:uid="{1A02530A-EEAF-4E83-BBC2-373784907E64}">
      <text>
        <r>
          <rPr>
            <b/>
            <sz val="9"/>
            <color indexed="81"/>
            <rFont val="Tahoma"/>
            <family val="2"/>
          </rPr>
          <t>Froio, Zach:</t>
        </r>
        <r>
          <rPr>
            <sz val="9"/>
            <color indexed="81"/>
            <rFont val="Tahoma"/>
            <family val="2"/>
          </rPr>
          <t xml:space="preserve">
Updated per IL TRM v8 Section 4.4</t>
        </r>
      </text>
    </comment>
    <comment ref="B88" authorId="0" shapeId="0" xr:uid="{3F00EA6D-EE0A-4603-AD2E-9599E99C3BC0}">
      <text>
        <r>
          <rPr>
            <b/>
            <sz val="9"/>
            <color indexed="81"/>
            <rFont val="Tahoma"/>
            <family val="2"/>
          </rPr>
          <t>Froio, Zach:</t>
        </r>
        <r>
          <rPr>
            <sz val="9"/>
            <color indexed="81"/>
            <rFont val="Tahoma"/>
            <family val="2"/>
          </rPr>
          <t xml:space="preserve">
Updated per IL TRM v8 Section 4.4</t>
        </r>
      </text>
    </comment>
    <comment ref="B90" authorId="0" shapeId="0" xr:uid="{76EADE5B-122D-4756-A99D-CEF7B2BB30D8}">
      <text>
        <r>
          <rPr>
            <b/>
            <sz val="9"/>
            <color indexed="81"/>
            <rFont val="Tahoma"/>
            <family val="2"/>
          </rPr>
          <t>Froio, Zach:</t>
        </r>
        <r>
          <rPr>
            <sz val="9"/>
            <color indexed="81"/>
            <rFont val="Tahoma"/>
            <family val="2"/>
          </rPr>
          <t xml:space="preserve">
Updated per IL TRM v8 Section 4.4</t>
        </r>
      </text>
    </comment>
    <comment ref="B91" authorId="0" shapeId="0" xr:uid="{EDFBFCF9-415E-40AB-9B6C-D6BC3D5C7D1E}">
      <text>
        <r>
          <rPr>
            <b/>
            <sz val="9"/>
            <color indexed="81"/>
            <rFont val="Tahoma"/>
            <family val="2"/>
          </rPr>
          <t>Froio, Zach:</t>
        </r>
        <r>
          <rPr>
            <sz val="9"/>
            <color indexed="81"/>
            <rFont val="Tahoma"/>
            <family val="2"/>
          </rPr>
          <t xml:space="preserve">
Updated per IL TRM v8 Section 4.4</t>
        </r>
      </text>
    </comment>
    <comment ref="B92" authorId="0" shapeId="0" xr:uid="{1B63DDF9-27DE-4658-8C92-D324B70E01F9}">
      <text>
        <r>
          <rPr>
            <b/>
            <sz val="9"/>
            <color indexed="81"/>
            <rFont val="Tahoma"/>
            <family val="2"/>
          </rPr>
          <t>Froio, Zach:</t>
        </r>
        <r>
          <rPr>
            <sz val="9"/>
            <color indexed="81"/>
            <rFont val="Tahoma"/>
            <family val="2"/>
          </rPr>
          <t xml:space="preserve">
Updated per IL TRM v8 Section 4.4</t>
        </r>
      </text>
    </comment>
    <comment ref="B93" authorId="0" shapeId="0" xr:uid="{31E149E2-5B9F-4065-B7C1-B967B02B3D91}">
      <text>
        <r>
          <rPr>
            <b/>
            <sz val="9"/>
            <color indexed="81"/>
            <rFont val="Tahoma"/>
            <family val="2"/>
          </rPr>
          <t>Froio, Zach:</t>
        </r>
        <r>
          <rPr>
            <sz val="9"/>
            <color indexed="81"/>
            <rFont val="Tahoma"/>
            <family val="2"/>
          </rPr>
          <t xml:space="preserve">
Updated per IL TRM v8 Section 4.4</t>
        </r>
      </text>
    </comment>
    <comment ref="B95" authorId="0" shapeId="0" xr:uid="{9D6C9A4F-046A-4646-8A1A-AAC3E8B9A216}">
      <text>
        <r>
          <rPr>
            <b/>
            <sz val="9"/>
            <color indexed="81"/>
            <rFont val="Tahoma"/>
            <family val="2"/>
          </rPr>
          <t>Froio, Zach:</t>
        </r>
        <r>
          <rPr>
            <sz val="9"/>
            <color indexed="81"/>
            <rFont val="Tahoma"/>
            <family val="2"/>
          </rPr>
          <t xml:space="preserve">
Updated per IL TRM v8 Section 4.4</t>
        </r>
      </text>
    </comment>
    <comment ref="B96" authorId="0" shapeId="0" xr:uid="{833E083B-C172-436B-8E34-8CF79D1D5BCC}">
      <text>
        <r>
          <rPr>
            <b/>
            <sz val="9"/>
            <color indexed="81"/>
            <rFont val="Tahoma"/>
            <family val="2"/>
          </rPr>
          <t>Froio, Zach:</t>
        </r>
        <r>
          <rPr>
            <sz val="9"/>
            <color indexed="81"/>
            <rFont val="Tahoma"/>
            <family val="2"/>
          </rPr>
          <t xml:space="preserve">
Updated per IL TRM v8 Section 4.4</t>
        </r>
      </text>
    </comment>
    <comment ref="B97" authorId="0" shapeId="0" xr:uid="{33F46783-4A1D-4FA1-A5B7-75E16D6A91D6}">
      <text>
        <r>
          <rPr>
            <b/>
            <sz val="9"/>
            <color indexed="81"/>
            <rFont val="Tahoma"/>
            <family val="2"/>
          </rPr>
          <t>Froio, Zach:</t>
        </r>
        <r>
          <rPr>
            <sz val="9"/>
            <color indexed="81"/>
            <rFont val="Tahoma"/>
            <family val="2"/>
          </rPr>
          <t xml:space="preserve">
Updated per IL TRM v8 Section 4.4</t>
        </r>
      </text>
    </comment>
    <comment ref="B98" authorId="0" shapeId="0" xr:uid="{B6507407-9104-46B3-BD4D-D311A2C27DB5}">
      <text>
        <r>
          <rPr>
            <b/>
            <sz val="9"/>
            <color indexed="81"/>
            <rFont val="Tahoma"/>
            <family val="2"/>
          </rPr>
          <t>Froio, Zach:</t>
        </r>
        <r>
          <rPr>
            <sz val="9"/>
            <color indexed="81"/>
            <rFont val="Tahoma"/>
            <family val="2"/>
          </rPr>
          <t xml:space="preserve">
Updated per IL TRM v8 Section 4.4</t>
        </r>
      </text>
    </comment>
    <comment ref="B99" authorId="0" shapeId="0" xr:uid="{D8F5B956-0BE3-4E22-BF68-D1227CB9DDD4}">
      <text>
        <r>
          <rPr>
            <b/>
            <sz val="9"/>
            <color indexed="81"/>
            <rFont val="Tahoma"/>
            <family val="2"/>
          </rPr>
          <t>Froio, Zach:</t>
        </r>
        <r>
          <rPr>
            <sz val="9"/>
            <color indexed="81"/>
            <rFont val="Tahoma"/>
            <family val="2"/>
          </rPr>
          <t xml:space="preserve">
Updated per IL TRM v8 Section 4.4</t>
        </r>
      </text>
    </comment>
    <comment ref="B100" authorId="0" shapeId="0" xr:uid="{FA42E37D-4B12-414F-A34E-1EFFA571B326}">
      <text>
        <r>
          <rPr>
            <b/>
            <sz val="9"/>
            <color indexed="81"/>
            <rFont val="Tahoma"/>
            <family val="2"/>
          </rPr>
          <t>Froio, Zach:</t>
        </r>
        <r>
          <rPr>
            <sz val="9"/>
            <color indexed="81"/>
            <rFont val="Tahoma"/>
            <family val="2"/>
          </rPr>
          <t xml:space="preserve">
Updated per IL TRM v8 Section 4.4</t>
        </r>
      </text>
    </comment>
    <comment ref="B101" authorId="0" shapeId="0" xr:uid="{B9994BD0-8F57-4EBB-BDC7-272E1F878073}">
      <text>
        <r>
          <rPr>
            <b/>
            <sz val="9"/>
            <color indexed="81"/>
            <rFont val="Tahoma"/>
            <family val="2"/>
          </rPr>
          <t>Froio, Zach:</t>
        </r>
        <r>
          <rPr>
            <sz val="9"/>
            <color indexed="81"/>
            <rFont val="Tahoma"/>
            <family val="2"/>
          </rPr>
          <t xml:space="preserve">
Updated per IL TRM v8 Section 4.4</t>
        </r>
      </text>
    </comment>
    <comment ref="B103" authorId="0" shapeId="0" xr:uid="{8FE1ABC2-4C7D-4746-92C5-1A3AB88CC2F2}">
      <text>
        <r>
          <rPr>
            <b/>
            <sz val="9"/>
            <color indexed="81"/>
            <rFont val="Tahoma"/>
            <family val="2"/>
          </rPr>
          <t>Froio, Zach:</t>
        </r>
        <r>
          <rPr>
            <sz val="9"/>
            <color indexed="81"/>
            <rFont val="Tahoma"/>
            <family val="2"/>
          </rPr>
          <t xml:space="preserve">
Updated per IL TRM v8 Section 4.4</t>
        </r>
      </text>
    </comment>
    <comment ref="B104" authorId="0" shapeId="0" xr:uid="{B5F20BF4-2453-4532-87A3-CE95F1A6EFF0}">
      <text>
        <r>
          <rPr>
            <b/>
            <sz val="9"/>
            <color indexed="81"/>
            <rFont val="Tahoma"/>
            <family val="2"/>
          </rPr>
          <t>Froio, Zach:</t>
        </r>
        <r>
          <rPr>
            <sz val="9"/>
            <color indexed="81"/>
            <rFont val="Tahoma"/>
            <family val="2"/>
          </rPr>
          <t xml:space="preserve">
Updated per IL TRM v8 Section 4.4</t>
        </r>
      </text>
    </comment>
    <comment ref="B105" authorId="0" shapeId="0" xr:uid="{FDAC05C3-CC4A-4256-8E74-F5BFE49E3894}">
      <text>
        <r>
          <rPr>
            <b/>
            <sz val="9"/>
            <color indexed="81"/>
            <rFont val="Tahoma"/>
            <family val="2"/>
          </rPr>
          <t>Froio, Zach:</t>
        </r>
        <r>
          <rPr>
            <sz val="9"/>
            <color indexed="81"/>
            <rFont val="Tahoma"/>
            <family val="2"/>
          </rPr>
          <t xml:space="preserve">
Updated per IL TRM v8 Section 4.4</t>
        </r>
      </text>
    </comment>
    <comment ref="B106" authorId="0" shapeId="0" xr:uid="{58AB9F6F-2D15-4B5B-939C-EE8986D40149}">
      <text>
        <r>
          <rPr>
            <b/>
            <sz val="9"/>
            <color indexed="81"/>
            <rFont val="Tahoma"/>
            <family val="2"/>
          </rPr>
          <t>Froio, Zach:</t>
        </r>
        <r>
          <rPr>
            <sz val="9"/>
            <color indexed="81"/>
            <rFont val="Tahoma"/>
            <family val="2"/>
          </rPr>
          <t xml:space="preserve">
Updated per IL TRM v8 Section 4.4</t>
        </r>
      </text>
    </comment>
    <comment ref="B107" authorId="0" shapeId="0" xr:uid="{7BC8221C-8E93-4729-8C3F-5BAC5249DB9E}">
      <text>
        <r>
          <rPr>
            <b/>
            <sz val="9"/>
            <color indexed="81"/>
            <rFont val="Tahoma"/>
            <family val="2"/>
          </rPr>
          <t>Froio, Zach:</t>
        </r>
        <r>
          <rPr>
            <sz val="9"/>
            <color indexed="81"/>
            <rFont val="Tahoma"/>
            <family val="2"/>
          </rPr>
          <t xml:space="preserve">
Updated per IL TRM v8 Section 4.4</t>
        </r>
      </text>
    </comment>
    <comment ref="B138" authorId="0" shapeId="0" xr:uid="{9456AB7F-ED2F-47A3-82A1-E7632B104FD1}">
      <text>
        <r>
          <rPr>
            <b/>
            <sz val="9"/>
            <color indexed="81"/>
            <rFont val="Tahoma"/>
            <family val="2"/>
          </rPr>
          <t>Froio, Zach:</t>
        </r>
        <r>
          <rPr>
            <sz val="9"/>
            <color indexed="81"/>
            <rFont val="Tahoma"/>
            <family val="2"/>
          </rPr>
          <t xml:space="preserve">
Updated per IL TRM v8 Section 4.4</t>
        </r>
      </text>
    </comment>
    <comment ref="B141" authorId="0" shapeId="0" xr:uid="{0B11A867-98E7-4A7C-9ADA-DC5321D97899}">
      <text>
        <r>
          <rPr>
            <b/>
            <sz val="9"/>
            <color indexed="81"/>
            <rFont val="Tahoma"/>
            <family val="2"/>
          </rPr>
          <t>Froio, Zach:</t>
        </r>
        <r>
          <rPr>
            <sz val="9"/>
            <color indexed="81"/>
            <rFont val="Tahoma"/>
            <family val="2"/>
          </rPr>
          <t xml:space="preserve">
Updated per IL TRM v8 Section 4.4</t>
        </r>
      </text>
    </comment>
    <comment ref="B166" authorId="0" shapeId="0" xr:uid="{9300EC3F-7ED7-40D8-A06D-1EEAFDDA17EF}">
      <text>
        <r>
          <rPr>
            <b/>
            <sz val="9"/>
            <color indexed="81"/>
            <rFont val="Tahoma"/>
            <family val="2"/>
          </rPr>
          <t>Froio, Zach:</t>
        </r>
        <r>
          <rPr>
            <sz val="9"/>
            <color indexed="81"/>
            <rFont val="Tahoma"/>
            <family val="2"/>
          </rPr>
          <t xml:space="preserve">
Updated per IL TRM v8 Section 4.4</t>
        </r>
      </text>
    </comment>
    <comment ref="B179" authorId="0" shapeId="0" xr:uid="{14CADB2E-DB88-4E79-9E16-0DD219998B95}">
      <text>
        <r>
          <rPr>
            <b/>
            <sz val="9"/>
            <color indexed="81"/>
            <rFont val="Tahoma"/>
            <family val="2"/>
          </rPr>
          <t>Froio, Zach:</t>
        </r>
        <r>
          <rPr>
            <sz val="9"/>
            <color indexed="81"/>
            <rFont val="Tahoma"/>
            <family val="2"/>
          </rPr>
          <t xml:space="preserve">
Updated per IL TRM v8 Section 4.4</t>
        </r>
      </text>
    </comment>
    <comment ref="B182" authorId="0" shapeId="0" xr:uid="{602CB4AF-AC9E-4521-8E69-E38A437284BD}">
      <text>
        <r>
          <rPr>
            <b/>
            <sz val="9"/>
            <color indexed="81"/>
            <rFont val="Tahoma"/>
            <family val="2"/>
          </rPr>
          <t>Froio, Zach:</t>
        </r>
        <r>
          <rPr>
            <sz val="9"/>
            <color indexed="81"/>
            <rFont val="Tahoma"/>
            <family val="2"/>
          </rPr>
          <t xml:space="preserve">
Updated per IL TRM v8 Section 4.4</t>
        </r>
      </text>
    </comment>
    <comment ref="B207" authorId="0" shapeId="0" xr:uid="{B94ABA80-C9EA-4FFC-B2C6-302469A81ADB}">
      <text>
        <r>
          <rPr>
            <b/>
            <sz val="9"/>
            <color indexed="81"/>
            <rFont val="Tahoma"/>
            <family val="2"/>
          </rPr>
          <t>Froio, Zach:</t>
        </r>
        <r>
          <rPr>
            <sz val="9"/>
            <color indexed="81"/>
            <rFont val="Tahoma"/>
            <family val="2"/>
          </rPr>
          <t xml:space="preserve">
Updated per IL TRM v8 Section 4.4</t>
        </r>
      </text>
    </comment>
    <comment ref="G233" authorId="1" shapeId="0" xr:uid="{F095F268-B743-4096-BFC9-A0FCB1E9A7C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3" authorId="2" shapeId="0" xr:uid="{5CEA8B82-DCAE-445B-A6CD-D3C512AD85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4" authorId="3" shapeId="0" xr:uid="{53AE3791-0DD1-47FB-A4A0-1C9E12E3F3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4" authorId="4" shapeId="0" xr:uid="{B2D8BE6E-541B-4876-881C-6BD5EF56ACF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5" authorId="5" shapeId="0" xr:uid="{39232EF8-9EA6-42A8-8B82-2960FF3B30F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5" authorId="6" shapeId="0" xr:uid="{25AF2436-7CEA-4650-8F6C-51A50EDE832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6" authorId="7" shapeId="0" xr:uid="{57DE27A6-A686-46CA-A501-7B38BA35E6D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6" authorId="8" shapeId="0" xr:uid="{40D6AEA1-9DB9-436D-A26B-8B711BCC54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7" authorId="9" shapeId="0" xr:uid="{388C175E-49C5-4E60-9EF3-98CA37C5E7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7" authorId="10" shapeId="0" xr:uid="{41CA2515-8B09-4BA9-819E-4E78F940DD7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8" authorId="11" shapeId="0" xr:uid="{93063B48-E5DC-4038-AF19-0F807C631A6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8" authorId="12" shapeId="0" xr:uid="{88C813D3-EE21-41F8-926F-E5569EB525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9" authorId="13" shapeId="0" xr:uid="{F2E340F6-DBD8-4E31-9B92-21B8AF2F31A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9" authorId="14" shapeId="0" xr:uid="{E847ECC0-A6E1-42E8-86C7-14382EE21D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0" authorId="15" shapeId="0" xr:uid="{66B467DC-AF9B-41F2-84DC-B312F0C6CD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0" authorId="16" shapeId="0" xr:uid="{79197937-79F2-476E-96A6-D9726744C1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1" authorId="17" shapeId="0" xr:uid="{A31F9E72-37D5-4FF5-8901-6D165531C8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1" authorId="18" shapeId="0" xr:uid="{CBEF9231-048B-4A48-95EA-7AF9824770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2" authorId="19" shapeId="0" xr:uid="{A1D3084D-06EE-4870-BFE9-594BAAD94C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2" authorId="20" shapeId="0" xr:uid="{649F60DB-475D-474C-8183-90C0B112C6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3" authorId="21" shapeId="0" xr:uid="{15C7098B-38B1-4D2F-A2D7-AC243393A74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3" authorId="22" shapeId="0" xr:uid="{CBAC58A9-D672-4EB2-83FA-113FAFF45EB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4" authorId="23" shapeId="0" xr:uid="{30220B58-9622-4D83-8FAA-96E75BE1907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4" authorId="24" shapeId="0" xr:uid="{28DC0D47-1262-400B-9DAA-00EA4577FC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5" authorId="25" shapeId="0" xr:uid="{C5E76828-7EFD-4F24-86E8-2EF611C9137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5" authorId="26" shapeId="0" xr:uid="{2EC9E6D2-504E-418B-9F09-E3B02D7763A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6" authorId="27" shapeId="0" xr:uid="{A7C28ABF-394F-4C5C-BCD6-B55043531F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6" authorId="28" shapeId="0" xr:uid="{DE89169E-8B7A-4672-92FF-090E9D08B1F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7" authorId="29" shapeId="0" xr:uid="{CE993401-0897-4907-9BE4-42D80200CC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7" authorId="30" shapeId="0" xr:uid="{85C6CBF4-FB93-4E70-963C-98B6E782A7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8" authorId="31" shapeId="0" xr:uid="{92888AD5-CBE8-47AB-8521-36AC7EA8B53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8" authorId="32" shapeId="0" xr:uid="{EA96E9A9-D995-40F8-8EBF-E0774E4ED16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9" authorId="33" shapeId="0" xr:uid="{A7F978B3-C5AF-465C-8E31-1C56837E909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9" authorId="34" shapeId="0" xr:uid="{26093471-8FE6-49EE-AC7A-A8F17A5A88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0" authorId="35" shapeId="0" xr:uid="{D56DB2DD-8CC2-4C73-94E0-8B02532714A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0" authorId="36" shapeId="0" xr:uid="{9BCFA350-629B-482D-B078-9E0686D9F3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1" authorId="37" shapeId="0" xr:uid="{FD1F95C8-F4C1-4617-9DBF-EE0F6030618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1" authorId="38" shapeId="0" xr:uid="{EBBBD795-A952-4708-9D77-76E045BEB0D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2" authorId="39" shapeId="0" xr:uid="{DF313A73-9BFE-43CF-8B3E-C4C00810612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2" authorId="40" shapeId="0" xr:uid="{5D19287A-658A-4BF1-B4B3-6ADA9C7B43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Froio, Zach</author>
    <author>tc={E97D9FB9-2CFA-4624-A38C-A7BCF1B9FC2D}</author>
    <author>tc={6EB8E98B-86D3-46AE-A8F2-73122ED77048}</author>
    <author>tc={117AB9E3-467C-48E9-8AB4-E84FFBA4F105}</author>
    <author>tc={68F8F003-83F3-4696-A893-05248D37C06D}</author>
    <author>tc={3C5306F9-C4DD-4B8F-8109-0641CEB422E3}</author>
    <author>tc={987F53D6-432C-4981-B124-3C4B2F39FE09}</author>
    <author>tc={817E0F13-AE34-4D9F-923F-3A9E22E891DC}</author>
    <author>tc={7C37ABA2-1545-4D38-ACF6-BEBEBD2F58BC}</author>
    <author>tc={52700AF0-AA07-4110-9497-C4178C5375BC}</author>
    <author>tc={377F7A96-BAEB-48BB-AD0B-4258858CDE23}</author>
    <author>tc={4DAC70F9-7700-4F29-B358-BCBBC5DA2F69}</author>
    <author>tc={D10D143D-9B9F-4482-8590-4D50C195C300}</author>
    <author>tc={38FB467A-C770-4E7B-9688-0869C9C97CCC}</author>
    <author>tc={841DE512-CA59-43B6-8FE9-7E94E185EC96}</author>
    <author>tc={88A696D0-676E-4FAB-A138-E71CA78C0A0F}</author>
    <author>tc={99DC2AD0-27D8-46E7-8877-B080AA134BCC}</author>
    <author>tc={0B5E5D41-CE39-4A8E-BCDA-F904304A91AC}</author>
    <author>tc={6AFF8106-AE94-4AA3-9872-DE9077F37836}</author>
    <author>tc={0221875D-DE44-4B46-AA6A-3F8591EE58EE}</author>
    <author>tc={AED019E1-78CA-4196-A0B1-0A7B13E5EE8C}</author>
    <author>tc={62C1D732-619A-43A0-84C5-FDC14D1425A9}</author>
    <author>tc={B67A4392-1197-438C-9325-CDA89E05E7E4}</author>
    <author>tc={DA085E51-CB88-4EBC-81EA-EB43B79C0958}</author>
    <author>tc={F46F9A8B-142E-43EE-825F-C6B37DC8BE8B}</author>
    <author>tc={9329173B-F3A6-4DD1-925D-177D736C3B1F}</author>
    <author>tc={F2FC30B8-44D0-4EAB-891C-446179AE27AC}</author>
    <author>tc={C7118971-DE04-4BCA-A9C5-ED5850B7D24B}</author>
    <author>tc={CC3937D2-5029-4E2A-8F15-585C63B3EEC8}</author>
    <author>tc={AEBD33C2-0BF2-43C3-A018-93F32C95ECAB}</author>
    <author>tc={8DAF87EC-E75C-4007-B2E1-05009308DB67}</author>
    <author>tc={F080D6F0-EBA8-4C09-9877-F9D853CDB9DC}</author>
    <author>tc={DEB31A24-9026-4299-A298-939938D6D899}</author>
    <author>tc={50B5B6C1-870A-4647-81CC-15051C626A24}</author>
    <author>tc={628983BE-D0E5-4CDF-AB7A-1AE8511957DE}</author>
    <author>tc={1704F098-5817-4455-8750-93FAE19E7582}</author>
    <author>tc={9A0E25A3-9FFA-4A2F-A301-192804C09BB3}</author>
    <author>tc={31BD298A-3031-4ECB-9DF6-DADBDFD88DC1}</author>
    <author>tc={A89C40CD-DD5F-4EF0-8CE9-72E375635040}</author>
    <author>tc={9C7BE626-B3FF-4AFA-94DE-AD70E37B3A07}</author>
    <author>tc={49B76E5E-075D-4972-BA71-BE7C87258FE5}</author>
  </authors>
  <commentList>
    <comment ref="C69" authorId="0" shapeId="0" xr:uid="{1C0FBE96-BA04-4262-B37B-D42DDD91A890}">
      <text>
        <r>
          <rPr>
            <b/>
            <sz val="9"/>
            <color indexed="81"/>
            <rFont val="Tahoma"/>
            <family val="2"/>
          </rPr>
          <t>Froio, Zach:</t>
        </r>
        <r>
          <rPr>
            <sz val="9"/>
            <color indexed="81"/>
            <rFont val="Tahoma"/>
            <family val="2"/>
          </rPr>
          <t xml:space="preserve">
Updated per TRM v8 Section 4.4</t>
        </r>
      </text>
    </comment>
    <comment ref="B73" authorId="0" shapeId="0" xr:uid="{160615E1-520F-4ADA-AFA5-D8C6DB00B775}">
      <text>
        <r>
          <rPr>
            <b/>
            <sz val="9"/>
            <color indexed="81"/>
            <rFont val="Tahoma"/>
            <family val="2"/>
          </rPr>
          <t>Froio, Zach:</t>
        </r>
        <r>
          <rPr>
            <sz val="9"/>
            <color indexed="81"/>
            <rFont val="Tahoma"/>
            <family val="2"/>
          </rPr>
          <t xml:space="preserve">
Updated per IL TRM v8 Section 4.4</t>
        </r>
      </text>
    </comment>
    <comment ref="B74" authorId="0" shapeId="0" xr:uid="{C649BCD1-B1B7-4A7C-9263-0B45A2F9FD92}">
      <text>
        <r>
          <rPr>
            <b/>
            <sz val="9"/>
            <color indexed="81"/>
            <rFont val="Tahoma"/>
            <family val="2"/>
          </rPr>
          <t>Froio, Zach:</t>
        </r>
        <r>
          <rPr>
            <sz val="9"/>
            <color indexed="81"/>
            <rFont val="Tahoma"/>
            <family val="2"/>
          </rPr>
          <t xml:space="preserve">
Updated per IL TRM v8 Section 4.4</t>
        </r>
      </text>
    </comment>
    <comment ref="B76" authorId="0" shapeId="0" xr:uid="{580F6748-E10E-49F3-B2C3-03C046247143}">
      <text>
        <r>
          <rPr>
            <b/>
            <sz val="9"/>
            <color indexed="81"/>
            <rFont val="Tahoma"/>
            <family val="2"/>
          </rPr>
          <t>Froio, Zach:</t>
        </r>
        <r>
          <rPr>
            <sz val="9"/>
            <color indexed="81"/>
            <rFont val="Tahoma"/>
            <family val="2"/>
          </rPr>
          <t xml:space="preserve">
Updated per IL TRM v8 Section 4.4</t>
        </r>
      </text>
    </comment>
    <comment ref="B77" authorId="0" shapeId="0" xr:uid="{E8FD52E4-F9BC-4DD4-A053-3C909708C3F3}">
      <text>
        <r>
          <rPr>
            <b/>
            <sz val="9"/>
            <color indexed="81"/>
            <rFont val="Tahoma"/>
            <family val="2"/>
          </rPr>
          <t>Froio, Zach:</t>
        </r>
        <r>
          <rPr>
            <sz val="9"/>
            <color indexed="81"/>
            <rFont val="Tahoma"/>
            <family val="2"/>
          </rPr>
          <t xml:space="preserve">
Updated per IL TRM v8 Section 4.4</t>
        </r>
      </text>
    </comment>
    <comment ref="B79" authorId="0" shapeId="0" xr:uid="{08310FC3-3085-48AB-8B4C-8E0536345FA9}">
      <text>
        <r>
          <rPr>
            <b/>
            <sz val="9"/>
            <color indexed="81"/>
            <rFont val="Tahoma"/>
            <family val="2"/>
          </rPr>
          <t>Froio, Zach:</t>
        </r>
        <r>
          <rPr>
            <sz val="9"/>
            <color indexed="81"/>
            <rFont val="Tahoma"/>
            <family val="2"/>
          </rPr>
          <t xml:space="preserve">
Updated per IL TRM v8 Section 4.4</t>
        </r>
      </text>
    </comment>
    <comment ref="B80" authorId="0" shapeId="0" xr:uid="{97CD94EE-1CE7-4D43-A6BB-14E977BB294D}">
      <text>
        <r>
          <rPr>
            <b/>
            <sz val="9"/>
            <color indexed="81"/>
            <rFont val="Tahoma"/>
            <family val="2"/>
          </rPr>
          <t>Froio, Zach:</t>
        </r>
        <r>
          <rPr>
            <sz val="9"/>
            <color indexed="81"/>
            <rFont val="Tahoma"/>
            <family val="2"/>
          </rPr>
          <t xml:space="preserve">
Updated per IL TRM v8 Section 4.4</t>
        </r>
      </text>
    </comment>
    <comment ref="B81" authorId="0" shapeId="0" xr:uid="{8FA91C92-18A0-4094-BE5A-C0C503F0D0F8}">
      <text>
        <r>
          <rPr>
            <b/>
            <sz val="9"/>
            <color indexed="81"/>
            <rFont val="Tahoma"/>
            <family val="2"/>
          </rPr>
          <t>Froio, Zach:</t>
        </r>
        <r>
          <rPr>
            <sz val="9"/>
            <color indexed="81"/>
            <rFont val="Tahoma"/>
            <family val="2"/>
          </rPr>
          <t xml:space="preserve">
Updated per IL TRM v8 Section 4.4</t>
        </r>
      </text>
    </comment>
    <comment ref="B82" authorId="0" shapeId="0" xr:uid="{6B835175-E52C-469D-B37F-864C1FB6C261}">
      <text>
        <r>
          <rPr>
            <b/>
            <sz val="9"/>
            <color indexed="81"/>
            <rFont val="Tahoma"/>
            <family val="2"/>
          </rPr>
          <t>Froio, Zach:</t>
        </r>
        <r>
          <rPr>
            <sz val="9"/>
            <color indexed="81"/>
            <rFont val="Tahoma"/>
            <family val="2"/>
          </rPr>
          <t xml:space="preserve">
Updated per IL TRM v8 Section 4.4</t>
        </r>
      </text>
    </comment>
    <comment ref="B83" authorId="0" shapeId="0" xr:uid="{B32E469F-0E77-4914-A83B-7B6CD597BB71}">
      <text>
        <r>
          <rPr>
            <b/>
            <sz val="9"/>
            <color indexed="81"/>
            <rFont val="Tahoma"/>
            <family val="2"/>
          </rPr>
          <t>Froio, Zach:</t>
        </r>
        <r>
          <rPr>
            <sz val="9"/>
            <color indexed="81"/>
            <rFont val="Tahoma"/>
            <family val="2"/>
          </rPr>
          <t xml:space="preserve">
Updated per IL TRM v8 Section 4.4</t>
        </r>
      </text>
    </comment>
    <comment ref="B84" authorId="0" shapeId="0" xr:uid="{B5C51758-1931-4A21-A322-68699AB98AC7}">
      <text>
        <r>
          <rPr>
            <b/>
            <sz val="9"/>
            <color indexed="81"/>
            <rFont val="Tahoma"/>
            <family val="2"/>
          </rPr>
          <t>Froio, Zach:</t>
        </r>
        <r>
          <rPr>
            <sz val="9"/>
            <color indexed="81"/>
            <rFont val="Tahoma"/>
            <family val="2"/>
          </rPr>
          <t xml:space="preserve">
Updated per IL TRM v8 Section 4.4</t>
        </r>
      </text>
    </comment>
    <comment ref="B85" authorId="0" shapeId="0" xr:uid="{30C5C301-753B-4B97-BD23-C516A022F65B}">
      <text>
        <r>
          <rPr>
            <b/>
            <sz val="9"/>
            <color indexed="81"/>
            <rFont val="Tahoma"/>
            <family val="2"/>
          </rPr>
          <t>Froio, Zach:</t>
        </r>
        <r>
          <rPr>
            <sz val="9"/>
            <color indexed="81"/>
            <rFont val="Tahoma"/>
            <family val="2"/>
          </rPr>
          <t xml:space="preserve">
Updated per IL TRM v8 Section 4.4</t>
        </r>
      </text>
    </comment>
    <comment ref="B86" authorId="0" shapeId="0" xr:uid="{AD745FE1-28BE-4130-963D-89CC8744ABF8}">
      <text>
        <r>
          <rPr>
            <b/>
            <sz val="9"/>
            <color indexed="81"/>
            <rFont val="Tahoma"/>
            <family val="2"/>
          </rPr>
          <t>Froio, Zach:</t>
        </r>
        <r>
          <rPr>
            <sz val="9"/>
            <color indexed="81"/>
            <rFont val="Tahoma"/>
            <family val="2"/>
          </rPr>
          <t xml:space="preserve">
Updated per IL TRM v8 Section 4.4</t>
        </r>
      </text>
    </comment>
    <comment ref="B87" authorId="0" shapeId="0" xr:uid="{F7249C84-2C01-4D30-8F11-8CD606A57B11}">
      <text>
        <r>
          <rPr>
            <b/>
            <sz val="9"/>
            <color indexed="81"/>
            <rFont val="Tahoma"/>
            <family val="2"/>
          </rPr>
          <t>Froio, Zach:</t>
        </r>
        <r>
          <rPr>
            <sz val="9"/>
            <color indexed="81"/>
            <rFont val="Tahoma"/>
            <family val="2"/>
          </rPr>
          <t xml:space="preserve">
Updated per IL TRM v8 Section 4.4</t>
        </r>
      </text>
    </comment>
    <comment ref="B88" authorId="0" shapeId="0" xr:uid="{BE53CBD8-A7BC-4EDB-A892-4B2C9F88D14C}">
      <text>
        <r>
          <rPr>
            <b/>
            <sz val="9"/>
            <color indexed="81"/>
            <rFont val="Tahoma"/>
            <family val="2"/>
          </rPr>
          <t>Froio, Zach:</t>
        </r>
        <r>
          <rPr>
            <sz val="9"/>
            <color indexed="81"/>
            <rFont val="Tahoma"/>
            <family val="2"/>
          </rPr>
          <t xml:space="preserve">
Updated per IL TRM v8 Section 4.4</t>
        </r>
      </text>
    </comment>
    <comment ref="B90" authorId="0" shapeId="0" xr:uid="{12B90191-0474-4386-BF8D-9788FE71AEFD}">
      <text>
        <r>
          <rPr>
            <b/>
            <sz val="9"/>
            <color indexed="81"/>
            <rFont val="Tahoma"/>
            <family val="2"/>
          </rPr>
          <t>Froio, Zach:</t>
        </r>
        <r>
          <rPr>
            <sz val="9"/>
            <color indexed="81"/>
            <rFont val="Tahoma"/>
            <family val="2"/>
          </rPr>
          <t xml:space="preserve">
Updated per IL TRM v8 Section 4.4</t>
        </r>
      </text>
    </comment>
    <comment ref="B91" authorId="0" shapeId="0" xr:uid="{954F5EE8-772A-4D46-89F3-59BD1284055A}">
      <text>
        <r>
          <rPr>
            <b/>
            <sz val="9"/>
            <color indexed="81"/>
            <rFont val="Tahoma"/>
            <family val="2"/>
          </rPr>
          <t>Froio, Zach:</t>
        </r>
        <r>
          <rPr>
            <sz val="9"/>
            <color indexed="81"/>
            <rFont val="Tahoma"/>
            <family val="2"/>
          </rPr>
          <t xml:space="preserve">
Updated per IL TRM v8 Section 4.4</t>
        </r>
      </text>
    </comment>
    <comment ref="B92" authorId="0" shapeId="0" xr:uid="{67F011CC-2CE2-4BBD-8991-2F6BD66F2784}">
      <text>
        <r>
          <rPr>
            <b/>
            <sz val="9"/>
            <color indexed="81"/>
            <rFont val="Tahoma"/>
            <family val="2"/>
          </rPr>
          <t>Froio, Zach:</t>
        </r>
        <r>
          <rPr>
            <sz val="9"/>
            <color indexed="81"/>
            <rFont val="Tahoma"/>
            <family val="2"/>
          </rPr>
          <t xml:space="preserve">
Updated per IL TRM v8 Section 4.4</t>
        </r>
      </text>
    </comment>
    <comment ref="B93" authorId="0" shapeId="0" xr:uid="{94AE40B5-6629-49F0-A228-92E25102B5CD}">
      <text>
        <r>
          <rPr>
            <b/>
            <sz val="9"/>
            <color indexed="81"/>
            <rFont val="Tahoma"/>
            <family val="2"/>
          </rPr>
          <t>Froio, Zach:</t>
        </r>
        <r>
          <rPr>
            <sz val="9"/>
            <color indexed="81"/>
            <rFont val="Tahoma"/>
            <family val="2"/>
          </rPr>
          <t xml:space="preserve">
Updated per IL TRM v8 Section 4.4</t>
        </r>
      </text>
    </comment>
    <comment ref="B95" authorId="0" shapeId="0" xr:uid="{AE90102A-64FE-4C53-AECB-A0DA4F9E1BE3}">
      <text>
        <r>
          <rPr>
            <b/>
            <sz val="9"/>
            <color indexed="81"/>
            <rFont val="Tahoma"/>
            <family val="2"/>
          </rPr>
          <t>Froio, Zach:</t>
        </r>
        <r>
          <rPr>
            <sz val="9"/>
            <color indexed="81"/>
            <rFont val="Tahoma"/>
            <family val="2"/>
          </rPr>
          <t xml:space="preserve">
Updated per IL TRM v8 Section 4.4</t>
        </r>
      </text>
    </comment>
    <comment ref="B96" authorId="0" shapeId="0" xr:uid="{6A4CBA6C-D4B2-4EC4-8E31-8B19860AD89C}">
      <text>
        <r>
          <rPr>
            <b/>
            <sz val="9"/>
            <color indexed="81"/>
            <rFont val="Tahoma"/>
            <family val="2"/>
          </rPr>
          <t>Froio, Zach:</t>
        </r>
        <r>
          <rPr>
            <sz val="9"/>
            <color indexed="81"/>
            <rFont val="Tahoma"/>
            <family val="2"/>
          </rPr>
          <t xml:space="preserve">
Updated per IL TRM v8 Section 4.4</t>
        </r>
      </text>
    </comment>
    <comment ref="B97" authorId="0" shapeId="0" xr:uid="{EE23E307-D357-4B62-917D-F3013A57C0DB}">
      <text>
        <r>
          <rPr>
            <b/>
            <sz val="9"/>
            <color indexed="81"/>
            <rFont val="Tahoma"/>
            <family val="2"/>
          </rPr>
          <t>Froio, Zach:</t>
        </r>
        <r>
          <rPr>
            <sz val="9"/>
            <color indexed="81"/>
            <rFont val="Tahoma"/>
            <family val="2"/>
          </rPr>
          <t xml:space="preserve">
Updated per IL TRM v8 Section 4.4</t>
        </r>
      </text>
    </comment>
    <comment ref="B98" authorId="0" shapeId="0" xr:uid="{1218D897-C437-4815-A12F-82FFCF38F547}">
      <text>
        <r>
          <rPr>
            <b/>
            <sz val="9"/>
            <color indexed="81"/>
            <rFont val="Tahoma"/>
            <family val="2"/>
          </rPr>
          <t>Froio, Zach:</t>
        </r>
        <r>
          <rPr>
            <sz val="9"/>
            <color indexed="81"/>
            <rFont val="Tahoma"/>
            <family val="2"/>
          </rPr>
          <t xml:space="preserve">
Updated per IL TRM v8 Section 4.4</t>
        </r>
      </text>
    </comment>
    <comment ref="B99" authorId="0" shapeId="0" xr:uid="{AC72A1FA-CDB7-452D-B9F0-7629E4D8963F}">
      <text>
        <r>
          <rPr>
            <b/>
            <sz val="9"/>
            <color indexed="81"/>
            <rFont val="Tahoma"/>
            <family val="2"/>
          </rPr>
          <t>Froio, Zach:</t>
        </r>
        <r>
          <rPr>
            <sz val="9"/>
            <color indexed="81"/>
            <rFont val="Tahoma"/>
            <family val="2"/>
          </rPr>
          <t xml:space="preserve">
Updated per IL TRM v8 Section 4.4</t>
        </r>
      </text>
    </comment>
    <comment ref="B100" authorId="0" shapeId="0" xr:uid="{37A2762E-D5A9-4B7E-BD1C-DE06F73E0736}">
      <text>
        <r>
          <rPr>
            <b/>
            <sz val="9"/>
            <color indexed="81"/>
            <rFont val="Tahoma"/>
            <family val="2"/>
          </rPr>
          <t>Froio, Zach:</t>
        </r>
        <r>
          <rPr>
            <sz val="9"/>
            <color indexed="81"/>
            <rFont val="Tahoma"/>
            <family val="2"/>
          </rPr>
          <t xml:space="preserve">
Updated per IL TRM v8 Section 4.4</t>
        </r>
      </text>
    </comment>
    <comment ref="B101" authorId="0" shapeId="0" xr:uid="{C9D237D6-1DAD-475F-83F0-03385FF31610}">
      <text>
        <r>
          <rPr>
            <b/>
            <sz val="9"/>
            <color indexed="81"/>
            <rFont val="Tahoma"/>
            <family val="2"/>
          </rPr>
          <t>Froio, Zach:</t>
        </r>
        <r>
          <rPr>
            <sz val="9"/>
            <color indexed="81"/>
            <rFont val="Tahoma"/>
            <family val="2"/>
          </rPr>
          <t xml:space="preserve">
Updated per IL TRM v8 Section 4.4</t>
        </r>
      </text>
    </comment>
    <comment ref="B103" authorId="0" shapeId="0" xr:uid="{400C35DA-873D-4A5A-B14A-6F409CF3EF49}">
      <text>
        <r>
          <rPr>
            <b/>
            <sz val="9"/>
            <color indexed="81"/>
            <rFont val="Tahoma"/>
            <family val="2"/>
          </rPr>
          <t>Froio, Zach:</t>
        </r>
        <r>
          <rPr>
            <sz val="9"/>
            <color indexed="81"/>
            <rFont val="Tahoma"/>
            <family val="2"/>
          </rPr>
          <t xml:space="preserve">
Updated per IL TRM v8 Section 4.4</t>
        </r>
      </text>
    </comment>
    <comment ref="B104" authorId="0" shapeId="0" xr:uid="{C2C30006-5C82-4134-AFE4-5E2EF376AECE}">
      <text>
        <r>
          <rPr>
            <b/>
            <sz val="9"/>
            <color indexed="81"/>
            <rFont val="Tahoma"/>
            <family val="2"/>
          </rPr>
          <t>Froio, Zach:</t>
        </r>
        <r>
          <rPr>
            <sz val="9"/>
            <color indexed="81"/>
            <rFont val="Tahoma"/>
            <family val="2"/>
          </rPr>
          <t xml:space="preserve">
Updated per IL TRM v8 Section 4.4</t>
        </r>
      </text>
    </comment>
    <comment ref="B105" authorId="0" shapeId="0" xr:uid="{9546D7F7-710B-4F87-B8D2-02BF9F081033}">
      <text>
        <r>
          <rPr>
            <b/>
            <sz val="9"/>
            <color indexed="81"/>
            <rFont val="Tahoma"/>
            <family val="2"/>
          </rPr>
          <t>Froio, Zach:</t>
        </r>
        <r>
          <rPr>
            <sz val="9"/>
            <color indexed="81"/>
            <rFont val="Tahoma"/>
            <family val="2"/>
          </rPr>
          <t xml:space="preserve">
Updated per IL TRM v8 Section 4.4</t>
        </r>
      </text>
    </comment>
    <comment ref="B106" authorId="0" shapeId="0" xr:uid="{BFF3E79B-B2AC-4C08-BBE6-AB3773FB52EB}">
      <text>
        <r>
          <rPr>
            <b/>
            <sz val="9"/>
            <color indexed="81"/>
            <rFont val="Tahoma"/>
            <family val="2"/>
          </rPr>
          <t>Froio, Zach:</t>
        </r>
        <r>
          <rPr>
            <sz val="9"/>
            <color indexed="81"/>
            <rFont val="Tahoma"/>
            <family val="2"/>
          </rPr>
          <t xml:space="preserve">
Updated per IL TRM v8 Section 4.4</t>
        </r>
      </text>
    </comment>
    <comment ref="B107" authorId="0" shapeId="0" xr:uid="{D14CA4D5-EBA9-4611-A21F-3523F511B769}">
      <text>
        <r>
          <rPr>
            <b/>
            <sz val="9"/>
            <color indexed="81"/>
            <rFont val="Tahoma"/>
            <family val="2"/>
          </rPr>
          <t>Froio, Zach:</t>
        </r>
        <r>
          <rPr>
            <sz val="9"/>
            <color indexed="81"/>
            <rFont val="Tahoma"/>
            <family val="2"/>
          </rPr>
          <t xml:space="preserve">
Updated per IL TRM v8 Section 4.4</t>
        </r>
      </text>
    </comment>
    <comment ref="B138" authorId="0" shapeId="0" xr:uid="{3706937A-789C-4714-8EEB-464EBE5E6AE1}">
      <text>
        <r>
          <rPr>
            <b/>
            <sz val="9"/>
            <color indexed="81"/>
            <rFont val="Tahoma"/>
            <family val="2"/>
          </rPr>
          <t>Froio, Zach:</t>
        </r>
        <r>
          <rPr>
            <sz val="9"/>
            <color indexed="81"/>
            <rFont val="Tahoma"/>
            <family val="2"/>
          </rPr>
          <t xml:space="preserve">
Updated per IL TRM v8 Section 4.4</t>
        </r>
      </text>
    </comment>
    <comment ref="B141" authorId="0" shapeId="0" xr:uid="{BB182B7C-A42B-4528-A129-76CAA861C9EF}">
      <text>
        <r>
          <rPr>
            <b/>
            <sz val="9"/>
            <color indexed="81"/>
            <rFont val="Tahoma"/>
            <family val="2"/>
          </rPr>
          <t>Froio, Zach:</t>
        </r>
        <r>
          <rPr>
            <sz val="9"/>
            <color indexed="81"/>
            <rFont val="Tahoma"/>
            <family val="2"/>
          </rPr>
          <t xml:space="preserve">
Updated per IL TRM v8 Section 4.4</t>
        </r>
      </text>
    </comment>
    <comment ref="B166" authorId="0" shapeId="0" xr:uid="{4226FAC8-6A91-4F53-A3C3-510A6569A899}">
      <text>
        <r>
          <rPr>
            <b/>
            <sz val="9"/>
            <color indexed="81"/>
            <rFont val="Tahoma"/>
            <family val="2"/>
          </rPr>
          <t>Froio, Zach:</t>
        </r>
        <r>
          <rPr>
            <sz val="9"/>
            <color indexed="81"/>
            <rFont val="Tahoma"/>
            <family val="2"/>
          </rPr>
          <t xml:space="preserve">
Updated per IL TRM v8 Section 4.4</t>
        </r>
      </text>
    </comment>
    <comment ref="B179" authorId="0" shapeId="0" xr:uid="{8B9E5BE2-1A6A-4295-AE85-E036E1B33F0E}">
      <text>
        <r>
          <rPr>
            <b/>
            <sz val="9"/>
            <color indexed="81"/>
            <rFont val="Tahoma"/>
            <family val="2"/>
          </rPr>
          <t>Froio, Zach:</t>
        </r>
        <r>
          <rPr>
            <sz val="9"/>
            <color indexed="81"/>
            <rFont val="Tahoma"/>
            <family val="2"/>
          </rPr>
          <t xml:space="preserve">
Updated per IL TRM v8 Section 4.4</t>
        </r>
      </text>
    </comment>
    <comment ref="B182" authorId="0" shapeId="0" xr:uid="{F3F3B7B6-9648-4061-88CF-0A9307C19192}">
      <text>
        <r>
          <rPr>
            <b/>
            <sz val="9"/>
            <color indexed="81"/>
            <rFont val="Tahoma"/>
            <family val="2"/>
          </rPr>
          <t>Froio, Zach:</t>
        </r>
        <r>
          <rPr>
            <sz val="9"/>
            <color indexed="81"/>
            <rFont val="Tahoma"/>
            <family val="2"/>
          </rPr>
          <t xml:space="preserve">
Updated per IL TRM v8 Section 4.4</t>
        </r>
      </text>
    </comment>
    <comment ref="B207" authorId="0" shapeId="0" xr:uid="{83A28C92-4F38-42DC-9818-E427F30F64EC}">
      <text>
        <r>
          <rPr>
            <b/>
            <sz val="9"/>
            <color indexed="81"/>
            <rFont val="Tahoma"/>
            <family val="2"/>
          </rPr>
          <t>Froio, Zach:</t>
        </r>
        <r>
          <rPr>
            <sz val="9"/>
            <color indexed="81"/>
            <rFont val="Tahoma"/>
            <family val="2"/>
          </rPr>
          <t xml:space="preserve">
Updated per IL TRM v8 Section 4.4</t>
        </r>
      </text>
    </comment>
    <comment ref="G233" authorId="1" shapeId="0" xr:uid="{E97D9FB9-2CFA-4624-A38C-A7BCF1B9FC2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3" authorId="2" shapeId="0" xr:uid="{6EB8E98B-86D3-46AE-A8F2-73122ED770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4" authorId="3" shapeId="0" xr:uid="{117AB9E3-467C-48E9-8AB4-E84FFBA4F10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4" authorId="4" shapeId="0" xr:uid="{68F8F003-83F3-4696-A893-05248D37C0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5" authorId="5" shapeId="0" xr:uid="{3C5306F9-C4DD-4B8F-8109-0641CEB422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5" authorId="6" shapeId="0" xr:uid="{987F53D6-432C-4981-B124-3C4B2F39FE0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6" authorId="7" shapeId="0" xr:uid="{817E0F13-AE34-4D9F-923F-3A9E22E891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6" authorId="8" shapeId="0" xr:uid="{7C37ABA2-1545-4D38-ACF6-BEBEBD2F58B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7" authorId="9" shapeId="0" xr:uid="{52700AF0-AA07-4110-9497-C4178C5375B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7" authorId="10" shapeId="0" xr:uid="{377F7A96-BAEB-48BB-AD0B-4258858CDE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8" authorId="11" shapeId="0" xr:uid="{4DAC70F9-7700-4F29-B358-BCBBC5DA2F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8" authorId="12" shapeId="0" xr:uid="{D10D143D-9B9F-4482-8590-4D50C195C3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39" authorId="13" shapeId="0" xr:uid="{38FB467A-C770-4E7B-9688-0869C9C97C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39" authorId="14" shapeId="0" xr:uid="{841DE512-CA59-43B6-8FE9-7E94E185EC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0" authorId="15" shapeId="0" xr:uid="{88A696D0-676E-4FAB-A138-E71CA78C0A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0" authorId="16" shapeId="0" xr:uid="{99DC2AD0-27D8-46E7-8877-B080AA134B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1" authorId="17" shapeId="0" xr:uid="{0B5E5D41-CE39-4A8E-BCDA-F904304A91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1" authorId="18" shapeId="0" xr:uid="{6AFF8106-AE94-4AA3-9872-DE9077F378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2" authorId="19" shapeId="0" xr:uid="{0221875D-DE44-4B46-AA6A-3F8591EE58E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190.</t>
        </r>
      </text>
    </comment>
    <comment ref="H242" authorId="20" shapeId="0" xr:uid="{AED019E1-78CA-4196-A0B1-0A7B13E5EE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191.</t>
        </r>
      </text>
    </comment>
    <comment ref="G243" authorId="21" shapeId="0" xr:uid="{62C1D732-619A-43A0-84C5-FDC14D1425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3" authorId="22" shapeId="0" xr:uid="{B67A4392-1197-438C-9325-CDA89E05E7E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4" authorId="23" shapeId="0" xr:uid="{DA085E51-CB88-4EBC-81EA-EB43B79C095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4" authorId="24" shapeId="0" xr:uid="{F46F9A8B-142E-43EE-825F-C6B37DC8BE8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5" authorId="25" shapeId="0" xr:uid="{9329173B-F3A6-4DD1-925D-177D736C3B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5" authorId="26" shapeId="0" xr:uid="{F2FC30B8-44D0-4EAB-891C-446179AE27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6" authorId="27" shapeId="0" xr:uid="{C7118971-DE04-4BCA-A9C5-ED5850B7D24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6" authorId="28" shapeId="0" xr:uid="{CC3937D2-5029-4E2A-8F15-585C63B3EE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7" authorId="29" shapeId="0" xr:uid="{AEBD33C2-0BF2-43C3-A018-93F32C95ECA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7" authorId="30" shapeId="0" xr:uid="{8DAF87EC-E75C-4007-B2E1-05009308DB6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8" authorId="31" shapeId="0" xr:uid="{F080D6F0-EBA8-4C09-9877-F9D853CDB9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8" authorId="32" shapeId="0" xr:uid="{DEB31A24-9026-4299-A298-939938D6D8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49" authorId="33" shapeId="0" xr:uid="{50B5B6C1-870A-4647-81CC-15051C626A2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49" authorId="34" shapeId="0" xr:uid="{628983BE-D0E5-4CDF-AB7A-1AE8511957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0" authorId="35" shapeId="0" xr:uid="{1704F098-5817-4455-8750-93FAE19E758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0" authorId="36" shapeId="0" xr:uid="{9A0E25A3-9FFA-4A2F-A301-192804C09B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1" authorId="37" shapeId="0" xr:uid="{31BD298A-3031-4ECB-9DF6-DADBDFD88DC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1" authorId="38" shapeId="0" xr:uid="{A89C40CD-DD5F-4EF0-8CE9-72E37563504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G252" authorId="39" shapeId="0" xr:uid="{9C7BE626-B3FF-4AFA-94DE-AD70E37B3A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H252" authorId="40" shapeId="0" xr:uid="{49B76E5E-075D-4972-BA71-BE7C87258FE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1" authorId="0" shapeId="0" xr:uid="{49F19ED8-1184-4F48-80BE-2871CC141ABD}">
      <text>
        <r>
          <rPr>
            <b/>
            <sz val="9"/>
            <color indexed="81"/>
            <rFont val="Tahoma"/>
            <family val="2"/>
          </rPr>
          <t>Froio, Zach:</t>
        </r>
        <r>
          <rPr>
            <sz val="9"/>
            <color indexed="81"/>
            <rFont val="Tahoma"/>
            <family val="2"/>
          </rPr>
          <t xml:space="preserve">
Updated per TRM v8 Section 4.4</t>
        </r>
      </text>
    </comment>
    <comment ref="B65" authorId="0" shapeId="0" xr:uid="{9A8DE6B8-6FF9-4405-A5DF-43A77F40F1BF}">
      <text>
        <r>
          <rPr>
            <b/>
            <sz val="9"/>
            <color indexed="81"/>
            <rFont val="Tahoma"/>
            <family val="2"/>
          </rPr>
          <t>Froio, Zach:</t>
        </r>
        <r>
          <rPr>
            <sz val="9"/>
            <color indexed="81"/>
            <rFont val="Tahoma"/>
            <family val="2"/>
          </rPr>
          <t xml:space="preserve">
Updated per IL TRM v8 Section 4.4</t>
        </r>
      </text>
    </comment>
    <comment ref="B66" authorId="0" shapeId="0" xr:uid="{B478359D-E378-4901-AF70-2A772290EBD7}">
      <text>
        <r>
          <rPr>
            <b/>
            <sz val="9"/>
            <color indexed="81"/>
            <rFont val="Tahoma"/>
            <family val="2"/>
          </rPr>
          <t>Froio, Zach:</t>
        </r>
        <r>
          <rPr>
            <sz val="9"/>
            <color indexed="81"/>
            <rFont val="Tahoma"/>
            <family val="2"/>
          </rPr>
          <t xml:space="preserve">
Updated per IL TRM v8 Section 4.4</t>
        </r>
      </text>
    </comment>
    <comment ref="B68" authorId="0" shapeId="0" xr:uid="{1578C3AA-EB23-42AE-B12A-995AD516436D}">
      <text>
        <r>
          <rPr>
            <b/>
            <sz val="9"/>
            <color indexed="81"/>
            <rFont val="Tahoma"/>
            <family val="2"/>
          </rPr>
          <t>Froio, Zach:</t>
        </r>
        <r>
          <rPr>
            <sz val="9"/>
            <color indexed="81"/>
            <rFont val="Tahoma"/>
            <family val="2"/>
          </rPr>
          <t xml:space="preserve">
Updated per IL TRM v8 Section 4.4</t>
        </r>
      </text>
    </comment>
    <comment ref="B69" authorId="0" shapeId="0" xr:uid="{46C69C9A-B020-4316-930E-F516AB192CE2}">
      <text>
        <r>
          <rPr>
            <b/>
            <sz val="9"/>
            <color indexed="81"/>
            <rFont val="Tahoma"/>
            <family val="2"/>
          </rPr>
          <t>Froio, Zach:</t>
        </r>
        <r>
          <rPr>
            <sz val="9"/>
            <color indexed="81"/>
            <rFont val="Tahoma"/>
            <family val="2"/>
          </rPr>
          <t xml:space="preserve">
Updated per IL TRM v8 Section 4.4</t>
        </r>
      </text>
    </comment>
    <comment ref="B71" authorId="0" shapeId="0" xr:uid="{9982F08F-AE8D-4E10-8CCA-5E2B01FFE028}">
      <text>
        <r>
          <rPr>
            <b/>
            <sz val="9"/>
            <color indexed="81"/>
            <rFont val="Tahoma"/>
            <family val="2"/>
          </rPr>
          <t>Froio, Zach:</t>
        </r>
        <r>
          <rPr>
            <sz val="9"/>
            <color indexed="81"/>
            <rFont val="Tahoma"/>
            <family val="2"/>
          </rPr>
          <t xml:space="preserve">
Updated per IL TRM v8 Section 4.4</t>
        </r>
      </text>
    </comment>
    <comment ref="B72" authorId="0" shapeId="0" xr:uid="{E0FEEA3D-BA37-4090-AB48-42BBED1B453B}">
      <text>
        <r>
          <rPr>
            <b/>
            <sz val="9"/>
            <color indexed="81"/>
            <rFont val="Tahoma"/>
            <family val="2"/>
          </rPr>
          <t>Froio, Zach:</t>
        </r>
        <r>
          <rPr>
            <sz val="9"/>
            <color indexed="81"/>
            <rFont val="Tahoma"/>
            <family val="2"/>
          </rPr>
          <t xml:space="preserve">
Updated per IL TRM v8 Section 4.4</t>
        </r>
      </text>
    </comment>
    <comment ref="B73" authorId="0" shapeId="0" xr:uid="{12691CC8-319D-46EF-87DD-27FF4C2A9FDD}">
      <text>
        <r>
          <rPr>
            <b/>
            <sz val="9"/>
            <color indexed="81"/>
            <rFont val="Tahoma"/>
            <family val="2"/>
          </rPr>
          <t>Froio, Zach:</t>
        </r>
        <r>
          <rPr>
            <sz val="9"/>
            <color indexed="81"/>
            <rFont val="Tahoma"/>
            <family val="2"/>
          </rPr>
          <t xml:space="preserve">
Updated per IL TRM v8 Section 4.4</t>
        </r>
      </text>
    </comment>
    <comment ref="B74" authorId="0" shapeId="0" xr:uid="{B4358F92-3284-4C74-A5EE-4DC6A379702F}">
      <text>
        <r>
          <rPr>
            <b/>
            <sz val="9"/>
            <color indexed="81"/>
            <rFont val="Tahoma"/>
            <family val="2"/>
          </rPr>
          <t>Froio, Zach:</t>
        </r>
        <r>
          <rPr>
            <sz val="9"/>
            <color indexed="81"/>
            <rFont val="Tahoma"/>
            <family val="2"/>
          </rPr>
          <t xml:space="preserve">
Updated per IL TRM v8 Section 4.4</t>
        </r>
      </text>
    </comment>
    <comment ref="B75" authorId="0" shapeId="0" xr:uid="{C64B7024-7C85-4A39-A7B2-EABD664ACF82}">
      <text>
        <r>
          <rPr>
            <b/>
            <sz val="9"/>
            <color indexed="81"/>
            <rFont val="Tahoma"/>
            <family val="2"/>
          </rPr>
          <t>Froio, Zach:</t>
        </r>
        <r>
          <rPr>
            <sz val="9"/>
            <color indexed="81"/>
            <rFont val="Tahoma"/>
            <family val="2"/>
          </rPr>
          <t xml:space="preserve">
Updated per IL TRM v8 Section 4.4</t>
        </r>
      </text>
    </comment>
    <comment ref="B76" authorId="0" shapeId="0" xr:uid="{EA07D8F1-C2B6-4E1B-AE4C-E28A75C10EB9}">
      <text>
        <r>
          <rPr>
            <b/>
            <sz val="9"/>
            <color indexed="81"/>
            <rFont val="Tahoma"/>
            <family val="2"/>
          </rPr>
          <t>Froio, Zach:</t>
        </r>
        <r>
          <rPr>
            <sz val="9"/>
            <color indexed="81"/>
            <rFont val="Tahoma"/>
            <family val="2"/>
          </rPr>
          <t xml:space="preserve">
Updated per IL TRM v8 Section 4.4</t>
        </r>
      </text>
    </comment>
    <comment ref="B77" authorId="0" shapeId="0" xr:uid="{E204E4C6-B15E-4123-9D12-CE67DC5463E3}">
      <text>
        <r>
          <rPr>
            <b/>
            <sz val="9"/>
            <color indexed="81"/>
            <rFont val="Tahoma"/>
            <family val="2"/>
          </rPr>
          <t>Froio, Zach:</t>
        </r>
        <r>
          <rPr>
            <sz val="9"/>
            <color indexed="81"/>
            <rFont val="Tahoma"/>
            <family val="2"/>
          </rPr>
          <t xml:space="preserve">
Updated per IL TRM v8 Section 4.4</t>
        </r>
      </text>
    </comment>
    <comment ref="B78" authorId="0" shapeId="0" xr:uid="{6DF2D432-987C-4A78-B2BC-0EE5E3F789DC}">
      <text>
        <r>
          <rPr>
            <b/>
            <sz val="9"/>
            <color indexed="81"/>
            <rFont val="Tahoma"/>
            <family val="2"/>
          </rPr>
          <t>Froio, Zach:</t>
        </r>
        <r>
          <rPr>
            <sz val="9"/>
            <color indexed="81"/>
            <rFont val="Tahoma"/>
            <family val="2"/>
          </rPr>
          <t xml:space="preserve">
Updated per IL TRM v8 Section 4.4</t>
        </r>
      </text>
    </comment>
    <comment ref="B79" authorId="0" shapeId="0" xr:uid="{C0DE56AA-617E-4DC2-B4FE-8D322A4884A0}">
      <text>
        <r>
          <rPr>
            <b/>
            <sz val="9"/>
            <color indexed="81"/>
            <rFont val="Tahoma"/>
            <family val="2"/>
          </rPr>
          <t>Froio, Zach:</t>
        </r>
        <r>
          <rPr>
            <sz val="9"/>
            <color indexed="81"/>
            <rFont val="Tahoma"/>
            <family val="2"/>
          </rPr>
          <t xml:space="preserve">
Updated per IL TRM v8 Section 4.4</t>
        </r>
      </text>
    </comment>
    <comment ref="B80" authorId="0" shapeId="0" xr:uid="{13F531CD-3C88-459D-A695-74EABA730FA0}">
      <text>
        <r>
          <rPr>
            <b/>
            <sz val="9"/>
            <color indexed="81"/>
            <rFont val="Tahoma"/>
            <family val="2"/>
          </rPr>
          <t>Froio, Zach:</t>
        </r>
        <r>
          <rPr>
            <sz val="9"/>
            <color indexed="81"/>
            <rFont val="Tahoma"/>
            <family val="2"/>
          </rPr>
          <t xml:space="preserve">
Updated per IL TRM v8 Section 4.4</t>
        </r>
      </text>
    </comment>
    <comment ref="B82" authorId="0" shapeId="0" xr:uid="{7D5A9C2D-4FCB-4CF7-B66C-939117818F94}">
      <text>
        <r>
          <rPr>
            <b/>
            <sz val="9"/>
            <color indexed="81"/>
            <rFont val="Tahoma"/>
            <family val="2"/>
          </rPr>
          <t>Froio, Zach:</t>
        </r>
        <r>
          <rPr>
            <sz val="9"/>
            <color indexed="81"/>
            <rFont val="Tahoma"/>
            <family val="2"/>
          </rPr>
          <t xml:space="preserve">
Updated per IL TRM v8 Section 4.4</t>
        </r>
      </text>
    </comment>
    <comment ref="B83" authorId="0" shapeId="0" xr:uid="{FAC4A00D-3AFC-4B40-B7D2-146AFD75C344}">
      <text>
        <r>
          <rPr>
            <b/>
            <sz val="9"/>
            <color indexed="81"/>
            <rFont val="Tahoma"/>
            <family val="2"/>
          </rPr>
          <t>Froio, Zach:</t>
        </r>
        <r>
          <rPr>
            <sz val="9"/>
            <color indexed="81"/>
            <rFont val="Tahoma"/>
            <family val="2"/>
          </rPr>
          <t xml:space="preserve">
Updated per IL TRM v8 Section 4.4</t>
        </r>
      </text>
    </comment>
    <comment ref="B84" authorId="0" shapeId="0" xr:uid="{BE7F2D58-1DB1-4C0D-AAA3-F54FC3F10C0C}">
      <text>
        <r>
          <rPr>
            <b/>
            <sz val="9"/>
            <color indexed="81"/>
            <rFont val="Tahoma"/>
            <family val="2"/>
          </rPr>
          <t>Froio, Zach:</t>
        </r>
        <r>
          <rPr>
            <sz val="9"/>
            <color indexed="81"/>
            <rFont val="Tahoma"/>
            <family val="2"/>
          </rPr>
          <t xml:space="preserve">
Updated per IL TRM v8 Section 4.4</t>
        </r>
      </text>
    </comment>
    <comment ref="B85" authorId="0" shapeId="0" xr:uid="{A14F63BE-B411-4B99-BF9B-72F39E8A7D6F}">
      <text>
        <r>
          <rPr>
            <b/>
            <sz val="9"/>
            <color indexed="81"/>
            <rFont val="Tahoma"/>
            <family val="2"/>
          </rPr>
          <t>Froio, Zach:</t>
        </r>
        <r>
          <rPr>
            <sz val="9"/>
            <color indexed="81"/>
            <rFont val="Tahoma"/>
            <family val="2"/>
          </rPr>
          <t xml:space="preserve">
Updated per IL TRM v8 Section 4.4</t>
        </r>
      </text>
    </comment>
    <comment ref="B87" authorId="0" shapeId="0" xr:uid="{08241E4D-78EC-4B64-A038-3C95D4A80F69}">
      <text>
        <r>
          <rPr>
            <b/>
            <sz val="9"/>
            <color indexed="81"/>
            <rFont val="Tahoma"/>
            <family val="2"/>
          </rPr>
          <t>Froio, Zach:</t>
        </r>
        <r>
          <rPr>
            <sz val="9"/>
            <color indexed="81"/>
            <rFont val="Tahoma"/>
            <family val="2"/>
          </rPr>
          <t xml:space="preserve">
Updated per IL TRM v8 Section 4.4</t>
        </r>
      </text>
    </comment>
    <comment ref="B88" authorId="0" shapeId="0" xr:uid="{1A741F0B-913E-4E64-95F2-18FDA39E6BEC}">
      <text>
        <r>
          <rPr>
            <b/>
            <sz val="9"/>
            <color indexed="81"/>
            <rFont val="Tahoma"/>
            <family val="2"/>
          </rPr>
          <t>Froio, Zach:</t>
        </r>
        <r>
          <rPr>
            <sz val="9"/>
            <color indexed="81"/>
            <rFont val="Tahoma"/>
            <family val="2"/>
          </rPr>
          <t xml:space="preserve">
Updated per IL TRM v8 Section 4.4</t>
        </r>
      </text>
    </comment>
    <comment ref="B89" authorId="0" shapeId="0" xr:uid="{C3DDF526-4C60-4C7C-AA1B-F87DB0F14676}">
      <text>
        <r>
          <rPr>
            <b/>
            <sz val="9"/>
            <color indexed="81"/>
            <rFont val="Tahoma"/>
            <family val="2"/>
          </rPr>
          <t>Froio, Zach:</t>
        </r>
        <r>
          <rPr>
            <sz val="9"/>
            <color indexed="81"/>
            <rFont val="Tahoma"/>
            <family val="2"/>
          </rPr>
          <t xml:space="preserve">
Updated per IL TRM v8 Section 4.4</t>
        </r>
      </text>
    </comment>
    <comment ref="B90" authorId="0" shapeId="0" xr:uid="{D9277DB7-A3BE-4CB2-8FC8-AF28088C4B01}">
      <text>
        <r>
          <rPr>
            <b/>
            <sz val="9"/>
            <color indexed="81"/>
            <rFont val="Tahoma"/>
            <family val="2"/>
          </rPr>
          <t>Froio, Zach:</t>
        </r>
        <r>
          <rPr>
            <sz val="9"/>
            <color indexed="81"/>
            <rFont val="Tahoma"/>
            <family val="2"/>
          </rPr>
          <t xml:space="preserve">
Updated per IL TRM v8 Section 4.4</t>
        </r>
      </text>
    </comment>
    <comment ref="B91" authorId="0" shapeId="0" xr:uid="{4CF81289-6259-4278-AE21-424D35DC1D8B}">
      <text>
        <r>
          <rPr>
            <b/>
            <sz val="9"/>
            <color indexed="81"/>
            <rFont val="Tahoma"/>
            <family val="2"/>
          </rPr>
          <t>Froio, Zach:</t>
        </r>
        <r>
          <rPr>
            <sz val="9"/>
            <color indexed="81"/>
            <rFont val="Tahoma"/>
            <family val="2"/>
          </rPr>
          <t xml:space="preserve">
Updated per IL TRM v8 Section 4.4</t>
        </r>
      </text>
    </comment>
    <comment ref="B92" authorId="0" shapeId="0" xr:uid="{F4F4BE3F-935E-4C9E-B5DF-C270E1E08C89}">
      <text>
        <r>
          <rPr>
            <b/>
            <sz val="9"/>
            <color indexed="81"/>
            <rFont val="Tahoma"/>
            <family val="2"/>
          </rPr>
          <t>Froio, Zach:</t>
        </r>
        <r>
          <rPr>
            <sz val="9"/>
            <color indexed="81"/>
            <rFont val="Tahoma"/>
            <family val="2"/>
          </rPr>
          <t xml:space="preserve">
Updated per IL TRM v8 Section 4.4</t>
        </r>
      </text>
    </comment>
    <comment ref="B93" authorId="0" shapeId="0" xr:uid="{71EE22ED-DC5B-4148-BBE0-D6EF5FFDDC1B}">
      <text>
        <r>
          <rPr>
            <b/>
            <sz val="9"/>
            <color indexed="81"/>
            <rFont val="Tahoma"/>
            <family val="2"/>
          </rPr>
          <t>Froio, Zach:</t>
        </r>
        <r>
          <rPr>
            <sz val="9"/>
            <color indexed="81"/>
            <rFont val="Tahoma"/>
            <family val="2"/>
          </rPr>
          <t xml:space="preserve">
Updated per IL TRM v8 Section 4.4</t>
        </r>
      </text>
    </comment>
    <comment ref="B95" authorId="0" shapeId="0" xr:uid="{FA0FD63D-9466-4941-A2AB-E8312315196D}">
      <text>
        <r>
          <rPr>
            <b/>
            <sz val="9"/>
            <color indexed="81"/>
            <rFont val="Tahoma"/>
            <family val="2"/>
          </rPr>
          <t>Froio, Zach:</t>
        </r>
        <r>
          <rPr>
            <sz val="9"/>
            <color indexed="81"/>
            <rFont val="Tahoma"/>
            <family val="2"/>
          </rPr>
          <t xml:space="preserve">
Updated per IL TRM v8 Section 4.4</t>
        </r>
      </text>
    </comment>
    <comment ref="B96" authorId="0" shapeId="0" xr:uid="{88F8644F-B233-44CA-AF25-E3B1C68300DA}">
      <text>
        <r>
          <rPr>
            <b/>
            <sz val="9"/>
            <color indexed="81"/>
            <rFont val="Tahoma"/>
            <family val="2"/>
          </rPr>
          <t>Froio, Zach:</t>
        </r>
        <r>
          <rPr>
            <sz val="9"/>
            <color indexed="81"/>
            <rFont val="Tahoma"/>
            <family val="2"/>
          </rPr>
          <t xml:space="preserve">
Updated per IL TRM v8 Section 4.4</t>
        </r>
      </text>
    </comment>
    <comment ref="B97" authorId="0" shapeId="0" xr:uid="{04F7CBE2-15B4-4FB1-A1C7-8D58B39ED9B6}">
      <text>
        <r>
          <rPr>
            <b/>
            <sz val="9"/>
            <color indexed="81"/>
            <rFont val="Tahoma"/>
            <family val="2"/>
          </rPr>
          <t>Froio, Zach:</t>
        </r>
        <r>
          <rPr>
            <sz val="9"/>
            <color indexed="81"/>
            <rFont val="Tahoma"/>
            <family val="2"/>
          </rPr>
          <t xml:space="preserve">
Updated per IL TRM v8 Section 4.4</t>
        </r>
      </text>
    </comment>
    <comment ref="B98" authorId="0" shapeId="0" xr:uid="{AABFC322-A2BE-4E10-813F-3DA641C0E8E4}">
      <text>
        <r>
          <rPr>
            <b/>
            <sz val="9"/>
            <color indexed="81"/>
            <rFont val="Tahoma"/>
            <family val="2"/>
          </rPr>
          <t>Froio, Zach:</t>
        </r>
        <r>
          <rPr>
            <sz val="9"/>
            <color indexed="81"/>
            <rFont val="Tahoma"/>
            <family val="2"/>
          </rPr>
          <t xml:space="preserve">
Updated per IL TRM v8 Section 4.4</t>
        </r>
      </text>
    </comment>
    <comment ref="B99" authorId="0" shapeId="0" xr:uid="{1177AE07-6A17-462E-8293-5A920DFB84BD}">
      <text>
        <r>
          <rPr>
            <b/>
            <sz val="9"/>
            <color indexed="81"/>
            <rFont val="Tahoma"/>
            <family val="2"/>
          </rPr>
          <t>Froio, Zach:</t>
        </r>
        <r>
          <rPr>
            <sz val="9"/>
            <color indexed="81"/>
            <rFont val="Tahoma"/>
            <family val="2"/>
          </rPr>
          <t xml:space="preserve">
Updated per IL TRM v8 Section 4.4</t>
        </r>
      </text>
    </comment>
    <comment ref="I123" authorId="0" shapeId="0" xr:uid="{63638602-A3E3-467B-957C-56BCD8A15ED9}">
      <text>
        <r>
          <rPr>
            <b/>
            <sz val="9"/>
            <color indexed="81"/>
            <rFont val="Tahoma"/>
            <family val="2"/>
          </rPr>
          <t>Froio, Zach:</t>
        </r>
        <r>
          <rPr>
            <sz val="9"/>
            <color indexed="81"/>
            <rFont val="Tahoma"/>
            <family val="2"/>
          </rPr>
          <t xml:space="preserve">
Updated per IL TRM v8 Section 4.4</t>
        </r>
      </text>
    </comment>
    <comment ref="I124" authorId="0" shapeId="0" xr:uid="{3D9FB89A-E0FA-4E96-A381-0F6B948F4767}">
      <text>
        <r>
          <rPr>
            <b/>
            <sz val="9"/>
            <color indexed="81"/>
            <rFont val="Tahoma"/>
            <family val="2"/>
          </rPr>
          <t>Froio, Zach:</t>
        </r>
        <r>
          <rPr>
            <sz val="9"/>
            <color indexed="81"/>
            <rFont val="Tahoma"/>
            <family val="2"/>
          </rPr>
          <t xml:space="preserve">
Updated per IL TRM v8 Section 4.4</t>
        </r>
      </text>
    </comment>
    <comment ref="I126" authorId="0" shapeId="0" xr:uid="{5E51371B-4324-4D65-83BD-7FDA554D2C02}">
      <text>
        <r>
          <rPr>
            <b/>
            <sz val="9"/>
            <color indexed="81"/>
            <rFont val="Tahoma"/>
            <family val="2"/>
          </rPr>
          <t>Froio, Zach:</t>
        </r>
        <r>
          <rPr>
            <sz val="9"/>
            <color indexed="81"/>
            <rFont val="Tahoma"/>
            <family val="2"/>
          </rPr>
          <t xml:space="preserve">
Updated per IL TRM v8 Section 4.4</t>
        </r>
      </text>
    </comment>
    <comment ref="I127" authorId="0" shapeId="0" xr:uid="{231E5AD8-8941-4A64-AD66-B38104C9A7D4}">
      <text>
        <r>
          <rPr>
            <b/>
            <sz val="9"/>
            <color indexed="81"/>
            <rFont val="Tahoma"/>
            <family val="2"/>
          </rPr>
          <t>Froio, Zach:</t>
        </r>
        <r>
          <rPr>
            <sz val="9"/>
            <color indexed="81"/>
            <rFont val="Tahoma"/>
            <family val="2"/>
          </rPr>
          <t xml:space="preserve">
Updated per IL TRM v8 Section 4.4</t>
        </r>
      </text>
    </comment>
    <comment ref="I129" authorId="0" shapeId="0" xr:uid="{00E749BC-889C-4E5C-9D81-82CAF2C7D5C1}">
      <text>
        <r>
          <rPr>
            <b/>
            <sz val="9"/>
            <color indexed="81"/>
            <rFont val="Tahoma"/>
            <family val="2"/>
          </rPr>
          <t>Froio, Zach:</t>
        </r>
        <r>
          <rPr>
            <sz val="9"/>
            <color indexed="81"/>
            <rFont val="Tahoma"/>
            <family val="2"/>
          </rPr>
          <t xml:space="preserve">
Updated per IL TRM v8 Section 4.4</t>
        </r>
      </text>
    </comment>
    <comment ref="I130" authorId="0" shapeId="0" xr:uid="{B43A0549-29E3-4FBE-B6AC-90163DD52A65}">
      <text>
        <r>
          <rPr>
            <b/>
            <sz val="9"/>
            <color indexed="81"/>
            <rFont val="Tahoma"/>
            <family val="2"/>
          </rPr>
          <t>Froio, Zach:</t>
        </r>
        <r>
          <rPr>
            <sz val="9"/>
            <color indexed="81"/>
            <rFont val="Tahoma"/>
            <family val="2"/>
          </rPr>
          <t xml:space="preserve">
Updated per IL TRM v8 Section 4.4</t>
        </r>
      </text>
    </comment>
    <comment ref="I131" authorId="0" shapeId="0" xr:uid="{ABDB245D-68AE-440D-9300-D22B832D2E2C}">
      <text>
        <r>
          <rPr>
            <b/>
            <sz val="9"/>
            <color indexed="81"/>
            <rFont val="Tahoma"/>
            <family val="2"/>
          </rPr>
          <t>Froio, Zach:</t>
        </r>
        <r>
          <rPr>
            <sz val="9"/>
            <color indexed="81"/>
            <rFont val="Tahoma"/>
            <family val="2"/>
          </rPr>
          <t xml:space="preserve">
Updated per IL TRM v8 Section 4.4</t>
        </r>
      </text>
    </comment>
    <comment ref="B132" authorId="0" shapeId="0" xr:uid="{058C6B43-9B75-477B-AA4A-6A9D5812D333}">
      <text>
        <r>
          <rPr>
            <b/>
            <sz val="9"/>
            <color indexed="81"/>
            <rFont val="Tahoma"/>
            <family val="2"/>
          </rPr>
          <t>Froio, Zach:</t>
        </r>
        <r>
          <rPr>
            <sz val="9"/>
            <color indexed="81"/>
            <rFont val="Tahoma"/>
            <family val="2"/>
          </rPr>
          <t xml:space="preserve">
Updated per IL TRM v8 Section 4.4</t>
        </r>
      </text>
    </comment>
    <comment ref="I132" authorId="0" shapeId="0" xr:uid="{AE3A9F0D-3C70-4AA6-99E4-C6B16F88F5E6}">
      <text>
        <r>
          <rPr>
            <b/>
            <sz val="9"/>
            <color indexed="81"/>
            <rFont val="Tahoma"/>
            <family val="2"/>
          </rPr>
          <t>Froio, Zach:</t>
        </r>
        <r>
          <rPr>
            <sz val="9"/>
            <color indexed="81"/>
            <rFont val="Tahoma"/>
            <family val="2"/>
          </rPr>
          <t xml:space="preserve">
Updated per IL TRM v8 Section 4.4</t>
        </r>
      </text>
    </comment>
    <comment ref="I133" authorId="0" shapeId="0" xr:uid="{EB1281FB-B7BE-43F5-96BA-9FD0F2FC8491}">
      <text>
        <r>
          <rPr>
            <b/>
            <sz val="9"/>
            <color indexed="81"/>
            <rFont val="Tahoma"/>
            <family val="2"/>
          </rPr>
          <t>Froio, Zach:</t>
        </r>
        <r>
          <rPr>
            <sz val="9"/>
            <color indexed="81"/>
            <rFont val="Tahoma"/>
            <family val="2"/>
          </rPr>
          <t xml:space="preserve">
Updated per IL TRM v8 Section 4.4</t>
        </r>
      </text>
    </comment>
    <comment ref="I134" authorId="0" shapeId="0" xr:uid="{33F21CAD-AB16-4BF6-B291-EB5F88239D82}">
      <text>
        <r>
          <rPr>
            <b/>
            <sz val="9"/>
            <color indexed="81"/>
            <rFont val="Tahoma"/>
            <family val="2"/>
          </rPr>
          <t>Froio, Zach:</t>
        </r>
        <r>
          <rPr>
            <sz val="9"/>
            <color indexed="81"/>
            <rFont val="Tahoma"/>
            <family val="2"/>
          </rPr>
          <t xml:space="preserve">
Updated per IL TRM v8 Section 4.4</t>
        </r>
      </text>
    </comment>
    <comment ref="B135" authorId="0" shapeId="0" xr:uid="{56BAB420-89D6-477E-A1B9-1CD976C6C0D2}">
      <text>
        <r>
          <rPr>
            <b/>
            <sz val="9"/>
            <color indexed="81"/>
            <rFont val="Tahoma"/>
            <family val="2"/>
          </rPr>
          <t>Froio, Zach:</t>
        </r>
        <r>
          <rPr>
            <sz val="9"/>
            <color indexed="81"/>
            <rFont val="Tahoma"/>
            <family val="2"/>
          </rPr>
          <t xml:space="preserve">
Updated per IL TRM v8 Section 4.4</t>
        </r>
      </text>
    </comment>
    <comment ref="I135" authorId="0" shapeId="0" xr:uid="{9684F4A1-8F5D-4E09-B3B2-5D99ED749220}">
      <text>
        <r>
          <rPr>
            <b/>
            <sz val="9"/>
            <color indexed="81"/>
            <rFont val="Tahoma"/>
            <family val="2"/>
          </rPr>
          <t>Froio, Zach:</t>
        </r>
        <r>
          <rPr>
            <sz val="9"/>
            <color indexed="81"/>
            <rFont val="Tahoma"/>
            <family val="2"/>
          </rPr>
          <t xml:space="preserve">
Updated per IL TRM v8 Section 4.4</t>
        </r>
      </text>
    </comment>
    <comment ref="I136" authorId="0" shapeId="0" xr:uid="{B7BC8259-1C19-4DA9-9BE0-71A235DA7A8B}">
      <text>
        <r>
          <rPr>
            <b/>
            <sz val="9"/>
            <color indexed="81"/>
            <rFont val="Tahoma"/>
            <family val="2"/>
          </rPr>
          <t>Froio, Zach:</t>
        </r>
        <r>
          <rPr>
            <sz val="9"/>
            <color indexed="81"/>
            <rFont val="Tahoma"/>
            <family val="2"/>
          </rPr>
          <t xml:space="preserve">
Updated per IL TRM v8 Section 4.4</t>
        </r>
      </text>
    </comment>
    <comment ref="I137" authorId="0" shapeId="0" xr:uid="{944DC94E-FDA7-4668-8396-4792DFEEACEE}">
      <text>
        <r>
          <rPr>
            <b/>
            <sz val="9"/>
            <color indexed="81"/>
            <rFont val="Tahoma"/>
            <family val="2"/>
          </rPr>
          <t>Froio, Zach:</t>
        </r>
        <r>
          <rPr>
            <sz val="9"/>
            <color indexed="81"/>
            <rFont val="Tahoma"/>
            <family val="2"/>
          </rPr>
          <t xml:space="preserve">
Updated per IL TRM v8 Section 4.4</t>
        </r>
      </text>
    </comment>
    <comment ref="I138" authorId="0" shapeId="0" xr:uid="{79719AFD-32AE-4441-B3EE-4257C38D7F23}">
      <text>
        <r>
          <rPr>
            <b/>
            <sz val="9"/>
            <color indexed="81"/>
            <rFont val="Tahoma"/>
            <family val="2"/>
          </rPr>
          <t>Froio, Zach:</t>
        </r>
        <r>
          <rPr>
            <sz val="9"/>
            <color indexed="81"/>
            <rFont val="Tahoma"/>
            <family val="2"/>
          </rPr>
          <t xml:space="preserve">
Updated per IL TRM v8 Section 4.4</t>
        </r>
      </text>
    </comment>
    <comment ref="I140" authorId="0" shapeId="0" xr:uid="{C8C371A0-4528-4EE0-ADB4-97E7C144731C}">
      <text>
        <r>
          <rPr>
            <b/>
            <sz val="9"/>
            <color indexed="81"/>
            <rFont val="Tahoma"/>
            <family val="2"/>
          </rPr>
          <t>Froio, Zach:</t>
        </r>
        <r>
          <rPr>
            <sz val="9"/>
            <color indexed="81"/>
            <rFont val="Tahoma"/>
            <family val="2"/>
          </rPr>
          <t xml:space="preserve">
Updated per IL TRM v8 Section 4.4</t>
        </r>
      </text>
    </comment>
    <comment ref="I141" authorId="0" shapeId="0" xr:uid="{035D1A15-48D8-47B2-914C-5DC52F74AD19}">
      <text>
        <r>
          <rPr>
            <b/>
            <sz val="9"/>
            <color indexed="81"/>
            <rFont val="Tahoma"/>
            <family val="2"/>
          </rPr>
          <t>Froio, Zach:</t>
        </r>
        <r>
          <rPr>
            <sz val="9"/>
            <color indexed="81"/>
            <rFont val="Tahoma"/>
            <family val="2"/>
          </rPr>
          <t xml:space="preserve">
Updated per IL TRM v8 Section 4.4</t>
        </r>
      </text>
    </comment>
    <comment ref="I142" authorId="0" shapeId="0" xr:uid="{C6F267A3-FFDE-486E-884F-118E26241BD9}">
      <text>
        <r>
          <rPr>
            <b/>
            <sz val="9"/>
            <color indexed="81"/>
            <rFont val="Tahoma"/>
            <family val="2"/>
          </rPr>
          <t>Froio, Zach:</t>
        </r>
        <r>
          <rPr>
            <sz val="9"/>
            <color indexed="81"/>
            <rFont val="Tahoma"/>
            <family val="2"/>
          </rPr>
          <t xml:space="preserve">
Updated per IL TRM v8 Section 4.4</t>
        </r>
      </text>
    </comment>
    <comment ref="I143" authorId="0" shapeId="0" xr:uid="{FAB7F10D-13F8-4362-9E3A-22F9C0E071B2}">
      <text>
        <r>
          <rPr>
            <b/>
            <sz val="9"/>
            <color indexed="81"/>
            <rFont val="Tahoma"/>
            <family val="2"/>
          </rPr>
          <t>Froio, Zach:</t>
        </r>
        <r>
          <rPr>
            <sz val="9"/>
            <color indexed="81"/>
            <rFont val="Tahoma"/>
            <family val="2"/>
          </rPr>
          <t xml:space="preserve">
Updated per IL TRM v8 Section 4.4</t>
        </r>
      </text>
    </comment>
    <comment ref="I145" authorId="0" shapeId="0" xr:uid="{22DD957A-DC55-4065-9F47-BD07BA1BFBEB}">
      <text>
        <r>
          <rPr>
            <b/>
            <sz val="9"/>
            <color indexed="81"/>
            <rFont val="Tahoma"/>
            <family val="2"/>
          </rPr>
          <t>Froio, Zach:</t>
        </r>
        <r>
          <rPr>
            <sz val="9"/>
            <color indexed="81"/>
            <rFont val="Tahoma"/>
            <family val="2"/>
          </rPr>
          <t xml:space="preserve">
Updated per IL TRM v8 Section 4.4</t>
        </r>
      </text>
    </comment>
    <comment ref="I146" authorId="0" shapeId="0" xr:uid="{9389FF15-A511-46BC-9077-B5F819CF4030}">
      <text>
        <r>
          <rPr>
            <b/>
            <sz val="9"/>
            <color indexed="81"/>
            <rFont val="Tahoma"/>
            <family val="2"/>
          </rPr>
          <t>Froio, Zach:</t>
        </r>
        <r>
          <rPr>
            <sz val="9"/>
            <color indexed="81"/>
            <rFont val="Tahoma"/>
            <family val="2"/>
          </rPr>
          <t xml:space="preserve">
Updated per IL TRM v8 Section 4.4</t>
        </r>
      </text>
    </comment>
    <comment ref="I147" authorId="0" shapeId="0" xr:uid="{D8458960-1211-4E09-9EB2-616C93708CDA}">
      <text>
        <r>
          <rPr>
            <b/>
            <sz val="9"/>
            <color indexed="81"/>
            <rFont val="Tahoma"/>
            <family val="2"/>
          </rPr>
          <t>Froio, Zach:</t>
        </r>
        <r>
          <rPr>
            <sz val="9"/>
            <color indexed="81"/>
            <rFont val="Tahoma"/>
            <family val="2"/>
          </rPr>
          <t xml:space="preserve">
Updated per IL TRM v8 Section 4.4</t>
        </r>
      </text>
    </comment>
    <comment ref="I148" authorId="0" shapeId="0" xr:uid="{E43B50E1-1A22-43EA-852B-10C4C41EB0AE}">
      <text>
        <r>
          <rPr>
            <b/>
            <sz val="9"/>
            <color indexed="81"/>
            <rFont val="Tahoma"/>
            <family val="2"/>
          </rPr>
          <t>Froio, Zach:</t>
        </r>
        <r>
          <rPr>
            <sz val="9"/>
            <color indexed="81"/>
            <rFont val="Tahoma"/>
            <family val="2"/>
          </rPr>
          <t xml:space="preserve">
Updated per IL TRM v8 Section 4.4</t>
        </r>
      </text>
    </comment>
    <comment ref="I149" authorId="0" shapeId="0" xr:uid="{6057F349-B12E-422A-8F77-75E08315271E}">
      <text>
        <r>
          <rPr>
            <b/>
            <sz val="9"/>
            <color indexed="81"/>
            <rFont val="Tahoma"/>
            <family val="2"/>
          </rPr>
          <t>Froio, Zach:</t>
        </r>
        <r>
          <rPr>
            <sz val="9"/>
            <color indexed="81"/>
            <rFont val="Tahoma"/>
            <family val="2"/>
          </rPr>
          <t xml:space="preserve">
Updated per IL TRM v8 Section 4.4</t>
        </r>
      </text>
    </comment>
    <comment ref="I150" authorId="0" shapeId="0" xr:uid="{32652C90-9B17-4674-BA0C-2A22CB070347}">
      <text>
        <r>
          <rPr>
            <b/>
            <sz val="9"/>
            <color indexed="81"/>
            <rFont val="Tahoma"/>
            <family val="2"/>
          </rPr>
          <t>Froio, Zach:</t>
        </r>
        <r>
          <rPr>
            <sz val="9"/>
            <color indexed="81"/>
            <rFont val="Tahoma"/>
            <family val="2"/>
          </rPr>
          <t xml:space="preserve">
Updated per IL TRM v8 Section 4.4</t>
        </r>
      </text>
    </comment>
    <comment ref="I151" authorId="0" shapeId="0" xr:uid="{EE8E640C-6F54-45A2-A1AB-3BA6E545F8D1}">
      <text>
        <r>
          <rPr>
            <b/>
            <sz val="9"/>
            <color indexed="81"/>
            <rFont val="Tahoma"/>
            <family val="2"/>
          </rPr>
          <t>Froio, Zach:</t>
        </r>
        <r>
          <rPr>
            <sz val="9"/>
            <color indexed="81"/>
            <rFont val="Tahoma"/>
            <family val="2"/>
          </rPr>
          <t xml:space="preserve">
Updated per IL TRM v8 Section 4.4</t>
        </r>
      </text>
    </comment>
    <comment ref="I153" authorId="0" shapeId="0" xr:uid="{5A0F218A-B287-4258-BBC0-9ED44EDDD318}">
      <text>
        <r>
          <rPr>
            <b/>
            <sz val="9"/>
            <color indexed="81"/>
            <rFont val="Tahoma"/>
            <family val="2"/>
          </rPr>
          <t>Froio, Zach:</t>
        </r>
        <r>
          <rPr>
            <sz val="9"/>
            <color indexed="81"/>
            <rFont val="Tahoma"/>
            <family val="2"/>
          </rPr>
          <t xml:space="preserve">
Updated per IL TRM v8 Section 4.4</t>
        </r>
      </text>
    </comment>
    <comment ref="I154" authorId="0" shapeId="0" xr:uid="{052C46FD-B5DB-491B-8891-E098E412BA59}">
      <text>
        <r>
          <rPr>
            <b/>
            <sz val="9"/>
            <color indexed="81"/>
            <rFont val="Tahoma"/>
            <family val="2"/>
          </rPr>
          <t>Froio, Zach:</t>
        </r>
        <r>
          <rPr>
            <sz val="9"/>
            <color indexed="81"/>
            <rFont val="Tahoma"/>
            <family val="2"/>
          </rPr>
          <t xml:space="preserve">
Updated per IL TRM v8 Section 4.4</t>
        </r>
      </text>
    </comment>
    <comment ref="I155" authorId="0" shapeId="0" xr:uid="{ECD2AFC3-13EF-4736-BFF1-7E447ED1E087}">
      <text>
        <r>
          <rPr>
            <b/>
            <sz val="9"/>
            <color indexed="81"/>
            <rFont val="Tahoma"/>
            <family val="2"/>
          </rPr>
          <t>Froio, Zach:</t>
        </r>
        <r>
          <rPr>
            <sz val="9"/>
            <color indexed="81"/>
            <rFont val="Tahoma"/>
            <family val="2"/>
          </rPr>
          <t xml:space="preserve">
Updated per IL TRM v8 Section 4.4</t>
        </r>
      </text>
    </comment>
    <comment ref="I156" authorId="0" shapeId="0" xr:uid="{FF368AFA-4570-4CC7-9DF3-25C2B1BD3211}">
      <text>
        <r>
          <rPr>
            <b/>
            <sz val="9"/>
            <color indexed="81"/>
            <rFont val="Tahoma"/>
            <family val="2"/>
          </rPr>
          <t>Froio, Zach:</t>
        </r>
        <r>
          <rPr>
            <sz val="9"/>
            <color indexed="81"/>
            <rFont val="Tahoma"/>
            <family val="2"/>
          </rPr>
          <t xml:space="preserve">
Updated per IL TRM v8 Section 4.4</t>
        </r>
      </text>
    </comment>
    <comment ref="I157" authorId="0" shapeId="0" xr:uid="{9E84F2DA-9E6D-4FF3-B081-62A9DF2BADD9}">
      <text>
        <r>
          <rPr>
            <b/>
            <sz val="9"/>
            <color indexed="81"/>
            <rFont val="Tahoma"/>
            <family val="2"/>
          </rPr>
          <t>Froio, Zach:</t>
        </r>
        <r>
          <rPr>
            <sz val="9"/>
            <color indexed="81"/>
            <rFont val="Tahoma"/>
            <family val="2"/>
          </rPr>
          <t xml:space="preserve">
Updated per IL TRM v8 Section 4.4</t>
        </r>
      </text>
    </comment>
    <comment ref="B160" authorId="0" shapeId="0" xr:uid="{5C78B53C-BDB9-41B0-B518-4B3D905ACC73}">
      <text>
        <r>
          <rPr>
            <b/>
            <sz val="9"/>
            <color indexed="81"/>
            <rFont val="Tahoma"/>
            <family val="2"/>
          </rPr>
          <t>Froio, Zach:</t>
        </r>
        <r>
          <rPr>
            <sz val="9"/>
            <color indexed="81"/>
            <rFont val="Tahoma"/>
            <family val="2"/>
          </rPr>
          <t xml:space="preserve">
Updated per IL TRM v8 Section 4.4</t>
        </r>
      </text>
    </comment>
    <comment ref="B173" authorId="0" shapeId="0" xr:uid="{84BEAC4E-ADD5-4D94-95F7-877E28090025}">
      <text>
        <r>
          <rPr>
            <b/>
            <sz val="9"/>
            <color indexed="81"/>
            <rFont val="Tahoma"/>
            <family val="2"/>
          </rPr>
          <t>Froio, Zach:</t>
        </r>
        <r>
          <rPr>
            <sz val="9"/>
            <color indexed="81"/>
            <rFont val="Tahoma"/>
            <family val="2"/>
          </rPr>
          <t xml:space="preserve">
Updated per IL TRM v8 Section 4.4</t>
        </r>
      </text>
    </comment>
    <comment ref="B176" authorId="0" shapeId="0" xr:uid="{21B0345C-A008-4E4F-A81D-7C33ABC4C67D}">
      <text>
        <r>
          <rPr>
            <b/>
            <sz val="9"/>
            <color indexed="81"/>
            <rFont val="Tahoma"/>
            <family val="2"/>
          </rPr>
          <t>Froio, Zach:</t>
        </r>
        <r>
          <rPr>
            <sz val="9"/>
            <color indexed="81"/>
            <rFont val="Tahoma"/>
            <family val="2"/>
          </rPr>
          <t xml:space="preserve">
Updated per IL TRM v8 Section 4.4</t>
        </r>
      </text>
    </comment>
    <comment ref="B201" authorId="0" shapeId="0" xr:uid="{E4FB5F0E-4E41-4F03-A3FB-D3E714D123D5}">
      <text>
        <r>
          <rPr>
            <b/>
            <sz val="9"/>
            <color indexed="81"/>
            <rFont val="Tahoma"/>
            <family val="2"/>
          </rPr>
          <t>Froio, Zach:</t>
        </r>
        <r>
          <rPr>
            <sz val="9"/>
            <color indexed="81"/>
            <rFont val="Tahoma"/>
            <family val="2"/>
          </rPr>
          <t xml:space="preserve">
Updated per IL TRM v8 Section 4.4</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Froio, Zach</author>
    <author>Grimes-Casey, Hilary G.</author>
  </authors>
  <commentList>
    <comment ref="C61" authorId="0" shapeId="0" xr:uid="{7B91241D-1169-48BD-93AB-71B138FF2D97}">
      <text>
        <r>
          <rPr>
            <b/>
            <sz val="9"/>
            <color indexed="81"/>
            <rFont val="Tahoma"/>
            <family val="2"/>
          </rPr>
          <t>Froio, Zach:</t>
        </r>
        <r>
          <rPr>
            <sz val="9"/>
            <color indexed="81"/>
            <rFont val="Tahoma"/>
            <family val="2"/>
          </rPr>
          <t xml:space="preserve">
Updated per TRM v8 Section 4.4</t>
        </r>
      </text>
    </comment>
    <comment ref="B65" authorId="0" shapeId="0" xr:uid="{6C94A28D-8287-4852-A510-EFC007687E08}">
      <text>
        <r>
          <rPr>
            <b/>
            <sz val="9"/>
            <color indexed="81"/>
            <rFont val="Tahoma"/>
            <family val="2"/>
          </rPr>
          <t>Froio, Zach:</t>
        </r>
        <r>
          <rPr>
            <sz val="9"/>
            <color indexed="81"/>
            <rFont val="Tahoma"/>
            <family val="2"/>
          </rPr>
          <t xml:space="preserve">
Updated per IL TRM v8 Section 4.4</t>
        </r>
      </text>
    </comment>
    <comment ref="B66" authorId="0" shapeId="0" xr:uid="{4E5CF16C-5FB4-44B5-82EB-ED805F5DA4EA}">
      <text>
        <r>
          <rPr>
            <b/>
            <sz val="9"/>
            <color indexed="81"/>
            <rFont val="Tahoma"/>
            <family val="2"/>
          </rPr>
          <t>Froio, Zach:</t>
        </r>
        <r>
          <rPr>
            <sz val="9"/>
            <color indexed="81"/>
            <rFont val="Tahoma"/>
            <family val="2"/>
          </rPr>
          <t xml:space="preserve">
Updated per IL TRM v8 Section 4.4</t>
        </r>
      </text>
    </comment>
    <comment ref="B68" authorId="0" shapeId="0" xr:uid="{17094C35-CAB3-4E09-A3C4-47C0B90A5A1D}">
      <text>
        <r>
          <rPr>
            <b/>
            <sz val="9"/>
            <color indexed="81"/>
            <rFont val="Tahoma"/>
            <family val="2"/>
          </rPr>
          <t>Froio, Zach:</t>
        </r>
        <r>
          <rPr>
            <sz val="9"/>
            <color indexed="81"/>
            <rFont val="Tahoma"/>
            <family val="2"/>
          </rPr>
          <t xml:space="preserve">
Updated per IL TRM v8 Section 4.4</t>
        </r>
      </text>
    </comment>
    <comment ref="B69" authorId="0" shapeId="0" xr:uid="{21A9741F-2C71-4D65-818E-6DBF3E4242E0}">
      <text>
        <r>
          <rPr>
            <b/>
            <sz val="9"/>
            <color indexed="81"/>
            <rFont val="Tahoma"/>
            <family val="2"/>
          </rPr>
          <t>Froio, Zach:</t>
        </r>
        <r>
          <rPr>
            <sz val="9"/>
            <color indexed="81"/>
            <rFont val="Tahoma"/>
            <family val="2"/>
          </rPr>
          <t xml:space="preserve">
Updated per IL TRM v8 Section 4.4</t>
        </r>
      </text>
    </comment>
    <comment ref="B71" authorId="0" shapeId="0" xr:uid="{BABB9588-2B2A-4539-A464-FB4F933389D9}">
      <text>
        <r>
          <rPr>
            <b/>
            <sz val="9"/>
            <color indexed="81"/>
            <rFont val="Tahoma"/>
            <family val="2"/>
          </rPr>
          <t>Froio, Zach:</t>
        </r>
        <r>
          <rPr>
            <sz val="9"/>
            <color indexed="81"/>
            <rFont val="Tahoma"/>
            <family val="2"/>
          </rPr>
          <t xml:space="preserve">
Updated per IL TRM v8 Section 4.4</t>
        </r>
      </text>
    </comment>
    <comment ref="B72" authorId="0" shapeId="0" xr:uid="{75726A28-0B55-414D-9A9B-40059B7C3FCA}">
      <text>
        <r>
          <rPr>
            <b/>
            <sz val="9"/>
            <color indexed="81"/>
            <rFont val="Tahoma"/>
            <family val="2"/>
          </rPr>
          <t>Froio, Zach:</t>
        </r>
        <r>
          <rPr>
            <sz val="9"/>
            <color indexed="81"/>
            <rFont val="Tahoma"/>
            <family val="2"/>
          </rPr>
          <t xml:space="preserve">
Updated per IL TRM v8 Section 4.4</t>
        </r>
      </text>
    </comment>
    <comment ref="B73" authorId="0" shapeId="0" xr:uid="{25E135C4-A815-41FC-B5D6-129E83B74B6A}">
      <text>
        <r>
          <rPr>
            <b/>
            <sz val="9"/>
            <color indexed="81"/>
            <rFont val="Tahoma"/>
            <family val="2"/>
          </rPr>
          <t>Froio, Zach:</t>
        </r>
        <r>
          <rPr>
            <sz val="9"/>
            <color indexed="81"/>
            <rFont val="Tahoma"/>
            <family val="2"/>
          </rPr>
          <t xml:space="preserve">
Updated per IL TRM v8 Section 4.4</t>
        </r>
      </text>
    </comment>
    <comment ref="B74" authorId="0" shapeId="0" xr:uid="{F72163E4-861D-45D5-8674-C9BE4CE1ECC7}">
      <text>
        <r>
          <rPr>
            <b/>
            <sz val="9"/>
            <color indexed="81"/>
            <rFont val="Tahoma"/>
            <family val="2"/>
          </rPr>
          <t>Froio, Zach:</t>
        </r>
        <r>
          <rPr>
            <sz val="9"/>
            <color indexed="81"/>
            <rFont val="Tahoma"/>
            <family val="2"/>
          </rPr>
          <t xml:space="preserve">
Updated per IL TRM v8 Section 4.4</t>
        </r>
      </text>
    </comment>
    <comment ref="B75" authorId="0" shapeId="0" xr:uid="{1D2B1649-BFC2-4115-9949-6BD9F204C043}">
      <text>
        <r>
          <rPr>
            <b/>
            <sz val="9"/>
            <color indexed="81"/>
            <rFont val="Tahoma"/>
            <family val="2"/>
          </rPr>
          <t>Froio, Zach:</t>
        </r>
        <r>
          <rPr>
            <sz val="9"/>
            <color indexed="81"/>
            <rFont val="Tahoma"/>
            <family val="2"/>
          </rPr>
          <t xml:space="preserve">
Updated per IL TRM v8 Section 4.4</t>
        </r>
      </text>
    </comment>
    <comment ref="B76" authorId="0" shapeId="0" xr:uid="{2F99BF30-3CC8-48AA-A9E8-B15F18DFB41C}">
      <text>
        <r>
          <rPr>
            <b/>
            <sz val="9"/>
            <color indexed="81"/>
            <rFont val="Tahoma"/>
            <family val="2"/>
          </rPr>
          <t>Froio, Zach:</t>
        </r>
        <r>
          <rPr>
            <sz val="9"/>
            <color indexed="81"/>
            <rFont val="Tahoma"/>
            <family val="2"/>
          </rPr>
          <t xml:space="preserve">
Updated per IL TRM v8 Section 4.4</t>
        </r>
      </text>
    </comment>
    <comment ref="B77" authorId="0" shapeId="0" xr:uid="{4759DF44-180E-489A-82FA-F4FF9C1C7FE4}">
      <text>
        <r>
          <rPr>
            <b/>
            <sz val="9"/>
            <color indexed="81"/>
            <rFont val="Tahoma"/>
            <family val="2"/>
          </rPr>
          <t>Froio, Zach:</t>
        </r>
        <r>
          <rPr>
            <sz val="9"/>
            <color indexed="81"/>
            <rFont val="Tahoma"/>
            <family val="2"/>
          </rPr>
          <t xml:space="preserve">
Updated per IL TRM v8 Section 4.4</t>
        </r>
      </text>
    </comment>
    <comment ref="B78" authorId="0" shapeId="0" xr:uid="{1ED8D311-FCDA-4665-A850-8C996BE69C50}">
      <text>
        <r>
          <rPr>
            <b/>
            <sz val="9"/>
            <color indexed="81"/>
            <rFont val="Tahoma"/>
            <family val="2"/>
          </rPr>
          <t>Froio, Zach:</t>
        </r>
        <r>
          <rPr>
            <sz val="9"/>
            <color indexed="81"/>
            <rFont val="Tahoma"/>
            <family val="2"/>
          </rPr>
          <t xml:space="preserve">
Updated per IL TRM v8 Section 4.4</t>
        </r>
      </text>
    </comment>
    <comment ref="B79" authorId="0" shapeId="0" xr:uid="{2CDA63D4-6E4C-44EC-8312-760EB6F77CA3}">
      <text>
        <r>
          <rPr>
            <b/>
            <sz val="9"/>
            <color indexed="81"/>
            <rFont val="Tahoma"/>
            <family val="2"/>
          </rPr>
          <t>Froio, Zach:</t>
        </r>
        <r>
          <rPr>
            <sz val="9"/>
            <color indexed="81"/>
            <rFont val="Tahoma"/>
            <family val="2"/>
          </rPr>
          <t xml:space="preserve">
Updated per IL TRM v8 Section 4.4</t>
        </r>
      </text>
    </comment>
    <comment ref="B80" authorId="0" shapeId="0" xr:uid="{7BCEAF22-55EA-4B2F-B6AB-D5ACAE3BB9DB}">
      <text>
        <r>
          <rPr>
            <b/>
            <sz val="9"/>
            <color indexed="81"/>
            <rFont val="Tahoma"/>
            <family val="2"/>
          </rPr>
          <t>Froio, Zach:</t>
        </r>
        <r>
          <rPr>
            <sz val="9"/>
            <color indexed="81"/>
            <rFont val="Tahoma"/>
            <family val="2"/>
          </rPr>
          <t xml:space="preserve">
Updated per IL TRM v8 Section 4.4</t>
        </r>
      </text>
    </comment>
    <comment ref="B82" authorId="0" shapeId="0" xr:uid="{841D7B8B-D84D-4100-B95B-FF531C51A300}">
      <text>
        <r>
          <rPr>
            <b/>
            <sz val="9"/>
            <color indexed="81"/>
            <rFont val="Tahoma"/>
            <family val="2"/>
          </rPr>
          <t>Froio, Zach:</t>
        </r>
        <r>
          <rPr>
            <sz val="9"/>
            <color indexed="81"/>
            <rFont val="Tahoma"/>
            <family val="2"/>
          </rPr>
          <t xml:space="preserve">
Updated per IL TRM v8 Section 4.4</t>
        </r>
      </text>
    </comment>
    <comment ref="B83" authorId="0" shapeId="0" xr:uid="{02B1C7E9-2534-4B64-B29A-862ACF8D3D14}">
      <text>
        <r>
          <rPr>
            <b/>
            <sz val="9"/>
            <color indexed="81"/>
            <rFont val="Tahoma"/>
            <family val="2"/>
          </rPr>
          <t>Froio, Zach:</t>
        </r>
        <r>
          <rPr>
            <sz val="9"/>
            <color indexed="81"/>
            <rFont val="Tahoma"/>
            <family val="2"/>
          </rPr>
          <t xml:space="preserve">
Updated per IL TRM v8 Section 4.4</t>
        </r>
      </text>
    </comment>
    <comment ref="B84" authorId="0" shapeId="0" xr:uid="{5A7CD096-CA46-4E1D-BA37-6A056255B3FF}">
      <text>
        <r>
          <rPr>
            <b/>
            <sz val="9"/>
            <color indexed="81"/>
            <rFont val="Tahoma"/>
            <family val="2"/>
          </rPr>
          <t>Froio, Zach:</t>
        </r>
        <r>
          <rPr>
            <sz val="9"/>
            <color indexed="81"/>
            <rFont val="Tahoma"/>
            <family val="2"/>
          </rPr>
          <t xml:space="preserve">
Updated per IL TRM v8 Section 4.4</t>
        </r>
      </text>
    </comment>
    <comment ref="B85" authorId="0" shapeId="0" xr:uid="{E46A8EFC-8FFE-42A2-81D4-363E3E07E56F}">
      <text>
        <r>
          <rPr>
            <b/>
            <sz val="9"/>
            <color indexed="81"/>
            <rFont val="Tahoma"/>
            <family val="2"/>
          </rPr>
          <t>Froio, Zach:</t>
        </r>
        <r>
          <rPr>
            <sz val="9"/>
            <color indexed="81"/>
            <rFont val="Tahoma"/>
            <family val="2"/>
          </rPr>
          <t xml:space="preserve">
Updated per IL TRM v8 Section 4.4</t>
        </r>
      </text>
    </comment>
    <comment ref="B87" authorId="0" shapeId="0" xr:uid="{7A3B9827-4F2B-446B-95F4-71780A075961}">
      <text>
        <r>
          <rPr>
            <b/>
            <sz val="9"/>
            <color indexed="81"/>
            <rFont val="Tahoma"/>
            <family val="2"/>
          </rPr>
          <t>Froio, Zach:</t>
        </r>
        <r>
          <rPr>
            <sz val="9"/>
            <color indexed="81"/>
            <rFont val="Tahoma"/>
            <family val="2"/>
          </rPr>
          <t xml:space="preserve">
Updated per IL TRM v8 Section 4.4</t>
        </r>
      </text>
    </comment>
    <comment ref="B88" authorId="0" shapeId="0" xr:uid="{9C1A4617-DFD8-4422-9D83-27ED84245CF7}">
      <text>
        <r>
          <rPr>
            <b/>
            <sz val="9"/>
            <color indexed="81"/>
            <rFont val="Tahoma"/>
            <family val="2"/>
          </rPr>
          <t>Froio, Zach:</t>
        </r>
        <r>
          <rPr>
            <sz val="9"/>
            <color indexed="81"/>
            <rFont val="Tahoma"/>
            <family val="2"/>
          </rPr>
          <t xml:space="preserve">
Updated per IL TRM v8 Section 4.4</t>
        </r>
      </text>
    </comment>
    <comment ref="B89" authorId="0" shapeId="0" xr:uid="{B6FD75E5-6503-401A-B8BD-EACED0C2D62B}">
      <text>
        <r>
          <rPr>
            <b/>
            <sz val="9"/>
            <color indexed="81"/>
            <rFont val="Tahoma"/>
            <family val="2"/>
          </rPr>
          <t>Froio, Zach:</t>
        </r>
        <r>
          <rPr>
            <sz val="9"/>
            <color indexed="81"/>
            <rFont val="Tahoma"/>
            <family val="2"/>
          </rPr>
          <t xml:space="preserve">
Updated per IL TRM v8 Section 4.4</t>
        </r>
      </text>
    </comment>
    <comment ref="B90" authorId="0" shapeId="0" xr:uid="{7CCC7311-D116-4C5A-9E6A-26D8F5C7047C}">
      <text>
        <r>
          <rPr>
            <b/>
            <sz val="9"/>
            <color indexed="81"/>
            <rFont val="Tahoma"/>
            <family val="2"/>
          </rPr>
          <t>Froio, Zach:</t>
        </r>
        <r>
          <rPr>
            <sz val="9"/>
            <color indexed="81"/>
            <rFont val="Tahoma"/>
            <family val="2"/>
          </rPr>
          <t xml:space="preserve">
Updated per IL TRM v8 Section 4.4</t>
        </r>
      </text>
    </comment>
    <comment ref="B91" authorId="0" shapeId="0" xr:uid="{CAEDBA28-2BC4-472B-9059-0FA81CBE56C3}">
      <text>
        <r>
          <rPr>
            <b/>
            <sz val="9"/>
            <color indexed="81"/>
            <rFont val="Tahoma"/>
            <family val="2"/>
          </rPr>
          <t>Froio, Zach:</t>
        </r>
        <r>
          <rPr>
            <sz val="9"/>
            <color indexed="81"/>
            <rFont val="Tahoma"/>
            <family val="2"/>
          </rPr>
          <t xml:space="preserve">
Updated per IL TRM v8 Section 4.4</t>
        </r>
      </text>
    </comment>
    <comment ref="B92" authorId="0" shapeId="0" xr:uid="{8B774448-5BAD-4240-87AF-3DD3C24D3259}">
      <text>
        <r>
          <rPr>
            <b/>
            <sz val="9"/>
            <color indexed="81"/>
            <rFont val="Tahoma"/>
            <family val="2"/>
          </rPr>
          <t>Froio, Zach:</t>
        </r>
        <r>
          <rPr>
            <sz val="9"/>
            <color indexed="81"/>
            <rFont val="Tahoma"/>
            <family val="2"/>
          </rPr>
          <t xml:space="preserve">
Updated per IL TRM v8 Section 4.4</t>
        </r>
      </text>
    </comment>
    <comment ref="B93" authorId="0" shapeId="0" xr:uid="{AD80F740-5C9E-4711-9D7F-750648936426}">
      <text>
        <r>
          <rPr>
            <b/>
            <sz val="9"/>
            <color indexed="81"/>
            <rFont val="Tahoma"/>
            <family val="2"/>
          </rPr>
          <t>Froio, Zach:</t>
        </r>
        <r>
          <rPr>
            <sz val="9"/>
            <color indexed="81"/>
            <rFont val="Tahoma"/>
            <family val="2"/>
          </rPr>
          <t xml:space="preserve">
Updated per IL TRM v8 Section 4.4</t>
        </r>
      </text>
    </comment>
    <comment ref="B95" authorId="0" shapeId="0" xr:uid="{84E63A69-AE4B-4726-B6B1-1F5C0E3E6812}">
      <text>
        <r>
          <rPr>
            <b/>
            <sz val="9"/>
            <color indexed="81"/>
            <rFont val="Tahoma"/>
            <family val="2"/>
          </rPr>
          <t>Froio, Zach:</t>
        </r>
        <r>
          <rPr>
            <sz val="9"/>
            <color indexed="81"/>
            <rFont val="Tahoma"/>
            <family val="2"/>
          </rPr>
          <t xml:space="preserve">
Updated per IL TRM v8 Section 4.4</t>
        </r>
      </text>
    </comment>
    <comment ref="B96" authorId="0" shapeId="0" xr:uid="{0389DAB2-7B68-40D8-A2D8-0385E5628931}">
      <text>
        <r>
          <rPr>
            <b/>
            <sz val="9"/>
            <color indexed="81"/>
            <rFont val="Tahoma"/>
            <family val="2"/>
          </rPr>
          <t>Froio, Zach:</t>
        </r>
        <r>
          <rPr>
            <sz val="9"/>
            <color indexed="81"/>
            <rFont val="Tahoma"/>
            <family val="2"/>
          </rPr>
          <t xml:space="preserve">
Updated per IL TRM v8 Section 4.4</t>
        </r>
      </text>
    </comment>
    <comment ref="B97" authorId="0" shapeId="0" xr:uid="{92BB405C-342F-4625-AF79-49D8094D7E27}">
      <text>
        <r>
          <rPr>
            <b/>
            <sz val="9"/>
            <color indexed="81"/>
            <rFont val="Tahoma"/>
            <family val="2"/>
          </rPr>
          <t>Froio, Zach:</t>
        </r>
        <r>
          <rPr>
            <sz val="9"/>
            <color indexed="81"/>
            <rFont val="Tahoma"/>
            <family val="2"/>
          </rPr>
          <t xml:space="preserve">
Updated per IL TRM v8 Section 4.4</t>
        </r>
      </text>
    </comment>
    <comment ref="B98" authorId="0" shapeId="0" xr:uid="{CA8E0CB8-337D-4A99-84BB-D31B72CF9A23}">
      <text>
        <r>
          <rPr>
            <b/>
            <sz val="9"/>
            <color indexed="81"/>
            <rFont val="Tahoma"/>
            <family val="2"/>
          </rPr>
          <t>Froio, Zach:</t>
        </r>
        <r>
          <rPr>
            <sz val="9"/>
            <color indexed="81"/>
            <rFont val="Tahoma"/>
            <family val="2"/>
          </rPr>
          <t xml:space="preserve">
Updated per IL TRM v8 Section 4.4</t>
        </r>
      </text>
    </comment>
    <comment ref="B99" authorId="0" shapeId="0" xr:uid="{4913E28D-A172-4735-9B7D-F034B15BEE95}">
      <text>
        <r>
          <rPr>
            <b/>
            <sz val="9"/>
            <color indexed="81"/>
            <rFont val="Tahoma"/>
            <family val="2"/>
          </rPr>
          <t>Froio, Zach:</t>
        </r>
        <r>
          <rPr>
            <sz val="9"/>
            <color indexed="81"/>
            <rFont val="Tahoma"/>
            <family val="2"/>
          </rPr>
          <t xml:space="preserve">
Updated per IL TRM v8 Section 4.4</t>
        </r>
      </text>
    </comment>
    <comment ref="I123" authorId="0" shapeId="0" xr:uid="{4131D4F7-5634-42AC-9818-BE10C7C24584}">
      <text>
        <r>
          <rPr>
            <b/>
            <sz val="9"/>
            <color indexed="81"/>
            <rFont val="Tahoma"/>
            <family val="2"/>
          </rPr>
          <t>Froio, Zach:</t>
        </r>
        <r>
          <rPr>
            <sz val="9"/>
            <color indexed="81"/>
            <rFont val="Tahoma"/>
            <family val="2"/>
          </rPr>
          <t xml:space="preserve">
Updated per IL TRM v8 Section 4.4</t>
        </r>
      </text>
    </comment>
    <comment ref="I124" authorId="0" shapeId="0" xr:uid="{EB0D4E66-C443-4F36-B89B-2FE0CDF20A7E}">
      <text>
        <r>
          <rPr>
            <b/>
            <sz val="9"/>
            <color indexed="81"/>
            <rFont val="Tahoma"/>
            <family val="2"/>
          </rPr>
          <t>Froio, Zach:</t>
        </r>
        <r>
          <rPr>
            <sz val="9"/>
            <color indexed="81"/>
            <rFont val="Tahoma"/>
            <family val="2"/>
          </rPr>
          <t xml:space="preserve">
Updated per IL TRM v8 Section 4.4</t>
        </r>
      </text>
    </comment>
    <comment ref="I126" authorId="0" shapeId="0" xr:uid="{1AA25835-1A51-4FD0-B50B-822ADEF2AA35}">
      <text>
        <r>
          <rPr>
            <b/>
            <sz val="9"/>
            <color indexed="81"/>
            <rFont val="Tahoma"/>
            <family val="2"/>
          </rPr>
          <t>Froio, Zach:</t>
        </r>
        <r>
          <rPr>
            <sz val="9"/>
            <color indexed="81"/>
            <rFont val="Tahoma"/>
            <family val="2"/>
          </rPr>
          <t xml:space="preserve">
Updated per IL TRM v8 Section 4.4</t>
        </r>
      </text>
    </comment>
    <comment ref="I127" authorId="0" shapeId="0" xr:uid="{B5B1DD11-B0A6-4C41-8D55-D69561428A34}">
      <text>
        <r>
          <rPr>
            <b/>
            <sz val="9"/>
            <color indexed="81"/>
            <rFont val="Tahoma"/>
            <family val="2"/>
          </rPr>
          <t>Froio, Zach:</t>
        </r>
        <r>
          <rPr>
            <sz val="9"/>
            <color indexed="81"/>
            <rFont val="Tahoma"/>
            <family val="2"/>
          </rPr>
          <t xml:space="preserve">
Updated per IL TRM v8 Section 4.4</t>
        </r>
      </text>
    </comment>
    <comment ref="I129" authorId="0" shapeId="0" xr:uid="{80758B39-6F96-4A29-8F96-B743E14F232B}">
      <text>
        <r>
          <rPr>
            <b/>
            <sz val="9"/>
            <color indexed="81"/>
            <rFont val="Tahoma"/>
            <family val="2"/>
          </rPr>
          <t>Froio, Zach:</t>
        </r>
        <r>
          <rPr>
            <sz val="9"/>
            <color indexed="81"/>
            <rFont val="Tahoma"/>
            <family val="2"/>
          </rPr>
          <t xml:space="preserve">
Updated per IL TRM v8 Section 4.4</t>
        </r>
      </text>
    </comment>
    <comment ref="I130" authorId="0" shapeId="0" xr:uid="{6F520441-D388-4934-A262-38EF3EC41AEE}">
      <text>
        <r>
          <rPr>
            <b/>
            <sz val="9"/>
            <color indexed="81"/>
            <rFont val="Tahoma"/>
            <family val="2"/>
          </rPr>
          <t>Froio, Zach:</t>
        </r>
        <r>
          <rPr>
            <sz val="9"/>
            <color indexed="81"/>
            <rFont val="Tahoma"/>
            <family val="2"/>
          </rPr>
          <t xml:space="preserve">
Updated per IL TRM v8 Section 4.4</t>
        </r>
      </text>
    </comment>
    <comment ref="I131" authorId="0" shapeId="0" xr:uid="{6C3BA8C8-00A7-40D4-AF66-53D431D4CFF5}">
      <text>
        <r>
          <rPr>
            <b/>
            <sz val="9"/>
            <color indexed="81"/>
            <rFont val="Tahoma"/>
            <family val="2"/>
          </rPr>
          <t>Froio, Zach:</t>
        </r>
        <r>
          <rPr>
            <sz val="9"/>
            <color indexed="81"/>
            <rFont val="Tahoma"/>
            <family val="2"/>
          </rPr>
          <t xml:space="preserve">
Updated per IL TRM v8 Section 4.4</t>
        </r>
      </text>
    </comment>
    <comment ref="B132" authorId="0" shapeId="0" xr:uid="{871C4ABA-64DD-4F04-8DB4-FF5292A9C79F}">
      <text>
        <r>
          <rPr>
            <b/>
            <sz val="9"/>
            <color indexed="81"/>
            <rFont val="Tahoma"/>
            <family val="2"/>
          </rPr>
          <t>Froio, Zach:</t>
        </r>
        <r>
          <rPr>
            <sz val="9"/>
            <color indexed="81"/>
            <rFont val="Tahoma"/>
            <family val="2"/>
          </rPr>
          <t xml:space="preserve">
Updated per IL TRM v8 Section 4.4</t>
        </r>
      </text>
    </comment>
    <comment ref="I132" authorId="0" shapeId="0" xr:uid="{A906F34B-BE62-40DD-B475-1C24182A4029}">
      <text>
        <r>
          <rPr>
            <b/>
            <sz val="9"/>
            <color indexed="81"/>
            <rFont val="Tahoma"/>
            <family val="2"/>
          </rPr>
          <t>Froio, Zach:</t>
        </r>
        <r>
          <rPr>
            <sz val="9"/>
            <color indexed="81"/>
            <rFont val="Tahoma"/>
            <family val="2"/>
          </rPr>
          <t xml:space="preserve">
Updated per IL TRM v8 Section 4.4</t>
        </r>
      </text>
    </comment>
    <comment ref="I133" authorId="0" shapeId="0" xr:uid="{3ECA731A-6792-4EC6-9033-4BF0CCA25780}">
      <text>
        <r>
          <rPr>
            <b/>
            <sz val="9"/>
            <color indexed="81"/>
            <rFont val="Tahoma"/>
            <family val="2"/>
          </rPr>
          <t>Froio, Zach:</t>
        </r>
        <r>
          <rPr>
            <sz val="9"/>
            <color indexed="81"/>
            <rFont val="Tahoma"/>
            <family val="2"/>
          </rPr>
          <t xml:space="preserve">
Updated per IL TRM v8 Section 4.4</t>
        </r>
      </text>
    </comment>
    <comment ref="I134" authorId="0" shapeId="0" xr:uid="{0D509E6F-32AD-4867-8CC7-D83A66F34FD7}">
      <text>
        <r>
          <rPr>
            <b/>
            <sz val="9"/>
            <color indexed="81"/>
            <rFont val="Tahoma"/>
            <family val="2"/>
          </rPr>
          <t>Froio, Zach:</t>
        </r>
        <r>
          <rPr>
            <sz val="9"/>
            <color indexed="81"/>
            <rFont val="Tahoma"/>
            <family val="2"/>
          </rPr>
          <t xml:space="preserve">
Updated per IL TRM v8 Section 4.4</t>
        </r>
      </text>
    </comment>
    <comment ref="B135" authorId="0" shapeId="0" xr:uid="{617320AF-FB70-4C06-9EAB-7307A6C2A65A}">
      <text>
        <r>
          <rPr>
            <b/>
            <sz val="9"/>
            <color indexed="81"/>
            <rFont val="Tahoma"/>
            <family val="2"/>
          </rPr>
          <t>Froio, Zach:</t>
        </r>
        <r>
          <rPr>
            <sz val="9"/>
            <color indexed="81"/>
            <rFont val="Tahoma"/>
            <family val="2"/>
          </rPr>
          <t xml:space="preserve">
Updated per IL TRM v8 Section 4.4</t>
        </r>
      </text>
    </comment>
    <comment ref="I135" authorId="0" shapeId="0" xr:uid="{E5D7D2BB-450C-4073-9E90-5504D5491C66}">
      <text>
        <r>
          <rPr>
            <b/>
            <sz val="9"/>
            <color indexed="81"/>
            <rFont val="Tahoma"/>
            <family val="2"/>
          </rPr>
          <t>Froio, Zach:</t>
        </r>
        <r>
          <rPr>
            <sz val="9"/>
            <color indexed="81"/>
            <rFont val="Tahoma"/>
            <family val="2"/>
          </rPr>
          <t xml:space="preserve">
Updated per IL TRM v8 Section 4.4</t>
        </r>
      </text>
    </comment>
    <comment ref="I136" authorId="0" shapeId="0" xr:uid="{6F2ABC39-5A6D-4407-A254-7B0AA1E8BFD6}">
      <text>
        <r>
          <rPr>
            <b/>
            <sz val="9"/>
            <color indexed="81"/>
            <rFont val="Tahoma"/>
            <family val="2"/>
          </rPr>
          <t>Froio, Zach:</t>
        </r>
        <r>
          <rPr>
            <sz val="9"/>
            <color indexed="81"/>
            <rFont val="Tahoma"/>
            <family val="2"/>
          </rPr>
          <t xml:space="preserve">
Updated per IL TRM v8 Section 4.4</t>
        </r>
      </text>
    </comment>
    <comment ref="I137" authorId="0" shapeId="0" xr:uid="{7A48B712-DDF3-4504-9171-7628B40DE10A}">
      <text>
        <r>
          <rPr>
            <b/>
            <sz val="9"/>
            <color indexed="81"/>
            <rFont val="Tahoma"/>
            <family val="2"/>
          </rPr>
          <t>Froio, Zach:</t>
        </r>
        <r>
          <rPr>
            <sz val="9"/>
            <color indexed="81"/>
            <rFont val="Tahoma"/>
            <family val="2"/>
          </rPr>
          <t xml:space="preserve">
Updated per IL TRM v8 Section 4.4</t>
        </r>
      </text>
    </comment>
    <comment ref="I138" authorId="0" shapeId="0" xr:uid="{A51664DC-A69E-465E-B263-BCD06DC0E4A1}">
      <text>
        <r>
          <rPr>
            <b/>
            <sz val="9"/>
            <color indexed="81"/>
            <rFont val="Tahoma"/>
            <family val="2"/>
          </rPr>
          <t>Froio, Zach:</t>
        </r>
        <r>
          <rPr>
            <sz val="9"/>
            <color indexed="81"/>
            <rFont val="Tahoma"/>
            <family val="2"/>
          </rPr>
          <t xml:space="preserve">
Updated per IL TRM v8 Section 4.4</t>
        </r>
      </text>
    </comment>
    <comment ref="I140" authorId="0" shapeId="0" xr:uid="{42E24160-1550-4BFD-B2E8-77E0E9F832A5}">
      <text>
        <r>
          <rPr>
            <b/>
            <sz val="9"/>
            <color indexed="81"/>
            <rFont val="Tahoma"/>
            <family val="2"/>
          </rPr>
          <t>Froio, Zach:</t>
        </r>
        <r>
          <rPr>
            <sz val="9"/>
            <color indexed="81"/>
            <rFont val="Tahoma"/>
            <family val="2"/>
          </rPr>
          <t xml:space="preserve">
Updated per IL TRM v8 Section 4.4</t>
        </r>
      </text>
    </comment>
    <comment ref="I141" authorId="0" shapeId="0" xr:uid="{02E43971-9EFC-4B14-B5C7-70BB0259CE69}">
      <text>
        <r>
          <rPr>
            <b/>
            <sz val="9"/>
            <color indexed="81"/>
            <rFont val="Tahoma"/>
            <family val="2"/>
          </rPr>
          <t>Froio, Zach:</t>
        </r>
        <r>
          <rPr>
            <sz val="9"/>
            <color indexed="81"/>
            <rFont val="Tahoma"/>
            <family val="2"/>
          </rPr>
          <t xml:space="preserve">
Updated per IL TRM v8 Section 4.4</t>
        </r>
      </text>
    </comment>
    <comment ref="I142" authorId="0" shapeId="0" xr:uid="{8760B17C-1BCE-4841-BE6B-2492902B06E6}">
      <text>
        <r>
          <rPr>
            <b/>
            <sz val="9"/>
            <color indexed="81"/>
            <rFont val="Tahoma"/>
            <family val="2"/>
          </rPr>
          <t>Froio, Zach:</t>
        </r>
        <r>
          <rPr>
            <sz val="9"/>
            <color indexed="81"/>
            <rFont val="Tahoma"/>
            <family val="2"/>
          </rPr>
          <t xml:space="preserve">
Updated per IL TRM v8 Section 4.4</t>
        </r>
      </text>
    </comment>
    <comment ref="I143" authorId="0" shapeId="0" xr:uid="{5CBF40B1-713C-4A8F-A08D-DC9FBEBF313E}">
      <text>
        <r>
          <rPr>
            <b/>
            <sz val="9"/>
            <color indexed="81"/>
            <rFont val="Tahoma"/>
            <family val="2"/>
          </rPr>
          <t>Froio, Zach:</t>
        </r>
        <r>
          <rPr>
            <sz val="9"/>
            <color indexed="81"/>
            <rFont val="Tahoma"/>
            <family val="2"/>
          </rPr>
          <t xml:space="preserve">
Updated per IL TRM v8 Section 4.4</t>
        </r>
      </text>
    </comment>
    <comment ref="I145" authorId="0" shapeId="0" xr:uid="{1AAF1583-11C0-436A-8596-48905E4CE4C2}">
      <text>
        <r>
          <rPr>
            <b/>
            <sz val="9"/>
            <color indexed="81"/>
            <rFont val="Tahoma"/>
            <family val="2"/>
          </rPr>
          <t>Froio, Zach:</t>
        </r>
        <r>
          <rPr>
            <sz val="9"/>
            <color indexed="81"/>
            <rFont val="Tahoma"/>
            <family val="2"/>
          </rPr>
          <t xml:space="preserve">
Updated per IL TRM v8 Section 4.4</t>
        </r>
      </text>
    </comment>
    <comment ref="I146" authorId="0" shapeId="0" xr:uid="{2C8F1300-40AB-4F43-988E-7865842BDE9E}">
      <text>
        <r>
          <rPr>
            <b/>
            <sz val="9"/>
            <color indexed="81"/>
            <rFont val="Tahoma"/>
            <family val="2"/>
          </rPr>
          <t>Froio, Zach:</t>
        </r>
        <r>
          <rPr>
            <sz val="9"/>
            <color indexed="81"/>
            <rFont val="Tahoma"/>
            <family val="2"/>
          </rPr>
          <t xml:space="preserve">
Updated per IL TRM v8 Section 4.4</t>
        </r>
      </text>
    </comment>
    <comment ref="I147" authorId="0" shapeId="0" xr:uid="{A8485FB7-38BF-4F89-91F0-B0DD95D202C4}">
      <text>
        <r>
          <rPr>
            <b/>
            <sz val="9"/>
            <color indexed="81"/>
            <rFont val="Tahoma"/>
            <family val="2"/>
          </rPr>
          <t>Froio, Zach:</t>
        </r>
        <r>
          <rPr>
            <sz val="9"/>
            <color indexed="81"/>
            <rFont val="Tahoma"/>
            <family val="2"/>
          </rPr>
          <t xml:space="preserve">
Updated per IL TRM v8 Section 4.4</t>
        </r>
      </text>
    </comment>
    <comment ref="I148" authorId="0" shapeId="0" xr:uid="{DC1DC6D7-7F98-48B7-82B8-1DD55263746A}">
      <text>
        <r>
          <rPr>
            <b/>
            <sz val="9"/>
            <color indexed="81"/>
            <rFont val="Tahoma"/>
            <family val="2"/>
          </rPr>
          <t>Froio, Zach:</t>
        </r>
        <r>
          <rPr>
            <sz val="9"/>
            <color indexed="81"/>
            <rFont val="Tahoma"/>
            <family val="2"/>
          </rPr>
          <t xml:space="preserve">
Updated per IL TRM v8 Section 4.4</t>
        </r>
      </text>
    </comment>
    <comment ref="I149" authorId="0" shapeId="0" xr:uid="{B6E25294-E373-4DDA-8F97-054F1ADC6EF2}">
      <text>
        <r>
          <rPr>
            <b/>
            <sz val="9"/>
            <color indexed="81"/>
            <rFont val="Tahoma"/>
            <family val="2"/>
          </rPr>
          <t>Froio, Zach:</t>
        </r>
        <r>
          <rPr>
            <sz val="9"/>
            <color indexed="81"/>
            <rFont val="Tahoma"/>
            <family val="2"/>
          </rPr>
          <t xml:space="preserve">
Updated per IL TRM v8 Section 4.4</t>
        </r>
      </text>
    </comment>
    <comment ref="I150" authorId="0" shapeId="0" xr:uid="{A649C5E1-2F2E-47B1-A32F-E4C0E11B29E3}">
      <text>
        <r>
          <rPr>
            <b/>
            <sz val="9"/>
            <color indexed="81"/>
            <rFont val="Tahoma"/>
            <family val="2"/>
          </rPr>
          <t>Froio, Zach:</t>
        </r>
        <r>
          <rPr>
            <sz val="9"/>
            <color indexed="81"/>
            <rFont val="Tahoma"/>
            <family val="2"/>
          </rPr>
          <t xml:space="preserve">
Updated per IL TRM v8 Section 4.4</t>
        </r>
      </text>
    </comment>
    <comment ref="I151" authorId="0" shapeId="0" xr:uid="{794D2A8F-A0AE-4C67-B516-93C9C2A98697}">
      <text>
        <r>
          <rPr>
            <b/>
            <sz val="9"/>
            <color indexed="81"/>
            <rFont val="Tahoma"/>
            <family val="2"/>
          </rPr>
          <t>Froio, Zach:</t>
        </r>
        <r>
          <rPr>
            <sz val="9"/>
            <color indexed="81"/>
            <rFont val="Tahoma"/>
            <family val="2"/>
          </rPr>
          <t xml:space="preserve">
Updated per IL TRM v8 Section 4.4</t>
        </r>
      </text>
    </comment>
    <comment ref="I153" authorId="0" shapeId="0" xr:uid="{9D75FCCA-86CD-485C-9A61-AE815905AEE7}">
      <text>
        <r>
          <rPr>
            <b/>
            <sz val="9"/>
            <color indexed="81"/>
            <rFont val="Tahoma"/>
            <family val="2"/>
          </rPr>
          <t>Froio, Zach:</t>
        </r>
        <r>
          <rPr>
            <sz val="9"/>
            <color indexed="81"/>
            <rFont val="Tahoma"/>
            <family val="2"/>
          </rPr>
          <t xml:space="preserve">
Updated per IL TRM v8 Section 4.4</t>
        </r>
      </text>
    </comment>
    <comment ref="I154" authorId="0" shapeId="0" xr:uid="{EC21478A-20E8-4D14-AD52-4DE9EFF52F32}">
      <text>
        <r>
          <rPr>
            <b/>
            <sz val="9"/>
            <color indexed="81"/>
            <rFont val="Tahoma"/>
            <family val="2"/>
          </rPr>
          <t>Froio, Zach:</t>
        </r>
        <r>
          <rPr>
            <sz val="9"/>
            <color indexed="81"/>
            <rFont val="Tahoma"/>
            <family val="2"/>
          </rPr>
          <t xml:space="preserve">
Updated per IL TRM v8 Section 4.4</t>
        </r>
      </text>
    </comment>
    <comment ref="I155" authorId="0" shapeId="0" xr:uid="{6BBCDCF7-7AD6-4A61-AE36-6AD85C86B1D0}">
      <text>
        <r>
          <rPr>
            <b/>
            <sz val="9"/>
            <color indexed="81"/>
            <rFont val="Tahoma"/>
            <family val="2"/>
          </rPr>
          <t>Froio, Zach:</t>
        </r>
        <r>
          <rPr>
            <sz val="9"/>
            <color indexed="81"/>
            <rFont val="Tahoma"/>
            <family val="2"/>
          </rPr>
          <t xml:space="preserve">
Updated per IL TRM v8 Section 4.4</t>
        </r>
      </text>
    </comment>
    <comment ref="I156" authorId="0" shapeId="0" xr:uid="{A4BAB157-A807-4F73-A802-ADDD2130C1BB}">
      <text>
        <r>
          <rPr>
            <b/>
            <sz val="9"/>
            <color indexed="81"/>
            <rFont val="Tahoma"/>
            <family val="2"/>
          </rPr>
          <t>Froio, Zach:</t>
        </r>
        <r>
          <rPr>
            <sz val="9"/>
            <color indexed="81"/>
            <rFont val="Tahoma"/>
            <family val="2"/>
          </rPr>
          <t xml:space="preserve">
Updated per IL TRM v8 Section 4.4</t>
        </r>
      </text>
    </comment>
    <comment ref="I157" authorId="0" shapeId="0" xr:uid="{43C8FDED-24C5-4081-8C86-899AD6EB5C60}">
      <text>
        <r>
          <rPr>
            <b/>
            <sz val="9"/>
            <color indexed="81"/>
            <rFont val="Tahoma"/>
            <family val="2"/>
          </rPr>
          <t>Froio, Zach:</t>
        </r>
        <r>
          <rPr>
            <sz val="9"/>
            <color indexed="81"/>
            <rFont val="Tahoma"/>
            <family val="2"/>
          </rPr>
          <t xml:space="preserve">
Updated per IL TRM v8 Section 4.4</t>
        </r>
      </text>
    </comment>
    <comment ref="B160" authorId="0" shapeId="0" xr:uid="{127C0F12-61D5-4713-AA22-77D9D9622B1D}">
      <text>
        <r>
          <rPr>
            <b/>
            <sz val="9"/>
            <color indexed="81"/>
            <rFont val="Tahoma"/>
            <family val="2"/>
          </rPr>
          <t>Froio, Zach:</t>
        </r>
        <r>
          <rPr>
            <sz val="9"/>
            <color indexed="81"/>
            <rFont val="Tahoma"/>
            <family val="2"/>
          </rPr>
          <t xml:space="preserve">
Updated per IL TRM v8 Section 4.4</t>
        </r>
      </text>
    </comment>
    <comment ref="B173" authorId="0" shapeId="0" xr:uid="{629657D7-0492-4B74-8997-60EBA148A094}">
      <text>
        <r>
          <rPr>
            <b/>
            <sz val="9"/>
            <color indexed="81"/>
            <rFont val="Tahoma"/>
            <family val="2"/>
          </rPr>
          <t>Froio, Zach:</t>
        </r>
        <r>
          <rPr>
            <sz val="9"/>
            <color indexed="81"/>
            <rFont val="Tahoma"/>
            <family val="2"/>
          </rPr>
          <t xml:space="preserve">
Updated per IL TRM v8 Section 4.4</t>
        </r>
      </text>
    </comment>
    <comment ref="B176" authorId="0" shapeId="0" xr:uid="{04C29FF1-42EF-427A-8F11-94923BA51D5C}">
      <text>
        <r>
          <rPr>
            <b/>
            <sz val="9"/>
            <color indexed="81"/>
            <rFont val="Tahoma"/>
            <family val="2"/>
          </rPr>
          <t>Froio, Zach:</t>
        </r>
        <r>
          <rPr>
            <sz val="9"/>
            <color indexed="81"/>
            <rFont val="Tahoma"/>
            <family val="2"/>
          </rPr>
          <t xml:space="preserve">
Updated per IL TRM v8 Section 4.4</t>
        </r>
      </text>
    </comment>
    <comment ref="B201" authorId="0" shapeId="0" xr:uid="{A3BDBDC1-977F-492E-84AD-683B58C2ECDC}">
      <text>
        <r>
          <rPr>
            <b/>
            <sz val="9"/>
            <color indexed="81"/>
            <rFont val="Tahoma"/>
            <family val="2"/>
          </rPr>
          <t>Froio, Zach:</t>
        </r>
        <r>
          <rPr>
            <sz val="9"/>
            <color indexed="81"/>
            <rFont val="Tahoma"/>
            <family val="2"/>
          </rPr>
          <t xml:space="preserve">
Updated per IL TRM v8 Section 4.4</t>
        </r>
      </text>
    </comment>
    <comment ref="E216" authorId="1" shapeId="0" xr:uid="{00000000-0006-0000-4100-000001000000}">
      <text>
        <r>
          <rPr>
            <b/>
            <sz val="9"/>
            <color indexed="81"/>
            <rFont val="Tahoma"/>
            <family val="2"/>
          </rPr>
          <t>Grimes-Casey, Hilary G.:</t>
        </r>
        <r>
          <rPr>
            <sz val="9"/>
            <color indexed="81"/>
            <rFont val="Tahoma"/>
            <family val="2"/>
          </rPr>
          <t xml:space="preserve">
just a guess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EB2195BC-2E5D-4E04-8447-F15A70D5D623}">
      <text>
        <r>
          <rPr>
            <b/>
            <sz val="9"/>
            <color indexed="81"/>
            <rFont val="Tahoma"/>
            <family val="2"/>
          </rPr>
          <t>Froio, Zach:</t>
        </r>
        <r>
          <rPr>
            <sz val="9"/>
            <color indexed="81"/>
            <rFont val="Tahoma"/>
            <family val="2"/>
          </rPr>
          <t xml:space="preserve">
Updated per TRM v8 Section 4.4</t>
        </r>
      </text>
    </comment>
    <comment ref="B84" authorId="0" shapeId="0" xr:uid="{FC4C0305-09A9-4DA6-BE16-6F08276C6B5B}">
      <text>
        <r>
          <rPr>
            <b/>
            <sz val="9"/>
            <color indexed="81"/>
            <rFont val="Tahoma"/>
            <family val="2"/>
          </rPr>
          <t>Froio, Zach:</t>
        </r>
        <r>
          <rPr>
            <sz val="9"/>
            <color indexed="81"/>
            <rFont val="Tahoma"/>
            <family val="2"/>
          </rPr>
          <t xml:space="preserve">
Updated per IL TRM v8 Section 4.4</t>
        </r>
      </text>
    </comment>
    <comment ref="B85" authorId="0" shapeId="0" xr:uid="{2D7006A1-FB2A-4EBF-BC70-3D1AAD63BF10}">
      <text>
        <r>
          <rPr>
            <b/>
            <sz val="9"/>
            <color indexed="81"/>
            <rFont val="Tahoma"/>
            <family val="2"/>
          </rPr>
          <t>Froio, Zach:</t>
        </r>
        <r>
          <rPr>
            <sz val="9"/>
            <color indexed="81"/>
            <rFont val="Tahoma"/>
            <family val="2"/>
          </rPr>
          <t xml:space="preserve">
Updated per IL TRM v8 Section 4.4</t>
        </r>
      </text>
    </comment>
    <comment ref="B87" authorId="0" shapeId="0" xr:uid="{B35B8B2A-4CE9-42CF-817F-935D3895DFA9}">
      <text>
        <r>
          <rPr>
            <b/>
            <sz val="9"/>
            <color indexed="81"/>
            <rFont val="Tahoma"/>
            <family val="2"/>
          </rPr>
          <t>Froio, Zach:</t>
        </r>
        <r>
          <rPr>
            <sz val="9"/>
            <color indexed="81"/>
            <rFont val="Tahoma"/>
            <family val="2"/>
          </rPr>
          <t xml:space="preserve">
Updated per IL TRM v8 Section 4.4</t>
        </r>
      </text>
    </comment>
    <comment ref="B88" authorId="0" shapeId="0" xr:uid="{DB0C7745-903D-48B1-A266-52DA32721542}">
      <text>
        <r>
          <rPr>
            <b/>
            <sz val="9"/>
            <color indexed="81"/>
            <rFont val="Tahoma"/>
            <family val="2"/>
          </rPr>
          <t>Froio, Zach:</t>
        </r>
        <r>
          <rPr>
            <sz val="9"/>
            <color indexed="81"/>
            <rFont val="Tahoma"/>
            <family val="2"/>
          </rPr>
          <t xml:space="preserve">
Updated per IL TRM v8 Section 4.4</t>
        </r>
      </text>
    </comment>
    <comment ref="B90" authorId="0" shapeId="0" xr:uid="{11CDD29F-A655-41DB-90A7-701157AADCAD}">
      <text>
        <r>
          <rPr>
            <b/>
            <sz val="9"/>
            <color indexed="81"/>
            <rFont val="Tahoma"/>
            <family val="2"/>
          </rPr>
          <t>Froio, Zach:</t>
        </r>
        <r>
          <rPr>
            <sz val="9"/>
            <color indexed="81"/>
            <rFont val="Tahoma"/>
            <family val="2"/>
          </rPr>
          <t xml:space="preserve">
Updated per IL TRM v8 Section 4.4</t>
        </r>
      </text>
    </comment>
    <comment ref="B91" authorId="0" shapeId="0" xr:uid="{98EF0D33-9D1E-4517-9142-F615E19F77C7}">
      <text>
        <r>
          <rPr>
            <b/>
            <sz val="9"/>
            <color indexed="81"/>
            <rFont val="Tahoma"/>
            <family val="2"/>
          </rPr>
          <t>Froio, Zach:</t>
        </r>
        <r>
          <rPr>
            <sz val="9"/>
            <color indexed="81"/>
            <rFont val="Tahoma"/>
            <family val="2"/>
          </rPr>
          <t xml:space="preserve">
Updated per IL TRM v8 Section 4.4</t>
        </r>
      </text>
    </comment>
    <comment ref="B92" authorId="0" shapeId="0" xr:uid="{17E65427-0D09-4E6A-A2A7-4BF482B5993F}">
      <text>
        <r>
          <rPr>
            <b/>
            <sz val="9"/>
            <color indexed="81"/>
            <rFont val="Tahoma"/>
            <family val="2"/>
          </rPr>
          <t>Froio, Zach:</t>
        </r>
        <r>
          <rPr>
            <sz val="9"/>
            <color indexed="81"/>
            <rFont val="Tahoma"/>
            <family val="2"/>
          </rPr>
          <t xml:space="preserve">
Updated per IL TRM v8 Section 4.4</t>
        </r>
      </text>
    </comment>
    <comment ref="B93" authorId="0" shapeId="0" xr:uid="{1E3072E0-C43A-42B6-9971-DC74006E4465}">
      <text>
        <r>
          <rPr>
            <b/>
            <sz val="9"/>
            <color indexed="81"/>
            <rFont val="Tahoma"/>
            <family val="2"/>
          </rPr>
          <t>Froio, Zach:</t>
        </r>
        <r>
          <rPr>
            <sz val="9"/>
            <color indexed="81"/>
            <rFont val="Tahoma"/>
            <family val="2"/>
          </rPr>
          <t xml:space="preserve">
Updated per IL TRM v8 Section 4.4</t>
        </r>
      </text>
    </comment>
    <comment ref="B94" authorId="0" shapeId="0" xr:uid="{D10909BD-B751-494E-8E7E-17CDB0260040}">
      <text>
        <r>
          <rPr>
            <b/>
            <sz val="9"/>
            <color indexed="81"/>
            <rFont val="Tahoma"/>
            <family val="2"/>
          </rPr>
          <t>Froio, Zach:</t>
        </r>
        <r>
          <rPr>
            <sz val="9"/>
            <color indexed="81"/>
            <rFont val="Tahoma"/>
            <family val="2"/>
          </rPr>
          <t xml:space="preserve">
Updated per IL TRM v8 Section 4.4</t>
        </r>
      </text>
    </comment>
    <comment ref="B95" authorId="0" shapeId="0" xr:uid="{1B198EA8-2253-4038-B2BB-F9B8DAC6E47E}">
      <text>
        <r>
          <rPr>
            <b/>
            <sz val="9"/>
            <color indexed="81"/>
            <rFont val="Tahoma"/>
            <family val="2"/>
          </rPr>
          <t>Froio, Zach:</t>
        </r>
        <r>
          <rPr>
            <sz val="9"/>
            <color indexed="81"/>
            <rFont val="Tahoma"/>
            <family val="2"/>
          </rPr>
          <t xml:space="preserve">
Updated per IL TRM v8 Section 4.4</t>
        </r>
      </text>
    </comment>
    <comment ref="B96" authorId="0" shapeId="0" xr:uid="{CA561B48-E929-490A-94FE-67267246612B}">
      <text>
        <r>
          <rPr>
            <b/>
            <sz val="9"/>
            <color indexed="81"/>
            <rFont val="Tahoma"/>
            <family val="2"/>
          </rPr>
          <t>Froio, Zach:</t>
        </r>
        <r>
          <rPr>
            <sz val="9"/>
            <color indexed="81"/>
            <rFont val="Tahoma"/>
            <family val="2"/>
          </rPr>
          <t xml:space="preserve">
Updated per IL TRM v8 Section 4.4</t>
        </r>
      </text>
    </comment>
    <comment ref="B97" authorId="0" shapeId="0" xr:uid="{FDABB25A-AA87-402E-B7B5-781DE881AE6F}">
      <text>
        <r>
          <rPr>
            <b/>
            <sz val="9"/>
            <color indexed="81"/>
            <rFont val="Tahoma"/>
            <family val="2"/>
          </rPr>
          <t>Froio, Zach:</t>
        </r>
        <r>
          <rPr>
            <sz val="9"/>
            <color indexed="81"/>
            <rFont val="Tahoma"/>
            <family val="2"/>
          </rPr>
          <t xml:space="preserve">
Updated per IL TRM v8 Section 4.4</t>
        </r>
      </text>
    </comment>
    <comment ref="B98" authorId="0" shapeId="0" xr:uid="{731C087D-87C1-46EC-8C98-3D953F0D94CC}">
      <text>
        <r>
          <rPr>
            <b/>
            <sz val="9"/>
            <color indexed="81"/>
            <rFont val="Tahoma"/>
            <family val="2"/>
          </rPr>
          <t>Froio, Zach:</t>
        </r>
        <r>
          <rPr>
            <sz val="9"/>
            <color indexed="81"/>
            <rFont val="Tahoma"/>
            <family val="2"/>
          </rPr>
          <t xml:space="preserve">
Updated per IL TRM v8 Section 4.4</t>
        </r>
      </text>
    </comment>
    <comment ref="B99" authorId="0" shapeId="0" xr:uid="{D4571346-A346-4D8A-8159-477F1CCB63C3}">
      <text>
        <r>
          <rPr>
            <b/>
            <sz val="9"/>
            <color indexed="81"/>
            <rFont val="Tahoma"/>
            <family val="2"/>
          </rPr>
          <t>Froio, Zach:</t>
        </r>
        <r>
          <rPr>
            <sz val="9"/>
            <color indexed="81"/>
            <rFont val="Tahoma"/>
            <family val="2"/>
          </rPr>
          <t xml:space="preserve">
Updated per IL TRM v8 Section 4.4</t>
        </r>
      </text>
    </comment>
    <comment ref="B101" authorId="0" shapeId="0" xr:uid="{606468AF-CFA4-4CDD-86E1-D73539AD680F}">
      <text>
        <r>
          <rPr>
            <b/>
            <sz val="9"/>
            <color indexed="81"/>
            <rFont val="Tahoma"/>
            <family val="2"/>
          </rPr>
          <t>Froio, Zach:</t>
        </r>
        <r>
          <rPr>
            <sz val="9"/>
            <color indexed="81"/>
            <rFont val="Tahoma"/>
            <family val="2"/>
          </rPr>
          <t xml:space="preserve">
Updated per IL TRM v8 Section 4.4</t>
        </r>
      </text>
    </comment>
    <comment ref="B102" authorId="0" shapeId="0" xr:uid="{C683C115-DB04-47DB-9AB1-3272A1E68C5D}">
      <text>
        <r>
          <rPr>
            <b/>
            <sz val="9"/>
            <color indexed="81"/>
            <rFont val="Tahoma"/>
            <family val="2"/>
          </rPr>
          <t>Froio, Zach:</t>
        </r>
        <r>
          <rPr>
            <sz val="9"/>
            <color indexed="81"/>
            <rFont val="Tahoma"/>
            <family val="2"/>
          </rPr>
          <t xml:space="preserve">
Updated per IL TRM v8 Section 4.4</t>
        </r>
      </text>
    </comment>
    <comment ref="B103" authorId="0" shapeId="0" xr:uid="{37E1186B-7DCD-4EB5-A737-ABF5BCE6C6CF}">
      <text>
        <r>
          <rPr>
            <b/>
            <sz val="9"/>
            <color indexed="81"/>
            <rFont val="Tahoma"/>
            <family val="2"/>
          </rPr>
          <t>Froio, Zach:</t>
        </r>
        <r>
          <rPr>
            <sz val="9"/>
            <color indexed="81"/>
            <rFont val="Tahoma"/>
            <family val="2"/>
          </rPr>
          <t xml:space="preserve">
Updated per IL TRM v8 Section 4.4</t>
        </r>
      </text>
    </comment>
    <comment ref="B104" authorId="0" shapeId="0" xr:uid="{4B788E10-728B-47EE-B9D8-31DE9D68E894}">
      <text>
        <r>
          <rPr>
            <b/>
            <sz val="9"/>
            <color indexed="81"/>
            <rFont val="Tahoma"/>
            <family val="2"/>
          </rPr>
          <t>Froio, Zach:</t>
        </r>
        <r>
          <rPr>
            <sz val="9"/>
            <color indexed="81"/>
            <rFont val="Tahoma"/>
            <family val="2"/>
          </rPr>
          <t xml:space="preserve">
Updated per IL TRM v8 Section 4.4</t>
        </r>
      </text>
    </comment>
    <comment ref="B106" authorId="0" shapeId="0" xr:uid="{74A4D6C0-9ED0-45BF-B578-5BFE37352401}">
      <text>
        <r>
          <rPr>
            <b/>
            <sz val="9"/>
            <color indexed="81"/>
            <rFont val="Tahoma"/>
            <family val="2"/>
          </rPr>
          <t>Froio, Zach:</t>
        </r>
        <r>
          <rPr>
            <sz val="9"/>
            <color indexed="81"/>
            <rFont val="Tahoma"/>
            <family val="2"/>
          </rPr>
          <t xml:space="preserve">
Updated per IL TRM v8 Section 4.4</t>
        </r>
      </text>
    </comment>
    <comment ref="B107" authorId="0" shapeId="0" xr:uid="{A260D187-AC70-4DCB-AD48-44C04E45C637}">
      <text>
        <r>
          <rPr>
            <b/>
            <sz val="9"/>
            <color indexed="81"/>
            <rFont val="Tahoma"/>
            <family val="2"/>
          </rPr>
          <t>Froio, Zach:</t>
        </r>
        <r>
          <rPr>
            <sz val="9"/>
            <color indexed="81"/>
            <rFont val="Tahoma"/>
            <family val="2"/>
          </rPr>
          <t xml:space="preserve">
Updated per IL TRM v8 Section 4.4</t>
        </r>
      </text>
    </comment>
    <comment ref="B108" authorId="0" shapeId="0" xr:uid="{BC21D387-32E6-4FDF-9953-ADEA57BDC29A}">
      <text>
        <r>
          <rPr>
            <b/>
            <sz val="9"/>
            <color indexed="81"/>
            <rFont val="Tahoma"/>
            <family val="2"/>
          </rPr>
          <t>Froio, Zach:</t>
        </r>
        <r>
          <rPr>
            <sz val="9"/>
            <color indexed="81"/>
            <rFont val="Tahoma"/>
            <family val="2"/>
          </rPr>
          <t xml:space="preserve">
Updated per IL TRM v8 Section 4.4</t>
        </r>
      </text>
    </comment>
    <comment ref="B109" authorId="0" shapeId="0" xr:uid="{F3412780-797B-45B8-9BCF-F78A3E02B2FB}">
      <text>
        <r>
          <rPr>
            <b/>
            <sz val="9"/>
            <color indexed="81"/>
            <rFont val="Tahoma"/>
            <family val="2"/>
          </rPr>
          <t>Froio, Zach:</t>
        </r>
        <r>
          <rPr>
            <sz val="9"/>
            <color indexed="81"/>
            <rFont val="Tahoma"/>
            <family val="2"/>
          </rPr>
          <t xml:space="preserve">
Updated per IL TRM v8 Section 4.4</t>
        </r>
      </text>
    </comment>
    <comment ref="B110" authorId="0" shapeId="0" xr:uid="{A99DE4CA-586B-4F68-94D8-804909C4F00C}">
      <text>
        <r>
          <rPr>
            <b/>
            <sz val="9"/>
            <color indexed="81"/>
            <rFont val="Tahoma"/>
            <family val="2"/>
          </rPr>
          <t>Froio, Zach:</t>
        </r>
        <r>
          <rPr>
            <sz val="9"/>
            <color indexed="81"/>
            <rFont val="Tahoma"/>
            <family val="2"/>
          </rPr>
          <t xml:space="preserve">
Updated per IL TRM v8 Section 4.4</t>
        </r>
      </text>
    </comment>
    <comment ref="B111" authorId="0" shapeId="0" xr:uid="{62992CB8-6D18-4EFF-B867-14FE48D29015}">
      <text>
        <r>
          <rPr>
            <b/>
            <sz val="9"/>
            <color indexed="81"/>
            <rFont val="Tahoma"/>
            <family val="2"/>
          </rPr>
          <t>Froio, Zach:</t>
        </r>
        <r>
          <rPr>
            <sz val="9"/>
            <color indexed="81"/>
            <rFont val="Tahoma"/>
            <family val="2"/>
          </rPr>
          <t xml:space="preserve">
Updated per IL TRM v8 Section 4.4</t>
        </r>
      </text>
    </comment>
    <comment ref="B112" authorId="0" shapeId="0" xr:uid="{91411ABD-A349-4937-B6B2-F7F6E4545FBF}">
      <text>
        <r>
          <rPr>
            <b/>
            <sz val="9"/>
            <color indexed="81"/>
            <rFont val="Tahoma"/>
            <family val="2"/>
          </rPr>
          <t>Froio, Zach:</t>
        </r>
        <r>
          <rPr>
            <sz val="9"/>
            <color indexed="81"/>
            <rFont val="Tahoma"/>
            <family val="2"/>
          </rPr>
          <t xml:space="preserve">
Updated per IL TRM v8 Section 4.4</t>
        </r>
      </text>
    </comment>
    <comment ref="B114" authorId="0" shapeId="0" xr:uid="{D398C6A5-09AC-4EBD-B8FA-BBF551196B1A}">
      <text>
        <r>
          <rPr>
            <b/>
            <sz val="9"/>
            <color indexed="81"/>
            <rFont val="Tahoma"/>
            <family val="2"/>
          </rPr>
          <t>Froio, Zach:</t>
        </r>
        <r>
          <rPr>
            <sz val="9"/>
            <color indexed="81"/>
            <rFont val="Tahoma"/>
            <family val="2"/>
          </rPr>
          <t xml:space="preserve">
Updated per IL TRM v8 Section 4.4</t>
        </r>
      </text>
    </comment>
    <comment ref="B115" authorId="0" shapeId="0" xr:uid="{34EB5194-D2FE-4A3B-AFD0-0164376DE701}">
      <text>
        <r>
          <rPr>
            <b/>
            <sz val="9"/>
            <color indexed="81"/>
            <rFont val="Tahoma"/>
            <family val="2"/>
          </rPr>
          <t>Froio, Zach:</t>
        </r>
        <r>
          <rPr>
            <sz val="9"/>
            <color indexed="81"/>
            <rFont val="Tahoma"/>
            <family val="2"/>
          </rPr>
          <t xml:space="preserve">
Updated per IL TRM v8 Section 4.4</t>
        </r>
      </text>
    </comment>
    <comment ref="B116" authorId="0" shapeId="0" xr:uid="{201A6A08-2B0C-4D48-9003-C43DAAF20486}">
      <text>
        <r>
          <rPr>
            <b/>
            <sz val="9"/>
            <color indexed="81"/>
            <rFont val="Tahoma"/>
            <family val="2"/>
          </rPr>
          <t>Froio, Zach:</t>
        </r>
        <r>
          <rPr>
            <sz val="9"/>
            <color indexed="81"/>
            <rFont val="Tahoma"/>
            <family val="2"/>
          </rPr>
          <t xml:space="preserve">
Updated per IL TRM v8 Section 4.4</t>
        </r>
      </text>
    </comment>
    <comment ref="B117" authorId="0" shapeId="0" xr:uid="{F52D1042-341F-4ED6-ACEE-1EAD6EA884CB}">
      <text>
        <r>
          <rPr>
            <b/>
            <sz val="9"/>
            <color indexed="81"/>
            <rFont val="Tahoma"/>
            <family val="2"/>
          </rPr>
          <t>Froio, Zach:</t>
        </r>
        <r>
          <rPr>
            <sz val="9"/>
            <color indexed="81"/>
            <rFont val="Tahoma"/>
            <family val="2"/>
          </rPr>
          <t xml:space="preserve">
Updated per IL TRM v8 Section 4.4</t>
        </r>
      </text>
    </comment>
    <comment ref="B118" authorId="0" shapeId="0" xr:uid="{BE683E6F-EA6A-4411-839A-C0040131BBB8}">
      <text>
        <r>
          <rPr>
            <b/>
            <sz val="9"/>
            <color indexed="81"/>
            <rFont val="Tahoma"/>
            <family val="2"/>
          </rPr>
          <t>Froio, Zach:</t>
        </r>
        <r>
          <rPr>
            <sz val="9"/>
            <color indexed="81"/>
            <rFont val="Tahoma"/>
            <family val="2"/>
          </rPr>
          <t xml:space="preserve">
Updated per IL TRM v8 Section 4.4</t>
        </r>
      </text>
    </comment>
    <comment ref="N137" authorId="0" shapeId="0" xr:uid="{4781EB54-F1F7-4719-ABC2-BCAD6EBE3788}">
      <text>
        <r>
          <rPr>
            <b/>
            <sz val="9"/>
            <color indexed="81"/>
            <rFont val="Tahoma"/>
            <family val="2"/>
          </rPr>
          <t>Froio, Zach:</t>
        </r>
        <r>
          <rPr>
            <sz val="9"/>
            <color indexed="81"/>
            <rFont val="Tahoma"/>
            <family val="2"/>
          </rPr>
          <t xml:space="preserve">
Updated per IL TRM v7 p. 187</t>
        </r>
      </text>
    </comment>
    <comment ref="I139" authorId="0" shapeId="0" xr:uid="{57A6A11C-0E3D-4351-A0E4-0A7AC403358E}">
      <text>
        <r>
          <rPr>
            <b/>
            <sz val="9"/>
            <color indexed="81"/>
            <rFont val="Tahoma"/>
            <family val="2"/>
          </rPr>
          <t>Froio, Zach:</t>
        </r>
        <r>
          <rPr>
            <sz val="9"/>
            <color indexed="81"/>
            <rFont val="Tahoma"/>
            <family val="2"/>
          </rPr>
          <t xml:space="preserve">
Updated per IL TRM v8 Section 4.4</t>
        </r>
      </text>
    </comment>
    <comment ref="I140" authorId="0" shapeId="0" xr:uid="{A087A3EC-FDB6-45C3-8E24-55605D57ADCF}">
      <text>
        <r>
          <rPr>
            <b/>
            <sz val="9"/>
            <color indexed="81"/>
            <rFont val="Tahoma"/>
            <family val="2"/>
          </rPr>
          <t>Froio, Zach:</t>
        </r>
        <r>
          <rPr>
            <sz val="9"/>
            <color indexed="81"/>
            <rFont val="Tahoma"/>
            <family val="2"/>
          </rPr>
          <t xml:space="preserve">
Updated per IL TRM v8 Section 4.4</t>
        </r>
      </text>
    </comment>
    <comment ref="I142" authorId="0" shapeId="0" xr:uid="{F0ACCB63-B153-40DE-8389-F1B0E2E5933B}">
      <text>
        <r>
          <rPr>
            <b/>
            <sz val="9"/>
            <color indexed="81"/>
            <rFont val="Tahoma"/>
            <family val="2"/>
          </rPr>
          <t>Froio, Zach:</t>
        </r>
        <r>
          <rPr>
            <sz val="9"/>
            <color indexed="81"/>
            <rFont val="Tahoma"/>
            <family val="2"/>
          </rPr>
          <t xml:space="preserve">
Updated per IL TRM v8 Section 4.4</t>
        </r>
      </text>
    </comment>
    <comment ref="I143" authorId="0" shapeId="0" xr:uid="{8228870A-F2D9-43D6-B9A7-9EF86E791F46}">
      <text>
        <r>
          <rPr>
            <b/>
            <sz val="9"/>
            <color indexed="81"/>
            <rFont val="Tahoma"/>
            <family val="2"/>
          </rPr>
          <t>Froio, Zach:</t>
        </r>
        <r>
          <rPr>
            <sz val="9"/>
            <color indexed="81"/>
            <rFont val="Tahoma"/>
            <family val="2"/>
          </rPr>
          <t xml:space="preserve">
Updated per IL TRM v8 Section 4.4</t>
        </r>
      </text>
    </comment>
    <comment ref="I145" authorId="0" shapeId="0" xr:uid="{E0A800CA-6B6D-409B-9A03-F54AC9C13A54}">
      <text>
        <r>
          <rPr>
            <b/>
            <sz val="9"/>
            <color indexed="81"/>
            <rFont val="Tahoma"/>
            <family val="2"/>
          </rPr>
          <t>Froio, Zach:</t>
        </r>
        <r>
          <rPr>
            <sz val="9"/>
            <color indexed="81"/>
            <rFont val="Tahoma"/>
            <family val="2"/>
          </rPr>
          <t xml:space="preserve">
Updated per IL TRM v8 Section 4.4</t>
        </r>
      </text>
    </comment>
    <comment ref="I146" authorId="0" shapeId="0" xr:uid="{42E9C216-8C42-4CE4-BD75-7427E3A3B497}">
      <text>
        <r>
          <rPr>
            <b/>
            <sz val="9"/>
            <color indexed="81"/>
            <rFont val="Tahoma"/>
            <family val="2"/>
          </rPr>
          <t>Froio, Zach:</t>
        </r>
        <r>
          <rPr>
            <sz val="9"/>
            <color indexed="81"/>
            <rFont val="Tahoma"/>
            <family val="2"/>
          </rPr>
          <t xml:space="preserve">
Updated per IL TRM v8 Section 4.4</t>
        </r>
      </text>
    </comment>
    <comment ref="I147" authorId="0" shapeId="0" xr:uid="{685FDEB4-A4DC-4AE1-94F2-D7544008E7A0}">
      <text>
        <r>
          <rPr>
            <b/>
            <sz val="9"/>
            <color indexed="81"/>
            <rFont val="Tahoma"/>
            <family val="2"/>
          </rPr>
          <t>Froio, Zach:</t>
        </r>
        <r>
          <rPr>
            <sz val="9"/>
            <color indexed="81"/>
            <rFont val="Tahoma"/>
            <family val="2"/>
          </rPr>
          <t xml:space="preserve">
Updated per IL TRM v8 Section 4.4</t>
        </r>
      </text>
    </comment>
    <comment ref="I148" authorId="0" shapeId="0" xr:uid="{8B67335F-13D6-461C-8B9E-328E6DB98D34}">
      <text>
        <r>
          <rPr>
            <b/>
            <sz val="9"/>
            <color indexed="81"/>
            <rFont val="Tahoma"/>
            <family val="2"/>
          </rPr>
          <t>Froio, Zach:</t>
        </r>
        <r>
          <rPr>
            <sz val="9"/>
            <color indexed="81"/>
            <rFont val="Tahoma"/>
            <family val="2"/>
          </rPr>
          <t xml:space="preserve">
Updated per IL TRM v8 Section 4.4</t>
        </r>
      </text>
    </comment>
    <comment ref="I149" authorId="0" shapeId="0" xr:uid="{82BECF58-52AA-4AF9-9C36-A49B01DECEB7}">
      <text>
        <r>
          <rPr>
            <b/>
            <sz val="9"/>
            <color indexed="81"/>
            <rFont val="Tahoma"/>
            <family val="2"/>
          </rPr>
          <t>Froio, Zach:</t>
        </r>
        <r>
          <rPr>
            <sz val="9"/>
            <color indexed="81"/>
            <rFont val="Tahoma"/>
            <family val="2"/>
          </rPr>
          <t xml:space="preserve">
Updated per IL TRM v8 Section 4.4</t>
        </r>
      </text>
    </comment>
    <comment ref="I150" authorId="0" shapeId="0" xr:uid="{CB64D5B8-6560-44E3-8F74-F9EE85710A59}">
      <text>
        <r>
          <rPr>
            <b/>
            <sz val="9"/>
            <color indexed="81"/>
            <rFont val="Tahoma"/>
            <family val="2"/>
          </rPr>
          <t>Froio, Zach:</t>
        </r>
        <r>
          <rPr>
            <sz val="9"/>
            <color indexed="81"/>
            <rFont val="Tahoma"/>
            <family val="2"/>
          </rPr>
          <t xml:space="preserve">
Updated per IL TRM v8 Section 4.4</t>
        </r>
      </text>
    </comment>
    <comment ref="I151" authorId="0" shapeId="0" xr:uid="{26300F3F-5D71-46F3-85F9-2C202AFDB166}">
      <text>
        <r>
          <rPr>
            <b/>
            <sz val="9"/>
            <color indexed="81"/>
            <rFont val="Tahoma"/>
            <family val="2"/>
          </rPr>
          <t>Froio, Zach:</t>
        </r>
        <r>
          <rPr>
            <sz val="9"/>
            <color indexed="81"/>
            <rFont val="Tahoma"/>
            <family val="2"/>
          </rPr>
          <t xml:space="preserve">
Updated per IL TRM v8 Section 4.4</t>
        </r>
      </text>
    </comment>
    <comment ref="I152" authorId="0" shapeId="0" xr:uid="{7AF57D0A-0993-4DDE-ADD4-89AC5DA45AFB}">
      <text>
        <r>
          <rPr>
            <b/>
            <sz val="9"/>
            <color indexed="81"/>
            <rFont val="Tahoma"/>
            <family val="2"/>
          </rPr>
          <t>Froio, Zach:</t>
        </r>
        <r>
          <rPr>
            <sz val="9"/>
            <color indexed="81"/>
            <rFont val="Tahoma"/>
            <family val="2"/>
          </rPr>
          <t xml:space="preserve">
Updated per IL TRM v8 Section 4.4</t>
        </r>
      </text>
    </comment>
    <comment ref="I153" authorId="0" shapeId="0" xr:uid="{F5C09B5F-EC52-46A2-99CD-6059840C6A7A}">
      <text>
        <r>
          <rPr>
            <b/>
            <sz val="9"/>
            <color indexed="81"/>
            <rFont val="Tahoma"/>
            <family val="2"/>
          </rPr>
          <t>Froio, Zach:</t>
        </r>
        <r>
          <rPr>
            <sz val="9"/>
            <color indexed="81"/>
            <rFont val="Tahoma"/>
            <family val="2"/>
          </rPr>
          <t xml:space="preserve">
Updated per IL TRM v8 Section 4.4</t>
        </r>
      </text>
    </comment>
    <comment ref="I154" authorId="0" shapeId="0" xr:uid="{58D4E7B4-38B9-4F5A-B8B1-A6C960BEF551}">
      <text>
        <r>
          <rPr>
            <b/>
            <sz val="9"/>
            <color indexed="81"/>
            <rFont val="Tahoma"/>
            <family val="2"/>
          </rPr>
          <t>Froio, Zach:</t>
        </r>
        <r>
          <rPr>
            <sz val="9"/>
            <color indexed="81"/>
            <rFont val="Tahoma"/>
            <family val="2"/>
          </rPr>
          <t xml:space="preserve">
Updated per IL TRM v8 Section 4.4</t>
        </r>
      </text>
    </comment>
    <comment ref="I156" authorId="0" shapeId="0" xr:uid="{9A3C9918-DC87-4ECB-827A-2B1B99EDA349}">
      <text>
        <r>
          <rPr>
            <b/>
            <sz val="9"/>
            <color indexed="81"/>
            <rFont val="Tahoma"/>
            <family val="2"/>
          </rPr>
          <t>Froio, Zach:</t>
        </r>
        <r>
          <rPr>
            <sz val="9"/>
            <color indexed="81"/>
            <rFont val="Tahoma"/>
            <family val="2"/>
          </rPr>
          <t xml:space="preserve">
Updated per IL TRM v8 Section 4.4</t>
        </r>
      </text>
    </comment>
    <comment ref="I157" authorId="0" shapeId="0" xr:uid="{A423E888-2507-4AA0-A85F-7DBABFD184A7}">
      <text>
        <r>
          <rPr>
            <b/>
            <sz val="9"/>
            <color indexed="81"/>
            <rFont val="Tahoma"/>
            <family val="2"/>
          </rPr>
          <t>Froio, Zach:</t>
        </r>
        <r>
          <rPr>
            <sz val="9"/>
            <color indexed="81"/>
            <rFont val="Tahoma"/>
            <family val="2"/>
          </rPr>
          <t xml:space="preserve">
Updated per IL TRM v8 Section 4.4</t>
        </r>
      </text>
    </comment>
    <comment ref="I158" authorId="0" shapeId="0" xr:uid="{8224911B-DC7D-4BF6-91DE-E51EED219E35}">
      <text>
        <r>
          <rPr>
            <b/>
            <sz val="9"/>
            <color indexed="81"/>
            <rFont val="Tahoma"/>
            <family val="2"/>
          </rPr>
          <t>Froio, Zach:</t>
        </r>
        <r>
          <rPr>
            <sz val="9"/>
            <color indexed="81"/>
            <rFont val="Tahoma"/>
            <family val="2"/>
          </rPr>
          <t xml:space="preserve">
Updated per IL TRM v8 Section 4.4</t>
        </r>
      </text>
    </comment>
    <comment ref="I159" authorId="0" shapeId="0" xr:uid="{A752F512-A60A-468C-85C5-83C9731FFC78}">
      <text>
        <r>
          <rPr>
            <b/>
            <sz val="9"/>
            <color indexed="81"/>
            <rFont val="Tahoma"/>
            <family val="2"/>
          </rPr>
          <t>Froio, Zach:</t>
        </r>
        <r>
          <rPr>
            <sz val="9"/>
            <color indexed="81"/>
            <rFont val="Tahoma"/>
            <family val="2"/>
          </rPr>
          <t xml:space="preserve">
Updated per IL TRM v8 Section 4.4</t>
        </r>
      </text>
    </comment>
    <comment ref="I161" authorId="0" shapeId="0" xr:uid="{658BDA2D-88AD-4CB1-8A32-BF15105D2C27}">
      <text>
        <r>
          <rPr>
            <b/>
            <sz val="9"/>
            <color indexed="81"/>
            <rFont val="Tahoma"/>
            <family val="2"/>
          </rPr>
          <t>Froio, Zach:</t>
        </r>
        <r>
          <rPr>
            <sz val="9"/>
            <color indexed="81"/>
            <rFont val="Tahoma"/>
            <family val="2"/>
          </rPr>
          <t xml:space="preserve">
Updated per IL TRM v8 Section 4.4</t>
        </r>
      </text>
    </comment>
    <comment ref="I162" authorId="0" shapeId="0" xr:uid="{C7067A95-EB7A-4573-9D45-5CFD30673DBB}">
      <text>
        <r>
          <rPr>
            <b/>
            <sz val="9"/>
            <color indexed="81"/>
            <rFont val="Tahoma"/>
            <family val="2"/>
          </rPr>
          <t>Froio, Zach:</t>
        </r>
        <r>
          <rPr>
            <sz val="9"/>
            <color indexed="81"/>
            <rFont val="Tahoma"/>
            <family val="2"/>
          </rPr>
          <t xml:space="preserve">
Updated per IL TRM v8 Section 4.4</t>
        </r>
      </text>
    </comment>
    <comment ref="I163" authorId="0" shapeId="0" xr:uid="{07DF1DA8-F9DF-40C4-9BE1-71F771780878}">
      <text>
        <r>
          <rPr>
            <b/>
            <sz val="9"/>
            <color indexed="81"/>
            <rFont val="Tahoma"/>
            <family val="2"/>
          </rPr>
          <t>Froio, Zach:</t>
        </r>
        <r>
          <rPr>
            <sz val="9"/>
            <color indexed="81"/>
            <rFont val="Tahoma"/>
            <family val="2"/>
          </rPr>
          <t xml:space="preserve">
Updated per IL TRM v8 Section 4.4</t>
        </r>
      </text>
    </comment>
    <comment ref="I164" authorId="0" shapeId="0" xr:uid="{0839594F-BBC9-4D97-8E3B-BAA6FAAA56C7}">
      <text>
        <r>
          <rPr>
            <b/>
            <sz val="9"/>
            <color indexed="81"/>
            <rFont val="Tahoma"/>
            <family val="2"/>
          </rPr>
          <t>Froio, Zach:</t>
        </r>
        <r>
          <rPr>
            <sz val="9"/>
            <color indexed="81"/>
            <rFont val="Tahoma"/>
            <family val="2"/>
          </rPr>
          <t xml:space="preserve">
Updated per IL TRM v8 Section 4.4</t>
        </r>
      </text>
    </comment>
    <comment ref="I165" authorId="0" shapeId="0" xr:uid="{4430E235-4973-466C-8174-6DE03B7498E6}">
      <text>
        <r>
          <rPr>
            <b/>
            <sz val="9"/>
            <color indexed="81"/>
            <rFont val="Tahoma"/>
            <family val="2"/>
          </rPr>
          <t>Froio, Zach:</t>
        </r>
        <r>
          <rPr>
            <sz val="9"/>
            <color indexed="81"/>
            <rFont val="Tahoma"/>
            <family val="2"/>
          </rPr>
          <t xml:space="preserve">
Updated per IL TRM v8 Section 4.4</t>
        </r>
      </text>
    </comment>
    <comment ref="I166" authorId="0" shapeId="0" xr:uid="{6F63E9FF-74B7-4B44-9093-665B43039005}">
      <text>
        <r>
          <rPr>
            <b/>
            <sz val="9"/>
            <color indexed="81"/>
            <rFont val="Tahoma"/>
            <family val="2"/>
          </rPr>
          <t>Froio, Zach:</t>
        </r>
        <r>
          <rPr>
            <sz val="9"/>
            <color indexed="81"/>
            <rFont val="Tahoma"/>
            <family val="2"/>
          </rPr>
          <t xml:space="preserve">
Updated per IL TRM v8 Section 4.4</t>
        </r>
      </text>
    </comment>
    <comment ref="I167" authorId="0" shapeId="0" xr:uid="{84CA459F-0B07-4C43-A25B-3645F4B6C902}">
      <text>
        <r>
          <rPr>
            <b/>
            <sz val="9"/>
            <color indexed="81"/>
            <rFont val="Tahoma"/>
            <family val="2"/>
          </rPr>
          <t>Froio, Zach:</t>
        </r>
        <r>
          <rPr>
            <sz val="9"/>
            <color indexed="81"/>
            <rFont val="Tahoma"/>
            <family val="2"/>
          </rPr>
          <t xml:space="preserve">
Updated per IL TRM v8 Section 4.4</t>
        </r>
      </text>
    </comment>
    <comment ref="I169" authorId="0" shapeId="0" xr:uid="{F9D3B181-083D-4D6A-8A55-160F4C21AFC7}">
      <text>
        <r>
          <rPr>
            <b/>
            <sz val="9"/>
            <color indexed="81"/>
            <rFont val="Tahoma"/>
            <family val="2"/>
          </rPr>
          <t>Froio, Zach:</t>
        </r>
        <r>
          <rPr>
            <sz val="9"/>
            <color indexed="81"/>
            <rFont val="Tahoma"/>
            <family val="2"/>
          </rPr>
          <t xml:space="preserve">
Updated per IL TRM v8 Section 4.4</t>
        </r>
      </text>
    </comment>
    <comment ref="I170" authorId="0" shapeId="0" xr:uid="{B092C5D4-2EDB-4D97-870E-3D44A5B5AB31}">
      <text>
        <r>
          <rPr>
            <b/>
            <sz val="9"/>
            <color indexed="81"/>
            <rFont val="Tahoma"/>
            <family val="2"/>
          </rPr>
          <t>Froio, Zach:</t>
        </r>
        <r>
          <rPr>
            <sz val="9"/>
            <color indexed="81"/>
            <rFont val="Tahoma"/>
            <family val="2"/>
          </rPr>
          <t xml:space="preserve">
Updated per IL TRM v8 Section 4.4</t>
        </r>
      </text>
    </comment>
    <comment ref="I171" authorId="0" shapeId="0" xr:uid="{081D77D5-7B53-4D46-AC05-F367493445A0}">
      <text>
        <r>
          <rPr>
            <b/>
            <sz val="9"/>
            <color indexed="81"/>
            <rFont val="Tahoma"/>
            <family val="2"/>
          </rPr>
          <t>Froio, Zach:</t>
        </r>
        <r>
          <rPr>
            <sz val="9"/>
            <color indexed="81"/>
            <rFont val="Tahoma"/>
            <family val="2"/>
          </rPr>
          <t xml:space="preserve">
Updated per IL TRM v8 Section 4.4</t>
        </r>
      </text>
    </comment>
    <comment ref="I172" authorId="0" shapeId="0" xr:uid="{883CB428-CFDF-4830-BFE2-B357BE025A83}">
      <text>
        <r>
          <rPr>
            <b/>
            <sz val="9"/>
            <color indexed="81"/>
            <rFont val="Tahoma"/>
            <family val="2"/>
          </rPr>
          <t>Froio, Zach:</t>
        </r>
        <r>
          <rPr>
            <sz val="9"/>
            <color indexed="81"/>
            <rFont val="Tahoma"/>
            <family val="2"/>
          </rPr>
          <t xml:space="preserve">
Updated per IL TRM v8 Section 4.4</t>
        </r>
      </text>
    </comment>
    <comment ref="I173" authorId="0" shapeId="0" xr:uid="{46996979-8905-4D11-B11F-3268BF816B64}">
      <text>
        <r>
          <rPr>
            <b/>
            <sz val="9"/>
            <color indexed="81"/>
            <rFont val="Tahoma"/>
            <family val="2"/>
          </rPr>
          <t>Froio, Zach:</t>
        </r>
        <r>
          <rPr>
            <sz val="9"/>
            <color indexed="81"/>
            <rFont val="Tahoma"/>
            <family val="2"/>
          </rPr>
          <t xml:space="preserve">
Updated per IL TRM v8 Section 4.4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E3BCF98C-6E04-4399-AA4B-DC34505E9BFD}">
      <text>
        <r>
          <rPr>
            <b/>
            <sz val="9"/>
            <color indexed="81"/>
            <rFont val="Tahoma"/>
            <family val="2"/>
          </rPr>
          <t>Froio, Zach:</t>
        </r>
        <r>
          <rPr>
            <sz val="9"/>
            <color indexed="81"/>
            <rFont val="Tahoma"/>
            <family val="2"/>
          </rPr>
          <t xml:space="preserve">
Updated per TRM v8 Section 4.4</t>
        </r>
      </text>
    </comment>
    <comment ref="B84" authorId="0" shapeId="0" xr:uid="{B4CF598D-B795-4899-87CD-E87E7DE6C6DF}">
      <text>
        <r>
          <rPr>
            <b/>
            <sz val="9"/>
            <color indexed="81"/>
            <rFont val="Tahoma"/>
            <family val="2"/>
          </rPr>
          <t>Froio, Zach:</t>
        </r>
        <r>
          <rPr>
            <sz val="9"/>
            <color indexed="81"/>
            <rFont val="Tahoma"/>
            <family val="2"/>
          </rPr>
          <t xml:space="preserve">
Updated per IL TRM v8 Section 4.4</t>
        </r>
      </text>
    </comment>
    <comment ref="B85" authorId="0" shapeId="0" xr:uid="{56081243-B5A2-485F-B7A6-DF0AC730C031}">
      <text>
        <r>
          <rPr>
            <b/>
            <sz val="9"/>
            <color indexed="81"/>
            <rFont val="Tahoma"/>
            <family val="2"/>
          </rPr>
          <t>Froio, Zach:</t>
        </r>
        <r>
          <rPr>
            <sz val="9"/>
            <color indexed="81"/>
            <rFont val="Tahoma"/>
            <family val="2"/>
          </rPr>
          <t xml:space="preserve">
Updated per IL TRM v8 Section 4.4</t>
        </r>
      </text>
    </comment>
    <comment ref="B87" authorId="0" shapeId="0" xr:uid="{50D5B2C4-CED5-4A52-A8CD-B6D5C547DA59}">
      <text>
        <r>
          <rPr>
            <b/>
            <sz val="9"/>
            <color indexed="81"/>
            <rFont val="Tahoma"/>
            <family val="2"/>
          </rPr>
          <t>Froio, Zach:</t>
        </r>
        <r>
          <rPr>
            <sz val="9"/>
            <color indexed="81"/>
            <rFont val="Tahoma"/>
            <family val="2"/>
          </rPr>
          <t xml:space="preserve">
Updated per IL TRM v8 Section 4.4</t>
        </r>
      </text>
    </comment>
    <comment ref="B88" authorId="0" shapeId="0" xr:uid="{B83A70F4-021E-453E-A714-C6068E404CAF}">
      <text>
        <r>
          <rPr>
            <b/>
            <sz val="9"/>
            <color indexed="81"/>
            <rFont val="Tahoma"/>
            <family val="2"/>
          </rPr>
          <t>Froio, Zach:</t>
        </r>
        <r>
          <rPr>
            <sz val="9"/>
            <color indexed="81"/>
            <rFont val="Tahoma"/>
            <family val="2"/>
          </rPr>
          <t xml:space="preserve">
Updated per IL TRM v8 Section 4.4</t>
        </r>
      </text>
    </comment>
    <comment ref="B90" authorId="0" shapeId="0" xr:uid="{E7749371-17C7-4FEF-A7B4-A47DB2CCB10A}">
      <text>
        <r>
          <rPr>
            <b/>
            <sz val="9"/>
            <color indexed="81"/>
            <rFont val="Tahoma"/>
            <family val="2"/>
          </rPr>
          <t>Froio, Zach:</t>
        </r>
        <r>
          <rPr>
            <sz val="9"/>
            <color indexed="81"/>
            <rFont val="Tahoma"/>
            <family val="2"/>
          </rPr>
          <t xml:space="preserve">
Updated per IL TRM v8 Section 4.4</t>
        </r>
      </text>
    </comment>
    <comment ref="B91" authorId="0" shapeId="0" xr:uid="{2CDF2554-1987-4D85-98AA-AF9F00ADCFE7}">
      <text>
        <r>
          <rPr>
            <b/>
            <sz val="9"/>
            <color indexed="81"/>
            <rFont val="Tahoma"/>
            <family val="2"/>
          </rPr>
          <t>Froio, Zach:</t>
        </r>
        <r>
          <rPr>
            <sz val="9"/>
            <color indexed="81"/>
            <rFont val="Tahoma"/>
            <family val="2"/>
          </rPr>
          <t xml:space="preserve">
Updated per IL TRM v8 Section 4.4</t>
        </r>
      </text>
    </comment>
    <comment ref="B92" authorId="0" shapeId="0" xr:uid="{2287A646-4DE7-4162-89D2-1ABDBBBF487E}">
      <text>
        <r>
          <rPr>
            <b/>
            <sz val="9"/>
            <color indexed="81"/>
            <rFont val="Tahoma"/>
            <family val="2"/>
          </rPr>
          <t>Froio, Zach:</t>
        </r>
        <r>
          <rPr>
            <sz val="9"/>
            <color indexed="81"/>
            <rFont val="Tahoma"/>
            <family val="2"/>
          </rPr>
          <t xml:space="preserve">
Updated per IL TRM v8 Section 4.4</t>
        </r>
      </text>
    </comment>
    <comment ref="B93" authorId="0" shapeId="0" xr:uid="{37375B96-FD16-48BB-A7A7-28D244C6592C}">
      <text>
        <r>
          <rPr>
            <b/>
            <sz val="9"/>
            <color indexed="81"/>
            <rFont val="Tahoma"/>
            <family val="2"/>
          </rPr>
          <t>Froio, Zach:</t>
        </r>
        <r>
          <rPr>
            <sz val="9"/>
            <color indexed="81"/>
            <rFont val="Tahoma"/>
            <family val="2"/>
          </rPr>
          <t xml:space="preserve">
Updated per IL TRM v8 Section 4.4</t>
        </r>
      </text>
    </comment>
    <comment ref="B94" authorId="0" shapeId="0" xr:uid="{8ECB6E02-EBC9-406F-A1C2-D3B2ADBFC9D8}">
      <text>
        <r>
          <rPr>
            <b/>
            <sz val="9"/>
            <color indexed="81"/>
            <rFont val="Tahoma"/>
            <family val="2"/>
          </rPr>
          <t>Froio, Zach:</t>
        </r>
        <r>
          <rPr>
            <sz val="9"/>
            <color indexed="81"/>
            <rFont val="Tahoma"/>
            <family val="2"/>
          </rPr>
          <t xml:space="preserve">
Updated per IL TRM v8 Section 4.4</t>
        </r>
      </text>
    </comment>
    <comment ref="B95" authorId="0" shapeId="0" xr:uid="{58CD2F36-4CE3-448D-86E5-09442EE991BD}">
      <text>
        <r>
          <rPr>
            <b/>
            <sz val="9"/>
            <color indexed="81"/>
            <rFont val="Tahoma"/>
            <family val="2"/>
          </rPr>
          <t>Froio, Zach:</t>
        </r>
        <r>
          <rPr>
            <sz val="9"/>
            <color indexed="81"/>
            <rFont val="Tahoma"/>
            <family val="2"/>
          </rPr>
          <t xml:space="preserve">
Updated per IL TRM v8 Section 4.4</t>
        </r>
      </text>
    </comment>
    <comment ref="B96" authorId="0" shapeId="0" xr:uid="{8E91E1A8-6CF1-4A1F-8D7B-CDEF9CDDA959}">
      <text>
        <r>
          <rPr>
            <b/>
            <sz val="9"/>
            <color indexed="81"/>
            <rFont val="Tahoma"/>
            <family val="2"/>
          </rPr>
          <t>Froio, Zach:</t>
        </r>
        <r>
          <rPr>
            <sz val="9"/>
            <color indexed="81"/>
            <rFont val="Tahoma"/>
            <family val="2"/>
          </rPr>
          <t xml:space="preserve">
Updated per IL TRM v8 Section 4.4</t>
        </r>
      </text>
    </comment>
    <comment ref="B97" authorId="0" shapeId="0" xr:uid="{752BA7CD-B5E4-458B-9814-492D45C4F145}">
      <text>
        <r>
          <rPr>
            <b/>
            <sz val="9"/>
            <color indexed="81"/>
            <rFont val="Tahoma"/>
            <family val="2"/>
          </rPr>
          <t>Froio, Zach:</t>
        </r>
        <r>
          <rPr>
            <sz val="9"/>
            <color indexed="81"/>
            <rFont val="Tahoma"/>
            <family val="2"/>
          </rPr>
          <t xml:space="preserve">
Updated per IL TRM v8 Section 4.4</t>
        </r>
      </text>
    </comment>
    <comment ref="B98" authorId="0" shapeId="0" xr:uid="{BE9492AC-1834-4408-A584-77D626529230}">
      <text>
        <r>
          <rPr>
            <b/>
            <sz val="9"/>
            <color indexed="81"/>
            <rFont val="Tahoma"/>
            <family val="2"/>
          </rPr>
          <t>Froio, Zach:</t>
        </r>
        <r>
          <rPr>
            <sz val="9"/>
            <color indexed="81"/>
            <rFont val="Tahoma"/>
            <family val="2"/>
          </rPr>
          <t xml:space="preserve">
Updated per IL TRM v8 Section 4.4</t>
        </r>
      </text>
    </comment>
    <comment ref="B99" authorId="0" shapeId="0" xr:uid="{FAFDA3CD-5C6D-4D40-A312-08884A3C6544}">
      <text>
        <r>
          <rPr>
            <b/>
            <sz val="9"/>
            <color indexed="81"/>
            <rFont val="Tahoma"/>
            <family val="2"/>
          </rPr>
          <t>Froio, Zach:</t>
        </r>
        <r>
          <rPr>
            <sz val="9"/>
            <color indexed="81"/>
            <rFont val="Tahoma"/>
            <family val="2"/>
          </rPr>
          <t xml:space="preserve">
Updated per IL TRM v8 Section 4.4</t>
        </r>
      </text>
    </comment>
    <comment ref="B101" authorId="0" shapeId="0" xr:uid="{F5DF587A-8187-4207-89BF-9FC2983F451D}">
      <text>
        <r>
          <rPr>
            <b/>
            <sz val="9"/>
            <color indexed="81"/>
            <rFont val="Tahoma"/>
            <family val="2"/>
          </rPr>
          <t>Froio, Zach:</t>
        </r>
        <r>
          <rPr>
            <sz val="9"/>
            <color indexed="81"/>
            <rFont val="Tahoma"/>
            <family val="2"/>
          </rPr>
          <t xml:space="preserve">
Updated per IL TRM v8 Section 4.4</t>
        </r>
      </text>
    </comment>
    <comment ref="B102" authorId="0" shapeId="0" xr:uid="{A9716432-EE90-4515-B05A-E30C4FAFA9D9}">
      <text>
        <r>
          <rPr>
            <b/>
            <sz val="9"/>
            <color indexed="81"/>
            <rFont val="Tahoma"/>
            <family val="2"/>
          </rPr>
          <t>Froio, Zach:</t>
        </r>
        <r>
          <rPr>
            <sz val="9"/>
            <color indexed="81"/>
            <rFont val="Tahoma"/>
            <family val="2"/>
          </rPr>
          <t xml:space="preserve">
Updated per IL TRM v8 Section 4.4</t>
        </r>
      </text>
    </comment>
    <comment ref="B103" authorId="0" shapeId="0" xr:uid="{AC0A08CF-725F-49FC-B0D7-034AD0452955}">
      <text>
        <r>
          <rPr>
            <b/>
            <sz val="9"/>
            <color indexed="81"/>
            <rFont val="Tahoma"/>
            <family val="2"/>
          </rPr>
          <t>Froio, Zach:</t>
        </r>
        <r>
          <rPr>
            <sz val="9"/>
            <color indexed="81"/>
            <rFont val="Tahoma"/>
            <family val="2"/>
          </rPr>
          <t xml:space="preserve">
Updated per IL TRM v8 Section 4.4</t>
        </r>
      </text>
    </comment>
    <comment ref="B104" authorId="0" shapeId="0" xr:uid="{BC85E07D-5567-43BA-BD05-2F17FA7F5D3E}">
      <text>
        <r>
          <rPr>
            <b/>
            <sz val="9"/>
            <color indexed="81"/>
            <rFont val="Tahoma"/>
            <family val="2"/>
          </rPr>
          <t>Froio, Zach:</t>
        </r>
        <r>
          <rPr>
            <sz val="9"/>
            <color indexed="81"/>
            <rFont val="Tahoma"/>
            <family val="2"/>
          </rPr>
          <t xml:space="preserve">
Updated per IL TRM v8 Section 4.4</t>
        </r>
      </text>
    </comment>
    <comment ref="B106" authorId="0" shapeId="0" xr:uid="{51FD4DD4-9592-4CE7-A4A7-F710228ACDF4}">
      <text>
        <r>
          <rPr>
            <b/>
            <sz val="9"/>
            <color indexed="81"/>
            <rFont val="Tahoma"/>
            <family val="2"/>
          </rPr>
          <t>Froio, Zach:</t>
        </r>
        <r>
          <rPr>
            <sz val="9"/>
            <color indexed="81"/>
            <rFont val="Tahoma"/>
            <family val="2"/>
          </rPr>
          <t xml:space="preserve">
Updated per IL TRM v8 Section 4.4</t>
        </r>
      </text>
    </comment>
    <comment ref="B107" authorId="0" shapeId="0" xr:uid="{B1794C9D-1A9A-4505-B590-BCE573F6BFF4}">
      <text>
        <r>
          <rPr>
            <b/>
            <sz val="9"/>
            <color indexed="81"/>
            <rFont val="Tahoma"/>
            <family val="2"/>
          </rPr>
          <t>Froio, Zach:</t>
        </r>
        <r>
          <rPr>
            <sz val="9"/>
            <color indexed="81"/>
            <rFont val="Tahoma"/>
            <family val="2"/>
          </rPr>
          <t xml:space="preserve">
Updated per IL TRM v8 Section 4.4</t>
        </r>
      </text>
    </comment>
    <comment ref="B108" authorId="0" shapeId="0" xr:uid="{E54B8ABD-7CAF-4BA3-B846-E574411A3ED3}">
      <text>
        <r>
          <rPr>
            <b/>
            <sz val="9"/>
            <color indexed="81"/>
            <rFont val="Tahoma"/>
            <family val="2"/>
          </rPr>
          <t>Froio, Zach:</t>
        </r>
        <r>
          <rPr>
            <sz val="9"/>
            <color indexed="81"/>
            <rFont val="Tahoma"/>
            <family val="2"/>
          </rPr>
          <t xml:space="preserve">
Updated per IL TRM v8 Section 4.4</t>
        </r>
      </text>
    </comment>
    <comment ref="B109" authorId="0" shapeId="0" xr:uid="{E990E638-3478-4B73-A39A-DAC23A692DB0}">
      <text>
        <r>
          <rPr>
            <b/>
            <sz val="9"/>
            <color indexed="81"/>
            <rFont val="Tahoma"/>
            <family val="2"/>
          </rPr>
          <t>Froio, Zach:</t>
        </r>
        <r>
          <rPr>
            <sz val="9"/>
            <color indexed="81"/>
            <rFont val="Tahoma"/>
            <family val="2"/>
          </rPr>
          <t xml:space="preserve">
Updated per IL TRM v8 Section 4.4</t>
        </r>
      </text>
    </comment>
    <comment ref="B110" authorId="0" shapeId="0" xr:uid="{4F38E4C1-FCDC-4CDB-8A39-7F301866F16F}">
      <text>
        <r>
          <rPr>
            <b/>
            <sz val="9"/>
            <color indexed="81"/>
            <rFont val="Tahoma"/>
            <family val="2"/>
          </rPr>
          <t>Froio, Zach:</t>
        </r>
        <r>
          <rPr>
            <sz val="9"/>
            <color indexed="81"/>
            <rFont val="Tahoma"/>
            <family val="2"/>
          </rPr>
          <t xml:space="preserve">
Updated per IL TRM v8 Section 4.4</t>
        </r>
      </text>
    </comment>
    <comment ref="B111" authorId="0" shapeId="0" xr:uid="{D270A44F-68F7-4AE4-950E-7671C11DEA0F}">
      <text>
        <r>
          <rPr>
            <b/>
            <sz val="9"/>
            <color indexed="81"/>
            <rFont val="Tahoma"/>
            <family val="2"/>
          </rPr>
          <t>Froio, Zach:</t>
        </r>
        <r>
          <rPr>
            <sz val="9"/>
            <color indexed="81"/>
            <rFont val="Tahoma"/>
            <family val="2"/>
          </rPr>
          <t xml:space="preserve">
Updated per IL TRM v8 Section 4.4</t>
        </r>
      </text>
    </comment>
    <comment ref="B112" authorId="0" shapeId="0" xr:uid="{F45A2B54-B7BD-424E-AB9C-C0EB248FEC6E}">
      <text>
        <r>
          <rPr>
            <b/>
            <sz val="9"/>
            <color indexed="81"/>
            <rFont val="Tahoma"/>
            <family val="2"/>
          </rPr>
          <t>Froio, Zach:</t>
        </r>
        <r>
          <rPr>
            <sz val="9"/>
            <color indexed="81"/>
            <rFont val="Tahoma"/>
            <family val="2"/>
          </rPr>
          <t xml:space="preserve">
Updated per IL TRM v8 Section 4.4</t>
        </r>
      </text>
    </comment>
    <comment ref="B114" authorId="0" shapeId="0" xr:uid="{2AD0E1D2-469D-496E-A922-D4821BF9E7A9}">
      <text>
        <r>
          <rPr>
            <b/>
            <sz val="9"/>
            <color indexed="81"/>
            <rFont val="Tahoma"/>
            <family val="2"/>
          </rPr>
          <t>Froio, Zach:</t>
        </r>
        <r>
          <rPr>
            <sz val="9"/>
            <color indexed="81"/>
            <rFont val="Tahoma"/>
            <family val="2"/>
          </rPr>
          <t xml:space="preserve">
Updated per IL TRM v8 Section 4.4</t>
        </r>
      </text>
    </comment>
    <comment ref="B115" authorId="0" shapeId="0" xr:uid="{88F8F622-C627-4EF0-8AC5-6E12F046FE1E}">
      <text>
        <r>
          <rPr>
            <b/>
            <sz val="9"/>
            <color indexed="81"/>
            <rFont val="Tahoma"/>
            <family val="2"/>
          </rPr>
          <t>Froio, Zach:</t>
        </r>
        <r>
          <rPr>
            <sz val="9"/>
            <color indexed="81"/>
            <rFont val="Tahoma"/>
            <family val="2"/>
          </rPr>
          <t xml:space="preserve">
Updated per IL TRM v8 Section 4.4</t>
        </r>
      </text>
    </comment>
    <comment ref="B116" authorId="0" shapeId="0" xr:uid="{2085F3B0-6235-47CF-9C7C-68522E72493D}">
      <text>
        <r>
          <rPr>
            <b/>
            <sz val="9"/>
            <color indexed="81"/>
            <rFont val="Tahoma"/>
            <family val="2"/>
          </rPr>
          <t>Froio, Zach:</t>
        </r>
        <r>
          <rPr>
            <sz val="9"/>
            <color indexed="81"/>
            <rFont val="Tahoma"/>
            <family val="2"/>
          </rPr>
          <t xml:space="preserve">
Updated per IL TRM v8 Section 4.4</t>
        </r>
      </text>
    </comment>
    <comment ref="B117" authorId="0" shapeId="0" xr:uid="{28EB80DF-ADF9-4006-8EF5-042CF2EC3A23}">
      <text>
        <r>
          <rPr>
            <b/>
            <sz val="9"/>
            <color indexed="81"/>
            <rFont val="Tahoma"/>
            <family val="2"/>
          </rPr>
          <t>Froio, Zach:</t>
        </r>
        <r>
          <rPr>
            <sz val="9"/>
            <color indexed="81"/>
            <rFont val="Tahoma"/>
            <family val="2"/>
          </rPr>
          <t xml:space="preserve">
Updated per IL TRM v8 Section 4.4</t>
        </r>
      </text>
    </comment>
    <comment ref="B118" authorId="0" shapeId="0" xr:uid="{4C2FF482-B063-4327-80F3-1BA721A2A12F}">
      <text>
        <r>
          <rPr>
            <b/>
            <sz val="9"/>
            <color indexed="81"/>
            <rFont val="Tahoma"/>
            <family val="2"/>
          </rPr>
          <t>Froio, Zach:</t>
        </r>
        <r>
          <rPr>
            <sz val="9"/>
            <color indexed="81"/>
            <rFont val="Tahoma"/>
            <family val="2"/>
          </rPr>
          <t xml:space="preserve">
Updated per IL TRM v8 Section 4.4</t>
        </r>
      </text>
    </comment>
    <comment ref="N137" authorId="0" shapeId="0" xr:uid="{3370DC7E-E8B8-46C6-AA7C-3FD17C68D2A8}">
      <text>
        <r>
          <rPr>
            <b/>
            <sz val="9"/>
            <color indexed="81"/>
            <rFont val="Tahoma"/>
            <family val="2"/>
          </rPr>
          <t>Froio, Zach:</t>
        </r>
        <r>
          <rPr>
            <sz val="9"/>
            <color indexed="81"/>
            <rFont val="Tahoma"/>
            <family val="2"/>
          </rPr>
          <t xml:space="preserve">
Updated per IL TRM v7 p. 187</t>
        </r>
      </text>
    </comment>
    <comment ref="I139" authorId="0" shapeId="0" xr:uid="{F94D22DB-A1E0-4D20-B66B-33840D370088}">
      <text>
        <r>
          <rPr>
            <b/>
            <sz val="9"/>
            <color indexed="81"/>
            <rFont val="Tahoma"/>
            <family val="2"/>
          </rPr>
          <t>Froio, Zach:</t>
        </r>
        <r>
          <rPr>
            <sz val="9"/>
            <color indexed="81"/>
            <rFont val="Tahoma"/>
            <family val="2"/>
          </rPr>
          <t xml:space="preserve">
Updated per IL TRM v8 Section 4.4</t>
        </r>
      </text>
    </comment>
    <comment ref="I140" authorId="0" shapeId="0" xr:uid="{F69041E1-C49E-4A84-ADB7-E5FD55A32263}">
      <text>
        <r>
          <rPr>
            <b/>
            <sz val="9"/>
            <color indexed="81"/>
            <rFont val="Tahoma"/>
            <family val="2"/>
          </rPr>
          <t>Froio, Zach:</t>
        </r>
        <r>
          <rPr>
            <sz val="9"/>
            <color indexed="81"/>
            <rFont val="Tahoma"/>
            <family val="2"/>
          </rPr>
          <t xml:space="preserve">
Updated per IL TRM v8 Section 4.4</t>
        </r>
      </text>
    </comment>
    <comment ref="I142" authorId="0" shapeId="0" xr:uid="{187A67CC-4DF4-412B-9BCD-7D84D28D2F6E}">
      <text>
        <r>
          <rPr>
            <b/>
            <sz val="9"/>
            <color indexed="81"/>
            <rFont val="Tahoma"/>
            <family val="2"/>
          </rPr>
          <t>Froio, Zach:</t>
        </r>
        <r>
          <rPr>
            <sz val="9"/>
            <color indexed="81"/>
            <rFont val="Tahoma"/>
            <family val="2"/>
          </rPr>
          <t xml:space="preserve">
Updated per IL TRM v8 Section 4.4</t>
        </r>
      </text>
    </comment>
    <comment ref="I143" authorId="0" shapeId="0" xr:uid="{C72517E7-4087-4F2C-9094-03A2B90F749E}">
      <text>
        <r>
          <rPr>
            <b/>
            <sz val="9"/>
            <color indexed="81"/>
            <rFont val="Tahoma"/>
            <family val="2"/>
          </rPr>
          <t>Froio, Zach:</t>
        </r>
        <r>
          <rPr>
            <sz val="9"/>
            <color indexed="81"/>
            <rFont val="Tahoma"/>
            <family val="2"/>
          </rPr>
          <t xml:space="preserve">
Updated per IL TRM v8 Section 4.4</t>
        </r>
      </text>
    </comment>
    <comment ref="I145" authorId="0" shapeId="0" xr:uid="{CBE7FD9F-D2E7-4ED6-8E43-D631034C0A15}">
      <text>
        <r>
          <rPr>
            <b/>
            <sz val="9"/>
            <color indexed="81"/>
            <rFont val="Tahoma"/>
            <family val="2"/>
          </rPr>
          <t>Froio, Zach:</t>
        </r>
        <r>
          <rPr>
            <sz val="9"/>
            <color indexed="81"/>
            <rFont val="Tahoma"/>
            <family val="2"/>
          </rPr>
          <t xml:space="preserve">
Updated per IL TRM v8 Section 4.4</t>
        </r>
      </text>
    </comment>
    <comment ref="I146" authorId="0" shapeId="0" xr:uid="{67FAD41A-4A2B-4525-B3D8-5F06CFD38408}">
      <text>
        <r>
          <rPr>
            <b/>
            <sz val="9"/>
            <color indexed="81"/>
            <rFont val="Tahoma"/>
            <family val="2"/>
          </rPr>
          <t>Froio, Zach:</t>
        </r>
        <r>
          <rPr>
            <sz val="9"/>
            <color indexed="81"/>
            <rFont val="Tahoma"/>
            <family val="2"/>
          </rPr>
          <t xml:space="preserve">
Updated per IL TRM v8 Section 4.4</t>
        </r>
      </text>
    </comment>
    <comment ref="I147" authorId="0" shapeId="0" xr:uid="{75098D73-1C05-4C56-9562-2454C4A86AE4}">
      <text>
        <r>
          <rPr>
            <b/>
            <sz val="9"/>
            <color indexed="81"/>
            <rFont val="Tahoma"/>
            <family val="2"/>
          </rPr>
          <t>Froio, Zach:</t>
        </r>
        <r>
          <rPr>
            <sz val="9"/>
            <color indexed="81"/>
            <rFont val="Tahoma"/>
            <family val="2"/>
          </rPr>
          <t xml:space="preserve">
Updated per IL TRM v8 Section 4.4</t>
        </r>
      </text>
    </comment>
    <comment ref="I148" authorId="0" shapeId="0" xr:uid="{8E2C3C9A-1B91-4BF5-AEB2-BB272B0348F6}">
      <text>
        <r>
          <rPr>
            <b/>
            <sz val="9"/>
            <color indexed="81"/>
            <rFont val="Tahoma"/>
            <family val="2"/>
          </rPr>
          <t>Froio, Zach:</t>
        </r>
        <r>
          <rPr>
            <sz val="9"/>
            <color indexed="81"/>
            <rFont val="Tahoma"/>
            <family val="2"/>
          </rPr>
          <t xml:space="preserve">
Updated per IL TRM v8 Section 4.4</t>
        </r>
      </text>
    </comment>
    <comment ref="I149" authorId="0" shapeId="0" xr:uid="{3D89EA93-757F-43C0-AB03-3F911D78E358}">
      <text>
        <r>
          <rPr>
            <b/>
            <sz val="9"/>
            <color indexed="81"/>
            <rFont val="Tahoma"/>
            <family val="2"/>
          </rPr>
          <t>Froio, Zach:</t>
        </r>
        <r>
          <rPr>
            <sz val="9"/>
            <color indexed="81"/>
            <rFont val="Tahoma"/>
            <family val="2"/>
          </rPr>
          <t xml:space="preserve">
Updated per IL TRM v8 Section 4.4</t>
        </r>
      </text>
    </comment>
    <comment ref="I150" authorId="0" shapeId="0" xr:uid="{629C560B-3AFC-456F-883E-1B0D6EC4D493}">
      <text>
        <r>
          <rPr>
            <b/>
            <sz val="9"/>
            <color indexed="81"/>
            <rFont val="Tahoma"/>
            <family val="2"/>
          </rPr>
          <t>Froio, Zach:</t>
        </r>
        <r>
          <rPr>
            <sz val="9"/>
            <color indexed="81"/>
            <rFont val="Tahoma"/>
            <family val="2"/>
          </rPr>
          <t xml:space="preserve">
Updated per IL TRM v8 Section 4.4</t>
        </r>
      </text>
    </comment>
    <comment ref="I151" authorId="0" shapeId="0" xr:uid="{53657E37-A7BB-4386-868E-B47B4F65D60F}">
      <text>
        <r>
          <rPr>
            <b/>
            <sz val="9"/>
            <color indexed="81"/>
            <rFont val="Tahoma"/>
            <family val="2"/>
          </rPr>
          <t>Froio, Zach:</t>
        </r>
        <r>
          <rPr>
            <sz val="9"/>
            <color indexed="81"/>
            <rFont val="Tahoma"/>
            <family val="2"/>
          </rPr>
          <t xml:space="preserve">
Updated per IL TRM v8 Section 4.4</t>
        </r>
      </text>
    </comment>
    <comment ref="I152" authorId="0" shapeId="0" xr:uid="{863D4604-96F5-4776-9738-91079363F2F8}">
      <text>
        <r>
          <rPr>
            <b/>
            <sz val="9"/>
            <color indexed="81"/>
            <rFont val="Tahoma"/>
            <family val="2"/>
          </rPr>
          <t>Froio, Zach:</t>
        </r>
        <r>
          <rPr>
            <sz val="9"/>
            <color indexed="81"/>
            <rFont val="Tahoma"/>
            <family val="2"/>
          </rPr>
          <t xml:space="preserve">
Updated per IL TRM v8 Section 4.4</t>
        </r>
      </text>
    </comment>
    <comment ref="I153" authorId="0" shapeId="0" xr:uid="{DEF55D5E-3BFF-43A4-9BEB-CFC91B5F20DD}">
      <text>
        <r>
          <rPr>
            <b/>
            <sz val="9"/>
            <color indexed="81"/>
            <rFont val="Tahoma"/>
            <family val="2"/>
          </rPr>
          <t>Froio, Zach:</t>
        </r>
        <r>
          <rPr>
            <sz val="9"/>
            <color indexed="81"/>
            <rFont val="Tahoma"/>
            <family val="2"/>
          </rPr>
          <t xml:space="preserve">
Updated per IL TRM v8 Section 4.4</t>
        </r>
      </text>
    </comment>
    <comment ref="I154" authorId="0" shapeId="0" xr:uid="{C031592D-452E-4481-A78A-0263320030BA}">
      <text>
        <r>
          <rPr>
            <b/>
            <sz val="9"/>
            <color indexed="81"/>
            <rFont val="Tahoma"/>
            <family val="2"/>
          </rPr>
          <t>Froio, Zach:</t>
        </r>
        <r>
          <rPr>
            <sz val="9"/>
            <color indexed="81"/>
            <rFont val="Tahoma"/>
            <family val="2"/>
          </rPr>
          <t xml:space="preserve">
Updated per IL TRM v8 Section 4.4</t>
        </r>
      </text>
    </comment>
    <comment ref="I156" authorId="0" shapeId="0" xr:uid="{FAE57FFA-8435-4510-B85A-E7B0F3723680}">
      <text>
        <r>
          <rPr>
            <b/>
            <sz val="9"/>
            <color indexed="81"/>
            <rFont val="Tahoma"/>
            <family val="2"/>
          </rPr>
          <t>Froio, Zach:</t>
        </r>
        <r>
          <rPr>
            <sz val="9"/>
            <color indexed="81"/>
            <rFont val="Tahoma"/>
            <family val="2"/>
          </rPr>
          <t xml:space="preserve">
Updated per IL TRM v8 Section 4.4</t>
        </r>
      </text>
    </comment>
    <comment ref="I157" authorId="0" shapeId="0" xr:uid="{CB5236E6-ADB2-4E34-8A04-930E30E9D55B}">
      <text>
        <r>
          <rPr>
            <b/>
            <sz val="9"/>
            <color indexed="81"/>
            <rFont val="Tahoma"/>
            <family val="2"/>
          </rPr>
          <t>Froio, Zach:</t>
        </r>
        <r>
          <rPr>
            <sz val="9"/>
            <color indexed="81"/>
            <rFont val="Tahoma"/>
            <family val="2"/>
          </rPr>
          <t xml:space="preserve">
Updated per IL TRM v8 Section 4.4</t>
        </r>
      </text>
    </comment>
    <comment ref="I158" authorId="0" shapeId="0" xr:uid="{807D14EB-5990-47F3-82A1-D17C7A6ACD23}">
      <text>
        <r>
          <rPr>
            <b/>
            <sz val="9"/>
            <color indexed="81"/>
            <rFont val="Tahoma"/>
            <family val="2"/>
          </rPr>
          <t>Froio, Zach:</t>
        </r>
        <r>
          <rPr>
            <sz val="9"/>
            <color indexed="81"/>
            <rFont val="Tahoma"/>
            <family val="2"/>
          </rPr>
          <t xml:space="preserve">
Updated per IL TRM v8 Section 4.4</t>
        </r>
      </text>
    </comment>
    <comment ref="I159" authorId="0" shapeId="0" xr:uid="{84FC9E6B-D506-43DB-9BDC-71F8C6C62E28}">
      <text>
        <r>
          <rPr>
            <b/>
            <sz val="9"/>
            <color indexed="81"/>
            <rFont val="Tahoma"/>
            <family val="2"/>
          </rPr>
          <t>Froio, Zach:</t>
        </r>
        <r>
          <rPr>
            <sz val="9"/>
            <color indexed="81"/>
            <rFont val="Tahoma"/>
            <family val="2"/>
          </rPr>
          <t xml:space="preserve">
Updated per IL TRM v8 Section 4.4</t>
        </r>
      </text>
    </comment>
    <comment ref="I161" authorId="0" shapeId="0" xr:uid="{53FA9E1C-0DE6-4E26-9607-AC4CD0045FFC}">
      <text>
        <r>
          <rPr>
            <b/>
            <sz val="9"/>
            <color indexed="81"/>
            <rFont val="Tahoma"/>
            <family val="2"/>
          </rPr>
          <t>Froio, Zach:</t>
        </r>
        <r>
          <rPr>
            <sz val="9"/>
            <color indexed="81"/>
            <rFont val="Tahoma"/>
            <family val="2"/>
          </rPr>
          <t xml:space="preserve">
Updated per IL TRM v8 Section 4.4</t>
        </r>
      </text>
    </comment>
    <comment ref="I162" authorId="0" shapeId="0" xr:uid="{74A94F38-77CE-4458-A3B3-B5B93FF9B952}">
      <text>
        <r>
          <rPr>
            <b/>
            <sz val="9"/>
            <color indexed="81"/>
            <rFont val="Tahoma"/>
            <family val="2"/>
          </rPr>
          <t>Froio, Zach:</t>
        </r>
        <r>
          <rPr>
            <sz val="9"/>
            <color indexed="81"/>
            <rFont val="Tahoma"/>
            <family val="2"/>
          </rPr>
          <t xml:space="preserve">
Updated per IL TRM v8 Section 4.4</t>
        </r>
      </text>
    </comment>
    <comment ref="I163" authorId="0" shapeId="0" xr:uid="{631488A4-DA3C-4DA3-9559-5B87BE0C779F}">
      <text>
        <r>
          <rPr>
            <b/>
            <sz val="9"/>
            <color indexed="81"/>
            <rFont val="Tahoma"/>
            <family val="2"/>
          </rPr>
          <t>Froio, Zach:</t>
        </r>
        <r>
          <rPr>
            <sz val="9"/>
            <color indexed="81"/>
            <rFont val="Tahoma"/>
            <family val="2"/>
          </rPr>
          <t xml:space="preserve">
Updated per IL TRM v8 Section 4.4</t>
        </r>
      </text>
    </comment>
    <comment ref="I164" authorId="0" shapeId="0" xr:uid="{2E9BD1B7-FCE1-40D9-9E37-03F622168E60}">
      <text>
        <r>
          <rPr>
            <b/>
            <sz val="9"/>
            <color indexed="81"/>
            <rFont val="Tahoma"/>
            <family val="2"/>
          </rPr>
          <t>Froio, Zach:</t>
        </r>
        <r>
          <rPr>
            <sz val="9"/>
            <color indexed="81"/>
            <rFont val="Tahoma"/>
            <family val="2"/>
          </rPr>
          <t xml:space="preserve">
Updated per IL TRM v8 Section 4.4</t>
        </r>
      </text>
    </comment>
    <comment ref="I165" authorId="0" shapeId="0" xr:uid="{6007667C-4449-46C9-8FB7-4318AEB7EE10}">
      <text>
        <r>
          <rPr>
            <b/>
            <sz val="9"/>
            <color indexed="81"/>
            <rFont val="Tahoma"/>
            <family val="2"/>
          </rPr>
          <t>Froio, Zach:</t>
        </r>
        <r>
          <rPr>
            <sz val="9"/>
            <color indexed="81"/>
            <rFont val="Tahoma"/>
            <family val="2"/>
          </rPr>
          <t xml:space="preserve">
Updated per IL TRM v8 Section 4.4</t>
        </r>
      </text>
    </comment>
    <comment ref="I166" authorId="0" shapeId="0" xr:uid="{B8F879D7-FBD1-43FA-B033-D833F9F9372B}">
      <text>
        <r>
          <rPr>
            <b/>
            <sz val="9"/>
            <color indexed="81"/>
            <rFont val="Tahoma"/>
            <family val="2"/>
          </rPr>
          <t>Froio, Zach:</t>
        </r>
        <r>
          <rPr>
            <sz val="9"/>
            <color indexed="81"/>
            <rFont val="Tahoma"/>
            <family val="2"/>
          </rPr>
          <t xml:space="preserve">
Updated per IL TRM v8 Section 4.4</t>
        </r>
      </text>
    </comment>
    <comment ref="I167" authorId="0" shapeId="0" xr:uid="{95B78659-8457-4D8B-AE53-8CE51F83741E}">
      <text>
        <r>
          <rPr>
            <b/>
            <sz val="9"/>
            <color indexed="81"/>
            <rFont val="Tahoma"/>
            <family val="2"/>
          </rPr>
          <t>Froio, Zach:</t>
        </r>
        <r>
          <rPr>
            <sz val="9"/>
            <color indexed="81"/>
            <rFont val="Tahoma"/>
            <family val="2"/>
          </rPr>
          <t xml:space="preserve">
Updated per IL TRM v8 Section 4.4</t>
        </r>
      </text>
    </comment>
    <comment ref="I169" authorId="0" shapeId="0" xr:uid="{8659D8AB-BCB5-4D56-B398-6796EF7326BE}">
      <text>
        <r>
          <rPr>
            <b/>
            <sz val="9"/>
            <color indexed="81"/>
            <rFont val="Tahoma"/>
            <family val="2"/>
          </rPr>
          <t>Froio, Zach:</t>
        </r>
        <r>
          <rPr>
            <sz val="9"/>
            <color indexed="81"/>
            <rFont val="Tahoma"/>
            <family val="2"/>
          </rPr>
          <t xml:space="preserve">
Updated per IL TRM v8 Section 4.4</t>
        </r>
      </text>
    </comment>
    <comment ref="I170" authorId="0" shapeId="0" xr:uid="{CFC2FED0-1C40-401D-A187-49E83A8B6FF4}">
      <text>
        <r>
          <rPr>
            <b/>
            <sz val="9"/>
            <color indexed="81"/>
            <rFont val="Tahoma"/>
            <family val="2"/>
          </rPr>
          <t>Froio, Zach:</t>
        </r>
        <r>
          <rPr>
            <sz val="9"/>
            <color indexed="81"/>
            <rFont val="Tahoma"/>
            <family val="2"/>
          </rPr>
          <t xml:space="preserve">
Updated per IL TRM v8 Section 4.4</t>
        </r>
      </text>
    </comment>
    <comment ref="I171" authorId="0" shapeId="0" xr:uid="{245E0263-3805-476D-BB45-33CACE2C6137}">
      <text>
        <r>
          <rPr>
            <b/>
            <sz val="9"/>
            <color indexed="81"/>
            <rFont val="Tahoma"/>
            <family val="2"/>
          </rPr>
          <t>Froio, Zach:</t>
        </r>
        <r>
          <rPr>
            <sz val="9"/>
            <color indexed="81"/>
            <rFont val="Tahoma"/>
            <family val="2"/>
          </rPr>
          <t xml:space="preserve">
Updated per IL TRM v8 Section 4.4</t>
        </r>
      </text>
    </comment>
    <comment ref="I172" authorId="0" shapeId="0" xr:uid="{7A0B2D40-774C-4ED9-A6C8-CFBF88AF138F}">
      <text>
        <r>
          <rPr>
            <b/>
            <sz val="9"/>
            <color indexed="81"/>
            <rFont val="Tahoma"/>
            <family val="2"/>
          </rPr>
          <t>Froio, Zach:</t>
        </r>
        <r>
          <rPr>
            <sz val="9"/>
            <color indexed="81"/>
            <rFont val="Tahoma"/>
            <family val="2"/>
          </rPr>
          <t xml:space="preserve">
Updated per IL TRM v8 Section 4.4</t>
        </r>
      </text>
    </comment>
    <comment ref="I173" authorId="0" shapeId="0" xr:uid="{C4CEB163-B7AD-48B9-B718-F2A13B83C6A1}">
      <text>
        <r>
          <rPr>
            <b/>
            <sz val="9"/>
            <color indexed="81"/>
            <rFont val="Tahoma"/>
            <family val="2"/>
          </rPr>
          <t>Froio, Zach:</t>
        </r>
        <r>
          <rPr>
            <sz val="9"/>
            <color indexed="81"/>
            <rFont val="Tahoma"/>
            <family val="2"/>
          </rPr>
          <t xml:space="preserve">
Updated per IL TRM v8 Section 4.4</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743BF5AF-066E-4951-B79C-F6ADB4B744DC}">
      <text>
        <r>
          <rPr>
            <b/>
            <sz val="9"/>
            <color indexed="81"/>
            <rFont val="Tahoma"/>
            <family val="2"/>
          </rPr>
          <t>Froio, Zach:</t>
        </r>
        <r>
          <rPr>
            <sz val="9"/>
            <color indexed="81"/>
            <rFont val="Tahoma"/>
            <family val="2"/>
          </rPr>
          <t xml:space="preserve">
Updated per TRM v8 Section 4.4</t>
        </r>
      </text>
    </comment>
    <comment ref="B84" authorId="0" shapeId="0" xr:uid="{DE35883C-3928-4D43-AFA6-07BE45A0B1E9}">
      <text>
        <r>
          <rPr>
            <b/>
            <sz val="9"/>
            <color indexed="81"/>
            <rFont val="Tahoma"/>
            <family val="2"/>
          </rPr>
          <t>Froio, Zach:</t>
        </r>
        <r>
          <rPr>
            <sz val="9"/>
            <color indexed="81"/>
            <rFont val="Tahoma"/>
            <family val="2"/>
          </rPr>
          <t xml:space="preserve">
Updated per IL TRM v8 Section 4.4</t>
        </r>
      </text>
    </comment>
    <comment ref="B85" authorId="0" shapeId="0" xr:uid="{E32B8B72-4A13-47ED-9C93-03B5647F0F59}">
      <text>
        <r>
          <rPr>
            <b/>
            <sz val="9"/>
            <color indexed="81"/>
            <rFont val="Tahoma"/>
            <family val="2"/>
          </rPr>
          <t>Froio, Zach:</t>
        </r>
        <r>
          <rPr>
            <sz val="9"/>
            <color indexed="81"/>
            <rFont val="Tahoma"/>
            <family val="2"/>
          </rPr>
          <t xml:space="preserve">
Updated per IL TRM v8 Section 4.4</t>
        </r>
      </text>
    </comment>
    <comment ref="B87" authorId="0" shapeId="0" xr:uid="{102D2BDE-6E05-4595-9FC6-7517C0C66268}">
      <text>
        <r>
          <rPr>
            <b/>
            <sz val="9"/>
            <color indexed="81"/>
            <rFont val="Tahoma"/>
            <family val="2"/>
          </rPr>
          <t>Froio, Zach:</t>
        </r>
        <r>
          <rPr>
            <sz val="9"/>
            <color indexed="81"/>
            <rFont val="Tahoma"/>
            <family val="2"/>
          </rPr>
          <t xml:space="preserve">
Updated per IL TRM v8 Section 4.4</t>
        </r>
      </text>
    </comment>
    <comment ref="B88" authorId="0" shapeId="0" xr:uid="{3C59BAA9-3B85-4E07-AAFA-4855FBAA2ABB}">
      <text>
        <r>
          <rPr>
            <b/>
            <sz val="9"/>
            <color indexed="81"/>
            <rFont val="Tahoma"/>
            <family val="2"/>
          </rPr>
          <t>Froio, Zach:</t>
        </r>
        <r>
          <rPr>
            <sz val="9"/>
            <color indexed="81"/>
            <rFont val="Tahoma"/>
            <family val="2"/>
          </rPr>
          <t xml:space="preserve">
Updated per IL TRM v8 Section 4.4</t>
        </r>
      </text>
    </comment>
    <comment ref="B90" authorId="0" shapeId="0" xr:uid="{9834411B-6499-4A9A-8642-67978768B814}">
      <text>
        <r>
          <rPr>
            <b/>
            <sz val="9"/>
            <color indexed="81"/>
            <rFont val="Tahoma"/>
            <family val="2"/>
          </rPr>
          <t>Froio, Zach:</t>
        </r>
        <r>
          <rPr>
            <sz val="9"/>
            <color indexed="81"/>
            <rFont val="Tahoma"/>
            <family val="2"/>
          </rPr>
          <t xml:space="preserve">
Updated per IL TRM v8 Section 4.4</t>
        </r>
      </text>
    </comment>
    <comment ref="B91" authorId="0" shapeId="0" xr:uid="{48645E5A-6969-49C9-8306-5F36DB620143}">
      <text>
        <r>
          <rPr>
            <b/>
            <sz val="9"/>
            <color indexed="81"/>
            <rFont val="Tahoma"/>
            <family val="2"/>
          </rPr>
          <t>Froio, Zach:</t>
        </r>
        <r>
          <rPr>
            <sz val="9"/>
            <color indexed="81"/>
            <rFont val="Tahoma"/>
            <family val="2"/>
          </rPr>
          <t xml:space="preserve">
Updated per IL TRM v8 Section 4.4</t>
        </r>
      </text>
    </comment>
    <comment ref="B92" authorId="0" shapeId="0" xr:uid="{361B33D4-7F82-4C5E-BF11-7ECE0C477E99}">
      <text>
        <r>
          <rPr>
            <b/>
            <sz val="9"/>
            <color indexed="81"/>
            <rFont val="Tahoma"/>
            <family val="2"/>
          </rPr>
          <t>Froio, Zach:</t>
        </r>
        <r>
          <rPr>
            <sz val="9"/>
            <color indexed="81"/>
            <rFont val="Tahoma"/>
            <family val="2"/>
          </rPr>
          <t xml:space="preserve">
Updated per IL TRM v8 Section 4.4</t>
        </r>
      </text>
    </comment>
    <comment ref="B93" authorId="0" shapeId="0" xr:uid="{DB463F8A-35C7-49B5-B817-BB325A9CA8D6}">
      <text>
        <r>
          <rPr>
            <b/>
            <sz val="9"/>
            <color indexed="81"/>
            <rFont val="Tahoma"/>
            <family val="2"/>
          </rPr>
          <t>Froio, Zach:</t>
        </r>
        <r>
          <rPr>
            <sz val="9"/>
            <color indexed="81"/>
            <rFont val="Tahoma"/>
            <family val="2"/>
          </rPr>
          <t xml:space="preserve">
Updated per IL TRM v8 Section 4.4</t>
        </r>
      </text>
    </comment>
    <comment ref="B94" authorId="0" shapeId="0" xr:uid="{CD198E82-48E9-4501-9170-CE55B9EF4C2C}">
      <text>
        <r>
          <rPr>
            <b/>
            <sz val="9"/>
            <color indexed="81"/>
            <rFont val="Tahoma"/>
            <family val="2"/>
          </rPr>
          <t>Froio, Zach:</t>
        </r>
        <r>
          <rPr>
            <sz val="9"/>
            <color indexed="81"/>
            <rFont val="Tahoma"/>
            <family val="2"/>
          </rPr>
          <t xml:space="preserve">
Updated per IL TRM v8 Section 4.4</t>
        </r>
      </text>
    </comment>
    <comment ref="B95" authorId="0" shapeId="0" xr:uid="{9F9E30D5-7BE5-44FC-80B7-61407203D059}">
      <text>
        <r>
          <rPr>
            <b/>
            <sz val="9"/>
            <color indexed="81"/>
            <rFont val="Tahoma"/>
            <family val="2"/>
          </rPr>
          <t>Froio, Zach:</t>
        </r>
        <r>
          <rPr>
            <sz val="9"/>
            <color indexed="81"/>
            <rFont val="Tahoma"/>
            <family val="2"/>
          </rPr>
          <t xml:space="preserve">
Updated per IL TRM v8 Section 4.4</t>
        </r>
      </text>
    </comment>
    <comment ref="B96" authorId="0" shapeId="0" xr:uid="{F0EABC5A-1067-4ECB-B67E-AE47B275BD17}">
      <text>
        <r>
          <rPr>
            <b/>
            <sz val="9"/>
            <color indexed="81"/>
            <rFont val="Tahoma"/>
            <family val="2"/>
          </rPr>
          <t>Froio, Zach:</t>
        </r>
        <r>
          <rPr>
            <sz val="9"/>
            <color indexed="81"/>
            <rFont val="Tahoma"/>
            <family val="2"/>
          </rPr>
          <t xml:space="preserve">
Updated per IL TRM v8 Section 4.4</t>
        </r>
      </text>
    </comment>
    <comment ref="B97" authorId="0" shapeId="0" xr:uid="{98B64A9A-0671-46E3-883A-ED634AF0BDAF}">
      <text>
        <r>
          <rPr>
            <b/>
            <sz val="9"/>
            <color indexed="81"/>
            <rFont val="Tahoma"/>
            <family val="2"/>
          </rPr>
          <t>Froio, Zach:</t>
        </r>
        <r>
          <rPr>
            <sz val="9"/>
            <color indexed="81"/>
            <rFont val="Tahoma"/>
            <family val="2"/>
          </rPr>
          <t xml:space="preserve">
Updated per IL TRM v8 Section 4.4</t>
        </r>
      </text>
    </comment>
    <comment ref="B98" authorId="0" shapeId="0" xr:uid="{98DC2CDB-0B62-4EE5-9F7B-16F394FBF178}">
      <text>
        <r>
          <rPr>
            <b/>
            <sz val="9"/>
            <color indexed="81"/>
            <rFont val="Tahoma"/>
            <family val="2"/>
          </rPr>
          <t>Froio, Zach:</t>
        </r>
        <r>
          <rPr>
            <sz val="9"/>
            <color indexed="81"/>
            <rFont val="Tahoma"/>
            <family val="2"/>
          </rPr>
          <t xml:space="preserve">
Updated per IL TRM v8 Section 4.4</t>
        </r>
      </text>
    </comment>
    <comment ref="B99" authorId="0" shapeId="0" xr:uid="{11E020A3-EC94-4BF2-8AF6-40730EE8CC85}">
      <text>
        <r>
          <rPr>
            <b/>
            <sz val="9"/>
            <color indexed="81"/>
            <rFont val="Tahoma"/>
            <family val="2"/>
          </rPr>
          <t>Froio, Zach:</t>
        </r>
        <r>
          <rPr>
            <sz val="9"/>
            <color indexed="81"/>
            <rFont val="Tahoma"/>
            <family val="2"/>
          </rPr>
          <t xml:space="preserve">
Updated per IL TRM v8 Section 4.4</t>
        </r>
      </text>
    </comment>
    <comment ref="B101" authorId="0" shapeId="0" xr:uid="{8A077831-7118-4CA7-AF04-6738E7ACC527}">
      <text>
        <r>
          <rPr>
            <b/>
            <sz val="9"/>
            <color indexed="81"/>
            <rFont val="Tahoma"/>
            <family val="2"/>
          </rPr>
          <t>Froio, Zach:</t>
        </r>
        <r>
          <rPr>
            <sz val="9"/>
            <color indexed="81"/>
            <rFont val="Tahoma"/>
            <family val="2"/>
          </rPr>
          <t xml:space="preserve">
Updated per IL TRM v8 Section 4.4</t>
        </r>
      </text>
    </comment>
    <comment ref="B102" authorId="0" shapeId="0" xr:uid="{01801B1D-6570-4109-A64B-808AE41EED07}">
      <text>
        <r>
          <rPr>
            <b/>
            <sz val="9"/>
            <color indexed="81"/>
            <rFont val="Tahoma"/>
            <family val="2"/>
          </rPr>
          <t>Froio, Zach:</t>
        </r>
        <r>
          <rPr>
            <sz val="9"/>
            <color indexed="81"/>
            <rFont val="Tahoma"/>
            <family val="2"/>
          </rPr>
          <t xml:space="preserve">
Updated per IL TRM v8 Section 4.4</t>
        </r>
      </text>
    </comment>
    <comment ref="B103" authorId="0" shapeId="0" xr:uid="{46DCCDB6-DAD4-4B8D-A61C-5B14589E5494}">
      <text>
        <r>
          <rPr>
            <b/>
            <sz val="9"/>
            <color indexed="81"/>
            <rFont val="Tahoma"/>
            <family val="2"/>
          </rPr>
          <t>Froio, Zach:</t>
        </r>
        <r>
          <rPr>
            <sz val="9"/>
            <color indexed="81"/>
            <rFont val="Tahoma"/>
            <family val="2"/>
          </rPr>
          <t xml:space="preserve">
Updated per IL TRM v8 Section 4.4</t>
        </r>
      </text>
    </comment>
    <comment ref="B104" authorId="0" shapeId="0" xr:uid="{DE3CA3BE-959B-420F-A790-6BEA94016633}">
      <text>
        <r>
          <rPr>
            <b/>
            <sz val="9"/>
            <color indexed="81"/>
            <rFont val="Tahoma"/>
            <family val="2"/>
          </rPr>
          <t>Froio, Zach:</t>
        </r>
        <r>
          <rPr>
            <sz val="9"/>
            <color indexed="81"/>
            <rFont val="Tahoma"/>
            <family val="2"/>
          </rPr>
          <t xml:space="preserve">
Updated per IL TRM v8 Section 4.4</t>
        </r>
      </text>
    </comment>
    <comment ref="B106" authorId="0" shapeId="0" xr:uid="{AB73CEFF-607E-4AFC-9392-41C2BA4D9D1F}">
      <text>
        <r>
          <rPr>
            <b/>
            <sz val="9"/>
            <color indexed="81"/>
            <rFont val="Tahoma"/>
            <family val="2"/>
          </rPr>
          <t>Froio, Zach:</t>
        </r>
        <r>
          <rPr>
            <sz val="9"/>
            <color indexed="81"/>
            <rFont val="Tahoma"/>
            <family val="2"/>
          </rPr>
          <t xml:space="preserve">
Updated per IL TRM v8 Section 4.4</t>
        </r>
      </text>
    </comment>
    <comment ref="B107" authorId="0" shapeId="0" xr:uid="{75CAFF9C-0B2C-4656-A987-CC507EACEB3A}">
      <text>
        <r>
          <rPr>
            <b/>
            <sz val="9"/>
            <color indexed="81"/>
            <rFont val="Tahoma"/>
            <family val="2"/>
          </rPr>
          <t>Froio, Zach:</t>
        </r>
        <r>
          <rPr>
            <sz val="9"/>
            <color indexed="81"/>
            <rFont val="Tahoma"/>
            <family val="2"/>
          </rPr>
          <t xml:space="preserve">
Updated per IL TRM v8 Section 4.4</t>
        </r>
      </text>
    </comment>
    <comment ref="B108" authorId="0" shapeId="0" xr:uid="{E6F700E7-82EF-44D7-A387-ED2734E5E75A}">
      <text>
        <r>
          <rPr>
            <b/>
            <sz val="9"/>
            <color indexed="81"/>
            <rFont val="Tahoma"/>
            <family val="2"/>
          </rPr>
          <t>Froio, Zach:</t>
        </r>
        <r>
          <rPr>
            <sz val="9"/>
            <color indexed="81"/>
            <rFont val="Tahoma"/>
            <family val="2"/>
          </rPr>
          <t xml:space="preserve">
Updated per IL TRM v8 Section 4.4</t>
        </r>
      </text>
    </comment>
    <comment ref="B109" authorId="0" shapeId="0" xr:uid="{3E572EDB-A36B-4959-8031-29340108BF7C}">
      <text>
        <r>
          <rPr>
            <b/>
            <sz val="9"/>
            <color indexed="81"/>
            <rFont val="Tahoma"/>
            <family val="2"/>
          </rPr>
          <t>Froio, Zach:</t>
        </r>
        <r>
          <rPr>
            <sz val="9"/>
            <color indexed="81"/>
            <rFont val="Tahoma"/>
            <family val="2"/>
          </rPr>
          <t xml:space="preserve">
Updated per IL TRM v8 Section 4.4</t>
        </r>
      </text>
    </comment>
    <comment ref="B110" authorId="0" shapeId="0" xr:uid="{6470DA77-57FD-4133-BE70-A68F69D9CAAF}">
      <text>
        <r>
          <rPr>
            <b/>
            <sz val="9"/>
            <color indexed="81"/>
            <rFont val="Tahoma"/>
            <family val="2"/>
          </rPr>
          <t>Froio, Zach:</t>
        </r>
        <r>
          <rPr>
            <sz val="9"/>
            <color indexed="81"/>
            <rFont val="Tahoma"/>
            <family val="2"/>
          </rPr>
          <t xml:space="preserve">
Updated per IL TRM v8 Section 4.4</t>
        </r>
      </text>
    </comment>
    <comment ref="B111" authorId="0" shapeId="0" xr:uid="{3424B7CF-9A10-4D74-B6A6-ECE7295C8A4B}">
      <text>
        <r>
          <rPr>
            <b/>
            <sz val="9"/>
            <color indexed="81"/>
            <rFont val="Tahoma"/>
            <family val="2"/>
          </rPr>
          <t>Froio, Zach:</t>
        </r>
        <r>
          <rPr>
            <sz val="9"/>
            <color indexed="81"/>
            <rFont val="Tahoma"/>
            <family val="2"/>
          </rPr>
          <t xml:space="preserve">
Updated per IL TRM v8 Section 4.4</t>
        </r>
      </text>
    </comment>
    <comment ref="B112" authorId="0" shapeId="0" xr:uid="{FD7376A1-9E7B-4721-9E06-D19902C8DC94}">
      <text>
        <r>
          <rPr>
            <b/>
            <sz val="9"/>
            <color indexed="81"/>
            <rFont val="Tahoma"/>
            <family val="2"/>
          </rPr>
          <t>Froio, Zach:</t>
        </r>
        <r>
          <rPr>
            <sz val="9"/>
            <color indexed="81"/>
            <rFont val="Tahoma"/>
            <family val="2"/>
          </rPr>
          <t xml:space="preserve">
Updated per IL TRM v8 Section 4.4</t>
        </r>
      </text>
    </comment>
    <comment ref="B114" authorId="0" shapeId="0" xr:uid="{98AFE1F8-09E2-4EE1-AB7E-3A8B890D4CFA}">
      <text>
        <r>
          <rPr>
            <b/>
            <sz val="9"/>
            <color indexed="81"/>
            <rFont val="Tahoma"/>
            <family val="2"/>
          </rPr>
          <t>Froio, Zach:</t>
        </r>
        <r>
          <rPr>
            <sz val="9"/>
            <color indexed="81"/>
            <rFont val="Tahoma"/>
            <family val="2"/>
          </rPr>
          <t xml:space="preserve">
Updated per IL TRM v8 Section 4.4</t>
        </r>
      </text>
    </comment>
    <comment ref="B115" authorId="0" shapeId="0" xr:uid="{D51CB911-E3ED-43A5-9093-7D38D969A49B}">
      <text>
        <r>
          <rPr>
            <b/>
            <sz val="9"/>
            <color indexed="81"/>
            <rFont val="Tahoma"/>
            <family val="2"/>
          </rPr>
          <t>Froio, Zach:</t>
        </r>
        <r>
          <rPr>
            <sz val="9"/>
            <color indexed="81"/>
            <rFont val="Tahoma"/>
            <family val="2"/>
          </rPr>
          <t xml:space="preserve">
Updated per IL TRM v8 Section 4.4</t>
        </r>
      </text>
    </comment>
    <comment ref="B116" authorId="0" shapeId="0" xr:uid="{E01E636C-EFC6-4381-82D1-A8A2922D6D64}">
      <text>
        <r>
          <rPr>
            <b/>
            <sz val="9"/>
            <color indexed="81"/>
            <rFont val="Tahoma"/>
            <family val="2"/>
          </rPr>
          <t>Froio, Zach:</t>
        </r>
        <r>
          <rPr>
            <sz val="9"/>
            <color indexed="81"/>
            <rFont val="Tahoma"/>
            <family val="2"/>
          </rPr>
          <t xml:space="preserve">
Updated per IL TRM v8 Section 4.4</t>
        </r>
      </text>
    </comment>
    <comment ref="B117" authorId="0" shapeId="0" xr:uid="{FD87CA78-A45E-481E-8D9C-E7D3AD7C3D5D}">
      <text>
        <r>
          <rPr>
            <b/>
            <sz val="9"/>
            <color indexed="81"/>
            <rFont val="Tahoma"/>
            <family val="2"/>
          </rPr>
          <t>Froio, Zach:</t>
        </r>
        <r>
          <rPr>
            <sz val="9"/>
            <color indexed="81"/>
            <rFont val="Tahoma"/>
            <family val="2"/>
          </rPr>
          <t xml:space="preserve">
Updated per IL TRM v8 Section 4.4</t>
        </r>
      </text>
    </comment>
    <comment ref="B118" authorId="0" shapeId="0" xr:uid="{AC399217-3F4A-4261-8F30-232B7174A4AF}">
      <text>
        <r>
          <rPr>
            <b/>
            <sz val="9"/>
            <color indexed="81"/>
            <rFont val="Tahoma"/>
            <family val="2"/>
          </rPr>
          <t>Froio, Zach:</t>
        </r>
        <r>
          <rPr>
            <sz val="9"/>
            <color indexed="81"/>
            <rFont val="Tahoma"/>
            <family val="2"/>
          </rPr>
          <t xml:space="preserve">
Updated per IL TRM v8 Section 4.4</t>
        </r>
      </text>
    </comment>
    <comment ref="N137" authorId="0" shapeId="0" xr:uid="{5717E754-3901-4E52-9692-391FA0D898F6}">
      <text>
        <r>
          <rPr>
            <b/>
            <sz val="9"/>
            <color indexed="81"/>
            <rFont val="Tahoma"/>
            <family val="2"/>
          </rPr>
          <t>Froio, Zach:</t>
        </r>
        <r>
          <rPr>
            <sz val="9"/>
            <color indexed="81"/>
            <rFont val="Tahoma"/>
            <family val="2"/>
          </rPr>
          <t xml:space="preserve">
Updated per IL TRM v7 p. 187</t>
        </r>
      </text>
    </comment>
    <comment ref="I139" authorId="0" shapeId="0" xr:uid="{EC9851EE-737F-45D7-AA44-AC4ED37A4B37}">
      <text>
        <r>
          <rPr>
            <b/>
            <sz val="9"/>
            <color indexed="81"/>
            <rFont val="Tahoma"/>
            <family val="2"/>
          </rPr>
          <t>Froio, Zach:</t>
        </r>
        <r>
          <rPr>
            <sz val="9"/>
            <color indexed="81"/>
            <rFont val="Tahoma"/>
            <family val="2"/>
          </rPr>
          <t xml:space="preserve">
Updated per IL TRM v8 Section 4.4</t>
        </r>
      </text>
    </comment>
    <comment ref="I140" authorId="0" shapeId="0" xr:uid="{08234652-CC19-4F4A-B169-D0C2DABFC8BF}">
      <text>
        <r>
          <rPr>
            <b/>
            <sz val="9"/>
            <color indexed="81"/>
            <rFont val="Tahoma"/>
            <family val="2"/>
          </rPr>
          <t>Froio, Zach:</t>
        </r>
        <r>
          <rPr>
            <sz val="9"/>
            <color indexed="81"/>
            <rFont val="Tahoma"/>
            <family val="2"/>
          </rPr>
          <t xml:space="preserve">
Updated per IL TRM v8 Section 4.4</t>
        </r>
      </text>
    </comment>
    <comment ref="I142" authorId="0" shapeId="0" xr:uid="{267C1BFD-134A-4C66-895A-D254C6E30619}">
      <text>
        <r>
          <rPr>
            <b/>
            <sz val="9"/>
            <color indexed="81"/>
            <rFont val="Tahoma"/>
            <family val="2"/>
          </rPr>
          <t>Froio, Zach:</t>
        </r>
        <r>
          <rPr>
            <sz val="9"/>
            <color indexed="81"/>
            <rFont val="Tahoma"/>
            <family val="2"/>
          </rPr>
          <t xml:space="preserve">
Updated per IL TRM v8 Section 4.4</t>
        </r>
      </text>
    </comment>
    <comment ref="I143" authorId="0" shapeId="0" xr:uid="{86F3889E-CFFD-4618-BD8F-7CDBA94849D4}">
      <text>
        <r>
          <rPr>
            <b/>
            <sz val="9"/>
            <color indexed="81"/>
            <rFont val="Tahoma"/>
            <family val="2"/>
          </rPr>
          <t>Froio, Zach:</t>
        </r>
        <r>
          <rPr>
            <sz val="9"/>
            <color indexed="81"/>
            <rFont val="Tahoma"/>
            <family val="2"/>
          </rPr>
          <t xml:space="preserve">
Updated per IL TRM v8 Section 4.4</t>
        </r>
      </text>
    </comment>
    <comment ref="I145" authorId="0" shapeId="0" xr:uid="{E12D1C8C-E4C0-49E9-83E6-F498CD9D8CA8}">
      <text>
        <r>
          <rPr>
            <b/>
            <sz val="9"/>
            <color indexed="81"/>
            <rFont val="Tahoma"/>
            <family val="2"/>
          </rPr>
          <t>Froio, Zach:</t>
        </r>
        <r>
          <rPr>
            <sz val="9"/>
            <color indexed="81"/>
            <rFont val="Tahoma"/>
            <family val="2"/>
          </rPr>
          <t xml:space="preserve">
Updated per IL TRM v8 Section 4.4</t>
        </r>
      </text>
    </comment>
    <comment ref="I146" authorId="0" shapeId="0" xr:uid="{65228293-450F-46AF-A0E7-025F821E6936}">
      <text>
        <r>
          <rPr>
            <b/>
            <sz val="9"/>
            <color indexed="81"/>
            <rFont val="Tahoma"/>
            <family val="2"/>
          </rPr>
          <t>Froio, Zach:</t>
        </r>
        <r>
          <rPr>
            <sz val="9"/>
            <color indexed="81"/>
            <rFont val="Tahoma"/>
            <family val="2"/>
          </rPr>
          <t xml:space="preserve">
Updated per IL TRM v8 Section 4.4</t>
        </r>
      </text>
    </comment>
    <comment ref="I147" authorId="0" shapeId="0" xr:uid="{550C4D55-DD2A-4DD3-A8A3-1EB9268DC4F7}">
      <text>
        <r>
          <rPr>
            <b/>
            <sz val="9"/>
            <color indexed="81"/>
            <rFont val="Tahoma"/>
            <family val="2"/>
          </rPr>
          <t>Froio, Zach:</t>
        </r>
        <r>
          <rPr>
            <sz val="9"/>
            <color indexed="81"/>
            <rFont val="Tahoma"/>
            <family val="2"/>
          </rPr>
          <t xml:space="preserve">
Updated per IL TRM v8 Section 4.4</t>
        </r>
      </text>
    </comment>
    <comment ref="I148" authorId="0" shapeId="0" xr:uid="{AAACBD7E-ACCC-4A30-926F-C2FAB1700ABC}">
      <text>
        <r>
          <rPr>
            <b/>
            <sz val="9"/>
            <color indexed="81"/>
            <rFont val="Tahoma"/>
            <family val="2"/>
          </rPr>
          <t>Froio, Zach:</t>
        </r>
        <r>
          <rPr>
            <sz val="9"/>
            <color indexed="81"/>
            <rFont val="Tahoma"/>
            <family val="2"/>
          </rPr>
          <t xml:space="preserve">
Updated per IL TRM v8 Section 4.4</t>
        </r>
      </text>
    </comment>
    <comment ref="I149" authorId="0" shapeId="0" xr:uid="{3210CD32-5FCA-409F-846A-54F460A3E905}">
      <text>
        <r>
          <rPr>
            <b/>
            <sz val="9"/>
            <color indexed="81"/>
            <rFont val="Tahoma"/>
            <family val="2"/>
          </rPr>
          <t>Froio, Zach:</t>
        </r>
        <r>
          <rPr>
            <sz val="9"/>
            <color indexed="81"/>
            <rFont val="Tahoma"/>
            <family val="2"/>
          </rPr>
          <t xml:space="preserve">
Updated per IL TRM v8 Section 4.4</t>
        </r>
      </text>
    </comment>
    <comment ref="I150" authorId="0" shapeId="0" xr:uid="{C4A394F6-2FCE-43E6-9221-1CB177DBBB7E}">
      <text>
        <r>
          <rPr>
            <b/>
            <sz val="9"/>
            <color indexed="81"/>
            <rFont val="Tahoma"/>
            <family val="2"/>
          </rPr>
          <t>Froio, Zach:</t>
        </r>
        <r>
          <rPr>
            <sz val="9"/>
            <color indexed="81"/>
            <rFont val="Tahoma"/>
            <family val="2"/>
          </rPr>
          <t xml:space="preserve">
Updated per IL TRM v8 Section 4.4</t>
        </r>
      </text>
    </comment>
    <comment ref="I151" authorId="0" shapeId="0" xr:uid="{6852D2A0-99C3-4EC9-BAE0-2A5624140019}">
      <text>
        <r>
          <rPr>
            <b/>
            <sz val="9"/>
            <color indexed="81"/>
            <rFont val="Tahoma"/>
            <family val="2"/>
          </rPr>
          <t>Froio, Zach:</t>
        </r>
        <r>
          <rPr>
            <sz val="9"/>
            <color indexed="81"/>
            <rFont val="Tahoma"/>
            <family val="2"/>
          </rPr>
          <t xml:space="preserve">
Updated per IL TRM v8 Section 4.4</t>
        </r>
      </text>
    </comment>
    <comment ref="I152" authorId="0" shapeId="0" xr:uid="{98C6D670-F2D2-43A2-A79A-0C56A19ED224}">
      <text>
        <r>
          <rPr>
            <b/>
            <sz val="9"/>
            <color indexed="81"/>
            <rFont val="Tahoma"/>
            <family val="2"/>
          </rPr>
          <t>Froio, Zach:</t>
        </r>
        <r>
          <rPr>
            <sz val="9"/>
            <color indexed="81"/>
            <rFont val="Tahoma"/>
            <family val="2"/>
          </rPr>
          <t xml:space="preserve">
Updated per IL TRM v8 Section 4.4</t>
        </r>
      </text>
    </comment>
    <comment ref="I153" authorId="0" shapeId="0" xr:uid="{39CDFA9E-AD0D-4ED3-AFA6-B3A2EC39FECD}">
      <text>
        <r>
          <rPr>
            <b/>
            <sz val="9"/>
            <color indexed="81"/>
            <rFont val="Tahoma"/>
            <family val="2"/>
          </rPr>
          <t>Froio, Zach:</t>
        </r>
        <r>
          <rPr>
            <sz val="9"/>
            <color indexed="81"/>
            <rFont val="Tahoma"/>
            <family val="2"/>
          </rPr>
          <t xml:space="preserve">
Updated per IL TRM v8 Section 4.4</t>
        </r>
      </text>
    </comment>
    <comment ref="I154" authorId="0" shapeId="0" xr:uid="{44CAC9BD-75D7-452E-9D0F-A95DD1FFC037}">
      <text>
        <r>
          <rPr>
            <b/>
            <sz val="9"/>
            <color indexed="81"/>
            <rFont val="Tahoma"/>
            <family val="2"/>
          </rPr>
          <t>Froio, Zach:</t>
        </r>
        <r>
          <rPr>
            <sz val="9"/>
            <color indexed="81"/>
            <rFont val="Tahoma"/>
            <family val="2"/>
          </rPr>
          <t xml:space="preserve">
Updated per IL TRM v8 Section 4.4</t>
        </r>
      </text>
    </comment>
    <comment ref="I156" authorId="0" shapeId="0" xr:uid="{4F08BA51-CD72-4858-A140-0C48523DF464}">
      <text>
        <r>
          <rPr>
            <b/>
            <sz val="9"/>
            <color indexed="81"/>
            <rFont val="Tahoma"/>
            <family val="2"/>
          </rPr>
          <t>Froio, Zach:</t>
        </r>
        <r>
          <rPr>
            <sz val="9"/>
            <color indexed="81"/>
            <rFont val="Tahoma"/>
            <family val="2"/>
          </rPr>
          <t xml:space="preserve">
Updated per IL TRM v8 Section 4.4</t>
        </r>
      </text>
    </comment>
    <comment ref="I157" authorId="0" shapeId="0" xr:uid="{51C88291-9FE9-4C4A-8761-50437062E595}">
      <text>
        <r>
          <rPr>
            <b/>
            <sz val="9"/>
            <color indexed="81"/>
            <rFont val="Tahoma"/>
            <family val="2"/>
          </rPr>
          <t>Froio, Zach:</t>
        </r>
        <r>
          <rPr>
            <sz val="9"/>
            <color indexed="81"/>
            <rFont val="Tahoma"/>
            <family val="2"/>
          </rPr>
          <t xml:space="preserve">
Updated per IL TRM v8 Section 4.4</t>
        </r>
      </text>
    </comment>
    <comment ref="I158" authorId="0" shapeId="0" xr:uid="{1BE32D37-22C0-4501-A62B-E6185B73483F}">
      <text>
        <r>
          <rPr>
            <b/>
            <sz val="9"/>
            <color indexed="81"/>
            <rFont val="Tahoma"/>
            <family val="2"/>
          </rPr>
          <t>Froio, Zach:</t>
        </r>
        <r>
          <rPr>
            <sz val="9"/>
            <color indexed="81"/>
            <rFont val="Tahoma"/>
            <family val="2"/>
          </rPr>
          <t xml:space="preserve">
Updated per IL TRM v8 Section 4.4</t>
        </r>
      </text>
    </comment>
    <comment ref="I159" authorId="0" shapeId="0" xr:uid="{7EAB0CA3-F096-41B3-95ED-C298E28EDB05}">
      <text>
        <r>
          <rPr>
            <b/>
            <sz val="9"/>
            <color indexed="81"/>
            <rFont val="Tahoma"/>
            <family val="2"/>
          </rPr>
          <t>Froio, Zach:</t>
        </r>
        <r>
          <rPr>
            <sz val="9"/>
            <color indexed="81"/>
            <rFont val="Tahoma"/>
            <family val="2"/>
          </rPr>
          <t xml:space="preserve">
Updated per IL TRM v8 Section 4.4</t>
        </r>
      </text>
    </comment>
    <comment ref="I161" authorId="0" shapeId="0" xr:uid="{8B5E8908-B6E3-4FA7-B320-9E215B985F41}">
      <text>
        <r>
          <rPr>
            <b/>
            <sz val="9"/>
            <color indexed="81"/>
            <rFont val="Tahoma"/>
            <family val="2"/>
          </rPr>
          <t>Froio, Zach:</t>
        </r>
        <r>
          <rPr>
            <sz val="9"/>
            <color indexed="81"/>
            <rFont val="Tahoma"/>
            <family val="2"/>
          </rPr>
          <t xml:space="preserve">
Updated per IL TRM v8 Section 4.4</t>
        </r>
      </text>
    </comment>
    <comment ref="I162" authorId="0" shapeId="0" xr:uid="{7FABDB48-FE21-468D-B19E-7A278183776E}">
      <text>
        <r>
          <rPr>
            <b/>
            <sz val="9"/>
            <color indexed="81"/>
            <rFont val="Tahoma"/>
            <family val="2"/>
          </rPr>
          <t>Froio, Zach:</t>
        </r>
        <r>
          <rPr>
            <sz val="9"/>
            <color indexed="81"/>
            <rFont val="Tahoma"/>
            <family val="2"/>
          </rPr>
          <t xml:space="preserve">
Updated per IL TRM v8 Section 4.4</t>
        </r>
      </text>
    </comment>
    <comment ref="I163" authorId="0" shapeId="0" xr:uid="{938EBD09-8058-4783-83DC-F8494261EF08}">
      <text>
        <r>
          <rPr>
            <b/>
            <sz val="9"/>
            <color indexed="81"/>
            <rFont val="Tahoma"/>
            <family val="2"/>
          </rPr>
          <t>Froio, Zach:</t>
        </r>
        <r>
          <rPr>
            <sz val="9"/>
            <color indexed="81"/>
            <rFont val="Tahoma"/>
            <family val="2"/>
          </rPr>
          <t xml:space="preserve">
Updated per IL TRM v8 Section 4.4</t>
        </r>
      </text>
    </comment>
    <comment ref="I164" authorId="0" shapeId="0" xr:uid="{668922A3-1570-413A-9671-B98A9F02FA45}">
      <text>
        <r>
          <rPr>
            <b/>
            <sz val="9"/>
            <color indexed="81"/>
            <rFont val="Tahoma"/>
            <family val="2"/>
          </rPr>
          <t>Froio, Zach:</t>
        </r>
        <r>
          <rPr>
            <sz val="9"/>
            <color indexed="81"/>
            <rFont val="Tahoma"/>
            <family val="2"/>
          </rPr>
          <t xml:space="preserve">
Updated per IL TRM v8 Section 4.4</t>
        </r>
      </text>
    </comment>
    <comment ref="I165" authorId="0" shapeId="0" xr:uid="{D0306E91-8D49-4A11-AC9C-567BB2926E9E}">
      <text>
        <r>
          <rPr>
            <b/>
            <sz val="9"/>
            <color indexed="81"/>
            <rFont val="Tahoma"/>
            <family val="2"/>
          </rPr>
          <t>Froio, Zach:</t>
        </r>
        <r>
          <rPr>
            <sz val="9"/>
            <color indexed="81"/>
            <rFont val="Tahoma"/>
            <family val="2"/>
          </rPr>
          <t xml:space="preserve">
Updated per IL TRM v8 Section 4.4</t>
        </r>
      </text>
    </comment>
    <comment ref="I166" authorId="0" shapeId="0" xr:uid="{3E4FE3C0-F21D-460B-8429-94D07D3B58AC}">
      <text>
        <r>
          <rPr>
            <b/>
            <sz val="9"/>
            <color indexed="81"/>
            <rFont val="Tahoma"/>
            <family val="2"/>
          </rPr>
          <t>Froio, Zach:</t>
        </r>
        <r>
          <rPr>
            <sz val="9"/>
            <color indexed="81"/>
            <rFont val="Tahoma"/>
            <family val="2"/>
          </rPr>
          <t xml:space="preserve">
Updated per IL TRM v8 Section 4.4</t>
        </r>
      </text>
    </comment>
    <comment ref="I167" authorId="0" shapeId="0" xr:uid="{6D93E2F8-254A-4F38-9F71-F2A978B2D33D}">
      <text>
        <r>
          <rPr>
            <b/>
            <sz val="9"/>
            <color indexed="81"/>
            <rFont val="Tahoma"/>
            <family val="2"/>
          </rPr>
          <t>Froio, Zach:</t>
        </r>
        <r>
          <rPr>
            <sz val="9"/>
            <color indexed="81"/>
            <rFont val="Tahoma"/>
            <family val="2"/>
          </rPr>
          <t xml:space="preserve">
Updated per IL TRM v8 Section 4.4</t>
        </r>
      </text>
    </comment>
    <comment ref="I169" authorId="0" shapeId="0" xr:uid="{F1324D04-79D4-4853-9307-D3C330F93FD9}">
      <text>
        <r>
          <rPr>
            <b/>
            <sz val="9"/>
            <color indexed="81"/>
            <rFont val="Tahoma"/>
            <family val="2"/>
          </rPr>
          <t>Froio, Zach:</t>
        </r>
        <r>
          <rPr>
            <sz val="9"/>
            <color indexed="81"/>
            <rFont val="Tahoma"/>
            <family val="2"/>
          </rPr>
          <t xml:space="preserve">
Updated per IL TRM v8 Section 4.4</t>
        </r>
      </text>
    </comment>
    <comment ref="I170" authorId="0" shapeId="0" xr:uid="{89DDF57C-5B79-4AF1-9DE4-71CBAFCB7BB8}">
      <text>
        <r>
          <rPr>
            <b/>
            <sz val="9"/>
            <color indexed="81"/>
            <rFont val="Tahoma"/>
            <family val="2"/>
          </rPr>
          <t>Froio, Zach:</t>
        </r>
        <r>
          <rPr>
            <sz val="9"/>
            <color indexed="81"/>
            <rFont val="Tahoma"/>
            <family val="2"/>
          </rPr>
          <t xml:space="preserve">
Updated per IL TRM v8 Section 4.4</t>
        </r>
      </text>
    </comment>
    <comment ref="I171" authorId="0" shapeId="0" xr:uid="{E65CBA1D-0311-4D8B-A61B-F5930288F5F2}">
      <text>
        <r>
          <rPr>
            <b/>
            <sz val="9"/>
            <color indexed="81"/>
            <rFont val="Tahoma"/>
            <family val="2"/>
          </rPr>
          <t>Froio, Zach:</t>
        </r>
        <r>
          <rPr>
            <sz val="9"/>
            <color indexed="81"/>
            <rFont val="Tahoma"/>
            <family val="2"/>
          </rPr>
          <t xml:space="preserve">
Updated per IL TRM v8 Section 4.4</t>
        </r>
      </text>
    </comment>
    <comment ref="I172" authorId="0" shapeId="0" xr:uid="{26863CE7-F7C6-4CFC-AAD6-313CD5DB0F65}">
      <text>
        <r>
          <rPr>
            <b/>
            <sz val="9"/>
            <color indexed="81"/>
            <rFont val="Tahoma"/>
            <family val="2"/>
          </rPr>
          <t>Froio, Zach:</t>
        </r>
        <r>
          <rPr>
            <sz val="9"/>
            <color indexed="81"/>
            <rFont val="Tahoma"/>
            <family val="2"/>
          </rPr>
          <t xml:space="preserve">
Updated per IL TRM v8 Section 4.4</t>
        </r>
      </text>
    </comment>
    <comment ref="I173" authorId="0" shapeId="0" xr:uid="{E972DCA7-1DB7-4B68-B832-0D32425548E5}">
      <text>
        <r>
          <rPr>
            <b/>
            <sz val="9"/>
            <color indexed="81"/>
            <rFont val="Tahoma"/>
            <family val="2"/>
          </rPr>
          <t>Froio, Zach:</t>
        </r>
        <r>
          <rPr>
            <sz val="9"/>
            <color indexed="81"/>
            <rFont val="Tahoma"/>
            <family val="2"/>
          </rPr>
          <t xml:space="preserve">
Updated per IL TRM v8 Section 4.4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tc={D2F6859D-B9A9-4AC3-BB9B-F98220E06F17}</author>
    <author>Froio, Zach</author>
    <author>tc={602F5FA3-7647-4C23-9CA8-019203D78577}</author>
    <author>tc={B992D397-D12F-4641-AF83-EEBFE906D183}</author>
    <author>tc={0047EFF4-C619-4CE1-AB9D-3A3FBF770FCB}</author>
    <author>tc={9A14BC13-16EE-4DE1-BA93-E97B86CAF886}</author>
  </authors>
  <commentList>
    <comment ref="M3" authorId="0" shapeId="0" xr:uid="{00000000-0006-0000-0600-000001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V15" authorId="1" shapeId="0" xr:uid="{D2F6859D-B9A9-4AC3-BB9B-F98220E06F1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K20" authorId="2" shapeId="0" xr:uid="{73D49E75-933E-4822-B181-47F03252BD8E}">
      <text>
        <r>
          <rPr>
            <b/>
            <sz val="9"/>
            <color indexed="81"/>
            <rFont val="Tahoma"/>
            <family val="2"/>
          </rPr>
          <t>Froio, Zach:</t>
        </r>
        <r>
          <rPr>
            <sz val="9"/>
            <color indexed="81"/>
            <rFont val="Tahoma"/>
            <family val="2"/>
          </rPr>
          <t xml:space="preserve">
Updated per IL TRM v7 p. 334</t>
        </r>
      </text>
    </comment>
    <comment ref="K31" authorId="2" shapeId="0" xr:uid="{153ED713-B7EB-4FD9-BC61-771664A4D294}">
      <text>
        <r>
          <rPr>
            <b/>
            <sz val="9"/>
            <color indexed="81"/>
            <rFont val="Tahoma"/>
            <family val="2"/>
          </rPr>
          <t>Froio, Zach:</t>
        </r>
        <r>
          <rPr>
            <sz val="9"/>
            <color indexed="81"/>
            <rFont val="Tahoma"/>
            <family val="2"/>
          </rPr>
          <t xml:space="preserve">
Updated per IL TRM v7 p. 327</t>
        </r>
      </text>
    </comment>
    <comment ref="K32" authorId="2" shapeId="0" xr:uid="{67863604-A491-4179-8FE8-321108BC39E5}">
      <text>
        <r>
          <rPr>
            <b/>
            <sz val="9"/>
            <color indexed="81"/>
            <rFont val="Tahoma"/>
            <family val="2"/>
          </rPr>
          <t>Froio, Zach:</t>
        </r>
        <r>
          <rPr>
            <sz val="9"/>
            <color indexed="81"/>
            <rFont val="Tahoma"/>
            <family val="2"/>
          </rPr>
          <t xml:space="preserve">
Updated per IL TRM v7 p. 327</t>
        </r>
      </text>
    </comment>
    <comment ref="K33" authorId="2" shapeId="0" xr:uid="{D22FF84F-0EBB-4568-B5A1-81ABA868DE14}">
      <text>
        <r>
          <rPr>
            <b/>
            <sz val="9"/>
            <color indexed="81"/>
            <rFont val="Tahoma"/>
            <family val="2"/>
          </rPr>
          <t>Froio, Zach:</t>
        </r>
        <r>
          <rPr>
            <sz val="9"/>
            <color indexed="81"/>
            <rFont val="Tahoma"/>
            <family val="2"/>
          </rPr>
          <t xml:space="preserve">
Updated per IL TRM v7 p. 327</t>
        </r>
      </text>
    </comment>
    <comment ref="K34" authorId="2" shapeId="0" xr:uid="{599D2561-9279-429A-8399-94E336C844A7}">
      <text>
        <r>
          <rPr>
            <b/>
            <sz val="9"/>
            <color indexed="81"/>
            <rFont val="Tahoma"/>
            <family val="2"/>
          </rPr>
          <t>Froio, Zach:</t>
        </r>
        <r>
          <rPr>
            <sz val="9"/>
            <color indexed="81"/>
            <rFont val="Tahoma"/>
            <family val="2"/>
          </rPr>
          <t xml:space="preserve">
Updated per IL TRM v7 p. 327</t>
        </r>
      </text>
    </comment>
    <comment ref="K60" authorId="2" shapeId="0" xr:uid="{0094DC58-2772-4C96-81EA-FD1EA5E89F75}">
      <text>
        <r>
          <rPr>
            <b/>
            <sz val="9"/>
            <color indexed="81"/>
            <rFont val="Tahoma"/>
            <family val="2"/>
          </rPr>
          <t>Froio, Zach:</t>
        </r>
        <r>
          <rPr>
            <sz val="9"/>
            <color indexed="81"/>
            <rFont val="Tahoma"/>
            <family val="2"/>
          </rPr>
          <t xml:space="preserve">
Updated per IL TRM v7 p. 334</t>
        </r>
      </text>
    </comment>
    <comment ref="K72" authorId="2" shapeId="0" xr:uid="{86C8E652-094B-4EC4-9A58-ECEC3C7EFBE9}">
      <text>
        <r>
          <rPr>
            <b/>
            <sz val="9"/>
            <color indexed="81"/>
            <rFont val="Tahoma"/>
            <family val="2"/>
          </rPr>
          <t>Froio, Zach:</t>
        </r>
        <r>
          <rPr>
            <sz val="9"/>
            <color indexed="81"/>
            <rFont val="Tahoma"/>
            <family val="2"/>
          </rPr>
          <t xml:space="preserve">
Updated per IL TRM v7 p. 327</t>
        </r>
      </text>
    </comment>
    <comment ref="K73" authorId="2" shapeId="0" xr:uid="{9907F093-44AC-4DE4-AB13-CD5AACAA7B7B}">
      <text>
        <r>
          <rPr>
            <b/>
            <sz val="9"/>
            <color indexed="81"/>
            <rFont val="Tahoma"/>
            <family val="2"/>
          </rPr>
          <t>Froio, Zach:</t>
        </r>
        <r>
          <rPr>
            <sz val="9"/>
            <color indexed="81"/>
            <rFont val="Tahoma"/>
            <family val="2"/>
          </rPr>
          <t xml:space="preserve">
Updated per IL TRM v7 p. 327</t>
        </r>
      </text>
    </comment>
    <comment ref="K74" authorId="2" shapeId="0" xr:uid="{1E469431-97DD-42F5-A5D7-5E295188248C}">
      <text>
        <r>
          <rPr>
            <b/>
            <sz val="9"/>
            <color indexed="81"/>
            <rFont val="Tahoma"/>
            <family val="2"/>
          </rPr>
          <t>Froio, Zach:</t>
        </r>
        <r>
          <rPr>
            <sz val="9"/>
            <color indexed="81"/>
            <rFont val="Tahoma"/>
            <family val="2"/>
          </rPr>
          <t xml:space="preserve">
Updated per IL TRM v7 p. 327</t>
        </r>
      </text>
    </comment>
    <comment ref="K75" authorId="2" shapeId="0" xr:uid="{FBE3E28C-EB8E-4166-BB38-D5715B7BC7C5}">
      <text>
        <r>
          <rPr>
            <b/>
            <sz val="9"/>
            <color indexed="81"/>
            <rFont val="Tahoma"/>
            <family val="2"/>
          </rPr>
          <t>Froio, Zach:</t>
        </r>
        <r>
          <rPr>
            <sz val="9"/>
            <color indexed="81"/>
            <rFont val="Tahoma"/>
            <family val="2"/>
          </rPr>
          <t xml:space="preserve">
Updated per IL TRM v7 p. 327</t>
        </r>
      </text>
    </comment>
    <comment ref="K81" authorId="2" shapeId="0" xr:uid="{3BAC8070-3AC5-4D0D-864D-A55D46DF61A6}">
      <text>
        <r>
          <rPr>
            <b/>
            <sz val="9"/>
            <color indexed="81"/>
            <rFont val="Tahoma"/>
            <family val="2"/>
          </rPr>
          <t>Froio, Zach:</t>
        </r>
        <r>
          <rPr>
            <sz val="9"/>
            <color indexed="81"/>
            <rFont val="Tahoma"/>
            <family val="2"/>
          </rPr>
          <t xml:space="preserve">
Updated per IL TRM v7 p. 334</t>
        </r>
      </text>
    </comment>
    <comment ref="K93" authorId="2" shapeId="0" xr:uid="{C12F0054-20C8-4150-AF55-B99E8BC759A3}">
      <text>
        <r>
          <rPr>
            <b/>
            <sz val="9"/>
            <color indexed="81"/>
            <rFont val="Tahoma"/>
            <family val="2"/>
          </rPr>
          <t>Froio, Zach:</t>
        </r>
        <r>
          <rPr>
            <sz val="9"/>
            <color indexed="81"/>
            <rFont val="Tahoma"/>
            <family val="2"/>
          </rPr>
          <t xml:space="preserve">
Updated per IL TRM v7 p. 327</t>
        </r>
      </text>
    </comment>
    <comment ref="K94" authorId="2" shapeId="0" xr:uid="{F066DA27-A6D7-4A5C-9CF7-E3B24AD3A7E6}">
      <text>
        <r>
          <rPr>
            <b/>
            <sz val="9"/>
            <color indexed="81"/>
            <rFont val="Tahoma"/>
            <family val="2"/>
          </rPr>
          <t>Froio, Zach:</t>
        </r>
        <r>
          <rPr>
            <sz val="9"/>
            <color indexed="81"/>
            <rFont val="Tahoma"/>
            <family val="2"/>
          </rPr>
          <t xml:space="preserve">
Updated per IL TRM v7 p. 327</t>
        </r>
      </text>
    </comment>
    <comment ref="K95" authorId="2" shapeId="0" xr:uid="{BC3C9EC5-50E4-43D9-8353-5B6A65480945}">
      <text>
        <r>
          <rPr>
            <b/>
            <sz val="9"/>
            <color indexed="81"/>
            <rFont val="Tahoma"/>
            <family val="2"/>
          </rPr>
          <t>Froio, Zach:</t>
        </r>
        <r>
          <rPr>
            <sz val="9"/>
            <color indexed="81"/>
            <rFont val="Tahoma"/>
            <family val="2"/>
          </rPr>
          <t xml:space="preserve">
Updated per IL TRM v7 p. 327</t>
        </r>
      </text>
    </comment>
    <comment ref="K96" authorId="2" shapeId="0" xr:uid="{185B9D3E-1B40-43A0-9A95-808DD4EA494D}">
      <text>
        <r>
          <rPr>
            <b/>
            <sz val="9"/>
            <color indexed="81"/>
            <rFont val="Tahoma"/>
            <family val="2"/>
          </rPr>
          <t>Froio, Zach:</t>
        </r>
        <r>
          <rPr>
            <sz val="9"/>
            <color indexed="81"/>
            <rFont val="Tahoma"/>
            <family val="2"/>
          </rPr>
          <t xml:space="preserve">
Updated per IL TRM v7 p. 327</t>
        </r>
      </text>
    </comment>
    <comment ref="V102" authorId="3" shapeId="0" xr:uid="{602F5FA3-7647-4C23-9CA8-019203D7857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225</t>
        </r>
      </text>
    </comment>
    <comment ref="V106" authorId="4" shapeId="0" xr:uid="{B992D397-D12F-4641-AF83-EEBFE906D18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225</t>
        </r>
      </text>
    </comment>
    <comment ref="V108" authorId="5" shapeId="0" xr:uid="{0047EFF4-C619-4CE1-AB9D-3A3FBF770FC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225</t>
        </r>
      </text>
    </comment>
    <comment ref="V114" authorId="6" shapeId="0" xr:uid="{9A14BC13-16EE-4DE1-BA93-E97B86CAF8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10C10581-AE12-4AEA-8FB2-98630D132FA2}">
      <text>
        <r>
          <rPr>
            <b/>
            <sz val="9"/>
            <color indexed="81"/>
            <rFont val="Tahoma"/>
            <family val="2"/>
          </rPr>
          <t>Froio, Zach:</t>
        </r>
        <r>
          <rPr>
            <sz val="9"/>
            <color indexed="81"/>
            <rFont val="Tahoma"/>
            <family val="2"/>
          </rPr>
          <t xml:space="preserve">
Updated per TRM v8 Section 4.4</t>
        </r>
      </text>
    </comment>
    <comment ref="B37" authorId="0" shapeId="0" xr:uid="{F47C9C39-E7A7-4BAD-876F-F0B5AF7DF498}">
      <text>
        <r>
          <rPr>
            <b/>
            <sz val="9"/>
            <color indexed="81"/>
            <rFont val="Tahoma"/>
            <family val="2"/>
          </rPr>
          <t>Froio, Zach:</t>
        </r>
        <r>
          <rPr>
            <sz val="9"/>
            <color indexed="81"/>
            <rFont val="Tahoma"/>
            <family val="2"/>
          </rPr>
          <t xml:space="preserve">
Updated per IL TRM v8 Section 4.4</t>
        </r>
      </text>
    </comment>
    <comment ref="B38" authorId="0" shapeId="0" xr:uid="{2A540E95-FEC6-4604-8EEC-E0D0A12D7774}">
      <text>
        <r>
          <rPr>
            <b/>
            <sz val="9"/>
            <color indexed="81"/>
            <rFont val="Tahoma"/>
            <family val="2"/>
          </rPr>
          <t>Froio, Zach:</t>
        </r>
        <r>
          <rPr>
            <sz val="9"/>
            <color indexed="81"/>
            <rFont val="Tahoma"/>
            <family val="2"/>
          </rPr>
          <t xml:space="preserve">
Updated per IL TRM v8 Section 4.4</t>
        </r>
      </text>
    </comment>
    <comment ref="B40" authorId="0" shapeId="0" xr:uid="{F51BC9E8-901C-41FE-BA01-2A72D3170D2D}">
      <text>
        <r>
          <rPr>
            <b/>
            <sz val="9"/>
            <color indexed="81"/>
            <rFont val="Tahoma"/>
            <family val="2"/>
          </rPr>
          <t>Froio, Zach:</t>
        </r>
        <r>
          <rPr>
            <sz val="9"/>
            <color indexed="81"/>
            <rFont val="Tahoma"/>
            <family val="2"/>
          </rPr>
          <t xml:space="preserve">
Updated per IL TRM v8 Section 4.4</t>
        </r>
      </text>
    </comment>
    <comment ref="B41" authorId="0" shapeId="0" xr:uid="{4816D419-CC1D-48A8-8527-0B900CBD5715}">
      <text>
        <r>
          <rPr>
            <b/>
            <sz val="9"/>
            <color indexed="81"/>
            <rFont val="Tahoma"/>
            <family val="2"/>
          </rPr>
          <t>Froio, Zach:</t>
        </r>
        <r>
          <rPr>
            <sz val="9"/>
            <color indexed="81"/>
            <rFont val="Tahoma"/>
            <family val="2"/>
          </rPr>
          <t xml:space="preserve">
Updated per IL TRM v8 Section 4.4</t>
        </r>
      </text>
    </comment>
    <comment ref="B43" authorId="0" shapeId="0" xr:uid="{A76A3B72-BD76-465A-AD45-122B10ECEE55}">
      <text>
        <r>
          <rPr>
            <b/>
            <sz val="9"/>
            <color indexed="81"/>
            <rFont val="Tahoma"/>
            <family val="2"/>
          </rPr>
          <t>Froio, Zach:</t>
        </r>
        <r>
          <rPr>
            <sz val="9"/>
            <color indexed="81"/>
            <rFont val="Tahoma"/>
            <family val="2"/>
          </rPr>
          <t xml:space="preserve">
Updated per IL TRM v8 Section 4.4</t>
        </r>
      </text>
    </comment>
    <comment ref="B44" authorId="0" shapeId="0" xr:uid="{D507A53D-1AC0-4733-B4FB-FA498CEC63F7}">
      <text>
        <r>
          <rPr>
            <b/>
            <sz val="9"/>
            <color indexed="81"/>
            <rFont val="Tahoma"/>
            <family val="2"/>
          </rPr>
          <t>Froio, Zach:</t>
        </r>
        <r>
          <rPr>
            <sz val="9"/>
            <color indexed="81"/>
            <rFont val="Tahoma"/>
            <family val="2"/>
          </rPr>
          <t xml:space="preserve">
Updated per IL TRM v8 Section 4.4</t>
        </r>
      </text>
    </comment>
    <comment ref="B45" authorId="0" shapeId="0" xr:uid="{2B498C0C-4C61-4AC5-8304-9A914D0B3EE9}">
      <text>
        <r>
          <rPr>
            <b/>
            <sz val="9"/>
            <color indexed="81"/>
            <rFont val="Tahoma"/>
            <family val="2"/>
          </rPr>
          <t>Froio, Zach:</t>
        </r>
        <r>
          <rPr>
            <sz val="9"/>
            <color indexed="81"/>
            <rFont val="Tahoma"/>
            <family val="2"/>
          </rPr>
          <t xml:space="preserve">
Updated per IL TRM v8 Section 4.4</t>
        </r>
      </text>
    </comment>
    <comment ref="B46" authorId="0" shapeId="0" xr:uid="{0B233A88-610E-48DD-8EF1-8F47CFCD34D5}">
      <text>
        <r>
          <rPr>
            <b/>
            <sz val="9"/>
            <color indexed="81"/>
            <rFont val="Tahoma"/>
            <family val="2"/>
          </rPr>
          <t>Froio, Zach:</t>
        </r>
        <r>
          <rPr>
            <sz val="9"/>
            <color indexed="81"/>
            <rFont val="Tahoma"/>
            <family val="2"/>
          </rPr>
          <t xml:space="preserve">
Updated per IL TRM v8 Section 4.4</t>
        </r>
      </text>
    </comment>
    <comment ref="B47" authorId="0" shapeId="0" xr:uid="{1965AC45-DD57-431B-BED9-001B863D19A2}">
      <text>
        <r>
          <rPr>
            <b/>
            <sz val="9"/>
            <color indexed="81"/>
            <rFont val="Tahoma"/>
            <family val="2"/>
          </rPr>
          <t>Froio, Zach:</t>
        </r>
        <r>
          <rPr>
            <sz val="9"/>
            <color indexed="81"/>
            <rFont val="Tahoma"/>
            <family val="2"/>
          </rPr>
          <t xml:space="preserve">
Updated per IL TRM v8 Section 4.4</t>
        </r>
      </text>
    </comment>
    <comment ref="B48" authorId="0" shapeId="0" xr:uid="{087859A7-93C5-4310-8631-64B716255598}">
      <text>
        <r>
          <rPr>
            <b/>
            <sz val="9"/>
            <color indexed="81"/>
            <rFont val="Tahoma"/>
            <family val="2"/>
          </rPr>
          <t>Froio, Zach:</t>
        </r>
        <r>
          <rPr>
            <sz val="9"/>
            <color indexed="81"/>
            <rFont val="Tahoma"/>
            <family val="2"/>
          </rPr>
          <t xml:space="preserve">
Updated per IL TRM v8 Section 4.4</t>
        </r>
      </text>
    </comment>
    <comment ref="B49" authorId="0" shapeId="0" xr:uid="{7CDA372A-1B4B-457B-A948-CF1D50E9C6B6}">
      <text>
        <r>
          <rPr>
            <b/>
            <sz val="9"/>
            <color indexed="81"/>
            <rFont val="Tahoma"/>
            <family val="2"/>
          </rPr>
          <t>Froio, Zach:</t>
        </r>
        <r>
          <rPr>
            <sz val="9"/>
            <color indexed="81"/>
            <rFont val="Tahoma"/>
            <family val="2"/>
          </rPr>
          <t xml:space="preserve">
Updated per IL TRM v8 Section 4.4</t>
        </r>
      </text>
    </comment>
    <comment ref="B50" authorId="0" shapeId="0" xr:uid="{668331B5-FB30-424E-AECE-59939A363824}">
      <text>
        <r>
          <rPr>
            <b/>
            <sz val="9"/>
            <color indexed="81"/>
            <rFont val="Tahoma"/>
            <family val="2"/>
          </rPr>
          <t>Froio, Zach:</t>
        </r>
        <r>
          <rPr>
            <sz val="9"/>
            <color indexed="81"/>
            <rFont val="Tahoma"/>
            <family val="2"/>
          </rPr>
          <t xml:space="preserve">
Updated per IL TRM v8 Section 4.4</t>
        </r>
      </text>
    </comment>
    <comment ref="B51" authorId="0" shapeId="0" xr:uid="{B92D215D-C6D4-4A38-AEA8-FEE8601AF6E6}">
      <text>
        <r>
          <rPr>
            <b/>
            <sz val="9"/>
            <color indexed="81"/>
            <rFont val="Tahoma"/>
            <family val="2"/>
          </rPr>
          <t>Froio, Zach:</t>
        </r>
        <r>
          <rPr>
            <sz val="9"/>
            <color indexed="81"/>
            <rFont val="Tahoma"/>
            <family val="2"/>
          </rPr>
          <t xml:space="preserve">
Updated per IL TRM v8 Section 4.4</t>
        </r>
      </text>
    </comment>
    <comment ref="B52" authorId="0" shapeId="0" xr:uid="{40B37D34-ADB4-4B57-BC08-E3DBDDA92FE9}">
      <text>
        <r>
          <rPr>
            <b/>
            <sz val="9"/>
            <color indexed="81"/>
            <rFont val="Tahoma"/>
            <family val="2"/>
          </rPr>
          <t>Froio, Zach:</t>
        </r>
        <r>
          <rPr>
            <sz val="9"/>
            <color indexed="81"/>
            <rFont val="Tahoma"/>
            <family val="2"/>
          </rPr>
          <t xml:space="preserve">
Updated per IL TRM v8 Section 4.4</t>
        </r>
      </text>
    </comment>
    <comment ref="B54" authorId="0" shapeId="0" xr:uid="{749CFC30-C71D-430F-9B8D-3A4CFD8BE11C}">
      <text>
        <r>
          <rPr>
            <b/>
            <sz val="9"/>
            <color indexed="81"/>
            <rFont val="Tahoma"/>
            <family val="2"/>
          </rPr>
          <t>Froio, Zach:</t>
        </r>
        <r>
          <rPr>
            <sz val="9"/>
            <color indexed="81"/>
            <rFont val="Tahoma"/>
            <family val="2"/>
          </rPr>
          <t xml:space="preserve">
Updated per IL TRM v8 Section 4.4</t>
        </r>
      </text>
    </comment>
    <comment ref="B55" authorId="0" shapeId="0" xr:uid="{ACD6C675-D6B0-4837-8658-84F26C2A75E7}">
      <text>
        <r>
          <rPr>
            <b/>
            <sz val="9"/>
            <color indexed="81"/>
            <rFont val="Tahoma"/>
            <family val="2"/>
          </rPr>
          <t>Froio, Zach:</t>
        </r>
        <r>
          <rPr>
            <sz val="9"/>
            <color indexed="81"/>
            <rFont val="Tahoma"/>
            <family val="2"/>
          </rPr>
          <t xml:space="preserve">
Updated per IL TRM v8 Section 4.4</t>
        </r>
      </text>
    </comment>
    <comment ref="B56" authorId="0" shapeId="0" xr:uid="{85B9B3F9-5B36-4E6D-997D-82AC25618CA9}">
      <text>
        <r>
          <rPr>
            <b/>
            <sz val="9"/>
            <color indexed="81"/>
            <rFont val="Tahoma"/>
            <family val="2"/>
          </rPr>
          <t>Froio, Zach:</t>
        </r>
        <r>
          <rPr>
            <sz val="9"/>
            <color indexed="81"/>
            <rFont val="Tahoma"/>
            <family val="2"/>
          </rPr>
          <t xml:space="preserve">
Updated per IL TRM v8 Section 4.4</t>
        </r>
      </text>
    </comment>
    <comment ref="B57" authorId="0" shapeId="0" xr:uid="{EC6491D0-3BCB-478E-B6D4-7AAF723E8369}">
      <text>
        <r>
          <rPr>
            <b/>
            <sz val="9"/>
            <color indexed="81"/>
            <rFont val="Tahoma"/>
            <family val="2"/>
          </rPr>
          <t>Froio, Zach:</t>
        </r>
        <r>
          <rPr>
            <sz val="9"/>
            <color indexed="81"/>
            <rFont val="Tahoma"/>
            <family val="2"/>
          </rPr>
          <t xml:space="preserve">
Updated per IL TRM v8 Section 4.4</t>
        </r>
      </text>
    </comment>
    <comment ref="B59" authorId="0" shapeId="0" xr:uid="{7EA1B36A-861E-486A-AC32-823632DB8B66}">
      <text>
        <r>
          <rPr>
            <b/>
            <sz val="9"/>
            <color indexed="81"/>
            <rFont val="Tahoma"/>
            <family val="2"/>
          </rPr>
          <t>Froio, Zach:</t>
        </r>
        <r>
          <rPr>
            <sz val="9"/>
            <color indexed="81"/>
            <rFont val="Tahoma"/>
            <family val="2"/>
          </rPr>
          <t xml:space="preserve">
Updated per IL TRM v8 Section 4.4</t>
        </r>
      </text>
    </comment>
    <comment ref="B60" authorId="0" shapeId="0" xr:uid="{5DC43BE5-88E5-4499-8162-EBEF291C3528}">
      <text>
        <r>
          <rPr>
            <b/>
            <sz val="9"/>
            <color indexed="81"/>
            <rFont val="Tahoma"/>
            <family val="2"/>
          </rPr>
          <t>Froio, Zach:</t>
        </r>
        <r>
          <rPr>
            <sz val="9"/>
            <color indexed="81"/>
            <rFont val="Tahoma"/>
            <family val="2"/>
          </rPr>
          <t xml:space="preserve">
Updated per IL TRM v8 Section 4.4</t>
        </r>
      </text>
    </comment>
    <comment ref="B61" authorId="0" shapeId="0" xr:uid="{1F9DC91E-B158-473E-ACC4-5EC21E20B263}">
      <text>
        <r>
          <rPr>
            <b/>
            <sz val="9"/>
            <color indexed="81"/>
            <rFont val="Tahoma"/>
            <family val="2"/>
          </rPr>
          <t>Froio, Zach:</t>
        </r>
        <r>
          <rPr>
            <sz val="9"/>
            <color indexed="81"/>
            <rFont val="Tahoma"/>
            <family val="2"/>
          </rPr>
          <t xml:space="preserve">
Updated per IL TRM v8 Section 4.4</t>
        </r>
      </text>
    </comment>
    <comment ref="B62" authorId="0" shapeId="0" xr:uid="{B9CBE700-25D3-4B08-9198-0F056D048E1B}">
      <text>
        <r>
          <rPr>
            <b/>
            <sz val="9"/>
            <color indexed="81"/>
            <rFont val="Tahoma"/>
            <family val="2"/>
          </rPr>
          <t>Froio, Zach:</t>
        </r>
        <r>
          <rPr>
            <sz val="9"/>
            <color indexed="81"/>
            <rFont val="Tahoma"/>
            <family val="2"/>
          </rPr>
          <t xml:space="preserve">
Updated per IL TRM v8 Section 4.4</t>
        </r>
      </text>
    </comment>
    <comment ref="B63" authorId="0" shapeId="0" xr:uid="{D0B3BF70-63D6-46F7-B18A-9CA5F998503E}">
      <text>
        <r>
          <rPr>
            <b/>
            <sz val="9"/>
            <color indexed="81"/>
            <rFont val="Tahoma"/>
            <family val="2"/>
          </rPr>
          <t>Froio, Zach:</t>
        </r>
        <r>
          <rPr>
            <sz val="9"/>
            <color indexed="81"/>
            <rFont val="Tahoma"/>
            <family val="2"/>
          </rPr>
          <t xml:space="preserve">
Updated per IL TRM v8 Section 4.4</t>
        </r>
      </text>
    </comment>
    <comment ref="B64" authorId="0" shapeId="0" xr:uid="{F3A7C6AB-FDC7-460F-B413-0FB7E23DEA7D}">
      <text>
        <r>
          <rPr>
            <b/>
            <sz val="9"/>
            <color indexed="81"/>
            <rFont val="Tahoma"/>
            <family val="2"/>
          </rPr>
          <t>Froio, Zach:</t>
        </r>
        <r>
          <rPr>
            <sz val="9"/>
            <color indexed="81"/>
            <rFont val="Tahoma"/>
            <family val="2"/>
          </rPr>
          <t xml:space="preserve">
Updated per IL TRM v8 Section 4.4</t>
        </r>
      </text>
    </comment>
    <comment ref="B65" authorId="0" shapeId="0" xr:uid="{A9001040-105E-428E-AB7A-830149533388}">
      <text>
        <r>
          <rPr>
            <b/>
            <sz val="9"/>
            <color indexed="81"/>
            <rFont val="Tahoma"/>
            <family val="2"/>
          </rPr>
          <t>Froio, Zach:</t>
        </r>
        <r>
          <rPr>
            <sz val="9"/>
            <color indexed="81"/>
            <rFont val="Tahoma"/>
            <family val="2"/>
          </rPr>
          <t xml:space="preserve">
Updated per IL TRM v8 Section 4.4</t>
        </r>
      </text>
    </comment>
    <comment ref="B67" authorId="0" shapeId="0" xr:uid="{E4C14A95-8628-4277-B9CE-2A64C48048EB}">
      <text>
        <r>
          <rPr>
            <b/>
            <sz val="9"/>
            <color indexed="81"/>
            <rFont val="Tahoma"/>
            <family val="2"/>
          </rPr>
          <t>Froio, Zach:</t>
        </r>
        <r>
          <rPr>
            <sz val="9"/>
            <color indexed="81"/>
            <rFont val="Tahoma"/>
            <family val="2"/>
          </rPr>
          <t xml:space="preserve">
Updated per IL TRM v8 Section 4.4</t>
        </r>
      </text>
    </comment>
    <comment ref="B68" authorId="0" shapeId="0" xr:uid="{B9F6BE61-C4D8-40C4-986F-BEC508919A03}">
      <text>
        <r>
          <rPr>
            <b/>
            <sz val="9"/>
            <color indexed="81"/>
            <rFont val="Tahoma"/>
            <family val="2"/>
          </rPr>
          <t>Froio, Zach:</t>
        </r>
        <r>
          <rPr>
            <sz val="9"/>
            <color indexed="81"/>
            <rFont val="Tahoma"/>
            <family val="2"/>
          </rPr>
          <t xml:space="preserve">
Updated per IL TRM v8 Section 4.4</t>
        </r>
      </text>
    </comment>
    <comment ref="B69" authorId="0" shapeId="0" xr:uid="{CA85B7B3-3C22-4D85-8434-C9E4A9F91499}">
      <text>
        <r>
          <rPr>
            <b/>
            <sz val="9"/>
            <color indexed="81"/>
            <rFont val="Tahoma"/>
            <family val="2"/>
          </rPr>
          <t>Froio, Zach:</t>
        </r>
        <r>
          <rPr>
            <sz val="9"/>
            <color indexed="81"/>
            <rFont val="Tahoma"/>
            <family val="2"/>
          </rPr>
          <t xml:space="preserve">
Updated per IL TRM v8 Section 4.4</t>
        </r>
      </text>
    </comment>
    <comment ref="B70" authorId="0" shapeId="0" xr:uid="{E9F2CDBB-8834-4409-8A24-CFA9DD1877AD}">
      <text>
        <r>
          <rPr>
            <b/>
            <sz val="9"/>
            <color indexed="81"/>
            <rFont val="Tahoma"/>
            <family val="2"/>
          </rPr>
          <t>Froio, Zach:</t>
        </r>
        <r>
          <rPr>
            <sz val="9"/>
            <color indexed="81"/>
            <rFont val="Tahoma"/>
            <family val="2"/>
          </rPr>
          <t xml:space="preserve">
Updated per IL TRM v8 Section 4.4</t>
        </r>
      </text>
    </comment>
    <comment ref="B71" authorId="0" shapeId="0" xr:uid="{376F865D-659E-4943-8F1E-6760C224B535}">
      <text>
        <r>
          <rPr>
            <b/>
            <sz val="9"/>
            <color indexed="81"/>
            <rFont val="Tahoma"/>
            <family val="2"/>
          </rPr>
          <t>Froio, Zach:</t>
        </r>
        <r>
          <rPr>
            <sz val="9"/>
            <color indexed="81"/>
            <rFont val="Tahoma"/>
            <family val="2"/>
          </rPr>
          <t xml:space="preserve">
Updated per IL TRM v8 Section 4.4</t>
        </r>
      </text>
    </comment>
    <comment ref="B87" authorId="0" shapeId="0" xr:uid="{77A33FF4-55E3-4CFC-A83E-4BE15133713A}">
      <text>
        <r>
          <rPr>
            <b/>
            <sz val="9"/>
            <color indexed="81"/>
            <rFont val="Tahoma"/>
            <family val="2"/>
          </rPr>
          <t>Froio, Zach:</t>
        </r>
        <r>
          <rPr>
            <sz val="9"/>
            <color indexed="81"/>
            <rFont val="Tahoma"/>
            <family val="2"/>
          </rPr>
          <t xml:space="preserve">
Updated per IL TRM v8 Section 4.4</t>
        </r>
      </text>
    </comment>
    <comment ref="B90" authorId="0" shapeId="0" xr:uid="{CC06656A-919A-4B0C-9847-26C530F9AE29}">
      <text>
        <r>
          <rPr>
            <b/>
            <sz val="9"/>
            <color indexed="81"/>
            <rFont val="Tahoma"/>
            <family val="2"/>
          </rPr>
          <t>Froio, Zach:</t>
        </r>
        <r>
          <rPr>
            <sz val="9"/>
            <color indexed="81"/>
            <rFont val="Tahoma"/>
            <family val="2"/>
          </rPr>
          <t xml:space="preserve">
Updated per IL TRM v8 Section 4.4</t>
        </r>
      </text>
    </comment>
    <comment ref="B115" authorId="0" shapeId="0" xr:uid="{6F931381-6A5C-4BE7-9692-5EDA905F3667}">
      <text>
        <r>
          <rPr>
            <b/>
            <sz val="9"/>
            <color indexed="81"/>
            <rFont val="Tahoma"/>
            <family val="2"/>
          </rPr>
          <t>Froio, Zach:</t>
        </r>
        <r>
          <rPr>
            <sz val="9"/>
            <color indexed="81"/>
            <rFont val="Tahoma"/>
            <family val="2"/>
          </rPr>
          <t xml:space="preserve">
Updated per IL TRM v8 Section 4.4</t>
        </r>
      </text>
    </comment>
    <comment ref="H135" authorId="0" shapeId="0" xr:uid="{1EC83996-0129-4B9D-91FA-0EADAE35C91A}">
      <text>
        <r>
          <rPr>
            <b/>
            <sz val="9"/>
            <color indexed="81"/>
            <rFont val="Tahoma"/>
            <family val="2"/>
          </rPr>
          <t>Froio, Zach:</t>
        </r>
        <r>
          <rPr>
            <sz val="9"/>
            <color indexed="81"/>
            <rFont val="Tahoma"/>
            <family val="2"/>
          </rPr>
          <t xml:space="preserve">
Updated per IL TRM v8 Section 4.4</t>
        </r>
      </text>
    </comment>
    <comment ref="B140" authorId="0" shapeId="0" xr:uid="{8AEF2B37-7BAF-4F92-BB52-AF104B7A13A9}">
      <text>
        <r>
          <rPr>
            <b/>
            <sz val="9"/>
            <color indexed="81"/>
            <rFont val="Tahoma"/>
            <family val="2"/>
          </rPr>
          <t>Froio, Zach:</t>
        </r>
        <r>
          <rPr>
            <sz val="9"/>
            <color indexed="81"/>
            <rFont val="Tahoma"/>
            <family val="2"/>
          </rPr>
          <t xml:space="preserve">
Updated per IL TRM v8 Section 4.4</t>
        </r>
      </text>
    </comment>
    <comment ref="B143" authorId="0" shapeId="0" xr:uid="{C293A95D-5A15-4EEC-B8C3-4D4E3D5E8253}">
      <text>
        <r>
          <rPr>
            <b/>
            <sz val="9"/>
            <color indexed="81"/>
            <rFont val="Tahoma"/>
            <family val="2"/>
          </rPr>
          <t>Froio, Zach:</t>
        </r>
        <r>
          <rPr>
            <sz val="9"/>
            <color indexed="81"/>
            <rFont val="Tahoma"/>
            <family val="2"/>
          </rPr>
          <t xml:space="preserve">
Updated per IL TRM v8 Section 4.4</t>
        </r>
      </text>
    </comment>
    <comment ref="B145" authorId="0" shapeId="0" xr:uid="{BE990A6A-56F7-4D49-BBCA-6DFD36441CC7}">
      <text>
        <r>
          <rPr>
            <b/>
            <sz val="9"/>
            <color indexed="81"/>
            <rFont val="Tahoma"/>
            <family val="2"/>
          </rPr>
          <t>Froio, Zach:</t>
        </r>
        <r>
          <rPr>
            <sz val="9"/>
            <color indexed="81"/>
            <rFont val="Tahoma"/>
            <family val="2"/>
          </rPr>
          <t xml:space="preserve">
Updated per IL TRM v8 Section 4.4</t>
        </r>
      </text>
    </comment>
    <comment ref="B146" authorId="0" shapeId="0" xr:uid="{684BEA39-B11D-4894-A403-968E652E8449}">
      <text>
        <r>
          <rPr>
            <b/>
            <sz val="9"/>
            <color indexed="81"/>
            <rFont val="Tahoma"/>
            <family val="2"/>
          </rPr>
          <t>Froio, Zach:</t>
        </r>
        <r>
          <rPr>
            <sz val="9"/>
            <color indexed="81"/>
            <rFont val="Tahoma"/>
            <family val="2"/>
          </rPr>
          <t xml:space="preserve">
Updated per IL TRM v8 Section 4.4</t>
        </r>
      </text>
    </comment>
    <comment ref="B147" authorId="0" shapeId="0" xr:uid="{211460E0-5269-47D7-8A02-1F9E1A86A57E}">
      <text>
        <r>
          <rPr>
            <b/>
            <sz val="9"/>
            <color indexed="81"/>
            <rFont val="Tahoma"/>
            <family val="2"/>
          </rPr>
          <t>Froio, Zach:</t>
        </r>
        <r>
          <rPr>
            <sz val="9"/>
            <color indexed="81"/>
            <rFont val="Tahoma"/>
            <family val="2"/>
          </rPr>
          <t xml:space="preserve">
Updated per IL TRM v8 Section 4.4</t>
        </r>
      </text>
    </comment>
    <comment ref="B148" authorId="0" shapeId="0" xr:uid="{87A06F88-3644-4FD8-B291-BD1C2E6447F9}">
      <text>
        <r>
          <rPr>
            <b/>
            <sz val="9"/>
            <color indexed="81"/>
            <rFont val="Tahoma"/>
            <family val="2"/>
          </rPr>
          <t>Froio, Zach:</t>
        </r>
        <r>
          <rPr>
            <sz val="9"/>
            <color indexed="81"/>
            <rFont val="Tahoma"/>
            <family val="2"/>
          </rPr>
          <t xml:space="preserve">
Updated per IL TRM v8 Section 4.4</t>
        </r>
      </text>
    </comment>
    <comment ref="B149" authorId="0" shapeId="0" xr:uid="{A5F27E8A-52A7-47EF-B162-1EADEEE6FB4F}">
      <text>
        <r>
          <rPr>
            <b/>
            <sz val="9"/>
            <color indexed="81"/>
            <rFont val="Tahoma"/>
            <family val="2"/>
          </rPr>
          <t>Froio, Zach:</t>
        </r>
        <r>
          <rPr>
            <sz val="9"/>
            <color indexed="81"/>
            <rFont val="Tahoma"/>
            <family val="2"/>
          </rPr>
          <t xml:space="preserve">
Updated per IL TRM v8 Section 4.4</t>
        </r>
      </text>
    </comment>
    <comment ref="B150" authorId="0" shapeId="0" xr:uid="{1B4CF17C-F71B-431E-8EDE-1E86FB912596}">
      <text>
        <r>
          <rPr>
            <b/>
            <sz val="9"/>
            <color indexed="81"/>
            <rFont val="Tahoma"/>
            <family val="2"/>
          </rPr>
          <t>Froio, Zach:</t>
        </r>
        <r>
          <rPr>
            <sz val="9"/>
            <color indexed="81"/>
            <rFont val="Tahoma"/>
            <family val="2"/>
          </rPr>
          <t xml:space="preserve">
Updated per IL TRM v8 Section 4.4</t>
        </r>
      </text>
    </comment>
    <comment ref="B151" authorId="0" shapeId="0" xr:uid="{F2767F24-3F49-46AD-98D0-F7DFE8F8B260}">
      <text>
        <r>
          <rPr>
            <b/>
            <sz val="9"/>
            <color indexed="81"/>
            <rFont val="Tahoma"/>
            <family val="2"/>
          </rPr>
          <t>Froio, Zach:</t>
        </r>
        <r>
          <rPr>
            <sz val="9"/>
            <color indexed="81"/>
            <rFont val="Tahoma"/>
            <family val="2"/>
          </rPr>
          <t xml:space="preserve">
Updated per IL TRM v8 Section 4.4</t>
        </r>
      </text>
    </comment>
    <comment ref="B152" authorId="0" shapeId="0" xr:uid="{91303A58-49F7-4A63-B9CD-928FCF4CDA8A}">
      <text>
        <r>
          <rPr>
            <b/>
            <sz val="9"/>
            <color indexed="81"/>
            <rFont val="Tahoma"/>
            <family val="2"/>
          </rPr>
          <t>Froio, Zach:</t>
        </r>
        <r>
          <rPr>
            <sz val="9"/>
            <color indexed="81"/>
            <rFont val="Tahoma"/>
            <family val="2"/>
          </rPr>
          <t xml:space="preserve">
Updated per IL TRM v8 Section 4.4</t>
        </r>
      </text>
    </comment>
    <comment ref="B153" authorId="0" shapeId="0" xr:uid="{CE8BE248-E251-4E3F-9D73-70211855A5C5}">
      <text>
        <r>
          <rPr>
            <b/>
            <sz val="9"/>
            <color indexed="81"/>
            <rFont val="Tahoma"/>
            <family val="2"/>
          </rPr>
          <t>Froio, Zach:</t>
        </r>
        <r>
          <rPr>
            <sz val="9"/>
            <color indexed="81"/>
            <rFont val="Tahoma"/>
            <family val="2"/>
          </rPr>
          <t xml:space="preserve">
Updated per IL TRM v8 Section 4.4</t>
        </r>
      </text>
    </comment>
    <comment ref="B154" authorId="0" shapeId="0" xr:uid="{045AA0E3-2DEE-49AA-A822-95AF7E8EC75E}">
      <text>
        <r>
          <rPr>
            <b/>
            <sz val="9"/>
            <color indexed="81"/>
            <rFont val="Tahoma"/>
            <family val="2"/>
          </rPr>
          <t>Froio, Zach:</t>
        </r>
        <r>
          <rPr>
            <sz val="9"/>
            <color indexed="81"/>
            <rFont val="Tahoma"/>
            <family val="2"/>
          </rPr>
          <t xml:space="preserve">
Updated per IL TRM v8 Section 4.4</t>
        </r>
      </text>
    </comment>
    <comment ref="B156" authorId="0" shapeId="0" xr:uid="{EB0D801A-DB1B-4B67-92E9-F32EA9467B6A}">
      <text>
        <r>
          <rPr>
            <b/>
            <sz val="9"/>
            <color indexed="81"/>
            <rFont val="Tahoma"/>
            <family val="2"/>
          </rPr>
          <t>Froio, Zach:</t>
        </r>
        <r>
          <rPr>
            <sz val="9"/>
            <color indexed="81"/>
            <rFont val="Tahoma"/>
            <family val="2"/>
          </rPr>
          <t xml:space="preserve">
Updated per IL TRM v8 Section 4.4</t>
        </r>
      </text>
    </comment>
    <comment ref="B157" authorId="0" shapeId="0" xr:uid="{11E1A056-5254-4F5B-BC7A-38AD7B98AC92}">
      <text>
        <r>
          <rPr>
            <b/>
            <sz val="9"/>
            <color indexed="81"/>
            <rFont val="Tahoma"/>
            <family val="2"/>
          </rPr>
          <t>Froio, Zach:</t>
        </r>
        <r>
          <rPr>
            <sz val="9"/>
            <color indexed="81"/>
            <rFont val="Tahoma"/>
            <family val="2"/>
          </rPr>
          <t xml:space="preserve">
Updated per IL TRM v8 Section 4.4</t>
        </r>
      </text>
    </comment>
    <comment ref="B158" authorId="0" shapeId="0" xr:uid="{8EA8658B-56D3-463E-8D5A-C296B5A65D12}">
      <text>
        <r>
          <rPr>
            <b/>
            <sz val="9"/>
            <color indexed="81"/>
            <rFont val="Tahoma"/>
            <family val="2"/>
          </rPr>
          <t>Froio, Zach:</t>
        </r>
        <r>
          <rPr>
            <sz val="9"/>
            <color indexed="81"/>
            <rFont val="Tahoma"/>
            <family val="2"/>
          </rPr>
          <t xml:space="preserve">
Updated per IL TRM v8 Section 4.4</t>
        </r>
      </text>
    </comment>
    <comment ref="B159" authorId="0" shapeId="0" xr:uid="{0E3EA8FF-49C3-4BA5-9CE7-B1F568DA5877}">
      <text>
        <r>
          <rPr>
            <b/>
            <sz val="9"/>
            <color indexed="81"/>
            <rFont val="Tahoma"/>
            <family val="2"/>
          </rPr>
          <t>Froio, Zach:</t>
        </r>
        <r>
          <rPr>
            <sz val="9"/>
            <color indexed="81"/>
            <rFont val="Tahoma"/>
            <family val="2"/>
          </rPr>
          <t xml:space="preserve">
Updated per IL TRM v8 Section 4.4</t>
        </r>
      </text>
    </comment>
    <comment ref="B161" authorId="0" shapeId="0" xr:uid="{AB3DB0E4-629A-46D8-9601-FB259260F7CC}">
      <text>
        <r>
          <rPr>
            <b/>
            <sz val="9"/>
            <color indexed="81"/>
            <rFont val="Tahoma"/>
            <family val="2"/>
          </rPr>
          <t>Froio, Zach:</t>
        </r>
        <r>
          <rPr>
            <sz val="9"/>
            <color indexed="81"/>
            <rFont val="Tahoma"/>
            <family val="2"/>
          </rPr>
          <t xml:space="preserve">
Updated per IL TRM v8 Section 4.4</t>
        </r>
      </text>
    </comment>
    <comment ref="B162" authorId="0" shapeId="0" xr:uid="{1CCA449D-4C11-4287-A942-49EB393ABC4A}">
      <text>
        <r>
          <rPr>
            <b/>
            <sz val="9"/>
            <color indexed="81"/>
            <rFont val="Tahoma"/>
            <family val="2"/>
          </rPr>
          <t>Froio, Zach:</t>
        </r>
        <r>
          <rPr>
            <sz val="9"/>
            <color indexed="81"/>
            <rFont val="Tahoma"/>
            <family val="2"/>
          </rPr>
          <t xml:space="preserve">
Updated per IL TRM v8 Section 4.4</t>
        </r>
      </text>
    </comment>
    <comment ref="B163" authorId="0" shapeId="0" xr:uid="{8A8DD7D1-AE74-4D79-9723-F4CCA7903DC9}">
      <text>
        <r>
          <rPr>
            <b/>
            <sz val="9"/>
            <color indexed="81"/>
            <rFont val="Tahoma"/>
            <family val="2"/>
          </rPr>
          <t>Froio, Zach:</t>
        </r>
        <r>
          <rPr>
            <sz val="9"/>
            <color indexed="81"/>
            <rFont val="Tahoma"/>
            <family val="2"/>
          </rPr>
          <t xml:space="preserve">
Updated per IL TRM v8 Section 4.4</t>
        </r>
      </text>
    </comment>
    <comment ref="B164" authorId="0" shapeId="0" xr:uid="{7F7C761D-C9AB-4E76-AB93-B25E3EBC6CA8}">
      <text>
        <r>
          <rPr>
            <b/>
            <sz val="9"/>
            <color indexed="81"/>
            <rFont val="Tahoma"/>
            <family val="2"/>
          </rPr>
          <t>Froio, Zach:</t>
        </r>
        <r>
          <rPr>
            <sz val="9"/>
            <color indexed="81"/>
            <rFont val="Tahoma"/>
            <family val="2"/>
          </rPr>
          <t xml:space="preserve">
Updated per IL TRM v8 Section 4.4</t>
        </r>
      </text>
    </comment>
    <comment ref="B165" authorId="0" shapeId="0" xr:uid="{F2C38121-6E78-4B9B-9596-C35B3548E549}">
      <text>
        <r>
          <rPr>
            <b/>
            <sz val="9"/>
            <color indexed="81"/>
            <rFont val="Tahoma"/>
            <family val="2"/>
          </rPr>
          <t>Froio, Zach:</t>
        </r>
        <r>
          <rPr>
            <sz val="9"/>
            <color indexed="81"/>
            <rFont val="Tahoma"/>
            <family val="2"/>
          </rPr>
          <t xml:space="preserve">
Updated per IL TRM v8 Section 4.4</t>
        </r>
      </text>
    </comment>
    <comment ref="B166" authorId="0" shapeId="0" xr:uid="{01A53AD0-A050-4B84-B4D4-C21784F8C28C}">
      <text>
        <r>
          <rPr>
            <b/>
            <sz val="9"/>
            <color indexed="81"/>
            <rFont val="Tahoma"/>
            <family val="2"/>
          </rPr>
          <t>Froio, Zach:</t>
        </r>
        <r>
          <rPr>
            <sz val="9"/>
            <color indexed="81"/>
            <rFont val="Tahoma"/>
            <family val="2"/>
          </rPr>
          <t xml:space="preserve">
Updated per IL TRM v8 Section 4.4</t>
        </r>
      </text>
    </comment>
    <comment ref="B169" authorId="0" shapeId="0" xr:uid="{7A88D201-C6E8-4B06-BAFC-56FBF54AF4EB}">
      <text>
        <r>
          <rPr>
            <b/>
            <sz val="9"/>
            <color indexed="81"/>
            <rFont val="Tahoma"/>
            <family val="2"/>
          </rPr>
          <t>Froio, Zach:</t>
        </r>
        <r>
          <rPr>
            <sz val="9"/>
            <color indexed="81"/>
            <rFont val="Tahoma"/>
            <family val="2"/>
          </rPr>
          <t xml:space="preserve">
Updated per IL TRM v8 Section 4.4</t>
        </r>
      </text>
    </comment>
    <comment ref="B170" authorId="0" shapeId="0" xr:uid="{622D04C7-65F1-40E0-BB72-08668916BEFA}">
      <text>
        <r>
          <rPr>
            <b/>
            <sz val="9"/>
            <color indexed="81"/>
            <rFont val="Tahoma"/>
            <family val="2"/>
          </rPr>
          <t>Froio, Zach:</t>
        </r>
        <r>
          <rPr>
            <sz val="9"/>
            <color indexed="81"/>
            <rFont val="Tahoma"/>
            <family val="2"/>
          </rPr>
          <t xml:space="preserve">
Updated per IL TRM v8 Section 4.4</t>
        </r>
      </text>
    </comment>
    <comment ref="B171" authorId="0" shapeId="0" xr:uid="{A98EA1B8-6349-4379-BC31-4313E6800CF4}">
      <text>
        <r>
          <rPr>
            <b/>
            <sz val="9"/>
            <color indexed="81"/>
            <rFont val="Tahoma"/>
            <family val="2"/>
          </rPr>
          <t>Froio, Zach:</t>
        </r>
        <r>
          <rPr>
            <sz val="9"/>
            <color indexed="81"/>
            <rFont val="Tahoma"/>
            <family val="2"/>
          </rPr>
          <t xml:space="preserve">
Updated per IL TRM v8 Section 4.4</t>
        </r>
      </text>
    </comment>
    <comment ref="B172" authorId="0" shapeId="0" xr:uid="{067D393F-0765-4554-A2EF-D3E9AED17010}">
      <text>
        <r>
          <rPr>
            <b/>
            <sz val="9"/>
            <color indexed="81"/>
            <rFont val="Tahoma"/>
            <family val="2"/>
          </rPr>
          <t>Froio, Zach:</t>
        </r>
        <r>
          <rPr>
            <sz val="9"/>
            <color indexed="81"/>
            <rFont val="Tahoma"/>
            <family val="2"/>
          </rPr>
          <t xml:space="preserve">
Updated per IL TRM v8 Section 4.4</t>
        </r>
      </text>
    </comment>
    <comment ref="B173" authorId="0" shapeId="0" xr:uid="{40AB6B70-7758-48CC-8717-EC5352387DF6}">
      <text>
        <r>
          <rPr>
            <b/>
            <sz val="9"/>
            <color indexed="81"/>
            <rFont val="Tahoma"/>
            <family val="2"/>
          </rPr>
          <t>Froio, Zach:</t>
        </r>
        <r>
          <rPr>
            <sz val="9"/>
            <color indexed="81"/>
            <rFont val="Tahoma"/>
            <family val="2"/>
          </rPr>
          <t xml:space="preserve">
Updated per IL TRM v8 Section 4.4</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B2923EDD-4F12-48AD-9D6C-C6AB24B0A4CE}">
      <text>
        <r>
          <rPr>
            <b/>
            <sz val="9"/>
            <color indexed="81"/>
            <rFont val="Tahoma"/>
            <family val="2"/>
          </rPr>
          <t>Froio, Zach:</t>
        </r>
        <r>
          <rPr>
            <sz val="9"/>
            <color indexed="81"/>
            <rFont val="Tahoma"/>
            <family val="2"/>
          </rPr>
          <t xml:space="preserve">
Updated per TRM v8 Section 4.4</t>
        </r>
      </text>
    </comment>
    <comment ref="B84" authorId="0" shapeId="0" xr:uid="{760E08EB-5E32-46A8-B2D3-D41DF94519EF}">
      <text>
        <r>
          <rPr>
            <b/>
            <sz val="9"/>
            <color indexed="81"/>
            <rFont val="Tahoma"/>
            <family val="2"/>
          </rPr>
          <t>Froio, Zach:</t>
        </r>
        <r>
          <rPr>
            <sz val="9"/>
            <color indexed="81"/>
            <rFont val="Tahoma"/>
            <family val="2"/>
          </rPr>
          <t xml:space="preserve">
Updated per IL TRM v8 Section 4.4</t>
        </r>
      </text>
    </comment>
    <comment ref="B85" authorId="0" shapeId="0" xr:uid="{D7E6973A-4064-4BA2-9B1E-1C5A6A8B36B7}">
      <text>
        <r>
          <rPr>
            <b/>
            <sz val="9"/>
            <color indexed="81"/>
            <rFont val="Tahoma"/>
            <family val="2"/>
          </rPr>
          <t>Froio, Zach:</t>
        </r>
        <r>
          <rPr>
            <sz val="9"/>
            <color indexed="81"/>
            <rFont val="Tahoma"/>
            <family val="2"/>
          </rPr>
          <t xml:space="preserve">
Updated per IL TRM v8 Section 4.4</t>
        </r>
      </text>
    </comment>
    <comment ref="B87" authorId="0" shapeId="0" xr:uid="{BE74B19E-B656-46A5-B892-61A0682FEB10}">
      <text>
        <r>
          <rPr>
            <b/>
            <sz val="9"/>
            <color indexed="81"/>
            <rFont val="Tahoma"/>
            <family val="2"/>
          </rPr>
          <t>Froio, Zach:</t>
        </r>
        <r>
          <rPr>
            <sz val="9"/>
            <color indexed="81"/>
            <rFont val="Tahoma"/>
            <family val="2"/>
          </rPr>
          <t xml:space="preserve">
Updated per IL TRM v8 Section 4.4</t>
        </r>
      </text>
    </comment>
    <comment ref="B88" authorId="0" shapeId="0" xr:uid="{110FC02D-E1DD-4E7D-A810-3008B9CC1D23}">
      <text>
        <r>
          <rPr>
            <b/>
            <sz val="9"/>
            <color indexed="81"/>
            <rFont val="Tahoma"/>
            <family val="2"/>
          </rPr>
          <t>Froio, Zach:</t>
        </r>
        <r>
          <rPr>
            <sz val="9"/>
            <color indexed="81"/>
            <rFont val="Tahoma"/>
            <family val="2"/>
          </rPr>
          <t xml:space="preserve">
Updated per IL TRM v8 Section 4.4</t>
        </r>
      </text>
    </comment>
    <comment ref="B90" authorId="0" shapeId="0" xr:uid="{432DD666-4C19-47F8-88EC-DD1EA1C2799B}">
      <text>
        <r>
          <rPr>
            <b/>
            <sz val="9"/>
            <color indexed="81"/>
            <rFont val="Tahoma"/>
            <family val="2"/>
          </rPr>
          <t>Froio, Zach:</t>
        </r>
        <r>
          <rPr>
            <sz val="9"/>
            <color indexed="81"/>
            <rFont val="Tahoma"/>
            <family val="2"/>
          </rPr>
          <t xml:space="preserve">
Updated per IL TRM v8 Section 4.4</t>
        </r>
      </text>
    </comment>
    <comment ref="B91" authorId="0" shapeId="0" xr:uid="{3581C444-81FC-44F1-93CF-C439D85A0081}">
      <text>
        <r>
          <rPr>
            <b/>
            <sz val="9"/>
            <color indexed="81"/>
            <rFont val="Tahoma"/>
            <family val="2"/>
          </rPr>
          <t>Froio, Zach:</t>
        </r>
        <r>
          <rPr>
            <sz val="9"/>
            <color indexed="81"/>
            <rFont val="Tahoma"/>
            <family val="2"/>
          </rPr>
          <t xml:space="preserve">
Updated per IL TRM v8 Section 4.4</t>
        </r>
      </text>
    </comment>
    <comment ref="B92" authorId="0" shapeId="0" xr:uid="{34DE666C-5A38-413E-8781-1750CF606995}">
      <text>
        <r>
          <rPr>
            <b/>
            <sz val="9"/>
            <color indexed="81"/>
            <rFont val="Tahoma"/>
            <family val="2"/>
          </rPr>
          <t>Froio, Zach:</t>
        </r>
        <r>
          <rPr>
            <sz val="9"/>
            <color indexed="81"/>
            <rFont val="Tahoma"/>
            <family val="2"/>
          </rPr>
          <t xml:space="preserve">
Updated per IL TRM v8 Section 4.4</t>
        </r>
      </text>
    </comment>
    <comment ref="B93" authorId="0" shapeId="0" xr:uid="{885CF3A1-5D6C-47DF-8ECD-026B4B33D151}">
      <text>
        <r>
          <rPr>
            <b/>
            <sz val="9"/>
            <color indexed="81"/>
            <rFont val="Tahoma"/>
            <family val="2"/>
          </rPr>
          <t>Froio, Zach:</t>
        </r>
        <r>
          <rPr>
            <sz val="9"/>
            <color indexed="81"/>
            <rFont val="Tahoma"/>
            <family val="2"/>
          </rPr>
          <t xml:space="preserve">
Updated per IL TRM v8 Section 4.4</t>
        </r>
      </text>
    </comment>
    <comment ref="B94" authorId="0" shapeId="0" xr:uid="{BE39F818-1155-474A-A2CD-E96907DEEA5C}">
      <text>
        <r>
          <rPr>
            <b/>
            <sz val="9"/>
            <color indexed="81"/>
            <rFont val="Tahoma"/>
            <family val="2"/>
          </rPr>
          <t>Froio, Zach:</t>
        </r>
        <r>
          <rPr>
            <sz val="9"/>
            <color indexed="81"/>
            <rFont val="Tahoma"/>
            <family val="2"/>
          </rPr>
          <t xml:space="preserve">
Updated per IL TRM v8 Section 4.4</t>
        </r>
      </text>
    </comment>
    <comment ref="B95" authorId="0" shapeId="0" xr:uid="{AE4FC252-2A47-4A6E-9A74-81D692AECB49}">
      <text>
        <r>
          <rPr>
            <b/>
            <sz val="9"/>
            <color indexed="81"/>
            <rFont val="Tahoma"/>
            <family val="2"/>
          </rPr>
          <t>Froio, Zach:</t>
        </r>
        <r>
          <rPr>
            <sz val="9"/>
            <color indexed="81"/>
            <rFont val="Tahoma"/>
            <family val="2"/>
          </rPr>
          <t xml:space="preserve">
Updated per IL TRM v8 Section 4.4</t>
        </r>
      </text>
    </comment>
    <comment ref="B96" authorId="0" shapeId="0" xr:uid="{E37907E3-B9D7-4A27-A0D5-2B106D13C1EA}">
      <text>
        <r>
          <rPr>
            <b/>
            <sz val="9"/>
            <color indexed="81"/>
            <rFont val="Tahoma"/>
            <family val="2"/>
          </rPr>
          <t>Froio, Zach:</t>
        </r>
        <r>
          <rPr>
            <sz val="9"/>
            <color indexed="81"/>
            <rFont val="Tahoma"/>
            <family val="2"/>
          </rPr>
          <t xml:space="preserve">
Updated per IL TRM v8 Section 4.4</t>
        </r>
      </text>
    </comment>
    <comment ref="B97" authorId="0" shapeId="0" xr:uid="{F12B8E57-E8D8-4494-9517-F584315BA7CC}">
      <text>
        <r>
          <rPr>
            <b/>
            <sz val="9"/>
            <color indexed="81"/>
            <rFont val="Tahoma"/>
            <family val="2"/>
          </rPr>
          <t>Froio, Zach:</t>
        </r>
        <r>
          <rPr>
            <sz val="9"/>
            <color indexed="81"/>
            <rFont val="Tahoma"/>
            <family val="2"/>
          </rPr>
          <t xml:space="preserve">
Updated per IL TRM v8 Section 4.4</t>
        </r>
      </text>
    </comment>
    <comment ref="B98" authorId="0" shapeId="0" xr:uid="{61520505-53F1-48F9-8914-8498BF096076}">
      <text>
        <r>
          <rPr>
            <b/>
            <sz val="9"/>
            <color indexed="81"/>
            <rFont val="Tahoma"/>
            <family val="2"/>
          </rPr>
          <t>Froio, Zach:</t>
        </r>
        <r>
          <rPr>
            <sz val="9"/>
            <color indexed="81"/>
            <rFont val="Tahoma"/>
            <family val="2"/>
          </rPr>
          <t xml:space="preserve">
Updated per IL TRM v8 Section 4.4</t>
        </r>
      </text>
    </comment>
    <comment ref="B99" authorId="0" shapeId="0" xr:uid="{FBF92A5D-CD72-4E23-9EAC-E93455EADFE3}">
      <text>
        <r>
          <rPr>
            <b/>
            <sz val="9"/>
            <color indexed="81"/>
            <rFont val="Tahoma"/>
            <family val="2"/>
          </rPr>
          <t>Froio, Zach:</t>
        </r>
        <r>
          <rPr>
            <sz val="9"/>
            <color indexed="81"/>
            <rFont val="Tahoma"/>
            <family val="2"/>
          </rPr>
          <t xml:space="preserve">
Updated per IL TRM v8 Section 4.4</t>
        </r>
      </text>
    </comment>
    <comment ref="B101" authorId="0" shapeId="0" xr:uid="{EF29811F-5AAA-49CB-9611-DB64ADFB8B8C}">
      <text>
        <r>
          <rPr>
            <b/>
            <sz val="9"/>
            <color indexed="81"/>
            <rFont val="Tahoma"/>
            <family val="2"/>
          </rPr>
          <t>Froio, Zach:</t>
        </r>
        <r>
          <rPr>
            <sz val="9"/>
            <color indexed="81"/>
            <rFont val="Tahoma"/>
            <family val="2"/>
          </rPr>
          <t xml:space="preserve">
Updated per IL TRM v8 Section 4.4</t>
        </r>
      </text>
    </comment>
    <comment ref="B102" authorId="0" shapeId="0" xr:uid="{FAF6EDF4-E272-40AC-833B-C92C9E02028B}">
      <text>
        <r>
          <rPr>
            <b/>
            <sz val="9"/>
            <color indexed="81"/>
            <rFont val="Tahoma"/>
            <family val="2"/>
          </rPr>
          <t>Froio, Zach:</t>
        </r>
        <r>
          <rPr>
            <sz val="9"/>
            <color indexed="81"/>
            <rFont val="Tahoma"/>
            <family val="2"/>
          </rPr>
          <t xml:space="preserve">
Updated per IL TRM v8 Section 4.4</t>
        </r>
      </text>
    </comment>
    <comment ref="B103" authorId="0" shapeId="0" xr:uid="{637ACEF2-4055-4BB4-A273-7F08864175F6}">
      <text>
        <r>
          <rPr>
            <b/>
            <sz val="9"/>
            <color indexed="81"/>
            <rFont val="Tahoma"/>
            <family val="2"/>
          </rPr>
          <t>Froio, Zach:</t>
        </r>
        <r>
          <rPr>
            <sz val="9"/>
            <color indexed="81"/>
            <rFont val="Tahoma"/>
            <family val="2"/>
          </rPr>
          <t xml:space="preserve">
Updated per IL TRM v8 Section 4.4</t>
        </r>
      </text>
    </comment>
    <comment ref="B104" authorId="0" shapeId="0" xr:uid="{60C00939-2E63-4B4A-B2AB-88230987FAA0}">
      <text>
        <r>
          <rPr>
            <b/>
            <sz val="9"/>
            <color indexed="81"/>
            <rFont val="Tahoma"/>
            <family val="2"/>
          </rPr>
          <t>Froio, Zach:</t>
        </r>
        <r>
          <rPr>
            <sz val="9"/>
            <color indexed="81"/>
            <rFont val="Tahoma"/>
            <family val="2"/>
          </rPr>
          <t xml:space="preserve">
Updated per IL TRM v8 Section 4.4</t>
        </r>
      </text>
    </comment>
    <comment ref="B106" authorId="0" shapeId="0" xr:uid="{701B7761-D750-41E1-8B25-293AD1DA367C}">
      <text>
        <r>
          <rPr>
            <b/>
            <sz val="9"/>
            <color indexed="81"/>
            <rFont val="Tahoma"/>
            <family val="2"/>
          </rPr>
          <t>Froio, Zach:</t>
        </r>
        <r>
          <rPr>
            <sz val="9"/>
            <color indexed="81"/>
            <rFont val="Tahoma"/>
            <family val="2"/>
          </rPr>
          <t xml:space="preserve">
Updated per IL TRM v8 Section 4.4</t>
        </r>
      </text>
    </comment>
    <comment ref="B107" authorId="0" shapeId="0" xr:uid="{8AD4F167-18CC-47F8-AECC-539A71075486}">
      <text>
        <r>
          <rPr>
            <b/>
            <sz val="9"/>
            <color indexed="81"/>
            <rFont val="Tahoma"/>
            <family val="2"/>
          </rPr>
          <t>Froio, Zach:</t>
        </r>
        <r>
          <rPr>
            <sz val="9"/>
            <color indexed="81"/>
            <rFont val="Tahoma"/>
            <family val="2"/>
          </rPr>
          <t xml:space="preserve">
Updated per IL TRM v8 Section 4.4</t>
        </r>
      </text>
    </comment>
    <comment ref="B108" authorId="0" shapeId="0" xr:uid="{9F3B3A4E-0E33-4A01-ADA2-09E8642ED694}">
      <text>
        <r>
          <rPr>
            <b/>
            <sz val="9"/>
            <color indexed="81"/>
            <rFont val="Tahoma"/>
            <family val="2"/>
          </rPr>
          <t>Froio, Zach:</t>
        </r>
        <r>
          <rPr>
            <sz val="9"/>
            <color indexed="81"/>
            <rFont val="Tahoma"/>
            <family val="2"/>
          </rPr>
          <t xml:space="preserve">
Updated per IL TRM v8 Section 4.4</t>
        </r>
      </text>
    </comment>
    <comment ref="B109" authorId="0" shapeId="0" xr:uid="{2D602AF3-FD1E-4052-A73B-FC3822ED8EAF}">
      <text>
        <r>
          <rPr>
            <b/>
            <sz val="9"/>
            <color indexed="81"/>
            <rFont val="Tahoma"/>
            <family val="2"/>
          </rPr>
          <t>Froio, Zach:</t>
        </r>
        <r>
          <rPr>
            <sz val="9"/>
            <color indexed="81"/>
            <rFont val="Tahoma"/>
            <family val="2"/>
          </rPr>
          <t xml:space="preserve">
Updated per IL TRM v8 Section 4.4</t>
        </r>
      </text>
    </comment>
    <comment ref="B110" authorId="0" shapeId="0" xr:uid="{CE82F96A-DB03-4996-930D-BCE12268F13E}">
      <text>
        <r>
          <rPr>
            <b/>
            <sz val="9"/>
            <color indexed="81"/>
            <rFont val="Tahoma"/>
            <family val="2"/>
          </rPr>
          <t>Froio, Zach:</t>
        </r>
        <r>
          <rPr>
            <sz val="9"/>
            <color indexed="81"/>
            <rFont val="Tahoma"/>
            <family val="2"/>
          </rPr>
          <t xml:space="preserve">
Updated per IL TRM v8 Section 4.4</t>
        </r>
      </text>
    </comment>
    <comment ref="B111" authorId="0" shapeId="0" xr:uid="{1EB182E9-7FC2-4DFA-A8C1-DEF065A4D658}">
      <text>
        <r>
          <rPr>
            <b/>
            <sz val="9"/>
            <color indexed="81"/>
            <rFont val="Tahoma"/>
            <family val="2"/>
          </rPr>
          <t>Froio, Zach:</t>
        </r>
        <r>
          <rPr>
            <sz val="9"/>
            <color indexed="81"/>
            <rFont val="Tahoma"/>
            <family val="2"/>
          </rPr>
          <t xml:space="preserve">
Updated per IL TRM v8 Section 4.4</t>
        </r>
      </text>
    </comment>
    <comment ref="B112" authorId="0" shapeId="0" xr:uid="{E2F8B95E-1BCB-4058-83A1-F1B192FC4B00}">
      <text>
        <r>
          <rPr>
            <b/>
            <sz val="9"/>
            <color indexed="81"/>
            <rFont val="Tahoma"/>
            <family val="2"/>
          </rPr>
          <t>Froio, Zach:</t>
        </r>
        <r>
          <rPr>
            <sz val="9"/>
            <color indexed="81"/>
            <rFont val="Tahoma"/>
            <family val="2"/>
          </rPr>
          <t xml:space="preserve">
Updated per IL TRM v8 Section 4.4</t>
        </r>
      </text>
    </comment>
    <comment ref="B114" authorId="0" shapeId="0" xr:uid="{D6860870-59E3-488B-8B06-AF9084D085DD}">
      <text>
        <r>
          <rPr>
            <b/>
            <sz val="9"/>
            <color indexed="81"/>
            <rFont val="Tahoma"/>
            <family val="2"/>
          </rPr>
          <t>Froio, Zach:</t>
        </r>
        <r>
          <rPr>
            <sz val="9"/>
            <color indexed="81"/>
            <rFont val="Tahoma"/>
            <family val="2"/>
          </rPr>
          <t xml:space="preserve">
Updated per IL TRM v8 Section 4.4</t>
        </r>
      </text>
    </comment>
    <comment ref="B115" authorId="0" shapeId="0" xr:uid="{A7A88F9A-6642-4288-A3E4-44E96E202205}">
      <text>
        <r>
          <rPr>
            <b/>
            <sz val="9"/>
            <color indexed="81"/>
            <rFont val="Tahoma"/>
            <family val="2"/>
          </rPr>
          <t>Froio, Zach:</t>
        </r>
        <r>
          <rPr>
            <sz val="9"/>
            <color indexed="81"/>
            <rFont val="Tahoma"/>
            <family val="2"/>
          </rPr>
          <t xml:space="preserve">
Updated per IL TRM v8 Section 4.4</t>
        </r>
      </text>
    </comment>
    <comment ref="B116" authorId="0" shapeId="0" xr:uid="{E1431B9B-C00B-49EC-AE01-1CCAC6C118F6}">
      <text>
        <r>
          <rPr>
            <b/>
            <sz val="9"/>
            <color indexed="81"/>
            <rFont val="Tahoma"/>
            <family val="2"/>
          </rPr>
          <t>Froio, Zach:</t>
        </r>
        <r>
          <rPr>
            <sz val="9"/>
            <color indexed="81"/>
            <rFont val="Tahoma"/>
            <family val="2"/>
          </rPr>
          <t xml:space="preserve">
Updated per IL TRM v8 Section 4.4</t>
        </r>
      </text>
    </comment>
    <comment ref="B117" authorId="0" shapeId="0" xr:uid="{31B00017-9FB7-449F-B2D8-82485F0A5981}">
      <text>
        <r>
          <rPr>
            <b/>
            <sz val="9"/>
            <color indexed="81"/>
            <rFont val="Tahoma"/>
            <family val="2"/>
          </rPr>
          <t>Froio, Zach:</t>
        </r>
        <r>
          <rPr>
            <sz val="9"/>
            <color indexed="81"/>
            <rFont val="Tahoma"/>
            <family val="2"/>
          </rPr>
          <t xml:space="preserve">
Updated per IL TRM v8 Section 4.4</t>
        </r>
      </text>
    </comment>
    <comment ref="B118" authorId="0" shapeId="0" xr:uid="{37882CF9-C02D-40C1-8545-6534E0B9C178}">
      <text>
        <r>
          <rPr>
            <b/>
            <sz val="9"/>
            <color indexed="81"/>
            <rFont val="Tahoma"/>
            <family val="2"/>
          </rPr>
          <t>Froio, Zach:</t>
        </r>
        <r>
          <rPr>
            <sz val="9"/>
            <color indexed="81"/>
            <rFont val="Tahoma"/>
            <family val="2"/>
          </rPr>
          <t xml:space="preserve">
Updated per IL TRM v8 Section 4.4</t>
        </r>
      </text>
    </comment>
    <comment ref="N137" authorId="0" shapeId="0" xr:uid="{0FB47963-A0BA-4265-AE5E-412330808992}">
      <text>
        <r>
          <rPr>
            <b/>
            <sz val="9"/>
            <color indexed="81"/>
            <rFont val="Tahoma"/>
            <family val="2"/>
          </rPr>
          <t>Froio, Zach:</t>
        </r>
        <r>
          <rPr>
            <sz val="9"/>
            <color indexed="81"/>
            <rFont val="Tahoma"/>
            <family val="2"/>
          </rPr>
          <t xml:space="preserve">
Updated per IL TRM v7 p. 187</t>
        </r>
      </text>
    </comment>
    <comment ref="I139" authorId="0" shapeId="0" xr:uid="{EAC53207-9273-47A2-88DA-5A41F52D46B0}">
      <text>
        <r>
          <rPr>
            <b/>
            <sz val="9"/>
            <color indexed="81"/>
            <rFont val="Tahoma"/>
            <family val="2"/>
          </rPr>
          <t>Froio, Zach:</t>
        </r>
        <r>
          <rPr>
            <sz val="9"/>
            <color indexed="81"/>
            <rFont val="Tahoma"/>
            <family val="2"/>
          </rPr>
          <t xml:space="preserve">
Updated per IL TRM v8 Section 4.4</t>
        </r>
      </text>
    </comment>
    <comment ref="I140" authorId="0" shapeId="0" xr:uid="{1F604F4B-A290-4C53-A644-C626A50B3D53}">
      <text>
        <r>
          <rPr>
            <b/>
            <sz val="9"/>
            <color indexed="81"/>
            <rFont val="Tahoma"/>
            <family val="2"/>
          </rPr>
          <t>Froio, Zach:</t>
        </r>
        <r>
          <rPr>
            <sz val="9"/>
            <color indexed="81"/>
            <rFont val="Tahoma"/>
            <family val="2"/>
          </rPr>
          <t xml:space="preserve">
Updated per IL TRM v8 Section 4.4</t>
        </r>
      </text>
    </comment>
    <comment ref="I142" authorId="0" shapeId="0" xr:uid="{F82DC06A-9990-4363-9E82-B2D08ED2C1C4}">
      <text>
        <r>
          <rPr>
            <b/>
            <sz val="9"/>
            <color indexed="81"/>
            <rFont val="Tahoma"/>
            <family val="2"/>
          </rPr>
          <t>Froio, Zach:</t>
        </r>
        <r>
          <rPr>
            <sz val="9"/>
            <color indexed="81"/>
            <rFont val="Tahoma"/>
            <family val="2"/>
          </rPr>
          <t xml:space="preserve">
Updated per IL TRM v8 Section 4.4</t>
        </r>
      </text>
    </comment>
    <comment ref="I143" authorId="0" shapeId="0" xr:uid="{3EC0F35B-789E-44AB-B6B8-C9633186E0F4}">
      <text>
        <r>
          <rPr>
            <b/>
            <sz val="9"/>
            <color indexed="81"/>
            <rFont val="Tahoma"/>
            <family val="2"/>
          </rPr>
          <t>Froio, Zach:</t>
        </r>
        <r>
          <rPr>
            <sz val="9"/>
            <color indexed="81"/>
            <rFont val="Tahoma"/>
            <family val="2"/>
          </rPr>
          <t xml:space="preserve">
Updated per IL TRM v8 Section 4.4</t>
        </r>
      </text>
    </comment>
    <comment ref="I145" authorId="0" shapeId="0" xr:uid="{D9954E4A-FBDD-4994-AF3C-323EDC13E221}">
      <text>
        <r>
          <rPr>
            <b/>
            <sz val="9"/>
            <color indexed="81"/>
            <rFont val="Tahoma"/>
            <family val="2"/>
          </rPr>
          <t>Froio, Zach:</t>
        </r>
        <r>
          <rPr>
            <sz val="9"/>
            <color indexed="81"/>
            <rFont val="Tahoma"/>
            <family val="2"/>
          </rPr>
          <t xml:space="preserve">
Updated per IL TRM v8 Section 4.4</t>
        </r>
      </text>
    </comment>
    <comment ref="I146" authorId="0" shapeId="0" xr:uid="{CA110BC2-E34D-4E87-8AA8-D6C9426C93C3}">
      <text>
        <r>
          <rPr>
            <b/>
            <sz val="9"/>
            <color indexed="81"/>
            <rFont val="Tahoma"/>
            <family val="2"/>
          </rPr>
          <t>Froio, Zach:</t>
        </r>
        <r>
          <rPr>
            <sz val="9"/>
            <color indexed="81"/>
            <rFont val="Tahoma"/>
            <family val="2"/>
          </rPr>
          <t xml:space="preserve">
Updated per IL TRM v8 Section 4.4</t>
        </r>
      </text>
    </comment>
    <comment ref="I147" authorId="0" shapeId="0" xr:uid="{F23EAEDA-96A9-43A9-B42C-81AB698E399D}">
      <text>
        <r>
          <rPr>
            <b/>
            <sz val="9"/>
            <color indexed="81"/>
            <rFont val="Tahoma"/>
            <family val="2"/>
          </rPr>
          <t>Froio, Zach:</t>
        </r>
        <r>
          <rPr>
            <sz val="9"/>
            <color indexed="81"/>
            <rFont val="Tahoma"/>
            <family val="2"/>
          </rPr>
          <t xml:space="preserve">
Updated per IL TRM v8 Section 4.4</t>
        </r>
      </text>
    </comment>
    <comment ref="I148" authorId="0" shapeId="0" xr:uid="{2DEA895E-9818-4132-B08C-E835F0DCD1FE}">
      <text>
        <r>
          <rPr>
            <b/>
            <sz val="9"/>
            <color indexed="81"/>
            <rFont val="Tahoma"/>
            <family val="2"/>
          </rPr>
          <t>Froio, Zach:</t>
        </r>
        <r>
          <rPr>
            <sz val="9"/>
            <color indexed="81"/>
            <rFont val="Tahoma"/>
            <family val="2"/>
          </rPr>
          <t xml:space="preserve">
Updated per IL TRM v8 Section 4.4</t>
        </r>
      </text>
    </comment>
    <comment ref="I149" authorId="0" shapeId="0" xr:uid="{320E8311-5F34-41B1-AFC2-DDCA94854D43}">
      <text>
        <r>
          <rPr>
            <b/>
            <sz val="9"/>
            <color indexed="81"/>
            <rFont val="Tahoma"/>
            <family val="2"/>
          </rPr>
          <t>Froio, Zach:</t>
        </r>
        <r>
          <rPr>
            <sz val="9"/>
            <color indexed="81"/>
            <rFont val="Tahoma"/>
            <family val="2"/>
          </rPr>
          <t xml:space="preserve">
Updated per IL TRM v8 Section 4.4</t>
        </r>
      </text>
    </comment>
    <comment ref="I150" authorId="0" shapeId="0" xr:uid="{F38151B4-D5B9-40C4-AAF8-8B427F549437}">
      <text>
        <r>
          <rPr>
            <b/>
            <sz val="9"/>
            <color indexed="81"/>
            <rFont val="Tahoma"/>
            <family val="2"/>
          </rPr>
          <t>Froio, Zach:</t>
        </r>
        <r>
          <rPr>
            <sz val="9"/>
            <color indexed="81"/>
            <rFont val="Tahoma"/>
            <family val="2"/>
          </rPr>
          <t xml:space="preserve">
Updated per IL TRM v8 Section 4.4</t>
        </r>
      </text>
    </comment>
    <comment ref="I151" authorId="0" shapeId="0" xr:uid="{4640A09F-E1AA-4796-B78B-2C1FCC5AE791}">
      <text>
        <r>
          <rPr>
            <b/>
            <sz val="9"/>
            <color indexed="81"/>
            <rFont val="Tahoma"/>
            <family val="2"/>
          </rPr>
          <t>Froio, Zach:</t>
        </r>
        <r>
          <rPr>
            <sz val="9"/>
            <color indexed="81"/>
            <rFont val="Tahoma"/>
            <family val="2"/>
          </rPr>
          <t xml:space="preserve">
Updated per IL TRM v8 Section 4.4</t>
        </r>
      </text>
    </comment>
    <comment ref="I152" authorId="0" shapeId="0" xr:uid="{31EABE9A-E5CE-43E5-8BB1-6D8969B96273}">
      <text>
        <r>
          <rPr>
            <b/>
            <sz val="9"/>
            <color indexed="81"/>
            <rFont val="Tahoma"/>
            <family val="2"/>
          </rPr>
          <t>Froio, Zach:</t>
        </r>
        <r>
          <rPr>
            <sz val="9"/>
            <color indexed="81"/>
            <rFont val="Tahoma"/>
            <family val="2"/>
          </rPr>
          <t xml:space="preserve">
Updated per IL TRM v8 Section 4.4</t>
        </r>
      </text>
    </comment>
    <comment ref="I153" authorId="0" shapeId="0" xr:uid="{D8B67090-C822-491A-9615-5128F3C8A389}">
      <text>
        <r>
          <rPr>
            <b/>
            <sz val="9"/>
            <color indexed="81"/>
            <rFont val="Tahoma"/>
            <family val="2"/>
          </rPr>
          <t>Froio, Zach:</t>
        </r>
        <r>
          <rPr>
            <sz val="9"/>
            <color indexed="81"/>
            <rFont val="Tahoma"/>
            <family val="2"/>
          </rPr>
          <t xml:space="preserve">
Updated per IL TRM v8 Section 4.4</t>
        </r>
      </text>
    </comment>
    <comment ref="I154" authorId="0" shapeId="0" xr:uid="{52EFF487-9A3E-4C5D-895B-DB1ACFAF8501}">
      <text>
        <r>
          <rPr>
            <b/>
            <sz val="9"/>
            <color indexed="81"/>
            <rFont val="Tahoma"/>
            <family val="2"/>
          </rPr>
          <t>Froio, Zach:</t>
        </r>
        <r>
          <rPr>
            <sz val="9"/>
            <color indexed="81"/>
            <rFont val="Tahoma"/>
            <family val="2"/>
          </rPr>
          <t xml:space="preserve">
Updated per IL TRM v8 Section 4.4</t>
        </r>
      </text>
    </comment>
    <comment ref="I156" authorId="0" shapeId="0" xr:uid="{7B09A566-7BAC-4C39-A04F-CFBFDF491465}">
      <text>
        <r>
          <rPr>
            <b/>
            <sz val="9"/>
            <color indexed="81"/>
            <rFont val="Tahoma"/>
            <family val="2"/>
          </rPr>
          <t>Froio, Zach:</t>
        </r>
        <r>
          <rPr>
            <sz val="9"/>
            <color indexed="81"/>
            <rFont val="Tahoma"/>
            <family val="2"/>
          </rPr>
          <t xml:space="preserve">
Updated per IL TRM v8 Section 4.4</t>
        </r>
      </text>
    </comment>
    <comment ref="I157" authorId="0" shapeId="0" xr:uid="{B91B35A7-5A40-4196-9CA0-719A92BAF32B}">
      <text>
        <r>
          <rPr>
            <b/>
            <sz val="9"/>
            <color indexed="81"/>
            <rFont val="Tahoma"/>
            <family val="2"/>
          </rPr>
          <t>Froio, Zach:</t>
        </r>
        <r>
          <rPr>
            <sz val="9"/>
            <color indexed="81"/>
            <rFont val="Tahoma"/>
            <family val="2"/>
          </rPr>
          <t xml:space="preserve">
Updated per IL TRM v8 Section 4.4</t>
        </r>
      </text>
    </comment>
    <comment ref="I158" authorId="0" shapeId="0" xr:uid="{D6E96429-0AEF-4ABB-80B4-42B5AE16258A}">
      <text>
        <r>
          <rPr>
            <b/>
            <sz val="9"/>
            <color indexed="81"/>
            <rFont val="Tahoma"/>
            <family val="2"/>
          </rPr>
          <t>Froio, Zach:</t>
        </r>
        <r>
          <rPr>
            <sz val="9"/>
            <color indexed="81"/>
            <rFont val="Tahoma"/>
            <family val="2"/>
          </rPr>
          <t xml:space="preserve">
Updated per IL TRM v8 Section 4.4</t>
        </r>
      </text>
    </comment>
    <comment ref="I159" authorId="0" shapeId="0" xr:uid="{19540305-1A9A-4267-AEF2-426F74754500}">
      <text>
        <r>
          <rPr>
            <b/>
            <sz val="9"/>
            <color indexed="81"/>
            <rFont val="Tahoma"/>
            <family val="2"/>
          </rPr>
          <t>Froio, Zach:</t>
        </r>
        <r>
          <rPr>
            <sz val="9"/>
            <color indexed="81"/>
            <rFont val="Tahoma"/>
            <family val="2"/>
          </rPr>
          <t xml:space="preserve">
Updated per IL TRM v8 Section 4.4</t>
        </r>
      </text>
    </comment>
    <comment ref="I161" authorId="0" shapeId="0" xr:uid="{2D92CC8F-F8A3-4E5D-8370-A65A4AC6B8AD}">
      <text>
        <r>
          <rPr>
            <b/>
            <sz val="9"/>
            <color indexed="81"/>
            <rFont val="Tahoma"/>
            <family val="2"/>
          </rPr>
          <t>Froio, Zach:</t>
        </r>
        <r>
          <rPr>
            <sz val="9"/>
            <color indexed="81"/>
            <rFont val="Tahoma"/>
            <family val="2"/>
          </rPr>
          <t xml:space="preserve">
Updated per IL TRM v8 Section 4.4</t>
        </r>
      </text>
    </comment>
    <comment ref="I162" authorId="0" shapeId="0" xr:uid="{11557C01-30AE-4D10-9AB7-79D68755A47E}">
      <text>
        <r>
          <rPr>
            <b/>
            <sz val="9"/>
            <color indexed="81"/>
            <rFont val="Tahoma"/>
            <family val="2"/>
          </rPr>
          <t>Froio, Zach:</t>
        </r>
        <r>
          <rPr>
            <sz val="9"/>
            <color indexed="81"/>
            <rFont val="Tahoma"/>
            <family val="2"/>
          </rPr>
          <t xml:space="preserve">
Updated per IL TRM v8 Section 4.4</t>
        </r>
      </text>
    </comment>
    <comment ref="I163" authorId="0" shapeId="0" xr:uid="{E90085ED-9B86-4B20-892E-A17AA3F3BA12}">
      <text>
        <r>
          <rPr>
            <b/>
            <sz val="9"/>
            <color indexed="81"/>
            <rFont val="Tahoma"/>
            <family val="2"/>
          </rPr>
          <t>Froio, Zach:</t>
        </r>
        <r>
          <rPr>
            <sz val="9"/>
            <color indexed="81"/>
            <rFont val="Tahoma"/>
            <family val="2"/>
          </rPr>
          <t xml:space="preserve">
Updated per IL TRM v8 Section 4.4</t>
        </r>
      </text>
    </comment>
    <comment ref="I164" authorId="0" shapeId="0" xr:uid="{F557978B-34E8-4DFE-9B61-1811C3CE2C35}">
      <text>
        <r>
          <rPr>
            <b/>
            <sz val="9"/>
            <color indexed="81"/>
            <rFont val="Tahoma"/>
            <family val="2"/>
          </rPr>
          <t>Froio, Zach:</t>
        </r>
        <r>
          <rPr>
            <sz val="9"/>
            <color indexed="81"/>
            <rFont val="Tahoma"/>
            <family val="2"/>
          </rPr>
          <t xml:space="preserve">
Updated per IL TRM v8 Section 4.4</t>
        </r>
      </text>
    </comment>
    <comment ref="I165" authorId="0" shapeId="0" xr:uid="{AFF12C19-4FDA-4056-A214-86313970436E}">
      <text>
        <r>
          <rPr>
            <b/>
            <sz val="9"/>
            <color indexed="81"/>
            <rFont val="Tahoma"/>
            <family val="2"/>
          </rPr>
          <t>Froio, Zach:</t>
        </r>
        <r>
          <rPr>
            <sz val="9"/>
            <color indexed="81"/>
            <rFont val="Tahoma"/>
            <family val="2"/>
          </rPr>
          <t xml:space="preserve">
Updated per IL TRM v8 Section 4.4</t>
        </r>
      </text>
    </comment>
    <comment ref="I166" authorId="0" shapeId="0" xr:uid="{5B03222C-0060-4DD3-9AAB-8EE14599E748}">
      <text>
        <r>
          <rPr>
            <b/>
            <sz val="9"/>
            <color indexed="81"/>
            <rFont val="Tahoma"/>
            <family val="2"/>
          </rPr>
          <t>Froio, Zach:</t>
        </r>
        <r>
          <rPr>
            <sz val="9"/>
            <color indexed="81"/>
            <rFont val="Tahoma"/>
            <family val="2"/>
          </rPr>
          <t xml:space="preserve">
Updated per IL TRM v8 Section 4.4</t>
        </r>
      </text>
    </comment>
    <comment ref="I167" authorId="0" shapeId="0" xr:uid="{E579DF3D-92BB-4D8C-9601-C7293F75B9E5}">
      <text>
        <r>
          <rPr>
            <b/>
            <sz val="9"/>
            <color indexed="81"/>
            <rFont val="Tahoma"/>
            <family val="2"/>
          </rPr>
          <t>Froio, Zach:</t>
        </r>
        <r>
          <rPr>
            <sz val="9"/>
            <color indexed="81"/>
            <rFont val="Tahoma"/>
            <family val="2"/>
          </rPr>
          <t xml:space="preserve">
Updated per IL TRM v8 Section 4.4</t>
        </r>
      </text>
    </comment>
    <comment ref="I169" authorId="0" shapeId="0" xr:uid="{4143D6D0-8E0F-4B82-A954-DD7C992EEF9B}">
      <text>
        <r>
          <rPr>
            <b/>
            <sz val="9"/>
            <color indexed="81"/>
            <rFont val="Tahoma"/>
            <family val="2"/>
          </rPr>
          <t>Froio, Zach:</t>
        </r>
        <r>
          <rPr>
            <sz val="9"/>
            <color indexed="81"/>
            <rFont val="Tahoma"/>
            <family val="2"/>
          </rPr>
          <t xml:space="preserve">
Updated per IL TRM v8 Section 4.4</t>
        </r>
      </text>
    </comment>
    <comment ref="I170" authorId="0" shapeId="0" xr:uid="{32C85822-E125-429E-B55D-4C0C3AF62188}">
      <text>
        <r>
          <rPr>
            <b/>
            <sz val="9"/>
            <color indexed="81"/>
            <rFont val="Tahoma"/>
            <family val="2"/>
          </rPr>
          <t>Froio, Zach:</t>
        </r>
        <r>
          <rPr>
            <sz val="9"/>
            <color indexed="81"/>
            <rFont val="Tahoma"/>
            <family val="2"/>
          </rPr>
          <t xml:space="preserve">
Updated per IL TRM v8 Section 4.4</t>
        </r>
      </text>
    </comment>
    <comment ref="I171" authorId="0" shapeId="0" xr:uid="{4ECB16A7-C2FD-4949-84A7-5DD9D6ED5E78}">
      <text>
        <r>
          <rPr>
            <b/>
            <sz val="9"/>
            <color indexed="81"/>
            <rFont val="Tahoma"/>
            <family val="2"/>
          </rPr>
          <t>Froio, Zach:</t>
        </r>
        <r>
          <rPr>
            <sz val="9"/>
            <color indexed="81"/>
            <rFont val="Tahoma"/>
            <family val="2"/>
          </rPr>
          <t xml:space="preserve">
Updated per IL TRM v8 Section 4.4</t>
        </r>
      </text>
    </comment>
    <comment ref="I172" authorId="0" shapeId="0" xr:uid="{FAA02D12-31A6-4846-ABE3-A2F717661B82}">
      <text>
        <r>
          <rPr>
            <b/>
            <sz val="9"/>
            <color indexed="81"/>
            <rFont val="Tahoma"/>
            <family val="2"/>
          </rPr>
          <t>Froio, Zach:</t>
        </r>
        <r>
          <rPr>
            <sz val="9"/>
            <color indexed="81"/>
            <rFont val="Tahoma"/>
            <family val="2"/>
          </rPr>
          <t xml:space="preserve">
Updated per IL TRM v8 Section 4.4</t>
        </r>
      </text>
    </comment>
    <comment ref="I173" authorId="0" shapeId="0" xr:uid="{CC868381-8FC7-4072-9395-2EDA2C50D7ED}">
      <text>
        <r>
          <rPr>
            <b/>
            <sz val="9"/>
            <color indexed="81"/>
            <rFont val="Tahoma"/>
            <family val="2"/>
          </rPr>
          <t>Froio, Zach:</t>
        </r>
        <r>
          <rPr>
            <sz val="9"/>
            <color indexed="81"/>
            <rFont val="Tahoma"/>
            <family val="2"/>
          </rPr>
          <t xml:space="preserve">
Updated per IL TRM v8 Section 4.4</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E6C4E4AB-1F9A-468C-84D4-76DBF8F55E11}">
      <text>
        <r>
          <rPr>
            <b/>
            <sz val="9"/>
            <color indexed="81"/>
            <rFont val="Tahoma"/>
            <family val="2"/>
          </rPr>
          <t>Froio, Zach:</t>
        </r>
        <r>
          <rPr>
            <sz val="9"/>
            <color indexed="81"/>
            <rFont val="Tahoma"/>
            <family val="2"/>
          </rPr>
          <t xml:space="preserve">
Updated per TRM v8 Section 4.4</t>
        </r>
      </text>
    </comment>
    <comment ref="B37" authorId="0" shapeId="0" xr:uid="{203AF3AC-39EE-4363-BD47-AD1F78E3E182}">
      <text>
        <r>
          <rPr>
            <b/>
            <sz val="9"/>
            <color indexed="81"/>
            <rFont val="Tahoma"/>
            <family val="2"/>
          </rPr>
          <t>Froio, Zach:</t>
        </r>
        <r>
          <rPr>
            <sz val="9"/>
            <color indexed="81"/>
            <rFont val="Tahoma"/>
            <family val="2"/>
          </rPr>
          <t xml:space="preserve">
Updated per IL TRM v8 Section 4.4</t>
        </r>
      </text>
    </comment>
    <comment ref="B38" authorId="0" shapeId="0" xr:uid="{5F9041DD-1B6F-448E-AC26-04D264B8410B}">
      <text>
        <r>
          <rPr>
            <b/>
            <sz val="9"/>
            <color indexed="81"/>
            <rFont val="Tahoma"/>
            <family val="2"/>
          </rPr>
          <t>Froio, Zach:</t>
        </r>
        <r>
          <rPr>
            <sz val="9"/>
            <color indexed="81"/>
            <rFont val="Tahoma"/>
            <family val="2"/>
          </rPr>
          <t xml:space="preserve">
Updated per IL TRM v8 Section 4.4</t>
        </r>
      </text>
    </comment>
    <comment ref="B40" authorId="0" shapeId="0" xr:uid="{D0B88850-4D12-403D-88C1-5693160E7861}">
      <text>
        <r>
          <rPr>
            <b/>
            <sz val="9"/>
            <color indexed="81"/>
            <rFont val="Tahoma"/>
            <family val="2"/>
          </rPr>
          <t>Froio, Zach:</t>
        </r>
        <r>
          <rPr>
            <sz val="9"/>
            <color indexed="81"/>
            <rFont val="Tahoma"/>
            <family val="2"/>
          </rPr>
          <t xml:space="preserve">
Updated per IL TRM v8 Section 4.4</t>
        </r>
      </text>
    </comment>
    <comment ref="B41" authorId="0" shapeId="0" xr:uid="{1A68E94D-95BF-49BD-B533-682BCD5E4C8A}">
      <text>
        <r>
          <rPr>
            <b/>
            <sz val="9"/>
            <color indexed="81"/>
            <rFont val="Tahoma"/>
            <family val="2"/>
          </rPr>
          <t>Froio, Zach:</t>
        </r>
        <r>
          <rPr>
            <sz val="9"/>
            <color indexed="81"/>
            <rFont val="Tahoma"/>
            <family val="2"/>
          </rPr>
          <t xml:space="preserve">
Updated per IL TRM v8 Section 4.4</t>
        </r>
      </text>
    </comment>
    <comment ref="B43" authorId="0" shapeId="0" xr:uid="{0E11332A-D852-47FB-AA1A-89A7B1780060}">
      <text>
        <r>
          <rPr>
            <b/>
            <sz val="9"/>
            <color indexed="81"/>
            <rFont val="Tahoma"/>
            <family val="2"/>
          </rPr>
          <t>Froio, Zach:</t>
        </r>
        <r>
          <rPr>
            <sz val="9"/>
            <color indexed="81"/>
            <rFont val="Tahoma"/>
            <family val="2"/>
          </rPr>
          <t xml:space="preserve">
Updated per IL TRM v8 Section 4.4</t>
        </r>
      </text>
    </comment>
    <comment ref="B44" authorId="0" shapeId="0" xr:uid="{49AE3CDF-9A40-4A7A-9925-0E5CF54077E3}">
      <text>
        <r>
          <rPr>
            <b/>
            <sz val="9"/>
            <color indexed="81"/>
            <rFont val="Tahoma"/>
            <family val="2"/>
          </rPr>
          <t>Froio, Zach:</t>
        </r>
        <r>
          <rPr>
            <sz val="9"/>
            <color indexed="81"/>
            <rFont val="Tahoma"/>
            <family val="2"/>
          </rPr>
          <t xml:space="preserve">
Updated per IL TRM v8 Section 4.4</t>
        </r>
      </text>
    </comment>
    <comment ref="B45" authorId="0" shapeId="0" xr:uid="{FA80A538-BC0F-49C1-80C9-0DB5A7B69BCC}">
      <text>
        <r>
          <rPr>
            <b/>
            <sz val="9"/>
            <color indexed="81"/>
            <rFont val="Tahoma"/>
            <family val="2"/>
          </rPr>
          <t>Froio, Zach:</t>
        </r>
        <r>
          <rPr>
            <sz val="9"/>
            <color indexed="81"/>
            <rFont val="Tahoma"/>
            <family val="2"/>
          </rPr>
          <t xml:space="preserve">
Updated per IL TRM v8 Section 4.4</t>
        </r>
      </text>
    </comment>
    <comment ref="B46" authorId="0" shapeId="0" xr:uid="{27B9EE83-A82F-4417-BBD6-8B67159CDFEC}">
      <text>
        <r>
          <rPr>
            <b/>
            <sz val="9"/>
            <color indexed="81"/>
            <rFont val="Tahoma"/>
            <family val="2"/>
          </rPr>
          <t>Froio, Zach:</t>
        </r>
        <r>
          <rPr>
            <sz val="9"/>
            <color indexed="81"/>
            <rFont val="Tahoma"/>
            <family val="2"/>
          </rPr>
          <t xml:space="preserve">
Updated per IL TRM v8 Section 4.4</t>
        </r>
      </text>
    </comment>
    <comment ref="B47" authorId="0" shapeId="0" xr:uid="{7CFF8E6B-A819-4774-97A6-C382117DFAD0}">
      <text>
        <r>
          <rPr>
            <b/>
            <sz val="9"/>
            <color indexed="81"/>
            <rFont val="Tahoma"/>
            <family val="2"/>
          </rPr>
          <t>Froio, Zach:</t>
        </r>
        <r>
          <rPr>
            <sz val="9"/>
            <color indexed="81"/>
            <rFont val="Tahoma"/>
            <family val="2"/>
          </rPr>
          <t xml:space="preserve">
Updated per IL TRM v8 Section 4.4</t>
        </r>
      </text>
    </comment>
    <comment ref="B48" authorId="0" shapeId="0" xr:uid="{97F5F920-EBF8-49A1-9FB2-0E3DD78991AD}">
      <text>
        <r>
          <rPr>
            <b/>
            <sz val="9"/>
            <color indexed="81"/>
            <rFont val="Tahoma"/>
            <family val="2"/>
          </rPr>
          <t>Froio, Zach:</t>
        </r>
        <r>
          <rPr>
            <sz val="9"/>
            <color indexed="81"/>
            <rFont val="Tahoma"/>
            <family val="2"/>
          </rPr>
          <t xml:space="preserve">
Updated per IL TRM v8 Section 4.4</t>
        </r>
      </text>
    </comment>
    <comment ref="B49" authorId="0" shapeId="0" xr:uid="{38921F81-A275-4AC2-80E0-42D04D5D5112}">
      <text>
        <r>
          <rPr>
            <b/>
            <sz val="9"/>
            <color indexed="81"/>
            <rFont val="Tahoma"/>
            <family val="2"/>
          </rPr>
          <t>Froio, Zach:</t>
        </r>
        <r>
          <rPr>
            <sz val="9"/>
            <color indexed="81"/>
            <rFont val="Tahoma"/>
            <family val="2"/>
          </rPr>
          <t xml:space="preserve">
Updated per IL TRM v8 Section 4.4</t>
        </r>
      </text>
    </comment>
    <comment ref="B50" authorId="0" shapeId="0" xr:uid="{04E11DA5-AF1C-4F54-ABD6-C308E08B923C}">
      <text>
        <r>
          <rPr>
            <b/>
            <sz val="9"/>
            <color indexed="81"/>
            <rFont val="Tahoma"/>
            <family val="2"/>
          </rPr>
          <t>Froio, Zach:</t>
        </r>
        <r>
          <rPr>
            <sz val="9"/>
            <color indexed="81"/>
            <rFont val="Tahoma"/>
            <family val="2"/>
          </rPr>
          <t xml:space="preserve">
Updated per IL TRM v8 Section 4.4</t>
        </r>
      </text>
    </comment>
    <comment ref="B51" authorId="0" shapeId="0" xr:uid="{760D9890-998E-4B6D-8B9B-5DA24D51EC08}">
      <text>
        <r>
          <rPr>
            <b/>
            <sz val="9"/>
            <color indexed="81"/>
            <rFont val="Tahoma"/>
            <family val="2"/>
          </rPr>
          <t>Froio, Zach:</t>
        </r>
        <r>
          <rPr>
            <sz val="9"/>
            <color indexed="81"/>
            <rFont val="Tahoma"/>
            <family val="2"/>
          </rPr>
          <t xml:space="preserve">
Updated per IL TRM v8 Section 4.4</t>
        </r>
      </text>
    </comment>
    <comment ref="B52" authorId="0" shapeId="0" xr:uid="{ECA21563-B34F-46C9-AB17-09F19A4C3F9F}">
      <text>
        <r>
          <rPr>
            <b/>
            <sz val="9"/>
            <color indexed="81"/>
            <rFont val="Tahoma"/>
            <family val="2"/>
          </rPr>
          <t>Froio, Zach:</t>
        </r>
        <r>
          <rPr>
            <sz val="9"/>
            <color indexed="81"/>
            <rFont val="Tahoma"/>
            <family val="2"/>
          </rPr>
          <t xml:space="preserve">
Updated per IL TRM v8 Section 4.4</t>
        </r>
      </text>
    </comment>
    <comment ref="B54" authorId="0" shapeId="0" xr:uid="{6EB29DE3-328F-44AD-9832-C403C28088FE}">
      <text>
        <r>
          <rPr>
            <b/>
            <sz val="9"/>
            <color indexed="81"/>
            <rFont val="Tahoma"/>
            <family val="2"/>
          </rPr>
          <t>Froio, Zach:</t>
        </r>
        <r>
          <rPr>
            <sz val="9"/>
            <color indexed="81"/>
            <rFont val="Tahoma"/>
            <family val="2"/>
          </rPr>
          <t xml:space="preserve">
Updated per IL TRM v8 Section 4.4</t>
        </r>
      </text>
    </comment>
    <comment ref="B55" authorId="0" shapeId="0" xr:uid="{7368BCE6-53A6-40C7-8A8C-B1D2666F8434}">
      <text>
        <r>
          <rPr>
            <b/>
            <sz val="9"/>
            <color indexed="81"/>
            <rFont val="Tahoma"/>
            <family val="2"/>
          </rPr>
          <t>Froio, Zach:</t>
        </r>
        <r>
          <rPr>
            <sz val="9"/>
            <color indexed="81"/>
            <rFont val="Tahoma"/>
            <family val="2"/>
          </rPr>
          <t xml:space="preserve">
Updated per IL TRM v8 Section 4.4</t>
        </r>
      </text>
    </comment>
    <comment ref="B56" authorId="0" shapeId="0" xr:uid="{64FEB28E-949E-42CF-810F-1292E39615B9}">
      <text>
        <r>
          <rPr>
            <b/>
            <sz val="9"/>
            <color indexed="81"/>
            <rFont val="Tahoma"/>
            <family val="2"/>
          </rPr>
          <t>Froio, Zach:</t>
        </r>
        <r>
          <rPr>
            <sz val="9"/>
            <color indexed="81"/>
            <rFont val="Tahoma"/>
            <family val="2"/>
          </rPr>
          <t xml:space="preserve">
Updated per IL TRM v8 Section 4.4</t>
        </r>
      </text>
    </comment>
    <comment ref="B57" authorId="0" shapeId="0" xr:uid="{6D38F393-6A8F-4B9F-B574-B0843EE60AAA}">
      <text>
        <r>
          <rPr>
            <b/>
            <sz val="9"/>
            <color indexed="81"/>
            <rFont val="Tahoma"/>
            <family val="2"/>
          </rPr>
          <t>Froio, Zach:</t>
        </r>
        <r>
          <rPr>
            <sz val="9"/>
            <color indexed="81"/>
            <rFont val="Tahoma"/>
            <family val="2"/>
          </rPr>
          <t xml:space="preserve">
Updated per IL TRM v8 Section 4.4</t>
        </r>
      </text>
    </comment>
    <comment ref="B59" authorId="0" shapeId="0" xr:uid="{713DACE4-7A94-4EB5-880E-7EA43AC5DA5A}">
      <text>
        <r>
          <rPr>
            <b/>
            <sz val="9"/>
            <color indexed="81"/>
            <rFont val="Tahoma"/>
            <family val="2"/>
          </rPr>
          <t>Froio, Zach:</t>
        </r>
        <r>
          <rPr>
            <sz val="9"/>
            <color indexed="81"/>
            <rFont val="Tahoma"/>
            <family val="2"/>
          </rPr>
          <t xml:space="preserve">
Updated per IL TRM v8 Section 4.4</t>
        </r>
      </text>
    </comment>
    <comment ref="B60" authorId="0" shapeId="0" xr:uid="{23C2145C-AA1B-4086-AFE0-DB9135E04228}">
      <text>
        <r>
          <rPr>
            <b/>
            <sz val="9"/>
            <color indexed="81"/>
            <rFont val="Tahoma"/>
            <family val="2"/>
          </rPr>
          <t>Froio, Zach:</t>
        </r>
        <r>
          <rPr>
            <sz val="9"/>
            <color indexed="81"/>
            <rFont val="Tahoma"/>
            <family val="2"/>
          </rPr>
          <t xml:space="preserve">
Updated per IL TRM v8 Section 4.4</t>
        </r>
      </text>
    </comment>
    <comment ref="B61" authorId="0" shapeId="0" xr:uid="{7374B8FF-0AEB-4852-9AFF-B132BEAD1E8C}">
      <text>
        <r>
          <rPr>
            <b/>
            <sz val="9"/>
            <color indexed="81"/>
            <rFont val="Tahoma"/>
            <family val="2"/>
          </rPr>
          <t>Froio, Zach:</t>
        </r>
        <r>
          <rPr>
            <sz val="9"/>
            <color indexed="81"/>
            <rFont val="Tahoma"/>
            <family val="2"/>
          </rPr>
          <t xml:space="preserve">
Updated per IL TRM v8 Section 4.4</t>
        </r>
      </text>
    </comment>
    <comment ref="B62" authorId="0" shapeId="0" xr:uid="{524B64D0-6EAF-45DD-B927-5B3F2222C556}">
      <text>
        <r>
          <rPr>
            <b/>
            <sz val="9"/>
            <color indexed="81"/>
            <rFont val="Tahoma"/>
            <family val="2"/>
          </rPr>
          <t>Froio, Zach:</t>
        </r>
        <r>
          <rPr>
            <sz val="9"/>
            <color indexed="81"/>
            <rFont val="Tahoma"/>
            <family val="2"/>
          </rPr>
          <t xml:space="preserve">
Updated per IL TRM v8 Section 4.4</t>
        </r>
      </text>
    </comment>
    <comment ref="B63" authorId="0" shapeId="0" xr:uid="{B0BFF375-B4E4-4136-9A59-9F0D34FE4FBF}">
      <text>
        <r>
          <rPr>
            <b/>
            <sz val="9"/>
            <color indexed="81"/>
            <rFont val="Tahoma"/>
            <family val="2"/>
          </rPr>
          <t>Froio, Zach:</t>
        </r>
        <r>
          <rPr>
            <sz val="9"/>
            <color indexed="81"/>
            <rFont val="Tahoma"/>
            <family val="2"/>
          </rPr>
          <t xml:space="preserve">
Updated per IL TRM v8 Section 4.4</t>
        </r>
      </text>
    </comment>
    <comment ref="B64" authorId="0" shapeId="0" xr:uid="{929BC337-F7D3-4B8E-84DA-63F2D109B2B4}">
      <text>
        <r>
          <rPr>
            <b/>
            <sz val="9"/>
            <color indexed="81"/>
            <rFont val="Tahoma"/>
            <family val="2"/>
          </rPr>
          <t>Froio, Zach:</t>
        </r>
        <r>
          <rPr>
            <sz val="9"/>
            <color indexed="81"/>
            <rFont val="Tahoma"/>
            <family val="2"/>
          </rPr>
          <t xml:space="preserve">
Updated per IL TRM v8 Section 4.4</t>
        </r>
      </text>
    </comment>
    <comment ref="B65" authorId="0" shapeId="0" xr:uid="{A979D526-9BEF-4925-AF2F-66ABDD76768A}">
      <text>
        <r>
          <rPr>
            <b/>
            <sz val="9"/>
            <color indexed="81"/>
            <rFont val="Tahoma"/>
            <family val="2"/>
          </rPr>
          <t>Froio, Zach:</t>
        </r>
        <r>
          <rPr>
            <sz val="9"/>
            <color indexed="81"/>
            <rFont val="Tahoma"/>
            <family val="2"/>
          </rPr>
          <t xml:space="preserve">
Updated per IL TRM v8 Section 4.4</t>
        </r>
      </text>
    </comment>
    <comment ref="B67" authorId="0" shapeId="0" xr:uid="{499B59CD-321D-46CB-B114-39485A84331A}">
      <text>
        <r>
          <rPr>
            <b/>
            <sz val="9"/>
            <color indexed="81"/>
            <rFont val="Tahoma"/>
            <family val="2"/>
          </rPr>
          <t>Froio, Zach:</t>
        </r>
        <r>
          <rPr>
            <sz val="9"/>
            <color indexed="81"/>
            <rFont val="Tahoma"/>
            <family val="2"/>
          </rPr>
          <t xml:space="preserve">
Updated per IL TRM v8 Section 4.4</t>
        </r>
      </text>
    </comment>
    <comment ref="B68" authorId="0" shapeId="0" xr:uid="{68F3079B-05FE-43EF-A47B-045F13ADF7BC}">
      <text>
        <r>
          <rPr>
            <b/>
            <sz val="9"/>
            <color indexed="81"/>
            <rFont val="Tahoma"/>
            <family val="2"/>
          </rPr>
          <t>Froio, Zach:</t>
        </r>
        <r>
          <rPr>
            <sz val="9"/>
            <color indexed="81"/>
            <rFont val="Tahoma"/>
            <family val="2"/>
          </rPr>
          <t xml:space="preserve">
Updated per IL TRM v8 Section 4.4</t>
        </r>
      </text>
    </comment>
    <comment ref="B69" authorId="0" shapeId="0" xr:uid="{4078E62D-D07B-49C9-8762-29247EC7DD09}">
      <text>
        <r>
          <rPr>
            <b/>
            <sz val="9"/>
            <color indexed="81"/>
            <rFont val="Tahoma"/>
            <family val="2"/>
          </rPr>
          <t>Froio, Zach:</t>
        </r>
        <r>
          <rPr>
            <sz val="9"/>
            <color indexed="81"/>
            <rFont val="Tahoma"/>
            <family val="2"/>
          </rPr>
          <t xml:space="preserve">
Updated per IL TRM v8 Section 4.4</t>
        </r>
      </text>
    </comment>
    <comment ref="B70" authorId="0" shapeId="0" xr:uid="{E1FBD8CD-DF2B-4F43-B268-1A2F3CC2CDD7}">
      <text>
        <r>
          <rPr>
            <b/>
            <sz val="9"/>
            <color indexed="81"/>
            <rFont val="Tahoma"/>
            <family val="2"/>
          </rPr>
          <t>Froio, Zach:</t>
        </r>
        <r>
          <rPr>
            <sz val="9"/>
            <color indexed="81"/>
            <rFont val="Tahoma"/>
            <family val="2"/>
          </rPr>
          <t xml:space="preserve">
Updated per IL TRM v8 Section 4.4</t>
        </r>
      </text>
    </comment>
    <comment ref="B71" authorId="0" shapeId="0" xr:uid="{FAD6A3B5-152F-4DC9-921C-2E7AA10A0046}">
      <text>
        <r>
          <rPr>
            <b/>
            <sz val="9"/>
            <color indexed="81"/>
            <rFont val="Tahoma"/>
            <family val="2"/>
          </rPr>
          <t>Froio, Zach:</t>
        </r>
        <r>
          <rPr>
            <sz val="9"/>
            <color indexed="81"/>
            <rFont val="Tahoma"/>
            <family val="2"/>
          </rPr>
          <t xml:space="preserve">
Updated per IL TRM v8 Section 4.4</t>
        </r>
      </text>
    </comment>
    <comment ref="B87" authorId="0" shapeId="0" xr:uid="{7FE35820-03A3-4B3D-AEEA-CCAEA99A887C}">
      <text>
        <r>
          <rPr>
            <b/>
            <sz val="9"/>
            <color indexed="81"/>
            <rFont val="Tahoma"/>
            <family val="2"/>
          </rPr>
          <t>Froio, Zach:</t>
        </r>
        <r>
          <rPr>
            <sz val="9"/>
            <color indexed="81"/>
            <rFont val="Tahoma"/>
            <family val="2"/>
          </rPr>
          <t xml:space="preserve">
Updated per IL TRM v8 Section 4.4</t>
        </r>
      </text>
    </comment>
    <comment ref="B90" authorId="0" shapeId="0" xr:uid="{79B63069-DA32-4637-8B04-555A74B719CE}">
      <text>
        <r>
          <rPr>
            <b/>
            <sz val="9"/>
            <color indexed="81"/>
            <rFont val="Tahoma"/>
            <family val="2"/>
          </rPr>
          <t>Froio, Zach:</t>
        </r>
        <r>
          <rPr>
            <sz val="9"/>
            <color indexed="81"/>
            <rFont val="Tahoma"/>
            <family val="2"/>
          </rPr>
          <t xml:space="preserve">
Updated per IL TRM v8 Section 4.4</t>
        </r>
      </text>
    </comment>
    <comment ref="B115" authorId="0" shapeId="0" xr:uid="{D70322FF-17BD-4110-A28F-05A041D8EB04}">
      <text>
        <r>
          <rPr>
            <b/>
            <sz val="9"/>
            <color indexed="81"/>
            <rFont val="Tahoma"/>
            <family val="2"/>
          </rPr>
          <t>Froio, Zach:</t>
        </r>
        <r>
          <rPr>
            <sz val="9"/>
            <color indexed="81"/>
            <rFont val="Tahoma"/>
            <family val="2"/>
          </rPr>
          <t xml:space="preserve">
Updated per IL TRM v8 Section 4.4</t>
        </r>
      </text>
    </comment>
    <comment ref="H135" authorId="0" shapeId="0" xr:uid="{83F6A035-EDD1-45F7-B61D-18654FB2EEA8}">
      <text>
        <r>
          <rPr>
            <b/>
            <sz val="9"/>
            <color indexed="81"/>
            <rFont val="Tahoma"/>
            <family val="2"/>
          </rPr>
          <t>Froio, Zach:</t>
        </r>
        <r>
          <rPr>
            <sz val="9"/>
            <color indexed="81"/>
            <rFont val="Tahoma"/>
            <family val="2"/>
          </rPr>
          <t xml:space="preserve">
Updated per IL TRM v8 Section 4.4</t>
        </r>
      </text>
    </comment>
    <comment ref="B140" authorId="0" shapeId="0" xr:uid="{F780C186-E6A3-4068-A4A3-CE1E535FD350}">
      <text>
        <r>
          <rPr>
            <b/>
            <sz val="9"/>
            <color indexed="81"/>
            <rFont val="Tahoma"/>
            <family val="2"/>
          </rPr>
          <t>Froio, Zach:</t>
        </r>
        <r>
          <rPr>
            <sz val="9"/>
            <color indexed="81"/>
            <rFont val="Tahoma"/>
            <family val="2"/>
          </rPr>
          <t xml:space="preserve">
Updated per IL TRM v8 Section 4.4</t>
        </r>
      </text>
    </comment>
    <comment ref="B143" authorId="0" shapeId="0" xr:uid="{2AD16501-529E-4036-86AE-554CAB4B299F}">
      <text>
        <r>
          <rPr>
            <b/>
            <sz val="9"/>
            <color indexed="81"/>
            <rFont val="Tahoma"/>
            <family val="2"/>
          </rPr>
          <t>Froio, Zach:</t>
        </r>
        <r>
          <rPr>
            <sz val="9"/>
            <color indexed="81"/>
            <rFont val="Tahoma"/>
            <family val="2"/>
          </rPr>
          <t xml:space="preserve">
Updated per IL TRM v8 Section 4.4</t>
        </r>
      </text>
    </comment>
    <comment ref="B145" authorId="0" shapeId="0" xr:uid="{F617F5DE-A7B8-42A4-989E-DF0FFEA4E428}">
      <text>
        <r>
          <rPr>
            <b/>
            <sz val="9"/>
            <color indexed="81"/>
            <rFont val="Tahoma"/>
            <family val="2"/>
          </rPr>
          <t>Froio, Zach:</t>
        </r>
        <r>
          <rPr>
            <sz val="9"/>
            <color indexed="81"/>
            <rFont val="Tahoma"/>
            <family val="2"/>
          </rPr>
          <t xml:space="preserve">
Updated per IL TRM v8 Section 4.4</t>
        </r>
      </text>
    </comment>
    <comment ref="B146" authorId="0" shapeId="0" xr:uid="{6C2A002C-32DA-4F56-AA80-CBB3061DB0DA}">
      <text>
        <r>
          <rPr>
            <b/>
            <sz val="9"/>
            <color indexed="81"/>
            <rFont val="Tahoma"/>
            <family val="2"/>
          </rPr>
          <t>Froio, Zach:</t>
        </r>
        <r>
          <rPr>
            <sz val="9"/>
            <color indexed="81"/>
            <rFont val="Tahoma"/>
            <family val="2"/>
          </rPr>
          <t xml:space="preserve">
Updated per IL TRM v8 Section 4.4</t>
        </r>
      </text>
    </comment>
    <comment ref="B147" authorId="0" shapeId="0" xr:uid="{866269E9-1B0A-4929-84D1-A23EE8BA41CA}">
      <text>
        <r>
          <rPr>
            <b/>
            <sz val="9"/>
            <color indexed="81"/>
            <rFont val="Tahoma"/>
            <family val="2"/>
          </rPr>
          <t>Froio, Zach:</t>
        </r>
        <r>
          <rPr>
            <sz val="9"/>
            <color indexed="81"/>
            <rFont val="Tahoma"/>
            <family val="2"/>
          </rPr>
          <t xml:space="preserve">
Updated per IL TRM v8 Section 4.4</t>
        </r>
      </text>
    </comment>
    <comment ref="B148" authorId="0" shapeId="0" xr:uid="{4113909F-2C2C-4966-8C34-AB9038B61153}">
      <text>
        <r>
          <rPr>
            <b/>
            <sz val="9"/>
            <color indexed="81"/>
            <rFont val="Tahoma"/>
            <family val="2"/>
          </rPr>
          <t>Froio, Zach:</t>
        </r>
        <r>
          <rPr>
            <sz val="9"/>
            <color indexed="81"/>
            <rFont val="Tahoma"/>
            <family val="2"/>
          </rPr>
          <t xml:space="preserve">
Updated per IL TRM v8 Section 4.4</t>
        </r>
      </text>
    </comment>
    <comment ref="B149" authorId="0" shapeId="0" xr:uid="{1DF7D1DC-E693-4B62-810C-2B3A41843BC1}">
      <text>
        <r>
          <rPr>
            <b/>
            <sz val="9"/>
            <color indexed="81"/>
            <rFont val="Tahoma"/>
            <family val="2"/>
          </rPr>
          <t>Froio, Zach:</t>
        </r>
        <r>
          <rPr>
            <sz val="9"/>
            <color indexed="81"/>
            <rFont val="Tahoma"/>
            <family val="2"/>
          </rPr>
          <t xml:space="preserve">
Updated per IL TRM v8 Section 4.4</t>
        </r>
      </text>
    </comment>
    <comment ref="B150" authorId="0" shapeId="0" xr:uid="{56ACAA2F-D48D-49C1-9C93-17B2B9422015}">
      <text>
        <r>
          <rPr>
            <b/>
            <sz val="9"/>
            <color indexed="81"/>
            <rFont val="Tahoma"/>
            <family val="2"/>
          </rPr>
          <t>Froio, Zach:</t>
        </r>
        <r>
          <rPr>
            <sz val="9"/>
            <color indexed="81"/>
            <rFont val="Tahoma"/>
            <family val="2"/>
          </rPr>
          <t xml:space="preserve">
Updated per IL TRM v8 Section 4.4</t>
        </r>
      </text>
    </comment>
    <comment ref="B151" authorId="0" shapeId="0" xr:uid="{7D02B55D-CA52-4D6B-B5B6-732E28FF1C1C}">
      <text>
        <r>
          <rPr>
            <b/>
            <sz val="9"/>
            <color indexed="81"/>
            <rFont val="Tahoma"/>
            <family val="2"/>
          </rPr>
          <t>Froio, Zach:</t>
        </r>
        <r>
          <rPr>
            <sz val="9"/>
            <color indexed="81"/>
            <rFont val="Tahoma"/>
            <family val="2"/>
          </rPr>
          <t xml:space="preserve">
Updated per IL TRM v8 Section 4.4</t>
        </r>
      </text>
    </comment>
    <comment ref="B152" authorId="0" shapeId="0" xr:uid="{251E94A2-F644-494F-8246-DBE818193302}">
      <text>
        <r>
          <rPr>
            <b/>
            <sz val="9"/>
            <color indexed="81"/>
            <rFont val="Tahoma"/>
            <family val="2"/>
          </rPr>
          <t>Froio, Zach:</t>
        </r>
        <r>
          <rPr>
            <sz val="9"/>
            <color indexed="81"/>
            <rFont val="Tahoma"/>
            <family val="2"/>
          </rPr>
          <t xml:space="preserve">
Updated per IL TRM v8 Section 4.4</t>
        </r>
      </text>
    </comment>
    <comment ref="B153" authorId="0" shapeId="0" xr:uid="{DB74CF1D-6D34-40EA-A00C-499D947BD786}">
      <text>
        <r>
          <rPr>
            <b/>
            <sz val="9"/>
            <color indexed="81"/>
            <rFont val="Tahoma"/>
            <family val="2"/>
          </rPr>
          <t>Froio, Zach:</t>
        </r>
        <r>
          <rPr>
            <sz val="9"/>
            <color indexed="81"/>
            <rFont val="Tahoma"/>
            <family val="2"/>
          </rPr>
          <t xml:space="preserve">
Updated per IL TRM v8 Section 4.4</t>
        </r>
      </text>
    </comment>
    <comment ref="B154" authorId="0" shapeId="0" xr:uid="{97488597-C8C2-4E32-9CAB-61E77EF69290}">
      <text>
        <r>
          <rPr>
            <b/>
            <sz val="9"/>
            <color indexed="81"/>
            <rFont val="Tahoma"/>
            <family val="2"/>
          </rPr>
          <t>Froio, Zach:</t>
        </r>
        <r>
          <rPr>
            <sz val="9"/>
            <color indexed="81"/>
            <rFont val="Tahoma"/>
            <family val="2"/>
          </rPr>
          <t xml:space="preserve">
Updated per IL TRM v8 Section 4.4</t>
        </r>
      </text>
    </comment>
    <comment ref="B156" authorId="0" shapeId="0" xr:uid="{CDAFA135-F423-4B76-B2F6-5050477F8AC1}">
      <text>
        <r>
          <rPr>
            <b/>
            <sz val="9"/>
            <color indexed="81"/>
            <rFont val="Tahoma"/>
            <family val="2"/>
          </rPr>
          <t>Froio, Zach:</t>
        </r>
        <r>
          <rPr>
            <sz val="9"/>
            <color indexed="81"/>
            <rFont val="Tahoma"/>
            <family val="2"/>
          </rPr>
          <t xml:space="preserve">
Updated per IL TRM v8 Section 4.4</t>
        </r>
      </text>
    </comment>
    <comment ref="B157" authorId="0" shapeId="0" xr:uid="{36539E93-467A-487E-963D-1B0F796C16E7}">
      <text>
        <r>
          <rPr>
            <b/>
            <sz val="9"/>
            <color indexed="81"/>
            <rFont val="Tahoma"/>
            <family val="2"/>
          </rPr>
          <t>Froio, Zach:</t>
        </r>
        <r>
          <rPr>
            <sz val="9"/>
            <color indexed="81"/>
            <rFont val="Tahoma"/>
            <family val="2"/>
          </rPr>
          <t xml:space="preserve">
Updated per IL TRM v8 Section 4.4</t>
        </r>
      </text>
    </comment>
    <comment ref="B158" authorId="0" shapeId="0" xr:uid="{41724236-1D19-419D-95D3-690E26997EC9}">
      <text>
        <r>
          <rPr>
            <b/>
            <sz val="9"/>
            <color indexed="81"/>
            <rFont val="Tahoma"/>
            <family val="2"/>
          </rPr>
          <t>Froio, Zach:</t>
        </r>
        <r>
          <rPr>
            <sz val="9"/>
            <color indexed="81"/>
            <rFont val="Tahoma"/>
            <family val="2"/>
          </rPr>
          <t xml:space="preserve">
Updated per IL TRM v8 Section 4.4</t>
        </r>
      </text>
    </comment>
    <comment ref="B159" authorId="0" shapeId="0" xr:uid="{03E41E24-C30B-4FCC-9985-A9F78E196D24}">
      <text>
        <r>
          <rPr>
            <b/>
            <sz val="9"/>
            <color indexed="81"/>
            <rFont val="Tahoma"/>
            <family val="2"/>
          </rPr>
          <t>Froio, Zach:</t>
        </r>
        <r>
          <rPr>
            <sz val="9"/>
            <color indexed="81"/>
            <rFont val="Tahoma"/>
            <family val="2"/>
          </rPr>
          <t xml:space="preserve">
Updated per IL TRM v8 Section 4.4</t>
        </r>
      </text>
    </comment>
    <comment ref="B161" authorId="0" shapeId="0" xr:uid="{066BC13A-938A-444B-9FB0-0B2EF07F7BAB}">
      <text>
        <r>
          <rPr>
            <b/>
            <sz val="9"/>
            <color indexed="81"/>
            <rFont val="Tahoma"/>
            <family val="2"/>
          </rPr>
          <t>Froio, Zach:</t>
        </r>
        <r>
          <rPr>
            <sz val="9"/>
            <color indexed="81"/>
            <rFont val="Tahoma"/>
            <family val="2"/>
          </rPr>
          <t xml:space="preserve">
Updated per IL TRM v8 Section 4.4</t>
        </r>
      </text>
    </comment>
    <comment ref="B162" authorId="0" shapeId="0" xr:uid="{1CF0F98B-098E-49F9-95FD-8794AFF0C0E6}">
      <text>
        <r>
          <rPr>
            <b/>
            <sz val="9"/>
            <color indexed="81"/>
            <rFont val="Tahoma"/>
            <family val="2"/>
          </rPr>
          <t>Froio, Zach:</t>
        </r>
        <r>
          <rPr>
            <sz val="9"/>
            <color indexed="81"/>
            <rFont val="Tahoma"/>
            <family val="2"/>
          </rPr>
          <t xml:space="preserve">
Updated per IL TRM v8 Section 4.4</t>
        </r>
      </text>
    </comment>
    <comment ref="B163" authorId="0" shapeId="0" xr:uid="{73A65659-83E2-4DED-840E-94CF9EA0BA88}">
      <text>
        <r>
          <rPr>
            <b/>
            <sz val="9"/>
            <color indexed="81"/>
            <rFont val="Tahoma"/>
            <family val="2"/>
          </rPr>
          <t>Froio, Zach:</t>
        </r>
        <r>
          <rPr>
            <sz val="9"/>
            <color indexed="81"/>
            <rFont val="Tahoma"/>
            <family val="2"/>
          </rPr>
          <t xml:space="preserve">
Updated per IL TRM v8 Section 4.4</t>
        </r>
      </text>
    </comment>
    <comment ref="B164" authorId="0" shapeId="0" xr:uid="{5065BF74-638F-4481-8273-0C8BF3BF304B}">
      <text>
        <r>
          <rPr>
            <b/>
            <sz val="9"/>
            <color indexed="81"/>
            <rFont val="Tahoma"/>
            <family val="2"/>
          </rPr>
          <t>Froio, Zach:</t>
        </r>
        <r>
          <rPr>
            <sz val="9"/>
            <color indexed="81"/>
            <rFont val="Tahoma"/>
            <family val="2"/>
          </rPr>
          <t xml:space="preserve">
Updated per IL TRM v8 Section 4.4</t>
        </r>
      </text>
    </comment>
    <comment ref="B165" authorId="0" shapeId="0" xr:uid="{EA932DCE-25CC-4A9C-A03D-4CA720952643}">
      <text>
        <r>
          <rPr>
            <b/>
            <sz val="9"/>
            <color indexed="81"/>
            <rFont val="Tahoma"/>
            <family val="2"/>
          </rPr>
          <t>Froio, Zach:</t>
        </r>
        <r>
          <rPr>
            <sz val="9"/>
            <color indexed="81"/>
            <rFont val="Tahoma"/>
            <family val="2"/>
          </rPr>
          <t xml:space="preserve">
Updated per IL TRM v8 Section 4.4</t>
        </r>
      </text>
    </comment>
    <comment ref="B166" authorId="0" shapeId="0" xr:uid="{36F118BC-51AF-45F2-8CB9-3444F44F73EB}">
      <text>
        <r>
          <rPr>
            <b/>
            <sz val="9"/>
            <color indexed="81"/>
            <rFont val="Tahoma"/>
            <family val="2"/>
          </rPr>
          <t>Froio, Zach:</t>
        </r>
        <r>
          <rPr>
            <sz val="9"/>
            <color indexed="81"/>
            <rFont val="Tahoma"/>
            <family val="2"/>
          </rPr>
          <t xml:space="preserve">
Updated per IL TRM v8 Section 4.4</t>
        </r>
      </text>
    </comment>
    <comment ref="B169" authorId="0" shapeId="0" xr:uid="{3A1716A9-DF8B-4970-B927-74BC8243EEDF}">
      <text>
        <r>
          <rPr>
            <b/>
            <sz val="9"/>
            <color indexed="81"/>
            <rFont val="Tahoma"/>
            <family val="2"/>
          </rPr>
          <t>Froio, Zach:</t>
        </r>
        <r>
          <rPr>
            <sz val="9"/>
            <color indexed="81"/>
            <rFont val="Tahoma"/>
            <family val="2"/>
          </rPr>
          <t xml:space="preserve">
Updated per IL TRM v8 Section 4.4</t>
        </r>
      </text>
    </comment>
    <comment ref="B170" authorId="0" shapeId="0" xr:uid="{6C6889B2-6562-4F93-9E49-94E35F3BC557}">
      <text>
        <r>
          <rPr>
            <b/>
            <sz val="9"/>
            <color indexed="81"/>
            <rFont val="Tahoma"/>
            <family val="2"/>
          </rPr>
          <t>Froio, Zach:</t>
        </r>
        <r>
          <rPr>
            <sz val="9"/>
            <color indexed="81"/>
            <rFont val="Tahoma"/>
            <family val="2"/>
          </rPr>
          <t xml:space="preserve">
Updated per IL TRM v8 Section 4.4</t>
        </r>
      </text>
    </comment>
    <comment ref="B171" authorId="0" shapeId="0" xr:uid="{567AA37F-6690-44A1-9F55-F58CB459DCC4}">
      <text>
        <r>
          <rPr>
            <b/>
            <sz val="9"/>
            <color indexed="81"/>
            <rFont val="Tahoma"/>
            <family val="2"/>
          </rPr>
          <t>Froio, Zach:</t>
        </r>
        <r>
          <rPr>
            <sz val="9"/>
            <color indexed="81"/>
            <rFont val="Tahoma"/>
            <family val="2"/>
          </rPr>
          <t xml:space="preserve">
Updated per IL TRM v8 Section 4.4</t>
        </r>
      </text>
    </comment>
    <comment ref="B172" authorId="0" shapeId="0" xr:uid="{A5AC826F-C698-4286-A397-6CE04C77B809}">
      <text>
        <r>
          <rPr>
            <b/>
            <sz val="9"/>
            <color indexed="81"/>
            <rFont val="Tahoma"/>
            <family val="2"/>
          </rPr>
          <t>Froio, Zach:</t>
        </r>
        <r>
          <rPr>
            <sz val="9"/>
            <color indexed="81"/>
            <rFont val="Tahoma"/>
            <family val="2"/>
          </rPr>
          <t xml:space="preserve">
Updated per IL TRM v8 Section 4.4</t>
        </r>
      </text>
    </comment>
    <comment ref="B173" authorId="0" shapeId="0" xr:uid="{C1069519-7867-4632-B925-9643331712CA}">
      <text>
        <r>
          <rPr>
            <b/>
            <sz val="9"/>
            <color indexed="81"/>
            <rFont val="Tahoma"/>
            <family val="2"/>
          </rPr>
          <t>Froio, Zach:</t>
        </r>
        <r>
          <rPr>
            <sz val="9"/>
            <color indexed="81"/>
            <rFont val="Tahoma"/>
            <family val="2"/>
          </rPr>
          <t xml:space="preserve">
Updated per IL TRM v8 Section 4.4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BCBB9F9F-2116-4F6D-BD1F-FD1B9D8C11FA}">
      <text>
        <r>
          <rPr>
            <b/>
            <sz val="9"/>
            <color indexed="81"/>
            <rFont val="Tahoma"/>
            <family val="2"/>
          </rPr>
          <t>Froio, Zach:</t>
        </r>
        <r>
          <rPr>
            <sz val="9"/>
            <color indexed="81"/>
            <rFont val="Tahoma"/>
            <family val="2"/>
          </rPr>
          <t xml:space="preserve">
Updated per TRM v8 Section 4.4</t>
        </r>
      </text>
    </comment>
    <comment ref="B37" authorId="0" shapeId="0" xr:uid="{1A720E0D-BEDA-4BBB-8B40-0C4A824485B9}">
      <text>
        <r>
          <rPr>
            <b/>
            <sz val="9"/>
            <color indexed="81"/>
            <rFont val="Tahoma"/>
            <family val="2"/>
          </rPr>
          <t>Froio, Zach:</t>
        </r>
        <r>
          <rPr>
            <sz val="9"/>
            <color indexed="81"/>
            <rFont val="Tahoma"/>
            <family val="2"/>
          </rPr>
          <t xml:space="preserve">
Updated per IL TRM v8 Section 4.4</t>
        </r>
      </text>
    </comment>
    <comment ref="B38" authorId="0" shapeId="0" xr:uid="{F1C4350F-C2F3-4D68-A296-647B608439B0}">
      <text>
        <r>
          <rPr>
            <b/>
            <sz val="9"/>
            <color indexed="81"/>
            <rFont val="Tahoma"/>
            <family val="2"/>
          </rPr>
          <t>Froio, Zach:</t>
        </r>
        <r>
          <rPr>
            <sz val="9"/>
            <color indexed="81"/>
            <rFont val="Tahoma"/>
            <family val="2"/>
          </rPr>
          <t xml:space="preserve">
Updated per IL TRM v8 Section 4.4</t>
        </r>
      </text>
    </comment>
    <comment ref="B40" authorId="0" shapeId="0" xr:uid="{119DAF26-3526-4F5A-8F13-62EF9E951F6E}">
      <text>
        <r>
          <rPr>
            <b/>
            <sz val="9"/>
            <color indexed="81"/>
            <rFont val="Tahoma"/>
            <family val="2"/>
          </rPr>
          <t>Froio, Zach:</t>
        </r>
        <r>
          <rPr>
            <sz val="9"/>
            <color indexed="81"/>
            <rFont val="Tahoma"/>
            <family val="2"/>
          </rPr>
          <t xml:space="preserve">
Updated per IL TRM v8 Section 4.4</t>
        </r>
      </text>
    </comment>
    <comment ref="B41" authorId="0" shapeId="0" xr:uid="{E89C3C74-DC69-46E8-A523-2BE1D7D635FC}">
      <text>
        <r>
          <rPr>
            <b/>
            <sz val="9"/>
            <color indexed="81"/>
            <rFont val="Tahoma"/>
            <family val="2"/>
          </rPr>
          <t>Froio, Zach:</t>
        </r>
        <r>
          <rPr>
            <sz val="9"/>
            <color indexed="81"/>
            <rFont val="Tahoma"/>
            <family val="2"/>
          </rPr>
          <t xml:space="preserve">
Updated per IL TRM v8 Section 4.4</t>
        </r>
      </text>
    </comment>
    <comment ref="B43" authorId="0" shapeId="0" xr:uid="{110A4621-0F5D-4A1A-BF16-696BD884FE50}">
      <text>
        <r>
          <rPr>
            <b/>
            <sz val="9"/>
            <color indexed="81"/>
            <rFont val="Tahoma"/>
            <family val="2"/>
          </rPr>
          <t>Froio, Zach:</t>
        </r>
        <r>
          <rPr>
            <sz val="9"/>
            <color indexed="81"/>
            <rFont val="Tahoma"/>
            <family val="2"/>
          </rPr>
          <t xml:space="preserve">
Updated per IL TRM v8 Section 4.4</t>
        </r>
      </text>
    </comment>
    <comment ref="B44" authorId="0" shapeId="0" xr:uid="{D74CE065-7CE5-41DF-854D-550450167930}">
      <text>
        <r>
          <rPr>
            <b/>
            <sz val="9"/>
            <color indexed="81"/>
            <rFont val="Tahoma"/>
            <family val="2"/>
          </rPr>
          <t>Froio, Zach:</t>
        </r>
        <r>
          <rPr>
            <sz val="9"/>
            <color indexed="81"/>
            <rFont val="Tahoma"/>
            <family val="2"/>
          </rPr>
          <t xml:space="preserve">
Updated per IL TRM v8 Section 4.4</t>
        </r>
      </text>
    </comment>
    <comment ref="B45" authorId="0" shapeId="0" xr:uid="{10F0C1EE-2D18-40AF-ABD2-59FE3AB62506}">
      <text>
        <r>
          <rPr>
            <b/>
            <sz val="9"/>
            <color indexed="81"/>
            <rFont val="Tahoma"/>
            <family val="2"/>
          </rPr>
          <t>Froio, Zach:</t>
        </r>
        <r>
          <rPr>
            <sz val="9"/>
            <color indexed="81"/>
            <rFont val="Tahoma"/>
            <family val="2"/>
          </rPr>
          <t xml:space="preserve">
Updated per IL TRM v8 Section 4.4</t>
        </r>
      </text>
    </comment>
    <comment ref="B46" authorId="0" shapeId="0" xr:uid="{5B4E1F87-7020-489B-8F59-06C6EBED34A7}">
      <text>
        <r>
          <rPr>
            <b/>
            <sz val="9"/>
            <color indexed="81"/>
            <rFont val="Tahoma"/>
            <family val="2"/>
          </rPr>
          <t>Froio, Zach:</t>
        </r>
        <r>
          <rPr>
            <sz val="9"/>
            <color indexed="81"/>
            <rFont val="Tahoma"/>
            <family val="2"/>
          </rPr>
          <t xml:space="preserve">
Updated per IL TRM v8 Section 4.4</t>
        </r>
      </text>
    </comment>
    <comment ref="B47" authorId="0" shapeId="0" xr:uid="{A9DD4EB5-EAEE-4A3A-A84C-1E0FDD638C97}">
      <text>
        <r>
          <rPr>
            <b/>
            <sz val="9"/>
            <color indexed="81"/>
            <rFont val="Tahoma"/>
            <family val="2"/>
          </rPr>
          <t>Froio, Zach:</t>
        </r>
        <r>
          <rPr>
            <sz val="9"/>
            <color indexed="81"/>
            <rFont val="Tahoma"/>
            <family val="2"/>
          </rPr>
          <t xml:space="preserve">
Updated per IL TRM v8 Section 4.4</t>
        </r>
      </text>
    </comment>
    <comment ref="B48" authorId="0" shapeId="0" xr:uid="{5FB82E57-3BCF-44F9-B526-2A3B04DB8568}">
      <text>
        <r>
          <rPr>
            <b/>
            <sz val="9"/>
            <color indexed="81"/>
            <rFont val="Tahoma"/>
            <family val="2"/>
          </rPr>
          <t>Froio, Zach:</t>
        </r>
        <r>
          <rPr>
            <sz val="9"/>
            <color indexed="81"/>
            <rFont val="Tahoma"/>
            <family val="2"/>
          </rPr>
          <t xml:space="preserve">
Updated per IL TRM v8 Section 4.4</t>
        </r>
      </text>
    </comment>
    <comment ref="B49" authorId="0" shapeId="0" xr:uid="{25B33D56-1CC4-4C3C-9ABD-204671D97FDE}">
      <text>
        <r>
          <rPr>
            <b/>
            <sz val="9"/>
            <color indexed="81"/>
            <rFont val="Tahoma"/>
            <family val="2"/>
          </rPr>
          <t>Froio, Zach:</t>
        </r>
        <r>
          <rPr>
            <sz val="9"/>
            <color indexed="81"/>
            <rFont val="Tahoma"/>
            <family val="2"/>
          </rPr>
          <t xml:space="preserve">
Updated per IL TRM v8 Section 4.4</t>
        </r>
      </text>
    </comment>
    <comment ref="B50" authorId="0" shapeId="0" xr:uid="{F2DAC8F7-19CB-4935-AD46-FDDD199CFE41}">
      <text>
        <r>
          <rPr>
            <b/>
            <sz val="9"/>
            <color indexed="81"/>
            <rFont val="Tahoma"/>
            <family val="2"/>
          </rPr>
          <t>Froio, Zach:</t>
        </r>
        <r>
          <rPr>
            <sz val="9"/>
            <color indexed="81"/>
            <rFont val="Tahoma"/>
            <family val="2"/>
          </rPr>
          <t xml:space="preserve">
Updated per IL TRM v8 Section 4.4</t>
        </r>
      </text>
    </comment>
    <comment ref="B51" authorId="0" shapeId="0" xr:uid="{BEA01B68-3709-45A9-BDF7-B060BD4DB4ED}">
      <text>
        <r>
          <rPr>
            <b/>
            <sz val="9"/>
            <color indexed="81"/>
            <rFont val="Tahoma"/>
            <family val="2"/>
          </rPr>
          <t>Froio, Zach:</t>
        </r>
        <r>
          <rPr>
            <sz val="9"/>
            <color indexed="81"/>
            <rFont val="Tahoma"/>
            <family val="2"/>
          </rPr>
          <t xml:space="preserve">
Updated per IL TRM v8 Section 4.4</t>
        </r>
      </text>
    </comment>
    <comment ref="B52" authorId="0" shapeId="0" xr:uid="{1BB8B37E-8697-4DF1-98B4-26C461BB0232}">
      <text>
        <r>
          <rPr>
            <b/>
            <sz val="9"/>
            <color indexed="81"/>
            <rFont val="Tahoma"/>
            <family val="2"/>
          </rPr>
          <t>Froio, Zach:</t>
        </r>
        <r>
          <rPr>
            <sz val="9"/>
            <color indexed="81"/>
            <rFont val="Tahoma"/>
            <family val="2"/>
          </rPr>
          <t xml:space="preserve">
Updated per IL TRM v8 Section 4.4</t>
        </r>
      </text>
    </comment>
    <comment ref="B54" authorId="0" shapeId="0" xr:uid="{7166DF0D-0E20-48C1-B097-3384FBB7C76F}">
      <text>
        <r>
          <rPr>
            <b/>
            <sz val="9"/>
            <color indexed="81"/>
            <rFont val="Tahoma"/>
            <family val="2"/>
          </rPr>
          <t>Froio, Zach:</t>
        </r>
        <r>
          <rPr>
            <sz val="9"/>
            <color indexed="81"/>
            <rFont val="Tahoma"/>
            <family val="2"/>
          </rPr>
          <t xml:space="preserve">
Updated per IL TRM v8 Section 4.4</t>
        </r>
      </text>
    </comment>
    <comment ref="B55" authorId="0" shapeId="0" xr:uid="{1EA0BA15-DAA6-404B-AFCA-833361D0770A}">
      <text>
        <r>
          <rPr>
            <b/>
            <sz val="9"/>
            <color indexed="81"/>
            <rFont val="Tahoma"/>
            <family val="2"/>
          </rPr>
          <t>Froio, Zach:</t>
        </r>
        <r>
          <rPr>
            <sz val="9"/>
            <color indexed="81"/>
            <rFont val="Tahoma"/>
            <family val="2"/>
          </rPr>
          <t xml:space="preserve">
Updated per IL TRM v8 Section 4.4</t>
        </r>
      </text>
    </comment>
    <comment ref="B56" authorId="0" shapeId="0" xr:uid="{E48D4DD8-9845-410B-86DB-5367C7209A8A}">
      <text>
        <r>
          <rPr>
            <b/>
            <sz val="9"/>
            <color indexed="81"/>
            <rFont val="Tahoma"/>
            <family val="2"/>
          </rPr>
          <t>Froio, Zach:</t>
        </r>
        <r>
          <rPr>
            <sz val="9"/>
            <color indexed="81"/>
            <rFont val="Tahoma"/>
            <family val="2"/>
          </rPr>
          <t xml:space="preserve">
Updated per IL TRM v8 Section 4.4</t>
        </r>
      </text>
    </comment>
    <comment ref="B57" authorId="0" shapeId="0" xr:uid="{E1DE7491-DB1A-436A-B7E5-038BB026FBBC}">
      <text>
        <r>
          <rPr>
            <b/>
            <sz val="9"/>
            <color indexed="81"/>
            <rFont val="Tahoma"/>
            <family val="2"/>
          </rPr>
          <t>Froio, Zach:</t>
        </r>
        <r>
          <rPr>
            <sz val="9"/>
            <color indexed="81"/>
            <rFont val="Tahoma"/>
            <family val="2"/>
          </rPr>
          <t xml:space="preserve">
Updated per IL TRM v8 Section 4.4</t>
        </r>
      </text>
    </comment>
    <comment ref="B59" authorId="0" shapeId="0" xr:uid="{466C2718-197B-4763-A80F-2AD89CFD2240}">
      <text>
        <r>
          <rPr>
            <b/>
            <sz val="9"/>
            <color indexed="81"/>
            <rFont val="Tahoma"/>
            <family val="2"/>
          </rPr>
          <t>Froio, Zach:</t>
        </r>
        <r>
          <rPr>
            <sz val="9"/>
            <color indexed="81"/>
            <rFont val="Tahoma"/>
            <family val="2"/>
          </rPr>
          <t xml:space="preserve">
Updated per IL TRM v8 Section 4.4</t>
        </r>
      </text>
    </comment>
    <comment ref="B60" authorId="0" shapeId="0" xr:uid="{0BE84E49-F4F1-491D-A5A1-6A0752F83546}">
      <text>
        <r>
          <rPr>
            <b/>
            <sz val="9"/>
            <color indexed="81"/>
            <rFont val="Tahoma"/>
            <family val="2"/>
          </rPr>
          <t>Froio, Zach:</t>
        </r>
        <r>
          <rPr>
            <sz val="9"/>
            <color indexed="81"/>
            <rFont val="Tahoma"/>
            <family val="2"/>
          </rPr>
          <t xml:space="preserve">
Updated per IL TRM v8 Section 4.4</t>
        </r>
      </text>
    </comment>
    <comment ref="B61" authorId="0" shapeId="0" xr:uid="{86415650-498B-499C-8558-5D86CCA0D767}">
      <text>
        <r>
          <rPr>
            <b/>
            <sz val="9"/>
            <color indexed="81"/>
            <rFont val="Tahoma"/>
            <family val="2"/>
          </rPr>
          <t>Froio, Zach:</t>
        </r>
        <r>
          <rPr>
            <sz val="9"/>
            <color indexed="81"/>
            <rFont val="Tahoma"/>
            <family val="2"/>
          </rPr>
          <t xml:space="preserve">
Updated per IL TRM v8 Section 4.4</t>
        </r>
      </text>
    </comment>
    <comment ref="B62" authorId="0" shapeId="0" xr:uid="{BFB77906-A5DF-434E-8DDA-5D0E1C4C1DF8}">
      <text>
        <r>
          <rPr>
            <b/>
            <sz val="9"/>
            <color indexed="81"/>
            <rFont val="Tahoma"/>
            <family val="2"/>
          </rPr>
          <t>Froio, Zach:</t>
        </r>
        <r>
          <rPr>
            <sz val="9"/>
            <color indexed="81"/>
            <rFont val="Tahoma"/>
            <family val="2"/>
          </rPr>
          <t xml:space="preserve">
Updated per IL TRM v8 Section 4.4</t>
        </r>
      </text>
    </comment>
    <comment ref="B63" authorId="0" shapeId="0" xr:uid="{0EA405CB-C9AA-489D-97C1-339A1E4536DA}">
      <text>
        <r>
          <rPr>
            <b/>
            <sz val="9"/>
            <color indexed="81"/>
            <rFont val="Tahoma"/>
            <family val="2"/>
          </rPr>
          <t>Froio, Zach:</t>
        </r>
        <r>
          <rPr>
            <sz val="9"/>
            <color indexed="81"/>
            <rFont val="Tahoma"/>
            <family val="2"/>
          </rPr>
          <t xml:space="preserve">
Updated per IL TRM v8 Section 4.4</t>
        </r>
      </text>
    </comment>
    <comment ref="B64" authorId="0" shapeId="0" xr:uid="{254FCFE8-C2AB-4F0E-AAE0-600D01D9CB61}">
      <text>
        <r>
          <rPr>
            <b/>
            <sz val="9"/>
            <color indexed="81"/>
            <rFont val="Tahoma"/>
            <family val="2"/>
          </rPr>
          <t>Froio, Zach:</t>
        </r>
        <r>
          <rPr>
            <sz val="9"/>
            <color indexed="81"/>
            <rFont val="Tahoma"/>
            <family val="2"/>
          </rPr>
          <t xml:space="preserve">
Updated per IL TRM v8 Section 4.4</t>
        </r>
      </text>
    </comment>
    <comment ref="B65" authorId="0" shapeId="0" xr:uid="{D0D58A78-6214-4E4D-B25A-D5EAE5E3D8B1}">
      <text>
        <r>
          <rPr>
            <b/>
            <sz val="9"/>
            <color indexed="81"/>
            <rFont val="Tahoma"/>
            <family val="2"/>
          </rPr>
          <t>Froio, Zach:</t>
        </r>
        <r>
          <rPr>
            <sz val="9"/>
            <color indexed="81"/>
            <rFont val="Tahoma"/>
            <family val="2"/>
          </rPr>
          <t xml:space="preserve">
Updated per IL TRM v8 Section 4.4</t>
        </r>
      </text>
    </comment>
    <comment ref="B67" authorId="0" shapeId="0" xr:uid="{FF7F7855-2CBE-413A-AB31-F082BFD187B4}">
      <text>
        <r>
          <rPr>
            <b/>
            <sz val="9"/>
            <color indexed="81"/>
            <rFont val="Tahoma"/>
            <family val="2"/>
          </rPr>
          <t>Froio, Zach:</t>
        </r>
        <r>
          <rPr>
            <sz val="9"/>
            <color indexed="81"/>
            <rFont val="Tahoma"/>
            <family val="2"/>
          </rPr>
          <t xml:space="preserve">
Updated per IL TRM v8 Section 4.4</t>
        </r>
      </text>
    </comment>
    <comment ref="B68" authorId="0" shapeId="0" xr:uid="{DFFE467A-4FDE-49EB-9CCF-B0B96F7CEF1E}">
      <text>
        <r>
          <rPr>
            <b/>
            <sz val="9"/>
            <color indexed="81"/>
            <rFont val="Tahoma"/>
            <family val="2"/>
          </rPr>
          <t>Froio, Zach:</t>
        </r>
        <r>
          <rPr>
            <sz val="9"/>
            <color indexed="81"/>
            <rFont val="Tahoma"/>
            <family val="2"/>
          </rPr>
          <t xml:space="preserve">
Updated per IL TRM v8 Section 4.4</t>
        </r>
      </text>
    </comment>
    <comment ref="B69" authorId="0" shapeId="0" xr:uid="{5A18570A-2A59-4473-A157-C374A9FD2886}">
      <text>
        <r>
          <rPr>
            <b/>
            <sz val="9"/>
            <color indexed="81"/>
            <rFont val="Tahoma"/>
            <family val="2"/>
          </rPr>
          <t>Froio, Zach:</t>
        </r>
        <r>
          <rPr>
            <sz val="9"/>
            <color indexed="81"/>
            <rFont val="Tahoma"/>
            <family val="2"/>
          </rPr>
          <t xml:space="preserve">
Updated per IL TRM v8 Section 4.4</t>
        </r>
      </text>
    </comment>
    <comment ref="B70" authorId="0" shapeId="0" xr:uid="{A7C59B23-A1DB-434D-9561-E7832E2F3354}">
      <text>
        <r>
          <rPr>
            <b/>
            <sz val="9"/>
            <color indexed="81"/>
            <rFont val="Tahoma"/>
            <family val="2"/>
          </rPr>
          <t>Froio, Zach:</t>
        </r>
        <r>
          <rPr>
            <sz val="9"/>
            <color indexed="81"/>
            <rFont val="Tahoma"/>
            <family val="2"/>
          </rPr>
          <t xml:space="preserve">
Updated per IL TRM v8 Section 4.4</t>
        </r>
      </text>
    </comment>
    <comment ref="B71" authorId="0" shapeId="0" xr:uid="{461637BB-C01C-40FF-8D31-B45F5027EC72}">
      <text>
        <r>
          <rPr>
            <b/>
            <sz val="9"/>
            <color indexed="81"/>
            <rFont val="Tahoma"/>
            <family val="2"/>
          </rPr>
          <t>Froio, Zach:</t>
        </r>
        <r>
          <rPr>
            <sz val="9"/>
            <color indexed="81"/>
            <rFont val="Tahoma"/>
            <family val="2"/>
          </rPr>
          <t xml:space="preserve">
Updated per IL TRM v8 Section 4.4</t>
        </r>
      </text>
    </comment>
    <comment ref="B87" authorId="0" shapeId="0" xr:uid="{8D4C6341-EBC5-43E2-8BC1-056AA9FF97C4}">
      <text>
        <r>
          <rPr>
            <b/>
            <sz val="9"/>
            <color indexed="81"/>
            <rFont val="Tahoma"/>
            <family val="2"/>
          </rPr>
          <t>Froio, Zach:</t>
        </r>
        <r>
          <rPr>
            <sz val="9"/>
            <color indexed="81"/>
            <rFont val="Tahoma"/>
            <family val="2"/>
          </rPr>
          <t xml:space="preserve">
Updated per IL TRM v8 Section 4.4</t>
        </r>
      </text>
    </comment>
    <comment ref="B90" authorId="0" shapeId="0" xr:uid="{79AA01C7-8901-4366-A3E5-836C039FE16D}">
      <text>
        <r>
          <rPr>
            <b/>
            <sz val="9"/>
            <color indexed="81"/>
            <rFont val="Tahoma"/>
            <family val="2"/>
          </rPr>
          <t>Froio, Zach:</t>
        </r>
        <r>
          <rPr>
            <sz val="9"/>
            <color indexed="81"/>
            <rFont val="Tahoma"/>
            <family val="2"/>
          </rPr>
          <t xml:space="preserve">
Updated per IL TRM v8 Section 4.4</t>
        </r>
      </text>
    </comment>
    <comment ref="B115" authorId="0" shapeId="0" xr:uid="{A195C6A7-67A8-4AB5-BA8C-FD96F421F095}">
      <text>
        <r>
          <rPr>
            <b/>
            <sz val="9"/>
            <color indexed="81"/>
            <rFont val="Tahoma"/>
            <family val="2"/>
          </rPr>
          <t>Froio, Zach:</t>
        </r>
        <r>
          <rPr>
            <sz val="9"/>
            <color indexed="81"/>
            <rFont val="Tahoma"/>
            <family val="2"/>
          </rPr>
          <t xml:space="preserve">
Updated per IL TRM v8 Section 4.4</t>
        </r>
      </text>
    </comment>
    <comment ref="H135" authorId="0" shapeId="0" xr:uid="{4C5A561F-A7DD-4811-B202-9DA3B501B28C}">
      <text>
        <r>
          <rPr>
            <b/>
            <sz val="9"/>
            <color indexed="81"/>
            <rFont val="Tahoma"/>
            <family val="2"/>
          </rPr>
          <t>Froio, Zach:</t>
        </r>
        <r>
          <rPr>
            <sz val="9"/>
            <color indexed="81"/>
            <rFont val="Tahoma"/>
            <family val="2"/>
          </rPr>
          <t xml:space="preserve">
Updated per IL TRM v8 Section 4.4</t>
        </r>
      </text>
    </comment>
    <comment ref="B140" authorId="0" shapeId="0" xr:uid="{DB330E22-02E6-4AC3-AB4B-83EAC71901EF}">
      <text>
        <r>
          <rPr>
            <b/>
            <sz val="9"/>
            <color indexed="81"/>
            <rFont val="Tahoma"/>
            <family val="2"/>
          </rPr>
          <t>Froio, Zach:</t>
        </r>
        <r>
          <rPr>
            <sz val="9"/>
            <color indexed="81"/>
            <rFont val="Tahoma"/>
            <family val="2"/>
          </rPr>
          <t xml:space="preserve">
Updated per IL TRM v8 Section 4.4</t>
        </r>
      </text>
    </comment>
    <comment ref="B143" authorId="0" shapeId="0" xr:uid="{35739E77-67B5-403C-951F-843D375885AE}">
      <text>
        <r>
          <rPr>
            <b/>
            <sz val="9"/>
            <color indexed="81"/>
            <rFont val="Tahoma"/>
            <family val="2"/>
          </rPr>
          <t>Froio, Zach:</t>
        </r>
        <r>
          <rPr>
            <sz val="9"/>
            <color indexed="81"/>
            <rFont val="Tahoma"/>
            <family val="2"/>
          </rPr>
          <t xml:space="preserve">
Updated per IL TRM v8 Section 4.4</t>
        </r>
      </text>
    </comment>
    <comment ref="B145" authorId="0" shapeId="0" xr:uid="{3123CAA7-A099-4033-BA27-6F0444CEF43F}">
      <text>
        <r>
          <rPr>
            <b/>
            <sz val="9"/>
            <color indexed="81"/>
            <rFont val="Tahoma"/>
            <family val="2"/>
          </rPr>
          <t>Froio, Zach:</t>
        </r>
        <r>
          <rPr>
            <sz val="9"/>
            <color indexed="81"/>
            <rFont val="Tahoma"/>
            <family val="2"/>
          </rPr>
          <t xml:space="preserve">
Updated per IL TRM v8 Section 4.4</t>
        </r>
      </text>
    </comment>
    <comment ref="B146" authorId="0" shapeId="0" xr:uid="{E0C3C717-87DE-46DD-B65B-199B53EB6906}">
      <text>
        <r>
          <rPr>
            <b/>
            <sz val="9"/>
            <color indexed="81"/>
            <rFont val="Tahoma"/>
            <family val="2"/>
          </rPr>
          <t>Froio, Zach:</t>
        </r>
        <r>
          <rPr>
            <sz val="9"/>
            <color indexed="81"/>
            <rFont val="Tahoma"/>
            <family val="2"/>
          </rPr>
          <t xml:space="preserve">
Updated per IL TRM v8 Section 4.4</t>
        </r>
      </text>
    </comment>
    <comment ref="B147" authorId="0" shapeId="0" xr:uid="{EE6225B8-8B87-4749-A6A6-EE5B3AA84BEA}">
      <text>
        <r>
          <rPr>
            <b/>
            <sz val="9"/>
            <color indexed="81"/>
            <rFont val="Tahoma"/>
            <family val="2"/>
          </rPr>
          <t>Froio, Zach:</t>
        </r>
        <r>
          <rPr>
            <sz val="9"/>
            <color indexed="81"/>
            <rFont val="Tahoma"/>
            <family val="2"/>
          </rPr>
          <t xml:space="preserve">
Updated per IL TRM v8 Section 4.4</t>
        </r>
      </text>
    </comment>
    <comment ref="B148" authorId="0" shapeId="0" xr:uid="{FA1A73FC-75E7-4DA8-88AB-CE6D717E2112}">
      <text>
        <r>
          <rPr>
            <b/>
            <sz val="9"/>
            <color indexed="81"/>
            <rFont val="Tahoma"/>
            <family val="2"/>
          </rPr>
          <t>Froio, Zach:</t>
        </r>
        <r>
          <rPr>
            <sz val="9"/>
            <color indexed="81"/>
            <rFont val="Tahoma"/>
            <family val="2"/>
          </rPr>
          <t xml:space="preserve">
Updated per IL TRM v8 Section 4.4</t>
        </r>
      </text>
    </comment>
    <comment ref="B149" authorId="0" shapeId="0" xr:uid="{58C57046-F3BF-417C-9A7A-97A1F96911A8}">
      <text>
        <r>
          <rPr>
            <b/>
            <sz val="9"/>
            <color indexed="81"/>
            <rFont val="Tahoma"/>
            <family val="2"/>
          </rPr>
          <t>Froio, Zach:</t>
        </r>
        <r>
          <rPr>
            <sz val="9"/>
            <color indexed="81"/>
            <rFont val="Tahoma"/>
            <family val="2"/>
          </rPr>
          <t xml:space="preserve">
Updated per IL TRM v8 Section 4.4</t>
        </r>
      </text>
    </comment>
    <comment ref="B150" authorId="0" shapeId="0" xr:uid="{E413F1A7-1227-4416-8EC8-97208D7D7353}">
      <text>
        <r>
          <rPr>
            <b/>
            <sz val="9"/>
            <color indexed="81"/>
            <rFont val="Tahoma"/>
            <family val="2"/>
          </rPr>
          <t>Froio, Zach:</t>
        </r>
        <r>
          <rPr>
            <sz val="9"/>
            <color indexed="81"/>
            <rFont val="Tahoma"/>
            <family val="2"/>
          </rPr>
          <t xml:space="preserve">
Updated per IL TRM v8 Section 4.4</t>
        </r>
      </text>
    </comment>
    <comment ref="B151" authorId="0" shapeId="0" xr:uid="{46AFA72B-CB08-49B2-B666-C16CA45BE84C}">
      <text>
        <r>
          <rPr>
            <b/>
            <sz val="9"/>
            <color indexed="81"/>
            <rFont val="Tahoma"/>
            <family val="2"/>
          </rPr>
          <t>Froio, Zach:</t>
        </r>
        <r>
          <rPr>
            <sz val="9"/>
            <color indexed="81"/>
            <rFont val="Tahoma"/>
            <family val="2"/>
          </rPr>
          <t xml:space="preserve">
Updated per IL TRM v8 Section 4.4</t>
        </r>
      </text>
    </comment>
    <comment ref="B152" authorId="0" shapeId="0" xr:uid="{4D368294-844E-423D-A053-FFD36023DFE4}">
      <text>
        <r>
          <rPr>
            <b/>
            <sz val="9"/>
            <color indexed="81"/>
            <rFont val="Tahoma"/>
            <family val="2"/>
          </rPr>
          <t>Froio, Zach:</t>
        </r>
        <r>
          <rPr>
            <sz val="9"/>
            <color indexed="81"/>
            <rFont val="Tahoma"/>
            <family val="2"/>
          </rPr>
          <t xml:space="preserve">
Updated per IL TRM v8 Section 4.4</t>
        </r>
      </text>
    </comment>
    <comment ref="B153" authorId="0" shapeId="0" xr:uid="{DFF1E849-4E6B-4723-9C81-910007A2E61F}">
      <text>
        <r>
          <rPr>
            <b/>
            <sz val="9"/>
            <color indexed="81"/>
            <rFont val="Tahoma"/>
            <family val="2"/>
          </rPr>
          <t>Froio, Zach:</t>
        </r>
        <r>
          <rPr>
            <sz val="9"/>
            <color indexed="81"/>
            <rFont val="Tahoma"/>
            <family val="2"/>
          </rPr>
          <t xml:space="preserve">
Updated per IL TRM v8 Section 4.4</t>
        </r>
      </text>
    </comment>
    <comment ref="B154" authorId="0" shapeId="0" xr:uid="{3B4E135C-454E-42A6-95AA-0BA16F0A8F5F}">
      <text>
        <r>
          <rPr>
            <b/>
            <sz val="9"/>
            <color indexed="81"/>
            <rFont val="Tahoma"/>
            <family val="2"/>
          </rPr>
          <t>Froio, Zach:</t>
        </r>
        <r>
          <rPr>
            <sz val="9"/>
            <color indexed="81"/>
            <rFont val="Tahoma"/>
            <family val="2"/>
          </rPr>
          <t xml:space="preserve">
Updated per IL TRM v8 Section 4.4</t>
        </r>
      </text>
    </comment>
    <comment ref="B156" authorId="0" shapeId="0" xr:uid="{8FC4DC20-C70D-4AE3-8A3A-362CF85F23C6}">
      <text>
        <r>
          <rPr>
            <b/>
            <sz val="9"/>
            <color indexed="81"/>
            <rFont val="Tahoma"/>
            <family val="2"/>
          </rPr>
          <t>Froio, Zach:</t>
        </r>
        <r>
          <rPr>
            <sz val="9"/>
            <color indexed="81"/>
            <rFont val="Tahoma"/>
            <family val="2"/>
          </rPr>
          <t xml:space="preserve">
Updated per IL TRM v8 Section 4.4</t>
        </r>
      </text>
    </comment>
    <comment ref="B157" authorId="0" shapeId="0" xr:uid="{4CA98320-C6F9-4EFE-81EA-9AB30C7C924D}">
      <text>
        <r>
          <rPr>
            <b/>
            <sz val="9"/>
            <color indexed="81"/>
            <rFont val="Tahoma"/>
            <family val="2"/>
          </rPr>
          <t>Froio, Zach:</t>
        </r>
        <r>
          <rPr>
            <sz val="9"/>
            <color indexed="81"/>
            <rFont val="Tahoma"/>
            <family val="2"/>
          </rPr>
          <t xml:space="preserve">
Updated per IL TRM v8 Section 4.4</t>
        </r>
      </text>
    </comment>
    <comment ref="B158" authorId="0" shapeId="0" xr:uid="{490F565D-69B0-4C0F-A19B-392DCC55F6D5}">
      <text>
        <r>
          <rPr>
            <b/>
            <sz val="9"/>
            <color indexed="81"/>
            <rFont val="Tahoma"/>
            <family val="2"/>
          </rPr>
          <t>Froio, Zach:</t>
        </r>
        <r>
          <rPr>
            <sz val="9"/>
            <color indexed="81"/>
            <rFont val="Tahoma"/>
            <family val="2"/>
          </rPr>
          <t xml:space="preserve">
Updated per IL TRM v8 Section 4.4</t>
        </r>
      </text>
    </comment>
    <comment ref="B159" authorId="0" shapeId="0" xr:uid="{4F8641A0-8858-4F2F-B495-D7EF553E9280}">
      <text>
        <r>
          <rPr>
            <b/>
            <sz val="9"/>
            <color indexed="81"/>
            <rFont val="Tahoma"/>
            <family val="2"/>
          </rPr>
          <t>Froio, Zach:</t>
        </r>
        <r>
          <rPr>
            <sz val="9"/>
            <color indexed="81"/>
            <rFont val="Tahoma"/>
            <family val="2"/>
          </rPr>
          <t xml:space="preserve">
Updated per IL TRM v8 Section 4.4</t>
        </r>
      </text>
    </comment>
    <comment ref="B161" authorId="0" shapeId="0" xr:uid="{BAF44868-1884-47F2-BB36-CA3E2EF0296E}">
      <text>
        <r>
          <rPr>
            <b/>
            <sz val="9"/>
            <color indexed="81"/>
            <rFont val="Tahoma"/>
            <family val="2"/>
          </rPr>
          <t>Froio, Zach:</t>
        </r>
        <r>
          <rPr>
            <sz val="9"/>
            <color indexed="81"/>
            <rFont val="Tahoma"/>
            <family val="2"/>
          </rPr>
          <t xml:space="preserve">
Updated per IL TRM v8 Section 4.4</t>
        </r>
      </text>
    </comment>
    <comment ref="B162" authorId="0" shapeId="0" xr:uid="{495BBBDD-6A22-49B1-9A11-8455BCEAE07E}">
      <text>
        <r>
          <rPr>
            <b/>
            <sz val="9"/>
            <color indexed="81"/>
            <rFont val="Tahoma"/>
            <family val="2"/>
          </rPr>
          <t>Froio, Zach:</t>
        </r>
        <r>
          <rPr>
            <sz val="9"/>
            <color indexed="81"/>
            <rFont val="Tahoma"/>
            <family val="2"/>
          </rPr>
          <t xml:space="preserve">
Updated per IL TRM v8 Section 4.4</t>
        </r>
      </text>
    </comment>
    <comment ref="B163" authorId="0" shapeId="0" xr:uid="{833FAFB6-56AE-45B3-8FA4-B0786CAD535C}">
      <text>
        <r>
          <rPr>
            <b/>
            <sz val="9"/>
            <color indexed="81"/>
            <rFont val="Tahoma"/>
            <family val="2"/>
          </rPr>
          <t>Froio, Zach:</t>
        </r>
        <r>
          <rPr>
            <sz val="9"/>
            <color indexed="81"/>
            <rFont val="Tahoma"/>
            <family val="2"/>
          </rPr>
          <t xml:space="preserve">
Updated per IL TRM v8 Section 4.4</t>
        </r>
      </text>
    </comment>
    <comment ref="B164" authorId="0" shapeId="0" xr:uid="{3F594262-5983-4792-8ECC-7CCB48CB545C}">
      <text>
        <r>
          <rPr>
            <b/>
            <sz val="9"/>
            <color indexed="81"/>
            <rFont val="Tahoma"/>
            <family val="2"/>
          </rPr>
          <t>Froio, Zach:</t>
        </r>
        <r>
          <rPr>
            <sz val="9"/>
            <color indexed="81"/>
            <rFont val="Tahoma"/>
            <family val="2"/>
          </rPr>
          <t xml:space="preserve">
Updated per IL TRM v8 Section 4.4</t>
        </r>
      </text>
    </comment>
    <comment ref="B165" authorId="0" shapeId="0" xr:uid="{B0D9C7DE-B488-46F9-8B46-C7744E856FBA}">
      <text>
        <r>
          <rPr>
            <b/>
            <sz val="9"/>
            <color indexed="81"/>
            <rFont val="Tahoma"/>
            <family val="2"/>
          </rPr>
          <t>Froio, Zach:</t>
        </r>
        <r>
          <rPr>
            <sz val="9"/>
            <color indexed="81"/>
            <rFont val="Tahoma"/>
            <family val="2"/>
          </rPr>
          <t xml:space="preserve">
Updated per IL TRM v8 Section 4.4</t>
        </r>
      </text>
    </comment>
    <comment ref="B166" authorId="0" shapeId="0" xr:uid="{5CD45260-F77F-4C57-AB2F-154B3075E944}">
      <text>
        <r>
          <rPr>
            <b/>
            <sz val="9"/>
            <color indexed="81"/>
            <rFont val="Tahoma"/>
            <family val="2"/>
          </rPr>
          <t>Froio, Zach:</t>
        </r>
        <r>
          <rPr>
            <sz val="9"/>
            <color indexed="81"/>
            <rFont val="Tahoma"/>
            <family val="2"/>
          </rPr>
          <t xml:space="preserve">
Updated per IL TRM v8 Section 4.4</t>
        </r>
      </text>
    </comment>
    <comment ref="B169" authorId="0" shapeId="0" xr:uid="{776A142F-3898-4AB5-8639-D80E4FD0697F}">
      <text>
        <r>
          <rPr>
            <b/>
            <sz val="9"/>
            <color indexed="81"/>
            <rFont val="Tahoma"/>
            <family val="2"/>
          </rPr>
          <t>Froio, Zach:</t>
        </r>
        <r>
          <rPr>
            <sz val="9"/>
            <color indexed="81"/>
            <rFont val="Tahoma"/>
            <family val="2"/>
          </rPr>
          <t xml:space="preserve">
Updated per IL TRM v8 Section 4.4</t>
        </r>
      </text>
    </comment>
    <comment ref="B170" authorId="0" shapeId="0" xr:uid="{A39F11E3-0D2D-4171-B4CF-158FE90D5462}">
      <text>
        <r>
          <rPr>
            <b/>
            <sz val="9"/>
            <color indexed="81"/>
            <rFont val="Tahoma"/>
            <family val="2"/>
          </rPr>
          <t>Froio, Zach:</t>
        </r>
        <r>
          <rPr>
            <sz val="9"/>
            <color indexed="81"/>
            <rFont val="Tahoma"/>
            <family val="2"/>
          </rPr>
          <t xml:space="preserve">
Updated per IL TRM v8 Section 4.4</t>
        </r>
      </text>
    </comment>
    <comment ref="B171" authorId="0" shapeId="0" xr:uid="{CC45DC64-FBDD-4709-B730-60217256DC0B}">
      <text>
        <r>
          <rPr>
            <b/>
            <sz val="9"/>
            <color indexed="81"/>
            <rFont val="Tahoma"/>
            <family val="2"/>
          </rPr>
          <t>Froio, Zach:</t>
        </r>
        <r>
          <rPr>
            <sz val="9"/>
            <color indexed="81"/>
            <rFont val="Tahoma"/>
            <family val="2"/>
          </rPr>
          <t xml:space="preserve">
Updated per IL TRM v8 Section 4.4</t>
        </r>
      </text>
    </comment>
    <comment ref="B172" authorId="0" shapeId="0" xr:uid="{0F30B5C1-208A-4AFF-A214-000B24CDD323}">
      <text>
        <r>
          <rPr>
            <b/>
            <sz val="9"/>
            <color indexed="81"/>
            <rFont val="Tahoma"/>
            <family val="2"/>
          </rPr>
          <t>Froio, Zach:</t>
        </r>
        <r>
          <rPr>
            <sz val="9"/>
            <color indexed="81"/>
            <rFont val="Tahoma"/>
            <family val="2"/>
          </rPr>
          <t xml:space="preserve">
Updated per IL TRM v8 Section 4.4</t>
        </r>
      </text>
    </comment>
    <comment ref="B173" authorId="0" shapeId="0" xr:uid="{BB7CD26D-A0DD-406C-85F9-6B0839866CE6}">
      <text>
        <r>
          <rPr>
            <b/>
            <sz val="9"/>
            <color indexed="81"/>
            <rFont val="Tahoma"/>
            <family val="2"/>
          </rPr>
          <t>Froio, Zach:</t>
        </r>
        <r>
          <rPr>
            <sz val="9"/>
            <color indexed="81"/>
            <rFont val="Tahoma"/>
            <family val="2"/>
          </rPr>
          <t xml:space="preserve">
Updated per IL TRM v8 Section 4.4</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7B28BFE6-C35F-4272-B744-5B101DC6F16E}">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4227A748-283C-40A4-92D3-19B2922A2319}">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2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2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65899D2E-D660-43D4-ACE1-3C1CF3DCFC38}">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1541D65-D7B7-4048-A7B3-0C8A3D4FA74F}">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4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4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D8AB4F3E-D623-47EE-8D06-FE03E57E5D41}">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D4ED2DD-D6AB-4AAF-A8C1-2461F412A53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5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5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4C858110-4976-473B-BA81-F25B3730E53A}">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F2125773-1640-4414-ADAD-04ED4C6A854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6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6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CS2" authorId="0" shapeId="0" xr:uid="{FE6E273F-1906-45D2-99E1-D0117011079A}">
      <text>
        <r>
          <rPr>
            <b/>
            <sz val="9"/>
            <color indexed="81"/>
            <rFont val="Tahoma"/>
            <family val="2"/>
          </rPr>
          <t>Froio, Zach:</t>
        </r>
        <r>
          <rPr>
            <sz val="9"/>
            <color indexed="81"/>
            <rFont val="Tahoma"/>
            <family val="2"/>
          </rPr>
          <t xml:space="preserve">
Updated per IL TRM v7 p. 421, 480</t>
        </r>
      </text>
    </comment>
    <comment ref="CT2" authorId="0" shapeId="0" xr:uid="{C164C6E0-FB6F-4EB3-A639-37348FDEF32C}">
      <text>
        <r>
          <rPr>
            <b/>
            <sz val="9"/>
            <color indexed="81"/>
            <rFont val="Tahoma"/>
            <family val="2"/>
          </rPr>
          <t>Froio, Zach:</t>
        </r>
        <r>
          <rPr>
            <sz val="9"/>
            <color indexed="81"/>
            <rFont val="Tahoma"/>
            <family val="2"/>
          </rPr>
          <t xml:space="preserve">
Updated per IL TRM v7 p. 421, 480</t>
        </r>
      </text>
    </comment>
    <comment ref="C28" authorId="0" shapeId="0" xr:uid="{C3EEC7E2-4CD6-48DA-B985-9CE6B0E45BF9}">
      <text>
        <r>
          <rPr>
            <b/>
            <sz val="9"/>
            <color indexed="81"/>
            <rFont val="Tahoma"/>
            <family val="2"/>
          </rPr>
          <t>Froio, Zach:</t>
        </r>
        <r>
          <rPr>
            <sz val="9"/>
            <color indexed="81"/>
            <rFont val="Tahoma"/>
            <family val="2"/>
          </rPr>
          <t xml:space="preserve">
Updated per IL TRM v7 p. 440</t>
        </r>
      </text>
    </comment>
    <comment ref="C29" authorId="0" shapeId="0" xr:uid="{E41716F3-4750-4887-8F03-50570DB1B0BE}">
      <text>
        <r>
          <rPr>
            <b/>
            <sz val="9"/>
            <color indexed="81"/>
            <rFont val="Tahoma"/>
            <family val="2"/>
          </rPr>
          <t>Froio, Zach:</t>
        </r>
        <r>
          <rPr>
            <sz val="9"/>
            <color indexed="81"/>
            <rFont val="Tahoma"/>
            <family val="2"/>
          </rPr>
          <t xml:space="preserve">
Updated per IL TRM v7 p. 440</t>
        </r>
      </text>
    </comment>
    <comment ref="C36" authorId="0" shapeId="0" xr:uid="{35880910-5444-4C9F-A896-6D02404EF810}">
      <text>
        <r>
          <rPr>
            <b/>
            <sz val="9"/>
            <color indexed="81"/>
            <rFont val="Tahoma"/>
            <family val="2"/>
          </rPr>
          <t>Froio, Zach:</t>
        </r>
        <r>
          <rPr>
            <sz val="9"/>
            <color indexed="81"/>
            <rFont val="Tahoma"/>
            <family val="2"/>
          </rPr>
          <t xml:space="preserve">
Updated per IL TRM v7 p. 153</t>
        </r>
      </text>
    </comment>
    <comment ref="C38" authorId="0" shapeId="0" xr:uid="{3D88A86D-F318-4187-BAA0-584ACCE16CBB}">
      <text>
        <r>
          <rPr>
            <b/>
            <sz val="9"/>
            <color indexed="81"/>
            <rFont val="Tahoma"/>
            <family val="2"/>
          </rPr>
          <t>Froio, Zach:</t>
        </r>
        <r>
          <rPr>
            <sz val="9"/>
            <color indexed="81"/>
            <rFont val="Tahoma"/>
            <family val="2"/>
          </rPr>
          <t xml:space="preserve">
Updated per IL TRM v7 p. 153</t>
        </r>
      </text>
    </comment>
    <comment ref="C39" authorId="0" shapeId="0" xr:uid="{67928AD8-EC29-4665-B872-7A9F4FC47885}">
      <text>
        <r>
          <rPr>
            <b/>
            <sz val="9"/>
            <color indexed="81"/>
            <rFont val="Tahoma"/>
            <family val="2"/>
          </rPr>
          <t>Froio, Zach:</t>
        </r>
        <r>
          <rPr>
            <sz val="9"/>
            <color indexed="81"/>
            <rFont val="Tahoma"/>
            <family val="2"/>
          </rPr>
          <t xml:space="preserve">
Update per IL TRM v7 p 192</t>
        </r>
      </text>
    </comment>
    <comment ref="C43" authorId="0" shapeId="0" xr:uid="{339B495B-5B99-4FEC-B612-2CAFA82AD20B}">
      <text>
        <r>
          <rPr>
            <b/>
            <sz val="9"/>
            <color indexed="81"/>
            <rFont val="Tahoma"/>
            <family val="2"/>
          </rPr>
          <t>Froio, Zach:</t>
        </r>
        <r>
          <rPr>
            <sz val="9"/>
            <color indexed="81"/>
            <rFont val="Tahoma"/>
            <family val="2"/>
          </rPr>
          <t xml:space="preserve">
Update per IL TRM v7 p 192</t>
        </r>
      </text>
    </comment>
    <comment ref="C52" authorId="0" shapeId="0" xr:uid="{C0F0B48E-B257-49E2-9F14-20A381780EC9}">
      <text>
        <r>
          <rPr>
            <b/>
            <sz val="9"/>
            <color indexed="81"/>
            <rFont val="Tahoma"/>
            <family val="2"/>
          </rPr>
          <t>Froio, Zach:</t>
        </r>
        <r>
          <rPr>
            <sz val="9"/>
            <color indexed="81"/>
            <rFont val="Tahoma"/>
            <family val="2"/>
          </rPr>
          <t xml:space="preserve">
Updated per IL TRM v7 p. 512</t>
        </r>
      </text>
    </comment>
    <comment ref="C53" authorId="0" shapeId="0" xr:uid="{DC21E108-21F3-4678-A45B-9CF05D602085}">
      <text>
        <r>
          <rPr>
            <b/>
            <sz val="9"/>
            <color indexed="81"/>
            <rFont val="Tahoma"/>
            <family val="2"/>
          </rPr>
          <t>Froio, Zach:</t>
        </r>
        <r>
          <rPr>
            <sz val="9"/>
            <color indexed="81"/>
            <rFont val="Tahoma"/>
            <family val="2"/>
          </rPr>
          <t xml:space="preserve">
Updated per IL TRM v7 p. 512</t>
        </r>
      </text>
    </comment>
    <comment ref="C54" authorId="0" shapeId="0" xr:uid="{61CFF008-EA23-49E9-98C1-45FF96D7DF2C}">
      <text>
        <r>
          <rPr>
            <b/>
            <sz val="9"/>
            <color indexed="81"/>
            <rFont val="Tahoma"/>
            <family val="2"/>
          </rPr>
          <t>Froio, Zach:</t>
        </r>
        <r>
          <rPr>
            <sz val="9"/>
            <color indexed="81"/>
            <rFont val="Tahoma"/>
            <family val="2"/>
          </rPr>
          <t xml:space="preserve">
Updated per IL TRM v7 p. 515</t>
        </r>
      </text>
    </comment>
    <comment ref="C92" authorId="0" shapeId="0" xr:uid="{B28D52E9-2487-4127-A155-3EA40861161F}">
      <text>
        <r>
          <rPr>
            <b/>
            <sz val="9"/>
            <color indexed="81"/>
            <rFont val="Tahoma"/>
            <family val="2"/>
          </rPr>
          <t>Froio, Zach:</t>
        </r>
        <r>
          <rPr>
            <sz val="9"/>
            <color indexed="81"/>
            <rFont val="Tahoma"/>
            <family val="2"/>
          </rPr>
          <t xml:space="preserve">
Updated per IL TRM v7 p. 542</t>
        </r>
      </text>
    </comment>
    <comment ref="C106" authorId="0" shapeId="0" xr:uid="{A0BEBB65-FC0D-4C46-8FA0-E229BF1A6A5C}">
      <text>
        <r>
          <rPr>
            <b/>
            <sz val="9"/>
            <color indexed="81"/>
            <rFont val="Tahoma"/>
            <family val="2"/>
          </rPr>
          <t>Froio, Zach:</t>
        </r>
        <r>
          <rPr>
            <sz val="9"/>
            <color indexed="81"/>
            <rFont val="Tahoma"/>
            <family val="2"/>
          </rPr>
          <t xml:space="preserve">
Updated per IL TRM v7 p. 542</t>
        </r>
      </text>
    </comment>
    <comment ref="C126" authorId="0" shapeId="0" xr:uid="{D47A01A8-7425-484E-B4B4-1C4F07FDB8E8}">
      <text>
        <r>
          <rPr>
            <b/>
            <sz val="9"/>
            <color indexed="81"/>
            <rFont val="Tahoma"/>
            <family val="2"/>
          </rPr>
          <t>Froio, Zach:</t>
        </r>
        <r>
          <rPr>
            <sz val="9"/>
            <color indexed="81"/>
            <rFont val="Tahoma"/>
            <family val="2"/>
          </rPr>
          <t xml:space="preserve">
Updated per IL TRM v7 p. 556</t>
        </r>
      </text>
    </comment>
    <comment ref="C127" authorId="0" shapeId="0" xr:uid="{CFD31970-DC3C-46A6-AF5D-F677C0F0A402}">
      <text>
        <r>
          <rPr>
            <b/>
            <sz val="9"/>
            <color indexed="81"/>
            <rFont val="Tahoma"/>
            <family val="2"/>
          </rPr>
          <t>Froio, Zach:</t>
        </r>
        <r>
          <rPr>
            <sz val="9"/>
            <color indexed="81"/>
            <rFont val="Tahoma"/>
            <family val="2"/>
          </rPr>
          <t xml:space="preserve">
Updated per IL TRM v7 p. 231</t>
        </r>
      </text>
    </comment>
    <comment ref="C162" authorId="0" shapeId="0" xr:uid="{954379F5-21F5-4C4D-B9F0-A884039F2F91}">
      <text>
        <r>
          <rPr>
            <b/>
            <sz val="9"/>
            <color indexed="81"/>
            <rFont val="Tahoma"/>
            <family val="2"/>
          </rPr>
          <t>Froio, Zach:</t>
        </r>
        <r>
          <rPr>
            <sz val="9"/>
            <color indexed="81"/>
            <rFont val="Tahoma"/>
            <family val="2"/>
          </rPr>
          <t xml:space="preserve">
Updated per IL TRM v7 p. 553</t>
        </r>
      </text>
    </comment>
    <comment ref="A216" authorId="1" shapeId="0" xr:uid="{00000000-0006-0000-6000-000001000000}">
      <text>
        <r>
          <rPr>
            <b/>
            <sz val="9"/>
            <color indexed="81"/>
            <rFont val="Tahoma"/>
            <family val="2"/>
          </rPr>
          <t>Vaughn, Andrew C:</t>
        </r>
        <r>
          <rPr>
            <sz val="9"/>
            <color indexed="81"/>
            <rFont val="Tahoma"/>
            <family val="2"/>
          </rPr>
          <t xml:space="preserve">
Have not updated based on data - just using for total savings</t>
        </r>
      </text>
    </comment>
    <comment ref="C271" authorId="0" shapeId="0" xr:uid="{767AA783-9948-493C-AAD4-2F787D96BE2A}">
      <text>
        <r>
          <rPr>
            <b/>
            <sz val="9"/>
            <color indexed="81"/>
            <rFont val="Tahoma"/>
            <family val="2"/>
          </rPr>
          <t>Froio, Zach:</t>
        </r>
        <r>
          <rPr>
            <sz val="9"/>
            <color indexed="81"/>
            <rFont val="Tahoma"/>
            <family val="2"/>
          </rPr>
          <t xml:space="preserve">
Updated per IL TRM v7 p. 440</t>
        </r>
      </text>
    </comment>
    <comment ref="C272" authorId="0" shapeId="0" xr:uid="{503AF782-DC22-4F8A-8B46-67EF03DB4CA0}">
      <text>
        <r>
          <rPr>
            <b/>
            <sz val="9"/>
            <color indexed="81"/>
            <rFont val="Tahoma"/>
            <family val="2"/>
          </rPr>
          <t>Froio, Zach:</t>
        </r>
        <r>
          <rPr>
            <sz val="9"/>
            <color indexed="81"/>
            <rFont val="Tahoma"/>
            <family val="2"/>
          </rPr>
          <t xml:space="preserve">
Updated per IL TRM v7 p. 440</t>
        </r>
      </text>
    </comment>
    <comment ref="C282" authorId="0" shapeId="0" xr:uid="{480B91A1-8504-4F70-989A-84CD13D483A9}">
      <text>
        <r>
          <rPr>
            <b/>
            <sz val="9"/>
            <color indexed="81"/>
            <rFont val="Tahoma"/>
            <family val="2"/>
          </rPr>
          <t>Froio, Zach:</t>
        </r>
        <r>
          <rPr>
            <sz val="9"/>
            <color indexed="81"/>
            <rFont val="Tahoma"/>
            <family val="2"/>
          </rPr>
          <t xml:space="preserve">
Updated per IL TRM v7 p. 231</t>
        </r>
      </text>
    </comment>
    <comment ref="A452" authorId="1" shapeId="0" xr:uid="{00000000-0006-0000-6000-000002000000}">
      <text>
        <r>
          <rPr>
            <b/>
            <sz val="9"/>
            <color indexed="81"/>
            <rFont val="Tahoma"/>
            <family val="2"/>
          </rPr>
          <t>Vaughn, Andrew C:</t>
        </r>
        <r>
          <rPr>
            <sz val="9"/>
            <color indexed="81"/>
            <rFont val="Tahoma"/>
            <family val="2"/>
          </rPr>
          <t xml:space="preserve">
Have not updated based on data - just using for rough-in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F26" authorId="0" shapeId="0" xr:uid="{55CBFD8E-56FF-41B2-BAD1-96FC962EF38E}">
      <text>
        <r>
          <rPr>
            <b/>
            <sz val="9"/>
            <color indexed="81"/>
            <rFont val="Tahoma"/>
            <family val="2"/>
          </rPr>
          <t>Froio, Zach:</t>
        </r>
        <r>
          <rPr>
            <sz val="9"/>
            <color indexed="81"/>
            <rFont val="Tahoma"/>
            <family val="2"/>
          </rPr>
          <t xml:space="preserve">
Updated per IL TRM v7 p. 440</t>
        </r>
      </text>
    </comment>
    <comment ref="AF27" authorId="0" shapeId="0" xr:uid="{4645798C-F528-41B8-8401-82F2344F04C9}">
      <text>
        <r>
          <rPr>
            <b/>
            <sz val="9"/>
            <color indexed="81"/>
            <rFont val="Tahoma"/>
            <family val="2"/>
          </rPr>
          <t>Froio, Zach:</t>
        </r>
        <r>
          <rPr>
            <sz val="9"/>
            <color indexed="81"/>
            <rFont val="Tahoma"/>
            <family val="2"/>
          </rPr>
          <t xml:space="preserve">
Updated per IL TRM v7 p. 440</t>
        </r>
      </text>
    </comment>
    <comment ref="AF34" authorId="0" shapeId="0" xr:uid="{E177BCAF-4E71-470C-B9FC-96D72A1E6507}">
      <text>
        <r>
          <rPr>
            <b/>
            <sz val="9"/>
            <color indexed="81"/>
            <rFont val="Tahoma"/>
            <family val="2"/>
          </rPr>
          <t>Froio, Zach:</t>
        </r>
        <r>
          <rPr>
            <sz val="9"/>
            <color indexed="81"/>
            <rFont val="Tahoma"/>
            <family val="2"/>
          </rPr>
          <t xml:space="preserve">
Updated per IL TRM v7 p. 153</t>
        </r>
      </text>
    </comment>
    <comment ref="AF36" authorId="0" shapeId="0" xr:uid="{8D653744-5B8D-48EB-B61E-54F11DAFF1E1}">
      <text>
        <r>
          <rPr>
            <b/>
            <sz val="9"/>
            <color indexed="81"/>
            <rFont val="Tahoma"/>
            <family val="2"/>
          </rPr>
          <t>Froio, Zach:</t>
        </r>
        <r>
          <rPr>
            <sz val="9"/>
            <color indexed="81"/>
            <rFont val="Tahoma"/>
            <family val="2"/>
          </rPr>
          <t xml:space="preserve">
Updated per IL TRM v7 p. 153</t>
        </r>
      </text>
    </comment>
    <comment ref="AF37" authorId="0" shapeId="0" xr:uid="{991CB52D-8925-431E-BD3D-AFCB3DB5EB92}">
      <text>
        <r>
          <rPr>
            <b/>
            <sz val="9"/>
            <color indexed="81"/>
            <rFont val="Tahoma"/>
            <family val="2"/>
          </rPr>
          <t>Froio, Zach:</t>
        </r>
        <r>
          <rPr>
            <sz val="9"/>
            <color indexed="81"/>
            <rFont val="Tahoma"/>
            <family val="2"/>
          </rPr>
          <t xml:space="preserve">
Update per IL TRM v7 p 192</t>
        </r>
      </text>
    </comment>
    <comment ref="AF41" authorId="0" shapeId="0" xr:uid="{854C53C3-DB76-4F96-A95A-F66F837EF281}">
      <text>
        <r>
          <rPr>
            <b/>
            <sz val="9"/>
            <color indexed="81"/>
            <rFont val="Tahoma"/>
            <family val="2"/>
          </rPr>
          <t>Froio, Zach:</t>
        </r>
        <r>
          <rPr>
            <sz val="9"/>
            <color indexed="81"/>
            <rFont val="Tahoma"/>
            <family val="2"/>
          </rPr>
          <t xml:space="preserve">
Update per IL TRM v7 p 192</t>
        </r>
      </text>
    </comment>
    <comment ref="AF50" authorId="0" shapeId="0" xr:uid="{AC65BF3E-628E-4237-95B8-672CC2C21920}">
      <text>
        <r>
          <rPr>
            <b/>
            <sz val="9"/>
            <color indexed="81"/>
            <rFont val="Tahoma"/>
            <family val="2"/>
          </rPr>
          <t>Froio, Zach:</t>
        </r>
        <r>
          <rPr>
            <sz val="9"/>
            <color indexed="81"/>
            <rFont val="Tahoma"/>
            <family val="2"/>
          </rPr>
          <t xml:space="preserve">
Updated per IL TRM v7 p. 512</t>
        </r>
      </text>
    </comment>
    <comment ref="AF51" authorId="0" shapeId="0" xr:uid="{A7990103-08C6-4F16-8129-D98135056C27}">
      <text>
        <r>
          <rPr>
            <b/>
            <sz val="9"/>
            <color indexed="81"/>
            <rFont val="Tahoma"/>
            <family val="2"/>
          </rPr>
          <t>Froio, Zach:</t>
        </r>
        <r>
          <rPr>
            <sz val="9"/>
            <color indexed="81"/>
            <rFont val="Tahoma"/>
            <family val="2"/>
          </rPr>
          <t xml:space="preserve">
Updated per IL TRM v7 p. 512</t>
        </r>
      </text>
    </comment>
    <comment ref="AF52" authorId="0" shapeId="0" xr:uid="{2E19D785-BB0B-4A73-A010-5F267A82FAEB}">
      <text>
        <r>
          <rPr>
            <b/>
            <sz val="9"/>
            <color indexed="81"/>
            <rFont val="Tahoma"/>
            <family val="2"/>
          </rPr>
          <t>Froio, Zach:</t>
        </r>
        <r>
          <rPr>
            <sz val="9"/>
            <color indexed="81"/>
            <rFont val="Tahoma"/>
            <family val="2"/>
          </rPr>
          <t xml:space="preserve">
Updated per IL TRM v7 p. 515</t>
        </r>
      </text>
    </comment>
    <comment ref="AF90" authorId="0" shapeId="0" xr:uid="{6EC5E47D-6621-4365-94D4-06F19526AA02}">
      <text>
        <r>
          <rPr>
            <b/>
            <sz val="9"/>
            <color indexed="81"/>
            <rFont val="Tahoma"/>
            <family val="2"/>
          </rPr>
          <t>Froio, Zach:</t>
        </r>
        <r>
          <rPr>
            <sz val="9"/>
            <color indexed="81"/>
            <rFont val="Tahoma"/>
            <family val="2"/>
          </rPr>
          <t xml:space="preserve">
Updated per IL TRM v7 p. 542</t>
        </r>
      </text>
    </comment>
    <comment ref="AF104" authorId="0" shapeId="0" xr:uid="{6FE86022-FD96-4E0C-B29C-E68799374272}">
      <text>
        <r>
          <rPr>
            <b/>
            <sz val="9"/>
            <color indexed="81"/>
            <rFont val="Tahoma"/>
            <family val="2"/>
          </rPr>
          <t>Froio, Zach:</t>
        </r>
        <r>
          <rPr>
            <sz val="9"/>
            <color indexed="81"/>
            <rFont val="Tahoma"/>
            <family val="2"/>
          </rPr>
          <t xml:space="preserve">
Updated per IL TRM v7 p. 542</t>
        </r>
      </text>
    </comment>
    <comment ref="AF124" authorId="0" shapeId="0" xr:uid="{698BF909-D56D-4688-ADA2-1D0D8B930285}">
      <text>
        <r>
          <rPr>
            <b/>
            <sz val="9"/>
            <color indexed="81"/>
            <rFont val="Tahoma"/>
            <family val="2"/>
          </rPr>
          <t>Froio, Zach:</t>
        </r>
        <r>
          <rPr>
            <sz val="9"/>
            <color indexed="81"/>
            <rFont val="Tahoma"/>
            <family val="2"/>
          </rPr>
          <t xml:space="preserve">
Updated per IL TRM v7 p. 556</t>
        </r>
      </text>
    </comment>
    <comment ref="AF125" authorId="0" shapeId="0" xr:uid="{406B6BAE-B906-44A6-80AA-087ABE802B3E}">
      <text>
        <r>
          <rPr>
            <b/>
            <sz val="9"/>
            <color indexed="81"/>
            <rFont val="Tahoma"/>
            <family val="2"/>
          </rPr>
          <t>Froio, Zach:</t>
        </r>
        <r>
          <rPr>
            <sz val="9"/>
            <color indexed="81"/>
            <rFont val="Tahoma"/>
            <family val="2"/>
          </rPr>
          <t xml:space="preserve">
Updated per IL TRM v7 p. 231</t>
        </r>
      </text>
    </comment>
    <comment ref="AF160" authorId="0" shapeId="0" xr:uid="{A2974C48-E0B7-4261-9CBA-DC08E37C3F9B}">
      <text>
        <r>
          <rPr>
            <b/>
            <sz val="9"/>
            <color indexed="81"/>
            <rFont val="Tahoma"/>
            <family val="2"/>
          </rPr>
          <t>Froio, Zach:</t>
        </r>
        <r>
          <rPr>
            <sz val="9"/>
            <color indexed="81"/>
            <rFont val="Tahoma"/>
            <family val="2"/>
          </rPr>
          <t xml:space="preserve">
Updated per IL TRM v7 p. 553</t>
        </r>
      </text>
    </comment>
    <comment ref="AF352" authorId="0" shapeId="0" xr:uid="{C3C022C1-67C7-4C4C-9F06-242814CE4EB8}">
      <text>
        <r>
          <rPr>
            <b/>
            <sz val="9"/>
            <color indexed="81"/>
            <rFont val="Tahoma"/>
            <family val="2"/>
          </rPr>
          <t>Froio, Zach:</t>
        </r>
        <r>
          <rPr>
            <sz val="9"/>
            <color indexed="81"/>
            <rFont val="Tahoma"/>
            <family val="2"/>
          </rPr>
          <t xml:space="preserve">
Updated per IL TRM v7 p. 440</t>
        </r>
      </text>
    </comment>
    <comment ref="AF353" authorId="0" shapeId="0" xr:uid="{132E8857-6256-484D-A901-D2F9D614839F}">
      <text>
        <r>
          <rPr>
            <b/>
            <sz val="9"/>
            <color indexed="81"/>
            <rFont val="Tahoma"/>
            <family val="2"/>
          </rPr>
          <t>Froio, Zach:</t>
        </r>
        <r>
          <rPr>
            <sz val="9"/>
            <color indexed="81"/>
            <rFont val="Tahoma"/>
            <family val="2"/>
          </rPr>
          <t xml:space="preserve">
Updated per IL TRM v7 p. 440</t>
        </r>
      </text>
    </comment>
    <comment ref="AF363" authorId="0" shapeId="0" xr:uid="{3F367AF2-1D55-40A5-88B1-1CE9C4A5FB70}">
      <text>
        <r>
          <rPr>
            <b/>
            <sz val="9"/>
            <color indexed="81"/>
            <rFont val="Tahoma"/>
            <family val="2"/>
          </rPr>
          <t>Froio, Zach:</t>
        </r>
        <r>
          <rPr>
            <sz val="9"/>
            <color indexed="81"/>
            <rFont val="Tahoma"/>
            <family val="2"/>
          </rPr>
          <t xml:space="preserve">
Updated per IL TRM v7 p. 231</t>
        </r>
      </text>
    </comment>
    <comment ref="AF421" authorId="0" shapeId="0" xr:uid="{67EE7DDE-C0E2-49CC-A11B-9A9642058A90}">
      <text>
        <r>
          <rPr>
            <b/>
            <sz val="9"/>
            <color indexed="81"/>
            <rFont val="Tahoma"/>
            <family val="2"/>
          </rPr>
          <t>Froio, Zach:</t>
        </r>
        <r>
          <rPr>
            <sz val="9"/>
            <color indexed="81"/>
            <rFont val="Tahoma"/>
            <family val="2"/>
          </rPr>
          <t xml:space="preserve">
Updated per IL TRM v7 p. 440</t>
        </r>
      </text>
    </comment>
    <comment ref="AF422" authorId="0" shapeId="0" xr:uid="{B050CBAD-740D-43D7-8150-D08EB2C841A9}">
      <text>
        <r>
          <rPr>
            <b/>
            <sz val="9"/>
            <color indexed="81"/>
            <rFont val="Tahoma"/>
            <family val="2"/>
          </rPr>
          <t>Froio, Zach:</t>
        </r>
        <r>
          <rPr>
            <sz val="9"/>
            <color indexed="81"/>
            <rFont val="Tahoma"/>
            <family val="2"/>
          </rPr>
          <t xml:space="preserve">
Updated per IL TRM v7 p. 440</t>
        </r>
      </text>
    </comment>
    <comment ref="AF429" authorId="0" shapeId="0" xr:uid="{9DE2B07B-3ED8-4F66-ACC0-A5C59526DD63}">
      <text>
        <r>
          <rPr>
            <b/>
            <sz val="9"/>
            <color indexed="81"/>
            <rFont val="Tahoma"/>
            <family val="2"/>
          </rPr>
          <t>Froio, Zach:</t>
        </r>
        <r>
          <rPr>
            <sz val="9"/>
            <color indexed="81"/>
            <rFont val="Tahoma"/>
            <family val="2"/>
          </rPr>
          <t xml:space="preserve">
Updated per IL TRM v7 p. 153</t>
        </r>
      </text>
    </comment>
    <comment ref="AF431" authorId="0" shapeId="0" xr:uid="{5585AD03-1D94-444D-B9E6-F3B8C86C1765}">
      <text>
        <r>
          <rPr>
            <b/>
            <sz val="9"/>
            <color indexed="81"/>
            <rFont val="Tahoma"/>
            <family val="2"/>
          </rPr>
          <t>Froio, Zach:</t>
        </r>
        <r>
          <rPr>
            <sz val="9"/>
            <color indexed="81"/>
            <rFont val="Tahoma"/>
            <family val="2"/>
          </rPr>
          <t xml:space="preserve">
Updated per IL TRM v7 p. 153</t>
        </r>
      </text>
    </comment>
    <comment ref="AF437" authorId="0" shapeId="0" xr:uid="{29E29EC6-EB3D-467D-8269-0C4635B94874}">
      <text>
        <r>
          <rPr>
            <b/>
            <sz val="9"/>
            <color indexed="81"/>
            <rFont val="Tahoma"/>
            <family val="2"/>
          </rPr>
          <t>Froio, Zach:</t>
        </r>
        <r>
          <rPr>
            <sz val="9"/>
            <color indexed="81"/>
            <rFont val="Tahoma"/>
            <family val="2"/>
          </rPr>
          <t xml:space="preserve">
Updated per IL TRM v7 p. 515</t>
        </r>
      </text>
    </comment>
    <comment ref="AF470" authorId="0" shapeId="0" xr:uid="{52CAE700-F1FD-455D-9EC2-9279B772E841}">
      <text>
        <r>
          <rPr>
            <b/>
            <sz val="9"/>
            <color indexed="81"/>
            <rFont val="Tahoma"/>
            <family val="2"/>
          </rPr>
          <t>Froio, Zach:</t>
        </r>
        <r>
          <rPr>
            <sz val="9"/>
            <color indexed="81"/>
            <rFont val="Tahoma"/>
            <family val="2"/>
          </rPr>
          <t xml:space="preserve">
Updated per IL TRM v7 p. 231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Hannah Arnold</author>
    <author>Zachary Ross</author>
  </authors>
  <commentList>
    <comment ref="F30" authorId="0" shapeId="0" xr:uid="{00000000-0006-0000-0800-000001000000}">
      <text>
        <r>
          <rPr>
            <b/>
            <sz val="9"/>
            <color indexed="81"/>
            <rFont val="Tahoma"/>
            <family val="2"/>
          </rPr>
          <t>Hannah Arnold:</t>
        </r>
        <r>
          <rPr>
            <sz val="9"/>
            <color indexed="81"/>
            <rFont val="Tahoma"/>
            <family val="2"/>
          </rPr>
          <t xml:space="preserve">
46% FR, 2% Induced Replacement</t>
        </r>
      </text>
    </comment>
    <comment ref="F31" authorId="0" shapeId="0" xr:uid="{00000000-0006-0000-0800-000002000000}">
      <text>
        <r>
          <rPr>
            <b/>
            <sz val="9"/>
            <color indexed="81"/>
            <rFont val="Tahoma"/>
            <family val="2"/>
          </rPr>
          <t>Hannah Arnold:</t>
        </r>
        <r>
          <rPr>
            <sz val="9"/>
            <color indexed="81"/>
            <rFont val="Tahoma"/>
            <family val="2"/>
          </rPr>
          <t xml:space="preserve">
36% FR, 2% Induced Replacement</t>
        </r>
      </text>
    </comment>
    <comment ref="D38" authorId="1" shapeId="0" xr:uid="{00000000-0006-0000-0800-000003000000}">
      <text>
        <r>
          <rPr>
            <b/>
            <sz val="9"/>
            <color indexed="81"/>
            <rFont val="Tahoma"/>
            <family val="2"/>
          </rPr>
          <t>Zachary Ross:</t>
        </r>
        <r>
          <rPr>
            <sz val="9"/>
            <color indexed="81"/>
            <rFont val="Tahoma"/>
            <family val="2"/>
          </rPr>
          <t xml:space="preserve">
Includes:
Smart strip
Furnace filter alarm</t>
        </r>
      </text>
    </comment>
    <comment ref="D65" authorId="1" shapeId="0" xr:uid="{00000000-0006-0000-0800-000004000000}">
      <text>
        <r>
          <rPr>
            <b/>
            <sz val="9"/>
            <color indexed="81"/>
            <rFont val="Tahoma"/>
            <family val="2"/>
          </rPr>
          <t>Zachary Ross:</t>
        </r>
        <r>
          <rPr>
            <sz val="9"/>
            <color indexed="81"/>
            <rFont val="Tahoma"/>
            <family val="2"/>
          </rPr>
          <t xml:space="preserve">
Includes:
Showerheads
Faucet aerators
Water heater setback
Smart strip
Furnace filter alarm</t>
        </r>
      </text>
    </comment>
    <comment ref="D83" authorId="1" shapeId="0" xr:uid="{00000000-0006-0000-0800-000005000000}">
      <text>
        <r>
          <rPr>
            <b/>
            <sz val="9"/>
            <color indexed="81"/>
            <rFont val="Tahoma"/>
            <family val="2"/>
          </rPr>
          <t>Zachary Ross:</t>
        </r>
        <r>
          <rPr>
            <sz val="9"/>
            <color indexed="81"/>
            <rFont val="Tahoma"/>
            <family val="2"/>
          </rPr>
          <t xml:space="preserve">
Includes: 
Pipe wrap
Smart strip
Duct sealing
Air handler ECM retrofit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tc={92019414-97BE-4E3E-ACB1-7F8245B09686}</author>
    <author>tc={03404CD7-5AEE-4EE4-94E5-C2B4C45AC87A}</author>
    <author>tc={C2EC0766-30CC-4D6F-8663-6918A3486B5C}</author>
    <author>tc={D53398A1-AAA0-45A3-9805-DB397B92F99D}</author>
  </authors>
  <commentList>
    <comment ref="H23" authorId="0" shapeId="0" xr:uid="{F9A50EA9-F431-4AE9-9A74-EC0A01E57E00}">
      <text>
        <r>
          <rPr>
            <b/>
            <sz val="9"/>
            <color indexed="81"/>
            <rFont val="Tahoma"/>
            <family val="2"/>
          </rPr>
          <t>Froio, Zach:</t>
        </r>
        <r>
          <rPr>
            <sz val="9"/>
            <color indexed="81"/>
            <rFont val="Tahoma"/>
            <family val="2"/>
          </rPr>
          <t xml:space="preserve">
Updated per IL TRM v7 p. 94</t>
        </r>
      </text>
    </comment>
    <comment ref="U26" authorId="0" shapeId="0" xr:uid="{DD051BA9-2AD6-4F55-B361-4E2A34A8D7D6}">
      <text>
        <r>
          <rPr>
            <b/>
            <sz val="9"/>
            <color indexed="81"/>
            <rFont val="Tahoma"/>
            <family val="2"/>
          </rPr>
          <t>Froio, Zach:</t>
        </r>
        <r>
          <rPr>
            <sz val="9"/>
            <color indexed="81"/>
            <rFont val="Tahoma"/>
            <family val="2"/>
          </rPr>
          <t xml:space="preserve">
Updated per IL TRM v7 p. 94</t>
        </r>
      </text>
    </comment>
    <comment ref="B41" authorId="0" shapeId="0" xr:uid="{CFC5AAAD-DC08-4F5B-BA7C-C931CBDC7A16}">
      <text>
        <r>
          <rPr>
            <b/>
            <sz val="9"/>
            <color indexed="81"/>
            <rFont val="Tahoma"/>
            <family val="2"/>
          </rPr>
          <t>Froio, Zach:</t>
        </r>
        <r>
          <rPr>
            <sz val="9"/>
            <color indexed="81"/>
            <rFont val="Tahoma"/>
            <family val="2"/>
          </rPr>
          <t xml:space="preserve">
Updated per IL TRM v7 p. 171</t>
        </r>
      </text>
    </comment>
    <comment ref="B43" authorId="1" shapeId="0" xr:uid="{92019414-97BE-4E3E-ACB1-7F8245B096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Q43" authorId="0" shapeId="0" xr:uid="{220A3DD6-8FBF-4793-BD09-3350285C328C}">
      <text>
        <r>
          <rPr>
            <b/>
            <sz val="9"/>
            <color indexed="81"/>
            <rFont val="Tahoma"/>
            <family val="2"/>
          </rPr>
          <t>Froio, Zach:</t>
        </r>
        <r>
          <rPr>
            <sz val="9"/>
            <color indexed="81"/>
            <rFont val="Tahoma"/>
            <family val="2"/>
          </rPr>
          <t xml:space="preserve">
Updated per IL TRM v7 p. 172</t>
        </r>
      </text>
    </comment>
    <comment ref="Q44" authorId="0" shapeId="0" xr:uid="{1F9EEAEA-05F1-4A61-A5A4-7E5D36C5489B}">
      <text>
        <r>
          <rPr>
            <b/>
            <sz val="9"/>
            <color indexed="81"/>
            <rFont val="Tahoma"/>
            <family val="2"/>
          </rPr>
          <t>Froio, Zach:</t>
        </r>
        <r>
          <rPr>
            <sz val="9"/>
            <color indexed="81"/>
            <rFont val="Tahoma"/>
            <family val="2"/>
          </rPr>
          <t xml:space="preserve">
Updated per IL TRM v7 p. 172</t>
        </r>
      </text>
    </comment>
    <comment ref="S45" authorId="2" shapeId="0" xr:uid="{03404CD7-5AEE-4EE4-94E5-C2B4C45AC87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S46" authorId="3" shapeId="0" xr:uid="{C2EC0766-30CC-4D6F-8663-6918A3486B5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B53" authorId="0" shapeId="0" xr:uid="{E9383C8C-7C1A-4280-A430-BA9CFE9D2650}">
      <text>
        <r>
          <rPr>
            <b/>
            <sz val="9"/>
            <color indexed="81"/>
            <rFont val="Tahoma"/>
            <family val="2"/>
          </rPr>
          <t>Froio, Zach:</t>
        </r>
        <r>
          <rPr>
            <sz val="9"/>
            <color indexed="81"/>
            <rFont val="Tahoma"/>
            <family val="2"/>
          </rPr>
          <t xml:space="preserve">
Updated per IL TRM v7 p. 172</t>
        </r>
      </text>
    </comment>
    <comment ref="B55" authorId="4" shapeId="0" xr:uid="{D53398A1-AAA0-45A3-9805-DB397B92F9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193</t>
        </r>
      </text>
    </comment>
    <comment ref="A60" authorId="0" shapeId="0" xr:uid="{CE615F8A-EBD5-4916-BE2C-1DAD197CEE7C}">
      <text>
        <r>
          <rPr>
            <b/>
            <sz val="9"/>
            <color indexed="81"/>
            <rFont val="Tahoma"/>
            <family val="2"/>
          </rPr>
          <t>Froio, Zach:</t>
        </r>
        <r>
          <rPr>
            <sz val="9"/>
            <color indexed="81"/>
            <rFont val="Tahoma"/>
            <family val="2"/>
          </rPr>
          <t xml:space="preserve">
Separation of Wall and Ceiling/Attic Insulation per IL TRM v7 p. 327</t>
        </r>
      </text>
    </comment>
    <comment ref="C67" authorId="0" shapeId="0" xr:uid="{31569F76-B9D0-449E-80D2-E2D6128A0D17}">
      <text>
        <r>
          <rPr>
            <b/>
            <sz val="9"/>
            <color indexed="81"/>
            <rFont val="Tahoma"/>
            <family val="2"/>
          </rPr>
          <t>Froio, Zach:</t>
        </r>
        <r>
          <rPr>
            <sz val="9"/>
            <color indexed="81"/>
            <rFont val="Tahoma"/>
            <family val="2"/>
          </rPr>
          <t xml:space="preserve">
Updated per IL TRM v7 p. 327</t>
        </r>
      </text>
    </comment>
    <comment ref="C76" authorId="0" shapeId="0" xr:uid="{DBC4DEC7-B8D3-4F81-AD7F-985EC73FF615}">
      <text>
        <r>
          <rPr>
            <b/>
            <sz val="9"/>
            <color indexed="81"/>
            <rFont val="Tahoma"/>
            <family val="2"/>
          </rPr>
          <t>Froio, Zach:</t>
        </r>
        <r>
          <rPr>
            <sz val="9"/>
            <color indexed="81"/>
            <rFont val="Tahoma"/>
            <family val="2"/>
          </rPr>
          <t xml:space="preserve">
Updated per IL TRM v8 p. 323</t>
        </r>
      </text>
    </comment>
    <comment ref="C89" authorId="0" shapeId="0" xr:uid="{A792D036-E375-4D43-80DB-1D361607536F}">
      <text>
        <r>
          <rPr>
            <b/>
            <sz val="9"/>
            <color indexed="81"/>
            <rFont val="Tahoma"/>
            <family val="2"/>
          </rPr>
          <t>Froio, Zach:</t>
        </r>
        <r>
          <rPr>
            <sz val="9"/>
            <color indexed="81"/>
            <rFont val="Tahoma"/>
            <family val="2"/>
          </rPr>
          <t xml:space="preserve">
Added per IL TRM v7 p. 333</t>
        </r>
      </text>
    </comment>
    <comment ref="C90" authorId="0" shapeId="0" xr:uid="{55F0598E-873F-422E-9521-C057355E97E5}">
      <text>
        <r>
          <rPr>
            <b/>
            <sz val="9"/>
            <color indexed="81"/>
            <rFont val="Tahoma"/>
            <family val="2"/>
          </rPr>
          <t>Froio, Zach:</t>
        </r>
        <r>
          <rPr>
            <sz val="9"/>
            <color indexed="81"/>
            <rFont val="Tahoma"/>
            <family val="2"/>
          </rPr>
          <t xml:space="preserve">
Added per IL TRM v7 p. 333</t>
        </r>
      </text>
    </comment>
    <comment ref="C91" authorId="0" shapeId="0" xr:uid="{83239F3F-F041-44BD-8460-2676AB8AF431}">
      <text>
        <r>
          <rPr>
            <b/>
            <sz val="9"/>
            <color indexed="81"/>
            <rFont val="Tahoma"/>
            <family val="2"/>
          </rPr>
          <t>Froio, Zach:</t>
        </r>
        <r>
          <rPr>
            <sz val="9"/>
            <color indexed="81"/>
            <rFont val="Tahoma"/>
            <family val="2"/>
          </rPr>
          <t xml:space="preserve">
Added per IL TRM v7 p. 333</t>
        </r>
      </text>
    </comment>
    <comment ref="C92" authorId="0" shapeId="0" xr:uid="{9B64A4DD-5328-4E26-8A4F-822CAA70131A}">
      <text>
        <r>
          <rPr>
            <b/>
            <sz val="9"/>
            <color indexed="81"/>
            <rFont val="Tahoma"/>
            <family val="2"/>
          </rPr>
          <t>Froio, Zach:</t>
        </r>
        <r>
          <rPr>
            <sz val="9"/>
            <color indexed="81"/>
            <rFont val="Tahoma"/>
            <family val="2"/>
          </rPr>
          <t xml:space="preserve">
Updated per IL TRM v7 p. 329</t>
        </r>
      </text>
    </comment>
    <comment ref="C93" authorId="0" shapeId="0" xr:uid="{71697AB1-5311-442D-ABF7-2B5A4D22821B}">
      <text>
        <r>
          <rPr>
            <b/>
            <sz val="9"/>
            <color indexed="81"/>
            <rFont val="Tahoma"/>
            <family val="2"/>
          </rPr>
          <t>Froio, Zach:</t>
        </r>
        <r>
          <rPr>
            <sz val="9"/>
            <color indexed="81"/>
            <rFont val="Tahoma"/>
            <family val="2"/>
          </rPr>
          <t xml:space="preserve">
Added per IL TRM v8 p. 324</t>
        </r>
      </text>
    </comment>
    <comment ref="C94" authorId="0" shapeId="0" xr:uid="{C58B3355-2B6D-48D9-9BD0-C617C6265E6A}">
      <text>
        <r>
          <rPr>
            <b/>
            <sz val="9"/>
            <color indexed="81"/>
            <rFont val="Tahoma"/>
            <family val="2"/>
          </rPr>
          <t>Froio, Zach:</t>
        </r>
        <r>
          <rPr>
            <sz val="9"/>
            <color indexed="81"/>
            <rFont val="Tahoma"/>
            <family val="2"/>
          </rPr>
          <t xml:space="preserve">
Added per IL TRM v8 p. 324</t>
        </r>
      </text>
    </comment>
    <comment ref="C95" authorId="0" shapeId="0" xr:uid="{E78752C1-E8A2-4FB4-8957-61C0F59386DE}">
      <text>
        <r>
          <rPr>
            <b/>
            <sz val="9"/>
            <color indexed="81"/>
            <rFont val="Tahoma"/>
            <family val="2"/>
          </rPr>
          <t>Froio, Zach:</t>
        </r>
        <r>
          <rPr>
            <sz val="9"/>
            <color indexed="81"/>
            <rFont val="Tahoma"/>
            <family val="2"/>
          </rPr>
          <t xml:space="preserve">
Updated per IL TRM v8 p. 323</t>
        </r>
      </text>
    </comment>
    <comment ref="C96" authorId="0" shapeId="0" xr:uid="{20221AA0-DBA7-40ED-B7FC-E5FBB15CF0A7}">
      <text>
        <r>
          <rPr>
            <b/>
            <sz val="9"/>
            <color indexed="81"/>
            <rFont val="Tahoma"/>
            <family val="2"/>
          </rPr>
          <t>Froio, Zach:</t>
        </r>
        <r>
          <rPr>
            <sz val="9"/>
            <color indexed="81"/>
            <rFont val="Tahoma"/>
            <family val="2"/>
          </rPr>
          <t xml:space="preserve">
Updated per IL TRM v8 p. 323</t>
        </r>
      </text>
    </comment>
    <comment ref="C97" authorId="0" shapeId="0" xr:uid="{32E649DD-068A-4E31-9430-19CE17EDA20D}">
      <text>
        <r>
          <rPr>
            <b/>
            <sz val="9"/>
            <color indexed="81"/>
            <rFont val="Tahoma"/>
            <family val="2"/>
          </rPr>
          <t>Froio, Zach:</t>
        </r>
        <r>
          <rPr>
            <sz val="9"/>
            <color indexed="81"/>
            <rFont val="Tahoma"/>
            <family val="2"/>
          </rPr>
          <t xml:space="preserve">
Updated per IL TRM v8 p. 325</t>
        </r>
      </text>
    </comment>
    <comment ref="C98" authorId="0" shapeId="0" xr:uid="{839D9784-3DF6-4B57-AF06-41726B9A426D}">
      <text>
        <r>
          <rPr>
            <b/>
            <sz val="9"/>
            <color indexed="81"/>
            <rFont val="Tahoma"/>
            <family val="2"/>
          </rPr>
          <t>Froio, Zach:</t>
        </r>
        <r>
          <rPr>
            <sz val="9"/>
            <color indexed="81"/>
            <rFont val="Tahoma"/>
            <family val="2"/>
          </rPr>
          <t xml:space="preserve">
Updated per IL TRM v7 p. 330</t>
        </r>
      </text>
    </comment>
    <comment ref="C99" authorId="0" shapeId="0" xr:uid="{664178D0-B83D-4643-8716-A2CDD1BC3F18}">
      <text>
        <r>
          <rPr>
            <b/>
            <sz val="9"/>
            <color indexed="81"/>
            <rFont val="Tahoma"/>
            <family val="2"/>
          </rPr>
          <t>Froio, Zach:</t>
        </r>
        <r>
          <rPr>
            <sz val="9"/>
            <color indexed="81"/>
            <rFont val="Tahoma"/>
            <family val="2"/>
          </rPr>
          <t xml:space="preserve">
Added per IL TRM v8 p. 326</t>
        </r>
      </text>
    </comment>
    <comment ref="C106" authorId="0" shapeId="0" xr:uid="{5DB6C705-4414-40CA-9CAA-9E74E6EB58F8}">
      <text>
        <r>
          <rPr>
            <b/>
            <sz val="9"/>
            <color indexed="81"/>
            <rFont val="Tahoma"/>
            <family val="2"/>
          </rPr>
          <t>Froio, Zach:</t>
        </r>
        <r>
          <rPr>
            <sz val="9"/>
            <color indexed="81"/>
            <rFont val="Tahoma"/>
            <family val="2"/>
          </rPr>
          <t xml:space="preserve">
Added per IL TRM v7 p. 333</t>
        </r>
      </text>
    </comment>
    <comment ref="C107" authorId="0" shapeId="0" xr:uid="{8ABC8658-327D-42D9-9E8A-73E5E9FC9829}">
      <text>
        <r>
          <rPr>
            <b/>
            <sz val="9"/>
            <color indexed="81"/>
            <rFont val="Tahoma"/>
            <family val="2"/>
          </rPr>
          <t>Froio, Zach:</t>
        </r>
        <r>
          <rPr>
            <sz val="9"/>
            <color indexed="81"/>
            <rFont val="Tahoma"/>
            <family val="2"/>
          </rPr>
          <t xml:space="preserve">
Added per IL TRM v7 p. 333</t>
        </r>
      </text>
    </comment>
    <comment ref="C108" authorId="0" shapeId="0" xr:uid="{E877C3DC-301D-44E8-8FDE-8E7E9147429E}">
      <text>
        <r>
          <rPr>
            <b/>
            <sz val="9"/>
            <color indexed="81"/>
            <rFont val="Tahoma"/>
            <family val="2"/>
          </rPr>
          <t>Froio, Zach:</t>
        </r>
        <r>
          <rPr>
            <sz val="9"/>
            <color indexed="81"/>
            <rFont val="Tahoma"/>
            <family val="2"/>
          </rPr>
          <t xml:space="preserve">
Updated per IL TRM v8 p. 325</t>
        </r>
      </text>
    </comment>
    <comment ref="C109" authorId="0" shapeId="0" xr:uid="{437750FA-220F-4B6C-B30C-07FFC05E15A8}">
      <text>
        <r>
          <rPr>
            <b/>
            <sz val="9"/>
            <color indexed="81"/>
            <rFont val="Tahoma"/>
            <family val="2"/>
          </rPr>
          <t>Froio, Zach:</t>
        </r>
        <r>
          <rPr>
            <sz val="9"/>
            <color indexed="81"/>
            <rFont val="Tahoma"/>
            <family val="2"/>
          </rPr>
          <t xml:space="preserve">
Updated per IL TRM v8 p. 325</t>
        </r>
      </text>
    </comment>
    <comment ref="C110" authorId="0" shapeId="0" xr:uid="{5BD337AC-9FBE-4A0E-84B9-8884A33C683C}">
      <text>
        <r>
          <rPr>
            <b/>
            <sz val="9"/>
            <color indexed="81"/>
            <rFont val="Tahoma"/>
            <family val="2"/>
          </rPr>
          <t>Froio, Zach:</t>
        </r>
        <r>
          <rPr>
            <sz val="9"/>
            <color indexed="81"/>
            <rFont val="Tahoma"/>
            <family val="2"/>
          </rPr>
          <t xml:space="preserve">
Updated per IL TRM v8 p. 325</t>
        </r>
      </text>
    </comment>
    <comment ref="C111" authorId="0" shapeId="0" xr:uid="{9A576994-F7FA-46EA-B574-72F603CD26F6}">
      <text>
        <r>
          <rPr>
            <b/>
            <sz val="9"/>
            <color indexed="81"/>
            <rFont val="Tahoma"/>
            <family val="2"/>
          </rPr>
          <t>Froio, Zach:</t>
        </r>
        <r>
          <rPr>
            <sz val="9"/>
            <color indexed="81"/>
            <rFont val="Tahoma"/>
            <family val="2"/>
          </rPr>
          <t xml:space="preserve">
Updated per IL TRM v8 p. 325</t>
        </r>
      </text>
    </comment>
    <comment ref="B117" authorId="0" shapeId="0" xr:uid="{F1CC8A60-2E51-4E23-8FAD-5ADB95654601}">
      <text>
        <r>
          <rPr>
            <b/>
            <sz val="9"/>
            <color indexed="81"/>
            <rFont val="Tahoma"/>
            <family val="2"/>
          </rPr>
          <t>Froio, Zach:</t>
        </r>
        <r>
          <rPr>
            <sz val="9"/>
            <color indexed="81"/>
            <rFont val="Tahoma"/>
            <family val="2"/>
          </rPr>
          <t xml:space="preserve">
Added per IL TRM v7 p. 333</t>
        </r>
      </text>
    </comment>
    <comment ref="B118" authorId="0" shapeId="0" xr:uid="{C84E653E-EAA8-4063-A40C-6B7C3AF1AC75}">
      <text>
        <r>
          <rPr>
            <b/>
            <sz val="9"/>
            <color indexed="81"/>
            <rFont val="Tahoma"/>
            <family val="2"/>
          </rPr>
          <t>Froio, Zach:</t>
        </r>
        <r>
          <rPr>
            <sz val="9"/>
            <color indexed="81"/>
            <rFont val="Tahoma"/>
            <family val="2"/>
          </rPr>
          <t xml:space="preserve">
Added per IL TRM v7 p. 333</t>
        </r>
      </text>
    </comment>
    <comment ref="B119" authorId="0" shapeId="0" xr:uid="{473A7AE7-FCA2-4610-A8B0-47745E31A38F}">
      <text>
        <r>
          <rPr>
            <b/>
            <sz val="9"/>
            <color indexed="81"/>
            <rFont val="Tahoma"/>
            <family val="2"/>
          </rPr>
          <t>Froio, Zach:</t>
        </r>
        <r>
          <rPr>
            <sz val="9"/>
            <color indexed="81"/>
            <rFont val="Tahoma"/>
            <family val="2"/>
          </rPr>
          <t xml:space="preserve">
Added per IL TRM v7 p. 333</t>
        </r>
      </text>
    </comment>
    <comment ref="B120" authorId="0" shapeId="0" xr:uid="{320BF859-562C-4B19-91B3-86D973A77B7B}">
      <text>
        <r>
          <rPr>
            <b/>
            <sz val="9"/>
            <color indexed="81"/>
            <rFont val="Tahoma"/>
            <family val="2"/>
          </rPr>
          <t>Froio, Zach:</t>
        </r>
        <r>
          <rPr>
            <sz val="9"/>
            <color indexed="81"/>
            <rFont val="Tahoma"/>
            <family val="2"/>
          </rPr>
          <t xml:space="preserve">
Added per IL TRM v7 p. 333</t>
        </r>
      </text>
    </comment>
    <comment ref="B128" authorId="0" shapeId="0" xr:uid="{95CEA1D1-8EC5-4F33-AE1F-95FA58C537EB}">
      <text>
        <r>
          <rPr>
            <b/>
            <sz val="9"/>
            <color indexed="81"/>
            <rFont val="Tahoma"/>
            <family val="2"/>
          </rPr>
          <t>Froio, Zach:</t>
        </r>
        <r>
          <rPr>
            <sz val="9"/>
            <color indexed="81"/>
            <rFont val="Tahoma"/>
            <family val="2"/>
          </rPr>
          <t xml:space="preserve">
Added per IL TRM v7 p. 333</t>
        </r>
      </text>
    </comment>
    <comment ref="B129" authorId="0" shapeId="0" xr:uid="{2E5394C3-97D9-4AE6-A559-30AE2A9A68B2}">
      <text>
        <r>
          <rPr>
            <b/>
            <sz val="9"/>
            <color indexed="81"/>
            <rFont val="Tahoma"/>
            <family val="2"/>
          </rPr>
          <t>Froio, Zach:</t>
        </r>
        <r>
          <rPr>
            <sz val="9"/>
            <color indexed="81"/>
            <rFont val="Tahoma"/>
            <family val="2"/>
          </rPr>
          <t xml:space="preserve">
Added per IL TRM v7 p. 333</t>
        </r>
      </text>
    </comment>
    <comment ref="B130" authorId="0" shapeId="0" xr:uid="{40A1A4C9-A68D-455C-A1A8-451847DF15FA}">
      <text>
        <r>
          <rPr>
            <b/>
            <sz val="9"/>
            <color indexed="81"/>
            <rFont val="Tahoma"/>
            <family val="2"/>
          </rPr>
          <t>Froio, Zach:</t>
        </r>
        <r>
          <rPr>
            <sz val="9"/>
            <color indexed="81"/>
            <rFont val="Tahoma"/>
            <family val="2"/>
          </rPr>
          <t xml:space="preserve">
Added per IL TRM v7 p. 333</t>
        </r>
      </text>
    </comment>
    <comment ref="B131" authorId="0" shapeId="0" xr:uid="{952AFB09-8D28-4677-847D-AFF680B13AED}">
      <text>
        <r>
          <rPr>
            <b/>
            <sz val="9"/>
            <color indexed="81"/>
            <rFont val="Tahoma"/>
            <family val="2"/>
          </rPr>
          <t>Froio, Zach:</t>
        </r>
        <r>
          <rPr>
            <sz val="9"/>
            <color indexed="81"/>
            <rFont val="Tahoma"/>
            <family val="2"/>
          </rPr>
          <t xml:space="preserve">
Added per IL TRM v7 p. 333</t>
        </r>
      </text>
    </comment>
    <comment ref="C133" authorId="0" shapeId="0" xr:uid="{CB0F88BE-B175-4617-9DC2-24A1E0605155}">
      <text>
        <r>
          <rPr>
            <b/>
            <sz val="9"/>
            <color indexed="81"/>
            <rFont val="Tahoma"/>
            <family val="2"/>
          </rPr>
          <t>Froio, Zach:</t>
        </r>
        <r>
          <rPr>
            <sz val="9"/>
            <color indexed="81"/>
            <rFont val="Tahoma"/>
            <family val="2"/>
          </rPr>
          <t xml:space="preserve">
Updated per IL TRM v8 p. 328</t>
        </r>
      </text>
    </comment>
    <comment ref="C136" authorId="0" shapeId="0" xr:uid="{5571F587-6084-4C97-B418-F86D3DCD62A6}">
      <text>
        <r>
          <rPr>
            <b/>
            <sz val="9"/>
            <color indexed="81"/>
            <rFont val="Tahoma"/>
            <family val="2"/>
          </rPr>
          <t>Froio, Zach:</t>
        </r>
        <r>
          <rPr>
            <sz val="9"/>
            <color indexed="81"/>
            <rFont val="Tahoma"/>
            <family val="2"/>
          </rPr>
          <t xml:space="preserve">
Added per IL TRM v7 p. 333</t>
        </r>
      </text>
    </comment>
    <comment ref="C137" authorId="0" shapeId="0" xr:uid="{D5E695A0-3DCB-446B-9884-12DB49BD67F0}">
      <text>
        <r>
          <rPr>
            <b/>
            <sz val="9"/>
            <color indexed="81"/>
            <rFont val="Tahoma"/>
            <family val="2"/>
          </rPr>
          <t>Froio, Zach:</t>
        </r>
        <r>
          <rPr>
            <sz val="9"/>
            <color indexed="81"/>
            <rFont val="Tahoma"/>
            <family val="2"/>
          </rPr>
          <t xml:space="preserve">
Updated per IL TRM v7 p. 333</t>
        </r>
      </text>
    </comment>
    <comment ref="C138" authorId="0" shapeId="0" xr:uid="{3EA60867-455E-488E-B5B0-5F96893A028E}">
      <text>
        <r>
          <rPr>
            <b/>
            <sz val="9"/>
            <color indexed="81"/>
            <rFont val="Tahoma"/>
            <family val="2"/>
          </rPr>
          <t>Froio, Zach:</t>
        </r>
        <r>
          <rPr>
            <sz val="9"/>
            <color indexed="81"/>
            <rFont val="Tahoma"/>
            <family val="2"/>
          </rPr>
          <t xml:space="preserve">
Added per IL TRM v8 p. 329</t>
        </r>
      </text>
    </comment>
    <comment ref="C139" authorId="0" shapeId="0" xr:uid="{D8D89132-D2BA-4219-9429-01BF6129DDC6}">
      <text>
        <r>
          <rPr>
            <b/>
            <sz val="9"/>
            <color indexed="81"/>
            <rFont val="Tahoma"/>
            <family val="2"/>
          </rPr>
          <t>Froio, Zach:</t>
        </r>
        <r>
          <rPr>
            <sz val="9"/>
            <color indexed="81"/>
            <rFont val="Tahoma"/>
            <family val="2"/>
          </rPr>
          <t xml:space="preserve">
Added per IL TRM v8 p. 329</t>
        </r>
      </text>
    </comment>
    <comment ref="C140" authorId="0" shapeId="0" xr:uid="{A05A2AB6-5942-4D81-8B16-954BB32FAD7F}">
      <text>
        <r>
          <rPr>
            <b/>
            <sz val="9"/>
            <color indexed="81"/>
            <rFont val="Tahoma"/>
            <family val="2"/>
          </rPr>
          <t>Froio, Zach:</t>
        </r>
        <r>
          <rPr>
            <sz val="9"/>
            <color indexed="81"/>
            <rFont val="Tahoma"/>
            <family val="2"/>
          </rPr>
          <t xml:space="preserve">
Updated per IL TRM v8 p. 328</t>
        </r>
      </text>
    </comment>
    <comment ref="C141" authorId="0" shapeId="0" xr:uid="{35A7FA97-59E7-4DFD-B332-5EF72F2A7024}">
      <text>
        <r>
          <rPr>
            <b/>
            <sz val="9"/>
            <color indexed="81"/>
            <rFont val="Tahoma"/>
            <family val="2"/>
          </rPr>
          <t>Froio, Zach:</t>
        </r>
        <r>
          <rPr>
            <sz val="9"/>
            <color indexed="81"/>
            <rFont val="Tahoma"/>
            <family val="2"/>
          </rPr>
          <t xml:space="preserve">
Updated per IL TRM v8 p. 328</t>
        </r>
      </text>
    </comment>
    <comment ref="C143" authorId="0" shapeId="0" xr:uid="{13C7AEFF-3728-4ADD-8404-663B43C231AB}">
      <text>
        <r>
          <rPr>
            <b/>
            <sz val="9"/>
            <color indexed="81"/>
            <rFont val="Tahoma"/>
            <family val="2"/>
          </rPr>
          <t>Froio, Zach:</t>
        </r>
        <r>
          <rPr>
            <sz val="9"/>
            <color indexed="81"/>
            <rFont val="Tahoma"/>
            <family val="2"/>
          </rPr>
          <t xml:space="preserve">
Added per IL TRM v7 p. 331</t>
        </r>
      </text>
    </comment>
    <comment ref="C144" authorId="0" shapeId="0" xr:uid="{E854C4FE-5685-4A73-AB98-AFA3F06899FE}">
      <text>
        <r>
          <rPr>
            <b/>
            <sz val="9"/>
            <color indexed="81"/>
            <rFont val="Tahoma"/>
            <family val="2"/>
          </rPr>
          <t>Froio, Zach:</t>
        </r>
        <r>
          <rPr>
            <sz val="9"/>
            <color indexed="81"/>
            <rFont val="Tahoma"/>
            <family val="2"/>
          </rPr>
          <t xml:space="preserve">
Updated per IL TRM v8 p. 326</t>
        </r>
      </text>
    </comment>
    <comment ref="C145" authorId="0" shapeId="0" xr:uid="{C41D4770-641D-44D9-8F71-0DA99E14ABE5}">
      <text>
        <r>
          <rPr>
            <b/>
            <sz val="9"/>
            <color indexed="81"/>
            <rFont val="Tahoma"/>
            <family val="2"/>
          </rPr>
          <t>Froio, Zach:</t>
        </r>
        <r>
          <rPr>
            <sz val="9"/>
            <color indexed="81"/>
            <rFont val="Tahoma"/>
            <family val="2"/>
          </rPr>
          <t xml:space="preserve">
Updated per IL TRM v8 p. 326</t>
        </r>
      </text>
    </comment>
    <comment ref="A146" authorId="0" shapeId="0" xr:uid="{D27FA6A5-137C-4845-98E2-C40D2B7073DB}">
      <text>
        <r>
          <rPr>
            <b/>
            <sz val="9"/>
            <color indexed="81"/>
            <rFont val="Tahoma"/>
            <family val="2"/>
          </rPr>
          <t>Froio, Zach:</t>
        </r>
        <r>
          <rPr>
            <sz val="9"/>
            <color indexed="81"/>
            <rFont val="Tahoma"/>
            <family val="2"/>
          </rPr>
          <t xml:space="preserve">
No changes to these calcs, only denoting that these are pre mid-life adjustment savings.</t>
        </r>
      </text>
    </comment>
    <comment ref="A160" authorId="0" shapeId="0" xr:uid="{FC16FB39-8C2A-40AD-A1F0-0A330F2CE89A}">
      <text>
        <r>
          <rPr>
            <b/>
            <sz val="9"/>
            <color indexed="81"/>
            <rFont val="Tahoma"/>
            <family val="2"/>
          </rPr>
          <t>Froio, Zach:</t>
        </r>
        <r>
          <rPr>
            <sz val="9"/>
            <color indexed="81"/>
            <rFont val="Tahoma"/>
            <family val="2"/>
          </rPr>
          <t xml:space="preserve">
Added per IL TRM v7 p. 333</t>
        </r>
      </text>
    </comment>
    <comment ref="A175" authorId="0" shapeId="0" xr:uid="{9878B7E6-7628-4F38-A57A-FD686FD74D88}">
      <text>
        <r>
          <rPr>
            <b/>
            <sz val="9"/>
            <color indexed="81"/>
            <rFont val="Tahoma"/>
            <family val="2"/>
          </rPr>
          <t>Froio, Zach:</t>
        </r>
        <r>
          <rPr>
            <sz val="9"/>
            <color indexed="81"/>
            <rFont val="Tahoma"/>
            <family val="2"/>
          </rPr>
          <t xml:space="preserve">
Separation of Wall and Ceiling/Attic Insulation per IL TRM v7 p. 320</t>
        </r>
      </text>
    </comment>
    <comment ref="B180" authorId="0" shapeId="0" xr:uid="{DF60DB40-3F92-4D85-8A2F-2186294872D8}">
      <text>
        <r>
          <rPr>
            <b/>
            <sz val="9"/>
            <color indexed="81"/>
            <rFont val="Tahoma"/>
            <family val="2"/>
          </rPr>
          <t>Froio, Zach:</t>
        </r>
        <r>
          <rPr>
            <sz val="9"/>
            <color indexed="81"/>
            <rFont val="Tahoma"/>
            <family val="2"/>
          </rPr>
          <t xml:space="preserve">
Updated per IL TRM v7 p. 320</t>
        </r>
      </text>
    </comment>
    <comment ref="F198" authorId="0" shapeId="0" xr:uid="{17AAEE5C-457A-4A66-B658-DD9391DED449}">
      <text>
        <r>
          <rPr>
            <b/>
            <sz val="9"/>
            <color indexed="81"/>
            <rFont val="Tahoma"/>
            <family val="2"/>
          </rPr>
          <t>Froio, Zach:</t>
        </r>
        <r>
          <rPr>
            <sz val="9"/>
            <color indexed="81"/>
            <rFont val="Tahoma"/>
            <family val="2"/>
          </rPr>
          <t xml:space="preserve">
Added per IL TRM v7 p. 326</t>
        </r>
      </text>
    </comment>
    <comment ref="F199" authorId="0" shapeId="0" xr:uid="{E2515EDF-8C13-493F-9933-4F3D9A715221}">
      <text>
        <r>
          <rPr>
            <b/>
            <sz val="9"/>
            <color indexed="81"/>
            <rFont val="Tahoma"/>
            <family val="2"/>
          </rPr>
          <t>Froio, Zach:</t>
        </r>
        <r>
          <rPr>
            <sz val="9"/>
            <color indexed="81"/>
            <rFont val="Tahoma"/>
            <family val="2"/>
          </rPr>
          <t xml:space="preserve">
Added per IL TRM v7 p. 326</t>
        </r>
      </text>
    </comment>
    <comment ref="F200" authorId="0" shapeId="0" xr:uid="{F9E86C0E-70F0-4033-96EE-73A085035870}">
      <text>
        <r>
          <rPr>
            <b/>
            <sz val="9"/>
            <color indexed="81"/>
            <rFont val="Tahoma"/>
            <family val="2"/>
          </rPr>
          <t>Froio, Zach:</t>
        </r>
        <r>
          <rPr>
            <sz val="9"/>
            <color indexed="81"/>
            <rFont val="Tahoma"/>
            <family val="2"/>
          </rPr>
          <t xml:space="preserve">
Added per IL TRM v7 p. 326</t>
        </r>
      </text>
    </comment>
    <comment ref="F202" authorId="0" shapeId="0" xr:uid="{427C66CF-98AA-474D-87FE-CE50B0ABF7A2}">
      <text>
        <r>
          <rPr>
            <b/>
            <sz val="9"/>
            <color indexed="81"/>
            <rFont val="Tahoma"/>
            <family val="2"/>
          </rPr>
          <t>Froio, Zach:</t>
        </r>
        <r>
          <rPr>
            <sz val="9"/>
            <color indexed="81"/>
            <rFont val="Tahoma"/>
            <family val="2"/>
          </rPr>
          <t xml:space="preserve">
Added per IL TRM v7 p. 326</t>
        </r>
      </text>
    </comment>
    <comment ref="F209" authorId="0" shapeId="0" xr:uid="{2933E3B5-381D-448C-B756-54BEE7AE4C97}">
      <text>
        <r>
          <rPr>
            <b/>
            <sz val="9"/>
            <color indexed="81"/>
            <rFont val="Tahoma"/>
            <family val="2"/>
          </rPr>
          <t>Froio, Zach:</t>
        </r>
        <r>
          <rPr>
            <sz val="9"/>
            <color indexed="81"/>
            <rFont val="Tahoma"/>
            <family val="2"/>
          </rPr>
          <t xml:space="preserve">
Added per IL TRM v7 p. 326</t>
        </r>
      </text>
    </comment>
    <comment ref="F210" authorId="0" shapeId="0" xr:uid="{2E631356-076B-408F-8DB9-3E0866D94376}">
      <text>
        <r>
          <rPr>
            <b/>
            <sz val="9"/>
            <color indexed="81"/>
            <rFont val="Tahoma"/>
            <family val="2"/>
          </rPr>
          <t>Froio, Zach:</t>
        </r>
        <r>
          <rPr>
            <sz val="9"/>
            <color indexed="81"/>
            <rFont val="Tahoma"/>
            <family val="2"/>
          </rPr>
          <t xml:space="preserve">
Added per IL TRM v7 p. 326</t>
        </r>
      </text>
    </comment>
    <comment ref="F211" authorId="0" shapeId="0" xr:uid="{9EB66608-EE85-4E0B-AC1D-BC6FEC8BAFA6}">
      <text>
        <r>
          <rPr>
            <b/>
            <sz val="9"/>
            <color indexed="81"/>
            <rFont val="Tahoma"/>
            <family val="2"/>
          </rPr>
          <t>Froio, Zach:</t>
        </r>
        <r>
          <rPr>
            <sz val="9"/>
            <color indexed="81"/>
            <rFont val="Tahoma"/>
            <family val="2"/>
          </rPr>
          <t xml:space="preserve">
Added per IL TRM v7 p. 326</t>
        </r>
      </text>
    </comment>
    <comment ref="F212" authorId="0" shapeId="0" xr:uid="{80FDDC52-B17E-4027-A8F3-F495C6CB206E}">
      <text>
        <r>
          <rPr>
            <b/>
            <sz val="9"/>
            <color indexed="81"/>
            <rFont val="Tahoma"/>
            <family val="2"/>
          </rPr>
          <t>Froio, Zach:</t>
        </r>
        <r>
          <rPr>
            <sz val="9"/>
            <color indexed="81"/>
            <rFont val="Tahoma"/>
            <family val="2"/>
          </rPr>
          <t xml:space="preserve">
Added per IL TRM v7 p. 326</t>
        </r>
      </text>
    </comment>
    <comment ref="F214" authorId="0" shapeId="0" xr:uid="{8057862D-A5A8-4469-9890-D26CBDA05073}">
      <text>
        <r>
          <rPr>
            <b/>
            <sz val="9"/>
            <color indexed="81"/>
            <rFont val="Tahoma"/>
            <family val="2"/>
          </rPr>
          <t>Froio, Zach:</t>
        </r>
        <r>
          <rPr>
            <sz val="9"/>
            <color indexed="81"/>
            <rFont val="Tahoma"/>
            <family val="2"/>
          </rPr>
          <t xml:space="preserve">
Added per IL TRM v7 p. 326</t>
        </r>
      </text>
    </comment>
    <comment ref="F215" authorId="0" shapeId="0" xr:uid="{1744706B-1690-4C83-BD90-DC613B59B3C3}">
      <text>
        <r>
          <rPr>
            <b/>
            <sz val="9"/>
            <color indexed="81"/>
            <rFont val="Tahoma"/>
            <family val="2"/>
          </rPr>
          <t>Froio, Zach:</t>
        </r>
        <r>
          <rPr>
            <sz val="9"/>
            <color indexed="81"/>
            <rFont val="Tahoma"/>
            <family val="2"/>
          </rPr>
          <t xml:space="preserve">
Added per IL TRM v7 p. 326</t>
        </r>
      </text>
    </comment>
    <comment ref="F216" authorId="0" shapeId="0" xr:uid="{BE6D7A9A-6A54-472C-ADDD-6153532E0D43}">
      <text>
        <r>
          <rPr>
            <b/>
            <sz val="9"/>
            <color indexed="81"/>
            <rFont val="Tahoma"/>
            <family val="2"/>
          </rPr>
          <t>Froio, Zach:</t>
        </r>
        <r>
          <rPr>
            <sz val="9"/>
            <color indexed="81"/>
            <rFont val="Tahoma"/>
            <family val="2"/>
          </rPr>
          <t xml:space="preserve">
Added per IL TRM v7 p. 326</t>
        </r>
      </text>
    </comment>
    <comment ref="F217" authorId="0" shapeId="0" xr:uid="{B47FB16E-DDC1-40E4-8399-C73AA254F0F1}">
      <text>
        <r>
          <rPr>
            <b/>
            <sz val="9"/>
            <color indexed="81"/>
            <rFont val="Tahoma"/>
            <family val="2"/>
          </rPr>
          <t>Froio, Zach:</t>
        </r>
        <r>
          <rPr>
            <sz val="9"/>
            <color indexed="81"/>
            <rFont val="Tahoma"/>
            <family val="2"/>
          </rPr>
          <t xml:space="preserve">
Added per IL TRM v7 p. 326</t>
        </r>
      </text>
    </comment>
    <comment ref="F221" authorId="0" shapeId="0" xr:uid="{B1F3C565-780F-4BC9-B6BC-84C87680C89F}">
      <text>
        <r>
          <rPr>
            <b/>
            <sz val="9"/>
            <color indexed="81"/>
            <rFont val="Tahoma"/>
            <family val="2"/>
          </rPr>
          <t>Froio, Zach:</t>
        </r>
        <r>
          <rPr>
            <sz val="9"/>
            <color indexed="81"/>
            <rFont val="Tahoma"/>
            <family val="2"/>
          </rPr>
          <t xml:space="preserve">
Added per IL TRM v7 p. 326</t>
        </r>
      </text>
    </comment>
    <comment ref="F222" authorId="0" shapeId="0" xr:uid="{1B15F481-4782-4A19-8C54-F7198CCB63D9}">
      <text>
        <r>
          <rPr>
            <b/>
            <sz val="9"/>
            <color indexed="81"/>
            <rFont val="Tahoma"/>
            <family val="2"/>
          </rPr>
          <t>Froio, Zach:</t>
        </r>
        <r>
          <rPr>
            <sz val="9"/>
            <color indexed="81"/>
            <rFont val="Tahoma"/>
            <family val="2"/>
          </rPr>
          <t xml:space="preserve">
Added per IL TRM v7 p. 326</t>
        </r>
      </text>
    </comment>
    <comment ref="F223" authorId="0" shapeId="0" xr:uid="{1CD05265-6C52-40D0-BCFA-C44CA818C6F9}">
      <text>
        <r>
          <rPr>
            <b/>
            <sz val="9"/>
            <color indexed="81"/>
            <rFont val="Tahoma"/>
            <family val="2"/>
          </rPr>
          <t>Froio, Zach:</t>
        </r>
        <r>
          <rPr>
            <sz val="9"/>
            <color indexed="81"/>
            <rFont val="Tahoma"/>
            <family val="2"/>
          </rPr>
          <t xml:space="preserve">
Added per IL TRM v7 p. 326</t>
        </r>
      </text>
    </comment>
    <comment ref="F224" authorId="0" shapeId="0" xr:uid="{D7DCEB21-992A-4DEE-89C6-98AE8DA6123B}">
      <text>
        <r>
          <rPr>
            <b/>
            <sz val="9"/>
            <color indexed="81"/>
            <rFont val="Tahoma"/>
            <family val="2"/>
          </rPr>
          <t>Froio, Zach:</t>
        </r>
        <r>
          <rPr>
            <sz val="9"/>
            <color indexed="81"/>
            <rFont val="Tahoma"/>
            <family val="2"/>
          </rPr>
          <t xml:space="preserve">
Added per IL TRM v7 p. 326</t>
        </r>
      </text>
    </comment>
    <comment ref="F228" authorId="0" shapeId="0" xr:uid="{7E7E76ED-D1CF-4706-B29A-6A48470C6847}">
      <text>
        <r>
          <rPr>
            <b/>
            <sz val="9"/>
            <color indexed="81"/>
            <rFont val="Tahoma"/>
            <family val="2"/>
          </rPr>
          <t>Froio, Zach:</t>
        </r>
        <r>
          <rPr>
            <sz val="9"/>
            <color indexed="81"/>
            <rFont val="Tahoma"/>
            <family val="2"/>
          </rPr>
          <t xml:space="preserve">
Added per IL TRM v7 p. 326</t>
        </r>
      </text>
    </comment>
    <comment ref="K228" authorId="0" shapeId="0" xr:uid="{4FACDD41-0225-4070-A8C1-6C450C0D57C0}">
      <text>
        <r>
          <rPr>
            <b/>
            <sz val="9"/>
            <color indexed="81"/>
            <rFont val="Tahoma"/>
            <family val="2"/>
          </rPr>
          <t>Froio, Zach:</t>
        </r>
        <r>
          <rPr>
            <sz val="9"/>
            <color indexed="81"/>
            <rFont val="Tahoma"/>
            <family val="2"/>
          </rPr>
          <t xml:space="preserve">
Added per IL TRM v7 p. 326</t>
        </r>
      </text>
    </comment>
    <comment ref="F230" authorId="0" shapeId="0" xr:uid="{ED9BE3B6-4F6A-4E7A-B330-6CB519495016}">
      <text>
        <r>
          <rPr>
            <b/>
            <sz val="9"/>
            <color indexed="81"/>
            <rFont val="Tahoma"/>
            <family val="2"/>
          </rPr>
          <t>Froio, Zach:</t>
        </r>
        <r>
          <rPr>
            <sz val="9"/>
            <color indexed="81"/>
            <rFont val="Tahoma"/>
            <family val="2"/>
          </rPr>
          <t xml:space="preserve">
Added per IL TRM v7 p. 326</t>
        </r>
      </text>
    </comment>
    <comment ref="F232" authorId="0" shapeId="0" xr:uid="{CFABD2F5-1DA4-42D9-8C64-9AD7C6D9EEDE}">
      <text>
        <r>
          <rPr>
            <b/>
            <sz val="9"/>
            <color indexed="81"/>
            <rFont val="Tahoma"/>
            <family val="2"/>
          </rPr>
          <t>Froio, Zach:</t>
        </r>
        <r>
          <rPr>
            <sz val="9"/>
            <color indexed="81"/>
            <rFont val="Tahoma"/>
            <family val="2"/>
          </rPr>
          <t xml:space="preserve">
Added per IL TRM v7 p. 326</t>
        </r>
      </text>
    </comment>
    <comment ref="B234" authorId="0" shapeId="0" xr:uid="{4C11F145-995A-458D-9E6C-BD5FD7CB2C36}">
      <text>
        <r>
          <rPr>
            <b/>
            <sz val="9"/>
            <color indexed="81"/>
            <rFont val="Tahoma"/>
            <family val="2"/>
          </rPr>
          <t>Froio, Zach:</t>
        </r>
        <r>
          <rPr>
            <sz val="9"/>
            <color indexed="81"/>
            <rFont val="Tahoma"/>
            <family val="2"/>
          </rPr>
          <t xml:space="preserve">
No changes to these calcs, only denoting that these are pre mid-life adjustment savings.</t>
        </r>
      </text>
    </comment>
    <comment ref="F234" authorId="0" shapeId="0" xr:uid="{D95922C7-FE2A-481E-8F3E-4E582AF62248}">
      <text>
        <r>
          <rPr>
            <b/>
            <sz val="9"/>
            <color indexed="81"/>
            <rFont val="Tahoma"/>
            <family val="2"/>
          </rPr>
          <t>Froio, Zach:</t>
        </r>
        <r>
          <rPr>
            <sz val="9"/>
            <color indexed="81"/>
            <rFont val="Tahoma"/>
            <family val="2"/>
          </rPr>
          <t xml:space="preserve">
Added per IL TRM v7 p. 326</t>
        </r>
      </text>
    </comment>
    <comment ref="A249" authorId="0" shapeId="0" xr:uid="{F26DB404-67D8-4243-9D0D-E12C1A76C060}">
      <text>
        <r>
          <rPr>
            <b/>
            <sz val="9"/>
            <color indexed="81"/>
            <rFont val="Tahoma"/>
            <family val="2"/>
          </rPr>
          <t>Froio, Zach:</t>
        </r>
        <r>
          <rPr>
            <sz val="9"/>
            <color indexed="81"/>
            <rFont val="Tahoma"/>
            <family val="2"/>
          </rPr>
          <t xml:space="preserve">
New measure per IL TRM v7 p. 334</t>
        </r>
      </text>
    </comment>
    <comment ref="B254" authorId="0" shapeId="0" xr:uid="{C4ABACF9-02A5-4AE6-B9C6-60D11C6E3888}">
      <text>
        <r>
          <rPr>
            <b/>
            <sz val="9"/>
            <color indexed="81"/>
            <rFont val="Tahoma"/>
            <family val="2"/>
          </rPr>
          <t>Froio, Zach:</t>
        </r>
        <r>
          <rPr>
            <sz val="9"/>
            <color indexed="81"/>
            <rFont val="Tahoma"/>
            <family val="2"/>
          </rPr>
          <t xml:space="preserve">
Updated per IL TRM v7 p. 334</t>
        </r>
      </text>
    </comment>
    <comment ref="C324" authorId="0" shapeId="0" xr:uid="{F339252F-BC7C-46E5-82D4-CD4DFF9A27B4}">
      <text>
        <r>
          <rPr>
            <b/>
            <sz val="9"/>
            <color indexed="81"/>
            <rFont val="Tahoma"/>
            <family val="2"/>
          </rPr>
          <t>Froio, Zach:</t>
        </r>
        <r>
          <rPr>
            <sz val="9"/>
            <color indexed="81"/>
            <rFont val="Tahoma"/>
            <family val="2"/>
          </rPr>
          <t xml:space="preserve">
Updated per IL TRM v7 p. 295</t>
        </r>
      </text>
    </comment>
    <comment ref="I324" authorId="0" shapeId="0" xr:uid="{636C178C-8B76-494C-B2F0-33420EE0461D}">
      <text>
        <r>
          <rPr>
            <b/>
            <sz val="9"/>
            <color indexed="81"/>
            <rFont val="Tahoma"/>
            <family val="2"/>
          </rPr>
          <t>Froio, Zach:</t>
        </r>
        <r>
          <rPr>
            <sz val="9"/>
            <color indexed="81"/>
            <rFont val="Tahoma"/>
            <family val="2"/>
          </rPr>
          <t xml:space="preserve">
No changes to these calcs, only denoting that these are pre mid-life adjustment savings.</t>
        </r>
      </text>
    </comment>
    <comment ref="V324" authorId="0" shapeId="0" xr:uid="{02456122-0094-4661-8C98-6E8E01DBA089}">
      <text>
        <r>
          <rPr>
            <b/>
            <sz val="9"/>
            <color indexed="81"/>
            <rFont val="Tahoma"/>
            <family val="2"/>
          </rPr>
          <t>Froio, Zach:</t>
        </r>
        <r>
          <rPr>
            <sz val="9"/>
            <color indexed="81"/>
            <rFont val="Tahoma"/>
            <family val="2"/>
          </rPr>
          <t xml:space="preserve">
Added per IL TRM v7 p. 305</t>
        </r>
      </text>
    </comment>
    <comment ref="B329" authorId="0" shapeId="0" xr:uid="{01421561-715C-44F0-A278-EAB1F6141033}">
      <text>
        <r>
          <rPr>
            <b/>
            <sz val="9"/>
            <color indexed="81"/>
            <rFont val="Tahoma"/>
            <family val="2"/>
          </rPr>
          <t>Froio, Zach:</t>
        </r>
        <r>
          <rPr>
            <sz val="9"/>
            <color indexed="81"/>
            <rFont val="Tahoma"/>
            <family val="2"/>
          </rPr>
          <t xml:space="preserve">
Updated per IL TRM v8 p. 285</t>
        </r>
      </text>
    </comment>
    <comment ref="E337" authorId="0" shapeId="0" xr:uid="{F107B3D9-35CD-48D3-86F9-BECE31EE27D9}">
      <text>
        <r>
          <rPr>
            <b/>
            <sz val="9"/>
            <color indexed="81"/>
            <rFont val="Tahoma"/>
            <family val="2"/>
          </rPr>
          <t>Froio, Zach:</t>
        </r>
        <r>
          <rPr>
            <sz val="9"/>
            <color indexed="81"/>
            <rFont val="Tahoma"/>
            <family val="2"/>
          </rPr>
          <t xml:space="preserve">
Added per IL TRM v7 p. 305</t>
        </r>
      </text>
    </comment>
    <comment ref="E338" authorId="0" shapeId="0" xr:uid="{C51FCF3E-C1BC-4F0B-80E3-37D81A179122}">
      <text>
        <r>
          <rPr>
            <b/>
            <sz val="9"/>
            <color indexed="81"/>
            <rFont val="Tahoma"/>
            <family val="2"/>
          </rPr>
          <t>Froio, Zach:</t>
        </r>
        <r>
          <rPr>
            <sz val="9"/>
            <color indexed="81"/>
            <rFont val="Tahoma"/>
            <family val="2"/>
          </rPr>
          <t xml:space="preserve">
Added per IL TRM v7 p. 305</t>
        </r>
      </text>
    </comment>
    <comment ref="E339" authorId="0" shapeId="0" xr:uid="{C868F342-C21B-45E1-BE86-B69115FC8686}">
      <text>
        <r>
          <rPr>
            <b/>
            <sz val="9"/>
            <color indexed="81"/>
            <rFont val="Tahoma"/>
            <family val="2"/>
          </rPr>
          <t>Froio, Zach:</t>
        </r>
        <r>
          <rPr>
            <sz val="9"/>
            <color indexed="81"/>
            <rFont val="Tahoma"/>
            <family val="2"/>
          </rPr>
          <t xml:space="preserve">
Added per IL TRM v7 p. 305</t>
        </r>
      </text>
    </comment>
    <comment ref="B341" authorId="0" shapeId="0" xr:uid="{8C97E453-21D3-41EB-AB27-235281BFA4C3}">
      <text>
        <r>
          <rPr>
            <b/>
            <sz val="9"/>
            <color indexed="81"/>
            <rFont val="Tahoma"/>
            <family val="2"/>
          </rPr>
          <t>Froio, Zach:</t>
        </r>
        <r>
          <rPr>
            <sz val="9"/>
            <color indexed="81"/>
            <rFont val="Tahoma"/>
            <family val="2"/>
          </rPr>
          <t xml:space="preserve">
Updated per IL TRM v8 p. 287</t>
        </r>
      </text>
    </comment>
    <comment ref="B342" authorId="0" shapeId="0" xr:uid="{BB2E27EC-835F-476E-8E7B-85354B3C49C3}">
      <text>
        <r>
          <rPr>
            <b/>
            <sz val="9"/>
            <color indexed="81"/>
            <rFont val="Tahoma"/>
            <family val="2"/>
          </rPr>
          <t>Froio, Zach:</t>
        </r>
        <r>
          <rPr>
            <sz val="9"/>
            <color indexed="81"/>
            <rFont val="Tahoma"/>
            <family val="2"/>
          </rPr>
          <t xml:space="preserve">
Added per IL TRM v8 p. 285</t>
        </r>
      </text>
    </comment>
    <comment ref="B343" authorId="0" shapeId="0" xr:uid="{1A584AB7-C297-4280-A1B0-16BF3C98D4C5}">
      <text>
        <r>
          <rPr>
            <b/>
            <sz val="9"/>
            <color indexed="81"/>
            <rFont val="Tahoma"/>
            <family val="2"/>
          </rPr>
          <t>Froio, Zach:</t>
        </r>
        <r>
          <rPr>
            <sz val="9"/>
            <color indexed="81"/>
            <rFont val="Tahoma"/>
            <family val="2"/>
          </rPr>
          <t xml:space="preserve">
Added per IL TRM v8 p. 285</t>
        </r>
      </text>
    </comment>
    <comment ref="B344" authorId="0" shapeId="0" xr:uid="{26BB3E6B-C18A-47E0-A5A2-04EC52B7F65E}">
      <text>
        <r>
          <rPr>
            <b/>
            <sz val="9"/>
            <color indexed="81"/>
            <rFont val="Tahoma"/>
            <family val="2"/>
          </rPr>
          <t>Froio, Zach:</t>
        </r>
        <r>
          <rPr>
            <sz val="9"/>
            <color indexed="81"/>
            <rFont val="Tahoma"/>
            <family val="2"/>
          </rPr>
          <t xml:space="preserve">
Updated per IL TRM v8 p. 287</t>
        </r>
      </text>
    </comment>
    <comment ref="E344" authorId="0" shapeId="0" xr:uid="{0545B46D-019B-4A4D-B49F-9C553B00BE0E}">
      <text>
        <r>
          <rPr>
            <b/>
            <sz val="9"/>
            <color indexed="81"/>
            <rFont val="Tahoma"/>
            <family val="2"/>
          </rPr>
          <t>Froio, Zach:</t>
        </r>
        <r>
          <rPr>
            <sz val="9"/>
            <color indexed="81"/>
            <rFont val="Tahoma"/>
            <family val="2"/>
          </rPr>
          <t xml:space="preserve">
Updated per IL TRM v8 p. 287</t>
        </r>
      </text>
    </comment>
    <comment ref="B345" authorId="0" shapeId="0" xr:uid="{00CF9B66-A704-4EC7-A539-8BAB395F57F3}">
      <text>
        <r>
          <rPr>
            <b/>
            <sz val="9"/>
            <color indexed="81"/>
            <rFont val="Tahoma"/>
            <family val="2"/>
          </rPr>
          <t>Froio, Zach:</t>
        </r>
        <r>
          <rPr>
            <sz val="9"/>
            <color indexed="81"/>
            <rFont val="Tahoma"/>
            <family val="2"/>
          </rPr>
          <t xml:space="preserve">
Updated per IL TRM v8 p. 287</t>
        </r>
      </text>
    </comment>
    <comment ref="E351" authorId="0" shapeId="0" xr:uid="{45CBB02E-FF6F-4E9A-9275-1DE2893204AD}">
      <text>
        <r>
          <rPr>
            <b/>
            <sz val="9"/>
            <color indexed="81"/>
            <rFont val="Tahoma"/>
            <family val="2"/>
          </rPr>
          <t>Froio, Zach:</t>
        </r>
        <r>
          <rPr>
            <sz val="9"/>
            <color indexed="81"/>
            <rFont val="Tahoma"/>
            <family val="2"/>
          </rPr>
          <t xml:space="preserve">
Added per IL TRM v7 p. 305</t>
        </r>
      </text>
    </comment>
    <comment ref="E352" authorId="0" shapeId="0" xr:uid="{4BF82CE1-E0AA-4A45-837A-5A6F622985E2}">
      <text>
        <r>
          <rPr>
            <b/>
            <sz val="9"/>
            <color indexed="81"/>
            <rFont val="Tahoma"/>
            <family val="2"/>
          </rPr>
          <t>Froio, Zach:</t>
        </r>
        <r>
          <rPr>
            <sz val="9"/>
            <color indexed="81"/>
            <rFont val="Tahoma"/>
            <family val="2"/>
          </rPr>
          <t xml:space="preserve">
Added per IL TRM v7 p. 305</t>
        </r>
      </text>
    </comment>
    <comment ref="B353" authorId="0" shapeId="0" xr:uid="{A464DA61-946A-4029-9389-5F4FCDADC53E}">
      <text>
        <r>
          <rPr>
            <b/>
            <sz val="9"/>
            <color indexed="81"/>
            <rFont val="Tahoma"/>
            <family val="2"/>
          </rPr>
          <t>Froio, Zach:</t>
        </r>
        <r>
          <rPr>
            <sz val="9"/>
            <color indexed="81"/>
            <rFont val="Tahoma"/>
            <family val="2"/>
          </rPr>
          <t xml:space="preserve">
Updated per IL TRM v8 p. 287</t>
        </r>
      </text>
    </comment>
    <comment ref="E353" authorId="0" shapeId="0" xr:uid="{87485E6B-0C4D-4FAA-91E5-30FD202516B2}">
      <text>
        <r>
          <rPr>
            <b/>
            <sz val="9"/>
            <color indexed="81"/>
            <rFont val="Tahoma"/>
            <family val="2"/>
          </rPr>
          <t>Froio, Zach:</t>
        </r>
        <r>
          <rPr>
            <sz val="9"/>
            <color indexed="81"/>
            <rFont val="Tahoma"/>
            <family val="2"/>
          </rPr>
          <t xml:space="preserve">
Updated per IL TRM v8 p. 287</t>
        </r>
      </text>
    </comment>
    <comment ref="B354" authorId="0" shapeId="0" xr:uid="{E76D1EA0-3C39-403C-905B-20D47ED4559C}">
      <text>
        <r>
          <rPr>
            <b/>
            <sz val="9"/>
            <color indexed="81"/>
            <rFont val="Tahoma"/>
            <family val="2"/>
          </rPr>
          <t>Froio, Zach:</t>
        </r>
        <r>
          <rPr>
            <sz val="9"/>
            <color indexed="81"/>
            <rFont val="Tahoma"/>
            <family val="2"/>
          </rPr>
          <t xml:space="preserve">
Updated per IL TRM v8 p. 287</t>
        </r>
      </text>
    </comment>
    <comment ref="E354" authorId="0" shapeId="0" xr:uid="{EE8CD355-AEB6-475F-80FA-C6EDF604D908}">
      <text>
        <r>
          <rPr>
            <b/>
            <sz val="9"/>
            <color indexed="81"/>
            <rFont val="Tahoma"/>
            <family val="2"/>
          </rPr>
          <t>Froio, Zach:</t>
        </r>
        <r>
          <rPr>
            <sz val="9"/>
            <color indexed="81"/>
            <rFont val="Tahoma"/>
            <family val="2"/>
          </rPr>
          <t xml:space="preserve">
Updated per IL TRM v8 p. 287</t>
        </r>
      </text>
    </comment>
    <comment ref="E356" authorId="0" shapeId="0" xr:uid="{8E8C3089-0E75-4884-890E-D08FF729C6EA}">
      <text>
        <r>
          <rPr>
            <b/>
            <sz val="9"/>
            <color indexed="81"/>
            <rFont val="Tahoma"/>
            <family val="2"/>
          </rPr>
          <t>Froio, Zach:</t>
        </r>
        <r>
          <rPr>
            <sz val="9"/>
            <color indexed="81"/>
            <rFont val="Tahoma"/>
            <family val="2"/>
          </rPr>
          <t xml:space="preserve">
Added per IL TRM v7 p. 305</t>
        </r>
      </text>
    </comment>
    <comment ref="E357" authorId="0" shapeId="0" xr:uid="{587C16E0-D80C-41A8-A566-232A2D52DEA5}">
      <text>
        <r>
          <rPr>
            <b/>
            <sz val="9"/>
            <color indexed="81"/>
            <rFont val="Tahoma"/>
            <family val="2"/>
          </rPr>
          <t>Froio, Zach:</t>
        </r>
        <r>
          <rPr>
            <sz val="9"/>
            <color indexed="81"/>
            <rFont val="Tahoma"/>
            <family val="2"/>
          </rPr>
          <t xml:space="preserve">
Added per IL TRM v7 p. 305</t>
        </r>
      </text>
    </comment>
    <comment ref="E358" authorId="0" shapeId="0" xr:uid="{A46272F5-41A8-4882-B9C9-3441551237B2}">
      <text>
        <r>
          <rPr>
            <b/>
            <sz val="9"/>
            <color indexed="81"/>
            <rFont val="Tahoma"/>
            <family val="2"/>
          </rPr>
          <t>Froio, Zach:</t>
        </r>
        <r>
          <rPr>
            <sz val="9"/>
            <color indexed="81"/>
            <rFont val="Tahoma"/>
            <family val="2"/>
          </rPr>
          <t xml:space="preserve">
Added per IL TRM v7 p. 305</t>
        </r>
      </text>
    </comment>
    <comment ref="E359" authorId="0" shapeId="0" xr:uid="{183DC0D8-B2F6-4159-BC4D-78C7B2AE7221}">
      <text>
        <r>
          <rPr>
            <b/>
            <sz val="9"/>
            <color indexed="81"/>
            <rFont val="Tahoma"/>
            <family val="2"/>
          </rPr>
          <t>Froio, Zach:</t>
        </r>
        <r>
          <rPr>
            <sz val="9"/>
            <color indexed="81"/>
            <rFont val="Tahoma"/>
            <family val="2"/>
          </rPr>
          <t xml:space="preserve">
Added per IL TRM v7 p. 305</t>
        </r>
      </text>
    </comment>
    <comment ref="E364" authorId="0" shapeId="0" xr:uid="{333C66DC-AA0A-47FB-B3EE-A602E3CED136}">
      <text>
        <r>
          <rPr>
            <b/>
            <sz val="9"/>
            <color indexed="81"/>
            <rFont val="Tahoma"/>
            <family val="2"/>
          </rPr>
          <t>Froio, Zach:</t>
        </r>
        <r>
          <rPr>
            <sz val="9"/>
            <color indexed="81"/>
            <rFont val="Tahoma"/>
            <family val="2"/>
          </rPr>
          <t xml:space="preserve">
Added per IL TRM v7 p. 305</t>
        </r>
      </text>
    </comment>
    <comment ref="E365" authorId="0" shapeId="0" xr:uid="{A3F2D427-27A7-447D-9554-511BE201B4CB}">
      <text>
        <r>
          <rPr>
            <b/>
            <sz val="9"/>
            <color indexed="81"/>
            <rFont val="Tahoma"/>
            <family val="2"/>
          </rPr>
          <t>Froio, Zach:</t>
        </r>
        <r>
          <rPr>
            <sz val="9"/>
            <color indexed="81"/>
            <rFont val="Tahoma"/>
            <family val="2"/>
          </rPr>
          <t xml:space="preserve">
Added per IL TRM v7 p. 305</t>
        </r>
      </text>
    </comment>
    <comment ref="B367" authorId="0" shapeId="0" xr:uid="{FD677F0C-79D8-43AE-9F09-2F45E6F486F4}">
      <text>
        <r>
          <rPr>
            <b/>
            <sz val="9"/>
            <color indexed="81"/>
            <rFont val="Tahoma"/>
            <family val="2"/>
          </rPr>
          <t>Froio, Zach:</t>
        </r>
        <r>
          <rPr>
            <sz val="9"/>
            <color indexed="81"/>
            <rFont val="Tahoma"/>
            <family val="2"/>
          </rPr>
          <t xml:space="preserve">
Updated per IL TRM v8 p. 293</t>
        </r>
      </text>
    </comment>
    <comment ref="E368" authorId="0" shapeId="0" xr:uid="{49DD25C7-C456-4469-8837-B7BBB16D8054}">
      <text>
        <r>
          <rPr>
            <b/>
            <sz val="9"/>
            <color indexed="81"/>
            <rFont val="Tahoma"/>
            <family val="2"/>
          </rPr>
          <t>Froio, Zach:</t>
        </r>
        <r>
          <rPr>
            <sz val="9"/>
            <color indexed="81"/>
            <rFont val="Tahoma"/>
            <family val="2"/>
          </rPr>
          <t xml:space="preserve">
Added per IL TRM v7 p. 305</t>
        </r>
      </text>
    </comment>
    <comment ref="B369" authorId="0" shapeId="0" xr:uid="{B3E61DA7-4ED2-4EA2-A3EB-B0807468790E}">
      <text>
        <r>
          <rPr>
            <b/>
            <sz val="9"/>
            <color indexed="81"/>
            <rFont val="Tahoma"/>
            <family val="2"/>
          </rPr>
          <t>Froio, Zach:</t>
        </r>
        <r>
          <rPr>
            <sz val="9"/>
            <color indexed="81"/>
            <rFont val="Tahoma"/>
            <family val="2"/>
          </rPr>
          <t xml:space="preserve">
Added per IL TRM v7 p. 302</t>
        </r>
      </text>
    </comment>
    <comment ref="B370" authorId="0" shapeId="0" xr:uid="{986E6CA3-1EA6-44A3-963B-0557878A42E9}">
      <text>
        <r>
          <rPr>
            <b/>
            <sz val="9"/>
            <color indexed="81"/>
            <rFont val="Tahoma"/>
            <family val="2"/>
          </rPr>
          <t>Froio, Zach:</t>
        </r>
        <r>
          <rPr>
            <sz val="9"/>
            <color indexed="81"/>
            <rFont val="Tahoma"/>
            <family val="2"/>
          </rPr>
          <t xml:space="preserve">
Added per IL TRM v8 p. 294</t>
        </r>
      </text>
    </comment>
    <comment ref="B371" authorId="0" shapeId="0" xr:uid="{C92476BC-39D6-4BE5-8734-075EE07E5E89}">
      <text>
        <r>
          <rPr>
            <b/>
            <sz val="9"/>
            <color indexed="81"/>
            <rFont val="Tahoma"/>
            <family val="2"/>
          </rPr>
          <t>Froio, Zach:</t>
        </r>
        <r>
          <rPr>
            <sz val="9"/>
            <color indexed="81"/>
            <rFont val="Tahoma"/>
            <family val="2"/>
          </rPr>
          <t xml:space="preserve">
Updated per IL TRM v8 p. 293</t>
        </r>
      </text>
    </comment>
    <comment ref="E371" authorId="0" shapeId="0" xr:uid="{95A794A7-E177-4297-AD91-84F39B4A48C7}">
      <text>
        <r>
          <rPr>
            <b/>
            <sz val="9"/>
            <color indexed="81"/>
            <rFont val="Tahoma"/>
            <family val="2"/>
          </rPr>
          <t>Froio, Zach:</t>
        </r>
        <r>
          <rPr>
            <sz val="9"/>
            <color indexed="81"/>
            <rFont val="Tahoma"/>
            <family val="2"/>
          </rPr>
          <t xml:space="preserve">
Updated per IL TRM v8 p. 293</t>
        </r>
      </text>
    </comment>
    <comment ref="B372" authorId="0" shapeId="0" xr:uid="{F02A5D4A-3E20-47A7-BF6E-3E70291D3E14}">
      <text>
        <r>
          <rPr>
            <b/>
            <sz val="9"/>
            <color indexed="81"/>
            <rFont val="Tahoma"/>
            <family val="2"/>
          </rPr>
          <t>Froio, Zach:</t>
        </r>
        <r>
          <rPr>
            <sz val="9"/>
            <color indexed="81"/>
            <rFont val="Tahoma"/>
            <family val="2"/>
          </rPr>
          <t xml:space="preserve">
Updated per IL TRM v8 p. 289</t>
        </r>
      </text>
    </comment>
    <comment ref="B374" authorId="0" shapeId="0" xr:uid="{DB15D5F2-2979-4B9F-AA5E-5167FFE24C1B}">
      <text>
        <r>
          <rPr>
            <b/>
            <sz val="9"/>
            <color indexed="81"/>
            <rFont val="Tahoma"/>
            <family val="2"/>
          </rPr>
          <t>Froio, Zach:</t>
        </r>
        <r>
          <rPr>
            <sz val="9"/>
            <color indexed="81"/>
            <rFont val="Tahoma"/>
            <family val="2"/>
          </rPr>
          <t xml:space="preserve">
Updated per IL TRM v8</t>
        </r>
      </text>
    </comment>
    <comment ref="B375" authorId="0" shapeId="0" xr:uid="{A2D9166C-C2A8-4A3B-BA9F-D3D3CDA51D92}">
      <text>
        <r>
          <rPr>
            <b/>
            <sz val="9"/>
            <color indexed="81"/>
            <rFont val="Tahoma"/>
            <family val="2"/>
          </rPr>
          <t>Froio, Zach:</t>
        </r>
        <r>
          <rPr>
            <sz val="9"/>
            <color indexed="81"/>
            <rFont val="Tahoma"/>
            <family val="2"/>
          </rPr>
          <t xml:space="preserve">
Added per IL TRM v8 p. 289</t>
        </r>
      </text>
    </comment>
    <comment ref="B376" authorId="0" shapeId="0" xr:uid="{30459904-B810-44F6-B0F2-A32FE3CC7083}">
      <text>
        <r>
          <rPr>
            <b/>
            <sz val="9"/>
            <color indexed="81"/>
            <rFont val="Tahoma"/>
            <family val="2"/>
          </rPr>
          <t>Froio, Zach:</t>
        </r>
        <r>
          <rPr>
            <sz val="9"/>
            <color indexed="81"/>
            <rFont val="Tahoma"/>
            <family val="2"/>
          </rPr>
          <t xml:space="preserve">
Updated per IL TRM v8 p. 289</t>
        </r>
      </text>
    </comment>
    <comment ref="E376" authorId="0" shapeId="0" xr:uid="{82D595AB-B70C-49DE-9D81-02EC5B0A2008}">
      <text>
        <r>
          <rPr>
            <b/>
            <sz val="9"/>
            <color indexed="81"/>
            <rFont val="Tahoma"/>
            <family val="2"/>
          </rPr>
          <t>Froio, Zach:</t>
        </r>
        <r>
          <rPr>
            <sz val="9"/>
            <color indexed="81"/>
            <rFont val="Tahoma"/>
            <family val="2"/>
          </rPr>
          <t xml:space="preserve">
Updated per IL TRM v8 p. 289</t>
        </r>
      </text>
    </comment>
    <comment ref="C380" authorId="0" shapeId="0" xr:uid="{51659ADD-8F76-449A-8C5B-98EEFF6C289F}">
      <text>
        <r>
          <rPr>
            <b/>
            <sz val="9"/>
            <color indexed="81"/>
            <rFont val="Tahoma"/>
            <family val="2"/>
          </rPr>
          <t>Froio, Zach:</t>
        </r>
        <r>
          <rPr>
            <sz val="9"/>
            <color indexed="81"/>
            <rFont val="Tahoma"/>
            <family val="2"/>
          </rPr>
          <t xml:space="preserve">
Updated per IL TRM v7 p. 306</t>
        </r>
      </text>
    </comment>
    <comment ref="E394" authorId="0" shapeId="0" xr:uid="{5C576551-B95A-4BAA-BBBE-E4C21E2B7F52}">
      <text>
        <r>
          <rPr>
            <b/>
            <sz val="9"/>
            <color indexed="81"/>
            <rFont val="Tahoma"/>
            <family val="2"/>
          </rPr>
          <t>Froio, Zach:</t>
        </r>
        <r>
          <rPr>
            <sz val="9"/>
            <color indexed="81"/>
            <rFont val="Tahoma"/>
            <family val="2"/>
          </rPr>
          <t xml:space="preserve">
Added per IL TRM v7 p. 312</t>
        </r>
      </text>
    </comment>
    <comment ref="E395" authorId="0" shapeId="0" xr:uid="{29363E90-5982-4E41-BDAA-A95EA5536215}">
      <text>
        <r>
          <rPr>
            <b/>
            <sz val="9"/>
            <color indexed="81"/>
            <rFont val="Tahoma"/>
            <family val="2"/>
          </rPr>
          <t>Froio, Zach:</t>
        </r>
        <r>
          <rPr>
            <sz val="9"/>
            <color indexed="81"/>
            <rFont val="Tahoma"/>
            <family val="2"/>
          </rPr>
          <t xml:space="preserve">
Added per IL TRM v7 p. 312</t>
        </r>
      </text>
    </comment>
    <comment ref="E396" authorId="0" shapeId="0" xr:uid="{A171B2E0-67D3-4948-8307-01C536D6749E}">
      <text>
        <r>
          <rPr>
            <b/>
            <sz val="9"/>
            <color indexed="81"/>
            <rFont val="Tahoma"/>
            <family val="2"/>
          </rPr>
          <t>Froio, Zach:</t>
        </r>
        <r>
          <rPr>
            <sz val="9"/>
            <color indexed="81"/>
            <rFont val="Tahoma"/>
            <family val="2"/>
          </rPr>
          <t xml:space="preserve">
Added per IL TRM v7 p. 312</t>
        </r>
      </text>
    </comment>
    <comment ref="E398" authorId="0" shapeId="0" xr:uid="{04BB57AC-B002-4303-BA35-030FB7E41DC1}">
      <text>
        <r>
          <rPr>
            <b/>
            <sz val="9"/>
            <color indexed="81"/>
            <rFont val="Tahoma"/>
            <family val="2"/>
          </rPr>
          <t>Froio, Zach:</t>
        </r>
        <r>
          <rPr>
            <sz val="9"/>
            <color indexed="81"/>
            <rFont val="Tahoma"/>
            <family val="2"/>
          </rPr>
          <t xml:space="preserve">
Added per IL TRM v7 p. 312</t>
        </r>
      </text>
    </comment>
    <comment ref="E408" authorId="0" shapeId="0" xr:uid="{3FF2A708-D401-45F1-97B6-150E69E1B5D3}">
      <text>
        <r>
          <rPr>
            <b/>
            <sz val="9"/>
            <color indexed="81"/>
            <rFont val="Tahoma"/>
            <family val="2"/>
          </rPr>
          <t>Froio, Zach:</t>
        </r>
        <r>
          <rPr>
            <sz val="9"/>
            <color indexed="81"/>
            <rFont val="Tahoma"/>
            <family val="2"/>
          </rPr>
          <t xml:space="preserve">
Added per IL TRM v7 p. 312</t>
        </r>
      </text>
    </comment>
    <comment ref="E409" authorId="0" shapeId="0" xr:uid="{671990B9-BE9C-4061-A081-FEEEB1F2B92F}">
      <text>
        <r>
          <rPr>
            <b/>
            <sz val="9"/>
            <color indexed="81"/>
            <rFont val="Tahoma"/>
            <family val="2"/>
          </rPr>
          <t>Froio, Zach:</t>
        </r>
        <r>
          <rPr>
            <sz val="9"/>
            <color indexed="81"/>
            <rFont val="Tahoma"/>
            <family val="2"/>
          </rPr>
          <t xml:space="preserve">
Added per IL TRM v7 p. 312</t>
        </r>
      </text>
    </comment>
    <comment ref="E410" authorId="0" shapeId="0" xr:uid="{DABC01E2-D9DB-4044-A37A-27EC346FCCFE}">
      <text>
        <r>
          <rPr>
            <b/>
            <sz val="9"/>
            <color indexed="81"/>
            <rFont val="Tahoma"/>
            <family val="2"/>
          </rPr>
          <t>Froio, Zach:</t>
        </r>
        <r>
          <rPr>
            <sz val="9"/>
            <color indexed="81"/>
            <rFont val="Tahoma"/>
            <family val="2"/>
          </rPr>
          <t xml:space="preserve">
Added per IL TRM v7 p. 312</t>
        </r>
      </text>
    </comment>
    <comment ref="E411" authorId="0" shapeId="0" xr:uid="{BE5701AC-FC72-46B3-953B-15726C83898D}">
      <text>
        <r>
          <rPr>
            <b/>
            <sz val="9"/>
            <color indexed="81"/>
            <rFont val="Tahoma"/>
            <family val="2"/>
          </rPr>
          <t>Froio, Zach:</t>
        </r>
        <r>
          <rPr>
            <sz val="9"/>
            <color indexed="81"/>
            <rFont val="Tahoma"/>
            <family val="2"/>
          </rPr>
          <t xml:space="preserve">
Added per IL TRM v7 p. 312</t>
        </r>
      </text>
    </comment>
    <comment ref="E413" authorId="0" shapeId="0" xr:uid="{1ED2912D-02FE-4429-8B56-C522DBC9697A}">
      <text>
        <r>
          <rPr>
            <b/>
            <sz val="9"/>
            <color indexed="81"/>
            <rFont val="Tahoma"/>
            <family val="2"/>
          </rPr>
          <t>Froio, Zach:</t>
        </r>
        <r>
          <rPr>
            <sz val="9"/>
            <color indexed="81"/>
            <rFont val="Tahoma"/>
            <family val="2"/>
          </rPr>
          <t xml:space="preserve">
Added per IL TRM v7 p. 312</t>
        </r>
      </text>
    </comment>
    <comment ref="E414" authorId="0" shapeId="0" xr:uid="{C8F5F398-4568-49F5-8ADB-B867E8A78489}">
      <text>
        <r>
          <rPr>
            <b/>
            <sz val="9"/>
            <color indexed="81"/>
            <rFont val="Tahoma"/>
            <family val="2"/>
          </rPr>
          <t>Froio, Zach:</t>
        </r>
        <r>
          <rPr>
            <sz val="9"/>
            <color indexed="81"/>
            <rFont val="Tahoma"/>
            <family val="2"/>
          </rPr>
          <t xml:space="preserve">
Added per IL TRM v7 p. 312</t>
        </r>
      </text>
    </comment>
    <comment ref="E415" authorId="0" shapeId="0" xr:uid="{FDEDA1B2-D993-45D5-A916-1FF0DE044B91}">
      <text>
        <r>
          <rPr>
            <b/>
            <sz val="9"/>
            <color indexed="81"/>
            <rFont val="Tahoma"/>
            <family val="2"/>
          </rPr>
          <t>Froio, Zach:</t>
        </r>
        <r>
          <rPr>
            <sz val="9"/>
            <color indexed="81"/>
            <rFont val="Tahoma"/>
            <family val="2"/>
          </rPr>
          <t xml:space="preserve">
Added per IL TRM v7 p. 312</t>
        </r>
      </text>
    </comment>
    <comment ref="E416" authorId="0" shapeId="0" xr:uid="{3F1939B9-9665-4E1B-A384-01C2FE35D7AF}">
      <text>
        <r>
          <rPr>
            <b/>
            <sz val="9"/>
            <color indexed="81"/>
            <rFont val="Tahoma"/>
            <family val="2"/>
          </rPr>
          <t>Froio, Zach:</t>
        </r>
        <r>
          <rPr>
            <sz val="9"/>
            <color indexed="81"/>
            <rFont val="Tahoma"/>
            <family val="2"/>
          </rPr>
          <t xml:space="preserve">
Added per IL TRM v7 p. 312</t>
        </r>
      </text>
    </comment>
    <comment ref="E421" authorId="0" shapeId="0" xr:uid="{8D9EA254-2CFC-4E65-9A9F-5A0E6D9AAFA8}">
      <text>
        <r>
          <rPr>
            <b/>
            <sz val="9"/>
            <color indexed="81"/>
            <rFont val="Tahoma"/>
            <family val="2"/>
          </rPr>
          <t>Froio, Zach:</t>
        </r>
        <r>
          <rPr>
            <sz val="9"/>
            <color indexed="81"/>
            <rFont val="Tahoma"/>
            <family val="2"/>
          </rPr>
          <t xml:space="preserve">
Added per IL TRM v7 p. 312</t>
        </r>
      </text>
    </comment>
    <comment ref="E422" authorId="0" shapeId="0" xr:uid="{DC90AC9E-05C2-4D2E-A890-E49C39D76877}">
      <text>
        <r>
          <rPr>
            <b/>
            <sz val="9"/>
            <color indexed="81"/>
            <rFont val="Tahoma"/>
            <family val="2"/>
          </rPr>
          <t>Froio, Zach:</t>
        </r>
        <r>
          <rPr>
            <sz val="9"/>
            <color indexed="81"/>
            <rFont val="Tahoma"/>
            <family val="2"/>
          </rPr>
          <t xml:space="preserve">
Added per IL TRM v7 p. 312</t>
        </r>
      </text>
    </comment>
    <comment ref="E425" authorId="0" shapeId="0" xr:uid="{55EF5533-5B5A-4D0C-9E2C-0D038D54A76A}">
      <text>
        <r>
          <rPr>
            <b/>
            <sz val="9"/>
            <color indexed="81"/>
            <rFont val="Tahoma"/>
            <family val="2"/>
          </rPr>
          <t>Froio, Zach:</t>
        </r>
        <r>
          <rPr>
            <sz val="9"/>
            <color indexed="81"/>
            <rFont val="Tahoma"/>
            <family val="2"/>
          </rPr>
          <t xml:space="preserve">
Added per IL TRM v7 p. 312</t>
        </r>
      </text>
    </comment>
    <comment ref="E426" authorId="0" shapeId="0" xr:uid="{7486BC69-74BF-4077-90B1-AF9DB220AE26}">
      <text>
        <r>
          <rPr>
            <b/>
            <sz val="9"/>
            <color indexed="81"/>
            <rFont val="Tahoma"/>
            <family val="2"/>
          </rPr>
          <t>Froio, Zach:</t>
        </r>
        <r>
          <rPr>
            <sz val="9"/>
            <color indexed="81"/>
            <rFont val="Tahoma"/>
            <family val="2"/>
          </rPr>
          <t xml:space="preserve">
Added per IL TRM v7 p. 312</t>
        </r>
      </text>
    </comment>
    <comment ref="E429" authorId="0" shapeId="0" xr:uid="{10F5E84D-62CC-4019-8AD5-B8A44C43E938}">
      <text>
        <r>
          <rPr>
            <b/>
            <sz val="9"/>
            <color indexed="81"/>
            <rFont val="Tahoma"/>
            <family val="2"/>
          </rPr>
          <t>Froio, Zach:</t>
        </r>
        <r>
          <rPr>
            <sz val="9"/>
            <color indexed="81"/>
            <rFont val="Tahoma"/>
            <family val="2"/>
          </rPr>
          <t xml:space="preserve">
Added per IL TRM v7 p. 312</t>
        </r>
      </text>
    </comment>
    <comment ref="B431" authorId="0" shapeId="0" xr:uid="{D8B199D6-B651-4D3A-A51B-2D4A55255892}">
      <text>
        <r>
          <rPr>
            <b/>
            <sz val="9"/>
            <color indexed="81"/>
            <rFont val="Tahoma"/>
            <family val="2"/>
          </rPr>
          <t>Froio, Zach:</t>
        </r>
        <r>
          <rPr>
            <sz val="9"/>
            <color indexed="81"/>
            <rFont val="Tahoma"/>
            <family val="2"/>
          </rPr>
          <t xml:space="preserve">
No changes to these calcs, only denoting that these are pre mid-life adjustment savings.</t>
        </r>
      </text>
    </comment>
    <comment ref="E431" authorId="0" shapeId="0" xr:uid="{48C2F41B-1E27-4949-B18E-1621368F9C6B}">
      <text>
        <r>
          <rPr>
            <b/>
            <sz val="9"/>
            <color indexed="81"/>
            <rFont val="Tahoma"/>
            <family val="2"/>
          </rPr>
          <t>Froio, Zach:</t>
        </r>
        <r>
          <rPr>
            <sz val="9"/>
            <color indexed="81"/>
            <rFont val="Tahoma"/>
            <family val="2"/>
          </rPr>
          <t xml:space="preserve">
Added per IL TRM v7 p. 312</t>
        </r>
      </text>
    </comment>
    <comment ref="J431" authorId="0" shapeId="0" xr:uid="{9DE312D9-8284-43B0-A3B8-C18443A59FC1}">
      <text>
        <r>
          <rPr>
            <b/>
            <sz val="9"/>
            <color indexed="81"/>
            <rFont val="Tahoma"/>
            <family val="2"/>
          </rPr>
          <t>Froio, Zach:</t>
        </r>
        <r>
          <rPr>
            <sz val="9"/>
            <color indexed="81"/>
            <rFont val="Tahoma"/>
            <family val="2"/>
          </rPr>
          <t xml:space="preserve">
Added per IL TRM v7 p. 312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Froio, Zach</author>
    <author>tc={6CF4F5EF-A1DD-430F-8DB0-70858A088898}</author>
    <author>tc={EA4BA337-BDA2-4C0B-BED7-FD1CDCC75168}</author>
    <author>tc={8A91CBB5-D09B-490C-A0EE-382A607E7A9F}</author>
    <author>tc={8319A1A8-5C8C-4B59-B466-46DC7E1E80D6}</author>
    <author>tc={0851C5E4-24C6-407F-BC29-C09D6E528D99}</author>
    <author>WadeMorehead</author>
    <author>tc={B32421D7-31CA-4D3B-9FE4-5722F10E8741}</author>
    <author>tc={FEBF547E-3B60-4E68-BBE7-3D21438BCCBE}</author>
    <author>tc={942FD642-0B47-4F78-8ABF-FDB7A5902384}</author>
  </authors>
  <commentList>
    <comment ref="N1" authorId="0" shapeId="0" xr:uid="{295A18D0-8BAC-4478-B5F7-5A2C0A5E6A22}">
      <text>
        <r>
          <rPr>
            <b/>
            <sz val="9"/>
            <color indexed="81"/>
            <rFont val="Tahoma"/>
            <family val="2"/>
          </rPr>
          <t>Froio, Zach:</t>
        </r>
        <r>
          <rPr>
            <sz val="9"/>
            <color indexed="81"/>
            <rFont val="Tahoma"/>
            <family val="2"/>
          </rPr>
          <t xml:space="preserve">
Updated per IL TRM v7 p. 161</t>
        </r>
      </text>
    </comment>
    <comment ref="B10" authorId="0" shapeId="0" xr:uid="{ACDCC76E-2D6E-43CB-B73B-3A0A6F928980}">
      <text>
        <r>
          <rPr>
            <b/>
            <sz val="9"/>
            <color indexed="81"/>
            <rFont val="Tahoma"/>
            <family val="2"/>
          </rPr>
          <t>Froio, Zach:</t>
        </r>
        <r>
          <rPr>
            <sz val="9"/>
            <color indexed="81"/>
            <rFont val="Tahoma"/>
            <family val="2"/>
          </rPr>
          <t xml:space="preserve">
Updated per IL TRM v7 p. 160</t>
        </r>
      </text>
    </comment>
    <comment ref="C19" authorId="1" shapeId="0" xr:uid="{6CF4F5EF-A1DD-430F-8DB0-70858A08889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C20" authorId="2" shapeId="0" xr:uid="{EA4BA337-BDA2-4C0B-BED7-FD1CDCC7516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C21" authorId="3" shapeId="0" xr:uid="{8A91CBB5-D09B-490C-A0EE-382A607E7A9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B26" authorId="4" shapeId="0" xr:uid="{8319A1A8-5C8C-4B59-B466-46DC7E1E80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177</t>
        </r>
      </text>
    </comment>
    <comment ref="O26" authorId="0" shapeId="0" xr:uid="{65CAB270-9447-4801-8B70-4C6898EE4BE4}">
      <text>
        <r>
          <rPr>
            <b/>
            <sz val="9"/>
            <color indexed="81"/>
            <rFont val="Tahoma"/>
            <family val="2"/>
          </rPr>
          <t>Froio, Zach:</t>
        </r>
        <r>
          <rPr>
            <sz val="9"/>
            <color indexed="81"/>
            <rFont val="Tahoma"/>
            <family val="2"/>
          </rPr>
          <t xml:space="preserve">
Updated per IL TRM v7 p. 163</t>
        </r>
      </text>
    </comment>
    <comment ref="C30" authorId="5" shapeId="0" xr:uid="{0851C5E4-24C6-407F-BC29-C09D6E528D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177</t>
        </r>
      </text>
    </comment>
    <comment ref="C58" authorId="0" shapeId="0" xr:uid="{B1AAF284-3023-4669-BBEC-2F9C14DDE5F5}">
      <text>
        <r>
          <rPr>
            <b/>
            <sz val="9"/>
            <color indexed="81"/>
            <rFont val="Tahoma"/>
            <family val="2"/>
          </rPr>
          <t>Froio, Zach:</t>
        </r>
        <r>
          <rPr>
            <sz val="9"/>
            <color indexed="81"/>
            <rFont val="Tahoma"/>
            <family val="2"/>
          </rPr>
          <t xml:space="preserve">
Updated per IL TRM v7 p. 131</t>
        </r>
      </text>
    </comment>
    <comment ref="C101" authorId="0" shapeId="0" xr:uid="{0BB9D60F-5C70-4BD6-B789-ED519407210D}">
      <text>
        <r>
          <rPr>
            <b/>
            <sz val="9"/>
            <color indexed="81"/>
            <rFont val="Tahoma"/>
            <family val="2"/>
          </rPr>
          <t>Froio, Zach:</t>
        </r>
        <r>
          <rPr>
            <sz val="9"/>
            <color indexed="81"/>
            <rFont val="Tahoma"/>
            <family val="2"/>
          </rPr>
          <t xml:space="preserve">
Updated per IL TRM v7 p. 64</t>
        </r>
      </text>
    </comment>
    <comment ref="K119" authorId="0" shapeId="0" xr:uid="{C56B85E7-4B42-44E2-8326-A843674034B2}">
      <text>
        <r>
          <rPr>
            <b/>
            <sz val="9"/>
            <color indexed="81"/>
            <rFont val="Tahoma"/>
            <family val="2"/>
          </rPr>
          <t>Froio, Zach:</t>
        </r>
        <r>
          <rPr>
            <sz val="9"/>
            <color indexed="81"/>
            <rFont val="Tahoma"/>
            <family val="2"/>
          </rPr>
          <t xml:space="preserve">
Updated per IL TRM v7 p. 70</t>
        </r>
      </text>
    </comment>
    <comment ref="E121" authorId="0" shapeId="0" xr:uid="{076A81DD-423D-4D09-8C5D-60EE06E7CF7C}">
      <text>
        <r>
          <rPr>
            <b/>
            <sz val="9"/>
            <color indexed="81"/>
            <rFont val="Tahoma"/>
            <family val="2"/>
          </rPr>
          <t>Froio, Zach:</t>
        </r>
        <r>
          <rPr>
            <sz val="9"/>
            <color indexed="81"/>
            <rFont val="Tahoma"/>
            <family val="2"/>
          </rPr>
          <t xml:space="preserve">
Updated per IL TRM v7 p. 66</t>
        </r>
      </text>
    </comment>
    <comment ref="H121" authorId="0" shapeId="0" xr:uid="{03C9E6FF-47A1-4E09-937A-12CD92A08224}">
      <text>
        <r>
          <rPr>
            <b/>
            <sz val="9"/>
            <color indexed="81"/>
            <rFont val="Tahoma"/>
            <family val="2"/>
          </rPr>
          <t>Froio, Zach:</t>
        </r>
        <r>
          <rPr>
            <sz val="9"/>
            <color indexed="81"/>
            <rFont val="Tahoma"/>
            <family val="2"/>
          </rPr>
          <t xml:space="preserve">
Updated per IL TRM v7 p. 68</t>
        </r>
      </text>
    </comment>
    <comment ref="K125" authorId="0" shapeId="0" xr:uid="{39B77D9F-9CFA-43D1-84AB-0398B4035281}">
      <text>
        <r>
          <rPr>
            <b/>
            <sz val="9"/>
            <color indexed="81"/>
            <rFont val="Tahoma"/>
            <family val="2"/>
          </rPr>
          <t>Froio, Zach:</t>
        </r>
        <r>
          <rPr>
            <sz val="9"/>
            <color indexed="81"/>
            <rFont val="Tahoma"/>
            <family val="2"/>
          </rPr>
          <t xml:space="preserve">
Updated per IL TRM v7 p. 70</t>
        </r>
      </text>
    </comment>
    <comment ref="E127" authorId="0" shapeId="0" xr:uid="{BBCAE67E-BC0E-4802-A911-804FDD0E0830}">
      <text>
        <r>
          <rPr>
            <b/>
            <sz val="9"/>
            <color indexed="81"/>
            <rFont val="Tahoma"/>
            <family val="2"/>
          </rPr>
          <t>Froio, Zach:</t>
        </r>
        <r>
          <rPr>
            <sz val="9"/>
            <color indexed="81"/>
            <rFont val="Tahoma"/>
            <family val="2"/>
          </rPr>
          <t xml:space="preserve">
Updated per IL TRM v7 p. 66</t>
        </r>
      </text>
    </comment>
    <comment ref="H127" authorId="0" shapeId="0" xr:uid="{26CDF2C1-3C34-46EC-A569-384FAF786A35}">
      <text>
        <r>
          <rPr>
            <b/>
            <sz val="9"/>
            <color indexed="81"/>
            <rFont val="Tahoma"/>
            <family val="2"/>
          </rPr>
          <t>Froio, Zach:</t>
        </r>
        <r>
          <rPr>
            <sz val="9"/>
            <color indexed="81"/>
            <rFont val="Tahoma"/>
            <family val="2"/>
          </rPr>
          <t xml:space="preserve">
Updated per IL TRM v7 p. 68</t>
        </r>
      </text>
    </comment>
    <comment ref="I131" authorId="6" shapeId="0" xr:uid="{00000000-0006-0000-1100-000001000000}">
      <text>
        <r>
          <rPr>
            <b/>
            <sz val="9"/>
            <color indexed="81"/>
            <rFont val="Tahoma"/>
            <family val="2"/>
          </rPr>
          <t>WadeMorehead:</t>
        </r>
        <r>
          <rPr>
            <sz val="9"/>
            <color indexed="81"/>
            <rFont val="Tahoma"/>
            <family val="2"/>
          </rPr>
          <t xml:space="preserve">
Average HSPF from PY7 measures.</t>
        </r>
      </text>
    </comment>
    <comment ref="K131" authorId="0" shapeId="0" xr:uid="{4435D4EA-2A0B-4556-81F8-A1894D724D80}">
      <text>
        <r>
          <rPr>
            <b/>
            <sz val="9"/>
            <color indexed="81"/>
            <rFont val="Tahoma"/>
            <family val="2"/>
          </rPr>
          <t>Froio, Zach:</t>
        </r>
        <r>
          <rPr>
            <sz val="9"/>
            <color indexed="81"/>
            <rFont val="Tahoma"/>
            <family val="2"/>
          </rPr>
          <t xml:space="preserve">
Updated per IL TRM v7 p. 70</t>
        </r>
      </text>
    </comment>
    <comment ref="L131" authorId="6" shapeId="0" xr:uid="{00000000-0006-0000-1100-000002000000}">
      <text>
        <r>
          <rPr>
            <b/>
            <sz val="9"/>
            <color indexed="81"/>
            <rFont val="Tahoma"/>
            <family val="2"/>
          </rPr>
          <t>WadeMorehead:</t>
        </r>
        <r>
          <rPr>
            <sz val="9"/>
            <color indexed="81"/>
            <rFont val="Tahoma"/>
            <family val="2"/>
          </rPr>
          <t xml:space="preserve">
Average EER from PY7 measures.</t>
        </r>
      </text>
    </comment>
    <comment ref="E133" authorId="0" shapeId="0" xr:uid="{D66818A3-958F-4A78-9615-D0D9A15B559D}">
      <text>
        <r>
          <rPr>
            <b/>
            <sz val="9"/>
            <color indexed="81"/>
            <rFont val="Tahoma"/>
            <family val="2"/>
          </rPr>
          <t>Froio, Zach:</t>
        </r>
        <r>
          <rPr>
            <sz val="9"/>
            <color indexed="81"/>
            <rFont val="Tahoma"/>
            <family val="2"/>
          </rPr>
          <t xml:space="preserve">
Updated per IL TRM v7 p. 66</t>
        </r>
      </text>
    </comment>
    <comment ref="H133" authorId="0" shapeId="0" xr:uid="{210CC7B2-2BF9-4C6D-A3DA-0FECB6BCE051}">
      <text>
        <r>
          <rPr>
            <b/>
            <sz val="9"/>
            <color indexed="81"/>
            <rFont val="Tahoma"/>
            <family val="2"/>
          </rPr>
          <t>Froio, Zach:</t>
        </r>
        <r>
          <rPr>
            <sz val="9"/>
            <color indexed="81"/>
            <rFont val="Tahoma"/>
            <family val="2"/>
          </rPr>
          <t xml:space="preserve">
Updated per IL TRM v7 p. 68</t>
        </r>
      </text>
    </comment>
    <comment ref="I137" authorId="6" shapeId="0" xr:uid="{00000000-0006-0000-1100-000003000000}">
      <text>
        <r>
          <rPr>
            <b/>
            <sz val="9"/>
            <color indexed="81"/>
            <rFont val="Tahoma"/>
            <family val="2"/>
          </rPr>
          <t>WadeMorehead:</t>
        </r>
        <r>
          <rPr>
            <sz val="9"/>
            <color indexed="81"/>
            <rFont val="Tahoma"/>
            <family val="2"/>
          </rPr>
          <t xml:space="preserve">
Average HSPF from PY7 measures.</t>
        </r>
      </text>
    </comment>
    <comment ref="K137" authorId="0" shapeId="0" xr:uid="{E8FC2B42-115A-4696-A1A8-4CDAACFF4DAC}">
      <text>
        <r>
          <rPr>
            <b/>
            <sz val="9"/>
            <color indexed="81"/>
            <rFont val="Tahoma"/>
            <family val="2"/>
          </rPr>
          <t>Froio, Zach:</t>
        </r>
        <r>
          <rPr>
            <sz val="9"/>
            <color indexed="81"/>
            <rFont val="Tahoma"/>
            <family val="2"/>
          </rPr>
          <t xml:space="preserve">
Updated per IL TRM v7 p. 70</t>
        </r>
      </text>
    </comment>
    <comment ref="L137" authorId="6" shapeId="0" xr:uid="{00000000-0006-0000-1100-000004000000}">
      <text>
        <r>
          <rPr>
            <b/>
            <sz val="9"/>
            <color indexed="81"/>
            <rFont val="Tahoma"/>
            <family val="2"/>
          </rPr>
          <t>WadeMorehead:</t>
        </r>
        <r>
          <rPr>
            <sz val="9"/>
            <color indexed="81"/>
            <rFont val="Tahoma"/>
            <family val="2"/>
          </rPr>
          <t xml:space="preserve">
Average EER from PY7 measures.</t>
        </r>
      </text>
    </comment>
    <comment ref="E139" authorId="0" shapeId="0" xr:uid="{6A492E3B-F5E9-46BC-8B3B-8763C6A94D01}">
      <text>
        <r>
          <rPr>
            <b/>
            <sz val="9"/>
            <color indexed="81"/>
            <rFont val="Tahoma"/>
            <family val="2"/>
          </rPr>
          <t>Froio, Zach:</t>
        </r>
        <r>
          <rPr>
            <sz val="9"/>
            <color indexed="81"/>
            <rFont val="Tahoma"/>
            <family val="2"/>
          </rPr>
          <t xml:space="preserve">
Updated per IL TRM v7 p. 66</t>
        </r>
      </text>
    </comment>
    <comment ref="H139" authorId="0" shapeId="0" xr:uid="{D9EC4610-9B06-465A-9195-E46AF057C722}">
      <text>
        <r>
          <rPr>
            <b/>
            <sz val="9"/>
            <color indexed="81"/>
            <rFont val="Tahoma"/>
            <family val="2"/>
          </rPr>
          <t>Froio, Zach:</t>
        </r>
        <r>
          <rPr>
            <sz val="9"/>
            <color indexed="81"/>
            <rFont val="Tahoma"/>
            <family val="2"/>
          </rPr>
          <t xml:space="preserve">
Updated per IL TRM v7 p. 68</t>
        </r>
      </text>
    </comment>
    <comment ref="B150" authorId="0" shapeId="0" xr:uid="{6D4BF74F-BFAC-43F1-A26C-1295E7E9D042}">
      <text>
        <r>
          <rPr>
            <b/>
            <sz val="9"/>
            <color indexed="81"/>
            <rFont val="Tahoma"/>
            <family val="2"/>
          </rPr>
          <t>Froio, Zach:</t>
        </r>
        <r>
          <rPr>
            <sz val="9"/>
            <color indexed="81"/>
            <rFont val="Tahoma"/>
            <family val="2"/>
          </rPr>
          <t xml:space="preserve">
Updated per IL TRM v7 p. 105</t>
        </r>
      </text>
    </comment>
    <comment ref="C152" authorId="7" shapeId="0" xr:uid="{B32421D7-31CA-4D3B-9FE4-5722F10E87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123</t>
        </r>
      </text>
    </comment>
    <comment ref="O156" authorId="0" shapeId="0" xr:uid="{9B22BE44-5570-4863-AE2C-0C766147AA19}">
      <text>
        <r>
          <rPr>
            <b/>
            <sz val="9"/>
            <color indexed="81"/>
            <rFont val="Tahoma"/>
            <family val="2"/>
          </rPr>
          <t>Froio, Zach:</t>
        </r>
        <r>
          <rPr>
            <sz val="9"/>
            <color indexed="81"/>
            <rFont val="Tahoma"/>
            <family val="2"/>
          </rPr>
          <t xml:space="preserve">
Updated per IL TRM v7 p. 105</t>
        </r>
      </text>
    </comment>
    <comment ref="N157" authorId="8" shapeId="0" xr:uid="{FEBF547E-3B60-4E68-BBE7-3D21438BCC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123</t>
        </r>
      </text>
    </comment>
    <comment ref="N158" authorId="9" shapeId="0" xr:uid="{942FD642-0B47-4F78-8ABF-FDB7A59023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123</t>
        </r>
      </text>
    </comment>
    <comment ref="C163" authorId="0" shapeId="0" xr:uid="{04E17580-93E7-447B-9DB1-C302AC16B375}">
      <text>
        <r>
          <rPr>
            <b/>
            <sz val="9"/>
            <color indexed="81"/>
            <rFont val="Tahoma"/>
            <family val="2"/>
          </rPr>
          <t>Froio, Zach:</t>
        </r>
        <r>
          <rPr>
            <sz val="9"/>
            <color indexed="81"/>
            <rFont val="Tahoma"/>
            <family val="2"/>
          </rPr>
          <t xml:space="preserve">
Updated per IL TRM v7 p. 95</t>
        </r>
      </text>
    </comment>
    <comment ref="B167" authorId="0" shapeId="0" xr:uid="{113F1DFB-87E5-442F-9FD4-D23AF4458B2B}">
      <text>
        <r>
          <rPr>
            <b/>
            <sz val="9"/>
            <color indexed="81"/>
            <rFont val="Tahoma"/>
            <family val="2"/>
          </rPr>
          <t>Froio, Zach:</t>
        </r>
        <r>
          <rPr>
            <sz val="9"/>
            <color indexed="81"/>
            <rFont val="Tahoma"/>
            <family val="2"/>
          </rPr>
          <t xml:space="preserve">
Updated per IL TRM v7 p. 96</t>
        </r>
      </text>
    </comment>
    <comment ref="B172" authorId="0" shapeId="0" xr:uid="{2A03683E-43A8-4BD4-B6B1-3FDE606ADDDB}">
      <text>
        <r>
          <rPr>
            <b/>
            <sz val="9"/>
            <color indexed="81"/>
            <rFont val="Tahoma"/>
            <family val="2"/>
          </rPr>
          <t>Froio, Zach:</t>
        </r>
        <r>
          <rPr>
            <sz val="9"/>
            <color indexed="81"/>
            <rFont val="Tahoma"/>
            <family val="2"/>
          </rPr>
          <t xml:space="preserve">
Updated per IL TRM v7 p. 97</t>
        </r>
      </text>
    </comment>
    <comment ref="B176" authorId="0" shapeId="0" xr:uid="{B1A469C3-B67E-4BE8-9843-9DBC26D1969A}">
      <text>
        <r>
          <rPr>
            <b/>
            <sz val="9"/>
            <color indexed="81"/>
            <rFont val="Tahoma"/>
            <family val="2"/>
          </rPr>
          <t>Froio, Zach:</t>
        </r>
        <r>
          <rPr>
            <sz val="9"/>
            <color indexed="81"/>
            <rFont val="Tahoma"/>
            <family val="2"/>
          </rPr>
          <t xml:space="preserve">
Updated per IL TRM v7 p. 97</t>
        </r>
      </text>
    </comment>
    <comment ref="D199" authorId="0" shapeId="0" xr:uid="{BB9A530A-4CCC-4055-B38D-79DC76B6CA7E}">
      <text>
        <r>
          <rPr>
            <b/>
            <sz val="9"/>
            <color indexed="81"/>
            <rFont val="Tahoma"/>
            <family val="2"/>
          </rPr>
          <t>Froio, Zach:</t>
        </r>
        <r>
          <rPr>
            <sz val="9"/>
            <color indexed="81"/>
            <rFont val="Tahoma"/>
            <family val="2"/>
          </rPr>
          <t xml:space="preserve">
Updated per IL TRM v7 p. 79</t>
        </r>
      </text>
    </comment>
    <comment ref="G199" authorId="0" shapeId="0" xr:uid="{ED79CAB6-19F8-4493-AB9F-319CF45139F7}">
      <text>
        <r>
          <rPr>
            <b/>
            <sz val="9"/>
            <color indexed="81"/>
            <rFont val="Tahoma"/>
            <family val="2"/>
          </rPr>
          <t>Froio, Zach:</t>
        </r>
        <r>
          <rPr>
            <sz val="9"/>
            <color indexed="81"/>
            <rFont val="Tahoma"/>
            <family val="2"/>
          </rPr>
          <t xml:space="preserve">
Updated per IL TRM v7 p. 81</t>
        </r>
      </text>
    </comment>
    <comment ref="A207" authorId="0" shapeId="0" xr:uid="{E8EE2632-2CD1-4C42-8727-030AC9C1F00B}">
      <text>
        <r>
          <rPr>
            <b/>
            <sz val="9"/>
            <color indexed="81"/>
            <rFont val="Tahoma"/>
            <family val="2"/>
          </rPr>
          <t>Froio, Zach:</t>
        </r>
        <r>
          <rPr>
            <sz val="9"/>
            <color indexed="81"/>
            <rFont val="Tahoma"/>
            <family val="2"/>
          </rPr>
          <t xml:space="preserve">
Updated per IL TRM v7 p. 101</t>
        </r>
      </text>
    </comment>
    <comment ref="B216" authorId="6" shapeId="0" xr:uid="{00000000-0006-0000-1100-000005000000}">
      <text>
        <r>
          <rPr>
            <b/>
            <sz val="9"/>
            <color indexed="81"/>
            <rFont val="Tahoma"/>
            <family val="2"/>
          </rPr>
          <t>WadeMorehead:</t>
        </r>
        <r>
          <rPr>
            <sz val="9"/>
            <color indexed="81"/>
            <rFont val="Tahoma"/>
            <family val="2"/>
          </rPr>
          <t xml:space="preserve">
Assumed deferred cost (after 8 years) is $4,045. This cost should be discounted to present value.</t>
        </r>
      </text>
    </comment>
    <comment ref="B222" authorId="0" shapeId="0" xr:uid="{040CDB66-30FC-4DA8-8E1E-8C2D9E9D3087}">
      <text>
        <r>
          <rPr>
            <b/>
            <sz val="9"/>
            <color indexed="81"/>
            <rFont val="Tahoma"/>
            <family val="2"/>
          </rPr>
          <t>Froio, Zach:</t>
        </r>
        <r>
          <rPr>
            <sz val="9"/>
            <color indexed="81"/>
            <rFont val="Tahoma"/>
            <family val="2"/>
          </rPr>
          <t xml:space="preserve">
Updated per IL TRM v7 p. 138</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Froio, Zach</author>
    <author>JReilly</author>
    <author>tc={83AB4F42-8CE7-4C16-9542-85689680F0CD}</author>
    <author>tc={25CAE341-468B-45CB-A3A6-848B38510831}</author>
    <author>tc={59017A2A-5428-4831-B555-68E58D91A435}</author>
  </authors>
  <commentList>
    <comment ref="A3" authorId="0" shapeId="0" xr:uid="{C5926AF9-5FB2-434E-921D-194043E73D69}">
      <text>
        <r>
          <rPr>
            <b/>
            <sz val="9"/>
            <color indexed="81"/>
            <rFont val="Tahoma"/>
            <family val="2"/>
          </rPr>
          <t>Froio, Zach:</t>
        </r>
        <r>
          <rPr>
            <sz val="9"/>
            <color indexed="81"/>
            <rFont val="Tahoma"/>
            <family val="2"/>
          </rPr>
          <t xml:space="preserve">
Break out of School and Non-School kits per IL TRM v8 p. 207</t>
        </r>
      </text>
    </comment>
    <comment ref="I3" authorId="0" shapeId="0" xr:uid="{F9088092-4C3B-44D4-9EE4-ADCB25224838}">
      <text>
        <r>
          <rPr>
            <b/>
            <sz val="9"/>
            <color indexed="81"/>
            <rFont val="Tahoma"/>
            <family val="2"/>
          </rPr>
          <t>Froio, Zach:</t>
        </r>
        <r>
          <rPr>
            <sz val="9"/>
            <color indexed="81"/>
            <rFont val="Tahoma"/>
            <family val="2"/>
          </rPr>
          <t xml:space="preserve">
Break out of School and Non-School kits per IL TRM v8 p. 207</t>
        </r>
      </text>
    </comment>
    <comment ref="B5" authorId="0" shapeId="0" xr:uid="{6853D858-2E28-4218-B557-56A0DD86CE37}">
      <text>
        <r>
          <rPr>
            <b/>
            <sz val="9"/>
            <color indexed="81"/>
            <rFont val="Tahoma"/>
            <family val="2"/>
          </rPr>
          <t>Froio, Zach:</t>
        </r>
        <r>
          <rPr>
            <sz val="9"/>
            <color indexed="81"/>
            <rFont val="Tahoma"/>
            <family val="2"/>
          </rPr>
          <t xml:space="preserve">
Updated per IL TRM v7 p. 193</t>
        </r>
      </text>
    </comment>
    <comment ref="J5" authorId="0" shapeId="0" xr:uid="{902896EC-D804-4C62-AB00-1FF9AAC1BAB2}">
      <text>
        <r>
          <rPr>
            <b/>
            <sz val="9"/>
            <color indexed="81"/>
            <rFont val="Tahoma"/>
            <family val="2"/>
          </rPr>
          <t>Froio, Zach:</t>
        </r>
        <r>
          <rPr>
            <sz val="9"/>
            <color indexed="81"/>
            <rFont val="Tahoma"/>
            <family val="2"/>
          </rPr>
          <t xml:space="preserve">
Updated per IL TRM v7 p. 193</t>
        </r>
      </text>
    </comment>
    <comment ref="B11" authorId="0" shapeId="0" xr:uid="{E4F1D67D-1EB9-4D8C-B238-F8829550E95E}">
      <text>
        <r>
          <rPr>
            <b/>
            <sz val="9"/>
            <color indexed="81"/>
            <rFont val="Tahoma"/>
            <family val="2"/>
          </rPr>
          <t>Froio, Zach:</t>
        </r>
        <r>
          <rPr>
            <sz val="9"/>
            <color indexed="81"/>
            <rFont val="Tahoma"/>
            <family val="2"/>
          </rPr>
          <t xml:space="preserve">
Added per IL TRM v7 p. 196</t>
        </r>
      </text>
    </comment>
    <comment ref="J11" authorId="0" shapeId="0" xr:uid="{31A1D5EA-7288-47C2-8B6A-45A12172A739}">
      <text>
        <r>
          <rPr>
            <b/>
            <sz val="9"/>
            <color indexed="81"/>
            <rFont val="Tahoma"/>
            <family val="2"/>
          </rPr>
          <t>Froio, Zach:</t>
        </r>
        <r>
          <rPr>
            <sz val="9"/>
            <color indexed="81"/>
            <rFont val="Tahoma"/>
            <family val="2"/>
          </rPr>
          <t xml:space="preserve">
Added per IL TRM v7 p. 196</t>
        </r>
      </text>
    </comment>
    <comment ref="B12" authorId="0" shapeId="0" xr:uid="{353DB097-A7F8-46F8-A317-7875A5F8F503}">
      <text>
        <r>
          <rPr>
            <b/>
            <sz val="9"/>
            <color indexed="81"/>
            <rFont val="Tahoma"/>
            <family val="2"/>
          </rPr>
          <t>Froio, Zach:</t>
        </r>
        <r>
          <rPr>
            <sz val="9"/>
            <color indexed="81"/>
            <rFont val="Tahoma"/>
            <family val="2"/>
          </rPr>
          <t xml:space="preserve">
Added per IL TRM v7 p. 198</t>
        </r>
      </text>
    </comment>
    <comment ref="J12" authorId="0" shapeId="0" xr:uid="{FDDB973D-8C47-48AE-8BEC-0FDE2E0E0FA3}">
      <text>
        <r>
          <rPr>
            <b/>
            <sz val="9"/>
            <color indexed="81"/>
            <rFont val="Tahoma"/>
            <family val="2"/>
          </rPr>
          <t>Froio, Zach:</t>
        </r>
        <r>
          <rPr>
            <sz val="9"/>
            <color indexed="81"/>
            <rFont val="Tahoma"/>
            <family val="2"/>
          </rPr>
          <t xml:space="preserve">
Added per IL TRM v7 p. 198</t>
        </r>
      </text>
    </comment>
    <comment ref="B25" authorId="0" shapeId="0" xr:uid="{9AEACDE8-25AE-4710-9056-FED97BE4799A}">
      <text>
        <r>
          <rPr>
            <b/>
            <sz val="9"/>
            <color indexed="81"/>
            <rFont val="Tahoma"/>
            <family val="2"/>
          </rPr>
          <t>Froio, Zach:</t>
        </r>
        <r>
          <rPr>
            <sz val="9"/>
            <color indexed="81"/>
            <rFont val="Tahoma"/>
            <family val="2"/>
          </rPr>
          <t xml:space="preserve">
Updated per IL TRM v8 p. 207</t>
        </r>
      </text>
    </comment>
    <comment ref="J25" authorId="0" shapeId="0" xr:uid="{E0078832-1C5D-4CFD-B4D0-1DB4D9811440}">
      <text>
        <r>
          <rPr>
            <b/>
            <sz val="9"/>
            <color indexed="81"/>
            <rFont val="Tahoma"/>
            <family val="2"/>
          </rPr>
          <t>Froio, Zach:</t>
        </r>
        <r>
          <rPr>
            <sz val="9"/>
            <color indexed="81"/>
            <rFont val="Tahoma"/>
            <family val="2"/>
          </rPr>
          <t xml:space="preserve">
Updated per IL TRM v8 p. 207</t>
        </r>
      </text>
    </comment>
    <comment ref="B26" authorId="0" shapeId="0" xr:uid="{FEB2F0A0-F5A2-4812-8BD0-61F0385E03E0}">
      <text>
        <r>
          <rPr>
            <b/>
            <sz val="9"/>
            <color indexed="81"/>
            <rFont val="Tahoma"/>
            <family val="2"/>
          </rPr>
          <t>Froio, Zach:</t>
        </r>
        <r>
          <rPr>
            <sz val="9"/>
            <color indexed="81"/>
            <rFont val="Tahoma"/>
            <family val="2"/>
          </rPr>
          <t xml:space="preserve">
Added per IL TRM v7 p. 198</t>
        </r>
      </text>
    </comment>
    <comment ref="J26" authorId="0" shapeId="0" xr:uid="{1462A1C0-FD61-42CE-9ACB-AF414CBDA6E1}">
      <text>
        <r>
          <rPr>
            <b/>
            <sz val="9"/>
            <color indexed="81"/>
            <rFont val="Tahoma"/>
            <family val="2"/>
          </rPr>
          <t>Froio, Zach:</t>
        </r>
        <r>
          <rPr>
            <sz val="9"/>
            <color indexed="81"/>
            <rFont val="Tahoma"/>
            <family val="2"/>
          </rPr>
          <t xml:space="preserve">
Added per IL TRM v7 p. 198</t>
        </r>
      </text>
    </comment>
    <comment ref="B27" authorId="0" shapeId="0" xr:uid="{4B365C76-EFDA-4C8B-8CA5-B4234ACB0CF2}">
      <text>
        <r>
          <rPr>
            <b/>
            <sz val="9"/>
            <color indexed="81"/>
            <rFont val="Tahoma"/>
            <family val="2"/>
          </rPr>
          <t>Froio, Zach:</t>
        </r>
        <r>
          <rPr>
            <sz val="9"/>
            <color indexed="81"/>
            <rFont val="Tahoma"/>
            <family val="2"/>
          </rPr>
          <t xml:space="preserve">
Added per IL TRM v7 p. 198</t>
        </r>
      </text>
    </comment>
    <comment ref="J27" authorId="0" shapeId="0" xr:uid="{98C236BF-F4AC-426C-B3F9-92434ECB8335}">
      <text>
        <r>
          <rPr>
            <b/>
            <sz val="9"/>
            <color indexed="81"/>
            <rFont val="Tahoma"/>
            <family val="2"/>
          </rPr>
          <t>Froio, Zach:</t>
        </r>
        <r>
          <rPr>
            <sz val="9"/>
            <color indexed="81"/>
            <rFont val="Tahoma"/>
            <family val="2"/>
          </rPr>
          <t xml:space="preserve">
Added per IL TRM v7 p. 198</t>
        </r>
      </text>
    </comment>
    <comment ref="B28" authorId="0" shapeId="0" xr:uid="{4D0F6D67-02A6-4332-958A-C23E23C802DB}">
      <text>
        <r>
          <rPr>
            <b/>
            <sz val="9"/>
            <color indexed="81"/>
            <rFont val="Tahoma"/>
            <family val="2"/>
          </rPr>
          <t>Froio, Zach:</t>
        </r>
        <r>
          <rPr>
            <sz val="9"/>
            <color indexed="81"/>
            <rFont val="Tahoma"/>
            <family val="2"/>
          </rPr>
          <t xml:space="preserve">
Added per IL TRM v7 p. 196</t>
        </r>
      </text>
    </comment>
    <comment ref="J28" authorId="0" shapeId="0" xr:uid="{3A29AA41-C7A9-4FEB-8BDF-6FFF76574F20}">
      <text>
        <r>
          <rPr>
            <b/>
            <sz val="9"/>
            <color indexed="81"/>
            <rFont val="Tahoma"/>
            <family val="2"/>
          </rPr>
          <t>Froio, Zach:</t>
        </r>
        <r>
          <rPr>
            <sz val="9"/>
            <color indexed="81"/>
            <rFont val="Tahoma"/>
            <family val="2"/>
          </rPr>
          <t xml:space="preserve">
Added per IL TRM v7 p. 196</t>
        </r>
      </text>
    </comment>
    <comment ref="B29" authorId="0" shapeId="0" xr:uid="{E57A78F6-DD27-4E3D-A4FB-086CED0A20B6}">
      <text>
        <r>
          <rPr>
            <b/>
            <sz val="9"/>
            <color indexed="81"/>
            <rFont val="Tahoma"/>
            <family val="2"/>
          </rPr>
          <t>Froio, Zach:</t>
        </r>
        <r>
          <rPr>
            <sz val="9"/>
            <color indexed="81"/>
            <rFont val="Tahoma"/>
            <family val="2"/>
          </rPr>
          <t xml:space="preserve">
Added per IL TRM v7 p. 196</t>
        </r>
      </text>
    </comment>
    <comment ref="J29" authorId="0" shapeId="0" xr:uid="{80BED668-EA21-41A9-956A-6736FD386EC8}">
      <text>
        <r>
          <rPr>
            <b/>
            <sz val="9"/>
            <color indexed="81"/>
            <rFont val="Tahoma"/>
            <family val="2"/>
          </rPr>
          <t>Froio, Zach:</t>
        </r>
        <r>
          <rPr>
            <sz val="9"/>
            <color indexed="81"/>
            <rFont val="Tahoma"/>
            <family val="2"/>
          </rPr>
          <t xml:space="preserve">
Added per IL TRM v7 p. 196</t>
        </r>
      </text>
    </comment>
    <comment ref="B30" authorId="0" shapeId="0" xr:uid="{00983435-A407-440F-8CF8-C71834B804D1}">
      <text>
        <r>
          <rPr>
            <b/>
            <sz val="9"/>
            <color indexed="81"/>
            <rFont val="Tahoma"/>
            <family val="2"/>
          </rPr>
          <t>Froio, Zach:</t>
        </r>
        <r>
          <rPr>
            <sz val="9"/>
            <color indexed="81"/>
            <rFont val="Tahoma"/>
            <family val="2"/>
          </rPr>
          <t xml:space="preserve">
Updated per IL TRM v7 p. 196</t>
        </r>
      </text>
    </comment>
    <comment ref="J30" authorId="0" shapeId="0" xr:uid="{4AB85546-B574-4D02-889F-10F45E6B8DA9}">
      <text>
        <r>
          <rPr>
            <b/>
            <sz val="9"/>
            <color indexed="81"/>
            <rFont val="Tahoma"/>
            <family val="2"/>
          </rPr>
          <t>Froio, Zach:</t>
        </r>
        <r>
          <rPr>
            <sz val="9"/>
            <color indexed="81"/>
            <rFont val="Tahoma"/>
            <family val="2"/>
          </rPr>
          <t xml:space="preserve">
Updated per IL TRM v7 p. 196</t>
        </r>
      </text>
    </comment>
    <comment ref="B31" authorId="0" shapeId="0" xr:uid="{6ECDEB5E-3480-4B91-8203-E60C7D7443F0}">
      <text>
        <r>
          <rPr>
            <b/>
            <sz val="9"/>
            <color indexed="81"/>
            <rFont val="Tahoma"/>
            <family val="2"/>
          </rPr>
          <t>Froio, Zach:</t>
        </r>
        <r>
          <rPr>
            <sz val="9"/>
            <color indexed="81"/>
            <rFont val="Tahoma"/>
            <family val="2"/>
          </rPr>
          <t xml:space="preserve">
Updated per IL TRM v7 p. 196</t>
        </r>
      </text>
    </comment>
    <comment ref="J31" authorId="0" shapeId="0" xr:uid="{47590BBD-18C6-4D65-B13C-BA4884E79FF1}">
      <text>
        <r>
          <rPr>
            <b/>
            <sz val="9"/>
            <color indexed="81"/>
            <rFont val="Tahoma"/>
            <family val="2"/>
          </rPr>
          <t>Froio, Zach:</t>
        </r>
        <r>
          <rPr>
            <sz val="9"/>
            <color indexed="81"/>
            <rFont val="Tahoma"/>
            <family val="2"/>
          </rPr>
          <t xml:space="preserve">
Updated per IL TRM v7 p. 196</t>
        </r>
      </text>
    </comment>
    <comment ref="B34" authorId="0" shapeId="0" xr:uid="{7C9F7FCC-83AF-41B5-829E-C4452E90EF53}">
      <text>
        <r>
          <rPr>
            <b/>
            <sz val="9"/>
            <color indexed="81"/>
            <rFont val="Tahoma"/>
            <family val="2"/>
          </rPr>
          <t>Froio, Zach:</t>
        </r>
        <r>
          <rPr>
            <sz val="9"/>
            <color indexed="81"/>
            <rFont val="Tahoma"/>
            <family val="2"/>
          </rPr>
          <t xml:space="preserve">
Updated per IL TRM v7 p. 197</t>
        </r>
      </text>
    </comment>
    <comment ref="J34" authorId="0" shapeId="0" xr:uid="{E8A2DC0F-CCA1-4B58-A223-514E016A5CCE}">
      <text>
        <r>
          <rPr>
            <b/>
            <sz val="9"/>
            <color indexed="81"/>
            <rFont val="Tahoma"/>
            <family val="2"/>
          </rPr>
          <t>Froio, Zach:</t>
        </r>
        <r>
          <rPr>
            <sz val="9"/>
            <color indexed="81"/>
            <rFont val="Tahoma"/>
            <family val="2"/>
          </rPr>
          <t xml:space="preserve">
Updated per IL TRM v7 p. 197</t>
        </r>
      </text>
    </comment>
    <comment ref="I47" authorId="0" shapeId="0" xr:uid="{E99815E2-D76C-43AA-AEC3-8881D3CED12E}">
      <text>
        <r>
          <rPr>
            <b/>
            <sz val="9"/>
            <color indexed="81"/>
            <rFont val="Tahoma"/>
            <family val="2"/>
          </rPr>
          <t>Froio, Zach:</t>
        </r>
        <r>
          <rPr>
            <sz val="9"/>
            <color indexed="81"/>
            <rFont val="Tahoma"/>
            <family val="2"/>
          </rPr>
          <t xml:space="preserve">
Break out of School Kits and Non-School Kits per IL TRM v8 p. 199</t>
        </r>
      </text>
    </comment>
    <comment ref="O47" authorId="0" shapeId="0" xr:uid="{F32A093B-F52A-4B95-9F3E-9CCC0B228CBF}">
      <text>
        <r>
          <rPr>
            <b/>
            <sz val="9"/>
            <color indexed="81"/>
            <rFont val="Tahoma"/>
            <family val="2"/>
          </rPr>
          <t>Froio, Zach:</t>
        </r>
        <r>
          <rPr>
            <sz val="9"/>
            <color indexed="81"/>
            <rFont val="Tahoma"/>
            <family val="2"/>
          </rPr>
          <t xml:space="preserve">
Break out of School Kits and Non-School Kits per IL TRM v8 p. 199</t>
        </r>
      </text>
    </comment>
    <comment ref="U47" authorId="0" shapeId="0" xr:uid="{59E63E25-0430-4456-BB2A-514E2EA23F95}">
      <text>
        <r>
          <rPr>
            <b/>
            <sz val="9"/>
            <color indexed="81"/>
            <rFont val="Tahoma"/>
            <family val="2"/>
          </rPr>
          <t>Froio, Zach:</t>
        </r>
        <r>
          <rPr>
            <sz val="9"/>
            <color indexed="81"/>
            <rFont val="Tahoma"/>
            <family val="2"/>
          </rPr>
          <t xml:space="preserve">
Break out of School Kits and Non-School Kits per IL TRM v8 p. 199</t>
        </r>
      </text>
    </comment>
    <comment ref="AA47" authorId="0" shapeId="0" xr:uid="{2D45B8AF-EE29-46CB-8224-A4D49011C945}">
      <text>
        <r>
          <rPr>
            <b/>
            <sz val="9"/>
            <color indexed="81"/>
            <rFont val="Tahoma"/>
            <family val="2"/>
          </rPr>
          <t>Froio, Zach:</t>
        </r>
        <r>
          <rPr>
            <sz val="9"/>
            <color indexed="81"/>
            <rFont val="Tahoma"/>
            <family val="2"/>
          </rPr>
          <t xml:space="preserve">
Break out of School Kits and Non-School Kits per IL TRM v8 p. 199</t>
        </r>
      </text>
    </comment>
    <comment ref="C49" authorId="0" shapeId="0" xr:uid="{B1D71546-14A5-498C-AB7E-9981096691E7}">
      <text>
        <r>
          <rPr>
            <b/>
            <sz val="9"/>
            <color indexed="81"/>
            <rFont val="Tahoma"/>
            <family val="2"/>
          </rPr>
          <t>Froio, Zach:</t>
        </r>
        <r>
          <rPr>
            <sz val="9"/>
            <color indexed="81"/>
            <rFont val="Tahoma"/>
            <family val="2"/>
          </rPr>
          <t xml:space="preserve">
Updated per IL TRM v7 p. 184</t>
        </r>
      </text>
    </comment>
    <comment ref="K49" authorId="0" shapeId="0" xr:uid="{FFEC38CD-0184-43A3-975A-0CA01AF0E5A0}">
      <text>
        <r>
          <rPr>
            <b/>
            <sz val="9"/>
            <color indexed="81"/>
            <rFont val="Tahoma"/>
            <family val="2"/>
          </rPr>
          <t>Froio, Zach:</t>
        </r>
        <r>
          <rPr>
            <sz val="9"/>
            <color indexed="81"/>
            <rFont val="Tahoma"/>
            <family val="2"/>
          </rPr>
          <t xml:space="preserve">
Updated per IL TRM v7 p. 184</t>
        </r>
      </text>
    </comment>
    <comment ref="Q49" authorId="0" shapeId="0" xr:uid="{6139D8C1-3F88-40D5-A3BF-99243AF79C3E}">
      <text>
        <r>
          <rPr>
            <b/>
            <sz val="9"/>
            <color indexed="81"/>
            <rFont val="Tahoma"/>
            <family val="2"/>
          </rPr>
          <t>Froio, Zach:</t>
        </r>
        <r>
          <rPr>
            <sz val="9"/>
            <color indexed="81"/>
            <rFont val="Tahoma"/>
            <family val="2"/>
          </rPr>
          <t xml:space="preserve">
Updated per IL TRM v7 p. 184</t>
        </r>
      </text>
    </comment>
    <comment ref="W49" authorId="0" shapeId="0" xr:uid="{05C1508E-61F7-4AE3-873A-7C924012557E}">
      <text>
        <r>
          <rPr>
            <b/>
            <sz val="9"/>
            <color indexed="81"/>
            <rFont val="Tahoma"/>
            <family val="2"/>
          </rPr>
          <t>Froio, Zach:</t>
        </r>
        <r>
          <rPr>
            <sz val="9"/>
            <color indexed="81"/>
            <rFont val="Tahoma"/>
            <family val="2"/>
          </rPr>
          <t xml:space="preserve">
Updated per IL TRM v7 p. 184</t>
        </r>
      </text>
    </comment>
    <comment ref="AC49" authorId="0" shapeId="0" xr:uid="{7B4A02F8-7678-44D4-BF98-20C1AF669908}">
      <text>
        <r>
          <rPr>
            <b/>
            <sz val="9"/>
            <color indexed="81"/>
            <rFont val="Tahoma"/>
            <family val="2"/>
          </rPr>
          <t>Froio, Zach:</t>
        </r>
        <r>
          <rPr>
            <sz val="9"/>
            <color indexed="81"/>
            <rFont val="Tahoma"/>
            <family val="2"/>
          </rPr>
          <t xml:space="preserve">
Updated per IL TRM v7 p. 184</t>
        </r>
      </text>
    </comment>
    <comment ref="C51" authorId="0" shapeId="0" xr:uid="{D778B95F-234A-44A6-A699-3C7EBDE9370A}">
      <text>
        <r>
          <rPr>
            <b/>
            <sz val="9"/>
            <color indexed="81"/>
            <rFont val="Tahoma"/>
            <family val="2"/>
          </rPr>
          <t>Froio, Zach:</t>
        </r>
        <r>
          <rPr>
            <sz val="9"/>
            <color indexed="81"/>
            <rFont val="Tahoma"/>
            <family val="2"/>
          </rPr>
          <t xml:space="preserve">
Updated per IL TRM v7 p. 184</t>
        </r>
      </text>
    </comment>
    <comment ref="K51" authorId="0" shapeId="0" xr:uid="{48C0DAF3-32DF-494D-B7D3-040FFEE34856}">
      <text>
        <r>
          <rPr>
            <b/>
            <sz val="9"/>
            <color indexed="81"/>
            <rFont val="Tahoma"/>
            <family val="2"/>
          </rPr>
          <t>Froio, Zach:</t>
        </r>
        <r>
          <rPr>
            <sz val="9"/>
            <color indexed="81"/>
            <rFont val="Tahoma"/>
            <family val="2"/>
          </rPr>
          <t xml:space="preserve">
Updated per IL TRM v7 p. 184</t>
        </r>
      </text>
    </comment>
    <comment ref="Q51" authorId="0" shapeId="0" xr:uid="{AA8E71B3-FA39-4B6F-A540-EEAFE55CE87A}">
      <text>
        <r>
          <rPr>
            <b/>
            <sz val="9"/>
            <color indexed="81"/>
            <rFont val="Tahoma"/>
            <family val="2"/>
          </rPr>
          <t>Froio, Zach:</t>
        </r>
        <r>
          <rPr>
            <sz val="9"/>
            <color indexed="81"/>
            <rFont val="Tahoma"/>
            <family val="2"/>
          </rPr>
          <t xml:space="preserve">
Updated per IL TRM v7 p. 184</t>
        </r>
      </text>
    </comment>
    <comment ref="W51" authorId="0" shapeId="0" xr:uid="{77221342-B90C-42AC-91C8-372D4E4B416C}">
      <text>
        <r>
          <rPr>
            <b/>
            <sz val="9"/>
            <color indexed="81"/>
            <rFont val="Tahoma"/>
            <family val="2"/>
          </rPr>
          <t>Froio, Zach:</t>
        </r>
        <r>
          <rPr>
            <sz val="9"/>
            <color indexed="81"/>
            <rFont val="Tahoma"/>
            <family val="2"/>
          </rPr>
          <t xml:space="preserve">
Updated per IL TRM v7 p. 184</t>
        </r>
      </text>
    </comment>
    <comment ref="AC51" authorId="0" shapeId="0" xr:uid="{A270CD6B-EA6B-42B8-B651-8EA5F985034A}">
      <text>
        <r>
          <rPr>
            <b/>
            <sz val="9"/>
            <color indexed="81"/>
            <rFont val="Tahoma"/>
            <family val="2"/>
          </rPr>
          <t>Froio, Zach:</t>
        </r>
        <r>
          <rPr>
            <sz val="9"/>
            <color indexed="81"/>
            <rFont val="Tahoma"/>
            <family val="2"/>
          </rPr>
          <t xml:space="preserve">
Updated per IL TRM v7 p. 184</t>
        </r>
      </text>
    </comment>
    <comment ref="C52" authorId="0" shapeId="0" xr:uid="{55FA39E5-B233-4C79-988C-BADF35BD6E15}">
      <text>
        <r>
          <rPr>
            <b/>
            <sz val="9"/>
            <color indexed="81"/>
            <rFont val="Tahoma"/>
            <family val="2"/>
          </rPr>
          <t>Froio, Zach:</t>
        </r>
        <r>
          <rPr>
            <sz val="9"/>
            <color indexed="81"/>
            <rFont val="Tahoma"/>
            <family val="2"/>
          </rPr>
          <t xml:space="preserve">
Updated per IL TRM v7 p. 184</t>
        </r>
      </text>
    </comment>
    <comment ref="K52" authorId="0" shapeId="0" xr:uid="{663F4EDD-1BF0-4AF1-A8CE-EF0349420DA1}">
      <text>
        <r>
          <rPr>
            <b/>
            <sz val="9"/>
            <color indexed="81"/>
            <rFont val="Tahoma"/>
            <family val="2"/>
          </rPr>
          <t>Froio, Zach:</t>
        </r>
        <r>
          <rPr>
            <sz val="9"/>
            <color indexed="81"/>
            <rFont val="Tahoma"/>
            <family val="2"/>
          </rPr>
          <t xml:space="preserve">
Updated per IL TRM v7 p. 184</t>
        </r>
      </text>
    </comment>
    <comment ref="Q52" authorId="0" shapeId="0" xr:uid="{14AC19E7-F0E2-49C8-9753-E08F29BD381B}">
      <text>
        <r>
          <rPr>
            <b/>
            <sz val="9"/>
            <color indexed="81"/>
            <rFont val="Tahoma"/>
            <family val="2"/>
          </rPr>
          <t>Froio, Zach:</t>
        </r>
        <r>
          <rPr>
            <sz val="9"/>
            <color indexed="81"/>
            <rFont val="Tahoma"/>
            <family val="2"/>
          </rPr>
          <t xml:space="preserve">
Updated per IL TRM v7 p. 184</t>
        </r>
      </text>
    </comment>
    <comment ref="W52" authorId="0" shapeId="0" xr:uid="{34D2FA30-4507-46F7-9515-94A1CF30EDD2}">
      <text>
        <r>
          <rPr>
            <b/>
            <sz val="9"/>
            <color indexed="81"/>
            <rFont val="Tahoma"/>
            <family val="2"/>
          </rPr>
          <t>Froio, Zach:</t>
        </r>
        <r>
          <rPr>
            <sz val="9"/>
            <color indexed="81"/>
            <rFont val="Tahoma"/>
            <family val="2"/>
          </rPr>
          <t xml:space="preserve">
Updated per IL TRM v7 p. 184</t>
        </r>
      </text>
    </comment>
    <comment ref="AC52" authorId="0" shapeId="0" xr:uid="{91F4EF8B-6629-4CFB-8787-5E20A76E7651}">
      <text>
        <r>
          <rPr>
            <b/>
            <sz val="9"/>
            <color indexed="81"/>
            <rFont val="Tahoma"/>
            <family val="2"/>
          </rPr>
          <t>Froio, Zach:</t>
        </r>
        <r>
          <rPr>
            <sz val="9"/>
            <color indexed="81"/>
            <rFont val="Tahoma"/>
            <family val="2"/>
          </rPr>
          <t xml:space="preserve">
Updated per IL TRM v7 p. 184</t>
        </r>
      </text>
    </comment>
    <comment ref="B57" authorId="0" shapeId="0" xr:uid="{2CE0B165-4BF4-4EC7-B1E5-0AF316550633}">
      <text>
        <r>
          <rPr>
            <b/>
            <sz val="9"/>
            <color indexed="81"/>
            <rFont val="Tahoma"/>
            <family val="2"/>
          </rPr>
          <t>Froio, Zach:</t>
        </r>
        <r>
          <rPr>
            <sz val="9"/>
            <color indexed="81"/>
            <rFont val="Tahoma"/>
            <family val="2"/>
          </rPr>
          <t xml:space="preserve">
Added per IL TRM v7 p. 189</t>
        </r>
      </text>
    </comment>
    <comment ref="B58" authorId="0" shapeId="0" xr:uid="{0E68A386-48DD-452D-9831-DB02E9C26B23}">
      <text>
        <r>
          <rPr>
            <b/>
            <sz val="9"/>
            <color indexed="81"/>
            <rFont val="Tahoma"/>
            <family val="2"/>
          </rPr>
          <t>Froio, Zach:</t>
        </r>
        <r>
          <rPr>
            <sz val="9"/>
            <color indexed="81"/>
            <rFont val="Tahoma"/>
            <family val="2"/>
          </rPr>
          <t xml:space="preserve">
Added per IL TRM v7 p. 191</t>
        </r>
      </text>
    </comment>
    <comment ref="C61" authorId="0" shapeId="0" xr:uid="{62AF4806-888B-4814-B02B-293292B11D1A}">
      <text>
        <r>
          <rPr>
            <b/>
            <sz val="9"/>
            <color indexed="81"/>
            <rFont val="Tahoma"/>
            <family val="2"/>
          </rPr>
          <t>Froio, Zach:</t>
        </r>
        <r>
          <rPr>
            <sz val="9"/>
            <color indexed="81"/>
            <rFont val="Tahoma"/>
            <family val="2"/>
          </rPr>
          <t xml:space="preserve">
Updated per IL TRM v7 p. 185</t>
        </r>
      </text>
    </comment>
    <comment ref="K61" authorId="0" shapeId="0" xr:uid="{400473E7-A915-485F-A269-E10E412CBFE7}">
      <text>
        <r>
          <rPr>
            <b/>
            <sz val="9"/>
            <color indexed="81"/>
            <rFont val="Tahoma"/>
            <family val="2"/>
          </rPr>
          <t>Froio, Zach:</t>
        </r>
        <r>
          <rPr>
            <sz val="9"/>
            <color indexed="81"/>
            <rFont val="Tahoma"/>
            <family val="2"/>
          </rPr>
          <t xml:space="preserve">
Updated per IL TRM v7 p. 185</t>
        </r>
      </text>
    </comment>
    <comment ref="Q61" authorId="0" shapeId="0" xr:uid="{F0F1BBD7-47B0-45BE-931A-C29352BA8EC4}">
      <text>
        <r>
          <rPr>
            <b/>
            <sz val="9"/>
            <color indexed="81"/>
            <rFont val="Tahoma"/>
            <family val="2"/>
          </rPr>
          <t>Froio, Zach:</t>
        </r>
        <r>
          <rPr>
            <sz val="9"/>
            <color indexed="81"/>
            <rFont val="Tahoma"/>
            <family val="2"/>
          </rPr>
          <t xml:space="preserve">
Updated per IL TRM v7 p. 185</t>
        </r>
      </text>
    </comment>
    <comment ref="W61" authorId="0" shapeId="0" xr:uid="{2179D922-D8C9-44DD-90F2-CC041C60AD3A}">
      <text>
        <r>
          <rPr>
            <b/>
            <sz val="9"/>
            <color indexed="81"/>
            <rFont val="Tahoma"/>
            <family val="2"/>
          </rPr>
          <t>Froio, Zach:</t>
        </r>
        <r>
          <rPr>
            <sz val="9"/>
            <color indexed="81"/>
            <rFont val="Tahoma"/>
            <family val="2"/>
          </rPr>
          <t xml:space="preserve">
Updated per IL TRM v7 p. 185</t>
        </r>
      </text>
    </comment>
    <comment ref="AC61" authorId="0" shapeId="0" xr:uid="{D6048FBF-F7C9-42D8-9961-90668182C771}">
      <text>
        <r>
          <rPr>
            <b/>
            <sz val="9"/>
            <color indexed="81"/>
            <rFont val="Tahoma"/>
            <family val="2"/>
          </rPr>
          <t>Froio, Zach:</t>
        </r>
        <r>
          <rPr>
            <sz val="9"/>
            <color indexed="81"/>
            <rFont val="Tahoma"/>
            <family val="2"/>
          </rPr>
          <t xml:space="preserve">
Updated per IL TRM v7 p. 185</t>
        </r>
      </text>
    </comment>
    <comment ref="B73" authorId="0" shapeId="0" xr:uid="{EEBFF1C6-9D33-4074-BD20-A2FA4CEEC8BE}">
      <text>
        <r>
          <rPr>
            <b/>
            <sz val="9"/>
            <color indexed="81"/>
            <rFont val="Tahoma"/>
            <family val="2"/>
          </rPr>
          <t>Froio, Zach:</t>
        </r>
        <r>
          <rPr>
            <sz val="9"/>
            <color indexed="81"/>
            <rFont val="Tahoma"/>
            <family val="2"/>
          </rPr>
          <t xml:space="preserve">
Updated per IL TRM v8 p. 199</t>
        </r>
      </text>
    </comment>
    <comment ref="J73" authorId="0" shapeId="0" xr:uid="{7A3AD63F-9344-47E4-92A8-2135EF0B0492}">
      <text>
        <r>
          <rPr>
            <b/>
            <sz val="9"/>
            <color indexed="81"/>
            <rFont val="Tahoma"/>
            <family val="2"/>
          </rPr>
          <t>Froio, Zach:</t>
        </r>
        <r>
          <rPr>
            <sz val="9"/>
            <color indexed="81"/>
            <rFont val="Tahoma"/>
            <family val="2"/>
          </rPr>
          <t xml:space="preserve">
Updated per IL TRM v8 p. 199</t>
        </r>
      </text>
    </comment>
    <comment ref="P73" authorId="0" shapeId="0" xr:uid="{1F02F8BF-0C6F-4322-B713-85DBBD3B0A53}">
      <text>
        <r>
          <rPr>
            <b/>
            <sz val="9"/>
            <color indexed="81"/>
            <rFont val="Tahoma"/>
            <family val="2"/>
          </rPr>
          <t>Froio, Zach:</t>
        </r>
        <r>
          <rPr>
            <sz val="9"/>
            <color indexed="81"/>
            <rFont val="Tahoma"/>
            <family val="2"/>
          </rPr>
          <t xml:space="preserve">
Updated per IL TRM v8 p. 199</t>
        </r>
      </text>
    </comment>
    <comment ref="V73" authorId="0" shapeId="0" xr:uid="{2A702777-20B9-4897-9E41-77BDFCF5EA47}">
      <text>
        <r>
          <rPr>
            <b/>
            <sz val="9"/>
            <color indexed="81"/>
            <rFont val="Tahoma"/>
            <family val="2"/>
          </rPr>
          <t>Froio, Zach:</t>
        </r>
        <r>
          <rPr>
            <sz val="9"/>
            <color indexed="81"/>
            <rFont val="Tahoma"/>
            <family val="2"/>
          </rPr>
          <t xml:space="preserve">
Updated per IL TRM v8 p. 199</t>
        </r>
      </text>
    </comment>
    <comment ref="AB73" authorId="0" shapeId="0" xr:uid="{642F42A8-31F5-49F7-9F5C-9C31CC2AF46D}">
      <text>
        <r>
          <rPr>
            <b/>
            <sz val="9"/>
            <color indexed="81"/>
            <rFont val="Tahoma"/>
            <family val="2"/>
          </rPr>
          <t>Froio, Zach:</t>
        </r>
        <r>
          <rPr>
            <sz val="9"/>
            <color indexed="81"/>
            <rFont val="Tahoma"/>
            <family val="2"/>
          </rPr>
          <t xml:space="preserve">
Updated per IL TRM v8 p. 199</t>
        </r>
      </text>
    </comment>
    <comment ref="B74" authorId="0" shapeId="0" xr:uid="{6020F474-D827-482F-BA4F-4F563E36B019}">
      <text>
        <r>
          <rPr>
            <b/>
            <sz val="9"/>
            <color indexed="81"/>
            <rFont val="Tahoma"/>
            <family val="2"/>
          </rPr>
          <t>Froio, Zach:</t>
        </r>
        <r>
          <rPr>
            <sz val="9"/>
            <color indexed="81"/>
            <rFont val="Tahoma"/>
            <family val="2"/>
          </rPr>
          <t xml:space="preserve">
Added per IL TRM v7 p. 191</t>
        </r>
      </text>
    </comment>
    <comment ref="J74" authorId="0" shapeId="0" xr:uid="{247DC45A-489E-4E1A-AEB2-0FCAB5D8F875}">
      <text>
        <r>
          <rPr>
            <b/>
            <sz val="9"/>
            <color indexed="81"/>
            <rFont val="Tahoma"/>
            <family val="2"/>
          </rPr>
          <t>Froio, Zach:</t>
        </r>
        <r>
          <rPr>
            <sz val="9"/>
            <color indexed="81"/>
            <rFont val="Tahoma"/>
            <family val="2"/>
          </rPr>
          <t xml:space="preserve">
Added per IL TRM v7 p. 191</t>
        </r>
      </text>
    </comment>
    <comment ref="P74" authorId="0" shapeId="0" xr:uid="{69CCA007-5D8B-4129-A0C6-376DECB8E30A}">
      <text>
        <r>
          <rPr>
            <b/>
            <sz val="9"/>
            <color indexed="81"/>
            <rFont val="Tahoma"/>
            <family val="2"/>
          </rPr>
          <t>Froio, Zach:</t>
        </r>
        <r>
          <rPr>
            <sz val="9"/>
            <color indexed="81"/>
            <rFont val="Tahoma"/>
            <family val="2"/>
          </rPr>
          <t xml:space="preserve">
Added per IL TRM v7 p. 191</t>
        </r>
      </text>
    </comment>
    <comment ref="V74" authorId="0" shapeId="0" xr:uid="{ACE3BD21-3260-4DA9-B8F0-4F9D93552303}">
      <text>
        <r>
          <rPr>
            <b/>
            <sz val="9"/>
            <color indexed="81"/>
            <rFont val="Tahoma"/>
            <family val="2"/>
          </rPr>
          <t>Froio, Zach:</t>
        </r>
        <r>
          <rPr>
            <sz val="9"/>
            <color indexed="81"/>
            <rFont val="Tahoma"/>
            <family val="2"/>
          </rPr>
          <t xml:space="preserve">
Added per IL TRM v7 p. 191</t>
        </r>
      </text>
    </comment>
    <comment ref="AB74" authorId="0" shapeId="0" xr:uid="{367714D9-8575-417C-ACB6-5CD9AD139850}">
      <text>
        <r>
          <rPr>
            <b/>
            <sz val="9"/>
            <color indexed="81"/>
            <rFont val="Tahoma"/>
            <family val="2"/>
          </rPr>
          <t>Froio, Zach:</t>
        </r>
        <r>
          <rPr>
            <sz val="9"/>
            <color indexed="81"/>
            <rFont val="Tahoma"/>
            <family val="2"/>
          </rPr>
          <t xml:space="preserve">
Added per IL TRM v7 p. 191</t>
        </r>
      </text>
    </comment>
    <comment ref="B75" authorId="0" shapeId="0" xr:uid="{4FB5D132-1A9C-4FDC-AC9E-B399909BAD5D}">
      <text>
        <r>
          <rPr>
            <b/>
            <sz val="9"/>
            <color indexed="81"/>
            <rFont val="Tahoma"/>
            <family val="2"/>
          </rPr>
          <t>Froio, Zach:</t>
        </r>
        <r>
          <rPr>
            <sz val="9"/>
            <color indexed="81"/>
            <rFont val="Tahoma"/>
            <family val="2"/>
          </rPr>
          <t xml:space="preserve">
Added per IL TRM v7 p. 191</t>
        </r>
      </text>
    </comment>
    <comment ref="J75" authorId="0" shapeId="0" xr:uid="{4134EEF8-0CD3-4E23-A081-686E7EF953AF}">
      <text>
        <r>
          <rPr>
            <b/>
            <sz val="9"/>
            <color indexed="81"/>
            <rFont val="Tahoma"/>
            <family val="2"/>
          </rPr>
          <t>Froio, Zach:</t>
        </r>
        <r>
          <rPr>
            <sz val="9"/>
            <color indexed="81"/>
            <rFont val="Tahoma"/>
            <family val="2"/>
          </rPr>
          <t xml:space="preserve">
Added per IL TRM v7 p. 191</t>
        </r>
      </text>
    </comment>
    <comment ref="P75" authorId="0" shapeId="0" xr:uid="{EDABBE12-3424-4359-A3D9-B6AFD364A555}">
      <text>
        <r>
          <rPr>
            <b/>
            <sz val="9"/>
            <color indexed="81"/>
            <rFont val="Tahoma"/>
            <family val="2"/>
          </rPr>
          <t>Froio, Zach:</t>
        </r>
        <r>
          <rPr>
            <sz val="9"/>
            <color indexed="81"/>
            <rFont val="Tahoma"/>
            <family val="2"/>
          </rPr>
          <t xml:space="preserve">
Added per IL TRM v7 p. 191</t>
        </r>
      </text>
    </comment>
    <comment ref="V75" authorId="0" shapeId="0" xr:uid="{ADD4C019-54AB-49F1-9DF7-B1F15F2E1F16}">
      <text>
        <r>
          <rPr>
            <b/>
            <sz val="9"/>
            <color indexed="81"/>
            <rFont val="Tahoma"/>
            <family val="2"/>
          </rPr>
          <t>Froio, Zach:</t>
        </r>
        <r>
          <rPr>
            <sz val="9"/>
            <color indexed="81"/>
            <rFont val="Tahoma"/>
            <family val="2"/>
          </rPr>
          <t xml:space="preserve">
Added per IL TRM v7 p. 191</t>
        </r>
      </text>
    </comment>
    <comment ref="AB75" authorId="0" shapeId="0" xr:uid="{24886C04-6547-4D01-B956-BE7284B4941C}">
      <text>
        <r>
          <rPr>
            <b/>
            <sz val="9"/>
            <color indexed="81"/>
            <rFont val="Tahoma"/>
            <family val="2"/>
          </rPr>
          <t>Froio, Zach:</t>
        </r>
        <r>
          <rPr>
            <sz val="9"/>
            <color indexed="81"/>
            <rFont val="Tahoma"/>
            <family val="2"/>
          </rPr>
          <t xml:space="preserve">
Added per IL TRM v7 p. 191</t>
        </r>
      </text>
    </comment>
    <comment ref="B76" authorId="0" shapeId="0" xr:uid="{7BDDC4A7-B409-4204-A9C4-AC5762FF5DC0}">
      <text>
        <r>
          <rPr>
            <b/>
            <sz val="9"/>
            <color indexed="81"/>
            <rFont val="Tahoma"/>
            <family val="2"/>
          </rPr>
          <t>Froio, Zach:</t>
        </r>
        <r>
          <rPr>
            <sz val="9"/>
            <color indexed="81"/>
            <rFont val="Tahoma"/>
            <family val="2"/>
          </rPr>
          <t xml:space="preserve">
Added per IL TRM v7 p. 189</t>
        </r>
      </text>
    </comment>
    <comment ref="J76" authorId="0" shapeId="0" xr:uid="{C74258DF-001F-4CA0-948D-EB348110F837}">
      <text>
        <r>
          <rPr>
            <b/>
            <sz val="9"/>
            <color indexed="81"/>
            <rFont val="Tahoma"/>
            <family val="2"/>
          </rPr>
          <t>Froio, Zach:</t>
        </r>
        <r>
          <rPr>
            <sz val="9"/>
            <color indexed="81"/>
            <rFont val="Tahoma"/>
            <family val="2"/>
          </rPr>
          <t xml:space="preserve">
Added per IL TRM v7 p. 189</t>
        </r>
      </text>
    </comment>
    <comment ref="P76" authorId="0" shapeId="0" xr:uid="{DE6B8F54-253D-46AB-BBBA-DC5BC9420A99}">
      <text>
        <r>
          <rPr>
            <b/>
            <sz val="9"/>
            <color indexed="81"/>
            <rFont val="Tahoma"/>
            <family val="2"/>
          </rPr>
          <t>Froio, Zach:</t>
        </r>
        <r>
          <rPr>
            <sz val="9"/>
            <color indexed="81"/>
            <rFont val="Tahoma"/>
            <family val="2"/>
          </rPr>
          <t xml:space="preserve">
Added per IL TRM v7 p. 189</t>
        </r>
      </text>
    </comment>
    <comment ref="V76" authorId="0" shapeId="0" xr:uid="{C40B94EC-B717-49C8-A6DA-B4A2EAC4BE5F}">
      <text>
        <r>
          <rPr>
            <b/>
            <sz val="9"/>
            <color indexed="81"/>
            <rFont val="Tahoma"/>
            <family val="2"/>
          </rPr>
          <t>Froio, Zach:</t>
        </r>
        <r>
          <rPr>
            <sz val="9"/>
            <color indexed="81"/>
            <rFont val="Tahoma"/>
            <family val="2"/>
          </rPr>
          <t xml:space="preserve">
Added per IL TRM v7 p. 189</t>
        </r>
      </text>
    </comment>
    <comment ref="AB76" authorId="0" shapeId="0" xr:uid="{2E64E3E8-A428-4BFA-A005-F2DF36293F2E}">
      <text>
        <r>
          <rPr>
            <b/>
            <sz val="9"/>
            <color indexed="81"/>
            <rFont val="Tahoma"/>
            <family val="2"/>
          </rPr>
          <t>Froio, Zach:</t>
        </r>
        <r>
          <rPr>
            <sz val="9"/>
            <color indexed="81"/>
            <rFont val="Tahoma"/>
            <family val="2"/>
          </rPr>
          <t xml:space="preserve">
Added per IL TRM v7 p. 189</t>
        </r>
      </text>
    </comment>
    <comment ref="B77" authorId="0" shapeId="0" xr:uid="{0FD14A21-2A4C-4353-A976-86D25665337B}">
      <text>
        <r>
          <rPr>
            <b/>
            <sz val="9"/>
            <color indexed="81"/>
            <rFont val="Tahoma"/>
            <family val="2"/>
          </rPr>
          <t>Froio, Zach:</t>
        </r>
        <r>
          <rPr>
            <sz val="9"/>
            <color indexed="81"/>
            <rFont val="Tahoma"/>
            <family val="2"/>
          </rPr>
          <t xml:space="preserve">
Added per IL TRM v7 p. 189</t>
        </r>
      </text>
    </comment>
    <comment ref="J77" authorId="0" shapeId="0" xr:uid="{F3F3A4CF-93F9-4052-BAD5-5DB5DEFEB2F5}">
      <text>
        <r>
          <rPr>
            <b/>
            <sz val="9"/>
            <color indexed="81"/>
            <rFont val="Tahoma"/>
            <family val="2"/>
          </rPr>
          <t>Froio, Zach:</t>
        </r>
        <r>
          <rPr>
            <sz val="9"/>
            <color indexed="81"/>
            <rFont val="Tahoma"/>
            <family val="2"/>
          </rPr>
          <t xml:space="preserve">
Added per IL TRM v7 p. 189</t>
        </r>
      </text>
    </comment>
    <comment ref="P77" authorId="0" shapeId="0" xr:uid="{0F1B22CA-7E67-4C67-B873-9DF662392BDA}">
      <text>
        <r>
          <rPr>
            <b/>
            <sz val="9"/>
            <color indexed="81"/>
            <rFont val="Tahoma"/>
            <family val="2"/>
          </rPr>
          <t>Froio, Zach:</t>
        </r>
        <r>
          <rPr>
            <sz val="9"/>
            <color indexed="81"/>
            <rFont val="Tahoma"/>
            <family val="2"/>
          </rPr>
          <t xml:space="preserve">
Added per IL TRM v7 p. 189</t>
        </r>
      </text>
    </comment>
    <comment ref="V77" authorId="0" shapeId="0" xr:uid="{04B4D90C-4933-40CC-94AA-99F1274862DA}">
      <text>
        <r>
          <rPr>
            <b/>
            <sz val="9"/>
            <color indexed="81"/>
            <rFont val="Tahoma"/>
            <family val="2"/>
          </rPr>
          <t>Froio, Zach:</t>
        </r>
        <r>
          <rPr>
            <sz val="9"/>
            <color indexed="81"/>
            <rFont val="Tahoma"/>
            <family val="2"/>
          </rPr>
          <t xml:space="preserve">
Added per IL TRM v7 p. 189</t>
        </r>
      </text>
    </comment>
    <comment ref="AB77" authorId="0" shapeId="0" xr:uid="{F515E9D5-CE79-4DDB-91E6-DE5E99FC7E92}">
      <text>
        <r>
          <rPr>
            <b/>
            <sz val="9"/>
            <color indexed="81"/>
            <rFont val="Tahoma"/>
            <family val="2"/>
          </rPr>
          <t>Froio, Zach:</t>
        </r>
        <r>
          <rPr>
            <sz val="9"/>
            <color indexed="81"/>
            <rFont val="Tahoma"/>
            <family val="2"/>
          </rPr>
          <t xml:space="preserve">
Added per IL TRM v7 p. 189</t>
        </r>
      </text>
    </comment>
    <comment ref="B82" authorId="0" shapeId="0" xr:uid="{6EC11A61-9ED7-4D3D-823A-C800DFBB0846}">
      <text>
        <r>
          <rPr>
            <b/>
            <sz val="9"/>
            <color indexed="81"/>
            <rFont val="Tahoma"/>
            <family val="2"/>
          </rPr>
          <t>Froio, Zach:</t>
        </r>
        <r>
          <rPr>
            <sz val="9"/>
            <color indexed="81"/>
            <rFont val="Tahoma"/>
            <family val="2"/>
          </rPr>
          <t xml:space="preserve">
Updated per IL TRM v7 p. 190</t>
        </r>
      </text>
    </comment>
    <comment ref="P82" authorId="0" shapeId="0" xr:uid="{2867572C-D1C1-427E-8878-A232FA464F5F}">
      <text>
        <r>
          <rPr>
            <b/>
            <sz val="9"/>
            <color indexed="81"/>
            <rFont val="Tahoma"/>
            <family val="2"/>
          </rPr>
          <t>Froio, Zach:</t>
        </r>
        <r>
          <rPr>
            <sz val="9"/>
            <color indexed="81"/>
            <rFont val="Tahoma"/>
            <family val="2"/>
          </rPr>
          <t xml:space="preserve">
Updated per IL TRM v7 p. 190</t>
        </r>
      </text>
    </comment>
    <comment ref="AB82" authorId="0" shapeId="0" xr:uid="{E813010C-5E4D-4A47-A7C5-E00CAE8BB173}">
      <text>
        <r>
          <rPr>
            <b/>
            <sz val="9"/>
            <color indexed="81"/>
            <rFont val="Tahoma"/>
            <family val="2"/>
          </rPr>
          <t>Froio, Zach:</t>
        </r>
        <r>
          <rPr>
            <sz val="9"/>
            <color indexed="81"/>
            <rFont val="Tahoma"/>
            <family val="2"/>
          </rPr>
          <t xml:space="preserve">
Updated per IL TRM v7 p. 190</t>
        </r>
      </text>
    </comment>
    <comment ref="C122" authorId="1" shapeId="0" xr:uid="{00000000-0006-0000-1200-000001000000}">
      <text>
        <r>
          <rPr>
            <b/>
            <sz val="8"/>
            <color indexed="81"/>
            <rFont val="Tahoma"/>
            <family val="2"/>
          </rPr>
          <t>JReilly:</t>
        </r>
        <r>
          <rPr>
            <sz val="8"/>
            <color indexed="81"/>
            <rFont val="Tahoma"/>
            <family val="2"/>
          </rPr>
          <t xml:space="preserve">
Removed penalty per TRM update</t>
        </r>
      </text>
    </comment>
    <comment ref="C123" authorId="2" shapeId="0" xr:uid="{83AB4F42-8CE7-4C16-9542-85689680F0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225</t>
        </r>
      </text>
    </comment>
    <comment ref="C124" authorId="3" shapeId="0" xr:uid="{25CAE341-468B-45CB-A3A6-848B385108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225</t>
        </r>
      </text>
    </comment>
    <comment ref="C125" authorId="4" shapeId="0" xr:uid="{59017A2A-5428-4831-B555-68E58D91A43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225</t>
        </r>
      </text>
    </comment>
    <comment ref="B131" authorId="0" shapeId="0" xr:uid="{B0214553-009E-4E26-80B9-97E16509C785}">
      <text>
        <r>
          <rPr>
            <b/>
            <sz val="9"/>
            <color indexed="81"/>
            <rFont val="Tahoma"/>
            <family val="2"/>
          </rPr>
          <t>Froio, Zach:</t>
        </r>
        <r>
          <rPr>
            <sz val="9"/>
            <color indexed="81"/>
            <rFont val="Tahoma"/>
            <family val="2"/>
          </rPr>
          <t xml:space="preserve">
Updated per IL TRM v7 p. 193</t>
        </r>
      </text>
    </comment>
    <comment ref="L133" authorId="0" shapeId="0" xr:uid="{5FC46E3F-F149-43E4-8254-B52375E7334F}">
      <text>
        <r>
          <rPr>
            <b/>
            <sz val="9"/>
            <color indexed="81"/>
            <rFont val="Tahoma"/>
            <family val="2"/>
          </rPr>
          <t>Froio, Zach:</t>
        </r>
        <r>
          <rPr>
            <sz val="9"/>
            <color indexed="81"/>
            <rFont val="Tahoma"/>
            <family val="2"/>
          </rPr>
          <t xml:space="preserve">
Updated per IL TRM v7 p. 196</t>
        </r>
      </text>
    </comment>
    <comment ref="B137" authorId="0" shapeId="0" xr:uid="{E66191A6-471F-4345-B4CB-E6512C5EE25E}">
      <text>
        <r>
          <rPr>
            <b/>
            <sz val="9"/>
            <color indexed="81"/>
            <rFont val="Tahoma"/>
            <family val="2"/>
          </rPr>
          <t>Froio, Zach:</t>
        </r>
        <r>
          <rPr>
            <sz val="9"/>
            <color indexed="81"/>
            <rFont val="Tahoma"/>
            <family val="2"/>
          </rPr>
          <t xml:space="preserve">
Added per IL TRM v7 p. 196</t>
        </r>
      </text>
    </comment>
    <comment ref="B138" authorId="0" shapeId="0" xr:uid="{951D8DBB-9AA2-43F7-AD0A-A7F98D95C7AE}">
      <text>
        <r>
          <rPr>
            <b/>
            <sz val="9"/>
            <color indexed="81"/>
            <rFont val="Tahoma"/>
            <family val="2"/>
          </rPr>
          <t>Froio, Zach:</t>
        </r>
        <r>
          <rPr>
            <sz val="9"/>
            <color indexed="81"/>
            <rFont val="Tahoma"/>
            <family val="2"/>
          </rPr>
          <t xml:space="preserve">
Added per IL TRM v7 p. 198</t>
        </r>
      </text>
    </comment>
    <comment ref="B141" authorId="0" shapeId="0" xr:uid="{7F4E9E2D-34F4-4A3A-B89C-F06A4576B4DB}">
      <text>
        <r>
          <rPr>
            <b/>
            <sz val="9"/>
            <color indexed="81"/>
            <rFont val="Tahoma"/>
            <family val="2"/>
          </rPr>
          <t>Froio, Zach:</t>
        </r>
        <r>
          <rPr>
            <sz val="9"/>
            <color indexed="81"/>
            <rFont val="Tahoma"/>
            <family val="2"/>
          </rPr>
          <t xml:space="preserve">
Updated per IL TRM v7 p. 194</t>
        </r>
      </text>
    </comment>
    <comment ref="B151" authorId="0" shapeId="0" xr:uid="{FE3B1FBF-5669-45B7-91BF-1615B6AB3486}">
      <text>
        <r>
          <rPr>
            <b/>
            <sz val="9"/>
            <color indexed="81"/>
            <rFont val="Tahoma"/>
            <family val="2"/>
          </rPr>
          <t>Froio, Zach:</t>
        </r>
        <r>
          <rPr>
            <sz val="9"/>
            <color indexed="81"/>
            <rFont val="Tahoma"/>
            <family val="2"/>
          </rPr>
          <t xml:space="preserve">
Updated per IL TRM v8 p. 207</t>
        </r>
      </text>
    </comment>
    <comment ref="B153" authorId="0" shapeId="0" xr:uid="{F2B28A6B-0535-465B-9AFC-1ABCFD4A9A2D}">
      <text>
        <r>
          <rPr>
            <b/>
            <sz val="9"/>
            <color indexed="81"/>
            <rFont val="Tahoma"/>
            <family val="2"/>
          </rPr>
          <t>Froio, Zach:</t>
        </r>
        <r>
          <rPr>
            <sz val="9"/>
            <color indexed="81"/>
            <rFont val="Tahoma"/>
            <family val="2"/>
          </rPr>
          <t xml:space="preserve">
Added per IL TRM v7 p. 198</t>
        </r>
      </text>
    </comment>
    <comment ref="B154" authorId="0" shapeId="0" xr:uid="{82C7229B-2594-498B-B28A-A0FD03788D85}">
      <text>
        <r>
          <rPr>
            <b/>
            <sz val="9"/>
            <color indexed="81"/>
            <rFont val="Tahoma"/>
            <family val="2"/>
          </rPr>
          <t>Froio, Zach:</t>
        </r>
        <r>
          <rPr>
            <sz val="9"/>
            <color indexed="81"/>
            <rFont val="Tahoma"/>
            <family val="2"/>
          </rPr>
          <t xml:space="preserve">
Added per IL TRM v7 p. 198</t>
        </r>
      </text>
    </comment>
    <comment ref="B155" authorId="0" shapeId="0" xr:uid="{7486FCF5-441C-40CD-A2DC-5C4B780A93F0}">
      <text>
        <r>
          <rPr>
            <b/>
            <sz val="9"/>
            <color indexed="81"/>
            <rFont val="Tahoma"/>
            <family val="2"/>
          </rPr>
          <t>Froio, Zach:</t>
        </r>
        <r>
          <rPr>
            <sz val="9"/>
            <color indexed="81"/>
            <rFont val="Tahoma"/>
            <family val="2"/>
          </rPr>
          <t xml:space="preserve">
Added per IL TRM v7 p. 196</t>
        </r>
      </text>
    </comment>
    <comment ref="B156" authorId="0" shapeId="0" xr:uid="{E8985AF4-FA36-4076-8E6E-EB4FF74469B9}">
      <text>
        <r>
          <rPr>
            <b/>
            <sz val="9"/>
            <color indexed="81"/>
            <rFont val="Tahoma"/>
            <family val="2"/>
          </rPr>
          <t>Froio, Zach:</t>
        </r>
        <r>
          <rPr>
            <sz val="9"/>
            <color indexed="81"/>
            <rFont val="Tahoma"/>
            <family val="2"/>
          </rPr>
          <t xml:space="preserve">
Added per IL TRM v7 p. 196</t>
        </r>
      </text>
    </comment>
    <comment ref="B157" authorId="0" shapeId="0" xr:uid="{690BF5B7-8A6C-483A-AE3B-F313A136691A}">
      <text>
        <r>
          <rPr>
            <b/>
            <sz val="9"/>
            <color indexed="81"/>
            <rFont val="Tahoma"/>
            <family val="2"/>
          </rPr>
          <t>Froio, Zach:</t>
        </r>
        <r>
          <rPr>
            <sz val="9"/>
            <color indexed="81"/>
            <rFont val="Tahoma"/>
            <family val="2"/>
          </rPr>
          <t xml:space="preserve">
Updated per IL TRM v7 p. 196</t>
        </r>
      </text>
    </comment>
    <comment ref="B158" authorId="0" shapeId="0" xr:uid="{17AE7571-0773-4C94-B644-5FA8B2F7B35D}">
      <text>
        <r>
          <rPr>
            <b/>
            <sz val="9"/>
            <color indexed="81"/>
            <rFont val="Tahoma"/>
            <family val="2"/>
          </rPr>
          <t>Froio, Zach:</t>
        </r>
        <r>
          <rPr>
            <sz val="9"/>
            <color indexed="81"/>
            <rFont val="Tahoma"/>
            <family val="2"/>
          </rPr>
          <t xml:space="preserve">
Updated per IL TRM v7 p. 196</t>
        </r>
      </text>
    </comment>
    <comment ref="B161" authorId="0" shapeId="0" xr:uid="{F70FDA68-8C1E-457B-86F7-9F2EBE48FC8C}">
      <text>
        <r>
          <rPr>
            <b/>
            <sz val="9"/>
            <color indexed="81"/>
            <rFont val="Tahoma"/>
            <family val="2"/>
          </rPr>
          <t>Froio, Zach:</t>
        </r>
        <r>
          <rPr>
            <sz val="9"/>
            <color indexed="81"/>
            <rFont val="Tahoma"/>
            <family val="2"/>
          </rPr>
          <t xml:space="preserve">
Updated per IL TRM v7 p. 197</t>
        </r>
      </text>
    </comment>
    <comment ref="C176" authorId="0" shapeId="0" xr:uid="{5F083B27-456D-4392-AF6A-5EDA31B87063}">
      <text>
        <r>
          <rPr>
            <b/>
            <sz val="9"/>
            <color indexed="81"/>
            <rFont val="Tahoma"/>
            <family val="2"/>
          </rPr>
          <t>Froio, Zach:</t>
        </r>
        <r>
          <rPr>
            <sz val="9"/>
            <color indexed="81"/>
            <rFont val="Tahoma"/>
            <family val="2"/>
          </rPr>
          <t xml:space="preserve">
Updated per IL TRM v7 p. 184</t>
        </r>
      </text>
    </comment>
    <comment ref="C178" authorId="0" shapeId="0" xr:uid="{0A8BF522-A596-429F-B9C9-10E223D5524B}">
      <text>
        <r>
          <rPr>
            <b/>
            <sz val="9"/>
            <color indexed="81"/>
            <rFont val="Tahoma"/>
            <family val="2"/>
          </rPr>
          <t>Froio, Zach:</t>
        </r>
        <r>
          <rPr>
            <sz val="9"/>
            <color indexed="81"/>
            <rFont val="Tahoma"/>
            <family val="2"/>
          </rPr>
          <t xml:space="preserve">
Updated per IL TRM v7 p. 184</t>
        </r>
      </text>
    </comment>
    <comment ref="C179" authorId="0" shapeId="0" xr:uid="{B5E18DDE-7E46-445F-AFE4-9593730280A3}">
      <text>
        <r>
          <rPr>
            <b/>
            <sz val="9"/>
            <color indexed="81"/>
            <rFont val="Tahoma"/>
            <family val="2"/>
          </rPr>
          <t>Froio, Zach:</t>
        </r>
        <r>
          <rPr>
            <sz val="9"/>
            <color indexed="81"/>
            <rFont val="Tahoma"/>
            <family val="2"/>
          </rPr>
          <t xml:space="preserve">
Updated per IL TRM v7 p. 184</t>
        </r>
      </text>
    </comment>
    <comment ref="L180" authorId="0" shapeId="0" xr:uid="{2CD0B8D1-6457-4DF6-92DC-452696B7FD52}">
      <text>
        <r>
          <rPr>
            <b/>
            <sz val="9"/>
            <color indexed="81"/>
            <rFont val="Tahoma"/>
            <family val="2"/>
          </rPr>
          <t>Froio, Zach:</t>
        </r>
        <r>
          <rPr>
            <sz val="9"/>
            <color indexed="81"/>
            <rFont val="Tahoma"/>
            <family val="2"/>
          </rPr>
          <t xml:space="preserve">
Updated per IL TRM v7 p. 189</t>
        </r>
      </text>
    </comment>
    <comment ref="B184" authorId="0" shapeId="0" xr:uid="{BCAAF122-5ACE-4D59-86AD-066D3356F810}">
      <text>
        <r>
          <rPr>
            <b/>
            <sz val="9"/>
            <color indexed="81"/>
            <rFont val="Tahoma"/>
            <family val="2"/>
          </rPr>
          <t>Froio, Zach:</t>
        </r>
        <r>
          <rPr>
            <sz val="9"/>
            <color indexed="81"/>
            <rFont val="Tahoma"/>
            <family val="2"/>
          </rPr>
          <t xml:space="preserve">
Added per IL TRM v7 p. 189</t>
        </r>
      </text>
    </comment>
    <comment ref="B185" authorId="0" shapeId="0" xr:uid="{20547F97-E635-46E0-82B5-4CE761A9E88E}">
      <text>
        <r>
          <rPr>
            <b/>
            <sz val="9"/>
            <color indexed="81"/>
            <rFont val="Tahoma"/>
            <family val="2"/>
          </rPr>
          <t>Froio, Zach:</t>
        </r>
        <r>
          <rPr>
            <sz val="9"/>
            <color indexed="81"/>
            <rFont val="Tahoma"/>
            <family val="2"/>
          </rPr>
          <t xml:space="preserve">
Added per IL TRM v7 p. 191</t>
        </r>
      </text>
    </comment>
    <comment ref="C188" authorId="0" shapeId="0" xr:uid="{5E1557FA-D812-489E-8467-DFCD4C86C20B}">
      <text>
        <r>
          <rPr>
            <b/>
            <sz val="9"/>
            <color indexed="81"/>
            <rFont val="Tahoma"/>
            <family val="2"/>
          </rPr>
          <t>Froio, Zach:</t>
        </r>
        <r>
          <rPr>
            <sz val="9"/>
            <color indexed="81"/>
            <rFont val="Tahoma"/>
            <family val="2"/>
          </rPr>
          <t xml:space="preserve">
Updated per IL TRM v7 p. 185</t>
        </r>
      </text>
    </comment>
    <comment ref="B202" authorId="0" shapeId="0" xr:uid="{542A74AC-F0FE-45D3-89BA-197F9CCE7ACC}">
      <text>
        <r>
          <rPr>
            <b/>
            <sz val="9"/>
            <color indexed="81"/>
            <rFont val="Tahoma"/>
            <family val="2"/>
          </rPr>
          <t>Froio, Zach:</t>
        </r>
        <r>
          <rPr>
            <sz val="9"/>
            <color indexed="81"/>
            <rFont val="Tahoma"/>
            <family val="2"/>
          </rPr>
          <t xml:space="preserve">
Added per IL TRM v7 p. 191</t>
        </r>
      </text>
    </comment>
    <comment ref="B203" authorId="0" shapeId="0" xr:uid="{A6ECF0AB-27C2-471B-95B4-5E7369E8F69B}">
      <text>
        <r>
          <rPr>
            <b/>
            <sz val="9"/>
            <color indexed="81"/>
            <rFont val="Tahoma"/>
            <family val="2"/>
          </rPr>
          <t>Froio, Zach:</t>
        </r>
        <r>
          <rPr>
            <sz val="9"/>
            <color indexed="81"/>
            <rFont val="Tahoma"/>
            <family val="2"/>
          </rPr>
          <t xml:space="preserve">
Added per IL TRM v7 p. 191</t>
        </r>
      </text>
    </comment>
    <comment ref="B204" authorId="0" shapeId="0" xr:uid="{4CDF2FA0-960B-4F7C-A2A4-6B30EF94263E}">
      <text>
        <r>
          <rPr>
            <b/>
            <sz val="9"/>
            <color indexed="81"/>
            <rFont val="Tahoma"/>
            <family val="2"/>
          </rPr>
          <t>Froio, Zach:</t>
        </r>
        <r>
          <rPr>
            <sz val="9"/>
            <color indexed="81"/>
            <rFont val="Tahoma"/>
            <family val="2"/>
          </rPr>
          <t xml:space="preserve">
Added per IL TRM v7 p. 189</t>
        </r>
      </text>
    </comment>
    <comment ref="B205" authorId="0" shapeId="0" xr:uid="{B8DE3630-7224-4F65-8BB7-66E655F95EAD}">
      <text>
        <r>
          <rPr>
            <b/>
            <sz val="9"/>
            <color indexed="81"/>
            <rFont val="Tahoma"/>
            <family val="2"/>
          </rPr>
          <t>Froio, Zach:</t>
        </r>
        <r>
          <rPr>
            <sz val="9"/>
            <color indexed="81"/>
            <rFont val="Tahoma"/>
            <family val="2"/>
          </rPr>
          <t xml:space="preserve">
Added per IL TRM v7 p. 189</t>
        </r>
      </text>
    </comment>
    <comment ref="B210" authorId="0" shapeId="0" xr:uid="{5B6696A4-0AEF-4DE4-AA76-4B8C5EB56B12}">
      <text>
        <r>
          <rPr>
            <b/>
            <sz val="9"/>
            <color indexed="81"/>
            <rFont val="Tahoma"/>
            <family val="2"/>
          </rPr>
          <t>Froio, Zach:</t>
        </r>
        <r>
          <rPr>
            <sz val="9"/>
            <color indexed="81"/>
            <rFont val="Tahoma"/>
            <family val="2"/>
          </rPr>
          <t xml:space="preserve">
Updated per IL TRM v7 p. 190</t>
        </r>
      </text>
    </comment>
    <comment ref="B226" authorId="0" shapeId="0" xr:uid="{89CFE359-6ABE-49C0-9F47-597A2204EA0B}">
      <text>
        <r>
          <rPr>
            <b/>
            <sz val="9"/>
            <color indexed="81"/>
            <rFont val="Tahoma"/>
            <family val="2"/>
          </rPr>
          <t>Froio, Zach:</t>
        </r>
        <r>
          <rPr>
            <sz val="9"/>
            <color indexed="81"/>
            <rFont val="Tahoma"/>
            <family val="2"/>
          </rPr>
          <t xml:space="preserve">
Updated per IL TRM v7 p. 179</t>
        </r>
      </text>
    </comment>
    <comment ref="C227" authorId="0" shapeId="0" xr:uid="{A58447C6-48F5-4FCB-9030-85481EE18FC5}">
      <text>
        <r>
          <rPr>
            <b/>
            <sz val="9"/>
            <color indexed="81"/>
            <rFont val="Tahoma"/>
            <family val="2"/>
          </rPr>
          <t>Froio, Zach:</t>
        </r>
        <r>
          <rPr>
            <sz val="9"/>
            <color indexed="81"/>
            <rFont val="Tahoma"/>
            <family val="2"/>
          </rPr>
          <t xml:space="preserve">
Updated per IL TRM v7 p. 180</t>
        </r>
      </text>
    </comment>
    <comment ref="C228" authorId="0" shapeId="0" xr:uid="{C1192713-125A-456B-9033-DF803EFAC451}">
      <text>
        <r>
          <rPr>
            <b/>
            <sz val="9"/>
            <color indexed="81"/>
            <rFont val="Tahoma"/>
            <family val="2"/>
          </rPr>
          <t>Froio, Zach:</t>
        </r>
        <r>
          <rPr>
            <sz val="9"/>
            <color indexed="81"/>
            <rFont val="Tahoma"/>
            <family val="2"/>
          </rPr>
          <t xml:space="preserve">
Updated per IL TRM v7 p. 181</t>
        </r>
      </text>
    </comment>
    <comment ref="B230" authorId="0" shapeId="0" xr:uid="{AFB6FF60-15D2-432A-8EC4-52C8E2D417F3}">
      <text>
        <r>
          <rPr>
            <b/>
            <sz val="9"/>
            <color indexed="81"/>
            <rFont val="Tahoma"/>
            <family val="2"/>
          </rPr>
          <t>Froio, Zach:</t>
        </r>
        <r>
          <rPr>
            <sz val="9"/>
            <color indexed="81"/>
            <rFont val="Tahoma"/>
            <family val="2"/>
          </rPr>
          <t xml:space="preserve">
Updated per IL TRM v7 p. 182</t>
        </r>
      </text>
    </comment>
    <comment ref="C232" authorId="0" shapeId="0" xr:uid="{7ABBF929-876B-461B-A06C-B798B900DBCC}">
      <text>
        <r>
          <rPr>
            <b/>
            <sz val="9"/>
            <color indexed="81"/>
            <rFont val="Tahoma"/>
            <family val="2"/>
          </rPr>
          <t>Froio, Zach:</t>
        </r>
        <r>
          <rPr>
            <sz val="9"/>
            <color indexed="81"/>
            <rFont val="Tahoma"/>
            <family val="2"/>
          </rPr>
          <t xml:space="preserve">
Updated per IL TRM v7 p. 178</t>
        </r>
      </text>
    </comment>
    <comment ref="B234" authorId="0" shapeId="0" xr:uid="{ECA57762-BB23-46F0-8245-5DBB01640736}">
      <text>
        <r>
          <rPr>
            <b/>
            <sz val="9"/>
            <color indexed="81"/>
            <rFont val="Tahoma"/>
            <family val="2"/>
          </rPr>
          <t>Froio, Zach:</t>
        </r>
        <r>
          <rPr>
            <sz val="9"/>
            <color indexed="81"/>
            <rFont val="Tahoma"/>
            <family val="2"/>
          </rPr>
          <t xml:space="preserve">
Updated per IL TRM v7 p. 178</t>
        </r>
      </text>
    </comment>
    <comment ref="B238" authorId="0" shapeId="0" xr:uid="{5A21BAB8-D6C0-49E4-97AB-313EC9DBC1EF}">
      <text>
        <r>
          <rPr>
            <b/>
            <sz val="9"/>
            <color indexed="81"/>
            <rFont val="Tahoma"/>
            <family val="2"/>
          </rPr>
          <t>Froio, Zach:</t>
        </r>
        <r>
          <rPr>
            <sz val="9"/>
            <color indexed="81"/>
            <rFont val="Tahoma"/>
            <family val="2"/>
          </rPr>
          <t xml:space="preserve">
Updated label only. TRM efficiency rating value remains the same with new UEF (p. 179)</t>
        </r>
      </text>
    </comment>
    <comment ref="B240" authorId="0" shapeId="0" xr:uid="{D1525A72-AFCC-4795-9031-A5695B75AF11}">
      <text>
        <r>
          <rPr>
            <b/>
            <sz val="9"/>
            <color indexed="81"/>
            <rFont val="Tahoma"/>
            <family val="2"/>
          </rPr>
          <t>Froio, Zach:</t>
        </r>
        <r>
          <rPr>
            <sz val="9"/>
            <color indexed="81"/>
            <rFont val="Tahoma"/>
            <family val="2"/>
          </rPr>
          <t xml:space="preserve">
Updated label only. TRM efficiency rating value remains the same with new UEF (p. 179)</t>
        </r>
      </text>
    </comment>
    <comment ref="L245" authorId="0" shapeId="0" xr:uid="{C38BC95C-FD72-422B-8E82-8786D6AEE726}">
      <text>
        <r>
          <rPr>
            <b/>
            <sz val="9"/>
            <color indexed="81"/>
            <rFont val="Tahoma"/>
            <family val="2"/>
          </rPr>
          <t>Froio, Zach:</t>
        </r>
        <r>
          <rPr>
            <sz val="9"/>
            <color indexed="81"/>
            <rFont val="Tahoma"/>
            <family val="2"/>
          </rPr>
          <t xml:space="preserve">
Added savings values with mid-life adjustment for heating &amp; cooling equipment per IL TRM v7 p. 183</t>
        </r>
      </text>
    </comment>
    <comment ref="B253" authorId="0" shapeId="0" xr:uid="{049BDBE7-7C74-4148-A06B-FBC1192D8AFA}">
      <text>
        <r>
          <rPr>
            <b/>
            <sz val="9"/>
            <color indexed="81"/>
            <rFont val="Tahoma"/>
            <family val="2"/>
          </rPr>
          <t>Froio, Zach:</t>
        </r>
        <r>
          <rPr>
            <sz val="9"/>
            <color indexed="81"/>
            <rFont val="Tahoma"/>
            <family val="2"/>
          </rPr>
          <t xml:space="preserve">
Updated per IL TRM v7 p. 180</t>
        </r>
      </text>
    </comment>
    <comment ref="G255" authorId="0" shapeId="0" xr:uid="{7B5F5E59-A5A4-4685-B869-D61475AB491D}">
      <text>
        <r>
          <rPr>
            <b/>
            <sz val="9"/>
            <color indexed="81"/>
            <rFont val="Tahoma"/>
            <family val="2"/>
          </rPr>
          <t>Froio, Zach:</t>
        </r>
        <r>
          <rPr>
            <sz val="9"/>
            <color indexed="81"/>
            <rFont val="Tahoma"/>
            <family val="2"/>
          </rPr>
          <t xml:space="preserve">
Added per IL TRM v7 p. 183</t>
        </r>
      </text>
    </comment>
    <comment ref="G257" authorId="0" shapeId="0" xr:uid="{26A3B734-A143-4483-820C-75698746CC67}">
      <text>
        <r>
          <rPr>
            <b/>
            <sz val="9"/>
            <color indexed="81"/>
            <rFont val="Tahoma"/>
            <family val="2"/>
          </rPr>
          <t>Froio, Zach:</t>
        </r>
        <r>
          <rPr>
            <sz val="9"/>
            <color indexed="81"/>
            <rFont val="Tahoma"/>
            <family val="2"/>
          </rPr>
          <t xml:space="preserve">
Added per IL TRM v7 p. 183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EA19" authorId="0" shapeId="0" xr:uid="{B25A90F4-93D5-4538-8B7E-05C58F3C4B9F}">
      <text>
        <r>
          <rPr>
            <b/>
            <sz val="9"/>
            <color indexed="81"/>
            <rFont val="Tahoma"/>
            <family val="2"/>
          </rPr>
          <t>Froio, Zach:</t>
        </r>
        <r>
          <rPr>
            <sz val="9"/>
            <color indexed="81"/>
            <rFont val="Tahoma"/>
            <family val="2"/>
          </rPr>
          <t xml:space="preserve">
Updated per IL TRM v7 p. 472</t>
        </r>
      </text>
    </comment>
    <comment ref="C28" authorId="0" shapeId="0" xr:uid="{646AE6B5-F853-4AE7-96B0-F9001B34806A}">
      <text>
        <r>
          <rPr>
            <b/>
            <sz val="9"/>
            <color indexed="81"/>
            <rFont val="Tahoma"/>
            <family val="2"/>
          </rPr>
          <t>Froio, Zach:</t>
        </r>
        <r>
          <rPr>
            <sz val="9"/>
            <color indexed="81"/>
            <rFont val="Tahoma"/>
            <family val="2"/>
          </rPr>
          <t xml:space="preserve">
Updated per IL TRM v7 p. 440</t>
        </r>
      </text>
    </comment>
    <comment ref="EA28" authorId="0" shapeId="0" xr:uid="{C7BE47B7-257A-4CF1-A0DC-857007A3A027}">
      <text>
        <r>
          <rPr>
            <b/>
            <sz val="9"/>
            <color indexed="81"/>
            <rFont val="Tahoma"/>
            <family val="2"/>
          </rPr>
          <t>Froio, Zach:</t>
        </r>
        <r>
          <rPr>
            <sz val="9"/>
            <color indexed="81"/>
            <rFont val="Tahoma"/>
            <family val="2"/>
          </rPr>
          <t xml:space="preserve">
Updated per IL TRM v7 p. 440</t>
        </r>
      </text>
    </comment>
    <comment ref="C29" authorId="0" shapeId="0" xr:uid="{84BA199C-2FDF-4964-98E5-D94E6E87A1E0}">
      <text>
        <r>
          <rPr>
            <b/>
            <sz val="9"/>
            <color indexed="81"/>
            <rFont val="Tahoma"/>
            <family val="2"/>
          </rPr>
          <t>Froio, Zach:</t>
        </r>
        <r>
          <rPr>
            <sz val="9"/>
            <color indexed="81"/>
            <rFont val="Tahoma"/>
            <family val="2"/>
          </rPr>
          <t xml:space="preserve">
Updated per IL TRM v7 p. 440</t>
        </r>
      </text>
    </comment>
    <comment ref="C36" authorId="0" shapeId="0" xr:uid="{73AA28FF-7745-404C-8F8C-666333E88B7F}">
      <text>
        <r>
          <rPr>
            <b/>
            <sz val="9"/>
            <color indexed="81"/>
            <rFont val="Tahoma"/>
            <family val="2"/>
          </rPr>
          <t>Froio, Zach:</t>
        </r>
        <r>
          <rPr>
            <sz val="9"/>
            <color indexed="81"/>
            <rFont val="Tahoma"/>
            <family val="2"/>
          </rPr>
          <t xml:space="preserve">
Updated per IL TRM v7 p. 153</t>
        </r>
      </text>
    </comment>
    <comment ref="C38" authorId="0" shapeId="0" xr:uid="{25097090-E433-4A71-8D24-E74545499BE3}">
      <text>
        <r>
          <rPr>
            <b/>
            <sz val="9"/>
            <color indexed="81"/>
            <rFont val="Tahoma"/>
            <family val="2"/>
          </rPr>
          <t>Froio, Zach:</t>
        </r>
        <r>
          <rPr>
            <sz val="9"/>
            <color indexed="81"/>
            <rFont val="Tahoma"/>
            <family val="2"/>
          </rPr>
          <t xml:space="preserve">
Updated per IL TRM v7 p. 153</t>
        </r>
      </text>
    </comment>
    <comment ref="C39" authorId="0" shapeId="0" xr:uid="{41E4FC02-F592-4CEF-B454-712A354590DB}">
      <text>
        <r>
          <rPr>
            <b/>
            <sz val="9"/>
            <color indexed="81"/>
            <rFont val="Tahoma"/>
            <family val="2"/>
          </rPr>
          <t>Froio, Zach:</t>
        </r>
        <r>
          <rPr>
            <sz val="9"/>
            <color indexed="81"/>
            <rFont val="Tahoma"/>
            <family val="2"/>
          </rPr>
          <t xml:space="preserve">
Update per IL TRM v7 p 192</t>
        </r>
      </text>
    </comment>
    <comment ref="C43" authorId="0" shapeId="0" xr:uid="{21F4F0D4-3469-48A8-A785-7AE1279124F1}">
      <text>
        <r>
          <rPr>
            <b/>
            <sz val="9"/>
            <color indexed="81"/>
            <rFont val="Tahoma"/>
            <family val="2"/>
          </rPr>
          <t>Froio, Zach:</t>
        </r>
        <r>
          <rPr>
            <sz val="9"/>
            <color indexed="81"/>
            <rFont val="Tahoma"/>
            <family val="2"/>
          </rPr>
          <t xml:space="preserve">
Update per IL TRM v7 p 192</t>
        </r>
      </text>
    </comment>
    <comment ref="C52" authorId="0" shapeId="0" xr:uid="{CFA93B96-31B5-46D8-BC81-FC58AFB741F9}">
      <text>
        <r>
          <rPr>
            <b/>
            <sz val="9"/>
            <color indexed="81"/>
            <rFont val="Tahoma"/>
            <family val="2"/>
          </rPr>
          <t>Froio, Zach:</t>
        </r>
        <r>
          <rPr>
            <sz val="9"/>
            <color indexed="81"/>
            <rFont val="Tahoma"/>
            <family val="2"/>
          </rPr>
          <t xml:space="preserve">
Updated per IL TRM v7 p. 512</t>
        </r>
      </text>
    </comment>
    <comment ref="DO52" authorId="0" shapeId="0" xr:uid="{2B9E1C04-5B17-4F90-A351-4542C973EC08}">
      <text>
        <r>
          <rPr>
            <b/>
            <sz val="9"/>
            <color indexed="81"/>
            <rFont val="Tahoma"/>
            <family val="2"/>
          </rPr>
          <t>Froio, Zach:</t>
        </r>
        <r>
          <rPr>
            <sz val="9"/>
            <color indexed="81"/>
            <rFont val="Tahoma"/>
            <family val="2"/>
          </rPr>
          <t xml:space="preserve">
Updated per IL TRM v7 p. 512</t>
        </r>
      </text>
    </comment>
    <comment ref="C53" authorId="0" shapeId="0" xr:uid="{DCAA07C8-B3B9-4BC2-A227-7C5380D409D9}">
      <text>
        <r>
          <rPr>
            <b/>
            <sz val="9"/>
            <color indexed="81"/>
            <rFont val="Tahoma"/>
            <family val="2"/>
          </rPr>
          <t>Froio, Zach:</t>
        </r>
        <r>
          <rPr>
            <sz val="9"/>
            <color indexed="81"/>
            <rFont val="Tahoma"/>
            <family val="2"/>
          </rPr>
          <t xml:space="preserve">
Updated per IL TRM v7 p. 512</t>
        </r>
      </text>
    </comment>
    <comment ref="DO53" authorId="0" shapeId="0" xr:uid="{B9A256C3-8AF2-4C9C-969D-097F4B5CBFE7}">
      <text>
        <r>
          <rPr>
            <b/>
            <sz val="9"/>
            <color indexed="81"/>
            <rFont val="Tahoma"/>
            <family val="2"/>
          </rPr>
          <t>Froio, Zach:</t>
        </r>
        <r>
          <rPr>
            <sz val="9"/>
            <color indexed="81"/>
            <rFont val="Tahoma"/>
            <family val="2"/>
          </rPr>
          <t xml:space="preserve">
Updated per IL TRM v7 p. 512</t>
        </r>
      </text>
    </comment>
    <comment ref="C54" authorId="0" shapeId="0" xr:uid="{EE971677-ED09-4E10-9DFA-3673A1F56E57}">
      <text>
        <r>
          <rPr>
            <b/>
            <sz val="9"/>
            <color indexed="81"/>
            <rFont val="Tahoma"/>
            <family val="2"/>
          </rPr>
          <t>Froio, Zach:</t>
        </r>
        <r>
          <rPr>
            <sz val="9"/>
            <color indexed="81"/>
            <rFont val="Tahoma"/>
            <family val="2"/>
          </rPr>
          <t xml:space="preserve">
Updated per IL TRM v7 p. 515</t>
        </r>
      </text>
    </comment>
    <comment ref="C92" authorId="0" shapeId="0" xr:uid="{5E354111-CE46-4951-B25F-2B150168BF41}">
      <text>
        <r>
          <rPr>
            <b/>
            <sz val="9"/>
            <color indexed="81"/>
            <rFont val="Tahoma"/>
            <family val="2"/>
          </rPr>
          <t>Froio, Zach:</t>
        </r>
        <r>
          <rPr>
            <sz val="9"/>
            <color indexed="81"/>
            <rFont val="Tahoma"/>
            <family val="2"/>
          </rPr>
          <t xml:space="preserve">
Updated per IL TRM v7 p. 542</t>
        </r>
      </text>
    </comment>
    <comment ref="C106" authorId="0" shapeId="0" xr:uid="{C6F3CFC4-505E-481C-8D36-909E4F3C0605}">
      <text>
        <r>
          <rPr>
            <b/>
            <sz val="9"/>
            <color indexed="81"/>
            <rFont val="Tahoma"/>
            <family val="2"/>
          </rPr>
          <t>Froio, Zach:</t>
        </r>
        <r>
          <rPr>
            <sz val="9"/>
            <color indexed="81"/>
            <rFont val="Tahoma"/>
            <family val="2"/>
          </rPr>
          <t xml:space="preserve">
Updated per IL TRM v7 p. 542</t>
        </r>
      </text>
    </comment>
    <comment ref="C126" authorId="0" shapeId="0" xr:uid="{8F250BEB-C5A4-4C49-8597-4E9AD344E080}">
      <text>
        <r>
          <rPr>
            <b/>
            <sz val="9"/>
            <color indexed="81"/>
            <rFont val="Tahoma"/>
            <family val="2"/>
          </rPr>
          <t>Froio, Zach:</t>
        </r>
        <r>
          <rPr>
            <sz val="9"/>
            <color indexed="81"/>
            <rFont val="Tahoma"/>
            <family val="2"/>
          </rPr>
          <t xml:space="preserve">
Updated per IL TRM v7 p. 556</t>
        </r>
      </text>
    </comment>
    <comment ref="C127" authorId="0" shapeId="0" xr:uid="{28A3707E-60EF-43B9-A440-6E8F9F76E91A}">
      <text>
        <r>
          <rPr>
            <b/>
            <sz val="9"/>
            <color indexed="81"/>
            <rFont val="Tahoma"/>
            <family val="2"/>
          </rPr>
          <t>Froio, Zach:</t>
        </r>
        <r>
          <rPr>
            <sz val="9"/>
            <color indexed="81"/>
            <rFont val="Tahoma"/>
            <family val="2"/>
          </rPr>
          <t xml:space="preserve">
Updated per IL TRM v7 p. 231</t>
        </r>
      </text>
    </comment>
    <comment ref="C162" authorId="0" shapeId="0" xr:uid="{0FDE3531-8F78-4974-830C-906DA9F6B56E}">
      <text>
        <r>
          <rPr>
            <b/>
            <sz val="9"/>
            <color indexed="81"/>
            <rFont val="Tahoma"/>
            <family val="2"/>
          </rPr>
          <t>Froio, Zach:</t>
        </r>
        <r>
          <rPr>
            <sz val="9"/>
            <color indexed="81"/>
            <rFont val="Tahoma"/>
            <family val="2"/>
          </rPr>
          <t xml:space="preserve">
Updated per IL TRM v7 p. 553</t>
        </r>
      </text>
    </comment>
    <comment ref="DJ207" authorId="1" shapeId="0" xr:uid="{00000000-0006-0000-1400-000001000000}">
      <text>
        <r>
          <rPr>
            <b/>
            <sz val="9"/>
            <color indexed="81"/>
            <rFont val="Tahoma"/>
            <family val="2"/>
          </rPr>
          <t>Vaughn, Andrew C:</t>
        </r>
        <r>
          <rPr>
            <sz val="9"/>
            <color indexed="81"/>
            <rFont val="Tahoma"/>
            <family val="2"/>
          </rPr>
          <t xml:space="preserve">
Gas Incentive</t>
        </r>
      </text>
    </comment>
    <comment ref="DJ208" authorId="1" shapeId="0" xr:uid="{00000000-0006-0000-1400-000002000000}">
      <text>
        <r>
          <rPr>
            <b/>
            <sz val="9"/>
            <color indexed="81"/>
            <rFont val="Tahoma"/>
            <family val="2"/>
          </rPr>
          <t>Vaughn, Andrew C:</t>
        </r>
        <r>
          <rPr>
            <sz val="9"/>
            <color indexed="81"/>
            <rFont val="Tahoma"/>
            <family val="2"/>
          </rPr>
          <t xml:space="preserve">
Gas Incentive</t>
        </r>
      </text>
    </comment>
    <comment ref="EA263" authorId="0" shapeId="0" xr:uid="{2E63632A-9122-499C-8FBC-5EC160B0E973}">
      <text>
        <r>
          <rPr>
            <b/>
            <sz val="9"/>
            <color indexed="81"/>
            <rFont val="Tahoma"/>
            <family val="2"/>
          </rPr>
          <t>Froio, Zach:</t>
        </r>
        <r>
          <rPr>
            <sz val="9"/>
            <color indexed="81"/>
            <rFont val="Tahoma"/>
            <family val="2"/>
          </rPr>
          <t xml:space="preserve">
Updated per IL TRM v7 p. 472</t>
        </r>
      </text>
    </comment>
    <comment ref="EA272" authorId="0" shapeId="0" xr:uid="{60090621-0DFE-4E6E-BC26-368AA07ABC12}">
      <text>
        <r>
          <rPr>
            <b/>
            <sz val="9"/>
            <color indexed="81"/>
            <rFont val="Tahoma"/>
            <family val="2"/>
          </rPr>
          <t>Froio, Zach:</t>
        </r>
        <r>
          <rPr>
            <sz val="9"/>
            <color indexed="81"/>
            <rFont val="Tahoma"/>
            <family val="2"/>
          </rPr>
          <t xml:space="preserve">
Updated per IL TRM v7 p. 440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44" authorId="0" shapeId="0" xr:uid="{639126DC-0D4E-497A-804D-BFF3246E7A55}">
      <text>
        <r>
          <rPr>
            <b/>
            <sz val="9"/>
            <color indexed="81"/>
            <rFont val="Tahoma"/>
            <family val="2"/>
          </rPr>
          <t>Froio, Zach:</t>
        </r>
        <r>
          <rPr>
            <sz val="9"/>
            <color indexed="81"/>
            <rFont val="Tahoma"/>
            <family val="2"/>
          </rPr>
          <t xml:space="preserve">
Updated per IL TRM v8 p. 132</t>
        </r>
      </text>
    </comment>
    <comment ref="C46" authorId="0" shapeId="0" xr:uid="{F49FDDDF-4CEA-40FB-8831-72579D945BC1}">
      <text>
        <r>
          <rPr>
            <b/>
            <sz val="9"/>
            <color indexed="81"/>
            <rFont val="Tahoma"/>
            <family val="2"/>
          </rPr>
          <t>Froio, Zach:</t>
        </r>
        <r>
          <rPr>
            <sz val="9"/>
            <color indexed="81"/>
            <rFont val="Tahoma"/>
            <family val="2"/>
          </rPr>
          <t xml:space="preserve">
Updated per IL TRM v8 p. 135</t>
        </r>
      </text>
    </comment>
    <comment ref="J46" authorId="0" shapeId="0" xr:uid="{2025145F-4D69-4087-89A1-60DD72DFD67E}">
      <text>
        <r>
          <rPr>
            <b/>
            <sz val="9"/>
            <color indexed="81"/>
            <rFont val="Tahoma"/>
            <family val="2"/>
          </rPr>
          <t>Froio, Zach:</t>
        </r>
        <r>
          <rPr>
            <sz val="9"/>
            <color indexed="81"/>
            <rFont val="Tahoma"/>
            <family val="2"/>
          </rPr>
          <t xml:space="preserve">
Added per IL TRM v7 p. 102</t>
        </r>
      </text>
    </comment>
    <comment ref="B51" authorId="0" shapeId="0" xr:uid="{E90B60ED-A6AB-492D-9FCF-9F45AB84C3EE}">
      <text>
        <r>
          <rPr>
            <b/>
            <sz val="9"/>
            <color indexed="81"/>
            <rFont val="Tahoma"/>
            <family val="2"/>
          </rPr>
          <t>Froio, Zach:</t>
        </r>
        <r>
          <rPr>
            <sz val="9"/>
            <color indexed="81"/>
            <rFont val="Tahoma"/>
            <family val="2"/>
          </rPr>
          <t xml:space="preserve">
Added per IL TRM v7 p. 102</t>
        </r>
      </text>
    </comment>
    <comment ref="J62" authorId="0" shapeId="0" xr:uid="{432EF342-BE34-4737-85E4-FBD794D6553B}">
      <text>
        <r>
          <rPr>
            <b/>
            <sz val="9"/>
            <color indexed="81"/>
            <rFont val="Tahoma"/>
            <family val="2"/>
          </rPr>
          <t>Froio, Zach:</t>
        </r>
        <r>
          <rPr>
            <sz val="9"/>
            <color indexed="81"/>
            <rFont val="Tahoma"/>
            <family val="2"/>
          </rPr>
          <t xml:space="preserve">
Added per IL TRM v7 p. 102</t>
        </r>
      </text>
    </comment>
    <comment ref="P98" authorId="0" shapeId="0" xr:uid="{73FD7548-8BC7-4580-AA2C-640ABD760891}">
      <text>
        <r>
          <rPr>
            <b/>
            <sz val="9"/>
            <color indexed="81"/>
            <rFont val="Tahoma"/>
            <family val="2"/>
          </rPr>
          <t>Froio, Zach:</t>
        </r>
        <r>
          <rPr>
            <sz val="9"/>
            <color indexed="81"/>
            <rFont val="Tahoma"/>
            <family val="2"/>
          </rPr>
          <t xml:space="preserve">
Added per IL TRM v7 p. 102</t>
        </r>
      </text>
    </comment>
    <comment ref="Q98" authorId="0" shapeId="0" xr:uid="{6C520834-99EC-4504-A1B8-0EA466343344}">
      <text>
        <r>
          <rPr>
            <b/>
            <sz val="9"/>
            <color indexed="81"/>
            <rFont val="Tahoma"/>
            <family val="2"/>
          </rPr>
          <t>Froio, Zach:</t>
        </r>
        <r>
          <rPr>
            <sz val="9"/>
            <color indexed="81"/>
            <rFont val="Tahoma"/>
            <family val="2"/>
          </rPr>
          <t xml:space="preserve">
Added per IL TRM v7 p. 102</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<sst xmlns="http://schemas.openxmlformats.org/spreadsheetml/2006/main" count="41472" uniqueCount="4392">
  <si>
    <t>Res</t>
  </si>
  <si>
    <t>Single Family</t>
  </si>
  <si>
    <t>43w replaced by 10w LED - Post-EISA</t>
  </si>
  <si>
    <t xml:space="preserve"> HVAC Smart Thermostat - Gas Heat w/ AC</t>
  </si>
  <si>
    <t>Lighting</t>
  </si>
  <si>
    <t>Misc</t>
  </si>
  <si>
    <t>Tier 2 Powerstrip</t>
  </si>
  <si>
    <t>Low Income</t>
  </si>
  <si>
    <t>Multifamily</t>
  </si>
  <si>
    <t>Multifamily In-Unit 43w replaced by 10w LED - Post-EISA</t>
  </si>
  <si>
    <t>Multifamily In-Unit 53w replaced by 13w LED - Post-EISA</t>
  </si>
  <si>
    <t>Multifamily In-Unit 72w replaced by 17w LED - Post-EISA</t>
  </si>
  <si>
    <t>Multifamily In-Unit Globe 60 W to 7 W LED</t>
  </si>
  <si>
    <t>Multifamily In-Unit Candelabra base 40 W to 5 W LED</t>
  </si>
  <si>
    <t>Multifamily In-Unit Interior reflector 65 W to 12 W LED</t>
  </si>
  <si>
    <t>Water Heating</t>
  </si>
  <si>
    <t xml:space="preserve"> Multifamily In-Unit Showerhead - Electric DHW</t>
  </si>
  <si>
    <t xml:space="preserve"> Multifamily In-Unit Faucet Aerator - Electric DHW</t>
  </si>
  <si>
    <t xml:space="preserve"> Multifamily In-Unit Showerhead 1.75 gpm - Gas DHW</t>
  </si>
  <si>
    <t xml:space="preserve"> Multifamily In-Unit Faucet Aerator - Gas DHW</t>
  </si>
  <si>
    <t>HVAC</t>
  </si>
  <si>
    <t xml:space="preserve"> Multifamily In-Unit Programmable Thermostat - Electric Heat</t>
  </si>
  <si>
    <t xml:space="preserve"> Multifamily In-Unit Programmable Thermostat - Gas Heat</t>
  </si>
  <si>
    <t>Multifamily CAL 43w replaced by 10w LED - Post-EISA</t>
  </si>
  <si>
    <t>Multifamily CAL 53w replaced by 13w LED - Post-EISA</t>
  </si>
  <si>
    <t>Multifamily CAL 72w replaced by 17w LED - Post-EISA</t>
  </si>
  <si>
    <t>Multifamily CAL Exterior 43w replaced by 10w LED - Post-EISA</t>
  </si>
  <si>
    <t>Multifamily CAL Exterior 53w replaced by 13w LED - Post-EISA</t>
  </si>
  <si>
    <t>Multifamily CAL Exterior 72w replaced by 17w LED - Post-EISA</t>
  </si>
  <si>
    <t>Multifamily CAL Speciality Globe 60 W to 7 W LED</t>
  </si>
  <si>
    <t>Multifamily CAL Speciality Candelabra base 40 W to 5 W LED</t>
  </si>
  <si>
    <t>Multifamily CAL Speciality Interior reflector 65 W to 12 W LED</t>
  </si>
  <si>
    <t>Multifamily CAL Speciality Exterior Exterior reflector 65 W to 12 W LED</t>
  </si>
  <si>
    <t>Direct Distribution Efficient Products</t>
  </si>
  <si>
    <t>School Kits</t>
  </si>
  <si>
    <t>Showerhead 1.75 gpm - Electric DHW</t>
  </si>
  <si>
    <t>Bath Faucet Aerator - Electric DHW</t>
  </si>
  <si>
    <t>Kitchen Faucet Aerator - Electric DHW</t>
  </si>
  <si>
    <t>Water Heater Temp Adjustment - Electric DHW</t>
  </si>
  <si>
    <t>Showerhead 1.75 gpm - Gas DHW</t>
  </si>
  <si>
    <t>Bath Faucet Aerator - Gas DHW</t>
  </si>
  <si>
    <t>Kitchen Faucet Aerator - Gas DHW</t>
  </si>
  <si>
    <t>Water Heater Temp Adjustment - Gas DHW</t>
  </si>
  <si>
    <t>Tier 1 - 7 plug</t>
  </si>
  <si>
    <t>Market Rate</t>
  </si>
  <si>
    <t>Ceiling Insulation (R-5 to R-38) Low Income Heat pump Low Income</t>
  </si>
  <si>
    <t>Ceiling Insulation (R-5 to R-38) Low Income Resistance, heat only Low Income</t>
  </si>
  <si>
    <t>Ceiling Insulation (R-5 to R-38) Low Income Resistance w/ AC Low Income</t>
  </si>
  <si>
    <t>Ceiling Insulation (R-11 to R-38) Low Income Heat pump Low Income</t>
  </si>
  <si>
    <t>Ceiling Insulation (R-11 to R-38) Low Income Resistance, heat only Low Income</t>
  </si>
  <si>
    <t>Ceiling Insulation (R-11 to R-38) Low Income Resistance w/ AC Low Income</t>
  </si>
  <si>
    <t>Ceiling Insulation (R-11 to R-38) Low Income Gas Heat w/AC Low Income</t>
  </si>
  <si>
    <t>Ceiling Insulation (R-5 to R-38) Low Income Gas Heat w/AC Low Income</t>
  </si>
  <si>
    <t>per foot of pipe insulation Market Rate Electric Water Heat Market Rate</t>
  </si>
  <si>
    <t>per foot of pipe insulation Market Rate Gas water heat Market Rate</t>
  </si>
  <si>
    <t>Single Family In-Unit Programmable T-Stat Market Rate ASHP Market Rate</t>
  </si>
  <si>
    <t>Single Family In-Unit Programmable T-Stat Market Rate Electric Resistance Heat Market Rate</t>
  </si>
  <si>
    <t>Single Family In-Unit Programmable T-Stat Market Rate Electric Resistance Heat w/ AC Market Rate</t>
  </si>
  <si>
    <t>Single Family In-Unit Programmable T-Stat Market Rate Gas Heat w/ AC Market Rate</t>
  </si>
  <si>
    <t>Single Family In-Unit Programmable T-Stat Market Rate Gas Heat w/ AC (Other electric Utility) Market Rate</t>
  </si>
  <si>
    <t>Measure Lifetime</t>
  </si>
  <si>
    <t>Gross kWh/Unit</t>
  </si>
  <si>
    <t>Gross kW/Unit</t>
  </si>
  <si>
    <t>Gross Therms/Unit</t>
  </si>
  <si>
    <t>Electric NTG Components</t>
  </si>
  <si>
    <t>Gas NTG Components</t>
  </si>
  <si>
    <t>kWh NTG</t>
  </si>
  <si>
    <t>Net kWh</t>
  </si>
  <si>
    <t>kW NTG</t>
  </si>
  <si>
    <t>Net kW</t>
  </si>
  <si>
    <t>Therm NTG</t>
  </si>
  <si>
    <t>Net Therms</t>
  </si>
  <si>
    <t>Participation</t>
  </si>
  <si>
    <t>kWh Goal</t>
  </si>
  <si>
    <t>Therm Goal</t>
  </si>
  <si>
    <t>FR</t>
  </si>
  <si>
    <t>Part SO</t>
  </si>
  <si>
    <t>Non-Part SO</t>
  </si>
  <si>
    <t>Residential</t>
  </si>
  <si>
    <t>Measure End Use</t>
  </si>
  <si>
    <t>Bus</t>
  </si>
  <si>
    <t>Standard</t>
  </si>
  <si>
    <t>Highbay Fixture Replacement Option</t>
  </si>
  <si>
    <t>T8 U-tube Lamps and Ballasts Replacing  T12 U-bend Lamps and Ballasts</t>
  </si>
  <si>
    <t>New, high performance T8 (32W) lamps and ballasts replacing existing T12 lamps and ballasts</t>
  </si>
  <si>
    <t>Reduced wattage T8 (28W) lamps and ballasts replacing existing T12 lamps and ballasts</t>
  </si>
  <si>
    <t>Ultra-low wattage T8 (25W) lamps and ballasts replacing existing T12 lamps and ballasts</t>
  </si>
  <si>
    <t>T5 or reduced wattage T8 relamp and reballast upgrading an existing 32W T8</t>
  </si>
  <si>
    <t>2-foot T8 lamps (17W) and ballasts replacing 2-foot T12 lamps/ballasts OR replacing 4-foot T12 U-tube lamps/ballasts</t>
  </si>
  <si>
    <t>New high performance T8 fixture (with or without a reflector) replacing an existing T12 fixture</t>
  </si>
  <si>
    <t>New T5 fluorescent replacing an existing T12</t>
  </si>
  <si>
    <t>High efficiency T5 or T8 fluorescent fixtures replacing existing T12 recessed or surface mounted troffer (prismatic, parabolic, or semi-indirect fixture)</t>
  </si>
  <si>
    <t>Fixture mounted occupancy sensor for fluorescent or LED systems</t>
  </si>
  <si>
    <t>Remote mounted occupancy sensors using ultrasonic or passive infrared technology</t>
  </si>
  <si>
    <t>Wall switch plate mounted occupancy sensors using ultrasonic or passive infrared technology</t>
  </si>
  <si>
    <t>Low wattage occupancy sensors or daylight dimming controls</t>
  </si>
  <si>
    <t>Fixture mounted occupancy sensor for new LED systems</t>
  </si>
  <si>
    <t>Glass Door LED cooler/Freezer Lighting Controls/Sensors</t>
  </si>
  <si>
    <t>LED, T-1 or electroluminescent exit sign</t>
  </si>
  <si>
    <t>LED Exit Sign Retro-fit Kit 6W or less</t>
  </si>
  <si>
    <t xml:space="preserve">HVAC </t>
  </si>
  <si>
    <t>Air Conditioner Tune-Up</t>
  </si>
  <si>
    <t>Variable Frequency Drive on HVAC Motors – Supply or Return Fans</t>
  </si>
  <si>
    <t>High Efficiency Tanked Water Heater (electric)</t>
  </si>
  <si>
    <t>High Efficiency Tankless Water Heaters (electric)</t>
  </si>
  <si>
    <t>Refrigeration</t>
  </si>
  <si>
    <t>Automatic Door Closer for Walk-in Freezer/Cooler (back access door) or Walk-in Cooler Door, or Walk-in Freezer Door</t>
  </si>
  <si>
    <t>Auto Closer for Display Case Door: Reach-in Cooler Door or Reach-in Freezer Door</t>
  </si>
  <si>
    <t>Strip Curtain on Walk-in Coolers or Freezers</t>
  </si>
  <si>
    <t>Glass Door Freezer (31-50 cu ft)</t>
  </si>
  <si>
    <t>Glass Door Freezer (51 cu ft or more)</t>
  </si>
  <si>
    <t>Anti Sweat Heater Control, Freezer</t>
  </si>
  <si>
    <t>Anti Sweat Heater Control, Cooler</t>
  </si>
  <si>
    <t>Evaporator Fan Controls</t>
  </si>
  <si>
    <t>Solid Door Freezer (up to 15 cu ft)</t>
  </si>
  <si>
    <t>Solid Door Freezer (15-30 cu ft)</t>
  </si>
  <si>
    <t>Solid Door Freezer (31-50 cu ft)</t>
  </si>
  <si>
    <t>Solid Door Freezer (51 cu ft or more)</t>
  </si>
  <si>
    <t>EC Motor for Walk-in Cooler</t>
  </si>
  <si>
    <t>EC Motor for Walk-in Freezer</t>
  </si>
  <si>
    <t>EC Motor for Reach-In Cooler</t>
  </si>
  <si>
    <t>EC Motor for Reach-In Freezer</t>
  </si>
  <si>
    <t>High Efficiency High Speed Exhaust/Ventilation Fans (24-35 in diameter)</t>
  </si>
  <si>
    <t>High Efficiency High Speed Exhaust/Ventilation Fans (36-47 in diameter)</t>
  </si>
  <si>
    <t>High Efficiency High Speed Exhaust/Ventilation Fans (48-71 in diameter)</t>
  </si>
  <si>
    <t>High Efficiency Circulation Fans (24-35 in diameter)</t>
  </si>
  <si>
    <t>High Efficiency Circulation Fans (36-47 in diameter)</t>
  </si>
  <si>
    <t>High Efficiency Circulation Fans (48-71 in diameter)</t>
  </si>
  <si>
    <t>Variable Frequency Drive on HVAC Motors – Cooling Tower Fans or HVAC Pumps</t>
  </si>
  <si>
    <t>Cooking</t>
  </si>
  <si>
    <t>Electric Steamer (4 pan)</t>
  </si>
  <si>
    <t>Hot Holding Cabinet (half size)</t>
  </si>
  <si>
    <t>Hot Holding Cabinet (three-quarter size)</t>
  </si>
  <si>
    <t>Hot Holding Cabinet (full size)</t>
  </si>
  <si>
    <t>Electric Griddle</t>
  </si>
  <si>
    <t>Dishwasher, High Temp (Includes Booster Heater)</t>
  </si>
  <si>
    <t>Refrigeration Tune-up</t>
  </si>
  <si>
    <t>VFD</t>
  </si>
  <si>
    <t>Pre-Rinse Sprayers, Elec Booster</t>
  </si>
  <si>
    <t>Pre-Rinse Sprayers, Gas Booster</t>
  </si>
  <si>
    <t>Early Replacement Furnace</t>
  </si>
  <si>
    <t>Boiler Lockout/Reset Controls</t>
  </si>
  <si>
    <t>Infrared Heaters</t>
  </si>
  <si>
    <t>Condensing Unit Heater</t>
  </si>
  <si>
    <t>Commercial Pool covers</t>
  </si>
  <si>
    <t>VSD for air compressors</t>
  </si>
  <si>
    <t>Envelope</t>
  </si>
  <si>
    <t>Compressed Air Leak Survey and Repair</t>
  </si>
  <si>
    <t>Kitchen</t>
  </si>
  <si>
    <t>Infrared Upright Broiler</t>
  </si>
  <si>
    <t>Infrared Salamander Broiler</t>
  </si>
  <si>
    <t>Infrared Char Broiler</t>
  </si>
  <si>
    <t>Infrared Rotisserie Oven</t>
  </si>
  <si>
    <t>Pasta Cooker</t>
  </si>
  <si>
    <t>Rack Double Oven</t>
  </si>
  <si>
    <t>Ozone Laundry</t>
  </si>
  <si>
    <t>Refrigeration economizers</t>
  </si>
  <si>
    <t>No-loss condensate drains - compressed air</t>
  </si>
  <si>
    <t>Kitchen Demand Control Ventilation</t>
  </si>
  <si>
    <t>3-foot T8 replacing 3-foot T12</t>
  </si>
  <si>
    <t>Multi-level Lighting Controls</t>
  </si>
  <si>
    <t>Energy Star Beverage Vending Machine</t>
  </si>
  <si>
    <t>Desktop Virtualization - Pilot</t>
  </si>
  <si>
    <t>Notched V-belts for HVAC systems</t>
  </si>
  <si>
    <t>Efficient compressed air nozzles</t>
  </si>
  <si>
    <t>Electric Convection Oven</t>
  </si>
  <si>
    <t>Pump Optimization</t>
  </si>
  <si>
    <t>Programmable thermostat (new)</t>
  </si>
  <si>
    <t>DCV</t>
  </si>
  <si>
    <t>Energy Star Desktop Computer</t>
  </si>
  <si>
    <t>Computer Power Management Software</t>
  </si>
  <si>
    <t>RW T8 lamps (Midstream)</t>
  </si>
  <si>
    <t>RW T5 lamps (Midstream)</t>
  </si>
  <si>
    <t>LED Wallpack Fixture (Midstream)</t>
  </si>
  <si>
    <t>Steam Trap real-time monitoring</t>
  </si>
  <si>
    <t>Occupancy Controlled Bi-level Fixtures</t>
  </si>
  <si>
    <t>Pipe Insulation</t>
  </si>
  <si>
    <t>Heat Recovery Grease Trap Filter</t>
  </si>
  <si>
    <t>Cycling Compressed Air Dryers</t>
  </si>
  <si>
    <t>Combination Oven - Electric</t>
  </si>
  <si>
    <t>Industrial Air Curtains</t>
  </si>
  <si>
    <t>Unitary HVAC Condensing Furnace</t>
  </si>
  <si>
    <t>Modulated Commercial Gas Clothes Dryer</t>
  </si>
  <si>
    <t>Battery Chargers</t>
  </si>
  <si>
    <t>Wall Switch Occ Sensor</t>
  </si>
  <si>
    <t>Vending Miser VM150</t>
  </si>
  <si>
    <t>Vending Miser VM151</t>
  </si>
  <si>
    <t>Vending Miser EZ VM170</t>
  </si>
  <si>
    <t>Vending Mizer EZ VM171</t>
  </si>
  <si>
    <t>SnackMizer (Primary with Sensor) SM150</t>
  </si>
  <si>
    <t>SnackMizer SM151-Secondary W/cable</t>
  </si>
  <si>
    <t>SnackMizer (Primary with Sensor) SM170 Machine Mount</t>
  </si>
  <si>
    <t>SnackMizer (Secondary W/Cable) SM171 Machine Mount</t>
  </si>
  <si>
    <t>Gas Boiler Tune-Up</t>
  </si>
  <si>
    <t>Gas Boiler Replacement (Thermal Eff 90%)</t>
  </si>
  <si>
    <t>Gas Furnace Replacement (94% AFUE)</t>
  </si>
  <si>
    <t>High Efficiency Tankless Water Heater (gas)</t>
  </si>
  <si>
    <t>High Efficiency Condensing Tanked Water Heater (gas)</t>
  </si>
  <si>
    <t>High Efficiency Tanked Water Heater (gas)</t>
  </si>
  <si>
    <t>Gas Steamer (5 pan)</t>
  </si>
  <si>
    <t>Gas Steamer (6 pan)</t>
  </si>
  <si>
    <t>Gas Griddle</t>
  </si>
  <si>
    <t>Gas Fryer</t>
  </si>
  <si>
    <t>Steam Trap Survey (HVAC)</t>
  </si>
  <si>
    <t>Steam Trap Repair / Replacement (HVAC)</t>
  </si>
  <si>
    <t>Steam Trap Survey (Industrial Process or Multi-use HVAC/Process Boilers over 7,750 hours per year operation)</t>
  </si>
  <si>
    <t>Steam Trap Repair / Replacement (Industrial Process or Multi-use HVAC/Process Boilers over 7,750 hours per year operation)</t>
  </si>
  <si>
    <t>Rooftop Unit Controls</t>
  </si>
  <si>
    <t>Ductless Heat Pumps</t>
  </si>
  <si>
    <t>Combination Oven - Gas</t>
  </si>
  <si>
    <t>Small Business Direct Install</t>
  </si>
  <si>
    <t>Custom</t>
  </si>
  <si>
    <t>Retro-commissioning</t>
  </si>
  <si>
    <t>Unitary and Split AC Systems and Air Source Heat Pumps (up to 65,000 Btuh input, minimum 15 SEER)</t>
  </si>
  <si>
    <t>Unitary and Split AC Systems and Air Source Heat Pumps (65,000 to 134,999 Btuh input, minimum 12 EER)</t>
  </si>
  <si>
    <t>Unitary and Split AC Systems and Air Source Heat Pumps (240,000 to 759,999 Btuh input, minimum 10.8 EER/12.0 IPLV)</t>
  </si>
  <si>
    <t>Unitary and Split AC Systems and Air Source Heat Pumps (760,000 or more Btuh input, minimum 10.2 EER/11.0 IPLV)</t>
  </si>
  <si>
    <t>Air-Cooled Chillers (up to 150 tons)</t>
  </si>
  <si>
    <t>Unitary and Split AC Systems and Air Source Heat Pumps 135,000 to 239,999 Btuh input, greater than 12.0 EER)</t>
  </si>
  <si>
    <t>Air-Cooled Chillers (150 tons and larger)</t>
  </si>
  <si>
    <t>PTAC/PTHP less than 65kBtuh input, new installation</t>
  </si>
  <si>
    <t>PTAC/PTHP less than 65,000 Btuh input, replacing an existing unit</t>
  </si>
  <si>
    <t>Beverage Machine Control</t>
  </si>
  <si>
    <t>Snack Machine Control</t>
  </si>
  <si>
    <t>High Volume Low Speed (HVLS) Fans</t>
  </si>
  <si>
    <t>Equipment Heater Timers</t>
  </si>
  <si>
    <t>Live Stock Waterer (electrically heated)</t>
  </si>
  <si>
    <t>Live Stock Waterer (energy free or ground source heat)</t>
  </si>
  <si>
    <t>Guest Room Energy Management (GREM) Controls on PTAC System</t>
  </si>
  <si>
    <t>Guest Room Energy Management (GREM) Controls on PTHP System</t>
  </si>
  <si>
    <t>Tankless Gas Water Heater (Midstream)</t>
  </si>
  <si>
    <t>Tanked Gas Water Heater (Midstream)</t>
  </si>
  <si>
    <t>Electric Steamer (3 pan)</t>
  </si>
  <si>
    <t>Electric Steamer (5 pan)</t>
  </si>
  <si>
    <t>Electric Steamer (6 pan)</t>
  </si>
  <si>
    <t>Insulation and Air Sealing</t>
  </si>
  <si>
    <t>Duct Sealing</t>
  </si>
  <si>
    <t>HVAC Pump (Midstream)</t>
  </si>
  <si>
    <t>ECM (Midstream)</t>
  </si>
  <si>
    <t>Notched V-belts (Midstream)</t>
  </si>
  <si>
    <t>HVAC Filter (Midstream)</t>
  </si>
  <si>
    <t>ERVs</t>
  </si>
  <si>
    <t>Multifamily Central Domestic Hot Water Plants</t>
  </si>
  <si>
    <t>Controls for Multifamily Central Domestic Hot Water Plants</t>
  </si>
  <si>
    <t>LED Exterior - Canopy</t>
  </si>
  <si>
    <t>LED Exterior - Flood</t>
  </si>
  <si>
    <t>LED Exterior - Pole Lamp</t>
  </si>
  <si>
    <t>LED Exterior - Wallpack</t>
  </si>
  <si>
    <t>LED Interior - Troffer, lay-in, or wrap fixture</t>
  </si>
  <si>
    <t>LED Interior - Linear Tubes</t>
  </si>
  <si>
    <t>LED Interior - High Bay Fixture</t>
  </si>
  <si>
    <t>LED Interior - High Wattage Can Light</t>
  </si>
  <si>
    <t>Destratification Fans - 14 ft diameter</t>
  </si>
  <si>
    <t>Destratification Fans - 16 ft diameter</t>
  </si>
  <si>
    <t>Destratification Fans - 18 ft diameter</t>
  </si>
  <si>
    <t>Destratification Fans - 20 ft diameter</t>
  </si>
  <si>
    <t>Destratification Fans - 22 ft diameter</t>
  </si>
  <si>
    <t>Destratification Fans - 24 ft diameter</t>
  </si>
  <si>
    <t>Small Pipe Insulation</t>
  </si>
  <si>
    <t>Economizer Repair and Optimization</t>
  </si>
  <si>
    <t>Tier 2 Advanced Power Strips</t>
  </si>
  <si>
    <t>Permanent Magnet AC Motors</t>
  </si>
  <si>
    <t>Q-Sync Motors</t>
  </si>
  <si>
    <t>Linkageless Boiler Controls</t>
  </si>
  <si>
    <t>Electrical Transformers</t>
  </si>
  <si>
    <t>Gas Boiler Replacement (AFUE 85% min)</t>
  </si>
  <si>
    <t>Gas Furnace Replacement (92% AFUE)</t>
  </si>
  <si>
    <t>Custom Electric (Includes New Const.)</t>
  </si>
  <si>
    <t>Custom Gas (Includes New Const.)</t>
  </si>
  <si>
    <t>Retro-commissioning Electric (includes LF, CA, IR, GS)</t>
  </si>
  <si>
    <t>Retro-commissioning Gas (includes LF, GS)</t>
  </si>
  <si>
    <t>LED Street Lighting</t>
  </si>
  <si>
    <t>DDC Standard Incentive</t>
  </si>
  <si>
    <t>Appliance Recycling</t>
  </si>
  <si>
    <t>Recycled Refrigerator</t>
  </si>
  <si>
    <t>Recycled Freezer</t>
  </si>
  <si>
    <t>43w replaced by 10w LED - Post-EISA Y2 Install</t>
  </si>
  <si>
    <t>43w replaced by 10w LED - Post-EISA Y3 Install</t>
  </si>
  <si>
    <t>Exterior Lighting   After 2018 Install</t>
  </si>
  <si>
    <t>Permanent Fixture/Lamp Removal After 2018 Install</t>
  </si>
  <si>
    <t>Glass Door LED Cooler/Freezer Lighting After 2018 Install</t>
  </si>
  <si>
    <t>Interior LED Lamps and Fixtures After 2018 Install</t>
  </si>
  <si>
    <t>Multifamly</t>
  </si>
  <si>
    <t>Measure Life</t>
  </si>
  <si>
    <t>Total</t>
  </si>
  <si>
    <t>Sector</t>
  </si>
  <si>
    <t>Program</t>
  </si>
  <si>
    <t>5.5.8</t>
  </si>
  <si>
    <t>EFFICIENT</t>
  </si>
  <si>
    <t>BASELINE</t>
  </si>
  <si>
    <t>MEASURE LIFE</t>
  </si>
  <si>
    <t>MEASURE COST</t>
  </si>
  <si>
    <t>COINCIDENCE FACTOR</t>
  </si>
  <si>
    <t>Hours</t>
  </si>
  <si>
    <t>SF</t>
  </si>
  <si>
    <t>HF</t>
  </si>
  <si>
    <t>nHeat</t>
  </si>
  <si>
    <t>MEASURE</t>
  </si>
  <si>
    <t>Resistance</t>
  </si>
  <si>
    <t>Gas Heat</t>
  </si>
  <si>
    <t>kWh_heat</t>
  </si>
  <si>
    <t>kW</t>
  </si>
  <si>
    <t>therms</t>
  </si>
  <si>
    <t>ISR</t>
  </si>
  <si>
    <t>n/a</t>
  </si>
  <si>
    <t>Gross Ret. Therms/Unit</t>
  </si>
  <si>
    <t>5.3.1</t>
  </si>
  <si>
    <t>RS-HVC-ASHP-V03-140601</t>
  </si>
  <si>
    <t>AMIL 2015 Potential Study input generator</t>
  </si>
  <si>
    <t>from Survey</t>
  </si>
  <si>
    <t>Segment</t>
  </si>
  <si>
    <t>Market Size</t>
  </si>
  <si>
    <t>Floor Area (ft²)</t>
  </si>
  <si>
    <t>MEASURE LIFE (Replace on fail)</t>
  </si>
  <si>
    <t>MEASURE LIFE (Early replacement)</t>
  </si>
  <si>
    <t>ASHP</t>
  </si>
  <si>
    <t>Multi Family</t>
  </si>
  <si>
    <t>Multi Family - Elec Heat</t>
  </si>
  <si>
    <t>Multi Family - Low Income</t>
  </si>
  <si>
    <t>DEFERRED COST PER TON</t>
  </si>
  <si>
    <t>Multi Family - Low Income, Elec Heat</t>
  </si>
  <si>
    <t>kWh = ((FLH[cool] * Capacity_cooling * (1/SEER[base] - 1/SEER[ee]))/1000)+((FLH[heat] * Capacity_heating * (1/HSPF[base] - 1/HSPF[ee]))/1000)</t>
  </si>
  <si>
    <t>FLH[cool]</t>
  </si>
  <si>
    <t>Springfield, SF</t>
  </si>
  <si>
    <t>FLH[heat]</t>
  </si>
  <si>
    <t>Capacity_cooling</t>
  </si>
  <si>
    <t>BTUh, average from PY4</t>
  </si>
  <si>
    <t>Single Family - Elec Heat</t>
  </si>
  <si>
    <t>MF</t>
  </si>
  <si>
    <t>Single Family - Low Income</t>
  </si>
  <si>
    <t>Capacity_heating</t>
  </si>
  <si>
    <t>BTUh, estimate</t>
  </si>
  <si>
    <t>Single Family - Low Income, Elec Heat</t>
  </si>
  <si>
    <t>kW = ((Capacity_cooling * (1/EER[base] - 1/EER[ee]))/1000) * CF</t>
  </si>
  <si>
    <t>EER = (-0.02 * SEER^2) + (1.12 * SEER)</t>
  </si>
  <si>
    <t>COST</t>
  </si>
  <si>
    <t>SEER[base]</t>
  </si>
  <si>
    <t>SEER[exist]</t>
  </si>
  <si>
    <t>SEER[ee]</t>
  </si>
  <si>
    <t>HSPF[base]</t>
  </si>
  <si>
    <t>HSPF[exist]</t>
  </si>
  <si>
    <t>HSPF[ee]</t>
  </si>
  <si>
    <t>kWh</t>
  </si>
  <si>
    <t>EER[base]</t>
  </si>
  <si>
    <t>EER[ee]</t>
  </si>
  <si>
    <t>ASHP &gt;=18 SEER</t>
  </si>
  <si>
    <t>ASHP &gt;=18 SEER ER</t>
  </si>
  <si>
    <t>Replace ASHP</t>
  </si>
  <si>
    <t>Replace Resistance</t>
  </si>
  <si>
    <t>ASHP &gt;=16 SEER</t>
  </si>
  <si>
    <t>ASHP &gt;=16 SEER ER</t>
  </si>
  <si>
    <t>Gross Ret. kWh/Unit</t>
  </si>
  <si>
    <t>Gross Ret. kW/Unit</t>
  </si>
  <si>
    <t>Climate Zone</t>
  </si>
  <si>
    <t>1 (Rockford)</t>
  </si>
  <si>
    <t>2 (Chicago)</t>
  </si>
  <si>
    <t>3 (Springfield)</t>
  </si>
  <si>
    <t>4 (Belleville)</t>
  </si>
  <si>
    <t>5 (Marion)</t>
  </si>
  <si>
    <t xml:space="preserve">Weighted Average </t>
  </si>
  <si>
    <t>measure life</t>
  </si>
  <si>
    <t>years</t>
  </si>
  <si>
    <t>CF during utiltiy peak</t>
  </si>
  <si>
    <t>5.3.4</t>
  </si>
  <si>
    <t>*assumption of unconditioned space</t>
  </si>
  <si>
    <t>ΔkWh = ΔkWhcooling + ΔkWhFan</t>
  </si>
  <si>
    <t>ΔkWhcooling = ((ΔCFM25DL/ ((CapacityCool/12,000) * 400)) * FLHcool * CapacityCool * TRFcool) / 1000 / ηCool</t>
  </si>
  <si>
    <t>ΔkWhFan = (ΔTherms * Fe * 29.3)</t>
  </si>
  <si>
    <t>ΔkW = ΔkWhcooling/ FLHcool * CF</t>
  </si>
  <si>
    <t>ΔkWhheating = ((ΔCFM25DL /((OutputCapacityHeat/12,000) * 400)) * FLHheat * OutputCapacityHeat *TRFheat) / ηHeat / 3412</t>
  </si>
  <si>
    <t>ΔTherm = (((ΔCFM25DL / (InputCapacityHeat * 0.0123)) * FLHheat * InputCapacityHeat * TRFheat * (ηEquipment / ηSystem)) / 100,000</t>
  </si>
  <si>
    <t>CFM Duct Leakage Reduced</t>
  </si>
  <si>
    <t>Estimate</t>
  </si>
  <si>
    <t>CFM 25dl</t>
  </si>
  <si>
    <t>Existing Heating Unit COP</t>
  </si>
  <si>
    <t>Incremental cost</t>
  </si>
  <si>
    <t>per home</t>
  </si>
  <si>
    <t>Incremental Cost</t>
  </si>
  <si>
    <t>Michigan</t>
  </si>
  <si>
    <t>ΔCFM25DL</t>
  </si>
  <si>
    <t>Duct leakage reduction in CFM25 from TRM example pg 79</t>
  </si>
  <si>
    <t>Lifetime (years)</t>
  </si>
  <si>
    <t>Illinois</t>
  </si>
  <si>
    <t>CapacityCool</t>
  </si>
  <si>
    <t>Capacity of Air Cooling system (Btu/hr)</t>
  </si>
  <si>
    <t>Converts Btu/H capacity to tons</t>
  </si>
  <si>
    <t>Converts capacity in tons to CFM (400CFM / ton)217</t>
  </si>
  <si>
    <t>Natural Leakage</t>
  </si>
  <si>
    <t>http://www.nrel.gov/docs/fy03osti/33698.pdf</t>
  </si>
  <si>
    <t>FLHcool</t>
  </si>
  <si>
    <t>Ceiling Height (ft)</t>
  </si>
  <si>
    <t>Reduction</t>
  </si>
  <si>
    <t>assumption</t>
  </si>
  <si>
    <t>TRFcool</t>
  </si>
  <si>
    <t>Unconditioned Spaces</t>
  </si>
  <si>
    <t>Thermal Regain Factor for cooling by space type</t>
  </si>
  <si>
    <t xml:space="preserve"> </t>
  </si>
  <si>
    <t>Semi Conditioned</t>
  </si>
  <si>
    <t>CFM Saved</t>
  </si>
  <si>
    <t>sf</t>
  </si>
  <si>
    <t>Converts Btu to kBtu</t>
  </si>
  <si>
    <t>mf</t>
  </si>
  <si>
    <t>ηCool</t>
  </si>
  <si>
    <t>Efficiency (SEER) of Air Conditioning equipment (kBtu/kWh)</t>
  </si>
  <si>
    <t>CFM50 = ACH50/60*Volume
ACH50 = NL X 17
www.greenbuildingadvisor.com/blogs/dept/musings/blower-door-basics</t>
  </si>
  <si>
    <t>ΔTherms</t>
  </si>
  <si>
    <t xml:space="preserve">Age of Equipment </t>
  </si>
  <si>
    <t>SEER Estimate</t>
  </si>
  <si>
    <t>Weight</t>
  </si>
  <si>
    <t>kwh</t>
  </si>
  <si>
    <t>Fe</t>
  </si>
  <si>
    <t>Before 2006</t>
  </si>
  <si>
    <t>Electric Heat</t>
  </si>
  <si>
    <t>kw</t>
  </si>
  <si>
    <t>kWh per therm</t>
  </si>
  <si>
    <t>After 2006 - 2014</t>
  </si>
  <si>
    <t>kwh cooling</t>
  </si>
  <si>
    <t>Electric Heat w/ AC</t>
  </si>
  <si>
    <t>therm</t>
  </si>
  <si>
    <t>OutputCapacityHeat</t>
  </si>
  <si>
    <t>Central AC After 1/1/2015</t>
  </si>
  <si>
    <t>kwh fan</t>
  </si>
  <si>
    <t>FLH heat</t>
  </si>
  <si>
    <t>Heat Pump After 1/1/2015</t>
  </si>
  <si>
    <t>kwh heating</t>
  </si>
  <si>
    <t>Gas Heat w/ AC</t>
  </si>
  <si>
    <t>TRFheat</t>
  </si>
  <si>
    <t>for Semi-Conditioned Spaces</t>
  </si>
  <si>
    <t>average home size</t>
  </si>
  <si>
    <t>ηHeat</t>
  </si>
  <si>
    <t>InputCapacityHeat</t>
  </si>
  <si>
    <t>ηEquipment</t>
  </si>
  <si>
    <t>ηSystem</t>
  </si>
  <si>
    <t>Heat Pump Water Heater</t>
  </si>
  <si>
    <t>5.4.3</t>
  </si>
  <si>
    <t>kw = kwh/hours * CF</t>
  </si>
  <si>
    <t>EF 2.0</t>
  </si>
  <si>
    <t>EF 2.35</t>
  </si>
  <si>
    <t>Incremental capitcal cost</t>
  </si>
  <si>
    <t>full cost for retrofit</t>
  </si>
  <si>
    <t>CF</t>
  </si>
  <si>
    <t>Volume</t>
  </si>
  <si>
    <t>system type</t>
  </si>
  <si>
    <t>age of equip</t>
  </si>
  <si>
    <t>HSPF estimate</t>
  </si>
  <si>
    <t>COP heat</t>
  </si>
  <si>
    <t>&lt;= 55 gallons</t>
  </si>
  <si>
    <t>heat pump</t>
  </si>
  <si>
    <t>before 2006</t>
  </si>
  <si>
    <t>&gt;= 55 gallons</t>
  </si>
  <si>
    <t>after 2006 - 2014</t>
  </si>
  <si>
    <t>2015 on</t>
  </si>
  <si>
    <t>resistence</t>
  </si>
  <si>
    <t>unknown</t>
  </si>
  <si>
    <t>GPD</t>
  </si>
  <si>
    <t>45.5 gallons hot water per day per household/2.59 people per household</t>
  </si>
  <si>
    <t>household</t>
  </si>
  <si>
    <t>single family</t>
  </si>
  <si>
    <t>multifamily</t>
  </si>
  <si>
    <t>ywater</t>
  </si>
  <si>
    <t>weight of water per gallon</t>
  </si>
  <si>
    <t>Tou</t>
  </si>
  <si>
    <t>tank tempurature</t>
  </si>
  <si>
    <t>Tin</t>
  </si>
  <si>
    <t>incoming water temperature from well of municipal system</t>
  </si>
  <si>
    <t>LF</t>
  </si>
  <si>
    <t>location factor for installation in conditioned space</t>
  </si>
  <si>
    <t>gross therm</t>
  </si>
  <si>
    <t>IMC</t>
  </si>
  <si>
    <t>unknown location</t>
  </si>
  <si>
    <t>Peoples</t>
  </si>
  <si>
    <t>unconditioned space</t>
  </si>
  <si>
    <t>Ameren</t>
  </si>
  <si>
    <t>COP cool</t>
  </si>
  <si>
    <t>LM</t>
  </si>
  <si>
    <t>latent multiploer to account for latent cooling demand</t>
  </si>
  <si>
    <t>hours</t>
  </si>
  <si>
    <t>actual efficiency of heating system, if unknown use 70%</t>
  </si>
  <si>
    <t>% natural gas</t>
  </si>
  <si>
    <t>electric resistence/HP</t>
  </si>
  <si>
    <t>natural gas</t>
  </si>
  <si>
    <t>unknown heating fuel</t>
  </si>
  <si>
    <t>Pipe Wrap</t>
  </si>
  <si>
    <t>5.4.1</t>
  </si>
  <si>
    <t>ΔkW = ΔkWh / 8766</t>
  </si>
  <si>
    <t>Pipe wrap</t>
  </si>
  <si>
    <t>per foot of pipe insulation</t>
  </si>
  <si>
    <t>Electric water heat</t>
  </si>
  <si>
    <t>Gas water heat</t>
  </si>
  <si>
    <t>incremental cost</t>
  </si>
  <si>
    <t>per linear foot</t>
  </si>
  <si>
    <t>Rexist</t>
  </si>
  <si>
    <t>Pipe heat loss coefficient of uninsulated pipe (existing) [(hr-°F-ft)/Btu]</t>
  </si>
  <si>
    <t>Rnew</t>
  </si>
  <si>
    <t>Used in TRM example</t>
  </si>
  <si>
    <t xml:space="preserve"> Pipe heat loss coefficient of insulated pipe (new) [(hr-°F-ft)/Btu]</t>
  </si>
  <si>
    <t>L</t>
  </si>
  <si>
    <t>Length of pipe from water heating source covered by pipe wrap (ft)</t>
  </si>
  <si>
    <t>Actual (0.5” pipe = 0.131ft, 0.75” pipe = 0.196ft)</t>
  </si>
  <si>
    <t>Circumference of pipe (ft) (Diameter (in) * π/12)</t>
  </si>
  <si>
    <t>ΔT</t>
  </si>
  <si>
    <t>Average temperature difference between supplied water and outside air temperature (°F)</t>
  </si>
  <si>
    <t>ηDHW</t>
  </si>
  <si>
    <t>Recovery efficiency of electric hot water heater</t>
  </si>
  <si>
    <t>Recovery efficiency of gas hot water heater</t>
  </si>
  <si>
    <t>Smart Thermostat</t>
  </si>
  <si>
    <t>5.3.16</t>
  </si>
  <si>
    <t>Electric Resistance Elec_Heating_ Consumption (kWh)</t>
  </si>
  <si>
    <t>Electric Heat Pump Elec_Heating_ Consumption (kWh)</t>
  </si>
  <si>
    <t>ΔkWh = ΔkWhheating + ΔkWhcooling</t>
  </si>
  <si>
    <t>ΔkWhheating = %ElectricHeat * Elec_Heating_Consumption * Heating_Reduction * HF * Eff_ISR + (ΔTherms * Fe * 29.3)</t>
  </si>
  <si>
    <t>ΔkWhcool = %AC * ((FLH * Btu/hr * 1/SEER)/1000) * Cooling_Reduction * Eff_ISR</t>
  </si>
  <si>
    <t>therm_heat</t>
  </si>
  <si>
    <t>kWh_therm</t>
  </si>
  <si>
    <t>kWh_cool</t>
  </si>
  <si>
    <t>ΔkW = (Cooling_Reduction * Btu/hr * (1/EER))/1000 * EFF_ISR * CF</t>
  </si>
  <si>
    <t>ΔTherms = %FossilHeat * Gas_Heating_Consumption * Heating_Reduction * HF * Eff_ISR</t>
  </si>
  <si>
    <t>Electric Resistance Heat</t>
  </si>
  <si>
    <t>Electric Resistance Heat w/ AC</t>
  </si>
  <si>
    <t>Gas Heat w/ AC (Other electric Utility)</t>
  </si>
  <si>
    <t>CF PJM peak</t>
  </si>
  <si>
    <t>%ElectricHeat</t>
  </si>
  <si>
    <t xml:space="preserve">Percentage of heating savings assumed to be electric Heating fuel </t>
  </si>
  <si>
    <t>(natural gas)</t>
  </si>
  <si>
    <t>Elec_Heating_Consumption</t>
  </si>
  <si>
    <t>Electric Resistence</t>
  </si>
  <si>
    <t>Heat Pump</t>
  </si>
  <si>
    <t>Heating_Reduction</t>
  </si>
  <si>
    <t>manual</t>
  </si>
  <si>
    <t>programmable</t>
  </si>
  <si>
    <t>household factor to adjust for non single family home</t>
  </si>
  <si>
    <t>Thermostat control of air conditioning? %AC</t>
  </si>
  <si>
    <t>%AC</t>
  </si>
  <si>
    <t>Yes</t>
  </si>
  <si>
    <t>No</t>
  </si>
  <si>
    <t>custom</t>
  </si>
  <si>
    <t>Unknown</t>
  </si>
  <si>
    <t>Eff_IRS</t>
  </si>
  <si>
    <t>single family electric heat</t>
  </si>
  <si>
    <t>multifamily electric heat</t>
  </si>
  <si>
    <t>single family natural gas heat</t>
  </si>
  <si>
    <t>multifamily natural gas heat</t>
  </si>
  <si>
    <t>Climate zone (city based upon)</t>
  </si>
  <si>
    <t xml:space="preserve"> FLH (single family)</t>
  </si>
  <si>
    <t xml:space="preserve"> FLH (general multifamily)</t>
  </si>
  <si>
    <t>FLH_cooling (weatherized multi family)</t>
  </si>
  <si>
    <t>Gas_Heating_ Consumption (therms)</t>
  </si>
  <si>
    <t>FLH_Heati</t>
  </si>
  <si>
    <t>see table</t>
  </si>
  <si>
    <t>FLH</t>
  </si>
  <si>
    <t>Btu/hr</t>
  </si>
  <si>
    <t>btu/hr or 1 ton</t>
  </si>
  <si>
    <t>actual</t>
  </si>
  <si>
    <t>direct install</t>
  </si>
  <si>
    <t>SEER</t>
  </si>
  <si>
    <t>CAC</t>
  </si>
  <si>
    <t>Cooling_Reduction</t>
  </si>
  <si>
    <t>EER</t>
  </si>
  <si>
    <t>%Fossil fuel</t>
  </si>
  <si>
    <t>electric</t>
  </si>
  <si>
    <t xml:space="preserve">natural </t>
  </si>
  <si>
    <t xml:space="preserve"> Gas_Heating_Consumption</t>
  </si>
  <si>
    <t>Programmable Thermostat</t>
  </si>
  <si>
    <t>5.3.11</t>
  </si>
  <si>
    <t>5.6.4</t>
  </si>
  <si>
    <t>Wall and Ceiling/Attic Insulation</t>
  </si>
  <si>
    <t xml:space="preserve">Ceiling Insulation </t>
  </si>
  <si>
    <t>Per SF, estimated</t>
  </si>
  <si>
    <t>Measure</t>
  </si>
  <si>
    <t>Ceiling Insulation (R-5 to R-38)</t>
  </si>
  <si>
    <t>Key</t>
  </si>
  <si>
    <t>kWh = kWh_Cooling + kWh_Heating</t>
  </si>
  <si>
    <t>kWh_Cooling = (((1/R_old - 1/R_attic) * A_attic * (1 - Framing_factor/2)) * 24 * CDD * DUA) / (1000 * SEER[base]) * ADJ_cool</t>
  </si>
  <si>
    <t>R_old</t>
  </si>
  <si>
    <t>R_attic</t>
  </si>
  <si>
    <t>A_attic</t>
  </si>
  <si>
    <t>Calculate per-SF value</t>
  </si>
  <si>
    <t>Framing_factor</t>
  </si>
  <si>
    <t>CDD</t>
  </si>
  <si>
    <t>Springfield, CDD65</t>
  </si>
  <si>
    <t>DUA</t>
  </si>
  <si>
    <t>SEER[base] - before 2006</t>
  </si>
  <si>
    <t>SEER[base] - 2006-2014</t>
  </si>
  <si>
    <t>SEER[base] - CAC After 1/1/2015</t>
  </si>
  <si>
    <t>SEER[base] - HP After 1/1/2015</t>
  </si>
  <si>
    <t>Weighted average</t>
  </si>
  <si>
    <t>ADJ_cool</t>
  </si>
  <si>
    <t>kWh_Cooling</t>
  </si>
  <si>
    <t>kWh _Heating = (((1/R_old - 1/R_attic) * A_attic * (1 - Framing_factor_attic) * ADJ_attic) * 24 * HDD) / (COP[base] * 3412) * ADJ_heat</t>
  </si>
  <si>
    <t>ADJ_heat</t>
  </si>
  <si>
    <t>Measure Category</t>
  </si>
  <si>
    <t>Fuel Type</t>
  </si>
  <si>
    <t>Lifetime</t>
  </si>
  <si>
    <t>Remaining Life</t>
  </si>
  <si>
    <t>ER kWh</t>
  </si>
  <si>
    <t>ER kW</t>
  </si>
  <si>
    <t>Therm</t>
  </si>
  <si>
    <t>ER Therm</t>
  </si>
  <si>
    <t>Avoided Future Cost</t>
  </si>
  <si>
    <t>Cost Unit</t>
  </si>
  <si>
    <t>HDD</t>
  </si>
  <si>
    <t>Springfield, HDD60</t>
  </si>
  <si>
    <t>Gas Heat w/AC</t>
  </si>
  <si>
    <t>COP[base] - HP, before 2006</t>
  </si>
  <si>
    <t>Heat pump</t>
  </si>
  <si>
    <t>COP[base] - HP, 2006-2014</t>
  </si>
  <si>
    <t>Resistance, heat only</t>
  </si>
  <si>
    <t>COP[base] - HP, 2015 on</t>
  </si>
  <si>
    <t>Resistance w/ AC</t>
  </si>
  <si>
    <t>COP[base] - HP</t>
  </si>
  <si>
    <t>COP[base] - Resistance</t>
  </si>
  <si>
    <t>kWh_Heating</t>
  </si>
  <si>
    <t>AC only</t>
  </si>
  <si>
    <t>FLH_cooling</t>
  </si>
  <si>
    <t>Springfield</t>
  </si>
  <si>
    <t>ΔTherms = ((((1/R_old - 1/R_wall) * A_wall * (1-Framing_factor_wall)) + ((1/R_old - 1/R_attic) * A_attic * (1-Framing_factor_attic))) * 24 * HDD) / (ηHeat * 100,067 Btu/therm) * ADJWallAtticHeat</t>
  </si>
  <si>
    <t>nheat</t>
  </si>
  <si>
    <t>Wall Insulation</t>
  </si>
  <si>
    <t xml:space="preserve">Wall Insulation (R-0 to R-11) </t>
  </si>
  <si>
    <t>Minimum of R-5 for uninsulated assemblies892</t>
  </si>
  <si>
    <t>R_wall</t>
  </si>
  <si>
    <t>A_wall</t>
  </si>
  <si>
    <t>Rim Joist</t>
  </si>
  <si>
    <t>Closed cell spray foam</t>
  </si>
  <si>
    <t>kWh_Cooling = (((1/R_old - 1/R_wall) * A_wall * (1 - Framing_factor)) * 24 * CDD * DUA) / (1000 * SEER[base]) * ADJ_cool</t>
  </si>
  <si>
    <t>Rim joist, sheathing, siding</t>
  </si>
  <si>
    <t>Add R11 spray foam</t>
  </si>
  <si>
    <t>Calculate per-LF value</t>
  </si>
  <si>
    <t>Springfield, Unconditioned CDD75</t>
  </si>
  <si>
    <t>SEER[base] - 2006 - 2014</t>
  </si>
  <si>
    <t>kWh _Heating = (((1/R_old - 1/R_wall) * A_wall * (1 - Framing_factor_wall) * ADJ_wall) * 24 * HDD) / (COP[base] * 3412)</t>
  </si>
  <si>
    <t>ADJ_wall</t>
  </si>
  <si>
    <t>Springfield, Unconditioned HDD50</t>
  </si>
  <si>
    <t>COP[base] - HP, 2006 - 2014</t>
  </si>
  <si>
    <t>kW = (kWh_Cooling / FLH[cool]) * CF</t>
  </si>
  <si>
    <t>Springfield, MF</t>
  </si>
  <si>
    <t>Cooling only, MF</t>
  </si>
  <si>
    <t>therms = (((1/R_old - 1/R_wall) * A_wall * (1 - Framing_factor) * ADJ_wall) * 24 * HDD) / (AFUE[base] * 100067)</t>
  </si>
  <si>
    <t>AFUE[base]</t>
  </si>
  <si>
    <t>kWh = therms x F[e] x 29.3</t>
  </si>
  <si>
    <t>Run-time savings due to reduced heating load</t>
  </si>
  <si>
    <t>F[e]</t>
  </si>
  <si>
    <t>SHOWERHEAD - DIRECT INSTALL</t>
  </si>
  <si>
    <t>5.4.5</t>
  </si>
  <si>
    <t>RS-HWE-LFSH-V03-140601</t>
  </si>
  <si>
    <t>1.75 gpm showerhead</t>
  </si>
  <si>
    <t>kWh = %ElectricDHW  * (((GPM_base * L_base) - (GPM_low * L_low)) * Household * SPCD * 365.25 / SPH) * EPG_electric * ISR</t>
  </si>
  <si>
    <t>%ElectricDHW</t>
  </si>
  <si>
    <t>GPM_base</t>
  </si>
  <si>
    <t>Gallons per minute</t>
  </si>
  <si>
    <t>L_base</t>
  </si>
  <si>
    <t>Length of shower</t>
  </si>
  <si>
    <t>GPM_low</t>
  </si>
  <si>
    <t>L_low</t>
  </si>
  <si>
    <t>Household</t>
  </si>
  <si>
    <t>SPCD</t>
  </si>
  <si>
    <t>Showers per capita per day</t>
  </si>
  <si>
    <t>SPH</t>
  </si>
  <si>
    <t>EPG_electric</t>
  </si>
  <si>
    <t>kWh/gal</t>
  </si>
  <si>
    <t>In-Service Rate, Direct Install, SF</t>
  </si>
  <si>
    <t>In-Service Rate, Direct Install, MF</t>
  </si>
  <si>
    <t>kW = kWh/Hours x CF</t>
  </si>
  <si>
    <t>therms = %FossilDHW * (((GPM_base * L_base) - (GPM_low * L_low)) * Household * SPCD * 365.25 / SPH) * EPG_gas * ISR</t>
  </si>
  <si>
    <t>%FossilDHW</t>
  </si>
  <si>
    <t>EPG_gas</t>
  </si>
  <si>
    <t>FAUCET AERATOR - DIRECT INSTALL</t>
  </si>
  <si>
    <t>5.4.4</t>
  </si>
  <si>
    <t>RS-HWE-LFFA-V03-140601</t>
  </si>
  <si>
    <t>2.2 gpm kitchen aerator</t>
  </si>
  <si>
    <t>1.5 gpm bath aerator</t>
  </si>
  <si>
    <t>kWh = %ElectricDHW  * (((GPM_base * L_base) - (GPM_low * L_low)) * Household * 365.25 * DF / FPH) * EPG_electric * ISR</t>
  </si>
  <si>
    <t>Length of faucet use, SF</t>
  </si>
  <si>
    <t>Length of faucet use, MF</t>
  </si>
  <si>
    <t>DF</t>
  </si>
  <si>
    <t>FPH</t>
  </si>
  <si>
    <t>In-Service Rate, Direct Install, MF (blended average)</t>
  </si>
  <si>
    <t>therms = %FossilDHW * (((GPM_base * L_base) - (GPM_low * L_low)) * Household * 365.25 * DF / FPH) * EPG_gas * ISR</t>
  </si>
  <si>
    <t>SHOWERHEAD - SELF INSTALL</t>
  </si>
  <si>
    <t>Gallons per minute, Retrofit</t>
  </si>
  <si>
    <t>SF, Retrofit</t>
  </si>
  <si>
    <t>MF, Retrofit</t>
  </si>
  <si>
    <t>FAUCET AERATOR - SELF INSTALL</t>
  </si>
  <si>
    <t>Location unknown</t>
  </si>
  <si>
    <t>SF, Location unknown</t>
  </si>
  <si>
    <t>MF, Location unknown</t>
  </si>
  <si>
    <t>WATER HEATER TEMPERATURE SETBACK</t>
  </si>
  <si>
    <t>5.4.6</t>
  </si>
  <si>
    <t>RS-HWE-TMPS-V03-140601</t>
  </si>
  <si>
    <t>120 degrees</t>
  </si>
  <si>
    <t>130+ degrees</t>
  </si>
  <si>
    <t>Gross</t>
  </si>
  <si>
    <t>= (UA * (Tpre – Tpost) * Hours) / (3412 * RE_electric)</t>
  </si>
  <si>
    <t>U</t>
  </si>
  <si>
    <t>Overall heat transfer coefficient of tank (Btu/Hr-°F-ft2)</t>
  </si>
  <si>
    <t>A</t>
  </si>
  <si>
    <t>Surface area of storage tank (square feet)</t>
  </si>
  <si>
    <t>Tpre</t>
  </si>
  <si>
    <t>Actual hot water setpoint prior to adjustment</t>
  </si>
  <si>
    <t>Tpost</t>
  </si>
  <si>
    <t>Actual new hot water setpoint, which may not be lower than 120 degrees</t>
  </si>
  <si>
    <t>Number of hours in a year (since savings are assumed to be constant over year)</t>
  </si>
  <si>
    <t>RE_Electric</t>
  </si>
  <si>
    <t>Discounted for ISR</t>
  </si>
  <si>
    <t>therms = 6.4 therms * (Tpre - Tpost) / 15</t>
  </si>
  <si>
    <t>= (UA * (Tpre – Tpost) * Hours) / (100,000 * RE_gas)</t>
  </si>
  <si>
    <t>RE_gas_SF</t>
  </si>
  <si>
    <t>Recovery efficiency of gas water heater, single family</t>
  </si>
  <si>
    <t>kWh = -32.4 kWh * (Tpre - Tpost) / 15</t>
  </si>
  <si>
    <t>kWh penalty</t>
  </si>
  <si>
    <t>5.6.1</t>
  </si>
  <si>
    <t>Air Sealing</t>
  </si>
  <si>
    <t>Per CFM50, estimated</t>
  </si>
  <si>
    <t>CFM</t>
  </si>
  <si>
    <t>CFM_existing</t>
  </si>
  <si>
    <t>Calculate per-CFM savings value</t>
  </si>
  <si>
    <t>CFM_new</t>
  </si>
  <si>
    <t>N[cool]</t>
  </si>
  <si>
    <t>Springfield, 1.5 stories</t>
  </si>
  <si>
    <t>kWh _Cooling</t>
  </si>
  <si>
    <t>N[heat]</t>
  </si>
  <si>
    <t>Cooling only, SF</t>
  </si>
  <si>
    <t>\\ameresco.com\d\aeg\Clients\Ameren\Ameren Illinois Plan 3\Adjustable Goals\PY9\[AIC Plan 3 PY9 Adjustable Goals_05-4-16.xlsx]RES SHELL (TRM)</t>
  </si>
  <si>
    <t>Assumptions</t>
  </si>
  <si>
    <t>Unit</t>
  </si>
  <si>
    <t>HPwES</t>
  </si>
  <si>
    <t>MI</t>
  </si>
  <si>
    <t>Attic R11</t>
  </si>
  <si>
    <t>Attic R19</t>
  </si>
  <si>
    <t xml:space="preserve">Wall </t>
  </si>
  <si>
    <t>Rim</t>
  </si>
  <si>
    <t>Crawl</t>
  </si>
  <si>
    <t>Basement</t>
  </si>
  <si>
    <t>Attic</t>
  </si>
  <si>
    <t>ECM Retrofit</t>
  </si>
  <si>
    <t>Source</t>
  </si>
  <si>
    <t>IL TRM, 5.3.5</t>
  </si>
  <si>
    <t>MEMD, 2016</t>
  </si>
  <si>
    <t>3.07.01.FESH9.v01</t>
  </si>
  <si>
    <t>Mid Atlantic TRM v5</t>
  </si>
  <si>
    <t>CFM per house</t>
  </si>
  <si>
    <t>Ceiling Insulation (R-11 to R-38)</t>
  </si>
  <si>
    <t>Wall sf</t>
  </si>
  <si>
    <t>Rim Assumption</t>
  </si>
  <si>
    <t>springfield SF</t>
  </si>
  <si>
    <t>springfield MF</t>
  </si>
  <si>
    <t>5.6.2</t>
  </si>
  <si>
    <t>Basement Sidewall Insulation</t>
  </si>
  <si>
    <t>R11 rigid or draped, Per LF, estimated</t>
  </si>
  <si>
    <t>kWh_Cooling = (((1/R_old_AG  - 1/(R_added+R_old_AG)) * L_basement_wall_total * H_basement_wall_AG * (1-Framing_factor)) * 24 * CDD * DUA) / (1000 * SEER[base]) * ADJ_basement_cool</t>
  </si>
  <si>
    <t>R_old_AG</t>
  </si>
  <si>
    <t>R_added</t>
  </si>
  <si>
    <t>L_basement_wall_total</t>
  </si>
  <si>
    <t>H_basement_wall_AG</t>
  </si>
  <si>
    <t>1' above grade, not including rim joist</t>
  </si>
  <si>
    <t>No framing</t>
  </si>
  <si>
    <t>SEER[base] - Central AC After 1/1/2015</t>
  </si>
  <si>
    <t>SEER[base] - Heat Pump After 1/1/2015</t>
  </si>
  <si>
    <t>ADJ_basement_cool</t>
  </si>
  <si>
    <t>kWh_Heating = (((((1/R_old_AG  - 1/(R_added+R_old_AG)) * L_basement_wall_total * H_basement_wall_AG * (1-Framing_factor)) + ((1/R_old_BG - 1/(R_added+R_old_BG)) * L_basement_wall_total * (H_basement_wall_total - H_basement_wall_AG) * (1-Framing_factor))) * 24 * HDD) / (COP[base] * 3412)) * ADJ_basement_heat</t>
  </si>
  <si>
    <t>R_old_BG</t>
  </si>
  <si>
    <t>2' below grade</t>
  </si>
  <si>
    <t>H_basement_wall_total</t>
  </si>
  <si>
    <t>ADJ_basement_heat</t>
  </si>
  <si>
    <t>key</t>
  </si>
  <si>
    <t>Crawl Space</t>
  </si>
  <si>
    <t>therms = (((((1/R_old_AG  - 1/(R_added+R_old_AG)) * L_basement_wall_total * H_basement_wall_AG * (1-Framing_factor)) + ((1/R_old_BG - 1/(R_added+R_old_BG)) * L_basement_wall_total * (H_basement_wall_total - H_basement_wall_AG) * (1-Framing_factor))) * 24 * HDD) / (AFUE[base] * 100067)) * ADJ_basement</t>
  </si>
  <si>
    <t>5.3.7</t>
  </si>
  <si>
    <t>Gas High Efficiency Furnace</t>
  </si>
  <si>
    <t>GAS FURNACES</t>
  </si>
  <si>
    <t>RS-HVC-GHEF-V03-140601</t>
  </si>
  <si>
    <t>MEASURE LIFE (ROB)</t>
  </si>
  <si>
    <t>MEASURE LIFE (ER)</t>
  </si>
  <si>
    <t>Savings for remaining 14 years based on federal minimum baseline.</t>
  </si>
  <si>
    <t>Housing Type</t>
  </si>
  <si>
    <t>Full Cost</t>
  </si>
  <si>
    <t>AFUE[exist]</t>
  </si>
  <si>
    <t>AFUE[ee]</t>
  </si>
  <si>
    <t>ER therms</t>
  </si>
  <si>
    <t>Furnace</t>
  </si>
  <si>
    <t>95% AFUE</t>
  </si>
  <si>
    <t>All</t>
  </si>
  <si>
    <t>5.3.5</t>
  </si>
  <si>
    <t>Furnace Blower Motor</t>
  </si>
  <si>
    <t>BPM BLOWER MOTOR (ECM)</t>
  </si>
  <si>
    <t>5.3.3</t>
  </si>
  <si>
    <t>CAC - Single Family</t>
  </si>
  <si>
    <t>RS-HVC-CAC1-V03-140601</t>
  </si>
  <si>
    <t>Savings for remaining 12 years based on federal minimum baseline.</t>
  </si>
  <si>
    <t>kWh = (FLH[cool] * Capacity * (1/SEER[base] - 1/SEER[ee]))/1000</t>
  </si>
  <si>
    <t>Capacity</t>
  </si>
  <si>
    <t>BTUh, default</t>
  </si>
  <si>
    <t>kW = ((Capacity * (1/EER[base] - 1/EER[ee]))/1000) * CF</t>
  </si>
  <si>
    <t>House Typ</t>
  </si>
  <si>
    <t>CAC 16.0 SEER</t>
  </si>
  <si>
    <t>Ret kWh</t>
  </si>
  <si>
    <t>Ret Kw</t>
  </si>
  <si>
    <t>Electric Recommended NTGRs</t>
  </si>
  <si>
    <t>Gas Recommended NTGRs</t>
  </si>
  <si>
    <t>Recommended 
Electric Value</t>
  </si>
  <si>
    <t>E FR</t>
  </si>
  <si>
    <t>E Part SO</t>
  </si>
  <si>
    <t>E Non-Part SO</t>
  </si>
  <si>
    <t>Electric Source(s)</t>
  </si>
  <si>
    <t>Recommended 
Gas Value</t>
  </si>
  <si>
    <t>G FR</t>
  </si>
  <si>
    <t>G Part SO</t>
  </si>
  <si>
    <t>G Non-Part SO</t>
  </si>
  <si>
    <t>Gas Source(s)</t>
  </si>
  <si>
    <t>Rationale</t>
  </si>
  <si>
    <t>C&amp;I</t>
  </si>
  <si>
    <t>C&amp;I Custom</t>
  </si>
  <si>
    <t>PY6 Evaluation - Part Self-Report</t>
  </si>
  <si>
    <t>Most recent AIC specific value available</t>
  </si>
  <si>
    <t>C&amp;I Retro-Commissioning</t>
  </si>
  <si>
    <t>PY6 Evaluation - Part Self-Report/RSP Interviews; PY7 NP Self-Report for NPSO</t>
  </si>
  <si>
    <t>PY6 Evaluation - Part Self-Report &amp; RSP Interviews</t>
  </si>
  <si>
    <t>C&amp;I Standard</t>
  </si>
  <si>
    <t>Core Program Lighting</t>
  </si>
  <si>
    <t>PY7 Evaluation - Part Self-Report &amp; NP Self-Report for NPSO</t>
  </si>
  <si>
    <t>N/A</t>
  </si>
  <si>
    <t>Core Program HVAC</t>
  </si>
  <si>
    <t>Core Program Leak Survey</t>
  </si>
  <si>
    <t>Core Program Specialty</t>
  </si>
  <si>
    <t>Core Program Steam Trap</t>
  </si>
  <si>
    <t>Core Program VFD</t>
  </si>
  <si>
    <t xml:space="preserve">C&amp;I Standard </t>
  </si>
  <si>
    <t>Online Store Measures</t>
  </si>
  <si>
    <t>PY4 Evaluation - Part Self-Report</t>
  </si>
  <si>
    <t>Green Nozzles</t>
  </si>
  <si>
    <t>Midstream Lighting - CFLs</t>
  </si>
  <si>
    <t>Most recent Illinois specific value available</t>
  </si>
  <si>
    <t>Midstream Lighting - LEDs</t>
  </si>
  <si>
    <t>CHP</t>
  </si>
  <si>
    <t>Project specific NTG (see Rationale)</t>
  </si>
  <si>
    <t xml:space="preserve">The evaluation team will determine project specific NTGRs upfront and these values will remain in place for the life of the project. </t>
  </si>
  <si>
    <t>Refrigerator</t>
  </si>
  <si>
    <t>Freezer</t>
  </si>
  <si>
    <t>Behavior Modification</t>
  </si>
  <si>
    <t>see Rationale</t>
  </si>
  <si>
    <t>Savings determined through billing analysis</t>
  </si>
  <si>
    <t>ENERGY STAR New Homes</t>
  </si>
  <si>
    <t>Single-Family Homes</t>
  </si>
  <si>
    <t>CFL</t>
  </si>
  <si>
    <t>Faucet Aerator</t>
  </si>
  <si>
    <t>Showerhead</t>
  </si>
  <si>
    <t>Air sealing</t>
  </si>
  <si>
    <t>Insulation</t>
  </si>
  <si>
    <t>Thermostat</t>
  </si>
  <si>
    <t>Deemed Value</t>
  </si>
  <si>
    <t>Reasonable planning assumption</t>
  </si>
  <si>
    <t>&lt;SEER 16 CAC/HP (RB)</t>
  </si>
  <si>
    <t>PY5 (SO) and PY6 (FR) evaluations</t>
  </si>
  <si>
    <t>SEER 16+ CAC/HP (RB)</t>
  </si>
  <si>
    <t>&lt;SEER 16 CAC/HP (ER)</t>
  </si>
  <si>
    <t>SEER 16+ CAC/HP (ER)</t>
  </si>
  <si>
    <t>Brushless Motors</t>
  </si>
  <si>
    <t>AIC and ICC staff consensus</t>
  </si>
  <si>
    <t xml:space="preserve">Program design </t>
  </si>
  <si>
    <t>CFLs</t>
  </si>
  <si>
    <t>Faucet Aerators</t>
  </si>
  <si>
    <t>Showerheads</t>
  </si>
  <si>
    <t>School Efficiency Kits</t>
  </si>
  <si>
    <t>Avg. of Values from Similar Programs</t>
  </si>
  <si>
    <t xml:space="preserve">Based upon averaging NIPSCO, Nicor Rider 29, and Nicor Gas GPY1 </t>
  </si>
  <si>
    <t>Water Heater Setback</t>
  </si>
  <si>
    <t>Secondary research</t>
  </si>
  <si>
    <t xml:space="preserve">We recommend this value since this measure has no cost, and therefore there is no reason why they would have done it without the program, if it was not already done. </t>
  </si>
  <si>
    <t>NTG KEY</t>
  </si>
  <si>
    <t>BenCost Rank</t>
  </si>
  <si>
    <t>Order</t>
  </si>
  <si>
    <t>End Use</t>
  </si>
  <si>
    <t>Total Electric Savings (net kWh @meter)</t>
  </si>
  <si>
    <t>Total Summer Demand Savings (net kW)</t>
  </si>
  <si>
    <t>Total Natural Gas Savings (net therms)</t>
  </si>
  <si>
    <t>kWh Goal CHECK</t>
  </si>
  <si>
    <t>Therm Goal CHECK</t>
  </si>
  <si>
    <t>5.2.2</t>
  </si>
  <si>
    <t>Energy Resources Center - Low Income Mutlifamily</t>
  </si>
  <si>
    <t>2018 TOS, A-Line LED, 310 - 749 Lumens, Year 1 Install</t>
  </si>
  <si>
    <t>2018 TOS, A-Line LED, 310 - 749 Lumens, Year 2 Install</t>
  </si>
  <si>
    <t>2018 TOS, A-Line LED, 310 - 749 Lumens, Year 3 Install</t>
  </si>
  <si>
    <t>2019 TOS, A-Line LED, 310 - 749 Lumens, Year 1 Install</t>
  </si>
  <si>
    <t>2019 TOS, A-Line LED, 310 - 749 Lumens, Year 2 Install</t>
  </si>
  <si>
    <t>2019 TOS, A-Line LED, 310 - 749 Lumens, Year 3 Install</t>
  </si>
  <si>
    <t>2018 TOS, A-Line LED, 750 - 1049 Lumens, Year 1 Install</t>
  </si>
  <si>
    <t>2018 TOS, A-Line LED, 750 - 1049 Lumens, Year 2 Install</t>
  </si>
  <si>
    <t>2018 TOS, A-Line LED, 750 - 1049 Lumens, Year 3 Install</t>
  </si>
  <si>
    <t>2019 TOS, A-Line LED, 750 - 1049 Lumens, Year 1 Install</t>
  </si>
  <si>
    <t>2019 TOS, A-Line LED, 750 - 1049 Lumens, Year 2 Install</t>
  </si>
  <si>
    <t>2019 TOS, A-Line LED, 750 - 1049 Lumens, Year 3 Install</t>
  </si>
  <si>
    <t>2018 TOS, A-Line LED, 1050 - 1489 Lumens, Year 1 Install</t>
  </si>
  <si>
    <t>2018 TOS, A-Line LED, 1050 - 1489 Lumens, Year 2 Install</t>
  </si>
  <si>
    <t>2018 TOS, A-Line LED, 1050 - 1489 Lumens, Year 3 Install</t>
  </si>
  <si>
    <t>2019 TOS, A-Line LED, 1050 - 1489 Lumens, Year 1 Install</t>
  </si>
  <si>
    <t>2019 TOS, A-Line LED, 1050 - 1489 Lumens, Year 2 Install</t>
  </si>
  <si>
    <t>2019 TOS, A-Line LED, 1050 - 1489 Lumens, Year 3 Install</t>
  </si>
  <si>
    <t>2018 TOS, A-Line LED, 1490 - 2600 Lumens, Year 1 Install</t>
  </si>
  <si>
    <t>2018 TOS, A-Line LED, 1490 - 2600 Lumens, Year 2 Install</t>
  </si>
  <si>
    <t>2018 TOS, A-Line LED, 1490 - 2600 Lumens, Year 3 Install</t>
  </si>
  <si>
    <t>2019 TOS, A-Line LED, 1490 - 2600 Lumens, Year 1 Install</t>
  </si>
  <si>
    <t>2019 TOS, A-Line LED, 1490 - 2600 Lumens, Year 2 Install</t>
  </si>
  <si>
    <t>2019 TOS, A-Line LED, 1490 - 2600 Lumens, Year 3 Install</t>
  </si>
  <si>
    <t>2018 TOS, 10W LED Specialty Lamp - Recessed Downlight, Year 1 Install</t>
  </si>
  <si>
    <t>2019 TOS, 10W LED Specialty Lamp - Recessed Downlight, Year 1 Install</t>
  </si>
  <si>
    <t>2020 TOS, 10W LED Specialty Lamp - Recessed Downlight, Year 1 Install</t>
  </si>
  <si>
    <t>2021 TOS, 10W LED Specialty Lamp - Recessed Downlight, Year 1 Install</t>
  </si>
  <si>
    <t>2018 TOS, 12W LED Specialty Lamp - Decorative, Year 1 Install</t>
  </si>
  <si>
    <t>2018 TOS, 12W LED Specialty Lamp - Decorative, Year 2 Install</t>
  </si>
  <si>
    <t>2018 TOS, 12W LED Specialty Lamp - Decorative, Year 3 Install</t>
  </si>
  <si>
    <t>2019 TOS, 12W LED Specialty Lamp - Decorative, Year 1 Install</t>
  </si>
  <si>
    <t>2019 TOS, 12W LED Specialty Lamp - Decorative, Year 2 Install</t>
  </si>
  <si>
    <t>2019 TOS, 12W LED Specialty Lamp - Decorative, Year 3 Install</t>
  </si>
  <si>
    <t>2020 TOS, 12W LED Specialty Lamp - Decorative, Year 1 Install</t>
  </si>
  <si>
    <t>2020 TOS, 12W LED Specialty Lamp - Decorative, Year 2 Install</t>
  </si>
  <si>
    <t>2020 TOS, 12W LED Specialty Lamp - Decorative, Year 3 Install</t>
  </si>
  <si>
    <t>2021 TOS, 12W LED Specialty Lamp - Decorative, Year 1 Install</t>
  </si>
  <si>
    <t>2021 TOS, 12W LED Specialty Lamp - Decorative, Year 2 Install</t>
  </si>
  <si>
    <t>2021 TOS, 12W LED Specialty Lamp - Decorative, Year 3 Install</t>
  </si>
  <si>
    <t>2018 TOS, 17W LED Specialty Lamp - Reflector, Year 1 Install</t>
  </si>
  <si>
    <t>2018 TOS, 17W LED Specialty Lamp - Reflector, Year 2 Install</t>
  </si>
  <si>
    <t>2018 TOS, 17W LED Specialty Lamp - Reflector, Year 3 Install</t>
  </si>
  <si>
    <t>2019 TOS, 17W LED Specialty Lamp - Reflector, Year 1 Install</t>
  </si>
  <si>
    <t>2019 TOS, 17W LED Specialty Lamp - Reflector, Year 2 Install</t>
  </si>
  <si>
    <t>2019 TOS, 17W LED Specialty Lamp - Reflector, Year 3 Install</t>
  </si>
  <si>
    <t>2020 TOS, 17W LED Specialty Lamp - Reflector, Year 1 Install</t>
  </si>
  <si>
    <t>2020 TOS, 17W LED Specialty Lamp - Reflector, Year 2 Install</t>
  </si>
  <si>
    <t>2020 TOS, 17W LED Specialty Lamp - Reflector, Year 3 Install</t>
  </si>
  <si>
    <t>2021 TOS, 17W LED Specialty Lamp - Reflector, Year 1 Install</t>
  </si>
  <si>
    <t>2021 TOS, 17W LED Specialty Lamp - Reflector, Year 2 Install</t>
  </si>
  <si>
    <t>2021 TOS, 17W LED Specialty Lamp - Reflector, Year 3 Install</t>
  </si>
  <si>
    <t>2018 TOS, 23W LED Specialty Lamp - Reflector, Year 1 Install</t>
  </si>
  <si>
    <t>2018 TOS, 23W LED Specialty Lamp - Reflector, Year 2 Install</t>
  </si>
  <si>
    <t>2018 TOS, 23W LED Specialty Lamp - Reflector, Year 3 Install</t>
  </si>
  <si>
    <t>2019 TOS, 23W LED Specialty Lamp - Reflector, Year 1 Install</t>
  </si>
  <si>
    <t>2019 TOS, 23W LED Specialty Lamp - Reflector, Year 2 Install</t>
  </si>
  <si>
    <t>2019 TOS, 23W LED Specialty Lamp - Reflector, Year 3 Install</t>
  </si>
  <si>
    <t>2020 TOS, 23W LED Specialty Lamp - Reflector, Year 1 Install</t>
  </si>
  <si>
    <t>2020 TOS, 23W LED Specialty Lamp - Reflector, Year 2 Install</t>
  </si>
  <si>
    <t>2020 TOS, 23W LED Specialty Lamp - Reflector, Year 3 Install</t>
  </si>
  <si>
    <t>2021 TOS, 23W LED Specialty Lamp - Reflector, Year 1 Install</t>
  </si>
  <si>
    <t>2021 TOS, 23W LED Specialty Lamp - Reflector, Year 2 Install</t>
  </si>
  <si>
    <t>2021 TOS, 23W LED Specialty Lamp - Reflector, Year 3 Install</t>
  </si>
  <si>
    <t>2018 TOS, 3W LED Specialty Lamp - Decorative, Year 1 Install</t>
  </si>
  <si>
    <t>2018 TOS, 3W LED Specialty Lamp - Decorative, Year 2 Install</t>
  </si>
  <si>
    <t>2018 TOS, 3W LED Specialty Lamp - Decorative, Year 3 Install</t>
  </si>
  <si>
    <t>2019 TOS, 3W LED Specialty Lamp - Decorative, Year 1 Install</t>
  </si>
  <si>
    <t>2019 TOS, 3W LED Specialty Lamp - Decorative, Year 2 Install</t>
  </si>
  <si>
    <t>2019 TOS, 3W LED Specialty Lamp - Decorative, Year 3 Install</t>
  </si>
  <si>
    <t>2020 TOS, 3W LED Specialty Lamp - Decorative, Year 1 Install</t>
  </si>
  <si>
    <t>2020 TOS, 3W LED Specialty Lamp - Decorative, Year 2 Install</t>
  </si>
  <si>
    <t>2020 TOS, 3W LED Specialty Lamp - Decorative, Year 3 Install</t>
  </si>
  <si>
    <t>2021 TOS, 3W LED Specialty Lamp - Decorative, Year 1 Install</t>
  </si>
  <si>
    <t>2021 TOS, 3W LED Specialty Lamp - Decorative, Year 2 Install</t>
  </si>
  <si>
    <t>2021 TOS, 3W LED Specialty Lamp - Decorative, Year 3 Install</t>
  </si>
  <si>
    <t>2018 TOS, 9W LED Specialty Lamp - Reflector, Year 1 Install</t>
  </si>
  <si>
    <t>2018 TOS, 9W LED Specialty Lamp - Reflector, Year 2 Install</t>
  </si>
  <si>
    <t>2018 TOS, 9W LED Specialty Lamp - Reflector, Year 3 Install</t>
  </si>
  <si>
    <t>2019 TOS, 9W LED Specialty Lamp - Reflector, Year 1 Install</t>
  </si>
  <si>
    <t>2019 TOS, 9W LED Specialty Lamp - Reflector, Year 2 Install</t>
  </si>
  <si>
    <t>2019 TOS, 9W LED Specialty Lamp - Reflector, Year 3 Install</t>
  </si>
  <si>
    <t>2020 TOS, 9W LED Specialty Lamp - Reflector, Year 1 Install</t>
  </si>
  <si>
    <t>2020 TOS, 9W LED Specialty Lamp - Reflector, Year 2 Install</t>
  </si>
  <si>
    <t>2020 TOS, 9W LED Specialty Lamp - Reflector, Year 3 Install</t>
  </si>
  <si>
    <t>2021 TOS, 9W LED Specialty Lamp - Reflector, Year 1 Install</t>
  </si>
  <si>
    <t>2021 TOS, 9W LED Specialty Lamp - Reflector, Year 2 Install</t>
  </si>
  <si>
    <t>2021 TOS, 9W LED Specialty Lamp - Reflector, Year 3 Install</t>
  </si>
  <si>
    <t>ENERGY STAR Ceiling Fan</t>
  </si>
  <si>
    <t>ENERGY STAR Dehumidifier</t>
  </si>
  <si>
    <t>ENERGY STAR Air Purifier</t>
  </si>
  <si>
    <t>ENERGY STAR Clothes Washer (front-loading)</t>
  </si>
  <si>
    <t>Energy Star Clothes Dryer</t>
  </si>
  <si>
    <t>Heat Pump Clothes Dryer</t>
  </si>
  <si>
    <t>ENERGY STAR Refrigerator (top-mount freezer)</t>
  </si>
  <si>
    <t>CEE Tier 2 Refrigerator (top-mount freezer)</t>
  </si>
  <si>
    <t>ENERGY STAR Freezer (Chest)</t>
  </si>
  <si>
    <t>ENERGY STAR Freezer (Upright)</t>
  </si>
  <si>
    <t>ENERGY STAR Dishwasher</t>
  </si>
  <si>
    <t>ENERGY STAR Water Cooler</t>
  </si>
  <si>
    <t>ENERGY STAR - Room Air Conditioner</t>
  </si>
  <si>
    <t>Energy Star Pool Pump- Multi-speed</t>
  </si>
  <si>
    <t>Energy Star Pool Pump - Variable Speed</t>
  </si>
  <si>
    <t>Energy Star Bathroom exhaust fan</t>
  </si>
  <si>
    <t>Energy Star -  Tier 1 Power Strips</t>
  </si>
  <si>
    <t>Appliance</t>
  </si>
  <si>
    <t>CAC SEER 16</t>
  </si>
  <si>
    <t>ER CAC SEER 16</t>
  </si>
  <si>
    <t>2018 1st Year Savings</t>
  </si>
  <si>
    <t>2019 1st Year Savings</t>
  </si>
  <si>
    <t>2020 1st Year Savings</t>
  </si>
  <si>
    <t>2021 1st Year Savings</t>
  </si>
  <si>
    <t>2018 Persistence Y1</t>
  </si>
  <si>
    <t>2018 Persistence Y2</t>
  </si>
  <si>
    <t>2018 Persistence Y3</t>
  </si>
  <si>
    <t>2018 Persistence Y4</t>
  </si>
  <si>
    <t>2019 Persistence Y1</t>
  </si>
  <si>
    <t>2019 Persistence Y2</t>
  </si>
  <si>
    <t>2019 Persistence Y3</t>
  </si>
  <si>
    <t>2019 Persistence Y4</t>
  </si>
  <si>
    <t>2020 Persistence Y1</t>
  </si>
  <si>
    <t>2020 Persistence Y2</t>
  </si>
  <si>
    <t>2020 Persistence Y3</t>
  </si>
  <si>
    <t>2020 Persistence Y4</t>
  </si>
  <si>
    <t>2021 Persistence Y1</t>
  </si>
  <si>
    <t>2021 Persistence Y2</t>
  </si>
  <si>
    <t>2021 Persistence Y3</t>
  </si>
  <si>
    <t>2021 Persistence Y4</t>
  </si>
  <si>
    <t>Dual Fuel</t>
  </si>
  <si>
    <t>2018 DCEO Carryover</t>
  </si>
  <si>
    <t>Mod Income</t>
  </si>
  <si>
    <t>LED lamp 2018</t>
  </si>
  <si>
    <t>0 3</t>
  </si>
  <si>
    <t>0 4</t>
  </si>
  <si>
    <t>0 5</t>
  </si>
  <si>
    <t>0 6</t>
  </si>
  <si>
    <t>0 7</t>
  </si>
  <si>
    <t>Low-Flow Showerheads</t>
  </si>
  <si>
    <t>Linear Tube LED (Midstream) 2018</t>
  </si>
  <si>
    <t>T5 Linear LED Lamp Retrofit (Midstream) 2018 &amp; 2019</t>
  </si>
  <si>
    <t>Low-Flow Faucet Aerators</t>
  </si>
  <si>
    <t>Laminar Flow Restrictors</t>
  </si>
  <si>
    <t>Advanced Thermostats 2018</t>
  </si>
  <si>
    <t>Steam Trap Survey (Industrial Process or Multi-use HVAC/Process Boilers over 7,750 hours per year operation) 2018 &amp; 2019</t>
  </si>
  <si>
    <t>Steam Trap Repair / Replacement (Industrial Process or Multi-use HVAC/Process Boilers over 7,750 hours per year operation) 2018 &amp; 2019</t>
  </si>
  <si>
    <t>LED lamp 2019 Install</t>
  </si>
  <si>
    <t>LED lamp 2020 Install</t>
  </si>
  <si>
    <t>Custom 2018</t>
  </si>
  <si>
    <t>Custom 2019</t>
  </si>
  <si>
    <t>Custom 2020</t>
  </si>
  <si>
    <t>Retro-commissioning 2018</t>
  </si>
  <si>
    <t>Retro-commissioning 2019</t>
  </si>
  <si>
    <t>Retro-commissioning 2020</t>
  </si>
  <si>
    <t>Standard-Small Business</t>
  </si>
  <si>
    <t>Linear Tube LED 2018</t>
  </si>
  <si>
    <t>T5 Linear LED Lamp Retrofit 2018 &amp; 2019</t>
  </si>
  <si>
    <t>Night Curtains</t>
  </si>
  <si>
    <t>Linear Tube 2' LED (Midstream) 2018</t>
  </si>
  <si>
    <t>Additional Measure 2</t>
  </si>
  <si>
    <t>Additional Measure 3</t>
  </si>
  <si>
    <t>Additional Measure 4</t>
  </si>
  <si>
    <t>Additional Measure 5</t>
  </si>
  <si>
    <t>Additional Measure 6</t>
  </si>
  <si>
    <t>Additional Measure 7</t>
  </si>
  <si>
    <t>Additional Measure 8</t>
  </si>
  <si>
    <t>Additional Measure 9</t>
  </si>
  <si>
    <t>Additional Measure 10</t>
  </si>
  <si>
    <t>Additional Measure 11</t>
  </si>
  <si>
    <t>Additional Measure 12</t>
  </si>
  <si>
    <t>Additional Measure 13</t>
  </si>
  <si>
    <t>Additional Measure 14</t>
  </si>
  <si>
    <t>Additional Measure 15</t>
  </si>
  <si>
    <t>Additional Measure 16</t>
  </si>
  <si>
    <t>Heat Pump Water Heaters</t>
  </si>
  <si>
    <t>LED lamp 2021 Install</t>
  </si>
  <si>
    <t>Standard-Public Buildings</t>
  </si>
  <si>
    <t>LED lamp 2018 Install</t>
  </si>
  <si>
    <t>Exterior Lighting Post 2018 Install</t>
  </si>
  <si>
    <t>Permanent Fixture/Lamp Removal Post 2018 Install</t>
  </si>
  <si>
    <t>Interior LED Lamps and Fixtures Post 2018 Install</t>
  </si>
  <si>
    <t>Standard-Public Streetlights</t>
  </si>
  <si>
    <t>LED Street Lighting 2018</t>
  </si>
  <si>
    <t>LED Street Lighting 2019</t>
  </si>
  <si>
    <t>LED Street Lighting 2020</t>
  </si>
  <si>
    <t>LED Street Lighting 2021</t>
  </si>
  <si>
    <t>ENERGY STAR TVs</t>
  </si>
  <si>
    <t>Energy Star -  Tier 2 Power Strips</t>
  </si>
  <si>
    <t>Furnace 95% AFUE</t>
  </si>
  <si>
    <t>ER Furnace 95% AFUE</t>
  </si>
  <si>
    <t>Furnace 97% AFUE</t>
  </si>
  <si>
    <t>ER Furnace 97% AFUE</t>
  </si>
  <si>
    <t>Boiler 90% AFUE</t>
  </si>
  <si>
    <t>ER Boiler 90% AFUE</t>
  </si>
  <si>
    <t>Public Housing</t>
  </si>
  <si>
    <t>Below the Line</t>
  </si>
  <si>
    <t>Voltage Optimization</t>
  </si>
  <si>
    <t>VO 2018</t>
  </si>
  <si>
    <t>VO 2019</t>
  </si>
  <si>
    <t>VO 2020</t>
  </si>
  <si>
    <t>VO 2021</t>
  </si>
  <si>
    <t>VO 2022</t>
  </si>
  <si>
    <t>VO 2023</t>
  </si>
  <si>
    <t>VO 2024</t>
  </si>
  <si>
    <t>VO 2025</t>
  </si>
  <si>
    <t>Custom 2021</t>
  </si>
  <si>
    <t>Custom-Public</t>
  </si>
  <si>
    <t>Custom-Public 2018</t>
  </si>
  <si>
    <t>Custom-Public 2019</t>
  </si>
  <si>
    <t>Custom-Public 2020</t>
  </si>
  <si>
    <t>Custom-Public 2021</t>
  </si>
  <si>
    <t>Retro-commissioning 2021</t>
  </si>
  <si>
    <t>Retro-commissioning-Public</t>
  </si>
  <si>
    <t>Retro-commissioning Public 2018</t>
  </si>
  <si>
    <t>Retro-commissioning Public 2019</t>
  </si>
  <si>
    <t>Retro-commissioning Public 2020</t>
  </si>
  <si>
    <t>Retro-commissioning Public 2021</t>
  </si>
  <si>
    <t>Ameren Owned ER Streetlights</t>
  </si>
  <si>
    <t>2020 TOS, A-Line LED, 310 - 749 Lumens, Year 1 Install</t>
  </si>
  <si>
    <t>2020 TOS, A-Line LED, 310 - 749 Lumens, Year 2 Install</t>
  </si>
  <si>
    <t>2020 TOS, A-Line LED, 310 - 749 Lumens, Year 3 Install</t>
  </si>
  <si>
    <t>2021 TOS, A-Line LED, 310 - 749 Lumens, Year 1 Install</t>
  </si>
  <si>
    <t>2021 TOS, A-Line LED, 310 - 749 Lumens, Year 2 Install</t>
  </si>
  <si>
    <t>2021 TOS, A-Line LED, 310 - 749 Lumens, Year 3 Install</t>
  </si>
  <si>
    <t>2020 TOS, A-Line LED, 750 - 1049 Lumens, Year 1 Install</t>
  </si>
  <si>
    <t>2020 TOS, A-Line LED, 750 - 1049 Lumens, Year 2 Install</t>
  </si>
  <si>
    <t>2020 TOS, A-Line LED, 750 - 1049 Lumens, Year 3 Install</t>
  </si>
  <si>
    <t>2021 TOS, A-Line LED, 750 - 1049 Lumens, Year 1 Install</t>
  </si>
  <si>
    <t>2021 TOS, A-Line LED, 750 - 1049 Lumens, Year 2 Install</t>
  </si>
  <si>
    <t>2021 TOS, A-Line LED, 750 - 1049 Lumens, Year 3 Install</t>
  </si>
  <si>
    <t>2020 TOS, A-Line LED, 1050 - 1489 Lumens, Year 1 Install</t>
  </si>
  <si>
    <t>2020 TOS, A-Line LED, 1050 - 1489 Lumens, Year 2 Install</t>
  </si>
  <si>
    <t>2020 TOS, A-Line LED, 1050 - 1489 Lumens, Year 3 Install</t>
  </si>
  <si>
    <t>2021 TOS, A-Line LED, 1050 - 1489 Lumens, Year 1 Install</t>
  </si>
  <si>
    <t>2021 TOS, A-Line LED, 1050 - 1489 Lumens, Year 2 Install</t>
  </si>
  <si>
    <t>2021 TOS, A-Line LED, 1050 - 1489 Lumens, Year 3 Install</t>
  </si>
  <si>
    <t>2020 TOS, A-Line LED, 1490 - 2600 Lumens, Year 1 Install</t>
  </si>
  <si>
    <t>2020 TOS, A-Line LED, 1490 - 2600 Lumens, Year 2 Install</t>
  </si>
  <si>
    <t>2020 TOS, A-Line LED, 1490 - 2600 Lumens, Year 3 Install</t>
  </si>
  <si>
    <t>2021 TOS, A-Line LED, 1490 - 2600 Lumens, Year 1 Install</t>
  </si>
  <si>
    <t>2021 TOS, A-Line LED, 1490 - 2600 Lumens, Year 2 Install</t>
  </si>
  <si>
    <t>2021 TOS, A-Line LED, 1490 - 2600 Lumens, Year 3 Install</t>
  </si>
  <si>
    <t>Linear Tube LED (Midstream) 2019</t>
  </si>
  <si>
    <t>Linear Tube LED (Midstream) 2020</t>
  </si>
  <si>
    <t>Linear Tube LED (Midstream) 2021</t>
  </si>
  <si>
    <t>Advanced Thermostats Post 2018</t>
  </si>
  <si>
    <t>T5 Linear LED Lamp Retrofit (Midstream) 2020</t>
  </si>
  <si>
    <t>T5 Linear LED Lamp Retrofit (Midstream) 2021</t>
  </si>
  <si>
    <t>Steam Trap Survey (Industrial Process or Multi-use HVAC/Process Boilers over 7,750 hours per year operation) Post 2020</t>
  </si>
  <si>
    <t>Steam Trap Repair / Replacement (Industrial Process or Multi-use HVAC/Process Boilers over 7,750 hours per year operation) Post 2020</t>
  </si>
  <si>
    <t>Linear Tube LED 2019</t>
  </si>
  <si>
    <t>Linear Tube LED 2020 &amp; 2021</t>
  </si>
  <si>
    <t>T5 Linear LED Lamp Retrofit 2020</t>
  </si>
  <si>
    <t>T5 Linear LED Lamp Retrofit 2021</t>
  </si>
  <si>
    <t>Linear Tube 2' LED (Midstream) 2019-2021</t>
  </si>
  <si>
    <t>Linear Tube 2' LED (Midstream) 2019</t>
  </si>
  <si>
    <t>Linear Tube 2' LED (Midstream) 2020-2021</t>
  </si>
  <si>
    <t>Public Housing-DCEO Carryover</t>
  </si>
  <si>
    <t>Retail Rebates</t>
  </si>
  <si>
    <t xml:space="preserve">Residential </t>
  </si>
  <si>
    <t xml:space="preserve">IL-TRM Adjustable?
(1 if yes; 0 if no) </t>
  </si>
  <si>
    <t>IL-TRM Section / Custom</t>
  </si>
  <si>
    <t>Approved Energy Efficiency Plan Key Assumptions - Plan Participation</t>
  </si>
  <si>
    <t>Plan Number of Units (Fixed Parameters for Calculating Adjustable Savings Goals)</t>
  </si>
  <si>
    <t>Unit of Participation</t>
  </si>
  <si>
    <t>2018 Plan Number of Units (Fixed)</t>
  </si>
  <si>
    <t>2019 Plan Number of Units (Fixed)</t>
  </si>
  <si>
    <t>2020 Plan Number of Units (Fixed)</t>
  </si>
  <si>
    <t>2021 Plan Number of Units (Fixed)</t>
  </si>
  <si>
    <t>Program Administrator:</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</si>
  <si>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</si>
  <si>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</si>
  <si>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</si>
  <si>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</si>
  <si>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</si>
  <si>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Brief Explanation of Significant Adjustments</t>
  </si>
  <si>
    <t>Plan Period</t>
  </si>
  <si>
    <t>(a)</t>
  </si>
  <si>
    <t>(b)</t>
  </si>
  <si>
    <t>(c)</t>
  </si>
  <si>
    <t>(d)=(c-b)</t>
  </si>
  <si>
    <t>(e)</t>
  </si>
  <si>
    <t>(f)</t>
  </si>
  <si>
    <t>(g)</t>
  </si>
  <si>
    <t>(h)=(g-f)</t>
  </si>
  <si>
    <t>(i)</t>
  </si>
  <si>
    <t>(j)</t>
  </si>
  <si>
    <t>(k)</t>
  </si>
  <si>
    <t>(l)=(k-j)</t>
  </si>
  <si>
    <t>(m)</t>
  </si>
  <si>
    <t>(n)</t>
  </si>
  <si>
    <t>(o)</t>
  </si>
  <si>
    <t>(p)=(o-n)</t>
  </si>
  <si>
    <t>(q)</t>
  </si>
  <si>
    <t>(r)=(b+f+j+n)</t>
  </si>
  <si>
    <t>(s)=(c+g+k+o)</t>
  </si>
  <si>
    <t>(t)=(s-r)</t>
  </si>
  <si>
    <t>Portfolio Total (Therms)</t>
  </si>
  <si>
    <t>Approved Energy Efficiency Plan Key Assumptions</t>
  </si>
  <si>
    <t>Plan Year 2018 Savings Goal Adjustment</t>
  </si>
  <si>
    <t>Plan Year 2019 Savings Goal Adjustment</t>
  </si>
  <si>
    <t>Plan Year 2020 Savings Goal Adjustment</t>
  </si>
  <si>
    <t>Plan Year 2021 Savings Goal Adjustment</t>
  </si>
  <si>
    <t>Final Adjusted Net Energy Savings Goals</t>
  </si>
  <si>
    <t>Approved Energy Efficiency Plan Key Assumptions - Measure-Level Algorithm Inputs</t>
  </si>
  <si>
    <t>Plan Net-to-Gross Values (Fixed Parameters for Calculating Adjustable Savings Goals)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</si>
  <si>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</si>
  <si>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</si>
  <si>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</si>
  <si>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</si>
  <si>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</si>
  <si>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Derived from the IL-TRM that, if changed in the IL-TRM in the future, would therefore necessitate a savings goal adjustment, unless consensus is reached at SAG that the extenuating circumstance warrants no adjustment.</t>
  </si>
  <si>
    <t>IL-TRM Measure Code from IL-TRMv6.0</t>
  </si>
  <si>
    <t>Reference Document Explaining Gross Unit Savings Calculation Details</t>
  </si>
  <si>
    <t>2018 Plan Gross Unit Savings</t>
  </si>
  <si>
    <t>2019 Plan Gross Unit Savings</t>
  </si>
  <si>
    <t>2020 Plan Gross Unit Savings</t>
  </si>
  <si>
    <t>2021 Plan Gross Unit Savings</t>
  </si>
  <si>
    <t>2018 Plan NTG (Fixed)</t>
  </si>
  <si>
    <t>2019 Plan NTG (Fixed)</t>
  </si>
  <si>
    <t>2020 Plan NTG (Fixed)</t>
  </si>
  <si>
    <t>2021 Plan NTG (Fixed)</t>
  </si>
  <si>
    <t>2018 Plan Goal</t>
  </si>
  <si>
    <t>2019 Plan Goal</t>
  </si>
  <si>
    <t>2020 Plan Goal</t>
  </si>
  <si>
    <t>2021 Plan Goal</t>
  </si>
  <si>
    <t>Total Plan Period Goal</t>
  </si>
  <si>
    <t>IL-TRM Measure Code from IL-TRMv6.0 or errata applicable to 2018</t>
  </si>
  <si>
    <t>Gross Unit Savings Adjustment Explanation</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</si>
  <si>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</si>
  <si>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</si>
  <si>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</si>
  <si>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</si>
  <si>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</si>
  <si>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</si>
  <si>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</si>
  <si>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</si>
  <si>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</si>
  <si>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</si>
  <si>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</si>
  <si>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</si>
  <si>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</si>
  <si>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</si>
  <si>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</si>
  <si>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</si>
  <si>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</si>
  <si>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</si>
  <si>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</si>
  <si>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Key Custom Input Assumptions (if none, specify NA)</t>
  </si>
  <si>
    <t>Key IL-TRM Input Assumptions</t>
  </si>
  <si>
    <t>(d)</t>
  </si>
  <si>
    <t>(h)</t>
  </si>
  <si>
    <t>(l)</t>
  </si>
  <si>
    <t>(p)</t>
  </si>
  <si>
    <t>(r)</t>
  </si>
  <si>
    <t>(s)</t>
  </si>
  <si>
    <t>(t)=(f x l x p)</t>
  </si>
  <si>
    <t>(u)=(g x m x q)</t>
  </si>
  <si>
    <t>(v)=(h x n x r)</t>
  </si>
  <si>
    <t>(w)=(i x o x s)</t>
  </si>
  <si>
    <t>(x)=(t+u+v+w)</t>
  </si>
  <si>
    <t>(y)</t>
  </si>
  <si>
    <t>(z)</t>
  </si>
  <si>
    <t>(aa)</t>
  </si>
  <si>
    <t>(ab)</t>
  </si>
  <si>
    <t>(ac)=(f x aa x p)</t>
  </si>
  <si>
    <t>(ad)=(ac-t)</t>
  </si>
  <si>
    <t>(ae)</t>
  </si>
  <si>
    <t>(af)</t>
  </si>
  <si>
    <t>(ag)</t>
  </si>
  <si>
    <t>(ah)</t>
  </si>
  <si>
    <t>(ai)=(g x ag x q)</t>
  </si>
  <si>
    <t>(aj)=(ai-u)</t>
  </si>
  <si>
    <t>(ak)</t>
  </si>
  <si>
    <t>(al)</t>
  </si>
  <si>
    <t>(am)</t>
  </si>
  <si>
    <t>(an)</t>
  </si>
  <si>
    <t>(ao)=(h x am x r)</t>
  </si>
  <si>
    <t>(ap)=(ao-v)</t>
  </si>
  <si>
    <t>(aq)</t>
  </si>
  <si>
    <t>(ar)</t>
  </si>
  <si>
    <t>(as)</t>
  </si>
  <si>
    <t>(at)</t>
  </si>
  <si>
    <t>(au)=(i x as x s)</t>
  </si>
  <si>
    <t>(av)=(au-w)</t>
  </si>
  <si>
    <t>(aw)=(ac) [if (c)=1]; (aw)=(t) [if (c)=0]</t>
  </si>
  <si>
    <t>(ax)=(ai) [if (c)=1]; (ax)=(u) [if (c)=0]</t>
  </si>
  <si>
    <t>(ay)=(ao) [if (c)=1]; (ay)=(v) [if (c)=0]</t>
  </si>
  <si>
    <t>(az)=(au) [if (c)=1]; (az)=(w) [if (c)=0]</t>
  </si>
  <si>
    <t>(ba)=(aw+ax+ay+az)</t>
  </si>
  <si>
    <t>(bb)</t>
  </si>
  <si>
    <t>(bc)</t>
  </si>
  <si>
    <t>RS-HVC-ADTH-V02-180101</t>
  </si>
  <si>
    <t>NA</t>
  </si>
  <si>
    <t>See 'Unit Savings Calculation' Tab.</t>
  </si>
  <si>
    <t>kWh Gross Goal</t>
  </si>
  <si>
    <t>Therm Gross Goal</t>
  </si>
  <si>
    <t>kWh Net Goal</t>
  </si>
  <si>
    <t>ThermNet  Goal</t>
  </si>
  <si>
    <t>Central Air Conditioning</t>
  </si>
  <si>
    <t>CAC 16.0 SEER ER</t>
  </si>
  <si>
    <t>All Projects</t>
  </si>
  <si>
    <t>PY8 Evaluation - Part Self-Report &amp; PY7 Evaluation for NP Self-Report for NPSO</t>
  </si>
  <si>
    <t>Midstream Lighting (Instant Incentives)</t>
  </si>
  <si>
    <t>Com New Construction</t>
  </si>
  <si>
    <t>All Measures</t>
  </si>
  <si>
    <t>PY7 ComEd C&amp;I NC Research</t>
  </si>
  <si>
    <t>Best available secondary data</t>
  </si>
  <si>
    <t>Combined Heat and Power (CHP)</t>
  </si>
  <si>
    <t>Demand-Controlled Ventilation</t>
  </si>
  <si>
    <t>Planning Value</t>
  </si>
  <si>
    <t>No viable secondary data source. However, based on the team's knowledge of this program, we believe the planning value is reasonable</t>
  </si>
  <si>
    <t>Private Sector Enhanced HVAC Optimization</t>
  </si>
  <si>
    <t>PY8 SBDI Evaluation - Part Self-Report</t>
  </si>
  <si>
    <t>Based on AIC specific values</t>
  </si>
  <si>
    <t>Public Sector Enhanced HVAC Optimization</t>
  </si>
  <si>
    <t>PY8 Evaluation - Part Self-Report</t>
  </si>
  <si>
    <t>Most recent AIC specific value</t>
  </si>
  <si>
    <t>Small Business Exterior Lighting</t>
  </si>
  <si>
    <t>Small Business Linear LED Lighting</t>
  </si>
  <si>
    <t>Small Business Lit Signage</t>
  </si>
  <si>
    <t>Small Business Refrigeration</t>
  </si>
  <si>
    <t>PY4 and PY6 C&amp;I Standard Evaluations</t>
  </si>
  <si>
    <t>Small Business Whole Building</t>
  </si>
  <si>
    <t>Refrigeration Measures</t>
  </si>
  <si>
    <t>All Other Measures</t>
  </si>
  <si>
    <t>Community LED Distribution</t>
  </si>
  <si>
    <t xml:space="preserve">2013 Ameren Missouri Evaluation </t>
  </si>
  <si>
    <t>Elementary Education Kits</t>
  </si>
  <si>
    <t>LEDs</t>
  </si>
  <si>
    <t>Avg. of Values from Similar Programs (SAG consensus values for PY9 School Kits Program)</t>
  </si>
  <si>
    <t>No Illinois-specific values available</t>
  </si>
  <si>
    <t>Evaluation Team Recommendation</t>
  </si>
  <si>
    <t>Other Non-Lighting Measures</t>
  </si>
  <si>
    <t>No Illinois-specific values available - similar to other non-lighting measures</t>
  </si>
  <si>
    <t>Home Efficiency Income Qualified</t>
  </si>
  <si>
    <t>Home Efficiency Program - Standard</t>
  </si>
  <si>
    <t>LED Awareness Kits</t>
  </si>
  <si>
    <t>Combination of Rural Kits, School Kits, CFL Distribution, and Moderate Income Kits values</t>
  </si>
  <si>
    <t>Delivery mode of this program is new, but is similar to a combination of existing programs</t>
  </si>
  <si>
    <t xml:space="preserve">Lighting  </t>
  </si>
  <si>
    <t>All CFLs</t>
  </si>
  <si>
    <t>PY8 Evaluation</t>
  </si>
  <si>
    <t>All LEDs</t>
  </si>
  <si>
    <t xml:space="preserve">Low Income Multifamily </t>
  </si>
  <si>
    <t>AIC and ICC staff consensus on low income programs</t>
  </si>
  <si>
    <t>Low income program</t>
  </si>
  <si>
    <t>Moderate Income Kits</t>
  </si>
  <si>
    <t xml:space="preserve">Customer population targeted through program design </t>
  </si>
  <si>
    <t xml:space="preserve">Multifamily </t>
  </si>
  <si>
    <t>LEDs (In-Unit)</t>
  </si>
  <si>
    <t>PY8 Evaluation of the Midstream Lighting Program - Part Self-Report</t>
  </si>
  <si>
    <t>Most recent AIC specific value that can reasonably be applied to this program.</t>
  </si>
  <si>
    <t>Programmable Thermostat (In-Unit)</t>
  </si>
  <si>
    <t>Faucet Aerators (In-Unit)</t>
  </si>
  <si>
    <t>Showerheads (In-Unit)</t>
  </si>
  <si>
    <t>Common Area Lighting</t>
  </si>
  <si>
    <t>Online Assessment Kits</t>
  </si>
  <si>
    <t>PY8 IPA Residential Lighting Evaluation</t>
  </si>
  <si>
    <t>No Illinois-specific values available for this delivery mode. This value is Illinois-specific, and unpublished evaluations of similar programs for another Midwestern utility indicate that this is a reasonable assumption.</t>
  </si>
  <si>
    <t>Evaluation of an Online Kits Program offfered by another Midwestern utility</t>
  </si>
  <si>
    <t>Assumption based on unpublished evaluation from another Midwestern utility</t>
  </si>
  <si>
    <t>No Illinois-specific values available. Value is based on an unpublished evaluation of a similar program for another Midwestern utility.</t>
  </si>
  <si>
    <t>Smart Thermostats</t>
  </si>
  <si>
    <t>Depending upon program delivery and the associated impact estimation approach, the use of a NTG ratio may or may not be applicable. If needed, our recommended NTG ratio is based on a review of existing smart thermostat evaluations and our experience with this type of program.</t>
  </si>
  <si>
    <t>Rural Efficiency Kits</t>
  </si>
  <si>
    <t>14-watt CFLs</t>
  </si>
  <si>
    <t>PY7 Evaluation - Part Self-Report</t>
  </si>
  <si>
    <t>23-watt CFLs</t>
  </si>
  <si>
    <t>1.75 gpm Showerhead</t>
  </si>
  <si>
    <t>1.0 gpm Bathroom Faucet Aerator</t>
  </si>
  <si>
    <t>2.0 gpm Kitchen Faucet Aerator</t>
  </si>
  <si>
    <t>Hot Water Temp Card Thermometer</t>
  </si>
  <si>
    <t>Given a lack of Ameren specific data, we recommend this value, which is based on the average of results from three similar programs.</t>
  </si>
  <si>
    <t>Single-Family Moderate Income</t>
  </si>
  <si>
    <t>Average of PY9 HES and HEIQ Recommendations</t>
  </si>
  <si>
    <t>Possibilities for new delivery mechanisms make it unclear if this program will include only low to moderate income customers or could potentially allow some higher-income customers to participate. We recommend these values to allow for the possibility that some higher-income customers will make their way into the program.</t>
  </si>
  <si>
    <t>Programmable/Smart Thermostat</t>
  </si>
  <si>
    <t>AIC-specific values are not available for these measures. We recommend this value as a planning assumption similar to other non-lighting measure recommendations.</t>
  </si>
  <si>
    <t>STEP</t>
  </si>
  <si>
    <t>Residential_Multifamily _Faucet Aerators (In-Unit)</t>
  </si>
  <si>
    <t>Residential_Multifamily _Programmable Thermostat (In-Unit)</t>
  </si>
  <si>
    <t>Residential_Multifamily _Insulation</t>
  </si>
  <si>
    <t>IPA measure calculation using 1.5 GPM</t>
  </si>
  <si>
    <t>CFM50</t>
  </si>
  <si>
    <t>AIC Plan 3 PY9 Adjustable Goals_04-3-17_Errata.xlsx</t>
  </si>
  <si>
    <t>Attic Sq Ft.</t>
  </si>
  <si>
    <t>EFLH</t>
  </si>
  <si>
    <t>Hours per year</t>
  </si>
  <si>
    <t>Wall and Ceiling/Attic Insulation (Wood Frame)</t>
  </si>
  <si>
    <t>Coincidence Factor</t>
  </si>
  <si>
    <t>Wall and Ceiling/Attic Insulation (Masonry)</t>
  </si>
  <si>
    <t>Measure Name</t>
  </si>
  <si>
    <t>Electric Incentive</t>
  </si>
  <si>
    <t>Gas Incentive</t>
  </si>
  <si>
    <t>Electric</t>
  </si>
  <si>
    <t>Gas</t>
  </si>
  <si>
    <t>new furnace</t>
  </si>
  <si>
    <t>existing furance</t>
  </si>
  <si>
    <t>GAS BOILERS</t>
  </si>
  <si>
    <t>5.3.6</t>
  </si>
  <si>
    <t>RS-HVC-GHEB-V05-160601</t>
  </si>
  <si>
    <t>Savings for remaining 17 years based on federal minimum baseline.</t>
  </si>
  <si>
    <t>90% AFUE Gas Boiler</t>
  </si>
  <si>
    <t>ER 90% AFUE Gas Boiler</t>
  </si>
  <si>
    <t xml:space="preserve">   Years 1-8</t>
  </si>
  <si>
    <t xml:space="preserve">   Years 8-25</t>
  </si>
  <si>
    <t>Assumes existing boiler replaced with 82% AFUE boiler after Year 8.</t>
  </si>
  <si>
    <t xml:space="preserve">SF </t>
  </si>
  <si>
    <t>CAC 16.0 SEER - Low Income Program</t>
  </si>
  <si>
    <t>TRM assumption - Low income program, no existing program data - used TRM as default</t>
  </si>
  <si>
    <t>Annual Operating Hours</t>
  </si>
  <si>
    <t>Natural Gas</t>
  </si>
  <si>
    <t>ENERGY STAR Room Air Conditioner</t>
  </si>
  <si>
    <t>Weighted Average</t>
  </si>
  <si>
    <t>ENERGY STAR Water Coolers</t>
  </si>
  <si>
    <t>ΔkWh</t>
  </si>
  <si>
    <t>B</t>
  </si>
  <si>
    <t>Residential_Elementary Education Kits_Faucet Aerators</t>
  </si>
  <si>
    <t>Residential_Elementary Education Kits_Showerheads</t>
  </si>
  <si>
    <t>Residential_Elementary Education Kits_Water Heater Setback</t>
  </si>
  <si>
    <t>Residential_Elementary Education Kits_Other Non-Lighting Measures</t>
  </si>
  <si>
    <t xml:space="preserve">ComEd Net-to-Gross Ratios (NTGR) </t>
  </si>
  <si>
    <t>PY5 Research</t>
  </si>
  <si>
    <t>PY6 Research</t>
  </si>
  <si>
    <t>EPY7 EM&amp;V Recommendations</t>
  </si>
  <si>
    <t>EPY8 EM&amp;V Recommended Values</t>
  </si>
  <si>
    <t>EPY9 EM&amp;V Recommended Values</t>
  </si>
  <si>
    <t>PY1</t>
  </si>
  <si>
    <t>PY2</t>
  </si>
  <si>
    <t>PY3</t>
  </si>
  <si>
    <t>PY4</t>
  </si>
  <si>
    <t>PY5 SAG Consensus</t>
  </si>
  <si>
    <t xml:space="preserve">Free ridership </t>
  </si>
  <si>
    <t>Spillover</t>
  </si>
  <si>
    <t>NTG</t>
  </si>
  <si>
    <t>Free ridership</t>
  </si>
  <si>
    <t>PY6 SAG Consensus</t>
  </si>
  <si>
    <t>Free Ridership</t>
  </si>
  <si>
    <t>Participant Spillover</t>
  </si>
  <si>
    <t>Nonparticipant Spillover</t>
  </si>
  <si>
    <t>PY7 EM&amp;V NTGR Recommended Value</t>
  </si>
  <si>
    <t>PY8 EM&amp;V NTGR Recommended Value</t>
  </si>
  <si>
    <t>PY9 EM&amp;V NTGR Recommended Value</t>
  </si>
  <si>
    <t>PY7 Report Status</t>
  </si>
  <si>
    <t>PY9 FR Source</t>
  </si>
  <si>
    <t>PY9 SO Source</t>
  </si>
  <si>
    <t>New Research</t>
  </si>
  <si>
    <t>PY9 Notes</t>
  </si>
  <si>
    <t>Business Standard</t>
  </si>
  <si>
    <t>--</t>
  </si>
  <si>
    <t>Business Standard - Lighting</t>
  </si>
  <si>
    <t>TBD in Cr. SO Analy.</t>
  </si>
  <si>
    <t>Draft</t>
  </si>
  <si>
    <t>Participant Customers and Trade Allies</t>
  </si>
  <si>
    <t>PY6 C&amp;I NTG study</t>
  </si>
  <si>
    <t>Business Standard - Non-Lighting</t>
  </si>
  <si>
    <t>Business Custom</t>
  </si>
  <si>
    <t>Negligible</t>
  </si>
  <si>
    <t>0.61 kWh 0.64 kW</t>
  </si>
  <si>
    <t>Participant and Vendor research</t>
  </si>
  <si>
    <t xml:space="preserve">Participant Self Report </t>
  </si>
  <si>
    <t xml:space="preserve">Data Centers </t>
  </si>
  <si>
    <t>No research</t>
  </si>
  <si>
    <t>0.60 kWh, 0.57 kW</t>
  </si>
  <si>
    <t>0.40 kWh, 0.43 kW</t>
  </si>
  <si>
    <t>Participant and Vendor Self-Reports</t>
  </si>
  <si>
    <t>Little to no SO found</t>
  </si>
  <si>
    <t>Industrial Systems (FKA Compressed Air)</t>
  </si>
  <si>
    <t>0.26, kWh; 0.17, kW</t>
  </si>
  <si>
    <t>0.74, kWh; 0.83, kW</t>
  </si>
  <si>
    <t>0.75, kWh; 0.84, kW</t>
  </si>
  <si>
    <t>Business Retrocommissioning</t>
  </si>
  <si>
    <t>PY6 NTG research value</t>
  </si>
  <si>
    <t>Business New Construction - Program (Performance Based Model Today)</t>
  </si>
  <si>
    <t>0.54+0.05=0.59</t>
  </si>
  <si>
    <t>Participant and service provider self-report through real time EMV</t>
  </si>
  <si>
    <t xml:space="preserve">NTG real time research methods in EPY7 combine participant and service provider survey results. </t>
  </si>
  <si>
    <t>Business New Construction - Comprehensive (old)</t>
  </si>
  <si>
    <t xml:space="preserve">C&amp;I </t>
  </si>
  <si>
    <t>Business New Construction - Systems (old)</t>
  </si>
  <si>
    <t>0.59+0.05=0.64</t>
  </si>
  <si>
    <t>BILD - Mid Stream Incentives</t>
  </si>
  <si>
    <t xml:space="preserve">No Research  </t>
  </si>
  <si>
    <t>BILD - CFLs</t>
  </si>
  <si>
    <t>Customer self-report research via telephone and web surveys, plus web surveys sent to all participating distributors.</t>
  </si>
  <si>
    <t>BILD - LEDs</t>
  </si>
  <si>
    <t>BILD - Linear Fluorescents</t>
  </si>
  <si>
    <t>BILD - Other</t>
  </si>
  <si>
    <t>SEM Strategic Energy Management</t>
  </si>
  <si>
    <t>None</t>
  </si>
  <si>
    <t xml:space="preserve">Behavioral, No NTG </t>
  </si>
  <si>
    <t>Behavioral program that uses workshops &amp; coaching to change behavior</t>
  </si>
  <si>
    <t>Agentis C&amp;I Behavioral Program</t>
  </si>
  <si>
    <t>C&amp;I-Pilot</t>
  </si>
  <si>
    <t>CHP Pilot in PY8</t>
  </si>
  <si>
    <t>Project-specific</t>
  </si>
  <si>
    <t>SAG Consensus</t>
  </si>
  <si>
    <t>Project-specific NTG values to be determined by evaluation early in each project. If that is not possible, default of 0.8 NTG to be used.</t>
  </si>
  <si>
    <t>Large C&amp;I Pilot</t>
  </si>
  <si>
    <t>Large C&amp;I Pilot in PY8</t>
  </si>
  <si>
    <t>PY7 Custom Research</t>
  </si>
  <si>
    <t>Fridge Freezer Recy. Rewards (Overall Refrigerator)</t>
  </si>
  <si>
    <t>PY7 Retailer and participant surveys</t>
  </si>
  <si>
    <t>No SO</t>
  </si>
  <si>
    <t>Includes PIR; See Word Document for more detail on calcs and retailer / non-retailer</t>
  </si>
  <si>
    <t>FFRR (Overall Freezer)</t>
  </si>
  <si>
    <t>FFRR (Overall AC Unit)</t>
  </si>
  <si>
    <t>See Word Document for more detail on calcs and retailer / non-retailer</t>
  </si>
  <si>
    <t>FFRR - Refrigerators Wtd. Avg.</t>
  </si>
  <si>
    <t>FFRR - Freezers Wtd. Avg.</t>
  </si>
  <si>
    <t>FFRR - Room AC units Wtd. Avg.</t>
  </si>
  <si>
    <t xml:space="preserve">FFRR - Refrig. Retailer </t>
  </si>
  <si>
    <t>0.29 *</t>
  </si>
  <si>
    <t xml:space="preserve">PY7 Retailer and participant surveys w/out Retailer #1 &amp; #2 </t>
  </si>
  <si>
    <t>NTG Retailer Value does NOT include Retailers #1 and #2</t>
  </si>
  <si>
    <t>FFRR -  Refrigerator - Non-Retailers</t>
  </si>
  <si>
    <t xml:space="preserve">FFRR - Freezer Retailers </t>
  </si>
  <si>
    <t>0.30 *</t>
  </si>
  <si>
    <t>FFRR - Freezer - Non-Retailers</t>
  </si>
  <si>
    <t>Retailer and participant surveys</t>
  </si>
  <si>
    <t>FFRR - Room AC - Non-Retailers</t>
  </si>
  <si>
    <t>Multi-Family All Electric</t>
  </si>
  <si>
    <t>Based upon MF CFL NTG</t>
  </si>
  <si>
    <t>Multi-Family with Gas</t>
  </si>
  <si>
    <t>N A</t>
  </si>
  <si>
    <t>Multi-Family - CFLs</t>
  </si>
  <si>
    <t>PY7 SAG Consensus Value</t>
  </si>
  <si>
    <t>Multi-Family - Showerhead</t>
  </si>
  <si>
    <t>Multi-Family - Bath Aerator</t>
  </si>
  <si>
    <t>Multi-Family - Kitchen Aerator</t>
  </si>
  <si>
    <t>Multi-Family - Other Measures, Direct Installed in Units</t>
  </si>
  <si>
    <t>Multi-Family - Other Measures, Direct Installed in Common Areas</t>
  </si>
  <si>
    <t>Savings are claimed in the Standard program</t>
  </si>
  <si>
    <t>Multi-Family Comprehensive projects</t>
  </si>
  <si>
    <t>Not offered until PY6</t>
  </si>
  <si>
    <t>In the NTG</t>
  </si>
  <si>
    <t>Multi-Family Programmable Thermostat</t>
  </si>
  <si>
    <t>Evaluation secondary research</t>
  </si>
  <si>
    <t>2010 Gas Efficiency Annual Report by the Mass. Joint Utility and Efficiency Vermont Year 2010 Savings Claim</t>
  </si>
  <si>
    <t>Single Family HEA with Gas - CFL and LED *</t>
  </si>
  <si>
    <t>PY4 Research</t>
  </si>
  <si>
    <t>Single Family  HEA w/Gas - Hot Water Measures *</t>
  </si>
  <si>
    <t>Single Family  HEA w/Gas - Direct Install Measures *</t>
  </si>
  <si>
    <t>Single Family All Electric</t>
  </si>
  <si>
    <t>PY6 SAG Consensus Value</t>
  </si>
  <si>
    <t>Single Family with Gas - Lighting</t>
  </si>
  <si>
    <t>Use DI #</t>
  </si>
  <si>
    <t>PY6 SAG Consensus value based upon PY5 research</t>
  </si>
  <si>
    <t>Single Family with Gas - Showerhead</t>
  </si>
  <si>
    <t>Single Family with Gas- Kitchen Aerator</t>
  </si>
  <si>
    <t>Single Family with Gas - Bath Aerator</t>
  </si>
  <si>
    <t>Single Family with Gas - Water Heater Temp Setback</t>
  </si>
  <si>
    <t>Single Family with Gas - Pipe Insulation</t>
  </si>
  <si>
    <t>Single Family with Gas - Programmable Thermostat</t>
  </si>
  <si>
    <t>Single Family with Gas - Programmable Thermostat Education</t>
  </si>
  <si>
    <t xml:space="preserve">Single Family  HES/HEJ w/Gas - Weatherization Measures </t>
  </si>
  <si>
    <t>Single Family with Gas -  HEA Programmable Thermostat</t>
  </si>
  <si>
    <t>2010 MA VT Evaluation Research</t>
  </si>
  <si>
    <t>2010 Gas Efficiency Annual Report by the Massachusetts Joint Utility and Efficiency Vermont Year 2010 Savings Claim</t>
  </si>
  <si>
    <t>Single Family with Gas - HEA Smart Power Strips</t>
  </si>
  <si>
    <t>Based on MF Elevate and PY6 Desktop Power Management</t>
  </si>
  <si>
    <t>Home Energy Rebate - CSR with Gas - Participant</t>
  </si>
  <si>
    <t>R</t>
  </si>
  <si>
    <t>Home Energy Rebate - CSR with Gas - Trade Ally</t>
  </si>
  <si>
    <t>0 + 0.12 + 0.20</t>
  </si>
  <si>
    <t>Home Energy Rebate - Weatherization (Jt. Gas)</t>
  </si>
  <si>
    <t>Values from SF HES/HEJ</t>
  </si>
  <si>
    <t xml:space="preserve">Residential New Construction </t>
  </si>
  <si>
    <t>Research of PY7 partcipants, builders and raters, weighted by kWh</t>
  </si>
  <si>
    <t>Elementary Energy Education - CFL</t>
  </si>
  <si>
    <t>varies</t>
  </si>
  <si>
    <t>1.0 agreed to by SAG consensus</t>
  </si>
  <si>
    <t>0.65 originally recommmended (Research of participants, builders and raters; 0.65 is weighted by savings)</t>
  </si>
  <si>
    <t>Elementary Energy Education - Showerheads</t>
  </si>
  <si>
    <t>0.67 originally recommmended (Research of participants, builders and raters; 0.65 is weighted by savings)</t>
  </si>
  <si>
    <t>Elementary Energy Education - Aerators</t>
  </si>
  <si>
    <t>Research of participants and program managers and implementers</t>
  </si>
  <si>
    <t>0.82 originally recommmended (Research of participants, builders and raters; 0.65 is weighted by savings)</t>
  </si>
  <si>
    <t>Energy Star Appliance Rebates - Clothes Washer</t>
  </si>
  <si>
    <t>Based upon Navigant PY5 Clothes Washer Evaluation Report</t>
  </si>
  <si>
    <t>Energy Star Appliance Rebates - Refrigerator</t>
  </si>
  <si>
    <t>MA 2012 Home Energy Services Evaluation</t>
  </si>
  <si>
    <t>Energy Star Appliance Rebates - Air Purifier</t>
  </si>
  <si>
    <t>Ameren IL Res EE Products PY5</t>
  </si>
  <si>
    <t>Energy Star Appliance Rebates - Learning Thermostat</t>
  </si>
  <si>
    <t>Navigant researched value for Res Portfolio</t>
  </si>
  <si>
    <t>Energy Star Appliance Rebates - Freezers</t>
  </si>
  <si>
    <t>Ameren IL Res EE Products PY5 from refrigerators</t>
  </si>
  <si>
    <t>Energy Star Appliance Rebates - Heat Pump Water Heater</t>
  </si>
  <si>
    <t>Energy Star Appliance Rebates - Clothes Dryer</t>
  </si>
  <si>
    <t>Energy Star Appliance Rebates - Dehumidifier</t>
  </si>
  <si>
    <t>Ameren researched value from PY4</t>
  </si>
  <si>
    <t>Energy Star Appliance Rebates - Dishwasher</t>
  </si>
  <si>
    <t>Recent study for a Colorado utility</t>
  </si>
  <si>
    <t>Once CO study is public, it'll be distributed to SAG</t>
  </si>
  <si>
    <t>Energy Star Appliance Rebates - Pool Pump</t>
  </si>
  <si>
    <t>Energy Star Appliance Rebates - Bathroom exhaust fan</t>
  </si>
  <si>
    <t>Default value</t>
  </si>
  <si>
    <t>Secondary research did not support a recommendation.</t>
  </si>
  <si>
    <t>Energy Star Appliance Rebates - Water cooler</t>
  </si>
  <si>
    <t>Energy Star Appliance Rebates - Window AC</t>
  </si>
  <si>
    <t>Energy Star Appliance Rebates - Advanced Power Strips</t>
  </si>
  <si>
    <t>Direct to Consumer Kits</t>
  </si>
  <si>
    <t xml:space="preserve">Pilot - Residential </t>
  </si>
  <si>
    <t>Bidgely</t>
  </si>
  <si>
    <t>Meter Genius</t>
  </si>
  <si>
    <t>Smart Meter Connected Devices</t>
  </si>
  <si>
    <t xml:space="preserve">IPA - C&amp;I </t>
  </si>
  <si>
    <t xml:space="preserve">Small Business </t>
  </si>
  <si>
    <t>Participant and TA self-report (real time) - FR &amp; SO are based upon PY7 Participant Surveys and updated TA interviews (PY8)</t>
  </si>
  <si>
    <t>Participant and TA self-report, real-time approach</t>
  </si>
  <si>
    <t>CLEAResult Schools DI</t>
  </si>
  <si>
    <t>Based upon Wildan Sustainable Schools PY6</t>
  </si>
  <si>
    <t xml:space="preserve">LED Street Lighting </t>
  </si>
  <si>
    <t>Evaluation</t>
  </si>
  <si>
    <t>Participants have no ability to implement without ComEd's assistance</t>
  </si>
  <si>
    <t>Matrix Demand-Based Fan Control</t>
  </si>
  <si>
    <t>Ameren recomm. based upon Ameren SBDI eval covers wide range of building types.</t>
  </si>
  <si>
    <t>Matrix K through 12 Private Schools DI</t>
  </si>
  <si>
    <t>Coupon channel has been discontinued</t>
  </si>
  <si>
    <t>Weidt Group New Construction</t>
  </si>
  <si>
    <t>PY7 C&amp;I NC research</t>
  </si>
  <si>
    <t>Small Commercial HVAC Tune-Up</t>
  </si>
  <si>
    <t>Began in PY7</t>
  </si>
  <si>
    <t>Planning Value based Upon MF Common Areas</t>
  </si>
  <si>
    <t>Pulse Energy &lt;100 kW</t>
  </si>
  <si>
    <t>Ended</t>
  </si>
  <si>
    <t>Behavioral</t>
  </si>
  <si>
    <t>IPA-Placeholder</t>
  </si>
  <si>
    <t>Root 3</t>
  </si>
  <si>
    <t>RCx PY6 Research</t>
  </si>
  <si>
    <t xml:space="preserve">IPA - Residential </t>
  </si>
  <si>
    <t>Residential Lighting Program</t>
  </si>
  <si>
    <t>Residential Lighting Program -Standard CFL</t>
  </si>
  <si>
    <t>PY8 In-store intercept survey</t>
  </si>
  <si>
    <t>Residential Lighting Program - Specialty CFL</t>
  </si>
  <si>
    <t>PY7 In-store intercept survey</t>
  </si>
  <si>
    <t>Residential Lighting Program - CFL Fixtures</t>
  </si>
  <si>
    <t>0.56*</t>
  </si>
  <si>
    <t>PY8 SAG Consensus Value</t>
  </si>
  <si>
    <t>Residential Lighting Program - LED Bulbs</t>
  </si>
  <si>
    <t>Residential Lighting Program - LED Bulbs - Directional</t>
  </si>
  <si>
    <t>Residential Lighting Program - LED Fixtures</t>
  </si>
  <si>
    <t>Residential Lighting Program - Coupon</t>
  </si>
  <si>
    <t>As above</t>
  </si>
  <si>
    <t>Use bulb-specific values from above.</t>
  </si>
  <si>
    <t>Home Energy Reports</t>
  </si>
  <si>
    <t>Behavioral - No NTG</t>
  </si>
  <si>
    <t>Regression analysis so NTG=1</t>
  </si>
  <si>
    <t>CUB Energy Saver</t>
  </si>
  <si>
    <t>Great Energy Stewards</t>
  </si>
  <si>
    <t>NTC Middle School Take Home Kits - CFL</t>
  </si>
  <si>
    <t>Based upon EEE SAG Consensus Value</t>
  </si>
  <si>
    <t>NTC Middle School Take Home Kits - Showerheads</t>
  </si>
  <si>
    <t>NTC Middle School Take Home Kits - Aerators</t>
  </si>
  <si>
    <t>NTC Middle School Take Home Kits - Power Strips</t>
  </si>
  <si>
    <t>NTC Middle School Kits - Hot Water Temp Gauge Cards</t>
  </si>
  <si>
    <t>NTC Middle School Kits - Flow Rate Test Bags</t>
  </si>
  <si>
    <t>Multi-Family Elevate DI CFL Common Areas</t>
  </si>
  <si>
    <t>Began in PY6</t>
  </si>
  <si>
    <t>Based on Multi-Family research</t>
  </si>
  <si>
    <t>Multi-Family Elevate CFL Public Event</t>
  </si>
  <si>
    <t>Multi-Family Elevate CFL Non-Common Areas</t>
  </si>
  <si>
    <t>Multi-Family Elevate Power Strip DI</t>
  </si>
  <si>
    <t>Multi-Family Elevate Power Strip Public Event</t>
  </si>
  <si>
    <t>Multi-Family Elevate Programmable Thermostat</t>
  </si>
  <si>
    <t>Multi-Family Elevate Water Measures</t>
  </si>
  <si>
    <t>Multi-Family Elevate Wall Mounted Occupancy Sensor</t>
  </si>
  <si>
    <t>Multi-Family Elevate T12</t>
  </si>
  <si>
    <t>Multi-Family Elevate Insulation</t>
  </si>
  <si>
    <t>Multi-Family Elevate Comprehensive Non-CFL</t>
  </si>
  <si>
    <t>3d Party-ENDED</t>
  </si>
  <si>
    <t>Willdan Sustainable Schools</t>
  </si>
  <si>
    <t>Program Ended</t>
  </si>
  <si>
    <t>No longer a separate program. Savings within Standard.</t>
  </si>
  <si>
    <t>RLD Small C&amp;I Thermostats - ended in PY6</t>
  </si>
  <si>
    <t>Desktop Power Management (RSG) - ended PY6</t>
  </si>
  <si>
    <t>One Change - ended in PY6</t>
  </si>
  <si>
    <t>Luminaire-Level Lighting Control (CLEAResult)</t>
  </si>
  <si>
    <t>Similar to SBES and this is a high-end delivery system</t>
  </si>
  <si>
    <t>Community-based CFL Distribution (CLEAResult)</t>
  </si>
  <si>
    <t>Assumption</t>
  </si>
  <si>
    <t>Low income delivery, similar to low income kits</t>
  </si>
  <si>
    <t>Assisted &amp; Sr. Housing (Elevate)</t>
  </si>
  <si>
    <t>Program is similar to ComEd's Multi-Family Comprehensive projects</t>
  </si>
  <si>
    <t>Rural Small Biz EE Kits</t>
  </si>
  <si>
    <t xml:space="preserve">Similar to Ameren SB (0.89), rounded up </t>
  </si>
  <si>
    <t>Agricultural EE - Lighting</t>
  </si>
  <si>
    <t>Agricultural EE - Non-Lighting</t>
  </si>
  <si>
    <t>Lit Signage</t>
  </si>
  <si>
    <t>Efficient Products (STEP)</t>
  </si>
  <si>
    <t>Expansion of DCEO program with 0.96 NTG</t>
  </si>
  <si>
    <t>Monitoring-based Commissioning  (PowerTakeoff)</t>
  </si>
  <si>
    <t>Behavioral program; program uses monitoring via behavioral change in C&amp;I</t>
  </si>
  <si>
    <t>SEDEC - Enhanced Building Optimization</t>
  </si>
  <si>
    <t xml:space="preserve">Based upon ComEd RCx PY7 NTG Research </t>
  </si>
  <si>
    <t>Low-Income Kits</t>
  </si>
  <si>
    <t>Low-Income Multi-Family</t>
  </si>
  <si>
    <t>Any</t>
  </si>
  <si>
    <t>Any programs arising after March 1, 2016</t>
  </si>
  <si>
    <t>Evaluation-supplied NTG value based on secondary research when that research produces relevant results. Otherwise a NTG of 0.80 will be deemed until primary research can be completed.</t>
  </si>
  <si>
    <t>Energy Star Pool Pump- Variable-speed</t>
  </si>
  <si>
    <t>kWh Net Goal CHECK</t>
  </si>
  <si>
    <t>Therm Net Goal CHECK</t>
  </si>
  <si>
    <t>BATH FAUCET AERATOR - SELF INSTALL</t>
  </si>
  <si>
    <t>KITCHEN FAUCET AERATOR - SELF INSTALL</t>
  </si>
  <si>
    <t>Location Bathroom</t>
  </si>
  <si>
    <t>Location kitchen</t>
  </si>
  <si>
    <t>Length of faucet use, bathroom</t>
  </si>
  <si>
    <t>Length of faucet use, kitchen</t>
  </si>
  <si>
    <t>kitchen</t>
  </si>
  <si>
    <t>ktichen</t>
  </si>
  <si>
    <t>bath</t>
  </si>
  <si>
    <t>TRM Chapter</t>
  </si>
  <si>
    <t>TRM Measure Code</t>
  </si>
  <si>
    <t>5.1.1</t>
  </si>
  <si>
    <t>RS-APL-ESAP-V02-160601</t>
  </si>
  <si>
    <t>5.1.2</t>
  </si>
  <si>
    <t>RS-APL-ESCL-V04-160601</t>
  </si>
  <si>
    <t>5.1.3</t>
  </si>
  <si>
    <t>RS-APL-ESDH-V03-160601</t>
  </si>
  <si>
    <t>5.1.4</t>
  </si>
  <si>
    <t>RS-APL-ESDI-V03-160601</t>
  </si>
  <si>
    <t>5.1.5</t>
  </si>
  <si>
    <t>RS-APL-ESFR-V02-140601</t>
  </si>
  <si>
    <t>5.1.6</t>
  </si>
  <si>
    <t>RS-APL-ESRE-V05-180101</t>
  </si>
  <si>
    <t>5.1.7</t>
  </si>
  <si>
    <t>RS-APL-ESRA-V06-180101</t>
  </si>
  <si>
    <t>5.1.10</t>
  </si>
  <si>
    <t>RS-APL-ESDR-V01-150601</t>
  </si>
  <si>
    <t>5.2.1</t>
  </si>
  <si>
    <t>RS-CEL-SSTR-V03-180101</t>
  </si>
  <si>
    <t>RS-CEL-APS2-V02-180101</t>
  </si>
  <si>
    <t>RS-HVC-ASHP-V07-180101</t>
  </si>
  <si>
    <t>RS-HVC-CAC1-V07-180101</t>
  </si>
  <si>
    <t>RS-HVC-DINS-V06-160601</t>
  </si>
  <si>
    <t>RS-HVC-FBMT-V03-150601</t>
  </si>
  <si>
    <t>RS-HVC-GHEB-V06-180101</t>
  </si>
  <si>
    <t>RS-HVC-GHEF-V07-180101</t>
  </si>
  <si>
    <t>5.3.9</t>
  </si>
  <si>
    <t>RS-HVC-BAFA-V01-120601</t>
  </si>
  <si>
    <t>RS-HVC-PROG-V04-180101</t>
  </si>
  <si>
    <t>RS-HVC-CFAN-V02-180101</t>
  </si>
  <si>
    <t>RS-HWE-PINS-V02-150601</t>
  </si>
  <si>
    <t>RS-HWE-HPWH-V06-180101</t>
  </si>
  <si>
    <t>RS-HWE-LFSH-V05-180101</t>
  </si>
  <si>
    <t>RS-HWE-TMPS-V05-160601</t>
  </si>
  <si>
    <t>5.5.6</t>
  </si>
  <si>
    <t>RS-LTG-LEDD-V07-180101</t>
  </si>
  <si>
    <t>RS-LTG-LEDA-V05-180101</t>
  </si>
  <si>
    <t>RS-SHL-AIRS-V06-180101</t>
  </si>
  <si>
    <t>RS-SHL-BINS-V08-180101</t>
  </si>
  <si>
    <t>RS-SHL-AINS-V07-180101</t>
  </si>
  <si>
    <t>5.7.1</t>
  </si>
  <si>
    <t>RS-MSC-RPLP-V01-180101</t>
  </si>
  <si>
    <t>IL TM V6</t>
  </si>
  <si>
    <t>V5</t>
  </si>
  <si>
    <t>HP</t>
  </si>
  <si>
    <t>Plan 3 Adjustable Goals Errata</t>
  </si>
  <si>
    <t>Air Sealing - Electric Heat  Low Income Single Family</t>
  </si>
  <si>
    <t>resistance</t>
  </si>
  <si>
    <t>Electric Heat Measure</t>
  </si>
  <si>
    <t>Plan 3 Adjustable Goal Errata Weights</t>
  </si>
  <si>
    <t>Plan 3 Adjustable Errata Weights</t>
  </si>
  <si>
    <t>Electric Heat Single Family</t>
  </si>
  <si>
    <t>5.1.8</t>
  </si>
  <si>
    <t>RS-APL-RFRC-V06-160601</t>
  </si>
  <si>
    <t>ASHP 16.0+ SEER - SF</t>
  </si>
  <si>
    <t>ASHP ER 16.0+ SEER - ASHP Repl. - SF</t>
  </si>
  <si>
    <t>ASHP ER 16.0+ SEER - Elec Res Repl. - SF</t>
  </si>
  <si>
    <t>BPM Blower Motor</t>
  </si>
  <si>
    <t>Showerhead 1.75 gpm - Electric DHW SF</t>
  </si>
  <si>
    <t>Faucet Aerator - Electric DHW SF</t>
  </si>
  <si>
    <t>Showerhead 1.75 gpm - Gas DHW SF</t>
  </si>
  <si>
    <t>Faucet Aerator - Gas DHW SF</t>
  </si>
  <si>
    <t>Air Sealing - Electric Heat SF</t>
  </si>
  <si>
    <t>R-11 Wall Insulation - Electric Heat SF</t>
  </si>
  <si>
    <t>Rim Joist Insulation - Electric Heat SF</t>
  </si>
  <si>
    <t>Crawl Space Insulation - Electric Heat SF</t>
  </si>
  <si>
    <t>Air Sealing - Gas Heat w/ AC SF</t>
  </si>
  <si>
    <t>R-11 Wall Insulation - Gas Heat w/ AC SF</t>
  </si>
  <si>
    <t>Rim Joist Insulation - Gas Heat w/ AC SF</t>
  </si>
  <si>
    <t>Crawl Space Insulation - Gas Heat w/ AC SF</t>
  </si>
  <si>
    <t>BPM Blower Motor w/ furnace SF</t>
  </si>
  <si>
    <t>Programmable Thermostat - Electric Heat Pump SF</t>
  </si>
  <si>
    <t>Boiler 90% AFUE SF</t>
  </si>
  <si>
    <t>Programmable Thermostat - Gas Heat SF</t>
  </si>
  <si>
    <t>Air Sealing Low Income Resistance, heat only MF</t>
  </si>
  <si>
    <t>ECM retrofit in existing furance MF</t>
  </si>
  <si>
    <t>Duct Sealing Low Income Electric Heat w/ AC MF</t>
  </si>
  <si>
    <t>Duct Sealing Low Income Gas Heat w/ AC MF</t>
  </si>
  <si>
    <t>Mutifamily In-Unit Smart T-Stat  Low Income Gas Heat w/ AC (Other electric Utility) MF</t>
  </si>
  <si>
    <t>Ceiling Insulation (R-11 to R-38) Low Income Resistance, heat only MF</t>
  </si>
  <si>
    <t>Ceiling Insulation (R-5 to R-38) Low Income Heat pump SF</t>
  </si>
  <si>
    <t>Ceiling Insulation (R-5 to R-38) Low Income Resistance w/ AC SF</t>
  </si>
  <si>
    <t>Ceiling Insulation (R-11 to R-38) Low Income Heat pump SF</t>
  </si>
  <si>
    <t>Ceiling Insulation (R-11 to R-38) Low Income Resistance w/ AC SF</t>
  </si>
  <si>
    <t>ECM retrofit in existing furance SF</t>
  </si>
  <si>
    <t>95% AFUE SF</t>
  </si>
  <si>
    <t>Single Family In-Unit Smart T-Stat Low Income ASHP SF</t>
  </si>
  <si>
    <t>Single Family In-Unit Smart T-Stat Low Income Electric Resistance Heat w/ AC SF</t>
  </si>
  <si>
    <t>Single Family In-Unit Smart T-Stat Low Income Gas Heat w/ AC SF</t>
  </si>
  <si>
    <t>Single Family In-Unit Smart T-Stat Low Income Gas Heat w/ AC (Other electric Utility) SF</t>
  </si>
  <si>
    <t>Duct Sealing Low Income Electric Heat SF</t>
  </si>
  <si>
    <t>Duct Sealing Low Income Electric Heat w/ AC SF</t>
  </si>
  <si>
    <t>Duct Sealing Low Income Gas Heat SF</t>
  </si>
  <si>
    <t>Duct Sealing Low Income Gas Heat w/ AC SF</t>
  </si>
  <si>
    <t>Air Sealing Low Income Gas Heat w/AC MF</t>
  </si>
  <si>
    <t>Ceiling Insulation (R-11 to R-38) Low Income Gas Heat w/AC MF 1</t>
  </si>
  <si>
    <t>Ceiling Insulation (R-5 to R-38) Low Income Gas Heat w/AC MF 1</t>
  </si>
  <si>
    <t>Ceiling Insulation (R-11 to R-38) Low Income Gas Heat w/AC MF</t>
  </si>
  <si>
    <t>Ceiling Insulation (R-5 to R-38) Low Income Gas Heat w/AC MF</t>
  </si>
  <si>
    <t>per foot of pipe insulation Low Income Electric Water Heat SF</t>
  </si>
  <si>
    <t>per foot of pipe insulation Low Income Gas water heat SF</t>
  </si>
  <si>
    <t>ER Air Source HP at least 16 SEER- early retirement Replace ASHP SF</t>
  </si>
  <si>
    <t>Showerhead 1.75 gpm - Electric DHW MF</t>
  </si>
  <si>
    <t>Faucet Aerator, kitchen - Electric DHW MF</t>
  </si>
  <si>
    <t>Faucet Aerator, bath - Electric DHW MF</t>
  </si>
  <si>
    <t>LED Ligthing 2018</t>
  </si>
  <si>
    <t xml:space="preserve">Wall and Ceiling/Attic Insulation (Wood Frame) - </t>
  </si>
  <si>
    <t>Air Sealing - MF</t>
  </si>
  <si>
    <t>Faucet Aerator - Electric DHW</t>
  </si>
  <si>
    <t>Faucet Aerator - Gas DHW</t>
  </si>
  <si>
    <t>Air Sealing - Electric Heat</t>
  </si>
  <si>
    <t>R-11 Wall Insulation - Electric Heat</t>
  </si>
  <si>
    <t>Rim Joist Insulation - Electric Heat</t>
  </si>
  <si>
    <t>Crawl Space Insulation - Electric Heat</t>
  </si>
  <si>
    <t>Air Sealing - Gas Heat w/ AC</t>
  </si>
  <si>
    <t>R-11 Wall Insulation - Gas Heat w/ AC</t>
  </si>
  <si>
    <t>Rim Joist Insulation - Gas Heat w/ AC</t>
  </si>
  <si>
    <t>Crawl Space Insulation - Gas Heat w/ AC</t>
  </si>
  <si>
    <t>BPM Blower Motor w/ furnace</t>
  </si>
  <si>
    <t>Programmable Thermostat - Electric Heat Pump</t>
  </si>
  <si>
    <t>Programmable Thermostat - Gas Heat</t>
  </si>
  <si>
    <t>Air Sealing Low Income Heat pump</t>
  </si>
  <si>
    <t>Air Sealing Low Income Resistance, heat only</t>
  </si>
  <si>
    <t>Air Sealing Low Income Resistance w/ AC</t>
  </si>
  <si>
    <t>ECM retrofit in existing furance</t>
  </si>
  <si>
    <t>Mutifamily In-Unit Smart T-Stat</t>
  </si>
  <si>
    <t>Mutifamily In-Unit Smart T-Stat  Low Income Gas Heat w/ AC</t>
  </si>
  <si>
    <t>Mutifamily In-Unit Smart T-Stat  Low Income ASHP</t>
  </si>
  <si>
    <t>Mutifamily In-Unit Smart T-Stat  Low Income Electric Resistance Heat w/ AC</t>
  </si>
  <si>
    <t>Mutifamily In-Unit Smart T-Stat  Low Income Gas Heat w/ AC (Other electric Utility)</t>
  </si>
  <si>
    <t>Ceiling Insulation (R-5 to R-38) Low Income Resistance, heat only SF</t>
  </si>
  <si>
    <t>Ceiling Insulation (R-11 to R-38) Low Income Resistance, heat only SF</t>
  </si>
  <si>
    <t>Ceiling Insulation (R-5 to R-38) Low Income Heat pump MF</t>
  </si>
  <si>
    <t>Ceiling Insulation (R-5 to R-38) Low Income Resistance, heat only MF</t>
  </si>
  <si>
    <t>Ceiling Insulation (R-5 to R-38) Low Income Resistance w/ AC MF</t>
  </si>
  <si>
    <t>Ceiling Insulation (R-11 to R-38) Low Income Heat pump MF</t>
  </si>
  <si>
    <t>Ceiling Insulation (R-11 to R-38) Low Income Resistance w/ AC MF</t>
  </si>
  <si>
    <t>ECM retrofit in existing furance Low Income</t>
  </si>
  <si>
    <t>95% AFUE Low Income</t>
  </si>
  <si>
    <t xml:space="preserve">16 SEER AC Low Income Gas heat w/electric service </t>
  </si>
  <si>
    <t>Single Family In-Unit Smart T-Stat Low Income ASHP</t>
  </si>
  <si>
    <t>Single Family In-Unit Smart T-Stat Low Income Electric Resistance Heat</t>
  </si>
  <si>
    <t>Single Family In-Unit Smart T-Stat Low Income Electric Resistance Heat w/ AC</t>
  </si>
  <si>
    <t>Single Family In-Unit Smart T-Stat Low Income Gas Heat w/ AC</t>
  </si>
  <si>
    <t>Single Family In-Unit Smart T-Stat Low Income Gas Heat w/ AC (Other electric Utility)</t>
  </si>
  <si>
    <t>Duct Sealing Low Income Electric Heat MF</t>
  </si>
  <si>
    <t>Duct Sealing Low Income Gas Heat MF</t>
  </si>
  <si>
    <t>Air Sealing Low Income Gas Heat w/AC</t>
  </si>
  <si>
    <t>Ceiling Insulation (R-11 to R-38) Low Income Gas Heat w/AC SF</t>
  </si>
  <si>
    <t>Ceiling Insulation (R-5 to R-38) Low Income Gas Heat w/AC SF</t>
  </si>
  <si>
    <t>per foot of pipe insulation Low Income Electric Water Heat</t>
  </si>
  <si>
    <t>per foot of pipe insulation Low Income Gas water heat</t>
  </si>
  <si>
    <t>ER Air Source HP at least 18 SEER- early retirement Replace ASHP</t>
  </si>
  <si>
    <t>Air Source HP at least 18 SEER Electric Heat</t>
  </si>
  <si>
    <t>ER Air Source HP at least 16 SEER- early retirement Replace ASHP</t>
  </si>
  <si>
    <t>Air Source HP at least 16 SEER Electric Heat</t>
  </si>
  <si>
    <t>Faucet Aerator, kitchen - Electric DHW</t>
  </si>
  <si>
    <t>Faucet Aerator, bath - Electric DHW</t>
  </si>
  <si>
    <t>LED Ligthing 2019</t>
  </si>
  <si>
    <t>LED Ligthing 2020+</t>
  </si>
  <si>
    <t>Programmable Thermostat - Gas Heat Low</t>
  </si>
  <si>
    <t>Mutifamily In-Unit Smart T-Stat Low Income Electric Resistance Heat</t>
  </si>
  <si>
    <t>95% AFUE Furnace</t>
  </si>
  <si>
    <t>16 SEER AC Low Income Gas heat w/electric service</t>
  </si>
  <si>
    <t>Air Source HP at least 16 SEER Electric Heat Low Income</t>
  </si>
  <si>
    <t>DCEO New Construction Commitments</t>
  </si>
  <si>
    <t>LED recessed down fixture 2018</t>
  </si>
  <si>
    <t>Exterior Lighting  2018</t>
  </si>
  <si>
    <t>Permanent Fixture/Lamp Removal 2018</t>
  </si>
  <si>
    <t>Glass Door LED Cooler/Freezer Lighting 2018</t>
  </si>
  <si>
    <t>Interior LED Lamps and Fixtures 2018</t>
  </si>
  <si>
    <t>Retail Products</t>
  </si>
  <si>
    <t>LED recessed down fixture 2019</t>
  </si>
  <si>
    <t>LED recessed down fixture 2020</t>
  </si>
  <si>
    <t>LED recessed down fixture 2021</t>
  </si>
  <si>
    <t>Air Sealing Low Income Heat pump MF</t>
  </si>
  <si>
    <t>Air Sealing Low Income Resistance w/ AC MF</t>
  </si>
  <si>
    <t>Mutifamily In-Unit Smart T-Stat Low Income Electric Resistance Heat MF</t>
  </si>
  <si>
    <t>Mutifamily In-Unit Smart T-Stat  Low Income Gas Heat w/ AC MF</t>
  </si>
  <si>
    <t>Mutifamily In-Unit Smart T-Stat  Low Income ASHP MF</t>
  </si>
  <si>
    <t>Mutifamily In-Unit Smart T-Stat  Low Income Electric Resistance Heat w/ AC MF</t>
  </si>
  <si>
    <t>16 SEER AC Low Income Gas heat w/electric service SF</t>
  </si>
  <si>
    <t>Single Family In-Unit Smart T-Stat Low Income Electric Resistance Heat SF</t>
  </si>
  <si>
    <t>ER Air Source HP at least 18 SEER- early retirement Replace ASHP SF</t>
  </si>
  <si>
    <t>Air Source HP at least 18 SEER Electric Heat SF</t>
  </si>
  <si>
    <t>Air Source HP at least 16 SEER Electric Heat SF</t>
  </si>
  <si>
    <t>Btu/h used in TRM example</t>
  </si>
  <si>
    <t>Conversion of Capacity to CFM (0.0123CFM / Btu/hr)2</t>
  </si>
  <si>
    <t>Converts Btu to therms</t>
  </si>
  <si>
    <t> Energy Efficiency</t>
  </si>
  <si>
    <t>Annual MWH Savings</t>
  </si>
  <si>
    <t>Annual Therm Savings</t>
  </si>
  <si>
    <t>RES-Appliance Recycling</t>
  </si>
  <si>
    <t>RES-Behavior Modification</t>
  </si>
  <si>
    <t>RES-HVAC</t>
  </si>
  <si>
    <t>RESIDENTIAL PORTFOLIO TOTAL</t>
  </si>
  <si>
    <t>BUS-Standard</t>
  </si>
  <si>
    <t>BUS-Custom</t>
  </si>
  <si>
    <t>BUSINESS PORTFOLIO TOTAL</t>
  </si>
  <si>
    <t xml:space="preserve">AMEREN ILLINOIS PORTFOLIO TOTAL </t>
  </si>
  <si>
    <t>RES-Multifamily</t>
  </si>
  <si>
    <t>RES-Direct Distribution Efficient Products</t>
  </si>
  <si>
    <t>RES-Retail Products</t>
  </si>
  <si>
    <t>RES-Public Housing</t>
  </si>
  <si>
    <t>RES-DCEO New Construction Commitments</t>
  </si>
  <si>
    <t>BUS-Standard-Small Business</t>
  </si>
  <si>
    <t>BUS-Standard-Public Buildings</t>
  </si>
  <si>
    <t>BUS-Standard-Public Streetlights</t>
  </si>
  <si>
    <t>BUS-Custom-Public</t>
  </si>
  <si>
    <t>BUS-Retro-commissioning</t>
  </si>
  <si>
    <t>BUS-Retro-commissioning-Public</t>
  </si>
  <si>
    <t>BUS-Ameren Owned ER Streetlights</t>
  </si>
  <si>
    <t>Summary Key</t>
  </si>
  <si>
    <t>Residential_HVAC</t>
  </si>
  <si>
    <t>Residential_Multifamily</t>
  </si>
  <si>
    <t>Residential_Appliance Recycling</t>
  </si>
  <si>
    <t>Residential_Direct Distribution Efficient Products</t>
  </si>
  <si>
    <t>Residential_Retail Products</t>
  </si>
  <si>
    <t>Residential_Behavior Modification</t>
  </si>
  <si>
    <t>Residential_Public Housing</t>
  </si>
  <si>
    <t>Residential_DCEO New Construction Commitments</t>
  </si>
  <si>
    <t>Fuel</t>
  </si>
  <si>
    <t>Adj Key</t>
  </si>
  <si>
    <t>RS-HWE-LFFA-V06-180101</t>
  </si>
  <si>
    <t>5.3.12</t>
  </si>
  <si>
    <t>RS-HVC-DHP-V05-180101</t>
  </si>
  <si>
    <t>90% Furnace</t>
  </si>
  <si>
    <t>82% Boiler</t>
  </si>
  <si>
    <t>DEFERRED COST</t>
  </si>
  <si>
    <t>Baseline cost pe ton</t>
  </si>
  <si>
    <t>Baseline cost</t>
  </si>
  <si>
    <t>1-Ton</t>
  </si>
  <si>
    <t>1.5-Ton</t>
  </si>
  <si>
    <t>2-Ton</t>
  </si>
  <si>
    <t>2.5 – Ton</t>
  </si>
  <si>
    <t>3-Ton</t>
  </si>
  <si>
    <t>DHP Unit Size Full Install Cost</t>
  </si>
  <si>
    <t>kWh = [(Elecheat * Capacityheat * EFLHheat * (1/HSPFBase - 1/HSPFee)) / 1000] + [(Capacitycool* EFLHcool * (1/SEERBase- 1/SEERee)) / 1000]</t>
  </si>
  <si>
    <t>kW = (Capacitycool * (1/EERbase - 1/EERee)) / 1000) * CF</t>
  </si>
  <si>
    <t>1.5 Ton 8 HSPF 14 SEER</t>
  </si>
  <si>
    <t>Income Qualified</t>
  </si>
  <si>
    <t>Smart Thermostat - Electric Heat Pump</t>
  </si>
  <si>
    <t>Smart Thermostat - Gas Heat</t>
  </si>
  <si>
    <t>Exterior Lighting 2018</t>
  </si>
  <si>
    <t>Linear Tube LED (Midstream)  2020 &amp; 2021</t>
  </si>
  <si>
    <t>95% AFUE Furnace Emergency Replacement</t>
  </si>
  <si>
    <t>Multifamily Ductless Heat Pumps</t>
  </si>
  <si>
    <t>15% for duct loss</t>
  </si>
  <si>
    <t>15% duct loss removed, sealing up all duct loss.</t>
  </si>
  <si>
    <t>Heating Equipment Efficiency (TRM example</t>
  </si>
  <si>
    <t>Pre duct sealing Heating System Efficiency (TRM example)</t>
  </si>
  <si>
    <t>Business</t>
  </si>
  <si>
    <t>Low Flow Shower Heads</t>
  </si>
  <si>
    <t>Program Performance Totals for Measure BP## - in Plan 2018; PY18-21</t>
  </si>
  <si>
    <t>Number of Projects</t>
  </si>
  <si>
    <t>Number of Units</t>
  </si>
  <si>
    <t>Each unit is one low flow shower head</t>
  </si>
  <si>
    <t>Gross kWh saved</t>
  </si>
  <si>
    <t>Gross kW demand reduction</t>
  </si>
  <si>
    <t>Gross therms saved</t>
  </si>
  <si>
    <t>Total Incentives*</t>
  </si>
  <si>
    <t>Total Incentives for Electric DHW</t>
  </si>
  <si>
    <t>Total Incentives for Gas DHW</t>
  </si>
  <si>
    <t>Average for all units on all DHW systems</t>
  </si>
  <si>
    <t>Incentive $/Gross kWh</t>
  </si>
  <si>
    <t>Incentive $/Gross Therm</t>
  </si>
  <si>
    <t>Gallons water conserved</t>
  </si>
  <si>
    <t>Total Incremental Cost</t>
  </si>
  <si>
    <t>*not including bonuses. Also note that incentives are often limited by project costs, so total incentives paid may be lower</t>
  </si>
  <si>
    <t>Electric NTG ratio</t>
  </si>
  <si>
    <t>Used Residential NTG numbers since the program will be similarly designed</t>
  </si>
  <si>
    <t>Gas NTG ratio</t>
  </si>
  <si>
    <t>Net kWh saved</t>
  </si>
  <si>
    <t>Net kW demand saved</t>
  </si>
  <si>
    <t>Net therms saved</t>
  </si>
  <si>
    <t>Incentive $/Net kWh</t>
  </si>
  <si>
    <t>Incentive $/Net Therm</t>
  </si>
  <si>
    <t>Measure Lifetime (years)</t>
  </si>
  <si>
    <t>Project-Level Breakdown</t>
  </si>
  <si>
    <t>Average Gross kWh saved</t>
  </si>
  <si>
    <t>Average Gross Therm saved</t>
  </si>
  <si>
    <t>Average Incentive</t>
  </si>
  <si>
    <t>Average Gallons water conserved</t>
  </si>
  <si>
    <t>Average Incremental Cost</t>
  </si>
  <si>
    <t>TRM Algorithm and Defined Variables</t>
  </si>
  <si>
    <t>Variable</t>
  </si>
  <si>
    <t>Value</t>
  </si>
  <si>
    <t>BP## savings calculations are based on the IL Statewide TRM section 4.3.3 (Low Flow Showerheads)</t>
  </si>
  <si>
    <t>The TRM defines the following energy savings calculation algorithm:</t>
  </si>
  <si>
    <t>Should be rated flow of provided showerhead</t>
  </si>
  <si>
    <t>ΔkWh = %ElectricDHW * ((GPM_base - L_base - GPM_low * L_low) * NPSD * 365.25) * EPG_electric * ISR</t>
  </si>
  <si>
    <t>EPG_electric (kWh/gal)</t>
  </si>
  <si>
    <t>ΔkW = (ΔkWh / Hours) * CF</t>
  </si>
  <si>
    <t>ΔTherms = %FossilDHW * ((GPM_base * L_base - GPM_low * L_low) * NPSD * 365.25) * EPG_gas * ISR</t>
  </si>
  <si>
    <t>EPG_gas (therm/gal)</t>
  </si>
  <si>
    <t>Δgallons = ((GPM_base - L_base - GPM_low * L_low) * NPSD * 365.25 * ISR</t>
  </si>
  <si>
    <t>L_base (min)</t>
  </si>
  <si>
    <t>Where:</t>
  </si>
  <si>
    <t>L_low (min)</t>
  </si>
  <si>
    <t>TRM</t>
  </si>
  <si>
    <t>proportion of water heating supplied by electric resistance heating (16%)</t>
  </si>
  <si>
    <t>GPH</t>
  </si>
  <si>
    <t>Flow rate of the baseline showerhead (2.5 GPM)</t>
  </si>
  <si>
    <t>As-used flow rate of the low-flow showerhead</t>
  </si>
  <si>
    <t>Shower length in minutes with baseline showerhead (8.2 min)</t>
  </si>
  <si>
    <t>Shower length in minutes with low-flow showerhead (8.2 min)</t>
  </si>
  <si>
    <t>Days per year, on average</t>
  </si>
  <si>
    <t>NPSD</t>
  </si>
  <si>
    <t>Estimated</t>
  </si>
  <si>
    <t>Estimated number of showers taken per day for one shower head</t>
  </si>
  <si>
    <t>Energy per gallon of hot water supplied by electric (.127 kWh/gal)</t>
  </si>
  <si>
    <t>In service rate of showerhead (.98)</t>
  </si>
  <si>
    <t xml:space="preserve">Annual electric DHW recovery hours for showerhead use </t>
  </si>
  <si>
    <t>Coincidence Factor for electric load reduction (.0278)</t>
  </si>
  <si>
    <t>proportion of water heating supplied by fossil fuel heating (84%)</t>
  </si>
  <si>
    <t>Energy per gallon of Hot water supplied by gas (.0063 Therm/gal)</t>
  </si>
  <si>
    <t>Gallons per hour recovery of electric  water heater (27.51)</t>
  </si>
  <si>
    <t>Incremental Cost ($/unit)</t>
  </si>
  <si>
    <t>or program actual</t>
  </si>
  <si>
    <t>Incentive Level</t>
  </si>
  <si>
    <t>Incentive per unit Installed</t>
  </si>
  <si>
    <t>Participation Projections</t>
  </si>
  <si>
    <t>These are predictions for now and can be updated as the measure builds historical program data</t>
  </si>
  <si>
    <t>Number of projects</t>
  </si>
  <si>
    <t>Average number of units per project</t>
  </si>
  <si>
    <t>Total number of units participating</t>
  </si>
  <si>
    <t>Building Type</t>
  </si>
  <si>
    <t>Participation by Percentage</t>
  </si>
  <si>
    <t>Small Office</t>
  </si>
  <si>
    <t>Large Office</t>
  </si>
  <si>
    <t>Fast Food Rest</t>
  </si>
  <si>
    <t>Sit-Down Rest</t>
  </si>
  <si>
    <t>Retail</t>
  </si>
  <si>
    <t>Grocery</t>
  </si>
  <si>
    <t>Warehouse</t>
  </si>
  <si>
    <t>Elementary School</t>
  </si>
  <si>
    <t>High School</t>
  </si>
  <si>
    <t>Health</t>
  </si>
  <si>
    <t>Motel</t>
  </si>
  <si>
    <t>Hotel</t>
  </si>
  <si>
    <t>Other</t>
  </si>
  <si>
    <t>Water Heating Fuel</t>
  </si>
  <si>
    <t>Program average</t>
  </si>
  <si>
    <t>Full Calculations</t>
  </si>
  <si>
    <t>Note that the calculations rely on multiple co-varying values. We start by distributing participating traps by Mutilfamily or Other to deterimine weighted average boiler efficiency, which allows us to use other TRM values directly. In principle, we could pin any one variable to the TRM and weight the others, which to start with is just convention</t>
  </si>
  <si>
    <t>Inputs Based on Projected Participation</t>
  </si>
  <si>
    <t>TRM-Defined Variables</t>
  </si>
  <si>
    <t>Results</t>
  </si>
  <si>
    <t>Number of units</t>
  </si>
  <si>
    <t>Annual kWh saved</t>
  </si>
  <si>
    <t>Annual kW Reduced</t>
  </si>
  <si>
    <t>Annual Therms Saved</t>
  </si>
  <si>
    <t>Annual Incentive</t>
  </si>
  <si>
    <t>Gallons Water Saved</t>
  </si>
  <si>
    <t>Cost ($/unit)</t>
  </si>
  <si>
    <t>Total Cost ($)</t>
  </si>
  <si>
    <t>Totals</t>
  </si>
  <si>
    <t>Program Performance Totals for Measure BPR33 in PY18</t>
  </si>
  <si>
    <t>Number of Participants (Measures)</t>
  </si>
  <si>
    <t>Gross kWh saved*</t>
  </si>
  <si>
    <t>Total Incentives**</t>
  </si>
  <si>
    <t>Gross kWh/Measure</t>
  </si>
  <si>
    <t>Gross kW/Measure</t>
  </si>
  <si>
    <t>Gross Therms/Measure</t>
  </si>
  <si>
    <t>Average Incentive $/Gross kWh</t>
  </si>
  <si>
    <t>Average Gross kWh/project</t>
  </si>
  <si>
    <t>Average Incentive/project</t>
  </si>
  <si>
    <t>Incremental Cost/project</t>
  </si>
  <si>
    <t>*Including heating penalties</t>
  </si>
  <si>
    <t xml:space="preserve">**not including bonuses </t>
  </si>
  <si>
    <t>NTG ratio</t>
  </si>
  <si>
    <t>Net-to-Gross Ratio</t>
  </si>
  <si>
    <t>NTG components</t>
  </si>
  <si>
    <t>Spill Over</t>
  </si>
  <si>
    <t>Non-SO</t>
  </si>
  <si>
    <t>Wutiliz</t>
  </si>
  <si>
    <t>% water savings</t>
  </si>
  <si>
    <t>%hot water savings</t>
  </si>
  <si>
    <t>Assisted Living</t>
  </si>
  <si>
    <t>The TRM defines the following energy savings calculation algorithms:</t>
  </si>
  <si>
    <t>Hotel/Motel - Common</t>
  </si>
  <si>
    <t>ΔkWh[pump]=HP*HPconv*hours*%water savings</t>
  </si>
  <si>
    <t>Healthcare Clinic</t>
  </si>
  <si>
    <t>ΔkW[pump]=0</t>
  </si>
  <si>
    <t>Δtherm= therms[baseline]*% hot water savings</t>
  </si>
  <si>
    <t>Incremental Cost per lb capacity</t>
  </si>
  <si>
    <t>therms[baseline]=WHE*Wutiliz*Wusage_hot</t>
  </si>
  <si>
    <t>Hpconv</t>
  </si>
  <si>
    <t>0.746 (convert HP to kW)</t>
  </si>
  <si>
    <t>actual boiler feed water pump horsepower if known, otherwise 5 HP</t>
  </si>
  <si>
    <t>actual water pump hours, otherwise 800</t>
  </si>
  <si>
    <t>Incentive per lb capacity</t>
  </si>
  <si>
    <t>% hot water savings</t>
  </si>
  <si>
    <t>WHE</t>
  </si>
  <si>
    <t>0.00885 therms/gallon water heating energy</t>
  </si>
  <si>
    <t>Project-Level Breakdown of kW Reduced</t>
  </si>
  <si>
    <t>lbs clothes washed per year if known, otherwise 916,150 lbs</t>
  </si>
  <si>
    <t>Wusage_hot</t>
  </si>
  <si>
    <t>1.19 gallons/lb clothes washed</t>
  </si>
  <si>
    <t>Project-Level Inputs</t>
  </si>
  <si>
    <t>load capacity</t>
  </si>
  <si>
    <t>average load capacity</t>
  </si>
  <si>
    <t>100-200 lb</t>
  </si>
  <si>
    <t>201-300 lb</t>
  </si>
  <si>
    <t>301-400 lb</t>
  </si>
  <si>
    <t>Average load capacity</t>
  </si>
  <si>
    <t>boiler pump hp</t>
  </si>
  <si>
    <t>pump hours</t>
  </si>
  <si>
    <t>Incentives</t>
  </si>
  <si>
    <t xml:space="preserve">kWh Saved </t>
  </si>
  <si>
    <t>kW reduced</t>
  </si>
  <si>
    <t>therms saved</t>
  </si>
  <si>
    <t>kWH saved per project</t>
  </si>
  <si>
    <t>therms saved 
PER PROJECT</t>
  </si>
  <si>
    <t>Number of Participants</t>
  </si>
  <si>
    <t>Total Incremental Costs</t>
  </si>
  <si>
    <t>Garage</t>
  </si>
  <si>
    <t>In Service Rate</t>
  </si>
  <si>
    <t>Incremental Costs</t>
  </si>
  <si>
    <t>Collected</t>
  </si>
  <si>
    <t>Incremental Costs per project</t>
  </si>
  <si>
    <t>Low-flow aerators or laminar flow restrictors</t>
  </si>
  <si>
    <t>Program Performance Totals for Measure BPAR1 - in Plan 2018; PY18-21</t>
  </si>
  <si>
    <t>Each unit is one low-flow aerator or laminar flow restrictor</t>
  </si>
  <si>
    <t>BPAR1 savings calculations are based on the IL Statewide TRM section 4.3.2 (Low-Flow Faucet Aerators)</t>
  </si>
  <si>
    <t>GPM_i</t>
  </si>
  <si>
    <t>For bathrooms, should be measured</t>
  </si>
  <si>
    <t>TF_i</t>
  </si>
  <si>
    <t>Per TRM example</t>
  </si>
  <si>
    <t>GPM_f</t>
  </si>
  <si>
    <t>For bathrooms, should be actual rated flow of device</t>
  </si>
  <si>
    <t>ΔkWh = %ElectricDHW * ((GPM_base - GPM_low)/GPM_base) * Usage * EPG_electric * ISR</t>
  </si>
  <si>
    <t>TF_f</t>
  </si>
  <si>
    <t>GPM_base = GPM_i*TF_i</t>
  </si>
  <si>
    <t>For unknown sink type</t>
  </si>
  <si>
    <t>GPM_low = GPM_f*TF_f</t>
  </si>
  <si>
    <t>ΔTherms = %FossilDHW * ((GPM_base - GPM_low)/GPM_base) * Usage * EPG_gas * ISR</t>
  </si>
  <si>
    <t>Δgallons = ((GPM_base - GPM_low)/GPM_base) * Usage * ISR</t>
  </si>
  <si>
    <t>Usage (gal/yr)</t>
  </si>
  <si>
    <t>Annual Recovery Hours</t>
  </si>
  <si>
    <t>Prediction</t>
  </si>
  <si>
    <t>proportion of water heating supplied by electric resistance heating</t>
  </si>
  <si>
    <t>Note: These coincidence factors are almost certainly incorrect, but they're in the TRM</t>
  </si>
  <si>
    <t>Average flow rate, in gallons per minute, of the baseline faucet “as-used”</t>
  </si>
  <si>
    <t>Average flow rate, in gallons per minute, of the low-flow faucet aerator “as-used”</t>
  </si>
  <si>
    <t>Rated flow rate of baseline faucet</t>
  </si>
  <si>
    <t>Throttling factor for basline faucet</t>
  </si>
  <si>
    <t>Rated flow rate of low-flow faucet aerator</t>
  </si>
  <si>
    <t>Throttling factor for low-flow faucet</t>
  </si>
  <si>
    <t>Usage</t>
  </si>
  <si>
    <t>Estimated usage of mixed water (mixture of hot water from water heater line and cold water line) per faucet (gallons per year)</t>
  </si>
  <si>
    <t>Energy per gallon of mixed water used by faucet (electric water heater)</t>
  </si>
  <si>
    <t>In service rate of faucet aerators</t>
  </si>
  <si>
    <t>Annual electric DHW recovery hours for faucet use</t>
  </si>
  <si>
    <t xml:space="preserve"> Coincidence Factor for electric load reduction</t>
  </si>
  <si>
    <t>proportion of water heating supplied by fossil fuel heating</t>
  </si>
  <si>
    <t xml:space="preserve"> Energy per gallon of mixed water used by faucet</t>
  </si>
  <si>
    <t>Total Incremental Cost ($)</t>
  </si>
  <si>
    <t>Program Performance Totals for Measure BPAR1 - in Plan 208; PY18-21</t>
  </si>
  <si>
    <t>For LFR</t>
  </si>
  <si>
    <t>Exterior Lighting</t>
  </si>
  <si>
    <t>Incremental Cost per kWh</t>
  </si>
  <si>
    <t>Average Incremental Cost/project</t>
  </si>
  <si>
    <t>Average kW reduction/project</t>
  </si>
  <si>
    <t>College</t>
  </si>
  <si>
    <t>Convenience Store</t>
  </si>
  <si>
    <t>Hospital - CAV no econ</t>
  </si>
  <si>
    <t>Hospital - CAV econ</t>
  </si>
  <si>
    <t>Hospital - VAV econ</t>
  </si>
  <si>
    <t>Hospital - FCU</t>
  </si>
  <si>
    <t>Manufacturing Facility</t>
  </si>
  <si>
    <t>MF - High Rise - Common</t>
  </si>
  <si>
    <t>MF - Mid Rise</t>
  </si>
  <si>
    <t>Hotel/Motel - Guest</t>
  </si>
  <si>
    <t>Movie Theater</t>
  </si>
  <si>
    <t>Office - High Rise - CAV no econ</t>
  </si>
  <si>
    <t>Office - High Rise - CAV econ</t>
  </si>
  <si>
    <t>Office - High Rise - VAV econ</t>
  </si>
  <si>
    <t>Office - High Rise - FCU</t>
  </si>
  <si>
    <t>Office - Low Rise</t>
  </si>
  <si>
    <t>Office - Mid Rise</t>
  </si>
  <si>
    <t>Religious Building</t>
  </si>
  <si>
    <t>Restaurant</t>
  </si>
  <si>
    <t>Retail - Department Store</t>
  </si>
  <si>
    <t>Retail - Strip Mall</t>
  </si>
  <si>
    <t>Category</t>
  </si>
  <si>
    <t>Average Incremental cost per project</t>
  </si>
  <si>
    <t>Assembly</t>
  </si>
  <si>
    <t>MF - High Rise</t>
  </si>
  <si>
    <t>Calculated Values</t>
  </si>
  <si>
    <t>ΔkW</t>
  </si>
  <si>
    <t>Incentive</t>
  </si>
  <si>
    <t>Energy Star Commercial Gas Fryer</t>
  </si>
  <si>
    <t>Program Performance Totals for Measure BPCK12 in PY18</t>
  </si>
  <si>
    <t>Average Incentive $/Gross Therm</t>
  </si>
  <si>
    <t>Average Therms/project</t>
  </si>
  <si>
    <t>HOURSday</t>
  </si>
  <si>
    <t>Days</t>
  </si>
  <si>
    <t>LB</t>
  </si>
  <si>
    <t>EffENERGYSTAR</t>
  </si>
  <si>
    <t>EffBase</t>
  </si>
  <si>
    <t>PCENERGYSTAR</t>
  </si>
  <si>
    <t>PCBase</t>
  </si>
  <si>
    <t>PreheatNumberENERGYSTAR</t>
  </si>
  <si>
    <t>PreheatNumberBase</t>
  </si>
  <si>
    <t>PreheatTimeENERGYSTAR</t>
  </si>
  <si>
    <t>PreheatTimeBase</t>
  </si>
  <si>
    <t>PreheatRateENERGYSTAR</t>
  </si>
  <si>
    <t>PreheatRateBase</t>
  </si>
  <si>
    <t>IdleENERGYSTAR</t>
  </si>
  <si>
    <t>IdleBase</t>
  </si>
  <si>
    <t>IdleENERGYSTARTime</t>
  </si>
  <si>
    <t>IdleBaseTime</t>
  </si>
  <si>
    <t>EFOOD</t>
  </si>
  <si>
    <t>Commercial Fryer (Gas)</t>
  </si>
  <si>
    <t>Incremental Cost per unit</t>
  </si>
  <si>
    <t>BPCK12 savings calculations are based on the IL Statewide TRM section 4.2.7 (Energy Star Fryer)</t>
  </si>
  <si>
    <t>Incentive per Gas Fryer</t>
  </si>
  <si>
    <t>ΔTherms = (ΔDailyIdle Energy + ΔDailyPreheat Energy + ΔDailyCooking Energy) * Days /100000</t>
  </si>
  <si>
    <t>ΔDailyIdleEnergy =(IdleBase* IdleBaseTime) – (IdleENERGYSTAR * IdleENERGYSTARTime)</t>
  </si>
  <si>
    <t>ΔDailyPreheatEnergy = (PreHeatNumberBase * PreheatTimeBase / 60 * PreheatRateBase) – (PreheatNumberENERGYSTAR* PreheatTimeENERGYSTAR/60 * PreheatRateENERGYSTAR)</t>
  </si>
  <si>
    <t>ΔDailyCookingEnergy = (LB * EFOOD/ EffBase) - (LB * EFOOD/ EffENERGYSTAR)</t>
  </si>
  <si>
    <t>Average number of equipment per project</t>
  </si>
  <si>
    <t>Average Daily Operation</t>
  </si>
  <si>
    <t>Annual days of operation</t>
  </si>
  <si>
    <t>Food cooked per day</t>
  </si>
  <si>
    <t>Cooking Efficiency ENERGY STAR</t>
  </si>
  <si>
    <t>Cooking Efficiency Baseline</t>
  </si>
  <si>
    <t>Production Capacity ENERGY STAR</t>
  </si>
  <si>
    <t>Production Capacity base</t>
  </si>
  <si>
    <t>Number of preheats per day</t>
  </si>
  <si>
    <t>preheat length</t>
  </si>
  <si>
    <t>preheat energy rate high efficiency</t>
  </si>
  <si>
    <t>preheat energy rate baseline</t>
  </si>
  <si>
    <t>Idle energy rate</t>
  </si>
  <si>
    <t>ENERGY STAR Idle Time</t>
  </si>
  <si>
    <t>BASE Idle Time</t>
  </si>
  <si>
    <t>ASTM energy to food</t>
  </si>
  <si>
    <t xml:space="preserve">Therms Saved </t>
  </si>
  <si>
    <t>Therm saved 
PER PROJECT</t>
  </si>
  <si>
    <t>ΔDailyIdleEnergy</t>
  </si>
  <si>
    <t>Note that several variables defined in the TRM are not used in the savings algorithm (Pcbase, PCENERGYSTAR, and Hours)</t>
  </si>
  <si>
    <t>ΔDailyPreheatEnergy</t>
  </si>
  <si>
    <t>ΔDailyCookingEnergy</t>
  </si>
  <si>
    <t>Program Performance Totals for Measure BPCK21</t>
  </si>
  <si>
    <t>Incremental Cost per Participant</t>
  </si>
  <si>
    <t>Incremental Cost per therm</t>
  </si>
  <si>
    <t>Electric Incentive per Participant</t>
  </si>
  <si>
    <t>Gas Incentive per Participant</t>
  </si>
  <si>
    <t>Electric %</t>
  </si>
  <si>
    <t>Gas %</t>
  </si>
  <si>
    <t>Incremental Cost per Unit</t>
  </si>
  <si>
    <t>Electric Incentive per Unit</t>
  </si>
  <si>
    <t>Gas Incentive per Unit</t>
  </si>
  <si>
    <t>Average Gross Therm/project</t>
  </si>
  <si>
    <t>Average electric incentive/project</t>
  </si>
  <si>
    <t>Average gas incentive/project</t>
  </si>
  <si>
    <t>Average net kWh/project</t>
  </si>
  <si>
    <t>Average net kW reduction/project</t>
  </si>
  <si>
    <t>Average net Therm/project</t>
  </si>
  <si>
    <t>Heating Zone</t>
  </si>
  <si>
    <t>Annual Heating Load, BTU/cfm</t>
  </si>
  <si>
    <t>default HP</t>
  </si>
  <si>
    <t>CFM/hp</t>
  </si>
  <si>
    <t>default heating efficiency %</t>
  </si>
  <si>
    <t>kWh Savings / fan</t>
  </si>
  <si>
    <t>kW Savings / fan</t>
  </si>
  <si>
    <t>BPCK21 savings calculations are based on the IL Statewide TRM v6.0 Section 4.2.16 Kitchen Demand Ventilation Controls</t>
  </si>
  <si>
    <t>ΔkWh/fan=4486</t>
  </si>
  <si>
    <t xml:space="preserve"> (retrofit or new)</t>
  </si>
  <si>
    <t>ΔkW/fan=0.76</t>
  </si>
  <si>
    <t>Δtherm/fan=CFM*HP per fan*Annual Heating Load/(Eff(heat)*100,000)</t>
  </si>
  <si>
    <t>average airflow reduction per hood with controls (611 cfm/hp)</t>
  </si>
  <si>
    <t>actual fan horsepower if known, otherwise 7.75 HP</t>
  </si>
  <si>
    <t>Annual Heating Load</t>
  </si>
  <si>
    <t>annual energy required to heat fan exhaust makeup air, BTU/cfm</t>
  </si>
  <si>
    <t>Eff(heat)</t>
  </si>
  <si>
    <t>actual heating efficiency if known, otherwise 80%</t>
  </si>
  <si>
    <t>Incentive per hp</t>
  </si>
  <si>
    <t>Fan size range</t>
  </si>
  <si>
    <t>Average number of fans per project</t>
  </si>
  <si>
    <t>hp/fan</t>
  </si>
  <si>
    <t>1-5 hp</t>
  </si>
  <si>
    <t>5-10 hp</t>
  </si>
  <si>
    <t>10-25 hp</t>
  </si>
  <si>
    <t>Size Range</t>
  </si>
  <si>
    <t>fan size</t>
  </si>
  <si>
    <t>Zone</t>
  </si>
  <si>
    <t>Average fan hp</t>
  </si>
  <si>
    <t>BTU/cfm</t>
  </si>
  <si>
    <t>$/fan</t>
  </si>
  <si>
    <t>Retrofit</t>
  </si>
  <si>
    <t>New</t>
  </si>
  <si>
    <t>BPH1 Model to predict annual program performance of boiler tuneup based on anticipated participation</t>
  </si>
  <si>
    <t>Program Performance Totals for Measure BPH1</t>
  </si>
  <si>
    <t>average Incentive $/Gross Therm</t>
  </si>
  <si>
    <t>average Gross Therm/project</t>
  </si>
  <si>
    <t>average Incentive/project</t>
  </si>
  <si>
    <t>Use Type</t>
  </si>
  <si>
    <t>Boiler Type</t>
  </si>
  <si>
    <t>Pressure Range
(kBtu/hr)</t>
  </si>
  <si>
    <t xml:space="preserve">Average Gross Therms saved per project by System Type </t>
  </si>
  <si>
    <t>space heat</t>
  </si>
  <si>
    <t>Hot Water</t>
  </si>
  <si>
    <t>&lt; 300</t>
  </si>
  <si>
    <t>300 - 499</t>
  </si>
  <si>
    <t>500 - 999</t>
  </si>
  <si>
    <t>1,000 - 1,699</t>
  </si>
  <si>
    <t>1,700 - 1,999</t>
  </si>
  <si>
    <t>Steam</t>
  </si>
  <si>
    <t>process</t>
  </si>
  <si>
    <t>Assumptions using TRM-Defined High Efficiency Boiler</t>
  </si>
  <si>
    <t>Capacity range
(kBtu/hr)</t>
  </si>
  <si>
    <t>Baseline Efficiency (assumed based on boiler replacement measure in TRM)</t>
  </si>
  <si>
    <t>Utilization Factor (UF)</t>
  </si>
  <si>
    <t>Process Boiler Hours per year</t>
  </si>
  <si>
    <r>
      <t xml:space="preserve">Zone 1
</t>
    </r>
    <r>
      <rPr>
        <sz val="10"/>
        <rFont val="Calibri"/>
        <family val="2"/>
        <scheme val="minor"/>
      </rPr>
      <t>(Rockford)</t>
    </r>
  </si>
  <si>
    <r>
      <t xml:space="preserve">Zone 2
</t>
    </r>
    <r>
      <rPr>
        <sz val="10"/>
        <rFont val="Calibri"/>
        <family val="2"/>
        <scheme val="minor"/>
      </rPr>
      <t>(Chicago)</t>
    </r>
  </si>
  <si>
    <r>
      <t xml:space="preserve">Zone 3
</t>
    </r>
    <r>
      <rPr>
        <sz val="10"/>
        <rFont val="Calibri"/>
        <family val="2"/>
        <scheme val="minor"/>
      </rPr>
      <t>(Springfield)</t>
    </r>
  </si>
  <si>
    <r>
      <t xml:space="preserve">Zone 4
</t>
    </r>
    <r>
      <rPr>
        <sz val="10"/>
        <rFont val="Calibri"/>
        <family val="2"/>
        <scheme val="minor"/>
      </rPr>
      <t>(Belleville)</t>
    </r>
  </si>
  <si>
    <r>
      <t xml:space="preserve">Zone 5
</t>
    </r>
    <r>
      <rPr>
        <sz val="10"/>
        <rFont val="Calibri"/>
        <family val="2"/>
        <scheme val="minor"/>
      </rPr>
      <t>(Marion)</t>
    </r>
  </si>
  <si>
    <t>Weighted Average*</t>
  </si>
  <si>
    <t>BPH1 savings calculations are based on the IL Statewide TRM section 4.4.2</t>
  </si>
  <si>
    <t>Δtherm = EFLH * Cap *(( (Eff[before]+Ei)/Eff[before])-1)/100,000</t>
  </si>
  <si>
    <t>space heating</t>
  </si>
  <si>
    <t>Δtherm =(Ngi*8766*UF/100)*(1-(Eff[pre]/Eff[measured]))</t>
  </si>
  <si>
    <t>process heating</t>
  </si>
  <si>
    <t>Equivalent Full Load Hours for heating</t>
  </si>
  <si>
    <t>UF</t>
  </si>
  <si>
    <t>Utilization factor, 41.9% or custom</t>
  </si>
  <si>
    <t>Eff[pre]</t>
  </si>
  <si>
    <t>process boiler efficiency before tuneup</t>
  </si>
  <si>
    <t>Hotel/Motel</t>
  </si>
  <si>
    <t>Eff[before]</t>
  </si>
  <si>
    <t>Existing boiler annual fuel utilization efficiency rating</t>
  </si>
  <si>
    <t>Eff[measured]</t>
  </si>
  <si>
    <t>process boiler efficiency after tuneup--assume 1.5% improvement</t>
  </si>
  <si>
    <t>Ei</t>
  </si>
  <si>
    <t>Efficiency improvement after tuneup--assume 1.5% improvement</t>
  </si>
  <si>
    <t>Ngi</t>
  </si>
  <si>
    <t>input size kBtu/hr</t>
  </si>
  <si>
    <t>Cap</t>
  </si>
  <si>
    <t>Nominal heating input capacity (boiler size)</t>
  </si>
  <si>
    <t>MF - High Rise - Residential</t>
  </si>
  <si>
    <t>*Weighted Average based on zoning participation in Participation Projections section</t>
  </si>
  <si>
    <t>Type</t>
  </si>
  <si>
    <r>
      <t xml:space="preserve">Capacity
</t>
    </r>
    <r>
      <rPr>
        <sz val="11"/>
        <rFont val="Calibri"/>
        <family val="2"/>
        <scheme val="minor"/>
      </rPr>
      <t>(kBtu/hr)</t>
    </r>
  </si>
  <si>
    <t>Incentive $/kBTU/hr</t>
  </si>
  <si>
    <t>Space Heat</t>
  </si>
  <si>
    <t>Up to 299</t>
  </si>
  <si>
    <t>300-499</t>
  </si>
  <si>
    <t>500-999</t>
  </si>
  <si>
    <t>1,000-1,699</t>
  </si>
  <si>
    <t>1,700-1,999</t>
  </si>
  <si>
    <t>Process</t>
  </si>
  <si>
    <t>Participation % of Whole</t>
  </si>
  <si>
    <t>Zone 1  (Rockford)</t>
  </si>
  <si>
    <t>Space</t>
  </si>
  <si>
    <t>Zone 2 (Chicago)</t>
  </si>
  <si>
    <t>Zone 3 (Springfield)</t>
  </si>
  <si>
    <t>Zone 4 (Belleville)</t>
  </si>
  <si>
    <t>Zone 5 (Marion)</t>
  </si>
  <si>
    <t>Hot Water Boilers</t>
  </si>
  <si>
    <t>Hospital - CAV no econ260</t>
  </si>
  <si>
    <t>Hospital - CAV econ261</t>
  </si>
  <si>
    <t>Hospital - VAV econ262</t>
  </si>
  <si>
    <t>*make sure to update the average capacity &amp; efficiency if adding to previously empty categories</t>
  </si>
  <si>
    <t>Steam Boilers</t>
  </si>
  <si>
    <t>Inputs Based on Projections</t>
  </si>
  <si>
    <t>Capacity Range
(kBtu/hr)</t>
  </si>
  <si>
    <t>average Capacity</t>
  </si>
  <si>
    <t>average Efficiency after tuneup</t>
  </si>
  <si>
    <t>average Efficiency before tuneup</t>
  </si>
  <si>
    <t>Assumed efficiency improvement</t>
  </si>
  <si>
    <t>average efficiency after tuneup</t>
  </si>
  <si>
    <t>Uf</t>
  </si>
  <si>
    <t>average EFLH</t>
  </si>
  <si>
    <t>Total Annual Therms Saved</t>
  </si>
  <si>
    <t>Total Incentives</t>
  </si>
  <si>
    <t>Total Cost</t>
  </si>
  <si>
    <t>Cost per MBtu/hr
(kBtu/hr)</t>
  </si>
  <si>
    <t>Boiler Replacement</t>
  </si>
  <si>
    <t>Program Performance Totals for Measure BPH4 - in PY18</t>
  </si>
  <si>
    <t>Baseline Efficiency</t>
  </si>
  <si>
    <t>BPH4 savings calculations are based on the IL Statewide TRM section 4.4.10 (High Efficiency Boiler)</t>
  </si>
  <si>
    <t>Δtherm = EFLH * Cap * (EFFactual - EFFbase) / EFFbase / 100,000</t>
  </si>
  <si>
    <t>EFFbase</t>
  </si>
  <si>
    <t>Baseline boiler efficiency rating</t>
  </si>
  <si>
    <t>Norminal heating input capacity boiler size for efficient unit</t>
  </si>
  <si>
    <t>EFFactual</t>
  </si>
  <si>
    <t>Efficient boiler efficiency rating</t>
  </si>
  <si>
    <t>AFUE</t>
  </si>
  <si>
    <t>average Efficiency</t>
  </si>
  <si>
    <t>Program Performance Totals for Measure BPH7 - in PY18</t>
  </si>
  <si>
    <t>Therms NTG ratio</t>
  </si>
  <si>
    <t>kWh NTG ratio</t>
  </si>
  <si>
    <t>kW NTG ratio</t>
  </si>
  <si>
    <t>Gross kWh/Project</t>
  </si>
  <si>
    <t>Gross kW/Project</t>
  </si>
  <si>
    <t>average Incremental Cost/project</t>
  </si>
  <si>
    <t>Facility Type</t>
  </si>
  <si>
    <t>Average Gross Therms saved per project by Facility Type</t>
  </si>
  <si>
    <t>Therm NTG components</t>
  </si>
  <si>
    <t>kWh NTG components</t>
  </si>
  <si>
    <t>kW NTG components</t>
  </si>
  <si>
    <t>Furnace Size</t>
  </si>
  <si>
    <t>AFUEbase</t>
  </si>
  <si>
    <t>40 - 140 kBtuh</t>
  </si>
  <si>
    <t>141 - 225 kBtuh</t>
  </si>
  <si>
    <t>elec cooling Hours of Use</t>
  </si>
  <si>
    <t>BPH7 savings calculations are based on the IL Statewide TRM section 4.4.11 (High Efficiency Furnace)</t>
  </si>
  <si>
    <t>Δtherm = EFLH * Cap * (AFUEeff - AFUEbase) / AFUEbase / 100,000</t>
  </si>
  <si>
    <t>ΔkWh = heating savings + cooling savings + shoulder season savings</t>
  </si>
  <si>
    <t>ΔkW = ΔkWh / hours * CF</t>
  </si>
  <si>
    <t>heating savings = 418 kWh</t>
  </si>
  <si>
    <t>cooling savings if air conditioning = 263 kWh</t>
  </si>
  <si>
    <t>cooling savings if no air conditioning = 175 kWh</t>
  </si>
  <si>
    <t>cooling savings if unknown=241 kWh</t>
  </si>
  <si>
    <t>shoulder season savings = 51 kWh</t>
  </si>
  <si>
    <t>Summer peak coincidence factor</t>
  </si>
  <si>
    <t>Baseline furnace annual fuel utilization efficiency rating</t>
  </si>
  <si>
    <t>AFEeff</t>
  </si>
  <si>
    <t>Efficient furnace annual fuel utilization efficiency rating</t>
  </si>
  <si>
    <t>Nominal heating input capacity furnace size</t>
  </si>
  <si>
    <t>Revised Hours of Use for kW Savings Calc (IL TRM v6)</t>
  </si>
  <si>
    <t>Revised CF for kW Savings Calc (IL TRM v6)</t>
  </si>
  <si>
    <t>HOURSyear</t>
  </si>
  <si>
    <t>Green cells indicate a value that is not directly prescribed by the TRM, but a value was chosen using a similar building type in a way that produces conservative savings values (not our mistake, the TRM is incomplete)</t>
  </si>
  <si>
    <t>Incremental cost per unit</t>
  </si>
  <si>
    <r>
      <t xml:space="preserve">Capacity </t>
    </r>
    <r>
      <rPr>
        <sz val="11"/>
        <color theme="1"/>
        <rFont val="Calibri"/>
        <family val="2"/>
        <scheme val="minor"/>
      </rPr>
      <t>(kBtu/hr)</t>
    </r>
  </si>
  <si>
    <t>40 - 140</t>
  </si>
  <si>
    <t>Hotel/Motel – Guest</t>
  </si>
  <si>
    <t>151 - 225</t>
  </si>
  <si>
    <t>Weighted Average EFLH</t>
  </si>
  <si>
    <t>Average AFUE on new unit</t>
  </si>
  <si>
    <t>Average Size (kBtuh)</t>
  </si>
  <si>
    <t>Percentage of projects with Air Conditioning</t>
  </si>
  <si>
    <t>Average AFUE</t>
  </si>
  <si>
    <t>Average Size</t>
  </si>
  <si>
    <t>% With Air Conditioning</t>
  </si>
  <si>
    <t>Baseline AFUE</t>
  </si>
  <si>
    <t>Hours of Use</t>
  </si>
  <si>
    <t>Total Annual kWh Saved</t>
  </si>
  <si>
    <t>Total kW Reduced</t>
  </si>
  <si>
    <t>Average Incremental cost per unit</t>
  </si>
  <si>
    <t>Early Replacement Gas Furnace (94% AFUE)</t>
  </si>
  <si>
    <t>Note that additional savings can be claimed for another 11 years at a reduced rate by changing the assumed baseline to 90% instead of the existing AFUE</t>
  </si>
  <si>
    <t>AFUEexist</t>
  </si>
  <si>
    <t>Full Install Cost per unit</t>
  </si>
  <si>
    <t>Discounted deferred cost</t>
  </si>
  <si>
    <t>Early Replacement: The full installation cost is provided in the table above. The assumed deferred cost (after 5.5 years) of replacing existing equipment with a new baseline unit is assumed to be $2876307. This cost should be discounted to present value using the utilities’ discount rate.</t>
  </si>
  <si>
    <t>Boiler Lockout and Reset Controls</t>
  </si>
  <si>
    <t>Program Performance Totals for Measure BPH9 - in Plan 2018; PY18-21</t>
  </si>
  <si>
    <t>Total kBtuh capacity</t>
  </si>
  <si>
    <t>Gross Therms/kBtuh capacity</t>
  </si>
  <si>
    <t>Average kBtuh capacity</t>
  </si>
  <si>
    <t>Savings Factor</t>
  </si>
  <si>
    <t>ΔTherms = Binput * SF * EFLH /( 100)</t>
  </si>
  <si>
    <t>Heating EFLH</t>
  </si>
  <si>
    <t>Zone 1 (Rockford)</t>
  </si>
  <si>
    <t xml:space="preserve">Zone 2 (Chicago) </t>
  </si>
  <si>
    <t xml:space="preserve">Zone 3 (Springfield) </t>
  </si>
  <si>
    <t>Binput</t>
  </si>
  <si>
    <t>Boiler Input Capacity (kBtu/hr)</t>
  </si>
  <si>
    <t>Savings factor</t>
  </si>
  <si>
    <t>Equivalent Full Load Hours</t>
  </si>
  <si>
    <t>Incremental Cost ($/project)</t>
  </si>
  <si>
    <t>Incentive per kBtuh Capacity</t>
  </si>
  <si>
    <t>This does not account for $600 limit per unit</t>
  </si>
  <si>
    <t>Participation Estimate by Average kBtuh capacity by Building Type</t>
  </si>
  <si>
    <t>Participation Estimate by Average kBtuh capacity by Climate Zone</t>
  </si>
  <si>
    <t>Total kBtuh participating</t>
  </si>
  <si>
    <t>Average capacity per project (kBtuh)</t>
  </si>
  <si>
    <t>Participation Estimate by kBtuh capacity</t>
  </si>
  <si>
    <t>Annual Therms saved</t>
  </si>
  <si>
    <t>All Zones</t>
  </si>
  <si>
    <t>Unitary condensing HVAC Furnace</t>
  </si>
  <si>
    <t>Program Performance Totals for Measure BPH20 - in PY18</t>
  </si>
  <si>
    <t>8760 Hour Annual Operating Scenario for HDD55</t>
  </si>
  <si>
    <t>Supply Air Fan Runtime=8760</t>
  </si>
  <si>
    <t>QOA (Annual BTU/cfm) At Supply Air Temperature Of</t>
  </si>
  <si>
    <r>
      <t>75</t>
    </r>
    <r>
      <rPr>
        <sz val="11"/>
        <color theme="1"/>
        <rFont val="Calibri"/>
        <family val="2"/>
      </rPr>
      <t>°F</t>
    </r>
  </si>
  <si>
    <t>85°F</t>
  </si>
  <si>
    <t>95°F</t>
  </si>
  <si>
    <t>105°F</t>
  </si>
  <si>
    <t>Rockford</t>
  </si>
  <si>
    <t>Chicago</t>
  </si>
  <si>
    <t>BPH7 savings calculations are based on the IL Statewide TRM section 4.4.37 (Unitary HVAC Condensing Furnace)</t>
  </si>
  <si>
    <t>Belleville</t>
  </si>
  <si>
    <t>Marion</t>
  </si>
  <si>
    <t>∆Therms=[QOA*cfm*(1/TENC-1/TEC)]/100000</t>
  </si>
  <si>
    <t>∆kWh=(tfan*cfm*∆P)/(Eff*8520)</t>
  </si>
  <si>
    <t>7300 Hour Annual Operating Scenario for HDD55</t>
  </si>
  <si>
    <t>∆kW=(∆kWh/tfan)*CF</t>
  </si>
  <si>
    <t>Supply Air Fan Runtime=7300</t>
  </si>
  <si>
    <t>QOA</t>
  </si>
  <si>
    <t>annual outside air (OA) heating load per cfm of OA (Btu/cfm)</t>
  </si>
  <si>
    <t>cfm</t>
  </si>
  <si>
    <t>airflow (cfm)</t>
  </si>
  <si>
    <t>TENC</t>
  </si>
  <si>
    <t>non-condensing thermal efficiency (TE)</t>
  </si>
  <si>
    <t>TEC</t>
  </si>
  <si>
    <t>condensing thermal efficiency (TE)</t>
  </si>
  <si>
    <t>tfan</t>
  </si>
  <si>
    <t>annual fan runtime (hr)</t>
  </si>
  <si>
    <t>∆P</t>
  </si>
  <si>
    <t>incremental pressure drop</t>
  </si>
  <si>
    <t>Eff</t>
  </si>
  <si>
    <t>combined fan and motor efficiency</t>
  </si>
  <si>
    <t>5266 Hour Annual Operating Scenario for HDD55</t>
  </si>
  <si>
    <t>coincidence factor</t>
  </si>
  <si>
    <t>Supply Air Fan Runtime=5266</t>
  </si>
  <si>
    <t>3911 Hour Annual Operating Scenario for HDD55</t>
  </si>
  <si>
    <t>Supply Air Fan Runtime=3911</t>
  </si>
  <si>
    <t>Required Efficiency</t>
  </si>
  <si>
    <t>Per 1000Btuh</t>
  </si>
  <si>
    <t>Per kBtuh input</t>
  </si>
  <si>
    <t>All installations assume HDD55 conditions</t>
  </si>
  <si>
    <t>Rated Input (kBtuh)</t>
  </si>
  <si>
    <t>Rated Airflow (CFM)</t>
  </si>
  <si>
    <t>Supply Air Temp</t>
  </si>
  <si>
    <t>Percentage of Participation (by btuh)</t>
  </si>
  <si>
    <t>City</t>
  </si>
  <si>
    <t>Per Unit Values</t>
  </si>
  <si>
    <t>Every combination of input factors</t>
  </si>
  <si>
    <t>Program Totals</t>
  </si>
  <si>
    <t>AOH Percentage of Participation</t>
  </si>
  <si>
    <t>SAT participation percentage</t>
  </si>
  <si>
    <t>CZ Percentage of Participation</t>
  </si>
  <si>
    <t>QOA (Annual BTU/cfm)</t>
  </si>
  <si>
    <t>Weighted QOA (Annual BTU/cfm)</t>
  </si>
  <si>
    <t>Average Therm Savings per Unit</t>
  </si>
  <si>
    <t>Average kWh penalty per unit</t>
  </si>
  <si>
    <t>Average kW penalty per unit</t>
  </si>
  <si>
    <t>Incentive Per Unit</t>
  </si>
  <si>
    <t>Incremental Cost Per Unit</t>
  </si>
  <si>
    <t>Therm Savings</t>
  </si>
  <si>
    <t>kW penalty</t>
  </si>
  <si>
    <t>Overall Program Average QOA</t>
  </si>
  <si>
    <t>Overall Program Average fan runtime</t>
  </si>
  <si>
    <t>Steam Trap Repair Commercial HVAC</t>
  </si>
  <si>
    <t>Program Performance Totals for Measure BPST2 - in Plan 2018; PY18-21</t>
  </si>
  <si>
    <t>BPST1 - Commercial HVAC Steam Trap Survey</t>
  </si>
  <si>
    <t>Combined BPST1 and BPST2 Commercial HVAC Steam Trap Survey and Repair</t>
  </si>
  <si>
    <t>Number of Traps</t>
  </si>
  <si>
    <t>Gross kWh/Trap</t>
  </si>
  <si>
    <t>Gross kW/Trap</t>
  </si>
  <si>
    <t>Gross Therms/Trap</t>
  </si>
  <si>
    <t>System Type</t>
  </si>
  <si>
    <t>Pressure Range</t>
  </si>
  <si>
    <t>Average Gross Therms saved by System Type PER PROJECT</t>
  </si>
  <si>
    <t>Overall Average Therms saved per project</t>
  </si>
  <si>
    <t>Average Replacement Incentive per project</t>
  </si>
  <si>
    <t>Average Survey Incentive per project</t>
  </si>
  <si>
    <t>Average Total Incentive per project</t>
  </si>
  <si>
    <t>Incremental Cost per project</t>
  </si>
  <si>
    <t>Commercial HVAC LPS - Zone 1</t>
  </si>
  <si>
    <t>&lt;15 PSIG (typical)</t>
  </si>
  <si>
    <t>Commercial HVAC LPS - Zone 2</t>
  </si>
  <si>
    <t>Commercial HVAC LPS - Zone 3</t>
  </si>
  <si>
    <t>Commercial HVAC LPS - Zone 4</t>
  </si>
  <si>
    <t>Commercial HVAC LPS - Zone 5</t>
  </si>
  <si>
    <t>Steam System</t>
  </si>
  <si>
    <t>Average Loss - Sa
(lb/hr/trap)</t>
  </si>
  <si>
    <t>Heat of Vaporization - Hv
(btu/lb)</t>
  </si>
  <si>
    <t>Leaking/Blow-through Rate - L (%)*</t>
  </si>
  <si>
    <t>BPST2 savings calculations are based on the IL Statewide TRM section 4.4.16 (Steam Trap Replacement or Repair)</t>
  </si>
  <si>
    <t>Commercial HVAC</t>
  </si>
  <si>
    <t>* This TRM-deemed value is not used because we verify all traps are malfunctioning via survey before claiming savings</t>
  </si>
  <si>
    <t>Δtherm = Sa * (Hv/B) * Hours * L / 100,000</t>
  </si>
  <si>
    <t>Boiler Efficiency - B (%)</t>
  </si>
  <si>
    <t>Sa</t>
  </si>
  <si>
    <t>Average actual steam loss per leaking trap</t>
  </si>
  <si>
    <t>Multifamily low-pressure</t>
  </si>
  <si>
    <t>Hv</t>
  </si>
  <si>
    <t>Heat of vaporization for steam  (TRM deemed by collected steam system)</t>
  </si>
  <si>
    <t>Annual operating hours (TRM deemed by collected heating zone)</t>
  </si>
  <si>
    <t>Hours/Yr</t>
  </si>
  <si>
    <t>Boiler efficiency (deemed for unknown)</t>
  </si>
  <si>
    <t>Leaking and Blow-through rate - verified by AOE survey</t>
  </si>
  <si>
    <t>Incremental Cost ($/Trap)</t>
  </si>
  <si>
    <t>Incentive per Trap Replaced</t>
  </si>
  <si>
    <t>Trap Survey</t>
  </si>
  <si>
    <t>Total number of BPST2 Projects</t>
  </si>
  <si>
    <t>Average Number of Traps per Project</t>
  </si>
  <si>
    <t>Total Annual Projects</t>
  </si>
  <si>
    <t>Total Annual Program Traps</t>
  </si>
  <si>
    <t>Leaking/Blow-through Rate for replaced traps</t>
  </si>
  <si>
    <t>&lt;= 15 PSIG</t>
  </si>
  <si>
    <t>*This rate is verified by conducting a survey in conjuction with the application for incentives (BPST1)</t>
  </si>
  <si>
    <t>Multifamily or Other</t>
  </si>
  <si>
    <t>Participation by percentage</t>
  </si>
  <si>
    <t>System Description</t>
  </si>
  <si>
    <t>Average number of traps replaced per project</t>
  </si>
  <si>
    <t>Total Annual Program Traps Replaced</t>
  </si>
  <si>
    <t>Heat of Vaporization - Hv</t>
  </si>
  <si>
    <t>Annual Hours of Operation</t>
  </si>
  <si>
    <t>Boiler Efficiency - B</t>
  </si>
  <si>
    <t>Leaking/Blow-through rate for surveyed traps (L)</t>
  </si>
  <si>
    <t>Therms saved</t>
  </si>
  <si>
    <t>Surveyed traps (BPST1)</t>
  </si>
  <si>
    <t>Survey incentives (BPST1)</t>
  </si>
  <si>
    <t>Total Incentives (BPST14 and BPST2 combined)</t>
  </si>
  <si>
    <t>Average Therms saved per project</t>
  </si>
  <si>
    <t>Program averages per project</t>
  </si>
  <si>
    <t>Participation by percentage of traps</t>
  </si>
  <si>
    <t>Boiler Efficiency - B
(%)</t>
  </si>
  <si>
    <t>Weighted Average Boiler Efficiency</t>
  </si>
  <si>
    <t>Steam Trap Repair Industrial Process</t>
  </si>
  <si>
    <t>Program Performance Totals for Measure BPST5 - in Plan 2018; PY18-21</t>
  </si>
  <si>
    <t>BPST5 Industrial Steam Trap Repair/Replace</t>
  </si>
  <si>
    <t>BPST4 - Industrial Steam Trap Survey</t>
  </si>
  <si>
    <t>Combined BPST4 and BPST5 Industrial Steam Trap Survey and Repair</t>
  </si>
  <si>
    <t>Average Therm savings per project</t>
  </si>
  <si>
    <t>Average Incentive per project</t>
  </si>
  <si>
    <t>Because the participation distribution comes from historical program years referencing the total number of traps overall, there is no more-accurate breakdown of the number of traps per project depending on the system type. This is the only meaningful way to present project-level savings using the data we have here.</t>
  </si>
  <si>
    <t>BPST5 savings calculations are based on the IL Statewide TRM section 4.4.16 (Steam Trap Replacement or Repair)</t>
  </si>
  <si>
    <t>Commercial Dry Cleaners</t>
  </si>
  <si>
    <t>Industrial or Process Low Pressure</t>
  </si>
  <si>
    <t>Medium Pressure</t>
  </si>
  <si>
    <t>&gt;15 PSIG, &lt;30PSIG</t>
  </si>
  <si>
    <t>&gt;=30PSIG, &lt;75PSIG</t>
  </si>
  <si>
    <t>High Pressure</t>
  </si>
  <si>
    <t>&gt;=75PSIG, &lt;125PSIG</t>
  </si>
  <si>
    <t>&gt;=125PSIG, &lt;175PSIG</t>
  </si>
  <si>
    <t>&gt;=175PSIG, &lt;250PSIG</t>
  </si>
  <si>
    <t>&gt;=250PSIG, &lt;=300PSIG</t>
  </si>
  <si>
    <t>&gt;300 PSIG systems will be custom</t>
  </si>
  <si>
    <t>Incremental Cost/trap</t>
  </si>
  <si>
    <t>&lt;15 PSIG</t>
  </si>
  <si>
    <t>Leaking and Blow-through rate (L)</t>
  </si>
  <si>
    <t>Trap Survey (BPST4)</t>
  </si>
  <si>
    <t>&gt;15 PSIG</t>
  </si>
  <si>
    <t>All participation breakdown estimates are generated using historical program data</t>
  </si>
  <si>
    <t>Total number of BPST5 Projects</t>
  </si>
  <si>
    <t>Participation distribution for average project</t>
  </si>
  <si>
    <t>*This rate is verified by conducting a survey in conjuction with the application for incentives (BPST4)</t>
  </si>
  <si>
    <t>Incentive per trap surveyed</t>
  </si>
  <si>
    <t>Replacement Incentives</t>
  </si>
  <si>
    <t>Surveyed traps (BPST4)</t>
  </si>
  <si>
    <t>Survey incentives (BPST4)</t>
  </si>
  <si>
    <t>Total Incentives (BPST4 and BPST5 combined)</t>
  </si>
  <si>
    <t>Real-Time Steam Trap Monitoring</t>
  </si>
  <si>
    <t>Program Performance Totals for Measure BPST6 - in Plan 2018; PY18-21</t>
  </si>
  <si>
    <t>For this measure, there are a number of considerations that make tabulating performance totals unique from other measures. The performace totals to the left use only the costs and savings that occur in the first year, but that will result in a conservative TRC estimate for the measure compared to it's actual performance.</t>
  </si>
  <si>
    <t xml:space="preserve">The TRM-defined leaking and blow-through rate is used to determine how many traps are expected to be replaced immediately.  There are additional savings in future years because the monitoring continues to identify failed traps (at the leaking and blow-through rate annually) without needing additional monitoring incentive. Thus, savings in future years actually increase even though incentives decrease. To properly calculate a TRC, a full accounting of lifetime costs and savings should be attempted. The values on the right are meant to reflect annual average performance totals over the lifetime of the measure. </t>
  </si>
  <si>
    <t>The "lifetime" of the measure can also be confusing. The savings persist over 6 years (per the TRM for replaced traps), but monitoring systems are expected to last for 10 years identifying additional savings in future years. Total savings in a given year are newly identified plus the persisting savings from earlier years. Average values over the 15 year measure lifetime is shown on the right, but it's important to remember that savings, incentives, and costs are not the same in all years. Savings are shown for each year in the full calculations below.</t>
  </si>
  <si>
    <t>BPST6 - First Year Performance Totals</t>
  </si>
  <si>
    <t>BPST6 - Average Lifetime Annual Performance Totals</t>
  </si>
  <si>
    <t>Number of Traps Monitored</t>
  </si>
  <si>
    <t>Number of Traps Replaced</t>
  </si>
  <si>
    <t>Gross Therms/Trap Monitored</t>
  </si>
  <si>
    <t>BPST6 savings calculations are based on the IL Statewide TRM section 4.4.16 (Steam Trap Replacement or Repair) with added program assumptions that will be tested in a pilot program</t>
  </si>
  <si>
    <t>there are no direct savings associated with the monitoring. The measure is a two step process where an incentive is granted for installing the monitoring equipment and then an additional incentive when a failed trap is replaced (and savings are achieved)</t>
  </si>
  <si>
    <t>Cost/trap</t>
  </si>
  <si>
    <t>Incentive per Trap Monitored</t>
  </si>
  <si>
    <t>Incremental Cost Per Trap Monitored</t>
  </si>
  <si>
    <t xml:space="preserve">This is 3 times our existing survey measure incentive. Over the life of the monitoring equipment (10 years), a conventional survey would have been recommended 3 times. Thus 3 times the incentive. </t>
  </si>
  <si>
    <t>All participation breakdown estimates are generated based on historical program data for measure BPST5. By measure design, we only allow traps &gt;= 30PSIG</t>
  </si>
  <si>
    <t>Total number of BPST6 Projects</t>
  </si>
  <si>
    <t>Average number of traps monitored per project</t>
  </si>
  <si>
    <t>Lifetime of Monitoring System</t>
  </si>
  <si>
    <t>Average number of traps Monitored per project</t>
  </si>
  <si>
    <t>Total Annual Program Traps Monitored</t>
  </si>
  <si>
    <t>Incentives and Costs</t>
  </si>
  <si>
    <t>Incentive per trap Monitored</t>
  </si>
  <si>
    <t>Incremental Cost per Trap Replaced</t>
  </si>
  <si>
    <t>Incremental Cost per trap Monitored</t>
  </si>
  <si>
    <t>Monitoring Incentives</t>
  </si>
  <si>
    <t>Replacement Incremental Costs</t>
  </si>
  <si>
    <t>Monitoring Incremental Costs</t>
  </si>
  <si>
    <t>Percentage of First-Year Savings Achieved in each year of the measure lifetime</t>
  </si>
  <si>
    <t>First-year values</t>
  </si>
  <si>
    <t>Lifetime of Savings</t>
  </si>
  <si>
    <t>Year of replacement</t>
  </si>
  <si>
    <t>Lifetime of Monitoring</t>
  </si>
  <si>
    <t>Program total first-year Therm savings</t>
  </si>
  <si>
    <t>Program total first year replacement incentives</t>
  </si>
  <si>
    <t>Program total first-year Monitoring Incentives</t>
  </si>
  <si>
    <t>Program total first year replacement incremental costs</t>
  </si>
  <si>
    <t>Program total first-year Monitoring Incremental Costs</t>
  </si>
  <si>
    <t>Average Annual Lifetime values</t>
  </si>
  <si>
    <t>Average Annual Therm savings</t>
  </si>
  <si>
    <t>Average Annual Incentives</t>
  </si>
  <si>
    <t>Average Annual Incremental Cost</t>
  </si>
  <si>
    <t>Percentage of First-Year Replacement incentives and Incremental Cost</t>
  </si>
  <si>
    <t>Percentage of First-Year Monitoring incentives and incremental cost</t>
  </si>
  <si>
    <t>Modulating Commercial Gas Clothes Dryer</t>
  </si>
  <si>
    <t>Program Performance Totals for Measure BPM10 - in Plan 2018; PY18-21</t>
  </si>
  <si>
    <t>Application</t>
  </si>
  <si>
    <t>Cycles per year</t>
  </si>
  <si>
    <t>BPM10 savings calculations are based on the IL Statewide TRM section 4.8.4 (Modulating Commercial Gas Clothes Dryer)</t>
  </si>
  <si>
    <t>Coin-Op Laundry</t>
  </si>
  <si>
    <t>ΔTherms = NCycles * SF</t>
  </si>
  <si>
    <t>On-Premise Laundry</t>
  </si>
  <si>
    <t>SF (Therms/Cycle)</t>
  </si>
  <si>
    <t>Ncycles</t>
  </si>
  <si>
    <t xml:space="preserve">Number of dryer cycles per year. </t>
  </si>
  <si>
    <t>Incremental Cost Per Dryer</t>
  </si>
  <si>
    <t>Incentive per Dryer</t>
  </si>
  <si>
    <t>Annual Incremental Cost</t>
  </si>
  <si>
    <t>Program Performance Totals for Measure BPWH4 - in Plan 2018; PY18-21</t>
  </si>
  <si>
    <t>BPWH4 savings calculations are based on the IL Statewide TRM section 4.3.1 (Storage Water Heater)</t>
  </si>
  <si>
    <t>Gas Storage Water Heaters &gt;75,000 Btu/h can claim additional savings due to lower standby losses.</t>
  </si>
  <si>
    <t>therms_standby = ((SL_gasbase - SL_eff) * 8766) / 100000</t>
  </si>
  <si>
    <t>50 gal Average Non Residential</t>
  </si>
  <si>
    <t>100 gal Average Non Residential</t>
  </si>
  <si>
    <t>Water Heater Type</t>
  </si>
  <si>
    <t>Consumption/cap</t>
  </si>
  <si>
    <t>SL_base</t>
  </si>
  <si>
    <t>Values prescribed by TRM, but depend upon participation assumptions below</t>
  </si>
  <si>
    <t>Tout</t>
  </si>
  <si>
    <t>Specific Weight of water</t>
  </si>
  <si>
    <t>Specific Heat of Water</t>
  </si>
  <si>
    <t>Consumption per gal capacity</t>
  </si>
  <si>
    <t>Convenience</t>
  </si>
  <si>
    <t>Education</t>
  </si>
  <si>
    <t>Large Retail</t>
  </si>
  <si>
    <t>Lodging</t>
  </si>
  <si>
    <t>Other Commercial</t>
  </si>
  <si>
    <t>Small Retail</t>
  </si>
  <si>
    <t>Nursing</t>
  </si>
  <si>
    <t>Multi-Family</t>
  </si>
  <si>
    <t>Average non-Residential</t>
  </si>
  <si>
    <t>Incentive per unit</t>
  </si>
  <si>
    <t>Average Units per Project</t>
  </si>
  <si>
    <t>Capacity (Gal)</t>
  </si>
  <si>
    <t>Gas Input Rating (Btu/h)</t>
  </si>
  <si>
    <t>SL_eff</t>
  </si>
  <si>
    <t>Savings Calculations</t>
  </si>
  <si>
    <t>Consumption savings per unit</t>
  </si>
  <si>
    <t>Standby Loss Savings per unit</t>
  </si>
  <si>
    <t>Total Therms/Unit</t>
  </si>
  <si>
    <t>AHRIReferenceNumber</t>
  </si>
  <si>
    <t>OEMName</t>
  </si>
  <si>
    <t>OEMTradeName</t>
  </si>
  <si>
    <t>ModelStatus</t>
  </si>
  <si>
    <t>ModelNumber</t>
  </si>
  <si>
    <t>EnergySource</t>
  </si>
  <si>
    <t>HeaterType</t>
  </si>
  <si>
    <t>Rated_Volume</t>
  </si>
  <si>
    <t>Input_Rate</t>
  </si>
  <si>
    <t>Thermal_Efficiency</t>
  </si>
  <si>
    <t>Measured_Vol</t>
  </si>
  <si>
    <t>standbyloss</t>
  </si>
  <si>
    <t>SupplyBoiler</t>
  </si>
  <si>
    <t>7057370</t>
  </si>
  <si>
    <t>A.O. SMITH WATER PRODUCTS CO.</t>
  </si>
  <si>
    <t>A.O. SMITH</t>
  </si>
  <si>
    <t>Active</t>
  </si>
  <si>
    <t xml:space="preserve">BTX 100 *                                         </t>
  </si>
  <si>
    <t>Storage</t>
  </si>
  <si>
    <t>50.0</t>
  </si>
  <si>
    <t>49.8</t>
  </si>
  <si>
    <t>7056802</t>
  </si>
  <si>
    <t xml:space="preserve">BTX 80*                                           </t>
  </si>
  <si>
    <t>48.0</t>
  </si>
  <si>
    <t>7151505</t>
  </si>
  <si>
    <t>GDHE 50 *</t>
  </si>
  <si>
    <t>7057527</t>
  </si>
  <si>
    <t xml:space="preserve">A.O. SMITH WATER PRODUCTS CO.                     </t>
  </si>
  <si>
    <t xml:space="preserve">GPHE 50*                                          </t>
  </si>
  <si>
    <t>7056951</t>
  </si>
  <si>
    <t>AMERICAN WATER HEATER COMPANY</t>
  </si>
  <si>
    <t>POLARIS</t>
  </si>
  <si>
    <t xml:space="preserve">PG10 50-130-2NV                                   </t>
  </si>
  <si>
    <t>47.9</t>
  </si>
  <si>
    <t>7056953</t>
  </si>
  <si>
    <t xml:space="preserve">AMERICAN WATER HEATER COMPANY                     </t>
  </si>
  <si>
    <t xml:space="preserve">PG10 50-150-2NV                                   </t>
  </si>
  <si>
    <t>7056955</t>
  </si>
  <si>
    <t xml:space="preserve">PG10 50-175-3NV                                   </t>
  </si>
  <si>
    <t>48.2</t>
  </si>
  <si>
    <t>7056948</t>
  </si>
  <si>
    <t xml:space="preserve">PG10 50-199-3NV                                   </t>
  </si>
  <si>
    <t>7057689</t>
  </si>
  <si>
    <t xml:space="preserve">PGC3 50-130-2NV                                   </t>
  </si>
  <si>
    <t>7057691</t>
  </si>
  <si>
    <t xml:space="preserve">PGC3 50-150-2NV                                   </t>
  </si>
  <si>
    <t>7057693</t>
  </si>
  <si>
    <t xml:space="preserve">PGC3 50-175-3NV                                   </t>
  </si>
  <si>
    <t>7057687</t>
  </si>
  <si>
    <t xml:space="preserve">PGC3 50-199-3NV                                   </t>
  </si>
  <si>
    <t>7058103</t>
  </si>
  <si>
    <t>AMERICAN</t>
  </si>
  <si>
    <t xml:space="preserve">VG6250T100NV                                      </t>
  </si>
  <si>
    <t>7057918</t>
  </si>
  <si>
    <t xml:space="preserve">VG6250T76NV*                                      </t>
  </si>
  <si>
    <t>9035991</t>
  </si>
  <si>
    <t>BRADFORD WHITE CORP.</t>
  </si>
  <si>
    <t>BRADFORD WHITE</t>
  </si>
  <si>
    <t>LC2PV50H76*N</t>
  </si>
  <si>
    <t>47.5</t>
  </si>
  <si>
    <t>8319401</t>
  </si>
  <si>
    <t>BRADFORD WHITE,JETGLAS</t>
  </si>
  <si>
    <t>RC2PV50H*N</t>
  </si>
  <si>
    <t>7091363</t>
  </si>
  <si>
    <t>GSW WATER HEATERS</t>
  </si>
  <si>
    <t>6G50100NPDVH*</t>
  </si>
  <si>
    <t>8107579</t>
  </si>
  <si>
    <t>6G5076 NVC*</t>
  </si>
  <si>
    <t>7057926</t>
  </si>
  <si>
    <t xml:space="preserve">RELIANCE WATER HEATER COMPANY                     </t>
  </si>
  <si>
    <t>RELIANCE</t>
  </si>
  <si>
    <t xml:space="preserve">6 50 YTPDT                                        </t>
  </si>
  <si>
    <t>7057427</t>
  </si>
  <si>
    <t xml:space="preserve">650YTVIT                                          </t>
  </si>
  <si>
    <t>7058105</t>
  </si>
  <si>
    <t xml:space="preserve">HE 50 100 NE                                      </t>
  </si>
  <si>
    <t>7057426</t>
  </si>
  <si>
    <t xml:space="preserve">HE 50 76 NE*                                      </t>
  </si>
  <si>
    <t>7057928</t>
  </si>
  <si>
    <t xml:space="preserve">STATE WATER HEATERS                               </t>
  </si>
  <si>
    <t>STATE</t>
  </si>
  <si>
    <t xml:space="preserve">GP6 50 YTPDT                                      </t>
  </si>
  <si>
    <t>7057526</t>
  </si>
  <si>
    <t xml:space="preserve">GP6 50 YTVIT*                                     </t>
  </si>
  <si>
    <t>7057939</t>
  </si>
  <si>
    <t xml:space="preserve">SHE 50 100NE                                      </t>
  </si>
  <si>
    <t>AIC Measure Code</t>
  </si>
  <si>
    <t>Electric NTG Source</t>
  </si>
  <si>
    <t>Gas NTG Source</t>
  </si>
  <si>
    <t>Adjusted Labor Cost Electric</t>
  </si>
  <si>
    <t>Adjusted Labor Cost Gas</t>
  </si>
  <si>
    <t>PY18 $ by Electric Rate Code</t>
  </si>
  <si>
    <t>PY18 $ by Gas Rate Code</t>
  </si>
  <si>
    <t>Annual Water Savings (gal)</t>
  </si>
  <si>
    <t>Savings adjustments</t>
  </si>
  <si>
    <t>Year</t>
  </si>
  <si>
    <t>New gross therms</t>
  </si>
  <si>
    <t>Needs Mid-Life adj.</t>
  </si>
  <si>
    <t>% savings electric</t>
  </si>
  <si>
    <t>% savings gas</t>
  </si>
  <si>
    <t>O&amp;M needed</t>
  </si>
  <si>
    <t>O&amp;M tab</t>
  </si>
  <si>
    <t>O&amp;M cost (non-lighting)</t>
  </si>
  <si>
    <t>O&amp;M Annual Cost</t>
  </si>
  <si>
    <t>Mid-Life Adjustment Percentage Electric</t>
  </si>
  <si>
    <t>PY18 Savings by Electric Rate Code</t>
  </si>
  <si>
    <t>PY18 Savings by Gas Rate Code</t>
  </si>
  <si>
    <t>Public Building Measure</t>
  </si>
  <si>
    <t>Midstream Lighting = 1</t>
  </si>
  <si>
    <t>Total Incentive per Participant</t>
  </si>
  <si>
    <t>NPV Electric (vs Gas) Ratio</t>
  </si>
  <si>
    <t>New Electric Incentive</t>
  </si>
  <si>
    <t>old Electric Incentive</t>
  </si>
  <si>
    <t>Check All</t>
  </si>
  <si>
    <t>Check Savings</t>
  </si>
  <si>
    <t>PY18</t>
  </si>
  <si>
    <t>PY19</t>
  </si>
  <si>
    <t>PY20</t>
  </si>
  <si>
    <t>PY21</t>
  </si>
  <si>
    <t>DS2</t>
  </si>
  <si>
    <t>DS3</t>
  </si>
  <si>
    <t>DS4</t>
  </si>
  <si>
    <t>GS2</t>
  </si>
  <si>
    <t>GS3</t>
  </si>
  <si>
    <t>GS4</t>
  </si>
  <si>
    <t>PY19
(T12)</t>
  </si>
  <si>
    <t>PY21+ 
(EISA 2020)</t>
  </si>
  <si>
    <t>Midstream</t>
  </si>
  <si>
    <t>BPL91</t>
  </si>
  <si>
    <t xml:space="preserve">BPL40  </t>
  </si>
  <si>
    <t xml:space="preserve">BPL60  </t>
  </si>
  <si>
    <t xml:space="preserve">BPL41 </t>
  </si>
  <si>
    <t xml:space="preserve">BPL42 </t>
  </si>
  <si>
    <t xml:space="preserve">BPL44 </t>
  </si>
  <si>
    <t xml:space="preserve">BPL66 </t>
  </si>
  <si>
    <t>BPL62</t>
  </si>
  <si>
    <t xml:space="preserve">BPL43 </t>
  </si>
  <si>
    <t xml:space="preserve">BPL64  </t>
  </si>
  <si>
    <t>BPL72</t>
  </si>
  <si>
    <t>BPL73</t>
  </si>
  <si>
    <t>BPL74</t>
  </si>
  <si>
    <t xml:space="preserve">BPL79 </t>
  </si>
  <si>
    <t>LED lamp</t>
  </si>
  <si>
    <t>BPL81</t>
  </si>
  <si>
    <t>Midstream LEDs</t>
  </si>
  <si>
    <t>LED recessed down fixture</t>
  </si>
  <si>
    <t>BPL84</t>
  </si>
  <si>
    <t>BPL72B</t>
  </si>
  <si>
    <t xml:space="preserve">Exterior Lighting  </t>
  </si>
  <si>
    <t>BPL50 and Online Store</t>
  </si>
  <si>
    <t>Permanent Fixture/Lamp Removal</t>
  </si>
  <si>
    <t xml:space="preserve">BPL68 </t>
  </si>
  <si>
    <t>Glass Door LED Cooler/Freezer Lighting</t>
  </si>
  <si>
    <t>BPL93</t>
  </si>
  <si>
    <t>BPL94</t>
  </si>
  <si>
    <t>BPL78</t>
  </si>
  <si>
    <t xml:space="preserve">BPL82 </t>
  </si>
  <si>
    <t>Interior LED Lamps and Fixtures</t>
  </si>
  <si>
    <t>BPL67</t>
  </si>
  <si>
    <t>BPC21</t>
  </si>
  <si>
    <t>BPC2</t>
  </si>
  <si>
    <t>BPC4</t>
  </si>
  <si>
    <t>BPC6</t>
  </si>
  <si>
    <t>BPC8</t>
  </si>
  <si>
    <t>BPC12</t>
  </si>
  <si>
    <t>BPC25</t>
  </si>
  <si>
    <t>BPC26</t>
  </si>
  <si>
    <t>BPC27</t>
  </si>
  <si>
    <t>BPC20</t>
  </si>
  <si>
    <t>BPWH1</t>
  </si>
  <si>
    <t>BPWH2</t>
  </si>
  <si>
    <t>BPC30</t>
  </si>
  <si>
    <t>BPR9</t>
  </si>
  <si>
    <t>Specialty</t>
  </si>
  <si>
    <t>BPR10</t>
  </si>
  <si>
    <t>BPR7</t>
  </si>
  <si>
    <t>BPR13</t>
  </si>
  <si>
    <t>BPR1</t>
  </si>
  <si>
    <t>BPR31</t>
  </si>
  <si>
    <t>BPR32</t>
  </si>
  <si>
    <t>BPR33</t>
  </si>
  <si>
    <t>BPR34</t>
  </si>
  <si>
    <t>BPR6</t>
  </si>
  <si>
    <t>BPR27</t>
  </si>
  <si>
    <t>BPR28</t>
  </si>
  <si>
    <t>BPR29</t>
  </si>
  <si>
    <t>BPR30</t>
  </si>
  <si>
    <t>BPR4</t>
  </si>
  <si>
    <t>BPR19</t>
  </si>
  <si>
    <t>BPR5</t>
  </si>
  <si>
    <t>BPR18</t>
  </si>
  <si>
    <t>BPA1</t>
  </si>
  <si>
    <t>BPA2</t>
  </si>
  <si>
    <t>BPA3</t>
  </si>
  <si>
    <t>BPA4</t>
  </si>
  <si>
    <t>BPA5</t>
  </si>
  <si>
    <t>BPA6</t>
  </si>
  <si>
    <t>BPA7</t>
  </si>
  <si>
    <t>BPA8</t>
  </si>
  <si>
    <t>BPA9</t>
  </si>
  <si>
    <t>BPA10</t>
  </si>
  <si>
    <t>BPLD1</t>
  </si>
  <si>
    <t>BPLD2</t>
  </si>
  <si>
    <t>BPC31</t>
  </si>
  <si>
    <t>HVAC/Motor Midstream Pilot</t>
  </si>
  <si>
    <t>BPCK1</t>
  </si>
  <si>
    <t>BPCK2</t>
  </si>
  <si>
    <t>BPCK3</t>
  </si>
  <si>
    <t>BPCK4</t>
  </si>
  <si>
    <t>BPCK5</t>
  </si>
  <si>
    <t>BPCK6</t>
  </si>
  <si>
    <t>BPCK7</t>
  </si>
  <si>
    <t>BPCK8</t>
  </si>
  <si>
    <t>BPCK13</t>
  </si>
  <si>
    <t>BPR11</t>
  </si>
  <si>
    <t>BPM1</t>
  </si>
  <si>
    <t>Pilot with Residential?</t>
  </si>
  <si>
    <t>GN</t>
  </si>
  <si>
    <t>BPH8</t>
  </si>
  <si>
    <t>Savings reduced</t>
  </si>
  <si>
    <t>5.5 years out</t>
  </si>
  <si>
    <t>BPH9</t>
  </si>
  <si>
    <t>LS&amp;R</t>
  </si>
  <si>
    <t>BPCK21</t>
  </si>
  <si>
    <t>BPCK23</t>
  </si>
  <si>
    <t>Linear Tube LED (Midstream)</t>
  </si>
  <si>
    <t>T5 Linear LED Lamp Retrofit (Midstream)</t>
  </si>
  <si>
    <t>BPST6</t>
  </si>
  <si>
    <t>Steam Trap</t>
  </si>
  <si>
    <t>BPAR1</t>
  </si>
  <si>
    <t>BPAR1 (LFR)</t>
  </si>
  <si>
    <t>Advanced Thermostats</t>
  </si>
  <si>
    <t>BPH20</t>
  </si>
  <si>
    <t>BPM10</t>
  </si>
  <si>
    <t>OS</t>
  </si>
  <si>
    <t>Online store</t>
  </si>
  <si>
    <t>BPH1</t>
  </si>
  <si>
    <t>BPH3</t>
  </si>
  <si>
    <t>BPH4</t>
  </si>
  <si>
    <t>BPH6</t>
  </si>
  <si>
    <t>BPH7</t>
  </si>
  <si>
    <t>BPWH3</t>
  </si>
  <si>
    <t>BPWH4</t>
  </si>
  <si>
    <t>BPWH5</t>
  </si>
  <si>
    <t>BPCK9</t>
  </si>
  <si>
    <t>BPCK10</t>
  </si>
  <si>
    <t>BPCK11</t>
  </si>
  <si>
    <t>BPCK12</t>
  </si>
  <si>
    <t>BPST1</t>
  </si>
  <si>
    <t>BPST2</t>
  </si>
  <si>
    <t>BPST4</t>
  </si>
  <si>
    <t>BPST5</t>
  </si>
  <si>
    <t>Custom Electric (Includes New Const.) - Public Bldg</t>
  </si>
  <si>
    <t>Custom Gas (Includes New Const.) - Public Bldg</t>
  </si>
  <si>
    <t>C&amp;I Retro-commissioning</t>
  </si>
  <si>
    <t>RCx</t>
  </si>
  <si>
    <t>Retro-commissioning Electric (includes LF, CA, IR, GS) - Public Bldg</t>
  </si>
  <si>
    <t>Retro-commissioning Gas (includes LF, GS) - Public Bldg</t>
  </si>
  <si>
    <t>C&amp;I CHP</t>
  </si>
  <si>
    <t>Included with C&amp;I Custom</t>
  </si>
  <si>
    <t>Ameren-owned ER Street Lighting</t>
  </si>
  <si>
    <t>Exterior Street Lighting</t>
  </si>
  <si>
    <t>Public</t>
  </si>
  <si>
    <t>Included in Above</t>
  </si>
  <si>
    <t>Metering &amp; Monitoring</t>
  </si>
  <si>
    <t>Feasibility Study</t>
  </si>
  <si>
    <t>Staffing Grant</t>
  </si>
  <si>
    <t>SEM</t>
  </si>
  <si>
    <t>Additional Standard Program Measures</t>
  </si>
  <si>
    <t>Linear Tube 2' LED (Midstream)</t>
  </si>
  <si>
    <t>C&amp;I Standard Small Business</t>
  </si>
  <si>
    <t>SBDI</t>
  </si>
  <si>
    <t>Linear Tube LED</t>
  </si>
  <si>
    <t>T5 Linear LED Lamp Retrofit</t>
  </si>
  <si>
    <t>C&amp;I Standard Public</t>
  </si>
  <si>
    <t>Municipal-owned Street Lighting</t>
  </si>
  <si>
    <t xml:space="preserve">  </t>
  </si>
  <si>
    <t>Program Performance Totals for Measure BPWH5 - in Plan 2018; PY18-21</t>
  </si>
  <si>
    <t>Business_Standard</t>
  </si>
  <si>
    <t>Business_Standard-Small Business</t>
  </si>
  <si>
    <t>Business_Standard-Public Buildings</t>
  </si>
  <si>
    <t>Business_Standard-Public Streetlights</t>
  </si>
  <si>
    <t>Business_Custom</t>
  </si>
  <si>
    <t>Business_Custom-Public</t>
  </si>
  <si>
    <t>Business_Retro-commissioning</t>
  </si>
  <si>
    <t>Business_Retro-commissioning-Public</t>
  </si>
  <si>
    <t>Business_Ameren Owned ER Streetlights</t>
  </si>
  <si>
    <t>Ret. Gross kWh/Unit</t>
  </si>
  <si>
    <t>Ret. Gross kW/Unit</t>
  </si>
  <si>
    <t>Ret Gross Therms/Unit</t>
  </si>
  <si>
    <t>Short Name</t>
  </si>
  <si>
    <t>Midstream CFLs</t>
  </si>
  <si>
    <t>Core Program Non-Lighting</t>
  </si>
  <si>
    <t>See combined non-lighting NTGRs from PY7 Evaluation</t>
  </si>
  <si>
    <t>Public Programs</t>
  </si>
  <si>
    <t>Name</t>
  </si>
  <si>
    <t>Programmable Thermostats</t>
  </si>
  <si>
    <t>Air Source Heat Pump</t>
  </si>
  <si>
    <t>Central Air Conditioning &gt; 14.5 SEER</t>
  </si>
  <si>
    <t>LED Screw Based Omnidirectional Bulbs</t>
  </si>
  <si>
    <t>LED Specialty Lamps</t>
  </si>
  <si>
    <t>Low Flow Showerheads</t>
  </si>
  <si>
    <t>Low Flow Faucet Aerators</t>
  </si>
  <si>
    <t>Tier 2 Advanced Power Strips (APS) – Residential Audio Visual</t>
  </si>
  <si>
    <t>Consumer Electronics</t>
  </si>
  <si>
    <t>Domestic Hot Water Pipe Insulation</t>
  </si>
  <si>
    <t>Water Heater Temperature Setback</t>
  </si>
  <si>
    <t>Advanced Power Strip – Tier 1</t>
  </si>
  <si>
    <t>Shell</t>
  </si>
  <si>
    <t>Gas High Efficiency Boiler</t>
  </si>
  <si>
    <t>Duct Insulation and Sealing</t>
  </si>
  <si>
    <t>5.3.15</t>
  </si>
  <si>
    <t>Appliances</t>
  </si>
  <si>
    <t>ENERGY STAR Air Purifier/Cleaner</t>
  </si>
  <si>
    <t>ENERGY STAR and ENERGY STAR Most Efficient Clothes Washers</t>
  </si>
  <si>
    <t>ENERGY STAR Clothes Dryer</t>
  </si>
  <si>
    <t>ENERGY STAR and CEE Tier 2 Refrigerator</t>
  </si>
  <si>
    <t>ENERGY STAR Freezer</t>
  </si>
  <si>
    <t>5.1.11</t>
  </si>
  <si>
    <t>RS-APL-WTCL-V01-180101</t>
  </si>
  <si>
    <t>High Efficiency Pool Pumps</t>
  </si>
  <si>
    <t>Miscellaneous</t>
  </si>
  <si>
    <t>High Efficiency Bathroom Exhaust Fan</t>
  </si>
  <si>
    <t>6.1.1</t>
  </si>
  <si>
    <t>CC-BEH-BEHP-V02-160601</t>
  </si>
  <si>
    <t>Adjustments to Behavior Savings to Account for Persistence</t>
  </si>
  <si>
    <t>Cross Cutting</t>
  </si>
  <si>
    <t>Refrigerator and Freezer Recycling</t>
  </si>
  <si>
    <t>4.5.3</t>
  </si>
  <si>
    <t>CI-LTG-T8FX-V06-160601</t>
  </si>
  <si>
    <t>High Performance and Reduced Wattage T8 Fixtures and Lamps</t>
  </si>
  <si>
    <t>4.4.1</t>
  </si>
  <si>
    <t>CI-HVC-ACTU-V04-180101</t>
  </si>
  <si>
    <t>Air Conditioner Tune-up</t>
  </si>
  <si>
    <t>4.4.6</t>
  </si>
  <si>
    <t>CI-HVC-CHIL-V05-180101</t>
  </si>
  <si>
    <t>Electric Chiller</t>
  </si>
  <si>
    <t>4.6.3</t>
  </si>
  <si>
    <t>CI-RFG-DHCT-V01-120601</t>
  </si>
  <si>
    <t>Door Heater Controls for Cooler or Freezer</t>
  </si>
  <si>
    <t>4.6.1</t>
  </si>
  <si>
    <t>CI-RFG-ATDC-V01-120601</t>
  </si>
  <si>
    <t>Automatic Door Closer for Walk-In Coolers and Freezers</t>
  </si>
  <si>
    <t>4.8.9</t>
  </si>
  <si>
    <t>CI-MSC-BACH-V01-180101</t>
  </si>
  <si>
    <t>High Frequency Battery Chargers</t>
  </si>
  <si>
    <t>4.6.2</t>
  </si>
  <si>
    <t>CI-RFG-BEVM-V02-150601</t>
  </si>
  <si>
    <t>Beverage and Snack Machine Controls</t>
  </si>
  <si>
    <t>4.4.4</t>
  </si>
  <si>
    <t>CI-HVC-BLRC-V03-150601</t>
  </si>
  <si>
    <t>4.2.1</t>
  </si>
  <si>
    <t>CI-FSE-CBOV-V02-160601</t>
  </si>
  <si>
    <t>Combination Oven</t>
  </si>
  <si>
    <t>Food Service Equipment</t>
  </si>
  <si>
    <t>4.3.4</t>
  </si>
  <si>
    <t>CI-HWE-PLCV-V01-130601</t>
  </si>
  <si>
    <t>Commercial Pool Covers</t>
  </si>
  <si>
    <t>Compressed Air</t>
  </si>
  <si>
    <t>4.8.3</t>
  </si>
  <si>
    <t>CI-MSC-CPMS-V01-150601</t>
  </si>
  <si>
    <t>4.4.5</t>
  </si>
  <si>
    <t>CI-HVC-CUHT-V01-120601</t>
  </si>
  <si>
    <t>Condensing Unit Heaters</t>
  </si>
  <si>
    <t>4.3.7</t>
  </si>
  <si>
    <t>CI-HWE-MDHW-V02-160601</t>
  </si>
  <si>
    <t>4.7.5</t>
  </si>
  <si>
    <t>CI-CPA-CADR-V01-160601</t>
  </si>
  <si>
    <t>Efficient Refrigerated Compressed Air Dryer</t>
  </si>
  <si>
    <t>4.4.19</t>
  </si>
  <si>
    <t>CI-HVC-DCV-V04-180101</t>
  </si>
  <si>
    <t>Demand Controlled Ventilation</t>
  </si>
  <si>
    <t>4.4.34</t>
  </si>
  <si>
    <t>CI-HVC-DSFN-V02-180101</t>
  </si>
  <si>
    <t>Destratification Fan</t>
  </si>
  <si>
    <t>4.2.6</t>
  </si>
  <si>
    <t>CI-FSE-ESDW-V03-180101</t>
  </si>
  <si>
    <t>4.4.9</t>
  </si>
  <si>
    <t>CI-HVC-HPSY-V05-180101</t>
  </si>
  <si>
    <t>Heat Pump Systems</t>
  </si>
  <si>
    <t>4.4.11</t>
  </si>
  <si>
    <t>CI-HVC-FRNC-V07-180101</t>
  </si>
  <si>
    <t>High Efficiency Furnace</t>
  </si>
  <si>
    <t>4.6.4</t>
  </si>
  <si>
    <t>CI-RFG-ECMF-V02-180101</t>
  </si>
  <si>
    <t>Electronically Commutated Motors (ECM) for Walk-in and Reach-in Coolers / Freezers</t>
  </si>
  <si>
    <t>4.7.4</t>
  </si>
  <si>
    <t>CI-MSC-CNOZ-V01-150601</t>
  </si>
  <si>
    <t>Efficient Compressed Air Nozzles</t>
  </si>
  <si>
    <t>4.2.5</t>
  </si>
  <si>
    <t>CI-FSE-ESCV-V02-180101</t>
  </si>
  <si>
    <t>ENERGY STAR Convection Oven</t>
  </si>
  <si>
    <t>4.2.8</t>
  </si>
  <si>
    <t>CI-FSE-ESGR-V02-160601</t>
  </si>
  <si>
    <t>ENERGY STAR Griddle</t>
  </si>
  <si>
    <t>4.2.3</t>
  </si>
  <si>
    <t>CI-FSE-STMC-V04-160601</t>
  </si>
  <si>
    <t>Commercial Steam Cooker</t>
  </si>
  <si>
    <t>4.6.5</t>
  </si>
  <si>
    <t>CI-RFG-ESVE-V02-150601</t>
  </si>
  <si>
    <t>ENERGY STAR Refrigerated Beverage Vending Machine</t>
  </si>
  <si>
    <t>4.8.6</t>
  </si>
  <si>
    <t>CI-MSC-COMP-V01-180101</t>
  </si>
  <si>
    <t>ENERGY STAR Computers</t>
  </si>
  <si>
    <t>4.1.1</t>
  </si>
  <si>
    <t>RS-APL-ESDH-V01-120601</t>
  </si>
  <si>
    <t>Engine Block Timer for Agricultural Equipment</t>
  </si>
  <si>
    <t>Agricultural</t>
  </si>
  <si>
    <t>4.4.27</t>
  </si>
  <si>
    <t>CI-HVC-ERVE-V02-160601</t>
  </si>
  <si>
    <t>Energy Recovery Ventilator</t>
  </si>
  <si>
    <t>4.6.6</t>
  </si>
  <si>
    <t>CI-RFG-EVPF-V03-180101</t>
  </si>
  <si>
    <t>Evaporator Fan Control for Electrically Commutated Motors</t>
  </si>
  <si>
    <t>4.5.8</t>
  </si>
  <si>
    <t>CI-LTG-MSCI-V02-140601</t>
  </si>
  <si>
    <t>Miscellaneous Commercial/Industrial Lighting</t>
  </si>
  <si>
    <t>4.5.10</t>
  </si>
  <si>
    <t>CI-LTG-OSLC-V04-160601</t>
  </si>
  <si>
    <t>Occupancy Sensor Lighting Controls</t>
  </si>
  <si>
    <t>4.4.10</t>
  </si>
  <si>
    <t>CI-HVC-BOIL-V05-150601</t>
  </si>
  <si>
    <t>High Efficiency Boiler</t>
  </si>
  <si>
    <t>4.4.3</t>
  </si>
  <si>
    <t>CI-HVC-PBTU-V05-160601</t>
  </si>
  <si>
    <t>Process Boiler Tune-up</t>
  </si>
  <si>
    <t>4.2.7</t>
  </si>
  <si>
    <t>CI-FSE-ESFR-V01-120601</t>
  </si>
  <si>
    <t>ENERGY STAR Fryer</t>
  </si>
  <si>
    <t>4.2.2</t>
  </si>
  <si>
    <t>CI-FSE-CSDO-V01-120601</t>
  </si>
  <si>
    <t>Commercial Solid and Glass Door Refrigerators &amp; Freezers</t>
  </si>
  <si>
    <t>4.5.4</t>
  </si>
  <si>
    <t>CI-LTG-LEDB-V06-180101</t>
  </si>
  <si>
    <t>LED Bulbs and Fixtures</t>
  </si>
  <si>
    <t>4.3.9</t>
  </si>
  <si>
    <t>CI-HWE-GRTF-V01-160601</t>
  </si>
  <si>
    <t>4.1.3</t>
  </si>
  <si>
    <t>CI-AGE-HSF_-V01-120601</t>
  </si>
  <si>
    <t>High Speed Fans</t>
  </si>
  <si>
    <t>4.3.1</t>
  </si>
  <si>
    <t>CI-HWE-STWH-V03-180101</t>
  </si>
  <si>
    <t>Storage Water Heater</t>
  </si>
  <si>
    <t>4.5.12</t>
  </si>
  <si>
    <t>CI-LTG-T5FX-V05-180101</t>
  </si>
  <si>
    <t>T5 Fixtures and Lamps</t>
  </si>
  <si>
    <t>4.3.5</t>
  </si>
  <si>
    <t>CI-HWE-TKWH-V03-160601</t>
  </si>
  <si>
    <t>Tankless Water Heater</t>
  </si>
  <si>
    <t>4.1.2</t>
  </si>
  <si>
    <t>CI-AGE-HVSF-V01-120601</t>
  </si>
  <si>
    <t>High Volume Low Speed Fans</t>
  </si>
  <si>
    <t>4.2.9</t>
  </si>
  <si>
    <t>CI-FSE-ESHH-V02-160601</t>
  </si>
  <si>
    <t>ENERGY STAR Hot Food Holding Cabinets</t>
  </si>
  <si>
    <t>4.4.33</t>
  </si>
  <si>
    <t>CI-MSC-AIRC-V01-160601</t>
  </si>
  <si>
    <t>Industrial Air Curtain</t>
  </si>
  <si>
    <t>4.2.12</t>
  </si>
  <si>
    <t>CI-FSE-IRCB-V02-180101</t>
  </si>
  <si>
    <t>Infrared Charbroiler</t>
  </si>
  <si>
    <t>4.4.12</t>
  </si>
  <si>
    <t>CI-HVC-IRHT-V01-120601</t>
  </si>
  <si>
    <t>Infrared Heaters (all sizes), Low Intensity</t>
  </si>
  <si>
    <t>4.2.13</t>
  </si>
  <si>
    <t>CI-FSE-IROV-V02-180101</t>
  </si>
  <si>
    <t>4.2.14</t>
  </si>
  <si>
    <t>CI-FSE-IRBL-V02-180101</t>
  </si>
  <si>
    <t>4.2.15</t>
  </si>
  <si>
    <t>CI-FSE-IRUB-V02-180101</t>
  </si>
  <si>
    <t>4.2.16</t>
  </si>
  <si>
    <t>CI-FSE-VENT-V03-160601</t>
  </si>
  <si>
    <t>Kitchen Demand Ventilation Controls</t>
  </si>
  <si>
    <t>4.3.2</t>
  </si>
  <si>
    <t>CI-HWE-LFFA-V07-180101</t>
  </si>
  <si>
    <t>4.1.4</t>
  </si>
  <si>
    <t>CI-AGE-LSW1-V01-120601</t>
  </si>
  <si>
    <t>Live Stock Waterer</t>
  </si>
  <si>
    <t>4.3.3</t>
  </si>
  <si>
    <t>CI-HWE-LFSH-V04-180101</t>
  </si>
  <si>
    <t>4.8.4</t>
  </si>
  <si>
    <t>CI-MSC-MODD-V01-160601</t>
  </si>
  <si>
    <t>4.5.9</t>
  </si>
  <si>
    <t>CI-LTG-MLLC-V03-160601</t>
  </si>
  <si>
    <t>Multi-Level Lighting Switch</t>
  </si>
  <si>
    <t>4.7.3</t>
  </si>
  <si>
    <t>CI-MSC-CANCLD-V01-140601</t>
  </si>
  <si>
    <t>Compressed Air No-Loss Condensate Drains</t>
  </si>
  <si>
    <t>4.4.30</t>
  </si>
  <si>
    <t>CI-HVC-NVBE-V03-180101</t>
  </si>
  <si>
    <t>Notched V Belts for HVAC Systems</t>
  </si>
  <si>
    <t>4.5.13</t>
  </si>
  <si>
    <t>CI-LTG-OCBL-V02-160601</t>
  </si>
  <si>
    <t>Occupancy Controlled Bi-Level Lighting Fixtures</t>
  </si>
  <si>
    <t>4.3.6</t>
  </si>
  <si>
    <t>CI-HWE-OZLD-VO1-140601</t>
  </si>
  <si>
    <t>4.2.17</t>
  </si>
  <si>
    <t>CI-FSE-PCOK-V02-180101</t>
  </si>
  <si>
    <t>4.5.2</t>
  </si>
  <si>
    <t>CI-LTG-DLMP-V02-140601</t>
  </si>
  <si>
    <t>Fluorescent Delamping</t>
  </si>
  <si>
    <t>4.4.14</t>
  </si>
  <si>
    <t>CI-HVC-PINS-V04-160601</t>
  </si>
  <si>
    <t>4.2.11</t>
  </si>
  <si>
    <t>CI-FSE-SPRY-V04-180101</t>
  </si>
  <si>
    <t>High Efficiency Pre-Rinse Spray Valve</t>
  </si>
  <si>
    <t>4.4.18</t>
  </si>
  <si>
    <t>CI-HVC-PROG-V02-150601</t>
  </si>
  <si>
    <t>Small Commercial Programmable Thermostats</t>
  </si>
  <si>
    <t>4.4.13</t>
  </si>
  <si>
    <t>CI-HVC-PTAC-V08-180101</t>
  </si>
  <si>
    <t>Package Terminal Air Conditioner (PTAC) and Package Terminal Heat Pump (PTHP)</t>
  </si>
  <si>
    <t>4.8.1</t>
  </si>
  <si>
    <t>CI-MSC-PMPO-V01-150601</t>
  </si>
  <si>
    <t>4.2.18</t>
  </si>
  <si>
    <t>CI-FSE-RKOV-VO2-180101</t>
  </si>
  <si>
    <t>Rack Oven - Double Oven</t>
  </si>
  <si>
    <t>4.6.8</t>
  </si>
  <si>
    <t>CI-RFG-ECON-V05-150601</t>
  </si>
  <si>
    <t>Refrigeration Economizers</t>
  </si>
  <si>
    <t>4.4.16</t>
  </si>
  <si>
    <t>CI-HVC-STRE-V05-180101</t>
  </si>
  <si>
    <t>Steam Trap Replacement or Repair</t>
  </si>
  <si>
    <t>4.6.7</t>
  </si>
  <si>
    <t>CI-RFG-CRTN-V04-180101</t>
  </si>
  <si>
    <t>Strip Curtain for Walk-in Coolers and Freezers</t>
  </si>
  <si>
    <t>4.4.15</t>
  </si>
  <si>
    <t>CI-HVC-SPUA-V05-180101</t>
  </si>
  <si>
    <t>Single-Package and Split System Unitary Air Conditioners</t>
  </si>
  <si>
    <t>4.4.17</t>
  </si>
  <si>
    <t>CI-HVC-VSDHP-V04-180101</t>
  </si>
  <si>
    <t>Variable Speed Drives for HVAC Pumps and Cooling Tower Fans</t>
  </si>
  <si>
    <t>4.4.26</t>
  </si>
  <si>
    <t>CI-HVC-VSDF-V02-160601</t>
  </si>
  <si>
    <t>Variable Speed Drives for HVAC Supply and Return Fans</t>
  </si>
  <si>
    <t>4.7.1</t>
  </si>
  <si>
    <t>CI-MSC-VSDA-V01-120601</t>
  </si>
  <si>
    <t>VSD Air Compressor</t>
  </si>
  <si>
    <t>Initiative</t>
  </si>
  <si>
    <t>Direct Distribution of Efficient Products</t>
  </si>
  <si>
    <t>Streetlighting</t>
  </si>
  <si>
    <t>RES-Income Qualified</t>
  </si>
  <si>
    <t>Residential_Income Qualified</t>
  </si>
  <si>
    <t>2018 Filed Goal</t>
  </si>
  <si>
    <t>2018 Compliance Goal</t>
  </si>
  <si>
    <t>2018 Goal Difference</t>
  </si>
  <si>
    <t>2019 Filed Goal</t>
  </si>
  <si>
    <t>2019 Compliance Goal</t>
  </si>
  <si>
    <t>2019 Goal Difference</t>
  </si>
  <si>
    <t>2020 Compliance Goal</t>
  </si>
  <si>
    <t>2020 Filed Goal</t>
  </si>
  <si>
    <t>2020 Goal Difference</t>
  </si>
  <si>
    <t>2021 Filed Goal</t>
  </si>
  <si>
    <t>2021 Compliance Goal</t>
  </si>
  <si>
    <t>2021 Goal Difference</t>
  </si>
  <si>
    <t>code</t>
  </si>
  <si>
    <t>a</t>
  </si>
  <si>
    <t>check</t>
  </si>
  <si>
    <t>Check</t>
  </si>
  <si>
    <t>Plan</t>
  </si>
  <si>
    <t/>
  </si>
  <si>
    <t>Plan Energy Savings Goal (Therm)</t>
  </si>
  <si>
    <t>Adjusted Energy Savings Goal (Therm)</t>
  </si>
  <si>
    <t>Energy Savings Adjustment to Plan Goal (Therm)</t>
  </si>
  <si>
    <t>Residential_Home Efficiency Program - Standard_Thermostat</t>
  </si>
  <si>
    <t>AIC 2018 Plan Adjusted Goal Spreadsheet</t>
  </si>
  <si>
    <t>Ameren Illinois</t>
  </si>
  <si>
    <r>
      <t xml:space="preserve">EEDR Adjustable Savings Goal Template - </t>
    </r>
    <r>
      <rPr>
        <i/>
        <sz val="14"/>
        <color theme="1"/>
        <rFont val="Arial"/>
        <family val="2"/>
      </rPr>
      <t>Program-Level Adjustments Tab</t>
    </r>
  </si>
  <si>
    <t>Program-Initiative</t>
  </si>
  <si>
    <r>
      <t xml:space="preserve">EEDR Adjustable Savings Goal Template - </t>
    </r>
    <r>
      <rPr>
        <i/>
        <sz val="14"/>
        <color theme="1"/>
        <rFont val="Arial"/>
        <family val="2"/>
      </rPr>
      <t>Measure-Level Adjustments Tab</t>
    </r>
  </si>
  <si>
    <r>
      <t xml:space="preserve">Note:  This spreadsheet demonstrates that the adjusted 2018 Plan Compliance Goal updated with the IL-TRM measure codes (Ver. 6.0) approved in </t>
    </r>
    <r>
      <rPr>
        <sz val="9"/>
        <color rgb="FFFF0000"/>
        <rFont val="Calibri"/>
        <family val="2"/>
      </rPr>
      <t>Docket 17-0106</t>
    </r>
    <r>
      <rPr>
        <sz val="9"/>
        <color rgb="FF000000"/>
        <rFont val="Calibri"/>
        <family val="2"/>
      </rPr>
      <t xml:space="preserve">.  Future updates will be made consistent with the Adjustable Goals Framework and/or Final Commission Order.
</t>
    </r>
  </si>
  <si>
    <t xml:space="preserve">AIC 2018 NTGR Recommendations </t>
  </si>
  <si>
    <t>Retail Lighting</t>
  </si>
  <si>
    <t>Food Bank Kits</t>
  </si>
  <si>
    <t>Mail Kits</t>
  </si>
  <si>
    <t>Audit &amp; DI</t>
  </si>
  <si>
    <t>Gas to Electric Conversion Savings</t>
  </si>
  <si>
    <t>10-6-17 VN edit _ ISR IL TRM V6</t>
  </si>
  <si>
    <t>5.5.8 LED Screw Based Omnidirectional Bulbs</t>
  </si>
  <si>
    <t>Kit ISR</t>
  </si>
  <si>
    <t>UEF_base</t>
  </si>
  <si>
    <t>Average UEF_ee</t>
  </si>
  <si>
    <t>IL TRM v7 Revised Savings calculation</t>
  </si>
  <si>
    <t>therms = ((T_out - T_in) * HotWaterUse_gal * yWater * 1 * (1/UEF_base - 1/UEF_ee)) / 100000</t>
  </si>
  <si>
    <t>ΔkWhwater = ΔWater (gallons) / 1,000,000 * Ewater total</t>
  </si>
  <si>
    <t>Ewater total</t>
  </si>
  <si>
    <t>IL Total Water Energy Factor (kWh/Million Gallons)</t>
  </si>
  <si>
    <t>Per TRM v7</t>
  </si>
  <si>
    <t>Annual kWh_water saved</t>
  </si>
  <si>
    <t>Ozone Laundry savings calculations are based on the IL Statewide TRM v7.0 Section 4.3.6</t>
  </si>
  <si>
    <t>kWh_water Saved</t>
  </si>
  <si>
    <t>ΔWater (gallons) = WUsage * WUtiliz * %water_savings</t>
  </si>
  <si>
    <t>Wusage</t>
  </si>
  <si>
    <t>2.03 gallons/lbs laundry</t>
  </si>
  <si>
    <t>Water Saved (gal)</t>
  </si>
  <si>
    <t>ΔWater (gallons)</t>
  </si>
  <si>
    <t>ΔkWhwater</t>
  </si>
  <si>
    <t>RS-HVC-FBMT-V04-190101</t>
  </si>
  <si>
    <t>ΔkWh = Capacity_cooling * kWhSavingsPerTon</t>
  </si>
  <si>
    <t>kWhSavingsPerTon</t>
  </si>
  <si>
    <t>tons</t>
  </si>
  <si>
    <t>ΔkW = Capacity_cooling * kWSavingsPerTon</t>
  </si>
  <si>
    <t>kWSavingsPerTon</t>
  </si>
  <si>
    <t>PJM</t>
  </si>
  <si>
    <t>Δtherms = - HeatingkWhSavings * 0.03412/ AFUE</t>
  </si>
  <si>
    <t>Δtherms</t>
  </si>
  <si>
    <t>HeatingkWhSavings</t>
  </si>
  <si>
    <t>TRM v7 Mid-Life Adjustments</t>
  </si>
  <si>
    <t>This reduced annual savings should be applied following the assumed remaining useful life of the existing equipment, estimate to be 10 years.</t>
  </si>
  <si>
    <t>ΔTherms = (EFLH * CAPInput * (AFUE(eff) / AFUE(base) -1)) / 100000</t>
  </si>
  <si>
    <t>CAPInput</t>
  </si>
  <si>
    <t>Btuh</t>
  </si>
  <si>
    <t>YEARS 1-10</t>
  </si>
  <si>
    <t>YEARS 10-20</t>
  </si>
  <si>
    <t>ΔTherms = EFLH * CAPInput/(1-Derating(eff)) * (AFUE(eff) * (1-Derating(eff)) / AFUE(base) * (1-Derating(base)) -1) / 100000</t>
  </si>
  <si>
    <t>Derating(base)</t>
  </si>
  <si>
    <t>Derating(eff)</t>
  </si>
  <si>
    <t>mobile home electric heat</t>
  </si>
  <si>
    <t>unknown electric heat</t>
  </si>
  <si>
    <t>mobile home natural gas heat</t>
  </si>
  <si>
    <t>unknown natural gas heat</t>
  </si>
  <si>
    <t>mobile home</t>
  </si>
  <si>
    <t>Mobile Home</t>
  </si>
  <si>
    <t>Unknown (AC-targeted program)</t>
  </si>
  <si>
    <t>Unknown Unknown (general program)</t>
  </si>
  <si>
    <t>ΔkWh = ((Cexist / Rexist – Cnew / Rnew) ) * L * ΔT * 8,766)/ ηDHW / 3412</t>
  </si>
  <si>
    <t>C_exist</t>
  </si>
  <si>
    <t>C_new</t>
  </si>
  <si>
    <t>Actual (0.5” pipe and 3/8” foam ((0.5 + 3/8 + 3/8) * π/12) = .327 ft)</t>
  </si>
  <si>
    <t>ΔkWh = (((1/UEFBASE – 1/UEFEFFICIENT) * GPD * Household * 365.25 * γWater * (TOUT – TIN) * 1.0) / 3412) + kWh_cooling - kWh_heating</t>
  </si>
  <si>
    <t>kWh_cooling = (((((GPD * Household * 365.25 * γWater * (TOUT – TIN) * 1.0) / 3412) - ((1/ UEFNEW * GPD * Household * 365.25 * γWater * (TOUT – TIN) * 1.0) / 3412)) * LF * 27%) / COPCOOL) * LM</t>
  </si>
  <si>
    <t>kwh_heating = (((((GPD * Household * 365.25 * γWater * (TOUT – TIN) * 1.0) / 3412) – ((1/ UEFNEW * GPD * Household * 365.25 * γWater * (TOUT – TIN) * 1.0) / 3412)) * LF * 49%) / COPHEAT) * (1 - %NaturalGas)</t>
  </si>
  <si>
    <t>UEFBASE</t>
  </si>
  <si>
    <t>UEFEFFICIENT</t>
  </si>
  <si>
    <t>ΔTherms = - ((((GPD * Household * 365.25 * γWater * (TOUT – TIN) * 1.0) / 3412) – (((GPD * Household * 365.25 * γWater * (TOUT – TIN) * 1.0) / 3412) / UEFEFFICIENT)) * LF * 49% * 0.03412) / ηHeat) * %NaturalGas</t>
  </si>
  <si>
    <t>Years 1-10</t>
  </si>
  <si>
    <t>Years 11-15</t>
  </si>
  <si>
    <t>mid-life adjustment</t>
  </si>
  <si>
    <t>2.2+ gpm kitchen aerator</t>
  </si>
  <si>
    <t>2.2+ gpm bath aerator</t>
  </si>
  <si>
    <t>IL TRM v7 ISR Assumptions</t>
  </si>
  <si>
    <t>ΔWater (gallons) = ((GPM_base * L_base - GPM_low * L_low) * Household * 365.25 *DF / FPH) * ISR</t>
  </si>
  <si>
    <t>2.0+ gpm showerhead</t>
  </si>
  <si>
    <t>ΔWater (gallons) = ((GPM_base * L_base - GPM_low * L_low) * Household * SPCD * 365.25 / SPH) * ISR</t>
  </si>
  <si>
    <t>AFUE[base] (mid-life)</t>
  </si>
  <si>
    <t>therms (mid-life)</t>
  </si>
  <si>
    <t>kWh (mid-life)</t>
  </si>
  <si>
    <t>kWh _Cooling (mid-life)</t>
  </si>
  <si>
    <t>kWh_Heating (mid-life)</t>
  </si>
  <si>
    <t>SEER[base] CAC (mid-life)</t>
  </si>
  <si>
    <t>SEER[base] HP (mid-life)</t>
  </si>
  <si>
    <t>SEER[base] (mid-life)</t>
  </si>
  <si>
    <t>COP[base] HP (mid-life)</t>
  </si>
  <si>
    <t>COP[base] Resistance (mid-life)</t>
  </si>
  <si>
    <t>Mid-life Adjustment (Years 11-20)</t>
  </si>
  <si>
    <t>Years 1-10 (pre Mid-life Adjustment)</t>
  </si>
  <si>
    <t>ADJAirSealingCool</t>
  </si>
  <si>
    <t>kW (mid-life)</t>
  </si>
  <si>
    <t>ADJAirSealingGasHeat</t>
  </si>
  <si>
    <t>ADJAirSealingHeatFan</t>
  </si>
  <si>
    <t>kWh_Cooling (mid-life)</t>
  </si>
  <si>
    <t>5.6.5</t>
  </si>
  <si>
    <t>Ceiling/Attic Insulation</t>
  </si>
  <si>
    <t>Rim/Band Joist Insulation</t>
  </si>
  <si>
    <t>5.6.6</t>
  </si>
  <si>
    <t>ADJAtticHeatFan</t>
  </si>
  <si>
    <t>ADJAtticCool</t>
  </si>
  <si>
    <t>ADJ_AtticElectricHeat</t>
  </si>
  <si>
    <t>ADJAtticGasHeat</t>
  </si>
  <si>
    <t>therm (mid-life)</t>
  </si>
  <si>
    <t>nheat (mid-life)</t>
  </si>
  <si>
    <t>Measure Code</t>
  </si>
  <si>
    <t>Change Type</t>
  </si>
  <si>
    <t>Explanation</t>
  </si>
  <si>
    <t>Impact on Savings</t>
  </si>
  <si>
    <t>Volume 1: Overview</t>
  </si>
  <si>
    <t>Revision</t>
  </si>
  <si>
    <t>Errata</t>
  </si>
  <si>
    <t>New Measure</t>
  </si>
  <si>
    <t>Volume 2: C&amp;I</t>
  </si>
  <si>
    <t>4.1.4 Livestock Waterer</t>
  </si>
  <si>
    <t>4.2 Food Service Equipment</t>
  </si>
  <si>
    <t>Dependent on inputs</t>
  </si>
  <si>
    <t>Increase</t>
  </si>
  <si>
    <t>4.2.6 ENERGY STAR Dishwasher</t>
  </si>
  <si>
    <t>TRM v7 now includes separate assumptions for standard and large vat fryers. Current Ameren assumptions match those for standard fryers per TRM v7.</t>
  </si>
  <si>
    <t>4.2.8 ENERGY STAR Griddle</t>
  </si>
  <si>
    <t>4.2.10</t>
  </si>
  <si>
    <t>4.2.11 High Efficiency Pre-Rinse Spray Valve</t>
  </si>
  <si>
    <t>4.3 Hot Water</t>
  </si>
  <si>
    <t>Updated baseline and efficient options from EF to UEF. Updated algorithm reference tables on measure tabs to reflect v7 changes.</t>
  </si>
  <si>
    <t>4.3.2 Low Flow Faucet Aerators</t>
  </si>
  <si>
    <t>Added additional algorithms and variables for secondary kWh savings; updated total kWh savings to include secondary kWh savings.</t>
  </si>
  <si>
    <t>4.3.3 Low Flow Showerheads</t>
  </si>
  <si>
    <t>4.3.4 Commercial Pool Covers</t>
  </si>
  <si>
    <t>4.3.5 Tankless Water Heater</t>
  </si>
  <si>
    <t>4.3.6 Ozone Laundry</t>
  </si>
  <si>
    <t>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t>
  </si>
  <si>
    <t>4.4 HVAC</t>
  </si>
  <si>
    <t>4.4 HVAC End Use</t>
  </si>
  <si>
    <t>Update to select building type heating and cooling EFLH assumptions that have been transitioned and calibrated to OpenStudio by the Modeling Subcommittee.</t>
  </si>
  <si>
    <t>Decrease</t>
  </si>
  <si>
    <t>4.4.6 Electric Chiller</t>
  </si>
  <si>
    <t>Increase lifetime savings</t>
  </si>
  <si>
    <t>4.4.10 High Efficiency Boiler</t>
  </si>
  <si>
    <t>4.4.11 High Efficiency Furnace</t>
  </si>
  <si>
    <t>Updated HOURSyear for Office-Mid Rise.</t>
  </si>
  <si>
    <t>4.4.13 Package Terminal Air Conditioner (PTAC) and Package Terminal Heat Pump (PTHP)</t>
  </si>
  <si>
    <t>4.4.15 Single-Package and Split System Unitary Air Conditioners</t>
  </si>
  <si>
    <t>4.4.17 Variable Speed Drives for HVAC Pumps and Cooling Tower Fans</t>
  </si>
  <si>
    <t>Update to measure life.</t>
  </si>
  <si>
    <t>4.4.25</t>
  </si>
  <si>
    <t>CI-HVC-PRGA-V03-190101</t>
  </si>
  <si>
    <t>4.5 Lighting</t>
  </si>
  <si>
    <t>4.5.4 LED Bulbs and Fixtures</t>
  </si>
  <si>
    <t>4.4.27 Energy Recovery Ventilator</t>
  </si>
  <si>
    <t>4.4.30 Notched V Belts for HVAC Systems</t>
  </si>
  <si>
    <t>4.4.32 Combined Heat and Power</t>
  </si>
  <si>
    <t>4.4.32</t>
  </si>
  <si>
    <t>4.4.34 Destratification Fan</t>
  </si>
  <si>
    <t>Measure cost update.</t>
  </si>
  <si>
    <t>4.4.41 Advanced Rooftop Controls</t>
  </si>
  <si>
    <t>4.4.41</t>
  </si>
  <si>
    <t>4.4.42</t>
  </si>
  <si>
    <t>4.4.44</t>
  </si>
  <si>
    <t>4.4.45</t>
  </si>
  <si>
    <t>4.5.1 Commercial Compact Fluorescent Lamp</t>
  </si>
  <si>
    <t>4.5.1</t>
  </si>
  <si>
    <t>4.5.3 High Performance and Reduced Wattage T8 Fixtures and Lamps</t>
  </si>
  <si>
    <t>Volume 3: Residential</t>
  </si>
  <si>
    <t>5.5 Lighting</t>
  </si>
  <si>
    <t>5.5.6 LED Specialty Lamps</t>
  </si>
  <si>
    <t>5.6 Shell</t>
  </si>
  <si>
    <t>5.6.1 Airsealing</t>
  </si>
  <si>
    <t>5.3 HVAC</t>
  </si>
  <si>
    <t>5.3.1 Air Source Heat Pump</t>
  </si>
  <si>
    <t>Update to measure cost.</t>
  </si>
  <si>
    <t>4.5.7 Lighting Power Density</t>
  </si>
  <si>
    <t>4.5.7</t>
  </si>
  <si>
    <t>Updated costs.</t>
  </si>
  <si>
    <t>4.5.12 T5 Fixtures and Lamps</t>
  </si>
  <si>
    <t>4.5.14 Commercial Specialty Compact Fluorescent Lamp</t>
  </si>
  <si>
    <t>4.5.14</t>
  </si>
  <si>
    <t>5.3.16 Advanced Thermostats</t>
  </si>
  <si>
    <t>4.6 Refrigeration</t>
  </si>
  <si>
    <t>4.6.3 Door Heater Controls for Cooler or Freezer</t>
  </si>
  <si>
    <t>4.6.11 Q-Sync Motors for Reach-in Coolers/Freezers</t>
  </si>
  <si>
    <t>4.6.11</t>
  </si>
  <si>
    <t>New measure</t>
  </si>
  <si>
    <t>4.6.12</t>
  </si>
  <si>
    <t>4.7 Compressed Air</t>
  </si>
  <si>
    <t>4.7.1 VSD Air Compressor</t>
  </si>
  <si>
    <t>4.7.2 Compressed Air Low Pressure Drop Filters</t>
  </si>
  <si>
    <t>4.7.2</t>
  </si>
  <si>
    <t>4.7.3 Compressed Air No-Loss Condensate Drains</t>
  </si>
  <si>
    <t>4.8 Miscellaneous</t>
  </si>
  <si>
    <t>4.8.2 Roof Insulation for C&amp;I Facilities</t>
  </si>
  <si>
    <t>4.8.2</t>
  </si>
  <si>
    <t>4.8.7 Advanced Power Strip – Tier 1 Commercial</t>
  </si>
  <si>
    <t>4.8.7</t>
  </si>
  <si>
    <t>5.1 Appliances</t>
  </si>
  <si>
    <t>5.1.2 ENERGY STAR Clothes Washer</t>
  </si>
  <si>
    <t>5.1.3 ENERGY STAR Dehumidifier</t>
  </si>
  <si>
    <t>5.1.4 ENERGY STAR Dishwasher</t>
  </si>
  <si>
    <t>5.1.6 ENERGY STAR and CEE Tier 2 Refrigerator</t>
  </si>
  <si>
    <t>5.1.10 ENERGY STAR Clothes Dryer</t>
  </si>
  <si>
    <t>5.1.12 Ozone Laundry</t>
  </si>
  <si>
    <t>5.1.12</t>
  </si>
  <si>
    <t>5.2 Consumer Electronics</t>
  </si>
  <si>
    <t>5.2.1 Advanced Power Strip – Tier 1</t>
  </si>
  <si>
    <t>5.2.2 Advanced Power Strip – Residential Audio Visual</t>
  </si>
  <si>
    <t>5.6.4 Wall Insulation</t>
  </si>
  <si>
    <t>5.3.5 Furnace Blower Motor</t>
  </si>
  <si>
    <t>Updated savings algorithms with new methodology</t>
  </si>
  <si>
    <t>5.3.7 Gas High Efficiency Furnace</t>
  </si>
  <si>
    <t>5.3.8 Ground Source Heat Pump</t>
  </si>
  <si>
    <t>5.3.8</t>
  </si>
  <si>
    <t>5.3.10</t>
  </si>
  <si>
    <t>5.3.11 Programmable Thermostats</t>
  </si>
  <si>
    <t>5.3.12 Ductless Heat Pumps</t>
  </si>
  <si>
    <t>5.3.13 Residential Furnace Tune-Up</t>
  </si>
  <si>
    <t>5.3.13</t>
  </si>
  <si>
    <t>Updated existing efficiency ratings</t>
  </si>
  <si>
    <t>5.4 Hot Water</t>
  </si>
  <si>
    <t>Updated algorithms to include post-insulation circumference</t>
  </si>
  <si>
    <t>5.4.3 Heat Pump Water Heaters</t>
  </si>
  <si>
    <t>Update to measure costs.</t>
  </si>
  <si>
    <t>5.4.5 Low Flow Showerheads</t>
  </si>
  <si>
    <t>Updated GPM_base for each faucet type</t>
  </si>
  <si>
    <t>5.3.4 Duct Insulation and Sealing</t>
  </si>
  <si>
    <t>Updated GPM_base for direct install showerhead</t>
  </si>
  <si>
    <t>5.4.8</t>
  </si>
  <si>
    <t>5.4.9 Shower Timer</t>
  </si>
  <si>
    <t>5.4.9</t>
  </si>
  <si>
    <t>5.5.1 Compact Fluorescent Lamp</t>
  </si>
  <si>
    <t>5.5.1</t>
  </si>
  <si>
    <t>5.5.2 Specialty Compact Fluorescent Lamp</t>
  </si>
  <si>
    <t>5.5.2</t>
  </si>
  <si>
    <t>5.5.3 ENERGY STAR Torchiere</t>
  </si>
  <si>
    <t>5.5.3</t>
  </si>
  <si>
    <t>5.5.4</t>
  </si>
  <si>
    <t>5.5.5 Interior Hardwired Compact Fluorescent Lamp Fixture</t>
  </si>
  <si>
    <t>5.5.5</t>
  </si>
  <si>
    <t>5.5.9 LED Fixtures</t>
  </si>
  <si>
    <t>5.5.9</t>
  </si>
  <si>
    <t>5.5.10 Holiday String Lighting</t>
  </si>
  <si>
    <t>5.5.10</t>
  </si>
  <si>
    <t>Added cooling, fan, and gas heating adjustment factors (withouth attic insulation)</t>
  </si>
  <si>
    <t>5.6.2 Basement Sidewall Insulation</t>
  </si>
  <si>
    <t>5.6.3</t>
  </si>
  <si>
    <t>Updated measure title</t>
  </si>
  <si>
    <t>5.6.5 Ceiling/Attic Insulation</t>
  </si>
  <si>
    <t>Updated measure title and renamed TRM section code in Measure Level Adjustments Tab</t>
  </si>
  <si>
    <t>5.6.6 Rim/Band Joist Insulation</t>
  </si>
  <si>
    <t>5.7 Miscellaneous</t>
  </si>
  <si>
    <t>Volume 4: Cross Cutting Measures and Attachments</t>
  </si>
  <si>
    <t>Added savings calculations for mobile and unknown housing types with new household factors, but Plan measures only apply to SF and MF</t>
  </si>
  <si>
    <t>- Updated measure title and renamed TRM section code in Measure Level Adjustments Tab
- Updated measure life to 20 years
- Savings calcs currently uses non-TRM algorithm</t>
  </si>
  <si>
    <t>PY20
(T12)</t>
  </si>
  <si>
    <t>Plan Gross Unit Savings (Therms)</t>
  </si>
  <si>
    <t>Plan Energy Savings Goals (Therms)</t>
  </si>
  <si>
    <t>Adjusted Energy Savings Goal (Therms)</t>
  </si>
  <si>
    <t>Energy Savings Adjustment to Plan Goal (Therms)</t>
  </si>
  <si>
    <t>2018 Gross Unit Savings (Therms)</t>
  </si>
  <si>
    <t>Column added by AEG</t>
  </si>
  <si>
    <t>Table 1.3: Summary of Measure Revisions</t>
  </si>
  <si>
    <t>Section</t>
  </si>
  <si>
    <t>Impact on Savings (T/F)</t>
  </si>
  <si>
    <t>Overall Measure Impact (T/F)</t>
  </si>
  <si>
    <t>Portfolio Measure (T/F)</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</si>
  <si>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</si>
  <si>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</si>
  <si>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</si>
  <si>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</si>
  <si>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</si>
  <si>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</si>
  <si>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</si>
  <si>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</si>
  <si>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</si>
  <si>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</si>
  <si>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</si>
  <si>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</si>
  <si>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</si>
  <si>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</si>
  <si>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</si>
  <si>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</si>
  <si>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</si>
  <si>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</si>
  <si>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</si>
  <si>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</si>
  <si>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</si>
  <si>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</si>
  <si>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</si>
  <si>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</si>
  <si>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</si>
  <si>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</si>
  <si>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</si>
  <si>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</si>
  <si>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</si>
  <si>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</si>
  <si>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</si>
  <si>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</si>
  <si>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</si>
  <si>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</si>
  <si>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</si>
  <si>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</si>
  <si>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</si>
  <si>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</si>
  <si>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</si>
  <si>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</si>
  <si>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</si>
  <si>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</si>
  <si>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</si>
  <si>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</si>
  <si>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</si>
  <si>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</si>
  <si>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</si>
  <si>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</si>
  <si>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</si>
  <si>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</si>
  <si>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</si>
  <si>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</si>
  <si>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</si>
  <si>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</si>
  <si>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</si>
  <si>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</si>
  <si>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</si>
  <si>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</si>
  <si>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</si>
  <si>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</si>
  <si>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</si>
  <si>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</si>
  <si>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</si>
  <si>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</si>
  <si>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</si>
  <si>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</si>
  <si>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</si>
  <si>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</si>
  <si>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</si>
  <si>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</si>
  <si>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</si>
  <si>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</si>
  <si>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</si>
  <si>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</si>
  <si>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</si>
  <si>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</si>
  <si>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</si>
  <si>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</si>
  <si>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</si>
  <si>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</si>
  <si>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</si>
  <si>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</si>
  <si>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</si>
  <si>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</si>
  <si>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</si>
  <si>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</si>
  <si>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</si>
  <si>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</si>
  <si>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</si>
  <si>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</si>
  <si>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</si>
  <si>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</si>
  <si>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</si>
  <si>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</si>
  <si>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</si>
  <si>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</si>
  <si>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</si>
  <si>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</si>
  <si>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</si>
  <si>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</si>
  <si>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</si>
  <si>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</si>
  <si>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</si>
  <si>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</si>
  <si>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</si>
  <si>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</si>
  <si>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</si>
  <si>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</si>
  <si>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</si>
  <si>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</si>
  <si>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</si>
  <si>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</si>
  <si>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</si>
  <si>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</si>
  <si>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</si>
  <si>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</si>
  <si>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</si>
  <si>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</si>
  <si>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</si>
  <si>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</si>
  <si>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</si>
  <si>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</si>
  <si>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</si>
  <si>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</si>
  <si>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</si>
  <si>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</si>
  <si>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</si>
  <si>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</si>
  <si>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</si>
  <si>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</si>
  <si>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</si>
  <si>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r>
      <t>4.4.42 Advanced Thermostats for Small Commercial</t>
    </r>
    <r>
      <rPr>
        <sz val="11"/>
        <color theme="1"/>
        <rFont val="Calibri"/>
        <family val="2"/>
      </rPr>
      <t> </t>
    </r>
  </si>
  <si>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</si>
  <si>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</si>
  <si>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</si>
  <si>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</si>
  <si>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</si>
  <si>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</si>
  <si>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</si>
  <si>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</si>
  <si>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</si>
  <si>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</si>
  <si>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</si>
  <si>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</si>
  <si>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</si>
  <si>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</si>
  <si>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</si>
  <si>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</si>
  <si>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</si>
  <si>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</si>
  <si>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</si>
  <si>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</si>
  <si>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</si>
  <si>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</si>
  <si>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</si>
  <si>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</si>
  <si>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</si>
  <si>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r>
      <t>Update to timing of T12 baseline</t>
    </r>
    <r>
      <rPr>
        <sz val="11"/>
        <color theme="1"/>
        <rFont val="Calibri"/>
        <family val="2"/>
      </rPr>
      <t> </t>
    </r>
    <r>
      <rPr>
        <sz val="11"/>
        <color theme="1"/>
        <rFont val="Calibri"/>
        <family val="2"/>
        <scheme val="minor"/>
      </rPr>
      <t>.</t>
    </r>
  </si>
  <si>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</si>
  <si>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</si>
  <si>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</si>
  <si>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</si>
  <si>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</si>
  <si>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</si>
  <si>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</si>
  <si>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</si>
  <si>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</si>
  <si>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</si>
  <si>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</si>
  <si>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</si>
  <si>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</si>
  <si>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</si>
  <si>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</si>
  <si>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</si>
  <si>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r>
      <t>Revision</t>
    </r>
    <r>
      <rPr>
        <sz val="11"/>
        <color theme="1"/>
        <rFont val="Calibri"/>
        <family val="2"/>
      </rPr>
      <t> </t>
    </r>
  </si>
  <si>
    <t>Replaced RF term with EREP.</t>
  </si>
  <si>
    <t>CI-RFG-DHCT-V03-200101</t>
  </si>
  <si>
    <t>Footnote clarifying WHFs</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</si>
  <si>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</si>
  <si>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</si>
  <si>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</si>
  <si>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</si>
  <si>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</si>
  <si>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</si>
  <si>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</si>
  <si>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</si>
  <si>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</si>
  <si>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</si>
  <si>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</si>
  <si>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</si>
  <si>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</si>
  <si>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</si>
  <si>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</si>
  <si>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</si>
  <si>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</si>
  <si>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</si>
  <si>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</si>
  <si>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</si>
  <si>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</si>
  <si>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</si>
  <si>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</si>
  <si>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</si>
  <si>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 Computer Power Management Software</t>
  </si>
  <si>
    <t>CI-MSC-CPMS-V02-200101</t>
  </si>
  <si>
    <t>Major change based on newer data</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</si>
  <si>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</si>
  <si>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</si>
  <si>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</si>
  <si>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</si>
  <si>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</si>
  <si>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</si>
  <si>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</si>
  <si>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</si>
  <si>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</si>
  <si>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</si>
  <si>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</si>
  <si>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</si>
  <si>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</si>
  <si>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</si>
  <si>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</si>
  <si>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</si>
  <si>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</si>
  <si>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</si>
  <si>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</si>
  <si>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</si>
  <si>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</si>
  <si>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</si>
  <si>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</si>
  <si>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</si>
  <si>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</si>
  <si>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</si>
  <si>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</si>
  <si>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</si>
  <si>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</si>
  <si>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</si>
  <si>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</si>
  <si>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</si>
  <si>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</si>
  <si>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</si>
  <si>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</si>
  <si>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</si>
  <si>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</si>
  <si>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</si>
  <si>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</si>
  <si>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</si>
  <si>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</si>
  <si>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</si>
  <si>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</si>
  <si>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</si>
  <si>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</si>
  <si>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</si>
  <si>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</si>
  <si>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</si>
  <si>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</si>
  <si>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</si>
  <si>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</si>
  <si>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</si>
  <si>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</si>
  <si>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</si>
  <si>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</si>
  <si>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</si>
  <si>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</si>
  <si>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</si>
  <si>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</si>
  <si>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</si>
  <si>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</si>
  <si>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</si>
  <si>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</si>
  <si>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</si>
  <si>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</si>
  <si>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</si>
  <si>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</si>
  <si>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</si>
  <si>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</si>
  <si>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</si>
  <si>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</si>
  <si>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</si>
  <si>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</si>
  <si>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</si>
  <si>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</si>
  <si>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</si>
  <si>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</si>
  <si>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</si>
  <si>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</si>
  <si>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</si>
  <si>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</si>
  <si>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</si>
  <si>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</si>
  <si>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</si>
  <si>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</si>
  <si>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</si>
  <si>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</si>
  <si>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</si>
  <si>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</si>
  <si>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</si>
  <si>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</si>
  <si>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</si>
  <si>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</si>
  <si>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</si>
  <si>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</si>
  <si>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</si>
  <si>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</si>
  <si>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</si>
  <si>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</si>
  <si>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</si>
  <si>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</si>
  <si>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</si>
  <si>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</si>
  <si>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</si>
  <si>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</si>
  <si>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</si>
  <si>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</si>
  <si>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</si>
  <si>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</si>
  <si>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</si>
  <si>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</si>
  <si>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</si>
  <si>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</si>
  <si>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</si>
  <si>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</si>
  <si>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</si>
  <si>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</si>
  <si>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</si>
  <si>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</si>
  <si>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</si>
  <si>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</si>
  <si>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</si>
  <si>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</si>
  <si>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</si>
  <si>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</si>
  <si>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</si>
  <si>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Adjusted (T/F)</t>
  </si>
  <si>
    <t>Portfolio Errata (T/F)</t>
  </si>
  <si>
    <t>Remaining:</t>
  </si>
  <si>
    <t>Notes</t>
  </si>
  <si>
    <t>Portfolio Revision (T/F)</t>
  </si>
  <si>
    <t>Impacts Cook County only</t>
  </si>
  <si>
    <t>No actual input changes</t>
  </si>
  <si>
    <t>Link</t>
  </si>
  <si>
    <t>Reference</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</si>
  <si>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</si>
  <si>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</si>
  <si>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</si>
  <si>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</si>
  <si>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</si>
  <si>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</si>
  <si>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No measure algorithm</t>
  </si>
  <si>
    <t>BUS Low Flow Showerheads'!C44</t>
  </si>
  <si>
    <t>EFLH IL TRM v8.0</t>
  </si>
  <si>
    <t>No update. Weighted average EFLH is based on building types included in previous TRM versions.</t>
  </si>
  <si>
    <t>Auto Dealership</t>
  </si>
  <si>
    <t>Drug Store</t>
  </si>
  <si>
    <t>Public Sector</t>
  </si>
  <si>
    <t>No new construction-specific measures.</t>
  </si>
  <si>
    <t>Does not impact savings</t>
  </si>
  <si>
    <t>kWh_Cooling = (((1/R_old - 1/R_attic) * A_attic * (1 - Framing_factor/2)) * 24 * CDD * DUA) / (1000 * SEER[base]) * ADJAtticCool * IENetCorrection * %Cool</t>
  </si>
  <si>
    <t>IENetCorrection</t>
  </si>
  <si>
    <t>%Cool</t>
  </si>
  <si>
    <t>kWh _heatingElectric = (((1/R_old - 1/R_attic) * A_attic * (1 - Framing_factor_attic)) * 24 * HDD) / (COP[base] * 3412) * ADJAtticElectricHeat * %ElectricHeat</t>
  </si>
  <si>
    <t>kWh _heatingElectric</t>
  </si>
  <si>
    <t>kWh _heatingElectric (mid-life)</t>
  </si>
  <si>
    <t>ΔTherms = ((((1/R_old - 1/R_wall) * A_wall * (1-Framing_factor_wall)) + ((1/R_old - 1/R_attic) * A_attic * (1-Framing_factor_attic))) * 24 * HDD) / (ηHeat * 100,067 Btu/therm) * ADJAtticGasHeat * IENetCorrection * %GasHeat</t>
  </si>
  <si>
    <t>%GasHeat</t>
  </si>
  <si>
    <t>kWh_heatingGas</t>
  </si>
  <si>
    <t>kWh_heatingGas (mid-life)</t>
  </si>
  <si>
    <t>Deemed unknown values not used in algorithms</t>
  </si>
  <si>
    <t>Updated algorithms to include new variables</t>
  </si>
  <si>
    <t>Algorithm does not assume uninsulated assembly</t>
  </si>
  <si>
    <t>RES Shell'!$A$59</t>
  </si>
  <si>
    <t>4.4.37</t>
  </si>
  <si>
    <t>Updated EPG_gas to reflect updated shower temperature</t>
  </si>
  <si>
    <t>Updated heating EFLH tables for all affected measures.</t>
  </si>
  <si>
    <t>Water impacts are electric only</t>
  </si>
  <si>
    <t>Distributed School Efficiency Kit Bathroom Aerator</t>
  </si>
  <si>
    <t>Distributed School Efficiency Kit Kitchen Aerator</t>
  </si>
  <si>
    <t>Distributed School Efficiency Kit, (average of kitchen and bath)</t>
  </si>
  <si>
    <t>SCHOOL KITS</t>
  </si>
  <si>
    <t>NON-SCHOOL KITS</t>
  </si>
  <si>
    <t>Efficiency Kit Bathroom Aerator</t>
  </si>
  <si>
    <t>Efficiency Kit Kitchen Aerator</t>
  </si>
  <si>
    <t>Updated algorithms with new school ISR, broke out mail and food bank kit calculations from school kits given different ISRs</t>
  </si>
  <si>
    <t>RES DHW'!K73</t>
  </si>
  <si>
    <t>Distributed School Efficiency Kit</t>
  </si>
  <si>
    <t>Efficiency Kits - One showerhead kit</t>
  </si>
  <si>
    <t>Updated kit algorithm with new school ISR, broke out mail and food bank kit calculations from school kits given different ISRs; Updated SF DI algorithm with new ISR</t>
  </si>
  <si>
    <t>RES DHW'!C25</t>
  </si>
  <si>
    <t>with attic insulation</t>
  </si>
  <si>
    <t>low income, with attic insulation</t>
  </si>
  <si>
    <t>central cooling</t>
  </si>
  <si>
    <t>kWh_Cooling = ((((CFM50_existing - CFM50_new) / N[cool]) * 60 * 24 * CDD * DUA * 0.018) / (1000 *  SEER[base])) * LM * ADJAirSealingCool * IENetCorrection * %Cool</t>
  </si>
  <si>
    <t>therms = (((CFM50_existing - CFM50_new) / N[heat]) * 60 * 24 * HDD * 0.018) / (AFUE[base] * 100000) * ADJAirSealingGasHeat * IENetCorrection</t>
  </si>
  <si>
    <t>low income with attic insulation</t>
  </si>
  <si>
    <t>kWh = therms * F[e] * 29.3 * ADJAirSealingHeatFan * IENetCorrection</t>
  </si>
  <si>
    <t>kWh_Heating = (((CFM50_existing - CFM50_new) / N[heat]) * 60 * 24 * HDD * 0.018) / (COP[base] * 3412) * %ElectricHeat</t>
  </si>
  <si>
    <t>RES Shell'!B366</t>
  </si>
  <si>
    <t>1.1 Acknowledgments</t>
  </si>
  <si>
    <t>Updates to table of SAG/TAC Stakeholders</t>
  </si>
  <si>
    <t>2.2 Components of TRM Measure Characterizations</t>
  </si>
  <si>
    <t>Edits to ‘Deemed Lifetime of Efficient Equipment’ to be consistent with new language in the Glossary.</t>
  </si>
  <si>
    <t>3.3.1 LED Lamp and Linear Fixture Baseline Assumptions</t>
  </si>
  <si>
    <t>Updates to text to reflect new approach to LED Lamps.</t>
  </si>
  <si>
    <t>3.5 Glossary</t>
  </si>
  <si>
    <t xml:space="preserve">Addition of Drug Store and Auto Dealership building definitions. </t>
  </si>
  <si>
    <t>Public Sector terminology changed to Emergency Services, and definition provided. Term updated in all building type tables in volume 2.</t>
  </si>
  <si>
    <t>Clarification of Technical v Measure Lifetime definitions.</t>
  </si>
  <si>
    <t>3.5 Electrical Loadshapes (kWh)</t>
  </si>
  <si>
    <t>Addition of 6 new agricultural, 2 new Voltage Optimization and a Residential Electric Vehicle Charger Loadshapes.</t>
  </si>
  <si>
    <t>3.1 Discount Rates, Inflation Rates and O&amp;M Costs</t>
  </si>
  <si>
    <t>Update to nominal and real discount rates and inflation rate.</t>
  </si>
  <si>
    <t>Volume 2: Commercial and Industrial Measures</t>
  </si>
  <si>
    <t>CI-AGE-GROW-V02-210101</t>
  </si>
  <si>
    <t>Updates to eligibility, efficient and baseline assumptions.</t>
  </si>
  <si>
    <t>Updates to measure life and coincidence factors.</t>
  </si>
  <si>
    <t>Calculation methods provided for grow space square footage or per fixture.</t>
  </si>
  <si>
    <t>Additional hour assumptions for different crop types.</t>
  </si>
  <si>
    <t>Updates to HVAC interactive effects assumptions.</t>
  </si>
  <si>
    <t>4.1.12 Swine Heat Pads</t>
  </si>
  <si>
    <t>CI-AGE-HPAD-V01-210101</t>
  </si>
  <si>
    <t>CI-FSE-ESIM-V04-210101</t>
  </si>
  <si>
    <t>Correct typo of federal standard date.</t>
  </si>
  <si>
    <t>4.2.16 Kitchen Demand Ventilation Controls</t>
  </si>
  <si>
    <t>CI-FSE-VENT-V04-210101</t>
  </si>
  <si>
    <t>Addition of IECC 2018 code considerations.</t>
  </si>
  <si>
    <t>Update to measure life and cost assumptions.</t>
  </si>
  <si>
    <t>Increase in lifetime savings.</t>
  </si>
  <si>
    <t>4.3.1 Storage Water Heater</t>
  </si>
  <si>
    <t>CI-HWE-STWH-V06-210101</t>
  </si>
  <si>
    <t>Addition of all draw pattern baseline calculation algorithms plus note that same draw pattern should be used for efficient and baseline units.</t>
  </si>
  <si>
    <t>CI-HWE-OZLD-V05-210101</t>
  </si>
  <si>
    <t>Update to measure cost assumption.</t>
  </si>
  <si>
    <t>4.3.12 Tank Insulation</t>
  </si>
  <si>
    <t>CI-HWE-TKIN-V01-210101</t>
  </si>
  <si>
    <t>4.4.1 Air Conditioner Tune-up</t>
  </si>
  <si>
    <t>CI-HVC-ACTU-V06-210101</t>
  </si>
  <si>
    <t>Changed measure cost to be based on actual invoiced cost.</t>
  </si>
  <si>
    <t>4.4.2 Space Heating Boiler Tune-Up</t>
  </si>
  <si>
    <t>CI-HVC-BLRT-V07-210101</t>
  </si>
  <si>
    <t>Provided defaults for pre and post efficiency based on Guidehouse evaluation results.</t>
  </si>
  <si>
    <t>Language added allowing in-house staff to perform select tune-up activities.</t>
  </si>
  <si>
    <t>4.4.3 Process Boiler Tune-Up</t>
  </si>
  <si>
    <t>CI-HVC-PBTU-V06-210101</t>
  </si>
  <si>
    <t>4.4.4 Boiler Lockout/Reset Controls</t>
  </si>
  <si>
    <t>CI-HVC-BLRC-V04-210101</t>
  </si>
  <si>
    <t>Update to measure life assumption.</t>
  </si>
  <si>
    <t>Decrease in lifetime savings.</t>
  </si>
  <si>
    <t>CI-HVC-BOIL-V08-210101</t>
  </si>
  <si>
    <t xml:space="preserve">TAC decision to delay impact of Federal Standard until 1/1/2022 due to sell through of existing product. Added language of pending Standard. </t>
  </si>
  <si>
    <t>CI-HVC-FRNC-V10-210101</t>
  </si>
  <si>
    <t>Clarification of Federal Standard.</t>
  </si>
  <si>
    <t>Addition of HOURSyear assumptions for additional building types.</t>
  </si>
  <si>
    <t>4.4.12 Infrared Heaters</t>
  </si>
  <si>
    <t>CI-HVC-IRHT-V02-210101</t>
  </si>
  <si>
    <t>Modifications to measure to allow savings to be claimed by size.</t>
  </si>
  <si>
    <t>Updates to measure life and cost.</t>
  </si>
  <si>
    <t>4.4.14 Pipe Insulation</t>
  </si>
  <si>
    <t>CI-HVC-PINS-V06-210101</t>
  </si>
  <si>
    <t>Addition of reference to external tool allowing more flexibility and comprehensive analysis of pipe insulation projects.</t>
  </si>
  <si>
    <t>Update to wind speed assumption for outdoor pipe insulation from 9.4 mph to 5mph to account for greater shielding. GTI are looking in to adjusting their calculator tool and updating the defaults based on this new assumption.</t>
  </si>
  <si>
    <t>Decrease for outdoor application</t>
  </si>
  <si>
    <t>CI-HVC-STRE-V07-210101</t>
  </si>
  <si>
    <t>New additional algorithm provided for calculation of steam trap loss for low pressure systems.</t>
  </si>
  <si>
    <t>For MF space heating LPS systems, savings capped at 20% of building load.</t>
  </si>
  <si>
    <t>Addition of lifetime assumptions for Venturi Steam Traps</t>
  </si>
  <si>
    <t>Decrease for MF LPS</t>
  </si>
  <si>
    <t>CI-HVC-VSDHP-V08-210101</t>
  </si>
  <si>
    <t>Clarification that hours should be provided via Energy Management Software or metered.</t>
  </si>
  <si>
    <t>Addition of Hours assumptions for additional building types.</t>
  </si>
  <si>
    <t>4.4.26 Variable Speed Drives for HVAC Supply and Return Fans</t>
  </si>
  <si>
    <t>CI-HVC-VSDF-V06-210101</t>
  </si>
  <si>
    <t>Removal of language that implies all other VSD applications should be custom.</t>
  </si>
  <si>
    <t xml:space="preserve">Clarification that hours should be provided via Energy Management Software or metered. </t>
  </si>
  <si>
    <t>4.4.28 Stack Economizer for Boilers Serving HVAC Loads</t>
  </si>
  <si>
    <t>CI-HVC-BECO-V02-210101</t>
  </si>
  <si>
    <t>Fixed footnote issue.</t>
  </si>
  <si>
    <t>Added custom input for O&amp;M impacts rather than N/A.</t>
  </si>
  <si>
    <t>CI-HVC-CHAP-V05-210101</t>
  </si>
  <si>
    <t>Update to Heat Rate assumption based on eGrid 2018.</t>
  </si>
  <si>
    <t>CI-HVC-DSFN-V05-210101</t>
  </si>
  <si>
    <t>Recommendation for actual costs if known and other clarifications.</t>
  </si>
  <si>
    <t>Addition of commercial sized HP effective COP estimates.</t>
  </si>
  <si>
    <t>4.4.38 Covers and Gap Sealers for Room Air Conditioners</t>
  </si>
  <si>
    <t>CI-HVC-CRAC-V02-200101</t>
  </si>
  <si>
    <t>Fixing typos in algorithm that would result in incorrect savings.</t>
  </si>
  <si>
    <t>CI-HVC-GSHP-V04-210101</t>
  </si>
  <si>
    <t>Updates and clarifications on applicable codes.</t>
  </si>
  <si>
    <t>The gas heat consumption is now calculated consistently using 'FLH * Capacity' as opposed to using default assumptions.</t>
  </si>
  <si>
    <t>Adjustments to format of fuel switching calculations.</t>
  </si>
  <si>
    <t>The electric only scenario for fuel switches now appropriately incorporates the fuel switch part of the scenario, and not just the efficiency improvement.</t>
  </si>
  <si>
    <t xml:space="preserve">Assumptions for the remaining useful life of different types of existing equipment provided. </t>
  </si>
  <si>
    <t>Additional calculations provided to determine the total source energy savings to determine eligibility, and provided in example calculations.</t>
  </si>
  <si>
    <t>CI-HVC-ADAC-V03-210101</t>
  </si>
  <si>
    <t>Removal of Provisional Measure status.</t>
  </si>
  <si>
    <t>Edit to electric savings based on updated pilot study results and including energy penalty of AAC modules. Addition of natural gas savings.</t>
  </si>
  <si>
    <t>Addition of NC and DI program types.</t>
  </si>
  <si>
    <t>Updates to measure cost.</t>
  </si>
  <si>
    <t>4.4.48 Small Commercial Thermostats – Provisional Measure</t>
  </si>
  <si>
    <t>CI-HVC-THST-V02-210101</t>
  </si>
  <si>
    <t>Update to cooling assumption from 8% to 17.7% based on Guidehouse evaluation.</t>
  </si>
  <si>
    <t>Heating %Savings updated to 8.8% to reflect the manual only baseline from the residential measure. Footnotes relating to appropriate NTG application added.</t>
  </si>
  <si>
    <t>Propose remain Provisional Measure as additional evaluation on heating savings and on Advanced Thermostats would benefit this characterization.</t>
  </si>
  <si>
    <t>Increase in cooling and heating savings</t>
  </si>
  <si>
    <t>4.4.49 Boiler Chemical Descaling</t>
  </si>
  <si>
    <t>CI-HVC-BCHD-V01-210101</t>
  </si>
  <si>
    <t>4.4.50 Electric Chillers with Integrated Variable Speed Drives</t>
  </si>
  <si>
    <t>CI-HVC-CFVD-V01-210101</t>
  </si>
  <si>
    <t>4.4.51 Advanced Rooftop Controls with High Rotor Pole Switch Reluctance Motors</t>
  </si>
  <si>
    <t>CI-HVC-HSRM-V01-210101</t>
  </si>
  <si>
    <t>4.4.52 Hydronic Heating Radiator Replacement</t>
  </si>
  <si>
    <t>CI-HVC-HHRR-V01-210101</t>
  </si>
  <si>
    <t>4.5 Lighting End Use Factors</t>
  </si>
  <si>
    <t>Addition of hours and waste heat factors for 8 agriculture operations.</t>
  </si>
  <si>
    <t>Update to fixture annual operating hours and IF waste heat factors for Grocery.</t>
  </si>
  <si>
    <t>Addition of accounting for lighting controls in lighting hours assumptions.</t>
  </si>
  <si>
    <t>4.5.2 Fluorescent Delamping</t>
  </si>
  <si>
    <t>CI-LTG-DLMP-V03-210101</t>
  </si>
  <si>
    <t>Updates to T12:T8 weighting based on latest ComEd Baseline Study.</t>
  </si>
  <si>
    <t>CI-LTG-LEDB-V11-200101</t>
  </si>
  <si>
    <t xml:space="preserve">Lamp measures updated to reflect Lighting Working Group developed forecasts of natural LED growth. Impacts measure lifetime, mid-life baseline adjustment and O&amp;M impacts. </t>
  </si>
  <si>
    <t>Increase in lifetime savings</t>
  </si>
  <si>
    <t>CI-LTG-LEDB-V12-210101</t>
  </si>
  <si>
    <t>Update to v9 based on forecasts of natural LED growth.</t>
  </si>
  <si>
    <t>Update to T12 early replacement midlife adjustment based on 2019 ComEd baseline survey results.</t>
  </si>
  <si>
    <t>Update to LED Display Case Watts assumptions.</t>
  </si>
  <si>
    <t>Additional high lumen fixture assumptions added.</t>
  </si>
  <si>
    <t>4.5.8 Miscellaneous Commercial/ Industrial Lighting</t>
  </si>
  <si>
    <t>CI-LTG-MSCI-V04-210101</t>
  </si>
  <si>
    <t xml:space="preserve">Update to measure life assumption and ISR to make consistent with other measures. </t>
  </si>
  <si>
    <t>4.5.9 Multi-Level Lighting Switch</t>
  </si>
  <si>
    <t>CI-LTG-MLLC-V05-210101</t>
  </si>
  <si>
    <t>Update to measure life assumption</t>
  </si>
  <si>
    <t>4.5.10 Lighting Controls</t>
  </si>
  <si>
    <t>CI-LTG-OSLC-V06-210101</t>
  </si>
  <si>
    <t>Addition of new set of assumptions for Luminaire Level Lighting Controls (LLLCs) with high end trim and networking capabilities.</t>
  </si>
  <si>
    <t>Addition of (ESFEE – ESFBase) term in algorithm to allow comparison of any existing condition.</t>
  </si>
  <si>
    <t>Addition of prior assumptions for “Vacancy Sensors”.</t>
  </si>
  <si>
    <t>Addition of refrigerated case occupancy sensor assumptions.</t>
  </si>
  <si>
    <t>Update to measure lifetime. New lifetime specific to NLC/LLLCs, tied to fixture lifetime of 15 years added.</t>
  </si>
  <si>
    <t>Addition of language that where possible installation should be verified where savings beyond occupancy sensing are claimed.</t>
  </si>
  <si>
    <t>4.5.13 Occupancy Controlled Bi-Level Lighting Fixtures</t>
  </si>
  <si>
    <t>CI-LTG-OCBL-V04-210101</t>
  </si>
  <si>
    <t>4.5.16 LED Streetlighting</t>
  </si>
  <si>
    <t>CI-LTG-STRT-V02-210101</t>
  </si>
  <si>
    <t>Update to measure lifetime.</t>
  </si>
  <si>
    <t>Addition of TOS considerations with note that it is recommended to consider likely high freeridership for this measure as TOS.</t>
  </si>
  <si>
    <t>Update to early replacement remaining useful life.</t>
  </si>
  <si>
    <t>4.5.17 Exterior Photocell Repair</t>
  </si>
  <si>
    <t>CI-LTG-PHRP-V01-210101</t>
  </si>
  <si>
    <t>4.6.4 Electronically Commutated Motors (ECM) for Walk-in and Reach-in Coolers / Freezers</t>
  </si>
  <si>
    <t>CI-RFG-ECMF-V03-210101</t>
  </si>
  <si>
    <t>Addition of default motor size for when it is unknown.</t>
  </si>
  <si>
    <t>4.6.5 ENERGY STAR Refrigerated Beverage Vending Machine</t>
  </si>
  <si>
    <t>CI-RFG-ESVE- V04-210101</t>
  </si>
  <si>
    <t>Update to ENERGY STAR specification v4.0, effective April 2020.</t>
  </si>
  <si>
    <t>4.6.13 Add Doors to Open Refrigerated Display Cases</t>
  </si>
  <si>
    <t>CI-RFG-DOOR-V01-210101</t>
  </si>
  <si>
    <t>CI-CPA-DDRY-V02-210101</t>
  </si>
  <si>
    <t>Addition of Purge Reduction Factor.</t>
  </si>
  <si>
    <t>4.7.8 Desiccant Dryer Dew Point Demand Controls</t>
  </si>
  <si>
    <t>CI-CPA-DPDC-V01-210101</t>
  </si>
  <si>
    <t>4.7.9 Compressed Air Heat Recovery</t>
  </si>
  <si>
    <t>CI-CPA-CHR-V01-210101</t>
  </si>
  <si>
    <t>4.7.10 Compressed Air Storage Receiver Tank</t>
  </si>
  <si>
    <t>CI-CPA-CASRT-V01-210101</t>
  </si>
  <si>
    <t>4.7.11 Reduce Compressed Air Setpoint</t>
  </si>
  <si>
    <t>CI-CPA-RCAS-V01-210101</t>
  </si>
  <si>
    <t>4.8.1  Pump Optimization</t>
  </si>
  <si>
    <t>CI-MSC-PMPO-V03-210101</t>
  </si>
  <si>
    <t>Added loadshapes</t>
  </si>
  <si>
    <t>CI-MSC-RINS-V05-210101</t>
  </si>
  <si>
    <t>Reworded to use actual inputs if available for costs and existing conditions.</t>
  </si>
  <si>
    <t>CI-MSC-CPMS-V03-210101</t>
  </si>
  <si>
    <t>Addition of assumptions for adjusting power settings on individual units. Savings the same, difference in cost and lifetime.</t>
  </si>
  <si>
    <t>4.8.5 High Speed Clothes Washer</t>
  </si>
  <si>
    <t>CI-MSC-HSCW-V02-210101</t>
  </si>
  <si>
    <t>Clarification that this measure applies to facilities with gas dryers only.</t>
  </si>
  <si>
    <t>Update to Retained Moisture Content assumption.</t>
  </si>
  <si>
    <t>CI-MSC-COMP-V03-210101</t>
  </si>
  <si>
    <t>Update to ENERGY STAR v8, effective October 15th, 2020.</t>
  </si>
  <si>
    <t>4.8.8 High Efficiency Transformer</t>
  </si>
  <si>
    <t>CI-MSC-TRNS-V02-210101</t>
  </si>
  <si>
    <t>Updated loadshape to new Ameren and ComEd utility system loads rather than Flat.</t>
  </si>
  <si>
    <t>Review deadline set to 1/1/2022 as there is a potential update to the Federal Standard.</t>
  </si>
  <si>
    <t>4.8.14 Low Flow Toilets and Urinals</t>
  </si>
  <si>
    <t>CI-MSC-LFTU-V02-210101</t>
  </si>
  <si>
    <t>Updated number of flushes per day assumptions based on more appropriate reference.</t>
  </si>
  <si>
    <t>4.8.17 Switch Peripheral Equipment Consolidation</t>
  </si>
  <si>
    <t>CI-MSC-SPEC-V01-210101</t>
  </si>
  <si>
    <t xml:space="preserve">4.8.18 ENERGY STAR Uninterruptible Power Supply </t>
  </si>
  <si>
    <t>CI-MSC-UPSE-V01-210101</t>
  </si>
  <si>
    <t>4.8.19 Energy Efficient Rectifier</t>
  </si>
  <si>
    <t>CI-MSC-RECT-V01-210101</t>
  </si>
  <si>
    <t>4.8.20 Energy Efficient Hydraulic Oils - Provisional Measure</t>
  </si>
  <si>
    <t>CI-MSC-EEHO-V01-210101</t>
  </si>
  <si>
    <t>4.8.21 Energy Efficient Gear Lubricants - Provisional Measure</t>
  </si>
  <si>
    <t>CI-MSC-EEGL-V01-210101</t>
  </si>
  <si>
    <t>4.8.22 Smart Sockets</t>
  </si>
  <si>
    <t>CI-MSC-SSOC-V01-210101</t>
  </si>
  <si>
    <t xml:space="preserve">Volume 3 – Residential Measures </t>
  </si>
  <si>
    <t>RS-APL-ESAP-V04-210101</t>
  </si>
  <si>
    <t>Update due to ENERGY STAR Version 2.0, effective October 17, 2020.</t>
  </si>
  <si>
    <t>RS-APL-ESDH-V08-210101</t>
  </si>
  <si>
    <t>Update to ENERGY STAR Most Efficient specification and recalculation</t>
  </si>
  <si>
    <t>RS-APL-ESDI-V06-210101</t>
  </si>
  <si>
    <t>Fixing typo of ENERGY STAR version number</t>
  </si>
  <si>
    <t>RS-APL-ESRE-V08-200101</t>
  </si>
  <si>
    <t>Fixing error in CEE Tier 2 specification which was assuming 25% better than Federal Standard rather than 15%</t>
  </si>
  <si>
    <t>Decrease for CEE T2</t>
  </si>
  <si>
    <t>RS-APL-ESDR-V04-210101</t>
  </si>
  <si>
    <t>Addition of Most Efficient criteria and assumptions.</t>
  </si>
  <si>
    <t>RS-APL-OZNE-V03-210101</t>
  </si>
  <si>
    <t>Fixing typo of CEE tier used in calculation.</t>
  </si>
  <si>
    <t>5.1.13 Income Qualified: ENERGY STAR Room AC</t>
  </si>
  <si>
    <t>RS-APL-IQRA-V01-210101</t>
  </si>
  <si>
    <t>RS-CEL-SSTR-V06-210101</t>
  </si>
  <si>
    <t xml:space="preserve">Updates to ISR assumptions based on Guidehouse evaluation. </t>
  </si>
  <si>
    <t>5.2.2 Tier 2 Advanced Power Strip – Residential Audio Visual</t>
  </si>
  <si>
    <t>RS-CEL-APS2-V05-210101</t>
  </si>
  <si>
    <t>Removal of requirement for independent field testing.</t>
  </si>
  <si>
    <t>Replacement of manufacture specific performance bands with assumptions related to IR-only v IR-OS product types.</t>
  </si>
  <si>
    <t>RS-HVC-ASHP-V10-210101</t>
  </si>
  <si>
    <t>Addition of assumptions relating to fuel switch scenarios.</t>
  </si>
  <si>
    <t>Clarification that install costs should include any necessary electrical and distribution costs, and that defaults should not be used for fuel switch scenarios.</t>
  </si>
  <si>
    <t>Added defaults for HSPFadj assumption.</t>
  </si>
  <si>
    <t>Additional calculations provided to determine the total source energy savings to determine eligibility and provided in example calculations.</t>
  </si>
  <si>
    <t xml:space="preserve">5.3.2 Boiler Pipe Insulation </t>
  </si>
  <si>
    <t>RS-HVC-PINS-V04-210101</t>
  </si>
  <si>
    <t>Addition of language that if existing equipment efficiency is greater than new baseline efficiency, mid-life adjustment should not be applied.</t>
  </si>
  <si>
    <t>5.3.3 Central Air Conditioning</t>
  </si>
  <si>
    <t>RS-HVC-CAC1-V09-210101</t>
  </si>
  <si>
    <t xml:space="preserve">Added requested clarification on measure eligibility that while ENERGY STAR SEER is a requirement, the EER is not an absolute requirement. </t>
  </si>
  <si>
    <t>RS-HVC-DINS-V09-210101</t>
  </si>
  <si>
    <t>Energy Conservatory Blower Door method document and BPI Distribution Efficiency table saved to SharePoint and weblink removed from document.</t>
  </si>
  <si>
    <t>Mid-life adjustment calculation fixed for gas fueled systems to appropriate incorporate the change in equipment efficiency.</t>
  </si>
  <si>
    <t>RS-HVC-FBMT-V06-210101</t>
  </si>
  <si>
    <t>Removal of language relating to new high efficiency equipment, since this is now a retrofit only measure.</t>
  </si>
  <si>
    <t>Removal of TOS assumptions from savings tables.</t>
  </si>
  <si>
    <t>5.3.6 Gas High Efficiency Boiler</t>
  </si>
  <si>
    <t>RS-HVC-GHEB-V08-210101</t>
  </si>
  <si>
    <t>RS-HVC-GHEF-V10-210101</t>
  </si>
  <si>
    <t>Addition to cost assumption for 97% AFUE unit.</t>
  </si>
  <si>
    <t>Addition of Input Capacity and AFUE(eff) default assumptions.</t>
  </si>
  <si>
    <t>RS-HVC-GSHP-V10-210101</t>
  </si>
  <si>
    <t>Updated assumption for existing efficiency of GSHP being early replaced to 14SEER and 12 EER.</t>
  </si>
  <si>
    <t>5.3.10 HVAC Tune Up (Central Air Conditioning or Air Source Heat Pump)</t>
  </si>
  <si>
    <t>RS-HVC-TUNE-V06-210101</t>
  </si>
  <si>
    <t>Updated cost assumption</t>
  </si>
  <si>
    <t>RS-HVC-PROG-V07-210101</t>
  </si>
  <si>
    <t>Update to measure life to make consistent with Weighted Average Measure Life definitions.</t>
  </si>
  <si>
    <t>5.3.12 Ductless Heat Pump</t>
  </si>
  <si>
    <t>RS-HVC-DHP-V08-210101</t>
  </si>
  <si>
    <t>Update to EER assumptions to make consistent with Opinion Dynamics source.</t>
  </si>
  <si>
    <t>RS-HVC-FTUN-V06-210101</t>
  </si>
  <si>
    <t>Removal of HVAC SAVE methodology and assumptions.</t>
  </si>
  <si>
    <t>5.3.14 Boiler Reset Controls</t>
  </si>
  <si>
    <t>RS-HVC-BREC-V03-210101</t>
  </si>
  <si>
    <t>Updated measure life.</t>
  </si>
  <si>
    <t>Removal of mid-life adjustment for this measure, assuming that the BRC will last the remaining useful life of the existing boiler.</t>
  </si>
  <si>
    <t>RS-HVC-CFAN-V03-210101</t>
  </si>
  <si>
    <t>Fix reference to LED Fixture measure for lighting considerations. No further changes recommended.</t>
  </si>
  <si>
    <t>RS-HVC-ADTH-V05-210101</t>
  </si>
  <si>
    <t>Update to Heating_Reduction to include accounting for Thermostat Optimization savings.</t>
  </si>
  <si>
    <t>Updates to Eff_ISR, unknown SEER and EER variables.</t>
  </si>
  <si>
    <t>Footnotes relating to appropriate NTG application added.</t>
  </si>
  <si>
    <t>Increase in cooling energy savings, demand and heating savings</t>
  </si>
  <si>
    <t>5.3.17 Gas High Efficiency Combination Boiler</t>
  </si>
  <si>
    <t>RS-HVC-COMB-V02-210101</t>
  </si>
  <si>
    <t>Added reference to Federal Standard applying from 1/1/2022 due to sell through of existing product.</t>
  </si>
  <si>
    <t>5.3.18 Furnace Filter Alarm – Provisional Measure</t>
  </si>
  <si>
    <t>Measure removed due to evaluation showing ineffectual results and safety concerns over reliance on measure that may not work.</t>
  </si>
  <si>
    <t>5.3.19 Thermostatic Radiator Valves – Provisional Measure</t>
  </si>
  <si>
    <t>RS-HVC-TRVS-V01-210101</t>
  </si>
  <si>
    <t>5.4.1 Domestic Hot Water Pipe Insulation</t>
  </si>
  <si>
    <t>RS-HWE-PINS-V04-210101</t>
  </si>
  <si>
    <t>Addition of KITS and corresponding ISR assumption.</t>
  </si>
  <si>
    <t>5.4.2 Gas Water Heater</t>
  </si>
  <si>
    <t>RS-HWE-GWHT-V09-210101</t>
  </si>
  <si>
    <t>Addition of additional draw pattern Federal Standard algorithms, with default provided for &lt;55 gallons (Medium draw) and &gt;55 gallons (High draw).</t>
  </si>
  <si>
    <t>Efficient equipment rating at different draw patterns added.</t>
  </si>
  <si>
    <t>Removal of adjustment for tankless water heaters since UEF better reflect typical draw over 24 hour period.</t>
  </si>
  <si>
    <t>RS-HWE-HPWH-V10-210101</t>
  </si>
  <si>
    <t>5.4.4 Low Flow Faucet Aerators</t>
  </si>
  <si>
    <t>RS-HWE-LFFA-V10-210101</t>
  </si>
  <si>
    <t>Clarification added that secondary kWh savings from water supply/treatment should not be included in peak kW savings calculation.</t>
  </si>
  <si>
    <t>RS-HWE-TMPS-V08-210101</t>
  </si>
  <si>
    <t>Added language to include costs of information insert for when part of a kit program.</t>
  </si>
  <si>
    <t>Added ISR for instructions provided in kit.</t>
  </si>
  <si>
    <t>5.4.11 Drain Water Heat Recovery</t>
  </si>
  <si>
    <t>RS-DHW-DWHR-V01-210101</t>
  </si>
  <si>
    <t>RS-LTG-LEDD-V11-200101</t>
  </si>
  <si>
    <t>Lamp measures updated to reflect Lighting Working Group developed forecasts of natural LED growth. Impacts measure lifetime, mid-life baseline adjustment and O&amp;M impacts.</t>
  </si>
  <si>
    <t>Additional forecasts developed and utilized for Income Eligible populations.</t>
  </si>
  <si>
    <t>Accounting for IECC 2015/2018 in New Construction baseline. Baseline assumptions and incremental costs provided for NC program.</t>
  </si>
  <si>
    <t>Increase in lifetime savings. Decrease for New Construction</t>
  </si>
  <si>
    <t>RS-LTG-LEDD-V12-210101</t>
  </si>
  <si>
    <t>RS-LTG-LEDA-V9-200101</t>
  </si>
  <si>
    <t>RS-LTG-LEDA-V10-210101</t>
  </si>
  <si>
    <t>RS-LTG-LDFX-V03-200101</t>
  </si>
  <si>
    <t>RS-LTG-LDFX-V04-210101</t>
  </si>
  <si>
    <t>RS-SHL-AIRS-V09-210101</t>
  </si>
  <si>
    <t xml:space="preserve">5.6.2 Basement Sidewall Insulation </t>
  </si>
  <si>
    <t>RS-SHL-BINS-V11-210101</t>
  </si>
  <si>
    <t>Extra parenthesis in algorithm.</t>
  </si>
  <si>
    <t>5.6.3  Floor Insulation Above Crawlspace</t>
  </si>
  <si>
    <t>RS-SHL-FINS-V12-210101</t>
  </si>
  <si>
    <t>RS-SHL-WINS-V10-210101</t>
  </si>
  <si>
    <t xml:space="preserve">5.6.5 Ceiling/Attic Insulation </t>
  </si>
  <si>
    <t>RS-SHL-AINS-V03-210101</t>
  </si>
  <si>
    <t xml:space="preserve">5.6.6 Rim/Band Joist Insulation </t>
  </si>
  <si>
    <t>RS-SHL-RINS-V03-210101</t>
  </si>
  <si>
    <t>5.6.7 Low-E Storm Window</t>
  </si>
  <si>
    <t>RS-SHL-LESW-V01-210101</t>
  </si>
  <si>
    <t>5.7.3 Level 2 Electric Vehicle Charger</t>
  </si>
  <si>
    <t>RS-MSC-L2CH-V01-210101</t>
  </si>
  <si>
    <t xml:space="preserve">Volume 4 – Cross-Cutting Measures and Attachments </t>
  </si>
  <si>
    <t>6.1 Behavior</t>
  </si>
  <si>
    <t>6.1.1 Adjustments to Behavior Savings to Account for Persistence</t>
  </si>
  <si>
    <t>CC-BEH-BEHP-V04-210101</t>
  </si>
  <si>
    <t>Updated guidance for application for the 2022-2025 cycle.</t>
  </si>
  <si>
    <t>Additional adjustment to update of length of savings persistence for both electric and gas savings.</t>
  </si>
  <si>
    <t>Update to decay rate for both electric and gas savings.</t>
  </si>
  <si>
    <t>Added flexibility for measure life for non-RES HERs type programs to be &gt; 1 yr with defensible evaluation results.</t>
  </si>
  <si>
    <t>Added flexible language to provide opportunity to make the case for persistent savings from customer move-outs with defensible evaluation results.</t>
  </si>
  <si>
    <t>6.2 System Wide</t>
  </si>
  <si>
    <t>6.2.1 Voltage Optimization</t>
  </si>
  <si>
    <t>CC-SYS-VOPT-V01-210101</t>
  </si>
  <si>
    <t xml:space="preserve">Attachment B </t>
  </si>
  <si>
    <t>Update to custom lighting control measure life</t>
  </si>
  <si>
    <r>
      <t xml:space="preserve">Update to Cooling_Reduction and Cooling_DemandReduction value, to incorporate 90%/10% weighting of Guidehouse econometric evaluation results and the </t>
    </r>
    <r>
      <rPr>
        <sz val="11"/>
        <color theme="1"/>
        <rFont val="Calibri"/>
        <family val="2"/>
        <scheme val="minor"/>
      </rPr>
      <t xml:space="preserve">adjusted ENERGY STAR method for estimating runtime savings. It also now </t>
    </r>
    <r>
      <rPr>
        <sz val="11"/>
        <color rgb="FF000000"/>
        <rFont val="Calibri"/>
        <family val="2"/>
        <scheme val="minor"/>
      </rPr>
      <t xml:space="preserve">  accounts for Thermostat Optimization savings.</t>
    </r>
  </si>
  <si>
    <t>3.3.1</t>
  </si>
  <si>
    <t>4.1.12</t>
  </si>
  <si>
    <t>4.3.12</t>
  </si>
  <si>
    <t>4.4.2</t>
  </si>
  <si>
    <t>4.4.28</t>
  </si>
  <si>
    <t>4.4.38</t>
  </si>
  <si>
    <t>4.4.49</t>
  </si>
  <si>
    <t>4.4.50</t>
  </si>
  <si>
    <t>4.4.51</t>
  </si>
  <si>
    <t>4.4.52</t>
  </si>
  <si>
    <t>4.5.16</t>
  </si>
  <si>
    <t>4.5.17</t>
  </si>
  <si>
    <t>4.6.13</t>
  </si>
  <si>
    <t>4.7.8</t>
  </si>
  <si>
    <t>4.7.9</t>
  </si>
  <si>
    <t>4.7.10</t>
  </si>
  <si>
    <t>4.7.11</t>
  </si>
  <si>
    <t>4.8.5</t>
  </si>
  <si>
    <t>4.8.8</t>
  </si>
  <si>
    <t>4.8.17</t>
  </si>
  <si>
    <t>4.8.18</t>
  </si>
  <si>
    <t>4.8.19</t>
  </si>
  <si>
    <t>4.8.20</t>
  </si>
  <si>
    <t>4.8.21</t>
  </si>
  <si>
    <t>4.8.22</t>
  </si>
  <si>
    <t>5.1.13</t>
  </si>
  <si>
    <t>5.3.2</t>
  </si>
  <si>
    <t>5.3.14</t>
  </si>
  <si>
    <t>5.3.17</t>
  </si>
  <si>
    <t>5.3.19</t>
  </si>
  <si>
    <t>5.4.2</t>
  </si>
  <si>
    <t>5.4.11</t>
  </si>
  <si>
    <t>5.6.7</t>
  </si>
  <si>
    <t>5.7.3</t>
  </si>
  <si>
    <t>6.2.1</t>
  </si>
  <si>
    <t>Revisions</t>
  </si>
  <si>
    <t>2021 Adjustment</t>
  </si>
  <si>
    <t>Total:</t>
  </si>
  <si>
    <t>Count</t>
  </si>
  <si>
    <t>Not applicable. Total savings differential attributed to prior year adjustments.</t>
  </si>
  <si>
    <t>ISR update</t>
  </si>
  <si>
    <t>Update to heating EFLH for various building types</t>
  </si>
  <si>
    <t>Natural Gas Portfolio Measure (T/F)</t>
  </si>
  <si>
    <t>Total Updates</t>
  </si>
  <si>
    <t>Remaining Updates</t>
  </si>
  <si>
    <t>Unique Measures Impacted</t>
  </si>
  <si>
    <t>Overall Portfolio Impact (T/F)</t>
  </si>
  <si>
    <t>Impact on First Year Therm Savings (T/F)</t>
  </si>
  <si>
    <t>Workbook Reference (1)</t>
  </si>
  <si>
    <t>Link to Adjustment (1)</t>
  </si>
  <si>
    <t>Workbook Reference (2)</t>
  </si>
  <si>
    <t>Link to Adjustment (2)</t>
  </si>
  <si>
    <t>Workbook Reference (3)</t>
  </si>
  <si>
    <t>Link to Adjustment (3)</t>
  </si>
  <si>
    <t>Workbook Reference (4)</t>
  </si>
  <si>
    <t>Link to Adjustment (4)</t>
  </si>
  <si>
    <t>Measure savings are fixed, not IL TRM adjustable.</t>
  </si>
  <si>
    <t>Added draw pattern baseline calculation algorithms to measure characterization sheets. Note that the existing baseline calculations were already using the medium draw pattern algorithms, as the medium draw pattern algorithms were previously the only option for all water heater types in IL TRM v8. In absense of a default assumption, no updates were applied to the baseline calculations, assuming the medium draw pattern for planning purposes. Savings for this measure thus remain unchanged from IL TRM v8.</t>
  </si>
  <si>
    <t>Default TRM value for steam trap loss used in low pressure steam trap savings calculations. Savings remain unchanged from IL TRM v8.</t>
  </si>
  <si>
    <t>Actual multifamily building load unknown in planned savings estimates, with no guidance in IL TRM v9. For planning purposes, assuming that MF LPS system steam trap savings are less than or equal to 20% of building load. Savings remain unchanged from IL TRM v8.</t>
  </si>
  <si>
    <t>Updated Heating_Reduction values for manual, programmable, and unknown thermostat types. Note that only the unknown thermostat type value is used in savings calculations.</t>
  </si>
  <si>
    <t>single family natural gas heat (Retail Products, non-direct install)</t>
  </si>
  <si>
    <t>Other programs where not evaluated</t>
  </si>
  <si>
    <t>Updated therm savings formula Eff_ISR to 90% for non-direct install Advanced Thermostat (Retail Products program).
Workbook Reference (1): Addition of non-direct install Eff_ISR variable.
Workbook Reference (2): Addition of non-direct install therm savings value.
Workbook Reference (3): Update to Gross Therms/Unit reference for non-direct install Advanced Thermostat (Retail Products program).</t>
  </si>
  <si>
    <t>ΔTherm = ((Cexist / Rexist – Cnew / Rnew) * L * ΔT * 8,766 * ISR) / ηDHW /100,000</t>
  </si>
  <si>
    <t>Non-kits programs</t>
  </si>
  <si>
    <t>Eff_ISR</t>
  </si>
  <si>
    <t>Updated therm savings formula to include ISR. Savings unchanged from IL TRM v8, as non-kit ISR is 100%, and measure does not exist in kit programs.</t>
  </si>
  <si>
    <t>Distributed school efficient kit instructions</t>
  </si>
  <si>
    <t>Instructions provided in all other Kit programs</t>
  </si>
  <si>
    <t>Non-School Kits</t>
  </si>
  <si>
    <t>Update to Heating_Reduction to include accounting for Thermostat Optimization savings.
Updated therm savings formula Eff_ISR to 90% for non-direct install Advanced Thermostat (Retail Products program).</t>
  </si>
  <si>
    <t>All others</t>
  </si>
  <si>
    <t>Updated therm savings formula ISR for school kits, non-school kits, and audit/DI measures.
Workbook Reference (1): Update to school kit therm savings value with new ISR.
Workbook Reference (2): Addition of non-school kit therm savings value with new ISR.
Workbook Reference (3): Addition of audit &amp; DI therm savings value with new ISR.</t>
  </si>
  <si>
    <t>Update to ISR</t>
  </si>
  <si>
    <t>Advanced Thermostat Heating_Reduction (increases savings)</t>
  </si>
  <si>
    <t>Advanced Thermostat Heating_Reduction (increases savings)
Advanced Thermostat ISR (decreases savings for non-DI programs)</t>
  </si>
  <si>
    <t>Water Heater Temperature Setback ISR (decreases savings for kit measures)</t>
  </si>
  <si>
    <t>Adjusted Energy Savings Goal (Therm) - IL TRM v7</t>
  </si>
  <si>
    <t>Adjusted Energy Savings Goal (Therm) - IL TRM v8</t>
  </si>
  <si>
    <t>Adjusted Energy Savings Goal (Therm) - IL TRM v9</t>
  </si>
  <si>
    <t>Energy Savings Adjustment - Plan Goal to v7 (Therm)</t>
  </si>
  <si>
    <t>Energy Savings Adjustment - IL TRM v7 to v8 (Therm)</t>
  </si>
  <si>
    <t>Energy Savings Adjustment - IL TRM v8 to v9 (Therm)</t>
  </si>
  <si>
    <t>Energy Savings Adjustment - Plan Goal to IL TRM v9 (Therm)</t>
  </si>
  <si>
    <t>Updated pre and post efficiency to TRM default values.</t>
  </si>
  <si>
    <t>Attribute</t>
  </si>
  <si>
    <t>Efficient Input</t>
  </si>
  <si>
    <t>Input Assumption</t>
  </si>
  <si>
    <t>TRM Section</t>
  </si>
  <si>
    <t>TRM Measure Name</t>
  </si>
  <si>
    <t>TRM example</t>
  </si>
  <si>
    <t>IL TRM v9</t>
  </si>
  <si>
    <t>RSF</t>
  </si>
  <si>
    <t>Unknown Building Type, Springfield</t>
  </si>
  <si>
    <t>Therms(base)</t>
  </si>
  <si>
    <t>Therms(IR)</t>
  </si>
  <si>
    <t>Remaining Year Therms</t>
  </si>
  <si>
    <t>Therms Saved per Unit</t>
  </si>
  <si>
    <t>Created new measure characterization to reflect TRM savings modification.</t>
  </si>
  <si>
    <t>Btuh, AFUE ≥ 95 and &lt; 97 tier</t>
  </si>
  <si>
    <t>Updated to default input capacity and AFUE(eff) values.</t>
  </si>
  <si>
    <t>Update to pre and post efficiency with TRM default values.</t>
  </si>
  <si>
    <t>New default input capacity and AFUE(eff) values.</t>
  </si>
  <si>
    <t>Water Heater Temperature Setback ISR (increases savings for direct install, as 50% ISR was previously assumed)
Advanced Thermostat Heating_Reduction (increases savings)
Gas High Efficiency Furnace input capacity and AFUE (increases savings)</t>
  </si>
  <si>
    <t>Advanced Thermostat Heating_Reduction (increases savings)
Gas High Efficiency Furnace input capacity and AFUE (increases savings)</t>
  </si>
  <si>
    <t>Infrared Heater savings updated from deemed value to savings formula (decreases savings)
Gas Boiler Tune Up default efficiency values (decreases savings)</t>
  </si>
  <si>
    <t>Updated 01/19/2021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</si>
</sst>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0.0%"/>
    <numFmt numFmtId="168" formatCode="#,##0.0000"/>
    <numFmt numFmtId="169" formatCode="#,##0.000"/>
    <numFmt numFmtId="170" formatCode="#,##0.00000"/>
    <numFmt numFmtId="171" formatCode="#,##0.000000"/>
    <numFmt numFmtId="172" formatCode="_(* #,##0.000_);_(* \(#,##0.000\);_(* &quot;-&quot;??_);_(@_)"/>
    <numFmt numFmtId="173" formatCode="&quot;$&quot;#,##0"/>
    <numFmt numFmtId="174" formatCode="0.000"/>
    <numFmt numFmtId="175" formatCode="_(* #,##0.00000_);_(* \(#,##0.00000\);_(* &quot;-&quot;??_);_(@_)"/>
    <numFmt numFmtId="176" formatCode="#,##0.0000000"/>
    <numFmt numFmtId="177" formatCode="0.00000"/>
    <numFmt numFmtId="178" formatCode="_(* #,##0.0000_);_(* \(#,##0.0000\);_(* &quot;-&quot;??_);_(@_)"/>
    <numFmt numFmtId="179" formatCode="0.0"/>
    <numFmt numFmtId="180" formatCode="0.0000"/>
    <numFmt numFmtId="181" formatCode="#,##0.00;\-#,##0.00;&quot;-&quot;"/>
    <numFmt numFmtId="182" formatCode="&quot;$&quot;#,##0.0"/>
    <numFmt numFmtId="183" formatCode="0.000%"/>
    <numFmt numFmtId="184" formatCode="0.00;[Red]0.00"/>
    <numFmt numFmtId="185" formatCode="0;;0"/>
    <numFmt numFmtId="186" formatCode="&quot;$&quot;\ #,##0"/>
    <numFmt numFmtId="187" formatCode="&quot;$&quot;#,##0.000"/>
    <numFmt numFmtId="188" formatCode="0.0;;0"/>
    <numFmt numFmtId="189" formatCode="_(&quot;$&quot;* #,##0_);_(&quot;$&quot;* \(#,##0\);_(&quot;$&quot;* &quot;-&quot;??_);_(@_)"/>
    <numFmt numFmtId="190" formatCode="0.00;;0"/>
    <numFmt numFmtId="191" formatCode="#,##0;\-#,##0;0"/>
    <numFmt numFmtId="192" formatCode="#,##0.00;;0"/>
    <numFmt numFmtId="193" formatCode="&quot;$&quot;\ #,##0.00"/>
    <numFmt numFmtId="194" formatCode="_(&quot;$&quot;* #,##0.0000_);_(&quot;$&quot;* \(#,##0.0000\);_(&quot;$&quot;* &quot;-&quot;??_);_(@_)"/>
    <numFmt numFmtId="195" formatCode="0.0000000"/>
    <numFmt numFmtId="196" formatCode="#,##0;\-#,##0;&quot;-&quot;"/>
    <numFmt numFmtId="197" formatCode="0.0000;;0"/>
    <numFmt numFmtId="198" formatCode="0.000;;0"/>
    <numFmt numFmtId="199" formatCode="&quot;$&quot;#,##0.0000"/>
    <numFmt numFmtId="200" formatCode="General;;&quot;-&quot;"/>
    <numFmt numFmtId="201" formatCode="&quot;$&quot;\ #,##0.000"/>
    <numFmt numFmtId="202" formatCode="#,##0;;&quot;-&quot;"/>
    <numFmt numFmtId="203" formatCode="#,##0.0;;&quot;-&quot;"/>
    <numFmt numFmtId="204" formatCode="#,000.0;;0"/>
    <numFmt numFmtId="205" formatCode="0.0%;;0%"/>
    <numFmt numFmtId="206" formatCode="&quot;$&quot;#,000;;&quot;-&quot;"/>
    <numFmt numFmtId="207" formatCode="#,000.00;;0"/>
    <numFmt numFmtId="208" formatCode="0.0%;;&quot;-&quot;"/>
    <numFmt numFmtId="209" formatCode="#,##0.00;;&quot;-&quot;"/>
    <numFmt numFmtId="210" formatCode="&quot;$&quot;#,##0;;&quot;-&quot;"/>
    <numFmt numFmtId="211" formatCode="#,###;;&quot;-&quot;"/>
    <numFmt numFmtId="212" formatCode="#,###.00;;&quot;-&quot;"/>
    <numFmt numFmtId="213" formatCode="0.00;;&quot;-&quot;"/>
    <numFmt numFmtId="214" formatCode="&quot;$&quot;#,##0.000_);[Red]\(&quot;$&quot;#,##0.000\)"/>
    <numFmt numFmtId="215" formatCode="_(&quot;$&quot;* #,##0.0_);_(&quot;$&quot;* \(#,##0.0\);_(&quot;$&quot;* &quot;-&quot;??_);_(@_)"/>
    <numFmt numFmtId="216" formatCode="0.000000000"/>
  </numFmts>
  <fonts count="123" x14ac:knownFonts="1">
    <font>
      <sz val="11"/>
      <color theme="1"/>
      <name val="Calibri"/>
      <family val="2"/>
      <scheme val="minor"/>
    </font>
    <font>
      <sz val="11"/>
      <color theme="1"/>
      <name val="Calibri"/>
      <family val="2"/>
      <scheme val="minor"/>
    </font>
    <font>
      <b/>
      <sz val="9"/>
      <name val="Calibri"/>
      <family val="2"/>
      <scheme val="minor"/>
    </font>
    <font>
      <sz val="9"/>
      <name val="Calibri"/>
      <family val="2"/>
      <scheme val="minor"/>
    </font>
    <font>
      <b/>
      <sz val="11"/>
      <color theme="1"/>
      <name val="Calibri"/>
      <family val="2"/>
      <scheme val="minor"/>
    </font>
    <font>
      <sz val="10"/>
      <color theme="1"/>
      <name val="Calibri"/>
      <family val="2"/>
      <scheme val="minor"/>
    </font>
    <font>
      <sz val="11"/>
      <color theme="1"/>
      <name val="Arial"/>
      <family val="2"/>
    </font>
    <font>
      <b/>
      <sz val="14"/>
      <color theme="1"/>
      <name val="Arial"/>
      <family val="2"/>
    </font>
    <font>
      <b/>
      <sz val="11"/>
      <color theme="1"/>
      <name val="Arial"/>
      <family val="2"/>
    </font>
    <font>
      <sz val="11"/>
      <name val="Arial"/>
      <family val="2"/>
    </font>
    <font>
      <sz val="12"/>
      <color theme="1"/>
      <name val="Calibri"/>
      <family val="2"/>
      <scheme val="minor"/>
    </font>
    <font>
      <b/>
      <sz val="12"/>
      <color theme="0"/>
      <name val="Calibri"/>
      <family val="2"/>
      <scheme val="minor"/>
    </font>
    <font>
      <b/>
      <sz val="10"/>
      <color theme="1"/>
      <name val="Calibri"/>
      <family val="2"/>
      <scheme val="minor"/>
    </font>
    <font>
      <sz val="10"/>
      <name val="Calibri"/>
      <family val="2"/>
      <scheme val="minor"/>
    </font>
    <font>
      <i/>
      <sz val="12"/>
      <color theme="1"/>
      <name val="Calibri"/>
      <family val="2"/>
      <scheme val="minor"/>
    </font>
    <font>
      <b/>
      <sz val="10"/>
      <color theme="0"/>
      <name val="Calibri"/>
      <family val="2"/>
      <scheme val="minor"/>
    </font>
    <font>
      <b/>
      <sz val="12"/>
      <color theme="1"/>
      <name val="Calibri"/>
      <family val="2"/>
      <scheme val="minor"/>
    </font>
    <font>
      <b/>
      <sz val="11"/>
      <name val="Arial"/>
      <family val="2"/>
    </font>
    <font>
      <b/>
      <sz val="8"/>
      <color indexed="81"/>
      <name val="Tahoma"/>
      <family val="2"/>
    </font>
    <font>
      <sz val="8"/>
      <color indexed="81"/>
      <name val="Tahoma"/>
      <family val="2"/>
    </font>
    <font>
      <sz val="11"/>
      <name val="Calibri"/>
      <family val="2"/>
      <scheme val="minor"/>
    </font>
    <font>
      <sz val="11"/>
      <color rgb="FFFF0000"/>
      <name val="Calibri"/>
      <family val="2"/>
      <scheme val="minor"/>
    </font>
    <font>
      <b/>
      <sz val="11"/>
      <name val="Calibri"/>
      <family val="2"/>
      <scheme val="minor"/>
    </font>
    <font>
      <sz val="9"/>
      <color rgb="FFFF0000"/>
      <name val="Arial"/>
      <family val="2"/>
    </font>
    <font>
      <sz val="10"/>
      <color theme="1"/>
      <name val="Franklin Gothic Book"/>
      <family val="2"/>
    </font>
    <font>
      <b/>
      <sz val="10"/>
      <color theme="1"/>
      <name val="Franklin Gothic Book"/>
      <family val="2"/>
    </font>
    <font>
      <i/>
      <sz val="10"/>
      <color theme="1"/>
      <name val="Franklin Gothic Book"/>
      <family val="2"/>
    </font>
    <font>
      <sz val="10"/>
      <color rgb="FFC00000"/>
      <name val="Franklin Gothic Book"/>
      <family val="2"/>
    </font>
    <font>
      <sz val="10"/>
      <name val="Franklin Gothic Book"/>
      <family val="2"/>
    </font>
    <font>
      <b/>
      <sz val="9"/>
      <color indexed="81"/>
      <name val="Tahoma"/>
      <family val="2"/>
    </font>
    <font>
      <sz val="9"/>
      <color indexed="81"/>
      <name val="Tahoma"/>
      <family val="2"/>
    </font>
    <font>
      <sz val="12"/>
      <color theme="1"/>
      <name val="Arial"/>
      <family val="2"/>
    </font>
    <font>
      <b/>
      <sz val="12"/>
      <color theme="1"/>
      <name val="Arial"/>
      <family val="2"/>
    </font>
    <font>
      <u/>
      <sz val="9"/>
      <color indexed="81"/>
      <name val="Tahoma"/>
      <family val="2"/>
    </font>
    <font>
      <sz val="14"/>
      <color theme="1"/>
      <name val="Arial"/>
      <family val="2"/>
    </font>
    <font>
      <i/>
      <sz val="14"/>
      <color theme="1"/>
      <name val="Arial"/>
      <family val="2"/>
    </font>
    <font>
      <i/>
      <sz val="12"/>
      <color theme="1"/>
      <name val="Arial"/>
      <family val="2"/>
    </font>
    <font>
      <b/>
      <sz val="13"/>
      <color theme="1"/>
      <name val="Arial"/>
      <family val="2"/>
    </font>
    <font>
      <sz val="13"/>
      <color theme="1"/>
      <name val="Arial"/>
      <family val="2"/>
    </font>
    <font>
      <b/>
      <sz val="16"/>
      <color theme="1"/>
      <name val="Arial"/>
      <family val="2"/>
    </font>
    <font>
      <b/>
      <i/>
      <sz val="12"/>
      <color theme="1"/>
      <name val="Arial"/>
      <family val="2"/>
    </font>
    <font>
      <sz val="8"/>
      <color theme="1"/>
      <name val="Arial"/>
      <family val="2"/>
    </font>
    <font>
      <b/>
      <sz val="14"/>
      <color theme="1"/>
      <name val="Calibri"/>
      <family val="2"/>
      <scheme val="minor"/>
    </font>
    <font>
      <sz val="8"/>
      <color theme="1"/>
      <name val="Calibri"/>
      <family val="2"/>
      <scheme val="minor"/>
    </font>
    <font>
      <sz val="14"/>
      <color theme="1"/>
      <name val="Calibri"/>
      <family val="2"/>
      <scheme val="minor"/>
    </font>
    <font>
      <b/>
      <sz val="18"/>
      <color theme="1"/>
      <name val="Arial"/>
      <family val="2"/>
    </font>
    <font>
      <b/>
      <sz val="20"/>
      <color theme="1"/>
      <name val="Arial"/>
      <family val="2"/>
    </font>
    <font>
      <i/>
      <sz val="8"/>
      <color theme="1"/>
      <name val="Arial"/>
      <family val="2"/>
    </font>
    <font>
      <i/>
      <u/>
      <sz val="8"/>
      <color theme="1"/>
      <name val="Arial"/>
      <family val="2"/>
    </font>
    <font>
      <b/>
      <i/>
      <sz val="12"/>
      <name val="Arial"/>
      <family val="2"/>
    </font>
    <font>
      <sz val="10"/>
      <color theme="1"/>
      <name val="Arial"/>
      <family val="2"/>
    </font>
    <font>
      <b/>
      <u/>
      <sz val="9"/>
      <color indexed="81"/>
      <name val="Tahoma"/>
      <family val="2"/>
    </font>
    <font>
      <sz val="10"/>
      <color theme="1"/>
      <name val="Franklin Gothic Medium"/>
      <family val="2"/>
    </font>
    <font>
      <u/>
      <sz val="11"/>
      <color theme="1"/>
      <name val="Arial"/>
      <family val="2"/>
    </font>
    <font>
      <b/>
      <u/>
      <sz val="11"/>
      <color theme="1"/>
      <name val="Arial"/>
      <family val="2"/>
    </font>
    <font>
      <b/>
      <sz val="10"/>
      <name val="Calibri"/>
      <family val="2"/>
      <scheme val="minor"/>
    </font>
    <font>
      <sz val="9"/>
      <color theme="1"/>
      <name val="Calibri"/>
      <family val="2"/>
      <scheme val="minor"/>
    </font>
    <font>
      <b/>
      <sz val="10"/>
      <color rgb="FFFFFFFF"/>
      <name val="Calibri"/>
      <family val="2"/>
      <scheme val="minor"/>
    </font>
    <font>
      <u/>
      <sz val="11"/>
      <color theme="10"/>
      <name val="Calibri"/>
      <family val="2"/>
      <scheme val="minor"/>
    </font>
    <font>
      <b/>
      <sz val="12"/>
      <name val="Arial"/>
      <family val="2"/>
    </font>
    <font>
      <b/>
      <sz val="14"/>
      <color indexed="8"/>
      <name val="Calibri"/>
      <family val="2"/>
    </font>
    <font>
      <b/>
      <sz val="11"/>
      <color indexed="8"/>
      <name val="Calibri"/>
      <family val="2"/>
    </font>
    <font>
      <b/>
      <sz val="10"/>
      <name val="Arial"/>
      <family val="2"/>
    </font>
    <font>
      <sz val="11"/>
      <color indexed="8"/>
      <name val="Calibri"/>
      <family val="2"/>
    </font>
    <font>
      <sz val="11"/>
      <name val="Calibri"/>
      <family val="2"/>
    </font>
    <font>
      <b/>
      <sz val="11"/>
      <name val="Calibri"/>
      <family val="2"/>
    </font>
    <font>
      <sz val="11"/>
      <color theme="1"/>
      <name val="Calibri"/>
      <family val="2"/>
    </font>
    <font>
      <b/>
      <sz val="11"/>
      <color theme="9" tint="-0.249977111117893"/>
      <name val="Calibri"/>
      <family val="2"/>
    </font>
    <font>
      <sz val="16"/>
      <color rgb="FF000000"/>
      <name val="Calibri"/>
      <family val="2"/>
    </font>
    <font>
      <b/>
      <sz val="11"/>
      <color rgb="FF000000"/>
      <name val="Calibri"/>
      <family val="2"/>
    </font>
    <font>
      <b/>
      <sz val="9"/>
      <color rgb="FF000000"/>
      <name val="Calibri"/>
      <family val="2"/>
    </font>
    <font>
      <sz val="9"/>
      <color rgb="FF000000"/>
      <name val="Calibri"/>
      <family val="2"/>
    </font>
    <font>
      <b/>
      <sz val="10"/>
      <color rgb="FF0000FF"/>
      <name val="Calibri"/>
      <family val="2"/>
    </font>
    <font>
      <b/>
      <sz val="9"/>
      <color rgb="FF0000FF"/>
      <name val="Calibri"/>
      <family val="2"/>
    </font>
    <font>
      <sz val="9"/>
      <color rgb="FFFF0000"/>
      <name val="Calibri"/>
      <family val="2"/>
    </font>
    <font>
      <sz val="10"/>
      <color theme="0" tint="-0.249977111117893"/>
      <name val="Calibri"/>
      <family val="2"/>
      <scheme val="minor"/>
    </font>
    <font>
      <sz val="11"/>
      <color theme="0" tint="-0.249977111117893"/>
      <name val="Calibri"/>
      <family val="2"/>
      <scheme val="minor"/>
    </font>
    <font>
      <sz val="9"/>
      <name val="Calibri"/>
      <family val="2"/>
    </font>
    <font>
      <sz val="11"/>
      <color theme="0"/>
      <name val="Calibri"/>
      <family val="2"/>
      <scheme val="minor"/>
    </font>
    <font>
      <b/>
      <sz val="16"/>
      <name val="Calibri Light"/>
      <family val="1"/>
      <scheme val="major"/>
    </font>
    <font>
      <b/>
      <u/>
      <sz val="16"/>
      <name val="Calibri Light"/>
      <family val="1"/>
      <scheme val="major"/>
    </font>
    <font>
      <i/>
      <sz val="9"/>
      <name val="Calibri"/>
      <family val="2"/>
      <scheme val="minor"/>
    </font>
    <font>
      <b/>
      <u/>
      <sz val="11"/>
      <name val="Calibri"/>
      <family val="2"/>
      <scheme val="minor"/>
    </font>
    <font>
      <b/>
      <sz val="14"/>
      <name val="Calibri Light"/>
      <family val="1"/>
      <scheme val="major"/>
    </font>
    <font>
      <b/>
      <sz val="20"/>
      <name val="Calibri"/>
      <family val="2"/>
      <scheme val="minor"/>
    </font>
    <font>
      <b/>
      <sz val="11"/>
      <name val="Calibri Light"/>
      <family val="1"/>
      <scheme val="major"/>
    </font>
    <font>
      <sz val="11"/>
      <name val="Calibri Light"/>
      <family val="1"/>
      <scheme val="major"/>
    </font>
    <font>
      <b/>
      <sz val="12"/>
      <name val="Calibri Light"/>
      <family val="1"/>
      <scheme val="major"/>
    </font>
    <font>
      <b/>
      <sz val="16"/>
      <color theme="1"/>
      <name val="Calibri Light"/>
      <family val="1"/>
      <scheme val="major"/>
    </font>
    <font>
      <b/>
      <u/>
      <sz val="16"/>
      <color theme="1"/>
      <name val="Calibri Light"/>
      <family val="1"/>
      <scheme val="major"/>
    </font>
    <font>
      <b/>
      <sz val="14"/>
      <color theme="1"/>
      <name val="Calibri Light"/>
      <family val="1"/>
      <scheme val="major"/>
    </font>
    <font>
      <sz val="11"/>
      <color rgb="FF0070C0"/>
      <name val="Calibri"/>
      <family val="2"/>
      <scheme val="minor"/>
    </font>
    <font>
      <b/>
      <u/>
      <sz val="11"/>
      <color rgb="FFFF0000"/>
      <name val="Calibri"/>
      <family val="2"/>
      <scheme val="minor"/>
    </font>
    <font>
      <b/>
      <sz val="20"/>
      <color theme="1"/>
      <name val="Calibri"/>
      <family val="2"/>
      <scheme val="minor"/>
    </font>
    <font>
      <b/>
      <sz val="12"/>
      <color theme="1"/>
      <name val="Calibri Light"/>
      <family val="1"/>
      <scheme val="major"/>
    </font>
    <font>
      <b/>
      <sz val="11"/>
      <color theme="1"/>
      <name val="Calibri Light"/>
      <family val="1"/>
      <scheme val="major"/>
    </font>
    <font>
      <sz val="10"/>
      <color rgb="FF000000"/>
      <name val="Calibri"/>
      <family val="2"/>
      <scheme val="minor"/>
    </font>
    <font>
      <strike/>
      <sz val="11"/>
      <name val="Calibri"/>
      <family val="2"/>
      <scheme val="minor"/>
    </font>
    <font>
      <sz val="9"/>
      <name val="Arial"/>
      <family val="2"/>
    </font>
    <font>
      <b/>
      <sz val="9"/>
      <name val="Arial"/>
      <family val="2"/>
    </font>
    <font>
      <sz val="9"/>
      <color theme="1"/>
      <name val="Arial"/>
      <family val="2"/>
    </font>
    <font>
      <b/>
      <sz val="9"/>
      <name val="Calibri"/>
      <family val="2"/>
    </font>
    <font>
      <sz val="11"/>
      <color rgb="FFFF0000"/>
      <name val="Calibri"/>
      <family val="2"/>
    </font>
    <font>
      <b/>
      <sz val="16"/>
      <name val="Calibri Light"/>
      <family val="1"/>
      <scheme val="major"/>
    </font>
    <font>
      <sz val="11"/>
      <name val="Calibri"/>
      <family val="2"/>
      <scheme val="minor"/>
    </font>
    <font>
      <b/>
      <u/>
      <sz val="16"/>
      <name val="Calibri Light"/>
      <family val="1"/>
      <scheme val="major"/>
    </font>
    <font>
      <i/>
      <sz val="9"/>
      <name val="Calibri"/>
      <family val="2"/>
      <scheme val="minor"/>
    </font>
    <font>
      <b/>
      <sz val="11"/>
      <name val="Calibri"/>
      <family val="2"/>
      <scheme val="minor"/>
    </font>
    <font>
      <b/>
      <u/>
      <sz val="11"/>
      <name val="Calibri"/>
      <family val="2"/>
      <scheme val="minor"/>
    </font>
    <font>
      <sz val="11"/>
      <color theme="1"/>
      <name val="Calibri"/>
      <family val="2"/>
      <scheme val="minor"/>
    </font>
    <font>
      <sz val="10"/>
      <name val="Calibri"/>
      <family val="2"/>
      <scheme val="minor"/>
    </font>
    <font>
      <b/>
      <sz val="11"/>
      <color theme="1"/>
      <name val="Calibri"/>
      <family val="2"/>
      <scheme val="minor"/>
    </font>
    <font>
      <b/>
      <sz val="14"/>
      <name val="Calibri Light"/>
      <family val="1"/>
      <scheme val="major"/>
    </font>
    <font>
      <b/>
      <sz val="20"/>
      <name val="Calibri"/>
      <family val="2"/>
      <scheme val="minor"/>
    </font>
    <font>
      <b/>
      <sz val="11"/>
      <color rgb="FFFFFFFF"/>
      <name val="Calibri"/>
      <family val="2"/>
      <scheme val="minor"/>
    </font>
    <font>
      <sz val="11"/>
      <color rgb="FF000000"/>
      <name val="Calibri"/>
      <family val="2"/>
      <scheme val="minor"/>
    </font>
    <font>
      <b/>
      <sz val="11"/>
      <color theme="0"/>
      <name val="Calibri"/>
      <family val="2"/>
      <scheme val="minor"/>
    </font>
    <font>
      <b/>
      <sz val="11"/>
      <color rgb="FF000000"/>
      <name val="Calibri"/>
      <family val="2"/>
      <scheme val="minor"/>
    </font>
    <font>
      <sz val="11"/>
      <color rgb="FFC00000"/>
      <name val="Calibri"/>
      <family val="2"/>
      <scheme val="minor"/>
    </font>
    <font>
      <sz val="11"/>
      <color rgb="FFC00000"/>
      <name val="Arial"/>
      <family val="2"/>
    </font>
    <font>
      <b/>
      <sz val="11"/>
      <color rgb="FFC00000"/>
      <name val="Arial"/>
      <family val="2"/>
    </font>
    <font>
      <sz val="11"/>
      <color rgb="FF3F3F76"/>
      <name val="Calibri"/>
      <family val="2"/>
      <scheme val="minor"/>
    </font>
    <font>
      <sz val="11"/>
      <color rgb="FF777777"/>
      <name val="Calibri"/>
      <family val="2"/>
      <scheme val="minor"/>
    </font>
  </fonts>
  <fills count="56">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C000"/>
        <bgColor indexed="64"/>
      </patternFill>
    </fill>
    <fill>
      <patternFill patternType="solid">
        <fgColor theme="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indexed="64"/>
      </patternFill>
    </fill>
    <fill>
      <patternFill patternType="solid">
        <fgColor theme="9"/>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0000"/>
        <bgColor indexed="64"/>
      </patternFill>
    </fill>
    <fill>
      <patternFill patternType="solid">
        <fgColor rgb="FFCFFE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lightDown">
        <bgColor auto="1"/>
      </patternFill>
    </fill>
    <fill>
      <patternFill patternType="lightDown">
        <fgColor auto="1"/>
        <bgColor auto="1"/>
      </patternFill>
    </fill>
    <fill>
      <patternFill patternType="solid">
        <fgColor rgb="FF7F7F7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9"/>
        <bgColor indexed="64"/>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7"/>
        <bgColor indexed="64"/>
      </patternFill>
    </fill>
    <fill>
      <patternFill patternType="solid">
        <fgColor rgb="FFD0CECE"/>
        <bgColor rgb="FF000000"/>
      </patternFill>
    </fill>
    <fill>
      <patternFill patternType="solid">
        <fgColor rgb="FFDDEBF7"/>
        <bgColor rgb="FF000000"/>
      </patternFill>
    </fill>
    <fill>
      <patternFill patternType="solid">
        <fgColor rgb="FFFFFF00"/>
        <bgColor rgb="FF000000"/>
      </patternFill>
    </fill>
    <fill>
      <patternFill patternType="solid">
        <fgColor theme="0"/>
        <bgColor rgb="FF000000"/>
      </patternFill>
    </fill>
    <fill>
      <patternFill patternType="solid">
        <fgColor rgb="FF808080"/>
        <bgColor indexed="64"/>
      </patternFill>
    </fill>
    <fill>
      <patternFill patternType="solid">
        <fgColor theme="3"/>
        <bgColor indexed="64"/>
      </patternFill>
    </fill>
    <fill>
      <patternFill patternType="solid">
        <fgColor theme="8" tint="0.59999389629810485"/>
        <bgColor indexed="64"/>
      </patternFill>
    </fill>
    <fill>
      <patternFill patternType="solid">
        <fgColor rgb="FFFFCC99"/>
      </patternFill>
    </fill>
    <fill>
      <patternFill patternType="solid">
        <fgColor rgb="FFDDDDDD"/>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34998626667073579"/>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theme="0" tint="-0.34998626667073579"/>
      </left>
      <right style="thin">
        <color indexed="64"/>
      </right>
      <top style="thin">
        <color theme="0" tint="-0.24994659260841701"/>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style="thin">
        <color indexed="64"/>
      </top>
      <bottom/>
      <diagonal/>
    </border>
    <border>
      <left/>
      <right style="thin">
        <color theme="0" tint="-0.34998626667073579"/>
      </right>
      <top style="thin">
        <color indexed="64"/>
      </top>
      <bottom/>
      <diagonal/>
    </border>
    <border>
      <left style="thin">
        <color theme="0" tint="-0.34998626667073579"/>
      </left>
      <right/>
      <top style="thin">
        <color indexed="64"/>
      </top>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thin">
        <color theme="0" tint="-0.24994659260841701"/>
      </bottom>
      <diagonal/>
    </border>
    <border>
      <left style="thin">
        <color indexed="64"/>
      </left>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indexed="64"/>
      </left>
      <right style="thin">
        <color theme="0" tint="-0.34998626667073579"/>
      </right>
      <top style="thin">
        <color theme="0" tint="-0.24994659260841701"/>
      </top>
      <bottom style="thin">
        <color indexed="64"/>
      </bottom>
      <diagonal/>
    </border>
    <border>
      <left style="thin">
        <color theme="0" tint="-0.34998626667073579"/>
      </left>
      <right style="thin">
        <color theme="0" tint="-0.34998626667073579"/>
      </right>
      <top style="thin">
        <color theme="0" tint="-0.24994659260841701"/>
      </top>
      <bottom style="thin">
        <color indexed="64"/>
      </bottom>
      <diagonal/>
    </border>
    <border>
      <left style="thin">
        <color indexed="64"/>
      </left>
      <right style="thin">
        <color theme="0" tint="-0.34998626667073579"/>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indexed="64"/>
      </right>
      <top/>
      <bottom style="thin">
        <color theme="0" tint="-0.2499465926084170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theme="0" tint="-0.24994659260841701"/>
      </bottom>
      <diagonal/>
    </border>
    <border>
      <left style="thin">
        <color indexed="64"/>
      </left>
      <right style="medium">
        <color indexed="64"/>
      </right>
      <top style="medium">
        <color indexed="64"/>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0" tint="-0.34998626667073579"/>
      </right>
      <top/>
      <bottom/>
      <diagonal/>
    </border>
    <border>
      <left style="thin">
        <color theme="0" tint="-0.34998626667073579"/>
      </left>
      <right style="thin">
        <color indexed="64"/>
      </right>
      <top style="thin">
        <color theme="0" tint="-0.24994659260841701"/>
      </top>
      <bottom/>
      <diagonal/>
    </border>
    <border>
      <left style="thin">
        <color theme="0" tint="-0.24994659260841701"/>
      </left>
      <right style="thin">
        <color indexed="64"/>
      </right>
      <top style="thin">
        <color indexed="64"/>
      </top>
      <bottom style="thin">
        <color indexed="64"/>
      </bottom>
      <diagonal/>
    </border>
    <border>
      <left/>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diagonal/>
    </border>
    <border>
      <left/>
      <right/>
      <top/>
      <bottom style="thin">
        <color theme="0" tint="-0.24994659260841701"/>
      </bottom>
      <diagonal/>
    </border>
    <border>
      <left style="thin">
        <color indexed="64"/>
      </left>
      <right style="thin">
        <color theme="0" tint="-0.34998626667073579"/>
      </right>
      <top style="thin">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indexed="64"/>
      </right>
      <top/>
      <bottom/>
      <diagonal/>
    </border>
    <border>
      <left/>
      <right/>
      <top style="thin">
        <color theme="0" tint="-0.24994659260841701"/>
      </top>
      <bottom/>
      <diagonal/>
    </border>
    <border>
      <left/>
      <right style="medium">
        <color indexed="64"/>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rgb="FF7F7F7F"/>
      </left>
      <right style="thin">
        <color rgb="FF7F7F7F"/>
      </right>
      <top style="thin">
        <color rgb="FF7F7F7F"/>
      </top>
      <bottom style="thin">
        <color rgb="FF7F7F7F"/>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applyNumberFormat="0" applyFill="0" applyBorder="0" applyAlignment="0" applyProtection="0"/>
    <xf numFmtId="0" fontId="121" fillId="54" borderId="159" applyNumberFormat="0" applyAlignment="0" applyProtection="0"/>
  </cellStyleXfs>
  <cellXfs count="3180">
    <xf numFmtId="0" fontId="0" fillId="0" borderId="0" xfId="0"/>
    <xf numFmtId="0" fontId="0" fillId="5" borderId="0" xfId="0" applyFill="1"/>
    <xf numFmtId="0" fontId="0" fillId="0" borderId="0" xfId="0" applyFill="1"/>
    <xf numFmtId="3" fontId="2"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0" fontId="0" fillId="0" borderId="0" xfId="0" applyAlignment="1">
      <alignment vertical="center"/>
    </xf>
    <xf numFmtId="2" fontId="0" fillId="0" borderId="0" xfId="0" applyNumberFormat="1"/>
    <xf numFmtId="1" fontId="0" fillId="0" borderId="0" xfId="0" applyNumberFormat="1"/>
    <xf numFmtId="3" fontId="0" fillId="0" borderId="0" xfId="0" applyNumberFormat="1" applyAlignment="1">
      <alignment horizontal="left"/>
    </xf>
    <xf numFmtId="3" fontId="8" fillId="0" borderId="0" xfId="0" applyNumberFormat="1" applyFont="1" applyAlignment="1">
      <alignment horizontal="left"/>
    </xf>
    <xf numFmtId="3" fontId="8" fillId="9" borderId="0" xfId="0" applyNumberFormat="1" applyFont="1" applyFill="1" applyAlignment="1">
      <alignment horizontal="left"/>
    </xf>
    <xf numFmtId="167" fontId="0" fillId="7" borderId="0" xfId="0" applyNumberFormat="1" applyFont="1" applyFill="1" applyAlignment="1" applyProtection="1">
      <alignment horizontal="center"/>
      <protection locked="0"/>
    </xf>
    <xf numFmtId="3" fontId="6" fillId="10" borderId="0" xfId="0" applyNumberFormat="1" applyFont="1" applyFill="1" applyAlignment="1">
      <alignment horizontal="left"/>
    </xf>
    <xf numFmtId="4" fontId="6" fillId="10" borderId="0" xfId="0" applyNumberFormat="1" applyFont="1" applyFill="1" applyAlignment="1" applyProtection="1">
      <alignment horizontal="center"/>
      <protection locked="0"/>
    </xf>
    <xf numFmtId="3" fontId="6" fillId="0" borderId="0" xfId="0" applyNumberFormat="1" applyFont="1" applyAlignment="1">
      <alignment horizontal="left"/>
    </xf>
    <xf numFmtId="0" fontId="0" fillId="7" borderId="0" xfId="0" applyFont="1" applyFill="1" applyAlignment="1" applyProtection="1">
      <alignment horizontal="center"/>
      <protection locked="0"/>
    </xf>
    <xf numFmtId="0" fontId="0" fillId="0" borderId="0" xfId="0" applyFont="1" applyAlignment="1">
      <alignment horizontal="left"/>
    </xf>
    <xf numFmtId="4" fontId="6" fillId="7" borderId="0" xfId="0" applyNumberFormat="1" applyFont="1" applyFill="1" applyAlignment="1" applyProtection="1">
      <alignment horizontal="center"/>
      <protection locked="0"/>
    </xf>
    <xf numFmtId="0" fontId="0" fillId="0" borderId="0" xfId="0" applyAlignment="1">
      <alignment horizontal="right"/>
    </xf>
    <xf numFmtId="0" fontId="1" fillId="0" borderId="0" xfId="0" applyFont="1"/>
    <xf numFmtId="164" fontId="1" fillId="0" borderId="0" xfId="0" applyNumberFormat="1" applyFont="1"/>
    <xf numFmtId="0" fontId="1" fillId="0" borderId="0" xfId="0" applyNumberFormat="1" applyFont="1"/>
    <xf numFmtId="164" fontId="1" fillId="0" borderId="0" xfId="0" applyNumberFormat="1" applyFont="1"/>
    <xf numFmtId="0" fontId="1" fillId="0" borderId="0" xfId="0" applyFont="1"/>
    <xf numFmtId="43" fontId="1" fillId="0" borderId="0" xfId="0" applyNumberFormat="1" applyFont="1"/>
    <xf numFmtId="6" fontId="1" fillId="0" borderId="0" xfId="0" applyNumberFormat="1" applyFont="1"/>
    <xf numFmtId="4" fontId="1" fillId="0" borderId="0" xfId="0" applyNumberFormat="1" applyFont="1"/>
    <xf numFmtId="0" fontId="1" fillId="0" borderId="0" xfId="0" applyFont="1" applyAlignment="1">
      <alignment horizontal="right"/>
    </xf>
    <xf numFmtId="9" fontId="1" fillId="0" borderId="0" xfId="0" applyNumberFormat="1" applyFont="1"/>
    <xf numFmtId="0" fontId="1" fillId="0" borderId="5" xfId="0" applyFont="1" applyBorder="1"/>
    <xf numFmtId="0" fontId="1" fillId="15" borderId="5" xfId="0" applyFont="1" applyFill="1" applyBorder="1"/>
    <xf numFmtId="0" fontId="1" fillId="0" borderId="0" xfId="0" applyFont="1" applyBorder="1"/>
    <xf numFmtId="0" fontId="1" fillId="15" borderId="0" xfId="0" applyFont="1" applyFill="1" applyBorder="1"/>
    <xf numFmtId="0" fontId="1" fillId="16" borderId="0" xfId="0" applyFont="1" applyFill="1" applyBorder="1"/>
    <xf numFmtId="6" fontId="1" fillId="0" borderId="0" xfId="0" applyNumberFormat="1" applyFont="1" applyBorder="1"/>
    <xf numFmtId="0" fontId="1" fillId="0" borderId="0" xfId="0" applyFont="1" applyFill="1" applyBorder="1"/>
    <xf numFmtId="4" fontId="1" fillId="0" borderId="0" xfId="0" applyNumberFormat="1" applyFont="1" applyFill="1" applyBorder="1"/>
    <xf numFmtId="4" fontId="1" fillId="0" borderId="0" xfId="0" applyNumberFormat="1" applyFont="1" applyBorder="1"/>
    <xf numFmtId="0" fontId="1" fillId="0" borderId="0" xfId="0" applyFont="1" applyBorder="1" applyAlignment="1">
      <alignment horizontal="right"/>
    </xf>
    <xf numFmtId="0" fontId="0" fillId="0" borderId="0" xfId="0"/>
    <xf numFmtId="0" fontId="0" fillId="0" borderId="0" xfId="0" applyFill="1"/>
    <xf numFmtId="0" fontId="0" fillId="0" borderId="1" xfId="0" applyBorder="1"/>
    <xf numFmtId="164" fontId="0" fillId="0" borderId="0" xfId="0" applyNumberFormat="1" applyFont="1"/>
    <xf numFmtId="3" fontId="0" fillId="0" borderId="0" xfId="0" applyNumberFormat="1"/>
    <xf numFmtId="164" fontId="0" fillId="0" borderId="0" xfId="0" applyNumberFormat="1" applyFont="1" applyFill="1"/>
    <xf numFmtId="172" fontId="0" fillId="0" borderId="0" xfId="0" applyNumberFormat="1" applyFont="1" applyFill="1"/>
    <xf numFmtId="3" fontId="0" fillId="0" borderId="0" xfId="0" applyNumberFormat="1" applyFill="1"/>
    <xf numFmtId="0" fontId="0" fillId="7" borderId="0" xfId="0" applyFill="1"/>
    <xf numFmtId="173" fontId="0" fillId="0" borderId="0" xfId="0" applyNumberFormat="1" applyFill="1"/>
    <xf numFmtId="0" fontId="0" fillId="0" borderId="0" xfId="0" applyFont="1" applyFill="1" applyAlignment="1">
      <alignment horizontal="right"/>
    </xf>
    <xf numFmtId="6" fontId="0" fillId="0" borderId="0" xfId="0" applyNumberFormat="1" applyFill="1"/>
    <xf numFmtId="0" fontId="12" fillId="18" borderId="0" xfId="0" applyFont="1" applyFill="1" applyBorder="1" applyAlignment="1">
      <alignment horizontal="left" wrapText="1"/>
    </xf>
    <xf numFmtId="0" fontId="13" fillId="0" borderId="0" xfId="0" applyFont="1"/>
    <xf numFmtId="0" fontId="13" fillId="0" borderId="0" xfId="0" applyFont="1" applyFill="1"/>
    <xf numFmtId="0" fontId="12" fillId="0" borderId="0" xfId="0" applyFont="1" applyFill="1" applyBorder="1"/>
    <xf numFmtId="3" fontId="13" fillId="4" borderId="6" xfId="0" applyNumberFormat="1" applyFont="1" applyFill="1" applyBorder="1" applyAlignment="1">
      <alignment horizontal="right"/>
    </xf>
    <xf numFmtId="164" fontId="13" fillId="4" borderId="6" xfId="0" applyNumberFormat="1" applyFont="1" applyFill="1" applyBorder="1" applyAlignment="1">
      <alignment horizontal="right"/>
    </xf>
    <xf numFmtId="0" fontId="5" fillId="0" borderId="0" xfId="0" applyFont="1" applyFill="1"/>
    <xf numFmtId="0" fontId="5" fillId="0" borderId="0" xfId="0" applyFont="1" applyFill="1" applyBorder="1" applyAlignment="1">
      <alignment horizontal="right"/>
    </xf>
    <xf numFmtId="3" fontId="13" fillId="4" borderId="7" xfId="0" applyNumberFormat="1" applyFont="1" applyFill="1" applyBorder="1" applyAlignment="1">
      <alignment horizontal="right"/>
    </xf>
    <xf numFmtId="164" fontId="13" fillId="4" borderId="7" xfId="0" applyNumberFormat="1" applyFont="1" applyFill="1" applyBorder="1" applyAlignment="1">
      <alignment horizontal="right"/>
    </xf>
    <xf numFmtId="3" fontId="13" fillId="0" borderId="0" xfId="0" applyNumberFormat="1" applyFont="1" applyFill="1" applyAlignment="1">
      <alignment horizontal="left"/>
    </xf>
    <xf numFmtId="43" fontId="13" fillId="4" borderId="7" xfId="0" applyNumberFormat="1" applyFont="1" applyFill="1" applyBorder="1" applyAlignment="1">
      <alignment horizontal="right"/>
    </xf>
    <xf numFmtId="9" fontId="13" fillId="4" borderId="7" xfId="0" applyNumberFormat="1" applyFont="1" applyFill="1" applyBorder="1" applyAlignment="1">
      <alignment horizontal="right"/>
    </xf>
    <xf numFmtId="9" fontId="0" fillId="0" borderId="0" xfId="0" applyNumberFormat="1"/>
    <xf numFmtId="173" fontId="13" fillId="4" borderId="6" xfId="0" applyNumberFormat="1" applyFont="1" applyFill="1" applyBorder="1" applyAlignment="1">
      <alignment horizontal="right" wrapText="1"/>
    </xf>
    <xf numFmtId="0" fontId="13" fillId="0" borderId="0" xfId="0" applyFont="1" applyFill="1"/>
    <xf numFmtId="0" fontId="0" fillId="7" borderId="0" xfId="0" applyFill="1" applyAlignment="1">
      <alignment horizontal="left"/>
    </xf>
    <xf numFmtId="164" fontId="0" fillId="7" borderId="0" xfId="0" applyNumberFormat="1" applyFill="1" applyAlignment="1">
      <alignment horizontal="right"/>
    </xf>
    <xf numFmtId="164" fontId="13" fillId="4" borderId="8" xfId="0" applyNumberFormat="1" applyFont="1" applyFill="1" applyBorder="1" applyAlignment="1">
      <alignment horizontal="right" wrapText="1"/>
    </xf>
    <xf numFmtId="0" fontId="5" fillId="4" borderId="8" xfId="0" applyFont="1" applyFill="1" applyBorder="1" applyAlignment="1">
      <alignment horizontal="right"/>
    </xf>
    <xf numFmtId="0" fontId="0" fillId="0" borderId="0" xfId="0" applyAlignment="1">
      <alignment horizontal="left"/>
    </xf>
    <xf numFmtId="0" fontId="0" fillId="0" borderId="0" xfId="0" applyAlignment="1">
      <alignment horizontal="right"/>
    </xf>
    <xf numFmtId="0" fontId="13" fillId="18" borderId="1" xfId="0" applyFont="1" applyFill="1" applyBorder="1" applyAlignment="1">
      <alignment horizontal="right"/>
    </xf>
    <xf numFmtId="0" fontId="13" fillId="18" borderId="1" xfId="0" applyFont="1" applyFill="1" applyBorder="1"/>
    <xf numFmtId="0" fontId="13" fillId="18" borderId="0" xfId="0" applyFont="1" applyFill="1"/>
    <xf numFmtId="164" fontId="13" fillId="18" borderId="1" xfId="0" applyNumberFormat="1" applyFont="1" applyFill="1" applyBorder="1"/>
    <xf numFmtId="9" fontId="13" fillId="0" borderId="1" xfId="0" applyNumberFormat="1" applyFont="1" applyFill="1" applyBorder="1"/>
    <xf numFmtId="0" fontId="0" fillId="7" borderId="0" xfId="0" applyFill="1" applyAlignment="1">
      <alignment horizontal="right"/>
    </xf>
    <xf numFmtId="0" fontId="5" fillId="18" borderId="0" xfId="0" applyFont="1" applyFill="1"/>
    <xf numFmtId="0" fontId="13" fillId="13" borderId="1" xfId="0" applyFont="1" applyFill="1" applyBorder="1" applyAlignment="1">
      <alignment horizontal="right"/>
    </xf>
    <xf numFmtId="164" fontId="13" fillId="13" borderId="1" xfId="0" applyNumberFormat="1" applyFont="1" applyFill="1" applyBorder="1" applyAlignment="1">
      <alignment horizontal="right"/>
    </xf>
    <xf numFmtId="0" fontId="10" fillId="0" borderId="0" xfId="0" applyFont="1"/>
    <xf numFmtId="0" fontId="13" fillId="18" borderId="0" xfId="0" applyFont="1" applyFill="1" applyAlignment="1"/>
    <xf numFmtId="10" fontId="0" fillId="0" borderId="0" xfId="0" applyNumberFormat="1" applyAlignment="1">
      <alignment horizontal="right"/>
    </xf>
    <xf numFmtId="2" fontId="0" fillId="0" borderId="0" xfId="0" applyNumberFormat="1"/>
    <xf numFmtId="0" fontId="10" fillId="0" borderId="0" xfId="0" applyFont="1" applyFill="1"/>
    <xf numFmtId="43" fontId="0" fillId="0" borderId="0" xfId="0" applyNumberFormat="1" applyFill="1"/>
    <xf numFmtId="0" fontId="0" fillId="0" borderId="0" xfId="0" applyAlignment="1"/>
    <xf numFmtId="0" fontId="14" fillId="0" borderId="0" xfId="0" applyFont="1" applyAlignment="1">
      <alignment horizontal="right"/>
    </xf>
    <xf numFmtId="173" fontId="0" fillId="0" borderId="0" xfId="0" applyNumberFormat="1"/>
    <xf numFmtId="175" fontId="0" fillId="0" borderId="0" xfId="0" applyNumberFormat="1"/>
    <xf numFmtId="0" fontId="11" fillId="19" borderId="1" xfId="0" applyFont="1" applyFill="1" applyBorder="1" applyAlignment="1">
      <alignment horizontal="center"/>
    </xf>
    <xf numFmtId="0" fontId="0" fillId="0" borderId="0" xfId="0" applyBorder="1"/>
    <xf numFmtId="0" fontId="0" fillId="0" borderId="0" xfId="0" applyFill="1" applyBorder="1"/>
    <xf numFmtId="164" fontId="0" fillId="0" borderId="0" xfId="0" applyNumberFormat="1" applyFont="1" applyBorder="1"/>
    <xf numFmtId="175" fontId="0" fillId="0" borderId="0" xfId="0" applyNumberFormat="1" applyBorder="1"/>
    <xf numFmtId="166" fontId="0" fillId="0" borderId="0" xfId="0" applyNumberFormat="1"/>
    <xf numFmtId="2" fontId="0" fillId="0" borderId="0" xfId="0" applyNumberFormat="1" applyFill="1"/>
    <xf numFmtId="9" fontId="0" fillId="0" borderId="0" xfId="0" applyNumberFormat="1" applyFill="1"/>
    <xf numFmtId="3" fontId="0" fillId="0" borderId="1" xfId="0" applyNumberFormat="1" applyBorder="1"/>
    <xf numFmtId="2" fontId="0" fillId="0" borderId="0" xfId="0" applyNumberFormat="1" applyFont="1"/>
    <xf numFmtId="6" fontId="0" fillId="0" borderId="0" xfId="0" applyNumberFormat="1" applyAlignment="1">
      <alignment horizontal="right"/>
    </xf>
    <xf numFmtId="9" fontId="0" fillId="0" borderId="0" xfId="0" applyNumberFormat="1" applyFill="1" applyAlignment="1">
      <alignment horizontal="right"/>
    </xf>
    <xf numFmtId="10" fontId="0" fillId="0" borderId="0" xfId="0" applyNumberFormat="1" applyFill="1" applyAlignment="1">
      <alignment horizontal="right"/>
    </xf>
    <xf numFmtId="9" fontId="0" fillId="0" borderId="0" xfId="0" applyNumberFormat="1" applyAlignment="1">
      <alignment horizontal="right"/>
    </xf>
    <xf numFmtId="164" fontId="0" fillId="0" borderId="0" xfId="0" applyNumberFormat="1" applyFont="1" applyFill="1" applyAlignment="1">
      <alignment horizontal="right"/>
    </xf>
    <xf numFmtId="0" fontId="15" fillId="17" borderId="1" xfId="0" applyFont="1" applyFill="1" applyBorder="1" applyAlignment="1">
      <alignment horizontal="center" vertical="center" wrapText="1"/>
    </xf>
    <xf numFmtId="0" fontId="15" fillId="17" borderId="1" xfId="0" applyFont="1" applyFill="1" applyBorder="1" applyAlignment="1">
      <alignment horizontal="center" vertical="center"/>
    </xf>
    <xf numFmtId="9" fontId="0" fillId="0" borderId="1" xfId="0" applyNumberFormat="1" applyBorder="1"/>
    <xf numFmtId="2" fontId="0" fillId="0" borderId="0" xfId="0" applyNumberFormat="1" applyAlignment="1">
      <alignment horizontal="right"/>
    </xf>
    <xf numFmtId="0" fontId="15" fillId="17" borderId="7" xfId="0" applyFont="1" applyFill="1" applyBorder="1" applyAlignment="1">
      <alignment horizontal="center" vertical="center" wrapText="1"/>
    </xf>
    <xf numFmtId="0" fontId="0" fillId="0" borderId="0" xfId="0" applyFill="1" applyAlignment="1">
      <alignment horizontal="right"/>
    </xf>
    <xf numFmtId="3" fontId="0" fillId="0" borderId="0" xfId="0" applyNumberFormat="1" applyFill="1" applyAlignment="1">
      <alignment horizontal="right"/>
    </xf>
    <xf numFmtId="0" fontId="0" fillId="12" borderId="0" xfId="0" applyFill="1"/>
    <xf numFmtId="2" fontId="0" fillId="12" borderId="0" xfId="0" applyNumberFormat="1" applyFont="1" applyFill="1"/>
    <xf numFmtId="10" fontId="0" fillId="12" borderId="0" xfId="0" applyNumberFormat="1" applyFill="1" applyAlignment="1">
      <alignment horizontal="right"/>
    </xf>
    <xf numFmtId="0" fontId="16" fillId="0" borderId="0" xfId="0" applyFont="1"/>
    <xf numFmtId="2" fontId="16" fillId="0" borderId="0" xfId="0" applyNumberFormat="1" applyFont="1"/>
    <xf numFmtId="0" fontId="1" fillId="14" borderId="0" xfId="0" applyFont="1" applyFill="1"/>
    <xf numFmtId="3" fontId="1" fillId="0" borderId="0" xfId="0" applyNumberFormat="1" applyFont="1"/>
    <xf numFmtId="0" fontId="0" fillId="0" borderId="0" xfId="0" applyFont="1"/>
    <xf numFmtId="3" fontId="0" fillId="0" borderId="0" xfId="0" applyNumberFormat="1" applyFont="1"/>
    <xf numFmtId="3" fontId="1" fillId="7" borderId="0" xfId="0" applyNumberFormat="1" applyFont="1" applyFill="1" applyAlignment="1" applyProtection="1">
      <alignment horizontal="center"/>
      <protection locked="0"/>
    </xf>
    <xf numFmtId="3" fontId="1" fillId="0" borderId="0" xfId="0" applyNumberFormat="1" applyFont="1" applyFill="1" applyAlignment="1" applyProtection="1">
      <alignment horizontal="center"/>
      <protection locked="0"/>
    </xf>
    <xf numFmtId="0" fontId="1" fillId="0" borderId="0" xfId="0" applyFont="1" applyFill="1" applyAlignment="1" applyProtection="1">
      <alignment horizontal="center"/>
      <protection locked="0"/>
    </xf>
    <xf numFmtId="4" fontId="1" fillId="0" borderId="0" xfId="0" applyNumberFormat="1" applyFont="1" applyFill="1" applyAlignment="1" applyProtection="1">
      <alignment horizontal="center"/>
      <protection locked="0"/>
    </xf>
    <xf numFmtId="0" fontId="1" fillId="0" borderId="0" xfId="0" applyFont="1"/>
    <xf numFmtId="9" fontId="1" fillId="0" borderId="0" xfId="0" applyNumberFormat="1" applyFont="1" applyFill="1" applyAlignment="1" applyProtection="1">
      <alignment horizontal="center"/>
      <protection locked="0"/>
    </xf>
    <xf numFmtId="3" fontId="1" fillId="0" borderId="0" xfId="0" applyNumberFormat="1" applyFont="1" applyFill="1" applyAlignment="1">
      <alignment horizontal="left"/>
    </xf>
    <xf numFmtId="0" fontId="1" fillId="0" borderId="0" xfId="0" applyFont="1" applyFill="1" applyAlignment="1">
      <alignment horizontal="center"/>
    </xf>
    <xf numFmtId="0" fontId="0" fillId="0" borderId="9" xfId="0" applyFont="1" applyBorder="1"/>
    <xf numFmtId="0" fontId="1" fillId="0" borderId="10" xfId="0" applyFont="1" applyBorder="1"/>
    <xf numFmtId="0" fontId="1" fillId="0" borderId="11" xfId="0" applyFont="1" applyBorder="1"/>
    <xf numFmtId="0" fontId="0" fillId="0" borderId="0" xfId="0" applyFont="1" applyBorder="1"/>
    <xf numFmtId="3" fontId="1" fillId="0" borderId="0" xfId="0" applyNumberFormat="1" applyFont="1" applyBorder="1"/>
    <xf numFmtId="170" fontId="1" fillId="0" borderId="0" xfId="0" applyNumberFormat="1" applyFont="1" applyBorder="1"/>
    <xf numFmtId="0" fontId="0" fillId="0" borderId="12" xfId="0" applyFont="1" applyBorder="1"/>
    <xf numFmtId="9" fontId="1" fillId="0" borderId="0" xfId="0" applyNumberFormat="1" applyFont="1" applyBorder="1"/>
    <xf numFmtId="4" fontId="4" fillId="0" borderId="0" xfId="0" applyNumberFormat="1" applyFont="1" applyFill="1" applyAlignment="1">
      <alignment horizontal="center"/>
    </xf>
    <xf numFmtId="168" fontId="1" fillId="0" borderId="0" xfId="0" applyNumberFormat="1" applyFont="1"/>
    <xf numFmtId="10" fontId="1" fillId="0" borderId="0" xfId="0" applyNumberFormat="1" applyFont="1"/>
    <xf numFmtId="0" fontId="1" fillId="0" borderId="13" xfId="0" applyFont="1" applyBorder="1"/>
    <xf numFmtId="0" fontId="1" fillId="0" borderId="14" xfId="0" applyFont="1" applyBorder="1"/>
    <xf numFmtId="3" fontId="1" fillId="0" borderId="14" xfId="0" applyNumberFormat="1" applyFont="1" applyBorder="1"/>
    <xf numFmtId="4" fontId="1" fillId="0" borderId="14" xfId="0" applyNumberFormat="1" applyFont="1" applyBorder="1"/>
    <xf numFmtId="170" fontId="1" fillId="0" borderId="14" xfId="0" applyNumberFormat="1" applyFont="1" applyBorder="1"/>
    <xf numFmtId="9" fontId="1" fillId="7" borderId="0" xfId="0" applyNumberFormat="1" applyFont="1" applyFill="1"/>
    <xf numFmtId="3" fontId="1" fillId="0" borderId="0" xfId="0" applyNumberFormat="1" applyFont="1" applyFill="1" applyAlignment="1">
      <alignment horizontal="center"/>
    </xf>
    <xf numFmtId="0" fontId="1" fillId="0" borderId="9" xfId="0" applyFont="1" applyBorder="1"/>
    <xf numFmtId="9" fontId="1" fillId="0" borderId="0" xfId="0" applyNumberFormat="1" applyFont="1" applyAlignment="1">
      <alignment horizontal="center"/>
    </xf>
    <xf numFmtId="4" fontId="0" fillId="0" borderId="12" xfId="0" applyNumberFormat="1" applyFont="1" applyBorder="1"/>
    <xf numFmtId="0" fontId="1" fillId="0" borderId="0" xfId="0" applyFont="1" applyAlignment="1">
      <alignment horizontal="center"/>
    </xf>
    <xf numFmtId="4" fontId="1" fillId="0" borderId="12" xfId="0" applyNumberFormat="1" applyFont="1" applyBorder="1"/>
    <xf numFmtId="4" fontId="4" fillId="0" borderId="0" xfId="0" applyNumberFormat="1" applyFont="1" applyAlignment="1">
      <alignment horizontal="center"/>
    </xf>
    <xf numFmtId="10" fontId="1" fillId="0" borderId="0" xfId="0" applyNumberFormat="1" applyFont="1" applyAlignment="1">
      <alignment horizontal="center"/>
    </xf>
    <xf numFmtId="4" fontId="1" fillId="0" borderId="15" xfId="0" applyNumberFormat="1" applyFont="1" applyBorder="1"/>
    <xf numFmtId="166" fontId="1" fillId="0" borderId="0" xfId="0" applyNumberFormat="1" applyFont="1" applyFill="1" applyAlignment="1" applyProtection="1">
      <alignment horizontal="center"/>
      <protection locked="0"/>
    </xf>
    <xf numFmtId="167" fontId="1" fillId="0" borderId="0" xfId="0" applyNumberFormat="1" applyFont="1" applyFill="1" applyAlignment="1" applyProtection="1">
      <alignment horizontal="center"/>
      <protection locked="0"/>
    </xf>
    <xf numFmtId="168" fontId="4" fillId="0" borderId="0" xfId="0" applyNumberFormat="1" applyFont="1" applyFill="1" applyAlignment="1">
      <alignment horizontal="center"/>
    </xf>
    <xf numFmtId="3" fontId="1" fillId="0" borderId="0" xfId="0" applyNumberFormat="1" applyFont="1" applyFill="1" applyAlignment="1">
      <alignment wrapText="1"/>
    </xf>
    <xf numFmtId="10" fontId="1" fillId="0" borderId="0" xfId="0" applyNumberFormat="1" applyFont="1" applyFill="1" applyAlignment="1" applyProtection="1">
      <alignment horizontal="center"/>
      <protection locked="0"/>
    </xf>
    <xf numFmtId="166" fontId="1" fillId="0" borderId="0" xfId="0" applyNumberFormat="1" applyFont="1" applyBorder="1"/>
    <xf numFmtId="166" fontId="1" fillId="0" borderId="14" xfId="0" applyNumberFormat="1" applyFont="1" applyBorder="1"/>
    <xf numFmtId="0" fontId="0" fillId="0" borderId="15" xfId="0" applyFont="1" applyBorder="1"/>
    <xf numFmtId="166" fontId="1" fillId="0" borderId="0" xfId="0" applyNumberFormat="1" applyFont="1"/>
    <xf numFmtId="170" fontId="1" fillId="0" borderId="0" xfId="0" applyNumberFormat="1" applyFont="1"/>
    <xf numFmtId="3" fontId="0" fillId="0" borderId="0" xfId="0" applyNumberFormat="1" applyFont="1" applyFill="1" applyAlignment="1">
      <alignment horizontal="left"/>
    </xf>
    <xf numFmtId="164" fontId="10" fillId="0" borderId="0" xfId="2" applyNumberFormat="1" applyFont="1" applyFill="1"/>
    <xf numFmtId="9" fontId="10" fillId="0" borderId="0" xfId="1" applyFont="1" applyFill="1"/>
    <xf numFmtId="167" fontId="0" fillId="0" borderId="0" xfId="0" applyNumberFormat="1"/>
    <xf numFmtId="0" fontId="8" fillId="9" borderId="0" xfId="0" applyFont="1" applyFill="1"/>
    <xf numFmtId="3" fontId="0" fillId="9" borderId="0" xfId="0" applyNumberFormat="1" applyFill="1" applyAlignment="1">
      <alignment horizontal="left"/>
    </xf>
    <xf numFmtId="3" fontId="0" fillId="0" borderId="0" xfId="0" applyNumberFormat="1" applyAlignment="1">
      <alignment horizontal="left"/>
    </xf>
    <xf numFmtId="3" fontId="0" fillId="7" borderId="0" xfId="0" applyNumberFormat="1" applyFill="1" applyAlignment="1" applyProtection="1">
      <alignment horizontal="left"/>
      <protection locked="0"/>
    </xf>
    <xf numFmtId="3" fontId="0" fillId="7" borderId="0" xfId="0" applyNumberFormat="1" applyFill="1" applyAlignment="1" applyProtection="1">
      <alignment horizontal="center"/>
      <protection locked="0"/>
    </xf>
    <xf numFmtId="173" fontId="0" fillId="7" borderId="0" xfId="0" applyNumberFormat="1" applyFont="1" applyFill="1" applyAlignment="1" applyProtection="1">
      <alignment horizontal="center"/>
      <protection locked="0"/>
    </xf>
    <xf numFmtId="10" fontId="0" fillId="7" borderId="0" xfId="0" applyNumberFormat="1" applyFont="1" applyFill="1" applyAlignment="1" applyProtection="1">
      <alignment horizontal="center"/>
      <protection locked="0"/>
    </xf>
    <xf numFmtId="4" fontId="0" fillId="7" borderId="0" xfId="0" applyNumberFormat="1" applyFill="1" applyAlignment="1" applyProtection="1">
      <alignment horizontal="center"/>
      <protection locked="0"/>
    </xf>
    <xf numFmtId="4" fontId="0" fillId="9" borderId="0" xfId="0" applyNumberFormat="1" applyFill="1" applyAlignment="1" applyProtection="1">
      <alignment horizontal="center"/>
      <protection locked="0"/>
    </xf>
    <xf numFmtId="169" fontId="0" fillId="9" borderId="0" xfId="0" applyNumberFormat="1" applyFill="1" applyAlignment="1" applyProtection="1">
      <alignment horizontal="center"/>
      <protection locked="0"/>
    </xf>
    <xf numFmtId="3" fontId="8" fillId="0" borderId="0" xfId="0" applyNumberFormat="1" applyFont="1" applyAlignment="1">
      <alignment horizontal="left"/>
    </xf>
    <xf numFmtId="4" fontId="8" fillId="0" borderId="0" xfId="0" applyNumberFormat="1" applyFont="1" applyAlignment="1">
      <alignment horizontal="center"/>
    </xf>
    <xf numFmtId="168" fontId="8" fillId="0" borderId="0" xfId="0" applyNumberFormat="1" applyFont="1" applyAlignment="1">
      <alignment horizontal="center"/>
    </xf>
    <xf numFmtId="170" fontId="0" fillId="9" borderId="0" xfId="0" applyNumberFormat="1" applyFill="1" applyAlignment="1" applyProtection="1">
      <alignment horizontal="center"/>
      <protection locked="0"/>
    </xf>
    <xf numFmtId="170" fontId="8" fillId="0" borderId="0" xfId="0" applyNumberFormat="1" applyFont="1" applyAlignment="1">
      <alignment horizontal="center"/>
    </xf>
    <xf numFmtId="0" fontId="17" fillId="9" borderId="0" xfId="0" applyFont="1" applyFill="1" applyAlignment="1">
      <alignment horizontal="left"/>
    </xf>
    <xf numFmtId="169" fontId="0" fillId="7" borderId="0" xfId="0" applyNumberFormat="1" applyFill="1" applyAlignment="1" applyProtection="1">
      <alignment horizontal="center"/>
      <protection locked="0"/>
    </xf>
    <xf numFmtId="168" fontId="0" fillId="9" borderId="0" xfId="0" applyNumberFormat="1" applyFill="1" applyAlignment="1" applyProtection="1">
      <alignment horizontal="center"/>
      <protection locked="0"/>
    </xf>
    <xf numFmtId="169" fontId="0" fillId="9" borderId="0" xfId="0" applyNumberFormat="1" applyFill="1" applyAlignment="1">
      <alignment horizontal="center"/>
    </xf>
    <xf numFmtId="4" fontId="8" fillId="9" borderId="0" xfId="0" applyNumberFormat="1" applyFont="1" applyFill="1" applyAlignment="1">
      <alignment horizontal="center"/>
    </xf>
    <xf numFmtId="3" fontId="0" fillId="9" borderId="0" xfId="0" applyNumberFormat="1" applyFill="1" applyAlignment="1">
      <alignment horizontal="left"/>
    </xf>
    <xf numFmtId="0" fontId="6" fillId="7" borderId="0" xfId="0" applyFont="1" applyFill="1" applyAlignment="1" applyProtection="1">
      <alignment horizontal="center"/>
      <protection locked="0"/>
    </xf>
    <xf numFmtId="3" fontId="6" fillId="7" borderId="0" xfId="0" applyNumberFormat="1" applyFont="1" applyFill="1" applyAlignment="1" applyProtection="1">
      <alignment horizontal="center"/>
      <protection locked="0"/>
    </xf>
    <xf numFmtId="173" fontId="6" fillId="7" borderId="0" xfId="0" applyNumberFormat="1" applyFont="1" applyFill="1" applyAlignment="1" applyProtection="1">
      <alignment horizontal="center"/>
      <protection locked="0"/>
    </xf>
    <xf numFmtId="10" fontId="6" fillId="7" borderId="0" xfId="0" applyNumberFormat="1" applyFont="1" applyFill="1" applyAlignment="1" applyProtection="1">
      <alignment horizontal="center"/>
      <protection locked="0"/>
    </xf>
    <xf numFmtId="4" fontId="6" fillId="9" borderId="0" xfId="0" applyNumberFormat="1" applyFont="1" applyFill="1" applyAlignment="1" applyProtection="1">
      <alignment horizontal="center"/>
      <protection locked="0"/>
    </xf>
    <xf numFmtId="169" fontId="6" fillId="9" borderId="0" xfId="0" applyNumberFormat="1" applyFont="1" applyFill="1" applyAlignment="1" applyProtection="1">
      <alignment horizontal="center"/>
      <protection locked="0"/>
    </xf>
    <xf numFmtId="4" fontId="8" fillId="0" borderId="0" xfId="0" applyNumberFormat="1" applyFont="1" applyAlignment="1">
      <alignment horizontal="center"/>
    </xf>
    <xf numFmtId="170" fontId="6" fillId="9" borderId="0" xfId="0" applyNumberFormat="1" applyFont="1" applyFill="1" applyAlignment="1" applyProtection="1">
      <alignment horizontal="center"/>
      <protection locked="0"/>
    </xf>
    <xf numFmtId="167" fontId="6" fillId="7" borderId="0" xfId="0" applyNumberFormat="1" applyFont="1" applyFill="1" applyAlignment="1" applyProtection="1">
      <alignment horizontal="center"/>
      <protection locked="0"/>
    </xf>
    <xf numFmtId="4" fontId="6" fillId="9" borderId="0" xfId="0" applyNumberFormat="1" applyFont="1" applyFill="1" applyAlignment="1" applyProtection="1">
      <alignment horizontal="center"/>
      <protection locked="0"/>
    </xf>
    <xf numFmtId="3" fontId="6" fillId="0" borderId="0" xfId="0" applyNumberFormat="1" applyFont="1" applyAlignment="1">
      <alignment horizontal="left"/>
    </xf>
    <xf numFmtId="3" fontId="6" fillId="9" borderId="0" xfId="0" applyNumberFormat="1" applyFont="1" applyFill="1" applyAlignment="1">
      <alignment horizontal="left"/>
    </xf>
    <xf numFmtId="4" fontId="6" fillId="7" borderId="0" xfId="0" applyNumberFormat="1" applyFont="1" applyFill="1" applyAlignment="1" applyProtection="1">
      <alignment horizontal="center"/>
      <protection locked="0"/>
    </xf>
    <xf numFmtId="169" fontId="6" fillId="7" borderId="0" xfId="0" applyNumberFormat="1" applyFont="1" applyFill="1" applyAlignment="1" applyProtection="1">
      <alignment horizontal="center"/>
      <protection locked="0"/>
    </xf>
    <xf numFmtId="168" fontId="6" fillId="9" borderId="0" xfId="0" applyNumberFormat="1" applyFont="1" applyFill="1" applyAlignment="1" applyProtection="1">
      <alignment horizontal="center"/>
      <protection locked="0"/>
    </xf>
    <xf numFmtId="3" fontId="6" fillId="9" borderId="0" xfId="0" applyNumberFormat="1" applyFont="1" applyFill="1" applyAlignment="1">
      <alignment horizontal="center"/>
    </xf>
    <xf numFmtId="170" fontId="6" fillId="9" borderId="0" xfId="0" applyNumberFormat="1" applyFont="1" applyFill="1" applyAlignment="1" applyProtection="1">
      <alignment horizontal="center"/>
      <protection locked="0"/>
    </xf>
    <xf numFmtId="3" fontId="6" fillId="7" borderId="0" xfId="0" applyNumberFormat="1" applyFont="1" applyFill="1" applyAlignment="1" applyProtection="1">
      <alignment horizontal="left"/>
      <protection locked="0"/>
    </xf>
    <xf numFmtId="9" fontId="6" fillId="7" borderId="0" xfId="0" applyNumberFormat="1" applyFont="1" applyFill="1" applyAlignment="1" applyProtection="1">
      <alignment horizontal="center"/>
      <protection locked="0"/>
    </xf>
    <xf numFmtId="4" fontId="6" fillId="0" borderId="0" xfId="0" applyNumberFormat="1" applyFont="1" applyFill="1" applyAlignment="1" applyProtection="1">
      <alignment horizontal="center"/>
      <protection locked="0"/>
    </xf>
    <xf numFmtId="168" fontId="6" fillId="0" borderId="0" xfId="0" applyNumberFormat="1" applyFont="1" applyAlignment="1">
      <alignment horizontal="center"/>
    </xf>
    <xf numFmtId="165" fontId="1" fillId="0" borderId="0" xfId="0" applyNumberFormat="1" applyFont="1" applyFill="1" applyAlignment="1" applyProtection="1">
      <alignment horizontal="center"/>
      <protection locked="0"/>
    </xf>
    <xf numFmtId="0" fontId="0" fillId="0" borderId="9" xfId="0" applyBorder="1"/>
    <xf numFmtId="0" fontId="0" fillId="0" borderId="5" xfId="0" applyBorder="1"/>
    <xf numFmtId="0" fontId="0" fillId="0" borderId="10"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4" xfId="0" applyBorder="1"/>
    <xf numFmtId="0" fontId="0" fillId="0" borderId="15" xfId="0" applyBorder="1"/>
    <xf numFmtId="8" fontId="0" fillId="0" borderId="11" xfId="0" applyNumberFormat="1" applyBorder="1"/>
    <xf numFmtId="8" fontId="0" fillId="0" borderId="13" xfId="0" applyNumberFormat="1" applyBorder="1"/>
    <xf numFmtId="0" fontId="4" fillId="0" borderId="9" xfId="0" applyFont="1" applyBorder="1"/>
    <xf numFmtId="0" fontId="0" fillId="0" borderId="5" xfId="0" applyFont="1" applyBorder="1"/>
    <xf numFmtId="0" fontId="1" fillId="0" borderId="12" xfId="0" applyFont="1" applyBorder="1"/>
    <xf numFmtId="0" fontId="1" fillId="0" borderId="15" xfId="0" applyFont="1" applyBorder="1"/>
    <xf numFmtId="176" fontId="4" fillId="0" borderId="0" xfId="0" applyNumberFormat="1" applyFont="1" applyFill="1" applyAlignment="1">
      <alignment horizontal="center"/>
    </xf>
    <xf numFmtId="0" fontId="4" fillId="0" borderId="5" xfId="0" applyFont="1" applyBorder="1"/>
    <xf numFmtId="0" fontId="1" fillId="0" borderId="6" xfId="0" applyFont="1" applyBorder="1"/>
    <xf numFmtId="0" fontId="20" fillId="0" borderId="0" xfId="0" applyFont="1" applyFill="1" applyAlignment="1">
      <alignment horizontal="right"/>
    </xf>
    <xf numFmtId="170" fontId="0" fillId="0" borderId="5" xfId="0" applyNumberFormat="1" applyBorder="1"/>
    <xf numFmtId="0" fontId="1" fillId="0" borderId="0" xfId="0" applyFont="1" applyBorder="1"/>
    <xf numFmtId="0" fontId="1" fillId="14" borderId="0" xfId="0" applyFont="1" applyFill="1" applyBorder="1"/>
    <xf numFmtId="0" fontId="0" fillId="0" borderId="0" xfId="0" applyFont="1" applyAlignment="1">
      <alignment horizontal="right"/>
    </xf>
    <xf numFmtId="0" fontId="0" fillId="0" borderId="0" xfId="0" applyFont="1"/>
    <xf numFmtId="0" fontId="0" fillId="0" borderId="0" xfId="0" applyFont="1" applyBorder="1"/>
    <xf numFmtId="0" fontId="0" fillId="0" borderId="0" xfId="0" applyFont="1" applyFill="1"/>
    <xf numFmtId="174" fontId="0" fillId="0" borderId="0" xfId="0" applyNumberFormat="1"/>
    <xf numFmtId="177" fontId="0" fillId="0" borderId="0" xfId="0" applyNumberFormat="1"/>
    <xf numFmtId="0" fontId="1" fillId="9" borderId="0" xfId="0" applyFont="1" applyFill="1"/>
    <xf numFmtId="43" fontId="0" fillId="0" borderId="0" xfId="2" applyNumberFormat="1" applyFont="1"/>
    <xf numFmtId="0" fontId="0" fillId="0" borderId="0" xfId="0" applyBorder="1" applyAlignment="1">
      <alignment horizontal="left"/>
    </xf>
    <xf numFmtId="2" fontId="0" fillId="0" borderId="0" xfId="0" applyNumberFormat="1" applyBorder="1"/>
    <xf numFmtId="174" fontId="0" fillId="0" borderId="0" xfId="0" applyNumberFormat="1" applyBorder="1"/>
    <xf numFmtId="0" fontId="4" fillId="0" borderId="5" xfId="0" applyFont="1" applyBorder="1"/>
    <xf numFmtId="4" fontId="1" fillId="9" borderId="0" xfId="0" applyNumberFormat="1" applyFont="1" applyFill="1" applyBorder="1"/>
    <xf numFmtId="4" fontId="1" fillId="9" borderId="14" xfId="0" applyNumberFormat="1" applyFont="1" applyFill="1" applyBorder="1"/>
    <xf numFmtId="0" fontId="1" fillId="9" borderId="11" xfId="0" applyFont="1" applyFill="1" applyBorder="1"/>
    <xf numFmtId="0" fontId="1" fillId="9" borderId="0" xfId="0" applyFont="1" applyFill="1" applyBorder="1"/>
    <xf numFmtId="3" fontId="1" fillId="9" borderId="0" xfId="0" applyNumberFormat="1" applyFont="1" applyFill="1" applyBorder="1"/>
    <xf numFmtId="0" fontId="1" fillId="2" borderId="11" xfId="0" applyFont="1" applyFill="1" applyBorder="1"/>
    <xf numFmtId="0" fontId="1" fillId="2" borderId="0" xfId="0" applyFont="1" applyFill="1" applyBorder="1"/>
    <xf numFmtId="3" fontId="1" fillId="2" borderId="0" xfId="0" applyNumberFormat="1" applyFont="1" applyFill="1" applyBorder="1"/>
    <xf numFmtId="4" fontId="1" fillId="2" borderId="0" xfId="0" applyNumberFormat="1" applyFont="1" applyFill="1" applyBorder="1"/>
    <xf numFmtId="0" fontId="1" fillId="12" borderId="0" xfId="0" applyFont="1" applyFill="1" applyBorder="1"/>
    <xf numFmtId="0" fontId="0" fillId="0" borderId="5" xfId="0" applyFont="1" applyFill="1" applyBorder="1"/>
    <xf numFmtId="0" fontId="1" fillId="0" borderId="5" xfId="0" applyFont="1" applyFill="1" applyBorder="1"/>
    <xf numFmtId="0" fontId="1" fillId="0" borderId="10" xfId="0" applyFont="1" applyFill="1" applyBorder="1"/>
    <xf numFmtId="166" fontId="1" fillId="0" borderId="0" xfId="0" applyNumberFormat="1" applyFont="1" applyFill="1" applyBorder="1"/>
    <xf numFmtId="0" fontId="0" fillId="0" borderId="12" xfId="0" applyFont="1" applyFill="1" applyBorder="1"/>
    <xf numFmtId="0" fontId="1" fillId="0" borderId="14" xfId="0" applyFont="1" applyFill="1" applyBorder="1"/>
    <xf numFmtId="4" fontId="1" fillId="0" borderId="14" xfId="0" applyNumberFormat="1" applyFont="1" applyFill="1" applyBorder="1"/>
    <xf numFmtId="166" fontId="1" fillId="0" borderId="14" xfId="0" applyNumberFormat="1" applyFont="1" applyFill="1" applyBorder="1"/>
    <xf numFmtId="0" fontId="0" fillId="0" borderId="15" xfId="0" applyFont="1" applyFill="1" applyBorder="1"/>
    <xf numFmtId="168" fontId="1" fillId="0" borderId="0" xfId="0" applyNumberFormat="1" applyFont="1" applyFill="1" applyBorder="1"/>
    <xf numFmtId="168" fontId="1" fillId="0" borderId="14" xfId="0" applyNumberFormat="1" applyFont="1" applyFill="1" applyBorder="1"/>
    <xf numFmtId="0" fontId="0" fillId="9" borderId="5" xfId="0" applyFont="1" applyFill="1" applyBorder="1"/>
    <xf numFmtId="168" fontId="1" fillId="9" borderId="0" xfId="0" applyNumberFormat="1" applyFont="1" applyFill="1" applyBorder="1"/>
    <xf numFmtId="0" fontId="0" fillId="9" borderId="0" xfId="0" applyFont="1" applyFill="1" applyBorder="1"/>
    <xf numFmtId="0" fontId="1" fillId="0" borderId="11" xfId="0" applyFont="1" applyFill="1" applyBorder="1"/>
    <xf numFmtId="0" fontId="0" fillId="0" borderId="0" xfId="0" applyFont="1" applyFill="1" applyBorder="1"/>
    <xf numFmtId="0" fontId="1" fillId="0" borderId="13" xfId="0" applyFont="1" applyFill="1" applyBorder="1"/>
    <xf numFmtId="0" fontId="20" fillId="0" borderId="0" xfId="0" applyFont="1" applyFill="1"/>
    <xf numFmtId="3" fontId="20" fillId="0" borderId="0" xfId="0" applyNumberFormat="1" applyFont="1" applyFill="1" applyAlignment="1">
      <alignment horizontal="left"/>
    </xf>
    <xf numFmtId="3" fontId="20" fillId="0" borderId="0" xfId="0" applyNumberFormat="1" applyFont="1" applyFill="1" applyAlignment="1" applyProtection="1">
      <alignment horizontal="center"/>
      <protection locked="0"/>
    </xf>
    <xf numFmtId="168" fontId="22" fillId="0" borderId="0" xfId="0" applyNumberFormat="1" applyFont="1" applyFill="1" applyAlignment="1">
      <alignment horizontal="center"/>
    </xf>
    <xf numFmtId="0" fontId="4" fillId="0" borderId="0" xfId="0" applyFont="1"/>
    <xf numFmtId="168" fontId="4" fillId="0" borderId="0" xfId="0" applyNumberFormat="1" applyFont="1" applyAlignment="1">
      <alignment horizontal="center"/>
    </xf>
    <xf numFmtId="0" fontId="0" fillId="0" borderId="14" xfId="0" applyFont="1" applyBorder="1"/>
    <xf numFmtId="6" fontId="1" fillId="7" borderId="0" xfId="0" applyNumberFormat="1" applyFont="1" applyFill="1"/>
    <xf numFmtId="0" fontId="4" fillId="0" borderId="10" xfId="0" applyFont="1" applyBorder="1"/>
    <xf numFmtId="167" fontId="1" fillId="0" borderId="0" xfId="0" applyNumberFormat="1" applyFont="1" applyBorder="1"/>
    <xf numFmtId="6" fontId="1" fillId="0" borderId="14" xfId="0" applyNumberFormat="1" applyFont="1" applyBorder="1"/>
    <xf numFmtId="167" fontId="1" fillId="0" borderId="14" xfId="0" applyNumberFormat="1" applyFont="1" applyBorder="1"/>
    <xf numFmtId="9" fontId="1" fillId="0" borderId="14" xfId="0" applyNumberFormat="1" applyFont="1" applyBorder="1"/>
    <xf numFmtId="0" fontId="4" fillId="0" borderId="0" xfId="0" applyFont="1" applyBorder="1"/>
    <xf numFmtId="3" fontId="1" fillId="15" borderId="0" xfId="0" applyNumberFormat="1" applyFont="1" applyFill="1" applyBorder="1"/>
    <xf numFmtId="4" fontId="1" fillId="15" borderId="0" xfId="0" applyNumberFormat="1" applyFont="1" applyFill="1" applyBorder="1"/>
    <xf numFmtId="0" fontId="1" fillId="0" borderId="14" xfId="0" applyFont="1" applyBorder="1" applyAlignment="1">
      <alignment horizontal="right"/>
    </xf>
    <xf numFmtId="3" fontId="1" fillId="15" borderId="14" xfId="0" applyNumberFormat="1" applyFont="1" applyFill="1" applyBorder="1"/>
    <xf numFmtId="4" fontId="1" fillId="15" borderId="14" xfId="0" applyNumberFormat="1" applyFont="1" applyFill="1" applyBorder="1"/>
    <xf numFmtId="0" fontId="0" fillId="21" borderId="0" xfId="0" applyFill="1"/>
    <xf numFmtId="0" fontId="20" fillId="0" borderId="0" xfId="0" applyFont="1"/>
    <xf numFmtId="0" fontId="0" fillId="0" borderId="0" xfId="0" applyAlignment="1">
      <alignment horizontal="left"/>
    </xf>
    <xf numFmtId="10" fontId="0" fillId="0" borderId="0" xfId="0" applyNumberFormat="1"/>
    <xf numFmtId="0" fontId="24" fillId="0" borderId="0" xfId="0" applyFont="1" applyFill="1" applyAlignment="1">
      <alignment vertical="center"/>
    </xf>
    <xf numFmtId="0" fontId="24" fillId="0" borderId="0" xfId="0" applyFont="1" applyAlignment="1">
      <alignment vertical="center"/>
    </xf>
    <xf numFmtId="20" fontId="24" fillId="0" borderId="0" xfId="0" applyNumberFormat="1" applyFont="1" applyAlignment="1">
      <alignment vertical="center"/>
    </xf>
    <xf numFmtId="0" fontId="26" fillId="0" borderId="0" xfId="0" applyFont="1" applyAlignment="1">
      <alignment vertical="center"/>
    </xf>
    <xf numFmtId="0" fontId="25" fillId="6"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27" fillId="22" borderId="0" xfId="0" applyFont="1" applyFill="1" applyAlignment="1">
      <alignment vertical="center"/>
    </xf>
    <xf numFmtId="0" fontId="24" fillId="0" borderId="1" xfId="0" applyFont="1" applyFill="1" applyBorder="1" applyAlignment="1">
      <alignment vertical="center"/>
    </xf>
    <xf numFmtId="167" fontId="24" fillId="0" borderId="1" xfId="1" applyNumberFormat="1" applyFont="1" applyFill="1" applyBorder="1"/>
    <xf numFmtId="0" fontId="24" fillId="0" borderId="1" xfId="0" applyFont="1" applyBorder="1" applyAlignment="1">
      <alignment vertical="center"/>
    </xf>
    <xf numFmtId="0" fontId="24" fillId="0" borderId="1" xfId="0" applyFont="1" applyFill="1" applyBorder="1" applyAlignment="1">
      <alignment vertical="center" wrapText="1"/>
    </xf>
    <xf numFmtId="9" fontId="0" fillId="0" borderId="0" xfId="0" applyNumberFormat="1"/>
    <xf numFmtId="9" fontId="0" fillId="0" borderId="0" xfId="1" applyFont="1"/>
    <xf numFmtId="9" fontId="2" fillId="3" borderId="1" xfId="1" applyFont="1" applyFill="1" applyBorder="1" applyAlignment="1">
      <alignment horizontal="center" vertical="center" wrapText="1"/>
    </xf>
    <xf numFmtId="3" fontId="2" fillId="23" borderId="1" xfId="0" applyNumberFormat="1" applyFont="1" applyFill="1" applyBorder="1" applyAlignment="1">
      <alignment horizontal="center" vertical="center" wrapText="1"/>
    </xf>
    <xf numFmtId="3" fontId="3" fillId="23" borderId="1" xfId="0" applyNumberFormat="1" applyFont="1" applyFill="1" applyBorder="1" applyAlignment="1">
      <alignment horizontal="center" vertical="center" wrapText="1"/>
    </xf>
    <xf numFmtId="43" fontId="0" fillId="0" borderId="0" xfId="2" applyFont="1"/>
    <xf numFmtId="43" fontId="0" fillId="0" borderId="0" xfId="2" applyFont="1" applyFill="1"/>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43" fontId="20" fillId="0" borderId="0" xfId="2" applyFont="1"/>
    <xf numFmtId="9" fontId="20" fillId="0" borderId="0" xfId="1" applyFont="1"/>
    <xf numFmtId="1" fontId="3" fillId="2"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31"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4" fillId="0" borderId="0" xfId="0" applyFont="1"/>
    <xf numFmtId="0" fontId="31" fillId="0" borderId="0" xfId="0" applyFont="1"/>
    <xf numFmtId="0" fontId="31" fillId="25" borderId="0" xfId="0" applyFont="1" applyFill="1" applyAlignment="1"/>
    <xf numFmtId="0" fontId="31" fillId="0" borderId="0" xfId="0" applyFont="1" applyAlignment="1">
      <alignment wrapText="1"/>
    </xf>
    <xf numFmtId="0" fontId="37" fillId="0" borderId="9" xfId="0" applyFont="1" applyBorder="1" applyAlignment="1">
      <alignment wrapText="1"/>
    </xf>
    <xf numFmtId="0" fontId="38" fillId="0" borderId="0" xfId="0" applyFont="1" applyAlignment="1">
      <alignment wrapText="1"/>
    </xf>
    <xf numFmtId="0" fontId="32" fillId="0" borderId="13" xfId="0" applyFont="1" applyBorder="1" applyAlignment="1">
      <alignment horizontal="center" vertical="center" wrapText="1"/>
    </xf>
    <xf numFmtId="0" fontId="32" fillId="14" borderId="1" xfId="0" applyFont="1" applyFill="1" applyBorder="1" applyAlignment="1">
      <alignment horizontal="center" vertical="center" wrapText="1"/>
    </xf>
    <xf numFmtId="0" fontId="32" fillId="10" borderId="1" xfId="0" applyFont="1" applyFill="1" applyBorder="1" applyAlignment="1">
      <alignment horizontal="center" vertical="center" wrapText="1"/>
    </xf>
    <xf numFmtId="0" fontId="32" fillId="26" borderId="1" xfId="0" applyFont="1" applyFill="1" applyBorder="1" applyAlignment="1">
      <alignment horizontal="center" vertical="center" wrapText="1"/>
    </xf>
    <xf numFmtId="0" fontId="32" fillId="26" borderId="2" xfId="0" applyFont="1" applyFill="1" applyBorder="1" applyAlignment="1">
      <alignment horizontal="center" vertical="center" wrapText="1"/>
    </xf>
    <xf numFmtId="0" fontId="32" fillId="15" borderId="1" xfId="0" applyFont="1" applyFill="1" applyBorder="1" applyAlignment="1">
      <alignment horizontal="center" vertical="center" wrapText="1"/>
    </xf>
    <xf numFmtId="0" fontId="32" fillId="27" borderId="1" xfId="0" applyFont="1" applyFill="1" applyBorder="1" applyAlignment="1">
      <alignment horizontal="center" vertical="center" wrapText="1"/>
    </xf>
    <xf numFmtId="0" fontId="32" fillId="29" borderId="1" xfId="0" applyFont="1" applyFill="1" applyBorder="1" applyAlignment="1">
      <alignment horizontal="center" vertical="center" wrapText="1"/>
    </xf>
    <xf numFmtId="0" fontId="31" fillId="0" borderId="0" xfId="0" applyFont="1" applyAlignment="1">
      <alignment horizontal="center" vertical="center" wrapText="1"/>
    </xf>
    <xf numFmtId="0" fontId="39" fillId="0" borderId="2" xfId="0" applyFont="1" applyBorder="1" applyAlignment="1">
      <alignment horizontal="center" vertical="center" wrapText="1"/>
    </xf>
    <xf numFmtId="0" fontId="40" fillId="0" borderId="2" xfId="0" applyFont="1" applyBorder="1" applyAlignment="1">
      <alignment horizontal="center" vertical="center" wrapText="1"/>
    </xf>
    <xf numFmtId="0" fontId="40" fillId="14" borderId="1" xfId="0" applyFont="1" applyFill="1" applyBorder="1" applyAlignment="1">
      <alignment horizontal="center" vertical="center" wrapText="1"/>
    </xf>
    <xf numFmtId="0" fontId="40" fillId="10" borderId="1" xfId="0" applyFont="1" applyFill="1" applyBorder="1" applyAlignment="1">
      <alignment horizontal="center" vertical="center" wrapText="1"/>
    </xf>
    <xf numFmtId="0" fontId="40" fillId="14" borderId="4" xfId="0" applyFont="1" applyFill="1" applyBorder="1" applyAlignment="1">
      <alignment horizontal="center" vertical="center" wrapText="1"/>
    </xf>
    <xf numFmtId="0" fontId="40" fillId="26" borderId="1" xfId="0" applyFont="1" applyFill="1" applyBorder="1" applyAlignment="1">
      <alignment horizontal="center" vertical="center" wrapText="1"/>
    </xf>
    <xf numFmtId="0" fontId="40" fillId="26" borderId="2"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27" borderId="1" xfId="0" applyFont="1" applyFill="1" applyBorder="1" applyAlignment="1">
      <alignment horizontal="center" vertical="center" wrapText="1"/>
    </xf>
    <xf numFmtId="0" fontId="40" fillId="29" borderId="1" xfId="0" applyFont="1" applyFill="1" applyBorder="1" applyAlignment="1">
      <alignment horizontal="center" vertical="center" wrapText="1"/>
    </xf>
    <xf numFmtId="0" fontId="36" fillId="0" borderId="0" xfId="0" applyFont="1" applyAlignment="1">
      <alignment horizontal="center" vertical="center" wrapText="1"/>
    </xf>
    <xf numFmtId="0" fontId="7" fillId="0" borderId="1" xfId="0" applyFont="1" applyBorder="1" applyAlignment="1">
      <alignment vertical="center" wrapTex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41" fillId="0" borderId="1" xfId="0" applyFont="1" applyBorder="1" applyAlignment="1">
      <alignment vertical="center"/>
    </xf>
    <xf numFmtId="0" fontId="41" fillId="0" borderId="2" xfId="0" applyFont="1" applyBorder="1" applyAlignment="1">
      <alignment vertical="center"/>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31" fillId="0" borderId="0" xfId="0" applyFont="1" applyAlignment="1">
      <alignment vertical="center" wrapText="1"/>
    </xf>
    <xf numFmtId="3" fontId="32" fillId="0" borderId="1" xfId="0" applyNumberFormat="1" applyFont="1" applyBorder="1" applyAlignment="1">
      <alignment horizontal="center" vertical="center" wrapText="1"/>
    </xf>
    <xf numFmtId="3" fontId="32" fillId="0" borderId="1" xfId="0" applyNumberFormat="1" applyFont="1" applyBorder="1" applyAlignment="1">
      <alignment vertical="center" wrapText="1"/>
    </xf>
    <xf numFmtId="3" fontId="32" fillId="0" borderId="1" xfId="0" applyNumberFormat="1" applyFont="1" applyFill="1" applyBorder="1" applyAlignment="1">
      <alignment vertical="center" wrapText="1"/>
    </xf>
    <xf numFmtId="3" fontId="7" fillId="0" borderId="1" xfId="0" applyNumberFormat="1" applyFont="1" applyBorder="1" applyAlignment="1">
      <alignment horizontal="center" vertical="center" wrapText="1"/>
    </xf>
    <xf numFmtId="3" fontId="7" fillId="0" borderId="1" xfId="0" applyNumberFormat="1" applyFont="1" applyBorder="1" applyAlignment="1">
      <alignment vertical="center" wrapText="1"/>
    </xf>
    <xf numFmtId="0" fontId="42" fillId="0" borderId="1" xfId="0" applyFont="1" applyBorder="1" applyAlignment="1">
      <alignment vertical="center"/>
    </xf>
    <xf numFmtId="0" fontId="4" fillId="0" borderId="1" xfId="0" applyFont="1" applyBorder="1" applyAlignment="1">
      <alignment horizontal="center" vertical="center"/>
    </xf>
    <xf numFmtId="0" fontId="43" fillId="0" borderId="1" xfId="0" applyFont="1" applyBorder="1" applyAlignment="1">
      <alignment vertical="center"/>
    </xf>
    <xf numFmtId="0" fontId="43" fillId="0" borderId="2" xfId="0" applyFont="1" applyBorder="1" applyAlignment="1">
      <alignment vertical="center"/>
    </xf>
    <xf numFmtId="0" fontId="7" fillId="0" borderId="6" xfId="0" applyFont="1" applyBorder="1" applyAlignment="1">
      <alignment vertical="center"/>
    </xf>
    <xf numFmtId="0" fontId="0" fillId="0" borderId="6" xfId="0" applyBorder="1" applyAlignment="1">
      <alignment vertical="center"/>
    </xf>
    <xf numFmtId="0" fontId="43" fillId="0" borderId="6" xfId="0" applyFont="1" applyBorder="1" applyAlignment="1">
      <alignment vertical="center"/>
    </xf>
    <xf numFmtId="0" fontId="43" fillId="0" borderId="9" xfId="0" applyFont="1" applyBorder="1" applyAlignment="1">
      <alignment vertical="center"/>
    </xf>
    <xf numFmtId="0" fontId="44" fillId="0" borderId="12" xfId="0" applyFont="1" applyBorder="1" applyAlignment="1">
      <alignment horizontal="center" vertical="center"/>
    </xf>
    <xf numFmtId="0" fontId="44" fillId="0" borderId="7" xfId="0" applyFont="1" applyBorder="1" applyAlignment="1">
      <alignment horizontal="center" vertical="center"/>
    </xf>
    <xf numFmtId="0" fontId="44" fillId="0" borderId="7" xfId="0" applyFont="1" applyBorder="1" applyAlignment="1">
      <alignment vertical="center"/>
    </xf>
    <xf numFmtId="0" fontId="7" fillId="0" borderId="16" xfId="0" applyFont="1" applyBorder="1" applyAlignment="1">
      <alignment vertical="center"/>
    </xf>
    <xf numFmtId="3" fontId="7" fillId="14" borderId="16" xfId="0" applyNumberFormat="1" applyFont="1" applyFill="1" applyBorder="1" applyAlignment="1">
      <alignment horizontal="center" vertical="center"/>
    </xf>
    <xf numFmtId="3" fontId="7" fillId="30" borderId="16" xfId="0" applyNumberFormat="1" applyFont="1" applyFill="1" applyBorder="1" applyAlignment="1">
      <alignment vertical="center"/>
    </xf>
    <xf numFmtId="0" fontId="6" fillId="0" borderId="0" xfId="0" applyFont="1"/>
    <xf numFmtId="0" fontId="31" fillId="0" borderId="9" xfId="0" applyFont="1" applyBorder="1" applyAlignment="1">
      <alignment vertical="center" wrapText="1"/>
    </xf>
    <xf numFmtId="0" fontId="31" fillId="0" borderId="5" xfId="0" applyFont="1" applyBorder="1" applyAlignment="1">
      <alignment vertical="center" wrapText="1"/>
    </xf>
    <xf numFmtId="0" fontId="31" fillId="0" borderId="17" xfId="0" applyFont="1" applyFill="1" applyBorder="1" applyAlignment="1">
      <alignment vertical="center" wrapText="1"/>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0" fontId="47" fillId="4" borderId="11" xfId="0" applyFont="1" applyFill="1" applyBorder="1" applyAlignment="1">
      <alignment horizontal="center" vertical="center" wrapText="1"/>
    </xf>
    <xf numFmtId="0" fontId="47" fillId="14" borderId="2"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9" fillId="0" borderId="1" xfId="0" applyFont="1" applyBorder="1" applyAlignment="1">
      <alignment horizontal="center" vertical="center" wrapText="1"/>
    </xf>
    <xf numFmtId="0" fontId="31" fillId="14"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31" fillId="26"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1" fillId="27"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0" fontId="7" fillId="29" borderId="2" xfId="0" applyFont="1" applyFill="1" applyBorder="1" applyAlignment="1">
      <alignment horizontal="center" vertical="center" wrapText="1"/>
    </xf>
    <xf numFmtId="0" fontId="39" fillId="4" borderId="1" xfId="0" applyFont="1" applyFill="1" applyBorder="1" applyAlignment="1">
      <alignment horizontal="center" vertical="center" wrapText="1"/>
    </xf>
    <xf numFmtId="0" fontId="39" fillId="14" borderId="2" xfId="0" applyFont="1" applyFill="1" applyBorder="1" applyAlignment="1">
      <alignment horizontal="center" vertical="center" wrapText="1"/>
    </xf>
    <xf numFmtId="0" fontId="40" fillId="0" borderId="1" xfId="0" applyFont="1" applyBorder="1" applyAlignment="1" applyProtection="1">
      <alignment horizontal="center" vertical="center" wrapText="1"/>
    </xf>
    <xf numFmtId="0" fontId="40" fillId="4" borderId="1" xfId="0" applyFont="1" applyFill="1" applyBorder="1" applyAlignment="1" applyProtection="1">
      <alignment horizontal="center" vertical="center" wrapText="1"/>
    </xf>
    <xf numFmtId="0" fontId="40" fillId="14" borderId="1" xfId="0" applyFont="1" applyFill="1" applyBorder="1" applyAlignment="1" applyProtection="1">
      <alignment horizontal="center" vertical="center" wrapText="1"/>
    </xf>
    <xf numFmtId="0" fontId="40" fillId="10" borderId="1" xfId="0" applyFont="1" applyFill="1" applyBorder="1" applyAlignment="1" applyProtection="1">
      <alignment horizontal="center" vertical="center" wrapText="1"/>
    </xf>
    <xf numFmtId="0" fontId="40" fillId="26" borderId="1" xfId="0" applyFont="1" applyFill="1" applyBorder="1" applyAlignment="1" applyProtection="1">
      <alignment horizontal="center" vertical="center" wrapText="1"/>
    </xf>
    <xf numFmtId="0" fontId="40" fillId="15" borderId="1" xfId="0" applyFont="1" applyFill="1" applyBorder="1" applyAlignment="1" applyProtection="1">
      <alignment horizontal="center" vertical="center" wrapText="1"/>
    </xf>
    <xf numFmtId="0" fontId="49" fillId="15" borderId="1" xfId="0" applyFont="1" applyFill="1" applyBorder="1" applyAlignment="1" applyProtection="1">
      <alignment horizontal="center" vertical="center" wrapText="1"/>
    </xf>
    <xf numFmtId="0" fontId="40" fillId="27" borderId="1" xfId="0" applyFont="1" applyFill="1" applyBorder="1" applyAlignment="1" applyProtection="1">
      <alignment horizontal="center" vertical="center" wrapText="1"/>
    </xf>
    <xf numFmtId="0" fontId="49" fillId="27" borderId="1" xfId="0" applyFont="1" applyFill="1" applyBorder="1" applyAlignment="1" applyProtection="1">
      <alignment horizontal="center" vertical="center" wrapText="1"/>
    </xf>
    <xf numFmtId="0" fontId="49" fillId="29" borderId="2" xfId="0" applyFont="1" applyFill="1" applyBorder="1" applyAlignment="1" applyProtection="1">
      <alignment horizontal="center" vertical="center" wrapText="1"/>
    </xf>
    <xf numFmtId="0" fontId="49" fillId="4" borderId="1" xfId="0" applyFont="1" applyFill="1" applyBorder="1" applyAlignment="1">
      <alignment horizontal="center" vertical="center" wrapText="1"/>
    </xf>
    <xf numFmtId="0" fontId="49" fillId="14" borderId="2" xfId="0" applyFont="1" applyFill="1" applyBorder="1" applyAlignment="1">
      <alignment horizontal="center" vertical="center" wrapText="1"/>
    </xf>
    <xf numFmtId="0" fontId="40" fillId="0" borderId="17" xfId="0" applyFont="1" applyFill="1" applyBorder="1" applyAlignment="1">
      <alignment horizontal="center" vertical="center" wrapText="1"/>
    </xf>
    <xf numFmtId="0" fontId="40" fillId="0" borderId="0" xfId="0" applyFont="1" applyAlignment="1">
      <alignment horizontal="center" vertical="center" wrapText="1"/>
    </xf>
    <xf numFmtId="0" fontId="31" fillId="0" borderId="1" xfId="0" applyFont="1" applyBorder="1" applyAlignment="1">
      <alignment wrapText="1"/>
    </xf>
    <xf numFmtId="0" fontId="31" fillId="0" borderId="1" xfId="0" applyFont="1" applyBorder="1" applyAlignment="1">
      <alignment horizontal="center" wrapText="1"/>
    </xf>
    <xf numFmtId="3" fontId="31" fillId="0" borderId="1" xfId="0" applyNumberFormat="1" applyFont="1" applyBorder="1" applyAlignment="1">
      <alignment wrapText="1"/>
    </xf>
    <xf numFmtId="165" fontId="31" fillId="0" borderId="1" xfId="0" applyNumberFormat="1" applyFont="1" applyBorder="1" applyAlignment="1">
      <alignment wrapText="1"/>
    </xf>
    <xf numFmtId="3" fontId="31" fillId="0" borderId="1" xfId="0" applyNumberFormat="1" applyFont="1" applyBorder="1" applyAlignment="1">
      <alignment horizontal="center" wrapText="1"/>
    </xf>
    <xf numFmtId="179" fontId="31" fillId="0" borderId="1" xfId="0" applyNumberFormat="1" applyFont="1" applyBorder="1" applyAlignment="1">
      <alignment wrapText="1"/>
    </xf>
    <xf numFmtId="0" fontId="41" fillId="0" borderId="1" xfId="0" applyFont="1" applyBorder="1" applyAlignment="1">
      <alignment wrapText="1"/>
    </xf>
    <xf numFmtId="0" fontId="34" fillId="0" borderId="1" xfId="0" applyFont="1" applyBorder="1" applyAlignment="1">
      <alignment horizontal="center" wrapText="1"/>
    </xf>
    <xf numFmtId="3" fontId="34" fillId="0" borderId="1" xfId="0" applyNumberFormat="1" applyFont="1" applyBorder="1" applyAlignment="1">
      <alignment horizontal="center" wrapText="1"/>
    </xf>
    <xf numFmtId="3" fontId="34" fillId="0" borderId="2" xfId="0" applyNumberFormat="1" applyFont="1" applyBorder="1" applyAlignment="1">
      <alignment horizontal="center" wrapText="1"/>
    </xf>
    <xf numFmtId="0" fontId="31" fillId="0" borderId="2" xfId="0" applyFont="1" applyBorder="1" applyAlignment="1">
      <alignment wrapText="1"/>
    </xf>
    <xf numFmtId="0" fontId="31" fillId="0" borderId="17" xfId="0" applyFont="1" applyFill="1" applyBorder="1" applyAlignment="1">
      <alignment wrapText="1"/>
    </xf>
    <xf numFmtId="0" fontId="50" fillId="0" borderId="1" xfId="0" applyFont="1" applyBorder="1" applyAlignment="1">
      <alignment wrapText="1"/>
    </xf>
    <xf numFmtId="0" fontId="31" fillId="0" borderId="2" xfId="0" applyFont="1" applyBorder="1" applyAlignment="1"/>
    <xf numFmtId="0" fontId="0" fillId="0" borderId="6" xfId="0" applyBorder="1" applyAlignment="1">
      <alignment horizontal="center"/>
    </xf>
    <xf numFmtId="0" fontId="7" fillId="0" borderId="16" xfId="0" applyFont="1" applyBorder="1"/>
    <xf numFmtId="0" fontId="44" fillId="0" borderId="16" xfId="0" applyFont="1" applyBorder="1"/>
    <xf numFmtId="0" fontId="31" fillId="31" borderId="18" xfId="0" applyFont="1" applyFill="1" applyBorder="1" applyAlignment="1">
      <alignment horizontal="center"/>
    </xf>
    <xf numFmtId="0" fontId="31" fillId="31" borderId="19" xfId="0" applyFont="1" applyFill="1" applyBorder="1"/>
    <xf numFmtId="0" fontId="31" fillId="31" borderId="20" xfId="0" applyFont="1" applyFill="1" applyBorder="1"/>
    <xf numFmtId="3" fontId="34" fillId="14" borderId="16" xfId="0" applyNumberFormat="1" applyFont="1" applyFill="1" applyBorder="1" applyAlignment="1">
      <alignment horizontal="center"/>
    </xf>
    <xf numFmtId="3" fontId="39" fillId="14" borderId="16" xfId="0" applyNumberFormat="1" applyFont="1" applyFill="1" applyBorder="1" applyAlignment="1">
      <alignment horizontal="center"/>
    </xf>
    <xf numFmtId="0" fontId="31" fillId="30" borderId="18" xfId="0" applyFont="1" applyFill="1" applyBorder="1"/>
    <xf numFmtId="0" fontId="31" fillId="30" borderId="19" xfId="0" applyFont="1" applyFill="1" applyBorder="1"/>
    <xf numFmtId="0" fontId="31" fillId="30" borderId="20" xfId="0" applyFont="1" applyFill="1" applyBorder="1"/>
    <xf numFmtId="3" fontId="31" fillId="0" borderId="16" xfId="0" applyNumberFormat="1" applyFont="1" applyBorder="1"/>
    <xf numFmtId="3" fontId="39" fillId="10" borderId="16" xfId="0" applyNumberFormat="1" applyFont="1" applyFill="1" applyBorder="1" applyAlignment="1">
      <alignment horizontal="center"/>
    </xf>
    <xf numFmtId="3" fontId="39" fillId="26" borderId="16" xfId="0" applyNumberFormat="1" applyFont="1" applyFill="1" applyBorder="1" applyAlignment="1">
      <alignment horizontal="center"/>
    </xf>
    <xf numFmtId="3" fontId="39" fillId="15" borderId="16" xfId="0" applyNumberFormat="1" applyFont="1" applyFill="1" applyBorder="1" applyAlignment="1">
      <alignment horizontal="center"/>
    </xf>
    <xf numFmtId="3" fontId="39" fillId="27" borderId="16" xfId="0" applyNumberFormat="1" applyFont="1" applyFill="1" applyBorder="1" applyAlignment="1">
      <alignment horizontal="center"/>
    </xf>
    <xf numFmtId="3" fontId="45" fillId="29" borderId="16" xfId="0" applyNumberFormat="1" applyFont="1" applyFill="1" applyBorder="1" applyAlignment="1">
      <alignment horizontal="center"/>
    </xf>
    <xf numFmtId="0" fontId="31" fillId="30" borderId="21" xfId="0" applyFont="1" applyFill="1" applyBorder="1"/>
    <xf numFmtId="3" fontId="0" fillId="0" borderId="0" xfId="0" applyNumberFormat="1"/>
    <xf numFmtId="1" fontId="3" fillId="24" borderId="1" xfId="0" applyNumberFormat="1" applyFont="1" applyFill="1" applyBorder="1" applyAlignment="1">
      <alignment horizontal="center" vertical="center" wrapText="1"/>
    </xf>
    <xf numFmtId="1" fontId="3" fillId="24" borderId="1" xfId="2" applyNumberFormat="1" applyFont="1" applyFill="1" applyBorder="1" applyAlignment="1">
      <alignment horizontal="center" vertical="center" wrapText="1"/>
    </xf>
    <xf numFmtId="0" fontId="20" fillId="0" borderId="0" xfId="0" applyFont="1" applyFill="1"/>
    <xf numFmtId="43" fontId="0" fillId="0" borderId="0" xfId="0" applyNumberFormat="1"/>
    <xf numFmtId="0" fontId="1" fillId="21" borderId="0" xfId="0" applyFont="1" applyFill="1"/>
    <xf numFmtId="4" fontId="1" fillId="21" borderId="0" xfId="0" applyNumberFormat="1" applyFont="1" applyFill="1"/>
    <xf numFmtId="3" fontId="1" fillId="21" borderId="0" xfId="0" applyNumberFormat="1" applyFont="1" applyFill="1"/>
    <xf numFmtId="4" fontId="0" fillId="0" borderId="0" xfId="0" applyNumberFormat="1"/>
    <xf numFmtId="4" fontId="0" fillId="0" borderId="0" xfId="0" applyNumberFormat="1" applyAlignment="1">
      <alignment horizontal="center"/>
    </xf>
    <xf numFmtId="1" fontId="16" fillId="0" borderId="0" xfId="0" applyNumberFormat="1" applyFont="1"/>
    <xf numFmtId="0" fontId="52" fillId="0" borderId="0" xfId="0" applyFont="1" applyAlignment="1">
      <alignment vertical="center"/>
    </xf>
    <xf numFmtId="0" fontId="52" fillId="6" borderId="1" xfId="0" applyFont="1" applyFill="1" applyBorder="1" applyAlignment="1">
      <alignment horizontal="center" vertical="center" wrapText="1"/>
    </xf>
    <xf numFmtId="0" fontId="24" fillId="7" borderId="1" xfId="0" applyFont="1" applyFill="1" applyBorder="1" applyAlignment="1">
      <alignment vertical="center"/>
    </xf>
    <xf numFmtId="167" fontId="24" fillId="7" borderId="1" xfId="1" applyNumberFormat="1" applyFont="1" applyFill="1" applyBorder="1" applyAlignment="1">
      <alignment horizontal="right"/>
    </xf>
    <xf numFmtId="167" fontId="24" fillId="7" borderId="1" xfId="1" applyNumberFormat="1" applyFont="1" applyFill="1" applyBorder="1"/>
    <xf numFmtId="0" fontId="24" fillId="7" borderId="0" xfId="0" applyFont="1" applyFill="1" applyAlignment="1">
      <alignment vertical="center"/>
    </xf>
    <xf numFmtId="0" fontId="24" fillId="7" borderId="1" xfId="0" applyFont="1" applyFill="1" applyBorder="1" applyAlignment="1">
      <alignment horizontal="left" vertical="center"/>
    </xf>
    <xf numFmtId="167" fontId="24" fillId="7" borderId="1" xfId="0" applyNumberFormat="1" applyFont="1" applyFill="1" applyBorder="1" applyAlignment="1">
      <alignment horizontal="right" vertical="center"/>
    </xf>
    <xf numFmtId="167" fontId="24" fillId="7" borderId="1" xfId="0" applyNumberFormat="1" applyFont="1" applyFill="1" applyBorder="1" applyAlignment="1">
      <alignment vertical="center"/>
    </xf>
    <xf numFmtId="167" fontId="24" fillId="7" borderId="1" xfId="1" applyNumberFormat="1" applyFont="1" applyFill="1" applyBorder="1" applyAlignment="1">
      <alignment horizontal="right" vertical="center"/>
    </xf>
    <xf numFmtId="9" fontId="24" fillId="7" borderId="1" xfId="0" applyNumberFormat="1" applyFont="1" applyFill="1" applyBorder="1" applyAlignment="1">
      <alignment vertical="center"/>
    </xf>
    <xf numFmtId="9" fontId="24" fillId="7" borderId="1" xfId="0" applyNumberFormat="1" applyFont="1" applyFill="1" applyBorder="1" applyAlignment="1">
      <alignment horizontal="left" vertical="center"/>
    </xf>
    <xf numFmtId="9" fontId="24" fillId="7" borderId="1" xfId="1" applyFont="1" applyFill="1" applyBorder="1" applyAlignment="1">
      <alignment horizontal="left"/>
    </xf>
    <xf numFmtId="9" fontId="24" fillId="7" borderId="6" xfId="0" applyNumberFormat="1" applyFont="1" applyFill="1" applyBorder="1" applyAlignment="1">
      <alignment horizontal="left" vertical="center"/>
    </xf>
    <xf numFmtId="0" fontId="24" fillId="7" borderId="6" xfId="0" applyFont="1" applyFill="1" applyBorder="1" applyAlignment="1">
      <alignment vertical="center"/>
    </xf>
    <xf numFmtId="0" fontId="24" fillId="7" borderId="1" xfId="0" applyFont="1" applyFill="1" applyBorder="1"/>
    <xf numFmtId="0" fontId="24" fillId="7" borderId="8" xfId="0" applyFont="1" applyFill="1" applyBorder="1" applyAlignment="1">
      <alignment vertical="center"/>
    </xf>
    <xf numFmtId="0" fontId="28" fillId="7" borderId="1" xfId="0" applyFont="1" applyFill="1" applyBorder="1" applyAlignment="1">
      <alignment vertical="center"/>
    </xf>
    <xf numFmtId="167" fontId="24" fillId="7" borderId="1" xfId="0" applyNumberFormat="1" applyFont="1" applyFill="1" applyBorder="1" applyAlignment="1">
      <alignment horizontal="center" vertical="center"/>
    </xf>
    <xf numFmtId="0" fontId="24" fillId="7" borderId="1" xfId="0" applyFont="1" applyFill="1" applyBorder="1" applyAlignment="1">
      <alignment vertical="center" wrapText="1"/>
    </xf>
    <xf numFmtId="0" fontId="24" fillId="7" borderId="0" xfId="0" applyFont="1" applyFill="1" applyBorder="1" applyAlignment="1">
      <alignment vertical="center"/>
    </xf>
    <xf numFmtId="167" fontId="24" fillId="7" borderId="1" xfId="1" applyNumberFormat="1" applyFont="1" applyFill="1" applyBorder="1" applyAlignment="1">
      <alignment vertical="center"/>
    </xf>
    <xf numFmtId="0" fontId="24" fillId="7" borderId="1" xfId="0" applyFont="1" applyFill="1" applyBorder="1" applyAlignment="1">
      <alignment horizontal="left" vertical="center" wrapText="1"/>
    </xf>
    <xf numFmtId="167" fontId="28" fillId="7" borderId="1" xfId="1" applyNumberFormat="1" applyFont="1" applyFill="1" applyBorder="1"/>
    <xf numFmtId="167" fontId="26" fillId="7" borderId="1" xfId="0" applyNumberFormat="1" applyFont="1" applyFill="1" applyBorder="1" applyAlignment="1">
      <alignment horizontal="right" vertical="center"/>
    </xf>
    <xf numFmtId="167" fontId="25" fillId="7" borderId="1" xfId="0" applyNumberFormat="1" applyFont="1" applyFill="1" applyBorder="1" applyAlignment="1">
      <alignment horizontal="center" vertical="center"/>
    </xf>
    <xf numFmtId="167" fontId="25" fillId="7" borderId="1" xfId="0" applyNumberFormat="1" applyFont="1" applyFill="1" applyBorder="1" applyAlignment="1">
      <alignment horizontal="right" vertical="center"/>
    </xf>
    <xf numFmtId="167" fontId="24" fillId="0" borderId="1" xfId="1" applyNumberFormat="1" applyFont="1" applyFill="1" applyBorder="1" applyAlignment="1">
      <alignment horizontal="right"/>
    </xf>
    <xf numFmtId="0" fontId="4" fillId="14" borderId="0" xfId="0" applyFont="1" applyFill="1"/>
    <xf numFmtId="0" fontId="0" fillId="23" borderId="0" xfId="0" applyFill="1"/>
    <xf numFmtId="3" fontId="8" fillId="23" borderId="0" xfId="0" applyNumberFormat="1" applyFont="1" applyFill="1" applyAlignment="1">
      <alignment horizontal="left"/>
    </xf>
    <xf numFmtId="4" fontId="8" fillId="23" borderId="0" xfId="0" applyNumberFormat="1" applyFont="1" applyFill="1" applyAlignment="1">
      <alignment horizontal="center"/>
    </xf>
    <xf numFmtId="3" fontId="6" fillId="23" borderId="0" xfId="0" applyNumberFormat="1" applyFont="1" applyFill="1" applyAlignment="1">
      <alignment horizontal="left"/>
    </xf>
    <xf numFmtId="168" fontId="8" fillId="23" borderId="0" xfId="0" applyNumberFormat="1" applyFont="1" applyFill="1" applyAlignment="1">
      <alignment horizontal="center"/>
    </xf>
    <xf numFmtId="4" fontId="6" fillId="0" borderId="0" xfId="0" applyNumberFormat="1" applyFont="1" applyAlignment="1">
      <alignment horizontal="left"/>
    </xf>
    <xf numFmtId="0" fontId="0" fillId="2" borderId="5" xfId="0" applyFill="1" applyBorder="1"/>
    <xf numFmtId="0" fontId="0" fillId="2" borderId="5" xfId="0" applyFont="1" applyFill="1" applyBorder="1"/>
    <xf numFmtId="0" fontId="0" fillId="2" borderId="10" xfId="0" applyFont="1" applyFill="1" applyBorder="1"/>
    <xf numFmtId="0" fontId="0" fillId="2" borderId="0" xfId="0" applyFill="1" applyBorder="1"/>
    <xf numFmtId="174" fontId="1" fillId="2" borderId="0" xfId="0" applyNumberFormat="1" applyFont="1" applyFill="1" applyBorder="1"/>
    <xf numFmtId="0" fontId="1" fillId="2" borderId="12" xfId="0" applyFont="1" applyFill="1" applyBorder="1"/>
    <xf numFmtId="0" fontId="0" fillId="2" borderId="14" xfId="0" applyFill="1" applyBorder="1"/>
    <xf numFmtId="174" fontId="1" fillId="2" borderId="14" xfId="0" applyNumberFormat="1" applyFont="1" applyFill="1" applyBorder="1"/>
    <xf numFmtId="0" fontId="1" fillId="2" borderId="15" xfId="0" applyFont="1" applyFill="1" applyBorder="1"/>
    <xf numFmtId="167" fontId="0" fillId="0" borderId="0" xfId="0" applyNumberFormat="1"/>
    <xf numFmtId="171" fontId="1" fillId="0" borderId="0" xfId="0" applyNumberFormat="1" applyFont="1"/>
    <xf numFmtId="0" fontId="1" fillId="7" borderId="0" xfId="0" applyFont="1" applyFill="1" applyAlignment="1">
      <alignment horizontal="right"/>
    </xf>
    <xf numFmtId="0" fontId="1" fillId="7" borderId="0" xfId="0" applyFont="1" applyFill="1"/>
    <xf numFmtId="171" fontId="1" fillId="7" borderId="0" xfId="0" applyNumberFormat="1" applyFont="1" applyFill="1"/>
    <xf numFmtId="0" fontId="0" fillId="7" borderId="0" xfId="0" applyFont="1" applyFill="1" applyAlignment="1">
      <alignment horizontal="right"/>
    </xf>
    <xf numFmtId="3" fontId="0" fillId="0" borderId="0" xfId="0" applyNumberFormat="1" applyAlignment="1">
      <alignment horizontal="center"/>
    </xf>
    <xf numFmtId="0" fontId="9" fillId="0" borderId="0" xfId="0" applyFont="1" applyFill="1" applyAlignment="1"/>
    <xf numFmtId="3" fontId="53" fillId="0" borderId="0" xfId="0" applyNumberFormat="1" applyFont="1" applyAlignment="1">
      <alignment horizontal="left"/>
    </xf>
    <xf numFmtId="3" fontId="53" fillId="0" borderId="0" xfId="0" applyNumberFormat="1" applyFont="1" applyAlignment="1">
      <alignment horizontal="center"/>
    </xf>
    <xf numFmtId="3" fontId="54" fillId="0" borderId="0" xfId="0" applyNumberFormat="1" applyFont="1" applyAlignment="1">
      <alignment horizontal="center"/>
    </xf>
    <xf numFmtId="165" fontId="54" fillId="0" borderId="0" xfId="0" applyNumberFormat="1" applyFont="1" applyAlignment="1">
      <alignment horizontal="center"/>
    </xf>
    <xf numFmtId="173" fontId="0" fillId="0" borderId="0" xfId="0" applyNumberFormat="1" applyAlignment="1">
      <alignment horizontal="center"/>
    </xf>
    <xf numFmtId="169" fontId="0" fillId="0" borderId="0" xfId="0" applyNumberFormat="1" applyFill="1" applyAlignment="1">
      <alignment horizontal="center"/>
    </xf>
    <xf numFmtId="169" fontId="0" fillId="0" borderId="0" xfId="0" applyNumberFormat="1" applyAlignment="1">
      <alignment horizontal="center"/>
    </xf>
    <xf numFmtId="173" fontId="0" fillId="0" borderId="0" xfId="0" applyNumberFormat="1" applyAlignment="1">
      <alignment horizontal="left"/>
    </xf>
    <xf numFmtId="165" fontId="0" fillId="0" borderId="0" xfId="0" applyNumberFormat="1" applyAlignment="1">
      <alignment horizontal="center"/>
    </xf>
    <xf numFmtId="0" fontId="9" fillId="0" borderId="0" xfId="0" applyFont="1" applyBorder="1"/>
    <xf numFmtId="14" fontId="59" fillId="0" borderId="6" xfId="0" applyNumberFormat="1" applyFont="1" applyFill="1" applyBorder="1" applyAlignment="1">
      <alignment horizontal="center" vertical="center"/>
    </xf>
    <xf numFmtId="0" fontId="60" fillId="0" borderId="6" xfId="0" applyFont="1" applyBorder="1"/>
    <xf numFmtId="0" fontId="61" fillId="6" borderId="6" xfId="0" applyFont="1" applyFill="1" applyBorder="1" applyAlignment="1">
      <alignment horizontal="center" vertical="top"/>
    </xf>
    <xf numFmtId="0" fontId="0" fillId="33" borderId="6" xfId="0" applyFill="1" applyBorder="1"/>
    <xf numFmtId="0" fontId="62" fillId="33" borderId="5" xfId="0" applyFont="1" applyFill="1" applyBorder="1" applyAlignment="1"/>
    <xf numFmtId="0" fontId="62" fillId="33" borderId="9" xfId="0" applyFont="1" applyFill="1" applyBorder="1" applyAlignment="1"/>
    <xf numFmtId="0" fontId="62" fillId="33" borderId="6" xfId="0" applyFont="1" applyFill="1" applyBorder="1" applyAlignment="1">
      <alignment horizontal="center"/>
    </xf>
    <xf numFmtId="0" fontId="17" fillId="34" borderId="12" xfId="0" applyFont="1" applyFill="1" applyBorder="1" applyAlignment="1">
      <alignment horizontal="center"/>
    </xf>
    <xf numFmtId="0" fontId="0" fillId="34" borderId="6" xfId="0" applyFill="1" applyBorder="1"/>
    <xf numFmtId="0" fontId="61" fillId="6" borderId="1" xfId="0" applyFont="1" applyFill="1" applyBorder="1" applyAlignment="1">
      <alignment horizontal="center" vertical="top"/>
    </xf>
    <xf numFmtId="0" fontId="61" fillId="33" borderId="1" xfId="0" applyFont="1" applyFill="1" applyBorder="1" applyAlignment="1">
      <alignment horizontal="center" vertical="top" wrapText="1"/>
    </xf>
    <xf numFmtId="0" fontId="61" fillId="29" borderId="1" xfId="0" applyFont="1" applyFill="1" applyBorder="1" applyAlignment="1">
      <alignment horizontal="center" vertical="top" wrapText="1"/>
    </xf>
    <xf numFmtId="0" fontId="61" fillId="14" borderId="1" xfId="0" applyFont="1" applyFill="1" applyBorder="1" applyAlignment="1">
      <alignment horizontal="center" vertical="top" wrapText="1"/>
    </xf>
    <xf numFmtId="0" fontId="61" fillId="34" borderId="1" xfId="0" applyFont="1" applyFill="1" applyBorder="1" applyAlignment="1">
      <alignment horizontal="center" vertical="top" wrapText="1"/>
    </xf>
    <xf numFmtId="0" fontId="61" fillId="34" borderId="1" xfId="0" applyFont="1" applyFill="1" applyBorder="1" applyAlignment="1">
      <alignment horizontal="left" vertical="top" wrapText="1"/>
    </xf>
    <xf numFmtId="0" fontId="63" fillId="0" borderId="1" xfId="0" applyFont="1" applyFill="1" applyBorder="1" applyAlignment="1">
      <alignment vertical="center"/>
    </xf>
    <xf numFmtId="2" fontId="64" fillId="0" borderId="1" xfId="0" applyNumberFormat="1" applyFont="1" applyBorder="1" applyAlignment="1">
      <alignment horizontal="center" vertical="center"/>
    </xf>
    <xf numFmtId="2" fontId="64" fillId="35" borderId="1" xfId="0" applyNumberFormat="1" applyFont="1" applyFill="1" applyBorder="1" applyAlignment="1">
      <alignment horizontal="center" vertical="center"/>
    </xf>
    <xf numFmtId="0" fontId="64" fillId="0" borderId="1" xfId="0" applyFont="1" applyFill="1" applyBorder="1"/>
    <xf numFmtId="0" fontId="64" fillId="0" borderId="1" xfId="0" applyFont="1" applyFill="1" applyBorder="1" applyAlignment="1">
      <alignment vertical="center" wrapText="1"/>
    </xf>
    <xf numFmtId="0" fontId="64" fillId="0" borderId="1" xfId="0" applyFont="1" applyBorder="1" applyAlignment="1">
      <alignment horizontal="center"/>
    </xf>
    <xf numFmtId="0" fontId="64" fillId="0" borderId="1" xfId="0" applyFont="1" applyBorder="1" applyAlignment="1">
      <alignment horizontal="center" vertical="center"/>
    </xf>
    <xf numFmtId="0" fontId="64" fillId="0" borderId="1" xfId="0" applyFont="1" applyBorder="1"/>
    <xf numFmtId="0" fontId="64" fillId="0" borderId="1" xfId="0" quotePrefix="1" applyFont="1" applyBorder="1"/>
    <xf numFmtId="0" fontId="64" fillId="0" borderId="1" xfId="0" applyFont="1" applyFill="1" applyBorder="1" applyAlignment="1">
      <alignment horizontal="left" vertical="center"/>
    </xf>
    <xf numFmtId="2" fontId="64" fillId="0" borderId="1" xfId="0" applyNumberFormat="1" applyFont="1" applyFill="1" applyBorder="1" applyAlignment="1">
      <alignment horizontal="center" vertical="center"/>
    </xf>
    <xf numFmtId="2" fontId="64" fillId="0" borderId="1" xfId="0" applyNumberFormat="1" applyFont="1" applyFill="1" applyBorder="1" applyAlignment="1">
      <alignment horizontal="center" vertical="center" wrapText="1"/>
    </xf>
    <xf numFmtId="0" fontId="64" fillId="0" borderId="1" xfId="0" applyFont="1" applyFill="1" applyBorder="1" applyAlignment="1">
      <alignment horizontal="center" vertical="center"/>
    </xf>
    <xf numFmtId="2" fontId="64" fillId="0" borderId="1" xfId="0" applyNumberFormat="1" applyFont="1" applyFill="1" applyBorder="1" applyAlignment="1">
      <alignment horizontal="left" vertical="center"/>
    </xf>
    <xf numFmtId="2" fontId="64" fillId="18" borderId="1" xfId="0" applyNumberFormat="1" applyFont="1" applyFill="1" applyBorder="1" applyAlignment="1">
      <alignment horizontal="center" vertical="center" wrapText="1"/>
    </xf>
    <xf numFmtId="2" fontId="64" fillId="18" borderId="1" xfId="0" applyNumberFormat="1" applyFont="1" applyFill="1" applyBorder="1" applyAlignment="1">
      <alignment horizontal="center" vertical="center"/>
    </xf>
    <xf numFmtId="0" fontId="64" fillId="18" borderId="1" xfId="0" applyFont="1" applyFill="1" applyBorder="1" applyAlignment="1">
      <alignment horizontal="center" vertical="center"/>
    </xf>
    <xf numFmtId="0" fontId="64" fillId="18" borderId="1" xfId="0" applyFont="1" applyFill="1" applyBorder="1" applyAlignment="1">
      <alignment horizontal="left" vertical="center"/>
    </xf>
    <xf numFmtId="0" fontId="64" fillId="0" borderId="0" xfId="0" applyFont="1"/>
    <xf numFmtId="0" fontId="64" fillId="0" borderId="1" xfId="0" applyFont="1" applyBorder="1" applyAlignment="1">
      <alignment vertical="center" wrapText="1"/>
    </xf>
    <xf numFmtId="2" fontId="64" fillId="18" borderId="1" xfId="0" quotePrefix="1" applyNumberFormat="1" applyFont="1" applyFill="1" applyBorder="1" applyAlignment="1">
      <alignment horizontal="center" vertical="center"/>
    </xf>
    <xf numFmtId="0" fontId="64" fillId="0" borderId="1" xfId="0" applyFont="1" applyBorder="1" applyAlignment="1">
      <alignment horizontal="center" vertical="center" wrapText="1"/>
    </xf>
    <xf numFmtId="0" fontId="63" fillId="18" borderId="1" xfId="0" applyFont="1" applyFill="1" applyBorder="1" applyAlignment="1">
      <alignment vertical="center"/>
    </xf>
    <xf numFmtId="184" fontId="64" fillId="18" borderId="1" xfId="0" applyNumberFormat="1" applyFont="1" applyFill="1" applyBorder="1" applyAlignment="1">
      <alignment horizontal="center" vertical="center" wrapText="1"/>
    </xf>
    <xf numFmtId="0" fontId="64" fillId="18" borderId="1" xfId="0" applyFont="1" applyFill="1" applyBorder="1" applyAlignment="1">
      <alignment horizontal="center" vertical="center" wrapText="1"/>
    </xf>
    <xf numFmtId="0" fontId="64" fillId="18" borderId="1" xfId="0" applyFont="1" applyFill="1" applyBorder="1" applyAlignment="1">
      <alignment vertical="center" wrapText="1"/>
    </xf>
    <xf numFmtId="2" fontId="64" fillId="18" borderId="1" xfId="0" applyNumberFormat="1" applyFont="1" applyFill="1" applyBorder="1" applyAlignment="1">
      <alignment horizontal="left" vertical="center"/>
    </xf>
    <xf numFmtId="0" fontId="64" fillId="18" borderId="1" xfId="0" applyFont="1" applyFill="1" applyBorder="1" applyAlignment="1">
      <alignment vertical="center"/>
    </xf>
    <xf numFmtId="0" fontId="64" fillId="18" borderId="1" xfId="0" applyFont="1" applyFill="1" applyBorder="1"/>
    <xf numFmtId="0" fontId="64" fillId="0" borderId="1" xfId="0" applyFont="1" applyFill="1" applyBorder="1" applyAlignment="1">
      <alignment vertical="center"/>
    </xf>
    <xf numFmtId="2" fontId="64" fillId="0" borderId="1" xfId="0" quotePrefix="1" applyNumberFormat="1" applyFont="1" applyFill="1" applyBorder="1" applyAlignment="1">
      <alignment horizontal="center" vertical="center"/>
    </xf>
    <xf numFmtId="2" fontId="64" fillId="0" borderId="1" xfId="0" applyNumberFormat="1" applyFont="1" applyFill="1" applyBorder="1" applyAlignment="1">
      <alignment vertical="center"/>
    </xf>
    <xf numFmtId="2" fontId="64" fillId="0" borderId="1" xfId="0" quotePrefix="1" applyNumberFormat="1" applyFont="1" applyFill="1" applyBorder="1" applyAlignment="1">
      <alignment horizontal="center" vertical="center" wrapText="1"/>
    </xf>
    <xf numFmtId="2" fontId="64" fillId="18" borderId="1" xfId="0" applyNumberFormat="1" applyFont="1" applyFill="1" applyBorder="1" applyAlignment="1">
      <alignment vertical="center"/>
    </xf>
    <xf numFmtId="2" fontId="64" fillId="18" borderId="1" xfId="0" quotePrefix="1" applyNumberFormat="1" applyFont="1" applyFill="1" applyBorder="1" applyAlignment="1">
      <alignment horizontal="center" vertical="center" wrapText="1"/>
    </xf>
    <xf numFmtId="2" fontId="65" fillId="0" borderId="1" xfId="0" applyNumberFormat="1" applyFont="1" applyFill="1" applyBorder="1" applyAlignment="1">
      <alignment horizontal="center" vertical="center"/>
    </xf>
    <xf numFmtId="2" fontId="64" fillId="0" borderId="1" xfId="0" applyNumberFormat="1" applyFont="1" applyFill="1" applyBorder="1" applyAlignment="1">
      <alignment horizontal="left" vertical="center" wrapText="1"/>
    </xf>
    <xf numFmtId="2" fontId="66" fillId="0" borderId="1" xfId="0" applyNumberFormat="1" applyFont="1" applyFill="1" applyBorder="1" applyAlignment="1">
      <alignment horizontal="center" vertical="center"/>
    </xf>
    <xf numFmtId="2" fontId="66" fillId="0" borderId="1" xfId="0" applyNumberFormat="1" applyFont="1" applyFill="1" applyBorder="1" applyAlignment="1">
      <alignment horizontal="center" vertical="center" wrapText="1"/>
    </xf>
    <xf numFmtId="2" fontId="66" fillId="18" borderId="1" xfId="0" applyNumberFormat="1" applyFont="1" applyFill="1" applyBorder="1" applyAlignment="1">
      <alignment horizontal="center" vertical="center"/>
    </xf>
    <xf numFmtId="2" fontId="66" fillId="18" borderId="1" xfId="0" applyNumberFormat="1" applyFont="1" applyFill="1" applyBorder="1" applyAlignment="1">
      <alignment horizontal="center" vertical="center" wrapText="1"/>
    </xf>
    <xf numFmtId="2" fontId="64" fillId="0" borderId="1" xfId="0" applyNumberFormat="1" applyFont="1" applyFill="1" applyBorder="1" applyAlignment="1">
      <alignment vertical="center" wrapText="1"/>
    </xf>
    <xf numFmtId="2" fontId="64" fillId="18" borderId="1" xfId="0" applyNumberFormat="1" applyFont="1" applyFill="1" applyBorder="1" applyAlignment="1">
      <alignment vertical="center" wrapText="1"/>
    </xf>
    <xf numFmtId="0" fontId="64" fillId="0" borderId="1" xfId="0" applyNumberFormat="1" applyFont="1" applyFill="1" applyBorder="1" applyAlignment="1">
      <alignment horizontal="center" vertical="center"/>
    </xf>
    <xf numFmtId="2" fontId="64" fillId="0" borderId="7" xfId="0" applyNumberFormat="1" applyFont="1" applyFill="1" applyBorder="1" applyAlignment="1">
      <alignment horizontal="left" vertical="center"/>
    </xf>
    <xf numFmtId="0" fontId="64" fillId="0" borderId="0" xfId="0" applyFont="1" applyFill="1"/>
    <xf numFmtId="0" fontId="64" fillId="18" borderId="1" xfId="0" applyFont="1" applyFill="1" applyBorder="1" applyAlignment="1">
      <alignment horizontal="center"/>
    </xf>
    <xf numFmtId="2" fontId="64" fillId="0" borderId="1" xfId="0" applyNumberFormat="1" applyFont="1" applyFill="1" applyBorder="1" applyAlignment="1">
      <alignment horizontal="center"/>
    </xf>
    <xf numFmtId="0" fontId="64" fillId="18" borderId="0" xfId="0" applyFont="1" applyFill="1"/>
    <xf numFmtId="0" fontId="64" fillId="18" borderId="3" xfId="0" applyFont="1" applyFill="1" applyBorder="1" applyAlignment="1">
      <alignment horizontal="left" vertical="center"/>
    </xf>
    <xf numFmtId="0" fontId="64" fillId="18" borderId="2" xfId="0" applyFont="1" applyFill="1" applyBorder="1" applyAlignment="1">
      <alignment horizontal="left" vertical="center"/>
    </xf>
    <xf numFmtId="0" fontId="64" fillId="18" borderId="3" xfId="0" applyFont="1" applyFill="1" applyBorder="1" applyAlignment="1">
      <alignment horizontal="center" vertical="center"/>
    </xf>
    <xf numFmtId="0" fontId="64" fillId="0" borderId="1" xfId="0" applyFont="1" applyBorder="1" applyAlignment="1">
      <alignment horizontal="left" vertical="center"/>
    </xf>
    <xf numFmtId="174" fontId="64" fillId="0" borderId="1" xfId="0" applyNumberFormat="1" applyFont="1" applyFill="1" applyBorder="1" applyAlignment="1">
      <alignment horizontal="center" vertical="center"/>
    </xf>
    <xf numFmtId="0" fontId="64" fillId="0" borderId="1" xfId="0" applyFont="1" applyFill="1" applyBorder="1" applyAlignment="1">
      <alignment horizontal="center" vertical="center" wrapText="1"/>
    </xf>
    <xf numFmtId="0" fontId="0" fillId="0" borderId="0" xfId="0" applyFill="1"/>
    <xf numFmtId="0" fontId="64" fillId="0" borderId="1" xfId="0" applyFont="1" applyBorder="1" applyAlignment="1">
      <alignment vertical="center"/>
    </xf>
    <xf numFmtId="0" fontId="64" fillId="0" borderId="1" xfId="0" applyFont="1" applyFill="1" applyBorder="1" applyAlignment="1">
      <alignment horizontal="left" vertical="top"/>
    </xf>
    <xf numFmtId="0" fontId="64" fillId="0" borderId="2" xfId="0" applyFont="1" applyFill="1" applyBorder="1" applyAlignment="1">
      <alignment horizontal="center" vertical="center" wrapText="1"/>
    </xf>
    <xf numFmtId="0" fontId="64" fillId="0" borderId="3" xfId="0" applyFont="1" applyFill="1" applyBorder="1" applyAlignment="1">
      <alignment horizontal="center" vertical="center"/>
    </xf>
    <xf numFmtId="0" fontId="64" fillId="0" borderId="3" xfId="0" applyFont="1" applyFill="1" applyBorder="1"/>
    <xf numFmtId="0" fontId="64" fillId="0" borderId="0" xfId="0" applyFont="1" applyFill="1" applyAlignment="1">
      <alignment vertical="center"/>
    </xf>
    <xf numFmtId="0" fontId="64" fillId="18" borderId="1" xfId="0" applyFont="1" applyFill="1" applyBorder="1" applyAlignment="1">
      <alignment horizontal="left" vertical="top"/>
    </xf>
    <xf numFmtId="0" fontId="64" fillId="18" borderId="2" xfId="0" applyFont="1" applyFill="1" applyBorder="1" applyAlignment="1">
      <alignment horizontal="center" vertical="center" wrapText="1"/>
    </xf>
    <xf numFmtId="0" fontId="64" fillId="18" borderId="3" xfId="0" applyFont="1" applyFill="1" applyBorder="1"/>
    <xf numFmtId="0" fontId="64" fillId="18" borderId="0" xfId="0" applyFont="1" applyFill="1" applyAlignment="1">
      <alignment vertical="center"/>
    </xf>
    <xf numFmtId="0" fontId="67" fillId="0" borderId="1" xfId="0" applyFont="1" applyFill="1" applyBorder="1"/>
    <xf numFmtId="0" fontId="67" fillId="0" borderId="1" xfId="0" applyFont="1" applyFill="1" applyBorder="1" applyAlignment="1">
      <alignment vertical="center" wrapText="1"/>
    </xf>
    <xf numFmtId="0" fontId="64" fillId="7" borderId="1" xfId="0" applyFont="1" applyFill="1" applyBorder="1"/>
    <xf numFmtId="0" fontId="0" fillId="0" borderId="1" xfId="0" applyBorder="1"/>
    <xf numFmtId="0" fontId="0" fillId="0" borderId="0" xfId="0"/>
    <xf numFmtId="0" fontId="0" fillId="0" borderId="0" xfId="0" applyAlignment="1">
      <alignment vertical="center" wrapText="1"/>
    </xf>
    <xf numFmtId="0" fontId="0" fillId="0" borderId="0" xfId="0" applyAlignment="1">
      <alignment horizontal="center"/>
    </xf>
    <xf numFmtId="0" fontId="0" fillId="0" borderId="0" xfId="0" applyAlignment="1">
      <alignment horizontal="center" vertical="center"/>
    </xf>
    <xf numFmtId="0" fontId="1" fillId="3" borderId="0" xfId="0" applyFont="1" applyFill="1"/>
    <xf numFmtId="0" fontId="0" fillId="0" borderId="0" xfId="0" applyFill="1" applyBorder="1"/>
    <xf numFmtId="43" fontId="0" fillId="0" borderId="0" xfId="2" applyNumberFormat="1" applyFont="1" applyBorder="1"/>
    <xf numFmtId="176" fontId="8" fillId="23" borderId="0" xfId="0" applyNumberFormat="1" applyFont="1" applyFill="1" applyAlignment="1">
      <alignment horizontal="center"/>
    </xf>
    <xf numFmtId="171" fontId="8" fillId="0" borderId="0" xfId="0" applyNumberFormat="1" applyFont="1" applyAlignment="1">
      <alignment horizontal="center"/>
    </xf>
    <xf numFmtId="178" fontId="0" fillId="0" borderId="0" xfId="2" applyNumberFormat="1" applyFont="1"/>
    <xf numFmtId="2" fontId="0" fillId="0" borderId="1" xfId="0" applyNumberFormat="1" applyBorder="1"/>
    <xf numFmtId="3" fontId="1" fillId="23" borderId="0" xfId="0" applyNumberFormat="1" applyFont="1" applyFill="1"/>
    <xf numFmtId="4" fontId="1" fillId="23" borderId="0" xfId="0" applyNumberFormat="1" applyFont="1" applyFill="1" applyAlignment="1" applyProtection="1">
      <alignment horizontal="center"/>
      <protection locked="0"/>
    </xf>
    <xf numFmtId="174" fontId="1" fillId="0" borderId="0" xfId="0" applyNumberFormat="1" applyFont="1"/>
    <xf numFmtId="2" fontId="1" fillId="9" borderId="0" xfId="0" applyNumberFormat="1" applyFont="1" applyFill="1"/>
    <xf numFmtId="0" fontId="1" fillId="3" borderId="11" xfId="0" applyFont="1" applyFill="1" applyBorder="1"/>
    <xf numFmtId="0" fontId="1" fillId="3" borderId="0" xfId="0" applyFont="1" applyFill="1" applyBorder="1"/>
    <xf numFmtId="0" fontId="0" fillId="3" borderId="0" xfId="0" applyFont="1" applyFill="1" applyBorder="1"/>
    <xf numFmtId="3" fontId="1" fillId="3" borderId="0" xfId="0" applyNumberFormat="1" applyFont="1" applyFill="1" applyBorder="1"/>
    <xf numFmtId="4" fontId="1" fillId="3" borderId="0" xfId="0" applyNumberFormat="1" applyFont="1" applyFill="1" applyBorder="1"/>
    <xf numFmtId="168" fontId="1" fillId="3" borderId="0" xfId="0" applyNumberFormat="1" applyFont="1" applyFill="1" applyBorder="1"/>
    <xf numFmtId="172" fontId="0" fillId="0" borderId="0" xfId="2" applyNumberFormat="1" applyFont="1"/>
    <xf numFmtId="0" fontId="1" fillId="0" borderId="0" xfId="0" applyFont="1" applyFill="1"/>
    <xf numFmtId="9" fontId="1" fillId="0" borderId="0" xfId="0" applyNumberFormat="1" applyFont="1" applyFill="1"/>
    <xf numFmtId="0" fontId="21" fillId="0" borderId="0" xfId="0" applyFont="1"/>
    <xf numFmtId="0" fontId="66" fillId="0" borderId="0" xfId="0" applyFont="1" applyFill="1" applyBorder="1"/>
    <xf numFmtId="0" fontId="70" fillId="36" borderId="34" xfId="0" applyFont="1" applyFill="1" applyBorder="1" applyAlignment="1">
      <alignment horizontal="center" vertical="center" wrapText="1"/>
    </xf>
    <xf numFmtId="0" fontId="70" fillId="37" borderId="34" xfId="0" applyFont="1" applyFill="1" applyBorder="1" applyAlignment="1">
      <alignment horizontal="center" vertical="center" wrapText="1"/>
    </xf>
    <xf numFmtId="0" fontId="70" fillId="37" borderId="25" xfId="0" applyFont="1" applyFill="1" applyBorder="1" applyAlignment="1">
      <alignment horizontal="center" vertical="center" wrapText="1"/>
    </xf>
    <xf numFmtId="0" fontId="70" fillId="36" borderId="33" xfId="0" applyFont="1" applyFill="1" applyBorder="1" applyAlignment="1">
      <alignment horizontal="center" vertical="center" wrapText="1"/>
    </xf>
    <xf numFmtId="0" fontId="71" fillId="0" borderId="35" xfId="0" applyFont="1" applyFill="1" applyBorder="1" applyAlignment="1">
      <alignment horizontal="left" vertical="center" wrapText="1"/>
    </xf>
    <xf numFmtId="3" fontId="71" fillId="36" borderId="0" xfId="0" applyNumberFormat="1" applyFont="1" applyFill="1" applyBorder="1" applyAlignment="1">
      <alignment horizontal="right" vertical="center" wrapText="1"/>
    </xf>
    <xf numFmtId="3" fontId="71" fillId="37" borderId="0" xfId="0" applyNumberFormat="1" applyFont="1" applyFill="1" applyBorder="1" applyAlignment="1">
      <alignment horizontal="right" vertical="center" wrapText="1"/>
    </xf>
    <xf numFmtId="3" fontId="71" fillId="37" borderId="36" xfId="0" applyNumberFormat="1" applyFont="1" applyFill="1" applyBorder="1" applyAlignment="1">
      <alignment horizontal="right" vertical="center" wrapText="1"/>
    </xf>
    <xf numFmtId="3" fontId="71" fillId="36" borderId="35" xfId="0" applyNumberFormat="1" applyFont="1" applyFill="1" applyBorder="1" applyAlignment="1">
      <alignment horizontal="right" vertical="center" wrapText="1"/>
    </xf>
    <xf numFmtId="0" fontId="70" fillId="0" borderId="37" xfId="0" applyFont="1" applyFill="1" applyBorder="1" applyAlignment="1">
      <alignment horizontal="left" vertical="center" wrapText="1"/>
    </xf>
    <xf numFmtId="3" fontId="70" fillId="36" borderId="38" xfId="0" applyNumberFormat="1" applyFont="1" applyFill="1" applyBorder="1" applyAlignment="1">
      <alignment horizontal="right" vertical="center" wrapText="1"/>
    </xf>
    <xf numFmtId="3" fontId="70" fillId="37" borderId="38" xfId="0" applyNumberFormat="1" applyFont="1" applyFill="1" applyBorder="1" applyAlignment="1">
      <alignment horizontal="right" vertical="center" wrapText="1"/>
    </xf>
    <xf numFmtId="3" fontId="70" fillId="37" borderId="23" xfId="0" applyNumberFormat="1" applyFont="1" applyFill="1" applyBorder="1" applyAlignment="1">
      <alignment horizontal="right" vertical="center" wrapText="1"/>
    </xf>
    <xf numFmtId="3" fontId="70" fillId="36" borderId="37" xfId="0" applyNumberFormat="1" applyFont="1" applyFill="1" applyBorder="1" applyAlignment="1">
      <alignment horizontal="right" vertical="center" wrapText="1"/>
    </xf>
    <xf numFmtId="0" fontId="72" fillId="0" borderId="33" xfId="0" applyFont="1" applyFill="1" applyBorder="1" applyAlignment="1">
      <alignment horizontal="left" vertical="center" wrapText="1"/>
    </xf>
    <xf numFmtId="3" fontId="73" fillId="0" borderId="34" xfId="0" applyNumberFormat="1" applyFont="1" applyFill="1" applyBorder="1" applyAlignment="1">
      <alignment horizontal="right" vertical="center" wrapText="1"/>
    </xf>
    <xf numFmtId="0" fontId="71" fillId="0" borderId="0" xfId="0" applyFont="1" applyFill="1" applyBorder="1" applyAlignment="1">
      <alignment vertical="center"/>
    </xf>
    <xf numFmtId="0" fontId="66" fillId="0" borderId="0" xfId="0" applyFont="1" applyFill="1" applyBorder="1" applyAlignment="1">
      <alignment vertical="center"/>
    </xf>
    <xf numFmtId="3" fontId="66" fillId="0" borderId="0" xfId="0" applyNumberFormat="1" applyFont="1" applyFill="1" applyBorder="1" applyAlignment="1">
      <alignment vertical="center"/>
    </xf>
    <xf numFmtId="0" fontId="75" fillId="0" borderId="0" xfId="0" applyFont="1"/>
    <xf numFmtId="0" fontId="76" fillId="0" borderId="0" xfId="0" applyFont="1"/>
    <xf numFmtId="3" fontId="71" fillId="38" borderId="0" xfId="0" applyNumberFormat="1" applyFont="1" applyFill="1" applyBorder="1" applyAlignment="1">
      <alignment horizontal="right" vertical="center" wrapText="1"/>
    </xf>
    <xf numFmtId="3" fontId="70" fillId="38" borderId="38" xfId="0" applyNumberFormat="1" applyFont="1" applyFill="1" applyBorder="1" applyAlignment="1">
      <alignment horizontal="right" vertical="center" wrapText="1"/>
    </xf>
    <xf numFmtId="3" fontId="77" fillId="37" borderId="0" xfId="0" applyNumberFormat="1" applyFont="1" applyFill="1" applyBorder="1" applyAlignment="1">
      <alignment horizontal="right" vertical="center" wrapText="1"/>
    </xf>
    <xf numFmtId="3" fontId="77" fillId="36" borderId="0" xfId="0" applyNumberFormat="1" applyFont="1" applyFill="1" applyBorder="1" applyAlignment="1">
      <alignment horizontal="right" vertical="center" wrapText="1"/>
    </xf>
    <xf numFmtId="3" fontId="77" fillId="37" borderId="36" xfId="0" applyNumberFormat="1" applyFont="1" applyFill="1" applyBorder="1" applyAlignment="1">
      <alignment horizontal="right" vertical="center" wrapText="1"/>
    </xf>
    <xf numFmtId="164" fontId="0" fillId="0" borderId="0" xfId="2" applyNumberFormat="1" applyFont="1"/>
    <xf numFmtId="0" fontId="77" fillId="0" borderId="35" xfId="0" applyFont="1" applyFill="1" applyBorder="1" applyAlignment="1">
      <alignment horizontal="left" vertical="center" wrapText="1"/>
    </xf>
    <xf numFmtId="164" fontId="77" fillId="38" borderId="0" xfId="0" applyNumberFormat="1" applyFont="1" applyFill="1" applyBorder="1" applyAlignment="1">
      <alignment horizontal="right" vertical="center" wrapText="1"/>
    </xf>
    <xf numFmtId="164" fontId="77" fillId="37" borderId="0" xfId="0" applyNumberFormat="1" applyFont="1" applyFill="1" applyBorder="1" applyAlignment="1">
      <alignment horizontal="right" vertical="center" wrapText="1"/>
    </xf>
    <xf numFmtId="3" fontId="77" fillId="36" borderId="35" xfId="0" applyNumberFormat="1" applyFont="1" applyFill="1" applyBorder="1" applyAlignment="1">
      <alignment horizontal="right" vertical="center" wrapText="1"/>
    </xf>
    <xf numFmtId="3" fontId="77" fillId="38" borderId="0" xfId="0" applyNumberFormat="1" applyFont="1" applyFill="1" applyBorder="1" applyAlignment="1">
      <alignment horizontal="right" vertical="center" wrapText="1"/>
    </xf>
    <xf numFmtId="0" fontId="21" fillId="0" borderId="0" xfId="0" applyFont="1" applyAlignment="1">
      <alignment horizontal="right"/>
    </xf>
    <xf numFmtId="0" fontId="50" fillId="0" borderId="1" xfId="0" applyFont="1" applyBorder="1" applyAlignment="1"/>
    <xf numFmtId="0" fontId="50" fillId="0" borderId="0" xfId="0" applyFont="1" applyAlignment="1"/>
    <xf numFmtId="9" fontId="31" fillId="0" borderId="1" xfId="1" applyFont="1" applyBorder="1" applyAlignment="1">
      <alignment horizontal="center" wrapText="1"/>
    </xf>
    <xf numFmtId="2" fontId="31" fillId="0" borderId="1" xfId="0" applyNumberFormat="1" applyFont="1" applyBorder="1" applyAlignment="1">
      <alignment horizontal="center" wrapText="1"/>
    </xf>
    <xf numFmtId="164" fontId="31" fillId="0" borderId="1" xfId="2" applyNumberFormat="1" applyFont="1" applyBorder="1" applyAlignment="1">
      <alignment horizontal="center" wrapText="1"/>
    </xf>
    <xf numFmtId="0" fontId="0" fillId="12" borderId="0" xfId="0" applyFont="1" applyFill="1" applyBorder="1"/>
    <xf numFmtId="0" fontId="21" fillId="0" borderId="0" xfId="0" applyFont="1" applyAlignment="1">
      <alignment horizontal="left"/>
    </xf>
    <xf numFmtId="3" fontId="21" fillId="0" borderId="0" xfId="0" applyNumberFormat="1" applyFont="1"/>
    <xf numFmtId="2" fontId="21" fillId="0" borderId="0" xfId="0" applyNumberFormat="1" applyFont="1"/>
    <xf numFmtId="0" fontId="0" fillId="0" borderId="0" xfId="0" applyAlignment="1">
      <alignment wrapText="1"/>
    </xf>
    <xf numFmtId="0" fontId="0" fillId="0" borderId="0" xfId="0" applyFill="1" applyBorder="1" applyAlignment="1">
      <alignment horizontal="center"/>
    </xf>
    <xf numFmtId="0" fontId="0" fillId="0" borderId="0" xfId="0" applyFill="1" applyAlignment="1">
      <alignment horizontal="center"/>
    </xf>
    <xf numFmtId="0" fontId="0" fillId="0" borderId="0" xfId="0" applyAlignment="1">
      <alignment horizontal="center" wrapText="1"/>
    </xf>
    <xf numFmtId="43" fontId="0" fillId="0" borderId="5" xfId="0" applyNumberFormat="1" applyBorder="1"/>
    <xf numFmtId="0" fontId="20" fillId="0" borderId="0" xfId="0" applyFont="1" applyFill="1" applyAlignment="1">
      <alignment horizontal="left"/>
    </xf>
    <xf numFmtId="0" fontId="79" fillId="6" borderId="0" xfId="0" applyFont="1" applyFill="1" applyProtection="1">
      <protection locked="0" hidden="1"/>
    </xf>
    <xf numFmtId="0" fontId="20" fillId="6" borderId="0" xfId="0" applyFont="1" applyFill="1" applyProtection="1">
      <protection hidden="1"/>
    </xf>
    <xf numFmtId="0" fontId="80" fillId="7" borderId="0" xfId="0" applyFont="1" applyFill="1" applyAlignment="1" applyProtection="1">
      <alignment horizontal="left" indent="3"/>
      <protection hidden="1"/>
    </xf>
    <xf numFmtId="0" fontId="20" fillId="7" borderId="0" xfId="0" applyFont="1" applyFill="1" applyProtection="1">
      <protection hidden="1"/>
    </xf>
    <xf numFmtId="0" fontId="20" fillId="0" borderId="39" xfId="0" applyFont="1" applyFill="1" applyBorder="1" applyProtection="1">
      <protection hidden="1"/>
    </xf>
    <xf numFmtId="185" fontId="20" fillId="0" borderId="40" xfId="0" applyNumberFormat="1" applyFont="1" applyFill="1" applyBorder="1" applyAlignment="1" applyProtection="1">
      <alignment horizontal="center"/>
      <protection hidden="1"/>
    </xf>
    <xf numFmtId="0" fontId="20" fillId="6" borderId="0" xfId="0" applyFont="1" applyFill="1" applyBorder="1" applyAlignment="1" applyProtection="1">
      <protection hidden="1"/>
    </xf>
    <xf numFmtId="0" fontId="20" fillId="0" borderId="41" xfId="0" applyFont="1" applyFill="1" applyBorder="1" applyProtection="1">
      <protection hidden="1"/>
    </xf>
    <xf numFmtId="165" fontId="20" fillId="0" borderId="42" xfId="0" applyNumberFormat="1" applyFont="1" applyFill="1" applyBorder="1" applyAlignment="1" applyProtection="1">
      <alignment horizontal="center"/>
      <protection hidden="1"/>
    </xf>
    <xf numFmtId="3" fontId="20" fillId="6" borderId="0" xfId="0" applyNumberFormat="1" applyFont="1" applyFill="1" applyBorder="1" applyAlignment="1" applyProtection="1">
      <protection hidden="1"/>
    </xf>
    <xf numFmtId="3" fontId="20" fillId="0" borderId="42" xfId="0" applyNumberFormat="1" applyFont="1" applyFill="1" applyBorder="1" applyAlignment="1" applyProtection="1">
      <alignment horizontal="center"/>
      <protection hidden="1"/>
    </xf>
    <xf numFmtId="186" fontId="20" fillId="0" borderId="42" xfId="0" applyNumberFormat="1" applyFont="1" applyFill="1" applyBorder="1" applyAlignment="1" applyProtection="1">
      <alignment horizontal="center"/>
      <protection hidden="1"/>
    </xf>
    <xf numFmtId="186" fontId="20" fillId="6" borderId="0" xfId="0" applyNumberFormat="1" applyFont="1" applyFill="1" applyBorder="1" applyAlignment="1" applyProtection="1">
      <protection hidden="1"/>
    </xf>
    <xf numFmtId="4" fontId="20" fillId="0" borderId="42" xfId="0" applyNumberFormat="1" applyFont="1" applyFill="1" applyBorder="1" applyAlignment="1" applyProtection="1">
      <alignment horizontal="center"/>
      <protection hidden="1"/>
    </xf>
    <xf numFmtId="166" fontId="20" fillId="0" borderId="42" xfId="3" applyNumberFormat="1" applyFont="1" applyFill="1" applyBorder="1" applyAlignment="1" applyProtection="1">
      <alignment horizontal="center"/>
      <protection hidden="1"/>
    </xf>
    <xf numFmtId="166" fontId="20" fillId="0" borderId="42" xfId="0" applyNumberFormat="1" applyFont="1" applyFill="1" applyBorder="1" applyAlignment="1" applyProtection="1">
      <alignment horizontal="center"/>
      <protection hidden="1"/>
    </xf>
    <xf numFmtId="187" fontId="20" fillId="6" borderId="0" xfId="0" applyNumberFormat="1" applyFont="1" applyFill="1" applyBorder="1" applyAlignment="1" applyProtection="1">
      <protection hidden="1"/>
    </xf>
    <xf numFmtId="1" fontId="20" fillId="0" borderId="42" xfId="2" applyNumberFormat="1" applyFont="1" applyFill="1" applyBorder="1" applyAlignment="1" applyProtection="1">
      <alignment horizontal="center" vertical="center"/>
      <protection hidden="1"/>
    </xf>
    <xf numFmtId="0" fontId="20" fillId="0" borderId="43" xfId="0" applyFont="1" applyFill="1" applyBorder="1" applyProtection="1">
      <protection hidden="1"/>
    </xf>
    <xf numFmtId="173" fontId="20" fillId="0" borderId="44" xfId="3" applyNumberFormat="1" applyFont="1" applyFill="1" applyBorder="1" applyAlignment="1" applyProtection="1">
      <alignment horizontal="center" vertical="center"/>
      <protection hidden="1"/>
    </xf>
    <xf numFmtId="0" fontId="81" fillId="6" borderId="0" xfId="0" applyFont="1" applyFill="1" applyAlignment="1" applyProtection="1">
      <alignment horizontal="left" vertical="top"/>
      <protection hidden="1"/>
    </xf>
    <xf numFmtId="0" fontId="81" fillId="6" borderId="0" xfId="0" applyFont="1" applyFill="1" applyProtection="1">
      <protection hidden="1"/>
    </xf>
    <xf numFmtId="0" fontId="20" fillId="6" borderId="0" xfId="0" applyFont="1" applyFill="1" applyAlignment="1" applyProtection="1">
      <protection hidden="1"/>
    </xf>
    <xf numFmtId="9" fontId="20" fillId="12" borderId="40" xfId="0" applyNumberFormat="1" applyFont="1" applyFill="1" applyBorder="1" applyAlignment="1" applyProtection="1">
      <alignment horizontal="center"/>
      <protection hidden="1"/>
    </xf>
    <xf numFmtId="0" fontId="20" fillId="6" borderId="0" xfId="0" applyFont="1" applyFill="1" applyBorder="1" applyProtection="1">
      <protection hidden="1"/>
    </xf>
    <xf numFmtId="9" fontId="20" fillId="12" borderId="42" xfId="0" applyNumberFormat="1" applyFont="1" applyFill="1" applyBorder="1" applyAlignment="1" applyProtection="1">
      <alignment horizontal="center"/>
      <protection hidden="1"/>
    </xf>
    <xf numFmtId="3" fontId="22" fillId="6" borderId="0" xfId="0" applyNumberFormat="1" applyFont="1" applyFill="1" applyBorder="1" applyAlignment="1" applyProtection="1">
      <protection hidden="1"/>
    </xf>
    <xf numFmtId="4" fontId="20" fillId="6" borderId="0" xfId="0" applyNumberFormat="1" applyFont="1" applyFill="1" applyBorder="1" applyAlignment="1" applyProtection="1">
      <protection hidden="1"/>
    </xf>
    <xf numFmtId="0" fontId="20" fillId="7" borderId="44" xfId="0" applyFont="1" applyFill="1" applyBorder="1" applyAlignment="1" applyProtection="1">
      <alignment horizontal="center"/>
      <protection locked="0" hidden="1"/>
    </xf>
    <xf numFmtId="0" fontId="20" fillId="6" borderId="0" xfId="0" applyFont="1" applyFill="1" applyAlignment="1" applyProtection="1">
      <alignment horizontal="left" indent="2"/>
      <protection hidden="1"/>
    </xf>
    <xf numFmtId="0" fontId="80" fillId="6" borderId="0" xfId="0" applyFont="1" applyFill="1" applyAlignment="1" applyProtection="1">
      <alignment horizontal="left" indent="3"/>
      <protection hidden="1"/>
    </xf>
    <xf numFmtId="2" fontId="20" fillId="0" borderId="40" xfId="0" applyNumberFormat="1" applyFont="1" applyFill="1" applyBorder="1" applyAlignment="1" applyProtection="1">
      <alignment horizontal="center"/>
      <protection hidden="1"/>
    </xf>
    <xf numFmtId="173" fontId="20" fillId="6" borderId="0" xfId="0" applyNumberFormat="1" applyFont="1" applyFill="1" applyBorder="1" applyAlignment="1" applyProtection="1">
      <protection hidden="1"/>
    </xf>
    <xf numFmtId="173" fontId="20" fillId="0" borderId="42" xfId="0" applyNumberFormat="1" applyFont="1" applyFill="1" applyBorder="1" applyAlignment="1" applyProtection="1">
      <alignment horizontal="center"/>
      <protection hidden="1"/>
    </xf>
    <xf numFmtId="1" fontId="20" fillId="0" borderId="42" xfId="0" applyNumberFormat="1" applyFont="1" applyFill="1" applyBorder="1" applyAlignment="1" applyProtection="1">
      <alignment horizontal="center"/>
      <protection hidden="1"/>
    </xf>
    <xf numFmtId="173" fontId="20" fillId="0" borderId="44" xfId="3" applyNumberFormat="1" applyFont="1" applyFill="1" applyBorder="1" applyAlignment="1" applyProtection="1">
      <alignment horizontal="center"/>
      <protection hidden="1"/>
    </xf>
    <xf numFmtId="0" fontId="22" fillId="6" borderId="0" xfId="0" applyFont="1" applyFill="1" applyBorder="1" applyAlignment="1" applyProtection="1">
      <alignment horizontal="left" vertical="center"/>
      <protection hidden="1"/>
    </xf>
    <xf numFmtId="0" fontId="22" fillId="6" borderId="0" xfId="0" applyFont="1" applyFill="1" applyBorder="1" applyAlignment="1" applyProtection="1">
      <alignment horizontal="center" vertical="center"/>
      <protection hidden="1"/>
    </xf>
    <xf numFmtId="0" fontId="22" fillId="6" borderId="0" xfId="0" applyFont="1" applyFill="1" applyBorder="1" applyAlignment="1" applyProtection="1">
      <alignment horizontal="center" vertical="center" wrapText="1"/>
      <protection hidden="1"/>
    </xf>
    <xf numFmtId="0" fontId="20" fillId="7" borderId="40" xfId="0" applyFont="1" applyFill="1" applyBorder="1" applyAlignment="1" applyProtection="1">
      <alignment horizontal="center"/>
      <protection hidden="1"/>
    </xf>
    <xf numFmtId="165" fontId="20" fillId="6" borderId="0" xfId="0" applyNumberFormat="1" applyFont="1" applyFill="1" applyBorder="1" applyAlignment="1" applyProtection="1">
      <alignment horizontal="left"/>
      <protection locked="0" hidden="1"/>
    </xf>
    <xf numFmtId="1" fontId="20" fillId="6" borderId="0" xfId="0" applyNumberFormat="1" applyFont="1" applyFill="1" applyBorder="1" applyAlignment="1" applyProtection="1">
      <alignment horizontal="center"/>
      <protection locked="0" hidden="1"/>
    </xf>
    <xf numFmtId="9" fontId="20" fillId="6" borderId="0" xfId="1" applyFont="1" applyFill="1" applyBorder="1" applyAlignment="1" applyProtection="1">
      <alignment horizontal="center"/>
      <protection locked="0" hidden="1"/>
    </xf>
    <xf numFmtId="0" fontId="20" fillId="0" borderId="42" xfId="0" applyFont="1" applyFill="1" applyBorder="1" applyAlignment="1" applyProtection="1">
      <alignment horizontal="center"/>
      <protection hidden="1"/>
    </xf>
    <xf numFmtId="0" fontId="20" fillId="6" borderId="0" xfId="0" quotePrefix="1" applyFont="1" applyFill="1" applyBorder="1" applyProtection="1">
      <protection hidden="1"/>
    </xf>
    <xf numFmtId="0" fontId="20" fillId="7" borderId="42" xfId="0" applyFont="1" applyFill="1" applyBorder="1" applyAlignment="1" applyProtection="1">
      <alignment horizontal="center" vertical="center" wrapText="1"/>
      <protection hidden="1"/>
    </xf>
    <xf numFmtId="9" fontId="20" fillId="7" borderId="42" xfId="1" applyNumberFormat="1" applyFont="1" applyFill="1" applyBorder="1" applyAlignment="1" applyProtection="1">
      <alignment horizontal="center"/>
      <protection locked="0" hidden="1"/>
    </xf>
    <xf numFmtId="0" fontId="20" fillId="7" borderId="42" xfId="0" applyFont="1" applyFill="1" applyBorder="1" applyAlignment="1" applyProtection="1">
      <alignment horizontal="center"/>
      <protection hidden="1"/>
    </xf>
    <xf numFmtId="0" fontId="20" fillId="0" borderId="45" xfId="0" applyFont="1" applyFill="1" applyBorder="1" applyProtection="1">
      <protection hidden="1"/>
    </xf>
    <xf numFmtId="0" fontId="22" fillId="6" borderId="0" xfId="0" applyFont="1" applyFill="1" applyBorder="1" applyAlignment="1" applyProtection="1">
      <alignment horizontal="center" wrapText="1"/>
      <protection hidden="1"/>
    </xf>
    <xf numFmtId="0" fontId="20" fillId="0" borderId="11" xfId="0" applyFont="1" applyFill="1" applyBorder="1" applyProtection="1">
      <protection hidden="1"/>
    </xf>
    <xf numFmtId="0" fontId="20" fillId="0" borderId="0" xfId="0" applyFont="1" applyFill="1" applyBorder="1" applyProtection="1">
      <protection hidden="1"/>
    </xf>
    <xf numFmtId="0" fontId="20" fillId="0" borderId="12" xfId="0" applyFont="1" applyFill="1" applyBorder="1" applyProtection="1">
      <protection hidden="1"/>
    </xf>
    <xf numFmtId="0" fontId="0" fillId="0" borderId="41" xfId="0" applyFill="1" applyBorder="1"/>
    <xf numFmtId="2" fontId="20" fillId="7" borderId="42" xfId="1" applyNumberFormat="1" applyFont="1" applyFill="1" applyBorder="1" applyAlignment="1" applyProtection="1">
      <alignment horizontal="center"/>
      <protection locked="0" hidden="1"/>
    </xf>
    <xf numFmtId="0" fontId="20" fillId="6" borderId="0" xfId="0" applyFont="1" applyFill="1" applyBorder="1" applyAlignment="1" applyProtection="1">
      <alignment horizontal="center"/>
      <protection hidden="1"/>
    </xf>
    <xf numFmtId="0" fontId="0" fillId="6" borderId="0" xfId="0" applyFill="1" applyBorder="1"/>
    <xf numFmtId="1" fontId="20" fillId="6" borderId="0" xfId="1" applyNumberFormat="1" applyFont="1" applyFill="1" applyBorder="1" applyAlignment="1" applyProtection="1">
      <alignment horizontal="center"/>
      <protection locked="0" hidden="1"/>
    </xf>
    <xf numFmtId="0" fontId="20" fillId="0" borderId="13" xfId="0" applyFont="1" applyFill="1" applyBorder="1" applyProtection="1">
      <protection hidden="1"/>
    </xf>
    <xf numFmtId="0" fontId="22" fillId="6" borderId="47" xfId="0" applyFont="1" applyFill="1" applyBorder="1" applyAlignment="1" applyProtection="1">
      <alignment horizontal="left" vertical="center"/>
      <protection hidden="1"/>
    </xf>
    <xf numFmtId="6" fontId="20" fillId="7" borderId="48" xfId="0" applyNumberFormat="1" applyFont="1" applyFill="1" applyBorder="1" applyAlignment="1" applyProtection="1">
      <alignment horizontal="center"/>
      <protection hidden="1"/>
    </xf>
    <xf numFmtId="0" fontId="22" fillId="6" borderId="0" xfId="0" applyFont="1" applyFill="1" applyBorder="1" applyAlignment="1" applyProtection="1">
      <alignment horizontal="center"/>
      <protection hidden="1"/>
    </xf>
    <xf numFmtId="0" fontId="22" fillId="6" borderId="47" xfId="0" applyFont="1" applyFill="1" applyBorder="1" applyAlignment="1" applyProtection="1">
      <alignment horizontal="center" vertical="center" wrapText="1"/>
      <protection hidden="1"/>
    </xf>
    <xf numFmtId="0" fontId="13" fillId="6" borderId="0" xfId="0" applyFont="1" applyFill="1" applyBorder="1" applyAlignment="1" applyProtection="1">
      <protection hidden="1"/>
    </xf>
    <xf numFmtId="8" fontId="20" fillId="0" borderId="48" xfId="1" applyNumberFormat="1" applyFont="1" applyFill="1" applyBorder="1" applyAlignment="1" applyProtection="1">
      <alignment horizontal="center"/>
      <protection hidden="1"/>
    </xf>
    <xf numFmtId="8" fontId="20" fillId="6" borderId="0" xfId="1" applyNumberFormat="1" applyFont="1" applyFill="1" applyBorder="1" applyAlignment="1" applyProtection="1">
      <protection hidden="1"/>
    </xf>
    <xf numFmtId="0" fontId="22" fillId="6" borderId="39" xfId="0" applyFont="1" applyFill="1" applyBorder="1" applyAlignment="1" applyProtection="1">
      <alignment horizontal="center" wrapText="1"/>
      <protection hidden="1"/>
    </xf>
    <xf numFmtId="0" fontId="22" fillId="6" borderId="49" xfId="0" applyFont="1" applyFill="1" applyBorder="1" applyAlignment="1" applyProtection="1">
      <alignment horizontal="center" wrapText="1"/>
      <protection hidden="1"/>
    </xf>
    <xf numFmtId="0" fontId="22" fillId="6" borderId="40" xfId="0" applyFont="1" applyFill="1" applyBorder="1" applyAlignment="1" applyProtection="1">
      <alignment horizontal="center" wrapText="1"/>
      <protection hidden="1"/>
    </xf>
    <xf numFmtId="0" fontId="20" fillId="0" borderId="43" xfId="0" applyFont="1" applyFill="1" applyBorder="1" applyAlignment="1" applyProtection="1">
      <alignment horizontal="center"/>
      <protection hidden="1"/>
    </xf>
    <xf numFmtId="0" fontId="20" fillId="0" borderId="50" xfId="0" applyFont="1" applyFill="1" applyBorder="1" applyAlignment="1" applyProtection="1">
      <alignment horizontal="center"/>
      <protection hidden="1"/>
    </xf>
    <xf numFmtId="0" fontId="20" fillId="0" borderId="44" xfId="0" applyFont="1" applyFill="1" applyBorder="1" applyAlignment="1" applyProtection="1">
      <alignment horizontal="center"/>
      <protection hidden="1"/>
    </xf>
    <xf numFmtId="0" fontId="4" fillId="6" borderId="39" xfId="0" applyFont="1" applyFill="1" applyBorder="1" applyAlignment="1">
      <alignment horizontal="center" vertical="center" wrapText="1"/>
    </xf>
    <xf numFmtId="0" fontId="22" fillId="6" borderId="49" xfId="0" applyFont="1" applyFill="1" applyBorder="1" applyAlignment="1" applyProtection="1">
      <alignment horizontal="center" vertical="center" wrapText="1"/>
      <protection hidden="1"/>
    </xf>
    <xf numFmtId="0" fontId="20" fillId="6" borderId="0" xfId="0" applyFont="1" applyFill="1" applyBorder="1" applyAlignment="1" applyProtection="1">
      <alignment wrapText="1"/>
      <protection hidden="1"/>
    </xf>
    <xf numFmtId="0" fontId="0" fillId="0" borderId="41" xfId="0" applyBorder="1"/>
    <xf numFmtId="167" fontId="20" fillId="0" borderId="1" xfId="1" applyNumberFormat="1" applyFont="1" applyFill="1" applyBorder="1" applyAlignment="1" applyProtection="1">
      <alignment horizontal="center"/>
      <protection hidden="1"/>
    </xf>
    <xf numFmtId="2" fontId="20" fillId="0" borderId="42" xfId="0" applyNumberFormat="1" applyFont="1" applyFill="1" applyBorder="1" applyAlignment="1" applyProtection="1">
      <alignment horizontal="center"/>
      <protection hidden="1"/>
    </xf>
    <xf numFmtId="0" fontId="83" fillId="6" borderId="0" xfId="0" applyFont="1" applyFill="1" applyBorder="1" applyAlignment="1" applyProtection="1">
      <alignment vertical="center" wrapText="1"/>
      <protection hidden="1"/>
    </xf>
    <xf numFmtId="0" fontId="20" fillId="6" borderId="0" xfId="0" applyFont="1" applyFill="1" applyBorder="1" applyAlignment="1" applyProtection="1">
      <alignment vertical="center" wrapText="1"/>
      <protection hidden="1"/>
    </xf>
    <xf numFmtId="0" fontId="13" fillId="6" borderId="0" xfId="0" applyFont="1" applyFill="1" applyBorder="1" applyAlignment="1" applyProtection="1">
      <alignment horizontal="center"/>
      <protection hidden="1"/>
    </xf>
    <xf numFmtId="185" fontId="20" fillId="6" borderId="0" xfId="0" applyNumberFormat="1" applyFont="1" applyFill="1" applyBorder="1" applyAlignment="1" applyProtection="1">
      <alignment horizontal="center"/>
      <protection hidden="1"/>
    </xf>
    <xf numFmtId="188" fontId="20" fillId="6" borderId="0" xfId="0" applyNumberFormat="1" applyFont="1" applyFill="1" applyBorder="1" applyAlignment="1" applyProtection="1">
      <alignment horizontal="center"/>
      <protection hidden="1"/>
    </xf>
    <xf numFmtId="167" fontId="20" fillId="6" borderId="0" xfId="1" applyNumberFormat="1" applyFont="1" applyFill="1" applyBorder="1" applyAlignment="1" applyProtection="1">
      <alignment horizontal="center"/>
      <protection hidden="1"/>
    </xf>
    <xf numFmtId="2" fontId="20" fillId="6" borderId="0" xfId="0" applyNumberFormat="1" applyFont="1" applyFill="1" applyBorder="1" applyProtection="1">
      <protection hidden="1"/>
    </xf>
    <xf numFmtId="2" fontId="20" fillId="6" borderId="0" xfId="1" applyNumberFormat="1" applyFont="1" applyFill="1" applyBorder="1" applyProtection="1">
      <protection hidden="1"/>
    </xf>
    <xf numFmtId="189" fontId="20" fillId="6" borderId="0" xfId="3" applyNumberFormat="1" applyFont="1" applyFill="1" applyBorder="1" applyProtection="1">
      <protection hidden="1"/>
    </xf>
    <xf numFmtId="3" fontId="20" fillId="6" borderId="0" xfId="1" applyNumberFormat="1" applyFont="1" applyFill="1" applyBorder="1" applyProtection="1">
      <protection hidden="1"/>
    </xf>
    <xf numFmtId="190" fontId="20" fillId="6" borderId="0" xfId="1" applyNumberFormat="1" applyFont="1" applyFill="1" applyBorder="1" applyProtection="1">
      <protection hidden="1"/>
    </xf>
    <xf numFmtId="191" fontId="20" fillId="6" borderId="0" xfId="1" applyNumberFormat="1" applyFont="1" applyFill="1" applyBorder="1" applyProtection="1">
      <protection hidden="1"/>
    </xf>
    <xf numFmtId="191" fontId="20" fillId="6" borderId="0" xfId="1" applyNumberFormat="1" applyFont="1" applyFill="1" applyBorder="1" applyAlignment="1" applyProtection="1">
      <alignment horizontal="right"/>
      <protection hidden="1"/>
    </xf>
    <xf numFmtId="0" fontId="0" fillId="0" borderId="43" xfId="0" applyBorder="1"/>
    <xf numFmtId="167" fontId="20" fillId="0" borderId="50" xfId="1" applyNumberFormat="1" applyFont="1" applyFill="1" applyBorder="1" applyAlignment="1" applyProtection="1">
      <alignment horizontal="center"/>
      <protection hidden="1"/>
    </xf>
    <xf numFmtId="2" fontId="20" fillId="0" borderId="44" xfId="0" applyNumberFormat="1" applyFont="1" applyFill="1" applyBorder="1" applyAlignment="1" applyProtection="1">
      <alignment horizontal="center"/>
      <protection hidden="1"/>
    </xf>
    <xf numFmtId="190" fontId="20" fillId="6" borderId="0" xfId="0" applyNumberFormat="1" applyFont="1" applyFill="1" applyBorder="1" applyAlignment="1" applyProtection="1">
      <alignment horizontal="center"/>
      <protection hidden="1"/>
    </xf>
    <xf numFmtId="9" fontId="20" fillId="6" borderId="0" xfId="1" applyNumberFormat="1" applyFont="1" applyFill="1" applyBorder="1" applyProtection="1">
      <protection hidden="1"/>
    </xf>
    <xf numFmtId="192" fontId="20" fillId="6" borderId="0" xfId="0" applyNumberFormat="1" applyFont="1" applyFill="1" applyBorder="1" applyProtection="1">
      <protection hidden="1"/>
    </xf>
    <xf numFmtId="0" fontId="20" fillId="6" borderId="0" xfId="0" applyFont="1" applyFill="1" applyAlignment="1" applyProtection="1">
      <alignment horizontal="center"/>
      <protection hidden="1"/>
    </xf>
    <xf numFmtId="0" fontId="22" fillId="6" borderId="39" xfId="0" applyFont="1" applyFill="1" applyBorder="1" applyAlignment="1" applyProtection="1">
      <alignment horizontal="left" vertical="center"/>
      <protection hidden="1"/>
    </xf>
    <xf numFmtId="0" fontId="22" fillId="6" borderId="40" xfId="0" applyFont="1" applyFill="1" applyBorder="1" applyAlignment="1" applyProtection="1">
      <alignment horizontal="center" vertical="center" wrapText="1"/>
      <protection hidden="1"/>
    </xf>
    <xf numFmtId="0" fontId="20" fillId="0" borderId="41" xfId="0" applyFont="1" applyFill="1" applyBorder="1" applyAlignment="1" applyProtection="1">
      <protection hidden="1"/>
    </xf>
    <xf numFmtId="167" fontId="20" fillId="0" borderId="42" xfId="1" applyNumberFormat="1" applyFont="1" applyFill="1" applyBorder="1" applyAlignment="1" applyProtection="1">
      <alignment horizontal="center"/>
      <protection locked="0" hidden="1"/>
    </xf>
    <xf numFmtId="0" fontId="20" fillId="0" borderId="43" xfId="0" applyFont="1" applyFill="1" applyBorder="1" applyAlignment="1" applyProtection="1">
      <protection hidden="1"/>
    </xf>
    <xf numFmtId="167" fontId="20" fillId="0" borderId="44" xfId="1" applyNumberFormat="1" applyFont="1" applyFill="1" applyBorder="1" applyAlignment="1" applyProtection="1">
      <alignment horizontal="center"/>
      <protection locked="0" hidden="1"/>
    </xf>
    <xf numFmtId="0" fontId="84" fillId="6" borderId="0" xfId="0" applyFont="1" applyFill="1" applyBorder="1" applyAlignment="1" applyProtection="1">
      <protection hidden="1"/>
    </xf>
    <xf numFmtId="0" fontId="83" fillId="6" borderId="0" xfId="0" applyFont="1" applyFill="1" applyBorder="1" applyAlignment="1" applyProtection="1">
      <protection hidden="1"/>
    </xf>
    <xf numFmtId="0" fontId="4" fillId="6" borderId="51" xfId="0" applyFont="1" applyFill="1" applyBorder="1" applyAlignment="1">
      <alignment horizontal="center" vertical="center" wrapText="1"/>
    </xf>
    <xf numFmtId="0" fontId="22" fillId="6" borderId="52" xfId="0" applyFont="1" applyFill="1" applyBorder="1" applyAlignment="1" applyProtection="1">
      <alignment horizontal="center" vertical="center" wrapText="1"/>
      <protection hidden="1"/>
    </xf>
    <xf numFmtId="0" fontId="22" fillId="6" borderId="53" xfId="0" applyFont="1" applyFill="1" applyBorder="1" applyAlignment="1" applyProtection="1">
      <alignment horizontal="center" vertical="center" wrapText="1"/>
      <protection hidden="1"/>
    </xf>
    <xf numFmtId="0" fontId="22" fillId="6" borderId="39" xfId="0" applyFont="1" applyFill="1" applyBorder="1" applyAlignment="1" applyProtection="1">
      <alignment horizontal="center" vertical="center" wrapText="1"/>
      <protection hidden="1"/>
    </xf>
    <xf numFmtId="0" fontId="0" fillId="0" borderId="39" xfId="0" applyBorder="1"/>
    <xf numFmtId="2" fontId="20" fillId="0" borderId="49" xfId="0" applyNumberFormat="1" applyFont="1" applyFill="1" applyBorder="1" applyAlignment="1" applyProtection="1">
      <alignment horizontal="center"/>
      <protection hidden="1"/>
    </xf>
    <xf numFmtId="9" fontId="20" fillId="0" borderId="49" xfId="0" applyNumberFormat="1" applyFont="1" applyFill="1" applyBorder="1" applyAlignment="1" applyProtection="1">
      <alignment horizontal="center"/>
      <protection hidden="1"/>
    </xf>
    <xf numFmtId="9" fontId="20" fillId="0" borderId="49" xfId="1" applyFont="1" applyFill="1" applyBorder="1" applyAlignment="1" applyProtection="1">
      <alignment horizontal="center"/>
      <protection hidden="1"/>
    </xf>
    <xf numFmtId="10" fontId="20" fillId="0" borderId="49" xfId="0" applyNumberFormat="1" applyFont="1" applyFill="1" applyBorder="1" applyAlignment="1" applyProtection="1">
      <alignment horizontal="center"/>
      <protection hidden="1"/>
    </xf>
    <xf numFmtId="2" fontId="20" fillId="0" borderId="49" xfId="1" applyNumberFormat="1" applyFont="1" applyFill="1" applyBorder="1" applyAlignment="1" applyProtection="1">
      <alignment horizontal="center"/>
      <protection hidden="1"/>
    </xf>
    <xf numFmtId="180" fontId="20" fillId="0" borderId="49" xfId="1" applyNumberFormat="1" applyFont="1" applyFill="1" applyBorder="1" applyAlignment="1" applyProtection="1">
      <alignment horizontal="center"/>
      <protection hidden="1"/>
    </xf>
    <xf numFmtId="177" fontId="20" fillId="0" borderId="49" xfId="3" applyNumberFormat="1" applyFont="1" applyFill="1" applyBorder="1" applyAlignment="1" applyProtection="1">
      <alignment horizontal="center"/>
      <protection hidden="1"/>
    </xf>
    <xf numFmtId="2" fontId="20" fillId="0" borderId="49" xfId="3" applyNumberFormat="1" applyFont="1" applyFill="1" applyBorder="1" applyAlignment="1" applyProtection="1">
      <alignment horizontal="center"/>
      <protection hidden="1"/>
    </xf>
    <xf numFmtId="4" fontId="20" fillId="0" borderId="49" xfId="1" applyNumberFormat="1" applyFont="1" applyFill="1" applyBorder="1" applyAlignment="1" applyProtection="1">
      <alignment horizontal="center"/>
      <protection hidden="1"/>
    </xf>
    <xf numFmtId="44" fontId="20" fillId="0" borderId="49" xfId="3" applyFont="1" applyFill="1" applyBorder="1" applyAlignment="1" applyProtection="1">
      <alignment horizontal="center"/>
      <protection hidden="1"/>
    </xf>
    <xf numFmtId="179" fontId="20" fillId="0" borderId="40" xfId="1" applyNumberFormat="1" applyFont="1" applyFill="1" applyBorder="1" applyAlignment="1" applyProtection="1">
      <alignment horizontal="center"/>
      <protection hidden="1"/>
    </xf>
    <xf numFmtId="191" fontId="20" fillId="6" borderId="0" xfId="1" applyNumberFormat="1" applyFont="1" applyFill="1" applyBorder="1" applyAlignment="1" applyProtection="1">
      <alignment horizontal="center"/>
      <protection hidden="1"/>
    </xf>
    <xf numFmtId="6" fontId="20" fillId="0" borderId="43" xfId="0" applyNumberFormat="1" applyFont="1" applyFill="1" applyBorder="1" applyAlignment="1" applyProtection="1">
      <alignment horizontal="center"/>
      <protection hidden="1"/>
    </xf>
    <xf numFmtId="2" fontId="20" fillId="0" borderId="50" xfId="0" applyNumberFormat="1" applyFont="1" applyFill="1" applyBorder="1" applyAlignment="1" applyProtection="1">
      <alignment horizontal="center"/>
      <protection hidden="1"/>
    </xf>
    <xf numFmtId="6" fontId="20" fillId="0" borderId="44" xfId="0" applyNumberFormat="1" applyFont="1" applyFill="1" applyBorder="1" applyAlignment="1" applyProtection="1">
      <alignment horizontal="center" wrapText="1"/>
      <protection hidden="1"/>
    </xf>
    <xf numFmtId="2" fontId="20" fillId="0" borderId="1" xfId="0" applyNumberFormat="1" applyFont="1" applyFill="1" applyBorder="1" applyAlignment="1" applyProtection="1">
      <alignment horizontal="center"/>
      <protection hidden="1"/>
    </xf>
    <xf numFmtId="2" fontId="20" fillId="0" borderId="8" xfId="0" applyNumberFormat="1" applyFont="1" applyFill="1" applyBorder="1" applyAlignment="1" applyProtection="1">
      <alignment horizontal="center"/>
      <protection hidden="1"/>
    </xf>
    <xf numFmtId="9" fontId="20" fillId="0" borderId="1" xfId="0" applyNumberFormat="1" applyFont="1" applyFill="1" applyBorder="1" applyAlignment="1" applyProtection="1">
      <alignment horizontal="center"/>
      <protection hidden="1"/>
    </xf>
    <xf numFmtId="9" fontId="20" fillId="0" borderId="1" xfId="1" applyFont="1" applyFill="1" applyBorder="1" applyAlignment="1" applyProtection="1">
      <alignment horizontal="center"/>
      <protection hidden="1"/>
    </xf>
    <xf numFmtId="10" fontId="20" fillId="0" borderId="1" xfId="0" applyNumberFormat="1" applyFont="1" applyFill="1" applyBorder="1" applyAlignment="1" applyProtection="1">
      <alignment horizontal="center"/>
      <protection hidden="1"/>
    </xf>
    <xf numFmtId="2" fontId="20" fillId="0" borderId="1" xfId="1" applyNumberFormat="1" applyFont="1" applyFill="1" applyBorder="1" applyAlignment="1" applyProtection="1">
      <alignment horizontal="center"/>
      <protection hidden="1"/>
    </xf>
    <xf numFmtId="180" fontId="20" fillId="0" borderId="1" xfId="1" applyNumberFormat="1" applyFont="1" applyFill="1" applyBorder="1" applyAlignment="1" applyProtection="1">
      <alignment horizontal="center"/>
      <protection hidden="1"/>
    </xf>
    <xf numFmtId="177" fontId="20" fillId="0" borderId="1" xfId="3" applyNumberFormat="1" applyFont="1" applyFill="1" applyBorder="1" applyAlignment="1" applyProtection="1">
      <alignment horizontal="center"/>
      <protection hidden="1"/>
    </xf>
    <xf numFmtId="2" fontId="20" fillId="0" borderId="1" xfId="3" applyNumberFormat="1" applyFont="1" applyFill="1" applyBorder="1" applyAlignment="1" applyProtection="1">
      <alignment horizontal="center"/>
      <protection hidden="1"/>
    </xf>
    <xf numFmtId="4" fontId="20" fillId="0" borderId="1" xfId="1" applyNumberFormat="1" applyFont="1" applyFill="1" applyBorder="1" applyAlignment="1" applyProtection="1">
      <alignment horizontal="center"/>
      <protection hidden="1"/>
    </xf>
    <xf numFmtId="44" fontId="20" fillId="0" borderId="1" xfId="3" applyFont="1" applyFill="1" applyBorder="1" applyAlignment="1" applyProtection="1">
      <alignment horizontal="center"/>
      <protection hidden="1"/>
    </xf>
    <xf numFmtId="179" fontId="20" fillId="0" borderId="42" xfId="1" applyNumberFormat="1" applyFont="1" applyFill="1" applyBorder="1" applyAlignment="1" applyProtection="1">
      <alignment horizontal="center"/>
      <protection hidden="1"/>
    </xf>
    <xf numFmtId="2" fontId="20" fillId="0" borderId="54" xfId="0" applyNumberFormat="1" applyFont="1" applyFill="1" applyBorder="1" applyAlignment="1" applyProtection="1">
      <alignment horizontal="center"/>
      <protection hidden="1"/>
    </xf>
    <xf numFmtId="9" fontId="20" fillId="0" borderId="50" xfId="0" applyNumberFormat="1" applyFont="1" applyFill="1" applyBorder="1" applyAlignment="1" applyProtection="1">
      <alignment horizontal="center"/>
      <protection hidden="1"/>
    </xf>
    <xf numFmtId="9" fontId="20" fillId="0" borderId="50" xfId="1" applyFont="1" applyFill="1" applyBorder="1" applyAlignment="1" applyProtection="1">
      <alignment horizontal="center"/>
      <protection hidden="1"/>
    </xf>
    <xf numFmtId="10" fontId="20" fillId="0" borderId="50" xfId="0" applyNumberFormat="1" applyFont="1" applyFill="1" applyBorder="1" applyAlignment="1" applyProtection="1">
      <alignment horizontal="center"/>
      <protection hidden="1"/>
    </xf>
    <xf numFmtId="2" fontId="20" fillId="0" borderId="50" xfId="1" applyNumberFormat="1" applyFont="1" applyFill="1" applyBorder="1" applyAlignment="1" applyProtection="1">
      <alignment horizontal="center"/>
      <protection hidden="1"/>
    </xf>
    <xf numFmtId="180" fontId="20" fillId="0" borderId="50" xfId="1" applyNumberFormat="1" applyFont="1" applyFill="1" applyBorder="1" applyAlignment="1" applyProtection="1">
      <alignment horizontal="center"/>
      <protection hidden="1"/>
    </xf>
    <xf numFmtId="177" fontId="20" fillId="0" borderId="50" xfId="3" applyNumberFormat="1" applyFont="1" applyFill="1" applyBorder="1" applyAlignment="1" applyProtection="1">
      <alignment horizontal="center"/>
      <protection hidden="1"/>
    </xf>
    <xf numFmtId="2" fontId="20" fillId="0" borderId="50" xfId="3" applyNumberFormat="1" applyFont="1" applyFill="1" applyBorder="1" applyAlignment="1" applyProtection="1">
      <alignment horizontal="center"/>
      <protection hidden="1"/>
    </xf>
    <xf numFmtId="4" fontId="20" fillId="0" borderId="50" xfId="1" applyNumberFormat="1" applyFont="1" applyFill="1" applyBorder="1" applyAlignment="1" applyProtection="1">
      <alignment horizontal="center"/>
      <protection hidden="1"/>
    </xf>
    <xf numFmtId="44" fontId="20" fillId="0" borderId="50" xfId="3" applyFont="1" applyFill="1" applyBorder="1" applyAlignment="1" applyProtection="1">
      <alignment horizontal="center"/>
      <protection hidden="1"/>
    </xf>
    <xf numFmtId="179" fontId="20" fillId="0" borderId="44" xfId="1" applyNumberFormat="1" applyFont="1" applyFill="1" applyBorder="1" applyAlignment="1" applyProtection="1">
      <alignment horizontal="center"/>
      <protection hidden="1"/>
    </xf>
    <xf numFmtId="0" fontId="20" fillId="6" borderId="33" xfId="0" applyFont="1" applyFill="1" applyBorder="1" applyProtection="1">
      <protection hidden="1"/>
    </xf>
    <xf numFmtId="2" fontId="20" fillId="6" borderId="25" xfId="0" applyNumberFormat="1" applyFont="1" applyFill="1" applyBorder="1" applyProtection="1">
      <protection hidden="1"/>
    </xf>
    <xf numFmtId="0" fontId="20" fillId="6" borderId="55" xfId="0" applyFont="1" applyFill="1" applyBorder="1" applyProtection="1">
      <protection hidden="1"/>
    </xf>
    <xf numFmtId="2" fontId="20" fillId="6" borderId="54" xfId="0" applyNumberFormat="1" applyFont="1" applyFill="1" applyBorder="1" applyProtection="1">
      <protection hidden="1"/>
    </xf>
    <xf numFmtId="2" fontId="20" fillId="6" borderId="56" xfId="0" applyNumberFormat="1" applyFont="1" applyFill="1" applyBorder="1" applyProtection="1">
      <protection hidden="1"/>
    </xf>
    <xf numFmtId="166" fontId="20" fillId="6" borderId="0" xfId="0" applyNumberFormat="1" applyFont="1" applyFill="1" applyProtection="1">
      <protection hidden="1"/>
    </xf>
    <xf numFmtId="182" fontId="20" fillId="6" borderId="0" xfId="0" applyNumberFormat="1" applyFont="1" applyFill="1" applyProtection="1">
      <protection hidden="1"/>
    </xf>
    <xf numFmtId="193" fontId="20" fillId="6" borderId="0" xfId="0" applyNumberFormat="1" applyFont="1" applyFill="1" applyBorder="1" applyAlignment="1" applyProtection="1">
      <protection hidden="1"/>
    </xf>
    <xf numFmtId="44" fontId="13" fillId="6" borderId="0" xfId="0" applyNumberFormat="1" applyFont="1" applyFill="1" applyBorder="1" applyAlignment="1" applyProtection="1">
      <protection hidden="1"/>
    </xf>
    <xf numFmtId="194" fontId="20" fillId="6" borderId="0" xfId="0" applyNumberFormat="1" applyFont="1" applyFill="1" applyProtection="1">
      <protection hidden="1"/>
    </xf>
    <xf numFmtId="0" fontId="13" fillId="6" borderId="14" xfId="0" applyFont="1" applyFill="1" applyBorder="1" applyAlignment="1" applyProtection="1">
      <protection hidden="1"/>
    </xf>
    <xf numFmtId="0" fontId="20" fillId="0" borderId="57" xfId="0" applyFont="1" applyFill="1" applyBorder="1" applyProtection="1">
      <protection hidden="1"/>
    </xf>
    <xf numFmtId="0" fontId="20" fillId="0" borderId="57" xfId="0" applyFont="1" applyFill="1" applyBorder="1" applyAlignment="1" applyProtection="1">
      <alignment horizontal="center"/>
      <protection hidden="1"/>
    </xf>
    <xf numFmtId="0" fontId="20" fillId="39" borderId="58" xfId="0" applyFont="1" applyFill="1" applyBorder="1" applyProtection="1">
      <protection hidden="1"/>
    </xf>
    <xf numFmtId="3" fontId="20" fillId="39" borderId="58" xfId="0" applyNumberFormat="1" applyFont="1" applyFill="1" applyBorder="1" applyAlignment="1" applyProtection="1">
      <alignment horizontal="center"/>
      <protection hidden="1"/>
    </xf>
    <xf numFmtId="0" fontId="20" fillId="0" borderId="59" xfId="0" applyFont="1" applyFill="1" applyBorder="1" applyProtection="1">
      <protection hidden="1"/>
    </xf>
    <xf numFmtId="3" fontId="20" fillId="0" borderId="59" xfId="0" applyNumberFormat="1" applyFont="1" applyFill="1" applyBorder="1" applyAlignment="1" applyProtection="1">
      <alignment horizontal="center"/>
      <protection hidden="1"/>
    </xf>
    <xf numFmtId="3" fontId="20" fillId="6" borderId="0" xfId="0" applyNumberFormat="1" applyFont="1" applyFill="1" applyProtection="1">
      <protection hidden="1"/>
    </xf>
    <xf numFmtId="0" fontId="20" fillId="39" borderId="59" xfId="0" applyFont="1" applyFill="1" applyBorder="1" applyProtection="1">
      <protection hidden="1"/>
    </xf>
    <xf numFmtId="3" fontId="20" fillId="39" borderId="59" xfId="0" applyNumberFormat="1" applyFont="1" applyFill="1" applyBorder="1" applyAlignment="1" applyProtection="1">
      <alignment horizontal="center"/>
      <protection hidden="1"/>
    </xf>
    <xf numFmtId="186" fontId="20" fillId="39" borderId="59" xfId="0" applyNumberFormat="1" applyFont="1" applyFill="1" applyBorder="1" applyAlignment="1" applyProtection="1">
      <alignment horizontal="center"/>
      <protection hidden="1"/>
    </xf>
    <xf numFmtId="4" fontId="20" fillId="0" borderId="59" xfId="0" applyNumberFormat="1" applyFont="1" applyFill="1" applyBorder="1" applyAlignment="1" applyProtection="1">
      <alignment horizontal="center"/>
      <protection hidden="1"/>
    </xf>
    <xf numFmtId="2" fontId="20" fillId="6" borderId="0" xfId="0" applyNumberFormat="1" applyFont="1" applyFill="1" applyProtection="1">
      <protection hidden="1"/>
    </xf>
    <xf numFmtId="4" fontId="20" fillId="39" borderId="59" xfId="0" applyNumberFormat="1" applyFont="1" applyFill="1" applyBorder="1" applyAlignment="1" applyProtection="1">
      <alignment horizontal="center"/>
      <protection hidden="1"/>
    </xf>
    <xf numFmtId="187" fontId="20" fillId="39" borderId="59" xfId="0" applyNumberFormat="1" applyFont="1" applyFill="1" applyBorder="1" applyAlignment="1" applyProtection="1">
      <alignment horizontal="center"/>
      <protection hidden="1"/>
    </xf>
    <xf numFmtId="0" fontId="20" fillId="0" borderId="60" xfId="0" applyFont="1" applyFill="1" applyBorder="1" applyProtection="1">
      <protection hidden="1"/>
    </xf>
    <xf numFmtId="3" fontId="20" fillId="0" borderId="60" xfId="0" applyNumberFormat="1" applyFont="1" applyFill="1" applyBorder="1" applyAlignment="1" applyProtection="1">
      <alignment horizontal="center"/>
      <protection hidden="1"/>
    </xf>
    <xf numFmtId="0" fontId="3" fillId="6" borderId="0" xfId="0" applyFont="1" applyFill="1" applyProtection="1">
      <protection hidden="1"/>
    </xf>
    <xf numFmtId="0" fontId="3" fillId="6" borderId="0" xfId="0" applyFont="1" applyFill="1" applyAlignment="1" applyProtection="1">
      <alignment horizontal="left" vertical="top"/>
      <protection hidden="1"/>
    </xf>
    <xf numFmtId="9" fontId="20" fillId="0" borderId="57" xfId="0" applyNumberFormat="1" applyFont="1" applyFill="1" applyBorder="1" applyAlignment="1" applyProtection="1">
      <alignment horizontal="center"/>
      <protection hidden="1"/>
    </xf>
    <xf numFmtId="43" fontId="20" fillId="6" borderId="0" xfId="2" applyFont="1" applyFill="1" applyProtection="1">
      <protection hidden="1"/>
    </xf>
    <xf numFmtId="187" fontId="20" fillId="0" borderId="59" xfId="0" applyNumberFormat="1" applyFont="1" applyFill="1" applyBorder="1" applyAlignment="1" applyProtection="1">
      <alignment horizontal="center"/>
      <protection hidden="1"/>
    </xf>
    <xf numFmtId="0" fontId="20" fillId="39" borderId="60" xfId="0" applyFont="1" applyFill="1" applyBorder="1" applyProtection="1">
      <protection hidden="1"/>
    </xf>
    <xf numFmtId="0" fontId="20" fillId="7" borderId="60" xfId="0" applyFont="1" applyFill="1" applyBorder="1" applyAlignment="1" applyProtection="1">
      <alignment horizontal="center"/>
      <protection locked="0" hidden="1"/>
    </xf>
    <xf numFmtId="0" fontId="20" fillId="0" borderId="61" xfId="0" applyFont="1" applyFill="1" applyBorder="1" applyProtection="1">
      <protection hidden="1"/>
    </xf>
    <xf numFmtId="9" fontId="20" fillId="0" borderId="62" xfId="1" applyNumberFormat="1" applyFont="1" applyFill="1" applyBorder="1" applyAlignment="1" applyProtection="1">
      <alignment horizontal="center"/>
      <protection hidden="1"/>
    </xf>
    <xf numFmtId="0" fontId="20" fillId="39" borderId="63" xfId="0" applyFont="1" applyFill="1" applyBorder="1" applyProtection="1">
      <protection hidden="1"/>
    </xf>
    <xf numFmtId="9" fontId="20" fillId="39" borderId="64" xfId="1" applyNumberFormat="1" applyFont="1" applyFill="1" applyBorder="1" applyAlignment="1" applyProtection="1">
      <alignment horizontal="center"/>
      <protection hidden="1"/>
    </xf>
    <xf numFmtId="0" fontId="20" fillId="0" borderId="65" xfId="0" applyFont="1" applyFill="1" applyBorder="1" applyProtection="1">
      <protection hidden="1"/>
    </xf>
    <xf numFmtId="9" fontId="20" fillId="0" borderId="66" xfId="1" applyNumberFormat="1" applyFont="1" applyFill="1" applyBorder="1" applyAlignment="1" applyProtection="1">
      <alignment horizontal="center"/>
      <protection hidden="1"/>
    </xf>
    <xf numFmtId="0" fontId="22" fillId="6" borderId="6" xfId="0" applyFont="1" applyFill="1" applyBorder="1" applyAlignment="1" applyProtection="1">
      <alignment horizontal="left" vertical="center"/>
      <protection hidden="1"/>
    </xf>
    <xf numFmtId="0" fontId="22" fillId="6" borderId="67" xfId="0" applyFont="1" applyFill="1" applyBorder="1" applyAlignment="1" applyProtection="1">
      <alignment horizontal="center" vertical="center" wrapText="1"/>
      <protection hidden="1"/>
    </xf>
    <xf numFmtId="0" fontId="22" fillId="6" borderId="68" xfId="0" applyFont="1" applyFill="1" applyBorder="1" applyAlignment="1" applyProtection="1">
      <alignment horizontal="center" vertical="center" wrapText="1"/>
      <protection hidden="1"/>
    </xf>
    <xf numFmtId="0" fontId="22" fillId="6" borderId="69" xfId="0" applyFont="1" applyFill="1" applyBorder="1" applyAlignment="1" applyProtection="1">
      <alignment horizontal="center" vertical="center" wrapText="1"/>
      <protection hidden="1"/>
    </xf>
    <xf numFmtId="0" fontId="22" fillId="6" borderId="70" xfId="0" applyFont="1" applyFill="1" applyBorder="1" applyAlignment="1" applyProtection="1">
      <alignment horizontal="center" vertical="center" wrapText="1"/>
      <protection hidden="1"/>
    </xf>
    <xf numFmtId="0" fontId="20" fillId="0" borderId="9" xfId="0" applyFont="1" applyFill="1" applyBorder="1" applyAlignment="1" applyProtection="1">
      <protection hidden="1"/>
    </xf>
    <xf numFmtId="0" fontId="82" fillId="6" borderId="9" xfId="0" applyFont="1" applyFill="1" applyBorder="1" applyProtection="1">
      <protection hidden="1"/>
    </xf>
    <xf numFmtId="0" fontId="20" fillId="6" borderId="5" xfId="0" applyFont="1" applyFill="1" applyBorder="1" applyProtection="1">
      <protection hidden="1"/>
    </xf>
    <xf numFmtId="0" fontId="20" fillId="6" borderId="10" xfId="0" applyFont="1" applyFill="1" applyBorder="1" applyProtection="1">
      <protection hidden="1"/>
    </xf>
    <xf numFmtId="0" fontId="20" fillId="39" borderId="60" xfId="0" applyFont="1" applyFill="1" applyBorder="1" applyAlignment="1" applyProtection="1">
      <protection hidden="1"/>
    </xf>
    <xf numFmtId="0" fontId="20" fillId="6" borderId="11" xfId="0" applyFont="1" applyFill="1" applyBorder="1" applyProtection="1">
      <protection hidden="1"/>
    </xf>
    <xf numFmtId="0" fontId="20" fillId="6" borderId="12" xfId="0" applyFont="1" applyFill="1" applyBorder="1" applyProtection="1">
      <protection hidden="1"/>
    </xf>
    <xf numFmtId="44" fontId="20" fillId="7" borderId="0" xfId="3" applyFont="1" applyFill="1" applyProtection="1">
      <protection hidden="1"/>
    </xf>
    <xf numFmtId="0" fontId="20" fillId="6" borderId="0" xfId="0" applyFont="1" applyFill="1" applyBorder="1" applyAlignment="1" applyProtection="1">
      <alignment horizontal="center" vertical="center" wrapText="1"/>
      <protection hidden="1"/>
    </xf>
    <xf numFmtId="9" fontId="20" fillId="6" borderId="0" xfId="0" applyNumberFormat="1" applyFont="1" applyFill="1" applyBorder="1" applyProtection="1">
      <protection hidden="1"/>
    </xf>
    <xf numFmtId="0" fontId="22" fillId="0" borderId="1" xfId="0" applyFont="1" applyFill="1" applyBorder="1" applyAlignment="1" applyProtection="1">
      <alignment wrapText="1"/>
      <protection hidden="1"/>
    </xf>
    <xf numFmtId="8" fontId="20" fillId="0" borderId="1" xfId="1" applyNumberFormat="1" applyFont="1" applyFill="1" applyBorder="1" applyAlignment="1" applyProtection="1">
      <protection hidden="1"/>
    </xf>
    <xf numFmtId="174" fontId="20" fillId="6" borderId="0" xfId="1" applyNumberFormat="1" applyFont="1" applyFill="1" applyBorder="1" applyProtection="1">
      <protection hidden="1"/>
    </xf>
    <xf numFmtId="0" fontId="22" fillId="6" borderId="9" xfId="0" applyFont="1" applyFill="1" applyBorder="1" applyAlignment="1" applyProtection="1">
      <alignment horizontal="left" vertical="center" wrapText="1"/>
      <protection hidden="1"/>
    </xf>
    <xf numFmtId="0" fontId="22" fillId="6" borderId="6" xfId="0" applyFont="1" applyFill="1" applyBorder="1" applyAlignment="1" applyProtection="1">
      <alignment horizontal="center" vertical="center" wrapText="1"/>
      <protection hidden="1"/>
    </xf>
    <xf numFmtId="1" fontId="20" fillId="39" borderId="57" xfId="1" applyNumberFormat="1" applyFont="1" applyFill="1" applyBorder="1" applyAlignment="1" applyProtection="1">
      <alignment horizontal="center"/>
      <protection hidden="1"/>
    </xf>
    <xf numFmtId="0" fontId="20" fillId="0" borderId="11" xfId="0" applyFont="1" applyFill="1" applyBorder="1" applyAlignment="1" applyProtection="1">
      <protection hidden="1"/>
    </xf>
    <xf numFmtId="1" fontId="20" fillId="39" borderId="7" xfId="1" applyNumberFormat="1" applyFont="1" applyFill="1" applyBorder="1" applyAlignment="1" applyProtection="1">
      <alignment horizontal="center"/>
      <protection hidden="1"/>
    </xf>
    <xf numFmtId="0" fontId="20" fillId="39" borderId="65" xfId="0" applyFont="1" applyFill="1" applyBorder="1" applyAlignment="1" applyProtection="1">
      <protection hidden="1"/>
    </xf>
    <xf numFmtId="1" fontId="20" fillId="39" borderId="60" xfId="1" applyNumberFormat="1" applyFont="1" applyFill="1" applyBorder="1" applyAlignment="1" applyProtection="1">
      <alignment horizontal="center"/>
      <protection hidden="1"/>
    </xf>
    <xf numFmtId="0" fontId="20" fillId="0" borderId="6" xfId="0" applyFont="1" applyFill="1" applyBorder="1" applyAlignment="1" applyProtection="1">
      <protection hidden="1"/>
    </xf>
    <xf numFmtId="0" fontId="20" fillId="39" borderId="0" xfId="0" applyFont="1" applyFill="1" applyBorder="1" applyAlignment="1" applyProtection="1">
      <protection hidden="1"/>
    </xf>
    <xf numFmtId="0" fontId="20" fillId="0" borderId="7" xfId="0" applyFont="1" applyFill="1" applyBorder="1" applyAlignment="1" applyProtection="1">
      <protection hidden="1"/>
    </xf>
    <xf numFmtId="0" fontId="20" fillId="39" borderId="14" xfId="0" applyFont="1" applyFill="1" applyBorder="1" applyAlignment="1" applyProtection="1">
      <protection hidden="1"/>
    </xf>
    <xf numFmtId="0" fontId="20" fillId="0" borderId="6" xfId="0" applyFont="1" applyFill="1" applyBorder="1" applyAlignment="1" applyProtection="1">
      <alignment horizontal="center"/>
      <protection hidden="1"/>
    </xf>
    <xf numFmtId="0" fontId="20" fillId="0" borderId="7" xfId="0" applyFont="1" applyFill="1" applyBorder="1" applyAlignment="1" applyProtection="1">
      <alignment horizontal="center"/>
      <protection hidden="1"/>
    </xf>
    <xf numFmtId="0" fontId="20" fillId="0" borderId="8" xfId="0" applyFont="1" applyFill="1" applyBorder="1" applyAlignment="1" applyProtection="1">
      <alignment horizontal="center"/>
      <protection hidden="1"/>
    </xf>
    <xf numFmtId="0" fontId="20" fillId="0" borderId="1" xfId="0" applyFont="1" applyFill="1" applyBorder="1" applyAlignment="1" applyProtection="1">
      <alignment horizontal="center"/>
      <protection hidden="1"/>
    </xf>
    <xf numFmtId="0" fontId="20" fillId="39" borderId="6" xfId="0" applyFont="1" applyFill="1" applyBorder="1" applyAlignment="1" applyProtection="1">
      <protection hidden="1"/>
    </xf>
    <xf numFmtId="0" fontId="20" fillId="39" borderId="7" xfId="0" applyFont="1" applyFill="1" applyBorder="1" applyAlignment="1" applyProtection="1">
      <protection hidden="1"/>
    </xf>
    <xf numFmtId="0" fontId="20" fillId="39" borderId="8" xfId="0" applyFont="1" applyFill="1" applyBorder="1" applyAlignment="1" applyProtection="1">
      <protection hidden="1"/>
    </xf>
    <xf numFmtId="0" fontId="22" fillId="6" borderId="15" xfId="0" applyFont="1" applyFill="1" applyBorder="1" applyAlignment="1" applyProtection="1">
      <alignment horizontal="center"/>
      <protection hidden="1"/>
    </xf>
    <xf numFmtId="0" fontId="22" fillId="6" borderId="14" xfId="0" applyFont="1" applyFill="1" applyBorder="1" applyAlignment="1" applyProtection="1">
      <alignment horizontal="center"/>
      <protection hidden="1"/>
    </xf>
    <xf numFmtId="0" fontId="85" fillId="17" borderId="2" xfId="0" applyFont="1" applyFill="1" applyBorder="1" applyAlignment="1" applyProtection="1">
      <alignment horizontal="center" vertical="center" wrapText="1"/>
      <protection hidden="1"/>
    </xf>
    <xf numFmtId="0" fontId="22" fillId="6" borderId="5" xfId="0" applyFont="1" applyFill="1" applyBorder="1" applyAlignment="1" applyProtection="1">
      <alignment horizontal="left" vertical="center" wrapText="1"/>
      <protection hidden="1"/>
    </xf>
    <xf numFmtId="0" fontId="22" fillId="6" borderId="73" xfId="0" applyFont="1" applyFill="1" applyBorder="1" applyAlignment="1" applyProtection="1">
      <alignment horizontal="center" vertical="center" wrapText="1"/>
      <protection hidden="1"/>
    </xf>
    <xf numFmtId="0" fontId="22" fillId="6" borderId="74" xfId="0" applyFont="1" applyFill="1" applyBorder="1" applyAlignment="1" applyProtection="1">
      <alignment horizontal="center" vertical="center" wrapText="1"/>
      <protection hidden="1"/>
    </xf>
    <xf numFmtId="0" fontId="22" fillId="6" borderId="75" xfId="0" applyFont="1" applyFill="1" applyBorder="1" applyAlignment="1" applyProtection="1">
      <alignment horizontal="center" vertical="center" wrapText="1"/>
      <protection hidden="1"/>
    </xf>
    <xf numFmtId="0" fontId="22" fillId="6" borderId="76" xfId="0" applyFont="1" applyFill="1" applyBorder="1" applyAlignment="1" applyProtection="1">
      <alignment horizontal="center" vertical="center" wrapText="1"/>
      <protection hidden="1"/>
    </xf>
    <xf numFmtId="0" fontId="22" fillId="6" borderId="77" xfId="0" applyFont="1" applyFill="1" applyBorder="1" applyAlignment="1" applyProtection="1">
      <alignment horizontal="center" vertical="center" wrapText="1"/>
      <protection hidden="1"/>
    </xf>
    <xf numFmtId="169" fontId="20" fillId="0" borderId="5" xfId="0" applyNumberFormat="1" applyFont="1" applyFill="1" applyBorder="1" applyAlignment="1" applyProtection="1">
      <protection hidden="1"/>
    </xf>
    <xf numFmtId="179" fontId="20" fillId="0" borderId="78" xfId="0" applyNumberFormat="1" applyFont="1" applyFill="1" applyBorder="1" applyAlignment="1" applyProtection="1">
      <alignment horizontal="center"/>
      <protection hidden="1"/>
    </xf>
    <xf numFmtId="3" fontId="20" fillId="0" borderId="79" xfId="1" applyNumberFormat="1" applyFont="1" applyFill="1" applyBorder="1" applyAlignment="1" applyProtection="1">
      <alignment horizontal="center"/>
      <protection hidden="1"/>
    </xf>
    <xf numFmtId="0" fontId="20" fillId="0" borderId="80" xfId="0" applyFont="1" applyFill="1" applyBorder="1" applyAlignment="1" applyProtection="1">
      <alignment horizontal="center"/>
      <protection hidden="1"/>
    </xf>
    <xf numFmtId="189" fontId="20" fillId="0" borderId="78" xfId="3" applyNumberFormat="1" applyFont="1" applyFill="1" applyBorder="1" applyAlignment="1" applyProtection="1">
      <alignment horizontal="center"/>
      <protection hidden="1"/>
    </xf>
    <xf numFmtId="3" fontId="20" fillId="0" borderId="81" xfId="1" applyNumberFormat="1" applyFont="1" applyFill="1" applyBorder="1" applyAlignment="1" applyProtection="1">
      <alignment horizontal="center"/>
      <protection hidden="1"/>
    </xf>
    <xf numFmtId="190" fontId="20" fillId="0" borderId="81" xfId="1" applyNumberFormat="1" applyFont="1" applyFill="1" applyBorder="1" applyAlignment="1" applyProtection="1">
      <alignment horizontal="center"/>
      <protection hidden="1"/>
    </xf>
    <xf numFmtId="190" fontId="20" fillId="0" borderId="82" xfId="1" applyNumberFormat="1" applyFont="1" applyFill="1" applyBorder="1" applyAlignment="1" applyProtection="1">
      <alignment horizontal="center"/>
      <protection hidden="1"/>
    </xf>
    <xf numFmtId="191" fontId="20" fillId="0" borderId="79" xfId="1" applyNumberFormat="1" applyFont="1" applyFill="1" applyBorder="1" applyAlignment="1" applyProtection="1">
      <alignment horizontal="center"/>
      <protection hidden="1"/>
    </xf>
    <xf numFmtId="0" fontId="20" fillId="39" borderId="80" xfId="0" applyFont="1" applyFill="1" applyBorder="1" applyAlignment="1" applyProtection="1">
      <alignment horizontal="center"/>
      <protection hidden="1"/>
    </xf>
    <xf numFmtId="191" fontId="20" fillId="39" borderId="79" xfId="1" applyNumberFormat="1" applyFont="1" applyFill="1" applyBorder="1" applyAlignment="1" applyProtection="1">
      <alignment horizontal="center"/>
      <protection hidden="1"/>
    </xf>
    <xf numFmtId="186" fontId="20" fillId="6" borderId="0" xfId="0" applyNumberFormat="1" applyFont="1" applyFill="1" applyProtection="1">
      <protection hidden="1"/>
    </xf>
    <xf numFmtId="195" fontId="20" fillId="6" borderId="0" xfId="1" applyNumberFormat="1" applyFont="1" applyFill="1" applyBorder="1" applyProtection="1">
      <protection hidden="1"/>
    </xf>
    <xf numFmtId="0" fontId="20" fillId="6" borderId="0" xfId="0" applyFont="1" applyFill="1" applyBorder="1" applyAlignment="1" applyProtection="1">
      <alignment horizontal="left"/>
      <protection hidden="1"/>
    </xf>
    <xf numFmtId="1" fontId="20" fillId="7" borderId="44" xfId="1" applyNumberFormat="1" applyFont="1" applyFill="1" applyBorder="1" applyAlignment="1" applyProtection="1">
      <alignment horizontal="center"/>
      <protection locked="0" hidden="1"/>
    </xf>
    <xf numFmtId="2" fontId="20" fillId="0" borderId="39" xfId="0" applyNumberFormat="1" applyFont="1" applyFill="1" applyBorder="1" applyAlignment="1" applyProtection="1">
      <alignment horizontal="center"/>
      <protection hidden="1"/>
    </xf>
    <xf numFmtId="2" fontId="20" fillId="0" borderId="41" xfId="0" applyNumberFormat="1" applyFont="1" applyFill="1" applyBorder="1" applyAlignment="1" applyProtection="1">
      <alignment horizontal="center"/>
      <protection hidden="1"/>
    </xf>
    <xf numFmtId="2" fontId="20" fillId="0" borderId="41" xfId="1" applyNumberFormat="1" applyFont="1" applyFill="1" applyBorder="1" applyAlignment="1" applyProtection="1">
      <alignment horizontal="center"/>
      <protection hidden="1"/>
    </xf>
    <xf numFmtId="0" fontId="20" fillId="39" borderId="86" xfId="0" applyFont="1" applyFill="1" applyBorder="1" applyProtection="1">
      <protection hidden="1"/>
    </xf>
    <xf numFmtId="0" fontId="20" fillId="0" borderId="63" xfId="0" applyFont="1" applyFill="1" applyBorder="1" applyProtection="1">
      <protection hidden="1"/>
    </xf>
    <xf numFmtId="0" fontId="20" fillId="39" borderId="13" xfId="0" applyFont="1" applyFill="1" applyBorder="1" applyProtection="1">
      <protection hidden="1"/>
    </xf>
    <xf numFmtId="0" fontId="20" fillId="0" borderId="13" xfId="0" applyFont="1" applyFill="1" applyBorder="1" applyAlignment="1" applyProtection="1">
      <protection hidden="1"/>
    </xf>
    <xf numFmtId="0" fontId="20" fillId="6" borderId="0" xfId="0" quotePrefix="1" applyFont="1" applyFill="1" applyProtection="1">
      <protection hidden="1"/>
    </xf>
    <xf numFmtId="0" fontId="22" fillId="6" borderId="3" xfId="0" applyFont="1" applyFill="1" applyBorder="1" applyAlignment="1" applyProtection="1">
      <alignment horizontal="center" wrapText="1"/>
      <protection hidden="1"/>
    </xf>
    <xf numFmtId="0" fontId="22" fillId="6" borderId="4" xfId="0" applyFont="1" applyFill="1" applyBorder="1" applyAlignment="1" applyProtection="1">
      <alignment horizontal="center" wrapText="1"/>
      <protection hidden="1"/>
    </xf>
    <xf numFmtId="0" fontId="20" fillId="6" borderId="13" xfId="0" applyFont="1" applyFill="1" applyBorder="1" applyProtection="1">
      <protection hidden="1"/>
    </xf>
    <xf numFmtId="0" fontId="20" fillId="6" borderId="14" xfId="0" applyFont="1" applyFill="1" applyBorder="1" applyProtection="1">
      <protection hidden="1"/>
    </xf>
    <xf numFmtId="0" fontId="20" fillId="6" borderId="15" xfId="0" applyFont="1" applyFill="1" applyBorder="1" applyProtection="1">
      <protection hidden="1"/>
    </xf>
    <xf numFmtId="0" fontId="20" fillId="39" borderId="11" xfId="0" applyFont="1" applyFill="1" applyBorder="1" applyProtection="1">
      <protection hidden="1"/>
    </xf>
    <xf numFmtId="0" fontId="20" fillId="0" borderId="7" xfId="0" applyFont="1" applyFill="1" applyBorder="1" applyProtection="1">
      <protection hidden="1"/>
    </xf>
    <xf numFmtId="0" fontId="20" fillId="0" borderId="8" xfId="0" applyFont="1" applyFill="1" applyBorder="1" applyProtection="1">
      <protection hidden="1"/>
    </xf>
    <xf numFmtId="3" fontId="20" fillId="6" borderId="0" xfId="0" applyNumberFormat="1" applyFont="1" applyFill="1" applyBorder="1" applyProtection="1">
      <protection hidden="1"/>
    </xf>
    <xf numFmtId="0" fontId="20" fillId="0" borderId="9" xfId="0" applyFont="1" applyFill="1" applyBorder="1" applyProtection="1">
      <protection hidden="1"/>
    </xf>
    <xf numFmtId="44" fontId="20" fillId="6" borderId="0" xfId="0" applyNumberFormat="1" applyFont="1" applyFill="1" applyProtection="1">
      <protection hidden="1"/>
    </xf>
    <xf numFmtId="9" fontId="20" fillId="0" borderId="40" xfId="0" applyNumberFormat="1" applyFont="1" applyFill="1" applyBorder="1" applyAlignment="1" applyProtection="1">
      <alignment horizontal="center"/>
      <protection hidden="1"/>
    </xf>
    <xf numFmtId="9" fontId="20" fillId="0" borderId="42" xfId="0" applyNumberFormat="1" applyFont="1" applyFill="1" applyBorder="1" applyAlignment="1" applyProtection="1">
      <alignment horizontal="center"/>
      <protection hidden="1"/>
    </xf>
    <xf numFmtId="0" fontId="22" fillId="6" borderId="40" xfId="0" applyFont="1" applyFill="1" applyBorder="1" applyAlignment="1" applyProtection="1">
      <alignment horizontal="center" vertical="center"/>
      <protection hidden="1"/>
    </xf>
    <xf numFmtId="0" fontId="20" fillId="8" borderId="42" xfId="0" applyFont="1" applyFill="1" applyBorder="1" applyAlignment="1" applyProtection="1">
      <alignment horizontal="center"/>
      <protection hidden="1"/>
    </xf>
    <xf numFmtId="0" fontId="82" fillId="6" borderId="11" xfId="0" applyFont="1" applyFill="1" applyBorder="1" applyProtection="1">
      <protection hidden="1"/>
    </xf>
    <xf numFmtId="0" fontId="4" fillId="0" borderId="22" xfId="0" applyFont="1" applyBorder="1" applyAlignment="1">
      <alignment horizontal="center" wrapText="1"/>
    </xf>
    <xf numFmtId="1" fontId="22" fillId="6" borderId="96" xfId="1" applyNumberFormat="1" applyFont="1" applyFill="1" applyBorder="1" applyAlignment="1" applyProtection="1">
      <alignment horizontal="center" wrapText="1"/>
      <protection locked="0" hidden="1"/>
    </xf>
    <xf numFmtId="0" fontId="22" fillId="6" borderId="97" xfId="0" applyFont="1" applyFill="1" applyBorder="1" applyAlignment="1" applyProtection="1">
      <alignment horizontal="center" wrapText="1"/>
      <protection hidden="1"/>
    </xf>
    <xf numFmtId="0" fontId="22" fillId="6" borderId="98" xfId="0" applyFont="1" applyFill="1" applyBorder="1" applyAlignment="1" applyProtection="1">
      <alignment horizontal="center" wrapText="1"/>
      <protection hidden="1"/>
    </xf>
    <xf numFmtId="0" fontId="0" fillId="0" borderId="99" xfId="0" applyBorder="1"/>
    <xf numFmtId="1" fontId="20" fillId="7" borderId="15" xfId="1" applyNumberFormat="1" applyFont="1" applyFill="1" applyBorder="1" applyAlignment="1" applyProtection="1">
      <alignment horizontal="center"/>
      <protection locked="0" hidden="1"/>
    </xf>
    <xf numFmtId="0" fontId="20" fillId="7" borderId="8" xfId="0" applyFont="1" applyFill="1" applyBorder="1" applyAlignment="1" applyProtection="1">
      <alignment horizontal="center"/>
      <protection hidden="1"/>
    </xf>
    <xf numFmtId="0" fontId="20" fillId="7" borderId="100" xfId="0" applyFont="1" applyFill="1" applyBorder="1" applyAlignment="1" applyProtection="1">
      <alignment horizontal="center"/>
      <protection hidden="1"/>
    </xf>
    <xf numFmtId="0" fontId="0" fillId="0" borderId="101" xfId="0" applyBorder="1"/>
    <xf numFmtId="1" fontId="20" fillId="7" borderId="4" xfId="1" applyNumberFormat="1" applyFont="1" applyFill="1" applyBorder="1" applyAlignment="1" applyProtection="1">
      <alignment horizontal="center"/>
      <protection locked="0" hidden="1"/>
    </xf>
    <xf numFmtId="0" fontId="20" fillId="7" borderId="1" xfId="0" applyFont="1" applyFill="1" applyBorder="1" applyAlignment="1" applyProtection="1">
      <alignment horizontal="center"/>
      <protection hidden="1"/>
    </xf>
    <xf numFmtId="0" fontId="0" fillId="0" borderId="48" xfId="0" applyBorder="1"/>
    <xf numFmtId="1" fontId="20" fillId="7" borderId="102" xfId="1" applyNumberFormat="1" applyFont="1" applyFill="1" applyBorder="1" applyAlignment="1" applyProtection="1">
      <alignment horizontal="center"/>
      <protection locked="0" hidden="1"/>
    </xf>
    <xf numFmtId="0" fontId="20" fillId="7" borderId="50" xfId="0" applyFont="1" applyFill="1" applyBorder="1" applyAlignment="1" applyProtection="1">
      <alignment horizontal="center"/>
      <protection hidden="1"/>
    </xf>
    <xf numFmtId="0" fontId="20" fillId="7" borderId="44" xfId="0" applyFont="1" applyFill="1" applyBorder="1" applyAlignment="1" applyProtection="1">
      <alignment horizontal="center"/>
      <protection hidden="1"/>
    </xf>
    <xf numFmtId="0" fontId="4" fillId="6" borderId="103" xfId="0" applyFont="1" applyFill="1" applyBorder="1" applyAlignment="1">
      <alignment horizontal="center" vertical="center" wrapText="1"/>
    </xf>
    <xf numFmtId="0" fontId="22" fillId="6" borderId="97" xfId="0" applyFont="1" applyFill="1" applyBorder="1" applyAlignment="1" applyProtection="1">
      <alignment horizontal="center" vertical="center" wrapText="1"/>
      <protection hidden="1"/>
    </xf>
    <xf numFmtId="0" fontId="22" fillId="6" borderId="98" xfId="0" applyFont="1" applyFill="1" applyBorder="1" applyAlignment="1" applyProtection="1">
      <alignment horizontal="center" vertical="center" wrapText="1"/>
      <protection hidden="1"/>
    </xf>
    <xf numFmtId="188" fontId="20" fillId="0" borderId="49" xfId="0" applyNumberFormat="1" applyFont="1" applyFill="1" applyBorder="1" applyAlignment="1" applyProtection="1">
      <alignment horizontal="center"/>
      <protection hidden="1"/>
    </xf>
    <xf numFmtId="165" fontId="20" fillId="0" borderId="49" xfId="0" applyNumberFormat="1" applyFont="1" applyFill="1" applyBorder="1" applyAlignment="1" applyProtection="1">
      <alignment horizontal="center"/>
      <protection hidden="1"/>
    </xf>
    <xf numFmtId="188" fontId="20" fillId="0" borderId="1" xfId="0" applyNumberFormat="1" applyFont="1" applyFill="1" applyBorder="1" applyAlignment="1" applyProtection="1">
      <alignment horizontal="center"/>
      <protection hidden="1"/>
    </xf>
    <xf numFmtId="165" fontId="20" fillId="0" borderId="1" xfId="0" applyNumberFormat="1" applyFont="1" applyFill="1" applyBorder="1" applyAlignment="1" applyProtection="1">
      <alignment horizontal="center"/>
      <protection hidden="1"/>
    </xf>
    <xf numFmtId="2" fontId="20" fillId="0" borderId="8" xfId="1" applyNumberFormat="1" applyFont="1" applyFill="1" applyBorder="1" applyAlignment="1" applyProtection="1">
      <alignment horizontal="center"/>
      <protection hidden="1"/>
    </xf>
    <xf numFmtId="179" fontId="20" fillId="0" borderId="1" xfId="1" applyNumberFormat="1" applyFont="1" applyFill="1" applyBorder="1" applyAlignment="1" applyProtection="1">
      <alignment horizontal="center"/>
      <protection hidden="1"/>
    </xf>
    <xf numFmtId="2" fontId="20" fillId="0" borderId="54" xfId="1" applyNumberFormat="1" applyFont="1" applyFill="1" applyBorder="1" applyAlignment="1" applyProtection="1">
      <alignment horizontal="center"/>
      <protection hidden="1"/>
    </xf>
    <xf numFmtId="168" fontId="22" fillId="6" borderId="0" xfId="0" applyNumberFormat="1" applyFont="1" applyFill="1" applyBorder="1" applyAlignment="1" applyProtection="1">
      <alignment horizontal="center" vertical="center" wrapText="1"/>
      <protection hidden="1"/>
    </xf>
    <xf numFmtId="197" fontId="20" fillId="6" borderId="0" xfId="0" applyNumberFormat="1" applyFont="1" applyFill="1" applyBorder="1" applyAlignment="1" applyProtection="1">
      <alignment horizontal="center"/>
      <protection hidden="1"/>
    </xf>
    <xf numFmtId="169" fontId="22" fillId="6" borderId="0" xfId="0" applyNumberFormat="1" applyFont="1" applyFill="1" applyBorder="1" applyAlignment="1" applyProtection="1">
      <alignment horizontal="center" vertical="center" wrapText="1"/>
      <protection hidden="1"/>
    </xf>
    <xf numFmtId="198" fontId="20" fillId="6" borderId="0" xfId="0" applyNumberFormat="1" applyFont="1" applyFill="1" applyBorder="1" applyAlignment="1" applyProtection="1">
      <alignment horizontal="center"/>
      <protection hidden="1"/>
    </xf>
    <xf numFmtId="8" fontId="20" fillId="7" borderId="48" xfId="0" applyNumberFormat="1" applyFont="1" applyFill="1" applyBorder="1" applyAlignment="1" applyProtection="1">
      <alignment horizontal="center"/>
      <protection hidden="1"/>
    </xf>
    <xf numFmtId="0" fontId="20" fillId="39" borderId="7" xfId="0" applyFont="1" applyFill="1" applyBorder="1" applyProtection="1">
      <protection hidden="1"/>
    </xf>
    <xf numFmtId="0" fontId="20" fillId="0" borderId="8" xfId="0" applyFont="1" applyFill="1" applyBorder="1" applyAlignment="1" applyProtection="1">
      <protection hidden="1"/>
    </xf>
    <xf numFmtId="0" fontId="22" fillId="6" borderId="105" xfId="0" applyFont="1" applyFill="1" applyBorder="1" applyAlignment="1" applyProtection="1">
      <alignment horizontal="center" vertical="center" wrapText="1"/>
      <protection hidden="1"/>
    </xf>
    <xf numFmtId="4" fontId="20" fillId="6" borderId="0" xfId="0" applyNumberFormat="1" applyFont="1" applyFill="1" applyProtection="1">
      <protection hidden="1"/>
    </xf>
    <xf numFmtId="0" fontId="3" fillId="6" borderId="0" xfId="0" applyFont="1" applyFill="1" applyAlignment="1" applyProtection="1">
      <alignment vertical="top"/>
      <protection hidden="1"/>
    </xf>
    <xf numFmtId="0" fontId="22" fillId="6" borderId="106" xfId="0" applyFont="1" applyFill="1" applyBorder="1" applyAlignment="1" applyProtection="1">
      <alignment horizontal="center" vertical="center" wrapText="1"/>
      <protection hidden="1"/>
    </xf>
    <xf numFmtId="44" fontId="20" fillId="6" borderId="0" xfId="1" applyNumberFormat="1" applyFont="1" applyFill="1" applyBorder="1" applyAlignment="1" applyProtection="1">
      <protection hidden="1"/>
    </xf>
    <xf numFmtId="180" fontId="20" fillId="6" borderId="0" xfId="1" applyNumberFormat="1" applyFont="1" applyFill="1" applyBorder="1" applyProtection="1">
      <protection hidden="1"/>
    </xf>
    <xf numFmtId="173" fontId="20" fillId="39" borderId="60" xfId="0" applyNumberFormat="1" applyFont="1" applyFill="1" applyBorder="1" applyAlignment="1" applyProtection="1">
      <alignment horizontal="center"/>
      <protection hidden="1"/>
    </xf>
    <xf numFmtId="0" fontId="20" fillId="0" borderId="62" xfId="0" applyFont="1" applyFill="1" applyBorder="1" applyAlignment="1" applyProtection="1">
      <alignment horizontal="center"/>
      <protection hidden="1"/>
    </xf>
    <xf numFmtId="0" fontId="20" fillId="6" borderId="0" xfId="0" applyFont="1" applyFill="1" applyAlignment="1" applyProtection="1">
      <alignment wrapText="1"/>
      <protection hidden="1"/>
    </xf>
    <xf numFmtId="0" fontId="20" fillId="6" borderId="11" xfId="0" applyFont="1" applyFill="1" applyBorder="1" applyAlignment="1" applyProtection="1">
      <alignment vertical="center" wrapText="1"/>
      <protection hidden="1"/>
    </xf>
    <xf numFmtId="3" fontId="20" fillId="0" borderId="7" xfId="0" applyNumberFormat="1" applyFont="1" applyFill="1" applyBorder="1" applyAlignment="1" applyProtection="1">
      <alignment horizontal="center"/>
      <protection hidden="1"/>
    </xf>
    <xf numFmtId="186" fontId="20" fillId="39" borderId="7" xfId="0" applyNumberFormat="1" applyFont="1" applyFill="1" applyBorder="1" applyAlignment="1" applyProtection="1">
      <alignment horizontal="center"/>
      <protection hidden="1"/>
    </xf>
    <xf numFmtId="4" fontId="20" fillId="39" borderId="7" xfId="0" applyNumberFormat="1" applyFont="1" applyFill="1" applyBorder="1" applyAlignment="1" applyProtection="1">
      <alignment horizontal="center"/>
      <protection hidden="1"/>
    </xf>
    <xf numFmtId="173" fontId="20" fillId="39" borderId="7" xfId="0" applyNumberFormat="1" applyFont="1" applyFill="1" applyBorder="1" applyAlignment="1" applyProtection="1">
      <alignment horizontal="center"/>
      <protection hidden="1"/>
    </xf>
    <xf numFmtId="0" fontId="20" fillId="39" borderId="8" xfId="0" applyFont="1" applyFill="1" applyBorder="1" applyProtection="1">
      <protection hidden="1"/>
    </xf>
    <xf numFmtId="166" fontId="20" fillId="39" borderId="8" xfId="0" applyNumberFormat="1" applyFont="1" applyFill="1" applyBorder="1" applyAlignment="1" applyProtection="1">
      <alignment horizontal="center"/>
      <protection hidden="1"/>
    </xf>
    <xf numFmtId="0" fontId="20" fillId="0" borderId="1" xfId="0" applyFont="1" applyFill="1" applyBorder="1" applyAlignment="1" applyProtection="1">
      <protection hidden="1"/>
    </xf>
    <xf numFmtId="0" fontId="20" fillId="39" borderId="1" xfId="0" applyFont="1" applyFill="1" applyBorder="1" applyAlignment="1" applyProtection="1">
      <protection hidden="1"/>
    </xf>
    <xf numFmtId="0" fontId="22" fillId="6" borderId="1" xfId="0" applyFont="1" applyFill="1" applyBorder="1" applyAlignment="1" applyProtection="1">
      <alignment horizontal="left" vertical="center"/>
      <protection hidden="1"/>
    </xf>
    <xf numFmtId="0" fontId="22" fillId="6" borderId="1" xfId="0" applyFont="1" applyFill="1" applyBorder="1" applyAlignment="1" applyProtection="1">
      <alignment horizontal="center" vertical="center" wrapText="1"/>
      <protection hidden="1"/>
    </xf>
    <xf numFmtId="0" fontId="22" fillId="6" borderId="1" xfId="0" applyFont="1" applyFill="1" applyBorder="1" applyAlignment="1" applyProtection="1">
      <alignment vertical="center" wrapText="1"/>
      <protection hidden="1"/>
    </xf>
    <xf numFmtId="2" fontId="20" fillId="0" borderId="1" xfId="0" applyNumberFormat="1" applyFont="1" applyFill="1" applyBorder="1" applyAlignment="1" applyProtection="1">
      <alignment horizontal="center"/>
      <protection locked="0" hidden="1"/>
    </xf>
    <xf numFmtId="2" fontId="20" fillId="7" borderId="1" xfId="1" applyNumberFormat="1" applyFont="1" applyFill="1" applyBorder="1" applyAlignment="1" applyProtection="1">
      <alignment horizontal="center"/>
      <protection locked="0" hidden="1"/>
    </xf>
    <xf numFmtId="44" fontId="20" fillId="7" borderId="1" xfId="3" applyFont="1" applyFill="1" applyBorder="1" applyProtection="1">
      <protection hidden="1"/>
    </xf>
    <xf numFmtId="0" fontId="22" fillId="6" borderId="0" xfId="0" applyFont="1" applyFill="1" applyBorder="1" applyAlignment="1" applyProtection="1">
      <protection hidden="1"/>
    </xf>
    <xf numFmtId="1" fontId="20" fillId="0" borderId="7" xfId="1" applyNumberFormat="1" applyFont="1" applyFill="1" applyBorder="1" applyAlignment="1" applyProtection="1">
      <alignment horizontal="center"/>
      <protection hidden="1"/>
    </xf>
    <xf numFmtId="3" fontId="20" fillId="0" borderId="1" xfId="0" applyNumberFormat="1" applyFont="1" applyFill="1" applyBorder="1" applyAlignment="1" applyProtection="1">
      <alignment horizontal="center"/>
      <protection hidden="1"/>
    </xf>
    <xf numFmtId="1" fontId="20" fillId="0" borderId="1" xfId="0" applyNumberFormat="1" applyFont="1" applyFill="1" applyBorder="1" applyAlignment="1" applyProtection="1">
      <alignment horizontal="center"/>
      <protection hidden="1"/>
    </xf>
    <xf numFmtId="44" fontId="20" fillId="0" borderId="1" xfId="3" applyFont="1" applyFill="1" applyBorder="1" applyProtection="1">
      <protection hidden="1"/>
    </xf>
    <xf numFmtId="0" fontId="22" fillId="6" borderId="1" xfId="0" applyFont="1" applyFill="1" applyBorder="1" applyAlignment="1" applyProtection="1">
      <alignment horizontal="center" wrapText="1"/>
      <protection hidden="1"/>
    </xf>
    <xf numFmtId="0" fontId="20" fillId="0" borderId="67" xfId="0" applyFont="1" applyFill="1" applyBorder="1" applyAlignment="1" applyProtection="1">
      <alignment horizontal="center"/>
      <protection hidden="1"/>
    </xf>
    <xf numFmtId="3" fontId="20" fillId="0" borderId="68" xfId="1" applyNumberFormat="1" applyFont="1" applyFill="1" applyBorder="1" applyAlignment="1" applyProtection="1">
      <alignment horizontal="center"/>
      <protection hidden="1"/>
    </xf>
    <xf numFmtId="190" fontId="20" fillId="0" borderId="68" xfId="1" applyNumberFormat="1" applyFont="1" applyFill="1" applyBorder="1" applyAlignment="1" applyProtection="1">
      <alignment horizontal="center"/>
      <protection hidden="1"/>
    </xf>
    <xf numFmtId="191" fontId="20" fillId="0" borderId="70" xfId="1" applyNumberFormat="1" applyFont="1" applyFill="1" applyBorder="1" applyAlignment="1" applyProtection="1">
      <alignment horizontal="center"/>
      <protection hidden="1"/>
    </xf>
    <xf numFmtId="0" fontId="20" fillId="39" borderId="41" xfId="0" applyFont="1" applyFill="1" applyBorder="1" applyProtection="1">
      <protection hidden="1"/>
    </xf>
    <xf numFmtId="3" fontId="20" fillId="39" borderId="42" xfId="0" applyNumberFormat="1" applyFont="1" applyFill="1" applyBorder="1" applyAlignment="1" applyProtection="1">
      <alignment horizontal="center"/>
      <protection hidden="1"/>
    </xf>
    <xf numFmtId="186" fontId="20" fillId="39" borderId="42" xfId="0" applyNumberFormat="1" applyFont="1" applyFill="1" applyBorder="1" applyAlignment="1" applyProtection="1">
      <alignment horizontal="center"/>
      <protection hidden="1"/>
    </xf>
    <xf numFmtId="4" fontId="20" fillId="39" borderId="42" xfId="0" applyNumberFormat="1" applyFont="1" applyFill="1" applyBorder="1" applyAlignment="1" applyProtection="1">
      <alignment horizontal="center"/>
      <protection hidden="1"/>
    </xf>
    <xf numFmtId="187" fontId="20" fillId="39" borderId="42" xfId="0" applyNumberFormat="1" applyFont="1" applyFill="1" applyBorder="1" applyAlignment="1" applyProtection="1">
      <alignment horizontal="center"/>
      <protection hidden="1"/>
    </xf>
    <xf numFmtId="0" fontId="20" fillId="39" borderId="43" xfId="0" applyFont="1" applyFill="1" applyBorder="1" applyProtection="1">
      <protection hidden="1"/>
    </xf>
    <xf numFmtId="173" fontId="20" fillId="39" borderId="44" xfId="0" applyNumberFormat="1" applyFont="1" applyFill="1" applyBorder="1" applyAlignment="1" applyProtection="1">
      <alignment horizontal="center"/>
      <protection hidden="1"/>
    </xf>
    <xf numFmtId="0" fontId="20" fillId="0" borderId="108" xfId="0" applyFont="1" applyFill="1" applyBorder="1" applyProtection="1">
      <protection hidden="1"/>
    </xf>
    <xf numFmtId="0" fontId="20" fillId="39" borderId="110" xfId="0" applyFont="1" applyFill="1" applyBorder="1" applyProtection="1">
      <protection hidden="1"/>
    </xf>
    <xf numFmtId="3" fontId="20" fillId="39" borderId="111" xfId="0" applyNumberFormat="1" applyFont="1" applyFill="1" applyBorder="1" applyAlignment="1" applyProtection="1">
      <alignment horizontal="center"/>
      <protection hidden="1"/>
    </xf>
    <xf numFmtId="0" fontId="20" fillId="0" borderId="110" xfId="0" applyFont="1" applyFill="1" applyBorder="1" applyProtection="1">
      <protection hidden="1"/>
    </xf>
    <xf numFmtId="3" fontId="20" fillId="0" borderId="111" xfId="0" applyNumberFormat="1" applyFont="1" applyFill="1" applyBorder="1" applyAlignment="1" applyProtection="1">
      <alignment horizontal="center"/>
      <protection hidden="1"/>
    </xf>
    <xf numFmtId="0" fontId="20" fillId="39" borderId="112" xfId="0" applyFont="1" applyFill="1" applyBorder="1" applyProtection="1">
      <protection hidden="1"/>
    </xf>
    <xf numFmtId="0" fontId="20" fillId="7" borderId="113" xfId="0" applyFont="1" applyFill="1" applyBorder="1" applyAlignment="1" applyProtection="1">
      <alignment horizontal="center"/>
      <protection locked="0" hidden="1"/>
    </xf>
    <xf numFmtId="0" fontId="20" fillId="6" borderId="0" xfId="0" applyFont="1" applyFill="1" applyBorder="1" applyAlignment="1" applyProtection="1">
      <alignment vertical="center"/>
      <protection hidden="1"/>
    </xf>
    <xf numFmtId="166" fontId="20" fillId="0" borderId="44" xfId="0" applyNumberFormat="1" applyFont="1" applyFill="1" applyBorder="1" applyAlignment="1" applyProtection="1">
      <alignment horizontal="center"/>
      <protection hidden="1"/>
    </xf>
    <xf numFmtId="0" fontId="22" fillId="6" borderId="39" xfId="0" applyFont="1" applyFill="1" applyBorder="1" applyAlignment="1" applyProtection="1">
      <alignment vertical="center"/>
      <protection hidden="1"/>
    </xf>
    <xf numFmtId="9" fontId="20" fillId="0" borderId="42" xfId="1" applyFont="1" applyFill="1" applyBorder="1" applyProtection="1">
      <protection hidden="1"/>
    </xf>
    <xf numFmtId="1" fontId="20" fillId="6" borderId="0" xfId="1" applyNumberFormat="1" applyFont="1" applyFill="1" applyBorder="1" applyAlignment="1" applyProtection="1">
      <alignment horizontal="center"/>
      <protection hidden="1"/>
    </xf>
    <xf numFmtId="0" fontId="22" fillId="6" borderId="39" xfId="0" applyFont="1" applyFill="1" applyBorder="1" applyAlignment="1" applyProtection="1">
      <alignment wrapText="1"/>
      <protection hidden="1"/>
    </xf>
    <xf numFmtId="167" fontId="20" fillId="0" borderId="42" xfId="1" applyNumberFormat="1" applyFont="1" applyFill="1" applyBorder="1" applyAlignment="1" applyProtection="1">
      <alignment horizontal="center"/>
      <protection hidden="1"/>
    </xf>
    <xf numFmtId="174" fontId="20" fillId="0" borderId="116" xfId="1" applyNumberFormat="1" applyFont="1" applyFill="1" applyBorder="1" applyAlignment="1" applyProtection="1">
      <alignment horizontal="center"/>
      <protection hidden="1"/>
    </xf>
    <xf numFmtId="9" fontId="20" fillId="0" borderId="1" xfId="1" applyFont="1" applyFill="1" applyBorder="1" applyProtection="1">
      <protection hidden="1"/>
    </xf>
    <xf numFmtId="0" fontId="20" fillId="0" borderId="1" xfId="0" applyFont="1" applyFill="1" applyBorder="1" applyProtection="1">
      <protection hidden="1"/>
    </xf>
    <xf numFmtId="164" fontId="20" fillId="0" borderId="1" xfId="2" applyNumberFormat="1" applyFont="1" applyFill="1" applyBorder="1" applyAlignment="1" applyProtection="1">
      <alignment horizontal="center"/>
      <protection hidden="1"/>
    </xf>
    <xf numFmtId="0" fontId="20" fillId="6" borderId="37" xfId="0" applyFont="1" applyFill="1" applyBorder="1" applyProtection="1">
      <protection hidden="1"/>
    </xf>
    <xf numFmtId="167" fontId="20" fillId="0" borderId="44" xfId="1" applyNumberFormat="1" applyFont="1" applyFill="1" applyBorder="1" applyAlignment="1" applyProtection="1">
      <alignment horizontal="center"/>
      <protection hidden="1"/>
    </xf>
    <xf numFmtId="0" fontId="0" fillId="0" borderId="1" xfId="0" applyFill="1" applyBorder="1"/>
    <xf numFmtId="1" fontId="20" fillId="0" borderId="1" xfId="1" applyNumberFormat="1" applyFont="1" applyFill="1" applyBorder="1" applyAlignment="1" applyProtection="1">
      <alignment horizontal="center"/>
      <protection hidden="1"/>
    </xf>
    <xf numFmtId="1" fontId="20" fillId="0" borderId="50" xfId="1" applyNumberFormat="1" applyFont="1" applyFill="1" applyBorder="1" applyAlignment="1" applyProtection="1">
      <alignment horizontal="center"/>
      <protection hidden="1"/>
    </xf>
    <xf numFmtId="1" fontId="20" fillId="0" borderId="50" xfId="0" applyNumberFormat="1" applyFont="1" applyFill="1" applyBorder="1" applyAlignment="1" applyProtection="1">
      <alignment horizontal="center"/>
      <protection hidden="1"/>
    </xf>
    <xf numFmtId="9" fontId="20" fillId="6" borderId="0" xfId="1" applyFont="1" applyFill="1" applyBorder="1" applyProtection="1">
      <protection hidden="1"/>
    </xf>
    <xf numFmtId="166" fontId="20" fillId="39" borderId="59" xfId="0" applyNumberFormat="1" applyFont="1" applyFill="1" applyBorder="1" applyAlignment="1" applyProtection="1">
      <alignment horizontal="center"/>
      <protection hidden="1"/>
    </xf>
    <xf numFmtId="5" fontId="20" fillId="39" borderId="8" xfId="0" applyNumberFormat="1" applyFont="1" applyFill="1" applyBorder="1" applyAlignment="1" applyProtection="1">
      <alignment horizontal="center"/>
      <protection hidden="1"/>
    </xf>
    <xf numFmtId="0" fontId="22" fillId="6" borderId="0" xfId="0" applyFont="1" applyFill="1" applyBorder="1" applyAlignment="1" applyProtection="1">
      <alignment vertical="center"/>
      <protection hidden="1"/>
    </xf>
    <xf numFmtId="196" fontId="20" fillId="0" borderId="6" xfId="1" applyNumberFormat="1" applyFont="1" applyFill="1" applyBorder="1" applyAlignment="1" applyProtection="1">
      <alignment horizontal="center"/>
      <protection hidden="1"/>
    </xf>
    <xf numFmtId="173" fontId="20" fillId="0" borderId="8" xfId="1" applyNumberFormat="1" applyFont="1" applyFill="1" applyBorder="1" applyAlignment="1" applyProtection="1">
      <alignment horizontal="center"/>
      <protection hidden="1"/>
    </xf>
    <xf numFmtId="0" fontId="20" fillId="6" borderId="11" xfId="0" applyFont="1" applyFill="1" applyBorder="1" applyAlignment="1" applyProtection="1">
      <alignment horizontal="left" indent="2"/>
      <protection hidden="1"/>
    </xf>
    <xf numFmtId="9" fontId="20" fillId="0" borderId="12" xfId="1" applyNumberFormat="1" applyFont="1" applyFill="1" applyBorder="1" applyAlignment="1" applyProtection="1">
      <alignment horizontal="center"/>
      <protection hidden="1"/>
    </xf>
    <xf numFmtId="9" fontId="20" fillId="39" borderId="12" xfId="1" applyNumberFormat="1" applyFont="1" applyFill="1" applyBorder="1" applyAlignment="1" applyProtection="1">
      <alignment horizontal="center"/>
      <protection hidden="1"/>
    </xf>
    <xf numFmtId="0" fontId="22" fillId="6" borderId="1" xfId="0" applyFont="1" applyFill="1" applyBorder="1" applyAlignment="1" applyProtection="1">
      <alignment wrapText="1"/>
      <protection hidden="1"/>
    </xf>
    <xf numFmtId="0" fontId="85" fillId="6" borderId="1" xfId="0" applyFont="1" applyFill="1" applyBorder="1" applyAlignment="1" applyProtection="1">
      <alignment wrapText="1"/>
      <protection hidden="1"/>
    </xf>
    <xf numFmtId="9" fontId="22" fillId="6" borderId="1" xfId="1" applyNumberFormat="1" applyFont="1" applyFill="1" applyBorder="1" applyAlignment="1" applyProtection="1">
      <alignment wrapText="1"/>
      <protection hidden="1"/>
    </xf>
    <xf numFmtId="2" fontId="20" fillId="7" borderId="1" xfId="0" applyNumberFormat="1" applyFont="1" applyFill="1" applyBorder="1" applyAlignment="1" applyProtection="1">
      <alignment horizontal="center"/>
      <protection locked="0" hidden="1"/>
    </xf>
    <xf numFmtId="9" fontId="20" fillId="7" borderId="1" xfId="1" applyNumberFormat="1" applyFont="1" applyFill="1" applyBorder="1" applyAlignment="1" applyProtection="1">
      <alignment horizontal="center"/>
      <protection locked="0" hidden="1"/>
    </xf>
    <xf numFmtId="9" fontId="20" fillId="7" borderId="1" xfId="0" applyNumberFormat="1" applyFont="1" applyFill="1" applyBorder="1" applyProtection="1">
      <protection hidden="1"/>
    </xf>
    <xf numFmtId="0" fontId="20" fillId="7" borderId="1" xfId="0" applyFont="1" applyFill="1" applyBorder="1" applyProtection="1">
      <protection hidden="1"/>
    </xf>
    <xf numFmtId="166" fontId="20" fillId="7" borderId="1" xfId="3" applyNumberFormat="1" applyFont="1" applyFill="1" applyBorder="1" applyAlignment="1" applyProtection="1">
      <alignment horizontal="center"/>
      <protection locked="0" hidden="1"/>
    </xf>
    <xf numFmtId="0" fontId="83" fillId="6" borderId="0" xfId="0" applyFont="1" applyFill="1" applyBorder="1" applyAlignment="1" applyProtection="1">
      <alignment wrapText="1"/>
      <protection hidden="1"/>
    </xf>
    <xf numFmtId="169" fontId="20" fillId="6" borderId="0" xfId="1" applyNumberFormat="1" applyFont="1" applyFill="1" applyBorder="1" applyAlignment="1" applyProtection="1">
      <alignment horizontal="center"/>
      <protection locked="0" hidden="1"/>
    </xf>
    <xf numFmtId="3" fontId="20" fillId="6" borderId="0" xfId="0" applyNumberFormat="1" applyFont="1" applyFill="1" applyBorder="1" applyAlignment="1" applyProtection="1">
      <alignment vertical="center" wrapText="1"/>
      <protection hidden="1"/>
    </xf>
    <xf numFmtId="0" fontId="86" fillId="6" borderId="11" xfId="0" applyFont="1" applyFill="1" applyBorder="1" applyAlignment="1" applyProtection="1">
      <protection hidden="1"/>
    </xf>
    <xf numFmtId="0" fontId="86" fillId="6" borderId="0" xfId="0" applyFont="1" applyFill="1" applyBorder="1" applyAlignment="1" applyProtection="1">
      <protection hidden="1"/>
    </xf>
    <xf numFmtId="0" fontId="83" fillId="6" borderId="12" xfId="0" applyFont="1" applyFill="1" applyBorder="1" applyAlignment="1" applyProtection="1">
      <protection hidden="1"/>
    </xf>
    <xf numFmtId="0" fontId="20" fillId="6" borderId="0" xfId="0" applyFont="1" applyFill="1" applyBorder="1" applyAlignment="1" applyProtection="1">
      <alignment horizontal="left" vertical="center"/>
      <protection hidden="1"/>
    </xf>
    <xf numFmtId="0" fontId="20" fillId="6" borderId="12" xfId="0" applyFont="1" applyFill="1" applyBorder="1" applyAlignment="1" applyProtection="1">
      <alignment horizontal="center" vertical="center" wrapText="1"/>
      <protection hidden="1"/>
    </xf>
    <xf numFmtId="9" fontId="20" fillId="6" borderId="11" xfId="1" applyNumberFormat="1" applyFont="1" applyFill="1" applyBorder="1" applyProtection="1">
      <protection hidden="1"/>
    </xf>
    <xf numFmtId="2" fontId="20" fillId="6" borderId="12" xfId="1" applyNumberFormat="1" applyFont="1" applyFill="1" applyBorder="1" applyProtection="1">
      <protection hidden="1"/>
    </xf>
    <xf numFmtId="9" fontId="20" fillId="6" borderId="13" xfId="1" applyNumberFormat="1" applyFont="1" applyFill="1" applyBorder="1" applyProtection="1">
      <protection hidden="1"/>
    </xf>
    <xf numFmtId="9" fontId="20" fillId="6" borderId="14" xfId="1" applyNumberFormat="1" applyFont="1" applyFill="1" applyBorder="1" applyProtection="1">
      <protection hidden="1"/>
    </xf>
    <xf numFmtId="192" fontId="20" fillId="6" borderId="14" xfId="0" applyNumberFormat="1" applyFont="1" applyFill="1" applyBorder="1" applyProtection="1">
      <protection hidden="1"/>
    </xf>
    <xf numFmtId="2" fontId="20" fillId="6" borderId="14" xfId="1" applyNumberFormat="1" applyFont="1" applyFill="1" applyBorder="1" applyProtection="1">
      <protection hidden="1"/>
    </xf>
    <xf numFmtId="2" fontId="20" fillId="6" borderId="15" xfId="1" applyNumberFormat="1" applyFont="1" applyFill="1" applyBorder="1" applyProtection="1">
      <protection hidden="1"/>
    </xf>
    <xf numFmtId="0" fontId="22" fillId="6" borderId="119" xfId="0"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protection hidden="1"/>
    </xf>
    <xf numFmtId="179" fontId="20" fillId="0" borderId="104" xfId="0" applyNumberFormat="1" applyFont="1" applyFill="1" applyBorder="1" applyAlignment="1" applyProtection="1">
      <alignment horizontal="center"/>
      <protection hidden="1"/>
    </xf>
    <xf numFmtId="189" fontId="20" fillId="0" borderId="104" xfId="3" applyNumberFormat="1" applyFont="1" applyFill="1" applyBorder="1" applyAlignment="1" applyProtection="1">
      <alignment horizontal="center"/>
      <protection hidden="1"/>
    </xf>
    <xf numFmtId="7" fontId="20" fillId="0" borderId="70" xfId="3" applyNumberFormat="1" applyFont="1" applyFill="1" applyBorder="1" applyAlignment="1" applyProtection="1">
      <alignment horizontal="center"/>
      <protection hidden="1"/>
    </xf>
    <xf numFmtId="166" fontId="20" fillId="6" borderId="0" xfId="3" applyNumberFormat="1" applyFont="1" applyFill="1" applyProtection="1">
      <protection hidden="1"/>
    </xf>
    <xf numFmtId="9" fontId="20" fillId="6" borderId="0" xfId="0" applyNumberFormat="1" applyFont="1" applyFill="1" applyProtection="1">
      <protection hidden="1"/>
    </xf>
    <xf numFmtId="166" fontId="20" fillId="0" borderId="7" xfId="3" applyNumberFormat="1" applyFont="1" applyFill="1" applyBorder="1" applyAlignment="1" applyProtection="1">
      <alignment horizontal="center"/>
      <protection hidden="1"/>
    </xf>
    <xf numFmtId="166" fontId="20" fillId="39" borderId="7" xfId="3" applyNumberFormat="1" applyFont="1" applyFill="1" applyBorder="1" applyAlignment="1" applyProtection="1">
      <alignment horizontal="center"/>
      <protection hidden="1"/>
    </xf>
    <xf numFmtId="0" fontId="20" fillId="39" borderId="11" xfId="0" applyFont="1" applyFill="1" applyBorder="1" applyAlignment="1" applyProtection="1">
      <protection hidden="1"/>
    </xf>
    <xf numFmtId="166" fontId="20" fillId="0" borderId="7" xfId="0" applyNumberFormat="1" applyFont="1" applyFill="1" applyBorder="1" applyAlignment="1" applyProtection="1">
      <alignment horizontal="center"/>
      <protection hidden="1"/>
    </xf>
    <xf numFmtId="3" fontId="20" fillId="0" borderId="6" xfId="0" applyNumberFormat="1" applyFont="1" applyFill="1" applyBorder="1" applyAlignment="1" applyProtection="1">
      <alignment horizontal="center"/>
      <protection hidden="1"/>
    </xf>
    <xf numFmtId="0" fontId="20" fillId="39" borderId="7" xfId="0" applyFont="1" applyFill="1" applyBorder="1" applyAlignment="1" applyProtection="1">
      <alignment horizontal="center"/>
      <protection hidden="1"/>
    </xf>
    <xf numFmtId="165" fontId="20" fillId="0" borderId="7" xfId="0" applyNumberFormat="1" applyFont="1" applyFill="1" applyBorder="1" applyAlignment="1" applyProtection="1">
      <alignment horizontal="center"/>
      <protection hidden="1"/>
    </xf>
    <xf numFmtId="173" fontId="20" fillId="0" borderId="7" xfId="0" applyNumberFormat="1" applyFont="1" applyFill="1" applyBorder="1" applyAlignment="1" applyProtection="1">
      <alignment horizontal="center"/>
      <protection hidden="1"/>
    </xf>
    <xf numFmtId="4" fontId="20" fillId="39" borderId="7" xfId="2" applyNumberFormat="1" applyFont="1" applyFill="1" applyBorder="1" applyAlignment="1" applyProtection="1">
      <alignment horizontal="center"/>
      <protection hidden="1"/>
    </xf>
    <xf numFmtId="4" fontId="20" fillId="0" borderId="7" xfId="2" applyNumberFormat="1" applyFont="1" applyFill="1" applyBorder="1" applyAlignment="1" applyProtection="1">
      <alignment horizontal="center"/>
      <protection hidden="1"/>
    </xf>
    <xf numFmtId="0" fontId="20" fillId="39" borderId="13" xfId="0" applyFont="1" applyFill="1" applyBorder="1" applyAlignment="1" applyProtection="1">
      <protection hidden="1"/>
    </xf>
    <xf numFmtId="4" fontId="20" fillId="39" borderId="8" xfId="2" applyNumberFormat="1" applyFont="1" applyFill="1" applyBorder="1" applyAlignment="1" applyProtection="1">
      <alignment horizontal="center"/>
      <protection hidden="1"/>
    </xf>
    <xf numFmtId="164" fontId="20" fillId="7" borderId="1" xfId="2" applyNumberFormat="1" applyFont="1" applyFill="1" applyBorder="1" applyAlignment="1" applyProtection="1">
      <alignment horizontal="center"/>
      <protection locked="0" hidden="1"/>
    </xf>
    <xf numFmtId="9" fontId="20" fillId="7" borderId="1" xfId="1" applyFont="1" applyFill="1" applyBorder="1" applyAlignment="1" applyProtection="1">
      <alignment horizontal="center"/>
      <protection locked="0" hidden="1"/>
    </xf>
    <xf numFmtId="9" fontId="20" fillId="0" borderId="1" xfId="1" applyNumberFormat="1" applyFont="1" applyFill="1" applyBorder="1" applyAlignment="1" applyProtection="1">
      <alignment horizontal="center"/>
      <protection locked="0" hidden="1"/>
    </xf>
    <xf numFmtId="9" fontId="20" fillId="39" borderId="1" xfId="1" applyNumberFormat="1" applyFont="1" applyFill="1" applyBorder="1" applyAlignment="1" applyProtection="1">
      <alignment horizontal="center"/>
      <protection locked="0" hidden="1"/>
    </xf>
    <xf numFmtId="0" fontId="22" fillId="6" borderId="9" xfId="0" applyFont="1" applyFill="1" applyBorder="1" applyAlignment="1" applyProtection="1">
      <alignment horizontal="center" vertical="center" wrapText="1"/>
      <protection hidden="1"/>
    </xf>
    <xf numFmtId="1" fontId="20" fillId="0" borderId="6" xfId="1" applyNumberFormat="1" applyFont="1" applyFill="1" applyBorder="1" applyAlignment="1" applyProtection="1">
      <alignment horizontal="center"/>
      <protection hidden="1"/>
    </xf>
    <xf numFmtId="169" fontId="20" fillId="0" borderId="10" xfId="1" applyNumberFormat="1" applyFont="1" applyFill="1" applyBorder="1" applyAlignment="1" applyProtection="1">
      <alignment horizontal="center"/>
      <protection locked="0" hidden="1"/>
    </xf>
    <xf numFmtId="169" fontId="20" fillId="39" borderId="12" xfId="1" applyNumberFormat="1" applyFont="1" applyFill="1" applyBorder="1" applyAlignment="1" applyProtection="1">
      <alignment horizontal="center"/>
      <protection locked="0" hidden="1"/>
    </xf>
    <xf numFmtId="1" fontId="20" fillId="0" borderId="8" xfId="1" applyNumberFormat="1" applyFont="1" applyFill="1" applyBorder="1" applyAlignment="1" applyProtection="1">
      <alignment horizontal="center"/>
      <protection hidden="1"/>
    </xf>
    <xf numFmtId="169" fontId="20" fillId="0" borderId="15" xfId="1" applyNumberFormat="1" applyFont="1" applyFill="1" applyBorder="1" applyAlignment="1" applyProtection="1">
      <alignment horizontal="center"/>
      <protection locked="0" hidden="1"/>
    </xf>
    <xf numFmtId="0" fontId="22" fillId="6" borderId="5" xfId="0" applyFont="1" applyFill="1" applyBorder="1" applyAlignment="1" applyProtection="1">
      <alignment horizontal="left" vertical="center"/>
      <protection hidden="1"/>
    </xf>
    <xf numFmtId="0" fontId="20" fillId="6" borderId="6" xfId="0" applyFont="1" applyFill="1" applyBorder="1" applyAlignment="1" applyProtection="1">
      <protection hidden="1"/>
    </xf>
    <xf numFmtId="0" fontId="20" fillId="6" borderId="7" xfId="0" applyFont="1" applyFill="1" applyBorder="1" applyAlignment="1" applyProtection="1">
      <protection hidden="1"/>
    </xf>
    <xf numFmtId="169" fontId="20" fillId="6" borderId="5" xfId="0" applyNumberFormat="1" applyFont="1" applyFill="1" applyBorder="1" applyAlignment="1" applyProtection="1">
      <protection hidden="1"/>
    </xf>
    <xf numFmtId="179" fontId="20" fillId="6" borderId="78" xfId="0" applyNumberFormat="1" applyFont="1" applyFill="1" applyBorder="1" applyAlignment="1" applyProtection="1">
      <alignment horizontal="center"/>
      <protection hidden="1"/>
    </xf>
    <xf numFmtId="3" fontId="20" fillId="6" borderId="79" xfId="1" applyNumberFormat="1" applyFont="1" applyFill="1" applyBorder="1" applyAlignment="1" applyProtection="1">
      <alignment horizontal="center"/>
      <protection hidden="1"/>
    </xf>
    <xf numFmtId="0" fontId="20" fillId="6" borderId="80" xfId="0" applyFont="1" applyFill="1" applyBorder="1" applyAlignment="1" applyProtection="1">
      <alignment horizontal="center"/>
      <protection hidden="1"/>
    </xf>
    <xf numFmtId="189" fontId="20" fillId="6" borderId="78" xfId="3" applyNumberFormat="1" applyFont="1" applyFill="1" applyBorder="1" applyAlignment="1" applyProtection="1">
      <alignment horizontal="center"/>
      <protection hidden="1"/>
    </xf>
    <xf numFmtId="3" fontId="20" fillId="6" borderId="81" xfId="1" applyNumberFormat="1" applyFont="1" applyFill="1" applyBorder="1" applyAlignment="1" applyProtection="1">
      <alignment horizontal="center"/>
      <protection hidden="1"/>
    </xf>
    <xf numFmtId="190" fontId="20" fillId="6" borderId="81" xfId="1" applyNumberFormat="1" applyFont="1" applyFill="1" applyBorder="1" applyAlignment="1" applyProtection="1">
      <alignment horizontal="center"/>
      <protection hidden="1"/>
    </xf>
    <xf numFmtId="190" fontId="20" fillId="6" borderId="82" xfId="1" applyNumberFormat="1" applyFont="1" applyFill="1" applyBorder="1" applyAlignment="1" applyProtection="1">
      <alignment horizontal="center"/>
      <protection hidden="1"/>
    </xf>
    <xf numFmtId="191" fontId="20" fillId="6" borderId="79" xfId="1" applyNumberFormat="1" applyFont="1" applyFill="1" applyBorder="1" applyAlignment="1" applyProtection="1">
      <alignment horizontal="center"/>
      <protection hidden="1"/>
    </xf>
    <xf numFmtId="0" fontId="20" fillId="6" borderId="1" xfId="0" applyFont="1" applyFill="1" applyBorder="1" applyAlignment="1" applyProtection="1">
      <protection hidden="1"/>
    </xf>
    <xf numFmtId="0" fontId="20" fillId="6" borderId="8" xfId="0" applyFont="1" applyFill="1" applyBorder="1" applyAlignment="1" applyProtection="1">
      <protection hidden="1"/>
    </xf>
    <xf numFmtId="169" fontId="20" fillId="6" borderId="3" xfId="0" applyNumberFormat="1" applyFont="1" applyFill="1" applyBorder="1" applyAlignment="1" applyProtection="1">
      <protection hidden="1"/>
    </xf>
    <xf numFmtId="179" fontId="20" fillId="6" borderId="104" xfId="0" applyNumberFormat="1" applyFont="1" applyFill="1" applyBorder="1" applyAlignment="1" applyProtection="1">
      <alignment horizontal="center"/>
      <protection hidden="1"/>
    </xf>
    <xf numFmtId="3" fontId="20" fillId="6" borderId="70" xfId="1" applyNumberFormat="1" applyFont="1" applyFill="1" applyBorder="1" applyAlignment="1" applyProtection="1">
      <alignment horizontal="center"/>
      <protection hidden="1"/>
    </xf>
    <xf numFmtId="0" fontId="20" fillId="6" borderId="67" xfId="0" applyFont="1" applyFill="1" applyBorder="1" applyAlignment="1" applyProtection="1">
      <alignment horizontal="center"/>
      <protection hidden="1"/>
    </xf>
    <xf numFmtId="189" fontId="20" fillId="6" borderId="104" xfId="3" applyNumberFormat="1" applyFont="1" applyFill="1" applyBorder="1" applyAlignment="1" applyProtection="1">
      <alignment horizontal="center"/>
      <protection hidden="1"/>
    </xf>
    <xf numFmtId="3" fontId="20" fillId="6" borderId="68" xfId="1" applyNumberFormat="1" applyFont="1" applyFill="1" applyBorder="1" applyAlignment="1" applyProtection="1">
      <alignment horizontal="center"/>
      <protection hidden="1"/>
    </xf>
    <xf numFmtId="190" fontId="20" fillId="6" borderId="68" xfId="1" applyNumberFormat="1" applyFont="1" applyFill="1" applyBorder="1" applyAlignment="1" applyProtection="1">
      <alignment horizontal="center"/>
      <protection hidden="1"/>
    </xf>
    <xf numFmtId="190" fontId="20" fillId="6" borderId="69" xfId="1" applyNumberFormat="1" applyFont="1" applyFill="1" applyBorder="1" applyAlignment="1" applyProtection="1">
      <alignment horizontal="center"/>
      <protection hidden="1"/>
    </xf>
    <xf numFmtId="191" fontId="20" fillId="6" borderId="70" xfId="1" applyNumberFormat="1" applyFont="1" applyFill="1" applyBorder="1" applyAlignment="1" applyProtection="1">
      <alignment horizontal="center"/>
      <protection hidden="1"/>
    </xf>
    <xf numFmtId="173" fontId="20" fillId="0" borderId="1" xfId="3" applyNumberFormat="1" applyFont="1" applyFill="1" applyBorder="1" applyAlignment="1" applyProtection="1">
      <protection hidden="1"/>
    </xf>
    <xf numFmtId="173" fontId="20" fillId="39" borderId="1" xfId="3" applyNumberFormat="1" applyFont="1" applyFill="1" applyBorder="1" applyAlignment="1" applyProtection="1">
      <protection hidden="1"/>
    </xf>
    <xf numFmtId="200" fontId="20" fillId="0" borderId="57" xfId="0" applyNumberFormat="1" applyFont="1" applyFill="1" applyBorder="1" applyAlignment="1" applyProtection="1">
      <alignment horizontal="center"/>
      <protection hidden="1"/>
    </xf>
    <xf numFmtId="165" fontId="20" fillId="39" borderId="58" xfId="0" applyNumberFormat="1" applyFont="1" applyFill="1" applyBorder="1" applyAlignment="1" applyProtection="1">
      <alignment horizontal="center"/>
      <protection hidden="1"/>
    </xf>
    <xf numFmtId="169" fontId="20" fillId="0" borderId="59" xfId="0" applyNumberFormat="1" applyFont="1" applyFill="1" applyBorder="1" applyAlignment="1" applyProtection="1">
      <alignment horizontal="center"/>
      <protection hidden="1"/>
    </xf>
    <xf numFmtId="201" fontId="20" fillId="6" borderId="0" xfId="0" applyNumberFormat="1" applyFont="1" applyFill="1" applyBorder="1" applyAlignment="1" applyProtection="1">
      <protection hidden="1"/>
    </xf>
    <xf numFmtId="0" fontId="20" fillId="6" borderId="2" xfId="0" applyFont="1" applyFill="1" applyBorder="1" applyAlignment="1" applyProtection="1">
      <alignment horizontal="center" vertical="center"/>
      <protection hidden="1"/>
    </xf>
    <xf numFmtId="0" fontId="20" fillId="6" borderId="70" xfId="0" applyFont="1" applyFill="1" applyBorder="1" applyAlignment="1" applyProtection="1">
      <alignment horizontal="center" vertical="center" wrapText="1"/>
      <protection hidden="1"/>
    </xf>
    <xf numFmtId="0" fontId="20" fillId="0" borderId="61" xfId="0" applyFont="1" applyFill="1" applyBorder="1" applyAlignment="1" applyProtection="1">
      <protection hidden="1"/>
    </xf>
    <xf numFmtId="179" fontId="20" fillId="0" borderId="57" xfId="1" applyNumberFormat="1" applyFont="1" applyFill="1" applyBorder="1" applyAlignment="1" applyProtection="1">
      <alignment horizontal="center"/>
      <protection hidden="1"/>
    </xf>
    <xf numFmtId="0" fontId="20" fillId="39" borderId="86" xfId="0" applyFont="1" applyFill="1" applyBorder="1" applyAlignment="1" applyProtection="1">
      <protection hidden="1"/>
    </xf>
    <xf numFmtId="0" fontId="20" fillId="39" borderId="95" xfId="0" applyFont="1" applyFill="1" applyBorder="1" applyAlignment="1" applyProtection="1">
      <alignment horizontal="center"/>
      <protection hidden="1"/>
    </xf>
    <xf numFmtId="179" fontId="20" fillId="39" borderId="59" xfId="1" applyNumberFormat="1" applyFont="1" applyFill="1" applyBorder="1" applyAlignment="1" applyProtection="1">
      <alignment horizontal="center"/>
      <protection hidden="1"/>
    </xf>
    <xf numFmtId="0" fontId="20" fillId="0" borderId="86" xfId="0" applyFont="1" applyFill="1" applyBorder="1" applyAlignment="1" applyProtection="1">
      <protection hidden="1"/>
    </xf>
    <xf numFmtId="0" fontId="20" fillId="0" borderId="95" xfId="0" applyFont="1" applyFill="1" applyBorder="1" applyAlignment="1" applyProtection="1">
      <alignment horizontal="center"/>
      <protection hidden="1"/>
    </xf>
    <xf numFmtId="179" fontId="20" fillId="0" borderId="59" xfId="1" applyNumberFormat="1" applyFont="1" applyFill="1" applyBorder="1" applyAlignment="1" applyProtection="1">
      <alignment horizontal="center"/>
      <protection hidden="1"/>
    </xf>
    <xf numFmtId="0" fontId="20" fillId="0" borderId="63" xfId="0" applyFont="1" applyFill="1" applyBorder="1" applyAlignment="1" applyProtection="1">
      <protection hidden="1"/>
    </xf>
    <xf numFmtId="0" fontId="64" fillId="0" borderId="64" xfId="0" applyFont="1" applyFill="1" applyBorder="1" applyAlignment="1" applyProtection="1">
      <alignment horizontal="center"/>
      <protection hidden="1"/>
    </xf>
    <xf numFmtId="0" fontId="20" fillId="39" borderId="63" xfId="0" applyFont="1" applyFill="1" applyBorder="1" applyAlignment="1" applyProtection="1">
      <protection hidden="1"/>
    </xf>
    <xf numFmtId="0" fontId="20" fillId="39" borderId="64" xfId="0" applyFont="1" applyFill="1" applyBorder="1" applyAlignment="1" applyProtection="1">
      <alignment horizontal="center"/>
      <protection hidden="1"/>
    </xf>
    <xf numFmtId="0" fontId="20" fillId="39" borderId="87" xfId="0" applyFont="1" applyFill="1" applyBorder="1" applyAlignment="1" applyProtection="1">
      <protection hidden="1"/>
    </xf>
    <xf numFmtId="0" fontId="64" fillId="39" borderId="120" xfId="0" applyFont="1" applyFill="1" applyBorder="1" applyAlignment="1" applyProtection="1">
      <alignment horizontal="center"/>
      <protection hidden="1"/>
    </xf>
    <xf numFmtId="0" fontId="20" fillId="0" borderId="87" xfId="0" applyFont="1" applyFill="1" applyBorder="1" applyAlignment="1" applyProtection="1">
      <protection hidden="1"/>
    </xf>
    <xf numFmtId="0" fontId="64" fillId="0" borderId="120" xfId="0" applyFont="1" applyFill="1" applyBorder="1" applyAlignment="1" applyProtection="1">
      <alignment horizontal="center"/>
      <protection hidden="1"/>
    </xf>
    <xf numFmtId="0" fontId="20" fillId="39" borderId="66" xfId="0" applyFont="1" applyFill="1" applyBorder="1" applyAlignment="1" applyProtection="1">
      <alignment horizontal="center"/>
      <protection hidden="1"/>
    </xf>
    <xf numFmtId="179" fontId="20" fillId="39" borderId="60" xfId="1" applyNumberFormat="1" applyFont="1" applyFill="1" applyBorder="1" applyAlignment="1" applyProtection="1">
      <alignment horizontal="center"/>
      <protection hidden="1"/>
    </xf>
    <xf numFmtId="179" fontId="20" fillId="0" borderId="62" xfId="0" applyNumberFormat="1" applyFont="1" applyFill="1" applyBorder="1" applyAlignment="1" applyProtection="1">
      <alignment horizontal="center"/>
      <protection hidden="1"/>
    </xf>
    <xf numFmtId="179" fontId="20" fillId="39" borderId="95" xfId="0" applyNumberFormat="1" applyFont="1" applyFill="1" applyBorder="1" applyAlignment="1" applyProtection="1">
      <alignment horizontal="center"/>
      <protection hidden="1"/>
    </xf>
    <xf numFmtId="179" fontId="20" fillId="0" borderId="95" xfId="0" applyNumberFormat="1" applyFont="1" applyFill="1" applyBorder="1" applyAlignment="1" applyProtection="1">
      <alignment horizontal="center"/>
      <protection hidden="1"/>
    </xf>
    <xf numFmtId="179" fontId="64" fillId="0" borderId="64" xfId="0" applyNumberFormat="1" applyFont="1" applyFill="1" applyBorder="1" applyAlignment="1" applyProtection="1">
      <alignment horizontal="center"/>
      <protection hidden="1"/>
    </xf>
    <xf numFmtId="179" fontId="20" fillId="39" borderId="64" xfId="0" applyNumberFormat="1" applyFont="1" applyFill="1" applyBorder="1" applyAlignment="1" applyProtection="1">
      <alignment horizontal="center"/>
      <protection hidden="1"/>
    </xf>
    <xf numFmtId="179" fontId="64" fillId="39" borderId="120" xfId="0" applyNumberFormat="1" applyFont="1" applyFill="1" applyBorder="1" applyAlignment="1" applyProtection="1">
      <alignment horizontal="center"/>
      <protection hidden="1"/>
    </xf>
    <xf numFmtId="179" fontId="64" fillId="0" borderId="120" xfId="0" applyNumberFormat="1" applyFont="1" applyFill="1" applyBorder="1" applyAlignment="1" applyProtection="1">
      <alignment horizontal="center"/>
      <protection hidden="1"/>
    </xf>
    <xf numFmtId="179" fontId="20" fillId="39" borderId="66" xfId="0" applyNumberFormat="1" applyFont="1" applyFill="1" applyBorder="1" applyAlignment="1" applyProtection="1">
      <alignment horizontal="center"/>
      <protection hidden="1"/>
    </xf>
    <xf numFmtId="0" fontId="22" fillId="6" borderId="9" xfId="0" applyFont="1" applyFill="1" applyBorder="1" applyAlignment="1" applyProtection="1">
      <alignment horizontal="left" vertical="center"/>
      <protection hidden="1"/>
    </xf>
    <xf numFmtId="0" fontId="22" fillId="6" borderId="74" xfId="0" applyFont="1" applyFill="1" applyBorder="1" applyAlignment="1" applyProtection="1">
      <alignment horizontal="center" wrapText="1"/>
      <protection hidden="1"/>
    </xf>
    <xf numFmtId="9" fontId="20" fillId="0" borderId="62" xfId="1" applyFont="1" applyFill="1" applyBorder="1" applyAlignment="1" applyProtection="1">
      <alignment horizontal="center"/>
      <protection hidden="1"/>
    </xf>
    <xf numFmtId="0" fontId="20" fillId="7" borderId="62" xfId="0" applyFont="1" applyFill="1" applyBorder="1" applyAlignment="1" applyProtection="1">
      <alignment horizontal="center"/>
      <protection hidden="1"/>
    </xf>
    <xf numFmtId="9" fontId="20" fillId="39" borderId="95" xfId="1" applyFont="1" applyFill="1" applyBorder="1" applyAlignment="1" applyProtection="1">
      <alignment horizontal="center"/>
      <protection hidden="1"/>
    </xf>
    <xf numFmtId="0" fontId="20" fillId="7" borderId="95" xfId="0" applyFont="1" applyFill="1" applyBorder="1" applyAlignment="1" applyProtection="1">
      <alignment horizontal="center"/>
      <protection hidden="1"/>
    </xf>
    <xf numFmtId="9" fontId="20" fillId="0" borderId="95" xfId="1" applyFont="1" applyFill="1" applyBorder="1" applyAlignment="1" applyProtection="1">
      <alignment horizontal="center"/>
      <protection hidden="1"/>
    </xf>
    <xf numFmtId="9" fontId="64" fillId="0" borderId="64" xfId="1" applyFont="1" applyFill="1" applyBorder="1" applyAlignment="1" applyProtection="1">
      <alignment horizontal="center"/>
      <protection hidden="1"/>
    </xf>
    <xf numFmtId="9" fontId="20" fillId="39" borderId="64" xfId="1" applyFont="1" applyFill="1" applyBorder="1" applyAlignment="1" applyProtection="1">
      <alignment horizontal="center"/>
      <protection hidden="1"/>
    </xf>
    <xf numFmtId="167" fontId="20" fillId="7" borderId="64" xfId="1" applyNumberFormat="1" applyFont="1" applyFill="1" applyBorder="1" applyAlignment="1" applyProtection="1">
      <alignment horizontal="center"/>
      <protection hidden="1"/>
    </xf>
    <xf numFmtId="1" fontId="20" fillId="7" borderId="64" xfId="1" applyNumberFormat="1" applyFont="1" applyFill="1" applyBorder="1" applyAlignment="1" applyProtection="1">
      <alignment horizontal="center"/>
      <protection hidden="1"/>
    </xf>
    <xf numFmtId="167" fontId="64" fillId="7" borderId="64" xfId="1" applyNumberFormat="1" applyFont="1" applyFill="1" applyBorder="1" applyAlignment="1" applyProtection="1">
      <alignment horizontal="center"/>
      <protection hidden="1"/>
    </xf>
    <xf numFmtId="1" fontId="64" fillId="7" borderId="64" xfId="1" applyNumberFormat="1" applyFont="1" applyFill="1" applyBorder="1" applyAlignment="1" applyProtection="1">
      <alignment horizontal="center"/>
      <protection hidden="1"/>
    </xf>
    <xf numFmtId="9" fontId="64" fillId="39" borderId="120" xfId="1" applyFont="1" applyFill="1" applyBorder="1" applyAlignment="1" applyProtection="1">
      <alignment horizontal="center"/>
      <protection hidden="1"/>
    </xf>
    <xf numFmtId="167" fontId="64" fillId="7" borderId="120" xfId="1" applyNumberFormat="1" applyFont="1" applyFill="1" applyBorder="1" applyAlignment="1" applyProtection="1">
      <alignment horizontal="center"/>
      <protection hidden="1"/>
    </xf>
    <xf numFmtId="1" fontId="64" fillId="7" borderId="120" xfId="1" applyNumberFormat="1" applyFont="1" applyFill="1" applyBorder="1" applyAlignment="1" applyProtection="1">
      <alignment horizontal="center"/>
      <protection hidden="1"/>
    </xf>
    <xf numFmtId="9" fontId="64" fillId="0" borderId="120" xfId="1" applyFont="1" applyFill="1" applyBorder="1" applyAlignment="1" applyProtection="1">
      <alignment horizontal="center"/>
      <protection hidden="1"/>
    </xf>
    <xf numFmtId="9" fontId="20" fillId="39" borderId="66" xfId="1" applyFont="1" applyFill="1" applyBorder="1" applyAlignment="1" applyProtection="1">
      <alignment horizontal="center"/>
      <protection hidden="1"/>
    </xf>
    <xf numFmtId="167" fontId="20" fillId="7" borderId="66" xfId="1" applyNumberFormat="1" applyFont="1" applyFill="1" applyBorder="1" applyAlignment="1" applyProtection="1">
      <alignment horizontal="center"/>
      <protection hidden="1"/>
    </xf>
    <xf numFmtId="1" fontId="20" fillId="7" borderId="66" xfId="1" applyNumberFormat="1" applyFont="1" applyFill="1" applyBorder="1" applyAlignment="1" applyProtection="1">
      <alignment horizontal="center"/>
      <protection hidden="1"/>
    </xf>
    <xf numFmtId="0" fontId="20" fillId="6" borderId="2" xfId="0" applyFont="1" applyFill="1" applyBorder="1" applyAlignment="1" applyProtection="1">
      <alignment horizontal="center" wrapText="1"/>
      <protection hidden="1"/>
    </xf>
    <xf numFmtId="0" fontId="20" fillId="6" borderId="68" xfId="0" applyFont="1" applyFill="1" applyBorder="1" applyAlignment="1" applyProtection="1">
      <alignment horizontal="center" wrapText="1"/>
      <protection hidden="1"/>
    </xf>
    <xf numFmtId="0" fontId="20" fillId="6" borderId="3" xfId="0" applyFont="1" applyFill="1" applyBorder="1" applyAlignment="1" applyProtection="1">
      <alignment horizontal="center" wrapText="1"/>
      <protection hidden="1"/>
    </xf>
    <xf numFmtId="0" fontId="22" fillId="6" borderId="121" xfId="0" applyFont="1" applyFill="1" applyBorder="1" applyAlignment="1" applyProtection="1">
      <alignment horizontal="center" wrapText="1"/>
      <protection hidden="1"/>
    </xf>
    <xf numFmtId="3" fontId="20" fillId="7" borderId="61" xfId="0" applyNumberFormat="1" applyFont="1" applyFill="1" applyBorder="1" applyAlignment="1" applyProtection="1">
      <alignment horizontal="center"/>
      <protection locked="0" hidden="1"/>
    </xf>
    <xf numFmtId="3" fontId="20" fillId="7" borderId="72" xfId="0" applyNumberFormat="1" applyFont="1" applyFill="1" applyBorder="1" applyAlignment="1" applyProtection="1">
      <alignment horizontal="center"/>
      <protection locked="0" hidden="1"/>
    </xf>
    <xf numFmtId="3" fontId="20" fillId="7" borderId="122" xfId="0" applyNumberFormat="1" applyFont="1" applyFill="1" applyBorder="1" applyAlignment="1" applyProtection="1">
      <alignment horizontal="center"/>
      <protection locked="0" hidden="1"/>
    </xf>
    <xf numFmtId="3" fontId="22" fillId="7" borderId="123" xfId="0" applyNumberFormat="1" applyFont="1" applyFill="1" applyBorder="1" applyAlignment="1" applyProtection="1">
      <alignment horizontal="center"/>
      <protection locked="0" hidden="1"/>
    </xf>
    <xf numFmtId="3" fontId="64" fillId="7" borderId="63" xfId="0" applyNumberFormat="1" applyFont="1" applyFill="1" applyBorder="1" applyAlignment="1" applyProtection="1">
      <alignment horizontal="center"/>
      <protection locked="0" hidden="1"/>
    </xf>
    <xf numFmtId="3" fontId="64" fillId="7" borderId="90" xfId="0" applyNumberFormat="1" applyFont="1" applyFill="1" applyBorder="1" applyAlignment="1" applyProtection="1">
      <alignment horizontal="center"/>
      <protection locked="0" hidden="1"/>
    </xf>
    <xf numFmtId="3" fontId="64" fillId="7" borderId="124" xfId="0" applyNumberFormat="1" applyFont="1" applyFill="1" applyBorder="1" applyAlignment="1" applyProtection="1">
      <alignment horizontal="center"/>
      <protection locked="0" hidden="1"/>
    </xf>
    <xf numFmtId="0" fontId="0" fillId="6" borderId="0" xfId="0" applyFill="1" applyBorder="1" applyProtection="1">
      <protection locked="0"/>
    </xf>
    <xf numFmtId="0" fontId="0" fillId="6" borderId="11" xfId="0" applyFill="1" applyBorder="1" applyProtection="1">
      <protection locked="0"/>
    </xf>
    <xf numFmtId="0" fontId="0" fillId="6" borderId="0" xfId="0" applyFill="1" applyProtection="1">
      <protection locked="0"/>
    </xf>
    <xf numFmtId="0" fontId="0" fillId="6" borderId="13" xfId="0" applyFill="1" applyBorder="1" applyProtection="1">
      <protection locked="0"/>
    </xf>
    <xf numFmtId="0" fontId="0" fillId="6" borderId="14" xfId="0" applyFill="1" applyBorder="1" applyProtection="1">
      <protection locked="0"/>
    </xf>
    <xf numFmtId="0" fontId="0" fillId="6" borderId="14" xfId="0" applyFill="1" applyBorder="1" applyProtection="1">
      <protection hidden="1"/>
    </xf>
    <xf numFmtId="0" fontId="0" fillId="6" borderId="15" xfId="0" applyFill="1" applyBorder="1" applyProtection="1">
      <protection locked="0"/>
    </xf>
    <xf numFmtId="3" fontId="20" fillId="7" borderId="86" xfId="0" applyNumberFormat="1" applyFont="1" applyFill="1" applyBorder="1" applyAlignment="1" applyProtection="1">
      <alignment horizontal="center"/>
      <protection locked="0" hidden="1"/>
    </xf>
    <xf numFmtId="3" fontId="20" fillId="7" borderId="94" xfId="0" applyNumberFormat="1" applyFont="1" applyFill="1" applyBorder="1" applyAlignment="1" applyProtection="1">
      <alignment horizontal="center"/>
      <protection locked="0" hidden="1"/>
    </xf>
    <xf numFmtId="3" fontId="20" fillId="7" borderId="126" xfId="0" applyNumberFormat="1" applyFont="1" applyFill="1" applyBorder="1" applyAlignment="1" applyProtection="1">
      <alignment horizontal="center"/>
      <protection locked="0" hidden="1"/>
    </xf>
    <xf numFmtId="0" fontId="0" fillId="6" borderId="5" xfId="0" applyFill="1" applyBorder="1" applyProtection="1">
      <protection hidden="1"/>
    </xf>
    <xf numFmtId="0" fontId="0" fillId="6" borderId="5" xfId="0" applyFill="1" applyBorder="1" applyProtection="1">
      <protection locked="0"/>
    </xf>
    <xf numFmtId="0" fontId="0" fillId="6" borderId="10" xfId="0" applyFill="1" applyBorder="1" applyProtection="1">
      <protection locked="0"/>
    </xf>
    <xf numFmtId="0" fontId="0" fillId="6" borderId="0" xfId="0" applyFill="1" applyBorder="1" applyProtection="1">
      <protection hidden="1"/>
    </xf>
    <xf numFmtId="0" fontId="0" fillId="6" borderId="12" xfId="0" applyFill="1" applyBorder="1" applyProtection="1">
      <protection locked="0"/>
    </xf>
    <xf numFmtId="0" fontId="0" fillId="6" borderId="11" xfId="0" applyFill="1" applyBorder="1" applyProtection="1">
      <protection hidden="1"/>
    </xf>
    <xf numFmtId="0" fontId="22" fillId="6" borderId="6" xfId="0" applyFont="1" applyFill="1" applyBorder="1" applyAlignment="1" applyProtection="1">
      <alignment horizontal="left" wrapText="1"/>
      <protection hidden="1"/>
    </xf>
    <xf numFmtId="6" fontId="20" fillId="0" borderId="57" xfId="1" applyNumberFormat="1" applyFont="1" applyFill="1" applyBorder="1" applyAlignment="1" applyProtection="1">
      <alignment horizontal="center"/>
      <protection hidden="1"/>
    </xf>
    <xf numFmtId="6" fontId="20" fillId="39" borderId="59" xfId="1" applyNumberFormat="1" applyFont="1" applyFill="1" applyBorder="1" applyAlignment="1" applyProtection="1">
      <alignment horizontal="center"/>
      <protection hidden="1"/>
    </xf>
    <xf numFmtId="6" fontId="20" fillId="0" borderId="59" xfId="1" applyNumberFormat="1" applyFont="1" applyFill="1" applyBorder="1" applyAlignment="1" applyProtection="1">
      <alignment horizontal="center"/>
      <protection hidden="1"/>
    </xf>
    <xf numFmtId="0" fontId="20" fillId="0" borderId="65" xfId="0" applyFont="1" applyFill="1" applyBorder="1" applyAlignment="1" applyProtection="1">
      <protection hidden="1"/>
    </xf>
    <xf numFmtId="6" fontId="20" fillId="0" borderId="60" xfId="1" applyNumberFormat="1" applyFont="1" applyFill="1" applyBorder="1" applyAlignment="1" applyProtection="1">
      <alignment horizontal="center"/>
      <protection hidden="1"/>
    </xf>
    <xf numFmtId="0" fontId="22" fillId="6" borderId="6" xfId="0" applyFont="1" applyFill="1" applyBorder="1" applyAlignment="1" applyProtection="1">
      <alignment horizontal="left" vertical="center" wrapText="1"/>
      <protection hidden="1"/>
    </xf>
    <xf numFmtId="9" fontId="20" fillId="0" borderId="57" xfId="1" applyFont="1" applyFill="1" applyBorder="1" applyAlignment="1" applyProtection="1">
      <alignment horizontal="center"/>
      <protection hidden="1"/>
    </xf>
    <xf numFmtId="9" fontId="64" fillId="39" borderId="59" xfId="1" applyFont="1" applyFill="1" applyBorder="1" applyAlignment="1" applyProtection="1">
      <alignment horizontal="center"/>
      <protection hidden="1"/>
    </xf>
    <xf numFmtId="9" fontId="64" fillId="39" borderId="60" xfId="1" applyFont="1" applyFill="1" applyBorder="1" applyAlignment="1" applyProtection="1">
      <alignment horizontal="center"/>
      <protection hidden="1"/>
    </xf>
    <xf numFmtId="9" fontId="20" fillId="0" borderId="59" xfId="1" applyFont="1" applyFill="1" applyBorder="1" applyAlignment="1" applyProtection="1">
      <alignment horizontal="center"/>
      <protection hidden="1"/>
    </xf>
    <xf numFmtId="9" fontId="20" fillId="0" borderId="60" xfId="1" applyFont="1" applyFill="1" applyBorder="1" applyAlignment="1" applyProtection="1">
      <alignment horizontal="center"/>
      <protection hidden="1"/>
    </xf>
    <xf numFmtId="9" fontId="20" fillId="39" borderId="1" xfId="1" applyFont="1" applyFill="1" applyBorder="1" applyAlignment="1" applyProtection="1">
      <alignment horizontal="center"/>
      <protection hidden="1"/>
    </xf>
    <xf numFmtId="0" fontId="82" fillId="6" borderId="0" xfId="0" applyFont="1" applyFill="1" applyProtection="1">
      <protection hidden="1"/>
    </xf>
    <xf numFmtId="0" fontId="22" fillId="6" borderId="2" xfId="0" applyFont="1" applyFill="1" applyBorder="1" applyAlignment="1" applyProtection="1">
      <alignment horizontal="left"/>
      <protection hidden="1"/>
    </xf>
    <xf numFmtId="0" fontId="20" fillId="6" borderId="2" xfId="0" applyFont="1" applyFill="1" applyBorder="1" applyAlignment="1" applyProtection="1">
      <alignment horizontal="center"/>
      <protection hidden="1"/>
    </xf>
    <xf numFmtId="0" fontId="20" fillId="6" borderId="68" xfId="0" applyFont="1" applyFill="1" applyBorder="1" applyAlignment="1" applyProtection="1">
      <alignment horizontal="center"/>
      <protection hidden="1"/>
    </xf>
    <xf numFmtId="0" fontId="20" fillId="6" borderId="4" xfId="0" applyFont="1" applyFill="1" applyBorder="1" applyAlignment="1" applyProtection="1">
      <alignment horizontal="center"/>
      <protection hidden="1"/>
    </xf>
    <xf numFmtId="202" fontId="20" fillId="6" borderId="0" xfId="0" applyNumberFormat="1" applyFont="1" applyFill="1" applyProtection="1">
      <protection hidden="1"/>
    </xf>
    <xf numFmtId="203" fontId="20" fillId="0" borderId="71" xfId="0" applyNumberFormat="1" applyFont="1" applyFill="1" applyBorder="1" applyAlignment="1" applyProtection="1">
      <alignment horizontal="center"/>
      <protection hidden="1"/>
    </xf>
    <xf numFmtId="203" fontId="20" fillId="0" borderId="72" xfId="0" applyNumberFormat="1" applyFont="1" applyFill="1" applyBorder="1" applyAlignment="1" applyProtection="1">
      <alignment horizontal="center"/>
      <protection hidden="1"/>
    </xf>
    <xf numFmtId="203" fontId="20" fillId="0" borderId="62" xfId="0" applyNumberFormat="1" applyFont="1" applyFill="1" applyBorder="1" applyAlignment="1" applyProtection="1">
      <alignment horizontal="center"/>
      <protection hidden="1"/>
    </xf>
    <xf numFmtId="203" fontId="64" fillId="39" borderId="89" xfId="0" applyNumberFormat="1" applyFont="1" applyFill="1" applyBorder="1" applyAlignment="1" applyProtection="1">
      <alignment horizontal="center"/>
      <protection hidden="1"/>
    </xf>
    <xf numFmtId="203" fontId="64" fillId="39" borderId="90" xfId="0" applyNumberFormat="1" applyFont="1" applyFill="1" applyBorder="1" applyAlignment="1" applyProtection="1">
      <alignment horizontal="center"/>
      <protection hidden="1"/>
    </xf>
    <xf numFmtId="203" fontId="64" fillId="39" borderId="64" xfId="0" applyNumberFormat="1" applyFont="1" applyFill="1" applyBorder="1" applyAlignment="1" applyProtection="1">
      <alignment horizontal="center"/>
      <protection hidden="1"/>
    </xf>
    <xf numFmtId="203" fontId="20" fillId="0" borderId="89" xfId="0" applyNumberFormat="1" applyFont="1" applyFill="1" applyBorder="1" applyAlignment="1" applyProtection="1">
      <alignment horizontal="center"/>
      <protection hidden="1"/>
    </xf>
    <xf numFmtId="203" fontId="20" fillId="0" borderId="90" xfId="0" applyNumberFormat="1" applyFont="1" applyFill="1" applyBorder="1" applyAlignment="1" applyProtection="1">
      <alignment horizontal="center"/>
      <protection hidden="1"/>
    </xf>
    <xf numFmtId="203" fontId="20" fillId="0" borderId="64" xfId="0" applyNumberFormat="1" applyFont="1" applyFill="1" applyBorder="1" applyAlignment="1" applyProtection="1">
      <alignment horizontal="center"/>
      <protection hidden="1"/>
    </xf>
    <xf numFmtId="0" fontId="22" fillId="6" borderId="67" xfId="0" applyFont="1" applyFill="1" applyBorder="1" applyAlignment="1" applyProtection="1">
      <alignment horizontal="left" vertical="center"/>
      <protection hidden="1"/>
    </xf>
    <xf numFmtId="0" fontId="20" fillId="0" borderId="71" xfId="0" applyFont="1" applyFill="1" applyBorder="1" applyAlignment="1" applyProtection="1">
      <protection hidden="1"/>
    </xf>
    <xf numFmtId="204" fontId="20" fillId="0" borderId="71" xfId="0" applyNumberFormat="1" applyFont="1" applyFill="1" applyBorder="1" applyAlignment="1" applyProtection="1">
      <alignment horizontal="center"/>
      <protection hidden="1"/>
    </xf>
    <xf numFmtId="167" fontId="20" fillId="0" borderId="71" xfId="1" applyNumberFormat="1" applyFont="1" applyFill="1" applyBorder="1" applyAlignment="1" applyProtection="1">
      <alignment horizontal="center"/>
      <protection hidden="1"/>
    </xf>
    <xf numFmtId="0" fontId="20" fillId="39" borderId="93" xfId="0" applyFont="1" applyFill="1" applyBorder="1" applyAlignment="1" applyProtection="1">
      <protection hidden="1"/>
    </xf>
    <xf numFmtId="204" fontId="20" fillId="39" borderId="93" xfId="0" applyNumberFormat="1" applyFont="1" applyFill="1" applyBorder="1" applyAlignment="1" applyProtection="1">
      <alignment horizontal="center"/>
      <protection hidden="1"/>
    </xf>
    <xf numFmtId="167" fontId="20" fillId="39" borderId="93" xfId="1" applyNumberFormat="1" applyFont="1" applyFill="1" applyBorder="1" applyAlignment="1" applyProtection="1">
      <alignment horizontal="center"/>
      <protection hidden="1"/>
    </xf>
    <xf numFmtId="0" fontId="20" fillId="0" borderId="93" xfId="0" applyFont="1" applyFill="1" applyBorder="1" applyAlignment="1" applyProtection="1">
      <protection hidden="1"/>
    </xf>
    <xf numFmtId="204" fontId="20" fillId="0" borderId="93" xfId="0" applyNumberFormat="1" applyFont="1" applyFill="1" applyBorder="1" applyAlignment="1" applyProtection="1">
      <alignment horizontal="center"/>
      <protection hidden="1"/>
    </xf>
    <xf numFmtId="167" fontId="20" fillId="0" borderId="93" xfId="1" applyNumberFormat="1" applyFont="1" applyFill="1" applyBorder="1" applyAlignment="1" applyProtection="1">
      <alignment horizontal="center"/>
      <protection hidden="1"/>
    </xf>
    <xf numFmtId="0" fontId="20" fillId="0" borderId="89" xfId="0" applyFont="1" applyFill="1" applyBorder="1" applyAlignment="1" applyProtection="1">
      <protection hidden="1"/>
    </xf>
    <xf numFmtId="204" fontId="20" fillId="0" borderId="89" xfId="0" applyNumberFormat="1" applyFont="1" applyFill="1" applyBorder="1" applyAlignment="1" applyProtection="1">
      <alignment horizontal="center"/>
      <protection hidden="1"/>
    </xf>
    <xf numFmtId="167" fontId="20" fillId="0" borderId="89" xfId="1" applyNumberFormat="1" applyFont="1" applyFill="1" applyBorder="1" applyAlignment="1" applyProtection="1">
      <alignment horizontal="center"/>
      <protection hidden="1"/>
    </xf>
    <xf numFmtId="0" fontId="20" fillId="39" borderId="89" xfId="0" applyFont="1" applyFill="1" applyBorder="1" applyAlignment="1" applyProtection="1">
      <protection hidden="1"/>
    </xf>
    <xf numFmtId="204" fontId="20" fillId="39" borderId="89" xfId="0" applyNumberFormat="1" applyFont="1" applyFill="1" applyBorder="1" applyAlignment="1" applyProtection="1">
      <alignment horizontal="center"/>
      <protection hidden="1"/>
    </xf>
    <xf numFmtId="167" fontId="20" fillId="39" borderId="89" xfId="1" applyNumberFormat="1" applyFont="1" applyFill="1" applyBorder="1" applyAlignment="1" applyProtection="1">
      <alignment horizontal="center"/>
      <protection hidden="1"/>
    </xf>
    <xf numFmtId="0" fontId="20" fillId="39" borderId="127" xfId="0" applyFont="1" applyFill="1" applyBorder="1" applyAlignment="1" applyProtection="1">
      <protection hidden="1"/>
    </xf>
    <xf numFmtId="204" fontId="20" fillId="39" borderId="127" xfId="0" applyNumberFormat="1" applyFont="1" applyFill="1" applyBorder="1" applyAlignment="1" applyProtection="1">
      <alignment horizontal="center"/>
      <protection hidden="1"/>
    </xf>
    <xf numFmtId="167" fontId="20" fillId="39" borderId="127" xfId="1" applyNumberFormat="1" applyFont="1" applyFill="1" applyBorder="1" applyAlignment="1" applyProtection="1">
      <alignment horizontal="center"/>
      <protection hidden="1"/>
    </xf>
    <xf numFmtId="0" fontId="20" fillId="0" borderId="127" xfId="0" applyFont="1" applyFill="1" applyBorder="1" applyAlignment="1" applyProtection="1">
      <protection hidden="1"/>
    </xf>
    <xf numFmtId="204" fontId="20" fillId="0" borderId="127" xfId="0" applyNumberFormat="1" applyFont="1" applyFill="1" applyBorder="1" applyAlignment="1" applyProtection="1">
      <alignment horizontal="center"/>
      <protection hidden="1"/>
    </xf>
    <xf numFmtId="167" fontId="20" fillId="0" borderId="127" xfId="1" applyNumberFormat="1" applyFont="1" applyFill="1" applyBorder="1" applyAlignment="1" applyProtection="1">
      <alignment horizontal="center"/>
      <protection hidden="1"/>
    </xf>
    <xf numFmtId="0" fontId="20" fillId="39" borderId="91" xfId="0" applyFont="1" applyFill="1" applyBorder="1" applyAlignment="1" applyProtection="1">
      <protection hidden="1"/>
    </xf>
    <xf numFmtId="204" fontId="20" fillId="39" borderId="91" xfId="0" applyNumberFormat="1" applyFont="1" applyFill="1" applyBorder="1" applyAlignment="1" applyProtection="1">
      <alignment horizontal="center"/>
      <protection hidden="1"/>
    </xf>
    <xf numFmtId="167" fontId="20" fillId="39" borderId="91" xfId="1" applyNumberFormat="1" applyFont="1" applyFill="1" applyBorder="1" applyAlignment="1" applyProtection="1">
      <alignment horizontal="center"/>
      <protection hidden="1"/>
    </xf>
    <xf numFmtId="0" fontId="87" fillId="17" borderId="2" xfId="0" applyFont="1" applyFill="1" applyBorder="1" applyAlignment="1" applyProtection="1">
      <alignment vertical="center" wrapText="1"/>
      <protection hidden="1"/>
    </xf>
    <xf numFmtId="0" fontId="22" fillId="6" borderId="0" xfId="0" applyFont="1" applyFill="1" applyAlignment="1" applyProtection="1">
      <alignment vertical="center"/>
      <protection hidden="1"/>
    </xf>
    <xf numFmtId="0" fontId="22" fillId="6" borderId="78" xfId="0" applyFont="1" applyFill="1" applyBorder="1" applyAlignment="1" applyProtection="1">
      <alignment horizontal="center" vertical="center" wrapText="1"/>
      <protection hidden="1"/>
    </xf>
    <xf numFmtId="0" fontId="20" fillId="0" borderId="61" xfId="0" applyFont="1" applyFill="1" applyBorder="1" applyAlignment="1" applyProtection="1">
      <alignment horizontal="center"/>
      <protection hidden="1"/>
    </xf>
    <xf numFmtId="200" fontId="20" fillId="0" borderId="128" xfId="0" applyNumberFormat="1" applyFont="1" applyFill="1" applyBorder="1" applyAlignment="1" applyProtection="1">
      <alignment horizontal="center"/>
      <protection hidden="1"/>
    </xf>
    <xf numFmtId="182" fontId="20" fillId="0" borderId="128" xfId="3" applyNumberFormat="1" applyFont="1" applyFill="1" applyBorder="1" applyAlignment="1" applyProtection="1">
      <alignment horizontal="center"/>
      <protection hidden="1"/>
    </xf>
    <xf numFmtId="179" fontId="20" fillId="0" borderId="128" xfId="3" applyNumberFormat="1" applyFont="1" applyFill="1" applyBorder="1" applyAlignment="1" applyProtection="1">
      <alignment horizontal="center"/>
      <protection hidden="1"/>
    </xf>
    <xf numFmtId="167" fontId="20" fillId="0" borderId="128" xfId="1" applyNumberFormat="1" applyFont="1" applyFill="1" applyBorder="1" applyAlignment="1" applyProtection="1">
      <alignment horizontal="center"/>
      <protection hidden="1"/>
    </xf>
    <xf numFmtId="2" fontId="20" fillId="0" borderId="128" xfId="3" applyNumberFormat="1" applyFont="1" applyFill="1" applyBorder="1" applyAlignment="1" applyProtection="1">
      <alignment horizontal="center"/>
      <protection hidden="1"/>
    </xf>
    <xf numFmtId="3" fontId="20" fillId="6" borderId="0" xfId="1" applyNumberFormat="1" applyFont="1" applyFill="1" applyBorder="1" applyAlignment="1" applyProtection="1">
      <alignment horizontal="center"/>
      <protection hidden="1"/>
    </xf>
    <xf numFmtId="190" fontId="20" fillId="6" borderId="0" xfId="1" applyNumberFormat="1" applyFont="1" applyFill="1" applyBorder="1" applyAlignment="1" applyProtection="1">
      <alignment horizontal="center"/>
      <protection hidden="1"/>
    </xf>
    <xf numFmtId="0" fontId="20" fillId="39" borderId="86" xfId="0" applyFont="1" applyFill="1" applyBorder="1" applyAlignment="1" applyProtection="1">
      <alignment horizontal="center"/>
      <protection hidden="1"/>
    </xf>
    <xf numFmtId="200" fontId="20" fillId="39" borderId="129" xfId="0" applyNumberFormat="1" applyFont="1" applyFill="1" applyBorder="1" applyAlignment="1" applyProtection="1">
      <alignment horizontal="center"/>
      <protection hidden="1"/>
    </xf>
    <xf numFmtId="182" fontId="20" fillId="39" borderId="129" xfId="3" applyNumberFormat="1" applyFont="1" applyFill="1" applyBorder="1" applyAlignment="1" applyProtection="1">
      <alignment horizontal="center"/>
      <protection hidden="1"/>
    </xf>
    <xf numFmtId="179" fontId="20" fillId="39" borderId="129" xfId="3" applyNumberFormat="1" applyFont="1" applyFill="1" applyBorder="1" applyAlignment="1" applyProtection="1">
      <alignment horizontal="center"/>
      <protection hidden="1"/>
    </xf>
    <xf numFmtId="167" fontId="20" fillId="39" borderId="129" xfId="1" applyNumberFormat="1" applyFont="1" applyFill="1" applyBorder="1" applyAlignment="1" applyProtection="1">
      <alignment horizontal="center"/>
      <protection hidden="1"/>
    </xf>
    <xf numFmtId="2" fontId="20" fillId="39" borderId="129" xfId="3" applyNumberFormat="1" applyFont="1" applyFill="1" applyBorder="1" applyAlignment="1" applyProtection="1">
      <alignment horizontal="center"/>
      <protection hidden="1"/>
    </xf>
    <xf numFmtId="0" fontId="20" fillId="0" borderId="86" xfId="0" applyFont="1" applyFill="1" applyBorder="1" applyAlignment="1" applyProtection="1">
      <alignment horizontal="center"/>
      <protection hidden="1"/>
    </xf>
    <xf numFmtId="200" fontId="20" fillId="0" borderId="129" xfId="0" applyNumberFormat="1" applyFont="1" applyFill="1" applyBorder="1" applyAlignment="1" applyProtection="1">
      <alignment horizontal="center"/>
      <protection hidden="1"/>
    </xf>
    <xf numFmtId="182" fontId="20" fillId="0" borderId="129" xfId="3" applyNumberFormat="1" applyFont="1" applyFill="1" applyBorder="1" applyAlignment="1" applyProtection="1">
      <alignment horizontal="center"/>
      <protection hidden="1"/>
    </xf>
    <xf numFmtId="179" fontId="20" fillId="0" borderId="129" xfId="3" applyNumberFormat="1" applyFont="1" applyFill="1" applyBorder="1" applyAlignment="1" applyProtection="1">
      <alignment horizontal="center"/>
      <protection hidden="1"/>
    </xf>
    <xf numFmtId="167" fontId="20" fillId="0" borderId="129" xfId="1" applyNumberFormat="1" applyFont="1" applyFill="1" applyBorder="1" applyAlignment="1" applyProtection="1">
      <alignment horizontal="center"/>
      <protection hidden="1"/>
    </xf>
    <xf numFmtId="2" fontId="20" fillId="0" borderId="129" xfId="3" applyNumberFormat="1" applyFont="1" applyFill="1" applyBorder="1" applyAlignment="1" applyProtection="1">
      <alignment horizontal="center"/>
      <protection hidden="1"/>
    </xf>
    <xf numFmtId="0" fontId="64" fillId="0" borderId="63" xfId="0" applyFont="1" applyFill="1" applyBorder="1" applyAlignment="1" applyProtection="1">
      <alignment horizontal="center"/>
      <protection hidden="1"/>
    </xf>
    <xf numFmtId="0" fontId="20" fillId="39" borderId="63" xfId="0" applyFont="1" applyFill="1" applyBorder="1" applyAlignment="1" applyProtection="1">
      <alignment horizontal="center"/>
      <protection hidden="1"/>
    </xf>
    <xf numFmtId="200" fontId="20" fillId="0" borderId="130" xfId="0" applyNumberFormat="1" applyFont="1" applyFill="1" applyBorder="1" applyAlignment="1" applyProtection="1">
      <alignment horizontal="center"/>
      <protection hidden="1"/>
    </xf>
    <xf numFmtId="182" fontId="20" fillId="0" borderId="130" xfId="3" applyNumberFormat="1" applyFont="1" applyFill="1" applyBorder="1" applyAlignment="1" applyProtection="1">
      <alignment horizontal="center"/>
      <protection hidden="1"/>
    </xf>
    <xf numFmtId="179" fontId="20" fillId="0" borderId="130" xfId="3" applyNumberFormat="1" applyFont="1" applyFill="1" applyBorder="1" applyAlignment="1" applyProtection="1">
      <alignment horizontal="center"/>
      <protection hidden="1"/>
    </xf>
    <xf numFmtId="167" fontId="20" fillId="0" borderId="130" xfId="1" applyNumberFormat="1" applyFont="1" applyFill="1" applyBorder="1" applyAlignment="1" applyProtection="1">
      <alignment horizontal="center"/>
      <protection hidden="1"/>
    </xf>
    <xf numFmtId="2" fontId="20" fillId="0" borderId="130" xfId="3" applyNumberFormat="1" applyFont="1" applyFill="1" applyBorder="1" applyAlignment="1" applyProtection="1">
      <alignment horizontal="center"/>
      <protection hidden="1"/>
    </xf>
    <xf numFmtId="0" fontId="64" fillId="39" borderId="87" xfId="0" applyFont="1" applyFill="1" applyBorder="1" applyAlignment="1" applyProtection="1">
      <alignment horizontal="center"/>
      <protection hidden="1"/>
    </xf>
    <xf numFmtId="200" fontId="20" fillId="39" borderId="130" xfId="0" applyNumberFormat="1" applyFont="1" applyFill="1" applyBorder="1" applyAlignment="1" applyProtection="1">
      <alignment horizontal="center"/>
      <protection hidden="1"/>
    </xf>
    <xf numFmtId="182" fontId="20" fillId="39" borderId="130" xfId="3" applyNumberFormat="1" applyFont="1" applyFill="1" applyBorder="1" applyAlignment="1" applyProtection="1">
      <alignment horizontal="center"/>
      <protection hidden="1"/>
    </xf>
    <xf numFmtId="179" fontId="20" fillId="39" borderId="130" xfId="3" applyNumberFormat="1" applyFont="1" applyFill="1" applyBorder="1" applyAlignment="1" applyProtection="1">
      <alignment horizontal="center"/>
      <protection hidden="1"/>
    </xf>
    <xf numFmtId="167" fontId="20" fillId="39" borderId="130" xfId="1" applyNumberFormat="1" applyFont="1" applyFill="1" applyBorder="1" applyAlignment="1" applyProtection="1">
      <alignment horizontal="center"/>
      <protection hidden="1"/>
    </xf>
    <xf numFmtId="2" fontId="20" fillId="39" borderId="130" xfId="3" applyNumberFormat="1" applyFont="1" applyFill="1" applyBorder="1" applyAlignment="1" applyProtection="1">
      <alignment horizontal="center"/>
      <protection hidden="1"/>
    </xf>
    <xf numFmtId="0" fontId="64" fillId="0" borderId="87" xfId="0" applyFont="1" applyFill="1" applyBorder="1" applyAlignment="1" applyProtection="1">
      <alignment horizontal="center"/>
      <protection hidden="1"/>
    </xf>
    <xf numFmtId="0" fontId="20" fillId="39" borderId="65" xfId="0" applyFont="1" applyFill="1" applyBorder="1" applyAlignment="1" applyProtection="1">
      <alignment horizontal="center"/>
      <protection hidden="1"/>
    </xf>
    <xf numFmtId="200" fontId="20" fillId="39" borderId="131" xfId="0" applyNumberFormat="1" applyFont="1" applyFill="1" applyBorder="1" applyAlignment="1" applyProtection="1">
      <alignment horizontal="center"/>
      <protection hidden="1"/>
    </xf>
    <xf numFmtId="182" fontId="20" fillId="39" borderId="131" xfId="3" applyNumberFormat="1" applyFont="1" applyFill="1" applyBorder="1" applyAlignment="1" applyProtection="1">
      <alignment horizontal="center"/>
      <protection hidden="1"/>
    </xf>
    <xf numFmtId="179" fontId="20" fillId="39" borderId="131" xfId="3" applyNumberFormat="1" applyFont="1" applyFill="1" applyBorder="1" applyAlignment="1" applyProtection="1">
      <alignment horizontal="center"/>
      <protection hidden="1"/>
    </xf>
    <xf numFmtId="167" fontId="20" fillId="39" borderId="131" xfId="1" applyNumberFormat="1" applyFont="1" applyFill="1" applyBorder="1" applyAlignment="1" applyProtection="1">
      <alignment horizontal="center"/>
      <protection hidden="1"/>
    </xf>
    <xf numFmtId="2" fontId="20" fillId="39" borderId="131" xfId="3" applyNumberFormat="1" applyFont="1" applyFill="1" applyBorder="1" applyAlignment="1" applyProtection="1">
      <alignment horizontal="center"/>
      <protection hidden="1"/>
    </xf>
    <xf numFmtId="166" fontId="20" fillId="0" borderId="57" xfId="3" applyNumberFormat="1" applyFont="1" applyFill="1" applyBorder="1" applyAlignment="1" applyProtection="1">
      <alignment horizontal="center"/>
      <protection hidden="1"/>
    </xf>
    <xf numFmtId="166" fontId="20" fillId="39" borderId="8" xfId="3" applyNumberFormat="1" applyFont="1" applyFill="1" applyBorder="1" applyAlignment="1" applyProtection="1">
      <alignment horizontal="center"/>
      <protection hidden="1"/>
    </xf>
    <xf numFmtId="169" fontId="20" fillId="6" borderId="0" xfId="0" applyNumberFormat="1" applyFont="1" applyFill="1" applyProtection="1">
      <protection hidden="1"/>
    </xf>
    <xf numFmtId="186" fontId="20" fillId="0" borderId="59" xfId="0" applyNumberFormat="1" applyFont="1" applyFill="1" applyBorder="1" applyAlignment="1" applyProtection="1">
      <alignment horizontal="center"/>
      <protection hidden="1"/>
    </xf>
    <xf numFmtId="173" fontId="20" fillId="0" borderId="59" xfId="0" applyNumberFormat="1" applyFont="1" applyFill="1" applyBorder="1" applyAlignment="1" applyProtection="1">
      <alignment horizontal="center"/>
      <protection hidden="1"/>
    </xf>
    <xf numFmtId="166" fontId="20" fillId="0" borderId="8" xfId="0" applyNumberFormat="1" applyFont="1" applyFill="1" applyBorder="1" applyAlignment="1" applyProtection="1">
      <alignment horizontal="center"/>
      <protection hidden="1"/>
    </xf>
    <xf numFmtId="196" fontId="20" fillId="0" borderId="57" xfId="1" applyNumberFormat="1" applyFont="1" applyFill="1" applyBorder="1" applyAlignment="1" applyProtection="1">
      <alignment horizontal="center"/>
      <protection hidden="1"/>
    </xf>
    <xf numFmtId="196" fontId="20" fillId="39" borderId="59" xfId="1" applyNumberFormat="1" applyFont="1" applyFill="1" applyBorder="1" applyAlignment="1" applyProtection="1">
      <alignment horizontal="center"/>
      <protection hidden="1"/>
    </xf>
    <xf numFmtId="196" fontId="20" fillId="0" borderId="59" xfId="1" applyNumberFormat="1" applyFont="1" applyFill="1" applyBorder="1" applyAlignment="1" applyProtection="1">
      <alignment horizontal="center"/>
      <protection hidden="1"/>
    </xf>
    <xf numFmtId="196" fontId="20" fillId="39" borderId="60" xfId="1" applyNumberFormat="1" applyFont="1" applyFill="1" applyBorder="1" applyAlignment="1" applyProtection="1">
      <alignment horizontal="center"/>
      <protection hidden="1"/>
    </xf>
    <xf numFmtId="9" fontId="20" fillId="7" borderId="57" xfId="1" applyFont="1" applyFill="1" applyBorder="1" applyAlignment="1" applyProtection="1">
      <alignment horizontal="center"/>
      <protection locked="0" hidden="1"/>
    </xf>
    <xf numFmtId="9" fontId="20" fillId="7" borderId="59" xfId="1" applyFont="1" applyFill="1" applyBorder="1" applyAlignment="1" applyProtection="1">
      <alignment horizontal="center"/>
      <protection locked="0" hidden="1"/>
    </xf>
    <xf numFmtId="9" fontId="20" fillId="7" borderId="88" xfId="1" applyFont="1" applyFill="1" applyBorder="1" applyAlignment="1" applyProtection="1">
      <alignment horizontal="center"/>
      <protection locked="0" hidden="1"/>
    </xf>
    <xf numFmtId="9" fontId="20" fillId="7" borderId="60" xfId="1" applyFont="1" applyFill="1" applyBorder="1" applyAlignment="1" applyProtection="1">
      <alignment horizontal="center"/>
      <protection locked="0" hidden="1"/>
    </xf>
    <xf numFmtId="0" fontId="20" fillId="6" borderId="4" xfId="0" applyFont="1" applyFill="1" applyBorder="1" applyAlignment="1" applyProtection="1">
      <alignment horizontal="center" wrapText="1"/>
      <protection hidden="1"/>
    </xf>
    <xf numFmtId="3" fontId="20" fillId="7" borderId="132" xfId="0" applyNumberFormat="1" applyFont="1" applyFill="1" applyBorder="1" applyAlignment="1" applyProtection="1">
      <alignment horizontal="center"/>
      <protection locked="0" hidden="1"/>
    </xf>
    <xf numFmtId="3" fontId="64" fillId="7" borderId="107" xfId="0" applyNumberFormat="1" applyFont="1" applyFill="1" applyBorder="1" applyAlignment="1" applyProtection="1">
      <alignment horizontal="center"/>
      <protection locked="0" hidden="1"/>
    </xf>
    <xf numFmtId="3" fontId="20" fillId="7" borderId="133" xfId="0" applyNumberFormat="1" applyFont="1" applyFill="1" applyBorder="1" applyAlignment="1" applyProtection="1">
      <alignment horizontal="center"/>
      <protection locked="0" hidden="1"/>
    </xf>
    <xf numFmtId="0" fontId="22" fillId="22" borderId="1" xfId="0" applyFont="1" applyFill="1" applyBorder="1" applyAlignment="1" applyProtection="1">
      <alignment horizontal="center"/>
      <protection hidden="1"/>
    </xf>
    <xf numFmtId="0" fontId="22" fillId="22" borderId="4" xfId="0" applyFont="1" applyFill="1" applyBorder="1" applyAlignment="1" applyProtection="1">
      <alignment horizontal="center"/>
      <protection hidden="1"/>
    </xf>
    <xf numFmtId="9" fontId="20" fillId="0" borderId="7" xfId="0" applyNumberFormat="1" applyFont="1" applyFill="1" applyBorder="1" applyProtection="1">
      <protection hidden="1"/>
    </xf>
    <xf numFmtId="173" fontId="20" fillId="7" borderId="12" xfId="0" applyNumberFormat="1" applyFont="1" applyFill="1" applyBorder="1" applyAlignment="1" applyProtection="1">
      <alignment horizontal="center"/>
      <protection hidden="1"/>
    </xf>
    <xf numFmtId="9" fontId="20" fillId="39" borderId="7" xfId="0" applyNumberFormat="1" applyFont="1" applyFill="1" applyBorder="1" applyProtection="1">
      <protection hidden="1"/>
    </xf>
    <xf numFmtId="9" fontId="20" fillId="39" borderId="8" xfId="0" applyNumberFormat="1" applyFont="1" applyFill="1" applyBorder="1" applyProtection="1">
      <protection hidden="1"/>
    </xf>
    <xf numFmtId="173" fontId="20" fillId="7" borderId="15" xfId="0" applyNumberFormat="1" applyFont="1" applyFill="1" applyBorder="1" applyAlignment="1" applyProtection="1">
      <alignment horizontal="center"/>
      <protection hidden="1"/>
    </xf>
    <xf numFmtId="0" fontId="22" fillId="0" borderId="121" xfId="0" applyFont="1" applyFill="1" applyBorder="1" applyAlignment="1" applyProtection="1">
      <alignment horizontal="center" wrapText="1"/>
      <protection hidden="1"/>
    </xf>
    <xf numFmtId="3" fontId="20" fillId="0" borderId="123" xfId="0" applyNumberFormat="1" applyFont="1" applyFill="1" applyBorder="1" applyAlignment="1" applyProtection="1">
      <alignment horizontal="center"/>
      <protection locked="0" hidden="1"/>
    </xf>
    <xf numFmtId="202" fontId="20" fillId="0" borderId="71" xfId="0" applyNumberFormat="1" applyFont="1" applyFill="1" applyBorder="1" applyAlignment="1" applyProtection="1">
      <alignment horizontal="center"/>
      <protection hidden="1"/>
    </xf>
    <xf numFmtId="202" fontId="20" fillId="0" borderId="72" xfId="0" applyNumberFormat="1" applyFont="1" applyFill="1" applyBorder="1" applyAlignment="1" applyProtection="1">
      <alignment horizontal="center"/>
      <protection hidden="1"/>
    </xf>
    <xf numFmtId="202" fontId="20" fillId="0" borderId="62" xfId="0" applyNumberFormat="1" applyFont="1" applyFill="1" applyBorder="1" applyAlignment="1" applyProtection="1">
      <alignment horizontal="center"/>
      <protection hidden="1"/>
    </xf>
    <xf numFmtId="202" fontId="64" fillId="39" borderId="89" xfId="0" applyNumberFormat="1" applyFont="1" applyFill="1" applyBorder="1" applyAlignment="1" applyProtection="1">
      <alignment horizontal="center"/>
      <protection hidden="1"/>
    </xf>
    <xf numFmtId="202" fontId="64" fillId="39" borderId="90" xfId="0" applyNumberFormat="1" applyFont="1" applyFill="1" applyBorder="1" applyAlignment="1" applyProtection="1">
      <alignment horizontal="center"/>
      <protection hidden="1"/>
    </xf>
    <xf numFmtId="202" fontId="64" fillId="39" borderId="64" xfId="0" applyNumberFormat="1" applyFont="1" applyFill="1" applyBorder="1" applyAlignment="1" applyProtection="1">
      <alignment horizontal="center"/>
      <protection hidden="1"/>
    </xf>
    <xf numFmtId="202" fontId="20" fillId="0" borderId="89" xfId="0" applyNumberFormat="1" applyFont="1" applyFill="1" applyBorder="1" applyAlignment="1" applyProtection="1">
      <alignment horizontal="center"/>
      <protection hidden="1"/>
    </xf>
    <xf numFmtId="202" fontId="20" fillId="0" borderId="90" xfId="0" applyNumberFormat="1" applyFont="1" applyFill="1" applyBorder="1" applyAlignment="1" applyProtection="1">
      <alignment horizontal="center"/>
      <protection hidden="1"/>
    </xf>
    <xf numFmtId="202" fontId="20" fillId="0" borderId="64" xfId="0" applyNumberFormat="1" applyFont="1" applyFill="1" applyBorder="1" applyAlignment="1" applyProtection="1">
      <alignment horizontal="center"/>
      <protection hidden="1"/>
    </xf>
    <xf numFmtId="205" fontId="20" fillId="0" borderId="62" xfId="1" applyNumberFormat="1" applyFont="1" applyFill="1" applyBorder="1" applyAlignment="1" applyProtection="1">
      <alignment horizontal="center"/>
      <protection hidden="1"/>
    </xf>
    <xf numFmtId="205" fontId="20" fillId="39" borderId="95" xfId="1" applyNumberFormat="1" applyFont="1" applyFill="1" applyBorder="1" applyAlignment="1" applyProtection="1">
      <alignment horizontal="center"/>
      <protection hidden="1"/>
    </xf>
    <xf numFmtId="205" fontId="20" fillId="0" borderId="95" xfId="1" applyNumberFormat="1" applyFont="1" applyFill="1" applyBorder="1" applyAlignment="1" applyProtection="1">
      <alignment horizontal="center"/>
      <protection hidden="1"/>
    </xf>
    <xf numFmtId="205" fontId="20" fillId="0" borderId="64" xfId="1" applyNumberFormat="1" applyFont="1" applyFill="1" applyBorder="1" applyAlignment="1" applyProtection="1">
      <alignment horizontal="center"/>
      <protection hidden="1"/>
    </xf>
    <xf numFmtId="205" fontId="20" fillId="39" borderId="64" xfId="1" applyNumberFormat="1" applyFont="1" applyFill="1" applyBorder="1" applyAlignment="1" applyProtection="1">
      <alignment horizontal="center"/>
      <protection hidden="1"/>
    </xf>
    <xf numFmtId="205" fontId="20" fillId="39" borderId="120" xfId="1" applyNumberFormat="1" applyFont="1" applyFill="1" applyBorder="1" applyAlignment="1" applyProtection="1">
      <alignment horizontal="center"/>
      <protection hidden="1"/>
    </xf>
    <xf numFmtId="205" fontId="20" fillId="0" borderId="120" xfId="1" applyNumberFormat="1" applyFont="1" applyFill="1" applyBorder="1" applyAlignment="1" applyProtection="1">
      <alignment horizontal="center"/>
      <protection hidden="1"/>
    </xf>
    <xf numFmtId="205" fontId="20" fillId="39" borderId="66" xfId="1" applyNumberFormat="1" applyFont="1" applyFill="1" applyBorder="1" applyAlignment="1" applyProtection="1">
      <alignment horizontal="center"/>
      <protection hidden="1"/>
    </xf>
    <xf numFmtId="0" fontId="22" fillId="6" borderId="2" xfId="0" applyFont="1" applyFill="1" applyBorder="1" applyAlignment="1" applyProtection="1">
      <alignment horizontal="center" vertical="center" wrapText="1"/>
      <protection hidden="1"/>
    </xf>
    <xf numFmtId="0" fontId="22" fillId="6" borderId="4" xfId="0" applyFont="1" applyFill="1" applyBorder="1" applyAlignment="1" applyProtection="1">
      <alignment horizontal="center" vertical="center" wrapText="1"/>
      <protection hidden="1"/>
    </xf>
    <xf numFmtId="206" fontId="20" fillId="0" borderId="134" xfId="1" applyNumberFormat="1" applyFont="1" applyFill="1" applyBorder="1" applyAlignment="1" applyProtection="1">
      <alignment horizontal="center"/>
      <protection hidden="1"/>
    </xf>
    <xf numFmtId="207" fontId="20" fillId="0" borderId="134" xfId="1" applyNumberFormat="1" applyFont="1" applyFill="1" applyBorder="1" applyAlignment="1" applyProtection="1">
      <alignment horizontal="center"/>
      <protection hidden="1"/>
    </xf>
    <xf numFmtId="208" fontId="20" fillId="0" borderId="62" xfId="1" applyNumberFormat="1" applyFont="1" applyFill="1" applyBorder="1" applyAlignment="1" applyProtection="1">
      <alignment horizontal="center"/>
      <protection hidden="1"/>
    </xf>
    <xf numFmtId="205" fontId="20" fillId="0" borderId="71" xfId="1" applyNumberFormat="1" applyFont="1" applyFill="1" applyBorder="1" applyAlignment="1" applyProtection="1">
      <alignment horizontal="center"/>
      <protection hidden="1"/>
    </xf>
    <xf numFmtId="209" fontId="20" fillId="0" borderId="86" xfId="1" applyNumberFormat="1" applyFont="1" applyFill="1" applyBorder="1" applyAlignment="1" applyProtection="1">
      <alignment horizontal="center"/>
      <protection hidden="1"/>
    </xf>
    <xf numFmtId="210" fontId="20" fillId="0" borderId="62" xfId="1" applyNumberFormat="1" applyFont="1" applyFill="1" applyBorder="1" applyAlignment="1" applyProtection="1">
      <alignment horizontal="center"/>
      <protection hidden="1"/>
    </xf>
    <xf numFmtId="173" fontId="20" fillId="0" borderId="11" xfId="1" applyNumberFormat="1" applyFont="1" applyFill="1" applyBorder="1" applyAlignment="1" applyProtection="1">
      <alignment horizontal="center"/>
      <protection hidden="1"/>
    </xf>
    <xf numFmtId="173" fontId="20" fillId="0" borderId="12" xfId="1" applyNumberFormat="1" applyFont="1" applyFill="1" applyBorder="1" applyAlignment="1" applyProtection="1">
      <alignment horizontal="center"/>
      <protection hidden="1"/>
    </xf>
    <xf numFmtId="206" fontId="20" fillId="39" borderId="136" xfId="1" applyNumberFormat="1" applyFont="1" applyFill="1" applyBorder="1" applyAlignment="1" applyProtection="1">
      <alignment horizontal="center"/>
      <protection hidden="1"/>
    </xf>
    <xf numFmtId="207" fontId="20" fillId="39" borderId="136" xfId="1" applyNumberFormat="1" applyFont="1" applyFill="1" applyBorder="1" applyAlignment="1" applyProtection="1">
      <alignment horizontal="center"/>
      <protection hidden="1"/>
    </xf>
    <xf numFmtId="208" fontId="20" fillId="39" borderId="95" xfId="1" applyNumberFormat="1" applyFont="1" applyFill="1" applyBorder="1" applyAlignment="1" applyProtection="1">
      <alignment horizontal="center"/>
      <protection hidden="1"/>
    </xf>
    <xf numFmtId="205" fontId="20" fillId="39" borderId="93" xfId="1" applyNumberFormat="1" applyFont="1" applyFill="1" applyBorder="1" applyAlignment="1" applyProtection="1">
      <alignment horizontal="center"/>
      <protection hidden="1"/>
    </xf>
    <xf numFmtId="209" fontId="20" fillId="39" borderId="86" xfId="1" applyNumberFormat="1" applyFont="1" applyFill="1" applyBorder="1" applyAlignment="1" applyProtection="1">
      <alignment horizontal="center"/>
      <protection hidden="1"/>
    </xf>
    <xf numFmtId="210" fontId="20" fillId="39" borderId="64" xfId="1" applyNumberFormat="1" applyFont="1" applyFill="1" applyBorder="1" applyAlignment="1" applyProtection="1">
      <alignment horizontal="center"/>
      <protection hidden="1"/>
    </xf>
    <xf numFmtId="173" fontId="20" fillId="39" borderId="11" xfId="1" applyNumberFormat="1" applyFont="1" applyFill="1" applyBorder="1" applyAlignment="1" applyProtection="1">
      <alignment horizontal="center"/>
      <protection hidden="1"/>
    </xf>
    <xf numFmtId="173" fontId="20" fillId="39" borderId="12" xfId="1" applyNumberFormat="1" applyFont="1" applyFill="1" applyBorder="1" applyAlignment="1" applyProtection="1">
      <alignment horizontal="center"/>
      <protection hidden="1"/>
    </xf>
    <xf numFmtId="206" fontId="20" fillId="0" borderId="136" xfId="1" applyNumberFormat="1" applyFont="1" applyFill="1" applyBorder="1" applyAlignment="1" applyProtection="1">
      <alignment horizontal="center"/>
      <protection hidden="1"/>
    </xf>
    <xf numFmtId="207" fontId="20" fillId="0" borderId="136" xfId="1" applyNumberFormat="1" applyFont="1" applyFill="1" applyBorder="1" applyAlignment="1" applyProtection="1">
      <alignment horizontal="center"/>
      <protection hidden="1"/>
    </xf>
    <xf numFmtId="208" fontId="20" fillId="0" borderId="95" xfId="1" applyNumberFormat="1" applyFont="1" applyFill="1" applyBorder="1" applyAlignment="1" applyProtection="1">
      <alignment horizontal="center"/>
      <protection hidden="1"/>
    </xf>
    <xf numFmtId="205" fontId="20" fillId="0" borderId="93" xfId="1" applyNumberFormat="1" applyFont="1" applyFill="1" applyBorder="1" applyAlignment="1" applyProtection="1">
      <alignment horizontal="center"/>
      <protection hidden="1"/>
    </xf>
    <xf numFmtId="210" fontId="20" fillId="0" borderId="95" xfId="1" applyNumberFormat="1" applyFont="1" applyFill="1" applyBorder="1" applyAlignment="1" applyProtection="1">
      <alignment horizontal="center"/>
      <protection hidden="1"/>
    </xf>
    <xf numFmtId="210" fontId="20" fillId="39" borderId="95" xfId="1" applyNumberFormat="1" applyFont="1" applyFill="1" applyBorder="1" applyAlignment="1" applyProtection="1">
      <alignment horizontal="center"/>
      <protection hidden="1"/>
    </xf>
    <xf numFmtId="206" fontId="20" fillId="0" borderId="138" xfId="1" applyNumberFormat="1" applyFont="1" applyFill="1" applyBorder="1" applyAlignment="1" applyProtection="1">
      <alignment horizontal="center"/>
      <protection hidden="1"/>
    </xf>
    <xf numFmtId="207" fontId="20" fillId="0" borderId="138" xfId="1" applyNumberFormat="1" applyFont="1" applyFill="1" applyBorder="1" applyAlignment="1" applyProtection="1">
      <alignment horizontal="center"/>
      <protection hidden="1"/>
    </xf>
    <xf numFmtId="208" fontId="20" fillId="0" borderId="64" xfId="1" applyNumberFormat="1" applyFont="1" applyFill="1" applyBorder="1" applyAlignment="1" applyProtection="1">
      <alignment horizontal="center"/>
      <protection hidden="1"/>
    </xf>
    <xf numFmtId="205" fontId="20" fillId="0" borderId="89" xfId="1" applyNumberFormat="1" applyFont="1" applyFill="1" applyBorder="1" applyAlignment="1" applyProtection="1">
      <alignment horizontal="center"/>
      <protection hidden="1"/>
    </xf>
    <xf numFmtId="209" fontId="20" fillId="0" borderId="63" xfId="1" applyNumberFormat="1" applyFont="1" applyFill="1" applyBorder="1" applyAlignment="1" applyProtection="1">
      <alignment horizontal="center"/>
      <protection hidden="1"/>
    </xf>
    <xf numFmtId="210" fontId="20" fillId="0" borderId="64" xfId="1" applyNumberFormat="1" applyFont="1" applyFill="1" applyBorder="1" applyAlignment="1" applyProtection="1">
      <alignment horizontal="center"/>
      <protection hidden="1"/>
    </xf>
    <xf numFmtId="206" fontId="20" fillId="39" borderId="138" xfId="1" applyNumberFormat="1" applyFont="1" applyFill="1" applyBorder="1" applyAlignment="1" applyProtection="1">
      <alignment horizontal="center"/>
      <protection hidden="1"/>
    </xf>
    <xf numFmtId="207" fontId="20" fillId="39" borderId="138" xfId="1" applyNumberFormat="1" applyFont="1" applyFill="1" applyBorder="1" applyAlignment="1" applyProtection="1">
      <alignment horizontal="center"/>
      <protection hidden="1"/>
    </xf>
    <xf numFmtId="208" fontId="20" fillId="39" borderId="64" xfId="1" applyNumberFormat="1" applyFont="1" applyFill="1" applyBorder="1" applyAlignment="1" applyProtection="1">
      <alignment horizontal="center"/>
      <protection hidden="1"/>
    </xf>
    <xf numFmtId="205" fontId="20" fillId="39" borderId="89" xfId="1" applyNumberFormat="1" applyFont="1" applyFill="1" applyBorder="1" applyAlignment="1" applyProtection="1">
      <alignment horizontal="center"/>
      <protection hidden="1"/>
    </xf>
    <xf numFmtId="209" fontId="20" fillId="39" borderId="63" xfId="1" applyNumberFormat="1" applyFont="1" applyFill="1" applyBorder="1" applyAlignment="1" applyProtection="1">
      <alignment horizontal="center"/>
      <protection hidden="1"/>
    </xf>
    <xf numFmtId="206" fontId="20" fillId="39" borderId="140" xfId="1" applyNumberFormat="1" applyFont="1" applyFill="1" applyBorder="1" applyAlignment="1" applyProtection="1">
      <alignment horizontal="center"/>
      <protection hidden="1"/>
    </xf>
    <xf numFmtId="207" fontId="20" fillId="39" borderId="140" xfId="1" applyNumberFormat="1" applyFont="1" applyFill="1" applyBorder="1" applyAlignment="1" applyProtection="1">
      <alignment horizontal="center"/>
      <protection hidden="1"/>
    </xf>
    <xf numFmtId="208" fontId="20" fillId="39" borderId="66" xfId="1" applyNumberFormat="1" applyFont="1" applyFill="1" applyBorder="1" applyAlignment="1" applyProtection="1">
      <alignment horizontal="center"/>
      <protection hidden="1"/>
    </xf>
    <xf numFmtId="205" fontId="20" fillId="39" borderId="91" xfId="1" applyNumberFormat="1" applyFont="1" applyFill="1" applyBorder="1" applyAlignment="1" applyProtection="1">
      <alignment horizontal="center"/>
      <protection hidden="1"/>
    </xf>
    <xf numFmtId="209" fontId="20" fillId="39" borderId="65" xfId="1" applyNumberFormat="1" applyFont="1" applyFill="1" applyBorder="1" applyAlignment="1" applyProtection="1">
      <alignment horizontal="center"/>
      <protection hidden="1"/>
    </xf>
    <xf numFmtId="210" fontId="20" fillId="39" borderId="66" xfId="1" applyNumberFormat="1" applyFont="1" applyFill="1" applyBorder="1" applyAlignment="1" applyProtection="1">
      <alignment horizontal="center"/>
      <protection hidden="1"/>
    </xf>
    <xf numFmtId="173" fontId="20" fillId="39" borderId="13" xfId="1" applyNumberFormat="1" applyFont="1" applyFill="1" applyBorder="1" applyAlignment="1" applyProtection="1">
      <alignment horizontal="center"/>
      <protection hidden="1"/>
    </xf>
    <xf numFmtId="173" fontId="20" fillId="39" borderId="15" xfId="1" applyNumberFormat="1" applyFont="1" applyFill="1" applyBorder="1" applyAlignment="1" applyProtection="1">
      <alignment horizontal="center"/>
      <protection hidden="1"/>
    </xf>
    <xf numFmtId="200" fontId="20" fillId="6" borderId="0" xfId="0" applyNumberFormat="1" applyFont="1" applyFill="1" applyProtection="1">
      <protection hidden="1"/>
    </xf>
    <xf numFmtId="0" fontId="88" fillId="6" borderId="0" xfId="0" applyFont="1" applyFill="1" applyProtection="1">
      <protection locked="0" hidden="1"/>
    </xf>
    <xf numFmtId="0" fontId="0" fillId="6" borderId="0" xfId="0" applyFill="1" applyProtection="1">
      <protection hidden="1"/>
    </xf>
    <xf numFmtId="0" fontId="89" fillId="6" borderId="0" xfId="0" applyFont="1" applyFill="1" applyAlignment="1" applyProtection="1">
      <alignment horizontal="left" indent="3"/>
      <protection hidden="1"/>
    </xf>
    <xf numFmtId="0" fontId="20" fillId="39" borderId="9" xfId="0" applyFont="1" applyFill="1" applyBorder="1" applyProtection="1">
      <protection hidden="1"/>
    </xf>
    <xf numFmtId="200" fontId="20" fillId="39" borderId="6" xfId="0" applyNumberFormat="1" applyFont="1" applyFill="1" applyBorder="1" applyAlignment="1" applyProtection="1">
      <alignment horizontal="center"/>
      <protection hidden="1"/>
    </xf>
    <xf numFmtId="0" fontId="0" fillId="6" borderId="0" xfId="0" applyFill="1" applyBorder="1" applyAlignment="1" applyProtection="1">
      <protection hidden="1"/>
    </xf>
    <xf numFmtId="3" fontId="0" fillId="6" borderId="0" xfId="0" applyNumberFormat="1" applyFill="1" applyBorder="1" applyAlignment="1" applyProtection="1">
      <protection hidden="1"/>
    </xf>
    <xf numFmtId="165" fontId="20" fillId="39" borderId="7" xfId="0" applyNumberFormat="1" applyFont="1" applyFill="1" applyBorder="1" applyAlignment="1" applyProtection="1">
      <alignment horizontal="center"/>
      <protection hidden="1"/>
    </xf>
    <xf numFmtId="186" fontId="0" fillId="6" borderId="0" xfId="0" applyNumberFormat="1" applyFill="1" applyBorder="1" applyAlignment="1" applyProtection="1">
      <protection hidden="1"/>
    </xf>
    <xf numFmtId="187" fontId="20" fillId="0" borderId="7" xfId="0" applyNumberFormat="1" applyFont="1" applyFill="1" applyBorder="1" applyAlignment="1" applyProtection="1">
      <alignment horizontal="center"/>
      <protection hidden="1"/>
    </xf>
    <xf numFmtId="187" fontId="0" fillId="6" borderId="0" xfId="0" applyNumberFormat="1" applyFill="1" applyBorder="1" applyAlignment="1" applyProtection="1">
      <protection hidden="1"/>
    </xf>
    <xf numFmtId="173" fontId="0" fillId="6" borderId="0" xfId="0" applyNumberFormat="1" applyFill="1" applyBorder="1" applyAlignment="1" applyProtection="1">
      <protection hidden="1"/>
    </xf>
    <xf numFmtId="179" fontId="20" fillId="7" borderId="8" xfId="0" applyNumberFormat="1" applyFont="1" applyFill="1" applyBorder="1" applyAlignment="1" applyProtection="1">
      <alignment horizontal="center"/>
      <protection hidden="1"/>
    </xf>
    <xf numFmtId="0" fontId="0" fillId="6" borderId="0" xfId="0" applyFill="1" applyAlignment="1" applyProtection="1">
      <protection hidden="1"/>
    </xf>
    <xf numFmtId="9" fontId="20" fillId="39" borderId="59" xfId="1" applyFont="1" applyFill="1" applyBorder="1" applyAlignment="1" applyProtection="1">
      <alignment horizontal="center"/>
      <protection hidden="1"/>
    </xf>
    <xf numFmtId="0" fontId="0" fillId="6" borderId="0" xfId="0" applyFill="1" applyAlignment="1" applyProtection="1">
      <alignment horizontal="left" indent="2"/>
      <protection hidden="1"/>
    </xf>
    <xf numFmtId="4" fontId="20" fillId="0" borderId="6" xfId="0" applyNumberFormat="1" applyFont="1" applyFill="1" applyBorder="1" applyAlignment="1" applyProtection="1">
      <alignment horizontal="center"/>
      <protection hidden="1"/>
    </xf>
    <xf numFmtId="3" fontId="20" fillId="0" borderId="8" xfId="0" applyNumberFormat="1" applyFont="1" applyFill="1" applyBorder="1" applyAlignment="1" applyProtection="1">
      <alignment horizontal="center"/>
      <protection hidden="1"/>
    </xf>
    <xf numFmtId="0" fontId="4" fillId="6" borderId="9" xfId="0" applyFont="1" applyFill="1" applyBorder="1" applyAlignment="1" applyProtection="1">
      <alignment vertical="center"/>
      <protection hidden="1"/>
    </xf>
    <xf numFmtId="0" fontId="4" fillId="6" borderId="6" xfId="0" applyFont="1" applyFill="1" applyBorder="1" applyAlignment="1" applyProtection="1">
      <alignment horizontal="center" vertical="center" wrapText="1"/>
      <protection hidden="1"/>
    </xf>
    <xf numFmtId="0" fontId="0" fillId="0" borderId="9" xfId="0" applyFill="1" applyBorder="1" applyAlignment="1" applyProtection="1">
      <protection hidden="1"/>
    </xf>
    <xf numFmtId="0" fontId="0" fillId="39" borderId="11" xfId="0" applyFill="1" applyBorder="1" applyAlignment="1" applyProtection="1">
      <protection hidden="1"/>
    </xf>
    <xf numFmtId="0" fontId="0" fillId="0" borderId="11" xfId="0" applyFill="1" applyBorder="1" applyAlignment="1" applyProtection="1">
      <protection hidden="1"/>
    </xf>
    <xf numFmtId="0" fontId="0" fillId="39" borderId="13" xfId="0" applyFill="1" applyBorder="1" applyAlignment="1" applyProtection="1">
      <protection hidden="1"/>
    </xf>
    <xf numFmtId="1" fontId="20" fillId="39" borderId="8" xfId="1" applyNumberFormat="1" applyFont="1" applyFill="1" applyBorder="1" applyAlignment="1" applyProtection="1">
      <alignment horizontal="center"/>
      <protection hidden="1"/>
    </xf>
    <xf numFmtId="0" fontId="4" fillId="6" borderId="67" xfId="0" applyFont="1" applyFill="1" applyBorder="1" applyAlignment="1" applyProtection="1">
      <alignment horizontal="center" vertical="center" wrapText="1"/>
      <protection hidden="1"/>
    </xf>
    <xf numFmtId="0" fontId="4" fillId="6" borderId="68" xfId="0" applyFont="1" applyFill="1" applyBorder="1" applyAlignment="1" applyProtection="1">
      <alignment horizontal="center" vertical="center" wrapText="1"/>
      <protection hidden="1"/>
    </xf>
    <xf numFmtId="0" fontId="4" fillId="6" borderId="70" xfId="0" applyFont="1" applyFill="1" applyBorder="1" applyAlignment="1" applyProtection="1">
      <alignment horizontal="center" vertical="center" wrapText="1"/>
      <protection hidden="1"/>
    </xf>
    <xf numFmtId="0" fontId="0" fillId="0" borderId="57" xfId="0" applyFill="1" applyBorder="1" applyProtection="1">
      <protection hidden="1"/>
    </xf>
    <xf numFmtId="9" fontId="20" fillId="0" borderId="71" xfId="1" applyNumberFormat="1" applyFont="1" applyFill="1" applyBorder="1" applyAlignment="1" applyProtection="1">
      <alignment horizontal="center"/>
      <protection locked="0"/>
    </xf>
    <xf numFmtId="9" fontId="20" fillId="0" borderId="72" xfId="1" applyNumberFormat="1" applyFont="1" applyFill="1" applyBorder="1" applyAlignment="1" applyProtection="1">
      <alignment horizontal="center"/>
      <protection locked="0"/>
    </xf>
    <xf numFmtId="9" fontId="20" fillId="0" borderId="62" xfId="1" applyNumberFormat="1" applyFont="1" applyFill="1" applyBorder="1" applyAlignment="1" applyProtection="1">
      <alignment horizontal="center"/>
      <protection locked="0"/>
    </xf>
    <xf numFmtId="0" fontId="0" fillId="39" borderId="59" xfId="0" applyFill="1" applyBorder="1" applyProtection="1">
      <protection hidden="1"/>
    </xf>
    <xf numFmtId="9" fontId="20" fillId="39" borderId="89" xfId="1" applyNumberFormat="1" applyFont="1" applyFill="1" applyBorder="1" applyAlignment="1" applyProtection="1">
      <alignment horizontal="center"/>
      <protection locked="0"/>
    </xf>
    <xf numFmtId="9" fontId="20" fillId="39" borderId="90" xfId="1" applyNumberFormat="1" applyFont="1" applyFill="1" applyBorder="1" applyAlignment="1" applyProtection="1">
      <alignment horizontal="center"/>
      <protection locked="0"/>
    </xf>
    <xf numFmtId="9" fontId="20" fillId="39" borderId="64" xfId="1" applyNumberFormat="1" applyFont="1" applyFill="1" applyBorder="1" applyAlignment="1" applyProtection="1">
      <alignment horizontal="center"/>
      <protection locked="0"/>
    </xf>
    <xf numFmtId="0" fontId="0" fillId="0" borderId="60" xfId="0" applyFill="1" applyBorder="1" applyProtection="1">
      <protection hidden="1"/>
    </xf>
    <xf numFmtId="9" fontId="20" fillId="0" borderId="91" xfId="1" applyNumberFormat="1" applyFont="1" applyFill="1" applyBorder="1" applyAlignment="1" applyProtection="1">
      <alignment horizontal="center"/>
      <protection locked="0"/>
    </xf>
    <xf numFmtId="9" fontId="20" fillId="0" borderId="92" xfId="1" applyNumberFormat="1" applyFont="1" applyFill="1" applyBorder="1" applyAlignment="1" applyProtection="1">
      <alignment horizontal="center"/>
      <protection locked="0"/>
    </xf>
    <xf numFmtId="9" fontId="20" fillId="0" borderId="66" xfId="1" applyNumberFormat="1" applyFont="1" applyFill="1" applyBorder="1" applyAlignment="1" applyProtection="1">
      <alignment horizontal="center"/>
      <protection locked="0"/>
    </xf>
    <xf numFmtId="0" fontId="4" fillId="6" borderId="6" xfId="0" applyFont="1" applyFill="1" applyBorder="1" applyAlignment="1" applyProtection="1">
      <alignment horizontal="left" vertical="center"/>
      <protection hidden="1"/>
    </xf>
    <xf numFmtId="0" fontId="4" fillId="6" borderId="1" xfId="0" applyFont="1" applyFill="1" applyBorder="1" applyAlignment="1" applyProtection="1">
      <alignment horizontal="center" vertical="center" wrapText="1"/>
      <protection hidden="1"/>
    </xf>
    <xf numFmtId="0" fontId="0" fillId="0" borderId="61" xfId="0" applyFill="1" applyBorder="1" applyAlignment="1" applyProtection="1">
      <protection hidden="1"/>
    </xf>
    <xf numFmtId="9" fontId="20" fillId="7" borderId="57" xfId="1" applyFont="1" applyFill="1" applyBorder="1" applyAlignment="1" applyProtection="1">
      <alignment horizontal="center"/>
      <protection locked="0"/>
    </xf>
    <xf numFmtId="0" fontId="0" fillId="39" borderId="65" xfId="0" applyFill="1" applyBorder="1" applyAlignment="1" applyProtection="1">
      <protection hidden="1"/>
    </xf>
    <xf numFmtId="9" fontId="20" fillId="7" borderId="60" xfId="1" applyFont="1" applyFill="1" applyBorder="1" applyAlignment="1" applyProtection="1">
      <alignment horizontal="center"/>
      <protection locked="0"/>
    </xf>
    <xf numFmtId="3" fontId="20" fillId="7" borderId="61" xfId="0" applyNumberFormat="1" applyFont="1" applyFill="1" applyBorder="1" applyAlignment="1" applyProtection="1">
      <alignment horizontal="center"/>
      <protection locked="0"/>
    </xf>
    <xf numFmtId="174" fontId="20" fillId="7" borderId="62" xfId="0" applyNumberFormat="1" applyFont="1" applyFill="1" applyBorder="1" applyAlignment="1" applyProtection="1">
      <alignment horizontal="center"/>
      <protection locked="0"/>
    </xf>
    <xf numFmtId="196" fontId="0" fillId="6" borderId="0" xfId="0" applyNumberFormat="1" applyFill="1" applyProtection="1">
      <protection hidden="1"/>
    </xf>
    <xf numFmtId="0" fontId="0" fillId="39" borderId="63" xfId="0" applyFill="1" applyBorder="1" applyAlignment="1" applyProtection="1">
      <protection hidden="1"/>
    </xf>
    <xf numFmtId="3" fontId="20" fillId="7" borderId="63" xfId="0" applyNumberFormat="1" applyFont="1" applyFill="1" applyBorder="1" applyAlignment="1" applyProtection="1">
      <alignment horizontal="center"/>
      <protection locked="0"/>
    </xf>
    <xf numFmtId="174" fontId="20" fillId="7" borderId="64" xfId="0" applyNumberFormat="1" applyFont="1" applyFill="1" applyBorder="1" applyAlignment="1" applyProtection="1">
      <alignment horizontal="center"/>
      <protection locked="0"/>
    </xf>
    <xf numFmtId="0" fontId="0" fillId="0" borderId="63" xfId="0" applyFill="1" applyBorder="1" applyAlignment="1" applyProtection="1">
      <protection hidden="1"/>
    </xf>
    <xf numFmtId="3" fontId="20" fillId="7" borderId="87" xfId="0" applyNumberFormat="1" applyFont="1" applyFill="1" applyBorder="1" applyAlignment="1" applyProtection="1">
      <alignment horizontal="center"/>
      <protection locked="0"/>
    </xf>
    <xf numFmtId="174" fontId="20" fillId="7" borderId="120" xfId="0" applyNumberFormat="1" applyFont="1" applyFill="1" applyBorder="1" applyAlignment="1" applyProtection="1">
      <alignment horizontal="center"/>
      <protection locked="0"/>
    </xf>
    <xf numFmtId="3" fontId="20" fillId="11" borderId="63" xfId="0" applyNumberFormat="1" applyFont="1" applyFill="1" applyBorder="1" applyAlignment="1" applyProtection="1">
      <alignment horizontal="center"/>
      <protection locked="0"/>
    </xf>
    <xf numFmtId="174" fontId="20" fillId="11" borderId="64" xfId="0" applyNumberFormat="1" applyFont="1" applyFill="1" applyBorder="1" applyAlignment="1" applyProtection="1">
      <alignment horizontal="center"/>
      <protection locked="0"/>
    </xf>
    <xf numFmtId="0" fontId="0" fillId="20" borderId="9" xfId="0" applyFill="1" applyBorder="1" applyProtection="1">
      <protection locked="0"/>
    </xf>
    <xf numFmtId="0" fontId="20" fillId="20" borderId="10" xfId="0" applyFont="1" applyFill="1" applyBorder="1" applyProtection="1">
      <protection hidden="1"/>
    </xf>
    <xf numFmtId="0" fontId="20" fillId="20" borderId="9" xfId="0" applyFont="1" applyFill="1" applyBorder="1" applyProtection="1">
      <protection hidden="1"/>
    </xf>
    <xf numFmtId="0" fontId="0" fillId="20" borderId="11" xfId="0" applyFill="1" applyBorder="1" applyProtection="1">
      <protection locked="0"/>
    </xf>
    <xf numFmtId="0" fontId="20" fillId="20" borderId="12" xfId="0" applyFont="1" applyFill="1" applyBorder="1" applyProtection="1">
      <protection hidden="1"/>
    </xf>
    <xf numFmtId="0" fontId="20" fillId="20" borderId="11" xfId="0" applyFont="1" applyFill="1" applyBorder="1" applyProtection="1">
      <protection hidden="1"/>
    </xf>
    <xf numFmtId="0" fontId="0" fillId="20" borderId="12" xfId="0" applyFill="1" applyBorder="1" applyProtection="1">
      <protection locked="0"/>
    </xf>
    <xf numFmtId="3" fontId="20" fillId="7" borderId="86" xfId="0" applyNumberFormat="1" applyFont="1" applyFill="1" applyBorder="1" applyAlignment="1" applyProtection="1">
      <alignment horizontal="center"/>
      <protection locked="0"/>
    </xf>
    <xf numFmtId="174" fontId="20" fillId="7" borderId="95" xfId="0" applyNumberFormat="1" applyFont="1" applyFill="1" applyBorder="1" applyAlignment="1" applyProtection="1">
      <alignment horizontal="center"/>
      <protection locked="0"/>
    </xf>
    <xf numFmtId="0" fontId="0" fillId="20" borderId="11" xfId="0" applyFill="1" applyBorder="1" applyProtection="1">
      <protection hidden="1"/>
    </xf>
    <xf numFmtId="0" fontId="0" fillId="20" borderId="12" xfId="0" applyFill="1" applyBorder="1" applyProtection="1">
      <protection hidden="1"/>
    </xf>
    <xf numFmtId="3" fontId="20" fillId="7" borderId="65" xfId="0" applyNumberFormat="1" applyFont="1" applyFill="1" applyBorder="1" applyAlignment="1" applyProtection="1">
      <alignment horizontal="center"/>
      <protection locked="0"/>
    </xf>
    <xf numFmtId="174" fontId="20" fillId="7" borderId="66" xfId="0" applyNumberFormat="1" applyFont="1" applyFill="1" applyBorder="1" applyAlignment="1" applyProtection="1">
      <alignment horizontal="center"/>
      <protection locked="0"/>
    </xf>
    <xf numFmtId="0" fontId="20" fillId="11" borderId="0" xfId="0" applyFont="1" applyFill="1" applyProtection="1">
      <protection hidden="1"/>
    </xf>
    <xf numFmtId="0" fontId="22" fillId="6" borderId="9" xfId="0" applyFont="1" applyFill="1" applyBorder="1" applyProtection="1">
      <protection hidden="1"/>
    </xf>
    <xf numFmtId="0" fontId="4" fillId="6" borderId="57" xfId="0" applyFont="1" applyFill="1" applyBorder="1" applyAlignment="1" applyProtection="1">
      <alignment horizontal="center" wrapText="1"/>
      <protection hidden="1"/>
    </xf>
    <xf numFmtId="9" fontId="0" fillId="0" borderId="63" xfId="0" applyNumberFormat="1" applyFill="1" applyBorder="1" applyAlignment="1" applyProtection="1">
      <alignment horizontal="right"/>
      <protection hidden="1"/>
    </xf>
    <xf numFmtId="166" fontId="20" fillId="7" borderId="59" xfId="0" applyNumberFormat="1" applyFont="1" applyFill="1" applyBorder="1" applyAlignment="1" applyProtection="1">
      <alignment horizontal="center"/>
      <protection locked="0"/>
    </xf>
    <xf numFmtId="9" fontId="20" fillId="39" borderId="11" xfId="0" applyNumberFormat="1" applyFont="1" applyFill="1" applyBorder="1" applyAlignment="1" applyProtection="1">
      <alignment horizontal="right"/>
      <protection hidden="1"/>
    </xf>
    <xf numFmtId="166" fontId="20" fillId="7" borderId="7" xfId="0" applyNumberFormat="1" applyFont="1" applyFill="1" applyBorder="1" applyAlignment="1" applyProtection="1">
      <alignment horizontal="center"/>
      <protection hidden="1"/>
    </xf>
    <xf numFmtId="9" fontId="20" fillId="0" borderId="13" xfId="0" applyNumberFormat="1" applyFont="1" applyFill="1" applyBorder="1" applyAlignment="1" applyProtection="1">
      <alignment horizontal="right"/>
      <protection hidden="1"/>
    </xf>
    <xf numFmtId="166" fontId="20" fillId="7" borderId="8" xfId="0" applyNumberFormat="1" applyFont="1" applyFill="1" applyBorder="1" applyAlignment="1" applyProtection="1">
      <alignment horizontal="center"/>
      <protection hidden="1"/>
    </xf>
    <xf numFmtId="0" fontId="4" fillId="6" borderId="0" xfId="0" applyFont="1" applyFill="1" applyBorder="1" applyAlignment="1" applyProtection="1">
      <alignment horizontal="center"/>
      <protection hidden="1"/>
    </xf>
    <xf numFmtId="0" fontId="4" fillId="6" borderId="6" xfId="0" applyFont="1" applyFill="1" applyBorder="1" applyAlignment="1" applyProtection="1">
      <alignment horizontal="left" wrapText="1"/>
      <protection hidden="1"/>
    </xf>
    <xf numFmtId="0" fontId="4" fillId="6" borderId="1" xfId="0" applyFont="1" applyFill="1" applyBorder="1" applyAlignment="1" applyProtection="1">
      <alignment horizontal="center" wrapText="1"/>
      <protection hidden="1"/>
    </xf>
    <xf numFmtId="0" fontId="5" fillId="6" borderId="0" xfId="0" applyFont="1" applyFill="1" applyBorder="1" applyAlignment="1" applyProtection="1">
      <protection hidden="1"/>
    </xf>
    <xf numFmtId="3" fontId="0" fillId="6" borderId="0" xfId="0" applyNumberFormat="1" applyFill="1" applyProtection="1">
      <protection hidden="1"/>
    </xf>
    <xf numFmtId="6" fontId="20" fillId="0" borderId="57" xfId="1" applyNumberFormat="1" applyFont="1" applyFill="1" applyBorder="1" applyAlignment="1" applyProtection="1">
      <protection hidden="1"/>
    </xf>
    <xf numFmtId="8" fontId="91" fillId="6" borderId="0" xfId="1" applyNumberFormat="1" applyFont="1" applyFill="1" applyBorder="1" applyAlignment="1" applyProtection="1">
      <protection hidden="1"/>
    </xf>
    <xf numFmtId="6" fontId="20" fillId="39" borderId="60" xfId="1" applyNumberFormat="1" applyFont="1" applyFill="1" applyBorder="1" applyAlignment="1" applyProtection="1">
      <protection hidden="1"/>
    </xf>
    <xf numFmtId="0" fontId="4" fillId="6" borderId="14" xfId="0" applyFont="1" applyFill="1" applyBorder="1" applyAlignment="1" applyProtection="1">
      <alignment wrapText="1"/>
      <protection hidden="1"/>
    </xf>
    <xf numFmtId="0" fontId="4" fillId="6" borderId="8" xfId="0" applyFont="1" applyFill="1" applyBorder="1" applyAlignment="1" applyProtection="1">
      <alignment horizontal="left" vertical="center"/>
      <protection hidden="1"/>
    </xf>
    <xf numFmtId="0" fontId="4" fillId="6" borderId="6" xfId="0" applyFont="1" applyFill="1" applyBorder="1" applyAlignment="1" applyProtection="1">
      <alignment vertical="center"/>
      <protection hidden="1"/>
    </xf>
    <xf numFmtId="3" fontId="20" fillId="39" borderId="57" xfId="0" applyNumberFormat="1" applyFont="1" applyFill="1" applyBorder="1" applyAlignment="1" applyProtection="1">
      <alignment horizontal="center"/>
      <protection locked="0"/>
    </xf>
    <xf numFmtId="3" fontId="64" fillId="39" borderId="59" xfId="0" applyNumberFormat="1" applyFont="1" applyFill="1" applyBorder="1" applyAlignment="1" applyProtection="1">
      <alignment horizontal="center"/>
      <protection locked="0"/>
    </xf>
    <xf numFmtId="3" fontId="20" fillId="39" borderId="59" xfId="0" applyNumberFormat="1" applyFont="1" applyFill="1" applyBorder="1" applyAlignment="1" applyProtection="1">
      <alignment horizontal="center"/>
      <protection locked="0"/>
    </xf>
    <xf numFmtId="0" fontId="0" fillId="0" borderId="65" xfId="0" applyFill="1" applyBorder="1" applyAlignment="1" applyProtection="1">
      <protection hidden="1"/>
    </xf>
    <xf numFmtId="0" fontId="92" fillId="6" borderId="0" xfId="0" applyFont="1" applyFill="1" applyProtection="1">
      <protection hidden="1"/>
    </xf>
    <xf numFmtId="0" fontId="56" fillId="6" borderId="0" xfId="0" applyFont="1" applyFill="1" applyAlignment="1" applyProtection="1">
      <alignment vertical="top"/>
      <protection hidden="1"/>
    </xf>
    <xf numFmtId="0" fontId="0" fillId="20" borderId="13" xfId="0" applyFill="1" applyBorder="1" applyProtection="1">
      <protection hidden="1"/>
    </xf>
    <xf numFmtId="0" fontId="0" fillId="20" borderId="15" xfId="0" applyFill="1" applyBorder="1" applyProtection="1">
      <protection hidden="1"/>
    </xf>
    <xf numFmtId="0" fontId="78" fillId="6" borderId="0" xfId="0" applyFont="1" applyFill="1" applyBorder="1" applyAlignment="1" applyProtection="1">
      <alignment wrapText="1"/>
      <protection hidden="1"/>
    </xf>
    <xf numFmtId="0" fontId="90" fillId="6" borderId="0" xfId="0" applyFont="1" applyFill="1" applyBorder="1" applyAlignment="1" applyProtection="1">
      <protection hidden="1"/>
    </xf>
    <xf numFmtId="0" fontId="4" fillId="6" borderId="0" xfId="0" applyFont="1" applyFill="1" applyBorder="1" applyAlignment="1" applyProtection="1">
      <protection hidden="1"/>
    </xf>
    <xf numFmtId="0" fontId="0" fillId="6" borderId="0" xfId="0" applyFill="1" applyBorder="1" applyAlignment="1" applyProtection="1">
      <alignment horizontal="center" vertical="center" wrapText="1"/>
      <protection hidden="1"/>
    </xf>
    <xf numFmtId="0" fontId="0" fillId="6" borderId="0" xfId="0" applyFont="1" applyFill="1" applyBorder="1" applyAlignment="1" applyProtection="1">
      <alignment vertical="center" wrapText="1"/>
      <protection hidden="1"/>
    </xf>
    <xf numFmtId="0" fontId="0" fillId="6" borderId="0" xfId="0" applyFill="1" applyBorder="1" applyAlignment="1" applyProtection="1">
      <alignment vertical="center" wrapText="1"/>
      <protection hidden="1"/>
    </xf>
    <xf numFmtId="0" fontId="4" fillId="6" borderId="2" xfId="0" applyFont="1" applyFill="1" applyBorder="1" applyAlignment="1" applyProtection="1">
      <alignment horizontal="left" vertical="center"/>
      <protection hidden="1"/>
    </xf>
    <xf numFmtId="0" fontId="0" fillId="6" borderId="0" xfId="0" applyFont="1" applyFill="1" applyBorder="1" applyAlignment="1" applyProtection="1">
      <alignment horizontal="center" vertical="center" wrapText="1"/>
      <protection hidden="1"/>
    </xf>
    <xf numFmtId="0" fontId="0" fillId="0" borderId="61" xfId="0" applyFill="1" applyBorder="1" applyAlignment="1" applyProtection="1">
      <alignment horizontal="center"/>
      <protection hidden="1"/>
    </xf>
    <xf numFmtId="209" fontId="20" fillId="0" borderId="72" xfId="0" applyNumberFormat="1" applyFont="1" applyFill="1" applyBorder="1" applyAlignment="1" applyProtection="1">
      <alignment horizontal="center"/>
      <protection hidden="1"/>
    </xf>
    <xf numFmtId="208" fontId="20" fillId="0" borderId="62" xfId="0" applyNumberFormat="1" applyFont="1" applyFill="1" applyBorder="1" applyAlignment="1" applyProtection="1">
      <alignment horizontal="center"/>
      <protection hidden="1"/>
    </xf>
    <xf numFmtId="0" fontId="0" fillId="39" borderId="63" xfId="0" applyFill="1" applyBorder="1" applyAlignment="1" applyProtection="1">
      <alignment horizontal="center"/>
      <protection hidden="1"/>
    </xf>
    <xf numFmtId="209" fontId="64" fillId="39" borderId="90" xfId="0" applyNumberFormat="1" applyFont="1" applyFill="1" applyBorder="1" applyAlignment="1" applyProtection="1">
      <alignment horizontal="center"/>
      <protection hidden="1"/>
    </xf>
    <xf numFmtId="208" fontId="64" fillId="39" borderId="64" xfId="0" applyNumberFormat="1" applyFont="1" applyFill="1" applyBorder="1" applyAlignment="1" applyProtection="1">
      <alignment horizontal="center"/>
      <protection hidden="1"/>
    </xf>
    <xf numFmtId="0" fontId="0" fillId="0" borderId="63" xfId="0" applyFill="1" applyBorder="1" applyAlignment="1" applyProtection="1">
      <alignment horizontal="center"/>
      <protection hidden="1"/>
    </xf>
    <xf numFmtId="209" fontId="20" fillId="0" borderId="90" xfId="0" applyNumberFormat="1" applyFont="1" applyFill="1" applyBorder="1" applyAlignment="1" applyProtection="1">
      <alignment horizontal="center"/>
      <protection hidden="1"/>
    </xf>
    <xf numFmtId="208" fontId="20" fillId="0" borderId="64" xfId="0" applyNumberFormat="1" applyFont="1" applyFill="1" applyBorder="1" applyAlignment="1" applyProtection="1">
      <alignment horizontal="center"/>
      <protection hidden="1"/>
    </xf>
    <xf numFmtId="0" fontId="0" fillId="0" borderId="87" xfId="0" applyFill="1" applyBorder="1" applyAlignment="1" applyProtection="1">
      <alignment horizontal="center"/>
      <protection hidden="1"/>
    </xf>
    <xf numFmtId="202" fontId="20" fillId="0" borderId="127" xfId="0" applyNumberFormat="1" applyFont="1" applyFill="1" applyBorder="1" applyAlignment="1" applyProtection="1">
      <alignment horizontal="center"/>
      <protection hidden="1"/>
    </xf>
    <xf numFmtId="209" fontId="20" fillId="0" borderId="125" xfId="0" applyNumberFormat="1" applyFont="1" applyFill="1" applyBorder="1" applyAlignment="1" applyProtection="1">
      <alignment horizontal="center"/>
      <protection hidden="1"/>
    </xf>
    <xf numFmtId="203" fontId="20" fillId="0" borderId="125" xfId="0" applyNumberFormat="1" applyFont="1" applyFill="1" applyBorder="1" applyAlignment="1" applyProtection="1">
      <alignment horizontal="center"/>
      <protection hidden="1"/>
    </xf>
    <xf numFmtId="208" fontId="20" fillId="0" borderId="120" xfId="0" applyNumberFormat="1" applyFont="1" applyFill="1" applyBorder="1" applyAlignment="1" applyProtection="1">
      <alignment horizontal="center"/>
      <protection hidden="1"/>
    </xf>
    <xf numFmtId="0" fontId="4" fillId="6" borderId="75" xfId="0" applyFont="1" applyFill="1" applyBorder="1" applyAlignment="1" applyProtection="1">
      <alignment horizontal="center" vertical="center" wrapText="1"/>
      <protection hidden="1"/>
    </xf>
    <xf numFmtId="0" fontId="4" fillId="6" borderId="77" xfId="0" applyFont="1" applyFill="1" applyBorder="1" applyAlignment="1" applyProtection="1">
      <alignment horizontal="center" vertical="center" wrapText="1"/>
      <protection hidden="1"/>
    </xf>
    <xf numFmtId="0" fontId="4" fillId="6" borderId="74" xfId="0" applyFont="1" applyFill="1" applyBorder="1" applyAlignment="1" applyProtection="1">
      <alignment horizontal="center" vertical="center" wrapText="1"/>
      <protection hidden="1"/>
    </xf>
    <xf numFmtId="0" fontId="4" fillId="6" borderId="78" xfId="0" applyFont="1" applyFill="1" applyBorder="1" applyAlignment="1" applyProtection="1">
      <alignment horizontal="center" vertical="center" wrapText="1"/>
      <protection hidden="1"/>
    </xf>
    <xf numFmtId="0" fontId="4" fillId="6" borderId="73" xfId="0" applyFont="1" applyFill="1" applyBorder="1" applyAlignment="1" applyProtection="1">
      <alignment horizontal="center" vertical="center" wrapText="1"/>
      <protection hidden="1"/>
    </xf>
    <xf numFmtId="0" fontId="4" fillId="6" borderId="5" xfId="0"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4" fillId="6" borderId="104" xfId="0" applyFont="1" applyFill="1" applyBorder="1" applyAlignment="1" applyProtection="1">
      <alignment horizontal="center" vertical="center" wrapText="1"/>
      <protection hidden="1"/>
    </xf>
    <xf numFmtId="0" fontId="95" fillId="6" borderId="2" xfId="0" applyFont="1" applyFill="1" applyBorder="1" applyAlignment="1" applyProtection="1">
      <alignment vertical="center" wrapText="1"/>
      <protection hidden="1"/>
    </xf>
    <xf numFmtId="0" fontId="95" fillId="6" borderId="4" xfId="0" applyFont="1" applyFill="1" applyBorder="1" applyAlignment="1" applyProtection="1">
      <alignment vertical="center" wrapText="1"/>
      <protection hidden="1"/>
    </xf>
    <xf numFmtId="208" fontId="20" fillId="0" borderId="134" xfId="1" applyNumberFormat="1" applyFont="1" applyFill="1" applyBorder="1" applyAlignment="1" applyProtection="1">
      <alignment horizontal="center"/>
      <protection hidden="1"/>
    </xf>
    <xf numFmtId="203" fontId="20" fillId="0" borderId="134" xfId="1" applyNumberFormat="1" applyFont="1" applyFill="1" applyBorder="1" applyAlignment="1" applyProtection="1">
      <alignment horizontal="center"/>
      <protection hidden="1"/>
    </xf>
    <xf numFmtId="211" fontId="20" fillId="0" borderId="135" xfId="1" applyNumberFormat="1" applyFont="1" applyFill="1" applyBorder="1" applyAlignment="1" applyProtection="1">
      <alignment horizontal="center"/>
      <protection hidden="1"/>
    </xf>
    <xf numFmtId="211" fontId="20" fillId="0" borderId="122" xfId="1" applyNumberFormat="1" applyFont="1" applyFill="1" applyBorder="1" applyAlignment="1" applyProtection="1">
      <alignment horizontal="center"/>
      <protection hidden="1"/>
    </xf>
    <xf numFmtId="212" fontId="20" fillId="0" borderId="62" xfId="1" applyNumberFormat="1" applyFont="1" applyFill="1" applyBorder="1" applyAlignment="1" applyProtection="1">
      <alignment horizontal="center"/>
      <protection hidden="1"/>
    </xf>
    <xf numFmtId="209" fontId="20" fillId="0" borderId="61" xfId="1" applyNumberFormat="1" applyFont="1" applyFill="1" applyBorder="1" applyAlignment="1" applyProtection="1">
      <alignment horizontal="center"/>
      <protection hidden="1"/>
    </xf>
    <xf numFmtId="209" fontId="20" fillId="0" borderId="72" xfId="1" applyNumberFormat="1" applyFont="1" applyFill="1" applyBorder="1" applyAlignment="1" applyProtection="1">
      <alignment horizontal="center"/>
      <protection hidden="1"/>
    </xf>
    <xf numFmtId="209" fontId="20" fillId="0" borderId="122" xfId="1" applyNumberFormat="1" applyFont="1" applyFill="1" applyBorder="1" applyAlignment="1" applyProtection="1">
      <alignment horizontal="center"/>
      <protection hidden="1"/>
    </xf>
    <xf numFmtId="173" fontId="20" fillId="0" borderId="9" xfId="1" applyNumberFormat="1" applyFont="1" applyFill="1" applyBorder="1" applyAlignment="1" applyProtection="1">
      <alignment horizontal="center"/>
      <protection hidden="1"/>
    </xf>
    <xf numFmtId="210" fontId="20" fillId="0" borderId="10" xfId="1" applyNumberFormat="1" applyFont="1" applyFill="1" applyBorder="1" applyAlignment="1" applyProtection="1">
      <alignment horizontal="center"/>
      <protection hidden="1"/>
    </xf>
    <xf numFmtId="208" fontId="20" fillId="39" borderId="138" xfId="1" applyNumberFormat="1" applyFont="1" applyFill="1" applyBorder="1" applyAlignment="1" applyProtection="1">
      <alignment horizontal="center"/>
      <protection hidden="1"/>
    </xf>
    <xf numFmtId="203" fontId="20" fillId="39" borderId="138" xfId="1" applyNumberFormat="1" applyFont="1" applyFill="1" applyBorder="1" applyAlignment="1" applyProtection="1">
      <alignment horizontal="center"/>
      <protection hidden="1"/>
    </xf>
    <xf numFmtId="211" fontId="20" fillId="39" borderId="139" xfId="1" applyNumberFormat="1" applyFont="1" applyFill="1" applyBorder="1" applyAlignment="1" applyProtection="1">
      <alignment horizontal="center"/>
      <protection hidden="1"/>
    </xf>
    <xf numFmtId="211" fontId="20" fillId="39" borderId="124" xfId="1" applyNumberFormat="1" applyFont="1" applyFill="1" applyBorder="1" applyAlignment="1" applyProtection="1">
      <alignment horizontal="center"/>
      <protection hidden="1"/>
    </xf>
    <xf numFmtId="212" fontId="20" fillId="39" borderId="64" xfId="1" applyNumberFormat="1" applyFont="1" applyFill="1" applyBorder="1" applyAlignment="1" applyProtection="1">
      <alignment horizontal="center"/>
      <protection hidden="1"/>
    </xf>
    <xf numFmtId="209" fontId="20" fillId="39" borderId="90" xfId="1" applyNumberFormat="1" applyFont="1" applyFill="1" applyBorder="1" applyAlignment="1" applyProtection="1">
      <alignment horizontal="center"/>
      <protection hidden="1"/>
    </xf>
    <xf numFmtId="209" fontId="20" fillId="39" borderId="124" xfId="1" applyNumberFormat="1" applyFont="1" applyFill="1" applyBorder="1" applyAlignment="1" applyProtection="1">
      <alignment horizontal="center"/>
      <protection hidden="1"/>
    </xf>
    <xf numFmtId="210" fontId="20" fillId="39" borderId="12" xfId="1" applyNumberFormat="1" applyFont="1" applyFill="1" applyBorder="1" applyAlignment="1" applyProtection="1">
      <alignment horizontal="center"/>
      <protection hidden="1"/>
    </xf>
    <xf numFmtId="208" fontId="20" fillId="0" borderId="138" xfId="1" applyNumberFormat="1" applyFont="1" applyFill="1" applyBorder="1" applyAlignment="1" applyProtection="1">
      <alignment horizontal="center"/>
      <protection hidden="1"/>
    </xf>
    <xf numFmtId="203" fontId="20" fillId="0" borderId="138" xfId="1" applyNumberFormat="1" applyFont="1" applyFill="1" applyBorder="1" applyAlignment="1" applyProtection="1">
      <alignment horizontal="center"/>
      <protection hidden="1"/>
    </xf>
    <xf numFmtId="211" fontId="20" fillId="0" borderId="139" xfId="1" applyNumberFormat="1" applyFont="1" applyFill="1" applyBorder="1" applyAlignment="1" applyProtection="1">
      <alignment horizontal="center"/>
      <protection hidden="1"/>
    </xf>
    <xf numFmtId="211" fontId="20" fillId="0" borderId="124" xfId="1" applyNumberFormat="1" applyFont="1" applyFill="1" applyBorder="1" applyAlignment="1" applyProtection="1">
      <alignment horizontal="center"/>
      <protection hidden="1"/>
    </xf>
    <xf numFmtId="212" fontId="20" fillId="0" borderId="64" xfId="1" applyNumberFormat="1" applyFont="1" applyFill="1" applyBorder="1" applyAlignment="1" applyProtection="1">
      <alignment horizontal="center"/>
      <protection hidden="1"/>
    </xf>
    <xf numFmtId="209" fontId="20" fillId="0" borderId="90" xfId="1" applyNumberFormat="1" applyFont="1" applyFill="1" applyBorder="1" applyAlignment="1" applyProtection="1">
      <alignment horizontal="center"/>
      <protection hidden="1"/>
    </xf>
    <xf numFmtId="209" fontId="20" fillId="0" borderId="124" xfId="1" applyNumberFormat="1" applyFont="1" applyFill="1" applyBorder="1" applyAlignment="1" applyProtection="1">
      <alignment horizontal="center"/>
      <protection hidden="1"/>
    </xf>
    <xf numFmtId="210" fontId="20" fillId="0" borderId="12" xfId="1" applyNumberFormat="1" applyFont="1" applyFill="1" applyBorder="1" applyAlignment="1" applyProtection="1">
      <alignment horizontal="center"/>
      <protection hidden="1"/>
    </xf>
    <xf numFmtId="200" fontId="20" fillId="39" borderId="128" xfId="0" applyNumberFormat="1" applyFont="1" applyFill="1" applyBorder="1" applyAlignment="1" applyProtection="1">
      <alignment horizontal="center"/>
      <protection hidden="1"/>
    </xf>
    <xf numFmtId="208" fontId="20" fillId="39" borderId="134" xfId="1" applyNumberFormat="1" applyFont="1" applyFill="1" applyBorder="1" applyAlignment="1" applyProtection="1">
      <alignment horizontal="center"/>
      <protection hidden="1"/>
    </xf>
    <xf numFmtId="203" fontId="20" fillId="39" borderId="134" xfId="1" applyNumberFormat="1" applyFont="1" applyFill="1" applyBorder="1" applyAlignment="1" applyProtection="1">
      <alignment horizontal="center"/>
      <protection hidden="1"/>
    </xf>
    <xf numFmtId="208" fontId="20" fillId="39" borderId="62" xfId="1" applyNumberFormat="1" applyFont="1" applyFill="1" applyBorder="1" applyAlignment="1" applyProtection="1">
      <alignment horizontal="center"/>
      <protection hidden="1"/>
    </xf>
    <xf numFmtId="205" fontId="20" fillId="39" borderId="71" xfId="1" applyNumberFormat="1" applyFont="1" applyFill="1" applyBorder="1" applyAlignment="1" applyProtection="1">
      <alignment horizontal="center"/>
      <protection hidden="1"/>
    </xf>
    <xf numFmtId="211" fontId="20" fillId="39" borderId="135" xfId="1" applyNumberFormat="1" applyFont="1" applyFill="1" applyBorder="1" applyAlignment="1" applyProtection="1">
      <alignment horizontal="center"/>
      <protection hidden="1"/>
    </xf>
    <xf numFmtId="211" fontId="20" fillId="39" borderId="122" xfId="1" applyNumberFormat="1" applyFont="1" applyFill="1" applyBorder="1" applyAlignment="1" applyProtection="1">
      <alignment horizontal="center"/>
      <protection hidden="1"/>
    </xf>
    <xf numFmtId="212" fontId="20" fillId="39" borderId="62" xfId="1" applyNumberFormat="1" applyFont="1" applyFill="1" applyBorder="1" applyAlignment="1" applyProtection="1">
      <alignment horizontal="center"/>
      <protection hidden="1"/>
    </xf>
    <xf numFmtId="209" fontId="20" fillId="39" borderId="61" xfId="1" applyNumberFormat="1" applyFont="1" applyFill="1" applyBorder="1" applyAlignment="1" applyProtection="1">
      <alignment horizontal="center"/>
      <protection hidden="1"/>
    </xf>
    <xf numFmtId="209" fontId="20" fillId="39" borderId="72" xfId="1" applyNumberFormat="1" applyFont="1" applyFill="1" applyBorder="1" applyAlignment="1" applyProtection="1">
      <alignment horizontal="center"/>
      <protection hidden="1"/>
    </xf>
    <xf numFmtId="209" fontId="20" fillId="39" borderId="122" xfId="1" applyNumberFormat="1" applyFont="1" applyFill="1" applyBorder="1" applyAlignment="1" applyProtection="1">
      <alignment horizontal="center"/>
      <protection hidden="1"/>
    </xf>
    <xf numFmtId="210" fontId="20" fillId="39" borderId="62" xfId="1" applyNumberFormat="1" applyFont="1" applyFill="1" applyBorder="1" applyAlignment="1" applyProtection="1">
      <alignment horizontal="center"/>
      <protection hidden="1"/>
    </xf>
    <xf numFmtId="210" fontId="20" fillId="39" borderId="15" xfId="1" applyNumberFormat="1" applyFont="1" applyFill="1" applyBorder="1" applyAlignment="1" applyProtection="1">
      <alignment horizontal="center"/>
      <protection hidden="1"/>
    </xf>
    <xf numFmtId="4" fontId="0" fillId="6" borderId="0" xfId="0" applyNumberFormat="1" applyFill="1" applyProtection="1">
      <protection hidden="1"/>
    </xf>
    <xf numFmtId="0" fontId="22" fillId="6" borderId="2" xfId="0" applyFont="1" applyFill="1" applyBorder="1" applyProtection="1">
      <protection hidden="1"/>
    </xf>
    <xf numFmtId="0" fontId="4" fillId="6" borderId="3" xfId="0" applyFont="1" applyFill="1" applyBorder="1" applyAlignment="1" applyProtection="1">
      <alignment horizontal="center" wrapText="1"/>
      <protection hidden="1"/>
    </xf>
    <xf numFmtId="9" fontId="0" fillId="0" borderId="11" xfId="0" applyNumberFormat="1" applyFill="1" applyBorder="1" applyAlignment="1" applyProtection="1">
      <alignment horizontal="right"/>
      <protection hidden="1"/>
    </xf>
    <xf numFmtId="173" fontId="20" fillId="7" borderId="0" xfId="0" applyNumberFormat="1" applyFont="1" applyFill="1" applyBorder="1" applyAlignment="1" applyProtection="1">
      <alignment horizontal="center"/>
      <protection hidden="1"/>
    </xf>
    <xf numFmtId="166" fontId="20" fillId="7" borderId="0" xfId="0" applyNumberFormat="1" applyFont="1" applyFill="1" applyBorder="1" applyAlignment="1" applyProtection="1">
      <alignment horizontal="center"/>
      <protection hidden="1"/>
    </xf>
    <xf numFmtId="166" fontId="20" fillId="18" borderId="12" xfId="0" applyNumberFormat="1" applyFont="1" applyFill="1" applyBorder="1" applyAlignment="1" applyProtection="1">
      <alignment horizontal="center"/>
      <protection locked="0"/>
    </xf>
    <xf numFmtId="166" fontId="20" fillId="39" borderId="12" xfId="0" applyNumberFormat="1" applyFont="1" applyFill="1" applyBorder="1" applyAlignment="1" applyProtection="1">
      <alignment horizontal="center"/>
      <protection hidden="1"/>
    </xf>
    <xf numFmtId="173" fontId="20" fillId="7" borderId="14" xfId="0" applyNumberFormat="1" applyFont="1" applyFill="1" applyBorder="1" applyAlignment="1" applyProtection="1">
      <alignment horizontal="center"/>
      <protection hidden="1"/>
    </xf>
    <xf numFmtId="166" fontId="20" fillId="7" borderId="14" xfId="0" applyNumberFormat="1" applyFont="1" applyFill="1" applyBorder="1" applyAlignment="1" applyProtection="1">
      <alignment horizontal="center"/>
      <protection hidden="1"/>
    </xf>
    <xf numFmtId="166" fontId="20" fillId="18" borderId="15" xfId="0" applyNumberFormat="1" applyFont="1" applyFill="1" applyBorder="1" applyAlignment="1" applyProtection="1">
      <alignment horizontal="center"/>
      <protection hidden="1"/>
    </xf>
    <xf numFmtId="167" fontId="20" fillId="0" borderId="40" xfId="0" applyNumberFormat="1" applyFont="1" applyFill="1" applyBorder="1" applyAlignment="1" applyProtection="1">
      <alignment horizontal="center"/>
      <protection hidden="1"/>
    </xf>
    <xf numFmtId="173" fontId="20" fillId="0" borderId="44" xfId="0" applyNumberFormat="1" applyFont="1" applyFill="1" applyBorder="1" applyAlignment="1" applyProtection="1">
      <alignment horizontal="center"/>
      <protection hidden="1"/>
    </xf>
    <xf numFmtId="9" fontId="20" fillId="7" borderId="44" xfId="0" applyNumberFormat="1" applyFont="1" applyFill="1" applyBorder="1" applyAlignment="1" applyProtection="1">
      <alignment horizontal="center"/>
      <protection hidden="1"/>
    </xf>
    <xf numFmtId="165" fontId="20" fillId="6" borderId="0" xfId="0" applyNumberFormat="1" applyFont="1" applyFill="1" applyBorder="1" applyAlignment="1" applyProtection="1">
      <alignment horizontal="center"/>
      <protection locked="0" hidden="1"/>
    </xf>
    <xf numFmtId="0" fontId="57" fillId="32" borderId="1" xfId="0" applyFont="1" applyFill="1" applyBorder="1" applyAlignment="1">
      <alignment horizontal="center" vertical="center" wrapText="1"/>
    </xf>
    <xf numFmtId="0" fontId="57" fillId="32" borderId="42" xfId="0" applyFont="1" applyFill="1" applyBorder="1" applyAlignment="1">
      <alignment horizontal="center" vertical="center" wrapText="1"/>
    </xf>
    <xf numFmtId="0" fontId="96" fillId="0" borderId="41" xfId="0" applyFont="1" applyBorder="1" applyAlignment="1">
      <alignment horizontal="left" vertical="center"/>
    </xf>
    <xf numFmtId="0" fontId="96" fillId="0" borderId="43" xfId="0" applyFont="1" applyBorder="1" applyAlignment="1">
      <alignment horizontal="left" vertical="center"/>
    </xf>
    <xf numFmtId="214" fontId="20" fillId="0" borderId="48" xfId="1" applyNumberFormat="1" applyFont="1" applyFill="1" applyBorder="1" applyAlignment="1" applyProtection="1">
      <alignment horizontal="center"/>
      <protection hidden="1"/>
    </xf>
    <xf numFmtId="0" fontId="57" fillId="32" borderId="39" xfId="0" applyFont="1" applyFill="1" applyBorder="1" applyAlignment="1">
      <alignment vertical="center" wrapText="1"/>
    </xf>
    <xf numFmtId="0" fontId="57" fillId="32" borderId="40" xfId="0" applyFont="1" applyFill="1" applyBorder="1" applyAlignment="1">
      <alignment vertical="center" wrapText="1"/>
    </xf>
    <xf numFmtId="9" fontId="96" fillId="0" borderId="42" xfId="1" applyFont="1" applyFill="1" applyBorder="1" applyAlignment="1">
      <alignment horizontal="center" vertical="center"/>
    </xf>
    <xf numFmtId="9" fontId="20" fillId="6" borderId="0" xfId="1" applyFont="1" applyFill="1" applyBorder="1" applyAlignment="1" applyProtection="1">
      <alignment vertical="center" wrapText="1"/>
      <protection hidden="1"/>
    </xf>
    <xf numFmtId="183" fontId="20" fillId="6" borderId="0" xfId="0" applyNumberFormat="1" applyFont="1" applyFill="1" applyProtection="1">
      <protection hidden="1"/>
    </xf>
    <xf numFmtId="0" fontId="20" fillId="6" borderId="0" xfId="1" applyNumberFormat="1" applyFont="1" applyFill="1" applyBorder="1" applyAlignment="1" applyProtection="1">
      <alignment vertical="center" wrapText="1"/>
      <protection hidden="1"/>
    </xf>
    <xf numFmtId="9" fontId="96" fillId="0" borderId="44" xfId="1" applyFont="1" applyFill="1" applyBorder="1" applyAlignment="1">
      <alignment horizontal="center" vertical="center"/>
    </xf>
    <xf numFmtId="0" fontId="57" fillId="32" borderId="41" xfId="0" applyFont="1" applyFill="1" applyBorder="1" applyAlignment="1">
      <alignment horizontal="center" vertical="center" wrapText="1"/>
    </xf>
    <xf numFmtId="9" fontId="96" fillId="0" borderId="43" xfId="1" applyFont="1" applyFill="1" applyBorder="1" applyAlignment="1">
      <alignment horizontal="center" vertical="center"/>
    </xf>
    <xf numFmtId="9" fontId="96" fillId="0" borderId="50" xfId="1" applyFont="1" applyFill="1" applyBorder="1" applyAlignment="1">
      <alignment horizontal="center" vertical="center"/>
    </xf>
    <xf numFmtId="3" fontId="20" fillId="0" borderId="43" xfId="0" applyNumberFormat="1" applyFont="1" applyFill="1" applyBorder="1" applyAlignment="1" applyProtection="1">
      <alignment horizontal="center"/>
      <protection hidden="1"/>
    </xf>
    <xf numFmtId="173" fontId="20" fillId="6" borderId="0" xfId="0" applyNumberFormat="1" applyFont="1" applyFill="1" applyProtection="1">
      <protection hidden="1"/>
    </xf>
    <xf numFmtId="177" fontId="20" fillId="0" borderId="8" xfId="3" applyNumberFormat="1" applyFont="1" applyFill="1" applyBorder="1" applyAlignment="1" applyProtection="1">
      <alignment horizontal="center"/>
      <protection hidden="1"/>
    </xf>
    <xf numFmtId="2" fontId="20" fillId="0" borderId="100" xfId="3" applyNumberFormat="1" applyFont="1" applyFill="1" applyBorder="1" applyAlignment="1" applyProtection="1">
      <alignment horizontal="center"/>
      <protection hidden="1"/>
    </xf>
    <xf numFmtId="44" fontId="20" fillId="0" borderId="42" xfId="3" applyFont="1" applyFill="1" applyBorder="1" applyAlignment="1" applyProtection="1">
      <alignment horizontal="center"/>
      <protection hidden="1"/>
    </xf>
    <xf numFmtId="44" fontId="20" fillId="0" borderId="44" xfId="3" applyFont="1" applyFill="1" applyBorder="1" applyAlignment="1" applyProtection="1">
      <alignment horizontal="center"/>
      <protection hidden="1"/>
    </xf>
    <xf numFmtId="2" fontId="20" fillId="0" borderId="38" xfId="0" applyNumberFormat="1" applyFont="1" applyFill="1" applyBorder="1" applyProtection="1">
      <protection hidden="1"/>
    </xf>
    <xf numFmtId="44" fontId="20" fillId="0" borderId="23" xfId="3" applyFont="1" applyFill="1" applyBorder="1" applyProtection="1">
      <protection hidden="1"/>
    </xf>
    <xf numFmtId="165" fontId="0" fillId="6" borderId="0" xfId="0" applyNumberFormat="1" applyFill="1" applyProtection="1">
      <protection hidden="1"/>
    </xf>
    <xf numFmtId="2" fontId="20" fillId="6" borderId="0" xfId="1" applyNumberFormat="1" applyFont="1" applyFill="1" applyBorder="1" applyAlignment="1" applyProtection="1">
      <alignment vertical="center" wrapText="1"/>
      <protection hidden="1"/>
    </xf>
    <xf numFmtId="166" fontId="20" fillId="39" borderId="7" xfId="0" applyNumberFormat="1" applyFont="1" applyFill="1" applyBorder="1" applyAlignment="1" applyProtection="1">
      <alignment horizontal="center"/>
      <protection hidden="1"/>
    </xf>
    <xf numFmtId="166" fontId="20" fillId="0" borderId="8" xfId="3" applyNumberFormat="1" applyFont="1" applyFill="1" applyBorder="1" applyAlignment="1" applyProtection="1">
      <alignment horizontal="center"/>
      <protection hidden="1"/>
    </xf>
    <xf numFmtId="0" fontId="90" fillId="6" borderId="0" xfId="0" applyFont="1" applyFill="1" applyBorder="1" applyAlignment="1" applyProtection="1">
      <alignment vertical="center" wrapText="1"/>
      <protection hidden="1"/>
    </xf>
    <xf numFmtId="0" fontId="0" fillId="0" borderId="39" xfId="0" applyBorder="1" applyAlignment="1">
      <alignment horizontal="center"/>
    </xf>
    <xf numFmtId="0" fontId="0" fillId="0" borderId="46" xfId="0" applyBorder="1" applyAlignment="1">
      <alignment horizontal="center"/>
    </xf>
    <xf numFmtId="0" fontId="0" fillId="0" borderId="49" xfId="0" applyBorder="1"/>
    <xf numFmtId="3" fontId="0" fillId="7" borderId="49" xfId="0" applyNumberFormat="1" applyFill="1" applyBorder="1"/>
    <xf numFmtId="3" fontId="0" fillId="7" borderId="40" xfId="0" applyNumberFormat="1" applyFill="1" applyBorder="1"/>
    <xf numFmtId="0" fontId="0" fillId="0" borderId="41" xfId="0" applyBorder="1" applyAlignment="1">
      <alignment horizontal="center"/>
    </xf>
    <xf numFmtId="3" fontId="0" fillId="7" borderId="1" xfId="0" applyNumberFormat="1" applyFill="1" applyBorder="1"/>
    <xf numFmtId="3" fontId="0" fillId="7" borderId="42" xfId="0" applyNumberFormat="1" applyFill="1" applyBorder="1"/>
    <xf numFmtId="0" fontId="0" fillId="6" borderId="0" xfId="0" applyFont="1" applyFill="1" applyBorder="1" applyAlignment="1" applyProtection="1">
      <alignment horizontal="center" wrapText="1"/>
      <protection hidden="1"/>
    </xf>
    <xf numFmtId="3" fontId="20" fillId="6" borderId="0" xfId="0" applyNumberFormat="1" applyFont="1" applyFill="1" applyBorder="1" applyAlignment="1" applyProtection="1">
      <alignment horizontal="center"/>
      <protection locked="0" hidden="1"/>
    </xf>
    <xf numFmtId="0" fontId="0" fillId="0" borderId="43" xfId="0" applyBorder="1" applyAlignment="1">
      <alignment horizontal="center"/>
    </xf>
    <xf numFmtId="0" fontId="0" fillId="0" borderId="50" xfId="0" applyBorder="1"/>
    <xf numFmtId="3" fontId="0" fillId="7" borderId="50" xfId="0" applyNumberFormat="1" applyFill="1" applyBorder="1"/>
    <xf numFmtId="3" fontId="0" fillId="7" borderId="44" xfId="0" applyNumberFormat="1" applyFill="1" applyBorder="1"/>
    <xf numFmtId="3" fontId="64" fillId="6" borderId="0" xfId="0" applyNumberFormat="1" applyFont="1" applyFill="1" applyBorder="1" applyAlignment="1" applyProtection="1">
      <alignment horizontal="center"/>
      <protection locked="0" hidden="1"/>
    </xf>
    <xf numFmtId="3" fontId="20" fillId="6" borderId="0" xfId="0" applyNumberFormat="1" applyFont="1" applyFill="1" applyBorder="1" applyAlignment="1" applyProtection="1">
      <alignment horizontal="center"/>
      <protection locked="0"/>
    </xf>
    <xf numFmtId="213" fontId="20" fillId="6" borderId="0" xfId="0" applyNumberFormat="1" applyFont="1" applyFill="1" applyBorder="1" applyAlignment="1" applyProtection="1">
      <alignment horizontal="center"/>
      <protection locked="0"/>
    </xf>
    <xf numFmtId="0" fontId="0" fillId="0" borderId="50" xfId="0" applyBorder="1" applyAlignment="1">
      <alignment horizontal="center"/>
    </xf>
    <xf numFmtId="0" fontId="0" fillId="0" borderId="44" xfId="0" applyBorder="1" applyAlignment="1">
      <alignment horizontal="center"/>
    </xf>
    <xf numFmtId="0" fontId="0" fillId="0" borderId="116" xfId="0" applyBorder="1" applyAlignment="1">
      <alignment horizontal="center"/>
    </xf>
    <xf numFmtId="0" fontId="0" fillId="0" borderId="8" xfId="0" applyBorder="1"/>
    <xf numFmtId="3" fontId="0" fillId="7" borderId="8" xfId="0" applyNumberFormat="1" applyFill="1" applyBorder="1"/>
    <xf numFmtId="3" fontId="0" fillId="7" borderId="100" xfId="0" applyNumberFormat="1" applyFill="1" applyBorder="1"/>
    <xf numFmtId="9" fontId="0" fillId="7" borderId="40" xfId="0" applyNumberFormat="1" applyFill="1" applyBorder="1"/>
    <xf numFmtId="9" fontId="0" fillId="7" borderId="42" xfId="0" applyNumberFormat="1" applyFill="1" applyBorder="1"/>
    <xf numFmtId="2" fontId="0" fillId="7" borderId="42" xfId="0" applyNumberFormat="1" applyFill="1" applyBorder="1"/>
    <xf numFmtId="2" fontId="0" fillId="7" borderId="44" xfId="0" applyNumberFormat="1" applyFill="1" applyBorder="1"/>
    <xf numFmtId="44" fontId="0" fillId="7" borderId="33" xfId="3" applyFont="1" applyFill="1" applyBorder="1" applyAlignment="1" applyProtection="1">
      <protection hidden="1"/>
    </xf>
    <xf numFmtId="3" fontId="20" fillId="7" borderId="25" xfId="0" applyNumberFormat="1" applyFont="1" applyFill="1" applyBorder="1" applyAlignment="1" applyProtection="1">
      <alignment horizontal="center"/>
      <protection locked="0"/>
    </xf>
    <xf numFmtId="0" fontId="4" fillId="6" borderId="51" xfId="0" applyFont="1" applyFill="1" applyBorder="1" applyAlignment="1" applyProtection="1">
      <alignment horizontal="left" wrapText="1"/>
      <protection hidden="1"/>
    </xf>
    <xf numFmtId="0" fontId="4" fillId="6" borderId="40" xfId="0" applyFont="1" applyFill="1" applyBorder="1" applyAlignment="1" applyProtection="1">
      <alignment horizontal="center" wrapText="1"/>
      <protection hidden="1"/>
    </xf>
    <xf numFmtId="0" fontId="0" fillId="0" borderId="142" xfId="0" applyFill="1" applyBorder="1" applyAlignment="1" applyProtection="1">
      <protection hidden="1"/>
    </xf>
    <xf numFmtId="8" fontId="20" fillId="0" borderId="44" xfId="1" applyNumberFormat="1" applyFont="1" applyFill="1" applyBorder="1" applyAlignment="1" applyProtection="1">
      <protection hidden="1"/>
    </xf>
    <xf numFmtId="3" fontId="4" fillId="22" borderId="27" xfId="0" applyNumberFormat="1" applyFont="1" applyFill="1" applyBorder="1" applyAlignment="1" applyProtection="1">
      <alignment horizontal="center" wrapText="1"/>
      <protection hidden="1"/>
    </xf>
    <xf numFmtId="3" fontId="4" fillId="22" borderId="28" xfId="0" applyNumberFormat="1" applyFont="1" applyFill="1" applyBorder="1" applyAlignment="1" applyProtection="1">
      <alignment horizontal="center" wrapText="1"/>
      <protection hidden="1"/>
    </xf>
    <xf numFmtId="0" fontId="4" fillId="22" borderId="29" xfId="0" applyFont="1" applyFill="1" applyBorder="1" applyAlignment="1" applyProtection="1">
      <alignment horizontal="center" wrapText="1"/>
      <protection hidden="1"/>
    </xf>
    <xf numFmtId="0" fontId="0" fillId="0" borderId="39" xfId="0" applyFill="1" applyBorder="1" applyAlignment="1" applyProtection="1">
      <alignment horizontal="center"/>
      <protection hidden="1"/>
    </xf>
    <xf numFmtId="0" fontId="0" fillId="0" borderId="49" xfId="0" applyFill="1" applyBorder="1" applyAlignment="1" applyProtection="1">
      <alignment horizontal="center"/>
      <protection hidden="1"/>
    </xf>
    <xf numFmtId="0" fontId="0" fillId="0" borderId="40" xfId="0" applyFill="1" applyBorder="1" applyAlignment="1" applyProtection="1">
      <alignment horizontal="center"/>
      <protection hidden="1"/>
    </xf>
    <xf numFmtId="0" fontId="0" fillId="39" borderId="41" xfId="0" applyFill="1" applyBorder="1" applyAlignment="1" applyProtection="1">
      <alignment horizontal="center"/>
      <protection hidden="1"/>
    </xf>
    <xf numFmtId="0" fontId="0" fillId="39" borderId="1" xfId="0" applyFill="1" applyBorder="1" applyAlignment="1" applyProtection="1">
      <alignment horizontal="center"/>
      <protection hidden="1"/>
    </xf>
    <xf numFmtId="0" fontId="0" fillId="39" borderId="42" xfId="0" applyFill="1" applyBorder="1" applyAlignment="1" applyProtection="1">
      <alignment horizontal="center"/>
      <protection hidden="1"/>
    </xf>
    <xf numFmtId="0" fontId="0" fillId="0" borderId="41" xfId="0" applyFill="1" applyBorder="1" applyAlignment="1" applyProtection="1">
      <alignment horizontal="center"/>
      <protection hidden="1"/>
    </xf>
    <xf numFmtId="0" fontId="0" fillId="0" borderId="1" xfId="0" applyFill="1" applyBorder="1" applyAlignment="1" applyProtection="1">
      <alignment horizontal="center"/>
      <protection hidden="1"/>
    </xf>
    <xf numFmtId="0" fontId="0" fillId="0" borderId="42" xfId="0" applyFill="1" applyBorder="1" applyAlignment="1" applyProtection="1">
      <alignment horizontal="center"/>
      <protection hidden="1"/>
    </xf>
    <xf numFmtId="0" fontId="0" fillId="0" borderId="43" xfId="0" applyFill="1" applyBorder="1" applyAlignment="1" applyProtection="1">
      <alignment horizontal="center"/>
      <protection hidden="1"/>
    </xf>
    <xf numFmtId="0" fontId="0" fillId="0" borderId="50" xfId="0" applyFill="1" applyBorder="1" applyAlignment="1" applyProtection="1">
      <alignment horizontal="center"/>
      <protection hidden="1"/>
    </xf>
    <xf numFmtId="0" fontId="0" fillId="0" borderId="44" xfId="0" applyFill="1" applyBorder="1" applyAlignment="1" applyProtection="1">
      <alignment horizontal="center"/>
      <protection hidden="1"/>
    </xf>
    <xf numFmtId="0" fontId="4" fillId="6" borderId="0" xfId="0" applyFont="1" applyFill="1" applyBorder="1" applyAlignment="1" applyProtection="1">
      <alignment wrapText="1"/>
      <protection hidden="1"/>
    </xf>
    <xf numFmtId="3" fontId="4" fillId="22" borderId="39" xfId="0" applyNumberFormat="1" applyFont="1" applyFill="1" applyBorder="1" applyAlignment="1" applyProtection="1">
      <alignment horizontal="center" wrapText="1"/>
      <protection hidden="1"/>
    </xf>
    <xf numFmtId="0" fontId="4" fillId="22" borderId="40" xfId="0" applyFont="1" applyFill="1" applyBorder="1" applyAlignment="1" applyProtection="1">
      <alignment horizontal="center" wrapText="1"/>
      <protection hidden="1"/>
    </xf>
    <xf numFmtId="3" fontId="0" fillId="0" borderId="41" xfId="0" applyNumberFormat="1" applyFill="1" applyBorder="1" applyProtection="1">
      <protection hidden="1"/>
    </xf>
    <xf numFmtId="9" fontId="0" fillId="0" borderId="42" xfId="0" applyNumberFormat="1" applyFill="1" applyBorder="1" applyProtection="1">
      <protection hidden="1"/>
    </xf>
    <xf numFmtId="3" fontId="0" fillId="39" borderId="41" xfId="0" applyNumberFormat="1" applyFill="1" applyBorder="1" applyProtection="1">
      <protection hidden="1"/>
    </xf>
    <xf numFmtId="9" fontId="0" fillId="39" borderId="42" xfId="1" applyFont="1" applyFill="1" applyBorder="1" applyProtection="1">
      <protection hidden="1"/>
    </xf>
    <xf numFmtId="9" fontId="0" fillId="0" borderId="42" xfId="0" applyNumberFormat="1" applyFont="1" applyFill="1" applyBorder="1" applyAlignment="1" applyProtection="1">
      <alignment vertical="center" wrapText="1"/>
      <protection hidden="1"/>
    </xf>
    <xf numFmtId="3" fontId="0" fillId="39" borderId="43" xfId="0" applyNumberFormat="1" applyFill="1" applyBorder="1" applyProtection="1">
      <protection hidden="1"/>
    </xf>
    <xf numFmtId="9" fontId="0" fillId="39" borderId="44" xfId="0" applyNumberFormat="1" applyFont="1" applyFill="1" applyBorder="1" applyAlignment="1" applyProtection="1">
      <alignment vertical="center" wrapText="1"/>
      <protection hidden="1"/>
    </xf>
    <xf numFmtId="0" fontId="4" fillId="22" borderId="39" xfId="0" applyFont="1" applyFill="1" applyBorder="1" applyAlignment="1" applyProtection="1">
      <alignment horizontal="center" wrapText="1"/>
      <protection hidden="1"/>
    </xf>
    <xf numFmtId="0" fontId="0" fillId="0" borderId="41" xfId="0" applyFill="1" applyBorder="1" applyProtection="1">
      <protection hidden="1"/>
    </xf>
    <xf numFmtId="0" fontId="0" fillId="39" borderId="41" xfId="0" applyFill="1" applyBorder="1" applyProtection="1">
      <protection hidden="1"/>
    </xf>
    <xf numFmtId="9" fontId="0" fillId="0" borderId="42" xfId="1" applyFont="1" applyFill="1" applyBorder="1" applyAlignment="1" applyProtection="1">
      <alignment vertical="center" wrapText="1"/>
      <protection hidden="1"/>
    </xf>
    <xf numFmtId="0" fontId="0" fillId="39" borderId="43" xfId="0" applyFill="1" applyBorder="1" applyProtection="1">
      <protection hidden="1"/>
    </xf>
    <xf numFmtId="9" fontId="0" fillId="39" borderId="44" xfId="1" applyFont="1" applyFill="1" applyBorder="1" applyProtection="1">
      <protection hidden="1"/>
    </xf>
    <xf numFmtId="0" fontId="4" fillId="22" borderId="49" xfId="0" applyFont="1" applyFill="1" applyBorder="1" applyAlignment="1" applyProtection="1">
      <alignment horizontal="center" wrapText="1"/>
      <protection hidden="1"/>
    </xf>
    <xf numFmtId="3" fontId="0" fillId="0" borderId="1" xfId="0" applyNumberFormat="1" applyFill="1" applyBorder="1" applyProtection="1">
      <protection hidden="1"/>
    </xf>
    <xf numFmtId="9" fontId="0" fillId="0" borderId="42" xfId="1" applyFont="1" applyFill="1" applyBorder="1" applyProtection="1">
      <protection hidden="1"/>
    </xf>
    <xf numFmtId="3" fontId="0" fillId="39" borderId="1" xfId="0" applyNumberFormat="1" applyFill="1" applyBorder="1" applyProtection="1">
      <protection hidden="1"/>
    </xf>
    <xf numFmtId="3" fontId="0" fillId="0" borderId="43" xfId="0" applyNumberFormat="1" applyFill="1" applyBorder="1" applyProtection="1">
      <protection hidden="1"/>
    </xf>
    <xf numFmtId="3" fontId="0" fillId="0" borderId="50" xfId="0" applyNumberFormat="1" applyFill="1" applyBorder="1" applyProtection="1">
      <protection hidden="1"/>
    </xf>
    <xf numFmtId="9" fontId="0" fillId="0" borderId="44" xfId="1" applyFont="1" applyFill="1" applyBorder="1" applyProtection="1">
      <protection hidden="1"/>
    </xf>
    <xf numFmtId="0" fontId="4" fillId="6" borderId="55" xfId="0" applyFont="1" applyFill="1" applyBorder="1" applyAlignment="1" applyProtection="1">
      <alignment wrapText="1"/>
      <protection hidden="1"/>
    </xf>
    <xf numFmtId="0" fontId="4" fillId="6" borderId="54" xfId="0" applyFont="1" applyFill="1" applyBorder="1" applyAlignment="1" applyProtection="1">
      <alignment wrapText="1"/>
      <protection hidden="1"/>
    </xf>
    <xf numFmtId="3" fontId="4" fillId="6" borderId="54" xfId="0" applyNumberFormat="1" applyFont="1" applyFill="1" applyBorder="1" applyAlignment="1" applyProtection="1">
      <alignment wrapText="1"/>
      <protection hidden="1"/>
    </xf>
    <xf numFmtId="0" fontId="4" fillId="6" borderId="54" xfId="0" applyFont="1" applyFill="1" applyBorder="1" applyAlignment="1" applyProtection="1">
      <alignment horizontal="center" wrapText="1"/>
      <protection hidden="1"/>
    </xf>
    <xf numFmtId="0" fontId="4" fillId="6" borderId="56" xfId="0" applyFont="1" applyFill="1" applyBorder="1" applyAlignment="1" applyProtection="1">
      <alignment horizontal="center" wrapText="1"/>
      <protection hidden="1"/>
    </xf>
    <xf numFmtId="3" fontId="4" fillId="22" borderId="118" xfId="0" applyNumberFormat="1" applyFont="1" applyFill="1" applyBorder="1" applyAlignment="1" applyProtection="1">
      <alignment horizontal="center" wrapText="1"/>
      <protection hidden="1"/>
    </xf>
    <xf numFmtId="0" fontId="0" fillId="0" borderId="143" xfId="0" applyFill="1" applyBorder="1" applyProtection="1">
      <protection hidden="1"/>
    </xf>
    <xf numFmtId="9" fontId="0" fillId="0" borderId="36" xfId="1" applyFont="1" applyFill="1" applyBorder="1" applyProtection="1">
      <protection hidden="1"/>
    </xf>
    <xf numFmtId="164" fontId="0" fillId="0" borderId="143" xfId="2" applyNumberFormat="1" applyFont="1" applyFill="1" applyBorder="1" applyProtection="1">
      <protection hidden="1"/>
    </xf>
    <xf numFmtId="164" fontId="0" fillId="0" borderId="36" xfId="2" applyNumberFormat="1" applyFont="1" applyFill="1" applyBorder="1" applyProtection="1">
      <protection hidden="1"/>
    </xf>
    <xf numFmtId="0" fontId="4" fillId="6" borderId="22" xfId="0" applyFont="1" applyFill="1" applyBorder="1" applyAlignment="1" applyProtection="1">
      <alignment horizontal="center" wrapText="1"/>
      <protection hidden="1"/>
    </xf>
    <xf numFmtId="179" fontId="0" fillId="0" borderId="47" xfId="0" applyNumberFormat="1" applyFill="1" applyBorder="1" applyAlignment="1" applyProtection="1">
      <alignment horizontal="center"/>
      <protection hidden="1"/>
    </xf>
    <xf numFmtId="164" fontId="0" fillId="0" borderId="22" xfId="0" applyNumberFormat="1" applyFill="1" applyBorder="1" applyProtection="1">
      <protection hidden="1"/>
    </xf>
    <xf numFmtId="179" fontId="0" fillId="39" borderId="101" xfId="0" applyNumberFormat="1" applyFill="1" applyBorder="1" applyAlignment="1" applyProtection="1">
      <alignment horizontal="center"/>
      <protection hidden="1"/>
    </xf>
    <xf numFmtId="179" fontId="0" fillId="0" borderId="101" xfId="0" applyNumberFormat="1" applyFill="1" applyBorder="1" applyAlignment="1" applyProtection="1">
      <alignment horizontal="center"/>
      <protection hidden="1"/>
    </xf>
    <xf numFmtId="0" fontId="0" fillId="0" borderId="116" xfId="0" applyFill="1" applyBorder="1" applyProtection="1">
      <protection hidden="1"/>
    </xf>
    <xf numFmtId="9" fontId="0" fillId="0" borderId="144" xfId="1" applyFont="1" applyFill="1" applyBorder="1" applyProtection="1">
      <protection hidden="1"/>
    </xf>
    <xf numFmtId="164" fontId="0" fillId="0" borderId="116" xfId="2" applyNumberFormat="1" applyFont="1" applyFill="1" applyBorder="1" applyProtection="1">
      <protection hidden="1"/>
    </xf>
    <xf numFmtId="164" fontId="0" fillId="0" borderId="144" xfId="2" applyNumberFormat="1" applyFont="1" applyFill="1" applyBorder="1" applyProtection="1">
      <protection hidden="1"/>
    </xf>
    <xf numFmtId="179" fontId="0" fillId="0" borderId="48" xfId="0" applyNumberFormat="1" applyFill="1" applyBorder="1" applyAlignment="1" applyProtection="1">
      <alignment horizontal="center"/>
      <protection hidden="1"/>
    </xf>
    <xf numFmtId="0" fontId="0" fillId="39" borderId="143" xfId="0" applyFill="1" applyBorder="1" applyProtection="1">
      <protection hidden="1"/>
    </xf>
    <xf numFmtId="9" fontId="0" fillId="39" borderId="36" xfId="1" applyFont="1" applyFill="1" applyBorder="1" applyProtection="1">
      <protection hidden="1"/>
    </xf>
    <xf numFmtId="164" fontId="0" fillId="39" borderId="143" xfId="2" applyNumberFormat="1" applyFont="1" applyFill="1" applyBorder="1" applyProtection="1">
      <protection hidden="1"/>
    </xf>
    <xf numFmtId="164" fontId="0" fillId="39" borderId="36" xfId="2" applyNumberFormat="1" applyFont="1" applyFill="1" applyBorder="1" applyProtection="1">
      <protection hidden="1"/>
    </xf>
    <xf numFmtId="0" fontId="0" fillId="18" borderId="103" xfId="0" applyFill="1" applyBorder="1" applyProtection="1">
      <protection hidden="1"/>
    </xf>
    <xf numFmtId="179" fontId="0" fillId="18" borderId="98" xfId="0" applyNumberFormat="1" applyFill="1" applyBorder="1" applyProtection="1">
      <protection hidden="1"/>
    </xf>
    <xf numFmtId="179" fontId="0" fillId="18" borderId="97" xfId="0" applyNumberFormat="1" applyFill="1" applyBorder="1" applyProtection="1">
      <protection hidden="1"/>
    </xf>
    <xf numFmtId="0" fontId="0" fillId="39" borderId="116" xfId="0" applyFill="1" applyBorder="1" applyProtection="1">
      <protection hidden="1"/>
    </xf>
    <xf numFmtId="9" fontId="0" fillId="39" borderId="144" xfId="1" applyFont="1" applyFill="1" applyBorder="1" applyProtection="1">
      <protection hidden="1"/>
    </xf>
    <xf numFmtId="164" fontId="0" fillId="39" borderId="116" xfId="2" applyNumberFormat="1" applyFont="1" applyFill="1" applyBorder="1" applyProtection="1">
      <protection hidden="1"/>
    </xf>
    <xf numFmtId="164" fontId="0" fillId="39" borderId="144" xfId="2" applyNumberFormat="1" applyFont="1" applyFill="1" applyBorder="1" applyProtection="1">
      <protection hidden="1"/>
    </xf>
    <xf numFmtId="0" fontId="0" fillId="39" borderId="55" xfId="0" applyFill="1" applyBorder="1" applyProtection="1">
      <protection hidden="1"/>
    </xf>
    <xf numFmtId="9" fontId="0" fillId="39" borderId="25" xfId="1" applyFont="1" applyFill="1" applyBorder="1" applyProtection="1">
      <protection hidden="1"/>
    </xf>
    <xf numFmtId="164" fontId="0" fillId="39" borderId="55" xfId="2" applyNumberFormat="1" applyFont="1" applyFill="1" applyBorder="1" applyProtection="1">
      <protection hidden="1"/>
    </xf>
    <xf numFmtId="164" fontId="0" fillId="39" borderId="25" xfId="2" applyNumberFormat="1" applyFont="1" applyFill="1" applyBorder="1" applyProtection="1">
      <protection hidden="1"/>
    </xf>
    <xf numFmtId="0" fontId="0" fillId="0" borderId="51" xfId="0" applyFill="1" applyBorder="1" applyProtection="1">
      <protection hidden="1"/>
    </xf>
    <xf numFmtId="9" fontId="0" fillId="0" borderId="29" xfId="1" applyFont="1" applyFill="1" applyBorder="1" applyProtection="1">
      <protection hidden="1"/>
    </xf>
    <xf numFmtId="164" fontId="0" fillId="0" borderId="51" xfId="2" applyNumberFormat="1" applyFont="1" applyFill="1" applyBorder="1" applyProtection="1">
      <protection hidden="1"/>
    </xf>
    <xf numFmtId="164" fontId="0" fillId="0" borderId="29" xfId="2" applyNumberFormat="1" applyFont="1" applyFill="1" applyBorder="1" applyProtection="1">
      <protection hidden="1"/>
    </xf>
    <xf numFmtId="165" fontId="20" fillId="39" borderId="42" xfId="0" applyNumberFormat="1" applyFont="1" applyFill="1" applyBorder="1" applyAlignment="1" applyProtection="1">
      <alignment horizontal="center"/>
      <protection hidden="1"/>
    </xf>
    <xf numFmtId="9" fontId="20" fillId="0" borderId="109" xfId="0" applyNumberFormat="1" applyFont="1" applyFill="1" applyBorder="1" applyAlignment="1" applyProtection="1">
      <alignment horizontal="center"/>
      <protection hidden="1"/>
    </xf>
    <xf numFmtId="187" fontId="20" fillId="0" borderId="111" xfId="0" applyNumberFormat="1" applyFont="1" applyFill="1" applyBorder="1" applyAlignment="1" applyProtection="1">
      <alignment horizontal="center"/>
      <protection hidden="1"/>
    </xf>
    <xf numFmtId="0" fontId="22" fillId="6" borderId="30" xfId="0" applyFont="1" applyFill="1" applyBorder="1" applyAlignment="1" applyProtection="1">
      <alignment vertical="center"/>
      <protection hidden="1"/>
    </xf>
    <xf numFmtId="0" fontId="22" fillId="6" borderId="49" xfId="0" applyFont="1" applyFill="1" applyBorder="1" applyAlignment="1" applyProtection="1">
      <alignment horizontal="center" vertical="center"/>
      <protection hidden="1"/>
    </xf>
    <xf numFmtId="0" fontId="22" fillId="6" borderId="0" xfId="0" applyFont="1" applyFill="1" applyBorder="1" applyAlignment="1" applyProtection="1">
      <alignment vertical="center" wrapText="1"/>
      <protection hidden="1"/>
    </xf>
    <xf numFmtId="191" fontId="20" fillId="0" borderId="42" xfId="1" applyNumberFormat="1" applyFont="1" applyFill="1" applyBorder="1" applyAlignment="1" applyProtection="1">
      <alignment horizontal="center"/>
      <protection hidden="1"/>
    </xf>
    <xf numFmtId="43" fontId="20" fillId="0" borderId="43" xfId="2" applyFont="1" applyFill="1" applyBorder="1" applyProtection="1">
      <protection hidden="1"/>
    </xf>
    <xf numFmtId="189" fontId="20" fillId="0" borderId="50" xfId="3" applyNumberFormat="1" applyFont="1" applyFill="1" applyBorder="1" applyAlignment="1" applyProtection="1">
      <alignment horizontal="center"/>
      <protection hidden="1"/>
    </xf>
    <xf numFmtId="8" fontId="20" fillId="0" borderId="44" xfId="0" applyNumberFormat="1" applyFont="1" applyFill="1" applyBorder="1" applyProtection="1">
      <protection hidden="1"/>
    </xf>
    <xf numFmtId="0" fontId="20" fillId="0" borderId="50" xfId="0" applyFont="1" applyFill="1" applyBorder="1" applyAlignment="1" applyProtection="1">
      <protection hidden="1"/>
    </xf>
    <xf numFmtId="191" fontId="20" fillId="0" borderId="44" xfId="1" applyNumberFormat="1" applyFont="1" applyFill="1" applyBorder="1" applyAlignment="1" applyProtection="1">
      <alignment horizontal="center"/>
      <protection hidden="1"/>
    </xf>
    <xf numFmtId="0" fontId="20" fillId="6" borderId="0" xfId="0" applyFont="1" applyFill="1" applyBorder="1" applyAlignment="1" applyProtection="1">
      <alignment horizontal="left" indent="2"/>
      <protection hidden="1"/>
    </xf>
    <xf numFmtId="0" fontId="20" fillId="39" borderId="50" xfId="0" applyFont="1" applyFill="1" applyBorder="1" applyAlignment="1" applyProtection="1">
      <protection hidden="1"/>
    </xf>
    <xf numFmtId="165" fontId="20" fillId="7" borderId="50" xfId="0" applyNumberFormat="1" applyFont="1" applyFill="1" applyBorder="1" applyAlignment="1" applyProtection="1">
      <alignment horizontal="center"/>
      <protection locked="0" hidden="1"/>
    </xf>
    <xf numFmtId="1" fontId="20" fillId="7" borderId="50" xfId="0" applyNumberFormat="1" applyFont="1" applyFill="1" applyBorder="1" applyAlignment="1" applyProtection="1">
      <alignment horizontal="center"/>
      <protection locked="0" hidden="1"/>
    </xf>
    <xf numFmtId="9" fontId="20" fillId="7" borderId="44" xfId="1" applyFont="1" applyFill="1" applyBorder="1" applyAlignment="1" applyProtection="1">
      <alignment horizontal="center"/>
      <protection locked="0" hidden="1"/>
    </xf>
    <xf numFmtId="167" fontId="20" fillId="7" borderId="42" xfId="1" applyNumberFormat="1" applyFont="1" applyFill="1" applyBorder="1" applyAlignment="1" applyProtection="1">
      <alignment horizontal="center"/>
      <protection locked="0" hidden="1"/>
    </xf>
    <xf numFmtId="167" fontId="20" fillId="7" borderId="44" xfId="1" applyNumberFormat="1" applyFont="1" applyFill="1" applyBorder="1" applyAlignment="1" applyProtection="1">
      <alignment horizontal="center"/>
      <protection locked="0" hidden="1"/>
    </xf>
    <xf numFmtId="1" fontId="20" fillId="7" borderId="42" xfId="1" applyNumberFormat="1" applyFont="1" applyFill="1" applyBorder="1" applyAlignment="1" applyProtection="1">
      <alignment horizontal="center"/>
      <protection locked="0" hidden="1"/>
    </xf>
    <xf numFmtId="0" fontId="22" fillId="6" borderId="85" xfId="0" applyFont="1" applyFill="1" applyBorder="1" applyAlignment="1" applyProtection="1">
      <alignment horizontal="center" vertical="center"/>
      <protection hidden="1"/>
    </xf>
    <xf numFmtId="0" fontId="20" fillId="0" borderId="146" xfId="0" applyFont="1" applyFill="1" applyBorder="1" applyAlignment="1" applyProtection="1">
      <protection hidden="1"/>
    </xf>
    <xf numFmtId="8" fontId="20" fillId="0" borderId="147" xfId="1" applyNumberFormat="1" applyFont="1" applyFill="1" applyBorder="1" applyAlignment="1" applyProtection="1">
      <protection hidden="1"/>
    </xf>
    <xf numFmtId="0" fontId="20" fillId="0" borderId="55" xfId="0" applyFont="1" applyFill="1" applyBorder="1" applyAlignment="1" applyProtection="1">
      <protection hidden="1"/>
    </xf>
    <xf numFmtId="0" fontId="20" fillId="0" borderId="148" xfId="0" applyFont="1" applyFill="1" applyBorder="1" applyAlignment="1" applyProtection="1">
      <protection hidden="1"/>
    </xf>
    <xf numFmtId="8" fontId="20" fillId="0" borderId="56" xfId="1" applyNumberFormat="1" applyFont="1" applyFill="1" applyBorder="1" applyAlignment="1" applyProtection="1">
      <protection hidden="1"/>
    </xf>
    <xf numFmtId="0" fontId="22" fillId="0" borderId="103" xfId="0" applyFont="1" applyFill="1" applyBorder="1" applyAlignment="1" applyProtection="1">
      <alignment wrapText="1"/>
      <protection hidden="1"/>
    </xf>
    <xf numFmtId="190" fontId="20" fillId="0" borderId="98" xfId="0" applyNumberFormat="1" applyFont="1" applyFill="1" applyBorder="1" applyAlignment="1" applyProtection="1">
      <alignment horizontal="center"/>
      <protection hidden="1"/>
    </xf>
    <xf numFmtId="185" fontId="20" fillId="0" borderId="1" xfId="0" applyNumberFormat="1" applyFont="1" applyFill="1" applyBorder="1" applyAlignment="1" applyProtection="1">
      <alignment horizontal="center"/>
      <protection hidden="1"/>
    </xf>
    <xf numFmtId="185" fontId="20" fillId="0" borderId="50" xfId="0" applyNumberFormat="1" applyFont="1" applyFill="1" applyBorder="1" applyAlignment="1" applyProtection="1">
      <alignment horizontal="center"/>
      <protection hidden="1"/>
    </xf>
    <xf numFmtId="188" fontId="20" fillId="0" borderId="50" xfId="0" applyNumberFormat="1" applyFont="1" applyFill="1" applyBorder="1" applyAlignment="1" applyProtection="1">
      <alignment horizontal="center"/>
      <protection hidden="1"/>
    </xf>
    <xf numFmtId="190" fontId="20" fillId="39" borderId="8" xfId="0" applyNumberFormat="1" applyFont="1" applyFill="1" applyBorder="1" applyAlignment="1" applyProtection="1">
      <alignment horizontal="center"/>
      <protection hidden="1"/>
    </xf>
    <xf numFmtId="0" fontId="22" fillId="6" borderId="85" xfId="0" applyFont="1" applyFill="1" applyBorder="1" applyAlignment="1" applyProtection="1">
      <alignment horizontal="center" vertical="center" wrapText="1"/>
      <protection hidden="1"/>
    </xf>
    <xf numFmtId="0" fontId="22" fillId="6" borderId="13" xfId="0" applyFont="1" applyFill="1" applyBorder="1" applyAlignment="1" applyProtection="1">
      <alignment horizontal="center" vertical="center" wrapText="1"/>
      <protection hidden="1"/>
    </xf>
    <xf numFmtId="9" fontId="20" fillId="0" borderId="2" xfId="1" applyNumberFormat="1" applyFont="1" applyFill="1" applyBorder="1" applyAlignment="1" applyProtection="1">
      <alignment horizontal="center"/>
      <protection hidden="1"/>
    </xf>
    <xf numFmtId="165" fontId="20" fillId="0" borderId="41" xfId="0" applyNumberFormat="1" applyFont="1" applyFill="1" applyBorder="1" applyAlignment="1" applyProtection="1">
      <alignment horizontal="center"/>
      <protection hidden="1"/>
    </xf>
    <xf numFmtId="167" fontId="20" fillId="0" borderId="2" xfId="1" applyNumberFormat="1" applyFont="1" applyFill="1" applyBorder="1" applyAlignment="1" applyProtection="1">
      <alignment horizontal="center"/>
      <protection hidden="1"/>
    </xf>
    <xf numFmtId="189" fontId="20" fillId="0" borderId="1" xfId="3" applyNumberFormat="1" applyFont="1" applyFill="1" applyBorder="1" applyAlignment="1" applyProtection="1">
      <alignment horizontal="center"/>
      <protection hidden="1"/>
    </xf>
    <xf numFmtId="189" fontId="20" fillId="0" borderId="42" xfId="3" applyNumberFormat="1" applyFont="1" applyFill="1" applyBorder="1" applyAlignment="1" applyProtection="1">
      <alignment horizontal="center"/>
      <protection hidden="1"/>
    </xf>
    <xf numFmtId="9" fontId="20" fillId="0" borderId="117" xfId="1" applyNumberFormat="1" applyFont="1" applyFill="1" applyBorder="1" applyAlignment="1" applyProtection="1">
      <alignment horizontal="center"/>
      <protection hidden="1"/>
    </xf>
    <xf numFmtId="165" fontId="20" fillId="0" borderId="43" xfId="0" applyNumberFormat="1" applyFont="1" applyFill="1" applyBorder="1" applyAlignment="1" applyProtection="1">
      <alignment horizontal="center"/>
      <protection hidden="1"/>
    </xf>
    <xf numFmtId="167" fontId="20" fillId="0" borderId="117" xfId="1" applyNumberFormat="1" applyFont="1" applyFill="1" applyBorder="1" applyAlignment="1" applyProtection="1">
      <alignment horizontal="center"/>
      <protection hidden="1"/>
    </xf>
    <xf numFmtId="2" fontId="20" fillId="0" borderId="43" xfId="1" applyNumberFormat="1" applyFont="1" applyFill="1" applyBorder="1" applyAlignment="1" applyProtection="1">
      <alignment horizontal="center"/>
      <protection hidden="1"/>
    </xf>
    <xf numFmtId="189" fontId="20" fillId="0" borderId="44" xfId="3" applyNumberFormat="1" applyFont="1" applyFill="1" applyBorder="1" applyAlignment="1" applyProtection="1">
      <alignment horizontal="center"/>
      <protection hidden="1"/>
    </xf>
    <xf numFmtId="179" fontId="20" fillId="39" borderId="8" xfId="1" applyNumberFormat="1" applyFont="1" applyFill="1" applyBorder="1" applyAlignment="1" applyProtection="1">
      <alignment horizontal="center"/>
      <protection hidden="1"/>
    </xf>
    <xf numFmtId="9" fontId="20" fillId="6" borderId="0" xfId="1" applyNumberFormat="1" applyFont="1" applyFill="1" applyBorder="1" applyAlignment="1" applyProtection="1">
      <alignment horizontal="center"/>
      <protection hidden="1"/>
    </xf>
    <xf numFmtId="165" fontId="20" fillId="6" borderId="0" xfId="0" applyNumberFormat="1" applyFont="1" applyFill="1" applyBorder="1" applyAlignment="1" applyProtection="1">
      <alignment horizontal="center"/>
      <protection hidden="1"/>
    </xf>
    <xf numFmtId="2" fontId="20" fillId="6" borderId="0" xfId="0" applyNumberFormat="1" applyFont="1" applyFill="1" applyBorder="1" applyAlignment="1" applyProtection="1">
      <alignment horizontal="center"/>
      <protection hidden="1"/>
    </xf>
    <xf numFmtId="2" fontId="20" fillId="6" borderId="0" xfId="1" applyNumberFormat="1" applyFont="1" applyFill="1" applyBorder="1" applyAlignment="1" applyProtection="1">
      <alignment horizontal="center"/>
      <protection hidden="1"/>
    </xf>
    <xf numFmtId="44" fontId="20" fillId="39" borderId="8" xfId="3" applyFont="1" applyFill="1" applyBorder="1" applyAlignment="1" applyProtection="1">
      <alignment horizontal="center"/>
      <protection hidden="1"/>
    </xf>
    <xf numFmtId="2" fontId="20" fillId="39" borderId="8" xfId="3" applyNumberFormat="1" applyFont="1" applyFill="1" applyBorder="1" applyAlignment="1" applyProtection="1">
      <alignment horizontal="center"/>
      <protection hidden="1"/>
    </xf>
    <xf numFmtId="1" fontId="20" fillId="6" borderId="0" xfId="0" applyNumberFormat="1" applyFont="1" applyFill="1" applyProtection="1">
      <protection hidden="1"/>
    </xf>
    <xf numFmtId="0" fontId="22" fillId="6" borderId="47" xfId="0" applyFont="1" applyFill="1" applyBorder="1" applyAlignment="1" applyProtection="1">
      <alignment horizontal="center" wrapText="1"/>
      <protection hidden="1"/>
    </xf>
    <xf numFmtId="167" fontId="20" fillId="0" borderId="48" xfId="1" applyNumberFormat="1" applyFont="1" applyFill="1" applyBorder="1" applyProtection="1">
      <protection hidden="1"/>
    </xf>
    <xf numFmtId="182" fontId="20" fillId="6" borderId="0" xfId="0" applyNumberFormat="1" applyFont="1" applyFill="1" applyBorder="1" applyAlignment="1" applyProtection="1">
      <protection hidden="1"/>
    </xf>
    <xf numFmtId="0" fontId="20" fillId="39" borderId="39" xfId="0" applyFont="1" applyFill="1" applyBorder="1" applyAlignment="1" applyProtection="1">
      <alignment wrapText="1"/>
      <protection hidden="1"/>
    </xf>
    <xf numFmtId="196" fontId="20" fillId="0" borderId="40" xfId="1" applyNumberFormat="1" applyFont="1" applyFill="1" applyBorder="1" applyAlignment="1" applyProtection="1">
      <alignment horizontal="center"/>
      <protection hidden="1"/>
    </xf>
    <xf numFmtId="0" fontId="20" fillId="39" borderId="41" xfId="0" applyFont="1" applyFill="1" applyBorder="1" applyAlignment="1" applyProtection="1">
      <alignment wrapText="1"/>
      <protection hidden="1"/>
    </xf>
    <xf numFmtId="0" fontId="20" fillId="39" borderId="43" xfId="0" applyFont="1" applyFill="1" applyBorder="1" applyAlignment="1" applyProtection="1">
      <alignment wrapText="1"/>
      <protection hidden="1"/>
    </xf>
    <xf numFmtId="166" fontId="20" fillId="0" borderId="44" xfId="3" applyNumberFormat="1" applyFont="1" applyFill="1" applyBorder="1" applyAlignment="1" applyProtection="1">
      <alignment horizontal="center"/>
      <protection hidden="1"/>
    </xf>
    <xf numFmtId="165" fontId="20" fillId="7" borderId="1" xfId="0" applyNumberFormat="1" applyFont="1" applyFill="1" applyBorder="1" applyAlignment="1" applyProtection="1">
      <alignment horizontal="center"/>
      <protection locked="0" hidden="1"/>
    </xf>
    <xf numFmtId="1" fontId="20" fillId="7" borderId="1" xfId="0" applyNumberFormat="1" applyFont="1" applyFill="1" applyBorder="1" applyAlignment="1" applyProtection="1">
      <alignment horizontal="center"/>
      <protection locked="0" hidden="1"/>
    </xf>
    <xf numFmtId="9" fontId="20" fillId="7" borderId="50" xfId="1" applyFont="1" applyFill="1" applyBorder="1" applyAlignment="1" applyProtection="1">
      <alignment horizontal="center"/>
      <protection locked="0" hidden="1"/>
    </xf>
    <xf numFmtId="8" fontId="20" fillId="7" borderId="42" xfId="1" applyNumberFormat="1" applyFont="1" applyFill="1" applyBorder="1" applyAlignment="1" applyProtection="1">
      <protection hidden="1"/>
    </xf>
    <xf numFmtId="8" fontId="20" fillId="7" borderId="44" xfId="1" applyNumberFormat="1" applyFont="1" applyFill="1" applyBorder="1" applyAlignment="1" applyProtection="1">
      <protection hidden="1"/>
    </xf>
    <xf numFmtId="9" fontId="20" fillId="7" borderId="42" xfId="1" applyNumberFormat="1" applyFont="1" applyFill="1" applyBorder="1" applyAlignment="1" applyProtection="1">
      <protection hidden="1"/>
    </xf>
    <xf numFmtId="9" fontId="20" fillId="7" borderId="44" xfId="1" applyNumberFormat="1" applyFont="1" applyFill="1" applyBorder="1" applyAlignment="1" applyProtection="1">
      <protection hidden="1"/>
    </xf>
    <xf numFmtId="8" fontId="20" fillId="0" borderId="42" xfId="1" applyNumberFormat="1" applyFont="1" applyFill="1" applyBorder="1" applyAlignment="1" applyProtection="1">
      <protection hidden="1"/>
    </xf>
    <xf numFmtId="0" fontId="20" fillId="0" borderId="116" xfId="0" applyFont="1" applyFill="1" applyBorder="1" applyAlignment="1" applyProtection="1">
      <protection hidden="1"/>
    </xf>
    <xf numFmtId="8" fontId="20" fillId="0" borderId="100" xfId="1" applyNumberFormat="1" applyFont="1" applyFill="1" applyBorder="1" applyAlignment="1" applyProtection="1">
      <protection hidden="1"/>
    </xf>
    <xf numFmtId="190" fontId="20" fillId="0" borderId="40" xfId="0" applyNumberFormat="1" applyFont="1" applyFill="1" applyBorder="1" applyAlignment="1" applyProtection="1">
      <alignment horizontal="center"/>
      <protection hidden="1"/>
    </xf>
    <xf numFmtId="0" fontId="22" fillId="6" borderId="43" xfId="0" applyFont="1" applyFill="1" applyBorder="1" applyAlignment="1" applyProtection="1">
      <alignment wrapText="1"/>
      <protection hidden="1"/>
    </xf>
    <xf numFmtId="0" fontId="22" fillId="6" borderId="32" xfId="0" applyFont="1" applyFill="1" applyBorder="1" applyAlignment="1" applyProtection="1">
      <alignment horizontal="center" vertical="center" wrapText="1"/>
      <protection hidden="1"/>
    </xf>
    <xf numFmtId="165" fontId="20" fillId="0" borderId="4" xfId="0" applyNumberFormat="1" applyFont="1" applyFill="1" applyBorder="1" applyAlignment="1" applyProtection="1">
      <alignment horizontal="center"/>
      <protection hidden="1"/>
    </xf>
    <xf numFmtId="8" fontId="20" fillId="0" borderId="4" xfId="1" applyNumberFormat="1" applyFont="1" applyFill="1" applyBorder="1" applyAlignment="1" applyProtection="1">
      <protection hidden="1"/>
    </xf>
    <xf numFmtId="164" fontId="20" fillId="0" borderId="41" xfId="2" applyNumberFormat="1" applyFont="1" applyFill="1" applyBorder="1" applyAlignment="1" applyProtection="1">
      <alignment horizontal="center"/>
      <protection hidden="1"/>
    </xf>
    <xf numFmtId="44" fontId="20" fillId="0" borderId="2" xfId="3" applyFont="1" applyFill="1" applyBorder="1" applyAlignment="1" applyProtection="1">
      <alignment horizontal="center"/>
      <protection hidden="1"/>
    </xf>
    <xf numFmtId="165" fontId="20" fillId="0" borderId="1" xfId="1" applyNumberFormat="1" applyFont="1" applyFill="1" applyBorder="1" applyAlignment="1" applyProtection="1">
      <alignment horizontal="center"/>
      <protection hidden="1"/>
    </xf>
    <xf numFmtId="44" fontId="20" fillId="0" borderId="4" xfId="3" applyNumberFormat="1" applyFont="1" applyFill="1" applyBorder="1" applyAlignment="1" applyProtection="1">
      <alignment horizontal="center"/>
      <protection hidden="1"/>
    </xf>
    <xf numFmtId="44" fontId="20" fillId="0" borderId="4" xfId="3" applyFont="1" applyFill="1" applyBorder="1" applyAlignment="1" applyProtection="1">
      <alignment horizontal="center"/>
      <protection hidden="1"/>
    </xf>
    <xf numFmtId="8" fontId="20" fillId="0" borderId="50" xfId="1" applyNumberFormat="1" applyFont="1" applyFill="1" applyBorder="1" applyAlignment="1" applyProtection="1">
      <protection hidden="1"/>
    </xf>
    <xf numFmtId="165" fontId="20" fillId="0" borderId="102" xfId="0" applyNumberFormat="1" applyFont="1" applyFill="1" applyBorder="1" applyAlignment="1" applyProtection="1">
      <alignment horizontal="center"/>
      <protection hidden="1"/>
    </xf>
    <xf numFmtId="3" fontId="20" fillId="0" borderId="50" xfId="0" applyNumberFormat="1" applyFont="1" applyFill="1" applyBorder="1" applyAlignment="1" applyProtection="1">
      <alignment horizontal="center"/>
      <protection hidden="1"/>
    </xf>
    <xf numFmtId="8" fontId="20" fillId="0" borderId="102" xfId="1" applyNumberFormat="1" applyFont="1" applyFill="1" applyBorder="1" applyAlignment="1" applyProtection="1">
      <protection hidden="1"/>
    </xf>
    <xf numFmtId="164" fontId="20" fillId="0" borderId="43" xfId="2" applyNumberFormat="1" applyFont="1" applyFill="1" applyBorder="1" applyAlignment="1" applyProtection="1">
      <alignment horizontal="center"/>
      <protection hidden="1"/>
    </xf>
    <xf numFmtId="44" fontId="20" fillId="0" borderId="117" xfId="3" applyFont="1" applyFill="1" applyBorder="1" applyAlignment="1" applyProtection="1">
      <alignment horizontal="center"/>
      <protection hidden="1"/>
    </xf>
    <xf numFmtId="165" fontId="20" fillId="0" borderId="50" xfId="1" applyNumberFormat="1" applyFont="1" applyFill="1" applyBorder="1" applyAlignment="1" applyProtection="1">
      <alignment horizontal="center"/>
      <protection hidden="1"/>
    </xf>
    <xf numFmtId="44" fontId="20" fillId="0" borderId="102" xfId="3" applyNumberFormat="1" applyFont="1" applyFill="1" applyBorder="1" applyAlignment="1" applyProtection="1">
      <alignment horizontal="center"/>
      <protection hidden="1"/>
    </xf>
    <xf numFmtId="44" fontId="20" fillId="0" borderId="102" xfId="3" applyFont="1" applyFill="1" applyBorder="1" applyAlignment="1" applyProtection="1">
      <alignment horizontal="center"/>
      <protection hidden="1"/>
    </xf>
    <xf numFmtId="164" fontId="20" fillId="39" borderId="8" xfId="2" applyNumberFormat="1" applyFont="1" applyFill="1" applyBorder="1" applyAlignment="1" applyProtection="1">
      <alignment horizontal="center"/>
      <protection hidden="1"/>
    </xf>
    <xf numFmtId="0" fontId="20" fillId="6" borderId="103" xfId="0" applyFont="1" applyFill="1" applyBorder="1" applyAlignment="1" applyProtection="1">
      <alignment wrapText="1"/>
      <protection hidden="1"/>
    </xf>
    <xf numFmtId="43" fontId="20" fillId="0" borderId="98" xfId="0" applyNumberFormat="1" applyFont="1" applyFill="1" applyBorder="1" applyProtection="1">
      <protection hidden="1"/>
    </xf>
    <xf numFmtId="187" fontId="20" fillId="39" borderId="44" xfId="0" applyNumberFormat="1" applyFont="1" applyFill="1" applyBorder="1" applyAlignment="1" applyProtection="1">
      <alignment horizontal="center"/>
      <protection hidden="1"/>
    </xf>
    <xf numFmtId="0" fontId="20" fillId="0" borderId="39" xfId="0" applyFont="1" applyFill="1" applyBorder="1" applyAlignment="1" applyProtection="1">
      <alignment wrapText="1"/>
      <protection hidden="1"/>
    </xf>
    <xf numFmtId="166" fontId="20" fillId="39" borderId="42" xfId="3" applyNumberFormat="1" applyFont="1" applyFill="1" applyBorder="1" applyAlignment="1" applyProtection="1">
      <alignment horizontal="center"/>
      <protection hidden="1"/>
    </xf>
    <xf numFmtId="0" fontId="20" fillId="0" borderId="43" xfId="0" applyFont="1" applyFill="1" applyBorder="1" applyAlignment="1" applyProtection="1">
      <alignment wrapText="1"/>
      <protection hidden="1"/>
    </xf>
    <xf numFmtId="0" fontId="97" fillId="0" borderId="41" xfId="0" applyFont="1" applyFill="1" applyBorder="1" applyAlignment="1" applyProtection="1">
      <protection hidden="1"/>
    </xf>
    <xf numFmtId="0" fontId="97" fillId="0" borderId="1" xfId="0" applyFont="1" applyFill="1" applyBorder="1" applyAlignment="1" applyProtection="1">
      <protection hidden="1"/>
    </xf>
    <xf numFmtId="165" fontId="97" fillId="7" borderId="1" xfId="0" applyNumberFormat="1" applyFont="1" applyFill="1" applyBorder="1" applyAlignment="1" applyProtection="1">
      <alignment horizontal="center"/>
      <protection locked="0" hidden="1"/>
    </xf>
    <xf numFmtId="1" fontId="97" fillId="7" borderId="1" xfId="0" applyNumberFormat="1" applyFont="1" applyFill="1" applyBorder="1" applyAlignment="1" applyProtection="1">
      <alignment horizontal="center"/>
      <protection locked="0" hidden="1"/>
    </xf>
    <xf numFmtId="9" fontId="97" fillId="7" borderId="1" xfId="1" applyFont="1" applyFill="1" applyBorder="1" applyAlignment="1" applyProtection="1">
      <alignment horizontal="center"/>
      <protection locked="0" hidden="1"/>
    </xf>
    <xf numFmtId="0" fontId="97" fillId="7" borderId="42" xfId="0" applyFont="1" applyFill="1" applyBorder="1" applyAlignment="1" applyProtection="1">
      <alignment horizontal="center"/>
      <protection hidden="1"/>
    </xf>
    <xf numFmtId="8" fontId="97" fillId="7" borderId="42" xfId="1" applyNumberFormat="1" applyFont="1" applyFill="1" applyBorder="1" applyAlignment="1" applyProtection="1">
      <protection hidden="1"/>
    </xf>
    <xf numFmtId="9" fontId="97" fillId="7" borderId="42" xfId="1" applyNumberFormat="1" applyFont="1" applyFill="1" applyBorder="1" applyAlignment="1" applyProtection="1">
      <protection hidden="1"/>
    </xf>
    <xf numFmtId="8" fontId="97" fillId="0" borderId="42" xfId="1" applyNumberFormat="1" applyFont="1" applyFill="1" applyBorder="1" applyAlignment="1" applyProtection="1">
      <protection hidden="1"/>
    </xf>
    <xf numFmtId="8" fontId="20" fillId="0" borderId="43" xfId="1" applyNumberFormat="1" applyFont="1" applyFill="1" applyBorder="1" applyAlignment="1" applyProtection="1">
      <protection hidden="1"/>
    </xf>
    <xf numFmtId="0" fontId="22" fillId="6" borderId="41" xfId="0" applyFont="1" applyFill="1" applyBorder="1" applyAlignment="1" applyProtection="1">
      <alignment wrapText="1"/>
      <protection hidden="1"/>
    </xf>
    <xf numFmtId="9" fontId="97" fillId="0" borderId="1" xfId="1" applyFont="1" applyFill="1" applyBorder="1" applyAlignment="1" applyProtection="1">
      <alignment horizontal="center"/>
      <protection hidden="1"/>
    </xf>
    <xf numFmtId="188" fontId="97" fillId="0" borderId="1" xfId="0" applyNumberFormat="1" applyFont="1" applyFill="1" applyBorder="1" applyAlignment="1" applyProtection="1">
      <alignment horizontal="center"/>
      <protection hidden="1"/>
    </xf>
    <xf numFmtId="188" fontId="97" fillId="0" borderId="42" xfId="0" applyNumberFormat="1" applyFont="1" applyFill="1" applyBorder="1" applyAlignment="1" applyProtection="1">
      <alignment horizontal="center"/>
      <protection hidden="1"/>
    </xf>
    <xf numFmtId="188" fontId="20" fillId="0" borderId="42" xfId="0" applyNumberFormat="1" applyFont="1" applyFill="1" applyBorder="1" applyAlignment="1" applyProtection="1">
      <alignment horizontal="center"/>
      <protection hidden="1"/>
    </xf>
    <xf numFmtId="188" fontId="20" fillId="0" borderId="44" xfId="0" applyNumberFormat="1" applyFont="1" applyFill="1" applyBorder="1" applyAlignment="1" applyProtection="1">
      <alignment horizontal="center"/>
      <protection hidden="1"/>
    </xf>
    <xf numFmtId="0" fontId="97" fillId="0" borderId="1" xfId="0" applyFont="1" applyFill="1" applyBorder="1" applyAlignment="1" applyProtection="1">
      <alignment horizontal="center"/>
      <protection hidden="1"/>
    </xf>
    <xf numFmtId="165" fontId="97" fillId="0" borderId="4" xfId="0" applyNumberFormat="1" applyFont="1" applyFill="1" applyBorder="1" applyAlignment="1" applyProtection="1">
      <alignment horizontal="center"/>
      <protection hidden="1"/>
    </xf>
    <xf numFmtId="3" fontId="97" fillId="0" borderId="1" xfId="0" applyNumberFormat="1" applyFont="1" applyFill="1" applyBorder="1" applyAlignment="1" applyProtection="1">
      <alignment horizontal="center"/>
      <protection hidden="1"/>
    </xf>
    <xf numFmtId="167" fontId="97" fillId="0" borderId="1" xfId="1" applyNumberFormat="1" applyFont="1" applyFill="1" applyBorder="1" applyAlignment="1" applyProtection="1">
      <alignment horizontal="center"/>
      <protection hidden="1"/>
    </xf>
    <xf numFmtId="8" fontId="97" fillId="0" borderId="4" xfId="1" applyNumberFormat="1" applyFont="1" applyFill="1" applyBorder="1" applyAlignment="1" applyProtection="1">
      <protection hidden="1"/>
    </xf>
    <xf numFmtId="167" fontId="97" fillId="0" borderId="2" xfId="1" applyNumberFormat="1" applyFont="1" applyFill="1" applyBorder="1" applyAlignment="1" applyProtection="1">
      <alignment horizontal="center"/>
      <protection hidden="1"/>
    </xf>
    <xf numFmtId="8" fontId="97" fillId="0" borderId="41" xfId="1" applyNumberFormat="1" applyFont="1" applyFill="1" applyBorder="1" applyAlignment="1" applyProtection="1">
      <protection hidden="1"/>
    </xf>
    <xf numFmtId="8" fontId="97" fillId="0" borderId="1" xfId="1" applyNumberFormat="1" applyFont="1" applyFill="1" applyBorder="1" applyAlignment="1" applyProtection="1">
      <protection hidden="1"/>
    </xf>
    <xf numFmtId="8" fontId="97" fillId="0" borderId="2" xfId="1" applyNumberFormat="1" applyFont="1" applyFill="1" applyBorder="1" applyAlignment="1" applyProtection="1">
      <protection hidden="1"/>
    </xf>
    <xf numFmtId="2" fontId="97" fillId="0" borderId="41" xfId="1" applyNumberFormat="1" applyFont="1" applyFill="1" applyBorder="1" applyAlignment="1" applyProtection="1">
      <alignment horizontal="center"/>
      <protection hidden="1"/>
    </xf>
    <xf numFmtId="164" fontId="97" fillId="0" borderId="1" xfId="2" applyNumberFormat="1" applyFont="1" applyFill="1" applyBorder="1" applyAlignment="1" applyProtection="1">
      <alignment horizontal="center"/>
      <protection hidden="1"/>
    </xf>
    <xf numFmtId="44" fontId="97" fillId="0" borderId="1" xfId="3" applyFont="1" applyFill="1" applyBorder="1" applyAlignment="1" applyProtection="1">
      <alignment horizontal="center"/>
      <protection hidden="1"/>
    </xf>
    <xf numFmtId="44" fontId="97" fillId="0" borderId="1" xfId="3" applyNumberFormat="1" applyFont="1" applyFill="1" applyBorder="1" applyAlignment="1" applyProtection="1">
      <alignment horizontal="center"/>
      <protection hidden="1"/>
    </xf>
    <xf numFmtId="189" fontId="97" fillId="0" borderId="42" xfId="3" applyNumberFormat="1" applyFont="1" applyFill="1" applyBorder="1" applyAlignment="1" applyProtection="1">
      <alignment horizontal="center"/>
      <protection hidden="1"/>
    </xf>
    <xf numFmtId="8" fontId="20" fillId="0" borderId="41" xfId="1" applyNumberFormat="1" applyFont="1" applyFill="1" applyBorder="1" applyAlignment="1" applyProtection="1">
      <protection hidden="1"/>
    </xf>
    <xf numFmtId="8" fontId="20" fillId="0" borderId="2" xfId="1" applyNumberFormat="1" applyFont="1" applyFill="1" applyBorder="1" applyAlignment="1" applyProtection="1">
      <protection hidden="1"/>
    </xf>
    <xf numFmtId="44" fontId="20" fillId="0" borderId="1" xfId="3" applyNumberFormat="1" applyFont="1" applyFill="1" applyBorder="1" applyAlignment="1" applyProtection="1">
      <alignment horizontal="center"/>
      <protection hidden="1"/>
    </xf>
    <xf numFmtId="8" fontId="20" fillId="0" borderId="117" xfId="1" applyNumberFormat="1" applyFont="1" applyFill="1" applyBorder="1" applyAlignment="1" applyProtection="1">
      <protection hidden="1"/>
    </xf>
    <xf numFmtId="2" fontId="20" fillId="39" borderId="43" xfId="1" applyNumberFormat="1" applyFont="1" applyFill="1" applyBorder="1" applyAlignment="1" applyProtection="1">
      <alignment horizontal="center"/>
      <protection hidden="1"/>
    </xf>
    <xf numFmtId="164" fontId="20" fillId="39" borderId="50" xfId="2" applyNumberFormat="1" applyFont="1" applyFill="1" applyBorder="1" applyAlignment="1" applyProtection="1">
      <alignment horizontal="center"/>
      <protection hidden="1"/>
    </xf>
    <xf numFmtId="44" fontId="20" fillId="39" borderId="50" xfId="3" applyFont="1" applyFill="1" applyBorder="1" applyAlignment="1" applyProtection="1">
      <alignment horizontal="center"/>
      <protection hidden="1"/>
    </xf>
    <xf numFmtId="44" fontId="20" fillId="39" borderId="44" xfId="3" applyFont="1" applyFill="1" applyBorder="1" applyAlignment="1" applyProtection="1">
      <alignment horizontal="center"/>
      <protection hidden="1"/>
    </xf>
    <xf numFmtId="0" fontId="20" fillId="22" borderId="103" xfId="0" applyFont="1" applyFill="1" applyBorder="1" applyProtection="1">
      <protection hidden="1"/>
    </xf>
    <xf numFmtId="0" fontId="20" fillId="22" borderId="97" xfId="0" applyFont="1" applyFill="1" applyBorder="1" applyProtection="1">
      <protection hidden="1"/>
    </xf>
    <xf numFmtId="0" fontId="20" fillId="22" borderId="98" xfId="0" applyFont="1" applyFill="1" applyBorder="1" applyProtection="1">
      <protection hidden="1"/>
    </xf>
    <xf numFmtId="0" fontId="20" fillId="0" borderId="40" xfId="0" applyFont="1" applyFill="1" applyBorder="1" applyProtection="1">
      <protection hidden="1"/>
    </xf>
    <xf numFmtId="0" fontId="20" fillId="22" borderId="40" xfId="0" applyFont="1" applyFill="1" applyBorder="1" applyProtection="1">
      <protection hidden="1"/>
    </xf>
    <xf numFmtId="9" fontId="20" fillId="0" borderId="15" xfId="1" applyFont="1" applyFill="1" applyBorder="1" applyProtection="1">
      <protection hidden="1"/>
    </xf>
    <xf numFmtId="9" fontId="20" fillId="0" borderId="8" xfId="1" applyFont="1" applyFill="1" applyBorder="1" applyProtection="1">
      <protection hidden="1"/>
    </xf>
    <xf numFmtId="9" fontId="20" fillId="0" borderId="100" xfId="1" applyFont="1" applyFill="1" applyBorder="1" applyProtection="1">
      <protection hidden="1"/>
    </xf>
    <xf numFmtId="0" fontId="20" fillId="0" borderId="42" xfId="0" applyFont="1" applyFill="1" applyBorder="1" applyProtection="1">
      <protection hidden="1"/>
    </xf>
    <xf numFmtId="0" fontId="20" fillId="22" borderId="42" xfId="0" applyFont="1" applyFill="1" applyBorder="1" applyProtection="1">
      <protection hidden="1"/>
    </xf>
    <xf numFmtId="9" fontId="20" fillId="0" borderId="4" xfId="1" applyFont="1" applyFill="1" applyBorder="1" applyProtection="1">
      <protection hidden="1"/>
    </xf>
    <xf numFmtId="164" fontId="20" fillId="0" borderId="42" xfId="0" applyNumberFormat="1" applyFont="1" applyFill="1" applyBorder="1" applyProtection="1">
      <protection hidden="1"/>
    </xf>
    <xf numFmtId="44" fontId="20" fillId="0" borderId="42" xfId="0" applyNumberFormat="1" applyFont="1" applyFill="1" applyBorder="1" applyProtection="1">
      <protection hidden="1"/>
    </xf>
    <xf numFmtId="164" fontId="20" fillId="0" borderId="44" xfId="0" applyNumberFormat="1" applyFont="1" applyFill="1" applyBorder="1" applyProtection="1">
      <protection hidden="1"/>
    </xf>
    <xf numFmtId="164" fontId="20" fillId="0" borderId="40" xfId="2" applyNumberFormat="1" applyFont="1" applyFill="1" applyBorder="1" applyProtection="1">
      <protection hidden="1"/>
    </xf>
    <xf numFmtId="0" fontId="20" fillId="22" borderId="44" xfId="0" applyFont="1" applyFill="1" applyBorder="1" applyProtection="1">
      <protection hidden="1"/>
    </xf>
    <xf numFmtId="9" fontId="20" fillId="0" borderId="10" xfId="1" applyFont="1" applyFill="1" applyBorder="1" applyProtection="1">
      <protection hidden="1"/>
    </xf>
    <xf numFmtId="9" fontId="20" fillId="0" borderId="6" xfId="1" applyFont="1" applyFill="1" applyBorder="1" applyProtection="1">
      <protection hidden="1"/>
    </xf>
    <xf numFmtId="9" fontId="20" fillId="0" borderId="46" xfId="1" applyFont="1" applyFill="1" applyBorder="1" applyProtection="1">
      <protection hidden="1"/>
    </xf>
    <xf numFmtId="189" fontId="20" fillId="0" borderId="42" xfId="0" applyNumberFormat="1" applyFont="1" applyFill="1" applyBorder="1" applyProtection="1">
      <protection hidden="1"/>
    </xf>
    <xf numFmtId="0" fontId="20" fillId="6" borderId="118" xfId="0" applyFont="1" applyFill="1" applyBorder="1" applyProtection="1">
      <protection hidden="1"/>
    </xf>
    <xf numFmtId="9" fontId="20" fillId="0" borderId="39" xfId="1" applyFont="1" applyFill="1" applyBorder="1" applyProtection="1">
      <protection hidden="1"/>
    </xf>
    <xf numFmtId="9" fontId="20" fillId="0" borderId="49" xfId="1" applyFont="1" applyFill="1" applyBorder="1" applyProtection="1">
      <protection hidden="1"/>
    </xf>
    <xf numFmtId="9" fontId="20" fillId="0" borderId="40" xfId="1" applyFont="1" applyFill="1" applyBorder="1" applyProtection="1">
      <protection hidden="1"/>
    </xf>
    <xf numFmtId="189" fontId="20" fillId="0" borderId="44" xfId="0" applyNumberFormat="1" applyFont="1" applyFill="1" applyBorder="1" applyProtection="1">
      <protection hidden="1"/>
    </xf>
    <xf numFmtId="0" fontId="20" fillId="6" borderId="24" xfId="0" applyFont="1" applyFill="1" applyBorder="1" applyProtection="1">
      <protection hidden="1"/>
    </xf>
    <xf numFmtId="1" fontId="20" fillId="0" borderId="43" xfId="1" applyNumberFormat="1" applyFont="1" applyFill="1" applyBorder="1" applyProtection="1">
      <protection hidden="1"/>
    </xf>
    <xf numFmtId="1" fontId="20" fillId="0" borderId="50" xfId="1" applyNumberFormat="1" applyFont="1" applyFill="1" applyBorder="1" applyProtection="1">
      <protection hidden="1"/>
    </xf>
    <xf numFmtId="1" fontId="20" fillId="0" borderId="44" xfId="1" applyNumberFormat="1" applyFont="1" applyFill="1" applyBorder="1" applyProtection="1">
      <protection hidden="1"/>
    </xf>
    <xf numFmtId="0" fontId="20" fillId="22" borderId="39" xfId="0" applyFont="1" applyFill="1" applyBorder="1" applyProtection="1">
      <protection hidden="1"/>
    </xf>
    <xf numFmtId="0" fontId="20" fillId="22" borderId="41" xfId="0" applyFont="1" applyFill="1" applyBorder="1" applyProtection="1">
      <protection hidden="1"/>
    </xf>
    <xf numFmtId="189" fontId="20" fillId="0" borderId="1" xfId="0" applyNumberFormat="1" applyFont="1" applyFill="1" applyBorder="1" applyProtection="1">
      <protection hidden="1"/>
    </xf>
    <xf numFmtId="0" fontId="20" fillId="22" borderId="43" xfId="0" applyFont="1" applyFill="1" applyBorder="1" applyProtection="1">
      <protection hidden="1"/>
    </xf>
    <xf numFmtId="189" fontId="20" fillId="0" borderId="50" xfId="0" applyNumberFormat="1" applyFont="1" applyFill="1" applyBorder="1" applyProtection="1">
      <protection hidden="1"/>
    </xf>
    <xf numFmtId="0" fontId="22" fillId="6" borderId="39" xfId="0" applyFont="1" applyFill="1" applyBorder="1" applyProtection="1">
      <protection hidden="1"/>
    </xf>
    <xf numFmtId="169" fontId="22" fillId="6" borderId="40" xfId="0" applyNumberFormat="1" applyFont="1" applyFill="1" applyBorder="1" applyAlignment="1" applyProtection="1">
      <alignment horizontal="center"/>
      <protection hidden="1"/>
    </xf>
    <xf numFmtId="0" fontId="20" fillId="7" borderId="42" xfId="0" applyFont="1" applyFill="1" applyBorder="1" applyAlignment="1" applyProtection="1">
      <alignment horizontal="center" wrapText="1"/>
      <protection hidden="1"/>
    </xf>
    <xf numFmtId="0" fontId="20" fillId="6" borderId="11" xfId="0" applyFont="1" applyFill="1" applyBorder="1" applyAlignment="1" applyProtection="1">
      <alignment horizontal="left"/>
      <protection hidden="1"/>
    </xf>
    <xf numFmtId="0" fontId="20" fillId="6" borderId="12" xfId="0" applyFont="1" applyFill="1" applyBorder="1" applyAlignment="1" applyProtection="1">
      <alignment horizontal="left"/>
      <protection hidden="1"/>
    </xf>
    <xf numFmtId="0" fontId="22" fillId="6" borderId="103" xfId="0" applyFont="1" applyFill="1" applyBorder="1" applyAlignment="1" applyProtection="1">
      <alignment horizontal="left" vertical="center"/>
      <protection hidden="1"/>
    </xf>
    <xf numFmtId="0" fontId="20" fillId="7" borderId="23" xfId="0" applyFont="1" applyFill="1" applyBorder="1" applyAlignment="1" applyProtection="1">
      <alignment horizontal="center" vertical="center"/>
      <protection hidden="1"/>
    </xf>
    <xf numFmtId="0" fontId="20" fillId="6" borderId="39" xfId="0" applyFont="1" applyFill="1" applyBorder="1" applyProtection="1">
      <protection hidden="1"/>
    </xf>
    <xf numFmtId="0" fontId="83" fillId="6" borderId="0" xfId="0" applyFont="1" applyFill="1" applyBorder="1" applyAlignment="1" applyProtection="1">
      <alignment vertical="center"/>
      <protection hidden="1"/>
    </xf>
    <xf numFmtId="0" fontId="22" fillId="6" borderId="103" xfId="0" applyFont="1" applyFill="1" applyBorder="1" applyAlignment="1" applyProtection="1">
      <alignment horizontal="center" vertical="center" wrapText="1"/>
      <protection hidden="1"/>
    </xf>
    <xf numFmtId="0" fontId="22" fillId="6" borderId="96" xfId="0" applyFont="1" applyFill="1" applyBorder="1" applyAlignment="1" applyProtection="1">
      <alignment horizontal="center" vertical="center" wrapText="1"/>
      <protection hidden="1"/>
    </xf>
    <xf numFmtId="0" fontId="22" fillId="6" borderId="115" xfId="0" applyFont="1" applyFill="1" applyBorder="1" applyAlignment="1" applyProtection="1">
      <alignment horizontal="center" vertical="center" wrapText="1"/>
      <protection hidden="1"/>
    </xf>
    <xf numFmtId="2" fontId="20" fillId="6" borderId="32" xfId="0" applyNumberFormat="1" applyFont="1" applyFill="1" applyBorder="1" applyAlignment="1" applyProtection="1">
      <alignment horizontal="center"/>
      <protection hidden="1"/>
    </xf>
    <xf numFmtId="174" fontId="20" fillId="6" borderId="85" xfId="0" applyNumberFormat="1" applyFont="1" applyFill="1" applyBorder="1" applyAlignment="1" applyProtection="1">
      <alignment horizontal="center"/>
      <protection hidden="1"/>
    </xf>
    <xf numFmtId="174" fontId="20" fillId="0" borderId="39" xfId="1" applyNumberFormat="1" applyFont="1" applyFill="1" applyBorder="1" applyAlignment="1" applyProtection="1">
      <alignment horizontal="center"/>
      <protection hidden="1"/>
    </xf>
    <xf numFmtId="174" fontId="20" fillId="0" borderId="85" xfId="1" applyNumberFormat="1" applyFont="1" applyFill="1" applyBorder="1" applyAlignment="1" applyProtection="1">
      <alignment horizontal="center"/>
      <protection hidden="1"/>
    </xf>
    <xf numFmtId="165" fontId="20" fillId="0" borderId="85" xfId="2" applyNumberFormat="1" applyFont="1" applyFill="1" applyBorder="1" applyAlignment="1" applyProtection="1">
      <alignment horizontal="center"/>
      <protection hidden="1"/>
    </xf>
    <xf numFmtId="44" fontId="20" fillId="0" borderId="85" xfId="3" applyFont="1" applyFill="1" applyBorder="1" applyAlignment="1" applyProtection="1">
      <alignment horizontal="center"/>
      <protection hidden="1"/>
    </xf>
    <xf numFmtId="2" fontId="20" fillId="0" borderId="85" xfId="1" applyNumberFormat="1" applyFont="1" applyFill="1" applyBorder="1" applyAlignment="1" applyProtection="1">
      <alignment horizontal="center"/>
      <protection hidden="1"/>
    </xf>
    <xf numFmtId="44" fontId="20" fillId="0" borderId="40" xfId="3" applyFont="1" applyFill="1" applyBorder="1" applyAlignment="1" applyProtection="1">
      <alignment horizontal="center"/>
      <protection hidden="1"/>
    </xf>
    <xf numFmtId="180" fontId="20" fillId="6" borderId="0" xfId="1" applyNumberFormat="1" applyFont="1" applyFill="1" applyBorder="1" applyAlignment="1" applyProtection="1">
      <alignment horizontal="center"/>
      <protection hidden="1"/>
    </xf>
    <xf numFmtId="2" fontId="20" fillId="6" borderId="4" xfId="0" applyNumberFormat="1" applyFont="1" applyFill="1" applyBorder="1" applyAlignment="1" applyProtection="1">
      <alignment horizontal="center"/>
      <protection hidden="1"/>
    </xf>
    <xf numFmtId="174" fontId="20" fillId="6" borderId="13" xfId="0" applyNumberFormat="1" applyFont="1" applyFill="1" applyBorder="1" applyAlignment="1" applyProtection="1">
      <alignment horizontal="center"/>
      <protection hidden="1"/>
    </xf>
    <xf numFmtId="174" fontId="20" fillId="0" borderId="13" xfId="1" applyNumberFormat="1" applyFont="1" applyFill="1" applyBorder="1" applyAlignment="1" applyProtection="1">
      <alignment horizontal="center"/>
      <protection hidden="1"/>
    </xf>
    <xf numFmtId="165" fontId="20" fillId="0" borderId="13" xfId="2" applyNumberFormat="1" applyFont="1" applyFill="1" applyBorder="1" applyAlignment="1" applyProtection="1">
      <alignment horizontal="center"/>
      <protection hidden="1"/>
    </xf>
    <xf numFmtId="44" fontId="20" fillId="0" borderId="13" xfId="3" applyFont="1" applyFill="1" applyBorder="1" applyAlignment="1" applyProtection="1">
      <alignment horizontal="center"/>
      <protection hidden="1"/>
    </xf>
    <xf numFmtId="2" fontId="20" fillId="0" borderId="2" xfId="1" applyNumberFormat="1" applyFont="1" applyFill="1" applyBorder="1" applyAlignment="1" applyProtection="1">
      <alignment horizontal="center"/>
      <protection hidden="1"/>
    </xf>
    <xf numFmtId="44" fontId="20" fillId="0" borderId="100" xfId="3" applyFont="1" applyFill="1" applyBorder="1" applyAlignment="1" applyProtection="1">
      <alignment horizontal="center"/>
      <protection hidden="1"/>
    </xf>
    <xf numFmtId="2" fontId="20" fillId="0" borderId="43" xfId="0" applyNumberFormat="1" applyFont="1" applyFill="1" applyBorder="1" applyAlignment="1" applyProtection="1">
      <alignment horizontal="center"/>
      <protection hidden="1"/>
    </xf>
    <xf numFmtId="2" fontId="20" fillId="6" borderId="102" xfId="0" applyNumberFormat="1" applyFont="1" applyFill="1" applyBorder="1" applyAlignment="1" applyProtection="1">
      <alignment horizontal="center"/>
      <protection hidden="1"/>
    </xf>
    <xf numFmtId="174" fontId="20" fillId="6" borderId="148" xfId="0" applyNumberFormat="1" applyFont="1" applyFill="1" applyBorder="1" applyAlignment="1" applyProtection="1">
      <alignment horizontal="center"/>
      <protection hidden="1"/>
    </xf>
    <xf numFmtId="174" fontId="20" fillId="0" borderId="55" xfId="1" applyNumberFormat="1" applyFont="1" applyFill="1" applyBorder="1" applyAlignment="1" applyProtection="1">
      <alignment horizontal="center"/>
      <protection hidden="1"/>
    </xf>
    <xf numFmtId="174" fontId="20" fillId="0" borderId="148" xfId="1" applyNumberFormat="1" applyFont="1" applyFill="1" applyBorder="1" applyAlignment="1" applyProtection="1">
      <alignment horizontal="center"/>
      <protection hidden="1"/>
    </xf>
    <xf numFmtId="165" fontId="20" fillId="0" borderId="148" xfId="2" applyNumberFormat="1" applyFont="1" applyFill="1" applyBorder="1" applyAlignment="1" applyProtection="1">
      <alignment horizontal="center"/>
      <protection hidden="1"/>
    </xf>
    <xf numFmtId="44" fontId="20" fillId="0" borderId="148" xfId="3" applyFont="1" applyFill="1" applyBorder="1" applyAlignment="1" applyProtection="1">
      <alignment horizontal="center"/>
      <protection hidden="1"/>
    </xf>
    <xf numFmtId="2" fontId="20" fillId="0" borderId="117" xfId="1" applyNumberFormat="1" applyFont="1" applyFill="1" applyBorder="1" applyAlignment="1" applyProtection="1">
      <alignment horizontal="center"/>
      <protection hidden="1"/>
    </xf>
    <xf numFmtId="44" fontId="20" fillId="0" borderId="56" xfId="3" applyFont="1" applyFill="1" applyBorder="1" applyAlignment="1" applyProtection="1">
      <alignment horizontal="center"/>
      <protection hidden="1"/>
    </xf>
    <xf numFmtId="2" fontId="20" fillId="6" borderId="25" xfId="0" applyNumberFormat="1" applyFont="1" applyFill="1" applyBorder="1" applyAlignment="1" applyProtection="1">
      <alignment horizontal="center"/>
      <protection hidden="1"/>
    </xf>
    <xf numFmtId="165" fontId="20" fillId="6" borderId="33" xfId="3" applyNumberFormat="1" applyFont="1" applyFill="1" applyBorder="1" applyAlignment="1" applyProtection="1">
      <alignment horizontal="center"/>
      <protection hidden="1"/>
    </xf>
    <xf numFmtId="2" fontId="20" fillId="6" borderId="148" xfId="3" applyNumberFormat="1" applyFont="1" applyFill="1" applyBorder="1" applyAlignment="1" applyProtection="1">
      <alignment horizontal="center"/>
      <protection hidden="1"/>
    </xf>
    <xf numFmtId="165" fontId="20" fillId="6" borderId="97" xfId="3" applyNumberFormat="1" applyFont="1" applyFill="1" applyBorder="1" applyAlignment="1" applyProtection="1">
      <alignment horizontal="center"/>
      <protection hidden="1"/>
    </xf>
    <xf numFmtId="44" fontId="20" fillId="6" borderId="56" xfId="3" applyFont="1" applyFill="1" applyBorder="1" applyAlignment="1" applyProtection="1">
      <alignment horizontal="center"/>
      <protection hidden="1"/>
    </xf>
    <xf numFmtId="44" fontId="20" fillId="6" borderId="24" xfId="3" applyFont="1" applyFill="1" applyBorder="1" applyAlignment="1" applyProtection="1">
      <alignment horizontal="center"/>
      <protection hidden="1"/>
    </xf>
    <xf numFmtId="0" fontId="20" fillId="0" borderId="58" xfId="0" applyFont="1" applyFill="1" applyBorder="1" applyProtection="1">
      <protection hidden="1"/>
    </xf>
    <xf numFmtId="3" fontId="20" fillId="0" borderId="58" xfId="0" applyNumberFormat="1" applyFont="1" applyFill="1" applyBorder="1" applyAlignment="1" applyProtection="1">
      <alignment horizontal="center"/>
      <protection hidden="1"/>
    </xf>
    <xf numFmtId="0" fontId="20" fillId="6" borderId="9" xfId="0" applyFont="1" applyFill="1" applyBorder="1" applyProtection="1">
      <protection hidden="1"/>
    </xf>
    <xf numFmtId="173" fontId="20" fillId="0" borderId="60" xfId="0" applyNumberFormat="1" applyFont="1" applyFill="1" applyBorder="1" applyAlignment="1" applyProtection="1">
      <alignment horizontal="center"/>
      <protection hidden="1"/>
    </xf>
    <xf numFmtId="173" fontId="20" fillId="0" borderId="1" xfId="0" applyNumberFormat="1" applyFont="1" applyFill="1" applyBorder="1" applyAlignment="1" applyProtection="1">
      <alignment horizontal="center"/>
      <protection hidden="1"/>
    </xf>
    <xf numFmtId="1" fontId="20" fillId="7" borderId="1" xfId="0" applyNumberFormat="1" applyFont="1" applyFill="1" applyBorder="1" applyAlignment="1" applyProtection="1">
      <alignment horizontal="center"/>
      <protection hidden="1"/>
    </xf>
    <xf numFmtId="0" fontId="20" fillId="6" borderId="1" xfId="0" applyFont="1" applyFill="1" applyBorder="1" applyProtection="1">
      <protection hidden="1"/>
    </xf>
    <xf numFmtId="202" fontId="20" fillId="0" borderId="1" xfId="0" applyNumberFormat="1" applyFont="1" applyFill="1" applyBorder="1" applyAlignment="1" applyProtection="1">
      <alignment horizontal="center"/>
      <protection hidden="1"/>
    </xf>
    <xf numFmtId="202" fontId="20" fillId="39" borderId="1" xfId="0" applyNumberFormat="1" applyFont="1" applyFill="1" applyBorder="1" applyAlignment="1" applyProtection="1">
      <alignment horizontal="center"/>
      <protection hidden="1"/>
    </xf>
    <xf numFmtId="181" fontId="20" fillId="6" borderId="0" xfId="0" applyNumberFormat="1" applyFont="1" applyFill="1" applyBorder="1" applyProtection="1">
      <protection hidden="1"/>
    </xf>
    <xf numFmtId="1" fontId="20" fillId="7" borderId="49" xfId="0" applyNumberFormat="1" applyFont="1" applyFill="1" applyBorder="1" applyProtection="1">
      <protection hidden="1"/>
    </xf>
    <xf numFmtId="181" fontId="20" fillId="7" borderId="49" xfId="0" applyNumberFormat="1" applyFont="1" applyFill="1" applyBorder="1" applyProtection="1">
      <protection hidden="1"/>
    </xf>
    <xf numFmtId="196" fontId="20" fillId="7" borderId="49" xfId="0" applyNumberFormat="1" applyFont="1" applyFill="1" applyBorder="1" applyProtection="1">
      <protection hidden="1"/>
    </xf>
    <xf numFmtId="0" fontId="20" fillId="6" borderId="43" xfId="0" applyFont="1" applyFill="1" applyBorder="1" applyProtection="1">
      <protection hidden="1"/>
    </xf>
    <xf numFmtId="1" fontId="20" fillId="7" borderId="50" xfId="0" applyNumberFormat="1" applyFont="1" applyFill="1" applyBorder="1" applyProtection="1">
      <protection hidden="1"/>
    </xf>
    <xf numFmtId="181" fontId="20" fillId="7" borderId="50" xfId="0" applyNumberFormat="1" applyFont="1" applyFill="1" applyBorder="1" applyProtection="1">
      <protection hidden="1"/>
    </xf>
    <xf numFmtId="196" fontId="20" fillId="7" borderId="50" xfId="0" applyNumberFormat="1" applyFont="1" applyFill="1" applyBorder="1" applyProtection="1">
      <protection hidden="1"/>
    </xf>
    <xf numFmtId="0" fontId="20" fillId="7" borderId="10" xfId="0" applyFont="1" applyFill="1" applyBorder="1" applyProtection="1">
      <protection hidden="1"/>
    </xf>
    <xf numFmtId="0" fontId="20" fillId="7" borderId="12" xfId="0" applyFont="1" applyFill="1" applyBorder="1" applyProtection="1">
      <protection hidden="1"/>
    </xf>
    <xf numFmtId="0" fontId="20" fillId="7" borderId="15" xfId="0" applyFont="1" applyFill="1" applyBorder="1" applyProtection="1">
      <protection hidden="1"/>
    </xf>
    <xf numFmtId="1" fontId="20" fillId="7" borderId="15" xfId="0" applyNumberFormat="1" applyFont="1" applyFill="1" applyBorder="1" applyProtection="1">
      <protection hidden="1"/>
    </xf>
    <xf numFmtId="6" fontId="20" fillId="0" borderId="1" xfId="1" applyNumberFormat="1" applyFont="1" applyFill="1" applyBorder="1" applyAlignment="1" applyProtection="1">
      <protection hidden="1"/>
    </xf>
    <xf numFmtId="196" fontId="20" fillId="0" borderId="1" xfId="0" applyNumberFormat="1" applyFont="1" applyFill="1" applyBorder="1" applyProtection="1">
      <protection hidden="1"/>
    </xf>
    <xf numFmtId="181" fontId="20" fillId="0" borderId="1" xfId="0" applyNumberFormat="1" applyFont="1" applyFill="1" applyBorder="1" applyProtection="1">
      <protection hidden="1"/>
    </xf>
    <xf numFmtId="181" fontId="20" fillId="0" borderId="49" xfId="0" applyNumberFormat="1" applyFont="1" applyFill="1" applyBorder="1" applyProtection="1">
      <protection hidden="1"/>
    </xf>
    <xf numFmtId="202" fontId="64" fillId="39" borderId="1" xfId="0" applyNumberFormat="1" applyFont="1" applyFill="1" applyBorder="1" applyAlignment="1" applyProtection="1">
      <alignment horizontal="center"/>
      <protection hidden="1"/>
    </xf>
    <xf numFmtId="0" fontId="20" fillId="39" borderId="1" xfId="0" applyFont="1" applyFill="1" applyBorder="1" applyProtection="1">
      <protection hidden="1"/>
    </xf>
    <xf numFmtId="196" fontId="20" fillId="39" borderId="1" xfId="0" applyNumberFormat="1" applyFont="1" applyFill="1" applyBorder="1" applyProtection="1">
      <protection hidden="1"/>
    </xf>
    <xf numFmtId="181" fontId="20" fillId="39" borderId="1" xfId="0" applyNumberFormat="1" applyFont="1" applyFill="1" applyBorder="1" applyProtection="1">
      <protection hidden="1"/>
    </xf>
    <xf numFmtId="181" fontId="20" fillId="39" borderId="50" xfId="0" applyNumberFormat="1" applyFont="1" applyFill="1" applyBorder="1" applyProtection="1">
      <protection hidden="1"/>
    </xf>
    <xf numFmtId="0" fontId="84" fillId="6" borderId="15" xfId="0" applyFont="1" applyFill="1" applyBorder="1" applyAlignment="1" applyProtection="1">
      <alignment horizontal="center" vertical="center"/>
      <protection hidden="1"/>
    </xf>
    <xf numFmtId="200" fontId="20" fillId="0" borderId="1" xfId="0" applyNumberFormat="1" applyFont="1" applyFill="1" applyBorder="1" applyAlignment="1" applyProtection="1">
      <alignment horizontal="center"/>
      <protection hidden="1"/>
    </xf>
    <xf numFmtId="181" fontId="20" fillId="6" borderId="1" xfId="0" applyNumberFormat="1" applyFont="1" applyFill="1" applyBorder="1" applyProtection="1">
      <protection hidden="1"/>
    </xf>
    <xf numFmtId="196" fontId="20" fillId="6" borderId="1" xfId="0" applyNumberFormat="1" applyFont="1" applyFill="1" applyBorder="1" applyProtection="1">
      <protection hidden="1"/>
    </xf>
    <xf numFmtId="202" fontId="20" fillId="0" borderId="1" xfId="1" applyNumberFormat="1" applyFont="1" applyFill="1" applyBorder="1" applyAlignment="1" applyProtection="1">
      <alignment horizontal="center"/>
      <protection hidden="1"/>
    </xf>
    <xf numFmtId="210" fontId="20" fillId="0" borderId="1" xfId="1" applyNumberFormat="1" applyFont="1" applyFill="1" applyBorder="1" applyAlignment="1" applyProtection="1">
      <alignment horizontal="center"/>
      <protection hidden="1"/>
    </xf>
    <xf numFmtId="200" fontId="20" fillId="39" borderId="1" xfId="0" applyNumberFormat="1" applyFont="1" applyFill="1" applyBorder="1" applyAlignment="1" applyProtection="1">
      <alignment horizontal="center"/>
      <protection hidden="1"/>
    </xf>
    <xf numFmtId="202" fontId="20" fillId="39" borderId="1" xfId="1" applyNumberFormat="1" applyFont="1" applyFill="1" applyBorder="1" applyAlignment="1" applyProtection="1">
      <alignment horizontal="center"/>
      <protection hidden="1"/>
    </xf>
    <xf numFmtId="210" fontId="20" fillId="39" borderId="1" xfId="1" applyNumberFormat="1" applyFont="1" applyFill="1" applyBorder="1" applyAlignment="1" applyProtection="1">
      <alignment horizontal="center"/>
      <protection hidden="1"/>
    </xf>
    <xf numFmtId="44" fontId="20" fillId="39" borderId="1" xfId="3" applyFont="1" applyFill="1" applyBorder="1" applyProtection="1">
      <protection hidden="1"/>
    </xf>
    <xf numFmtId="196" fontId="20" fillId="6" borderId="0" xfId="0" applyNumberFormat="1" applyFont="1" applyFill="1" applyBorder="1" applyProtection="1">
      <protection hidden="1"/>
    </xf>
    <xf numFmtId="0" fontId="0" fillId="0" borderId="0" xfId="0" applyNumberFormat="1"/>
    <xf numFmtId="0" fontId="98" fillId="18" borderId="0" xfId="0" applyFont="1" applyFill="1" applyAlignment="1" applyProtection="1">
      <protection locked="0"/>
    </xf>
    <xf numFmtId="0" fontId="98" fillId="18" borderId="0" xfId="0" applyFont="1" applyFill="1"/>
    <xf numFmtId="3" fontId="98" fillId="18" borderId="0" xfId="0" applyNumberFormat="1" applyFont="1" applyFill="1"/>
    <xf numFmtId="4" fontId="98" fillId="18" borderId="0" xfId="0" applyNumberFormat="1" applyFont="1" applyFill="1"/>
    <xf numFmtId="9" fontId="98" fillId="18" borderId="0" xfId="1" applyFont="1" applyFill="1"/>
    <xf numFmtId="0" fontId="98" fillId="0" borderId="0" xfId="0" applyFont="1" applyFill="1"/>
    <xf numFmtId="0" fontId="98" fillId="0" borderId="1" xfId="0" applyFont="1" applyFill="1" applyBorder="1"/>
    <xf numFmtId="164" fontId="98" fillId="0" borderId="0" xfId="2" applyNumberFormat="1" applyFont="1" applyFill="1"/>
    <xf numFmtId="0" fontId="98" fillId="0" borderId="11" xfId="0" applyFont="1" applyFill="1" applyBorder="1"/>
    <xf numFmtId="0" fontId="98" fillId="40" borderId="0" xfId="0" applyFont="1" applyFill="1"/>
    <xf numFmtId="0" fontId="98" fillId="18" borderId="0" xfId="0" applyFont="1" applyFill="1" applyAlignment="1"/>
    <xf numFmtId="3" fontId="99" fillId="22" borderId="1" xfId="0" applyNumberFormat="1" applyFont="1" applyFill="1" applyBorder="1" applyAlignment="1">
      <alignment horizontal="right" vertical="center" wrapText="1"/>
    </xf>
    <xf numFmtId="3" fontId="99" fillId="12" borderId="1" xfId="0" applyNumberFormat="1" applyFont="1" applyFill="1" applyBorder="1" applyAlignment="1">
      <alignment horizontal="right" vertical="center" wrapText="1"/>
    </xf>
    <xf numFmtId="4" fontId="99" fillId="12" borderId="1" xfId="0" applyNumberFormat="1" applyFont="1" applyFill="1" applyBorder="1" applyAlignment="1">
      <alignment horizontal="right" vertical="center" wrapText="1"/>
    </xf>
    <xf numFmtId="9" fontId="99" fillId="22" borderId="2" xfId="1" applyFont="1" applyFill="1" applyBorder="1" applyAlignment="1">
      <alignment horizontal="center" vertical="center" wrapText="1"/>
    </xf>
    <xf numFmtId="9" fontId="99" fillId="22" borderId="2" xfId="1" applyFont="1" applyFill="1" applyBorder="1" applyAlignment="1">
      <alignment horizontal="center" vertical="center" wrapText="1"/>
    </xf>
    <xf numFmtId="0" fontId="99" fillId="8" borderId="1" xfId="0" applyFont="1" applyFill="1" applyBorder="1" applyAlignment="1">
      <alignment wrapText="1"/>
    </xf>
    <xf numFmtId="0" fontId="99" fillId="0" borderId="1" xfId="0" applyFont="1" applyFill="1" applyBorder="1" applyAlignment="1">
      <alignment wrapText="1"/>
    </xf>
    <xf numFmtId="0" fontId="99" fillId="8" borderId="2" xfId="0" applyFont="1" applyFill="1" applyBorder="1" applyAlignment="1">
      <alignment wrapText="1"/>
    </xf>
    <xf numFmtId="0" fontId="98" fillId="8" borderId="1" xfId="0" applyFont="1" applyFill="1" applyBorder="1" applyAlignment="1">
      <alignment wrapText="1"/>
    </xf>
    <xf numFmtId="0" fontId="98" fillId="0" borderId="0" xfId="0" applyFont="1" applyFill="1" applyAlignment="1">
      <alignment wrapText="1"/>
    </xf>
    <xf numFmtId="0" fontId="98" fillId="40" borderId="0" xfId="0" applyFont="1" applyFill="1" applyAlignment="1">
      <alignment wrapText="1"/>
    </xf>
    <xf numFmtId="3" fontId="99" fillId="7" borderId="1" xfId="0" applyNumberFormat="1" applyFont="1" applyFill="1" applyBorder="1" applyAlignment="1">
      <alignment horizontal="right" vertical="center" wrapText="1"/>
    </xf>
    <xf numFmtId="0" fontId="99" fillId="0" borderId="0" xfId="0" applyFont="1" applyFill="1" applyAlignment="1">
      <alignment horizontal="right" wrapText="1"/>
    </xf>
    <xf numFmtId="0" fontId="99" fillId="18" borderId="0" xfId="0" applyFont="1" applyFill="1" applyAlignment="1">
      <alignment horizontal="right"/>
    </xf>
    <xf numFmtId="3" fontId="98" fillId="22" borderId="1" xfId="0" applyNumberFormat="1" applyFont="1" applyFill="1" applyBorder="1" applyAlignment="1">
      <alignment horizontal="right" vertical="center" wrapText="1"/>
    </xf>
    <xf numFmtId="4" fontId="98" fillId="22" borderId="1" xfId="0" applyNumberFormat="1" applyFont="1" applyFill="1" applyBorder="1" applyAlignment="1">
      <alignment horizontal="right" vertical="center" wrapText="1"/>
    </xf>
    <xf numFmtId="9" fontId="99" fillId="22" borderId="1" xfId="1" applyFont="1" applyFill="1" applyBorder="1" applyAlignment="1">
      <alignment horizontal="right" vertical="center" wrapText="1"/>
    </xf>
    <xf numFmtId="0" fontId="99" fillId="0" borderId="1" xfId="0" applyFont="1" applyFill="1" applyBorder="1" applyAlignment="1">
      <alignment horizontal="right"/>
    </xf>
    <xf numFmtId="0" fontId="99" fillId="0" borderId="2" xfId="0" applyFont="1" applyFill="1" applyBorder="1" applyAlignment="1">
      <alignment horizontal="right"/>
    </xf>
    <xf numFmtId="0" fontId="99" fillId="0" borderId="1" xfId="0" applyFont="1" applyFill="1" applyBorder="1" applyAlignment="1">
      <alignment horizontal="right" wrapText="1"/>
    </xf>
    <xf numFmtId="164" fontId="99" fillId="0" borderId="0" xfId="2" applyNumberFormat="1" applyFont="1" applyFill="1" applyAlignment="1">
      <alignment horizontal="right"/>
    </xf>
    <xf numFmtId="0" fontId="99" fillId="0" borderId="0" xfId="0" applyFont="1" applyFill="1" applyAlignment="1">
      <alignment horizontal="right"/>
    </xf>
    <xf numFmtId="3" fontId="98" fillId="22" borderId="2" xfId="0" applyNumberFormat="1" applyFont="1" applyFill="1" applyBorder="1" applyAlignment="1">
      <alignment horizontal="right" vertical="center" wrapText="1"/>
    </xf>
    <xf numFmtId="0" fontId="99" fillId="40" borderId="0" xfId="0" applyFont="1" applyFill="1" applyAlignment="1">
      <alignment horizontal="right"/>
    </xf>
    <xf numFmtId="0" fontId="98" fillId="41" borderId="0" xfId="0" applyFont="1" applyFill="1" applyAlignment="1"/>
    <xf numFmtId="0" fontId="98" fillId="41" borderId="0" xfId="0" applyFont="1" applyFill="1"/>
    <xf numFmtId="3" fontId="98" fillId="41" borderId="0" xfId="0" applyNumberFormat="1" applyFont="1" applyFill="1"/>
    <xf numFmtId="4" fontId="98" fillId="41" borderId="0" xfId="0" applyNumberFormat="1" applyFont="1" applyFill="1"/>
    <xf numFmtId="9" fontId="98" fillId="41" borderId="0" xfId="1" applyFont="1" applyFill="1"/>
    <xf numFmtId="167" fontId="98" fillId="0" borderId="0" xfId="1" applyNumberFormat="1" applyFont="1" applyFill="1"/>
    <xf numFmtId="0" fontId="98" fillId="0" borderId="2" xfId="0" applyFont="1" applyFill="1" applyBorder="1"/>
    <xf numFmtId="14" fontId="98" fillId="0" borderId="1" xfId="0" applyNumberFormat="1" applyFont="1" applyFill="1" applyBorder="1"/>
    <xf numFmtId="0" fontId="99" fillId="42" borderId="2" xfId="0" applyFont="1" applyFill="1" applyBorder="1" applyAlignment="1"/>
    <xf numFmtId="0" fontId="99" fillId="42" borderId="1" xfId="0" applyFont="1" applyFill="1" applyBorder="1" applyAlignment="1">
      <alignment wrapText="1"/>
    </xf>
    <xf numFmtId="3" fontId="98" fillId="42" borderId="1" xfId="0" applyNumberFormat="1" applyFont="1" applyFill="1" applyBorder="1" applyAlignment="1">
      <alignment wrapText="1"/>
    </xf>
    <xf numFmtId="4" fontId="98" fillId="42" borderId="1" xfId="0" applyNumberFormat="1" applyFont="1" applyFill="1" applyBorder="1" applyAlignment="1">
      <alignment wrapText="1"/>
    </xf>
    <xf numFmtId="9" fontId="98" fillId="42" borderId="1" xfId="1" applyFont="1" applyFill="1" applyBorder="1" applyAlignment="1">
      <alignment wrapText="1"/>
    </xf>
    <xf numFmtId="9" fontId="98" fillId="42" borderId="3" xfId="1" applyFont="1" applyFill="1" applyBorder="1" applyAlignment="1">
      <alignment wrapText="1"/>
    </xf>
    <xf numFmtId="3" fontId="99" fillId="11" borderId="3" xfId="0" applyNumberFormat="1" applyFont="1" applyFill="1" applyBorder="1" applyAlignment="1">
      <alignment wrapText="1"/>
    </xf>
    <xf numFmtId="0" fontId="98" fillId="42" borderId="0" xfId="0" applyFont="1" applyFill="1"/>
    <xf numFmtId="173" fontId="99" fillId="42" borderId="3" xfId="3" applyNumberFormat="1" applyFont="1" applyFill="1" applyBorder="1" applyAlignment="1">
      <alignment wrapText="1"/>
    </xf>
    <xf numFmtId="164" fontId="99" fillId="42" borderId="3" xfId="2" applyNumberFormat="1" applyFont="1" applyFill="1" applyBorder="1" applyAlignment="1">
      <alignment wrapText="1"/>
    </xf>
    <xf numFmtId="0" fontId="98" fillId="7" borderId="0" xfId="0" applyFont="1" applyFill="1" applyBorder="1" applyAlignment="1">
      <alignment horizontal="right"/>
    </xf>
    <xf numFmtId="0" fontId="98" fillId="0" borderId="1" xfId="0" applyFont="1" applyFill="1" applyBorder="1" applyAlignment="1">
      <alignment horizontal="right" wrapText="1"/>
    </xf>
    <xf numFmtId="3" fontId="98" fillId="0" borderId="1" xfId="0" applyNumberFormat="1" applyFont="1" applyFill="1" applyBorder="1" applyAlignment="1">
      <alignment wrapText="1"/>
    </xf>
    <xf numFmtId="2" fontId="98" fillId="0" borderId="1" xfId="0" applyNumberFormat="1" applyFont="1" applyFill="1" applyBorder="1" applyAlignment="1">
      <alignment wrapText="1"/>
    </xf>
    <xf numFmtId="0" fontId="100" fillId="0" borderId="1" xfId="0" applyFont="1" applyFill="1" applyBorder="1"/>
    <xf numFmtId="9" fontId="98" fillId="0" borderId="1" xfId="1" applyFont="1" applyFill="1" applyBorder="1"/>
    <xf numFmtId="3" fontId="98" fillId="0" borderId="1" xfId="0" applyNumberFormat="1" applyFont="1" applyFill="1" applyBorder="1"/>
    <xf numFmtId="4" fontId="98" fillId="0" borderId="1" xfId="0" applyNumberFormat="1" applyFont="1" applyFill="1" applyBorder="1"/>
    <xf numFmtId="44" fontId="98" fillId="0" borderId="1" xfId="0" applyNumberFormat="1" applyFont="1" applyFill="1" applyBorder="1"/>
    <xf numFmtId="166" fontId="98" fillId="0" borderId="1" xfId="0" applyNumberFormat="1" applyFont="1" applyFill="1" applyBorder="1"/>
    <xf numFmtId="44" fontId="98" fillId="0" borderId="1" xfId="3" applyFont="1" applyFill="1" applyBorder="1"/>
    <xf numFmtId="44" fontId="98" fillId="0" borderId="2" xfId="0" applyNumberFormat="1" applyFont="1" applyFill="1" applyBorder="1"/>
    <xf numFmtId="183" fontId="98" fillId="0" borderId="1" xfId="1" applyNumberFormat="1" applyFont="1" applyFill="1" applyBorder="1"/>
    <xf numFmtId="9" fontId="98" fillId="0" borderId="1" xfId="0" applyNumberFormat="1" applyFont="1" applyFill="1" applyBorder="1"/>
    <xf numFmtId="164" fontId="98" fillId="0" borderId="4" xfId="2" applyNumberFormat="1" applyFont="1" applyFill="1" applyBorder="1"/>
    <xf numFmtId="164" fontId="98" fillId="0" borderId="1" xfId="2" applyNumberFormat="1" applyFont="1" applyFill="1" applyBorder="1"/>
    <xf numFmtId="44" fontId="98" fillId="0" borderId="11" xfId="0" applyNumberFormat="1" applyFont="1" applyFill="1" applyBorder="1"/>
    <xf numFmtId="1" fontId="98" fillId="0" borderId="1" xfId="0" applyNumberFormat="1" applyFont="1" applyFill="1" applyBorder="1" applyAlignment="1">
      <alignment wrapText="1"/>
    </xf>
    <xf numFmtId="3" fontId="98" fillId="0" borderId="0" xfId="0" applyNumberFormat="1" applyFont="1" applyFill="1"/>
    <xf numFmtId="44" fontId="98" fillId="0" borderId="0" xfId="0" applyNumberFormat="1" applyFont="1" applyFill="1"/>
    <xf numFmtId="0" fontId="98" fillId="0" borderId="0" xfId="0" applyFont="1" applyFill="1" applyBorder="1" applyAlignment="1">
      <alignment horizontal="right"/>
    </xf>
    <xf numFmtId="8" fontId="98" fillId="0" borderId="1" xfId="0" applyNumberFormat="1" applyFont="1" applyFill="1" applyBorder="1"/>
    <xf numFmtId="3" fontId="98" fillId="11" borderId="1" xfId="0" applyNumberFormat="1" applyFont="1" applyFill="1" applyBorder="1" applyAlignment="1">
      <alignment wrapText="1"/>
    </xf>
    <xf numFmtId="2" fontId="98" fillId="11" borderId="1" xfId="0" applyNumberFormat="1" applyFont="1" applyFill="1" applyBorder="1" applyAlignment="1">
      <alignment wrapText="1"/>
    </xf>
    <xf numFmtId="8" fontId="98" fillId="11" borderId="1" xfId="0" applyNumberFormat="1" applyFont="1" applyFill="1" applyBorder="1"/>
    <xf numFmtId="44" fontId="98" fillId="11" borderId="1" xfId="0" applyNumberFormat="1" applyFont="1" applyFill="1" applyBorder="1"/>
    <xf numFmtId="0" fontId="98" fillId="11" borderId="1" xfId="0" applyFont="1" applyFill="1" applyBorder="1"/>
    <xf numFmtId="6" fontId="98" fillId="0" borderId="1" xfId="0" applyNumberFormat="1" applyFont="1" applyFill="1" applyBorder="1"/>
    <xf numFmtId="164" fontId="98" fillId="34" borderId="1" xfId="2" applyNumberFormat="1" applyFont="1" applyFill="1" applyBorder="1"/>
    <xf numFmtId="0" fontId="100" fillId="7" borderId="2" xfId="0" applyFont="1" applyFill="1" applyBorder="1" applyAlignment="1">
      <alignment horizontal="right"/>
    </xf>
    <xf numFmtId="9" fontId="98" fillId="0" borderId="11" xfId="0" applyNumberFormat="1" applyFont="1" applyFill="1" applyBorder="1"/>
    <xf numFmtId="165" fontId="98" fillId="0" borderId="1" xfId="0" applyNumberFormat="1" applyFont="1" applyFill="1" applyBorder="1" applyAlignment="1">
      <alignment wrapText="1"/>
    </xf>
    <xf numFmtId="165" fontId="98" fillId="11" borderId="1" xfId="0" applyNumberFormat="1" applyFont="1" applyFill="1" applyBorder="1" applyAlignment="1">
      <alignment wrapText="1"/>
    </xf>
    <xf numFmtId="199" fontId="98" fillId="0" borderId="1" xfId="3" applyNumberFormat="1" applyFont="1" applyFill="1" applyBorder="1"/>
    <xf numFmtId="168" fontId="98" fillId="0" borderId="1" xfId="0" applyNumberFormat="1" applyFont="1" applyFill="1" applyBorder="1" applyAlignment="1">
      <alignment wrapText="1"/>
    </xf>
    <xf numFmtId="177" fontId="98" fillId="0" borderId="1" xfId="0" applyNumberFormat="1" applyFont="1" applyFill="1" applyBorder="1" applyAlignment="1">
      <alignment wrapText="1"/>
    </xf>
    <xf numFmtId="4" fontId="98" fillId="0" borderId="1" xfId="0" applyNumberFormat="1" applyFont="1" applyFill="1" applyBorder="1" applyAlignment="1">
      <alignment wrapText="1"/>
    </xf>
    <xf numFmtId="4" fontId="98" fillId="11" borderId="1" xfId="0" applyNumberFormat="1" applyFont="1" applyFill="1" applyBorder="1" applyAlignment="1">
      <alignment wrapText="1"/>
    </xf>
    <xf numFmtId="6" fontId="98" fillId="11" borderId="1" xfId="0" applyNumberFormat="1" applyFont="1" applyFill="1" applyBorder="1"/>
    <xf numFmtId="180" fontId="98" fillId="0" borderId="1" xfId="0" applyNumberFormat="1" applyFont="1" applyFill="1" applyBorder="1" applyAlignment="1">
      <alignment wrapText="1"/>
    </xf>
    <xf numFmtId="2" fontId="23" fillId="0" borderId="1" xfId="0" applyNumberFormat="1" applyFont="1" applyFill="1" applyBorder="1" applyAlignment="1">
      <alignment wrapText="1"/>
    </xf>
    <xf numFmtId="9" fontId="98" fillId="0" borderId="0" xfId="0" applyNumberFormat="1" applyFont="1" applyFill="1"/>
    <xf numFmtId="44" fontId="98" fillId="11" borderId="1" xfId="3" applyFont="1" applyFill="1" applyBorder="1"/>
    <xf numFmtId="8" fontId="98" fillId="0" borderId="1" xfId="3" applyNumberFormat="1" applyFont="1" applyFill="1" applyBorder="1"/>
    <xf numFmtId="6" fontId="98" fillId="0" borderId="1" xfId="3" applyNumberFormat="1" applyFont="1" applyFill="1" applyBorder="1"/>
    <xf numFmtId="8" fontId="98" fillId="11" borderId="1" xfId="3" applyNumberFormat="1" applyFont="1" applyFill="1" applyBorder="1"/>
    <xf numFmtId="6" fontId="98" fillId="11" borderId="1" xfId="3" applyNumberFormat="1" applyFont="1" applyFill="1" applyBorder="1"/>
    <xf numFmtId="3" fontId="98" fillId="7" borderId="1" xfId="0" applyNumberFormat="1" applyFont="1" applyFill="1" applyBorder="1" applyAlignment="1">
      <alignment wrapText="1"/>
    </xf>
    <xf numFmtId="0" fontId="98" fillId="7" borderId="1" xfId="0" applyFont="1" applyFill="1" applyBorder="1" applyAlignment="1">
      <alignment horizontal="right" wrapText="1"/>
    </xf>
    <xf numFmtId="165" fontId="98" fillId="7" borderId="1" xfId="0" applyNumberFormat="1" applyFont="1" applyFill="1" applyBorder="1" applyAlignment="1">
      <alignment wrapText="1"/>
    </xf>
    <xf numFmtId="2" fontId="98" fillId="7" borderId="1" xfId="0" applyNumberFormat="1" applyFont="1" applyFill="1" applyBorder="1" applyAlignment="1">
      <alignment wrapText="1"/>
    </xf>
    <xf numFmtId="3" fontId="99" fillId="42" borderId="3" xfId="0" applyNumberFormat="1" applyFont="1" applyFill="1" applyBorder="1" applyAlignment="1">
      <alignment wrapText="1"/>
    </xf>
    <xf numFmtId="3" fontId="99" fillId="42" borderId="5" xfId="0" applyNumberFormat="1" applyFont="1" applyFill="1" applyBorder="1" applyAlignment="1">
      <alignment wrapText="1"/>
    </xf>
    <xf numFmtId="173" fontId="99" fillId="42" borderId="5" xfId="3" applyNumberFormat="1" applyFont="1" applyFill="1" applyBorder="1" applyAlignment="1">
      <alignment wrapText="1"/>
    </xf>
    <xf numFmtId="173" fontId="99" fillId="42" borderId="5" xfId="0" applyNumberFormat="1" applyFont="1" applyFill="1" applyBorder="1" applyAlignment="1">
      <alignment wrapText="1"/>
    </xf>
    <xf numFmtId="0" fontId="98" fillId="42" borderId="1" xfId="0" applyFont="1" applyFill="1" applyBorder="1"/>
    <xf numFmtId="183" fontId="98" fillId="42" borderId="1" xfId="1" applyNumberFormat="1" applyFont="1" applyFill="1" applyBorder="1"/>
    <xf numFmtId="9" fontId="98" fillId="42" borderId="1" xfId="1" applyFont="1" applyFill="1" applyBorder="1"/>
    <xf numFmtId="0" fontId="98" fillId="42" borderId="2" xfId="0" applyFont="1" applyFill="1" applyBorder="1"/>
    <xf numFmtId="44" fontId="98" fillId="42" borderId="1" xfId="0" applyNumberFormat="1" applyFont="1" applyFill="1" applyBorder="1"/>
    <xf numFmtId="9" fontId="98" fillId="42" borderId="1" xfId="0" applyNumberFormat="1" applyFont="1" applyFill="1" applyBorder="1"/>
    <xf numFmtId="164" fontId="99" fillId="42" borderId="5" xfId="2" applyNumberFormat="1" applyFont="1" applyFill="1" applyBorder="1" applyAlignment="1">
      <alignment wrapText="1"/>
    </xf>
    <xf numFmtId="0" fontId="98" fillId="42" borderId="11" xfId="0" applyFont="1" applyFill="1" applyBorder="1"/>
    <xf numFmtId="165" fontId="98" fillId="0" borderId="1" xfId="0" applyNumberFormat="1" applyFont="1" applyFill="1" applyBorder="1"/>
    <xf numFmtId="166" fontId="98" fillId="0" borderId="1" xfId="3" applyNumberFormat="1" applyFont="1" applyFill="1" applyBorder="1"/>
    <xf numFmtId="0" fontId="99" fillId="42" borderId="1" xfId="0" applyFont="1" applyFill="1" applyBorder="1" applyAlignment="1"/>
    <xf numFmtId="3" fontId="99" fillId="42" borderId="1" xfId="0" applyNumberFormat="1" applyFont="1" applyFill="1" applyBorder="1" applyAlignment="1">
      <alignment wrapText="1"/>
    </xf>
    <xf numFmtId="0" fontId="98" fillId="0" borderId="1" xfId="0" applyFont="1" applyFill="1" applyBorder="1" applyAlignment="1">
      <alignment horizontal="right"/>
    </xf>
    <xf numFmtId="0" fontId="99" fillId="42" borderId="2" xfId="0" applyFont="1" applyFill="1" applyBorder="1" applyAlignment="1">
      <alignment horizontal="left"/>
    </xf>
    <xf numFmtId="3" fontId="98" fillId="42" borderId="1" xfId="0" applyNumberFormat="1" applyFont="1" applyFill="1" applyBorder="1"/>
    <xf numFmtId="4" fontId="98" fillId="42" borderId="1" xfId="0" applyNumberFormat="1" applyFont="1" applyFill="1" applyBorder="1"/>
    <xf numFmtId="0" fontId="98" fillId="18" borderId="2" xfId="0" applyFont="1" applyFill="1" applyBorder="1" applyAlignment="1">
      <alignment horizontal="right"/>
    </xf>
    <xf numFmtId="0" fontId="98" fillId="18" borderId="1" xfId="0" applyFont="1" applyFill="1" applyBorder="1"/>
    <xf numFmtId="3" fontId="98" fillId="18" borderId="1" xfId="0" applyNumberFormat="1" applyFont="1" applyFill="1" applyBorder="1"/>
    <xf numFmtId="4" fontId="98" fillId="18" borderId="1" xfId="0" applyNumberFormat="1" applyFont="1" applyFill="1" applyBorder="1"/>
    <xf numFmtId="9" fontId="98" fillId="18" borderId="1" xfId="1" applyFont="1" applyFill="1" applyBorder="1"/>
    <xf numFmtId="0" fontId="98" fillId="18" borderId="0" xfId="0" applyFont="1" applyFill="1" applyBorder="1" applyAlignment="1">
      <alignment horizontal="right"/>
    </xf>
    <xf numFmtId="0" fontId="99" fillId="42" borderId="0" xfId="0" applyFont="1" applyFill="1" applyAlignment="1"/>
    <xf numFmtId="166" fontId="98" fillId="42" borderId="1" xfId="0" applyNumberFormat="1" applyFont="1" applyFill="1" applyBorder="1"/>
    <xf numFmtId="164" fontId="98" fillId="42" borderId="0" xfId="2" applyNumberFormat="1" applyFont="1" applyFill="1"/>
    <xf numFmtId="0" fontId="98" fillId="0" borderId="2" xfId="0" applyFont="1" applyFill="1" applyBorder="1" applyAlignment="1">
      <alignment horizontal="right"/>
    </xf>
    <xf numFmtId="3" fontId="98" fillId="18" borderId="1" xfId="0" quotePrefix="1" applyNumberFormat="1" applyFont="1" applyFill="1" applyBorder="1"/>
    <xf numFmtId="0" fontId="99" fillId="43" borderId="1" xfId="0" applyFont="1" applyFill="1" applyBorder="1" applyAlignment="1"/>
    <xf numFmtId="0" fontId="98" fillId="43" borderId="1" xfId="0" applyFont="1" applyFill="1" applyBorder="1" applyAlignment="1">
      <alignment horizontal="right"/>
    </xf>
    <xf numFmtId="0" fontId="98" fillId="43" borderId="1" xfId="0" applyFont="1" applyFill="1" applyBorder="1" applyAlignment="1">
      <alignment horizontal="right" wrapText="1"/>
    </xf>
    <xf numFmtId="3" fontId="98" fillId="43" borderId="1" xfId="0" applyNumberFormat="1" applyFont="1" applyFill="1" applyBorder="1" applyAlignment="1">
      <alignment wrapText="1"/>
    </xf>
    <xf numFmtId="2" fontId="98" fillId="43" borderId="1" xfId="0" applyNumberFormat="1" applyFont="1" applyFill="1" applyBorder="1" applyAlignment="1">
      <alignment wrapText="1"/>
    </xf>
    <xf numFmtId="9" fontId="98" fillId="43" borderId="1" xfId="1" applyFont="1" applyFill="1" applyBorder="1"/>
    <xf numFmtId="3" fontId="98" fillId="43" borderId="1" xfId="0" applyNumberFormat="1" applyFont="1" applyFill="1" applyBorder="1"/>
    <xf numFmtId="4" fontId="98" fillId="43" borderId="1" xfId="0" applyNumberFormat="1" applyFont="1" applyFill="1" applyBorder="1"/>
    <xf numFmtId="44" fontId="98" fillId="43" borderId="1" xfId="3" applyFont="1" applyFill="1" applyBorder="1"/>
    <xf numFmtId="0" fontId="98" fillId="43" borderId="1" xfId="0" applyFont="1" applyFill="1" applyBorder="1"/>
    <xf numFmtId="0" fontId="98" fillId="43" borderId="2" xfId="0" applyFont="1" applyFill="1" applyBorder="1"/>
    <xf numFmtId="9" fontId="98" fillId="43" borderId="1" xfId="0" applyNumberFormat="1" applyFont="1" applyFill="1" applyBorder="1"/>
    <xf numFmtId="0" fontId="98" fillId="43" borderId="0" xfId="0" applyFont="1" applyFill="1"/>
    <xf numFmtId="0" fontId="98" fillId="43" borderId="11" xfId="0" applyFont="1" applyFill="1" applyBorder="1"/>
    <xf numFmtId="0" fontId="98" fillId="29" borderId="0" xfId="0" applyFont="1" applyFill="1" applyBorder="1" applyAlignment="1">
      <alignment horizontal="right"/>
    </xf>
    <xf numFmtId="0" fontId="98" fillId="0" borderId="0" xfId="0" applyFont="1" applyFill="1" applyAlignment="1"/>
    <xf numFmtId="0" fontId="98" fillId="44" borderId="0" xfId="0" applyFont="1" applyFill="1" applyAlignment="1"/>
    <xf numFmtId="183" fontId="98" fillId="0" borderId="0" xfId="1" applyNumberFormat="1" applyFont="1" applyFill="1"/>
    <xf numFmtId="9" fontId="98" fillId="0" borderId="0" xfId="1" applyFont="1" applyFill="1"/>
    <xf numFmtId="0" fontId="99" fillId="42" borderId="1" xfId="0" applyFont="1" applyFill="1" applyBorder="1" applyAlignment="1">
      <alignment horizontal="left"/>
    </xf>
    <xf numFmtId="0" fontId="98" fillId="29" borderId="1" xfId="0" applyFont="1" applyFill="1" applyBorder="1" applyAlignment="1">
      <alignment horizontal="right"/>
    </xf>
    <xf numFmtId="44" fontId="98" fillId="12" borderId="1" xfId="0" applyNumberFormat="1" applyFont="1" applyFill="1" applyBorder="1"/>
    <xf numFmtId="44" fontId="98" fillId="0" borderId="1" xfId="3" applyNumberFormat="1" applyFont="1" applyFill="1" applyBorder="1"/>
    <xf numFmtId="0" fontId="98" fillId="12" borderId="1" xfId="0" applyFont="1" applyFill="1" applyBorder="1" applyAlignment="1">
      <alignment horizontal="right"/>
    </xf>
    <xf numFmtId="2" fontId="98" fillId="0" borderId="1" xfId="0" applyNumberFormat="1" applyFont="1" applyFill="1" applyBorder="1"/>
    <xf numFmtId="8" fontId="98" fillId="12" borderId="1" xfId="0" applyNumberFormat="1" applyFont="1" applyFill="1" applyBorder="1"/>
    <xf numFmtId="4" fontId="98" fillId="11" borderId="1" xfId="0" applyNumberFormat="1" applyFont="1" applyFill="1" applyBorder="1"/>
    <xf numFmtId="2" fontId="98" fillId="11" borderId="1" xfId="0" applyNumberFormat="1" applyFont="1" applyFill="1" applyBorder="1"/>
    <xf numFmtId="6" fontId="98" fillId="12" borderId="1" xfId="0" applyNumberFormat="1" applyFont="1" applyFill="1" applyBorder="1"/>
    <xf numFmtId="0" fontId="100" fillId="12" borderId="1" xfId="0" applyFont="1" applyFill="1" applyBorder="1" applyAlignment="1">
      <alignment horizontal="right"/>
    </xf>
    <xf numFmtId="189" fontId="98" fillId="11" borderId="1" xfId="0" applyNumberFormat="1" applyFont="1" applyFill="1" applyBorder="1"/>
    <xf numFmtId="189" fontId="98" fillId="0" borderId="0" xfId="0" applyNumberFormat="1" applyFont="1" applyFill="1"/>
    <xf numFmtId="0" fontId="98" fillId="12" borderId="0" xfId="0" applyFont="1" applyFill="1" applyBorder="1" applyAlignment="1">
      <alignment horizontal="right"/>
    </xf>
    <xf numFmtId="0" fontId="98" fillId="0" borderId="50" xfId="0" applyFont="1" applyFill="1" applyBorder="1" applyAlignment="1">
      <alignment horizontal="right"/>
    </xf>
    <xf numFmtId="0" fontId="98" fillId="18" borderId="50" xfId="0" applyFont="1" applyFill="1" applyBorder="1"/>
    <xf numFmtId="0" fontId="98" fillId="0" borderId="149" xfId="0" applyFont="1" applyFill="1" applyBorder="1"/>
    <xf numFmtId="0" fontId="98" fillId="0" borderId="117" xfId="0" applyFont="1" applyFill="1" applyBorder="1"/>
    <xf numFmtId="0" fontId="98" fillId="40" borderId="149" xfId="0" applyFont="1" applyFill="1" applyBorder="1"/>
    <xf numFmtId="3" fontId="98" fillId="12" borderId="1" xfId="0" applyNumberFormat="1" applyFont="1" applyFill="1" applyBorder="1" applyAlignment="1"/>
    <xf numFmtId="3" fontId="98" fillId="0" borderId="1" xfId="0" applyNumberFormat="1" applyFont="1" applyFill="1" applyBorder="1" applyAlignment="1"/>
    <xf numFmtId="0" fontId="98" fillId="12" borderId="1" xfId="0" applyFont="1" applyFill="1" applyBorder="1" applyAlignment="1"/>
    <xf numFmtId="179" fontId="98" fillId="0" borderId="1" xfId="0" applyNumberFormat="1" applyFont="1" applyFill="1" applyBorder="1"/>
    <xf numFmtId="174" fontId="98" fillId="0" borderId="1" xfId="0" applyNumberFormat="1" applyFont="1" applyFill="1" applyBorder="1"/>
    <xf numFmtId="3" fontId="98" fillId="11" borderId="1" xfId="0" applyNumberFormat="1" applyFont="1" applyFill="1" applyBorder="1"/>
    <xf numFmtId="179" fontId="98" fillId="11" borderId="1" xfId="0" applyNumberFormat="1" applyFont="1" applyFill="1" applyBorder="1"/>
    <xf numFmtId="174" fontId="98" fillId="11" borderId="1" xfId="0" applyNumberFormat="1" applyFont="1" applyFill="1" applyBorder="1"/>
    <xf numFmtId="0" fontId="98" fillId="0" borderId="1" xfId="0" applyFont="1" applyFill="1" applyBorder="1" applyAlignment="1"/>
    <xf numFmtId="0" fontId="98" fillId="20" borderId="1" xfId="0" applyFont="1" applyFill="1" applyBorder="1" applyAlignment="1"/>
    <xf numFmtId="168" fontId="98" fillId="0" borderId="0" xfId="0" applyNumberFormat="1" applyFont="1" applyFill="1"/>
    <xf numFmtId="0" fontId="98" fillId="11" borderId="1" xfId="0" applyFont="1" applyFill="1" applyBorder="1" applyAlignment="1"/>
    <xf numFmtId="9" fontId="98" fillId="11" borderId="1" xfId="1" applyFont="1" applyFill="1" applyBorder="1"/>
    <xf numFmtId="166" fontId="98" fillId="11" borderId="1" xfId="0" applyNumberFormat="1" applyFont="1" applyFill="1" applyBorder="1"/>
    <xf numFmtId="44" fontId="98" fillId="11" borderId="1" xfId="3" applyNumberFormat="1" applyFont="1" applyFill="1" applyBorder="1"/>
    <xf numFmtId="44" fontId="98" fillId="11" borderId="2" xfId="0" applyNumberFormat="1" applyFont="1" applyFill="1" applyBorder="1"/>
    <xf numFmtId="183" fontId="98" fillId="11" borderId="1" xfId="1" applyNumberFormat="1" applyFont="1" applyFill="1" applyBorder="1"/>
    <xf numFmtId="0" fontId="98" fillId="11" borderId="2" xfId="0" applyFont="1" applyFill="1" applyBorder="1"/>
    <xf numFmtId="164" fontId="98" fillId="11" borderId="4" xfId="2" applyNumberFormat="1" applyFont="1" applyFill="1" applyBorder="1"/>
    <xf numFmtId="164" fontId="98" fillId="11" borderId="1" xfId="2" applyNumberFormat="1" applyFont="1" applyFill="1" applyBorder="1"/>
    <xf numFmtId="0" fontId="98" fillId="11" borderId="0" xfId="0" applyFont="1" applyFill="1"/>
    <xf numFmtId="44" fontId="98" fillId="11" borderId="11" xfId="0" applyNumberFormat="1" applyFont="1" applyFill="1" applyBorder="1"/>
    <xf numFmtId="0" fontId="98" fillId="11" borderId="11" xfId="0" applyFont="1" applyFill="1" applyBorder="1"/>
    <xf numFmtId="215" fontId="98" fillId="0" borderId="1" xfId="0" applyNumberFormat="1" applyFont="1" applyFill="1" applyBorder="1"/>
    <xf numFmtId="9" fontId="98" fillId="11" borderId="11" xfId="0" applyNumberFormat="1" applyFont="1" applyFill="1" applyBorder="1"/>
    <xf numFmtId="165" fontId="98" fillId="0" borderId="0" xfId="0" applyNumberFormat="1" applyFont="1" applyFill="1"/>
    <xf numFmtId="169" fontId="98" fillId="0" borderId="0" xfId="0" applyNumberFormat="1" applyFont="1" applyFill="1"/>
    <xf numFmtId="215" fontId="98" fillId="11" borderId="1" xfId="0" applyNumberFormat="1" applyFont="1" applyFill="1" applyBorder="1"/>
    <xf numFmtId="3" fontId="98" fillId="20" borderId="1" xfId="0" applyNumberFormat="1" applyFont="1" applyFill="1" applyBorder="1" applyAlignment="1"/>
    <xf numFmtId="1" fontId="98" fillId="0" borderId="1" xfId="0" applyNumberFormat="1" applyFont="1" applyFill="1" applyBorder="1"/>
    <xf numFmtId="179" fontId="98" fillId="7" borderId="1" xfId="0" applyNumberFormat="1" applyFont="1" applyFill="1" applyBorder="1"/>
    <xf numFmtId="179" fontId="98" fillId="18" borderId="1" xfId="0" applyNumberFormat="1" applyFont="1" applyFill="1" applyBorder="1"/>
    <xf numFmtId="164" fontId="0" fillId="0" borderId="0" xfId="2" applyNumberFormat="1" applyFont="1" applyFill="1"/>
    <xf numFmtId="0" fontId="7" fillId="10"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0" fontId="32" fillId="14" borderId="4" xfId="0" applyFont="1" applyFill="1" applyBorder="1" applyAlignment="1">
      <alignment horizontal="center" vertical="center" wrapText="1"/>
    </xf>
    <xf numFmtId="0" fontId="0" fillId="0" borderId="6" xfId="0" applyBorder="1" applyAlignment="1">
      <alignment horizontal="center" vertical="center"/>
    </xf>
    <xf numFmtId="0" fontId="98" fillId="18" borderId="0" xfId="0" applyFont="1" applyFill="1" applyProtection="1">
      <protection locked="0"/>
    </xf>
    <xf numFmtId="0" fontId="98" fillId="18" borderId="0" xfId="0" applyFont="1" applyFill="1" applyAlignment="1">
      <alignment wrapText="1"/>
    </xf>
    <xf numFmtId="0" fontId="99" fillId="34" borderId="1" xfId="0" applyFont="1" applyFill="1" applyBorder="1" applyAlignment="1">
      <alignment wrapText="1"/>
    </xf>
    <xf numFmtId="14" fontId="98" fillId="0" borderId="0" xfId="0" applyNumberFormat="1" applyFont="1" applyFill="1"/>
    <xf numFmtId="0" fontId="99" fillId="42" borderId="2" xfId="0" applyFont="1" applyFill="1" applyBorder="1" applyAlignment="1">
      <alignment wrapText="1"/>
    </xf>
    <xf numFmtId="171" fontId="99" fillId="11" borderId="3" xfId="0" applyNumberFormat="1" applyFont="1" applyFill="1" applyBorder="1" applyAlignment="1">
      <alignment wrapText="1"/>
    </xf>
    <xf numFmtId="0" fontId="98" fillId="0" borderId="0" xfId="0" applyFont="1" applyFill="1" applyBorder="1" applyAlignment="1">
      <alignment horizontal="right" wrapText="1"/>
    </xf>
    <xf numFmtId="0" fontId="98" fillId="11" borderId="0" xfId="0" applyFont="1" applyFill="1" applyBorder="1" applyAlignment="1">
      <alignment horizontal="right" wrapText="1"/>
    </xf>
    <xf numFmtId="0" fontId="98" fillId="11" borderId="1" xfId="0" applyFont="1" applyFill="1" applyBorder="1" applyAlignment="1">
      <alignment horizontal="right" wrapText="1"/>
    </xf>
    <xf numFmtId="44" fontId="98" fillId="11" borderId="0" xfId="0" applyNumberFormat="1" applyFont="1" applyFill="1"/>
    <xf numFmtId="9" fontId="98" fillId="11" borderId="0" xfId="0" applyNumberFormat="1" applyFont="1" applyFill="1"/>
    <xf numFmtId="9" fontId="98" fillId="11" borderId="0" xfId="1" applyFont="1" applyFill="1"/>
    <xf numFmtId="0" fontId="100" fillId="0" borderId="2" xfId="0" applyFont="1" applyFill="1" applyBorder="1" applyAlignment="1">
      <alignment horizontal="right"/>
    </xf>
    <xf numFmtId="0" fontId="98" fillId="45" borderId="0" xfId="0" applyFont="1" applyFill="1" applyBorder="1" applyAlignment="1">
      <alignment horizontal="right" wrapText="1"/>
    </xf>
    <xf numFmtId="0" fontId="98" fillId="45" borderId="1" xfId="0" applyFont="1" applyFill="1" applyBorder="1" applyAlignment="1">
      <alignment horizontal="right" wrapText="1"/>
    </xf>
    <xf numFmtId="3" fontId="98" fillId="45" borderId="1" xfId="0" applyNumberFormat="1" applyFont="1" applyFill="1" applyBorder="1" applyAlignment="1">
      <alignment wrapText="1"/>
    </xf>
    <xf numFmtId="2" fontId="98" fillId="45" borderId="1" xfId="0" applyNumberFormat="1" applyFont="1" applyFill="1" applyBorder="1" applyAlignment="1">
      <alignment wrapText="1"/>
    </xf>
    <xf numFmtId="4" fontId="98" fillId="45" borderId="1" xfId="0" applyNumberFormat="1" applyFont="1" applyFill="1" applyBorder="1" applyAlignment="1">
      <alignment wrapText="1"/>
    </xf>
    <xf numFmtId="3" fontId="98" fillId="45" borderId="1" xfId="0" applyNumberFormat="1" applyFont="1" applyFill="1" applyBorder="1"/>
    <xf numFmtId="9" fontId="98" fillId="45" borderId="1" xfId="1" applyFont="1" applyFill="1" applyBorder="1"/>
    <xf numFmtId="4" fontId="98" fillId="45" borderId="1" xfId="0" applyNumberFormat="1" applyFont="1" applyFill="1" applyBorder="1"/>
    <xf numFmtId="44" fontId="98" fillId="45" borderId="1" xfId="0" applyNumberFormat="1" applyFont="1" applyFill="1" applyBorder="1"/>
    <xf numFmtId="0" fontId="98" fillId="45" borderId="1" xfId="0" applyFont="1" applyFill="1" applyBorder="1"/>
    <xf numFmtId="44" fontId="98" fillId="45" borderId="1" xfId="3" applyFont="1" applyFill="1" applyBorder="1"/>
    <xf numFmtId="44" fontId="98" fillId="45" borderId="2" xfId="0" applyNumberFormat="1" applyFont="1" applyFill="1" applyBorder="1"/>
    <xf numFmtId="183" fontId="98" fillId="45" borderId="1" xfId="1" applyNumberFormat="1" applyFont="1" applyFill="1" applyBorder="1"/>
    <xf numFmtId="44" fontId="98" fillId="45" borderId="0" xfId="0" applyNumberFormat="1" applyFont="1" applyFill="1"/>
    <xf numFmtId="9" fontId="98" fillId="45" borderId="0" xfId="0" applyNumberFormat="1" applyFont="1" applyFill="1"/>
    <xf numFmtId="164" fontId="98" fillId="45" borderId="1" xfId="2" applyNumberFormat="1" applyFont="1" applyFill="1" applyBorder="1"/>
    <xf numFmtId="0" fontId="98" fillId="45" borderId="0" xfId="0" applyFont="1" applyFill="1"/>
    <xf numFmtId="180" fontId="98" fillId="11" borderId="1" xfId="0" applyNumberFormat="1" applyFont="1" applyFill="1" applyBorder="1" applyAlignment="1">
      <alignment wrapText="1"/>
    </xf>
    <xf numFmtId="0" fontId="98" fillId="8" borderId="0" xfId="0" applyFont="1" applyFill="1" applyBorder="1" applyAlignment="1">
      <alignment horizontal="right" wrapText="1"/>
    </xf>
    <xf numFmtId="0" fontId="98" fillId="8" borderId="1" xfId="0" applyFont="1" applyFill="1" applyBorder="1" applyAlignment="1">
      <alignment horizontal="right" wrapText="1"/>
    </xf>
    <xf numFmtId="3" fontId="98" fillId="8" borderId="1" xfId="0" applyNumberFormat="1" applyFont="1" applyFill="1" applyBorder="1" applyAlignment="1">
      <alignment wrapText="1"/>
    </xf>
    <xf numFmtId="2" fontId="98" fillId="8" borderId="1" xfId="0" applyNumberFormat="1" applyFont="1" applyFill="1" applyBorder="1" applyAlignment="1">
      <alignment wrapText="1"/>
    </xf>
    <xf numFmtId="3" fontId="98" fillId="8" borderId="1" xfId="0" applyNumberFormat="1" applyFont="1" applyFill="1" applyBorder="1"/>
    <xf numFmtId="9" fontId="98" fillId="8" borderId="1" xfId="1" applyFont="1" applyFill="1" applyBorder="1"/>
    <xf numFmtId="4" fontId="98" fillId="8" borderId="1" xfId="0" applyNumberFormat="1" applyFont="1" applyFill="1" applyBorder="1"/>
    <xf numFmtId="44" fontId="98" fillId="8" borderId="1" xfId="0" applyNumberFormat="1" applyFont="1" applyFill="1" applyBorder="1"/>
    <xf numFmtId="6" fontId="98" fillId="8" borderId="1" xfId="0" applyNumberFormat="1" applyFont="1" applyFill="1" applyBorder="1"/>
    <xf numFmtId="44" fontId="98" fillId="8" borderId="1" xfId="3" applyFont="1" applyFill="1" applyBorder="1"/>
    <xf numFmtId="44" fontId="98" fillId="8" borderId="2" xfId="0" applyNumberFormat="1" applyFont="1" applyFill="1" applyBorder="1"/>
    <xf numFmtId="0" fontId="98" fillId="8" borderId="1" xfId="0" applyFont="1" applyFill="1" applyBorder="1"/>
    <xf numFmtId="183" fontId="98" fillId="8" borderId="1" xfId="1" applyNumberFormat="1" applyFont="1" applyFill="1" applyBorder="1"/>
    <xf numFmtId="44" fontId="98" fillId="8" borderId="0" xfId="0" applyNumberFormat="1" applyFont="1" applyFill="1"/>
    <xf numFmtId="9" fontId="98" fillId="8" borderId="0" xfId="0" applyNumberFormat="1" applyFont="1" applyFill="1"/>
    <xf numFmtId="164" fontId="98" fillId="8" borderId="1" xfId="2" applyNumberFormat="1" applyFont="1" applyFill="1" applyBorder="1"/>
    <xf numFmtId="0" fontId="98" fillId="8" borderId="0" xfId="0" applyFont="1" applyFill="1"/>
    <xf numFmtId="9" fontId="98" fillId="7" borderId="3" xfId="1" applyFont="1" applyFill="1" applyBorder="1" applyAlignment="1">
      <alignment wrapText="1"/>
    </xf>
    <xf numFmtId="0" fontId="98" fillId="29" borderId="0" xfId="0" applyFont="1" applyFill="1" applyBorder="1" applyAlignment="1">
      <alignment horizontal="right" wrapText="1"/>
    </xf>
    <xf numFmtId="0" fontId="98" fillId="29" borderId="1" xfId="0" applyFont="1" applyFill="1" applyBorder="1" applyAlignment="1">
      <alignment horizontal="right" wrapText="1"/>
    </xf>
    <xf numFmtId="3" fontId="98" fillId="29" borderId="1" xfId="0" applyNumberFormat="1" applyFont="1" applyFill="1" applyBorder="1" applyAlignment="1">
      <alignment wrapText="1"/>
    </xf>
    <xf numFmtId="4" fontId="98" fillId="29" borderId="1" xfId="0" applyNumberFormat="1" applyFont="1" applyFill="1" applyBorder="1" applyAlignment="1">
      <alignment wrapText="1"/>
    </xf>
    <xf numFmtId="3" fontId="98" fillId="29" borderId="1" xfId="0" applyNumberFormat="1" applyFont="1" applyFill="1" applyBorder="1"/>
    <xf numFmtId="9" fontId="98" fillId="29" borderId="1" xfId="1" applyFont="1" applyFill="1" applyBorder="1"/>
    <xf numFmtId="4" fontId="98" fillId="29" borderId="1" xfId="0" applyNumberFormat="1" applyFont="1" applyFill="1" applyBorder="1"/>
    <xf numFmtId="165" fontId="98" fillId="11" borderId="1" xfId="0" applyNumberFormat="1" applyFont="1" applyFill="1" applyBorder="1"/>
    <xf numFmtId="166" fontId="98" fillId="29" borderId="1" xfId="0" applyNumberFormat="1" applyFont="1" applyFill="1" applyBorder="1"/>
    <xf numFmtId="44" fontId="98" fillId="11" borderId="11" xfId="3" applyFont="1" applyFill="1" applyBorder="1"/>
    <xf numFmtId="173" fontId="98" fillId="11" borderId="11" xfId="0" applyNumberFormat="1" applyFont="1" applyFill="1" applyBorder="1"/>
    <xf numFmtId="44" fontId="98" fillId="29" borderId="1" xfId="0" applyNumberFormat="1" applyFont="1" applyFill="1" applyBorder="1"/>
    <xf numFmtId="44" fontId="98" fillId="29" borderId="2" xfId="0" applyNumberFormat="1" applyFont="1" applyFill="1" applyBorder="1"/>
    <xf numFmtId="0" fontId="98" fillId="29" borderId="1" xfId="0" applyFont="1" applyFill="1" applyBorder="1"/>
    <xf numFmtId="183" fontId="98" fillId="29" borderId="1" xfId="1" applyNumberFormat="1" applyFont="1" applyFill="1" applyBorder="1"/>
    <xf numFmtId="44" fontId="98" fillId="29" borderId="0" xfId="0" applyNumberFormat="1" applyFont="1" applyFill="1"/>
    <xf numFmtId="9" fontId="98" fillId="29" borderId="0" xfId="0" applyNumberFormat="1" applyFont="1" applyFill="1"/>
    <xf numFmtId="0" fontId="98" fillId="29" borderId="0" xfId="0" applyFont="1" applyFill="1"/>
    <xf numFmtId="166" fontId="98" fillId="11" borderId="1" xfId="3" applyNumberFormat="1" applyFont="1" applyFill="1" applyBorder="1"/>
    <xf numFmtId="44" fontId="98" fillId="0" borderId="11" xfId="3" applyFont="1" applyFill="1" applyBorder="1"/>
    <xf numFmtId="173" fontId="98" fillId="0" borderId="11" xfId="0" applyNumberFormat="1" applyFont="1" applyFill="1" applyBorder="1"/>
    <xf numFmtId="173" fontId="98" fillId="0" borderId="0" xfId="0" applyNumberFormat="1" applyFont="1" applyFill="1"/>
    <xf numFmtId="0" fontId="99" fillId="42" borderId="2" xfId="0" applyFont="1" applyFill="1" applyBorder="1" applyAlignment="1">
      <alignment horizontal="left" wrapText="1"/>
    </xf>
    <xf numFmtId="0" fontId="99" fillId="42" borderId="0" xfId="0" applyFont="1" applyFill="1"/>
    <xf numFmtId="0" fontId="98" fillId="11" borderId="2" xfId="0" applyFont="1" applyFill="1" applyBorder="1" applyAlignment="1">
      <alignment horizontal="right" wrapText="1"/>
    </xf>
    <xf numFmtId="164" fontId="98" fillId="11" borderId="0" xfId="2" applyNumberFormat="1" applyFont="1" applyFill="1"/>
    <xf numFmtId="0" fontId="99" fillId="42" borderId="2" xfId="0" applyFont="1" applyFill="1" applyBorder="1"/>
    <xf numFmtId="0" fontId="99" fillId="43" borderId="1" xfId="0" applyFont="1" applyFill="1" applyBorder="1"/>
    <xf numFmtId="9" fontId="98" fillId="43" borderId="0" xfId="0" applyNumberFormat="1" applyFont="1" applyFill="1"/>
    <xf numFmtId="9" fontId="98" fillId="43" borderId="0" xfId="1" applyFont="1" applyFill="1"/>
    <xf numFmtId="0" fontId="98" fillId="44" borderId="0" xfId="0" applyFont="1" applyFill="1"/>
    <xf numFmtId="166" fontId="98" fillId="0" borderId="0" xfId="0" applyNumberFormat="1" applyFont="1" applyFill="1"/>
    <xf numFmtId="0" fontId="99" fillId="42" borderId="1" xfId="0" applyFont="1" applyFill="1" applyBorder="1" applyAlignment="1">
      <alignment horizontal="left" wrapText="1"/>
    </xf>
    <xf numFmtId="0" fontId="98" fillId="12" borderId="1" xfId="0" applyFont="1" applyFill="1" applyBorder="1" applyAlignment="1">
      <alignment horizontal="right" wrapText="1"/>
    </xf>
    <xf numFmtId="3" fontId="98" fillId="11" borderId="0" xfId="0" applyNumberFormat="1" applyFont="1" applyFill="1"/>
    <xf numFmtId="0" fontId="98" fillId="12" borderId="0" xfId="0" applyFont="1" applyFill="1" applyBorder="1" applyAlignment="1">
      <alignment horizontal="right" wrapText="1"/>
    </xf>
    <xf numFmtId="3" fontId="98" fillId="0" borderId="0" xfId="0" applyNumberFormat="1" applyFont="1" applyFill="1" applyBorder="1"/>
    <xf numFmtId="3" fontId="98" fillId="7" borderId="1" xfId="0" applyNumberFormat="1" applyFont="1" applyFill="1" applyBorder="1"/>
    <xf numFmtId="2" fontId="98" fillId="0" borderId="0" xfId="0" applyNumberFormat="1" applyFont="1" applyFill="1" applyBorder="1"/>
    <xf numFmtId="0" fontId="98" fillId="0" borderId="0" xfId="0" applyFont="1" applyFill="1" applyBorder="1"/>
    <xf numFmtId="9" fontId="98" fillId="0" borderId="0" xfId="1" applyFont="1" applyFill="1" applyBorder="1"/>
    <xf numFmtId="4" fontId="98" fillId="0" borderId="0" xfId="0" applyNumberFormat="1" applyFont="1" applyFill="1" applyBorder="1"/>
    <xf numFmtId="44" fontId="98" fillId="12" borderId="0" xfId="0" applyNumberFormat="1" applyFont="1" applyFill="1" applyBorder="1"/>
    <xf numFmtId="44" fontId="98" fillId="0" borderId="0" xfId="0" applyNumberFormat="1" applyFont="1" applyFill="1" applyBorder="1"/>
    <xf numFmtId="166" fontId="98" fillId="0" borderId="0" xfId="0" applyNumberFormat="1" applyFont="1" applyFill="1" applyBorder="1"/>
    <xf numFmtId="44" fontId="98" fillId="0" borderId="0" xfId="3" applyNumberFormat="1" applyFont="1" applyFill="1" applyBorder="1"/>
    <xf numFmtId="183" fontId="98" fillId="0" borderId="0" xfId="1" applyNumberFormat="1" applyFont="1" applyFill="1" applyBorder="1"/>
    <xf numFmtId="44" fontId="98" fillId="0" borderId="0" xfId="3" applyFont="1" applyFill="1" applyBorder="1"/>
    <xf numFmtId="164" fontId="98" fillId="0" borderId="0" xfId="2" applyNumberFormat="1" applyFont="1" applyFill="1" applyBorder="1"/>
    <xf numFmtId="0" fontId="98" fillId="12" borderId="1" xfId="0" applyFont="1" applyFill="1" applyBorder="1"/>
    <xf numFmtId="0" fontId="98" fillId="20" borderId="1" xfId="0" applyFont="1" applyFill="1" applyBorder="1"/>
    <xf numFmtId="4" fontId="98" fillId="7" borderId="1" xfId="0" applyNumberFormat="1" applyFont="1" applyFill="1" applyBorder="1"/>
    <xf numFmtId="165" fontId="98" fillId="7" borderId="1" xfId="0" applyNumberFormat="1" applyFont="1" applyFill="1" applyBorder="1"/>
    <xf numFmtId="3" fontId="98" fillId="20" borderId="1" xfId="0" applyNumberFormat="1" applyFont="1" applyFill="1" applyBorder="1"/>
    <xf numFmtId="179" fontId="98" fillId="0" borderId="0" xfId="0" applyNumberFormat="1" applyFont="1" applyFill="1" applyBorder="1"/>
    <xf numFmtId="174" fontId="98" fillId="0" borderId="0" xfId="0" applyNumberFormat="1" applyFont="1" applyFill="1" applyBorder="1"/>
    <xf numFmtId="0" fontId="98" fillId="0" borderId="2" xfId="0" applyFont="1" applyFill="1" applyBorder="1" applyAlignment="1">
      <alignment horizontal="right" wrapText="1"/>
    </xf>
    <xf numFmtId="177" fontId="98" fillId="0" borderId="1" xfId="0" applyNumberFormat="1" applyFont="1" applyFill="1" applyBorder="1"/>
    <xf numFmtId="0" fontId="0" fillId="46" borderId="0" xfId="0" applyFill="1"/>
    <xf numFmtId="164" fontId="98" fillId="29" borderId="0" xfId="2" applyNumberFormat="1" applyFont="1" applyFill="1"/>
    <xf numFmtId="10" fontId="24" fillId="18" borderId="1" xfId="1" applyNumberFormat="1" applyFont="1" applyFill="1" applyBorder="1" applyAlignment="1">
      <alignment horizontal="center"/>
    </xf>
    <xf numFmtId="10" fontId="0" fillId="0" borderId="1" xfId="1" applyNumberFormat="1" applyFont="1" applyBorder="1" applyAlignment="1">
      <alignment horizontal="center"/>
    </xf>
    <xf numFmtId="10" fontId="24" fillId="0" borderId="1" xfId="1" applyNumberFormat="1" applyFont="1" applyFill="1" applyBorder="1" applyAlignment="1">
      <alignment horizontal="center"/>
    </xf>
    <xf numFmtId="10" fontId="0" fillId="39" borderId="1" xfId="1" applyNumberFormat="1" applyFont="1" applyFill="1" applyBorder="1" applyAlignment="1">
      <alignment horizontal="center"/>
    </xf>
    <xf numFmtId="10" fontId="0" fillId="0" borderId="1" xfId="1" applyNumberFormat="1" applyFont="1" applyFill="1" applyBorder="1" applyAlignment="1">
      <alignment horizontal="center"/>
    </xf>
    <xf numFmtId="0" fontId="24" fillId="0" borderId="7" xfId="0" applyFont="1" applyFill="1" applyBorder="1" applyAlignment="1">
      <alignment vertical="center"/>
    </xf>
    <xf numFmtId="0" fontId="0" fillId="0" borderId="7" xfId="0" applyFill="1" applyBorder="1"/>
    <xf numFmtId="10" fontId="24" fillId="39" borderId="1" xfId="1" applyNumberFormat="1" applyFont="1" applyFill="1" applyBorder="1" applyAlignment="1">
      <alignment horizontal="center"/>
    </xf>
    <xf numFmtId="43" fontId="2" fillId="23" borderId="1" xfId="2" applyFont="1" applyFill="1" applyBorder="1" applyAlignment="1">
      <alignment horizontal="center" vertical="center" wrapText="1"/>
    </xf>
    <xf numFmtId="43" fontId="3" fillId="23" borderId="1" xfId="2" applyFont="1" applyFill="1" applyBorder="1" applyAlignment="1">
      <alignment horizontal="center" vertical="center" wrapText="1"/>
    </xf>
    <xf numFmtId="0" fontId="66" fillId="0" borderId="0" xfId="0" applyFont="1" applyFill="1" applyBorder="1" applyAlignment="1">
      <alignment horizontal="left"/>
    </xf>
    <xf numFmtId="3" fontId="101" fillId="47" borderId="1" xfId="0" applyNumberFormat="1" applyFont="1" applyFill="1" applyBorder="1" applyAlignment="1">
      <alignment horizontal="center" vertical="center" wrapText="1"/>
    </xf>
    <xf numFmtId="3" fontId="101" fillId="47" borderId="1" xfId="0" applyNumberFormat="1" applyFont="1" applyFill="1" applyBorder="1" applyAlignment="1">
      <alignment horizontal="left" vertical="center" wrapText="1"/>
    </xf>
    <xf numFmtId="3" fontId="101" fillId="48" borderId="1" xfId="0" applyNumberFormat="1" applyFont="1" applyFill="1" applyBorder="1" applyAlignment="1">
      <alignment horizontal="center" vertical="center" wrapText="1"/>
    </xf>
    <xf numFmtId="3" fontId="101" fillId="49" borderId="7" xfId="0" applyNumberFormat="1" applyFont="1" applyFill="1" applyBorder="1" applyAlignment="1">
      <alignment horizontal="center" vertical="center" wrapText="1"/>
    </xf>
    <xf numFmtId="0" fontId="66" fillId="0" borderId="0" xfId="0" applyFont="1" applyFill="1" applyBorder="1" applyAlignment="1"/>
    <xf numFmtId="0" fontId="64" fillId="0" borderId="0" xfId="0" applyFont="1" applyFill="1" applyBorder="1" applyAlignment="1">
      <alignment horizontal="left"/>
    </xf>
    <xf numFmtId="0" fontId="66" fillId="0" borderId="0" xfId="0" applyFont="1" applyFill="1" applyBorder="1" applyAlignment="1">
      <alignment horizontal="right"/>
    </xf>
    <xf numFmtId="0" fontId="64" fillId="0" borderId="0" xfId="0" applyFont="1" applyFill="1" applyBorder="1" applyAlignment="1"/>
    <xf numFmtId="0" fontId="64" fillId="36" borderId="0" xfId="0" applyFont="1" applyFill="1" applyBorder="1" applyAlignment="1">
      <alignment horizontal="left"/>
    </xf>
    <xf numFmtId="0" fontId="66" fillId="48" borderId="0" xfId="0" applyFont="1" applyFill="1" applyBorder="1" applyAlignment="1"/>
    <xf numFmtId="0" fontId="65" fillId="49" borderId="0" xfId="0" applyFont="1" applyFill="1" applyBorder="1" applyAlignment="1">
      <alignment horizontal="left"/>
    </xf>
    <xf numFmtId="0" fontId="69" fillId="0" borderId="0" xfId="0" applyFont="1" applyFill="1" applyBorder="1" applyAlignment="1"/>
    <xf numFmtId="0" fontId="69" fillId="49" borderId="0" xfId="0" applyFont="1" applyFill="1" applyBorder="1" applyAlignment="1">
      <alignment horizontal="left"/>
    </xf>
    <xf numFmtId="0" fontId="102" fillId="0" borderId="0" xfId="0" applyFont="1" applyFill="1" applyBorder="1" applyAlignment="1"/>
    <xf numFmtId="0" fontId="102" fillId="49" borderId="0" xfId="0" applyFont="1" applyFill="1" applyBorder="1" applyAlignment="1">
      <alignment horizontal="left"/>
    </xf>
    <xf numFmtId="0" fontId="102" fillId="0" borderId="0" xfId="0" applyFont="1" applyFill="1" applyBorder="1" applyAlignment="1">
      <alignment horizontal="left"/>
    </xf>
    <xf numFmtId="0" fontId="66" fillId="46" borderId="0" xfId="0" applyFont="1" applyFill="1" applyBorder="1" applyAlignment="1">
      <alignment horizontal="left"/>
    </xf>
    <xf numFmtId="0" fontId="0" fillId="46" borderId="0" xfId="0" applyFill="1" applyAlignment="1">
      <alignment horizontal="left"/>
    </xf>
    <xf numFmtId="43" fontId="20" fillId="0" borderId="0" xfId="2" applyNumberFormat="1" applyFont="1"/>
    <xf numFmtId="164" fontId="71" fillId="37" borderId="0" xfId="0" applyNumberFormat="1" applyFont="1" applyFill="1" applyBorder="1" applyAlignment="1">
      <alignment horizontal="right" vertical="center" wrapText="1"/>
    </xf>
    <xf numFmtId="164" fontId="0" fillId="0" borderId="0" xfId="0" applyNumberFormat="1"/>
    <xf numFmtId="172" fontId="0" fillId="0" borderId="0" xfId="2" applyNumberFormat="1" applyFont="1" applyFill="1"/>
    <xf numFmtId="3" fontId="31" fillId="0" borderId="0" xfId="0" applyNumberFormat="1" applyFont="1" applyAlignment="1">
      <alignment vertical="center" wrapText="1"/>
    </xf>
    <xf numFmtId="3" fontId="0" fillId="0" borderId="0" xfId="0" applyNumberFormat="1" applyAlignment="1">
      <alignment vertical="center"/>
    </xf>
    <xf numFmtId="3" fontId="70" fillId="50" borderId="38" xfId="0" applyNumberFormat="1" applyFont="1" applyFill="1" applyBorder="1" applyAlignment="1">
      <alignment horizontal="right" vertical="center" wrapText="1"/>
    </xf>
    <xf numFmtId="3" fontId="73" fillId="6" borderId="34" xfId="0" applyNumberFormat="1" applyFont="1" applyFill="1" applyBorder="1" applyAlignment="1">
      <alignment horizontal="right" vertical="center" wrapText="1"/>
    </xf>
    <xf numFmtId="3" fontId="73" fillId="38" borderId="34" xfId="0" applyNumberFormat="1" applyFont="1" applyFill="1" applyBorder="1" applyAlignment="1">
      <alignment horizontal="right" vertical="center" wrapText="1"/>
    </xf>
    <xf numFmtId="3" fontId="73" fillId="0" borderId="37" xfId="0" applyNumberFormat="1" applyFont="1" applyFill="1" applyBorder="1" applyAlignment="1">
      <alignment horizontal="right" vertical="center" wrapText="1"/>
    </xf>
    <xf numFmtId="3" fontId="73" fillId="37" borderId="38" xfId="0" applyNumberFormat="1" applyFont="1" applyFill="1" applyBorder="1" applyAlignment="1">
      <alignment horizontal="right" vertical="center" wrapText="1"/>
    </xf>
    <xf numFmtId="3" fontId="73" fillId="0" borderId="38" xfId="0" applyNumberFormat="1" applyFont="1" applyFill="1" applyBorder="1" applyAlignment="1">
      <alignment horizontal="right" vertical="center" wrapText="1"/>
    </xf>
    <xf numFmtId="3" fontId="73" fillId="37" borderId="23" xfId="0" applyNumberFormat="1" applyFont="1" applyFill="1" applyBorder="1" applyAlignment="1">
      <alignment horizontal="right" vertical="center" wrapText="1"/>
    </xf>
    <xf numFmtId="3" fontId="73" fillId="6" borderId="38" xfId="0" applyNumberFormat="1" applyFont="1" applyFill="1" applyBorder="1" applyAlignment="1">
      <alignment horizontal="right" vertical="center" wrapText="1"/>
    </xf>
    <xf numFmtId="3" fontId="73" fillId="6" borderId="23" xfId="0" applyNumberFormat="1" applyFont="1" applyFill="1" applyBorder="1" applyAlignment="1">
      <alignment horizontal="right" vertical="center" wrapText="1"/>
    </xf>
    <xf numFmtId="178" fontId="0" fillId="0" borderId="0" xfId="2" applyNumberFormat="1" applyFont="1" applyFill="1"/>
    <xf numFmtId="43" fontId="0" fillId="0" borderId="0" xfId="2" applyNumberFormat="1" applyFont="1" applyFill="1"/>
    <xf numFmtId="43" fontId="0" fillId="0" borderId="0" xfId="0" applyNumberFormat="1" applyFill="1" applyAlignment="1">
      <alignment horizontal="right"/>
    </xf>
    <xf numFmtId="0" fontId="75" fillId="0" borderId="0" xfId="0" applyFont="1" applyAlignment="1">
      <alignment horizontal="left" vertical="center"/>
    </xf>
    <xf numFmtId="0" fontId="0" fillId="0" borderId="0" xfId="0" applyFill="1" applyAlignment="1">
      <alignment horizontal="left"/>
    </xf>
    <xf numFmtId="0" fontId="20" fillId="0" borderId="0" xfId="0" applyFont="1" applyAlignment="1">
      <alignment horizontal="left"/>
    </xf>
    <xf numFmtId="0" fontId="21" fillId="0" borderId="0" xfId="0" applyFont="1" applyFill="1" applyAlignment="1">
      <alignment horizontal="left"/>
    </xf>
    <xf numFmtId="0" fontId="103" fillId="6" borderId="0" xfId="0" applyFont="1" applyFill="1" applyProtection="1">
      <protection locked="0" hidden="1"/>
    </xf>
    <xf numFmtId="0" fontId="104" fillId="6" borderId="0" xfId="0" applyFont="1" applyFill="1" applyProtection="1">
      <protection hidden="1"/>
    </xf>
    <xf numFmtId="0" fontId="105" fillId="7" borderId="0" xfId="0" applyFont="1" applyFill="1" applyAlignment="1" applyProtection="1">
      <alignment horizontal="left" indent="3"/>
      <protection hidden="1"/>
    </xf>
    <xf numFmtId="0" fontId="104" fillId="7" borderId="0" xfId="0" applyFont="1" applyFill="1" applyProtection="1">
      <protection hidden="1"/>
    </xf>
    <xf numFmtId="0" fontId="104" fillId="0" borderId="39" xfId="0" applyFont="1" applyFill="1" applyBorder="1" applyProtection="1">
      <protection hidden="1"/>
    </xf>
    <xf numFmtId="185" fontId="104" fillId="0" borderId="40" xfId="0" applyNumberFormat="1" applyFont="1" applyFill="1" applyBorder="1" applyAlignment="1" applyProtection="1">
      <alignment horizontal="center"/>
      <protection hidden="1"/>
    </xf>
    <xf numFmtId="0" fontId="104" fillId="6" borderId="0" xfId="0" applyFont="1" applyFill="1" applyBorder="1" applyAlignment="1" applyProtection="1">
      <protection hidden="1"/>
    </xf>
    <xf numFmtId="0" fontId="104" fillId="0" borderId="41" xfId="0" applyFont="1" applyFill="1" applyBorder="1" applyProtection="1">
      <protection hidden="1"/>
    </xf>
    <xf numFmtId="165" fontId="104" fillId="0" borderId="42" xfId="0" applyNumberFormat="1" applyFont="1" applyFill="1" applyBorder="1" applyAlignment="1" applyProtection="1">
      <alignment horizontal="center"/>
      <protection hidden="1"/>
    </xf>
    <xf numFmtId="3" fontId="104" fillId="6" borderId="0" xfId="0" applyNumberFormat="1" applyFont="1" applyFill="1" applyBorder="1" applyAlignment="1" applyProtection="1">
      <protection hidden="1"/>
    </xf>
    <xf numFmtId="3" fontId="104" fillId="0" borderId="42" xfId="0" applyNumberFormat="1" applyFont="1" applyFill="1" applyBorder="1" applyAlignment="1" applyProtection="1">
      <alignment horizontal="center"/>
      <protection hidden="1"/>
    </xf>
    <xf numFmtId="186" fontId="104" fillId="0" borderId="42" xfId="0" applyNumberFormat="1" applyFont="1" applyFill="1" applyBorder="1" applyAlignment="1" applyProtection="1">
      <alignment horizontal="center"/>
      <protection hidden="1"/>
    </xf>
    <xf numFmtId="186" fontId="104" fillId="6" borderId="0" xfId="0" applyNumberFormat="1" applyFont="1" applyFill="1" applyBorder="1" applyAlignment="1" applyProtection="1">
      <protection hidden="1"/>
    </xf>
    <xf numFmtId="4" fontId="104" fillId="0" borderId="42" xfId="0" applyNumberFormat="1" applyFont="1" applyFill="1" applyBorder="1" applyAlignment="1" applyProtection="1">
      <alignment horizontal="center"/>
      <protection hidden="1"/>
    </xf>
    <xf numFmtId="166" fontId="104" fillId="0" borderId="42" xfId="3" applyNumberFormat="1" applyFont="1" applyFill="1" applyBorder="1" applyAlignment="1" applyProtection="1">
      <alignment horizontal="center"/>
      <protection hidden="1"/>
    </xf>
    <xf numFmtId="166" fontId="104" fillId="0" borderId="42" xfId="0" applyNumberFormat="1" applyFont="1" applyFill="1" applyBorder="1" applyAlignment="1" applyProtection="1">
      <alignment horizontal="center"/>
      <protection hidden="1"/>
    </xf>
    <xf numFmtId="187" fontId="104" fillId="6" borderId="0" xfId="0" applyNumberFormat="1" applyFont="1" applyFill="1" applyBorder="1" applyAlignment="1" applyProtection="1">
      <protection hidden="1"/>
    </xf>
    <xf numFmtId="1" fontId="104" fillId="0" borderId="42" xfId="2" applyNumberFormat="1" applyFont="1" applyFill="1" applyBorder="1" applyAlignment="1" applyProtection="1">
      <alignment horizontal="center" vertical="center"/>
      <protection hidden="1"/>
    </xf>
    <xf numFmtId="0" fontId="104" fillId="0" borderId="43" xfId="0" applyFont="1" applyFill="1" applyBorder="1" applyProtection="1">
      <protection hidden="1"/>
    </xf>
    <xf numFmtId="173" fontId="104" fillId="0" borderId="44" xfId="3" applyNumberFormat="1" applyFont="1" applyFill="1" applyBorder="1" applyAlignment="1" applyProtection="1">
      <alignment horizontal="center" vertical="center"/>
      <protection hidden="1"/>
    </xf>
    <xf numFmtId="0" fontId="106" fillId="6" borderId="0" xfId="0" applyFont="1" applyFill="1" applyAlignment="1" applyProtection="1">
      <alignment horizontal="left" vertical="top"/>
      <protection hidden="1"/>
    </xf>
    <xf numFmtId="0" fontId="106" fillId="6" borderId="0" xfId="0" applyFont="1" applyFill="1" applyProtection="1">
      <protection hidden="1"/>
    </xf>
    <xf numFmtId="0" fontId="104" fillId="6" borderId="0" xfId="0" applyFont="1" applyFill="1" applyAlignment="1" applyProtection="1">
      <protection hidden="1"/>
    </xf>
    <xf numFmtId="9" fontId="104" fillId="12" borderId="40" xfId="0" applyNumberFormat="1" applyFont="1" applyFill="1" applyBorder="1" applyAlignment="1" applyProtection="1">
      <alignment horizontal="center"/>
      <protection hidden="1"/>
    </xf>
    <xf numFmtId="0" fontId="104" fillId="6" borderId="0" xfId="0" applyFont="1" applyFill="1" applyBorder="1" applyProtection="1">
      <protection hidden="1"/>
    </xf>
    <xf numFmtId="9" fontId="104" fillId="12" borderId="42" xfId="0" applyNumberFormat="1" applyFont="1" applyFill="1" applyBorder="1" applyAlignment="1" applyProtection="1">
      <alignment horizontal="center"/>
      <protection hidden="1"/>
    </xf>
    <xf numFmtId="3" fontId="107" fillId="6" borderId="0" xfId="0" applyNumberFormat="1" applyFont="1" applyFill="1" applyBorder="1" applyAlignment="1" applyProtection="1">
      <protection hidden="1"/>
    </xf>
    <xf numFmtId="4" fontId="104" fillId="6" borderId="0" xfId="0" applyNumberFormat="1" applyFont="1" applyFill="1" applyBorder="1" applyAlignment="1" applyProtection="1">
      <protection hidden="1"/>
    </xf>
    <xf numFmtId="0" fontId="104" fillId="7" borderId="44" xfId="0" applyFont="1" applyFill="1" applyBorder="1" applyAlignment="1" applyProtection="1">
      <alignment horizontal="center"/>
      <protection locked="0" hidden="1"/>
    </xf>
    <xf numFmtId="0" fontId="104" fillId="6" borderId="0" xfId="0" applyFont="1" applyFill="1" applyAlignment="1" applyProtection="1">
      <alignment horizontal="left" indent="2"/>
      <protection hidden="1"/>
    </xf>
    <xf numFmtId="0" fontId="105" fillId="6" borderId="0" xfId="0" applyFont="1" applyFill="1" applyAlignment="1" applyProtection="1">
      <alignment horizontal="left" indent="3"/>
      <protection hidden="1"/>
    </xf>
    <xf numFmtId="2" fontId="104" fillId="0" borderId="40" xfId="0" applyNumberFormat="1" applyFont="1" applyFill="1" applyBorder="1" applyAlignment="1" applyProtection="1">
      <alignment horizontal="center"/>
      <protection hidden="1"/>
    </xf>
    <xf numFmtId="173" fontId="104" fillId="6" borderId="0" xfId="0" applyNumberFormat="1" applyFont="1" applyFill="1" applyBorder="1" applyAlignment="1" applyProtection="1">
      <protection hidden="1"/>
    </xf>
    <xf numFmtId="173" fontId="104" fillId="0" borderId="42" xfId="0" applyNumberFormat="1" applyFont="1" applyFill="1" applyBorder="1" applyAlignment="1" applyProtection="1">
      <alignment horizontal="center"/>
      <protection hidden="1"/>
    </xf>
    <xf numFmtId="1" fontId="104" fillId="0" borderId="42" xfId="0" applyNumberFormat="1" applyFont="1" applyFill="1" applyBorder="1" applyAlignment="1" applyProtection="1">
      <alignment horizontal="center"/>
      <protection hidden="1"/>
    </xf>
    <xf numFmtId="173" fontId="104" fillId="0" borderId="44" xfId="3" applyNumberFormat="1" applyFont="1" applyFill="1" applyBorder="1" applyAlignment="1" applyProtection="1">
      <alignment horizontal="center"/>
      <protection hidden="1"/>
    </xf>
    <xf numFmtId="0" fontId="107" fillId="6" borderId="0" xfId="0" applyFont="1" applyFill="1" applyBorder="1" applyAlignment="1" applyProtection="1">
      <alignment horizontal="left" vertical="center"/>
      <protection hidden="1"/>
    </xf>
    <xf numFmtId="0" fontId="107" fillId="6" borderId="0" xfId="0" applyFont="1" applyFill="1" applyBorder="1" applyAlignment="1" applyProtection="1">
      <alignment horizontal="center" vertical="center"/>
      <protection hidden="1"/>
    </xf>
    <xf numFmtId="0" fontId="107" fillId="6" borderId="0" xfId="0" applyFont="1" applyFill="1" applyBorder="1" applyAlignment="1" applyProtection="1">
      <alignment horizontal="center" vertical="center" wrapText="1"/>
      <protection hidden="1"/>
    </xf>
    <xf numFmtId="0" fontId="104" fillId="7" borderId="40" xfId="0" applyFont="1" applyFill="1" applyBorder="1" applyAlignment="1" applyProtection="1">
      <alignment horizontal="center"/>
      <protection hidden="1"/>
    </xf>
    <xf numFmtId="165" fontId="104" fillId="6" borderId="0" xfId="0" applyNumberFormat="1" applyFont="1" applyFill="1" applyBorder="1" applyAlignment="1" applyProtection="1">
      <alignment horizontal="left"/>
      <protection locked="0" hidden="1"/>
    </xf>
    <xf numFmtId="1" fontId="104" fillId="6" borderId="0" xfId="0" applyNumberFormat="1" applyFont="1" applyFill="1" applyBorder="1" applyAlignment="1" applyProtection="1">
      <alignment horizontal="center"/>
      <protection locked="0" hidden="1"/>
    </xf>
    <xf numFmtId="9" fontId="104" fillId="6" borderId="0" xfId="1" applyFont="1" applyFill="1" applyBorder="1" applyAlignment="1" applyProtection="1">
      <alignment horizontal="center"/>
      <protection locked="0" hidden="1"/>
    </xf>
    <xf numFmtId="0" fontId="104" fillId="0" borderId="42" xfId="0" applyFont="1" applyFill="1" applyBorder="1" applyAlignment="1" applyProtection="1">
      <alignment horizontal="center"/>
      <protection hidden="1"/>
    </xf>
    <xf numFmtId="0" fontId="104" fillId="6" borderId="0" xfId="0" quotePrefix="1" applyFont="1" applyFill="1" applyBorder="1" applyProtection="1">
      <protection hidden="1"/>
    </xf>
    <xf numFmtId="9" fontId="104" fillId="7" borderId="42" xfId="1" applyNumberFormat="1" applyFont="1" applyFill="1" applyBorder="1" applyAlignment="1" applyProtection="1">
      <alignment horizontal="center"/>
      <protection locked="0" hidden="1"/>
    </xf>
    <xf numFmtId="0" fontId="104" fillId="7" borderId="42" xfId="0" applyFont="1" applyFill="1" applyBorder="1" applyAlignment="1" applyProtection="1">
      <alignment horizontal="center"/>
      <protection hidden="1"/>
    </xf>
    <xf numFmtId="0" fontId="107" fillId="6" borderId="0" xfId="0" applyFont="1" applyFill="1" applyBorder="1" applyAlignment="1" applyProtection="1">
      <alignment horizontal="center" wrapText="1"/>
      <protection hidden="1"/>
    </xf>
    <xf numFmtId="0" fontId="104" fillId="0" borderId="11" xfId="0" applyFont="1" applyFill="1" applyBorder="1" applyProtection="1">
      <protection hidden="1"/>
    </xf>
    <xf numFmtId="0" fontId="104" fillId="0" borderId="0" xfId="0" applyFont="1" applyFill="1" applyBorder="1" applyProtection="1">
      <protection hidden="1"/>
    </xf>
    <xf numFmtId="0" fontId="104" fillId="0" borderId="12" xfId="0" applyFont="1" applyFill="1" applyBorder="1" applyProtection="1">
      <protection hidden="1"/>
    </xf>
    <xf numFmtId="0" fontId="109" fillId="0" borderId="41" xfId="0" applyFont="1" applyFill="1" applyBorder="1"/>
    <xf numFmtId="2" fontId="104" fillId="7" borderId="42" xfId="1" applyNumberFormat="1" applyFont="1" applyFill="1" applyBorder="1" applyAlignment="1" applyProtection="1">
      <alignment horizontal="center"/>
      <protection locked="0" hidden="1"/>
    </xf>
    <xf numFmtId="0" fontId="104" fillId="6" borderId="0" xfId="0" applyFont="1" applyFill="1" applyBorder="1" applyAlignment="1" applyProtection="1">
      <alignment horizontal="center"/>
      <protection hidden="1"/>
    </xf>
    <xf numFmtId="0" fontId="109" fillId="6" borderId="0" xfId="0" applyFont="1" applyFill="1" applyBorder="1"/>
    <xf numFmtId="1" fontId="104" fillId="6" borderId="0" xfId="1" applyNumberFormat="1" applyFont="1" applyFill="1" applyBorder="1" applyAlignment="1" applyProtection="1">
      <alignment horizontal="center"/>
      <protection locked="0" hidden="1"/>
    </xf>
    <xf numFmtId="0" fontId="107" fillId="6" borderId="47" xfId="0" applyFont="1" applyFill="1" applyBorder="1" applyAlignment="1" applyProtection="1">
      <alignment horizontal="left" vertical="center"/>
      <protection hidden="1"/>
    </xf>
    <xf numFmtId="6" fontId="104" fillId="7" borderId="48" xfId="0" applyNumberFormat="1" applyFont="1" applyFill="1" applyBorder="1" applyAlignment="1" applyProtection="1">
      <alignment horizontal="center"/>
      <protection hidden="1"/>
    </xf>
    <xf numFmtId="0" fontId="107" fillId="6" borderId="0" xfId="0" applyFont="1" applyFill="1" applyBorder="1" applyAlignment="1" applyProtection="1">
      <alignment horizontal="center"/>
      <protection hidden="1"/>
    </xf>
    <xf numFmtId="0" fontId="107" fillId="6" borderId="47" xfId="0" applyFont="1" applyFill="1" applyBorder="1" applyAlignment="1" applyProtection="1">
      <alignment horizontal="center" vertical="center" wrapText="1"/>
      <protection hidden="1"/>
    </xf>
    <xf numFmtId="0" fontId="110" fillId="6" borderId="0" xfId="0" applyFont="1" applyFill="1" applyBorder="1" applyAlignment="1" applyProtection="1">
      <protection hidden="1"/>
    </xf>
    <xf numFmtId="8" fontId="104" fillId="0" borderId="48" xfId="1" applyNumberFormat="1" applyFont="1" applyFill="1" applyBorder="1" applyAlignment="1" applyProtection="1">
      <alignment horizontal="center"/>
      <protection hidden="1"/>
    </xf>
    <xf numFmtId="8" fontId="104" fillId="6" borderId="0" xfId="1" applyNumberFormat="1" applyFont="1" applyFill="1" applyBorder="1" applyAlignment="1" applyProtection="1">
      <protection hidden="1"/>
    </xf>
    <xf numFmtId="0" fontId="107" fillId="6" borderId="39" xfId="0" applyFont="1" applyFill="1" applyBorder="1" applyAlignment="1" applyProtection="1">
      <alignment horizontal="center" wrapText="1"/>
      <protection hidden="1"/>
    </xf>
    <xf numFmtId="0" fontId="107" fillId="6" borderId="49" xfId="0" applyFont="1" applyFill="1" applyBorder="1" applyAlignment="1" applyProtection="1">
      <alignment horizontal="center" wrapText="1"/>
      <protection hidden="1"/>
    </xf>
    <xf numFmtId="0" fontId="107" fillId="6" borderId="40" xfId="0" applyFont="1" applyFill="1" applyBorder="1" applyAlignment="1" applyProtection="1">
      <alignment horizontal="center" wrapText="1"/>
      <protection hidden="1"/>
    </xf>
    <xf numFmtId="0" fontId="104" fillId="0" borderId="43" xfId="0" applyFont="1" applyFill="1" applyBorder="1" applyAlignment="1" applyProtection="1">
      <alignment horizontal="center"/>
      <protection hidden="1"/>
    </xf>
    <xf numFmtId="0" fontId="104" fillId="0" borderId="50" xfId="0" applyFont="1" applyFill="1" applyBorder="1" applyAlignment="1" applyProtection="1">
      <alignment horizontal="center"/>
      <protection hidden="1"/>
    </xf>
    <xf numFmtId="0" fontId="104" fillId="0" borderId="44" xfId="0" applyFont="1" applyFill="1" applyBorder="1" applyAlignment="1" applyProtection="1">
      <alignment horizontal="center"/>
      <protection hidden="1"/>
    </xf>
    <xf numFmtId="0" fontId="111" fillId="6" borderId="39" xfId="0" applyFont="1" applyFill="1" applyBorder="1" applyAlignment="1">
      <alignment horizontal="center" vertical="center" wrapText="1"/>
    </xf>
    <xf numFmtId="0" fontId="107" fillId="6" borderId="49" xfId="0" applyFont="1" applyFill="1" applyBorder="1" applyAlignment="1" applyProtection="1">
      <alignment horizontal="center" vertical="center" wrapText="1"/>
      <protection hidden="1"/>
    </xf>
    <xf numFmtId="0" fontId="104" fillId="6" borderId="0" xfId="0" applyFont="1" applyFill="1" applyBorder="1" applyAlignment="1" applyProtection="1">
      <alignment wrapText="1"/>
      <protection hidden="1"/>
    </xf>
    <xf numFmtId="0" fontId="109" fillId="0" borderId="41" xfId="0" applyFont="1" applyBorder="1"/>
    <xf numFmtId="167" fontId="104" fillId="0" borderId="1" xfId="1" applyNumberFormat="1" applyFont="1" applyFill="1" applyBorder="1" applyAlignment="1" applyProtection="1">
      <alignment horizontal="center"/>
      <protection hidden="1"/>
    </xf>
    <xf numFmtId="2" fontId="104" fillId="0" borderId="42" xfId="0" applyNumberFormat="1" applyFont="1" applyFill="1" applyBorder="1" applyAlignment="1" applyProtection="1">
      <alignment horizontal="center"/>
      <protection hidden="1"/>
    </xf>
    <xf numFmtId="0" fontId="112" fillId="6" borderId="0" xfId="0" applyFont="1" applyFill="1" applyBorder="1" applyAlignment="1" applyProtection="1">
      <alignment vertical="center" wrapText="1"/>
      <protection hidden="1"/>
    </xf>
    <xf numFmtId="0" fontId="104" fillId="6" borderId="0" xfId="0" applyFont="1" applyFill="1" applyBorder="1" applyAlignment="1" applyProtection="1">
      <alignment vertical="center" wrapText="1"/>
      <protection hidden="1"/>
    </xf>
    <xf numFmtId="0" fontId="110" fillId="6" borderId="0" xfId="0" applyFont="1" applyFill="1" applyBorder="1" applyAlignment="1" applyProtection="1">
      <alignment horizontal="center"/>
      <protection hidden="1"/>
    </xf>
    <xf numFmtId="185" fontId="104" fillId="6" borderId="0" xfId="0" applyNumberFormat="1" applyFont="1" applyFill="1" applyBorder="1" applyAlignment="1" applyProtection="1">
      <alignment horizontal="center"/>
      <protection hidden="1"/>
    </xf>
    <xf numFmtId="188" fontId="104" fillId="6" borderId="0" xfId="0" applyNumberFormat="1" applyFont="1" applyFill="1" applyBorder="1" applyAlignment="1" applyProtection="1">
      <alignment horizontal="center"/>
      <protection hidden="1"/>
    </xf>
    <xf numFmtId="167" fontId="104" fillId="6" borderId="0" xfId="1" applyNumberFormat="1" applyFont="1" applyFill="1" applyBorder="1" applyAlignment="1" applyProtection="1">
      <alignment horizontal="center"/>
      <protection hidden="1"/>
    </xf>
    <xf numFmtId="2" fontId="104" fillId="6" borderId="0" xfId="0" applyNumberFormat="1" applyFont="1" applyFill="1" applyBorder="1" applyProtection="1">
      <protection hidden="1"/>
    </xf>
    <xf numFmtId="2" fontId="104" fillId="6" borderId="0" xfId="1" applyNumberFormat="1" applyFont="1" applyFill="1" applyBorder="1" applyProtection="1">
      <protection hidden="1"/>
    </xf>
    <xf numFmtId="189" fontId="104" fillId="6" borderId="0" xfId="3" applyNumberFormat="1" applyFont="1" applyFill="1" applyBorder="1" applyProtection="1">
      <protection hidden="1"/>
    </xf>
    <xf numFmtId="3" fontId="104" fillId="6" borderId="0" xfId="1" applyNumberFormat="1" applyFont="1" applyFill="1" applyBorder="1" applyProtection="1">
      <protection hidden="1"/>
    </xf>
    <xf numFmtId="190" fontId="104" fillId="6" borderId="0" xfId="1" applyNumberFormat="1" applyFont="1" applyFill="1" applyBorder="1" applyProtection="1">
      <protection hidden="1"/>
    </xf>
    <xf numFmtId="191" fontId="104" fillId="6" borderId="0" xfId="1" applyNumberFormat="1" applyFont="1" applyFill="1" applyBorder="1" applyProtection="1">
      <protection hidden="1"/>
    </xf>
    <xf numFmtId="191" fontId="104" fillId="6" borderId="0" xfId="1" applyNumberFormat="1" applyFont="1" applyFill="1" applyBorder="1" applyAlignment="1" applyProtection="1">
      <alignment horizontal="right"/>
      <protection hidden="1"/>
    </xf>
    <xf numFmtId="0" fontId="109" fillId="0" borderId="43" xfId="0" applyFont="1" applyBorder="1"/>
    <xf numFmtId="167" fontId="104" fillId="0" borderId="50" xfId="1" applyNumberFormat="1" applyFont="1" applyFill="1" applyBorder="1" applyAlignment="1" applyProtection="1">
      <alignment horizontal="center"/>
      <protection hidden="1"/>
    </xf>
    <xf numFmtId="2" fontId="104" fillId="0" borderId="44" xfId="0" applyNumberFormat="1" applyFont="1" applyFill="1" applyBorder="1" applyAlignment="1" applyProtection="1">
      <alignment horizontal="center"/>
      <protection hidden="1"/>
    </xf>
    <xf numFmtId="190" fontId="104" fillId="6" borderId="0" xfId="0" applyNumberFormat="1" applyFont="1" applyFill="1" applyBorder="1" applyAlignment="1" applyProtection="1">
      <alignment horizontal="center"/>
      <protection hidden="1"/>
    </xf>
    <xf numFmtId="9" fontId="104" fillId="6" borderId="0" xfId="1" applyNumberFormat="1" applyFont="1" applyFill="1" applyBorder="1" applyProtection="1">
      <protection hidden="1"/>
    </xf>
    <xf numFmtId="192" fontId="104" fillId="6" borderId="0" xfId="0" applyNumberFormat="1" applyFont="1" applyFill="1" applyBorder="1" applyProtection="1">
      <protection hidden="1"/>
    </xf>
    <xf numFmtId="0" fontId="104" fillId="6" borderId="0" xfId="0" applyFont="1" applyFill="1" applyAlignment="1" applyProtection="1">
      <alignment horizontal="center"/>
      <protection hidden="1"/>
    </xf>
    <xf numFmtId="0" fontId="107" fillId="6" borderId="39" xfId="0" applyFont="1" applyFill="1" applyBorder="1" applyAlignment="1" applyProtection="1">
      <alignment horizontal="left" vertical="center"/>
      <protection hidden="1"/>
    </xf>
    <xf numFmtId="0" fontId="107" fillId="6" borderId="40" xfId="0" applyFont="1" applyFill="1" applyBorder="1" applyAlignment="1" applyProtection="1">
      <alignment horizontal="center" vertical="center" wrapText="1"/>
      <protection hidden="1"/>
    </xf>
    <xf numFmtId="0" fontId="104" fillId="0" borderId="41" xfId="0" applyFont="1" applyFill="1" applyBorder="1" applyAlignment="1" applyProtection="1">
      <protection hidden="1"/>
    </xf>
    <xf numFmtId="167" fontId="104" fillId="0" borderId="42" xfId="1" applyNumberFormat="1" applyFont="1" applyFill="1" applyBorder="1" applyAlignment="1" applyProtection="1">
      <alignment horizontal="center"/>
      <protection locked="0" hidden="1"/>
    </xf>
    <xf numFmtId="0" fontId="104" fillId="0" borderId="43" xfId="0" applyFont="1" applyFill="1" applyBorder="1" applyAlignment="1" applyProtection="1">
      <protection hidden="1"/>
    </xf>
    <xf numFmtId="167" fontId="104" fillId="0" borderId="44" xfId="1" applyNumberFormat="1" applyFont="1" applyFill="1" applyBorder="1" applyAlignment="1" applyProtection="1">
      <alignment horizontal="center"/>
      <protection locked="0" hidden="1"/>
    </xf>
    <xf numFmtId="0" fontId="113" fillId="6" borderId="0" xfId="0" applyFont="1" applyFill="1" applyBorder="1" applyAlignment="1" applyProtection="1">
      <protection hidden="1"/>
    </xf>
    <xf numFmtId="0" fontId="112" fillId="6" borderId="0" xfId="0" applyFont="1" applyFill="1" applyBorder="1" applyAlignment="1" applyProtection="1">
      <protection hidden="1"/>
    </xf>
    <xf numFmtId="0" fontId="111" fillId="6" borderId="51" xfId="0" applyFont="1" applyFill="1" applyBorder="1" applyAlignment="1">
      <alignment horizontal="center" vertical="center" wrapText="1"/>
    </xf>
    <xf numFmtId="0" fontId="107" fillId="6" borderId="52" xfId="0" applyFont="1" applyFill="1" applyBorder="1" applyAlignment="1" applyProtection="1">
      <alignment horizontal="center" vertical="center" wrapText="1"/>
      <protection hidden="1"/>
    </xf>
    <xf numFmtId="0" fontId="107" fillId="6" borderId="53" xfId="0" applyFont="1" applyFill="1" applyBorder="1" applyAlignment="1" applyProtection="1">
      <alignment horizontal="center" vertical="center" wrapText="1"/>
      <protection hidden="1"/>
    </xf>
    <xf numFmtId="0" fontId="107" fillId="6" borderId="39" xfId="0" applyFont="1" applyFill="1" applyBorder="1" applyAlignment="1" applyProtection="1">
      <alignment horizontal="center" vertical="center" wrapText="1"/>
      <protection hidden="1"/>
    </xf>
    <xf numFmtId="0" fontId="109" fillId="0" borderId="39" xfId="0" applyFont="1" applyBorder="1"/>
    <xf numFmtId="2" fontId="104" fillId="0" borderId="49" xfId="0" applyNumberFormat="1" applyFont="1" applyFill="1" applyBorder="1" applyAlignment="1" applyProtection="1">
      <alignment horizontal="center"/>
      <protection hidden="1"/>
    </xf>
    <xf numFmtId="9" fontId="104" fillId="0" borderId="49" xfId="0" applyNumberFormat="1" applyFont="1" applyFill="1" applyBorder="1" applyAlignment="1" applyProtection="1">
      <alignment horizontal="center"/>
      <protection hidden="1"/>
    </xf>
    <xf numFmtId="9" fontId="104" fillId="0" borderId="49" xfId="1" applyFont="1" applyFill="1" applyBorder="1" applyAlignment="1" applyProtection="1">
      <alignment horizontal="center"/>
      <protection hidden="1"/>
    </xf>
    <xf numFmtId="10" fontId="104" fillId="0" borderId="49" xfId="0" applyNumberFormat="1" applyFont="1" applyFill="1" applyBorder="1" applyAlignment="1" applyProtection="1">
      <alignment horizontal="center"/>
      <protection hidden="1"/>
    </xf>
    <xf numFmtId="2" fontId="104" fillId="0" borderId="49" xfId="1" applyNumberFormat="1" applyFont="1" applyFill="1" applyBorder="1" applyAlignment="1" applyProtection="1">
      <alignment horizontal="center"/>
      <protection hidden="1"/>
    </xf>
    <xf numFmtId="180" fontId="104" fillId="0" borderId="49" xfId="1" applyNumberFormat="1" applyFont="1" applyFill="1" applyBorder="1" applyAlignment="1" applyProtection="1">
      <alignment horizontal="center"/>
      <protection hidden="1"/>
    </xf>
    <xf numFmtId="177" fontId="104" fillId="0" borderId="49" xfId="3" applyNumberFormat="1" applyFont="1" applyFill="1" applyBorder="1" applyAlignment="1" applyProtection="1">
      <alignment horizontal="center"/>
      <protection hidden="1"/>
    </xf>
    <xf numFmtId="2" fontId="104" fillId="0" borderId="49" xfId="3" applyNumberFormat="1" applyFont="1" applyFill="1" applyBorder="1" applyAlignment="1" applyProtection="1">
      <alignment horizontal="center"/>
      <protection hidden="1"/>
    </xf>
    <xf numFmtId="4" fontId="104" fillId="0" borderId="49" xfId="1" applyNumberFormat="1" applyFont="1" applyFill="1" applyBorder="1" applyAlignment="1" applyProtection="1">
      <alignment horizontal="center"/>
      <protection hidden="1"/>
    </xf>
    <xf numFmtId="44" fontId="104" fillId="0" borderId="49" xfId="3" applyFont="1" applyFill="1" applyBorder="1" applyAlignment="1" applyProtection="1">
      <alignment horizontal="center"/>
      <protection hidden="1"/>
    </xf>
    <xf numFmtId="179" fontId="104" fillId="0" borderId="40" xfId="1" applyNumberFormat="1" applyFont="1" applyFill="1" applyBorder="1" applyAlignment="1" applyProtection="1">
      <alignment horizontal="center"/>
      <protection hidden="1"/>
    </xf>
    <xf numFmtId="191" fontId="104" fillId="6" borderId="0" xfId="1" applyNumberFormat="1" applyFont="1" applyFill="1" applyBorder="1" applyAlignment="1" applyProtection="1">
      <alignment horizontal="center"/>
      <protection hidden="1"/>
    </xf>
    <xf numFmtId="6" fontId="104" fillId="0" borderId="43" xfId="0" applyNumberFormat="1" applyFont="1" applyFill="1" applyBorder="1" applyAlignment="1" applyProtection="1">
      <alignment horizontal="center"/>
      <protection hidden="1"/>
    </xf>
    <xf numFmtId="2" fontId="104" fillId="0" borderId="50" xfId="0" applyNumberFormat="1" applyFont="1" applyFill="1" applyBorder="1" applyAlignment="1" applyProtection="1">
      <alignment horizontal="center"/>
      <protection hidden="1"/>
    </xf>
    <xf numFmtId="6" fontId="104" fillId="0" borderId="44" xfId="0" applyNumberFormat="1" applyFont="1" applyFill="1" applyBorder="1" applyAlignment="1" applyProtection="1">
      <alignment horizontal="center" wrapText="1"/>
      <protection hidden="1"/>
    </xf>
    <xf numFmtId="2" fontId="104" fillId="0" borderId="1" xfId="0" applyNumberFormat="1" applyFont="1" applyFill="1" applyBorder="1" applyAlignment="1" applyProtection="1">
      <alignment horizontal="center"/>
      <protection hidden="1"/>
    </xf>
    <xf numFmtId="2" fontId="104" fillId="0" borderId="8" xfId="0" applyNumberFormat="1" applyFont="1" applyFill="1" applyBorder="1" applyAlignment="1" applyProtection="1">
      <alignment horizontal="center"/>
      <protection hidden="1"/>
    </xf>
    <xf numFmtId="9" fontId="104" fillId="0" borderId="1" xfId="0" applyNumberFormat="1" applyFont="1" applyFill="1" applyBorder="1" applyAlignment="1" applyProtection="1">
      <alignment horizontal="center"/>
      <protection hidden="1"/>
    </xf>
    <xf numFmtId="9" fontId="104" fillId="0" borderId="1" xfId="1" applyFont="1" applyFill="1" applyBorder="1" applyAlignment="1" applyProtection="1">
      <alignment horizontal="center"/>
      <protection hidden="1"/>
    </xf>
    <xf numFmtId="10" fontId="104" fillId="0" borderId="1" xfId="0" applyNumberFormat="1" applyFont="1" applyFill="1" applyBorder="1" applyAlignment="1" applyProtection="1">
      <alignment horizontal="center"/>
      <protection hidden="1"/>
    </xf>
    <xf numFmtId="2" fontId="104" fillId="0" borderId="1" xfId="1" applyNumberFormat="1" applyFont="1" applyFill="1" applyBorder="1" applyAlignment="1" applyProtection="1">
      <alignment horizontal="center"/>
      <protection hidden="1"/>
    </xf>
    <xf numFmtId="180" fontId="104" fillId="0" borderId="1" xfId="1" applyNumberFormat="1" applyFont="1" applyFill="1" applyBorder="1" applyAlignment="1" applyProtection="1">
      <alignment horizontal="center"/>
      <protection hidden="1"/>
    </xf>
    <xf numFmtId="177" fontId="104" fillId="0" borderId="1" xfId="3" applyNumberFormat="1" applyFont="1" applyFill="1" applyBorder="1" applyAlignment="1" applyProtection="1">
      <alignment horizontal="center"/>
      <protection hidden="1"/>
    </xf>
    <xf numFmtId="2" fontId="104" fillId="0" borderId="1" xfId="3" applyNumberFormat="1" applyFont="1" applyFill="1" applyBorder="1" applyAlignment="1" applyProtection="1">
      <alignment horizontal="center"/>
      <protection hidden="1"/>
    </xf>
    <xf numFmtId="4" fontId="104" fillId="0" borderId="1" xfId="1" applyNumberFormat="1" applyFont="1" applyFill="1" applyBorder="1" applyAlignment="1" applyProtection="1">
      <alignment horizontal="center"/>
      <protection hidden="1"/>
    </xf>
    <xf numFmtId="44" fontId="104" fillId="0" borderId="1" xfId="3" applyFont="1" applyFill="1" applyBorder="1" applyAlignment="1" applyProtection="1">
      <alignment horizontal="center"/>
      <protection hidden="1"/>
    </xf>
    <xf numFmtId="179" fontId="104" fillId="0" borderId="42" xfId="1" applyNumberFormat="1" applyFont="1" applyFill="1" applyBorder="1" applyAlignment="1" applyProtection="1">
      <alignment horizontal="center"/>
      <protection hidden="1"/>
    </xf>
    <xf numFmtId="2" fontId="104" fillId="0" borderId="54" xfId="0" applyNumberFormat="1" applyFont="1" applyFill="1" applyBorder="1" applyAlignment="1" applyProtection="1">
      <alignment horizontal="center"/>
      <protection hidden="1"/>
    </xf>
    <xf numFmtId="9" fontId="104" fillId="0" borderId="50" xfId="0" applyNumberFormat="1" applyFont="1" applyFill="1" applyBorder="1" applyAlignment="1" applyProtection="1">
      <alignment horizontal="center"/>
      <protection hidden="1"/>
    </xf>
    <xf numFmtId="9" fontId="104" fillId="0" borderId="50" xfId="1" applyFont="1" applyFill="1" applyBorder="1" applyAlignment="1" applyProtection="1">
      <alignment horizontal="center"/>
      <protection hidden="1"/>
    </xf>
    <xf numFmtId="10" fontId="104" fillId="0" borderId="50" xfId="0" applyNumberFormat="1" applyFont="1" applyFill="1" applyBorder="1" applyAlignment="1" applyProtection="1">
      <alignment horizontal="center"/>
      <protection hidden="1"/>
    </xf>
    <xf numFmtId="2" fontId="104" fillId="0" borderId="50" xfId="1" applyNumberFormat="1" applyFont="1" applyFill="1" applyBorder="1" applyAlignment="1" applyProtection="1">
      <alignment horizontal="center"/>
      <protection hidden="1"/>
    </xf>
    <xf numFmtId="180" fontId="104" fillId="0" borderId="50" xfId="1" applyNumberFormat="1" applyFont="1" applyFill="1" applyBorder="1" applyAlignment="1" applyProtection="1">
      <alignment horizontal="center"/>
      <protection hidden="1"/>
    </xf>
    <xf numFmtId="177" fontId="104" fillId="0" borderId="50" xfId="3" applyNumberFormat="1" applyFont="1" applyFill="1" applyBorder="1" applyAlignment="1" applyProtection="1">
      <alignment horizontal="center"/>
      <protection hidden="1"/>
    </xf>
    <xf numFmtId="2" fontId="104" fillId="0" borderId="50" xfId="3" applyNumberFormat="1" applyFont="1" applyFill="1" applyBorder="1" applyAlignment="1" applyProtection="1">
      <alignment horizontal="center"/>
      <protection hidden="1"/>
    </xf>
    <xf numFmtId="4" fontId="104" fillId="0" borderId="50" xfId="1" applyNumberFormat="1" applyFont="1" applyFill="1" applyBorder="1" applyAlignment="1" applyProtection="1">
      <alignment horizontal="center"/>
      <protection hidden="1"/>
    </xf>
    <xf numFmtId="44" fontId="104" fillId="0" borderId="50" xfId="3" applyFont="1" applyFill="1" applyBorder="1" applyAlignment="1" applyProtection="1">
      <alignment horizontal="center"/>
      <protection hidden="1"/>
    </xf>
    <xf numFmtId="179" fontId="104" fillId="0" borderId="44" xfId="1" applyNumberFormat="1" applyFont="1" applyFill="1" applyBorder="1" applyAlignment="1" applyProtection="1">
      <alignment horizontal="center"/>
      <protection hidden="1"/>
    </xf>
    <xf numFmtId="0" fontId="104" fillId="6" borderId="33" xfId="0" applyFont="1" applyFill="1" applyBorder="1" applyProtection="1">
      <protection hidden="1"/>
    </xf>
    <xf numFmtId="2" fontId="104" fillId="6" borderId="25" xfId="0" applyNumberFormat="1" applyFont="1" applyFill="1" applyBorder="1" applyProtection="1">
      <protection hidden="1"/>
    </xf>
    <xf numFmtId="0" fontId="104" fillId="6" borderId="55" xfId="0" applyFont="1" applyFill="1" applyBorder="1" applyProtection="1">
      <protection hidden="1"/>
    </xf>
    <xf numFmtId="2" fontId="104" fillId="6" borderId="54" xfId="0" applyNumberFormat="1" applyFont="1" applyFill="1" applyBorder="1" applyProtection="1">
      <protection hidden="1"/>
    </xf>
    <xf numFmtId="2" fontId="104" fillId="6" borderId="56" xfId="0" applyNumberFormat="1" applyFont="1" applyFill="1" applyBorder="1" applyProtection="1">
      <protection hidden="1"/>
    </xf>
    <xf numFmtId="0" fontId="104" fillId="0" borderId="11" xfId="0" applyFont="1" applyFill="1" applyBorder="1" applyAlignment="1" applyProtection="1">
      <alignment horizontal="left"/>
      <protection hidden="1"/>
    </xf>
    <xf numFmtId="0" fontId="104" fillId="0" borderId="0" xfId="0" applyFont="1" applyFill="1" applyBorder="1" applyAlignment="1" applyProtection="1">
      <alignment horizontal="left"/>
      <protection hidden="1"/>
    </xf>
    <xf numFmtId="0" fontId="104" fillId="0" borderId="12" xfId="0" applyFont="1" applyFill="1" applyBorder="1" applyAlignment="1" applyProtection="1">
      <alignment horizontal="left"/>
      <protection hidden="1"/>
    </xf>
    <xf numFmtId="0" fontId="20" fillId="0" borderId="11" xfId="0" applyFont="1" applyFill="1" applyBorder="1" applyAlignment="1" applyProtection="1">
      <alignment horizontal="left"/>
      <protection hidden="1"/>
    </xf>
    <xf numFmtId="0" fontId="20" fillId="0" borderId="0" xfId="0" applyFont="1" applyFill="1" applyBorder="1" applyAlignment="1" applyProtection="1">
      <alignment horizontal="left"/>
      <protection hidden="1"/>
    </xf>
    <xf numFmtId="0" fontId="20" fillId="0" borderId="12" xfId="0" applyFont="1" applyFill="1" applyBorder="1" applyAlignment="1" applyProtection="1">
      <alignment horizontal="left"/>
      <protection hidden="1"/>
    </xf>
    <xf numFmtId="0" fontId="20" fillId="6" borderId="0" xfId="0" applyFont="1" applyFill="1" applyBorder="1" applyProtection="1">
      <protection hidden="1"/>
    </xf>
    <xf numFmtId="0" fontId="20" fillId="6" borderId="0" xfId="0" applyFont="1" applyFill="1" applyBorder="1" applyAlignment="1" applyProtection="1">
      <alignment horizontal="left"/>
      <protection hidden="1"/>
    </xf>
    <xf numFmtId="0" fontId="20" fillId="5" borderId="60" xfId="0" applyFont="1" applyFill="1" applyBorder="1" applyAlignment="1" applyProtection="1">
      <alignment horizontal="center"/>
      <protection locked="0" hidden="1"/>
    </xf>
    <xf numFmtId="0" fontId="20" fillId="5" borderId="1" xfId="0" applyFont="1" applyFill="1" applyBorder="1" applyProtection="1">
      <protection hidden="1"/>
    </xf>
    <xf numFmtId="0" fontId="22" fillId="5" borderId="1" xfId="0" applyFont="1" applyFill="1" applyBorder="1" applyAlignment="1" applyProtection="1">
      <alignment horizontal="center"/>
      <protection hidden="1"/>
    </xf>
    <xf numFmtId="0" fontId="20" fillId="8" borderId="44" xfId="0" applyFont="1" applyFill="1" applyBorder="1" applyAlignment="1" applyProtection="1">
      <alignment horizontal="center"/>
      <protection locked="0" hidden="1"/>
    </xf>
    <xf numFmtId="0" fontId="20" fillId="5" borderId="13" xfId="0" applyFont="1" applyFill="1" applyBorder="1" applyProtection="1">
      <protection hidden="1"/>
    </xf>
    <xf numFmtId="0" fontId="20" fillId="5" borderId="14" xfId="0" applyFont="1" applyFill="1" applyBorder="1" applyProtection="1">
      <protection hidden="1"/>
    </xf>
    <xf numFmtId="0" fontId="20" fillId="5" borderId="15" xfId="0" applyFont="1" applyFill="1" applyBorder="1" applyProtection="1">
      <protection hidden="1"/>
    </xf>
    <xf numFmtId="0" fontId="20" fillId="5" borderId="11" xfId="0" applyFont="1" applyFill="1" applyBorder="1" applyProtection="1">
      <protection hidden="1"/>
    </xf>
    <xf numFmtId="0" fontId="20" fillId="5" borderId="0" xfId="0" applyFont="1" applyFill="1" applyBorder="1" applyProtection="1">
      <protection hidden="1"/>
    </xf>
    <xf numFmtId="0" fontId="20" fillId="5" borderId="12" xfId="0" applyFont="1" applyFill="1" applyBorder="1" applyProtection="1">
      <protection hidden="1"/>
    </xf>
    <xf numFmtId="9" fontId="20" fillId="7" borderId="46" xfId="1" applyNumberFormat="1" applyFont="1" applyFill="1" applyBorder="1" applyAlignment="1" applyProtection="1">
      <alignment horizontal="center"/>
      <protection locked="0" hidden="1"/>
    </xf>
    <xf numFmtId="0" fontId="20" fillId="5" borderId="43" xfId="0" applyFont="1" applyFill="1" applyBorder="1" applyProtection="1">
      <protection hidden="1"/>
    </xf>
    <xf numFmtId="3" fontId="20" fillId="5" borderId="44" xfId="0" applyNumberFormat="1" applyFont="1" applyFill="1" applyBorder="1" applyProtection="1">
      <protection hidden="1"/>
    </xf>
    <xf numFmtId="0" fontId="22" fillId="5" borderId="97" xfId="0" applyFont="1" applyFill="1" applyBorder="1" applyAlignment="1" applyProtection="1">
      <alignment horizontal="center" vertical="center" wrapText="1"/>
      <protection hidden="1"/>
    </xf>
    <xf numFmtId="2" fontId="20" fillId="0" borderId="40" xfId="1" applyNumberFormat="1" applyFont="1" applyFill="1" applyBorder="1" applyAlignment="1" applyProtection="1">
      <alignment horizontal="center"/>
      <protection hidden="1"/>
    </xf>
    <xf numFmtId="0" fontId="20" fillId="7" borderId="46" xfId="0" applyFont="1" applyFill="1" applyBorder="1" applyAlignment="1" applyProtection="1">
      <alignment horizontal="center" vertical="center" wrapText="1"/>
      <protection hidden="1"/>
    </xf>
    <xf numFmtId="3" fontId="20" fillId="5" borderId="44" xfId="0" applyNumberFormat="1" applyFont="1" applyFill="1" applyBorder="1" applyAlignment="1" applyProtection="1">
      <alignment horizontal="center" vertical="center" wrapText="1"/>
      <protection hidden="1"/>
    </xf>
    <xf numFmtId="0" fontId="108" fillId="0" borderId="11" xfId="0" applyFont="1" applyFill="1" applyBorder="1" applyProtection="1">
      <protection hidden="1"/>
    </xf>
    <xf numFmtId="0" fontId="82" fillId="0" borderId="11" xfId="0" applyFont="1" applyFill="1" applyBorder="1" applyProtection="1">
      <protection hidden="1"/>
    </xf>
    <xf numFmtId="0" fontId="104" fillId="5" borderId="0" xfId="0" applyFont="1" applyFill="1" applyBorder="1" applyProtection="1">
      <protection hidden="1"/>
    </xf>
    <xf numFmtId="0" fontId="104" fillId="5" borderId="12" xfId="0" applyFont="1" applyFill="1" applyBorder="1" applyProtection="1">
      <protection hidden="1"/>
    </xf>
    <xf numFmtId="0" fontId="104" fillId="5" borderId="14" xfId="0" applyFont="1" applyFill="1" applyBorder="1" applyProtection="1">
      <protection hidden="1"/>
    </xf>
    <xf numFmtId="0" fontId="104" fillId="5" borderId="15" xfId="0" applyFont="1" applyFill="1" applyBorder="1" applyProtection="1">
      <protection hidden="1"/>
    </xf>
    <xf numFmtId="10" fontId="104" fillId="7" borderId="42" xfId="1" applyNumberFormat="1" applyFont="1" applyFill="1" applyBorder="1" applyAlignment="1" applyProtection="1">
      <alignment horizontal="center"/>
      <protection locked="0" hidden="1"/>
    </xf>
    <xf numFmtId="10" fontId="20" fillId="7" borderId="42" xfId="1" applyNumberFormat="1" applyFont="1" applyFill="1" applyBorder="1" applyAlignment="1" applyProtection="1">
      <alignment horizontal="center"/>
      <protection locked="0" hidden="1"/>
    </xf>
    <xf numFmtId="0" fontId="0" fillId="5" borderId="43" xfId="0" applyFill="1" applyBorder="1"/>
    <xf numFmtId="0" fontId="0" fillId="5" borderId="43" xfId="0" applyFont="1" applyFill="1" applyBorder="1"/>
    <xf numFmtId="3" fontId="104" fillId="5" borderId="44" xfId="1" applyNumberFormat="1" applyFont="1" applyFill="1" applyBorder="1" applyAlignment="1" applyProtection="1">
      <alignment horizontal="center"/>
      <protection locked="0" hidden="1"/>
    </xf>
    <xf numFmtId="3" fontId="20" fillId="5" borderId="44" xfId="1" applyNumberFormat="1" applyFont="1" applyFill="1" applyBorder="1" applyAlignment="1" applyProtection="1">
      <alignment horizontal="center"/>
      <protection locked="0" hidden="1"/>
    </xf>
    <xf numFmtId="0" fontId="107" fillId="5" borderId="52" xfId="0" applyFont="1" applyFill="1" applyBorder="1" applyAlignment="1" applyProtection="1">
      <alignment horizontal="center" vertical="center" wrapText="1"/>
      <protection hidden="1"/>
    </xf>
    <xf numFmtId="0" fontId="22" fillId="5" borderId="52" xfId="0" applyFont="1" applyFill="1" applyBorder="1" applyAlignment="1" applyProtection="1">
      <alignment horizontal="center" vertical="center" wrapText="1"/>
      <protection hidden="1"/>
    </xf>
    <xf numFmtId="0" fontId="22" fillId="5" borderId="73" xfId="0" applyFont="1" applyFill="1" applyBorder="1" applyAlignment="1" applyProtection="1">
      <alignment horizontal="center" vertical="center" wrapText="1"/>
      <protection hidden="1"/>
    </xf>
    <xf numFmtId="0" fontId="83" fillId="17" borderId="2" xfId="0" applyFont="1" applyFill="1" applyBorder="1" applyAlignment="1" applyProtection="1">
      <protection hidden="1"/>
    </xf>
    <xf numFmtId="0" fontId="83" fillId="17" borderId="3" xfId="0" applyFont="1" applyFill="1" applyBorder="1" applyAlignment="1" applyProtection="1">
      <protection hidden="1"/>
    </xf>
    <xf numFmtId="0" fontId="83" fillId="17" borderId="4" xfId="0" applyFont="1" applyFill="1" applyBorder="1" applyAlignment="1" applyProtection="1">
      <protection hidden="1"/>
    </xf>
    <xf numFmtId="1" fontId="20" fillId="7" borderId="1" xfId="1" applyNumberFormat="1" applyFont="1" applyFill="1" applyBorder="1" applyAlignment="1" applyProtection="1">
      <alignment horizontal="center"/>
      <protection locked="0" hidden="1"/>
    </xf>
    <xf numFmtId="0" fontId="22" fillId="5" borderId="1" xfId="0" applyFont="1" applyFill="1" applyBorder="1" applyAlignment="1" applyProtection="1">
      <alignment horizontal="center" vertical="center" wrapText="1"/>
      <protection hidden="1"/>
    </xf>
    <xf numFmtId="2" fontId="20" fillId="6" borderId="1" xfId="0" applyNumberFormat="1" applyFont="1" applyFill="1" applyBorder="1" applyAlignment="1" applyProtection="1">
      <alignment horizontal="center"/>
      <protection hidden="1"/>
    </xf>
    <xf numFmtId="3" fontId="20" fillId="6" borderId="1" xfId="1" applyNumberFormat="1" applyFont="1" applyFill="1" applyBorder="1" applyAlignment="1" applyProtection="1">
      <alignment horizontal="center"/>
      <protection locked="0" hidden="1"/>
    </xf>
    <xf numFmtId="169" fontId="20" fillId="0" borderId="3" xfId="0" applyNumberFormat="1" applyFont="1" applyFill="1" applyBorder="1" applyAlignment="1" applyProtection="1">
      <protection hidden="1"/>
    </xf>
    <xf numFmtId="3" fontId="20" fillId="0" borderId="70" xfId="1" applyNumberFormat="1" applyFont="1" applyFill="1" applyBorder="1" applyAlignment="1" applyProtection="1">
      <alignment horizontal="center"/>
      <protection hidden="1"/>
    </xf>
    <xf numFmtId="0" fontId="22" fillId="6" borderId="1" xfId="0" applyFont="1" applyFill="1" applyBorder="1" applyAlignment="1" applyProtection="1">
      <alignment horizontal="left" vertical="center" wrapText="1"/>
      <protection hidden="1"/>
    </xf>
    <xf numFmtId="190" fontId="20" fillId="0" borderId="69" xfId="1" applyNumberFormat="1" applyFont="1" applyFill="1" applyBorder="1" applyAlignment="1" applyProtection="1">
      <alignment horizontal="center"/>
      <protection hidden="1"/>
    </xf>
    <xf numFmtId="191" fontId="20" fillId="39" borderId="70" xfId="1" applyNumberFormat="1" applyFont="1" applyFill="1" applyBorder="1" applyAlignment="1" applyProtection="1">
      <alignment horizontal="center"/>
      <protection hidden="1"/>
    </xf>
    <xf numFmtId="3" fontId="20" fillId="8" borderId="59" xfId="0" applyNumberFormat="1" applyFont="1" applyFill="1" applyBorder="1" applyAlignment="1" applyProtection="1">
      <alignment horizontal="center"/>
      <protection hidden="1"/>
    </xf>
    <xf numFmtId="3" fontId="98" fillId="5" borderId="1" xfId="0" applyNumberFormat="1" applyFont="1" applyFill="1" applyBorder="1" applyAlignment="1">
      <alignment wrapText="1"/>
    </xf>
    <xf numFmtId="0" fontId="0" fillId="8" borderId="11" xfId="0" applyFill="1" applyBorder="1" applyProtection="1">
      <protection hidden="1"/>
    </xf>
    <xf numFmtId="0" fontId="0" fillId="8" borderId="12" xfId="0" applyFill="1" applyBorder="1" applyProtection="1">
      <protection hidden="1"/>
    </xf>
    <xf numFmtId="3" fontId="20" fillId="5" borderId="0" xfId="0" applyNumberFormat="1" applyFont="1" applyFill="1" applyBorder="1" applyAlignment="1">
      <alignment wrapText="1"/>
    </xf>
    <xf numFmtId="0" fontId="0" fillId="5" borderId="1" xfId="0" applyFill="1" applyBorder="1"/>
    <xf numFmtId="0" fontId="98" fillId="5" borderId="1" xfId="0" applyFont="1" applyFill="1" applyBorder="1"/>
    <xf numFmtId="44" fontId="98" fillId="5" borderId="1" xfId="0" applyNumberFormat="1" applyFont="1" applyFill="1" applyBorder="1"/>
    <xf numFmtId="0" fontId="1" fillId="5" borderId="0" xfId="0" applyFont="1" applyFill="1"/>
    <xf numFmtId="0" fontId="1" fillId="5" borderId="0" xfId="0" applyFont="1" applyFill="1" applyBorder="1"/>
    <xf numFmtId="0" fontId="0" fillId="5" borderId="0" xfId="0" applyFont="1" applyFill="1"/>
    <xf numFmtId="4" fontId="1" fillId="5" borderId="0" xfId="0" applyNumberFormat="1" applyFont="1" applyFill="1"/>
    <xf numFmtId="0" fontId="16" fillId="0" borderId="0" xfId="0" applyFont="1" applyBorder="1"/>
    <xf numFmtId="0" fontId="0" fillId="0" borderId="28" xfId="0" applyBorder="1"/>
    <xf numFmtId="0" fontId="0" fillId="0" borderId="29" xfId="0" applyBorder="1"/>
    <xf numFmtId="0" fontId="0" fillId="0" borderId="35" xfId="0" applyBorder="1"/>
    <xf numFmtId="0" fontId="0" fillId="0" borderId="36" xfId="0" applyBorder="1"/>
    <xf numFmtId="0" fontId="0" fillId="0" borderId="35" xfId="0" applyBorder="1" applyAlignment="1">
      <alignment horizontal="right"/>
    </xf>
    <xf numFmtId="0" fontId="0" fillId="0" borderId="33" xfId="0" applyBorder="1"/>
    <xf numFmtId="0" fontId="0" fillId="0" borderId="34" xfId="0" applyBorder="1"/>
    <xf numFmtId="0" fontId="0" fillId="0" borderId="25" xfId="0" applyBorder="1"/>
    <xf numFmtId="0" fontId="0" fillId="5" borderId="27" xfId="0" applyFill="1" applyBorder="1"/>
    <xf numFmtId="0" fontId="0" fillId="5" borderId="35" xfId="0" applyFill="1" applyBorder="1"/>
    <xf numFmtId="0" fontId="0" fillId="5" borderId="36" xfId="0" applyFill="1" applyBorder="1"/>
    <xf numFmtId="0" fontId="0" fillId="5" borderId="33" xfId="0" applyFill="1" applyBorder="1"/>
    <xf numFmtId="0" fontId="0" fillId="5" borderId="25" xfId="0" applyFill="1" applyBorder="1"/>
    <xf numFmtId="0" fontId="42" fillId="9" borderId="0" xfId="0" applyFont="1" applyFill="1"/>
    <xf numFmtId="0" fontId="0" fillId="9" borderId="0" xfId="0" applyFill="1"/>
    <xf numFmtId="0" fontId="0" fillId="9" borderId="0" xfId="0" applyFont="1" applyFill="1"/>
    <xf numFmtId="4" fontId="17" fillId="9" borderId="0" xfId="0" applyNumberFormat="1" applyFont="1" applyFill="1" applyAlignment="1">
      <alignment horizontal="center"/>
    </xf>
    <xf numFmtId="4" fontId="17" fillId="9" borderId="0" xfId="0" applyNumberFormat="1" applyFont="1" applyFill="1" applyAlignment="1">
      <alignment horizontal="left"/>
    </xf>
    <xf numFmtId="3" fontId="0" fillId="5" borderId="0" xfId="0" applyNumberFormat="1" applyFill="1" applyAlignment="1">
      <alignment horizontal="left"/>
    </xf>
    <xf numFmtId="3" fontId="0" fillId="5" borderId="0" xfId="0" applyNumberFormat="1" applyFill="1" applyAlignment="1">
      <alignment horizontal="center"/>
    </xf>
    <xf numFmtId="0" fontId="4" fillId="5" borderId="0" xfId="0" applyFont="1" applyFill="1"/>
    <xf numFmtId="0" fontId="4" fillId="5" borderId="28" xfId="0" applyFont="1" applyFill="1" applyBorder="1"/>
    <xf numFmtId="169" fontId="0" fillId="5" borderId="0" xfId="0" applyNumberFormat="1" applyFill="1" applyAlignment="1">
      <alignment horizontal="center"/>
    </xf>
    <xf numFmtId="4" fontId="8" fillId="5" borderId="0" xfId="0" applyNumberFormat="1" applyFont="1" applyFill="1" applyAlignment="1">
      <alignment horizontal="center"/>
    </xf>
    <xf numFmtId="3" fontId="1" fillId="5" borderId="0" xfId="0" applyNumberFormat="1" applyFont="1" applyFill="1"/>
    <xf numFmtId="167" fontId="1" fillId="5" borderId="0" xfId="0" applyNumberFormat="1" applyFont="1" applyFill="1"/>
    <xf numFmtId="167" fontId="1" fillId="5" borderId="0" xfId="1" applyNumberFormat="1" applyFont="1" applyFill="1"/>
    <xf numFmtId="4" fontId="1" fillId="5" borderId="0" xfId="1" applyNumberFormat="1" applyFont="1" applyFill="1" applyBorder="1"/>
    <xf numFmtId="4" fontId="1" fillId="5" borderId="14" xfId="1" applyNumberFormat="1" applyFont="1" applyFill="1" applyBorder="1"/>
    <xf numFmtId="0" fontId="4" fillId="5" borderId="5" xfId="0" applyFont="1" applyFill="1" applyBorder="1"/>
    <xf numFmtId="0" fontId="0" fillId="5" borderId="0" xfId="0" applyFill="1" applyAlignment="1">
      <alignment horizontal="right"/>
    </xf>
    <xf numFmtId="9" fontId="0" fillId="5" borderId="0" xfId="0" applyNumberFormat="1" applyFill="1" applyAlignment="1">
      <alignment horizontal="right"/>
    </xf>
    <xf numFmtId="2" fontId="0" fillId="5" borderId="0" xfId="0" applyNumberFormat="1" applyFill="1" applyAlignment="1">
      <alignment horizontal="right"/>
    </xf>
    <xf numFmtId="0" fontId="16" fillId="5" borderId="0" xfId="0" applyFont="1" applyFill="1"/>
    <xf numFmtId="0" fontId="16" fillId="0" borderId="0" xfId="0" applyFont="1" applyFill="1"/>
    <xf numFmtId="0" fontId="55" fillId="5" borderId="1" xfId="0" applyFont="1" applyFill="1" applyBorder="1" applyAlignment="1">
      <alignment horizontal="left" wrapText="1"/>
    </xf>
    <xf numFmtId="9" fontId="0" fillId="5" borderId="1" xfId="0" applyNumberFormat="1" applyFill="1" applyBorder="1"/>
    <xf numFmtId="167" fontId="0" fillId="5" borderId="1" xfId="0" applyNumberFormat="1" applyFill="1" applyBorder="1"/>
    <xf numFmtId="164" fontId="0" fillId="5" borderId="0" xfId="0" applyNumberFormat="1" applyFont="1" applyFill="1"/>
    <xf numFmtId="0" fontId="0" fillId="5" borderId="0" xfId="0" applyFill="1" applyAlignment="1"/>
    <xf numFmtId="173" fontId="0" fillId="5" borderId="0" xfId="0" applyNumberFormat="1" applyFill="1"/>
    <xf numFmtId="2" fontId="0" fillId="5" borderId="0" xfId="0" applyNumberFormat="1" applyFill="1"/>
    <xf numFmtId="175" fontId="0" fillId="0" borderId="36" xfId="0" applyNumberFormat="1" applyBorder="1"/>
    <xf numFmtId="167" fontId="0" fillId="5" borderId="0" xfId="1" applyNumberFormat="1" applyFont="1" applyFill="1"/>
    <xf numFmtId="3" fontId="6" fillId="5" borderId="0" xfId="0" applyNumberFormat="1" applyFont="1" applyFill="1" applyAlignment="1" applyProtection="1">
      <alignment horizontal="center"/>
      <protection locked="0"/>
    </xf>
    <xf numFmtId="165" fontId="6" fillId="5" borderId="0" xfId="0" applyNumberFormat="1" applyFont="1" applyFill="1" applyAlignment="1">
      <alignment horizontal="left"/>
    </xf>
    <xf numFmtId="3" fontId="6" fillId="5" borderId="0" xfId="0" applyNumberFormat="1" applyFont="1" applyFill="1" applyAlignment="1">
      <alignment horizontal="left"/>
    </xf>
    <xf numFmtId="4" fontId="6" fillId="5" borderId="0" xfId="0" applyNumberFormat="1" applyFont="1" applyFill="1" applyAlignment="1" applyProtection="1">
      <alignment horizontal="center"/>
      <protection locked="0"/>
    </xf>
    <xf numFmtId="4" fontId="0" fillId="5" borderId="0" xfId="0" applyNumberFormat="1" applyFill="1" applyAlignment="1" applyProtection="1">
      <alignment horizontal="center"/>
      <protection locked="0"/>
    </xf>
    <xf numFmtId="3" fontId="8" fillId="5" borderId="0" xfId="0" applyNumberFormat="1" applyFont="1" applyFill="1" applyAlignment="1">
      <alignment horizontal="left"/>
    </xf>
    <xf numFmtId="3" fontId="6" fillId="5" borderId="0" xfId="0" applyNumberFormat="1" applyFont="1" applyFill="1" applyAlignment="1">
      <alignment horizontal="center"/>
    </xf>
    <xf numFmtId="3" fontId="0" fillId="5" borderId="0" xfId="0" applyNumberFormat="1" applyFill="1" applyAlignment="1" applyProtection="1">
      <alignment horizontal="center"/>
      <protection locked="0"/>
    </xf>
    <xf numFmtId="2" fontId="8" fillId="5" borderId="0" xfId="0" applyNumberFormat="1" applyFont="1" applyFill="1" applyAlignment="1">
      <alignment horizontal="center"/>
    </xf>
    <xf numFmtId="2" fontId="0" fillId="5" borderId="0" xfId="0" applyNumberFormat="1" applyFill="1" applyAlignment="1">
      <alignment horizontal="center"/>
    </xf>
    <xf numFmtId="3" fontId="1" fillId="5" borderId="0" xfId="0" applyNumberFormat="1" applyFont="1" applyFill="1" applyAlignment="1" applyProtection="1">
      <alignment horizontal="center"/>
      <protection locked="0"/>
    </xf>
    <xf numFmtId="177" fontId="4" fillId="5" borderId="0" xfId="0" applyNumberFormat="1" applyFont="1" applyFill="1"/>
    <xf numFmtId="174" fontId="4" fillId="5" borderId="0" xfId="0" applyNumberFormat="1" applyFont="1" applyFill="1"/>
    <xf numFmtId="0" fontId="1" fillId="0" borderId="28" xfId="0" applyFont="1" applyBorder="1"/>
    <xf numFmtId="0" fontId="0" fillId="0" borderId="150" xfId="0" applyFont="1" applyBorder="1"/>
    <xf numFmtId="0" fontId="1" fillId="0" borderId="26" xfId="0" applyFont="1" applyBorder="1"/>
    <xf numFmtId="0" fontId="1" fillId="0" borderId="35" xfId="0" applyFont="1" applyBorder="1"/>
    <xf numFmtId="0" fontId="0" fillId="0" borderId="36" xfId="0" applyFont="1" applyBorder="1"/>
    <xf numFmtId="0" fontId="1" fillId="0" borderId="151" xfId="0" applyFont="1" applyBorder="1"/>
    <xf numFmtId="0" fontId="0" fillId="0" borderId="144" xfId="0" applyFont="1" applyBorder="1"/>
    <xf numFmtId="0" fontId="1" fillId="0" borderId="36" xfId="0" applyFont="1" applyBorder="1"/>
    <xf numFmtId="0" fontId="1" fillId="0" borderId="33" xfId="0" applyFont="1" applyBorder="1"/>
    <xf numFmtId="0" fontId="1" fillId="0" borderId="34" xfId="0" applyFont="1" applyBorder="1"/>
    <xf numFmtId="0" fontId="0" fillId="5" borderId="27" xfId="0" applyFont="1" applyFill="1" applyBorder="1"/>
    <xf numFmtId="0" fontId="1" fillId="5" borderId="28" xfId="0" applyFont="1" applyFill="1" applyBorder="1"/>
    <xf numFmtId="169" fontId="1" fillId="0" borderId="0" xfId="0" applyNumberFormat="1" applyFont="1" applyBorder="1"/>
    <xf numFmtId="0" fontId="1" fillId="0" borderId="29" xfId="0" applyFont="1" applyBorder="1"/>
    <xf numFmtId="2" fontId="1" fillId="5" borderId="0" xfId="0" applyNumberFormat="1" applyFont="1" applyFill="1" applyBorder="1"/>
    <xf numFmtId="179" fontId="1" fillId="5" borderId="0" xfId="0" applyNumberFormat="1" applyFont="1" applyFill="1" applyBorder="1"/>
    <xf numFmtId="0" fontId="0" fillId="5" borderId="0" xfId="0" applyFont="1" applyFill="1" applyBorder="1"/>
    <xf numFmtId="4" fontId="4" fillId="5" borderId="0" xfId="0" applyNumberFormat="1" applyFont="1" applyFill="1" applyBorder="1"/>
    <xf numFmtId="0" fontId="1" fillId="0" borderId="25" xfId="0" applyFont="1" applyBorder="1"/>
    <xf numFmtId="9" fontId="1" fillId="5" borderId="0" xfId="0" applyNumberFormat="1" applyFont="1" applyFill="1" applyAlignment="1" applyProtection="1">
      <alignment horizontal="center"/>
      <protection locked="0"/>
    </xf>
    <xf numFmtId="0" fontId="1" fillId="0" borderId="35" xfId="0" applyFont="1" applyFill="1" applyBorder="1"/>
    <xf numFmtId="0" fontId="1" fillId="0" borderId="36" xfId="0" applyFont="1" applyFill="1" applyBorder="1"/>
    <xf numFmtId="0" fontId="0" fillId="0" borderId="36" xfId="0" applyFont="1" applyFill="1" applyBorder="1"/>
    <xf numFmtId="0" fontId="1" fillId="0" borderId="33" xfId="0" applyFont="1" applyFill="1" applyBorder="1"/>
    <xf numFmtId="0" fontId="1" fillId="0" borderId="34" xfId="0" applyFont="1" applyFill="1" applyBorder="1"/>
    <xf numFmtId="0" fontId="1" fillId="0" borderId="25" xfId="0" applyFont="1" applyFill="1" applyBorder="1"/>
    <xf numFmtId="216" fontId="1" fillId="0" borderId="0" xfId="0" applyNumberFormat="1" applyFont="1" applyFill="1" applyBorder="1"/>
    <xf numFmtId="0" fontId="0" fillId="5" borderId="9" xfId="0" applyFont="1" applyFill="1" applyBorder="1"/>
    <xf numFmtId="0" fontId="1" fillId="5" borderId="5" xfId="0" applyFont="1" applyFill="1" applyBorder="1"/>
    <xf numFmtId="0" fontId="0" fillId="5" borderId="5" xfId="0" applyFont="1" applyFill="1" applyBorder="1"/>
    <xf numFmtId="0" fontId="1" fillId="5" borderId="10" xfId="0" applyFont="1" applyFill="1" applyBorder="1"/>
    <xf numFmtId="0" fontId="42" fillId="5" borderId="0" xfId="0" applyFont="1" applyFill="1"/>
    <xf numFmtId="0" fontId="1" fillId="5" borderId="9" xfId="0" applyFont="1" applyFill="1" applyBorder="1"/>
    <xf numFmtId="168" fontId="1" fillId="0" borderId="0" xfId="0" applyNumberFormat="1" applyFont="1" applyBorder="1"/>
    <xf numFmtId="9" fontId="1" fillId="5" borderId="0" xfId="0" applyNumberFormat="1" applyFont="1" applyFill="1"/>
    <xf numFmtId="3" fontId="0" fillId="5" borderId="0" xfId="0" applyNumberFormat="1" applyFont="1" applyFill="1"/>
    <xf numFmtId="9" fontId="1" fillId="5" borderId="0" xfId="1" applyFont="1" applyFill="1" applyAlignment="1">
      <alignment horizontal="center"/>
    </xf>
    <xf numFmtId="9" fontId="0" fillId="5" borderId="0" xfId="1" applyFont="1" applyFill="1"/>
    <xf numFmtId="168" fontId="4" fillId="5" borderId="0" xfId="0" applyNumberFormat="1" applyFont="1" applyFill="1" applyAlignment="1">
      <alignment horizontal="center"/>
    </xf>
    <xf numFmtId="0" fontId="0" fillId="5" borderId="0" xfId="0" applyFont="1" applyFill="1" applyAlignment="1">
      <alignment horizontal="right"/>
    </xf>
    <xf numFmtId="4" fontId="1" fillId="0" borderId="28" xfId="0" applyNumberFormat="1" applyFont="1" applyBorder="1"/>
    <xf numFmtId="4" fontId="1" fillId="0" borderId="36" xfId="0" applyNumberFormat="1" applyFont="1" applyBorder="1"/>
    <xf numFmtId="0" fontId="0" fillId="7" borderId="0" xfId="0" applyFont="1" applyFill="1" applyBorder="1" applyAlignment="1">
      <alignment horizontal="right"/>
    </xf>
    <xf numFmtId="0" fontId="1" fillId="7" borderId="0" xfId="0" applyFont="1" applyFill="1" applyBorder="1"/>
    <xf numFmtId="171" fontId="1" fillId="7" borderId="0" xfId="0" applyNumberFormat="1" applyFont="1" applyFill="1" applyBorder="1"/>
    <xf numFmtId="171" fontId="1" fillId="7" borderId="36" xfId="0" applyNumberFormat="1" applyFont="1" applyFill="1" applyBorder="1"/>
    <xf numFmtId="0" fontId="1" fillId="7" borderId="0" xfId="0" applyFont="1" applyFill="1" applyBorder="1" applyAlignment="1">
      <alignment horizontal="right"/>
    </xf>
    <xf numFmtId="0" fontId="0" fillId="0" borderId="0" xfId="0" applyFont="1" applyBorder="1" applyAlignment="1">
      <alignment horizontal="right"/>
    </xf>
    <xf numFmtId="171" fontId="1" fillId="0" borderId="0" xfId="0" applyNumberFormat="1" applyFont="1" applyBorder="1"/>
    <xf numFmtId="171" fontId="1" fillId="0" borderId="36" xfId="0" applyNumberFormat="1" applyFont="1" applyBorder="1"/>
    <xf numFmtId="0" fontId="0" fillId="0" borderId="33" xfId="0" applyBorder="1" applyAlignment="1">
      <alignment horizontal="right"/>
    </xf>
    <xf numFmtId="0" fontId="1" fillId="0" borderId="34" xfId="0" applyFont="1" applyBorder="1" applyAlignment="1">
      <alignment horizontal="right"/>
    </xf>
    <xf numFmtId="171" fontId="1" fillId="0" borderId="34" xfId="0" applyNumberFormat="1" applyFont="1" applyBorder="1"/>
    <xf numFmtId="171" fontId="1" fillId="0" borderId="25" xfId="0" applyNumberFormat="1" applyFont="1" applyBorder="1"/>
    <xf numFmtId="170" fontId="1" fillId="5" borderId="0" xfId="0" applyNumberFormat="1" applyFont="1" applyFill="1"/>
    <xf numFmtId="0" fontId="98" fillId="5" borderId="0" xfId="0" applyFont="1" applyFill="1" applyAlignment="1">
      <alignment wrapText="1"/>
    </xf>
    <xf numFmtId="0" fontId="99" fillId="5" borderId="0" xfId="0" applyFont="1" applyFill="1" applyAlignment="1">
      <alignment horizontal="right" wrapText="1"/>
    </xf>
    <xf numFmtId="0" fontId="6" fillId="0" borderId="1" xfId="0" applyFont="1" applyBorder="1" applyAlignment="1"/>
    <xf numFmtId="0" fontId="20" fillId="7" borderId="0" xfId="0" applyFont="1" applyFill="1"/>
    <xf numFmtId="0" fontId="114" fillId="51"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115" fillId="0" borderId="1" xfId="0" applyFont="1" applyBorder="1" applyAlignment="1">
      <alignment vertical="center"/>
    </xf>
    <xf numFmtId="0" fontId="20" fillId="0" borderId="1" xfId="0" applyFont="1" applyBorder="1" applyAlignment="1">
      <alignment vertical="center"/>
    </xf>
    <xf numFmtId="0" fontId="58" fillId="0" borderId="1" xfId="4" applyBorder="1"/>
    <xf numFmtId="0" fontId="0" fillId="0" borderId="1" xfId="0" quotePrefix="1" applyBorder="1"/>
    <xf numFmtId="0" fontId="104" fillId="26" borderId="42" xfId="0" applyFont="1" applyFill="1" applyBorder="1" applyAlignment="1" applyProtection="1">
      <alignment horizontal="center" vertical="center" wrapText="1"/>
      <protection hidden="1"/>
    </xf>
    <xf numFmtId="0" fontId="0" fillId="26" borderId="1" xfId="0" applyFont="1" applyFill="1" applyBorder="1" applyAlignment="1">
      <alignment horizontal="left" vertical="center"/>
    </xf>
    <xf numFmtId="3" fontId="0" fillId="26" borderId="1" xfId="0" applyNumberFormat="1" applyFont="1" applyFill="1" applyBorder="1" applyAlignment="1">
      <alignment horizontal="center" vertical="center"/>
    </xf>
    <xf numFmtId="0" fontId="0" fillId="26" borderId="1" xfId="0" applyFont="1" applyFill="1" applyBorder="1" applyAlignment="1">
      <alignment horizontal="center" vertical="center"/>
    </xf>
    <xf numFmtId="0" fontId="0" fillId="26" borderId="1" xfId="0" applyFill="1" applyBorder="1" applyAlignment="1">
      <alignment horizontal="left" vertical="center"/>
    </xf>
    <xf numFmtId="3" fontId="0" fillId="26" borderId="1" xfId="0" applyNumberFormat="1" applyFill="1" applyBorder="1" applyAlignment="1">
      <alignment horizontal="center" vertical="center"/>
    </xf>
    <xf numFmtId="0" fontId="0" fillId="26" borderId="1" xfId="0" applyFill="1" applyBorder="1" applyAlignment="1">
      <alignment horizontal="center" vertical="center"/>
    </xf>
    <xf numFmtId="0" fontId="20" fillId="6" borderId="0" xfId="0" applyFont="1" applyFill="1" applyBorder="1" applyProtection="1">
      <protection hidden="1"/>
    </xf>
    <xf numFmtId="0" fontId="13" fillId="6" borderId="0" xfId="0" applyFont="1" applyFill="1" applyBorder="1" applyAlignment="1" applyProtection="1">
      <alignment horizontal="center"/>
      <protection hidden="1"/>
    </xf>
    <xf numFmtId="0" fontId="20" fillId="6" borderId="5" xfId="0" applyFont="1" applyFill="1" applyBorder="1" applyProtection="1">
      <protection hidden="1"/>
    </xf>
    <xf numFmtId="0" fontId="20" fillId="6" borderId="10" xfId="0" applyFont="1" applyFill="1" applyBorder="1" applyProtection="1">
      <protection hidden="1"/>
    </xf>
    <xf numFmtId="0" fontId="20" fillId="6" borderId="13" xfId="0" applyFont="1" applyFill="1" applyBorder="1" applyProtection="1">
      <protection hidden="1"/>
    </xf>
    <xf numFmtId="0" fontId="20" fillId="6" borderId="14" xfId="0" applyFont="1" applyFill="1" applyBorder="1" applyProtection="1">
      <protection hidden="1"/>
    </xf>
    <xf numFmtId="0" fontId="20" fillId="6" borderId="15" xfId="0" applyFont="1" applyFill="1" applyBorder="1" applyProtection="1">
      <protection hidden="1"/>
    </xf>
    <xf numFmtId="0" fontId="4" fillId="6" borderId="9" xfId="0" applyFont="1" applyFill="1" applyBorder="1" applyAlignment="1" applyProtection="1">
      <alignment vertical="center" wrapText="1"/>
      <protection hidden="1"/>
    </xf>
    <xf numFmtId="0" fontId="4" fillId="6" borderId="74" xfId="0" applyFont="1" applyFill="1" applyBorder="1" applyAlignment="1" applyProtection="1">
      <alignment vertical="center" wrapText="1"/>
      <protection hidden="1"/>
    </xf>
    <xf numFmtId="0" fontId="114" fillId="32" borderId="1" xfId="0" applyFont="1" applyFill="1" applyBorder="1" applyAlignment="1">
      <alignment horizontal="center" vertical="center" wrapText="1"/>
    </xf>
    <xf numFmtId="0" fontId="114" fillId="32" borderId="42" xfId="0" applyFont="1" applyFill="1" applyBorder="1" applyAlignment="1">
      <alignment horizontal="center" vertical="center" wrapText="1"/>
    </xf>
    <xf numFmtId="0" fontId="114" fillId="32" borderId="41" xfId="0" applyFont="1" applyFill="1" applyBorder="1" applyAlignment="1">
      <alignment horizontal="center" vertical="center" wrapText="1"/>
    </xf>
    <xf numFmtId="3" fontId="115" fillId="0" borderId="41" xfId="0" applyNumberFormat="1" applyFont="1" applyFill="1" applyBorder="1" applyAlignment="1">
      <alignment horizontal="center" vertical="center"/>
    </xf>
    <xf numFmtId="3" fontId="115" fillId="0" borderId="1" xfId="0" applyNumberFormat="1" applyFont="1" applyFill="1" applyBorder="1" applyAlignment="1">
      <alignment horizontal="center" vertical="center"/>
    </xf>
    <xf numFmtId="3" fontId="115" fillId="0" borderId="42" xfId="0" applyNumberFormat="1" applyFont="1" applyFill="1" applyBorder="1" applyAlignment="1">
      <alignment horizontal="center" vertical="center"/>
    </xf>
    <xf numFmtId="3" fontId="115" fillId="0" borderId="43" xfId="0" applyNumberFormat="1" applyFont="1" applyFill="1" applyBorder="1" applyAlignment="1">
      <alignment horizontal="center" vertical="center"/>
    </xf>
    <xf numFmtId="3" fontId="115" fillId="0" borderId="50" xfId="0" applyNumberFormat="1" applyFont="1" applyFill="1" applyBorder="1" applyAlignment="1">
      <alignment horizontal="center" vertical="center"/>
    </xf>
    <xf numFmtId="3" fontId="115" fillId="0" borderId="44" xfId="0" applyNumberFormat="1" applyFont="1" applyFill="1" applyBorder="1" applyAlignment="1">
      <alignment horizontal="center" vertical="center"/>
    </xf>
    <xf numFmtId="0" fontId="0" fillId="0" borderId="47" xfId="0" applyBorder="1" applyAlignment="1">
      <alignment horizontal="left" vertical="center"/>
    </xf>
    <xf numFmtId="0" fontId="0" fillId="0" borderId="101" xfId="0" applyBorder="1" applyAlignment="1">
      <alignment horizontal="left" vertical="center"/>
    </xf>
    <xf numFmtId="0" fontId="0" fillId="26" borderId="101" xfId="0" applyFill="1" applyBorder="1" applyAlignment="1">
      <alignment horizontal="left" vertical="center"/>
    </xf>
    <xf numFmtId="0" fontId="0" fillId="26" borderId="48" xfId="0" applyFill="1" applyBorder="1" applyAlignment="1">
      <alignment horizontal="left" vertical="center"/>
    </xf>
    <xf numFmtId="177" fontId="20" fillId="0" borderId="15" xfId="3" applyNumberFormat="1" applyFont="1" applyFill="1" applyBorder="1" applyAlignment="1" applyProtection="1">
      <alignment horizontal="center"/>
      <protection hidden="1"/>
    </xf>
    <xf numFmtId="9" fontId="20" fillId="0" borderId="4" xfId="1" applyFont="1" applyFill="1" applyBorder="1" applyAlignment="1" applyProtection="1">
      <alignment horizontal="center"/>
      <protection hidden="1"/>
    </xf>
    <xf numFmtId="9" fontId="20" fillId="0" borderId="102" xfId="1" applyFont="1" applyFill="1" applyBorder="1" applyAlignment="1" applyProtection="1">
      <alignment horizontal="center"/>
      <protection hidden="1"/>
    </xf>
    <xf numFmtId="3" fontId="0" fillId="26" borderId="41" xfId="0" applyNumberFormat="1" applyFill="1" applyBorder="1" applyAlignment="1">
      <alignment horizontal="center" vertical="center"/>
    </xf>
    <xf numFmtId="3" fontId="0" fillId="26" borderId="42" xfId="0" applyNumberFormat="1" applyFill="1" applyBorder="1" applyAlignment="1">
      <alignment horizontal="center" vertical="center"/>
    </xf>
    <xf numFmtId="3" fontId="0" fillId="26" borderId="43" xfId="0" applyNumberFormat="1" applyFill="1" applyBorder="1" applyAlignment="1">
      <alignment horizontal="center" vertical="center"/>
    </xf>
    <xf numFmtId="3" fontId="0" fillId="26" borderId="50" xfId="0" applyNumberFormat="1" applyFill="1" applyBorder="1" applyAlignment="1">
      <alignment horizontal="center" vertical="center"/>
    </xf>
    <xf numFmtId="3" fontId="0" fillId="26" borderId="44" xfId="0" applyNumberFormat="1" applyFill="1" applyBorder="1" applyAlignment="1">
      <alignment horizontal="center" vertical="center"/>
    </xf>
    <xf numFmtId="3" fontId="0" fillId="7" borderId="41" xfId="0" applyNumberFormat="1" applyFill="1" applyBorder="1" applyAlignment="1">
      <alignment horizontal="center" vertical="center"/>
    </xf>
    <xf numFmtId="3" fontId="0" fillId="7" borderId="1" xfId="0" applyNumberFormat="1" applyFill="1" applyBorder="1" applyAlignment="1">
      <alignment horizontal="center" vertical="center"/>
    </xf>
    <xf numFmtId="3" fontId="0" fillId="7" borderId="42" xfId="0" applyNumberFormat="1" applyFill="1" applyBorder="1" applyAlignment="1">
      <alignment horizontal="center" vertical="center"/>
    </xf>
    <xf numFmtId="3" fontId="22" fillId="7" borderId="152" xfId="0" applyNumberFormat="1" applyFont="1" applyFill="1" applyBorder="1" applyAlignment="1" applyProtection="1">
      <alignment horizontal="center"/>
      <protection locked="0" hidden="1"/>
    </xf>
    <xf numFmtId="3" fontId="22" fillId="26" borderId="1" xfId="0" applyNumberFormat="1" applyFont="1" applyFill="1" applyBorder="1" applyAlignment="1" applyProtection="1">
      <alignment horizontal="center"/>
      <protection locked="0" hidden="1"/>
    </xf>
    <xf numFmtId="3" fontId="22" fillId="7" borderId="153" xfId="0" applyNumberFormat="1" applyFont="1" applyFill="1" applyBorder="1" applyAlignment="1" applyProtection="1">
      <alignment horizontal="center"/>
      <protection locked="0" hidden="1"/>
    </xf>
    <xf numFmtId="3" fontId="64" fillId="7" borderId="87" xfId="0" applyNumberFormat="1" applyFont="1" applyFill="1" applyBorder="1" applyAlignment="1" applyProtection="1">
      <alignment horizontal="center"/>
      <protection locked="0" hidden="1"/>
    </xf>
    <xf numFmtId="3" fontId="64" fillId="7" borderId="125" xfId="0" applyNumberFormat="1" applyFont="1" applyFill="1" applyBorder="1" applyAlignment="1" applyProtection="1">
      <alignment horizontal="center"/>
      <protection locked="0" hidden="1"/>
    </xf>
    <xf numFmtId="3" fontId="64" fillId="7" borderId="154" xfId="0" applyNumberFormat="1" applyFont="1" applyFill="1" applyBorder="1" applyAlignment="1" applyProtection="1">
      <alignment horizontal="center"/>
      <protection locked="0" hidden="1"/>
    </xf>
    <xf numFmtId="203" fontId="64" fillId="39" borderId="127" xfId="0" applyNumberFormat="1" applyFont="1" applyFill="1" applyBorder="1" applyAlignment="1" applyProtection="1">
      <alignment horizontal="center"/>
      <protection hidden="1"/>
    </xf>
    <xf numFmtId="203" fontId="64" fillId="39" borderId="125" xfId="0" applyNumberFormat="1" applyFont="1" applyFill="1" applyBorder="1" applyAlignment="1" applyProtection="1">
      <alignment horizontal="center"/>
      <protection hidden="1"/>
    </xf>
    <xf numFmtId="203" fontId="64" fillId="39" borderId="120" xfId="0" applyNumberFormat="1" applyFont="1" applyFill="1" applyBorder="1" applyAlignment="1" applyProtection="1">
      <alignment horizontal="center"/>
      <protection hidden="1"/>
    </xf>
    <xf numFmtId="203" fontId="20" fillId="0" borderId="93" xfId="0" applyNumberFormat="1" applyFont="1" applyFill="1" applyBorder="1" applyAlignment="1" applyProtection="1">
      <alignment horizontal="center"/>
      <protection hidden="1"/>
    </xf>
    <xf numFmtId="203" fontId="20" fillId="0" borderId="94" xfId="0" applyNumberFormat="1" applyFont="1" applyFill="1" applyBorder="1" applyAlignment="1" applyProtection="1">
      <alignment horizontal="center"/>
      <protection hidden="1"/>
    </xf>
    <xf numFmtId="203" fontId="20" fillId="0" borderId="95" xfId="0" applyNumberFormat="1" applyFont="1" applyFill="1" applyBorder="1" applyAlignment="1" applyProtection="1">
      <alignment horizontal="center"/>
      <protection hidden="1"/>
    </xf>
    <xf numFmtId="203" fontId="64" fillId="26" borderId="1" xfId="0" applyNumberFormat="1" applyFont="1" applyFill="1" applyBorder="1" applyAlignment="1" applyProtection="1">
      <alignment horizontal="center"/>
      <protection hidden="1"/>
    </xf>
    <xf numFmtId="3" fontId="20" fillId="0" borderId="152" xfId="0" applyNumberFormat="1" applyFont="1" applyFill="1" applyBorder="1" applyAlignment="1" applyProtection="1">
      <alignment horizontal="center"/>
      <protection locked="0" hidden="1"/>
    </xf>
    <xf numFmtId="3" fontId="20" fillId="26" borderId="1" xfId="0" applyNumberFormat="1" applyFont="1" applyFill="1" applyBorder="1" applyAlignment="1" applyProtection="1">
      <alignment horizontal="center"/>
      <protection locked="0" hidden="1"/>
    </xf>
    <xf numFmtId="3" fontId="20" fillId="0" borderId="153" xfId="0" applyNumberFormat="1" applyFont="1" applyFill="1" applyBorder="1" applyAlignment="1" applyProtection="1">
      <alignment horizontal="center"/>
      <protection locked="0" hidden="1"/>
    </xf>
    <xf numFmtId="3" fontId="20" fillId="26" borderId="1" xfId="0" applyNumberFormat="1" applyFont="1" applyFill="1" applyBorder="1" applyAlignment="1" applyProtection="1">
      <alignment horizontal="center"/>
      <protection hidden="1"/>
    </xf>
    <xf numFmtId="4" fontId="20" fillId="0" borderId="135" xfId="1" applyNumberFormat="1" applyFont="1" applyFill="1" applyBorder="1" applyAlignment="1" applyProtection="1">
      <alignment horizontal="center"/>
      <protection hidden="1"/>
    </xf>
    <xf numFmtId="4" fontId="20" fillId="39" borderId="137" xfId="1" applyNumberFormat="1" applyFont="1" applyFill="1" applyBorder="1" applyAlignment="1" applyProtection="1">
      <alignment horizontal="center"/>
      <protection hidden="1"/>
    </xf>
    <xf numFmtId="4" fontId="20" fillId="0" borderId="137" xfId="1" applyNumberFormat="1" applyFont="1" applyFill="1" applyBorder="1" applyAlignment="1" applyProtection="1">
      <alignment horizontal="center"/>
      <protection hidden="1"/>
    </xf>
    <xf numFmtId="4" fontId="20" fillId="0" borderId="139" xfId="1" applyNumberFormat="1" applyFont="1" applyFill="1" applyBorder="1" applyAlignment="1" applyProtection="1">
      <alignment horizontal="center"/>
      <protection hidden="1"/>
    </xf>
    <xf numFmtId="4" fontId="20" fillId="39" borderId="139" xfId="1" applyNumberFormat="1" applyFont="1" applyFill="1" applyBorder="1" applyAlignment="1" applyProtection="1">
      <alignment horizontal="center"/>
      <protection hidden="1"/>
    </xf>
    <xf numFmtId="4" fontId="20" fillId="39" borderId="141" xfId="1" applyNumberFormat="1" applyFont="1" applyFill="1" applyBorder="1" applyAlignment="1" applyProtection="1">
      <alignment horizontal="center"/>
      <protection hidden="1"/>
    </xf>
    <xf numFmtId="3" fontId="64" fillId="39" borderId="88" xfId="0" applyNumberFormat="1" applyFont="1" applyFill="1" applyBorder="1" applyAlignment="1" applyProtection="1">
      <alignment horizontal="center"/>
      <protection locked="0"/>
    </xf>
    <xf numFmtId="3" fontId="64" fillId="26" borderId="1" xfId="0" applyNumberFormat="1" applyFont="1" applyFill="1" applyBorder="1" applyAlignment="1" applyProtection="1">
      <alignment horizontal="center"/>
      <protection locked="0"/>
    </xf>
    <xf numFmtId="3" fontId="64" fillId="39" borderId="58" xfId="0" applyNumberFormat="1" applyFont="1" applyFill="1" applyBorder="1" applyAlignment="1" applyProtection="1">
      <alignment horizontal="center"/>
      <protection locked="0"/>
    </xf>
    <xf numFmtId="3" fontId="20" fillId="26" borderId="1" xfId="0" applyNumberFormat="1" applyFont="1" applyFill="1" applyBorder="1" applyAlignment="1" applyProtection="1">
      <alignment horizontal="center"/>
      <protection locked="0"/>
    </xf>
    <xf numFmtId="3" fontId="115" fillId="26" borderId="41" xfId="0" applyNumberFormat="1" applyFont="1" applyFill="1" applyBorder="1" applyAlignment="1">
      <alignment horizontal="center" vertical="center"/>
    </xf>
    <xf numFmtId="3" fontId="115" fillId="26" borderId="1" xfId="0" applyNumberFormat="1" applyFont="1" applyFill="1" applyBorder="1" applyAlignment="1">
      <alignment horizontal="center" vertical="center"/>
    </xf>
    <xf numFmtId="3" fontId="115" fillId="26" borderId="42" xfId="0" applyNumberFormat="1" applyFont="1" applyFill="1" applyBorder="1" applyAlignment="1">
      <alignment horizontal="center" vertical="center"/>
    </xf>
    <xf numFmtId="9" fontId="20" fillId="26" borderId="4" xfId="1" applyFont="1" applyFill="1" applyBorder="1" applyAlignment="1" applyProtection="1">
      <alignment horizontal="center"/>
      <protection hidden="1"/>
    </xf>
    <xf numFmtId="2" fontId="20" fillId="26" borderId="1" xfId="1" applyNumberFormat="1" applyFont="1" applyFill="1" applyBorder="1" applyAlignment="1" applyProtection="1">
      <alignment horizontal="center"/>
      <protection hidden="1"/>
    </xf>
    <xf numFmtId="44" fontId="20" fillId="26" borderId="42" xfId="3" applyFont="1" applyFill="1" applyBorder="1" applyAlignment="1" applyProtection="1">
      <alignment horizontal="center"/>
      <protection hidden="1"/>
    </xf>
    <xf numFmtId="0" fontId="96" fillId="26" borderId="41" xfId="0" applyFont="1" applyFill="1" applyBorder="1" applyAlignment="1">
      <alignment horizontal="left" vertical="center"/>
    </xf>
    <xf numFmtId="9" fontId="96" fillId="26" borderId="42" xfId="1" applyFont="1" applyFill="1" applyBorder="1" applyAlignment="1">
      <alignment horizontal="center" vertical="center"/>
    </xf>
    <xf numFmtId="9" fontId="20" fillId="26" borderId="1" xfId="1" applyFont="1" applyFill="1" applyBorder="1" applyAlignment="1" applyProtection="1">
      <alignment horizontal="center"/>
      <protection hidden="1"/>
    </xf>
    <xf numFmtId="3" fontId="0" fillId="26" borderId="0" xfId="0" applyNumberFormat="1" applyFont="1" applyFill="1"/>
    <xf numFmtId="9" fontId="1" fillId="26" borderId="0" xfId="0" applyNumberFormat="1" applyFont="1" applyFill="1" applyAlignment="1" applyProtection="1">
      <alignment horizontal="center"/>
      <protection locked="0"/>
    </xf>
    <xf numFmtId="3" fontId="1" fillId="26" borderId="0" xfId="0" applyNumberFormat="1" applyFont="1" applyFill="1"/>
    <xf numFmtId="4" fontId="1" fillId="26" borderId="0" xfId="0" applyNumberFormat="1" applyFont="1" applyFill="1" applyAlignment="1" applyProtection="1">
      <alignment horizontal="center"/>
      <protection locked="0"/>
    </xf>
    <xf numFmtId="9" fontId="1" fillId="26" borderId="0" xfId="1" applyFont="1" applyFill="1" applyAlignment="1">
      <alignment horizontal="center"/>
    </xf>
    <xf numFmtId="0" fontId="0" fillId="26" borderId="0" xfId="0" applyFont="1" applyFill="1" applyBorder="1"/>
    <xf numFmtId="0" fontId="0" fillId="26" borderId="0" xfId="0" applyFont="1" applyFill="1"/>
    <xf numFmtId="9" fontId="0" fillId="26" borderId="0" xfId="1" applyFont="1" applyFill="1"/>
    <xf numFmtId="0" fontId="1" fillId="26" borderId="0" xfId="0" applyFont="1" applyFill="1"/>
    <xf numFmtId="4" fontId="1" fillId="26" borderId="0" xfId="0" applyNumberFormat="1" applyFont="1" applyFill="1"/>
    <xf numFmtId="14" fontId="36" fillId="25" borderId="0" xfId="0" applyNumberFormat="1" applyFont="1" applyFill="1"/>
    <xf numFmtId="0" fontId="32" fillId="14" borderId="4" xfId="0" applyFont="1" applyFill="1" applyBorder="1" applyAlignment="1">
      <alignment horizontal="center" vertical="center" wrapText="1"/>
    </xf>
    <xf numFmtId="3" fontId="6" fillId="26" borderId="0" xfId="0" applyNumberFormat="1" applyFont="1" applyFill="1" applyAlignment="1">
      <alignment horizontal="left"/>
    </xf>
    <xf numFmtId="4" fontId="6" fillId="26" borderId="0" xfId="0" applyNumberFormat="1" applyFont="1" applyFill="1" applyAlignment="1" applyProtection="1">
      <alignment horizontal="center"/>
      <protection locked="0"/>
    </xf>
    <xf numFmtId="3" fontId="8" fillId="26" borderId="0" xfId="0" applyNumberFormat="1" applyFont="1" applyFill="1" applyAlignment="1">
      <alignment horizontal="left"/>
    </xf>
    <xf numFmtId="4" fontId="17" fillId="26" borderId="0" xfId="0" applyNumberFormat="1" applyFont="1" applyFill="1" applyAlignment="1">
      <alignment horizontal="left"/>
    </xf>
    <xf numFmtId="0" fontId="17" fillId="26" borderId="0" xfId="0" applyFont="1" applyFill="1" applyAlignment="1">
      <alignment horizontal="left"/>
    </xf>
    <xf numFmtId="3" fontId="0" fillId="26" borderId="0" xfId="0" applyNumberFormat="1" applyFill="1" applyAlignment="1">
      <alignment horizontal="left"/>
    </xf>
    <xf numFmtId="0" fontId="4" fillId="26" borderId="0" xfId="0" applyFont="1" applyFill="1"/>
    <xf numFmtId="0" fontId="8" fillId="26" borderId="0" xfId="0" applyFont="1" applyFill="1"/>
    <xf numFmtId="4" fontId="0" fillId="0" borderId="1" xfId="0" quotePrefix="1" applyNumberFormat="1" applyBorder="1"/>
    <xf numFmtId="0" fontId="5" fillId="26" borderId="0" xfId="0" applyFont="1" applyFill="1"/>
    <xf numFmtId="4" fontId="0" fillId="26" borderId="0" xfId="0" applyNumberFormat="1" applyFill="1" applyAlignment="1" applyProtection="1">
      <alignment horizontal="center"/>
      <protection locked="0"/>
    </xf>
    <xf numFmtId="9" fontId="0" fillId="26" borderId="0" xfId="1" applyFont="1" applyFill="1" applyAlignment="1" applyProtection="1">
      <alignment horizontal="center"/>
      <protection locked="0"/>
    </xf>
    <xf numFmtId="0" fontId="0" fillId="26" borderId="0" xfId="0" applyFill="1"/>
    <xf numFmtId="9" fontId="1" fillId="26" borderId="0" xfId="1" applyFont="1" applyFill="1" applyAlignment="1" applyProtection="1">
      <alignment horizontal="center"/>
      <protection locked="0"/>
    </xf>
    <xf numFmtId="169" fontId="4" fillId="26" borderId="0" xfId="0" applyNumberFormat="1" applyFont="1" applyFill="1" applyAlignment="1">
      <alignment horizontal="center"/>
    </xf>
    <xf numFmtId="174" fontId="4" fillId="26" borderId="0" xfId="0" applyNumberFormat="1" applyFont="1" applyFill="1"/>
    <xf numFmtId="4" fontId="4" fillId="26" borderId="0" xfId="0" applyNumberFormat="1" applyFont="1" applyFill="1" applyAlignment="1">
      <alignment horizontal="center"/>
    </xf>
    <xf numFmtId="2" fontId="1" fillId="26" borderId="0" xfId="0" applyNumberFormat="1" applyFont="1" applyFill="1" applyBorder="1"/>
    <xf numFmtId="9" fontId="1" fillId="5" borderId="0" xfId="1" applyFont="1" applyFill="1" applyAlignment="1" applyProtection="1">
      <alignment horizontal="center"/>
      <protection locked="0"/>
    </xf>
    <xf numFmtId="0" fontId="117" fillId="0" borderId="0" xfId="0" applyFont="1" applyAlignment="1">
      <alignment horizontal="center" vertical="center"/>
    </xf>
    <xf numFmtId="0" fontId="0" fillId="0" borderId="0" xfId="0" applyFont="1" applyAlignment="1"/>
    <xf numFmtId="0" fontId="115" fillId="0" borderId="1" xfId="0" applyFont="1" applyBorder="1" applyAlignment="1">
      <alignment horizontal="left" vertical="center"/>
    </xf>
    <xf numFmtId="0" fontId="0" fillId="0" borderId="1" xfId="0" applyBorder="1" applyAlignment="1"/>
    <xf numFmtId="0" fontId="0" fillId="0" borderId="1" xfId="0" applyFont="1" applyBorder="1" applyAlignment="1">
      <alignment vertical="center"/>
    </xf>
    <xf numFmtId="0" fontId="117" fillId="0" borderId="0" xfId="0" applyFont="1" applyAlignment="1">
      <alignment vertical="center"/>
    </xf>
    <xf numFmtId="0" fontId="118" fillId="53" borderId="0" xfId="0" applyFont="1" applyFill="1"/>
    <xf numFmtId="0" fontId="116" fillId="52" borderId="156" xfId="0" applyFont="1" applyFill="1" applyBorder="1"/>
    <xf numFmtId="0" fontId="0" fillId="0" borderId="156" xfId="0" applyBorder="1"/>
    <xf numFmtId="0" fontId="0" fillId="0" borderId="1" xfId="0" applyBorder="1" applyAlignment="1">
      <alignment horizontal="right"/>
    </xf>
    <xf numFmtId="0" fontId="21" fillId="0" borderId="1" xfId="0" applyFont="1" applyBorder="1"/>
    <xf numFmtId="0" fontId="114" fillId="52" borderId="158" xfId="0" applyFont="1" applyFill="1" applyBorder="1"/>
    <xf numFmtId="0" fontId="0" fillId="0" borderId="158" xfId="0" applyBorder="1"/>
    <xf numFmtId="0" fontId="114" fillId="52" borderId="157" xfId="0" applyFont="1" applyFill="1" applyBorder="1"/>
    <xf numFmtId="0" fontId="0" fillId="0" borderId="157" xfId="0" applyBorder="1"/>
    <xf numFmtId="0" fontId="0" fillId="0" borderId="156" xfId="0" quotePrefix="1" applyBorder="1"/>
    <xf numFmtId="10" fontId="118" fillId="53" borderId="0" xfId="0" applyNumberFormat="1" applyFont="1" applyFill="1" applyAlignment="1">
      <alignment horizontal="right"/>
    </xf>
    <xf numFmtId="2" fontId="118" fillId="53" borderId="0" xfId="0" applyNumberFormat="1" applyFont="1" applyFill="1" applyAlignment="1">
      <alignment horizontal="right"/>
    </xf>
    <xf numFmtId="9" fontId="118" fillId="53" borderId="0" xfId="0" applyNumberFormat="1" applyFont="1" applyFill="1" applyAlignment="1">
      <alignment horizontal="right"/>
    </xf>
    <xf numFmtId="43" fontId="118" fillId="53" borderId="0" xfId="2" applyFont="1" applyFill="1"/>
    <xf numFmtId="0" fontId="0" fillId="0" borderId="1" xfId="0" applyBorder="1" applyAlignment="1">
      <alignment wrapText="1"/>
    </xf>
    <xf numFmtId="165" fontId="118" fillId="53" borderId="0" xfId="0" applyNumberFormat="1" applyFont="1" applyFill="1"/>
    <xf numFmtId="43" fontId="118" fillId="53" borderId="0" xfId="0" applyNumberFormat="1" applyFont="1" applyFill="1"/>
    <xf numFmtId="3" fontId="119" fillId="53" borderId="0" xfId="0" applyNumberFormat="1" applyFont="1" applyFill="1" applyAlignment="1">
      <alignment horizontal="left"/>
    </xf>
    <xf numFmtId="9" fontId="119" fillId="53" borderId="0" xfId="0" applyNumberFormat="1" applyFont="1" applyFill="1" applyAlignment="1" applyProtection="1">
      <alignment horizontal="center"/>
      <protection locked="0"/>
    </xf>
    <xf numFmtId="4" fontId="120" fillId="53" borderId="0" xfId="0" applyNumberFormat="1" applyFont="1" applyFill="1" applyAlignment="1">
      <alignment horizontal="center"/>
    </xf>
    <xf numFmtId="0" fontId="6" fillId="0" borderId="1" xfId="0" applyFont="1" applyBorder="1" applyAlignment="1">
      <alignment wrapText="1"/>
    </xf>
    <xf numFmtId="0" fontId="0" fillId="0" borderId="6" xfId="0" applyBorder="1" applyAlignment="1">
      <alignment horizontal="center" vertical="center"/>
    </xf>
    <xf numFmtId="167" fontId="118" fillId="53" borderId="128" xfId="1" applyNumberFormat="1" applyFont="1" applyFill="1" applyBorder="1" applyAlignment="1" applyProtection="1">
      <alignment horizontal="center"/>
      <protection hidden="1"/>
    </xf>
    <xf numFmtId="167" fontId="118" fillId="53" borderId="129" xfId="1" applyNumberFormat="1" applyFont="1" applyFill="1" applyBorder="1" applyAlignment="1" applyProtection="1">
      <alignment horizontal="center"/>
      <protection hidden="1"/>
    </xf>
    <xf numFmtId="167" fontId="118" fillId="53" borderId="130" xfId="1" applyNumberFormat="1" applyFont="1" applyFill="1" applyBorder="1" applyAlignment="1" applyProtection="1">
      <alignment horizontal="center"/>
      <protection hidden="1"/>
    </xf>
    <xf numFmtId="167" fontId="118" fillId="53" borderId="131" xfId="1" applyNumberFormat="1" applyFont="1" applyFill="1" applyBorder="1" applyAlignment="1" applyProtection="1">
      <alignment horizontal="center"/>
      <protection hidden="1"/>
    </xf>
    <xf numFmtId="0" fontId="0" fillId="55" borderId="138" xfId="0" applyFill="1" applyBorder="1" applyAlignment="1">
      <alignment horizontal="left"/>
    </xf>
    <xf numFmtId="4" fontId="0" fillId="55" borderId="139" xfId="0" applyNumberFormat="1" applyFill="1" applyBorder="1"/>
    <xf numFmtId="0" fontId="122" fillId="0" borderId="0" xfId="0" applyFont="1"/>
    <xf numFmtId="0" fontId="121" fillId="54" borderId="158" xfId="5" applyBorder="1" applyAlignment="1">
      <alignment horizontal="left"/>
    </xf>
    <xf numFmtId="4" fontId="121" fillId="54" borderId="157" xfId="5" applyNumberFormat="1" applyBorder="1" applyAlignment="1"/>
    <xf numFmtId="3" fontId="118" fillId="53" borderId="0" xfId="0" applyNumberFormat="1" applyFont="1" applyFill="1"/>
    <xf numFmtId="167" fontId="118" fillId="53" borderId="0" xfId="0" applyNumberFormat="1" applyFont="1" applyFill="1" applyBorder="1"/>
    <xf numFmtId="167" fontId="118" fillId="53" borderId="14" xfId="0" applyNumberFormat="1" applyFont="1" applyFill="1" applyBorder="1"/>
    <xf numFmtId="0" fontId="7" fillId="10" borderId="1"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7" fillId="27" borderId="1" xfId="0" applyFont="1" applyFill="1" applyBorder="1" applyAlignment="1">
      <alignment horizontal="center" vertical="center" wrapText="1"/>
    </xf>
    <xf numFmtId="0" fontId="7" fillId="28" borderId="3" xfId="0" applyFont="1" applyFill="1" applyBorder="1" applyAlignment="1">
      <alignment horizontal="center" vertical="center" wrapText="1"/>
    </xf>
    <xf numFmtId="0" fontId="7" fillId="28" borderId="4" xfId="0" applyFont="1" applyFill="1" applyBorder="1" applyAlignment="1">
      <alignment horizontal="center" vertical="center" wrapText="1"/>
    </xf>
    <xf numFmtId="0" fontId="7" fillId="27" borderId="2" xfId="0" applyFont="1" applyFill="1" applyBorder="1" applyAlignment="1">
      <alignment horizontal="center" vertical="center" wrapText="1"/>
    </xf>
    <xf numFmtId="0" fontId="7" fillId="27" borderId="3" xfId="0" applyFont="1" applyFill="1" applyBorder="1" applyAlignment="1">
      <alignment horizontal="center" vertical="center" wrapText="1"/>
    </xf>
    <xf numFmtId="0" fontId="7" fillId="27" borderId="4" xfId="0" applyFont="1" applyFill="1" applyBorder="1" applyAlignment="1">
      <alignment horizontal="center" vertical="center" wrapText="1"/>
    </xf>
    <xf numFmtId="0" fontId="45" fillId="27" borderId="2" xfId="0" applyFont="1" applyFill="1" applyBorder="1" applyAlignment="1">
      <alignment horizontal="center" vertical="center" wrapText="1"/>
    </xf>
    <xf numFmtId="0" fontId="45" fillId="27" borderId="3" xfId="0" applyFont="1" applyFill="1" applyBorder="1" applyAlignment="1">
      <alignment horizontal="center" vertical="center" wrapText="1"/>
    </xf>
    <xf numFmtId="0" fontId="45" fillId="27" borderId="4" xfId="0" applyFont="1" applyFill="1" applyBorder="1" applyAlignment="1">
      <alignment horizontal="center" vertical="center" wrapText="1"/>
    </xf>
    <xf numFmtId="0" fontId="46" fillId="28" borderId="9" xfId="0" applyFont="1" applyFill="1" applyBorder="1" applyAlignment="1">
      <alignment horizontal="center" vertical="center" wrapText="1"/>
    </xf>
    <xf numFmtId="0" fontId="46" fillId="28" borderId="5" xfId="0" applyFont="1" applyFill="1" applyBorder="1" applyAlignment="1">
      <alignment horizontal="center" vertical="center" wrapText="1"/>
    </xf>
    <xf numFmtId="0" fontId="46" fillId="28" borderId="10" xfId="0" applyFont="1" applyFill="1" applyBorder="1" applyAlignment="1">
      <alignment horizontal="center" vertical="center" wrapText="1"/>
    </xf>
    <xf numFmtId="0" fontId="46" fillId="28" borderId="13" xfId="0" applyFont="1" applyFill="1" applyBorder="1" applyAlignment="1">
      <alignment horizontal="center" vertical="center" wrapText="1"/>
    </xf>
    <xf numFmtId="0" fontId="46" fillId="28" borderId="14" xfId="0" applyFont="1" applyFill="1" applyBorder="1" applyAlignment="1">
      <alignment horizontal="center" vertical="center" wrapText="1"/>
    </xf>
    <xf numFmtId="0" fontId="46" fillId="28" borderId="15"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3"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7" fillId="26" borderId="4" xfId="0" applyFont="1" applyFill="1" applyBorder="1" applyAlignment="1">
      <alignment horizontal="center" vertical="center" wrapText="1"/>
    </xf>
    <xf numFmtId="0" fontId="45" fillId="15" borderId="2" xfId="0" applyFont="1" applyFill="1" applyBorder="1" applyAlignment="1">
      <alignment horizontal="center" vertical="center" wrapText="1"/>
    </xf>
    <xf numFmtId="0" fontId="45" fillId="15" borderId="3" xfId="0" applyFont="1" applyFill="1" applyBorder="1" applyAlignment="1">
      <alignment horizontal="center" vertical="center" wrapText="1"/>
    </xf>
    <xf numFmtId="0" fontId="45" fillId="15" borderId="4" xfId="0" applyFont="1" applyFill="1" applyBorder="1" applyAlignment="1">
      <alignment horizontal="center" vertical="center" wrapText="1"/>
    </xf>
    <xf numFmtId="0" fontId="32" fillId="14" borderId="4" xfId="0" applyFont="1" applyFill="1" applyBorder="1" applyAlignment="1">
      <alignment horizontal="center" vertical="center" wrapText="1"/>
    </xf>
    <xf numFmtId="0" fontId="45" fillId="14" borderId="2" xfId="0" applyFont="1" applyFill="1" applyBorder="1" applyAlignment="1">
      <alignment horizontal="center" vertical="center" wrapText="1"/>
    </xf>
    <xf numFmtId="0" fontId="45" fillId="14" borderId="3" xfId="0" applyFont="1" applyFill="1" applyBorder="1" applyAlignment="1">
      <alignment horizontal="center" vertical="center" wrapText="1"/>
    </xf>
    <xf numFmtId="0" fontId="45" fillId="14" borderId="4" xfId="0" applyFont="1" applyFill="1" applyBorder="1" applyAlignment="1">
      <alignment horizontal="center" vertical="center" wrapText="1"/>
    </xf>
    <xf numFmtId="0" fontId="45" fillId="10" borderId="2" xfId="0" applyFont="1" applyFill="1" applyBorder="1" applyAlignment="1">
      <alignment horizontal="center" vertical="center" wrapText="1"/>
    </xf>
    <xf numFmtId="0" fontId="45" fillId="10" borderId="3" xfId="0" applyFont="1" applyFill="1" applyBorder="1" applyAlignment="1">
      <alignment horizontal="center" vertical="center" wrapText="1"/>
    </xf>
    <xf numFmtId="0" fontId="45" fillId="10" borderId="4" xfId="0" applyFont="1" applyFill="1" applyBorder="1" applyAlignment="1">
      <alignment horizontal="center" vertical="center" wrapText="1"/>
    </xf>
    <xf numFmtId="0" fontId="45" fillId="26" borderId="2" xfId="0" applyFont="1" applyFill="1" applyBorder="1" applyAlignment="1">
      <alignment horizontal="center" vertical="center" wrapText="1"/>
    </xf>
    <xf numFmtId="0" fontId="45" fillId="26" borderId="3" xfId="0" applyFont="1" applyFill="1" applyBorder="1" applyAlignment="1">
      <alignment horizontal="center" vertical="center" wrapText="1"/>
    </xf>
    <xf numFmtId="0" fontId="45" fillId="26" borderId="4" xfId="0" applyFont="1" applyFill="1" applyBorder="1" applyAlignment="1">
      <alignment horizontal="center" vertical="center" wrapText="1"/>
    </xf>
    <xf numFmtId="0" fontId="32" fillId="4" borderId="2"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69" fillId="0" borderId="27" xfId="0" applyFont="1" applyFill="1" applyBorder="1" applyAlignment="1">
      <alignment horizontal="left" wrapText="1"/>
    </xf>
    <xf numFmtId="0" fontId="69" fillId="0" borderId="33" xfId="0" applyFont="1" applyFill="1" applyBorder="1" applyAlignment="1">
      <alignment horizontal="left" wrapText="1"/>
    </xf>
    <xf numFmtId="0" fontId="71" fillId="26" borderId="0" xfId="0" applyFont="1" applyFill="1" applyBorder="1" applyAlignment="1">
      <alignment horizontal="left" vertical="center" wrapText="1"/>
    </xf>
    <xf numFmtId="0" fontId="70" fillId="36" borderId="28" xfId="0" applyFont="1" applyFill="1" applyBorder="1" applyAlignment="1">
      <alignment horizontal="center" wrapText="1"/>
    </xf>
    <xf numFmtId="0" fontId="70" fillId="36" borderId="29" xfId="0" applyFont="1" applyFill="1" applyBorder="1" applyAlignment="1">
      <alignment horizontal="center" wrapText="1"/>
    </xf>
    <xf numFmtId="0" fontId="70" fillId="36" borderId="27" xfId="0" applyFont="1" applyFill="1" applyBorder="1" applyAlignment="1">
      <alignment horizontal="center" wrapText="1"/>
    </xf>
    <xf numFmtId="0" fontId="68" fillId="0" borderId="0" xfId="0" applyFont="1" applyFill="1" applyBorder="1" applyAlignment="1">
      <alignment horizontal="center"/>
    </xf>
    <xf numFmtId="3" fontId="2" fillId="2" borderId="1" xfId="0" applyNumberFormat="1" applyFont="1" applyFill="1" applyBorder="1" applyAlignment="1">
      <alignment horizontal="center" vertical="center" wrapText="1"/>
    </xf>
    <xf numFmtId="3" fontId="2" fillId="24" borderId="2" xfId="0" applyNumberFormat="1" applyFont="1" applyFill="1" applyBorder="1" applyAlignment="1">
      <alignment horizontal="center" vertical="center" wrapText="1"/>
    </xf>
    <xf numFmtId="3" fontId="2" fillId="24" borderId="3" xfId="0" applyNumberFormat="1" applyFont="1" applyFill="1" applyBorder="1" applyAlignment="1">
      <alignment horizontal="center" vertical="center" wrapText="1"/>
    </xf>
    <xf numFmtId="3" fontId="2" fillId="24" borderId="4" xfId="0" applyNumberFormat="1" applyFont="1" applyFill="1" applyBorder="1" applyAlignment="1">
      <alignment horizontal="center" vertical="center" wrapText="1"/>
    </xf>
    <xf numFmtId="3" fontId="2" fillId="24" borderId="13" xfId="0" applyNumberFormat="1" applyFont="1" applyFill="1" applyBorder="1" applyAlignment="1">
      <alignment horizontal="center" vertical="center" wrapText="1"/>
    </xf>
    <xf numFmtId="3" fontId="2" fillId="24" borderId="14" xfId="0" applyNumberFormat="1" applyFont="1" applyFill="1" applyBorder="1" applyAlignment="1">
      <alignment horizontal="center" vertical="center" wrapText="1"/>
    </xf>
    <xf numFmtId="9" fontId="2" fillId="3" borderId="2" xfId="1" applyFont="1" applyFill="1" applyBorder="1" applyAlignment="1">
      <alignment horizontal="center" vertical="center" wrapText="1"/>
    </xf>
    <xf numFmtId="9" fontId="2" fillId="3" borderId="3" xfId="1" applyFont="1" applyFill="1" applyBorder="1" applyAlignment="1">
      <alignment horizontal="center" vertical="center" wrapText="1"/>
    </xf>
    <xf numFmtId="9" fontId="2" fillId="3" borderId="4" xfId="1"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wrapText="1"/>
    </xf>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9" fontId="2" fillId="2" borderId="4" xfId="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center" vertical="center" wrapText="1"/>
    </xf>
    <xf numFmtId="3" fontId="2" fillId="2" borderId="4" xfId="0" applyNumberFormat="1" applyFont="1" applyFill="1" applyBorder="1" applyAlignment="1">
      <alignment horizontal="center" vertical="center" wrapText="1"/>
    </xf>
    <xf numFmtId="0" fontId="52" fillId="6" borderId="2" xfId="0" applyFont="1" applyFill="1" applyBorder="1" applyAlignment="1">
      <alignment horizontal="center" vertical="center"/>
    </xf>
    <xf numFmtId="0" fontId="52" fillId="6" borderId="3"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1" xfId="0" applyFont="1" applyFill="1" applyBorder="1" applyAlignment="1">
      <alignment horizontal="center" vertical="center"/>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17" fillId="29" borderId="9" xfId="0" applyFont="1" applyFill="1" applyBorder="1" applyAlignment="1">
      <alignment horizontal="center"/>
    </xf>
    <xf numFmtId="0" fontId="17" fillId="29" borderId="5" xfId="0" applyFont="1" applyFill="1" applyBorder="1" applyAlignment="1">
      <alignment horizontal="center"/>
    </xf>
    <xf numFmtId="0" fontId="17" fillId="29" borderId="26" xfId="0" applyFont="1" applyFill="1" applyBorder="1" applyAlignment="1">
      <alignment horizontal="center"/>
    </xf>
    <xf numFmtId="0" fontId="17" fillId="14" borderId="27" xfId="0" applyFont="1" applyFill="1" applyBorder="1" applyAlignment="1">
      <alignment horizontal="center"/>
    </xf>
    <xf numFmtId="0" fontId="17" fillId="14" borderId="28" xfId="0" applyFont="1" applyFill="1" applyBorder="1" applyAlignment="1">
      <alignment horizontal="center"/>
    </xf>
    <xf numFmtId="0" fontId="17" fillId="14" borderId="29" xfId="0" applyFont="1" applyFill="1" applyBorder="1" applyAlignment="1">
      <alignment horizontal="center"/>
    </xf>
    <xf numFmtId="0" fontId="17" fillId="34" borderId="30" xfId="0" applyFont="1" applyFill="1" applyBorder="1" applyAlignment="1">
      <alignment horizontal="center"/>
    </xf>
    <xf numFmtId="0" fontId="17" fillId="34" borderId="31" xfId="0" applyFont="1" applyFill="1" applyBorder="1" applyAlignment="1">
      <alignment horizontal="center"/>
    </xf>
    <xf numFmtId="0" fontId="17" fillId="34" borderId="32" xfId="0" applyFont="1" applyFill="1" applyBorder="1" applyAlignment="1">
      <alignment horizontal="center"/>
    </xf>
    <xf numFmtId="0" fontId="64" fillId="0" borderId="1" xfId="0" applyFont="1" applyFill="1" applyBorder="1" applyAlignment="1">
      <alignment horizontal="center" vertical="center"/>
    </xf>
    <xf numFmtId="2" fontId="64" fillId="0" borderId="1" xfId="0" applyNumberFormat="1" applyFont="1" applyFill="1" applyBorder="1" applyAlignment="1">
      <alignment horizontal="center" vertical="center"/>
    </xf>
    <xf numFmtId="0" fontId="64" fillId="18" borderId="2" xfId="0" applyFont="1" applyFill="1" applyBorder="1" applyAlignment="1">
      <alignment horizontal="center" vertical="center"/>
    </xf>
    <xf numFmtId="0" fontId="64" fillId="18" borderId="4" xfId="0" applyFont="1" applyFill="1" applyBorder="1" applyAlignment="1">
      <alignment horizontal="center" vertical="center"/>
    </xf>
    <xf numFmtId="2" fontId="64" fillId="18" borderId="1" xfId="0" applyNumberFormat="1" applyFont="1" applyFill="1" applyBorder="1" applyAlignment="1">
      <alignment horizontal="center" vertical="center"/>
    </xf>
    <xf numFmtId="174" fontId="64" fillId="18" borderId="1" xfId="0" applyNumberFormat="1" applyFont="1" applyFill="1" applyBorder="1" applyAlignment="1">
      <alignment horizontal="center" vertical="center"/>
    </xf>
    <xf numFmtId="2" fontId="64" fillId="0" borderId="1" xfId="0" applyNumberFormat="1" applyFont="1" applyFill="1" applyBorder="1" applyAlignment="1">
      <alignment horizontal="center" vertical="center" wrapText="1"/>
    </xf>
    <xf numFmtId="2" fontId="64" fillId="0" borderId="6" xfId="0" applyNumberFormat="1" applyFont="1" applyFill="1" applyBorder="1" applyAlignment="1">
      <alignment horizontal="left" vertical="center"/>
    </xf>
    <xf numFmtId="2" fontId="64" fillId="0" borderId="7" xfId="0" applyNumberFormat="1" applyFont="1" applyFill="1" applyBorder="1" applyAlignment="1">
      <alignment horizontal="left" vertical="center"/>
    </xf>
    <xf numFmtId="2" fontId="64" fillId="0" borderId="8" xfId="0" applyNumberFormat="1" applyFont="1" applyFill="1" applyBorder="1" applyAlignment="1">
      <alignment horizontal="left" vertical="center"/>
    </xf>
    <xf numFmtId="2" fontId="64" fillId="0" borderId="6" xfId="0" applyNumberFormat="1" applyFont="1" applyFill="1" applyBorder="1" applyAlignment="1">
      <alignment horizontal="center" vertical="center"/>
    </xf>
    <xf numFmtId="2" fontId="64" fillId="0" borderId="7" xfId="0" applyNumberFormat="1" applyFont="1" applyFill="1" applyBorder="1" applyAlignment="1">
      <alignment horizontal="center" vertical="center"/>
    </xf>
    <xf numFmtId="2" fontId="64" fillId="0" borderId="8" xfId="0" applyNumberFormat="1" applyFont="1" applyFill="1" applyBorder="1" applyAlignment="1">
      <alignment horizontal="center" vertical="center"/>
    </xf>
    <xf numFmtId="2" fontId="64" fillId="0" borderId="1" xfId="0" applyNumberFormat="1" applyFont="1" applyFill="1" applyBorder="1" applyAlignment="1">
      <alignment horizontal="left" vertical="center" wrapText="1"/>
    </xf>
    <xf numFmtId="174" fontId="64" fillId="0" borderId="1" xfId="0" applyNumberFormat="1" applyFont="1" applyFill="1" applyBorder="1" applyAlignment="1">
      <alignment horizontal="center" vertical="center"/>
    </xf>
    <xf numFmtId="2" fontId="64" fillId="18" borderId="6" xfId="0" applyNumberFormat="1" applyFont="1" applyFill="1" applyBorder="1" applyAlignment="1">
      <alignment horizontal="center" vertical="center"/>
    </xf>
    <xf numFmtId="2" fontId="64" fillId="18" borderId="7" xfId="0" applyNumberFormat="1" applyFont="1" applyFill="1" applyBorder="1" applyAlignment="1">
      <alignment horizontal="center" vertical="center"/>
    </xf>
    <xf numFmtId="2" fontId="64" fillId="18" borderId="8" xfId="0" applyNumberFormat="1" applyFont="1" applyFill="1" applyBorder="1" applyAlignment="1">
      <alignment horizontal="center" vertical="center"/>
    </xf>
    <xf numFmtId="2" fontId="64" fillId="0" borderId="1" xfId="0" applyNumberFormat="1" applyFont="1" applyBorder="1" applyAlignment="1">
      <alignment horizontal="center" vertical="center"/>
    </xf>
    <xf numFmtId="2" fontId="64" fillId="18" borderId="1" xfId="0" applyNumberFormat="1" applyFont="1" applyFill="1" applyBorder="1" applyAlignment="1">
      <alignment horizontal="center" vertical="center" wrapText="1"/>
    </xf>
    <xf numFmtId="0" fontId="64" fillId="18" borderId="1" xfId="0" applyFont="1" applyFill="1" applyBorder="1" applyAlignment="1">
      <alignment horizontal="center" vertical="center"/>
    </xf>
    <xf numFmtId="0" fontId="64" fillId="0" borderId="1"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3" fontId="99" fillId="22" borderId="2" xfId="0" applyNumberFormat="1" applyFont="1" applyFill="1" applyBorder="1" applyAlignment="1">
      <alignment horizontal="center" vertical="center" wrapText="1"/>
    </xf>
    <xf numFmtId="3" fontId="99" fillId="22" borderId="3" xfId="0" applyNumberFormat="1" applyFont="1" applyFill="1" applyBorder="1" applyAlignment="1">
      <alignment horizontal="center" vertical="center" wrapText="1"/>
    </xf>
    <xf numFmtId="3" fontId="99" fillId="22" borderId="4" xfId="0" applyNumberFormat="1" applyFont="1" applyFill="1" applyBorder="1" applyAlignment="1">
      <alignment horizontal="center" vertical="center" wrapText="1"/>
    </xf>
    <xf numFmtId="9" fontId="99" fillId="22" borderId="2" xfId="1" applyFont="1" applyFill="1" applyBorder="1" applyAlignment="1">
      <alignment horizontal="center" vertical="center" wrapText="1"/>
    </xf>
    <xf numFmtId="9" fontId="99" fillId="22" borderId="3" xfId="1" applyFont="1" applyFill="1" applyBorder="1" applyAlignment="1">
      <alignment horizontal="center" vertical="center" wrapText="1"/>
    </xf>
    <xf numFmtId="9" fontId="99" fillId="22" borderId="4" xfId="1" applyFont="1" applyFill="1" applyBorder="1" applyAlignment="1">
      <alignment horizontal="center" vertical="center" wrapText="1"/>
    </xf>
    <xf numFmtId="4" fontId="99" fillId="22" borderId="2" xfId="0" applyNumberFormat="1" applyFont="1" applyFill="1" applyBorder="1" applyAlignment="1">
      <alignment horizontal="center" vertical="center" wrapText="1"/>
    </xf>
    <xf numFmtId="4" fontId="99" fillId="22" borderId="3" xfId="0" applyNumberFormat="1" applyFont="1" applyFill="1" applyBorder="1" applyAlignment="1">
      <alignment horizontal="center" vertical="center" wrapText="1"/>
    </xf>
    <xf numFmtId="4" fontId="99" fillId="22" borderId="4" xfId="0" applyNumberFormat="1" applyFont="1" applyFill="1" applyBorder="1" applyAlignment="1">
      <alignment horizontal="center" vertical="center" wrapText="1"/>
    </xf>
    <xf numFmtId="0" fontId="99" fillId="22" borderId="1" xfId="0" applyFont="1" applyFill="1" applyBorder="1" applyAlignment="1">
      <alignment horizontal="center" vertical="center" wrapText="1"/>
    </xf>
    <xf numFmtId="0" fontId="99" fillId="22" borderId="2" xfId="0" applyFont="1" applyFill="1" applyBorder="1" applyAlignment="1">
      <alignment horizontal="center" vertical="center" wrapText="1"/>
    </xf>
    <xf numFmtId="43" fontId="99" fillId="9" borderId="2" xfId="2" applyNumberFormat="1" applyFont="1" applyFill="1" applyBorder="1" applyAlignment="1">
      <alignment horizontal="center" vertical="center" wrapText="1"/>
    </xf>
    <xf numFmtId="43" fontId="99" fillId="9" borderId="3" xfId="2" applyNumberFormat="1" applyFont="1" applyFill="1" applyBorder="1" applyAlignment="1">
      <alignment horizontal="center" vertical="center" wrapText="1"/>
    </xf>
    <xf numFmtId="43" fontId="99" fillId="9" borderId="4" xfId="2" applyNumberFormat="1" applyFont="1" applyFill="1" applyBorder="1" applyAlignment="1">
      <alignment horizontal="center" vertical="center" wrapText="1"/>
    </xf>
    <xf numFmtId="43" fontId="99" fillId="9" borderId="2" xfId="2" applyNumberFormat="1" applyFont="1" applyFill="1" applyBorder="1" applyAlignment="1">
      <alignment horizontal="center" vertical="center"/>
    </xf>
    <xf numFmtId="43" fontId="99" fillId="9" borderId="3" xfId="2" applyNumberFormat="1" applyFont="1" applyFill="1" applyBorder="1" applyAlignment="1">
      <alignment horizontal="center" vertical="center"/>
    </xf>
    <xf numFmtId="43" fontId="99" fillId="9" borderId="4" xfId="2" applyNumberFormat="1" applyFont="1" applyFill="1" applyBorder="1" applyAlignment="1">
      <alignment horizontal="center" vertical="center"/>
    </xf>
    <xf numFmtId="43" fontId="99" fillId="22" borderId="1" xfId="2" applyNumberFormat="1" applyFont="1" applyFill="1" applyBorder="1" applyAlignment="1">
      <alignment horizontal="center" vertical="center" wrapText="1"/>
    </xf>
    <xf numFmtId="43" fontId="99" fillId="12" borderId="2" xfId="2" applyNumberFormat="1" applyFont="1" applyFill="1" applyBorder="1" applyAlignment="1">
      <alignment horizontal="center" vertical="center" wrapText="1"/>
    </xf>
    <xf numFmtId="43" fontId="99" fillId="12" borderId="3" xfId="2" applyNumberFormat="1" applyFont="1" applyFill="1" applyBorder="1" applyAlignment="1">
      <alignment horizontal="center" vertical="center" wrapText="1"/>
    </xf>
    <xf numFmtId="43" fontId="99" fillId="12" borderId="4" xfId="2" applyNumberFormat="1" applyFont="1" applyFill="1" applyBorder="1" applyAlignment="1">
      <alignment horizontal="center" vertical="center" wrapText="1"/>
    </xf>
    <xf numFmtId="43" fontId="99" fillId="12" borderId="2" xfId="2" applyNumberFormat="1" applyFont="1" applyFill="1" applyBorder="1" applyAlignment="1">
      <alignment horizontal="center" vertical="center"/>
    </xf>
    <xf numFmtId="43" fontId="99" fillId="12" borderId="3" xfId="2" applyNumberFormat="1" applyFont="1" applyFill="1" applyBorder="1" applyAlignment="1">
      <alignment horizontal="center" vertical="center"/>
    </xf>
    <xf numFmtId="43" fontId="99" fillId="12" borderId="4" xfId="2" applyNumberFormat="1" applyFont="1" applyFill="1" applyBorder="1" applyAlignment="1">
      <alignment horizontal="center" vertical="center"/>
    </xf>
    <xf numFmtId="164" fontId="99" fillId="22" borderId="1" xfId="2" applyNumberFormat="1" applyFont="1" applyFill="1" applyBorder="1" applyAlignment="1">
      <alignment horizontal="center" vertical="center" wrapText="1"/>
    </xf>
    <xf numFmtId="164" fontId="99" fillId="22" borderId="2" xfId="2" applyNumberFormat="1" applyFont="1" applyFill="1" applyBorder="1" applyAlignment="1">
      <alignment horizontal="center" vertical="center" wrapText="1"/>
    </xf>
    <xf numFmtId="0" fontId="99" fillId="0" borderId="13" xfId="0" applyFont="1" applyFill="1" applyBorder="1" applyAlignment="1">
      <alignment horizontal="center" wrapText="1"/>
    </xf>
    <xf numFmtId="0" fontId="99" fillId="0" borderId="14" xfId="0" applyFont="1" applyFill="1" applyBorder="1" applyAlignment="1">
      <alignment horizontal="center" wrapText="1"/>
    </xf>
    <xf numFmtId="0" fontId="99" fillId="0" borderId="15" xfId="0" applyFont="1" applyFill="1" applyBorder="1" applyAlignment="1">
      <alignment horizontal="center" wrapText="1"/>
    </xf>
    <xf numFmtId="0" fontId="107" fillId="0" borderId="2" xfId="0" applyFont="1" applyFill="1" applyBorder="1" applyAlignment="1" applyProtection="1">
      <alignment horizontal="center" vertical="center" wrapText="1"/>
      <protection hidden="1"/>
    </xf>
    <xf numFmtId="0" fontId="107" fillId="0" borderId="3" xfId="0" applyFont="1" applyFill="1" applyBorder="1" applyAlignment="1" applyProtection="1">
      <alignment horizontal="center" vertical="center" wrapText="1"/>
      <protection hidden="1"/>
    </xf>
    <xf numFmtId="0" fontId="107" fillId="0" borderId="4" xfId="0" applyFont="1" applyFill="1" applyBorder="1" applyAlignment="1" applyProtection="1">
      <alignment horizontal="center" vertical="center" wrapText="1"/>
      <protection hidden="1"/>
    </xf>
    <xf numFmtId="0" fontId="108" fillId="0" borderId="9" xfId="0" applyFont="1" applyFill="1" applyBorder="1" applyAlignment="1" applyProtection="1">
      <alignment horizontal="center"/>
      <protection hidden="1"/>
    </xf>
    <xf numFmtId="0" fontId="108" fillId="0" borderId="5" xfId="0" applyFont="1" applyFill="1" applyBorder="1" applyAlignment="1" applyProtection="1">
      <alignment horizontal="center"/>
      <protection hidden="1"/>
    </xf>
    <xf numFmtId="0" fontId="108" fillId="0" borderId="10" xfId="0" applyFont="1" applyFill="1" applyBorder="1" applyAlignment="1" applyProtection="1">
      <alignment horizontal="center"/>
      <protection hidden="1"/>
    </xf>
    <xf numFmtId="0" fontId="112" fillId="17" borderId="37" xfId="0" applyFont="1" applyFill="1" applyBorder="1" applyAlignment="1" applyProtection="1">
      <alignment horizontal="center" vertical="center"/>
      <protection hidden="1"/>
    </xf>
    <xf numFmtId="0" fontId="112" fillId="17" borderId="38" xfId="0" applyFont="1" applyFill="1" applyBorder="1" applyAlignment="1" applyProtection="1">
      <alignment horizontal="center" vertical="center"/>
      <protection hidden="1"/>
    </xf>
    <xf numFmtId="0" fontId="112" fillId="17" borderId="23" xfId="0" applyFont="1" applyFill="1" applyBorder="1" applyAlignment="1" applyProtection="1">
      <alignment horizontal="center" vertical="center"/>
      <protection hidden="1"/>
    </xf>
    <xf numFmtId="0" fontId="112" fillId="17" borderId="27" xfId="0" applyFont="1" applyFill="1" applyBorder="1" applyAlignment="1" applyProtection="1">
      <alignment horizontal="center" wrapText="1"/>
      <protection hidden="1"/>
    </xf>
    <xf numFmtId="0" fontId="112" fillId="17" borderId="28" xfId="0" applyFont="1" applyFill="1" applyBorder="1" applyAlignment="1" applyProtection="1">
      <alignment horizontal="center" wrapText="1"/>
      <protection hidden="1"/>
    </xf>
    <xf numFmtId="0" fontId="112" fillId="17" borderId="29" xfId="0" applyFont="1" applyFill="1" applyBorder="1" applyAlignment="1" applyProtection="1">
      <alignment horizontal="center" wrapText="1"/>
      <protection hidden="1"/>
    </xf>
    <xf numFmtId="0" fontId="104" fillId="0" borderId="11" xfId="0" applyFont="1" applyFill="1" applyBorder="1" applyAlignment="1" applyProtection="1">
      <alignment horizontal="left"/>
      <protection hidden="1"/>
    </xf>
    <xf numFmtId="0" fontId="104" fillId="0" borderId="0" xfId="0" applyFont="1" applyFill="1" applyBorder="1" applyAlignment="1" applyProtection="1">
      <alignment horizontal="left"/>
      <protection hidden="1"/>
    </xf>
    <xf numFmtId="0" fontId="104" fillId="0" borderId="12" xfId="0" applyFont="1" applyFill="1" applyBorder="1" applyAlignment="1" applyProtection="1">
      <alignment horizontal="left"/>
      <protection hidden="1"/>
    </xf>
    <xf numFmtId="0" fontId="22" fillId="0" borderId="2" xfId="0" applyFont="1" applyFill="1" applyBorder="1" applyAlignment="1" applyProtection="1">
      <alignment horizontal="center" vertical="center" wrapText="1"/>
      <protection hidden="1"/>
    </xf>
    <xf numFmtId="0" fontId="22" fillId="0" borderId="3" xfId="0" applyFont="1" applyFill="1" applyBorder="1" applyAlignment="1" applyProtection="1">
      <alignment horizontal="center" vertical="center" wrapText="1"/>
      <protection hidden="1"/>
    </xf>
    <xf numFmtId="0" fontId="22" fillId="0" borderId="4" xfId="0" applyFont="1" applyFill="1" applyBorder="1" applyAlignment="1" applyProtection="1">
      <alignment horizontal="center" vertical="center" wrapText="1"/>
      <protection hidden="1"/>
    </xf>
    <xf numFmtId="0" fontId="82" fillId="0" borderId="9" xfId="0" applyFont="1" applyFill="1" applyBorder="1" applyAlignment="1" applyProtection="1">
      <alignment horizontal="center"/>
      <protection hidden="1"/>
    </xf>
    <xf numFmtId="0" fontId="82" fillId="0" borderId="5" xfId="0" applyFont="1" applyFill="1" applyBorder="1" applyAlignment="1" applyProtection="1">
      <alignment horizontal="center"/>
      <protection hidden="1"/>
    </xf>
    <xf numFmtId="0" fontId="82" fillId="0" borderId="10" xfId="0" applyFont="1" applyFill="1" applyBorder="1" applyAlignment="1" applyProtection="1">
      <alignment horizontal="center"/>
      <protection hidden="1"/>
    </xf>
    <xf numFmtId="0" fontId="83" fillId="17" borderId="37" xfId="0" applyFont="1" applyFill="1" applyBorder="1" applyAlignment="1" applyProtection="1">
      <alignment horizontal="center" vertical="center"/>
      <protection hidden="1"/>
    </xf>
    <xf numFmtId="0" fontId="83" fillId="17" borderId="38" xfId="0" applyFont="1" applyFill="1" applyBorder="1" applyAlignment="1" applyProtection="1">
      <alignment horizontal="center" vertical="center"/>
      <protection hidden="1"/>
    </xf>
    <xf numFmtId="0" fontId="83" fillId="17" borderId="23" xfId="0" applyFont="1" applyFill="1" applyBorder="1" applyAlignment="1" applyProtection="1">
      <alignment horizontal="center" vertical="center"/>
      <protection hidden="1"/>
    </xf>
    <xf numFmtId="0" fontId="83" fillId="17" borderId="27" xfId="0" applyFont="1" applyFill="1" applyBorder="1" applyAlignment="1" applyProtection="1">
      <alignment horizontal="center" wrapText="1"/>
      <protection hidden="1"/>
    </xf>
    <xf numFmtId="0" fontId="83" fillId="17" borderId="28" xfId="0" applyFont="1" applyFill="1" applyBorder="1" applyAlignment="1" applyProtection="1">
      <alignment horizontal="center" wrapText="1"/>
      <protection hidden="1"/>
    </xf>
    <xf numFmtId="0" fontId="83" fillId="17" borderId="29" xfId="0" applyFont="1" applyFill="1" applyBorder="1" applyAlignment="1" applyProtection="1">
      <alignment horizontal="center" wrapText="1"/>
      <protection hidden="1"/>
    </xf>
    <xf numFmtId="0" fontId="20" fillId="0" borderId="11" xfId="0" applyFont="1" applyFill="1" applyBorder="1" applyAlignment="1" applyProtection="1">
      <alignment horizontal="left"/>
      <protection hidden="1"/>
    </xf>
    <xf numFmtId="0" fontId="20" fillId="0" borderId="0" xfId="0" applyFont="1" applyFill="1" applyBorder="1" applyAlignment="1" applyProtection="1">
      <alignment horizontal="left"/>
      <protection hidden="1"/>
    </xf>
    <xf numFmtId="0" fontId="20" fillId="0" borderId="12" xfId="0" applyFont="1" applyFill="1" applyBorder="1" applyAlignment="1" applyProtection="1">
      <alignment horizontal="left"/>
      <protection hidden="1"/>
    </xf>
    <xf numFmtId="0" fontId="22" fillId="5" borderId="2" xfId="0" applyFont="1" applyFill="1" applyBorder="1" applyAlignment="1" applyProtection="1">
      <alignment horizontal="center" vertical="center" wrapText="1"/>
      <protection hidden="1"/>
    </xf>
    <xf numFmtId="0" fontId="22" fillId="5" borderId="3" xfId="0" applyFont="1" applyFill="1" applyBorder="1" applyAlignment="1" applyProtection="1">
      <alignment horizontal="center" vertical="center" wrapText="1"/>
      <protection hidden="1"/>
    </xf>
    <xf numFmtId="0" fontId="22" fillId="5" borderId="4" xfId="0" applyFont="1" applyFill="1" applyBorder="1" applyAlignment="1" applyProtection="1">
      <alignment horizontal="center" vertical="center" wrapText="1"/>
      <protection hidden="1"/>
    </xf>
    <xf numFmtId="0" fontId="83" fillId="17" borderId="2" xfId="0" applyFont="1" applyFill="1" applyBorder="1" applyAlignment="1" applyProtection="1">
      <alignment horizontal="center" vertical="center"/>
      <protection hidden="1"/>
    </xf>
    <xf numFmtId="0" fontId="83" fillId="17" borderId="3" xfId="0" applyFont="1" applyFill="1" applyBorder="1" applyAlignment="1" applyProtection="1">
      <alignment horizontal="center" vertical="center"/>
      <protection hidden="1"/>
    </xf>
    <xf numFmtId="0" fontId="83" fillId="17" borderId="4" xfId="0" applyFont="1" applyFill="1" applyBorder="1" applyAlignment="1" applyProtection="1">
      <alignment horizontal="center" vertical="center"/>
      <protection hidden="1"/>
    </xf>
    <xf numFmtId="0" fontId="85" fillId="17" borderId="2" xfId="0" applyFont="1" applyFill="1" applyBorder="1" applyAlignment="1" applyProtection="1">
      <alignment horizontal="center" vertical="center" wrapText="1"/>
      <protection hidden="1"/>
    </xf>
    <xf numFmtId="0" fontId="85" fillId="17" borderId="3" xfId="0" applyFont="1" applyFill="1" applyBorder="1" applyAlignment="1" applyProtection="1">
      <alignment horizontal="center" vertical="center" wrapText="1"/>
      <protection hidden="1"/>
    </xf>
    <xf numFmtId="0" fontId="85" fillId="17" borderId="4" xfId="0" applyFont="1" applyFill="1" applyBorder="1" applyAlignment="1" applyProtection="1">
      <alignment horizontal="center" vertical="center" wrapText="1"/>
      <protection hidden="1"/>
    </xf>
    <xf numFmtId="0" fontId="20" fillId="6" borderId="0" xfId="0" applyFont="1" applyFill="1" applyBorder="1" applyProtection="1">
      <protection hidden="1"/>
    </xf>
    <xf numFmtId="0" fontId="22" fillId="6" borderId="2" xfId="0" applyFont="1" applyFill="1" applyBorder="1" applyAlignment="1" applyProtection="1">
      <alignment horizontal="center" vertical="center" wrapText="1"/>
      <protection hidden="1"/>
    </xf>
    <xf numFmtId="0" fontId="22" fillId="6" borderId="4" xfId="0" applyFont="1" applyFill="1" applyBorder="1" applyAlignment="1" applyProtection="1">
      <alignment horizontal="center" vertical="center" wrapText="1"/>
      <protection hidden="1"/>
    </xf>
    <xf numFmtId="0" fontId="83" fillId="17" borderId="2" xfId="0" applyFont="1" applyFill="1" applyBorder="1" applyAlignment="1" applyProtection="1">
      <alignment horizontal="center" wrapText="1"/>
      <protection hidden="1"/>
    </xf>
    <xf numFmtId="0" fontId="83" fillId="17" borderId="3" xfId="0" applyFont="1" applyFill="1" applyBorder="1" applyAlignment="1" applyProtection="1">
      <alignment horizontal="center" wrapText="1"/>
      <protection hidden="1"/>
    </xf>
    <xf numFmtId="0" fontId="83" fillId="17" borderId="4" xfId="0" applyFont="1" applyFill="1" applyBorder="1" applyAlignment="1" applyProtection="1">
      <alignment horizontal="center" wrapText="1"/>
      <protection hidden="1"/>
    </xf>
    <xf numFmtId="0" fontId="83" fillId="17" borderId="2" xfId="0" applyFont="1" applyFill="1" applyBorder="1" applyAlignment="1" applyProtection="1">
      <alignment horizontal="center" vertical="center" wrapText="1"/>
      <protection hidden="1"/>
    </xf>
    <xf numFmtId="0" fontId="83" fillId="17" borderId="3" xfId="0" applyFont="1" applyFill="1" applyBorder="1" applyAlignment="1" applyProtection="1">
      <alignment horizontal="center" vertical="center" wrapText="1"/>
      <protection hidden="1"/>
    </xf>
    <xf numFmtId="0" fontId="83" fillId="17" borderId="4" xfId="0" applyFont="1" applyFill="1" applyBorder="1" applyAlignment="1" applyProtection="1">
      <alignment horizontal="center" vertical="center" wrapText="1"/>
      <protection hidden="1"/>
    </xf>
    <xf numFmtId="0" fontId="83" fillId="17" borderId="27" xfId="0" applyFont="1" applyFill="1" applyBorder="1" applyAlignment="1" applyProtection="1">
      <alignment horizontal="center" vertical="center"/>
      <protection hidden="1"/>
    </xf>
    <xf numFmtId="0" fontId="83" fillId="17" borderId="28" xfId="0" applyFont="1" applyFill="1" applyBorder="1" applyAlignment="1" applyProtection="1">
      <alignment horizontal="center" vertical="center"/>
      <protection hidden="1"/>
    </xf>
    <xf numFmtId="0" fontId="83" fillId="17" borderId="29" xfId="0" applyFont="1" applyFill="1" applyBorder="1" applyAlignment="1" applyProtection="1">
      <alignment horizontal="center" vertical="center"/>
      <protection hidden="1"/>
    </xf>
    <xf numFmtId="0" fontId="22" fillId="6" borderId="3" xfId="0" applyFont="1" applyFill="1" applyBorder="1" applyAlignment="1" applyProtection="1">
      <alignment horizontal="center" vertical="center" wrapText="1"/>
      <protection hidden="1"/>
    </xf>
    <xf numFmtId="0" fontId="22" fillId="6" borderId="11" xfId="0" applyFont="1" applyFill="1" applyBorder="1" applyAlignment="1" applyProtection="1">
      <alignment horizontal="center" vertical="center" wrapText="1"/>
      <protection hidden="1"/>
    </xf>
    <xf numFmtId="0" fontId="22" fillId="6" borderId="12" xfId="0" applyFont="1" applyFill="1" applyBorder="1" applyAlignment="1" applyProtection="1">
      <alignment horizontal="center" vertical="center" wrapText="1"/>
      <protection hidden="1"/>
    </xf>
    <xf numFmtId="0" fontId="83" fillId="17" borderId="13" xfId="0" applyFont="1" applyFill="1" applyBorder="1" applyAlignment="1" applyProtection="1">
      <alignment horizontal="center"/>
      <protection hidden="1"/>
    </xf>
    <xf numFmtId="0" fontId="83" fillId="17" borderId="14" xfId="0" applyFont="1" applyFill="1" applyBorder="1" applyAlignment="1" applyProtection="1">
      <alignment horizontal="center"/>
      <protection hidden="1"/>
    </xf>
    <xf numFmtId="0" fontId="22" fillId="6" borderId="9" xfId="0" applyFont="1" applyFill="1" applyBorder="1" applyAlignment="1" applyProtection="1">
      <alignment horizontal="center" vertical="center" wrapText="1"/>
      <protection hidden="1"/>
    </xf>
    <xf numFmtId="0" fontId="22" fillId="6" borderId="5" xfId="0" applyFont="1" applyFill="1" applyBorder="1" applyAlignment="1" applyProtection="1">
      <alignment horizontal="center" vertical="center" wrapText="1"/>
      <protection hidden="1"/>
    </xf>
    <xf numFmtId="0" fontId="22" fillId="6" borderId="10" xfId="0" applyFont="1" applyFill="1" applyBorder="1" applyAlignment="1" applyProtection="1">
      <alignment horizontal="center" vertical="center" wrapText="1"/>
      <protection hidden="1"/>
    </xf>
    <xf numFmtId="0" fontId="20" fillId="6" borderId="0" xfId="0" applyFont="1" applyFill="1" applyBorder="1" applyAlignment="1" applyProtection="1">
      <alignment horizontal="center" vertical="center" wrapText="1"/>
      <protection hidden="1"/>
    </xf>
    <xf numFmtId="0" fontId="83" fillId="17" borderId="13" xfId="0" applyFont="1" applyFill="1" applyBorder="1" applyAlignment="1" applyProtection="1">
      <alignment horizontal="center" wrapText="1"/>
      <protection hidden="1"/>
    </xf>
    <xf numFmtId="0" fontId="83" fillId="17" borderId="14" xfId="0" applyFont="1" applyFill="1" applyBorder="1" applyAlignment="1" applyProtection="1">
      <alignment horizontal="center" wrapText="1"/>
      <protection hidden="1"/>
    </xf>
    <xf numFmtId="0" fontId="83" fillId="17" borderId="13" xfId="0" applyFont="1" applyFill="1" applyBorder="1" applyAlignment="1" applyProtection="1">
      <alignment horizontal="center" vertical="center" wrapText="1"/>
      <protection hidden="1"/>
    </xf>
    <xf numFmtId="0" fontId="83" fillId="17" borderId="14" xfId="0" applyFont="1" applyFill="1" applyBorder="1" applyAlignment="1" applyProtection="1">
      <alignment horizontal="center" vertical="center" wrapText="1"/>
      <protection hidden="1"/>
    </xf>
    <xf numFmtId="0" fontId="85" fillId="17" borderId="13" xfId="0" applyFont="1" applyFill="1" applyBorder="1" applyAlignment="1" applyProtection="1">
      <alignment horizontal="center" vertical="center" wrapText="1"/>
      <protection hidden="1"/>
    </xf>
    <xf numFmtId="0" fontId="85" fillId="17" borderId="14" xfId="0" applyFont="1" applyFill="1" applyBorder="1" applyAlignment="1" applyProtection="1">
      <alignment horizontal="center" vertical="center" wrapText="1"/>
      <protection hidden="1"/>
    </xf>
    <xf numFmtId="0" fontId="85" fillId="17" borderId="15" xfId="0" applyFont="1" applyFill="1" applyBorder="1" applyAlignment="1" applyProtection="1">
      <alignment horizontal="center" vertical="center" wrapText="1"/>
      <protection hidden="1"/>
    </xf>
    <xf numFmtId="0" fontId="83" fillId="17" borderId="14" xfId="0" applyFont="1" applyFill="1" applyBorder="1" applyAlignment="1" applyProtection="1">
      <alignment horizontal="center" vertical="center"/>
      <protection hidden="1"/>
    </xf>
    <xf numFmtId="0" fontId="84" fillId="6" borderId="14" xfId="0" applyFont="1" applyFill="1" applyBorder="1" applyAlignment="1" applyProtection="1">
      <alignment horizontal="center"/>
      <protection hidden="1"/>
    </xf>
    <xf numFmtId="0" fontId="83" fillId="26" borderId="2" xfId="0" applyFont="1" applyFill="1" applyBorder="1" applyAlignment="1" applyProtection="1">
      <alignment horizontal="center"/>
      <protection hidden="1"/>
    </xf>
    <xf numFmtId="0" fontId="83" fillId="26" borderId="3" xfId="0" applyFont="1" applyFill="1" applyBorder="1" applyAlignment="1" applyProtection="1">
      <alignment horizontal="center"/>
      <protection hidden="1"/>
    </xf>
    <xf numFmtId="0" fontId="83" fillId="26" borderId="10" xfId="0" applyFont="1" applyFill="1" applyBorder="1" applyAlignment="1" applyProtection="1">
      <alignment horizontal="center"/>
      <protection hidden="1"/>
    </xf>
    <xf numFmtId="0" fontId="22" fillId="6" borderId="2" xfId="0" applyFont="1" applyFill="1" applyBorder="1" applyAlignment="1" applyProtection="1">
      <alignment horizontal="left" vertical="center" wrapText="1"/>
      <protection hidden="1"/>
    </xf>
    <xf numFmtId="0" fontId="22" fillId="6" borderId="3" xfId="0" applyFont="1" applyFill="1" applyBorder="1" applyAlignment="1" applyProtection="1">
      <alignment horizontal="left" vertical="center" wrapText="1"/>
      <protection hidden="1"/>
    </xf>
    <xf numFmtId="0" fontId="22" fillId="6" borderId="4" xfId="0" applyFont="1" applyFill="1" applyBorder="1" applyAlignment="1" applyProtection="1">
      <alignment horizontal="left" vertical="center" wrapText="1"/>
      <protection hidden="1"/>
    </xf>
    <xf numFmtId="0" fontId="22" fillId="6" borderId="0" xfId="0" applyFont="1" applyFill="1" applyBorder="1" applyAlignment="1" applyProtection="1">
      <alignment horizontal="center" wrapText="1"/>
      <protection hidden="1"/>
    </xf>
    <xf numFmtId="0" fontId="83" fillId="17" borderId="2" xfId="0" applyFont="1" applyFill="1" applyBorder="1" applyAlignment="1" applyProtection="1">
      <alignment horizontal="center"/>
      <protection hidden="1"/>
    </xf>
    <xf numFmtId="0" fontId="83" fillId="17" borderId="3" xfId="0" applyFont="1" applyFill="1" applyBorder="1" applyAlignment="1" applyProtection="1">
      <alignment horizontal="center"/>
      <protection hidden="1"/>
    </xf>
    <xf numFmtId="0" fontId="83" fillId="17" borderId="4" xfId="0" applyFont="1" applyFill="1" applyBorder="1" applyAlignment="1" applyProtection="1">
      <alignment horizontal="center"/>
      <protection hidden="1"/>
    </xf>
    <xf numFmtId="0" fontId="83" fillId="17" borderId="67" xfId="0" applyFont="1" applyFill="1" applyBorder="1" applyAlignment="1" applyProtection="1">
      <alignment horizontal="center" vertical="center" wrapText="1"/>
      <protection hidden="1"/>
    </xf>
    <xf numFmtId="0" fontId="83" fillId="17" borderId="70" xfId="0" applyFont="1" applyFill="1" applyBorder="1" applyAlignment="1" applyProtection="1">
      <alignment horizontal="center" vertical="center" wrapText="1"/>
      <protection hidden="1"/>
    </xf>
    <xf numFmtId="0" fontId="84" fillId="6" borderId="15" xfId="0" applyFont="1" applyFill="1" applyBorder="1" applyAlignment="1" applyProtection="1">
      <alignment horizontal="center"/>
      <protection hidden="1"/>
    </xf>
    <xf numFmtId="0" fontId="87" fillId="17" borderId="13" xfId="0" applyFont="1" applyFill="1" applyBorder="1" applyAlignment="1" applyProtection="1">
      <alignment horizontal="center" vertical="center" wrapText="1"/>
      <protection hidden="1"/>
    </xf>
    <xf numFmtId="0" fontId="87" fillId="17" borderId="14" xfId="0" applyFont="1" applyFill="1" applyBorder="1" applyAlignment="1" applyProtection="1">
      <alignment horizontal="center" vertical="center" wrapText="1"/>
      <protection hidden="1"/>
    </xf>
    <xf numFmtId="0" fontId="87" fillId="17" borderId="15" xfId="0" applyFont="1" applyFill="1" applyBorder="1" applyAlignment="1" applyProtection="1">
      <alignment horizontal="center" vertical="center" wrapText="1"/>
      <protection hidden="1"/>
    </xf>
    <xf numFmtId="0" fontId="87" fillId="17" borderId="2" xfId="0" applyFont="1" applyFill="1" applyBorder="1" applyAlignment="1" applyProtection="1">
      <alignment horizontal="center" vertical="center"/>
      <protection hidden="1"/>
    </xf>
    <xf numFmtId="0" fontId="87" fillId="17" borderId="4" xfId="0" applyFont="1" applyFill="1" applyBorder="1" applyAlignment="1" applyProtection="1">
      <alignment horizontal="center" vertical="center"/>
      <protection hidden="1"/>
    </xf>
    <xf numFmtId="0" fontId="83" fillId="26" borderId="4" xfId="0" applyFont="1" applyFill="1" applyBorder="1" applyAlignment="1" applyProtection="1">
      <alignment horizontal="center"/>
      <protection hidden="1"/>
    </xf>
    <xf numFmtId="0" fontId="87" fillId="17" borderId="2" xfId="0" applyFont="1" applyFill="1" applyBorder="1" applyAlignment="1" applyProtection="1">
      <alignment horizontal="center" vertical="center" wrapText="1"/>
      <protection hidden="1"/>
    </xf>
    <xf numFmtId="0" fontId="87" fillId="17" borderId="3" xfId="0" applyFont="1" applyFill="1" applyBorder="1" applyAlignment="1" applyProtection="1">
      <alignment horizontal="center" vertical="center" wrapText="1"/>
      <protection hidden="1"/>
    </xf>
    <xf numFmtId="0" fontId="87" fillId="17" borderId="4" xfId="0" applyFont="1" applyFill="1" applyBorder="1" applyAlignment="1" applyProtection="1">
      <alignment horizontal="center" vertical="center" wrapText="1"/>
      <protection hidden="1"/>
    </xf>
    <xf numFmtId="0" fontId="94" fillId="17" borderId="2" xfId="0" applyFont="1" applyFill="1" applyBorder="1" applyAlignment="1" applyProtection="1">
      <alignment horizontal="center" vertical="center"/>
      <protection hidden="1"/>
    </xf>
    <xf numFmtId="0" fontId="94" fillId="17" borderId="3" xfId="0" applyFont="1" applyFill="1" applyBorder="1" applyAlignment="1" applyProtection="1">
      <alignment horizontal="center" vertical="center"/>
      <protection hidden="1"/>
    </xf>
    <xf numFmtId="0" fontId="94" fillId="17" borderId="4" xfId="0" applyFont="1" applyFill="1" applyBorder="1" applyAlignment="1" applyProtection="1">
      <alignment horizontal="center" vertical="center"/>
      <protection hidden="1"/>
    </xf>
    <xf numFmtId="0" fontId="90" fillId="17" borderId="2" xfId="0" applyFont="1" applyFill="1" applyBorder="1" applyAlignment="1" applyProtection="1">
      <alignment horizontal="center" vertical="center" wrapText="1"/>
      <protection hidden="1"/>
    </xf>
    <xf numFmtId="0" fontId="90" fillId="17" borderId="4"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wrapText="1"/>
      <protection hidden="1"/>
    </xf>
    <xf numFmtId="0" fontId="90" fillId="17" borderId="2" xfId="0" applyFont="1" applyFill="1" applyBorder="1" applyAlignment="1" applyProtection="1">
      <alignment horizontal="center"/>
      <protection hidden="1"/>
    </xf>
    <xf numFmtId="0" fontId="90" fillId="17" borderId="3" xfId="0" applyFont="1" applyFill="1" applyBorder="1" applyAlignment="1" applyProtection="1">
      <alignment horizontal="center"/>
      <protection hidden="1"/>
    </xf>
    <xf numFmtId="0" fontId="90" fillId="17" borderId="4" xfId="0" applyFont="1" applyFill="1" applyBorder="1" applyAlignment="1" applyProtection="1">
      <alignment horizontal="center"/>
      <protection hidden="1"/>
    </xf>
    <xf numFmtId="0" fontId="93" fillId="6" borderId="14" xfId="0" applyFont="1" applyFill="1" applyBorder="1" applyAlignment="1" applyProtection="1">
      <alignment horizontal="center" vertical="center"/>
      <protection hidden="1"/>
    </xf>
    <xf numFmtId="0" fontId="93" fillId="6" borderId="15" xfId="0" applyFont="1" applyFill="1" applyBorder="1" applyAlignment="1" applyProtection="1">
      <alignment horizontal="center" vertical="center"/>
      <protection hidden="1"/>
    </xf>
    <xf numFmtId="0" fontId="94" fillId="17" borderId="2" xfId="0" applyFont="1" applyFill="1" applyBorder="1" applyAlignment="1" applyProtection="1">
      <alignment horizontal="center" vertical="center" wrapText="1"/>
      <protection hidden="1"/>
    </xf>
    <xf numFmtId="0" fontId="94" fillId="17" borderId="3" xfId="0" applyFont="1" applyFill="1" applyBorder="1" applyAlignment="1" applyProtection="1">
      <alignment horizontal="center" vertical="center" wrapText="1"/>
      <protection hidden="1"/>
    </xf>
    <xf numFmtId="0" fontId="94" fillId="17" borderId="4" xfId="0" applyFont="1" applyFill="1" applyBorder="1" applyAlignment="1" applyProtection="1">
      <alignment horizontal="center" vertical="center" wrapText="1"/>
      <protection hidden="1"/>
    </xf>
    <xf numFmtId="0" fontId="114" fillId="32" borderId="30" xfId="0" applyFont="1" applyFill="1" applyBorder="1" applyAlignment="1">
      <alignment horizontal="center" vertical="center" wrapText="1"/>
    </xf>
    <xf numFmtId="0" fontId="114" fillId="32" borderId="150" xfId="0" applyFont="1" applyFill="1" applyBorder="1" applyAlignment="1">
      <alignment horizontal="center" vertical="center" wrapText="1"/>
    </xf>
    <xf numFmtId="0" fontId="114" fillId="32" borderId="39" xfId="0" applyFont="1" applyFill="1" applyBorder="1" applyAlignment="1">
      <alignment horizontal="center" vertical="center" wrapText="1"/>
    </xf>
    <xf numFmtId="0" fontId="114" fillId="32" borderId="49" xfId="0" applyFont="1" applyFill="1" applyBorder="1" applyAlignment="1">
      <alignment horizontal="center" vertical="center" wrapText="1"/>
    </xf>
    <xf numFmtId="0" fontId="114" fillId="32" borderId="40" xfId="0" applyFont="1" applyFill="1" applyBorder="1" applyAlignment="1">
      <alignment horizontal="center" vertical="center" wrapText="1"/>
    </xf>
    <xf numFmtId="0" fontId="22" fillId="26" borderId="39" xfId="0" applyFont="1" applyFill="1" applyBorder="1" applyAlignment="1">
      <alignment horizontal="center" vertical="center" wrapText="1"/>
    </xf>
    <xf numFmtId="0" fontId="22" fillId="26" borderId="49" xfId="0" applyFont="1" applyFill="1" applyBorder="1" applyAlignment="1">
      <alignment horizontal="center" vertical="center" wrapText="1"/>
    </xf>
    <xf numFmtId="0" fontId="22" fillId="26" borderId="40" xfId="0" applyFont="1" applyFill="1" applyBorder="1" applyAlignment="1">
      <alignment horizontal="center" vertical="center" wrapText="1"/>
    </xf>
    <xf numFmtId="0" fontId="57" fillId="32" borderId="39" xfId="0" applyFont="1" applyFill="1" applyBorder="1" applyAlignment="1">
      <alignment horizontal="center" vertical="center" wrapText="1"/>
    </xf>
    <xf numFmtId="0" fontId="57" fillId="32" borderId="49" xfId="0" applyFont="1" applyFill="1" applyBorder="1" applyAlignment="1">
      <alignment horizontal="center" vertical="center" wrapText="1"/>
    </xf>
    <xf numFmtId="0" fontId="57" fillId="32" borderId="40" xfId="0" applyFont="1" applyFill="1" applyBorder="1" applyAlignment="1">
      <alignment horizontal="center" vertical="center" wrapText="1"/>
    </xf>
    <xf numFmtId="0" fontId="85" fillId="17" borderId="37" xfId="0" applyFont="1" applyFill="1" applyBorder="1" applyAlignment="1" applyProtection="1">
      <alignment horizontal="center" wrapText="1"/>
      <protection hidden="1"/>
    </xf>
    <xf numFmtId="0" fontId="85" fillId="17" borderId="38" xfId="0" applyFont="1" applyFill="1" applyBorder="1" applyAlignment="1" applyProtection="1">
      <alignment horizontal="center" wrapText="1"/>
      <protection hidden="1"/>
    </xf>
    <xf numFmtId="0" fontId="85" fillId="17" borderId="23" xfId="0" applyFont="1" applyFill="1" applyBorder="1" applyAlignment="1" applyProtection="1">
      <alignment horizontal="center" wrapText="1"/>
      <protection hidden="1"/>
    </xf>
    <xf numFmtId="0" fontId="85" fillId="17" borderId="37" xfId="0" applyFont="1" applyFill="1" applyBorder="1" applyAlignment="1" applyProtection="1">
      <alignment horizontal="center" vertical="center"/>
      <protection hidden="1"/>
    </xf>
    <xf numFmtId="0" fontId="85" fillId="17" borderId="38" xfId="0" applyFont="1" applyFill="1" applyBorder="1" applyAlignment="1" applyProtection="1">
      <alignment horizontal="center" vertical="center"/>
      <protection hidden="1"/>
    </xf>
    <xf numFmtId="0" fontId="85" fillId="17" borderId="23" xfId="0" applyFont="1" applyFill="1" applyBorder="1" applyAlignment="1" applyProtection="1">
      <alignment horizontal="center" vertical="center"/>
      <protection hidden="1"/>
    </xf>
    <xf numFmtId="0" fontId="114" fillId="32" borderId="118" xfId="0" applyFont="1" applyFill="1" applyBorder="1" applyAlignment="1">
      <alignment horizontal="center" vertical="center" wrapText="1"/>
    </xf>
    <xf numFmtId="0" fontId="114" fillId="32" borderId="24" xfId="0" applyFont="1" applyFill="1" applyBorder="1" applyAlignment="1">
      <alignment horizontal="center" vertical="center" wrapText="1"/>
    </xf>
    <xf numFmtId="0" fontId="114" fillId="32" borderId="31" xfId="0" applyFont="1" applyFill="1" applyBorder="1" applyAlignment="1">
      <alignment horizontal="center" vertical="center" wrapText="1"/>
    </xf>
    <xf numFmtId="0" fontId="114" fillId="32" borderId="155" xfId="0" applyFont="1" applyFill="1" applyBorder="1" applyAlignment="1">
      <alignment horizontal="center" vertical="center" wrapText="1"/>
    </xf>
    <xf numFmtId="0" fontId="22" fillId="26" borderId="30" xfId="0" applyFont="1" applyFill="1" applyBorder="1" applyAlignment="1">
      <alignment horizontal="center" vertical="center" wrapText="1"/>
    </xf>
    <xf numFmtId="0" fontId="22" fillId="26" borderId="31" xfId="0" applyFont="1" applyFill="1" applyBorder="1" applyAlignment="1">
      <alignment horizontal="center" vertical="center" wrapText="1"/>
    </xf>
    <xf numFmtId="0" fontId="22" fillId="26" borderId="155" xfId="0" applyFont="1" applyFill="1" applyBorder="1" applyAlignment="1">
      <alignment horizontal="center" vertical="center" wrapText="1"/>
    </xf>
    <xf numFmtId="0" fontId="114" fillId="32" borderId="83" xfId="0" applyFont="1" applyFill="1" applyBorder="1" applyAlignment="1">
      <alignment horizontal="center" vertical="center" wrapText="1"/>
    </xf>
    <xf numFmtId="0" fontId="0" fillId="0" borderId="49" xfId="0" applyBorder="1" applyAlignment="1">
      <alignment horizontal="center"/>
    </xf>
    <xf numFmtId="0" fontId="0" fillId="0" borderId="40" xfId="0" applyBorder="1" applyAlignment="1">
      <alignment horizontal="center"/>
    </xf>
    <xf numFmtId="0" fontId="0" fillId="0" borderId="4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42" xfId="0" applyBorder="1" applyAlignment="1">
      <alignment horizontal="center" wrapText="1"/>
    </xf>
    <xf numFmtId="0" fontId="0" fillId="0" borderId="45" xfId="0" applyBorder="1" applyAlignment="1">
      <alignment horizontal="center"/>
    </xf>
    <xf numFmtId="0" fontId="0" fillId="0" borderId="6" xfId="0" applyBorder="1" applyAlignment="1">
      <alignment horizontal="center"/>
    </xf>
    <xf numFmtId="0" fontId="42" fillId="6" borderId="37" xfId="0" applyFont="1" applyFill="1" applyBorder="1" applyAlignment="1" applyProtection="1">
      <alignment horizontal="center"/>
      <protection hidden="1"/>
    </xf>
    <xf numFmtId="0" fontId="42" fillId="6" borderId="38" xfId="0" applyFont="1" applyFill="1" applyBorder="1" applyAlignment="1" applyProtection="1">
      <alignment horizontal="center"/>
      <protection hidden="1"/>
    </xf>
    <xf numFmtId="0" fontId="42" fillId="6" borderId="23" xfId="0" applyFont="1" applyFill="1" applyBorder="1" applyAlignment="1" applyProtection="1">
      <alignment horizontal="center"/>
      <protection hidden="1"/>
    </xf>
    <xf numFmtId="0" fontId="0" fillId="6" borderId="27" xfId="0" applyFill="1" applyBorder="1" applyAlignment="1" applyProtection="1">
      <alignment horizontal="center"/>
      <protection hidden="1"/>
    </xf>
    <xf numFmtId="0" fontId="0" fillId="6" borderId="29" xfId="0" applyFill="1" applyBorder="1" applyAlignment="1" applyProtection="1">
      <alignment horizontal="center"/>
      <protection hidden="1"/>
    </xf>
    <xf numFmtId="0" fontId="0" fillId="0" borderId="43" xfId="0" applyBorder="1" applyAlignment="1">
      <alignment horizontal="center"/>
    </xf>
    <xf numFmtId="0" fontId="0" fillId="0" borderId="50" xfId="0" applyBorder="1" applyAlignment="1">
      <alignment horizontal="center"/>
    </xf>
    <xf numFmtId="0" fontId="4" fillId="6" borderId="118" xfId="0" applyFont="1" applyFill="1" applyBorder="1" applyAlignment="1" applyProtection="1">
      <alignment horizontal="center" wrapText="1"/>
      <protection hidden="1"/>
    </xf>
    <xf numFmtId="0" fontId="4" fillId="6" borderId="145" xfId="0" applyFont="1" applyFill="1" applyBorder="1" applyAlignment="1" applyProtection="1">
      <alignment horizontal="center" wrapText="1"/>
      <protection hidden="1"/>
    </xf>
    <xf numFmtId="0" fontId="4" fillId="6" borderId="24" xfId="0" applyFont="1" applyFill="1" applyBorder="1" applyAlignment="1" applyProtection="1">
      <alignment horizontal="center" wrapText="1"/>
      <protection hidden="1"/>
    </xf>
    <xf numFmtId="0" fontId="42" fillId="22" borderId="27" xfId="0" applyFont="1" applyFill="1" applyBorder="1" applyAlignment="1" applyProtection="1">
      <alignment horizontal="center"/>
      <protection hidden="1"/>
    </xf>
    <xf numFmtId="0" fontId="42" fillId="22" borderId="28" xfId="0" applyFont="1" applyFill="1" applyBorder="1" applyAlignment="1" applyProtection="1">
      <alignment horizontal="center"/>
      <protection hidden="1"/>
    </xf>
    <xf numFmtId="0" fontId="42" fillId="22" borderId="29" xfId="0" applyFont="1" applyFill="1" applyBorder="1" applyAlignment="1" applyProtection="1">
      <alignment horizontal="center"/>
      <protection hidden="1"/>
    </xf>
    <xf numFmtId="0" fontId="42" fillId="22" borderId="33" xfId="0" applyFont="1" applyFill="1" applyBorder="1" applyAlignment="1" applyProtection="1">
      <alignment horizontal="center"/>
      <protection hidden="1"/>
    </xf>
    <xf numFmtId="0" fontId="42" fillId="22" borderId="34" xfId="0" applyFont="1" applyFill="1" applyBorder="1" applyAlignment="1" applyProtection="1">
      <alignment horizontal="center"/>
      <protection hidden="1"/>
    </xf>
    <xf numFmtId="0" fontId="42" fillId="22" borderId="25" xfId="0" applyFont="1" applyFill="1" applyBorder="1" applyAlignment="1" applyProtection="1">
      <alignment horizontal="center"/>
      <protection hidden="1"/>
    </xf>
    <xf numFmtId="0" fontId="42" fillId="22" borderId="37" xfId="0" applyFont="1" applyFill="1" applyBorder="1" applyAlignment="1" applyProtection="1">
      <alignment horizontal="center"/>
      <protection hidden="1"/>
    </xf>
    <xf numFmtId="0" fontId="42" fillId="22" borderId="38" xfId="0" applyFont="1" applyFill="1" applyBorder="1" applyAlignment="1" applyProtection="1">
      <alignment horizontal="center"/>
      <protection hidden="1"/>
    </xf>
    <xf numFmtId="0" fontId="42" fillId="22" borderId="23" xfId="0" applyFont="1" applyFill="1" applyBorder="1" applyAlignment="1" applyProtection="1">
      <alignment horizontal="center"/>
      <protection hidden="1"/>
    </xf>
    <xf numFmtId="0" fontId="83" fillId="17" borderId="9" xfId="0" applyFont="1" applyFill="1" applyBorder="1" applyAlignment="1" applyProtection="1">
      <alignment horizontal="center" wrapText="1"/>
      <protection hidden="1"/>
    </xf>
    <xf numFmtId="0" fontId="83" fillId="17" borderId="5" xfId="0" applyFont="1" applyFill="1" applyBorder="1" applyAlignment="1" applyProtection="1">
      <alignment horizontal="center" wrapText="1"/>
      <protection hidden="1"/>
    </xf>
    <xf numFmtId="0" fontId="83" fillId="17" borderId="10" xfId="0" applyFont="1" applyFill="1" applyBorder="1" applyAlignment="1" applyProtection="1">
      <alignment horizontal="center" wrapText="1"/>
      <protection hidden="1"/>
    </xf>
    <xf numFmtId="0" fontId="22" fillId="22" borderId="27" xfId="0" applyFont="1" applyFill="1" applyBorder="1" applyAlignment="1" applyProtection="1">
      <alignment horizontal="center"/>
      <protection hidden="1"/>
    </xf>
    <xf numFmtId="0" fontId="22" fillId="22" borderId="28" xfId="0" applyFont="1" applyFill="1" applyBorder="1" applyAlignment="1" applyProtection="1">
      <alignment horizontal="center"/>
      <protection hidden="1"/>
    </xf>
    <xf numFmtId="0" fontId="22" fillId="22" borderId="29" xfId="0" applyFont="1" applyFill="1" applyBorder="1" applyAlignment="1" applyProtection="1">
      <alignment horizontal="center"/>
      <protection hidden="1"/>
    </xf>
    <xf numFmtId="0" fontId="83" fillId="17" borderId="27" xfId="0" applyFont="1" applyFill="1" applyBorder="1" applyAlignment="1" applyProtection="1">
      <alignment horizontal="center" vertical="center" wrapText="1"/>
      <protection hidden="1"/>
    </xf>
    <xf numFmtId="0" fontId="83" fillId="17" borderId="28" xfId="0" applyFont="1" applyFill="1" applyBorder="1" applyAlignment="1" applyProtection="1">
      <alignment horizontal="center" vertical="center" wrapText="1"/>
      <protection hidden="1"/>
    </xf>
    <xf numFmtId="0" fontId="83" fillId="17" borderId="29" xfId="0" applyFont="1" applyFill="1" applyBorder="1" applyAlignment="1" applyProtection="1">
      <alignment horizontal="center" vertical="center" wrapText="1"/>
      <protection hidden="1"/>
    </xf>
    <xf numFmtId="0" fontId="84" fillId="6" borderId="0" xfId="0" applyFont="1" applyFill="1" applyBorder="1" applyAlignment="1" applyProtection="1">
      <alignment horizontal="center"/>
      <protection hidden="1"/>
    </xf>
    <xf numFmtId="0" fontId="83" fillId="17" borderId="37" xfId="0" applyFont="1" applyFill="1" applyBorder="1" applyAlignment="1" applyProtection="1">
      <alignment horizontal="center" wrapText="1"/>
      <protection hidden="1"/>
    </xf>
    <xf numFmtId="0" fontId="83" fillId="17" borderId="38" xfId="0" applyFont="1" applyFill="1" applyBorder="1" applyAlignment="1" applyProtection="1">
      <alignment horizontal="center" wrapText="1"/>
      <protection hidden="1"/>
    </xf>
    <xf numFmtId="0" fontId="83" fillId="17" borderId="114" xfId="0" applyFont="1" applyFill="1" applyBorder="1" applyAlignment="1" applyProtection="1">
      <alignment horizontal="center" vertical="center"/>
      <protection hidden="1"/>
    </xf>
    <xf numFmtId="0" fontId="83" fillId="17" borderId="52" xfId="0" applyFont="1" applyFill="1" applyBorder="1" applyAlignment="1" applyProtection="1">
      <alignment horizontal="center" vertical="center"/>
      <protection hidden="1"/>
    </xf>
    <xf numFmtId="0" fontId="83" fillId="17" borderId="84" xfId="0" applyFont="1" applyFill="1" applyBorder="1" applyAlignment="1" applyProtection="1">
      <alignment horizontal="center" vertical="center"/>
      <protection hidden="1"/>
    </xf>
    <xf numFmtId="0" fontId="83" fillId="17" borderId="53" xfId="0" applyFont="1" applyFill="1" applyBorder="1" applyAlignment="1" applyProtection="1">
      <alignment horizontal="center" vertical="center"/>
      <protection hidden="1"/>
    </xf>
    <xf numFmtId="0" fontId="83" fillId="17" borderId="23" xfId="0" applyFont="1" applyFill="1" applyBorder="1" applyAlignment="1" applyProtection="1">
      <alignment horizontal="center" wrapText="1"/>
      <protection hidden="1"/>
    </xf>
    <xf numFmtId="0" fontId="20" fillId="6" borderId="0" xfId="0" applyFont="1" applyFill="1" applyBorder="1" applyAlignment="1" applyProtection="1">
      <alignment horizontal="left" wrapText="1"/>
      <protection hidden="1"/>
    </xf>
    <xf numFmtId="3" fontId="20" fillId="6" borderId="0" xfId="0" applyNumberFormat="1" applyFont="1" applyFill="1" applyBorder="1" applyAlignment="1" applyProtection="1">
      <alignment horizontal="left" wrapText="1"/>
      <protection hidden="1"/>
    </xf>
    <xf numFmtId="187" fontId="20" fillId="6" borderId="0" xfId="0" applyNumberFormat="1" applyFont="1" applyFill="1" applyBorder="1" applyAlignment="1" applyProtection="1">
      <alignment horizontal="left" wrapText="1"/>
      <protection hidden="1"/>
    </xf>
    <xf numFmtId="0" fontId="83" fillId="17" borderId="37" xfId="0" applyFont="1" applyFill="1" applyBorder="1" applyAlignment="1" applyProtection="1">
      <alignment horizontal="center" vertical="center" wrapText="1"/>
      <protection hidden="1"/>
    </xf>
    <xf numFmtId="0" fontId="83" fillId="17" borderId="38" xfId="0" applyFont="1" applyFill="1" applyBorder="1" applyAlignment="1" applyProtection="1">
      <alignment horizontal="center" vertical="center" wrapText="1"/>
      <protection hidden="1"/>
    </xf>
    <xf numFmtId="0" fontId="83" fillId="17" borderId="23" xfId="0" applyFont="1" applyFill="1" applyBorder="1" applyAlignment="1" applyProtection="1">
      <alignment horizontal="center" vertical="center" wrapText="1"/>
      <protection hidden="1"/>
    </xf>
    <xf numFmtId="0" fontId="20" fillId="6" borderId="41" xfId="0" applyFont="1" applyFill="1" applyBorder="1" applyProtection="1">
      <protection hidden="1"/>
    </xf>
    <xf numFmtId="0" fontId="20" fillId="6" borderId="1" xfId="0" applyFont="1" applyFill="1" applyBorder="1" applyProtection="1">
      <protection hidden="1"/>
    </xf>
    <xf numFmtId="0" fontId="20" fillId="6" borderId="43" xfId="0" applyFont="1" applyFill="1" applyBorder="1" applyProtection="1">
      <protection hidden="1"/>
    </xf>
    <xf numFmtId="0" fontId="20" fillId="6" borderId="50" xfId="0" applyFont="1" applyFill="1" applyBorder="1" applyProtection="1">
      <protection hidden="1"/>
    </xf>
    <xf numFmtId="0" fontId="20" fillId="17" borderId="27" xfId="0" applyFont="1" applyFill="1" applyBorder="1" applyAlignment="1" applyProtection="1">
      <alignment horizontal="center"/>
      <protection hidden="1"/>
    </xf>
    <xf numFmtId="0" fontId="20" fillId="17" borderId="28" xfId="0" applyFont="1" applyFill="1" applyBorder="1" applyAlignment="1" applyProtection="1">
      <alignment horizontal="center"/>
      <protection hidden="1"/>
    </xf>
    <xf numFmtId="0" fontId="20" fillId="17" borderId="29" xfId="0" applyFont="1" applyFill="1" applyBorder="1" applyAlignment="1" applyProtection="1">
      <alignment horizontal="center"/>
      <protection hidden="1"/>
    </xf>
    <xf numFmtId="0" fontId="20" fillId="6" borderId="39" xfId="0" applyFont="1" applyFill="1" applyBorder="1" applyProtection="1">
      <protection hidden="1"/>
    </xf>
    <xf numFmtId="0" fontId="20" fillId="6" borderId="49" xfId="0" applyFont="1" applyFill="1" applyBorder="1" applyProtection="1">
      <protection hidden="1"/>
    </xf>
    <xf numFmtId="0" fontId="20" fillId="22" borderId="39" xfId="0" applyFont="1" applyFill="1" applyBorder="1" applyAlignment="1" applyProtection="1">
      <alignment horizontal="right" vertical="center" textRotation="90"/>
      <protection hidden="1"/>
    </xf>
    <xf numFmtId="0" fontId="20" fillId="22" borderId="41" xfId="0" applyFont="1" applyFill="1" applyBorder="1" applyAlignment="1" applyProtection="1">
      <alignment horizontal="right" vertical="center" textRotation="90"/>
      <protection hidden="1"/>
    </xf>
    <xf numFmtId="0" fontId="20" fillId="22" borderId="43" xfId="0" applyFont="1" applyFill="1" applyBorder="1" applyAlignment="1" applyProtection="1">
      <alignment horizontal="right" vertical="center" textRotation="90"/>
      <protection hidden="1"/>
    </xf>
    <xf numFmtId="0" fontId="20" fillId="6" borderId="11" xfId="0" applyFont="1" applyFill="1" applyBorder="1" applyAlignment="1" applyProtection="1">
      <alignment horizontal="left"/>
      <protection hidden="1"/>
    </xf>
    <xf numFmtId="0" fontId="20" fillId="6" borderId="0" xfId="0" applyFont="1" applyFill="1" applyBorder="1" applyAlignment="1" applyProtection="1">
      <alignment horizontal="left"/>
      <protection hidden="1"/>
    </xf>
    <xf numFmtId="0" fontId="20" fillId="6" borderId="12" xfId="0" applyFont="1" applyFill="1" applyBorder="1" applyAlignment="1" applyProtection="1">
      <alignment horizontal="left"/>
      <protection hidden="1"/>
    </xf>
    <xf numFmtId="0" fontId="20" fillId="6" borderId="13" xfId="0" applyFont="1" applyFill="1" applyBorder="1" applyAlignment="1" applyProtection="1">
      <alignment horizontal="left"/>
      <protection hidden="1"/>
    </xf>
    <xf numFmtId="0" fontId="20" fillId="6" borderId="14" xfId="0" applyFont="1" applyFill="1" applyBorder="1" applyAlignment="1" applyProtection="1">
      <alignment horizontal="left"/>
      <protection hidden="1"/>
    </xf>
    <xf numFmtId="0" fontId="20" fillId="6" borderId="15" xfId="0" applyFont="1" applyFill="1" applyBorder="1" applyAlignment="1" applyProtection="1">
      <alignment horizontal="left"/>
      <protection hidden="1"/>
    </xf>
    <xf numFmtId="0" fontId="20" fillId="5" borderId="9" xfId="0" applyFont="1" applyFill="1" applyBorder="1" applyAlignment="1" applyProtection="1">
      <alignment horizontal="center" vertical="center" wrapText="1"/>
      <protection hidden="1"/>
    </xf>
    <xf numFmtId="0" fontId="20" fillId="5" borderId="5" xfId="0" applyFont="1" applyFill="1" applyBorder="1" applyAlignment="1" applyProtection="1">
      <alignment horizontal="center" vertical="center" wrapText="1"/>
      <protection hidden="1"/>
    </xf>
    <xf numFmtId="0" fontId="20" fillId="5" borderId="10" xfId="0" applyFont="1" applyFill="1" applyBorder="1" applyAlignment="1" applyProtection="1">
      <alignment horizontal="center" vertical="center" wrapText="1"/>
      <protection hidden="1"/>
    </xf>
    <xf numFmtId="0" fontId="20" fillId="5" borderId="13" xfId="0" applyFont="1" applyFill="1" applyBorder="1" applyAlignment="1" applyProtection="1">
      <alignment horizontal="center" vertical="center" wrapText="1"/>
      <protection hidden="1"/>
    </xf>
    <xf numFmtId="0" fontId="20" fillId="5" borderId="14" xfId="0" applyFont="1" applyFill="1" applyBorder="1" applyAlignment="1" applyProtection="1">
      <alignment horizontal="center" vertical="center" wrapText="1"/>
      <protection hidden="1"/>
    </xf>
    <xf numFmtId="0" fontId="20" fillId="5" borderId="15" xfId="0" applyFont="1" applyFill="1" applyBorder="1" applyAlignment="1" applyProtection="1">
      <alignment horizontal="center" vertical="center" wrapText="1"/>
      <protection hidden="1"/>
    </xf>
    <xf numFmtId="0" fontId="87" fillId="17" borderId="13" xfId="0" applyFont="1" applyFill="1" applyBorder="1" applyAlignment="1" applyProtection="1">
      <alignment horizontal="center" vertical="center"/>
      <protection hidden="1"/>
    </xf>
    <xf numFmtId="0" fontId="87" fillId="17" borderId="14" xfId="0" applyFont="1" applyFill="1" applyBorder="1" applyAlignment="1" applyProtection="1">
      <alignment horizontal="center" vertical="center"/>
      <protection hidden="1"/>
    </xf>
    <xf numFmtId="164" fontId="99" fillId="8" borderId="1" xfId="2" applyNumberFormat="1" applyFont="1" applyFill="1" applyBorder="1" applyAlignment="1">
      <alignment horizontal="center" vertical="center" wrapText="1"/>
    </xf>
    <xf numFmtId="164" fontId="99" fillId="8" borderId="2" xfId="2" applyNumberFormat="1" applyFont="1" applyFill="1" applyBorder="1" applyAlignment="1">
      <alignment horizontal="center" vertical="center" wrapText="1"/>
    </xf>
    <xf numFmtId="0" fontId="99" fillId="8" borderId="1" xfId="0" applyFont="1" applyFill="1" applyBorder="1" applyAlignment="1">
      <alignment horizontal="center" vertical="center" wrapText="1"/>
    </xf>
    <xf numFmtId="0" fontId="99" fillId="8" borderId="2" xfId="0" applyFont="1" applyFill="1" applyBorder="1" applyAlignment="1">
      <alignment horizontal="center" vertical="center" wrapText="1"/>
    </xf>
    <xf numFmtId="3" fontId="99" fillId="12" borderId="2" xfId="0" applyNumberFormat="1" applyFont="1" applyFill="1" applyBorder="1" applyAlignment="1">
      <alignment horizontal="center" vertical="center" wrapText="1"/>
    </xf>
    <xf numFmtId="3" fontId="99" fillId="12" borderId="3" xfId="0" applyNumberFormat="1" applyFont="1" applyFill="1" applyBorder="1" applyAlignment="1">
      <alignment horizontal="center" vertical="center" wrapText="1"/>
    </xf>
    <xf numFmtId="3" fontId="99" fillId="12" borderId="4" xfId="0" applyNumberFormat="1" applyFont="1" applyFill="1" applyBorder="1" applyAlignment="1">
      <alignment horizontal="center" vertical="center" wrapText="1"/>
    </xf>
    <xf numFmtId="43" fontId="0" fillId="0" borderId="0" xfId="2" applyFont="1" applyAlignment="1">
      <alignment horizontal="center"/>
    </xf>
    <xf numFmtId="3" fontId="2" fillId="2" borderId="11" xfId="0" applyNumberFormat="1" applyFont="1" applyFill="1" applyBorder="1" applyAlignment="1">
      <alignment horizontal="center" vertical="center" wrapText="1"/>
    </xf>
    <xf numFmtId="3" fontId="2" fillId="2" borderId="0" xfId="0" applyNumberFormat="1" applyFont="1" applyFill="1" applyBorder="1" applyAlignment="1">
      <alignment horizontal="center" vertical="center" wrapText="1"/>
    </xf>
  </cellXfs>
  <cellStyles count="6">
    <cellStyle name="Comma" xfId="2" builtinId="3"/>
    <cellStyle name="Currency" xfId="3" builtinId="4"/>
    <cellStyle name="Hyperlink" xfId="4" builtinId="8"/>
    <cellStyle name="Input" xfId="5" builtinId="20"/>
    <cellStyle name="Normal" xfId="0" builtinId="0"/>
    <cellStyle name="Percent" xfId="1" builtinId="5"/>
  </cellStyles>
  <dxfs count="509">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rgb="FFFFE699"/>
        </patternFill>
      </fill>
    </dxf>
    <dxf>
      <fill>
        <patternFill>
          <bgColor rgb="FFFFE699"/>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FFFF"/>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112" Type="http://schemas.openxmlformats.org/officeDocument/2006/relationships/externalLink" Target="externalLinks/externalLink52.xml"/><Relationship Id="rId16" Type="http://schemas.openxmlformats.org/officeDocument/2006/relationships/worksheet" Target="worksheets/sheet16.xml"/><Relationship Id="rId107" Type="http://schemas.openxmlformats.org/officeDocument/2006/relationships/externalLink" Target="externalLinks/externalLink4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102" Type="http://schemas.openxmlformats.org/officeDocument/2006/relationships/externalLink" Target="externalLinks/externalLink42.xml"/><Relationship Id="rId123" Type="http://schemas.openxmlformats.org/officeDocument/2006/relationships/sheetMetadata" Target="metadata.xml"/><Relationship Id="rId128" Type="http://schemas.microsoft.com/office/2017/10/relationships/person" Target="persons/person.xml"/><Relationship Id="rId5" Type="http://schemas.openxmlformats.org/officeDocument/2006/relationships/worksheet" Target="worksheets/sheet5.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113" Type="http://schemas.openxmlformats.org/officeDocument/2006/relationships/externalLink" Target="externalLinks/externalLink53.xml"/><Relationship Id="rId118" Type="http://schemas.openxmlformats.org/officeDocument/2006/relationships/externalLink" Target="externalLinks/externalLink5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103" Type="http://schemas.openxmlformats.org/officeDocument/2006/relationships/externalLink" Target="externalLinks/externalLink43.xml"/><Relationship Id="rId108" Type="http://schemas.openxmlformats.org/officeDocument/2006/relationships/externalLink" Target="externalLinks/externalLink48.xml"/><Relationship Id="rId116" Type="http://schemas.openxmlformats.org/officeDocument/2006/relationships/externalLink" Target="externalLinks/externalLink5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externalLink" Target="externalLinks/externalLink36.xml"/><Relationship Id="rId111"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6.xml"/><Relationship Id="rId114" Type="http://schemas.openxmlformats.org/officeDocument/2006/relationships/externalLink" Target="externalLinks/externalLink54.xml"/><Relationship Id="rId119" Type="http://schemas.openxmlformats.org/officeDocument/2006/relationships/externalLink" Target="externalLinks/externalLink5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120" Type="http://schemas.openxmlformats.org/officeDocument/2006/relationships/theme" Target="theme/theme1.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6.xml"/><Relationship Id="rId87" Type="http://schemas.openxmlformats.org/officeDocument/2006/relationships/externalLink" Target="externalLinks/externalLink27.xml"/><Relationship Id="rId110" Type="http://schemas.openxmlformats.org/officeDocument/2006/relationships/externalLink" Target="externalLinks/externalLink50.xml"/><Relationship Id="rId115" Type="http://schemas.openxmlformats.org/officeDocument/2006/relationships/externalLink" Target="externalLinks/externalLink5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0</xdr:row>
      <xdr:rowOff>114300</xdr:rowOff>
    </xdr:from>
    <xdr:to>
      <xdr:col>15</xdr:col>
      <xdr:colOff>228600</xdr:colOff>
      <xdr:row>19</xdr:row>
      <xdr:rowOff>104775</xdr:rowOff>
    </xdr:to>
    <xdr:pic>
      <xdr:nvPicPr>
        <xdr:cNvPr id="2" name="Picture 1">
          <a:extLst>
            <a:ext uri="{FF2B5EF4-FFF2-40B4-BE49-F238E27FC236}">
              <a16:creationId xmlns:a16="http://schemas.microsoft.com/office/drawing/2014/main" id="{1D116E13-B8FD-4B5F-A3F4-6757E8FFD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0" y="114300"/>
          <a:ext cx="56864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386</xdr:row>
      <xdr:rowOff>0</xdr:rowOff>
    </xdr:from>
    <xdr:to>
      <xdr:col>12</xdr:col>
      <xdr:colOff>885030</xdr:colOff>
      <xdr:row>398</xdr:row>
      <xdr:rowOff>2890</xdr:rowOff>
    </xdr:to>
    <xdr:pic>
      <xdr:nvPicPr>
        <xdr:cNvPr id="2" name="Picture 1">
          <a:extLst>
            <a:ext uri="{FF2B5EF4-FFF2-40B4-BE49-F238E27FC236}">
              <a16:creationId xmlns:a16="http://schemas.microsoft.com/office/drawing/2014/main" id="{2CEAA421-A4CA-49FE-B928-25CB173ED8EC}"/>
            </a:ext>
          </a:extLst>
        </xdr:cNvPr>
        <xdr:cNvPicPr>
          <a:picLocks noChangeAspect="1"/>
        </xdr:cNvPicPr>
      </xdr:nvPicPr>
      <xdr:blipFill>
        <a:blip xmlns:r="http://schemas.openxmlformats.org/officeDocument/2006/relationships" r:embed="rId1"/>
        <a:stretch>
          <a:fillRect/>
        </a:stretch>
      </xdr:blipFill>
      <xdr:spPr>
        <a:xfrm>
          <a:off x="11358563" y="65222438"/>
          <a:ext cx="6361905" cy="2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638175</xdr:colOff>
      <xdr:row>266</xdr:row>
      <xdr:rowOff>19050</xdr:rowOff>
    </xdr:from>
    <xdr:to>
      <xdr:col>20</xdr:col>
      <xdr:colOff>1878266</xdr:colOff>
      <xdr:row>276</xdr:row>
      <xdr:rowOff>18811</xdr:rowOff>
    </xdr:to>
    <xdr:pic>
      <xdr:nvPicPr>
        <xdr:cNvPr id="2" name="Picture 1">
          <a:extLst>
            <a:ext uri="{FF2B5EF4-FFF2-40B4-BE49-F238E27FC236}">
              <a16:creationId xmlns:a16="http://schemas.microsoft.com/office/drawing/2014/main" id="{0F31B254-FC3F-4306-A35B-4ADA2E3661F7}"/>
            </a:ext>
          </a:extLst>
        </xdr:cNvPr>
        <xdr:cNvPicPr>
          <a:picLocks noChangeAspect="1"/>
        </xdr:cNvPicPr>
      </xdr:nvPicPr>
      <xdr:blipFill>
        <a:blip xmlns:r="http://schemas.openxmlformats.org/officeDocument/2006/relationships" r:embed="rId1"/>
        <a:stretch>
          <a:fillRect/>
        </a:stretch>
      </xdr:blipFill>
      <xdr:spPr>
        <a:xfrm>
          <a:off x="13306425" y="41557575"/>
          <a:ext cx="4304762" cy="1914286"/>
        </a:xfrm>
        <a:prstGeom prst="rect">
          <a:avLst/>
        </a:prstGeom>
      </xdr:spPr>
    </xdr:pic>
    <xdr:clientData/>
  </xdr:twoCellAnchor>
  <xdr:twoCellAnchor editAs="oneCell">
    <xdr:from>
      <xdr:col>10</xdr:col>
      <xdr:colOff>938891</xdr:colOff>
      <xdr:row>181</xdr:row>
      <xdr:rowOff>0</xdr:rowOff>
    </xdr:from>
    <xdr:to>
      <xdr:col>14</xdr:col>
      <xdr:colOff>1886289</xdr:colOff>
      <xdr:row>191</xdr:row>
      <xdr:rowOff>164742</xdr:rowOff>
    </xdr:to>
    <xdr:pic>
      <xdr:nvPicPr>
        <xdr:cNvPr id="5" name="Picture 4">
          <a:extLst>
            <a:ext uri="{FF2B5EF4-FFF2-40B4-BE49-F238E27FC236}">
              <a16:creationId xmlns:a16="http://schemas.microsoft.com/office/drawing/2014/main" id="{E6E10A24-71FF-4034-8568-750FDCDFEE8B}"/>
            </a:ext>
          </a:extLst>
        </xdr:cNvPr>
        <xdr:cNvPicPr>
          <a:picLocks noChangeAspect="1"/>
        </xdr:cNvPicPr>
      </xdr:nvPicPr>
      <xdr:blipFill>
        <a:blip xmlns:r="http://schemas.openxmlformats.org/officeDocument/2006/relationships" r:embed="rId2"/>
        <a:stretch>
          <a:fillRect/>
        </a:stretch>
      </xdr:blipFill>
      <xdr:spPr>
        <a:xfrm>
          <a:off x="10518320" y="29718000"/>
          <a:ext cx="4503965" cy="2069742"/>
        </a:xfrm>
        <a:prstGeom prst="rect">
          <a:avLst/>
        </a:prstGeom>
      </xdr:spPr>
    </xdr:pic>
    <xdr:clientData/>
  </xdr:twoCellAnchor>
  <xdr:twoCellAnchor editAs="oneCell">
    <xdr:from>
      <xdr:col>11</xdr:col>
      <xdr:colOff>0</xdr:colOff>
      <xdr:row>133</xdr:row>
      <xdr:rowOff>190499</xdr:rowOff>
    </xdr:from>
    <xdr:to>
      <xdr:col>14</xdr:col>
      <xdr:colOff>1246756</xdr:colOff>
      <xdr:row>142</xdr:row>
      <xdr:rowOff>2688</xdr:rowOff>
    </xdr:to>
    <xdr:pic>
      <xdr:nvPicPr>
        <xdr:cNvPr id="6" name="Picture 5">
          <a:extLst>
            <a:ext uri="{FF2B5EF4-FFF2-40B4-BE49-F238E27FC236}">
              <a16:creationId xmlns:a16="http://schemas.microsoft.com/office/drawing/2014/main" id="{ABA67BD1-5795-4493-B59B-E57838412F7E}"/>
            </a:ext>
          </a:extLst>
        </xdr:cNvPr>
        <xdr:cNvPicPr>
          <a:picLocks noChangeAspect="1"/>
        </xdr:cNvPicPr>
      </xdr:nvPicPr>
      <xdr:blipFill>
        <a:blip xmlns:r="http://schemas.openxmlformats.org/officeDocument/2006/relationships" r:embed="rId3"/>
        <a:stretch>
          <a:fillRect/>
        </a:stretch>
      </xdr:blipFill>
      <xdr:spPr>
        <a:xfrm>
          <a:off x="11552464" y="24764999"/>
          <a:ext cx="3864430" cy="1526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38</xdr:row>
      <xdr:rowOff>0</xdr:rowOff>
    </xdr:from>
    <xdr:to>
      <xdr:col>11</xdr:col>
      <xdr:colOff>1532131</xdr:colOff>
      <xdr:row>60</xdr:row>
      <xdr:rowOff>131519</xdr:rowOff>
    </xdr:to>
    <xdr:pic>
      <xdr:nvPicPr>
        <xdr:cNvPr id="4" name="Picture 3">
          <a:extLst>
            <a:ext uri="{FF2B5EF4-FFF2-40B4-BE49-F238E27FC236}">
              <a16:creationId xmlns:a16="http://schemas.microsoft.com/office/drawing/2014/main" id="{E7E3F09A-0898-4C39-BD01-4B59CB7050D6}"/>
            </a:ext>
          </a:extLst>
        </xdr:cNvPr>
        <xdr:cNvPicPr>
          <a:picLocks noChangeAspect="1"/>
        </xdr:cNvPicPr>
      </xdr:nvPicPr>
      <xdr:blipFill>
        <a:blip xmlns:r="http://schemas.openxmlformats.org/officeDocument/2006/relationships" r:embed="rId1"/>
        <a:stretch>
          <a:fillRect/>
        </a:stretch>
      </xdr:blipFill>
      <xdr:spPr>
        <a:xfrm>
          <a:off x="9729107" y="5197929"/>
          <a:ext cx="8866381" cy="4717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38</xdr:row>
      <xdr:rowOff>0</xdr:rowOff>
    </xdr:from>
    <xdr:to>
      <xdr:col>11</xdr:col>
      <xdr:colOff>1532131</xdr:colOff>
      <xdr:row>60</xdr:row>
      <xdr:rowOff>131519</xdr:rowOff>
    </xdr:to>
    <xdr:pic>
      <xdr:nvPicPr>
        <xdr:cNvPr id="3" name="Picture 2">
          <a:extLst>
            <a:ext uri="{FF2B5EF4-FFF2-40B4-BE49-F238E27FC236}">
              <a16:creationId xmlns:a16="http://schemas.microsoft.com/office/drawing/2014/main" id="{0C14E580-C121-44B2-B6AA-E22F936D48CA}"/>
            </a:ext>
          </a:extLst>
        </xdr:cNvPr>
        <xdr:cNvPicPr>
          <a:picLocks noChangeAspect="1"/>
        </xdr:cNvPicPr>
      </xdr:nvPicPr>
      <xdr:blipFill>
        <a:blip xmlns:r="http://schemas.openxmlformats.org/officeDocument/2006/relationships" r:embed="rId1"/>
        <a:stretch>
          <a:fillRect/>
        </a:stretch>
      </xdr:blipFill>
      <xdr:spPr>
        <a:xfrm>
          <a:off x="9729107" y="5197929"/>
          <a:ext cx="8866381" cy="471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38</xdr:row>
      <xdr:rowOff>0</xdr:rowOff>
    </xdr:from>
    <xdr:to>
      <xdr:col>11</xdr:col>
      <xdr:colOff>1532131</xdr:colOff>
      <xdr:row>60</xdr:row>
      <xdr:rowOff>131519</xdr:rowOff>
    </xdr:to>
    <xdr:pic>
      <xdr:nvPicPr>
        <xdr:cNvPr id="2" name="Picture 1">
          <a:extLst>
            <a:ext uri="{FF2B5EF4-FFF2-40B4-BE49-F238E27FC236}">
              <a16:creationId xmlns:a16="http://schemas.microsoft.com/office/drawing/2014/main" id="{9ABF8E14-E7F2-4070-93B4-6DEF7751B890}"/>
            </a:ext>
          </a:extLst>
        </xdr:cNvPr>
        <xdr:cNvPicPr>
          <a:picLocks noChangeAspect="1"/>
        </xdr:cNvPicPr>
      </xdr:nvPicPr>
      <xdr:blipFill>
        <a:blip xmlns:r="http://schemas.openxmlformats.org/officeDocument/2006/relationships" r:embed="rId1"/>
        <a:stretch>
          <a:fillRect/>
        </a:stretch>
      </xdr:blipFill>
      <xdr:spPr>
        <a:xfrm>
          <a:off x="9729107" y="5197929"/>
          <a:ext cx="8866381" cy="4717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38</xdr:row>
      <xdr:rowOff>0</xdr:rowOff>
    </xdr:from>
    <xdr:to>
      <xdr:col>11</xdr:col>
      <xdr:colOff>1532131</xdr:colOff>
      <xdr:row>60</xdr:row>
      <xdr:rowOff>131519</xdr:rowOff>
    </xdr:to>
    <xdr:pic>
      <xdr:nvPicPr>
        <xdr:cNvPr id="2" name="Picture 1">
          <a:extLst>
            <a:ext uri="{FF2B5EF4-FFF2-40B4-BE49-F238E27FC236}">
              <a16:creationId xmlns:a16="http://schemas.microsoft.com/office/drawing/2014/main" id="{178C29BF-598E-467B-8911-0BCC900C9F52}"/>
            </a:ext>
          </a:extLst>
        </xdr:cNvPr>
        <xdr:cNvPicPr>
          <a:picLocks noChangeAspect="1"/>
        </xdr:cNvPicPr>
      </xdr:nvPicPr>
      <xdr:blipFill>
        <a:blip xmlns:r="http://schemas.openxmlformats.org/officeDocument/2006/relationships" r:embed="rId1"/>
        <a:stretch>
          <a:fillRect/>
        </a:stretch>
      </xdr:blipFill>
      <xdr:spPr>
        <a:xfrm>
          <a:off x="9729107" y="5197929"/>
          <a:ext cx="8866381" cy="4717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lsagfiles.org/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kilpatr\My%20Documents\Rate%20Class%20Info\COS%20Exercise%206%20with%20answe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HP\2005\Rate%20Case\Cost%20of%20Servi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COTTR~1\AppData\Local\Temp\IRP%20Scenario%20Analysis%20--%20Base%20Avoided%20Cost.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IC%20Plan%204%20BenCost_05-18-16%20tes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Inputs_Remodel_Compliance_V3_NT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coughlin\AppData\Local\Microsoft\Windows\Temporary%20Internet%20Files\Content.Outlook\E96JJ0G2\LIPA%20Direct%20Install%20-%20Commercial%20AC%20Early%20Retirement%2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Clients\Peoples%20Gas%20Chicago\PY4-6%20RFP%20Bencost\Modified\bencost%20NSvPY4-6%20RFP%20Plann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DC\Projects\LIPA\Optimal%20Energy%20Documentation\PST%20v2.05.05%20ELI%20Block%208%2001-22-08%20Res%20budget%20corrected%20-CONFIDENTIAL\PST%20v2.05.05%20ELI%20Block%208%2001-22-08%20Res%20budget%20corrected%20-CONFIDENT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BHCRates\PSCModels\2005.04.14\Clean\CAS%20Electric%20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COTTR~1\AppData\Local\Temp\TRC%20Analysis%2012.6.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36.xml.rels><?xml version="1.0" encoding="UTF-8" standalone="yes"?>
<Relationships xmlns="http://schemas.openxmlformats.org/package/2006/relationships"><Relationship Id="rId2" Type="http://schemas.microsoft.com/office/2019/04/relationships/externalLinkLongPath" Target="file:///C:\Users\acottrell\AppData\Local\Microsoft\Windows\Temporary%20Internet%20Files\Content.Outlook\K6BOTMG1\Users\acottrell\AppData\Local\Microsoft\Windows\Temporary%20Internet%20Files\Content.Outlook\K6BOTMG1\BenCost%20for%20LIPA%20Tool.xls?F4CADBF4" TargetMode="External"/><Relationship Id="rId1" Type="http://schemas.openxmlformats.org/officeDocument/2006/relationships/externalLinkPath" Target="file:///\\F4CADBF4\BenCost%20for%20LIPA%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coughlin\Downloads\BenCost%20for%20LIPA%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csynhors\LOCALS~1\Temp\notes6030C8\CHY0405%20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lsagfiles.org/BHP/2005/Rate%20Case/BHP%20Cost%20of%20Service%20Model%20(Excel)%203.07.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heyenne%20Light,%20Fuel%20&amp;%20Power\Rate%20Case\2005%20Rate%20Case\Models\Final%20Settled%20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Measure%20Level%20TRC%20Analysis_8-7-1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lients\RG&amp;E\bencost\RG&amp;E.combined%20ben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ecoughlin\Application%20Data\Microsoft\Excel\2012%20Empire%20MEEIA%20Program%20Benc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HP\2005\Rate%20Case\BHP%20Cost%20of%20Service%20Model%20(Excel)%203.0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2010%20ELI%20Portfolio%20Preliminary%20BC%20Analysis.AE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C:\Users\acottrell\AppData\Local\Microsoft\Windows\Temporary%20Internet%20Files\Content.Outlook\K6BOTMG1\Consulting\Projects%20&amp;%20Utility%20Info\Active\NY\LIPA\ELI\2008%20scenarios\Blocks%205-8%20as%20submitted\PST%20v2.05.05a%20ELI%20Block%207%2001-14-08%20-submitted.xls?B1CF9D96" TargetMode="External"/><Relationship Id="rId1" Type="http://schemas.openxmlformats.org/officeDocument/2006/relationships/externalLinkPath" Target="file:///\\B1CF9D96\PST%20v2.05.05a%20ELI%20Block%207%2001-14-08%20-submitt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nsulting\Projects%20&amp;%20Utility%20Info\Active\NY\LIPA\ELI\2008%20scenarios\Blocks%205-8%20as%20submitted\PST%20v2.05.05a%20ELI%20Block%207%2001-14-08%20-submitt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eresco.com\d\Users\ACOTTR~1\AppData\Local\Temp\BPL78%20-%20LED%20exit%20sign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C:\Users\e107093\AppData\Local\Microsoft\Windows\Temporary%20Internet%20Files\Content.Outlook\RK0ONNHX\Consulting\Projects%20&amp;%20Utility%20Info\Active\NY\LIPA\ELI\2008%20scenarios\Blocks%205-8%20as%20submitted\PST%20v2.05.05a%20ELI%20Block%207%2001-14-08%20-submitted.xls?B2F8D07A" TargetMode="External"/><Relationship Id="rId1" Type="http://schemas.openxmlformats.org/officeDocument/2006/relationships/externalLinkPath" Target="file:///\\B2F8D07A\PST%20v2.05.05a%20ELI%20Block%207%2001-14-08%20-submitt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pvelcenbach\AppData\Local\Microsoft\Windows\Temporary%20Internet%20Files\Content.Outlook\TKNIWZLU\LIPA%20Cool%20Homes%20Equipment%20Savings%20Calculations%203%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Rates/Black%20Hills%20Power,%20Inc/Rate%20Case/2009%20-%20BHP%20-%20SD/Cost%20of%20Service%20Models/Master%20Rate%20Filing%20Statement-July%2008%20-%20June%2009-Settlement%20with%20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ates\Black%20Hills%20Power,%20Inc\Rate%20Case\2009%20-%20BHP%20-%20SD\Cost%20of%20Service%20Models\Master%20Rate%20Filing%20Statement-July%2008%20-%20June%2009-Settlement%20with%20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ummary"/>
      <sheetName val="Program Budgets"/>
      <sheetName val="Measure Inputs"/>
      <sheetName val="Portfolio Inputs"/>
      <sheetName val="General Inputs"/>
      <sheetName val="2017"/>
      <sheetName val="2018"/>
      <sheetName val="2019"/>
      <sheetName val="Total"/>
    </sheetNames>
    <sheetDataSet>
      <sheetData sheetId="0"/>
      <sheetData sheetId="1"/>
      <sheetData sheetId="2"/>
      <sheetData sheetId="3"/>
      <sheetData sheetId="4">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1.1287</v>
          </cell>
        </row>
        <row r="16">
          <cell r="B16">
            <v>1.0068786999999999</v>
          </cell>
        </row>
        <row r="17">
          <cell r="B17">
            <v>1</v>
          </cell>
        </row>
      </sheetData>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5">
          <cell r="B5">
            <v>1.0669999999999999</v>
          </cell>
        </row>
        <row r="6">
          <cell r="B6">
            <v>1.0780000000000001</v>
          </cell>
        </row>
        <row r="7">
          <cell r="B7">
            <v>1.071</v>
          </cell>
        </row>
        <row r="8">
          <cell r="B8">
            <v>1.0044603000000001</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5">
          <cell r="C5">
            <v>8.0799999999999997E-2</v>
          </cell>
        </row>
        <row r="6">
          <cell r="C6">
            <v>5.6606044762341989E-2</v>
          </cell>
        </row>
        <row r="7">
          <cell r="C7">
            <v>7.064821806510091E-2</v>
          </cell>
        </row>
        <row r="9">
          <cell r="C9">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persons/person.xml><?xml version="1.0" encoding="utf-8"?>
<personList xmlns="http://schemas.microsoft.com/office/spreadsheetml/2018/threadedcomments" xmlns:x="http://schemas.openxmlformats.org/spreadsheetml/2006/main">
  <person displayName="Froio, Zach" id="{31D455A4-ED19-4D04-9793-CCEBC8AC85C4}" userId="S::zfroio@ameresco.com::ef5ccb52-72b8-4928-910a-25b3a13ee2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5" dT="2020-12-02T22:56:08.63" personId="{31D455A4-ED19-4D04-9793-CCEBC8AC85C4}" id="{D2F6859D-B9A9-4AC3-BB9B-F98220E06F17}">
    <text>Updated per IL TRM v9 p. 177</text>
  </threadedComment>
  <threadedComment ref="V102" dT="2020-12-03T00:02:50.43" personId="{31D455A4-ED19-4D04-9793-CCEBC8AC85C4}" id="{602F5FA3-7647-4C23-9CA8-019203D78577}">
    <text>Updated per IL TRM v9 p. 225</text>
  </threadedComment>
  <threadedComment ref="V106" dT="2020-12-03T00:02:50.43" personId="{31D455A4-ED19-4D04-9793-CCEBC8AC85C4}" id="{B992D397-D12F-4641-AF83-EEBFE906D183}">
    <text>Updated per IL TRM v9 p. 225</text>
  </threadedComment>
  <threadedComment ref="V108" dT="2020-12-03T00:02:50.43" personId="{31D455A4-ED19-4D04-9793-CCEBC8AC85C4}" id="{0047EFF4-C619-4CE1-AB9D-3A3FBF770FCB}">
    <text>Updated per IL TRM v9 p. 225</text>
  </threadedComment>
  <threadedComment ref="V114" dT="2021-01-19T22:47:54.65" personId="{31D455A4-ED19-4D04-9793-CCEBC8AC85C4}" id="{9A14BC13-16EE-4DE1-BA93-E97B86CAF886}">
    <text>Updated per IL TRM v9 p. 236</text>
  </threadedComment>
</ThreadedComments>
</file>

<file path=xl/threadedComments/threadedComment2.xml><?xml version="1.0" encoding="utf-8"?>
<ThreadedComments xmlns="http://schemas.microsoft.com/office/spreadsheetml/2018/threadedcomments" xmlns:x="http://schemas.openxmlformats.org/spreadsheetml/2006/main">
  <threadedComment ref="B43" dT="2020-12-02T23:24:58.13" personId="{31D455A4-ED19-4D04-9793-CCEBC8AC85C4}" id="{92019414-97BE-4E3E-ACB1-7F8245B09686}">
    <text>Updated per IL TRM v9 p. 193</text>
  </threadedComment>
  <threadedComment ref="S45" dT="2020-12-02T23:24:58.13" personId="{31D455A4-ED19-4D04-9793-CCEBC8AC85C4}" id="{03404CD7-5AEE-4EE4-94E5-C2B4C45AC87A}">
    <text>Updated per IL TRM v9 p. 193</text>
  </threadedComment>
  <threadedComment ref="S46" dT="2020-12-02T23:24:58.13" personId="{31D455A4-ED19-4D04-9793-CCEBC8AC85C4}" id="{C2EC0766-30CC-4D6F-8663-6918A3486B5C}">
    <text>Updated per IL TRM v9 p. 193</text>
  </threadedComment>
  <threadedComment ref="B55" dT="2020-12-02T23:39:45.01" personId="{31D455A4-ED19-4D04-9793-CCEBC8AC85C4}" id="{D53398A1-AAA0-45A3-9805-DB397B92F99D}">
    <text>Added per IL TRM v9 p. 193</text>
  </threadedComment>
</ThreadedComments>
</file>

<file path=xl/threadedComments/threadedComment3.xml><?xml version="1.0" encoding="utf-8"?>
<ThreadedComments xmlns="http://schemas.microsoft.com/office/spreadsheetml/2018/threadedcomments" xmlns:x="http://schemas.openxmlformats.org/spreadsheetml/2006/main">
  <threadedComment ref="C19" dT="2020-12-02T22:56:08.63" personId="{31D455A4-ED19-4D04-9793-CCEBC8AC85C4}" id="{6CF4F5EF-A1DD-430F-8DB0-70858A088898}">
    <text>Updated per IL TRM v9 p. 177</text>
  </threadedComment>
  <threadedComment ref="C20" dT="2020-12-02T22:56:08.63" personId="{31D455A4-ED19-4D04-9793-CCEBC8AC85C4}" id="{EA4BA337-BDA2-4C0B-BED7-FD1CDCC75168}">
    <text>Updated per IL TRM v9 p. 177</text>
  </threadedComment>
  <threadedComment ref="C21" dT="2020-12-02T22:56:08.63" personId="{31D455A4-ED19-4D04-9793-CCEBC8AC85C4}" id="{8A91CBB5-D09B-490C-A0EE-382A607E7A9F}">
    <text>Updated per IL TRM v9 p. 177</text>
  </threadedComment>
  <threadedComment ref="B26" dT="2020-12-02T23:11:40.28" personId="{31D455A4-ED19-4D04-9793-CCEBC8AC85C4}" id="{8319A1A8-5C8C-4B59-B466-46DC7E1E80D6}">
    <text>Added per IL TRM v9 p. 177</text>
  </threadedComment>
  <threadedComment ref="C30" dT="2020-12-02T23:11:40.28" personId="{31D455A4-ED19-4D04-9793-CCEBC8AC85C4}" id="{0851C5E4-24C6-407F-BC29-C09D6E528D99}">
    <text>Added per IL TRM v9 p. 177</text>
  </threadedComment>
  <threadedComment ref="C152" dT="2021-01-19T22:52:58.61" personId="{31D455A4-ED19-4D04-9793-CCEBC8AC85C4}" id="{B32421D7-31CA-4D3B-9FE4-5722F10E8741}">
    <text>Updated per IL TRM v9 p. 123</text>
  </threadedComment>
  <threadedComment ref="N157" dT="2021-01-19T22:53:57.50" personId="{31D455A4-ED19-4D04-9793-CCEBC8AC85C4}" id="{FEBF547E-3B60-4E68-BBE7-3D21438BCCBE}">
    <text>Updated per IL TRM v9 p. 123</text>
  </threadedComment>
  <threadedComment ref="N158" dT="2021-01-19T22:53:57.50" personId="{31D455A4-ED19-4D04-9793-CCEBC8AC85C4}" id="{942FD642-0B47-4F78-8ABF-FDB7A5902384}">
    <text>Updated per IL TRM v9 p. 123</text>
  </threadedComment>
</ThreadedComments>
</file>

<file path=xl/threadedComments/threadedComment4.xml><?xml version="1.0" encoding="utf-8"?>
<ThreadedComments xmlns="http://schemas.microsoft.com/office/spreadsheetml/2018/threadedcomments" xmlns:x="http://schemas.openxmlformats.org/spreadsheetml/2006/main">
  <threadedComment ref="C123" dT="2020-12-03T00:02:50.43" personId="{31D455A4-ED19-4D04-9793-CCEBC8AC85C4}" id="{83AB4F42-8CE7-4C16-9542-85689680F0CD}">
    <text>Updated per IL TRM v9 p. 225</text>
  </threadedComment>
  <threadedComment ref="C124" dT="2020-12-03T00:02:50.43" personId="{31D455A4-ED19-4D04-9793-CCEBC8AC85C4}" id="{25CAE341-468B-45CB-A3A6-848B38510831}">
    <text>Added per IL TRM v9 p. 225</text>
  </threadedComment>
  <threadedComment ref="C125" dT="2020-12-03T00:02:50.43" personId="{31D455A4-ED19-4D04-9793-CCEBC8AC85C4}" id="{59017A2A-5428-4831-B555-68E58D91A435}">
    <text>Added per IL TRM v9 p. 225</text>
  </threadedComment>
</ThreadedComments>
</file>

<file path=xl/threadedComments/threadedComment5.xml><?xml version="1.0" encoding="utf-8"?>
<ThreadedComments xmlns="http://schemas.microsoft.com/office/spreadsheetml/2018/threadedcomments" xmlns:x="http://schemas.openxmlformats.org/spreadsheetml/2006/main">
  <threadedComment ref="G233" dT="2021-01-19T22:16:54.81" personId="{31D455A4-ED19-4D04-9793-CCEBC8AC85C4}" id="{F095F268-B743-4096-BFC9-A0FCB1E9A7C7}">
    <text>Updated per IL TRM v9 p. 190.</text>
  </threadedComment>
  <threadedComment ref="H233" dT="2021-01-19T22:17:34.05" personId="{31D455A4-ED19-4D04-9793-CCEBC8AC85C4}" id="{5CEA8B82-DCAE-445B-A6CD-D3C512AD85C8}">
    <text>Updated per IL TRM v9 p. 191.</text>
  </threadedComment>
  <threadedComment ref="G234" dT="2021-01-19T22:16:54.81" personId="{31D455A4-ED19-4D04-9793-CCEBC8AC85C4}" id="{53AE3791-0DD1-47FB-A4A0-1C9E12E3F3FA}">
    <text>Updated per IL TRM v9 p. 190.</text>
  </threadedComment>
  <threadedComment ref="H234" dT="2021-01-19T22:17:34.05" personId="{31D455A4-ED19-4D04-9793-CCEBC8AC85C4}" id="{B2D8BE6E-541B-4876-881C-6BD5EF56ACF3}">
    <text>Updated per IL TRM v9 p. 191.</text>
  </threadedComment>
  <threadedComment ref="G235" dT="2021-01-19T22:16:54.81" personId="{31D455A4-ED19-4D04-9793-CCEBC8AC85C4}" id="{39232EF8-9EA6-42A8-8B82-2960FF3B30F3}">
    <text>Updated per IL TRM v9 p. 190.</text>
  </threadedComment>
  <threadedComment ref="H235" dT="2021-01-19T22:17:34.05" personId="{31D455A4-ED19-4D04-9793-CCEBC8AC85C4}" id="{25AF2436-7CEA-4650-8F6C-51A50EDE832F}">
    <text>Updated per IL TRM v9 p. 191.</text>
  </threadedComment>
  <threadedComment ref="G236" dT="2021-01-19T22:16:54.81" personId="{31D455A4-ED19-4D04-9793-CCEBC8AC85C4}" id="{57DE27A6-A686-46CA-A501-7B38BA35E6D7}">
    <text>Updated per IL TRM v9 p. 190.</text>
  </threadedComment>
  <threadedComment ref="H236" dT="2021-01-19T22:17:34.05" personId="{31D455A4-ED19-4D04-9793-CCEBC8AC85C4}" id="{40D6AEA1-9DB9-436D-A26B-8B711BCC54E3}">
    <text>Updated per IL TRM v9 p. 191.</text>
  </threadedComment>
  <threadedComment ref="G237" dT="2021-01-19T22:16:54.81" personId="{31D455A4-ED19-4D04-9793-CCEBC8AC85C4}" id="{388C175E-49C5-4E60-9EF3-98CA37C5E784}">
    <text>Updated per IL TRM v9 p. 190.</text>
  </threadedComment>
  <threadedComment ref="H237" dT="2021-01-19T22:17:34.05" personId="{31D455A4-ED19-4D04-9793-CCEBC8AC85C4}" id="{41CA2515-8B09-4BA9-819E-4E78F940DD7C}">
    <text>Updated per IL TRM v9 p. 191.</text>
  </threadedComment>
  <threadedComment ref="G238" dT="2021-01-19T22:16:54.81" personId="{31D455A4-ED19-4D04-9793-CCEBC8AC85C4}" id="{93063B48-E5DC-4038-AF19-0F807C631A67}">
    <text>Updated per IL TRM v9 p. 190.</text>
  </threadedComment>
  <threadedComment ref="H238" dT="2021-01-19T22:17:34.05" personId="{31D455A4-ED19-4D04-9793-CCEBC8AC85C4}" id="{88C813D3-EE21-41F8-926F-E5569EB525DA}">
    <text>Updated per IL TRM v9 p. 191.</text>
  </threadedComment>
  <threadedComment ref="G239" dT="2021-01-19T22:16:54.81" personId="{31D455A4-ED19-4D04-9793-CCEBC8AC85C4}" id="{F2E340F6-DBD8-4E31-9B92-21B8AF2F31A8}">
    <text>Updated per IL TRM v9 p. 190.</text>
  </threadedComment>
  <threadedComment ref="H239" dT="2021-01-19T22:17:34.05" personId="{31D455A4-ED19-4D04-9793-CCEBC8AC85C4}" id="{E847ECC0-A6E1-42E8-86C7-14382EE21DCD}">
    <text>Updated per IL TRM v9 p. 191.</text>
  </threadedComment>
  <threadedComment ref="G240" dT="2021-01-19T22:16:54.81" personId="{31D455A4-ED19-4D04-9793-CCEBC8AC85C4}" id="{66B467DC-AF9B-41F2-84DC-B312F0C6CD86}">
    <text>Updated per IL TRM v9 p. 190.</text>
  </threadedComment>
  <threadedComment ref="H240" dT="2021-01-19T22:17:34.05" personId="{31D455A4-ED19-4D04-9793-CCEBC8AC85C4}" id="{79197937-79F2-476E-96A6-D9726744C1D6}">
    <text>Updated per IL TRM v9 p. 191.</text>
  </threadedComment>
  <threadedComment ref="G241" dT="2021-01-19T22:16:54.81" personId="{31D455A4-ED19-4D04-9793-CCEBC8AC85C4}" id="{A31F9E72-37D5-4FF5-8901-6D165531C851}">
    <text>Updated per IL TRM v9 p. 190.</text>
  </threadedComment>
  <threadedComment ref="H241" dT="2021-01-19T22:17:34.05" personId="{31D455A4-ED19-4D04-9793-CCEBC8AC85C4}" id="{CBEF9231-048B-4A48-95EA-7AF982477015}">
    <text>Updated per IL TRM v9 p. 191.</text>
  </threadedComment>
  <threadedComment ref="G242" dT="2021-01-19T22:16:54.81" personId="{31D455A4-ED19-4D04-9793-CCEBC8AC85C4}" id="{A1D3084D-06EE-4870-BFE9-594BAAD94C91}">
    <text>Updated per IL TRM v9 p. 190.</text>
  </threadedComment>
  <threadedComment ref="H242" dT="2021-01-19T22:17:34.05" personId="{31D455A4-ED19-4D04-9793-CCEBC8AC85C4}" id="{649F60DB-475D-474C-8183-90C0B112C69D}">
    <text>Updated per IL TRM v9 p. 191.</text>
  </threadedComment>
  <threadedComment ref="G243" dT="2021-01-19T22:20:00.02" personId="{31D455A4-ED19-4D04-9793-CCEBC8AC85C4}" id="{15C7098B-38B1-4D2F-A2D7-AC243393A747}">
    <text>Updated per IL TRM v9 p. 193</text>
  </threadedComment>
  <threadedComment ref="H243" dT="2021-01-19T22:20:53.19" personId="{31D455A4-ED19-4D04-9793-CCEBC8AC85C4}" id="{CBAC58A9-D672-4EB2-83FA-113FAFF45EBD}">
    <text>Updated per IL TRM v9 p. 194</text>
  </threadedComment>
  <threadedComment ref="G244" dT="2021-01-19T22:20:00.02" personId="{31D455A4-ED19-4D04-9793-CCEBC8AC85C4}" id="{30220B58-9622-4D83-8FAA-96E75BE19073}">
    <text>Updated per IL TRM v9 p. 193</text>
  </threadedComment>
  <threadedComment ref="H244" dT="2021-01-19T22:20:53.19" personId="{31D455A4-ED19-4D04-9793-CCEBC8AC85C4}" id="{28DC0D47-1262-400B-9DAA-00EA4577FC32}">
    <text>Updated per IL TRM v9 p. 194</text>
  </threadedComment>
  <threadedComment ref="G245" dT="2021-01-19T22:20:00.02" personId="{31D455A4-ED19-4D04-9793-CCEBC8AC85C4}" id="{C5E76828-7EFD-4F24-86E8-2EF611C91378}">
    <text>Updated per IL TRM v9 p. 193</text>
  </threadedComment>
  <threadedComment ref="H245" dT="2021-01-19T22:20:53.19" personId="{31D455A4-ED19-4D04-9793-CCEBC8AC85C4}" id="{2EC9E6D2-504E-418B-9F09-E3B02D7763A6}">
    <text>Updated per IL TRM v9 p. 194</text>
  </threadedComment>
  <threadedComment ref="G246" dT="2021-01-19T22:20:00.02" personId="{31D455A4-ED19-4D04-9793-CCEBC8AC85C4}" id="{A7C28ABF-394F-4C5C-BCD6-B55043531F85}">
    <text>Updated per IL TRM v9 p. 193</text>
  </threadedComment>
  <threadedComment ref="H246" dT="2021-01-19T22:20:53.19" personId="{31D455A4-ED19-4D04-9793-CCEBC8AC85C4}" id="{DE89169E-8B7A-4672-92FF-090E9D08B1FD}">
    <text>Updated per IL TRM v9 p. 194</text>
  </threadedComment>
  <threadedComment ref="G247" dT="2021-01-19T22:20:00.02" personId="{31D455A4-ED19-4D04-9793-CCEBC8AC85C4}" id="{CE993401-0897-4907-9BE4-42D80200CCAC}">
    <text>Updated per IL TRM v9 p. 193</text>
  </threadedComment>
  <threadedComment ref="H247" dT="2021-01-19T22:20:53.19" personId="{31D455A4-ED19-4D04-9793-CCEBC8AC85C4}" id="{85C6CBF4-FB93-4E70-963C-98B6E782A732}">
    <text>Updated per IL TRM v9 p. 194</text>
  </threadedComment>
  <threadedComment ref="G248" dT="2021-01-19T22:20:00.02" personId="{31D455A4-ED19-4D04-9793-CCEBC8AC85C4}" id="{92888AD5-CBE8-47AB-8521-36AC7EA8B537}">
    <text>Updated per IL TRM v9 p. 193</text>
  </threadedComment>
  <threadedComment ref="H248" dT="2021-01-19T22:20:53.19" personId="{31D455A4-ED19-4D04-9793-CCEBC8AC85C4}" id="{EA96E9A9-D995-40F8-8EBF-E0774E4ED160}">
    <text>Updated per IL TRM v9 p. 194</text>
  </threadedComment>
  <threadedComment ref="G249" dT="2021-01-19T22:20:00.02" personId="{31D455A4-ED19-4D04-9793-CCEBC8AC85C4}" id="{A7F978B3-C5AF-465C-8E31-1C56837E9094}">
    <text>Updated per IL TRM v9 p. 193</text>
  </threadedComment>
  <threadedComment ref="H249" dT="2021-01-19T22:20:53.19" personId="{31D455A4-ED19-4D04-9793-CCEBC8AC85C4}" id="{26093471-8FE6-49EE-AC7A-A8F17A5A8806}">
    <text>Updated per IL TRM v9 p. 194</text>
  </threadedComment>
  <threadedComment ref="G250" dT="2021-01-19T22:20:00.02" personId="{31D455A4-ED19-4D04-9793-CCEBC8AC85C4}" id="{D56DB2DD-8CC2-4C73-94E0-8B02532714AA}">
    <text>Updated per IL TRM v9 p. 193</text>
  </threadedComment>
  <threadedComment ref="H250" dT="2021-01-19T22:20:53.19" personId="{31D455A4-ED19-4D04-9793-CCEBC8AC85C4}" id="{9BCFA350-629B-482D-B078-9E0686D9F3A1}">
    <text>Updated per IL TRM v9 p. 194</text>
  </threadedComment>
  <threadedComment ref="G251" dT="2021-01-19T22:20:00.02" personId="{31D455A4-ED19-4D04-9793-CCEBC8AC85C4}" id="{FD1F95C8-F4C1-4617-9DBF-EE0F60306182}">
    <text>Updated per IL TRM v9 p. 193</text>
  </threadedComment>
  <threadedComment ref="H251" dT="2021-01-19T22:20:53.19" personId="{31D455A4-ED19-4D04-9793-CCEBC8AC85C4}" id="{EBBBD795-A952-4708-9D77-76E045BEB0D2}">
    <text>Updated per IL TRM v9 p. 194</text>
  </threadedComment>
  <threadedComment ref="G252" dT="2021-01-19T22:20:00.02" personId="{31D455A4-ED19-4D04-9793-CCEBC8AC85C4}" id="{DF313A73-9BFE-43CF-8B3E-C4C00810612C}">
    <text>Updated per IL TRM v9 p. 193</text>
  </threadedComment>
  <threadedComment ref="H252" dT="2021-01-19T22:20:53.19" personId="{31D455A4-ED19-4D04-9793-CCEBC8AC85C4}" id="{5D19287A-658A-4BF1-B4B3-6ADA9C7B43C8}">
    <text>Updated per IL TRM v9 p. 194</text>
  </threadedComment>
</ThreadedComments>
</file>

<file path=xl/threadedComments/threadedComment6.xml><?xml version="1.0" encoding="utf-8"?>
<ThreadedComments xmlns="http://schemas.microsoft.com/office/spreadsheetml/2018/threadedcomments" xmlns:x="http://schemas.openxmlformats.org/spreadsheetml/2006/main">
  <threadedComment ref="G233" dT="2021-01-19T22:16:54.81" personId="{31D455A4-ED19-4D04-9793-CCEBC8AC85C4}" id="{E97D9FB9-2CFA-4624-A38C-A7BCF1B9FC2D}">
    <text>Updated per IL TRM v9 p. 190.</text>
  </threadedComment>
  <threadedComment ref="H233" dT="2021-01-19T22:17:34.05" personId="{31D455A4-ED19-4D04-9793-CCEBC8AC85C4}" id="{6EB8E98B-86D3-46AE-A8F2-73122ED77048}">
    <text>Updated per IL TRM v9 p. 191.</text>
  </threadedComment>
  <threadedComment ref="G234" dT="2021-01-19T22:16:54.81" personId="{31D455A4-ED19-4D04-9793-CCEBC8AC85C4}" id="{117AB9E3-467C-48E9-8AB4-E84FFBA4F105}">
    <text>Updated per IL TRM v9 p. 190.</text>
  </threadedComment>
  <threadedComment ref="H234" dT="2021-01-19T22:17:34.05" personId="{31D455A4-ED19-4D04-9793-CCEBC8AC85C4}" id="{68F8F003-83F3-4696-A893-05248D37C06D}">
    <text>Updated per IL TRM v9 p. 191.</text>
  </threadedComment>
  <threadedComment ref="G235" dT="2021-01-19T22:16:54.81" personId="{31D455A4-ED19-4D04-9793-CCEBC8AC85C4}" id="{3C5306F9-C4DD-4B8F-8109-0641CEB422E3}">
    <text>Updated per IL TRM v9 p. 190.</text>
  </threadedComment>
  <threadedComment ref="H235" dT="2021-01-19T22:17:34.05" personId="{31D455A4-ED19-4D04-9793-CCEBC8AC85C4}" id="{987F53D6-432C-4981-B124-3C4B2F39FE09}">
    <text>Updated per IL TRM v9 p. 191.</text>
  </threadedComment>
  <threadedComment ref="G236" dT="2021-01-19T22:16:54.81" personId="{31D455A4-ED19-4D04-9793-CCEBC8AC85C4}" id="{817E0F13-AE34-4D9F-923F-3A9E22E891DC}">
    <text>Updated per IL TRM v9 p. 190.</text>
  </threadedComment>
  <threadedComment ref="H236" dT="2021-01-19T22:17:34.05" personId="{31D455A4-ED19-4D04-9793-CCEBC8AC85C4}" id="{7C37ABA2-1545-4D38-ACF6-BEBEBD2F58BC}">
    <text>Updated per IL TRM v9 p. 191.</text>
  </threadedComment>
  <threadedComment ref="G237" dT="2021-01-19T22:16:54.81" personId="{31D455A4-ED19-4D04-9793-CCEBC8AC85C4}" id="{52700AF0-AA07-4110-9497-C4178C5375BC}">
    <text>Updated per IL TRM v9 p. 190.</text>
  </threadedComment>
  <threadedComment ref="H237" dT="2021-01-19T22:17:34.05" personId="{31D455A4-ED19-4D04-9793-CCEBC8AC85C4}" id="{377F7A96-BAEB-48BB-AD0B-4258858CDE23}">
    <text>Updated per IL TRM v9 p. 191.</text>
  </threadedComment>
  <threadedComment ref="G238" dT="2021-01-19T22:16:54.81" personId="{31D455A4-ED19-4D04-9793-CCEBC8AC85C4}" id="{4DAC70F9-7700-4F29-B358-BCBBC5DA2F69}">
    <text>Updated per IL TRM v9 p. 190.</text>
  </threadedComment>
  <threadedComment ref="H238" dT="2021-01-19T22:17:34.05" personId="{31D455A4-ED19-4D04-9793-CCEBC8AC85C4}" id="{D10D143D-9B9F-4482-8590-4D50C195C300}">
    <text>Updated per IL TRM v9 p. 191.</text>
  </threadedComment>
  <threadedComment ref="G239" dT="2021-01-19T22:16:54.81" personId="{31D455A4-ED19-4D04-9793-CCEBC8AC85C4}" id="{38FB467A-C770-4E7B-9688-0869C9C97CCC}">
    <text>Updated per IL TRM v9 p. 190.</text>
  </threadedComment>
  <threadedComment ref="H239" dT="2021-01-19T22:17:34.05" personId="{31D455A4-ED19-4D04-9793-CCEBC8AC85C4}" id="{841DE512-CA59-43B6-8FE9-7E94E185EC96}">
    <text>Updated per IL TRM v9 p. 191.</text>
  </threadedComment>
  <threadedComment ref="G240" dT="2021-01-19T22:16:54.81" personId="{31D455A4-ED19-4D04-9793-CCEBC8AC85C4}" id="{88A696D0-676E-4FAB-A138-E71CA78C0A0F}">
    <text>Updated per IL TRM v9 p. 190.</text>
  </threadedComment>
  <threadedComment ref="H240" dT="2021-01-19T22:17:34.05" personId="{31D455A4-ED19-4D04-9793-CCEBC8AC85C4}" id="{99DC2AD0-27D8-46E7-8877-B080AA134BCC}">
    <text>Updated per IL TRM v9 p. 191.</text>
  </threadedComment>
  <threadedComment ref="G241" dT="2021-01-19T22:16:54.81" personId="{31D455A4-ED19-4D04-9793-CCEBC8AC85C4}" id="{0B5E5D41-CE39-4A8E-BCDA-F904304A91AC}">
    <text>Updated per IL TRM v9 p. 190.</text>
  </threadedComment>
  <threadedComment ref="H241" dT="2021-01-19T22:17:34.05" personId="{31D455A4-ED19-4D04-9793-CCEBC8AC85C4}" id="{6AFF8106-AE94-4AA3-9872-DE9077F37836}">
    <text>Updated per IL TRM v9 p. 191.</text>
  </threadedComment>
  <threadedComment ref="G242" dT="2021-01-19T22:16:54.81" personId="{31D455A4-ED19-4D04-9793-CCEBC8AC85C4}" id="{0221875D-DE44-4B46-AA6A-3F8591EE58EE}">
    <text>Updated per IL TRM v9 p. 190.</text>
  </threadedComment>
  <threadedComment ref="H242" dT="2021-01-19T22:17:34.05" personId="{31D455A4-ED19-4D04-9793-CCEBC8AC85C4}" id="{AED019E1-78CA-4196-A0B1-0A7B13E5EE8C}">
    <text>Updated per IL TRM v9 p. 191.</text>
  </threadedComment>
  <threadedComment ref="G243" dT="2021-01-19T22:20:00.02" personId="{31D455A4-ED19-4D04-9793-CCEBC8AC85C4}" id="{62C1D732-619A-43A0-84C5-FDC14D1425A9}">
    <text>Updated per IL TRM v9 p. 193</text>
  </threadedComment>
  <threadedComment ref="H243" dT="2021-01-19T22:20:53.19" personId="{31D455A4-ED19-4D04-9793-CCEBC8AC85C4}" id="{B67A4392-1197-438C-9325-CDA89E05E7E4}">
    <text>Updated per IL TRM v9 p. 194</text>
  </threadedComment>
  <threadedComment ref="G244" dT="2021-01-19T22:20:00.02" personId="{31D455A4-ED19-4D04-9793-CCEBC8AC85C4}" id="{DA085E51-CB88-4EBC-81EA-EB43B79C0958}">
    <text>Updated per IL TRM v9 p. 193</text>
  </threadedComment>
  <threadedComment ref="H244" dT="2021-01-19T22:20:53.19" personId="{31D455A4-ED19-4D04-9793-CCEBC8AC85C4}" id="{F46F9A8B-142E-43EE-825F-C6B37DC8BE8B}">
    <text>Updated per IL TRM v9 p. 194</text>
  </threadedComment>
  <threadedComment ref="G245" dT="2021-01-19T22:20:00.02" personId="{31D455A4-ED19-4D04-9793-CCEBC8AC85C4}" id="{9329173B-F3A6-4DD1-925D-177D736C3B1F}">
    <text>Updated per IL TRM v9 p. 193</text>
  </threadedComment>
  <threadedComment ref="H245" dT="2021-01-19T22:20:53.19" personId="{31D455A4-ED19-4D04-9793-CCEBC8AC85C4}" id="{F2FC30B8-44D0-4EAB-891C-446179AE27AC}">
    <text>Updated per IL TRM v9 p. 194</text>
  </threadedComment>
  <threadedComment ref="G246" dT="2021-01-19T22:20:00.02" personId="{31D455A4-ED19-4D04-9793-CCEBC8AC85C4}" id="{C7118971-DE04-4BCA-A9C5-ED5850B7D24B}">
    <text>Updated per IL TRM v9 p. 193</text>
  </threadedComment>
  <threadedComment ref="H246" dT="2021-01-19T22:20:53.19" personId="{31D455A4-ED19-4D04-9793-CCEBC8AC85C4}" id="{CC3937D2-5029-4E2A-8F15-585C63B3EEC8}">
    <text>Updated per IL TRM v9 p. 194</text>
  </threadedComment>
  <threadedComment ref="G247" dT="2021-01-19T22:20:00.02" personId="{31D455A4-ED19-4D04-9793-CCEBC8AC85C4}" id="{AEBD33C2-0BF2-43C3-A018-93F32C95ECAB}">
    <text>Updated per IL TRM v9 p. 193</text>
  </threadedComment>
  <threadedComment ref="H247" dT="2021-01-19T22:20:53.19" personId="{31D455A4-ED19-4D04-9793-CCEBC8AC85C4}" id="{8DAF87EC-E75C-4007-B2E1-05009308DB67}">
    <text>Updated per IL TRM v9 p. 194</text>
  </threadedComment>
  <threadedComment ref="G248" dT="2021-01-19T22:20:00.02" personId="{31D455A4-ED19-4D04-9793-CCEBC8AC85C4}" id="{F080D6F0-EBA8-4C09-9877-F9D853CDB9DC}">
    <text>Updated per IL TRM v9 p. 193</text>
  </threadedComment>
  <threadedComment ref="H248" dT="2021-01-19T22:20:53.19" personId="{31D455A4-ED19-4D04-9793-CCEBC8AC85C4}" id="{DEB31A24-9026-4299-A298-939938D6D899}">
    <text>Updated per IL TRM v9 p. 194</text>
  </threadedComment>
  <threadedComment ref="G249" dT="2021-01-19T22:20:00.02" personId="{31D455A4-ED19-4D04-9793-CCEBC8AC85C4}" id="{50B5B6C1-870A-4647-81CC-15051C626A24}">
    <text>Updated per IL TRM v9 p. 193</text>
  </threadedComment>
  <threadedComment ref="H249" dT="2021-01-19T22:20:53.19" personId="{31D455A4-ED19-4D04-9793-CCEBC8AC85C4}" id="{628983BE-D0E5-4CDF-AB7A-1AE8511957DE}">
    <text>Updated per IL TRM v9 p. 194</text>
  </threadedComment>
  <threadedComment ref="G250" dT="2021-01-19T22:20:00.02" personId="{31D455A4-ED19-4D04-9793-CCEBC8AC85C4}" id="{1704F098-5817-4455-8750-93FAE19E7582}">
    <text>Updated per IL TRM v9 p. 193</text>
  </threadedComment>
  <threadedComment ref="H250" dT="2021-01-19T22:20:53.19" personId="{31D455A4-ED19-4D04-9793-CCEBC8AC85C4}" id="{9A0E25A3-9FFA-4A2F-A301-192804C09BB3}">
    <text>Updated per IL TRM v9 p. 194</text>
  </threadedComment>
  <threadedComment ref="G251" dT="2021-01-19T22:20:00.02" personId="{31D455A4-ED19-4D04-9793-CCEBC8AC85C4}" id="{31BD298A-3031-4ECB-9DF6-DADBDFD88DC1}">
    <text>Updated per IL TRM v9 p. 193</text>
  </threadedComment>
  <threadedComment ref="H251" dT="2021-01-19T22:20:53.19" personId="{31D455A4-ED19-4D04-9793-CCEBC8AC85C4}" id="{A89C40CD-DD5F-4EF0-8CE9-72E375635040}">
    <text>Updated per IL TRM v9 p. 194</text>
  </threadedComment>
  <threadedComment ref="G252" dT="2021-01-19T22:20:00.02" personId="{31D455A4-ED19-4D04-9793-CCEBC8AC85C4}" id="{9C7BE626-B3FF-4AFA-94DE-AD70E37B3A07}">
    <text>Updated per IL TRM v9 p. 193</text>
  </threadedComment>
  <threadedComment ref="H252" dT="2021-01-19T22:20:53.19" personId="{31D455A4-ED19-4D04-9793-CCEBC8AC85C4}" id="{49B76E5E-075D-4972-BA71-BE7C87258FE5}">
    <text>Updated per IL TRM v9 p. 194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2.bin"/><Relationship Id="rId4" Type="http://schemas.microsoft.com/office/2017/10/relationships/threadedComment" Target="../threadedComments/threadedComment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xml"/><Relationship Id="rId1" Type="http://schemas.openxmlformats.org/officeDocument/2006/relationships/printerSettings" Target="../printerSettings/printerSettings52.bin"/><Relationship Id="rId4" Type="http://schemas.openxmlformats.org/officeDocument/2006/relationships/comments" Target="../comments3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xml"/><Relationship Id="rId1" Type="http://schemas.openxmlformats.org/officeDocument/2006/relationships/printerSettings" Target="../printerSettings/printerSettings53.bin"/><Relationship Id="rId4" Type="http://schemas.openxmlformats.org/officeDocument/2006/relationships/comments" Target="../comments3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xml"/><Relationship Id="rId1" Type="http://schemas.openxmlformats.org/officeDocument/2006/relationships/printerSettings" Target="../printerSettings/printerSettings54.bin"/><Relationship Id="rId4" Type="http://schemas.openxmlformats.org/officeDocument/2006/relationships/comments" Target="../comments3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7.xml"/><Relationship Id="rId1" Type="http://schemas.openxmlformats.org/officeDocument/2006/relationships/printerSettings" Target="../printerSettings/printerSettings55.bin"/><Relationship Id="rId4" Type="http://schemas.openxmlformats.org/officeDocument/2006/relationships/comments" Target="../comments3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8707-C9C1-41B9-B5C3-B68F7CA52BD2}">
  <sheetPr>
    <tabColor rgb="FFB2B2B2"/>
  </sheetPr>
  <dimension ref="A1:R184"/>
  <sheetViews>
    <sheetView showGridLines="0" zoomScale="70" zoomScaleNormal="70" workbookViewId="0"/>
  </sheetViews>
  <sheetFormatPr defaultColWidth="9.1796875" defaultRowHeight="14.5" x14ac:dyDescent="0.35"/>
  <cols>
    <col min="1" max="1" width="9.1796875" style="600"/>
    <col min="2" max="2" width="21.453125" style="600" customWidth="1"/>
    <col min="3" max="3" width="24.81640625" style="600" bestFit="1" customWidth="1"/>
    <col min="4" max="4" width="14.1796875" style="600" customWidth="1"/>
    <col min="5" max="5" width="67.1796875" style="600" customWidth="1"/>
    <col min="6" max="7" width="14.26953125" style="600" customWidth="1"/>
    <col min="8" max="8" width="85.453125" style="600" customWidth="1"/>
    <col min="9" max="9" width="35.1796875" style="600" bestFit="1" customWidth="1"/>
    <col min="10" max="15" width="14.26953125" style="600" customWidth="1"/>
    <col min="16" max="16" width="42.81640625" style="600" customWidth="1"/>
    <col min="17" max="17" width="15.81640625" style="600" customWidth="1"/>
    <col min="18" max="18" width="15.81640625" style="600" bestFit="1" customWidth="1"/>
    <col min="19" max="16384" width="9.1796875" style="600"/>
  </cols>
  <sheetData>
    <row r="1" spans="1:18" x14ac:dyDescent="0.35">
      <c r="A1" s="279" t="str">
        <f ca="1">IFERROR(VALUE(MID(CELL("filename",$A$1),FIND("]",CELL("filename",$A$1))+1,255)),MID(CELL("filename",$A$1),FIND("]",CELL("filename",$A$1))+1,255))</f>
        <v>v8 Revisions</v>
      </c>
    </row>
    <row r="2" spans="1:18" x14ac:dyDescent="0.35">
      <c r="C2" s="2670" t="s">
        <v>3550</v>
      </c>
    </row>
    <row r="3" spans="1:18" x14ac:dyDescent="0.35">
      <c r="L3" s="2795" t="s">
        <v>4321</v>
      </c>
      <c r="M3" s="599">
        <f>COUNTIFS(M$7:M$184,TRUE)</f>
        <v>9</v>
      </c>
      <c r="N3" s="599">
        <f>COUNTIFS(N$7:N$184,TRUE)</f>
        <v>14</v>
      </c>
    </row>
    <row r="4" spans="1:18" x14ac:dyDescent="0.35">
      <c r="L4" s="2795" t="s">
        <v>3889</v>
      </c>
      <c r="M4" s="599">
        <f>COUNTIFS(M$7:M$184,TRUE,$O$7:$O$184,"")</f>
        <v>0</v>
      </c>
      <c r="N4" s="599">
        <f>COUNTIFS(N$7:N$184,TRUE,$O$7:$O$184,"")</f>
        <v>0</v>
      </c>
    </row>
    <row r="5" spans="1:18" x14ac:dyDescent="0.35">
      <c r="B5" s="279" t="s">
        <v>3551</v>
      </c>
    </row>
    <row r="6" spans="1:18" ht="75" customHeight="1" x14ac:dyDescent="0.35">
      <c r="B6" s="2671" t="s">
        <v>441</v>
      </c>
      <c r="C6" s="2671" t="s">
        <v>871</v>
      </c>
      <c r="D6" s="2672" t="s">
        <v>3552</v>
      </c>
      <c r="E6" s="2671" t="s">
        <v>1370</v>
      </c>
      <c r="F6" s="2671" t="s">
        <v>3397</v>
      </c>
      <c r="G6" s="2671" t="s">
        <v>3398</v>
      </c>
      <c r="H6" s="2671" t="s">
        <v>3399</v>
      </c>
      <c r="I6" s="2671" t="s">
        <v>3400</v>
      </c>
      <c r="J6" s="2672" t="s">
        <v>3553</v>
      </c>
      <c r="K6" s="2672" t="s">
        <v>3554</v>
      </c>
      <c r="L6" s="2672" t="s">
        <v>3555</v>
      </c>
      <c r="M6" s="2672" t="s">
        <v>3888</v>
      </c>
      <c r="N6" s="2672" t="s">
        <v>3891</v>
      </c>
      <c r="O6" s="2672" t="s">
        <v>3887</v>
      </c>
      <c r="P6" s="2672" t="s">
        <v>3890</v>
      </c>
      <c r="Q6" s="2672" t="s">
        <v>3895</v>
      </c>
      <c r="R6" s="2672" t="s">
        <v>3894</v>
      </c>
    </row>
    <row r="7" spans="1:18" x14ac:dyDescent="0.35">
      <c r="B7" s="2673" t="s">
        <v>3401</v>
      </c>
      <c r="C7" s="2673" t="s">
        <v>820</v>
      </c>
      <c r="D7" s="2674" t="s">
        <v>820</v>
      </c>
      <c r="E7" s="2673" t="s">
        <v>820</v>
      </c>
      <c r="F7" s="2673" t="s">
        <v>820</v>
      </c>
      <c r="G7" s="2673" t="s">
        <v>3402</v>
      </c>
      <c r="H7" s="2673" t="s">
        <v>3556</v>
      </c>
      <c r="I7" s="2673" t="s">
        <v>820</v>
      </c>
      <c r="J7" s="599" t="b">
        <f>I7&lt;&gt;"N/A"</f>
        <v>0</v>
      </c>
      <c r="K7" s="599" t="b">
        <f t="shared" ref="K7:K38" si="0">COUNTIFS(D:D,D7,J:J,TRUE)&gt;0</f>
        <v>0</v>
      </c>
      <c r="L7" s="599" t="str">
        <f>IF(D7="n/a","n/a",ISNUMBER(MATCH(D7,'Measure Level Adjustments Tab'!K:K,0)))</f>
        <v>n/a</v>
      </c>
      <c r="M7" s="599" t="b">
        <f>AND(G7="Errata",J7,L7)</f>
        <v>0</v>
      </c>
      <c r="N7" s="599" t="b">
        <f>AND(G7="Revision",J7,L7)</f>
        <v>0</v>
      </c>
      <c r="O7" s="599" t="s">
        <v>304</v>
      </c>
      <c r="P7" s="599" t="s">
        <v>304</v>
      </c>
      <c r="Q7" s="599"/>
      <c r="R7" s="599" t="str">
        <f t="shared" ref="R7:R56" si="1">IF(Q7="","",HYPERLINK("#'"&amp;Q7,"Go To Update"))</f>
        <v/>
      </c>
    </row>
    <row r="8" spans="1:18" x14ac:dyDescent="0.35">
      <c r="B8" s="2673" t="s">
        <v>3401</v>
      </c>
      <c r="C8" s="2673" t="s">
        <v>820</v>
      </c>
      <c r="D8" s="2674" t="s">
        <v>820</v>
      </c>
      <c r="E8" s="2673" t="s">
        <v>820</v>
      </c>
      <c r="F8" s="2673" t="s">
        <v>820</v>
      </c>
      <c r="G8" s="2673" t="s">
        <v>3402</v>
      </c>
      <c r="H8" s="2673" t="s">
        <v>3557</v>
      </c>
      <c r="I8" s="2673" t="s">
        <v>820</v>
      </c>
      <c r="J8" s="599" t="b">
        <f t="shared" ref="J8:J71" si="2">I8&lt;&gt;"N/A"</f>
        <v>0</v>
      </c>
      <c r="K8" s="599" t="b">
        <f t="shared" si="0"/>
        <v>0</v>
      </c>
      <c r="L8" s="599" t="str">
        <f>IF(D8="n/a","n/a",ISNUMBER(MATCH(D8,'Measure Level Adjustments Tab'!K:K,0)))</f>
        <v>n/a</v>
      </c>
      <c r="M8" s="599" t="b">
        <f t="shared" ref="M8:M71" si="3">AND(G8="Errata",J8,L8)</f>
        <v>0</v>
      </c>
      <c r="N8" s="599" t="b">
        <f t="shared" ref="N8:N71" si="4">AND(G8="Revision",J8,L8)</f>
        <v>0</v>
      </c>
      <c r="O8" s="599" t="s">
        <v>304</v>
      </c>
      <c r="P8" s="599" t="s">
        <v>304</v>
      </c>
      <c r="Q8" s="599"/>
      <c r="R8" s="599" t="str">
        <f t="shared" si="1"/>
        <v/>
      </c>
    </row>
    <row r="9" spans="1:18" x14ac:dyDescent="0.35">
      <c r="B9" s="2673" t="s">
        <v>3401</v>
      </c>
      <c r="C9" s="2673" t="s">
        <v>820</v>
      </c>
      <c r="D9" s="2674" t="s">
        <v>820</v>
      </c>
      <c r="E9" s="2673" t="s">
        <v>820</v>
      </c>
      <c r="F9" s="2673" t="s">
        <v>820</v>
      </c>
      <c r="G9" s="2673" t="s">
        <v>3402</v>
      </c>
      <c r="H9" s="2673" t="s">
        <v>3558</v>
      </c>
      <c r="I9" s="2673" t="s">
        <v>820</v>
      </c>
      <c r="J9" s="599" t="b">
        <f t="shared" si="2"/>
        <v>0</v>
      </c>
      <c r="K9" s="599" t="b">
        <f t="shared" si="0"/>
        <v>0</v>
      </c>
      <c r="L9" s="599" t="str">
        <f>IF(D9="n/a","n/a",ISNUMBER(MATCH(D9,'Measure Level Adjustments Tab'!K:K,0)))</f>
        <v>n/a</v>
      </c>
      <c r="M9" s="599" t="b">
        <f t="shared" si="3"/>
        <v>0</v>
      </c>
      <c r="N9" s="599" t="b">
        <f t="shared" si="4"/>
        <v>0</v>
      </c>
      <c r="O9" s="599" t="s">
        <v>304</v>
      </c>
      <c r="P9" s="599" t="s">
        <v>304</v>
      </c>
      <c r="Q9" s="599"/>
      <c r="R9" s="599" t="str">
        <f t="shared" si="1"/>
        <v/>
      </c>
    </row>
    <row r="10" spans="1:18" x14ac:dyDescent="0.35">
      <c r="B10" s="2673" t="s">
        <v>3401</v>
      </c>
      <c r="C10" s="2673" t="s">
        <v>820</v>
      </c>
      <c r="D10" s="2674" t="s">
        <v>820</v>
      </c>
      <c r="E10" s="2673" t="s">
        <v>820</v>
      </c>
      <c r="F10" s="2673" t="s">
        <v>820</v>
      </c>
      <c r="G10" s="2673" t="s">
        <v>3402</v>
      </c>
      <c r="H10" s="2673" t="s">
        <v>3559</v>
      </c>
      <c r="I10" s="2673" t="s">
        <v>820</v>
      </c>
      <c r="J10" s="599" t="b">
        <f t="shared" si="2"/>
        <v>0</v>
      </c>
      <c r="K10" s="599" t="b">
        <f t="shared" si="0"/>
        <v>0</v>
      </c>
      <c r="L10" s="599" t="str">
        <f>IF(D10="n/a","n/a",ISNUMBER(MATCH(D10,'Measure Level Adjustments Tab'!K:K,0)))</f>
        <v>n/a</v>
      </c>
      <c r="M10" s="599" t="b">
        <f t="shared" si="3"/>
        <v>0</v>
      </c>
      <c r="N10" s="599" t="b">
        <f t="shared" si="4"/>
        <v>0</v>
      </c>
      <c r="O10" s="599" t="s">
        <v>304</v>
      </c>
      <c r="P10" s="599" t="s">
        <v>304</v>
      </c>
      <c r="Q10" s="599"/>
      <c r="R10" s="599" t="str">
        <f t="shared" si="1"/>
        <v/>
      </c>
    </row>
    <row r="11" spans="1:18" x14ac:dyDescent="0.35">
      <c r="B11" s="2673" t="s">
        <v>3401</v>
      </c>
      <c r="C11" s="2673" t="s">
        <v>820</v>
      </c>
      <c r="D11" s="2674" t="s">
        <v>820</v>
      </c>
      <c r="E11" s="2673" t="s">
        <v>820</v>
      </c>
      <c r="F11" s="2673" t="s">
        <v>820</v>
      </c>
      <c r="G11" s="2673" t="s">
        <v>3402</v>
      </c>
      <c r="H11" s="2673" t="s">
        <v>3560</v>
      </c>
      <c r="I11" s="2673" t="s">
        <v>820</v>
      </c>
      <c r="J11" s="599" t="b">
        <f t="shared" si="2"/>
        <v>0</v>
      </c>
      <c r="K11" s="599" t="b">
        <f t="shared" si="0"/>
        <v>0</v>
      </c>
      <c r="L11" s="599" t="str">
        <f>IF(D11="n/a","n/a",ISNUMBER(MATCH(D11,'Measure Level Adjustments Tab'!K:K,0)))</f>
        <v>n/a</v>
      </c>
      <c r="M11" s="599" t="b">
        <f t="shared" si="3"/>
        <v>0</v>
      </c>
      <c r="N11" s="599" t="b">
        <f t="shared" si="4"/>
        <v>0</v>
      </c>
      <c r="O11" s="599" t="s">
        <v>304</v>
      </c>
      <c r="P11" s="599" t="s">
        <v>304</v>
      </c>
      <c r="Q11" s="599"/>
      <c r="R11" s="599" t="str">
        <f t="shared" si="1"/>
        <v/>
      </c>
    </row>
    <row r="12" spans="1:18" x14ac:dyDescent="0.35">
      <c r="B12" s="2673" t="s">
        <v>3401</v>
      </c>
      <c r="C12" s="2673" t="s">
        <v>820</v>
      </c>
      <c r="D12" s="2674" t="s">
        <v>820</v>
      </c>
      <c r="E12" s="2673" t="s">
        <v>820</v>
      </c>
      <c r="F12" s="2673" t="s">
        <v>820</v>
      </c>
      <c r="G12" s="2673" t="s">
        <v>3402</v>
      </c>
      <c r="H12" s="2673" t="s">
        <v>3896</v>
      </c>
      <c r="I12" s="2673" t="s">
        <v>820</v>
      </c>
      <c r="J12" s="599" t="b">
        <f t="shared" ref="J12" si="5">I12&lt;&gt;"N/A"</f>
        <v>0</v>
      </c>
      <c r="K12" s="599" t="b">
        <f t="shared" si="0"/>
        <v>0</v>
      </c>
      <c r="L12" s="599" t="str">
        <f>IF(D12="n/a","n/a",ISNUMBER(MATCH(D12,'Measure Level Adjustments Tab'!K:K,0)))</f>
        <v>n/a</v>
      </c>
      <c r="M12" s="599" t="b">
        <f t="shared" ref="M12" si="6">AND(G12="Errata",J12,L12)</f>
        <v>0</v>
      </c>
      <c r="N12" s="599" t="b">
        <f t="shared" ref="N12" si="7">AND(G12="Revision",J12,L12)</f>
        <v>0</v>
      </c>
      <c r="O12" s="599" t="s">
        <v>304</v>
      </c>
      <c r="P12" s="599" t="s">
        <v>304</v>
      </c>
      <c r="Q12" s="599"/>
      <c r="R12" s="599" t="str">
        <f t="shared" ref="R12" si="8">IF(Q12="","",HYPERLINK("#'"&amp;Q12,"Go To Update"))</f>
        <v/>
      </c>
    </row>
    <row r="13" spans="1:18" x14ac:dyDescent="0.35">
      <c r="B13" s="2673" t="s">
        <v>3401</v>
      </c>
      <c r="C13" s="2673" t="s">
        <v>820</v>
      </c>
      <c r="D13" s="2674" t="s">
        <v>820</v>
      </c>
      <c r="E13" s="2673" t="s">
        <v>820</v>
      </c>
      <c r="F13" s="2673" t="s">
        <v>820</v>
      </c>
      <c r="G13" s="2673" t="s">
        <v>3402</v>
      </c>
      <c r="H13" s="2673" t="s">
        <v>3561</v>
      </c>
      <c r="I13" s="2673" t="s">
        <v>820</v>
      </c>
      <c r="J13" s="599" t="b">
        <f t="shared" si="2"/>
        <v>0</v>
      </c>
      <c r="K13" s="599" t="b">
        <f t="shared" si="0"/>
        <v>0</v>
      </c>
      <c r="L13" s="599" t="str">
        <f>IF(D13="n/a","n/a",ISNUMBER(MATCH(D13,'Measure Level Adjustments Tab'!K:K,0)))</f>
        <v>n/a</v>
      </c>
      <c r="M13" s="599" t="b">
        <f t="shared" si="3"/>
        <v>0</v>
      </c>
      <c r="N13" s="599" t="b">
        <f t="shared" si="4"/>
        <v>0</v>
      </c>
      <c r="O13" s="599" t="s">
        <v>304</v>
      </c>
      <c r="P13" s="599" t="s">
        <v>304</v>
      </c>
      <c r="Q13" s="599"/>
      <c r="R13" s="599" t="str">
        <f t="shared" si="1"/>
        <v/>
      </c>
    </row>
    <row r="14" spans="1:18" x14ac:dyDescent="0.35">
      <c r="B14" s="2673" t="s">
        <v>3405</v>
      </c>
      <c r="C14" s="2673" t="s">
        <v>3562</v>
      </c>
      <c r="D14" s="2674" t="s">
        <v>3201</v>
      </c>
      <c r="E14" s="2673" t="s">
        <v>3406</v>
      </c>
      <c r="F14" s="2673" t="s">
        <v>3563</v>
      </c>
      <c r="G14" s="2673" t="s">
        <v>3403</v>
      </c>
      <c r="H14" s="2673" t="s">
        <v>3564</v>
      </c>
      <c r="I14" s="2673" t="s">
        <v>3565</v>
      </c>
      <c r="J14" s="599" t="b">
        <f t="shared" si="2"/>
        <v>1</v>
      </c>
      <c r="K14" s="599" t="b">
        <f t="shared" si="0"/>
        <v>1</v>
      </c>
      <c r="L14" s="599" t="b">
        <f>IF(D14="n/a","n/a",ISNUMBER(MATCH(D14,'Measure Level Adjustments Tab'!K:K,0)))</f>
        <v>0</v>
      </c>
      <c r="M14" s="599" t="b">
        <f t="shared" si="3"/>
        <v>0</v>
      </c>
      <c r="N14" s="599" t="b">
        <f t="shared" si="4"/>
        <v>0</v>
      </c>
      <c r="O14" s="599" t="s">
        <v>304</v>
      </c>
      <c r="P14" s="599" t="s">
        <v>304</v>
      </c>
      <c r="Q14" s="599"/>
      <c r="R14" s="599" t="str">
        <f t="shared" si="1"/>
        <v/>
      </c>
    </row>
    <row r="15" spans="1:18" x14ac:dyDescent="0.35">
      <c r="B15" s="2673" t="s">
        <v>3405</v>
      </c>
      <c r="C15" s="2673" t="s">
        <v>3562</v>
      </c>
      <c r="D15" s="2674" t="s">
        <v>3566</v>
      </c>
      <c r="E15" s="2673" t="s">
        <v>3567</v>
      </c>
      <c r="F15" s="2673" t="s">
        <v>3568</v>
      </c>
      <c r="G15" s="2673" t="s">
        <v>2285</v>
      </c>
      <c r="H15" s="2673" t="s">
        <v>3474</v>
      </c>
      <c r="I15" s="2673" t="s">
        <v>820</v>
      </c>
      <c r="J15" s="599" t="b">
        <f t="shared" si="2"/>
        <v>0</v>
      </c>
      <c r="K15" s="599" t="b">
        <f t="shared" si="0"/>
        <v>0</v>
      </c>
      <c r="L15" s="599" t="b">
        <f>IF(D15="n/a","n/a",ISNUMBER(MATCH(D15,'Measure Level Adjustments Tab'!K:K,0)))</f>
        <v>0</v>
      </c>
      <c r="M15" s="599" t="b">
        <f t="shared" si="3"/>
        <v>0</v>
      </c>
      <c r="N15" s="599" t="b">
        <f t="shared" si="4"/>
        <v>0</v>
      </c>
      <c r="O15" s="599" t="s">
        <v>304</v>
      </c>
      <c r="P15" s="599" t="s">
        <v>304</v>
      </c>
      <c r="Q15" s="599"/>
      <c r="R15" s="599" t="str">
        <f t="shared" si="1"/>
        <v/>
      </c>
    </row>
    <row r="16" spans="1:18" x14ac:dyDescent="0.35">
      <c r="B16" s="2673" t="s">
        <v>3405</v>
      </c>
      <c r="C16" s="2673" t="s">
        <v>3562</v>
      </c>
      <c r="D16" s="2674" t="s">
        <v>3569</v>
      </c>
      <c r="E16" s="2673" t="s">
        <v>3570</v>
      </c>
      <c r="F16" s="2673" t="s">
        <v>3571</v>
      </c>
      <c r="G16" s="2673" t="s">
        <v>2285</v>
      </c>
      <c r="H16" s="2673" t="s">
        <v>3474</v>
      </c>
      <c r="I16" s="2673" t="s">
        <v>820</v>
      </c>
      <c r="J16" s="599" t="b">
        <f t="shared" si="2"/>
        <v>0</v>
      </c>
      <c r="K16" s="599" t="b">
        <f t="shared" si="0"/>
        <v>0</v>
      </c>
      <c r="L16" s="599" t="b">
        <f>IF(D16="n/a","n/a",ISNUMBER(MATCH(D16,'Measure Level Adjustments Tab'!K:K,0)))</f>
        <v>0</v>
      </c>
      <c r="M16" s="599" t="b">
        <f t="shared" si="3"/>
        <v>0</v>
      </c>
      <c r="N16" s="599" t="b">
        <f t="shared" si="4"/>
        <v>0</v>
      </c>
      <c r="O16" s="599" t="s">
        <v>304</v>
      </c>
      <c r="P16" s="599" t="s">
        <v>304</v>
      </c>
      <c r="Q16" s="599"/>
      <c r="R16" s="599" t="str">
        <f t="shared" si="1"/>
        <v/>
      </c>
    </row>
    <row r="17" spans="2:18" x14ac:dyDescent="0.35">
      <c r="B17" s="2673" t="s">
        <v>3405</v>
      </c>
      <c r="C17" s="2673" t="s">
        <v>3562</v>
      </c>
      <c r="D17" s="2674" t="s">
        <v>3572</v>
      </c>
      <c r="E17" s="2673" t="s">
        <v>3573</v>
      </c>
      <c r="F17" s="2673" t="s">
        <v>3574</v>
      </c>
      <c r="G17" s="2673" t="s">
        <v>2285</v>
      </c>
      <c r="H17" s="2673" t="s">
        <v>3474</v>
      </c>
      <c r="I17" s="2673" t="s">
        <v>820</v>
      </c>
      <c r="J17" s="599" t="b">
        <f t="shared" si="2"/>
        <v>0</v>
      </c>
      <c r="K17" s="599" t="b">
        <f t="shared" si="0"/>
        <v>0</v>
      </c>
      <c r="L17" s="599" t="b">
        <f>IF(D17="n/a","n/a",ISNUMBER(MATCH(D17,'Measure Level Adjustments Tab'!K:K,0)))</f>
        <v>0</v>
      </c>
      <c r="M17" s="599" t="b">
        <f t="shared" si="3"/>
        <v>0</v>
      </c>
      <c r="N17" s="599" t="b">
        <f t="shared" si="4"/>
        <v>0</v>
      </c>
      <c r="O17" s="599" t="s">
        <v>304</v>
      </c>
      <c r="P17" s="599" t="s">
        <v>304</v>
      </c>
      <c r="Q17" s="599"/>
      <c r="R17" s="599" t="str">
        <f t="shared" si="1"/>
        <v/>
      </c>
    </row>
    <row r="18" spans="2:18" x14ac:dyDescent="0.35">
      <c r="B18" s="2673" t="s">
        <v>3405</v>
      </c>
      <c r="C18" s="2673" t="s">
        <v>3562</v>
      </c>
      <c r="D18" s="2674" t="s">
        <v>3575</v>
      </c>
      <c r="E18" s="2673" t="s">
        <v>3576</v>
      </c>
      <c r="F18" s="2673" t="s">
        <v>3577</v>
      </c>
      <c r="G18" s="2673" t="s">
        <v>2285</v>
      </c>
      <c r="H18" s="2673" t="s">
        <v>3474</v>
      </c>
      <c r="I18" s="2673" t="s">
        <v>820</v>
      </c>
      <c r="J18" s="599" t="b">
        <f t="shared" si="2"/>
        <v>0</v>
      </c>
      <c r="K18" s="599" t="b">
        <f t="shared" si="0"/>
        <v>0</v>
      </c>
      <c r="L18" s="599" t="b">
        <f>IF(D18="n/a","n/a",ISNUMBER(MATCH(D18,'Measure Level Adjustments Tab'!K:K,0)))</f>
        <v>0</v>
      </c>
      <c r="M18" s="599" t="b">
        <f t="shared" si="3"/>
        <v>0</v>
      </c>
      <c r="N18" s="599" t="b">
        <f t="shared" si="4"/>
        <v>0</v>
      </c>
      <c r="O18" s="599" t="s">
        <v>304</v>
      </c>
      <c r="P18" s="599" t="s">
        <v>304</v>
      </c>
      <c r="Q18" s="599"/>
      <c r="R18" s="599" t="str">
        <f t="shared" si="1"/>
        <v/>
      </c>
    </row>
    <row r="19" spans="2:18" x14ac:dyDescent="0.35">
      <c r="B19" s="2673" t="s">
        <v>3405</v>
      </c>
      <c r="C19" s="2673" t="s">
        <v>3562</v>
      </c>
      <c r="D19" s="2674" t="s">
        <v>3578</v>
      </c>
      <c r="E19" s="2673" t="s">
        <v>3579</v>
      </c>
      <c r="F19" s="2673" t="s">
        <v>3580</v>
      </c>
      <c r="G19" s="2673" t="s">
        <v>2285</v>
      </c>
      <c r="H19" s="2673" t="s">
        <v>3474</v>
      </c>
      <c r="I19" s="2673" t="s">
        <v>820</v>
      </c>
      <c r="J19" s="599" t="b">
        <f t="shared" si="2"/>
        <v>0</v>
      </c>
      <c r="K19" s="599" t="b">
        <f t="shared" si="0"/>
        <v>0</v>
      </c>
      <c r="L19" s="599" t="b">
        <f>IF(D19="n/a","n/a",ISNUMBER(MATCH(D19,'Measure Level Adjustments Tab'!K:K,0)))</f>
        <v>0</v>
      </c>
      <c r="M19" s="599" t="b">
        <f t="shared" si="3"/>
        <v>0</v>
      </c>
      <c r="N19" s="599" t="b">
        <f t="shared" si="4"/>
        <v>0</v>
      </c>
      <c r="O19" s="599" t="s">
        <v>304</v>
      </c>
      <c r="P19" s="599" t="s">
        <v>304</v>
      </c>
      <c r="Q19" s="599"/>
      <c r="R19" s="599" t="str">
        <f t="shared" si="1"/>
        <v/>
      </c>
    </row>
    <row r="20" spans="2:18" x14ac:dyDescent="0.35">
      <c r="B20" s="2673" t="s">
        <v>3405</v>
      </c>
      <c r="C20" s="2673" t="s">
        <v>3562</v>
      </c>
      <c r="D20" s="2674" t="s">
        <v>3581</v>
      </c>
      <c r="E20" s="2673" t="s">
        <v>3582</v>
      </c>
      <c r="F20" s="2673" t="s">
        <v>3583</v>
      </c>
      <c r="G20" s="2673" t="s">
        <v>2285</v>
      </c>
      <c r="H20" s="2673" t="s">
        <v>3474</v>
      </c>
      <c r="I20" s="2673" t="s">
        <v>820</v>
      </c>
      <c r="J20" s="599" t="b">
        <f t="shared" si="2"/>
        <v>0</v>
      </c>
      <c r="K20" s="599" t="b">
        <f t="shared" si="0"/>
        <v>0</v>
      </c>
      <c r="L20" s="599" t="b">
        <f>IF(D20="n/a","n/a",ISNUMBER(MATCH(D20,'Measure Level Adjustments Tab'!K:K,0)))</f>
        <v>0</v>
      </c>
      <c r="M20" s="599" t="b">
        <f t="shared" si="3"/>
        <v>0</v>
      </c>
      <c r="N20" s="599" t="b">
        <f t="shared" si="4"/>
        <v>0</v>
      </c>
      <c r="O20" s="599" t="s">
        <v>304</v>
      </c>
      <c r="P20" s="599" t="s">
        <v>304</v>
      </c>
      <c r="Q20" s="599"/>
      <c r="R20" s="599" t="str">
        <f t="shared" si="1"/>
        <v/>
      </c>
    </row>
    <row r="21" spans="2:18" x14ac:dyDescent="0.35">
      <c r="B21" s="2673" t="s">
        <v>3405</v>
      </c>
      <c r="C21" s="2673" t="s">
        <v>3562</v>
      </c>
      <c r="D21" s="2674" t="s">
        <v>3584</v>
      </c>
      <c r="E21" s="2673" t="s">
        <v>3585</v>
      </c>
      <c r="F21" s="2673" t="s">
        <v>3586</v>
      </c>
      <c r="G21" s="2673" t="s">
        <v>2285</v>
      </c>
      <c r="H21" s="2673" t="s">
        <v>3474</v>
      </c>
      <c r="I21" s="2673" t="s">
        <v>820</v>
      </c>
      <c r="J21" s="599" t="b">
        <f t="shared" si="2"/>
        <v>0</v>
      </c>
      <c r="K21" s="599" t="b">
        <f t="shared" si="0"/>
        <v>0</v>
      </c>
      <c r="L21" s="599" t="b">
        <f>IF(D21="n/a","n/a",ISNUMBER(MATCH(D21,'Measure Level Adjustments Tab'!K:K,0)))</f>
        <v>0</v>
      </c>
      <c r="M21" s="599" t="b">
        <f t="shared" si="3"/>
        <v>0</v>
      </c>
      <c r="N21" s="599" t="b">
        <f t="shared" si="4"/>
        <v>0</v>
      </c>
      <c r="O21" s="599" t="s">
        <v>304</v>
      </c>
      <c r="P21" s="599" t="s">
        <v>304</v>
      </c>
      <c r="Q21" s="599"/>
      <c r="R21" s="599" t="str">
        <f t="shared" si="1"/>
        <v/>
      </c>
    </row>
    <row r="22" spans="2:18" x14ac:dyDescent="0.35">
      <c r="B22" s="2673" t="s">
        <v>3405</v>
      </c>
      <c r="C22" s="2673" t="s">
        <v>3407</v>
      </c>
      <c r="D22" s="2674" t="s">
        <v>3101</v>
      </c>
      <c r="E22" s="2673" t="s">
        <v>3410</v>
      </c>
      <c r="F22" s="2673" t="s">
        <v>3587</v>
      </c>
      <c r="G22" s="2673" t="s">
        <v>3403</v>
      </c>
      <c r="H22" s="2673" t="s">
        <v>3588</v>
      </c>
      <c r="I22" s="2673" t="s">
        <v>3589</v>
      </c>
      <c r="J22" s="599" t="b">
        <f t="shared" si="2"/>
        <v>1</v>
      </c>
      <c r="K22" s="599" t="b">
        <f t="shared" si="0"/>
        <v>1</v>
      </c>
      <c r="L22" s="599" t="b">
        <f>IF(D22="n/a","n/a",ISNUMBER(MATCH(D22,'Measure Level Adjustments Tab'!K:K,0)))</f>
        <v>1</v>
      </c>
      <c r="M22" s="599" t="b">
        <f t="shared" si="3"/>
        <v>1</v>
      </c>
      <c r="N22" s="599" t="b">
        <f t="shared" si="4"/>
        <v>0</v>
      </c>
      <c r="O22" s="599" t="s">
        <v>304</v>
      </c>
      <c r="P22" s="599" t="s">
        <v>3892</v>
      </c>
      <c r="Q22" s="599"/>
      <c r="R22" s="599" t="str">
        <f t="shared" si="1"/>
        <v/>
      </c>
    </row>
    <row r="23" spans="2:18" x14ac:dyDescent="0.35">
      <c r="B23" s="2673" t="s">
        <v>3405</v>
      </c>
      <c r="C23" s="2673" t="s">
        <v>3407</v>
      </c>
      <c r="D23" s="2674" t="s">
        <v>3118</v>
      </c>
      <c r="E23" s="2673" t="s">
        <v>3412</v>
      </c>
      <c r="F23" s="2673" t="s">
        <v>3590</v>
      </c>
      <c r="G23" s="2673" t="s">
        <v>3402</v>
      </c>
      <c r="H23" s="2673" t="s">
        <v>3591</v>
      </c>
      <c r="I23" s="2673" t="s">
        <v>820</v>
      </c>
      <c r="J23" s="599" t="b">
        <f t="shared" si="2"/>
        <v>0</v>
      </c>
      <c r="K23" s="599" t="b">
        <f t="shared" si="0"/>
        <v>0</v>
      </c>
      <c r="L23" s="599" t="b">
        <f>IF(D23="n/a","n/a",ISNUMBER(MATCH(D23,'Measure Level Adjustments Tab'!K:K,0)))</f>
        <v>1</v>
      </c>
      <c r="M23" s="599" t="b">
        <f t="shared" si="3"/>
        <v>0</v>
      </c>
      <c r="N23" s="599" t="b">
        <f t="shared" si="4"/>
        <v>0</v>
      </c>
      <c r="O23" s="599" t="s">
        <v>304</v>
      </c>
      <c r="P23" s="599" t="s">
        <v>304</v>
      </c>
      <c r="Q23" s="599"/>
      <c r="R23" s="599" t="str">
        <f t="shared" si="1"/>
        <v/>
      </c>
    </row>
    <row r="24" spans="2:18" x14ac:dyDescent="0.35">
      <c r="B24" s="2673" t="s">
        <v>3405</v>
      </c>
      <c r="C24" s="2673" t="s">
        <v>3407</v>
      </c>
      <c r="D24" s="2674" t="s">
        <v>3413</v>
      </c>
      <c r="E24" s="2673" t="s">
        <v>3592</v>
      </c>
      <c r="F24" s="2673" t="s">
        <v>3593</v>
      </c>
      <c r="G24" s="2673" t="s">
        <v>3402</v>
      </c>
      <c r="H24" s="2673" t="s">
        <v>3594</v>
      </c>
      <c r="I24" s="2673" t="s">
        <v>820</v>
      </c>
      <c r="J24" s="599" t="b">
        <f t="shared" si="2"/>
        <v>0</v>
      </c>
      <c r="K24" s="599" t="b">
        <f t="shared" si="0"/>
        <v>0</v>
      </c>
      <c r="L24" s="599" t="b">
        <f>IF(D24="n/a","n/a",ISNUMBER(MATCH(D24,'Measure Level Adjustments Tab'!K:K,0)))</f>
        <v>0</v>
      </c>
      <c r="M24" s="599" t="b">
        <f t="shared" si="3"/>
        <v>0</v>
      </c>
      <c r="N24" s="599" t="b">
        <f t="shared" si="4"/>
        <v>0</v>
      </c>
      <c r="O24" s="599" t="s">
        <v>304</v>
      </c>
      <c r="P24" s="599" t="s">
        <v>304</v>
      </c>
      <c r="Q24" s="599"/>
      <c r="R24" s="599" t="str">
        <f t="shared" si="1"/>
        <v/>
      </c>
    </row>
    <row r="25" spans="2:18" x14ac:dyDescent="0.35">
      <c r="B25" s="2673" t="s">
        <v>3405</v>
      </c>
      <c r="C25" s="2673" t="s">
        <v>3407</v>
      </c>
      <c r="D25" s="2674" t="s">
        <v>3229</v>
      </c>
      <c r="E25" s="2673" t="s">
        <v>3414</v>
      </c>
      <c r="F25" s="2673" t="s">
        <v>3595</v>
      </c>
      <c r="G25" s="2673" t="s">
        <v>3403</v>
      </c>
      <c r="H25" s="2673" t="s">
        <v>3588</v>
      </c>
      <c r="I25" s="2673" t="s">
        <v>3589</v>
      </c>
      <c r="J25" s="599" t="b">
        <f t="shared" si="2"/>
        <v>1</v>
      </c>
      <c r="K25" s="599" t="b">
        <f t="shared" si="0"/>
        <v>1</v>
      </c>
      <c r="L25" s="599" t="b">
        <f>IF(D25="n/a","n/a",ISNUMBER(MATCH(D25,'Measure Level Adjustments Tab'!K:K,0)))</f>
        <v>1</v>
      </c>
      <c r="M25" s="599" t="b">
        <f t="shared" si="3"/>
        <v>1</v>
      </c>
      <c r="N25" s="599" t="b">
        <f t="shared" si="4"/>
        <v>0</v>
      </c>
      <c r="O25" s="599" t="s">
        <v>304</v>
      </c>
      <c r="P25" s="599" t="s">
        <v>3892</v>
      </c>
      <c r="Q25" s="599"/>
      <c r="R25" s="599" t="str">
        <f t="shared" si="1"/>
        <v/>
      </c>
    </row>
    <row r="26" spans="2:18" x14ac:dyDescent="0.35">
      <c r="B26" s="2673" t="s">
        <v>3405</v>
      </c>
      <c r="C26" s="2673" t="s">
        <v>3407</v>
      </c>
      <c r="D26" s="2674" t="s">
        <v>3229</v>
      </c>
      <c r="E26" s="2673" t="s">
        <v>3414</v>
      </c>
      <c r="F26" s="2673" t="s">
        <v>3596</v>
      </c>
      <c r="G26" s="2673" t="s">
        <v>3402</v>
      </c>
      <c r="H26" s="2675" t="s">
        <v>3597</v>
      </c>
      <c r="I26" s="2673" t="s">
        <v>3427</v>
      </c>
      <c r="J26" s="599" t="b">
        <f t="shared" si="2"/>
        <v>1</v>
      </c>
      <c r="K26" s="599" t="b">
        <f t="shared" si="0"/>
        <v>1</v>
      </c>
      <c r="L26" s="599" t="b">
        <f>IF(D26="n/a","n/a",ISNUMBER(MATCH(D26,'Measure Level Adjustments Tab'!K:K,0)))</f>
        <v>1</v>
      </c>
      <c r="M26" s="599" t="b">
        <f t="shared" si="3"/>
        <v>0</v>
      </c>
      <c r="N26" s="599" t="b">
        <f t="shared" si="4"/>
        <v>1</v>
      </c>
      <c r="O26" s="599" t="s">
        <v>304</v>
      </c>
      <c r="P26" s="599" t="s">
        <v>3902</v>
      </c>
      <c r="Q26" s="599"/>
      <c r="R26" s="599" t="str">
        <f t="shared" si="1"/>
        <v/>
      </c>
    </row>
    <row r="27" spans="2:18" x14ac:dyDescent="0.35">
      <c r="B27" s="2673" t="s">
        <v>3405</v>
      </c>
      <c r="C27" s="2673" t="s">
        <v>3407</v>
      </c>
      <c r="D27" s="2674" t="s">
        <v>3598</v>
      </c>
      <c r="E27" s="2675" t="s">
        <v>3599</v>
      </c>
      <c r="F27" s="2673" t="s">
        <v>3600</v>
      </c>
      <c r="G27" s="2673" t="s">
        <v>2285</v>
      </c>
      <c r="H27" s="2673" t="s">
        <v>3474</v>
      </c>
      <c r="I27" s="2673" t="s">
        <v>820</v>
      </c>
      <c r="J27" s="599" t="b">
        <f t="shared" si="2"/>
        <v>0</v>
      </c>
      <c r="K27" s="599" t="b">
        <f t="shared" si="0"/>
        <v>0</v>
      </c>
      <c r="L27" s="599" t="b">
        <f>IF(D27="n/a","n/a",ISNUMBER(MATCH(D27,'Measure Level Adjustments Tab'!K:K,0)))</f>
        <v>0</v>
      </c>
      <c r="M27" s="599" t="b">
        <f t="shared" si="3"/>
        <v>0</v>
      </c>
      <c r="N27" s="599" t="b">
        <f t="shared" si="4"/>
        <v>0</v>
      </c>
      <c r="O27" s="599" t="s">
        <v>304</v>
      </c>
      <c r="P27" s="599" t="s">
        <v>304</v>
      </c>
      <c r="Q27" s="599"/>
      <c r="R27" s="599" t="str">
        <f t="shared" si="1"/>
        <v/>
      </c>
    </row>
    <row r="28" spans="2:18" x14ac:dyDescent="0.35">
      <c r="B28" s="2673" t="s">
        <v>3405</v>
      </c>
      <c r="C28" s="2673" t="s">
        <v>3415</v>
      </c>
      <c r="D28" s="2674" t="s">
        <v>3166</v>
      </c>
      <c r="E28" s="2673" t="s">
        <v>3601</v>
      </c>
      <c r="F28" s="2673" t="s">
        <v>3602</v>
      </c>
      <c r="G28" s="2673" t="s">
        <v>3403</v>
      </c>
      <c r="H28" s="2673" t="s">
        <v>3588</v>
      </c>
      <c r="I28" s="2673" t="s">
        <v>3589</v>
      </c>
      <c r="J28" s="599" t="b">
        <f t="shared" si="2"/>
        <v>1</v>
      </c>
      <c r="K28" s="599" t="b">
        <f t="shared" si="0"/>
        <v>1</v>
      </c>
      <c r="L28" s="599" t="b">
        <f>IF(D28="n/a","n/a",ISNUMBER(MATCH(D28,'Measure Level Adjustments Tab'!K:K,0)))</f>
        <v>1</v>
      </c>
      <c r="M28" s="599" t="b">
        <f t="shared" si="3"/>
        <v>1</v>
      </c>
      <c r="N28" s="599" t="b">
        <f t="shared" si="4"/>
        <v>0</v>
      </c>
      <c r="O28" s="599" t="s">
        <v>304</v>
      </c>
      <c r="P28" s="599" t="s">
        <v>3892</v>
      </c>
      <c r="Q28" s="599"/>
      <c r="R28" s="599" t="str">
        <f t="shared" si="1"/>
        <v/>
      </c>
    </row>
    <row r="29" spans="2:18" x14ac:dyDescent="0.35">
      <c r="B29" s="2673" t="s">
        <v>3405</v>
      </c>
      <c r="C29" s="2673" t="s">
        <v>3415</v>
      </c>
      <c r="D29" s="2674" t="s">
        <v>3166</v>
      </c>
      <c r="E29" s="2673" t="s">
        <v>3601</v>
      </c>
      <c r="F29" s="2673" t="s">
        <v>3603</v>
      </c>
      <c r="G29" s="2673" t="s">
        <v>3402</v>
      </c>
      <c r="H29" s="2673" t="s">
        <v>3604</v>
      </c>
      <c r="I29" s="2673" t="s">
        <v>820</v>
      </c>
      <c r="J29" s="599" t="b">
        <f t="shared" si="2"/>
        <v>0</v>
      </c>
      <c r="K29" s="599" t="b">
        <f t="shared" si="0"/>
        <v>1</v>
      </c>
      <c r="L29" s="599" t="b">
        <f>IF(D29="n/a","n/a",ISNUMBER(MATCH(D29,'Measure Level Adjustments Tab'!K:K,0)))</f>
        <v>1</v>
      </c>
      <c r="M29" s="599" t="b">
        <f t="shared" si="3"/>
        <v>0</v>
      </c>
      <c r="N29" s="599" t="b">
        <f t="shared" si="4"/>
        <v>0</v>
      </c>
      <c r="O29" s="599" t="s">
        <v>304</v>
      </c>
      <c r="P29" s="599" t="s">
        <v>304</v>
      </c>
      <c r="Q29" s="599"/>
      <c r="R29" s="599" t="str">
        <f t="shared" si="1"/>
        <v/>
      </c>
    </row>
    <row r="30" spans="2:18" x14ac:dyDescent="0.35">
      <c r="B30" s="2673" t="s">
        <v>3405</v>
      </c>
      <c r="C30" s="2673" t="s">
        <v>3415</v>
      </c>
      <c r="D30" s="2674" t="s">
        <v>3199</v>
      </c>
      <c r="E30" s="2673" t="s">
        <v>3417</v>
      </c>
      <c r="F30" s="2673" t="s">
        <v>3605</v>
      </c>
      <c r="G30" s="2673" t="s">
        <v>3403</v>
      </c>
      <c r="H30" s="2673" t="s">
        <v>3588</v>
      </c>
      <c r="I30" s="2673" t="s">
        <v>3589</v>
      </c>
      <c r="J30" s="599" t="b">
        <f t="shared" si="2"/>
        <v>1</v>
      </c>
      <c r="K30" s="599" t="b">
        <f t="shared" si="0"/>
        <v>1</v>
      </c>
      <c r="L30" s="599" t="b">
        <f>IF(D30="n/a","n/a",ISNUMBER(MATCH(D30,'Measure Level Adjustments Tab'!K:K,0)))</f>
        <v>1</v>
      </c>
      <c r="M30" s="599" t="b">
        <f t="shared" si="3"/>
        <v>1</v>
      </c>
      <c r="N30" s="599" t="b">
        <f t="shared" si="4"/>
        <v>0</v>
      </c>
      <c r="O30" s="599" t="s">
        <v>304</v>
      </c>
      <c r="P30" s="599" t="s">
        <v>3892</v>
      </c>
      <c r="Q30" s="599"/>
      <c r="R30" s="599" t="str">
        <f t="shared" si="1"/>
        <v/>
      </c>
    </row>
    <row r="31" spans="2:18" x14ac:dyDescent="0.35">
      <c r="B31" s="2673" t="s">
        <v>3405</v>
      </c>
      <c r="C31" s="2673" t="s">
        <v>3415</v>
      </c>
      <c r="D31" s="2674" t="s">
        <v>3199</v>
      </c>
      <c r="E31" s="2673" t="s">
        <v>3417</v>
      </c>
      <c r="F31" s="2673" t="s">
        <v>3605</v>
      </c>
      <c r="G31" s="2673" t="s">
        <v>3403</v>
      </c>
      <c r="H31" s="2673" t="s">
        <v>3606</v>
      </c>
      <c r="I31" s="2673" t="s">
        <v>3589</v>
      </c>
      <c r="J31" s="599" t="b">
        <f t="shared" si="2"/>
        <v>1</v>
      </c>
      <c r="K31" s="599" t="b">
        <f t="shared" si="0"/>
        <v>1</v>
      </c>
      <c r="L31" s="599" t="b">
        <f>IF(D31="n/a","n/a",ISNUMBER(MATCH(D31,'Measure Level Adjustments Tab'!K:K,0)))</f>
        <v>1</v>
      </c>
      <c r="M31" s="599" t="b">
        <f t="shared" si="3"/>
        <v>1</v>
      </c>
      <c r="N31" s="599" t="b">
        <f t="shared" si="4"/>
        <v>0</v>
      </c>
      <c r="O31" s="599" t="s">
        <v>304</v>
      </c>
      <c r="P31" s="599" t="s">
        <v>3893</v>
      </c>
      <c r="Q31" s="599"/>
      <c r="R31" s="599" t="str">
        <f t="shared" si="1"/>
        <v/>
      </c>
    </row>
    <row r="32" spans="2:18" x14ac:dyDescent="0.35">
      <c r="B32" s="2673" t="s">
        <v>3405</v>
      </c>
      <c r="C32" s="2673" t="s">
        <v>3415</v>
      </c>
      <c r="D32" s="2674" t="s">
        <v>3204</v>
      </c>
      <c r="E32" s="2673" t="s">
        <v>3419</v>
      </c>
      <c r="F32" s="2673" t="s">
        <v>3607</v>
      </c>
      <c r="G32" s="2673" t="s">
        <v>3403</v>
      </c>
      <c r="H32" s="2673" t="s">
        <v>3588</v>
      </c>
      <c r="I32" s="2673" t="s">
        <v>3589</v>
      </c>
      <c r="J32" s="599" t="b">
        <f t="shared" si="2"/>
        <v>1</v>
      </c>
      <c r="K32" s="599" t="b">
        <f t="shared" si="0"/>
        <v>1</v>
      </c>
      <c r="L32" s="599" t="b">
        <f>IF(D32="n/a","n/a",ISNUMBER(MATCH(D32,'Measure Level Adjustments Tab'!K:K,0)))</f>
        <v>1</v>
      </c>
      <c r="M32" s="599" t="b">
        <f t="shared" si="3"/>
        <v>1</v>
      </c>
      <c r="N32" s="599" t="b">
        <f t="shared" si="4"/>
        <v>0</v>
      </c>
      <c r="O32" s="599" t="s">
        <v>304</v>
      </c>
      <c r="P32" s="599" t="s">
        <v>3892</v>
      </c>
      <c r="Q32" s="599"/>
      <c r="R32" s="599" t="str">
        <f t="shared" si="1"/>
        <v/>
      </c>
    </row>
    <row r="33" spans="2:18" x14ac:dyDescent="0.35">
      <c r="B33" s="2673" t="s">
        <v>3405</v>
      </c>
      <c r="C33" s="2673" t="s">
        <v>3415</v>
      </c>
      <c r="D33" s="2674" t="s">
        <v>3204</v>
      </c>
      <c r="E33" s="2673" t="s">
        <v>3419</v>
      </c>
      <c r="F33" s="2673" t="s">
        <v>3608</v>
      </c>
      <c r="G33" s="2673" t="s">
        <v>3402</v>
      </c>
      <c r="H33" s="2673" t="s">
        <v>3609</v>
      </c>
      <c r="I33" s="2673" t="s">
        <v>3610</v>
      </c>
      <c r="J33" s="599" t="b">
        <f t="shared" si="2"/>
        <v>1</v>
      </c>
      <c r="K33" s="599" t="b">
        <f t="shared" si="0"/>
        <v>1</v>
      </c>
      <c r="L33" s="599" t="b">
        <f>IF(D33="n/a","n/a",ISNUMBER(MATCH(D33,'Measure Level Adjustments Tab'!K:K,0)))</f>
        <v>1</v>
      </c>
      <c r="M33" s="599" t="b">
        <f t="shared" si="3"/>
        <v>0</v>
      </c>
      <c r="N33" s="599" t="b">
        <f t="shared" si="4"/>
        <v>1</v>
      </c>
      <c r="O33" s="599" t="b">
        <v>1</v>
      </c>
      <c r="P33" s="599" t="s">
        <v>3926</v>
      </c>
      <c r="Q33" s="2678" t="s">
        <v>3903</v>
      </c>
      <c r="R33" s="2677" t="str">
        <f t="shared" si="1"/>
        <v>Go To Update</v>
      </c>
    </row>
    <row r="34" spans="2:18" x14ac:dyDescent="0.35">
      <c r="B34" s="2673" t="s">
        <v>3405</v>
      </c>
      <c r="C34" s="2673" t="s">
        <v>3415</v>
      </c>
      <c r="D34" s="2674" t="s">
        <v>3081</v>
      </c>
      <c r="E34" s="2673" t="s">
        <v>3420</v>
      </c>
      <c r="F34" s="2673" t="s">
        <v>3611</v>
      </c>
      <c r="G34" s="2673" t="s">
        <v>3402</v>
      </c>
      <c r="H34" s="2673" t="s">
        <v>3612</v>
      </c>
      <c r="I34" s="2673" t="s">
        <v>820</v>
      </c>
      <c r="J34" s="599" t="b">
        <f t="shared" si="2"/>
        <v>0</v>
      </c>
      <c r="K34" s="599" t="b">
        <f t="shared" si="0"/>
        <v>0</v>
      </c>
      <c r="L34" s="599" t="b">
        <f>IF(D34="n/a","n/a",ISNUMBER(MATCH(D34,'Measure Level Adjustments Tab'!K:K,0)))</f>
        <v>1</v>
      </c>
      <c r="M34" s="599" t="b">
        <f t="shared" si="3"/>
        <v>0</v>
      </c>
      <c r="N34" s="599" t="b">
        <f t="shared" si="4"/>
        <v>0</v>
      </c>
      <c r="O34" s="599" t="s">
        <v>304</v>
      </c>
      <c r="P34" s="599" t="s">
        <v>304</v>
      </c>
      <c r="Q34" s="599"/>
      <c r="R34" s="599" t="str">
        <f t="shared" si="1"/>
        <v/>
      </c>
    </row>
    <row r="35" spans="2:18" x14ac:dyDescent="0.35">
      <c r="B35" s="2673" t="s">
        <v>3405</v>
      </c>
      <c r="C35" s="2673" t="s">
        <v>3415</v>
      </c>
      <c r="D35" s="2674" t="s">
        <v>3172</v>
      </c>
      <c r="E35" s="2675" t="s">
        <v>3421</v>
      </c>
      <c r="F35" s="2673" t="s">
        <v>820</v>
      </c>
      <c r="G35" s="2673" t="s">
        <v>3613</v>
      </c>
      <c r="H35" s="2675" t="s">
        <v>3614</v>
      </c>
      <c r="I35" s="2673" t="s">
        <v>820</v>
      </c>
      <c r="J35" s="599" t="b">
        <f t="shared" si="2"/>
        <v>0</v>
      </c>
      <c r="K35" s="599" t="b">
        <f t="shared" si="0"/>
        <v>0</v>
      </c>
      <c r="L35" s="599" t="b">
        <f>IF(D35="n/a","n/a",ISNUMBER(MATCH(D35,'Measure Level Adjustments Tab'!K:K,0)))</f>
        <v>1</v>
      </c>
      <c r="M35" s="599" t="b">
        <f t="shared" si="3"/>
        <v>0</v>
      </c>
      <c r="N35" s="599" t="b">
        <f t="shared" si="4"/>
        <v>0</v>
      </c>
      <c r="O35" s="599" t="s">
        <v>304</v>
      </c>
      <c r="P35" s="599" t="s">
        <v>304</v>
      </c>
      <c r="Q35" s="599"/>
      <c r="R35" s="599" t="str">
        <f t="shared" si="1"/>
        <v/>
      </c>
    </row>
    <row r="36" spans="2:18" x14ac:dyDescent="0.35">
      <c r="B36" s="2673" t="s">
        <v>3405</v>
      </c>
      <c r="C36" s="2673" t="s">
        <v>3415</v>
      </c>
      <c r="D36" s="2674" t="s">
        <v>3220</v>
      </c>
      <c r="E36" s="2675" t="s">
        <v>3422</v>
      </c>
      <c r="F36" s="2673" t="s">
        <v>3615</v>
      </c>
      <c r="G36" s="2673" t="s">
        <v>3403</v>
      </c>
      <c r="H36" s="2673" t="s">
        <v>3588</v>
      </c>
      <c r="I36" s="2673" t="s">
        <v>3589</v>
      </c>
      <c r="J36" s="599" t="b">
        <f t="shared" si="2"/>
        <v>1</v>
      </c>
      <c r="K36" s="599" t="b">
        <f t="shared" si="0"/>
        <v>1</v>
      </c>
      <c r="L36" s="599" t="b">
        <f>IF(D36="n/a","n/a",ISNUMBER(MATCH(D36,'Measure Level Adjustments Tab'!K:K,0)))</f>
        <v>1</v>
      </c>
      <c r="M36" s="599" t="b">
        <f t="shared" si="3"/>
        <v>1</v>
      </c>
      <c r="N36" s="599" t="b">
        <f t="shared" si="4"/>
        <v>0</v>
      </c>
      <c r="O36" s="599" t="s">
        <v>304</v>
      </c>
      <c r="P36" s="599" t="s">
        <v>3892</v>
      </c>
      <c r="Q36" s="599"/>
      <c r="R36" s="599" t="str">
        <f t="shared" si="1"/>
        <v/>
      </c>
    </row>
    <row r="37" spans="2:18" x14ac:dyDescent="0.35">
      <c r="B37" s="2673" t="s">
        <v>3405</v>
      </c>
      <c r="C37" s="2673" t="s">
        <v>3415</v>
      </c>
      <c r="D37" s="2674" t="s">
        <v>3220</v>
      </c>
      <c r="E37" s="2675" t="s">
        <v>3422</v>
      </c>
      <c r="F37" s="2673" t="s">
        <v>3616</v>
      </c>
      <c r="G37" s="2673" t="s">
        <v>3402</v>
      </c>
      <c r="H37" s="2675" t="s">
        <v>3617</v>
      </c>
      <c r="I37" s="2673" t="s">
        <v>820</v>
      </c>
      <c r="J37" s="599" t="b">
        <f t="shared" si="2"/>
        <v>0</v>
      </c>
      <c r="K37" s="599" t="b">
        <f t="shared" si="0"/>
        <v>1</v>
      </c>
      <c r="L37" s="599" t="b">
        <f>IF(D37="n/a","n/a",ISNUMBER(MATCH(D37,'Measure Level Adjustments Tab'!K:K,0)))</f>
        <v>1</v>
      </c>
      <c r="M37" s="599" t="b">
        <f t="shared" si="3"/>
        <v>0</v>
      </c>
      <c r="N37" s="599" t="b">
        <f t="shared" si="4"/>
        <v>0</v>
      </c>
      <c r="O37" s="599" t="s">
        <v>304</v>
      </c>
      <c r="P37" s="599" t="s">
        <v>304</v>
      </c>
      <c r="Q37" s="599"/>
      <c r="R37" s="599" t="str">
        <f t="shared" si="1"/>
        <v/>
      </c>
    </row>
    <row r="38" spans="2:18" x14ac:dyDescent="0.35">
      <c r="B38" s="2673" t="s">
        <v>3405</v>
      </c>
      <c r="C38" s="2673" t="s">
        <v>3415</v>
      </c>
      <c r="D38" s="2674" t="s">
        <v>3090</v>
      </c>
      <c r="E38" s="2675" t="s">
        <v>3618</v>
      </c>
      <c r="F38" s="2673" t="s">
        <v>3619</v>
      </c>
      <c r="G38" s="2673" t="s">
        <v>3402</v>
      </c>
      <c r="H38" s="2675" t="s">
        <v>3620</v>
      </c>
      <c r="I38" s="2673" t="s">
        <v>820</v>
      </c>
      <c r="J38" s="599" t="b">
        <f t="shared" si="2"/>
        <v>0</v>
      </c>
      <c r="K38" s="599" t="b">
        <f t="shared" si="0"/>
        <v>0</v>
      </c>
      <c r="L38" s="599" t="b">
        <f>IF(D38="n/a","n/a",ISNUMBER(MATCH(D38,'Measure Level Adjustments Tab'!K:K,0)))</f>
        <v>1</v>
      </c>
      <c r="M38" s="599" t="b">
        <f t="shared" si="3"/>
        <v>0</v>
      </c>
      <c r="N38" s="599" t="b">
        <f t="shared" si="4"/>
        <v>0</v>
      </c>
      <c r="O38" s="599" t="s">
        <v>304</v>
      </c>
      <c r="P38" s="599" t="s">
        <v>304</v>
      </c>
      <c r="Q38" s="599"/>
      <c r="R38" s="599" t="str">
        <f t="shared" si="1"/>
        <v/>
      </c>
    </row>
    <row r="39" spans="2:18" x14ac:dyDescent="0.35">
      <c r="B39" s="2673" t="s">
        <v>3405</v>
      </c>
      <c r="C39" s="2673" t="s">
        <v>3415</v>
      </c>
      <c r="D39" s="2674" t="s">
        <v>3161</v>
      </c>
      <c r="E39" s="2675" t="s">
        <v>3621</v>
      </c>
      <c r="F39" s="2673" t="s">
        <v>3622</v>
      </c>
      <c r="G39" s="2673" t="s">
        <v>3402</v>
      </c>
      <c r="H39" s="2675" t="s">
        <v>3623</v>
      </c>
      <c r="I39" s="2673" t="s">
        <v>820</v>
      </c>
      <c r="J39" s="599" t="b">
        <f t="shared" si="2"/>
        <v>0</v>
      </c>
      <c r="K39" s="599" t="b">
        <f t="shared" ref="K39:K70" si="9">COUNTIFS(D:D,D39,J:J,TRUE)&gt;0</f>
        <v>0</v>
      </c>
      <c r="L39" s="599" t="b">
        <f>IF(D39="n/a","n/a",ISNUMBER(MATCH(D39,'Measure Level Adjustments Tab'!K:K,0)))</f>
        <v>0</v>
      </c>
      <c r="M39" s="599" t="b">
        <f t="shared" si="3"/>
        <v>0</v>
      </c>
      <c r="N39" s="599" t="b">
        <f t="shared" si="4"/>
        <v>0</v>
      </c>
      <c r="O39" s="599" t="s">
        <v>304</v>
      </c>
      <c r="P39" s="599" t="s">
        <v>304</v>
      </c>
      <c r="Q39" s="599"/>
      <c r="R39" s="599" t="str">
        <f t="shared" si="1"/>
        <v/>
      </c>
    </row>
    <row r="40" spans="2:18" x14ac:dyDescent="0.35">
      <c r="B40" s="2673" t="s">
        <v>3405</v>
      </c>
      <c r="C40" s="2673" t="s">
        <v>3415</v>
      </c>
      <c r="D40" s="2674" t="s">
        <v>3624</v>
      </c>
      <c r="E40" s="2675" t="s">
        <v>3625</v>
      </c>
      <c r="F40" s="2673" t="s">
        <v>3626</v>
      </c>
      <c r="G40" s="2673" t="s">
        <v>3627</v>
      </c>
      <c r="H40" s="2673" t="s">
        <v>3474</v>
      </c>
      <c r="I40" s="2673" t="s">
        <v>820</v>
      </c>
      <c r="J40" s="599" t="b">
        <f t="shared" si="2"/>
        <v>0</v>
      </c>
      <c r="K40" s="599" t="b">
        <f t="shared" si="9"/>
        <v>0</v>
      </c>
      <c r="L40" s="599" t="b">
        <f>IF(D40="n/a","n/a",ISNUMBER(MATCH(D40,'Measure Level Adjustments Tab'!K:K,0)))</f>
        <v>0</v>
      </c>
      <c r="M40" s="599" t="b">
        <f t="shared" si="3"/>
        <v>0</v>
      </c>
      <c r="N40" s="599" t="b">
        <f t="shared" si="4"/>
        <v>0</v>
      </c>
      <c r="O40" s="599" t="s">
        <v>304</v>
      </c>
      <c r="P40" s="599" t="s">
        <v>304</v>
      </c>
      <c r="Q40" s="599"/>
      <c r="R40" s="599" t="str">
        <f t="shared" si="1"/>
        <v/>
      </c>
    </row>
    <row r="41" spans="2:18" x14ac:dyDescent="0.35">
      <c r="B41" s="2673" t="s">
        <v>3405</v>
      </c>
      <c r="C41" s="2673" t="s">
        <v>3424</v>
      </c>
      <c r="D41" s="2674">
        <v>4.4000000000000004</v>
      </c>
      <c r="E41" s="2675" t="s">
        <v>3425</v>
      </c>
      <c r="F41" s="2673" t="s">
        <v>820</v>
      </c>
      <c r="G41" s="2673" t="s">
        <v>3402</v>
      </c>
      <c r="H41" s="2675" t="s">
        <v>3426</v>
      </c>
      <c r="I41" s="2673" t="s">
        <v>3408</v>
      </c>
      <c r="J41" s="599" t="b">
        <f t="shared" si="2"/>
        <v>1</v>
      </c>
      <c r="K41" s="599" t="b">
        <f t="shared" si="9"/>
        <v>1</v>
      </c>
      <c r="L41" s="599" t="b">
        <v>1</v>
      </c>
      <c r="M41" s="599" t="b">
        <f t="shared" si="3"/>
        <v>0</v>
      </c>
      <c r="N41" s="599" t="b">
        <f t="shared" si="4"/>
        <v>1</v>
      </c>
      <c r="O41" s="599" t="b">
        <v>1</v>
      </c>
      <c r="P41" s="599" t="s">
        <v>3927</v>
      </c>
      <c r="Q41" s="599"/>
      <c r="R41" s="599" t="str">
        <f t="shared" si="1"/>
        <v/>
      </c>
    </row>
    <row r="42" spans="2:18" x14ac:dyDescent="0.35">
      <c r="B42" s="2673" t="s">
        <v>3405</v>
      </c>
      <c r="C42" s="2673" t="s">
        <v>3424</v>
      </c>
      <c r="D42" s="2674">
        <v>4.4000000000000004</v>
      </c>
      <c r="E42" s="2675" t="s">
        <v>3425</v>
      </c>
      <c r="F42" s="2673" t="s">
        <v>820</v>
      </c>
      <c r="G42" s="2673" t="s">
        <v>3402</v>
      </c>
      <c r="H42" s="2675" t="s">
        <v>3628</v>
      </c>
      <c r="I42" s="2673" t="s">
        <v>3408</v>
      </c>
      <c r="J42" s="599" t="b">
        <f t="shared" si="2"/>
        <v>1</v>
      </c>
      <c r="K42" s="599" t="b">
        <f t="shared" si="9"/>
        <v>1</v>
      </c>
      <c r="L42" s="599" t="b">
        <v>1</v>
      </c>
      <c r="M42" s="599" t="b">
        <f t="shared" si="3"/>
        <v>0</v>
      </c>
      <c r="N42" s="599" t="b">
        <f t="shared" si="4"/>
        <v>1</v>
      </c>
      <c r="O42" s="599" t="s">
        <v>304</v>
      </c>
      <c r="P42" s="599" t="s">
        <v>3909</v>
      </c>
      <c r="Q42" s="599"/>
      <c r="R42" s="599" t="str">
        <f t="shared" si="1"/>
        <v/>
      </c>
    </row>
    <row r="43" spans="2:18" x14ac:dyDescent="0.35">
      <c r="B43" s="2673" t="s">
        <v>3405</v>
      </c>
      <c r="C43" s="2673" t="s">
        <v>3424</v>
      </c>
      <c r="D43" s="2674">
        <v>4.4000000000000004</v>
      </c>
      <c r="E43" s="2675" t="s">
        <v>3425</v>
      </c>
      <c r="F43" s="2673" t="s">
        <v>820</v>
      </c>
      <c r="G43" s="2673" t="s">
        <v>3402</v>
      </c>
      <c r="H43" s="2673" t="s">
        <v>3629</v>
      </c>
      <c r="I43" s="2673" t="s">
        <v>3408</v>
      </c>
      <c r="J43" s="599" t="b">
        <f t="shared" si="2"/>
        <v>1</v>
      </c>
      <c r="K43" s="599" t="b">
        <f t="shared" si="9"/>
        <v>1</v>
      </c>
      <c r="L43" s="599" t="b">
        <v>1</v>
      </c>
      <c r="M43" s="599" t="b">
        <f t="shared" si="3"/>
        <v>0</v>
      </c>
      <c r="N43" s="599" t="b">
        <f t="shared" si="4"/>
        <v>1</v>
      </c>
      <c r="O43" s="599" t="s">
        <v>304</v>
      </c>
      <c r="P43" s="599" t="s">
        <v>3905</v>
      </c>
      <c r="Q43" s="599"/>
      <c r="R43" s="599" t="str">
        <f t="shared" si="1"/>
        <v/>
      </c>
    </row>
    <row r="44" spans="2:18" x14ac:dyDescent="0.35">
      <c r="B44" s="2673" t="s">
        <v>3405</v>
      </c>
      <c r="C44" s="2673" t="s">
        <v>3424</v>
      </c>
      <c r="D44" s="2674" t="s">
        <v>3060</v>
      </c>
      <c r="E44" s="2673" t="s">
        <v>3428</v>
      </c>
      <c r="F44" s="2673" t="s">
        <v>3630</v>
      </c>
      <c r="G44" s="2673" t="s">
        <v>3402</v>
      </c>
      <c r="H44" s="2675" t="s">
        <v>3620</v>
      </c>
      <c r="I44" s="2673" t="s">
        <v>820</v>
      </c>
      <c r="J44" s="599" t="b">
        <f t="shared" si="2"/>
        <v>0</v>
      </c>
      <c r="K44" s="599" t="b">
        <f t="shared" si="9"/>
        <v>0</v>
      </c>
      <c r="L44" s="599" t="b">
        <f>IF(D44="n/a","n/a",ISNUMBER(MATCH(D44,'Measure Level Adjustments Tab'!K:K,0)))</f>
        <v>0</v>
      </c>
      <c r="M44" s="599" t="b">
        <f t="shared" si="3"/>
        <v>0</v>
      </c>
      <c r="N44" s="599" t="b">
        <f t="shared" si="4"/>
        <v>0</v>
      </c>
      <c r="O44" s="599" t="s">
        <v>304</v>
      </c>
      <c r="P44" s="599" t="s">
        <v>304</v>
      </c>
      <c r="Q44" s="599"/>
      <c r="R44" s="599" t="str">
        <f t="shared" si="1"/>
        <v/>
      </c>
    </row>
    <row r="45" spans="2:18" x14ac:dyDescent="0.35">
      <c r="B45" s="2673" t="s">
        <v>3405</v>
      </c>
      <c r="C45" s="2673" t="s">
        <v>3424</v>
      </c>
      <c r="D45" s="2674" t="s">
        <v>3060</v>
      </c>
      <c r="E45" s="2673" t="s">
        <v>3428</v>
      </c>
      <c r="F45" s="2673" t="s">
        <v>3630</v>
      </c>
      <c r="G45" s="2673" t="s">
        <v>3402</v>
      </c>
      <c r="H45" s="2673" t="s">
        <v>3462</v>
      </c>
      <c r="I45" s="2673" t="s">
        <v>820</v>
      </c>
      <c r="J45" s="599" t="b">
        <f t="shared" si="2"/>
        <v>0</v>
      </c>
      <c r="K45" s="599" t="b">
        <f t="shared" si="9"/>
        <v>0</v>
      </c>
      <c r="L45" s="599" t="b">
        <f>IF(D45="n/a","n/a",ISNUMBER(MATCH(D45,'Measure Level Adjustments Tab'!K:K,0)))</f>
        <v>0</v>
      </c>
      <c r="M45" s="599" t="b">
        <f t="shared" si="3"/>
        <v>0</v>
      </c>
      <c r="N45" s="599" t="b">
        <f t="shared" si="4"/>
        <v>0</v>
      </c>
      <c r="O45" s="599" t="s">
        <v>304</v>
      </c>
      <c r="P45" s="599" t="s">
        <v>304</v>
      </c>
      <c r="Q45" s="599"/>
      <c r="R45" s="599" t="str">
        <f t="shared" si="1"/>
        <v/>
      </c>
    </row>
    <row r="46" spans="2:18" x14ac:dyDescent="0.35">
      <c r="B46" s="2673" t="s">
        <v>3405</v>
      </c>
      <c r="C46" s="2673" t="s">
        <v>3424</v>
      </c>
      <c r="D46" s="2674" t="s">
        <v>3103</v>
      </c>
      <c r="E46" s="2673" t="s">
        <v>3631</v>
      </c>
      <c r="F46" s="2673" t="s">
        <v>3632</v>
      </c>
      <c r="G46" s="2673" t="s">
        <v>3402</v>
      </c>
      <c r="H46" s="2675" t="s">
        <v>3620</v>
      </c>
      <c r="I46" s="2673" t="s">
        <v>820</v>
      </c>
      <c r="J46" s="599" t="b">
        <f t="shared" si="2"/>
        <v>0</v>
      </c>
      <c r="K46" s="599" t="b">
        <f t="shared" si="9"/>
        <v>0</v>
      </c>
      <c r="L46" s="599" t="b">
        <f>IF(D46="n/a","n/a",ISNUMBER(MATCH(D46,'Measure Level Adjustments Tab'!K:K,0)))</f>
        <v>0</v>
      </c>
      <c r="M46" s="599" t="b">
        <f t="shared" si="3"/>
        <v>0</v>
      </c>
      <c r="N46" s="599" t="b">
        <f t="shared" si="4"/>
        <v>0</v>
      </c>
      <c r="O46" s="599" t="s">
        <v>304</v>
      </c>
      <c r="P46" s="599" t="s">
        <v>304</v>
      </c>
      <c r="Q46" s="599"/>
      <c r="R46" s="599" t="str">
        <f t="shared" si="1"/>
        <v/>
      </c>
    </row>
    <row r="47" spans="2:18" x14ac:dyDescent="0.35">
      <c r="B47" s="2673" t="s">
        <v>3405</v>
      </c>
      <c r="C47" s="2673" t="s">
        <v>3424</v>
      </c>
      <c r="D47" s="2674" t="s">
        <v>3146</v>
      </c>
      <c r="E47" s="2673" t="s">
        <v>3430</v>
      </c>
      <c r="F47" s="2673" t="s">
        <v>3633</v>
      </c>
      <c r="G47" s="2673" t="s">
        <v>3402</v>
      </c>
      <c r="H47" s="2673" t="s">
        <v>3436</v>
      </c>
      <c r="I47" s="2673" t="s">
        <v>820</v>
      </c>
      <c r="J47" s="599" t="b">
        <f t="shared" si="2"/>
        <v>0</v>
      </c>
      <c r="K47" s="599" t="b">
        <f t="shared" si="9"/>
        <v>0</v>
      </c>
      <c r="L47" s="599" t="b">
        <f>IF(D47="n/a","n/a",ISNUMBER(MATCH(D47,'Measure Level Adjustments Tab'!K:K,0)))</f>
        <v>1</v>
      </c>
      <c r="M47" s="599" t="b">
        <f t="shared" si="3"/>
        <v>0</v>
      </c>
      <c r="N47" s="599" t="b">
        <f t="shared" si="4"/>
        <v>0</v>
      </c>
      <c r="O47" s="599" t="s">
        <v>304</v>
      </c>
      <c r="P47" s="599" t="s">
        <v>304</v>
      </c>
      <c r="Q47" s="599"/>
      <c r="R47" s="599" t="str">
        <f t="shared" si="1"/>
        <v/>
      </c>
    </row>
    <row r="48" spans="2:18" x14ac:dyDescent="0.35">
      <c r="B48" s="2673" t="s">
        <v>3405</v>
      </c>
      <c r="C48" s="2673" t="s">
        <v>3424</v>
      </c>
      <c r="D48" s="2674" t="s">
        <v>3146</v>
      </c>
      <c r="E48" s="2673" t="s">
        <v>3430</v>
      </c>
      <c r="F48" s="2673" t="s">
        <v>3633</v>
      </c>
      <c r="G48" s="2673" t="s">
        <v>3402</v>
      </c>
      <c r="H48" s="2673" t="s">
        <v>3634</v>
      </c>
      <c r="I48" s="2673" t="s">
        <v>820</v>
      </c>
      <c r="J48" s="599" t="b">
        <f t="shared" si="2"/>
        <v>0</v>
      </c>
      <c r="K48" s="599" t="b">
        <f t="shared" si="9"/>
        <v>0</v>
      </c>
      <c r="L48" s="599" t="b">
        <f>IF(D48="n/a","n/a",ISNUMBER(MATCH(D48,'Measure Level Adjustments Tab'!K:K,0)))</f>
        <v>1</v>
      </c>
      <c r="M48" s="599" t="b">
        <f t="shared" si="3"/>
        <v>0</v>
      </c>
      <c r="N48" s="599" t="b">
        <f t="shared" si="4"/>
        <v>0</v>
      </c>
      <c r="O48" s="599" t="s">
        <v>304</v>
      </c>
      <c r="P48" s="599" t="s">
        <v>304</v>
      </c>
      <c r="Q48" s="599"/>
      <c r="R48" s="599" t="str">
        <f t="shared" si="1"/>
        <v/>
      </c>
    </row>
    <row r="49" spans="2:18" x14ac:dyDescent="0.35">
      <c r="B49" s="2673" t="s">
        <v>3405</v>
      </c>
      <c r="C49" s="2673" t="s">
        <v>3424</v>
      </c>
      <c r="D49" s="2674" t="s">
        <v>3106</v>
      </c>
      <c r="E49" s="2673" t="s">
        <v>3431</v>
      </c>
      <c r="F49" s="2673" t="s">
        <v>3635</v>
      </c>
      <c r="G49" s="2673" t="s">
        <v>3402</v>
      </c>
      <c r="H49" s="2673" t="s">
        <v>3636</v>
      </c>
      <c r="I49" s="2673" t="s">
        <v>820</v>
      </c>
      <c r="J49" s="599" t="b">
        <f t="shared" si="2"/>
        <v>0</v>
      </c>
      <c r="K49" s="599" t="b">
        <f t="shared" si="9"/>
        <v>0</v>
      </c>
      <c r="L49" s="599" t="b">
        <f>IF(D49="n/a","n/a",ISNUMBER(MATCH(D49,'Measure Level Adjustments Tab'!K:K,0)))</f>
        <v>1</v>
      </c>
      <c r="M49" s="599" t="b">
        <f t="shared" si="3"/>
        <v>0</v>
      </c>
      <c r="N49" s="599" t="b">
        <f t="shared" si="4"/>
        <v>0</v>
      </c>
      <c r="O49" s="599" t="s">
        <v>304</v>
      </c>
      <c r="P49" s="599" t="s">
        <v>304</v>
      </c>
      <c r="Q49" s="599"/>
      <c r="R49" s="599" t="str">
        <f t="shared" si="1"/>
        <v/>
      </c>
    </row>
    <row r="50" spans="2:18" x14ac:dyDescent="0.35">
      <c r="B50" s="2673" t="s">
        <v>3405</v>
      </c>
      <c r="C50" s="2673" t="s">
        <v>3424</v>
      </c>
      <c r="D50" s="2674" t="s">
        <v>3106</v>
      </c>
      <c r="E50" s="2673" t="s">
        <v>3431</v>
      </c>
      <c r="F50" s="2673" t="s">
        <v>3635</v>
      </c>
      <c r="G50" s="2673" t="s">
        <v>3402</v>
      </c>
      <c r="H50" s="2673" t="s">
        <v>3634</v>
      </c>
      <c r="I50" s="2673" t="s">
        <v>820</v>
      </c>
      <c r="J50" s="599" t="b">
        <f t="shared" si="2"/>
        <v>0</v>
      </c>
      <c r="K50" s="599" t="b">
        <f t="shared" si="9"/>
        <v>0</v>
      </c>
      <c r="L50" s="599" t="b">
        <f>IF(D50="n/a","n/a",ISNUMBER(MATCH(D50,'Measure Level Adjustments Tab'!K:K,0)))</f>
        <v>1</v>
      </c>
      <c r="M50" s="599" t="b">
        <f t="shared" si="3"/>
        <v>0</v>
      </c>
      <c r="N50" s="599" t="b">
        <f t="shared" si="4"/>
        <v>0</v>
      </c>
      <c r="O50" s="599" t="s">
        <v>304</v>
      </c>
      <c r="P50" s="599" t="s">
        <v>304</v>
      </c>
      <c r="Q50" s="599"/>
      <c r="R50" s="599" t="str">
        <f t="shared" si="1"/>
        <v/>
      </c>
    </row>
    <row r="51" spans="2:18" x14ac:dyDescent="0.35">
      <c r="B51" s="2673" t="s">
        <v>3405</v>
      </c>
      <c r="C51" s="2673" t="s">
        <v>3424</v>
      </c>
      <c r="D51" s="2674" t="s">
        <v>3235</v>
      </c>
      <c r="E51" s="2673" t="s">
        <v>3433</v>
      </c>
      <c r="F51" s="2673" t="s">
        <v>3637</v>
      </c>
      <c r="G51" s="2673" t="s">
        <v>3402</v>
      </c>
      <c r="H51" s="2673" t="s">
        <v>3638</v>
      </c>
      <c r="I51" s="2673" t="s">
        <v>3639</v>
      </c>
      <c r="J51" s="599" t="b">
        <f t="shared" si="2"/>
        <v>1</v>
      </c>
      <c r="K51" s="599" t="b">
        <f t="shared" si="9"/>
        <v>1</v>
      </c>
      <c r="L51" s="599" t="b">
        <f>IF(D51="n/a","n/a",ISNUMBER(MATCH(D51,'Measure Level Adjustments Tab'!K:K,0)))</f>
        <v>0</v>
      </c>
      <c r="M51" s="599" t="b">
        <f t="shared" si="3"/>
        <v>0</v>
      </c>
      <c r="N51" s="599" t="b">
        <f t="shared" si="4"/>
        <v>0</v>
      </c>
      <c r="O51" s="599" t="s">
        <v>304</v>
      </c>
      <c r="P51" s="599" t="s">
        <v>304</v>
      </c>
      <c r="Q51" s="599"/>
      <c r="R51" s="599" t="str">
        <f t="shared" si="1"/>
        <v/>
      </c>
    </row>
    <row r="52" spans="2:18" x14ac:dyDescent="0.35">
      <c r="B52" s="2673" t="s">
        <v>3405</v>
      </c>
      <c r="C52" s="2673" t="s">
        <v>3424</v>
      </c>
      <c r="D52" s="2674" t="s">
        <v>3235</v>
      </c>
      <c r="E52" s="2673" t="s">
        <v>3433</v>
      </c>
      <c r="F52" s="2673" t="s">
        <v>3637</v>
      </c>
      <c r="G52" s="2673" t="s">
        <v>3402</v>
      </c>
      <c r="H52" s="2673" t="s">
        <v>3640</v>
      </c>
      <c r="I52" s="2673" t="s">
        <v>3639</v>
      </c>
      <c r="J52" s="599" t="b">
        <f t="shared" si="2"/>
        <v>1</v>
      </c>
      <c r="K52" s="599" t="b">
        <f t="shared" si="9"/>
        <v>1</v>
      </c>
      <c r="L52" s="599" t="b">
        <f>IF(D52="n/a","n/a",ISNUMBER(MATCH(D52,'Measure Level Adjustments Tab'!K:K,0)))</f>
        <v>0</v>
      </c>
      <c r="M52" s="599" t="b">
        <f t="shared" si="3"/>
        <v>0</v>
      </c>
      <c r="N52" s="599" t="b">
        <f t="shared" si="4"/>
        <v>0</v>
      </c>
      <c r="O52" s="599" t="s">
        <v>304</v>
      </c>
      <c r="P52" s="599" t="s">
        <v>304</v>
      </c>
      <c r="Q52" s="599"/>
      <c r="R52" s="599" t="str">
        <f t="shared" si="1"/>
        <v/>
      </c>
    </row>
    <row r="53" spans="2:18" x14ac:dyDescent="0.35">
      <c r="B53" s="2673" t="s">
        <v>3405</v>
      </c>
      <c r="C53" s="2673" t="s">
        <v>3424</v>
      </c>
      <c r="D53" s="2674" t="s">
        <v>3252</v>
      </c>
      <c r="E53" s="2673" t="s">
        <v>3434</v>
      </c>
      <c r="F53" s="2673" t="s">
        <v>3641</v>
      </c>
      <c r="G53" s="2673" t="s">
        <v>3402</v>
      </c>
      <c r="H53" s="2675" t="s">
        <v>3620</v>
      </c>
      <c r="I53" s="2673" t="s">
        <v>820</v>
      </c>
      <c r="J53" s="599" t="b">
        <f t="shared" si="2"/>
        <v>0</v>
      </c>
      <c r="K53" s="599" t="b">
        <f t="shared" si="9"/>
        <v>0</v>
      </c>
      <c r="L53" s="599" t="b">
        <f>IF(D53="n/a","n/a",ISNUMBER(MATCH(D53,'Measure Level Adjustments Tab'!K:K,0)))</f>
        <v>0</v>
      </c>
      <c r="M53" s="599" t="b">
        <f t="shared" si="3"/>
        <v>0</v>
      </c>
      <c r="N53" s="599" t="b">
        <f t="shared" si="4"/>
        <v>0</v>
      </c>
      <c r="O53" s="599" t="s">
        <v>304</v>
      </c>
      <c r="P53" s="599" t="s">
        <v>304</v>
      </c>
      <c r="Q53" s="599"/>
      <c r="R53" s="599" t="str">
        <f t="shared" si="1"/>
        <v/>
      </c>
    </row>
    <row r="54" spans="2:18" x14ac:dyDescent="0.35">
      <c r="B54" s="2673" t="s">
        <v>3405</v>
      </c>
      <c r="C54" s="2673" t="s">
        <v>3424</v>
      </c>
      <c r="D54" s="2674" t="s">
        <v>3246</v>
      </c>
      <c r="E54" s="2673" t="s">
        <v>3642</v>
      </c>
      <c r="F54" s="2673" t="s">
        <v>3643</v>
      </c>
      <c r="G54" s="2673" t="s">
        <v>3402</v>
      </c>
      <c r="H54" s="2673" t="s">
        <v>3644</v>
      </c>
      <c r="I54" s="2673" t="s">
        <v>3409</v>
      </c>
      <c r="J54" s="599" t="b">
        <f t="shared" si="2"/>
        <v>1</v>
      </c>
      <c r="K54" s="599" t="b">
        <f t="shared" si="9"/>
        <v>1</v>
      </c>
      <c r="L54" s="599" t="b">
        <f>IF(D54="n/a","n/a",ISNUMBER(MATCH(D54,'Measure Level Adjustments Tab'!K:K,0)))</f>
        <v>1</v>
      </c>
      <c r="M54" s="599" t="b">
        <f t="shared" si="3"/>
        <v>0</v>
      </c>
      <c r="N54" s="599" t="b">
        <f t="shared" si="4"/>
        <v>1</v>
      </c>
      <c r="O54" s="599" t="s">
        <v>304</v>
      </c>
      <c r="P54" s="599" t="s">
        <v>3928</v>
      </c>
      <c r="Q54" s="599"/>
      <c r="R54" s="599" t="str">
        <f t="shared" si="1"/>
        <v/>
      </c>
    </row>
    <row r="55" spans="2:18" x14ac:dyDescent="0.35">
      <c r="B55" s="2673" t="s">
        <v>3405</v>
      </c>
      <c r="C55" s="2673" t="s">
        <v>3424</v>
      </c>
      <c r="D55" s="2674" t="s">
        <v>3246</v>
      </c>
      <c r="E55" s="2673" t="s">
        <v>3642</v>
      </c>
      <c r="F55" s="2673" t="s">
        <v>3643</v>
      </c>
      <c r="G55" s="2673" t="s">
        <v>3402</v>
      </c>
      <c r="H55" s="2673" t="s">
        <v>3645</v>
      </c>
      <c r="I55" s="2673" t="s">
        <v>3409</v>
      </c>
      <c r="J55" s="599" t="b">
        <f t="shared" si="2"/>
        <v>1</v>
      </c>
      <c r="K55" s="599" t="b">
        <f t="shared" si="9"/>
        <v>1</v>
      </c>
      <c r="L55" s="599" t="b">
        <f>IF(D55="n/a","n/a",ISNUMBER(MATCH(D55,'Measure Level Adjustments Tab'!K:K,0)))</f>
        <v>1</v>
      </c>
      <c r="M55" s="599" t="b">
        <f t="shared" si="3"/>
        <v>0</v>
      </c>
      <c r="N55" s="599" t="b">
        <f t="shared" si="4"/>
        <v>1</v>
      </c>
      <c r="O55" s="599" t="s">
        <v>304</v>
      </c>
      <c r="P55" s="599" t="s">
        <v>3910</v>
      </c>
      <c r="Q55" s="599"/>
      <c r="R55" s="599" t="str">
        <f t="shared" si="1"/>
        <v/>
      </c>
    </row>
    <row r="56" spans="2:18" x14ac:dyDescent="0.35">
      <c r="B56" s="2673" t="s">
        <v>3405</v>
      </c>
      <c r="C56" s="2673" t="s">
        <v>3424</v>
      </c>
      <c r="D56" s="2674" t="s">
        <v>3246</v>
      </c>
      <c r="E56" s="2673" t="s">
        <v>3642</v>
      </c>
      <c r="F56" s="2673" t="s">
        <v>3643</v>
      </c>
      <c r="G56" s="2673" t="s">
        <v>3402</v>
      </c>
      <c r="H56" s="2673" t="s">
        <v>3646</v>
      </c>
      <c r="I56" s="2673" t="s">
        <v>3409</v>
      </c>
      <c r="J56" s="599" t="b">
        <f t="shared" si="2"/>
        <v>1</v>
      </c>
      <c r="K56" s="599" t="b">
        <f t="shared" si="9"/>
        <v>1</v>
      </c>
      <c r="L56" s="599" t="b">
        <f>IF(D56="n/a","n/a",ISNUMBER(MATCH(D56,'Measure Level Adjustments Tab'!K:K,0)))</f>
        <v>1</v>
      </c>
      <c r="M56" s="599" t="b">
        <f t="shared" si="3"/>
        <v>0</v>
      </c>
      <c r="N56" s="599" t="b">
        <f t="shared" si="4"/>
        <v>1</v>
      </c>
      <c r="O56" s="599" t="s">
        <v>304</v>
      </c>
      <c r="P56" s="599" t="s">
        <v>3928</v>
      </c>
      <c r="Q56" s="599"/>
      <c r="R56" s="599" t="str">
        <f t="shared" si="1"/>
        <v/>
      </c>
    </row>
    <row r="57" spans="2:18" x14ac:dyDescent="0.35">
      <c r="B57" s="2673" t="s">
        <v>3405</v>
      </c>
      <c r="C57" s="2673" t="s">
        <v>3424</v>
      </c>
      <c r="D57" s="2674" t="s">
        <v>3255</v>
      </c>
      <c r="E57" s="2673" t="s">
        <v>3435</v>
      </c>
      <c r="F57" s="2673" t="s">
        <v>3647</v>
      </c>
      <c r="G57" s="2673" t="s">
        <v>3403</v>
      </c>
      <c r="H57" s="2673" t="s">
        <v>3648</v>
      </c>
      <c r="I57" s="2673" t="s">
        <v>3649</v>
      </c>
      <c r="J57" s="599" t="b">
        <f t="shared" si="2"/>
        <v>1</v>
      </c>
      <c r="K57" s="599" t="b">
        <f t="shared" si="9"/>
        <v>1</v>
      </c>
      <c r="L57" s="599" t="b">
        <f>IF(D57="n/a","n/a",ISNUMBER(MATCH(D57,'Measure Level Adjustments Tab'!K:K,0)))</f>
        <v>0</v>
      </c>
      <c r="M57" s="599" t="b">
        <f t="shared" si="3"/>
        <v>0</v>
      </c>
      <c r="N57" s="599" t="b">
        <f t="shared" si="4"/>
        <v>0</v>
      </c>
      <c r="O57" s="599" t="s">
        <v>304</v>
      </c>
      <c r="P57" s="599" t="s">
        <v>304</v>
      </c>
      <c r="Q57" s="2678"/>
      <c r="R57" s="2677" t="str">
        <f>IF(Q57="","",HYPERLINK("#'"&amp;Q57,"Go To Update"))</f>
        <v/>
      </c>
    </row>
    <row r="58" spans="2:18" x14ac:dyDescent="0.35">
      <c r="B58" s="2673" t="s">
        <v>3405</v>
      </c>
      <c r="C58" s="2673" t="s">
        <v>3424</v>
      </c>
      <c r="D58" s="2674" t="s">
        <v>3255</v>
      </c>
      <c r="E58" s="2673" t="s">
        <v>3435</v>
      </c>
      <c r="F58" s="2673" t="s">
        <v>3650</v>
      </c>
      <c r="G58" s="2673" t="s">
        <v>3402</v>
      </c>
      <c r="H58" s="2675" t="s">
        <v>3620</v>
      </c>
      <c r="I58" s="2673" t="s">
        <v>3651</v>
      </c>
      <c r="J58" s="599" t="b">
        <f t="shared" si="2"/>
        <v>1</v>
      </c>
      <c r="K58" s="599" t="b">
        <f t="shared" si="9"/>
        <v>1</v>
      </c>
      <c r="L58" s="599" t="b">
        <f>IF(D58="n/a","n/a",ISNUMBER(MATCH(D58,'Measure Level Adjustments Tab'!K:K,0)))</f>
        <v>0</v>
      </c>
      <c r="M58" s="599" t="b">
        <f t="shared" si="3"/>
        <v>0</v>
      </c>
      <c r="N58" s="599" t="b">
        <f t="shared" si="4"/>
        <v>0</v>
      </c>
      <c r="O58" s="599" t="s">
        <v>304</v>
      </c>
      <c r="P58" s="599" t="s">
        <v>304</v>
      </c>
      <c r="Q58" s="599"/>
      <c r="R58" s="599" t="str">
        <f t="shared" ref="R58:R121" si="10">IF(Q58="","",HYPERLINK("#'"&amp;Q58,"Go To Update"))</f>
        <v/>
      </c>
    </row>
    <row r="59" spans="2:18" x14ac:dyDescent="0.35">
      <c r="B59" s="2673" t="s">
        <v>3405</v>
      </c>
      <c r="C59" s="2673" t="s">
        <v>3424</v>
      </c>
      <c r="D59" s="2674" t="s">
        <v>3255</v>
      </c>
      <c r="E59" s="2673" t="s">
        <v>3435</v>
      </c>
      <c r="F59" s="2673" t="s">
        <v>3650</v>
      </c>
      <c r="G59" s="2673" t="s">
        <v>3402</v>
      </c>
      <c r="H59" s="2675" t="s">
        <v>3652</v>
      </c>
      <c r="I59" s="2673" t="s">
        <v>3651</v>
      </c>
      <c r="J59" s="599" t="b">
        <f t="shared" si="2"/>
        <v>1</v>
      </c>
      <c r="K59" s="599" t="b">
        <f t="shared" si="9"/>
        <v>1</v>
      </c>
      <c r="L59" s="599" t="b">
        <f>IF(D59="n/a","n/a",ISNUMBER(MATCH(D59,'Measure Level Adjustments Tab'!K:K,0)))</f>
        <v>0</v>
      </c>
      <c r="M59" s="599" t="b">
        <f t="shared" si="3"/>
        <v>0</v>
      </c>
      <c r="N59" s="599" t="b">
        <f t="shared" si="4"/>
        <v>0</v>
      </c>
      <c r="O59" s="599" t="s">
        <v>304</v>
      </c>
      <c r="P59" s="599" t="s">
        <v>304</v>
      </c>
      <c r="Q59" s="2678"/>
      <c r="R59" s="2677" t="str">
        <f t="shared" si="10"/>
        <v/>
      </c>
    </row>
    <row r="60" spans="2:18" x14ac:dyDescent="0.35">
      <c r="B60" s="2673" t="s">
        <v>3405</v>
      </c>
      <c r="C60" s="2673" t="s">
        <v>3424</v>
      </c>
      <c r="D60" s="2674" t="s">
        <v>3232</v>
      </c>
      <c r="E60" s="2673" t="s">
        <v>3653</v>
      </c>
      <c r="F60" s="2673" t="s">
        <v>3654</v>
      </c>
      <c r="G60" s="2673" t="s">
        <v>3613</v>
      </c>
      <c r="H60" s="2676" t="s">
        <v>3655</v>
      </c>
      <c r="I60" s="2673" t="s">
        <v>820</v>
      </c>
      <c r="J60" s="599" t="b">
        <f t="shared" si="2"/>
        <v>0</v>
      </c>
      <c r="K60" s="599" t="b">
        <f t="shared" si="9"/>
        <v>0</v>
      </c>
      <c r="L60" s="599" t="b">
        <f>IF(D60="n/a","n/a",ISNUMBER(MATCH(D60,'Measure Level Adjustments Tab'!K:K,0)))</f>
        <v>1</v>
      </c>
      <c r="M60" s="599" t="b">
        <f t="shared" si="3"/>
        <v>0</v>
      </c>
      <c r="N60" s="599" t="b">
        <f t="shared" si="4"/>
        <v>0</v>
      </c>
      <c r="O60" s="599" t="s">
        <v>304</v>
      </c>
      <c r="P60" s="599" t="s">
        <v>304</v>
      </c>
      <c r="Q60" s="599"/>
      <c r="R60" s="599" t="str">
        <f t="shared" si="10"/>
        <v/>
      </c>
    </row>
    <row r="61" spans="2:18" x14ac:dyDescent="0.35">
      <c r="B61" s="2673" t="s">
        <v>3405</v>
      </c>
      <c r="C61" s="2673" t="s">
        <v>3424</v>
      </c>
      <c r="D61" s="2674" t="s">
        <v>3656</v>
      </c>
      <c r="E61" s="2675" t="s">
        <v>3657</v>
      </c>
      <c r="F61" s="2673" t="s">
        <v>3658</v>
      </c>
      <c r="G61" s="2673" t="s">
        <v>3402</v>
      </c>
      <c r="H61" s="2675" t="s">
        <v>3659</v>
      </c>
      <c r="I61" s="2673" t="s">
        <v>820</v>
      </c>
      <c r="J61" s="599" t="b">
        <f t="shared" si="2"/>
        <v>0</v>
      </c>
      <c r="K61" s="599" t="b">
        <f t="shared" si="9"/>
        <v>0</v>
      </c>
      <c r="L61" s="599" t="b">
        <f>IF(D61="n/a","n/a",ISNUMBER(MATCH(D61,'Measure Level Adjustments Tab'!K:K,0)))</f>
        <v>0</v>
      </c>
      <c r="M61" s="599" t="b">
        <f t="shared" si="3"/>
        <v>0</v>
      </c>
      <c r="N61" s="599" t="b">
        <f t="shared" si="4"/>
        <v>0</v>
      </c>
      <c r="O61" s="599" t="s">
        <v>304</v>
      </c>
      <c r="P61" s="599" t="s">
        <v>304</v>
      </c>
      <c r="Q61" s="599"/>
      <c r="R61" s="599" t="str">
        <f t="shared" si="10"/>
        <v/>
      </c>
    </row>
    <row r="62" spans="2:18" x14ac:dyDescent="0.35">
      <c r="B62" s="2673" t="s">
        <v>3405</v>
      </c>
      <c r="C62" s="2673" t="s">
        <v>3424</v>
      </c>
      <c r="D62" s="2674" t="s">
        <v>3660</v>
      </c>
      <c r="E62" s="2673" t="s">
        <v>3661</v>
      </c>
      <c r="F62" s="2673" t="s">
        <v>3662</v>
      </c>
      <c r="G62" s="2673" t="s">
        <v>3402</v>
      </c>
      <c r="H62" s="2675" t="s">
        <v>3663</v>
      </c>
      <c r="I62" s="2673" t="s">
        <v>820</v>
      </c>
      <c r="J62" s="599" t="b">
        <f t="shared" si="2"/>
        <v>0</v>
      </c>
      <c r="K62" s="599" t="b">
        <f t="shared" si="9"/>
        <v>0</v>
      </c>
      <c r="L62" s="599" t="b">
        <f>IF(D62="n/a","n/a",ISNUMBER(MATCH(D62,'Measure Level Adjustments Tab'!K:K,0)))</f>
        <v>0</v>
      </c>
      <c r="M62" s="599" t="b">
        <f t="shared" si="3"/>
        <v>0</v>
      </c>
      <c r="N62" s="599" t="b">
        <f t="shared" si="4"/>
        <v>0</v>
      </c>
      <c r="O62" s="599" t="s">
        <v>304</v>
      </c>
      <c r="P62" s="599" t="s">
        <v>304</v>
      </c>
      <c r="Q62" s="599"/>
      <c r="R62" s="599" t="str">
        <f t="shared" si="10"/>
        <v/>
      </c>
    </row>
    <row r="63" spans="2:18" x14ac:dyDescent="0.35">
      <c r="B63" s="2673" t="s">
        <v>3405</v>
      </c>
      <c r="C63" s="2673" t="s">
        <v>3424</v>
      </c>
      <c r="D63" s="2674" t="s">
        <v>3437</v>
      </c>
      <c r="E63" s="2673" t="s">
        <v>3664</v>
      </c>
      <c r="F63" s="2673" t="s">
        <v>3438</v>
      </c>
      <c r="G63" s="2673" t="s">
        <v>3613</v>
      </c>
      <c r="H63" s="2675" t="s">
        <v>3665</v>
      </c>
      <c r="I63" s="2673" t="s">
        <v>820</v>
      </c>
      <c r="J63" s="599" t="b">
        <f t="shared" si="2"/>
        <v>0</v>
      </c>
      <c r="K63" s="599" t="b">
        <f t="shared" si="9"/>
        <v>0</v>
      </c>
      <c r="L63" s="599" t="b">
        <f>IF(D63="n/a","n/a",ISNUMBER(MATCH(D63,'Measure Level Adjustments Tab'!K:K,0)))</f>
        <v>0</v>
      </c>
      <c r="M63" s="599" t="b">
        <f t="shared" si="3"/>
        <v>0</v>
      </c>
      <c r="N63" s="599" t="b">
        <f t="shared" si="4"/>
        <v>0</v>
      </c>
      <c r="O63" s="599" t="s">
        <v>304</v>
      </c>
      <c r="P63" s="599" t="s">
        <v>304</v>
      </c>
      <c r="Q63" s="599"/>
      <c r="R63" s="599" t="str">
        <f t="shared" si="10"/>
        <v/>
      </c>
    </row>
    <row r="64" spans="2:18" x14ac:dyDescent="0.35">
      <c r="B64" s="2673" t="s">
        <v>3405</v>
      </c>
      <c r="C64" s="2673" t="s">
        <v>3424</v>
      </c>
      <c r="D64" s="2674" t="s">
        <v>3258</v>
      </c>
      <c r="E64" s="2673" t="s">
        <v>3666</v>
      </c>
      <c r="F64" s="2673" t="s">
        <v>3667</v>
      </c>
      <c r="G64" s="2673" t="s">
        <v>3403</v>
      </c>
      <c r="H64" s="2673" t="s">
        <v>3668</v>
      </c>
      <c r="I64" s="2673" t="s">
        <v>3429</v>
      </c>
      <c r="J64" s="599" t="b">
        <f t="shared" si="2"/>
        <v>1</v>
      </c>
      <c r="K64" s="599" t="b">
        <f t="shared" si="9"/>
        <v>1</v>
      </c>
      <c r="L64" s="599" t="b">
        <f>IF(D64="n/a","n/a",ISNUMBER(MATCH(D64,'Measure Level Adjustments Tab'!K:K,0)))</f>
        <v>0</v>
      </c>
      <c r="M64" s="599" t="b">
        <f t="shared" si="3"/>
        <v>0</v>
      </c>
      <c r="N64" s="599" t="b">
        <f t="shared" si="4"/>
        <v>0</v>
      </c>
      <c r="O64" s="599" t="s">
        <v>304</v>
      </c>
      <c r="P64" s="599" t="s">
        <v>304</v>
      </c>
      <c r="Q64" s="599"/>
      <c r="R64" s="599" t="str">
        <f t="shared" si="10"/>
        <v/>
      </c>
    </row>
    <row r="65" spans="2:18" x14ac:dyDescent="0.35">
      <c r="B65" s="2673" t="s">
        <v>3405</v>
      </c>
      <c r="C65" s="2673" t="s">
        <v>3424</v>
      </c>
      <c r="D65" s="2674" t="s">
        <v>3258</v>
      </c>
      <c r="E65" s="2673" t="s">
        <v>3666</v>
      </c>
      <c r="F65" s="2673" t="s">
        <v>3669</v>
      </c>
      <c r="G65" s="2673" t="s">
        <v>3402</v>
      </c>
      <c r="H65" s="2675" t="s">
        <v>3620</v>
      </c>
      <c r="I65" s="2673" t="s">
        <v>3651</v>
      </c>
      <c r="J65" s="599" t="b">
        <f t="shared" si="2"/>
        <v>1</v>
      </c>
      <c r="K65" s="599" t="b">
        <f t="shared" si="9"/>
        <v>1</v>
      </c>
      <c r="L65" s="599" t="b">
        <f>IF(D65="n/a","n/a",ISNUMBER(MATCH(D65,'Measure Level Adjustments Tab'!K:K,0)))</f>
        <v>0</v>
      </c>
      <c r="M65" s="599" t="b">
        <f t="shared" si="3"/>
        <v>0</v>
      </c>
      <c r="N65" s="599" t="b">
        <f t="shared" si="4"/>
        <v>0</v>
      </c>
      <c r="O65" s="599" t="s">
        <v>304</v>
      </c>
      <c r="P65" s="599" t="s">
        <v>304</v>
      </c>
      <c r="Q65" s="599"/>
      <c r="R65" s="599" t="str">
        <f t="shared" si="10"/>
        <v/>
      </c>
    </row>
    <row r="66" spans="2:18" x14ac:dyDescent="0.35">
      <c r="B66" s="2673" t="s">
        <v>3405</v>
      </c>
      <c r="C66" s="2673" t="s">
        <v>3424</v>
      </c>
      <c r="D66" s="2674" t="s">
        <v>3258</v>
      </c>
      <c r="E66" s="2673" t="s">
        <v>3666</v>
      </c>
      <c r="F66" s="2673" t="s">
        <v>3669</v>
      </c>
      <c r="G66" s="2673" t="s">
        <v>3402</v>
      </c>
      <c r="H66" s="2675" t="s">
        <v>3670</v>
      </c>
      <c r="I66" s="2673" t="s">
        <v>3651</v>
      </c>
      <c r="J66" s="599" t="b">
        <f t="shared" si="2"/>
        <v>1</v>
      </c>
      <c r="K66" s="599" t="b">
        <f t="shared" si="9"/>
        <v>1</v>
      </c>
      <c r="L66" s="599" t="b">
        <f>IF(D66="n/a","n/a",ISNUMBER(MATCH(D66,'Measure Level Adjustments Tab'!K:K,0)))</f>
        <v>0</v>
      </c>
      <c r="M66" s="599" t="b">
        <f t="shared" si="3"/>
        <v>0</v>
      </c>
      <c r="N66" s="599" t="b">
        <f t="shared" si="4"/>
        <v>0</v>
      </c>
      <c r="O66" s="599" t="s">
        <v>304</v>
      </c>
      <c r="P66" s="599" t="s">
        <v>304</v>
      </c>
      <c r="Q66" s="2678"/>
      <c r="R66" s="2677" t="str">
        <f t="shared" si="10"/>
        <v/>
      </c>
    </row>
    <row r="67" spans="2:18" x14ac:dyDescent="0.35">
      <c r="B67" s="2673" t="s">
        <v>3405</v>
      </c>
      <c r="C67" s="2673" t="s">
        <v>3424</v>
      </c>
      <c r="D67" s="2674" t="s">
        <v>3134</v>
      </c>
      <c r="E67" s="2673" t="s">
        <v>3441</v>
      </c>
      <c r="F67" s="2673" t="s">
        <v>3671</v>
      </c>
      <c r="G67" s="2673" t="s">
        <v>3402</v>
      </c>
      <c r="H67" s="2675" t="s">
        <v>3620</v>
      </c>
      <c r="I67" s="2673" t="s">
        <v>820</v>
      </c>
      <c r="J67" s="599" t="b">
        <f t="shared" si="2"/>
        <v>0</v>
      </c>
      <c r="K67" s="599" t="b">
        <f t="shared" si="9"/>
        <v>0</v>
      </c>
      <c r="L67" s="599" t="b">
        <f>IF(D67="n/a","n/a",ISNUMBER(MATCH(D67,'Measure Level Adjustments Tab'!K:K,0)))</f>
        <v>1</v>
      </c>
      <c r="M67" s="599" t="b">
        <f t="shared" si="3"/>
        <v>0</v>
      </c>
      <c r="N67" s="599" t="b">
        <f t="shared" si="4"/>
        <v>0</v>
      </c>
      <c r="O67" s="599" t="s">
        <v>304</v>
      </c>
      <c r="P67" s="599" t="s">
        <v>304</v>
      </c>
      <c r="Q67" s="599"/>
      <c r="R67" s="599" t="str">
        <f t="shared" si="10"/>
        <v/>
      </c>
    </row>
    <row r="68" spans="2:18" x14ac:dyDescent="0.35">
      <c r="B68" s="2673" t="s">
        <v>3405</v>
      </c>
      <c r="C68" s="2673" t="s">
        <v>3424</v>
      </c>
      <c r="D68" s="2674" t="s">
        <v>3134</v>
      </c>
      <c r="E68" s="2673" t="s">
        <v>3441</v>
      </c>
      <c r="F68" s="2673" t="s">
        <v>3671</v>
      </c>
      <c r="G68" s="2673" t="s">
        <v>3402</v>
      </c>
      <c r="H68" s="2673" t="s">
        <v>3672</v>
      </c>
      <c r="I68" s="2673" t="s">
        <v>820</v>
      </c>
      <c r="J68" s="599" t="b">
        <f t="shared" si="2"/>
        <v>0</v>
      </c>
      <c r="K68" s="599" t="b">
        <f t="shared" si="9"/>
        <v>0</v>
      </c>
      <c r="L68" s="599" t="b">
        <f>IF(D68="n/a","n/a",ISNUMBER(MATCH(D68,'Measure Level Adjustments Tab'!K:K,0)))</f>
        <v>1</v>
      </c>
      <c r="M68" s="599" t="b">
        <f t="shared" si="3"/>
        <v>0</v>
      </c>
      <c r="N68" s="599" t="b">
        <f t="shared" si="4"/>
        <v>0</v>
      </c>
      <c r="O68" s="599" t="s">
        <v>304</v>
      </c>
      <c r="P68" s="599" t="s">
        <v>304</v>
      </c>
      <c r="Q68" s="599"/>
      <c r="R68" s="599" t="str">
        <f t="shared" si="10"/>
        <v/>
      </c>
    </row>
    <row r="69" spans="2:18" x14ac:dyDescent="0.35">
      <c r="B69" s="2673" t="s">
        <v>3405</v>
      </c>
      <c r="C69" s="2673" t="s">
        <v>3424</v>
      </c>
      <c r="D69" s="2674" t="s">
        <v>3214</v>
      </c>
      <c r="E69" s="2673" t="s">
        <v>3442</v>
      </c>
      <c r="F69" s="2673" t="s">
        <v>3673</v>
      </c>
      <c r="G69" s="2673" t="s">
        <v>3402</v>
      </c>
      <c r="H69" s="2675" t="s">
        <v>3670</v>
      </c>
      <c r="I69" s="2673" t="s">
        <v>3651</v>
      </c>
      <c r="J69" s="599" t="b">
        <f t="shared" si="2"/>
        <v>1</v>
      </c>
      <c r="K69" s="599" t="b">
        <f t="shared" si="9"/>
        <v>1</v>
      </c>
      <c r="L69" s="599" t="b">
        <f>IF(D69="n/a","n/a",ISNUMBER(MATCH(D69,'Measure Level Adjustments Tab'!K:K,0)))</f>
        <v>0</v>
      </c>
      <c r="M69" s="599" t="b">
        <f t="shared" si="3"/>
        <v>0</v>
      </c>
      <c r="N69" s="599" t="b">
        <f t="shared" si="4"/>
        <v>0</v>
      </c>
      <c r="O69" s="599" t="s">
        <v>304</v>
      </c>
      <c r="P69" s="599" t="s">
        <v>304</v>
      </c>
      <c r="Q69" s="599"/>
      <c r="R69" s="599" t="str">
        <f t="shared" si="10"/>
        <v/>
      </c>
    </row>
    <row r="70" spans="2:18" x14ac:dyDescent="0.35">
      <c r="B70" s="2673" t="s">
        <v>3405</v>
      </c>
      <c r="C70" s="2673" t="s">
        <v>3424</v>
      </c>
      <c r="D70" s="2674" t="s">
        <v>3674</v>
      </c>
      <c r="E70" s="2675" t="s">
        <v>3675</v>
      </c>
      <c r="F70" s="2673" t="s">
        <v>3676</v>
      </c>
      <c r="G70" s="2673" t="s">
        <v>3402</v>
      </c>
      <c r="H70" s="2675" t="s">
        <v>3677</v>
      </c>
      <c r="I70" s="2673" t="s">
        <v>3429</v>
      </c>
      <c r="J70" s="599" t="b">
        <f t="shared" si="2"/>
        <v>1</v>
      </c>
      <c r="K70" s="599" t="b">
        <f t="shared" si="9"/>
        <v>1</v>
      </c>
      <c r="L70" s="599" t="b">
        <f>IF(D70="n/a","n/a",ISNUMBER(MATCH(D70,'Measure Level Adjustments Tab'!K:K,0)))</f>
        <v>0</v>
      </c>
      <c r="M70" s="599" t="b">
        <f t="shared" si="3"/>
        <v>0</v>
      </c>
      <c r="N70" s="599" t="b">
        <f t="shared" si="4"/>
        <v>0</v>
      </c>
      <c r="O70" s="599" t="s">
        <v>304</v>
      </c>
      <c r="P70" s="599" t="s">
        <v>304</v>
      </c>
      <c r="Q70" s="599"/>
      <c r="R70" s="599" t="str">
        <f t="shared" si="10"/>
        <v/>
      </c>
    </row>
    <row r="71" spans="2:18" x14ac:dyDescent="0.35">
      <c r="B71" s="2673" t="s">
        <v>3405</v>
      </c>
      <c r="C71" s="2673" t="s">
        <v>3424</v>
      </c>
      <c r="D71" s="2674" t="s">
        <v>3444</v>
      </c>
      <c r="E71" s="2675" t="s">
        <v>3443</v>
      </c>
      <c r="F71" s="2673" t="s">
        <v>3678</v>
      </c>
      <c r="G71" s="2673" t="s">
        <v>3402</v>
      </c>
      <c r="H71" s="2675" t="s">
        <v>3679</v>
      </c>
      <c r="I71" s="2673" t="s">
        <v>820</v>
      </c>
      <c r="J71" s="599" t="b">
        <f t="shared" si="2"/>
        <v>0</v>
      </c>
      <c r="K71" s="599" t="b">
        <f t="shared" ref="K71:K102" si="11">COUNTIFS(D:D,D71,J:J,TRUE)&gt;0</f>
        <v>0</v>
      </c>
      <c r="L71" s="599" t="b">
        <f>IF(D71="n/a","n/a",ISNUMBER(MATCH(D71,'Measure Level Adjustments Tab'!K:K,0)))</f>
        <v>0</v>
      </c>
      <c r="M71" s="599" t="b">
        <f t="shared" si="3"/>
        <v>0</v>
      </c>
      <c r="N71" s="599" t="b">
        <f t="shared" si="4"/>
        <v>0</v>
      </c>
      <c r="O71" s="599" t="s">
        <v>304</v>
      </c>
      <c r="P71" s="599" t="s">
        <v>304</v>
      </c>
      <c r="Q71" s="599"/>
      <c r="R71" s="599" t="str">
        <f t="shared" si="10"/>
        <v/>
      </c>
    </row>
    <row r="72" spans="2:18" x14ac:dyDescent="0.35">
      <c r="B72" s="2673" t="s">
        <v>3405</v>
      </c>
      <c r="C72" s="2673" t="s">
        <v>3424</v>
      </c>
      <c r="D72" s="2674" t="s">
        <v>3181</v>
      </c>
      <c r="E72" s="2673" t="s">
        <v>3680</v>
      </c>
      <c r="F72" s="2673" t="s">
        <v>3681</v>
      </c>
      <c r="G72" s="2673" t="s">
        <v>3402</v>
      </c>
      <c r="H72" s="2675" t="s">
        <v>3620</v>
      </c>
      <c r="I72" s="2673" t="s">
        <v>820</v>
      </c>
      <c r="J72" s="599" t="b">
        <f t="shared" ref="J72:J139" si="12">I72&lt;&gt;"N/A"</f>
        <v>0</v>
      </c>
      <c r="K72" s="599" t="b">
        <f t="shared" si="11"/>
        <v>0</v>
      </c>
      <c r="L72" s="599" t="b">
        <f>IF(D72="n/a","n/a",ISNUMBER(MATCH(D72,'Measure Level Adjustments Tab'!K:K,0)))</f>
        <v>1</v>
      </c>
      <c r="M72" s="599" t="b">
        <f t="shared" ref="M72:M135" si="13">AND(G72="Errata",J72,L72)</f>
        <v>0</v>
      </c>
      <c r="N72" s="599" t="b">
        <f t="shared" ref="N72:N135" si="14">AND(G72="Revision",J72,L72)</f>
        <v>0</v>
      </c>
      <c r="O72" s="599" t="s">
        <v>304</v>
      </c>
      <c r="P72" s="599" t="s">
        <v>304</v>
      </c>
      <c r="Q72" s="599"/>
      <c r="R72" s="599" t="str">
        <f t="shared" si="10"/>
        <v/>
      </c>
    </row>
    <row r="73" spans="2:18" x14ac:dyDescent="0.35">
      <c r="B73" s="2673" t="s">
        <v>3405</v>
      </c>
      <c r="C73" s="2673" t="s">
        <v>3424</v>
      </c>
      <c r="D73" s="2674" t="s">
        <v>3181</v>
      </c>
      <c r="E73" s="2673" t="s">
        <v>3680</v>
      </c>
      <c r="F73" s="2673" t="s">
        <v>3681</v>
      </c>
      <c r="G73" s="2673" t="s">
        <v>3402</v>
      </c>
      <c r="H73" s="2675" t="s">
        <v>3682</v>
      </c>
      <c r="I73" s="2673" t="s">
        <v>820</v>
      </c>
      <c r="J73" s="599" t="b">
        <f t="shared" si="12"/>
        <v>0</v>
      </c>
      <c r="K73" s="599" t="b">
        <f t="shared" si="11"/>
        <v>0</v>
      </c>
      <c r="L73" s="599" t="b">
        <f>IF(D73="n/a","n/a",ISNUMBER(MATCH(D73,'Measure Level Adjustments Tab'!K:K,0)))</f>
        <v>1</v>
      </c>
      <c r="M73" s="599" t="b">
        <f t="shared" si="13"/>
        <v>0</v>
      </c>
      <c r="N73" s="599" t="b">
        <f t="shared" si="14"/>
        <v>0</v>
      </c>
      <c r="O73" s="599" t="s">
        <v>304</v>
      </c>
      <c r="P73" s="599" t="s">
        <v>304</v>
      </c>
      <c r="Q73" s="599"/>
      <c r="R73" s="599" t="str">
        <f t="shared" si="10"/>
        <v/>
      </c>
    </row>
    <row r="74" spans="2:18" x14ac:dyDescent="0.35">
      <c r="B74" s="2673" t="s">
        <v>3405</v>
      </c>
      <c r="C74" s="2673" t="s">
        <v>3424</v>
      </c>
      <c r="D74" s="2674" t="s">
        <v>3098</v>
      </c>
      <c r="E74" s="2673" t="s">
        <v>3445</v>
      </c>
      <c r="F74" s="2673" t="s">
        <v>3683</v>
      </c>
      <c r="G74" s="2673" t="s">
        <v>3402</v>
      </c>
      <c r="H74" s="2675" t="s">
        <v>3684</v>
      </c>
      <c r="I74" s="2673" t="s">
        <v>820</v>
      </c>
      <c r="J74" s="599" t="b">
        <f t="shared" si="12"/>
        <v>0</v>
      </c>
      <c r="K74" s="599" t="b">
        <f t="shared" si="11"/>
        <v>0</v>
      </c>
      <c r="L74" s="599" t="b">
        <f>IF(D74="n/a","n/a",ISNUMBER(MATCH(D74,'Measure Level Adjustments Tab'!K:K,0)))</f>
        <v>1</v>
      </c>
      <c r="M74" s="599" t="b">
        <f t="shared" si="13"/>
        <v>0</v>
      </c>
      <c r="N74" s="599" t="b">
        <f t="shared" si="14"/>
        <v>0</v>
      </c>
      <c r="O74" s="599" t="s">
        <v>304</v>
      </c>
      <c r="P74" s="599" t="s">
        <v>304</v>
      </c>
      <c r="Q74" s="599"/>
      <c r="R74" s="599" t="str">
        <f t="shared" si="10"/>
        <v/>
      </c>
    </row>
    <row r="75" spans="2:18" x14ac:dyDescent="0.35">
      <c r="B75" s="2673" t="s">
        <v>3405</v>
      </c>
      <c r="C75" s="2673" t="s">
        <v>3424</v>
      </c>
      <c r="D75" s="2674" t="s">
        <v>3448</v>
      </c>
      <c r="E75" s="2673" t="s">
        <v>3447</v>
      </c>
      <c r="F75" s="2673" t="s">
        <v>3685</v>
      </c>
      <c r="G75" s="2673" t="s">
        <v>3402</v>
      </c>
      <c r="H75" s="2673" t="s">
        <v>3686</v>
      </c>
      <c r="I75" s="2673" t="s">
        <v>820</v>
      </c>
      <c r="J75" s="599" t="b">
        <f t="shared" si="12"/>
        <v>0</v>
      </c>
      <c r="K75" s="599" t="b">
        <f t="shared" si="11"/>
        <v>0</v>
      </c>
      <c r="L75" s="599" t="b">
        <f>IF(D75="n/a","n/a",ISNUMBER(MATCH(D75,'Measure Level Adjustments Tab'!K:K,0)))</f>
        <v>0</v>
      </c>
      <c r="M75" s="599" t="b">
        <f t="shared" si="13"/>
        <v>0</v>
      </c>
      <c r="N75" s="599" t="b">
        <f t="shared" si="14"/>
        <v>0</v>
      </c>
      <c r="O75" s="599" t="s">
        <v>304</v>
      </c>
      <c r="P75" s="599" t="s">
        <v>304</v>
      </c>
      <c r="Q75" s="599"/>
      <c r="R75" s="599" t="str">
        <f t="shared" si="10"/>
        <v/>
      </c>
    </row>
    <row r="76" spans="2:18" x14ac:dyDescent="0.35">
      <c r="B76" s="2673" t="s">
        <v>3405</v>
      </c>
      <c r="C76" s="2673" t="s">
        <v>3424</v>
      </c>
      <c r="D76" s="2674" t="s">
        <v>3449</v>
      </c>
      <c r="E76" s="2673" t="s">
        <v>3687</v>
      </c>
      <c r="F76" s="2673" t="s">
        <v>3688</v>
      </c>
      <c r="G76" s="2673" t="s">
        <v>3613</v>
      </c>
      <c r="H76" s="2673" t="s">
        <v>3655</v>
      </c>
      <c r="I76" s="2673" t="s">
        <v>820</v>
      </c>
      <c r="J76" s="599" t="b">
        <f t="shared" si="12"/>
        <v>0</v>
      </c>
      <c r="K76" s="599" t="b">
        <f t="shared" si="11"/>
        <v>0</v>
      </c>
      <c r="L76" s="599" t="b">
        <f>IF(D76="n/a","n/a",ISNUMBER(MATCH(D76,'Measure Level Adjustments Tab'!K:K,0)))</f>
        <v>0</v>
      </c>
      <c r="M76" s="599" t="b">
        <f t="shared" si="13"/>
        <v>0</v>
      </c>
      <c r="N76" s="599" t="b">
        <f t="shared" si="14"/>
        <v>0</v>
      </c>
      <c r="O76" s="599" t="s">
        <v>304</v>
      </c>
      <c r="P76" s="599" t="s">
        <v>304</v>
      </c>
      <c r="Q76" s="599"/>
      <c r="R76" s="599" t="str">
        <f t="shared" si="10"/>
        <v/>
      </c>
    </row>
    <row r="77" spans="2:18" x14ac:dyDescent="0.35">
      <c r="B77" s="2673" t="s">
        <v>3405</v>
      </c>
      <c r="C77" s="2673" t="s">
        <v>3424</v>
      </c>
      <c r="D77" s="2674" t="s">
        <v>3450</v>
      </c>
      <c r="E77" s="2673" t="s">
        <v>3689</v>
      </c>
      <c r="F77" s="2673" t="s">
        <v>3690</v>
      </c>
      <c r="G77" s="2673" t="s">
        <v>3402</v>
      </c>
      <c r="H77" s="2675" t="s">
        <v>3620</v>
      </c>
      <c r="I77" s="2673" t="s">
        <v>820</v>
      </c>
      <c r="J77" s="599" t="b">
        <f t="shared" si="12"/>
        <v>0</v>
      </c>
      <c r="K77" s="599" t="b">
        <f t="shared" si="11"/>
        <v>0</v>
      </c>
      <c r="L77" s="599" t="b">
        <f>IF(D77="n/a","n/a",ISNUMBER(MATCH(D77,'Measure Level Adjustments Tab'!K:K,0)))</f>
        <v>0</v>
      </c>
      <c r="M77" s="599" t="b">
        <f t="shared" si="13"/>
        <v>0</v>
      </c>
      <c r="N77" s="599" t="b">
        <f t="shared" si="14"/>
        <v>0</v>
      </c>
      <c r="O77" s="599" t="s">
        <v>304</v>
      </c>
      <c r="P77" s="599" t="s">
        <v>304</v>
      </c>
      <c r="Q77" s="599"/>
      <c r="R77" s="599" t="str">
        <f t="shared" si="10"/>
        <v/>
      </c>
    </row>
    <row r="78" spans="2:18" x14ac:dyDescent="0.35">
      <c r="B78" s="2673" t="s">
        <v>3405</v>
      </c>
      <c r="C78" s="2673" t="s">
        <v>3424</v>
      </c>
      <c r="D78" s="2674" t="s">
        <v>3451</v>
      </c>
      <c r="E78" s="2673" t="s">
        <v>3691</v>
      </c>
      <c r="F78" s="2673" t="s">
        <v>3692</v>
      </c>
      <c r="G78" s="2673" t="s">
        <v>3402</v>
      </c>
      <c r="H78" s="2673" t="s">
        <v>3693</v>
      </c>
      <c r="I78" s="2673" t="s">
        <v>820</v>
      </c>
      <c r="J78" s="599" t="b">
        <f t="shared" si="12"/>
        <v>0</v>
      </c>
      <c r="K78" s="599" t="b">
        <f t="shared" si="11"/>
        <v>0</v>
      </c>
      <c r="L78" s="599" t="b">
        <f>IF(D78="n/a","n/a",ISNUMBER(MATCH(D78,'Measure Level Adjustments Tab'!K:K,0)))</f>
        <v>0</v>
      </c>
      <c r="M78" s="599" t="b">
        <f t="shared" si="13"/>
        <v>0</v>
      </c>
      <c r="N78" s="599" t="b">
        <f t="shared" si="14"/>
        <v>0</v>
      </c>
      <c r="O78" s="599" t="s">
        <v>304</v>
      </c>
      <c r="P78" s="599" t="s">
        <v>304</v>
      </c>
      <c r="Q78" s="599"/>
      <c r="R78" s="599" t="str">
        <f t="shared" si="10"/>
        <v/>
      </c>
    </row>
    <row r="79" spans="2:18" x14ac:dyDescent="0.35">
      <c r="B79" s="2673" t="s">
        <v>3405</v>
      </c>
      <c r="C79" s="2673" t="s">
        <v>3424</v>
      </c>
      <c r="D79" s="2674" t="s">
        <v>3451</v>
      </c>
      <c r="E79" s="2673" t="s">
        <v>3691</v>
      </c>
      <c r="F79" s="2673" t="s">
        <v>3692</v>
      </c>
      <c r="G79" s="2673" t="s">
        <v>3402</v>
      </c>
      <c r="H79" s="2673" t="s">
        <v>3694</v>
      </c>
      <c r="I79" s="2673" t="s">
        <v>820</v>
      </c>
      <c r="J79" s="599" t="b">
        <f t="shared" si="12"/>
        <v>0</v>
      </c>
      <c r="K79" s="599" t="b">
        <f t="shared" si="11"/>
        <v>0</v>
      </c>
      <c r="L79" s="599" t="b">
        <f>IF(D79="n/a","n/a",ISNUMBER(MATCH(D79,'Measure Level Adjustments Tab'!K:K,0)))</f>
        <v>0</v>
      </c>
      <c r="M79" s="599" t="b">
        <f t="shared" si="13"/>
        <v>0</v>
      </c>
      <c r="N79" s="599" t="b">
        <f t="shared" si="14"/>
        <v>0</v>
      </c>
      <c r="O79" s="599" t="s">
        <v>304</v>
      </c>
      <c r="P79" s="599" t="s">
        <v>304</v>
      </c>
      <c r="Q79" s="599"/>
      <c r="R79" s="599" t="str">
        <f t="shared" si="10"/>
        <v/>
      </c>
    </row>
    <row r="80" spans="2:18" x14ac:dyDescent="0.35">
      <c r="B80" s="2673" t="s">
        <v>3405</v>
      </c>
      <c r="C80" s="2673" t="s">
        <v>3424</v>
      </c>
      <c r="D80" s="2674" t="s">
        <v>3451</v>
      </c>
      <c r="E80" s="2673" t="s">
        <v>3691</v>
      </c>
      <c r="F80" s="2673" t="s">
        <v>3692</v>
      </c>
      <c r="G80" s="2673" t="s">
        <v>3402</v>
      </c>
      <c r="H80" s="2673" t="s">
        <v>3695</v>
      </c>
      <c r="I80" s="2673" t="s">
        <v>820</v>
      </c>
      <c r="J80" s="599" t="b">
        <f t="shared" si="12"/>
        <v>0</v>
      </c>
      <c r="K80" s="599" t="b">
        <f t="shared" si="11"/>
        <v>0</v>
      </c>
      <c r="L80" s="599" t="b">
        <f>IF(D80="n/a","n/a",ISNUMBER(MATCH(D80,'Measure Level Adjustments Tab'!K:K,0)))</f>
        <v>0</v>
      </c>
      <c r="M80" s="599" t="b">
        <f t="shared" si="13"/>
        <v>0</v>
      </c>
      <c r="N80" s="599" t="b">
        <f t="shared" si="14"/>
        <v>0</v>
      </c>
      <c r="O80" s="599" t="s">
        <v>304</v>
      </c>
      <c r="P80" s="599" t="s">
        <v>304</v>
      </c>
      <c r="Q80" s="599"/>
      <c r="R80" s="599" t="str">
        <f t="shared" si="10"/>
        <v/>
      </c>
    </row>
    <row r="81" spans="2:18" x14ac:dyDescent="0.35">
      <c r="B81" s="2673" t="s">
        <v>3405</v>
      </c>
      <c r="C81" s="2673" t="s">
        <v>3424</v>
      </c>
      <c r="D81" s="2674" t="s">
        <v>3696</v>
      </c>
      <c r="E81" s="2673" t="s">
        <v>3697</v>
      </c>
      <c r="F81" s="2673" t="s">
        <v>3698</v>
      </c>
      <c r="G81" s="2673" t="s">
        <v>2285</v>
      </c>
      <c r="H81" s="2673" t="s">
        <v>3474</v>
      </c>
      <c r="I81" s="2673" t="s">
        <v>820</v>
      </c>
      <c r="J81" s="599" t="b">
        <f t="shared" si="12"/>
        <v>0</v>
      </c>
      <c r="K81" s="599" t="b">
        <f t="shared" si="11"/>
        <v>0</v>
      </c>
      <c r="L81" s="599" t="b">
        <f>IF(D81="n/a","n/a",ISNUMBER(MATCH(D81,'Measure Level Adjustments Tab'!K:K,0)))</f>
        <v>0</v>
      </c>
      <c r="M81" s="599" t="b">
        <f t="shared" si="13"/>
        <v>0</v>
      </c>
      <c r="N81" s="599" t="b">
        <f t="shared" si="14"/>
        <v>0</v>
      </c>
      <c r="O81" s="599" t="s">
        <v>304</v>
      </c>
      <c r="P81" s="599" t="s">
        <v>304</v>
      </c>
      <c r="Q81" s="599"/>
      <c r="R81" s="599" t="str">
        <f t="shared" si="10"/>
        <v/>
      </c>
    </row>
    <row r="82" spans="2:18" x14ac:dyDescent="0.35">
      <c r="B82" s="2673" t="s">
        <v>3405</v>
      </c>
      <c r="C82" s="2673" t="s">
        <v>3424</v>
      </c>
      <c r="D82" s="2674" t="s">
        <v>3699</v>
      </c>
      <c r="E82" s="2673" t="s">
        <v>3700</v>
      </c>
      <c r="F82" s="2673" t="s">
        <v>3701</v>
      </c>
      <c r="G82" s="2673" t="s">
        <v>2285</v>
      </c>
      <c r="H82" s="2673" t="s">
        <v>3474</v>
      </c>
      <c r="I82" s="2673" t="s">
        <v>820</v>
      </c>
      <c r="J82" s="599" t="b">
        <f t="shared" si="12"/>
        <v>0</v>
      </c>
      <c r="K82" s="599" t="b">
        <f t="shared" si="11"/>
        <v>0</v>
      </c>
      <c r="L82" s="599" t="b">
        <f>IF(D82="n/a","n/a",ISNUMBER(MATCH(D82,'Measure Level Adjustments Tab'!K:K,0)))</f>
        <v>0</v>
      </c>
      <c r="M82" s="599" t="b">
        <f t="shared" si="13"/>
        <v>0</v>
      </c>
      <c r="N82" s="599" t="b">
        <f t="shared" si="14"/>
        <v>0</v>
      </c>
      <c r="O82" s="599" t="s">
        <v>304</v>
      </c>
      <c r="P82" s="599" t="s">
        <v>304</v>
      </c>
      <c r="Q82" s="599"/>
      <c r="R82" s="599" t="str">
        <f t="shared" si="10"/>
        <v/>
      </c>
    </row>
    <row r="83" spans="2:18" x14ac:dyDescent="0.35">
      <c r="B83" s="2673" t="s">
        <v>3405</v>
      </c>
      <c r="C83" s="2673" t="s">
        <v>3424</v>
      </c>
      <c r="D83" s="2674" t="s">
        <v>3702</v>
      </c>
      <c r="E83" s="2673" t="s">
        <v>3703</v>
      </c>
      <c r="F83" s="2673" t="s">
        <v>3704</v>
      </c>
      <c r="G83" s="2673" t="s">
        <v>2285</v>
      </c>
      <c r="H83" s="2673" t="s">
        <v>3474</v>
      </c>
      <c r="I83" s="2673" t="s">
        <v>820</v>
      </c>
      <c r="J83" s="599" t="b">
        <f t="shared" si="12"/>
        <v>0</v>
      </c>
      <c r="K83" s="599" t="b">
        <f t="shared" si="11"/>
        <v>0</v>
      </c>
      <c r="L83" s="599" t="b">
        <f>IF(D83="n/a","n/a",ISNUMBER(MATCH(D83,'Measure Level Adjustments Tab'!K:K,0)))</f>
        <v>0</v>
      </c>
      <c r="M83" s="599" t="b">
        <f t="shared" si="13"/>
        <v>0</v>
      </c>
      <c r="N83" s="599" t="b">
        <f t="shared" si="14"/>
        <v>0</v>
      </c>
      <c r="O83" s="599" t="s">
        <v>304</v>
      </c>
      <c r="P83" s="599" t="s">
        <v>304</v>
      </c>
      <c r="Q83" s="599"/>
      <c r="R83" s="599" t="str">
        <f t="shared" si="10"/>
        <v/>
      </c>
    </row>
    <row r="84" spans="2:18" x14ac:dyDescent="0.35">
      <c r="B84" s="2673" t="s">
        <v>3405</v>
      </c>
      <c r="C84" s="2673" t="s">
        <v>3439</v>
      </c>
      <c r="D84" s="2674">
        <v>4.5</v>
      </c>
      <c r="E84" s="2673" t="s">
        <v>3705</v>
      </c>
      <c r="F84" s="2673" t="s">
        <v>820</v>
      </c>
      <c r="G84" s="2673" t="s">
        <v>3402</v>
      </c>
      <c r="H84" s="2673" t="s">
        <v>3706</v>
      </c>
      <c r="I84" s="2673" t="s">
        <v>820</v>
      </c>
      <c r="J84" s="599" t="b">
        <f t="shared" si="12"/>
        <v>0</v>
      </c>
      <c r="K84" s="599" t="b">
        <f t="shared" si="11"/>
        <v>0</v>
      </c>
      <c r="L84" s="599" t="b">
        <v>1</v>
      </c>
      <c r="M84" s="599" t="b">
        <f t="shared" si="13"/>
        <v>0</v>
      </c>
      <c r="N84" s="599" t="b">
        <f t="shared" si="14"/>
        <v>0</v>
      </c>
      <c r="O84" s="599" t="s">
        <v>304</v>
      </c>
      <c r="P84" s="599" t="s">
        <v>304</v>
      </c>
      <c r="Q84" s="599"/>
      <c r="R84" s="599" t="str">
        <f t="shared" si="10"/>
        <v/>
      </c>
    </row>
    <row r="85" spans="2:18" x14ac:dyDescent="0.35">
      <c r="B85" s="2673" t="s">
        <v>3405</v>
      </c>
      <c r="C85" s="2673" t="s">
        <v>3439</v>
      </c>
      <c r="D85" s="2674">
        <v>4.5</v>
      </c>
      <c r="E85" s="2673" t="s">
        <v>3705</v>
      </c>
      <c r="F85" s="2673" t="s">
        <v>820</v>
      </c>
      <c r="G85" s="2673" t="s">
        <v>3402</v>
      </c>
      <c r="H85" s="2673" t="s">
        <v>3707</v>
      </c>
      <c r="I85" s="2673" t="s">
        <v>820</v>
      </c>
      <c r="J85" s="599" t="b">
        <f t="shared" si="12"/>
        <v>0</v>
      </c>
      <c r="K85" s="599" t="b">
        <f t="shared" si="11"/>
        <v>0</v>
      </c>
      <c r="L85" s="599" t="b">
        <v>1</v>
      </c>
      <c r="M85" s="599" t="b">
        <f t="shared" si="13"/>
        <v>0</v>
      </c>
      <c r="N85" s="599" t="b">
        <f t="shared" si="14"/>
        <v>0</v>
      </c>
      <c r="O85" s="599" t="s">
        <v>304</v>
      </c>
      <c r="P85" s="599" t="s">
        <v>304</v>
      </c>
      <c r="Q85" s="599"/>
      <c r="R85" s="599" t="str">
        <f t="shared" si="10"/>
        <v/>
      </c>
    </row>
    <row r="86" spans="2:18" x14ac:dyDescent="0.35">
      <c r="B86" s="2673" t="s">
        <v>3405</v>
      </c>
      <c r="C86" s="2673" t="s">
        <v>3439</v>
      </c>
      <c r="D86" s="2674" t="s">
        <v>3453</v>
      </c>
      <c r="E86" s="2673" t="s">
        <v>3452</v>
      </c>
      <c r="F86" s="2673" t="s">
        <v>820</v>
      </c>
      <c r="G86" s="2673" t="s">
        <v>3708</v>
      </c>
      <c r="H86" s="2673" t="s">
        <v>3709</v>
      </c>
      <c r="I86" s="2673" t="s">
        <v>820</v>
      </c>
      <c r="J86" s="599" t="b">
        <f t="shared" si="12"/>
        <v>0</v>
      </c>
      <c r="K86" s="599" t="b">
        <f t="shared" si="11"/>
        <v>0</v>
      </c>
      <c r="L86" s="599" t="b">
        <f>IF(D86="n/a","n/a",ISNUMBER(MATCH(D86,'Measure Level Adjustments Tab'!K:K,0)))</f>
        <v>0</v>
      </c>
      <c r="M86" s="599" t="b">
        <f t="shared" si="13"/>
        <v>0</v>
      </c>
      <c r="N86" s="599" t="b">
        <f t="shared" si="14"/>
        <v>0</v>
      </c>
      <c r="O86" s="599" t="s">
        <v>304</v>
      </c>
      <c r="P86" s="599" t="s">
        <v>304</v>
      </c>
      <c r="Q86" s="599"/>
      <c r="R86" s="599" t="str">
        <f t="shared" si="10"/>
        <v/>
      </c>
    </row>
    <row r="87" spans="2:18" x14ac:dyDescent="0.35">
      <c r="B87" s="2673" t="s">
        <v>3405</v>
      </c>
      <c r="C87" s="2673" t="s">
        <v>3439</v>
      </c>
      <c r="D87" s="2674" t="s">
        <v>3054</v>
      </c>
      <c r="E87" s="2673" t="s">
        <v>3454</v>
      </c>
      <c r="F87" s="2673" t="s">
        <v>3710</v>
      </c>
      <c r="G87" s="2673" t="s">
        <v>3403</v>
      </c>
      <c r="H87" s="2673" t="s">
        <v>3711</v>
      </c>
      <c r="I87" s="2673" t="s">
        <v>820</v>
      </c>
      <c r="J87" s="599" t="b">
        <f t="shared" si="12"/>
        <v>0</v>
      </c>
      <c r="K87" s="599" t="b">
        <f t="shared" si="11"/>
        <v>1</v>
      </c>
      <c r="L87" s="599" t="b">
        <f>IF(D87="n/a","n/a",ISNUMBER(MATCH(D87,'Measure Level Adjustments Tab'!K:K,0)))</f>
        <v>0</v>
      </c>
      <c r="M87" s="599" t="b">
        <f t="shared" si="13"/>
        <v>0</v>
      </c>
      <c r="N87" s="599" t="b">
        <f t="shared" si="14"/>
        <v>0</v>
      </c>
      <c r="O87" s="599" t="s">
        <v>304</v>
      </c>
      <c r="P87" s="599" t="s">
        <v>304</v>
      </c>
      <c r="Q87" s="599"/>
      <c r="R87" s="599" t="str">
        <f t="shared" si="10"/>
        <v/>
      </c>
    </row>
    <row r="88" spans="2:18" x14ac:dyDescent="0.35">
      <c r="B88" s="2673" t="s">
        <v>3405</v>
      </c>
      <c r="C88" s="2673" t="s">
        <v>3439</v>
      </c>
      <c r="D88" s="2674" t="s">
        <v>3054</v>
      </c>
      <c r="E88" s="2673" t="s">
        <v>3454</v>
      </c>
      <c r="F88" s="2673" t="s">
        <v>3712</v>
      </c>
      <c r="G88" s="2673" t="s">
        <v>3402</v>
      </c>
      <c r="H88" s="2673" t="s">
        <v>3713</v>
      </c>
      <c r="I88" s="2673" t="s">
        <v>3714</v>
      </c>
      <c r="J88" s="599" t="b">
        <f t="shared" si="12"/>
        <v>1</v>
      </c>
      <c r="K88" s="599" t="b">
        <f t="shared" si="11"/>
        <v>1</v>
      </c>
      <c r="L88" s="599" t="b">
        <f>IF(D88="n/a","n/a",ISNUMBER(MATCH(D88,'Measure Level Adjustments Tab'!K:K,0)))</f>
        <v>0</v>
      </c>
      <c r="M88" s="599" t="b">
        <f t="shared" si="13"/>
        <v>0</v>
      </c>
      <c r="N88" s="599" t="b">
        <f t="shared" si="14"/>
        <v>0</v>
      </c>
      <c r="O88" s="599" t="s">
        <v>304</v>
      </c>
      <c r="P88" s="599" t="s">
        <v>304</v>
      </c>
      <c r="Q88" s="599"/>
      <c r="R88" s="599" t="str">
        <f t="shared" si="10"/>
        <v/>
      </c>
    </row>
    <row r="89" spans="2:18" x14ac:dyDescent="0.35">
      <c r="B89" s="2673" t="s">
        <v>3405</v>
      </c>
      <c r="C89" s="2673" t="s">
        <v>3439</v>
      </c>
      <c r="D89" s="2674" t="s">
        <v>3158</v>
      </c>
      <c r="E89" s="2675" t="s">
        <v>3440</v>
      </c>
      <c r="F89" s="2673" t="s">
        <v>3715</v>
      </c>
      <c r="G89" s="2673" t="s">
        <v>3403</v>
      </c>
      <c r="H89" s="2673" t="s">
        <v>3716</v>
      </c>
      <c r="I89" s="2673" t="s">
        <v>820</v>
      </c>
      <c r="J89" s="599" t="b">
        <f t="shared" si="12"/>
        <v>0</v>
      </c>
      <c r="K89" s="599" t="b">
        <f t="shared" si="11"/>
        <v>1</v>
      </c>
      <c r="L89" s="599" t="b">
        <f>IF(D89="n/a","n/a",ISNUMBER(MATCH(D89,'Measure Level Adjustments Tab'!K:K,0)))</f>
        <v>0</v>
      </c>
      <c r="M89" s="599" t="b">
        <f t="shared" si="13"/>
        <v>0</v>
      </c>
      <c r="N89" s="599" t="b">
        <f t="shared" si="14"/>
        <v>0</v>
      </c>
      <c r="O89" s="599" t="s">
        <v>304</v>
      </c>
      <c r="P89" s="599" t="s">
        <v>304</v>
      </c>
      <c r="Q89" s="599"/>
      <c r="R89" s="599" t="str">
        <f t="shared" si="10"/>
        <v/>
      </c>
    </row>
    <row r="90" spans="2:18" x14ac:dyDescent="0.35">
      <c r="B90" s="2673" t="s">
        <v>3405</v>
      </c>
      <c r="C90" s="2673" t="s">
        <v>3439</v>
      </c>
      <c r="D90" s="2674" t="s">
        <v>3158</v>
      </c>
      <c r="E90" s="2675" t="s">
        <v>3440</v>
      </c>
      <c r="F90" s="2673" t="s">
        <v>3715</v>
      </c>
      <c r="G90" s="2673" t="s">
        <v>3717</v>
      </c>
      <c r="H90" s="2673" t="s">
        <v>3897</v>
      </c>
      <c r="I90" s="2673" t="s">
        <v>3718</v>
      </c>
      <c r="J90" s="599" t="b">
        <f t="shared" si="12"/>
        <v>1</v>
      </c>
      <c r="K90" s="599" t="b">
        <f t="shared" si="11"/>
        <v>1</v>
      </c>
      <c r="L90" s="599" t="b">
        <f>IF(D90="n/a","n/a",ISNUMBER(MATCH(D90,'Measure Level Adjustments Tab'!K:K,0)))</f>
        <v>0</v>
      </c>
      <c r="M90" s="599" t="b">
        <f t="shared" si="13"/>
        <v>0</v>
      </c>
      <c r="N90" s="599" t="b">
        <f t="shared" si="14"/>
        <v>0</v>
      </c>
      <c r="O90" s="599" t="s">
        <v>304</v>
      </c>
      <c r="P90" s="599" t="s">
        <v>304</v>
      </c>
      <c r="Q90" s="599"/>
      <c r="R90" s="599" t="str">
        <f t="shared" si="10"/>
        <v/>
      </c>
    </row>
    <row r="91" spans="2:18" x14ac:dyDescent="0.35">
      <c r="B91" s="2673" t="s">
        <v>3405</v>
      </c>
      <c r="C91" s="2673" t="s">
        <v>3439</v>
      </c>
      <c r="D91" s="2674" t="s">
        <v>3719</v>
      </c>
      <c r="E91" s="2673" t="s">
        <v>3720</v>
      </c>
      <c r="F91" s="2673" t="s">
        <v>3721</v>
      </c>
      <c r="G91" s="2673" t="s">
        <v>3402</v>
      </c>
      <c r="H91" s="2673" t="s">
        <v>3722</v>
      </c>
      <c r="I91" s="2673" t="s">
        <v>820</v>
      </c>
      <c r="J91" s="599" t="b">
        <f t="shared" si="12"/>
        <v>0</v>
      </c>
      <c r="K91" s="599" t="b">
        <f t="shared" si="11"/>
        <v>0</v>
      </c>
      <c r="L91" s="599" t="b">
        <f>IF(D91="n/a","n/a",ISNUMBER(MATCH(D91,'Measure Level Adjustments Tab'!K:K,0)))</f>
        <v>0</v>
      </c>
      <c r="M91" s="599" t="b">
        <f t="shared" si="13"/>
        <v>0</v>
      </c>
      <c r="N91" s="599" t="b">
        <f t="shared" si="14"/>
        <v>0</v>
      </c>
      <c r="O91" s="599" t="s">
        <v>304</v>
      </c>
      <c r="P91" s="599" t="s">
        <v>304</v>
      </c>
      <c r="Q91" s="599"/>
      <c r="R91" s="599" t="str">
        <f t="shared" si="10"/>
        <v/>
      </c>
    </row>
    <row r="92" spans="2:18" x14ac:dyDescent="0.35">
      <c r="B92" s="2673" t="s">
        <v>3405</v>
      </c>
      <c r="C92" s="2673" t="s">
        <v>3439</v>
      </c>
      <c r="D92" s="2674" t="s">
        <v>3464</v>
      </c>
      <c r="E92" s="2675" t="s">
        <v>3463</v>
      </c>
      <c r="F92" s="2673" t="s">
        <v>3723</v>
      </c>
      <c r="G92" s="2673" t="s">
        <v>3403</v>
      </c>
      <c r="H92" s="2675" t="s">
        <v>3724</v>
      </c>
      <c r="I92" s="2673" t="s">
        <v>820</v>
      </c>
      <c r="J92" s="599" t="b">
        <f t="shared" si="12"/>
        <v>0</v>
      </c>
      <c r="K92" s="599" t="b">
        <f t="shared" si="11"/>
        <v>0</v>
      </c>
      <c r="L92" s="599" t="b">
        <f>IF(D92="n/a","n/a",ISNUMBER(MATCH(D92,'Measure Level Adjustments Tab'!K:K,0)))</f>
        <v>0</v>
      </c>
      <c r="M92" s="599" t="b">
        <f t="shared" si="13"/>
        <v>0</v>
      </c>
      <c r="N92" s="599" t="b">
        <f t="shared" si="14"/>
        <v>0</v>
      </c>
      <c r="O92" s="599" t="s">
        <v>304</v>
      </c>
      <c r="P92" s="599" t="s">
        <v>304</v>
      </c>
      <c r="Q92" s="599"/>
      <c r="R92" s="599" t="str">
        <f t="shared" si="10"/>
        <v/>
      </c>
    </row>
    <row r="93" spans="2:18" x14ac:dyDescent="0.35">
      <c r="B93" s="2673" t="s">
        <v>3405</v>
      </c>
      <c r="C93" s="2673" t="s">
        <v>3439</v>
      </c>
      <c r="D93" s="2674" t="s">
        <v>3725</v>
      </c>
      <c r="E93" s="2673" t="s">
        <v>3726</v>
      </c>
      <c r="F93" s="2673" t="s">
        <v>3727</v>
      </c>
      <c r="G93" s="2673" t="s">
        <v>3402</v>
      </c>
      <c r="H93" s="2673" t="s">
        <v>3465</v>
      </c>
      <c r="I93" s="2673" t="s">
        <v>820</v>
      </c>
      <c r="J93" s="599" t="b">
        <f t="shared" si="12"/>
        <v>0</v>
      </c>
      <c r="K93" s="599" t="b">
        <f t="shared" si="11"/>
        <v>0</v>
      </c>
      <c r="L93" s="599" t="b">
        <f>IF(D93="n/a","n/a",ISNUMBER(MATCH(D93,'Measure Level Adjustments Tab'!K:K,0)))</f>
        <v>0</v>
      </c>
      <c r="M93" s="599" t="b">
        <f t="shared" si="13"/>
        <v>0</v>
      </c>
      <c r="N93" s="599" t="b">
        <f t="shared" si="14"/>
        <v>0</v>
      </c>
      <c r="O93" s="599" t="s">
        <v>304</v>
      </c>
      <c r="P93" s="599" t="s">
        <v>304</v>
      </c>
      <c r="Q93" s="599"/>
      <c r="R93" s="599" t="str">
        <f t="shared" si="10"/>
        <v/>
      </c>
    </row>
    <row r="94" spans="2:18" x14ac:dyDescent="0.35">
      <c r="B94" s="2673" t="s">
        <v>3405</v>
      </c>
      <c r="C94" s="2673" t="s">
        <v>3439</v>
      </c>
      <c r="D94" s="2674" t="s">
        <v>3169</v>
      </c>
      <c r="E94" s="2673" t="s">
        <v>3466</v>
      </c>
      <c r="F94" s="2673" t="s">
        <v>3728</v>
      </c>
      <c r="G94" s="2673" t="s">
        <v>3403</v>
      </c>
      <c r="H94" s="2673" t="s">
        <v>3729</v>
      </c>
      <c r="I94" s="2673" t="s">
        <v>3429</v>
      </c>
      <c r="J94" s="599" t="b">
        <f t="shared" si="12"/>
        <v>1</v>
      </c>
      <c r="K94" s="599" t="b">
        <f t="shared" si="11"/>
        <v>1</v>
      </c>
      <c r="L94" s="599" t="b">
        <f>IF(D94="n/a","n/a",ISNUMBER(MATCH(D94,'Measure Level Adjustments Tab'!K:K,0)))</f>
        <v>0</v>
      </c>
      <c r="M94" s="599" t="b">
        <f t="shared" si="13"/>
        <v>0</v>
      </c>
      <c r="N94" s="599" t="b">
        <f t="shared" si="14"/>
        <v>0</v>
      </c>
      <c r="O94" s="599" t="s">
        <v>304</v>
      </c>
      <c r="P94" s="599" t="s">
        <v>304</v>
      </c>
      <c r="Q94" s="599"/>
      <c r="R94" s="599" t="str">
        <f t="shared" si="10"/>
        <v/>
      </c>
    </row>
    <row r="95" spans="2:18" x14ac:dyDescent="0.35">
      <c r="B95" s="2673" t="s">
        <v>3405</v>
      </c>
      <c r="C95" s="2673" t="s">
        <v>3439</v>
      </c>
      <c r="D95" s="2674" t="s">
        <v>3169</v>
      </c>
      <c r="E95" s="2673" t="s">
        <v>3466</v>
      </c>
      <c r="F95" s="2673" t="s">
        <v>3728</v>
      </c>
      <c r="G95" s="2673" t="s">
        <v>3730</v>
      </c>
      <c r="H95" s="2673" t="s">
        <v>3731</v>
      </c>
      <c r="I95" s="2673" t="s">
        <v>820</v>
      </c>
      <c r="J95" s="599" t="b">
        <f>I95&lt;&gt;"N/A"</f>
        <v>0</v>
      </c>
      <c r="K95" s="599" t="b">
        <f t="shared" si="11"/>
        <v>1</v>
      </c>
      <c r="L95" s="599" t="b">
        <f>IF(D95="n/a","n/a",ISNUMBER(MATCH(D95,'Measure Level Adjustments Tab'!K:K,0)))</f>
        <v>0</v>
      </c>
      <c r="M95" s="599" t="b">
        <f t="shared" si="13"/>
        <v>0</v>
      </c>
      <c r="N95" s="599" t="b">
        <f t="shared" si="14"/>
        <v>0</v>
      </c>
      <c r="O95" s="599" t="s">
        <v>304</v>
      </c>
      <c r="P95" s="599" t="s">
        <v>304</v>
      </c>
      <c r="Q95" s="599"/>
      <c r="R95" s="599" t="str">
        <f t="shared" si="10"/>
        <v/>
      </c>
    </row>
    <row r="96" spans="2:18" x14ac:dyDescent="0.35">
      <c r="B96" s="2673" t="s">
        <v>3405</v>
      </c>
      <c r="C96" s="2673" t="s">
        <v>3439</v>
      </c>
      <c r="D96" s="2674" t="s">
        <v>3468</v>
      </c>
      <c r="E96" s="2675" t="s">
        <v>3467</v>
      </c>
      <c r="F96" s="2673" t="s">
        <v>820</v>
      </c>
      <c r="G96" s="2673" t="s">
        <v>3708</v>
      </c>
      <c r="H96" s="2673" t="s">
        <v>3709</v>
      </c>
      <c r="I96" s="2673" t="s">
        <v>820</v>
      </c>
      <c r="J96" s="599" t="b">
        <f t="shared" si="12"/>
        <v>0</v>
      </c>
      <c r="K96" s="599" t="b">
        <f t="shared" si="11"/>
        <v>0</v>
      </c>
      <c r="L96" s="599" t="b">
        <f>IF(D96="n/a","n/a",ISNUMBER(MATCH(D96,'Measure Level Adjustments Tab'!K:K,0)))</f>
        <v>0</v>
      </c>
      <c r="M96" s="599" t="b">
        <f t="shared" si="13"/>
        <v>0</v>
      </c>
      <c r="N96" s="599" t="b">
        <f t="shared" si="14"/>
        <v>0</v>
      </c>
      <c r="O96" s="599" t="s">
        <v>304</v>
      </c>
      <c r="P96" s="599" t="s">
        <v>304</v>
      </c>
      <c r="Q96" s="599"/>
      <c r="R96" s="599" t="str">
        <f t="shared" si="10"/>
        <v/>
      </c>
    </row>
    <row r="97" spans="2:18" x14ac:dyDescent="0.35">
      <c r="B97" s="2673" t="s">
        <v>3405</v>
      </c>
      <c r="C97" s="2673" t="s">
        <v>3470</v>
      </c>
      <c r="D97" s="2674" t="s">
        <v>3063</v>
      </c>
      <c r="E97" s="2673" t="s">
        <v>3471</v>
      </c>
      <c r="F97" s="2673" t="s">
        <v>3732</v>
      </c>
      <c r="G97" s="2673" t="s">
        <v>3402</v>
      </c>
      <c r="H97" s="2673" t="s">
        <v>3733</v>
      </c>
      <c r="I97" s="2673" t="s">
        <v>820</v>
      </c>
      <c r="J97" s="599" t="b">
        <f t="shared" si="12"/>
        <v>0</v>
      </c>
      <c r="K97" s="599" t="b">
        <f t="shared" si="11"/>
        <v>0</v>
      </c>
      <c r="L97" s="599" t="b">
        <f>IF(D97="n/a","n/a",ISNUMBER(MATCH(D97,'Measure Level Adjustments Tab'!K:K,0)))</f>
        <v>0</v>
      </c>
      <c r="M97" s="599" t="b">
        <f t="shared" si="13"/>
        <v>0</v>
      </c>
      <c r="N97" s="599" t="b">
        <f t="shared" si="14"/>
        <v>0</v>
      </c>
      <c r="O97" s="599" t="s">
        <v>304</v>
      </c>
      <c r="P97" s="599" t="s">
        <v>304</v>
      </c>
      <c r="Q97" s="599"/>
      <c r="R97" s="599" t="str">
        <f t="shared" si="10"/>
        <v/>
      </c>
    </row>
    <row r="98" spans="2:18" x14ac:dyDescent="0.35">
      <c r="B98" s="2673" t="s">
        <v>3405</v>
      </c>
      <c r="C98" s="2673" t="s">
        <v>3470</v>
      </c>
      <c r="D98" s="2674" t="s">
        <v>3243</v>
      </c>
      <c r="E98" s="2673" t="s">
        <v>3734</v>
      </c>
      <c r="F98" s="2673" t="s">
        <v>3735</v>
      </c>
      <c r="G98" s="2673" t="s">
        <v>3402</v>
      </c>
      <c r="H98" s="2673" t="s">
        <v>3736</v>
      </c>
      <c r="I98" s="2673" t="s">
        <v>820</v>
      </c>
      <c r="J98" s="599" t="b">
        <f t="shared" si="12"/>
        <v>0</v>
      </c>
      <c r="K98" s="599" t="b">
        <f t="shared" si="11"/>
        <v>0</v>
      </c>
      <c r="L98" s="599" t="b">
        <f>IF(D98="n/a","n/a",ISNUMBER(MATCH(D98,'Measure Level Adjustments Tab'!K:K,0)))</f>
        <v>0</v>
      </c>
      <c r="M98" s="599" t="b">
        <f t="shared" si="13"/>
        <v>0</v>
      </c>
      <c r="N98" s="599" t="b">
        <f t="shared" si="14"/>
        <v>0</v>
      </c>
      <c r="O98" s="599" t="s">
        <v>304</v>
      </c>
      <c r="P98" s="599" t="s">
        <v>304</v>
      </c>
      <c r="Q98" s="599"/>
      <c r="R98" s="599" t="str">
        <f t="shared" si="10"/>
        <v/>
      </c>
    </row>
    <row r="99" spans="2:18" x14ac:dyDescent="0.35">
      <c r="B99" s="2673" t="s">
        <v>3405</v>
      </c>
      <c r="C99" s="2673" t="s">
        <v>3470</v>
      </c>
      <c r="D99" s="2674" t="s">
        <v>3243</v>
      </c>
      <c r="E99" s="2673" t="s">
        <v>3734</v>
      </c>
      <c r="F99" s="2673" t="s">
        <v>3735</v>
      </c>
      <c r="G99" s="2673" t="s">
        <v>3402</v>
      </c>
      <c r="H99" s="2673" t="s">
        <v>3512</v>
      </c>
      <c r="I99" s="2673" t="s">
        <v>820</v>
      </c>
      <c r="J99" s="599" t="b">
        <f t="shared" si="12"/>
        <v>0</v>
      </c>
      <c r="K99" s="599" t="b">
        <f t="shared" si="11"/>
        <v>0</v>
      </c>
      <c r="L99" s="599" t="b">
        <f>IF(D99="n/a","n/a",ISNUMBER(MATCH(D99,'Measure Level Adjustments Tab'!K:K,0)))</f>
        <v>0</v>
      </c>
      <c r="M99" s="599" t="b">
        <f t="shared" si="13"/>
        <v>0</v>
      </c>
      <c r="N99" s="599" t="b">
        <f t="shared" si="14"/>
        <v>0</v>
      </c>
      <c r="O99" s="599" t="s">
        <v>304</v>
      </c>
      <c r="P99" s="599" t="s">
        <v>304</v>
      </c>
      <c r="Q99" s="599"/>
      <c r="R99" s="599" t="str">
        <f t="shared" si="10"/>
        <v/>
      </c>
    </row>
    <row r="100" spans="2:18" x14ac:dyDescent="0.35">
      <c r="B100" s="2673" t="s">
        <v>3405</v>
      </c>
      <c r="C100" s="2673" t="s">
        <v>3470</v>
      </c>
      <c r="D100" s="2674" t="s">
        <v>3473</v>
      </c>
      <c r="E100" s="2673" t="s">
        <v>3472</v>
      </c>
      <c r="F100" s="2673" t="s">
        <v>3737</v>
      </c>
      <c r="G100" s="2673" t="s">
        <v>3402</v>
      </c>
      <c r="H100" s="2673" t="s">
        <v>3738</v>
      </c>
      <c r="I100" s="2673" t="s">
        <v>820</v>
      </c>
      <c r="J100" s="599" t="b">
        <f t="shared" si="12"/>
        <v>0</v>
      </c>
      <c r="K100" s="599" t="b">
        <f t="shared" si="11"/>
        <v>0</v>
      </c>
      <c r="L100" s="599" t="b">
        <f>IF(D100="n/a","n/a",ISNUMBER(MATCH(D100,'Measure Level Adjustments Tab'!K:K,0)))</f>
        <v>0</v>
      </c>
      <c r="M100" s="599" t="b">
        <f t="shared" si="13"/>
        <v>0</v>
      </c>
      <c r="N100" s="599" t="b">
        <f t="shared" si="14"/>
        <v>0</v>
      </c>
      <c r="O100" s="599" t="s">
        <v>304</v>
      </c>
      <c r="P100" s="599" t="s">
        <v>304</v>
      </c>
      <c r="Q100" s="599"/>
      <c r="R100" s="599" t="str">
        <f t="shared" si="10"/>
        <v/>
      </c>
    </row>
    <row r="101" spans="2:18" x14ac:dyDescent="0.35">
      <c r="B101" s="2673" t="s">
        <v>3405</v>
      </c>
      <c r="C101" s="2673" t="s">
        <v>3470</v>
      </c>
      <c r="D101" s="2674" t="s">
        <v>3475</v>
      </c>
      <c r="E101" s="2673" t="s">
        <v>3739</v>
      </c>
      <c r="F101" s="2673" t="s">
        <v>3740</v>
      </c>
      <c r="G101" s="2673" t="s">
        <v>3402</v>
      </c>
      <c r="H101" s="2673" t="s">
        <v>3741</v>
      </c>
      <c r="I101" s="2673" t="s">
        <v>3610</v>
      </c>
      <c r="J101" s="599" t="b">
        <f t="shared" si="12"/>
        <v>1</v>
      </c>
      <c r="K101" s="599" t="b">
        <f t="shared" si="11"/>
        <v>1</v>
      </c>
      <c r="L101" s="599" t="b">
        <f>IF(D101="n/a","n/a",ISNUMBER(MATCH(D101,'Measure Level Adjustments Tab'!K:K,0)))</f>
        <v>0</v>
      </c>
      <c r="M101" s="599" t="b">
        <f t="shared" si="13"/>
        <v>0</v>
      </c>
      <c r="N101" s="599" t="b">
        <f t="shared" si="14"/>
        <v>0</v>
      </c>
      <c r="O101" s="599" t="s">
        <v>304</v>
      </c>
      <c r="P101" s="599" t="s">
        <v>304</v>
      </c>
      <c r="Q101" s="599"/>
      <c r="R101" s="599" t="str">
        <f t="shared" si="10"/>
        <v/>
      </c>
    </row>
    <row r="102" spans="2:18" x14ac:dyDescent="0.35">
      <c r="B102" s="2673" t="s">
        <v>3405</v>
      </c>
      <c r="C102" s="2673" t="s">
        <v>3470</v>
      </c>
      <c r="D102" s="2674" t="s">
        <v>3475</v>
      </c>
      <c r="E102" s="2673" t="s">
        <v>3739</v>
      </c>
      <c r="F102" s="2673" t="s">
        <v>3740</v>
      </c>
      <c r="G102" s="2673" t="s">
        <v>3402</v>
      </c>
      <c r="H102" s="2673" t="s">
        <v>3742</v>
      </c>
      <c r="I102" s="2673" t="s">
        <v>3610</v>
      </c>
      <c r="J102" s="599" t="b">
        <f t="shared" si="12"/>
        <v>1</v>
      </c>
      <c r="K102" s="599" t="b">
        <f t="shared" si="11"/>
        <v>1</v>
      </c>
      <c r="L102" s="599" t="b">
        <f>IF(D102="n/a","n/a",ISNUMBER(MATCH(D102,'Measure Level Adjustments Tab'!K:K,0)))</f>
        <v>0</v>
      </c>
      <c r="M102" s="599" t="b">
        <f t="shared" si="13"/>
        <v>0</v>
      </c>
      <c r="N102" s="599" t="b">
        <f t="shared" si="14"/>
        <v>0</v>
      </c>
      <c r="O102" s="599" t="s">
        <v>304</v>
      </c>
      <c r="P102" s="599" t="s">
        <v>304</v>
      </c>
      <c r="Q102" s="599"/>
      <c r="R102" s="599" t="str">
        <f t="shared" si="10"/>
        <v/>
      </c>
    </row>
    <row r="103" spans="2:18" x14ac:dyDescent="0.35">
      <c r="B103" s="2673" t="s">
        <v>3405</v>
      </c>
      <c r="C103" s="2673" t="s">
        <v>3476</v>
      </c>
      <c r="D103" s="2674" t="s">
        <v>3261</v>
      </c>
      <c r="E103" s="2673" t="s">
        <v>3477</v>
      </c>
      <c r="F103" s="2673" t="s">
        <v>3743</v>
      </c>
      <c r="G103" s="2673" t="s">
        <v>3402</v>
      </c>
      <c r="H103" s="2673" t="s">
        <v>3744</v>
      </c>
      <c r="I103" s="2673" t="s">
        <v>820</v>
      </c>
      <c r="J103" s="599" t="b">
        <f t="shared" si="12"/>
        <v>0</v>
      </c>
      <c r="K103" s="599" t="b">
        <f t="shared" ref="K103:K134" si="15">COUNTIFS(D:D,D103,J:J,TRUE)&gt;0</f>
        <v>0</v>
      </c>
      <c r="L103" s="599" t="b">
        <f>IF(D103="n/a","n/a",ISNUMBER(MATCH(D103,'Measure Level Adjustments Tab'!K:K,0)))</f>
        <v>0</v>
      </c>
      <c r="M103" s="599" t="b">
        <f t="shared" si="13"/>
        <v>0</v>
      </c>
      <c r="N103" s="599" t="b">
        <f t="shared" si="14"/>
        <v>0</v>
      </c>
      <c r="O103" s="599" t="s">
        <v>304</v>
      </c>
      <c r="P103" s="599" t="s">
        <v>304</v>
      </c>
      <c r="Q103" s="599"/>
      <c r="R103" s="599" t="str">
        <f t="shared" si="10"/>
        <v/>
      </c>
    </row>
    <row r="104" spans="2:18" x14ac:dyDescent="0.35">
      <c r="B104" s="2673" t="s">
        <v>3405</v>
      </c>
      <c r="C104" s="2673" t="s">
        <v>3476</v>
      </c>
      <c r="D104" s="2674" t="s">
        <v>3261</v>
      </c>
      <c r="E104" s="2673" t="s">
        <v>3477</v>
      </c>
      <c r="F104" s="2673" t="s">
        <v>3743</v>
      </c>
      <c r="G104" s="2673" t="s">
        <v>3402</v>
      </c>
      <c r="H104" s="2673" t="s">
        <v>3745</v>
      </c>
      <c r="I104" s="2673" t="s">
        <v>820</v>
      </c>
      <c r="J104" s="599" t="b">
        <f t="shared" si="12"/>
        <v>0</v>
      </c>
      <c r="K104" s="599" t="b">
        <f t="shared" si="15"/>
        <v>0</v>
      </c>
      <c r="L104" s="599" t="b">
        <f>IF(D104="n/a","n/a",ISNUMBER(MATCH(D104,'Measure Level Adjustments Tab'!K:K,0)))</f>
        <v>0</v>
      </c>
      <c r="M104" s="599" t="b">
        <f t="shared" si="13"/>
        <v>0</v>
      </c>
      <c r="N104" s="599" t="b">
        <f t="shared" si="14"/>
        <v>0</v>
      </c>
      <c r="O104" s="599" t="s">
        <v>304</v>
      </c>
      <c r="P104" s="599" t="s">
        <v>304</v>
      </c>
      <c r="Q104" s="599"/>
      <c r="R104" s="599" t="str">
        <f t="shared" si="10"/>
        <v/>
      </c>
    </row>
    <row r="105" spans="2:18" x14ac:dyDescent="0.35">
      <c r="B105" s="2673" t="s">
        <v>3405</v>
      </c>
      <c r="C105" s="2673" t="s">
        <v>3476</v>
      </c>
      <c r="D105" s="2674" t="s">
        <v>3261</v>
      </c>
      <c r="E105" s="2673" t="s">
        <v>3477</v>
      </c>
      <c r="F105" s="2673" t="s">
        <v>3743</v>
      </c>
      <c r="G105" s="2673" t="s">
        <v>3402</v>
      </c>
      <c r="H105" s="2673" t="s">
        <v>3746</v>
      </c>
      <c r="I105" s="2673" t="s">
        <v>820</v>
      </c>
      <c r="J105" s="599" t="b">
        <f t="shared" si="12"/>
        <v>0</v>
      </c>
      <c r="K105" s="599" t="b">
        <f t="shared" si="15"/>
        <v>0</v>
      </c>
      <c r="L105" s="599" t="b">
        <f>IF(D105="n/a","n/a",ISNUMBER(MATCH(D105,'Measure Level Adjustments Tab'!K:K,0)))</f>
        <v>0</v>
      </c>
      <c r="M105" s="599" t="b">
        <f t="shared" si="13"/>
        <v>0</v>
      </c>
      <c r="N105" s="599" t="b">
        <f t="shared" si="14"/>
        <v>0</v>
      </c>
      <c r="O105" s="599" t="s">
        <v>304</v>
      </c>
      <c r="P105" s="599" t="s">
        <v>304</v>
      </c>
      <c r="Q105" s="599"/>
      <c r="R105" s="599" t="str">
        <f t="shared" si="10"/>
        <v/>
      </c>
    </row>
    <row r="106" spans="2:18" x14ac:dyDescent="0.35">
      <c r="B106" s="2673" t="s">
        <v>3405</v>
      </c>
      <c r="C106" s="2673" t="s">
        <v>3476</v>
      </c>
      <c r="D106" s="2674" t="s">
        <v>3479</v>
      </c>
      <c r="E106" s="2675" t="s">
        <v>3478</v>
      </c>
      <c r="F106" s="2673" t="s">
        <v>3747</v>
      </c>
      <c r="G106" s="2673" t="s">
        <v>3402</v>
      </c>
      <c r="H106" s="2675" t="s">
        <v>3748</v>
      </c>
      <c r="I106" s="2673" t="s">
        <v>820</v>
      </c>
      <c r="J106" s="599" t="b">
        <f t="shared" si="12"/>
        <v>0</v>
      </c>
      <c r="K106" s="599" t="b">
        <f t="shared" si="15"/>
        <v>0</v>
      </c>
      <c r="L106" s="599" t="b">
        <f>IF(D106="n/a","n/a",ISNUMBER(MATCH(D106,'Measure Level Adjustments Tab'!K:K,0)))</f>
        <v>0</v>
      </c>
      <c r="M106" s="599" t="b">
        <f t="shared" si="13"/>
        <v>0</v>
      </c>
      <c r="N106" s="599" t="b">
        <f t="shared" si="14"/>
        <v>0</v>
      </c>
      <c r="O106" s="599" t="s">
        <v>304</v>
      </c>
      <c r="P106" s="599" t="s">
        <v>304</v>
      </c>
      <c r="Q106" s="599"/>
      <c r="R106" s="599" t="str">
        <f t="shared" si="10"/>
        <v/>
      </c>
    </row>
    <row r="107" spans="2:18" x14ac:dyDescent="0.35">
      <c r="B107" s="2673" t="s">
        <v>3405</v>
      </c>
      <c r="C107" s="2673" t="s">
        <v>3476</v>
      </c>
      <c r="D107" s="2674" t="s">
        <v>3211</v>
      </c>
      <c r="E107" s="2675" t="s">
        <v>3480</v>
      </c>
      <c r="F107" s="2673" t="s">
        <v>3749</v>
      </c>
      <c r="G107" s="2673" t="s">
        <v>3402</v>
      </c>
      <c r="H107" s="2675" t="s">
        <v>3750</v>
      </c>
      <c r="I107" s="2673" t="s">
        <v>820</v>
      </c>
      <c r="J107" s="599" t="b">
        <f t="shared" si="12"/>
        <v>0</v>
      </c>
      <c r="K107" s="599" t="b">
        <f t="shared" si="15"/>
        <v>0</v>
      </c>
      <c r="L107" s="599" t="b">
        <f>IF(D107="n/a","n/a",ISNUMBER(MATCH(D107,'Measure Level Adjustments Tab'!K:K,0)))</f>
        <v>0</v>
      </c>
      <c r="M107" s="599" t="b">
        <f t="shared" si="13"/>
        <v>0</v>
      </c>
      <c r="N107" s="599" t="b">
        <f t="shared" si="14"/>
        <v>0</v>
      </c>
      <c r="O107" s="599" t="s">
        <v>304</v>
      </c>
      <c r="P107" s="599" t="s">
        <v>304</v>
      </c>
      <c r="Q107" s="599"/>
      <c r="R107" s="599" t="str">
        <f t="shared" si="10"/>
        <v/>
      </c>
    </row>
    <row r="108" spans="2:18" x14ac:dyDescent="0.35">
      <c r="B108" s="2673" t="s">
        <v>3405</v>
      </c>
      <c r="C108" s="2673" t="s">
        <v>3476</v>
      </c>
      <c r="D108" s="2674" t="s">
        <v>3751</v>
      </c>
      <c r="E108" s="2675" t="s">
        <v>3752</v>
      </c>
      <c r="F108" s="2673" t="s">
        <v>3753</v>
      </c>
      <c r="G108" s="2673" t="s">
        <v>2285</v>
      </c>
      <c r="H108" s="2673" t="s">
        <v>3474</v>
      </c>
      <c r="I108" s="2673" t="s">
        <v>820</v>
      </c>
      <c r="J108" s="599" t="b">
        <f t="shared" si="12"/>
        <v>0</v>
      </c>
      <c r="K108" s="599" t="b">
        <f t="shared" si="15"/>
        <v>0</v>
      </c>
      <c r="L108" s="599" t="b">
        <f>IF(D108="n/a","n/a",ISNUMBER(MATCH(D108,'Measure Level Adjustments Tab'!K:K,0)))</f>
        <v>0</v>
      </c>
      <c r="M108" s="599" t="b">
        <f t="shared" si="13"/>
        <v>0</v>
      </c>
      <c r="N108" s="599" t="b">
        <f t="shared" si="14"/>
        <v>0</v>
      </c>
      <c r="O108" s="599" t="s">
        <v>304</v>
      </c>
      <c r="P108" s="599" t="s">
        <v>304</v>
      </c>
      <c r="Q108" s="599"/>
      <c r="R108" s="599" t="str">
        <f t="shared" si="10"/>
        <v/>
      </c>
    </row>
    <row r="109" spans="2:18" x14ac:dyDescent="0.35">
      <c r="B109" s="2673" t="s">
        <v>3405</v>
      </c>
      <c r="C109" s="2673" t="s">
        <v>3476</v>
      </c>
      <c r="D109" s="2674" t="s">
        <v>3754</v>
      </c>
      <c r="E109" s="2673" t="s">
        <v>3755</v>
      </c>
      <c r="F109" s="2673" t="s">
        <v>3756</v>
      </c>
      <c r="G109" s="2673" t="s">
        <v>2285</v>
      </c>
      <c r="H109" s="2673" t="s">
        <v>3474</v>
      </c>
      <c r="I109" s="2673" t="s">
        <v>820</v>
      </c>
      <c r="J109" s="599" t="b">
        <f t="shared" si="12"/>
        <v>0</v>
      </c>
      <c r="K109" s="599" t="b">
        <f t="shared" si="15"/>
        <v>0</v>
      </c>
      <c r="L109" s="599" t="b">
        <f>IF(D109="n/a","n/a",ISNUMBER(MATCH(D109,'Measure Level Adjustments Tab'!K:K,0)))</f>
        <v>0</v>
      </c>
      <c r="M109" s="599" t="b">
        <f t="shared" si="13"/>
        <v>0</v>
      </c>
      <c r="N109" s="599" t="b">
        <f t="shared" si="14"/>
        <v>0</v>
      </c>
      <c r="O109" s="599" t="s">
        <v>304</v>
      </c>
      <c r="P109" s="599" t="s">
        <v>304</v>
      </c>
      <c r="Q109" s="599"/>
      <c r="R109" s="599" t="str">
        <f t="shared" si="10"/>
        <v/>
      </c>
    </row>
    <row r="110" spans="2:18" x14ac:dyDescent="0.35">
      <c r="B110" s="2673" t="s">
        <v>3405</v>
      </c>
      <c r="C110" s="2673" t="s">
        <v>3481</v>
      </c>
      <c r="D110" s="2674" t="s">
        <v>3483</v>
      </c>
      <c r="E110" s="2673" t="s">
        <v>3482</v>
      </c>
      <c r="F110" s="2673" t="s">
        <v>3757</v>
      </c>
      <c r="G110" s="2673" t="s">
        <v>3402</v>
      </c>
      <c r="H110" s="2675" t="s">
        <v>3620</v>
      </c>
      <c r="I110" s="2673" t="s">
        <v>820</v>
      </c>
      <c r="J110" s="599" t="b">
        <f t="shared" si="12"/>
        <v>0</v>
      </c>
      <c r="K110" s="599" t="b">
        <f t="shared" si="15"/>
        <v>0</v>
      </c>
      <c r="L110" s="599" t="b">
        <f>IF(D110="n/a","n/a",ISNUMBER(MATCH(D110,'Measure Level Adjustments Tab'!K:K,0)))</f>
        <v>0</v>
      </c>
      <c r="M110" s="599" t="b">
        <f t="shared" si="13"/>
        <v>0</v>
      </c>
      <c r="N110" s="599" t="b">
        <f t="shared" si="14"/>
        <v>0</v>
      </c>
      <c r="O110" s="599" t="s">
        <v>304</v>
      </c>
      <c r="P110" s="599" t="s">
        <v>304</v>
      </c>
      <c r="Q110" s="599"/>
      <c r="R110" s="599" t="str">
        <f t="shared" si="10"/>
        <v/>
      </c>
    </row>
    <row r="111" spans="2:18" x14ac:dyDescent="0.35">
      <c r="B111" s="2673" t="s">
        <v>3405</v>
      </c>
      <c r="C111" s="2673" t="s">
        <v>3481</v>
      </c>
      <c r="D111" s="2674" t="s">
        <v>3085</v>
      </c>
      <c r="E111" s="2675" t="s">
        <v>3758</v>
      </c>
      <c r="F111" s="2673" t="s">
        <v>3759</v>
      </c>
      <c r="G111" s="2673" t="s">
        <v>3402</v>
      </c>
      <c r="H111" s="2675" t="s">
        <v>3760</v>
      </c>
      <c r="I111" s="2673" t="s">
        <v>3427</v>
      </c>
      <c r="J111" s="599" t="b">
        <f t="shared" si="12"/>
        <v>1</v>
      </c>
      <c r="K111" s="599" t="b">
        <f t="shared" si="15"/>
        <v>1</v>
      </c>
      <c r="L111" s="599" t="b">
        <f>IF(D111="n/a","n/a",ISNUMBER(MATCH(D111,'Measure Level Adjustments Tab'!K:K,0)))</f>
        <v>0</v>
      </c>
      <c r="M111" s="599" t="b">
        <f t="shared" si="13"/>
        <v>0</v>
      </c>
      <c r="N111" s="599" t="b">
        <f t="shared" si="14"/>
        <v>0</v>
      </c>
      <c r="O111" s="599" t="s">
        <v>304</v>
      </c>
      <c r="P111" s="599" t="s">
        <v>304</v>
      </c>
      <c r="Q111" s="599"/>
      <c r="R111" s="599" t="str">
        <f t="shared" si="10"/>
        <v/>
      </c>
    </row>
    <row r="112" spans="2:18" x14ac:dyDescent="0.35">
      <c r="B112" s="2673" t="s">
        <v>3405</v>
      </c>
      <c r="C112" s="2673" t="s">
        <v>3481</v>
      </c>
      <c r="D112" s="2674" t="s">
        <v>3127</v>
      </c>
      <c r="E112" s="2673" t="s">
        <v>3761</v>
      </c>
      <c r="F112" s="2673" t="s">
        <v>3762</v>
      </c>
      <c r="G112" s="2673" t="s">
        <v>3402</v>
      </c>
      <c r="H112" s="2673" t="s">
        <v>3763</v>
      </c>
      <c r="I112" s="2673" t="s">
        <v>3409</v>
      </c>
      <c r="J112" s="599" t="b">
        <f t="shared" si="12"/>
        <v>1</v>
      </c>
      <c r="K112" s="599" t="b">
        <f t="shared" si="15"/>
        <v>1</v>
      </c>
      <c r="L112" s="599" t="b">
        <f>IF(D112="n/a","n/a",ISNUMBER(MATCH(D112,'Measure Level Adjustments Tab'!K:K,0)))</f>
        <v>0</v>
      </c>
      <c r="M112" s="599" t="b">
        <f t="shared" si="13"/>
        <v>0</v>
      </c>
      <c r="N112" s="599" t="b">
        <f t="shared" si="14"/>
        <v>0</v>
      </c>
      <c r="O112" s="599" t="s">
        <v>304</v>
      </c>
      <c r="P112" s="599" t="s">
        <v>304</v>
      </c>
      <c r="Q112" s="599"/>
      <c r="R112" s="599" t="str">
        <f t="shared" si="10"/>
        <v/>
      </c>
    </row>
    <row r="113" spans="2:18" x14ac:dyDescent="0.35">
      <c r="B113" s="2673" t="s">
        <v>3405</v>
      </c>
      <c r="C113" s="2673" t="s">
        <v>3481</v>
      </c>
      <c r="D113" s="2674" t="s">
        <v>3485</v>
      </c>
      <c r="E113" s="2673" t="s">
        <v>3484</v>
      </c>
      <c r="F113" s="2673" t="s">
        <v>3764</v>
      </c>
      <c r="G113" s="2673" t="s">
        <v>3402</v>
      </c>
      <c r="H113" s="2673" t="s">
        <v>3765</v>
      </c>
      <c r="I113" s="2673" t="s">
        <v>820</v>
      </c>
      <c r="J113" s="599" t="b">
        <f t="shared" si="12"/>
        <v>0</v>
      </c>
      <c r="K113" s="599" t="b">
        <f t="shared" si="15"/>
        <v>0</v>
      </c>
      <c r="L113" s="599" t="b">
        <f>IF(D113="n/a","n/a",ISNUMBER(MATCH(D113,'Measure Level Adjustments Tab'!K:K,0)))</f>
        <v>0</v>
      </c>
      <c r="M113" s="599" t="b">
        <f t="shared" si="13"/>
        <v>0</v>
      </c>
      <c r="N113" s="599" t="b">
        <f t="shared" si="14"/>
        <v>0</v>
      </c>
      <c r="O113" s="599" t="s">
        <v>304</v>
      </c>
      <c r="P113" s="599" t="s">
        <v>304</v>
      </c>
      <c r="Q113" s="599"/>
      <c r="R113" s="599" t="str">
        <f t="shared" si="10"/>
        <v/>
      </c>
    </row>
    <row r="114" spans="2:18" x14ac:dyDescent="0.35">
      <c r="B114" s="2673" t="s">
        <v>3405</v>
      </c>
      <c r="C114" s="2673" t="s">
        <v>3481</v>
      </c>
      <c r="D114" s="2674" t="s">
        <v>3766</v>
      </c>
      <c r="E114" s="2673" t="s">
        <v>3767</v>
      </c>
      <c r="F114" s="2673" t="s">
        <v>3768</v>
      </c>
      <c r="G114" s="2673" t="s">
        <v>2285</v>
      </c>
      <c r="H114" s="2673" t="s">
        <v>3474</v>
      </c>
      <c r="I114" s="2673" t="s">
        <v>820</v>
      </c>
      <c r="J114" s="599" t="b">
        <f t="shared" si="12"/>
        <v>0</v>
      </c>
      <c r="K114" s="599" t="b">
        <f t="shared" si="15"/>
        <v>0</v>
      </c>
      <c r="L114" s="599" t="b">
        <f>IF(D114="n/a","n/a",ISNUMBER(MATCH(D114,'Measure Level Adjustments Tab'!K:K,0)))</f>
        <v>0</v>
      </c>
      <c r="M114" s="599" t="b">
        <f t="shared" si="13"/>
        <v>0</v>
      </c>
      <c r="N114" s="599" t="b">
        <f t="shared" si="14"/>
        <v>0</v>
      </c>
      <c r="O114" s="599" t="s">
        <v>304</v>
      </c>
      <c r="P114" s="599" t="s">
        <v>304</v>
      </c>
      <c r="Q114" s="599"/>
      <c r="R114" s="599" t="str">
        <f t="shared" si="10"/>
        <v/>
      </c>
    </row>
    <row r="115" spans="2:18" x14ac:dyDescent="0.35">
      <c r="B115" s="2673" t="s">
        <v>3405</v>
      </c>
      <c r="C115" s="2673" t="s">
        <v>3481</v>
      </c>
      <c r="D115" s="2674" t="s">
        <v>3769</v>
      </c>
      <c r="E115" s="2673" t="s">
        <v>3770</v>
      </c>
      <c r="F115" s="2673" t="s">
        <v>3771</v>
      </c>
      <c r="G115" s="2673" t="s">
        <v>2285</v>
      </c>
      <c r="H115" s="2673" t="s">
        <v>3474</v>
      </c>
      <c r="I115" s="2673" t="s">
        <v>820</v>
      </c>
      <c r="J115" s="599" t="b">
        <f t="shared" si="12"/>
        <v>0</v>
      </c>
      <c r="K115" s="599" t="b">
        <f t="shared" si="15"/>
        <v>0</v>
      </c>
      <c r="L115" s="599" t="b">
        <f>IF(D115="n/a","n/a",ISNUMBER(MATCH(D115,'Measure Level Adjustments Tab'!K:K,0)))</f>
        <v>0</v>
      </c>
      <c r="M115" s="599" t="b">
        <f t="shared" si="13"/>
        <v>0</v>
      </c>
      <c r="N115" s="599" t="b">
        <f t="shared" si="14"/>
        <v>0</v>
      </c>
      <c r="O115" s="599" t="s">
        <v>304</v>
      </c>
      <c r="P115" s="599" t="s">
        <v>304</v>
      </c>
      <c r="Q115" s="599"/>
      <c r="R115" s="599" t="str">
        <f t="shared" si="10"/>
        <v/>
      </c>
    </row>
    <row r="116" spans="2:18" x14ac:dyDescent="0.35">
      <c r="B116" s="2673" t="s">
        <v>3405</v>
      </c>
      <c r="C116" s="2673" t="s">
        <v>3481</v>
      </c>
      <c r="D116" s="2674" t="s">
        <v>3772</v>
      </c>
      <c r="E116" s="2673" t="s">
        <v>3773</v>
      </c>
      <c r="F116" s="2673" t="s">
        <v>3774</v>
      </c>
      <c r="G116" s="2673" t="s">
        <v>2285</v>
      </c>
      <c r="H116" s="2673" t="s">
        <v>3474</v>
      </c>
      <c r="I116" s="2673" t="s">
        <v>820</v>
      </c>
      <c r="J116" s="599" t="b">
        <f t="shared" si="12"/>
        <v>0</v>
      </c>
      <c r="K116" s="599" t="b">
        <f t="shared" si="15"/>
        <v>0</v>
      </c>
      <c r="L116" s="599" t="b">
        <f>IF(D116="n/a","n/a",ISNUMBER(MATCH(D116,'Measure Level Adjustments Tab'!K:K,0)))</f>
        <v>0</v>
      </c>
      <c r="M116" s="599" t="b">
        <f t="shared" si="13"/>
        <v>0</v>
      </c>
      <c r="N116" s="599" t="b">
        <f t="shared" si="14"/>
        <v>0</v>
      </c>
      <c r="O116" s="599" t="s">
        <v>304</v>
      </c>
      <c r="P116" s="599" t="s">
        <v>304</v>
      </c>
      <c r="Q116" s="599"/>
      <c r="R116" s="599" t="str">
        <f t="shared" si="10"/>
        <v/>
      </c>
    </row>
    <row r="117" spans="2:18" x14ac:dyDescent="0.35">
      <c r="B117" s="2673" t="s">
        <v>3405</v>
      </c>
      <c r="C117" s="2673" t="s">
        <v>3481</v>
      </c>
      <c r="D117" s="2674" t="s">
        <v>3775</v>
      </c>
      <c r="E117" s="2673" t="s">
        <v>3776</v>
      </c>
      <c r="F117" s="2673" t="s">
        <v>3777</v>
      </c>
      <c r="G117" s="2673" t="s">
        <v>2285</v>
      </c>
      <c r="H117" s="2673" t="s">
        <v>3474</v>
      </c>
      <c r="I117" s="2673" t="s">
        <v>820</v>
      </c>
      <c r="J117" s="599" t="b">
        <f t="shared" si="12"/>
        <v>0</v>
      </c>
      <c r="K117" s="599" t="b">
        <f t="shared" si="15"/>
        <v>0</v>
      </c>
      <c r="L117" s="599" t="b">
        <f>IF(D117="n/a","n/a",ISNUMBER(MATCH(D117,'Measure Level Adjustments Tab'!K:K,0)))</f>
        <v>0</v>
      </c>
      <c r="M117" s="599" t="b">
        <f t="shared" si="13"/>
        <v>0</v>
      </c>
      <c r="N117" s="599" t="b">
        <f t="shared" si="14"/>
        <v>0</v>
      </c>
      <c r="O117" s="599" t="s">
        <v>304</v>
      </c>
      <c r="P117" s="599" t="s">
        <v>304</v>
      </c>
      <c r="Q117" s="599"/>
      <c r="R117" s="599" t="str">
        <f t="shared" si="10"/>
        <v/>
      </c>
    </row>
    <row r="118" spans="2:18" x14ac:dyDescent="0.35">
      <c r="B118" s="2673" t="s">
        <v>3405</v>
      </c>
      <c r="C118" s="2673" t="s">
        <v>3481</v>
      </c>
      <c r="D118" s="2674" t="s">
        <v>3778</v>
      </c>
      <c r="E118" s="2673" t="s">
        <v>3779</v>
      </c>
      <c r="F118" s="2673" t="s">
        <v>3780</v>
      </c>
      <c r="G118" s="2673" t="s">
        <v>2285</v>
      </c>
      <c r="H118" s="2673" t="s">
        <v>3474</v>
      </c>
      <c r="I118" s="2673" t="s">
        <v>820</v>
      </c>
      <c r="J118" s="599" t="b">
        <f t="shared" si="12"/>
        <v>0</v>
      </c>
      <c r="K118" s="599" t="b">
        <f t="shared" si="15"/>
        <v>0</v>
      </c>
      <c r="L118" s="599" t="b">
        <f>IF(D118="n/a","n/a",ISNUMBER(MATCH(D118,'Measure Level Adjustments Tab'!K:K,0)))</f>
        <v>0</v>
      </c>
      <c r="M118" s="599" t="b">
        <f t="shared" si="13"/>
        <v>0</v>
      </c>
      <c r="N118" s="599" t="b">
        <f t="shared" si="14"/>
        <v>0</v>
      </c>
      <c r="O118" s="599" t="s">
        <v>304</v>
      </c>
      <c r="P118" s="599" t="s">
        <v>304</v>
      </c>
      <c r="Q118" s="599"/>
      <c r="R118" s="599" t="str">
        <f t="shared" si="10"/>
        <v/>
      </c>
    </row>
    <row r="119" spans="2:18" x14ac:dyDescent="0.35">
      <c r="B119" s="2673" t="s">
        <v>3455</v>
      </c>
      <c r="C119" s="2673" t="s">
        <v>3486</v>
      </c>
      <c r="D119" s="2674" t="s">
        <v>1694</v>
      </c>
      <c r="E119" s="2673" t="s">
        <v>3781</v>
      </c>
      <c r="F119" s="2673" t="s">
        <v>3782</v>
      </c>
      <c r="G119" s="2673" t="s">
        <v>3402</v>
      </c>
      <c r="H119" s="2673" t="s">
        <v>3783</v>
      </c>
      <c r="I119" s="2673" t="s">
        <v>820</v>
      </c>
      <c r="J119" s="599" t="b">
        <f t="shared" si="12"/>
        <v>0</v>
      </c>
      <c r="K119" s="599" t="b">
        <f t="shared" si="15"/>
        <v>0</v>
      </c>
      <c r="L119" s="599" t="b">
        <f>IF(D119="n/a","n/a",ISNUMBER(MATCH(D119,'Measure Level Adjustments Tab'!K:K,0)))</f>
        <v>0</v>
      </c>
      <c r="M119" s="599" t="b">
        <f t="shared" si="13"/>
        <v>0</v>
      </c>
      <c r="N119" s="599" t="b">
        <f t="shared" si="14"/>
        <v>0</v>
      </c>
      <c r="O119" s="599" t="s">
        <v>304</v>
      </c>
      <c r="P119" s="599" t="s">
        <v>304</v>
      </c>
      <c r="Q119" s="599"/>
      <c r="R119" s="599" t="str">
        <f t="shared" si="10"/>
        <v/>
      </c>
    </row>
    <row r="120" spans="2:18" x14ac:dyDescent="0.35">
      <c r="B120" s="2673" t="s">
        <v>3455</v>
      </c>
      <c r="C120" s="2673" t="s">
        <v>3486</v>
      </c>
      <c r="D120" s="2674" t="s">
        <v>1696</v>
      </c>
      <c r="E120" s="2675" t="s">
        <v>3487</v>
      </c>
      <c r="F120" s="2673" t="s">
        <v>3784</v>
      </c>
      <c r="G120" s="2673" t="s">
        <v>3403</v>
      </c>
      <c r="H120" s="2673" t="s">
        <v>3588</v>
      </c>
      <c r="I120" s="2673" t="s">
        <v>3589</v>
      </c>
      <c r="J120" s="599" t="b">
        <f t="shared" si="12"/>
        <v>1</v>
      </c>
      <c r="K120" s="599" t="b">
        <f t="shared" si="15"/>
        <v>1</v>
      </c>
      <c r="L120" s="599" t="b">
        <f>IF(D120="n/a","n/a",ISNUMBER(MATCH(D120,'Measure Level Adjustments Tab'!K:K,0)))</f>
        <v>0</v>
      </c>
      <c r="M120" s="599" t="b">
        <f t="shared" si="13"/>
        <v>0</v>
      </c>
      <c r="N120" s="599" t="b">
        <f t="shared" si="14"/>
        <v>0</v>
      </c>
      <c r="O120" s="599" t="s">
        <v>304</v>
      </c>
      <c r="P120" s="599" t="s">
        <v>304</v>
      </c>
      <c r="Q120" s="599"/>
      <c r="R120" s="599" t="str">
        <f t="shared" si="10"/>
        <v/>
      </c>
    </row>
    <row r="121" spans="2:18" x14ac:dyDescent="0.35">
      <c r="B121" s="2673" t="s">
        <v>3455</v>
      </c>
      <c r="C121" s="2673" t="s">
        <v>3486</v>
      </c>
      <c r="D121" s="2674" t="s">
        <v>1696</v>
      </c>
      <c r="E121" s="2675" t="s">
        <v>3487</v>
      </c>
      <c r="F121" s="2673" t="s">
        <v>3785</v>
      </c>
      <c r="G121" s="2673" t="s">
        <v>3402</v>
      </c>
      <c r="H121" s="2673" t="s">
        <v>3786</v>
      </c>
      <c r="I121" s="2673" t="s">
        <v>3409</v>
      </c>
      <c r="J121" s="599" t="b">
        <f t="shared" si="12"/>
        <v>1</v>
      </c>
      <c r="K121" s="599" t="b">
        <f t="shared" si="15"/>
        <v>1</v>
      </c>
      <c r="L121" s="599" t="b">
        <f>IF(D121="n/a","n/a",ISNUMBER(MATCH(D121,'Measure Level Adjustments Tab'!K:K,0)))</f>
        <v>0</v>
      </c>
      <c r="M121" s="599" t="b">
        <f t="shared" si="13"/>
        <v>0</v>
      </c>
      <c r="N121" s="599" t="b">
        <f t="shared" si="14"/>
        <v>0</v>
      </c>
      <c r="O121" s="599" t="s">
        <v>304</v>
      </c>
      <c r="P121" s="599" t="s">
        <v>304</v>
      </c>
      <c r="Q121" s="599"/>
      <c r="R121" s="599" t="str">
        <f t="shared" si="10"/>
        <v/>
      </c>
    </row>
    <row r="122" spans="2:18" x14ac:dyDescent="0.35">
      <c r="B122" s="2673" t="s">
        <v>3455</v>
      </c>
      <c r="C122" s="2673" t="s">
        <v>3486</v>
      </c>
      <c r="D122" s="2674" t="s">
        <v>1698</v>
      </c>
      <c r="E122" s="2673" t="s">
        <v>3488</v>
      </c>
      <c r="F122" s="2673" t="s">
        <v>3787</v>
      </c>
      <c r="G122" s="2673" t="s">
        <v>3403</v>
      </c>
      <c r="H122" s="2673" t="s">
        <v>3788</v>
      </c>
      <c r="I122" s="2673" t="s">
        <v>3789</v>
      </c>
      <c r="J122" s="599" t="b">
        <f t="shared" si="12"/>
        <v>1</v>
      </c>
      <c r="K122" s="599" t="b">
        <f t="shared" si="15"/>
        <v>1</v>
      </c>
      <c r="L122" s="599" t="b">
        <f>IF(D122="n/a","n/a",ISNUMBER(MATCH(D122,'Measure Level Adjustments Tab'!K:K,0)))</f>
        <v>0</v>
      </c>
      <c r="M122" s="599" t="b">
        <f t="shared" si="13"/>
        <v>0</v>
      </c>
      <c r="N122" s="599" t="b">
        <f t="shared" si="14"/>
        <v>0</v>
      </c>
      <c r="O122" s="599" t="s">
        <v>304</v>
      </c>
      <c r="P122" s="599" t="s">
        <v>304</v>
      </c>
      <c r="Q122" s="2678"/>
      <c r="R122" s="2677" t="str">
        <f t="shared" ref="R122:R184" si="16">IF(Q122="","",HYPERLINK("#'"&amp;Q122,"Go To Update"))</f>
        <v/>
      </c>
    </row>
    <row r="123" spans="2:18" x14ac:dyDescent="0.35">
      <c r="B123" s="2673" t="s">
        <v>3455</v>
      </c>
      <c r="C123" s="2673" t="s">
        <v>3486</v>
      </c>
      <c r="D123" s="2674" t="s">
        <v>1698</v>
      </c>
      <c r="E123" s="2673" t="s">
        <v>3488</v>
      </c>
      <c r="F123" s="2673" t="s">
        <v>3790</v>
      </c>
      <c r="G123" s="2673" t="s">
        <v>3402</v>
      </c>
      <c r="H123" s="2673" t="s">
        <v>3791</v>
      </c>
      <c r="I123" s="2673" t="s">
        <v>3789</v>
      </c>
      <c r="J123" s="599" t="b">
        <f t="shared" si="12"/>
        <v>1</v>
      </c>
      <c r="K123" s="599" t="b">
        <f t="shared" si="15"/>
        <v>1</v>
      </c>
      <c r="L123" s="599" t="b">
        <f>IF(D123="n/a","n/a",ISNUMBER(MATCH(D123,'Measure Level Adjustments Tab'!K:K,0)))</f>
        <v>0</v>
      </c>
      <c r="M123" s="599" t="b">
        <f t="shared" si="13"/>
        <v>0</v>
      </c>
      <c r="N123" s="599" t="b">
        <f t="shared" si="14"/>
        <v>0</v>
      </c>
      <c r="O123" s="599" t="s">
        <v>304</v>
      </c>
      <c r="P123" s="599" t="s">
        <v>304</v>
      </c>
      <c r="Q123" s="2678"/>
      <c r="R123" s="2677" t="str">
        <f t="shared" ref="R123" si="17">IF(Q123="","",HYPERLINK("#'"&amp;Q123,"Go To Update"))</f>
        <v/>
      </c>
    </row>
    <row r="124" spans="2:18" x14ac:dyDescent="0.35">
      <c r="B124" s="2673" t="s">
        <v>3455</v>
      </c>
      <c r="C124" s="2673" t="s">
        <v>3486</v>
      </c>
      <c r="D124" s="2674" t="s">
        <v>1698</v>
      </c>
      <c r="E124" s="2673" t="s">
        <v>3488</v>
      </c>
      <c r="F124" s="2673" t="s">
        <v>3790</v>
      </c>
      <c r="G124" s="2673" t="s">
        <v>3402</v>
      </c>
      <c r="H124" s="2673" t="s">
        <v>3446</v>
      </c>
      <c r="I124" s="2673" t="s">
        <v>3789</v>
      </c>
      <c r="J124" s="599" t="b">
        <f t="shared" si="12"/>
        <v>1</v>
      </c>
      <c r="K124" s="599" t="b">
        <f t="shared" si="15"/>
        <v>1</v>
      </c>
      <c r="L124" s="599" t="b">
        <f>IF(D124="n/a","n/a",ISNUMBER(MATCH(D124,'Measure Level Adjustments Tab'!K:K,0)))</f>
        <v>0</v>
      </c>
      <c r="M124" s="599" t="b">
        <f t="shared" si="13"/>
        <v>0</v>
      </c>
      <c r="N124" s="599" t="b">
        <f t="shared" si="14"/>
        <v>0</v>
      </c>
      <c r="O124" s="599" t="s">
        <v>304</v>
      </c>
      <c r="P124" s="599" t="s">
        <v>304</v>
      </c>
      <c r="Q124" s="599"/>
      <c r="R124" s="599" t="str">
        <f t="shared" si="16"/>
        <v/>
      </c>
    </row>
    <row r="125" spans="2:18" x14ac:dyDescent="0.35">
      <c r="B125" s="2673" t="s">
        <v>3455</v>
      </c>
      <c r="C125" s="2673" t="s">
        <v>3486</v>
      </c>
      <c r="D125" s="2674" t="s">
        <v>1700</v>
      </c>
      <c r="E125" s="2673" t="s">
        <v>3489</v>
      </c>
      <c r="F125" s="2673" t="s">
        <v>3792</v>
      </c>
      <c r="G125" s="2673" t="s">
        <v>3403</v>
      </c>
      <c r="H125" s="2673" t="s">
        <v>3588</v>
      </c>
      <c r="I125" s="2673" t="s">
        <v>3589</v>
      </c>
      <c r="J125" s="599" t="b">
        <f t="shared" si="12"/>
        <v>1</v>
      </c>
      <c r="K125" s="599" t="b">
        <f t="shared" si="15"/>
        <v>1</v>
      </c>
      <c r="L125" s="599" t="b">
        <f>IF(D125="n/a","n/a",ISNUMBER(MATCH(D125,'Measure Level Adjustments Tab'!K:K,0)))</f>
        <v>0</v>
      </c>
      <c r="M125" s="599" t="b">
        <f t="shared" si="13"/>
        <v>0</v>
      </c>
      <c r="N125" s="599" t="b">
        <f t="shared" si="14"/>
        <v>0</v>
      </c>
      <c r="O125" s="599" t="s">
        <v>304</v>
      </c>
      <c r="P125" s="599" t="s">
        <v>304</v>
      </c>
      <c r="Q125" s="599"/>
      <c r="R125" s="599" t="str">
        <f t="shared" si="16"/>
        <v/>
      </c>
    </row>
    <row r="126" spans="2:18" x14ac:dyDescent="0.35">
      <c r="B126" s="2673" t="s">
        <v>3455</v>
      </c>
      <c r="C126" s="2673" t="s">
        <v>3486</v>
      </c>
      <c r="D126" s="2674" t="s">
        <v>1704</v>
      </c>
      <c r="E126" s="2673" t="s">
        <v>3490</v>
      </c>
      <c r="F126" s="2673" t="s">
        <v>3793</v>
      </c>
      <c r="G126" s="2673" t="s">
        <v>3402</v>
      </c>
      <c r="H126" s="2673" t="s">
        <v>3794</v>
      </c>
      <c r="I126" s="2673" t="s">
        <v>820</v>
      </c>
      <c r="J126" s="599" t="b">
        <f t="shared" si="12"/>
        <v>0</v>
      </c>
      <c r="K126" s="599" t="b">
        <f t="shared" si="15"/>
        <v>0</v>
      </c>
      <c r="L126" s="599" t="b">
        <f>IF(D126="n/a","n/a",ISNUMBER(MATCH(D126,'Measure Level Adjustments Tab'!K:K,0)))</f>
        <v>0</v>
      </c>
      <c r="M126" s="599" t="b">
        <f t="shared" si="13"/>
        <v>0</v>
      </c>
      <c r="N126" s="599" t="b">
        <f t="shared" si="14"/>
        <v>0</v>
      </c>
      <c r="O126" s="599" t="s">
        <v>304</v>
      </c>
      <c r="P126" s="599" t="s">
        <v>304</v>
      </c>
      <c r="Q126" s="599"/>
      <c r="R126" s="599" t="str">
        <f t="shared" si="16"/>
        <v/>
      </c>
    </row>
    <row r="127" spans="2:18" x14ac:dyDescent="0.35">
      <c r="B127" s="2673" t="s">
        <v>3455</v>
      </c>
      <c r="C127" s="2673" t="s">
        <v>3486</v>
      </c>
      <c r="D127" s="2674" t="s">
        <v>1708</v>
      </c>
      <c r="E127" s="2673" t="s">
        <v>3491</v>
      </c>
      <c r="F127" s="2673" t="s">
        <v>3795</v>
      </c>
      <c r="G127" s="2673" t="s">
        <v>3402</v>
      </c>
      <c r="H127" s="2673" t="s">
        <v>3796</v>
      </c>
      <c r="I127" s="2673" t="s">
        <v>820</v>
      </c>
      <c r="J127" s="599" t="b">
        <f t="shared" si="12"/>
        <v>0</v>
      </c>
      <c r="K127" s="599" t="b">
        <f t="shared" si="15"/>
        <v>0</v>
      </c>
      <c r="L127" s="599" t="b">
        <f>IF(D127="n/a","n/a",ISNUMBER(MATCH(D127,'Measure Level Adjustments Tab'!K:K,0)))</f>
        <v>0</v>
      </c>
      <c r="M127" s="599" t="b">
        <f t="shared" si="13"/>
        <v>0</v>
      </c>
      <c r="N127" s="599" t="b">
        <f t="shared" si="14"/>
        <v>0</v>
      </c>
      <c r="O127" s="599" t="s">
        <v>304</v>
      </c>
      <c r="P127" s="599" t="s">
        <v>304</v>
      </c>
      <c r="Q127" s="599"/>
      <c r="R127" s="599" t="str">
        <f t="shared" si="16"/>
        <v/>
      </c>
    </row>
    <row r="128" spans="2:18" x14ac:dyDescent="0.35">
      <c r="B128" s="2673" t="s">
        <v>3455</v>
      </c>
      <c r="C128" s="2673" t="s">
        <v>3486</v>
      </c>
      <c r="D128" s="2674" t="s">
        <v>3493</v>
      </c>
      <c r="E128" s="2673" t="s">
        <v>3492</v>
      </c>
      <c r="F128" s="2673" t="s">
        <v>3797</v>
      </c>
      <c r="G128" s="2673" t="s">
        <v>3402</v>
      </c>
      <c r="H128" s="2673" t="s">
        <v>3798</v>
      </c>
      <c r="I128" s="2673" t="s">
        <v>820</v>
      </c>
      <c r="J128" s="599" t="b">
        <f t="shared" si="12"/>
        <v>0</v>
      </c>
      <c r="K128" s="599" t="b">
        <f t="shared" si="15"/>
        <v>0</v>
      </c>
      <c r="L128" s="599" t="b">
        <f>IF(D128="n/a","n/a",ISNUMBER(MATCH(D128,'Measure Level Adjustments Tab'!K:K,0)))</f>
        <v>0</v>
      </c>
      <c r="M128" s="599" t="b">
        <f t="shared" si="13"/>
        <v>0</v>
      </c>
      <c r="N128" s="599" t="b">
        <f t="shared" si="14"/>
        <v>0</v>
      </c>
      <c r="O128" s="599" t="s">
        <v>304</v>
      </c>
      <c r="P128" s="599" t="s">
        <v>304</v>
      </c>
      <c r="Q128" s="599"/>
      <c r="R128" s="599" t="str">
        <f t="shared" si="16"/>
        <v/>
      </c>
    </row>
    <row r="129" spans="2:18" x14ac:dyDescent="0.35">
      <c r="B129" s="2673" t="s">
        <v>3455</v>
      </c>
      <c r="C129" s="2673" t="s">
        <v>3494</v>
      </c>
      <c r="D129" s="2674" t="s">
        <v>1710</v>
      </c>
      <c r="E129" s="2675" t="s">
        <v>3495</v>
      </c>
      <c r="F129" s="2673" t="s">
        <v>3799</v>
      </c>
      <c r="G129" s="2673" t="s">
        <v>3402</v>
      </c>
      <c r="H129" s="2673" t="s">
        <v>3800</v>
      </c>
      <c r="I129" s="2673" t="s">
        <v>820</v>
      </c>
      <c r="J129" s="599" t="b">
        <f t="shared" si="12"/>
        <v>0</v>
      </c>
      <c r="K129" s="599" t="b">
        <f t="shared" si="15"/>
        <v>0</v>
      </c>
      <c r="L129" s="599" t="b">
        <f>IF(D129="n/a","n/a",ISNUMBER(MATCH(D129,'Measure Level Adjustments Tab'!K:K,0)))</f>
        <v>0</v>
      </c>
      <c r="M129" s="599" t="b">
        <f t="shared" si="13"/>
        <v>0</v>
      </c>
      <c r="N129" s="599" t="b">
        <f t="shared" si="14"/>
        <v>0</v>
      </c>
      <c r="O129" s="599" t="s">
        <v>304</v>
      </c>
      <c r="P129" s="599" t="s">
        <v>304</v>
      </c>
      <c r="Q129" s="599"/>
      <c r="R129" s="599" t="str">
        <f t="shared" si="16"/>
        <v/>
      </c>
    </row>
    <row r="130" spans="2:18" x14ac:dyDescent="0.35">
      <c r="B130" s="2673" t="s">
        <v>3455</v>
      </c>
      <c r="C130" s="2673" t="s">
        <v>3494</v>
      </c>
      <c r="D130" s="2674" t="s">
        <v>877</v>
      </c>
      <c r="E130" s="2675" t="s">
        <v>3496</v>
      </c>
      <c r="F130" s="2673" t="s">
        <v>3801</v>
      </c>
      <c r="G130" s="2673" t="s">
        <v>3402</v>
      </c>
      <c r="H130" s="2673" t="s">
        <v>3802</v>
      </c>
      <c r="I130" s="2673" t="s">
        <v>3789</v>
      </c>
      <c r="J130" s="599" t="b">
        <f t="shared" si="12"/>
        <v>1</v>
      </c>
      <c r="K130" s="599" t="b">
        <f t="shared" si="15"/>
        <v>1</v>
      </c>
      <c r="L130" s="599" t="b">
        <f>IF(D130="n/a","n/a",ISNUMBER(MATCH(D130,'Measure Level Adjustments Tab'!K:K,0)))</f>
        <v>0</v>
      </c>
      <c r="M130" s="599" t="b">
        <f t="shared" si="13"/>
        <v>0</v>
      </c>
      <c r="N130" s="599" t="b">
        <f t="shared" si="14"/>
        <v>0</v>
      </c>
      <c r="O130" s="599" t="s">
        <v>304</v>
      </c>
      <c r="P130" s="599" t="s">
        <v>304</v>
      </c>
      <c r="Q130" s="2678"/>
      <c r="R130" s="2677" t="str">
        <f t="shared" si="16"/>
        <v/>
      </c>
    </row>
    <row r="131" spans="2:18" x14ac:dyDescent="0.35">
      <c r="B131" s="2673" t="s">
        <v>3455</v>
      </c>
      <c r="C131" s="2673" t="s">
        <v>3494</v>
      </c>
      <c r="D131" s="2674" t="s">
        <v>877</v>
      </c>
      <c r="E131" s="2675" t="s">
        <v>3496</v>
      </c>
      <c r="F131" s="2673" t="s">
        <v>3801</v>
      </c>
      <c r="G131" s="2673" t="s">
        <v>3402</v>
      </c>
      <c r="H131" s="2673" t="s">
        <v>3803</v>
      </c>
      <c r="I131" s="2673" t="s">
        <v>3789</v>
      </c>
      <c r="J131" s="599" t="b">
        <f t="shared" si="12"/>
        <v>1</v>
      </c>
      <c r="K131" s="599" t="b">
        <f t="shared" si="15"/>
        <v>1</v>
      </c>
      <c r="L131" s="599" t="b">
        <f>IF(D131="n/a","n/a",ISNUMBER(MATCH(D131,'Measure Level Adjustments Tab'!K:K,0)))</f>
        <v>0</v>
      </c>
      <c r="M131" s="599" t="b">
        <f t="shared" si="13"/>
        <v>0</v>
      </c>
      <c r="N131" s="599" t="b">
        <f t="shared" si="14"/>
        <v>0</v>
      </c>
      <c r="O131" s="599" t="s">
        <v>304</v>
      </c>
      <c r="P131" s="599" t="s">
        <v>304</v>
      </c>
      <c r="Q131" s="599"/>
      <c r="R131" s="599" t="str">
        <f t="shared" si="16"/>
        <v/>
      </c>
    </row>
    <row r="132" spans="2:18" x14ac:dyDescent="0.35">
      <c r="B132" s="2673" t="s">
        <v>3455</v>
      </c>
      <c r="C132" s="2673" t="s">
        <v>3460</v>
      </c>
      <c r="D132" s="2674" t="s">
        <v>306</v>
      </c>
      <c r="E132" s="2673" t="s">
        <v>3461</v>
      </c>
      <c r="F132" s="2673" t="s">
        <v>3804</v>
      </c>
      <c r="G132" s="2673" t="s">
        <v>3402</v>
      </c>
      <c r="H132" s="2673" t="s">
        <v>3805</v>
      </c>
      <c r="I132" s="2673" t="s">
        <v>820</v>
      </c>
      <c r="J132" s="599" t="b">
        <f t="shared" si="12"/>
        <v>0</v>
      </c>
      <c r="K132" s="599" t="b">
        <f t="shared" si="15"/>
        <v>0</v>
      </c>
      <c r="L132" s="599" t="b">
        <f>IF(D132="n/a","n/a",ISNUMBER(MATCH(D132,'Measure Level Adjustments Tab'!K:K,0)))</f>
        <v>0</v>
      </c>
      <c r="M132" s="599" t="b">
        <f t="shared" si="13"/>
        <v>0</v>
      </c>
      <c r="N132" s="599" t="b">
        <f t="shared" si="14"/>
        <v>0</v>
      </c>
      <c r="O132" s="599" t="s">
        <v>304</v>
      </c>
      <c r="P132" s="599" t="s">
        <v>304</v>
      </c>
      <c r="Q132" s="599"/>
      <c r="R132" s="599" t="str">
        <f t="shared" si="16"/>
        <v/>
      </c>
    </row>
    <row r="133" spans="2:18" x14ac:dyDescent="0.35">
      <c r="B133" s="2673" t="s">
        <v>3455</v>
      </c>
      <c r="C133" s="2673" t="s">
        <v>3460</v>
      </c>
      <c r="D133" s="2674" t="s">
        <v>363</v>
      </c>
      <c r="E133" s="2675" t="s">
        <v>3515</v>
      </c>
      <c r="F133" s="2673" t="s">
        <v>3806</v>
      </c>
      <c r="G133" s="2673" t="s">
        <v>3402</v>
      </c>
      <c r="H133" s="2675" t="s">
        <v>3807</v>
      </c>
      <c r="I133" s="2673" t="s">
        <v>820</v>
      </c>
      <c r="J133" s="599" t="b">
        <f t="shared" si="12"/>
        <v>0</v>
      </c>
      <c r="K133" s="599" t="b">
        <f t="shared" si="15"/>
        <v>0</v>
      </c>
      <c r="L133" s="599" t="b">
        <f>IF(D133="n/a","n/a",ISNUMBER(MATCH(D133,'Measure Level Adjustments Tab'!K:K,0)))</f>
        <v>1</v>
      </c>
      <c r="M133" s="599" t="b">
        <f t="shared" si="13"/>
        <v>0</v>
      </c>
      <c r="N133" s="599" t="b">
        <f t="shared" si="14"/>
        <v>0</v>
      </c>
      <c r="O133" s="599" t="s">
        <v>304</v>
      </c>
      <c r="P133" s="599" t="s">
        <v>304</v>
      </c>
      <c r="Q133" s="599"/>
      <c r="R133" s="599" t="str">
        <f t="shared" si="16"/>
        <v/>
      </c>
    </row>
    <row r="134" spans="2:18" x14ac:dyDescent="0.35">
      <c r="B134" s="2673" t="s">
        <v>3455</v>
      </c>
      <c r="C134" s="2673" t="s">
        <v>3460</v>
      </c>
      <c r="D134" s="2674" t="s">
        <v>782</v>
      </c>
      <c r="E134" s="2673" t="s">
        <v>3498</v>
      </c>
      <c r="F134" s="2673" t="s">
        <v>3808</v>
      </c>
      <c r="G134" s="2673" t="s">
        <v>3402</v>
      </c>
      <c r="H134" s="2673" t="s">
        <v>3809</v>
      </c>
      <c r="I134" s="2673" t="s">
        <v>820</v>
      </c>
      <c r="J134" s="599" t="b">
        <f t="shared" si="12"/>
        <v>0</v>
      </c>
      <c r="K134" s="599" t="b">
        <f t="shared" si="15"/>
        <v>0</v>
      </c>
      <c r="L134" s="599" t="b">
        <f>IF(D134="n/a","n/a",ISNUMBER(MATCH(D134,'Measure Level Adjustments Tab'!K:K,0)))</f>
        <v>0</v>
      </c>
      <c r="M134" s="599" t="b">
        <f t="shared" si="13"/>
        <v>0</v>
      </c>
      <c r="N134" s="599" t="b">
        <f t="shared" si="14"/>
        <v>0</v>
      </c>
      <c r="O134" s="599" t="s">
        <v>304</v>
      </c>
      <c r="P134" s="599" t="s">
        <v>304</v>
      </c>
      <c r="Q134" s="599"/>
      <c r="R134" s="599" t="str">
        <f t="shared" si="16"/>
        <v/>
      </c>
    </row>
    <row r="135" spans="2:18" x14ac:dyDescent="0.35">
      <c r="B135" s="2673" t="s">
        <v>3455</v>
      </c>
      <c r="C135" s="2673" t="s">
        <v>3460</v>
      </c>
      <c r="D135" s="2674" t="s">
        <v>782</v>
      </c>
      <c r="E135" s="2673" t="s">
        <v>3498</v>
      </c>
      <c r="F135" s="2673" t="s">
        <v>3808</v>
      </c>
      <c r="G135" s="2673" t="s">
        <v>3402</v>
      </c>
      <c r="H135" s="2673" t="s">
        <v>3810</v>
      </c>
      <c r="I135" s="2673" t="s">
        <v>820</v>
      </c>
      <c r="J135" s="599" t="b">
        <f t="shared" si="12"/>
        <v>0</v>
      </c>
      <c r="K135" s="599" t="b">
        <f t="shared" ref="K135:K166" si="18">COUNTIFS(D:D,D135,J:J,TRUE)&gt;0</f>
        <v>0</v>
      </c>
      <c r="L135" s="599" t="b">
        <f>IF(D135="n/a","n/a",ISNUMBER(MATCH(D135,'Measure Level Adjustments Tab'!K:K,0)))</f>
        <v>0</v>
      </c>
      <c r="M135" s="599" t="b">
        <f t="shared" si="13"/>
        <v>0</v>
      </c>
      <c r="N135" s="599" t="b">
        <f t="shared" si="14"/>
        <v>0</v>
      </c>
      <c r="O135" s="599" t="s">
        <v>304</v>
      </c>
      <c r="P135" s="599" t="s">
        <v>304</v>
      </c>
      <c r="Q135" s="599"/>
      <c r="R135" s="599" t="str">
        <f t="shared" si="16"/>
        <v/>
      </c>
    </row>
    <row r="136" spans="2:18" x14ac:dyDescent="0.35">
      <c r="B136" s="2673" t="s">
        <v>3455</v>
      </c>
      <c r="C136" s="2673" t="s">
        <v>3460</v>
      </c>
      <c r="D136" s="2674" t="s">
        <v>767</v>
      </c>
      <c r="E136" s="2673" t="s">
        <v>3500</v>
      </c>
      <c r="F136" s="2673" t="s">
        <v>3811</v>
      </c>
      <c r="G136" s="2673" t="s">
        <v>3402</v>
      </c>
      <c r="H136" s="2673" t="s">
        <v>3812</v>
      </c>
      <c r="I136" s="2673" t="s">
        <v>820</v>
      </c>
      <c r="J136" s="599" t="b">
        <f>I136&lt;&gt;"N/A"</f>
        <v>0</v>
      </c>
      <c r="K136" s="599" t="b">
        <f t="shared" si="18"/>
        <v>0</v>
      </c>
      <c r="L136" s="599" t="b">
        <f>IF(D136="n/a","n/a",ISNUMBER(MATCH(D136,'Measure Level Adjustments Tab'!K:K,0)))</f>
        <v>1</v>
      </c>
      <c r="M136" s="599" t="b">
        <f t="shared" ref="M136:M184" si="19">AND(G136="Errata",J136,L136)</f>
        <v>0</v>
      </c>
      <c r="N136" s="599" t="b">
        <f t="shared" ref="N136:N184" si="20">AND(G136="Revision",J136,L136)</f>
        <v>0</v>
      </c>
      <c r="O136" s="599" t="s">
        <v>304</v>
      </c>
      <c r="P136" s="599" t="s">
        <v>304</v>
      </c>
      <c r="Q136" s="599"/>
      <c r="R136" s="599" t="str">
        <f t="shared" si="16"/>
        <v/>
      </c>
    </row>
    <row r="137" spans="2:18" x14ac:dyDescent="0.35">
      <c r="B137" s="2673" t="s">
        <v>3455</v>
      </c>
      <c r="C137" s="2673" t="s">
        <v>3460</v>
      </c>
      <c r="D137" s="2674" t="s">
        <v>3502</v>
      </c>
      <c r="E137" s="2673" t="s">
        <v>3501</v>
      </c>
      <c r="F137" s="2673" t="s">
        <v>3813</v>
      </c>
      <c r="G137" s="2673" t="s">
        <v>3402</v>
      </c>
      <c r="H137" s="2673" t="s">
        <v>3812</v>
      </c>
      <c r="I137" s="2673" t="s">
        <v>820</v>
      </c>
      <c r="J137" s="599" t="b">
        <f>I137&lt;&gt;"N/A"</f>
        <v>0</v>
      </c>
      <c r="K137" s="599" t="b">
        <f t="shared" si="18"/>
        <v>0</v>
      </c>
      <c r="L137" s="599" t="b">
        <f>IF(D137="n/a","n/a",ISNUMBER(MATCH(D137,'Measure Level Adjustments Tab'!K:K,0)))</f>
        <v>0</v>
      </c>
      <c r="M137" s="599" t="b">
        <f t="shared" si="19"/>
        <v>0</v>
      </c>
      <c r="N137" s="599" t="b">
        <f t="shared" si="20"/>
        <v>0</v>
      </c>
      <c r="O137" s="599" t="s">
        <v>304</v>
      </c>
      <c r="P137" s="599" t="s">
        <v>304</v>
      </c>
      <c r="Q137" s="599"/>
      <c r="R137" s="599" t="str">
        <f t="shared" si="16"/>
        <v/>
      </c>
    </row>
    <row r="138" spans="2:18" x14ac:dyDescent="0.35">
      <c r="B138" s="2673" t="s">
        <v>3455</v>
      </c>
      <c r="C138" s="2673" t="s">
        <v>3460</v>
      </c>
      <c r="D138" s="2674" t="s">
        <v>3503</v>
      </c>
      <c r="E138" s="2675" t="s">
        <v>3814</v>
      </c>
      <c r="F138" s="2673" t="s">
        <v>3815</v>
      </c>
      <c r="G138" s="2673" t="s">
        <v>3402</v>
      </c>
      <c r="H138" s="2675" t="s">
        <v>3816</v>
      </c>
      <c r="I138" s="2673" t="s">
        <v>820</v>
      </c>
      <c r="J138" s="599" t="b">
        <f t="shared" si="12"/>
        <v>0</v>
      </c>
      <c r="K138" s="599" t="b">
        <f t="shared" si="18"/>
        <v>0</v>
      </c>
      <c r="L138" s="599" t="b">
        <f>IF(D138="n/a","n/a",ISNUMBER(MATCH(D138,'Measure Level Adjustments Tab'!K:K,0)))</f>
        <v>0</v>
      </c>
      <c r="M138" s="599" t="b">
        <f t="shared" si="19"/>
        <v>0</v>
      </c>
      <c r="N138" s="599" t="b">
        <f t="shared" si="20"/>
        <v>0</v>
      </c>
      <c r="O138" s="599" t="s">
        <v>304</v>
      </c>
      <c r="P138" s="599" t="s">
        <v>304</v>
      </c>
      <c r="Q138" s="599"/>
      <c r="R138" s="599" t="str">
        <f t="shared" si="16"/>
        <v/>
      </c>
    </row>
    <row r="139" spans="2:18" x14ac:dyDescent="0.35">
      <c r="B139" s="2673" t="s">
        <v>3455</v>
      </c>
      <c r="C139" s="2673" t="s">
        <v>3460</v>
      </c>
      <c r="D139" s="2674" t="s">
        <v>563</v>
      </c>
      <c r="E139" s="2673" t="s">
        <v>3504</v>
      </c>
      <c r="F139" s="2673" t="s">
        <v>3817</v>
      </c>
      <c r="G139" s="2673" t="s">
        <v>3402</v>
      </c>
      <c r="H139" s="2673" t="s">
        <v>3818</v>
      </c>
      <c r="I139" s="2673" t="s">
        <v>820</v>
      </c>
      <c r="J139" s="599" t="b">
        <f t="shared" si="12"/>
        <v>0</v>
      </c>
      <c r="K139" s="599" t="b">
        <f t="shared" si="18"/>
        <v>0</v>
      </c>
      <c r="L139" s="599" t="b">
        <f>IF(D139="n/a","n/a",ISNUMBER(MATCH(D139,'Measure Level Adjustments Tab'!K:K,0)))</f>
        <v>1</v>
      </c>
      <c r="M139" s="599" t="b">
        <f t="shared" si="19"/>
        <v>0</v>
      </c>
      <c r="N139" s="599" t="b">
        <f t="shared" si="20"/>
        <v>0</v>
      </c>
      <c r="O139" s="599" t="s">
        <v>304</v>
      </c>
      <c r="P139" s="599" t="s">
        <v>304</v>
      </c>
      <c r="Q139" s="599"/>
      <c r="R139" s="599" t="str">
        <f t="shared" si="16"/>
        <v/>
      </c>
    </row>
    <row r="140" spans="2:18" x14ac:dyDescent="0.35">
      <c r="B140" s="2673" t="s">
        <v>3455</v>
      </c>
      <c r="C140" s="2673" t="s">
        <v>3460</v>
      </c>
      <c r="D140" s="2674" t="s">
        <v>563</v>
      </c>
      <c r="E140" s="2673" t="s">
        <v>3504</v>
      </c>
      <c r="F140" s="2673" t="s">
        <v>3817</v>
      </c>
      <c r="G140" s="2673" t="s">
        <v>3402</v>
      </c>
      <c r="H140" s="2673" t="s">
        <v>3819</v>
      </c>
      <c r="I140" s="2673" t="s">
        <v>820</v>
      </c>
      <c r="J140" s="599" t="b">
        <f t="shared" ref="J140:J184" si="21">I140&lt;&gt;"N/A"</f>
        <v>0</v>
      </c>
      <c r="K140" s="599" t="b">
        <f t="shared" si="18"/>
        <v>0</v>
      </c>
      <c r="L140" s="599" t="b">
        <f>IF(D140="n/a","n/a",ISNUMBER(MATCH(D140,'Measure Level Adjustments Tab'!K:K,0)))</f>
        <v>1</v>
      </c>
      <c r="M140" s="599" t="b">
        <f t="shared" si="19"/>
        <v>0</v>
      </c>
      <c r="N140" s="599" t="b">
        <f t="shared" si="20"/>
        <v>0</v>
      </c>
      <c r="O140" s="599" t="s">
        <v>304</v>
      </c>
      <c r="P140" s="599" t="s">
        <v>304</v>
      </c>
      <c r="Q140" s="599"/>
      <c r="R140" s="599" t="str">
        <f t="shared" si="16"/>
        <v/>
      </c>
    </row>
    <row r="141" spans="2:18" x14ac:dyDescent="0.35">
      <c r="B141" s="2673" t="s">
        <v>3455</v>
      </c>
      <c r="C141" s="2673" t="s">
        <v>3460</v>
      </c>
      <c r="D141" s="2674" t="s">
        <v>1917</v>
      </c>
      <c r="E141" s="2673" t="s">
        <v>3505</v>
      </c>
      <c r="F141" s="2673" t="s">
        <v>3820</v>
      </c>
      <c r="G141" s="2673" t="s">
        <v>3403</v>
      </c>
      <c r="H141" s="2673" t="s">
        <v>3821</v>
      </c>
      <c r="I141" s="2673" t="s">
        <v>820</v>
      </c>
      <c r="J141" s="599" t="b">
        <f t="shared" si="21"/>
        <v>0</v>
      </c>
      <c r="K141" s="599" t="b">
        <f t="shared" si="18"/>
        <v>0</v>
      </c>
      <c r="L141" s="599" t="b">
        <f>IF(D141="n/a","n/a",ISNUMBER(MATCH(D141,'Measure Level Adjustments Tab'!K:K,0)))</f>
        <v>0</v>
      </c>
      <c r="M141" s="599" t="b">
        <f t="shared" si="19"/>
        <v>0</v>
      </c>
      <c r="N141" s="599" t="b">
        <f t="shared" si="20"/>
        <v>0</v>
      </c>
      <c r="O141" s="599" t="s">
        <v>304</v>
      </c>
      <c r="P141" s="599" t="s">
        <v>304</v>
      </c>
      <c r="Q141" s="599"/>
      <c r="R141" s="599" t="str">
        <f t="shared" si="16"/>
        <v/>
      </c>
    </row>
    <row r="142" spans="2:18" x14ac:dyDescent="0.35">
      <c r="B142" s="2673" t="s">
        <v>3455</v>
      </c>
      <c r="C142" s="2673" t="s">
        <v>3460</v>
      </c>
      <c r="D142" s="2674" t="s">
        <v>3507</v>
      </c>
      <c r="E142" s="2673" t="s">
        <v>3506</v>
      </c>
      <c r="F142" s="2673" t="s">
        <v>3822</v>
      </c>
      <c r="G142" s="2673" t="s">
        <v>3402</v>
      </c>
      <c r="H142" s="2673" t="s">
        <v>3823</v>
      </c>
      <c r="I142" s="2673" t="s">
        <v>820</v>
      </c>
      <c r="J142" s="599" t="b">
        <f t="shared" si="21"/>
        <v>0</v>
      </c>
      <c r="K142" s="599" t="b">
        <f t="shared" si="18"/>
        <v>0</v>
      </c>
      <c r="L142" s="599" t="b">
        <f>IF(D142="n/a","n/a",ISNUMBER(MATCH(D142,'Measure Level Adjustments Tab'!K:K,0)))</f>
        <v>0</v>
      </c>
      <c r="M142" s="599" t="b">
        <f t="shared" si="19"/>
        <v>0</v>
      </c>
      <c r="N142" s="599" t="b">
        <f t="shared" si="20"/>
        <v>0</v>
      </c>
      <c r="O142" s="599" t="s">
        <v>304</v>
      </c>
      <c r="P142" s="599" t="s">
        <v>304</v>
      </c>
      <c r="Q142" s="599"/>
      <c r="R142" s="599" t="str">
        <f t="shared" si="16"/>
        <v/>
      </c>
    </row>
    <row r="143" spans="2:18" x14ac:dyDescent="0.35">
      <c r="B143" s="2673" t="s">
        <v>3455</v>
      </c>
      <c r="C143" s="2673" t="s">
        <v>3460</v>
      </c>
      <c r="D143" s="2674" t="s">
        <v>3507</v>
      </c>
      <c r="E143" s="2673" t="s">
        <v>3506</v>
      </c>
      <c r="F143" s="2673" t="s">
        <v>3822</v>
      </c>
      <c r="G143" s="2673" t="s">
        <v>3402</v>
      </c>
      <c r="H143" s="2673" t="s">
        <v>3824</v>
      </c>
      <c r="I143" s="2673" t="s">
        <v>820</v>
      </c>
      <c r="J143" s="599" t="b">
        <f t="shared" si="21"/>
        <v>0</v>
      </c>
      <c r="K143" s="599" t="b">
        <f t="shared" si="18"/>
        <v>0</v>
      </c>
      <c r="L143" s="599" t="b">
        <f>IF(D143="n/a","n/a",ISNUMBER(MATCH(D143,'Measure Level Adjustments Tab'!K:K,0)))</f>
        <v>0</v>
      </c>
      <c r="M143" s="599" t="b">
        <f t="shared" si="19"/>
        <v>0</v>
      </c>
      <c r="N143" s="599" t="b">
        <f t="shared" si="20"/>
        <v>0</v>
      </c>
      <c r="O143" s="599" t="s">
        <v>304</v>
      </c>
      <c r="P143" s="599" t="s">
        <v>304</v>
      </c>
      <c r="Q143" s="599"/>
      <c r="R143" s="599" t="str">
        <f t="shared" si="16"/>
        <v/>
      </c>
    </row>
    <row r="144" spans="2:18" x14ac:dyDescent="0.35">
      <c r="B144" s="2673" t="s">
        <v>3455</v>
      </c>
      <c r="C144" s="2673" t="s">
        <v>3460</v>
      </c>
      <c r="D144" s="2674" t="s">
        <v>3037</v>
      </c>
      <c r="E144" s="2673" t="s">
        <v>3825</v>
      </c>
      <c r="F144" s="2673" t="s">
        <v>3826</v>
      </c>
      <c r="G144" s="2673" t="s">
        <v>3402</v>
      </c>
      <c r="H144" s="2673" t="s">
        <v>3827</v>
      </c>
      <c r="I144" s="2673" t="s">
        <v>3427</v>
      </c>
      <c r="J144" s="599" t="b">
        <f t="shared" si="21"/>
        <v>1</v>
      </c>
      <c r="K144" s="599" t="b">
        <f t="shared" si="18"/>
        <v>1</v>
      </c>
      <c r="L144" s="599" t="b">
        <f>IF(D144="n/a","n/a",ISNUMBER(MATCH(D144,'Measure Level Adjustments Tab'!K:K,0)))</f>
        <v>0</v>
      </c>
      <c r="M144" s="599" t="b">
        <f t="shared" si="19"/>
        <v>0</v>
      </c>
      <c r="N144" s="599" t="b">
        <f t="shared" si="20"/>
        <v>0</v>
      </c>
      <c r="O144" s="599" t="s">
        <v>304</v>
      </c>
      <c r="P144" s="599" t="s">
        <v>304</v>
      </c>
      <c r="Q144" s="2678"/>
      <c r="R144" s="2677" t="str">
        <f t="shared" si="16"/>
        <v/>
      </c>
    </row>
    <row r="145" spans="2:18" x14ac:dyDescent="0.35">
      <c r="B145" s="2673" t="s">
        <v>3455</v>
      </c>
      <c r="C145" s="2673" t="s">
        <v>3460</v>
      </c>
      <c r="D145" s="2674" t="s">
        <v>506</v>
      </c>
      <c r="E145" s="2673" t="s">
        <v>3469</v>
      </c>
      <c r="F145" s="2673" t="s">
        <v>3828</v>
      </c>
      <c r="G145" s="2673" t="s">
        <v>3402</v>
      </c>
      <c r="H145" s="2673" t="s">
        <v>3818</v>
      </c>
      <c r="I145" s="2673" t="s">
        <v>820</v>
      </c>
      <c r="J145" s="599" t="b">
        <f t="shared" si="21"/>
        <v>0</v>
      </c>
      <c r="K145" s="599" t="b">
        <f t="shared" si="18"/>
        <v>0</v>
      </c>
      <c r="L145" s="599" t="b">
        <f>IF(D145="n/a","n/a",ISNUMBER(MATCH(D145,'Measure Level Adjustments Tab'!K:K,0)))</f>
        <v>1</v>
      </c>
      <c r="M145" s="599" t="b">
        <f t="shared" si="19"/>
        <v>0</v>
      </c>
      <c r="N145" s="599" t="b">
        <f t="shared" si="20"/>
        <v>0</v>
      </c>
      <c r="O145" s="599" t="s">
        <v>304</v>
      </c>
      <c r="P145" s="599" t="s">
        <v>304</v>
      </c>
      <c r="Q145" s="599"/>
      <c r="R145" s="599" t="str">
        <f t="shared" si="16"/>
        <v/>
      </c>
    </row>
    <row r="146" spans="2:18" x14ac:dyDescent="0.35">
      <c r="B146" s="2673" t="s">
        <v>3455</v>
      </c>
      <c r="C146" s="2673" t="s">
        <v>3460</v>
      </c>
      <c r="D146" s="2674" t="s">
        <v>506</v>
      </c>
      <c r="E146" s="2673" t="s">
        <v>3469</v>
      </c>
      <c r="F146" s="2673" t="s">
        <v>3828</v>
      </c>
      <c r="G146" s="2673" t="s">
        <v>3402</v>
      </c>
      <c r="H146" s="2673" t="s">
        <v>3819</v>
      </c>
      <c r="I146" s="2673" t="s">
        <v>820</v>
      </c>
      <c r="J146" s="599" t="b">
        <f t="shared" si="21"/>
        <v>0</v>
      </c>
      <c r="K146" s="599" t="b">
        <f t="shared" si="18"/>
        <v>0</v>
      </c>
      <c r="L146" s="599" t="b">
        <f>IF(D146="n/a","n/a",ISNUMBER(MATCH(D146,'Measure Level Adjustments Tab'!K:K,0)))</f>
        <v>1</v>
      </c>
      <c r="M146" s="599" t="b">
        <f t="shared" si="19"/>
        <v>0</v>
      </c>
      <c r="N146" s="599" t="b">
        <f t="shared" si="20"/>
        <v>0</v>
      </c>
      <c r="O146" s="599" t="s">
        <v>304</v>
      </c>
      <c r="P146" s="599" t="s">
        <v>304</v>
      </c>
      <c r="Q146" s="599"/>
      <c r="R146" s="599" t="str">
        <f t="shared" si="16"/>
        <v/>
      </c>
    </row>
    <row r="147" spans="2:18" x14ac:dyDescent="0.35">
      <c r="B147" s="2673" t="s">
        <v>3455</v>
      </c>
      <c r="C147" s="2673" t="s">
        <v>3460</v>
      </c>
      <c r="D147" s="2674" t="s">
        <v>3829</v>
      </c>
      <c r="E147" s="2675" t="s">
        <v>3830</v>
      </c>
      <c r="F147" s="2673" t="s">
        <v>3831</v>
      </c>
      <c r="G147" s="2673" t="s">
        <v>2285</v>
      </c>
      <c r="H147" s="2675" t="s">
        <v>3474</v>
      </c>
      <c r="I147" s="2673" t="s">
        <v>820</v>
      </c>
      <c r="J147" s="599" t="b">
        <f t="shared" si="21"/>
        <v>0</v>
      </c>
      <c r="K147" s="599" t="b">
        <f t="shared" si="18"/>
        <v>0</v>
      </c>
      <c r="L147" s="599" t="b">
        <f>IF(D147="n/a","n/a",ISNUMBER(MATCH(D147,'Measure Level Adjustments Tab'!K:K,0)))</f>
        <v>0</v>
      </c>
      <c r="M147" s="599" t="b">
        <f t="shared" si="19"/>
        <v>0</v>
      </c>
      <c r="N147" s="599" t="b">
        <f t="shared" si="20"/>
        <v>0</v>
      </c>
      <c r="O147" s="599" t="s">
        <v>304</v>
      </c>
      <c r="P147" s="599" t="s">
        <v>304</v>
      </c>
      <c r="Q147" s="599"/>
      <c r="R147" s="599" t="str">
        <f t="shared" si="16"/>
        <v/>
      </c>
    </row>
    <row r="148" spans="2:18" x14ac:dyDescent="0.35">
      <c r="B148" s="2673" t="s">
        <v>3455</v>
      </c>
      <c r="C148" s="2673" t="s">
        <v>3509</v>
      </c>
      <c r="D148" s="2674" t="s">
        <v>434</v>
      </c>
      <c r="E148" s="2673" t="s">
        <v>3511</v>
      </c>
      <c r="F148" s="2673" t="s">
        <v>3832</v>
      </c>
      <c r="G148" s="2673" t="s">
        <v>3403</v>
      </c>
      <c r="H148" s="2673" t="s">
        <v>3833</v>
      </c>
      <c r="I148" s="2673" t="s">
        <v>820</v>
      </c>
      <c r="J148" s="599" t="b">
        <f t="shared" si="21"/>
        <v>0</v>
      </c>
      <c r="K148" s="599" t="b">
        <f t="shared" si="18"/>
        <v>0</v>
      </c>
      <c r="L148" s="599" t="b">
        <f>IF(D148="n/a","n/a",ISNUMBER(MATCH(D148,'Measure Level Adjustments Tab'!K:K,0)))</f>
        <v>0</v>
      </c>
      <c r="M148" s="599" t="b">
        <f t="shared" si="19"/>
        <v>0</v>
      </c>
      <c r="N148" s="599" t="b">
        <f t="shared" si="20"/>
        <v>0</v>
      </c>
      <c r="O148" s="599" t="s">
        <v>304</v>
      </c>
      <c r="P148" s="599" t="s">
        <v>304</v>
      </c>
      <c r="Q148" s="599"/>
      <c r="R148" s="599" t="str">
        <f t="shared" si="16"/>
        <v/>
      </c>
    </row>
    <row r="149" spans="2:18" x14ac:dyDescent="0.35">
      <c r="B149" s="2673" t="s">
        <v>3455</v>
      </c>
      <c r="C149" s="2673" t="s">
        <v>3509</v>
      </c>
      <c r="D149" s="2674" t="s">
        <v>434</v>
      </c>
      <c r="E149" s="2673" t="s">
        <v>3511</v>
      </c>
      <c r="F149" s="2673" t="s">
        <v>3834</v>
      </c>
      <c r="G149" s="2673" t="s">
        <v>3402</v>
      </c>
      <c r="H149" s="2673" t="s">
        <v>3898</v>
      </c>
      <c r="I149" s="2673" t="s">
        <v>820</v>
      </c>
      <c r="J149" s="599" t="b">
        <f t="shared" si="21"/>
        <v>0</v>
      </c>
      <c r="K149" s="599" t="b">
        <f t="shared" si="18"/>
        <v>0</v>
      </c>
      <c r="L149" s="599" t="b">
        <f>IF(D149="n/a","n/a",ISNUMBER(MATCH(D149,'Measure Level Adjustments Tab'!K:K,0)))</f>
        <v>0</v>
      </c>
      <c r="M149" s="599" t="b">
        <f t="shared" si="19"/>
        <v>0</v>
      </c>
      <c r="N149" s="599" t="b">
        <f t="shared" si="20"/>
        <v>0</v>
      </c>
      <c r="O149" s="599" t="s">
        <v>304</v>
      </c>
      <c r="P149" s="599" t="s">
        <v>304</v>
      </c>
      <c r="Q149" s="599"/>
      <c r="R149" s="599" t="str">
        <f t="shared" si="16"/>
        <v/>
      </c>
    </row>
    <row r="150" spans="2:18" x14ac:dyDescent="0.35">
      <c r="B150" s="2673" t="s">
        <v>3455</v>
      </c>
      <c r="C150" s="2673" t="s">
        <v>3509</v>
      </c>
      <c r="D150" s="2674" t="s">
        <v>667</v>
      </c>
      <c r="E150" s="2673" t="s">
        <v>3835</v>
      </c>
      <c r="F150" s="2673" t="s">
        <v>3836</v>
      </c>
      <c r="G150" s="2673" t="s">
        <v>3403</v>
      </c>
      <c r="H150" s="2673" t="s">
        <v>3588</v>
      </c>
      <c r="I150" s="2673" t="s">
        <v>3589</v>
      </c>
      <c r="J150" s="599" t="b">
        <f t="shared" si="21"/>
        <v>1</v>
      </c>
      <c r="K150" s="599" t="b">
        <f t="shared" si="18"/>
        <v>1</v>
      </c>
      <c r="L150" s="599" t="b">
        <f>IF(D150="n/a","n/a",ISNUMBER(MATCH(D150,'Measure Level Adjustments Tab'!K:K,0)))</f>
        <v>1</v>
      </c>
      <c r="M150" s="599" t="b">
        <f t="shared" si="19"/>
        <v>1</v>
      </c>
      <c r="N150" s="599" t="b">
        <f t="shared" si="20"/>
        <v>0</v>
      </c>
      <c r="O150" s="599" t="s">
        <v>304</v>
      </c>
      <c r="P150" s="599" t="s">
        <v>3892</v>
      </c>
      <c r="Q150" s="599"/>
      <c r="R150" s="599" t="str">
        <f t="shared" si="16"/>
        <v/>
      </c>
    </row>
    <row r="151" spans="2:18" x14ac:dyDescent="0.35">
      <c r="B151" s="2673" t="s">
        <v>3455</v>
      </c>
      <c r="C151" s="2673" t="s">
        <v>3509</v>
      </c>
      <c r="D151" s="2674" t="s">
        <v>667</v>
      </c>
      <c r="E151" s="2673" t="s">
        <v>3835</v>
      </c>
      <c r="F151" s="2673" t="s">
        <v>3837</v>
      </c>
      <c r="G151" s="2673" t="s">
        <v>3402</v>
      </c>
      <c r="H151" s="2673" t="s">
        <v>3800</v>
      </c>
      <c r="I151" s="2673" t="s">
        <v>3838</v>
      </c>
      <c r="J151" s="599" t="b">
        <f t="shared" si="21"/>
        <v>1</v>
      </c>
      <c r="K151" s="599" t="b">
        <f t="shared" si="18"/>
        <v>1</v>
      </c>
      <c r="L151" s="599" t="b">
        <f>IF(D151="n/a","n/a",ISNUMBER(MATCH(D151,'Measure Level Adjustments Tab'!K:K,0)))</f>
        <v>1</v>
      </c>
      <c r="M151" s="599" t="b">
        <f t="shared" si="19"/>
        <v>0</v>
      </c>
      <c r="N151" s="599" t="b">
        <f t="shared" si="20"/>
        <v>1</v>
      </c>
      <c r="O151" s="599" t="b">
        <v>1</v>
      </c>
      <c r="P151" s="599" t="s">
        <v>3936</v>
      </c>
      <c r="Q151" s="2775" t="s">
        <v>3937</v>
      </c>
      <c r="R151" s="2677" t="str">
        <f t="shared" si="16"/>
        <v>Go To Update</v>
      </c>
    </row>
    <row r="152" spans="2:18" x14ac:dyDescent="0.35">
      <c r="B152" s="2673" t="s">
        <v>3455</v>
      </c>
      <c r="C152" s="2673" t="s">
        <v>3509</v>
      </c>
      <c r="D152" s="2674" t="s">
        <v>643</v>
      </c>
      <c r="E152" s="2673" t="s">
        <v>3513</v>
      </c>
      <c r="F152" s="2673" t="s">
        <v>3839</v>
      </c>
      <c r="G152" s="2673" t="s">
        <v>3403</v>
      </c>
      <c r="H152" s="2673" t="s">
        <v>3588</v>
      </c>
      <c r="I152" s="2673" t="s">
        <v>3589</v>
      </c>
      <c r="J152" s="599" t="b">
        <f t="shared" si="21"/>
        <v>1</v>
      </c>
      <c r="K152" s="599" t="b">
        <f t="shared" si="18"/>
        <v>1</v>
      </c>
      <c r="L152" s="599" t="b">
        <f>IF(D152="n/a","n/a",ISNUMBER(MATCH(D152,'Measure Level Adjustments Tab'!K:K,0)))</f>
        <v>1</v>
      </c>
      <c r="M152" s="599" t="b">
        <f t="shared" si="19"/>
        <v>1</v>
      </c>
      <c r="N152" s="599" t="b">
        <f t="shared" si="20"/>
        <v>0</v>
      </c>
      <c r="O152" s="599" t="s">
        <v>304</v>
      </c>
      <c r="P152" s="599" t="s">
        <v>3892</v>
      </c>
      <c r="Q152" s="599"/>
      <c r="R152" s="599" t="str">
        <f t="shared" si="16"/>
        <v/>
      </c>
    </row>
    <row r="153" spans="2:18" x14ac:dyDescent="0.35">
      <c r="B153" s="2673" t="s">
        <v>3455</v>
      </c>
      <c r="C153" s="2673" t="s">
        <v>3509</v>
      </c>
      <c r="D153" s="2674" t="s">
        <v>643</v>
      </c>
      <c r="E153" s="2673" t="s">
        <v>3513</v>
      </c>
      <c r="F153" s="2673" t="s">
        <v>3840</v>
      </c>
      <c r="G153" s="2673" t="s">
        <v>3402</v>
      </c>
      <c r="H153" s="2673" t="s">
        <v>3841</v>
      </c>
      <c r="I153" s="2673" t="s">
        <v>3838</v>
      </c>
      <c r="J153" s="599" t="b">
        <f t="shared" si="21"/>
        <v>1</v>
      </c>
      <c r="K153" s="599" t="b">
        <f t="shared" si="18"/>
        <v>1</v>
      </c>
      <c r="L153" s="599" t="b">
        <f>IF(D153="n/a","n/a",ISNUMBER(MATCH(D153,'Measure Level Adjustments Tab'!K:K,0)))</f>
        <v>1</v>
      </c>
      <c r="M153" s="599" t="b">
        <f t="shared" si="19"/>
        <v>0</v>
      </c>
      <c r="N153" s="599" t="b">
        <f t="shared" si="20"/>
        <v>1</v>
      </c>
      <c r="O153" s="599" t="b">
        <v>1</v>
      </c>
      <c r="P153" s="599" t="s">
        <v>3940</v>
      </c>
      <c r="Q153" s="2775" t="s">
        <v>3941</v>
      </c>
      <c r="R153" s="2677" t="str">
        <f t="shared" si="16"/>
        <v>Go To Update</v>
      </c>
    </row>
    <row r="154" spans="2:18" x14ac:dyDescent="0.35">
      <c r="B154" s="2673" t="s">
        <v>3455</v>
      </c>
      <c r="C154" s="2673" t="s">
        <v>3509</v>
      </c>
      <c r="D154" s="2674" t="s">
        <v>687</v>
      </c>
      <c r="E154" s="2673" t="s">
        <v>3842</v>
      </c>
      <c r="F154" s="2673" t="s">
        <v>3843</v>
      </c>
      <c r="G154" s="2673" t="s">
        <v>3402</v>
      </c>
      <c r="H154" s="2673" t="s">
        <v>3844</v>
      </c>
      <c r="I154" s="2673" t="s">
        <v>820</v>
      </c>
      <c r="J154" s="599" t="b">
        <f t="shared" si="21"/>
        <v>0</v>
      </c>
      <c r="K154" s="599" t="b">
        <f t="shared" si="18"/>
        <v>0</v>
      </c>
      <c r="L154" s="599" t="b">
        <f>IF(D154="n/a","n/a",ISNUMBER(MATCH(D154,'Measure Level Adjustments Tab'!K:K,0)))</f>
        <v>1</v>
      </c>
      <c r="M154" s="599" t="b">
        <f t="shared" si="19"/>
        <v>0</v>
      </c>
      <c r="N154" s="599" t="b">
        <f t="shared" si="20"/>
        <v>0</v>
      </c>
      <c r="O154" s="599" t="s">
        <v>304</v>
      </c>
      <c r="P154" s="599" t="s">
        <v>304</v>
      </c>
      <c r="Q154" s="599"/>
      <c r="R154" s="599" t="str">
        <f t="shared" si="16"/>
        <v/>
      </c>
    </row>
    <row r="155" spans="2:18" x14ac:dyDescent="0.35">
      <c r="B155" s="2673" t="s">
        <v>3455</v>
      </c>
      <c r="C155" s="2673" t="s">
        <v>3509</v>
      </c>
      <c r="D155" s="2674" t="s">
        <v>3517</v>
      </c>
      <c r="E155" s="2673" t="s">
        <v>3845</v>
      </c>
      <c r="F155" s="2673" t="s">
        <v>3846</v>
      </c>
      <c r="G155" s="2673" t="s">
        <v>3403</v>
      </c>
      <c r="H155" s="2673" t="s">
        <v>3588</v>
      </c>
      <c r="I155" s="2673" t="s">
        <v>3589</v>
      </c>
      <c r="J155" s="599" t="b">
        <f t="shared" si="21"/>
        <v>1</v>
      </c>
      <c r="K155" s="599" t="b">
        <f t="shared" si="18"/>
        <v>1</v>
      </c>
      <c r="L155" s="599" t="b">
        <f>IF(D155="n/a","n/a",ISNUMBER(MATCH(D155,'Measure Level Adjustments Tab'!K:K,0)))</f>
        <v>0</v>
      </c>
      <c r="M155" s="599" t="b">
        <f t="shared" si="19"/>
        <v>0</v>
      </c>
      <c r="N155" s="599" t="b">
        <f t="shared" si="20"/>
        <v>0</v>
      </c>
      <c r="O155" s="599" t="s">
        <v>304</v>
      </c>
      <c r="P155" s="599" t="s">
        <v>304</v>
      </c>
      <c r="Q155" s="599"/>
      <c r="R155" s="599" t="str">
        <f t="shared" si="16"/>
        <v/>
      </c>
    </row>
    <row r="156" spans="2:18" x14ac:dyDescent="0.35">
      <c r="B156" s="2673" t="s">
        <v>3455</v>
      </c>
      <c r="C156" s="2673" t="s">
        <v>3509</v>
      </c>
      <c r="D156" s="2674" t="s">
        <v>3517</v>
      </c>
      <c r="E156" s="2673" t="s">
        <v>3845</v>
      </c>
      <c r="F156" s="2673" t="s">
        <v>3846</v>
      </c>
      <c r="G156" s="2673" t="s">
        <v>3403</v>
      </c>
      <c r="H156" s="2673" t="s">
        <v>3847</v>
      </c>
      <c r="I156" s="2673" t="s">
        <v>3589</v>
      </c>
      <c r="J156" s="599" t="b">
        <f t="shared" si="21"/>
        <v>1</v>
      </c>
      <c r="K156" s="599" t="b">
        <f t="shared" si="18"/>
        <v>1</v>
      </c>
      <c r="L156" s="599" t="b">
        <f>IF(D156="n/a","n/a",ISNUMBER(MATCH(D156,'Measure Level Adjustments Tab'!K:K,0)))</f>
        <v>0</v>
      </c>
      <c r="M156" s="599" t="b">
        <f t="shared" si="19"/>
        <v>0</v>
      </c>
      <c r="N156" s="599" t="b">
        <f t="shared" si="20"/>
        <v>0</v>
      </c>
      <c r="O156" s="599" t="s">
        <v>304</v>
      </c>
      <c r="P156" s="599" t="s">
        <v>304</v>
      </c>
      <c r="Q156" s="599"/>
      <c r="R156" s="599" t="str">
        <f t="shared" si="16"/>
        <v/>
      </c>
    </row>
    <row r="157" spans="2:18" x14ac:dyDescent="0.35">
      <c r="B157" s="2673" t="s">
        <v>3455</v>
      </c>
      <c r="C157" s="2673" t="s">
        <v>3509</v>
      </c>
      <c r="D157" s="2674" t="s">
        <v>3519</v>
      </c>
      <c r="E157" s="2673" t="s">
        <v>3518</v>
      </c>
      <c r="F157" s="2673" t="s">
        <v>3848</v>
      </c>
      <c r="G157" s="2673" t="s">
        <v>3403</v>
      </c>
      <c r="H157" s="2673" t="s">
        <v>3588</v>
      </c>
      <c r="I157" s="2673" t="s">
        <v>3589</v>
      </c>
      <c r="J157" s="599" t="b">
        <f t="shared" si="21"/>
        <v>1</v>
      </c>
      <c r="K157" s="599" t="b">
        <f t="shared" si="18"/>
        <v>1</v>
      </c>
      <c r="L157" s="599" t="b">
        <f>IF(D157="n/a","n/a",ISNUMBER(MATCH(D157,'Measure Level Adjustments Tab'!K:K,0)))</f>
        <v>0</v>
      </c>
      <c r="M157" s="599" t="b">
        <f t="shared" si="19"/>
        <v>0</v>
      </c>
      <c r="N157" s="599" t="b">
        <f t="shared" si="20"/>
        <v>0</v>
      </c>
      <c r="O157" s="599" t="s">
        <v>304</v>
      </c>
      <c r="P157" s="599" t="s">
        <v>304</v>
      </c>
      <c r="Q157" s="599"/>
      <c r="R157" s="599" t="str">
        <f t="shared" si="16"/>
        <v/>
      </c>
    </row>
    <row r="158" spans="2:18" x14ac:dyDescent="0.35">
      <c r="B158" s="2673" t="s">
        <v>3455</v>
      </c>
      <c r="C158" s="2673" t="s">
        <v>3509</v>
      </c>
      <c r="D158" s="2674" t="s">
        <v>3849</v>
      </c>
      <c r="E158" s="2673" t="s">
        <v>3850</v>
      </c>
      <c r="F158" s="2673" t="s">
        <v>3851</v>
      </c>
      <c r="G158" s="2673" t="s">
        <v>2285</v>
      </c>
      <c r="H158" s="2673" t="s">
        <v>3852</v>
      </c>
      <c r="I158" s="2673" t="s">
        <v>820</v>
      </c>
      <c r="J158" s="599" t="b">
        <f t="shared" si="21"/>
        <v>0</v>
      </c>
      <c r="K158" s="599" t="b">
        <f t="shared" si="18"/>
        <v>0</v>
      </c>
      <c r="L158" s="599" t="b">
        <f>IF(D158="n/a","n/a",ISNUMBER(MATCH(D158,'Measure Level Adjustments Tab'!K:K,0)))</f>
        <v>0</v>
      </c>
      <c r="M158" s="599" t="b">
        <f t="shared" si="19"/>
        <v>0</v>
      </c>
      <c r="N158" s="599" t="b">
        <f t="shared" si="20"/>
        <v>0</v>
      </c>
      <c r="O158" s="599" t="s">
        <v>304</v>
      </c>
      <c r="P158" s="599" t="s">
        <v>304</v>
      </c>
      <c r="Q158" s="599"/>
      <c r="R158" s="599" t="str">
        <f t="shared" si="16"/>
        <v/>
      </c>
    </row>
    <row r="159" spans="2:18" x14ac:dyDescent="0.35">
      <c r="B159" s="2673" t="s">
        <v>3455</v>
      </c>
      <c r="C159" s="2673" t="s">
        <v>3456</v>
      </c>
      <c r="D159" s="2674" t="s">
        <v>3521</v>
      </c>
      <c r="E159" s="2673" t="s">
        <v>3520</v>
      </c>
      <c r="F159" s="2673" t="s">
        <v>820</v>
      </c>
      <c r="G159" s="2673" t="s">
        <v>3708</v>
      </c>
      <c r="H159" s="2673" t="s">
        <v>3709</v>
      </c>
      <c r="I159" s="2673" t="s">
        <v>820</v>
      </c>
      <c r="J159" s="599" t="b">
        <f t="shared" si="21"/>
        <v>0</v>
      </c>
      <c r="K159" s="599" t="b">
        <f t="shared" si="18"/>
        <v>0</v>
      </c>
      <c r="L159" s="599" t="b">
        <f>IF(D159="n/a","n/a",ISNUMBER(MATCH(D159,'Measure Level Adjustments Tab'!K:K,0)))</f>
        <v>0</v>
      </c>
      <c r="M159" s="599" t="b">
        <f t="shared" si="19"/>
        <v>0</v>
      </c>
      <c r="N159" s="599" t="b">
        <f t="shared" si="20"/>
        <v>0</v>
      </c>
      <c r="O159" s="599" t="s">
        <v>304</v>
      </c>
      <c r="P159" s="599" t="s">
        <v>304</v>
      </c>
      <c r="Q159" s="599"/>
      <c r="R159" s="599" t="str">
        <f t="shared" si="16"/>
        <v/>
      </c>
    </row>
    <row r="160" spans="2:18" x14ac:dyDescent="0.35">
      <c r="B160" s="2673" t="s">
        <v>3455</v>
      </c>
      <c r="C160" s="2673" t="s">
        <v>3456</v>
      </c>
      <c r="D160" s="2674" t="s">
        <v>3523</v>
      </c>
      <c r="E160" s="2675" t="s">
        <v>3522</v>
      </c>
      <c r="F160" s="2673" t="s">
        <v>820</v>
      </c>
      <c r="G160" s="2673" t="s">
        <v>3708</v>
      </c>
      <c r="H160" s="2673" t="s">
        <v>3709</v>
      </c>
      <c r="I160" s="2673" t="s">
        <v>820</v>
      </c>
      <c r="J160" s="599" t="b">
        <f t="shared" si="21"/>
        <v>0</v>
      </c>
      <c r="K160" s="599" t="b">
        <f t="shared" si="18"/>
        <v>0</v>
      </c>
      <c r="L160" s="599" t="b">
        <f>IF(D160="n/a","n/a",ISNUMBER(MATCH(D160,'Measure Level Adjustments Tab'!K:K,0)))</f>
        <v>0</v>
      </c>
      <c r="M160" s="599" t="b">
        <f t="shared" si="19"/>
        <v>0</v>
      </c>
      <c r="N160" s="599" t="b">
        <f t="shared" si="20"/>
        <v>0</v>
      </c>
      <c r="O160" s="599" t="s">
        <v>304</v>
      </c>
      <c r="P160" s="599" t="s">
        <v>304</v>
      </c>
      <c r="Q160" s="599"/>
      <c r="R160" s="599" t="str">
        <f t="shared" si="16"/>
        <v/>
      </c>
    </row>
    <row r="161" spans="2:18" x14ac:dyDescent="0.35">
      <c r="B161" s="2673" t="s">
        <v>3455</v>
      </c>
      <c r="C161" s="2673" t="s">
        <v>3456</v>
      </c>
      <c r="D161" s="2674" t="s">
        <v>3525</v>
      </c>
      <c r="E161" s="2673" t="s">
        <v>3524</v>
      </c>
      <c r="F161" s="2673" t="s">
        <v>820</v>
      </c>
      <c r="G161" s="2673" t="s">
        <v>3708</v>
      </c>
      <c r="H161" s="2673" t="s">
        <v>3709</v>
      </c>
      <c r="I161" s="2673" t="s">
        <v>820</v>
      </c>
      <c r="J161" s="599" t="b">
        <f t="shared" si="21"/>
        <v>0</v>
      </c>
      <c r="K161" s="599" t="b">
        <f t="shared" si="18"/>
        <v>0</v>
      </c>
      <c r="L161" s="599" t="b">
        <f>IF(D161="n/a","n/a",ISNUMBER(MATCH(D161,'Measure Level Adjustments Tab'!K:K,0)))</f>
        <v>0</v>
      </c>
      <c r="M161" s="599" t="b">
        <f t="shared" si="19"/>
        <v>0</v>
      </c>
      <c r="N161" s="599" t="b">
        <f t="shared" si="20"/>
        <v>0</v>
      </c>
      <c r="O161" s="599" t="s">
        <v>304</v>
      </c>
      <c r="P161" s="599" t="s">
        <v>304</v>
      </c>
      <c r="Q161" s="599"/>
      <c r="R161" s="599" t="str">
        <f t="shared" si="16"/>
        <v/>
      </c>
    </row>
    <row r="162" spans="2:18" x14ac:dyDescent="0.35">
      <c r="B162" s="2673" t="s">
        <v>3455</v>
      </c>
      <c r="C162" s="2673" t="s">
        <v>3456</v>
      </c>
      <c r="D162" s="2674" t="s">
        <v>3526</v>
      </c>
      <c r="E162" s="2673" t="s">
        <v>3853</v>
      </c>
      <c r="F162" s="2673" t="s">
        <v>820</v>
      </c>
      <c r="G162" s="2673" t="s">
        <v>3708</v>
      </c>
      <c r="H162" s="2673" t="s">
        <v>3709</v>
      </c>
      <c r="I162" s="2673" t="s">
        <v>820</v>
      </c>
      <c r="J162" s="599" t="b">
        <f t="shared" si="21"/>
        <v>0</v>
      </c>
      <c r="K162" s="599" t="b">
        <f t="shared" si="18"/>
        <v>0</v>
      </c>
      <c r="L162" s="599" t="b">
        <f>IF(D162="n/a","n/a",ISNUMBER(MATCH(D162,'Measure Level Adjustments Tab'!K:K,0)))</f>
        <v>0</v>
      </c>
      <c r="M162" s="599" t="b">
        <f t="shared" si="19"/>
        <v>0</v>
      </c>
      <c r="N162" s="599" t="b">
        <f t="shared" si="20"/>
        <v>0</v>
      </c>
      <c r="O162" s="599" t="s">
        <v>304</v>
      </c>
      <c r="P162" s="599" t="s">
        <v>304</v>
      </c>
      <c r="Q162" s="599"/>
      <c r="R162" s="599" t="str">
        <f t="shared" si="16"/>
        <v/>
      </c>
    </row>
    <row r="163" spans="2:18" x14ac:dyDescent="0.35">
      <c r="B163" s="2673" t="s">
        <v>3455</v>
      </c>
      <c r="C163" s="2673" t="s">
        <v>3456</v>
      </c>
      <c r="D163" s="2674" t="s">
        <v>3528</v>
      </c>
      <c r="E163" s="2675" t="s">
        <v>3527</v>
      </c>
      <c r="F163" s="2673" t="s">
        <v>820</v>
      </c>
      <c r="G163" s="2673" t="s">
        <v>3708</v>
      </c>
      <c r="H163" s="2673" t="s">
        <v>3709</v>
      </c>
      <c r="I163" s="2673" t="s">
        <v>820</v>
      </c>
      <c r="J163" s="599" t="b">
        <f t="shared" si="21"/>
        <v>0</v>
      </c>
      <c r="K163" s="599" t="b">
        <f t="shared" si="18"/>
        <v>0</v>
      </c>
      <c r="L163" s="599" t="b">
        <f>IF(D163="n/a","n/a",ISNUMBER(MATCH(D163,'Measure Level Adjustments Tab'!K:K,0)))</f>
        <v>0</v>
      </c>
      <c r="M163" s="599" t="b">
        <f t="shared" si="19"/>
        <v>0</v>
      </c>
      <c r="N163" s="599" t="b">
        <f t="shared" si="20"/>
        <v>0</v>
      </c>
      <c r="O163" s="599" t="s">
        <v>304</v>
      </c>
      <c r="P163" s="599" t="s">
        <v>304</v>
      </c>
      <c r="Q163" s="599"/>
      <c r="R163" s="599" t="str">
        <f t="shared" si="16"/>
        <v/>
      </c>
    </row>
    <row r="164" spans="2:18" x14ac:dyDescent="0.35">
      <c r="B164" s="2673" t="s">
        <v>3455</v>
      </c>
      <c r="C164" s="2673" t="s">
        <v>3456</v>
      </c>
      <c r="D164" s="2674" t="s">
        <v>1727</v>
      </c>
      <c r="E164" s="2675" t="s">
        <v>3457</v>
      </c>
      <c r="F164" s="2673" t="s">
        <v>3854</v>
      </c>
      <c r="G164" s="2673" t="s">
        <v>3402</v>
      </c>
      <c r="H164" s="2673" t="s">
        <v>3899</v>
      </c>
      <c r="I164" s="2673" t="s">
        <v>3855</v>
      </c>
      <c r="J164" s="599" t="b">
        <f t="shared" si="21"/>
        <v>1</v>
      </c>
      <c r="K164" s="599" t="b">
        <f t="shared" si="18"/>
        <v>1</v>
      </c>
      <c r="L164" s="599" t="b">
        <f>IF(D164="n/a","n/a",ISNUMBER(MATCH(D164,'Measure Level Adjustments Tab'!K:K,0)))</f>
        <v>0</v>
      </c>
      <c r="M164" s="599" t="b">
        <f t="shared" si="19"/>
        <v>0</v>
      </c>
      <c r="N164" s="599" t="b">
        <f t="shared" si="20"/>
        <v>0</v>
      </c>
      <c r="O164" s="599" t="s">
        <v>304</v>
      </c>
      <c r="P164" s="599" t="s">
        <v>304</v>
      </c>
      <c r="Q164" s="599"/>
      <c r="R164" s="599" t="str">
        <f t="shared" si="16"/>
        <v/>
      </c>
    </row>
    <row r="165" spans="2:18" x14ac:dyDescent="0.35">
      <c r="B165" s="2673" t="s">
        <v>3455</v>
      </c>
      <c r="C165" s="2673" t="s">
        <v>3456</v>
      </c>
      <c r="D165" s="2674" t="s">
        <v>287</v>
      </c>
      <c r="E165" s="2675" t="s">
        <v>3304</v>
      </c>
      <c r="F165" s="2673" t="s">
        <v>3856</v>
      </c>
      <c r="G165" s="2673" t="s">
        <v>3402</v>
      </c>
      <c r="H165" s="2673" t="s">
        <v>3900</v>
      </c>
      <c r="I165" s="2673" t="s">
        <v>3855</v>
      </c>
      <c r="J165" s="599" t="b">
        <f t="shared" si="21"/>
        <v>1</v>
      </c>
      <c r="K165" s="599" t="b">
        <f t="shared" si="18"/>
        <v>1</v>
      </c>
      <c r="L165" s="599" t="b">
        <f>IF(D165="n/a","n/a",ISNUMBER(MATCH(D165,'Measure Level Adjustments Tab'!K:K,0)))</f>
        <v>0</v>
      </c>
      <c r="M165" s="599" t="b">
        <f t="shared" si="19"/>
        <v>0</v>
      </c>
      <c r="N165" s="599" t="b">
        <f t="shared" si="20"/>
        <v>0</v>
      </c>
      <c r="O165" s="599" t="s">
        <v>304</v>
      </c>
      <c r="P165" s="599" t="s">
        <v>304</v>
      </c>
      <c r="Q165" s="599"/>
      <c r="R165" s="599" t="str">
        <f t="shared" si="16"/>
        <v/>
      </c>
    </row>
    <row r="166" spans="2:18" x14ac:dyDescent="0.35">
      <c r="B166" s="2673" t="s">
        <v>3455</v>
      </c>
      <c r="C166" s="2673" t="s">
        <v>3456</v>
      </c>
      <c r="D166" s="2674" t="s">
        <v>3530</v>
      </c>
      <c r="E166" s="2675" t="s">
        <v>3529</v>
      </c>
      <c r="F166" s="2673" t="s">
        <v>3857</v>
      </c>
      <c r="G166" s="2673" t="s">
        <v>3402</v>
      </c>
      <c r="H166" s="2673" t="s">
        <v>3901</v>
      </c>
      <c r="I166" s="2673" t="s">
        <v>3855</v>
      </c>
      <c r="J166" s="599" t="b">
        <f t="shared" si="21"/>
        <v>1</v>
      </c>
      <c r="K166" s="599" t="b">
        <f t="shared" si="18"/>
        <v>1</v>
      </c>
      <c r="L166" s="599" t="b">
        <f>IF(D166="n/a","n/a",ISNUMBER(MATCH(D166,'Measure Level Adjustments Tab'!K:K,0)))</f>
        <v>0</v>
      </c>
      <c r="M166" s="599" t="b">
        <f t="shared" si="19"/>
        <v>0</v>
      </c>
      <c r="N166" s="599" t="b">
        <f t="shared" si="20"/>
        <v>0</v>
      </c>
      <c r="O166" s="599" t="s">
        <v>304</v>
      </c>
      <c r="P166" s="599" t="s">
        <v>304</v>
      </c>
      <c r="Q166" s="599"/>
      <c r="R166" s="599" t="str">
        <f t="shared" si="16"/>
        <v/>
      </c>
    </row>
    <row r="167" spans="2:18" x14ac:dyDescent="0.35">
      <c r="B167" s="2673" t="s">
        <v>3455</v>
      </c>
      <c r="C167" s="2673" t="s">
        <v>3456</v>
      </c>
      <c r="D167" s="2674" t="s">
        <v>3532</v>
      </c>
      <c r="E167" s="2675" t="s">
        <v>3531</v>
      </c>
      <c r="F167" s="2673" t="s">
        <v>3858</v>
      </c>
      <c r="G167" s="2673" t="s">
        <v>3402</v>
      </c>
      <c r="H167" s="2673" t="s">
        <v>3859</v>
      </c>
      <c r="I167" s="2673" t="s">
        <v>3427</v>
      </c>
      <c r="J167" s="599" t="b">
        <f t="shared" si="21"/>
        <v>1</v>
      </c>
      <c r="K167" s="599" t="b">
        <f t="shared" ref="K167:K184" si="22">COUNTIFS(D:D,D167,J:J,TRUE)&gt;0</f>
        <v>1</v>
      </c>
      <c r="L167" s="599" t="b">
        <f>IF(D167="n/a","n/a",ISNUMBER(MATCH(D167,'Measure Level Adjustments Tab'!K:K,0)))</f>
        <v>0</v>
      </c>
      <c r="M167" s="599" t="b">
        <f t="shared" si="19"/>
        <v>0</v>
      </c>
      <c r="N167" s="599" t="b">
        <f t="shared" si="20"/>
        <v>0</v>
      </c>
      <c r="O167" s="599" t="s">
        <v>304</v>
      </c>
      <c r="P167" s="599" t="s">
        <v>304</v>
      </c>
      <c r="Q167" s="599"/>
      <c r="R167" s="599" t="str">
        <f t="shared" si="16"/>
        <v/>
      </c>
    </row>
    <row r="168" spans="2:18" x14ac:dyDescent="0.35">
      <c r="B168" s="2673" t="s">
        <v>3455</v>
      </c>
      <c r="C168" s="2673" t="s">
        <v>3456</v>
      </c>
      <c r="D168" s="2674" t="s">
        <v>3860</v>
      </c>
      <c r="E168" s="2675" t="s">
        <v>3861</v>
      </c>
      <c r="F168" s="2673" t="s">
        <v>3862</v>
      </c>
      <c r="G168" s="2673" t="s">
        <v>2285</v>
      </c>
      <c r="H168" s="2673" t="s">
        <v>3474</v>
      </c>
      <c r="I168" s="2673" t="s">
        <v>820</v>
      </c>
      <c r="J168" s="599" t="b">
        <f t="shared" si="21"/>
        <v>0</v>
      </c>
      <c r="K168" s="599" t="b">
        <f t="shared" si="22"/>
        <v>0</v>
      </c>
      <c r="L168" s="599" t="b">
        <f>IF(D168="n/a","n/a",ISNUMBER(MATCH(D168,'Measure Level Adjustments Tab'!K:K,0)))</f>
        <v>0</v>
      </c>
      <c r="M168" s="599" t="b">
        <f t="shared" si="19"/>
        <v>0</v>
      </c>
      <c r="N168" s="599" t="b">
        <f t="shared" si="20"/>
        <v>0</v>
      </c>
      <c r="O168" s="599" t="s">
        <v>304</v>
      </c>
      <c r="P168" s="599" t="s">
        <v>304</v>
      </c>
      <c r="Q168" s="599"/>
      <c r="R168" s="599" t="str">
        <f t="shared" si="16"/>
        <v/>
      </c>
    </row>
    <row r="169" spans="2:18" x14ac:dyDescent="0.35">
      <c r="B169" s="2673" t="s">
        <v>3455</v>
      </c>
      <c r="C169" s="2673" t="s">
        <v>3458</v>
      </c>
      <c r="D169" s="2674" t="s">
        <v>710</v>
      </c>
      <c r="E169" s="2673" t="s">
        <v>3459</v>
      </c>
      <c r="F169" s="2673" t="s">
        <v>3863</v>
      </c>
      <c r="G169" s="2673" t="s">
        <v>3402</v>
      </c>
      <c r="H169" s="2673" t="s">
        <v>3864</v>
      </c>
      <c r="I169" s="2673" t="s">
        <v>820</v>
      </c>
      <c r="J169" s="599" t="b">
        <f t="shared" si="21"/>
        <v>0</v>
      </c>
      <c r="K169" s="599" t="b">
        <f t="shared" si="22"/>
        <v>1</v>
      </c>
      <c r="L169" s="599" t="b">
        <f>IF(D169="n/a","n/a",ISNUMBER(MATCH(D169,'Measure Level Adjustments Tab'!K:K,0)))</f>
        <v>1</v>
      </c>
      <c r="M169" s="599" t="b">
        <f t="shared" si="19"/>
        <v>0</v>
      </c>
      <c r="N169" s="599" t="b">
        <f t="shared" si="20"/>
        <v>0</v>
      </c>
      <c r="O169" s="599" t="s">
        <v>304</v>
      </c>
      <c r="P169" s="599" t="s">
        <v>304</v>
      </c>
      <c r="Q169" s="599"/>
      <c r="R169" s="599" t="str">
        <f t="shared" si="16"/>
        <v/>
      </c>
    </row>
    <row r="170" spans="2:18" x14ac:dyDescent="0.35">
      <c r="B170" s="2673" t="s">
        <v>3455</v>
      </c>
      <c r="C170" s="2673" t="s">
        <v>3458</v>
      </c>
      <c r="D170" s="2674" t="s">
        <v>710</v>
      </c>
      <c r="E170" s="2673" t="s">
        <v>3459</v>
      </c>
      <c r="F170" s="2673" t="s">
        <v>3863</v>
      </c>
      <c r="G170" s="2673" t="s">
        <v>3402</v>
      </c>
      <c r="H170" s="2673" t="s">
        <v>3865</v>
      </c>
      <c r="I170" s="2673" t="s">
        <v>3409</v>
      </c>
      <c r="J170" s="599" t="b">
        <f t="shared" si="21"/>
        <v>1</v>
      </c>
      <c r="K170" s="599" t="b">
        <f t="shared" si="22"/>
        <v>1</v>
      </c>
      <c r="L170" s="599" t="b">
        <f>IF(D170="n/a","n/a",ISNUMBER(MATCH(D170,'Measure Level Adjustments Tab'!K:K,0)))</f>
        <v>1</v>
      </c>
      <c r="M170" s="599" t="b">
        <f t="shared" si="19"/>
        <v>0</v>
      </c>
      <c r="N170" s="599" t="b">
        <f t="shared" si="20"/>
        <v>1</v>
      </c>
      <c r="O170" s="599" t="b">
        <v>1</v>
      </c>
      <c r="P170" s="599" t="s">
        <v>3922</v>
      </c>
      <c r="Q170" s="2678" t="s">
        <v>3950</v>
      </c>
      <c r="R170" s="2677" t="str">
        <f t="shared" si="16"/>
        <v>Go To Update</v>
      </c>
    </row>
    <row r="171" spans="2:18" x14ac:dyDescent="0.35">
      <c r="B171" s="2673" t="s">
        <v>3455</v>
      </c>
      <c r="C171" s="2673" t="s">
        <v>3458</v>
      </c>
      <c r="D171" s="2674" t="s">
        <v>710</v>
      </c>
      <c r="E171" s="2673" t="s">
        <v>3459</v>
      </c>
      <c r="F171" s="2673" t="s">
        <v>3863</v>
      </c>
      <c r="G171" s="2673" t="s">
        <v>3402</v>
      </c>
      <c r="H171" s="2673" t="s">
        <v>3866</v>
      </c>
      <c r="I171" s="2673" t="s">
        <v>820</v>
      </c>
      <c r="J171" s="599" t="b">
        <f t="shared" si="21"/>
        <v>0</v>
      </c>
      <c r="K171" s="599" t="b">
        <f t="shared" si="22"/>
        <v>1</v>
      </c>
      <c r="L171" s="599" t="b">
        <f>IF(D171="n/a","n/a",ISNUMBER(MATCH(D171,'Measure Level Adjustments Tab'!K:K,0)))</f>
        <v>1</v>
      </c>
      <c r="M171" s="599" t="b">
        <f t="shared" si="19"/>
        <v>0</v>
      </c>
      <c r="N171" s="599" t="b">
        <f t="shared" si="20"/>
        <v>0</v>
      </c>
      <c r="O171" s="599" t="s">
        <v>304</v>
      </c>
      <c r="P171" s="599" t="s">
        <v>304</v>
      </c>
      <c r="Q171" s="599"/>
      <c r="R171" s="599" t="str">
        <f t="shared" si="16"/>
        <v/>
      </c>
    </row>
    <row r="172" spans="2:18" x14ac:dyDescent="0.35">
      <c r="B172" s="2673" t="s">
        <v>3455</v>
      </c>
      <c r="C172" s="2673" t="s">
        <v>3458</v>
      </c>
      <c r="D172" s="2674" t="s">
        <v>746</v>
      </c>
      <c r="E172" s="2673" t="s">
        <v>3534</v>
      </c>
      <c r="F172" s="2673" t="s">
        <v>3867</v>
      </c>
      <c r="G172" s="2673" t="s">
        <v>3402</v>
      </c>
      <c r="H172" s="2673" t="s">
        <v>3866</v>
      </c>
      <c r="I172" s="2673" t="s">
        <v>820</v>
      </c>
      <c r="J172" s="599" t="b">
        <f t="shared" si="21"/>
        <v>0</v>
      </c>
      <c r="K172" s="599" t="b">
        <f t="shared" si="22"/>
        <v>0</v>
      </c>
      <c r="L172" s="599" t="b">
        <f>IF(D172="n/a","n/a",ISNUMBER(MATCH(D172,'Measure Level Adjustments Tab'!K:K,0)))</f>
        <v>1</v>
      </c>
      <c r="M172" s="599" t="b">
        <f t="shared" si="19"/>
        <v>0</v>
      </c>
      <c r="N172" s="599" t="b">
        <f t="shared" si="20"/>
        <v>0</v>
      </c>
      <c r="O172" s="599" t="s">
        <v>304</v>
      </c>
      <c r="P172" s="599" t="s">
        <v>304</v>
      </c>
      <c r="Q172" s="599"/>
      <c r="R172" s="599" t="str">
        <f t="shared" si="16"/>
        <v/>
      </c>
    </row>
    <row r="173" spans="2:18" x14ac:dyDescent="0.35">
      <c r="B173" s="2673" t="s">
        <v>3455</v>
      </c>
      <c r="C173" s="2673" t="s">
        <v>3458</v>
      </c>
      <c r="D173" s="2674" t="s">
        <v>3535</v>
      </c>
      <c r="E173" s="2673" t="s">
        <v>3868</v>
      </c>
      <c r="F173" s="2673" t="s">
        <v>3869</v>
      </c>
      <c r="G173" s="2673" t="s">
        <v>3403</v>
      </c>
      <c r="H173" s="2673" t="s">
        <v>3870</v>
      </c>
      <c r="I173" s="2673" t="s">
        <v>3409</v>
      </c>
      <c r="J173" s="599" t="b">
        <f t="shared" si="21"/>
        <v>1</v>
      </c>
      <c r="K173" s="599" t="b">
        <f t="shared" si="22"/>
        <v>1</v>
      </c>
      <c r="L173" s="599" t="b">
        <f>IF(D173="n/a","n/a",ISNUMBER(MATCH(D173,'Measure Level Adjustments Tab'!K:K,0)))</f>
        <v>0</v>
      </c>
      <c r="M173" s="599" t="b">
        <f t="shared" si="19"/>
        <v>0</v>
      </c>
      <c r="N173" s="599" t="b">
        <f t="shared" si="20"/>
        <v>0</v>
      </c>
      <c r="O173" s="599" t="s">
        <v>304</v>
      </c>
      <c r="P173" s="599" t="s">
        <v>304</v>
      </c>
      <c r="Q173" s="599"/>
      <c r="R173" s="599" t="str">
        <f t="shared" si="16"/>
        <v/>
      </c>
    </row>
    <row r="174" spans="2:18" x14ac:dyDescent="0.35">
      <c r="B174" s="2673" t="s">
        <v>3455</v>
      </c>
      <c r="C174" s="2673" t="s">
        <v>3458</v>
      </c>
      <c r="D174" s="2674" t="s">
        <v>3535</v>
      </c>
      <c r="E174" s="2673" t="s">
        <v>3868</v>
      </c>
      <c r="F174" s="2673" t="s">
        <v>3871</v>
      </c>
      <c r="G174" s="2673" t="s">
        <v>3402</v>
      </c>
      <c r="H174" s="2673" t="s">
        <v>3866</v>
      </c>
      <c r="I174" s="2673" t="s">
        <v>820</v>
      </c>
      <c r="J174" s="599" t="b">
        <f t="shared" si="21"/>
        <v>0</v>
      </c>
      <c r="K174" s="599" t="b">
        <f t="shared" si="22"/>
        <v>1</v>
      </c>
      <c r="L174" s="599" t="b">
        <f>IF(D174="n/a","n/a",ISNUMBER(MATCH(D174,'Measure Level Adjustments Tab'!K:K,0)))</f>
        <v>0</v>
      </c>
      <c r="M174" s="599" t="b">
        <f t="shared" si="19"/>
        <v>0</v>
      </c>
      <c r="N174" s="599" t="b">
        <f t="shared" si="20"/>
        <v>0</v>
      </c>
      <c r="O174" s="599" t="s">
        <v>304</v>
      </c>
      <c r="P174" s="599" t="s">
        <v>304</v>
      </c>
      <c r="Q174" s="599"/>
      <c r="R174" s="599" t="str">
        <f t="shared" si="16"/>
        <v/>
      </c>
    </row>
    <row r="175" spans="2:18" x14ac:dyDescent="0.35">
      <c r="B175" s="2673" t="s">
        <v>3455</v>
      </c>
      <c r="C175" s="2673" t="s">
        <v>3458</v>
      </c>
      <c r="D175" s="2674" t="s">
        <v>564</v>
      </c>
      <c r="E175" s="2673" t="s">
        <v>3497</v>
      </c>
      <c r="F175" s="2673" t="s">
        <v>3872</v>
      </c>
      <c r="G175" s="2673" t="s">
        <v>3402</v>
      </c>
      <c r="H175" s="2673" t="s">
        <v>3866</v>
      </c>
      <c r="I175" s="2673" t="s">
        <v>820</v>
      </c>
      <c r="J175" s="599" t="b">
        <f t="shared" si="21"/>
        <v>0</v>
      </c>
      <c r="K175" s="599" t="b">
        <f t="shared" si="22"/>
        <v>0</v>
      </c>
      <c r="L175" s="599" t="b">
        <f>IF(D175="n/a","n/a",ISNUMBER(MATCH(D175,'Measure Level Adjustments Tab'!K:K,0)))</f>
        <v>1</v>
      </c>
      <c r="M175" s="599" t="b">
        <f t="shared" si="19"/>
        <v>0</v>
      </c>
      <c r="N175" s="599" t="b">
        <f t="shared" si="20"/>
        <v>0</v>
      </c>
      <c r="O175" s="599" t="s">
        <v>304</v>
      </c>
      <c r="P175" s="599" t="s">
        <v>304</v>
      </c>
      <c r="Q175" s="599"/>
      <c r="R175" s="599" t="str">
        <f t="shared" si="16"/>
        <v/>
      </c>
    </row>
    <row r="176" spans="2:18" x14ac:dyDescent="0.35">
      <c r="B176" s="2673" t="s">
        <v>3455</v>
      </c>
      <c r="C176" s="2673" t="s">
        <v>3458</v>
      </c>
      <c r="D176" s="2674" t="s">
        <v>3387</v>
      </c>
      <c r="E176" s="2673" t="s">
        <v>3537</v>
      </c>
      <c r="F176" s="2673" t="s">
        <v>3873</v>
      </c>
      <c r="G176" s="2673" t="s">
        <v>3402</v>
      </c>
      <c r="H176" s="2673" t="s">
        <v>3865</v>
      </c>
      <c r="I176" s="2673" t="s">
        <v>3409</v>
      </c>
      <c r="J176" s="599" t="b">
        <f t="shared" si="21"/>
        <v>1</v>
      </c>
      <c r="K176" s="599" t="b">
        <f t="shared" si="22"/>
        <v>1</v>
      </c>
      <c r="L176" s="599" t="b">
        <f>IF(D176="n/a","n/a",ISNUMBER(MATCH(D176,'Measure Level Adjustments Tab'!K:K,0)))</f>
        <v>1</v>
      </c>
      <c r="M176" s="599" t="b">
        <f t="shared" si="19"/>
        <v>0</v>
      </c>
      <c r="N176" s="599" t="b">
        <f t="shared" si="20"/>
        <v>1</v>
      </c>
      <c r="O176" s="599" t="b">
        <v>1</v>
      </c>
      <c r="P176" s="599" t="s">
        <v>3922</v>
      </c>
      <c r="Q176" s="2678" t="s">
        <v>3924</v>
      </c>
      <c r="R176" s="2677" t="str">
        <f t="shared" si="16"/>
        <v>Go To Update</v>
      </c>
    </row>
    <row r="177" spans="2:18" x14ac:dyDescent="0.35">
      <c r="B177" s="2673" t="s">
        <v>3455</v>
      </c>
      <c r="C177" s="2673" t="s">
        <v>3458</v>
      </c>
      <c r="D177" s="2674" t="s">
        <v>3387</v>
      </c>
      <c r="E177" s="2673" t="s">
        <v>3537</v>
      </c>
      <c r="F177" s="2673" t="s">
        <v>3873</v>
      </c>
      <c r="G177" s="2673" t="s">
        <v>3402</v>
      </c>
      <c r="H177" s="2673" t="s">
        <v>3874</v>
      </c>
      <c r="I177" s="2673" t="s">
        <v>3409</v>
      </c>
      <c r="J177" s="599" t="b">
        <f t="shared" si="21"/>
        <v>1</v>
      </c>
      <c r="K177" s="599" t="b">
        <f t="shared" si="22"/>
        <v>1</v>
      </c>
      <c r="L177" s="599" t="b">
        <f>IF(D177="n/a","n/a",ISNUMBER(MATCH(D177,'Measure Level Adjustments Tab'!K:K,0)))</f>
        <v>1</v>
      </c>
      <c r="M177" s="599" t="b">
        <f t="shared" si="19"/>
        <v>0</v>
      </c>
      <c r="N177" s="599" t="b">
        <f t="shared" si="20"/>
        <v>1</v>
      </c>
      <c r="O177" s="599" t="s">
        <v>304</v>
      </c>
      <c r="P177" s="599" t="s">
        <v>3923</v>
      </c>
      <c r="Q177" s="599"/>
      <c r="R177" s="599" t="str">
        <f t="shared" si="16"/>
        <v/>
      </c>
    </row>
    <row r="178" spans="2:18" x14ac:dyDescent="0.35">
      <c r="B178" s="2673" t="s">
        <v>3455</v>
      </c>
      <c r="C178" s="2673" t="s">
        <v>3458</v>
      </c>
      <c r="D178" s="2674" t="s">
        <v>3387</v>
      </c>
      <c r="E178" s="2673" t="s">
        <v>3537</v>
      </c>
      <c r="F178" s="2673" t="s">
        <v>3873</v>
      </c>
      <c r="G178" s="2673" t="s">
        <v>3402</v>
      </c>
      <c r="H178" s="2673" t="s">
        <v>3866</v>
      </c>
      <c r="I178" s="2673" t="s">
        <v>3409</v>
      </c>
      <c r="J178" s="599" t="b">
        <f t="shared" si="21"/>
        <v>1</v>
      </c>
      <c r="K178" s="599" t="b">
        <f t="shared" si="22"/>
        <v>1</v>
      </c>
      <c r="L178" s="599" t="b">
        <f>IF(D178="n/a","n/a",ISNUMBER(MATCH(D178,'Measure Level Adjustments Tab'!K:K,0)))</f>
        <v>1</v>
      </c>
      <c r="M178" s="599" t="b">
        <f t="shared" si="19"/>
        <v>0</v>
      </c>
      <c r="N178" s="599" t="b">
        <f t="shared" si="20"/>
        <v>1</v>
      </c>
      <c r="O178" s="599" t="s">
        <v>304</v>
      </c>
      <c r="P178" s="599" t="s">
        <v>3921</v>
      </c>
      <c r="Q178" s="599"/>
      <c r="R178" s="599" t="str">
        <f t="shared" si="16"/>
        <v/>
      </c>
    </row>
    <row r="179" spans="2:18" x14ac:dyDescent="0.35">
      <c r="B179" s="2673" t="s">
        <v>3455</v>
      </c>
      <c r="C179" s="2673" t="s">
        <v>3458</v>
      </c>
      <c r="D179" s="2674" t="s">
        <v>3390</v>
      </c>
      <c r="E179" s="2673" t="s">
        <v>3539</v>
      </c>
      <c r="F179" s="2673" t="s">
        <v>3875</v>
      </c>
      <c r="G179" s="2673" t="s">
        <v>3402</v>
      </c>
      <c r="H179" s="2673" t="s">
        <v>3866</v>
      </c>
      <c r="I179" s="2673" t="s">
        <v>820</v>
      </c>
      <c r="J179" s="599" t="b">
        <f t="shared" si="21"/>
        <v>0</v>
      </c>
      <c r="K179" s="599" t="b">
        <f t="shared" si="22"/>
        <v>0</v>
      </c>
      <c r="L179" s="599" t="b">
        <f>IF(D179="n/a","n/a",ISNUMBER(MATCH(D179,'Measure Level Adjustments Tab'!K:K,0)))</f>
        <v>1</v>
      </c>
      <c r="M179" s="599" t="b">
        <f t="shared" si="19"/>
        <v>0</v>
      </c>
      <c r="N179" s="599" t="b">
        <f t="shared" si="20"/>
        <v>0</v>
      </c>
      <c r="O179" s="599" t="s">
        <v>304</v>
      </c>
      <c r="P179" s="599" t="s">
        <v>304</v>
      </c>
      <c r="Q179" s="599"/>
      <c r="R179" s="599" t="str">
        <f t="shared" si="16"/>
        <v/>
      </c>
    </row>
    <row r="180" spans="2:18" x14ac:dyDescent="0.35">
      <c r="B180" s="2673" t="s">
        <v>3455</v>
      </c>
      <c r="C180" s="2673" t="s">
        <v>3540</v>
      </c>
      <c r="D180" s="2674" t="s">
        <v>3876</v>
      </c>
      <c r="E180" s="2673" t="s">
        <v>3877</v>
      </c>
      <c r="F180" s="2673" t="s">
        <v>3878</v>
      </c>
      <c r="G180" s="2673" t="s">
        <v>2285</v>
      </c>
      <c r="H180" s="2673" t="s">
        <v>3404</v>
      </c>
      <c r="I180" s="2673" t="s">
        <v>820</v>
      </c>
      <c r="J180" s="599" t="b">
        <f t="shared" si="21"/>
        <v>0</v>
      </c>
      <c r="K180" s="599" t="b">
        <f t="shared" si="22"/>
        <v>0</v>
      </c>
      <c r="L180" s="599" t="b">
        <f>IF(D180="n/a","n/a",ISNUMBER(MATCH(D180,'Measure Level Adjustments Tab'!K:K,0)))</f>
        <v>0</v>
      </c>
      <c r="M180" s="599" t="b">
        <f t="shared" si="19"/>
        <v>0</v>
      </c>
      <c r="N180" s="599" t="b">
        <f t="shared" si="20"/>
        <v>0</v>
      </c>
      <c r="O180" s="599" t="s">
        <v>304</v>
      </c>
      <c r="P180" s="599" t="s">
        <v>304</v>
      </c>
      <c r="Q180" s="599"/>
      <c r="R180" s="599" t="str">
        <f t="shared" si="16"/>
        <v/>
      </c>
    </row>
    <row r="181" spans="2:18" x14ac:dyDescent="0.35">
      <c r="B181" s="2673" t="s">
        <v>3541</v>
      </c>
      <c r="C181" s="2673" t="s">
        <v>3879</v>
      </c>
      <c r="D181" s="2674" t="s">
        <v>304</v>
      </c>
      <c r="E181" s="2675" t="s">
        <v>3880</v>
      </c>
      <c r="F181" s="2673" t="s">
        <v>820</v>
      </c>
      <c r="G181" s="2673" t="s">
        <v>3402</v>
      </c>
      <c r="H181" s="2675" t="s">
        <v>3881</v>
      </c>
      <c r="I181" s="2673" t="s">
        <v>820</v>
      </c>
      <c r="J181" s="599" t="b">
        <f t="shared" si="21"/>
        <v>0</v>
      </c>
      <c r="K181" s="599" t="b">
        <f t="shared" si="22"/>
        <v>0</v>
      </c>
      <c r="L181" s="599" t="str">
        <f>IF(D181="n/a","n/a",ISNUMBER(MATCH(D181,'Measure Level Adjustments Tab'!K:K,0)))</f>
        <v>n/a</v>
      </c>
      <c r="M181" s="599" t="b">
        <f t="shared" si="19"/>
        <v>0</v>
      </c>
      <c r="N181" s="599" t="b">
        <f t="shared" si="20"/>
        <v>0</v>
      </c>
      <c r="O181" s="599" t="s">
        <v>304</v>
      </c>
      <c r="P181" s="599" t="s">
        <v>304</v>
      </c>
      <c r="Q181" s="599"/>
      <c r="R181" s="599" t="str">
        <f t="shared" si="16"/>
        <v/>
      </c>
    </row>
    <row r="182" spans="2:18" x14ac:dyDescent="0.35">
      <c r="B182" s="2673" t="s">
        <v>3541</v>
      </c>
      <c r="C182" s="2673" t="s">
        <v>3879</v>
      </c>
      <c r="D182" s="2674" t="s">
        <v>304</v>
      </c>
      <c r="E182" s="2675" t="s">
        <v>3880</v>
      </c>
      <c r="F182" s="2673" t="s">
        <v>820</v>
      </c>
      <c r="G182" s="2673" t="s">
        <v>3402</v>
      </c>
      <c r="H182" s="2675" t="s">
        <v>3882</v>
      </c>
      <c r="I182" s="2673" t="s">
        <v>820</v>
      </c>
      <c r="J182" s="599" t="b">
        <f t="shared" si="21"/>
        <v>0</v>
      </c>
      <c r="K182" s="599" t="b">
        <f t="shared" si="22"/>
        <v>0</v>
      </c>
      <c r="L182" s="599" t="str">
        <f>IF(D182="n/a","n/a",ISNUMBER(MATCH(D182,'Measure Level Adjustments Tab'!K:K,0)))</f>
        <v>n/a</v>
      </c>
      <c r="M182" s="599" t="b">
        <f t="shared" si="19"/>
        <v>0</v>
      </c>
      <c r="N182" s="599" t="b">
        <f t="shared" si="20"/>
        <v>0</v>
      </c>
      <c r="O182" s="599" t="s">
        <v>304</v>
      </c>
      <c r="P182" s="599" t="s">
        <v>304</v>
      </c>
      <c r="Q182" s="599"/>
      <c r="R182" s="599" t="str">
        <f t="shared" si="16"/>
        <v/>
      </c>
    </row>
    <row r="183" spans="2:18" x14ac:dyDescent="0.35">
      <c r="B183" s="2673" t="s">
        <v>3541</v>
      </c>
      <c r="C183" s="2673" t="s">
        <v>3879</v>
      </c>
      <c r="D183" s="2674" t="s">
        <v>304</v>
      </c>
      <c r="E183" s="2675" t="s">
        <v>3880</v>
      </c>
      <c r="F183" s="2673" t="s">
        <v>820</v>
      </c>
      <c r="G183" s="2673" t="s">
        <v>3402</v>
      </c>
      <c r="H183" s="2675" t="s">
        <v>3883</v>
      </c>
      <c r="I183" s="2673" t="s">
        <v>820</v>
      </c>
      <c r="J183" s="599" t="b">
        <f t="shared" si="21"/>
        <v>0</v>
      </c>
      <c r="K183" s="599" t="b">
        <f t="shared" si="22"/>
        <v>0</v>
      </c>
      <c r="L183" s="599" t="str">
        <f>IF(D183="n/a","n/a",ISNUMBER(MATCH(D183,'Measure Level Adjustments Tab'!K:K,0)))</f>
        <v>n/a</v>
      </c>
      <c r="M183" s="599" t="b">
        <f t="shared" si="19"/>
        <v>0</v>
      </c>
      <c r="N183" s="599" t="b">
        <f t="shared" si="20"/>
        <v>0</v>
      </c>
      <c r="O183" s="599" t="s">
        <v>304</v>
      </c>
      <c r="P183" s="599" t="s">
        <v>304</v>
      </c>
      <c r="Q183" s="599"/>
      <c r="R183" s="599" t="str">
        <f t="shared" si="16"/>
        <v/>
      </c>
    </row>
    <row r="184" spans="2:18" x14ac:dyDescent="0.35">
      <c r="B184" s="2673" t="s">
        <v>3541</v>
      </c>
      <c r="C184" s="2673" t="s">
        <v>3884</v>
      </c>
      <c r="D184" s="2674" t="s">
        <v>304</v>
      </c>
      <c r="E184" s="2675" t="s">
        <v>3885</v>
      </c>
      <c r="F184" s="2673" t="s">
        <v>820</v>
      </c>
      <c r="G184" s="2673" t="s">
        <v>2285</v>
      </c>
      <c r="H184" s="2675" t="s">
        <v>3886</v>
      </c>
      <c r="I184" s="2673" t="s">
        <v>820</v>
      </c>
      <c r="J184" s="599" t="b">
        <f t="shared" si="21"/>
        <v>0</v>
      </c>
      <c r="K184" s="599" t="b">
        <f t="shared" si="22"/>
        <v>0</v>
      </c>
      <c r="L184" s="599" t="str">
        <f>IF(D184="n/a","n/a",ISNUMBER(MATCH(D184,'Measure Level Adjustments Tab'!K:K,0)))</f>
        <v>n/a</v>
      </c>
      <c r="M184" s="599" t="b">
        <f t="shared" si="19"/>
        <v>0</v>
      </c>
      <c r="N184" s="599" t="b">
        <f t="shared" si="20"/>
        <v>0</v>
      </c>
      <c r="O184" s="599" t="s">
        <v>304</v>
      </c>
      <c r="P184" s="599" t="s">
        <v>304</v>
      </c>
      <c r="Q184" s="599"/>
      <c r="R184" s="599" t="str">
        <f t="shared" si="16"/>
        <v/>
      </c>
    </row>
  </sheetData>
  <autoFilter ref="B6:R184" xr:uid="{94055ADC-AE3B-449E-A65B-497DA150D6BD}"/>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499984740745262"/>
    <pageSetUpPr fitToPage="1"/>
  </sheetPr>
  <dimension ref="A2:E19"/>
  <sheetViews>
    <sheetView workbookViewId="0"/>
  </sheetViews>
  <sheetFormatPr defaultColWidth="9.1796875" defaultRowHeight="14.5" x14ac:dyDescent="0.35"/>
  <cols>
    <col min="1" max="1" width="22" style="600" customWidth="1"/>
    <col min="2" max="3" width="9.1796875" style="600"/>
    <col min="4" max="4" width="15.1796875" style="600" customWidth="1"/>
    <col min="5" max="5" width="30.7265625" style="600" customWidth="1"/>
    <col min="6" max="16384" width="9.1796875" style="600"/>
  </cols>
  <sheetData>
    <row r="2" spans="1:5" ht="54" x14ac:dyDescent="0.35">
      <c r="A2" s="302" t="s">
        <v>568</v>
      </c>
      <c r="B2" s="302" t="s">
        <v>799</v>
      </c>
      <c r="C2" s="302" t="s">
        <v>804</v>
      </c>
      <c r="D2" s="302" t="s">
        <v>3016</v>
      </c>
    </row>
    <row r="3" spans="1:5" x14ac:dyDescent="0.35">
      <c r="A3" s="305" t="s">
        <v>833</v>
      </c>
      <c r="B3" s="2288" t="s">
        <v>820</v>
      </c>
      <c r="C3" s="2289" t="s">
        <v>820</v>
      </c>
      <c r="D3" s="599" t="s">
        <v>833</v>
      </c>
    </row>
    <row r="4" spans="1:5" x14ac:dyDescent="0.35">
      <c r="A4" s="305" t="s">
        <v>811</v>
      </c>
      <c r="B4" s="2290">
        <v>0.82199999999999995</v>
      </c>
      <c r="C4" s="2289">
        <v>0.93899999999999995</v>
      </c>
      <c r="D4" s="599" t="s">
        <v>211</v>
      </c>
    </row>
    <row r="5" spans="1:5" x14ac:dyDescent="0.35">
      <c r="A5" s="305" t="s">
        <v>829</v>
      </c>
      <c r="B5" s="2290">
        <v>0.91999999999999993</v>
      </c>
      <c r="C5" s="2289">
        <v>0.89</v>
      </c>
      <c r="D5" s="599" t="s">
        <v>2943</v>
      </c>
    </row>
    <row r="6" spans="1:5" x14ac:dyDescent="0.35">
      <c r="A6" s="307" t="s">
        <v>821</v>
      </c>
      <c r="B6" s="2288">
        <v>0.55700000000000005</v>
      </c>
      <c r="C6" s="2289">
        <v>0.49399999999999999</v>
      </c>
      <c r="D6" s="599" t="s">
        <v>20</v>
      </c>
    </row>
    <row r="7" spans="1:5" x14ac:dyDescent="0.35">
      <c r="A7" s="307" t="s">
        <v>818</v>
      </c>
      <c r="B7" s="2288">
        <v>0.77800000000000002</v>
      </c>
      <c r="C7" s="2291">
        <f>B7</f>
        <v>0.77800000000000002</v>
      </c>
      <c r="D7" s="599" t="s">
        <v>4</v>
      </c>
    </row>
    <row r="8" spans="1:5" x14ac:dyDescent="0.35">
      <c r="A8" s="307" t="s">
        <v>822</v>
      </c>
      <c r="B8" s="2288">
        <v>0.70200000000000007</v>
      </c>
      <c r="C8" s="2291">
        <f>B8</f>
        <v>0.70200000000000007</v>
      </c>
      <c r="D8" s="599" t="s">
        <v>2948</v>
      </c>
    </row>
    <row r="9" spans="1:5" x14ac:dyDescent="0.35">
      <c r="A9" s="305" t="s">
        <v>830</v>
      </c>
      <c r="B9" s="2290">
        <v>0.77300000000000002</v>
      </c>
      <c r="C9" s="2291">
        <f>B9</f>
        <v>0.77300000000000002</v>
      </c>
      <c r="D9" s="599" t="s">
        <v>3017</v>
      </c>
    </row>
    <row r="10" spans="1:5" x14ac:dyDescent="0.35">
      <c r="A10" s="305" t="s">
        <v>832</v>
      </c>
      <c r="B10" s="2290">
        <v>0.77300000000000002</v>
      </c>
      <c r="C10" s="2291">
        <f>B10</f>
        <v>0.77300000000000002</v>
      </c>
      <c r="D10" s="599" t="s">
        <v>2870</v>
      </c>
    </row>
    <row r="11" spans="1:5" ht="29" x14ac:dyDescent="0.35">
      <c r="A11" s="599" t="s">
        <v>3018</v>
      </c>
      <c r="B11" s="2289">
        <f>1-0.201+0.001</f>
        <v>0.79999999999999993</v>
      </c>
      <c r="C11" s="2289">
        <f>1-0.396</f>
        <v>0.60399999999999998</v>
      </c>
      <c r="D11" s="1040" t="s">
        <v>2285</v>
      </c>
      <c r="E11" s="668" t="s">
        <v>3019</v>
      </c>
    </row>
    <row r="12" spans="1:5" x14ac:dyDescent="0.35">
      <c r="A12" s="305" t="s">
        <v>827</v>
      </c>
      <c r="B12" s="2290">
        <v>0.83099999999999996</v>
      </c>
      <c r="C12" s="2291">
        <f>B12</f>
        <v>0.83099999999999996</v>
      </c>
      <c r="D12" s="599" t="s">
        <v>2960</v>
      </c>
    </row>
    <row r="13" spans="1:5" x14ac:dyDescent="0.35">
      <c r="A13" s="305" t="s">
        <v>3020</v>
      </c>
      <c r="B13" s="2290">
        <v>0.9</v>
      </c>
      <c r="C13" s="2292">
        <v>0.9</v>
      </c>
      <c r="D13" s="599" t="s">
        <v>2988</v>
      </c>
    </row>
    <row r="14" spans="1:5" x14ac:dyDescent="0.35">
      <c r="A14" s="305" t="s">
        <v>814</v>
      </c>
      <c r="B14" s="2290">
        <v>0.91400000000000003</v>
      </c>
      <c r="C14" s="2289">
        <v>0.91400000000000003</v>
      </c>
      <c r="D14" s="599" t="s">
        <v>2981</v>
      </c>
    </row>
    <row r="15" spans="1:5" x14ac:dyDescent="0.35">
      <c r="A15" s="2293" t="s">
        <v>2997</v>
      </c>
      <c r="B15" s="497">
        <v>0.96199999999999997</v>
      </c>
      <c r="C15" s="497">
        <v>0.96199999999999997</v>
      </c>
      <c r="D15" s="2294" t="s">
        <v>2997</v>
      </c>
    </row>
    <row r="16" spans="1:5" x14ac:dyDescent="0.35">
      <c r="A16" s="307" t="s">
        <v>823</v>
      </c>
      <c r="B16" s="2288">
        <v>0.84899999999999998</v>
      </c>
      <c r="C16" s="2289">
        <v>0.67500000000000004</v>
      </c>
      <c r="D16" s="599" t="s">
        <v>2899</v>
      </c>
    </row>
    <row r="17" spans="1:5" x14ac:dyDescent="0.35">
      <c r="A17" s="307" t="s">
        <v>824</v>
      </c>
      <c r="B17" s="2295">
        <f>C17</f>
        <v>0.60799999999999998</v>
      </c>
      <c r="C17" s="2289">
        <v>0.60799999999999998</v>
      </c>
      <c r="D17" s="599" t="s">
        <v>2954</v>
      </c>
    </row>
    <row r="18" spans="1:5" x14ac:dyDescent="0.35">
      <c r="A18" s="307" t="s">
        <v>825</v>
      </c>
      <c r="B18" s="2288">
        <v>0.83299999999999996</v>
      </c>
      <c r="C18" s="2291">
        <f>B18</f>
        <v>0.83299999999999996</v>
      </c>
      <c r="D18" s="599" t="s">
        <v>137</v>
      </c>
      <c r="E18" s="668"/>
    </row>
    <row r="19" spans="1:5" x14ac:dyDescent="0.35">
      <c r="A19" s="2293"/>
      <c r="B19" s="309"/>
      <c r="C19" s="309"/>
      <c r="D19" s="2294"/>
    </row>
  </sheetData>
  <pageMargins left="0.7" right="0.7" top="0.75" bottom="0.75" header="0.3" footer="0.3"/>
  <pageSetup scale="65" orientation="landscape" r:id="rId1"/>
  <headerFooter>
    <oddHeader>&amp;LAppendix G (Rev.)&amp;CNTG-BUS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4" tint="-0.499984740745262"/>
    <outlinePr summaryBelow="0"/>
    <pageSetUpPr fitToPage="1"/>
  </sheetPr>
  <dimension ref="A1:AE137"/>
  <sheetViews>
    <sheetView workbookViewId="0"/>
  </sheetViews>
  <sheetFormatPr defaultRowHeight="14.5" outlineLevelRow="1" outlineLevelCol="2" x14ac:dyDescent="0.35"/>
  <cols>
    <col min="1" max="1" width="16" customWidth="1"/>
    <col min="2" max="2" width="47.81640625" customWidth="1"/>
    <col min="3" max="3" width="6.7265625" hidden="1" customWidth="1" outlineLevel="1"/>
    <col min="4" max="5" width="6" hidden="1" customWidth="1" outlineLevel="1"/>
    <col min="6" max="6" width="8.453125" hidden="1" customWidth="1" outlineLevel="1"/>
    <col min="7" max="7" width="10.7265625" hidden="1" customWidth="1" outlineLevel="1"/>
    <col min="8" max="13" width="10.7265625" hidden="1" customWidth="1" outlineLevel="2"/>
    <col min="14" max="14" width="10.7265625" hidden="1" customWidth="1" outlineLevel="1" collapsed="1"/>
    <col min="15" max="17" width="10.7265625" hidden="1" customWidth="1" outlineLevel="1"/>
    <col min="18" max="18" width="15" customWidth="1" collapsed="1"/>
    <col min="19" max="19" width="11.7265625" hidden="1" customWidth="1" outlineLevel="1"/>
    <col min="20" max="20" width="11.54296875" hidden="1" customWidth="1" outlineLevel="1"/>
    <col min="21" max="21" width="11.1796875" hidden="1" customWidth="1" outlineLevel="1"/>
    <col min="22" max="22" width="14.1796875" customWidth="1" collapsed="1"/>
    <col min="23" max="23" width="12.54296875" customWidth="1"/>
    <col min="24" max="24" width="12" customWidth="1"/>
    <col min="25" max="25" width="15.26953125" customWidth="1"/>
    <col min="26" max="26" width="18.1796875" customWidth="1"/>
    <col min="27" max="27" width="9.1796875" customWidth="1"/>
    <col min="28" max="28" width="42.453125" customWidth="1"/>
    <col min="29" max="29" width="19.453125" customWidth="1"/>
    <col min="30" max="30" width="8.54296875" customWidth="1"/>
    <col min="31" max="31" width="44.81640625" customWidth="1"/>
  </cols>
  <sheetData>
    <row r="1" spans="1:31" ht="18.5" x14ac:dyDescent="0.45">
      <c r="A1" s="515">
        <v>42426</v>
      </c>
      <c r="B1" s="516" t="s">
        <v>1400</v>
      </c>
      <c r="C1" s="517"/>
      <c r="D1" s="517"/>
      <c r="E1" s="517"/>
      <c r="F1" s="517"/>
      <c r="G1" s="518"/>
      <c r="H1" s="519"/>
      <c r="I1" s="519"/>
      <c r="J1" s="520" t="s">
        <v>1401</v>
      </c>
      <c r="K1" s="521"/>
      <c r="L1" s="521"/>
      <c r="M1" s="521" t="s">
        <v>1402</v>
      </c>
      <c r="N1" s="521"/>
      <c r="O1" s="2901" t="s">
        <v>1403</v>
      </c>
      <c r="P1" s="2902"/>
      <c r="Q1" s="2902"/>
      <c r="R1" s="2903"/>
      <c r="S1" s="2904" t="s">
        <v>1404</v>
      </c>
      <c r="T1" s="2905"/>
      <c r="U1" s="2905"/>
      <c r="V1" s="2906"/>
      <c r="W1" s="2907" t="s">
        <v>1405</v>
      </c>
      <c r="X1" s="2908"/>
      <c r="Y1" s="2908"/>
      <c r="Z1" s="2908"/>
      <c r="AA1" s="2908"/>
      <c r="AB1" s="2908"/>
      <c r="AC1" s="2909"/>
      <c r="AD1" s="522"/>
      <c r="AE1" s="523"/>
    </row>
    <row r="2" spans="1:31" ht="58" x14ac:dyDescent="0.35">
      <c r="A2" s="524" t="s">
        <v>285</v>
      </c>
      <c r="B2" s="524" t="s">
        <v>286</v>
      </c>
      <c r="C2" s="524" t="s">
        <v>1406</v>
      </c>
      <c r="D2" s="524" t="s">
        <v>1407</v>
      </c>
      <c r="E2" s="524" t="s">
        <v>1408</v>
      </c>
      <c r="F2" s="524" t="s">
        <v>1409</v>
      </c>
      <c r="G2" s="525" t="s">
        <v>1410</v>
      </c>
      <c r="H2" s="525" t="s">
        <v>1411</v>
      </c>
      <c r="I2" s="525" t="s">
        <v>1412</v>
      </c>
      <c r="J2" s="525" t="s">
        <v>1413</v>
      </c>
      <c r="K2" s="525" t="s">
        <v>1414</v>
      </c>
      <c r="L2" s="525" t="s">
        <v>1412</v>
      </c>
      <c r="M2" s="525" t="s">
        <v>1413</v>
      </c>
      <c r="N2" s="525" t="s">
        <v>1415</v>
      </c>
      <c r="O2" s="526" t="s">
        <v>1416</v>
      </c>
      <c r="P2" s="526" t="s">
        <v>1417</v>
      </c>
      <c r="Q2" s="526" t="s">
        <v>1418</v>
      </c>
      <c r="R2" s="526" t="s">
        <v>1419</v>
      </c>
      <c r="S2" s="527" t="s">
        <v>1416</v>
      </c>
      <c r="T2" s="527" t="s">
        <v>1417</v>
      </c>
      <c r="U2" s="527" t="s">
        <v>1418</v>
      </c>
      <c r="V2" s="527" t="s">
        <v>1420</v>
      </c>
      <c r="W2" s="528" t="s">
        <v>1416</v>
      </c>
      <c r="X2" s="528" t="s">
        <v>1417</v>
      </c>
      <c r="Y2" s="528" t="s">
        <v>1418</v>
      </c>
      <c r="Z2" s="528" t="s">
        <v>1421</v>
      </c>
      <c r="AA2" s="528" t="s">
        <v>1422</v>
      </c>
      <c r="AB2" s="528" t="s">
        <v>1423</v>
      </c>
      <c r="AC2" s="528" t="s">
        <v>1424</v>
      </c>
      <c r="AD2" s="528" t="s">
        <v>1425</v>
      </c>
      <c r="AE2" s="529" t="s">
        <v>1426</v>
      </c>
    </row>
    <row r="3" spans="1:31" hidden="1" x14ac:dyDescent="0.35">
      <c r="A3" s="530" t="s">
        <v>810</v>
      </c>
      <c r="B3" s="530" t="s">
        <v>1427</v>
      </c>
      <c r="C3" s="531">
        <v>0.67</v>
      </c>
      <c r="D3" s="532">
        <v>0.74</v>
      </c>
      <c r="E3" s="531">
        <v>0.72</v>
      </c>
      <c r="F3" s="531">
        <v>0.7</v>
      </c>
      <c r="G3" s="533"/>
      <c r="H3" s="533"/>
      <c r="I3" s="533"/>
      <c r="J3" s="533"/>
      <c r="K3" s="533"/>
      <c r="L3" s="533"/>
      <c r="M3" s="533"/>
      <c r="N3" s="533"/>
      <c r="O3" s="533"/>
      <c r="P3" s="533"/>
      <c r="Q3" s="533"/>
      <c r="R3" s="533"/>
      <c r="S3" s="534"/>
      <c r="T3" s="2910"/>
      <c r="U3" s="2910"/>
      <c r="V3" s="533"/>
      <c r="W3" s="535"/>
      <c r="X3" s="535"/>
      <c r="Y3" s="535"/>
      <c r="Z3" s="535"/>
      <c r="AA3" s="536"/>
      <c r="AB3" s="537"/>
      <c r="AC3" s="537"/>
      <c r="AD3" s="538" t="s">
        <v>1428</v>
      </c>
      <c r="AE3" s="539"/>
    </row>
    <row r="4" spans="1:31" ht="29" hidden="1" x14ac:dyDescent="0.35">
      <c r="A4" s="530" t="s">
        <v>810</v>
      </c>
      <c r="B4" s="530" t="s">
        <v>1429</v>
      </c>
      <c r="C4" s="531"/>
      <c r="D4" s="532"/>
      <c r="E4" s="531">
        <v>0.74</v>
      </c>
      <c r="F4" s="531">
        <v>0.7</v>
      </c>
      <c r="G4" s="540">
        <v>0.74</v>
      </c>
      <c r="H4" s="540">
        <v>0.26</v>
      </c>
      <c r="I4" s="540">
        <v>0.05</v>
      </c>
      <c r="J4" s="540">
        <v>0.79</v>
      </c>
      <c r="K4" s="541">
        <v>0.27</v>
      </c>
      <c r="L4" s="541" t="s">
        <v>1430</v>
      </c>
      <c r="M4" s="541">
        <v>0.73</v>
      </c>
      <c r="N4" s="540">
        <v>0.7</v>
      </c>
      <c r="O4" s="540">
        <f>H4</f>
        <v>0.26</v>
      </c>
      <c r="P4" s="540">
        <v>7.0000000000000007E-2</v>
      </c>
      <c r="Q4" s="540"/>
      <c r="R4" s="541">
        <f>1-O4+P4+Q4</f>
        <v>0.81</v>
      </c>
      <c r="S4" s="541">
        <v>0.27</v>
      </c>
      <c r="T4" s="2911">
        <v>0.01</v>
      </c>
      <c r="U4" s="2911"/>
      <c r="V4" s="541">
        <v>0.74</v>
      </c>
      <c r="W4" s="542">
        <v>0.31</v>
      </c>
      <c r="X4" s="2912">
        <v>0.01</v>
      </c>
      <c r="Y4" s="2913"/>
      <c r="Z4" s="542">
        <v>0.7</v>
      </c>
      <c r="AA4" s="542" t="s">
        <v>1431</v>
      </c>
      <c r="AB4" s="539" t="s">
        <v>1432</v>
      </c>
      <c r="AC4" s="539" t="s">
        <v>1433</v>
      </c>
      <c r="AD4" s="542" t="s">
        <v>533</v>
      </c>
      <c r="AE4" s="543"/>
    </row>
    <row r="5" spans="1:31" ht="29" hidden="1" x14ac:dyDescent="0.35">
      <c r="A5" s="530" t="s">
        <v>810</v>
      </c>
      <c r="B5" s="530" t="s">
        <v>1434</v>
      </c>
      <c r="C5" s="531"/>
      <c r="D5" s="532"/>
      <c r="E5" s="531">
        <v>0.62</v>
      </c>
      <c r="F5" s="531">
        <v>0.63</v>
      </c>
      <c r="G5" s="540">
        <v>0.62</v>
      </c>
      <c r="H5" s="540">
        <v>0.31</v>
      </c>
      <c r="I5" s="540">
        <v>0.06</v>
      </c>
      <c r="J5" s="540">
        <v>0.75</v>
      </c>
      <c r="K5" s="541">
        <v>0.38</v>
      </c>
      <c r="L5" s="541" t="s">
        <v>1430</v>
      </c>
      <c r="M5" s="541">
        <v>0.62</v>
      </c>
      <c r="N5" s="540">
        <v>0.63</v>
      </c>
      <c r="O5" s="540">
        <f>H5</f>
        <v>0.31</v>
      </c>
      <c r="P5" s="540">
        <v>0.08</v>
      </c>
      <c r="Q5" s="540"/>
      <c r="R5" s="541">
        <f>1-O5+P5+Q5</f>
        <v>0.76999999999999991</v>
      </c>
      <c r="S5" s="544">
        <v>0.38</v>
      </c>
      <c r="T5" s="2914">
        <v>0.01</v>
      </c>
      <c r="U5" s="2914"/>
      <c r="V5" s="544">
        <v>0.63</v>
      </c>
      <c r="W5" s="542">
        <v>0.32</v>
      </c>
      <c r="X5" s="2912">
        <v>0.01</v>
      </c>
      <c r="Y5" s="2913"/>
      <c r="Z5" s="542">
        <v>0.69</v>
      </c>
      <c r="AA5" s="542" t="s">
        <v>1431</v>
      </c>
      <c r="AB5" s="539" t="s">
        <v>1432</v>
      </c>
      <c r="AC5" s="539" t="s">
        <v>1433</v>
      </c>
      <c r="AD5" s="542" t="s">
        <v>533</v>
      </c>
      <c r="AE5" s="543"/>
    </row>
    <row r="6" spans="1:31" ht="29" hidden="1" x14ac:dyDescent="0.35">
      <c r="A6" s="530" t="s">
        <v>810</v>
      </c>
      <c r="B6" s="530" t="s">
        <v>1435</v>
      </c>
      <c r="C6" s="531">
        <v>0.72</v>
      </c>
      <c r="D6" s="531">
        <v>0.76</v>
      </c>
      <c r="E6" s="531">
        <v>0.56000000000000005</v>
      </c>
      <c r="F6" s="532">
        <v>0.61</v>
      </c>
      <c r="G6" s="540">
        <v>0.56000000000000005</v>
      </c>
      <c r="H6" s="540">
        <f>1-J6</f>
        <v>0.36</v>
      </c>
      <c r="I6" s="540">
        <v>0</v>
      </c>
      <c r="J6" s="540">
        <v>0.64</v>
      </c>
      <c r="K6" s="540">
        <v>0.33</v>
      </c>
      <c r="L6" s="540" t="s">
        <v>1436</v>
      </c>
      <c r="M6" s="540">
        <v>0.67</v>
      </c>
      <c r="N6" s="541" t="s">
        <v>1437</v>
      </c>
      <c r="O6" s="540">
        <f t="shared" ref="O6:P8" si="0">H6</f>
        <v>0.36</v>
      </c>
      <c r="P6" s="540">
        <f t="shared" si="0"/>
        <v>0</v>
      </c>
      <c r="Q6" s="540">
        <v>0</v>
      </c>
      <c r="R6" s="540">
        <f t="shared" ref="R6:R7" si="1">1-O6+P6+Q6</f>
        <v>0.64</v>
      </c>
      <c r="S6" s="544">
        <v>0.33</v>
      </c>
      <c r="T6" s="2915">
        <v>5.0000000000000001E-3</v>
      </c>
      <c r="U6" s="2915"/>
      <c r="V6" s="545">
        <v>0.67500000000000004</v>
      </c>
      <c r="W6" s="542">
        <v>0.42</v>
      </c>
      <c r="X6" s="546">
        <v>0</v>
      </c>
      <c r="Y6" s="546"/>
      <c r="Z6" s="542">
        <v>0.57999999999999996</v>
      </c>
      <c r="AA6" s="542" t="s">
        <v>1431</v>
      </c>
      <c r="AB6" s="547" t="s">
        <v>1438</v>
      </c>
      <c r="AC6" s="539" t="s">
        <v>1439</v>
      </c>
      <c r="AD6" s="542" t="s">
        <v>533</v>
      </c>
      <c r="AE6" s="543"/>
    </row>
    <row r="7" spans="1:31" ht="29" hidden="1" x14ac:dyDescent="0.35">
      <c r="A7" s="530" t="s">
        <v>810</v>
      </c>
      <c r="B7" s="530" t="s">
        <v>1440</v>
      </c>
      <c r="C7" s="531" t="s">
        <v>1271</v>
      </c>
      <c r="D7" s="531" t="s">
        <v>1271</v>
      </c>
      <c r="E7" s="531" t="s">
        <v>1271</v>
      </c>
      <c r="F7" s="532">
        <v>0.43</v>
      </c>
      <c r="G7" s="540">
        <v>0.56000000000000005</v>
      </c>
      <c r="H7" s="540">
        <f>1-J7</f>
        <v>0.52</v>
      </c>
      <c r="I7" s="540">
        <v>0</v>
      </c>
      <c r="J7" s="540">
        <v>0.48</v>
      </c>
      <c r="K7" s="540" t="s">
        <v>1441</v>
      </c>
      <c r="L7" s="540" t="s">
        <v>1441</v>
      </c>
      <c r="M7" s="541" t="s">
        <v>1442</v>
      </c>
      <c r="N7" s="540"/>
      <c r="O7" s="540">
        <f t="shared" si="0"/>
        <v>0.52</v>
      </c>
      <c r="P7" s="540">
        <f t="shared" si="0"/>
        <v>0</v>
      </c>
      <c r="Q7" s="540">
        <v>0</v>
      </c>
      <c r="R7" s="540">
        <f t="shared" si="1"/>
        <v>0.48</v>
      </c>
      <c r="S7" s="544" t="s">
        <v>1443</v>
      </c>
      <c r="T7" s="545">
        <v>0</v>
      </c>
      <c r="U7" s="545">
        <v>0</v>
      </c>
      <c r="V7" s="544" t="s">
        <v>1442</v>
      </c>
      <c r="W7" s="542">
        <v>0.36</v>
      </c>
      <c r="X7" s="546">
        <v>0</v>
      </c>
      <c r="Y7" s="546"/>
      <c r="Z7" s="542">
        <v>0.64</v>
      </c>
      <c r="AA7" s="542" t="s">
        <v>1431</v>
      </c>
      <c r="AB7" s="547" t="s">
        <v>1444</v>
      </c>
      <c r="AC7" s="547" t="s">
        <v>1444</v>
      </c>
      <c r="AD7" s="546" t="s">
        <v>533</v>
      </c>
      <c r="AE7" s="543" t="s">
        <v>1445</v>
      </c>
    </row>
    <row r="8" spans="1:31" ht="29" hidden="1" x14ac:dyDescent="0.35">
      <c r="A8" s="530" t="s">
        <v>810</v>
      </c>
      <c r="B8" s="530" t="s">
        <v>1446</v>
      </c>
      <c r="C8" s="531" t="s">
        <v>1271</v>
      </c>
      <c r="D8" s="531" t="s">
        <v>1271</v>
      </c>
      <c r="E8" s="531" t="s">
        <v>1271</v>
      </c>
      <c r="F8" s="531">
        <v>0.67</v>
      </c>
      <c r="G8" s="540">
        <v>0.67</v>
      </c>
      <c r="H8" s="540">
        <v>0.33</v>
      </c>
      <c r="I8" s="540">
        <v>0.01</v>
      </c>
      <c r="J8" s="540">
        <v>0.68</v>
      </c>
      <c r="K8" s="541" t="s">
        <v>1447</v>
      </c>
      <c r="L8" s="540" t="s">
        <v>1436</v>
      </c>
      <c r="M8" s="541" t="s">
        <v>1448</v>
      </c>
      <c r="N8" s="540">
        <v>0.67</v>
      </c>
      <c r="O8" s="540">
        <f t="shared" si="0"/>
        <v>0.33</v>
      </c>
      <c r="P8" s="540">
        <f t="shared" si="0"/>
        <v>0.01</v>
      </c>
      <c r="Q8" s="540">
        <v>0</v>
      </c>
      <c r="R8" s="540">
        <f>1-O8+P8+Q8</f>
        <v>0.67999999999999994</v>
      </c>
      <c r="S8" s="544" t="s">
        <v>1447</v>
      </c>
      <c r="T8" s="545">
        <v>0.01</v>
      </c>
      <c r="U8" s="545"/>
      <c r="V8" s="544" t="s">
        <v>1449</v>
      </c>
      <c r="W8" s="542">
        <v>0.2</v>
      </c>
      <c r="X8" s="546">
        <v>0</v>
      </c>
      <c r="Y8" s="546"/>
      <c r="Z8" s="542">
        <v>0.8</v>
      </c>
      <c r="AA8" s="542" t="s">
        <v>1431</v>
      </c>
      <c r="AB8" s="547" t="s">
        <v>1444</v>
      </c>
      <c r="AC8" s="547" t="s">
        <v>1444</v>
      </c>
      <c r="AD8" s="546" t="s">
        <v>533</v>
      </c>
      <c r="AE8" s="543" t="s">
        <v>1445</v>
      </c>
    </row>
    <row r="9" spans="1:31" hidden="1" x14ac:dyDescent="0.35">
      <c r="A9" s="530" t="s">
        <v>810</v>
      </c>
      <c r="B9" s="530" t="s">
        <v>1450</v>
      </c>
      <c r="C9" s="531">
        <v>0.8</v>
      </c>
      <c r="D9" s="531">
        <v>0.92</v>
      </c>
      <c r="E9" s="531">
        <v>0.71</v>
      </c>
      <c r="F9" s="531">
        <v>1.038</v>
      </c>
      <c r="G9" s="540">
        <v>0.71</v>
      </c>
      <c r="H9" s="540" t="s">
        <v>1441</v>
      </c>
      <c r="I9" s="540" t="s">
        <v>1441</v>
      </c>
      <c r="J9" s="540" t="s">
        <v>1441</v>
      </c>
      <c r="K9" s="540">
        <v>0.09</v>
      </c>
      <c r="L9" s="540">
        <v>0.04</v>
      </c>
      <c r="M9" s="537">
        <v>0.95</v>
      </c>
      <c r="N9" s="540">
        <v>1.04</v>
      </c>
      <c r="O9" s="540">
        <v>0.1</v>
      </c>
      <c r="P9" s="540">
        <v>0.13600000000000001</v>
      </c>
      <c r="Q9" s="540">
        <v>0</v>
      </c>
      <c r="R9" s="540">
        <f>1-O9+P9+Q9</f>
        <v>1.036</v>
      </c>
      <c r="S9" s="544">
        <v>0.09</v>
      </c>
      <c r="T9" s="545">
        <v>0.04</v>
      </c>
      <c r="U9" s="545"/>
      <c r="V9" s="546">
        <v>0.95</v>
      </c>
      <c r="W9" s="540">
        <v>0.09</v>
      </c>
      <c r="X9" s="545">
        <v>0.04</v>
      </c>
      <c r="Y9" s="545"/>
      <c r="Z9" s="540">
        <v>0.95</v>
      </c>
      <c r="AA9" s="540" t="s">
        <v>1431</v>
      </c>
      <c r="AB9" s="543" t="s">
        <v>1451</v>
      </c>
      <c r="AC9" s="543" t="s">
        <v>1451</v>
      </c>
      <c r="AD9" s="540" t="s">
        <v>534</v>
      </c>
      <c r="AE9" s="548"/>
    </row>
    <row r="10" spans="1:31" hidden="1" x14ac:dyDescent="0.35">
      <c r="A10" s="530" t="s">
        <v>810</v>
      </c>
      <c r="B10" s="530" t="s">
        <v>1452</v>
      </c>
      <c r="C10" s="531" t="s">
        <v>1271</v>
      </c>
      <c r="D10" s="531">
        <v>0.59</v>
      </c>
      <c r="E10" s="531">
        <v>0.65</v>
      </c>
      <c r="F10" s="540">
        <v>0.56999999999999995</v>
      </c>
      <c r="G10" s="540">
        <v>0.65</v>
      </c>
      <c r="H10" s="540" t="s">
        <v>1441</v>
      </c>
      <c r="I10" s="540" t="s">
        <v>1441</v>
      </c>
      <c r="J10" s="540" t="s">
        <v>1441</v>
      </c>
      <c r="K10" s="2911">
        <v>0.2</v>
      </c>
      <c r="L10" s="2911">
        <v>0</v>
      </c>
      <c r="M10" s="2911">
        <v>0.8</v>
      </c>
      <c r="N10" s="540">
        <v>0.52</v>
      </c>
      <c r="O10" s="540">
        <f>1-0.54</f>
        <v>0.45999999999999996</v>
      </c>
      <c r="P10" s="2911">
        <v>0.05</v>
      </c>
      <c r="Q10" s="2911"/>
      <c r="R10" s="540" t="s">
        <v>1453</v>
      </c>
      <c r="S10" s="2916">
        <v>0.2</v>
      </c>
      <c r="T10" s="2911">
        <v>0</v>
      </c>
      <c r="U10" s="2911"/>
      <c r="V10" s="2911">
        <v>0.8</v>
      </c>
      <c r="W10" s="2920">
        <v>0.23</v>
      </c>
      <c r="X10" s="2925">
        <v>0</v>
      </c>
      <c r="Y10" s="2925"/>
      <c r="Z10" s="2920">
        <v>0.77</v>
      </c>
      <c r="AA10" s="2920" t="s">
        <v>1431</v>
      </c>
      <c r="AB10" s="2917" t="s">
        <v>1454</v>
      </c>
      <c r="AC10" s="2917" t="s">
        <v>1455</v>
      </c>
      <c r="AD10" s="2920" t="s">
        <v>533</v>
      </c>
      <c r="AE10" s="2923"/>
    </row>
    <row r="11" spans="1:31" hidden="1" x14ac:dyDescent="0.35">
      <c r="A11" s="530" t="s">
        <v>810</v>
      </c>
      <c r="B11" s="530" t="s">
        <v>1456</v>
      </c>
      <c r="C11" s="531" t="s">
        <v>1271</v>
      </c>
      <c r="D11" s="531" t="s">
        <v>1271</v>
      </c>
      <c r="E11" s="531" t="s">
        <v>1271</v>
      </c>
      <c r="F11" s="540">
        <v>0.54</v>
      </c>
      <c r="G11" s="540" t="s">
        <v>1271</v>
      </c>
      <c r="H11" s="540" t="s">
        <v>1441</v>
      </c>
      <c r="I11" s="540" t="s">
        <v>1441</v>
      </c>
      <c r="J11" s="540" t="s">
        <v>1441</v>
      </c>
      <c r="K11" s="2911"/>
      <c r="L11" s="2911"/>
      <c r="M11" s="2911"/>
      <c r="N11" s="540"/>
      <c r="O11" s="540">
        <f>1-0.54</f>
        <v>0.45999999999999996</v>
      </c>
      <c r="P11" s="2911"/>
      <c r="Q11" s="2911"/>
      <c r="R11" s="540" t="s">
        <v>1453</v>
      </c>
      <c r="S11" s="2916"/>
      <c r="T11" s="2911"/>
      <c r="U11" s="2911"/>
      <c r="V11" s="2911"/>
      <c r="W11" s="2921"/>
      <c r="X11" s="2926"/>
      <c r="Y11" s="2926"/>
      <c r="Z11" s="2921"/>
      <c r="AA11" s="2921"/>
      <c r="AB11" s="2918"/>
      <c r="AC11" s="2918"/>
      <c r="AD11" s="2921"/>
      <c r="AE11" s="2923"/>
    </row>
    <row r="12" spans="1:31" hidden="1" x14ac:dyDescent="0.35">
      <c r="A12" s="530" t="s">
        <v>1457</v>
      </c>
      <c r="B12" s="530" t="s">
        <v>1458</v>
      </c>
      <c r="C12" s="531" t="s">
        <v>1271</v>
      </c>
      <c r="D12" s="531" t="s">
        <v>1271</v>
      </c>
      <c r="E12" s="531" t="s">
        <v>1271</v>
      </c>
      <c r="F12" s="540">
        <v>0.59</v>
      </c>
      <c r="G12" s="540" t="s">
        <v>1271</v>
      </c>
      <c r="H12" s="540" t="s">
        <v>1441</v>
      </c>
      <c r="I12" s="540" t="s">
        <v>1441</v>
      </c>
      <c r="J12" s="540" t="s">
        <v>1441</v>
      </c>
      <c r="K12" s="2911"/>
      <c r="L12" s="2911"/>
      <c r="M12" s="2911"/>
      <c r="N12" s="540"/>
      <c r="O12" s="540">
        <f>1-0.59</f>
        <v>0.41000000000000003</v>
      </c>
      <c r="P12" s="2911"/>
      <c r="Q12" s="2911"/>
      <c r="R12" s="540" t="s">
        <v>1459</v>
      </c>
      <c r="S12" s="2916"/>
      <c r="T12" s="2911"/>
      <c r="U12" s="2911"/>
      <c r="V12" s="2911"/>
      <c r="W12" s="2922"/>
      <c r="X12" s="2927"/>
      <c r="Y12" s="2927"/>
      <c r="Z12" s="2922"/>
      <c r="AA12" s="2922"/>
      <c r="AB12" s="2919"/>
      <c r="AC12" s="2919"/>
      <c r="AD12" s="2922"/>
      <c r="AE12" s="2923"/>
    </row>
    <row r="13" spans="1:31" hidden="1" x14ac:dyDescent="0.35">
      <c r="A13" s="530" t="s">
        <v>810</v>
      </c>
      <c r="B13" s="530" t="s">
        <v>1460</v>
      </c>
      <c r="C13" s="531" t="s">
        <v>1271</v>
      </c>
      <c r="D13" s="531" t="s">
        <v>1271</v>
      </c>
      <c r="E13" s="531">
        <v>0.74</v>
      </c>
      <c r="F13" s="531">
        <v>0.63</v>
      </c>
      <c r="G13" s="540">
        <v>0.74</v>
      </c>
      <c r="H13" s="540">
        <v>0.42</v>
      </c>
      <c r="I13" s="540">
        <v>0.05</v>
      </c>
      <c r="J13" s="540">
        <v>0.63</v>
      </c>
      <c r="K13" s="540" t="s">
        <v>1461</v>
      </c>
      <c r="L13" s="540" t="s">
        <v>1461</v>
      </c>
      <c r="M13" s="540" t="s">
        <v>1461</v>
      </c>
      <c r="N13" s="540">
        <v>0.63</v>
      </c>
      <c r="O13" s="540"/>
      <c r="P13" s="540"/>
      <c r="Q13" s="540"/>
      <c r="R13" s="540"/>
      <c r="S13" s="549"/>
      <c r="T13" s="540"/>
      <c r="U13" s="533"/>
      <c r="V13" s="540"/>
      <c r="W13" s="540"/>
      <c r="X13" s="545"/>
      <c r="Y13" s="545"/>
      <c r="Z13" s="540"/>
      <c r="AA13" s="540"/>
      <c r="AB13" s="543"/>
      <c r="AC13" s="543"/>
      <c r="AD13" s="550" t="s">
        <v>1428</v>
      </c>
      <c r="AE13" s="533"/>
    </row>
    <row r="14" spans="1:31" hidden="1" x14ac:dyDescent="0.35">
      <c r="A14" s="530" t="s">
        <v>810</v>
      </c>
      <c r="B14" s="530" t="s">
        <v>1462</v>
      </c>
      <c r="C14" s="531"/>
      <c r="D14" s="531"/>
      <c r="E14" s="531"/>
      <c r="F14" s="531"/>
      <c r="G14" s="540"/>
      <c r="H14" s="540">
        <v>0.41</v>
      </c>
      <c r="I14" s="540">
        <v>7.0000000000000007E-2</v>
      </c>
      <c r="J14" s="540">
        <v>0.66</v>
      </c>
      <c r="K14" s="540">
        <v>0.39</v>
      </c>
      <c r="L14" s="540">
        <v>7.0000000000000007E-2</v>
      </c>
      <c r="M14" s="540">
        <v>0.68</v>
      </c>
      <c r="N14" s="540"/>
      <c r="O14" s="540">
        <f t="shared" ref="O14:P17" si="2">H14</f>
        <v>0.41</v>
      </c>
      <c r="P14" s="540">
        <f t="shared" si="2"/>
        <v>7.0000000000000007E-2</v>
      </c>
      <c r="Q14" s="540">
        <v>0</v>
      </c>
      <c r="R14" s="540">
        <v>0.64</v>
      </c>
      <c r="S14" s="551">
        <v>0.39</v>
      </c>
      <c r="T14" s="551">
        <v>7.0000000000000007E-2</v>
      </c>
      <c r="U14" s="549"/>
      <c r="V14" s="540">
        <v>0.68</v>
      </c>
      <c r="W14" s="540">
        <v>0.46</v>
      </c>
      <c r="X14" s="545">
        <v>0.1</v>
      </c>
      <c r="Y14" s="545"/>
      <c r="Z14" s="540">
        <v>0.64</v>
      </c>
      <c r="AA14" s="540" t="s">
        <v>1431</v>
      </c>
      <c r="AB14" s="543" t="s">
        <v>1463</v>
      </c>
      <c r="AC14" s="543" t="s">
        <v>1463</v>
      </c>
      <c r="AD14" s="545" t="s">
        <v>533</v>
      </c>
      <c r="AE14" s="533"/>
    </row>
    <row r="15" spans="1:31" hidden="1" x14ac:dyDescent="0.35">
      <c r="A15" s="530" t="s">
        <v>810</v>
      </c>
      <c r="B15" s="552" t="s">
        <v>1464</v>
      </c>
      <c r="C15" s="545"/>
      <c r="D15" s="545"/>
      <c r="E15" s="545"/>
      <c r="F15" s="545"/>
      <c r="G15" s="545"/>
      <c r="H15" s="545">
        <v>0.38</v>
      </c>
      <c r="I15" s="545">
        <v>0.08</v>
      </c>
      <c r="J15" s="545">
        <v>0.7</v>
      </c>
      <c r="K15" s="545">
        <v>0.3</v>
      </c>
      <c r="L15" s="545">
        <v>7.0000000000000007E-2</v>
      </c>
      <c r="M15" s="545">
        <v>0.77</v>
      </c>
      <c r="N15" s="545"/>
      <c r="O15" s="545">
        <f t="shared" si="2"/>
        <v>0.38</v>
      </c>
      <c r="P15" s="545">
        <f t="shared" si="2"/>
        <v>0.08</v>
      </c>
      <c r="Q15" s="545">
        <v>0</v>
      </c>
      <c r="R15" s="545">
        <f>1-O15+P15+Q15</f>
        <v>0.7</v>
      </c>
      <c r="S15" s="553">
        <v>0.3</v>
      </c>
      <c r="T15" s="554">
        <v>7.0000000000000007E-2</v>
      </c>
      <c r="U15" s="555"/>
      <c r="V15" s="545">
        <v>0.77</v>
      </c>
      <c r="W15" s="540">
        <v>0.32</v>
      </c>
      <c r="X15" s="545">
        <v>0.1</v>
      </c>
      <c r="Y15" s="545"/>
      <c r="Z15" s="540">
        <v>0.78</v>
      </c>
      <c r="AA15" s="540" t="s">
        <v>1431</v>
      </c>
      <c r="AB15" s="543" t="s">
        <v>1463</v>
      </c>
      <c r="AC15" s="543" t="s">
        <v>1463</v>
      </c>
      <c r="AD15" s="545" t="s">
        <v>533</v>
      </c>
      <c r="AE15" s="533"/>
    </row>
    <row r="16" spans="1:31" hidden="1" x14ac:dyDescent="0.35">
      <c r="A16" s="530" t="s">
        <v>810</v>
      </c>
      <c r="B16" s="552" t="s">
        <v>1465</v>
      </c>
      <c r="C16" s="545"/>
      <c r="D16" s="545"/>
      <c r="E16" s="545"/>
      <c r="F16" s="545"/>
      <c r="G16" s="545"/>
      <c r="H16" s="545">
        <v>0.47</v>
      </c>
      <c r="I16" s="545">
        <v>0.03</v>
      </c>
      <c r="J16" s="545">
        <v>0.56000000000000005</v>
      </c>
      <c r="K16" s="545">
        <v>0.45</v>
      </c>
      <c r="L16" s="545">
        <v>7.0000000000000007E-2</v>
      </c>
      <c r="M16" s="545">
        <v>0.61</v>
      </c>
      <c r="N16" s="545"/>
      <c r="O16" s="545">
        <f t="shared" si="2"/>
        <v>0.47</v>
      </c>
      <c r="P16" s="545">
        <f t="shared" si="2"/>
        <v>0.03</v>
      </c>
      <c r="Q16" s="545">
        <v>0</v>
      </c>
      <c r="R16" s="545">
        <f>1-O16+P16+Q16</f>
        <v>0.56000000000000005</v>
      </c>
      <c r="S16" s="554">
        <v>0.45</v>
      </c>
      <c r="T16" s="554">
        <v>7.0000000000000007E-2</v>
      </c>
      <c r="U16" s="555"/>
      <c r="V16" s="545">
        <v>0.61</v>
      </c>
      <c r="W16" s="540">
        <v>0.35</v>
      </c>
      <c r="X16" s="545">
        <v>0.1</v>
      </c>
      <c r="Y16" s="545"/>
      <c r="Z16" s="540">
        <v>0.75</v>
      </c>
      <c r="AA16" s="540" t="s">
        <v>1431</v>
      </c>
      <c r="AB16" s="543" t="s">
        <v>1463</v>
      </c>
      <c r="AC16" s="543" t="s">
        <v>1463</v>
      </c>
      <c r="AD16" s="545" t="s">
        <v>533</v>
      </c>
      <c r="AE16" s="533"/>
    </row>
    <row r="17" spans="1:31" hidden="1" x14ac:dyDescent="0.35">
      <c r="A17" s="530" t="s">
        <v>810</v>
      </c>
      <c r="B17" s="552" t="s">
        <v>1466</v>
      </c>
      <c r="C17" s="545"/>
      <c r="D17" s="545"/>
      <c r="E17" s="545"/>
      <c r="F17" s="545"/>
      <c r="G17" s="545"/>
      <c r="H17" s="545">
        <v>0.4</v>
      </c>
      <c r="I17" s="545">
        <v>7.0000000000000007E-2</v>
      </c>
      <c r="J17" s="545">
        <v>0.67</v>
      </c>
      <c r="K17" s="545">
        <v>0.62</v>
      </c>
      <c r="L17" s="545">
        <v>7.0000000000000007E-2</v>
      </c>
      <c r="M17" s="545">
        <v>0.68</v>
      </c>
      <c r="N17" s="545"/>
      <c r="O17" s="545">
        <f t="shared" si="2"/>
        <v>0.4</v>
      </c>
      <c r="P17" s="545">
        <f t="shared" si="2"/>
        <v>7.0000000000000007E-2</v>
      </c>
      <c r="Q17" s="545">
        <v>0</v>
      </c>
      <c r="R17" s="545">
        <f>1-O17+P17+Q17</f>
        <v>0.66999999999999993</v>
      </c>
      <c r="S17" s="553">
        <v>0.4</v>
      </c>
      <c r="T17" s="554">
        <v>7.0000000000000007E-2</v>
      </c>
      <c r="U17" s="544"/>
      <c r="V17" s="545">
        <v>0.77</v>
      </c>
      <c r="W17" s="540">
        <v>0.32</v>
      </c>
      <c r="X17" s="545">
        <v>0.1</v>
      </c>
      <c r="Y17" s="545"/>
      <c r="Z17" s="540">
        <v>0.78</v>
      </c>
      <c r="AA17" s="540" t="s">
        <v>1431</v>
      </c>
      <c r="AB17" s="543" t="s">
        <v>1463</v>
      </c>
      <c r="AC17" s="543" t="s">
        <v>1463</v>
      </c>
      <c r="AD17" s="545" t="s">
        <v>533</v>
      </c>
      <c r="AE17" s="533"/>
    </row>
    <row r="18" spans="1:31" hidden="1" x14ac:dyDescent="0.35">
      <c r="A18" s="552" t="s">
        <v>810</v>
      </c>
      <c r="B18" s="552" t="s">
        <v>1467</v>
      </c>
      <c r="C18" s="545"/>
      <c r="D18" s="545"/>
      <c r="E18" s="545"/>
      <c r="F18" s="545"/>
      <c r="G18" s="545"/>
      <c r="H18" s="545"/>
      <c r="I18" s="545"/>
      <c r="J18" s="545"/>
      <c r="K18" s="545"/>
      <c r="L18" s="545"/>
      <c r="M18" s="545"/>
      <c r="N18" s="545"/>
      <c r="O18" s="545"/>
      <c r="P18" s="545"/>
      <c r="Q18" s="545"/>
      <c r="R18" s="545"/>
      <c r="S18" s="553"/>
      <c r="T18" s="554"/>
      <c r="U18" s="544"/>
      <c r="V18" s="545"/>
      <c r="W18" s="545"/>
      <c r="X18" s="545"/>
      <c r="Y18" s="545"/>
      <c r="Z18" s="545">
        <v>1</v>
      </c>
      <c r="AA18" s="545" t="s">
        <v>1468</v>
      </c>
      <c r="AB18" s="556" t="s">
        <v>1469</v>
      </c>
      <c r="AC18" s="556"/>
      <c r="AD18" s="546" t="s">
        <v>1271</v>
      </c>
      <c r="AE18" s="547" t="s">
        <v>1470</v>
      </c>
    </row>
    <row r="19" spans="1:31" hidden="1" x14ac:dyDescent="0.35">
      <c r="A19" s="557" t="s">
        <v>1457</v>
      </c>
      <c r="B19" s="557" t="s">
        <v>1471</v>
      </c>
      <c r="C19" s="546"/>
      <c r="D19" s="546"/>
      <c r="E19" s="546"/>
      <c r="F19" s="546"/>
      <c r="G19" s="546"/>
      <c r="H19" s="546"/>
      <c r="I19" s="546"/>
      <c r="J19" s="546"/>
      <c r="K19" s="546"/>
      <c r="L19" s="546"/>
      <c r="M19" s="546"/>
      <c r="N19" s="546"/>
      <c r="O19" s="546"/>
      <c r="P19" s="546"/>
      <c r="Q19" s="546"/>
      <c r="R19" s="546"/>
      <c r="S19" s="555"/>
      <c r="T19" s="558"/>
      <c r="U19" s="558"/>
      <c r="V19" s="545"/>
      <c r="W19" s="546"/>
      <c r="X19" s="547"/>
      <c r="Y19" s="547"/>
      <c r="Z19" s="545">
        <v>1</v>
      </c>
      <c r="AA19" s="545" t="s">
        <v>1468</v>
      </c>
      <c r="AB19" s="556" t="s">
        <v>1469</v>
      </c>
      <c r="AC19" s="547"/>
      <c r="AD19" s="546" t="s">
        <v>1271</v>
      </c>
      <c r="AE19" s="547"/>
    </row>
    <row r="20" spans="1:31" hidden="1" x14ac:dyDescent="0.35">
      <c r="A20" s="530" t="s">
        <v>1472</v>
      </c>
      <c r="B20" s="530" t="s">
        <v>833</v>
      </c>
      <c r="C20" s="2911" t="s">
        <v>1473</v>
      </c>
      <c r="D20" s="2911"/>
      <c r="E20" s="2911"/>
      <c r="F20" s="2911"/>
      <c r="G20" s="2911"/>
      <c r="H20" s="2911"/>
      <c r="I20" s="2911"/>
      <c r="J20" s="2911"/>
      <c r="K20" s="2911"/>
      <c r="L20" s="2911"/>
      <c r="M20" s="2911"/>
      <c r="N20" s="2911"/>
      <c r="O20" s="2911"/>
      <c r="P20" s="2911"/>
      <c r="Q20" s="2911"/>
      <c r="R20" s="2911"/>
      <c r="S20" s="541">
        <v>0.33</v>
      </c>
      <c r="T20" s="2924">
        <v>5.0000000000000001E-3</v>
      </c>
      <c r="U20" s="2924"/>
      <c r="V20" s="540">
        <v>0.68</v>
      </c>
      <c r="W20" s="540"/>
      <c r="X20" s="540"/>
      <c r="Y20" s="540"/>
      <c r="Z20" s="540" t="s">
        <v>1474</v>
      </c>
      <c r="AA20" s="540" t="s">
        <v>1468</v>
      </c>
      <c r="AB20" s="539" t="s">
        <v>1475</v>
      </c>
      <c r="AC20" s="539"/>
      <c r="AD20" s="542" t="s">
        <v>534</v>
      </c>
      <c r="AE20" s="547" t="s">
        <v>1476</v>
      </c>
    </row>
    <row r="21" spans="1:31" hidden="1" x14ac:dyDescent="0.35">
      <c r="A21" s="530" t="s">
        <v>1472</v>
      </c>
      <c r="B21" s="530" t="s">
        <v>1477</v>
      </c>
      <c r="C21" s="2928" t="s">
        <v>1478</v>
      </c>
      <c r="D21" s="2928"/>
      <c r="E21" s="2928"/>
      <c r="F21" s="2928"/>
      <c r="G21" s="2928"/>
      <c r="H21" s="2928"/>
      <c r="I21" s="2928"/>
      <c r="J21" s="2928"/>
      <c r="K21" s="2928"/>
      <c r="L21" s="2928"/>
      <c r="M21" s="2928"/>
      <c r="N21" s="2928"/>
      <c r="O21" s="2928"/>
      <c r="P21" s="2928"/>
      <c r="Q21" s="2928"/>
      <c r="R21" s="2928"/>
      <c r="S21" s="544">
        <v>0.33</v>
      </c>
      <c r="T21" s="2915">
        <v>5.0000000000000001E-3</v>
      </c>
      <c r="U21" s="2915"/>
      <c r="V21" s="545">
        <v>0.68</v>
      </c>
      <c r="W21" s="540">
        <v>0.42</v>
      </c>
      <c r="X21" s="545">
        <v>0</v>
      </c>
      <c r="Y21" s="545"/>
      <c r="Z21" s="540">
        <v>0.57999999999999996</v>
      </c>
      <c r="AA21" s="540" t="s">
        <v>1468</v>
      </c>
      <c r="AB21" s="547" t="s">
        <v>1479</v>
      </c>
      <c r="AC21" s="547" t="s">
        <v>1479</v>
      </c>
      <c r="AD21" s="542" t="s">
        <v>534</v>
      </c>
      <c r="AE21" s="543"/>
    </row>
    <row r="22" spans="1:31" hidden="1" x14ac:dyDescent="0.35">
      <c r="A22" s="559" t="s">
        <v>78</v>
      </c>
      <c r="B22" s="559" t="s">
        <v>1480</v>
      </c>
      <c r="C22" s="540">
        <v>0.73</v>
      </c>
      <c r="D22" s="540">
        <v>0.75</v>
      </c>
      <c r="E22" s="540">
        <v>0.68</v>
      </c>
      <c r="F22" s="560" t="s">
        <v>1271</v>
      </c>
      <c r="G22" s="540"/>
      <c r="H22" s="540"/>
      <c r="I22" s="540"/>
      <c r="J22" s="540"/>
      <c r="K22" s="540"/>
      <c r="L22" s="540"/>
      <c r="M22" s="540"/>
      <c r="N22" s="540"/>
      <c r="O22" s="540"/>
      <c r="P22" s="540"/>
      <c r="Q22" s="540"/>
      <c r="R22" s="540"/>
      <c r="S22" s="541"/>
      <c r="T22" s="540"/>
      <c r="U22" s="540"/>
      <c r="V22" s="540"/>
      <c r="W22" s="541">
        <v>0.49</v>
      </c>
      <c r="X22" s="541" t="s">
        <v>1436</v>
      </c>
      <c r="Y22" s="541"/>
      <c r="Z22" s="541">
        <v>0.51</v>
      </c>
      <c r="AA22" s="540" t="s">
        <v>1431</v>
      </c>
      <c r="AB22" s="561" t="s">
        <v>1481</v>
      </c>
      <c r="AC22" s="561" t="s">
        <v>1482</v>
      </c>
      <c r="AD22" s="562" t="s">
        <v>533</v>
      </c>
      <c r="AE22" s="533" t="s">
        <v>1483</v>
      </c>
    </row>
    <row r="23" spans="1:31" hidden="1" x14ac:dyDescent="0.35">
      <c r="A23" s="559" t="s">
        <v>78</v>
      </c>
      <c r="B23" s="559" t="s">
        <v>1484</v>
      </c>
      <c r="C23" s="540"/>
      <c r="D23" s="540"/>
      <c r="E23" s="540"/>
      <c r="F23" s="560"/>
      <c r="G23" s="540"/>
      <c r="H23" s="540"/>
      <c r="I23" s="540"/>
      <c r="J23" s="540"/>
      <c r="K23" s="540"/>
      <c r="L23" s="540"/>
      <c r="M23" s="540"/>
      <c r="N23" s="540"/>
      <c r="O23" s="540"/>
      <c r="P23" s="540"/>
      <c r="Q23" s="540"/>
      <c r="R23" s="540"/>
      <c r="S23" s="541"/>
      <c r="T23" s="540"/>
      <c r="U23" s="540"/>
      <c r="V23" s="540"/>
      <c r="W23" s="541">
        <v>0.42</v>
      </c>
      <c r="X23" s="541" t="s">
        <v>1436</v>
      </c>
      <c r="Y23" s="541"/>
      <c r="Z23" s="541">
        <v>0.57999999999999996</v>
      </c>
      <c r="AA23" s="540" t="s">
        <v>1431</v>
      </c>
      <c r="AB23" s="561" t="s">
        <v>1481</v>
      </c>
      <c r="AC23" s="561" t="s">
        <v>1482</v>
      </c>
      <c r="AD23" s="562" t="s">
        <v>533</v>
      </c>
      <c r="AE23" s="533" t="s">
        <v>1483</v>
      </c>
    </row>
    <row r="24" spans="1:31" hidden="1" x14ac:dyDescent="0.35">
      <c r="A24" s="557" t="s">
        <v>78</v>
      </c>
      <c r="B24" s="557" t="s">
        <v>1485</v>
      </c>
      <c r="C24" s="545"/>
      <c r="D24" s="545"/>
      <c r="E24" s="545"/>
      <c r="F24" s="550"/>
      <c r="G24" s="545"/>
      <c r="H24" s="545"/>
      <c r="I24" s="545"/>
      <c r="J24" s="545"/>
      <c r="K24" s="545"/>
      <c r="L24" s="545"/>
      <c r="M24" s="545"/>
      <c r="N24" s="545"/>
      <c r="O24" s="545"/>
      <c r="P24" s="545"/>
      <c r="Q24" s="545"/>
      <c r="R24" s="545"/>
      <c r="S24" s="544"/>
      <c r="T24" s="545"/>
      <c r="U24" s="545"/>
      <c r="V24" s="545"/>
      <c r="W24" s="544">
        <v>0.5</v>
      </c>
      <c r="X24" s="544" t="s">
        <v>1436</v>
      </c>
      <c r="Y24" s="544"/>
      <c r="Z24" s="544">
        <v>0.5</v>
      </c>
      <c r="AA24" s="545" t="s">
        <v>1431</v>
      </c>
      <c r="AB24" s="563" t="s">
        <v>1481</v>
      </c>
      <c r="AC24" s="563" t="s">
        <v>1482</v>
      </c>
      <c r="AD24" s="564" t="s">
        <v>533</v>
      </c>
      <c r="AE24" s="558" t="s">
        <v>1486</v>
      </c>
    </row>
    <row r="25" spans="1:31" hidden="1" x14ac:dyDescent="0.35">
      <c r="A25" s="557" t="s">
        <v>78</v>
      </c>
      <c r="B25" s="557" t="s">
        <v>1487</v>
      </c>
      <c r="C25" s="545"/>
      <c r="D25" s="545"/>
      <c r="E25" s="545"/>
      <c r="F25" s="550">
        <v>0.77</v>
      </c>
      <c r="G25" s="545">
        <v>0.67</v>
      </c>
      <c r="H25" s="545">
        <v>0.44</v>
      </c>
      <c r="I25" s="545">
        <v>0</v>
      </c>
      <c r="J25" s="545">
        <v>0.56000000000000005</v>
      </c>
      <c r="K25" s="545">
        <v>0.47</v>
      </c>
      <c r="L25" s="545" t="s">
        <v>1436</v>
      </c>
      <c r="M25" s="545">
        <v>0.53</v>
      </c>
      <c r="N25" s="545">
        <v>0.73</v>
      </c>
      <c r="O25" s="545"/>
      <c r="P25" s="545"/>
      <c r="Q25" s="545"/>
      <c r="R25" s="545"/>
      <c r="S25" s="544">
        <v>0.47</v>
      </c>
      <c r="T25" s="545" t="s">
        <v>1436</v>
      </c>
      <c r="U25" s="545"/>
      <c r="V25" s="545">
        <v>0.53</v>
      </c>
      <c r="W25" s="544">
        <v>0.46</v>
      </c>
      <c r="X25" s="545" t="s">
        <v>1436</v>
      </c>
      <c r="Y25" s="544"/>
      <c r="Z25" s="544">
        <v>0.54</v>
      </c>
      <c r="AA25" s="545" t="s">
        <v>1431</v>
      </c>
      <c r="AB25" s="563" t="s">
        <v>1481</v>
      </c>
      <c r="AC25" s="563" t="s">
        <v>1482</v>
      </c>
      <c r="AD25" s="545" t="s">
        <v>533</v>
      </c>
      <c r="AE25" s="558" t="s">
        <v>1486</v>
      </c>
    </row>
    <row r="26" spans="1:31" hidden="1" x14ac:dyDescent="0.35">
      <c r="A26" s="557" t="s">
        <v>78</v>
      </c>
      <c r="B26" s="557" t="s">
        <v>1488</v>
      </c>
      <c r="C26" s="545"/>
      <c r="D26" s="545"/>
      <c r="E26" s="545"/>
      <c r="F26" s="550">
        <v>0.77</v>
      </c>
      <c r="G26" s="545">
        <v>0.75</v>
      </c>
      <c r="H26" s="545">
        <v>0.48</v>
      </c>
      <c r="I26" s="545">
        <v>0</v>
      </c>
      <c r="J26" s="545">
        <v>0.52</v>
      </c>
      <c r="K26" s="545">
        <v>0.43</v>
      </c>
      <c r="L26" s="545" t="s">
        <v>1436</v>
      </c>
      <c r="M26" s="545">
        <v>0.56999999999999995</v>
      </c>
      <c r="N26" s="545">
        <v>0.82</v>
      </c>
      <c r="O26" s="545"/>
      <c r="P26" s="545"/>
      <c r="Q26" s="545"/>
      <c r="R26" s="545"/>
      <c r="S26" s="544">
        <v>0.43</v>
      </c>
      <c r="T26" s="545" t="s">
        <v>1436</v>
      </c>
      <c r="U26" s="545"/>
      <c r="V26" s="545">
        <v>0.56999999999999995</v>
      </c>
      <c r="W26" s="544">
        <v>0.4</v>
      </c>
      <c r="X26" s="545" t="s">
        <v>1436</v>
      </c>
      <c r="Y26" s="544"/>
      <c r="Z26" s="544">
        <v>0.6</v>
      </c>
      <c r="AA26" s="545" t="s">
        <v>1431</v>
      </c>
      <c r="AB26" s="563" t="s">
        <v>1481</v>
      </c>
      <c r="AC26" s="563" t="s">
        <v>1482</v>
      </c>
      <c r="AD26" s="545" t="s">
        <v>533</v>
      </c>
      <c r="AE26" s="558" t="s">
        <v>1486</v>
      </c>
    </row>
    <row r="27" spans="1:31" hidden="1" x14ac:dyDescent="0.35">
      <c r="A27" s="557" t="s">
        <v>78</v>
      </c>
      <c r="B27" s="557" t="s">
        <v>1489</v>
      </c>
      <c r="C27" s="545"/>
      <c r="D27" s="545"/>
      <c r="E27" s="545"/>
      <c r="F27" s="550">
        <v>0.57999999999999996</v>
      </c>
      <c r="G27" s="545">
        <v>0.7</v>
      </c>
      <c r="H27" s="545">
        <v>0.5</v>
      </c>
      <c r="I27" s="545">
        <v>0</v>
      </c>
      <c r="J27" s="545">
        <v>0.5</v>
      </c>
      <c r="K27" s="545">
        <v>0.5</v>
      </c>
      <c r="L27" s="545" t="s">
        <v>1436</v>
      </c>
      <c r="M27" s="545">
        <v>0.5</v>
      </c>
      <c r="N27" s="545">
        <v>0.72</v>
      </c>
      <c r="O27" s="545"/>
      <c r="P27" s="545"/>
      <c r="Q27" s="545"/>
      <c r="R27" s="545"/>
      <c r="S27" s="544">
        <v>0.5</v>
      </c>
      <c r="T27" s="545" t="s">
        <v>1436</v>
      </c>
      <c r="U27" s="545"/>
      <c r="V27" s="545">
        <v>0.5</v>
      </c>
      <c r="W27" s="544">
        <v>0.5</v>
      </c>
      <c r="X27" s="545" t="s">
        <v>1436</v>
      </c>
      <c r="Y27" s="544"/>
      <c r="Z27" s="544">
        <v>0.5</v>
      </c>
      <c r="AA27" s="545" t="s">
        <v>1431</v>
      </c>
      <c r="AB27" s="563" t="s">
        <v>1481</v>
      </c>
      <c r="AC27" s="563" t="s">
        <v>1482</v>
      </c>
      <c r="AD27" s="545" t="s">
        <v>533</v>
      </c>
      <c r="AE27" s="558" t="s">
        <v>1486</v>
      </c>
    </row>
    <row r="28" spans="1:31" hidden="1" x14ac:dyDescent="0.35">
      <c r="A28" s="559" t="s">
        <v>78</v>
      </c>
      <c r="B28" s="559" t="s">
        <v>1490</v>
      </c>
      <c r="C28" s="559"/>
      <c r="D28" s="559"/>
      <c r="E28" s="561"/>
      <c r="F28" s="561"/>
      <c r="G28" s="561"/>
      <c r="H28" s="561"/>
      <c r="I28" s="561"/>
      <c r="J28" s="561"/>
      <c r="K28" s="561"/>
      <c r="L28" s="561"/>
      <c r="M28" s="561"/>
      <c r="N28" s="561"/>
      <c r="O28" s="561"/>
      <c r="P28" s="561"/>
      <c r="Q28" s="561"/>
      <c r="R28" s="561"/>
      <c r="S28" s="541">
        <v>0.71</v>
      </c>
      <c r="T28" s="540" t="s">
        <v>1436</v>
      </c>
      <c r="U28" s="540"/>
      <c r="V28" s="565" t="s">
        <v>1491</v>
      </c>
      <c r="W28" s="541">
        <v>0.78</v>
      </c>
      <c r="X28" s="540" t="s">
        <v>1436</v>
      </c>
      <c r="Y28" s="541"/>
      <c r="Z28" s="541">
        <v>0.22</v>
      </c>
      <c r="AA28" s="540" t="s">
        <v>1431</v>
      </c>
      <c r="AB28" s="561" t="s">
        <v>1492</v>
      </c>
      <c r="AC28" s="561" t="s">
        <v>1482</v>
      </c>
      <c r="AD28" s="540" t="s">
        <v>533</v>
      </c>
      <c r="AE28" s="533" t="s">
        <v>1493</v>
      </c>
    </row>
    <row r="29" spans="1:31" hidden="1" x14ac:dyDescent="0.35">
      <c r="A29" s="559" t="s">
        <v>78</v>
      </c>
      <c r="B29" s="559" t="s">
        <v>1494</v>
      </c>
      <c r="C29" s="540"/>
      <c r="D29" s="540"/>
      <c r="E29" s="540"/>
      <c r="F29" s="560"/>
      <c r="G29" s="540"/>
      <c r="H29" s="540">
        <f t="shared" ref="H29:H32" si="3">1-J29</f>
        <v>0.20999999999999996</v>
      </c>
      <c r="I29" s="540">
        <v>0</v>
      </c>
      <c r="J29" s="540">
        <v>0.79</v>
      </c>
      <c r="K29" s="540">
        <v>0.23</v>
      </c>
      <c r="L29" s="540" t="s">
        <v>1436</v>
      </c>
      <c r="M29" s="540">
        <v>0.77</v>
      </c>
      <c r="N29" s="540"/>
      <c r="O29" s="540">
        <f>H29</f>
        <v>0.20999999999999996</v>
      </c>
      <c r="P29" s="540">
        <v>0</v>
      </c>
      <c r="Q29" s="540">
        <v>0</v>
      </c>
      <c r="R29" s="540">
        <f t="shared" ref="R29:R32" si="4">1-O29+P29+Q29</f>
        <v>0.79</v>
      </c>
      <c r="S29" s="541">
        <v>0.23</v>
      </c>
      <c r="T29" s="540" t="s">
        <v>1436</v>
      </c>
      <c r="U29" s="540"/>
      <c r="V29" s="540">
        <v>0.77</v>
      </c>
      <c r="W29" s="541">
        <v>0.38</v>
      </c>
      <c r="X29" s="540" t="s">
        <v>1436</v>
      </c>
      <c r="Y29" s="541"/>
      <c r="Z29" s="541">
        <v>0.62</v>
      </c>
      <c r="AA29" s="540" t="s">
        <v>1431</v>
      </c>
      <c r="AB29" s="561" t="s">
        <v>1481</v>
      </c>
      <c r="AC29" s="561" t="s">
        <v>1482</v>
      </c>
      <c r="AD29" s="540" t="s">
        <v>533</v>
      </c>
      <c r="AE29" s="533" t="s">
        <v>1486</v>
      </c>
    </row>
    <row r="30" spans="1:31" hidden="1" x14ac:dyDescent="0.35">
      <c r="A30" s="559" t="s">
        <v>78</v>
      </c>
      <c r="B30" s="559" t="s">
        <v>1495</v>
      </c>
      <c r="C30" s="559"/>
      <c r="D30" s="559"/>
      <c r="E30" s="561"/>
      <c r="F30" s="561"/>
      <c r="G30" s="561"/>
      <c r="H30" s="561"/>
      <c r="I30" s="561"/>
      <c r="J30" s="561"/>
      <c r="K30" s="561"/>
      <c r="L30" s="561"/>
      <c r="M30" s="561"/>
      <c r="N30" s="561"/>
      <c r="O30" s="561"/>
      <c r="P30" s="561"/>
      <c r="Q30" s="561"/>
      <c r="R30" s="561"/>
      <c r="S30" s="541">
        <v>0.7</v>
      </c>
      <c r="T30" s="540" t="s">
        <v>1436</v>
      </c>
      <c r="U30" s="540"/>
      <c r="V30" s="565" t="s">
        <v>1496</v>
      </c>
      <c r="W30" s="541">
        <v>0.75</v>
      </c>
      <c r="X30" s="540" t="s">
        <v>1436</v>
      </c>
      <c r="Y30" s="541"/>
      <c r="Z30" s="541">
        <v>0.25</v>
      </c>
      <c r="AA30" s="540" t="s">
        <v>1431</v>
      </c>
      <c r="AB30" s="561" t="s">
        <v>1492</v>
      </c>
      <c r="AC30" s="561" t="s">
        <v>1482</v>
      </c>
      <c r="AD30" s="540" t="s">
        <v>533</v>
      </c>
      <c r="AE30" s="533" t="s">
        <v>1493</v>
      </c>
    </row>
    <row r="31" spans="1:31" hidden="1" x14ac:dyDescent="0.35">
      <c r="A31" s="557" t="s">
        <v>78</v>
      </c>
      <c r="B31" s="557" t="s">
        <v>1497</v>
      </c>
      <c r="C31" s="545"/>
      <c r="D31" s="545"/>
      <c r="E31" s="545"/>
      <c r="F31" s="550"/>
      <c r="G31" s="545"/>
      <c r="H31" s="545">
        <f t="shared" si="3"/>
        <v>0.41000000000000003</v>
      </c>
      <c r="I31" s="545">
        <v>0</v>
      </c>
      <c r="J31" s="545">
        <v>0.59</v>
      </c>
      <c r="K31" s="545">
        <v>0.42</v>
      </c>
      <c r="L31" s="545" t="s">
        <v>1436</v>
      </c>
      <c r="M31" s="545">
        <v>0.57999999999999996</v>
      </c>
      <c r="N31" s="545"/>
      <c r="O31" s="545">
        <f>H31</f>
        <v>0.41000000000000003</v>
      </c>
      <c r="P31" s="545">
        <v>0</v>
      </c>
      <c r="Q31" s="545">
        <v>0</v>
      </c>
      <c r="R31" s="545">
        <f t="shared" si="4"/>
        <v>0.59</v>
      </c>
      <c r="S31" s="544">
        <v>0.42</v>
      </c>
      <c r="T31" s="545" t="s">
        <v>1436</v>
      </c>
      <c r="U31" s="545"/>
      <c r="V31" s="545">
        <v>0.57999999999999996</v>
      </c>
      <c r="W31" s="544">
        <v>0.37</v>
      </c>
      <c r="X31" s="545" t="s">
        <v>1436</v>
      </c>
      <c r="Y31" s="544"/>
      <c r="Z31" s="544">
        <v>0.63</v>
      </c>
      <c r="AA31" s="545" t="s">
        <v>1431</v>
      </c>
      <c r="AB31" s="563" t="s">
        <v>1481</v>
      </c>
      <c r="AC31" s="563" t="s">
        <v>1498</v>
      </c>
      <c r="AD31" s="545" t="s">
        <v>533</v>
      </c>
      <c r="AE31" s="558" t="s">
        <v>1486</v>
      </c>
    </row>
    <row r="32" spans="1:31" hidden="1" x14ac:dyDescent="0.35">
      <c r="A32" s="557" t="s">
        <v>78</v>
      </c>
      <c r="B32" s="557" t="s">
        <v>1499</v>
      </c>
      <c r="C32" s="545"/>
      <c r="D32" s="545"/>
      <c r="E32" s="545"/>
      <c r="F32" s="550"/>
      <c r="G32" s="545"/>
      <c r="H32" s="545">
        <f t="shared" si="3"/>
        <v>0.5</v>
      </c>
      <c r="I32" s="545">
        <v>0</v>
      </c>
      <c r="J32" s="545">
        <v>0.5</v>
      </c>
      <c r="K32" s="545">
        <v>0.5</v>
      </c>
      <c r="L32" s="545" t="s">
        <v>1436</v>
      </c>
      <c r="M32" s="545">
        <v>0.5</v>
      </c>
      <c r="N32" s="545"/>
      <c r="O32" s="545">
        <f>H32</f>
        <v>0.5</v>
      </c>
      <c r="P32" s="545">
        <v>0</v>
      </c>
      <c r="Q32" s="545">
        <v>0</v>
      </c>
      <c r="R32" s="545">
        <f t="shared" si="4"/>
        <v>0.5</v>
      </c>
      <c r="S32" s="544">
        <v>0.5</v>
      </c>
      <c r="T32" s="545" t="s">
        <v>1436</v>
      </c>
      <c r="U32" s="545"/>
      <c r="V32" s="545">
        <v>0.5</v>
      </c>
      <c r="W32" s="544">
        <v>0.5</v>
      </c>
      <c r="X32" s="545" t="s">
        <v>1436</v>
      </c>
      <c r="Y32" s="544"/>
      <c r="Z32" s="544">
        <v>0.5</v>
      </c>
      <c r="AA32" s="545" t="s">
        <v>1431</v>
      </c>
      <c r="AB32" s="563" t="s">
        <v>1481</v>
      </c>
      <c r="AC32" s="563" t="s">
        <v>1498</v>
      </c>
      <c r="AD32" s="545" t="s">
        <v>533</v>
      </c>
      <c r="AE32" s="558" t="s">
        <v>1486</v>
      </c>
    </row>
    <row r="33" spans="1:31" hidden="1" x14ac:dyDescent="0.35">
      <c r="A33" s="559" t="s">
        <v>78</v>
      </c>
      <c r="B33" s="559" t="s">
        <v>1500</v>
      </c>
      <c r="C33" s="531">
        <v>0.8</v>
      </c>
      <c r="D33" s="531">
        <v>0.8</v>
      </c>
      <c r="E33" s="531">
        <v>0.9</v>
      </c>
      <c r="F33" s="531">
        <v>0.98</v>
      </c>
      <c r="G33" s="540">
        <v>0.81</v>
      </c>
      <c r="H33" s="540" t="s">
        <v>1441</v>
      </c>
      <c r="I33" s="540" t="s">
        <v>1441</v>
      </c>
      <c r="J33" s="540" t="s">
        <v>1441</v>
      </c>
      <c r="K33" s="540" t="s">
        <v>1441</v>
      </c>
      <c r="L33" s="540" t="s">
        <v>1441</v>
      </c>
      <c r="M33" s="540" t="s">
        <v>1441</v>
      </c>
      <c r="N33" s="540"/>
      <c r="O33" s="540"/>
      <c r="P33" s="540"/>
      <c r="Q33" s="540"/>
      <c r="R33" s="540"/>
      <c r="S33" s="541">
        <v>0.02</v>
      </c>
      <c r="T33" s="540">
        <v>0</v>
      </c>
      <c r="U33" s="540">
        <v>0</v>
      </c>
      <c r="V33" s="540">
        <v>0.98</v>
      </c>
      <c r="W33" s="541">
        <v>0.02</v>
      </c>
      <c r="X33" s="541"/>
      <c r="Y33" s="541"/>
      <c r="Z33" s="541">
        <v>0.98</v>
      </c>
      <c r="AA33" s="540" t="s">
        <v>1431</v>
      </c>
      <c r="AB33" s="543" t="s">
        <v>1501</v>
      </c>
      <c r="AC33" s="543"/>
      <c r="AD33" s="545" t="s">
        <v>534</v>
      </c>
      <c r="AE33" s="566"/>
    </row>
    <row r="34" spans="1:31" hidden="1" x14ac:dyDescent="0.35">
      <c r="A34" s="559" t="s">
        <v>78</v>
      </c>
      <c r="B34" s="559" t="s">
        <v>1502</v>
      </c>
      <c r="C34" s="531" t="s">
        <v>1271</v>
      </c>
      <c r="D34" s="531" t="s">
        <v>1271</v>
      </c>
      <c r="E34" s="531" t="s">
        <v>1271</v>
      </c>
      <c r="F34" s="531">
        <v>0.94</v>
      </c>
      <c r="G34" s="540">
        <v>0.93</v>
      </c>
      <c r="H34" s="540" t="s">
        <v>1441</v>
      </c>
      <c r="I34" s="540" t="s">
        <v>1441</v>
      </c>
      <c r="J34" s="540" t="s">
        <v>1441</v>
      </c>
      <c r="K34" s="540" t="s">
        <v>1441</v>
      </c>
      <c r="L34" s="540" t="s">
        <v>1441</v>
      </c>
      <c r="M34" s="540" t="s">
        <v>1441</v>
      </c>
      <c r="N34" s="540"/>
      <c r="O34" s="540"/>
      <c r="P34" s="540"/>
      <c r="Q34" s="540"/>
      <c r="R34" s="541"/>
      <c r="S34" s="541" t="s">
        <v>1503</v>
      </c>
      <c r="T34" s="540">
        <v>0</v>
      </c>
      <c r="U34" s="540">
        <v>0</v>
      </c>
      <c r="V34" s="540"/>
      <c r="W34" s="540"/>
      <c r="X34" s="540"/>
      <c r="Y34" s="540"/>
      <c r="Z34" s="540"/>
      <c r="AA34" s="545" t="s">
        <v>1271</v>
      </c>
      <c r="AB34" s="543"/>
      <c r="AC34" s="543"/>
      <c r="AD34" s="550" t="s">
        <v>534</v>
      </c>
      <c r="AE34" s="566"/>
    </row>
    <row r="35" spans="1:31" hidden="1" x14ac:dyDescent="0.35">
      <c r="A35" s="559" t="s">
        <v>78</v>
      </c>
      <c r="B35" s="559" t="s">
        <v>1504</v>
      </c>
      <c r="C35" s="531"/>
      <c r="D35" s="531"/>
      <c r="E35" s="531"/>
      <c r="F35" s="531">
        <v>0.98</v>
      </c>
      <c r="G35" s="540">
        <v>0.81</v>
      </c>
      <c r="H35" s="540" t="s">
        <v>1441</v>
      </c>
      <c r="I35" s="540" t="s">
        <v>1441</v>
      </c>
      <c r="J35" s="540" t="s">
        <v>1441</v>
      </c>
      <c r="K35" s="540" t="s">
        <v>1441</v>
      </c>
      <c r="L35" s="540" t="s">
        <v>1441</v>
      </c>
      <c r="M35" s="540" t="s">
        <v>1441</v>
      </c>
      <c r="N35" s="540">
        <v>0.98</v>
      </c>
      <c r="O35" s="540">
        <f>1-R35</f>
        <v>2.0000000000000018E-2</v>
      </c>
      <c r="P35" s="540">
        <v>0</v>
      </c>
      <c r="Q35" s="540">
        <v>0</v>
      </c>
      <c r="R35" s="540">
        <v>0.98</v>
      </c>
      <c r="S35" s="541">
        <v>0.02</v>
      </c>
      <c r="T35" s="540">
        <v>0</v>
      </c>
      <c r="U35" s="540">
        <v>0</v>
      </c>
      <c r="V35" s="540">
        <v>0.98</v>
      </c>
      <c r="W35" s="541">
        <v>0.02</v>
      </c>
      <c r="X35" s="540">
        <v>0</v>
      </c>
      <c r="Y35" s="540">
        <v>0</v>
      </c>
      <c r="Z35" s="540">
        <v>0.98</v>
      </c>
      <c r="AA35" s="540" t="s">
        <v>1431</v>
      </c>
      <c r="AB35" s="556" t="s">
        <v>1505</v>
      </c>
      <c r="AC35" s="543"/>
      <c r="AD35" s="540" t="s">
        <v>534</v>
      </c>
      <c r="AE35" s="566"/>
    </row>
    <row r="36" spans="1:31" hidden="1" x14ac:dyDescent="0.35">
      <c r="A36" s="559" t="s">
        <v>78</v>
      </c>
      <c r="B36" s="559" t="s">
        <v>1506</v>
      </c>
      <c r="C36" s="531"/>
      <c r="D36" s="531"/>
      <c r="E36" s="531"/>
      <c r="F36" s="531">
        <v>0.92</v>
      </c>
      <c r="G36" s="540">
        <v>0.93</v>
      </c>
      <c r="H36" s="540" t="s">
        <v>1441</v>
      </c>
      <c r="I36" s="540" t="s">
        <v>1441</v>
      </c>
      <c r="J36" s="540" t="s">
        <v>1441</v>
      </c>
      <c r="K36" s="540" t="s">
        <v>1441</v>
      </c>
      <c r="L36" s="540" t="s">
        <v>1441</v>
      </c>
      <c r="M36" s="540" t="s">
        <v>1441</v>
      </c>
      <c r="N36" s="540">
        <v>0.92</v>
      </c>
      <c r="O36" s="540">
        <f t="shared" ref="O36:O38" si="5">1-R36</f>
        <v>7.999999999999996E-2</v>
      </c>
      <c r="P36" s="540">
        <v>0</v>
      </c>
      <c r="Q36" s="540">
        <v>0</v>
      </c>
      <c r="R36" s="540">
        <v>0.92</v>
      </c>
      <c r="S36" s="541">
        <v>0.08</v>
      </c>
      <c r="T36" s="540">
        <v>0</v>
      </c>
      <c r="U36" s="540">
        <v>0</v>
      </c>
      <c r="V36" s="540">
        <v>0.92</v>
      </c>
      <c r="W36" s="541">
        <v>0.08</v>
      </c>
      <c r="X36" s="540">
        <v>0</v>
      </c>
      <c r="Y36" s="540">
        <v>0</v>
      </c>
      <c r="Z36" s="540">
        <v>0.92</v>
      </c>
      <c r="AA36" s="540" t="s">
        <v>1431</v>
      </c>
      <c r="AB36" s="556" t="s">
        <v>1505</v>
      </c>
      <c r="AC36" s="543"/>
      <c r="AD36" s="540" t="s">
        <v>534</v>
      </c>
      <c r="AE36" s="566"/>
    </row>
    <row r="37" spans="1:31" hidden="1" x14ac:dyDescent="0.35">
      <c r="A37" s="559" t="s">
        <v>78</v>
      </c>
      <c r="B37" s="559" t="s">
        <v>1507</v>
      </c>
      <c r="C37" s="531"/>
      <c r="D37" s="531"/>
      <c r="E37" s="531"/>
      <c r="F37" s="531">
        <v>0.94</v>
      </c>
      <c r="G37" s="540">
        <v>0.93</v>
      </c>
      <c r="H37" s="540" t="s">
        <v>1441</v>
      </c>
      <c r="I37" s="540" t="s">
        <v>1441</v>
      </c>
      <c r="J37" s="540" t="s">
        <v>1441</v>
      </c>
      <c r="K37" s="540" t="s">
        <v>1441</v>
      </c>
      <c r="L37" s="540" t="s">
        <v>1441</v>
      </c>
      <c r="M37" s="540" t="s">
        <v>1441</v>
      </c>
      <c r="N37" s="540"/>
      <c r="O37" s="540">
        <f t="shared" si="5"/>
        <v>6.0000000000000053E-2</v>
      </c>
      <c r="P37" s="540">
        <v>0</v>
      </c>
      <c r="Q37" s="540">
        <v>0</v>
      </c>
      <c r="R37" s="540">
        <v>0.94</v>
      </c>
      <c r="S37" s="541">
        <v>0.06</v>
      </c>
      <c r="T37" s="540">
        <v>0</v>
      </c>
      <c r="U37" s="540">
        <v>0</v>
      </c>
      <c r="V37" s="545">
        <v>0.94</v>
      </c>
      <c r="W37" s="541">
        <v>0.06</v>
      </c>
      <c r="X37" s="540">
        <v>0</v>
      </c>
      <c r="Y37" s="540">
        <v>0</v>
      </c>
      <c r="Z37" s="545">
        <v>0.94</v>
      </c>
      <c r="AA37" s="540" t="s">
        <v>1431</v>
      </c>
      <c r="AB37" s="556" t="s">
        <v>1505</v>
      </c>
      <c r="AC37" s="543"/>
      <c r="AD37" s="540" t="s">
        <v>534</v>
      </c>
      <c r="AE37" s="566"/>
    </row>
    <row r="38" spans="1:31" hidden="1" x14ac:dyDescent="0.35">
      <c r="A38" s="559" t="s">
        <v>1137</v>
      </c>
      <c r="B38" s="559" t="s">
        <v>1508</v>
      </c>
      <c r="C38" s="531"/>
      <c r="D38" s="531"/>
      <c r="E38" s="531"/>
      <c r="F38" s="531">
        <v>1</v>
      </c>
      <c r="G38" s="540">
        <v>0.93</v>
      </c>
      <c r="H38" s="540" t="s">
        <v>1441</v>
      </c>
      <c r="I38" s="540" t="s">
        <v>1441</v>
      </c>
      <c r="J38" s="540" t="s">
        <v>1441</v>
      </c>
      <c r="K38" s="540" t="s">
        <v>1441</v>
      </c>
      <c r="L38" s="540" t="s">
        <v>1441</v>
      </c>
      <c r="M38" s="540" t="s">
        <v>1441</v>
      </c>
      <c r="N38" s="540"/>
      <c r="O38" s="540">
        <f t="shared" si="5"/>
        <v>0</v>
      </c>
      <c r="P38" s="540">
        <v>0</v>
      </c>
      <c r="Q38" s="540">
        <v>0</v>
      </c>
      <c r="R38" s="540">
        <v>1</v>
      </c>
      <c r="S38" s="541">
        <v>0</v>
      </c>
      <c r="T38" s="540">
        <v>0</v>
      </c>
      <c r="U38" s="540">
        <v>0</v>
      </c>
      <c r="V38" s="545">
        <v>1</v>
      </c>
      <c r="W38" s="541">
        <v>0</v>
      </c>
      <c r="X38" s="540">
        <v>0</v>
      </c>
      <c r="Y38" s="540">
        <v>0</v>
      </c>
      <c r="Z38" s="545">
        <v>1</v>
      </c>
      <c r="AA38" s="540" t="s">
        <v>1431</v>
      </c>
      <c r="AB38" s="556" t="s">
        <v>1505</v>
      </c>
      <c r="AC38" s="543"/>
      <c r="AD38" s="540" t="s">
        <v>534</v>
      </c>
      <c r="AE38" s="566"/>
    </row>
    <row r="39" spans="1:31" hidden="1" x14ac:dyDescent="0.35">
      <c r="A39" s="559" t="s">
        <v>1137</v>
      </c>
      <c r="B39" s="534" t="s">
        <v>1509</v>
      </c>
      <c r="C39" s="540"/>
      <c r="D39" s="540"/>
      <c r="E39" s="540"/>
      <c r="F39" s="540"/>
      <c r="G39" s="540"/>
      <c r="H39" s="540" t="s">
        <v>1441</v>
      </c>
      <c r="I39" s="540" t="s">
        <v>1441</v>
      </c>
      <c r="J39" s="540" t="s">
        <v>1441</v>
      </c>
      <c r="K39" s="540" t="s">
        <v>1441</v>
      </c>
      <c r="L39" s="540" t="s">
        <v>1441</v>
      </c>
      <c r="M39" s="540" t="s">
        <v>1441</v>
      </c>
      <c r="N39" s="540"/>
      <c r="O39" s="540"/>
      <c r="P39" s="540">
        <v>0</v>
      </c>
      <c r="Q39" s="540">
        <v>0</v>
      </c>
      <c r="R39" s="540">
        <v>0.95</v>
      </c>
      <c r="S39" s="541">
        <v>0.05</v>
      </c>
      <c r="T39" s="540">
        <v>0</v>
      </c>
      <c r="U39" s="540">
        <v>0</v>
      </c>
      <c r="V39" s="545">
        <v>0.95</v>
      </c>
      <c r="W39" s="541">
        <v>0.05</v>
      </c>
      <c r="X39" s="540">
        <v>0</v>
      </c>
      <c r="Y39" s="540">
        <v>0</v>
      </c>
      <c r="Z39" s="545">
        <v>0.95</v>
      </c>
      <c r="AA39" s="540" t="s">
        <v>1431</v>
      </c>
      <c r="AB39" s="556" t="s">
        <v>1505</v>
      </c>
      <c r="AC39" s="543"/>
      <c r="AD39" s="540" t="s">
        <v>534</v>
      </c>
      <c r="AE39" s="566"/>
    </row>
    <row r="40" spans="1:31" ht="29" hidden="1" x14ac:dyDescent="0.35">
      <c r="A40" s="559" t="s">
        <v>1137</v>
      </c>
      <c r="B40" s="534" t="s">
        <v>1510</v>
      </c>
      <c r="C40" s="540"/>
      <c r="D40" s="540"/>
      <c r="E40" s="540"/>
      <c r="F40" s="540"/>
      <c r="G40" s="540"/>
      <c r="H40" s="540" t="s">
        <v>1441</v>
      </c>
      <c r="I40" s="540" t="s">
        <v>1441</v>
      </c>
      <c r="J40" s="540" t="s">
        <v>1441</v>
      </c>
      <c r="K40" s="540" t="s">
        <v>1441</v>
      </c>
      <c r="L40" s="540" t="s">
        <v>1441</v>
      </c>
      <c r="M40" s="540" t="s">
        <v>1441</v>
      </c>
      <c r="N40" s="540"/>
      <c r="O40" s="540"/>
      <c r="P40" s="540">
        <v>0</v>
      </c>
      <c r="Q40" s="540">
        <v>0</v>
      </c>
      <c r="R40" s="540">
        <v>0.95</v>
      </c>
      <c r="S40" s="541">
        <v>0.2</v>
      </c>
      <c r="T40" s="540">
        <v>0</v>
      </c>
      <c r="U40" s="540">
        <v>0</v>
      </c>
      <c r="V40" s="545">
        <v>0.95</v>
      </c>
      <c r="W40" s="541">
        <v>0.05</v>
      </c>
      <c r="X40" s="540">
        <v>0</v>
      </c>
      <c r="Y40" s="540">
        <v>0</v>
      </c>
      <c r="Z40" s="545">
        <v>0.95</v>
      </c>
      <c r="AA40" s="540" t="s">
        <v>1431</v>
      </c>
      <c r="AB40" s="556" t="s">
        <v>1505</v>
      </c>
      <c r="AC40" s="543"/>
      <c r="AD40" s="540" t="s">
        <v>534</v>
      </c>
      <c r="AE40" s="566" t="s">
        <v>1511</v>
      </c>
    </row>
    <row r="41" spans="1:31" hidden="1" x14ac:dyDescent="0.35">
      <c r="A41" s="559" t="s">
        <v>78</v>
      </c>
      <c r="B41" s="559" t="s">
        <v>1512</v>
      </c>
      <c r="C41" s="2928" t="s">
        <v>1513</v>
      </c>
      <c r="D41" s="2928"/>
      <c r="E41" s="2928"/>
      <c r="F41" s="2928"/>
      <c r="G41" s="2928"/>
      <c r="H41" s="540" t="s">
        <v>1441</v>
      </c>
      <c r="I41" s="540" t="s">
        <v>1441</v>
      </c>
      <c r="J41" s="540" t="s">
        <v>1441</v>
      </c>
      <c r="K41" s="540" t="s">
        <v>1441</v>
      </c>
      <c r="L41" s="540" t="s">
        <v>1441</v>
      </c>
      <c r="M41" s="540" t="s">
        <v>1441</v>
      </c>
      <c r="N41" s="540">
        <v>0.8</v>
      </c>
      <c r="O41" s="540"/>
      <c r="P41" s="540" t="s">
        <v>1514</v>
      </c>
      <c r="Q41" s="540" t="s">
        <v>1514</v>
      </c>
      <c r="R41" s="567">
        <v>0.95</v>
      </c>
      <c r="S41" s="568"/>
      <c r="T41" s="540" t="s">
        <v>1514</v>
      </c>
      <c r="U41" s="540" t="s">
        <v>1514</v>
      </c>
      <c r="V41" s="569">
        <v>0.95</v>
      </c>
      <c r="W41" s="568"/>
      <c r="X41" s="540" t="s">
        <v>1514</v>
      </c>
      <c r="Y41" s="540" t="s">
        <v>1514</v>
      </c>
      <c r="Z41" s="569">
        <v>0.95</v>
      </c>
      <c r="AA41" s="540" t="s">
        <v>1431</v>
      </c>
      <c r="AB41" s="556" t="s">
        <v>1505</v>
      </c>
      <c r="AC41" s="543"/>
      <c r="AD41" s="540" t="s">
        <v>534</v>
      </c>
      <c r="AE41" s="543"/>
    </row>
    <row r="42" spans="1:31" hidden="1" x14ac:dyDescent="0.35">
      <c r="A42" s="559" t="s">
        <v>78</v>
      </c>
      <c r="B42" s="557" t="s">
        <v>1515</v>
      </c>
      <c r="C42" s="545"/>
      <c r="D42" s="545"/>
      <c r="E42" s="545"/>
      <c r="F42" s="545"/>
      <c r="G42" s="545"/>
      <c r="H42" s="545"/>
      <c r="I42" s="545"/>
      <c r="J42" s="545"/>
      <c r="K42" s="545"/>
      <c r="L42" s="545"/>
      <c r="M42" s="545">
        <v>0.9</v>
      </c>
      <c r="N42" s="545"/>
      <c r="O42" s="545"/>
      <c r="P42" s="545"/>
      <c r="Q42" s="545"/>
      <c r="R42" s="569"/>
      <c r="S42" s="570"/>
      <c r="T42" s="569"/>
      <c r="U42" s="569"/>
      <c r="V42" s="569">
        <v>0.9</v>
      </c>
      <c r="W42" s="540"/>
      <c r="X42" s="540"/>
      <c r="Y42" s="540"/>
      <c r="Z42" s="569">
        <v>0.9</v>
      </c>
      <c r="AA42" s="540" t="s">
        <v>1431</v>
      </c>
      <c r="AB42" s="543" t="s">
        <v>1516</v>
      </c>
      <c r="AC42" s="543"/>
      <c r="AD42" s="540" t="s">
        <v>534</v>
      </c>
      <c r="AE42" s="537" t="s">
        <v>1517</v>
      </c>
    </row>
    <row r="43" spans="1:31" hidden="1" x14ac:dyDescent="0.35">
      <c r="A43" s="559" t="s">
        <v>78</v>
      </c>
      <c r="B43" s="557" t="s">
        <v>1518</v>
      </c>
      <c r="C43" s="545"/>
      <c r="D43" s="545"/>
      <c r="E43" s="545"/>
      <c r="F43" s="545">
        <v>0.79</v>
      </c>
      <c r="G43" s="545">
        <v>0.89</v>
      </c>
      <c r="H43" s="545"/>
      <c r="I43" s="545"/>
      <c r="J43" s="545"/>
      <c r="K43" s="545"/>
      <c r="L43" s="2929" t="s">
        <v>1519</v>
      </c>
      <c r="M43" s="2929"/>
      <c r="N43" s="545">
        <v>0.79</v>
      </c>
      <c r="O43" s="545"/>
      <c r="P43" s="545"/>
      <c r="Q43" s="545"/>
      <c r="R43" s="569">
        <v>0.8</v>
      </c>
      <c r="S43" s="570"/>
      <c r="T43" s="569"/>
      <c r="U43" s="569"/>
      <c r="V43" s="569">
        <v>0.8</v>
      </c>
      <c r="W43" s="540"/>
      <c r="X43" s="540"/>
      <c r="Y43" s="540"/>
      <c r="Z43" s="569">
        <v>0.8</v>
      </c>
      <c r="AA43" s="540" t="s">
        <v>1431</v>
      </c>
      <c r="AB43" s="556" t="s">
        <v>1505</v>
      </c>
      <c r="AC43" s="556"/>
      <c r="AD43" s="545" t="s">
        <v>534</v>
      </c>
      <c r="AE43" s="537"/>
    </row>
    <row r="44" spans="1:31" hidden="1" x14ac:dyDescent="0.35">
      <c r="A44" s="559" t="s">
        <v>78</v>
      </c>
      <c r="B44" s="557" t="s">
        <v>1520</v>
      </c>
      <c r="C44" s="545"/>
      <c r="D44" s="545"/>
      <c r="E44" s="545"/>
      <c r="F44" s="545">
        <v>0.75</v>
      </c>
      <c r="G44" s="545">
        <v>0.95</v>
      </c>
      <c r="H44" s="545"/>
      <c r="I44" s="545"/>
      <c r="J44" s="545"/>
      <c r="K44" s="545"/>
      <c r="L44" s="2929" t="s">
        <v>1519</v>
      </c>
      <c r="M44" s="2929"/>
      <c r="N44" s="545">
        <v>0.75</v>
      </c>
      <c r="O44" s="545"/>
      <c r="P44" s="545"/>
      <c r="Q44" s="545"/>
      <c r="R44" s="569">
        <v>0.8</v>
      </c>
      <c r="S44" s="570"/>
      <c r="T44" s="569"/>
      <c r="U44" s="569"/>
      <c r="V44" s="569">
        <v>0.8</v>
      </c>
      <c r="W44" s="540"/>
      <c r="X44" s="540"/>
      <c r="Y44" s="540"/>
      <c r="Z44" s="569">
        <v>0.8</v>
      </c>
      <c r="AA44" s="540" t="s">
        <v>1431</v>
      </c>
      <c r="AB44" s="556" t="s">
        <v>1505</v>
      </c>
      <c r="AC44" s="556"/>
      <c r="AD44" s="545" t="s">
        <v>534</v>
      </c>
      <c r="AE44" s="537"/>
    </row>
    <row r="45" spans="1:31" hidden="1" collapsed="1" x14ac:dyDescent="0.35">
      <c r="A45" s="559" t="s">
        <v>78</v>
      </c>
      <c r="B45" s="559" t="s">
        <v>1521</v>
      </c>
      <c r="C45" s="531" t="s">
        <v>1271</v>
      </c>
      <c r="D45" s="531" t="s">
        <v>1271</v>
      </c>
      <c r="E45" s="540">
        <v>0.79</v>
      </c>
      <c r="F45" s="531"/>
      <c r="G45" s="540">
        <v>0.94</v>
      </c>
      <c r="H45" s="540">
        <v>0.23</v>
      </c>
      <c r="I45" s="540">
        <v>0.03</v>
      </c>
      <c r="J45" s="540">
        <v>0.8</v>
      </c>
      <c r="K45" s="540" t="s">
        <v>1441</v>
      </c>
      <c r="L45" s="540" t="s">
        <v>1441</v>
      </c>
      <c r="M45" s="540" t="s">
        <v>1441</v>
      </c>
      <c r="N45" s="540"/>
      <c r="O45" s="540">
        <v>0.23</v>
      </c>
      <c r="P45" s="540">
        <v>0.03</v>
      </c>
      <c r="Q45" s="540"/>
      <c r="R45" s="540">
        <v>0.8</v>
      </c>
      <c r="S45" s="541">
        <v>0.23</v>
      </c>
      <c r="T45" s="540">
        <v>0.03</v>
      </c>
      <c r="U45" s="540"/>
      <c r="V45" s="540">
        <v>0.8</v>
      </c>
      <c r="W45" s="541">
        <v>0.23</v>
      </c>
      <c r="X45" s="540">
        <v>0.03</v>
      </c>
      <c r="Y45" s="540"/>
      <c r="Z45" s="540">
        <v>0.8</v>
      </c>
      <c r="AA45" s="540" t="s">
        <v>1431</v>
      </c>
      <c r="AB45" s="556" t="s">
        <v>1505</v>
      </c>
      <c r="AC45" s="556"/>
      <c r="AD45" s="545" t="s">
        <v>534</v>
      </c>
      <c r="AE45" s="571"/>
    </row>
    <row r="46" spans="1:31" hidden="1" outlineLevel="1" x14ac:dyDescent="0.35">
      <c r="A46" s="559" t="s">
        <v>78</v>
      </c>
      <c r="B46" s="559" t="s">
        <v>1522</v>
      </c>
      <c r="C46" s="540" t="s">
        <v>1271</v>
      </c>
      <c r="D46" s="540">
        <v>0.88</v>
      </c>
      <c r="E46" s="540">
        <v>0.92</v>
      </c>
      <c r="F46" s="540" t="s">
        <v>1271</v>
      </c>
      <c r="G46" s="540">
        <v>0.89</v>
      </c>
      <c r="H46" s="540">
        <v>0.2</v>
      </c>
      <c r="I46" s="540">
        <v>0.09</v>
      </c>
      <c r="J46" s="540">
        <v>0.89</v>
      </c>
      <c r="K46" s="540"/>
      <c r="L46" s="540"/>
      <c r="M46" s="540"/>
      <c r="N46" s="540"/>
      <c r="O46" s="540"/>
      <c r="P46" s="540"/>
      <c r="Q46" s="540"/>
      <c r="R46" s="540"/>
      <c r="S46" s="541"/>
      <c r="T46" s="540"/>
      <c r="U46" s="540"/>
      <c r="V46" s="540"/>
      <c r="W46" s="540"/>
      <c r="X46" s="540"/>
      <c r="Y46" s="540"/>
      <c r="Z46" s="540"/>
      <c r="AA46" s="540" t="s">
        <v>1431</v>
      </c>
      <c r="AB46" s="543" t="s">
        <v>1523</v>
      </c>
      <c r="AC46" s="543"/>
      <c r="AD46" s="540" t="s">
        <v>534</v>
      </c>
      <c r="AE46" s="571"/>
    </row>
    <row r="47" spans="1:31" hidden="1" outlineLevel="1" x14ac:dyDescent="0.35">
      <c r="A47" s="559" t="s">
        <v>78</v>
      </c>
      <c r="B47" s="559" t="s">
        <v>1524</v>
      </c>
      <c r="C47" s="540"/>
      <c r="D47" s="540"/>
      <c r="E47" s="540"/>
      <c r="F47" s="540">
        <v>0.79</v>
      </c>
      <c r="G47" s="540">
        <v>0.89</v>
      </c>
      <c r="H47" s="540">
        <v>0.24</v>
      </c>
      <c r="I47" s="540">
        <v>0.04</v>
      </c>
      <c r="J47" s="540">
        <v>0.8</v>
      </c>
      <c r="K47" s="540"/>
      <c r="L47" s="540"/>
      <c r="M47" s="540"/>
      <c r="N47" s="540">
        <v>0.79</v>
      </c>
      <c r="O47" s="540"/>
      <c r="P47" s="540"/>
      <c r="Q47" s="540"/>
      <c r="R47" s="540" t="s">
        <v>1525</v>
      </c>
      <c r="S47" s="541"/>
      <c r="T47" s="540"/>
      <c r="U47" s="540"/>
      <c r="V47" s="540" t="s">
        <v>1525</v>
      </c>
      <c r="W47" s="540">
        <v>0.23</v>
      </c>
      <c r="X47" s="540">
        <v>0.03</v>
      </c>
      <c r="Y47" s="540"/>
      <c r="Z47" s="540">
        <v>0.8</v>
      </c>
      <c r="AA47" s="540" t="s">
        <v>1431</v>
      </c>
      <c r="AB47" s="543" t="s">
        <v>1526</v>
      </c>
      <c r="AC47" s="543"/>
      <c r="AD47" s="540" t="s">
        <v>534</v>
      </c>
      <c r="AE47" s="571"/>
    </row>
    <row r="48" spans="1:31" hidden="1" outlineLevel="1" x14ac:dyDescent="0.35">
      <c r="A48" s="559" t="s">
        <v>78</v>
      </c>
      <c r="B48" s="559" t="s">
        <v>1527</v>
      </c>
      <c r="C48" s="540"/>
      <c r="D48" s="540"/>
      <c r="E48" s="540"/>
      <c r="F48" s="540">
        <v>0.75</v>
      </c>
      <c r="G48" s="540">
        <v>0.94</v>
      </c>
      <c r="H48" s="540">
        <v>7.0000000000000007E-2</v>
      </c>
      <c r="I48" s="540">
        <v>0.02</v>
      </c>
      <c r="J48" s="540">
        <v>0.95</v>
      </c>
      <c r="K48" s="540"/>
      <c r="L48" s="540"/>
      <c r="M48" s="540"/>
      <c r="N48" s="540">
        <v>0.75</v>
      </c>
      <c r="O48" s="540"/>
      <c r="P48" s="540"/>
      <c r="Q48" s="540"/>
      <c r="R48" s="540" t="s">
        <v>1525</v>
      </c>
      <c r="S48" s="541"/>
      <c r="T48" s="540"/>
      <c r="U48" s="540"/>
      <c r="V48" s="540" t="s">
        <v>1525</v>
      </c>
      <c r="W48" s="540">
        <v>0.23</v>
      </c>
      <c r="X48" s="540">
        <v>0.03</v>
      </c>
      <c r="Y48" s="540"/>
      <c r="Z48" s="540">
        <v>0.8</v>
      </c>
      <c r="AA48" s="540" t="s">
        <v>1431</v>
      </c>
      <c r="AB48" s="543" t="s">
        <v>1526</v>
      </c>
      <c r="AC48" s="543"/>
      <c r="AD48" s="540" t="s">
        <v>534</v>
      </c>
      <c r="AE48" s="571"/>
    </row>
    <row r="49" spans="1:31" hidden="1" outlineLevel="1" x14ac:dyDescent="0.35">
      <c r="A49" s="559" t="s">
        <v>78</v>
      </c>
      <c r="B49" s="559" t="s">
        <v>1528</v>
      </c>
      <c r="C49" s="540"/>
      <c r="D49" s="540"/>
      <c r="E49" s="540"/>
      <c r="F49" s="540" t="s">
        <v>1271</v>
      </c>
      <c r="G49" s="540">
        <v>0.94</v>
      </c>
      <c r="H49" s="540">
        <v>0.01</v>
      </c>
      <c r="I49" s="540">
        <v>7.0000000000000007E-2</v>
      </c>
      <c r="J49" s="540">
        <v>1.06</v>
      </c>
      <c r="K49" s="540"/>
      <c r="L49" s="540"/>
      <c r="M49" s="540"/>
      <c r="N49" s="540"/>
      <c r="O49" s="540"/>
      <c r="P49" s="540"/>
      <c r="Q49" s="540"/>
      <c r="R49" s="540" t="s">
        <v>1525</v>
      </c>
      <c r="S49" s="541"/>
      <c r="T49" s="540"/>
      <c r="U49" s="540"/>
      <c r="V49" s="540" t="s">
        <v>1525</v>
      </c>
      <c r="W49" s="540">
        <v>0.23</v>
      </c>
      <c r="X49" s="540">
        <v>0.03</v>
      </c>
      <c r="Y49" s="540"/>
      <c r="Z49" s="540">
        <v>0.8</v>
      </c>
      <c r="AA49" s="540" t="s">
        <v>1431</v>
      </c>
      <c r="AB49" s="543" t="s">
        <v>1526</v>
      </c>
      <c r="AC49" s="543"/>
      <c r="AD49" s="540" t="s">
        <v>534</v>
      </c>
      <c r="AE49" s="571"/>
    </row>
    <row r="50" spans="1:31" hidden="1" outlineLevel="1" x14ac:dyDescent="0.35">
      <c r="A50" s="559" t="s">
        <v>78</v>
      </c>
      <c r="B50" s="559" t="s">
        <v>1529</v>
      </c>
      <c r="C50" s="540"/>
      <c r="D50" s="540"/>
      <c r="E50" s="540"/>
      <c r="F50" s="540" t="s">
        <v>1271</v>
      </c>
      <c r="G50" s="540">
        <v>0.94</v>
      </c>
      <c r="H50" s="540">
        <v>0.01</v>
      </c>
      <c r="I50" s="540">
        <v>0</v>
      </c>
      <c r="J50" s="540">
        <v>0.99</v>
      </c>
      <c r="K50" s="540"/>
      <c r="L50" s="540"/>
      <c r="M50" s="540"/>
      <c r="N50" s="540"/>
      <c r="O50" s="540"/>
      <c r="P50" s="540"/>
      <c r="Q50" s="540"/>
      <c r="R50" s="540" t="s">
        <v>1525</v>
      </c>
      <c r="S50" s="541"/>
      <c r="T50" s="540"/>
      <c r="U50" s="540"/>
      <c r="V50" s="540" t="s">
        <v>1525</v>
      </c>
      <c r="W50" s="540">
        <v>0.23</v>
      </c>
      <c r="X50" s="540">
        <v>0.03</v>
      </c>
      <c r="Y50" s="540"/>
      <c r="Z50" s="540">
        <v>0.8</v>
      </c>
      <c r="AA50" s="540" t="s">
        <v>1431</v>
      </c>
      <c r="AB50" s="543" t="s">
        <v>1526</v>
      </c>
      <c r="AC50" s="543"/>
      <c r="AD50" s="540" t="s">
        <v>534</v>
      </c>
      <c r="AE50" s="571"/>
    </row>
    <row r="51" spans="1:31" hidden="1" outlineLevel="1" x14ac:dyDescent="0.35">
      <c r="A51" s="559" t="s">
        <v>78</v>
      </c>
      <c r="B51" s="559" t="s">
        <v>1530</v>
      </c>
      <c r="C51" s="540"/>
      <c r="D51" s="540"/>
      <c r="E51" s="540"/>
      <c r="F51" s="540" t="s">
        <v>1271</v>
      </c>
      <c r="G51" s="540">
        <v>0.94</v>
      </c>
      <c r="H51" s="540">
        <v>0.12</v>
      </c>
      <c r="I51" s="540">
        <v>0</v>
      </c>
      <c r="J51" s="540">
        <v>0.88</v>
      </c>
      <c r="K51" s="540"/>
      <c r="L51" s="540"/>
      <c r="M51" s="540"/>
      <c r="N51" s="540"/>
      <c r="O51" s="540"/>
      <c r="P51" s="540"/>
      <c r="Q51" s="540"/>
      <c r="R51" s="540" t="s">
        <v>1525</v>
      </c>
      <c r="S51" s="541"/>
      <c r="T51" s="540"/>
      <c r="U51" s="540"/>
      <c r="V51" s="540" t="s">
        <v>1525</v>
      </c>
      <c r="W51" s="540">
        <v>0.23</v>
      </c>
      <c r="X51" s="540">
        <v>0.03</v>
      </c>
      <c r="Y51" s="540"/>
      <c r="Z51" s="540">
        <v>0.8</v>
      </c>
      <c r="AA51" s="540" t="s">
        <v>1431</v>
      </c>
      <c r="AB51" s="543" t="s">
        <v>1526</v>
      </c>
      <c r="AC51" s="543"/>
      <c r="AD51" s="540" t="s">
        <v>534</v>
      </c>
      <c r="AE51" s="571"/>
    </row>
    <row r="52" spans="1:31" hidden="1" outlineLevel="1" x14ac:dyDescent="0.35">
      <c r="A52" s="559" t="s">
        <v>78</v>
      </c>
      <c r="B52" s="559" t="s">
        <v>1531</v>
      </c>
      <c r="C52" s="540"/>
      <c r="D52" s="540"/>
      <c r="E52" s="540"/>
      <c r="F52" s="540" t="s">
        <v>1271</v>
      </c>
      <c r="G52" s="540">
        <v>0.94</v>
      </c>
      <c r="H52" s="540">
        <v>0.12</v>
      </c>
      <c r="I52" s="540">
        <v>0</v>
      </c>
      <c r="J52" s="540">
        <v>0.88</v>
      </c>
      <c r="K52" s="540"/>
      <c r="L52" s="540"/>
      <c r="M52" s="540"/>
      <c r="N52" s="540"/>
      <c r="O52" s="540"/>
      <c r="P52" s="540"/>
      <c r="Q52" s="540"/>
      <c r="R52" s="540" t="s">
        <v>1525</v>
      </c>
      <c r="S52" s="541"/>
      <c r="T52" s="540"/>
      <c r="U52" s="540"/>
      <c r="V52" s="540" t="s">
        <v>1525</v>
      </c>
      <c r="W52" s="540">
        <v>0.23</v>
      </c>
      <c r="X52" s="540">
        <v>0.03</v>
      </c>
      <c r="Y52" s="540"/>
      <c r="Z52" s="540">
        <v>0.8</v>
      </c>
      <c r="AA52" s="540" t="s">
        <v>1431</v>
      </c>
      <c r="AB52" s="543" t="s">
        <v>1526</v>
      </c>
      <c r="AC52" s="543"/>
      <c r="AD52" s="540" t="s">
        <v>534</v>
      </c>
      <c r="AE52" s="571"/>
    </row>
    <row r="53" spans="1:31" hidden="1" outlineLevel="1" x14ac:dyDescent="0.35">
      <c r="A53" s="559" t="s">
        <v>78</v>
      </c>
      <c r="B53" s="559" t="s">
        <v>1532</v>
      </c>
      <c r="C53" s="540"/>
      <c r="D53" s="540"/>
      <c r="E53" s="540"/>
      <c r="F53" s="540" t="s">
        <v>1271</v>
      </c>
      <c r="G53" s="540" t="s">
        <v>1271</v>
      </c>
      <c r="H53" s="540" t="s">
        <v>1271</v>
      </c>
      <c r="I53" s="540" t="s">
        <v>1271</v>
      </c>
      <c r="J53" s="540" t="s">
        <v>1271</v>
      </c>
      <c r="K53" s="540"/>
      <c r="L53" s="540"/>
      <c r="M53" s="540"/>
      <c r="N53" s="540"/>
      <c r="O53" s="540"/>
      <c r="P53" s="540"/>
      <c r="Q53" s="540"/>
      <c r="R53" s="540" t="s">
        <v>1525</v>
      </c>
      <c r="S53" s="541"/>
      <c r="T53" s="540"/>
      <c r="U53" s="540"/>
      <c r="V53" s="540">
        <v>0.9</v>
      </c>
      <c r="W53" s="540">
        <v>0.23</v>
      </c>
      <c r="X53" s="540">
        <v>0.03</v>
      </c>
      <c r="Y53" s="540"/>
      <c r="Z53" s="545">
        <v>0.9</v>
      </c>
      <c r="AA53" s="540" t="s">
        <v>1431</v>
      </c>
      <c r="AB53" s="543" t="s">
        <v>1526</v>
      </c>
      <c r="AC53" s="543"/>
      <c r="AD53" s="540" t="s">
        <v>534</v>
      </c>
      <c r="AE53" s="571"/>
    </row>
    <row r="54" spans="1:31" hidden="1" outlineLevel="1" x14ac:dyDescent="0.35">
      <c r="A54" s="559" t="s">
        <v>1137</v>
      </c>
      <c r="B54" s="559" t="s">
        <v>1533</v>
      </c>
      <c r="C54" s="540"/>
      <c r="D54" s="540"/>
      <c r="E54" s="540"/>
      <c r="F54" s="540" t="s">
        <v>1271</v>
      </c>
      <c r="G54" s="540" t="s">
        <v>1271</v>
      </c>
      <c r="H54" s="540" t="s">
        <v>1271</v>
      </c>
      <c r="I54" s="540" t="s">
        <v>1271</v>
      </c>
      <c r="J54" s="540" t="s">
        <v>1271</v>
      </c>
      <c r="K54" s="540"/>
      <c r="L54" s="540"/>
      <c r="M54" s="540"/>
      <c r="N54" s="540"/>
      <c r="O54" s="540"/>
      <c r="P54" s="540"/>
      <c r="Q54" s="540"/>
      <c r="R54" s="540" t="s">
        <v>1525</v>
      </c>
      <c r="S54" s="541"/>
      <c r="T54" s="540"/>
      <c r="U54" s="540"/>
      <c r="V54" s="540">
        <v>0.9</v>
      </c>
      <c r="W54" s="540">
        <v>0.23</v>
      </c>
      <c r="X54" s="540">
        <v>0.03</v>
      </c>
      <c r="Y54" s="540"/>
      <c r="Z54" s="545">
        <v>0.9</v>
      </c>
      <c r="AA54" s="540" t="s">
        <v>1431</v>
      </c>
      <c r="AB54" s="543" t="s">
        <v>1526</v>
      </c>
      <c r="AC54" s="543"/>
      <c r="AD54" s="540" t="s">
        <v>534</v>
      </c>
      <c r="AE54" s="571"/>
    </row>
    <row r="55" spans="1:31" hidden="1" collapsed="1" x14ac:dyDescent="0.35">
      <c r="A55" s="559" t="s">
        <v>78</v>
      </c>
      <c r="B55" s="557" t="s">
        <v>1534</v>
      </c>
      <c r="C55" s="545"/>
      <c r="D55" s="545"/>
      <c r="E55" s="545"/>
      <c r="F55" s="545">
        <v>0.8</v>
      </c>
      <c r="G55" s="545">
        <v>0.8</v>
      </c>
      <c r="H55" s="545">
        <v>0.1</v>
      </c>
      <c r="I55" s="545">
        <v>0.11</v>
      </c>
      <c r="J55" s="545">
        <v>1.02</v>
      </c>
      <c r="K55" s="545" t="s">
        <v>1441</v>
      </c>
      <c r="L55" s="545" t="s">
        <v>1441</v>
      </c>
      <c r="M55" s="545" t="s">
        <v>1441</v>
      </c>
      <c r="N55" s="545">
        <v>0.8</v>
      </c>
      <c r="O55" s="545">
        <v>0.1</v>
      </c>
      <c r="P55" s="545">
        <v>0.11</v>
      </c>
      <c r="Q55" s="545"/>
      <c r="R55" s="545">
        <v>1.02</v>
      </c>
      <c r="S55" s="544">
        <v>0.1</v>
      </c>
      <c r="T55" s="545">
        <v>0.11</v>
      </c>
      <c r="U55" s="545"/>
      <c r="V55" s="545">
        <v>1.02</v>
      </c>
      <c r="W55" s="544">
        <v>0.1</v>
      </c>
      <c r="X55" s="545">
        <v>0.11</v>
      </c>
      <c r="Y55" s="545"/>
      <c r="Z55" s="545">
        <v>1.01</v>
      </c>
      <c r="AA55" s="545" t="s">
        <v>1431</v>
      </c>
      <c r="AB55" s="556" t="s">
        <v>1505</v>
      </c>
      <c r="AC55" s="556"/>
      <c r="AD55" s="540" t="s">
        <v>534</v>
      </c>
      <c r="AE55" s="571"/>
    </row>
    <row r="56" spans="1:31" hidden="1" outlineLevel="1" x14ac:dyDescent="0.35">
      <c r="A56" s="559" t="s">
        <v>78</v>
      </c>
      <c r="B56" s="557" t="s">
        <v>1535</v>
      </c>
      <c r="C56" s="545"/>
      <c r="D56" s="545"/>
      <c r="E56" s="545"/>
      <c r="F56" s="545"/>
      <c r="G56" s="545"/>
      <c r="H56" s="545"/>
      <c r="I56" s="545"/>
      <c r="J56" s="545"/>
      <c r="K56" s="545"/>
      <c r="L56" s="545"/>
      <c r="M56" s="545">
        <v>0.9</v>
      </c>
      <c r="N56" s="545"/>
      <c r="O56" s="545"/>
      <c r="P56" s="545"/>
      <c r="Q56" s="545"/>
      <c r="R56" s="545"/>
      <c r="S56" s="544"/>
      <c r="T56" s="545"/>
      <c r="U56" s="545"/>
      <c r="V56" s="569">
        <v>0.9</v>
      </c>
      <c r="W56" s="545"/>
      <c r="X56" s="545"/>
      <c r="Y56" s="545"/>
      <c r="Z56" s="569">
        <v>0.9</v>
      </c>
      <c r="AA56" s="545" t="s">
        <v>1431</v>
      </c>
      <c r="AB56" s="556" t="s">
        <v>1536</v>
      </c>
      <c r="AC56" s="556"/>
      <c r="AD56" s="545" t="s">
        <v>534</v>
      </c>
      <c r="AE56" s="558" t="s">
        <v>1537</v>
      </c>
    </row>
    <row r="57" spans="1:31" hidden="1" outlineLevel="1" x14ac:dyDescent="0.35">
      <c r="A57" s="559" t="s">
        <v>78</v>
      </c>
      <c r="B57" s="557" t="s">
        <v>1538</v>
      </c>
      <c r="C57" s="545"/>
      <c r="D57" s="545"/>
      <c r="E57" s="545"/>
      <c r="F57" s="545"/>
      <c r="G57" s="545"/>
      <c r="H57" s="545"/>
      <c r="I57" s="545"/>
      <c r="J57" s="545"/>
      <c r="K57" s="545"/>
      <c r="L57" s="545"/>
      <c r="M57" s="545"/>
      <c r="N57" s="545"/>
      <c r="O57" s="545"/>
      <c r="P57" s="545"/>
      <c r="Q57" s="545"/>
      <c r="R57" s="545"/>
      <c r="S57" s="544"/>
      <c r="T57" s="545"/>
      <c r="U57" s="545"/>
      <c r="V57" s="569">
        <v>0.95</v>
      </c>
      <c r="W57" s="545"/>
      <c r="X57" s="545"/>
      <c r="Y57" s="545"/>
      <c r="Z57" s="569">
        <v>0.95</v>
      </c>
      <c r="AA57" s="545" t="s">
        <v>1468</v>
      </c>
      <c r="AB57" s="556" t="s">
        <v>1539</v>
      </c>
      <c r="AC57" s="556"/>
      <c r="AD57" s="545" t="s">
        <v>534</v>
      </c>
      <c r="AE57" s="558"/>
    </row>
    <row r="58" spans="1:31" hidden="1" x14ac:dyDescent="0.35">
      <c r="A58" s="559" t="s">
        <v>78</v>
      </c>
      <c r="B58" s="557" t="s">
        <v>1540</v>
      </c>
      <c r="C58" s="545" t="s">
        <v>1271</v>
      </c>
      <c r="D58" s="545" t="s">
        <v>1271</v>
      </c>
      <c r="E58" s="545" t="s">
        <v>1271</v>
      </c>
      <c r="F58" s="545">
        <v>0.59</v>
      </c>
      <c r="G58" s="545" t="s">
        <v>1541</v>
      </c>
      <c r="H58" s="545" t="s">
        <v>1441</v>
      </c>
      <c r="I58" s="545" t="s">
        <v>1441</v>
      </c>
      <c r="J58" s="545" t="s">
        <v>1441</v>
      </c>
      <c r="K58" s="545" t="s">
        <v>1441</v>
      </c>
      <c r="L58" s="545" t="s">
        <v>1441</v>
      </c>
      <c r="M58" s="545" t="s">
        <v>1441</v>
      </c>
      <c r="N58" s="545"/>
      <c r="O58" s="545">
        <v>0.41</v>
      </c>
      <c r="P58" s="545"/>
      <c r="Q58" s="545"/>
      <c r="R58" s="2914">
        <v>0.99</v>
      </c>
      <c r="S58" s="544">
        <v>0.41</v>
      </c>
      <c r="T58" s="545"/>
      <c r="U58" s="545"/>
      <c r="V58" s="2914">
        <v>0.99</v>
      </c>
      <c r="W58" s="545">
        <v>0.41</v>
      </c>
      <c r="X58" s="545"/>
      <c r="Y58" s="545"/>
      <c r="Z58" s="2914">
        <v>0.99</v>
      </c>
      <c r="AA58" s="545" t="s">
        <v>1431</v>
      </c>
      <c r="AB58" s="556" t="s">
        <v>1505</v>
      </c>
      <c r="AC58" s="556"/>
      <c r="AD58" s="545" t="s">
        <v>534</v>
      </c>
      <c r="AE58" s="572"/>
    </row>
    <row r="59" spans="1:31" ht="29" hidden="1" x14ac:dyDescent="0.35">
      <c r="A59" s="559" t="s">
        <v>78</v>
      </c>
      <c r="B59" s="557" t="s">
        <v>1542</v>
      </c>
      <c r="C59" s="545" t="s">
        <v>1271</v>
      </c>
      <c r="D59" s="545" t="s">
        <v>1271</v>
      </c>
      <c r="E59" s="545" t="s">
        <v>1271</v>
      </c>
      <c r="F59" s="545" t="s">
        <v>1271</v>
      </c>
      <c r="G59" s="545" t="s">
        <v>1541</v>
      </c>
      <c r="H59" s="545">
        <v>0.25</v>
      </c>
      <c r="I59" s="564" t="s">
        <v>1543</v>
      </c>
      <c r="J59" s="545">
        <v>0.99</v>
      </c>
      <c r="K59" s="545" t="s">
        <v>1441</v>
      </c>
      <c r="L59" s="545" t="s">
        <v>1441</v>
      </c>
      <c r="M59" s="545" t="s">
        <v>1441</v>
      </c>
      <c r="N59" s="544">
        <v>0.59</v>
      </c>
      <c r="O59" s="544">
        <v>0.25</v>
      </c>
      <c r="P59" s="544">
        <v>0.12</v>
      </c>
      <c r="Q59" s="544">
        <v>0.2</v>
      </c>
      <c r="R59" s="2914"/>
      <c r="S59" s="544">
        <v>0.25</v>
      </c>
      <c r="T59" s="544">
        <v>0.12</v>
      </c>
      <c r="U59" s="544">
        <v>0.2</v>
      </c>
      <c r="V59" s="2914"/>
      <c r="W59" s="545">
        <v>0.25</v>
      </c>
      <c r="X59" s="545">
        <v>0.12</v>
      </c>
      <c r="Y59" s="545">
        <v>0.2</v>
      </c>
      <c r="Z59" s="2914"/>
      <c r="AA59" s="545" t="s">
        <v>1431</v>
      </c>
      <c r="AB59" s="556" t="s">
        <v>1505</v>
      </c>
      <c r="AC59" s="556"/>
      <c r="AD59" s="545" t="s">
        <v>534</v>
      </c>
      <c r="AE59" s="572"/>
    </row>
    <row r="60" spans="1:31" hidden="1" x14ac:dyDescent="0.35">
      <c r="A60" s="559" t="s">
        <v>78</v>
      </c>
      <c r="B60" s="557" t="s">
        <v>1544</v>
      </c>
      <c r="C60" s="545"/>
      <c r="D60" s="545"/>
      <c r="E60" s="545"/>
      <c r="F60" s="545"/>
      <c r="G60" s="545"/>
      <c r="H60" s="545"/>
      <c r="I60" s="564"/>
      <c r="J60" s="545"/>
      <c r="K60" s="545"/>
      <c r="L60" s="545"/>
      <c r="M60" s="545"/>
      <c r="N60" s="544"/>
      <c r="O60" s="544"/>
      <c r="P60" s="544"/>
      <c r="Q60" s="544"/>
      <c r="R60" s="545"/>
      <c r="S60" s="544"/>
      <c r="T60" s="544"/>
      <c r="U60" s="544"/>
      <c r="V60" s="545"/>
      <c r="W60" s="545">
        <v>0.1</v>
      </c>
      <c r="X60" s="545">
        <v>0.11</v>
      </c>
      <c r="Y60" s="545"/>
      <c r="Z60" s="545">
        <v>1.01</v>
      </c>
      <c r="AA60" s="545" t="s">
        <v>1431</v>
      </c>
      <c r="AB60" s="556" t="s">
        <v>1545</v>
      </c>
      <c r="AC60" s="556"/>
      <c r="AD60" s="545" t="s">
        <v>534</v>
      </c>
      <c r="AE60" s="572"/>
    </row>
    <row r="61" spans="1:31" hidden="1" x14ac:dyDescent="0.35">
      <c r="A61" s="559" t="s">
        <v>78</v>
      </c>
      <c r="B61" s="559" t="s">
        <v>1546</v>
      </c>
      <c r="C61" s="540" t="s">
        <v>1271</v>
      </c>
      <c r="D61" s="540" t="s">
        <v>1271</v>
      </c>
      <c r="E61" s="540" t="s">
        <v>1271</v>
      </c>
      <c r="F61" s="540" t="s">
        <v>1271</v>
      </c>
      <c r="G61" s="540" t="s">
        <v>1541</v>
      </c>
      <c r="H61" s="540" t="s">
        <v>1441</v>
      </c>
      <c r="I61" s="540" t="s">
        <v>1441</v>
      </c>
      <c r="J61" s="540" t="s">
        <v>1441</v>
      </c>
      <c r="K61" s="540" t="s">
        <v>1441</v>
      </c>
      <c r="L61" s="540" t="s">
        <v>1441</v>
      </c>
      <c r="M61" s="540" t="s">
        <v>1441</v>
      </c>
      <c r="N61" s="540">
        <v>0.8</v>
      </c>
      <c r="O61" s="540"/>
      <c r="P61" s="540"/>
      <c r="Q61" s="540"/>
      <c r="R61" s="540">
        <v>0.8</v>
      </c>
      <c r="S61" s="541"/>
      <c r="T61" s="540"/>
      <c r="U61" s="540"/>
      <c r="V61" s="540">
        <v>1</v>
      </c>
      <c r="W61" s="540">
        <v>0.39</v>
      </c>
      <c r="X61" s="540">
        <v>0.04</v>
      </c>
      <c r="Y61" s="540"/>
      <c r="Z61" s="540">
        <v>0.65</v>
      </c>
      <c r="AA61" s="540" t="s">
        <v>1431</v>
      </c>
      <c r="AB61" s="543" t="s">
        <v>1547</v>
      </c>
      <c r="AC61" s="543"/>
      <c r="AD61" s="540" t="s">
        <v>533</v>
      </c>
      <c r="AE61" s="543"/>
    </row>
    <row r="62" spans="1:31" hidden="1" x14ac:dyDescent="0.35">
      <c r="A62" s="559" t="s">
        <v>78</v>
      </c>
      <c r="B62" s="559" t="s">
        <v>1548</v>
      </c>
      <c r="C62" s="540" t="s">
        <v>1271</v>
      </c>
      <c r="D62" s="540" t="s">
        <v>1271</v>
      </c>
      <c r="E62" s="540" t="s">
        <v>1271</v>
      </c>
      <c r="F62" s="540">
        <v>0.76</v>
      </c>
      <c r="G62" s="540">
        <v>0.76</v>
      </c>
      <c r="H62" s="559" t="s">
        <v>1441</v>
      </c>
      <c r="I62" s="559" t="s">
        <v>1441</v>
      </c>
      <c r="J62" s="559" t="s">
        <v>1441</v>
      </c>
      <c r="K62" s="540" t="s">
        <v>1441</v>
      </c>
      <c r="L62" s="540" t="s">
        <v>1441</v>
      </c>
      <c r="M62" s="540" t="s">
        <v>1441</v>
      </c>
      <c r="N62" s="540">
        <v>0.76</v>
      </c>
      <c r="O62" s="540" t="s">
        <v>1549</v>
      </c>
      <c r="P62" s="540" t="s">
        <v>1549</v>
      </c>
      <c r="Q62" s="540">
        <v>0</v>
      </c>
      <c r="R62" s="540">
        <v>0.76</v>
      </c>
      <c r="S62" s="541" t="s">
        <v>1549</v>
      </c>
      <c r="T62" s="540" t="s">
        <v>1549</v>
      </c>
      <c r="U62" s="540">
        <v>0</v>
      </c>
      <c r="V62" s="540">
        <v>0.83</v>
      </c>
      <c r="W62" s="542"/>
      <c r="X62" s="542"/>
      <c r="Y62" s="542"/>
      <c r="Z62" s="540">
        <v>1</v>
      </c>
      <c r="AA62" s="542" t="s">
        <v>1431</v>
      </c>
      <c r="AB62" s="543" t="s">
        <v>1550</v>
      </c>
      <c r="AC62" s="533"/>
      <c r="AD62" s="542" t="s">
        <v>533</v>
      </c>
      <c r="AE62" s="543" t="s">
        <v>1551</v>
      </c>
    </row>
    <row r="63" spans="1:31" hidden="1" x14ac:dyDescent="0.35">
      <c r="A63" s="559" t="s">
        <v>78</v>
      </c>
      <c r="B63" s="559" t="s">
        <v>1552</v>
      </c>
      <c r="C63" s="540"/>
      <c r="D63" s="540"/>
      <c r="E63" s="540"/>
      <c r="F63" s="540"/>
      <c r="G63" s="540"/>
      <c r="H63" s="559"/>
      <c r="I63" s="559"/>
      <c r="J63" s="559"/>
      <c r="K63" s="540"/>
      <c r="L63" s="540"/>
      <c r="M63" s="540"/>
      <c r="N63" s="540"/>
      <c r="O63" s="540"/>
      <c r="P63" s="540"/>
      <c r="Q63" s="540"/>
      <c r="R63" s="540"/>
      <c r="S63" s="541"/>
      <c r="T63" s="540"/>
      <c r="U63" s="540"/>
      <c r="V63" s="573">
        <v>1.05</v>
      </c>
      <c r="W63" s="542"/>
      <c r="X63" s="542"/>
      <c r="Y63" s="542"/>
      <c r="Z63" s="540">
        <v>1</v>
      </c>
      <c r="AA63" s="542" t="s">
        <v>1431</v>
      </c>
      <c r="AB63" s="574" t="s">
        <v>1550</v>
      </c>
      <c r="AC63" s="533"/>
      <c r="AD63" s="542" t="s">
        <v>533</v>
      </c>
      <c r="AE63" s="543" t="s">
        <v>1553</v>
      </c>
    </row>
    <row r="64" spans="1:31" hidden="1" x14ac:dyDescent="0.35">
      <c r="A64" s="559" t="s">
        <v>78</v>
      </c>
      <c r="B64" s="559" t="s">
        <v>1554</v>
      </c>
      <c r="C64" s="540"/>
      <c r="D64" s="540"/>
      <c r="E64" s="540"/>
      <c r="F64" s="540"/>
      <c r="G64" s="540"/>
      <c r="H64" s="559"/>
      <c r="I64" s="559"/>
      <c r="J64" s="559"/>
      <c r="K64" s="540"/>
      <c r="L64" s="540"/>
      <c r="M64" s="540"/>
      <c r="N64" s="540"/>
      <c r="O64" s="540"/>
      <c r="P64" s="540"/>
      <c r="Q64" s="540"/>
      <c r="R64" s="540"/>
      <c r="S64" s="541"/>
      <c r="T64" s="540"/>
      <c r="U64" s="540"/>
      <c r="V64" s="573">
        <v>1.04</v>
      </c>
      <c r="W64" s="542"/>
      <c r="X64" s="542"/>
      <c r="Y64" s="542"/>
      <c r="Z64" s="540">
        <v>1</v>
      </c>
      <c r="AA64" s="542" t="s">
        <v>1431</v>
      </c>
      <c r="AB64" s="533" t="s">
        <v>1555</v>
      </c>
      <c r="AC64" s="533"/>
      <c r="AD64" s="542" t="s">
        <v>533</v>
      </c>
      <c r="AE64" s="543" t="s">
        <v>1556</v>
      </c>
    </row>
    <row r="65" spans="1:31" x14ac:dyDescent="0.35">
      <c r="A65" s="559" t="s">
        <v>78</v>
      </c>
      <c r="B65" s="557" t="s">
        <v>1557</v>
      </c>
      <c r="C65" s="545"/>
      <c r="D65" s="545"/>
      <c r="E65" s="545"/>
      <c r="F65" s="545"/>
      <c r="G65" s="545"/>
      <c r="H65" s="557"/>
      <c r="I65" s="557"/>
      <c r="J65" s="557"/>
      <c r="K65" s="545"/>
      <c r="L65" s="545"/>
      <c r="M65" s="545"/>
      <c r="N65" s="545"/>
      <c r="O65" s="545"/>
      <c r="P65" s="545"/>
      <c r="Q65" s="545"/>
      <c r="R65" s="545"/>
      <c r="S65" s="544"/>
      <c r="T65" s="545"/>
      <c r="U65" s="545"/>
      <c r="V65" s="545">
        <v>0.68</v>
      </c>
      <c r="W65" s="546"/>
      <c r="X65" s="546"/>
      <c r="Y65" s="546"/>
      <c r="Z65" s="545">
        <v>0.68</v>
      </c>
      <c r="AA65" s="546" t="s">
        <v>1468</v>
      </c>
      <c r="AB65" s="556" t="s">
        <v>1558</v>
      </c>
      <c r="AC65" s="558"/>
      <c r="AD65" s="546" t="s">
        <v>534</v>
      </c>
      <c r="AE65" s="556"/>
    </row>
    <row r="66" spans="1:31" x14ac:dyDescent="0.35">
      <c r="A66" s="559" t="s">
        <v>78</v>
      </c>
      <c r="B66" s="557" t="s">
        <v>1559</v>
      </c>
      <c r="C66" s="545"/>
      <c r="D66" s="545"/>
      <c r="E66" s="545"/>
      <c r="F66" s="545"/>
      <c r="G66" s="545"/>
      <c r="H66" s="557"/>
      <c r="I66" s="557"/>
      <c r="J66" s="557"/>
      <c r="K66" s="545"/>
      <c r="L66" s="545"/>
      <c r="M66" s="545"/>
      <c r="N66" s="545"/>
      <c r="O66" s="545"/>
      <c r="P66" s="545"/>
      <c r="Q66" s="545"/>
      <c r="R66" s="545"/>
      <c r="S66" s="544"/>
      <c r="T66" s="545"/>
      <c r="U66" s="545"/>
      <c r="V66" s="545">
        <v>0.86</v>
      </c>
      <c r="W66" s="546"/>
      <c r="X66" s="546"/>
      <c r="Y66" s="546"/>
      <c r="Z66" s="545">
        <v>0.86</v>
      </c>
      <c r="AA66" s="546" t="s">
        <v>1468</v>
      </c>
      <c r="AB66" s="556" t="s">
        <v>1560</v>
      </c>
      <c r="AC66" s="558"/>
      <c r="AD66" s="546" t="s">
        <v>534</v>
      </c>
      <c r="AE66" s="556"/>
    </row>
    <row r="67" spans="1:31" x14ac:dyDescent="0.35">
      <c r="A67" s="559" t="s">
        <v>78</v>
      </c>
      <c r="B67" s="557" t="s">
        <v>1561</v>
      </c>
      <c r="C67" s="545"/>
      <c r="D67" s="545"/>
      <c r="E67" s="545"/>
      <c r="F67" s="545"/>
      <c r="G67" s="545"/>
      <c r="H67" s="557"/>
      <c r="I67" s="557"/>
      <c r="J67" s="557"/>
      <c r="K67" s="545"/>
      <c r="L67" s="545"/>
      <c r="M67" s="545"/>
      <c r="N67" s="545"/>
      <c r="O67" s="545"/>
      <c r="P67" s="545"/>
      <c r="Q67" s="545"/>
      <c r="R67" s="545"/>
      <c r="S67" s="544"/>
      <c r="T67" s="545"/>
      <c r="U67" s="545"/>
      <c r="V67" s="545">
        <v>0.78</v>
      </c>
      <c r="W67" s="546"/>
      <c r="X67" s="546"/>
      <c r="Y67" s="546"/>
      <c r="Z67" s="545">
        <v>0.78</v>
      </c>
      <c r="AA67" s="546" t="s">
        <v>1468</v>
      </c>
      <c r="AB67" s="556" t="s">
        <v>1562</v>
      </c>
      <c r="AC67" s="558"/>
      <c r="AD67" s="546" t="s">
        <v>534</v>
      </c>
      <c r="AE67" s="556"/>
    </row>
    <row r="68" spans="1:31" x14ac:dyDescent="0.35">
      <c r="A68" s="559" t="s">
        <v>78</v>
      </c>
      <c r="B68" s="557" t="s">
        <v>1563</v>
      </c>
      <c r="C68" s="545"/>
      <c r="D68" s="545"/>
      <c r="E68" s="545"/>
      <c r="F68" s="545"/>
      <c r="G68" s="545"/>
      <c r="H68" s="557"/>
      <c r="I68" s="557"/>
      <c r="J68" s="557"/>
      <c r="K68" s="545"/>
      <c r="L68" s="545"/>
      <c r="M68" s="545"/>
      <c r="N68" s="545"/>
      <c r="O68" s="545"/>
      <c r="P68" s="545"/>
      <c r="Q68" s="545"/>
      <c r="R68" s="545"/>
      <c r="S68" s="544"/>
      <c r="T68" s="545"/>
      <c r="U68" s="545"/>
      <c r="V68" s="545">
        <v>0.9</v>
      </c>
      <c r="W68" s="546"/>
      <c r="X68" s="546"/>
      <c r="Y68" s="546"/>
      <c r="Z68" s="545">
        <v>0.9</v>
      </c>
      <c r="AA68" s="546" t="s">
        <v>1468</v>
      </c>
      <c r="AB68" s="556" t="s">
        <v>1564</v>
      </c>
      <c r="AC68" s="558"/>
      <c r="AD68" s="546" t="s">
        <v>534</v>
      </c>
      <c r="AE68" s="556"/>
    </row>
    <row r="69" spans="1:31" x14ac:dyDescent="0.35">
      <c r="A69" s="559" t="s">
        <v>78</v>
      </c>
      <c r="B69" s="557" t="s">
        <v>1565</v>
      </c>
      <c r="C69" s="545"/>
      <c r="D69" s="545"/>
      <c r="E69" s="545"/>
      <c r="F69" s="545"/>
      <c r="G69" s="545"/>
      <c r="H69" s="557"/>
      <c r="I69" s="557"/>
      <c r="J69" s="557"/>
      <c r="K69" s="545"/>
      <c r="L69" s="545"/>
      <c r="M69" s="545"/>
      <c r="N69" s="545"/>
      <c r="O69" s="545"/>
      <c r="P69" s="545"/>
      <c r="Q69" s="545"/>
      <c r="R69" s="545"/>
      <c r="S69" s="544"/>
      <c r="T69" s="545"/>
      <c r="U69" s="545"/>
      <c r="V69" s="545">
        <v>0.86</v>
      </c>
      <c r="W69" s="546"/>
      <c r="X69" s="546"/>
      <c r="Y69" s="546"/>
      <c r="Z69" s="545">
        <v>0.86</v>
      </c>
      <c r="AA69" s="546" t="s">
        <v>1468</v>
      </c>
      <c r="AB69" s="556" t="s">
        <v>1566</v>
      </c>
      <c r="AC69" s="558"/>
      <c r="AD69" s="546" t="s">
        <v>534</v>
      </c>
      <c r="AE69" s="556"/>
    </row>
    <row r="70" spans="1:31" x14ac:dyDescent="0.35">
      <c r="A70" s="559" t="s">
        <v>78</v>
      </c>
      <c r="B70" s="557" t="s">
        <v>1567</v>
      </c>
      <c r="C70" s="545"/>
      <c r="D70" s="545"/>
      <c r="E70" s="545"/>
      <c r="F70" s="545"/>
      <c r="G70" s="545"/>
      <c r="H70" s="557"/>
      <c r="I70" s="557"/>
      <c r="J70" s="557"/>
      <c r="K70" s="545"/>
      <c r="L70" s="545"/>
      <c r="M70" s="545"/>
      <c r="N70" s="545"/>
      <c r="O70" s="545"/>
      <c r="P70" s="545"/>
      <c r="Q70" s="545"/>
      <c r="R70" s="545"/>
      <c r="S70" s="544"/>
      <c r="T70" s="545"/>
      <c r="U70" s="545"/>
      <c r="V70" s="545">
        <v>0.86</v>
      </c>
      <c r="W70" s="546"/>
      <c r="X70" s="546"/>
      <c r="Y70" s="546"/>
      <c r="Z70" s="545">
        <v>0.86</v>
      </c>
      <c r="AA70" s="546" t="s">
        <v>1468</v>
      </c>
      <c r="AB70" s="556" t="s">
        <v>1562</v>
      </c>
      <c r="AC70" s="558"/>
      <c r="AD70" s="546" t="s">
        <v>534</v>
      </c>
      <c r="AE70" s="556"/>
    </row>
    <row r="71" spans="1:31" x14ac:dyDescent="0.35">
      <c r="A71" s="559" t="s">
        <v>78</v>
      </c>
      <c r="B71" s="557" t="s">
        <v>1568</v>
      </c>
      <c r="C71" s="545"/>
      <c r="D71" s="545"/>
      <c r="E71" s="545"/>
      <c r="F71" s="545"/>
      <c r="G71" s="545"/>
      <c r="H71" s="557"/>
      <c r="I71" s="557"/>
      <c r="J71" s="557"/>
      <c r="K71" s="545"/>
      <c r="L71" s="545"/>
      <c r="M71" s="545"/>
      <c r="N71" s="545"/>
      <c r="O71" s="545"/>
      <c r="P71" s="545"/>
      <c r="Q71" s="545"/>
      <c r="R71" s="545"/>
      <c r="S71" s="544"/>
      <c r="T71" s="545"/>
      <c r="U71" s="545"/>
      <c r="V71" s="545">
        <v>0.68</v>
      </c>
      <c r="W71" s="546"/>
      <c r="X71" s="546"/>
      <c r="Y71" s="546"/>
      <c r="Z71" s="545">
        <v>0.68</v>
      </c>
      <c r="AA71" s="546" t="s">
        <v>1468</v>
      </c>
      <c r="AB71" s="556" t="s">
        <v>1558</v>
      </c>
      <c r="AC71" s="558"/>
      <c r="AD71" s="546" t="s">
        <v>534</v>
      </c>
      <c r="AE71" s="556"/>
    </row>
    <row r="72" spans="1:31" x14ac:dyDescent="0.35">
      <c r="A72" s="559" t="s">
        <v>78</v>
      </c>
      <c r="B72" s="559" t="s">
        <v>1569</v>
      </c>
      <c r="C72" s="540"/>
      <c r="D72" s="540"/>
      <c r="E72" s="540"/>
      <c r="F72" s="540"/>
      <c r="G72" s="540"/>
      <c r="H72" s="559"/>
      <c r="I72" s="559"/>
      <c r="J72" s="559"/>
      <c r="K72" s="540"/>
      <c r="L72" s="540"/>
      <c r="M72" s="540"/>
      <c r="N72" s="540"/>
      <c r="O72" s="540"/>
      <c r="P72" s="540"/>
      <c r="Q72" s="540"/>
      <c r="R72" s="540"/>
      <c r="S72" s="541"/>
      <c r="T72" s="540"/>
      <c r="U72" s="540"/>
      <c r="V72" s="540"/>
      <c r="W72" s="542"/>
      <c r="X72" s="542"/>
      <c r="Y72" s="542"/>
      <c r="Z72" s="540">
        <v>0.78</v>
      </c>
      <c r="AA72" s="542" t="s">
        <v>1468</v>
      </c>
      <c r="AB72" s="533" t="s">
        <v>1570</v>
      </c>
      <c r="AC72" s="533"/>
      <c r="AD72" s="542" t="s">
        <v>534</v>
      </c>
      <c r="AE72" s="575"/>
    </row>
    <row r="73" spans="1:31" x14ac:dyDescent="0.35">
      <c r="A73" s="559" t="s">
        <v>78</v>
      </c>
      <c r="B73" s="559" t="s">
        <v>1571</v>
      </c>
      <c r="C73" s="540"/>
      <c r="D73" s="540"/>
      <c r="E73" s="540"/>
      <c r="F73" s="540"/>
      <c r="G73" s="540"/>
      <c r="H73" s="559"/>
      <c r="I73" s="559"/>
      <c r="J73" s="559"/>
      <c r="K73" s="540"/>
      <c r="L73" s="540"/>
      <c r="M73" s="540"/>
      <c r="N73" s="540"/>
      <c r="O73" s="540"/>
      <c r="P73" s="540"/>
      <c r="Q73" s="540"/>
      <c r="R73" s="540"/>
      <c r="S73" s="541"/>
      <c r="T73" s="540"/>
      <c r="U73" s="540"/>
      <c r="V73" s="540"/>
      <c r="W73" s="542"/>
      <c r="X73" s="542"/>
      <c r="Y73" s="542"/>
      <c r="Z73" s="545">
        <v>0.92</v>
      </c>
      <c r="AA73" s="546" t="s">
        <v>1468</v>
      </c>
      <c r="AB73" s="558" t="s">
        <v>1572</v>
      </c>
      <c r="AC73" s="558"/>
      <c r="AD73" s="546" t="s">
        <v>534</v>
      </c>
      <c r="AE73" s="558" t="s">
        <v>1573</v>
      </c>
    </row>
    <row r="74" spans="1:31" x14ac:dyDescent="0.35">
      <c r="A74" s="559" t="s">
        <v>78</v>
      </c>
      <c r="B74" s="559" t="s">
        <v>1574</v>
      </c>
      <c r="C74" s="540"/>
      <c r="D74" s="540"/>
      <c r="E74" s="540"/>
      <c r="F74" s="540"/>
      <c r="G74" s="540"/>
      <c r="H74" s="559"/>
      <c r="I74" s="559"/>
      <c r="J74" s="559"/>
      <c r="K74" s="540"/>
      <c r="L74" s="540"/>
      <c r="M74" s="540"/>
      <c r="N74" s="540"/>
      <c r="O74" s="540"/>
      <c r="P74" s="540"/>
      <c r="Q74" s="540"/>
      <c r="R74" s="540"/>
      <c r="S74" s="541"/>
      <c r="T74" s="540"/>
      <c r="U74" s="540"/>
      <c r="V74" s="540"/>
      <c r="W74" s="542"/>
      <c r="X74" s="542"/>
      <c r="Y74" s="542"/>
      <c r="Z74" s="545">
        <v>1</v>
      </c>
      <c r="AA74" s="546" t="s">
        <v>1468</v>
      </c>
      <c r="AB74" s="558" t="s">
        <v>1572</v>
      </c>
      <c r="AC74" s="558"/>
      <c r="AD74" s="546" t="s">
        <v>534</v>
      </c>
      <c r="AE74" s="558" t="s">
        <v>1573</v>
      </c>
    </row>
    <row r="75" spans="1:31" x14ac:dyDescent="0.35">
      <c r="A75" s="559" t="s">
        <v>78</v>
      </c>
      <c r="B75" s="559" t="s">
        <v>1575</v>
      </c>
      <c r="C75" s="540"/>
      <c r="D75" s="540"/>
      <c r="E75" s="540"/>
      <c r="F75" s="540"/>
      <c r="G75" s="540"/>
      <c r="H75" s="559"/>
      <c r="I75" s="559"/>
      <c r="J75" s="559"/>
      <c r="K75" s="540"/>
      <c r="L75" s="540"/>
      <c r="M75" s="540"/>
      <c r="N75" s="540"/>
      <c r="O75" s="540"/>
      <c r="P75" s="540"/>
      <c r="Q75" s="540"/>
      <c r="R75" s="540"/>
      <c r="S75" s="541"/>
      <c r="T75" s="540"/>
      <c r="U75" s="540"/>
      <c r="V75" s="540"/>
      <c r="W75" s="542"/>
      <c r="X75" s="542"/>
      <c r="Y75" s="542"/>
      <c r="Z75" s="545">
        <v>0.8</v>
      </c>
      <c r="AA75" s="546" t="s">
        <v>1468</v>
      </c>
      <c r="AB75" s="558" t="s">
        <v>1576</v>
      </c>
      <c r="AC75" s="558"/>
      <c r="AD75" s="546" t="s">
        <v>534</v>
      </c>
      <c r="AE75" s="558" t="s">
        <v>1577</v>
      </c>
    </row>
    <row r="76" spans="1:31" x14ac:dyDescent="0.35">
      <c r="A76" s="559" t="s">
        <v>78</v>
      </c>
      <c r="B76" s="559" t="s">
        <v>1578</v>
      </c>
      <c r="C76" s="540"/>
      <c r="D76" s="540"/>
      <c r="E76" s="540"/>
      <c r="F76" s="540"/>
      <c r="G76" s="540"/>
      <c r="H76" s="559"/>
      <c r="I76" s="559"/>
      <c r="J76" s="559"/>
      <c r="K76" s="540"/>
      <c r="L76" s="540"/>
      <c r="M76" s="540"/>
      <c r="N76" s="540"/>
      <c r="O76" s="540"/>
      <c r="P76" s="540"/>
      <c r="Q76" s="540"/>
      <c r="R76" s="540"/>
      <c r="S76" s="541"/>
      <c r="T76" s="540"/>
      <c r="U76" s="540"/>
      <c r="V76" s="540"/>
      <c r="W76" s="542"/>
      <c r="X76" s="542"/>
      <c r="Y76" s="542"/>
      <c r="Z76" s="545">
        <v>0.8</v>
      </c>
      <c r="AA76" s="546" t="s">
        <v>1468</v>
      </c>
      <c r="AB76" s="558" t="s">
        <v>1576</v>
      </c>
      <c r="AC76" s="558"/>
      <c r="AD76" s="546" t="s">
        <v>534</v>
      </c>
      <c r="AE76" s="558" t="s">
        <v>1577</v>
      </c>
    </row>
    <row r="77" spans="1:31" x14ac:dyDescent="0.35">
      <c r="A77" s="559" t="s">
        <v>78</v>
      </c>
      <c r="B77" s="559" t="s">
        <v>1579</v>
      </c>
      <c r="C77" s="540"/>
      <c r="D77" s="540"/>
      <c r="E77" s="540"/>
      <c r="F77" s="540"/>
      <c r="G77" s="540"/>
      <c r="H77" s="559"/>
      <c r="I77" s="559"/>
      <c r="J77" s="559"/>
      <c r="K77" s="540"/>
      <c r="L77" s="540"/>
      <c r="M77" s="540"/>
      <c r="N77" s="540"/>
      <c r="O77" s="540"/>
      <c r="P77" s="540"/>
      <c r="Q77" s="540"/>
      <c r="R77" s="540"/>
      <c r="S77" s="541"/>
      <c r="T77" s="540"/>
      <c r="U77" s="540"/>
      <c r="V77" s="540"/>
      <c r="W77" s="542"/>
      <c r="X77" s="542"/>
      <c r="Y77" s="542"/>
      <c r="Z77" s="545">
        <v>0.8</v>
      </c>
      <c r="AA77" s="546" t="s">
        <v>1468</v>
      </c>
      <c r="AB77" s="558" t="s">
        <v>1576</v>
      </c>
      <c r="AC77" s="558"/>
      <c r="AD77" s="546" t="s">
        <v>534</v>
      </c>
      <c r="AE77" s="558" t="s">
        <v>1577</v>
      </c>
    </row>
    <row r="78" spans="1:31" x14ac:dyDescent="0.35">
      <c r="A78" s="559" t="s">
        <v>78</v>
      </c>
      <c r="B78" s="559" t="s">
        <v>1580</v>
      </c>
      <c r="C78" s="540"/>
      <c r="D78" s="540"/>
      <c r="E78" s="540"/>
      <c r="F78" s="540"/>
      <c r="G78" s="540"/>
      <c r="H78" s="559"/>
      <c r="I78" s="559"/>
      <c r="J78" s="559"/>
      <c r="K78" s="540"/>
      <c r="L78" s="540"/>
      <c r="M78" s="540"/>
      <c r="N78" s="540"/>
      <c r="O78" s="540"/>
      <c r="P78" s="540"/>
      <c r="Q78" s="540"/>
      <c r="R78" s="540"/>
      <c r="S78" s="541"/>
      <c r="T78" s="540"/>
      <c r="U78" s="540"/>
      <c r="V78" s="540"/>
      <c r="W78" s="542"/>
      <c r="X78" s="542"/>
      <c r="Y78" s="542"/>
      <c r="Z78" s="540">
        <v>0.86</v>
      </c>
      <c r="AA78" s="542" t="s">
        <v>1468</v>
      </c>
      <c r="AB78" s="575" t="s">
        <v>1570</v>
      </c>
      <c r="AC78" s="533"/>
      <c r="AD78" s="542" t="s">
        <v>534</v>
      </c>
      <c r="AE78" s="575"/>
    </row>
    <row r="79" spans="1:31" hidden="1" x14ac:dyDescent="0.35">
      <c r="A79" s="559" t="s">
        <v>78</v>
      </c>
      <c r="B79" s="557" t="s">
        <v>1581</v>
      </c>
      <c r="C79" s="545"/>
      <c r="D79" s="545"/>
      <c r="E79" s="545"/>
      <c r="F79" s="545"/>
      <c r="G79" s="545"/>
      <c r="H79" s="557"/>
      <c r="I79" s="557"/>
      <c r="J79" s="557"/>
      <c r="K79" s="545"/>
      <c r="L79" s="545"/>
      <c r="M79" s="545"/>
      <c r="N79" s="545"/>
      <c r="O79" s="545"/>
      <c r="P79" s="545"/>
      <c r="Q79" s="545"/>
      <c r="R79" s="545"/>
      <c r="S79" s="544"/>
      <c r="T79" s="545"/>
      <c r="U79" s="545"/>
      <c r="V79" s="545">
        <v>0.94</v>
      </c>
      <c r="W79" s="546"/>
      <c r="X79" s="546"/>
      <c r="Y79" s="546"/>
      <c r="Z79" s="546">
        <v>0.94</v>
      </c>
      <c r="AA79" s="546" t="s">
        <v>1468</v>
      </c>
      <c r="AB79" s="556" t="s">
        <v>1562</v>
      </c>
      <c r="AC79" s="558"/>
      <c r="AD79" s="546" t="s">
        <v>534</v>
      </c>
      <c r="AE79" s="556"/>
    </row>
    <row r="80" spans="1:31" hidden="1" x14ac:dyDescent="0.35">
      <c r="A80" s="557" t="s">
        <v>1582</v>
      </c>
      <c r="B80" s="557" t="s">
        <v>1583</v>
      </c>
      <c r="C80" s="546"/>
      <c r="D80" s="546"/>
      <c r="E80" s="546"/>
      <c r="F80" s="546"/>
      <c r="G80" s="546"/>
      <c r="H80" s="546"/>
      <c r="I80" s="546"/>
      <c r="J80" s="546"/>
      <c r="K80" s="546"/>
      <c r="L80" s="546"/>
      <c r="M80" s="546"/>
      <c r="N80" s="546"/>
      <c r="O80" s="557"/>
      <c r="P80" s="557"/>
      <c r="Q80" s="557"/>
      <c r="R80" s="545"/>
      <c r="S80" s="555"/>
      <c r="T80" s="558"/>
      <c r="U80" s="558"/>
      <c r="V80" s="545"/>
      <c r="W80" s="546"/>
      <c r="X80" s="546"/>
      <c r="Y80" s="546"/>
      <c r="Z80" s="545">
        <v>1</v>
      </c>
      <c r="AA80" s="576" t="s">
        <v>1468</v>
      </c>
      <c r="AB80" s="547" t="s">
        <v>1469</v>
      </c>
      <c r="AC80" s="547"/>
      <c r="AD80" s="546" t="s">
        <v>1271</v>
      </c>
      <c r="AE80" s="547"/>
    </row>
    <row r="81" spans="1:31" hidden="1" x14ac:dyDescent="0.35">
      <c r="A81" s="557" t="s">
        <v>1582</v>
      </c>
      <c r="B81" s="557" t="s">
        <v>1584</v>
      </c>
      <c r="C81" s="546"/>
      <c r="D81" s="546"/>
      <c r="E81" s="546"/>
      <c r="F81" s="546"/>
      <c r="G81" s="546"/>
      <c r="H81" s="546"/>
      <c r="I81" s="546"/>
      <c r="J81" s="546"/>
      <c r="K81" s="546"/>
      <c r="L81" s="546"/>
      <c r="M81" s="546"/>
      <c r="N81" s="546"/>
      <c r="O81" s="557"/>
      <c r="P81" s="557"/>
      <c r="Q81" s="557"/>
      <c r="R81" s="545"/>
      <c r="S81" s="555"/>
      <c r="T81" s="558"/>
      <c r="U81" s="558"/>
      <c r="V81" s="545"/>
      <c r="W81" s="546"/>
      <c r="X81" s="546"/>
      <c r="Y81" s="546"/>
      <c r="Z81" s="545">
        <v>1</v>
      </c>
      <c r="AA81" s="576" t="s">
        <v>1468</v>
      </c>
      <c r="AB81" s="547" t="s">
        <v>1469</v>
      </c>
      <c r="AC81" s="547"/>
      <c r="AD81" s="546" t="s">
        <v>1271</v>
      </c>
      <c r="AE81" s="547"/>
    </row>
    <row r="82" spans="1:31" hidden="1" x14ac:dyDescent="0.35">
      <c r="A82" s="557" t="s">
        <v>1582</v>
      </c>
      <c r="B82" s="557" t="s">
        <v>1585</v>
      </c>
      <c r="C82" s="546"/>
      <c r="D82" s="546"/>
      <c r="E82" s="546"/>
      <c r="F82" s="546"/>
      <c r="G82" s="546"/>
      <c r="H82" s="546"/>
      <c r="I82" s="546"/>
      <c r="J82" s="546"/>
      <c r="K82" s="546"/>
      <c r="L82" s="546"/>
      <c r="M82" s="546"/>
      <c r="N82" s="546"/>
      <c r="O82" s="557"/>
      <c r="P82" s="557"/>
      <c r="Q82" s="557"/>
      <c r="R82" s="545"/>
      <c r="S82" s="555"/>
      <c r="T82" s="558"/>
      <c r="U82" s="558"/>
      <c r="V82" s="545"/>
      <c r="W82" s="546"/>
      <c r="X82" s="546"/>
      <c r="Y82" s="546"/>
      <c r="Z82" s="545">
        <v>1</v>
      </c>
      <c r="AA82" s="576" t="s">
        <v>1468</v>
      </c>
      <c r="AB82" s="547" t="s">
        <v>1469</v>
      </c>
      <c r="AC82" s="547"/>
      <c r="AD82" s="546" t="s">
        <v>1271</v>
      </c>
      <c r="AE82" s="547"/>
    </row>
    <row r="83" spans="1:31" hidden="1" x14ac:dyDescent="0.35">
      <c r="A83" s="530" t="s">
        <v>1586</v>
      </c>
      <c r="B83" s="552" t="s">
        <v>1587</v>
      </c>
      <c r="C83" s="545" t="s">
        <v>1271</v>
      </c>
      <c r="D83" s="545" t="s">
        <v>1271</v>
      </c>
      <c r="E83" s="545" t="s">
        <v>1271</v>
      </c>
      <c r="F83" s="545">
        <v>0.95</v>
      </c>
      <c r="G83" s="545">
        <v>0.9</v>
      </c>
      <c r="H83" s="545" t="s">
        <v>1441</v>
      </c>
      <c r="I83" s="545" t="s">
        <v>1441</v>
      </c>
      <c r="J83" s="545" t="s">
        <v>1441</v>
      </c>
      <c r="K83" s="545" t="s">
        <v>1441</v>
      </c>
      <c r="L83" s="545" t="s">
        <v>1441</v>
      </c>
      <c r="M83" s="545" t="s">
        <v>1441</v>
      </c>
      <c r="N83" s="545">
        <v>0.95</v>
      </c>
      <c r="O83" s="545">
        <v>0.05</v>
      </c>
      <c r="P83" s="545">
        <v>0</v>
      </c>
      <c r="Q83" s="545">
        <v>0</v>
      </c>
      <c r="R83" s="545">
        <f>1-O83+P83+Q83</f>
        <v>0.95</v>
      </c>
      <c r="S83" s="545">
        <v>0.105</v>
      </c>
      <c r="T83" s="554">
        <v>0.02</v>
      </c>
      <c r="U83" s="577">
        <v>0</v>
      </c>
      <c r="V83" s="540">
        <v>0.91</v>
      </c>
      <c r="W83" s="540">
        <v>0.11</v>
      </c>
      <c r="X83" s="540">
        <v>0.02</v>
      </c>
      <c r="Y83" s="540">
        <v>0</v>
      </c>
      <c r="Z83" s="540">
        <v>0.91</v>
      </c>
      <c r="AA83" s="545" t="s">
        <v>1431</v>
      </c>
      <c r="AB83" s="543" t="s">
        <v>1588</v>
      </c>
      <c r="AC83" s="543" t="s">
        <v>1589</v>
      </c>
      <c r="AD83" s="540" t="s">
        <v>533</v>
      </c>
      <c r="AE83" s="548"/>
    </row>
    <row r="84" spans="1:31" hidden="1" x14ac:dyDescent="0.35">
      <c r="A84" s="559" t="s">
        <v>1586</v>
      </c>
      <c r="B84" s="557" t="s">
        <v>1590</v>
      </c>
      <c r="C84" s="537"/>
      <c r="D84" s="537"/>
      <c r="E84" s="537"/>
      <c r="F84" s="537"/>
      <c r="G84" s="537"/>
      <c r="H84" s="548"/>
      <c r="I84" s="548"/>
      <c r="J84" s="548"/>
      <c r="K84" s="548"/>
      <c r="L84" s="548"/>
      <c r="M84" s="548"/>
      <c r="N84" s="548"/>
      <c r="O84" s="548"/>
      <c r="P84" s="548"/>
      <c r="Q84" s="548"/>
      <c r="R84" s="537"/>
      <c r="S84" s="555"/>
      <c r="T84" s="558"/>
      <c r="U84" s="558"/>
      <c r="V84" s="545">
        <v>0.95</v>
      </c>
      <c r="W84" s="557"/>
      <c r="X84" s="557"/>
      <c r="Y84" s="557"/>
      <c r="Z84" s="545">
        <v>0.95</v>
      </c>
      <c r="AA84" s="546" t="s">
        <v>1468</v>
      </c>
      <c r="AB84" s="557" t="s">
        <v>1591</v>
      </c>
      <c r="AC84" s="557"/>
      <c r="AD84" s="546" t="s">
        <v>534</v>
      </c>
      <c r="AE84" s="557"/>
    </row>
    <row r="85" spans="1:31" hidden="1" x14ac:dyDescent="0.35">
      <c r="A85" s="559" t="s">
        <v>1586</v>
      </c>
      <c r="B85" s="557" t="s">
        <v>1592</v>
      </c>
      <c r="C85" s="537"/>
      <c r="D85" s="537"/>
      <c r="E85" s="537"/>
      <c r="F85" s="537"/>
      <c r="G85" s="537"/>
      <c r="H85" s="537"/>
      <c r="I85" s="537"/>
      <c r="J85" s="537"/>
      <c r="K85" s="537"/>
      <c r="L85" s="537"/>
      <c r="M85" s="537"/>
      <c r="N85" s="537"/>
      <c r="O85" s="537"/>
      <c r="P85" s="537"/>
      <c r="Q85" s="537"/>
      <c r="R85" s="537"/>
      <c r="S85" s="555"/>
      <c r="T85" s="558"/>
      <c r="U85" s="558"/>
      <c r="V85" s="545">
        <v>1</v>
      </c>
      <c r="W85" s="546"/>
      <c r="X85" s="546"/>
      <c r="Y85" s="546"/>
      <c r="Z85" s="545">
        <v>1</v>
      </c>
      <c r="AA85" s="546" t="s">
        <v>1468</v>
      </c>
      <c r="AB85" s="547" t="s">
        <v>1593</v>
      </c>
      <c r="AC85" s="547"/>
      <c r="AD85" s="546" t="s">
        <v>534</v>
      </c>
      <c r="AE85" s="547" t="s">
        <v>1594</v>
      </c>
    </row>
    <row r="86" spans="1:31" hidden="1" x14ac:dyDescent="0.35">
      <c r="A86" s="559" t="s">
        <v>1586</v>
      </c>
      <c r="B86" s="559" t="s">
        <v>1595</v>
      </c>
      <c r="C86" s="533"/>
      <c r="D86" s="533"/>
      <c r="E86" s="533"/>
      <c r="F86" s="533"/>
      <c r="G86" s="533"/>
      <c r="H86" s="575"/>
      <c r="I86" s="575"/>
      <c r="J86" s="575"/>
      <c r="K86" s="575"/>
      <c r="L86" s="575"/>
      <c r="M86" s="575"/>
      <c r="N86" s="533"/>
      <c r="O86" s="533"/>
      <c r="P86" s="533"/>
      <c r="Q86" s="533"/>
      <c r="R86" s="533"/>
      <c r="S86" s="534"/>
      <c r="T86" s="533"/>
      <c r="U86" s="533"/>
      <c r="V86" s="540">
        <v>0.8</v>
      </c>
      <c r="W86" s="559"/>
      <c r="X86" s="559"/>
      <c r="Y86" s="559"/>
      <c r="Z86" s="540">
        <v>0.89</v>
      </c>
      <c r="AA86" s="542" t="s">
        <v>1468</v>
      </c>
      <c r="AB86" s="559" t="s">
        <v>1596</v>
      </c>
      <c r="AC86" s="559"/>
      <c r="AD86" s="542" t="s">
        <v>534</v>
      </c>
      <c r="AE86" s="559"/>
    </row>
    <row r="87" spans="1:31" hidden="1" x14ac:dyDescent="0.35">
      <c r="A87" s="559" t="s">
        <v>1586</v>
      </c>
      <c r="B87" s="557" t="s">
        <v>1597</v>
      </c>
      <c r="C87" s="537"/>
      <c r="D87" s="537"/>
      <c r="E87" s="537"/>
      <c r="F87" s="537"/>
      <c r="G87" s="537"/>
      <c r="H87" s="548"/>
      <c r="I87" s="548"/>
      <c r="J87" s="548"/>
      <c r="K87" s="548"/>
      <c r="L87" s="548"/>
      <c r="M87" s="548"/>
      <c r="N87" s="537"/>
      <c r="O87" s="537"/>
      <c r="P87" s="537"/>
      <c r="Q87" s="537"/>
      <c r="R87" s="537"/>
      <c r="S87" s="555"/>
      <c r="T87" s="558"/>
      <c r="U87" s="558"/>
      <c r="V87" s="545">
        <v>0.95</v>
      </c>
      <c r="W87" s="557"/>
      <c r="X87" s="557"/>
      <c r="Y87" s="557"/>
      <c r="Z87" s="545">
        <v>0.95</v>
      </c>
      <c r="AA87" s="546" t="s">
        <v>1468</v>
      </c>
      <c r="AB87" s="557" t="s">
        <v>1598</v>
      </c>
      <c r="AC87" s="557"/>
      <c r="AD87" s="546" t="s">
        <v>534</v>
      </c>
      <c r="AE87" s="557"/>
    </row>
    <row r="88" spans="1:31" hidden="1" x14ac:dyDescent="0.35">
      <c r="A88" s="557" t="s">
        <v>1586</v>
      </c>
      <c r="B88" s="557" t="s">
        <v>1599</v>
      </c>
      <c r="C88" s="578"/>
      <c r="D88" s="578"/>
      <c r="E88" s="578"/>
      <c r="F88" s="578"/>
      <c r="G88" s="578"/>
      <c r="H88" s="578"/>
      <c r="I88" s="578"/>
      <c r="J88" s="578"/>
      <c r="K88" s="578"/>
      <c r="L88" s="578"/>
      <c r="M88" s="578"/>
      <c r="N88" s="558"/>
      <c r="O88" s="558"/>
      <c r="P88" s="558"/>
      <c r="Q88" s="558"/>
      <c r="R88" s="558"/>
      <c r="S88" s="555"/>
      <c r="T88" s="558"/>
      <c r="U88" s="558"/>
      <c r="V88" s="545">
        <v>1</v>
      </c>
      <c r="W88" s="545">
        <v>0.39</v>
      </c>
      <c r="X88" s="545">
        <v>0.02</v>
      </c>
      <c r="Y88" s="579"/>
      <c r="Z88" s="545">
        <v>0.77</v>
      </c>
      <c r="AA88" s="546" t="s">
        <v>1468</v>
      </c>
      <c r="AB88" s="580" t="s">
        <v>1600</v>
      </c>
      <c r="AC88" s="579"/>
      <c r="AD88" s="581" t="s">
        <v>533</v>
      </c>
      <c r="AE88" s="556"/>
    </row>
    <row r="89" spans="1:31" hidden="1" x14ac:dyDescent="0.35">
      <c r="A89" s="559" t="s">
        <v>1586</v>
      </c>
      <c r="B89" s="559" t="s">
        <v>1601</v>
      </c>
      <c r="C89" s="2931" t="s">
        <v>1602</v>
      </c>
      <c r="D89" s="2931"/>
      <c r="E89" s="2931"/>
      <c r="F89" s="2931"/>
      <c r="G89" s="2931"/>
      <c r="H89" s="2931"/>
      <c r="I89" s="2931"/>
      <c r="J89" s="2931"/>
      <c r="K89" s="2931"/>
      <c r="L89" s="2931"/>
      <c r="M89" s="2931"/>
      <c r="N89" s="2931"/>
      <c r="O89" s="2931"/>
      <c r="P89" s="2931"/>
      <c r="Q89" s="2931"/>
      <c r="R89" s="536">
        <v>0.9</v>
      </c>
      <c r="S89" s="549"/>
      <c r="T89" s="537"/>
      <c r="U89" s="537"/>
      <c r="V89" s="540">
        <v>0.9</v>
      </c>
      <c r="W89" s="582"/>
      <c r="X89" s="582"/>
      <c r="Y89" s="582"/>
      <c r="Z89" s="540">
        <v>0.9</v>
      </c>
      <c r="AA89" s="546" t="s">
        <v>1468</v>
      </c>
      <c r="AB89" s="582" t="s">
        <v>1603</v>
      </c>
      <c r="AC89" s="582"/>
      <c r="AD89" s="536" t="s">
        <v>534</v>
      </c>
      <c r="AE89" s="582"/>
    </row>
    <row r="90" spans="1:31" hidden="1" x14ac:dyDescent="0.35">
      <c r="A90" s="559" t="s">
        <v>1586</v>
      </c>
      <c r="B90" s="559" t="s">
        <v>1604</v>
      </c>
      <c r="C90" s="536"/>
      <c r="D90" s="536"/>
      <c r="E90" s="536"/>
      <c r="F90" s="536"/>
      <c r="G90" s="536"/>
      <c r="H90" s="536"/>
      <c r="I90" s="536"/>
      <c r="J90" s="536"/>
      <c r="K90" s="536"/>
      <c r="L90" s="536"/>
      <c r="M90" s="536"/>
      <c r="N90" s="536"/>
      <c r="O90" s="536"/>
      <c r="P90" s="536"/>
      <c r="Q90" s="536"/>
      <c r="R90" s="536"/>
      <c r="S90" s="549"/>
      <c r="T90" s="537"/>
      <c r="U90" s="537"/>
      <c r="V90" s="540" t="s">
        <v>1605</v>
      </c>
      <c r="W90" s="536" t="s">
        <v>1606</v>
      </c>
      <c r="X90" s="582"/>
      <c r="Y90" s="582"/>
      <c r="Z90" s="540" t="s">
        <v>1605</v>
      </c>
      <c r="AA90" s="540" t="s">
        <v>1431</v>
      </c>
      <c r="AB90" s="582"/>
      <c r="AC90" s="582"/>
      <c r="AD90" s="536" t="s">
        <v>1271</v>
      </c>
      <c r="AE90" s="582"/>
    </row>
    <row r="91" spans="1:31" hidden="1" x14ac:dyDescent="0.35">
      <c r="A91" s="557" t="s">
        <v>1607</v>
      </c>
      <c r="B91" s="557" t="s">
        <v>1608</v>
      </c>
      <c r="C91" s="546"/>
      <c r="D91" s="546"/>
      <c r="E91" s="546"/>
      <c r="F91" s="546"/>
      <c r="G91" s="546"/>
      <c r="H91" s="546"/>
      <c r="I91" s="546"/>
      <c r="J91" s="546"/>
      <c r="K91" s="546"/>
      <c r="L91" s="546"/>
      <c r="M91" s="546"/>
      <c r="N91" s="546"/>
      <c r="O91" s="546"/>
      <c r="P91" s="546"/>
      <c r="Q91" s="546"/>
      <c r="R91" s="546"/>
      <c r="S91" s="555"/>
      <c r="T91" s="558"/>
      <c r="U91" s="558"/>
      <c r="V91" s="545"/>
      <c r="W91" s="546"/>
      <c r="X91" s="547"/>
      <c r="Y91" s="547"/>
      <c r="Z91" s="545">
        <v>0.95</v>
      </c>
      <c r="AA91" s="545" t="s">
        <v>1468</v>
      </c>
      <c r="AB91" s="556" t="s">
        <v>1609</v>
      </c>
      <c r="AC91" s="556" t="s">
        <v>1609</v>
      </c>
      <c r="AD91" s="546" t="s">
        <v>534</v>
      </c>
      <c r="AE91" s="556"/>
    </row>
    <row r="92" spans="1:31" hidden="1" x14ac:dyDescent="0.35">
      <c r="A92" s="559" t="s">
        <v>1610</v>
      </c>
      <c r="B92" s="557" t="s">
        <v>1611</v>
      </c>
      <c r="C92" s="545">
        <v>0.68</v>
      </c>
      <c r="D92" s="545">
        <v>0.57999999999999996</v>
      </c>
      <c r="E92" s="545">
        <v>0.71</v>
      </c>
      <c r="F92" s="545">
        <v>0.54</v>
      </c>
      <c r="G92" s="545"/>
      <c r="H92" s="545">
        <v>0.48</v>
      </c>
      <c r="I92" s="545">
        <v>0.02</v>
      </c>
      <c r="J92" s="545">
        <v>0.54</v>
      </c>
      <c r="K92" s="545"/>
      <c r="L92" s="545"/>
      <c r="M92" s="545"/>
      <c r="N92" s="545"/>
      <c r="O92" s="545"/>
      <c r="P92" s="545"/>
      <c r="Q92" s="545"/>
      <c r="R92" s="545"/>
      <c r="S92" s="544"/>
      <c r="T92" s="545"/>
      <c r="U92" s="545"/>
      <c r="V92" s="545"/>
      <c r="W92" s="540"/>
      <c r="X92" s="540"/>
      <c r="Y92" s="540"/>
      <c r="Z92" s="540"/>
      <c r="AA92" s="540" t="s">
        <v>1431</v>
      </c>
      <c r="AB92" s="543"/>
      <c r="AC92" s="543"/>
      <c r="AD92" s="560" t="s">
        <v>1428</v>
      </c>
      <c r="AE92" s="537"/>
    </row>
    <row r="93" spans="1:31" hidden="1" x14ac:dyDescent="0.35">
      <c r="A93" s="559" t="s">
        <v>1610</v>
      </c>
      <c r="B93" s="559" t="s">
        <v>1612</v>
      </c>
      <c r="C93" s="540"/>
      <c r="D93" s="540"/>
      <c r="E93" s="540"/>
      <c r="F93" s="540">
        <v>0.55000000000000004</v>
      </c>
      <c r="G93" s="540">
        <v>0.72</v>
      </c>
      <c r="H93" s="540">
        <v>0.47</v>
      </c>
      <c r="I93" s="540">
        <v>0.02</v>
      </c>
      <c r="J93" s="540">
        <v>0.55000000000000004</v>
      </c>
      <c r="K93" s="540">
        <v>0.41</v>
      </c>
      <c r="L93" s="540">
        <v>0.01</v>
      </c>
      <c r="M93" s="540">
        <v>0.59</v>
      </c>
      <c r="N93" s="540">
        <v>0.54</v>
      </c>
      <c r="O93" s="540"/>
      <c r="P93" s="540">
        <v>0.01</v>
      </c>
      <c r="Q93" s="583">
        <v>3.0000000000000001E-3</v>
      </c>
      <c r="R93" s="540">
        <v>0.6</v>
      </c>
      <c r="S93" s="541">
        <v>0.42</v>
      </c>
      <c r="T93" s="584">
        <v>0.01</v>
      </c>
      <c r="U93" s="540"/>
      <c r="V93" s="540">
        <v>0.59</v>
      </c>
      <c r="W93" s="540">
        <v>0.45</v>
      </c>
      <c r="X93" s="584">
        <v>5.0000000000000001E-3</v>
      </c>
      <c r="Y93" s="583">
        <v>8.0000000000000002E-3</v>
      </c>
      <c r="Z93" s="540">
        <v>0.56999999999999995</v>
      </c>
      <c r="AA93" s="540" t="s">
        <v>1431</v>
      </c>
      <c r="AB93" s="561" t="s">
        <v>1613</v>
      </c>
      <c r="AC93" s="561" t="s">
        <v>1613</v>
      </c>
      <c r="AD93" s="540" t="s">
        <v>533</v>
      </c>
      <c r="AE93" s="559"/>
    </row>
    <row r="94" spans="1:31" hidden="1" x14ac:dyDescent="0.35">
      <c r="A94" s="559" t="s">
        <v>1610</v>
      </c>
      <c r="B94" s="559" t="s">
        <v>1614</v>
      </c>
      <c r="C94" s="540"/>
      <c r="D94" s="540"/>
      <c r="E94" s="540"/>
      <c r="F94" s="540">
        <v>0.44</v>
      </c>
      <c r="G94" s="540">
        <v>0.8</v>
      </c>
      <c r="H94" s="540">
        <v>0.53</v>
      </c>
      <c r="I94" s="540">
        <v>0.02</v>
      </c>
      <c r="J94" s="540">
        <v>0.48</v>
      </c>
      <c r="K94" s="540">
        <v>0.47</v>
      </c>
      <c r="L94" s="540">
        <v>0.01</v>
      </c>
      <c r="M94" s="540">
        <v>0.54</v>
      </c>
      <c r="N94" s="540">
        <v>0.8</v>
      </c>
      <c r="O94" s="540"/>
      <c r="P94" s="540">
        <v>0.01</v>
      </c>
      <c r="Q94" s="583">
        <v>3.0000000000000001E-3</v>
      </c>
      <c r="R94" s="540">
        <v>0.51</v>
      </c>
      <c r="S94" s="541">
        <v>0.47</v>
      </c>
      <c r="T94" s="584">
        <v>0.01</v>
      </c>
      <c r="U94" s="540"/>
      <c r="V94" s="540">
        <v>0.54</v>
      </c>
      <c r="W94" s="540">
        <v>0.59</v>
      </c>
      <c r="X94" s="584">
        <v>0.02</v>
      </c>
      <c r="Y94" s="540"/>
      <c r="Z94" s="540">
        <v>0.43</v>
      </c>
      <c r="AA94" s="540" t="s">
        <v>1431</v>
      </c>
      <c r="AB94" s="561" t="s">
        <v>1615</v>
      </c>
      <c r="AC94" s="561" t="s">
        <v>1615</v>
      </c>
      <c r="AD94" s="540" t="s">
        <v>533</v>
      </c>
      <c r="AE94" s="559"/>
    </row>
    <row r="95" spans="1:31" hidden="1" x14ac:dyDescent="0.35">
      <c r="A95" s="559" t="s">
        <v>1610</v>
      </c>
      <c r="B95" s="559" t="s">
        <v>1616</v>
      </c>
      <c r="C95" s="540"/>
      <c r="D95" s="540"/>
      <c r="E95" s="540"/>
      <c r="F95" s="540">
        <v>0.54</v>
      </c>
      <c r="G95" s="540">
        <v>0.79</v>
      </c>
      <c r="H95" s="540">
        <v>0.48</v>
      </c>
      <c r="I95" s="540">
        <v>0.02</v>
      </c>
      <c r="J95" s="540">
        <v>0.54</v>
      </c>
      <c r="K95" s="540" t="s">
        <v>1441</v>
      </c>
      <c r="L95" s="540" t="s">
        <v>1441</v>
      </c>
      <c r="M95" s="540" t="s">
        <v>1441</v>
      </c>
      <c r="N95" s="540">
        <v>0.54</v>
      </c>
      <c r="O95" s="540"/>
      <c r="P95" s="540"/>
      <c r="Q95" s="540"/>
      <c r="R95" s="540">
        <v>0.75</v>
      </c>
      <c r="S95" s="541"/>
      <c r="T95" s="541"/>
      <c r="U95" s="541"/>
      <c r="V95" s="540" t="s">
        <v>1617</v>
      </c>
      <c r="W95" s="540"/>
      <c r="X95" s="541"/>
      <c r="Y95" s="540"/>
      <c r="Z95" s="540">
        <v>0.56000000000000005</v>
      </c>
      <c r="AA95" s="540" t="s">
        <v>1431</v>
      </c>
      <c r="AB95" s="543" t="s">
        <v>1618</v>
      </c>
      <c r="AC95" s="561"/>
      <c r="AD95" s="540" t="s">
        <v>534</v>
      </c>
      <c r="AE95" s="543"/>
    </row>
    <row r="96" spans="1:31" hidden="1" x14ac:dyDescent="0.35">
      <c r="A96" s="559" t="s">
        <v>1610</v>
      </c>
      <c r="B96" s="559" t="s">
        <v>1619</v>
      </c>
      <c r="C96" s="540"/>
      <c r="D96" s="540"/>
      <c r="E96" s="540"/>
      <c r="F96" s="540">
        <v>0.54</v>
      </c>
      <c r="G96" s="540" t="s">
        <v>1271</v>
      </c>
      <c r="H96" s="540">
        <v>0.53</v>
      </c>
      <c r="I96" s="540">
        <v>0.02</v>
      </c>
      <c r="J96" s="540">
        <v>0.48</v>
      </c>
      <c r="K96" s="540">
        <v>0.44</v>
      </c>
      <c r="L96" s="540">
        <v>0.17</v>
      </c>
      <c r="M96" s="540">
        <v>0.73</v>
      </c>
      <c r="N96" s="540"/>
      <c r="O96" s="540"/>
      <c r="P96" s="540"/>
      <c r="Q96" s="540"/>
      <c r="R96" s="540">
        <v>0.75</v>
      </c>
      <c r="S96" s="541">
        <v>0.44</v>
      </c>
      <c r="T96" s="540">
        <v>0.17</v>
      </c>
      <c r="U96" s="540"/>
      <c r="V96" s="540">
        <v>0.73</v>
      </c>
      <c r="W96" s="540">
        <v>0.49</v>
      </c>
      <c r="X96" s="583">
        <v>8.9999999999999993E-3</v>
      </c>
      <c r="Y96" s="583">
        <v>6.5000000000000002E-2</v>
      </c>
      <c r="Z96" s="540">
        <v>0.57999999999999996</v>
      </c>
      <c r="AA96" s="540" t="s">
        <v>1431</v>
      </c>
      <c r="AB96" s="561" t="s">
        <v>1613</v>
      </c>
      <c r="AC96" s="561" t="s">
        <v>1613</v>
      </c>
      <c r="AD96" s="540" t="s">
        <v>533</v>
      </c>
      <c r="AE96" s="559"/>
    </row>
    <row r="97" spans="1:31" hidden="1" x14ac:dyDescent="0.35">
      <c r="A97" s="559" t="s">
        <v>1610</v>
      </c>
      <c r="B97" s="559" t="s">
        <v>1620</v>
      </c>
      <c r="C97" s="540"/>
      <c r="D97" s="540"/>
      <c r="E97" s="540"/>
      <c r="F97" s="540"/>
      <c r="G97" s="540"/>
      <c r="H97" s="540"/>
      <c r="I97" s="540"/>
      <c r="J97" s="540"/>
      <c r="K97" s="540"/>
      <c r="L97" s="540"/>
      <c r="M97" s="540"/>
      <c r="N97" s="540"/>
      <c r="O97" s="540"/>
      <c r="P97" s="540"/>
      <c r="Q97" s="540"/>
      <c r="R97" s="540"/>
      <c r="S97" s="541"/>
      <c r="T97" s="540"/>
      <c r="U97" s="540"/>
      <c r="V97" s="540"/>
      <c r="W97" s="540">
        <v>0.42</v>
      </c>
      <c r="X97" s="583">
        <v>8.9999999999999993E-3</v>
      </c>
      <c r="Y97" s="583">
        <v>1.4E-2</v>
      </c>
      <c r="Z97" s="540">
        <v>0.6</v>
      </c>
      <c r="AA97" s="540" t="s">
        <v>1431</v>
      </c>
      <c r="AB97" s="561" t="s">
        <v>1613</v>
      </c>
      <c r="AC97" s="561" t="s">
        <v>1613</v>
      </c>
      <c r="AD97" s="540" t="s">
        <v>533</v>
      </c>
      <c r="AE97" s="585"/>
    </row>
    <row r="98" spans="1:31" hidden="1" x14ac:dyDescent="0.35">
      <c r="A98" s="559" t="s">
        <v>1610</v>
      </c>
      <c r="B98" s="559" t="s">
        <v>1621</v>
      </c>
      <c r="C98" s="531"/>
      <c r="D98" s="531"/>
      <c r="E98" s="531"/>
      <c r="F98" s="531">
        <v>0.54</v>
      </c>
      <c r="G98" s="540" t="s">
        <v>1271</v>
      </c>
      <c r="H98" s="540">
        <v>0.48</v>
      </c>
      <c r="I98" s="540">
        <v>0.02</v>
      </c>
      <c r="J98" s="540">
        <v>0.54</v>
      </c>
      <c r="K98" s="540">
        <v>0.44</v>
      </c>
      <c r="L98" s="540">
        <v>0.17</v>
      </c>
      <c r="M98" s="540">
        <v>0.73</v>
      </c>
      <c r="N98" s="540"/>
      <c r="O98" s="540"/>
      <c r="P98" s="540"/>
      <c r="Q98" s="540"/>
      <c r="R98" s="540">
        <v>0.75</v>
      </c>
      <c r="S98" s="541">
        <v>0.44</v>
      </c>
      <c r="T98" s="540">
        <v>0.17</v>
      </c>
      <c r="U98" s="540"/>
      <c r="V98" s="540">
        <v>0.73</v>
      </c>
      <c r="W98" s="540">
        <v>0.44</v>
      </c>
      <c r="X98" s="540">
        <v>0.17</v>
      </c>
      <c r="Y98" s="540"/>
      <c r="Z98" s="540">
        <v>0.73</v>
      </c>
      <c r="AA98" s="540" t="s">
        <v>1431</v>
      </c>
      <c r="AB98" s="561" t="s">
        <v>1615</v>
      </c>
      <c r="AC98" s="561" t="s">
        <v>1615</v>
      </c>
      <c r="AD98" s="540" t="s">
        <v>533</v>
      </c>
      <c r="AE98" s="549"/>
    </row>
    <row r="99" spans="1:31" hidden="1" x14ac:dyDescent="0.35">
      <c r="A99" s="559" t="s">
        <v>1610</v>
      </c>
      <c r="B99" s="559" t="s">
        <v>1622</v>
      </c>
      <c r="C99" s="531"/>
      <c r="D99" s="531"/>
      <c r="E99" s="531"/>
      <c r="F99" s="531">
        <v>0.55000000000000004</v>
      </c>
      <c r="G99" s="540" t="s">
        <v>1271</v>
      </c>
      <c r="H99" s="540">
        <v>0.47</v>
      </c>
      <c r="I99" s="540">
        <v>0.02</v>
      </c>
      <c r="J99" s="540">
        <v>0.55000000000000004</v>
      </c>
      <c r="K99" s="540" t="s">
        <v>1441</v>
      </c>
      <c r="L99" s="540" t="s">
        <v>1441</v>
      </c>
      <c r="M99" s="540" t="s">
        <v>1441</v>
      </c>
      <c r="N99" s="540"/>
      <c r="O99" s="540"/>
      <c r="P99" s="540"/>
      <c r="Q99" s="540"/>
      <c r="R99" s="540" t="s">
        <v>1623</v>
      </c>
      <c r="S99" s="541"/>
      <c r="T99" s="540"/>
      <c r="U99" s="540"/>
      <c r="V99" s="540" t="s">
        <v>1623</v>
      </c>
      <c r="W99" s="540"/>
      <c r="X99" s="540"/>
      <c r="Y99" s="540"/>
      <c r="Z99" s="540" t="s">
        <v>1623</v>
      </c>
      <c r="AA99" s="540" t="s">
        <v>1431</v>
      </c>
      <c r="AB99" s="561" t="s">
        <v>1598</v>
      </c>
      <c r="AC99" s="561"/>
      <c r="AD99" s="540" t="s">
        <v>534</v>
      </c>
      <c r="AE99" s="537" t="s">
        <v>1624</v>
      </c>
    </row>
    <row r="100" spans="1:31" hidden="1" x14ac:dyDescent="0.35">
      <c r="A100" s="559" t="s">
        <v>1610</v>
      </c>
      <c r="B100" s="557" t="s">
        <v>1625</v>
      </c>
      <c r="C100" s="2914" t="s">
        <v>1626</v>
      </c>
      <c r="D100" s="2914"/>
      <c r="E100" s="2914"/>
      <c r="F100" s="2914"/>
      <c r="G100" s="2914"/>
      <c r="H100" s="2914"/>
      <c r="I100" s="2914"/>
      <c r="J100" s="2914"/>
      <c r="K100" s="2914"/>
      <c r="L100" s="2914"/>
      <c r="M100" s="2914"/>
      <c r="N100" s="545"/>
      <c r="O100" s="545"/>
      <c r="P100" s="545"/>
      <c r="Q100" s="545"/>
      <c r="R100" s="545"/>
      <c r="S100" s="544" t="s">
        <v>1606</v>
      </c>
      <c r="T100" s="545"/>
      <c r="U100" s="545"/>
      <c r="V100" s="545">
        <v>1</v>
      </c>
      <c r="W100" s="544" t="s">
        <v>1606</v>
      </c>
      <c r="X100" s="546"/>
      <c r="Y100" s="546"/>
      <c r="Z100" s="545">
        <v>1</v>
      </c>
      <c r="AA100" s="546" t="s">
        <v>1431</v>
      </c>
      <c r="AB100" s="558" t="s">
        <v>1627</v>
      </c>
      <c r="AC100" s="558"/>
      <c r="AD100" s="546" t="s">
        <v>1271</v>
      </c>
      <c r="AE100" s="556"/>
    </row>
    <row r="101" spans="1:31" hidden="1" x14ac:dyDescent="0.35">
      <c r="A101" s="559" t="s">
        <v>1610</v>
      </c>
      <c r="B101" s="557" t="s">
        <v>1628</v>
      </c>
      <c r="C101" s="2914" t="s">
        <v>1626</v>
      </c>
      <c r="D101" s="2914"/>
      <c r="E101" s="2914"/>
      <c r="F101" s="2914"/>
      <c r="G101" s="2914"/>
      <c r="H101" s="2914"/>
      <c r="I101" s="2914"/>
      <c r="J101" s="2914"/>
      <c r="K101" s="2914"/>
      <c r="L101" s="2914"/>
      <c r="M101" s="2914"/>
      <c r="N101" s="558"/>
      <c r="O101" s="558"/>
      <c r="P101" s="558"/>
      <c r="Q101" s="558"/>
      <c r="R101" s="558"/>
      <c r="S101" s="554" t="s">
        <v>1606</v>
      </c>
      <c r="T101" s="546"/>
      <c r="U101" s="546"/>
      <c r="V101" s="545">
        <v>1</v>
      </c>
      <c r="W101" s="554" t="s">
        <v>1606</v>
      </c>
      <c r="X101" s="546"/>
      <c r="Y101" s="546"/>
      <c r="Z101" s="545">
        <v>1</v>
      </c>
      <c r="AA101" s="546" t="s">
        <v>1431</v>
      </c>
      <c r="AB101" s="558" t="s">
        <v>1627</v>
      </c>
      <c r="AC101" s="558"/>
      <c r="AD101" s="546" t="s">
        <v>1271</v>
      </c>
      <c r="AE101" s="558"/>
    </row>
    <row r="102" spans="1:31" hidden="1" x14ac:dyDescent="0.35">
      <c r="A102" s="559" t="s">
        <v>1610</v>
      </c>
      <c r="B102" s="557" t="s">
        <v>1629</v>
      </c>
      <c r="C102" s="2914" t="s">
        <v>1626</v>
      </c>
      <c r="D102" s="2914"/>
      <c r="E102" s="2914"/>
      <c r="F102" s="2914"/>
      <c r="G102" s="2914"/>
      <c r="H102" s="2914"/>
      <c r="I102" s="2914"/>
      <c r="J102" s="2914"/>
      <c r="K102" s="2914"/>
      <c r="L102" s="2914"/>
      <c r="M102" s="2914"/>
      <c r="N102" s="558"/>
      <c r="O102" s="558"/>
      <c r="P102" s="558"/>
      <c r="Q102" s="558"/>
      <c r="R102" s="558"/>
      <c r="S102" s="554" t="s">
        <v>1606</v>
      </c>
      <c r="T102" s="546"/>
      <c r="U102" s="546"/>
      <c r="V102" s="545">
        <v>1</v>
      </c>
      <c r="W102" s="554" t="s">
        <v>1606</v>
      </c>
      <c r="X102" s="546"/>
      <c r="Y102" s="546"/>
      <c r="Z102" s="545">
        <v>1</v>
      </c>
      <c r="AA102" s="546" t="s">
        <v>1431</v>
      </c>
      <c r="AB102" s="558" t="s">
        <v>1627</v>
      </c>
      <c r="AC102" s="558"/>
      <c r="AD102" s="546" t="s">
        <v>1271</v>
      </c>
      <c r="AE102" s="558"/>
    </row>
    <row r="103" spans="1:31" hidden="1" x14ac:dyDescent="0.35">
      <c r="A103" s="559" t="s">
        <v>1610</v>
      </c>
      <c r="B103" s="559" t="s">
        <v>1630</v>
      </c>
      <c r="C103" s="575"/>
      <c r="D103" s="575"/>
      <c r="E103" s="575"/>
      <c r="F103" s="575"/>
      <c r="G103" s="575"/>
      <c r="H103" s="575"/>
      <c r="I103" s="575"/>
      <c r="J103" s="575"/>
      <c r="K103" s="575"/>
      <c r="L103" s="575"/>
      <c r="M103" s="575"/>
      <c r="N103" s="575"/>
      <c r="O103" s="533"/>
      <c r="P103" s="533"/>
      <c r="Q103" s="533"/>
      <c r="R103" s="533"/>
      <c r="S103" s="534"/>
      <c r="T103" s="533"/>
      <c r="U103" s="533"/>
      <c r="V103" s="540">
        <v>0.83</v>
      </c>
      <c r="W103" s="559"/>
      <c r="X103" s="559"/>
      <c r="Y103" s="559"/>
      <c r="Z103" s="540">
        <v>1</v>
      </c>
      <c r="AA103" s="542" t="s">
        <v>1468</v>
      </c>
      <c r="AB103" s="559" t="s">
        <v>1631</v>
      </c>
      <c r="AC103" s="559"/>
      <c r="AD103" s="542" t="s">
        <v>534</v>
      </c>
      <c r="AE103" s="559"/>
    </row>
    <row r="104" spans="1:31" hidden="1" x14ac:dyDescent="0.35">
      <c r="A104" s="559" t="s">
        <v>1610</v>
      </c>
      <c r="B104" s="559" t="s">
        <v>1632</v>
      </c>
      <c r="C104" s="575"/>
      <c r="D104" s="575"/>
      <c r="E104" s="575"/>
      <c r="F104" s="575"/>
      <c r="G104" s="575"/>
      <c r="H104" s="575"/>
      <c r="I104" s="575"/>
      <c r="J104" s="575"/>
      <c r="K104" s="575"/>
      <c r="L104" s="575"/>
      <c r="M104" s="575"/>
      <c r="N104" s="575"/>
      <c r="O104" s="533"/>
      <c r="P104" s="533"/>
      <c r="Q104" s="533"/>
      <c r="R104" s="533"/>
      <c r="S104" s="534"/>
      <c r="T104" s="533"/>
      <c r="U104" s="533"/>
      <c r="V104" s="540">
        <v>1.05</v>
      </c>
      <c r="W104" s="542"/>
      <c r="X104" s="542"/>
      <c r="Y104" s="542"/>
      <c r="Z104" s="540">
        <v>1</v>
      </c>
      <c r="AA104" s="542" t="s">
        <v>1468</v>
      </c>
      <c r="AB104" s="559" t="s">
        <v>1631</v>
      </c>
      <c r="AC104" s="559"/>
      <c r="AD104" s="542" t="s">
        <v>534</v>
      </c>
      <c r="AE104" s="539"/>
    </row>
    <row r="105" spans="1:31" hidden="1" x14ac:dyDescent="0.35">
      <c r="A105" s="559" t="s">
        <v>1610</v>
      </c>
      <c r="B105" s="559" t="s">
        <v>1633</v>
      </c>
      <c r="C105" s="575"/>
      <c r="D105" s="575"/>
      <c r="E105" s="575"/>
      <c r="F105" s="575"/>
      <c r="G105" s="575"/>
      <c r="H105" s="575"/>
      <c r="I105" s="575"/>
      <c r="J105" s="575"/>
      <c r="K105" s="575"/>
      <c r="L105" s="575"/>
      <c r="M105" s="575"/>
      <c r="N105" s="575"/>
      <c r="O105" s="533"/>
      <c r="P105" s="533"/>
      <c r="Q105" s="533"/>
      <c r="R105" s="533"/>
      <c r="S105" s="534"/>
      <c r="T105" s="533"/>
      <c r="U105" s="533"/>
      <c r="V105" s="540">
        <v>1.04</v>
      </c>
      <c r="W105" s="542"/>
      <c r="X105" s="542"/>
      <c r="Y105" s="542"/>
      <c r="Z105" s="540">
        <v>1</v>
      </c>
      <c r="AA105" s="542" t="s">
        <v>1468</v>
      </c>
      <c r="AB105" s="559" t="s">
        <v>1631</v>
      </c>
      <c r="AC105" s="559"/>
      <c r="AD105" s="542" t="s">
        <v>534</v>
      </c>
      <c r="AE105" s="539"/>
    </row>
    <row r="106" spans="1:31" hidden="1" x14ac:dyDescent="0.35">
      <c r="A106" s="559" t="s">
        <v>1610</v>
      </c>
      <c r="B106" s="557" t="s">
        <v>1634</v>
      </c>
      <c r="C106" s="548"/>
      <c r="D106" s="548"/>
      <c r="E106" s="548"/>
      <c r="F106" s="548"/>
      <c r="G106" s="548"/>
      <c r="H106" s="548"/>
      <c r="I106" s="548"/>
      <c r="J106" s="548"/>
      <c r="K106" s="548"/>
      <c r="L106" s="548"/>
      <c r="M106" s="548"/>
      <c r="N106" s="548"/>
      <c r="O106" s="558"/>
      <c r="P106" s="558"/>
      <c r="Q106" s="558"/>
      <c r="R106" s="537"/>
      <c r="S106" s="555"/>
      <c r="T106" s="558"/>
      <c r="U106" s="558"/>
      <c r="V106" s="545">
        <v>0.95</v>
      </c>
      <c r="W106" s="546"/>
      <c r="X106" s="546"/>
      <c r="Y106" s="546"/>
      <c r="Z106" s="540">
        <v>1</v>
      </c>
      <c r="AA106" s="542" t="s">
        <v>1468</v>
      </c>
      <c r="AB106" s="559" t="s">
        <v>1631</v>
      </c>
      <c r="AC106" s="559"/>
      <c r="AD106" s="546" t="s">
        <v>534</v>
      </c>
      <c r="AE106" s="547"/>
    </row>
    <row r="107" spans="1:31" hidden="1" x14ac:dyDescent="0.35">
      <c r="A107" s="559" t="s">
        <v>1610</v>
      </c>
      <c r="B107" s="557" t="s">
        <v>1635</v>
      </c>
      <c r="C107" s="548"/>
      <c r="D107" s="548"/>
      <c r="E107" s="548"/>
      <c r="F107" s="548"/>
      <c r="G107" s="548"/>
      <c r="H107" s="548"/>
      <c r="I107" s="548"/>
      <c r="J107" s="548"/>
      <c r="K107" s="548"/>
      <c r="L107" s="548"/>
      <c r="M107" s="548"/>
      <c r="N107" s="548"/>
      <c r="O107" s="558"/>
      <c r="P107" s="558"/>
      <c r="Q107" s="558"/>
      <c r="R107" s="537"/>
      <c r="S107" s="555"/>
      <c r="T107" s="558"/>
      <c r="U107" s="558"/>
      <c r="V107" s="545">
        <v>0.93</v>
      </c>
      <c r="W107" s="546"/>
      <c r="X107" s="546"/>
      <c r="Y107" s="546"/>
      <c r="Z107" s="540">
        <v>1</v>
      </c>
      <c r="AA107" s="542" t="s">
        <v>1468</v>
      </c>
      <c r="AB107" s="559" t="s">
        <v>1631</v>
      </c>
      <c r="AC107" s="559"/>
      <c r="AD107" s="546" t="s">
        <v>534</v>
      </c>
      <c r="AE107" s="547"/>
    </row>
    <row r="108" spans="1:31" hidden="1" x14ac:dyDescent="0.35">
      <c r="A108" s="559" t="s">
        <v>1610</v>
      </c>
      <c r="B108" s="557" t="s">
        <v>1636</v>
      </c>
      <c r="C108" s="548"/>
      <c r="D108" s="548"/>
      <c r="E108" s="548"/>
      <c r="F108" s="548"/>
      <c r="G108" s="548"/>
      <c r="H108" s="548"/>
      <c r="I108" s="548"/>
      <c r="J108" s="548"/>
      <c r="K108" s="548"/>
      <c r="L108" s="548"/>
      <c r="M108" s="548"/>
      <c r="N108" s="548"/>
      <c r="O108" s="558"/>
      <c r="P108" s="558"/>
      <c r="Q108" s="558"/>
      <c r="R108" s="537"/>
      <c r="S108" s="555"/>
      <c r="T108" s="558"/>
      <c r="U108" s="558"/>
      <c r="V108" s="545">
        <v>0.93</v>
      </c>
      <c r="W108" s="546"/>
      <c r="X108" s="546"/>
      <c r="Y108" s="546"/>
      <c r="Z108" s="540">
        <v>1</v>
      </c>
      <c r="AA108" s="542" t="s">
        <v>1468</v>
      </c>
      <c r="AB108" s="559" t="s">
        <v>1631</v>
      </c>
      <c r="AC108" s="559"/>
      <c r="AD108" s="546" t="s">
        <v>534</v>
      </c>
      <c r="AE108" s="547"/>
    </row>
    <row r="109" spans="1:31" hidden="1" x14ac:dyDescent="0.35">
      <c r="A109" s="559" t="s">
        <v>1610</v>
      </c>
      <c r="B109" s="557" t="s">
        <v>1637</v>
      </c>
      <c r="C109" s="2930" t="s">
        <v>1638</v>
      </c>
      <c r="D109" s="2930"/>
      <c r="E109" s="2930"/>
      <c r="F109" s="2930"/>
      <c r="G109" s="2930"/>
      <c r="H109" s="2930"/>
      <c r="I109" s="2930"/>
      <c r="J109" s="2930"/>
      <c r="K109" s="2930"/>
      <c r="L109" s="2930"/>
      <c r="M109" s="2930"/>
      <c r="N109" s="2930"/>
      <c r="O109" s="557"/>
      <c r="P109" s="557"/>
      <c r="Q109" s="557"/>
      <c r="R109" s="545">
        <v>0.95</v>
      </c>
      <c r="S109" s="555"/>
      <c r="T109" s="558"/>
      <c r="U109" s="558"/>
      <c r="V109" s="545">
        <v>0.95</v>
      </c>
      <c r="W109" s="547"/>
      <c r="X109" s="547"/>
      <c r="Y109" s="547"/>
      <c r="Z109" s="540">
        <v>0.95</v>
      </c>
      <c r="AA109" s="542" t="s">
        <v>1431</v>
      </c>
      <c r="AB109" s="539" t="s">
        <v>1639</v>
      </c>
      <c r="AC109" s="539"/>
      <c r="AD109" s="546" t="s">
        <v>534</v>
      </c>
      <c r="AE109" s="547"/>
    </row>
    <row r="110" spans="1:31" hidden="1" x14ac:dyDescent="0.35">
      <c r="A110" s="559" t="s">
        <v>1610</v>
      </c>
      <c r="B110" s="557" t="s">
        <v>1640</v>
      </c>
      <c r="C110" s="2930"/>
      <c r="D110" s="2930"/>
      <c r="E110" s="2930"/>
      <c r="F110" s="2930"/>
      <c r="G110" s="2930"/>
      <c r="H110" s="2930"/>
      <c r="I110" s="2930"/>
      <c r="J110" s="2930"/>
      <c r="K110" s="2930"/>
      <c r="L110" s="2930"/>
      <c r="M110" s="2930"/>
      <c r="N110" s="2930"/>
      <c r="O110" s="557"/>
      <c r="P110" s="557"/>
      <c r="Q110" s="557"/>
      <c r="R110" s="545">
        <v>0.62</v>
      </c>
      <c r="S110" s="555"/>
      <c r="T110" s="558"/>
      <c r="U110" s="558"/>
      <c r="V110" s="545">
        <v>0.62</v>
      </c>
      <c r="W110" s="547"/>
      <c r="X110" s="547"/>
      <c r="Y110" s="547"/>
      <c r="Z110" s="545">
        <v>0.62</v>
      </c>
      <c r="AA110" s="546" t="s">
        <v>1431</v>
      </c>
      <c r="AB110" s="547" t="s">
        <v>1639</v>
      </c>
      <c r="AC110" s="547"/>
      <c r="AD110" s="546" t="s">
        <v>534</v>
      </c>
      <c r="AE110" s="547"/>
    </row>
    <row r="111" spans="1:31" hidden="1" x14ac:dyDescent="0.35">
      <c r="A111" s="559" t="s">
        <v>1610</v>
      </c>
      <c r="B111" s="557" t="s">
        <v>1641</v>
      </c>
      <c r="C111" s="2930"/>
      <c r="D111" s="2930"/>
      <c r="E111" s="2930"/>
      <c r="F111" s="2930"/>
      <c r="G111" s="2930"/>
      <c r="H111" s="2930"/>
      <c r="I111" s="2930"/>
      <c r="J111" s="2930"/>
      <c r="K111" s="2930"/>
      <c r="L111" s="2930"/>
      <c r="M111" s="2930"/>
      <c r="N111" s="2930"/>
      <c r="O111" s="557"/>
      <c r="P111" s="557"/>
      <c r="Q111" s="557"/>
      <c r="R111" s="545">
        <v>0.98</v>
      </c>
      <c r="S111" s="555"/>
      <c r="T111" s="558"/>
      <c r="U111" s="558"/>
      <c r="V111" s="545">
        <v>0.98</v>
      </c>
      <c r="W111" s="547"/>
      <c r="X111" s="547"/>
      <c r="Y111" s="547"/>
      <c r="Z111" s="545">
        <v>0.98</v>
      </c>
      <c r="AA111" s="546" t="s">
        <v>1431</v>
      </c>
      <c r="AB111" s="547" t="s">
        <v>1639</v>
      </c>
      <c r="AC111" s="547"/>
      <c r="AD111" s="546" t="s">
        <v>534</v>
      </c>
      <c r="AE111" s="547"/>
    </row>
    <row r="112" spans="1:31" hidden="1" x14ac:dyDescent="0.35">
      <c r="A112" s="559" t="s">
        <v>1610</v>
      </c>
      <c r="B112" s="557" t="s">
        <v>1642</v>
      </c>
      <c r="C112" s="2930"/>
      <c r="D112" s="2930"/>
      <c r="E112" s="2930"/>
      <c r="F112" s="2930"/>
      <c r="G112" s="2930"/>
      <c r="H112" s="2930"/>
      <c r="I112" s="2930"/>
      <c r="J112" s="2930"/>
      <c r="K112" s="2930"/>
      <c r="L112" s="2930"/>
      <c r="M112" s="2930"/>
      <c r="N112" s="2930"/>
      <c r="O112" s="557"/>
      <c r="P112" s="557"/>
      <c r="Q112" s="557"/>
      <c r="R112" s="545">
        <v>0.95</v>
      </c>
      <c r="S112" s="555"/>
      <c r="T112" s="558"/>
      <c r="U112" s="558"/>
      <c r="V112" s="545">
        <v>0.95</v>
      </c>
      <c r="W112" s="547"/>
      <c r="X112" s="547"/>
      <c r="Y112" s="547"/>
      <c r="Z112" s="545">
        <v>0.95</v>
      </c>
      <c r="AA112" s="546" t="s">
        <v>1431</v>
      </c>
      <c r="AB112" s="547" t="s">
        <v>1639</v>
      </c>
      <c r="AC112" s="547"/>
      <c r="AD112" s="546" t="s">
        <v>534</v>
      </c>
      <c r="AE112" s="547"/>
    </row>
    <row r="113" spans="1:31" hidden="1" x14ac:dyDescent="0.35">
      <c r="A113" s="559" t="s">
        <v>1610</v>
      </c>
      <c r="B113" s="557" t="s">
        <v>1643</v>
      </c>
      <c r="C113" s="2930"/>
      <c r="D113" s="2930"/>
      <c r="E113" s="2930"/>
      <c r="F113" s="2930"/>
      <c r="G113" s="2930"/>
      <c r="H113" s="2930"/>
      <c r="I113" s="2930"/>
      <c r="J113" s="2930"/>
      <c r="K113" s="2930"/>
      <c r="L113" s="2930"/>
      <c r="M113" s="2930"/>
      <c r="N113" s="2930"/>
      <c r="O113" s="557"/>
      <c r="P113" s="557"/>
      <c r="Q113" s="557"/>
      <c r="R113" s="545">
        <v>0.86</v>
      </c>
      <c r="S113" s="555"/>
      <c r="T113" s="558"/>
      <c r="U113" s="558"/>
      <c r="V113" s="545">
        <v>0.86</v>
      </c>
      <c r="W113" s="547"/>
      <c r="X113" s="547"/>
      <c r="Y113" s="547"/>
      <c r="Z113" s="545">
        <v>0.86</v>
      </c>
      <c r="AA113" s="546" t="s">
        <v>1431</v>
      </c>
      <c r="AB113" s="547" t="s">
        <v>1639</v>
      </c>
      <c r="AC113" s="547"/>
      <c r="AD113" s="546" t="s">
        <v>534</v>
      </c>
      <c r="AE113" s="547"/>
    </row>
    <row r="114" spans="1:31" hidden="1" x14ac:dyDescent="0.35">
      <c r="A114" s="559" t="s">
        <v>1610</v>
      </c>
      <c r="B114" s="557" t="s">
        <v>1644</v>
      </c>
      <c r="C114" s="2930"/>
      <c r="D114" s="2930"/>
      <c r="E114" s="2930"/>
      <c r="F114" s="2930"/>
      <c r="G114" s="2930"/>
      <c r="H114" s="2930"/>
      <c r="I114" s="2930"/>
      <c r="J114" s="2930"/>
      <c r="K114" s="2930"/>
      <c r="L114" s="2930"/>
      <c r="M114" s="2930"/>
      <c r="N114" s="2930"/>
      <c r="O114" s="557"/>
      <c r="P114" s="557"/>
      <c r="Q114" s="557"/>
      <c r="R114" s="545">
        <v>0.95</v>
      </c>
      <c r="S114" s="555"/>
      <c r="T114" s="558"/>
      <c r="U114" s="558"/>
      <c r="V114" s="545">
        <v>0.95</v>
      </c>
      <c r="W114" s="547"/>
      <c r="X114" s="547"/>
      <c r="Y114" s="547"/>
      <c r="Z114" s="545">
        <v>0.95</v>
      </c>
      <c r="AA114" s="546" t="s">
        <v>1431</v>
      </c>
      <c r="AB114" s="547" t="s">
        <v>1639</v>
      </c>
      <c r="AC114" s="547"/>
      <c r="AD114" s="546" t="s">
        <v>534</v>
      </c>
      <c r="AE114" s="547"/>
    </row>
    <row r="115" spans="1:31" hidden="1" x14ac:dyDescent="0.35">
      <c r="A115" s="559" t="s">
        <v>1610</v>
      </c>
      <c r="B115" s="557" t="s">
        <v>1645</v>
      </c>
      <c r="C115" s="2930"/>
      <c r="D115" s="2930"/>
      <c r="E115" s="2930"/>
      <c r="F115" s="2930"/>
      <c r="G115" s="2930"/>
      <c r="H115" s="2930"/>
      <c r="I115" s="2930"/>
      <c r="J115" s="2930"/>
      <c r="K115" s="2930"/>
      <c r="L115" s="2930"/>
      <c r="M115" s="2930"/>
      <c r="N115" s="2930"/>
      <c r="O115" s="557"/>
      <c r="P115" s="557"/>
      <c r="Q115" s="557"/>
      <c r="R115" s="545">
        <v>0.93</v>
      </c>
      <c r="S115" s="555"/>
      <c r="T115" s="558"/>
      <c r="U115" s="558"/>
      <c r="V115" s="545">
        <v>0.93</v>
      </c>
      <c r="W115" s="547"/>
      <c r="X115" s="547"/>
      <c r="Y115" s="547"/>
      <c r="Z115" s="545">
        <v>0.93</v>
      </c>
      <c r="AA115" s="546" t="s">
        <v>1431</v>
      </c>
      <c r="AB115" s="547" t="s">
        <v>1639</v>
      </c>
      <c r="AC115" s="547"/>
      <c r="AD115" s="546" t="s">
        <v>534</v>
      </c>
      <c r="AE115" s="547"/>
    </row>
    <row r="116" spans="1:31" hidden="1" x14ac:dyDescent="0.35">
      <c r="A116" s="559" t="s">
        <v>1610</v>
      </c>
      <c r="B116" s="557" t="s">
        <v>1646</v>
      </c>
      <c r="C116" s="2930"/>
      <c r="D116" s="2930"/>
      <c r="E116" s="2930"/>
      <c r="F116" s="2930"/>
      <c r="G116" s="2930"/>
      <c r="H116" s="2930"/>
      <c r="I116" s="2930"/>
      <c r="J116" s="2930"/>
      <c r="K116" s="2930"/>
      <c r="L116" s="2930"/>
      <c r="M116" s="2930"/>
      <c r="N116" s="2930"/>
      <c r="O116" s="557"/>
      <c r="P116" s="557"/>
      <c r="Q116" s="557"/>
      <c r="R116" s="545">
        <v>0.95</v>
      </c>
      <c r="S116" s="555"/>
      <c r="T116" s="558"/>
      <c r="U116" s="558"/>
      <c r="V116" s="545">
        <v>0.95</v>
      </c>
      <c r="W116" s="547"/>
      <c r="X116" s="547"/>
      <c r="Y116" s="547"/>
      <c r="Z116" s="545">
        <v>0.95</v>
      </c>
      <c r="AA116" s="546" t="s">
        <v>1431</v>
      </c>
      <c r="AB116" s="547" t="s">
        <v>1639</v>
      </c>
      <c r="AC116" s="547"/>
      <c r="AD116" s="546" t="s">
        <v>534</v>
      </c>
      <c r="AE116" s="547"/>
    </row>
    <row r="117" spans="1:31" hidden="1" x14ac:dyDescent="0.35">
      <c r="A117" s="559" t="s">
        <v>1610</v>
      </c>
      <c r="B117" s="557" t="s">
        <v>1647</v>
      </c>
      <c r="C117" s="2930"/>
      <c r="D117" s="2930"/>
      <c r="E117" s="2930"/>
      <c r="F117" s="2930"/>
      <c r="G117" s="2930"/>
      <c r="H117" s="2930"/>
      <c r="I117" s="2930"/>
      <c r="J117" s="2930"/>
      <c r="K117" s="2930"/>
      <c r="L117" s="2930"/>
      <c r="M117" s="2930"/>
      <c r="N117" s="2930"/>
      <c r="O117" s="557"/>
      <c r="P117" s="557"/>
      <c r="Q117" s="557"/>
      <c r="R117" s="545">
        <v>0.95</v>
      </c>
      <c r="S117" s="555"/>
      <c r="T117" s="558"/>
      <c r="U117" s="558"/>
      <c r="V117" s="545">
        <v>0.95</v>
      </c>
      <c r="W117" s="547"/>
      <c r="X117" s="547"/>
      <c r="Y117" s="547"/>
      <c r="Z117" s="545">
        <v>0.95</v>
      </c>
      <c r="AA117" s="546" t="s">
        <v>1431</v>
      </c>
      <c r="AB117" s="547" t="s">
        <v>1639</v>
      </c>
      <c r="AC117" s="547"/>
      <c r="AD117" s="546" t="s">
        <v>534</v>
      </c>
      <c r="AE117" s="547"/>
    </row>
    <row r="118" spans="1:31" hidden="1" x14ac:dyDescent="0.35">
      <c r="A118" s="559" t="s">
        <v>1610</v>
      </c>
      <c r="B118" s="557" t="s">
        <v>1648</v>
      </c>
      <c r="C118" s="2930"/>
      <c r="D118" s="2930"/>
      <c r="E118" s="2930"/>
      <c r="F118" s="2930"/>
      <c r="G118" s="2930"/>
      <c r="H118" s="2930"/>
      <c r="I118" s="2930"/>
      <c r="J118" s="2930"/>
      <c r="K118" s="2930"/>
      <c r="L118" s="2930"/>
      <c r="M118" s="2930"/>
      <c r="N118" s="2930"/>
      <c r="O118" s="557"/>
      <c r="P118" s="557"/>
      <c r="Q118" s="557"/>
      <c r="R118" s="545">
        <v>0.95</v>
      </c>
      <c r="S118" s="555"/>
      <c r="T118" s="558"/>
      <c r="U118" s="558"/>
      <c r="V118" s="545">
        <v>0.95</v>
      </c>
      <c r="W118" s="547"/>
      <c r="X118" s="547"/>
      <c r="Y118" s="547"/>
      <c r="Z118" s="545">
        <v>0.95</v>
      </c>
      <c r="AA118" s="546" t="s">
        <v>1431</v>
      </c>
      <c r="AB118" s="547" t="s">
        <v>1639</v>
      </c>
      <c r="AC118" s="547"/>
      <c r="AD118" s="546" t="s">
        <v>534</v>
      </c>
      <c r="AE118" s="547"/>
    </row>
    <row r="119" spans="1:31" hidden="1" x14ac:dyDescent="0.35">
      <c r="A119" s="559" t="s">
        <v>1610</v>
      </c>
      <c r="B119" s="557" t="s">
        <v>1649</v>
      </c>
      <c r="C119" s="546"/>
      <c r="D119" s="546"/>
      <c r="E119" s="546"/>
      <c r="F119" s="546"/>
      <c r="G119" s="546"/>
      <c r="H119" s="546"/>
      <c r="I119" s="546"/>
      <c r="J119" s="546"/>
      <c r="K119" s="546"/>
      <c r="L119" s="546"/>
      <c r="M119" s="546"/>
      <c r="N119" s="546"/>
      <c r="O119" s="557"/>
      <c r="P119" s="557"/>
      <c r="Q119" s="557"/>
      <c r="R119" s="545">
        <v>0.95</v>
      </c>
      <c r="S119" s="555"/>
      <c r="T119" s="558"/>
      <c r="U119" s="558"/>
      <c r="V119" s="545">
        <v>0.95</v>
      </c>
      <c r="W119" s="546"/>
      <c r="X119" s="546"/>
      <c r="Y119" s="546"/>
      <c r="Z119" s="545">
        <v>0.95</v>
      </c>
      <c r="AA119" s="546" t="s">
        <v>1431</v>
      </c>
      <c r="AB119" s="547" t="s">
        <v>1639</v>
      </c>
      <c r="AC119" s="547"/>
      <c r="AD119" s="546" t="s">
        <v>534</v>
      </c>
      <c r="AE119" s="547"/>
    </row>
    <row r="120" spans="1:31" hidden="1" x14ac:dyDescent="0.35">
      <c r="A120" s="559" t="s">
        <v>1650</v>
      </c>
      <c r="B120" s="557" t="s">
        <v>1651</v>
      </c>
      <c r="C120" s="558"/>
      <c r="D120" s="558"/>
      <c r="E120" s="558"/>
      <c r="F120" s="558"/>
      <c r="G120" s="558"/>
      <c r="H120" s="558"/>
      <c r="I120" s="558"/>
      <c r="J120" s="558"/>
      <c r="K120" s="558">
        <v>0.05</v>
      </c>
      <c r="L120" s="558" t="s">
        <v>1436</v>
      </c>
      <c r="M120" s="558">
        <v>0.95</v>
      </c>
      <c r="N120" s="558"/>
      <c r="O120" s="558"/>
      <c r="P120" s="558"/>
      <c r="Q120" s="558"/>
      <c r="R120" s="558"/>
      <c r="S120" s="554">
        <v>0.05</v>
      </c>
      <c r="T120" s="546" t="s">
        <v>1436</v>
      </c>
      <c r="U120" s="558"/>
      <c r="V120" s="545">
        <v>0.95</v>
      </c>
      <c r="W120" s="546"/>
      <c r="X120" s="546"/>
      <c r="Y120" s="546"/>
      <c r="Z120" s="586"/>
      <c r="AA120" s="537" t="s">
        <v>1652</v>
      </c>
      <c r="AB120" s="557"/>
      <c r="AC120" s="558"/>
      <c r="AD120" s="546" t="s">
        <v>534</v>
      </c>
      <c r="AE120" s="558" t="s">
        <v>1653</v>
      </c>
    </row>
    <row r="121" spans="1:31" hidden="1" x14ac:dyDescent="0.35">
      <c r="A121" s="559" t="s">
        <v>1650</v>
      </c>
      <c r="B121" s="559" t="s">
        <v>1654</v>
      </c>
      <c r="C121" s="537"/>
      <c r="D121" s="537"/>
      <c r="E121" s="537"/>
      <c r="F121" s="537"/>
      <c r="G121" s="537"/>
      <c r="H121" s="537"/>
      <c r="I121" s="537"/>
      <c r="J121" s="537"/>
      <c r="K121" s="540" t="s">
        <v>1441</v>
      </c>
      <c r="L121" s="540" t="s">
        <v>1441</v>
      </c>
      <c r="M121" s="540" t="s">
        <v>1441</v>
      </c>
      <c r="N121" s="537"/>
      <c r="O121" s="537"/>
      <c r="P121" s="537"/>
      <c r="Q121" s="537"/>
      <c r="R121" s="537"/>
      <c r="S121" s="551"/>
      <c r="T121" s="536"/>
      <c r="U121" s="537"/>
      <c r="V121" s="540">
        <v>1</v>
      </c>
      <c r="W121" s="536"/>
      <c r="X121" s="536"/>
      <c r="Y121" s="536"/>
      <c r="Z121" s="540"/>
      <c r="AA121" s="537" t="s">
        <v>1652</v>
      </c>
      <c r="AB121" s="586"/>
      <c r="AC121" s="537"/>
      <c r="AD121" s="546" t="s">
        <v>534</v>
      </c>
      <c r="AE121" s="537"/>
    </row>
    <row r="122" spans="1:31" hidden="1" x14ac:dyDescent="0.35">
      <c r="A122" s="559" t="s">
        <v>1650</v>
      </c>
      <c r="B122" s="559" t="s">
        <v>1655</v>
      </c>
      <c r="C122" s="537"/>
      <c r="D122" s="537"/>
      <c r="E122" s="537"/>
      <c r="F122" s="537"/>
      <c r="G122" s="537"/>
      <c r="H122" s="537"/>
      <c r="I122" s="537"/>
      <c r="J122" s="537"/>
      <c r="K122" s="537">
        <v>0.05</v>
      </c>
      <c r="L122" s="537" t="s">
        <v>1436</v>
      </c>
      <c r="M122" s="537">
        <v>0.95</v>
      </c>
      <c r="N122" s="537"/>
      <c r="O122" s="537"/>
      <c r="P122" s="537"/>
      <c r="Q122" s="537"/>
      <c r="R122" s="537"/>
      <c r="S122" s="541">
        <v>0.05</v>
      </c>
      <c r="T122" s="536" t="s">
        <v>1436</v>
      </c>
      <c r="U122" s="537"/>
      <c r="V122" s="540">
        <v>0.95</v>
      </c>
      <c r="W122" s="536"/>
      <c r="X122" s="536"/>
      <c r="Y122" s="536"/>
      <c r="Z122" s="540"/>
      <c r="AA122" s="537" t="s">
        <v>1652</v>
      </c>
      <c r="AB122" s="543"/>
      <c r="AC122" s="537"/>
      <c r="AD122" s="546" t="s">
        <v>534</v>
      </c>
      <c r="AE122" s="537"/>
    </row>
    <row r="123" spans="1:31" hidden="1" x14ac:dyDescent="0.35">
      <c r="A123" s="559" t="s">
        <v>1650</v>
      </c>
      <c r="B123" s="559" t="s">
        <v>1656</v>
      </c>
      <c r="C123" s="537"/>
      <c r="D123" s="537"/>
      <c r="E123" s="537"/>
      <c r="F123" s="537"/>
      <c r="G123" s="537"/>
      <c r="H123" s="537"/>
      <c r="I123" s="537"/>
      <c r="J123" s="537"/>
      <c r="K123" s="537">
        <v>0.4</v>
      </c>
      <c r="L123" s="537"/>
      <c r="M123" s="537">
        <v>0.6</v>
      </c>
      <c r="N123" s="537"/>
      <c r="O123" s="537"/>
      <c r="P123" s="537"/>
      <c r="Q123" s="537"/>
      <c r="R123" s="537"/>
      <c r="S123" s="551">
        <v>0.4</v>
      </c>
      <c r="T123" s="536" t="s">
        <v>1271</v>
      </c>
      <c r="U123" s="537"/>
      <c r="V123" s="540">
        <v>0.6</v>
      </c>
      <c r="W123" s="536"/>
      <c r="X123" s="536"/>
      <c r="Y123" s="536"/>
      <c r="Z123" s="540"/>
      <c r="AA123" s="537" t="s">
        <v>1652</v>
      </c>
      <c r="AB123" s="586"/>
      <c r="AC123" s="537"/>
      <c r="AD123" s="546" t="s">
        <v>534</v>
      </c>
      <c r="AE123" s="537"/>
    </row>
    <row r="124" spans="1:31" hidden="1" x14ac:dyDescent="0.35">
      <c r="A124" s="559" t="s">
        <v>1586</v>
      </c>
      <c r="B124" s="587" t="s">
        <v>1657</v>
      </c>
      <c r="C124" s="533"/>
      <c r="D124" s="533"/>
      <c r="E124" s="533"/>
      <c r="F124" s="533"/>
      <c r="G124" s="533"/>
      <c r="H124" s="533"/>
      <c r="I124" s="533"/>
      <c r="J124" s="533"/>
      <c r="K124" s="533"/>
      <c r="L124" s="533"/>
      <c r="M124" s="533"/>
      <c r="N124" s="533"/>
      <c r="O124" s="533"/>
      <c r="P124" s="533"/>
      <c r="Q124" s="533"/>
      <c r="R124" s="533"/>
      <c r="S124" s="588"/>
      <c r="T124" s="589"/>
      <c r="U124" s="590"/>
      <c r="V124" s="540"/>
      <c r="W124" s="542"/>
      <c r="X124" s="542"/>
      <c r="Y124" s="542"/>
      <c r="Z124" s="540">
        <v>0.9</v>
      </c>
      <c r="AA124" s="542" t="s">
        <v>1468</v>
      </c>
      <c r="AB124" s="591" t="s">
        <v>1658</v>
      </c>
      <c r="AC124" s="533"/>
      <c r="AD124" s="542" t="s">
        <v>534</v>
      </c>
      <c r="AE124" s="591"/>
    </row>
    <row r="125" spans="1:31" hidden="1" x14ac:dyDescent="0.35">
      <c r="A125" s="557" t="s">
        <v>1610</v>
      </c>
      <c r="B125" s="592" t="s">
        <v>1659</v>
      </c>
      <c r="C125" s="558"/>
      <c r="D125" s="558"/>
      <c r="E125" s="558"/>
      <c r="F125" s="558"/>
      <c r="G125" s="558"/>
      <c r="H125" s="558"/>
      <c r="I125" s="558"/>
      <c r="J125" s="558"/>
      <c r="K125" s="558"/>
      <c r="L125" s="558"/>
      <c r="M125" s="558"/>
      <c r="N125" s="558"/>
      <c r="O125" s="558"/>
      <c r="P125" s="558"/>
      <c r="Q125" s="558"/>
      <c r="R125" s="558"/>
      <c r="S125" s="593"/>
      <c r="T125" s="581"/>
      <c r="U125" s="594"/>
      <c r="V125" s="545"/>
      <c r="W125" s="546"/>
      <c r="X125" s="546"/>
      <c r="Y125" s="546"/>
      <c r="Z125" s="545">
        <v>1</v>
      </c>
      <c r="AA125" s="545" t="s">
        <v>1431</v>
      </c>
      <c r="AB125" s="557" t="s">
        <v>1660</v>
      </c>
      <c r="AC125" s="563"/>
      <c r="AD125" s="545" t="s">
        <v>533</v>
      </c>
      <c r="AE125" s="557" t="s">
        <v>1661</v>
      </c>
    </row>
    <row r="126" spans="1:31" hidden="1" x14ac:dyDescent="0.35">
      <c r="A126" s="557" t="s">
        <v>1586</v>
      </c>
      <c r="B126" s="592" t="s">
        <v>1662</v>
      </c>
      <c r="C126" s="558"/>
      <c r="D126" s="558"/>
      <c r="E126" s="558"/>
      <c r="F126" s="558"/>
      <c r="G126" s="558"/>
      <c r="H126" s="558"/>
      <c r="I126" s="558"/>
      <c r="J126" s="558"/>
      <c r="K126" s="558"/>
      <c r="L126" s="558"/>
      <c r="M126" s="558"/>
      <c r="N126" s="558"/>
      <c r="O126" s="558"/>
      <c r="P126" s="558"/>
      <c r="Q126" s="558"/>
      <c r="R126" s="558"/>
      <c r="S126" s="593"/>
      <c r="T126" s="581"/>
      <c r="U126" s="594"/>
      <c r="V126" s="545"/>
      <c r="W126" s="546"/>
      <c r="X126" s="546"/>
      <c r="Y126" s="546"/>
      <c r="Z126" s="569">
        <v>0.95</v>
      </c>
      <c r="AA126" s="546" t="s">
        <v>1468</v>
      </c>
      <c r="AB126" s="595" t="s">
        <v>1663</v>
      </c>
      <c r="AC126" s="556"/>
      <c r="AD126" s="545" t="s">
        <v>534</v>
      </c>
      <c r="AE126" s="578"/>
    </row>
    <row r="127" spans="1:31" hidden="1" x14ac:dyDescent="0.35">
      <c r="A127" s="557" t="s">
        <v>1586</v>
      </c>
      <c r="B127" s="592" t="s">
        <v>1664</v>
      </c>
      <c r="C127" s="558"/>
      <c r="D127" s="558"/>
      <c r="E127" s="558"/>
      <c r="F127" s="558"/>
      <c r="G127" s="558"/>
      <c r="H127" s="558"/>
      <c r="I127" s="558"/>
      <c r="J127" s="558"/>
      <c r="K127" s="558"/>
      <c r="L127" s="558"/>
      <c r="M127" s="558"/>
      <c r="N127" s="558"/>
      <c r="O127" s="558"/>
      <c r="P127" s="558"/>
      <c r="Q127" s="558"/>
      <c r="R127" s="558"/>
      <c r="S127" s="593"/>
      <c r="T127" s="581"/>
      <c r="U127" s="594"/>
      <c r="V127" s="545"/>
      <c r="W127" s="546"/>
      <c r="X127" s="546"/>
      <c r="Y127" s="546"/>
      <c r="Z127" s="545">
        <v>0.9</v>
      </c>
      <c r="AA127" s="546" t="s">
        <v>1468</v>
      </c>
      <c r="AB127" s="557" t="s">
        <v>1665</v>
      </c>
      <c r="AC127" s="558"/>
      <c r="AD127" s="546" t="s">
        <v>534</v>
      </c>
      <c r="AE127" s="557"/>
    </row>
    <row r="128" spans="1:31" hidden="1" x14ac:dyDescent="0.35">
      <c r="A128" s="557" t="s">
        <v>1586</v>
      </c>
      <c r="B128" s="592" t="s">
        <v>1666</v>
      </c>
      <c r="C128" s="558"/>
      <c r="D128" s="558"/>
      <c r="E128" s="558"/>
      <c r="F128" s="558"/>
      <c r="G128" s="558"/>
      <c r="H128" s="558"/>
      <c r="I128" s="558"/>
      <c r="J128" s="558"/>
      <c r="K128" s="558"/>
      <c r="L128" s="558"/>
      <c r="M128" s="558"/>
      <c r="N128" s="558"/>
      <c r="O128" s="558"/>
      <c r="P128" s="558"/>
      <c r="Q128" s="558"/>
      <c r="R128" s="558"/>
      <c r="S128" s="593"/>
      <c r="T128" s="581"/>
      <c r="U128" s="594"/>
      <c r="V128" s="545"/>
      <c r="W128" s="546"/>
      <c r="X128" s="546"/>
      <c r="Y128" s="546"/>
      <c r="Z128" s="544">
        <v>0.9</v>
      </c>
      <c r="AA128" s="546" t="s">
        <v>1468</v>
      </c>
      <c r="AB128" s="557" t="s">
        <v>1665</v>
      </c>
      <c r="AC128" s="558"/>
      <c r="AD128" s="546" t="s">
        <v>534</v>
      </c>
      <c r="AE128" s="557"/>
    </row>
    <row r="129" spans="1:31" hidden="1" x14ac:dyDescent="0.35">
      <c r="A129" s="557" t="s">
        <v>1586</v>
      </c>
      <c r="B129" s="592" t="s">
        <v>1667</v>
      </c>
      <c r="C129" s="558"/>
      <c r="D129" s="558"/>
      <c r="E129" s="558"/>
      <c r="F129" s="558"/>
      <c r="G129" s="558"/>
      <c r="H129" s="558"/>
      <c r="I129" s="558"/>
      <c r="J129" s="558"/>
      <c r="K129" s="558"/>
      <c r="L129" s="558"/>
      <c r="M129" s="558"/>
      <c r="N129" s="558"/>
      <c r="O129" s="558"/>
      <c r="P129" s="558"/>
      <c r="Q129" s="558"/>
      <c r="R129" s="558"/>
      <c r="S129" s="593"/>
      <c r="T129" s="581"/>
      <c r="U129" s="594"/>
      <c r="V129" s="545"/>
      <c r="W129" s="546"/>
      <c r="X129" s="546"/>
      <c r="Y129" s="546"/>
      <c r="Z129" s="544">
        <v>0.9</v>
      </c>
      <c r="AA129" s="546" t="s">
        <v>1468</v>
      </c>
      <c r="AB129" s="557" t="s">
        <v>1665</v>
      </c>
      <c r="AC129" s="558"/>
      <c r="AD129" s="546" t="s">
        <v>534</v>
      </c>
      <c r="AE129" s="557"/>
    </row>
    <row r="130" spans="1:31" hidden="1" x14ac:dyDescent="0.35">
      <c r="A130" s="557" t="s">
        <v>1586</v>
      </c>
      <c r="B130" s="592" t="s">
        <v>1668</v>
      </c>
      <c r="C130" s="558"/>
      <c r="D130" s="558"/>
      <c r="E130" s="558"/>
      <c r="F130" s="558"/>
      <c r="G130" s="558"/>
      <c r="H130" s="558"/>
      <c r="I130" s="558"/>
      <c r="J130" s="558"/>
      <c r="K130" s="558"/>
      <c r="L130" s="558"/>
      <c r="M130" s="558"/>
      <c r="N130" s="558"/>
      <c r="O130" s="558"/>
      <c r="P130" s="558"/>
      <c r="Q130" s="558"/>
      <c r="R130" s="558"/>
      <c r="S130" s="593"/>
      <c r="T130" s="581"/>
      <c r="U130" s="594"/>
      <c r="V130" s="545"/>
      <c r="W130" s="546"/>
      <c r="X130" s="546"/>
      <c r="Y130" s="546"/>
      <c r="Z130" s="545">
        <v>0.9</v>
      </c>
      <c r="AA130" s="546" t="s">
        <v>1468</v>
      </c>
      <c r="AB130" s="557" t="s">
        <v>1665</v>
      </c>
      <c r="AC130" s="558"/>
      <c r="AD130" s="546" t="s">
        <v>534</v>
      </c>
      <c r="AE130" s="557"/>
    </row>
    <row r="131" spans="1:31" hidden="1" x14ac:dyDescent="0.35">
      <c r="A131" s="557" t="s">
        <v>1586</v>
      </c>
      <c r="B131" s="592" t="s">
        <v>1669</v>
      </c>
      <c r="C131" s="558"/>
      <c r="D131" s="558"/>
      <c r="E131" s="558"/>
      <c r="F131" s="558"/>
      <c r="G131" s="558"/>
      <c r="H131" s="558"/>
      <c r="I131" s="558"/>
      <c r="J131" s="558"/>
      <c r="K131" s="558"/>
      <c r="L131" s="558"/>
      <c r="M131" s="558"/>
      <c r="N131" s="558"/>
      <c r="O131" s="558"/>
      <c r="P131" s="558"/>
      <c r="Q131" s="558"/>
      <c r="R131" s="558"/>
      <c r="S131" s="593"/>
      <c r="T131" s="581"/>
      <c r="U131" s="594"/>
      <c r="V131" s="545"/>
      <c r="W131" s="546"/>
      <c r="X131" s="546"/>
      <c r="Y131" s="546"/>
      <c r="Z131" s="545">
        <v>0.96</v>
      </c>
      <c r="AA131" s="546" t="s">
        <v>1468</v>
      </c>
      <c r="AB131" s="557" t="s">
        <v>1670</v>
      </c>
      <c r="AC131" s="558"/>
      <c r="AD131" s="546" t="s">
        <v>534</v>
      </c>
      <c r="AE131" s="557"/>
    </row>
    <row r="132" spans="1:31" hidden="1" x14ac:dyDescent="0.35">
      <c r="A132" s="559" t="s">
        <v>1586</v>
      </c>
      <c r="B132" s="587" t="s">
        <v>1671</v>
      </c>
      <c r="C132" s="533"/>
      <c r="D132" s="533"/>
      <c r="E132" s="533"/>
      <c r="F132" s="533"/>
      <c r="G132" s="533"/>
      <c r="H132" s="533"/>
      <c r="I132" s="533"/>
      <c r="J132" s="533"/>
      <c r="K132" s="533"/>
      <c r="L132" s="533"/>
      <c r="M132" s="533"/>
      <c r="N132" s="533"/>
      <c r="O132" s="533"/>
      <c r="P132" s="533"/>
      <c r="Q132" s="533"/>
      <c r="R132" s="533"/>
      <c r="S132" s="588"/>
      <c r="T132" s="589"/>
      <c r="U132" s="590"/>
      <c r="V132" s="540"/>
      <c r="W132" s="542"/>
      <c r="X132" s="539"/>
      <c r="Y132" s="539"/>
      <c r="Z132" s="540">
        <v>1</v>
      </c>
      <c r="AA132" s="542" t="s">
        <v>1468</v>
      </c>
      <c r="AB132" s="539" t="s">
        <v>1627</v>
      </c>
      <c r="AC132" s="533"/>
      <c r="AD132" s="542" t="s">
        <v>534</v>
      </c>
      <c r="AE132" s="533" t="s">
        <v>1672</v>
      </c>
    </row>
    <row r="133" spans="1:31" hidden="1" x14ac:dyDescent="0.35">
      <c r="A133" s="557" t="s">
        <v>1586</v>
      </c>
      <c r="B133" s="592" t="s">
        <v>1673</v>
      </c>
      <c r="C133" s="558"/>
      <c r="D133" s="558"/>
      <c r="E133" s="558"/>
      <c r="F133" s="558"/>
      <c r="G133" s="558"/>
      <c r="H133" s="558"/>
      <c r="I133" s="558"/>
      <c r="J133" s="558"/>
      <c r="K133" s="558"/>
      <c r="L133" s="558"/>
      <c r="M133" s="558"/>
      <c r="N133" s="558"/>
      <c r="O133" s="558"/>
      <c r="P133" s="558"/>
      <c r="Q133" s="558"/>
      <c r="R133" s="558"/>
      <c r="S133" s="593"/>
      <c r="T133" s="581"/>
      <c r="U133" s="594"/>
      <c r="V133" s="545"/>
      <c r="W133" s="546"/>
      <c r="X133" s="546"/>
      <c r="Y133" s="546"/>
      <c r="Z133" s="545">
        <v>0.95</v>
      </c>
      <c r="AA133" s="546" t="s">
        <v>1468</v>
      </c>
      <c r="AB133" s="557" t="s">
        <v>1674</v>
      </c>
      <c r="AC133" s="547"/>
      <c r="AD133" s="546" t="s">
        <v>534</v>
      </c>
      <c r="AE133" s="557"/>
    </row>
    <row r="134" spans="1:31" hidden="1" x14ac:dyDescent="0.35">
      <c r="A134" s="557" t="s">
        <v>1610</v>
      </c>
      <c r="B134" s="592" t="s">
        <v>1675</v>
      </c>
      <c r="C134" s="558"/>
      <c r="D134" s="558"/>
      <c r="E134" s="558"/>
      <c r="F134" s="558"/>
      <c r="G134" s="558"/>
      <c r="H134" s="558"/>
      <c r="I134" s="558"/>
      <c r="J134" s="558"/>
      <c r="K134" s="558"/>
      <c r="L134" s="558"/>
      <c r="M134" s="558"/>
      <c r="N134" s="558"/>
      <c r="O134" s="558"/>
      <c r="P134" s="558"/>
      <c r="Q134" s="558"/>
      <c r="R134" s="558"/>
      <c r="S134" s="593"/>
      <c r="T134" s="581"/>
      <c r="U134" s="594"/>
      <c r="V134" s="545"/>
      <c r="W134" s="546"/>
      <c r="X134" s="546"/>
      <c r="Y134" s="546"/>
      <c r="Z134" s="544">
        <v>1</v>
      </c>
      <c r="AA134" s="546" t="s">
        <v>1468</v>
      </c>
      <c r="AB134" s="557" t="s">
        <v>1660</v>
      </c>
      <c r="AC134" s="558"/>
      <c r="AD134" s="546" t="s">
        <v>534</v>
      </c>
      <c r="AE134" s="557" t="s">
        <v>1661</v>
      </c>
    </row>
    <row r="135" spans="1:31" hidden="1" x14ac:dyDescent="0.35">
      <c r="A135" s="557" t="s">
        <v>1610</v>
      </c>
      <c r="B135" s="592" t="s">
        <v>1676</v>
      </c>
      <c r="C135" s="558"/>
      <c r="D135" s="558"/>
      <c r="E135" s="558"/>
      <c r="F135" s="558"/>
      <c r="G135" s="558"/>
      <c r="H135" s="558"/>
      <c r="I135" s="558"/>
      <c r="J135" s="558"/>
      <c r="K135" s="558"/>
      <c r="L135" s="558"/>
      <c r="M135" s="558"/>
      <c r="N135" s="558"/>
      <c r="O135" s="558"/>
      <c r="P135" s="558"/>
      <c r="Q135" s="558"/>
      <c r="R135" s="558"/>
      <c r="S135" s="593"/>
      <c r="T135" s="581"/>
      <c r="U135" s="594"/>
      <c r="V135" s="545"/>
      <c r="W135" s="546"/>
      <c r="X135" s="546"/>
      <c r="Y135" s="546"/>
      <c r="Z135" s="544">
        <v>1</v>
      </c>
      <c r="AA135" s="546" t="s">
        <v>1468</v>
      </c>
      <c r="AB135" s="557" t="s">
        <v>1660</v>
      </c>
      <c r="AC135" s="558"/>
      <c r="AD135" s="546" t="s">
        <v>534</v>
      </c>
      <c r="AE135" s="557" t="s">
        <v>1661</v>
      </c>
    </row>
    <row r="136" spans="1:31" hidden="1" x14ac:dyDescent="0.35">
      <c r="A136" s="596" t="s">
        <v>1677</v>
      </c>
      <c r="B136" s="597" t="s">
        <v>1678</v>
      </c>
      <c r="C136" s="598"/>
      <c r="D136" s="598"/>
      <c r="E136" s="598"/>
      <c r="F136" s="598"/>
      <c r="G136" s="598"/>
      <c r="H136" s="598"/>
      <c r="I136" s="598"/>
      <c r="J136" s="598"/>
      <c r="K136" s="598"/>
      <c r="L136" s="598"/>
      <c r="M136" s="598"/>
      <c r="N136" s="598"/>
      <c r="O136" s="598"/>
      <c r="P136" s="598"/>
      <c r="Q136" s="598"/>
      <c r="R136" s="599"/>
      <c r="S136" s="599" t="s">
        <v>1679</v>
      </c>
      <c r="T136" s="599"/>
      <c r="U136" s="599"/>
      <c r="V136" s="599"/>
      <c r="W136" s="599" t="s">
        <v>1679</v>
      </c>
      <c r="X136" s="599"/>
      <c r="Y136" s="599"/>
      <c r="Z136" s="599"/>
      <c r="AA136" s="599"/>
      <c r="AB136" s="599"/>
      <c r="AC136" s="599"/>
      <c r="AD136" s="599"/>
      <c r="AE136" s="599"/>
    </row>
    <row r="137" spans="1:31" x14ac:dyDescent="0.35">
      <c r="A137" s="600"/>
      <c r="B137" s="600"/>
      <c r="C137" s="600"/>
      <c r="D137" s="600"/>
      <c r="E137" s="600"/>
      <c r="F137" s="600"/>
      <c r="G137" s="600"/>
      <c r="H137" s="600"/>
      <c r="I137" s="600"/>
      <c r="J137" s="600"/>
      <c r="K137" s="600"/>
      <c r="L137" s="600"/>
      <c r="M137" s="600"/>
      <c r="N137" s="600"/>
      <c r="O137" s="600"/>
      <c r="P137" s="600"/>
      <c r="Q137" s="600"/>
      <c r="R137" s="600"/>
      <c r="S137" s="601"/>
      <c r="T137" s="600"/>
      <c r="U137" s="600"/>
      <c r="V137" s="600"/>
      <c r="W137" s="602"/>
      <c r="X137" s="602"/>
      <c r="Y137" s="602"/>
      <c r="Z137" s="602"/>
      <c r="AA137" s="603"/>
      <c r="AB137" s="600"/>
      <c r="AC137" s="600"/>
      <c r="AD137" s="600"/>
      <c r="AE137" s="600"/>
    </row>
  </sheetData>
  <autoFilter ref="A2:AE136" xr:uid="{00000000-0009-0000-0000-00000A000000}">
    <filterColumn colId="0">
      <filters>
        <filter val="IPA - Residential"/>
        <filter val="Pilot - Residential"/>
        <filter val="Residential"/>
      </filters>
    </filterColumn>
    <filterColumn colId="1">
      <filters>
        <filter val="Energy Star Appliance Rebates - Advanced Power Strips"/>
        <filter val="Energy Star Appliance Rebates - Air Purifier"/>
        <filter val="Energy Star Appliance Rebates - Bathroom exhaust fan"/>
        <filter val="Energy Star Appliance Rebates - Clothes Dryer"/>
        <filter val="Energy Star Appliance Rebates - Clothes Washer"/>
        <filter val="Energy Star Appliance Rebates - Dehumidifier"/>
        <filter val="Energy Star Appliance Rebates - Dishwasher"/>
        <filter val="Energy Star Appliance Rebates - Freezers"/>
        <filter val="Energy Star Appliance Rebates - Heat Pump Water Heater"/>
        <filter val="Energy Star Appliance Rebates - Learning Thermostat"/>
        <filter val="Energy Star Appliance Rebates - Pool Pump"/>
        <filter val="Energy Star Appliance Rebates - Refrigerator"/>
        <filter val="Energy Star Appliance Rebates - Water cooler"/>
        <filter val="Energy Star Appliance Rebates - Window AC"/>
      </filters>
    </filterColumn>
  </autoFilter>
  <mergeCells count="41">
    <mergeCell ref="C109:N118"/>
    <mergeCell ref="V58:V59"/>
    <mergeCell ref="Z58:Z59"/>
    <mergeCell ref="C89:Q89"/>
    <mergeCell ref="C100:M100"/>
    <mergeCell ref="C101:M101"/>
    <mergeCell ref="C102:M102"/>
    <mergeCell ref="R58:R59"/>
    <mergeCell ref="C21:R21"/>
    <mergeCell ref="T21:U21"/>
    <mergeCell ref="C41:G41"/>
    <mergeCell ref="L43:M43"/>
    <mergeCell ref="L44:M44"/>
    <mergeCell ref="AB10:AB12"/>
    <mergeCell ref="AC10:AC12"/>
    <mergeCell ref="AD10:AD12"/>
    <mergeCell ref="AE10:AE12"/>
    <mergeCell ref="C20:R20"/>
    <mergeCell ref="T20:U20"/>
    <mergeCell ref="V10:V12"/>
    <mergeCell ref="W10:W12"/>
    <mergeCell ref="X10:X12"/>
    <mergeCell ref="Y10:Y12"/>
    <mergeCell ref="Z10:Z12"/>
    <mergeCell ref="AA10:AA12"/>
    <mergeCell ref="T5:U5"/>
    <mergeCell ref="X5:Y5"/>
    <mergeCell ref="T6:U6"/>
    <mergeCell ref="K10:K12"/>
    <mergeCell ref="L10:L12"/>
    <mergeCell ref="M10:M12"/>
    <mergeCell ref="P10:Q12"/>
    <mergeCell ref="S10:S12"/>
    <mergeCell ref="T10:T12"/>
    <mergeCell ref="U10:U12"/>
    <mergeCell ref="O1:R1"/>
    <mergeCell ref="S1:V1"/>
    <mergeCell ref="W1:AC1"/>
    <mergeCell ref="T3:U3"/>
    <mergeCell ref="T4:U4"/>
    <mergeCell ref="X4:Y4"/>
  </mergeCells>
  <pageMargins left="0.2" right="0.15" top="0.39" bottom="0.33" header="0.24" footer="0.17"/>
  <pageSetup paperSize="5" scale="62" fitToHeight="0" orientation="landscape" r:id="rId1"/>
  <headerFooter alignWithMargins="0">
    <oddHeader>&amp;CComEd Appliance NTG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D3:O23"/>
  <sheetViews>
    <sheetView workbookViewId="0"/>
  </sheetViews>
  <sheetFormatPr defaultRowHeight="14.5" x14ac:dyDescent="0.35"/>
  <cols>
    <col min="5" max="8" width="12.26953125" customWidth="1"/>
    <col min="13" max="13" width="11.54296875" bestFit="1" customWidth="1"/>
  </cols>
  <sheetData>
    <row r="3" spans="4:9" x14ac:dyDescent="0.35">
      <c r="D3" s="214"/>
      <c r="E3" s="215"/>
      <c r="F3" s="215"/>
      <c r="G3" s="215"/>
      <c r="H3" s="215"/>
      <c r="I3" s="216"/>
    </row>
    <row r="4" spans="4:9" x14ac:dyDescent="0.35">
      <c r="D4" s="217"/>
      <c r="E4" s="218"/>
      <c r="F4" s="218"/>
      <c r="G4" s="218"/>
      <c r="H4" s="218"/>
      <c r="I4" s="219"/>
    </row>
    <row r="5" spans="4:9" x14ac:dyDescent="0.35">
      <c r="D5" s="217"/>
      <c r="E5" s="218" t="s">
        <v>723</v>
      </c>
      <c r="F5" s="218"/>
      <c r="G5" s="218" t="s">
        <v>44</v>
      </c>
      <c r="H5" s="218" t="s">
        <v>7</v>
      </c>
      <c r="I5" s="219"/>
    </row>
    <row r="6" spans="4:9" x14ac:dyDescent="0.35">
      <c r="D6" s="217"/>
      <c r="E6" s="218"/>
      <c r="F6" s="218" t="s">
        <v>724</v>
      </c>
      <c r="G6" s="218" t="s">
        <v>725</v>
      </c>
      <c r="H6" s="218" t="s">
        <v>726</v>
      </c>
      <c r="I6" s="219"/>
    </row>
    <row r="7" spans="4:9" x14ac:dyDescent="0.35">
      <c r="D7" s="217"/>
      <c r="E7" s="218" t="s">
        <v>711</v>
      </c>
      <c r="F7" s="218" t="s">
        <v>1362</v>
      </c>
      <c r="G7" s="218">
        <v>1575</v>
      </c>
      <c r="H7" s="218">
        <v>1400</v>
      </c>
      <c r="I7" s="219" t="s">
        <v>1363</v>
      </c>
    </row>
    <row r="8" spans="4:9" x14ac:dyDescent="0.35">
      <c r="D8" s="217"/>
      <c r="E8" s="218" t="s">
        <v>727</v>
      </c>
      <c r="F8" s="218" t="s">
        <v>294</v>
      </c>
      <c r="G8" s="218">
        <v>1250</v>
      </c>
      <c r="H8" s="218">
        <v>1000</v>
      </c>
      <c r="I8" s="219"/>
    </row>
    <row r="9" spans="4:9" x14ac:dyDescent="0.35">
      <c r="D9" s="217"/>
      <c r="E9" s="218" t="s">
        <v>728</v>
      </c>
      <c r="F9" s="218" t="s">
        <v>294</v>
      </c>
      <c r="G9" s="218">
        <v>1470</v>
      </c>
      <c r="H9" s="218">
        <v>1000</v>
      </c>
      <c r="I9" s="219"/>
    </row>
    <row r="10" spans="4:9" x14ac:dyDescent="0.35">
      <c r="D10" s="217"/>
      <c r="E10" s="218" t="s">
        <v>729</v>
      </c>
      <c r="F10" s="218" t="s">
        <v>294</v>
      </c>
      <c r="G10" s="218">
        <v>800</v>
      </c>
      <c r="H10" s="218">
        <v>800</v>
      </c>
      <c r="I10" s="219"/>
    </row>
    <row r="11" spans="4:9" x14ac:dyDescent="0.35">
      <c r="D11" s="217"/>
      <c r="E11" s="218" t="s">
        <v>730</v>
      </c>
      <c r="F11" s="218" t="s">
        <v>465</v>
      </c>
      <c r="G11" s="218">
        <v>145</v>
      </c>
      <c r="H11" s="218">
        <v>140</v>
      </c>
      <c r="I11" s="219"/>
    </row>
    <row r="12" spans="4:9" x14ac:dyDescent="0.35">
      <c r="D12" s="217"/>
      <c r="E12" s="218" t="s">
        <v>731</v>
      </c>
      <c r="F12" s="218" t="s">
        <v>465</v>
      </c>
      <c r="G12" s="218">
        <v>145</v>
      </c>
      <c r="H12" s="218">
        <v>140</v>
      </c>
      <c r="I12" s="219"/>
    </row>
    <row r="13" spans="4:9" x14ac:dyDescent="0.35">
      <c r="D13" s="217"/>
      <c r="E13" s="218" t="s">
        <v>732</v>
      </c>
      <c r="F13" s="218" t="s">
        <v>465</v>
      </c>
      <c r="G13" s="218">
        <v>145</v>
      </c>
      <c r="H13" s="218">
        <v>140</v>
      </c>
      <c r="I13" s="219"/>
    </row>
    <row r="14" spans="4:9" x14ac:dyDescent="0.35">
      <c r="D14" s="217"/>
      <c r="E14" s="491" t="s">
        <v>733</v>
      </c>
      <c r="F14" s="491" t="s">
        <v>294</v>
      </c>
      <c r="G14" s="491">
        <f>AVERAGE(G8,G9)</f>
        <v>1360</v>
      </c>
      <c r="H14" s="491">
        <f>AVERAGE(H8,H9)</f>
        <v>1000</v>
      </c>
      <c r="I14" s="219" t="s">
        <v>722</v>
      </c>
    </row>
    <row r="15" spans="4:9" x14ac:dyDescent="0.35">
      <c r="D15" s="217"/>
      <c r="E15" s="218"/>
      <c r="F15" s="218"/>
      <c r="G15" s="218"/>
      <c r="H15" s="218"/>
      <c r="I15" s="219"/>
    </row>
    <row r="16" spans="4:9" x14ac:dyDescent="0.35">
      <c r="D16" s="220"/>
      <c r="E16" s="221"/>
      <c r="F16" s="221"/>
      <c r="G16" s="221"/>
      <c r="H16" s="221"/>
      <c r="I16" s="222"/>
    </row>
    <row r="18" spans="13:15" x14ac:dyDescent="0.35">
      <c r="M18" s="214" t="s">
        <v>734</v>
      </c>
      <c r="N18" s="216"/>
    </row>
    <row r="19" spans="13:15" x14ac:dyDescent="0.35">
      <c r="M19" s="217"/>
      <c r="N19" s="219"/>
    </row>
    <row r="20" spans="13:15" x14ac:dyDescent="0.35">
      <c r="M20" s="217" t="s">
        <v>468</v>
      </c>
      <c r="N20" s="219" t="s">
        <v>735</v>
      </c>
    </row>
    <row r="21" spans="13:15" x14ac:dyDescent="0.35">
      <c r="M21" s="223">
        <v>97</v>
      </c>
      <c r="N21" s="219" t="s">
        <v>736</v>
      </c>
    </row>
    <row r="22" spans="13:15" x14ac:dyDescent="0.35">
      <c r="M22" s="223">
        <v>280</v>
      </c>
      <c r="N22" s="219" t="s">
        <v>737</v>
      </c>
      <c r="O22" t="s">
        <v>738</v>
      </c>
    </row>
    <row r="23" spans="13:15" x14ac:dyDescent="0.35">
      <c r="M23" s="224">
        <v>200</v>
      </c>
      <c r="N23" s="222" t="s">
        <v>739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2:AI443"/>
  <sheetViews>
    <sheetView zoomScale="60" zoomScaleNormal="60" workbookViewId="0"/>
  </sheetViews>
  <sheetFormatPr defaultRowHeight="14.5" x14ac:dyDescent="0.35"/>
  <cols>
    <col min="1" max="1" width="33.1796875" customWidth="1"/>
    <col min="2" max="2" width="43.26953125" customWidth="1"/>
    <col min="3" max="3" width="33.54296875" customWidth="1"/>
    <col min="4" max="4" width="23.453125" customWidth="1"/>
    <col min="5" max="5" width="31.453125" customWidth="1"/>
    <col min="6" max="6" width="31.7265625" customWidth="1"/>
    <col min="7" max="7" width="14.453125" customWidth="1"/>
    <col min="8" max="8" width="15.26953125" customWidth="1"/>
    <col min="9" max="9" width="17.81640625" customWidth="1"/>
    <col min="10" max="10" width="26.54296875" customWidth="1"/>
    <col min="11" max="11" width="21.453125" customWidth="1"/>
    <col min="12" max="12" width="16.26953125" customWidth="1"/>
    <col min="13" max="13" width="15.54296875" customWidth="1"/>
    <col min="14" max="14" width="12.54296875" customWidth="1"/>
    <col min="15" max="15" width="31.26953125" customWidth="1"/>
    <col min="16" max="16" width="15.7265625" customWidth="1"/>
    <col min="17" max="17" width="23.7265625" customWidth="1"/>
    <col min="18" max="18" width="11.7265625" customWidth="1"/>
    <col min="19" max="19" width="9.1796875" customWidth="1"/>
    <col min="20" max="20" width="26.1796875" customWidth="1"/>
    <col min="21" max="21" width="31.81640625" customWidth="1"/>
    <col min="22" max="22" width="22" bestFit="1" customWidth="1"/>
    <col min="23" max="23" width="20.54296875" bestFit="1" customWidth="1"/>
    <col min="24" max="24" width="15.26953125" bestFit="1" customWidth="1"/>
    <col min="25" max="25" width="22" bestFit="1" customWidth="1"/>
    <col min="26" max="26" width="18.7265625" bestFit="1" customWidth="1"/>
    <col min="27" max="27" width="10" bestFit="1" customWidth="1"/>
    <col min="28" max="29" width="14.81640625" bestFit="1" customWidth="1"/>
    <col min="30" max="30" width="10.26953125" bestFit="1" customWidth="1"/>
    <col min="31" max="31" width="17.26953125" bestFit="1" customWidth="1"/>
    <col min="32" max="32" width="20.54296875" bestFit="1" customWidth="1"/>
    <col min="33" max="33" width="9.7265625" bestFit="1" customWidth="1"/>
  </cols>
  <sheetData>
    <row r="2" spans="1:27" ht="18.5" x14ac:dyDescent="0.45">
      <c r="A2" s="2568" t="s">
        <v>236</v>
      </c>
      <c r="B2" s="2568" t="s">
        <v>363</v>
      </c>
      <c r="C2" s="39"/>
      <c r="D2" s="39"/>
      <c r="E2" s="39"/>
      <c r="F2" s="39"/>
      <c r="G2" s="39"/>
      <c r="H2" s="39"/>
      <c r="I2" s="39"/>
      <c r="J2" s="600" t="s">
        <v>1735</v>
      </c>
      <c r="K2" s="600"/>
      <c r="L2" s="600"/>
      <c r="M2" s="600" t="s">
        <v>1941</v>
      </c>
      <c r="N2" s="600"/>
      <c r="O2" s="39"/>
      <c r="P2" s="39"/>
      <c r="Q2" s="39"/>
      <c r="R2" s="39"/>
      <c r="S2" s="39"/>
      <c r="T2" s="39"/>
      <c r="U2" s="39"/>
      <c r="V2" s="39"/>
      <c r="W2" s="39"/>
      <c r="X2" s="39"/>
      <c r="Y2" s="39"/>
      <c r="Z2" s="39"/>
      <c r="AA2" s="39"/>
    </row>
    <row r="3" spans="1:27" ht="15.5" x14ac:dyDescent="0.35">
      <c r="A3" s="39"/>
      <c r="B3" s="39"/>
      <c r="C3" s="47" t="s">
        <v>364</v>
      </c>
      <c r="D3" s="39"/>
      <c r="E3" s="39"/>
      <c r="F3" s="39"/>
      <c r="G3" s="39"/>
      <c r="H3" s="39"/>
      <c r="I3" s="39"/>
      <c r="J3" s="92" t="s">
        <v>442</v>
      </c>
      <c r="K3" s="92" t="s">
        <v>443</v>
      </c>
      <c r="L3" s="92" t="s">
        <v>444</v>
      </c>
      <c r="M3" s="92" t="s">
        <v>445</v>
      </c>
      <c r="N3" s="600" t="s">
        <v>408</v>
      </c>
      <c r="O3" s="39"/>
      <c r="P3" s="39"/>
      <c r="Q3" s="39"/>
      <c r="R3" s="39"/>
      <c r="S3" s="39"/>
      <c r="T3" s="39"/>
      <c r="U3" s="39"/>
      <c r="V3" s="39"/>
      <c r="W3" s="39"/>
      <c r="X3" s="39"/>
      <c r="Y3" s="39"/>
      <c r="Z3" s="39"/>
      <c r="AA3" s="39"/>
    </row>
    <row r="4" spans="1:27" x14ac:dyDescent="0.35">
      <c r="A4" s="39"/>
      <c r="B4" s="39"/>
      <c r="C4" s="39"/>
      <c r="D4" s="39"/>
      <c r="E4" s="39"/>
      <c r="F4" s="39"/>
      <c r="G4" s="39"/>
      <c r="H4" s="39"/>
      <c r="I4" s="39"/>
      <c r="J4" s="2932" t="s">
        <v>447</v>
      </c>
      <c r="K4" s="599" t="s">
        <v>448</v>
      </c>
      <c r="L4" s="599">
        <v>6.8</v>
      </c>
      <c r="M4" s="610">
        <f>L4/3.413</f>
        <v>1.9923820685613831</v>
      </c>
      <c r="N4" s="85">
        <v>0.9</v>
      </c>
      <c r="O4" s="39"/>
      <c r="P4" s="39"/>
      <c r="Q4" s="39"/>
      <c r="R4" s="39"/>
      <c r="S4" s="39"/>
      <c r="T4" s="39"/>
      <c r="U4" s="39"/>
      <c r="V4" s="39"/>
      <c r="W4" s="39"/>
      <c r="X4" s="39"/>
      <c r="Y4" s="39"/>
      <c r="Z4" s="39"/>
      <c r="AA4" s="39"/>
    </row>
    <row r="5" spans="1:27" x14ac:dyDescent="0.35">
      <c r="A5" s="39"/>
      <c r="B5" s="39" t="s">
        <v>365</v>
      </c>
      <c r="C5" s="39"/>
      <c r="D5" s="39"/>
      <c r="E5" s="39"/>
      <c r="F5" s="39"/>
      <c r="G5" s="39"/>
      <c r="H5" s="39"/>
      <c r="I5" s="39"/>
      <c r="J5" s="2933"/>
      <c r="K5" s="599" t="s">
        <v>450</v>
      </c>
      <c r="L5" s="599">
        <v>7.7</v>
      </c>
      <c r="M5" s="610">
        <f>L5/3.413</f>
        <v>2.2560796952827427</v>
      </c>
      <c r="N5" s="85">
        <v>0.1</v>
      </c>
      <c r="O5" s="39"/>
      <c r="P5" s="39"/>
      <c r="Q5" s="39"/>
      <c r="R5" s="39"/>
      <c r="S5" s="39"/>
      <c r="T5" s="39"/>
      <c r="U5" s="39"/>
      <c r="V5" s="39"/>
      <c r="W5" s="39"/>
      <c r="X5" s="39"/>
      <c r="Y5" s="39"/>
      <c r="Z5" s="39"/>
      <c r="AA5" s="39"/>
    </row>
    <row r="6" spans="1:27" x14ac:dyDescent="0.35">
      <c r="A6" s="39"/>
      <c r="B6" s="39"/>
      <c r="C6" s="39" t="s">
        <v>366</v>
      </c>
      <c r="D6" s="39"/>
      <c r="E6" s="39"/>
      <c r="F6" s="39"/>
      <c r="G6" s="39"/>
      <c r="H6" s="39"/>
      <c r="I6" s="39"/>
      <c r="J6" s="2934"/>
      <c r="K6" s="599" t="s">
        <v>451</v>
      </c>
      <c r="L6" s="599">
        <v>8.1999999999999993</v>
      </c>
      <c r="M6" s="610">
        <f>L6/3.413</f>
        <v>2.4025783767946089</v>
      </c>
      <c r="N6" s="85">
        <v>0</v>
      </c>
      <c r="O6" s="39"/>
      <c r="P6" s="39"/>
      <c r="Q6" s="39"/>
      <c r="R6" s="39"/>
      <c r="S6" s="39"/>
      <c r="T6" s="39"/>
      <c r="U6" s="39"/>
      <c r="V6" s="39"/>
      <c r="W6" s="39"/>
      <c r="X6" s="39"/>
      <c r="Y6" s="39"/>
      <c r="Z6" s="39"/>
      <c r="AA6" s="39"/>
    </row>
    <row r="7" spans="1:27" x14ac:dyDescent="0.35">
      <c r="A7" s="39"/>
      <c r="B7" s="39"/>
      <c r="C7" s="39" t="s">
        <v>367</v>
      </c>
      <c r="D7" s="39"/>
      <c r="E7" s="39"/>
      <c r="F7" s="39"/>
      <c r="G7" s="39"/>
      <c r="H7" s="39"/>
      <c r="I7" s="39"/>
      <c r="J7" s="599" t="s">
        <v>452</v>
      </c>
      <c r="K7" s="599" t="s">
        <v>304</v>
      </c>
      <c r="L7" s="599" t="s">
        <v>304</v>
      </c>
      <c r="M7" s="610">
        <v>1</v>
      </c>
      <c r="N7" s="85">
        <v>0</v>
      </c>
      <c r="O7" s="39"/>
      <c r="P7" s="39"/>
      <c r="Q7" s="39"/>
      <c r="R7" s="39"/>
      <c r="S7" s="39"/>
      <c r="T7" s="39"/>
      <c r="U7" s="39"/>
      <c r="V7" s="39"/>
      <c r="W7" s="39"/>
      <c r="X7" s="39"/>
      <c r="Y7" s="39"/>
      <c r="Z7" s="39"/>
      <c r="AA7" s="39"/>
    </row>
    <row r="8" spans="1:27" x14ac:dyDescent="0.35">
      <c r="A8" s="39"/>
      <c r="B8" s="39" t="s">
        <v>368</v>
      </c>
      <c r="C8" s="39"/>
      <c r="D8" s="39"/>
      <c r="E8" s="39"/>
      <c r="F8" s="39"/>
      <c r="G8" s="39"/>
      <c r="H8" s="39"/>
      <c r="I8" s="39"/>
      <c r="J8" s="600"/>
      <c r="K8" s="600"/>
      <c r="L8" s="600"/>
      <c r="M8" s="600"/>
      <c r="N8" s="85">
        <f>SUMPRODUCT(M4:M7,N4:N7)</f>
        <v>2.0187518312335193</v>
      </c>
      <c r="O8" s="39"/>
      <c r="P8" s="39"/>
      <c r="Q8" s="39"/>
      <c r="R8" s="39"/>
      <c r="S8" s="39"/>
      <c r="T8" s="39"/>
      <c r="U8" s="39"/>
      <c r="V8" s="39"/>
      <c r="W8" s="39"/>
      <c r="X8" s="39"/>
      <c r="Y8" s="39"/>
      <c r="Z8" s="39"/>
      <c r="AA8" s="39"/>
    </row>
    <row r="9" spans="1:27" x14ac:dyDescent="0.35">
      <c r="A9" s="39"/>
      <c r="B9" s="39" t="s">
        <v>369</v>
      </c>
      <c r="C9" s="39"/>
      <c r="D9" s="39"/>
      <c r="E9" s="39"/>
      <c r="F9" s="39"/>
      <c r="G9" s="39"/>
      <c r="H9" s="39"/>
      <c r="I9" s="39"/>
      <c r="J9" s="39"/>
      <c r="K9" s="39"/>
      <c r="L9" s="39"/>
      <c r="M9" s="39"/>
      <c r="N9" s="39"/>
      <c r="O9" s="39"/>
      <c r="P9" s="39"/>
      <c r="Q9" s="51" t="s">
        <v>236</v>
      </c>
      <c r="R9" s="52"/>
      <c r="S9" s="53"/>
      <c r="T9" s="54"/>
      <c r="U9" s="40"/>
      <c r="V9" s="39"/>
      <c r="W9" s="39"/>
      <c r="X9" s="39"/>
      <c r="Y9" s="39"/>
      <c r="Z9" s="39"/>
      <c r="AA9" s="39"/>
    </row>
    <row r="10" spans="1:27" x14ac:dyDescent="0.35">
      <c r="A10" s="39"/>
      <c r="B10" s="39" t="s">
        <v>370</v>
      </c>
      <c r="C10" s="39"/>
      <c r="D10" s="39"/>
      <c r="E10" s="39"/>
      <c r="F10" s="39"/>
      <c r="G10" s="39"/>
      <c r="H10" s="39"/>
      <c r="I10" s="39"/>
      <c r="J10" s="39"/>
      <c r="K10" s="39"/>
      <c r="L10" s="39"/>
      <c r="M10" s="39"/>
      <c r="N10" s="39"/>
      <c r="O10" s="39"/>
      <c r="P10" s="39"/>
      <c r="Q10" s="55" t="s">
        <v>371</v>
      </c>
      <c r="R10" s="56">
        <f>R22*0.5</f>
        <v>322.52899186236772</v>
      </c>
      <c r="S10" s="57" t="s">
        <v>372</v>
      </c>
      <c r="T10" s="58"/>
      <c r="U10" s="40"/>
      <c r="V10" s="39"/>
      <c r="W10" s="39"/>
      <c r="X10" s="39"/>
      <c r="Y10" s="39"/>
      <c r="Z10" s="39"/>
      <c r="AA10" s="39"/>
    </row>
    <row r="11" spans="1:27" x14ac:dyDescent="0.35">
      <c r="A11" s="39"/>
      <c r="B11" s="39"/>
      <c r="C11" s="39"/>
      <c r="D11" s="39"/>
      <c r="E11" s="39"/>
      <c r="F11" s="39"/>
      <c r="G11" s="39"/>
      <c r="H11" s="39"/>
      <c r="I11" s="39"/>
      <c r="J11" s="39"/>
      <c r="K11" s="39"/>
      <c r="L11" s="39"/>
      <c r="M11" s="39" t="s">
        <v>406</v>
      </c>
      <c r="N11" s="39" t="s">
        <v>407</v>
      </c>
      <c r="O11" s="39" t="s">
        <v>408</v>
      </c>
      <c r="P11" s="39"/>
      <c r="Q11" s="59" t="s">
        <v>373</v>
      </c>
      <c r="R11" s="60">
        <f>R10*0.64*(0.5+0.25)</f>
        <v>154.81391609393651</v>
      </c>
      <c r="S11" s="61"/>
      <c r="T11" s="58"/>
      <c r="U11" s="39"/>
      <c r="V11" s="39"/>
      <c r="W11" s="39"/>
      <c r="X11" s="39"/>
      <c r="Y11" s="39"/>
      <c r="Z11" s="39"/>
      <c r="AA11" s="39"/>
    </row>
    <row r="12" spans="1:27" x14ac:dyDescent="0.35">
      <c r="A12" s="40"/>
      <c r="B12" s="39" t="s">
        <v>360</v>
      </c>
      <c r="C12" s="39">
        <v>20</v>
      </c>
      <c r="D12" s="39" t="s">
        <v>361</v>
      </c>
      <c r="E12" s="39"/>
      <c r="F12" s="39"/>
      <c r="G12" s="39"/>
      <c r="H12" s="39"/>
      <c r="I12" s="39"/>
      <c r="J12" s="39"/>
      <c r="K12" s="39"/>
      <c r="L12" s="39"/>
      <c r="M12" s="39" t="s">
        <v>411</v>
      </c>
      <c r="N12" s="39">
        <v>10</v>
      </c>
      <c r="O12" s="64">
        <v>0.9</v>
      </c>
      <c r="P12" s="39"/>
      <c r="Q12" s="59" t="s">
        <v>374</v>
      </c>
      <c r="R12" s="62">
        <v>2.2599999999999998</v>
      </c>
      <c r="S12" s="57"/>
      <c r="T12" s="58"/>
      <c r="U12" s="39"/>
      <c r="V12" s="39"/>
      <c r="W12" s="39"/>
      <c r="X12" s="39"/>
      <c r="Y12" s="39"/>
      <c r="Z12" s="39"/>
      <c r="AA12" s="39"/>
    </row>
    <row r="13" spans="1:27" x14ac:dyDescent="0.35">
      <c r="A13" s="40"/>
      <c r="B13" s="40" t="s">
        <v>375</v>
      </c>
      <c r="C13" s="48">
        <f>R14</f>
        <v>409.46181206350104</v>
      </c>
      <c r="D13" s="40" t="s">
        <v>376</v>
      </c>
      <c r="E13" s="39"/>
      <c r="F13" s="39"/>
      <c r="G13" s="39"/>
      <c r="H13" s="39"/>
      <c r="I13" s="39"/>
      <c r="J13" s="39"/>
      <c r="K13" s="39"/>
      <c r="L13" s="39"/>
      <c r="M13" s="39" t="s">
        <v>415</v>
      </c>
      <c r="N13" s="39">
        <v>13</v>
      </c>
      <c r="O13" s="64">
        <v>0.1</v>
      </c>
      <c r="P13" s="39"/>
      <c r="Q13" s="59" t="s">
        <v>296</v>
      </c>
      <c r="R13" s="63">
        <v>0.7</v>
      </c>
      <c r="S13" s="57"/>
      <c r="T13" s="57"/>
      <c r="U13" s="39"/>
      <c r="V13" s="39"/>
      <c r="W13" s="39"/>
      <c r="X13" s="39"/>
      <c r="Y13" s="39"/>
      <c r="Z13" s="39"/>
      <c r="AA13" s="39"/>
    </row>
    <row r="14" spans="1:27" x14ac:dyDescent="0.35">
      <c r="A14" s="40"/>
      <c r="B14" s="39" t="s">
        <v>362</v>
      </c>
      <c r="C14" s="64">
        <v>0.68</v>
      </c>
      <c r="D14" s="39"/>
      <c r="E14" s="39"/>
      <c r="F14" s="39"/>
      <c r="G14" s="39"/>
      <c r="H14" s="39"/>
      <c r="I14" s="39"/>
      <c r="J14" s="39"/>
      <c r="K14" s="39"/>
      <c r="L14" s="39"/>
      <c r="M14" s="39" t="s">
        <v>420</v>
      </c>
      <c r="N14" s="39">
        <v>13</v>
      </c>
      <c r="O14" s="39">
        <v>0</v>
      </c>
      <c r="P14" s="39"/>
      <c r="Q14" s="65" t="s">
        <v>377</v>
      </c>
      <c r="R14" s="65">
        <f>O18*0.215820933333333</f>
        <v>409.46181206350104</v>
      </c>
      <c r="S14" s="57" t="s">
        <v>378</v>
      </c>
      <c r="T14" s="66"/>
      <c r="U14" s="39"/>
      <c r="V14" s="39"/>
      <c r="W14" s="39"/>
      <c r="X14" s="39"/>
      <c r="Y14" s="39"/>
      <c r="Z14" s="39"/>
      <c r="AA14" s="39"/>
    </row>
    <row r="15" spans="1:27" x14ac:dyDescent="0.35">
      <c r="A15" s="40"/>
      <c r="B15" s="67" t="s">
        <v>379</v>
      </c>
      <c r="C15" s="68">
        <v>119</v>
      </c>
      <c r="D15" s="47" t="s">
        <v>380</v>
      </c>
      <c r="E15" s="47"/>
      <c r="F15" s="39"/>
      <c r="G15" s="39"/>
      <c r="H15" s="39"/>
      <c r="I15" s="39"/>
      <c r="J15" s="39"/>
      <c r="K15" s="39"/>
      <c r="L15" s="39"/>
      <c r="M15" s="39" t="s">
        <v>423</v>
      </c>
      <c r="N15" s="39">
        <v>14</v>
      </c>
      <c r="O15" s="39">
        <v>0</v>
      </c>
      <c r="P15" s="39"/>
      <c r="Q15" s="69" t="s">
        <v>381</v>
      </c>
      <c r="R15" s="70">
        <v>20</v>
      </c>
      <c r="S15" s="57" t="s">
        <v>382</v>
      </c>
      <c r="T15" s="57"/>
      <c r="U15" s="39"/>
      <c r="V15" s="39"/>
      <c r="W15" s="39"/>
      <c r="X15" s="39"/>
      <c r="Y15" s="39"/>
      <c r="Z15" s="39"/>
      <c r="AA15" s="39"/>
    </row>
    <row r="16" spans="1:27" x14ac:dyDescent="0.35">
      <c r="A16" s="40"/>
      <c r="B16" s="665" t="s">
        <v>383</v>
      </c>
      <c r="C16" s="658">
        <v>36000</v>
      </c>
      <c r="D16" s="39" t="s">
        <v>384</v>
      </c>
      <c r="E16" s="39"/>
      <c r="F16" s="39"/>
      <c r="G16" s="39"/>
      <c r="H16" s="39"/>
      <c r="I16" s="39"/>
      <c r="J16" s="39"/>
      <c r="K16" s="39"/>
      <c r="L16" s="39"/>
      <c r="M16" s="39"/>
      <c r="N16" s="39"/>
      <c r="O16" s="39"/>
      <c r="P16" s="39"/>
      <c r="Q16" s="39"/>
      <c r="R16" s="39"/>
      <c r="S16" s="40"/>
      <c r="T16" s="40"/>
      <c r="U16" s="72" t="s">
        <v>294</v>
      </c>
      <c r="V16" s="39"/>
      <c r="W16" s="39"/>
      <c r="X16" s="39"/>
      <c r="Y16" s="39"/>
      <c r="Z16" s="39"/>
      <c r="AA16" s="39"/>
    </row>
    <row r="17" spans="1:29" x14ac:dyDescent="0.35">
      <c r="A17" s="40"/>
      <c r="B17" s="39"/>
      <c r="C17" s="72">
        <v>36000</v>
      </c>
      <c r="D17" s="39" t="s">
        <v>385</v>
      </c>
      <c r="E17" s="39"/>
      <c r="F17" s="39"/>
      <c r="G17" s="39"/>
      <c r="H17" s="39"/>
      <c r="I17" s="39"/>
      <c r="J17" s="39"/>
      <c r="K17" s="39"/>
      <c r="L17" s="39"/>
      <c r="M17" s="39"/>
      <c r="N17" s="39"/>
      <c r="O17" s="39"/>
      <c r="P17" s="39"/>
      <c r="Q17" s="39"/>
      <c r="R17" s="39"/>
      <c r="S17" s="39"/>
      <c r="T17" s="39"/>
      <c r="U17" s="72"/>
      <c r="V17" s="39"/>
      <c r="W17" s="39"/>
      <c r="X17" s="39"/>
      <c r="Y17" s="39"/>
      <c r="Z17" s="39"/>
      <c r="AA17" s="39"/>
    </row>
    <row r="18" spans="1:29" x14ac:dyDescent="0.35">
      <c r="A18" s="40"/>
      <c r="B18" s="39"/>
      <c r="C18" s="72">
        <v>400</v>
      </c>
      <c r="D18" s="39" t="s">
        <v>386</v>
      </c>
      <c r="E18" s="39"/>
      <c r="F18" s="39"/>
      <c r="G18" s="39"/>
      <c r="H18" s="39"/>
      <c r="I18" s="39"/>
      <c r="J18" s="39"/>
      <c r="K18" s="39"/>
      <c r="L18" s="39"/>
      <c r="M18" s="40" t="s">
        <v>428</v>
      </c>
      <c r="N18" s="40" t="s">
        <v>294</v>
      </c>
      <c r="O18" s="87">
        <v>1897.229363896281</v>
      </c>
      <c r="P18" s="39"/>
      <c r="Q18" s="73" t="s">
        <v>387</v>
      </c>
      <c r="R18" s="74">
        <v>0.6</v>
      </c>
      <c r="S18" s="75" t="s">
        <v>388</v>
      </c>
      <c r="T18" s="39"/>
      <c r="U18" s="72"/>
      <c r="V18" s="39"/>
      <c r="W18" s="39"/>
      <c r="X18" s="39"/>
      <c r="Y18" s="39"/>
      <c r="Z18" s="39"/>
      <c r="AA18" s="39"/>
    </row>
    <row r="19" spans="1:29" x14ac:dyDescent="0.35">
      <c r="A19" s="40"/>
      <c r="B19" s="71" t="s">
        <v>389</v>
      </c>
      <c r="C19" s="72">
        <f>'RES HVAC'!O34</f>
        <v>730</v>
      </c>
      <c r="D19" s="39" t="s">
        <v>294</v>
      </c>
      <c r="E19" s="39"/>
      <c r="F19" s="39"/>
      <c r="G19" s="39"/>
      <c r="H19" s="39"/>
      <c r="I19" s="39"/>
      <c r="J19" s="39"/>
      <c r="K19" s="39"/>
      <c r="L19" s="39"/>
      <c r="M19" s="40"/>
      <c r="N19" s="40" t="s">
        <v>328</v>
      </c>
      <c r="O19" s="87">
        <v>1375.4409232688377</v>
      </c>
      <c r="P19" s="39"/>
      <c r="Q19" s="73" t="s">
        <v>390</v>
      </c>
      <c r="R19" s="76">
        <v>8</v>
      </c>
      <c r="S19" s="75"/>
      <c r="T19" s="39"/>
      <c r="U19" s="72"/>
      <c r="V19" s="39"/>
      <c r="W19" s="39"/>
      <c r="X19" s="39"/>
      <c r="Y19" s="39"/>
      <c r="Z19" s="39"/>
      <c r="AA19" s="39"/>
    </row>
    <row r="20" spans="1:29" x14ac:dyDescent="0.35">
      <c r="A20" s="39"/>
      <c r="B20" s="39"/>
      <c r="C20" s="72">
        <f>'RES HVAC'!P34</f>
        <v>663</v>
      </c>
      <c r="D20" s="39" t="s">
        <v>328</v>
      </c>
      <c r="E20" s="39"/>
      <c r="F20" s="39"/>
      <c r="G20" s="39"/>
      <c r="H20" s="39"/>
      <c r="I20" s="39"/>
      <c r="J20" s="39"/>
      <c r="K20" s="39"/>
      <c r="L20" s="39"/>
      <c r="M20" s="39"/>
      <c r="N20" s="39"/>
      <c r="O20" s="39"/>
      <c r="P20" s="39"/>
      <c r="Q20" s="73" t="s">
        <v>391</v>
      </c>
      <c r="R20" s="77">
        <v>0.25</v>
      </c>
      <c r="S20" s="75" t="s">
        <v>392</v>
      </c>
      <c r="T20" s="39"/>
      <c r="U20" s="72" t="s">
        <v>328</v>
      </c>
      <c r="V20" s="39"/>
      <c r="W20" s="39"/>
      <c r="X20" s="39"/>
      <c r="Y20" s="39"/>
      <c r="Z20" s="39"/>
      <c r="AA20" s="39"/>
    </row>
    <row r="21" spans="1:29" x14ac:dyDescent="0.35">
      <c r="A21" s="39"/>
      <c r="B21" s="47" t="s">
        <v>393</v>
      </c>
      <c r="C21" s="78">
        <v>1</v>
      </c>
      <c r="D21" s="47" t="s">
        <v>394</v>
      </c>
      <c r="E21" s="39"/>
      <c r="F21" s="39" t="s">
        <v>395</v>
      </c>
      <c r="G21" s="39"/>
      <c r="H21" s="39"/>
      <c r="I21" s="39"/>
      <c r="J21" s="39"/>
      <c r="K21" s="39"/>
      <c r="L21" s="39"/>
      <c r="M21" s="39"/>
      <c r="N21" s="39"/>
      <c r="O21" s="39"/>
      <c r="P21" s="39"/>
      <c r="Q21" s="79"/>
      <c r="R21" s="79"/>
      <c r="S21" s="79"/>
      <c r="T21" s="39"/>
      <c r="U21" s="39"/>
      <c r="V21" s="39"/>
      <c r="W21" s="39"/>
      <c r="X21" s="39"/>
      <c r="Y21" s="39"/>
      <c r="Z21" s="39"/>
      <c r="AA21" s="39"/>
    </row>
    <row r="22" spans="1:29" ht="15" thickBot="1" x14ac:dyDescent="0.4">
      <c r="A22" s="39" t="s">
        <v>396</v>
      </c>
      <c r="B22" s="47"/>
      <c r="C22" s="78">
        <v>0</v>
      </c>
      <c r="D22" s="47" t="s">
        <v>397</v>
      </c>
      <c r="E22" s="39"/>
      <c r="F22" s="39"/>
      <c r="G22" s="39"/>
      <c r="H22" s="39"/>
      <c r="I22" s="39"/>
      <c r="J22" s="39"/>
      <c r="K22" s="39"/>
      <c r="L22" s="39"/>
      <c r="M22" s="39"/>
      <c r="N22" s="39"/>
      <c r="O22" s="39"/>
      <c r="P22" s="39"/>
      <c r="Q22" s="80" t="s">
        <v>398</v>
      </c>
      <c r="R22" s="81">
        <f>$R$18*17/60*($R$19*$O$18)*$R$20</f>
        <v>645.05798372473544</v>
      </c>
      <c r="S22" s="75" t="s">
        <v>399</v>
      </c>
      <c r="T22" s="39"/>
      <c r="U22" s="39"/>
      <c r="V22" s="39"/>
      <c r="W22" s="39"/>
      <c r="X22" s="39"/>
      <c r="Y22" s="39"/>
      <c r="Z22" s="39"/>
      <c r="AA22" s="39"/>
    </row>
    <row r="23" spans="1:29" x14ac:dyDescent="0.35">
      <c r="A23" s="39"/>
      <c r="B23" s="39"/>
      <c r="C23" s="72">
        <v>1000</v>
      </c>
      <c r="D23" s="39" t="s">
        <v>400</v>
      </c>
      <c r="E23" s="39"/>
      <c r="F23" s="39"/>
      <c r="G23" s="39"/>
      <c r="H23" s="2563" t="s">
        <v>3333</v>
      </c>
      <c r="I23" s="2556"/>
      <c r="J23" s="39"/>
      <c r="K23" s="39"/>
      <c r="L23" s="39"/>
      <c r="M23" s="39"/>
      <c r="N23" s="39"/>
      <c r="O23" s="39"/>
      <c r="P23" s="39"/>
      <c r="Q23" s="39"/>
      <c r="R23" s="81">
        <f>$R$18*17/60*($R$19*$O$19)*$R$20</f>
        <v>467.64991391140478</v>
      </c>
      <c r="S23" s="75" t="s">
        <v>401</v>
      </c>
      <c r="T23" s="39"/>
      <c r="U23" s="39"/>
      <c r="V23" s="39"/>
      <c r="W23" s="39"/>
      <c r="X23" s="39"/>
      <c r="Y23" s="39"/>
      <c r="Z23" s="39"/>
      <c r="AA23" s="39"/>
    </row>
    <row r="24" spans="1:29" ht="15.5" x14ac:dyDescent="0.35">
      <c r="A24" s="39"/>
      <c r="B24" s="39" t="s">
        <v>402</v>
      </c>
      <c r="C24" s="72">
        <f>AVERAGE(N12:N15)</f>
        <v>12.5</v>
      </c>
      <c r="D24" s="82" t="s">
        <v>403</v>
      </c>
      <c r="E24" s="39"/>
      <c r="F24" s="39"/>
      <c r="G24" s="39"/>
      <c r="H24" s="2564" t="s">
        <v>402</v>
      </c>
      <c r="I24" s="2565">
        <v>13</v>
      </c>
      <c r="J24" s="39"/>
      <c r="K24" s="39"/>
      <c r="L24" s="39"/>
      <c r="M24" s="39"/>
      <c r="N24" s="39"/>
      <c r="O24" s="39"/>
      <c r="P24" s="39"/>
      <c r="Q24" s="83" t="s">
        <v>404</v>
      </c>
      <c r="R24" s="39"/>
      <c r="S24" s="39"/>
      <c r="T24" s="39"/>
      <c r="U24" s="39"/>
      <c r="V24" s="39"/>
      <c r="W24" s="39"/>
      <c r="X24" s="39"/>
      <c r="Y24" s="39"/>
      <c r="Z24" s="39"/>
      <c r="AA24" s="39"/>
    </row>
    <row r="25" spans="1:29" ht="15" thickBot="1" x14ac:dyDescent="0.4">
      <c r="A25" s="39"/>
      <c r="B25" s="39" t="s">
        <v>405</v>
      </c>
      <c r="C25" s="72"/>
      <c r="D25" s="39"/>
      <c r="E25" s="39"/>
      <c r="F25" s="39"/>
      <c r="G25" s="39"/>
      <c r="H25" s="2557"/>
      <c r="I25" s="2558"/>
      <c r="J25" s="39"/>
      <c r="K25" s="39"/>
      <c r="L25" s="39"/>
      <c r="M25" s="39"/>
      <c r="N25" s="39"/>
      <c r="O25" s="39"/>
      <c r="P25" s="39"/>
      <c r="Q25" s="39"/>
      <c r="R25" s="39"/>
      <c r="S25" s="39"/>
      <c r="T25" s="39"/>
      <c r="U25" s="39"/>
      <c r="V25" s="39"/>
      <c r="W25" s="39"/>
      <c r="X25" s="39"/>
      <c r="Y25" s="39"/>
      <c r="Z25" s="39"/>
      <c r="AA25" s="39"/>
    </row>
    <row r="26" spans="1:29" x14ac:dyDescent="0.35">
      <c r="A26" s="39"/>
      <c r="B26" s="39" t="s">
        <v>410</v>
      </c>
      <c r="C26" s="84">
        <v>3.1399999999999997E-2</v>
      </c>
      <c r="D26" s="39"/>
      <c r="E26" s="39"/>
      <c r="F26" s="39"/>
      <c r="G26" s="39"/>
      <c r="H26" s="2557"/>
      <c r="I26" s="2558"/>
      <c r="J26" s="39"/>
      <c r="K26" s="39"/>
      <c r="L26" s="39"/>
      <c r="M26" s="39"/>
      <c r="N26" s="39"/>
      <c r="O26" s="39"/>
      <c r="P26" s="2575" t="s">
        <v>3338</v>
      </c>
      <c r="Q26" s="39"/>
      <c r="R26" s="39"/>
      <c r="S26" s="39"/>
      <c r="T26" s="39"/>
      <c r="U26" s="2563" t="s">
        <v>3333</v>
      </c>
      <c r="V26" s="2555"/>
      <c r="W26" s="2555"/>
      <c r="X26" s="2555"/>
      <c r="Y26" s="2576" t="s">
        <v>3339</v>
      </c>
      <c r="Z26" s="2555"/>
      <c r="AA26" s="2555"/>
      <c r="AB26" s="2555"/>
      <c r="AC26" s="2556"/>
    </row>
    <row r="27" spans="1:29" ht="15.5" x14ac:dyDescent="0.35">
      <c r="A27" s="39"/>
      <c r="B27" s="39"/>
      <c r="C27" s="72">
        <v>29.3</v>
      </c>
      <c r="D27" s="39" t="s">
        <v>414</v>
      </c>
      <c r="E27" s="39"/>
      <c r="F27" s="39"/>
      <c r="G27" s="39"/>
      <c r="H27" s="2557"/>
      <c r="I27" s="2558"/>
      <c r="J27" s="39"/>
      <c r="K27" s="39"/>
      <c r="L27" s="39"/>
      <c r="M27" s="39"/>
      <c r="N27" s="39"/>
      <c r="O27" s="39"/>
      <c r="P27" s="117" t="s">
        <v>1</v>
      </c>
      <c r="Q27" s="39" t="s">
        <v>409</v>
      </c>
      <c r="R27" s="39" t="s">
        <v>413</v>
      </c>
      <c r="S27" s="39" t="s">
        <v>418</v>
      </c>
      <c r="T27" s="39"/>
      <c r="U27" s="2557"/>
      <c r="V27" s="218"/>
      <c r="W27" s="218"/>
      <c r="X27" s="218"/>
      <c r="Y27" s="2554" t="s">
        <v>1</v>
      </c>
      <c r="Z27" s="218" t="s">
        <v>409</v>
      </c>
      <c r="AA27" s="218" t="s">
        <v>413</v>
      </c>
      <c r="AB27" s="218" t="s">
        <v>418</v>
      </c>
      <c r="AC27" s="2558"/>
    </row>
    <row r="28" spans="1:29" x14ac:dyDescent="0.35">
      <c r="A28" s="39"/>
      <c r="B28" s="39" t="s">
        <v>419</v>
      </c>
      <c r="C28" s="43">
        <f>C16</f>
        <v>36000</v>
      </c>
      <c r="D28" s="39"/>
      <c r="E28" s="39"/>
      <c r="F28" s="39"/>
      <c r="G28" s="39"/>
      <c r="H28" s="2557"/>
      <c r="I28" s="2558"/>
      <c r="J28" s="39"/>
      <c r="K28" s="39"/>
      <c r="L28" s="39"/>
      <c r="M28" s="39" t="s">
        <v>294</v>
      </c>
      <c r="N28" s="39" t="s">
        <v>328</v>
      </c>
      <c r="O28" s="72"/>
      <c r="P28" s="71" t="s">
        <v>412</v>
      </c>
      <c r="Q28" s="243">
        <f>M30+M31</f>
        <v>1077.8701694830229</v>
      </c>
      <c r="R28" s="243">
        <v>0</v>
      </c>
      <c r="S28" s="243">
        <v>0</v>
      </c>
      <c r="T28" s="39"/>
      <c r="U28" s="2557"/>
      <c r="V28" s="218" t="s">
        <v>294</v>
      </c>
      <c r="W28" s="218" t="s">
        <v>328</v>
      </c>
      <c r="X28" s="218"/>
      <c r="Y28" s="244" t="s">
        <v>412</v>
      </c>
      <c r="Z28" s="606">
        <f>V30+V31</f>
        <v>1068.4013205302108</v>
      </c>
      <c r="AA28" s="606">
        <v>0</v>
      </c>
      <c r="AB28" s="606">
        <v>0</v>
      </c>
      <c r="AC28" s="2558"/>
    </row>
    <row r="29" spans="1:29" x14ac:dyDescent="0.35">
      <c r="A29" s="39"/>
      <c r="B29" s="40" t="s">
        <v>422</v>
      </c>
      <c r="C29" s="46">
        <f>'RES HVAC'!S34</f>
        <v>1754</v>
      </c>
      <c r="D29" s="39"/>
      <c r="E29" s="39"/>
      <c r="F29" s="39"/>
      <c r="G29" s="39"/>
      <c r="H29" s="2557"/>
      <c r="I29" s="2558"/>
      <c r="J29" s="39"/>
      <c r="K29" s="39"/>
      <c r="L29" s="72" t="s">
        <v>416</v>
      </c>
      <c r="M29" s="85">
        <f>(($C$15/(($C$16/12000)*400))*$C$19*$C$16*$C$21)/1000/$C$24</f>
        <v>208.488</v>
      </c>
      <c r="N29" s="85">
        <f>(($C$15/(($C$16/12000)*400))*$C$20*$C$16*$C$21)/1000/$C$24</f>
        <v>189.3528</v>
      </c>
      <c r="O29" s="72"/>
      <c r="P29" s="71" t="s">
        <v>417</v>
      </c>
      <c r="Q29" s="243">
        <f>SUM(M29:M31)</f>
        <v>1286.3581694830229</v>
      </c>
      <c r="R29" s="243">
        <f>$M$29/$C$19*$C$14</f>
        <v>0.19420800000000002</v>
      </c>
      <c r="S29" s="243">
        <v>0</v>
      </c>
      <c r="T29" s="39"/>
      <c r="U29" s="2559" t="s">
        <v>416</v>
      </c>
      <c r="V29" s="245">
        <f>(($C$15/(($C$16/12000)*400))*$C$19*$C$16*$C$21)/1000/$I$24</f>
        <v>200.46923076923076</v>
      </c>
      <c r="W29" s="245">
        <f>(($C$15/(($C$16/12000)*400))*$C$20*$C$16*$C$21)/1000/$I$24</f>
        <v>182.07</v>
      </c>
      <c r="X29" s="218"/>
      <c r="Y29" s="244" t="s">
        <v>417</v>
      </c>
      <c r="Z29" s="606">
        <f>SUM(V29:V31)</f>
        <v>1268.8705512994416</v>
      </c>
      <c r="AA29" s="606">
        <f>$M$29/$C$19*$C$14</f>
        <v>0.19420800000000002</v>
      </c>
      <c r="AB29" s="606">
        <v>0</v>
      </c>
      <c r="AC29" s="2558"/>
    </row>
    <row r="30" spans="1:29" ht="15.5" x14ac:dyDescent="0.35">
      <c r="A30" s="39"/>
      <c r="B30" s="40" t="s">
        <v>426</v>
      </c>
      <c r="C30" s="40">
        <v>0.4</v>
      </c>
      <c r="D30" s="86" t="s">
        <v>427</v>
      </c>
      <c r="E30" s="39"/>
      <c r="F30" s="39"/>
      <c r="G30" s="39"/>
      <c r="H30" s="2557"/>
      <c r="I30" s="2558"/>
      <c r="J30" s="39"/>
      <c r="K30" s="39"/>
      <c r="L30" s="72" t="s">
        <v>421</v>
      </c>
      <c r="M30" s="85">
        <f>($S$30*$C$26*$C$27)</f>
        <v>168.78232873654139</v>
      </c>
      <c r="N30" s="85">
        <f>(S31*$C$26*$C$27)</f>
        <v>168.78232873654139</v>
      </c>
      <c r="O30" s="72"/>
      <c r="P30" s="71" t="s">
        <v>299</v>
      </c>
      <c r="Q30" s="243">
        <f>M30</f>
        <v>168.78232873654139</v>
      </c>
      <c r="R30" s="243">
        <v>0</v>
      </c>
      <c r="S30" s="243">
        <f>(($C$15/($C$34*0.0123))*$C$29*$C$34*$C$31*($C$36/$C$37))/100000</f>
        <v>183.45506482091847</v>
      </c>
      <c r="T30" s="39"/>
      <c r="U30" s="2559" t="s">
        <v>421</v>
      </c>
      <c r="V30" s="245">
        <f>($S$30*$C$26*$C$27)</f>
        <v>168.78232873654139</v>
      </c>
      <c r="W30" s="245">
        <f>(S36*$C$26*$C$27)</f>
        <v>168.78232873654139</v>
      </c>
      <c r="X30" s="218"/>
      <c r="Y30" s="244" t="s">
        <v>299</v>
      </c>
      <c r="Z30" s="606">
        <f>V30</f>
        <v>168.78232873654139</v>
      </c>
      <c r="AA30" s="606">
        <v>0</v>
      </c>
      <c r="AB30" s="606">
        <f>(($C$15/($C$34*0.0123))*$C$29*$C$34*$C$31*($C$36/$C$37))/100000</f>
        <v>183.45506482091847</v>
      </c>
      <c r="AC30" s="2558"/>
    </row>
    <row r="31" spans="1:29" x14ac:dyDescent="0.35">
      <c r="A31" s="39"/>
      <c r="B31" s="40"/>
      <c r="C31" s="40">
        <f xml:space="preserve"> 1</f>
        <v>1</v>
      </c>
      <c r="D31" s="40" t="s">
        <v>394</v>
      </c>
      <c r="E31" s="39"/>
      <c r="F31" s="39"/>
      <c r="G31" s="39"/>
      <c r="H31" s="2557"/>
      <c r="I31" s="2558"/>
      <c r="J31" s="39"/>
      <c r="K31" s="39"/>
      <c r="L31" s="72" t="s">
        <v>424</v>
      </c>
      <c r="M31" s="85">
        <f>(($C$15/(($C$28/12000)*400))*$C$29*$C$28*$C$31)/$C$33/3412</f>
        <v>909.08784074648156</v>
      </c>
      <c r="N31" s="85">
        <f>(($C$15/(($C$28/12000)*400))*$C$29*$C$28*$C$31)/$C$33/3412</f>
        <v>909.08784074648156</v>
      </c>
      <c r="O31" s="72"/>
      <c r="P31" s="71" t="s">
        <v>425</v>
      </c>
      <c r="Q31" s="243">
        <f>SUM(M29:M30)</f>
        <v>377.27032873654139</v>
      </c>
      <c r="R31" s="243">
        <f>$M$29/$C$19*$C$14</f>
        <v>0.19420800000000002</v>
      </c>
      <c r="S31" s="243">
        <f>(($C$15/($C$34*0.0123))*$C$29*$C$34*$C$31*($C$36/$C$37))/100000</f>
        <v>183.45506482091847</v>
      </c>
      <c r="T31" s="39"/>
      <c r="U31" s="2559" t="s">
        <v>424</v>
      </c>
      <c r="V31" s="245">
        <f>(($C$15/(($C$28/12000)*400))*$C$29*$C$28*$C$31)/$I$33/3412</f>
        <v>899.61899179366935</v>
      </c>
      <c r="W31" s="245">
        <f>(($C$15/(($C$28/12000)*400))*$C$29*$C$28*$C$31)/$I$33/3412</f>
        <v>899.61899179366935</v>
      </c>
      <c r="X31" s="218"/>
      <c r="Y31" s="244" t="s">
        <v>425</v>
      </c>
      <c r="Z31" s="606">
        <f>SUM(V29:V30)</f>
        <v>369.25155950577215</v>
      </c>
      <c r="AA31" s="606">
        <f>$M$29/$C$19*$C$14</f>
        <v>0.19420800000000002</v>
      </c>
      <c r="AB31" s="606">
        <f>(($C$15/($C$34*0.0123))*$C$29*$C$34*$C$31*($C$36/$C$37))/100000</f>
        <v>183.45506482091847</v>
      </c>
      <c r="AC31" s="2558"/>
    </row>
    <row r="32" spans="1:29" x14ac:dyDescent="0.35">
      <c r="A32" s="39"/>
      <c r="C32">
        <v>1.23E-2</v>
      </c>
      <c r="D32" t="s">
        <v>1880</v>
      </c>
      <c r="H32" s="2557"/>
      <c r="I32" s="2558"/>
      <c r="J32" s="39"/>
      <c r="K32" s="39"/>
      <c r="L32" s="39"/>
      <c r="M32" s="39"/>
      <c r="N32" s="39"/>
      <c r="O32" s="72"/>
      <c r="P32" s="247" t="s">
        <v>8</v>
      </c>
      <c r="Q32" s="672"/>
      <c r="R32" s="672"/>
      <c r="S32" s="672"/>
      <c r="T32" s="39"/>
      <c r="U32" s="2557"/>
      <c r="V32" s="218"/>
      <c r="W32" s="218"/>
      <c r="X32" s="218"/>
      <c r="Y32" s="247" t="s">
        <v>8</v>
      </c>
      <c r="Z32" s="672"/>
      <c r="AA32" s="672"/>
      <c r="AB32" s="672"/>
      <c r="AC32" s="2558"/>
    </row>
    <row r="33" spans="1:29" ht="15" thickBot="1" x14ac:dyDescent="0.4">
      <c r="A33" s="39"/>
      <c r="B33" s="624" t="s">
        <v>429</v>
      </c>
      <c r="C33" s="667">
        <f>N8</f>
        <v>2.0187518312335193</v>
      </c>
      <c r="D33" s="39"/>
      <c r="E33" s="39"/>
      <c r="F33" s="39"/>
      <c r="G33" s="39"/>
      <c r="H33" s="2566" t="s">
        <v>429</v>
      </c>
      <c r="I33" s="2567">
        <v>2.04</v>
      </c>
      <c r="J33" s="39"/>
      <c r="K33" s="39"/>
      <c r="O33" s="39"/>
      <c r="P33" s="244" t="s">
        <v>412</v>
      </c>
      <c r="Q33" s="606">
        <f>N30+N31</f>
        <v>1077.8701694830229</v>
      </c>
      <c r="R33" s="606">
        <v>0</v>
      </c>
      <c r="S33" s="606">
        <v>0</v>
      </c>
      <c r="T33" s="39"/>
      <c r="U33" s="2557"/>
      <c r="V33" s="218"/>
      <c r="W33" s="218"/>
      <c r="X33" s="218"/>
      <c r="Y33" s="244" t="s">
        <v>412</v>
      </c>
      <c r="Z33" s="606">
        <f>W30+W31</f>
        <v>1068.4013205302108</v>
      </c>
      <c r="AA33" s="606">
        <v>0</v>
      </c>
      <c r="AB33" s="606">
        <v>0</v>
      </c>
      <c r="AC33" s="2558"/>
    </row>
    <row r="34" spans="1:29" x14ac:dyDescent="0.35">
      <c r="A34" s="39"/>
      <c r="B34" s="624" t="s">
        <v>430</v>
      </c>
      <c r="C34" s="666">
        <v>105000</v>
      </c>
      <c r="D34" s="39" t="s">
        <v>1879</v>
      </c>
      <c r="E34" s="39"/>
      <c r="F34" s="39"/>
      <c r="G34" s="39"/>
      <c r="H34" s="39"/>
      <c r="I34" s="39"/>
      <c r="J34" s="39"/>
      <c r="K34" s="39"/>
      <c r="O34" s="39"/>
      <c r="P34" s="244" t="s">
        <v>417</v>
      </c>
      <c r="Q34" s="606">
        <f>SUM(N29:N31)</f>
        <v>1267.222969483023</v>
      </c>
      <c r="R34" s="606">
        <f>$M$29/$C$19*$C$14</f>
        <v>0.19420800000000002</v>
      </c>
      <c r="S34" s="606">
        <v>0</v>
      </c>
      <c r="T34" s="39"/>
      <c r="U34" s="2557"/>
      <c r="V34" s="218"/>
      <c r="W34" s="218"/>
      <c r="X34" s="218"/>
      <c r="Y34" s="244" t="s">
        <v>417</v>
      </c>
      <c r="Z34" s="606">
        <f>SUM(W29:W31)</f>
        <v>1250.4713205302107</v>
      </c>
      <c r="AA34" s="606">
        <f>$M$29/$C$19*$C$14</f>
        <v>0.19420800000000002</v>
      </c>
      <c r="AB34" s="606">
        <v>0</v>
      </c>
      <c r="AC34" s="2558"/>
    </row>
    <row r="35" spans="1:29" x14ac:dyDescent="0.35">
      <c r="A35" s="39"/>
      <c r="C35" s="40">
        <v>100000</v>
      </c>
      <c r="D35" t="s">
        <v>1881</v>
      </c>
      <c r="E35" s="39"/>
      <c r="F35" s="39"/>
      <c r="G35" s="39"/>
      <c r="H35" s="39"/>
      <c r="I35" s="39"/>
      <c r="J35" s="39"/>
      <c r="K35" s="39"/>
      <c r="O35" s="39"/>
      <c r="P35" s="244" t="s">
        <v>299</v>
      </c>
      <c r="Q35" s="606">
        <f>N30</f>
        <v>168.78232873654139</v>
      </c>
      <c r="R35" s="606">
        <v>0</v>
      </c>
      <c r="S35" s="606">
        <f>(($C$15/($C$34*0.0123))*$C$29*$C$34*$C$31*($C$36/$C$37))/100000</f>
        <v>183.45506482091847</v>
      </c>
      <c r="T35" s="39"/>
      <c r="U35" s="2557"/>
      <c r="V35" s="218"/>
      <c r="W35" s="218"/>
      <c r="X35" s="218"/>
      <c r="Y35" s="244" t="s">
        <v>299</v>
      </c>
      <c r="Z35" s="606">
        <f>W30</f>
        <v>168.78232873654139</v>
      </c>
      <c r="AA35" s="606">
        <v>0</v>
      </c>
      <c r="AB35" s="606">
        <f>(($C$15/($C$34*0.0123))*$C$29*$C$34*$C$31*($C$36/$C$37))/100000</f>
        <v>183.45506482091847</v>
      </c>
      <c r="AC35" s="2558"/>
    </row>
    <row r="36" spans="1:29" x14ac:dyDescent="0.35">
      <c r="B36" s="39" t="s">
        <v>431</v>
      </c>
      <c r="C36" s="64">
        <v>0.8</v>
      </c>
      <c r="D36" s="39" t="s">
        <v>1942</v>
      </c>
      <c r="E36" s="39"/>
      <c r="F36" s="39"/>
      <c r="G36" s="39"/>
      <c r="H36" s="39"/>
      <c r="P36" s="244" t="s">
        <v>425</v>
      </c>
      <c r="Q36" s="606">
        <f>SUM(N29:N30)</f>
        <v>358.13512873654139</v>
      </c>
      <c r="R36" s="606">
        <f>$M$29/$C$19*$C$14</f>
        <v>0.19420800000000002</v>
      </c>
      <c r="S36" s="606">
        <f>(($C$15/($C$34*0.0123))*$C$29*$C$34*$C$31*($C$36/$C$37))/100000</f>
        <v>183.45506482091847</v>
      </c>
      <c r="U36" s="2557"/>
      <c r="V36" s="218"/>
      <c r="W36" s="218"/>
      <c r="X36" s="218"/>
      <c r="Y36" s="244" t="s">
        <v>425</v>
      </c>
      <c r="Z36" s="606">
        <f>SUM(W29:W30)</f>
        <v>350.85232873654138</v>
      </c>
      <c r="AA36" s="606">
        <f>$M$29/$C$19*$C$14</f>
        <v>0.19420800000000002</v>
      </c>
      <c r="AB36" s="606">
        <f>(($C$15/($C$34*0.0123))*$C$29*$C$34*$C$31*($C$36/$C$37))/100000</f>
        <v>183.45506482091847</v>
      </c>
      <c r="AC36" s="2558"/>
    </row>
    <row r="37" spans="1:29" x14ac:dyDescent="0.35">
      <c r="B37" s="39" t="s">
        <v>432</v>
      </c>
      <c r="C37" s="64">
        <v>0.74</v>
      </c>
      <c r="D37" s="39" t="s">
        <v>1943</v>
      </c>
      <c r="E37" s="39"/>
      <c r="F37" s="39"/>
      <c r="G37" s="39"/>
      <c r="H37" s="39"/>
      <c r="P37" s="244"/>
      <c r="Q37" s="245"/>
      <c r="R37" s="246"/>
      <c r="S37" s="245"/>
      <c r="U37" s="2557"/>
      <c r="V37" s="218"/>
      <c r="W37" s="218"/>
      <c r="X37" s="218"/>
      <c r="Y37" s="218"/>
      <c r="Z37" s="218"/>
      <c r="AA37" s="218"/>
      <c r="AB37" s="218"/>
      <c r="AC37" s="2558"/>
    </row>
    <row r="38" spans="1:29" ht="15" thickBot="1" x14ac:dyDescent="0.4">
      <c r="B38" s="39"/>
      <c r="C38" s="64"/>
      <c r="D38" s="39"/>
      <c r="E38" s="39"/>
      <c r="F38" s="39"/>
      <c r="G38" s="39"/>
      <c r="H38" s="39"/>
      <c r="P38" s="244"/>
      <c r="Q38" s="245"/>
      <c r="R38" s="246"/>
      <c r="S38" s="245"/>
      <c r="U38" s="2560" t="s">
        <v>3334</v>
      </c>
      <c r="V38" s="2561"/>
      <c r="W38" s="2561"/>
      <c r="X38" s="2561"/>
      <c r="Y38" s="2561"/>
      <c r="Z38" s="2561"/>
      <c r="AA38" s="2561"/>
      <c r="AB38" s="2561"/>
      <c r="AC38" s="2562"/>
    </row>
    <row r="39" spans="1:29" ht="18.5" x14ac:dyDescent="0.45">
      <c r="A39" s="2568" t="s">
        <v>482</v>
      </c>
      <c r="B39" s="2568" t="s">
        <v>483</v>
      </c>
      <c r="C39" s="39"/>
      <c r="D39" s="600"/>
      <c r="E39" s="39"/>
      <c r="F39" s="39"/>
      <c r="G39" s="39"/>
      <c r="H39" s="39"/>
      <c r="I39" s="39"/>
      <c r="J39" s="39"/>
      <c r="K39" s="39"/>
      <c r="L39" s="39"/>
      <c r="M39" s="39"/>
      <c r="N39" s="39"/>
      <c r="O39" s="39"/>
      <c r="P39" s="39"/>
      <c r="Q39" s="39"/>
      <c r="R39" s="39"/>
      <c r="S39" s="39"/>
      <c r="T39" s="39"/>
      <c r="U39" s="39"/>
      <c r="V39" s="39"/>
      <c r="W39" s="39"/>
      <c r="X39" s="39"/>
      <c r="Y39" s="39"/>
    </row>
    <row r="40" spans="1:29" x14ac:dyDescent="0.35">
      <c r="A40" s="39"/>
      <c r="B40" s="39"/>
      <c r="C40" s="39"/>
      <c r="D40" s="39"/>
      <c r="E40" s="39"/>
      <c r="F40" s="39"/>
      <c r="G40" s="39"/>
      <c r="H40" s="39"/>
      <c r="I40" s="39"/>
      <c r="J40" s="39"/>
      <c r="K40" s="39"/>
      <c r="L40" s="39"/>
      <c r="M40" s="39"/>
      <c r="N40" s="39"/>
      <c r="O40" s="39"/>
      <c r="P40" s="39"/>
      <c r="Q40" s="39"/>
      <c r="R40" s="39"/>
      <c r="S40" s="39"/>
      <c r="T40" s="39"/>
      <c r="U40" s="39"/>
      <c r="V40" s="39"/>
      <c r="W40" s="39"/>
      <c r="X40" s="39"/>
      <c r="Y40" s="39"/>
    </row>
    <row r="41" spans="1:29" x14ac:dyDescent="0.35">
      <c r="A41" s="39"/>
      <c r="B41" s="1" t="s">
        <v>3351</v>
      </c>
      <c r="C41" s="39"/>
      <c r="D41" s="39"/>
      <c r="E41" s="39"/>
      <c r="F41" s="39"/>
      <c r="G41" s="39"/>
      <c r="H41" s="39"/>
      <c r="I41" s="39"/>
      <c r="J41" s="39"/>
      <c r="K41" s="39"/>
      <c r="L41" s="39"/>
      <c r="M41" s="39"/>
      <c r="N41" s="39"/>
      <c r="O41" s="93"/>
      <c r="P41" s="94"/>
      <c r="Q41" s="42"/>
      <c r="R41" s="91"/>
      <c r="S41" s="91"/>
      <c r="T41" s="39"/>
      <c r="U41" s="39"/>
      <c r="V41" s="39"/>
      <c r="W41" s="39"/>
      <c r="X41" s="39"/>
      <c r="Y41" s="39"/>
    </row>
    <row r="42" spans="1:29" x14ac:dyDescent="0.35">
      <c r="A42" s="39"/>
      <c r="B42" s="39" t="s">
        <v>484</v>
      </c>
      <c r="C42" s="39"/>
      <c r="D42" s="39"/>
      <c r="E42" s="39"/>
      <c r="F42" s="39"/>
      <c r="G42" s="39"/>
      <c r="H42" s="39"/>
      <c r="I42" s="39"/>
      <c r="J42" s="39"/>
      <c r="K42" s="39"/>
      <c r="L42" s="39"/>
      <c r="M42" s="39"/>
      <c r="N42" s="39"/>
      <c r="O42" s="93"/>
      <c r="P42" s="94"/>
      <c r="Q42" s="42" t="s">
        <v>342</v>
      </c>
      <c r="R42" s="91" t="s">
        <v>301</v>
      </c>
      <c r="S42" s="91" t="s">
        <v>596</v>
      </c>
      <c r="T42" s="39"/>
      <c r="U42" s="39"/>
      <c r="V42" s="39"/>
      <c r="W42" s="39"/>
      <c r="X42" s="39"/>
      <c r="Y42" s="39"/>
    </row>
    <row r="43" spans="1:29" x14ac:dyDescent="0.35">
      <c r="A43" s="39"/>
      <c r="B43" s="2792" t="s">
        <v>4348</v>
      </c>
      <c r="C43" s="39"/>
      <c r="D43" s="39"/>
      <c r="E43" s="39"/>
      <c r="F43" s="39"/>
      <c r="G43" s="39"/>
      <c r="H43" s="39"/>
      <c r="I43" s="39"/>
      <c r="J43" s="39"/>
      <c r="K43" s="39"/>
      <c r="L43" s="40" t="s">
        <v>1</v>
      </c>
      <c r="M43" s="40" t="s">
        <v>485</v>
      </c>
      <c r="N43" s="40" t="s">
        <v>486</v>
      </c>
      <c r="O43" s="40" t="s">
        <v>487</v>
      </c>
      <c r="P43" s="40">
        <f>$C$47</f>
        <v>13</v>
      </c>
      <c r="Q43" s="2593">
        <f xml:space="preserve"> (($C$52/$C$49 - $C$53/$C$50) * $C$51 * $C$54 * 8766) / $C$56 / 3412</f>
        <v>102.71427375170467</v>
      </c>
      <c r="R43" s="45">
        <f>Q43/8766</f>
        <v>1.1717348135033615E-2</v>
      </c>
      <c r="S43" s="49">
        <v>0</v>
      </c>
      <c r="T43" s="39"/>
      <c r="U43" s="39"/>
      <c r="V43" s="39"/>
      <c r="W43" s="39"/>
      <c r="X43" s="39"/>
      <c r="Y43" s="39"/>
    </row>
    <row r="44" spans="1:29" x14ac:dyDescent="0.35">
      <c r="A44" s="39"/>
      <c r="B44" s="39"/>
      <c r="C44" s="39"/>
      <c r="D44" s="39"/>
      <c r="E44" s="39"/>
      <c r="F44" s="39"/>
      <c r="G44" s="39"/>
      <c r="H44" s="39"/>
      <c r="I44" s="39"/>
      <c r="J44" s="39"/>
      <c r="K44" s="39"/>
      <c r="L44" s="40" t="s">
        <v>8</v>
      </c>
      <c r="M44" s="40" t="s">
        <v>485</v>
      </c>
      <c r="N44" s="40" t="s">
        <v>486</v>
      </c>
      <c r="O44" s="40" t="s">
        <v>487</v>
      </c>
      <c r="P44" s="40">
        <f>$C$47</f>
        <v>13</v>
      </c>
      <c r="Q44" s="2593">
        <f xml:space="preserve"> (($C$52/$C$49 - $C$53/$C$50) * $C$51 * $C$54 * 8766) / $C$56 / 3412</f>
        <v>102.71427375170467</v>
      </c>
      <c r="R44" s="45">
        <f>Q44/8766</f>
        <v>1.1717348135033615E-2</v>
      </c>
      <c r="S44" s="49">
        <v>0</v>
      </c>
      <c r="T44" s="39"/>
      <c r="U44" s="39"/>
      <c r="V44" s="39"/>
      <c r="W44" s="39"/>
      <c r="X44" s="39"/>
      <c r="Y44" s="39"/>
    </row>
    <row r="45" spans="1:29" x14ac:dyDescent="0.35">
      <c r="A45" s="39"/>
      <c r="B45" s="39"/>
      <c r="C45" s="39"/>
      <c r="D45" s="39"/>
      <c r="E45" s="39"/>
      <c r="F45" s="39"/>
      <c r="G45" s="39"/>
      <c r="H45" s="39"/>
      <c r="I45" s="39"/>
      <c r="J45" s="39"/>
      <c r="K45" s="39"/>
      <c r="L45" s="40" t="s">
        <v>1</v>
      </c>
      <c r="M45" s="40" t="s">
        <v>485</v>
      </c>
      <c r="N45" s="40" t="s">
        <v>486</v>
      </c>
      <c r="O45" s="40" t="s">
        <v>488</v>
      </c>
      <c r="P45" s="40">
        <f>$C$47</f>
        <v>13</v>
      </c>
      <c r="Q45" s="44">
        <v>0</v>
      </c>
      <c r="R45" s="45">
        <v>0</v>
      </c>
      <c r="S45" s="2808">
        <f xml:space="preserve"> (($C$52/$C$49 - $C$53/$C$50) * $C$51 * $C$54 * 8766 * $C$55) / $C$57 / 100000</f>
        <v>4.4032292307692309</v>
      </c>
      <c r="T45" s="39"/>
      <c r="U45" s="39"/>
      <c r="V45" s="39"/>
      <c r="W45" s="39"/>
      <c r="X45" s="39"/>
      <c r="Y45" s="39"/>
    </row>
    <row r="46" spans="1:29" x14ac:dyDescent="0.35">
      <c r="A46" s="39"/>
      <c r="B46" s="39"/>
      <c r="C46" s="39"/>
      <c r="D46" s="39"/>
      <c r="E46" s="39"/>
      <c r="F46" s="39"/>
      <c r="G46" s="39"/>
      <c r="H46" s="39"/>
      <c r="I46" s="39"/>
      <c r="J46" s="39"/>
      <c r="K46" s="39"/>
      <c r="L46" s="40" t="s">
        <v>8</v>
      </c>
      <c r="M46" s="40" t="s">
        <v>485</v>
      </c>
      <c r="N46" s="40" t="s">
        <v>486</v>
      </c>
      <c r="O46" s="40" t="s">
        <v>488</v>
      </c>
      <c r="P46" s="40">
        <f>$C$47</f>
        <v>13</v>
      </c>
      <c r="Q46" s="44">
        <v>0</v>
      </c>
      <c r="R46" s="45">
        <v>0</v>
      </c>
      <c r="S46" s="2808">
        <f xml:space="preserve"> (($C$52/$C$49 - $C$53/$C$50) * $C$51 * $C$54 * 8766 * $C$55) / $C$57 / 100000</f>
        <v>4.4032292307692309</v>
      </c>
      <c r="T46" s="39"/>
      <c r="U46" s="39"/>
      <c r="V46" s="39"/>
      <c r="W46" s="39"/>
      <c r="X46" s="39"/>
      <c r="Y46" s="39"/>
    </row>
    <row r="47" spans="1:29" x14ac:dyDescent="0.35">
      <c r="A47" s="39"/>
      <c r="B47" s="39" t="s">
        <v>360</v>
      </c>
      <c r="C47" s="39">
        <v>13</v>
      </c>
      <c r="D47" s="39" t="s">
        <v>361</v>
      </c>
      <c r="E47" s="39"/>
      <c r="F47" s="39"/>
      <c r="G47" s="39"/>
      <c r="H47" s="39"/>
      <c r="I47" s="39"/>
      <c r="J47" s="39"/>
      <c r="K47" s="39"/>
      <c r="L47" s="39"/>
      <c r="M47" s="39"/>
      <c r="N47" s="39"/>
      <c r="O47" s="39"/>
      <c r="P47" s="39"/>
      <c r="Q47" s="39"/>
      <c r="R47" s="39"/>
      <c r="S47" s="39"/>
      <c r="T47" s="39"/>
      <c r="U47" s="39"/>
      <c r="V47" s="39"/>
      <c r="W47" s="39"/>
      <c r="X47" s="39"/>
      <c r="Y47" s="39"/>
    </row>
    <row r="48" spans="1:29" x14ac:dyDescent="0.35">
      <c r="A48" s="39"/>
      <c r="B48" s="40" t="s">
        <v>489</v>
      </c>
      <c r="C48" s="50">
        <f>C51*3</f>
        <v>15</v>
      </c>
      <c r="D48" s="40" t="s">
        <v>490</v>
      </c>
      <c r="E48" s="40"/>
      <c r="F48" s="40"/>
      <c r="G48" s="39"/>
      <c r="H48" s="39"/>
      <c r="I48" s="39"/>
      <c r="J48" s="39"/>
      <c r="K48" s="39"/>
      <c r="L48" s="39"/>
      <c r="M48" s="39"/>
      <c r="N48" s="39"/>
      <c r="O48" s="39"/>
      <c r="P48" s="39"/>
      <c r="Q48" s="39"/>
      <c r="R48" s="39"/>
      <c r="S48" s="39"/>
      <c r="T48" s="39"/>
      <c r="U48" s="39"/>
      <c r="V48" s="39"/>
      <c r="W48" s="39"/>
      <c r="X48" s="39"/>
      <c r="Y48" s="39"/>
    </row>
    <row r="49" spans="1:29" x14ac:dyDescent="0.35">
      <c r="A49" s="39"/>
      <c r="B49" s="40" t="s">
        <v>491</v>
      </c>
      <c r="C49" s="40">
        <f xml:space="preserve"> 1</f>
        <v>1</v>
      </c>
      <c r="D49" s="40" t="s">
        <v>492</v>
      </c>
      <c r="E49" s="40"/>
      <c r="F49" s="40"/>
      <c r="G49" s="39"/>
      <c r="H49" s="39"/>
      <c r="I49" s="39"/>
      <c r="J49" s="39"/>
      <c r="K49" s="39"/>
      <c r="L49" s="39"/>
      <c r="M49" s="39"/>
      <c r="N49" s="39"/>
      <c r="O49" s="39"/>
      <c r="P49" s="39"/>
      <c r="Q49" s="39"/>
      <c r="R49" s="39"/>
      <c r="S49" s="39"/>
      <c r="T49" s="39"/>
      <c r="U49" s="39"/>
      <c r="V49" s="39"/>
      <c r="W49" s="39"/>
      <c r="X49" s="39"/>
      <c r="Y49" s="39"/>
    </row>
    <row r="50" spans="1:29" x14ac:dyDescent="0.35">
      <c r="A50" s="39"/>
      <c r="B50" s="47" t="s">
        <v>493</v>
      </c>
      <c r="C50" s="47">
        <v>5</v>
      </c>
      <c r="D50" s="47" t="s">
        <v>494</v>
      </c>
      <c r="E50" s="40"/>
      <c r="F50" s="40"/>
      <c r="G50" s="39" t="s">
        <v>495</v>
      </c>
      <c r="H50" s="39"/>
      <c r="I50" s="39"/>
      <c r="J50" s="39"/>
      <c r="K50" s="39"/>
      <c r="L50" s="39"/>
      <c r="M50" s="39"/>
      <c r="N50" s="39"/>
      <c r="O50" s="39"/>
      <c r="P50" s="39"/>
      <c r="Q50" s="39"/>
      <c r="R50" s="39"/>
      <c r="S50" s="39"/>
      <c r="T50" s="39"/>
      <c r="U50" s="39"/>
      <c r="V50" s="39"/>
      <c r="W50" s="39"/>
      <c r="X50" s="39"/>
      <c r="Y50" s="39"/>
    </row>
    <row r="51" spans="1:29" x14ac:dyDescent="0.35">
      <c r="A51" s="39"/>
      <c r="B51" s="40" t="s">
        <v>496</v>
      </c>
      <c r="C51" s="40">
        <v>5</v>
      </c>
      <c r="D51" s="40" t="s">
        <v>497</v>
      </c>
      <c r="E51" s="40"/>
      <c r="F51" s="40"/>
      <c r="G51" s="39"/>
      <c r="H51" s="39"/>
      <c r="I51" s="39"/>
      <c r="J51" s="39"/>
      <c r="K51" s="39"/>
      <c r="L51" s="39"/>
      <c r="M51" s="39"/>
      <c r="N51" s="39"/>
      <c r="O51" s="39"/>
      <c r="P51" s="39"/>
      <c r="Q51" s="39"/>
      <c r="R51" s="39"/>
      <c r="S51" s="39"/>
      <c r="T51" s="39"/>
      <c r="U51" s="39"/>
      <c r="V51" s="39"/>
      <c r="W51" s="39"/>
      <c r="X51" s="39"/>
      <c r="Y51" s="39"/>
    </row>
    <row r="52" spans="1:29" x14ac:dyDescent="0.35">
      <c r="A52" s="39"/>
      <c r="B52" s="40" t="s">
        <v>3352</v>
      </c>
      <c r="C52" s="40">
        <v>0.19600000000000001</v>
      </c>
      <c r="D52" s="40" t="s">
        <v>498</v>
      </c>
      <c r="E52" s="40"/>
      <c r="F52" s="40"/>
      <c r="G52" s="39"/>
      <c r="H52" s="39"/>
      <c r="I52" s="39" t="s">
        <v>499</v>
      </c>
      <c r="J52" s="39"/>
      <c r="K52" s="39"/>
      <c r="L52" s="39"/>
      <c r="M52" s="39"/>
      <c r="N52" s="39"/>
      <c r="O52" s="39"/>
      <c r="P52" s="39"/>
      <c r="Q52" s="39"/>
      <c r="R52" s="39"/>
      <c r="S52" s="39"/>
      <c r="T52" s="39"/>
      <c r="U52" s="39"/>
      <c r="V52" s="39"/>
      <c r="W52" s="39"/>
      <c r="X52" s="39"/>
      <c r="Y52" s="39"/>
    </row>
    <row r="53" spans="1:29" s="600" customFormat="1" x14ac:dyDescent="0.35">
      <c r="B53" s="1" t="s">
        <v>3353</v>
      </c>
      <c r="C53" s="1">
        <v>0.32700000000000001</v>
      </c>
      <c r="D53" s="1" t="s">
        <v>3354</v>
      </c>
      <c r="E53" s="585"/>
      <c r="F53" s="585"/>
    </row>
    <row r="54" spans="1:29" x14ac:dyDescent="0.35">
      <c r="A54" s="39"/>
      <c r="B54" s="40" t="s">
        <v>500</v>
      </c>
      <c r="C54" s="40">
        <v>60</v>
      </c>
      <c r="D54" s="40" t="s">
        <v>501</v>
      </c>
      <c r="E54" s="40"/>
      <c r="F54" s="40"/>
      <c r="G54" s="39"/>
      <c r="H54" s="39"/>
      <c r="I54" s="39"/>
      <c r="J54" s="39"/>
      <c r="K54" s="39"/>
      <c r="L54" s="39"/>
      <c r="M54" s="39"/>
      <c r="N54" s="39"/>
      <c r="O54" s="39"/>
      <c r="P54" s="39"/>
      <c r="Q54" s="39"/>
      <c r="R54" s="39"/>
      <c r="S54" s="39"/>
      <c r="T54" s="39"/>
      <c r="U54" s="39"/>
      <c r="V54" s="39"/>
      <c r="W54" s="39"/>
      <c r="X54" s="39"/>
      <c r="Y54" s="39"/>
    </row>
    <row r="55" spans="1:29" s="600" customFormat="1" x14ac:dyDescent="0.35">
      <c r="B55" s="2792" t="s">
        <v>303</v>
      </c>
      <c r="C55" s="2807">
        <v>1</v>
      </c>
      <c r="D55" s="2792" t="s">
        <v>4349</v>
      </c>
      <c r="E55" s="585"/>
      <c r="F55" s="585"/>
    </row>
    <row r="56" spans="1:29" x14ac:dyDescent="0.35">
      <c r="A56" s="39"/>
      <c r="B56" s="40" t="s">
        <v>502</v>
      </c>
      <c r="C56" s="40">
        <f xml:space="preserve"> 0.98</f>
        <v>0.98</v>
      </c>
      <c r="D56" s="40" t="s">
        <v>503</v>
      </c>
      <c r="E56" s="40"/>
      <c r="F56" s="40"/>
      <c r="G56" s="39"/>
      <c r="H56" s="39"/>
      <c r="I56" s="39"/>
      <c r="J56" s="39"/>
      <c r="K56" s="39"/>
      <c r="L56" s="39"/>
      <c r="M56" s="39"/>
      <c r="N56" s="39"/>
      <c r="O56" s="39"/>
      <c r="P56" s="39"/>
      <c r="Q56" s="39"/>
      <c r="R56" s="39"/>
      <c r="S56" s="39"/>
      <c r="T56" s="39"/>
      <c r="U56" s="39"/>
      <c r="V56" s="39"/>
      <c r="W56" s="39"/>
      <c r="X56" s="39"/>
      <c r="Y56" s="39"/>
    </row>
    <row r="57" spans="1:29" x14ac:dyDescent="0.35">
      <c r="A57" s="39"/>
      <c r="B57" s="40" t="s">
        <v>502</v>
      </c>
      <c r="C57" s="40">
        <f xml:space="preserve"> 0.78</f>
        <v>0.78</v>
      </c>
      <c r="D57" s="40" t="s">
        <v>504</v>
      </c>
      <c r="E57" s="40"/>
      <c r="F57" s="40"/>
      <c r="G57" s="39"/>
      <c r="H57" s="39"/>
      <c r="I57" s="39"/>
      <c r="J57" s="39"/>
      <c r="K57" s="39"/>
      <c r="L57" s="39"/>
      <c r="M57" s="39"/>
      <c r="N57" s="39"/>
      <c r="O57" s="39"/>
      <c r="P57" s="39"/>
      <c r="Q57" s="39"/>
      <c r="R57" s="39"/>
      <c r="S57" s="39"/>
      <c r="T57" s="39"/>
      <c r="U57" s="39"/>
      <c r="V57" s="39"/>
      <c r="W57" s="39"/>
      <c r="X57" s="39"/>
      <c r="Y57" s="39"/>
    </row>
    <row r="60" spans="1:29" ht="18.5" x14ac:dyDescent="0.45">
      <c r="A60" s="2643" t="s">
        <v>3388</v>
      </c>
      <c r="B60" s="2643" t="s">
        <v>3387</v>
      </c>
      <c r="C60" s="2550"/>
      <c r="D60" s="2550"/>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x14ac:dyDescent="0.35">
      <c r="A63" s="19"/>
      <c r="B63" s="481" t="s">
        <v>566</v>
      </c>
      <c r="C63" s="119"/>
      <c r="D63" s="119"/>
      <c r="E63" s="119"/>
      <c r="F63" s="119"/>
      <c r="G63" s="119"/>
      <c r="H63" s="119"/>
      <c r="I63" s="119"/>
      <c r="J63" s="119"/>
      <c r="K63" s="119"/>
      <c r="L63" s="119"/>
      <c r="M63" s="119"/>
      <c r="N63" s="119"/>
      <c r="O63" s="119"/>
      <c r="P63" s="119"/>
      <c r="Q63" s="119"/>
      <c r="R63" s="19"/>
      <c r="S63" s="19"/>
      <c r="T63" s="19"/>
      <c r="U63" s="19"/>
      <c r="V63" s="19"/>
      <c r="W63" s="19"/>
      <c r="X63" s="19"/>
      <c r="Y63" s="19"/>
      <c r="Z63" s="19"/>
      <c r="AA63" s="19"/>
      <c r="AB63" s="19"/>
      <c r="AC63" s="19"/>
    </row>
    <row r="64" spans="1:29"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x14ac:dyDescent="0.35">
      <c r="A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x14ac:dyDescent="0.35">
      <c r="A67" s="19"/>
      <c r="C67" s="2579" t="s">
        <v>290</v>
      </c>
      <c r="D67" s="2579">
        <v>20</v>
      </c>
      <c r="E67" s="120"/>
      <c r="F67" s="120"/>
      <c r="G67" s="120"/>
      <c r="H67" s="120"/>
      <c r="I67" s="120"/>
      <c r="J67" s="19"/>
      <c r="K67" s="19"/>
      <c r="L67" s="19"/>
      <c r="M67" s="19"/>
      <c r="N67" s="19"/>
      <c r="O67" s="19"/>
      <c r="P67" s="19"/>
      <c r="Q67" s="19"/>
      <c r="R67" s="19"/>
      <c r="S67" s="19"/>
      <c r="T67" s="19"/>
      <c r="U67" s="19"/>
      <c r="V67" s="19"/>
      <c r="W67" s="19"/>
      <c r="X67" s="19"/>
      <c r="Y67" s="19"/>
      <c r="Z67" s="19"/>
      <c r="AA67" s="19"/>
      <c r="AB67" s="19"/>
      <c r="AC67" s="19"/>
    </row>
    <row r="68" spans="1:29" x14ac:dyDescent="0.35">
      <c r="A68" s="19"/>
      <c r="C68" s="120" t="s">
        <v>291</v>
      </c>
      <c r="D68" s="26">
        <v>1.2</v>
      </c>
      <c r="E68" s="120"/>
      <c r="F68" s="120"/>
      <c r="G68" s="120"/>
      <c r="H68" s="19"/>
      <c r="I68" s="120"/>
      <c r="J68" s="19"/>
      <c r="K68" s="19"/>
      <c r="L68" s="120" t="s">
        <v>567</v>
      </c>
      <c r="M68" s="19"/>
      <c r="N68" s="19"/>
      <c r="O68" s="19"/>
      <c r="P68" s="19"/>
      <c r="Q68" s="19"/>
      <c r="R68" s="19"/>
      <c r="S68" s="19"/>
      <c r="T68" s="19"/>
      <c r="U68" s="19"/>
      <c r="V68" s="19"/>
      <c r="W68" s="19"/>
      <c r="X68" s="19"/>
      <c r="Y68" s="19"/>
      <c r="Z68" s="19"/>
      <c r="AA68" s="19"/>
      <c r="AB68" s="19"/>
      <c r="AC68" s="19"/>
    </row>
    <row r="69" spans="1:29" x14ac:dyDescent="0.35">
      <c r="A69" s="19"/>
      <c r="C69" s="120" t="s">
        <v>292</v>
      </c>
      <c r="D69" s="28">
        <v>0.68</v>
      </c>
      <c r="E69" s="28">
        <v>0.68</v>
      </c>
      <c r="F69" s="28">
        <v>0.68</v>
      </c>
      <c r="G69" s="28">
        <v>0.68</v>
      </c>
      <c r="H69" s="28">
        <v>0.68</v>
      </c>
      <c r="I69" s="28">
        <v>0.68</v>
      </c>
      <c r="J69" s="28">
        <v>0.68</v>
      </c>
      <c r="K69" s="28">
        <v>0.68</v>
      </c>
      <c r="L69" s="19"/>
      <c r="M69" s="19"/>
      <c r="N69" s="19"/>
      <c r="O69" s="19"/>
      <c r="P69" s="19"/>
      <c r="Q69" s="19"/>
      <c r="R69" s="19"/>
      <c r="S69" s="19"/>
      <c r="T69" s="19"/>
      <c r="U69" s="19"/>
      <c r="V69" s="19"/>
      <c r="W69" s="19"/>
      <c r="X69" s="19"/>
      <c r="Y69" s="19"/>
      <c r="Z69" s="19"/>
      <c r="AA69" s="19"/>
      <c r="AB69" s="19"/>
      <c r="AC69" s="19"/>
    </row>
    <row r="70" spans="1:29" x14ac:dyDescent="0.35">
      <c r="A70" s="19"/>
      <c r="C70" s="120"/>
      <c r="D70" s="120"/>
      <c r="E70" s="120"/>
      <c r="F70" s="120"/>
      <c r="G70" s="120"/>
      <c r="H70" s="120"/>
      <c r="I70" s="120"/>
      <c r="J70" s="19"/>
      <c r="K70" s="19"/>
      <c r="L70" s="19"/>
      <c r="M70" s="19"/>
      <c r="N70" s="19"/>
      <c r="O70" s="19"/>
      <c r="P70" s="19"/>
      <c r="Q70" s="19"/>
      <c r="R70" s="19"/>
      <c r="S70" s="19"/>
      <c r="T70" s="19"/>
      <c r="U70" s="19"/>
      <c r="V70" s="19"/>
      <c r="W70" s="19"/>
      <c r="X70" s="19"/>
      <c r="Y70" s="19"/>
      <c r="Z70" s="19"/>
      <c r="AA70" s="19"/>
      <c r="AB70" s="19"/>
      <c r="AC70" s="19"/>
    </row>
    <row r="71" spans="1:29" x14ac:dyDescent="0.35">
      <c r="A71" s="19"/>
      <c r="C71" s="120" t="s">
        <v>285</v>
      </c>
      <c r="D71" s="120" t="s">
        <v>44</v>
      </c>
      <c r="E71" s="120" t="s">
        <v>44</v>
      </c>
      <c r="F71" s="120" t="s">
        <v>7</v>
      </c>
      <c r="G71" s="120" t="s">
        <v>7</v>
      </c>
      <c r="H71" s="120" t="s">
        <v>44</v>
      </c>
      <c r="I71" s="120" t="s">
        <v>44</v>
      </c>
      <c r="J71" s="19" t="s">
        <v>7</v>
      </c>
      <c r="K71" s="19" t="s">
        <v>7</v>
      </c>
      <c r="L71" s="19"/>
      <c r="M71" s="19"/>
      <c r="N71" s="19"/>
      <c r="O71" s="19"/>
      <c r="P71" s="19"/>
      <c r="Q71" s="19"/>
      <c r="R71" s="19"/>
      <c r="S71" s="19"/>
      <c r="T71" s="19"/>
      <c r="U71" s="19"/>
      <c r="V71" s="19"/>
      <c r="W71" s="19"/>
      <c r="X71" s="19"/>
      <c r="Y71" s="19"/>
      <c r="Z71" s="19"/>
      <c r="AA71" s="19"/>
      <c r="AB71" s="19"/>
      <c r="AC71" s="19"/>
    </row>
    <row r="72" spans="1:29" x14ac:dyDescent="0.35">
      <c r="A72" s="19"/>
      <c r="C72" s="120" t="s">
        <v>286</v>
      </c>
      <c r="D72" s="120" t="s">
        <v>1</v>
      </c>
      <c r="E72" s="120" t="s">
        <v>1</v>
      </c>
      <c r="F72" s="120" t="s">
        <v>1</v>
      </c>
      <c r="G72" s="120" t="s">
        <v>1</v>
      </c>
      <c r="H72" s="120" t="s">
        <v>8</v>
      </c>
      <c r="I72" s="120" t="s">
        <v>8</v>
      </c>
      <c r="J72" s="121" t="s">
        <v>8</v>
      </c>
      <c r="K72" s="19" t="s">
        <v>8</v>
      </c>
      <c r="L72" s="19"/>
      <c r="M72" s="19"/>
      <c r="N72" s="19"/>
      <c r="O72" s="19"/>
      <c r="P72" s="19"/>
      <c r="Q72" s="19"/>
      <c r="R72" s="19"/>
      <c r="S72" s="19"/>
      <c r="T72" s="19"/>
      <c r="U72" s="19"/>
      <c r="V72" s="19"/>
      <c r="W72" s="19"/>
      <c r="X72" s="19"/>
      <c r="Y72" s="19"/>
      <c r="Z72" s="19"/>
      <c r="AA72" s="19"/>
      <c r="AB72" s="19"/>
      <c r="AC72" s="19"/>
    </row>
    <row r="73" spans="1:29" x14ac:dyDescent="0.35">
      <c r="A73" s="19"/>
      <c r="C73" s="120" t="s">
        <v>568</v>
      </c>
      <c r="D73" s="120" t="s">
        <v>569</v>
      </c>
      <c r="E73" s="122" t="s">
        <v>741</v>
      </c>
      <c r="F73" s="120" t="s">
        <v>569</v>
      </c>
      <c r="G73" s="122" t="s">
        <v>741</v>
      </c>
      <c r="H73" s="120" t="s">
        <v>569</v>
      </c>
      <c r="I73" s="122" t="s">
        <v>741</v>
      </c>
      <c r="J73" s="19" t="s">
        <v>569</v>
      </c>
      <c r="K73" s="121" t="s">
        <v>741</v>
      </c>
      <c r="L73" s="19"/>
      <c r="M73" s="19"/>
      <c r="N73" s="19"/>
      <c r="O73" s="19"/>
      <c r="P73" s="19"/>
      <c r="Q73" s="19"/>
      <c r="R73" s="19"/>
      <c r="S73" s="19"/>
      <c r="T73" s="19"/>
      <c r="U73" s="19"/>
      <c r="V73" s="19"/>
      <c r="W73" s="19"/>
      <c r="X73" s="19"/>
      <c r="Y73" s="19"/>
      <c r="Z73" s="19"/>
      <c r="AA73" s="19"/>
      <c r="AB73" s="19"/>
      <c r="AC73" s="19"/>
    </row>
    <row r="74" spans="1:29" x14ac:dyDescent="0.35">
      <c r="A74" s="19"/>
      <c r="C74" s="122" t="s">
        <v>570</v>
      </c>
      <c r="D74" s="120" t="str">
        <f>D71&amp;"_"&amp;D72&amp;"_"&amp;D73</f>
        <v>Market Rate_Single Family_Ceiling Insulation (R-5 to R-38)</v>
      </c>
      <c r="E74" s="120" t="str">
        <f t="shared" ref="E74:K74" si="0">E71&amp;"_"&amp;E72&amp;"_"&amp;E73</f>
        <v>Market Rate_Single Family_Ceiling Insulation (R-11 to R-38)</v>
      </c>
      <c r="F74" s="120" t="str">
        <f t="shared" si="0"/>
        <v>Low Income_Single Family_Ceiling Insulation (R-5 to R-38)</v>
      </c>
      <c r="G74" s="120" t="str">
        <f t="shared" si="0"/>
        <v>Low Income_Single Family_Ceiling Insulation (R-11 to R-38)</v>
      </c>
      <c r="H74" s="120" t="str">
        <f t="shared" si="0"/>
        <v>Market Rate_Multifamily_Ceiling Insulation (R-5 to R-38)</v>
      </c>
      <c r="I74" s="120" t="str">
        <f t="shared" si="0"/>
        <v>Market Rate_Multifamily_Ceiling Insulation (R-11 to R-38)</v>
      </c>
      <c r="J74" s="120" t="str">
        <f t="shared" si="0"/>
        <v>Low Income_Multifamily_Ceiling Insulation (R-5 to R-38)</v>
      </c>
      <c r="K74" s="120" t="str">
        <f t="shared" si="0"/>
        <v>Low Income_Multifamily_Ceiling Insulation (R-11 to R-38)</v>
      </c>
      <c r="L74" s="19"/>
      <c r="M74" s="19"/>
      <c r="N74" s="19"/>
      <c r="O74" s="19"/>
      <c r="P74" s="19"/>
      <c r="Q74" s="19"/>
      <c r="R74" s="19"/>
      <c r="S74" s="19"/>
      <c r="T74" s="19"/>
      <c r="U74" s="19"/>
      <c r="V74" s="19"/>
      <c r="W74" s="19"/>
      <c r="X74" s="19"/>
      <c r="Y74" s="19"/>
      <c r="Z74" s="19"/>
      <c r="AA74" s="19"/>
      <c r="AB74" s="19"/>
      <c r="AC74" s="19"/>
    </row>
    <row r="75" spans="1:29" x14ac:dyDescent="0.35">
      <c r="A75" s="19"/>
      <c r="C75" s="120" t="s">
        <v>571</v>
      </c>
      <c r="D75" s="120"/>
      <c r="E75" s="120"/>
      <c r="F75" s="120"/>
      <c r="G75" s="120"/>
      <c r="H75" s="120"/>
      <c r="I75" s="120"/>
      <c r="J75" s="19"/>
      <c r="K75" s="19"/>
      <c r="L75" s="19"/>
      <c r="M75" s="19"/>
      <c r="N75" s="19"/>
      <c r="O75" s="19"/>
      <c r="P75" s="19"/>
      <c r="Q75" s="19"/>
      <c r="S75" s="121" t="s">
        <v>285</v>
      </c>
      <c r="T75" t="s">
        <v>286</v>
      </c>
      <c r="U75" s="121" t="s">
        <v>591</v>
      </c>
      <c r="V75" s="121" t="s">
        <v>1364</v>
      </c>
      <c r="W75" s="239" t="s">
        <v>342</v>
      </c>
      <c r="X75" s="242"/>
      <c r="Y75" s="121" t="s">
        <v>301</v>
      </c>
      <c r="Z75" s="242"/>
      <c r="AA75" s="121" t="s">
        <v>596</v>
      </c>
      <c r="AB75" s="242"/>
      <c r="AC75" s="19"/>
    </row>
    <row r="76" spans="1:29" x14ac:dyDescent="0.35">
      <c r="A76" s="19"/>
      <c r="C76" s="2755" t="s">
        <v>3911</v>
      </c>
      <c r="D76" s="120"/>
      <c r="E76" s="120"/>
      <c r="F76" s="120"/>
      <c r="G76" s="120"/>
      <c r="H76" s="120"/>
      <c r="I76" s="120"/>
      <c r="J76" s="19"/>
      <c r="K76" s="19"/>
      <c r="L76" s="19"/>
      <c r="M76" s="19"/>
      <c r="N76" s="19"/>
      <c r="O76" s="133" t="str">
        <f>S76&amp;"_"&amp;T76&amp;"_"&amp;R76</f>
        <v>Low Income_Single Family_Ceiling Insulation (R-5 to R-38)</v>
      </c>
      <c r="P76" s="19">
        <v>787</v>
      </c>
      <c r="Q76" s="121" t="s">
        <v>45</v>
      </c>
      <c r="R76" s="121" t="s">
        <v>569</v>
      </c>
      <c r="S76" t="s">
        <v>7</v>
      </c>
      <c r="T76" s="121" t="s">
        <v>1</v>
      </c>
      <c r="U76" s="121" t="s">
        <v>526</v>
      </c>
      <c r="V76" s="19">
        <f>Assumptions!$G$14</f>
        <v>1360</v>
      </c>
      <c r="W76" s="240">
        <f t="shared" ref="W76:W91" si="1">INDEX($D$147:$K$158,MATCH(W$75&amp;"_"&amp;$U76,$A$147:$A$158,0),MATCH($O76,$D$74:$L$74,0))</f>
        <v>2.17</v>
      </c>
      <c r="X76" s="242">
        <f>W76*V76</f>
        <v>2951.2</v>
      </c>
      <c r="Y76" s="241">
        <f t="shared" ref="Y76:Y91" si="2">INDEX($D$147:$K$158,MATCH(Y$75&amp;"_"&amp;$U76,$A$147:$A$158,0),MATCH($O76,$D$74:$L$74,0))</f>
        <v>4.0237111929385903E-4</v>
      </c>
      <c r="Z76" s="242">
        <f>Y76*V76</f>
        <v>0.54722472223964824</v>
      </c>
      <c r="AA76" s="241">
        <f t="shared" ref="AA76:AA91" si="3">INDEX($D$147:$K$158,MATCH(AA$75&amp;"_"&amp;$U76,$A$147:$A$158,0),MATCH($O76,$D$74:$L$74,0))</f>
        <v>0</v>
      </c>
      <c r="AB76" s="242">
        <f>AA76*V76</f>
        <v>0</v>
      </c>
      <c r="AC76" s="19"/>
    </row>
    <row r="77" spans="1:29" x14ac:dyDescent="0.35">
      <c r="A77" s="19"/>
      <c r="C77" s="120" t="s">
        <v>573</v>
      </c>
      <c r="D77" s="123">
        <v>5</v>
      </c>
      <c r="E77" s="123">
        <v>11</v>
      </c>
      <c r="F77" s="123">
        <v>5</v>
      </c>
      <c r="G77" s="123">
        <v>11</v>
      </c>
      <c r="H77" s="123">
        <v>5</v>
      </c>
      <c r="I77" s="123">
        <v>11</v>
      </c>
      <c r="J77" s="123">
        <v>5</v>
      </c>
      <c r="K77" s="123">
        <v>11</v>
      </c>
      <c r="L77" s="120"/>
      <c r="M77" s="19"/>
      <c r="N77" s="19"/>
      <c r="O77" s="133" t="str">
        <f t="shared" ref="O77:O83" si="4">S77&amp;"_"&amp;T77&amp;"_"&amp;R77</f>
        <v>Low Income_Single Family_Ceiling Insulation (R-5 to R-38)</v>
      </c>
      <c r="P77" s="19">
        <v>789</v>
      </c>
      <c r="Q77" s="19" t="s">
        <v>46</v>
      </c>
      <c r="R77" s="121" t="s">
        <v>569</v>
      </c>
      <c r="S77" t="s">
        <v>7</v>
      </c>
      <c r="T77" s="121" t="s">
        <v>1</v>
      </c>
      <c r="U77" s="19" t="s">
        <v>606</v>
      </c>
      <c r="V77" s="19">
        <f>Assumptions!$G$14</f>
        <v>1360</v>
      </c>
      <c r="W77" s="240">
        <f t="shared" si="1"/>
        <v>2.99</v>
      </c>
      <c r="X77" s="242">
        <f t="shared" ref="X77:X82" si="5">W77*V77</f>
        <v>4066.4</v>
      </c>
      <c r="Y77" s="241">
        <f t="shared" si="2"/>
        <v>0</v>
      </c>
      <c r="Z77" s="242">
        <f t="shared" ref="Z77:Z83" si="6">Y77*V77</f>
        <v>0</v>
      </c>
      <c r="AA77" s="241">
        <f t="shared" si="3"/>
        <v>0</v>
      </c>
      <c r="AB77" s="242">
        <f t="shared" ref="AB77:AB83" si="7">AA77*V77</f>
        <v>0</v>
      </c>
      <c r="AC77" s="19"/>
    </row>
    <row r="78" spans="1:29" x14ac:dyDescent="0.35">
      <c r="A78" s="19"/>
      <c r="C78" s="120" t="s">
        <v>574</v>
      </c>
      <c r="D78" s="123">
        <v>38</v>
      </c>
      <c r="E78" s="123">
        <v>38</v>
      </c>
      <c r="F78" s="123">
        <v>38</v>
      </c>
      <c r="G78" s="123">
        <v>38</v>
      </c>
      <c r="H78" s="123">
        <v>38</v>
      </c>
      <c r="I78" s="123">
        <v>38</v>
      </c>
      <c r="J78" s="123">
        <v>38</v>
      </c>
      <c r="K78" s="123">
        <v>38</v>
      </c>
      <c r="L78" s="120"/>
      <c r="M78" s="19"/>
      <c r="N78" s="19"/>
      <c r="O78" s="133" t="str">
        <f t="shared" si="4"/>
        <v>Low Income_Single Family_Ceiling Insulation (R-5 to R-38)</v>
      </c>
      <c r="P78" s="19">
        <v>788</v>
      </c>
      <c r="Q78" s="19" t="s">
        <v>47</v>
      </c>
      <c r="R78" s="121" t="s">
        <v>569</v>
      </c>
      <c r="S78" t="s">
        <v>7</v>
      </c>
      <c r="T78" s="121" t="s">
        <v>1</v>
      </c>
      <c r="U78" s="19" t="s">
        <v>608</v>
      </c>
      <c r="V78" s="19">
        <f>Assumptions!$G$14</f>
        <v>1360</v>
      </c>
      <c r="W78" s="240">
        <f t="shared" si="1"/>
        <v>3.42</v>
      </c>
      <c r="X78" s="242">
        <f t="shared" si="5"/>
        <v>4651.2</v>
      </c>
      <c r="Y78" s="241">
        <f t="shared" si="2"/>
        <v>4.0237111929385903E-4</v>
      </c>
      <c r="Z78" s="242">
        <f t="shared" si="6"/>
        <v>0.54722472223964824</v>
      </c>
      <c r="AA78" s="241">
        <f t="shared" si="3"/>
        <v>0</v>
      </c>
      <c r="AB78" s="242">
        <f t="shared" si="7"/>
        <v>0</v>
      </c>
      <c r="AC78" s="19"/>
    </row>
    <row r="79" spans="1:29" x14ac:dyDescent="0.35">
      <c r="A79" s="19"/>
      <c r="C79" s="120"/>
      <c r="D79" s="123"/>
      <c r="E79" s="123"/>
      <c r="F79" s="123"/>
      <c r="G79" s="123"/>
      <c r="H79" s="123"/>
      <c r="I79" s="123"/>
      <c r="J79" s="123"/>
      <c r="K79" s="123"/>
      <c r="L79" s="120"/>
      <c r="M79" s="19"/>
      <c r="N79" s="19"/>
      <c r="O79" s="133" t="str">
        <f>S79&amp;"_"&amp;T79&amp;"_"&amp;R79</f>
        <v>Low Income_Single Family_Ceiling Insulation (R-5 to R-38)</v>
      </c>
      <c r="P79" s="19">
        <v>786</v>
      </c>
      <c r="Q79" s="19" t="s">
        <v>52</v>
      </c>
      <c r="R79" s="121" t="s">
        <v>569</v>
      </c>
      <c r="S79" t="s">
        <v>7</v>
      </c>
      <c r="T79" s="121" t="s">
        <v>1</v>
      </c>
      <c r="U79" s="19" t="s">
        <v>602</v>
      </c>
      <c r="V79" s="19">
        <f>Assumptions!$G$14</f>
        <v>1360</v>
      </c>
      <c r="W79" s="240">
        <f t="shared" si="1"/>
        <v>0.63207147471110137</v>
      </c>
      <c r="X79" s="242">
        <f>W79*V79</f>
        <v>859.61720560709784</v>
      </c>
      <c r="Y79" s="241">
        <f t="shared" si="2"/>
        <v>4.0237111929385903E-4</v>
      </c>
      <c r="Z79" s="242">
        <f>Y79*V79</f>
        <v>0.54722472223964824</v>
      </c>
      <c r="AA79" s="241">
        <f t="shared" si="3"/>
        <v>0.18660843887227138</v>
      </c>
      <c r="AB79" s="242">
        <f>AA79*V79</f>
        <v>253.78747686628907</v>
      </c>
      <c r="AC79" s="19"/>
    </row>
    <row r="80" spans="1:29" x14ac:dyDescent="0.35">
      <c r="A80" s="19"/>
      <c r="C80" s="120" t="s">
        <v>575</v>
      </c>
      <c r="D80" s="124">
        <v>1</v>
      </c>
      <c r="E80" s="124">
        <v>1</v>
      </c>
      <c r="F80" s="124">
        <v>1</v>
      </c>
      <c r="G80" s="124">
        <v>1</v>
      </c>
      <c r="H80" s="124">
        <v>1</v>
      </c>
      <c r="I80" s="124">
        <v>1</v>
      </c>
      <c r="J80" s="124">
        <v>1</v>
      </c>
      <c r="K80" s="124">
        <v>1</v>
      </c>
      <c r="L80" s="120" t="s">
        <v>576</v>
      </c>
      <c r="M80" s="19"/>
      <c r="N80" s="19"/>
      <c r="O80" s="133" t="str">
        <f t="shared" si="4"/>
        <v>Low Income_Single Family_Ceiling Insulation (R-11 to R-38)</v>
      </c>
      <c r="P80" s="19">
        <v>777</v>
      </c>
      <c r="Q80" s="19" t="s">
        <v>48</v>
      </c>
      <c r="R80" s="121" t="s">
        <v>741</v>
      </c>
      <c r="S80" t="s">
        <v>7</v>
      </c>
      <c r="T80" s="121" t="s">
        <v>1</v>
      </c>
      <c r="U80" s="19" t="s">
        <v>604</v>
      </c>
      <c r="V80" s="19">
        <f>Assumptions!$G$14</f>
        <v>1360</v>
      </c>
      <c r="W80" s="240">
        <f t="shared" si="1"/>
        <v>0.81</v>
      </c>
      <c r="X80" s="242">
        <f t="shared" si="5"/>
        <v>1101.6000000000001</v>
      </c>
      <c r="Y80" s="241">
        <f t="shared" si="2"/>
        <v>1.4964215180350134E-4</v>
      </c>
      <c r="Z80" s="242">
        <f>Y80*V80</f>
        <v>0.20351332645276182</v>
      </c>
      <c r="AA80" s="241">
        <f t="shared" si="3"/>
        <v>0</v>
      </c>
      <c r="AB80" s="242">
        <f t="shared" si="7"/>
        <v>0</v>
      </c>
      <c r="AC80" s="19"/>
    </row>
    <row r="81" spans="1:29" x14ac:dyDescent="0.35">
      <c r="A81" s="19"/>
      <c r="C81" s="120" t="s">
        <v>577</v>
      </c>
      <c r="D81" s="125">
        <v>7.0000000000000007E-2</v>
      </c>
      <c r="E81" s="125">
        <v>7.0000000000000007E-2</v>
      </c>
      <c r="F81" s="125">
        <v>7.0000000000000007E-2</v>
      </c>
      <c r="G81" s="125">
        <v>7.0000000000000007E-2</v>
      </c>
      <c r="H81" s="125">
        <v>7.0000000000000007E-2</v>
      </c>
      <c r="I81" s="125">
        <v>7.0000000000000007E-2</v>
      </c>
      <c r="J81" s="125">
        <v>7.0000000000000007E-2</v>
      </c>
      <c r="K81" s="125">
        <v>7.0000000000000007E-2</v>
      </c>
      <c r="L81" s="120"/>
      <c r="M81" s="19"/>
      <c r="N81" s="19"/>
      <c r="O81" s="133" t="str">
        <f>S81&amp;"_"&amp;T81&amp;"_"&amp;R81</f>
        <v>Low Income_Single Family_Ceiling Insulation (R-11 to R-38)</v>
      </c>
      <c r="P81" s="19">
        <v>779</v>
      </c>
      <c r="Q81" s="120" t="s">
        <v>49</v>
      </c>
      <c r="R81" s="122" t="s">
        <v>741</v>
      </c>
      <c r="S81" t="s">
        <v>7</v>
      </c>
      <c r="T81" s="121" t="s">
        <v>1</v>
      </c>
      <c r="U81" s="19" t="s">
        <v>606</v>
      </c>
      <c r="V81" s="19">
        <f>Assumptions!$G$14</f>
        <v>1360</v>
      </c>
      <c r="W81" s="240">
        <f t="shared" si="1"/>
        <v>1.1100000000000001</v>
      </c>
      <c r="X81" s="242">
        <f t="shared" si="5"/>
        <v>1509.6000000000001</v>
      </c>
      <c r="Y81" s="241">
        <f t="shared" si="2"/>
        <v>0</v>
      </c>
      <c r="Z81" s="242">
        <f t="shared" si="6"/>
        <v>0</v>
      </c>
      <c r="AA81" s="241">
        <f t="shared" si="3"/>
        <v>0</v>
      </c>
      <c r="AB81" s="242">
        <f t="shared" si="7"/>
        <v>0</v>
      </c>
      <c r="AC81" s="19"/>
    </row>
    <row r="82" spans="1:29" x14ac:dyDescent="0.35">
      <c r="A82" s="19"/>
      <c r="C82" s="120" t="s">
        <v>578</v>
      </c>
      <c r="D82" s="124">
        <v>1108</v>
      </c>
      <c r="E82" s="124">
        <v>1108</v>
      </c>
      <c r="F82" s="124">
        <v>1108</v>
      </c>
      <c r="G82" s="124">
        <v>1108</v>
      </c>
      <c r="H82" s="124">
        <v>1108</v>
      </c>
      <c r="I82" s="124">
        <v>1108</v>
      </c>
      <c r="J82" s="124">
        <v>1108</v>
      </c>
      <c r="K82" s="124">
        <v>1108</v>
      </c>
      <c r="L82" s="120" t="s">
        <v>579</v>
      </c>
      <c r="M82" s="19"/>
      <c r="N82" s="19"/>
      <c r="O82" s="133" t="str">
        <f t="shared" si="4"/>
        <v>Low Income_Single Family_Ceiling Insulation (R-11 to R-38)</v>
      </c>
      <c r="P82" s="19">
        <v>778</v>
      </c>
      <c r="Q82" s="120" t="s">
        <v>50</v>
      </c>
      <c r="R82" s="122" t="s">
        <v>741</v>
      </c>
      <c r="S82" t="s">
        <v>7</v>
      </c>
      <c r="T82" s="121" t="s">
        <v>1</v>
      </c>
      <c r="U82" s="19" t="s">
        <v>608</v>
      </c>
      <c r="V82" s="19">
        <f>Assumptions!$G$14</f>
        <v>1360</v>
      </c>
      <c r="W82" s="240">
        <f t="shared" si="1"/>
        <v>1.27</v>
      </c>
      <c r="X82" s="242">
        <f t="shared" si="5"/>
        <v>1727.2</v>
      </c>
      <c r="Y82" s="241">
        <f t="shared" si="2"/>
        <v>1.4964215180350134E-4</v>
      </c>
      <c r="Z82" s="242">
        <f t="shared" si="6"/>
        <v>0.20351332645276182</v>
      </c>
      <c r="AA82" s="241">
        <f t="shared" si="3"/>
        <v>0</v>
      </c>
      <c r="AB82" s="242">
        <f t="shared" si="7"/>
        <v>0</v>
      </c>
      <c r="AC82" s="19"/>
    </row>
    <row r="83" spans="1:29" x14ac:dyDescent="0.35">
      <c r="A83" s="19"/>
      <c r="C83" s="120" t="s">
        <v>580</v>
      </c>
      <c r="D83" s="126">
        <v>0.75</v>
      </c>
      <c r="E83" s="126">
        <v>0.75</v>
      </c>
      <c r="F83" s="126">
        <v>0.75</v>
      </c>
      <c r="G83" s="126">
        <v>0.75</v>
      </c>
      <c r="H83" s="126">
        <v>0.75</v>
      </c>
      <c r="I83" s="126">
        <v>0.75</v>
      </c>
      <c r="J83" s="126">
        <v>0.75</v>
      </c>
      <c r="K83" s="126">
        <v>0.75</v>
      </c>
      <c r="L83" s="120"/>
      <c r="M83" s="19"/>
      <c r="N83" s="19"/>
      <c r="O83" s="133" t="str">
        <f t="shared" si="4"/>
        <v>Low Income_Single Family_Ceiling Insulation (R-11 to R-38)</v>
      </c>
      <c r="P83" s="19">
        <v>776</v>
      </c>
      <c r="Q83" s="120" t="s">
        <v>51</v>
      </c>
      <c r="R83" s="122" t="s">
        <v>741</v>
      </c>
      <c r="S83" t="s">
        <v>7</v>
      </c>
      <c r="T83" s="121" t="s">
        <v>1</v>
      </c>
      <c r="U83" s="19" t="s">
        <v>602</v>
      </c>
      <c r="V83" s="19">
        <f>Assumptions!$G$14</f>
        <v>1360</v>
      </c>
      <c r="W83" s="240">
        <f t="shared" si="1"/>
        <v>0.23515054844627742</v>
      </c>
      <c r="X83" s="242">
        <f t="shared" ref="X83:X88" si="8">W83*V83</f>
        <v>319.80474588693727</v>
      </c>
      <c r="Y83" s="241">
        <f t="shared" si="2"/>
        <v>1.4964215180350134E-4</v>
      </c>
      <c r="Z83" s="242">
        <f t="shared" si="6"/>
        <v>0.20351332645276182</v>
      </c>
      <c r="AA83" s="241">
        <f t="shared" si="3"/>
        <v>6.9399832638448053E-2</v>
      </c>
      <c r="AB83" s="242">
        <f t="shared" si="7"/>
        <v>94.383772388289358</v>
      </c>
      <c r="AC83" s="19"/>
    </row>
    <row r="84" spans="1:29" x14ac:dyDescent="0.35">
      <c r="A84" s="19"/>
      <c r="C84" s="120" t="s">
        <v>581</v>
      </c>
      <c r="D84" s="124">
        <v>10</v>
      </c>
      <c r="E84" s="124">
        <v>10</v>
      </c>
      <c r="F84" s="124">
        <v>10</v>
      </c>
      <c r="G84" s="124">
        <v>10</v>
      </c>
      <c r="H84" s="124">
        <v>10</v>
      </c>
      <c r="I84" s="124">
        <v>10</v>
      </c>
      <c r="J84" s="124">
        <v>10</v>
      </c>
      <c r="K84" s="124">
        <v>10</v>
      </c>
      <c r="L84" s="28">
        <v>0.9</v>
      </c>
      <c r="M84" s="19"/>
      <c r="N84" s="19"/>
      <c r="O84" s="133" t="str">
        <f t="shared" ref="O84:O88" si="9">S84&amp;"_"&amp;T84&amp;"_"&amp;R84</f>
        <v>Low Income_Multifamily_Ceiling Insulation (R-5 to R-38)</v>
      </c>
      <c r="P84" s="31">
        <v>556</v>
      </c>
      <c r="Q84" s="31" t="s">
        <v>52</v>
      </c>
      <c r="R84" s="134" t="s">
        <v>569</v>
      </c>
      <c r="S84" t="s">
        <v>7</v>
      </c>
      <c r="T84" s="121" t="s">
        <v>8</v>
      </c>
      <c r="U84" s="19" t="s">
        <v>602</v>
      </c>
      <c r="V84" s="19">
        <f>Assumptions!$G$14</f>
        <v>1360</v>
      </c>
      <c r="W84" s="240">
        <f t="shared" si="1"/>
        <v>0.63207147471110137</v>
      </c>
      <c r="X84" s="242">
        <f t="shared" si="8"/>
        <v>859.61720560709784</v>
      </c>
      <c r="Y84" s="241">
        <f t="shared" si="2"/>
        <v>4.4303305744271049E-4</v>
      </c>
      <c r="Z84" s="242">
        <f t="shared" ref="Z84:Z88" si="10">Y84*V84</f>
        <v>0.60252495812208628</v>
      </c>
      <c r="AA84" s="241">
        <f t="shared" si="3"/>
        <v>0.18660843887227138</v>
      </c>
      <c r="AB84" s="242">
        <f t="shared" ref="AB84:AB88" si="11">AA84*V84</f>
        <v>253.78747686628907</v>
      </c>
      <c r="AC84" s="19"/>
    </row>
    <row r="85" spans="1:29" x14ac:dyDescent="0.35">
      <c r="A85" s="19"/>
      <c r="C85" s="120" t="s">
        <v>582</v>
      </c>
      <c r="D85" s="124">
        <v>13</v>
      </c>
      <c r="E85" s="124">
        <v>13</v>
      </c>
      <c r="F85" s="124">
        <v>13</v>
      </c>
      <c r="G85" s="124">
        <v>13</v>
      </c>
      <c r="H85" s="124">
        <v>13</v>
      </c>
      <c r="I85" s="124">
        <v>13</v>
      </c>
      <c r="J85" s="124">
        <v>13</v>
      </c>
      <c r="K85" s="124">
        <v>13</v>
      </c>
      <c r="L85" s="28">
        <v>0.1</v>
      </c>
      <c r="M85" s="19"/>
      <c r="N85" s="19"/>
      <c r="O85" s="133" t="str">
        <f t="shared" si="9"/>
        <v>Low Income_Multifamily_Ceiling Insulation (R-5 to R-38)</v>
      </c>
      <c r="P85" s="19">
        <v>557</v>
      </c>
      <c r="Q85" s="19" t="s">
        <v>45</v>
      </c>
      <c r="R85" s="121" t="s">
        <v>569</v>
      </c>
      <c r="S85" t="s">
        <v>7</v>
      </c>
      <c r="T85" s="121" t="s">
        <v>8</v>
      </c>
      <c r="U85" s="19" t="s">
        <v>604</v>
      </c>
      <c r="V85" s="19">
        <f>Assumptions!$G$14</f>
        <v>1360</v>
      </c>
      <c r="W85" s="240">
        <f t="shared" si="1"/>
        <v>2.17</v>
      </c>
      <c r="X85" s="242">
        <f t="shared" si="8"/>
        <v>2951.2</v>
      </c>
      <c r="Y85" s="241">
        <f t="shared" si="2"/>
        <v>4.4303305744271049E-4</v>
      </c>
      <c r="Z85" s="242">
        <f t="shared" si="10"/>
        <v>0.60252495812208628</v>
      </c>
      <c r="AA85" s="241">
        <f t="shared" si="3"/>
        <v>0</v>
      </c>
      <c r="AB85" s="242">
        <f t="shared" si="11"/>
        <v>0</v>
      </c>
      <c r="AC85" s="19"/>
    </row>
    <row r="86" spans="1:29" x14ac:dyDescent="0.35">
      <c r="A86" s="19"/>
      <c r="C86" s="120" t="s">
        <v>583</v>
      </c>
      <c r="D86" s="124">
        <v>13</v>
      </c>
      <c r="E86" s="124">
        <v>13</v>
      </c>
      <c r="F86" s="124">
        <v>13</v>
      </c>
      <c r="G86" s="124">
        <v>13</v>
      </c>
      <c r="H86" s="124">
        <v>13</v>
      </c>
      <c r="I86" s="124">
        <v>13</v>
      </c>
      <c r="J86" s="124">
        <v>13</v>
      </c>
      <c r="K86" s="124">
        <v>13</v>
      </c>
      <c r="L86" s="28">
        <v>0</v>
      </c>
      <c r="M86" s="19"/>
      <c r="N86" s="19"/>
      <c r="O86" s="133" t="str">
        <f t="shared" si="9"/>
        <v>Low Income_Multifamily_Ceiling Insulation (R-5 to R-38)</v>
      </c>
      <c r="P86" s="19">
        <v>559</v>
      </c>
      <c r="Q86" s="127" t="s">
        <v>46</v>
      </c>
      <c r="R86" s="237" t="s">
        <v>569</v>
      </c>
      <c r="S86" t="s">
        <v>7</v>
      </c>
      <c r="T86" s="121" t="s">
        <v>8</v>
      </c>
      <c r="U86" s="19" t="s">
        <v>606</v>
      </c>
      <c r="V86" s="19">
        <f>Assumptions!$G$14</f>
        <v>1360</v>
      </c>
      <c r="W86" s="240">
        <f t="shared" si="1"/>
        <v>2.99</v>
      </c>
      <c r="X86" s="242">
        <f t="shared" si="8"/>
        <v>4066.4</v>
      </c>
      <c r="Y86" s="241">
        <f t="shared" si="2"/>
        <v>0</v>
      </c>
      <c r="Z86" s="242">
        <f t="shared" si="10"/>
        <v>0</v>
      </c>
      <c r="AA86" s="241">
        <f t="shared" si="3"/>
        <v>0</v>
      </c>
      <c r="AB86" s="242">
        <f t="shared" si="11"/>
        <v>0</v>
      </c>
      <c r="AC86" s="19"/>
    </row>
    <row r="87" spans="1:29" x14ac:dyDescent="0.35">
      <c r="A87" s="19"/>
      <c r="C87" s="120" t="s">
        <v>584</v>
      </c>
      <c r="D87" s="124">
        <v>14</v>
      </c>
      <c r="E87" s="124">
        <v>14</v>
      </c>
      <c r="F87" s="124">
        <v>14</v>
      </c>
      <c r="G87" s="124">
        <v>14</v>
      </c>
      <c r="H87" s="124">
        <v>14</v>
      </c>
      <c r="I87" s="124">
        <v>14</v>
      </c>
      <c r="J87" s="124">
        <v>14</v>
      </c>
      <c r="K87" s="124">
        <v>14</v>
      </c>
      <c r="L87" s="28">
        <v>0</v>
      </c>
      <c r="M87" s="19"/>
      <c r="N87" s="19"/>
      <c r="O87" s="133" t="str">
        <f t="shared" si="9"/>
        <v>Low Income_Multifamily_Ceiling Insulation (R-5 to R-38)</v>
      </c>
      <c r="P87" s="19">
        <v>558</v>
      </c>
      <c r="Q87" s="127" t="s">
        <v>47</v>
      </c>
      <c r="R87" s="237" t="s">
        <v>569</v>
      </c>
      <c r="S87" t="s">
        <v>7</v>
      </c>
      <c r="T87" s="121" t="s">
        <v>8</v>
      </c>
      <c r="U87" s="19" t="s">
        <v>608</v>
      </c>
      <c r="V87" s="19">
        <f>Assumptions!$G$14</f>
        <v>1360</v>
      </c>
      <c r="W87" s="240">
        <f t="shared" si="1"/>
        <v>3.42</v>
      </c>
      <c r="X87" s="242">
        <f t="shared" si="8"/>
        <v>4651.2</v>
      </c>
      <c r="Y87" s="241">
        <f t="shared" si="2"/>
        <v>4.4303305744271049E-4</v>
      </c>
      <c r="Z87" s="242">
        <f t="shared" si="10"/>
        <v>0.60252495812208628</v>
      </c>
      <c r="AA87" s="241">
        <f t="shared" si="3"/>
        <v>0</v>
      </c>
      <c r="AB87" s="242">
        <f t="shared" si="11"/>
        <v>0</v>
      </c>
      <c r="AC87" s="19"/>
    </row>
    <row r="88" spans="1:29" x14ac:dyDescent="0.35">
      <c r="A88" s="19"/>
      <c r="C88" s="120" t="s">
        <v>336</v>
      </c>
      <c r="D88" s="126">
        <f t="shared" ref="D88:K88" si="12">SUMPRODUCT(D84:D87,$L$84:$L$87)</f>
        <v>10.3</v>
      </c>
      <c r="E88" s="126">
        <f t="shared" si="12"/>
        <v>10.3</v>
      </c>
      <c r="F88" s="126">
        <f t="shared" si="12"/>
        <v>10.3</v>
      </c>
      <c r="G88" s="126">
        <f t="shared" si="12"/>
        <v>10.3</v>
      </c>
      <c r="H88" s="126">
        <f t="shared" si="12"/>
        <v>10.3</v>
      </c>
      <c r="I88" s="126">
        <f t="shared" si="12"/>
        <v>10.3</v>
      </c>
      <c r="J88" s="126">
        <f t="shared" si="12"/>
        <v>10.3</v>
      </c>
      <c r="K88" s="126">
        <f t="shared" si="12"/>
        <v>10.3</v>
      </c>
      <c r="L88" s="120" t="s">
        <v>585</v>
      </c>
      <c r="M88" s="19"/>
      <c r="N88" s="19"/>
      <c r="O88" s="133" t="str">
        <f t="shared" si="9"/>
        <v>Low Income_Multifamily_Ceiling Insulation (R-11 to R-38)</v>
      </c>
      <c r="P88" s="19">
        <v>551</v>
      </c>
      <c r="Q88" s="127" t="s">
        <v>48</v>
      </c>
      <c r="R88" s="237" t="s">
        <v>741</v>
      </c>
      <c r="S88" t="s">
        <v>7</v>
      </c>
      <c r="T88" s="121" t="s">
        <v>8</v>
      </c>
      <c r="U88" s="19" t="s">
        <v>604</v>
      </c>
      <c r="V88" s="19">
        <f>Assumptions!$G$14</f>
        <v>1360</v>
      </c>
      <c r="W88" s="240">
        <f t="shared" si="1"/>
        <v>0.81</v>
      </c>
      <c r="X88" s="242">
        <f t="shared" si="8"/>
        <v>1101.6000000000001</v>
      </c>
      <c r="Y88" s="241">
        <f t="shared" si="2"/>
        <v>1.6476436020596678E-4</v>
      </c>
      <c r="Z88" s="242">
        <f t="shared" si="10"/>
        <v>0.22407952988011481</v>
      </c>
      <c r="AA88" s="241">
        <f t="shared" si="3"/>
        <v>0</v>
      </c>
      <c r="AB88" s="242">
        <f t="shared" si="11"/>
        <v>0</v>
      </c>
      <c r="AC88" s="19"/>
    </row>
    <row r="89" spans="1:29" s="600" customFormat="1" x14ac:dyDescent="0.35">
      <c r="A89" s="127"/>
      <c r="C89" s="2628" t="s">
        <v>3375</v>
      </c>
      <c r="D89" s="2551">
        <v>13</v>
      </c>
      <c r="E89" s="2551">
        <v>13</v>
      </c>
      <c r="F89" s="2551">
        <v>13</v>
      </c>
      <c r="G89" s="2551">
        <v>13</v>
      </c>
      <c r="H89" s="2551">
        <v>13</v>
      </c>
      <c r="I89" s="2551">
        <v>13</v>
      </c>
      <c r="J89" s="2551">
        <v>13</v>
      </c>
      <c r="K89" s="2551">
        <v>13</v>
      </c>
      <c r="L89" s="120"/>
      <c r="M89" s="127"/>
      <c r="N89" s="127"/>
      <c r="O89" s="133" t="str">
        <f>S89&amp;"_"&amp;T89&amp;"_"&amp;R89</f>
        <v>Low Income_Multifamily_Ceiling Insulation (R-11 to R-38)</v>
      </c>
      <c r="P89" s="19">
        <v>553</v>
      </c>
      <c r="Q89" s="127" t="s">
        <v>49</v>
      </c>
      <c r="R89" s="237" t="s">
        <v>741</v>
      </c>
      <c r="S89" t="s">
        <v>7</v>
      </c>
      <c r="T89" s="121" t="s">
        <v>8</v>
      </c>
      <c r="U89" s="19" t="s">
        <v>606</v>
      </c>
      <c r="V89" s="19">
        <f>Assumptions!$G$14</f>
        <v>1360</v>
      </c>
      <c r="W89" s="240">
        <f t="shared" si="1"/>
        <v>1.1100000000000001</v>
      </c>
      <c r="X89" s="242">
        <f>W89*V89</f>
        <v>1509.6000000000001</v>
      </c>
      <c r="Y89" s="241">
        <f t="shared" si="2"/>
        <v>0</v>
      </c>
      <c r="Z89" s="242">
        <f>Y89*V89</f>
        <v>0</v>
      </c>
      <c r="AA89" s="241">
        <f t="shared" si="3"/>
        <v>0</v>
      </c>
      <c r="AB89" s="242">
        <f>AA89*V89</f>
        <v>0</v>
      </c>
      <c r="AC89" s="127"/>
    </row>
    <row r="90" spans="1:29" s="600" customFormat="1" x14ac:dyDescent="0.35">
      <c r="A90" s="127"/>
      <c r="C90" s="2628" t="s">
        <v>3376</v>
      </c>
      <c r="D90" s="2551">
        <v>14</v>
      </c>
      <c r="E90" s="2551">
        <v>14</v>
      </c>
      <c r="F90" s="2551">
        <v>14</v>
      </c>
      <c r="G90" s="2551">
        <v>14</v>
      </c>
      <c r="H90" s="2551">
        <v>14</v>
      </c>
      <c r="I90" s="2551">
        <v>14</v>
      </c>
      <c r="J90" s="2551">
        <v>14</v>
      </c>
      <c r="K90" s="2551">
        <v>14</v>
      </c>
      <c r="L90" s="120"/>
      <c r="M90" s="127"/>
      <c r="N90" s="127"/>
      <c r="O90" s="133" t="str">
        <f>S90&amp;"_"&amp;T90&amp;"_"&amp;R90</f>
        <v>Low Income_Multifamily_Ceiling Insulation (R-11 to R-38)</v>
      </c>
      <c r="P90" s="31">
        <v>552</v>
      </c>
      <c r="Q90" s="234" t="s">
        <v>50</v>
      </c>
      <c r="R90" s="238" t="s">
        <v>741</v>
      </c>
      <c r="S90" t="s">
        <v>7</v>
      </c>
      <c r="T90" s="121" t="s">
        <v>8</v>
      </c>
      <c r="U90" s="19" t="s">
        <v>608</v>
      </c>
      <c r="V90" s="19">
        <f>Assumptions!$G$14</f>
        <v>1360</v>
      </c>
      <c r="W90" s="240">
        <f t="shared" si="1"/>
        <v>1.27</v>
      </c>
      <c r="X90" s="242">
        <f>W90*V90</f>
        <v>1727.2</v>
      </c>
      <c r="Y90" s="241">
        <f t="shared" si="2"/>
        <v>1.6476436020596678E-4</v>
      </c>
      <c r="Z90" s="242">
        <f>Y90*V90</f>
        <v>0.22407952988011481</v>
      </c>
      <c r="AA90" s="241">
        <f t="shared" si="3"/>
        <v>0</v>
      </c>
      <c r="AB90" s="242">
        <f>AA90*V90</f>
        <v>0</v>
      </c>
      <c r="AC90" s="127"/>
    </row>
    <row r="91" spans="1:29" s="600" customFormat="1" x14ac:dyDescent="0.35">
      <c r="A91" s="127"/>
      <c r="C91" s="2628" t="s">
        <v>3377</v>
      </c>
      <c r="D91" s="2551">
        <f>AVERAGE(D89:D90)</f>
        <v>13.5</v>
      </c>
      <c r="E91" s="2551">
        <f t="shared" ref="E91:K91" si="13">AVERAGE(E89:E90)</f>
        <v>13.5</v>
      </c>
      <c r="F91" s="2551">
        <f t="shared" si="13"/>
        <v>13.5</v>
      </c>
      <c r="G91" s="2551">
        <f t="shared" si="13"/>
        <v>13.5</v>
      </c>
      <c r="H91" s="2551">
        <f t="shared" si="13"/>
        <v>13.5</v>
      </c>
      <c r="I91" s="2551">
        <f t="shared" si="13"/>
        <v>13.5</v>
      </c>
      <c r="J91" s="2551">
        <f t="shared" si="13"/>
        <v>13.5</v>
      </c>
      <c r="K91" s="2551">
        <f t="shared" si="13"/>
        <v>13.5</v>
      </c>
      <c r="L91" s="120"/>
      <c r="M91" s="127"/>
      <c r="N91" s="127"/>
      <c r="O91" s="133" t="str">
        <f>S91&amp;"_"&amp;T91&amp;"_"&amp;R91</f>
        <v>Low Income_Multifamily_Ceiling Insulation (R-11 to R-38)</v>
      </c>
      <c r="P91" s="31">
        <v>550</v>
      </c>
      <c r="Q91" s="234" t="s">
        <v>51</v>
      </c>
      <c r="R91" s="238" t="s">
        <v>741</v>
      </c>
      <c r="S91" t="s">
        <v>7</v>
      </c>
      <c r="T91" s="121" t="s">
        <v>8</v>
      </c>
      <c r="U91" s="19" t="s">
        <v>602</v>
      </c>
      <c r="V91" s="19">
        <f>Assumptions!$G$14</f>
        <v>1360</v>
      </c>
      <c r="W91" s="240">
        <f t="shared" si="1"/>
        <v>0.23515054844627742</v>
      </c>
      <c r="X91" s="242">
        <f>W91*V91</f>
        <v>319.80474588693727</v>
      </c>
      <c r="Y91" s="241">
        <f t="shared" si="2"/>
        <v>1.6476436020596678E-4</v>
      </c>
      <c r="Z91" s="242">
        <f>Y91*V91</f>
        <v>0.22407952988011481</v>
      </c>
      <c r="AA91" s="241">
        <f t="shared" si="3"/>
        <v>6.9399832638448053E-2</v>
      </c>
      <c r="AB91" s="242">
        <f>AA91*V91</f>
        <v>94.383772388289358</v>
      </c>
      <c r="AC91" s="127"/>
    </row>
    <row r="92" spans="1:29" x14ac:dyDescent="0.35">
      <c r="A92" s="19"/>
      <c r="C92" s="2647" t="s">
        <v>3392</v>
      </c>
      <c r="D92" s="2631">
        <v>1.21</v>
      </c>
      <c r="E92" s="2631">
        <v>1.21</v>
      </c>
      <c r="F92" s="2631">
        <v>1.21</v>
      </c>
      <c r="G92" s="2631">
        <v>1.21</v>
      </c>
      <c r="H92" s="2631">
        <v>1.21</v>
      </c>
      <c r="I92" s="2631">
        <v>1.21</v>
      </c>
      <c r="J92" s="2631">
        <v>1.21</v>
      </c>
      <c r="K92" s="2631">
        <v>1.21</v>
      </c>
      <c r="L92" s="120"/>
      <c r="M92" s="19"/>
      <c r="N92" s="19"/>
      <c r="AC92" s="19"/>
    </row>
    <row r="93" spans="1:29" s="600" customFormat="1" x14ac:dyDescent="0.35">
      <c r="A93" s="127"/>
      <c r="C93" s="2755" t="s">
        <v>3912</v>
      </c>
      <c r="D93" s="2756">
        <v>1</v>
      </c>
      <c r="E93" s="2756">
        <v>1</v>
      </c>
      <c r="F93" s="2756">
        <v>1.1000000000000001</v>
      </c>
      <c r="G93" s="2756">
        <v>1.1000000000000001</v>
      </c>
      <c r="H93" s="2756">
        <v>1</v>
      </c>
      <c r="I93" s="2756">
        <v>1</v>
      </c>
      <c r="J93" s="2756">
        <v>1.1000000000000001</v>
      </c>
      <c r="K93" s="2756">
        <v>1.1000000000000001</v>
      </c>
      <c r="L93" s="120"/>
      <c r="M93" s="127"/>
      <c r="N93" s="127"/>
      <c r="AC93" s="127"/>
    </row>
    <row r="94" spans="1:29" s="600" customFormat="1" x14ac:dyDescent="0.35">
      <c r="A94" s="127"/>
      <c r="C94" s="2755" t="s">
        <v>3913</v>
      </c>
      <c r="D94" s="2756">
        <v>1</v>
      </c>
      <c r="E94" s="2756">
        <v>1</v>
      </c>
      <c r="F94" s="2756">
        <v>1</v>
      </c>
      <c r="G94" s="2756">
        <v>1</v>
      </c>
      <c r="H94" s="2756">
        <v>1</v>
      </c>
      <c r="I94" s="2756">
        <v>1</v>
      </c>
      <c r="J94" s="2756">
        <v>1</v>
      </c>
      <c r="K94" s="2756">
        <v>1</v>
      </c>
      <c r="L94" s="120"/>
      <c r="M94" s="127"/>
      <c r="N94" s="127"/>
      <c r="AC94" s="127"/>
    </row>
    <row r="95" spans="1:29" x14ac:dyDescent="0.35">
      <c r="A95" s="19"/>
      <c r="C95" s="2757" t="s">
        <v>587</v>
      </c>
      <c r="D95" s="2758">
        <f>(((1/D77-1/D78)*D80*(1-D81/2))*24*D82*D83)/(1000*D88)*D92*D93*D94</f>
        <v>0.39268839182422066</v>
      </c>
      <c r="E95" s="2758">
        <f t="shared" ref="E95:K95" si="14">(((1/E77-1/E78)*E80*(1-E81/2))*24*E82*E83)/(1000*E88)*E92*E93*E94</f>
        <v>0.14604113745528871</v>
      </c>
      <c r="F95" s="2758">
        <f t="shared" si="14"/>
        <v>0.43195723100664274</v>
      </c>
      <c r="G95" s="2758">
        <f t="shared" si="14"/>
        <v>0.1606452512008176</v>
      </c>
      <c r="H95" s="2758">
        <f t="shared" si="14"/>
        <v>0.39268839182422066</v>
      </c>
      <c r="I95" s="2758">
        <f t="shared" si="14"/>
        <v>0.14604113745528871</v>
      </c>
      <c r="J95" s="2758">
        <f t="shared" si="14"/>
        <v>0.43195723100664274</v>
      </c>
      <c r="K95" s="2758">
        <f t="shared" si="14"/>
        <v>0.1606452512008176</v>
      </c>
      <c r="L95" s="120"/>
      <c r="M95" s="19"/>
      <c r="N95" s="19"/>
      <c r="O95" s="31"/>
      <c r="V95" s="135"/>
      <c r="W95" s="31"/>
      <c r="X95" s="135"/>
      <c r="Y95" s="37"/>
      <c r="Z95" s="31"/>
      <c r="AA95" s="136"/>
      <c r="AC95" s="31"/>
    </row>
    <row r="96" spans="1:29" s="600" customFormat="1" x14ac:dyDescent="0.35">
      <c r="A96" s="127"/>
      <c r="C96" s="2755" t="s">
        <v>3386</v>
      </c>
      <c r="D96" s="2758">
        <f>(((1/D77-1/D78)*D80*(1-D81/2))*24*D82*D83)/(1000*D91)*D92*D93*D94</f>
        <v>0.29960669894736841</v>
      </c>
      <c r="E96" s="2758">
        <f t="shared" ref="E96:K96" si="15">(((1/E77-1/E78)*E80*(1-E81/2))*24*E82*E83)/(1000*E91)*E92*E93*E94</f>
        <v>0.11142397894736844</v>
      </c>
      <c r="F96" s="2758">
        <f t="shared" si="15"/>
        <v>0.3295673688421053</v>
      </c>
      <c r="G96" s="2758">
        <f t="shared" si="15"/>
        <v>0.12256637684210529</v>
      </c>
      <c r="H96" s="2758">
        <f t="shared" si="15"/>
        <v>0.29960669894736841</v>
      </c>
      <c r="I96" s="2758">
        <f t="shared" si="15"/>
        <v>0.11142397894736844</v>
      </c>
      <c r="J96" s="2758">
        <f t="shared" si="15"/>
        <v>0.3295673688421053</v>
      </c>
      <c r="K96" s="2758">
        <f t="shared" si="15"/>
        <v>0.12256637684210529</v>
      </c>
      <c r="L96" s="120"/>
      <c r="M96" s="127"/>
      <c r="N96" s="127"/>
      <c r="O96" s="234"/>
      <c r="V96" s="135"/>
      <c r="W96" s="234"/>
      <c r="X96" s="135"/>
      <c r="Y96" s="37"/>
      <c r="Z96" s="234"/>
      <c r="AA96" s="136"/>
      <c r="AB96"/>
      <c r="AC96" s="234"/>
    </row>
    <row r="97" spans="1:29" x14ac:dyDescent="0.35">
      <c r="A97" s="19"/>
      <c r="C97" s="2755" t="s">
        <v>3914</v>
      </c>
      <c r="D97" s="129"/>
      <c r="E97" s="129"/>
      <c r="F97" s="129"/>
      <c r="G97" s="129"/>
      <c r="H97" s="129"/>
      <c r="I97" s="129"/>
      <c r="J97" s="129"/>
      <c r="K97" s="129"/>
      <c r="L97" s="120"/>
      <c r="M97" s="19"/>
      <c r="N97" s="19"/>
      <c r="AC97" s="31"/>
    </row>
    <row r="98" spans="1:29" x14ac:dyDescent="0.35">
      <c r="A98" s="19"/>
      <c r="C98" s="2647" t="s">
        <v>3393</v>
      </c>
      <c r="D98" s="2648">
        <v>0.6</v>
      </c>
      <c r="E98" s="2648">
        <v>0.6</v>
      </c>
      <c r="F98" s="2648">
        <v>0.6</v>
      </c>
      <c r="G98" s="2648">
        <v>0.6</v>
      </c>
      <c r="H98" s="2648">
        <v>0.6</v>
      </c>
      <c r="I98" s="2648">
        <v>0.6</v>
      </c>
      <c r="J98" s="2648">
        <v>0.6</v>
      </c>
      <c r="K98" s="2648">
        <v>0.6</v>
      </c>
      <c r="L98" s="120"/>
      <c r="M98" s="19"/>
      <c r="N98" s="19"/>
      <c r="AC98" s="31"/>
    </row>
    <row r="99" spans="1:29" s="600" customFormat="1" x14ac:dyDescent="0.35">
      <c r="A99" s="127"/>
      <c r="C99" s="2755" t="s">
        <v>521</v>
      </c>
      <c r="D99" s="2759">
        <v>1</v>
      </c>
      <c r="E99" s="2759">
        <v>1</v>
      </c>
      <c r="F99" s="2759">
        <v>1</v>
      </c>
      <c r="G99" s="2759">
        <v>1</v>
      </c>
      <c r="H99" s="2759">
        <v>1</v>
      </c>
      <c r="I99" s="2759">
        <v>1</v>
      </c>
      <c r="J99" s="2759">
        <v>1</v>
      </c>
      <c r="K99" s="2759">
        <v>1</v>
      </c>
      <c r="L99" s="120"/>
      <c r="M99" s="127"/>
      <c r="N99" s="127"/>
      <c r="AC99" s="234"/>
    </row>
    <row r="100" spans="1:29" x14ac:dyDescent="0.35">
      <c r="A100" s="19"/>
      <c r="C100" s="120" t="s">
        <v>600</v>
      </c>
      <c r="D100" s="124">
        <v>4379</v>
      </c>
      <c r="E100" s="124">
        <v>4379</v>
      </c>
      <c r="F100" s="124">
        <v>4379</v>
      </c>
      <c r="G100" s="124">
        <v>4379</v>
      </c>
      <c r="H100" s="124">
        <v>4379</v>
      </c>
      <c r="I100" s="124">
        <v>4379</v>
      </c>
      <c r="J100" s="124">
        <v>4379</v>
      </c>
      <c r="K100" s="124">
        <v>4379</v>
      </c>
      <c r="L100" s="120" t="s">
        <v>601</v>
      </c>
      <c r="M100" s="19"/>
      <c r="N100" s="19"/>
      <c r="AC100" s="37"/>
    </row>
    <row r="101" spans="1:29" x14ac:dyDescent="0.35">
      <c r="A101" s="19"/>
      <c r="C101" s="120" t="s">
        <v>603</v>
      </c>
      <c r="D101" s="126">
        <v>1.7</v>
      </c>
      <c r="E101" s="126">
        <v>1.7</v>
      </c>
      <c r="F101" s="126">
        <v>1.7</v>
      </c>
      <c r="G101" s="126">
        <v>1.7</v>
      </c>
      <c r="H101" s="126">
        <v>1.7</v>
      </c>
      <c r="I101" s="126">
        <v>1.7</v>
      </c>
      <c r="J101" s="126">
        <v>1.7</v>
      </c>
      <c r="K101" s="126">
        <v>1.7</v>
      </c>
      <c r="L101" s="28">
        <v>0.9</v>
      </c>
      <c r="M101" s="19"/>
      <c r="N101" s="19"/>
      <c r="O101" s="31"/>
      <c r="P101" s="31"/>
      <c r="Q101" s="31"/>
      <c r="R101" s="138"/>
      <c r="S101" s="135"/>
      <c r="T101" s="135"/>
      <c r="U101" s="135"/>
      <c r="V101" s="135"/>
      <c r="W101" s="31"/>
      <c r="X101" s="135"/>
      <c r="Y101" s="37"/>
      <c r="Z101" s="31"/>
      <c r="AA101" s="136"/>
      <c r="AB101" s="31"/>
      <c r="AC101" s="37"/>
    </row>
    <row r="102" spans="1:29" x14ac:dyDescent="0.35">
      <c r="A102" s="19"/>
      <c r="C102" s="120" t="s">
        <v>605</v>
      </c>
      <c r="D102" s="126">
        <v>1.92</v>
      </c>
      <c r="E102" s="126">
        <v>1.92</v>
      </c>
      <c r="F102" s="126">
        <v>1.92</v>
      </c>
      <c r="G102" s="126">
        <v>1.92</v>
      </c>
      <c r="H102" s="126">
        <v>1.92</v>
      </c>
      <c r="I102" s="126">
        <v>1.92</v>
      </c>
      <c r="J102" s="126">
        <v>1.92</v>
      </c>
      <c r="K102" s="126">
        <v>1.92</v>
      </c>
      <c r="L102" s="28">
        <v>0.1</v>
      </c>
      <c r="M102" s="19"/>
      <c r="N102" s="19"/>
      <c r="O102" s="31"/>
      <c r="P102" s="31"/>
      <c r="Q102" s="31"/>
      <c r="R102" s="138"/>
      <c r="S102" s="135"/>
      <c r="T102" s="135"/>
      <c r="U102" s="135"/>
      <c r="V102" s="135"/>
      <c r="W102" s="31"/>
      <c r="X102" s="135"/>
      <c r="Y102" s="37"/>
      <c r="Z102" s="31"/>
      <c r="AA102" s="136"/>
      <c r="AB102" s="31"/>
      <c r="AC102" s="37"/>
    </row>
    <row r="103" spans="1:29" x14ac:dyDescent="0.35">
      <c r="A103" s="19"/>
      <c r="C103" s="120" t="s">
        <v>607</v>
      </c>
      <c r="D103" s="126">
        <v>2.04</v>
      </c>
      <c r="E103" s="126">
        <v>2.04</v>
      </c>
      <c r="F103" s="126">
        <v>2.04</v>
      </c>
      <c r="G103" s="126">
        <v>2.04</v>
      </c>
      <c r="H103" s="126">
        <v>2.04</v>
      </c>
      <c r="I103" s="126">
        <v>2.04</v>
      </c>
      <c r="J103" s="126">
        <v>2.04</v>
      </c>
      <c r="K103" s="126">
        <v>2.04</v>
      </c>
      <c r="L103" s="28">
        <v>0</v>
      </c>
      <c r="M103" s="19"/>
      <c r="N103" s="19"/>
      <c r="O103" s="31"/>
      <c r="P103" s="31"/>
      <c r="Q103" s="31"/>
      <c r="R103" s="19"/>
      <c r="S103" s="31"/>
      <c r="T103" s="31"/>
      <c r="U103" s="135"/>
      <c r="V103" s="31"/>
      <c r="W103" s="31"/>
      <c r="X103" s="135"/>
      <c r="Y103" s="37"/>
      <c r="Z103" s="31"/>
      <c r="AA103" s="136"/>
      <c r="AB103" s="31"/>
      <c r="AC103" s="37"/>
    </row>
    <row r="104" spans="1:29" x14ac:dyDescent="0.35">
      <c r="A104" s="19"/>
      <c r="C104" s="120" t="s">
        <v>609</v>
      </c>
      <c r="D104" s="126">
        <f t="shared" ref="D104:K104" si="16">SUMPRODUCT(D101:D103,$L$101:$L$103)</f>
        <v>1.722</v>
      </c>
      <c r="E104" s="126">
        <f t="shared" si="16"/>
        <v>1.722</v>
      </c>
      <c r="F104" s="126">
        <f t="shared" si="16"/>
        <v>1.722</v>
      </c>
      <c r="G104" s="126">
        <f t="shared" si="16"/>
        <v>1.722</v>
      </c>
      <c r="H104" s="126">
        <f t="shared" si="16"/>
        <v>1.722</v>
      </c>
      <c r="I104" s="126">
        <f t="shared" si="16"/>
        <v>1.722</v>
      </c>
      <c r="J104" s="126">
        <f t="shared" si="16"/>
        <v>1.722</v>
      </c>
      <c r="K104" s="126">
        <f t="shared" si="16"/>
        <v>1.722</v>
      </c>
      <c r="L104" s="120" t="s">
        <v>585</v>
      </c>
      <c r="M104" s="19"/>
      <c r="N104" s="19"/>
      <c r="O104" s="31"/>
      <c r="P104" s="31"/>
      <c r="Q104" s="31"/>
      <c r="R104" s="19"/>
      <c r="S104" s="31"/>
      <c r="T104" s="31"/>
      <c r="U104" s="135"/>
      <c r="V104" s="31"/>
      <c r="W104" s="31"/>
      <c r="X104" s="135"/>
      <c r="Y104" s="37"/>
      <c r="Z104" s="31"/>
      <c r="AA104" s="136"/>
      <c r="AB104" s="31"/>
      <c r="AC104" s="37"/>
    </row>
    <row r="105" spans="1:29" x14ac:dyDescent="0.35">
      <c r="A105" s="19"/>
      <c r="C105" s="120" t="s">
        <v>610</v>
      </c>
      <c r="D105" s="126">
        <v>1</v>
      </c>
      <c r="E105" s="126">
        <v>1</v>
      </c>
      <c r="F105" s="126">
        <v>1</v>
      </c>
      <c r="G105" s="126">
        <v>1</v>
      </c>
      <c r="H105" s="126">
        <v>1</v>
      </c>
      <c r="I105" s="126">
        <v>1</v>
      </c>
      <c r="J105" s="126">
        <v>1</v>
      </c>
      <c r="K105" s="126">
        <v>1</v>
      </c>
      <c r="L105" s="120"/>
      <c r="M105" s="19"/>
      <c r="N105" s="19"/>
      <c r="O105" s="31"/>
      <c r="P105" s="31"/>
      <c r="R105" s="19"/>
      <c r="S105" s="31"/>
      <c r="T105" s="31"/>
      <c r="U105" s="135"/>
      <c r="V105" s="31"/>
      <c r="W105" s="31"/>
      <c r="X105" s="135"/>
      <c r="Y105" s="37"/>
      <c r="Z105" s="31"/>
      <c r="AA105" s="136"/>
      <c r="AB105" s="31"/>
      <c r="AC105" s="37"/>
    </row>
    <row r="106" spans="1:29" s="600" customFormat="1" x14ac:dyDescent="0.35">
      <c r="A106" s="127"/>
      <c r="C106" s="2628" t="s">
        <v>3378</v>
      </c>
      <c r="D106" s="2551">
        <v>2.04</v>
      </c>
      <c r="E106" s="2551">
        <v>2.04</v>
      </c>
      <c r="F106" s="2551">
        <v>2.04</v>
      </c>
      <c r="G106" s="2551">
        <v>2.04</v>
      </c>
      <c r="H106" s="2551">
        <v>2.04</v>
      </c>
      <c r="I106" s="2551">
        <v>2.04</v>
      </c>
      <c r="J106" s="2551">
        <v>2.04</v>
      </c>
      <c r="K106" s="2551">
        <v>2.04</v>
      </c>
      <c r="L106" s="120"/>
      <c r="M106" s="127"/>
      <c r="N106" s="127"/>
      <c r="O106" s="234"/>
      <c r="P106" s="234"/>
      <c r="R106" s="127"/>
      <c r="S106" s="234"/>
      <c r="T106" s="234"/>
      <c r="U106" s="135"/>
      <c r="V106" s="234"/>
      <c r="W106" s="234"/>
      <c r="X106" s="135"/>
      <c r="Y106" s="37"/>
      <c r="Z106" s="234"/>
      <c r="AA106" s="136"/>
      <c r="AB106" s="234"/>
      <c r="AC106" s="37"/>
    </row>
    <row r="107" spans="1:29" s="600" customFormat="1" x14ac:dyDescent="0.35">
      <c r="A107" s="127"/>
      <c r="C107" s="2628" t="s">
        <v>3379</v>
      </c>
      <c r="D107" s="2627">
        <v>1</v>
      </c>
      <c r="E107" s="2627">
        <v>1</v>
      </c>
      <c r="F107" s="2627">
        <v>1</v>
      </c>
      <c r="G107" s="2627">
        <v>1</v>
      </c>
      <c r="H107" s="2627">
        <v>1</v>
      </c>
      <c r="I107" s="2627">
        <v>1</v>
      </c>
      <c r="J107" s="2627">
        <v>1</v>
      </c>
      <c r="K107" s="2627">
        <v>1</v>
      </c>
      <c r="L107" s="120"/>
      <c r="M107" s="127"/>
      <c r="N107" s="127"/>
      <c r="O107" s="234"/>
      <c r="P107" s="234"/>
      <c r="R107" s="127"/>
      <c r="S107" s="234"/>
      <c r="T107" s="234"/>
      <c r="U107" s="135"/>
      <c r="V107" s="234"/>
      <c r="W107" s="234"/>
      <c r="X107" s="135"/>
      <c r="Y107" s="37"/>
      <c r="Z107" s="234"/>
      <c r="AA107" s="136"/>
      <c r="AB107" s="234"/>
      <c r="AC107" s="37"/>
    </row>
    <row r="108" spans="1:29" x14ac:dyDescent="0.35">
      <c r="A108" s="19"/>
      <c r="C108" s="2757" t="s">
        <v>3915</v>
      </c>
      <c r="D108" s="2758">
        <f>(((1/D77-1/D78)*D80*(1-D81))*24*D100)/(D104*3412)*D98*D99</f>
        <v>1.7335587130695236</v>
      </c>
      <c r="E108" s="2758">
        <f t="shared" ref="E108:K108" si="17">(((1/E77-1/E78)*E80*(1-E81))*24*E100)/(E104*3412)*E98*E99</f>
        <v>0.64471191808370709</v>
      </c>
      <c r="F108" s="2758">
        <f t="shared" si="17"/>
        <v>1.7335587130695236</v>
      </c>
      <c r="G108" s="2758">
        <f t="shared" si="17"/>
        <v>0.64471191808370709</v>
      </c>
      <c r="H108" s="2758">
        <f t="shared" si="17"/>
        <v>1.7335587130695236</v>
      </c>
      <c r="I108" s="2758">
        <f t="shared" si="17"/>
        <v>0.64471191808370709</v>
      </c>
      <c r="J108" s="2758">
        <f t="shared" si="17"/>
        <v>1.7335587130695236</v>
      </c>
      <c r="K108" s="2758">
        <f t="shared" si="17"/>
        <v>0.64471191808370709</v>
      </c>
      <c r="L108" s="2757" t="s">
        <v>604</v>
      </c>
      <c r="M108" s="19"/>
      <c r="N108" s="19"/>
      <c r="O108" s="31"/>
      <c r="P108" s="31"/>
      <c r="Q108" s="31"/>
      <c r="R108" s="19"/>
      <c r="S108" s="31"/>
      <c r="T108" s="31"/>
      <c r="U108" s="135"/>
      <c r="V108" s="31"/>
      <c r="W108" s="31"/>
      <c r="X108" s="135"/>
      <c r="Y108" s="37"/>
      <c r="Z108" s="31"/>
      <c r="AA108" s="136"/>
      <c r="AB108" s="31"/>
      <c r="AC108" s="37"/>
    </row>
    <row r="109" spans="1:29" x14ac:dyDescent="0.35">
      <c r="A109" s="19"/>
      <c r="C109" s="2757" t="s">
        <v>3915</v>
      </c>
      <c r="D109" s="2758">
        <f>(((1/D77-1/D78)*D80*(1-D81))*24*D100)/(D105*3412)*D98*D99</f>
        <v>2.9851881039057195</v>
      </c>
      <c r="E109" s="2758">
        <f t="shared" ref="E109:K109" si="18">(((1/E77-1/E78)*E80*(1-E81))*24*E100)/(E105*3412)*E98*E99</f>
        <v>1.1101939229401436</v>
      </c>
      <c r="F109" s="2758">
        <f t="shared" si="18"/>
        <v>2.9851881039057195</v>
      </c>
      <c r="G109" s="2758">
        <f t="shared" si="18"/>
        <v>1.1101939229401436</v>
      </c>
      <c r="H109" s="2758">
        <f t="shared" si="18"/>
        <v>2.9851881039057195</v>
      </c>
      <c r="I109" s="2758">
        <f t="shared" si="18"/>
        <v>1.1101939229401436</v>
      </c>
      <c r="J109" s="2758">
        <f t="shared" si="18"/>
        <v>2.9851881039057195</v>
      </c>
      <c r="K109" s="2758">
        <f t="shared" si="18"/>
        <v>1.1101939229401436</v>
      </c>
      <c r="L109" s="2757" t="s">
        <v>298</v>
      </c>
      <c r="M109" s="19"/>
      <c r="N109" s="19"/>
      <c r="O109" s="31"/>
      <c r="P109" s="31"/>
      <c r="Q109" s="31"/>
      <c r="R109" s="19"/>
      <c r="S109" s="31"/>
      <c r="T109" s="31"/>
      <c r="U109" s="135"/>
      <c r="V109" s="31"/>
      <c r="W109" s="31"/>
      <c r="X109" s="135"/>
      <c r="Y109" s="37"/>
      <c r="Z109" s="31"/>
      <c r="AA109" s="136"/>
      <c r="AB109" s="31"/>
      <c r="AC109" s="37"/>
    </row>
    <row r="110" spans="1:29" s="600" customFormat="1" x14ac:dyDescent="0.35">
      <c r="A110" s="127"/>
      <c r="C110" s="2760" t="s">
        <v>3916</v>
      </c>
      <c r="D110" s="2758">
        <f>(((1/D77-1/D78)*D80*(1-D81))*24*D100)/(D106*3412)*D98*D99</f>
        <v>1.4633275019145682</v>
      </c>
      <c r="E110" s="2758">
        <f t="shared" ref="E110:K110" si="19">(((1/E77-1/E78)*E80*(1-E81))*24*E100)/(E106*3412)*E98*E99</f>
        <v>0.54421270732359972</v>
      </c>
      <c r="F110" s="2758">
        <f t="shared" si="19"/>
        <v>1.4633275019145682</v>
      </c>
      <c r="G110" s="2758">
        <f t="shared" si="19"/>
        <v>0.54421270732359972</v>
      </c>
      <c r="H110" s="2758">
        <f t="shared" si="19"/>
        <v>1.4633275019145682</v>
      </c>
      <c r="I110" s="2758">
        <f t="shared" si="19"/>
        <v>0.54421270732359972</v>
      </c>
      <c r="J110" s="2758">
        <f t="shared" si="19"/>
        <v>1.4633275019145682</v>
      </c>
      <c r="K110" s="2758">
        <f t="shared" si="19"/>
        <v>0.54421270732359972</v>
      </c>
      <c r="L110" s="2757" t="s">
        <v>604</v>
      </c>
      <c r="M110" s="127"/>
      <c r="N110" s="127"/>
      <c r="O110" s="234"/>
      <c r="P110" s="234"/>
      <c r="Q110" s="234"/>
      <c r="R110" s="127"/>
      <c r="S110" s="234"/>
      <c r="T110" s="234"/>
      <c r="U110" s="135"/>
      <c r="V110" s="234"/>
      <c r="W110" s="234"/>
      <c r="X110" s="135"/>
      <c r="Y110" s="37"/>
      <c r="Z110" s="234"/>
      <c r="AA110" s="136"/>
      <c r="AB110" s="234"/>
      <c r="AC110" s="37"/>
    </row>
    <row r="111" spans="1:29" s="600" customFormat="1" x14ac:dyDescent="0.35">
      <c r="A111" s="127"/>
      <c r="C111" s="2760" t="s">
        <v>3916</v>
      </c>
      <c r="D111" s="2758">
        <f>(((1/D77-1/D78)*D80*(1-D81))*24*D100)/(D107*3412)*D98*D99</f>
        <v>2.9851881039057195</v>
      </c>
      <c r="E111" s="2758">
        <f t="shared" ref="E111:K111" si="20">(((1/E77-1/E78)*E80*(1-E81))*24*E100)/(E107*3412)*E98*E99</f>
        <v>1.1101939229401436</v>
      </c>
      <c r="F111" s="2758">
        <f t="shared" si="20"/>
        <v>2.9851881039057195</v>
      </c>
      <c r="G111" s="2758">
        <f t="shared" si="20"/>
        <v>1.1101939229401436</v>
      </c>
      <c r="H111" s="2758">
        <f t="shared" si="20"/>
        <v>2.9851881039057195</v>
      </c>
      <c r="I111" s="2758">
        <f t="shared" si="20"/>
        <v>1.1101939229401436</v>
      </c>
      <c r="J111" s="2758">
        <f t="shared" si="20"/>
        <v>2.9851881039057195</v>
      </c>
      <c r="K111" s="2758">
        <f t="shared" si="20"/>
        <v>1.1101939229401436</v>
      </c>
      <c r="L111" s="2757" t="s">
        <v>298</v>
      </c>
      <c r="M111" s="127"/>
      <c r="N111" s="127"/>
      <c r="O111" s="234"/>
      <c r="P111" s="234"/>
      <c r="Q111" s="234"/>
      <c r="R111" s="127"/>
      <c r="S111" s="234"/>
      <c r="T111" s="234"/>
      <c r="U111" s="135"/>
      <c r="V111" s="234"/>
      <c r="W111" s="234"/>
      <c r="X111" s="135"/>
      <c r="Y111" s="37"/>
      <c r="Z111" s="234"/>
      <c r="AA111" s="136"/>
      <c r="AB111" s="234"/>
      <c r="AC111" s="37"/>
    </row>
    <row r="112" spans="1:29" x14ac:dyDescent="0.35">
      <c r="A112" s="19"/>
      <c r="C112" s="120"/>
      <c r="D112" s="129"/>
      <c r="E112" s="129"/>
      <c r="F112" s="129"/>
      <c r="G112" s="129"/>
      <c r="H112" s="129"/>
      <c r="I112" s="129"/>
      <c r="J112" s="129"/>
      <c r="K112" s="129"/>
      <c r="L112" s="120"/>
      <c r="M112" s="19"/>
      <c r="N112" s="19"/>
      <c r="O112" s="31"/>
      <c r="P112" s="31"/>
      <c r="Q112" s="31"/>
      <c r="R112" s="31"/>
      <c r="S112" s="31"/>
      <c r="T112" s="31"/>
      <c r="U112" s="135"/>
      <c r="V112" s="31"/>
      <c r="W112" s="31"/>
      <c r="X112" s="135"/>
      <c r="Y112" s="37"/>
      <c r="Z112" s="31"/>
      <c r="AA112" s="136"/>
      <c r="AB112" s="31"/>
      <c r="AC112" s="37"/>
    </row>
    <row r="113" spans="2:29" x14ac:dyDescent="0.35">
      <c r="B113" s="27" t="s">
        <v>342</v>
      </c>
      <c r="C113" s="120" t="s">
        <v>612</v>
      </c>
      <c r="D113" s="159">
        <f t="shared" ref="D113:K113" si="21">ROUND(D95,2)</f>
        <v>0.39</v>
      </c>
      <c r="E113" s="159">
        <f>ROUND(E95,2)</f>
        <v>0.15</v>
      </c>
      <c r="F113" s="159">
        <f t="shared" si="21"/>
        <v>0.43</v>
      </c>
      <c r="G113" s="159">
        <f t="shared" si="21"/>
        <v>0.16</v>
      </c>
      <c r="H113" s="159">
        <f t="shared" si="21"/>
        <v>0.39</v>
      </c>
      <c r="I113" s="159">
        <f t="shared" si="21"/>
        <v>0.15</v>
      </c>
      <c r="J113" s="159">
        <f t="shared" si="21"/>
        <v>0.43</v>
      </c>
      <c r="K113" s="159">
        <f t="shared" si="21"/>
        <v>0.16</v>
      </c>
      <c r="L113" s="120" t="s">
        <v>612</v>
      </c>
      <c r="M113" s="19"/>
      <c r="N113" s="19"/>
      <c r="O113" s="31"/>
      <c r="P113" s="31"/>
      <c r="Q113" s="31"/>
      <c r="R113" s="31"/>
      <c r="S113" s="31"/>
      <c r="T113" s="31"/>
      <c r="U113" s="135"/>
      <c r="V113" s="31"/>
      <c r="W113" s="31"/>
      <c r="X113" s="135"/>
      <c r="Y113" s="37"/>
      <c r="Z113" s="31"/>
      <c r="AA113" s="136"/>
      <c r="AB113" s="31"/>
      <c r="AC113" s="37"/>
    </row>
    <row r="114" spans="2:29" x14ac:dyDescent="0.35">
      <c r="B114" s="27" t="s">
        <v>342</v>
      </c>
      <c r="C114" s="120" t="s">
        <v>604</v>
      </c>
      <c r="D114" s="159">
        <f t="shared" ref="D114:K114" si="22">ROUND(D95+D108,2)</f>
        <v>2.13</v>
      </c>
      <c r="E114" s="159">
        <f t="shared" si="22"/>
        <v>0.79</v>
      </c>
      <c r="F114" s="159">
        <f t="shared" si="22"/>
        <v>2.17</v>
      </c>
      <c r="G114" s="159">
        <f t="shared" si="22"/>
        <v>0.81</v>
      </c>
      <c r="H114" s="159">
        <f t="shared" si="22"/>
        <v>2.13</v>
      </c>
      <c r="I114" s="159">
        <f t="shared" si="22"/>
        <v>0.79</v>
      </c>
      <c r="J114" s="159">
        <f t="shared" si="22"/>
        <v>2.17</v>
      </c>
      <c r="K114" s="159">
        <f t="shared" si="22"/>
        <v>0.81</v>
      </c>
      <c r="L114" s="120" t="s">
        <v>604</v>
      </c>
      <c r="M114" s="19"/>
      <c r="N114" s="19"/>
      <c r="O114" s="31"/>
      <c r="P114" s="31"/>
      <c r="Q114" s="31"/>
      <c r="R114" s="31"/>
      <c r="S114" s="31"/>
      <c r="T114" s="31"/>
      <c r="U114" s="135"/>
      <c r="V114" s="31"/>
      <c r="W114" s="31"/>
      <c r="X114" s="135"/>
      <c r="Y114" s="37"/>
      <c r="Z114" s="31"/>
      <c r="AA114" s="136"/>
      <c r="AB114" s="31"/>
      <c r="AC114" s="37"/>
    </row>
    <row r="115" spans="2:29" x14ac:dyDescent="0.35">
      <c r="B115" s="27" t="s">
        <v>342</v>
      </c>
      <c r="C115" s="120" t="s">
        <v>606</v>
      </c>
      <c r="D115" s="159">
        <f t="shared" ref="D115:K115" si="23">ROUND(D109,2)</f>
        <v>2.99</v>
      </c>
      <c r="E115" s="159">
        <f t="shared" si="23"/>
        <v>1.1100000000000001</v>
      </c>
      <c r="F115" s="159">
        <f t="shared" si="23"/>
        <v>2.99</v>
      </c>
      <c r="G115" s="159">
        <f t="shared" si="23"/>
        <v>1.1100000000000001</v>
      </c>
      <c r="H115" s="159">
        <f t="shared" si="23"/>
        <v>2.99</v>
      </c>
      <c r="I115" s="159">
        <f t="shared" si="23"/>
        <v>1.1100000000000001</v>
      </c>
      <c r="J115" s="159">
        <f t="shared" si="23"/>
        <v>2.99</v>
      </c>
      <c r="K115" s="159">
        <f t="shared" si="23"/>
        <v>1.1100000000000001</v>
      </c>
      <c r="L115" s="120" t="s">
        <v>606</v>
      </c>
      <c r="M115" s="19"/>
      <c r="N115" s="19"/>
      <c r="O115" s="31"/>
      <c r="P115" s="31"/>
      <c r="Q115" s="31"/>
      <c r="R115" s="31"/>
      <c r="S115" s="31"/>
      <c r="T115" s="31"/>
      <c r="U115" s="135"/>
      <c r="V115" s="31"/>
      <c r="W115" s="31"/>
      <c r="X115" s="135"/>
      <c r="Y115" s="37"/>
      <c r="Z115" s="31"/>
      <c r="AA115" s="136"/>
      <c r="AB115" s="31"/>
      <c r="AC115" s="37"/>
    </row>
    <row r="116" spans="2:29" x14ac:dyDescent="0.35">
      <c r="B116" s="27" t="s">
        <v>342</v>
      </c>
      <c r="C116" s="120" t="s">
        <v>608</v>
      </c>
      <c r="D116" s="159">
        <f t="shared" ref="D116:K116" si="24">ROUND(D95+D109,2)</f>
        <v>3.38</v>
      </c>
      <c r="E116" s="159">
        <f t="shared" si="24"/>
        <v>1.26</v>
      </c>
      <c r="F116" s="159">
        <f t="shared" si="24"/>
        <v>3.42</v>
      </c>
      <c r="G116" s="159">
        <f t="shared" si="24"/>
        <v>1.27</v>
      </c>
      <c r="H116" s="159">
        <f t="shared" si="24"/>
        <v>3.38</v>
      </c>
      <c r="I116" s="159">
        <f t="shared" si="24"/>
        <v>1.26</v>
      </c>
      <c r="J116" s="159">
        <f t="shared" si="24"/>
        <v>3.42</v>
      </c>
      <c r="K116" s="159">
        <f t="shared" si="24"/>
        <v>1.27</v>
      </c>
      <c r="L116" s="120" t="s">
        <v>608</v>
      </c>
      <c r="M116" s="19"/>
      <c r="N116" s="19"/>
      <c r="O116" s="31"/>
      <c r="P116" s="31"/>
      <c r="Q116" s="31"/>
      <c r="R116" s="31"/>
      <c r="S116" s="31"/>
      <c r="T116" s="31"/>
      <c r="U116" s="135"/>
      <c r="V116" s="31"/>
      <c r="W116" s="31"/>
      <c r="X116" s="135"/>
      <c r="Y116" s="37"/>
      <c r="Z116" s="31"/>
      <c r="AA116" s="136"/>
      <c r="AB116" s="31"/>
      <c r="AC116" s="37"/>
    </row>
    <row r="117" spans="2:29" s="600" customFormat="1" x14ac:dyDescent="0.35">
      <c r="B117" s="2651" t="s">
        <v>3372</v>
      </c>
      <c r="C117" s="2579" t="s">
        <v>612</v>
      </c>
      <c r="D117" s="2650">
        <f>ROUND(D96,2)</f>
        <v>0.3</v>
      </c>
      <c r="E117" s="2650">
        <f t="shared" ref="E117:K117" si="25">ROUND(E96,2)</f>
        <v>0.11</v>
      </c>
      <c r="F117" s="2650">
        <f t="shared" si="25"/>
        <v>0.33</v>
      </c>
      <c r="G117" s="2650">
        <f t="shared" si="25"/>
        <v>0.12</v>
      </c>
      <c r="H117" s="2650">
        <f t="shared" si="25"/>
        <v>0.3</v>
      </c>
      <c r="I117" s="2650">
        <f t="shared" si="25"/>
        <v>0.11</v>
      </c>
      <c r="J117" s="2650">
        <f t="shared" si="25"/>
        <v>0.33</v>
      </c>
      <c r="K117" s="2650">
        <f t="shared" si="25"/>
        <v>0.12</v>
      </c>
      <c r="L117" s="2579" t="s">
        <v>612</v>
      </c>
      <c r="M117" s="127"/>
      <c r="N117" s="127"/>
      <c r="O117" s="234"/>
      <c r="P117" s="234"/>
      <c r="Q117" s="234"/>
      <c r="R117" s="234"/>
      <c r="S117" s="234"/>
      <c r="T117" s="234"/>
      <c r="U117" s="135"/>
      <c r="V117" s="234"/>
      <c r="W117" s="234"/>
      <c r="X117" s="135"/>
      <c r="Y117" s="37"/>
      <c r="Z117" s="234"/>
      <c r="AA117" s="136"/>
      <c r="AB117" s="234"/>
      <c r="AC117" s="37"/>
    </row>
    <row r="118" spans="2:29" s="600" customFormat="1" x14ac:dyDescent="0.35">
      <c r="B118" s="2651" t="s">
        <v>3372</v>
      </c>
      <c r="C118" s="2579" t="s">
        <v>604</v>
      </c>
      <c r="D118" s="2650">
        <f>ROUND(D96+D110,2)</f>
        <v>1.76</v>
      </c>
      <c r="E118" s="2650">
        <f t="shared" ref="E118:K118" si="26">ROUND(E96+E110,2)</f>
        <v>0.66</v>
      </c>
      <c r="F118" s="2650">
        <f t="shared" si="26"/>
        <v>1.79</v>
      </c>
      <c r="G118" s="2650">
        <f t="shared" si="26"/>
        <v>0.67</v>
      </c>
      <c r="H118" s="2650">
        <f t="shared" si="26"/>
        <v>1.76</v>
      </c>
      <c r="I118" s="2650">
        <f t="shared" si="26"/>
        <v>0.66</v>
      </c>
      <c r="J118" s="2650">
        <f t="shared" si="26"/>
        <v>1.79</v>
      </c>
      <c r="K118" s="2650">
        <f t="shared" si="26"/>
        <v>0.67</v>
      </c>
      <c r="L118" s="2579" t="s">
        <v>604</v>
      </c>
      <c r="M118" s="127"/>
      <c r="N118" s="127"/>
      <c r="O118" s="234"/>
      <c r="P118" s="234"/>
      <c r="Q118" s="234"/>
      <c r="R118" s="234"/>
      <c r="S118" s="234"/>
      <c r="T118" s="234"/>
      <c r="U118" s="135"/>
      <c r="V118" s="234"/>
      <c r="W118" s="234"/>
      <c r="X118" s="135"/>
      <c r="Y118" s="37"/>
      <c r="Z118" s="234"/>
      <c r="AA118" s="136"/>
      <c r="AB118" s="234"/>
      <c r="AC118" s="37"/>
    </row>
    <row r="119" spans="2:29" s="600" customFormat="1" x14ac:dyDescent="0.35">
      <c r="B119" s="2651" t="s">
        <v>3372</v>
      </c>
      <c r="C119" s="2579" t="s">
        <v>606</v>
      </c>
      <c r="D119" s="2650">
        <f>ROUND(D111,2)</f>
        <v>2.99</v>
      </c>
      <c r="E119" s="2650">
        <f t="shared" ref="E119:K119" si="27">ROUND(E111,2)</f>
        <v>1.1100000000000001</v>
      </c>
      <c r="F119" s="2650">
        <f t="shared" si="27"/>
        <v>2.99</v>
      </c>
      <c r="G119" s="2650">
        <f t="shared" si="27"/>
        <v>1.1100000000000001</v>
      </c>
      <c r="H119" s="2650">
        <f t="shared" si="27"/>
        <v>2.99</v>
      </c>
      <c r="I119" s="2650">
        <f t="shared" si="27"/>
        <v>1.1100000000000001</v>
      </c>
      <c r="J119" s="2650">
        <f t="shared" si="27"/>
        <v>2.99</v>
      </c>
      <c r="K119" s="2650">
        <f t="shared" si="27"/>
        <v>1.1100000000000001</v>
      </c>
      <c r="L119" s="2579" t="s">
        <v>606</v>
      </c>
      <c r="M119" s="127"/>
      <c r="N119" s="127"/>
      <c r="O119" s="234"/>
      <c r="P119" s="234"/>
      <c r="Q119" s="234"/>
      <c r="R119" s="234"/>
      <c r="S119" s="234"/>
      <c r="T119" s="234"/>
      <c r="U119" s="135"/>
      <c r="V119" s="234"/>
      <c r="W119" s="234"/>
      <c r="X119" s="135"/>
      <c r="Y119" s="37"/>
      <c r="Z119" s="234"/>
      <c r="AA119" s="136"/>
      <c r="AB119" s="234"/>
      <c r="AC119" s="37"/>
    </row>
    <row r="120" spans="2:29" s="600" customFormat="1" x14ac:dyDescent="0.35">
      <c r="B120" s="2651" t="s">
        <v>3372</v>
      </c>
      <c r="C120" s="2579" t="s">
        <v>608</v>
      </c>
      <c r="D120" s="2650">
        <f>ROUND(D96+D111,2)</f>
        <v>3.28</v>
      </c>
      <c r="E120" s="2650">
        <f t="shared" ref="E120:K120" si="28">ROUND(E96+E111,2)</f>
        <v>1.22</v>
      </c>
      <c r="F120" s="2650">
        <f t="shared" si="28"/>
        <v>3.31</v>
      </c>
      <c r="G120" s="2650">
        <f t="shared" si="28"/>
        <v>1.23</v>
      </c>
      <c r="H120" s="2650">
        <f t="shared" si="28"/>
        <v>3.28</v>
      </c>
      <c r="I120" s="2650">
        <f t="shared" si="28"/>
        <v>1.22</v>
      </c>
      <c r="J120" s="2650">
        <f t="shared" si="28"/>
        <v>3.31</v>
      </c>
      <c r="K120" s="2650">
        <f t="shared" si="28"/>
        <v>1.23</v>
      </c>
      <c r="L120" s="2579" t="s">
        <v>608</v>
      </c>
      <c r="M120" s="127"/>
      <c r="N120" s="127"/>
      <c r="O120" s="234"/>
      <c r="P120" s="234"/>
      <c r="Q120" s="234"/>
      <c r="R120" s="234"/>
      <c r="S120" s="234"/>
      <c r="T120" s="234"/>
      <c r="U120" s="135"/>
      <c r="V120" s="234"/>
      <c r="W120" s="234"/>
      <c r="X120" s="135"/>
      <c r="Y120" s="37"/>
      <c r="Z120" s="234"/>
      <c r="AA120" s="136"/>
      <c r="AB120" s="234"/>
      <c r="AC120" s="37"/>
    </row>
    <row r="121" spans="2:29" x14ac:dyDescent="0.35">
      <c r="B121" s="27"/>
      <c r="C121" s="120"/>
      <c r="D121" s="129"/>
      <c r="E121" s="129"/>
      <c r="F121" s="129"/>
      <c r="G121" s="129"/>
      <c r="H121" s="129"/>
      <c r="I121" s="129"/>
      <c r="J121" s="129"/>
      <c r="K121" s="129"/>
      <c r="L121" s="120"/>
      <c r="M121" s="19"/>
      <c r="N121" s="19"/>
      <c r="O121" s="31"/>
      <c r="P121" s="31"/>
      <c r="Q121" s="31"/>
      <c r="R121" s="31"/>
      <c r="S121" s="31"/>
      <c r="T121" s="31"/>
      <c r="U121" s="135"/>
      <c r="V121" s="31"/>
      <c r="W121" s="31"/>
      <c r="X121" s="135"/>
      <c r="Y121" s="37"/>
      <c r="Z121" s="31"/>
      <c r="AA121" s="136"/>
      <c r="AB121" s="31"/>
      <c r="AC121" s="37"/>
    </row>
    <row r="122" spans="2:29" x14ac:dyDescent="0.35">
      <c r="B122" s="27"/>
      <c r="C122" s="120" t="s">
        <v>613</v>
      </c>
      <c r="D122" s="129">
        <v>730</v>
      </c>
      <c r="E122" s="129">
        <v>730</v>
      </c>
      <c r="F122" s="129">
        <v>730</v>
      </c>
      <c r="G122" s="129">
        <v>730</v>
      </c>
      <c r="H122" s="129">
        <v>663</v>
      </c>
      <c r="I122" s="129">
        <v>663</v>
      </c>
      <c r="J122" s="129">
        <v>663</v>
      </c>
      <c r="K122" s="129">
        <v>663</v>
      </c>
      <c r="L122" s="120" t="s">
        <v>614</v>
      </c>
      <c r="M122" s="19"/>
      <c r="N122" s="19"/>
      <c r="O122" s="31"/>
      <c r="P122" s="31"/>
      <c r="Q122" s="31"/>
      <c r="R122" s="31"/>
      <c r="S122" s="31"/>
      <c r="T122" s="31"/>
      <c r="U122" s="135"/>
      <c r="V122" s="31"/>
      <c r="W122" s="31"/>
      <c r="X122" s="135"/>
      <c r="Y122" s="37"/>
      <c r="Z122" s="31"/>
      <c r="AA122" s="136"/>
      <c r="AB122" s="31"/>
      <c r="AC122" s="37"/>
    </row>
    <row r="123" spans="2:29" x14ac:dyDescent="0.35">
      <c r="B123" s="27"/>
      <c r="C123" s="120"/>
      <c r="D123" s="129"/>
      <c r="E123" s="129"/>
      <c r="F123" s="129"/>
      <c r="G123" s="129"/>
      <c r="H123" s="129"/>
      <c r="I123" s="129"/>
      <c r="J123" s="129"/>
      <c r="K123" s="129"/>
      <c r="L123" s="120"/>
      <c r="M123" s="19"/>
      <c r="N123" s="19"/>
      <c r="O123" s="31"/>
      <c r="P123" s="31"/>
      <c r="Q123" s="31"/>
      <c r="R123" s="31"/>
      <c r="S123" s="31"/>
      <c r="T123" s="31"/>
      <c r="U123" s="135"/>
      <c r="V123" s="31"/>
      <c r="W123" s="31"/>
      <c r="X123" s="135"/>
      <c r="Y123" s="37"/>
      <c r="Z123" s="31"/>
      <c r="AA123" s="136"/>
      <c r="AB123" s="31"/>
      <c r="AC123" s="37"/>
    </row>
    <row r="124" spans="2:29" x14ac:dyDescent="0.35">
      <c r="B124" s="27" t="s">
        <v>301</v>
      </c>
      <c r="C124" s="19" t="s">
        <v>612</v>
      </c>
      <c r="D124" s="166">
        <f t="shared" ref="D124:K124" si="29">D95/D122*D69</f>
        <v>3.6579192663078092E-4</v>
      </c>
      <c r="E124" s="166">
        <f t="shared" si="29"/>
        <v>1.3603831982136484E-4</v>
      </c>
      <c r="F124" s="166">
        <f t="shared" si="29"/>
        <v>4.0237111929385903E-4</v>
      </c>
      <c r="G124" s="166">
        <f>G95/G122*G69</f>
        <v>1.4964215180350134E-4</v>
      </c>
      <c r="H124" s="166">
        <f t="shared" si="29"/>
        <v>4.0275732494791868E-4</v>
      </c>
      <c r="I124" s="166">
        <f t="shared" si="29"/>
        <v>1.4978578200542433E-4</v>
      </c>
      <c r="J124" s="166">
        <f t="shared" si="29"/>
        <v>4.4303305744271049E-4</v>
      </c>
      <c r="K124" s="166">
        <f t="shared" si="29"/>
        <v>1.6476436020596678E-4</v>
      </c>
      <c r="L124" s="19" t="s">
        <v>612</v>
      </c>
      <c r="M124" s="19"/>
      <c r="N124" s="19"/>
      <c r="O124" s="31"/>
      <c r="P124" s="31"/>
      <c r="Q124" s="134"/>
      <c r="R124" s="31"/>
      <c r="S124" s="31"/>
      <c r="T124" s="31"/>
      <c r="U124" s="135"/>
      <c r="V124" s="31"/>
      <c r="W124" s="31"/>
      <c r="X124" s="135"/>
      <c r="Y124" s="37"/>
      <c r="Z124" s="31"/>
      <c r="AA124" s="136"/>
      <c r="AB124" s="31"/>
      <c r="AC124" s="37"/>
    </row>
    <row r="125" spans="2:29" x14ac:dyDescent="0.35">
      <c r="B125" s="27" t="s">
        <v>301</v>
      </c>
      <c r="C125" s="19" t="s">
        <v>604</v>
      </c>
      <c r="D125" s="166">
        <f t="shared" ref="D125:K125" si="30">D124</f>
        <v>3.6579192663078092E-4</v>
      </c>
      <c r="E125" s="166">
        <f t="shared" si="30"/>
        <v>1.3603831982136484E-4</v>
      </c>
      <c r="F125" s="166">
        <f t="shared" si="30"/>
        <v>4.0237111929385903E-4</v>
      </c>
      <c r="G125" s="166">
        <f t="shared" si="30"/>
        <v>1.4964215180350134E-4</v>
      </c>
      <c r="H125" s="166">
        <f t="shared" si="30"/>
        <v>4.0275732494791868E-4</v>
      </c>
      <c r="I125" s="166">
        <f t="shared" si="30"/>
        <v>1.4978578200542433E-4</v>
      </c>
      <c r="J125" s="166">
        <f t="shared" si="30"/>
        <v>4.4303305744271049E-4</v>
      </c>
      <c r="K125" s="166">
        <f t="shared" si="30"/>
        <v>1.6476436020596678E-4</v>
      </c>
      <c r="L125" s="19" t="s">
        <v>604</v>
      </c>
      <c r="M125" s="19"/>
      <c r="N125" s="19"/>
      <c r="O125" s="31"/>
      <c r="P125" s="31"/>
      <c r="Q125" s="31"/>
      <c r="R125" s="31"/>
      <c r="S125" s="31"/>
      <c r="T125" s="31"/>
      <c r="U125" s="135"/>
      <c r="V125" s="31"/>
      <c r="W125" s="31"/>
      <c r="X125" s="135"/>
      <c r="Y125" s="37"/>
      <c r="Z125" s="31"/>
      <c r="AA125" s="136"/>
      <c r="AB125" s="31"/>
      <c r="AC125" s="37"/>
    </row>
    <row r="126" spans="2:29" x14ac:dyDescent="0.35">
      <c r="B126" s="27" t="s">
        <v>301</v>
      </c>
      <c r="C126" s="19" t="s">
        <v>606</v>
      </c>
      <c r="D126" s="166">
        <v>0</v>
      </c>
      <c r="E126" s="166">
        <v>0</v>
      </c>
      <c r="F126" s="166">
        <v>0</v>
      </c>
      <c r="G126" s="166">
        <v>0</v>
      </c>
      <c r="H126" s="166">
        <v>0</v>
      </c>
      <c r="I126" s="166">
        <v>0</v>
      </c>
      <c r="J126" s="166">
        <v>0</v>
      </c>
      <c r="K126" s="166">
        <v>0</v>
      </c>
      <c r="L126" s="19" t="s">
        <v>606</v>
      </c>
      <c r="M126" s="19"/>
      <c r="N126" s="19"/>
      <c r="O126" s="31"/>
      <c r="P126" s="31"/>
      <c r="Q126" s="31"/>
      <c r="R126" s="31"/>
      <c r="S126" s="31"/>
      <c r="T126" s="31"/>
      <c r="U126" s="135"/>
      <c r="V126" s="31"/>
      <c r="W126" s="31"/>
      <c r="X126" s="135"/>
      <c r="Y126" s="37"/>
      <c r="Z126" s="31"/>
      <c r="AA126" s="136"/>
      <c r="AB126" s="31"/>
      <c r="AC126" s="37"/>
    </row>
    <row r="127" spans="2:29" x14ac:dyDescent="0.35">
      <c r="B127" s="27" t="s">
        <v>301</v>
      </c>
      <c r="C127" s="19" t="s">
        <v>608</v>
      </c>
      <c r="D127" s="166">
        <f t="shared" ref="D127:K127" si="31">D125</f>
        <v>3.6579192663078092E-4</v>
      </c>
      <c r="E127" s="166">
        <f t="shared" si="31"/>
        <v>1.3603831982136484E-4</v>
      </c>
      <c r="F127" s="166">
        <f t="shared" si="31"/>
        <v>4.0237111929385903E-4</v>
      </c>
      <c r="G127" s="166">
        <f t="shared" si="31"/>
        <v>1.4964215180350134E-4</v>
      </c>
      <c r="H127" s="166">
        <f t="shared" si="31"/>
        <v>4.0275732494791868E-4</v>
      </c>
      <c r="I127" s="166">
        <f t="shared" si="31"/>
        <v>1.4978578200542433E-4</v>
      </c>
      <c r="J127" s="166">
        <f t="shared" si="31"/>
        <v>4.4303305744271049E-4</v>
      </c>
      <c r="K127" s="166">
        <f t="shared" si="31"/>
        <v>1.6476436020596678E-4</v>
      </c>
      <c r="L127" s="19" t="s">
        <v>608</v>
      </c>
      <c r="M127" s="19"/>
      <c r="N127" s="19"/>
      <c r="O127" s="31"/>
      <c r="P127" s="31"/>
      <c r="Q127" s="31"/>
      <c r="R127" s="31"/>
      <c r="S127" s="31"/>
      <c r="T127" s="31"/>
      <c r="U127" s="135"/>
      <c r="V127" s="31"/>
      <c r="W127" s="31"/>
      <c r="X127" s="135"/>
      <c r="Y127" s="37"/>
      <c r="Z127" s="31"/>
      <c r="AA127" s="136"/>
      <c r="AB127" s="31"/>
      <c r="AC127" s="37"/>
    </row>
    <row r="128" spans="2:29" s="600" customFormat="1" x14ac:dyDescent="0.35">
      <c r="B128" s="2651" t="s">
        <v>3383</v>
      </c>
      <c r="C128" s="2550" t="s">
        <v>612</v>
      </c>
      <c r="D128" s="2666">
        <f>D96/D122*D69</f>
        <v>2.7908569217015142E-4</v>
      </c>
      <c r="E128" s="2666">
        <f t="shared" ref="E128:K128" si="32">E96/E122*E69</f>
        <v>1.0379219956741171E-4</v>
      </c>
      <c r="F128" s="2666">
        <f t="shared" si="32"/>
        <v>3.0699426138716657E-4</v>
      </c>
      <c r="G128" s="2666">
        <f t="shared" si="32"/>
        <v>1.1417141952415287E-4</v>
      </c>
      <c r="H128" s="2666">
        <f t="shared" si="32"/>
        <v>3.0728892199730095E-4</v>
      </c>
      <c r="I128" s="2666">
        <f t="shared" si="32"/>
        <v>1.1428100404858303E-4</v>
      </c>
      <c r="J128" s="2666">
        <f t="shared" si="32"/>
        <v>3.3801781419703111E-4</v>
      </c>
      <c r="K128" s="2666">
        <f t="shared" si="32"/>
        <v>1.2570910445344134E-4</v>
      </c>
      <c r="L128" s="2550" t="s">
        <v>612</v>
      </c>
      <c r="M128" s="127"/>
      <c r="N128" s="127"/>
      <c r="O128" s="234"/>
      <c r="P128" s="234"/>
      <c r="Q128" s="238"/>
      <c r="R128" s="234"/>
      <c r="S128" s="234"/>
      <c r="T128" s="234"/>
      <c r="U128" s="135"/>
      <c r="V128" s="234"/>
      <c r="W128" s="234"/>
      <c r="X128" s="135"/>
      <c r="Y128" s="37"/>
      <c r="Z128" s="234"/>
      <c r="AA128" s="136"/>
      <c r="AB128" s="234"/>
      <c r="AC128" s="37"/>
    </row>
    <row r="129" spans="1:29" s="600" customFormat="1" x14ac:dyDescent="0.35">
      <c r="B129" s="2651" t="s">
        <v>3383</v>
      </c>
      <c r="C129" s="2550" t="s">
        <v>604</v>
      </c>
      <c r="D129" s="2666">
        <f>D128</f>
        <v>2.7908569217015142E-4</v>
      </c>
      <c r="E129" s="2666">
        <f t="shared" ref="E129:K129" si="33">E128</f>
        <v>1.0379219956741171E-4</v>
      </c>
      <c r="F129" s="2666">
        <f t="shared" si="33"/>
        <v>3.0699426138716657E-4</v>
      </c>
      <c r="G129" s="2666">
        <f t="shared" si="33"/>
        <v>1.1417141952415287E-4</v>
      </c>
      <c r="H129" s="2666">
        <f t="shared" si="33"/>
        <v>3.0728892199730095E-4</v>
      </c>
      <c r="I129" s="2666">
        <f t="shared" si="33"/>
        <v>1.1428100404858303E-4</v>
      </c>
      <c r="J129" s="2666">
        <f t="shared" si="33"/>
        <v>3.3801781419703111E-4</v>
      </c>
      <c r="K129" s="2666">
        <f t="shared" si="33"/>
        <v>1.2570910445344134E-4</v>
      </c>
      <c r="L129" s="2550" t="s">
        <v>604</v>
      </c>
      <c r="M129" s="127"/>
      <c r="N129" s="127"/>
      <c r="O129" s="234"/>
      <c r="P129" s="234"/>
      <c r="Q129" s="234"/>
      <c r="R129" s="234"/>
      <c r="S129" s="234"/>
      <c r="T129" s="234"/>
      <c r="U129" s="135"/>
      <c r="V129" s="234"/>
      <c r="W129" s="234"/>
      <c r="X129" s="135"/>
      <c r="Y129" s="37"/>
      <c r="Z129" s="234"/>
      <c r="AA129" s="136"/>
      <c r="AB129" s="234"/>
      <c r="AC129" s="37"/>
    </row>
    <row r="130" spans="1:29" s="600" customFormat="1" x14ac:dyDescent="0.35">
      <c r="B130" s="2651" t="s">
        <v>3383</v>
      </c>
      <c r="C130" s="2550" t="s">
        <v>606</v>
      </c>
      <c r="D130" s="2666">
        <v>0</v>
      </c>
      <c r="E130" s="2666">
        <v>1</v>
      </c>
      <c r="F130" s="2666">
        <v>2</v>
      </c>
      <c r="G130" s="2666">
        <v>3</v>
      </c>
      <c r="H130" s="2666">
        <v>4</v>
      </c>
      <c r="I130" s="2666">
        <v>5</v>
      </c>
      <c r="J130" s="2666">
        <v>6</v>
      </c>
      <c r="K130" s="2666">
        <v>7</v>
      </c>
      <c r="L130" s="2550" t="s">
        <v>606</v>
      </c>
      <c r="M130" s="127"/>
      <c r="N130" s="127"/>
      <c r="O130" s="234"/>
      <c r="P130" s="234"/>
      <c r="Q130" s="234"/>
      <c r="R130" s="234"/>
      <c r="S130" s="234"/>
      <c r="T130" s="234"/>
      <c r="U130" s="135"/>
      <c r="V130" s="234"/>
      <c r="W130" s="234"/>
      <c r="X130" s="135"/>
      <c r="Y130" s="37"/>
      <c r="Z130" s="234"/>
      <c r="AA130" s="136"/>
      <c r="AB130" s="234"/>
      <c r="AC130" s="37"/>
    </row>
    <row r="131" spans="1:29" s="600" customFormat="1" x14ac:dyDescent="0.35">
      <c r="B131" s="2651" t="s">
        <v>3383</v>
      </c>
      <c r="C131" s="2550" t="s">
        <v>608</v>
      </c>
      <c r="D131" s="2666">
        <f>D129</f>
        <v>2.7908569217015142E-4</v>
      </c>
      <c r="E131" s="2666">
        <f t="shared" ref="E131:K131" si="34">E129</f>
        <v>1.0379219956741171E-4</v>
      </c>
      <c r="F131" s="2666">
        <f t="shared" si="34"/>
        <v>3.0699426138716657E-4</v>
      </c>
      <c r="G131" s="2666">
        <f t="shared" si="34"/>
        <v>1.1417141952415287E-4</v>
      </c>
      <c r="H131" s="2666">
        <f t="shared" si="34"/>
        <v>3.0728892199730095E-4</v>
      </c>
      <c r="I131" s="2666">
        <f t="shared" si="34"/>
        <v>1.1428100404858303E-4</v>
      </c>
      <c r="J131" s="2666">
        <f t="shared" si="34"/>
        <v>3.3801781419703111E-4</v>
      </c>
      <c r="K131" s="2666">
        <f t="shared" si="34"/>
        <v>1.2570910445344134E-4</v>
      </c>
      <c r="L131" s="2550" t="s">
        <v>608</v>
      </c>
      <c r="M131" s="127"/>
      <c r="N131" s="127"/>
      <c r="O131" s="234"/>
      <c r="P131" s="234"/>
      <c r="Q131" s="234"/>
      <c r="R131" s="234"/>
      <c r="S131" s="234"/>
      <c r="T131" s="234"/>
      <c r="U131" s="135"/>
      <c r="V131" s="234"/>
      <c r="W131" s="234"/>
      <c r="X131" s="135"/>
      <c r="Y131" s="37"/>
      <c r="Z131" s="234"/>
      <c r="AA131" s="136"/>
      <c r="AB131" s="234"/>
      <c r="AC131" s="37"/>
    </row>
    <row r="132" spans="1:29" x14ac:dyDescent="0.35">
      <c r="A132" s="27"/>
      <c r="C132" s="19"/>
      <c r="D132" s="19"/>
      <c r="E132" s="19"/>
      <c r="F132" s="19"/>
      <c r="G132" s="19"/>
      <c r="H132" s="19"/>
      <c r="I132" s="19"/>
      <c r="J132" s="19"/>
      <c r="K132" s="19"/>
      <c r="L132" s="19"/>
      <c r="M132" s="19"/>
      <c r="N132" s="19"/>
      <c r="O132" s="31"/>
      <c r="P132" s="31"/>
      <c r="Q132" s="31"/>
      <c r="R132" s="31"/>
      <c r="S132" s="31"/>
      <c r="T132" s="31"/>
      <c r="U132" s="135"/>
      <c r="V132" s="31"/>
      <c r="W132" s="31"/>
      <c r="X132" s="135"/>
      <c r="Y132" s="37"/>
      <c r="Z132" s="31"/>
      <c r="AA132" s="136"/>
      <c r="AB132" s="31"/>
      <c r="AC132" s="37"/>
    </row>
    <row r="133" spans="1:29" x14ac:dyDescent="0.35">
      <c r="A133" s="27"/>
      <c r="C133" s="2761" t="s">
        <v>3917</v>
      </c>
      <c r="D133" s="19"/>
      <c r="E133" s="19"/>
      <c r="F133" s="19"/>
      <c r="G133" s="19"/>
      <c r="H133" s="19"/>
      <c r="I133" s="19"/>
      <c r="J133" s="19"/>
      <c r="K133" s="19"/>
      <c r="L133" s="19"/>
      <c r="M133" s="19"/>
      <c r="N133" s="19"/>
      <c r="O133" s="31"/>
      <c r="P133" s="31"/>
      <c r="Q133" s="31"/>
      <c r="R133" s="31"/>
      <c r="S133" s="31"/>
      <c r="T133" s="31"/>
      <c r="U133" s="135"/>
      <c r="V133" s="31"/>
      <c r="W133" s="31"/>
      <c r="X133" s="135"/>
      <c r="Y133" s="37"/>
      <c r="Z133" s="31"/>
      <c r="AA133" s="136"/>
      <c r="AB133" s="31"/>
      <c r="AC133" s="37"/>
    </row>
    <row r="134" spans="1:29" x14ac:dyDescent="0.35">
      <c r="A134" s="27"/>
      <c r="C134" s="19"/>
      <c r="D134" s="19"/>
      <c r="E134" s="19"/>
      <c r="F134" s="19"/>
      <c r="G134" s="19"/>
      <c r="H134" s="19"/>
      <c r="I134" s="19"/>
      <c r="J134" s="19"/>
      <c r="K134" s="19"/>
      <c r="L134" s="19"/>
      <c r="M134" s="19"/>
      <c r="N134" s="19"/>
      <c r="O134" s="31"/>
      <c r="P134" s="31"/>
      <c r="Q134" s="31"/>
      <c r="R134" s="31"/>
      <c r="S134" s="31"/>
      <c r="T134" s="31"/>
      <c r="U134" s="135"/>
      <c r="V134" s="31"/>
      <c r="W134" s="31"/>
      <c r="X134" s="135"/>
      <c r="Y134" s="37"/>
      <c r="Z134" s="31"/>
      <c r="AA134" s="136"/>
      <c r="AB134" s="31"/>
      <c r="AC134" s="37"/>
    </row>
    <row r="135" spans="1:29" x14ac:dyDescent="0.35">
      <c r="A135" s="27"/>
      <c r="C135" s="19" t="s">
        <v>616</v>
      </c>
      <c r="D135" s="28">
        <v>0.72</v>
      </c>
      <c r="E135" s="28">
        <v>0.72</v>
      </c>
      <c r="F135" s="28">
        <v>0.72</v>
      </c>
      <c r="G135" s="28">
        <v>0.72</v>
      </c>
      <c r="H135" s="28">
        <v>0.72</v>
      </c>
      <c r="I135" s="28">
        <v>0.72</v>
      </c>
      <c r="J135" s="28">
        <v>0.72</v>
      </c>
      <c r="K135" s="28">
        <v>0.72</v>
      </c>
      <c r="L135" s="19"/>
      <c r="M135" s="19"/>
      <c r="N135" s="19"/>
      <c r="O135" s="31"/>
      <c r="P135" s="31"/>
      <c r="Q135" s="31"/>
      <c r="R135" s="31"/>
      <c r="S135" s="31"/>
      <c r="T135" s="31"/>
      <c r="U135" s="135"/>
      <c r="V135" s="31"/>
      <c r="W135" s="31"/>
      <c r="X135" s="135"/>
      <c r="Y135" s="37"/>
      <c r="Z135" s="31"/>
      <c r="AA135" s="136"/>
      <c r="AB135" s="31"/>
      <c r="AC135" s="37"/>
    </row>
    <row r="136" spans="1:29" s="600" customFormat="1" x14ac:dyDescent="0.35">
      <c r="A136" s="27"/>
      <c r="C136" s="2552" t="s">
        <v>3396</v>
      </c>
      <c r="D136" s="2581">
        <v>0.76500000000000001</v>
      </c>
      <c r="E136" s="2581">
        <v>0.76500000000000001</v>
      </c>
      <c r="F136" s="2581">
        <v>0.76500000000000001</v>
      </c>
      <c r="G136" s="2581">
        <v>0.76500000000000001</v>
      </c>
      <c r="H136" s="2581">
        <v>0.76500000000000001</v>
      </c>
      <c r="I136" s="2581">
        <v>0.76500000000000001</v>
      </c>
      <c r="J136" s="2581">
        <v>0.76500000000000001</v>
      </c>
      <c r="K136" s="2581">
        <v>0.76500000000000001</v>
      </c>
      <c r="L136" s="127"/>
      <c r="M136" s="127"/>
      <c r="N136" s="127"/>
      <c r="O136" s="234"/>
      <c r="P136" s="234"/>
      <c r="Q136" s="234"/>
      <c r="R136" s="234"/>
      <c r="S136" s="234"/>
      <c r="T136" s="234"/>
      <c r="U136" s="135"/>
      <c r="V136" s="234"/>
      <c r="W136" s="234"/>
      <c r="X136" s="135"/>
      <c r="Y136" s="37"/>
      <c r="Z136" s="234"/>
      <c r="AA136" s="136"/>
      <c r="AB136" s="234"/>
      <c r="AC136" s="37"/>
    </row>
    <row r="137" spans="1:29" x14ac:dyDescent="0.35">
      <c r="A137" s="27"/>
      <c r="C137" s="2552" t="s">
        <v>3394</v>
      </c>
      <c r="D137" s="2649">
        <v>0.72</v>
      </c>
      <c r="E137" s="2649">
        <v>0.72</v>
      </c>
      <c r="F137" s="2649">
        <v>0.72</v>
      </c>
      <c r="G137" s="2649">
        <v>0.72</v>
      </c>
      <c r="H137" s="2649">
        <v>0.72</v>
      </c>
      <c r="I137" s="2649">
        <v>0.72</v>
      </c>
      <c r="J137" s="2649">
        <v>0.72</v>
      </c>
      <c r="K137" s="2649">
        <v>0.72</v>
      </c>
      <c r="L137" s="19"/>
      <c r="M137" s="19"/>
      <c r="N137" s="19"/>
      <c r="O137" s="31"/>
      <c r="P137" s="31"/>
      <c r="Q137" s="31"/>
      <c r="R137" s="31"/>
      <c r="S137" s="31"/>
      <c r="T137" s="31"/>
      <c r="U137" s="135"/>
      <c r="V137" s="31"/>
      <c r="W137" s="31"/>
      <c r="X137" s="135"/>
      <c r="Y137" s="37"/>
      <c r="Z137" s="31"/>
      <c r="AA137" s="136"/>
      <c r="AB137" s="31"/>
      <c r="AC137" s="37"/>
    </row>
    <row r="138" spans="1:29" s="600" customFormat="1" x14ac:dyDescent="0.35">
      <c r="A138" s="27"/>
      <c r="C138" s="2761" t="s">
        <v>3912</v>
      </c>
      <c r="D138" s="2762">
        <v>1</v>
      </c>
      <c r="E138" s="2762">
        <v>1</v>
      </c>
      <c r="F138" s="2762">
        <v>1.1000000000000001</v>
      </c>
      <c r="G138" s="2762">
        <v>1.1000000000000001</v>
      </c>
      <c r="H138" s="2762">
        <v>1</v>
      </c>
      <c r="I138" s="2762">
        <v>1</v>
      </c>
      <c r="J138" s="2762">
        <v>1.1000000000000001</v>
      </c>
      <c r="K138" s="2762">
        <v>1.1000000000000001</v>
      </c>
      <c r="L138" s="127"/>
      <c r="M138" s="127"/>
      <c r="N138" s="127"/>
      <c r="O138" s="234"/>
      <c r="P138" s="234"/>
      <c r="Q138" s="234"/>
      <c r="R138" s="234"/>
      <c r="S138" s="234"/>
      <c r="T138" s="234"/>
      <c r="U138" s="135"/>
      <c r="V138" s="234"/>
      <c r="W138" s="234"/>
      <c r="X138" s="135"/>
      <c r="Y138" s="37"/>
      <c r="Z138" s="234"/>
      <c r="AA138" s="136"/>
      <c r="AB138" s="234"/>
      <c r="AC138" s="37"/>
    </row>
    <row r="139" spans="1:29" s="600" customFormat="1" x14ac:dyDescent="0.35">
      <c r="A139" s="27"/>
      <c r="C139" s="2761" t="s">
        <v>3918</v>
      </c>
      <c r="D139" s="2762">
        <v>1</v>
      </c>
      <c r="E139" s="2762">
        <v>1</v>
      </c>
      <c r="F139" s="2762">
        <v>1</v>
      </c>
      <c r="G139" s="2762">
        <v>1</v>
      </c>
      <c r="H139" s="2762">
        <v>1</v>
      </c>
      <c r="I139" s="2762">
        <v>1</v>
      </c>
      <c r="J139" s="2762">
        <v>1</v>
      </c>
      <c r="K139" s="2762">
        <v>1</v>
      </c>
      <c r="L139" s="127"/>
      <c r="M139" s="127"/>
      <c r="N139" s="127"/>
      <c r="O139" s="234"/>
      <c r="P139" s="234"/>
      <c r="Q139" s="234"/>
      <c r="R139" s="234"/>
      <c r="S139" s="234"/>
      <c r="T139" s="234"/>
      <c r="U139" s="135"/>
      <c r="V139" s="234"/>
      <c r="W139" s="234"/>
      <c r="X139" s="135"/>
      <c r="Y139" s="37"/>
      <c r="Z139" s="234"/>
      <c r="AA139" s="136"/>
      <c r="AB139" s="234"/>
      <c r="AC139" s="37"/>
    </row>
    <row r="140" spans="1:29" x14ac:dyDescent="0.35">
      <c r="A140" s="27"/>
      <c r="C140" s="2763" t="s">
        <v>418</v>
      </c>
      <c r="D140" s="2764">
        <f xml:space="preserve"> (((((1/D77 - 1/D78) * D80 * (1-D81)) )) * 24 * D100) / (D$135 * 100067) * D137 * D138 * D139</f>
        <v>0.16964403533842851</v>
      </c>
      <c r="E140" s="2764">
        <f t="shared" ref="E140:K140" si="35" xml:space="preserve"> (((((1/E77 - 1/E78) * E80 * (1-E81)) )) * 24 * E100) / (E$135 * 100067) * E137 * E138 * E139</f>
        <v>6.3090756944043674E-2</v>
      </c>
      <c r="F140" s="2764">
        <f t="shared" si="35"/>
        <v>0.18660843887227138</v>
      </c>
      <c r="G140" s="2764">
        <f t="shared" si="35"/>
        <v>6.9399832638448053E-2</v>
      </c>
      <c r="H140" s="2764">
        <f t="shared" si="35"/>
        <v>0.16964403533842851</v>
      </c>
      <c r="I140" s="2764">
        <f t="shared" si="35"/>
        <v>6.3090756944043674E-2</v>
      </c>
      <c r="J140" s="2764">
        <f t="shared" si="35"/>
        <v>0.18660843887227138</v>
      </c>
      <c r="K140" s="2764">
        <f t="shared" si="35"/>
        <v>6.9399832638448053E-2</v>
      </c>
      <c r="L140" s="19"/>
      <c r="M140" s="19"/>
      <c r="N140" s="19"/>
      <c r="O140" s="31"/>
      <c r="P140" s="31"/>
      <c r="Q140" s="31"/>
      <c r="R140" s="31"/>
      <c r="S140" s="31"/>
      <c r="T140" s="31"/>
      <c r="U140" s="135"/>
      <c r="V140" s="31"/>
      <c r="W140" s="31"/>
      <c r="X140" s="135"/>
      <c r="Y140" s="37"/>
      <c r="Z140" s="31"/>
      <c r="AA140" s="136"/>
      <c r="AB140" s="31"/>
      <c r="AC140" s="37"/>
    </row>
    <row r="141" spans="1:29" s="600" customFormat="1" x14ac:dyDescent="0.35">
      <c r="A141" s="27"/>
      <c r="C141" s="2761" t="s">
        <v>3395</v>
      </c>
      <c r="D141" s="2764">
        <f xml:space="preserve"> (((((1/D77 - 1/D78) * D80 * (1-D81)) )) * 24 * D100) / (D$136 * 100067) * D137 * D138 * D139</f>
        <v>0.15966497443616801</v>
      </c>
      <c r="E141" s="2764">
        <f t="shared" ref="E141:K141" si="36" xml:space="preserve"> (((((1/E77 - 1/E78) * E80 * (1-E81)) )) * 24 * E100) / (E$136 * 100067) * E137 * E138 * E139</f>
        <v>5.9379535947335207E-2</v>
      </c>
      <c r="F141" s="2764">
        <f t="shared" si="36"/>
        <v>0.17563147187978481</v>
      </c>
      <c r="G141" s="2764">
        <f t="shared" si="36"/>
        <v>6.531748954206873E-2</v>
      </c>
      <c r="H141" s="2764">
        <f t="shared" si="36"/>
        <v>0.15966497443616801</v>
      </c>
      <c r="I141" s="2764">
        <f t="shared" si="36"/>
        <v>5.9379535947335207E-2</v>
      </c>
      <c r="J141" s="2764">
        <f t="shared" si="36"/>
        <v>0.17563147187978481</v>
      </c>
      <c r="K141" s="2764">
        <f t="shared" si="36"/>
        <v>6.531748954206873E-2</v>
      </c>
      <c r="L141" s="127"/>
      <c r="M141" s="127"/>
      <c r="N141" s="127"/>
      <c r="O141" s="234"/>
      <c r="P141" s="234"/>
      <c r="Q141" s="234"/>
      <c r="R141" s="234"/>
      <c r="S141" s="234"/>
      <c r="T141" s="234"/>
      <c r="U141" s="135"/>
      <c r="V141" s="234"/>
      <c r="W141" s="234"/>
      <c r="X141" s="135"/>
      <c r="Y141" s="37"/>
      <c r="Z141" s="234"/>
      <c r="AA141" s="136"/>
      <c r="AB141" s="234"/>
      <c r="AC141" s="37"/>
    </row>
    <row r="142" spans="1:29" x14ac:dyDescent="0.35">
      <c r="A142" s="27"/>
      <c r="C142" s="121" t="s">
        <v>410</v>
      </c>
      <c r="D142" s="141">
        <v>3.1399999999999997E-2</v>
      </c>
      <c r="E142" s="26">
        <v>3.1399999999999997E-2</v>
      </c>
      <c r="F142" s="26">
        <v>3.1399999999999997E-2</v>
      </c>
      <c r="G142" s="26">
        <v>3.1399999999999997E-2</v>
      </c>
      <c r="H142" s="26">
        <v>3.1399999999999997E-2</v>
      </c>
      <c r="I142" s="26">
        <v>3.1399999999999997E-2</v>
      </c>
      <c r="J142" s="26">
        <v>3.1399999999999997E-2</v>
      </c>
      <c r="K142" s="26">
        <v>3.1399999999999997E-2</v>
      </c>
      <c r="L142" s="19"/>
      <c r="M142" s="19"/>
      <c r="N142" s="19"/>
      <c r="O142" s="31"/>
      <c r="P142" s="31"/>
      <c r="Q142" s="31"/>
      <c r="R142" s="31"/>
      <c r="S142" s="31"/>
      <c r="T142" s="31"/>
      <c r="U142" s="135"/>
      <c r="V142" s="31"/>
      <c r="W142" s="31"/>
      <c r="X142" s="135"/>
      <c r="Y142" s="37"/>
      <c r="Z142" s="31"/>
      <c r="AA142" s="136"/>
      <c r="AB142" s="31"/>
      <c r="AC142" s="37"/>
    </row>
    <row r="143" spans="1:29" s="600" customFormat="1" x14ac:dyDescent="0.35">
      <c r="A143" s="27"/>
      <c r="C143" s="2552" t="s">
        <v>3391</v>
      </c>
      <c r="D143" s="2646">
        <v>1.07</v>
      </c>
      <c r="E143" s="2646">
        <v>1.07</v>
      </c>
      <c r="F143" s="2646">
        <v>1.07</v>
      </c>
      <c r="G143" s="2646">
        <v>1.07</v>
      </c>
      <c r="H143" s="2646">
        <v>1.07</v>
      </c>
      <c r="I143" s="2646">
        <v>1.07</v>
      </c>
      <c r="J143" s="2646">
        <v>1.07</v>
      </c>
      <c r="K143" s="2646">
        <v>1.07</v>
      </c>
      <c r="L143" s="127"/>
      <c r="M143" s="127"/>
      <c r="N143" s="127"/>
      <c r="O143" s="234"/>
      <c r="P143" s="234"/>
      <c r="Q143" s="234"/>
      <c r="R143" s="234"/>
      <c r="S143" s="234"/>
      <c r="T143" s="234"/>
      <c r="U143" s="135"/>
      <c r="V143" s="234"/>
      <c r="W143" s="234"/>
      <c r="X143" s="135"/>
      <c r="Y143" s="37"/>
      <c r="Z143" s="234"/>
      <c r="AA143" s="136"/>
      <c r="AB143" s="234"/>
      <c r="AC143" s="37"/>
    </row>
    <row r="144" spans="1:29" x14ac:dyDescent="0.35">
      <c r="A144" s="27"/>
      <c r="C144" s="2761" t="s">
        <v>3919</v>
      </c>
      <c r="D144" s="2764">
        <f>D140*D142*29.3*D143*D138</f>
        <v>0.16700121876950527</v>
      </c>
      <c r="E144" s="2764">
        <f t="shared" ref="E144:K144" si="37">E140*E142*29.3*E143*E138</f>
        <v>6.2107891277915196E-2</v>
      </c>
      <c r="F144" s="2764">
        <f t="shared" si="37"/>
        <v>0.20207147471110143</v>
      </c>
      <c r="G144" s="2764">
        <f t="shared" si="37"/>
        <v>7.5150548446277401E-2</v>
      </c>
      <c r="H144" s="2764">
        <f t="shared" si="37"/>
        <v>0.16700121876950527</v>
      </c>
      <c r="I144" s="2764">
        <f t="shared" si="37"/>
        <v>6.2107891277915196E-2</v>
      </c>
      <c r="J144" s="2764">
        <f t="shared" si="37"/>
        <v>0.20207147471110143</v>
      </c>
      <c r="K144" s="2764">
        <f t="shared" si="37"/>
        <v>7.5150548446277401E-2</v>
      </c>
      <c r="L144" s="19"/>
      <c r="M144" s="19"/>
      <c r="N144" s="19"/>
      <c r="O144" s="31"/>
      <c r="P144" s="31"/>
      <c r="Q144" s="31"/>
      <c r="R144" s="31"/>
      <c r="S144" s="31"/>
      <c r="T144" s="31"/>
      <c r="U144" s="135"/>
      <c r="V144" s="31"/>
      <c r="W144" s="31"/>
      <c r="X144" s="135"/>
      <c r="Y144" s="37"/>
      <c r="Z144" s="31"/>
      <c r="AA144" s="136"/>
      <c r="AB144" s="31"/>
      <c r="AC144" s="37"/>
    </row>
    <row r="145" spans="1:29" s="600" customFormat="1" x14ac:dyDescent="0.35">
      <c r="A145" s="27"/>
      <c r="C145" s="2761" t="s">
        <v>3920</v>
      </c>
      <c r="D145" s="2764">
        <f>D141*D142*29.3*D143*D138</f>
        <v>0.15717761766541674</v>
      </c>
      <c r="E145" s="2764">
        <f t="shared" ref="E145:K145" si="38">E141*E142*29.3*E143*E138</f>
        <v>5.845448590862605E-2</v>
      </c>
      <c r="F145" s="2764">
        <f t="shared" si="38"/>
        <v>0.19018491737515425</v>
      </c>
      <c r="G145" s="2764">
        <f t="shared" si="38"/>
        <v>7.072992794943754E-2</v>
      </c>
      <c r="H145" s="2764">
        <f t="shared" si="38"/>
        <v>0.15717761766541674</v>
      </c>
      <c r="I145" s="2764">
        <f t="shared" si="38"/>
        <v>5.845448590862605E-2</v>
      </c>
      <c r="J145" s="2764">
        <f t="shared" si="38"/>
        <v>0.19018491737515425</v>
      </c>
      <c r="K145" s="2764">
        <f t="shared" si="38"/>
        <v>7.072992794943754E-2</v>
      </c>
      <c r="L145" s="127"/>
      <c r="M145" s="127"/>
      <c r="N145" s="127"/>
      <c r="O145" s="234"/>
      <c r="P145" s="234"/>
      <c r="Q145" s="234"/>
      <c r="R145" s="234"/>
      <c r="S145" s="234"/>
      <c r="T145" s="234"/>
      <c r="U145" s="135"/>
      <c r="V145" s="234"/>
      <c r="W145" s="234"/>
      <c r="X145" s="135"/>
      <c r="Y145" s="37"/>
      <c r="Z145" s="234"/>
      <c r="AA145" s="136"/>
      <c r="AB145" s="234"/>
      <c r="AC145" s="37"/>
    </row>
    <row r="146" spans="1:29" x14ac:dyDescent="0.35">
      <c r="A146" s="2552" t="s">
        <v>3381</v>
      </c>
      <c r="C146" s="19"/>
      <c r="D146" s="26"/>
      <c r="E146" s="26"/>
      <c r="F146" s="26"/>
      <c r="G146" s="26"/>
      <c r="H146" s="26"/>
      <c r="I146" s="26"/>
      <c r="J146" s="26"/>
      <c r="K146" s="26"/>
      <c r="L146" s="19"/>
      <c r="M146" s="19"/>
      <c r="N146" s="19"/>
      <c r="O146" s="31"/>
      <c r="P146" s="31"/>
      <c r="Q146" s="31"/>
      <c r="R146" s="31"/>
      <c r="S146" s="31"/>
      <c r="T146" s="31"/>
      <c r="U146" s="135"/>
      <c r="V146" s="31"/>
      <c r="W146" s="31"/>
      <c r="X146" s="31"/>
      <c r="Y146" s="37"/>
      <c r="Z146" s="31"/>
      <c r="AA146" s="136"/>
      <c r="AB146" s="31"/>
      <c r="AC146" s="37"/>
    </row>
    <row r="147" spans="1:29" x14ac:dyDescent="0.35">
      <c r="A147" s="18" t="str">
        <f>B147&amp;"_"&amp;C147</f>
        <v>kWh_Gas Heat w/AC</v>
      </c>
      <c r="B147" s="236" t="s">
        <v>342</v>
      </c>
      <c r="C147" s="19" t="s">
        <v>602</v>
      </c>
      <c r="D147" s="26">
        <f>D113+D144</f>
        <v>0.55700121876950526</v>
      </c>
      <c r="E147" s="26">
        <f>E113+E144</f>
        <v>0.21210789127791518</v>
      </c>
      <c r="F147" s="26">
        <f t="shared" ref="F147:K147" si="39">F113+F144</f>
        <v>0.63207147471110137</v>
      </c>
      <c r="G147" s="26">
        <f t="shared" si="39"/>
        <v>0.23515054844627742</v>
      </c>
      <c r="H147" s="26">
        <f t="shared" si="39"/>
        <v>0.55700121876950526</v>
      </c>
      <c r="I147" s="26">
        <f t="shared" si="39"/>
        <v>0.21210789127791518</v>
      </c>
      <c r="J147" s="26">
        <f t="shared" si="39"/>
        <v>0.63207147471110137</v>
      </c>
      <c r="K147" s="26">
        <f t="shared" si="39"/>
        <v>0.23515054844627742</v>
      </c>
      <c r="L147" s="19"/>
      <c r="M147" s="19"/>
      <c r="N147" s="19"/>
      <c r="O147" s="31"/>
      <c r="P147" s="31"/>
      <c r="Q147" s="31"/>
      <c r="R147" s="31"/>
      <c r="S147" s="31"/>
      <c r="T147" s="31"/>
      <c r="U147" s="135"/>
      <c r="V147" s="31"/>
      <c r="W147" s="31"/>
      <c r="X147" s="31"/>
      <c r="Y147" s="37"/>
      <c r="Z147" s="31"/>
      <c r="AA147" s="136"/>
      <c r="AB147" s="31"/>
      <c r="AC147" s="37"/>
    </row>
    <row r="148" spans="1:29" x14ac:dyDescent="0.35">
      <c r="A148" s="18" t="str">
        <f t="shared" ref="A148:A158" si="40">B148&amp;"_"&amp;C148</f>
        <v>kWh_Heat pump</v>
      </c>
      <c r="B148" s="27" t="s">
        <v>342</v>
      </c>
      <c r="C148" s="19" t="s">
        <v>604</v>
      </c>
      <c r="D148" s="26">
        <f t="shared" ref="D148:K150" si="41">D114</f>
        <v>2.13</v>
      </c>
      <c r="E148" s="26">
        <f t="shared" si="41"/>
        <v>0.79</v>
      </c>
      <c r="F148" s="26">
        <f t="shared" si="41"/>
        <v>2.17</v>
      </c>
      <c r="G148" s="26">
        <f t="shared" si="41"/>
        <v>0.81</v>
      </c>
      <c r="H148" s="26">
        <f t="shared" si="41"/>
        <v>2.13</v>
      </c>
      <c r="I148" s="26">
        <f t="shared" si="41"/>
        <v>0.79</v>
      </c>
      <c r="J148" s="26">
        <f t="shared" si="41"/>
        <v>2.17</v>
      </c>
      <c r="K148" s="26">
        <f t="shared" si="41"/>
        <v>0.81</v>
      </c>
      <c r="L148" s="19"/>
      <c r="M148" s="19"/>
      <c r="N148" s="19"/>
      <c r="O148" s="31"/>
      <c r="P148" s="31"/>
      <c r="Q148" s="31"/>
      <c r="R148" s="31"/>
      <c r="S148" s="31"/>
      <c r="T148" s="31"/>
      <c r="U148" s="135"/>
      <c r="V148" s="31"/>
      <c r="W148" s="31"/>
      <c r="X148" s="31"/>
      <c r="Y148" s="37"/>
      <c r="Z148" s="31"/>
      <c r="AA148" s="136"/>
      <c r="AB148" s="31"/>
      <c r="AC148" s="37"/>
    </row>
    <row r="149" spans="1:29" x14ac:dyDescent="0.35">
      <c r="A149" s="18" t="str">
        <f t="shared" si="40"/>
        <v>kWh_Resistance, heat only</v>
      </c>
      <c r="B149" s="27" t="s">
        <v>342</v>
      </c>
      <c r="C149" s="121" t="s">
        <v>606</v>
      </c>
      <c r="D149" s="26">
        <f t="shared" si="41"/>
        <v>2.99</v>
      </c>
      <c r="E149" s="26">
        <f t="shared" si="41"/>
        <v>1.1100000000000001</v>
      </c>
      <c r="F149" s="26">
        <f t="shared" si="41"/>
        <v>2.99</v>
      </c>
      <c r="G149" s="26">
        <f t="shared" si="41"/>
        <v>1.1100000000000001</v>
      </c>
      <c r="H149" s="26">
        <f t="shared" si="41"/>
        <v>2.99</v>
      </c>
      <c r="I149" s="26">
        <f t="shared" si="41"/>
        <v>1.1100000000000001</v>
      </c>
      <c r="J149" s="26">
        <f t="shared" si="41"/>
        <v>2.99</v>
      </c>
      <c r="K149" s="26">
        <f t="shared" si="41"/>
        <v>1.1100000000000001</v>
      </c>
      <c r="L149" s="19"/>
      <c r="M149" s="19"/>
      <c r="N149" s="19"/>
      <c r="O149" s="31"/>
      <c r="P149" s="31"/>
      <c r="Q149" s="31"/>
      <c r="R149" s="31"/>
      <c r="S149" s="31"/>
      <c r="T149" s="31"/>
      <c r="U149" s="135"/>
      <c r="V149" s="31"/>
      <c r="W149" s="31"/>
      <c r="X149" s="31"/>
      <c r="Y149" s="37"/>
      <c r="Z149" s="31"/>
      <c r="AA149" s="136"/>
      <c r="AB149" s="31"/>
      <c r="AC149" s="37"/>
    </row>
    <row r="150" spans="1:29" x14ac:dyDescent="0.35">
      <c r="A150" s="18" t="str">
        <f t="shared" si="40"/>
        <v>kWh_Resistance w/ AC</v>
      </c>
      <c r="B150" s="27" t="s">
        <v>342</v>
      </c>
      <c r="C150" s="19" t="s">
        <v>608</v>
      </c>
      <c r="D150" s="26">
        <f t="shared" si="41"/>
        <v>3.38</v>
      </c>
      <c r="E150" s="26">
        <f t="shared" si="41"/>
        <v>1.26</v>
      </c>
      <c r="F150" s="26">
        <f t="shared" si="41"/>
        <v>3.42</v>
      </c>
      <c r="G150" s="26">
        <f t="shared" si="41"/>
        <v>1.27</v>
      </c>
      <c r="H150" s="26">
        <f t="shared" si="41"/>
        <v>3.38</v>
      </c>
      <c r="I150" s="26">
        <f t="shared" si="41"/>
        <v>1.26</v>
      </c>
      <c r="J150" s="26">
        <f t="shared" si="41"/>
        <v>3.42</v>
      </c>
      <c r="K150" s="26">
        <f t="shared" si="41"/>
        <v>1.27</v>
      </c>
      <c r="L150" s="19"/>
      <c r="M150" s="19"/>
      <c r="N150" s="19"/>
      <c r="O150" s="31"/>
      <c r="P150" s="31"/>
      <c r="Q150" s="31"/>
      <c r="R150" s="31"/>
      <c r="S150" s="31"/>
      <c r="T150" s="31"/>
      <c r="U150" s="31"/>
      <c r="V150" s="31"/>
      <c r="W150" s="31"/>
      <c r="X150" s="31"/>
      <c r="Y150" s="31"/>
      <c r="Z150" s="31"/>
      <c r="AA150" s="31"/>
      <c r="AB150" s="31"/>
      <c r="AC150" s="31"/>
    </row>
    <row r="151" spans="1:29" x14ac:dyDescent="0.35">
      <c r="A151" s="18" t="str">
        <f t="shared" si="40"/>
        <v>kW_Gas Heat w/AC</v>
      </c>
      <c r="B151" s="502" t="s">
        <v>301</v>
      </c>
      <c r="C151" s="500" t="s">
        <v>602</v>
      </c>
      <c r="D151" s="501">
        <f t="shared" ref="D151:K154" si="42">D124</f>
        <v>3.6579192663078092E-4</v>
      </c>
      <c r="E151" s="501">
        <f t="shared" si="42"/>
        <v>1.3603831982136484E-4</v>
      </c>
      <c r="F151" s="501">
        <f t="shared" si="42"/>
        <v>4.0237111929385903E-4</v>
      </c>
      <c r="G151" s="501">
        <f t="shared" si="42"/>
        <v>1.4964215180350134E-4</v>
      </c>
      <c r="H151" s="501">
        <f t="shared" si="42"/>
        <v>4.0275732494791868E-4</v>
      </c>
      <c r="I151" s="501">
        <f t="shared" si="42"/>
        <v>1.4978578200542433E-4</v>
      </c>
      <c r="J151" s="501">
        <f t="shared" si="42"/>
        <v>4.4303305744271049E-4</v>
      </c>
      <c r="K151" s="501">
        <f t="shared" si="42"/>
        <v>1.6476436020596678E-4</v>
      </c>
      <c r="L151" s="19"/>
      <c r="M151" s="19"/>
      <c r="N151" s="19"/>
      <c r="O151" s="31"/>
      <c r="P151" s="31"/>
      <c r="Q151" s="31"/>
      <c r="R151" s="31"/>
      <c r="S151" s="31"/>
      <c r="T151" s="31"/>
      <c r="U151" s="31"/>
      <c r="V151" s="31"/>
      <c r="W151" s="31"/>
      <c r="X151" s="31"/>
      <c r="Y151" s="31"/>
      <c r="Z151" s="31"/>
      <c r="AA151" s="31"/>
      <c r="AB151" s="31"/>
      <c r="AC151" s="31"/>
    </row>
    <row r="152" spans="1:29" x14ac:dyDescent="0.35">
      <c r="A152" s="18" t="str">
        <f t="shared" si="40"/>
        <v>kW_Heat pump</v>
      </c>
      <c r="B152" s="499" t="s">
        <v>301</v>
      </c>
      <c r="C152" s="500" t="s">
        <v>604</v>
      </c>
      <c r="D152" s="501">
        <f t="shared" si="42"/>
        <v>3.6579192663078092E-4</v>
      </c>
      <c r="E152" s="501">
        <f t="shared" si="42"/>
        <v>1.3603831982136484E-4</v>
      </c>
      <c r="F152" s="501">
        <f t="shared" si="42"/>
        <v>4.0237111929385903E-4</v>
      </c>
      <c r="G152" s="501">
        <f t="shared" si="42"/>
        <v>1.4964215180350134E-4</v>
      </c>
      <c r="H152" s="501">
        <f t="shared" si="42"/>
        <v>4.0275732494791868E-4</v>
      </c>
      <c r="I152" s="501">
        <f t="shared" si="42"/>
        <v>1.4978578200542433E-4</v>
      </c>
      <c r="J152" s="501">
        <f t="shared" si="42"/>
        <v>4.4303305744271049E-4</v>
      </c>
      <c r="K152" s="501">
        <f t="shared" si="42"/>
        <v>1.6476436020596678E-4</v>
      </c>
      <c r="L152" s="19"/>
      <c r="M152" s="19"/>
      <c r="N152" s="19"/>
      <c r="O152" s="31"/>
      <c r="P152" s="31"/>
      <c r="Q152" s="31"/>
      <c r="R152" s="31"/>
      <c r="S152" s="31"/>
      <c r="T152" s="31"/>
      <c r="U152" s="31"/>
      <c r="V152" s="31"/>
      <c r="W152" s="31"/>
      <c r="X152" s="31"/>
      <c r="Y152" s="31"/>
      <c r="Z152" s="31"/>
      <c r="AA152" s="31"/>
      <c r="AB152" s="31"/>
      <c r="AC152" s="31"/>
    </row>
    <row r="153" spans="1:29" x14ac:dyDescent="0.35">
      <c r="A153" s="18" t="str">
        <f t="shared" si="40"/>
        <v>kW_Resistance, heat only</v>
      </c>
      <c r="B153" s="499" t="s">
        <v>301</v>
      </c>
      <c r="C153" s="500" t="s">
        <v>606</v>
      </c>
      <c r="D153" s="501">
        <f t="shared" si="42"/>
        <v>0</v>
      </c>
      <c r="E153" s="501">
        <f t="shared" si="42"/>
        <v>0</v>
      </c>
      <c r="F153" s="501">
        <f t="shared" si="42"/>
        <v>0</v>
      </c>
      <c r="G153" s="501">
        <f t="shared" si="42"/>
        <v>0</v>
      </c>
      <c r="H153" s="501">
        <f t="shared" si="42"/>
        <v>0</v>
      </c>
      <c r="I153" s="501">
        <f t="shared" si="42"/>
        <v>0</v>
      </c>
      <c r="J153" s="501">
        <f t="shared" si="42"/>
        <v>0</v>
      </c>
      <c r="K153" s="501">
        <f t="shared" si="42"/>
        <v>0</v>
      </c>
      <c r="L153" s="19"/>
      <c r="M153" s="19"/>
      <c r="N153" s="19"/>
      <c r="O153" s="31"/>
      <c r="P153" s="31"/>
      <c r="Q153" s="31"/>
      <c r="R153" s="31"/>
      <c r="S153" s="31"/>
      <c r="T153" s="31"/>
      <c r="U153" s="31"/>
      <c r="V153" s="31"/>
      <c r="W153" s="31"/>
      <c r="X153" s="31"/>
      <c r="Y153" s="31"/>
      <c r="Z153" s="31"/>
      <c r="AA153" s="31"/>
      <c r="AB153" s="31"/>
      <c r="AC153" s="31"/>
    </row>
    <row r="154" spans="1:29" x14ac:dyDescent="0.35">
      <c r="A154" s="18" t="str">
        <f t="shared" si="40"/>
        <v>kW_Resistance w/ AC</v>
      </c>
      <c r="B154" s="499" t="s">
        <v>301</v>
      </c>
      <c r="C154" s="500" t="s">
        <v>608</v>
      </c>
      <c r="D154" s="501">
        <f t="shared" si="42"/>
        <v>3.6579192663078092E-4</v>
      </c>
      <c r="E154" s="501">
        <f t="shared" si="42"/>
        <v>1.3603831982136484E-4</v>
      </c>
      <c r="F154" s="501">
        <f t="shared" si="42"/>
        <v>4.0237111929385903E-4</v>
      </c>
      <c r="G154" s="501">
        <f t="shared" si="42"/>
        <v>1.4964215180350134E-4</v>
      </c>
      <c r="H154" s="501">
        <f t="shared" si="42"/>
        <v>4.0275732494791868E-4</v>
      </c>
      <c r="I154" s="501">
        <f t="shared" si="42"/>
        <v>1.4978578200542433E-4</v>
      </c>
      <c r="J154" s="501">
        <f t="shared" si="42"/>
        <v>4.4303305744271049E-4</v>
      </c>
      <c r="K154" s="501">
        <f t="shared" si="42"/>
        <v>1.6476436020596678E-4</v>
      </c>
      <c r="L154" s="19"/>
      <c r="M154" s="19"/>
      <c r="N154" s="19"/>
      <c r="O154" s="31"/>
      <c r="P154" s="31"/>
      <c r="Q154" s="31"/>
      <c r="R154" s="31"/>
      <c r="S154" s="31"/>
      <c r="T154" s="31"/>
      <c r="U154" s="31"/>
      <c r="V154" s="31"/>
      <c r="W154" s="31"/>
      <c r="X154" s="31"/>
      <c r="Y154" s="31"/>
      <c r="Z154" s="31"/>
      <c r="AA154" s="31"/>
      <c r="AB154" s="31"/>
      <c r="AC154" s="31"/>
    </row>
    <row r="155" spans="1:29" x14ac:dyDescent="0.35">
      <c r="A155" s="18" t="str">
        <f t="shared" si="40"/>
        <v>therm_Gas Heat w/AC</v>
      </c>
      <c r="B155" s="236" t="s">
        <v>418</v>
      </c>
      <c r="C155" s="19" t="s">
        <v>602</v>
      </c>
      <c r="D155" s="498">
        <f t="shared" ref="D155:K155" si="43">D140</f>
        <v>0.16964403533842851</v>
      </c>
      <c r="E155" s="498">
        <f t="shared" si="43"/>
        <v>6.3090756944043674E-2</v>
      </c>
      <c r="F155" s="498">
        <f t="shared" si="43"/>
        <v>0.18660843887227138</v>
      </c>
      <c r="G155" s="498">
        <f t="shared" si="43"/>
        <v>6.9399832638448053E-2</v>
      </c>
      <c r="H155" s="498">
        <f t="shared" si="43"/>
        <v>0.16964403533842851</v>
      </c>
      <c r="I155" s="498">
        <f t="shared" si="43"/>
        <v>6.3090756944043674E-2</v>
      </c>
      <c r="J155" s="498">
        <f t="shared" si="43"/>
        <v>0.18660843887227138</v>
      </c>
      <c r="K155" s="498">
        <f t="shared" si="43"/>
        <v>6.9399832638448053E-2</v>
      </c>
      <c r="L155" s="19"/>
      <c r="M155" s="19"/>
      <c r="N155" s="19"/>
      <c r="O155" s="31"/>
      <c r="P155" s="31"/>
      <c r="Q155" s="31"/>
      <c r="R155" s="31"/>
      <c r="S155" s="31"/>
      <c r="T155" s="31"/>
      <c r="U155" s="31"/>
      <c r="V155" s="31"/>
      <c r="W155" s="31"/>
      <c r="X155" s="31"/>
      <c r="Y155" s="31"/>
      <c r="Z155" s="31"/>
      <c r="AA155" s="31"/>
      <c r="AB155" s="31"/>
      <c r="AC155" s="31"/>
    </row>
    <row r="156" spans="1:29" x14ac:dyDescent="0.35">
      <c r="A156" s="18" t="str">
        <f t="shared" si="40"/>
        <v>therm_Heat pump</v>
      </c>
      <c r="B156" s="27" t="s">
        <v>418</v>
      </c>
      <c r="C156" s="19" t="s">
        <v>604</v>
      </c>
      <c r="D156" s="498">
        <v>0</v>
      </c>
      <c r="E156" s="498">
        <v>0</v>
      </c>
      <c r="F156" s="498">
        <v>0</v>
      </c>
      <c r="G156" s="498">
        <v>0</v>
      </c>
      <c r="H156" s="498">
        <v>0</v>
      </c>
      <c r="I156" s="498">
        <v>0</v>
      </c>
      <c r="J156" s="498">
        <v>0</v>
      </c>
      <c r="K156" s="498">
        <v>0</v>
      </c>
      <c r="L156" s="19"/>
      <c r="M156" s="19"/>
      <c r="N156" s="19"/>
      <c r="O156" s="31"/>
      <c r="P156" s="31"/>
      <c r="Q156" s="31"/>
      <c r="R156" s="31"/>
      <c r="S156" s="31"/>
      <c r="T156" s="31"/>
      <c r="U156" s="31"/>
      <c r="V156" s="31"/>
      <c r="W156" s="31"/>
      <c r="X156" s="31"/>
      <c r="Y156" s="31"/>
      <c r="Z156" s="31"/>
      <c r="AA156" s="31"/>
      <c r="AB156" s="31"/>
      <c r="AC156" s="31"/>
    </row>
    <row r="157" spans="1:29" x14ac:dyDescent="0.35">
      <c r="A157" s="18" t="str">
        <f t="shared" si="40"/>
        <v>therm_Resistance, heat only</v>
      </c>
      <c r="B157" s="27" t="s">
        <v>418</v>
      </c>
      <c r="C157" s="19" t="s">
        <v>606</v>
      </c>
      <c r="D157" s="498">
        <v>0</v>
      </c>
      <c r="E157" s="498">
        <v>0</v>
      </c>
      <c r="F157" s="498">
        <v>0</v>
      </c>
      <c r="G157" s="498">
        <v>0</v>
      </c>
      <c r="H157" s="498">
        <v>0</v>
      </c>
      <c r="I157" s="498">
        <v>0</v>
      </c>
      <c r="J157" s="498">
        <v>0</v>
      </c>
      <c r="K157" s="498">
        <v>0</v>
      </c>
      <c r="L157" s="19"/>
      <c r="M157" s="19"/>
      <c r="N157" s="19"/>
      <c r="O157" s="31"/>
      <c r="P157" s="31"/>
      <c r="Q157" s="31"/>
      <c r="R157" s="31"/>
      <c r="S157" s="31"/>
      <c r="T157" s="31"/>
      <c r="U157" s="31"/>
      <c r="V157" s="31"/>
      <c r="W157" s="31"/>
      <c r="X157" s="31"/>
      <c r="Y157" s="31"/>
      <c r="Z157" s="31"/>
      <c r="AA157" s="31"/>
      <c r="AB157" s="31"/>
      <c r="AC157" s="31"/>
    </row>
    <row r="158" spans="1:29" x14ac:dyDescent="0.35">
      <c r="A158" s="18" t="str">
        <f t="shared" si="40"/>
        <v>therm_Resistance w/ AC</v>
      </c>
      <c r="B158" s="27" t="s">
        <v>418</v>
      </c>
      <c r="C158" s="19" t="s">
        <v>608</v>
      </c>
      <c r="D158" s="498">
        <v>0</v>
      </c>
      <c r="E158" s="498">
        <v>0</v>
      </c>
      <c r="F158" s="498">
        <v>0</v>
      </c>
      <c r="G158" s="498">
        <v>0</v>
      </c>
      <c r="H158" s="498">
        <v>0</v>
      </c>
      <c r="I158" s="498">
        <v>0</v>
      </c>
      <c r="J158" s="498">
        <v>0</v>
      </c>
      <c r="K158" s="498">
        <v>0</v>
      </c>
      <c r="L158" s="19"/>
      <c r="M158" s="19"/>
      <c r="N158" s="19"/>
      <c r="O158" s="31"/>
      <c r="P158" s="31"/>
      <c r="Q158" s="31"/>
      <c r="R158" s="31"/>
      <c r="S158" s="31"/>
      <c r="T158" s="31"/>
      <c r="U158" s="31"/>
      <c r="V158" s="31"/>
      <c r="W158" s="31"/>
      <c r="X158" s="31"/>
      <c r="Y158" s="31"/>
      <c r="Z158" s="31"/>
      <c r="AA158" s="31"/>
      <c r="AB158" s="31"/>
      <c r="AC158" s="31"/>
    </row>
    <row r="159" spans="1:29" ht="15" thickBot="1" x14ac:dyDescent="0.4">
      <c r="A159" s="19"/>
      <c r="B159" s="19"/>
      <c r="C159" s="26"/>
      <c r="D159" s="26"/>
      <c r="E159" s="26"/>
      <c r="F159" s="26"/>
      <c r="G159" s="26"/>
      <c r="H159" s="26"/>
      <c r="I159" s="26"/>
      <c r="J159" s="26"/>
      <c r="K159" s="19"/>
      <c r="L159" s="19"/>
      <c r="M159" s="19"/>
      <c r="N159" s="19"/>
      <c r="O159" s="31"/>
      <c r="P159" s="31"/>
      <c r="Q159" s="31"/>
      <c r="R159" s="31"/>
      <c r="S159" s="31"/>
      <c r="T159" s="31"/>
      <c r="U159" s="31"/>
      <c r="V159" s="31"/>
      <c r="W159" s="31"/>
      <c r="X159" s="31"/>
      <c r="Y159" s="31"/>
      <c r="Z159" s="31"/>
      <c r="AA159" s="31"/>
      <c r="AB159" s="31"/>
      <c r="AC159" s="31"/>
    </row>
    <row r="160" spans="1:29" s="600" customFormat="1" x14ac:dyDescent="0.35">
      <c r="A160" s="2563" t="s">
        <v>3380</v>
      </c>
      <c r="B160" s="2612"/>
      <c r="C160" s="2652"/>
      <c r="D160" s="2652"/>
      <c r="E160" s="2652"/>
      <c r="F160" s="2652"/>
      <c r="G160" s="2652"/>
      <c r="H160" s="2652"/>
      <c r="I160" s="2652"/>
      <c r="J160" s="2652"/>
      <c r="K160" s="2625"/>
      <c r="L160" s="127"/>
      <c r="M160" s="127"/>
      <c r="N160" s="127"/>
      <c r="O160" s="234"/>
      <c r="P160" s="234"/>
      <c r="Q160" s="234"/>
      <c r="R160" s="234"/>
      <c r="S160" s="234"/>
      <c r="T160" s="234"/>
      <c r="U160" s="234"/>
      <c r="V160" s="234"/>
      <c r="W160" s="234"/>
      <c r="X160" s="234"/>
      <c r="Y160" s="234"/>
      <c r="Z160" s="234"/>
      <c r="AA160" s="234"/>
      <c r="AB160" s="234"/>
      <c r="AC160" s="234"/>
    </row>
    <row r="161" spans="1:29" s="600" customFormat="1" x14ac:dyDescent="0.35">
      <c r="A161" s="2559" t="str">
        <f>B161&amp;"_"&amp;C161</f>
        <v>kWh_Gas Heat w/AC</v>
      </c>
      <c r="B161" s="2659" t="s">
        <v>342</v>
      </c>
      <c r="C161" s="234" t="s">
        <v>602</v>
      </c>
      <c r="D161" s="37">
        <f>D117+D145</f>
        <v>0.45717761766541676</v>
      </c>
      <c r="E161" s="37">
        <f t="shared" ref="E161:K161" si="44">E117+E145</f>
        <v>0.16845448590862605</v>
      </c>
      <c r="F161" s="37">
        <f t="shared" si="44"/>
        <v>0.52018491737515427</v>
      </c>
      <c r="G161" s="37">
        <f t="shared" si="44"/>
        <v>0.19072992794943755</v>
      </c>
      <c r="H161" s="37">
        <f t="shared" si="44"/>
        <v>0.45717761766541676</v>
      </c>
      <c r="I161" s="37">
        <f t="shared" si="44"/>
        <v>0.16845448590862605</v>
      </c>
      <c r="J161" s="37">
        <f t="shared" si="44"/>
        <v>0.52018491737515427</v>
      </c>
      <c r="K161" s="2653">
        <f t="shared" si="44"/>
        <v>0.19072992794943755</v>
      </c>
      <c r="L161" s="127"/>
      <c r="M161" s="127"/>
      <c r="N161" s="127"/>
      <c r="O161" s="234"/>
      <c r="P161" s="234"/>
      <c r="Q161" s="234"/>
      <c r="R161" s="234"/>
      <c r="S161" s="234"/>
      <c r="T161" s="234"/>
      <c r="U161" s="135"/>
      <c r="V161" s="234"/>
      <c r="W161" s="234"/>
      <c r="X161" s="234"/>
      <c r="Y161" s="37"/>
      <c r="Z161" s="234"/>
      <c r="AA161" s="136"/>
      <c r="AB161" s="234"/>
      <c r="AC161" s="37"/>
    </row>
    <row r="162" spans="1:29" s="600" customFormat="1" x14ac:dyDescent="0.35">
      <c r="A162" s="2559" t="str">
        <f t="shared" ref="A162:A172" si="45">B162&amp;"_"&amp;C162</f>
        <v>kWh_Heat pump</v>
      </c>
      <c r="B162" s="38" t="s">
        <v>342</v>
      </c>
      <c r="C162" s="234" t="s">
        <v>604</v>
      </c>
      <c r="D162" s="37">
        <f>D118</f>
        <v>1.76</v>
      </c>
      <c r="E162" s="37">
        <f t="shared" ref="E162:K162" si="46">E118</f>
        <v>0.66</v>
      </c>
      <c r="F162" s="37">
        <f t="shared" si="46"/>
        <v>1.79</v>
      </c>
      <c r="G162" s="37">
        <f t="shared" si="46"/>
        <v>0.67</v>
      </c>
      <c r="H162" s="37">
        <f t="shared" si="46"/>
        <v>1.76</v>
      </c>
      <c r="I162" s="37">
        <f t="shared" si="46"/>
        <v>0.66</v>
      </c>
      <c r="J162" s="37">
        <f t="shared" si="46"/>
        <v>1.79</v>
      </c>
      <c r="K162" s="2653">
        <f t="shared" si="46"/>
        <v>0.67</v>
      </c>
      <c r="L162" s="127"/>
      <c r="M162" s="127"/>
      <c r="N162" s="127"/>
      <c r="O162" s="234"/>
      <c r="P162" s="234"/>
      <c r="Q162" s="234"/>
      <c r="R162" s="234"/>
      <c r="S162" s="234"/>
      <c r="T162" s="234"/>
      <c r="U162" s="135"/>
      <c r="V162" s="234"/>
      <c r="W162" s="234"/>
      <c r="X162" s="234"/>
      <c r="Y162" s="37"/>
      <c r="Z162" s="234"/>
      <c r="AA162" s="136"/>
      <c r="AB162" s="234"/>
      <c r="AC162" s="37"/>
    </row>
    <row r="163" spans="1:29" s="600" customFormat="1" x14ac:dyDescent="0.35">
      <c r="A163" s="2559" t="str">
        <f t="shared" si="45"/>
        <v>kWh_Resistance, heat only</v>
      </c>
      <c r="B163" s="38" t="s">
        <v>342</v>
      </c>
      <c r="C163" s="238" t="s">
        <v>606</v>
      </c>
      <c r="D163" s="37">
        <f>D119</f>
        <v>2.99</v>
      </c>
      <c r="E163" s="37">
        <f t="shared" ref="E163:K163" si="47">E119</f>
        <v>1.1100000000000001</v>
      </c>
      <c r="F163" s="37">
        <f t="shared" si="47"/>
        <v>2.99</v>
      </c>
      <c r="G163" s="37">
        <f t="shared" si="47"/>
        <v>1.1100000000000001</v>
      </c>
      <c r="H163" s="37">
        <f t="shared" si="47"/>
        <v>2.99</v>
      </c>
      <c r="I163" s="37">
        <f t="shared" si="47"/>
        <v>1.1100000000000001</v>
      </c>
      <c r="J163" s="37">
        <f t="shared" si="47"/>
        <v>2.99</v>
      </c>
      <c r="K163" s="2653">
        <f t="shared" si="47"/>
        <v>1.1100000000000001</v>
      </c>
      <c r="L163" s="127"/>
      <c r="M163" s="127"/>
      <c r="N163" s="127"/>
      <c r="O163" s="234"/>
      <c r="P163" s="234"/>
      <c r="Q163" s="234"/>
      <c r="R163" s="234"/>
      <c r="S163" s="234"/>
      <c r="T163" s="234"/>
      <c r="U163" s="135"/>
      <c r="V163" s="234"/>
      <c r="W163" s="234"/>
      <c r="X163" s="234"/>
      <c r="Y163" s="37"/>
      <c r="Z163" s="234"/>
      <c r="AA163" s="136"/>
      <c r="AB163" s="234"/>
      <c r="AC163" s="37"/>
    </row>
    <row r="164" spans="1:29" s="600" customFormat="1" x14ac:dyDescent="0.35">
      <c r="A164" s="2559" t="str">
        <f t="shared" si="45"/>
        <v>kWh_Resistance w/ AC</v>
      </c>
      <c r="B164" s="38" t="s">
        <v>342</v>
      </c>
      <c r="C164" s="234" t="s">
        <v>608</v>
      </c>
      <c r="D164" s="37">
        <f>D120</f>
        <v>3.28</v>
      </c>
      <c r="E164" s="37">
        <f t="shared" ref="E164:K164" si="48">E120</f>
        <v>1.22</v>
      </c>
      <c r="F164" s="37">
        <f t="shared" si="48"/>
        <v>3.31</v>
      </c>
      <c r="G164" s="37">
        <f t="shared" si="48"/>
        <v>1.23</v>
      </c>
      <c r="H164" s="37">
        <f t="shared" si="48"/>
        <v>3.28</v>
      </c>
      <c r="I164" s="37">
        <f t="shared" si="48"/>
        <v>1.22</v>
      </c>
      <c r="J164" s="37">
        <f t="shared" si="48"/>
        <v>3.31</v>
      </c>
      <c r="K164" s="2653">
        <f t="shared" si="48"/>
        <v>1.23</v>
      </c>
      <c r="L164" s="127"/>
      <c r="M164" s="127"/>
      <c r="N164" s="127"/>
      <c r="O164" s="234"/>
      <c r="P164" s="234"/>
      <c r="Q164" s="234"/>
      <c r="R164" s="234"/>
      <c r="S164" s="234"/>
      <c r="T164" s="234"/>
      <c r="U164" s="234"/>
      <c r="V164" s="234"/>
      <c r="W164" s="234"/>
      <c r="X164" s="234"/>
      <c r="Y164" s="234"/>
      <c r="Z164" s="234"/>
      <c r="AA164" s="234"/>
      <c r="AB164" s="234"/>
      <c r="AC164" s="234"/>
    </row>
    <row r="165" spans="1:29" s="600" customFormat="1" x14ac:dyDescent="0.35">
      <c r="A165" s="2559" t="str">
        <f t="shared" si="45"/>
        <v>kW_Gas Heat w/AC</v>
      </c>
      <c r="B165" s="2654" t="s">
        <v>301</v>
      </c>
      <c r="C165" s="2655" t="s">
        <v>602</v>
      </c>
      <c r="D165" s="2656">
        <f>D128</f>
        <v>2.7908569217015142E-4</v>
      </c>
      <c r="E165" s="2656">
        <f t="shared" ref="E165:K165" si="49">E128</f>
        <v>1.0379219956741171E-4</v>
      </c>
      <c r="F165" s="2656">
        <f t="shared" si="49"/>
        <v>3.0699426138716657E-4</v>
      </c>
      <c r="G165" s="2656">
        <f t="shared" si="49"/>
        <v>1.1417141952415287E-4</v>
      </c>
      <c r="H165" s="2656">
        <f t="shared" si="49"/>
        <v>3.0728892199730095E-4</v>
      </c>
      <c r="I165" s="2656">
        <f t="shared" si="49"/>
        <v>1.1428100404858303E-4</v>
      </c>
      <c r="J165" s="2656">
        <f t="shared" si="49"/>
        <v>3.3801781419703111E-4</v>
      </c>
      <c r="K165" s="2657">
        <f t="shared" si="49"/>
        <v>1.2570910445344134E-4</v>
      </c>
      <c r="L165" s="127"/>
      <c r="M165" s="127"/>
      <c r="N165" s="127"/>
      <c r="O165" s="234"/>
      <c r="P165" s="234"/>
      <c r="Q165" s="234"/>
      <c r="R165" s="234"/>
      <c r="S165" s="234"/>
      <c r="T165" s="234"/>
      <c r="U165" s="234"/>
      <c r="V165" s="234"/>
      <c r="W165" s="234"/>
      <c r="X165" s="234"/>
      <c r="Y165" s="234"/>
      <c r="Z165" s="234"/>
      <c r="AA165" s="234"/>
      <c r="AB165" s="234"/>
      <c r="AC165" s="234"/>
    </row>
    <row r="166" spans="1:29" s="600" customFormat="1" x14ac:dyDescent="0.35">
      <c r="A166" s="2559" t="str">
        <f t="shared" si="45"/>
        <v>kW_Heat pump</v>
      </c>
      <c r="B166" s="2658" t="s">
        <v>301</v>
      </c>
      <c r="C166" s="2655" t="s">
        <v>604</v>
      </c>
      <c r="D166" s="2656">
        <f>D129</f>
        <v>2.7908569217015142E-4</v>
      </c>
      <c r="E166" s="2656">
        <f t="shared" ref="E166:K166" si="50">E129</f>
        <v>1.0379219956741171E-4</v>
      </c>
      <c r="F166" s="2656">
        <f t="shared" si="50"/>
        <v>3.0699426138716657E-4</v>
      </c>
      <c r="G166" s="2656">
        <f t="shared" si="50"/>
        <v>1.1417141952415287E-4</v>
      </c>
      <c r="H166" s="2656">
        <f t="shared" si="50"/>
        <v>3.0728892199730095E-4</v>
      </c>
      <c r="I166" s="2656">
        <f t="shared" si="50"/>
        <v>1.1428100404858303E-4</v>
      </c>
      <c r="J166" s="2656">
        <f t="shared" si="50"/>
        <v>3.3801781419703111E-4</v>
      </c>
      <c r="K166" s="2657">
        <f t="shared" si="50"/>
        <v>1.2570910445344134E-4</v>
      </c>
      <c r="L166" s="127"/>
      <c r="M166" s="127"/>
      <c r="N166" s="127"/>
      <c r="O166" s="234"/>
      <c r="P166" s="234"/>
      <c r="Q166" s="234"/>
      <c r="R166" s="234"/>
      <c r="S166" s="234"/>
      <c r="T166" s="234"/>
      <c r="U166" s="234"/>
      <c r="V166" s="234"/>
      <c r="W166" s="234"/>
      <c r="X166" s="234"/>
      <c r="Y166" s="234"/>
      <c r="Z166" s="234"/>
      <c r="AA166" s="234"/>
      <c r="AB166" s="234"/>
      <c r="AC166" s="234"/>
    </row>
    <row r="167" spans="1:29" s="600" customFormat="1" x14ac:dyDescent="0.35">
      <c r="A167" s="2559" t="str">
        <f t="shared" si="45"/>
        <v>kW_Resistance, heat only</v>
      </c>
      <c r="B167" s="2658" t="s">
        <v>301</v>
      </c>
      <c r="C167" s="2655" t="s">
        <v>606</v>
      </c>
      <c r="D167" s="2656">
        <f>D130</f>
        <v>0</v>
      </c>
      <c r="E167" s="2656">
        <f t="shared" ref="E167:K167" si="51">E130</f>
        <v>1</v>
      </c>
      <c r="F167" s="2656">
        <f t="shared" si="51"/>
        <v>2</v>
      </c>
      <c r="G167" s="2656">
        <f t="shared" si="51"/>
        <v>3</v>
      </c>
      <c r="H167" s="2656">
        <f t="shared" si="51"/>
        <v>4</v>
      </c>
      <c r="I167" s="2656">
        <f t="shared" si="51"/>
        <v>5</v>
      </c>
      <c r="J167" s="2656">
        <f t="shared" si="51"/>
        <v>6</v>
      </c>
      <c r="K167" s="2657">
        <f t="shared" si="51"/>
        <v>7</v>
      </c>
      <c r="L167" s="127"/>
      <c r="M167" s="127"/>
      <c r="N167" s="127"/>
      <c r="O167" s="234"/>
      <c r="P167" s="234"/>
      <c r="Q167" s="234"/>
      <c r="R167" s="234"/>
      <c r="S167" s="234"/>
      <c r="T167" s="234"/>
      <c r="U167" s="234"/>
      <c r="V167" s="234"/>
      <c r="W167" s="234"/>
      <c r="X167" s="234"/>
      <c r="Y167" s="234"/>
      <c r="Z167" s="234"/>
      <c r="AA167" s="234"/>
      <c r="AB167" s="234"/>
      <c r="AC167" s="234"/>
    </row>
    <row r="168" spans="1:29" s="600" customFormat="1" x14ac:dyDescent="0.35">
      <c r="A168" s="2559" t="str">
        <f t="shared" si="45"/>
        <v>kW_Resistance w/ AC</v>
      </c>
      <c r="B168" s="2658" t="s">
        <v>301</v>
      </c>
      <c r="C168" s="2655" t="s">
        <v>608</v>
      </c>
      <c r="D168" s="2656">
        <f>D131</f>
        <v>2.7908569217015142E-4</v>
      </c>
      <c r="E168" s="2656">
        <f t="shared" ref="E168:K168" si="52">E131</f>
        <v>1.0379219956741171E-4</v>
      </c>
      <c r="F168" s="2656">
        <f t="shared" si="52"/>
        <v>3.0699426138716657E-4</v>
      </c>
      <c r="G168" s="2656">
        <f t="shared" si="52"/>
        <v>1.1417141952415287E-4</v>
      </c>
      <c r="H168" s="2656">
        <f t="shared" si="52"/>
        <v>3.0728892199730095E-4</v>
      </c>
      <c r="I168" s="2656">
        <f t="shared" si="52"/>
        <v>1.1428100404858303E-4</v>
      </c>
      <c r="J168" s="2656">
        <f t="shared" si="52"/>
        <v>3.3801781419703111E-4</v>
      </c>
      <c r="K168" s="2657">
        <f t="shared" si="52"/>
        <v>1.2570910445344134E-4</v>
      </c>
      <c r="L168" s="127"/>
      <c r="M168" s="127"/>
      <c r="N168" s="127"/>
      <c r="O168" s="234"/>
      <c r="P168" s="234"/>
      <c r="Q168" s="234"/>
      <c r="R168" s="234"/>
      <c r="S168" s="234"/>
      <c r="T168" s="234"/>
      <c r="U168" s="234"/>
      <c r="V168" s="234"/>
      <c r="W168" s="234"/>
      <c r="X168" s="234"/>
      <c r="Y168" s="234"/>
      <c r="Z168" s="234"/>
      <c r="AA168" s="234"/>
      <c r="AB168" s="234"/>
      <c r="AC168" s="234"/>
    </row>
    <row r="169" spans="1:29" s="600" customFormat="1" x14ac:dyDescent="0.35">
      <c r="A169" s="2559" t="str">
        <f t="shared" si="45"/>
        <v>therm_Gas Heat w/AC</v>
      </c>
      <c r="B169" s="2659" t="s">
        <v>418</v>
      </c>
      <c r="C169" s="234" t="s">
        <v>602</v>
      </c>
      <c r="D169" s="2660">
        <f>D141</f>
        <v>0.15966497443616801</v>
      </c>
      <c r="E169" s="2660">
        <f t="shared" ref="E169:K169" si="53">E141</f>
        <v>5.9379535947335207E-2</v>
      </c>
      <c r="F169" s="2660">
        <f t="shared" si="53"/>
        <v>0.17563147187978481</v>
      </c>
      <c r="G169" s="2660">
        <f t="shared" si="53"/>
        <v>6.531748954206873E-2</v>
      </c>
      <c r="H169" s="2660">
        <f t="shared" si="53"/>
        <v>0.15966497443616801</v>
      </c>
      <c r="I169" s="2660">
        <f t="shared" si="53"/>
        <v>5.9379535947335207E-2</v>
      </c>
      <c r="J169" s="2660">
        <f t="shared" si="53"/>
        <v>0.17563147187978481</v>
      </c>
      <c r="K169" s="2661">
        <f t="shared" si="53"/>
        <v>6.531748954206873E-2</v>
      </c>
      <c r="L169" s="127"/>
      <c r="M169" s="127"/>
      <c r="N169" s="127"/>
      <c r="O169" s="234"/>
      <c r="P169" s="234"/>
      <c r="Q169" s="234"/>
      <c r="R169" s="234"/>
      <c r="S169" s="234"/>
      <c r="T169" s="234"/>
      <c r="U169" s="234"/>
      <c r="V169" s="234"/>
      <c r="W169" s="234"/>
      <c r="X169" s="234"/>
      <c r="Y169" s="234"/>
      <c r="Z169" s="234"/>
      <c r="AA169" s="234"/>
      <c r="AB169" s="234"/>
      <c r="AC169" s="234"/>
    </row>
    <row r="170" spans="1:29" s="600" customFormat="1" x14ac:dyDescent="0.35">
      <c r="A170" s="2559" t="str">
        <f t="shared" si="45"/>
        <v>therm_Heat pump</v>
      </c>
      <c r="B170" s="38" t="s">
        <v>418</v>
      </c>
      <c r="C170" s="234" t="s">
        <v>604</v>
      </c>
      <c r="D170" s="2660">
        <v>0</v>
      </c>
      <c r="E170" s="2660">
        <v>0</v>
      </c>
      <c r="F170" s="2660">
        <v>0</v>
      </c>
      <c r="G170" s="2660">
        <v>0</v>
      </c>
      <c r="H170" s="2660">
        <v>0</v>
      </c>
      <c r="I170" s="2660">
        <v>0</v>
      </c>
      <c r="J170" s="2660">
        <v>0</v>
      </c>
      <c r="K170" s="2661">
        <v>0</v>
      </c>
      <c r="L170" s="127"/>
      <c r="M170" s="127"/>
      <c r="N170" s="127"/>
      <c r="O170" s="234"/>
      <c r="P170" s="234"/>
      <c r="Q170" s="234"/>
      <c r="R170" s="234"/>
      <c r="S170" s="234"/>
      <c r="T170" s="234"/>
      <c r="U170" s="234"/>
      <c r="V170" s="234"/>
      <c r="W170" s="234"/>
      <c r="X170" s="234"/>
      <c r="Y170" s="234"/>
      <c r="Z170" s="234"/>
      <c r="AA170" s="234"/>
      <c r="AB170" s="234"/>
      <c r="AC170" s="234"/>
    </row>
    <row r="171" spans="1:29" s="600" customFormat="1" x14ac:dyDescent="0.35">
      <c r="A171" s="2559" t="str">
        <f t="shared" si="45"/>
        <v>therm_Resistance, heat only</v>
      </c>
      <c r="B171" s="38" t="s">
        <v>418</v>
      </c>
      <c r="C171" s="234" t="s">
        <v>606</v>
      </c>
      <c r="D171" s="2660">
        <v>0</v>
      </c>
      <c r="E171" s="2660">
        <v>0</v>
      </c>
      <c r="F171" s="2660">
        <v>0</v>
      </c>
      <c r="G171" s="2660">
        <v>0</v>
      </c>
      <c r="H171" s="2660">
        <v>0</v>
      </c>
      <c r="I171" s="2660">
        <v>0</v>
      </c>
      <c r="J171" s="2660">
        <v>0</v>
      </c>
      <c r="K171" s="2661">
        <v>0</v>
      </c>
      <c r="L171" s="127"/>
      <c r="M171" s="127"/>
      <c r="N171" s="127"/>
      <c r="O171" s="234"/>
      <c r="P171" s="234"/>
      <c r="Q171" s="234"/>
      <c r="R171" s="234"/>
      <c r="S171" s="234"/>
      <c r="T171" s="234"/>
      <c r="U171" s="234"/>
      <c r="V171" s="234"/>
      <c r="W171" s="234"/>
      <c r="X171" s="234"/>
      <c r="Y171" s="234"/>
      <c r="Z171" s="234"/>
      <c r="AA171" s="234"/>
      <c r="AB171" s="234"/>
      <c r="AC171" s="234"/>
    </row>
    <row r="172" spans="1:29" s="600" customFormat="1" ht="15" thickBot="1" x14ac:dyDescent="0.4">
      <c r="A172" s="2662" t="str">
        <f t="shared" si="45"/>
        <v>therm_Resistance w/ AC</v>
      </c>
      <c r="B172" s="2663" t="s">
        <v>418</v>
      </c>
      <c r="C172" s="2621" t="s">
        <v>608</v>
      </c>
      <c r="D172" s="2664">
        <v>0</v>
      </c>
      <c r="E172" s="2664">
        <v>0</v>
      </c>
      <c r="F172" s="2664">
        <v>0</v>
      </c>
      <c r="G172" s="2664">
        <v>0</v>
      </c>
      <c r="H172" s="2664">
        <v>0</v>
      </c>
      <c r="I172" s="2664">
        <v>0</v>
      </c>
      <c r="J172" s="2664">
        <v>0</v>
      </c>
      <c r="K172" s="2665">
        <v>0</v>
      </c>
      <c r="L172" s="127"/>
      <c r="M172" s="127"/>
      <c r="N172" s="127"/>
      <c r="O172" s="234"/>
      <c r="P172" s="234"/>
      <c r="Q172" s="234"/>
      <c r="R172" s="234"/>
      <c r="S172" s="234"/>
      <c r="T172" s="234"/>
      <c r="U172" s="234"/>
      <c r="V172" s="234"/>
      <c r="W172" s="234"/>
      <c r="X172" s="234"/>
      <c r="Y172" s="234"/>
      <c r="Z172" s="234"/>
      <c r="AA172" s="234"/>
      <c r="AB172" s="234"/>
      <c r="AC172" s="234"/>
    </row>
    <row r="173" spans="1:29" x14ac:dyDescent="0.35">
      <c r="A173" s="19"/>
      <c r="B173" s="19"/>
      <c r="C173" s="26"/>
      <c r="D173" s="26"/>
      <c r="E173" s="26"/>
      <c r="F173" s="26"/>
      <c r="G173" s="26"/>
      <c r="H173" s="26"/>
      <c r="I173" s="26"/>
      <c r="J173" s="26"/>
      <c r="K173" s="19"/>
      <c r="L173" s="19"/>
      <c r="M173" s="19"/>
      <c r="N173" s="19"/>
      <c r="O173" s="31"/>
      <c r="P173" s="31"/>
      <c r="Q173" s="31"/>
      <c r="R173" s="31"/>
      <c r="S173" s="31"/>
      <c r="T173" s="31"/>
      <c r="U173" s="31"/>
      <c r="V173" s="31"/>
      <c r="W173" s="31"/>
      <c r="X173" s="31"/>
      <c r="Y173" s="31"/>
      <c r="Z173" s="31"/>
      <c r="AA173" s="31"/>
      <c r="AB173" s="31"/>
      <c r="AC173" s="31"/>
    </row>
    <row r="174" spans="1:29" x14ac:dyDescent="0.35">
      <c r="A174" s="19"/>
      <c r="B174" s="19"/>
      <c r="C174" s="26"/>
      <c r="D174" s="26"/>
      <c r="E174" s="26"/>
      <c r="F174" s="26"/>
      <c r="G174" s="26"/>
      <c r="H174" s="26"/>
      <c r="I174" s="26"/>
      <c r="J174" s="26"/>
      <c r="K174" s="19"/>
      <c r="L174" s="19"/>
      <c r="M174" s="19"/>
      <c r="N174" s="19"/>
      <c r="O174" s="31"/>
      <c r="P174" s="31"/>
      <c r="Q174" s="31"/>
      <c r="R174" s="31"/>
      <c r="S174" s="31"/>
      <c r="T174" s="31"/>
      <c r="U174" s="31"/>
      <c r="V174" s="31"/>
      <c r="W174" s="31"/>
      <c r="X174" s="31"/>
      <c r="Y174" s="31"/>
      <c r="Z174" s="31"/>
      <c r="AA174" s="31"/>
      <c r="AB174" s="31"/>
      <c r="AC174" s="31"/>
    </row>
    <row r="175" spans="1:29" ht="18.5" x14ac:dyDescent="0.45">
      <c r="A175" s="2643" t="s">
        <v>617</v>
      </c>
      <c r="B175" s="2643" t="s">
        <v>564</v>
      </c>
      <c r="C175" s="2550"/>
      <c r="D175" s="2550"/>
      <c r="E175" s="26"/>
      <c r="F175" s="26"/>
      <c r="G175" s="26"/>
      <c r="H175" s="26"/>
      <c r="I175" s="26"/>
      <c r="J175" s="26"/>
      <c r="K175" s="19"/>
      <c r="L175" s="19"/>
      <c r="M175" s="19"/>
      <c r="N175" s="19"/>
      <c r="O175" s="31"/>
      <c r="P175" s="31"/>
      <c r="Q175" s="31"/>
      <c r="R175" s="31"/>
      <c r="S175" s="31"/>
      <c r="T175" s="31"/>
      <c r="U175" s="31"/>
      <c r="V175" s="31"/>
      <c r="W175" s="31"/>
      <c r="X175" s="31"/>
      <c r="Y175" s="31"/>
      <c r="Z175" s="31"/>
      <c r="AA175" s="31"/>
      <c r="AB175" s="31"/>
      <c r="AC175" s="31"/>
    </row>
    <row r="176" spans="1:29" x14ac:dyDescent="0.35">
      <c r="A176" s="19"/>
      <c r="B176" s="19"/>
      <c r="C176" s="19"/>
      <c r="D176" s="19"/>
      <c r="E176" s="19"/>
      <c r="F176" s="19"/>
      <c r="G176" s="19"/>
      <c r="H176" s="19"/>
      <c r="I176" s="19"/>
      <c r="J176" s="19"/>
      <c r="K176" s="19"/>
      <c r="L176" s="19"/>
      <c r="M176" s="19"/>
      <c r="N176" s="19"/>
      <c r="O176" s="31"/>
      <c r="P176" s="31"/>
      <c r="Q176" s="31"/>
      <c r="R176" s="31"/>
      <c r="S176" s="31"/>
      <c r="T176" s="31"/>
      <c r="U176" s="31"/>
      <c r="V176" s="31"/>
      <c r="W176" s="31"/>
      <c r="X176" s="31"/>
      <c r="Y176" s="31"/>
      <c r="Z176" s="31"/>
      <c r="AA176" s="31"/>
      <c r="AB176" s="31"/>
      <c r="AC176" s="31"/>
    </row>
    <row r="177" spans="1:29" x14ac:dyDescent="0.35">
      <c r="A177" s="19"/>
      <c r="B177" s="19"/>
      <c r="C177" s="19"/>
      <c r="D177" s="19"/>
      <c r="E177" s="19"/>
      <c r="F177" s="19"/>
      <c r="G177" s="19"/>
      <c r="H177" s="19"/>
      <c r="I177" s="19"/>
      <c r="J177" s="19"/>
      <c r="K177" s="19"/>
      <c r="L177" s="19"/>
      <c r="M177" s="19"/>
      <c r="N177" s="19"/>
      <c r="O177" s="31"/>
      <c r="P177" s="31"/>
      <c r="Q177" s="31"/>
      <c r="R177" s="31"/>
      <c r="S177" s="31"/>
      <c r="T177" s="31"/>
      <c r="U177" s="31"/>
      <c r="V177" s="31"/>
      <c r="W177" s="31"/>
      <c r="X177" s="31"/>
      <c r="Y177" s="31"/>
      <c r="Z177" s="31"/>
      <c r="AA177" s="31"/>
      <c r="AB177" s="31"/>
      <c r="AC177" s="31"/>
    </row>
    <row r="178" spans="1:29" x14ac:dyDescent="0.35">
      <c r="A178" s="19"/>
      <c r="B178" s="481" t="s">
        <v>617</v>
      </c>
      <c r="C178" s="119"/>
      <c r="D178" s="119"/>
      <c r="E178" s="119"/>
      <c r="F178" s="119"/>
      <c r="G178" s="119"/>
      <c r="H178" s="119"/>
      <c r="I178" s="119"/>
      <c r="J178" s="119"/>
      <c r="K178" s="119"/>
      <c r="L178" s="119"/>
      <c r="M178" s="119"/>
      <c r="N178" s="119"/>
      <c r="O178" s="235"/>
      <c r="P178" s="235"/>
      <c r="Q178" s="235"/>
      <c r="R178" s="31"/>
      <c r="S178" s="31"/>
      <c r="T178" s="31"/>
      <c r="U178" s="31"/>
      <c r="V178" s="31"/>
      <c r="W178" s="31"/>
      <c r="X178" s="31"/>
      <c r="Y178" s="31"/>
      <c r="Z178" s="31"/>
      <c r="AA178" s="31"/>
      <c r="AB178" s="31"/>
      <c r="AC178" s="31"/>
    </row>
    <row r="179" spans="1:29" x14ac:dyDescent="0.35">
      <c r="A179" s="19"/>
      <c r="B179" s="19"/>
      <c r="C179" s="19"/>
      <c r="D179" s="19"/>
      <c r="E179" s="19"/>
      <c r="F179" s="19"/>
      <c r="G179" s="19"/>
      <c r="H179" s="19"/>
      <c r="I179" s="19"/>
      <c r="J179" s="19"/>
      <c r="K179" s="19"/>
      <c r="L179" s="19"/>
      <c r="M179" s="19"/>
      <c r="N179" s="19"/>
      <c r="O179" s="31"/>
      <c r="P179" s="31"/>
      <c r="Q179" s="31"/>
      <c r="R179" s="31"/>
      <c r="S179" s="31"/>
      <c r="T179" s="31"/>
      <c r="U179" s="31"/>
      <c r="V179" s="31"/>
      <c r="W179" s="31"/>
      <c r="X179" s="31"/>
      <c r="Y179" s="31"/>
      <c r="Z179" s="31"/>
      <c r="AA179" s="31"/>
      <c r="AB179" s="31"/>
      <c r="AC179" s="31"/>
    </row>
    <row r="180" spans="1:29" x14ac:dyDescent="0.35">
      <c r="A180" s="19"/>
      <c r="B180" s="2579" t="s">
        <v>290</v>
      </c>
      <c r="C180" s="2579">
        <v>20</v>
      </c>
      <c r="D180" s="120"/>
      <c r="E180" s="19"/>
      <c r="F180" s="19"/>
      <c r="G180" s="19"/>
      <c r="H180" s="19"/>
      <c r="I180" s="19"/>
      <c r="J180" s="19"/>
      <c r="K180" s="19"/>
      <c r="L180" s="19"/>
      <c r="M180" s="19"/>
      <c r="N180" s="19"/>
      <c r="O180" s="31"/>
      <c r="P180" s="31"/>
      <c r="Q180" s="31"/>
      <c r="R180" s="31"/>
      <c r="S180" s="31"/>
      <c r="T180" s="31"/>
      <c r="U180" s="31"/>
      <c r="V180" s="31"/>
      <c r="W180" s="31"/>
      <c r="X180" s="31"/>
      <c r="Y180" s="31"/>
      <c r="Z180" s="31"/>
      <c r="AA180" s="31"/>
      <c r="AB180" s="31"/>
      <c r="AC180" s="31"/>
    </row>
    <row r="181" spans="1:29" x14ac:dyDescent="0.35">
      <c r="A181" s="19"/>
      <c r="B181" s="120" t="s">
        <v>291</v>
      </c>
      <c r="C181" s="26">
        <v>1.2</v>
      </c>
      <c r="D181" s="120"/>
      <c r="E181" s="19"/>
      <c r="F181" s="19"/>
      <c r="G181" s="19"/>
      <c r="H181" s="19"/>
      <c r="I181" s="19"/>
      <c r="J181" s="19"/>
      <c r="K181" s="19"/>
      <c r="L181" s="19"/>
      <c r="M181" s="19"/>
      <c r="N181" s="19"/>
      <c r="O181" s="31"/>
      <c r="P181" s="31"/>
      <c r="Q181" s="31"/>
      <c r="R181" s="31"/>
      <c r="S181" s="31"/>
      <c r="T181" s="31"/>
      <c r="U181" s="31"/>
      <c r="V181" s="31"/>
      <c r="W181" s="31"/>
      <c r="X181" s="31"/>
      <c r="Y181" s="31"/>
      <c r="Z181" s="31"/>
      <c r="AA181" s="31"/>
      <c r="AB181" s="31"/>
      <c r="AC181" s="31"/>
    </row>
    <row r="182" spans="1:29" x14ac:dyDescent="0.35">
      <c r="A182" s="19"/>
      <c r="B182" s="120" t="s">
        <v>292</v>
      </c>
      <c r="C182" s="28">
        <v>0.68</v>
      </c>
      <c r="D182" s="28">
        <v>0.68</v>
      </c>
      <c r="E182" s="19"/>
      <c r="F182" s="19"/>
      <c r="G182" s="19"/>
      <c r="H182" s="19"/>
      <c r="I182" s="19"/>
      <c r="J182" s="19"/>
      <c r="K182" s="19"/>
      <c r="L182" s="19"/>
      <c r="M182" s="19"/>
      <c r="N182" s="19"/>
      <c r="O182" s="31"/>
      <c r="P182" s="31"/>
      <c r="Q182" s="31"/>
      <c r="R182" s="31"/>
      <c r="S182" s="31"/>
      <c r="T182" s="31"/>
      <c r="U182" s="31"/>
      <c r="V182" s="31"/>
      <c r="W182" s="31"/>
      <c r="X182" s="31"/>
      <c r="Y182" s="31"/>
      <c r="Z182" s="31"/>
      <c r="AA182" s="31"/>
      <c r="AB182" s="31"/>
      <c r="AC182" s="31"/>
    </row>
    <row r="183" spans="1:29" x14ac:dyDescent="0.35">
      <c r="A183" s="19"/>
      <c r="B183" s="120"/>
      <c r="C183" s="120"/>
      <c r="D183" s="120"/>
      <c r="E183" s="19"/>
      <c r="F183" s="19"/>
      <c r="G183" s="19"/>
      <c r="H183" s="19"/>
      <c r="I183" s="19"/>
      <c r="J183" s="19"/>
      <c r="K183" s="19"/>
      <c r="L183" s="19"/>
      <c r="M183" s="19"/>
      <c r="N183" s="19"/>
      <c r="O183" s="31"/>
      <c r="P183" s="31"/>
      <c r="Q183" s="31"/>
      <c r="R183" s="31"/>
      <c r="S183" s="31"/>
      <c r="T183" s="31"/>
      <c r="U183" s="31"/>
      <c r="V183" s="31"/>
      <c r="W183" s="31"/>
      <c r="X183" s="31"/>
      <c r="Y183" s="31"/>
      <c r="Z183" s="31"/>
      <c r="AA183" s="31"/>
      <c r="AB183" s="31"/>
      <c r="AC183" s="31"/>
    </row>
    <row r="184" spans="1:29" x14ac:dyDescent="0.35">
      <c r="A184" s="19"/>
      <c r="B184" s="120" t="s">
        <v>285</v>
      </c>
      <c r="C184" s="120" t="s">
        <v>44</v>
      </c>
      <c r="D184" s="120" t="s">
        <v>7</v>
      </c>
      <c r="E184" s="19"/>
      <c r="F184" s="19"/>
      <c r="G184" s="19"/>
      <c r="H184" s="19"/>
      <c r="I184" s="19"/>
      <c r="J184" s="19"/>
      <c r="K184" s="19"/>
      <c r="L184" s="19"/>
      <c r="M184" s="19"/>
      <c r="N184" s="19"/>
      <c r="O184" s="31"/>
      <c r="P184" s="31"/>
      <c r="Q184" s="31"/>
      <c r="R184" s="31"/>
      <c r="S184" s="31"/>
      <c r="T184" s="31"/>
      <c r="U184" s="31"/>
      <c r="V184" s="31"/>
      <c r="W184" s="31"/>
      <c r="X184" s="31"/>
      <c r="Y184" s="31"/>
      <c r="Z184" s="31"/>
      <c r="AA184" s="31"/>
      <c r="AB184" s="31"/>
      <c r="AC184" s="31"/>
    </row>
    <row r="185" spans="1:29" x14ac:dyDescent="0.35">
      <c r="A185" s="19"/>
      <c r="B185" s="120" t="s">
        <v>286</v>
      </c>
      <c r="C185" s="122" t="s">
        <v>1</v>
      </c>
      <c r="D185" s="122" t="s">
        <v>1</v>
      </c>
      <c r="E185" s="19"/>
      <c r="F185" s="19"/>
      <c r="G185" s="19"/>
      <c r="H185" s="19"/>
      <c r="I185" s="19"/>
      <c r="J185" s="19"/>
      <c r="K185" s="19"/>
      <c r="L185" s="19"/>
      <c r="M185" s="19"/>
      <c r="N185" s="19"/>
      <c r="O185" s="31"/>
      <c r="P185" s="31"/>
      <c r="Q185" s="31"/>
      <c r="R185" s="31"/>
      <c r="S185" s="31"/>
      <c r="T185" s="31"/>
      <c r="U185" s="31"/>
      <c r="V185" s="31"/>
      <c r="W185" s="31"/>
      <c r="X185" s="31"/>
      <c r="Y185" s="31"/>
      <c r="Z185" s="31"/>
      <c r="AA185" s="31"/>
      <c r="AB185" s="31"/>
      <c r="AC185" s="31"/>
    </row>
    <row r="186" spans="1:29" x14ac:dyDescent="0.35">
      <c r="A186" s="19"/>
      <c r="B186" s="120" t="s">
        <v>568</v>
      </c>
      <c r="C186" s="120" t="s">
        <v>618</v>
      </c>
      <c r="D186" s="120" t="s">
        <v>618</v>
      </c>
      <c r="E186" s="19"/>
      <c r="F186" s="19"/>
      <c r="G186" s="19"/>
      <c r="H186" s="19"/>
      <c r="I186" s="19"/>
      <c r="J186" s="19"/>
      <c r="K186" s="19"/>
      <c r="L186" s="19"/>
      <c r="M186" s="19"/>
      <c r="N186" s="19"/>
      <c r="O186" s="31"/>
      <c r="P186" s="31"/>
      <c r="Q186" s="31"/>
      <c r="R186" s="31"/>
      <c r="S186" s="31"/>
      <c r="T186" s="31"/>
      <c r="U186" s="31"/>
      <c r="V186" s="31"/>
      <c r="W186" s="31"/>
      <c r="X186" s="31"/>
      <c r="Y186" s="31"/>
      <c r="Z186" s="31"/>
      <c r="AA186" s="31"/>
      <c r="AB186" s="31"/>
      <c r="AC186" s="31"/>
    </row>
    <row r="187" spans="1:29" x14ac:dyDescent="0.35">
      <c r="A187" s="19"/>
      <c r="B187" s="120"/>
      <c r="C187" s="120"/>
      <c r="D187" s="120"/>
      <c r="E187" s="19"/>
      <c r="F187" s="19"/>
      <c r="G187" s="19"/>
      <c r="H187" s="19"/>
      <c r="I187" s="19"/>
      <c r="J187" s="19"/>
      <c r="K187" s="19"/>
      <c r="L187" s="19"/>
      <c r="M187" s="19"/>
      <c r="N187" s="19"/>
      <c r="O187" s="31"/>
      <c r="P187" s="31"/>
      <c r="Q187" s="31"/>
      <c r="R187" s="31"/>
      <c r="S187" s="31"/>
      <c r="T187" s="31"/>
      <c r="U187" s="31"/>
      <c r="V187" s="31"/>
      <c r="W187" s="31"/>
      <c r="X187" s="31"/>
      <c r="Y187" s="31"/>
      <c r="Z187" s="31"/>
      <c r="AA187" s="31"/>
      <c r="AB187" s="31"/>
      <c r="AC187" s="31"/>
    </row>
    <row r="188" spans="1:29" x14ac:dyDescent="0.35">
      <c r="A188" s="19"/>
      <c r="B188" s="120" t="s">
        <v>571</v>
      </c>
      <c r="C188" s="120"/>
      <c r="D188" s="120"/>
      <c r="E188" s="19"/>
      <c r="F188" s="19"/>
      <c r="G188" s="19"/>
      <c r="H188" s="19"/>
      <c r="I188" s="19"/>
      <c r="J188" s="19"/>
      <c r="K188" s="19"/>
      <c r="L188" s="19"/>
      <c r="M188" s="19"/>
      <c r="N188" s="19"/>
      <c r="O188" s="31"/>
      <c r="P188" s="31"/>
      <c r="Q188" s="31"/>
      <c r="R188" s="31"/>
      <c r="S188" s="31"/>
      <c r="T188" s="31"/>
      <c r="U188" s="31"/>
      <c r="V188" s="31"/>
      <c r="W188" s="31"/>
      <c r="X188" s="31"/>
      <c r="Y188" s="31"/>
      <c r="Z188" s="31"/>
      <c r="AA188" s="31"/>
      <c r="AB188" s="31"/>
      <c r="AC188" s="31"/>
    </row>
    <row r="189" spans="1:29" x14ac:dyDescent="0.35">
      <c r="A189" s="19"/>
      <c r="B189" s="120" t="s">
        <v>572</v>
      </c>
      <c r="C189" s="120"/>
      <c r="D189" s="120"/>
      <c r="E189" s="19"/>
      <c r="F189" s="19"/>
      <c r="G189" s="19"/>
      <c r="H189" s="19"/>
      <c r="I189" s="19"/>
      <c r="J189" s="19"/>
      <c r="K189" s="19"/>
      <c r="L189" s="19"/>
      <c r="M189" s="19"/>
      <c r="N189" s="19"/>
      <c r="O189" s="31"/>
      <c r="P189" s="31"/>
      <c r="Q189" s="31"/>
      <c r="R189" s="31"/>
      <c r="S189" s="31"/>
      <c r="T189" s="31"/>
      <c r="U189" s="31"/>
      <c r="V189" s="31"/>
      <c r="W189" s="31"/>
      <c r="X189" s="31"/>
      <c r="Y189" s="31"/>
      <c r="Z189" s="31"/>
      <c r="AA189" s="31"/>
      <c r="AB189" s="31"/>
      <c r="AC189" s="31"/>
    </row>
    <row r="190" spans="1:29" x14ac:dyDescent="0.35">
      <c r="A190" s="19"/>
      <c r="B190" s="120" t="s">
        <v>573</v>
      </c>
      <c r="C190" s="123">
        <v>5</v>
      </c>
      <c r="D190" s="123">
        <v>5</v>
      </c>
      <c r="E190" s="121" t="s">
        <v>619</v>
      </c>
      <c r="F190" s="19"/>
      <c r="G190" s="19"/>
      <c r="H190" s="19"/>
      <c r="I190" s="19"/>
      <c r="J190" s="19"/>
      <c r="K190" s="19"/>
      <c r="L190" s="19"/>
      <c r="M190" s="19"/>
      <c r="N190" s="19"/>
      <c r="O190" s="31"/>
      <c r="P190" s="31"/>
      <c r="Q190" s="31"/>
      <c r="R190" s="31"/>
      <c r="S190" s="31"/>
      <c r="T190" s="31"/>
      <c r="U190" s="31"/>
      <c r="V190" s="31"/>
      <c r="W190" s="31"/>
      <c r="X190" s="31"/>
      <c r="Y190" s="31"/>
      <c r="Z190" s="31"/>
      <c r="AA190" s="31"/>
      <c r="AB190" s="31"/>
      <c r="AC190" s="31"/>
    </row>
    <row r="191" spans="1:29" x14ac:dyDescent="0.35">
      <c r="A191" s="19"/>
      <c r="B191" s="120" t="s">
        <v>620</v>
      </c>
      <c r="C191" s="123">
        <v>11</v>
      </c>
      <c r="D191" s="123">
        <v>11</v>
      </c>
      <c r="E191" s="19"/>
      <c r="F191" s="19"/>
      <c r="G191" s="19"/>
      <c r="H191" s="19"/>
      <c r="I191" s="19"/>
      <c r="J191" s="19"/>
      <c r="K191" s="19"/>
      <c r="L191" s="19"/>
      <c r="M191" s="19"/>
      <c r="N191" s="19"/>
      <c r="O191" s="31"/>
      <c r="P191" s="31"/>
      <c r="Q191" s="31"/>
      <c r="R191" s="31"/>
      <c r="S191" s="31"/>
      <c r="T191" s="31"/>
      <c r="U191" s="31"/>
      <c r="V191" s="31"/>
      <c r="W191" s="31"/>
      <c r="X191" s="31"/>
      <c r="Y191" s="31"/>
      <c r="Z191" s="31"/>
      <c r="AA191" s="31"/>
      <c r="AB191" s="31"/>
      <c r="AC191" s="31"/>
    </row>
    <row r="192" spans="1:29" x14ac:dyDescent="0.35">
      <c r="A192" s="19"/>
      <c r="B192" s="120" t="s">
        <v>621</v>
      </c>
      <c r="C192" s="124">
        <v>1</v>
      </c>
      <c r="D192" s="124">
        <v>1</v>
      </c>
      <c r="E192" s="19"/>
      <c r="F192" s="19"/>
      <c r="G192" s="19"/>
      <c r="H192" s="19"/>
      <c r="I192" s="19"/>
      <c r="J192" s="19"/>
      <c r="K192" s="19"/>
      <c r="L192" s="19"/>
      <c r="M192" s="19"/>
      <c r="N192" s="19"/>
      <c r="O192" s="31"/>
      <c r="P192" s="31"/>
      <c r="Q192" s="31"/>
      <c r="R192" s="31"/>
      <c r="S192" s="31"/>
      <c r="T192" s="31"/>
      <c r="U192" s="31"/>
      <c r="V192" s="31"/>
      <c r="W192" s="31"/>
      <c r="X192" s="31"/>
      <c r="Y192" s="31"/>
      <c r="Z192" s="31"/>
      <c r="AA192" s="31"/>
      <c r="AB192" s="31"/>
      <c r="AC192" s="31"/>
    </row>
    <row r="193" spans="1:29" x14ac:dyDescent="0.35">
      <c r="A193" s="19"/>
      <c r="B193" s="120" t="s">
        <v>577</v>
      </c>
      <c r="C193" s="125">
        <v>0.25</v>
      </c>
      <c r="D193" s="125">
        <v>0.25</v>
      </c>
      <c r="E193" s="19"/>
      <c r="F193" s="19"/>
      <c r="G193" s="19"/>
      <c r="H193" s="19"/>
      <c r="I193" s="19"/>
      <c r="J193" s="19"/>
      <c r="K193" s="19"/>
      <c r="L193" s="19"/>
      <c r="M193" s="19"/>
      <c r="N193" s="19"/>
      <c r="O193" s="31"/>
      <c r="P193" s="31"/>
      <c r="Q193" s="31"/>
      <c r="R193" s="31"/>
      <c r="S193" s="31"/>
      <c r="T193" s="31"/>
      <c r="U193" s="31"/>
      <c r="V193" s="31"/>
      <c r="W193" s="31"/>
      <c r="X193" s="31"/>
      <c r="Y193" s="31"/>
      <c r="Z193" s="31"/>
      <c r="AA193" s="31"/>
      <c r="AB193" s="31"/>
      <c r="AC193" s="31"/>
    </row>
    <row r="194" spans="1:29" x14ac:dyDescent="0.35">
      <c r="A194" s="19"/>
      <c r="B194" s="120" t="s">
        <v>578</v>
      </c>
      <c r="C194" s="124">
        <v>1108</v>
      </c>
      <c r="D194" s="124">
        <v>1108</v>
      </c>
      <c r="E194" s="121" t="s">
        <v>614</v>
      </c>
      <c r="F194" s="19"/>
      <c r="G194" s="19"/>
      <c r="H194" s="19"/>
      <c r="I194" s="19"/>
      <c r="J194" s="19"/>
      <c r="K194" s="19"/>
      <c r="L194" s="19"/>
      <c r="M194" s="19"/>
      <c r="N194" s="19"/>
      <c r="O194" s="31"/>
      <c r="P194" s="31"/>
      <c r="Q194" s="31"/>
      <c r="R194" s="31"/>
      <c r="S194" s="31"/>
      <c r="T194" s="31"/>
      <c r="U194" s="31"/>
      <c r="V194" s="31"/>
      <c r="W194" s="31"/>
      <c r="X194" s="31"/>
      <c r="Y194" s="31"/>
      <c r="Z194" s="31"/>
      <c r="AA194" s="31"/>
      <c r="AB194" s="31"/>
      <c r="AC194" s="31"/>
    </row>
    <row r="195" spans="1:29" x14ac:dyDescent="0.35">
      <c r="A195" s="19"/>
      <c r="B195" s="120" t="s">
        <v>580</v>
      </c>
      <c r="C195" s="126">
        <v>0.75</v>
      </c>
      <c r="D195" s="126">
        <v>0.75</v>
      </c>
      <c r="E195" s="121"/>
      <c r="F195" s="19"/>
      <c r="G195" s="19"/>
      <c r="H195" s="19"/>
      <c r="I195" s="19"/>
      <c r="J195" s="19"/>
      <c r="K195" s="19"/>
      <c r="L195" s="19"/>
      <c r="M195" s="19"/>
      <c r="N195" s="19"/>
      <c r="O195" s="31"/>
      <c r="P195" s="31"/>
      <c r="Q195" s="31"/>
      <c r="R195" s="31"/>
      <c r="S195" s="31"/>
      <c r="T195" s="31"/>
      <c r="U195" s="31"/>
      <c r="V195" s="31"/>
      <c r="W195" s="31"/>
      <c r="X195" s="31"/>
      <c r="Y195" s="31"/>
      <c r="Z195" s="31"/>
      <c r="AA195" s="31"/>
      <c r="AB195" s="31"/>
      <c r="AC195" s="31"/>
    </row>
    <row r="196" spans="1:29" x14ac:dyDescent="0.35">
      <c r="A196" s="19"/>
      <c r="B196" s="120" t="s">
        <v>581</v>
      </c>
      <c r="C196" s="124">
        <v>10</v>
      </c>
      <c r="D196" s="124">
        <v>10</v>
      </c>
      <c r="E196" s="147">
        <v>0.9</v>
      </c>
      <c r="F196" s="19"/>
      <c r="G196" s="19"/>
      <c r="H196" s="19"/>
      <c r="I196" s="19"/>
      <c r="J196" s="19"/>
      <c r="K196" s="19"/>
      <c r="L196" s="19"/>
      <c r="M196" s="19"/>
      <c r="N196" s="19"/>
      <c r="O196" s="31"/>
      <c r="P196" s="31"/>
      <c r="Q196" s="31"/>
      <c r="R196" s="31"/>
      <c r="S196" s="31"/>
      <c r="T196" s="31"/>
      <c r="U196" s="31"/>
      <c r="V196" s="31"/>
      <c r="W196" s="31"/>
      <c r="X196" s="31"/>
      <c r="Y196" s="31"/>
      <c r="Z196" s="31"/>
      <c r="AA196" s="31"/>
      <c r="AB196" s="31"/>
      <c r="AC196" s="31"/>
    </row>
    <row r="197" spans="1:29" x14ac:dyDescent="0.35">
      <c r="A197" s="19"/>
      <c r="B197" s="120" t="s">
        <v>582</v>
      </c>
      <c r="C197" s="124">
        <v>13</v>
      </c>
      <c r="D197" s="124">
        <v>13</v>
      </c>
      <c r="E197" s="147">
        <v>0.1</v>
      </c>
      <c r="F197" s="19"/>
      <c r="G197" s="19"/>
      <c r="H197" s="19"/>
      <c r="I197" s="19"/>
      <c r="J197" s="19"/>
      <c r="K197" s="19"/>
      <c r="L197" s="19"/>
      <c r="M197" s="19"/>
      <c r="N197" s="19"/>
      <c r="O197" s="31"/>
      <c r="P197" s="31"/>
      <c r="Q197" s="31"/>
      <c r="R197" s="31"/>
      <c r="S197" s="31"/>
      <c r="T197" s="31"/>
      <c r="U197" s="31"/>
      <c r="V197" s="31"/>
      <c r="W197" s="31"/>
      <c r="X197" s="31"/>
      <c r="Y197" s="31"/>
      <c r="Z197" s="31"/>
      <c r="AA197" s="31"/>
      <c r="AB197" s="31"/>
      <c r="AC197" s="31"/>
    </row>
    <row r="198" spans="1:29" x14ac:dyDescent="0.35">
      <c r="A198" s="19"/>
      <c r="B198" s="120" t="s">
        <v>583</v>
      </c>
      <c r="C198" s="124">
        <v>13</v>
      </c>
      <c r="D198" s="124">
        <v>13</v>
      </c>
      <c r="E198" s="147">
        <v>0</v>
      </c>
      <c r="F198" s="2628" t="s">
        <v>3375</v>
      </c>
      <c r="G198" s="2551">
        <v>13</v>
      </c>
      <c r="H198" s="19"/>
      <c r="I198" s="19"/>
      <c r="J198" s="19"/>
      <c r="K198" s="19"/>
      <c r="L198" s="19"/>
      <c r="M198" s="19"/>
      <c r="N198" s="19"/>
      <c r="O198" s="31"/>
      <c r="P198" s="31"/>
      <c r="Q198" s="31"/>
      <c r="R198" s="31"/>
      <c r="S198" s="31"/>
      <c r="T198" s="31"/>
      <c r="U198" s="31"/>
      <c r="V198" s="31"/>
      <c r="W198" s="31"/>
      <c r="X198" s="31"/>
      <c r="Y198" s="31"/>
      <c r="Z198" s="31"/>
      <c r="AA198" s="31"/>
      <c r="AB198" s="31"/>
      <c r="AC198" s="31"/>
    </row>
    <row r="199" spans="1:29" x14ac:dyDescent="0.35">
      <c r="A199" s="19"/>
      <c r="B199" s="120" t="s">
        <v>584</v>
      </c>
      <c r="C199" s="124">
        <v>14</v>
      </c>
      <c r="D199" s="124">
        <v>14</v>
      </c>
      <c r="E199" s="147">
        <v>0</v>
      </c>
      <c r="F199" s="2628" t="s">
        <v>3376</v>
      </c>
      <c r="G199" s="2551">
        <v>14</v>
      </c>
      <c r="H199" s="19"/>
      <c r="I199" s="19"/>
      <c r="J199" s="19"/>
      <c r="K199" s="19"/>
      <c r="L199" s="19"/>
      <c r="M199" s="19"/>
      <c r="N199" s="19"/>
      <c r="O199" s="31"/>
      <c r="P199" s="31"/>
      <c r="Q199" s="31"/>
      <c r="R199" s="31"/>
      <c r="S199" s="31"/>
      <c r="T199" s="31"/>
      <c r="U199" s="31"/>
      <c r="V199" s="31"/>
      <c r="W199" s="31"/>
      <c r="X199" s="31"/>
      <c r="Y199" s="31"/>
      <c r="Z199" s="31"/>
      <c r="AA199" s="31"/>
      <c r="AB199" s="31"/>
      <c r="AC199" s="31"/>
    </row>
    <row r="200" spans="1:29" x14ac:dyDescent="0.35">
      <c r="A200" s="19"/>
      <c r="B200" s="120" t="s">
        <v>336</v>
      </c>
      <c r="C200" s="126">
        <f>SUMPRODUCT(C196:C199,$E$196:$E$199)</f>
        <v>10.3</v>
      </c>
      <c r="D200" s="126">
        <f>SUMPRODUCT(D196:D199,$E$196:$E$199)</f>
        <v>10.3</v>
      </c>
      <c r="E200" s="19"/>
      <c r="F200" s="2628" t="s">
        <v>3377</v>
      </c>
      <c r="G200" s="2551">
        <f>AVERAGE(G198:G199)</f>
        <v>13.5</v>
      </c>
      <c r="H200" s="19"/>
      <c r="I200" s="19"/>
      <c r="J200" s="19"/>
      <c r="K200" s="19"/>
      <c r="L200" s="19"/>
      <c r="M200" s="19"/>
      <c r="N200" s="19"/>
      <c r="O200" s="31"/>
      <c r="P200" s="31"/>
      <c r="Q200" s="31"/>
      <c r="R200" s="31"/>
      <c r="S200" s="31"/>
      <c r="T200" s="31"/>
      <c r="U200" s="31"/>
      <c r="V200" s="31"/>
      <c r="W200" s="31"/>
      <c r="X200" s="31"/>
      <c r="Y200" s="31"/>
      <c r="Z200" s="31"/>
      <c r="AA200" s="31"/>
      <c r="AB200" s="31"/>
      <c r="AC200" s="31"/>
    </row>
    <row r="201" spans="1:29" x14ac:dyDescent="0.35">
      <c r="A201" s="19"/>
      <c r="B201" s="120" t="s">
        <v>586</v>
      </c>
      <c r="C201" s="128">
        <v>0.8</v>
      </c>
      <c r="D201" s="128">
        <v>0.8</v>
      </c>
      <c r="E201" s="19"/>
      <c r="F201" s="19"/>
      <c r="G201" s="19"/>
      <c r="H201" s="19"/>
      <c r="I201" s="19"/>
      <c r="J201" s="19"/>
      <c r="K201" s="19"/>
      <c r="L201" s="19"/>
      <c r="M201" s="19"/>
      <c r="N201" s="19"/>
      <c r="O201" s="31"/>
      <c r="P201" s="31"/>
      <c r="Q201" s="31"/>
      <c r="R201" s="31"/>
      <c r="S201" s="31"/>
      <c r="T201" s="31"/>
      <c r="U201" s="31"/>
      <c r="V201" s="31"/>
      <c r="W201" s="31"/>
      <c r="X201" s="31"/>
      <c r="Y201" s="31"/>
      <c r="Z201" s="31"/>
      <c r="AA201" s="31"/>
      <c r="AB201" s="31"/>
      <c r="AC201" s="31"/>
    </row>
    <row r="202" spans="1:29" x14ac:dyDescent="0.35">
      <c r="A202" s="19"/>
      <c r="B202" s="611" t="s">
        <v>587</v>
      </c>
      <c r="C202" s="612">
        <f>(((1/C190-1/C191)*C192*(1-C193/2))*24*C194*C195)/(1000*C200)*C201</f>
        <v>0.1478637246248897</v>
      </c>
      <c r="D202" s="612">
        <f>(((1/D190-1/D191)*D192*(1-D193/2))*24*D194*D195)/(1000*D200)*D201</f>
        <v>0.1478637246248897</v>
      </c>
      <c r="E202" s="19"/>
      <c r="F202" s="2628" t="s">
        <v>3373</v>
      </c>
      <c r="G202" s="2626">
        <f>(((1/D190-1/D191)*D192*(1-D193/2))*24*D194*D195)/(1000*G200)*D201</f>
        <v>0.11281454545454549</v>
      </c>
      <c r="H202" s="19"/>
      <c r="I202" s="19"/>
      <c r="J202" s="19"/>
      <c r="K202" s="19"/>
      <c r="L202" s="19"/>
      <c r="M202" s="19"/>
      <c r="N202" s="19"/>
      <c r="O202" s="31"/>
      <c r="P202" s="31"/>
      <c r="Q202" s="31"/>
      <c r="R202" s="31"/>
      <c r="S202" s="31"/>
      <c r="T202" s="31"/>
      <c r="U202" s="31"/>
      <c r="V202" s="31"/>
      <c r="W202" s="31"/>
      <c r="X202" s="31"/>
      <c r="Y202" s="31"/>
      <c r="Z202" s="31"/>
      <c r="AA202" s="31"/>
      <c r="AB202" s="31"/>
      <c r="AC202" s="31"/>
    </row>
    <row r="203" spans="1:29" x14ac:dyDescent="0.35">
      <c r="A203" s="19"/>
      <c r="B203" s="120" t="s">
        <v>588</v>
      </c>
      <c r="C203" s="129"/>
      <c r="D203" s="129"/>
      <c r="E203" s="19"/>
      <c r="F203" s="19"/>
      <c r="G203" s="19"/>
      <c r="H203" s="19"/>
      <c r="I203" s="19"/>
      <c r="J203" s="19"/>
      <c r="K203" s="19"/>
      <c r="L203" s="19"/>
      <c r="M203" s="19"/>
      <c r="N203" s="19"/>
      <c r="O203" s="31"/>
      <c r="P203" s="31"/>
      <c r="Q203" s="31"/>
      <c r="R203" s="31"/>
      <c r="S203" s="31"/>
      <c r="T203" s="31"/>
      <c r="U203" s="31"/>
      <c r="V203" s="31"/>
      <c r="W203" s="31"/>
      <c r="X203" s="31"/>
      <c r="Y203" s="31"/>
      <c r="Z203" s="31"/>
      <c r="AA203" s="31"/>
      <c r="AB203" s="31"/>
      <c r="AC203" s="31"/>
    </row>
    <row r="204" spans="1:29" x14ac:dyDescent="0.35">
      <c r="A204" s="19"/>
      <c r="B204" s="120" t="s">
        <v>589</v>
      </c>
      <c r="C204" s="130">
        <v>0.6</v>
      </c>
      <c r="D204" s="130">
        <v>0.6</v>
      </c>
      <c r="E204" s="19"/>
      <c r="F204" s="19"/>
      <c r="G204" s="19"/>
      <c r="H204" s="19"/>
      <c r="I204" s="19"/>
      <c r="J204" s="19"/>
      <c r="K204" s="19"/>
      <c r="L204" s="19"/>
      <c r="M204" s="19"/>
      <c r="N204" s="19"/>
      <c r="O204" s="31"/>
      <c r="P204" s="31"/>
      <c r="Q204" s="31"/>
      <c r="R204" s="31"/>
      <c r="S204" s="31"/>
      <c r="T204" s="31"/>
      <c r="U204" s="31"/>
      <c r="V204" s="31"/>
      <c r="W204" s="31"/>
      <c r="X204" s="31"/>
      <c r="Y204" s="31"/>
      <c r="Z204" s="31"/>
      <c r="AA204" s="31"/>
      <c r="AB204" s="31"/>
      <c r="AC204" s="31"/>
    </row>
    <row r="205" spans="1:29" x14ac:dyDescent="0.35">
      <c r="A205" s="19"/>
      <c r="B205" s="120" t="s">
        <v>600</v>
      </c>
      <c r="C205" s="124">
        <v>4379</v>
      </c>
      <c r="D205" s="124">
        <v>4379</v>
      </c>
      <c r="E205" s="121" t="s">
        <v>614</v>
      </c>
      <c r="F205" s="19"/>
      <c r="G205" s="19"/>
      <c r="H205" s="19"/>
      <c r="I205" s="19"/>
      <c r="J205" s="19"/>
      <c r="K205" s="19"/>
      <c r="L205" s="19"/>
      <c r="M205" s="19"/>
      <c r="N205" s="19"/>
      <c r="O205" s="31"/>
      <c r="P205" s="31"/>
      <c r="Q205" s="31"/>
      <c r="R205" s="31"/>
      <c r="S205" s="31"/>
      <c r="T205" s="31"/>
      <c r="U205" s="31"/>
      <c r="V205" s="31"/>
      <c r="W205" s="31"/>
      <c r="X205" s="31"/>
      <c r="Y205" s="31"/>
      <c r="Z205" s="31"/>
      <c r="AA205" s="31"/>
      <c r="AB205" s="31"/>
      <c r="AC205" s="31"/>
    </row>
    <row r="206" spans="1:29" x14ac:dyDescent="0.35">
      <c r="A206" s="19"/>
      <c r="B206" s="120" t="s">
        <v>603</v>
      </c>
      <c r="C206" s="126">
        <v>1.7</v>
      </c>
      <c r="D206" s="126">
        <v>1.7</v>
      </c>
      <c r="E206" s="147">
        <v>0.9</v>
      </c>
      <c r="F206" s="19"/>
      <c r="G206" s="19"/>
      <c r="H206" s="19"/>
      <c r="I206" s="19"/>
      <c r="J206" s="19"/>
      <c r="K206" s="19"/>
      <c r="L206" s="19"/>
      <c r="M206" s="19"/>
      <c r="N206" s="19"/>
      <c r="O206" s="31"/>
      <c r="P206" s="31"/>
      <c r="Q206" s="31"/>
      <c r="R206" s="31"/>
      <c r="S206" s="31"/>
      <c r="T206" s="31"/>
      <c r="U206" s="31"/>
      <c r="V206" s="31"/>
      <c r="W206" s="31"/>
      <c r="X206" s="31"/>
      <c r="Y206" s="31"/>
      <c r="Z206" s="31"/>
      <c r="AA206" s="31"/>
      <c r="AB206" s="31"/>
      <c r="AC206" s="31"/>
    </row>
    <row r="207" spans="1:29" x14ac:dyDescent="0.35">
      <c r="A207" s="19"/>
      <c r="B207" s="120" t="s">
        <v>605</v>
      </c>
      <c r="C207" s="126">
        <v>1.92</v>
      </c>
      <c r="D207" s="126">
        <v>1.92</v>
      </c>
      <c r="E207" s="147">
        <v>0.1</v>
      </c>
      <c r="F207" s="19"/>
      <c r="G207" s="19"/>
      <c r="H207" s="19"/>
      <c r="I207" s="19"/>
      <c r="J207" s="19"/>
      <c r="K207" s="19"/>
      <c r="L207" s="19"/>
      <c r="M207" s="19"/>
      <c r="N207" s="19"/>
      <c r="O207" s="31"/>
      <c r="P207" s="31"/>
      <c r="Q207" s="31"/>
      <c r="R207" s="31"/>
      <c r="S207" s="31"/>
      <c r="T207" s="31"/>
      <c r="U207" s="31"/>
      <c r="V207" s="31"/>
      <c r="W207" s="31"/>
      <c r="X207" s="31"/>
      <c r="Y207" s="31"/>
      <c r="Z207" s="31"/>
      <c r="AA207" s="31"/>
      <c r="AB207" s="31"/>
      <c r="AC207" s="31"/>
    </row>
    <row r="208" spans="1:29" x14ac:dyDescent="0.35">
      <c r="A208" s="19"/>
      <c r="B208" s="120" t="s">
        <v>607</v>
      </c>
      <c r="C208" s="126">
        <v>2.04</v>
      </c>
      <c r="D208" s="126">
        <v>2.04</v>
      </c>
      <c r="E208" s="147">
        <v>0</v>
      </c>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x14ac:dyDescent="0.35">
      <c r="A209" s="19"/>
      <c r="B209" s="120" t="s">
        <v>609</v>
      </c>
      <c r="C209" s="126">
        <f>SUMPRODUCT(C206:C208,$E$206:$E$208)</f>
        <v>1.722</v>
      </c>
      <c r="D209" s="126">
        <f>SUMPRODUCT(D206:D208,$E$206:$E$208)</f>
        <v>1.722</v>
      </c>
      <c r="E209" s="19"/>
      <c r="F209" s="2628" t="s">
        <v>3378</v>
      </c>
      <c r="G209" s="2551">
        <v>2.04</v>
      </c>
      <c r="H209" s="234"/>
      <c r="I209" s="19"/>
      <c r="J209" s="19"/>
      <c r="K209" s="19"/>
      <c r="L209" s="19"/>
      <c r="M209" s="19"/>
      <c r="N209" s="19"/>
      <c r="O209" s="19"/>
      <c r="P209" s="19"/>
      <c r="Q209" s="19"/>
      <c r="R209" s="19"/>
      <c r="S209" s="19"/>
      <c r="T209" s="19"/>
      <c r="U209" s="19"/>
      <c r="V209" s="19"/>
      <c r="W209" s="19"/>
      <c r="X209" s="19"/>
      <c r="Y209" s="19"/>
      <c r="Z209" s="19"/>
      <c r="AA209" s="19"/>
      <c r="AB209" s="19"/>
      <c r="AC209" s="19"/>
    </row>
    <row r="210" spans="1:29" x14ac:dyDescent="0.35">
      <c r="A210" s="19"/>
      <c r="B210" s="120" t="s">
        <v>610</v>
      </c>
      <c r="C210" s="126">
        <v>1</v>
      </c>
      <c r="D210" s="126">
        <v>1</v>
      </c>
      <c r="E210" s="19"/>
      <c r="F210" s="2628" t="s">
        <v>3379</v>
      </c>
      <c r="G210" s="2627">
        <v>1</v>
      </c>
      <c r="H210" s="234"/>
      <c r="I210" s="19"/>
      <c r="J210" s="19"/>
      <c r="K210" s="19"/>
      <c r="L210" s="19"/>
      <c r="M210" s="19"/>
      <c r="N210" s="19"/>
      <c r="O210" s="19"/>
      <c r="P210" s="19"/>
      <c r="Q210" s="19"/>
      <c r="R210" s="19"/>
      <c r="S210" s="19"/>
      <c r="T210" s="19"/>
      <c r="U210" s="19"/>
      <c r="V210" s="19"/>
      <c r="W210" s="19"/>
      <c r="X210" s="19"/>
      <c r="Y210" s="19"/>
      <c r="Z210" s="19"/>
      <c r="AA210" s="19"/>
      <c r="AB210" s="19"/>
      <c r="AC210" s="19"/>
    </row>
    <row r="211" spans="1:29" x14ac:dyDescent="0.35">
      <c r="A211" s="19"/>
      <c r="B211" s="611" t="s">
        <v>611</v>
      </c>
      <c r="C211" s="612">
        <f>(((1/C190-1/C191)*C192*(1-C193)*C204)*24*C205)/(C209*3412)</f>
        <v>0.87810225402081976</v>
      </c>
      <c r="D211" s="612">
        <f>(((1/D190-1/D191)*D192*(1-D193)*D204)*24*D205)/(D209*3412)</f>
        <v>0.87810225402081976</v>
      </c>
      <c r="E211" s="121" t="s">
        <v>447</v>
      </c>
      <c r="F211" s="2628" t="s">
        <v>3374</v>
      </c>
      <c r="G211" s="2626">
        <f>(((1/D190-1/D191)*D192*(1-D193)*D204)*24*D205)/(G209*3412)</f>
        <v>0.74122160854110364</v>
      </c>
      <c r="H211" s="2628" t="s">
        <v>604</v>
      </c>
      <c r="I211" s="19"/>
      <c r="J211" s="19"/>
      <c r="K211" s="149" t="s">
        <v>285</v>
      </c>
      <c r="L211" s="29" t="s">
        <v>286</v>
      </c>
      <c r="M211" s="29" t="s">
        <v>590</v>
      </c>
      <c r="N211" s="29" t="s">
        <v>568</v>
      </c>
      <c r="O211" s="29" t="s">
        <v>591</v>
      </c>
      <c r="P211" s="29" t="s">
        <v>592</v>
      </c>
      <c r="Q211" s="226" t="s">
        <v>742</v>
      </c>
      <c r="R211" s="29"/>
      <c r="S211" s="29"/>
      <c r="T211" s="29" t="s">
        <v>342</v>
      </c>
      <c r="U211" s="29" t="s">
        <v>594</v>
      </c>
      <c r="V211" s="29" t="s">
        <v>301</v>
      </c>
      <c r="W211" s="29" t="s">
        <v>595</v>
      </c>
      <c r="X211" s="29" t="s">
        <v>596</v>
      </c>
      <c r="Y211" s="29" t="s">
        <v>597</v>
      </c>
      <c r="Z211" s="29" t="s">
        <v>377</v>
      </c>
      <c r="AA211" s="29" t="s">
        <v>598</v>
      </c>
      <c r="AB211" s="132" t="s">
        <v>599</v>
      </c>
      <c r="AC211" s="19"/>
    </row>
    <row r="212" spans="1:29" x14ac:dyDescent="0.35">
      <c r="A212" s="19"/>
      <c r="B212" s="611" t="s">
        <v>611</v>
      </c>
      <c r="C212" s="612">
        <f>(((1/C190-1/C191)*C192*(1-C193)*C204)*24*C205)/(C210*3412)</f>
        <v>1.5120920814238517</v>
      </c>
      <c r="D212" s="612">
        <f>(((1/D190-1/D191)*D192*(1-D193)*D204)*24*D205)/(D210*3412)</f>
        <v>1.5120920814238517</v>
      </c>
      <c r="E212" s="121" t="s">
        <v>1740</v>
      </c>
      <c r="F212" s="2628" t="s">
        <v>3374</v>
      </c>
      <c r="G212" s="2626">
        <f>(((1/D190-1/D191)*D192*(1-D193)*D204)*24*D205)/(G210*3412)</f>
        <v>1.5120920814238517</v>
      </c>
      <c r="H212" s="2628" t="s">
        <v>298</v>
      </c>
      <c r="I212" s="19"/>
      <c r="J212" s="19"/>
      <c r="K212" s="250" t="s">
        <v>7</v>
      </c>
      <c r="L212" s="251" t="s">
        <v>8</v>
      </c>
      <c r="M212" s="251" t="s">
        <v>617</v>
      </c>
      <c r="N212" s="251" t="s">
        <v>618</v>
      </c>
      <c r="O212" s="251" t="s">
        <v>602</v>
      </c>
      <c r="P212" s="252">
        <f>$C$180</f>
        <v>20</v>
      </c>
      <c r="Q212" s="252">
        <v>800</v>
      </c>
      <c r="R212" s="251"/>
      <c r="S212" s="251"/>
      <c r="T212" s="248">
        <f>INDEX($C$235:$C$246,MATCH($T$211&amp;"_"&amp;$O212,$A$235:$A$246,0))</f>
        <v>0.21588114730403357</v>
      </c>
      <c r="U212" s="37">
        <v>0</v>
      </c>
      <c r="V212" s="37">
        <f>INDEX($C$235:$C$246,MATCH($V$211&amp;"_"&amp;$O212,$A$235:$A$246,0))</f>
        <v>1.3773607225332193E-4</v>
      </c>
      <c r="W212" s="37">
        <v>0</v>
      </c>
      <c r="X212" s="37">
        <f>INDEX($C$235:$C$246,MATCH($X$211&amp;"_"&amp;$O212,$A$235:$A$246,0))</f>
        <v>6.5881147304033563E-2</v>
      </c>
      <c r="Y212" s="37">
        <v>0</v>
      </c>
      <c r="Z212" s="37">
        <f>'RES Shell'!$C$36</f>
        <v>0.8</v>
      </c>
      <c r="AA212" s="37">
        <v>0</v>
      </c>
      <c r="AB212" s="151" t="s">
        <v>294</v>
      </c>
      <c r="AC212" s="19"/>
    </row>
    <row r="213" spans="1:29" x14ac:dyDescent="0.35">
      <c r="A213" s="19"/>
      <c r="B213" s="120"/>
      <c r="C213" s="129"/>
      <c r="D213" s="129"/>
      <c r="E213" s="19"/>
      <c r="F213" s="19"/>
      <c r="G213" s="19"/>
      <c r="H213" s="19"/>
      <c r="I213" s="19"/>
      <c r="J213" s="19"/>
      <c r="K213" s="253" t="s">
        <v>7</v>
      </c>
      <c r="L213" s="254" t="s">
        <v>8</v>
      </c>
      <c r="M213" s="254" t="s">
        <v>617</v>
      </c>
      <c r="N213" s="254" t="s">
        <v>618</v>
      </c>
      <c r="O213" s="254" t="s">
        <v>604</v>
      </c>
      <c r="P213" s="255">
        <f t="shared" ref="P213:P215" si="54">$C$180</f>
        <v>20</v>
      </c>
      <c r="Q213" s="255">
        <f>Assumptions!$G$10</f>
        <v>800</v>
      </c>
      <c r="R213" s="254"/>
      <c r="S213" s="254"/>
      <c r="T213" s="256">
        <f>INDEX($C$235:$C$246,MATCH($T$211&amp;"_"&amp;$O213,$A$235:$A$246,0))</f>
        <v>1.03</v>
      </c>
      <c r="U213" s="37">
        <v>0</v>
      </c>
      <c r="V213" s="37">
        <f>INDEX($C$235:$C$246,MATCH($V$211&amp;"_"&amp;$O213,$A$235:$A$246,0))</f>
        <v>1.3773607225332193E-4</v>
      </c>
      <c r="W213" s="37">
        <v>0</v>
      </c>
      <c r="X213" s="37">
        <f>INDEX($C$235:$C$246,MATCH($X$211&amp;"_"&amp;$O213,$A$235:$A$246,0))</f>
        <v>0</v>
      </c>
      <c r="Y213" s="37">
        <v>0</v>
      </c>
      <c r="Z213" s="37">
        <f>'RES Shell'!$C$36</f>
        <v>0.8</v>
      </c>
      <c r="AA213" s="37">
        <v>0</v>
      </c>
      <c r="AB213" s="153" t="s">
        <v>294</v>
      </c>
      <c r="AC213" s="19"/>
    </row>
    <row r="214" spans="1:29" x14ac:dyDescent="0.35">
      <c r="A214" s="19"/>
      <c r="B214" s="120" t="s">
        <v>342</v>
      </c>
      <c r="C214" s="139">
        <f>ROUND(C202,2)</f>
        <v>0.15</v>
      </c>
      <c r="D214" s="139">
        <f>ROUND(D202,2)</f>
        <v>0.15</v>
      </c>
      <c r="E214" s="19" t="str">
        <f>L124</f>
        <v>AC only</v>
      </c>
      <c r="F214" s="2628" t="s">
        <v>3372</v>
      </c>
      <c r="G214" s="2629">
        <f>ROUND(G202,2)</f>
        <v>0.11</v>
      </c>
      <c r="H214" s="2551" t="s">
        <v>612</v>
      </c>
      <c r="I214" s="19"/>
      <c r="J214" s="19"/>
      <c r="K214" s="253" t="s">
        <v>7</v>
      </c>
      <c r="L214" s="254" t="s">
        <v>8</v>
      </c>
      <c r="M214" s="254" t="s">
        <v>617</v>
      </c>
      <c r="N214" s="254" t="s">
        <v>618</v>
      </c>
      <c r="O214" s="254" t="s">
        <v>606</v>
      </c>
      <c r="P214" s="255">
        <f t="shared" si="54"/>
        <v>20</v>
      </c>
      <c r="Q214" s="255">
        <f>Assumptions!$G$10</f>
        <v>800</v>
      </c>
      <c r="R214" s="254"/>
      <c r="S214" s="254"/>
      <c r="T214" s="256">
        <f>INDEX($C$235:$C$246,MATCH($T$211&amp;"_"&amp;$O214,$A$235:$A$246,0))</f>
        <v>1.51</v>
      </c>
      <c r="U214" s="37">
        <v>0</v>
      </c>
      <c r="V214" s="37">
        <f>INDEX($C$235:$C$246,MATCH($V$211&amp;"_"&amp;$O214,$A$235:$A$246,0))</f>
        <v>0</v>
      </c>
      <c r="W214" s="37">
        <v>0</v>
      </c>
      <c r="X214" s="37">
        <f>INDEX($C$235:$C$246,MATCH($X$211&amp;"_"&amp;$O214,$A$235:$A$246,0))</f>
        <v>0</v>
      </c>
      <c r="Y214" s="37">
        <v>0</v>
      </c>
      <c r="Z214" s="37">
        <f>'RES Shell'!$C$36</f>
        <v>0.8</v>
      </c>
      <c r="AA214" s="37">
        <v>0</v>
      </c>
      <c r="AB214" s="153" t="s">
        <v>294</v>
      </c>
      <c r="AC214" s="19"/>
    </row>
    <row r="215" spans="1:29" x14ac:dyDescent="0.35">
      <c r="A215" s="19"/>
      <c r="B215" s="120" t="s">
        <v>342</v>
      </c>
      <c r="C215" s="139">
        <f>ROUND(C202+C211,2)</f>
        <v>1.03</v>
      </c>
      <c r="D215" s="139">
        <f>ROUND(D202+D211,2)</f>
        <v>1.03</v>
      </c>
      <c r="E215" s="19" t="str">
        <f>L125</f>
        <v>Heat pump</v>
      </c>
      <c r="F215" s="2628" t="s">
        <v>3372</v>
      </c>
      <c r="G215" s="2629">
        <f>ROUND(G202+G211,2)</f>
        <v>0.85</v>
      </c>
      <c r="H215" s="2551" t="s">
        <v>604</v>
      </c>
      <c r="I215" s="19"/>
      <c r="J215" s="19"/>
      <c r="K215" s="133" t="s">
        <v>7</v>
      </c>
      <c r="L215" s="31" t="s">
        <v>8</v>
      </c>
      <c r="M215" s="31" t="s">
        <v>617</v>
      </c>
      <c r="N215" s="31" t="s">
        <v>618</v>
      </c>
      <c r="O215" s="31" t="s">
        <v>608</v>
      </c>
      <c r="P215" s="135">
        <f t="shared" si="54"/>
        <v>20</v>
      </c>
      <c r="Q215" s="135">
        <f>Assumptions!$G$10</f>
        <v>800</v>
      </c>
      <c r="R215" s="31"/>
      <c r="S215" s="31"/>
      <c r="T215" s="37">
        <f>INDEX($C$235:$C$246,MATCH($T$211&amp;"_"&amp;$O215,$A$235:$A$246,0))</f>
        <v>1.66</v>
      </c>
      <c r="U215" s="37">
        <v>0</v>
      </c>
      <c r="V215" s="37">
        <f>INDEX($C$235:$C$246,MATCH($V$211&amp;"_"&amp;$O215,$A$235:$A$246,0))</f>
        <v>1.3773607225332193E-4</v>
      </c>
      <c r="W215" s="37">
        <v>0</v>
      </c>
      <c r="X215" s="37">
        <f>INDEX($C$235:$C$246,MATCH($X$211&amp;"_"&amp;$O215,$A$235:$A$246,0))</f>
        <v>0</v>
      </c>
      <c r="Y215" s="37">
        <v>0</v>
      </c>
      <c r="Z215" s="37">
        <f>'RES Shell'!$C$36</f>
        <v>0.8</v>
      </c>
      <c r="AA215" s="37">
        <v>0</v>
      </c>
      <c r="AB215" s="153" t="s">
        <v>294</v>
      </c>
      <c r="AC215" s="19"/>
    </row>
    <row r="216" spans="1:29" x14ac:dyDescent="0.35">
      <c r="A216" s="19"/>
      <c r="B216" s="120" t="s">
        <v>342</v>
      </c>
      <c r="C216" s="139">
        <f>ROUND(C212,2)</f>
        <v>1.51</v>
      </c>
      <c r="D216" s="139">
        <f>ROUND(D212,2)</f>
        <v>1.51</v>
      </c>
      <c r="E216" s="19" t="str">
        <f>L126</f>
        <v>Resistance, heat only</v>
      </c>
      <c r="F216" s="2628" t="s">
        <v>3372</v>
      </c>
      <c r="G216" s="2629">
        <f>ROUND(G212,2)</f>
        <v>1.51</v>
      </c>
      <c r="H216" s="2551" t="s">
        <v>606</v>
      </c>
      <c r="I216" s="19"/>
      <c r="J216" s="19"/>
      <c r="K216" s="133"/>
      <c r="L216" s="31"/>
      <c r="M216" s="31"/>
      <c r="N216" s="31"/>
      <c r="O216" s="31"/>
      <c r="P216" s="135"/>
      <c r="Q216" s="135"/>
      <c r="R216" s="31"/>
      <c r="S216" s="31"/>
      <c r="T216" s="248">
        <f t="shared" ref="T216:X219" si="55">T212*$Q$212</f>
        <v>172.70491784322687</v>
      </c>
      <c r="U216" s="37">
        <f t="shared" si="55"/>
        <v>0</v>
      </c>
      <c r="V216" s="248">
        <f t="shared" si="55"/>
        <v>0.11018885780265755</v>
      </c>
      <c r="W216" s="37">
        <f t="shared" si="55"/>
        <v>0</v>
      </c>
      <c r="X216" s="248">
        <f t="shared" si="55"/>
        <v>52.704917843226852</v>
      </c>
      <c r="Y216" s="37"/>
      <c r="Z216" s="37"/>
      <c r="AA216" s="37"/>
      <c r="AB216" s="153"/>
      <c r="AC216" s="19"/>
    </row>
    <row r="217" spans="1:29" x14ac:dyDescent="0.35">
      <c r="A217" s="19"/>
      <c r="B217" s="120" t="s">
        <v>342</v>
      </c>
      <c r="C217" s="139">
        <f>ROUND(C202+C212,2)</f>
        <v>1.66</v>
      </c>
      <c r="D217" s="139">
        <f>ROUND(D202+D212,2)</f>
        <v>1.66</v>
      </c>
      <c r="E217" s="19" t="str">
        <f>L127</f>
        <v>Resistance w/ AC</v>
      </c>
      <c r="F217" s="2628" t="s">
        <v>3372</v>
      </c>
      <c r="G217" s="2629">
        <f>ROUND(G202+G212,2)</f>
        <v>1.62</v>
      </c>
      <c r="H217" s="2551" t="s">
        <v>608</v>
      </c>
      <c r="I217" s="19"/>
      <c r="J217" s="19"/>
      <c r="K217" s="133"/>
      <c r="L217" s="31"/>
      <c r="M217" s="31"/>
      <c r="N217" s="31"/>
      <c r="O217" s="31"/>
      <c r="P217" s="135"/>
      <c r="Q217" s="31"/>
      <c r="R217" s="31"/>
      <c r="S217" s="31"/>
      <c r="T217" s="248">
        <f t="shared" si="55"/>
        <v>824</v>
      </c>
      <c r="U217" s="37">
        <f t="shared" si="55"/>
        <v>0</v>
      </c>
      <c r="V217" s="248">
        <f t="shared" si="55"/>
        <v>0.11018885780265755</v>
      </c>
      <c r="W217" s="37">
        <f t="shared" si="55"/>
        <v>0</v>
      </c>
      <c r="X217" s="248">
        <f t="shared" si="55"/>
        <v>0</v>
      </c>
      <c r="Y217" s="37"/>
      <c r="Z217" s="37"/>
      <c r="AA217" s="37"/>
      <c r="AB217" s="153"/>
      <c r="AC217" s="19"/>
    </row>
    <row r="218" spans="1:29" x14ac:dyDescent="0.35">
      <c r="A218" s="19"/>
      <c r="B218" s="120"/>
      <c r="C218" s="148"/>
      <c r="D218" s="148"/>
      <c r="E218" s="19"/>
      <c r="F218" s="19"/>
      <c r="G218" s="19"/>
      <c r="H218" s="19"/>
      <c r="I218" s="19"/>
      <c r="J218" s="19"/>
      <c r="K218" s="133"/>
      <c r="L218" s="31"/>
      <c r="M218" s="31"/>
      <c r="N218" s="31"/>
      <c r="O218" s="31"/>
      <c r="P218" s="135"/>
      <c r="Q218" s="31"/>
      <c r="R218" s="31"/>
      <c r="S218" s="31"/>
      <c r="T218" s="248">
        <f t="shared" si="55"/>
        <v>1208</v>
      </c>
      <c r="U218" s="37">
        <f t="shared" si="55"/>
        <v>0</v>
      </c>
      <c r="V218" s="248">
        <f t="shared" si="55"/>
        <v>0</v>
      </c>
      <c r="W218" s="37">
        <f t="shared" si="55"/>
        <v>0</v>
      </c>
      <c r="X218" s="248">
        <f t="shared" si="55"/>
        <v>0</v>
      </c>
      <c r="Y218" s="37"/>
      <c r="Z218" s="37"/>
      <c r="AA218" s="37"/>
      <c r="AB218" s="153"/>
      <c r="AC218" s="19"/>
    </row>
    <row r="219" spans="1:29" x14ac:dyDescent="0.35">
      <c r="A219" s="19"/>
      <c r="B219" s="120" t="s">
        <v>613</v>
      </c>
      <c r="C219" s="148">
        <v>663</v>
      </c>
      <c r="D219" s="148">
        <v>663</v>
      </c>
      <c r="E219" s="121" t="s">
        <v>745</v>
      </c>
      <c r="F219" s="19"/>
      <c r="G219" s="19"/>
      <c r="H219" s="19"/>
      <c r="I219" s="19"/>
      <c r="J219" s="19"/>
      <c r="K219" s="142"/>
      <c r="L219" s="143"/>
      <c r="M219" s="143"/>
      <c r="N219" s="143"/>
      <c r="O219" s="143"/>
      <c r="P219" s="144"/>
      <c r="Q219" s="143"/>
      <c r="R219" s="143"/>
      <c r="S219" s="143"/>
      <c r="T219" s="249">
        <f t="shared" si="55"/>
        <v>1328</v>
      </c>
      <c r="U219" s="145">
        <f t="shared" si="55"/>
        <v>0</v>
      </c>
      <c r="V219" s="249">
        <f t="shared" si="55"/>
        <v>0.11018885780265755</v>
      </c>
      <c r="W219" s="145">
        <f t="shared" si="55"/>
        <v>0</v>
      </c>
      <c r="X219" s="249">
        <f t="shared" si="55"/>
        <v>0</v>
      </c>
      <c r="Y219" s="145"/>
      <c r="Z219" s="145"/>
      <c r="AA219" s="145"/>
      <c r="AB219" s="156"/>
      <c r="AC219" s="19"/>
    </row>
    <row r="220" spans="1:29" x14ac:dyDescent="0.35">
      <c r="A220" s="19"/>
      <c r="B220" s="120"/>
      <c r="C220" s="148">
        <v>730</v>
      </c>
      <c r="D220" s="148">
        <v>730</v>
      </c>
      <c r="E220" s="121" t="s">
        <v>744</v>
      </c>
      <c r="F220" s="19"/>
      <c r="G220" s="19"/>
      <c r="H220" s="19"/>
      <c r="I220" s="19"/>
      <c r="J220" s="121" t="s">
        <v>1742</v>
      </c>
      <c r="K220" s="19"/>
      <c r="L220" s="19"/>
      <c r="M220" s="19"/>
      <c r="N220" s="19"/>
      <c r="O220" s="19"/>
      <c r="P220" s="19"/>
      <c r="Q220" s="19"/>
      <c r="R220" s="19"/>
      <c r="S220" s="19"/>
      <c r="T220" s="19"/>
      <c r="U220" s="19"/>
      <c r="V220" s="19"/>
      <c r="W220" s="19"/>
      <c r="X220" s="19"/>
      <c r="Y220" s="19"/>
      <c r="Z220" s="19"/>
      <c r="AA220" s="19"/>
      <c r="AB220" s="19"/>
      <c r="AC220" s="19"/>
    </row>
    <row r="221" spans="1:29" x14ac:dyDescent="0.35">
      <c r="A221" s="19" t="s">
        <v>301</v>
      </c>
      <c r="B221" s="279" t="s">
        <v>612</v>
      </c>
      <c r="C221" s="280">
        <f>C202/C$220*C182</f>
        <v>1.3773607225332193E-4</v>
      </c>
      <c r="D221" s="280">
        <f>D202/D$220*D182</f>
        <v>1.3773607225332193E-4</v>
      </c>
      <c r="E221" s="19"/>
      <c r="F221" s="2552" t="s">
        <v>3383</v>
      </c>
      <c r="G221" s="2610">
        <f>G202/D$220*D182</f>
        <v>1.0508752179327525E-4</v>
      </c>
      <c r="H221" s="2550" t="s">
        <v>612</v>
      </c>
      <c r="I221" s="19"/>
      <c r="J221" s="19"/>
      <c r="K221" s="121" t="s">
        <v>1741</v>
      </c>
      <c r="L221" s="19"/>
      <c r="M221" s="19"/>
      <c r="N221" s="19"/>
      <c r="O221" s="19"/>
      <c r="P221" s="19"/>
      <c r="Q221" s="19"/>
      <c r="R221" s="19"/>
      <c r="S221" s="19"/>
      <c r="T221" s="19"/>
      <c r="U221" s="19"/>
      <c r="V221" s="19"/>
      <c r="W221" s="19"/>
      <c r="X221" s="19"/>
      <c r="Y221" s="19"/>
      <c r="Z221" s="19"/>
      <c r="AA221" s="19"/>
      <c r="AB221" s="19"/>
      <c r="AC221" s="19"/>
    </row>
    <row r="222" spans="1:29" x14ac:dyDescent="0.35">
      <c r="A222" s="19" t="s">
        <v>301</v>
      </c>
      <c r="B222" s="279" t="s">
        <v>604</v>
      </c>
      <c r="C222" s="280">
        <f>C221</f>
        <v>1.3773607225332193E-4</v>
      </c>
      <c r="D222" s="280">
        <f>D221</f>
        <v>1.3773607225332193E-4</v>
      </c>
      <c r="E222" s="19"/>
      <c r="F222" s="2552" t="s">
        <v>3383</v>
      </c>
      <c r="G222" s="2610">
        <f>G221</f>
        <v>1.0508752179327525E-4</v>
      </c>
      <c r="H222" s="2550" t="s">
        <v>604</v>
      </c>
      <c r="I222" s="19"/>
      <c r="J222" s="19"/>
      <c r="K222" s="14" t="s">
        <v>726</v>
      </c>
      <c r="L222" s="14" t="s">
        <v>1737</v>
      </c>
      <c r="M222" s="487">
        <v>0.5</v>
      </c>
      <c r="N222" s="19">
        <f>M222*T217</f>
        <v>412</v>
      </c>
      <c r="O222" s="613">
        <f>M222*V217</f>
        <v>5.5094428901328776E-2</v>
      </c>
      <c r="P222" s="19"/>
      <c r="Q222" s="19"/>
      <c r="R222" s="19"/>
      <c r="S222" s="19"/>
      <c r="T222" s="28"/>
      <c r="U222" s="19"/>
      <c r="V222" s="19"/>
      <c r="W222" s="19"/>
      <c r="X222" s="19"/>
      <c r="Y222" s="19"/>
      <c r="Z222" s="19"/>
      <c r="AA222" s="19"/>
      <c r="AB222" s="19"/>
      <c r="AC222" s="19"/>
    </row>
    <row r="223" spans="1:29" x14ac:dyDescent="0.35">
      <c r="A223" s="19" t="s">
        <v>301</v>
      </c>
      <c r="B223" s="279" t="s">
        <v>606</v>
      </c>
      <c r="C223" s="280">
        <v>0</v>
      </c>
      <c r="D223" s="280">
        <v>0</v>
      </c>
      <c r="E223" s="19"/>
      <c r="F223" s="2552" t="s">
        <v>3383</v>
      </c>
      <c r="G223" s="2610">
        <v>0</v>
      </c>
      <c r="H223" s="2550" t="s">
        <v>606</v>
      </c>
      <c r="I223" s="19"/>
      <c r="J223" s="19"/>
      <c r="K223" s="14"/>
      <c r="L223" s="14" t="s">
        <v>606</v>
      </c>
      <c r="M223" s="487">
        <f>0.5*0.25</f>
        <v>0.125</v>
      </c>
      <c r="N223" s="19">
        <f t="shared" ref="N223:N224" si="56">M223*T218</f>
        <v>151</v>
      </c>
      <c r="O223" s="613">
        <f t="shared" ref="O223:O224" si="57">M223*V218</f>
        <v>0</v>
      </c>
      <c r="P223" s="19"/>
      <c r="Q223" s="19"/>
      <c r="R223" s="19"/>
      <c r="S223" s="19"/>
      <c r="T223" s="28"/>
      <c r="U223" s="26"/>
      <c r="V223" s="19"/>
      <c r="W223" s="19"/>
      <c r="X223" s="19"/>
      <c r="Y223" s="19"/>
      <c r="Z223" s="19"/>
      <c r="AA223" s="19"/>
      <c r="AB223" s="19"/>
      <c r="AC223" s="19"/>
    </row>
    <row r="224" spans="1:29" x14ac:dyDescent="0.35">
      <c r="A224" s="19" t="s">
        <v>301</v>
      </c>
      <c r="B224" s="279" t="s">
        <v>608</v>
      </c>
      <c r="C224" s="280">
        <f>C222</f>
        <v>1.3773607225332193E-4</v>
      </c>
      <c r="D224" s="280">
        <f>D222</f>
        <v>1.3773607225332193E-4</v>
      </c>
      <c r="E224" s="19"/>
      <c r="F224" s="2552" t="s">
        <v>3383</v>
      </c>
      <c r="G224" s="2610">
        <f>G222</f>
        <v>1.0508752179327525E-4</v>
      </c>
      <c r="H224" s="2550" t="s">
        <v>608</v>
      </c>
      <c r="I224" s="19"/>
      <c r="J224" s="19"/>
      <c r="K224" s="14"/>
      <c r="L224" s="14" t="s">
        <v>608</v>
      </c>
      <c r="M224" s="487">
        <f>0.5*0.75</f>
        <v>0.375</v>
      </c>
      <c r="N224" s="19">
        <f t="shared" si="56"/>
        <v>498</v>
      </c>
      <c r="O224" s="613">
        <f t="shared" si="57"/>
        <v>4.1320821675996586E-2</v>
      </c>
      <c r="P224" s="19"/>
      <c r="Q224" s="19"/>
      <c r="R224" s="19"/>
      <c r="S224" s="19"/>
      <c r="T224" s="19"/>
      <c r="U224" s="19"/>
      <c r="V224" s="19"/>
      <c r="W224" s="19"/>
      <c r="X224" s="19"/>
      <c r="Y224" s="19"/>
      <c r="Z224" s="19"/>
      <c r="AA224" s="19"/>
      <c r="AB224" s="19"/>
      <c r="AC224" s="19"/>
    </row>
    <row r="225" spans="1:29" x14ac:dyDescent="0.35">
      <c r="A225" s="19"/>
      <c r="B225" s="19"/>
      <c r="C225" s="19"/>
      <c r="D225" s="19"/>
      <c r="E225" s="19"/>
      <c r="F225" s="19"/>
      <c r="G225" s="19"/>
      <c r="H225" s="19"/>
      <c r="I225" s="19"/>
      <c r="J225" s="19"/>
      <c r="K225" s="19"/>
      <c r="L225" s="19"/>
      <c r="M225" s="19"/>
      <c r="N225" s="242">
        <f>SUM(N222:N224)</f>
        <v>1061</v>
      </c>
      <c r="O225" s="614">
        <f>SUM(O222:O224)</f>
        <v>9.6415250577325362E-2</v>
      </c>
      <c r="P225" s="19"/>
      <c r="Q225" s="19"/>
      <c r="R225" s="19"/>
      <c r="S225" s="19"/>
      <c r="T225" s="19"/>
      <c r="U225" s="19"/>
      <c r="V225" s="19"/>
      <c r="W225" s="19"/>
      <c r="X225" s="19"/>
      <c r="Y225" s="19"/>
      <c r="Z225" s="19"/>
      <c r="AA225" s="19"/>
      <c r="AB225" s="19"/>
      <c r="AC225" s="19"/>
    </row>
    <row r="226" spans="1:29" x14ac:dyDescent="0.35">
      <c r="A226" s="19"/>
      <c r="B226" s="19" t="s">
        <v>615</v>
      </c>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x14ac:dyDescent="0.35">
      <c r="A227" s="19"/>
      <c r="B227" s="19"/>
      <c r="C227" s="19"/>
      <c r="D227" s="19"/>
      <c r="E227" s="19"/>
      <c r="AC227" s="19"/>
    </row>
    <row r="228" spans="1:29" x14ac:dyDescent="0.35">
      <c r="A228" s="19"/>
      <c r="B228" s="19" t="s">
        <v>616</v>
      </c>
      <c r="C228" s="150">
        <v>0.72</v>
      </c>
      <c r="D228" s="150">
        <v>0.72</v>
      </c>
      <c r="E228" s="19"/>
      <c r="F228" s="2552" t="s">
        <v>3370</v>
      </c>
      <c r="G228" s="2550">
        <v>0.76500000000000001</v>
      </c>
      <c r="J228" s="127"/>
      <c r="K228" s="2644" t="s">
        <v>285</v>
      </c>
      <c r="L228" s="2640" t="s">
        <v>286</v>
      </c>
      <c r="M228" s="2640" t="s">
        <v>590</v>
      </c>
      <c r="N228" s="2640" t="s">
        <v>568</v>
      </c>
      <c r="O228" s="2640" t="s">
        <v>591</v>
      </c>
      <c r="P228" s="2640" t="s">
        <v>592</v>
      </c>
      <c r="Q228" s="2641" t="s">
        <v>742</v>
      </c>
      <c r="R228" s="2640"/>
      <c r="S228" s="2640"/>
      <c r="T228" s="2640" t="s">
        <v>342</v>
      </c>
      <c r="U228" s="2640" t="s">
        <v>594</v>
      </c>
      <c r="V228" s="2640" t="s">
        <v>301</v>
      </c>
      <c r="W228" s="2640" t="s">
        <v>595</v>
      </c>
      <c r="X228" s="2640" t="s">
        <v>596</v>
      </c>
      <c r="Y228" s="2640" t="s">
        <v>597</v>
      </c>
      <c r="Z228" s="2640" t="s">
        <v>377</v>
      </c>
      <c r="AA228" s="2640" t="s">
        <v>598</v>
      </c>
      <c r="AB228" s="2642" t="s">
        <v>599</v>
      </c>
      <c r="AC228" s="19"/>
    </row>
    <row r="229" spans="1:29" x14ac:dyDescent="0.35">
      <c r="A229" s="19"/>
      <c r="B229" s="19"/>
      <c r="C229" s="152"/>
      <c r="D229" s="152"/>
      <c r="E229" s="19"/>
      <c r="J229" s="127"/>
      <c r="K229" s="250" t="s">
        <v>7</v>
      </c>
      <c r="L229" s="251" t="s">
        <v>8</v>
      </c>
      <c r="M229" s="251" t="s">
        <v>617</v>
      </c>
      <c r="N229" s="251" t="s">
        <v>618</v>
      </c>
      <c r="O229" s="251" t="s">
        <v>602</v>
      </c>
      <c r="P229" s="252">
        <f>$C$180</f>
        <v>20</v>
      </c>
      <c r="Q229" s="252">
        <v>800</v>
      </c>
      <c r="R229" s="251"/>
      <c r="S229" s="251"/>
      <c r="T229" s="248">
        <f>INDEX($G$235:$G$246,MATCH($T$211&amp;"_"&amp;$O229,$A$235:$A$246,0))</f>
        <v>0.17200578569791394</v>
      </c>
      <c r="U229" s="37">
        <v>0</v>
      </c>
      <c r="V229" s="37">
        <f>INDEX($C$235:$C$246,MATCH($V$211&amp;"_"&amp;$O229,$A$235:$A$246,0))</f>
        <v>1.3773607225332193E-4</v>
      </c>
      <c r="W229" s="37">
        <v>0</v>
      </c>
      <c r="X229" s="37">
        <f>INDEX($G$235:$G$246,MATCH($X$228&amp;"_"&amp;$O229,$A$235:$A$246,0))</f>
        <v>6.2005785697913943E-2</v>
      </c>
      <c r="Y229" s="37">
        <v>0</v>
      </c>
      <c r="Z229" s="37">
        <f>'RES Shell'!$C$36</f>
        <v>0.8</v>
      </c>
      <c r="AA229" s="37">
        <v>0</v>
      </c>
      <c r="AB229" s="151" t="s">
        <v>294</v>
      </c>
      <c r="AC229" s="19"/>
    </row>
    <row r="230" spans="1:29" x14ac:dyDescent="0.35">
      <c r="A230" s="19"/>
      <c r="B230" s="19" t="s">
        <v>418</v>
      </c>
      <c r="C230" s="154">
        <f xml:space="preserve"> (((((1/C190 - 1/C191) * C192 * (1-C193)) )) * 24 * C205) / (C$228 * 100067) * C204</f>
        <v>7.1608386017731757E-2</v>
      </c>
      <c r="D230" s="154">
        <f xml:space="preserve"> (((((1/D190 - 1/D191) * D192 * (1-D193)) )) * 24 * D205) / (D$228 * 100067) * D204</f>
        <v>7.1608386017731757E-2</v>
      </c>
      <c r="E230" s="19"/>
      <c r="F230" s="2575" t="s">
        <v>3371</v>
      </c>
      <c r="G230" s="2611">
        <f xml:space="preserve"> (((((1/D190 - 1/D191) * D192 * (1-D193)) )) * 24 * D205) / (G$228 * 100067) * D204</f>
        <v>6.7396128016688706E-2</v>
      </c>
      <c r="J230" s="127"/>
      <c r="K230" s="253" t="s">
        <v>7</v>
      </c>
      <c r="L230" s="254" t="s">
        <v>8</v>
      </c>
      <c r="M230" s="254" t="s">
        <v>617</v>
      </c>
      <c r="N230" s="254" t="s">
        <v>618</v>
      </c>
      <c r="O230" s="254" t="s">
        <v>604</v>
      </c>
      <c r="P230" s="255">
        <f t="shared" ref="P230:P232" si="58">$C$180</f>
        <v>20</v>
      </c>
      <c r="Q230" s="255">
        <f>Assumptions!$G$10</f>
        <v>800</v>
      </c>
      <c r="R230" s="254"/>
      <c r="S230" s="254"/>
      <c r="T230" s="256">
        <f t="shared" ref="T230:T232" si="59">INDEX($G$235:$G$246,MATCH($T$211&amp;"_"&amp;$O230,$A$235:$A$246,0))</f>
        <v>0.85</v>
      </c>
      <c r="U230" s="37">
        <v>0</v>
      </c>
      <c r="V230" s="37">
        <f>INDEX($C$235:$C$246,MATCH($V$211&amp;"_"&amp;$O230,$A$235:$A$246,0))</f>
        <v>1.3773607225332193E-4</v>
      </c>
      <c r="W230" s="37">
        <v>0</v>
      </c>
      <c r="X230" s="37">
        <f t="shared" ref="X230:X232" si="60">INDEX($G$235:$G$246,MATCH($X$228&amp;"_"&amp;$O230,$A$235:$A$246,0))</f>
        <v>0</v>
      </c>
      <c r="Y230" s="37">
        <v>0</v>
      </c>
      <c r="Z230" s="37">
        <f>'RES Shell'!$C$36</f>
        <v>0.8</v>
      </c>
      <c r="AA230" s="37">
        <v>0</v>
      </c>
      <c r="AB230" s="153" t="s">
        <v>294</v>
      </c>
      <c r="AC230" s="19"/>
    </row>
    <row r="231" spans="1:29" x14ac:dyDescent="0.35">
      <c r="A231" s="19"/>
      <c r="B231" s="121" t="s">
        <v>410</v>
      </c>
      <c r="C231" s="155">
        <v>3.1399999999999997E-2</v>
      </c>
      <c r="D231" s="155">
        <v>3.1399999999999997E-2</v>
      </c>
      <c r="E231" s="19"/>
      <c r="J231" s="127"/>
      <c r="K231" s="253" t="s">
        <v>7</v>
      </c>
      <c r="L231" s="254" t="s">
        <v>8</v>
      </c>
      <c r="M231" s="254" t="s">
        <v>617</v>
      </c>
      <c r="N231" s="254" t="s">
        <v>618</v>
      </c>
      <c r="O231" s="254" t="s">
        <v>606</v>
      </c>
      <c r="P231" s="255">
        <f t="shared" si="58"/>
        <v>20</v>
      </c>
      <c r="Q231" s="255">
        <f>Assumptions!$G$10</f>
        <v>800</v>
      </c>
      <c r="R231" s="254"/>
      <c r="S231" s="254"/>
      <c r="T231" s="256">
        <f t="shared" si="59"/>
        <v>1.51</v>
      </c>
      <c r="U231" s="37">
        <v>0</v>
      </c>
      <c r="V231" s="37">
        <f>INDEX($C$235:$C$246,MATCH($V$211&amp;"_"&amp;$O231,$A$235:$A$246,0))</f>
        <v>0</v>
      </c>
      <c r="W231" s="37">
        <v>0</v>
      </c>
      <c r="X231" s="37">
        <f t="shared" si="60"/>
        <v>0</v>
      </c>
      <c r="Y231" s="37">
        <v>0</v>
      </c>
      <c r="Z231" s="37">
        <f>'RES Shell'!$C$36</f>
        <v>0.8</v>
      </c>
      <c r="AA231" s="37">
        <v>0</v>
      </c>
      <c r="AB231" s="153" t="s">
        <v>294</v>
      </c>
      <c r="AC231" s="19"/>
    </row>
    <row r="232" spans="1:29" x14ac:dyDescent="0.35">
      <c r="A232" s="19"/>
      <c r="B232" s="121" t="s">
        <v>513</v>
      </c>
      <c r="C232" s="154">
        <f>C230*C231*29.3</f>
        <v>6.5881147304033563E-2</v>
      </c>
      <c r="D232" s="154">
        <f>D230*D231*29.3</f>
        <v>6.5881147304033563E-2</v>
      </c>
      <c r="E232" s="19"/>
      <c r="F232" s="2575" t="s">
        <v>3372</v>
      </c>
      <c r="G232" s="2575">
        <f>G230*D231*29.3</f>
        <v>6.2005785697913943E-2</v>
      </c>
      <c r="J232" s="127"/>
      <c r="K232" s="133" t="s">
        <v>7</v>
      </c>
      <c r="L232" s="234" t="s">
        <v>8</v>
      </c>
      <c r="M232" s="234" t="s">
        <v>617</v>
      </c>
      <c r="N232" s="234" t="s">
        <v>618</v>
      </c>
      <c r="O232" s="234" t="s">
        <v>608</v>
      </c>
      <c r="P232" s="135">
        <f t="shared" si="58"/>
        <v>20</v>
      </c>
      <c r="Q232" s="135">
        <f>Assumptions!$G$10</f>
        <v>800</v>
      </c>
      <c r="R232" s="234"/>
      <c r="S232" s="234"/>
      <c r="T232" s="37">
        <f t="shared" si="59"/>
        <v>1.62</v>
      </c>
      <c r="U232" s="37">
        <v>0</v>
      </c>
      <c r="V232" s="37">
        <f>INDEX($C$235:$C$246,MATCH($V$211&amp;"_"&amp;$O232,$A$235:$A$246,0))</f>
        <v>1.3773607225332193E-4</v>
      </c>
      <c r="W232" s="37">
        <v>0</v>
      </c>
      <c r="X232" s="37">
        <f t="shared" si="60"/>
        <v>0</v>
      </c>
      <c r="Y232" s="37">
        <v>0</v>
      </c>
      <c r="Z232" s="37">
        <f>'RES Shell'!$C$36</f>
        <v>0.8</v>
      </c>
      <c r="AA232" s="37">
        <v>0</v>
      </c>
      <c r="AB232" s="153" t="s">
        <v>294</v>
      </c>
      <c r="AC232" s="19"/>
    </row>
    <row r="233" spans="1:29" ht="15" thickBot="1" x14ac:dyDescent="0.4">
      <c r="A233" s="19"/>
      <c r="B233" s="19"/>
      <c r="C233" s="26"/>
      <c r="D233" s="26"/>
      <c r="E233" s="19"/>
      <c r="J233" s="127"/>
      <c r="K233" s="133"/>
      <c r="L233" s="234"/>
      <c r="M233" s="234"/>
      <c r="N233" s="234"/>
      <c r="O233" s="234"/>
      <c r="P233" s="135"/>
      <c r="Q233" s="135"/>
      <c r="R233" s="234"/>
      <c r="S233" s="234"/>
      <c r="T233" s="248">
        <f>T229*$Q$229</f>
        <v>137.60462855833114</v>
      </c>
      <c r="U233" s="37">
        <f>U229*$Q$229</f>
        <v>0</v>
      </c>
      <c r="V233" s="248">
        <f>V229*$Q$229</f>
        <v>0.11018885780265755</v>
      </c>
      <c r="W233" s="37">
        <f>W229*$Q$229</f>
        <v>0</v>
      </c>
      <c r="X233" s="248">
        <f>X229*$Q$229</f>
        <v>49.604628558331157</v>
      </c>
      <c r="Y233" s="37"/>
      <c r="Z233" s="37"/>
      <c r="AA233" s="37"/>
      <c r="AB233" s="153"/>
      <c r="AC233" s="19"/>
    </row>
    <row r="234" spans="1:29" x14ac:dyDescent="0.35">
      <c r="A234" s="19"/>
      <c r="B234" s="2552" t="s">
        <v>3381</v>
      </c>
      <c r="C234" s="19"/>
      <c r="D234" s="19"/>
      <c r="E234" s="19"/>
      <c r="F234" s="2563" t="s">
        <v>3380</v>
      </c>
      <c r="G234" s="2555"/>
      <c r="H234" s="2556"/>
      <c r="J234" s="127"/>
      <c r="K234" s="133"/>
      <c r="L234" s="234"/>
      <c r="M234" s="234"/>
      <c r="N234" s="234"/>
      <c r="O234" s="234"/>
      <c r="P234" s="135"/>
      <c r="Q234" s="234"/>
      <c r="R234" s="234"/>
      <c r="S234" s="234"/>
      <c r="T234" s="248">
        <f t="shared" ref="T234:X236" si="61">T230*$Q$229</f>
        <v>680</v>
      </c>
      <c r="U234" s="37">
        <f t="shared" si="61"/>
        <v>0</v>
      </c>
      <c r="V234" s="248">
        <f t="shared" si="61"/>
        <v>0.11018885780265755</v>
      </c>
      <c r="W234" s="37">
        <f t="shared" si="61"/>
        <v>0</v>
      </c>
      <c r="X234" s="248">
        <f t="shared" si="61"/>
        <v>0</v>
      </c>
      <c r="Y234" s="37"/>
      <c r="Z234" s="37"/>
      <c r="AA234" s="37"/>
      <c r="AB234" s="153"/>
      <c r="AC234" s="19"/>
    </row>
    <row r="235" spans="1:29" x14ac:dyDescent="0.35">
      <c r="A235" s="18" t="str">
        <f t="shared" ref="A235:A246" si="62">D235&amp;"_"&amp;B235</f>
        <v>kWh_Gas Heat w/AC</v>
      </c>
      <c r="B235" s="19" t="s">
        <v>602</v>
      </c>
      <c r="C235" s="26">
        <f>C214+C232</f>
        <v>0.21588114730403357</v>
      </c>
      <c r="D235" s="19" t="s">
        <v>342</v>
      </c>
      <c r="F235" s="2615" t="s">
        <v>602</v>
      </c>
      <c r="G235" s="37">
        <f>G214+G232</f>
        <v>0.17200578569791394</v>
      </c>
      <c r="H235" s="2619" t="s">
        <v>342</v>
      </c>
      <c r="J235" s="127"/>
      <c r="K235" s="133"/>
      <c r="L235" s="234"/>
      <c r="M235" s="234"/>
      <c r="N235" s="234"/>
      <c r="O235" s="234"/>
      <c r="P235" s="135"/>
      <c r="Q235" s="234"/>
      <c r="R235" s="234"/>
      <c r="S235" s="234"/>
      <c r="T235" s="248">
        <f t="shared" si="61"/>
        <v>1208</v>
      </c>
      <c r="U235" s="37">
        <f t="shared" si="61"/>
        <v>0</v>
      </c>
      <c r="V235" s="248">
        <f t="shared" si="61"/>
        <v>0</v>
      </c>
      <c r="W235" s="37">
        <f t="shared" si="61"/>
        <v>0</v>
      </c>
      <c r="X235" s="248">
        <f t="shared" si="61"/>
        <v>0</v>
      </c>
      <c r="Y235" s="37"/>
      <c r="Z235" s="37"/>
      <c r="AA235" s="37"/>
      <c r="AB235" s="153"/>
      <c r="AC235" s="19"/>
    </row>
    <row r="236" spans="1:29" x14ac:dyDescent="0.35">
      <c r="A236" s="18" t="str">
        <f t="shared" si="62"/>
        <v>kWh_Heat pump</v>
      </c>
      <c r="B236" s="19" t="s">
        <v>604</v>
      </c>
      <c r="C236" s="26">
        <f>C215</f>
        <v>1.03</v>
      </c>
      <c r="D236" s="19" t="s">
        <v>342</v>
      </c>
      <c r="F236" s="2615" t="s">
        <v>604</v>
      </c>
      <c r="G236" s="37">
        <f>G215</f>
        <v>0.85</v>
      </c>
      <c r="H236" s="2619" t="s">
        <v>342</v>
      </c>
      <c r="J236" s="127"/>
      <c r="K236" s="142"/>
      <c r="L236" s="143"/>
      <c r="M236" s="143"/>
      <c r="N236" s="143"/>
      <c r="O236" s="143"/>
      <c r="P236" s="144"/>
      <c r="Q236" s="143"/>
      <c r="R236" s="143"/>
      <c r="S236" s="143"/>
      <c r="T236" s="249">
        <f t="shared" si="61"/>
        <v>1296</v>
      </c>
      <c r="U236" s="145">
        <f t="shared" si="61"/>
        <v>0</v>
      </c>
      <c r="V236" s="249">
        <f t="shared" si="61"/>
        <v>0.11018885780265755</v>
      </c>
      <c r="W236" s="145">
        <f t="shared" si="61"/>
        <v>0</v>
      </c>
      <c r="X236" s="249">
        <f t="shared" si="61"/>
        <v>0</v>
      </c>
      <c r="Y236" s="145"/>
      <c r="Z236" s="145"/>
      <c r="AA236" s="145"/>
      <c r="AB236" s="156"/>
      <c r="AC236" s="19"/>
    </row>
    <row r="237" spans="1:29" x14ac:dyDescent="0.35">
      <c r="A237" s="18" t="str">
        <f t="shared" si="62"/>
        <v>kWh_Resistance, heat only</v>
      </c>
      <c r="B237" s="19" t="s">
        <v>606</v>
      </c>
      <c r="C237" s="19">
        <f>C216</f>
        <v>1.51</v>
      </c>
      <c r="D237" s="19" t="s">
        <v>342</v>
      </c>
      <c r="F237" s="2615" t="s">
        <v>606</v>
      </c>
      <c r="G237" s="234">
        <f>G216</f>
        <v>1.51</v>
      </c>
      <c r="H237" s="2619" t="s">
        <v>342</v>
      </c>
      <c r="AC237" s="19"/>
    </row>
    <row r="238" spans="1:29" x14ac:dyDescent="0.35">
      <c r="A238" s="18" t="str">
        <f t="shared" si="62"/>
        <v>kWh_Resistance w/ AC</v>
      </c>
      <c r="B238" s="19" t="s">
        <v>608</v>
      </c>
      <c r="C238" s="26">
        <f>C217</f>
        <v>1.66</v>
      </c>
      <c r="D238" s="19" t="s">
        <v>342</v>
      </c>
      <c r="F238" s="2615" t="s">
        <v>608</v>
      </c>
      <c r="G238" s="37">
        <f>G217</f>
        <v>1.62</v>
      </c>
      <c r="H238" s="2619" t="s">
        <v>342</v>
      </c>
      <c r="AC238" s="19"/>
    </row>
    <row r="239" spans="1:29" x14ac:dyDescent="0.35">
      <c r="A239" s="18" t="str">
        <f t="shared" si="62"/>
        <v>kW_Gas Heat w/AC</v>
      </c>
      <c r="B239" s="19" t="s">
        <v>602</v>
      </c>
      <c r="C239" s="140">
        <f>C221</f>
        <v>1.3773607225332193E-4</v>
      </c>
      <c r="D239" s="19" t="s">
        <v>301</v>
      </c>
      <c r="F239" s="2615" t="s">
        <v>602</v>
      </c>
      <c r="G239" s="2645">
        <f>G221</f>
        <v>1.0508752179327525E-4</v>
      </c>
      <c r="H239" s="2619" t="s">
        <v>301</v>
      </c>
      <c r="AC239" s="19"/>
    </row>
    <row r="240" spans="1:29" x14ac:dyDescent="0.35">
      <c r="A240" s="18" t="str">
        <f t="shared" si="62"/>
        <v>kW_Heat pump</v>
      </c>
      <c r="B240" s="19" t="s">
        <v>604</v>
      </c>
      <c r="C240" s="140">
        <f>C222</f>
        <v>1.3773607225332193E-4</v>
      </c>
      <c r="D240" s="19" t="s">
        <v>301</v>
      </c>
      <c r="F240" s="2615" t="s">
        <v>604</v>
      </c>
      <c r="G240" s="2645">
        <f>G222</f>
        <v>1.0508752179327525E-4</v>
      </c>
      <c r="H240" s="2619" t="s">
        <v>301</v>
      </c>
      <c r="AC240" s="19"/>
    </row>
    <row r="241" spans="1:29" x14ac:dyDescent="0.35">
      <c r="A241" s="18" t="str">
        <f t="shared" si="62"/>
        <v>kW_Resistance, heat only</v>
      </c>
      <c r="B241" s="19" t="s">
        <v>606</v>
      </c>
      <c r="C241" s="140">
        <f>C223</f>
        <v>0</v>
      </c>
      <c r="D241" s="19" t="s">
        <v>301</v>
      </c>
      <c r="F241" s="2615" t="s">
        <v>606</v>
      </c>
      <c r="G241" s="2645">
        <f>G223</f>
        <v>0</v>
      </c>
      <c r="H241" s="2619" t="s">
        <v>301</v>
      </c>
      <c r="AC241" s="19"/>
    </row>
    <row r="242" spans="1:29" x14ac:dyDescent="0.35">
      <c r="A242" s="18" t="str">
        <f t="shared" si="62"/>
        <v>kW_Resistance w/ AC</v>
      </c>
      <c r="B242" s="19" t="s">
        <v>608</v>
      </c>
      <c r="C242" s="140">
        <f>C224</f>
        <v>1.3773607225332193E-4</v>
      </c>
      <c r="D242" s="19" t="s">
        <v>301</v>
      </c>
      <c r="F242" s="2615" t="s">
        <v>608</v>
      </c>
      <c r="G242" s="2645">
        <f>G224</f>
        <v>1.0508752179327525E-4</v>
      </c>
      <c r="H242" s="2619" t="s">
        <v>301</v>
      </c>
      <c r="I242" s="19"/>
      <c r="J242" s="19"/>
      <c r="K242" s="19"/>
      <c r="L242" s="19"/>
      <c r="M242" s="19"/>
      <c r="N242" s="19"/>
      <c r="O242" s="19"/>
      <c r="P242" s="19"/>
      <c r="Q242" s="19"/>
      <c r="R242" s="19"/>
      <c r="S242" s="19"/>
      <c r="T242" s="19"/>
      <c r="U242" s="19"/>
      <c r="V242" s="19"/>
      <c r="W242" s="19"/>
      <c r="X242" s="19"/>
      <c r="Y242" s="19"/>
      <c r="Z242" s="19"/>
      <c r="AA242" s="19"/>
      <c r="AB242" s="19"/>
      <c r="AC242" s="19"/>
    </row>
    <row r="243" spans="1:29" x14ac:dyDescent="0.35">
      <c r="A243" s="18" t="str">
        <f t="shared" si="62"/>
        <v>therm_Gas Heat w/AC</v>
      </c>
      <c r="B243" s="19" t="s">
        <v>602</v>
      </c>
      <c r="C243" s="26">
        <f>C232</f>
        <v>6.5881147304033563E-2</v>
      </c>
      <c r="D243" s="19" t="s">
        <v>418</v>
      </c>
      <c r="F243" s="2615" t="s">
        <v>602</v>
      </c>
      <c r="G243" s="37">
        <f>G232</f>
        <v>6.2005785697913943E-2</v>
      </c>
      <c r="H243" s="2619" t="s">
        <v>418</v>
      </c>
      <c r="I243" s="19"/>
      <c r="J243" s="19"/>
      <c r="K243" s="19"/>
      <c r="L243" s="19"/>
      <c r="M243" s="19"/>
      <c r="N243" s="19"/>
      <c r="O243" s="19"/>
      <c r="P243" s="19"/>
      <c r="Q243" s="19"/>
      <c r="R243" s="19"/>
      <c r="S243" s="19"/>
      <c r="T243" s="19"/>
      <c r="U243" s="19"/>
      <c r="V243" s="19"/>
      <c r="W243" s="19"/>
      <c r="X243" s="19"/>
      <c r="Y243" s="19"/>
      <c r="Z243" s="19"/>
      <c r="AA243" s="19"/>
      <c r="AB243" s="19"/>
      <c r="AC243" s="19"/>
    </row>
    <row r="244" spans="1:29" x14ac:dyDescent="0.35">
      <c r="A244" s="18" t="str">
        <f t="shared" si="62"/>
        <v>therm_Heat pump</v>
      </c>
      <c r="B244" s="19" t="s">
        <v>604</v>
      </c>
      <c r="C244" s="19">
        <v>0</v>
      </c>
      <c r="D244" s="19" t="s">
        <v>418</v>
      </c>
      <c r="F244" s="2615" t="s">
        <v>604</v>
      </c>
      <c r="G244" s="234">
        <v>0</v>
      </c>
      <c r="H244" s="2619" t="s">
        <v>418</v>
      </c>
      <c r="I244" s="19"/>
      <c r="J244" s="19"/>
      <c r="K244" s="19"/>
      <c r="L244" s="19"/>
      <c r="M244" s="19"/>
      <c r="N244" s="19"/>
      <c r="O244" s="19"/>
      <c r="P244" s="19"/>
      <c r="Q244" s="19"/>
      <c r="R244" s="19"/>
      <c r="S244" s="19"/>
      <c r="T244" s="19"/>
      <c r="U244" s="19"/>
      <c r="V244" s="19"/>
      <c r="W244" s="19"/>
      <c r="X244" s="19"/>
      <c r="Y244" s="19"/>
      <c r="Z244" s="19"/>
      <c r="AA244" s="19"/>
      <c r="AB244" s="19"/>
      <c r="AC244" s="19"/>
    </row>
    <row r="245" spans="1:29" x14ac:dyDescent="0.35">
      <c r="A245" s="18" t="str">
        <f t="shared" si="62"/>
        <v>therm_Resistance, heat only</v>
      </c>
      <c r="B245" s="19" t="s">
        <v>606</v>
      </c>
      <c r="C245" s="19">
        <v>0</v>
      </c>
      <c r="D245" s="19" t="s">
        <v>418</v>
      </c>
      <c r="F245" s="2615" t="s">
        <v>606</v>
      </c>
      <c r="G245" s="234">
        <v>0</v>
      </c>
      <c r="H245" s="2619" t="s">
        <v>418</v>
      </c>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 thickBot="1" x14ac:dyDescent="0.4">
      <c r="A246" s="18" t="str">
        <f t="shared" si="62"/>
        <v>therm_Resistance w/ AC</v>
      </c>
      <c r="B246" s="19" t="s">
        <v>608</v>
      </c>
      <c r="C246" s="19">
        <v>0</v>
      </c>
      <c r="D246" s="19" t="s">
        <v>418</v>
      </c>
      <c r="F246" s="2620" t="s">
        <v>608</v>
      </c>
      <c r="G246" s="2621">
        <v>0</v>
      </c>
      <c r="H246" s="2630" t="s">
        <v>418</v>
      </c>
      <c r="I246" s="19"/>
      <c r="J246" s="19"/>
      <c r="K246" s="19"/>
      <c r="L246" s="19"/>
      <c r="M246" s="19"/>
      <c r="N246" s="19"/>
      <c r="O246" s="19"/>
      <c r="P246" s="19"/>
      <c r="Q246" s="19"/>
      <c r="R246" s="19"/>
      <c r="S246" s="19"/>
      <c r="T246" s="19"/>
      <c r="U246" s="19"/>
      <c r="V246" s="19"/>
      <c r="W246" s="19"/>
      <c r="X246" s="19"/>
      <c r="Y246" s="19"/>
      <c r="Z246" s="19"/>
      <c r="AA246" s="19"/>
      <c r="AB246" s="19"/>
      <c r="AC246" s="19"/>
    </row>
    <row r="247" spans="1:29"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8.5" x14ac:dyDescent="0.45">
      <c r="A249" s="2643" t="s">
        <v>3389</v>
      </c>
      <c r="B249" s="2643" t="s">
        <v>3390</v>
      </c>
      <c r="C249" s="2550"/>
      <c r="D249" s="2550"/>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x14ac:dyDescent="0.35">
      <c r="A251" s="19"/>
      <c r="B251" s="481" t="s">
        <v>622</v>
      </c>
      <c r="C251" s="119"/>
      <c r="D251" s="119"/>
      <c r="E251" s="119"/>
      <c r="F251" s="119"/>
      <c r="G251" s="119"/>
      <c r="H251" s="119"/>
      <c r="I251" s="119"/>
      <c r="J251" s="119"/>
      <c r="K251" s="119"/>
      <c r="L251" s="119"/>
      <c r="M251" s="119"/>
      <c r="N251" s="119"/>
      <c r="O251" s="119"/>
      <c r="P251" s="119"/>
      <c r="Q251" s="119"/>
      <c r="R251" s="19"/>
      <c r="S251" s="19"/>
      <c r="T251" s="19"/>
      <c r="U251" s="19"/>
      <c r="V251" s="19"/>
      <c r="W251" s="19"/>
      <c r="X251" s="19"/>
      <c r="Y251" s="19"/>
      <c r="Z251" s="19"/>
      <c r="AA251" s="19"/>
      <c r="AB251" s="19"/>
      <c r="AC251" s="19"/>
    </row>
    <row r="252" spans="1:29"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x14ac:dyDescent="0.35">
      <c r="A254" s="19"/>
      <c r="B254" s="2550" t="s">
        <v>290</v>
      </c>
      <c r="C254" s="2609">
        <v>20</v>
      </c>
      <c r="D254" s="2550">
        <v>20</v>
      </c>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x14ac:dyDescent="0.35">
      <c r="A255" s="19"/>
      <c r="B255" s="19" t="s">
        <v>291</v>
      </c>
      <c r="C255" s="157">
        <v>2.5</v>
      </c>
      <c r="D255" s="19">
        <v>2.5</v>
      </c>
      <c r="E255" s="19" t="s">
        <v>623</v>
      </c>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x14ac:dyDescent="0.35">
      <c r="A256" s="19"/>
      <c r="B256" s="19" t="s">
        <v>292</v>
      </c>
      <c r="C256" s="158">
        <v>0.91500000000000004</v>
      </c>
      <c r="D256" s="19">
        <v>0.91500000000000004</v>
      </c>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x14ac:dyDescent="0.35">
      <c r="A257" s="19"/>
      <c r="B257" s="19"/>
      <c r="C257" s="12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x14ac:dyDescent="0.35">
      <c r="A258" s="19"/>
      <c r="B258" s="19" t="s">
        <v>285</v>
      </c>
      <c r="C258" s="129" t="s">
        <v>44</v>
      </c>
      <c r="D258" s="19" t="s">
        <v>7</v>
      </c>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x14ac:dyDescent="0.35">
      <c r="A259" s="19"/>
      <c r="B259" s="19" t="s">
        <v>286</v>
      </c>
      <c r="C259" s="167" t="s">
        <v>1</v>
      </c>
      <c r="D259" s="121" t="s">
        <v>1</v>
      </c>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x14ac:dyDescent="0.35">
      <c r="A260" s="19"/>
      <c r="B260" s="19" t="s">
        <v>568</v>
      </c>
      <c r="C260" s="129" t="s">
        <v>622</v>
      </c>
      <c r="D260" s="19" t="s">
        <v>622</v>
      </c>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x14ac:dyDescent="0.35">
      <c r="A261" s="19"/>
      <c r="B261" s="19"/>
      <c r="C261" s="12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x14ac:dyDescent="0.35">
      <c r="A262" s="19"/>
      <c r="B262" s="19" t="s">
        <v>571</v>
      </c>
      <c r="C262" s="12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x14ac:dyDescent="0.35">
      <c r="A263" s="19"/>
      <c r="B263" s="19" t="s">
        <v>624</v>
      </c>
      <c r="C263" s="12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x14ac:dyDescent="0.35">
      <c r="A264" s="19"/>
      <c r="B264" s="19" t="s">
        <v>573</v>
      </c>
      <c r="C264" s="124">
        <v>3</v>
      </c>
      <c r="D264" s="124">
        <v>3</v>
      </c>
      <c r="E264" s="19" t="s">
        <v>625</v>
      </c>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x14ac:dyDescent="0.35">
      <c r="A265" s="19"/>
      <c r="B265" s="19" t="s">
        <v>620</v>
      </c>
      <c r="C265" s="124">
        <v>14</v>
      </c>
      <c r="D265" s="124">
        <v>14</v>
      </c>
      <c r="E265" s="19" t="s">
        <v>626</v>
      </c>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x14ac:dyDescent="0.35">
      <c r="A266" s="19"/>
      <c r="B266" s="19" t="s">
        <v>621</v>
      </c>
      <c r="C266" s="126">
        <f>11.2/12</f>
        <v>0.93333333333333324</v>
      </c>
      <c r="D266" s="126">
        <f>11.2/12</f>
        <v>0.93333333333333324</v>
      </c>
      <c r="E266" s="19" t="s">
        <v>627</v>
      </c>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x14ac:dyDescent="0.35">
      <c r="A267" s="19"/>
      <c r="B267" s="19" t="s">
        <v>577</v>
      </c>
      <c r="C267" s="125">
        <v>0.25</v>
      </c>
      <c r="D267" s="125">
        <v>0.25</v>
      </c>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x14ac:dyDescent="0.35">
      <c r="A268" s="19"/>
      <c r="B268" s="19" t="s">
        <v>578</v>
      </c>
      <c r="C268" s="124">
        <v>436</v>
      </c>
      <c r="D268" s="124">
        <v>436</v>
      </c>
      <c r="E268" s="19" t="s">
        <v>628</v>
      </c>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x14ac:dyDescent="0.35">
      <c r="A269" s="19"/>
      <c r="B269" s="19" t="s">
        <v>580</v>
      </c>
      <c r="C269" s="126">
        <v>0.75</v>
      </c>
      <c r="D269" s="126">
        <v>0.75</v>
      </c>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x14ac:dyDescent="0.35">
      <c r="A270" s="19"/>
      <c r="B270" s="19" t="s">
        <v>581</v>
      </c>
      <c r="C270" s="124">
        <v>10</v>
      </c>
      <c r="D270" s="124">
        <v>10</v>
      </c>
      <c r="E270" s="19">
        <v>0.9</v>
      </c>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x14ac:dyDescent="0.35">
      <c r="A271" s="19"/>
      <c r="B271" s="19" t="s">
        <v>629</v>
      </c>
      <c r="C271" s="124">
        <v>13</v>
      </c>
      <c r="D271" s="124">
        <v>13</v>
      </c>
      <c r="E271" s="19">
        <v>0.1</v>
      </c>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x14ac:dyDescent="0.35">
      <c r="A272" s="19"/>
      <c r="B272" s="19" t="s">
        <v>583</v>
      </c>
      <c r="C272" s="124">
        <v>13</v>
      </c>
      <c r="D272" s="124">
        <v>13</v>
      </c>
      <c r="E272" s="19">
        <v>0</v>
      </c>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x14ac:dyDescent="0.35">
      <c r="A273" s="19"/>
      <c r="B273" s="19" t="s">
        <v>584</v>
      </c>
      <c r="C273" s="124">
        <v>14</v>
      </c>
      <c r="D273" s="124">
        <v>14</v>
      </c>
      <c r="E273" s="19">
        <v>0</v>
      </c>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x14ac:dyDescent="0.35">
      <c r="A274" s="19"/>
      <c r="B274" s="19" t="s">
        <v>336</v>
      </c>
      <c r="C274" s="126">
        <f>SUMPRODUCT(C270:C273,$E$270:$E$273)</f>
        <v>10.3</v>
      </c>
      <c r="D274" s="126">
        <f>SUMPRODUCT(D270:D273,$E$270:$E$273)</f>
        <v>10.3</v>
      </c>
      <c r="E274" s="19" t="s">
        <v>585</v>
      </c>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x14ac:dyDescent="0.35">
      <c r="A275" s="19"/>
      <c r="B275" s="19" t="s">
        <v>586</v>
      </c>
      <c r="C275" s="128">
        <v>0.8</v>
      </c>
      <c r="D275" s="128">
        <v>0.8</v>
      </c>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x14ac:dyDescent="0.35">
      <c r="A276" s="19"/>
      <c r="B276" s="19" t="s">
        <v>587</v>
      </c>
      <c r="C276" s="126">
        <f>(((1/C264-1/C265)*C266*(1-C267))*24*C268*C269)/(1000*C274)*C275</f>
        <v>0.11175145631067958</v>
      </c>
      <c r="D276" s="126">
        <f>(((1/D264-1/D265)*D266*(1-D267))*24*D268*D269)/(1000*D274)*D275</f>
        <v>0.11175145631067958</v>
      </c>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x14ac:dyDescent="0.35">
      <c r="A277" s="19"/>
      <c r="B277" s="19" t="s">
        <v>630</v>
      </c>
      <c r="C277" s="129"/>
      <c r="D277" s="12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x14ac:dyDescent="0.35">
      <c r="A278" s="19"/>
      <c r="B278" s="19" t="s">
        <v>631</v>
      </c>
      <c r="C278" s="130">
        <v>0.6</v>
      </c>
      <c r="D278" s="130">
        <v>0.6</v>
      </c>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x14ac:dyDescent="0.35">
      <c r="A279" s="19"/>
      <c r="B279" s="19" t="s">
        <v>600</v>
      </c>
      <c r="C279" s="124">
        <v>2550</v>
      </c>
      <c r="D279" s="124">
        <v>2550</v>
      </c>
      <c r="E279" s="19" t="s">
        <v>632</v>
      </c>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x14ac:dyDescent="0.35">
      <c r="A280" s="19"/>
      <c r="B280" s="19" t="s">
        <v>603</v>
      </c>
      <c r="C280" s="126">
        <v>1.7</v>
      </c>
      <c r="D280" s="126">
        <v>1.7</v>
      </c>
      <c r="E280" s="19">
        <v>0.9</v>
      </c>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x14ac:dyDescent="0.35">
      <c r="A281" s="19"/>
      <c r="B281" s="19" t="s">
        <v>633</v>
      </c>
      <c r="C281" s="126">
        <v>1.92</v>
      </c>
      <c r="D281" s="126">
        <v>1.92</v>
      </c>
      <c r="E281" s="19">
        <v>0.1</v>
      </c>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x14ac:dyDescent="0.35">
      <c r="A282" s="19"/>
      <c r="B282" s="19" t="s">
        <v>607</v>
      </c>
      <c r="C282" s="126">
        <v>2.4</v>
      </c>
      <c r="D282" s="126">
        <v>2.4</v>
      </c>
      <c r="E282" s="19">
        <v>0</v>
      </c>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x14ac:dyDescent="0.35">
      <c r="A283" s="19"/>
      <c r="B283" s="19" t="s">
        <v>609</v>
      </c>
      <c r="C283" s="126">
        <f>SUMPRODUCT(C280:C282,$E$280:$E$282)</f>
        <v>1.722</v>
      </c>
      <c r="D283" s="126">
        <f>SUMPRODUCT(D280:D282,$E$280:$E$282)</f>
        <v>1.722</v>
      </c>
      <c r="E283" s="19" t="s">
        <v>585</v>
      </c>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x14ac:dyDescent="0.35">
      <c r="A284" s="19"/>
      <c r="B284" s="19" t="s">
        <v>610</v>
      </c>
      <c r="C284" s="126">
        <v>1</v>
      </c>
      <c r="D284" s="126">
        <v>1</v>
      </c>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x14ac:dyDescent="0.35">
      <c r="A285" s="19"/>
      <c r="B285" s="19" t="s">
        <v>611</v>
      </c>
      <c r="C285" s="126">
        <f>(((1/C264-1/C265)*C266*(1-C267)*C278)*24*C279)/(C283*3412)</f>
        <v>1.1457818480378739</v>
      </c>
      <c r="D285" s="126">
        <f>(((1/D264-1/D265)*D266*(1-D267)*D278)*24*D279)/(D283*3412)</f>
        <v>1.1457818480378739</v>
      </c>
      <c r="E285" s="19" t="s">
        <v>604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x14ac:dyDescent="0.35">
      <c r="A286" s="19"/>
      <c r="B286" s="19" t="s">
        <v>611</v>
      </c>
      <c r="C286" s="126">
        <f>(((1/C264-1/C265)*C266*(1-C267)*C278)*24*C279)/(C284*3412)</f>
        <v>1.9730363423212187</v>
      </c>
      <c r="D286" s="126">
        <f>(((1/D264-1/D265)*D266*(1-D267)*D278)*24*D279)/(D284*3412)</f>
        <v>1.9730363423212187</v>
      </c>
      <c r="E286" s="19" t="s">
        <v>298</v>
      </c>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x14ac:dyDescent="0.35">
      <c r="A287" s="19"/>
      <c r="B287" s="19"/>
      <c r="C287" s="129"/>
      <c r="D287" s="12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x14ac:dyDescent="0.35">
      <c r="A288" s="19"/>
      <c r="B288" s="19" t="s">
        <v>342</v>
      </c>
      <c r="C288" s="139">
        <f>ROUND(C276,2)</f>
        <v>0.11</v>
      </c>
      <c r="D288" s="139">
        <f>ROUND(D276,2)</f>
        <v>0.11</v>
      </c>
      <c r="E288" s="19" t="s">
        <v>612</v>
      </c>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x14ac:dyDescent="0.35">
      <c r="A289" s="19"/>
      <c r="B289" s="19" t="s">
        <v>342</v>
      </c>
      <c r="C289" s="139">
        <f>ROUND(C276+C285,2)</f>
        <v>1.26</v>
      </c>
      <c r="D289" s="139">
        <f>ROUND(D276+D285,2)</f>
        <v>1.26</v>
      </c>
      <c r="E289" s="19" t="s">
        <v>604</v>
      </c>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x14ac:dyDescent="0.35">
      <c r="A290" s="19"/>
      <c r="B290" s="19" t="s">
        <v>342</v>
      </c>
      <c r="C290" s="139">
        <f>ROUND(C286,2)</f>
        <v>1.97</v>
      </c>
      <c r="D290" s="139">
        <f>ROUND(D286,2)</f>
        <v>1.97</v>
      </c>
      <c r="E290" s="19" t="s">
        <v>606</v>
      </c>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x14ac:dyDescent="0.35">
      <c r="A291" s="19"/>
      <c r="B291" s="19" t="s">
        <v>342</v>
      </c>
      <c r="C291" s="139">
        <f>ROUND(C276+C286,2)</f>
        <v>2.08</v>
      </c>
      <c r="D291" s="139">
        <f>ROUND(D276+D286,2)</f>
        <v>2.08</v>
      </c>
      <c r="E291" s="19" t="s">
        <v>608</v>
      </c>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x14ac:dyDescent="0.35">
      <c r="A292" s="19"/>
      <c r="B292" s="275"/>
      <c r="C292" s="276"/>
      <c r="D292" s="276"/>
      <c r="E292" s="275"/>
      <c r="F292" s="275"/>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x14ac:dyDescent="0.35">
      <c r="A293" s="19"/>
      <c r="B293" s="275" t="s">
        <v>634</v>
      </c>
      <c r="C293" s="276"/>
      <c r="D293" s="276"/>
      <c r="E293" s="275"/>
      <c r="F293" s="275"/>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x14ac:dyDescent="0.35">
      <c r="A294" s="19"/>
      <c r="B294" s="275" t="s">
        <v>322</v>
      </c>
      <c r="C294" s="277">
        <v>730</v>
      </c>
      <c r="D294" s="277">
        <v>730</v>
      </c>
      <c r="E294" s="275" t="s">
        <v>323</v>
      </c>
      <c r="F294" s="275"/>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x14ac:dyDescent="0.35">
      <c r="A295" s="19"/>
      <c r="B295" s="275" t="s">
        <v>301</v>
      </c>
      <c r="C295" s="278">
        <f>(C276/C294)*C256</f>
        <v>1.4007203085516687E-4</v>
      </c>
      <c r="D295" s="278">
        <f>(D276/D294)*D256</f>
        <v>1.4007203085516687E-4</v>
      </c>
      <c r="E295" s="275" t="s">
        <v>721</v>
      </c>
      <c r="F295" s="275"/>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x14ac:dyDescent="0.35">
      <c r="A296" s="19"/>
      <c r="B296" s="275"/>
      <c r="C296" s="276"/>
      <c r="D296" s="276"/>
      <c r="E296" s="275"/>
      <c r="F296" s="275"/>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x14ac:dyDescent="0.35">
      <c r="A297" s="19"/>
      <c r="B297" s="19" t="s">
        <v>637</v>
      </c>
      <c r="C297" s="160"/>
      <c r="D297" s="160"/>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x14ac:dyDescent="0.35">
      <c r="A298" s="19"/>
      <c r="B298" s="19" t="s">
        <v>638</v>
      </c>
      <c r="C298" s="125">
        <v>0.72</v>
      </c>
      <c r="D298" s="125">
        <v>0.72</v>
      </c>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x14ac:dyDescent="0.35">
      <c r="A299" s="19"/>
      <c r="B299" s="19" t="s">
        <v>302</v>
      </c>
      <c r="C299" s="139">
        <f>(((1/C264-1/C265)*C266*(1-C267)*C278)*24*C279)/(C298*100067)</f>
        <v>9.3437396944047471E-2</v>
      </c>
      <c r="D299" s="139">
        <f>(((1/D264-1/D265)*D266*(1-D267)*D278)*24*D279)/(D298*100067)</f>
        <v>9.3437396944047471E-2</v>
      </c>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x14ac:dyDescent="0.35">
      <c r="A300" s="19"/>
      <c r="B300" s="19" t="s">
        <v>639</v>
      </c>
      <c r="C300" s="129" t="s">
        <v>640</v>
      </c>
      <c r="D300" s="129" t="s">
        <v>640</v>
      </c>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x14ac:dyDescent="0.35">
      <c r="A301" s="19"/>
      <c r="B301" s="19" t="s">
        <v>641</v>
      </c>
      <c r="C301" s="161">
        <v>3.1399999999999997E-2</v>
      </c>
      <c r="D301" s="161">
        <v>3.1399999999999997E-2</v>
      </c>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x14ac:dyDescent="0.35">
      <c r="A302" s="19"/>
      <c r="B302" s="19" t="s">
        <v>342</v>
      </c>
      <c r="C302" s="139">
        <f>ROUND(C299*C301*29.3,2)</f>
        <v>0.09</v>
      </c>
      <c r="D302" s="139">
        <f>ROUND(D299*D301*29.3,2)</f>
        <v>0.09</v>
      </c>
      <c r="E302" s="19"/>
      <c r="F302" s="19"/>
      <c r="G302" s="149" t="s">
        <v>285</v>
      </c>
      <c r="H302" s="29" t="s">
        <v>286</v>
      </c>
      <c r="I302" s="29" t="s">
        <v>590</v>
      </c>
      <c r="J302" s="29" t="s">
        <v>568</v>
      </c>
      <c r="K302" s="29" t="s">
        <v>591</v>
      </c>
      <c r="L302" s="29" t="s">
        <v>592</v>
      </c>
      <c r="M302" s="258" t="s">
        <v>743</v>
      </c>
      <c r="N302" s="259"/>
      <c r="O302" s="259"/>
      <c r="P302" s="259" t="s">
        <v>342</v>
      </c>
      <c r="Q302" s="269" t="s">
        <v>342</v>
      </c>
      <c r="R302" s="259" t="s">
        <v>301</v>
      </c>
      <c r="S302" s="269" t="s">
        <v>301</v>
      </c>
      <c r="T302" s="259" t="s">
        <v>596</v>
      </c>
      <c r="U302" s="269" t="s">
        <v>596</v>
      </c>
      <c r="V302" s="259" t="s">
        <v>377</v>
      </c>
      <c r="W302" s="259" t="s">
        <v>598</v>
      </c>
      <c r="X302" s="260" t="s">
        <v>599</v>
      </c>
      <c r="Y302" s="19"/>
      <c r="Z302" s="19"/>
      <c r="AA302" s="19"/>
      <c r="AB302" s="19"/>
      <c r="AC302" s="19"/>
    </row>
    <row r="303" spans="1:29" x14ac:dyDescent="0.35">
      <c r="A303" s="19"/>
      <c r="B303" s="19"/>
      <c r="C303" s="19"/>
      <c r="D303" s="19"/>
      <c r="E303" s="19"/>
      <c r="F303" s="19"/>
      <c r="G303" s="250" t="s">
        <v>7</v>
      </c>
      <c r="H303" s="271" t="s">
        <v>1</v>
      </c>
      <c r="I303" s="251" t="s">
        <v>622</v>
      </c>
      <c r="J303" s="251" t="s">
        <v>622</v>
      </c>
      <c r="K303" s="251" t="s">
        <v>602</v>
      </c>
      <c r="L303" s="252">
        <f>$D$254</f>
        <v>20</v>
      </c>
      <c r="M303" s="251">
        <f>Assumptions!$G$11</f>
        <v>145</v>
      </c>
      <c r="N303" s="251"/>
      <c r="O303" s="251"/>
      <c r="P303" s="248">
        <f>INDEX($C$307:$C$318,MATCH($P$302&amp;"_"&amp;$K303,$A$307:$A$318,0))</f>
        <v>0.2</v>
      </c>
      <c r="Q303" s="248">
        <f>M303*P303</f>
        <v>29</v>
      </c>
      <c r="R303" s="270">
        <f>INDEX($C$307:$C$318,MATCH($R$302&amp;"_"&amp;$K303,$A$307:$A$318,0))</f>
        <v>1.4007203085516687E-4</v>
      </c>
      <c r="S303" s="270">
        <f>M303*R303</f>
        <v>2.0310444473999198E-2</v>
      </c>
      <c r="T303" s="248">
        <f>INDEX($C$307:$C$318,MATCH($T$302&amp;"_"&amp;$K303,$A$307:$A$318,0))</f>
        <v>9.3437396944047471E-2</v>
      </c>
      <c r="U303" s="248">
        <f>Q303*T303</f>
        <v>2.7096845113773766</v>
      </c>
      <c r="V303" s="261">
        <f>'RES HVAC'!$C$10</f>
        <v>11</v>
      </c>
      <c r="W303" s="35">
        <v>0</v>
      </c>
      <c r="X303" s="262" t="s">
        <v>465</v>
      </c>
      <c r="Y303" s="19"/>
      <c r="Z303" s="19"/>
      <c r="AA303" s="19"/>
      <c r="AB303" s="19"/>
      <c r="AC303" s="19"/>
    </row>
    <row r="304" spans="1:29" x14ac:dyDescent="0.35">
      <c r="A304" s="19"/>
      <c r="B304" s="19"/>
      <c r="C304" s="19"/>
      <c r="D304" s="19"/>
      <c r="E304" s="19"/>
      <c r="F304" s="19"/>
      <c r="G304" s="272" t="s">
        <v>7</v>
      </c>
      <c r="H304" s="273" t="s">
        <v>1</v>
      </c>
      <c r="I304" s="35" t="s">
        <v>622</v>
      </c>
      <c r="J304" s="31" t="s">
        <v>622</v>
      </c>
      <c r="K304" s="31" t="s">
        <v>604</v>
      </c>
      <c r="L304" s="135">
        <f t="shared" ref="L304:L306" si="63">$D$254</f>
        <v>20</v>
      </c>
      <c r="M304" s="35">
        <f>Assumptions!$G$11</f>
        <v>145</v>
      </c>
      <c r="N304" s="35"/>
      <c r="O304" s="35"/>
      <c r="P304" s="36">
        <f t="shared" ref="P304:P310" si="64">INDEX($C$307:$C$318,MATCH($P$302&amp;"_"&amp;$K304,$A$307:$A$318,0))</f>
        <v>1.26</v>
      </c>
      <c r="Q304" s="248">
        <f t="shared" ref="Q304:Q310" si="65">M304*P304</f>
        <v>182.7</v>
      </c>
      <c r="R304" s="267">
        <f t="shared" ref="R304:R310" si="66">INDEX($C$307:$C$318,MATCH($R$302&amp;"_"&amp;$K304,$A$307:$A$318,0))</f>
        <v>1.4007203085516687E-4</v>
      </c>
      <c r="S304" s="270">
        <f t="shared" ref="S304:S310" si="67">M304*R304</f>
        <v>2.0310444473999198E-2</v>
      </c>
      <c r="T304" s="36">
        <f t="shared" ref="T304:T310" si="68">INDEX($C$307:$C$318,MATCH($T$302&amp;"_"&amp;$K304,$A$307:$A$318,0))</f>
        <v>0</v>
      </c>
      <c r="U304" s="248">
        <f t="shared" ref="U304:U310" si="69">Q304*T304</f>
        <v>0</v>
      </c>
      <c r="V304" s="261">
        <f>'RES HVAC'!$C$10</f>
        <v>11</v>
      </c>
      <c r="W304" s="35">
        <v>0</v>
      </c>
      <c r="X304" s="262" t="s">
        <v>465</v>
      </c>
      <c r="Y304" s="19"/>
      <c r="Z304" s="19"/>
      <c r="AA304" s="19"/>
      <c r="AB304" s="19"/>
      <c r="AC304" s="19"/>
    </row>
    <row r="305" spans="1:29" x14ac:dyDescent="0.35">
      <c r="A305" s="19"/>
      <c r="B305" s="19"/>
      <c r="C305" s="19"/>
      <c r="D305" s="19"/>
      <c r="E305" s="19"/>
      <c r="F305" s="19"/>
      <c r="G305" s="272" t="s">
        <v>7</v>
      </c>
      <c r="H305" s="273" t="s">
        <v>1</v>
      </c>
      <c r="I305" s="35" t="s">
        <v>622</v>
      </c>
      <c r="J305" s="31" t="s">
        <v>622</v>
      </c>
      <c r="K305" s="31" t="s">
        <v>606</v>
      </c>
      <c r="L305" s="135">
        <f t="shared" si="63"/>
        <v>20</v>
      </c>
      <c r="M305" s="35">
        <f>Assumptions!$G$11</f>
        <v>145</v>
      </c>
      <c r="N305" s="35"/>
      <c r="O305" s="35"/>
      <c r="P305" s="36">
        <f t="shared" si="64"/>
        <v>1.97</v>
      </c>
      <c r="Q305" s="248">
        <f t="shared" si="65"/>
        <v>285.64999999999998</v>
      </c>
      <c r="R305" s="267">
        <f t="shared" si="66"/>
        <v>1.4007203085516687E-4</v>
      </c>
      <c r="S305" s="270">
        <f t="shared" si="67"/>
        <v>2.0310444473999198E-2</v>
      </c>
      <c r="T305" s="36">
        <f t="shared" si="68"/>
        <v>0</v>
      </c>
      <c r="U305" s="248">
        <f t="shared" si="69"/>
        <v>0</v>
      </c>
      <c r="V305" s="261">
        <f>'RES HVAC'!$C$10</f>
        <v>11</v>
      </c>
      <c r="W305" s="35">
        <v>0</v>
      </c>
      <c r="X305" s="262" t="s">
        <v>465</v>
      </c>
      <c r="Y305" s="19"/>
      <c r="Z305" s="19"/>
      <c r="AA305" s="19"/>
      <c r="AB305" s="19"/>
      <c r="AC305" s="19"/>
    </row>
    <row r="306" spans="1:29" x14ac:dyDescent="0.35">
      <c r="A306" s="19"/>
      <c r="B306" s="19"/>
      <c r="C306" s="19"/>
      <c r="D306" s="19"/>
      <c r="E306" s="19"/>
      <c r="F306" s="19"/>
      <c r="G306" s="272" t="s">
        <v>7</v>
      </c>
      <c r="H306" s="273" t="s">
        <v>1</v>
      </c>
      <c r="I306" s="35" t="s">
        <v>622</v>
      </c>
      <c r="J306" s="31" t="s">
        <v>622</v>
      </c>
      <c r="K306" s="31" t="s">
        <v>608</v>
      </c>
      <c r="L306" s="135">
        <f t="shared" si="63"/>
        <v>20</v>
      </c>
      <c r="M306" s="35">
        <f>Assumptions!$G$11</f>
        <v>145</v>
      </c>
      <c r="N306" s="35"/>
      <c r="O306" s="35"/>
      <c r="P306" s="36">
        <f t="shared" si="64"/>
        <v>2.08</v>
      </c>
      <c r="Q306" s="248">
        <f t="shared" si="65"/>
        <v>301.60000000000002</v>
      </c>
      <c r="R306" s="267">
        <f t="shared" si="66"/>
        <v>1.4007203085516687E-4</v>
      </c>
      <c r="S306" s="270">
        <f t="shared" si="67"/>
        <v>2.0310444473999198E-2</v>
      </c>
      <c r="T306" s="36">
        <f t="shared" si="68"/>
        <v>0</v>
      </c>
      <c r="U306" s="248">
        <f t="shared" si="69"/>
        <v>0</v>
      </c>
      <c r="V306" s="261">
        <f>'RES HVAC'!$C$10</f>
        <v>11</v>
      </c>
      <c r="W306" s="35">
        <v>0</v>
      </c>
      <c r="X306" s="262" t="s">
        <v>465</v>
      </c>
      <c r="Y306" s="19"/>
      <c r="Z306" s="19"/>
      <c r="AA306" s="19"/>
      <c r="AB306" s="19"/>
      <c r="AC306" s="19"/>
    </row>
    <row r="307" spans="1:29" x14ac:dyDescent="0.35">
      <c r="A307" s="18" t="str">
        <f>D307&amp;"_"&amp;B307</f>
        <v>kWh_Gas Heat w/AC</v>
      </c>
      <c r="B307" s="19" t="s">
        <v>602</v>
      </c>
      <c r="C307" s="26">
        <f>C288+C302</f>
        <v>0.2</v>
      </c>
      <c r="D307" s="19" t="s">
        <v>342</v>
      </c>
      <c r="E307" s="19"/>
      <c r="F307" s="19"/>
      <c r="G307" s="272" t="s">
        <v>44</v>
      </c>
      <c r="H307" s="273" t="s">
        <v>1</v>
      </c>
      <c r="I307" s="35" t="s">
        <v>622</v>
      </c>
      <c r="J307" s="31" t="s">
        <v>622</v>
      </c>
      <c r="K307" s="31" t="s">
        <v>602</v>
      </c>
      <c r="L307" s="135">
        <f>$C$254</f>
        <v>20</v>
      </c>
      <c r="M307" s="35">
        <f>Assumptions!$G$11</f>
        <v>145</v>
      </c>
      <c r="N307" s="35"/>
      <c r="O307" s="35"/>
      <c r="P307" s="36">
        <f t="shared" si="64"/>
        <v>0.2</v>
      </c>
      <c r="Q307" s="248">
        <f t="shared" si="65"/>
        <v>29</v>
      </c>
      <c r="R307" s="267">
        <f t="shared" si="66"/>
        <v>1.4007203085516687E-4</v>
      </c>
      <c r="S307" s="270">
        <f t="shared" si="67"/>
        <v>2.0310444473999198E-2</v>
      </c>
      <c r="T307" s="36">
        <f t="shared" si="68"/>
        <v>9.3437396944047471E-2</v>
      </c>
      <c r="U307" s="248">
        <f t="shared" si="69"/>
        <v>2.7096845113773766</v>
      </c>
      <c r="V307" s="261">
        <f>'RES HVAC'!$C$10</f>
        <v>11</v>
      </c>
      <c r="W307" s="35">
        <v>0</v>
      </c>
      <c r="X307" s="262" t="s">
        <v>465</v>
      </c>
      <c r="Y307" s="19"/>
      <c r="Z307" s="19"/>
      <c r="AA307" s="19"/>
      <c r="AB307" s="19"/>
      <c r="AC307" s="19"/>
    </row>
    <row r="308" spans="1:29" x14ac:dyDescent="0.35">
      <c r="A308" s="18" t="str">
        <f t="shared" ref="A308:A318" si="70">D308&amp;"_"&amp;B308</f>
        <v>kWh_Heat pump</v>
      </c>
      <c r="B308" s="19" t="s">
        <v>604</v>
      </c>
      <c r="C308" s="26">
        <f>C289</f>
        <v>1.26</v>
      </c>
      <c r="D308" s="19" t="s">
        <v>342</v>
      </c>
      <c r="E308" s="19"/>
      <c r="F308" s="19"/>
      <c r="G308" s="272" t="s">
        <v>44</v>
      </c>
      <c r="H308" s="273" t="s">
        <v>1</v>
      </c>
      <c r="I308" s="35" t="s">
        <v>622</v>
      </c>
      <c r="J308" s="31" t="s">
        <v>622</v>
      </c>
      <c r="K308" s="31" t="s">
        <v>604</v>
      </c>
      <c r="L308" s="135">
        <f t="shared" ref="L308:L310" si="71">$C$254</f>
        <v>20</v>
      </c>
      <c r="M308" s="35">
        <f>Assumptions!$G$11</f>
        <v>145</v>
      </c>
      <c r="N308" s="35"/>
      <c r="O308" s="35"/>
      <c r="P308" s="36">
        <f t="shared" si="64"/>
        <v>1.26</v>
      </c>
      <c r="Q308" s="248">
        <f t="shared" si="65"/>
        <v>182.7</v>
      </c>
      <c r="R308" s="267">
        <f t="shared" si="66"/>
        <v>1.4007203085516687E-4</v>
      </c>
      <c r="S308" s="270">
        <f t="shared" si="67"/>
        <v>2.0310444473999198E-2</v>
      </c>
      <c r="T308" s="36">
        <f t="shared" si="68"/>
        <v>0</v>
      </c>
      <c r="U308" s="248">
        <f t="shared" si="69"/>
        <v>0</v>
      </c>
      <c r="V308" s="261">
        <f>'RES HVAC'!$C$10</f>
        <v>11</v>
      </c>
      <c r="W308" s="35">
        <v>0</v>
      </c>
      <c r="X308" s="262" t="s">
        <v>465</v>
      </c>
      <c r="Y308" s="19"/>
      <c r="Z308" s="19"/>
      <c r="AA308" s="19"/>
      <c r="AB308" s="19"/>
      <c r="AC308" s="19"/>
    </row>
    <row r="309" spans="1:29" x14ac:dyDescent="0.35">
      <c r="A309" s="18" t="str">
        <f t="shared" si="70"/>
        <v>kWh_Resistance, heat only</v>
      </c>
      <c r="B309" s="19" t="s">
        <v>606</v>
      </c>
      <c r="C309" s="26">
        <f>C290</f>
        <v>1.97</v>
      </c>
      <c r="D309" s="19" t="s">
        <v>342</v>
      </c>
      <c r="E309" s="19"/>
      <c r="F309" s="19"/>
      <c r="G309" s="272" t="s">
        <v>44</v>
      </c>
      <c r="H309" s="273" t="s">
        <v>1</v>
      </c>
      <c r="I309" s="35" t="s">
        <v>622</v>
      </c>
      <c r="J309" s="31" t="s">
        <v>622</v>
      </c>
      <c r="K309" s="31" t="s">
        <v>606</v>
      </c>
      <c r="L309" s="135">
        <f t="shared" si="71"/>
        <v>20</v>
      </c>
      <c r="M309" s="35">
        <f>Assumptions!$G$11</f>
        <v>145</v>
      </c>
      <c r="N309" s="35"/>
      <c r="O309" s="35"/>
      <c r="P309" s="36">
        <f t="shared" si="64"/>
        <v>1.97</v>
      </c>
      <c r="Q309" s="248">
        <f t="shared" si="65"/>
        <v>285.64999999999998</v>
      </c>
      <c r="R309" s="267">
        <f t="shared" si="66"/>
        <v>1.4007203085516687E-4</v>
      </c>
      <c r="S309" s="270">
        <f t="shared" si="67"/>
        <v>2.0310444473999198E-2</v>
      </c>
      <c r="T309" s="36">
        <f t="shared" si="68"/>
        <v>0</v>
      </c>
      <c r="U309" s="248">
        <f t="shared" si="69"/>
        <v>0</v>
      </c>
      <c r="V309" s="261">
        <f>'RES HVAC'!$C$10</f>
        <v>11</v>
      </c>
      <c r="W309" s="35">
        <v>0</v>
      </c>
      <c r="X309" s="262" t="s">
        <v>465</v>
      </c>
      <c r="Y309" s="19"/>
      <c r="Z309" s="19"/>
      <c r="AA309" s="19"/>
      <c r="AB309" s="19"/>
      <c r="AC309" s="19"/>
    </row>
    <row r="310" spans="1:29" x14ac:dyDescent="0.35">
      <c r="A310" s="18" t="str">
        <f t="shared" si="70"/>
        <v>kWh_Resistance w/ AC</v>
      </c>
      <c r="B310" s="19" t="s">
        <v>608</v>
      </c>
      <c r="C310" s="26">
        <f>C291</f>
        <v>2.08</v>
      </c>
      <c r="D310" s="19" t="s">
        <v>342</v>
      </c>
      <c r="E310" s="19"/>
      <c r="F310" s="19"/>
      <c r="G310" s="274" t="s">
        <v>44</v>
      </c>
      <c r="H310" s="273" t="s">
        <v>1</v>
      </c>
      <c r="I310" s="263" t="s">
        <v>622</v>
      </c>
      <c r="J310" s="143" t="s">
        <v>622</v>
      </c>
      <c r="K310" s="143" t="s">
        <v>608</v>
      </c>
      <c r="L310" s="144">
        <f t="shared" si="71"/>
        <v>20</v>
      </c>
      <c r="M310" s="263">
        <f>Assumptions!$G$11</f>
        <v>145</v>
      </c>
      <c r="N310" s="263"/>
      <c r="O310" s="263"/>
      <c r="P310" s="264">
        <f t="shared" si="64"/>
        <v>2.08</v>
      </c>
      <c r="Q310" s="249">
        <f t="shared" si="65"/>
        <v>301.60000000000002</v>
      </c>
      <c r="R310" s="268">
        <f t="shared" si="66"/>
        <v>1.4007203085516687E-4</v>
      </c>
      <c r="S310" s="270">
        <f t="shared" si="67"/>
        <v>2.0310444473999198E-2</v>
      </c>
      <c r="T310" s="264">
        <f t="shared" si="68"/>
        <v>0</v>
      </c>
      <c r="U310" s="249">
        <f t="shared" si="69"/>
        <v>0</v>
      </c>
      <c r="V310" s="265">
        <f>'RES HVAC'!$C$10</f>
        <v>11</v>
      </c>
      <c r="W310" s="263">
        <v>0</v>
      </c>
      <c r="X310" s="266" t="s">
        <v>465</v>
      </c>
      <c r="Y310" s="19"/>
      <c r="Z310" s="19"/>
      <c r="AA310" s="19"/>
      <c r="AB310" s="19"/>
      <c r="AC310" s="19"/>
    </row>
    <row r="311" spans="1:29" x14ac:dyDescent="0.35">
      <c r="A311" s="18" t="str">
        <f t="shared" si="70"/>
        <v>kW_Gas Heat w/AC</v>
      </c>
      <c r="B311" s="19" t="s">
        <v>602</v>
      </c>
      <c r="C311" s="26">
        <f>$C$295</f>
        <v>1.4007203085516687E-4</v>
      </c>
      <c r="D311" s="19" t="s">
        <v>301</v>
      </c>
      <c r="E311" s="19"/>
      <c r="F311" s="19"/>
      <c r="G311" s="19"/>
      <c r="H311" s="19"/>
      <c r="I311" s="19"/>
      <c r="J311" s="19"/>
      <c r="K311" s="19"/>
      <c r="L311" s="19"/>
      <c r="M311" s="19"/>
      <c r="N311" s="19"/>
      <c r="O311" s="19"/>
      <c r="P311" s="19"/>
      <c r="Q311" s="19"/>
      <c r="R311" s="19"/>
      <c r="S311" s="19"/>
      <c r="T311" s="19"/>
      <c r="U311" s="19"/>
      <c r="V311" s="165"/>
      <c r="W311" s="19"/>
      <c r="X311" s="19"/>
      <c r="Y311" s="19"/>
      <c r="Z311" s="19"/>
      <c r="AA311" s="19"/>
      <c r="AB311" s="19"/>
      <c r="AC311" s="19"/>
    </row>
    <row r="312" spans="1:29" x14ac:dyDescent="0.35">
      <c r="A312" s="18" t="str">
        <f t="shared" si="70"/>
        <v>kW_Heat pump</v>
      </c>
      <c r="B312" s="19" t="s">
        <v>604</v>
      </c>
      <c r="C312" s="26">
        <f t="shared" ref="C312:C314" si="72">$C$295</f>
        <v>1.4007203085516687E-4</v>
      </c>
      <c r="D312" s="19" t="s">
        <v>301</v>
      </c>
      <c r="E312" s="19"/>
      <c r="F312" s="19"/>
      <c r="G312" s="19"/>
      <c r="H312" s="19"/>
      <c r="I312" s="19"/>
      <c r="J312" s="19"/>
      <c r="K312" s="19"/>
      <c r="L312" s="19"/>
      <c r="N312" s="19" t="s">
        <v>726</v>
      </c>
      <c r="O312" s="19" t="s">
        <v>1737</v>
      </c>
      <c r="P312" s="19">
        <v>0.5</v>
      </c>
      <c r="Q312" s="19">
        <f>P312*Q304</f>
        <v>91.35</v>
      </c>
      <c r="R312" s="19">
        <f>P312*S304</f>
        <v>1.0155222236999599E-2</v>
      </c>
      <c r="S312" s="19"/>
      <c r="T312" s="19"/>
      <c r="U312" s="19"/>
      <c r="V312" s="19"/>
      <c r="W312" s="19"/>
      <c r="X312" s="19"/>
      <c r="Y312" s="19"/>
      <c r="Z312" s="19"/>
      <c r="AA312" s="19"/>
      <c r="AB312" s="19"/>
      <c r="AC312" s="19"/>
    </row>
    <row r="313" spans="1:29" x14ac:dyDescent="0.35">
      <c r="A313" s="18" t="str">
        <f t="shared" si="70"/>
        <v>kW_Resistance, heat only</v>
      </c>
      <c r="B313" s="19" t="s">
        <v>606</v>
      </c>
      <c r="C313" s="26">
        <f t="shared" si="72"/>
        <v>1.4007203085516687E-4</v>
      </c>
      <c r="D313" s="19" t="s">
        <v>301</v>
      </c>
      <c r="E313" s="19"/>
      <c r="F313" s="19"/>
      <c r="G313" s="19"/>
      <c r="H313" s="19"/>
      <c r="I313" s="19"/>
      <c r="J313" s="19"/>
      <c r="K313" s="19"/>
      <c r="L313" s="19"/>
      <c r="N313" s="19"/>
      <c r="O313" s="19" t="s">
        <v>606</v>
      </c>
      <c r="P313" s="19">
        <v>0.125</v>
      </c>
      <c r="Q313" s="19">
        <f t="shared" ref="Q313:Q314" si="73">P313*Q305</f>
        <v>35.706249999999997</v>
      </c>
      <c r="R313" s="19">
        <f t="shared" ref="R313:R314" si="74">P313*S305</f>
        <v>2.5388055592498997E-3</v>
      </c>
      <c r="S313" s="19"/>
      <c r="T313" s="19"/>
      <c r="U313" s="19"/>
      <c r="V313" s="19"/>
      <c r="W313" s="19"/>
      <c r="X313" s="19"/>
      <c r="Y313" s="19"/>
      <c r="Z313" s="19"/>
      <c r="AA313" s="19"/>
      <c r="AB313" s="19"/>
      <c r="AC313" s="19"/>
    </row>
    <row r="314" spans="1:29" x14ac:dyDescent="0.35">
      <c r="A314" s="18" t="str">
        <f t="shared" si="70"/>
        <v>kW_Resistance w/ AC</v>
      </c>
      <c r="B314" s="19" t="s">
        <v>608</v>
      </c>
      <c r="C314" s="26">
        <f t="shared" si="72"/>
        <v>1.4007203085516687E-4</v>
      </c>
      <c r="D314" s="19" t="s">
        <v>301</v>
      </c>
      <c r="E314" s="19"/>
      <c r="F314" s="19"/>
      <c r="G314" s="19"/>
      <c r="H314" s="19"/>
      <c r="I314" s="19"/>
      <c r="J314" s="19"/>
      <c r="K314" s="19"/>
      <c r="L314" s="19"/>
      <c r="N314" s="19"/>
      <c r="O314" s="19" t="s">
        <v>608</v>
      </c>
      <c r="P314" s="19">
        <v>0.375</v>
      </c>
      <c r="Q314" s="19">
        <f t="shared" si="73"/>
        <v>113.10000000000001</v>
      </c>
      <c r="R314" s="19">
        <f t="shared" si="74"/>
        <v>7.6164166777496992E-3</v>
      </c>
      <c r="S314" s="19"/>
      <c r="T314" s="19"/>
      <c r="U314" s="19"/>
      <c r="V314" s="19"/>
      <c r="W314" s="19"/>
      <c r="X314" s="19"/>
      <c r="Y314" s="19"/>
      <c r="Z314" s="19"/>
      <c r="AA314" s="19"/>
      <c r="AB314" s="19"/>
      <c r="AC314" s="19"/>
    </row>
    <row r="315" spans="1:29" x14ac:dyDescent="0.35">
      <c r="A315" s="18" t="str">
        <f t="shared" si="70"/>
        <v>Therm_Gas Heat w/AC</v>
      </c>
      <c r="B315" s="19" t="s">
        <v>602</v>
      </c>
      <c r="C315" s="26">
        <f>C299</f>
        <v>9.3437396944047471E-2</v>
      </c>
      <c r="D315" s="19" t="s">
        <v>596</v>
      </c>
      <c r="E315" s="19"/>
      <c r="F315" s="19"/>
      <c r="G315" s="19"/>
      <c r="H315" s="19"/>
      <c r="I315" s="19"/>
      <c r="J315" s="19"/>
      <c r="K315" s="19"/>
      <c r="L315" s="19"/>
      <c r="M315" s="19"/>
      <c r="N315" s="19"/>
      <c r="O315" s="19"/>
      <c r="P315" s="19"/>
      <c r="Q315" s="19">
        <f>SUM(Q312:Q314)</f>
        <v>240.15625</v>
      </c>
      <c r="R315" s="19">
        <f>SUM(R312:R314)</f>
        <v>2.0310444473999198E-2</v>
      </c>
      <c r="S315" s="19"/>
      <c r="T315" s="19"/>
      <c r="U315" s="19"/>
      <c r="V315" s="19"/>
      <c r="W315" s="19"/>
      <c r="X315" s="19"/>
      <c r="Y315" s="19"/>
      <c r="Z315" s="19"/>
      <c r="AA315" s="19"/>
      <c r="AB315" s="19"/>
      <c r="AC315" s="19"/>
    </row>
    <row r="316" spans="1:29" x14ac:dyDescent="0.35">
      <c r="A316" s="18" t="str">
        <f t="shared" si="70"/>
        <v>Therm_Heat pump</v>
      </c>
      <c r="B316" s="19" t="s">
        <v>604</v>
      </c>
      <c r="C316" s="19">
        <v>0</v>
      </c>
      <c r="D316" s="19" t="s">
        <v>596</v>
      </c>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x14ac:dyDescent="0.35">
      <c r="A317" s="18" t="str">
        <f t="shared" si="70"/>
        <v>Therm_Resistance, heat only</v>
      </c>
      <c r="B317" s="19" t="s">
        <v>606</v>
      </c>
      <c r="C317" s="19">
        <v>0</v>
      </c>
      <c r="D317" s="19" t="s">
        <v>596</v>
      </c>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x14ac:dyDescent="0.35">
      <c r="A318" s="18" t="str">
        <f t="shared" si="70"/>
        <v>Therm_Resistance w/ AC</v>
      </c>
      <c r="B318" s="19" t="s">
        <v>608</v>
      </c>
      <c r="C318" s="19">
        <v>0</v>
      </c>
      <c r="D318" s="19" t="s">
        <v>596</v>
      </c>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22" spans="1:33" ht="18.5" x14ac:dyDescent="0.45">
      <c r="A322" s="2568" t="s">
        <v>710</v>
      </c>
      <c r="B322" s="2568" t="s">
        <v>711</v>
      </c>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33" ht="15" thickBot="1" x14ac:dyDescent="0.4">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33" x14ac:dyDescent="0.35">
      <c r="A324" s="19"/>
      <c r="B324" s="19" t="s">
        <v>290</v>
      </c>
      <c r="C324" s="2609">
        <v>20</v>
      </c>
      <c r="D324" s="19"/>
      <c r="E324" s="19"/>
      <c r="F324" s="19"/>
      <c r="G324" s="19"/>
      <c r="H324" s="19"/>
      <c r="I324" s="2552" t="s">
        <v>3381</v>
      </c>
      <c r="J324" s="19"/>
      <c r="K324" s="19"/>
      <c r="L324" s="19"/>
      <c r="M324" s="19"/>
      <c r="N324" s="19"/>
      <c r="O324" s="19"/>
      <c r="P324" s="19"/>
      <c r="Q324" s="19"/>
      <c r="R324" s="19"/>
      <c r="S324" s="19"/>
      <c r="T324" s="19"/>
      <c r="U324" s="19"/>
      <c r="V324" s="2622" t="s">
        <v>3380</v>
      </c>
      <c r="W324" s="2623"/>
      <c r="X324" s="2612"/>
      <c r="Y324" s="2612"/>
      <c r="Z324" s="2612"/>
      <c r="AA324" s="2555"/>
      <c r="AB324" s="2555"/>
      <c r="AC324" s="2555"/>
      <c r="AD324" s="2555"/>
      <c r="AE324" s="2555"/>
      <c r="AF324" s="2555"/>
      <c r="AG324" s="2556"/>
    </row>
    <row r="325" spans="1:33" x14ac:dyDescent="0.35">
      <c r="A325" s="19"/>
      <c r="B325" s="19" t="s">
        <v>291</v>
      </c>
      <c r="C325" s="157">
        <v>0.75</v>
      </c>
      <c r="D325" s="19" t="s">
        <v>712</v>
      </c>
      <c r="E325" s="19"/>
      <c r="F325" s="19"/>
      <c r="G325" s="19"/>
      <c r="H325" s="19"/>
      <c r="I325" s="131" t="s">
        <v>8</v>
      </c>
      <c r="J325" s="29" t="s">
        <v>592</v>
      </c>
      <c r="K325" s="29" t="s">
        <v>593</v>
      </c>
      <c r="L325" s="29" t="s">
        <v>342</v>
      </c>
      <c r="M325" s="29" t="s">
        <v>594</v>
      </c>
      <c r="N325" s="29" t="s">
        <v>301</v>
      </c>
      <c r="O325" s="29" t="s">
        <v>595</v>
      </c>
      <c r="P325" s="29" t="s">
        <v>596</v>
      </c>
      <c r="Q325" s="29" t="s">
        <v>597</v>
      </c>
      <c r="R325" s="29" t="s">
        <v>377</v>
      </c>
      <c r="S325" s="29" t="s">
        <v>598</v>
      </c>
      <c r="T325" s="132" t="s">
        <v>599</v>
      </c>
      <c r="V325" s="2613" t="s">
        <v>8</v>
      </c>
      <c r="W325" s="29" t="s">
        <v>592</v>
      </c>
      <c r="X325" s="29" t="s">
        <v>593</v>
      </c>
      <c r="Y325" s="29" t="s">
        <v>342</v>
      </c>
      <c r="Z325" s="29" t="s">
        <v>594</v>
      </c>
      <c r="AA325" s="29" t="s">
        <v>301</v>
      </c>
      <c r="AB325" s="29" t="s">
        <v>595</v>
      </c>
      <c r="AC325" s="29" t="s">
        <v>596</v>
      </c>
      <c r="AD325" s="29" t="s">
        <v>597</v>
      </c>
      <c r="AE325" s="29" t="s">
        <v>377</v>
      </c>
      <c r="AF325" s="29" t="s">
        <v>598</v>
      </c>
      <c r="AG325" s="2614" t="s">
        <v>599</v>
      </c>
    </row>
    <row r="326" spans="1:33" x14ac:dyDescent="0.35">
      <c r="A326" s="19"/>
      <c r="B326" s="19" t="s">
        <v>292</v>
      </c>
      <c r="C326" s="158">
        <v>0.68</v>
      </c>
      <c r="D326" s="19"/>
      <c r="E326" s="19"/>
      <c r="F326" s="19"/>
      <c r="G326" s="19"/>
      <c r="H326" s="19"/>
      <c r="I326" s="133" t="s">
        <v>602</v>
      </c>
      <c r="J326" s="135">
        <f>$C$324</f>
        <v>20</v>
      </c>
      <c r="K326" s="31">
        <v>0</v>
      </c>
      <c r="L326" s="37">
        <f>C356+C376</f>
        <v>0.36239000000000005</v>
      </c>
      <c r="M326" s="31">
        <v>0</v>
      </c>
      <c r="N326" s="136">
        <f>$C$365</f>
        <v>2.8938838469109041E-4</v>
      </c>
      <c r="O326" s="31">
        <v>0</v>
      </c>
      <c r="P326" s="37">
        <f>C371</f>
        <v>7.5372162697674439E-2</v>
      </c>
      <c r="Q326" s="31">
        <v>0</v>
      </c>
      <c r="R326" s="162">
        <f>$C$4</f>
        <v>0</v>
      </c>
      <c r="S326" s="31">
        <v>0</v>
      </c>
      <c r="T326" s="137" t="s">
        <v>713</v>
      </c>
      <c r="V326" s="2615" t="s">
        <v>602</v>
      </c>
      <c r="W326" s="135">
        <f>$C$324</f>
        <v>20</v>
      </c>
      <c r="X326" s="234">
        <v>0</v>
      </c>
      <c r="Y326" s="37">
        <f>F356+F376</f>
        <v>0.30239000000000005</v>
      </c>
      <c r="Z326" s="234">
        <v>0</v>
      </c>
      <c r="AA326" s="136">
        <f>$F$365</f>
        <v>2.2079261943098002E-4</v>
      </c>
      <c r="AB326" s="234">
        <v>0</v>
      </c>
      <c r="AC326" s="2624">
        <f>F371</f>
        <v>7.0938506068399465E-2</v>
      </c>
      <c r="AD326" s="234">
        <v>0</v>
      </c>
      <c r="AE326" s="162">
        <f>$C$4</f>
        <v>0</v>
      </c>
      <c r="AF326" s="234">
        <v>0</v>
      </c>
      <c r="AG326" s="2616" t="s">
        <v>713</v>
      </c>
    </row>
    <row r="327" spans="1:33" x14ac:dyDescent="0.35">
      <c r="A327" s="19"/>
      <c r="B327" s="19"/>
      <c r="C327" s="129"/>
      <c r="D327" s="19"/>
      <c r="E327" s="19"/>
      <c r="F327" s="19"/>
      <c r="G327" s="19"/>
      <c r="H327" s="19"/>
      <c r="I327" s="133" t="s">
        <v>604</v>
      </c>
      <c r="J327" s="135">
        <f t="shared" ref="J327:J328" si="75">$C$324</f>
        <v>20</v>
      </c>
      <c r="K327" s="31">
        <v>0</v>
      </c>
      <c r="L327" s="37">
        <f>C357</f>
        <v>1.18</v>
      </c>
      <c r="M327" s="31">
        <v>0</v>
      </c>
      <c r="N327" s="136">
        <f>$C$365</f>
        <v>2.8938838469109041E-4</v>
      </c>
      <c r="O327" s="31">
        <v>0</v>
      </c>
      <c r="P327" s="37">
        <v>0</v>
      </c>
      <c r="Q327" s="31">
        <v>0</v>
      </c>
      <c r="R327" s="162">
        <f>$C$4</f>
        <v>0</v>
      </c>
      <c r="S327" s="31">
        <v>0</v>
      </c>
      <c r="T327" s="137" t="s">
        <v>713</v>
      </c>
      <c r="V327" s="2615" t="s">
        <v>604</v>
      </c>
      <c r="W327" s="135">
        <f t="shared" ref="W327:W328" si="76">$C$324</f>
        <v>20</v>
      </c>
      <c r="X327" s="234">
        <v>0</v>
      </c>
      <c r="Y327" s="37">
        <f>F357</f>
        <v>0.97</v>
      </c>
      <c r="Z327" s="234">
        <v>0</v>
      </c>
      <c r="AA327" s="136">
        <f>$F$365</f>
        <v>2.2079261943098002E-4</v>
      </c>
      <c r="AB327" s="234">
        <v>0</v>
      </c>
      <c r="AC327" s="37">
        <v>0</v>
      </c>
      <c r="AD327" s="234">
        <v>0</v>
      </c>
      <c r="AE327" s="162">
        <f>$C$4</f>
        <v>0</v>
      </c>
      <c r="AF327" s="234">
        <v>0</v>
      </c>
      <c r="AG327" s="2616" t="s">
        <v>713</v>
      </c>
    </row>
    <row r="328" spans="1:33" x14ac:dyDescent="0.35">
      <c r="A328" s="19"/>
      <c r="B328" s="19" t="s">
        <v>571</v>
      </c>
      <c r="C328" s="129"/>
      <c r="D328" s="19"/>
      <c r="E328" s="19"/>
      <c r="F328" s="19"/>
      <c r="G328" s="19"/>
      <c r="H328" s="19"/>
      <c r="I328" s="133" t="s">
        <v>606</v>
      </c>
      <c r="J328" s="135">
        <f t="shared" si="75"/>
        <v>20</v>
      </c>
      <c r="K328" s="31">
        <v>0</v>
      </c>
      <c r="L328" s="37">
        <f>C358</f>
        <v>1.55</v>
      </c>
      <c r="M328" s="31">
        <v>0</v>
      </c>
      <c r="N328" s="136">
        <v>0</v>
      </c>
      <c r="O328" s="31">
        <v>0</v>
      </c>
      <c r="P328" s="37">
        <v>0</v>
      </c>
      <c r="Q328" s="31">
        <v>0</v>
      </c>
      <c r="R328" s="162">
        <f>$C$4</f>
        <v>0</v>
      </c>
      <c r="S328" s="31">
        <v>0</v>
      </c>
      <c r="T328" s="137" t="s">
        <v>713</v>
      </c>
      <c r="V328" s="2615" t="s">
        <v>606</v>
      </c>
      <c r="W328" s="135">
        <f t="shared" si="76"/>
        <v>20</v>
      </c>
      <c r="X328" s="234">
        <v>0</v>
      </c>
      <c r="Y328" s="37">
        <f>F358</f>
        <v>1.55</v>
      </c>
      <c r="Z328" s="234">
        <v>0</v>
      </c>
      <c r="AA328" s="136">
        <v>0</v>
      </c>
      <c r="AB328" s="234">
        <v>0</v>
      </c>
      <c r="AC328" s="37">
        <v>0</v>
      </c>
      <c r="AD328" s="234">
        <v>0</v>
      </c>
      <c r="AE328" s="162">
        <f>$C$4</f>
        <v>0</v>
      </c>
      <c r="AF328" s="234">
        <v>0</v>
      </c>
      <c r="AG328" s="2616" t="s">
        <v>713</v>
      </c>
    </row>
    <row r="329" spans="1:33" x14ac:dyDescent="0.35">
      <c r="A329" s="19"/>
      <c r="B329" s="2761" t="s">
        <v>3945</v>
      </c>
      <c r="C329" s="129"/>
      <c r="D329" s="19"/>
      <c r="E329" s="19"/>
      <c r="F329" s="19"/>
      <c r="G329" s="19"/>
      <c r="H329" s="19"/>
      <c r="I329" s="133" t="s">
        <v>608</v>
      </c>
      <c r="J329" s="135">
        <f>$C$324</f>
        <v>20</v>
      </c>
      <c r="K329" s="31">
        <v>0</v>
      </c>
      <c r="L329" s="37">
        <f>C359</f>
        <v>1.83</v>
      </c>
      <c r="M329" s="31">
        <v>0</v>
      </c>
      <c r="N329" s="136">
        <f>$C$365</f>
        <v>2.8938838469109041E-4</v>
      </c>
      <c r="O329" s="31">
        <v>0</v>
      </c>
      <c r="P329" s="37">
        <v>0</v>
      </c>
      <c r="Q329" s="31">
        <v>0</v>
      </c>
      <c r="R329" s="162">
        <f>$C$4</f>
        <v>0</v>
      </c>
      <c r="S329" s="31">
        <v>0</v>
      </c>
      <c r="T329" s="137" t="s">
        <v>713</v>
      </c>
      <c r="V329" s="2615" t="s">
        <v>608</v>
      </c>
      <c r="W329" s="135">
        <f>$C$324</f>
        <v>20</v>
      </c>
      <c r="X329" s="234">
        <v>0</v>
      </c>
      <c r="Y329" s="37">
        <f>F359</f>
        <v>1.76</v>
      </c>
      <c r="Z329" s="234">
        <v>0</v>
      </c>
      <c r="AA329" s="136">
        <f>$F$365</f>
        <v>2.2079261943098002E-4</v>
      </c>
      <c r="AB329" s="234">
        <v>0</v>
      </c>
      <c r="AC329" s="37">
        <v>0</v>
      </c>
      <c r="AD329" s="234">
        <v>0</v>
      </c>
      <c r="AE329" s="162">
        <f>$C$4</f>
        <v>0</v>
      </c>
      <c r="AF329" s="234">
        <v>0</v>
      </c>
      <c r="AG329" s="2616" t="s">
        <v>713</v>
      </c>
    </row>
    <row r="330" spans="1:33" x14ac:dyDescent="0.35">
      <c r="A330" s="19"/>
      <c r="B330" s="19" t="s">
        <v>714</v>
      </c>
      <c r="C330" s="124">
        <v>1</v>
      </c>
      <c r="D330" s="19" t="s">
        <v>715</v>
      </c>
      <c r="E330" s="19"/>
      <c r="F330" s="19"/>
      <c r="G330" s="19"/>
      <c r="H330" s="19"/>
      <c r="I330" s="131" t="s">
        <v>1</v>
      </c>
      <c r="J330" s="29"/>
      <c r="K330" s="215"/>
      <c r="L330" s="215"/>
      <c r="M330" s="215"/>
      <c r="N330" s="233"/>
      <c r="O330" s="215"/>
      <c r="P330" s="215"/>
      <c r="Q330" s="215"/>
      <c r="R330" s="215"/>
      <c r="S330" s="29"/>
      <c r="T330" s="132"/>
      <c r="U330" s="19"/>
      <c r="V330" s="2613" t="s">
        <v>1</v>
      </c>
      <c r="W330" s="29"/>
      <c r="X330" s="215"/>
      <c r="Y330" s="215"/>
      <c r="Z330" s="215"/>
      <c r="AA330" s="233"/>
      <c r="AB330" s="215"/>
      <c r="AC330" s="215"/>
      <c r="AD330" s="215"/>
      <c r="AE330" s="215"/>
      <c r="AF330" s="29"/>
      <c r="AG330" s="2614"/>
    </row>
    <row r="331" spans="1:33" x14ac:dyDescent="0.35">
      <c r="A331" s="19"/>
      <c r="B331" s="19" t="s">
        <v>716</v>
      </c>
      <c r="C331" s="124">
        <v>0</v>
      </c>
      <c r="D331" s="19" t="s">
        <v>715</v>
      </c>
      <c r="E331" s="19"/>
      <c r="F331" s="19"/>
      <c r="G331" s="19"/>
      <c r="H331" s="19"/>
      <c r="I331" s="133" t="s">
        <v>602</v>
      </c>
      <c r="J331" s="135">
        <f>$C$324</f>
        <v>20</v>
      </c>
      <c r="K331" s="31">
        <v>0</v>
      </c>
      <c r="L331" s="37">
        <f>C356+C376</f>
        <v>0.36239000000000005</v>
      </c>
      <c r="M331" s="31">
        <v>0</v>
      </c>
      <c r="N331" s="136">
        <f>$C$364</f>
        <v>2.9999999999999997E-4</v>
      </c>
      <c r="O331" s="31">
        <v>0</v>
      </c>
      <c r="P331" s="37">
        <f>C371</f>
        <v>7.5372162697674439E-2</v>
      </c>
      <c r="Q331" s="31">
        <v>0</v>
      </c>
      <c r="R331" s="162">
        <f>$C$4</f>
        <v>0</v>
      </c>
      <c r="S331" s="31">
        <v>0</v>
      </c>
      <c r="T331" s="137" t="s">
        <v>713</v>
      </c>
      <c r="U331" s="19"/>
      <c r="V331" s="2615" t="s">
        <v>602</v>
      </c>
      <c r="W331" s="135">
        <f>$C$324</f>
        <v>20</v>
      </c>
      <c r="X331" s="234">
        <v>0</v>
      </c>
      <c r="Y331" s="37">
        <f>F356+F376</f>
        <v>0.30239000000000005</v>
      </c>
      <c r="Z331" s="234">
        <v>0</v>
      </c>
      <c r="AA331" s="136">
        <f>$F$364</f>
        <v>2.0000000000000001E-4</v>
      </c>
      <c r="AB331" s="234">
        <v>0</v>
      </c>
      <c r="AC331" s="2624">
        <f>F371</f>
        <v>7.0938506068399465E-2</v>
      </c>
      <c r="AD331" s="234">
        <v>0</v>
      </c>
      <c r="AE331" s="162">
        <f>$C$4</f>
        <v>0</v>
      </c>
      <c r="AF331" s="234">
        <v>0</v>
      </c>
      <c r="AG331" s="2616" t="s">
        <v>713</v>
      </c>
    </row>
    <row r="332" spans="1:33" x14ac:dyDescent="0.35">
      <c r="A332" s="19"/>
      <c r="B332" s="19" t="s">
        <v>717</v>
      </c>
      <c r="C332" s="213">
        <v>36.5</v>
      </c>
      <c r="D332" s="19" t="s">
        <v>718</v>
      </c>
      <c r="E332" s="19"/>
      <c r="F332" s="19"/>
      <c r="G332" s="19"/>
      <c r="H332" s="19"/>
      <c r="I332" s="133" t="s">
        <v>604</v>
      </c>
      <c r="J332" s="135">
        <f t="shared" ref="J332:J333" si="77">$C$324</f>
        <v>20</v>
      </c>
      <c r="K332" s="31">
        <v>0</v>
      </c>
      <c r="L332" s="37">
        <f>C357</f>
        <v>1.18</v>
      </c>
      <c r="M332" s="31">
        <v>0</v>
      </c>
      <c r="N332" s="136">
        <f>$C$364</f>
        <v>2.9999999999999997E-4</v>
      </c>
      <c r="O332" s="31">
        <v>0</v>
      </c>
      <c r="P332" s="37">
        <v>0</v>
      </c>
      <c r="Q332" s="31">
        <v>0</v>
      </c>
      <c r="R332" s="162">
        <f>$C$4</f>
        <v>0</v>
      </c>
      <c r="S332" s="31">
        <v>0</v>
      </c>
      <c r="T332" s="137" t="s">
        <v>713</v>
      </c>
      <c r="U332" s="19"/>
      <c r="V332" s="2615" t="s">
        <v>604</v>
      </c>
      <c r="W332" s="135">
        <f t="shared" ref="W332:W333" si="78">$C$324</f>
        <v>20</v>
      </c>
      <c r="X332" s="234">
        <v>0</v>
      </c>
      <c r="Y332" s="37">
        <f>F357</f>
        <v>0.97</v>
      </c>
      <c r="Z332" s="234">
        <v>0</v>
      </c>
      <c r="AA332" s="136">
        <f>$F$364</f>
        <v>2.0000000000000001E-4</v>
      </c>
      <c r="AB332" s="234">
        <v>0</v>
      </c>
      <c r="AC332" s="37">
        <v>0</v>
      </c>
      <c r="AD332" s="234">
        <v>0</v>
      </c>
      <c r="AE332" s="162">
        <f>$C$4</f>
        <v>0</v>
      </c>
      <c r="AF332" s="234">
        <v>0</v>
      </c>
      <c r="AG332" s="2616" t="s">
        <v>713</v>
      </c>
    </row>
    <row r="333" spans="1:33" x14ac:dyDescent="0.35">
      <c r="A333" s="19"/>
      <c r="B333" s="19" t="s">
        <v>578</v>
      </c>
      <c r="C333" s="124">
        <v>1108</v>
      </c>
      <c r="D333" s="19" t="s">
        <v>579</v>
      </c>
      <c r="E333" s="19"/>
      <c r="F333" s="19"/>
      <c r="G333" s="19"/>
      <c r="H333" s="19"/>
      <c r="I333" s="133" t="s">
        <v>606</v>
      </c>
      <c r="J333" s="135">
        <f t="shared" si="77"/>
        <v>20</v>
      </c>
      <c r="K333" s="31">
        <v>0</v>
      </c>
      <c r="L333" s="37">
        <f>C358</f>
        <v>1.55</v>
      </c>
      <c r="M333" s="31">
        <v>0</v>
      </c>
      <c r="N333" s="136">
        <f>$C$364</f>
        <v>2.9999999999999997E-4</v>
      </c>
      <c r="O333" s="31">
        <v>0</v>
      </c>
      <c r="P333" s="37">
        <v>0</v>
      </c>
      <c r="Q333" s="31">
        <v>0</v>
      </c>
      <c r="R333" s="162">
        <f>$C$4</f>
        <v>0</v>
      </c>
      <c r="S333" s="31">
        <v>0</v>
      </c>
      <c r="T333" s="137" t="s">
        <v>713</v>
      </c>
      <c r="U333" s="19"/>
      <c r="V333" s="2615" t="s">
        <v>606</v>
      </c>
      <c r="W333" s="135">
        <f t="shared" si="78"/>
        <v>20</v>
      </c>
      <c r="X333" s="234">
        <v>0</v>
      </c>
      <c r="Y333" s="37">
        <f>F358</f>
        <v>1.55</v>
      </c>
      <c r="Z333" s="234">
        <v>0</v>
      </c>
      <c r="AA333" s="136">
        <v>0</v>
      </c>
      <c r="AB333" s="234">
        <v>0</v>
      </c>
      <c r="AC333" s="37">
        <v>0</v>
      </c>
      <c r="AD333" s="234">
        <v>0</v>
      </c>
      <c r="AE333" s="162">
        <f>$C$4</f>
        <v>0</v>
      </c>
      <c r="AF333" s="234">
        <v>0</v>
      </c>
      <c r="AG333" s="2616" t="s">
        <v>713</v>
      </c>
    </row>
    <row r="334" spans="1:33" x14ac:dyDescent="0.35">
      <c r="A334" s="19"/>
      <c r="B334" s="19" t="s">
        <v>580</v>
      </c>
      <c r="C334" s="126">
        <v>0.75</v>
      </c>
      <c r="D334" s="19"/>
      <c r="E334" s="19"/>
      <c r="F334" s="19"/>
      <c r="G334" s="19"/>
      <c r="H334" s="19"/>
      <c r="I334" s="142" t="s">
        <v>608</v>
      </c>
      <c r="J334" s="144">
        <f>$C$324</f>
        <v>20</v>
      </c>
      <c r="K334" s="143">
        <v>0</v>
      </c>
      <c r="L334" s="145">
        <f>C359</f>
        <v>1.83</v>
      </c>
      <c r="M334" s="143">
        <v>0</v>
      </c>
      <c r="N334" s="146">
        <f>$C$364</f>
        <v>2.9999999999999997E-4</v>
      </c>
      <c r="O334" s="143">
        <v>0</v>
      </c>
      <c r="P334" s="145">
        <v>0</v>
      </c>
      <c r="Q334" s="143">
        <v>0</v>
      </c>
      <c r="R334" s="163">
        <f>$C$4</f>
        <v>0</v>
      </c>
      <c r="S334" s="143">
        <v>0</v>
      </c>
      <c r="T334" s="164" t="s">
        <v>713</v>
      </c>
      <c r="U334" s="19"/>
      <c r="V334" s="2617" t="s">
        <v>608</v>
      </c>
      <c r="W334" s="144">
        <f>$C$324</f>
        <v>20</v>
      </c>
      <c r="X334" s="143">
        <v>0</v>
      </c>
      <c r="Y334" s="145">
        <f>F359</f>
        <v>1.76</v>
      </c>
      <c r="Z334" s="143">
        <v>0</v>
      </c>
      <c r="AA334" s="146">
        <f>$F$364</f>
        <v>2.0000000000000001E-4</v>
      </c>
      <c r="AB334" s="143">
        <v>0</v>
      </c>
      <c r="AC334" s="145">
        <v>0</v>
      </c>
      <c r="AD334" s="143">
        <v>0</v>
      </c>
      <c r="AE334" s="163">
        <f>$C$4</f>
        <v>0</v>
      </c>
      <c r="AF334" s="143">
        <v>0</v>
      </c>
      <c r="AG334" s="2618" t="s">
        <v>713</v>
      </c>
    </row>
    <row r="335" spans="1:33" x14ac:dyDescent="0.35">
      <c r="A335" s="19"/>
      <c r="B335" s="19" t="s">
        <v>581</v>
      </c>
      <c r="C335" s="124">
        <v>10</v>
      </c>
      <c r="D335" s="28">
        <v>0.9</v>
      </c>
      <c r="E335" s="19"/>
      <c r="F335" s="19"/>
      <c r="G335" s="19"/>
      <c r="H335" s="19"/>
      <c r="I335" s="19"/>
      <c r="J335" s="19"/>
      <c r="K335" s="19"/>
      <c r="Q335" s="19"/>
      <c r="R335" s="19"/>
      <c r="S335" s="19"/>
      <c r="T335" s="19"/>
      <c r="U335" s="19"/>
      <c r="V335" s="2615"/>
      <c r="W335" s="234"/>
      <c r="X335" s="234"/>
      <c r="Y335" s="218"/>
      <c r="Z335" s="218"/>
      <c r="AA335" s="218"/>
      <c r="AB335" s="218"/>
      <c r="AC335" s="218"/>
      <c r="AD335" s="234"/>
      <c r="AE335" s="234"/>
      <c r="AF335" s="234"/>
      <c r="AG335" s="2619"/>
    </row>
    <row r="336" spans="1:33" x14ac:dyDescent="0.35">
      <c r="A336" s="19"/>
      <c r="B336" s="19" t="s">
        <v>629</v>
      </c>
      <c r="C336" s="124">
        <v>13</v>
      </c>
      <c r="D336" s="28">
        <v>0.1</v>
      </c>
      <c r="E336" s="19"/>
      <c r="F336" s="19"/>
      <c r="G336" s="19"/>
      <c r="H336" s="19"/>
      <c r="I336" s="19"/>
      <c r="J336" s="19"/>
      <c r="K336" s="19"/>
      <c r="Q336" s="19"/>
      <c r="R336" s="19"/>
      <c r="S336" s="19"/>
      <c r="T336" s="19"/>
      <c r="U336" s="19"/>
      <c r="V336" s="2615"/>
      <c r="W336" s="234"/>
      <c r="X336" s="234"/>
      <c r="Y336" s="218"/>
      <c r="Z336" s="218"/>
      <c r="AA336" s="218"/>
      <c r="AB336" s="218"/>
      <c r="AC336" s="218"/>
      <c r="AD336" s="234"/>
      <c r="AE336" s="234"/>
      <c r="AF336" s="234"/>
      <c r="AG336" s="2619"/>
    </row>
    <row r="337" spans="1:33" x14ac:dyDescent="0.35">
      <c r="A337" s="19"/>
      <c r="B337" s="622" t="s">
        <v>583</v>
      </c>
      <c r="C337" s="124">
        <v>13</v>
      </c>
      <c r="D337" s="28">
        <v>0</v>
      </c>
      <c r="E337" s="2628" t="s">
        <v>3375</v>
      </c>
      <c r="F337" s="2551">
        <v>13</v>
      </c>
      <c r="G337" s="234"/>
      <c r="H337" s="234"/>
      <c r="I337" s="19"/>
      <c r="J337" s="19"/>
      <c r="K337" s="121" t="s">
        <v>7</v>
      </c>
      <c r="L337" s="121" t="s">
        <v>8</v>
      </c>
      <c r="M337" s="225" t="s">
        <v>740</v>
      </c>
      <c r="N337" s="488" t="s">
        <v>342</v>
      </c>
      <c r="O337" s="489" t="s">
        <v>301</v>
      </c>
      <c r="P337" s="490" t="s">
        <v>596</v>
      </c>
      <c r="Q337" s="19"/>
      <c r="R337" s="19"/>
      <c r="S337" s="19"/>
      <c r="T337" s="19"/>
      <c r="U337" s="19"/>
      <c r="V337" s="2615"/>
      <c r="W337" s="234"/>
      <c r="X337" s="238" t="s">
        <v>7</v>
      </c>
      <c r="Y337" s="238" t="s">
        <v>8</v>
      </c>
      <c r="Z337" s="225" t="s">
        <v>740</v>
      </c>
      <c r="AA337" s="488" t="s">
        <v>342</v>
      </c>
      <c r="AB337" s="489" t="s">
        <v>301</v>
      </c>
      <c r="AC337" s="490" t="s">
        <v>596</v>
      </c>
      <c r="AD337" s="234"/>
      <c r="AE337" s="234"/>
      <c r="AF337" s="234"/>
      <c r="AG337" s="2619"/>
    </row>
    <row r="338" spans="1:33" x14ac:dyDescent="0.35">
      <c r="A338" s="19"/>
      <c r="B338" s="622" t="s">
        <v>584</v>
      </c>
      <c r="C338" s="124">
        <v>14</v>
      </c>
      <c r="D338" s="28">
        <v>0</v>
      </c>
      <c r="E338" s="2628" t="s">
        <v>3376</v>
      </c>
      <c r="F338" s="2551">
        <v>14</v>
      </c>
      <c r="G338" s="234"/>
      <c r="H338" s="234"/>
      <c r="I338" s="19"/>
      <c r="J338" s="19"/>
      <c r="K338" s="19"/>
      <c r="L338" s="231" t="s">
        <v>602</v>
      </c>
      <c r="M338" s="217">
        <f>Assumptions!$G$7</f>
        <v>1575</v>
      </c>
      <c r="N338" s="491">
        <f>M338*L326</f>
        <v>570.76425000000006</v>
      </c>
      <c r="O338" s="492">
        <f>M338*N326</f>
        <v>0.45578670588846742</v>
      </c>
      <c r="P338" s="493">
        <f>M338*P326</f>
        <v>118.71115624883724</v>
      </c>
      <c r="Q338" s="31"/>
      <c r="R338" s="19"/>
      <c r="S338" s="19"/>
      <c r="T338" s="19"/>
      <c r="U338" s="19"/>
      <c r="V338" s="2615"/>
      <c r="W338" s="234"/>
      <c r="X338" s="234"/>
      <c r="Y338" s="231" t="s">
        <v>602</v>
      </c>
      <c r="Z338" s="217">
        <f>Assumptions!$G$7</f>
        <v>1575</v>
      </c>
      <c r="AA338" s="491">
        <f>Z338*Y326</f>
        <v>476.26425000000006</v>
      </c>
      <c r="AB338" s="492">
        <f>Z338*AA326</f>
        <v>0.34774837560379351</v>
      </c>
      <c r="AC338" s="493">
        <f>Z338*AC326</f>
        <v>111.72814705772916</v>
      </c>
      <c r="AD338" s="234"/>
      <c r="AE338" s="234"/>
      <c r="AF338" s="234"/>
      <c r="AG338" s="2619"/>
    </row>
    <row r="339" spans="1:33" x14ac:dyDescent="0.35">
      <c r="A339" s="19"/>
      <c r="B339" s="19" t="s">
        <v>336</v>
      </c>
      <c r="C339" s="126">
        <f>SUMPRODUCT(C335:C338,D335:D338)</f>
        <v>10.3</v>
      </c>
      <c r="D339" s="19" t="s">
        <v>585</v>
      </c>
      <c r="E339" s="2628" t="s">
        <v>3377</v>
      </c>
      <c r="F339" s="2551">
        <f>AVERAGE(F337:F338)</f>
        <v>13.5</v>
      </c>
      <c r="G339" s="234"/>
      <c r="H339" s="234"/>
      <c r="I339" s="19"/>
      <c r="J339" s="19"/>
      <c r="K339" s="19"/>
      <c r="L339" s="133" t="s">
        <v>604</v>
      </c>
      <c r="M339" s="217">
        <f>Assumptions!$G$7</f>
        <v>1575</v>
      </c>
      <c r="N339" s="491">
        <f>M339*L327</f>
        <v>1858.5</v>
      </c>
      <c r="O339" s="492">
        <f>M339*N327</f>
        <v>0.45578670588846742</v>
      </c>
      <c r="P339" s="493">
        <f>M339*P327</f>
        <v>0</v>
      </c>
      <c r="Q339" s="31"/>
      <c r="R339" s="19"/>
      <c r="S339" s="19"/>
      <c r="T339" s="19"/>
      <c r="U339" s="19"/>
      <c r="V339" s="2615"/>
      <c r="W339" s="234"/>
      <c r="X339" s="234"/>
      <c r="Y339" s="133" t="s">
        <v>604</v>
      </c>
      <c r="Z339" s="217">
        <f>Assumptions!$G$7</f>
        <v>1575</v>
      </c>
      <c r="AA339" s="491">
        <f>Z339*Y327</f>
        <v>1527.75</v>
      </c>
      <c r="AB339" s="492">
        <f>Z339*AA327</f>
        <v>0.34774837560379351</v>
      </c>
      <c r="AC339" s="493">
        <f>Z339*AC327</f>
        <v>0</v>
      </c>
      <c r="AD339" s="234"/>
      <c r="AE339" s="234"/>
      <c r="AF339" s="234"/>
      <c r="AG339" s="2619"/>
    </row>
    <row r="340" spans="1:33" x14ac:dyDescent="0.35">
      <c r="A340" s="19"/>
      <c r="B340" s="19" t="s">
        <v>474</v>
      </c>
      <c r="C340" s="213">
        <v>3.7</v>
      </c>
      <c r="D340" s="19" t="s">
        <v>614</v>
      </c>
      <c r="E340" s="234"/>
      <c r="F340" s="234"/>
      <c r="G340" s="234"/>
      <c r="H340" s="234"/>
      <c r="I340" s="19"/>
      <c r="J340" s="19"/>
      <c r="K340" s="19"/>
      <c r="L340" s="133" t="s">
        <v>606</v>
      </c>
      <c r="M340" s="217">
        <f>Assumptions!$G$7</f>
        <v>1575</v>
      </c>
      <c r="N340" s="491">
        <f>M340*L328</f>
        <v>2441.25</v>
      </c>
      <c r="O340" s="492">
        <f>M340*N328</f>
        <v>0</v>
      </c>
      <c r="P340" s="493">
        <f>M340*P328</f>
        <v>0</v>
      </c>
      <c r="Q340" s="31"/>
      <c r="R340" s="19"/>
      <c r="S340" s="19"/>
      <c r="T340" s="19"/>
      <c r="U340" s="19"/>
      <c r="V340" s="2615"/>
      <c r="W340" s="234"/>
      <c r="X340" s="234"/>
      <c r="Y340" s="133" t="s">
        <v>606</v>
      </c>
      <c r="Z340" s="217">
        <f>Assumptions!$G$7</f>
        <v>1575</v>
      </c>
      <c r="AA340" s="491">
        <f>Z340*Y328</f>
        <v>2441.25</v>
      </c>
      <c r="AB340" s="492">
        <f>Z340*AA328</f>
        <v>0</v>
      </c>
      <c r="AC340" s="493">
        <f>Z340*AC328</f>
        <v>0</v>
      </c>
      <c r="AD340" s="234"/>
      <c r="AE340" s="234"/>
      <c r="AF340" s="234"/>
      <c r="AG340" s="2619"/>
    </row>
    <row r="341" spans="1:33" x14ac:dyDescent="0.35">
      <c r="A341" s="19"/>
      <c r="B341" s="2761" t="s">
        <v>3382</v>
      </c>
      <c r="C341" s="2778">
        <v>1.21</v>
      </c>
      <c r="D341" s="2779" t="s">
        <v>3942</v>
      </c>
      <c r="H341" s="234"/>
      <c r="I341" s="19"/>
      <c r="J341" s="19"/>
      <c r="K341" s="19"/>
      <c r="L341" s="142" t="s">
        <v>608</v>
      </c>
      <c r="M341" s="220">
        <f>Assumptions!$G$7</f>
        <v>1575</v>
      </c>
      <c r="N341" s="491">
        <f>M341*L329</f>
        <v>2882.25</v>
      </c>
      <c r="O341" s="492">
        <f>M341*N329</f>
        <v>0.45578670588846742</v>
      </c>
      <c r="P341" s="493">
        <f>M341*P329</f>
        <v>0</v>
      </c>
      <c r="Q341" s="31"/>
      <c r="R341" s="19"/>
      <c r="S341" s="19"/>
      <c r="T341" s="19"/>
      <c r="U341" s="19"/>
      <c r="V341" s="2615"/>
      <c r="W341" s="234"/>
      <c r="X341" s="234"/>
      <c r="Y341" s="142" t="s">
        <v>608</v>
      </c>
      <c r="Z341" s="220">
        <f>Assumptions!$G$7</f>
        <v>1575</v>
      </c>
      <c r="AA341" s="491">
        <f>Z341*Y329</f>
        <v>2772</v>
      </c>
      <c r="AB341" s="492">
        <f>Z341*AA329</f>
        <v>0.34774837560379351</v>
      </c>
      <c r="AC341" s="493">
        <f>Z341*AC329</f>
        <v>0</v>
      </c>
      <c r="AD341" s="234"/>
      <c r="AE341" s="234"/>
      <c r="AF341" s="234"/>
      <c r="AG341" s="2619"/>
    </row>
    <row r="342" spans="1:33" x14ac:dyDescent="0.35">
      <c r="B342" s="2755" t="s">
        <v>3912</v>
      </c>
      <c r="C342" s="2778">
        <v>1.1000000000000001</v>
      </c>
      <c r="D342" s="2779" t="s">
        <v>3943</v>
      </c>
      <c r="V342" s="2615"/>
      <c r="W342" s="234"/>
      <c r="X342" s="234"/>
      <c r="Y342" s="234"/>
      <c r="Z342" s="247"/>
      <c r="AA342" s="29"/>
      <c r="AB342" s="29"/>
      <c r="AC342" s="29"/>
      <c r="AD342" s="234"/>
      <c r="AE342" s="234"/>
      <c r="AF342" s="234"/>
      <c r="AG342" s="2619"/>
    </row>
    <row r="343" spans="1:33" x14ac:dyDescent="0.35">
      <c r="B343" s="2755" t="s">
        <v>3913</v>
      </c>
      <c r="C343" s="2778">
        <v>1</v>
      </c>
      <c r="D343" s="2779" t="s">
        <v>3944</v>
      </c>
      <c r="K343" s="19"/>
      <c r="L343" s="31"/>
      <c r="M343" s="230"/>
      <c r="N343" s="29"/>
      <c r="O343" s="29"/>
      <c r="P343" s="29"/>
      <c r="V343" s="2615"/>
      <c r="W343" s="234"/>
      <c r="X343" s="234"/>
      <c r="Y343" s="218"/>
      <c r="Z343" s="234"/>
      <c r="AA343" s="218"/>
      <c r="AB343" s="234"/>
      <c r="AC343" s="234"/>
      <c r="AD343" s="234"/>
      <c r="AE343" s="234"/>
      <c r="AF343" s="234"/>
      <c r="AG343" s="2619"/>
    </row>
    <row r="344" spans="1:33" x14ac:dyDescent="0.35">
      <c r="A344" s="19"/>
      <c r="B344" s="2763" t="s">
        <v>719</v>
      </c>
      <c r="C344" s="2758">
        <f>((((C330-C331)/C332)*60*24*C333*C334*0.018)/(1000*C339))*C340*C341*C342*C343</f>
        <v>0.28215367507381311</v>
      </c>
      <c r="D344" s="19"/>
      <c r="E344" s="2763" t="s">
        <v>3373</v>
      </c>
      <c r="F344" s="2758">
        <f>((((C330-C331)/C332)*60*24*C333*C334*0.018)/(1000*F339))*C340*C341*C342*C343</f>
        <v>0.21527280394520551</v>
      </c>
      <c r="G344" s="234"/>
      <c r="H344" s="234"/>
      <c r="I344" s="19"/>
      <c r="J344" s="19"/>
      <c r="K344" s="19"/>
      <c r="M344" s="31"/>
      <c r="N344" s="218"/>
      <c r="O344" s="31"/>
      <c r="P344" s="31"/>
      <c r="Q344" s="31"/>
      <c r="R344" s="19"/>
      <c r="S344" s="19"/>
      <c r="T344" s="19"/>
      <c r="U344" s="19"/>
      <c r="V344" s="2615"/>
      <c r="W344" s="234"/>
      <c r="X344" s="238" t="s">
        <v>7</v>
      </c>
      <c r="Y344" s="238" t="s">
        <v>1</v>
      </c>
      <c r="Z344" s="225" t="s">
        <v>740</v>
      </c>
      <c r="AA344" s="488" t="s">
        <v>342</v>
      </c>
      <c r="AB344" s="489" t="s">
        <v>301</v>
      </c>
      <c r="AC344" s="490" t="s">
        <v>596</v>
      </c>
      <c r="AD344" s="234"/>
      <c r="AE344" s="234"/>
      <c r="AF344" s="234"/>
      <c r="AG344" s="2619"/>
    </row>
    <row r="345" spans="1:33" x14ac:dyDescent="0.35">
      <c r="A345" s="19"/>
      <c r="B345" s="2763" t="s">
        <v>3949</v>
      </c>
      <c r="C345" s="129"/>
      <c r="D345" s="19"/>
      <c r="E345" s="234"/>
      <c r="F345" s="234"/>
      <c r="G345" s="234"/>
      <c r="H345" s="234"/>
      <c r="I345" s="19"/>
      <c r="J345" s="19"/>
      <c r="K345" s="121" t="s">
        <v>7</v>
      </c>
      <c r="L345" s="134" t="s">
        <v>1</v>
      </c>
      <c r="M345" s="225" t="s">
        <v>740</v>
      </c>
      <c r="N345" s="488" t="s">
        <v>342</v>
      </c>
      <c r="O345" s="489" t="s">
        <v>301</v>
      </c>
      <c r="P345" s="490" t="s">
        <v>596</v>
      </c>
      <c r="Q345" s="19"/>
      <c r="R345" s="19"/>
      <c r="S345" s="19"/>
      <c r="T345" s="19"/>
      <c r="U345" s="19"/>
      <c r="V345" s="2615"/>
      <c r="W345" s="234"/>
      <c r="X345" s="234"/>
      <c r="Y345" s="231" t="s">
        <v>602</v>
      </c>
      <c r="Z345" s="217">
        <f>Assumptions!$G$7</f>
        <v>1575</v>
      </c>
      <c r="AA345" s="491">
        <f>Z345*Y331</f>
        <v>476.26425000000006</v>
      </c>
      <c r="AB345" s="492">
        <f>Z345*AA331</f>
        <v>0.315</v>
      </c>
      <c r="AC345" s="493">
        <f>Z345*AC331</f>
        <v>111.72814705772916</v>
      </c>
      <c r="AD345" s="234"/>
      <c r="AE345" s="234"/>
      <c r="AF345" s="234"/>
      <c r="AG345" s="2619"/>
    </row>
    <row r="346" spans="1:33" x14ac:dyDescent="0.35">
      <c r="A346" s="19"/>
      <c r="B346" s="19" t="s">
        <v>720</v>
      </c>
      <c r="C346" s="213">
        <v>21.5</v>
      </c>
      <c r="D346" s="19" t="s">
        <v>718</v>
      </c>
      <c r="E346" s="234"/>
      <c r="F346" s="234"/>
      <c r="G346" s="234"/>
      <c r="H346" s="234"/>
      <c r="I346" s="19"/>
      <c r="J346" s="19"/>
      <c r="K346" s="19"/>
      <c r="L346" s="231" t="s">
        <v>602</v>
      </c>
      <c r="M346" s="217">
        <f>Assumptions!$G$7</f>
        <v>1575</v>
      </c>
      <c r="N346" s="491">
        <f>M346*L331</f>
        <v>570.76425000000006</v>
      </c>
      <c r="O346" s="492">
        <f>M346*N331</f>
        <v>0.47249999999999998</v>
      </c>
      <c r="P346" s="493">
        <f>M346*P331</f>
        <v>118.71115624883724</v>
      </c>
      <c r="Q346" s="19"/>
      <c r="R346" s="19"/>
      <c r="S346" s="19"/>
      <c r="T346" s="19"/>
      <c r="U346" s="19"/>
      <c r="V346" s="2615"/>
      <c r="W346" s="234"/>
      <c r="X346" s="234"/>
      <c r="Y346" s="133" t="s">
        <v>604</v>
      </c>
      <c r="Z346" s="217">
        <f>Assumptions!$G$7</f>
        <v>1575</v>
      </c>
      <c r="AA346" s="491">
        <f>Z346*Y332</f>
        <v>1527.75</v>
      </c>
      <c r="AB346" s="492">
        <f>Z346*AA332</f>
        <v>0.315</v>
      </c>
      <c r="AC346" s="493">
        <f>Z346*AC332</f>
        <v>0</v>
      </c>
      <c r="AD346" s="234"/>
      <c r="AE346" s="234"/>
      <c r="AF346" s="234"/>
      <c r="AG346" s="2619"/>
    </row>
    <row r="347" spans="1:33" x14ac:dyDescent="0.35">
      <c r="A347" s="19"/>
      <c r="B347" s="19" t="s">
        <v>600</v>
      </c>
      <c r="C347" s="124">
        <v>4379</v>
      </c>
      <c r="D347" s="19" t="s">
        <v>601</v>
      </c>
      <c r="E347" s="234"/>
      <c r="F347" s="234"/>
      <c r="G347" s="234"/>
      <c r="H347" s="234"/>
      <c r="I347" s="19"/>
      <c r="J347" s="19"/>
      <c r="K347" s="19"/>
      <c r="L347" s="133" t="s">
        <v>604</v>
      </c>
      <c r="M347" s="217">
        <f>Assumptions!$G$7</f>
        <v>1575</v>
      </c>
      <c r="N347" s="491">
        <f>M347*L332</f>
        <v>1858.5</v>
      </c>
      <c r="O347" s="492">
        <f>M347*N332</f>
        <v>0.47249999999999998</v>
      </c>
      <c r="P347" s="493">
        <f>M347*P332</f>
        <v>0</v>
      </c>
      <c r="Q347" s="19"/>
      <c r="R347" s="19"/>
      <c r="S347" s="19"/>
      <c r="T347" s="19"/>
      <c r="U347" s="19"/>
      <c r="V347" s="2615"/>
      <c r="W347" s="234"/>
      <c r="X347" s="234"/>
      <c r="Y347" s="133" t="s">
        <v>606</v>
      </c>
      <c r="Z347" s="217">
        <f>Assumptions!$G$7</f>
        <v>1575</v>
      </c>
      <c r="AA347" s="491">
        <f>Z347*Y333</f>
        <v>2441.25</v>
      </c>
      <c r="AB347" s="492">
        <f>Z347*AA333</f>
        <v>0</v>
      </c>
      <c r="AC347" s="493">
        <f>Z347*AC333</f>
        <v>0</v>
      </c>
      <c r="AD347" s="234"/>
      <c r="AE347" s="234"/>
      <c r="AF347" s="234"/>
      <c r="AG347" s="2619"/>
    </row>
    <row r="348" spans="1:33" x14ac:dyDescent="0.35">
      <c r="A348" s="19"/>
      <c r="B348" s="19" t="s">
        <v>603</v>
      </c>
      <c r="C348" s="126">
        <v>1.7</v>
      </c>
      <c r="D348" s="28">
        <v>0.9</v>
      </c>
      <c r="E348" s="234"/>
      <c r="F348" s="234"/>
      <c r="G348" s="234"/>
      <c r="H348" s="234"/>
      <c r="I348" s="19"/>
      <c r="J348" s="19"/>
      <c r="K348" s="19"/>
      <c r="L348" s="133" t="s">
        <v>606</v>
      </c>
      <c r="M348" s="217">
        <f>Assumptions!$G$7</f>
        <v>1575</v>
      </c>
      <c r="N348" s="491">
        <f>M348*L333</f>
        <v>2441.25</v>
      </c>
      <c r="O348" s="492">
        <f>M348*N333</f>
        <v>0.47249999999999998</v>
      </c>
      <c r="P348" s="493">
        <f>M348*P333</f>
        <v>0</v>
      </c>
      <c r="Q348" s="19"/>
      <c r="R348" s="19"/>
      <c r="S348" s="19"/>
      <c r="T348" s="19"/>
      <c r="U348" s="19"/>
      <c r="V348" s="2615"/>
      <c r="W348" s="234"/>
      <c r="X348" s="234"/>
      <c r="Y348" s="142" t="s">
        <v>608</v>
      </c>
      <c r="Z348" s="220">
        <f>Assumptions!$G$7</f>
        <v>1575</v>
      </c>
      <c r="AA348" s="494">
        <f>Z348*Y334</f>
        <v>2772</v>
      </c>
      <c r="AB348" s="495">
        <f>Z348*AA334</f>
        <v>0.315</v>
      </c>
      <c r="AC348" s="496">
        <f>Z348*AC334</f>
        <v>0</v>
      </c>
      <c r="AD348" s="234"/>
      <c r="AE348" s="234"/>
      <c r="AF348" s="234"/>
      <c r="AG348" s="2619"/>
    </row>
    <row r="349" spans="1:33" ht="15" thickBot="1" x14ac:dyDescent="0.4">
      <c r="A349" s="19"/>
      <c r="B349" s="622" t="s">
        <v>633</v>
      </c>
      <c r="C349" s="126">
        <v>1.92</v>
      </c>
      <c r="D349" s="623">
        <v>0.1</v>
      </c>
      <c r="E349" s="234"/>
      <c r="F349" s="234"/>
      <c r="G349" s="234"/>
      <c r="H349" s="234"/>
      <c r="I349" s="19"/>
      <c r="J349" s="19"/>
      <c r="K349" s="19"/>
      <c r="L349" s="142" t="s">
        <v>608</v>
      </c>
      <c r="M349" s="220">
        <f>Assumptions!$G$7</f>
        <v>1575</v>
      </c>
      <c r="N349" s="494">
        <f>M349*L334</f>
        <v>2882.25</v>
      </c>
      <c r="O349" s="495">
        <f>M349*N334</f>
        <v>0.47249999999999998</v>
      </c>
      <c r="P349" s="496">
        <f>M349*P334</f>
        <v>0</v>
      </c>
      <c r="Q349" s="19"/>
      <c r="R349" s="19"/>
      <c r="S349" s="19"/>
      <c r="T349" s="19"/>
      <c r="U349" s="19"/>
      <c r="V349" s="2620"/>
      <c r="W349" s="2621"/>
      <c r="X349" s="2621"/>
      <c r="Y349" s="2621"/>
      <c r="Z349" s="2621"/>
      <c r="AA349" s="2561"/>
      <c r="AB349" s="2561"/>
      <c r="AC349" s="2561"/>
      <c r="AD349" s="2561"/>
      <c r="AE349" s="2561"/>
      <c r="AF349" s="2561"/>
      <c r="AG349" s="2562"/>
    </row>
    <row r="350" spans="1:33" x14ac:dyDescent="0.35">
      <c r="A350" s="19"/>
      <c r="B350" s="622" t="s">
        <v>607</v>
      </c>
      <c r="C350" s="126">
        <v>2.4</v>
      </c>
      <c r="D350" s="623">
        <v>0</v>
      </c>
      <c r="E350" s="218"/>
      <c r="F350" s="218"/>
      <c r="G350" s="234"/>
      <c r="H350" s="234"/>
      <c r="I350" s="19"/>
      <c r="J350" s="19"/>
      <c r="K350" s="19"/>
      <c r="L350" s="19"/>
      <c r="M350" s="19"/>
      <c r="N350" s="19"/>
      <c r="O350" s="19"/>
      <c r="P350" s="19"/>
      <c r="Q350" s="19"/>
      <c r="R350" s="19"/>
      <c r="S350" s="19"/>
      <c r="T350" s="19"/>
      <c r="U350" s="19"/>
    </row>
    <row r="351" spans="1:33" x14ac:dyDescent="0.35">
      <c r="A351" s="19"/>
      <c r="B351" s="622" t="s">
        <v>609</v>
      </c>
      <c r="C351" s="126">
        <f>SUMPRODUCT(C348:C350,D348:D350)</f>
        <v>1.722</v>
      </c>
      <c r="D351" s="19" t="s">
        <v>585</v>
      </c>
      <c r="E351" s="2628" t="s">
        <v>3378</v>
      </c>
      <c r="F351" s="2551">
        <v>2.04</v>
      </c>
      <c r="G351" s="234"/>
      <c r="H351" s="234"/>
      <c r="I351" s="19"/>
      <c r="J351" s="19"/>
      <c r="K351" t="s">
        <v>1738</v>
      </c>
      <c r="L351" s="19"/>
      <c r="M351" s="19"/>
      <c r="N351" s="19"/>
      <c r="O351" s="19"/>
      <c r="P351" s="19"/>
      <c r="Q351" s="19"/>
      <c r="R351" s="19"/>
      <c r="S351" s="19"/>
      <c r="T351" s="19"/>
      <c r="U351" s="19"/>
    </row>
    <row r="352" spans="1:33" x14ac:dyDescent="0.35">
      <c r="A352" s="19"/>
      <c r="B352" s="622" t="s">
        <v>610</v>
      </c>
      <c r="C352" s="126">
        <v>1</v>
      </c>
      <c r="D352" s="19"/>
      <c r="E352" s="2628" t="s">
        <v>3379</v>
      </c>
      <c r="F352" s="2627">
        <v>1</v>
      </c>
      <c r="G352" s="234"/>
      <c r="H352" s="234"/>
      <c r="I352" s="19"/>
      <c r="J352" s="19"/>
      <c r="K352" s="121" t="s">
        <v>1739</v>
      </c>
      <c r="L352" s="19"/>
      <c r="M352" s="19"/>
      <c r="N352" s="19"/>
      <c r="O352" s="19"/>
      <c r="P352" s="19"/>
      <c r="Q352" s="19"/>
      <c r="R352" s="19"/>
      <c r="S352" s="19"/>
      <c r="T352" s="19"/>
      <c r="U352" s="19"/>
      <c r="V352" s="19"/>
      <c r="W352" s="19"/>
      <c r="X352" s="19"/>
      <c r="Y352" s="19"/>
      <c r="Z352" s="19"/>
    </row>
    <row r="353" spans="1:26" x14ac:dyDescent="0.35">
      <c r="A353" s="19"/>
      <c r="B353" s="2763" t="s">
        <v>611</v>
      </c>
      <c r="C353" s="2758">
        <f>(((C330-C331)/C346)*60*24*C347*0.018)/(C351*3412)*100%</f>
        <v>0.89852323667246681</v>
      </c>
      <c r="D353" s="604" t="s">
        <v>604</v>
      </c>
      <c r="E353" s="2760" t="s">
        <v>3374</v>
      </c>
      <c r="F353" s="2784">
        <f>(((C330-C331)/C346)*60*24*C347*0.018)/(F351*3412)*100%</f>
        <v>0.75845932036764108</v>
      </c>
      <c r="G353" s="2628" t="s">
        <v>604</v>
      </c>
      <c r="H353" s="234"/>
      <c r="I353" s="19"/>
      <c r="K353" s="19"/>
      <c r="L353" s="19"/>
      <c r="M353" s="19"/>
      <c r="N353" s="19"/>
      <c r="O353" s="19"/>
      <c r="P353" s="19"/>
      <c r="Q353" s="19"/>
      <c r="R353" s="19"/>
      <c r="S353" s="19"/>
      <c r="T353" s="19"/>
      <c r="U353" s="19"/>
      <c r="V353" s="19"/>
      <c r="W353" s="19"/>
      <c r="X353" s="19"/>
      <c r="Y353" s="19"/>
      <c r="Z353" s="19"/>
    </row>
    <row r="354" spans="1:26" x14ac:dyDescent="0.35">
      <c r="A354" s="19"/>
      <c r="B354" s="2763" t="s">
        <v>611</v>
      </c>
      <c r="C354" s="2758">
        <f>(((C330-C331)/C346)*60*24*C347*0.018)/(C352*3412)*100%</f>
        <v>1.5472570135499879</v>
      </c>
      <c r="D354" s="604" t="s">
        <v>298</v>
      </c>
      <c r="E354" s="2760" t="s">
        <v>3374</v>
      </c>
      <c r="F354" s="2784">
        <f>(((C330-C331)/C346)*60*24*C347*0.018)/(F352*3412)*100%</f>
        <v>1.5472570135499879</v>
      </c>
      <c r="G354" s="2628" t="s">
        <v>298</v>
      </c>
      <c r="H354" s="234"/>
      <c r="I354" s="19"/>
      <c r="J354" s="19"/>
      <c r="K354" s="19" t="s">
        <v>726</v>
      </c>
      <c r="L354" s="19" t="s">
        <v>1737</v>
      </c>
      <c r="M354" s="19">
        <v>0.5</v>
      </c>
      <c r="N354" s="19">
        <f>N347*M354</f>
        <v>929.25</v>
      </c>
      <c r="O354" s="19">
        <f>O347*M354</f>
        <v>0.23624999999999999</v>
      </c>
      <c r="P354" s="19"/>
      <c r="Q354" s="19"/>
      <c r="R354" s="19"/>
      <c r="S354" s="19"/>
      <c r="T354" s="19"/>
      <c r="U354" s="19"/>
      <c r="V354" s="19"/>
      <c r="W354" s="19"/>
      <c r="X354" s="19"/>
      <c r="Y354" s="19"/>
      <c r="Z354" s="19"/>
    </row>
    <row r="355" spans="1:26" x14ac:dyDescent="0.35">
      <c r="A355" s="19"/>
      <c r="B355" s="19"/>
      <c r="C355" s="129"/>
      <c r="D355" s="19"/>
      <c r="E355" s="234"/>
      <c r="F355" s="234"/>
      <c r="G355" s="234"/>
      <c r="H355" s="234"/>
      <c r="I355" s="19"/>
      <c r="J355" s="19"/>
      <c r="K355" s="19"/>
      <c r="L355" s="19" t="s">
        <v>606</v>
      </c>
      <c r="M355" s="19">
        <v>0.125</v>
      </c>
      <c r="N355" s="19">
        <f>N348*M355</f>
        <v>305.15625</v>
      </c>
      <c r="O355" s="19">
        <f>O348*M355</f>
        <v>5.9062499999999997E-2</v>
      </c>
      <c r="P355" s="19"/>
      <c r="Q355" s="19"/>
      <c r="R355" s="19"/>
      <c r="S355" s="19"/>
      <c r="T355" s="19"/>
      <c r="U355" s="19"/>
      <c r="V355" s="19"/>
      <c r="W355" s="19"/>
      <c r="X355" s="19"/>
      <c r="Y355" s="19"/>
      <c r="Z355" s="19"/>
    </row>
    <row r="356" spans="1:26" x14ac:dyDescent="0.35">
      <c r="A356" s="19"/>
      <c r="B356" s="19" t="s">
        <v>342</v>
      </c>
      <c r="C356" s="139">
        <f>ROUND(C344,2)</f>
        <v>0.28000000000000003</v>
      </c>
      <c r="D356" s="19" t="s">
        <v>612</v>
      </c>
      <c r="E356" s="2628" t="s">
        <v>3372</v>
      </c>
      <c r="F356" s="2629">
        <f>ROUND(F344,2)</f>
        <v>0.22</v>
      </c>
      <c r="G356" s="2551" t="s">
        <v>612</v>
      </c>
      <c r="H356" s="234"/>
      <c r="I356" s="19"/>
      <c r="J356" s="19"/>
      <c r="K356" s="19"/>
      <c r="L356" s="19" t="s">
        <v>608</v>
      </c>
      <c r="M356" s="19">
        <v>0.375</v>
      </c>
      <c r="N356" s="19">
        <f>N349*M356</f>
        <v>1080.84375</v>
      </c>
      <c r="O356" s="19">
        <f>O349*M356</f>
        <v>0.1771875</v>
      </c>
      <c r="P356" s="19"/>
      <c r="Q356" s="19"/>
      <c r="R356" s="19"/>
      <c r="S356" s="19"/>
      <c r="T356" s="19"/>
      <c r="U356" s="19"/>
      <c r="V356" s="19"/>
      <c r="W356" s="19"/>
      <c r="X356" s="19"/>
      <c r="Y356" s="19"/>
      <c r="Z356" s="19"/>
    </row>
    <row r="357" spans="1:26" x14ac:dyDescent="0.35">
      <c r="A357" s="19"/>
      <c r="B357" s="19" t="s">
        <v>342</v>
      </c>
      <c r="C357" s="139">
        <f>ROUND(C344+C353,2)</f>
        <v>1.18</v>
      </c>
      <c r="D357" s="19" t="s">
        <v>604</v>
      </c>
      <c r="E357" s="2628" t="s">
        <v>3372</v>
      </c>
      <c r="F357" s="2629">
        <f>ROUND(F344+F353,2)</f>
        <v>0.97</v>
      </c>
      <c r="G357" s="2551" t="s">
        <v>604</v>
      </c>
      <c r="H357" s="234"/>
      <c r="I357" s="19"/>
      <c r="J357" s="19"/>
      <c r="K357" s="19"/>
      <c r="L357" s="19"/>
      <c r="M357" s="19"/>
      <c r="N357" s="19">
        <f>SUM(N354:N356)</f>
        <v>2315.25</v>
      </c>
      <c r="O357" s="19">
        <f>SUM(O354:O356)</f>
        <v>0.47249999999999998</v>
      </c>
      <c r="P357" s="19"/>
      <c r="Q357" s="19"/>
      <c r="R357" s="19"/>
      <c r="S357" s="19"/>
      <c r="T357" s="19"/>
      <c r="U357" s="19"/>
      <c r="V357" s="19"/>
      <c r="W357" s="19"/>
      <c r="X357" s="19"/>
      <c r="Y357" s="19"/>
      <c r="Z357" s="19"/>
    </row>
    <row r="358" spans="1:26" x14ac:dyDescent="0.35">
      <c r="A358" s="19"/>
      <c r="B358" s="19" t="s">
        <v>342</v>
      </c>
      <c r="C358" s="139">
        <f>ROUND(C354,2)</f>
        <v>1.55</v>
      </c>
      <c r="D358" s="19" t="s">
        <v>606</v>
      </c>
      <c r="E358" s="2628" t="s">
        <v>3372</v>
      </c>
      <c r="F358" s="2629">
        <f>ROUND(F354,2)</f>
        <v>1.55</v>
      </c>
      <c r="G358" s="2551" t="s">
        <v>606</v>
      </c>
      <c r="H358" s="234"/>
      <c r="I358" s="19"/>
      <c r="J358" s="19"/>
      <c r="K358" s="19"/>
      <c r="L358" s="19"/>
      <c r="M358" s="19"/>
      <c r="N358" s="19"/>
      <c r="O358" s="19"/>
      <c r="P358" s="19"/>
      <c r="Q358" s="19"/>
      <c r="R358" s="19"/>
      <c r="S358" s="19"/>
      <c r="T358" s="19"/>
      <c r="U358" s="19"/>
      <c r="V358" s="19"/>
      <c r="W358" s="19"/>
      <c r="X358" s="19"/>
      <c r="Y358" s="19"/>
      <c r="Z358" s="19"/>
    </row>
    <row r="359" spans="1:26" x14ac:dyDescent="0.35">
      <c r="A359" s="19"/>
      <c r="B359" s="19" t="s">
        <v>342</v>
      </c>
      <c r="C359" s="139">
        <f>ROUND(C344+C354,2)</f>
        <v>1.83</v>
      </c>
      <c r="D359" s="19" t="s">
        <v>608</v>
      </c>
      <c r="E359" s="2628" t="s">
        <v>3372</v>
      </c>
      <c r="F359" s="2629">
        <f>ROUND(F344+F354,2)</f>
        <v>1.76</v>
      </c>
      <c r="G359" s="2551" t="s">
        <v>608</v>
      </c>
      <c r="H359" s="234"/>
      <c r="I359" s="19"/>
      <c r="J359" s="19"/>
      <c r="K359" s="19"/>
      <c r="L359" s="19"/>
      <c r="M359" s="19"/>
      <c r="N359" s="19"/>
      <c r="O359" s="19"/>
      <c r="P359" s="19"/>
      <c r="Q359" s="19"/>
      <c r="R359" s="19"/>
      <c r="S359" s="19"/>
      <c r="T359" s="19"/>
      <c r="U359" s="19"/>
      <c r="V359" s="19"/>
      <c r="W359" s="19"/>
      <c r="X359" s="19"/>
      <c r="Y359" s="19"/>
      <c r="Z359" s="19"/>
    </row>
    <row r="360" spans="1:26" x14ac:dyDescent="0.35">
      <c r="A360" s="19"/>
      <c r="B360" s="19"/>
      <c r="C360" s="129"/>
      <c r="D360" s="19"/>
      <c r="E360" s="234"/>
      <c r="F360" s="234"/>
      <c r="G360" s="234"/>
      <c r="H360" s="19"/>
      <c r="I360" s="19"/>
      <c r="J360" s="19"/>
      <c r="K360" s="19"/>
      <c r="L360" s="19"/>
      <c r="M360" s="19"/>
      <c r="N360" s="19"/>
      <c r="O360" s="19"/>
      <c r="P360" s="19"/>
      <c r="Q360" s="19"/>
      <c r="R360" s="19"/>
      <c r="S360" s="19"/>
      <c r="T360" s="19"/>
      <c r="U360" s="19"/>
      <c r="V360" s="19"/>
      <c r="W360" s="19"/>
      <c r="X360" s="19"/>
      <c r="Y360" s="19"/>
      <c r="Z360" s="19"/>
    </row>
    <row r="361" spans="1:26" x14ac:dyDescent="0.35">
      <c r="A361" s="19"/>
      <c r="B361" s="19" t="s">
        <v>634</v>
      </c>
      <c r="C361" s="12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x14ac:dyDescent="0.35">
      <c r="A362" s="19"/>
      <c r="B362" s="19" t="s">
        <v>322</v>
      </c>
      <c r="C362" s="124">
        <v>730</v>
      </c>
      <c r="D362" s="19" t="s">
        <v>323</v>
      </c>
      <c r="E362" s="19"/>
      <c r="F362" s="19"/>
      <c r="G362" s="19"/>
      <c r="H362" s="19"/>
      <c r="I362" s="19"/>
      <c r="J362" s="19"/>
      <c r="Q362" s="19"/>
      <c r="R362" s="19"/>
      <c r="S362" s="19"/>
      <c r="T362" s="19"/>
      <c r="U362" s="19"/>
      <c r="V362" s="19"/>
      <c r="W362" s="19"/>
      <c r="X362" s="19"/>
      <c r="Y362" s="19"/>
      <c r="Z362" s="19"/>
    </row>
    <row r="363" spans="1:26" x14ac:dyDescent="0.35">
      <c r="A363" s="19"/>
      <c r="B363" s="19" t="s">
        <v>322</v>
      </c>
      <c r="C363" s="124">
        <v>663</v>
      </c>
      <c r="D363" s="19" t="s">
        <v>635</v>
      </c>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x14ac:dyDescent="0.35">
      <c r="A364" s="19"/>
      <c r="B364" s="19" t="s">
        <v>301</v>
      </c>
      <c r="C364" s="229">
        <f>ROUND((C344/C362)*C326,4)</f>
        <v>2.9999999999999997E-4</v>
      </c>
      <c r="D364" s="19" t="s">
        <v>721</v>
      </c>
      <c r="E364" s="2552" t="s">
        <v>3383</v>
      </c>
      <c r="F364" s="2610">
        <f>ROUND((F344/C362)*C326,4)</f>
        <v>2.0000000000000001E-4</v>
      </c>
      <c r="G364" s="2550" t="s">
        <v>721</v>
      </c>
      <c r="H364" s="19"/>
      <c r="I364" s="19"/>
      <c r="J364" s="19"/>
      <c r="K364" s="19"/>
      <c r="L364" s="19"/>
      <c r="M364" s="19"/>
      <c r="N364" s="19"/>
      <c r="O364" s="19"/>
      <c r="P364" s="19"/>
      <c r="Q364" s="19"/>
      <c r="R364" s="19"/>
      <c r="S364" s="19"/>
      <c r="T364" s="19"/>
      <c r="U364" s="19"/>
      <c r="V364" s="19"/>
      <c r="W364" s="19"/>
      <c r="X364" s="19"/>
      <c r="Y364" s="19"/>
      <c r="Z364" s="19"/>
    </row>
    <row r="365" spans="1:26" x14ac:dyDescent="0.35">
      <c r="A365" s="19"/>
      <c r="B365" s="19" t="s">
        <v>301</v>
      </c>
      <c r="C365" s="229">
        <f>(C344/C363)*C326</f>
        <v>2.8938838469109041E-4</v>
      </c>
      <c r="D365" s="19" t="s">
        <v>636</v>
      </c>
      <c r="E365" s="2552" t="s">
        <v>3383</v>
      </c>
      <c r="F365" s="2610">
        <f>(F344/C363)*C326</f>
        <v>2.2079261943098002E-4</v>
      </c>
      <c r="G365" s="2550" t="s">
        <v>636</v>
      </c>
      <c r="H365" s="19"/>
      <c r="I365" s="19"/>
      <c r="J365" s="19"/>
      <c r="K365" s="19"/>
      <c r="L365" s="19"/>
      <c r="M365" s="19"/>
      <c r="N365" s="19"/>
      <c r="O365" s="19"/>
      <c r="P365" s="19"/>
      <c r="Q365" s="19"/>
      <c r="R365" s="19"/>
      <c r="S365" s="19"/>
      <c r="T365" s="19"/>
      <c r="U365" s="19"/>
      <c r="V365" s="19"/>
      <c r="W365" s="19"/>
      <c r="X365" s="19"/>
      <c r="Y365" s="19"/>
      <c r="Z365" s="19"/>
    </row>
    <row r="366" spans="1:26" x14ac:dyDescent="0.35">
      <c r="A366" s="19"/>
      <c r="B366" s="19"/>
      <c r="C366" s="12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x14ac:dyDescent="0.35">
      <c r="A367" s="19"/>
      <c r="B367" s="2761" t="s">
        <v>3946</v>
      </c>
      <c r="C367" s="12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x14ac:dyDescent="0.35">
      <c r="A368" s="19"/>
      <c r="B368" s="19" t="s">
        <v>638</v>
      </c>
      <c r="C368" s="125">
        <v>0.72</v>
      </c>
      <c r="D368" s="19"/>
      <c r="E368" s="2552" t="s">
        <v>3370</v>
      </c>
      <c r="F368" s="2550">
        <v>0.76500000000000001</v>
      </c>
      <c r="G368" s="19"/>
      <c r="H368" s="19"/>
      <c r="I368" s="19"/>
      <c r="J368" s="19"/>
      <c r="K368" s="19"/>
      <c r="L368" s="19"/>
      <c r="M368" s="19"/>
      <c r="N368" s="19"/>
      <c r="O368" s="19"/>
      <c r="P368" s="19"/>
      <c r="Q368" s="19"/>
      <c r="R368" s="19"/>
      <c r="S368" s="19"/>
      <c r="T368" s="19"/>
      <c r="U368" s="19"/>
      <c r="V368" s="19"/>
      <c r="W368" s="19"/>
      <c r="X368" s="19"/>
      <c r="Y368" s="19"/>
      <c r="Z368" s="19"/>
    </row>
    <row r="369" spans="1:35" s="600" customFormat="1" x14ac:dyDescent="0.35">
      <c r="A369" s="127"/>
      <c r="B369" s="1" t="s">
        <v>3384</v>
      </c>
      <c r="C369" s="2785">
        <v>0.9345</v>
      </c>
      <c r="D369" s="1"/>
      <c r="E369"/>
      <c r="F369"/>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35" x14ac:dyDescent="0.35">
      <c r="B370" s="2779" t="s">
        <v>3912</v>
      </c>
      <c r="C370" s="2780">
        <v>1.1000000000000001</v>
      </c>
      <c r="D370" s="2761" t="s">
        <v>3947</v>
      </c>
    </row>
    <row r="371" spans="1:35" x14ac:dyDescent="0.35">
      <c r="A371" s="19"/>
      <c r="B371" s="2763" t="s">
        <v>302</v>
      </c>
      <c r="C371" s="2781">
        <f>(((C330-C331)/C346)*60*24*C347*0.018)/(C368*100000) * C369*C370</f>
        <v>7.5372162697674439E-2</v>
      </c>
      <c r="D371" s="19"/>
      <c r="E371" s="2773" t="s">
        <v>3371</v>
      </c>
      <c r="F371" s="2782">
        <f>(((C330-C331)/C346)*60*24*C347*0.018)/(F368*100000) * C369*C370</f>
        <v>7.0938506068399465E-2</v>
      </c>
      <c r="G371" s="19"/>
      <c r="H371" s="19"/>
      <c r="I371" s="19"/>
      <c r="J371" s="19"/>
      <c r="K371" s="19"/>
      <c r="L371" s="19"/>
      <c r="M371" s="19"/>
      <c r="N371" s="19"/>
      <c r="O371" s="19"/>
      <c r="P371" s="19"/>
      <c r="Q371" s="19"/>
      <c r="R371" s="19"/>
      <c r="S371" s="19"/>
      <c r="T371" s="19"/>
      <c r="U371" s="19"/>
      <c r="V371" s="19"/>
      <c r="W371" s="19"/>
      <c r="X371" s="19"/>
      <c r="Y371" s="19"/>
      <c r="Z371" s="19"/>
    </row>
    <row r="372" spans="1:35" x14ac:dyDescent="0.35">
      <c r="A372" s="19"/>
      <c r="B372" s="2761" t="s">
        <v>3948</v>
      </c>
      <c r="C372" s="129" t="s">
        <v>640</v>
      </c>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35" x14ac:dyDescent="0.35">
      <c r="A373" s="19"/>
      <c r="B373" s="19" t="s">
        <v>641</v>
      </c>
      <c r="C373" s="161">
        <v>3.1399999999999997E-2</v>
      </c>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35" s="600" customFormat="1" x14ac:dyDescent="0.35">
      <c r="A374" s="127"/>
      <c r="B374" s="2761" t="s">
        <v>3385</v>
      </c>
      <c r="C374" s="2756">
        <v>1.07</v>
      </c>
      <c r="D374" s="2763" t="s">
        <v>3942</v>
      </c>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35" x14ac:dyDescent="0.35">
      <c r="B375" s="2779" t="s">
        <v>3912</v>
      </c>
      <c r="C375" s="2780">
        <v>1.1000000000000001</v>
      </c>
      <c r="D375" s="2761" t="s">
        <v>3947</v>
      </c>
    </row>
    <row r="376" spans="1:35" x14ac:dyDescent="0.35">
      <c r="A376" s="19"/>
      <c r="B376" s="2763" t="s">
        <v>342</v>
      </c>
      <c r="C376" s="2783">
        <f>ROUND(C371*C373*29.3,2) * C374 * C375</f>
        <v>8.2390000000000019E-2</v>
      </c>
      <c r="D376" s="19"/>
      <c r="E376" s="2773" t="s">
        <v>3372</v>
      </c>
      <c r="F376" s="2773">
        <f>ROUND(F371*C373*29.3,2) * C374 * C375</f>
        <v>8.2390000000000019E-2</v>
      </c>
      <c r="G376" s="19"/>
      <c r="H376" s="19"/>
      <c r="I376" s="19"/>
      <c r="J376" s="19"/>
      <c r="K376" s="19"/>
      <c r="L376" s="19"/>
      <c r="M376" s="19"/>
      <c r="N376" s="19"/>
      <c r="O376" s="19"/>
      <c r="P376" s="19"/>
      <c r="Q376" s="19"/>
      <c r="R376" s="19"/>
      <c r="S376" s="19"/>
      <c r="T376" s="19"/>
      <c r="U376" s="19"/>
      <c r="V376" s="19"/>
      <c r="W376" s="19"/>
      <c r="X376" s="19"/>
      <c r="Y376" s="19"/>
      <c r="Z376" s="19"/>
    </row>
    <row r="377" spans="1:3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35" ht="18.5" x14ac:dyDescent="0.45">
      <c r="A378" s="2568" t="s">
        <v>746</v>
      </c>
      <c r="B378" s="2568" t="s">
        <v>747</v>
      </c>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row>
    <row r="379" spans="1:3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row>
    <row r="380" spans="1:35" x14ac:dyDescent="0.35">
      <c r="A380" s="19"/>
      <c r="B380" s="19" t="s">
        <v>290</v>
      </c>
      <c r="C380" s="2609">
        <v>20</v>
      </c>
      <c r="D380" s="19"/>
      <c r="E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row>
    <row r="381" spans="1:35" x14ac:dyDescent="0.35">
      <c r="A381" s="19"/>
      <c r="B381" s="19" t="s">
        <v>291</v>
      </c>
      <c r="C381" s="157">
        <v>7.5</v>
      </c>
      <c r="D381" s="19" t="s">
        <v>748</v>
      </c>
      <c r="E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row>
    <row r="382" spans="1:35" x14ac:dyDescent="0.35">
      <c r="A382" s="19"/>
      <c r="B382" s="19" t="s">
        <v>292</v>
      </c>
      <c r="C382" s="158">
        <v>0.91500000000000004</v>
      </c>
      <c r="D382" s="19"/>
      <c r="E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row>
    <row r="383" spans="1:35" x14ac:dyDescent="0.35">
      <c r="A383" s="19"/>
      <c r="B383" s="19" t="s">
        <v>571</v>
      </c>
      <c r="C383" s="129"/>
      <c r="D383" s="19"/>
      <c r="E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row>
    <row r="384" spans="1:35" x14ac:dyDescent="0.35">
      <c r="A384" s="19"/>
      <c r="B384" s="19" t="s">
        <v>749</v>
      </c>
      <c r="C384" s="129"/>
      <c r="D384" s="19"/>
      <c r="E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row>
    <row r="385" spans="1:35" x14ac:dyDescent="0.35">
      <c r="A385" s="19"/>
      <c r="B385" s="19" t="s">
        <v>750</v>
      </c>
      <c r="C385" s="126">
        <v>1</v>
      </c>
      <c r="D385" s="19"/>
      <c r="E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row>
    <row r="386" spans="1:35" x14ac:dyDescent="0.35">
      <c r="A386" s="19"/>
      <c r="B386" s="19" t="s">
        <v>751</v>
      </c>
      <c r="C386" s="124">
        <v>11</v>
      </c>
      <c r="D386" s="19"/>
      <c r="E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row>
    <row r="387" spans="1:35" x14ac:dyDescent="0.35">
      <c r="A387" s="19"/>
      <c r="B387" s="19" t="s">
        <v>752</v>
      </c>
      <c r="C387" s="124">
        <v>1</v>
      </c>
      <c r="D387" s="19" t="s">
        <v>627</v>
      </c>
      <c r="E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row>
    <row r="388" spans="1:35" x14ac:dyDescent="0.35">
      <c r="A388" s="19"/>
      <c r="B388" s="19" t="s">
        <v>753</v>
      </c>
      <c r="C388" s="124">
        <v>1</v>
      </c>
      <c r="D388" s="19" t="s">
        <v>754</v>
      </c>
      <c r="E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row>
    <row r="389" spans="1:35" x14ac:dyDescent="0.35">
      <c r="A389" s="19"/>
      <c r="B389" s="19" t="s">
        <v>577</v>
      </c>
      <c r="C389" s="125">
        <v>0</v>
      </c>
      <c r="D389" s="19" t="s">
        <v>755</v>
      </c>
      <c r="E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row>
    <row r="390" spans="1:35" x14ac:dyDescent="0.35">
      <c r="A390" s="19"/>
      <c r="B390" s="19" t="s">
        <v>578</v>
      </c>
      <c r="C390" s="124">
        <v>436</v>
      </c>
      <c r="D390" s="19" t="s">
        <v>628</v>
      </c>
      <c r="E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row>
    <row r="391" spans="1:35" x14ac:dyDescent="0.35">
      <c r="A391" s="19"/>
      <c r="B391" s="19" t="s">
        <v>580</v>
      </c>
      <c r="C391" s="126">
        <v>0.75</v>
      </c>
      <c r="D391" s="19"/>
      <c r="E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row>
    <row r="392" spans="1:35" x14ac:dyDescent="0.35">
      <c r="A392" s="19"/>
      <c r="B392" s="19" t="s">
        <v>581</v>
      </c>
      <c r="C392" s="124">
        <v>10</v>
      </c>
      <c r="D392" s="28">
        <v>0.9</v>
      </c>
      <c r="E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row>
    <row r="393" spans="1:35" x14ac:dyDescent="0.35">
      <c r="A393" s="19"/>
      <c r="B393" s="19" t="s">
        <v>629</v>
      </c>
      <c r="C393" s="124">
        <v>13</v>
      </c>
      <c r="D393" s="28">
        <v>0.1</v>
      </c>
      <c r="E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row>
    <row r="394" spans="1:35" x14ac:dyDescent="0.35">
      <c r="A394" s="19"/>
      <c r="B394" s="19" t="s">
        <v>756</v>
      </c>
      <c r="C394" s="124">
        <v>13</v>
      </c>
      <c r="D394" s="28">
        <v>0</v>
      </c>
      <c r="E394" s="2628" t="s">
        <v>3375</v>
      </c>
      <c r="F394" s="2551">
        <v>13</v>
      </c>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row>
    <row r="395" spans="1:35" x14ac:dyDescent="0.35">
      <c r="A395" s="19"/>
      <c r="B395" s="19" t="s">
        <v>757</v>
      </c>
      <c r="C395" s="124">
        <v>14</v>
      </c>
      <c r="D395" s="28">
        <v>0</v>
      </c>
      <c r="E395" s="2628" t="s">
        <v>3376</v>
      </c>
      <c r="F395" s="2551">
        <v>14</v>
      </c>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row>
    <row r="396" spans="1:35" x14ac:dyDescent="0.35">
      <c r="A396" s="19"/>
      <c r="B396" s="19" t="s">
        <v>336</v>
      </c>
      <c r="C396" s="126">
        <f>SUMPRODUCT(C392:C395,D392:D395)</f>
        <v>10.3</v>
      </c>
      <c r="D396" s="19" t="s">
        <v>585</v>
      </c>
      <c r="E396" s="2628" t="s">
        <v>3377</v>
      </c>
      <c r="F396" s="2551">
        <f>AVERAGE(F394:F395)</f>
        <v>13.5</v>
      </c>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row>
    <row r="397" spans="1:35" x14ac:dyDescent="0.35">
      <c r="A397" s="19"/>
      <c r="B397" s="19" t="s">
        <v>758</v>
      </c>
      <c r="C397" s="128">
        <v>0.8</v>
      </c>
      <c r="D397" s="19"/>
      <c r="E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row>
    <row r="398" spans="1:35" x14ac:dyDescent="0.35">
      <c r="A398" s="19"/>
      <c r="B398" s="19" t="s">
        <v>587</v>
      </c>
      <c r="C398" s="126">
        <f>(((1/C385-1/(C385+C386))*C387*C388*(1-C389))*24*C390*C391)/(1000*C396)*C397</f>
        <v>0.5587572815533981</v>
      </c>
      <c r="D398" s="19"/>
      <c r="E398" s="2628" t="s">
        <v>3386</v>
      </c>
      <c r="F398" s="2596">
        <f>(((1/C385-1/(C385+C386))*C387*C388*(1-C389))*24*C390*C391)/(1000*F396)*C397</f>
        <v>0.42631111111111109</v>
      </c>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row>
    <row r="399" spans="1:35" x14ac:dyDescent="0.35">
      <c r="A399" s="19"/>
      <c r="B399" s="19"/>
      <c r="C399" s="129"/>
      <c r="D399" s="19"/>
      <c r="E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row>
    <row r="400" spans="1:35" x14ac:dyDescent="0.35">
      <c r="A400" s="19"/>
      <c r="B400" s="19" t="s">
        <v>759</v>
      </c>
      <c r="C400" s="160"/>
      <c r="D400" s="19"/>
      <c r="E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row>
    <row r="401" spans="1:35" x14ac:dyDescent="0.35">
      <c r="A401" s="19"/>
      <c r="B401" s="19" t="s">
        <v>760</v>
      </c>
      <c r="C401" s="126">
        <v>5.41</v>
      </c>
      <c r="D401" s="19" t="s">
        <v>761</v>
      </c>
      <c r="E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row>
    <row r="402" spans="1:35" x14ac:dyDescent="0.35">
      <c r="A402" s="19"/>
      <c r="B402" s="19" t="s">
        <v>762</v>
      </c>
      <c r="C402" s="124">
        <v>3</v>
      </c>
      <c r="D402" s="19"/>
      <c r="E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row>
    <row r="403" spans="1:35" x14ac:dyDescent="0.35">
      <c r="A403" s="19"/>
      <c r="B403" s="19" t="s">
        <v>600</v>
      </c>
      <c r="C403" s="124">
        <v>2550</v>
      </c>
      <c r="D403" s="19" t="s">
        <v>632</v>
      </c>
      <c r="E403" s="19"/>
      <c r="G403" s="19"/>
      <c r="H403" s="19"/>
      <c r="I403" s="19"/>
      <c r="J403" s="19"/>
      <c r="K403" s="19"/>
      <c r="L403" s="19"/>
      <c r="M403" s="19"/>
      <c r="N403" s="19"/>
      <c r="O403" s="19"/>
      <c r="P403" s="19"/>
    </row>
    <row r="404" spans="1:35" x14ac:dyDescent="0.35">
      <c r="A404" s="19"/>
      <c r="B404" s="19" t="s">
        <v>763</v>
      </c>
      <c r="C404" s="130">
        <v>0.6</v>
      </c>
      <c r="D404" s="19"/>
      <c r="E404" s="19"/>
      <c r="G404" s="19"/>
      <c r="H404" s="19"/>
      <c r="I404" s="19"/>
      <c r="J404" s="19"/>
      <c r="K404" s="19"/>
      <c r="L404" s="19"/>
      <c r="M404" s="19"/>
      <c r="N404" s="19"/>
      <c r="O404" s="19"/>
      <c r="P404" s="19"/>
      <c r="Q404" s="19"/>
      <c r="R404" s="19"/>
      <c r="S404" s="19"/>
      <c r="T404" s="19"/>
      <c r="U404" s="19"/>
      <c r="V404" s="19"/>
      <c r="W404" s="19"/>
      <c r="X404" s="19"/>
      <c r="Y404" s="19"/>
      <c r="Z404" s="19"/>
      <c r="AA404" s="19"/>
      <c r="AB404" s="19"/>
    </row>
    <row r="405" spans="1:35" x14ac:dyDescent="0.35">
      <c r="A405" s="19"/>
      <c r="B405" s="19" t="s">
        <v>603</v>
      </c>
      <c r="C405" s="126">
        <v>1.7</v>
      </c>
      <c r="D405" s="28">
        <v>0.9</v>
      </c>
      <c r="E405" s="19"/>
      <c r="G405" s="19"/>
      <c r="H405" s="19"/>
      <c r="I405" s="19"/>
      <c r="J405" s="131" t="s">
        <v>764</v>
      </c>
      <c r="K405" s="29" t="s">
        <v>285</v>
      </c>
      <c r="L405" s="29" t="s">
        <v>286</v>
      </c>
      <c r="M405" s="29" t="s">
        <v>590</v>
      </c>
      <c r="N405" s="29" t="s">
        <v>568</v>
      </c>
      <c r="O405" s="29" t="s">
        <v>591</v>
      </c>
      <c r="P405" s="29" t="s">
        <v>592</v>
      </c>
      <c r="Q405" s="29" t="s">
        <v>593</v>
      </c>
      <c r="R405" s="259" t="s">
        <v>342</v>
      </c>
      <c r="S405" s="269" t="s">
        <v>342</v>
      </c>
      <c r="T405" s="259" t="s">
        <v>301</v>
      </c>
      <c r="U405" s="269" t="s">
        <v>301</v>
      </c>
      <c r="V405" s="259" t="s">
        <v>596</v>
      </c>
      <c r="W405" s="269" t="s">
        <v>596</v>
      </c>
      <c r="X405" s="29"/>
      <c r="Y405" s="29"/>
      <c r="Z405" s="29"/>
      <c r="AA405" s="29"/>
      <c r="AB405" s="132" t="s">
        <v>599</v>
      </c>
    </row>
    <row r="406" spans="1:35" x14ac:dyDescent="0.35">
      <c r="A406" s="19"/>
      <c r="B406" s="19" t="s">
        <v>633</v>
      </c>
      <c r="C406" s="126">
        <v>1.92</v>
      </c>
      <c r="D406" s="28">
        <v>0.1</v>
      </c>
      <c r="E406" s="19"/>
      <c r="G406" s="19"/>
      <c r="H406" s="19"/>
      <c r="I406" s="19"/>
      <c r="J406" s="615" t="str">
        <f>K406&amp;"_"&amp;O406</f>
        <v>Low Income_Gas Heat w/AC</v>
      </c>
      <c r="K406" s="616" t="s">
        <v>7</v>
      </c>
      <c r="L406" s="617" t="s">
        <v>1</v>
      </c>
      <c r="M406" s="616" t="s">
        <v>765</v>
      </c>
      <c r="N406" s="616" t="s">
        <v>765</v>
      </c>
      <c r="O406" s="616" t="s">
        <v>602</v>
      </c>
      <c r="P406" s="618">
        <f>$C$380</f>
        <v>20</v>
      </c>
      <c r="Q406" s="616">
        <v>0</v>
      </c>
      <c r="R406" s="619">
        <f>INDEX($C$432:$C$443,MATCH($R$405&amp;"_"&amp;$O406,$A$432:$A$443,0))</f>
        <v>1.1100000000000001</v>
      </c>
      <c r="S406" s="248">
        <f>P406*R406</f>
        <v>22.200000000000003</v>
      </c>
      <c r="T406" s="620">
        <f>INDEX($C$432:$C$443,MATCH($T$405&amp;"_"&amp;$O406,$A$432:$A$443,0))</f>
        <v>7.0036015427583464E-4</v>
      </c>
      <c r="U406" s="619">
        <f>P406*T406</f>
        <v>1.4007203085516694E-2</v>
      </c>
      <c r="V406" s="619">
        <f>INDEX($C$432:$C$443,MATCH($V$405&amp;"_"&amp;$O406,$A$432:$A$443,0))</f>
        <v>0.5934848851403377</v>
      </c>
      <c r="W406" s="248">
        <f>P406*V406</f>
        <v>11.869697702806754</v>
      </c>
      <c r="X406" s="31"/>
      <c r="Y406" s="31"/>
      <c r="Z406" s="162"/>
      <c r="AA406" s="31"/>
      <c r="AB406" s="137" t="s">
        <v>465</v>
      </c>
    </row>
    <row r="407" spans="1:35" x14ac:dyDescent="0.35">
      <c r="A407" s="19"/>
      <c r="B407" s="19" t="s">
        <v>607</v>
      </c>
      <c r="C407" s="126">
        <v>2.04</v>
      </c>
      <c r="D407" s="28">
        <v>0</v>
      </c>
      <c r="E407" s="19"/>
      <c r="G407" s="19"/>
      <c r="H407" s="19"/>
      <c r="I407" s="19"/>
      <c r="J407" s="615" t="str">
        <f t="shared" ref="J407:J413" si="79">K407&amp;"_"&amp;L407&amp;"_"&amp;N407</f>
        <v>Low Income_Single Family_Crawl Space</v>
      </c>
      <c r="K407" s="616" t="s">
        <v>7</v>
      </c>
      <c r="L407" s="617" t="s">
        <v>1</v>
      </c>
      <c r="M407" s="616" t="s">
        <v>765</v>
      </c>
      <c r="N407" s="616" t="s">
        <v>765</v>
      </c>
      <c r="O407" s="616" t="s">
        <v>604</v>
      </c>
      <c r="P407" s="618">
        <f t="shared" ref="P407:P413" si="80">$C$380</f>
        <v>20</v>
      </c>
      <c r="Q407" s="616">
        <v>0</v>
      </c>
      <c r="R407" s="619">
        <f t="shared" ref="R407:R413" si="81">INDEX($C$432:$C$443,MATCH($R$405&amp;"_"&amp;$O407,$A$432:$A$443,0))</f>
        <v>7.84</v>
      </c>
      <c r="S407" s="248">
        <f t="shared" ref="S407:S413" si="82">P407*R407</f>
        <v>156.80000000000001</v>
      </c>
      <c r="T407" s="620">
        <f t="shared" ref="T407:T413" si="83">INDEX($C$432:$C$443,MATCH($T$405&amp;"_"&amp;$O407,$A$432:$A$443,0))</f>
        <v>7.0036015427583464E-4</v>
      </c>
      <c r="U407" s="619">
        <f t="shared" ref="U407:U413" si="84">P407*T407</f>
        <v>1.4007203085516694E-2</v>
      </c>
      <c r="V407" s="619">
        <f t="shared" ref="V407:V413" si="85">INDEX($C$432:$C$443,MATCH($V$405&amp;"_"&amp;$O407,$A$432:$A$443,0))</f>
        <v>0</v>
      </c>
      <c r="W407" s="248">
        <f t="shared" ref="W407:W413" si="86">P407*V407</f>
        <v>0</v>
      </c>
      <c r="X407" s="31"/>
      <c r="Y407" s="31"/>
      <c r="Z407" s="162"/>
      <c r="AA407" s="31"/>
      <c r="AB407" s="227" t="s">
        <v>465</v>
      </c>
    </row>
    <row r="408" spans="1:35" x14ac:dyDescent="0.35">
      <c r="A408" s="19"/>
      <c r="B408" s="19" t="s">
        <v>609</v>
      </c>
      <c r="C408" s="126">
        <f>SUMPRODUCT(C405:C407,D405:D407)</f>
        <v>1.722</v>
      </c>
      <c r="D408" s="19" t="s">
        <v>585</v>
      </c>
      <c r="E408" s="2628" t="s">
        <v>3378</v>
      </c>
      <c r="F408" s="2551">
        <v>2.04</v>
      </c>
      <c r="G408" s="234"/>
      <c r="H408" s="19"/>
      <c r="I408" s="19"/>
      <c r="J408" s="615" t="str">
        <f t="shared" si="79"/>
        <v>Low Income_Single Family_Crawl Space</v>
      </c>
      <c r="K408" s="616" t="s">
        <v>7</v>
      </c>
      <c r="L408" s="617" t="s">
        <v>1</v>
      </c>
      <c r="M408" s="616" t="s">
        <v>765</v>
      </c>
      <c r="N408" s="616" t="s">
        <v>765</v>
      </c>
      <c r="O408" s="616" t="s">
        <v>606</v>
      </c>
      <c r="P408" s="618">
        <f t="shared" si="80"/>
        <v>20</v>
      </c>
      <c r="Q408" s="616">
        <v>0</v>
      </c>
      <c r="R408" s="619">
        <f t="shared" si="81"/>
        <v>12.53</v>
      </c>
      <c r="S408" s="248">
        <f t="shared" si="82"/>
        <v>250.6</v>
      </c>
      <c r="T408" s="620">
        <f t="shared" si="83"/>
        <v>0</v>
      </c>
      <c r="U408" s="619">
        <f t="shared" si="84"/>
        <v>0</v>
      </c>
      <c r="V408" s="619">
        <f t="shared" si="85"/>
        <v>0</v>
      </c>
      <c r="W408" s="248">
        <f t="shared" si="86"/>
        <v>0</v>
      </c>
      <c r="X408" s="31"/>
      <c r="Y408" s="31"/>
      <c r="Z408" s="162"/>
      <c r="AA408" s="31"/>
      <c r="AB408" s="227" t="s">
        <v>465</v>
      </c>
    </row>
    <row r="409" spans="1:35" x14ac:dyDescent="0.35">
      <c r="A409" s="19"/>
      <c r="B409" s="19" t="s">
        <v>610</v>
      </c>
      <c r="C409" s="126">
        <v>1</v>
      </c>
      <c r="D409" s="19"/>
      <c r="E409" s="2628" t="s">
        <v>3379</v>
      </c>
      <c r="F409" s="2627">
        <v>1</v>
      </c>
      <c r="G409" s="234"/>
      <c r="H409" s="19"/>
      <c r="I409" s="19"/>
      <c r="J409" s="615" t="str">
        <f t="shared" si="79"/>
        <v>Low Income_Single Family_Crawl Space</v>
      </c>
      <c r="K409" s="616" t="s">
        <v>7</v>
      </c>
      <c r="L409" s="617" t="s">
        <v>1</v>
      </c>
      <c r="M409" s="616" t="s">
        <v>765</v>
      </c>
      <c r="N409" s="616" t="s">
        <v>765</v>
      </c>
      <c r="O409" s="616" t="s">
        <v>608</v>
      </c>
      <c r="P409" s="618">
        <f t="shared" si="80"/>
        <v>20</v>
      </c>
      <c r="Q409" s="616">
        <v>0</v>
      </c>
      <c r="R409" s="619">
        <f t="shared" si="81"/>
        <v>13.09</v>
      </c>
      <c r="S409" s="248">
        <f t="shared" si="82"/>
        <v>261.8</v>
      </c>
      <c r="T409" s="620">
        <f t="shared" si="83"/>
        <v>7.0036015427583464E-4</v>
      </c>
      <c r="U409" s="619">
        <f t="shared" si="84"/>
        <v>1.4007203085516694E-2</v>
      </c>
      <c r="V409" s="619">
        <f t="shared" si="85"/>
        <v>0</v>
      </c>
      <c r="W409" s="248">
        <f t="shared" si="86"/>
        <v>0</v>
      </c>
      <c r="X409" s="31"/>
      <c r="Y409" s="31"/>
      <c r="Z409" s="162"/>
      <c r="AA409" s="31"/>
      <c r="AB409" s="227" t="s">
        <v>465</v>
      </c>
    </row>
    <row r="410" spans="1:35" x14ac:dyDescent="0.35">
      <c r="A410" s="19"/>
      <c r="B410" s="19" t="s">
        <v>611</v>
      </c>
      <c r="C410" s="126">
        <f>(((((1/C385-1/(C385+C386))*C387*C388*(1-C389))+((1/C401-1/(C401+C386))*C387*(C402-C388)*(1-C389)))*24*C403)/(C408*3412))*C404</f>
        <v>7.2776450406237654</v>
      </c>
      <c r="D410" s="19" t="s">
        <v>604</v>
      </c>
      <c r="E410" s="2628" t="s">
        <v>3374</v>
      </c>
      <c r="F410" s="2626">
        <f>(((((1/C385-1/(C385+C386))*C387*C388*(1-C389))+((1/C401-1/(C401+C386))*C387*(C402-C388)*(1-C389)))*24*C403)/(F408*3412))*C404</f>
        <v>6.1431886078206501</v>
      </c>
      <c r="G410" s="2628" t="s">
        <v>604</v>
      </c>
      <c r="H410" s="19"/>
      <c r="I410" s="19"/>
      <c r="J410" s="133" t="str">
        <f t="shared" si="79"/>
        <v>Market Rate_Single Family_Crawl Space</v>
      </c>
      <c r="K410" s="31" t="s">
        <v>44</v>
      </c>
      <c r="L410" s="134" t="s">
        <v>1</v>
      </c>
      <c r="M410" s="31" t="s">
        <v>765</v>
      </c>
      <c r="N410" s="31" t="s">
        <v>765</v>
      </c>
      <c r="O410" s="31" t="s">
        <v>602</v>
      </c>
      <c r="P410" s="135">
        <f t="shared" si="80"/>
        <v>20</v>
      </c>
      <c r="Q410" s="31">
        <v>0</v>
      </c>
      <c r="R410" s="36">
        <f t="shared" si="81"/>
        <v>1.1100000000000001</v>
      </c>
      <c r="S410" s="248">
        <f t="shared" si="82"/>
        <v>22.200000000000003</v>
      </c>
      <c r="T410" s="267">
        <f t="shared" si="83"/>
        <v>7.0036015427583464E-4</v>
      </c>
      <c r="U410" s="248">
        <f t="shared" si="84"/>
        <v>1.4007203085516694E-2</v>
      </c>
      <c r="V410" s="36">
        <f t="shared" si="85"/>
        <v>0.5934848851403377</v>
      </c>
      <c r="W410" s="248">
        <f t="shared" si="86"/>
        <v>11.869697702806754</v>
      </c>
      <c r="X410" s="31"/>
      <c r="Y410" s="31"/>
      <c r="Z410" s="162"/>
      <c r="AA410" s="31"/>
      <c r="AB410" s="227" t="s">
        <v>465</v>
      </c>
    </row>
    <row r="411" spans="1:35" x14ac:dyDescent="0.35">
      <c r="A411" s="19"/>
      <c r="B411" s="19" t="s">
        <v>611</v>
      </c>
      <c r="C411" s="126">
        <f>(((((1/C385-1/(C385+C386))*C387*C388*(1-C389))+((1/C401-1/(C401+C386))*C387*(C402-C388)*(1-C389)))*24*C403)/(C409*3412))*C404</f>
        <v>12.532104759954125</v>
      </c>
      <c r="D411" s="19" t="s">
        <v>298</v>
      </c>
      <c r="E411" s="2628" t="s">
        <v>3374</v>
      </c>
      <c r="F411" s="2626">
        <f>(((((1/C385-1/(C385+C386))*C387*C388*(1-C389))+((1/C401-1/(C401+C386))*C387*(C402-C388)*(1-C389)))*24*C403)/(F409*3412))*C404</f>
        <v>12.532104759954125</v>
      </c>
      <c r="G411" s="2628" t="s">
        <v>298</v>
      </c>
      <c r="H411" s="19"/>
      <c r="I411" s="19"/>
      <c r="J411" s="133" t="str">
        <f t="shared" si="79"/>
        <v>Market Rate_Single Family_Crawl Space</v>
      </c>
      <c r="K411" s="31" t="s">
        <v>44</v>
      </c>
      <c r="L411" s="134" t="s">
        <v>1</v>
      </c>
      <c r="M411" s="31" t="s">
        <v>765</v>
      </c>
      <c r="N411" s="31" t="s">
        <v>765</v>
      </c>
      <c r="O411" s="31" t="s">
        <v>604</v>
      </c>
      <c r="P411" s="135">
        <f t="shared" si="80"/>
        <v>20</v>
      </c>
      <c r="Q411" s="31">
        <v>0</v>
      </c>
      <c r="R411" s="36">
        <f t="shared" si="81"/>
        <v>7.84</v>
      </c>
      <c r="S411" s="248">
        <f t="shared" si="82"/>
        <v>156.80000000000001</v>
      </c>
      <c r="T411" s="267">
        <f t="shared" si="83"/>
        <v>7.0036015427583464E-4</v>
      </c>
      <c r="U411" s="248">
        <f t="shared" si="84"/>
        <v>1.4007203085516694E-2</v>
      </c>
      <c r="V411" s="36">
        <f t="shared" si="85"/>
        <v>0</v>
      </c>
      <c r="W411" s="248">
        <f t="shared" si="86"/>
        <v>0</v>
      </c>
      <c r="X411" s="31"/>
      <c r="Y411" s="31"/>
      <c r="Z411" s="162"/>
      <c r="AA411" s="31"/>
      <c r="AB411" s="227" t="s">
        <v>465</v>
      </c>
    </row>
    <row r="412" spans="1:35" x14ac:dyDescent="0.35">
      <c r="A412" s="19"/>
      <c r="B412" s="19"/>
      <c r="C412" s="129"/>
      <c r="D412" s="19"/>
      <c r="E412" s="19"/>
      <c r="G412" s="19"/>
      <c r="H412" s="19"/>
      <c r="I412" s="19"/>
      <c r="J412" s="133" t="str">
        <f t="shared" si="79"/>
        <v>Market Rate_Single Family_Crawl Space</v>
      </c>
      <c r="K412" s="31" t="s">
        <v>44</v>
      </c>
      <c r="L412" s="134" t="s">
        <v>1</v>
      </c>
      <c r="M412" s="31" t="s">
        <v>765</v>
      </c>
      <c r="N412" s="31" t="s">
        <v>765</v>
      </c>
      <c r="O412" s="31" t="s">
        <v>606</v>
      </c>
      <c r="P412" s="135">
        <f t="shared" si="80"/>
        <v>20</v>
      </c>
      <c r="Q412" s="31">
        <v>0</v>
      </c>
      <c r="R412" s="36">
        <f t="shared" si="81"/>
        <v>12.53</v>
      </c>
      <c r="S412" s="248">
        <f t="shared" si="82"/>
        <v>250.6</v>
      </c>
      <c r="T412" s="267">
        <f t="shared" si="83"/>
        <v>0</v>
      </c>
      <c r="U412" s="248">
        <f t="shared" si="84"/>
        <v>0</v>
      </c>
      <c r="V412" s="36">
        <f t="shared" si="85"/>
        <v>0</v>
      </c>
      <c r="W412" s="248">
        <f t="shared" si="86"/>
        <v>0</v>
      </c>
      <c r="X412" s="31"/>
      <c r="Y412" s="31"/>
      <c r="Z412" s="162"/>
      <c r="AA412" s="31"/>
      <c r="AB412" s="227" t="s">
        <v>465</v>
      </c>
    </row>
    <row r="413" spans="1:35" x14ac:dyDescent="0.35">
      <c r="A413" s="19"/>
      <c r="B413" s="19" t="s">
        <v>342</v>
      </c>
      <c r="C413" s="139">
        <f>ROUND(C398,2)</f>
        <v>0.56000000000000005</v>
      </c>
      <c r="D413" s="19" t="s">
        <v>612</v>
      </c>
      <c r="E413" s="2628" t="s">
        <v>3372</v>
      </c>
      <c r="F413" s="2629">
        <f>ROUND(F398,2)</f>
        <v>0.43</v>
      </c>
      <c r="G413" s="2551" t="s">
        <v>612</v>
      </c>
      <c r="H413" s="19"/>
      <c r="I413" s="19"/>
      <c r="J413" s="142" t="str">
        <f t="shared" si="79"/>
        <v>Market Rate_Single Family_Crawl Space</v>
      </c>
      <c r="K413" s="143" t="s">
        <v>44</v>
      </c>
      <c r="L413" s="281" t="s">
        <v>1</v>
      </c>
      <c r="M413" s="143" t="s">
        <v>765</v>
      </c>
      <c r="N413" s="143" t="s">
        <v>765</v>
      </c>
      <c r="O413" s="143" t="s">
        <v>608</v>
      </c>
      <c r="P413" s="144">
        <f t="shared" si="80"/>
        <v>20</v>
      </c>
      <c r="Q413" s="143">
        <v>0</v>
      </c>
      <c r="R413" s="264">
        <f t="shared" si="81"/>
        <v>13.09</v>
      </c>
      <c r="S413" s="249">
        <f t="shared" si="82"/>
        <v>261.8</v>
      </c>
      <c r="T413" s="267">
        <f t="shared" si="83"/>
        <v>7.0036015427583464E-4</v>
      </c>
      <c r="U413" s="249">
        <f t="shared" si="84"/>
        <v>1.4007203085516694E-2</v>
      </c>
      <c r="V413" s="36">
        <f t="shared" si="85"/>
        <v>0</v>
      </c>
      <c r="W413" s="249">
        <f t="shared" si="86"/>
        <v>0</v>
      </c>
      <c r="X413" s="143"/>
      <c r="Y413" s="143"/>
      <c r="Z413" s="163"/>
      <c r="AA413" s="143"/>
      <c r="AB413" s="228" t="s">
        <v>465</v>
      </c>
      <c r="AE413" s="19"/>
      <c r="AF413" s="19"/>
      <c r="AG413" s="19"/>
      <c r="AH413" s="19"/>
      <c r="AI413" s="19"/>
    </row>
    <row r="414" spans="1:35" x14ac:dyDescent="0.35">
      <c r="A414" s="19"/>
      <c r="B414" s="19" t="s">
        <v>342</v>
      </c>
      <c r="C414" s="139">
        <f>ROUND(C398+C410,2)</f>
        <v>7.84</v>
      </c>
      <c r="D414" s="19" t="s">
        <v>604</v>
      </c>
      <c r="E414" s="2628" t="s">
        <v>3372</v>
      </c>
      <c r="F414" s="2629">
        <f>ROUND(C398+F410,2)</f>
        <v>6.7</v>
      </c>
      <c r="G414" s="2551" t="s">
        <v>604</v>
      </c>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row>
    <row r="415" spans="1:35" x14ac:dyDescent="0.35">
      <c r="A415" s="19"/>
      <c r="B415" s="19" t="s">
        <v>342</v>
      </c>
      <c r="C415" s="139">
        <f>ROUND(C411,2)</f>
        <v>12.53</v>
      </c>
      <c r="D415" s="19" t="s">
        <v>606</v>
      </c>
      <c r="E415" s="2628" t="s">
        <v>3372</v>
      </c>
      <c r="F415" s="2629">
        <f>ROUND(F411,2)</f>
        <v>12.53</v>
      </c>
      <c r="G415" s="2551" t="s">
        <v>606</v>
      </c>
      <c r="H415" s="19"/>
      <c r="I415" s="19"/>
      <c r="J415" s="19"/>
      <c r="K415" s="19"/>
      <c r="L415" s="19"/>
      <c r="M415" s="19"/>
      <c r="N415" s="19"/>
      <c r="O415" s="121" t="s">
        <v>1743</v>
      </c>
      <c r="P415" s="19"/>
      <c r="Q415" s="121" t="s">
        <v>1744</v>
      </c>
      <c r="R415" s="19"/>
      <c r="S415" s="19"/>
      <c r="T415" s="19"/>
      <c r="U415" s="19"/>
      <c r="V415" s="19"/>
      <c r="W415" s="19"/>
      <c r="X415" s="19"/>
      <c r="Y415" s="19"/>
      <c r="Z415" s="19"/>
      <c r="AA415" s="19"/>
      <c r="AB415" s="19"/>
      <c r="AC415" s="19"/>
      <c r="AD415" s="19"/>
      <c r="AE415" s="19"/>
      <c r="AF415" s="19"/>
      <c r="AG415" s="19"/>
      <c r="AH415" s="19"/>
      <c r="AI415" s="19"/>
    </row>
    <row r="416" spans="1:35" x14ac:dyDescent="0.35">
      <c r="A416" s="19"/>
      <c r="B416" s="19" t="s">
        <v>342</v>
      </c>
      <c r="C416" s="139">
        <f>ROUND(C398+C411,2)</f>
        <v>13.09</v>
      </c>
      <c r="D416" s="19" t="s">
        <v>608</v>
      </c>
      <c r="E416" s="2628" t="s">
        <v>3372</v>
      </c>
      <c r="F416" s="2629">
        <f>ROUND(C398+F411,2)</f>
        <v>13.09</v>
      </c>
      <c r="G416" s="2551" t="s">
        <v>608</v>
      </c>
      <c r="H416" s="19"/>
      <c r="I416" s="19"/>
      <c r="J416" s="19"/>
      <c r="K416" s="19"/>
      <c r="L416" s="19"/>
      <c r="M416" s="19"/>
      <c r="N416" s="19"/>
      <c r="O416" s="19"/>
      <c r="P416" s="19" t="s">
        <v>726</v>
      </c>
      <c r="Q416" s="19" t="s">
        <v>1737</v>
      </c>
      <c r="R416" s="19">
        <v>0.5</v>
      </c>
      <c r="S416" s="19">
        <f>R416*S407</f>
        <v>78.400000000000006</v>
      </c>
      <c r="T416" s="19">
        <f>R416*U407</f>
        <v>7.0036015427583469E-3</v>
      </c>
      <c r="U416" s="19"/>
      <c r="V416" s="19"/>
      <c r="W416" s="19"/>
      <c r="X416" s="19"/>
      <c r="Y416" s="19"/>
      <c r="Z416" s="19"/>
      <c r="AA416" s="19"/>
      <c r="AB416" s="19"/>
      <c r="AC416" s="19"/>
      <c r="AD416" s="19"/>
      <c r="AE416" s="19"/>
      <c r="AF416" s="19"/>
      <c r="AG416" s="19"/>
      <c r="AH416" s="19"/>
      <c r="AI416" s="19"/>
    </row>
    <row r="417" spans="1:35" x14ac:dyDescent="0.35">
      <c r="A417" s="19"/>
      <c r="B417" s="19"/>
      <c r="C417" s="129"/>
      <c r="D417" s="19"/>
      <c r="E417" s="19"/>
      <c r="G417" s="19"/>
      <c r="H417" s="19"/>
      <c r="I417" s="19"/>
      <c r="J417" s="19"/>
      <c r="K417" s="19"/>
      <c r="L417" s="19"/>
      <c r="M417" s="19"/>
      <c r="N417" s="19"/>
      <c r="O417" s="19"/>
      <c r="P417" s="19"/>
      <c r="Q417" s="19" t="s">
        <v>606</v>
      </c>
      <c r="R417" s="19">
        <v>0.125</v>
      </c>
      <c r="S417" s="19">
        <f>R417*S408</f>
        <v>31.324999999999999</v>
      </c>
      <c r="T417" s="19">
        <f t="shared" ref="T417:T418" si="87">R417*U408</f>
        <v>0</v>
      </c>
      <c r="U417" s="19"/>
      <c r="V417" s="19"/>
      <c r="W417" s="19"/>
      <c r="X417" s="19"/>
      <c r="Y417" s="19"/>
      <c r="Z417" s="19"/>
      <c r="AA417" s="19"/>
      <c r="AB417" s="19"/>
      <c r="AC417" s="19"/>
      <c r="AD417" s="19"/>
      <c r="AE417" s="19"/>
      <c r="AF417" s="19"/>
      <c r="AG417" s="19"/>
      <c r="AH417" s="19"/>
      <c r="AI417" s="19"/>
    </row>
    <row r="418" spans="1:35" x14ac:dyDescent="0.35">
      <c r="A418" s="19"/>
      <c r="B418" s="19" t="s">
        <v>634</v>
      </c>
      <c r="C418" s="129"/>
      <c r="D418" s="19"/>
      <c r="E418" s="19"/>
      <c r="G418" s="19"/>
      <c r="H418" s="19"/>
      <c r="I418" s="19"/>
      <c r="J418" s="19"/>
      <c r="K418" s="19"/>
      <c r="L418" s="19"/>
      <c r="M418" s="19"/>
      <c r="N418" s="19"/>
      <c r="O418" s="19"/>
      <c r="P418" s="19"/>
      <c r="Q418" s="19" t="s">
        <v>608</v>
      </c>
      <c r="R418" s="19">
        <v>0.375</v>
      </c>
      <c r="S418" s="19">
        <f>R418*S409</f>
        <v>98.175000000000011</v>
      </c>
      <c r="T418" s="19">
        <f t="shared" si="87"/>
        <v>5.2527011570687602E-3</v>
      </c>
      <c r="U418" s="19"/>
      <c r="V418" s="19"/>
      <c r="W418" s="19"/>
      <c r="X418" s="19"/>
      <c r="Y418" s="19"/>
      <c r="Z418" s="19"/>
      <c r="AA418" s="19"/>
      <c r="AB418" s="19"/>
      <c r="AC418" s="19"/>
      <c r="AD418" s="19"/>
      <c r="AE418" s="19"/>
      <c r="AF418" s="19"/>
      <c r="AG418" s="19"/>
      <c r="AH418" s="19"/>
      <c r="AI418" s="19"/>
    </row>
    <row r="419" spans="1:35" x14ac:dyDescent="0.35">
      <c r="A419" s="19"/>
      <c r="B419" s="19" t="s">
        <v>322</v>
      </c>
      <c r="C419" s="124">
        <v>730</v>
      </c>
      <c r="D419" s="19" t="s">
        <v>323</v>
      </c>
      <c r="E419" s="19"/>
      <c r="G419" s="19"/>
      <c r="H419" s="19"/>
      <c r="I419" s="19"/>
      <c r="J419" s="19"/>
      <c r="K419" s="19"/>
      <c r="L419" s="19"/>
      <c r="M419" s="19"/>
      <c r="N419" s="19"/>
      <c r="O419" s="19"/>
      <c r="P419" s="19"/>
      <c r="Q419" s="19"/>
      <c r="R419" s="19"/>
      <c r="S419" s="19">
        <f>SUM(S416:S418)</f>
        <v>207.90000000000003</v>
      </c>
      <c r="T419" s="19">
        <f>SUM(T416:T418)</f>
        <v>1.2256302699827106E-2</v>
      </c>
      <c r="U419" s="19"/>
      <c r="V419" s="19"/>
      <c r="W419" s="19"/>
      <c r="X419" s="19"/>
      <c r="Y419" s="19"/>
      <c r="Z419" s="19"/>
      <c r="AA419" s="19"/>
      <c r="AB419" s="19"/>
      <c r="AC419" s="19"/>
      <c r="AD419" s="19"/>
      <c r="AE419" s="19"/>
      <c r="AF419" s="19"/>
      <c r="AG419" s="19"/>
      <c r="AH419" s="19"/>
      <c r="AI419" s="19"/>
    </row>
    <row r="420" spans="1:35" x14ac:dyDescent="0.35">
      <c r="A420" s="19"/>
      <c r="B420" s="19" t="s">
        <v>322</v>
      </c>
      <c r="C420" s="124">
        <v>663</v>
      </c>
      <c r="D420" s="19" t="s">
        <v>635</v>
      </c>
      <c r="E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row>
    <row r="421" spans="1:35" x14ac:dyDescent="0.35">
      <c r="A421" s="19"/>
      <c r="B421" s="19" t="s">
        <v>301</v>
      </c>
      <c r="C421" s="159">
        <f>(C398/C419)*C382</f>
        <v>7.0036015427583464E-4</v>
      </c>
      <c r="D421" s="19" t="s">
        <v>721</v>
      </c>
      <c r="E421" s="2552" t="s">
        <v>3383</v>
      </c>
      <c r="F421" s="2610">
        <f>(F398/C419)*C382</f>
        <v>5.3434885844748858E-4</v>
      </c>
      <c r="G421" s="2550" t="s">
        <v>721</v>
      </c>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row>
    <row r="422" spans="1:35" x14ac:dyDescent="0.35">
      <c r="A422" s="19"/>
      <c r="B422" s="19" t="s">
        <v>301</v>
      </c>
      <c r="C422" s="159">
        <f>(C398/C420)*C382</f>
        <v>7.7113561481351319E-4</v>
      </c>
      <c r="D422" s="19" t="s">
        <v>636</v>
      </c>
      <c r="E422" s="2552" t="s">
        <v>3383</v>
      </c>
      <c r="F422" s="2610">
        <f>(F398/C420)*C382</f>
        <v>5.8834791352438409E-4</v>
      </c>
      <c r="G422" s="2550" t="s">
        <v>636</v>
      </c>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row>
    <row r="423" spans="1:35" x14ac:dyDescent="0.35">
      <c r="A423" s="19"/>
      <c r="B423" s="19"/>
      <c r="C423" s="19"/>
      <c r="D423" s="19"/>
      <c r="E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row>
    <row r="424" spans="1:35" x14ac:dyDescent="0.35">
      <c r="A424" s="19"/>
      <c r="B424" s="19" t="s">
        <v>766</v>
      </c>
      <c r="C424" s="19"/>
      <c r="D424" s="19"/>
      <c r="E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row>
    <row r="425" spans="1:35" x14ac:dyDescent="0.35">
      <c r="A425" s="19"/>
      <c r="B425" s="19" t="s">
        <v>638</v>
      </c>
      <c r="C425" s="19">
        <v>0.72</v>
      </c>
      <c r="D425" s="19"/>
      <c r="E425" s="2552" t="s">
        <v>3370</v>
      </c>
      <c r="F425" s="2550">
        <v>0.76500000000000001</v>
      </c>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row>
    <row r="426" spans="1:35" x14ac:dyDescent="0.35">
      <c r="A426" s="19"/>
      <c r="B426" s="19" t="s">
        <v>302</v>
      </c>
      <c r="C426" s="19">
        <f>(((((1/C385-1/(C385+C386))*C387*C388*(1-C389))+((1/C401-1/(C401+C386))*C387*(C402-C388)*(1-C389)))*24*C403)/(C425*100067))*C404</f>
        <v>0.5934848851403377</v>
      </c>
      <c r="D426" s="19"/>
      <c r="E426" s="2575" t="s">
        <v>3371</v>
      </c>
      <c r="F426" s="2611">
        <f>(((((1/C385-1/(C385+C386))*C387*C388*(1-C389))+((1/C401-1/(C401+C386))*C387*(C402-C388)*(1-C389)))*24*C403)/(F425*100067))*C404</f>
        <v>0.55857400954384706</v>
      </c>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row>
    <row r="427" spans="1:35" x14ac:dyDescent="0.35">
      <c r="A427" s="19"/>
      <c r="B427" s="19" t="s">
        <v>639</v>
      </c>
      <c r="C427" s="19" t="s">
        <v>640</v>
      </c>
      <c r="D427" s="19"/>
      <c r="E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row>
    <row r="428" spans="1:35" x14ac:dyDescent="0.35">
      <c r="A428" s="19"/>
      <c r="B428" s="19" t="s">
        <v>641</v>
      </c>
      <c r="C428" s="19">
        <v>3.1399999999999997E-2</v>
      </c>
      <c r="D428" s="19"/>
      <c r="E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row>
    <row r="429" spans="1:35" x14ac:dyDescent="0.35">
      <c r="A429" s="19"/>
      <c r="B429" s="19" t="s">
        <v>342</v>
      </c>
      <c r="C429" s="19">
        <f>ROUND(C426*C428*29.3,2)</f>
        <v>0.55000000000000004</v>
      </c>
      <c r="D429" s="19"/>
      <c r="E429" s="2575" t="s">
        <v>3372</v>
      </c>
      <c r="F429" s="2575">
        <f>ROUND(F426*C428*29.3,2)</f>
        <v>0.51</v>
      </c>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row>
    <row r="430" spans="1:35" ht="15" thickBot="1" x14ac:dyDescent="0.4">
      <c r="A430" s="19"/>
      <c r="B430" s="19"/>
      <c r="C430" s="19"/>
      <c r="D430" s="19"/>
      <c r="E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row>
    <row r="431" spans="1:35" x14ac:dyDescent="0.35">
      <c r="A431" s="19"/>
      <c r="B431" s="2552" t="s">
        <v>3381</v>
      </c>
      <c r="C431" s="19"/>
      <c r="D431" s="19"/>
      <c r="E431" s="2622" t="s">
        <v>3380</v>
      </c>
      <c r="F431" s="2555"/>
      <c r="G431" s="2556"/>
      <c r="H431" s="234"/>
      <c r="I431" s="19"/>
      <c r="J431" s="2639" t="s">
        <v>764</v>
      </c>
      <c r="K431" s="2640" t="s">
        <v>285</v>
      </c>
      <c r="L431" s="2640" t="s">
        <v>286</v>
      </c>
      <c r="M431" s="2640" t="s">
        <v>590</v>
      </c>
      <c r="N431" s="2640" t="s">
        <v>568</v>
      </c>
      <c r="O431" s="2640" t="s">
        <v>591</v>
      </c>
      <c r="P431" s="2640" t="s">
        <v>592</v>
      </c>
      <c r="Q431" s="2640" t="s">
        <v>593</v>
      </c>
      <c r="R431" s="2640" t="s">
        <v>342</v>
      </c>
      <c r="S431" s="2641" t="s">
        <v>342</v>
      </c>
      <c r="T431" s="2640" t="s">
        <v>301</v>
      </c>
      <c r="U431" s="2641" t="s">
        <v>301</v>
      </c>
      <c r="V431" s="2640" t="s">
        <v>596</v>
      </c>
      <c r="W431" s="2641" t="s">
        <v>596</v>
      </c>
      <c r="X431" s="2640"/>
      <c r="Y431" s="2640"/>
      <c r="Z431" s="2640"/>
      <c r="AA431" s="2640"/>
      <c r="AB431" s="2642" t="s">
        <v>599</v>
      </c>
      <c r="AC431" s="19"/>
      <c r="AD431" s="19"/>
      <c r="AE431" s="19"/>
      <c r="AF431" s="19"/>
      <c r="AG431" s="19"/>
      <c r="AH431" s="19"/>
      <c r="AI431" s="19"/>
    </row>
    <row r="432" spans="1:35" x14ac:dyDescent="0.35">
      <c r="A432" s="27" t="str">
        <f t="shared" ref="A432:A443" si="88">D432&amp;"_"&amp;B432</f>
        <v>kWh_Gas Heat w/AC</v>
      </c>
      <c r="B432" s="19" t="s">
        <v>602</v>
      </c>
      <c r="C432" s="26">
        <f>C413+C429</f>
        <v>1.1100000000000001</v>
      </c>
      <c r="D432" s="19" t="s">
        <v>342</v>
      </c>
      <c r="E432" s="2632" t="s">
        <v>602</v>
      </c>
      <c r="F432" s="36">
        <f>F413+F429</f>
        <v>0.94</v>
      </c>
      <c r="G432" s="2633" t="s">
        <v>342</v>
      </c>
      <c r="H432" s="218"/>
      <c r="I432" s="19"/>
      <c r="J432" s="615" t="str">
        <f>K432&amp;"_"&amp;O432</f>
        <v>Low Income_Gas Heat w/AC</v>
      </c>
      <c r="K432" s="616" t="s">
        <v>7</v>
      </c>
      <c r="L432" s="617" t="s">
        <v>1</v>
      </c>
      <c r="M432" s="616" t="s">
        <v>765</v>
      </c>
      <c r="N432" s="616" t="s">
        <v>765</v>
      </c>
      <c r="O432" s="616" t="s">
        <v>602</v>
      </c>
      <c r="P432" s="618">
        <f>$C$380</f>
        <v>20</v>
      </c>
      <c r="Q432" s="616">
        <v>0</v>
      </c>
      <c r="R432" s="619">
        <f>INDEX($F$432:$F$443,MATCH($R$405&amp;"_"&amp;$O432,$A$432:$A$443,0))</f>
        <v>0.94</v>
      </c>
      <c r="S432" s="248">
        <f>P432*R432</f>
        <v>18.799999999999997</v>
      </c>
      <c r="T432" s="620">
        <f>INDEX($F$432:$F$443,MATCH($T$405&amp;"_"&amp;$O432,$A$432:$A$443,0))</f>
        <v>5.3434885844748858E-4</v>
      </c>
      <c r="U432" s="619">
        <f>P432*T432</f>
        <v>1.0686977168949771E-2</v>
      </c>
      <c r="V432" s="619">
        <f>INDEX($F$432:$F$443,MATCH($V$405&amp;"_"&amp;$O432,$A$432:$A$443,0))</f>
        <v>0.55857400954384706</v>
      </c>
      <c r="W432" s="248">
        <f>P432*V432</f>
        <v>11.171480190876942</v>
      </c>
      <c r="X432" s="234"/>
      <c r="Y432" s="234"/>
      <c r="Z432" s="162"/>
      <c r="AA432" s="234"/>
      <c r="AB432" s="137" t="s">
        <v>465</v>
      </c>
      <c r="AC432" s="19"/>
      <c r="AD432" s="19"/>
      <c r="AE432" s="19"/>
      <c r="AF432" s="19"/>
      <c r="AG432" s="19"/>
      <c r="AH432" s="19"/>
      <c r="AI432" s="19"/>
    </row>
    <row r="433" spans="1:35" x14ac:dyDescent="0.35">
      <c r="A433" s="27" t="str">
        <f t="shared" si="88"/>
        <v>kWh_Heat pump</v>
      </c>
      <c r="B433" s="19" t="s">
        <v>604</v>
      </c>
      <c r="C433" s="26">
        <f>C414</f>
        <v>7.84</v>
      </c>
      <c r="D433" s="19" t="s">
        <v>342</v>
      </c>
      <c r="E433" s="2632" t="s">
        <v>604</v>
      </c>
      <c r="F433" s="36">
        <f>F414</f>
        <v>6.7</v>
      </c>
      <c r="G433" s="2633" t="s">
        <v>342</v>
      </c>
      <c r="H433" s="218"/>
      <c r="I433" s="19"/>
      <c r="J433" s="615" t="str">
        <f t="shared" ref="J433:J439" si="89">K433&amp;"_"&amp;L433&amp;"_"&amp;N433</f>
        <v>Low Income_Single Family_Crawl Space</v>
      </c>
      <c r="K433" s="616" t="s">
        <v>7</v>
      </c>
      <c r="L433" s="617" t="s">
        <v>1</v>
      </c>
      <c r="M433" s="616" t="s">
        <v>765</v>
      </c>
      <c r="N433" s="616" t="s">
        <v>765</v>
      </c>
      <c r="O433" s="616" t="s">
        <v>604</v>
      </c>
      <c r="P433" s="618">
        <f t="shared" ref="P433:P439" si="90">$C$380</f>
        <v>20</v>
      </c>
      <c r="Q433" s="616">
        <v>0</v>
      </c>
      <c r="R433" s="619">
        <f t="shared" ref="R433:R439" si="91">INDEX($F$432:$F$443,MATCH($R$405&amp;"_"&amp;$O433,$A$432:$A$443,0))</f>
        <v>6.7</v>
      </c>
      <c r="S433" s="248">
        <f t="shared" ref="S433:S439" si="92">P433*R433</f>
        <v>134</v>
      </c>
      <c r="T433" s="620">
        <f t="shared" ref="T433:T439" si="93">INDEX($F$432:$F$443,MATCH($T$405&amp;"_"&amp;$O433,$A$432:$A$443,0))</f>
        <v>5.3434885844748858E-4</v>
      </c>
      <c r="U433" s="619">
        <f t="shared" ref="U433:U439" si="94">P433*T433</f>
        <v>1.0686977168949771E-2</v>
      </c>
      <c r="V433" s="619">
        <f t="shared" ref="V433:V439" si="95">INDEX($F$432:$F$443,MATCH($V$405&amp;"_"&amp;$O433,$A$432:$A$443,0))</f>
        <v>0</v>
      </c>
      <c r="W433" s="248">
        <f t="shared" ref="W433:W439" si="96">P433*V433</f>
        <v>0</v>
      </c>
      <c r="X433" s="234"/>
      <c r="Y433" s="234"/>
      <c r="Z433" s="162"/>
      <c r="AA433" s="234"/>
      <c r="AB433" s="227" t="s">
        <v>465</v>
      </c>
      <c r="AC433" s="19"/>
      <c r="AD433" s="19"/>
      <c r="AE433" s="19"/>
      <c r="AF433" s="19"/>
      <c r="AG433" s="19"/>
      <c r="AH433" s="19"/>
      <c r="AI433" s="19"/>
    </row>
    <row r="434" spans="1:35" x14ac:dyDescent="0.35">
      <c r="A434" s="27" t="str">
        <f t="shared" si="88"/>
        <v>kWh_Resistance, heat only</v>
      </c>
      <c r="B434" s="19" t="s">
        <v>606</v>
      </c>
      <c r="C434" s="26">
        <f>C415</f>
        <v>12.53</v>
      </c>
      <c r="D434" s="19" t="s">
        <v>342</v>
      </c>
      <c r="E434" s="2632" t="s">
        <v>606</v>
      </c>
      <c r="F434" s="36">
        <f>F415</f>
        <v>12.53</v>
      </c>
      <c r="G434" s="2633" t="s">
        <v>342</v>
      </c>
      <c r="H434" s="218"/>
      <c r="I434" s="19"/>
      <c r="J434" s="615" t="str">
        <f t="shared" si="89"/>
        <v>Low Income_Single Family_Crawl Space</v>
      </c>
      <c r="K434" s="616" t="s">
        <v>7</v>
      </c>
      <c r="L434" s="617" t="s">
        <v>1</v>
      </c>
      <c r="M434" s="616" t="s">
        <v>765</v>
      </c>
      <c r="N434" s="616" t="s">
        <v>765</v>
      </c>
      <c r="O434" s="616" t="s">
        <v>606</v>
      </c>
      <c r="P434" s="618">
        <f t="shared" si="90"/>
        <v>20</v>
      </c>
      <c r="Q434" s="616">
        <v>0</v>
      </c>
      <c r="R434" s="619">
        <f t="shared" si="91"/>
        <v>12.53</v>
      </c>
      <c r="S434" s="248">
        <f t="shared" si="92"/>
        <v>250.6</v>
      </c>
      <c r="T434" s="620">
        <f t="shared" si="93"/>
        <v>0</v>
      </c>
      <c r="U434" s="619">
        <f t="shared" si="94"/>
        <v>0</v>
      </c>
      <c r="V434" s="619">
        <f t="shared" si="95"/>
        <v>0</v>
      </c>
      <c r="W434" s="248">
        <f t="shared" si="96"/>
        <v>0</v>
      </c>
      <c r="X434" s="234"/>
      <c r="Y434" s="234"/>
      <c r="Z434" s="162"/>
      <c r="AA434" s="234"/>
      <c r="AB434" s="227" t="s">
        <v>465</v>
      </c>
      <c r="AC434" s="19"/>
      <c r="AD434" s="19"/>
      <c r="AE434" s="19"/>
      <c r="AF434" s="19"/>
      <c r="AG434" s="19"/>
      <c r="AH434" s="19"/>
      <c r="AI434" s="19"/>
    </row>
    <row r="435" spans="1:35" x14ac:dyDescent="0.35">
      <c r="A435" s="27" t="str">
        <f t="shared" si="88"/>
        <v>kWh_Resistance w/ AC</v>
      </c>
      <c r="B435" s="19" t="s">
        <v>608</v>
      </c>
      <c r="C435" s="26">
        <f>C416</f>
        <v>13.09</v>
      </c>
      <c r="D435" s="19" t="s">
        <v>342</v>
      </c>
      <c r="E435" s="2632" t="s">
        <v>608</v>
      </c>
      <c r="F435" s="36">
        <f>F416</f>
        <v>13.09</v>
      </c>
      <c r="G435" s="2633" t="s">
        <v>342</v>
      </c>
      <c r="H435" s="218"/>
      <c r="I435" s="19"/>
      <c r="J435" s="615" t="str">
        <f t="shared" si="89"/>
        <v>Low Income_Single Family_Crawl Space</v>
      </c>
      <c r="K435" s="616" t="s">
        <v>7</v>
      </c>
      <c r="L435" s="617" t="s">
        <v>1</v>
      </c>
      <c r="M435" s="616" t="s">
        <v>765</v>
      </c>
      <c r="N435" s="616" t="s">
        <v>765</v>
      </c>
      <c r="O435" s="616" t="s">
        <v>608</v>
      </c>
      <c r="P435" s="618">
        <f t="shared" si="90"/>
        <v>20</v>
      </c>
      <c r="Q435" s="616">
        <v>0</v>
      </c>
      <c r="R435" s="619">
        <f t="shared" si="91"/>
        <v>13.09</v>
      </c>
      <c r="S435" s="248">
        <f t="shared" si="92"/>
        <v>261.8</v>
      </c>
      <c r="T435" s="620">
        <f t="shared" si="93"/>
        <v>5.3434885844748858E-4</v>
      </c>
      <c r="U435" s="619">
        <f t="shared" si="94"/>
        <v>1.0686977168949771E-2</v>
      </c>
      <c r="V435" s="619">
        <f t="shared" si="95"/>
        <v>0</v>
      </c>
      <c r="W435" s="248">
        <f t="shared" si="96"/>
        <v>0</v>
      </c>
      <c r="X435" s="234"/>
      <c r="Y435" s="234"/>
      <c r="Z435" s="162"/>
      <c r="AA435" s="234"/>
      <c r="AB435" s="227" t="s">
        <v>465</v>
      </c>
      <c r="AC435" s="19"/>
      <c r="AD435" s="19"/>
      <c r="AE435" s="19"/>
      <c r="AF435" s="19"/>
      <c r="AG435" s="19"/>
      <c r="AH435" s="19"/>
      <c r="AI435" s="19"/>
    </row>
    <row r="436" spans="1:35" x14ac:dyDescent="0.35">
      <c r="A436" s="27" t="str">
        <f t="shared" si="88"/>
        <v>kW_Gas Heat w/AC</v>
      </c>
      <c r="B436" s="19" t="s">
        <v>602</v>
      </c>
      <c r="C436" s="140">
        <f>$C$421</f>
        <v>7.0036015427583464E-4</v>
      </c>
      <c r="D436" s="121" t="s">
        <v>301</v>
      </c>
      <c r="E436" s="2632" t="s">
        <v>602</v>
      </c>
      <c r="F436" s="267">
        <f>$F$421</f>
        <v>5.3434885844748858E-4</v>
      </c>
      <c r="G436" s="2634" t="s">
        <v>301</v>
      </c>
      <c r="H436" s="218"/>
      <c r="I436" s="19"/>
      <c r="J436" s="133" t="str">
        <f t="shared" si="89"/>
        <v>Market Rate_Single Family_Crawl Space</v>
      </c>
      <c r="K436" s="234" t="s">
        <v>44</v>
      </c>
      <c r="L436" s="238" t="s">
        <v>1</v>
      </c>
      <c r="M436" s="234" t="s">
        <v>765</v>
      </c>
      <c r="N436" s="234" t="s">
        <v>765</v>
      </c>
      <c r="O436" s="234" t="s">
        <v>602</v>
      </c>
      <c r="P436" s="135">
        <f t="shared" si="90"/>
        <v>20</v>
      </c>
      <c r="Q436" s="234">
        <v>0</v>
      </c>
      <c r="R436" s="36">
        <f t="shared" si="91"/>
        <v>0.94</v>
      </c>
      <c r="S436" s="248">
        <f t="shared" si="92"/>
        <v>18.799999999999997</v>
      </c>
      <c r="T436" s="267">
        <f t="shared" si="93"/>
        <v>5.3434885844748858E-4</v>
      </c>
      <c r="U436" s="248">
        <f t="shared" si="94"/>
        <v>1.0686977168949771E-2</v>
      </c>
      <c r="V436" s="36">
        <f t="shared" si="95"/>
        <v>0.55857400954384706</v>
      </c>
      <c r="W436" s="248">
        <f t="shared" si="96"/>
        <v>11.171480190876942</v>
      </c>
      <c r="X436" s="234"/>
      <c r="Y436" s="234"/>
      <c r="Z436" s="162"/>
      <c r="AA436" s="234"/>
      <c r="AB436" s="227" t="s">
        <v>465</v>
      </c>
      <c r="AC436" s="19"/>
      <c r="AD436" s="19"/>
      <c r="AE436" s="19"/>
      <c r="AF436" s="19"/>
      <c r="AG436" s="19"/>
      <c r="AH436" s="19"/>
      <c r="AI436" s="19"/>
    </row>
    <row r="437" spans="1:35" x14ac:dyDescent="0.35">
      <c r="A437" s="27" t="str">
        <f t="shared" si="88"/>
        <v>kW_Heat pump</v>
      </c>
      <c r="B437" s="19" t="s">
        <v>604</v>
      </c>
      <c r="C437" s="140">
        <f>$C$421</f>
        <v>7.0036015427583464E-4</v>
      </c>
      <c r="D437" s="19" t="s">
        <v>301</v>
      </c>
      <c r="E437" s="2632" t="s">
        <v>604</v>
      </c>
      <c r="F437" s="267">
        <f>$F$421</f>
        <v>5.3434885844748858E-4</v>
      </c>
      <c r="G437" s="2633" t="s">
        <v>301</v>
      </c>
      <c r="H437" s="218"/>
      <c r="I437" s="19"/>
      <c r="J437" s="133" t="str">
        <f t="shared" si="89"/>
        <v>Market Rate_Single Family_Crawl Space</v>
      </c>
      <c r="K437" s="234" t="s">
        <v>44</v>
      </c>
      <c r="L437" s="238" t="s">
        <v>1</v>
      </c>
      <c r="M437" s="234" t="s">
        <v>765</v>
      </c>
      <c r="N437" s="234" t="s">
        <v>765</v>
      </c>
      <c r="O437" s="234" t="s">
        <v>604</v>
      </c>
      <c r="P437" s="135">
        <f t="shared" si="90"/>
        <v>20</v>
      </c>
      <c r="Q437" s="234">
        <v>0</v>
      </c>
      <c r="R437" s="36">
        <f t="shared" si="91"/>
        <v>6.7</v>
      </c>
      <c r="S437" s="248">
        <f t="shared" si="92"/>
        <v>134</v>
      </c>
      <c r="T437" s="267">
        <f t="shared" si="93"/>
        <v>5.3434885844748858E-4</v>
      </c>
      <c r="U437" s="248">
        <f t="shared" si="94"/>
        <v>1.0686977168949771E-2</v>
      </c>
      <c r="V437" s="36">
        <f t="shared" si="95"/>
        <v>0</v>
      </c>
      <c r="W437" s="248">
        <f t="shared" si="96"/>
        <v>0</v>
      </c>
      <c r="X437" s="234"/>
      <c r="Y437" s="234"/>
      <c r="Z437" s="162"/>
      <c r="AA437" s="234"/>
      <c r="AB437" s="227" t="s">
        <v>465</v>
      </c>
      <c r="AC437" s="19"/>
      <c r="AD437" s="19"/>
      <c r="AE437" s="19"/>
      <c r="AF437" s="19"/>
      <c r="AG437" s="19"/>
      <c r="AH437" s="19"/>
      <c r="AI437" s="19"/>
    </row>
    <row r="438" spans="1:35" x14ac:dyDescent="0.35">
      <c r="A438" s="27" t="str">
        <f t="shared" si="88"/>
        <v>kW_Resistance, heat only</v>
      </c>
      <c r="B438" s="19" t="s">
        <v>606</v>
      </c>
      <c r="C438" s="19">
        <v>0</v>
      </c>
      <c r="D438" s="19" t="s">
        <v>301</v>
      </c>
      <c r="E438" s="2632" t="s">
        <v>606</v>
      </c>
      <c r="F438" s="35">
        <v>0</v>
      </c>
      <c r="G438" s="2633" t="s">
        <v>301</v>
      </c>
      <c r="H438" s="218"/>
      <c r="I438" s="19"/>
      <c r="J438" s="133" t="str">
        <f t="shared" si="89"/>
        <v>Market Rate_Single Family_Crawl Space</v>
      </c>
      <c r="K438" s="234" t="s">
        <v>44</v>
      </c>
      <c r="L438" s="238" t="s">
        <v>1</v>
      </c>
      <c r="M438" s="234" t="s">
        <v>765</v>
      </c>
      <c r="N438" s="234" t="s">
        <v>765</v>
      </c>
      <c r="O438" s="234" t="s">
        <v>606</v>
      </c>
      <c r="P438" s="135">
        <f t="shared" si="90"/>
        <v>20</v>
      </c>
      <c r="Q438" s="234">
        <v>0</v>
      </c>
      <c r="R438" s="36">
        <f t="shared" si="91"/>
        <v>12.53</v>
      </c>
      <c r="S438" s="248">
        <f t="shared" si="92"/>
        <v>250.6</v>
      </c>
      <c r="T438" s="267">
        <f t="shared" si="93"/>
        <v>0</v>
      </c>
      <c r="U438" s="248">
        <f t="shared" si="94"/>
        <v>0</v>
      </c>
      <c r="V438" s="36">
        <f t="shared" si="95"/>
        <v>0</v>
      </c>
      <c r="W438" s="248">
        <f t="shared" si="96"/>
        <v>0</v>
      </c>
      <c r="X438" s="234"/>
      <c r="Y438" s="234"/>
      <c r="Z438" s="162"/>
      <c r="AA438" s="234"/>
      <c r="AB438" s="227" t="s">
        <v>465</v>
      </c>
      <c r="AC438" s="19"/>
      <c r="AD438" s="19"/>
      <c r="AE438" s="19"/>
      <c r="AF438" s="19"/>
      <c r="AG438" s="19"/>
      <c r="AH438" s="19"/>
      <c r="AI438" s="19"/>
    </row>
    <row r="439" spans="1:35" x14ac:dyDescent="0.35">
      <c r="A439" s="27" t="str">
        <f t="shared" si="88"/>
        <v>kW_Resistance w/ AC</v>
      </c>
      <c r="B439" s="19" t="s">
        <v>608</v>
      </c>
      <c r="C439" s="140">
        <f>$C$421</f>
        <v>7.0036015427583464E-4</v>
      </c>
      <c r="D439" s="19" t="s">
        <v>301</v>
      </c>
      <c r="E439" s="2632" t="s">
        <v>608</v>
      </c>
      <c r="F439" s="267">
        <f>$F$421</f>
        <v>5.3434885844748858E-4</v>
      </c>
      <c r="G439" s="2633" t="s">
        <v>301</v>
      </c>
      <c r="H439" s="218"/>
      <c r="I439" s="19"/>
      <c r="J439" s="142" t="str">
        <f t="shared" si="89"/>
        <v>Market Rate_Single Family_Crawl Space</v>
      </c>
      <c r="K439" s="143" t="s">
        <v>44</v>
      </c>
      <c r="L439" s="281" t="s">
        <v>1</v>
      </c>
      <c r="M439" s="143" t="s">
        <v>765</v>
      </c>
      <c r="N439" s="143" t="s">
        <v>765</v>
      </c>
      <c r="O439" s="143" t="s">
        <v>608</v>
      </c>
      <c r="P439" s="144">
        <f t="shared" si="90"/>
        <v>20</v>
      </c>
      <c r="Q439" s="143">
        <v>0</v>
      </c>
      <c r="R439" s="264">
        <f t="shared" si="91"/>
        <v>13.09</v>
      </c>
      <c r="S439" s="249">
        <f t="shared" si="92"/>
        <v>261.8</v>
      </c>
      <c r="T439" s="268">
        <f t="shared" si="93"/>
        <v>5.3434885844748858E-4</v>
      </c>
      <c r="U439" s="249">
        <f t="shared" si="94"/>
        <v>1.0686977168949771E-2</v>
      </c>
      <c r="V439" s="264">
        <f t="shared" si="95"/>
        <v>0</v>
      </c>
      <c r="W439" s="249">
        <f t="shared" si="96"/>
        <v>0</v>
      </c>
      <c r="X439" s="143"/>
      <c r="Y439" s="143"/>
      <c r="Z439" s="163"/>
      <c r="AA439" s="143"/>
      <c r="AB439" s="228" t="s">
        <v>465</v>
      </c>
      <c r="AC439" s="19"/>
      <c r="AD439" s="19"/>
      <c r="AE439" s="19"/>
      <c r="AF439" s="19"/>
      <c r="AG439" s="19"/>
      <c r="AH439" s="19"/>
      <c r="AI439" s="19"/>
    </row>
    <row r="440" spans="1:35" x14ac:dyDescent="0.35">
      <c r="A440" s="27" t="str">
        <f t="shared" si="88"/>
        <v>therm_Gas Heat w/AC</v>
      </c>
      <c r="B440" s="19" t="s">
        <v>602</v>
      </c>
      <c r="C440" s="19">
        <f>$C$426</f>
        <v>0.5934848851403377</v>
      </c>
      <c r="D440" s="121" t="s">
        <v>418</v>
      </c>
      <c r="E440" s="2632" t="s">
        <v>602</v>
      </c>
      <c r="F440" s="2638">
        <f>$F$426</f>
        <v>0.55857400954384706</v>
      </c>
      <c r="G440" s="2634" t="s">
        <v>418</v>
      </c>
      <c r="H440" s="218"/>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row>
    <row r="441" spans="1:35" x14ac:dyDescent="0.35">
      <c r="A441" s="27" t="str">
        <f t="shared" si="88"/>
        <v>therm_Heat pump</v>
      </c>
      <c r="B441" s="19" t="s">
        <v>604</v>
      </c>
      <c r="C441" s="19">
        <v>0</v>
      </c>
      <c r="D441" s="19" t="s">
        <v>418</v>
      </c>
      <c r="E441" s="2632" t="s">
        <v>604</v>
      </c>
      <c r="F441" s="35">
        <v>0</v>
      </c>
      <c r="G441" s="2633" t="s">
        <v>418</v>
      </c>
      <c r="H441" s="218"/>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row>
    <row r="442" spans="1:35" x14ac:dyDescent="0.35">
      <c r="A442" s="27" t="str">
        <f t="shared" si="88"/>
        <v>therm_Resistance, heat only</v>
      </c>
      <c r="B442" s="19" t="s">
        <v>606</v>
      </c>
      <c r="C442" s="19">
        <v>0</v>
      </c>
      <c r="D442" s="19" t="s">
        <v>418</v>
      </c>
      <c r="E442" s="2632" t="s">
        <v>606</v>
      </c>
      <c r="F442" s="35">
        <v>0</v>
      </c>
      <c r="G442" s="2633" t="s">
        <v>418</v>
      </c>
      <c r="H442" s="218"/>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row>
    <row r="443" spans="1:35" ht="15" thickBot="1" x14ac:dyDescent="0.4">
      <c r="A443" s="27" t="str">
        <f t="shared" si="88"/>
        <v>therm_Resistance w/ AC</v>
      </c>
      <c r="B443" s="19" t="s">
        <v>608</v>
      </c>
      <c r="C443" s="19">
        <v>0</v>
      </c>
      <c r="D443" s="19" t="s">
        <v>418</v>
      </c>
      <c r="E443" s="2635" t="s">
        <v>608</v>
      </c>
      <c r="F443" s="2636">
        <v>0</v>
      </c>
      <c r="G443" s="2637" t="s">
        <v>418</v>
      </c>
      <c r="H443" s="218"/>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row>
  </sheetData>
  <mergeCells count="1">
    <mergeCell ref="J4:J6"/>
  </mergeCells>
  <pageMargins left="0.7" right="0.7" top="0.75" bottom="0.75" header="0.3" footer="0.3"/>
  <pageSetup scale="18" fitToHeight="3" orientation="portrait" r:id="rId1"/>
  <headerFooter>
    <oddHeader>&amp;LAppendix G (Rev.)&amp;CRes Shell</oddHead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pageSetUpPr fitToPage="1"/>
  </sheetPr>
  <dimension ref="A1:AG241"/>
  <sheetViews>
    <sheetView zoomScale="80" zoomScaleNormal="80" workbookViewId="0"/>
  </sheetViews>
  <sheetFormatPr defaultColWidth="8.81640625" defaultRowHeight="14.5" x14ac:dyDescent="0.35"/>
  <cols>
    <col min="1" max="1" width="30" style="39" customWidth="1"/>
    <col min="2" max="2" width="40" style="39" customWidth="1"/>
    <col min="3" max="3" width="12.81640625" style="39" customWidth="1"/>
    <col min="4" max="6" width="12.7265625" style="39" customWidth="1"/>
    <col min="7" max="7" width="14.54296875" style="39" bestFit="1" customWidth="1"/>
    <col min="8" max="9" width="13.54296875" style="39" customWidth="1"/>
    <col min="10" max="10" width="11.7265625" style="39" customWidth="1"/>
    <col min="11" max="11" width="11.81640625" style="39" customWidth="1"/>
    <col min="12" max="12" width="24.1796875" style="39" customWidth="1"/>
    <col min="13" max="13" width="17.26953125" style="39" customWidth="1"/>
    <col min="14" max="14" width="15.26953125" style="39" customWidth="1"/>
    <col min="15" max="16" width="16.7265625" style="39" customWidth="1"/>
    <col min="17" max="17" width="11.26953125" style="39" customWidth="1"/>
    <col min="18" max="18" width="11.54296875" style="39" customWidth="1"/>
    <col min="19" max="19" width="10.81640625" style="39" customWidth="1"/>
    <col min="20" max="16384" width="8.81640625" style="39"/>
  </cols>
  <sheetData>
    <row r="1" spans="1:20" ht="39.5" x14ac:dyDescent="0.35">
      <c r="A1" s="2569" t="s">
        <v>505</v>
      </c>
      <c r="B1" s="2569" t="s">
        <v>506</v>
      </c>
      <c r="N1" s="2590" t="s">
        <v>353</v>
      </c>
      <c r="O1" s="2590" t="s">
        <v>507</v>
      </c>
      <c r="P1" s="2590" t="s">
        <v>508</v>
      </c>
    </row>
    <row r="2" spans="1:20" x14ac:dyDescent="0.35">
      <c r="N2" s="41" t="s">
        <v>354</v>
      </c>
      <c r="O2" s="100">
        <v>21748</v>
      </c>
      <c r="P2" s="100">
        <v>12793</v>
      </c>
    </row>
    <row r="3" spans="1:20" x14ac:dyDescent="0.35">
      <c r="B3" s="39" t="s">
        <v>509</v>
      </c>
      <c r="N3" s="41" t="s">
        <v>355</v>
      </c>
      <c r="O3" s="100">
        <v>20778</v>
      </c>
      <c r="P3" s="100">
        <v>12222</v>
      </c>
    </row>
    <row r="4" spans="1:20" x14ac:dyDescent="0.35">
      <c r="C4" s="39" t="s">
        <v>510</v>
      </c>
      <c r="N4" s="41" t="s">
        <v>356</v>
      </c>
      <c r="O4" s="100">
        <v>17794</v>
      </c>
      <c r="P4" s="100">
        <v>10467</v>
      </c>
    </row>
    <row r="5" spans="1:20" x14ac:dyDescent="0.35">
      <c r="C5" s="39" t="s">
        <v>511</v>
      </c>
      <c r="N5" s="41" t="s">
        <v>357</v>
      </c>
      <c r="O5" s="100">
        <v>13726</v>
      </c>
      <c r="P5" s="100">
        <v>8074</v>
      </c>
    </row>
    <row r="6" spans="1:20" x14ac:dyDescent="0.35">
      <c r="B6" s="39" t="s">
        <v>515</v>
      </c>
      <c r="N6" s="41" t="s">
        <v>358</v>
      </c>
      <c r="O6" s="100">
        <v>13970</v>
      </c>
      <c r="P6" s="100">
        <v>8218</v>
      </c>
    </row>
    <row r="7" spans="1:20" x14ac:dyDescent="0.35">
      <c r="B7" s="39" t="s">
        <v>516</v>
      </c>
      <c r="N7" s="41" t="s">
        <v>359</v>
      </c>
      <c r="O7" s="100">
        <v>19749</v>
      </c>
      <c r="P7" s="100">
        <v>11617</v>
      </c>
    </row>
    <row r="9" spans="1:20" ht="15.5" x14ac:dyDescent="0.35">
      <c r="L9" s="39" t="s">
        <v>8</v>
      </c>
      <c r="O9" s="39" t="s">
        <v>512</v>
      </c>
      <c r="P9" s="39" t="s">
        <v>513</v>
      </c>
      <c r="Q9" s="39" t="s">
        <v>300</v>
      </c>
      <c r="R9" s="39" t="s">
        <v>514</v>
      </c>
      <c r="S9" s="117" t="s">
        <v>409</v>
      </c>
      <c r="T9" s="117" t="s">
        <v>413</v>
      </c>
    </row>
    <row r="10" spans="1:20" ht="15.5" x14ac:dyDescent="0.35">
      <c r="B10" s="1" t="s">
        <v>360</v>
      </c>
      <c r="C10" s="2585">
        <v>11</v>
      </c>
      <c r="D10" s="39" t="s">
        <v>361</v>
      </c>
      <c r="M10" s="39" t="s">
        <v>315</v>
      </c>
      <c r="O10" s="85">
        <f>C28</f>
        <v>0</v>
      </c>
      <c r="P10" s="85">
        <f>+($O10*$C$32*29.3)</f>
        <v>0</v>
      </c>
      <c r="Q10" s="85">
        <f>($C$14*$C$18*$C$21*$C$23*$C$25)</f>
        <v>585.10529999999994</v>
      </c>
      <c r="R10" s="85">
        <f>+($P$24*(($C$35*$F$35*(1/$D$38)/1000)*$C$40*$C$25))</f>
        <v>151.78654718086764</v>
      </c>
      <c r="S10" s="118">
        <f>SUM(P10:R10)</f>
        <v>736.89184718086756</v>
      </c>
      <c r="T10" s="118">
        <f>($C$40*$C$36*(1/$D$41))/1000*$C$25*$C$12</f>
        <v>0.10689122807017543</v>
      </c>
    </row>
    <row r="11" spans="1:20" ht="15.5" x14ac:dyDescent="0.35">
      <c r="B11" s="39" t="s">
        <v>489</v>
      </c>
      <c r="C11" s="102">
        <v>175</v>
      </c>
      <c r="M11" s="39" t="s">
        <v>517</v>
      </c>
      <c r="O11" s="85">
        <f>C28</f>
        <v>0</v>
      </c>
      <c r="P11" s="85">
        <f>+($O11*$C$32*29.3)</f>
        <v>0</v>
      </c>
      <c r="Q11" s="85">
        <f>($C$14*$C$17*$C$21*$C$23*$C$25)</f>
        <v>994.68459999999993</v>
      </c>
      <c r="R11" s="85">
        <f>+($P$25*(($C$35*$F$35*(1/$D$39)/1000)*$C$40*$C$25))</f>
        <v>0</v>
      </c>
      <c r="S11" s="118">
        <f>SUM(P11:R11)</f>
        <v>994.68459999999993</v>
      </c>
      <c r="T11" s="118">
        <v>0</v>
      </c>
    </row>
    <row r="12" spans="1:20" ht="15.5" x14ac:dyDescent="0.35">
      <c r="B12" s="40" t="s">
        <v>362</v>
      </c>
      <c r="C12" s="103">
        <v>0.34</v>
      </c>
      <c r="M12" s="39" t="s">
        <v>518</v>
      </c>
      <c r="O12" s="85">
        <f>C28</f>
        <v>0</v>
      </c>
      <c r="P12" s="85">
        <f>+($O12*$C$32*29.3)</f>
        <v>0</v>
      </c>
      <c r="Q12" s="85">
        <f>($C$14*$C$17*$C$21*$C$23*$C$25)</f>
        <v>994.68459999999993</v>
      </c>
      <c r="R12" s="85">
        <f>+($P$24*(($C$35*$F$35*(1/$D$39)/1000)*$C$40*$C$25))</f>
        <v>160.9643384057573</v>
      </c>
      <c r="S12" s="118">
        <f>SUM(P12:R12)</f>
        <v>1155.6489384057572</v>
      </c>
      <c r="T12" s="118">
        <f>($C$40*$C$36*(1/$D$42))/1000*$C$25*$C$12</f>
        <v>0.11213742331288343</v>
      </c>
    </row>
    <row r="13" spans="1:20" ht="15.5" x14ac:dyDescent="0.35">
      <c r="B13" s="40" t="s">
        <v>520</v>
      </c>
      <c r="C13" s="104">
        <v>0.23300000000000001</v>
      </c>
      <c r="M13" s="39" t="s">
        <v>425</v>
      </c>
      <c r="O13" s="85">
        <f>C31</f>
        <v>48.129899999999999</v>
      </c>
      <c r="P13" s="85">
        <f>+($O13*$C$32*29.3)</f>
        <v>44.280470597999994</v>
      </c>
      <c r="Q13" s="85">
        <f>($C$15*$C$17*$C$21*$C$23*$C$25)</f>
        <v>0</v>
      </c>
      <c r="R13" s="85">
        <f>+($P$24*(($C$35*$F$35*(1/$D$39)/1000)*$C$40*$C$25))</f>
        <v>160.9643384057573</v>
      </c>
      <c r="S13" s="118">
        <f>SUM(P13:R13)</f>
        <v>205.2448090037573</v>
      </c>
      <c r="T13" s="118">
        <f>($C$40*$C$36*(1/$D$42))/1000*$C$25*$C$12</f>
        <v>0.11213742331288343</v>
      </c>
    </row>
    <row r="14" spans="1:20" ht="15.5" x14ac:dyDescent="0.35">
      <c r="B14" s="39" t="s">
        <v>521</v>
      </c>
      <c r="C14" s="105">
        <v>1</v>
      </c>
      <c r="D14" s="39" t="s">
        <v>522</v>
      </c>
      <c r="M14" s="39" t="s">
        <v>519</v>
      </c>
      <c r="O14" s="85">
        <f>C31</f>
        <v>48.129899999999999</v>
      </c>
      <c r="P14" s="85">
        <f>+($O14*$C$32*29.3)</f>
        <v>44.280470597999994</v>
      </c>
      <c r="Q14" s="85">
        <f>($C$15*$C$17*$C$21*$C$23*$C$25)</f>
        <v>0</v>
      </c>
      <c r="R14" s="85">
        <f>+($P$24*(($C$35*$F$35*(1/$D$39)/1000)*$C$40*$C$25))</f>
        <v>160.9643384057573</v>
      </c>
      <c r="S14" s="118">
        <f>SUM(P14:R14)</f>
        <v>205.2448090037573</v>
      </c>
      <c r="T14" s="118">
        <f>($C$40*$C$36*(1/$D$42))/1000*$C$25*$C$12</f>
        <v>0.11213742331288343</v>
      </c>
    </row>
    <row r="15" spans="1:20" ht="15.5" x14ac:dyDescent="0.35">
      <c r="C15" s="105">
        <v>0</v>
      </c>
      <c r="D15" s="39" t="s">
        <v>523</v>
      </c>
      <c r="S15" s="117"/>
      <c r="T15" s="117"/>
    </row>
    <row r="16" spans="1:20" ht="15.5" x14ac:dyDescent="0.35">
      <c r="C16" s="103">
        <v>6.5000000000000002E-2</v>
      </c>
      <c r="D16" s="40" t="s">
        <v>453</v>
      </c>
      <c r="L16" s="39" t="s">
        <v>1</v>
      </c>
      <c r="O16" s="39" t="s">
        <v>512</v>
      </c>
      <c r="P16" s="39" t="s">
        <v>513</v>
      </c>
      <c r="Q16" s="39" t="s">
        <v>300</v>
      </c>
      <c r="R16" s="39" t="s">
        <v>514</v>
      </c>
      <c r="S16" s="117" t="s">
        <v>409</v>
      </c>
      <c r="T16" s="117" t="s">
        <v>413</v>
      </c>
    </row>
    <row r="17" spans="1:23" ht="15.5" x14ac:dyDescent="0.35">
      <c r="A17" s="40"/>
      <c r="B17" s="40" t="s">
        <v>524</v>
      </c>
      <c r="C17" s="106">
        <f>O4</f>
        <v>17794</v>
      </c>
      <c r="D17" s="40" t="s">
        <v>525</v>
      </c>
      <c r="E17" s="40"/>
      <c r="F17" s="99">
        <v>0.25</v>
      </c>
      <c r="G17" s="40">
        <f>SUMPRODUCT(C17:C18,F17:F18)</f>
        <v>12298.75</v>
      </c>
      <c r="M17" s="39" t="s">
        <v>315</v>
      </c>
      <c r="O17" s="85">
        <f>C27</f>
        <v>0</v>
      </c>
      <c r="P17" s="85">
        <f>+($O17*$C$32*29.3)</f>
        <v>0</v>
      </c>
      <c r="Q17" s="101">
        <f>($C$14*$C$18*$C$21*$C$22*$C$25)</f>
        <v>900.16199999999992</v>
      </c>
      <c r="R17" s="85">
        <f>+($P$24*(($C$34*$C$36*(1/$D$38)/1000)*$C$40*$C$25))</f>
        <v>215.15789473684211</v>
      </c>
      <c r="S17" s="452">
        <f>SUM(P17:R17)</f>
        <v>1115.3198947368421</v>
      </c>
      <c r="T17" s="118">
        <f>($C$40*$C$36*(1/$D$41))/1000*$C$25*$C$12</f>
        <v>0.10689122807017543</v>
      </c>
      <c r="V17" s="170">
        <v>0.70499999999999996</v>
      </c>
      <c r="W17" s="85">
        <f>SUMPRODUCT(S17:S18,V17:V18)</f>
        <v>1237.7343057894736</v>
      </c>
    </row>
    <row r="18" spans="1:23" ht="15.5" x14ac:dyDescent="0.35">
      <c r="A18" s="40"/>
      <c r="B18" s="40"/>
      <c r="C18" s="46">
        <f>P4</f>
        <v>10467</v>
      </c>
      <c r="D18" s="40" t="s">
        <v>526</v>
      </c>
      <c r="E18" s="40"/>
      <c r="F18" s="99">
        <v>0.75</v>
      </c>
      <c r="G18" s="40"/>
      <c r="M18" s="39" t="s">
        <v>517</v>
      </c>
      <c r="O18" s="85">
        <f>C27</f>
        <v>0</v>
      </c>
      <c r="P18" s="85">
        <f>+($O18*$C$32*29.3)</f>
        <v>0</v>
      </c>
      <c r="Q18" s="85">
        <f>($C$14*$C$17*$C$21*$C$22*$C$25)</f>
        <v>1530.2839999999999</v>
      </c>
      <c r="R18" s="85">
        <f>+($P$25*(($C$34*$C$36*(1/$D$39)/1000)*$C$40*$C$25))</f>
        <v>0</v>
      </c>
      <c r="S18" s="118">
        <f>SUM(P18:R18)</f>
        <v>1530.2839999999999</v>
      </c>
      <c r="T18" s="118">
        <v>0</v>
      </c>
      <c r="V18" s="170">
        <v>0.29499999999999998</v>
      </c>
    </row>
    <row r="19" spans="1:23" ht="15.5" x14ac:dyDescent="0.35">
      <c r="A19" s="40"/>
      <c r="B19" s="40" t="s">
        <v>527</v>
      </c>
      <c r="C19" s="2802">
        <v>0.104</v>
      </c>
      <c r="D19" s="40" t="s">
        <v>528</v>
      </c>
      <c r="E19" s="40"/>
      <c r="F19" s="40"/>
      <c r="G19" s="40"/>
      <c r="M19" s="39" t="s">
        <v>518</v>
      </c>
      <c r="O19" s="85">
        <f>C27</f>
        <v>0</v>
      </c>
      <c r="P19" s="85">
        <f>+($O19*$C$32*29.3)</f>
        <v>0</v>
      </c>
      <c r="Q19" s="101">
        <f>($C$14*$C$17*$C$21*$C$22*$C$25)</f>
        <v>1530.2839999999999</v>
      </c>
      <c r="R19" s="85">
        <f>+($P$24*(($C$34*$C$36*(1/$D$39)/1000)*$C$40*$C$25))</f>
        <v>228.16744186046512</v>
      </c>
      <c r="S19" s="118">
        <f>SUM(P19:R19)</f>
        <v>1758.4514418604649</v>
      </c>
      <c r="T19" s="118">
        <f>($C$40*$C$36*(1/$D$42))/1000*$C$25*$C$12</f>
        <v>0.11213742331288343</v>
      </c>
    </row>
    <row r="20" spans="1:23" ht="15.5" x14ac:dyDescent="0.35">
      <c r="A20" s="40"/>
      <c r="B20" s="99"/>
      <c r="C20" s="2802">
        <v>7.2999999999999995E-2</v>
      </c>
      <c r="D20" s="40" t="s">
        <v>529</v>
      </c>
      <c r="E20" s="40"/>
      <c r="F20" s="40"/>
      <c r="G20" s="40"/>
      <c r="M20" s="39" t="s">
        <v>425</v>
      </c>
      <c r="O20" s="85">
        <f>C29</f>
        <v>74.045999999999992</v>
      </c>
      <c r="P20" s="85">
        <f>+($O20*$C$32*29.3)</f>
        <v>68.123800919999979</v>
      </c>
      <c r="Q20" s="85">
        <f>($C$15*$C$17*$C$21*$C$22*$C$25)</f>
        <v>0</v>
      </c>
      <c r="R20" s="85">
        <f>+($P$24*(($C$34*$C$36*(1/$D$39)/1000)*$C$40*$C$25))</f>
        <v>228.16744186046512</v>
      </c>
      <c r="S20" s="118">
        <f>SUM(P20:R20)</f>
        <v>296.2912427804651</v>
      </c>
      <c r="T20" s="118">
        <f>($C$40*$C$36*(1/$D$42))/1000*$C$25*$C$12</f>
        <v>0.11213742331288343</v>
      </c>
    </row>
    <row r="21" spans="1:23" ht="15.5" x14ac:dyDescent="0.35">
      <c r="A21" s="40"/>
      <c r="B21" s="40"/>
      <c r="C21" s="2802">
        <v>8.5999999999999993E-2</v>
      </c>
      <c r="D21" s="40" t="s">
        <v>453</v>
      </c>
      <c r="E21" s="40" t="s">
        <v>530</v>
      </c>
      <c r="F21" s="40"/>
      <c r="G21" s="40"/>
      <c r="M21" s="39" t="s">
        <v>519</v>
      </c>
      <c r="O21" s="85">
        <f>C29</f>
        <v>74.045999999999992</v>
      </c>
      <c r="P21" s="85">
        <f>+($O21*$C$32*29.3)</f>
        <v>68.123800919999979</v>
      </c>
      <c r="Q21" s="85">
        <f>($C$15*$C$17*$C$21*$C$22*$C$25)</f>
        <v>0</v>
      </c>
      <c r="R21" s="85">
        <f>+($P$24*(($C$34*$C$36*(1/$D$39)/1000)*$C$40*$C$25))</f>
        <v>228.16744186046512</v>
      </c>
      <c r="S21" s="118">
        <f>SUM(P21:R21)</f>
        <v>296.2912427804651</v>
      </c>
      <c r="T21" s="118">
        <f>($C$40*$C$36*(1/$D$42))/1000*$C$25*$C$12</f>
        <v>0.11213742331288343</v>
      </c>
    </row>
    <row r="22" spans="1:23" x14ac:dyDescent="0.35">
      <c r="B22" s="64" t="s">
        <v>295</v>
      </c>
      <c r="C22" s="105">
        <v>1</v>
      </c>
      <c r="D22" s="39" t="s">
        <v>457</v>
      </c>
    </row>
    <row r="23" spans="1:23" ht="39" x14ac:dyDescent="0.35">
      <c r="C23" s="105">
        <v>0.65</v>
      </c>
      <c r="D23" s="39" t="s">
        <v>458</v>
      </c>
      <c r="O23" s="107" t="s">
        <v>531</v>
      </c>
      <c r="P23" s="108" t="s">
        <v>532</v>
      </c>
    </row>
    <row r="24" spans="1:23" x14ac:dyDescent="0.35">
      <c r="D24" s="72" t="s">
        <v>535</v>
      </c>
      <c r="O24" s="41" t="s">
        <v>533</v>
      </c>
      <c r="P24" s="109">
        <v>1</v>
      </c>
    </row>
    <row r="25" spans="1:23" x14ac:dyDescent="0.35">
      <c r="B25" s="39" t="s">
        <v>4350</v>
      </c>
      <c r="C25" s="105">
        <v>1</v>
      </c>
      <c r="D25" s="39" t="s">
        <v>553</v>
      </c>
      <c r="O25" s="41" t="s">
        <v>534</v>
      </c>
      <c r="P25" s="109">
        <v>0</v>
      </c>
    </row>
    <row r="26" spans="1:23" x14ac:dyDescent="0.35">
      <c r="B26" s="2792" t="s">
        <v>4350</v>
      </c>
      <c r="C26" s="2804">
        <v>0.9</v>
      </c>
      <c r="D26" s="2792" t="s">
        <v>4346</v>
      </c>
      <c r="O26" s="2547" t="s">
        <v>3349</v>
      </c>
      <c r="P26" s="2591">
        <v>0.99</v>
      </c>
    </row>
    <row r="27" spans="1:23" x14ac:dyDescent="0.35">
      <c r="B27" s="39" t="s">
        <v>405</v>
      </c>
      <c r="C27" s="110">
        <f>$C$43*$C$46*$C$21*$C$22*$C$25</f>
        <v>0</v>
      </c>
      <c r="D27" s="39" t="s">
        <v>538</v>
      </c>
      <c r="O27" s="2547" t="s">
        <v>3350</v>
      </c>
      <c r="P27" s="2592">
        <v>0.82499999999999996</v>
      </c>
    </row>
    <row r="28" spans="1:23" ht="19.5" customHeight="1" x14ac:dyDescent="0.35">
      <c r="C28" s="110">
        <f>$C$43*$C$46*$C$21*$C$23*$C$25</f>
        <v>0</v>
      </c>
      <c r="D28" s="39" t="s">
        <v>539</v>
      </c>
      <c r="O28"/>
      <c r="P28"/>
    </row>
    <row r="29" spans="1:23" s="600" customFormat="1" ht="19.5" customHeight="1" x14ac:dyDescent="0.35">
      <c r="B29" s="39"/>
      <c r="C29" s="110">
        <f>$C$44*$C$46*$C$21*$C$22*$C$25</f>
        <v>74.045999999999992</v>
      </c>
      <c r="D29" s="39" t="s">
        <v>540</v>
      </c>
    </row>
    <row r="30" spans="1:23" x14ac:dyDescent="0.35">
      <c r="B30" s="600"/>
      <c r="C30" s="2803">
        <f>$C$44*$C$46*$C$21*$C$22*$C$26</f>
        <v>66.64139999999999</v>
      </c>
      <c r="D30" s="2792" t="s">
        <v>4345</v>
      </c>
    </row>
    <row r="31" spans="1:23" ht="39" x14ac:dyDescent="0.35">
      <c r="C31" s="110">
        <f>$C$44*$C$46*$C$21*$C$23*$C$25</f>
        <v>48.129899999999999</v>
      </c>
      <c r="D31" s="39" t="s">
        <v>541</v>
      </c>
      <c r="E31" s="40"/>
      <c r="N31" s="107" t="s">
        <v>542</v>
      </c>
      <c r="O31" s="107" t="s">
        <v>543</v>
      </c>
      <c r="P31" s="107" t="s">
        <v>544</v>
      </c>
      <c r="Q31" s="107" t="s">
        <v>545</v>
      </c>
      <c r="R31" s="107" t="s">
        <v>546</v>
      </c>
      <c r="S31" s="111" t="s">
        <v>547</v>
      </c>
    </row>
    <row r="32" spans="1:23" x14ac:dyDescent="0.35">
      <c r="B32" s="40" t="s">
        <v>410</v>
      </c>
      <c r="C32" s="104">
        <v>3.1399999999999997E-2</v>
      </c>
      <c r="D32" s="40"/>
      <c r="E32" s="40"/>
      <c r="N32" s="41" t="s">
        <v>354</v>
      </c>
      <c r="O32" s="41">
        <v>512</v>
      </c>
      <c r="P32" s="41">
        <v>467</v>
      </c>
      <c r="Q32" s="41">
        <v>243</v>
      </c>
      <c r="R32" s="41">
        <v>1052</v>
      </c>
      <c r="S32" s="43">
        <v>1969</v>
      </c>
    </row>
    <row r="33" spans="2:19" x14ac:dyDescent="0.35">
      <c r="B33" s="40" t="s">
        <v>532</v>
      </c>
      <c r="C33" s="103" t="s">
        <v>548</v>
      </c>
      <c r="D33" s="40" t="s">
        <v>457</v>
      </c>
      <c r="E33" s="40"/>
      <c r="N33" s="41" t="s">
        <v>355</v>
      </c>
      <c r="O33" s="41">
        <v>570</v>
      </c>
      <c r="P33" s="41">
        <v>506</v>
      </c>
      <c r="Q33" s="41">
        <v>263</v>
      </c>
      <c r="R33" s="41">
        <v>1005</v>
      </c>
      <c r="S33" s="43">
        <v>1840</v>
      </c>
    </row>
    <row r="34" spans="2:19" x14ac:dyDescent="0.35">
      <c r="B34" s="40" t="s">
        <v>549</v>
      </c>
      <c r="C34" s="112">
        <f>O34</f>
        <v>730</v>
      </c>
      <c r="D34" s="40" t="s">
        <v>457</v>
      </c>
      <c r="E34" s="40"/>
      <c r="N34" s="41" t="s">
        <v>356</v>
      </c>
      <c r="O34" s="41">
        <v>730</v>
      </c>
      <c r="P34" s="41">
        <v>663</v>
      </c>
      <c r="Q34" s="41">
        <v>345</v>
      </c>
      <c r="R34" s="41">
        <v>861</v>
      </c>
      <c r="S34" s="43">
        <v>1754</v>
      </c>
    </row>
    <row r="35" spans="2:19" x14ac:dyDescent="0.35">
      <c r="B35" s="40"/>
      <c r="C35" s="40">
        <f>P34</f>
        <v>663</v>
      </c>
      <c r="D35" s="40" t="s">
        <v>458</v>
      </c>
      <c r="E35" s="40"/>
      <c r="F35" s="113">
        <f>C111</f>
        <v>26099.044311642399</v>
      </c>
      <c r="G35" s="39" t="s">
        <v>328</v>
      </c>
      <c r="N35" s="41" t="s">
        <v>357</v>
      </c>
      <c r="O35" s="41">
        <v>1035</v>
      </c>
      <c r="P35" s="41">
        <v>940</v>
      </c>
      <c r="Q35" s="41">
        <v>489</v>
      </c>
      <c r="R35" s="41">
        <v>664</v>
      </c>
      <c r="S35" s="43">
        <v>1266</v>
      </c>
    </row>
    <row r="36" spans="2:19" x14ac:dyDescent="0.35">
      <c r="B36" s="40" t="s">
        <v>550</v>
      </c>
      <c r="C36" s="113">
        <v>33600</v>
      </c>
      <c r="D36" s="40" t="s">
        <v>551</v>
      </c>
      <c r="N36" s="41" t="s">
        <v>358</v>
      </c>
      <c r="O36" s="41">
        <v>903</v>
      </c>
      <c r="P36" s="41">
        <v>820</v>
      </c>
      <c r="Q36" s="41">
        <v>426</v>
      </c>
      <c r="R36" s="41">
        <v>676</v>
      </c>
      <c r="S36" s="43">
        <v>1288</v>
      </c>
    </row>
    <row r="37" spans="2:19" x14ac:dyDescent="0.35">
      <c r="C37" s="72" t="s">
        <v>552</v>
      </c>
      <c r="D37" s="39" t="s">
        <v>553</v>
      </c>
      <c r="E37" s="40" t="s">
        <v>315</v>
      </c>
      <c r="N37" s="41" t="s">
        <v>359</v>
      </c>
      <c r="O37" s="41">
        <v>629</v>
      </c>
      <c r="P37" s="41">
        <v>564</v>
      </c>
      <c r="Q37" s="41">
        <v>293</v>
      </c>
      <c r="R37" s="41">
        <v>955</v>
      </c>
      <c r="S37" s="43">
        <v>1821</v>
      </c>
    </row>
    <row r="38" spans="2:19" x14ac:dyDescent="0.35">
      <c r="B38" s="40" t="s">
        <v>554</v>
      </c>
      <c r="C38" s="40">
        <f>AVERAGE(D38:D39)</f>
        <v>8.86</v>
      </c>
      <c r="D38" s="112">
        <v>9.1199999999999992</v>
      </c>
      <c r="E38" s="40" t="s">
        <v>555</v>
      </c>
    </row>
    <row r="39" spans="2:19" x14ac:dyDescent="0.35">
      <c r="B39" s="40"/>
      <c r="C39" s="40"/>
      <c r="D39" s="112">
        <v>8.6</v>
      </c>
      <c r="E39" s="40"/>
    </row>
    <row r="40" spans="2:19" x14ac:dyDescent="0.35">
      <c r="B40" s="40" t="s">
        <v>556</v>
      </c>
      <c r="C40" s="103">
        <v>0.08</v>
      </c>
      <c r="D40" s="40"/>
      <c r="E40" s="40" t="s">
        <v>315</v>
      </c>
    </row>
    <row r="41" spans="2:19" x14ac:dyDescent="0.35">
      <c r="B41" s="40" t="s">
        <v>557</v>
      </c>
      <c r="C41" s="40">
        <f>AVERAGE(D41:D42)</f>
        <v>8.3500000000000014</v>
      </c>
      <c r="D41" s="112">
        <v>8.5500000000000007</v>
      </c>
      <c r="E41" s="40" t="s">
        <v>555</v>
      </c>
    </row>
    <row r="42" spans="2:19" x14ac:dyDescent="0.35">
      <c r="B42" s="40"/>
      <c r="C42" s="40"/>
      <c r="D42" s="112">
        <v>8.15</v>
      </c>
    </row>
    <row r="43" spans="2:19" x14ac:dyDescent="0.35">
      <c r="B43" s="40" t="s">
        <v>558</v>
      </c>
      <c r="C43" s="103">
        <v>0</v>
      </c>
      <c r="D43" s="40" t="s">
        <v>559</v>
      </c>
    </row>
    <row r="44" spans="2:19" x14ac:dyDescent="0.35">
      <c r="B44" s="40"/>
      <c r="C44" s="103">
        <v>1</v>
      </c>
      <c r="D44" s="40" t="s">
        <v>560</v>
      </c>
    </row>
    <row r="45" spans="2:19" x14ac:dyDescent="0.35">
      <c r="B45" s="40"/>
      <c r="C45" s="103">
        <v>0.93500000000000005</v>
      </c>
      <c r="D45" s="40" t="s">
        <v>453</v>
      </c>
    </row>
    <row r="46" spans="2:19" x14ac:dyDescent="0.35">
      <c r="B46" s="40" t="s">
        <v>561</v>
      </c>
      <c r="C46" s="40">
        <f>R34</f>
        <v>861</v>
      </c>
      <c r="D46" s="40"/>
    </row>
    <row r="49" spans="1:22" x14ac:dyDescent="0.35">
      <c r="A49" s="2569" t="s">
        <v>562</v>
      </c>
      <c r="B49" s="2569" t="s">
        <v>563</v>
      </c>
    </row>
    <row r="51" spans="1:22" x14ac:dyDescent="0.35">
      <c r="B51" s="39" t="s">
        <v>509</v>
      </c>
    </row>
    <row r="52" spans="1:22" x14ac:dyDescent="0.35">
      <c r="C52" s="39" t="s">
        <v>510</v>
      </c>
    </row>
    <row r="54" spans="1:22" x14ac:dyDescent="0.35">
      <c r="B54" s="39" t="s">
        <v>515</v>
      </c>
    </row>
    <row r="55" spans="1:22" ht="15.5" x14ac:dyDescent="0.35">
      <c r="B55" s="39" t="s">
        <v>516</v>
      </c>
      <c r="L55" s="39" t="s">
        <v>8</v>
      </c>
      <c r="O55" s="39" t="s">
        <v>512</v>
      </c>
      <c r="P55" s="39" t="s">
        <v>513</v>
      </c>
      <c r="Q55" s="114" t="s">
        <v>300</v>
      </c>
      <c r="R55" s="39" t="s">
        <v>514</v>
      </c>
      <c r="S55" s="117" t="s">
        <v>409</v>
      </c>
      <c r="T55" s="117" t="s">
        <v>413</v>
      </c>
    </row>
    <row r="56" spans="1:22" ht="15.5" x14ac:dyDescent="0.35">
      <c r="M56" s="39" t="s">
        <v>315</v>
      </c>
      <c r="O56" s="85">
        <f>C75</f>
        <v>0</v>
      </c>
      <c r="P56" s="85">
        <f>+($O56*$C$32*29.3)</f>
        <v>0</v>
      </c>
      <c r="Q56" s="115">
        <f>($C$62*$C$66*$C$67*$C$69*$C$73)</f>
        <v>421.82009999999997</v>
      </c>
      <c r="R56" s="85"/>
      <c r="S56" s="118">
        <f>SUM(P56:R56)</f>
        <v>421.82009999999997</v>
      </c>
      <c r="T56" s="118">
        <f>(C90*C86*(1/C91))/1000*C73</f>
        <v>0.11497005988023951</v>
      </c>
      <c r="U56" s="64">
        <v>0.35</v>
      </c>
      <c r="V56" s="85">
        <f>SUMPRODUCT($S$56:$S$57,U56:U57)</f>
        <v>613.75086499999998</v>
      </c>
    </row>
    <row r="57" spans="1:22" ht="15.5" x14ac:dyDescent="0.35">
      <c r="M57" s="39" t="s">
        <v>517</v>
      </c>
      <c r="O57" s="85">
        <f>C75</f>
        <v>0</v>
      </c>
      <c r="P57" s="85">
        <f>+($O57*$C$32*29.3)</f>
        <v>0</v>
      </c>
      <c r="Q57" s="115">
        <f>($C$62*$C$65*$C$67*$C$69*$C$73)</f>
        <v>717.09820000000002</v>
      </c>
      <c r="R57" s="85"/>
      <c r="S57" s="118">
        <f>SUM(P57:R57)</f>
        <v>717.09820000000002</v>
      </c>
      <c r="T57" s="118"/>
      <c r="U57" s="64">
        <v>0.65</v>
      </c>
    </row>
    <row r="58" spans="1:22" ht="15.5" x14ac:dyDescent="0.35">
      <c r="B58" s="39" t="s">
        <v>360</v>
      </c>
      <c r="C58" s="2585">
        <v>8</v>
      </c>
      <c r="D58" s="39" t="s">
        <v>361</v>
      </c>
      <c r="M58" s="39" t="s">
        <v>518</v>
      </c>
      <c r="O58" s="85">
        <f>C75</f>
        <v>0</v>
      </c>
      <c r="P58" s="85">
        <f>+($O58*$C$32*29.3)</f>
        <v>0</v>
      </c>
      <c r="Q58" s="115">
        <f>($C$62*$C$65*$C$67*$C$69*$C$73)</f>
        <v>717.09820000000002</v>
      </c>
      <c r="R58" s="85"/>
      <c r="S58" s="118">
        <f>SUM(P58:R58)</f>
        <v>717.09820000000002</v>
      </c>
      <c r="T58" s="118"/>
    </row>
    <row r="59" spans="1:22" ht="15.5" x14ac:dyDescent="0.35">
      <c r="B59" s="39" t="s">
        <v>489</v>
      </c>
      <c r="C59" s="102">
        <v>30</v>
      </c>
      <c r="M59" s="39" t="s">
        <v>425</v>
      </c>
      <c r="O59" s="85">
        <f>C79</f>
        <v>34.698300000000003</v>
      </c>
      <c r="P59" s="85">
        <f>+($O59*$C$32*29.3)</f>
        <v>31.923129966000001</v>
      </c>
      <c r="Q59" s="115">
        <f>($C$63*$C$66*$C$67*$C$69*$C$73)</f>
        <v>0</v>
      </c>
      <c r="R59" s="85"/>
      <c r="S59" s="118">
        <f>SUM(P59:R59)</f>
        <v>31.923129966000001</v>
      </c>
      <c r="T59" s="118"/>
    </row>
    <row r="60" spans="1:22" ht="15.5" x14ac:dyDescent="0.35">
      <c r="B60" s="40" t="s">
        <v>362</v>
      </c>
      <c r="C60" s="103">
        <v>0.34</v>
      </c>
      <c r="M60" s="39" t="s">
        <v>519</v>
      </c>
      <c r="O60" s="85">
        <f>C79</f>
        <v>34.698300000000003</v>
      </c>
      <c r="P60" s="85">
        <f>+($O60*$C$32*29.3)</f>
        <v>31.923129966000001</v>
      </c>
      <c r="Q60" s="115">
        <f>($C$63*$C$66*$C$67*$C$69*$C$73)</f>
        <v>0</v>
      </c>
      <c r="R60" s="85"/>
      <c r="S60" s="118">
        <f>SUM(P60:R60)</f>
        <v>31.923129966000001</v>
      </c>
      <c r="T60" s="118"/>
    </row>
    <row r="61" spans="1:22" ht="15.5" x14ac:dyDescent="0.35">
      <c r="B61" s="40" t="s">
        <v>520</v>
      </c>
      <c r="C61" s="104">
        <v>0.23300000000000001</v>
      </c>
      <c r="Q61" s="114"/>
      <c r="S61" s="117"/>
      <c r="T61" s="117"/>
    </row>
    <row r="62" spans="1:22" ht="15.5" x14ac:dyDescent="0.35">
      <c r="B62" s="39" t="s">
        <v>521</v>
      </c>
      <c r="C62" s="105">
        <v>1</v>
      </c>
      <c r="D62" s="39" t="s">
        <v>522</v>
      </c>
      <c r="L62" s="39" t="s">
        <v>1</v>
      </c>
      <c r="O62" s="39" t="s">
        <v>512</v>
      </c>
      <c r="P62" s="39" t="s">
        <v>513</v>
      </c>
      <c r="Q62" s="114" t="s">
        <v>300</v>
      </c>
      <c r="R62" s="39" t="s">
        <v>514</v>
      </c>
      <c r="S62" s="117" t="s">
        <v>409</v>
      </c>
      <c r="T62" s="117" t="s">
        <v>413</v>
      </c>
    </row>
    <row r="63" spans="1:22" ht="15.5" x14ac:dyDescent="0.35">
      <c r="C63" s="105">
        <v>0</v>
      </c>
      <c r="D63" s="39" t="s">
        <v>523</v>
      </c>
      <c r="M63" s="39" t="s">
        <v>315</v>
      </c>
      <c r="O63" s="85">
        <f>C74</f>
        <v>0</v>
      </c>
      <c r="P63" s="85">
        <f>+($O63*$C$32*29.3)</f>
        <v>0</v>
      </c>
      <c r="Q63" s="115">
        <f>($C$62*$C$66*$C$67*$C$68*$C$73)</f>
        <v>648.95399999999995</v>
      </c>
      <c r="R63" s="85"/>
      <c r="S63" s="118">
        <f>SUM(P63:R63)</f>
        <v>648.95399999999995</v>
      </c>
      <c r="T63" s="117"/>
    </row>
    <row r="64" spans="1:22" ht="15.5" x14ac:dyDescent="0.35">
      <c r="C64" s="105">
        <v>0.13</v>
      </c>
      <c r="D64" s="39" t="s">
        <v>453</v>
      </c>
      <c r="M64" s="39" t="s">
        <v>517</v>
      </c>
      <c r="O64" s="85">
        <f>C74</f>
        <v>0</v>
      </c>
      <c r="P64" s="85">
        <f>+($O64*$C$32*29.3)</f>
        <v>0</v>
      </c>
      <c r="Q64" s="115">
        <f>($C$62*$C$65*$C$67*$C$68*$C$73)</f>
        <v>1103.2280000000001</v>
      </c>
      <c r="R64" s="85"/>
      <c r="S64" s="118">
        <f>SUM(P64:R64)</f>
        <v>1103.2280000000001</v>
      </c>
      <c r="T64" s="118"/>
    </row>
    <row r="65" spans="1:20" ht="15.5" x14ac:dyDescent="0.35">
      <c r="A65" s="40"/>
      <c r="B65" s="40" t="s">
        <v>524</v>
      </c>
      <c r="C65" s="106">
        <f>O4</f>
        <v>17794</v>
      </c>
      <c r="D65" s="40" t="s">
        <v>525</v>
      </c>
      <c r="E65" s="40"/>
      <c r="F65" s="169">
        <v>0.65</v>
      </c>
      <c r="G65" s="168">
        <f>SUMPRODUCT(C65:C66,F65:F66)</f>
        <v>15229.55</v>
      </c>
      <c r="M65" s="39" t="s">
        <v>518</v>
      </c>
      <c r="O65" s="85">
        <f>C74</f>
        <v>0</v>
      </c>
      <c r="P65" s="85">
        <f>+($O65*$C$32*29.3)</f>
        <v>0</v>
      </c>
      <c r="Q65" s="115">
        <f>($C$62*$C$65*$C$67*$C$68*$C$73)</f>
        <v>1103.2280000000001</v>
      </c>
      <c r="R65" s="85"/>
      <c r="S65" s="118">
        <f>SUM(P65:R65)</f>
        <v>1103.2280000000001</v>
      </c>
      <c r="T65" s="118"/>
    </row>
    <row r="66" spans="1:20" ht="15.5" x14ac:dyDescent="0.35">
      <c r="A66" s="40"/>
      <c r="B66" s="40"/>
      <c r="C66" s="46">
        <f>P4</f>
        <v>10467</v>
      </c>
      <c r="D66" s="40" t="s">
        <v>526</v>
      </c>
      <c r="E66" s="40"/>
      <c r="F66" s="169">
        <v>0.35</v>
      </c>
      <c r="G66" s="40"/>
      <c r="M66" s="39" t="s">
        <v>425</v>
      </c>
      <c r="O66" s="85">
        <f>C78</f>
        <v>53.381999999999998</v>
      </c>
      <c r="P66" s="85">
        <f>+($O66*$C$32*29.3)</f>
        <v>49.112507639999997</v>
      </c>
      <c r="Q66" s="115">
        <f>($C$63*$C$66*$C$67*$C$68*$C$73)</f>
        <v>0</v>
      </c>
      <c r="R66" s="85"/>
      <c r="S66" s="118">
        <f>SUM(P66:R66)</f>
        <v>49.112507639999997</v>
      </c>
      <c r="T66" s="118"/>
    </row>
    <row r="67" spans="1:20" ht="15.5" x14ac:dyDescent="0.35">
      <c r="A67" s="40"/>
      <c r="B67" s="114" t="s">
        <v>527</v>
      </c>
      <c r="C67" s="116">
        <v>6.2E-2</v>
      </c>
      <c r="D67" s="40"/>
      <c r="F67" s="40"/>
      <c r="G67" s="40"/>
      <c r="M67" s="39" t="s">
        <v>519</v>
      </c>
      <c r="O67" s="85">
        <f>C78</f>
        <v>53.381999999999998</v>
      </c>
      <c r="P67" s="85">
        <f>+($O67*$C$32*29.3)</f>
        <v>49.112507639999997</v>
      </c>
      <c r="Q67" s="115">
        <f>($C$63*$C$66*$C$67*$C$68*$C$73)</f>
        <v>0</v>
      </c>
      <c r="R67" s="85"/>
      <c r="S67" s="118">
        <f>SUM(P67:R67)</f>
        <v>49.112507639999997</v>
      </c>
      <c r="T67" s="118"/>
    </row>
    <row r="68" spans="1:20" x14ac:dyDescent="0.35">
      <c r="A68" s="40"/>
      <c r="B68" s="64" t="s">
        <v>295</v>
      </c>
      <c r="C68" s="105">
        <v>1</v>
      </c>
      <c r="D68" s="39" t="s">
        <v>457</v>
      </c>
      <c r="E68" s="40"/>
      <c r="F68" s="40"/>
      <c r="G68" s="40"/>
    </row>
    <row r="69" spans="1:20" ht="15.5" x14ac:dyDescent="0.35">
      <c r="A69" s="40"/>
      <c r="C69" s="105">
        <v>0.65</v>
      </c>
      <c r="D69" s="39" t="s">
        <v>458</v>
      </c>
      <c r="F69" s="40"/>
      <c r="G69" s="40"/>
      <c r="L69" s="1" t="s">
        <v>3348</v>
      </c>
      <c r="M69" s="1"/>
      <c r="N69" s="1"/>
      <c r="O69" s="1" t="s">
        <v>512</v>
      </c>
      <c r="P69" s="1" t="s">
        <v>513</v>
      </c>
      <c r="Q69" s="1" t="s">
        <v>300</v>
      </c>
      <c r="R69" s="1" t="s">
        <v>514</v>
      </c>
      <c r="S69" s="2588" t="s">
        <v>409</v>
      </c>
      <c r="T69" s="2589" t="s">
        <v>413</v>
      </c>
    </row>
    <row r="70" spans="1:20" s="600" customFormat="1" ht="15.5" x14ac:dyDescent="0.35">
      <c r="A70" s="585"/>
      <c r="C70" s="2586">
        <v>0.83</v>
      </c>
      <c r="D70" s="1" t="s">
        <v>3347</v>
      </c>
      <c r="F70" s="585"/>
      <c r="G70" s="585"/>
      <c r="M70" s="600" t="s">
        <v>315</v>
      </c>
      <c r="O70" s="85">
        <f>C76</f>
        <v>0</v>
      </c>
      <c r="P70" s="85">
        <f>+($O70*$C$32*29.3)</f>
        <v>0</v>
      </c>
      <c r="Q70" s="115">
        <f>($C$62*$C$66*$C$67*$C$70*$C$73)</f>
        <v>538.63181999999995</v>
      </c>
      <c r="R70" s="85"/>
      <c r="S70" s="118">
        <f>SUM(P70:R70)</f>
        <v>538.63181999999995</v>
      </c>
      <c r="T70" s="117"/>
    </row>
    <row r="71" spans="1:20" s="600" customFormat="1" ht="15.5" x14ac:dyDescent="0.35">
      <c r="A71" s="585"/>
      <c r="C71" s="2586">
        <v>0.89</v>
      </c>
      <c r="D71" s="1" t="s">
        <v>453</v>
      </c>
      <c r="F71" s="585"/>
      <c r="G71" s="585"/>
      <c r="M71" s="600" t="s">
        <v>517</v>
      </c>
      <c r="O71" s="85">
        <f>C76</f>
        <v>0</v>
      </c>
      <c r="P71" s="85">
        <f>+($O71*$C$32*29.3)</f>
        <v>0</v>
      </c>
      <c r="Q71" s="115">
        <f>($C$62*$C$65*$C$67*$C$70*$C$73)</f>
        <v>915.67924000000005</v>
      </c>
      <c r="R71" s="85"/>
      <c r="S71" s="118">
        <f>SUM(P71:R71)</f>
        <v>915.67924000000005</v>
      </c>
      <c r="T71" s="118"/>
    </row>
    <row r="72" spans="1:20" ht="15.5" x14ac:dyDescent="0.35">
      <c r="C72" s="72" t="s">
        <v>535</v>
      </c>
      <c r="E72" s="40" t="s">
        <v>530</v>
      </c>
      <c r="L72" s="600"/>
      <c r="M72" s="600" t="s">
        <v>518</v>
      </c>
      <c r="N72" s="600"/>
      <c r="O72" s="85">
        <f>C76</f>
        <v>0</v>
      </c>
      <c r="P72" s="85">
        <f>+($O72*$C$32*29.3)</f>
        <v>0</v>
      </c>
      <c r="Q72" s="115">
        <f>($C$62*$C$65*$C$67*$C$70*$C$73)</f>
        <v>915.67924000000005</v>
      </c>
      <c r="R72" s="85"/>
      <c r="S72" s="118">
        <f>SUM(P72:R72)</f>
        <v>915.67924000000005</v>
      </c>
      <c r="T72" s="118"/>
    </row>
    <row r="73" spans="1:20" ht="15.5" x14ac:dyDescent="0.35">
      <c r="B73" s="39" t="s">
        <v>537</v>
      </c>
      <c r="C73" s="105">
        <v>1</v>
      </c>
      <c r="L73" s="600"/>
      <c r="M73" s="600" t="s">
        <v>425</v>
      </c>
      <c r="N73" s="600"/>
      <c r="O73" s="85">
        <f>C80</f>
        <v>44.307059999999993</v>
      </c>
      <c r="P73" s="85">
        <f>+($O73*$C$32*29.3)</f>
        <v>40.763381341199995</v>
      </c>
      <c r="Q73" s="115">
        <f>($C$63*$C$66*$C$67*$C$70*$C$73)</f>
        <v>0</v>
      </c>
      <c r="R73" s="85"/>
      <c r="S73" s="118">
        <f>SUM(P73:R73)</f>
        <v>40.763381341199995</v>
      </c>
      <c r="T73" s="118"/>
    </row>
    <row r="74" spans="1:20" ht="15.5" x14ac:dyDescent="0.35">
      <c r="B74" s="39" t="s">
        <v>405</v>
      </c>
      <c r="C74" s="110">
        <f>$C$93*$C$96*$C$67*$C$68*$C$73</f>
        <v>0</v>
      </c>
      <c r="D74" s="39" t="s">
        <v>538</v>
      </c>
      <c r="L74" s="600"/>
      <c r="M74" s="600" t="s">
        <v>519</v>
      </c>
      <c r="N74" s="600"/>
      <c r="O74" s="85">
        <f>C80</f>
        <v>44.307059999999993</v>
      </c>
      <c r="P74" s="85">
        <f>+($O74*$C$32*29.3)</f>
        <v>40.763381341199995</v>
      </c>
      <c r="Q74" s="115">
        <f>($C$63*$C$66*$C$67*$C$70*$C$73)</f>
        <v>0</v>
      </c>
      <c r="R74" s="85"/>
      <c r="S74" s="118">
        <f>SUM(P74:R74)</f>
        <v>40.763381341199995</v>
      </c>
      <c r="T74" s="118"/>
    </row>
    <row r="75" spans="1:20" x14ac:dyDescent="0.35">
      <c r="C75" s="110">
        <f>$C$93*$C$96*$C$67*$C$69*$C$73</f>
        <v>0</v>
      </c>
      <c r="D75" s="39" t="s">
        <v>539</v>
      </c>
    </row>
    <row r="76" spans="1:20" s="600" customFormat="1" ht="15.5" x14ac:dyDescent="0.35">
      <c r="C76" s="2587">
        <f>$C$93*$C$96*$C$67*$C$70*$C$73</f>
        <v>0</v>
      </c>
      <c r="D76" s="1" t="s">
        <v>3343</v>
      </c>
      <c r="L76" s="1" t="s">
        <v>536</v>
      </c>
      <c r="M76" s="1"/>
      <c r="N76" s="1"/>
      <c r="O76" s="1" t="s">
        <v>512</v>
      </c>
      <c r="P76" s="1" t="s">
        <v>513</v>
      </c>
      <c r="Q76" s="1" t="s">
        <v>300</v>
      </c>
      <c r="R76" s="1" t="s">
        <v>514</v>
      </c>
      <c r="S76" s="2588" t="s">
        <v>409</v>
      </c>
      <c r="T76" s="2589" t="s">
        <v>413</v>
      </c>
    </row>
    <row r="77" spans="1:20" s="600" customFormat="1" ht="15.5" x14ac:dyDescent="0.35">
      <c r="C77" s="2587">
        <f>$C$93*$C$96*$C$67*$C$71*$C$73</f>
        <v>0</v>
      </c>
      <c r="D77" s="1" t="s">
        <v>3344</v>
      </c>
      <c r="M77" s="600" t="s">
        <v>315</v>
      </c>
      <c r="O77" s="85">
        <f>C77</f>
        <v>0</v>
      </c>
      <c r="P77" s="85">
        <f>+($O77*$C$32*29.3)</f>
        <v>0</v>
      </c>
      <c r="Q77" s="115">
        <f>($C$62*$C$66*$C$67*$C$71*$C$73)</f>
        <v>577.56905999999992</v>
      </c>
      <c r="R77" s="85"/>
      <c r="S77" s="118">
        <f>SUM(P77:R77)</f>
        <v>577.56905999999992</v>
      </c>
      <c r="T77" s="117"/>
    </row>
    <row r="78" spans="1:20" ht="15.5" x14ac:dyDescent="0.35">
      <c r="C78" s="110">
        <f>$C$94*$C$96*$C$67*$C$68*$C$73</f>
        <v>53.381999999999998</v>
      </c>
      <c r="D78" s="39" t="s">
        <v>540</v>
      </c>
      <c r="L78" s="600"/>
      <c r="M78" s="600" t="s">
        <v>517</v>
      </c>
      <c r="N78" s="600"/>
      <c r="O78" s="85">
        <f>C77</f>
        <v>0</v>
      </c>
      <c r="P78" s="85">
        <f>+($O78*$C$32*29.3)</f>
        <v>0</v>
      </c>
      <c r="Q78" s="115">
        <f>($C$62*$C$65*$C$67*$C$71*$C$73)</f>
        <v>981.87292000000002</v>
      </c>
      <c r="R78" s="85"/>
      <c r="S78" s="118">
        <f>SUM(P78:R78)</f>
        <v>981.87292000000002</v>
      </c>
      <c r="T78" s="118"/>
    </row>
    <row r="79" spans="1:20" ht="15.5" x14ac:dyDescent="0.35">
      <c r="C79" s="110">
        <f>$C$94*$C$96*$C$67*$C$69*$C$73</f>
        <v>34.698300000000003</v>
      </c>
      <c r="D79" s="39" t="s">
        <v>541</v>
      </c>
      <c r="L79" s="600"/>
      <c r="M79" s="600" t="s">
        <v>518</v>
      </c>
      <c r="N79" s="600"/>
      <c r="O79" s="85">
        <f>C77</f>
        <v>0</v>
      </c>
      <c r="P79" s="85">
        <f>+($O79*$C$32*29.3)</f>
        <v>0</v>
      </c>
      <c r="Q79" s="115">
        <f>($C$62*$C$65*$C$67*$C$71*$C$73)</f>
        <v>981.87292000000002</v>
      </c>
      <c r="R79" s="85"/>
      <c r="S79" s="118">
        <f>SUM(P79:R79)</f>
        <v>981.87292000000002</v>
      </c>
      <c r="T79" s="118"/>
    </row>
    <row r="80" spans="1:20" s="600" customFormat="1" ht="15.5" x14ac:dyDescent="0.35">
      <c r="C80" s="2587">
        <f>$C$94*$C$96*$C$67*$C$70*$C$73</f>
        <v>44.307059999999993</v>
      </c>
      <c r="D80" s="1" t="s">
        <v>3345</v>
      </c>
      <c r="M80" s="600" t="s">
        <v>425</v>
      </c>
      <c r="O80" s="85">
        <f>C81</f>
        <v>47.509979999999999</v>
      </c>
      <c r="P80" s="85">
        <f>+($O80*$C$32*29.3)</f>
        <v>43.710131799599992</v>
      </c>
      <c r="Q80" s="115">
        <f>($C$63*$C$66*$C$67*$C$71*$C$73)</f>
        <v>0</v>
      </c>
      <c r="R80" s="85"/>
      <c r="S80" s="118">
        <f>SUM(P80:R80)</f>
        <v>43.710131799599992</v>
      </c>
      <c r="T80" s="118"/>
    </row>
    <row r="81" spans="2:20" s="600" customFormat="1" ht="15.5" x14ac:dyDescent="0.35">
      <c r="C81" s="2587">
        <f>$C$94*$C$96*$C$67*$C$71*$C$73</f>
        <v>47.509979999999999</v>
      </c>
      <c r="D81" s="1" t="s">
        <v>3346</v>
      </c>
      <c r="M81" s="600" t="s">
        <v>519</v>
      </c>
      <c r="O81" s="85">
        <f>C81</f>
        <v>47.509979999999999</v>
      </c>
      <c r="P81" s="85">
        <f>+($O81*$C$32*29.3)</f>
        <v>43.710131799599992</v>
      </c>
      <c r="Q81" s="115">
        <f>($C$63*$C$66*$C$67*$C$71*$C$73)</f>
        <v>0</v>
      </c>
      <c r="R81" s="85"/>
      <c r="S81" s="118">
        <f>SUM(P81:R81)</f>
        <v>43.710131799599992</v>
      </c>
      <c r="T81" s="118"/>
    </row>
    <row r="82" spans="2:20" x14ac:dyDescent="0.35">
      <c r="B82" s="40" t="s">
        <v>410</v>
      </c>
      <c r="C82" s="104">
        <v>3.1399999999999997E-2</v>
      </c>
      <c r="D82" s="40"/>
    </row>
    <row r="83" spans="2:20" x14ac:dyDescent="0.35">
      <c r="B83" s="40" t="s">
        <v>532</v>
      </c>
      <c r="C83" s="103" t="s">
        <v>548</v>
      </c>
      <c r="D83" s="40" t="s">
        <v>457</v>
      </c>
    </row>
    <row r="84" spans="2:20" x14ac:dyDescent="0.35">
      <c r="B84" s="40" t="s">
        <v>549</v>
      </c>
      <c r="C84" s="112">
        <f>Q87</f>
        <v>0</v>
      </c>
      <c r="D84" s="40" t="s">
        <v>457</v>
      </c>
      <c r="E84" s="40"/>
    </row>
    <row r="85" spans="2:20" x14ac:dyDescent="0.35">
      <c r="B85" s="40"/>
      <c r="C85" s="40">
        <f>R87</f>
        <v>0</v>
      </c>
      <c r="D85" s="40" t="s">
        <v>458</v>
      </c>
      <c r="E85" s="40"/>
    </row>
    <row r="86" spans="2:20" x14ac:dyDescent="0.35">
      <c r="B86" s="40" t="s">
        <v>550</v>
      </c>
      <c r="C86" s="113">
        <v>12000</v>
      </c>
      <c r="D86" s="40" t="s">
        <v>551</v>
      </c>
      <c r="E86" s="40"/>
    </row>
    <row r="87" spans="2:20" x14ac:dyDescent="0.35">
      <c r="C87" s="72" t="s">
        <v>552</v>
      </c>
      <c r="D87" s="39" t="s">
        <v>553</v>
      </c>
      <c r="E87" s="40"/>
    </row>
    <row r="88" spans="2:20" x14ac:dyDescent="0.35">
      <c r="B88" s="40" t="s">
        <v>554</v>
      </c>
      <c r="C88" s="40">
        <f>AVERAGE(D88:D89)</f>
        <v>8.86</v>
      </c>
      <c r="D88" s="112">
        <v>9.1199999999999992</v>
      </c>
      <c r="E88" s="40"/>
    </row>
    <row r="89" spans="2:20" x14ac:dyDescent="0.35">
      <c r="B89" s="40"/>
      <c r="C89" s="40"/>
      <c r="D89" s="112">
        <v>8.6</v>
      </c>
    </row>
    <row r="90" spans="2:20" x14ac:dyDescent="0.35">
      <c r="B90" s="40" t="s">
        <v>556</v>
      </c>
      <c r="C90" s="103">
        <v>0.08</v>
      </c>
      <c r="D90" s="40"/>
      <c r="E90" s="40" t="s">
        <v>315</v>
      </c>
    </row>
    <row r="91" spans="2:20" x14ac:dyDescent="0.35">
      <c r="B91" s="40" t="s">
        <v>557</v>
      </c>
      <c r="C91" s="40">
        <f>AVERAGE(D91:D92)</f>
        <v>8.3500000000000014</v>
      </c>
      <c r="D91" s="112">
        <v>8.5500000000000007</v>
      </c>
      <c r="E91" s="40" t="s">
        <v>555</v>
      </c>
    </row>
    <row r="92" spans="2:20" x14ac:dyDescent="0.35">
      <c r="B92" s="40"/>
      <c r="C92" s="40"/>
      <c r="D92" s="112">
        <v>8.15</v>
      </c>
      <c r="E92" s="40"/>
    </row>
    <row r="93" spans="2:20" x14ac:dyDescent="0.35">
      <c r="B93" s="40" t="s">
        <v>558</v>
      </c>
      <c r="C93" s="103">
        <v>0</v>
      </c>
      <c r="D93" s="40" t="s">
        <v>559</v>
      </c>
      <c r="E93" s="40" t="s">
        <v>315</v>
      </c>
    </row>
    <row r="94" spans="2:20" x14ac:dyDescent="0.35">
      <c r="B94" s="40"/>
      <c r="C94" s="103">
        <v>1</v>
      </c>
      <c r="D94" s="40" t="s">
        <v>560</v>
      </c>
      <c r="E94" s="40" t="s">
        <v>555</v>
      </c>
    </row>
    <row r="95" spans="2:20" x14ac:dyDescent="0.35">
      <c r="B95" s="40"/>
      <c r="C95" s="103">
        <v>0.87</v>
      </c>
      <c r="D95" s="40" t="s">
        <v>453</v>
      </c>
    </row>
    <row r="96" spans="2:20" x14ac:dyDescent="0.35">
      <c r="B96" s="40" t="s">
        <v>561</v>
      </c>
      <c r="C96" s="40">
        <f>R34</f>
        <v>861</v>
      </c>
      <c r="D96" s="40"/>
    </row>
    <row r="98" spans="1:33" x14ac:dyDescent="0.35">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35">
      <c r="A99" s="242" t="s">
        <v>306</v>
      </c>
      <c r="B99" s="2570" t="s">
        <v>315</v>
      </c>
      <c r="C99" s="19"/>
      <c r="D99" s="19" t="s">
        <v>307</v>
      </c>
      <c r="E99" s="19"/>
      <c r="F99" s="19"/>
      <c r="G99" s="19"/>
      <c r="H99" s="19"/>
      <c r="I99" s="19"/>
      <c r="J99" s="19"/>
      <c r="K99" s="19"/>
      <c r="L99" s="19"/>
      <c r="M99" s="19"/>
      <c r="N99" s="19"/>
      <c r="O99" s="19"/>
      <c r="P99" s="19"/>
      <c r="Q99" s="19" t="s">
        <v>308</v>
      </c>
      <c r="R99" s="19" t="s">
        <v>309</v>
      </c>
      <c r="S99" s="19"/>
      <c r="T99" s="19"/>
      <c r="U99" s="19"/>
      <c r="V99" s="19"/>
      <c r="W99" s="19"/>
      <c r="X99" s="19"/>
      <c r="Y99" s="19"/>
      <c r="Z99" s="19"/>
      <c r="AA99" s="19"/>
      <c r="AB99" s="19"/>
      <c r="AC99" s="19"/>
      <c r="AD99" s="19"/>
      <c r="AE99" s="19"/>
      <c r="AF99" s="19"/>
      <c r="AG99" s="19"/>
    </row>
    <row r="100" spans="1:33" x14ac:dyDescent="0.35">
      <c r="A100" s="19"/>
      <c r="B100" s="19"/>
      <c r="D100" s="19"/>
      <c r="E100" s="19"/>
      <c r="F100" s="19"/>
      <c r="G100" s="19"/>
      <c r="H100" s="19"/>
      <c r="I100" s="19"/>
      <c r="J100" s="19"/>
      <c r="K100" s="19"/>
      <c r="L100" s="19"/>
      <c r="M100" s="19"/>
      <c r="N100" s="19"/>
      <c r="O100" s="19" t="s">
        <v>310</v>
      </c>
      <c r="P100" s="19" t="s">
        <v>311</v>
      </c>
      <c r="Q100" s="19" t="s">
        <v>312</v>
      </c>
      <c r="R100" s="19"/>
      <c r="S100" s="19"/>
      <c r="T100" s="19"/>
      <c r="U100" s="19"/>
      <c r="V100" s="19"/>
      <c r="W100" s="19"/>
      <c r="X100" s="19"/>
      <c r="Y100" s="19"/>
      <c r="Z100" s="19"/>
      <c r="AA100" s="19"/>
      <c r="AB100" s="19"/>
      <c r="AC100" s="19"/>
      <c r="AD100" s="19"/>
      <c r="AE100" s="19"/>
      <c r="AF100" s="19"/>
      <c r="AG100" s="19"/>
    </row>
    <row r="101" spans="1:33" x14ac:dyDescent="0.35">
      <c r="A101" s="19"/>
      <c r="B101" s="19" t="s">
        <v>313</v>
      </c>
      <c r="C101" s="2550">
        <v>16</v>
      </c>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35">
      <c r="A102" s="19"/>
      <c r="B102" s="19" t="s">
        <v>314</v>
      </c>
      <c r="C102" s="19">
        <v>6</v>
      </c>
      <c r="D102" s="19" t="s">
        <v>315</v>
      </c>
      <c r="E102" s="19"/>
      <c r="F102" s="19"/>
      <c r="G102" s="19"/>
      <c r="H102" s="19"/>
      <c r="I102" s="19"/>
      <c r="J102" s="19"/>
      <c r="K102" s="19"/>
      <c r="L102" s="19"/>
      <c r="M102" s="19"/>
      <c r="N102" s="19"/>
      <c r="O102" s="19" t="s">
        <v>316</v>
      </c>
      <c r="P102" s="20">
        <v>49484.721852544972</v>
      </c>
      <c r="Q102" s="21">
        <f>P102/$P$106</f>
        <v>0.20710091815423412</v>
      </c>
      <c r="R102" s="20">
        <v>2001.1978273632164</v>
      </c>
      <c r="S102" s="19"/>
      <c r="T102" s="19"/>
      <c r="U102" s="19"/>
      <c r="V102" s="19"/>
      <c r="W102" s="19"/>
      <c r="X102" s="19"/>
      <c r="Y102" s="19"/>
      <c r="Z102" s="19"/>
      <c r="AA102" s="19"/>
      <c r="AB102" s="19"/>
      <c r="AC102" s="19"/>
      <c r="AD102" s="19"/>
      <c r="AE102" s="19"/>
      <c r="AF102" s="19"/>
      <c r="AG102" s="19"/>
    </row>
    <row r="103" spans="1:33" x14ac:dyDescent="0.35">
      <c r="A103" s="19"/>
      <c r="B103" s="19" t="s">
        <v>314</v>
      </c>
      <c r="C103" s="19">
        <v>18</v>
      </c>
      <c r="D103" s="19" t="s">
        <v>298</v>
      </c>
      <c r="E103" s="19"/>
      <c r="F103" s="19"/>
      <c r="G103" s="19"/>
      <c r="H103" s="19"/>
      <c r="I103" s="19"/>
      <c r="J103" s="19"/>
      <c r="K103" s="19"/>
      <c r="L103" s="19"/>
      <c r="M103" s="19"/>
      <c r="N103" s="19"/>
      <c r="O103" s="19" t="s">
        <v>317</v>
      </c>
      <c r="P103" s="20">
        <v>27749.709308893474</v>
      </c>
      <c r="Q103" s="21">
        <f>P103/$P$106</f>
        <v>0.11613665917957204</v>
      </c>
      <c r="R103" s="20">
        <v>1626.2641238003303</v>
      </c>
      <c r="S103" s="19"/>
      <c r="T103" s="19"/>
      <c r="U103" s="19"/>
      <c r="V103" s="19"/>
      <c r="W103" s="19"/>
      <c r="X103" s="19"/>
      <c r="Y103" s="19"/>
      <c r="Z103" s="19"/>
      <c r="AA103" s="19"/>
      <c r="AB103" s="19"/>
      <c r="AC103" s="19"/>
      <c r="AD103" s="19"/>
      <c r="AE103" s="19"/>
      <c r="AF103" s="19"/>
      <c r="AG103" s="19"/>
    </row>
    <row r="104" spans="1:33" x14ac:dyDescent="0.35">
      <c r="A104" s="19"/>
      <c r="B104" s="19" t="s">
        <v>292</v>
      </c>
      <c r="C104" s="19">
        <v>0.72</v>
      </c>
      <c r="D104" s="19"/>
      <c r="E104" s="19"/>
      <c r="F104" s="19"/>
      <c r="G104" s="19"/>
      <c r="H104" s="19"/>
      <c r="I104" s="19"/>
      <c r="J104" s="19"/>
      <c r="K104" s="19"/>
      <c r="L104" s="19"/>
      <c r="M104" s="19"/>
      <c r="N104" s="19"/>
      <c r="O104" s="19" t="s">
        <v>318</v>
      </c>
      <c r="P104" s="20">
        <v>82405.488555726013</v>
      </c>
      <c r="Q104" s="21">
        <f>P104/$P$106</f>
        <v>0.3448792213421602</v>
      </c>
      <c r="R104" s="20">
        <v>1371.2427549614802</v>
      </c>
      <c r="S104" s="19"/>
      <c r="T104" s="19"/>
      <c r="U104" s="19"/>
      <c r="V104" s="19"/>
      <c r="W104" s="19"/>
      <c r="X104" s="19"/>
      <c r="Y104" s="19"/>
      <c r="Z104" s="19"/>
      <c r="AA104" s="19"/>
      <c r="AB104" s="19"/>
      <c r="AC104" s="19"/>
      <c r="AD104" s="19"/>
      <c r="AE104" s="19"/>
      <c r="AF104" s="19"/>
      <c r="AG104" s="19"/>
    </row>
    <row r="105" spans="1:33" x14ac:dyDescent="0.35">
      <c r="A105" s="19"/>
      <c r="B105" s="19" t="s">
        <v>319</v>
      </c>
      <c r="C105" s="19">
        <v>1518</v>
      </c>
      <c r="D105" s="19"/>
      <c r="E105" s="19"/>
      <c r="F105" s="19"/>
      <c r="G105" s="19"/>
      <c r="H105" s="19"/>
      <c r="I105" s="19"/>
      <c r="J105" s="19"/>
      <c r="K105" s="19"/>
      <c r="L105" s="19"/>
      <c r="M105" s="19"/>
      <c r="N105" s="19"/>
      <c r="O105" s="19" t="s">
        <v>320</v>
      </c>
      <c r="P105" s="20">
        <v>79300.217746119248</v>
      </c>
      <c r="Q105" s="21">
        <f>P105/$P$106</f>
        <v>0.33188320132403359</v>
      </c>
      <c r="R105" s="20">
        <v>901.54909539264872</v>
      </c>
      <c r="S105" s="19"/>
      <c r="T105" s="19"/>
      <c r="U105" s="19"/>
      <c r="V105" s="19"/>
      <c r="W105" s="19"/>
      <c r="X105" s="19"/>
      <c r="Y105" s="19"/>
      <c r="Z105" s="19"/>
      <c r="AA105" s="19"/>
      <c r="AB105" s="19"/>
      <c r="AC105" s="19"/>
      <c r="AD105" s="19"/>
      <c r="AE105" s="19"/>
      <c r="AF105" s="19"/>
      <c r="AG105" s="19"/>
    </row>
    <row r="106" spans="1:33" x14ac:dyDescent="0.35">
      <c r="A106" s="19"/>
      <c r="B106" s="19"/>
      <c r="C106" s="19"/>
      <c r="D106" s="19"/>
      <c r="E106" s="19"/>
      <c r="F106" s="19"/>
      <c r="G106" s="19"/>
      <c r="H106" s="19"/>
      <c r="I106" s="19"/>
      <c r="J106" s="19"/>
      <c r="K106" s="19"/>
      <c r="L106" s="19"/>
      <c r="M106" s="19"/>
      <c r="N106" s="19"/>
      <c r="O106" s="19"/>
      <c r="P106" s="22">
        <f>SUM(P102:P105)</f>
        <v>238940.13746328373</v>
      </c>
      <c r="Q106" s="19"/>
      <c r="R106" s="19"/>
      <c r="S106" s="23">
        <f>SUMPRODUCT(Q102:Q105,R102:R105)</f>
        <v>1375.4409232688377</v>
      </c>
      <c r="T106" s="24">
        <f>S106/(S113/T113)</f>
        <v>2.1749203593035333</v>
      </c>
      <c r="U106" s="19"/>
      <c r="V106" s="19"/>
      <c r="W106" s="19"/>
      <c r="X106" s="19"/>
      <c r="Y106" s="19"/>
      <c r="Z106" s="19"/>
      <c r="AA106" s="19"/>
      <c r="AB106" s="19"/>
      <c r="AC106" s="19"/>
      <c r="AD106" s="19"/>
      <c r="AE106" s="19"/>
      <c r="AF106" s="19"/>
      <c r="AG106" s="19"/>
    </row>
    <row r="107" spans="1:33" x14ac:dyDescent="0.35">
      <c r="A107" s="19"/>
      <c r="B107" s="19" t="s">
        <v>321</v>
      </c>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35">
      <c r="A108" s="19"/>
      <c r="B108" s="19" t="s">
        <v>322</v>
      </c>
      <c r="C108" s="19">
        <v>730</v>
      </c>
      <c r="D108" s="19" t="s">
        <v>323</v>
      </c>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35">
      <c r="A109" s="19"/>
      <c r="B109" s="121" t="s">
        <v>324</v>
      </c>
      <c r="C109" s="19">
        <v>1754</v>
      </c>
      <c r="D109" s="19" t="s">
        <v>323</v>
      </c>
      <c r="E109" s="19"/>
      <c r="F109" s="19"/>
      <c r="G109" s="19"/>
      <c r="H109" s="19"/>
      <c r="I109" s="19"/>
      <c r="J109" s="19"/>
      <c r="K109" s="19"/>
      <c r="L109" s="19"/>
      <c r="M109" s="19"/>
      <c r="N109" s="19"/>
      <c r="O109" s="19" t="s">
        <v>1</v>
      </c>
      <c r="P109" s="20">
        <v>548793.86503782542</v>
      </c>
      <c r="Q109" s="21">
        <f>P109/$P$113</f>
        <v>0.53827496957542731</v>
      </c>
      <c r="R109" s="20">
        <v>2069.2508823725238</v>
      </c>
      <c r="S109" s="19"/>
      <c r="T109" s="19"/>
      <c r="U109" s="19"/>
      <c r="V109" s="19"/>
      <c r="W109" s="19"/>
      <c r="X109" s="19"/>
      <c r="Y109" s="19"/>
      <c r="Z109" s="19"/>
      <c r="AA109" s="19"/>
      <c r="AB109" s="19"/>
      <c r="AC109" s="19"/>
      <c r="AD109" s="19"/>
      <c r="AE109" s="19"/>
      <c r="AF109" s="19"/>
      <c r="AG109" s="19"/>
    </row>
    <row r="110" spans="1:33" x14ac:dyDescent="0.35">
      <c r="A110" s="19"/>
      <c r="B110" s="19" t="s">
        <v>325</v>
      </c>
      <c r="C110" s="20">
        <v>36000</v>
      </c>
      <c r="D110" s="19" t="s">
        <v>294</v>
      </c>
      <c r="E110" s="19" t="s">
        <v>326</v>
      </c>
      <c r="F110" s="19"/>
      <c r="G110" s="279" t="s">
        <v>1</v>
      </c>
      <c r="H110" s="19"/>
      <c r="I110" s="19"/>
      <c r="J110" s="279" t="s">
        <v>282</v>
      </c>
      <c r="K110" s="19"/>
      <c r="L110" s="19"/>
      <c r="M110" s="19"/>
      <c r="N110" s="19"/>
      <c r="O110" s="19" t="s">
        <v>327</v>
      </c>
      <c r="P110" s="20">
        <v>110360.68135199722</v>
      </c>
      <c r="Q110" s="21">
        <f>P110/$P$113</f>
        <v>0.10824536530300918</v>
      </c>
      <c r="R110" s="20">
        <v>1636.7861742128084</v>
      </c>
      <c r="S110" s="19"/>
      <c r="T110" s="19"/>
      <c r="U110" s="19"/>
      <c r="V110" s="19"/>
      <c r="W110" s="19"/>
      <c r="X110" s="19"/>
      <c r="Y110" s="19"/>
      <c r="Z110" s="19"/>
      <c r="AA110" s="19"/>
      <c r="AB110" s="19"/>
      <c r="AC110" s="19"/>
      <c r="AD110" s="19"/>
      <c r="AE110" s="19"/>
      <c r="AF110" s="19"/>
      <c r="AG110" s="19"/>
    </row>
    <row r="111" spans="1:33" x14ac:dyDescent="0.35">
      <c r="A111" s="19"/>
      <c r="B111" s="19"/>
      <c r="C111" s="20">
        <f>C110/(T113/T106)</f>
        <v>26099.044311642399</v>
      </c>
      <c r="D111" s="19" t="s">
        <v>328</v>
      </c>
      <c r="E111" s="19"/>
      <c r="F111" s="19"/>
      <c r="G111" s="19" t="s">
        <v>322</v>
      </c>
      <c r="H111" s="19">
        <v>730</v>
      </c>
      <c r="I111" s="19"/>
      <c r="J111" s="19" t="s">
        <v>322</v>
      </c>
      <c r="K111" s="19">
        <v>663</v>
      </c>
      <c r="L111" s="19"/>
      <c r="M111" s="19"/>
      <c r="N111" s="19"/>
      <c r="O111" s="19" t="s">
        <v>329</v>
      </c>
      <c r="P111" s="20">
        <v>305774.93129154341</v>
      </c>
      <c r="Q111" s="21">
        <f>P111/$P$113</f>
        <v>0.29991405211233463</v>
      </c>
      <c r="R111" s="20">
        <v>1818.2867687851283</v>
      </c>
      <c r="S111" s="19"/>
      <c r="T111" s="19"/>
      <c r="U111" s="19"/>
      <c r="V111" s="19"/>
      <c r="W111" s="19"/>
      <c r="X111" s="19"/>
      <c r="Y111" s="19"/>
      <c r="Z111" s="19"/>
      <c r="AA111" s="19"/>
      <c r="AB111" s="19"/>
      <c r="AC111" s="19"/>
      <c r="AD111" s="19"/>
      <c r="AE111" s="19"/>
      <c r="AF111" s="19"/>
      <c r="AG111" s="19"/>
    </row>
    <row r="112" spans="1:33" x14ac:dyDescent="0.35">
      <c r="A112" s="19"/>
      <c r="B112" s="19" t="s">
        <v>330</v>
      </c>
      <c r="C112" s="20">
        <v>36000</v>
      </c>
      <c r="D112" s="19" t="s">
        <v>294</v>
      </c>
      <c r="E112" s="19" t="s">
        <v>331</v>
      </c>
      <c r="F112" s="19"/>
      <c r="G112" s="19" t="s">
        <v>324</v>
      </c>
      <c r="H112" s="19">
        <v>1754</v>
      </c>
      <c r="I112" s="19"/>
      <c r="J112" s="19" t="s">
        <v>324</v>
      </c>
      <c r="K112" s="19">
        <v>1754</v>
      </c>
      <c r="L112" s="19"/>
      <c r="M112" s="19"/>
      <c r="N112" s="19"/>
      <c r="O112" s="19" t="s">
        <v>332</v>
      </c>
      <c r="P112" s="20">
        <v>54612.384855350298</v>
      </c>
      <c r="Q112" s="21">
        <f>P112/$P$113</f>
        <v>5.3565613009229004E-2</v>
      </c>
      <c r="R112" s="20">
        <v>1136.9073299622332</v>
      </c>
      <c r="S112" s="19"/>
      <c r="T112" s="19"/>
      <c r="U112" s="19"/>
      <c r="V112" s="19"/>
      <c r="W112" s="19"/>
      <c r="X112" s="19"/>
      <c r="Y112" s="19"/>
      <c r="Z112" s="19"/>
      <c r="AA112" s="19"/>
      <c r="AB112" s="19"/>
      <c r="AC112" s="19"/>
      <c r="AD112" s="19"/>
      <c r="AE112" s="19"/>
      <c r="AF112" s="19"/>
      <c r="AG112" s="19"/>
    </row>
    <row r="113" spans="1:33" x14ac:dyDescent="0.35">
      <c r="A113" s="19"/>
      <c r="B113" s="19"/>
      <c r="C113" s="20">
        <f>C112/(T113/T106)</f>
        <v>26099.044311642399</v>
      </c>
      <c r="D113" s="19" t="s">
        <v>328</v>
      </c>
      <c r="E113" s="19"/>
      <c r="F113" s="19"/>
      <c r="G113" s="19"/>
      <c r="H113" s="19"/>
      <c r="I113" s="19"/>
      <c r="J113" s="19"/>
      <c r="K113" s="19"/>
      <c r="L113" s="19"/>
      <c r="M113" s="19"/>
      <c r="N113" s="19"/>
      <c r="O113" s="19"/>
      <c r="P113" s="22">
        <f>SUM(P109:P112)</f>
        <v>1019541.8625367163</v>
      </c>
      <c r="Q113" s="19"/>
      <c r="R113" s="19"/>
      <c r="S113" s="23">
        <f>SUMPRODUCT(Q109:Q112,R109:R112)</f>
        <v>1897.229363896281</v>
      </c>
      <c r="T113" s="19">
        <v>3</v>
      </c>
      <c r="U113" s="19"/>
      <c r="V113" s="19"/>
      <c r="W113" s="19"/>
      <c r="X113" s="19"/>
      <c r="Y113" s="19"/>
      <c r="Z113" s="19"/>
      <c r="AA113" s="19"/>
      <c r="AB113" s="19"/>
      <c r="AC113" s="19"/>
      <c r="AD113" s="19"/>
      <c r="AE113" s="19"/>
      <c r="AF113" s="19"/>
      <c r="AG113" s="19"/>
    </row>
    <row r="114" spans="1:33" x14ac:dyDescent="0.35">
      <c r="A114" s="19"/>
      <c r="B114" s="19" t="s">
        <v>333</v>
      </c>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35">
      <c r="A115" s="19"/>
      <c r="B115" s="19" t="s">
        <v>334</v>
      </c>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35">
      <c r="A117" s="19"/>
      <c r="B117" s="230" t="s">
        <v>1</v>
      </c>
      <c r="C117" s="29" t="s">
        <v>297</v>
      </c>
      <c r="D117" s="29"/>
      <c r="E117" s="29"/>
      <c r="F117" s="29"/>
      <c r="G117" s="29"/>
      <c r="H117" s="29"/>
      <c r="I117" s="29"/>
      <c r="J117" s="29"/>
      <c r="K117" s="29"/>
      <c r="L117" s="29"/>
      <c r="M117" s="29"/>
      <c r="N117" s="19"/>
      <c r="O117" s="19"/>
      <c r="P117" s="19"/>
      <c r="Q117" s="19"/>
      <c r="R117" s="19"/>
      <c r="S117" s="19"/>
      <c r="T117" s="19"/>
    </row>
    <row r="118" spans="1:33" x14ac:dyDescent="0.35">
      <c r="A118" s="19"/>
      <c r="B118" s="31" t="s">
        <v>297</v>
      </c>
      <c r="C118" s="31" t="s">
        <v>335</v>
      </c>
      <c r="D118" s="31" t="s">
        <v>336</v>
      </c>
      <c r="E118" s="31" t="s">
        <v>337</v>
      </c>
      <c r="F118" s="31" t="s">
        <v>338</v>
      </c>
      <c r="G118" s="31" t="s">
        <v>339</v>
      </c>
      <c r="H118" s="31" t="s">
        <v>340</v>
      </c>
      <c r="I118" s="31" t="s">
        <v>341</v>
      </c>
      <c r="J118" s="32" t="s">
        <v>342</v>
      </c>
      <c r="K118" s="31" t="s">
        <v>343</v>
      </c>
      <c r="L118" s="31" t="s">
        <v>344</v>
      </c>
      <c r="M118" s="32" t="s">
        <v>301</v>
      </c>
      <c r="N118" s="121" t="s">
        <v>795</v>
      </c>
      <c r="O118" s="121" t="s">
        <v>796</v>
      </c>
      <c r="P118" s="19"/>
      <c r="Q118" s="19"/>
      <c r="R118" s="19"/>
      <c r="S118" s="19"/>
      <c r="T118" s="19"/>
    </row>
    <row r="119" spans="1:33" x14ac:dyDescent="0.35">
      <c r="A119" s="19"/>
      <c r="B119" s="257" t="s">
        <v>345</v>
      </c>
      <c r="C119" s="34">
        <f>548*(C110/12000)</f>
        <v>1644</v>
      </c>
      <c r="D119" s="31">
        <v>14</v>
      </c>
      <c r="E119" s="31"/>
      <c r="F119" s="31">
        <v>18</v>
      </c>
      <c r="G119" s="31">
        <v>8.1999999999999993</v>
      </c>
      <c r="H119" s="37"/>
      <c r="I119" s="37">
        <v>9.5</v>
      </c>
      <c r="J119" s="289">
        <f xml:space="preserve"> (($H$111 * $C$110 * (1/D119 - 1/F119)) / 1000) + (($C$112 * $H$112 * (1/G119 - 1/I119)) / 1000)</f>
        <v>1470.8938199156437</v>
      </c>
      <c r="K119" s="2551">
        <v>11</v>
      </c>
      <c r="L119" s="31">
        <f xml:space="preserve"> (-0.02 * F119) + (1.12 * F119)</f>
        <v>19.800000000000004</v>
      </c>
      <c r="M119" s="290">
        <f xml:space="preserve"> (($C$110 * (1/K119 - 1/L119)) /1000) * $C$104</f>
        <v>1.0472727272727276</v>
      </c>
      <c r="N119" s="19"/>
      <c r="O119" s="19"/>
      <c r="P119" s="19"/>
      <c r="Q119" s="19"/>
      <c r="R119" s="19"/>
      <c r="S119" s="19"/>
      <c r="T119" s="19"/>
    </row>
    <row r="120" spans="1:33" x14ac:dyDescent="0.35">
      <c r="A120" s="19"/>
      <c r="B120" s="257" t="s">
        <v>346</v>
      </c>
      <c r="C120" s="34"/>
      <c r="D120" s="31"/>
      <c r="E120" s="31"/>
      <c r="F120" s="31"/>
      <c r="G120" s="31"/>
      <c r="H120" s="37"/>
      <c r="I120" s="37"/>
      <c r="J120" s="289"/>
      <c r="K120" s="31"/>
      <c r="L120" s="31"/>
      <c r="M120" s="290"/>
      <c r="N120" s="19"/>
      <c r="O120" s="19"/>
      <c r="P120" s="19"/>
      <c r="Q120" s="19"/>
      <c r="R120" s="19"/>
      <c r="S120" s="19"/>
      <c r="T120" s="19"/>
    </row>
    <row r="121" spans="1:33" x14ac:dyDescent="0.35">
      <c r="A121" s="19"/>
      <c r="B121" s="38" t="s">
        <v>347</v>
      </c>
      <c r="C121" s="34">
        <f>1929*(C110/12000)</f>
        <v>5787</v>
      </c>
      <c r="D121" s="31"/>
      <c r="E121" s="2551">
        <v>9.3000000000000007</v>
      </c>
      <c r="F121" s="31">
        <v>18</v>
      </c>
      <c r="G121" s="31"/>
      <c r="H121" s="2551">
        <v>5.54</v>
      </c>
      <c r="I121" s="31">
        <v>9.5</v>
      </c>
      <c r="J121" s="289">
        <f xml:space="preserve"> (($H$111 * $C$110 * (1/E121 - 1/F121)) / 1000) + (($C$112 * $H$112 * (1/H121 - 1/I121)) / 1000)</f>
        <v>6116.9035445256923</v>
      </c>
      <c r="K121" s="31">
        <f xml:space="preserve"> (-0.02 * E121) + (1.12 * E121)</f>
        <v>10.230000000000002</v>
      </c>
      <c r="L121" s="31">
        <f xml:space="preserve"> (-0.02 * F121) + (1.12 * F121)</f>
        <v>19.800000000000004</v>
      </c>
      <c r="M121" s="290">
        <f xml:space="preserve"> (($C$110 * (1/K121 - 1/L121)) /1000) * $C$104</f>
        <v>1.2246334310850437</v>
      </c>
      <c r="N121" s="28"/>
      <c r="O121" s="19"/>
      <c r="P121" s="19"/>
      <c r="Q121" s="19"/>
      <c r="R121" s="19"/>
      <c r="S121" s="19"/>
      <c r="T121" s="19"/>
    </row>
    <row r="122" spans="1:33" x14ac:dyDescent="0.35">
      <c r="A122" s="19"/>
      <c r="B122" s="38" t="s">
        <v>348</v>
      </c>
      <c r="C122" s="34">
        <f>1929*(C110/12000)</f>
        <v>5787</v>
      </c>
      <c r="D122" s="31"/>
      <c r="E122" s="31">
        <v>8.6</v>
      </c>
      <c r="F122" s="31">
        <v>18</v>
      </c>
      <c r="G122" s="31"/>
      <c r="H122" s="31">
        <v>3.41</v>
      </c>
      <c r="I122" s="31">
        <v>9.5</v>
      </c>
      <c r="J122" s="289">
        <f xml:space="preserve"> (($H$111 * $C$110 * (1/E122 - 1/F122)) / 1000) + (($C$112 * $H$112 * (1/H122 - 1/I122)) / 1000)</f>
        <v>13466.37916416903</v>
      </c>
      <c r="K122" s="31">
        <f xml:space="preserve"> (-0.02 * E122) + (1.12 * E122)</f>
        <v>9.4599999999999991</v>
      </c>
      <c r="L122" s="31">
        <f xml:space="preserve"> (-0.02 * F122) + (1.12 * F122)</f>
        <v>19.800000000000004</v>
      </c>
      <c r="M122" s="290">
        <f xml:space="preserve"> (($C$110 * (1/K122 - 1/L122)) /1000) * $C$104</f>
        <v>1.4308668076109938</v>
      </c>
      <c r="N122" s="28"/>
      <c r="O122" s="19"/>
      <c r="P122" s="19"/>
      <c r="Q122" s="19"/>
      <c r="R122" s="19"/>
      <c r="S122" s="19"/>
      <c r="T122" s="19"/>
    </row>
    <row r="123" spans="1:33" x14ac:dyDescent="0.35">
      <c r="A123" s="19"/>
      <c r="B123" s="288" t="s">
        <v>8</v>
      </c>
      <c r="C123" s="31" t="s">
        <v>297</v>
      </c>
      <c r="D123" s="31"/>
      <c r="E123" s="31"/>
      <c r="F123" s="31"/>
      <c r="G123" s="31"/>
      <c r="H123" s="31"/>
      <c r="I123" s="31"/>
      <c r="J123" s="32"/>
      <c r="K123" s="31"/>
      <c r="L123" s="31"/>
      <c r="M123" s="32"/>
      <c r="N123" s="19"/>
      <c r="O123" s="19"/>
      <c r="P123" s="19"/>
      <c r="Q123" s="19"/>
      <c r="R123" s="19"/>
      <c r="S123" s="19"/>
      <c r="T123" s="19"/>
    </row>
    <row r="124" spans="1:33" x14ac:dyDescent="0.35">
      <c r="A124" s="19"/>
      <c r="B124" s="31" t="s">
        <v>297</v>
      </c>
      <c r="C124" s="31" t="s">
        <v>335</v>
      </c>
      <c r="D124" s="31" t="s">
        <v>336</v>
      </c>
      <c r="E124" s="31" t="s">
        <v>337</v>
      </c>
      <c r="F124" s="31" t="s">
        <v>338</v>
      </c>
      <c r="G124" s="31" t="s">
        <v>339</v>
      </c>
      <c r="H124" s="31" t="s">
        <v>340</v>
      </c>
      <c r="I124" s="31" t="s">
        <v>341</v>
      </c>
      <c r="J124" s="32" t="s">
        <v>342</v>
      </c>
      <c r="K124" s="31" t="s">
        <v>343</v>
      </c>
      <c r="L124" s="31" t="s">
        <v>344</v>
      </c>
      <c r="M124" s="32" t="s">
        <v>301</v>
      </c>
      <c r="N124" s="19"/>
      <c r="O124" s="19"/>
      <c r="P124" s="19"/>
      <c r="Q124" s="19"/>
      <c r="R124" s="19"/>
      <c r="S124" s="19"/>
      <c r="T124" s="19"/>
    </row>
    <row r="125" spans="1:33" x14ac:dyDescent="0.35">
      <c r="A125" s="19"/>
      <c r="B125" s="257" t="s">
        <v>345</v>
      </c>
      <c r="C125" s="34">
        <f>548*(C111/12000)</f>
        <v>1191.8563568983363</v>
      </c>
      <c r="D125" s="31">
        <v>14</v>
      </c>
      <c r="E125" s="31"/>
      <c r="F125" s="31">
        <v>18</v>
      </c>
      <c r="G125" s="31">
        <v>8.1999999999999993</v>
      </c>
      <c r="H125" s="37"/>
      <c r="I125" s="37">
        <v>9.5</v>
      </c>
      <c r="J125" s="289">
        <f xml:space="preserve"> (($K$111 * $C$111 * (1/D125 - 1/F125)) / 1000) + (($C$113 * $K$112 * (1/G125 - 1/I125)) / 1000)</f>
        <v>1038.6028452792668</v>
      </c>
      <c r="K125" s="2551">
        <v>11</v>
      </c>
      <c r="L125" s="31">
        <f xml:space="preserve"> (-0.02 * F125) + (1.12 * F125)</f>
        <v>19.800000000000004</v>
      </c>
      <c r="M125" s="290">
        <f xml:space="preserve"> (($C$111 * (1/K125 - 1/L125)) /1000) * $C$104</f>
        <v>0.75924492542959732</v>
      </c>
      <c r="N125" s="19"/>
      <c r="O125" s="19"/>
      <c r="P125" s="19"/>
      <c r="Q125" s="19"/>
      <c r="R125" s="19"/>
      <c r="S125" s="19"/>
      <c r="T125" s="19"/>
    </row>
    <row r="126" spans="1:33" x14ac:dyDescent="0.35">
      <c r="A126" s="19"/>
      <c r="B126" s="257" t="s">
        <v>346</v>
      </c>
      <c r="C126" s="34"/>
      <c r="D126" s="31"/>
      <c r="E126" s="31"/>
      <c r="F126" s="31"/>
      <c r="G126" s="31"/>
      <c r="H126" s="37"/>
      <c r="I126" s="37"/>
      <c r="J126" s="289"/>
      <c r="K126" s="31"/>
      <c r="L126" s="31"/>
      <c r="M126" s="290"/>
      <c r="N126" s="19"/>
      <c r="O126" s="19"/>
      <c r="P126" s="19"/>
      <c r="Q126" s="19"/>
      <c r="R126" s="19"/>
      <c r="S126" s="19"/>
      <c r="T126" s="19"/>
    </row>
    <row r="127" spans="1:33" x14ac:dyDescent="0.35">
      <c r="A127" s="19"/>
      <c r="B127" s="38" t="s">
        <v>347</v>
      </c>
      <c r="C127" s="34">
        <f>1929*(C111/12000)</f>
        <v>4195.4213730965157</v>
      </c>
      <c r="D127" s="31"/>
      <c r="E127" s="2551">
        <v>9.3000000000000007</v>
      </c>
      <c r="F127" s="31">
        <v>18</v>
      </c>
      <c r="G127" s="31"/>
      <c r="H127" s="2551">
        <v>5.54</v>
      </c>
      <c r="I127" s="31">
        <v>9.5</v>
      </c>
      <c r="J127" s="289">
        <f xml:space="preserve"> (($K$111 * $C$111 * (1/E127 - 1/F127)) / 1000) + (($C$113 * $K$112 * (1/H127 - 1/I127)) / 1000)</f>
        <v>4343.7137546793283</v>
      </c>
      <c r="K127" s="31">
        <f xml:space="preserve"> (-0.02 * E127) + (1.12 * E127)</f>
        <v>10.230000000000002</v>
      </c>
      <c r="L127" s="31">
        <f xml:space="preserve"> (-0.02 * F127) + (1.12 * F127)</f>
        <v>19.800000000000004</v>
      </c>
      <c r="M127" s="290">
        <f xml:space="preserve"> (($C$111 * (1/K127 - 1/L127)) /1000) * $C$104</f>
        <v>0.88782672731686718</v>
      </c>
      <c r="N127" s="28"/>
      <c r="O127" s="19"/>
      <c r="P127" s="19"/>
      <c r="Q127" s="19"/>
      <c r="R127" s="19"/>
      <c r="S127" s="19"/>
      <c r="T127" s="19"/>
    </row>
    <row r="128" spans="1:33" x14ac:dyDescent="0.35">
      <c r="A128" s="19"/>
      <c r="B128" s="291" t="s">
        <v>348</v>
      </c>
      <c r="C128" s="285">
        <f>1929*(C111/12000)</f>
        <v>4195.4213730965157</v>
      </c>
      <c r="D128" s="143"/>
      <c r="E128" s="143">
        <v>8.6</v>
      </c>
      <c r="F128" s="143">
        <v>18</v>
      </c>
      <c r="G128" s="143"/>
      <c r="H128" s="143">
        <v>3.41</v>
      </c>
      <c r="I128" s="143">
        <v>9.5</v>
      </c>
      <c r="J128" s="292">
        <f xml:space="preserve"> (($K$111 * $C$111 * (1/E128 - 1/F128)) / 1000) + (($C$113 * $K$112 * (1/H128 - 1/I128)) / 1000)</f>
        <v>9656.5840823096714</v>
      </c>
      <c r="K128" s="143">
        <f xml:space="preserve"> (-0.02 * E128) + (1.12 * E128)</f>
        <v>9.4599999999999991</v>
      </c>
      <c r="L128" s="143">
        <f xml:space="preserve"> (-0.02 * F128) + (1.12 * F128)</f>
        <v>19.800000000000004</v>
      </c>
      <c r="M128" s="293">
        <f xml:space="preserve"> (($C$111 * (1/K128 - 1/L128)) /1000) * $C$104</f>
        <v>1.0373404504416008</v>
      </c>
      <c r="N128" s="28"/>
      <c r="O128" s="19"/>
      <c r="P128" s="19"/>
      <c r="Q128" s="19"/>
      <c r="R128" s="19"/>
      <c r="S128" s="19"/>
      <c r="T128" s="19"/>
    </row>
    <row r="129" spans="1:20" x14ac:dyDescent="0.35">
      <c r="A129" s="19"/>
      <c r="B129" s="230" t="s">
        <v>1</v>
      </c>
      <c r="C129" s="29" t="s">
        <v>297</v>
      </c>
      <c r="D129" s="29"/>
      <c r="E129" s="29"/>
      <c r="F129" s="29"/>
      <c r="G129" s="29"/>
      <c r="H129" s="29"/>
      <c r="I129" s="29"/>
      <c r="J129" s="30"/>
      <c r="K129" s="29"/>
      <c r="L129" s="29"/>
      <c r="M129" s="30"/>
      <c r="N129" s="19"/>
      <c r="O129" s="19"/>
      <c r="P129" s="19"/>
      <c r="Q129" s="19"/>
      <c r="R129" s="19"/>
      <c r="S129" s="19"/>
      <c r="T129" s="19"/>
    </row>
    <row r="130" spans="1:20" x14ac:dyDescent="0.35">
      <c r="A130" s="19"/>
      <c r="B130" s="31" t="s">
        <v>297</v>
      </c>
      <c r="C130" s="31" t="s">
        <v>335</v>
      </c>
      <c r="D130" s="31" t="s">
        <v>336</v>
      </c>
      <c r="E130" s="31" t="s">
        <v>337</v>
      </c>
      <c r="F130" s="31" t="s">
        <v>338</v>
      </c>
      <c r="G130" s="31" t="s">
        <v>339</v>
      </c>
      <c r="H130" s="31" t="s">
        <v>340</v>
      </c>
      <c r="I130" s="31" t="s">
        <v>341</v>
      </c>
      <c r="J130" s="32" t="s">
        <v>342</v>
      </c>
      <c r="K130" s="31" t="s">
        <v>343</v>
      </c>
      <c r="L130" s="31" t="s">
        <v>344</v>
      </c>
      <c r="M130" s="32" t="s">
        <v>301</v>
      </c>
      <c r="N130" s="19"/>
      <c r="O130" s="19"/>
      <c r="P130" s="19"/>
      <c r="Q130" s="19"/>
      <c r="R130" s="19"/>
      <c r="S130" s="19"/>
      <c r="T130" s="19"/>
    </row>
    <row r="131" spans="1:20" x14ac:dyDescent="0.35">
      <c r="A131" s="19"/>
      <c r="B131" s="33" t="s">
        <v>349</v>
      </c>
      <c r="C131" s="34">
        <f>274*(C110/12000)</f>
        <v>822</v>
      </c>
      <c r="D131" s="31">
        <v>14</v>
      </c>
      <c r="E131" s="31"/>
      <c r="F131" s="31">
        <v>16</v>
      </c>
      <c r="G131" s="35">
        <v>8.1999999999999993</v>
      </c>
      <c r="H131" s="36"/>
      <c r="I131" s="451">
        <v>9</v>
      </c>
      <c r="J131" s="289">
        <f xml:space="preserve"> (($H$111 * $C$110 * (1/D131 - 1/F131)) / 1000) + (($C$112 * $H$112 * (1/G131 - 1/I131)) / 1000)</f>
        <v>919.13066202090704</v>
      </c>
      <c r="K131" s="2551">
        <v>11</v>
      </c>
      <c r="L131" s="451">
        <v>12.5</v>
      </c>
      <c r="M131" s="290">
        <f xml:space="preserve"> (($C$110 * (1/K131 - 1/L131)) /1000) * $C$104</f>
        <v>0.28276363636363638</v>
      </c>
      <c r="N131" s="19"/>
      <c r="O131" s="19"/>
      <c r="P131" s="19"/>
      <c r="Q131" s="19"/>
      <c r="R131" s="19"/>
      <c r="S131" s="19"/>
      <c r="T131" s="19"/>
    </row>
    <row r="132" spans="1:20" x14ac:dyDescent="0.35">
      <c r="A132" s="19"/>
      <c r="B132" s="33" t="s">
        <v>350</v>
      </c>
      <c r="C132" s="34"/>
      <c r="D132" s="31"/>
      <c r="E132" s="31"/>
      <c r="F132" s="31"/>
      <c r="G132" s="31"/>
      <c r="H132" s="37"/>
      <c r="I132" s="37"/>
      <c r="J132" s="289"/>
      <c r="K132" s="451"/>
      <c r="L132" s="451"/>
      <c r="M132" s="290"/>
      <c r="N132" s="19"/>
      <c r="O132" s="19"/>
      <c r="P132" s="19"/>
      <c r="Q132" s="19"/>
      <c r="R132" s="19"/>
      <c r="S132" s="19"/>
      <c r="T132" s="19"/>
    </row>
    <row r="133" spans="1:20" x14ac:dyDescent="0.35">
      <c r="A133" s="19"/>
      <c r="B133" s="38" t="s">
        <v>347</v>
      </c>
      <c r="C133" s="34">
        <f>1655*(C110/12000)</f>
        <v>4965</v>
      </c>
      <c r="D133" s="31"/>
      <c r="E133" s="2551">
        <v>9.3000000000000007</v>
      </c>
      <c r="F133" s="31">
        <v>16</v>
      </c>
      <c r="G133" s="31"/>
      <c r="H133" s="2551">
        <v>5.54</v>
      </c>
      <c r="I133" s="37">
        <f>I131</f>
        <v>9</v>
      </c>
      <c r="J133" s="289">
        <f xml:space="preserve"> (($H$111 * $C$110 * (1/E133 - 1/F133)) / 1000) + (($C$112 * $H$112 * (1/H133 - 1/I133)) / 1000)</f>
        <v>5565.1403866309538</v>
      </c>
      <c r="K133" s="451">
        <f>(-0.02*E133^2)+(1.12*E133)</f>
        <v>8.6862000000000013</v>
      </c>
      <c r="L133" s="451">
        <f>L131</f>
        <v>12.5</v>
      </c>
      <c r="M133" s="290">
        <f xml:space="preserve"> (($C$110 * (1/K133 - 1/L133)) /1000) * $C$104</f>
        <v>0.91044365545347727</v>
      </c>
      <c r="N133" s="19"/>
      <c r="O133" s="19"/>
      <c r="P133" s="19"/>
      <c r="Q133" s="19"/>
      <c r="R133" s="19"/>
      <c r="S133" s="19"/>
      <c r="T133" s="19"/>
    </row>
    <row r="134" spans="1:20" x14ac:dyDescent="0.35">
      <c r="A134" s="19"/>
      <c r="B134" s="38" t="s">
        <v>348</v>
      </c>
      <c r="C134" s="34">
        <f>1655*(C110/12000)</f>
        <v>4965</v>
      </c>
      <c r="D134" s="31"/>
      <c r="E134" s="31">
        <v>8.6</v>
      </c>
      <c r="F134" s="31">
        <v>16</v>
      </c>
      <c r="G134" s="31"/>
      <c r="H134" s="31">
        <v>3.41</v>
      </c>
      <c r="I134" s="37">
        <f>I131</f>
        <v>9</v>
      </c>
      <c r="J134" s="289">
        <f xml:space="preserve"> (($H$111 * $C$110 * (1/E134 - 1/F134)) / 1000) + (($C$112 * $H$112 * (1/H134 - 1/I134)) / 1000)</f>
        <v>12914.616006274295</v>
      </c>
      <c r="K134" s="451">
        <f>(-0.02*E134^2)+(1.12*E134)</f>
        <v>8.1527999999999992</v>
      </c>
      <c r="L134" s="451">
        <f>L131</f>
        <v>12.5</v>
      </c>
      <c r="M134" s="290">
        <f xml:space="preserve"> (($C$110 * (1/K134 - 1/L134)) /1000) * $C$104</f>
        <v>1.1056758316161319</v>
      </c>
      <c r="N134" s="19"/>
      <c r="O134" s="19"/>
      <c r="P134" s="19"/>
      <c r="Q134" s="19"/>
      <c r="R134" s="19"/>
      <c r="S134" s="19"/>
      <c r="T134" s="19"/>
    </row>
    <row r="135" spans="1:20" x14ac:dyDescent="0.35">
      <c r="A135" s="19"/>
      <c r="B135" s="288" t="s">
        <v>8</v>
      </c>
      <c r="C135" s="31" t="s">
        <v>297</v>
      </c>
      <c r="D135" s="31"/>
      <c r="E135" s="31"/>
      <c r="F135" s="31"/>
      <c r="G135" s="31"/>
      <c r="H135" s="31"/>
      <c r="I135" s="31"/>
      <c r="J135" s="32"/>
      <c r="K135" s="31"/>
      <c r="L135" s="31"/>
      <c r="M135" s="32"/>
      <c r="N135" s="19"/>
      <c r="O135" s="19"/>
      <c r="P135" s="19"/>
      <c r="Q135" s="19"/>
      <c r="R135" s="19"/>
      <c r="S135" s="19"/>
      <c r="T135" s="19"/>
    </row>
    <row r="136" spans="1:20" x14ac:dyDescent="0.35">
      <c r="A136" s="19"/>
      <c r="B136" s="31" t="s">
        <v>297</v>
      </c>
      <c r="C136" s="31" t="s">
        <v>335</v>
      </c>
      <c r="D136" s="31" t="s">
        <v>336</v>
      </c>
      <c r="E136" s="31" t="s">
        <v>337</v>
      </c>
      <c r="F136" s="31" t="s">
        <v>338</v>
      </c>
      <c r="G136" s="31" t="s">
        <v>339</v>
      </c>
      <c r="H136" s="31" t="s">
        <v>340</v>
      </c>
      <c r="I136" s="31" t="s">
        <v>341</v>
      </c>
      <c r="J136" s="32" t="s">
        <v>342</v>
      </c>
      <c r="K136" s="31" t="s">
        <v>343</v>
      </c>
      <c r="L136" s="31" t="s">
        <v>344</v>
      </c>
      <c r="M136" s="32" t="s">
        <v>301</v>
      </c>
      <c r="N136" s="19"/>
      <c r="O136" s="19"/>
      <c r="P136" s="19"/>
      <c r="Q136" s="19"/>
      <c r="R136" s="19"/>
      <c r="S136" s="19"/>
      <c r="T136" s="19"/>
    </row>
    <row r="137" spans="1:20" x14ac:dyDescent="0.35">
      <c r="A137" s="19"/>
      <c r="B137" s="33" t="s">
        <v>349</v>
      </c>
      <c r="C137" s="34">
        <f>274*(C111/12000)</f>
        <v>595.92817844916817</v>
      </c>
      <c r="D137" s="31">
        <v>14</v>
      </c>
      <c r="E137" s="31"/>
      <c r="F137" s="31">
        <v>16</v>
      </c>
      <c r="G137" s="35">
        <v>8.1999999999999993</v>
      </c>
      <c r="H137" s="36"/>
      <c r="I137" s="451">
        <v>9</v>
      </c>
      <c r="J137" s="289">
        <f xml:space="preserve"> (($K$111 * $C$111 * (1/D137 - 1/F137)) / 1000) + (($C$113 * $K$112 * (1/G137 - 1/I137)) / 1000)</f>
        <v>650.73250874575388</v>
      </c>
      <c r="K137" s="2551">
        <v>11</v>
      </c>
      <c r="L137" s="451">
        <v>12.5</v>
      </c>
      <c r="M137" s="290">
        <f xml:space="preserve"> (($C$111 * (1/K137 - 1/L137)) /1000) * $C$104</f>
        <v>0.20499612986599119</v>
      </c>
      <c r="N137" s="19"/>
      <c r="O137" s="19"/>
      <c r="P137" s="19"/>
      <c r="Q137" s="19"/>
      <c r="R137" s="19"/>
      <c r="S137" s="19"/>
      <c r="T137" s="19"/>
    </row>
    <row r="138" spans="1:20" x14ac:dyDescent="0.35">
      <c r="A138" s="19"/>
      <c r="B138" s="33" t="s">
        <v>350</v>
      </c>
      <c r="C138" s="34"/>
      <c r="D138" s="31"/>
      <c r="E138" s="31"/>
      <c r="F138" s="31"/>
      <c r="G138" s="31"/>
      <c r="H138" s="37"/>
      <c r="I138" s="37"/>
      <c r="J138" s="289"/>
      <c r="K138" s="451"/>
      <c r="L138" s="451"/>
      <c r="M138" s="290"/>
      <c r="N138" s="19"/>
      <c r="O138" s="19"/>
      <c r="P138" s="19"/>
      <c r="Q138" s="19"/>
      <c r="R138" s="19"/>
      <c r="S138" s="19"/>
      <c r="T138" s="19"/>
    </row>
    <row r="139" spans="1:20" x14ac:dyDescent="0.35">
      <c r="A139" s="19"/>
      <c r="B139" s="38" t="s">
        <v>347</v>
      </c>
      <c r="C139" s="34">
        <f>1655*(C111/12000)</f>
        <v>3599.4931946473475</v>
      </c>
      <c r="D139" s="31"/>
      <c r="E139" s="2551">
        <v>9.3000000000000007</v>
      </c>
      <c r="F139" s="31">
        <v>16</v>
      </c>
      <c r="G139" s="31"/>
      <c r="H139" s="2551">
        <v>5.54</v>
      </c>
      <c r="I139" s="37">
        <f>I137</f>
        <v>9</v>
      </c>
      <c r="J139" s="289">
        <f xml:space="preserve"> (($K$111 * $C$111 * (1/E139 - 1/F139)) / 1000) + (($C$113 * $K$112 * (1/H139 - 1/I139)) / 1000)</f>
        <v>3955.8434181458151</v>
      </c>
      <c r="K139" s="451">
        <f>(-0.02*E139^2)+(1.12*E139)</f>
        <v>8.6862000000000013</v>
      </c>
      <c r="L139" s="451">
        <f>L137</f>
        <v>12.5</v>
      </c>
      <c r="M139" s="290">
        <f xml:space="preserve"> (($C$111 * (1/K139 - 1/L139)) /1000) * $C$104</f>
        <v>0.66004748074816644</v>
      </c>
      <c r="N139" s="19"/>
      <c r="O139" s="19"/>
      <c r="P139" s="19"/>
      <c r="Q139" s="19"/>
      <c r="R139" s="19"/>
      <c r="S139" s="19"/>
      <c r="T139" s="19"/>
    </row>
    <row r="140" spans="1:20" x14ac:dyDescent="0.35">
      <c r="A140" s="19"/>
      <c r="B140" s="38" t="s">
        <v>348</v>
      </c>
      <c r="C140" s="34">
        <f>1655*(C111/12000)</f>
        <v>3599.4931946473475</v>
      </c>
      <c r="D140" s="31"/>
      <c r="E140" s="31">
        <v>8.6</v>
      </c>
      <c r="F140" s="31">
        <v>16</v>
      </c>
      <c r="G140" s="31"/>
      <c r="H140" s="31">
        <v>3.41</v>
      </c>
      <c r="I140" s="37">
        <f>I137</f>
        <v>9</v>
      </c>
      <c r="J140" s="289">
        <f xml:space="preserve"> (($K$111 * $C$111 * (1/E140 - 1/F140)) / 1000) + (($C$113 * $K$112 * (1/H140 - 1/I140)) / 1000)</f>
        <v>9268.7137457761582</v>
      </c>
      <c r="K140" s="451">
        <f>(-0.02*E140^2)+(1.12*E140)</f>
        <v>8.1527999999999992</v>
      </c>
      <c r="L140" s="451">
        <f>L137</f>
        <v>12.5</v>
      </c>
      <c r="M140" s="290">
        <f xml:space="preserve"> (($C$111 * (1/K140 - 1/L140)) /1000) * $C$104</f>
        <v>0.80158562565726366</v>
      </c>
      <c r="N140" s="19"/>
      <c r="O140" s="19"/>
      <c r="P140" s="19"/>
      <c r="Q140" s="19"/>
      <c r="R140" s="19"/>
      <c r="S140" s="19"/>
      <c r="T140" s="19"/>
    </row>
    <row r="143" spans="1:20" x14ac:dyDescent="0.35">
      <c r="A143" s="242" t="s">
        <v>767</v>
      </c>
      <c r="B143" s="242" t="s">
        <v>768</v>
      </c>
      <c r="C143" s="19"/>
      <c r="D143" s="19"/>
      <c r="E143" s="19"/>
      <c r="F143" s="19"/>
      <c r="G143" s="19"/>
      <c r="H143" s="19"/>
      <c r="I143" s="19"/>
      <c r="J143" s="19"/>
      <c r="K143" s="19"/>
      <c r="L143" s="19"/>
      <c r="M143" s="19"/>
      <c r="N143" s="19"/>
      <c r="O143" s="19"/>
      <c r="P143" s="19"/>
      <c r="Q143" s="19"/>
      <c r="R143" s="19"/>
      <c r="S143" s="19"/>
      <c r="T143" s="19"/>
    </row>
    <row r="144" spans="1:20" x14ac:dyDescent="0.35">
      <c r="A144" s="19"/>
      <c r="B144" s="19"/>
      <c r="C144" s="19"/>
      <c r="D144" s="19"/>
      <c r="E144" s="19"/>
      <c r="F144" s="19"/>
      <c r="G144" s="19"/>
      <c r="H144" s="19"/>
      <c r="I144" s="19"/>
      <c r="J144" s="19"/>
      <c r="K144" s="19"/>
      <c r="L144" s="19"/>
      <c r="M144" s="19"/>
      <c r="N144" s="19"/>
      <c r="O144" s="19"/>
      <c r="P144" s="19"/>
      <c r="Q144" s="19"/>
      <c r="R144" s="19"/>
      <c r="S144" s="19"/>
      <c r="T144" s="19"/>
    </row>
    <row r="145" spans="1:20" x14ac:dyDescent="0.35">
      <c r="A145" s="19"/>
      <c r="B145" s="19" t="s">
        <v>769</v>
      </c>
      <c r="C145" s="19" t="s">
        <v>767</v>
      </c>
      <c r="D145" s="19" t="s">
        <v>770</v>
      </c>
      <c r="E145" s="19"/>
      <c r="F145" s="19"/>
      <c r="G145" s="19"/>
      <c r="H145" s="19"/>
      <c r="I145" s="19"/>
      <c r="J145" s="19"/>
      <c r="K145" s="19"/>
      <c r="L145" s="19"/>
      <c r="M145" s="19"/>
      <c r="N145" s="19"/>
      <c r="O145" s="19"/>
      <c r="P145" s="19"/>
      <c r="Q145" s="19"/>
      <c r="R145" s="28"/>
      <c r="S145" s="25"/>
      <c r="T145" s="25"/>
    </row>
    <row r="146" spans="1:20" x14ac:dyDescent="0.35">
      <c r="A146" s="19"/>
      <c r="B146" s="19" t="s">
        <v>771</v>
      </c>
      <c r="C146" s="19">
        <v>20</v>
      </c>
      <c r="D146" s="19"/>
      <c r="E146" s="19"/>
      <c r="F146" s="19"/>
      <c r="G146" s="19"/>
      <c r="H146" s="19"/>
      <c r="I146" s="19"/>
      <c r="J146" s="19"/>
      <c r="K146" s="19"/>
      <c r="L146" s="19"/>
      <c r="M146" s="19"/>
      <c r="N146" s="19"/>
      <c r="O146" s="19"/>
      <c r="P146" s="19"/>
      <c r="Q146" s="19"/>
      <c r="R146" s="28"/>
      <c r="S146" s="25"/>
      <c r="T146" s="25"/>
    </row>
    <row r="147" spans="1:20" x14ac:dyDescent="0.35">
      <c r="A147" s="19"/>
      <c r="B147" s="19" t="s">
        <v>772</v>
      </c>
      <c r="C147" s="19">
        <v>6</v>
      </c>
      <c r="D147" s="19" t="s">
        <v>773</v>
      </c>
      <c r="E147" s="19"/>
      <c r="F147" s="19"/>
      <c r="G147" s="19"/>
      <c r="H147" s="19"/>
      <c r="I147" s="19"/>
      <c r="J147" s="19"/>
      <c r="K147" s="19"/>
      <c r="L147" s="19"/>
      <c r="M147" s="19"/>
      <c r="N147" s="19"/>
      <c r="O147" s="19"/>
      <c r="P147" s="19"/>
      <c r="Q147" s="19"/>
      <c r="R147" s="28"/>
      <c r="S147" s="25"/>
      <c r="T147" s="25"/>
    </row>
    <row r="148" spans="1:20" x14ac:dyDescent="0.35">
      <c r="A148" s="19"/>
      <c r="B148" s="19" t="s">
        <v>319</v>
      </c>
      <c r="C148" s="19">
        <v>2903</v>
      </c>
      <c r="D148" s="19"/>
      <c r="E148" s="19"/>
      <c r="F148" s="19"/>
      <c r="G148" s="19"/>
      <c r="H148" s="19"/>
      <c r="I148" s="19"/>
      <c r="J148" s="19"/>
      <c r="K148" s="19"/>
      <c r="L148" s="19"/>
      <c r="M148" s="19"/>
      <c r="N148" s="19"/>
      <c r="O148" s="19"/>
      <c r="P148" s="19"/>
      <c r="Q148" s="19"/>
      <c r="R148" s="28"/>
      <c r="S148" s="25"/>
      <c r="T148" s="25"/>
    </row>
    <row r="149" spans="1:20" x14ac:dyDescent="0.35">
      <c r="A149" s="19"/>
      <c r="B149" s="19"/>
      <c r="C149" s="19"/>
      <c r="D149" s="19"/>
      <c r="E149" s="19"/>
      <c r="F149" s="19"/>
      <c r="G149" s="19"/>
      <c r="H149" s="19"/>
      <c r="I149" s="19"/>
      <c r="J149" s="19"/>
      <c r="K149" s="19"/>
      <c r="L149" s="19"/>
      <c r="M149" s="19"/>
      <c r="N149" s="19"/>
      <c r="O149" s="19"/>
      <c r="P149" s="19"/>
      <c r="Q149" s="19"/>
      <c r="R149" s="28"/>
      <c r="S149" s="25"/>
      <c r="T149" s="25"/>
    </row>
    <row r="150" spans="1:20" x14ac:dyDescent="0.35">
      <c r="A150" s="19"/>
      <c r="B150" s="2573" t="s">
        <v>3340</v>
      </c>
      <c r="C150" s="19"/>
      <c r="D150" s="19"/>
      <c r="E150" s="19"/>
      <c r="F150" s="19"/>
      <c r="G150" s="19"/>
      <c r="H150" s="19"/>
      <c r="I150" s="19"/>
      <c r="J150" s="19"/>
      <c r="K150" s="19"/>
      <c r="L150" s="19"/>
      <c r="M150" s="19"/>
      <c r="N150" s="19"/>
      <c r="O150" s="19"/>
      <c r="P150" s="19"/>
      <c r="Q150" s="19"/>
      <c r="R150" s="28"/>
      <c r="S150" s="25"/>
      <c r="T150" s="25"/>
    </row>
    <row r="151" spans="1:20" s="600" customFormat="1" x14ac:dyDescent="0.35">
      <c r="A151" s="127"/>
      <c r="B151" s="2552" t="s">
        <v>1365</v>
      </c>
      <c r="C151" s="2552">
        <v>836</v>
      </c>
      <c r="D151" s="237" t="s">
        <v>614</v>
      </c>
      <c r="E151" s="127"/>
      <c r="F151" s="127"/>
      <c r="G151" s="127"/>
      <c r="H151" s="127"/>
      <c r="I151" s="127"/>
      <c r="J151" s="127"/>
      <c r="K151" s="127"/>
      <c r="L151" s="127"/>
      <c r="M151" s="127"/>
      <c r="N151" s="127"/>
      <c r="O151" s="127"/>
      <c r="P151" s="127"/>
      <c r="Q151" s="127"/>
      <c r="R151" s="28"/>
      <c r="S151" s="25"/>
      <c r="T151" s="25"/>
    </row>
    <row r="152" spans="1:20" x14ac:dyDescent="0.35">
      <c r="A152" s="19"/>
      <c r="B152" s="2552" t="s">
        <v>3336</v>
      </c>
      <c r="C152" s="2823">
        <v>84000</v>
      </c>
      <c r="D152" s="2792" t="s">
        <v>4384</v>
      </c>
      <c r="E152" s="19"/>
      <c r="F152" s="19"/>
      <c r="G152" s="19"/>
      <c r="H152" s="19"/>
      <c r="I152" s="19"/>
      <c r="J152" s="19"/>
      <c r="K152" s="19"/>
      <c r="L152" s="19"/>
      <c r="M152" s="19"/>
      <c r="N152" s="19"/>
      <c r="O152" s="19"/>
      <c r="P152" s="19"/>
      <c r="Q152" s="19"/>
      <c r="R152" s="28"/>
      <c r="S152" s="25"/>
      <c r="T152" s="25"/>
    </row>
    <row r="153" spans="1:20" x14ac:dyDescent="0.35">
      <c r="A153" s="19"/>
      <c r="B153" s="2552" t="s">
        <v>3342</v>
      </c>
      <c r="C153" s="2580">
        <v>6.4000000000000001E-2</v>
      </c>
      <c r="D153" s="19"/>
      <c r="E153" s="19"/>
      <c r="F153" s="19"/>
      <c r="G153" s="19"/>
      <c r="H153" s="19"/>
      <c r="I153" s="19"/>
      <c r="J153" s="19"/>
      <c r="K153" s="19"/>
      <c r="L153" s="19"/>
      <c r="M153" s="19"/>
      <c r="N153" s="19"/>
      <c r="O153" s="19"/>
      <c r="P153" s="19"/>
      <c r="Q153" s="19"/>
      <c r="R153" s="147"/>
      <c r="S153" s="282"/>
      <c r="T153" s="282"/>
    </row>
    <row r="154" spans="1:20" x14ac:dyDescent="0.35">
      <c r="A154" s="19"/>
      <c r="B154" s="2552" t="s">
        <v>3341</v>
      </c>
      <c r="C154" s="2581">
        <v>6.4000000000000001E-2</v>
      </c>
      <c r="D154" s="19"/>
      <c r="E154" s="19"/>
      <c r="F154" s="19"/>
      <c r="G154" s="19"/>
      <c r="H154" s="19"/>
      <c r="I154" s="19"/>
      <c r="J154" s="19"/>
      <c r="K154" s="19"/>
      <c r="L154" s="19"/>
      <c r="M154" s="19"/>
      <c r="N154" s="19"/>
      <c r="O154" s="19"/>
      <c r="P154" s="19"/>
      <c r="Q154" s="19"/>
      <c r="R154" s="19"/>
      <c r="S154" s="19"/>
      <c r="T154" s="19"/>
    </row>
    <row r="155" spans="1:20" x14ac:dyDescent="0.35">
      <c r="A155" s="19"/>
      <c r="B155" s="19"/>
      <c r="C155" s="19"/>
      <c r="D155" s="19"/>
      <c r="E155" s="19"/>
      <c r="F155" s="19"/>
      <c r="G155" s="19"/>
      <c r="H155" s="19"/>
      <c r="I155" s="19"/>
      <c r="J155" s="19"/>
      <c r="K155" s="19"/>
      <c r="L155" s="19"/>
      <c r="M155" s="19"/>
      <c r="N155" s="19"/>
      <c r="O155" s="19"/>
      <c r="P155" s="19"/>
      <c r="Q155" s="19"/>
      <c r="R155" s="19"/>
      <c r="S155" s="19"/>
      <c r="T155" s="19"/>
    </row>
    <row r="156" spans="1:20" x14ac:dyDescent="0.35">
      <c r="A156" s="19"/>
      <c r="B156" s="225" t="s">
        <v>570</v>
      </c>
      <c r="C156" s="247" t="s">
        <v>285</v>
      </c>
      <c r="D156" s="247" t="s">
        <v>286</v>
      </c>
      <c r="E156" s="247" t="s">
        <v>590</v>
      </c>
      <c r="F156" s="247" t="s">
        <v>568</v>
      </c>
      <c r="G156" s="247" t="s">
        <v>591</v>
      </c>
      <c r="H156" s="247" t="s">
        <v>774</v>
      </c>
      <c r="I156" s="247" t="s">
        <v>297</v>
      </c>
      <c r="J156" s="247" t="s">
        <v>377</v>
      </c>
      <c r="K156" s="247" t="s">
        <v>775</v>
      </c>
      <c r="L156" s="247" t="s">
        <v>776</v>
      </c>
      <c r="M156" s="247" t="s">
        <v>638</v>
      </c>
      <c r="N156" s="247" t="s">
        <v>777</v>
      </c>
      <c r="O156" s="2584" t="s">
        <v>3331</v>
      </c>
      <c r="P156" s="247" t="s">
        <v>778</v>
      </c>
      <c r="Q156" s="247" t="s">
        <v>377</v>
      </c>
      <c r="R156" s="247" t="s">
        <v>598</v>
      </c>
      <c r="S156" s="247" t="s">
        <v>592</v>
      </c>
      <c r="T156" s="283" t="s">
        <v>593</v>
      </c>
    </row>
    <row r="157" spans="1:20" x14ac:dyDescent="0.35">
      <c r="A157" s="19"/>
      <c r="B157" s="133" t="str">
        <f>C157&amp;"_"&amp;D157&amp;"_"&amp;E157&amp;"_"&amp;F157&amp;"_"&amp;G157</f>
        <v>Market Rate_Single Family_Furnace_95% AFUE_All</v>
      </c>
      <c r="C157" s="234" t="s">
        <v>44</v>
      </c>
      <c r="D157" s="234" t="s">
        <v>1</v>
      </c>
      <c r="E157" s="234" t="s">
        <v>779</v>
      </c>
      <c r="F157" s="234" t="s">
        <v>780</v>
      </c>
      <c r="G157" s="234" t="s">
        <v>781</v>
      </c>
      <c r="H157" s="234" t="s">
        <v>1</v>
      </c>
      <c r="I157" s="234" t="s">
        <v>780</v>
      </c>
      <c r="J157" s="34" t="e">
        <f>INDEX(#REF!,MATCH(N157,#REF!,0))</f>
        <v>#REF!</v>
      </c>
      <c r="K157" s="34" t="e">
        <f>INDEX(#REF!,MATCH(N157,#REF!,0))</f>
        <v>#REF!</v>
      </c>
      <c r="L157" s="284">
        <v>0.64400000000000002</v>
      </c>
      <c r="M157" s="138">
        <v>0.8</v>
      </c>
      <c r="N157" s="2824">
        <v>0.95899999999999996</v>
      </c>
      <c r="O157" s="2582">
        <f xml:space="preserve"> (($C$151 * $C$152)/(1-$C$153) * ((($N$157 * (1-$C$153)) / ($M$157 * (1-$C$154))) -1)) / 100000</f>
        <v>149.11346153846137</v>
      </c>
      <c r="P157" s="37">
        <f>IF(ISNUMBER(SEARCH("ER",I157)),(#REF!*IF(H157="Single Family",#REF!,#REF!)*(1/L157-1/N157)),0)</f>
        <v>0</v>
      </c>
      <c r="Q157" s="34"/>
      <c r="R157" s="234">
        <f>IF(ISNUMBER(SEARCH("ER",I157)),J157,0)</f>
        <v>0</v>
      </c>
      <c r="S157" s="234" t="e">
        <f>#REF!</f>
        <v>#REF!</v>
      </c>
      <c r="T157" s="227">
        <f>IF(ISNUMBER(SEARCH("ER",I157)),#REF!,0)</f>
        <v>0</v>
      </c>
    </row>
    <row r="158" spans="1:20" x14ac:dyDescent="0.35">
      <c r="A158" s="19"/>
      <c r="B158" s="142" t="str">
        <f t="shared" ref="B158" si="0">C158&amp;"_"&amp;D158&amp;"_"&amp;E158&amp;"_"&amp;F158&amp;"_"&amp;G158</f>
        <v>Low Income_Single Family_Furnace_95% AFUE_All</v>
      </c>
      <c r="C158" s="143" t="s">
        <v>7</v>
      </c>
      <c r="D158" s="143" t="s">
        <v>1</v>
      </c>
      <c r="E158" s="143" t="s">
        <v>779</v>
      </c>
      <c r="F158" s="143" t="s">
        <v>780</v>
      </c>
      <c r="G158" s="143" t="s">
        <v>781</v>
      </c>
      <c r="H158" s="143" t="s">
        <v>1</v>
      </c>
      <c r="I158" s="143" t="s">
        <v>780</v>
      </c>
      <c r="J158" s="285" t="e">
        <f>INDEX(#REF!,MATCH(N158,#REF!,0))</f>
        <v>#REF!</v>
      </c>
      <c r="K158" s="285" t="e">
        <f>INDEX(#REF!,MATCH(N158,#REF!,0))</f>
        <v>#REF!</v>
      </c>
      <c r="L158" s="286">
        <v>0.64400000000000002</v>
      </c>
      <c r="M158" s="287">
        <v>0.8</v>
      </c>
      <c r="N158" s="2825">
        <v>0.95899999999999996</v>
      </c>
      <c r="O158" s="2583">
        <f xml:space="preserve"> (($C$151 * $C$152)/(1-$C$153) * ((($N$158 * (1-$C$153)) / ($M$158 * (1-$C$154))) -1)) / 100000</f>
        <v>149.11346153846137</v>
      </c>
      <c r="P158" s="145">
        <f>IF(ISNUMBER(SEARCH("ER",I158)),(#REF!*IF(H158="Single Family",#REF!,#REF!)*(1/L158-1/N158)),0)</f>
        <v>0</v>
      </c>
      <c r="Q158" s="285"/>
      <c r="R158" s="143">
        <f t="shared" ref="R158" si="1">IF(ISNUMBER(SEARCH("ER",I158)),J158,0)</f>
        <v>0</v>
      </c>
      <c r="S158" s="143" t="e">
        <f>#REF!</f>
        <v>#REF!</v>
      </c>
      <c r="T158" s="228">
        <f>IF(ISNUMBER(SEARCH("ER",I158)),#REF!,0)</f>
        <v>0</v>
      </c>
    </row>
    <row r="160" spans="1:20" x14ac:dyDescent="0.35">
      <c r="A160" s="242" t="s">
        <v>782</v>
      </c>
      <c r="B160" s="242" t="s">
        <v>783</v>
      </c>
      <c r="C160" s="19"/>
      <c r="D160" s="19"/>
      <c r="E160" s="19"/>
      <c r="F160" s="19"/>
    </row>
    <row r="161" spans="1:6" x14ac:dyDescent="0.35">
      <c r="A161" s="19"/>
      <c r="B161" s="19"/>
      <c r="C161" s="19"/>
      <c r="D161" s="19"/>
      <c r="E161" s="19"/>
      <c r="F161" s="19"/>
    </row>
    <row r="162" spans="1:6" x14ac:dyDescent="0.35">
      <c r="A162" s="19"/>
      <c r="B162" s="19" t="s">
        <v>784</v>
      </c>
      <c r="C162" s="19" t="s">
        <v>782</v>
      </c>
      <c r="D162" s="2552" t="s">
        <v>3323</v>
      </c>
      <c r="E162" s="19"/>
    </row>
    <row r="163" spans="1:6" x14ac:dyDescent="0.35">
      <c r="A163" s="19"/>
      <c r="B163" s="19" t="s">
        <v>290</v>
      </c>
      <c r="C163" s="2550">
        <v>15</v>
      </c>
      <c r="D163" s="19"/>
      <c r="E163" s="19"/>
    </row>
    <row r="164" spans="1:6" x14ac:dyDescent="0.35">
      <c r="A164" s="19"/>
      <c r="B164" s="19" t="s">
        <v>291</v>
      </c>
      <c r="C164" s="19">
        <v>97</v>
      </c>
      <c r="D164" s="19"/>
      <c r="E164" s="19"/>
    </row>
    <row r="165" spans="1:6" x14ac:dyDescent="0.35">
      <c r="A165" s="19"/>
      <c r="B165" s="19" t="s">
        <v>292</v>
      </c>
      <c r="C165" s="19">
        <v>0.68</v>
      </c>
      <c r="D165" s="19"/>
      <c r="E165" s="19"/>
    </row>
    <row r="166" spans="1:6" x14ac:dyDescent="0.35">
      <c r="A166" s="19"/>
      <c r="B166" s="19"/>
      <c r="C166" s="19"/>
      <c r="D166" s="19"/>
      <c r="E166" s="19"/>
    </row>
    <row r="167" spans="1:6" x14ac:dyDescent="0.35">
      <c r="A167" s="19"/>
      <c r="B167" s="2552" t="s">
        <v>3324</v>
      </c>
      <c r="C167" s="19"/>
      <c r="D167" s="19"/>
      <c r="E167" s="19"/>
    </row>
    <row r="168" spans="1:6" x14ac:dyDescent="0.35">
      <c r="A168" s="19"/>
      <c r="B168" s="2550" t="s">
        <v>325</v>
      </c>
      <c r="C168" s="2550">
        <v>3</v>
      </c>
      <c r="D168" s="2552" t="s">
        <v>3326</v>
      </c>
      <c r="E168" s="19"/>
    </row>
    <row r="169" spans="1:6" x14ac:dyDescent="0.35">
      <c r="A169" s="19"/>
      <c r="B169" s="2550" t="s">
        <v>3325</v>
      </c>
      <c r="C169" s="2550">
        <v>231</v>
      </c>
      <c r="D169" s="2552" t="s">
        <v>614</v>
      </c>
      <c r="E169" s="19"/>
    </row>
    <row r="170" spans="1:6" x14ac:dyDescent="0.35">
      <c r="A170" s="19"/>
      <c r="B170" s="2550" t="s">
        <v>1394</v>
      </c>
      <c r="C170" s="2550">
        <f>C168*C169</f>
        <v>693</v>
      </c>
      <c r="D170" s="19"/>
      <c r="E170" s="19"/>
    </row>
    <row r="171" spans="1:6" x14ac:dyDescent="0.35">
      <c r="A171" s="19"/>
      <c r="D171" s="19"/>
      <c r="E171" s="19"/>
    </row>
    <row r="172" spans="1:6" x14ac:dyDescent="0.35">
      <c r="A172" s="19"/>
      <c r="B172" s="2552" t="s">
        <v>3327</v>
      </c>
      <c r="C172" s="19"/>
      <c r="D172" s="19"/>
      <c r="E172" s="19"/>
    </row>
    <row r="173" spans="1:6" x14ac:dyDescent="0.35">
      <c r="A173" s="19"/>
      <c r="B173" s="2552" t="s">
        <v>3328</v>
      </c>
      <c r="C173" s="2550">
        <v>6.4000000000000001E-2</v>
      </c>
      <c r="D173" s="2552" t="s">
        <v>3329</v>
      </c>
      <c r="E173" s="19"/>
    </row>
    <row r="174" spans="1:6" x14ac:dyDescent="0.35">
      <c r="A174" s="19"/>
      <c r="B174" s="2552" t="s">
        <v>2183</v>
      </c>
      <c r="C174" s="2553">
        <f>C168*C173</f>
        <v>0.192</v>
      </c>
      <c r="D174"/>
      <c r="E174" s="19"/>
    </row>
    <row r="175" spans="1:6" x14ac:dyDescent="0.35">
      <c r="A175" s="19"/>
      <c r="E175" s="26"/>
    </row>
    <row r="176" spans="1:6" x14ac:dyDescent="0.35">
      <c r="A176" s="19"/>
      <c r="B176" s="2552" t="s">
        <v>3330</v>
      </c>
      <c r="C176" s="19"/>
      <c r="D176" s="19"/>
      <c r="E176" s="19"/>
    </row>
    <row r="177" spans="1:9" x14ac:dyDescent="0.35">
      <c r="A177" s="19"/>
      <c r="B177" s="2552" t="s">
        <v>3332</v>
      </c>
      <c r="C177" s="2550">
        <v>50</v>
      </c>
      <c r="D177" s="2552" t="s">
        <v>614</v>
      </c>
      <c r="E177" s="19">
        <v>0.95</v>
      </c>
      <c r="F177" s="39" t="s">
        <v>1375</v>
      </c>
    </row>
    <row r="178" spans="1:9" x14ac:dyDescent="0.35">
      <c r="A178" s="19"/>
      <c r="B178" s="2552" t="s">
        <v>3331</v>
      </c>
      <c r="C178" s="2553">
        <f xml:space="preserve"> - C177 * C168 * 0.03412 / E177</f>
        <v>-5.3873684210526314</v>
      </c>
      <c r="D178" s="19"/>
      <c r="E178" s="19">
        <v>0.64400000000000002</v>
      </c>
      <c r="F178" s="39" t="s">
        <v>1376</v>
      </c>
    </row>
    <row r="179" spans="1:9" x14ac:dyDescent="0.35">
      <c r="A179" s="19"/>
    </row>
    <row r="180" spans="1:9" x14ac:dyDescent="0.35">
      <c r="A180" s="242" t="s">
        <v>785</v>
      </c>
      <c r="B180" s="2570" t="s">
        <v>1277</v>
      </c>
      <c r="C180" s="19"/>
      <c r="D180" s="19"/>
      <c r="E180" s="19"/>
      <c r="F180" s="19"/>
      <c r="G180" s="19"/>
      <c r="H180" s="19"/>
      <c r="I180" s="19"/>
    </row>
    <row r="181" spans="1:9" x14ac:dyDescent="0.35">
      <c r="A181" s="19"/>
      <c r="B181" s="19"/>
      <c r="C181" s="19"/>
      <c r="D181" s="19"/>
      <c r="E181" s="19"/>
      <c r="F181" s="19"/>
      <c r="G181" s="19"/>
      <c r="H181" s="19"/>
      <c r="I181" s="19"/>
    </row>
    <row r="182" spans="1:9" x14ac:dyDescent="0.35">
      <c r="A182" s="19"/>
      <c r="B182" s="19"/>
      <c r="C182" s="19"/>
      <c r="D182" s="19"/>
      <c r="E182" s="19"/>
      <c r="F182" s="19"/>
      <c r="G182" s="19"/>
      <c r="H182" s="19"/>
      <c r="I182" s="19"/>
    </row>
    <row r="183" spans="1:9" x14ac:dyDescent="0.35">
      <c r="A183" s="19"/>
      <c r="B183" s="19" t="s">
        <v>786</v>
      </c>
      <c r="C183" s="19" t="s">
        <v>785</v>
      </c>
      <c r="D183" s="19" t="s">
        <v>787</v>
      </c>
      <c r="E183" s="19"/>
      <c r="F183" s="19"/>
      <c r="G183" s="19"/>
      <c r="H183" s="19"/>
      <c r="I183" s="19"/>
    </row>
    <row r="184" spans="1:9" x14ac:dyDescent="0.35">
      <c r="A184" s="19"/>
      <c r="B184" s="19" t="s">
        <v>313</v>
      </c>
      <c r="C184" s="19">
        <v>18</v>
      </c>
      <c r="D184" s="19"/>
      <c r="E184" s="19"/>
      <c r="F184" s="19"/>
      <c r="G184" s="19"/>
      <c r="H184" s="19"/>
      <c r="I184" s="19"/>
    </row>
    <row r="185" spans="1:9" x14ac:dyDescent="0.35">
      <c r="A185" s="19"/>
      <c r="B185" s="19" t="s">
        <v>314</v>
      </c>
      <c r="C185" s="19">
        <v>6</v>
      </c>
      <c r="D185" s="19" t="s">
        <v>788</v>
      </c>
      <c r="E185" s="19"/>
      <c r="F185" s="19"/>
      <c r="G185" s="19"/>
      <c r="H185" s="19"/>
      <c r="I185" s="19"/>
    </row>
    <row r="186" spans="1:9" x14ac:dyDescent="0.35">
      <c r="A186" s="19"/>
      <c r="B186" s="19" t="s">
        <v>292</v>
      </c>
      <c r="C186" s="19">
        <v>0.68</v>
      </c>
      <c r="D186" s="19"/>
      <c r="E186" s="19"/>
      <c r="F186" s="19"/>
      <c r="G186" s="19"/>
      <c r="H186" s="19"/>
      <c r="I186" s="19"/>
    </row>
    <row r="187" spans="1:9" x14ac:dyDescent="0.35">
      <c r="A187" s="19"/>
      <c r="B187" s="19"/>
      <c r="C187" s="19"/>
      <c r="D187" s="19"/>
      <c r="E187" s="19"/>
      <c r="F187" s="19"/>
      <c r="G187" s="19"/>
      <c r="H187" s="19"/>
      <c r="I187" s="19"/>
    </row>
    <row r="188" spans="1:9" x14ac:dyDescent="0.35">
      <c r="A188" s="19"/>
      <c r="B188" s="19" t="s">
        <v>789</v>
      </c>
      <c r="C188" s="19"/>
      <c r="D188" s="19"/>
      <c r="E188" s="19"/>
      <c r="F188" s="19"/>
      <c r="G188" s="19"/>
      <c r="H188" s="19"/>
      <c r="I188" s="19"/>
    </row>
    <row r="189" spans="1:9" x14ac:dyDescent="0.35">
      <c r="A189" s="19"/>
      <c r="B189" s="19" t="s">
        <v>322</v>
      </c>
      <c r="C189" s="19">
        <v>730</v>
      </c>
      <c r="D189" s="19" t="s">
        <v>323</v>
      </c>
      <c r="E189" s="19"/>
      <c r="F189" s="19"/>
      <c r="G189" s="19"/>
      <c r="H189" s="19"/>
      <c r="I189" s="19"/>
    </row>
    <row r="190" spans="1:9" x14ac:dyDescent="0.35">
      <c r="A190" s="19"/>
      <c r="B190" s="19" t="s">
        <v>322</v>
      </c>
      <c r="C190" s="19">
        <v>663</v>
      </c>
      <c r="D190" s="19" t="s">
        <v>635</v>
      </c>
      <c r="E190" s="19"/>
      <c r="F190" s="19"/>
      <c r="G190" s="19"/>
      <c r="H190" s="19"/>
      <c r="I190" s="19"/>
    </row>
    <row r="191" spans="1:9" x14ac:dyDescent="0.35">
      <c r="A191" s="19"/>
      <c r="B191" s="19" t="s">
        <v>790</v>
      </c>
      <c r="C191" s="19">
        <v>36000</v>
      </c>
      <c r="D191" s="19" t="s">
        <v>791</v>
      </c>
      <c r="E191" s="19"/>
      <c r="F191" s="19">
        <v>33600</v>
      </c>
      <c r="G191" s="121" t="s">
        <v>1388</v>
      </c>
      <c r="H191" s="19"/>
      <c r="I191" s="19"/>
    </row>
    <row r="192" spans="1:9" x14ac:dyDescent="0.35">
      <c r="A192" s="19"/>
      <c r="B192" s="19" t="s">
        <v>792</v>
      </c>
      <c r="C192" s="19"/>
      <c r="D192" s="19"/>
      <c r="E192" s="19"/>
      <c r="F192" s="19"/>
      <c r="G192" s="19"/>
      <c r="H192" s="19"/>
      <c r="I192" s="19"/>
    </row>
    <row r="193" spans="1:10" x14ac:dyDescent="0.35">
      <c r="A193" s="19"/>
      <c r="B193" s="19" t="s">
        <v>334</v>
      </c>
      <c r="C193" s="19"/>
      <c r="D193" s="19"/>
      <c r="E193" s="19"/>
      <c r="F193" s="19"/>
      <c r="G193" s="19"/>
      <c r="H193" s="19"/>
      <c r="I193" s="19"/>
    </row>
    <row r="194" spans="1:10" x14ac:dyDescent="0.35">
      <c r="A194" s="19"/>
      <c r="B194" s="19"/>
      <c r="C194" s="19"/>
      <c r="D194" s="19"/>
      <c r="E194" s="19"/>
      <c r="F194" s="19"/>
      <c r="G194" s="19"/>
      <c r="H194" s="19"/>
      <c r="I194" s="19"/>
    </row>
    <row r="195" spans="1:10" x14ac:dyDescent="0.35">
      <c r="A195" s="19"/>
      <c r="B195" s="19"/>
      <c r="C195" s="19" t="s">
        <v>297</v>
      </c>
      <c r="D195" s="19"/>
      <c r="E195" s="19"/>
      <c r="F195" s="19"/>
      <c r="G195" s="19"/>
      <c r="H195" s="19"/>
      <c r="I195" s="19"/>
    </row>
    <row r="196" spans="1:10" x14ac:dyDescent="0.35">
      <c r="A196" s="19" t="s">
        <v>793</v>
      </c>
      <c r="B196" s="19" t="s">
        <v>297</v>
      </c>
      <c r="C196" s="19" t="s">
        <v>335</v>
      </c>
      <c r="D196" s="19" t="s">
        <v>336</v>
      </c>
      <c r="E196" s="19" t="s">
        <v>338</v>
      </c>
      <c r="F196" s="447" t="s">
        <v>342</v>
      </c>
      <c r="G196" s="19" t="s">
        <v>343</v>
      </c>
      <c r="H196" s="19" t="s">
        <v>344</v>
      </c>
      <c r="I196" s="447" t="s">
        <v>301</v>
      </c>
    </row>
    <row r="197" spans="1:10" x14ac:dyDescent="0.35">
      <c r="A197" s="19" t="s">
        <v>294</v>
      </c>
      <c r="B197" s="19" t="s">
        <v>794</v>
      </c>
      <c r="C197" s="19">
        <f>357*(C191/12000)</f>
        <v>1071</v>
      </c>
      <c r="D197" s="19">
        <v>13</v>
      </c>
      <c r="E197" s="19">
        <v>16</v>
      </c>
      <c r="F197" s="449">
        <f>(C189*C191*(1/D197-1/E197))/1000</f>
        <v>379.03846153846166</v>
      </c>
      <c r="G197" s="19">
        <f t="shared" ref="G197:G198" si="2">(-0.02*D197^2)+(1.12*D197)</f>
        <v>11.180000000000003</v>
      </c>
      <c r="H197" s="26">
        <f>(-0.02*E197^2)+(1.12*E197)</f>
        <v>12.8</v>
      </c>
      <c r="I197" s="448">
        <f>((C191*(1/G197-1/H197))/1000)*C186</f>
        <v>0.27712432915921231</v>
      </c>
    </row>
    <row r="198" spans="1:10" x14ac:dyDescent="0.35">
      <c r="A198" s="19" t="s">
        <v>328</v>
      </c>
      <c r="B198" s="19" t="s">
        <v>794</v>
      </c>
      <c r="C198" s="19">
        <f>357*(C191/12000)</f>
        <v>1071</v>
      </c>
      <c r="D198" s="19">
        <v>13</v>
      </c>
      <c r="E198" s="19">
        <v>16</v>
      </c>
      <c r="F198" s="449">
        <f>(C190*C191*(1/D198-1/E198))/1000</f>
        <v>344.25000000000011</v>
      </c>
      <c r="G198" s="19">
        <f t="shared" si="2"/>
        <v>11.180000000000003</v>
      </c>
      <c r="H198" s="26">
        <v>13.329000000000001</v>
      </c>
      <c r="I198" s="448">
        <f>((C191*(1/G198-1/H198))/1000)*C186</f>
        <v>0.35302743516866536</v>
      </c>
    </row>
    <row r="199" spans="1:10" x14ac:dyDescent="0.35">
      <c r="A199" s="39" t="s">
        <v>294</v>
      </c>
      <c r="B199" s="121" t="s">
        <v>1278</v>
      </c>
      <c r="D199" s="1">
        <v>9.3000000000000007</v>
      </c>
      <c r="E199" s="39">
        <v>16</v>
      </c>
      <c r="F199" s="449">
        <f>(C189*C191*(1/D199-1/E199))/1000</f>
        <v>1183.3064516129027</v>
      </c>
      <c r="G199" s="1">
        <v>7.5</v>
      </c>
      <c r="H199" s="450">
        <f>H197</f>
        <v>12.8</v>
      </c>
      <c r="I199" s="448">
        <f>((C191*(1/G199-1/H199))/1000)*C186</f>
        <v>1.3515000000000001</v>
      </c>
    </row>
    <row r="200" spans="1:10" x14ac:dyDescent="0.35">
      <c r="A200" s="39" t="s">
        <v>1386</v>
      </c>
      <c r="B200" s="121" t="s">
        <v>1387</v>
      </c>
      <c r="F200" s="449">
        <f>(C189*F191*(1/D197-1/E197))/1000</f>
        <v>353.76923076923089</v>
      </c>
      <c r="I200" s="448">
        <f>((F191*(1/G197-1/H197))/1000)*C186</f>
        <v>0.25864937388193143</v>
      </c>
    </row>
    <row r="203" spans="1:10" x14ac:dyDescent="0.35">
      <c r="A203" s="10" t="s">
        <v>1377</v>
      </c>
      <c r="B203" s="2571" t="s">
        <v>1378</v>
      </c>
      <c r="C203" s="186" t="s">
        <v>1379</v>
      </c>
      <c r="D203" s="191"/>
      <c r="E203" s="191"/>
      <c r="F203" s="173"/>
      <c r="G203" s="173"/>
      <c r="H203" s="173"/>
      <c r="I203" s="173"/>
      <c r="J203" s="173"/>
    </row>
    <row r="204" spans="1:10" x14ac:dyDescent="0.35">
      <c r="A204" s="173" t="s">
        <v>771</v>
      </c>
      <c r="B204" s="503">
        <v>25</v>
      </c>
      <c r="C204" s="173"/>
      <c r="D204" s="173"/>
      <c r="E204" s="173"/>
      <c r="F204" s="173"/>
      <c r="G204" s="173"/>
      <c r="H204" s="173"/>
      <c r="I204" s="173"/>
      <c r="J204" s="173"/>
    </row>
    <row r="205" spans="1:10" x14ac:dyDescent="0.35">
      <c r="A205" s="173" t="s">
        <v>772</v>
      </c>
      <c r="B205" s="503">
        <v>8</v>
      </c>
      <c r="C205" s="173" t="s">
        <v>1380</v>
      </c>
      <c r="D205" s="173"/>
      <c r="E205" s="173"/>
      <c r="F205" s="173"/>
      <c r="G205" s="173"/>
      <c r="H205" s="173"/>
      <c r="I205" s="173"/>
      <c r="J205" s="173"/>
    </row>
    <row r="206" spans="1:10" x14ac:dyDescent="0.35">
      <c r="A206" s="173"/>
      <c r="B206" s="173"/>
      <c r="C206" s="173"/>
      <c r="D206" s="173"/>
      <c r="E206" s="173"/>
      <c r="F206" s="173"/>
      <c r="G206" s="173"/>
      <c r="H206" s="173"/>
      <c r="I206" s="173"/>
      <c r="J206" s="173"/>
    </row>
    <row r="207" spans="1:10" x14ac:dyDescent="0.35">
      <c r="A207" s="2573" t="s">
        <v>3335</v>
      </c>
      <c r="B207" s="2573"/>
      <c r="C207" s="173"/>
      <c r="D207" s="173"/>
      <c r="E207" s="173"/>
      <c r="F207" s="173"/>
      <c r="G207" s="173"/>
      <c r="H207" s="173"/>
      <c r="I207" s="173"/>
      <c r="J207" s="173"/>
    </row>
    <row r="208" spans="1:10" x14ac:dyDescent="0.35">
      <c r="A208" s="2573" t="s">
        <v>1365</v>
      </c>
      <c r="B208" s="2574">
        <v>836</v>
      </c>
      <c r="C208" s="173" t="s">
        <v>614</v>
      </c>
      <c r="D208" s="173"/>
      <c r="E208" s="173"/>
      <c r="F208" s="173"/>
      <c r="G208" s="173"/>
      <c r="H208" s="173"/>
      <c r="I208" s="173"/>
      <c r="J208" s="173"/>
    </row>
    <row r="209" spans="1:33" s="600" customFormat="1" x14ac:dyDescent="0.35">
      <c r="A209" s="2573" t="s">
        <v>3336</v>
      </c>
      <c r="B209" s="2574">
        <v>100000</v>
      </c>
      <c r="C209" s="173" t="s">
        <v>3337</v>
      </c>
      <c r="D209" s="173"/>
      <c r="E209" s="173"/>
      <c r="F209" s="173"/>
      <c r="G209" s="173"/>
      <c r="H209" s="173"/>
      <c r="I209" s="173"/>
      <c r="J209" s="173"/>
    </row>
    <row r="210" spans="1:33" x14ac:dyDescent="0.35">
      <c r="A210" s="504"/>
      <c r="B210" s="173"/>
      <c r="C210" s="173"/>
      <c r="D210" s="173"/>
      <c r="E210" s="173"/>
      <c r="F210" s="173"/>
      <c r="G210" s="173"/>
      <c r="H210" s="173"/>
      <c r="I210" s="173"/>
      <c r="J210" s="173"/>
    </row>
    <row r="211" spans="1:33" x14ac:dyDescent="0.35">
      <c r="A211" s="173"/>
      <c r="B211" s="503" t="s">
        <v>297</v>
      </c>
      <c r="C211" s="503"/>
      <c r="D211" s="503"/>
      <c r="E211" s="173"/>
      <c r="F211" s="173"/>
      <c r="G211" s="173"/>
      <c r="H211" s="173"/>
      <c r="I211" s="173"/>
      <c r="J211" s="173"/>
    </row>
    <row r="212" spans="1:33" x14ac:dyDescent="0.35">
      <c r="A212" s="505" t="s">
        <v>297</v>
      </c>
      <c r="B212" s="506" t="s">
        <v>335</v>
      </c>
      <c r="C212" s="506" t="s">
        <v>638</v>
      </c>
      <c r="D212" s="506" t="s">
        <v>777</v>
      </c>
      <c r="E212" s="507" t="s">
        <v>302</v>
      </c>
      <c r="F212" s="505"/>
      <c r="G212" s="506"/>
      <c r="H212" s="506"/>
      <c r="I212" s="506"/>
      <c r="J212" s="508"/>
    </row>
    <row r="213" spans="1:33" x14ac:dyDescent="0.35">
      <c r="A213" s="504" t="s">
        <v>1381</v>
      </c>
      <c r="B213" s="509">
        <v>1272</v>
      </c>
      <c r="C213" s="2577">
        <v>0.82</v>
      </c>
      <c r="D213" s="2577">
        <v>0.92500000000000004</v>
      </c>
      <c r="E213" s="2578">
        <f>($B$208 * $B$209 * ((D213 / C213) -1)) / 100000</f>
        <v>107.04878048780498</v>
      </c>
      <c r="F213" s="512"/>
      <c r="G213" s="509"/>
      <c r="H213" s="513"/>
      <c r="I213" s="16"/>
      <c r="J213" s="183"/>
    </row>
    <row r="214" spans="1:33" x14ac:dyDescent="0.35">
      <c r="A214" s="504" t="s">
        <v>1382</v>
      </c>
      <c r="B214" s="509"/>
      <c r="C214" s="510"/>
      <c r="D214" s="511"/>
      <c r="E214" s="182"/>
      <c r="F214" s="512"/>
      <c r="G214" s="509"/>
      <c r="H214" s="509"/>
      <c r="I214" s="16"/>
      <c r="J214" s="173"/>
    </row>
    <row r="215" spans="1:33" x14ac:dyDescent="0.35">
      <c r="A215" s="514" t="s">
        <v>1383</v>
      </c>
      <c r="B215" s="509">
        <v>4815</v>
      </c>
      <c r="C215" s="2577">
        <v>0.61599999999999999</v>
      </c>
      <c r="D215" s="2577">
        <v>0.92500000000000004</v>
      </c>
      <c r="E215" s="2578">
        <f>($B$208 * $B$209 * ((D215 / C215) -1)) / 100000</f>
        <v>419.35714285714283</v>
      </c>
      <c r="F215" s="512"/>
      <c r="G215" s="509"/>
      <c r="H215" s="509"/>
      <c r="I215" s="16"/>
      <c r="J215" s="173"/>
    </row>
    <row r="216" spans="1:33" x14ac:dyDescent="0.35">
      <c r="A216" s="514" t="s">
        <v>1384</v>
      </c>
      <c r="B216" s="509">
        <v>0</v>
      </c>
      <c r="C216" s="2577">
        <v>0.82</v>
      </c>
      <c r="D216" s="2577">
        <v>0.92500000000000004</v>
      </c>
      <c r="E216" s="2578">
        <f>($B$208 * $B$209 * ((D216 / C216) -1)) / 100000</f>
        <v>107.04878048780498</v>
      </c>
      <c r="F216" s="512" t="s">
        <v>1385</v>
      </c>
      <c r="G216" s="509"/>
      <c r="H216" s="513"/>
      <c r="I216" s="16"/>
      <c r="J216" s="183"/>
    </row>
    <row r="220" spans="1:33" s="600" customFormat="1" x14ac:dyDescent="0.35">
      <c r="A220" s="2570" t="s">
        <v>1917</v>
      </c>
      <c r="B220" s="2570" t="s">
        <v>208</v>
      </c>
      <c r="C220" s="127"/>
      <c r="D220" s="237" t="s">
        <v>1918</v>
      </c>
      <c r="E220" s="127"/>
      <c r="F220" s="127"/>
      <c r="G220" s="127"/>
      <c r="H220" s="127"/>
      <c r="I220" s="127"/>
      <c r="J220" s="127"/>
      <c r="K220" s="127"/>
      <c r="L220" s="127"/>
      <c r="M220" s="127"/>
      <c r="N220" s="127"/>
      <c r="U220" s="127"/>
      <c r="V220" s="127"/>
      <c r="W220" s="127"/>
      <c r="X220" s="127"/>
      <c r="Y220" s="127"/>
      <c r="Z220" s="127"/>
      <c r="AA220" s="127"/>
      <c r="AB220" s="127"/>
      <c r="AC220" s="127"/>
      <c r="AD220" s="127"/>
      <c r="AE220" s="127"/>
      <c r="AF220" s="127"/>
      <c r="AG220" s="127"/>
    </row>
    <row r="221" spans="1:33" s="600" customFormat="1" x14ac:dyDescent="0.35">
      <c r="A221" s="127"/>
      <c r="B221" s="127"/>
      <c r="D221" s="127"/>
      <c r="E221" s="127"/>
      <c r="F221" s="127"/>
      <c r="G221" s="127"/>
      <c r="H221" s="127"/>
      <c r="I221" s="127"/>
      <c r="J221" s="127"/>
      <c r="K221" s="127"/>
      <c r="L221" s="127"/>
      <c r="M221" s="127"/>
      <c r="N221" s="127"/>
      <c r="U221" s="127"/>
      <c r="V221" s="127"/>
      <c r="W221" s="127"/>
      <c r="X221" s="127"/>
      <c r="Y221" s="127"/>
      <c r="Z221" s="127"/>
      <c r="AA221" s="127"/>
      <c r="AB221" s="127"/>
      <c r="AC221" s="127"/>
      <c r="AD221" s="127"/>
      <c r="AE221" s="127"/>
      <c r="AF221" s="127"/>
      <c r="AG221" s="127"/>
    </row>
    <row r="222" spans="1:33" s="600" customFormat="1" x14ac:dyDescent="0.35">
      <c r="A222" s="127"/>
      <c r="B222" s="2552" t="s">
        <v>290</v>
      </c>
      <c r="C222" s="2550">
        <v>15</v>
      </c>
      <c r="D222" s="127"/>
      <c r="E222" s="127"/>
      <c r="F222" s="127"/>
      <c r="G222" s="127"/>
      <c r="H222" s="127"/>
      <c r="I222" s="127"/>
      <c r="J222" s="127"/>
      <c r="K222" s="127"/>
      <c r="L222" s="127"/>
      <c r="M222" s="127"/>
      <c r="U222" s="127"/>
      <c r="V222" s="127"/>
      <c r="W222" s="127"/>
      <c r="X222" s="127"/>
      <c r="Y222" s="127"/>
      <c r="Z222" s="127"/>
      <c r="AA222" s="127"/>
      <c r="AB222" s="127"/>
      <c r="AC222" s="127"/>
      <c r="AD222" s="127"/>
      <c r="AE222" s="127"/>
      <c r="AF222" s="127"/>
      <c r="AG222" s="127"/>
    </row>
    <row r="223" spans="1:33" s="600" customFormat="1" x14ac:dyDescent="0.35">
      <c r="A223" s="127"/>
      <c r="B223" s="127" t="s">
        <v>314</v>
      </c>
      <c r="C223" s="127">
        <v>6</v>
      </c>
      <c r="D223" s="127" t="s">
        <v>315</v>
      </c>
      <c r="E223" s="127"/>
      <c r="F223" s="127"/>
      <c r="G223" s="127"/>
      <c r="H223" s="127"/>
      <c r="I223" s="127"/>
      <c r="L223" s="237" t="s">
        <v>1929</v>
      </c>
      <c r="U223" s="127"/>
      <c r="V223" s="127"/>
      <c r="W223" s="127"/>
      <c r="X223" s="127"/>
      <c r="Y223" s="127"/>
      <c r="Z223" s="127"/>
      <c r="AA223" s="127"/>
      <c r="AB223" s="127"/>
      <c r="AC223" s="127"/>
      <c r="AD223" s="127"/>
      <c r="AE223" s="127"/>
      <c r="AF223" s="127"/>
      <c r="AG223" s="127"/>
    </row>
    <row r="224" spans="1:33" s="600" customFormat="1" x14ac:dyDescent="0.35">
      <c r="A224" s="127"/>
      <c r="B224" s="127" t="s">
        <v>292</v>
      </c>
      <c r="C224" s="127">
        <v>0.43099999999999999</v>
      </c>
      <c r="D224" s="127"/>
      <c r="E224" s="127"/>
      <c r="F224" s="127"/>
      <c r="G224" s="127"/>
      <c r="H224" s="127"/>
      <c r="I224" s="127"/>
      <c r="L224" s="127" t="s">
        <v>1924</v>
      </c>
      <c r="M224" s="25">
        <v>3000</v>
      </c>
      <c r="U224" s="127"/>
      <c r="V224" s="127"/>
      <c r="W224" s="127"/>
      <c r="X224" s="127"/>
      <c r="Y224" s="127"/>
      <c r="Z224" s="127"/>
      <c r="AA224" s="127"/>
      <c r="AB224" s="127"/>
      <c r="AC224" s="127"/>
      <c r="AD224" s="127"/>
      <c r="AE224" s="127"/>
      <c r="AF224" s="127"/>
      <c r="AG224" s="127"/>
    </row>
    <row r="225" spans="1:33" s="600" customFormat="1" x14ac:dyDescent="0.35">
      <c r="A225" s="127"/>
      <c r="B225" s="127" t="s">
        <v>319</v>
      </c>
      <c r="C225" s="127">
        <v>1518</v>
      </c>
      <c r="D225" s="237" t="s">
        <v>315</v>
      </c>
      <c r="E225" s="127"/>
      <c r="F225" s="237" t="s">
        <v>1922</v>
      </c>
      <c r="G225" s="127"/>
      <c r="H225" s="127">
        <v>1381</v>
      </c>
      <c r="I225" s="237" t="s">
        <v>315</v>
      </c>
      <c r="L225" s="127" t="s">
        <v>1925</v>
      </c>
      <c r="M225" s="25">
        <v>3750</v>
      </c>
      <c r="U225" s="127"/>
      <c r="V225" s="127"/>
      <c r="W225" s="127"/>
      <c r="X225" s="127"/>
      <c r="Y225" s="127"/>
      <c r="Z225" s="127"/>
      <c r="AA225" s="127"/>
      <c r="AB225" s="127"/>
      <c r="AC225" s="127"/>
      <c r="AD225" s="127"/>
      <c r="AE225" s="127"/>
      <c r="AF225" s="127"/>
      <c r="AG225" s="127"/>
    </row>
    <row r="226" spans="1:33" s="600" customFormat="1" x14ac:dyDescent="0.35">
      <c r="A226" s="127"/>
      <c r="B226" s="237" t="s">
        <v>1921</v>
      </c>
      <c r="C226" s="237">
        <v>4045</v>
      </c>
      <c r="D226" s="237" t="s">
        <v>1919</v>
      </c>
      <c r="E226" s="127"/>
      <c r="F226" s="237" t="s">
        <v>1923</v>
      </c>
      <c r="G226" s="127"/>
      <c r="H226" s="127">
        <v>2011</v>
      </c>
      <c r="I226" s="237" t="s">
        <v>1919</v>
      </c>
      <c r="L226" s="127" t="s">
        <v>1926</v>
      </c>
      <c r="M226" s="25">
        <v>4500</v>
      </c>
      <c r="U226" s="127"/>
      <c r="V226" s="127"/>
      <c r="W226" s="127"/>
      <c r="X226" s="127"/>
      <c r="Y226" s="127"/>
      <c r="Z226" s="127"/>
      <c r="AA226" s="127"/>
      <c r="AB226" s="127"/>
      <c r="AC226" s="127"/>
      <c r="AD226" s="127"/>
      <c r="AE226" s="127"/>
      <c r="AF226" s="127"/>
      <c r="AG226" s="127"/>
    </row>
    <row r="227" spans="1:33" s="600" customFormat="1" x14ac:dyDescent="0.35">
      <c r="A227" s="127"/>
      <c r="B227" s="127" t="s">
        <v>319</v>
      </c>
      <c r="C227" s="237">
        <v>1047</v>
      </c>
      <c r="D227" s="237" t="s">
        <v>1920</v>
      </c>
      <c r="E227" s="127"/>
      <c r="F227" s="237" t="s">
        <v>1923</v>
      </c>
      <c r="G227" s="127"/>
      <c r="H227" s="127">
        <v>3543</v>
      </c>
      <c r="I227" s="237" t="s">
        <v>1920</v>
      </c>
      <c r="L227" s="127" t="s">
        <v>1927</v>
      </c>
      <c r="M227" s="25">
        <v>5313</v>
      </c>
      <c r="U227" s="127"/>
      <c r="V227" s="127"/>
      <c r="W227" s="127"/>
      <c r="X227" s="127"/>
      <c r="Y227" s="127"/>
      <c r="Z227" s="127"/>
      <c r="AA227" s="127"/>
      <c r="AB227" s="127"/>
      <c r="AC227" s="127"/>
      <c r="AD227" s="127"/>
      <c r="AE227" s="127"/>
      <c r="AF227" s="127"/>
      <c r="AG227" s="127"/>
    </row>
    <row r="228" spans="1:33" s="600" customFormat="1" x14ac:dyDescent="0.35">
      <c r="A228" s="127"/>
      <c r="B228" s="127" t="s">
        <v>319</v>
      </c>
      <c r="C228" s="237">
        <v>1047</v>
      </c>
      <c r="D228" s="237" t="s">
        <v>555</v>
      </c>
      <c r="E228" s="127"/>
      <c r="F228" s="237" t="s">
        <v>1922</v>
      </c>
      <c r="G228" s="127"/>
      <c r="H228" s="237">
        <v>952</v>
      </c>
      <c r="I228" s="237" t="s">
        <v>555</v>
      </c>
      <c r="L228" s="127" t="s">
        <v>1928</v>
      </c>
      <c r="M228" s="25">
        <v>6188</v>
      </c>
      <c r="U228" s="127"/>
      <c r="V228" s="127"/>
      <c r="W228" s="127"/>
      <c r="X228" s="127"/>
      <c r="Y228" s="127"/>
      <c r="Z228" s="127"/>
      <c r="AA228" s="127"/>
      <c r="AB228" s="127"/>
      <c r="AC228" s="127"/>
      <c r="AD228" s="127"/>
      <c r="AE228" s="127"/>
      <c r="AF228" s="127"/>
      <c r="AG228" s="127"/>
    </row>
    <row r="229" spans="1:33" s="600" customFormat="1" x14ac:dyDescent="0.35">
      <c r="A229" s="127"/>
      <c r="B229" s="127"/>
      <c r="C229" s="127"/>
      <c r="D229" s="237"/>
      <c r="E229" s="127"/>
      <c r="F229" s="127"/>
      <c r="G229" s="127"/>
      <c r="H229" s="127"/>
      <c r="I229" s="127"/>
      <c r="J229" s="127"/>
      <c r="K229" s="127"/>
      <c r="L229" s="127"/>
      <c r="M229" s="127"/>
      <c r="U229" s="127"/>
      <c r="V229" s="127"/>
      <c r="W229" s="127"/>
      <c r="X229" s="127"/>
      <c r="Y229" s="127"/>
      <c r="Z229" s="127"/>
      <c r="AA229" s="127"/>
      <c r="AB229" s="127"/>
      <c r="AC229" s="127"/>
      <c r="AD229" s="127"/>
      <c r="AE229" s="127"/>
      <c r="AF229" s="127"/>
      <c r="AG229" s="127"/>
    </row>
    <row r="230" spans="1:33" s="600" customFormat="1" x14ac:dyDescent="0.35">
      <c r="A230" s="127"/>
      <c r="B230" s="127"/>
      <c r="C230" s="127"/>
      <c r="D230" s="127"/>
      <c r="E230" s="127"/>
      <c r="F230" s="127"/>
      <c r="G230" s="127"/>
      <c r="H230" s="127"/>
      <c r="I230" s="127"/>
      <c r="J230" s="127"/>
      <c r="K230" s="127"/>
      <c r="L230" s="127"/>
      <c r="M230" s="127"/>
      <c r="U230" s="127"/>
      <c r="V230" s="127"/>
      <c r="W230" s="127"/>
      <c r="X230" s="127"/>
      <c r="Y230" s="127"/>
      <c r="Z230" s="127"/>
      <c r="AA230" s="127"/>
      <c r="AB230" s="127"/>
      <c r="AC230" s="127"/>
      <c r="AD230" s="127"/>
      <c r="AE230" s="127"/>
      <c r="AF230" s="127"/>
      <c r="AG230" s="127"/>
    </row>
    <row r="231" spans="1:33" s="600" customFormat="1" x14ac:dyDescent="0.35">
      <c r="A231" s="127"/>
      <c r="B231" s="237" t="s">
        <v>1930</v>
      </c>
      <c r="C231" s="127"/>
      <c r="D231" s="127"/>
      <c r="E231" s="127"/>
      <c r="F231" s="127"/>
      <c r="G231" s="127"/>
      <c r="H231" s="127"/>
      <c r="I231" s="127"/>
      <c r="J231" s="127"/>
      <c r="K231" s="127"/>
      <c r="L231" s="127"/>
      <c r="M231" s="127"/>
      <c r="U231" s="127"/>
      <c r="V231" s="127"/>
      <c r="W231" s="127"/>
      <c r="X231" s="127"/>
      <c r="Y231" s="127"/>
      <c r="Z231" s="127"/>
      <c r="AA231" s="127"/>
      <c r="AB231" s="127"/>
      <c r="AC231" s="127"/>
      <c r="AD231" s="127"/>
      <c r="AE231" s="127"/>
      <c r="AF231" s="127"/>
      <c r="AG231" s="127"/>
    </row>
    <row r="232" spans="1:33" s="600" customFormat="1" x14ac:dyDescent="0.35">
      <c r="A232" s="127"/>
      <c r="B232" s="127" t="s">
        <v>322</v>
      </c>
      <c r="C232" s="127">
        <v>468</v>
      </c>
      <c r="D232" s="127" t="s">
        <v>323</v>
      </c>
      <c r="E232" s="127"/>
      <c r="F232" s="127"/>
      <c r="G232" s="127"/>
      <c r="H232" s="127"/>
      <c r="I232" s="127"/>
      <c r="J232" s="127"/>
      <c r="K232" s="127"/>
      <c r="L232" s="127"/>
      <c r="M232" s="127"/>
      <c r="U232" s="127"/>
      <c r="V232" s="127"/>
      <c r="W232" s="127"/>
      <c r="X232" s="127"/>
      <c r="Y232" s="127"/>
      <c r="Z232" s="127"/>
      <c r="AA232" s="127"/>
      <c r="AB232" s="127"/>
      <c r="AC232" s="127"/>
      <c r="AD232" s="127"/>
      <c r="AE232" s="127"/>
      <c r="AF232" s="127"/>
      <c r="AG232" s="127"/>
    </row>
    <row r="233" spans="1:33" s="600" customFormat="1" x14ac:dyDescent="0.35">
      <c r="A233" s="127"/>
      <c r="B233" s="237" t="s">
        <v>324</v>
      </c>
      <c r="C233" s="127">
        <v>1347</v>
      </c>
      <c r="D233" s="127" t="s">
        <v>323</v>
      </c>
      <c r="E233" s="127"/>
      <c r="F233" s="127"/>
      <c r="G233" s="127"/>
      <c r="H233" s="127"/>
      <c r="I233" s="127"/>
      <c r="J233" s="127"/>
      <c r="K233" s="127"/>
      <c r="L233" s="127"/>
      <c r="M233" s="127"/>
      <c r="N233" s="127"/>
      <c r="U233" s="127"/>
      <c r="V233" s="127"/>
      <c r="W233" s="127"/>
      <c r="X233" s="127"/>
      <c r="Y233" s="127"/>
      <c r="Z233" s="127"/>
      <c r="AA233" s="127"/>
      <c r="AB233" s="127"/>
      <c r="AC233" s="127"/>
      <c r="AD233" s="127"/>
      <c r="AE233" s="127"/>
      <c r="AF233" s="127"/>
      <c r="AG233" s="127"/>
    </row>
    <row r="234" spans="1:33" s="600" customFormat="1" x14ac:dyDescent="0.35">
      <c r="A234" s="127"/>
      <c r="B234" s="127" t="s">
        <v>325</v>
      </c>
      <c r="C234" s="22">
        <v>18000</v>
      </c>
      <c r="D234" s="127" t="s">
        <v>294</v>
      </c>
      <c r="E234" s="127"/>
      <c r="F234" s="127"/>
      <c r="G234" s="279"/>
      <c r="H234" s="127"/>
      <c r="I234" s="127"/>
      <c r="J234" s="279"/>
      <c r="K234" s="127"/>
      <c r="L234" s="127"/>
      <c r="M234" s="127"/>
      <c r="N234" s="127"/>
      <c r="U234" s="127"/>
      <c r="V234" s="127"/>
      <c r="W234" s="127"/>
      <c r="X234" s="127"/>
      <c r="Y234" s="127"/>
      <c r="Z234" s="127"/>
      <c r="AA234" s="127"/>
      <c r="AB234" s="127"/>
      <c r="AC234" s="127"/>
      <c r="AD234" s="127"/>
      <c r="AE234" s="127"/>
      <c r="AF234" s="127"/>
      <c r="AG234" s="127"/>
    </row>
    <row r="235" spans="1:33" s="600" customFormat="1" x14ac:dyDescent="0.35">
      <c r="A235" s="127"/>
      <c r="B235" s="127" t="s">
        <v>330</v>
      </c>
      <c r="C235" s="22">
        <v>18000</v>
      </c>
      <c r="D235" s="127" t="s">
        <v>294</v>
      </c>
      <c r="E235" s="127"/>
      <c r="F235" s="127"/>
      <c r="G235" s="127"/>
      <c r="H235" s="127"/>
      <c r="I235" s="127"/>
      <c r="J235" s="127"/>
      <c r="K235" s="127"/>
      <c r="L235" s="127"/>
      <c r="M235" s="127"/>
      <c r="N235" s="127"/>
      <c r="U235" s="127"/>
      <c r="V235" s="127"/>
      <c r="W235" s="127"/>
      <c r="X235" s="127"/>
      <c r="Y235" s="127"/>
      <c r="Z235" s="127"/>
      <c r="AA235" s="127"/>
      <c r="AB235" s="127"/>
      <c r="AC235" s="127"/>
      <c r="AD235" s="127"/>
      <c r="AE235" s="127"/>
      <c r="AF235" s="127"/>
      <c r="AG235" s="127"/>
    </row>
    <row r="236" spans="1:33" s="600" customFormat="1" x14ac:dyDescent="0.35">
      <c r="A236" s="127"/>
      <c r="B236" s="237" t="s">
        <v>1931</v>
      </c>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row>
    <row r="237" spans="1:33" s="600" customFormat="1" x14ac:dyDescent="0.35">
      <c r="A237" s="127"/>
      <c r="B237" s="127" t="s">
        <v>334</v>
      </c>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row>
    <row r="238" spans="1:33" s="600" customFormat="1" x14ac:dyDescent="0.35">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row>
    <row r="239" spans="1:33" s="600" customFormat="1" x14ac:dyDescent="0.35">
      <c r="A239" s="127"/>
      <c r="B239" s="247" t="s">
        <v>1</v>
      </c>
      <c r="C239" s="29" t="s">
        <v>297</v>
      </c>
      <c r="D239" s="29"/>
      <c r="E239" s="29"/>
      <c r="F239" s="29"/>
      <c r="G239" s="29"/>
      <c r="H239" s="29"/>
      <c r="I239" s="29"/>
      <c r="J239" s="29"/>
      <c r="K239" s="29"/>
      <c r="L239" s="29"/>
      <c r="M239" s="29"/>
      <c r="N239" s="127"/>
      <c r="O239" s="127"/>
      <c r="P239" s="127"/>
      <c r="Q239" s="127"/>
      <c r="R239" s="127"/>
      <c r="S239" s="127"/>
      <c r="T239" s="127"/>
      <c r="U239" s="127"/>
    </row>
    <row r="240" spans="1:33" s="600" customFormat="1" x14ac:dyDescent="0.35">
      <c r="A240" s="127"/>
      <c r="B240" s="234" t="s">
        <v>297</v>
      </c>
      <c r="C240" s="234" t="s">
        <v>335</v>
      </c>
      <c r="D240" s="234" t="s">
        <v>336</v>
      </c>
      <c r="E240" s="234" t="s">
        <v>337</v>
      </c>
      <c r="F240" s="234" t="s">
        <v>338</v>
      </c>
      <c r="G240" s="234" t="s">
        <v>339</v>
      </c>
      <c r="H240" s="234" t="s">
        <v>340</v>
      </c>
      <c r="I240" s="234" t="s">
        <v>341</v>
      </c>
      <c r="J240" s="32" t="s">
        <v>342</v>
      </c>
      <c r="K240" s="234" t="s">
        <v>343</v>
      </c>
      <c r="L240" s="234" t="s">
        <v>344</v>
      </c>
      <c r="M240" s="32" t="s">
        <v>301</v>
      </c>
      <c r="N240" s="237"/>
      <c r="O240" s="237"/>
      <c r="P240" s="127"/>
      <c r="Q240" s="22"/>
      <c r="R240" s="21"/>
      <c r="S240" s="22"/>
      <c r="T240" s="127"/>
      <c r="U240" s="127"/>
    </row>
    <row r="241" spans="1:21" s="600" customFormat="1" x14ac:dyDescent="0.35">
      <c r="A241" s="127"/>
      <c r="B241" s="664" t="s">
        <v>1932</v>
      </c>
      <c r="C241" s="34">
        <f>M225-H225*1.5</f>
        <v>1678.5</v>
      </c>
      <c r="D241" s="234">
        <v>8</v>
      </c>
      <c r="E241" s="234"/>
      <c r="F241" s="234">
        <v>14</v>
      </c>
      <c r="G241" s="234">
        <v>3.4119999999999999</v>
      </c>
      <c r="H241" s="37"/>
      <c r="I241" s="37">
        <v>8</v>
      </c>
      <c r="J241" s="289">
        <f>((C235*C233*(1/G241-1/I241)/1000))+(C234*C232*(1/D241-1/F241)/1000)</f>
        <v>4526.6318455870041</v>
      </c>
      <c r="K241" s="234">
        <f xml:space="preserve"> (-0.02 * D241) + (1.12 * D241)</f>
        <v>8.8000000000000007</v>
      </c>
      <c r="L241" s="234">
        <f xml:space="preserve"> (-0.02 * F241) + (1.12 * F241)</f>
        <v>15.400000000000002</v>
      </c>
      <c r="M241" s="290">
        <f>(C234*(1/K241-1/L241)/1000)*C224</f>
        <v>0.37782467532467534</v>
      </c>
      <c r="N241" s="127"/>
      <c r="O241" s="127"/>
      <c r="P241" s="127"/>
      <c r="Q241" s="22"/>
      <c r="R241" s="21"/>
      <c r="S241" s="22"/>
      <c r="T241" s="127"/>
      <c r="U241" s="127"/>
    </row>
  </sheetData>
  <pageMargins left="0.7" right="0.7" top="0.75" bottom="0.75" header="0.3" footer="0.3"/>
  <pageSetup scale="29" fitToHeight="2" orientation="portrait" r:id="rId1"/>
  <headerFooter>
    <oddHeader>&amp;LAppendix G (Rev.)&amp;CRes HVAC</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pageSetUpPr fitToPage="1"/>
  </sheetPr>
  <dimension ref="A2:AD280"/>
  <sheetViews>
    <sheetView zoomScale="70" zoomScaleNormal="70" workbookViewId="0"/>
  </sheetViews>
  <sheetFormatPr defaultRowHeight="14.5" x14ac:dyDescent="0.35"/>
  <cols>
    <col min="1" max="1" width="40.1796875" customWidth="1"/>
    <col min="2" max="2" width="26.26953125" customWidth="1"/>
    <col min="3" max="3" width="12.81640625" customWidth="1"/>
    <col min="9" max="9" width="44.7265625" bestFit="1" customWidth="1"/>
    <col min="10" max="10" width="24.7265625" customWidth="1"/>
    <col min="11" max="11" width="14.1796875" customWidth="1"/>
    <col min="12" max="12" width="19.1796875" customWidth="1"/>
    <col min="14" max="14" width="10.7265625" bestFit="1" customWidth="1"/>
    <col min="15" max="15" width="48.7265625" bestFit="1" customWidth="1"/>
    <col min="16" max="16" width="21.81640625" customWidth="1"/>
    <col min="17" max="17" width="9.7265625" customWidth="1"/>
    <col min="18" max="18" width="15.26953125" customWidth="1"/>
    <col min="20" max="20" width="11.81640625" customWidth="1"/>
    <col min="21" max="21" width="44.7265625" bestFit="1" customWidth="1"/>
    <col min="22" max="22" width="27.453125" customWidth="1"/>
    <col min="23" max="23" width="11" customWidth="1"/>
    <col min="24" max="24" width="15.26953125" customWidth="1"/>
    <col min="27" max="27" width="48.7265625" bestFit="1" customWidth="1"/>
    <col min="28" max="28" width="27.453125" customWidth="1"/>
    <col min="29" max="29" width="11" customWidth="1"/>
    <col min="30" max="30" width="15.26953125" customWidth="1"/>
  </cols>
  <sheetData>
    <row r="2" spans="1:12" x14ac:dyDescent="0.35">
      <c r="A2" s="14"/>
      <c r="B2" s="14"/>
      <c r="C2" s="14"/>
      <c r="D2" s="14"/>
      <c r="E2" s="14"/>
      <c r="F2" s="14"/>
      <c r="G2" s="14"/>
      <c r="H2" s="14"/>
      <c r="I2" s="14"/>
      <c r="J2" s="8"/>
    </row>
    <row r="3" spans="1:12" x14ac:dyDescent="0.35">
      <c r="A3" s="2769" t="s">
        <v>678</v>
      </c>
      <c r="B3" s="2769" t="s">
        <v>643</v>
      </c>
      <c r="C3" s="2774" t="s">
        <v>644</v>
      </c>
      <c r="D3" s="2772"/>
      <c r="E3" s="2772"/>
      <c r="F3" s="14"/>
      <c r="G3" s="14"/>
      <c r="H3" s="14"/>
      <c r="I3" s="2769" t="s">
        <v>678</v>
      </c>
      <c r="J3" s="2769" t="s">
        <v>643</v>
      </c>
      <c r="K3" s="2774" t="s">
        <v>644</v>
      </c>
      <c r="L3" s="2772"/>
    </row>
    <row r="4" spans="1:12" x14ac:dyDescent="0.35">
      <c r="A4" s="2773" t="s">
        <v>3932</v>
      </c>
      <c r="B4" s="14" t="s">
        <v>288</v>
      </c>
      <c r="C4" s="14" t="s">
        <v>645</v>
      </c>
      <c r="D4" s="14"/>
      <c r="E4" s="14"/>
      <c r="F4" s="14"/>
      <c r="G4" s="14"/>
      <c r="H4" s="14"/>
      <c r="I4" s="2773" t="s">
        <v>3933</v>
      </c>
      <c r="J4" s="202" t="s">
        <v>288</v>
      </c>
      <c r="K4" s="202" t="s">
        <v>645</v>
      </c>
      <c r="L4" s="202"/>
    </row>
    <row r="5" spans="1:12" x14ac:dyDescent="0.35">
      <c r="B5" s="2601" t="s">
        <v>289</v>
      </c>
      <c r="C5" s="2601" t="s">
        <v>3368</v>
      </c>
      <c r="D5" s="14"/>
      <c r="E5" s="14"/>
      <c r="F5" s="14"/>
      <c r="G5" s="14"/>
      <c r="H5" s="14"/>
      <c r="I5" s="600"/>
      <c r="J5" s="2601" t="s">
        <v>289</v>
      </c>
      <c r="K5" s="2601" t="s">
        <v>3368</v>
      </c>
      <c r="L5" s="202"/>
    </row>
    <row r="6" spans="1:12" x14ac:dyDescent="0.35">
      <c r="B6" s="14" t="s">
        <v>290</v>
      </c>
      <c r="C6" s="193">
        <v>10</v>
      </c>
      <c r="D6" s="14"/>
      <c r="E6" s="14"/>
      <c r="F6" s="14"/>
      <c r="G6" s="14"/>
      <c r="H6" s="14"/>
      <c r="I6" s="600"/>
      <c r="J6" s="202" t="s">
        <v>290</v>
      </c>
      <c r="K6" s="193">
        <v>10</v>
      </c>
      <c r="L6" s="202"/>
    </row>
    <row r="7" spans="1:12" x14ac:dyDescent="0.35">
      <c r="B7" s="14" t="s">
        <v>291</v>
      </c>
      <c r="C7" s="194">
        <v>12</v>
      </c>
      <c r="D7" s="14"/>
      <c r="E7" s="14"/>
      <c r="F7" s="14"/>
      <c r="G7" s="14"/>
      <c r="H7" s="14"/>
      <c r="I7" s="600"/>
      <c r="J7" s="202" t="s">
        <v>291</v>
      </c>
      <c r="K7" s="194">
        <v>12</v>
      </c>
      <c r="L7" s="202"/>
    </row>
    <row r="8" spans="1:12" x14ac:dyDescent="0.35">
      <c r="B8" s="14" t="s">
        <v>292</v>
      </c>
      <c r="C8" s="195">
        <v>2.7799999999999998E-2</v>
      </c>
      <c r="D8" s="14"/>
      <c r="E8" s="14"/>
      <c r="F8" s="14"/>
      <c r="G8" s="14"/>
      <c r="H8" s="14"/>
      <c r="I8" s="600"/>
      <c r="J8" s="202" t="s">
        <v>292</v>
      </c>
      <c r="K8" s="195">
        <v>2.7799999999999998E-2</v>
      </c>
      <c r="L8" s="202"/>
    </row>
    <row r="9" spans="1:12" x14ac:dyDescent="0.35">
      <c r="B9" s="14"/>
      <c r="C9" s="14"/>
      <c r="D9" s="14"/>
      <c r="E9" s="14"/>
      <c r="F9" s="14"/>
      <c r="G9" s="14"/>
      <c r="H9" s="14"/>
      <c r="I9" s="600"/>
      <c r="J9" s="202"/>
      <c r="K9" s="202"/>
      <c r="L9" s="202"/>
    </row>
    <row r="10" spans="1:12" x14ac:dyDescent="0.35">
      <c r="B10" s="14" t="s">
        <v>646</v>
      </c>
      <c r="C10" s="14"/>
      <c r="D10" s="14"/>
      <c r="E10" s="14"/>
      <c r="F10" s="14"/>
      <c r="G10" s="14"/>
      <c r="H10" s="14"/>
      <c r="I10" s="600"/>
      <c r="J10" s="202" t="s">
        <v>646</v>
      </c>
      <c r="K10" s="202"/>
      <c r="L10" s="202"/>
    </row>
    <row r="11" spans="1:12" s="600" customFormat="1" x14ac:dyDescent="0.35">
      <c r="B11" s="2601" t="s">
        <v>3310</v>
      </c>
      <c r="C11" s="202"/>
      <c r="D11" s="202"/>
      <c r="E11" s="202"/>
      <c r="F11" s="202"/>
      <c r="G11" s="202"/>
      <c r="H11" s="202"/>
      <c r="J11" s="2601" t="s">
        <v>3310</v>
      </c>
      <c r="K11" s="202"/>
      <c r="L11" s="202"/>
    </row>
    <row r="12" spans="1:12" s="600" customFormat="1" x14ac:dyDescent="0.35">
      <c r="B12" s="2601" t="s">
        <v>3369</v>
      </c>
      <c r="C12" s="202"/>
      <c r="D12" s="202"/>
      <c r="E12" s="202"/>
      <c r="F12" s="202"/>
      <c r="G12" s="202"/>
      <c r="H12" s="202"/>
      <c r="J12" s="2601" t="s">
        <v>3369</v>
      </c>
      <c r="K12" s="202"/>
      <c r="L12" s="202"/>
    </row>
    <row r="13" spans="1:12" s="600" customFormat="1" x14ac:dyDescent="0.35">
      <c r="B13"/>
      <c r="C13" s="202"/>
      <c r="D13" s="202"/>
      <c r="E13" s="202"/>
      <c r="F13" s="202"/>
      <c r="G13" s="202"/>
      <c r="H13" s="202"/>
      <c r="K13" s="202"/>
      <c r="L13" s="202"/>
    </row>
    <row r="14" spans="1:12" x14ac:dyDescent="0.35">
      <c r="B14" s="14" t="s">
        <v>647</v>
      </c>
      <c r="C14" s="192">
        <v>1</v>
      </c>
      <c r="D14" s="14"/>
      <c r="E14" s="14"/>
      <c r="F14" s="14"/>
      <c r="G14" s="14"/>
      <c r="H14" s="14"/>
      <c r="I14" s="600"/>
      <c r="J14" s="202" t="s">
        <v>647</v>
      </c>
      <c r="K14" s="192">
        <v>1</v>
      </c>
      <c r="L14" s="202"/>
    </row>
    <row r="15" spans="1:12" x14ac:dyDescent="0.35">
      <c r="B15" s="14" t="s">
        <v>648</v>
      </c>
      <c r="C15" s="17">
        <v>2.35</v>
      </c>
      <c r="D15" s="14" t="s">
        <v>679</v>
      </c>
      <c r="E15" s="14"/>
      <c r="F15" s="14"/>
      <c r="G15" s="14"/>
      <c r="H15" s="14"/>
      <c r="I15" s="600"/>
      <c r="J15" s="202" t="s">
        <v>648</v>
      </c>
      <c r="K15" s="204">
        <v>2.35</v>
      </c>
      <c r="L15" s="202" t="s">
        <v>679</v>
      </c>
    </row>
    <row r="16" spans="1:12" x14ac:dyDescent="0.35">
      <c r="B16" s="14" t="s">
        <v>650</v>
      </c>
      <c r="C16" s="196">
        <v>7.8</v>
      </c>
      <c r="D16" s="14" t="s">
        <v>651</v>
      </c>
      <c r="E16" s="14"/>
      <c r="F16" s="14"/>
      <c r="G16" s="14"/>
      <c r="H16" s="14"/>
      <c r="I16" s="600"/>
      <c r="J16" s="202" t="s">
        <v>650</v>
      </c>
      <c r="K16" s="201">
        <v>7.8</v>
      </c>
      <c r="L16" s="202" t="s">
        <v>651</v>
      </c>
    </row>
    <row r="17" spans="1:12" x14ac:dyDescent="0.35">
      <c r="B17" s="14" t="s">
        <v>652</v>
      </c>
      <c r="C17" s="17">
        <v>1.75</v>
      </c>
      <c r="D17" s="14" t="s">
        <v>649</v>
      </c>
      <c r="E17" s="14"/>
      <c r="F17" s="14"/>
      <c r="G17" s="14"/>
      <c r="H17" s="14"/>
      <c r="I17" s="600"/>
      <c r="J17" s="202" t="s">
        <v>652</v>
      </c>
      <c r="K17" s="204">
        <v>1.75</v>
      </c>
      <c r="L17" s="202" t="s">
        <v>649</v>
      </c>
    </row>
    <row r="18" spans="1:12" x14ac:dyDescent="0.35">
      <c r="B18" s="14" t="s">
        <v>653</v>
      </c>
      <c r="C18" s="196">
        <v>7.8</v>
      </c>
      <c r="D18" s="14" t="s">
        <v>651</v>
      </c>
      <c r="E18" s="14"/>
      <c r="F18" s="14"/>
      <c r="G18" s="14"/>
      <c r="H18" s="14"/>
      <c r="I18" s="600"/>
      <c r="J18" s="202" t="s">
        <v>653</v>
      </c>
      <c r="K18" s="201">
        <v>7.8</v>
      </c>
      <c r="L18" s="202" t="s">
        <v>651</v>
      </c>
    </row>
    <row r="19" spans="1:12" x14ac:dyDescent="0.35">
      <c r="B19" s="14" t="s">
        <v>654</v>
      </c>
      <c r="C19" s="17">
        <v>2.56</v>
      </c>
      <c r="D19" s="14" t="s">
        <v>294</v>
      </c>
      <c r="E19" s="14"/>
      <c r="F19" s="14"/>
      <c r="G19" s="14"/>
      <c r="H19" s="14"/>
      <c r="I19" s="600"/>
      <c r="J19" s="202" t="s">
        <v>654</v>
      </c>
      <c r="K19" s="204">
        <v>2.56</v>
      </c>
      <c r="L19" s="202" t="s">
        <v>294</v>
      </c>
    </row>
    <row r="20" spans="1:12" x14ac:dyDescent="0.35">
      <c r="B20" s="14" t="s">
        <v>654</v>
      </c>
      <c r="C20" s="17">
        <v>2.1</v>
      </c>
      <c r="D20" s="14" t="s">
        <v>328</v>
      </c>
      <c r="E20" s="14"/>
      <c r="F20" s="14"/>
      <c r="G20" s="14"/>
      <c r="H20" s="14"/>
      <c r="I20" s="600"/>
      <c r="J20" s="202" t="s">
        <v>654</v>
      </c>
      <c r="K20" s="204">
        <v>2.1</v>
      </c>
      <c r="L20" s="202" t="s">
        <v>328</v>
      </c>
    </row>
    <row r="21" spans="1:12" x14ac:dyDescent="0.35">
      <c r="B21" s="14" t="s">
        <v>655</v>
      </c>
      <c r="C21" s="196">
        <v>0.6</v>
      </c>
      <c r="D21" s="14" t="s">
        <v>656</v>
      </c>
      <c r="E21" s="14"/>
      <c r="F21" s="14"/>
      <c r="G21" s="14"/>
      <c r="H21" s="14"/>
      <c r="I21" s="600"/>
      <c r="J21" s="202" t="s">
        <v>655</v>
      </c>
      <c r="K21" s="201">
        <v>0.6</v>
      </c>
      <c r="L21" s="202" t="s">
        <v>656</v>
      </c>
    </row>
    <row r="22" spans="1:12" x14ac:dyDescent="0.35">
      <c r="B22" s="14" t="s">
        <v>657</v>
      </c>
      <c r="C22" s="17">
        <v>1.79</v>
      </c>
      <c r="D22" s="14" t="s">
        <v>294</v>
      </c>
      <c r="E22" s="14"/>
      <c r="F22" s="14"/>
      <c r="G22" s="14"/>
      <c r="H22" s="14"/>
      <c r="I22" s="600"/>
      <c r="J22" s="202" t="s">
        <v>657</v>
      </c>
      <c r="K22" s="204">
        <v>1.79</v>
      </c>
      <c r="L22" s="202" t="s">
        <v>294</v>
      </c>
    </row>
    <row r="23" spans="1:12" x14ac:dyDescent="0.35">
      <c r="B23" s="14" t="s">
        <v>657</v>
      </c>
      <c r="C23" s="17">
        <v>1.3</v>
      </c>
      <c r="D23" s="14" t="s">
        <v>328</v>
      </c>
      <c r="E23" s="14"/>
      <c r="F23" s="14"/>
      <c r="G23" s="14"/>
      <c r="H23" s="14"/>
      <c r="I23" s="600"/>
      <c r="J23" s="202" t="s">
        <v>657</v>
      </c>
      <c r="K23" s="204">
        <v>1.3</v>
      </c>
      <c r="L23" s="202" t="s">
        <v>328</v>
      </c>
    </row>
    <row r="24" spans="1:12" x14ac:dyDescent="0.35">
      <c r="B24" s="14" t="s">
        <v>658</v>
      </c>
      <c r="C24" s="197">
        <v>0.11700000000000001</v>
      </c>
      <c r="D24" s="14" t="s">
        <v>659</v>
      </c>
      <c r="E24" s="14"/>
      <c r="F24" s="14"/>
      <c r="G24" s="14"/>
      <c r="H24" s="14"/>
      <c r="I24" s="600"/>
      <c r="J24" s="202" t="s">
        <v>658</v>
      </c>
      <c r="K24" s="197">
        <v>0.11700000000000001</v>
      </c>
      <c r="L24" s="202" t="s">
        <v>659</v>
      </c>
    </row>
    <row r="25" spans="1:12" x14ac:dyDescent="0.35">
      <c r="B25" s="2767" t="s">
        <v>303</v>
      </c>
      <c r="C25" s="2768">
        <v>0.25</v>
      </c>
      <c r="D25" s="2776" t="s">
        <v>3938</v>
      </c>
      <c r="E25" s="2767"/>
      <c r="F25" s="14"/>
      <c r="G25" s="14"/>
      <c r="H25" s="14"/>
      <c r="I25" s="600"/>
      <c r="J25" s="2767" t="s">
        <v>303</v>
      </c>
      <c r="K25" s="2768">
        <v>0.62</v>
      </c>
      <c r="L25" s="2776" t="s">
        <v>3939</v>
      </c>
    </row>
    <row r="26" spans="1:12" x14ac:dyDescent="0.35">
      <c r="B26" s="1" t="s">
        <v>3321</v>
      </c>
      <c r="C26" s="2608">
        <f>(((C15*C16)-(C17*C18))*C19*C21*365.25/C22)*C25</f>
        <v>366.7028379888269</v>
      </c>
      <c r="D26" s="2601" t="s">
        <v>294</v>
      </c>
      <c r="I26" s="600"/>
      <c r="J26" s="1" t="s">
        <v>3321</v>
      </c>
      <c r="K26" s="2608">
        <f>(((K15*K16)-(K17*K18))*K19*K21*365.25/K22)*K25</f>
        <v>909.42303821229075</v>
      </c>
      <c r="L26" s="2601" t="s">
        <v>294</v>
      </c>
    </row>
    <row r="27" spans="1:12" x14ac:dyDescent="0.35">
      <c r="B27" s="1" t="s">
        <v>3321</v>
      </c>
      <c r="C27" s="2608">
        <f>(((C15*C16)-(C17*C18))*C20*C21*365.25/C23)*C25</f>
        <v>414.19350000000009</v>
      </c>
      <c r="D27" s="2601" t="s">
        <v>328</v>
      </c>
      <c r="I27" s="600"/>
      <c r="J27" s="1" t="s">
        <v>3321</v>
      </c>
      <c r="K27" s="2608">
        <f>(((K15*K16)-(K17*K18))*K20*K21*365.25/K23)*K25</f>
        <v>1027.1998800000001</v>
      </c>
      <c r="L27" s="2601" t="s">
        <v>328</v>
      </c>
    </row>
    <row r="28" spans="1:12" x14ac:dyDescent="0.35">
      <c r="B28" s="1" t="s">
        <v>3322</v>
      </c>
      <c r="C28" s="2608">
        <f>C26 / 1000000 * 5010</f>
        <v>1.8371812183240226</v>
      </c>
      <c r="D28" s="2601" t="s">
        <v>294</v>
      </c>
      <c r="I28" s="600"/>
      <c r="J28" s="1" t="s">
        <v>3322</v>
      </c>
      <c r="K28" s="2608">
        <f>K26 / 1000000 * 5010</f>
        <v>4.5562094214435769</v>
      </c>
      <c r="L28" s="2601" t="s">
        <v>294</v>
      </c>
    </row>
    <row r="29" spans="1:12" x14ac:dyDescent="0.35">
      <c r="B29" s="1" t="s">
        <v>3322</v>
      </c>
      <c r="C29" s="2608">
        <f>C27 / 1000000 * 5010</f>
        <v>2.0751094350000003</v>
      </c>
      <c r="D29" s="2601" t="s">
        <v>328</v>
      </c>
      <c r="I29" s="600"/>
      <c r="J29" s="1" t="s">
        <v>3322</v>
      </c>
      <c r="K29" s="2608">
        <f>K27 / 1000000 * 5010</f>
        <v>5.1462713988000006</v>
      </c>
      <c r="L29" s="2601" t="s">
        <v>328</v>
      </c>
    </row>
    <row r="30" spans="1:12" x14ac:dyDescent="0.35">
      <c r="A30" s="482"/>
      <c r="B30" s="2604" t="s">
        <v>342</v>
      </c>
      <c r="C30" s="2607">
        <f>C14*(((C15*C16)-(C17*C18))*C19*C21*365.25/C22)*C24*C25+C28</f>
        <v>44.741413263016767</v>
      </c>
      <c r="D30" s="2601" t="s">
        <v>294</v>
      </c>
      <c r="E30" s="14"/>
      <c r="F30" s="14"/>
      <c r="G30" s="14"/>
      <c r="H30" s="14"/>
      <c r="I30" s="482"/>
      <c r="J30" s="2604" t="s">
        <v>342</v>
      </c>
      <c r="K30" s="2607">
        <f>K14*(((K15*K16)-(K17*K18))*K19*K21*365.25/K22)*K24*K25+K28</f>
        <v>110.9587048922816</v>
      </c>
      <c r="L30" s="2601" t="s">
        <v>294</v>
      </c>
    </row>
    <row r="31" spans="1:12" x14ac:dyDescent="0.35">
      <c r="A31" s="482"/>
      <c r="B31" s="2604" t="s">
        <v>342</v>
      </c>
      <c r="C31" s="2607">
        <f>C14*(((C15*C16)-(C17*C18))*C20*C21*365.25/C23)*C24*C25+C29</f>
        <v>50.535748935000015</v>
      </c>
      <c r="D31" s="2601" t="s">
        <v>328</v>
      </c>
      <c r="E31" s="14"/>
      <c r="F31" s="14"/>
      <c r="G31" s="14"/>
      <c r="H31" s="14"/>
      <c r="I31" s="482"/>
      <c r="J31" s="2604" t="s">
        <v>342</v>
      </c>
      <c r="K31" s="2607">
        <f>K14*(((K15*K16)-(K17*K18))*K20*K21*365.25/K23)*K24*K25+K29</f>
        <v>125.32865735880003</v>
      </c>
      <c r="L31" s="2601" t="s">
        <v>328</v>
      </c>
    </row>
    <row r="32" spans="1:12" x14ac:dyDescent="0.35">
      <c r="B32" s="14"/>
      <c r="C32" s="14"/>
      <c r="D32" s="14"/>
      <c r="E32" s="14"/>
      <c r="F32" s="14"/>
      <c r="G32" s="14"/>
      <c r="H32" s="14"/>
      <c r="I32" s="600"/>
      <c r="J32" s="202"/>
      <c r="K32" s="202"/>
      <c r="L32" s="202"/>
    </row>
    <row r="33" spans="1:30" x14ac:dyDescent="0.35">
      <c r="B33" s="14" t="s">
        <v>662</v>
      </c>
      <c r="C33" s="14"/>
      <c r="D33" s="14"/>
      <c r="E33" s="14"/>
      <c r="F33" s="14"/>
      <c r="G33" s="14"/>
      <c r="H33" s="14"/>
      <c r="I33" s="600"/>
      <c r="J33" s="202" t="s">
        <v>662</v>
      </c>
      <c r="K33" s="202"/>
      <c r="L33" s="202"/>
    </row>
    <row r="34" spans="1:30" x14ac:dyDescent="0.35">
      <c r="B34" s="2601" t="s">
        <v>293</v>
      </c>
      <c r="C34" s="2599">
        <v>267</v>
      </c>
      <c r="D34" s="2601" t="s">
        <v>680</v>
      </c>
      <c r="E34" s="14"/>
      <c r="F34" s="14"/>
      <c r="G34" s="14"/>
      <c r="H34" s="14"/>
      <c r="I34" s="600"/>
      <c r="J34" s="2601" t="s">
        <v>293</v>
      </c>
      <c r="K34" s="2599">
        <v>267</v>
      </c>
      <c r="L34" s="2601" t="s">
        <v>680</v>
      </c>
    </row>
    <row r="35" spans="1:30" x14ac:dyDescent="0.35">
      <c r="B35" s="2601" t="s">
        <v>293</v>
      </c>
      <c r="C35" s="2599">
        <v>219</v>
      </c>
      <c r="D35" s="2601" t="s">
        <v>681</v>
      </c>
      <c r="E35" s="14"/>
      <c r="F35" s="14"/>
      <c r="G35" s="14"/>
      <c r="H35" s="14"/>
      <c r="I35" s="600"/>
      <c r="J35" s="2601" t="s">
        <v>293</v>
      </c>
      <c r="K35" s="2599">
        <v>219</v>
      </c>
      <c r="L35" s="2601" t="s">
        <v>681</v>
      </c>
    </row>
    <row r="36" spans="1:30" x14ac:dyDescent="0.35">
      <c r="A36" s="482"/>
      <c r="B36" s="483" t="s">
        <v>301</v>
      </c>
      <c r="C36" s="486">
        <f>C30/C34*C8</f>
        <v>4.6584692461118585E-3</v>
      </c>
      <c r="D36" s="485" t="s">
        <v>294</v>
      </c>
      <c r="E36" s="14"/>
      <c r="F36" s="14"/>
      <c r="G36" s="14"/>
      <c r="H36" s="14"/>
      <c r="I36" s="482"/>
      <c r="J36" s="483" t="s">
        <v>301</v>
      </c>
      <c r="K36" s="486">
        <f>K30/K34*K8</f>
        <v>1.1553003730357409E-2</v>
      </c>
      <c r="L36" s="485" t="s">
        <v>294</v>
      </c>
    </row>
    <row r="37" spans="1:30" x14ac:dyDescent="0.35">
      <c r="A37" s="482"/>
      <c r="B37" s="483" t="s">
        <v>301</v>
      </c>
      <c r="C37" s="486">
        <f>C31/C34*C8</f>
        <v>5.2617746082134842E-3</v>
      </c>
      <c r="D37" s="485" t="s">
        <v>328</v>
      </c>
      <c r="E37" s="14"/>
      <c r="F37" s="14"/>
      <c r="G37" s="14"/>
      <c r="H37" s="14"/>
      <c r="I37" s="482"/>
      <c r="J37" s="483" t="s">
        <v>301</v>
      </c>
      <c r="K37" s="486">
        <f>K31/K34*K8</f>
        <v>1.304920102836944E-2</v>
      </c>
      <c r="L37" s="485" t="s">
        <v>328</v>
      </c>
    </row>
    <row r="38" spans="1:30" x14ac:dyDescent="0.35">
      <c r="B38" s="14"/>
      <c r="C38" s="14"/>
      <c r="D38" s="14"/>
      <c r="E38" s="14"/>
      <c r="F38" s="14"/>
      <c r="G38" s="14"/>
      <c r="H38" s="14"/>
      <c r="I38" s="600"/>
      <c r="J38" s="202"/>
      <c r="K38" s="202"/>
      <c r="L38" s="202"/>
    </row>
    <row r="39" spans="1:30" x14ac:dyDescent="0.35">
      <c r="B39" s="14" t="s">
        <v>663</v>
      </c>
      <c r="C39" s="14"/>
      <c r="D39" s="14"/>
      <c r="E39" s="14"/>
      <c r="F39" s="14"/>
      <c r="G39" s="14"/>
      <c r="H39" s="14"/>
      <c r="I39" s="600"/>
      <c r="J39" s="202" t="s">
        <v>663</v>
      </c>
      <c r="K39" s="202"/>
      <c r="L39" s="202"/>
    </row>
    <row r="40" spans="1:30" x14ac:dyDescent="0.35">
      <c r="B40" s="14" t="s">
        <v>664</v>
      </c>
      <c r="C40" s="192">
        <v>1</v>
      </c>
      <c r="D40" s="14"/>
      <c r="E40" s="14"/>
      <c r="F40" s="14"/>
      <c r="G40" s="14"/>
      <c r="H40" s="14"/>
      <c r="I40" s="600"/>
      <c r="J40" s="202" t="s">
        <v>664</v>
      </c>
      <c r="K40" s="192">
        <v>1</v>
      </c>
      <c r="L40" s="202"/>
    </row>
    <row r="41" spans="1:30" x14ac:dyDescent="0.35">
      <c r="B41" s="14" t="s">
        <v>665</v>
      </c>
      <c r="C41" s="199">
        <v>5.0099999999999997E-3</v>
      </c>
      <c r="D41" s="14" t="s">
        <v>294</v>
      </c>
      <c r="E41" s="14"/>
      <c r="F41" s="14"/>
      <c r="G41" s="14"/>
      <c r="H41" s="14"/>
      <c r="I41" s="600"/>
      <c r="J41" s="202" t="s">
        <v>665</v>
      </c>
      <c r="K41" s="208">
        <v>5.0099999999999997E-3</v>
      </c>
      <c r="L41" s="202" t="s">
        <v>294</v>
      </c>
    </row>
    <row r="42" spans="1:30" x14ac:dyDescent="0.35">
      <c r="B42" s="14" t="s">
        <v>665</v>
      </c>
      <c r="C42" s="199">
        <v>5.8300000000000001E-3</v>
      </c>
      <c r="D42" s="14" t="s">
        <v>328</v>
      </c>
      <c r="E42" s="14"/>
      <c r="F42" s="14"/>
      <c r="G42" s="14"/>
      <c r="H42" s="14"/>
      <c r="I42" s="600"/>
      <c r="J42" s="202" t="s">
        <v>665</v>
      </c>
      <c r="K42" s="208">
        <v>5.8300000000000001E-3</v>
      </c>
      <c r="L42" s="202" t="s">
        <v>328</v>
      </c>
    </row>
    <row r="43" spans="1:30" x14ac:dyDescent="0.35">
      <c r="A43" s="482"/>
      <c r="B43" s="483" t="s">
        <v>302</v>
      </c>
      <c r="C43" s="484">
        <f>ROUND(C40*(((C15*C16)-(C17*C18))*C19*C21*365.25/C22)*C41*C25,2)</f>
        <v>1.84</v>
      </c>
      <c r="D43" s="485" t="s">
        <v>294</v>
      </c>
      <c r="E43" s="14"/>
      <c r="F43" s="14"/>
      <c r="G43" s="14"/>
      <c r="H43" s="14"/>
      <c r="I43" s="482"/>
      <c r="J43" s="483" t="s">
        <v>302</v>
      </c>
      <c r="K43" s="484">
        <f>ROUND(K40*(((K15*K16)-(K17*K18))*K19*K21*365.25/K22)*K41*K25,2)</f>
        <v>4.5599999999999996</v>
      </c>
      <c r="L43" s="485" t="s">
        <v>294</v>
      </c>
    </row>
    <row r="44" spans="1:30" x14ac:dyDescent="0.35">
      <c r="A44" s="482"/>
      <c r="B44" s="483" t="s">
        <v>302</v>
      </c>
      <c r="C44" s="484">
        <f>C40*(((C15*C16)-(C17*C18))*C20*C21*365.25/C23)*C42*C25</f>
        <v>2.4147481050000006</v>
      </c>
      <c r="D44" s="485" t="s">
        <v>328</v>
      </c>
      <c r="E44" s="14"/>
      <c r="F44" s="14"/>
      <c r="G44" s="14"/>
      <c r="H44" s="14"/>
      <c r="I44" s="482"/>
      <c r="J44" s="483" t="s">
        <v>302</v>
      </c>
      <c r="K44" s="484">
        <f>K40*(((K15*K16)-(K17*K18))*K20*K21*365.25/K23)*K42*K25</f>
        <v>5.9885753004000017</v>
      </c>
      <c r="L44" s="485" t="s">
        <v>328</v>
      </c>
    </row>
    <row r="45" spans="1:30" x14ac:dyDescent="0.35">
      <c r="A45" s="14"/>
      <c r="B45" s="14"/>
      <c r="C45" s="14"/>
      <c r="D45" s="14"/>
      <c r="E45" s="14"/>
      <c r="F45" s="14"/>
      <c r="G45" s="14"/>
      <c r="H45" s="14"/>
      <c r="I45" s="14"/>
      <c r="J45" s="8"/>
    </row>
    <row r="46" spans="1:30" x14ac:dyDescent="0.35">
      <c r="A46" s="14"/>
      <c r="B46" s="14"/>
      <c r="C46" s="14"/>
      <c r="D46" s="14"/>
      <c r="E46" s="14"/>
      <c r="F46" s="14"/>
      <c r="G46" s="14"/>
      <c r="H46" s="14"/>
    </row>
    <row r="47" spans="1:30" x14ac:dyDescent="0.35">
      <c r="A47" s="10" t="s">
        <v>682</v>
      </c>
      <c r="B47" s="2572" t="s">
        <v>667</v>
      </c>
      <c r="C47" s="186" t="s">
        <v>668</v>
      </c>
      <c r="D47" s="191"/>
      <c r="E47" s="191"/>
      <c r="F47" s="14"/>
      <c r="G47" s="14"/>
      <c r="H47" s="14"/>
      <c r="I47" s="2769" t="s">
        <v>1683</v>
      </c>
      <c r="J47" s="2770" t="s">
        <v>667</v>
      </c>
      <c r="K47" s="2771" t="s">
        <v>668</v>
      </c>
      <c r="L47" s="2772"/>
      <c r="O47" s="2769" t="s">
        <v>1684</v>
      </c>
      <c r="P47" s="2770" t="s">
        <v>667</v>
      </c>
      <c r="Q47" s="2771" t="s">
        <v>668</v>
      </c>
      <c r="R47" s="2772"/>
      <c r="U47" s="2769" t="s">
        <v>1683</v>
      </c>
      <c r="V47" s="2770" t="s">
        <v>667</v>
      </c>
      <c r="W47" s="2771" t="s">
        <v>668</v>
      </c>
      <c r="X47" s="2772"/>
      <c r="Y47" s="600"/>
      <c r="Z47" s="600"/>
      <c r="AA47" s="2769" t="s">
        <v>1684</v>
      </c>
      <c r="AB47" s="2770" t="s">
        <v>667</v>
      </c>
      <c r="AC47" s="2771" t="s">
        <v>668</v>
      </c>
      <c r="AD47" s="2772"/>
    </row>
    <row r="48" spans="1:30" x14ac:dyDescent="0.35">
      <c r="B48" s="14" t="s">
        <v>288</v>
      </c>
      <c r="C48" s="14" t="s">
        <v>669</v>
      </c>
      <c r="D48" s="14"/>
      <c r="E48" s="14"/>
      <c r="F48" s="14"/>
      <c r="G48" s="14"/>
      <c r="H48" s="14"/>
      <c r="I48" s="2774" t="s">
        <v>3932</v>
      </c>
      <c r="J48" s="14" t="s">
        <v>288</v>
      </c>
      <c r="K48" s="14" t="s">
        <v>669</v>
      </c>
      <c r="L48" s="14"/>
      <c r="O48" s="2774" t="s">
        <v>3932</v>
      </c>
      <c r="P48" s="14" t="s">
        <v>288</v>
      </c>
      <c r="Q48" s="14" t="s">
        <v>669</v>
      </c>
      <c r="R48" s="14"/>
      <c r="U48" s="2774" t="s">
        <v>3933</v>
      </c>
      <c r="V48" s="202" t="s">
        <v>288</v>
      </c>
      <c r="W48" s="202" t="s">
        <v>669</v>
      </c>
      <c r="X48" s="202"/>
      <c r="Y48" s="600"/>
      <c r="Z48" s="600"/>
      <c r="AA48" s="2774" t="s">
        <v>3933</v>
      </c>
      <c r="AB48" s="202" t="s">
        <v>288</v>
      </c>
      <c r="AC48" s="202" t="s">
        <v>669</v>
      </c>
      <c r="AD48" s="202"/>
    </row>
    <row r="49" spans="2:30" x14ac:dyDescent="0.35">
      <c r="B49" s="14" t="s">
        <v>289</v>
      </c>
      <c r="C49" s="2600" t="s">
        <v>3364</v>
      </c>
      <c r="D49" s="14"/>
      <c r="E49" s="14"/>
      <c r="F49" s="14"/>
      <c r="G49" s="14"/>
      <c r="H49" s="14"/>
      <c r="J49" s="14" t="s">
        <v>289</v>
      </c>
      <c r="K49" s="2600" t="s">
        <v>3364</v>
      </c>
      <c r="L49" s="14"/>
      <c r="P49" s="14" t="s">
        <v>289</v>
      </c>
      <c r="Q49" s="2600" t="s">
        <v>3364</v>
      </c>
      <c r="R49" s="14"/>
      <c r="U49" s="600"/>
      <c r="V49" s="202" t="s">
        <v>289</v>
      </c>
      <c r="W49" s="2600" t="s">
        <v>3364</v>
      </c>
      <c r="X49" s="202"/>
      <c r="Y49" s="600"/>
      <c r="Z49" s="600"/>
      <c r="AA49" s="600"/>
      <c r="AB49" s="202" t="s">
        <v>289</v>
      </c>
      <c r="AC49" s="2600" t="s">
        <v>3364</v>
      </c>
      <c r="AD49" s="202"/>
    </row>
    <row r="50" spans="2:30" x14ac:dyDescent="0.35">
      <c r="B50" s="14" t="s">
        <v>288</v>
      </c>
      <c r="C50" s="14" t="s">
        <v>670</v>
      </c>
      <c r="D50" s="14"/>
      <c r="E50" s="14"/>
      <c r="F50" s="14"/>
      <c r="G50" s="14"/>
      <c r="H50" s="14"/>
      <c r="J50" s="14" t="s">
        <v>288</v>
      </c>
      <c r="K50" s="14" t="s">
        <v>670</v>
      </c>
      <c r="L50" s="14"/>
      <c r="P50" s="14" t="s">
        <v>288</v>
      </c>
      <c r="Q50" s="14" t="s">
        <v>670</v>
      </c>
      <c r="R50" s="14"/>
      <c r="U50" s="600"/>
      <c r="V50" s="202" t="s">
        <v>288</v>
      </c>
      <c r="W50" s="202" t="s">
        <v>670</v>
      </c>
      <c r="X50" s="202"/>
      <c r="Y50" s="600"/>
      <c r="Z50" s="600"/>
      <c r="AA50" s="600"/>
      <c r="AB50" s="202" t="s">
        <v>288</v>
      </c>
      <c r="AC50" s="202" t="s">
        <v>670</v>
      </c>
      <c r="AD50" s="202"/>
    </row>
    <row r="51" spans="2:30" x14ac:dyDescent="0.35">
      <c r="B51" s="14" t="s">
        <v>289</v>
      </c>
      <c r="C51" s="2601" t="s">
        <v>3365</v>
      </c>
      <c r="D51" s="14"/>
      <c r="E51" s="14"/>
      <c r="F51" s="14"/>
      <c r="G51" s="14"/>
      <c r="H51" s="14"/>
      <c r="J51" s="14" t="s">
        <v>289</v>
      </c>
      <c r="K51" s="2601" t="s">
        <v>3365</v>
      </c>
      <c r="L51" s="14"/>
      <c r="P51" s="14" t="s">
        <v>289</v>
      </c>
      <c r="Q51" s="2601" t="s">
        <v>3365</v>
      </c>
      <c r="R51" s="14"/>
      <c r="U51" s="600"/>
      <c r="V51" s="202" t="s">
        <v>289</v>
      </c>
      <c r="W51" s="2601" t="s">
        <v>3365</v>
      </c>
      <c r="X51" s="202"/>
      <c r="Y51" s="600"/>
      <c r="Z51" s="600"/>
      <c r="AA51" s="600"/>
      <c r="AB51" s="202" t="s">
        <v>289</v>
      </c>
      <c r="AC51" s="2601" t="s">
        <v>3365</v>
      </c>
      <c r="AD51" s="202"/>
    </row>
    <row r="52" spans="2:30" x14ac:dyDescent="0.35">
      <c r="B52" s="14" t="s">
        <v>290</v>
      </c>
      <c r="C52" s="2599">
        <v>10</v>
      </c>
      <c r="D52" s="14"/>
      <c r="E52" s="14"/>
      <c r="F52" s="14"/>
      <c r="G52" s="14"/>
      <c r="H52" s="14"/>
      <c r="J52" s="14" t="s">
        <v>290</v>
      </c>
      <c r="K52" s="2599">
        <v>10</v>
      </c>
      <c r="L52" s="14"/>
      <c r="P52" s="14" t="s">
        <v>290</v>
      </c>
      <c r="Q52" s="2599">
        <v>10</v>
      </c>
      <c r="R52" s="14"/>
      <c r="U52" s="600"/>
      <c r="V52" s="202" t="s">
        <v>290</v>
      </c>
      <c r="W52" s="2599">
        <v>10</v>
      </c>
      <c r="X52" s="202"/>
      <c r="Y52" s="600"/>
      <c r="Z52" s="600"/>
      <c r="AA52" s="600"/>
      <c r="AB52" s="202" t="s">
        <v>290</v>
      </c>
      <c r="AC52" s="2599">
        <v>10</v>
      </c>
      <c r="AD52" s="202"/>
    </row>
    <row r="53" spans="2:30" x14ac:dyDescent="0.35">
      <c r="B53" s="14" t="s">
        <v>291</v>
      </c>
      <c r="C53" s="194">
        <v>8</v>
      </c>
      <c r="D53" s="14"/>
      <c r="E53" s="14"/>
      <c r="F53" s="14"/>
      <c r="G53" s="14"/>
      <c r="H53" s="14"/>
      <c r="J53" s="14" t="s">
        <v>291</v>
      </c>
      <c r="K53" s="194">
        <v>8</v>
      </c>
      <c r="L53" s="14"/>
      <c r="P53" s="14" t="s">
        <v>291</v>
      </c>
      <c r="Q53" s="194">
        <v>8</v>
      </c>
      <c r="R53" s="14"/>
      <c r="U53" s="600"/>
      <c r="V53" s="202" t="s">
        <v>291</v>
      </c>
      <c r="W53" s="194">
        <v>8</v>
      </c>
      <c r="X53" s="202"/>
      <c r="Y53" s="600"/>
      <c r="Z53" s="600"/>
      <c r="AA53" s="600"/>
      <c r="AB53" s="202" t="s">
        <v>291</v>
      </c>
      <c r="AC53" s="194">
        <v>8</v>
      </c>
      <c r="AD53" s="202"/>
    </row>
    <row r="54" spans="2:30" x14ac:dyDescent="0.35">
      <c r="B54" s="14" t="s">
        <v>292</v>
      </c>
      <c r="C54" s="200">
        <v>2.1999999999999999E-2</v>
      </c>
      <c r="D54" s="14"/>
      <c r="E54" s="14"/>
      <c r="F54" s="14"/>
      <c r="G54" s="14"/>
      <c r="H54" s="14"/>
      <c r="J54" s="14" t="s">
        <v>292</v>
      </c>
      <c r="K54" s="200">
        <v>2.1999999999999999E-2</v>
      </c>
      <c r="L54" s="14"/>
      <c r="P54" s="14" t="s">
        <v>292</v>
      </c>
      <c r="Q54" s="200">
        <v>2.1999999999999999E-2</v>
      </c>
      <c r="R54" s="14"/>
      <c r="U54" s="600"/>
      <c r="V54" s="202" t="s">
        <v>292</v>
      </c>
      <c r="W54" s="200">
        <v>2.1999999999999999E-2</v>
      </c>
      <c r="X54" s="202"/>
      <c r="Y54" s="600"/>
      <c r="Z54" s="600"/>
      <c r="AA54" s="600"/>
      <c r="AB54" s="202" t="s">
        <v>292</v>
      </c>
      <c r="AC54" s="200">
        <v>2.1999999999999999E-2</v>
      </c>
      <c r="AD54" s="202"/>
    </row>
    <row r="55" spans="2:30" x14ac:dyDescent="0.35">
      <c r="B55" s="14"/>
      <c r="C55" s="14"/>
      <c r="D55" s="14"/>
      <c r="E55" s="14"/>
      <c r="F55" s="14"/>
      <c r="G55" s="14"/>
      <c r="H55" s="14"/>
      <c r="J55" s="14"/>
      <c r="K55" s="14"/>
      <c r="L55" s="14"/>
      <c r="P55" s="14"/>
      <c r="Q55" s="14"/>
      <c r="R55" s="14"/>
      <c r="U55" s="600"/>
      <c r="V55" s="202"/>
      <c r="W55" s="202"/>
      <c r="X55" s="202"/>
      <c r="Y55" s="600"/>
      <c r="Z55" s="600"/>
      <c r="AA55" s="600"/>
      <c r="AB55" s="202"/>
      <c r="AC55" s="202"/>
      <c r="AD55" s="202"/>
    </row>
    <row r="56" spans="2:30" x14ac:dyDescent="0.35">
      <c r="B56" s="14" t="s">
        <v>671</v>
      </c>
      <c r="C56" s="14"/>
      <c r="D56" s="14"/>
      <c r="E56" s="14"/>
      <c r="F56" s="14"/>
      <c r="G56" s="14"/>
      <c r="H56" s="14"/>
      <c r="J56" s="14" t="s">
        <v>671</v>
      </c>
      <c r="K56" s="14"/>
      <c r="L56" s="14"/>
      <c r="P56" s="14" t="s">
        <v>671</v>
      </c>
      <c r="Q56" s="14"/>
      <c r="R56" s="14"/>
      <c r="U56" s="600"/>
      <c r="V56" s="202" t="s">
        <v>671</v>
      </c>
      <c r="W56" s="202"/>
      <c r="X56" s="202"/>
      <c r="Y56" s="600"/>
      <c r="Z56" s="600"/>
      <c r="AA56" s="600"/>
      <c r="AB56" s="202" t="s">
        <v>671</v>
      </c>
      <c r="AC56" s="202"/>
      <c r="AD56" s="202"/>
    </row>
    <row r="57" spans="2:30" s="600" customFormat="1" x14ac:dyDescent="0.35">
      <c r="B57" s="2601" t="s">
        <v>3310</v>
      </c>
      <c r="C57" s="202"/>
      <c r="D57" s="202"/>
      <c r="E57" s="202"/>
      <c r="F57" s="202"/>
      <c r="G57" s="202"/>
      <c r="H57" s="202"/>
      <c r="J57" s="202"/>
      <c r="K57" s="202"/>
      <c r="L57" s="202"/>
      <c r="P57" s="202"/>
      <c r="Q57" s="202"/>
      <c r="R57" s="202"/>
      <c r="V57" s="202"/>
      <c r="W57" s="202"/>
      <c r="X57" s="202"/>
      <c r="AB57" s="202"/>
      <c r="AC57" s="202"/>
      <c r="AD57" s="202"/>
    </row>
    <row r="58" spans="2:30" s="600" customFormat="1" x14ac:dyDescent="0.35">
      <c r="B58" s="2601" t="s">
        <v>3367</v>
      </c>
      <c r="C58" s="202"/>
      <c r="D58" s="202"/>
      <c r="E58" s="202"/>
      <c r="F58" s="202"/>
      <c r="G58" s="202"/>
      <c r="H58" s="202"/>
      <c r="J58" s="202"/>
      <c r="K58" s="202"/>
      <c r="L58" s="202"/>
      <c r="P58" s="202"/>
      <c r="Q58" s="202"/>
      <c r="R58" s="202"/>
      <c r="V58" s="202"/>
      <c r="W58" s="202"/>
      <c r="X58" s="202"/>
      <c r="AB58" s="202"/>
      <c r="AC58" s="202"/>
      <c r="AD58" s="202"/>
    </row>
    <row r="59" spans="2:30" s="600" customFormat="1" x14ac:dyDescent="0.35">
      <c r="B59" s="202"/>
      <c r="C59" s="202"/>
      <c r="D59" s="202"/>
      <c r="E59" s="202"/>
      <c r="F59" s="202"/>
      <c r="G59" s="202"/>
      <c r="H59" s="202"/>
      <c r="J59" s="202"/>
      <c r="K59" s="202"/>
      <c r="L59" s="202"/>
      <c r="P59" s="202"/>
      <c r="Q59" s="202"/>
      <c r="R59" s="202"/>
      <c r="V59" s="202"/>
      <c r="W59" s="202"/>
      <c r="X59" s="202"/>
      <c r="AB59" s="202"/>
      <c r="AC59" s="202"/>
      <c r="AD59" s="202"/>
    </row>
    <row r="60" spans="2:30" x14ac:dyDescent="0.35">
      <c r="B60" s="14" t="s">
        <v>647</v>
      </c>
      <c r="C60" s="192">
        <v>1</v>
      </c>
      <c r="D60" s="14"/>
      <c r="E60" s="14"/>
      <c r="F60" s="14"/>
      <c r="G60" s="14"/>
      <c r="H60" s="14"/>
      <c r="J60" s="14" t="s">
        <v>647</v>
      </c>
      <c r="K60" s="192">
        <v>1</v>
      </c>
      <c r="L60" s="14"/>
      <c r="P60" s="14" t="s">
        <v>647</v>
      </c>
      <c r="Q60" s="192">
        <v>1</v>
      </c>
      <c r="R60" s="14"/>
      <c r="U60" s="600"/>
      <c r="V60" s="202" t="s">
        <v>647</v>
      </c>
      <c r="W60" s="192">
        <v>1</v>
      </c>
      <c r="X60" s="202"/>
      <c r="Y60" s="600"/>
      <c r="Z60" s="600"/>
      <c r="AA60" s="600"/>
      <c r="AB60" s="202" t="s">
        <v>647</v>
      </c>
      <c r="AC60" s="192">
        <v>1</v>
      </c>
      <c r="AD60" s="202"/>
    </row>
    <row r="61" spans="2:30" x14ac:dyDescent="0.35">
      <c r="B61" s="14" t="s">
        <v>648</v>
      </c>
      <c r="C61" s="2602">
        <v>1.58</v>
      </c>
      <c r="D61" s="14" t="s">
        <v>649</v>
      </c>
      <c r="E61" s="14"/>
      <c r="F61" s="14"/>
      <c r="G61" s="14"/>
      <c r="H61" s="14"/>
      <c r="J61" s="14" t="s">
        <v>648</v>
      </c>
      <c r="K61" s="2602">
        <v>1.53</v>
      </c>
      <c r="L61" s="14" t="s">
        <v>649</v>
      </c>
      <c r="P61" s="14" t="s">
        <v>648</v>
      </c>
      <c r="Q61" s="2602">
        <v>1.63</v>
      </c>
      <c r="R61" s="14" t="s">
        <v>649</v>
      </c>
      <c r="U61" s="600"/>
      <c r="V61" s="202" t="s">
        <v>648</v>
      </c>
      <c r="W61" s="2602">
        <v>1.53</v>
      </c>
      <c r="X61" s="202" t="s">
        <v>649</v>
      </c>
      <c r="Y61" s="600"/>
      <c r="Z61" s="600"/>
      <c r="AA61" s="600"/>
      <c r="AB61" s="202" t="s">
        <v>648</v>
      </c>
      <c r="AC61" s="2602">
        <v>1.63</v>
      </c>
      <c r="AD61" s="202" t="s">
        <v>649</v>
      </c>
    </row>
    <row r="62" spans="2:30" x14ac:dyDescent="0.35">
      <c r="B62" s="202" t="s">
        <v>650</v>
      </c>
      <c r="C62" s="201">
        <v>9</v>
      </c>
      <c r="D62" s="203" t="s">
        <v>672</v>
      </c>
      <c r="E62" s="14"/>
      <c r="F62" s="14"/>
      <c r="G62" s="14"/>
      <c r="H62" s="14"/>
      <c r="J62" s="202" t="s">
        <v>650</v>
      </c>
      <c r="K62" s="201">
        <v>1.6</v>
      </c>
      <c r="L62" s="203" t="s">
        <v>1687</v>
      </c>
      <c r="P62" s="202" t="s">
        <v>650</v>
      </c>
      <c r="Q62" s="201">
        <v>4.5</v>
      </c>
      <c r="R62" s="203" t="s">
        <v>1688</v>
      </c>
      <c r="U62" s="600"/>
      <c r="V62" s="202" t="s">
        <v>650</v>
      </c>
      <c r="W62" s="201">
        <v>1.6</v>
      </c>
      <c r="X62" s="203" t="s">
        <v>1687</v>
      </c>
      <c r="Y62" s="600"/>
      <c r="Z62" s="600"/>
      <c r="AA62" s="600"/>
      <c r="AB62" s="202" t="s">
        <v>650</v>
      </c>
      <c r="AC62" s="201">
        <v>4.5</v>
      </c>
      <c r="AD62" s="203" t="s">
        <v>1688</v>
      </c>
    </row>
    <row r="63" spans="2:30" x14ac:dyDescent="0.35">
      <c r="B63" s="203" t="s">
        <v>650</v>
      </c>
      <c r="C63" s="201">
        <v>6.9</v>
      </c>
      <c r="D63" s="203" t="s">
        <v>673</v>
      </c>
      <c r="E63" s="14"/>
      <c r="F63" s="14"/>
      <c r="G63" s="14"/>
      <c r="H63" s="14"/>
      <c r="J63" s="203" t="s">
        <v>650</v>
      </c>
      <c r="K63" s="201">
        <v>1.6</v>
      </c>
      <c r="L63" s="203" t="s">
        <v>1687</v>
      </c>
      <c r="P63" s="203" t="s">
        <v>650</v>
      </c>
      <c r="Q63" s="201">
        <v>4.5</v>
      </c>
      <c r="R63" s="203" t="s">
        <v>1688</v>
      </c>
      <c r="U63" s="600"/>
      <c r="V63" s="203" t="s">
        <v>650</v>
      </c>
      <c r="W63" s="201">
        <v>1.6</v>
      </c>
      <c r="X63" s="203" t="s">
        <v>1687</v>
      </c>
      <c r="Y63" s="600"/>
      <c r="Z63" s="600"/>
      <c r="AA63" s="600"/>
      <c r="AB63" s="203" t="s">
        <v>650</v>
      </c>
      <c r="AC63" s="201">
        <v>4.5</v>
      </c>
      <c r="AD63" s="203" t="s">
        <v>1688</v>
      </c>
    </row>
    <row r="64" spans="2:30" x14ac:dyDescent="0.35">
      <c r="B64" s="202" t="s">
        <v>652</v>
      </c>
      <c r="C64" s="204">
        <v>0.94</v>
      </c>
      <c r="D64" s="202" t="s">
        <v>649</v>
      </c>
      <c r="E64" s="14"/>
      <c r="F64" s="14"/>
      <c r="G64" s="14"/>
      <c r="H64" s="14"/>
      <c r="J64" s="202" t="s">
        <v>652</v>
      </c>
      <c r="K64" s="204">
        <v>0.94</v>
      </c>
      <c r="L64" s="202" t="s">
        <v>649</v>
      </c>
      <c r="P64" s="202" t="s">
        <v>652</v>
      </c>
      <c r="Q64" s="204">
        <v>0.94</v>
      </c>
      <c r="R64" s="202" t="s">
        <v>649</v>
      </c>
      <c r="U64" s="600"/>
      <c r="V64" s="202" t="s">
        <v>652</v>
      </c>
      <c r="W64" s="204">
        <v>0.94</v>
      </c>
      <c r="X64" s="202" t="s">
        <v>649</v>
      </c>
      <c r="Y64" s="600"/>
      <c r="Z64" s="600"/>
      <c r="AA64" s="600"/>
      <c r="AB64" s="202" t="s">
        <v>652</v>
      </c>
      <c r="AC64" s="204">
        <v>0.94</v>
      </c>
      <c r="AD64" s="202" t="s">
        <v>649</v>
      </c>
    </row>
    <row r="65" spans="1:30" x14ac:dyDescent="0.35">
      <c r="B65" s="202" t="s">
        <v>653</v>
      </c>
      <c r="C65" s="201">
        <v>9</v>
      </c>
      <c r="D65" s="203" t="s">
        <v>672</v>
      </c>
      <c r="E65" s="14"/>
      <c r="F65" s="14"/>
      <c r="G65" s="14"/>
      <c r="H65" s="14"/>
      <c r="J65" s="202" t="s">
        <v>653</v>
      </c>
      <c r="K65" s="201">
        <v>1.6</v>
      </c>
      <c r="L65" s="203" t="s">
        <v>1687</v>
      </c>
      <c r="P65" s="202" t="s">
        <v>653</v>
      </c>
      <c r="Q65" s="201">
        <v>4.5</v>
      </c>
      <c r="R65" s="203" t="s">
        <v>1688</v>
      </c>
      <c r="U65" s="600"/>
      <c r="V65" s="202" t="s">
        <v>653</v>
      </c>
      <c r="W65" s="201">
        <v>1.6</v>
      </c>
      <c r="X65" s="203" t="s">
        <v>1687</v>
      </c>
      <c r="Y65" s="600"/>
      <c r="Z65" s="600"/>
      <c r="AA65" s="600"/>
      <c r="AB65" s="202" t="s">
        <v>653</v>
      </c>
      <c r="AC65" s="201">
        <v>4.5</v>
      </c>
      <c r="AD65" s="203" t="s">
        <v>1688</v>
      </c>
    </row>
    <row r="66" spans="1:30" x14ac:dyDescent="0.35">
      <c r="B66" s="203" t="s">
        <v>653</v>
      </c>
      <c r="C66" s="201">
        <v>6.9</v>
      </c>
      <c r="D66" s="203" t="s">
        <v>673</v>
      </c>
      <c r="E66" s="14"/>
      <c r="F66" s="14"/>
      <c r="G66" s="14"/>
      <c r="H66" s="14"/>
      <c r="J66" s="203" t="s">
        <v>653</v>
      </c>
      <c r="K66" s="201">
        <v>1.6</v>
      </c>
      <c r="L66" s="203" t="s">
        <v>1687</v>
      </c>
      <c r="P66" s="203" t="s">
        <v>653</v>
      </c>
      <c r="Q66" s="201">
        <v>4.5</v>
      </c>
      <c r="R66" s="203" t="s">
        <v>1688</v>
      </c>
      <c r="U66" s="600"/>
      <c r="V66" s="203" t="s">
        <v>653</v>
      </c>
      <c r="W66" s="201">
        <v>1.6</v>
      </c>
      <c r="X66" s="203" t="s">
        <v>1687</v>
      </c>
      <c r="Y66" s="600"/>
      <c r="Z66" s="600"/>
      <c r="AA66" s="600"/>
      <c r="AB66" s="203" t="s">
        <v>653</v>
      </c>
      <c r="AC66" s="201">
        <v>4.5</v>
      </c>
      <c r="AD66" s="203" t="s">
        <v>1688</v>
      </c>
    </row>
    <row r="67" spans="1:30" x14ac:dyDescent="0.35">
      <c r="B67" s="14" t="s">
        <v>654</v>
      </c>
      <c r="C67" s="17">
        <v>2.56</v>
      </c>
      <c r="D67" s="14" t="s">
        <v>294</v>
      </c>
      <c r="E67" s="14"/>
      <c r="F67" s="14"/>
      <c r="G67" s="14"/>
      <c r="H67" s="14"/>
      <c r="J67" s="14" t="s">
        <v>654</v>
      </c>
      <c r="K67" s="17">
        <v>2.56</v>
      </c>
      <c r="L67" s="14" t="s">
        <v>294</v>
      </c>
      <c r="P67" s="14" t="s">
        <v>654</v>
      </c>
      <c r="Q67" s="17">
        <v>2.56</v>
      </c>
      <c r="R67" s="14" t="s">
        <v>294</v>
      </c>
      <c r="U67" s="600"/>
      <c r="V67" s="202" t="s">
        <v>654</v>
      </c>
      <c r="W67" s="204">
        <v>2.56</v>
      </c>
      <c r="X67" s="202" t="s">
        <v>294</v>
      </c>
      <c r="Y67" s="600"/>
      <c r="Z67" s="600"/>
      <c r="AA67" s="600"/>
      <c r="AB67" s="202" t="s">
        <v>654</v>
      </c>
      <c r="AC67" s="204">
        <v>2.56</v>
      </c>
      <c r="AD67" s="202" t="s">
        <v>294</v>
      </c>
    </row>
    <row r="68" spans="1:30" x14ac:dyDescent="0.35">
      <c r="B68" s="14" t="s">
        <v>654</v>
      </c>
      <c r="C68" s="17">
        <v>2.1</v>
      </c>
      <c r="D68" s="14" t="s">
        <v>328</v>
      </c>
      <c r="E68" s="14"/>
      <c r="F68" s="14"/>
      <c r="G68" s="14"/>
      <c r="H68" s="14"/>
      <c r="J68" s="14" t="s">
        <v>654</v>
      </c>
      <c r="K68" s="17">
        <v>2.1</v>
      </c>
      <c r="L68" s="14" t="s">
        <v>328</v>
      </c>
      <c r="P68" s="14" t="s">
        <v>654</v>
      </c>
      <c r="Q68" s="17">
        <v>2.1</v>
      </c>
      <c r="R68" s="14" t="s">
        <v>328</v>
      </c>
      <c r="U68" s="600"/>
      <c r="V68" s="202" t="s">
        <v>654</v>
      </c>
      <c r="W68" s="204">
        <v>2.1</v>
      </c>
      <c r="X68" s="202" t="s">
        <v>328</v>
      </c>
      <c r="Y68" s="600"/>
      <c r="Z68" s="600"/>
      <c r="AA68" s="600"/>
      <c r="AB68" s="202" t="s">
        <v>654</v>
      </c>
      <c r="AC68" s="204">
        <v>2.1</v>
      </c>
      <c r="AD68" s="202" t="s">
        <v>328</v>
      </c>
    </row>
    <row r="69" spans="1:30" x14ac:dyDescent="0.35">
      <c r="B69" s="14" t="s">
        <v>674</v>
      </c>
      <c r="C69" s="205">
        <v>0.79500000000000004</v>
      </c>
      <c r="D69" s="14" t="s">
        <v>683</v>
      </c>
      <c r="E69" s="14"/>
      <c r="F69" s="14"/>
      <c r="G69" s="14"/>
      <c r="H69" s="14"/>
      <c r="J69" s="14" t="s">
        <v>674</v>
      </c>
      <c r="K69" s="205">
        <v>0.9</v>
      </c>
      <c r="L69" s="14" t="s">
        <v>1685</v>
      </c>
      <c r="P69" s="14" t="s">
        <v>674</v>
      </c>
      <c r="Q69" s="205">
        <v>0.75</v>
      </c>
      <c r="R69" s="14" t="s">
        <v>1686</v>
      </c>
      <c r="U69" s="600"/>
      <c r="V69" s="202" t="s">
        <v>674</v>
      </c>
      <c r="W69" s="205">
        <v>0.9</v>
      </c>
      <c r="X69" s="202" t="s">
        <v>1685</v>
      </c>
      <c r="Y69" s="600"/>
      <c r="Z69" s="600"/>
      <c r="AA69" s="600"/>
      <c r="AB69" s="202" t="s">
        <v>674</v>
      </c>
      <c r="AC69" s="205">
        <v>0.75</v>
      </c>
      <c r="AD69" s="202" t="s">
        <v>1686</v>
      </c>
    </row>
    <row r="70" spans="1:30" x14ac:dyDescent="0.35">
      <c r="B70" s="14" t="s">
        <v>675</v>
      </c>
      <c r="C70" s="17">
        <v>3.83</v>
      </c>
      <c r="D70" s="14" t="s">
        <v>294</v>
      </c>
      <c r="E70" s="14"/>
      <c r="F70" s="14"/>
      <c r="G70" s="14"/>
      <c r="H70" s="14"/>
      <c r="J70" s="14" t="s">
        <v>675</v>
      </c>
      <c r="K70" s="17">
        <v>2.83</v>
      </c>
      <c r="L70" s="14" t="s">
        <v>294</v>
      </c>
      <c r="P70" s="14" t="s">
        <v>675</v>
      </c>
      <c r="Q70" s="17">
        <v>1</v>
      </c>
      <c r="R70" s="14" t="s">
        <v>1689</v>
      </c>
      <c r="U70" s="600"/>
      <c r="V70" s="202" t="s">
        <v>675</v>
      </c>
      <c r="W70" s="204">
        <v>2.83</v>
      </c>
      <c r="X70" s="202" t="s">
        <v>294</v>
      </c>
      <c r="Y70" s="600"/>
      <c r="Z70" s="600"/>
      <c r="AA70" s="600"/>
      <c r="AB70" s="202" t="s">
        <v>675</v>
      </c>
      <c r="AC70" s="204">
        <v>1</v>
      </c>
      <c r="AD70" s="202" t="s">
        <v>1689</v>
      </c>
    </row>
    <row r="71" spans="1:30" x14ac:dyDescent="0.35">
      <c r="B71" s="14" t="s">
        <v>675</v>
      </c>
      <c r="C71" s="17">
        <v>2.5</v>
      </c>
      <c r="D71" s="14" t="s">
        <v>328</v>
      </c>
      <c r="E71" s="14"/>
      <c r="F71" s="14"/>
      <c r="G71" s="14"/>
      <c r="H71" s="14"/>
      <c r="J71" s="14" t="s">
        <v>675</v>
      </c>
      <c r="K71" s="17">
        <v>1.5</v>
      </c>
      <c r="L71" s="14" t="s">
        <v>328</v>
      </c>
      <c r="P71" s="14" t="s">
        <v>675</v>
      </c>
      <c r="Q71" s="17">
        <v>1</v>
      </c>
      <c r="R71" s="14" t="s">
        <v>1690</v>
      </c>
      <c r="U71" s="600"/>
      <c r="V71" s="202" t="s">
        <v>675</v>
      </c>
      <c r="W71" s="204">
        <v>1.5</v>
      </c>
      <c r="X71" s="202" t="s">
        <v>328</v>
      </c>
      <c r="Y71" s="600"/>
      <c r="Z71" s="600"/>
      <c r="AA71" s="600"/>
      <c r="AB71" s="202" t="s">
        <v>675</v>
      </c>
      <c r="AC71" s="204">
        <v>1</v>
      </c>
      <c r="AD71" s="202" t="s">
        <v>1690</v>
      </c>
    </row>
    <row r="72" spans="1:30" x14ac:dyDescent="0.35">
      <c r="B72" s="14" t="s">
        <v>658</v>
      </c>
      <c r="C72" s="206">
        <v>9.1899999999999996E-2</v>
      </c>
      <c r="D72" s="14" t="s">
        <v>659</v>
      </c>
      <c r="E72" s="14"/>
      <c r="F72" s="14"/>
      <c r="G72" s="14"/>
      <c r="H72" s="14"/>
      <c r="J72" s="14" t="s">
        <v>658</v>
      </c>
      <c r="K72" s="206">
        <v>7.9500000000000001E-2</v>
      </c>
      <c r="L72" s="14" t="s">
        <v>659</v>
      </c>
      <c r="M72" t="s">
        <v>1691</v>
      </c>
      <c r="P72" s="14" t="s">
        <v>658</v>
      </c>
      <c r="Q72" s="206">
        <v>9.69E-2</v>
      </c>
      <c r="R72" s="14" t="s">
        <v>659</v>
      </c>
      <c r="S72" t="s">
        <v>1689</v>
      </c>
      <c r="U72" s="600"/>
      <c r="V72" s="202" t="s">
        <v>658</v>
      </c>
      <c r="W72" s="206">
        <v>7.9500000000000001E-2</v>
      </c>
      <c r="X72" s="202" t="s">
        <v>659</v>
      </c>
      <c r="Y72" s="600" t="s">
        <v>1691</v>
      </c>
      <c r="Z72" s="600"/>
      <c r="AA72" s="600"/>
      <c r="AB72" s="202" t="s">
        <v>658</v>
      </c>
      <c r="AC72" s="206">
        <v>9.69E-2</v>
      </c>
      <c r="AD72" s="202" t="s">
        <v>659</v>
      </c>
    </row>
    <row r="73" spans="1:30" x14ac:dyDescent="0.35">
      <c r="B73" s="2767" t="s">
        <v>303</v>
      </c>
      <c r="C73" s="2768">
        <f>AVERAGE(K73,Q73)</f>
        <v>0.27</v>
      </c>
      <c r="D73" s="2767" t="s">
        <v>3931</v>
      </c>
      <c r="E73" s="14"/>
      <c r="F73" s="14"/>
      <c r="G73" s="14"/>
      <c r="H73" s="14"/>
      <c r="J73" s="2767" t="s">
        <v>303</v>
      </c>
      <c r="K73" s="2768">
        <v>0.27</v>
      </c>
      <c r="L73" s="2767" t="s">
        <v>3929</v>
      </c>
      <c r="P73" s="2767" t="s">
        <v>303</v>
      </c>
      <c r="Q73" s="2768">
        <v>0.27</v>
      </c>
      <c r="R73" s="2767" t="s">
        <v>3930</v>
      </c>
      <c r="U73" s="600"/>
      <c r="V73" s="2767" t="s">
        <v>303</v>
      </c>
      <c r="W73" s="2768">
        <v>0.61</v>
      </c>
      <c r="X73" s="2767" t="s">
        <v>3934</v>
      </c>
      <c r="Y73" s="600"/>
      <c r="Z73" s="600"/>
      <c r="AA73" s="600"/>
      <c r="AB73" s="2767" t="s">
        <v>303</v>
      </c>
      <c r="AC73" s="2768">
        <v>0.57999999999999996</v>
      </c>
      <c r="AD73" s="2767" t="s">
        <v>3935</v>
      </c>
    </row>
    <row r="74" spans="1:30" s="600" customFormat="1" x14ac:dyDescent="0.35">
      <c r="B74" s="1" t="s">
        <v>3321</v>
      </c>
      <c r="C74" s="2608">
        <f>(((C61*C62)-(C64*C65))*C67*365.25*C69/C70)*C73</f>
        <v>301.84556014621421</v>
      </c>
      <c r="D74" s="2601" t="s">
        <v>294</v>
      </c>
      <c r="J74" s="1" t="s">
        <v>3321</v>
      </c>
      <c r="K74" s="2608">
        <f>(((K61*K62)-(K64*K65))*K67*365.25*K69/K70)*K73</f>
        <v>75.791765257950573</v>
      </c>
      <c r="L74" s="2601" t="s">
        <v>294</v>
      </c>
      <c r="P74" s="1" t="s">
        <v>3321</v>
      </c>
      <c r="Q74" s="2608">
        <f>(((Q61*Q62)-(Q64*Q65))*Q67*365.25*Q69/Q70)*Q73</f>
        <v>587.91808800000001</v>
      </c>
      <c r="R74" s="2601" t="s">
        <v>294</v>
      </c>
      <c r="V74" s="1" t="s">
        <v>3321</v>
      </c>
      <c r="W74" s="2608">
        <f>(((W61*W62)-(W64*W65))*W67*365.25*W69/W70)*W73</f>
        <v>171.23324743462905</v>
      </c>
      <c r="X74" s="2601" t="s">
        <v>294</v>
      </c>
      <c r="AB74" s="1" t="s">
        <v>3321</v>
      </c>
      <c r="AC74" s="2608">
        <f>(((AC61*AC62)-(AC64*AC65))*AC67*365.25*AC69/AC70)*AC73</f>
        <v>1262.935152</v>
      </c>
      <c r="AD74" s="2601" t="s">
        <v>294</v>
      </c>
    </row>
    <row r="75" spans="1:30" s="600" customFormat="1" x14ac:dyDescent="0.35">
      <c r="B75" s="1" t="s">
        <v>3321</v>
      </c>
      <c r="C75" s="2608">
        <f>(((C61*C62)-(C64*C65))*C68*365.25*C69/C71)*C73</f>
        <v>379.33497504000013</v>
      </c>
      <c r="D75" s="2601" t="s">
        <v>328</v>
      </c>
      <c r="J75" s="1" t="s">
        <v>3321</v>
      </c>
      <c r="K75" s="2608">
        <f>(((K61*K62)-(K64*K65))*K68*365.25*K69/K71)*K73</f>
        <v>117.29959920000007</v>
      </c>
      <c r="L75" s="2601" t="s">
        <v>328</v>
      </c>
      <c r="P75" s="1" t="s">
        <v>3321</v>
      </c>
      <c r="Q75" s="2608">
        <f>(((Q61*Q62)-(Q64*Q65))*Q68*365.25*Q69/Q71)*Q73</f>
        <v>482.27655656249999</v>
      </c>
      <c r="R75" s="2601" t="s">
        <v>328</v>
      </c>
      <c r="V75" s="1" t="s">
        <v>3321</v>
      </c>
      <c r="W75" s="2608">
        <f>(((W61*W62)-(W64*W65))*W68*365.25*W69/W71)*W73</f>
        <v>265.01020560000018</v>
      </c>
      <c r="X75" s="2601" t="s">
        <v>328</v>
      </c>
      <c r="AB75" s="1" t="s">
        <v>3321</v>
      </c>
      <c r="AC75" s="2608">
        <f>(((AC61*AC62)-(AC64*AC65))*AC68*365.25*AC69/AC71)*AC73</f>
        <v>1036.0014918749998</v>
      </c>
      <c r="AD75" s="2601" t="s">
        <v>328</v>
      </c>
    </row>
    <row r="76" spans="1:30" s="600" customFormat="1" x14ac:dyDescent="0.35">
      <c r="B76" s="1" t="s">
        <v>3322</v>
      </c>
      <c r="C76" s="2608">
        <f xml:space="preserve"> C74 / 1000000 * 5010</f>
        <v>1.5122462563325332</v>
      </c>
      <c r="D76" s="1" t="s">
        <v>294</v>
      </c>
      <c r="J76" s="1" t="s">
        <v>3322</v>
      </c>
      <c r="K76" s="2608">
        <f xml:space="preserve"> K74 / 1000000 * 5010</f>
        <v>0.3797167439423324</v>
      </c>
      <c r="L76" s="1" t="s">
        <v>294</v>
      </c>
      <c r="P76" s="1" t="s">
        <v>3322</v>
      </c>
      <c r="Q76" s="2608">
        <f xml:space="preserve"> Q74 / 1000000 * 5010</f>
        <v>2.94546962088</v>
      </c>
      <c r="R76" s="1" t="s">
        <v>294</v>
      </c>
      <c r="V76" s="1" t="s">
        <v>3322</v>
      </c>
      <c r="W76" s="2608">
        <f xml:space="preserve"> W74 / 1000000 * 5010</f>
        <v>0.85787856964749143</v>
      </c>
      <c r="X76" s="1" t="s">
        <v>294</v>
      </c>
      <c r="AB76" s="1" t="s">
        <v>3322</v>
      </c>
      <c r="AC76" s="2608">
        <f xml:space="preserve"> AC74 / 1000000 * 5010</f>
        <v>6.3273051115200003</v>
      </c>
      <c r="AD76" s="1" t="s">
        <v>294</v>
      </c>
    </row>
    <row r="77" spans="1:30" x14ac:dyDescent="0.35">
      <c r="B77" s="1" t="s">
        <v>3322</v>
      </c>
      <c r="C77" s="2608">
        <f xml:space="preserve"> C75 / 1000000 * 5010</f>
        <v>1.9004682249504006</v>
      </c>
      <c r="D77" s="1" t="s">
        <v>328</v>
      </c>
      <c r="J77" s="1" t="s">
        <v>3322</v>
      </c>
      <c r="K77" s="2608">
        <f xml:space="preserve"> K75 / 1000000 * 5010</f>
        <v>0.58767099199200035</v>
      </c>
      <c r="L77" s="1" t="s">
        <v>328</v>
      </c>
      <c r="P77" s="1" t="s">
        <v>3322</v>
      </c>
      <c r="Q77" s="2608">
        <f xml:space="preserve"> Q75 / 1000000 * 5010</f>
        <v>2.4162055483781248</v>
      </c>
      <c r="R77" s="1" t="s">
        <v>328</v>
      </c>
      <c r="U77" s="600"/>
      <c r="V77" s="1" t="s">
        <v>3322</v>
      </c>
      <c r="W77" s="2608">
        <f xml:space="preserve"> W75 / 1000000 * 5010</f>
        <v>1.3277011300560009</v>
      </c>
      <c r="X77" s="1" t="s">
        <v>328</v>
      </c>
      <c r="Y77" s="600"/>
      <c r="Z77" s="600"/>
      <c r="AA77" s="600"/>
      <c r="AB77" s="1" t="s">
        <v>3322</v>
      </c>
      <c r="AC77" s="2608">
        <f xml:space="preserve"> AC75 / 1000000 * 5010</f>
        <v>5.1903674742937493</v>
      </c>
      <c r="AD77" s="1" t="s">
        <v>328</v>
      </c>
    </row>
    <row r="78" spans="1:30" x14ac:dyDescent="0.35">
      <c r="A78" s="482"/>
      <c r="B78" s="2604" t="s">
        <v>342</v>
      </c>
      <c r="C78" s="2578">
        <f>C60*(((C61*C62)-(C64*C65))*C67*365.25*C69/C70)*C72*C73+C76</f>
        <v>29.251853233769623</v>
      </c>
      <c r="D78" s="2601" t="s">
        <v>294</v>
      </c>
      <c r="E78" s="484"/>
      <c r="F78" s="14"/>
      <c r="G78" s="487"/>
      <c r="H78" s="14"/>
      <c r="I78" s="482"/>
      <c r="J78" s="2604" t="s">
        <v>342</v>
      </c>
      <c r="K78" s="2578">
        <f>K60*(((K61*K62)-(K64*K65))*K67*365.25*K69/K70)*K72*K73+K76</f>
        <v>6.4051620819494026</v>
      </c>
      <c r="L78" s="2601" t="s">
        <v>294</v>
      </c>
      <c r="O78" s="482"/>
      <c r="P78" s="2604" t="s">
        <v>342</v>
      </c>
      <c r="Q78" s="2578">
        <f>Q60*(((Q61*Q62)-(Q64*Q65))*Q67*365.25*Q69/Q70)*Q72*Q73+Q76</f>
        <v>59.914732348080008</v>
      </c>
      <c r="R78" s="2601" t="s">
        <v>294</v>
      </c>
      <c r="U78" s="482"/>
      <c r="V78" s="2604" t="s">
        <v>342</v>
      </c>
      <c r="W78" s="2578">
        <f>W60*(((W61*W62)-(W64*W65))*W67*365.25*W69/W70)*W72*W73+W76</f>
        <v>14.470921740700501</v>
      </c>
      <c r="X78" s="2601" t="s">
        <v>294</v>
      </c>
      <c r="Y78" s="600"/>
      <c r="Z78" s="600"/>
      <c r="AA78" s="482"/>
      <c r="AB78" s="2604" t="s">
        <v>342</v>
      </c>
      <c r="AC78" s="2578">
        <f>AC60*(((AC61*AC62)-(AC64*AC65))*AC67*365.25*AC69/AC70)*AC72*AC73+AC76</f>
        <v>128.70572134032</v>
      </c>
      <c r="AD78" s="2601" t="s">
        <v>294</v>
      </c>
    </row>
    <row r="79" spans="1:30" x14ac:dyDescent="0.35">
      <c r="A79" s="482"/>
      <c r="B79" s="2604" t="s">
        <v>342</v>
      </c>
      <c r="C79" s="2578">
        <f>C60*(((C61*C62)-(C64*C65))*C68*365.25*C69/C71)*C72*C73+C77</f>
        <v>36.761352431126411</v>
      </c>
      <c r="D79" s="2601" t="s">
        <v>328</v>
      </c>
      <c r="E79" s="14"/>
      <c r="F79" s="14"/>
      <c r="G79" s="487"/>
      <c r="H79" s="14"/>
      <c r="I79" s="482"/>
      <c r="J79" s="2604" t="s">
        <v>342</v>
      </c>
      <c r="K79" s="2578">
        <f>K60*(((K61*K62)-(K64*K65))*K68*365.25*K69/K71)*K72*K73+K77</f>
        <v>9.912989128392006</v>
      </c>
      <c r="L79" s="2601" t="s">
        <v>328</v>
      </c>
      <c r="O79" s="482"/>
      <c r="P79" s="2604" t="s">
        <v>342</v>
      </c>
      <c r="Q79" s="2578">
        <f>Q60*(((Q61*Q62)-(Q64*Q65))*Q68*365.25*Q69/Q71)*Q72*Q73+Q77</f>
        <v>49.148803879284372</v>
      </c>
      <c r="R79" s="2601" t="s">
        <v>328</v>
      </c>
      <c r="U79" s="482"/>
      <c r="V79" s="2604" t="s">
        <v>342</v>
      </c>
      <c r="W79" s="2578">
        <f>W60*(((W61*W62)-(W64*W65))*W68*365.25*W69/W71)*W72*W73+W77</f>
        <v>22.396012475256015</v>
      </c>
      <c r="X79" s="2601" t="s">
        <v>328</v>
      </c>
      <c r="Y79" s="600"/>
      <c r="Z79" s="600"/>
      <c r="AA79" s="482"/>
      <c r="AB79" s="2604" t="s">
        <v>342</v>
      </c>
      <c r="AC79" s="2578">
        <f>AC60*(((AC61*AC62)-(AC64*AC65))*AC68*365.25*AC69/AC71)*AC72*AC73+AC77</f>
        <v>105.57891203698124</v>
      </c>
      <c r="AD79" s="2601" t="s">
        <v>328</v>
      </c>
    </row>
    <row r="80" spans="1:30" x14ac:dyDescent="0.35">
      <c r="B80" s="14"/>
      <c r="C80" s="14"/>
      <c r="D80" s="14"/>
      <c r="E80" s="14"/>
      <c r="F80" s="14"/>
      <c r="G80" s="14"/>
      <c r="H80" s="14"/>
      <c r="J80" s="14"/>
      <c r="K80" s="14"/>
      <c r="L80" s="14"/>
      <c r="P80" s="14"/>
      <c r="Q80" s="14"/>
      <c r="R80" s="14"/>
      <c r="U80" s="600"/>
      <c r="V80" s="202"/>
      <c r="W80" s="202"/>
      <c r="X80" s="202"/>
      <c r="Y80" s="600"/>
      <c r="Z80" s="600"/>
      <c r="AA80" s="600"/>
      <c r="AB80" s="202"/>
      <c r="AC80" s="202"/>
      <c r="AD80" s="202"/>
    </row>
    <row r="81" spans="1:30" x14ac:dyDescent="0.35">
      <c r="B81" s="14" t="s">
        <v>662</v>
      </c>
      <c r="C81" s="14"/>
      <c r="D81" s="14"/>
      <c r="E81" s="14"/>
      <c r="F81" s="14"/>
      <c r="G81" s="14"/>
      <c r="H81" s="14"/>
      <c r="J81" s="14" t="s">
        <v>662</v>
      </c>
      <c r="K81" s="14"/>
      <c r="L81" s="14"/>
      <c r="P81" s="14" t="s">
        <v>662</v>
      </c>
      <c r="Q81" s="14"/>
      <c r="R81" s="14"/>
      <c r="U81" s="600"/>
      <c r="V81" s="202" t="s">
        <v>662</v>
      </c>
      <c r="W81" s="202"/>
      <c r="X81" s="202"/>
      <c r="Y81" s="600"/>
      <c r="Z81" s="600"/>
      <c r="AA81" s="600"/>
      <c r="AB81" s="202" t="s">
        <v>662</v>
      </c>
      <c r="AC81" s="202"/>
      <c r="AD81" s="202"/>
    </row>
    <row r="82" spans="1:30" x14ac:dyDescent="0.35">
      <c r="B82" s="2601" t="s">
        <v>293</v>
      </c>
      <c r="C82" s="2605">
        <v>55</v>
      </c>
      <c r="D82" s="14" t="s">
        <v>684</v>
      </c>
      <c r="E82" s="14"/>
      <c r="F82" s="14"/>
      <c r="G82" s="14"/>
      <c r="H82" s="14"/>
      <c r="J82" s="14" t="s">
        <v>293</v>
      </c>
      <c r="K82" s="207">
        <v>14</v>
      </c>
      <c r="L82" s="14" t="s">
        <v>684</v>
      </c>
      <c r="P82" s="2601" t="s">
        <v>293</v>
      </c>
      <c r="Q82" s="2605">
        <v>102</v>
      </c>
      <c r="R82" s="14" t="s">
        <v>684</v>
      </c>
      <c r="U82" s="600"/>
      <c r="V82" s="202" t="s">
        <v>293</v>
      </c>
      <c r="W82" s="207">
        <v>14</v>
      </c>
      <c r="X82" s="202" t="s">
        <v>684</v>
      </c>
      <c r="Y82" s="600"/>
      <c r="Z82" s="600"/>
      <c r="AA82" s="600"/>
      <c r="AB82" s="2601" t="s">
        <v>293</v>
      </c>
      <c r="AC82" s="2605">
        <v>102</v>
      </c>
      <c r="AD82" s="202" t="s">
        <v>684</v>
      </c>
    </row>
    <row r="83" spans="1:30" x14ac:dyDescent="0.35">
      <c r="B83" s="2601" t="s">
        <v>293</v>
      </c>
      <c r="C83" s="2605">
        <v>53</v>
      </c>
      <c r="D83" s="14" t="s">
        <v>685</v>
      </c>
      <c r="E83" s="14"/>
      <c r="F83" s="14"/>
      <c r="G83" s="14"/>
      <c r="H83" s="14"/>
      <c r="J83" s="14" t="s">
        <v>293</v>
      </c>
      <c r="K83" s="207">
        <v>22</v>
      </c>
      <c r="L83" s="14" t="s">
        <v>685</v>
      </c>
      <c r="P83" s="2601" t="s">
        <v>293</v>
      </c>
      <c r="Q83" s="2605">
        <v>84</v>
      </c>
      <c r="R83" s="14" t="s">
        <v>685</v>
      </c>
      <c r="U83" s="600"/>
      <c r="V83" s="202" t="s">
        <v>293</v>
      </c>
      <c r="W83" s="207">
        <v>22</v>
      </c>
      <c r="X83" s="202" t="s">
        <v>685</v>
      </c>
      <c r="Y83" s="600"/>
      <c r="Z83" s="600"/>
      <c r="AA83" s="600"/>
      <c r="AB83" s="2601" t="s">
        <v>293</v>
      </c>
      <c r="AC83" s="2605">
        <v>84</v>
      </c>
      <c r="AD83" s="202" t="s">
        <v>685</v>
      </c>
    </row>
    <row r="84" spans="1:30" x14ac:dyDescent="0.35">
      <c r="A84" s="482"/>
      <c r="B84" s="483" t="s">
        <v>301</v>
      </c>
      <c r="C84" s="486">
        <f>C78/C82*C54</f>
        <v>1.1700741293507847E-2</v>
      </c>
      <c r="D84" s="485" t="s">
        <v>294</v>
      </c>
      <c r="E84" s="14"/>
      <c r="F84" s="14"/>
      <c r="G84" s="14"/>
      <c r="H84" s="14"/>
      <c r="I84" s="482"/>
      <c r="J84" s="483" t="s">
        <v>301</v>
      </c>
      <c r="K84" s="607">
        <f>K78/K82*K54</f>
        <v>1.0065254700206203E-2</v>
      </c>
      <c r="L84" s="485" t="s">
        <v>294</v>
      </c>
      <c r="O84" s="482"/>
      <c r="P84" s="483" t="s">
        <v>301</v>
      </c>
      <c r="Q84" s="486">
        <f>Q78/Q82*Q54</f>
        <v>1.2922785408409411E-2</v>
      </c>
      <c r="R84" s="485" t="s">
        <v>294</v>
      </c>
      <c r="U84" s="482"/>
      <c r="V84" s="483" t="s">
        <v>301</v>
      </c>
      <c r="W84" s="607">
        <f>W78/W82*W54</f>
        <v>2.2740019878243641E-2</v>
      </c>
      <c r="X84" s="485" t="s">
        <v>294</v>
      </c>
      <c r="Y84" s="600"/>
      <c r="Z84" s="600"/>
      <c r="AA84" s="482"/>
      <c r="AB84" s="483" t="s">
        <v>301</v>
      </c>
      <c r="AC84" s="486">
        <f>AC78/AC82*AC54</f>
        <v>2.7760057543990586E-2</v>
      </c>
      <c r="AD84" s="485" t="s">
        <v>294</v>
      </c>
    </row>
    <row r="85" spans="1:30" x14ac:dyDescent="0.35">
      <c r="A85" s="482"/>
      <c r="B85" s="483" t="s">
        <v>301</v>
      </c>
      <c r="C85" s="486">
        <f>C79/C83*C54</f>
        <v>1.5259429311033603E-2</v>
      </c>
      <c r="D85" s="485" t="s">
        <v>328</v>
      </c>
      <c r="E85" s="14"/>
      <c r="F85" s="14"/>
      <c r="G85" s="14"/>
      <c r="H85" s="14"/>
      <c r="I85" s="482"/>
      <c r="J85" s="483" t="s">
        <v>301</v>
      </c>
      <c r="K85" s="607">
        <f>K79/K83*K54</f>
        <v>9.9129891283920059E-3</v>
      </c>
      <c r="L85" s="485" t="s">
        <v>328</v>
      </c>
      <c r="O85" s="482"/>
      <c r="P85" s="483" t="s">
        <v>301</v>
      </c>
      <c r="Q85" s="486">
        <f>Q79/Q83*Q54</f>
        <v>1.2872305777907812E-2</v>
      </c>
      <c r="R85" s="485" t="s">
        <v>328</v>
      </c>
      <c r="U85" s="482"/>
      <c r="V85" s="483" t="s">
        <v>301</v>
      </c>
      <c r="W85" s="607">
        <f>W79/W83*W54</f>
        <v>2.2396012475256011E-2</v>
      </c>
      <c r="X85" s="485" t="s">
        <v>328</v>
      </c>
      <c r="Y85" s="600"/>
      <c r="Z85" s="600"/>
      <c r="AA85" s="482"/>
      <c r="AB85" s="483" t="s">
        <v>301</v>
      </c>
      <c r="AC85" s="486">
        <f>AC79/AC83*AC54</f>
        <v>2.7651619819209369E-2</v>
      </c>
      <c r="AD85" s="485" t="s">
        <v>328</v>
      </c>
    </row>
    <row r="86" spans="1:30" x14ac:dyDescent="0.35">
      <c r="B86" s="14"/>
      <c r="C86" s="14"/>
      <c r="D86" s="14"/>
      <c r="E86" s="14"/>
      <c r="F86" s="14"/>
      <c r="G86" s="14"/>
      <c r="H86" s="14"/>
      <c r="J86" s="14"/>
      <c r="K86" s="14"/>
      <c r="L86" s="14"/>
      <c r="P86" s="14"/>
      <c r="Q86" s="14"/>
      <c r="R86" s="14"/>
      <c r="U86" s="600"/>
      <c r="V86" s="202"/>
      <c r="W86" s="202"/>
      <c r="X86" s="202"/>
      <c r="Y86" s="600"/>
      <c r="Z86" s="600"/>
      <c r="AA86" s="600"/>
      <c r="AB86" s="202"/>
      <c r="AC86" s="202"/>
      <c r="AD86" s="202"/>
    </row>
    <row r="87" spans="1:30" x14ac:dyDescent="0.35">
      <c r="B87" s="14" t="s">
        <v>677</v>
      </c>
      <c r="C87" s="14"/>
      <c r="D87" s="14"/>
      <c r="E87" s="14"/>
      <c r="F87" s="14"/>
      <c r="G87" s="14"/>
      <c r="H87" s="14"/>
      <c r="J87" s="14" t="s">
        <v>677</v>
      </c>
      <c r="K87" s="14"/>
      <c r="L87" s="14"/>
      <c r="P87" s="14" t="s">
        <v>677</v>
      </c>
      <c r="Q87" s="14"/>
      <c r="R87" s="14"/>
      <c r="U87" s="600"/>
      <c r="V87" s="202" t="s">
        <v>677</v>
      </c>
      <c r="W87" s="202"/>
      <c r="X87" s="202"/>
      <c r="Y87" s="600"/>
      <c r="Z87" s="600"/>
      <c r="AA87" s="600"/>
      <c r="AB87" s="202" t="s">
        <v>677</v>
      </c>
      <c r="AC87" s="202"/>
      <c r="AD87" s="202"/>
    </row>
    <row r="88" spans="1:30" x14ac:dyDescent="0.35">
      <c r="B88" s="14" t="s">
        <v>664</v>
      </c>
      <c r="C88" s="192">
        <v>1</v>
      </c>
      <c r="D88" s="14"/>
      <c r="E88" s="14"/>
      <c r="F88" s="14"/>
      <c r="G88" s="14"/>
      <c r="H88" s="14"/>
      <c r="J88" s="14" t="s">
        <v>664</v>
      </c>
      <c r="K88" s="192">
        <v>1</v>
      </c>
      <c r="L88" s="14"/>
      <c r="P88" s="14" t="s">
        <v>664</v>
      </c>
      <c r="Q88" s="192">
        <v>1</v>
      </c>
      <c r="R88" s="14"/>
      <c r="U88" s="600"/>
      <c r="V88" s="202" t="s">
        <v>664</v>
      </c>
      <c r="W88" s="192">
        <v>1</v>
      </c>
      <c r="X88" s="202"/>
      <c r="Y88" s="600"/>
      <c r="Z88" s="600"/>
      <c r="AA88" s="600"/>
      <c r="AB88" s="202" t="s">
        <v>664</v>
      </c>
      <c r="AC88" s="192">
        <v>1</v>
      </c>
      <c r="AD88" s="202"/>
    </row>
    <row r="89" spans="1:30" x14ac:dyDescent="0.35">
      <c r="B89" s="14" t="s">
        <v>665</v>
      </c>
      <c r="C89" s="208">
        <v>3.9399999999999999E-3</v>
      </c>
      <c r="D89" s="14" t="s">
        <v>294</v>
      </c>
      <c r="E89" s="14"/>
      <c r="F89" s="14"/>
      <c r="G89" s="14"/>
      <c r="H89" s="14"/>
      <c r="J89" s="14" t="s">
        <v>665</v>
      </c>
      <c r="K89" s="208">
        <v>3.9399999999999999E-3</v>
      </c>
      <c r="L89" s="14" t="s">
        <v>294</v>
      </c>
      <c r="P89" s="14" t="s">
        <v>665</v>
      </c>
      <c r="Q89" s="208">
        <v>3.9399999999999999E-3</v>
      </c>
      <c r="R89" s="14" t="s">
        <v>294</v>
      </c>
      <c r="U89" s="600"/>
      <c r="V89" s="202" t="s">
        <v>665</v>
      </c>
      <c r="W89" s="208">
        <v>3.9399999999999999E-3</v>
      </c>
      <c r="X89" s="202" t="s">
        <v>294</v>
      </c>
      <c r="Y89" s="600"/>
      <c r="Z89" s="600"/>
      <c r="AA89" s="600"/>
      <c r="AB89" s="202" t="s">
        <v>665</v>
      </c>
      <c r="AC89" s="208">
        <v>3.9399999999999999E-3</v>
      </c>
      <c r="AD89" s="202" t="s">
        <v>294</v>
      </c>
    </row>
    <row r="90" spans="1:30" x14ac:dyDescent="0.35">
      <c r="B90" s="14" t="s">
        <v>665</v>
      </c>
      <c r="C90" s="208">
        <v>4.5900000000000003E-3</v>
      </c>
      <c r="D90" s="14" t="s">
        <v>328</v>
      </c>
      <c r="E90" s="14"/>
      <c r="F90" s="14"/>
      <c r="G90" s="14"/>
      <c r="H90" s="14"/>
      <c r="J90" s="14" t="s">
        <v>665</v>
      </c>
      <c r="K90" s="208">
        <v>4.5900000000000003E-3</v>
      </c>
      <c r="L90" s="14" t="s">
        <v>328</v>
      </c>
      <c r="P90" s="14" t="s">
        <v>665</v>
      </c>
      <c r="Q90" s="208">
        <v>4.5900000000000003E-3</v>
      </c>
      <c r="R90" s="14" t="s">
        <v>328</v>
      </c>
      <c r="U90" s="600"/>
      <c r="V90" s="202" t="s">
        <v>665</v>
      </c>
      <c r="W90" s="208">
        <v>4.5900000000000003E-3</v>
      </c>
      <c r="X90" s="202" t="s">
        <v>328</v>
      </c>
      <c r="Y90" s="600"/>
      <c r="Z90" s="600"/>
      <c r="AA90" s="600"/>
      <c r="AB90" s="202" t="s">
        <v>665</v>
      </c>
      <c r="AC90" s="208">
        <v>4.5900000000000003E-3</v>
      </c>
      <c r="AD90" s="202" t="s">
        <v>328</v>
      </c>
    </row>
    <row r="91" spans="1:30" x14ac:dyDescent="0.35">
      <c r="A91" s="482"/>
      <c r="B91" s="483" t="s">
        <v>302</v>
      </c>
      <c r="C91" s="484">
        <f>ROUND(C88*(((C61*C62)-(C64*C65))*C67*365.25*C69/C70)*C89*C73,2)</f>
        <v>1.19</v>
      </c>
      <c r="D91" s="485" t="s">
        <v>294</v>
      </c>
      <c r="E91" s="14"/>
      <c r="F91" s="14"/>
      <c r="G91" s="14"/>
      <c r="H91" s="14"/>
      <c r="I91" s="482"/>
      <c r="J91" s="483" t="s">
        <v>302</v>
      </c>
      <c r="K91" s="484">
        <f>ROUND(K88*(((K61*K62)-(K64*K65))*K67*365.25*K69/K70)*K89*K73,2)</f>
        <v>0.3</v>
      </c>
      <c r="L91" s="485" t="s">
        <v>294</v>
      </c>
      <c r="O91" s="482"/>
      <c r="P91" s="483" t="s">
        <v>302</v>
      </c>
      <c r="Q91" s="484">
        <f>ROUND(Q88*(((Q61*Q62)-(Q64*Q65))*Q67*365.25*Q69/Q70)*Q89*Q73,2)</f>
        <v>2.3199999999999998</v>
      </c>
      <c r="R91" s="485" t="s">
        <v>294</v>
      </c>
      <c r="U91" s="482"/>
      <c r="V91" s="483" t="s">
        <v>302</v>
      </c>
      <c r="W91" s="484">
        <f>ROUND(W88*(((W61*W62)-(W64*W65))*W67*365.25*W69/W70)*W89*W73,2)</f>
        <v>0.67</v>
      </c>
      <c r="X91" s="485" t="s">
        <v>294</v>
      </c>
      <c r="Y91" s="600"/>
      <c r="Z91" s="600"/>
      <c r="AA91" s="482"/>
      <c r="AB91" s="483" t="s">
        <v>302</v>
      </c>
      <c r="AC91" s="484">
        <f>ROUND(AC88*(((AC61*AC62)-(AC64*AC65))*AC67*365.25*AC69/AC70)*AC89*AC73,2)</f>
        <v>4.9800000000000004</v>
      </c>
      <c r="AD91" s="485" t="s">
        <v>294</v>
      </c>
    </row>
    <row r="92" spans="1:30" x14ac:dyDescent="0.35">
      <c r="A92" s="482"/>
      <c r="B92" s="483" t="s">
        <v>302</v>
      </c>
      <c r="C92" s="484">
        <f>C88*(((C61*C62)-(C64*C65))*C68*365.25*C69/C71)*C90*C73</f>
        <v>1.7411475354336006</v>
      </c>
      <c r="D92" s="485" t="s">
        <v>328</v>
      </c>
      <c r="E92" s="14"/>
      <c r="F92" s="14"/>
      <c r="G92" s="14"/>
      <c r="H92" s="14"/>
      <c r="I92" s="482"/>
      <c r="J92" s="483" t="s">
        <v>302</v>
      </c>
      <c r="K92" s="484">
        <f>K88*(((K61*K62)-(K64*K65))*K68*365.25*K69/K71)*K90*K73</f>
        <v>0.53840516032800034</v>
      </c>
      <c r="L92" s="485" t="s">
        <v>328</v>
      </c>
      <c r="O92" s="482"/>
      <c r="P92" s="483" t="s">
        <v>302</v>
      </c>
      <c r="Q92" s="484">
        <f>Q88*(((Q61*Q62)-(Q64*Q65))*Q68*365.25*Q69/Q71)*Q90*Q73</f>
        <v>2.2136493946218749</v>
      </c>
      <c r="R92" s="485" t="s">
        <v>328</v>
      </c>
      <c r="U92" s="482"/>
      <c r="V92" s="483" t="s">
        <v>302</v>
      </c>
      <c r="W92" s="484">
        <f>W88*(((W61*W62)-(W64*W65))*W68*365.25*W69/W71)*W90*W73</f>
        <v>1.2163968437040007</v>
      </c>
      <c r="X92" s="485" t="s">
        <v>328</v>
      </c>
      <c r="Y92" s="600"/>
      <c r="Z92" s="600"/>
      <c r="AA92" s="482"/>
      <c r="AB92" s="483" t="s">
        <v>302</v>
      </c>
      <c r="AC92" s="484">
        <f>AC88*(((AC61*AC62)-(AC64*AC65))*AC68*365.25*AC69/AC71)*AC90*AC73</f>
        <v>4.7552468477062497</v>
      </c>
      <c r="AD92" s="485" t="s">
        <v>328</v>
      </c>
    </row>
    <row r="94" spans="1:30" x14ac:dyDescent="0.35">
      <c r="A94" s="10" t="s">
        <v>686</v>
      </c>
      <c r="B94" s="203"/>
      <c r="C94" s="10" t="s">
        <v>687</v>
      </c>
      <c r="D94" s="186" t="s">
        <v>688</v>
      </c>
      <c r="E94" s="191"/>
      <c r="F94" s="191"/>
    </row>
    <row r="95" spans="1:30" x14ac:dyDescent="0.35">
      <c r="B95" s="14" t="s">
        <v>288</v>
      </c>
      <c r="C95" s="209" t="s">
        <v>689</v>
      </c>
      <c r="D95" s="14"/>
      <c r="E95" s="14"/>
      <c r="F95" s="14"/>
      <c r="G95" s="14"/>
    </row>
    <row r="96" spans="1:30" x14ac:dyDescent="0.35">
      <c r="B96" s="14" t="s">
        <v>289</v>
      </c>
      <c r="C96" s="209" t="s">
        <v>690</v>
      </c>
      <c r="D96" s="14"/>
      <c r="E96" s="14"/>
      <c r="F96" s="14"/>
      <c r="G96" s="14"/>
    </row>
    <row r="97" spans="2:7" x14ac:dyDescent="0.35">
      <c r="B97" s="14" t="s">
        <v>290</v>
      </c>
      <c r="C97" s="193">
        <v>2</v>
      </c>
      <c r="D97" s="14"/>
      <c r="E97" s="14"/>
      <c r="F97" s="14"/>
      <c r="G97" s="14"/>
    </row>
    <row r="98" spans="2:7" x14ac:dyDescent="0.35">
      <c r="B98" s="14" t="s">
        <v>291</v>
      </c>
      <c r="C98" s="194">
        <v>5</v>
      </c>
      <c r="D98" s="14"/>
      <c r="E98" s="14"/>
      <c r="F98" s="14"/>
      <c r="G98" s="14"/>
    </row>
    <row r="99" spans="2:7" x14ac:dyDescent="0.35">
      <c r="B99" s="14" t="s">
        <v>292</v>
      </c>
      <c r="C99" s="210">
        <v>1</v>
      </c>
      <c r="D99" s="14"/>
      <c r="E99" s="14"/>
      <c r="F99" s="14"/>
      <c r="G99" s="14"/>
    </row>
    <row r="100" spans="2:7" x14ac:dyDescent="0.35">
      <c r="B100" s="2809" t="s">
        <v>303</v>
      </c>
      <c r="C100" s="2810">
        <v>0.13</v>
      </c>
      <c r="D100" s="2809" t="s">
        <v>4352</v>
      </c>
      <c r="E100" s="14"/>
      <c r="F100" s="14"/>
      <c r="G100" s="14"/>
    </row>
    <row r="101" spans="2:7" s="600" customFormat="1" x14ac:dyDescent="0.35">
      <c r="B101" s="2809" t="s">
        <v>303</v>
      </c>
      <c r="C101" s="2810">
        <v>0.1</v>
      </c>
      <c r="D101" s="2809" t="s">
        <v>4353</v>
      </c>
      <c r="E101" s="202"/>
      <c r="F101" s="202"/>
      <c r="G101" s="202"/>
    </row>
    <row r="102" spans="2:7" s="600" customFormat="1" x14ac:dyDescent="0.35">
      <c r="B102" s="2809" t="s">
        <v>303</v>
      </c>
      <c r="C102" s="2810">
        <v>1</v>
      </c>
      <c r="D102" s="2809" t="s">
        <v>4356</v>
      </c>
      <c r="E102" s="202"/>
      <c r="F102" s="202"/>
      <c r="G102" s="202"/>
    </row>
    <row r="103" spans="2:7" x14ac:dyDescent="0.35">
      <c r="B103" s="14"/>
      <c r="C103" s="14"/>
      <c r="D103" s="14"/>
      <c r="E103" s="14"/>
      <c r="F103" s="14"/>
      <c r="G103" s="14"/>
    </row>
    <row r="104" spans="2:7" x14ac:dyDescent="0.35">
      <c r="B104" s="12" t="s">
        <v>342</v>
      </c>
      <c r="C104" s="13">
        <f xml:space="preserve"> ((C105*C106) * (C107 - C108) * C109*C100) / (3412 * C110)</f>
        <v>9.8354107884537179</v>
      </c>
      <c r="D104" s="12" t="s">
        <v>691</v>
      </c>
      <c r="E104" s="12" t="s">
        <v>692</v>
      </c>
      <c r="F104" s="14"/>
      <c r="G104" s="14"/>
    </row>
    <row r="105" spans="2:7" x14ac:dyDescent="0.35">
      <c r="B105" s="12" t="s">
        <v>693</v>
      </c>
      <c r="C105" s="13">
        <v>8.3000000000000004E-2</v>
      </c>
      <c r="D105" s="12" t="s">
        <v>694</v>
      </c>
      <c r="E105" s="12"/>
      <c r="F105" s="14"/>
      <c r="G105" s="14"/>
    </row>
    <row r="106" spans="2:7" x14ac:dyDescent="0.35">
      <c r="B106" s="12" t="s">
        <v>695</v>
      </c>
      <c r="C106" s="13">
        <v>23.18</v>
      </c>
      <c r="D106" s="12" t="s">
        <v>696</v>
      </c>
      <c r="E106" s="12"/>
      <c r="F106" s="14"/>
      <c r="G106" s="14"/>
    </row>
    <row r="107" spans="2:7" x14ac:dyDescent="0.35">
      <c r="B107" s="12" t="s">
        <v>697</v>
      </c>
      <c r="C107" s="13">
        <v>135</v>
      </c>
      <c r="D107" s="12" t="s">
        <v>698</v>
      </c>
      <c r="E107" s="12"/>
      <c r="F107" s="14"/>
      <c r="G107" s="14"/>
    </row>
    <row r="108" spans="2:7" x14ac:dyDescent="0.35">
      <c r="B108" s="12" t="s">
        <v>699</v>
      </c>
      <c r="C108" s="13">
        <v>120</v>
      </c>
      <c r="D108" s="12" t="s">
        <v>700</v>
      </c>
      <c r="E108" s="12"/>
      <c r="F108" s="14"/>
      <c r="G108" s="14"/>
    </row>
    <row r="109" spans="2:7" x14ac:dyDescent="0.35">
      <c r="B109" s="12" t="s">
        <v>293</v>
      </c>
      <c r="C109" s="13">
        <v>8766</v>
      </c>
      <c r="D109" s="12" t="s">
        <v>701</v>
      </c>
      <c r="E109" s="12"/>
      <c r="F109" s="14"/>
      <c r="G109" s="14"/>
    </row>
    <row r="110" spans="2:7" x14ac:dyDescent="0.35">
      <c r="B110" s="12" t="s">
        <v>702</v>
      </c>
      <c r="C110" s="13">
        <v>0.98</v>
      </c>
      <c r="D110" s="12" t="s">
        <v>503</v>
      </c>
      <c r="E110" s="12"/>
      <c r="F110" s="14"/>
      <c r="G110" s="14"/>
    </row>
    <row r="111" spans="2:7" x14ac:dyDescent="0.35">
      <c r="B111" s="14"/>
      <c r="C111" s="211"/>
      <c r="D111" s="14"/>
      <c r="E111" s="14"/>
      <c r="F111" s="14"/>
      <c r="G111" s="14"/>
    </row>
    <row r="112" spans="2:7" x14ac:dyDescent="0.35">
      <c r="B112" s="203" t="s">
        <v>662</v>
      </c>
      <c r="C112" s="202"/>
      <c r="D112" s="14"/>
      <c r="E112" s="14"/>
      <c r="F112" s="14"/>
      <c r="G112" s="14"/>
    </row>
    <row r="113" spans="1:9" x14ac:dyDescent="0.35">
      <c r="B113" s="203" t="s">
        <v>293</v>
      </c>
      <c r="C113" s="207">
        <v>8766</v>
      </c>
      <c r="D113" s="14"/>
      <c r="E113" s="14"/>
      <c r="F113" s="14"/>
      <c r="G113" s="14"/>
    </row>
    <row r="114" spans="1:9" x14ac:dyDescent="0.35">
      <c r="B114" s="14" t="s">
        <v>301</v>
      </c>
      <c r="C114" s="206">
        <f>C104/C113*C99</f>
        <v>1.121995298705649E-3</v>
      </c>
      <c r="D114" s="14" t="s">
        <v>691</v>
      </c>
      <c r="E114" s="14"/>
      <c r="F114" s="14"/>
      <c r="G114" s="14"/>
    </row>
    <row r="115" spans="1:9" x14ac:dyDescent="0.35">
      <c r="B115" s="9" t="s">
        <v>342</v>
      </c>
      <c r="C115" s="608">
        <f>C104*C100</f>
        <v>1.2786034024989834</v>
      </c>
      <c r="D115" s="14" t="s">
        <v>703</v>
      </c>
      <c r="E115" s="14"/>
      <c r="F115" s="14"/>
      <c r="G115" s="14"/>
    </row>
    <row r="116" spans="1:9" x14ac:dyDescent="0.35">
      <c r="B116" s="9" t="s">
        <v>301</v>
      </c>
      <c r="C116" s="608">
        <f>C114*C100</f>
        <v>1.4585938883173436E-4</v>
      </c>
      <c r="D116" s="14" t="s">
        <v>703</v>
      </c>
      <c r="E116" s="14"/>
      <c r="F116" s="14"/>
      <c r="G116" s="14"/>
    </row>
    <row r="117" spans="1:9" x14ac:dyDescent="0.35">
      <c r="B117" s="14"/>
      <c r="C117" s="212"/>
      <c r="D117" s="14"/>
      <c r="E117" s="14"/>
      <c r="F117" s="14"/>
      <c r="G117" s="14"/>
    </row>
    <row r="118" spans="1:9" x14ac:dyDescent="0.35">
      <c r="B118" s="203" t="s">
        <v>704</v>
      </c>
      <c r="C118" s="202"/>
      <c r="D118" s="14"/>
      <c r="E118" s="14"/>
      <c r="F118" s="14"/>
      <c r="G118" s="14"/>
    </row>
    <row r="119" spans="1:9" x14ac:dyDescent="0.35">
      <c r="B119" s="14" t="s">
        <v>302</v>
      </c>
      <c r="C119" s="211">
        <f xml:space="preserve"> (C105*C106 * (C107 - C108) * C109) / (100000 * C120)</f>
        <v>3.2433188538461537</v>
      </c>
      <c r="D119" s="14" t="s">
        <v>691</v>
      </c>
      <c r="E119" s="14" t="s">
        <v>705</v>
      </c>
      <c r="F119" s="14"/>
      <c r="G119" s="14"/>
    </row>
    <row r="120" spans="1:9" x14ac:dyDescent="0.35">
      <c r="B120" s="14" t="s">
        <v>706</v>
      </c>
      <c r="C120" s="211">
        <v>0.78</v>
      </c>
      <c r="D120" s="14" t="s">
        <v>707</v>
      </c>
      <c r="E120" s="14"/>
      <c r="F120" s="14"/>
      <c r="G120" s="14"/>
    </row>
    <row r="121" spans="1:9" x14ac:dyDescent="0.35">
      <c r="B121" s="203" t="s">
        <v>708</v>
      </c>
      <c r="C121" s="202"/>
      <c r="D121" s="14"/>
      <c r="E121" s="14"/>
      <c r="F121" s="14"/>
      <c r="G121" s="14"/>
    </row>
    <row r="122" spans="1:9" x14ac:dyDescent="0.35">
      <c r="B122" s="12" t="s">
        <v>709</v>
      </c>
      <c r="C122" s="13">
        <v>0</v>
      </c>
      <c r="D122" s="12" t="s">
        <v>691</v>
      </c>
      <c r="E122" s="14"/>
      <c r="F122" s="14"/>
      <c r="G122" s="14"/>
    </row>
    <row r="123" spans="1:9" x14ac:dyDescent="0.35">
      <c r="B123" s="9" t="s">
        <v>302</v>
      </c>
      <c r="C123" s="2811">
        <f>C119*C100</f>
        <v>0.42163145099999999</v>
      </c>
      <c r="D123" s="2809" t="s">
        <v>34</v>
      </c>
      <c r="E123" s="14"/>
      <c r="F123" s="14"/>
      <c r="G123" s="14"/>
    </row>
    <row r="124" spans="1:9" s="600" customFormat="1" x14ac:dyDescent="0.35">
      <c r="B124" s="181" t="s">
        <v>302</v>
      </c>
      <c r="C124" s="2811">
        <f>C119*C101</f>
        <v>0.32433188538461538</v>
      </c>
      <c r="D124" s="2809" t="s">
        <v>4354</v>
      </c>
      <c r="E124" s="202"/>
      <c r="F124" s="202"/>
      <c r="G124" s="202"/>
    </row>
    <row r="125" spans="1:9" s="600" customFormat="1" x14ac:dyDescent="0.35">
      <c r="B125" s="181" t="s">
        <v>302</v>
      </c>
      <c r="C125" s="2811">
        <f>C119*C102</f>
        <v>3.2433188538461537</v>
      </c>
      <c r="D125" s="2809" t="s">
        <v>3301</v>
      </c>
      <c r="E125" s="202"/>
      <c r="F125" s="202"/>
      <c r="G125" s="202"/>
    </row>
    <row r="126" spans="1:9" x14ac:dyDescent="0.35">
      <c r="B126" s="9" t="s">
        <v>709</v>
      </c>
      <c r="C126" s="198">
        <f>C122*C100</f>
        <v>0</v>
      </c>
      <c r="D126" s="14" t="s">
        <v>703</v>
      </c>
      <c r="E126" s="14"/>
      <c r="F126" s="14"/>
      <c r="G126" s="14"/>
    </row>
    <row r="128" spans="1:9" x14ac:dyDescent="0.35">
      <c r="A128" s="39"/>
      <c r="B128" s="39"/>
      <c r="C128" s="39"/>
      <c r="D128" s="39"/>
      <c r="E128" s="39"/>
      <c r="F128" s="39"/>
      <c r="G128" s="39"/>
      <c r="H128" s="39"/>
      <c r="I128" s="39"/>
    </row>
    <row r="129" spans="1:15" x14ac:dyDescent="0.35">
      <c r="A129" s="10" t="s">
        <v>642</v>
      </c>
      <c r="B129" s="10" t="s">
        <v>643</v>
      </c>
      <c r="C129" s="171" t="s">
        <v>644</v>
      </c>
      <c r="D129" s="172"/>
      <c r="E129" s="172"/>
      <c r="F129" s="39"/>
      <c r="G129" s="39"/>
      <c r="H129" s="39"/>
      <c r="I129" s="39"/>
    </row>
    <row r="130" spans="1:15" x14ac:dyDescent="0.35">
      <c r="A130" s="39"/>
      <c r="B130" s="173" t="s">
        <v>288</v>
      </c>
      <c r="C130" s="174" t="s">
        <v>645</v>
      </c>
      <c r="D130" s="173"/>
      <c r="E130" s="173"/>
      <c r="F130" s="39"/>
      <c r="G130" s="39"/>
      <c r="H130" s="39"/>
      <c r="I130" s="39"/>
    </row>
    <row r="131" spans="1:15" x14ac:dyDescent="0.35">
      <c r="A131" s="39"/>
      <c r="B131" s="2601" t="s">
        <v>289</v>
      </c>
      <c r="C131" s="2601" t="s">
        <v>3368</v>
      </c>
      <c r="D131" s="173"/>
      <c r="E131" s="173"/>
      <c r="F131" s="39"/>
      <c r="G131" s="39"/>
      <c r="H131" s="39"/>
      <c r="I131" s="39"/>
    </row>
    <row r="132" spans="1:15" x14ac:dyDescent="0.35">
      <c r="A132" s="39"/>
      <c r="B132" s="173" t="s">
        <v>290</v>
      </c>
      <c r="C132" s="175">
        <v>10</v>
      </c>
      <c r="D132" s="173"/>
      <c r="E132" s="173"/>
      <c r="F132" s="39"/>
      <c r="G132" s="39"/>
      <c r="H132" s="39"/>
      <c r="I132" s="39"/>
    </row>
    <row r="133" spans="1:15" x14ac:dyDescent="0.35">
      <c r="A133" s="39"/>
      <c r="B133" s="173" t="s">
        <v>291</v>
      </c>
      <c r="C133" s="176">
        <v>12</v>
      </c>
      <c r="D133" s="173"/>
      <c r="E133" s="173"/>
      <c r="F133" s="39"/>
      <c r="G133" s="39"/>
      <c r="H133" s="39"/>
      <c r="I133" s="39"/>
      <c r="L133" s="2573" t="s">
        <v>3366</v>
      </c>
      <c r="M133" s="173"/>
      <c r="O133" s="600"/>
    </row>
    <row r="134" spans="1:15" x14ac:dyDescent="0.35">
      <c r="A134" s="39"/>
      <c r="B134" s="173" t="s">
        <v>292</v>
      </c>
      <c r="C134" s="177">
        <v>2.7799999999999998E-2</v>
      </c>
      <c r="D134" s="173"/>
      <c r="E134" s="173"/>
      <c r="F134" s="39"/>
      <c r="G134" s="39"/>
      <c r="H134" s="39"/>
      <c r="I134" s="39"/>
    </row>
    <row r="135" spans="1:15" x14ac:dyDescent="0.35">
      <c r="A135" s="39"/>
      <c r="B135" s="173"/>
      <c r="C135" s="173"/>
      <c r="D135" s="173"/>
      <c r="E135" s="173"/>
      <c r="F135" s="39"/>
      <c r="G135" s="39"/>
      <c r="H135" s="39"/>
      <c r="I135" s="39"/>
    </row>
    <row r="136" spans="1:15" x14ac:dyDescent="0.35">
      <c r="A136" s="39"/>
      <c r="B136" s="173" t="s">
        <v>646</v>
      </c>
      <c r="C136" s="173"/>
      <c r="D136" s="173"/>
      <c r="E136" s="173"/>
      <c r="F136" s="39"/>
      <c r="G136" s="39"/>
      <c r="H136" s="39"/>
      <c r="I136" s="39"/>
    </row>
    <row r="137" spans="1:15" s="600" customFormat="1" x14ac:dyDescent="0.35">
      <c r="B137" s="2601" t="s">
        <v>3310</v>
      </c>
      <c r="C137" s="202"/>
      <c r="D137" s="202"/>
      <c r="E137" s="202"/>
      <c r="F137" s="202"/>
      <c r="G137" s="202"/>
      <c r="H137" s="202"/>
      <c r="I137" s="202"/>
      <c r="J137" s="173"/>
    </row>
    <row r="138" spans="1:15" s="600" customFormat="1" x14ac:dyDescent="0.35">
      <c r="B138" s="2601" t="s">
        <v>3369</v>
      </c>
      <c r="C138" s="202"/>
      <c r="D138" s="202"/>
      <c r="E138" s="202"/>
      <c r="F138" s="202"/>
      <c r="G138" s="202"/>
      <c r="H138" s="202"/>
      <c r="I138" s="202"/>
      <c r="J138" s="173"/>
    </row>
    <row r="139" spans="1:15" s="600" customFormat="1" x14ac:dyDescent="0.35">
      <c r="C139" s="202"/>
      <c r="D139" s="202"/>
      <c r="E139" s="202"/>
      <c r="F139" s="202"/>
      <c r="G139" s="202"/>
      <c r="H139" s="202"/>
      <c r="I139" s="202"/>
      <c r="J139" s="173"/>
    </row>
    <row r="140" spans="1:15" x14ac:dyDescent="0.35">
      <c r="A140" s="39"/>
      <c r="B140" s="173" t="s">
        <v>647</v>
      </c>
      <c r="C140" s="15">
        <v>1</v>
      </c>
      <c r="D140" s="173"/>
      <c r="E140" s="173"/>
      <c r="F140" s="39"/>
      <c r="G140" s="39"/>
      <c r="H140" s="39"/>
      <c r="I140" s="39"/>
    </row>
    <row r="141" spans="1:15" x14ac:dyDescent="0.35">
      <c r="A141" s="39"/>
      <c r="B141" s="2573" t="s">
        <v>648</v>
      </c>
      <c r="C141" s="2603">
        <v>2.2400000000000002</v>
      </c>
      <c r="D141" s="173" t="s">
        <v>649</v>
      </c>
      <c r="E141" s="173"/>
      <c r="F141" s="39"/>
      <c r="G141" s="39"/>
      <c r="H141" s="39"/>
      <c r="I141" s="39"/>
    </row>
    <row r="142" spans="1:15" x14ac:dyDescent="0.35">
      <c r="A142" s="39"/>
      <c r="B142" s="173" t="s">
        <v>650</v>
      </c>
      <c r="C142" s="179">
        <v>7.8</v>
      </c>
      <c r="D142" s="173" t="s">
        <v>651</v>
      </c>
      <c r="E142" s="173"/>
      <c r="F142" s="39"/>
      <c r="G142" s="39"/>
      <c r="H142" s="39"/>
      <c r="I142" s="39"/>
    </row>
    <row r="143" spans="1:15" x14ac:dyDescent="0.35">
      <c r="A143" s="39"/>
      <c r="B143" s="173" t="s">
        <v>652</v>
      </c>
      <c r="C143" s="178">
        <v>1.75</v>
      </c>
      <c r="D143" s="173" t="s">
        <v>649</v>
      </c>
      <c r="E143" s="173"/>
      <c r="F143" s="39">
        <v>1.5</v>
      </c>
      <c r="G143" s="39"/>
      <c r="H143" s="39"/>
      <c r="I143" s="39"/>
    </row>
    <row r="144" spans="1:15" x14ac:dyDescent="0.35">
      <c r="A144" s="39"/>
      <c r="B144" s="173" t="s">
        <v>653</v>
      </c>
      <c r="C144" s="179">
        <v>7.8</v>
      </c>
      <c r="D144" s="173" t="s">
        <v>651</v>
      </c>
      <c r="E144" s="173"/>
      <c r="F144" s="39"/>
      <c r="G144" s="39"/>
      <c r="H144" s="39"/>
      <c r="I144" s="39"/>
    </row>
    <row r="145" spans="1:9" x14ac:dyDescent="0.35">
      <c r="A145" s="39"/>
      <c r="B145" s="173" t="s">
        <v>654</v>
      </c>
      <c r="C145" s="178">
        <v>2.56</v>
      </c>
      <c r="D145" s="173" t="s">
        <v>294</v>
      </c>
      <c r="E145" s="173"/>
      <c r="F145" s="39"/>
      <c r="G145" s="39"/>
      <c r="H145" s="39"/>
      <c r="I145" s="39"/>
    </row>
    <row r="146" spans="1:9" x14ac:dyDescent="0.35">
      <c r="A146" s="39"/>
      <c r="B146" s="173" t="s">
        <v>654</v>
      </c>
      <c r="C146" s="178">
        <v>2.1</v>
      </c>
      <c r="D146" s="173" t="s">
        <v>328</v>
      </c>
      <c r="E146" s="173"/>
      <c r="F146" s="39"/>
      <c r="G146" s="39"/>
      <c r="H146" s="39"/>
      <c r="I146" s="39"/>
    </row>
    <row r="147" spans="1:9" x14ac:dyDescent="0.35">
      <c r="A147" s="39"/>
      <c r="B147" s="173" t="s">
        <v>655</v>
      </c>
      <c r="C147" s="179">
        <v>0.6</v>
      </c>
      <c r="D147" s="173" t="s">
        <v>656</v>
      </c>
      <c r="E147" s="173"/>
      <c r="F147" s="39"/>
      <c r="G147" s="39"/>
      <c r="H147" s="39"/>
      <c r="I147" s="39"/>
    </row>
    <row r="148" spans="1:9" x14ac:dyDescent="0.35">
      <c r="A148" s="39"/>
      <c r="B148" s="173" t="s">
        <v>657</v>
      </c>
      <c r="C148" s="178">
        <v>1.79</v>
      </c>
      <c r="D148" s="173" t="s">
        <v>294</v>
      </c>
      <c r="E148" s="173"/>
      <c r="F148" s="39"/>
      <c r="G148" s="39"/>
      <c r="H148" s="39"/>
      <c r="I148" s="39"/>
    </row>
    <row r="149" spans="1:9" x14ac:dyDescent="0.35">
      <c r="A149" s="39"/>
      <c r="B149" s="173" t="s">
        <v>657</v>
      </c>
      <c r="C149" s="178">
        <v>1.3</v>
      </c>
      <c r="D149" s="173" t="s">
        <v>328</v>
      </c>
      <c r="E149" s="173"/>
      <c r="F149" s="39"/>
      <c r="G149" s="39"/>
      <c r="H149" s="39"/>
      <c r="I149" s="39"/>
    </row>
    <row r="150" spans="1:9" x14ac:dyDescent="0.35">
      <c r="A150" s="39"/>
      <c r="B150" s="173" t="s">
        <v>658</v>
      </c>
      <c r="C150" s="180">
        <v>0.11700000000000001</v>
      </c>
      <c r="D150" s="173" t="s">
        <v>659</v>
      </c>
      <c r="E150" s="173"/>
      <c r="F150" s="39"/>
      <c r="G150" s="39"/>
      <c r="H150" t="s">
        <v>3305</v>
      </c>
      <c r="I150" s="173" t="s">
        <v>3303</v>
      </c>
    </row>
    <row r="151" spans="1:9" x14ac:dyDescent="0.35">
      <c r="A151" s="39"/>
      <c r="B151" s="2772" t="s">
        <v>303</v>
      </c>
      <c r="C151" s="2777">
        <v>0.97</v>
      </c>
      <c r="D151" s="2772" t="s">
        <v>660</v>
      </c>
      <c r="E151" s="173"/>
      <c r="G151" s="39"/>
      <c r="H151" s="294">
        <v>0.65</v>
      </c>
      <c r="I151" s="39"/>
    </row>
    <row r="152" spans="1:9" x14ac:dyDescent="0.35">
      <c r="A152" s="39"/>
      <c r="B152" s="173" t="s">
        <v>303</v>
      </c>
      <c r="C152" s="178">
        <v>0.95</v>
      </c>
      <c r="D152" s="173" t="s">
        <v>661</v>
      </c>
      <c r="E152" s="173"/>
      <c r="F152" s="39"/>
      <c r="G152" s="39"/>
      <c r="H152" s="39"/>
      <c r="I152" s="39"/>
    </row>
    <row r="153" spans="1:9" s="600" customFormat="1" x14ac:dyDescent="0.35">
      <c r="B153" s="1" t="s">
        <v>3321</v>
      </c>
      <c r="C153" s="2608">
        <f>(((C141*C142)-(C143*C144))*C145*C147*365.25/C148)*C151</f>
        <v>1161.9590593072628</v>
      </c>
      <c r="D153" s="2601" t="s">
        <v>294</v>
      </c>
    </row>
    <row r="154" spans="1:9" s="600" customFormat="1" x14ac:dyDescent="0.35">
      <c r="B154" s="1" t="s">
        <v>3321</v>
      </c>
      <c r="C154" s="2608">
        <f>(((C141*C142)-(C143*C144))*C146*C147*365.25/C149)*C152</f>
        <v>1285.3804950000003</v>
      </c>
      <c r="D154" s="2601" t="s">
        <v>328</v>
      </c>
    </row>
    <row r="155" spans="1:9" s="600" customFormat="1" x14ac:dyDescent="0.35">
      <c r="B155" s="1" t="s">
        <v>3322</v>
      </c>
      <c r="C155" s="2608">
        <f>C153 / 1000000 * 5010</f>
        <v>5.8214148871293867</v>
      </c>
      <c r="D155" s="2601" t="s">
        <v>294</v>
      </c>
    </row>
    <row r="156" spans="1:9" s="600" customFormat="1" x14ac:dyDescent="0.35">
      <c r="B156" s="1" t="s">
        <v>3322</v>
      </c>
      <c r="C156" s="2608">
        <f>C154 / 1000000 * 5010</f>
        <v>6.4397562799500019</v>
      </c>
      <c r="D156" s="2601" t="s">
        <v>328</v>
      </c>
    </row>
    <row r="157" spans="1:9" x14ac:dyDescent="0.35">
      <c r="A157" s="39"/>
      <c r="B157" s="2604" t="s">
        <v>342</v>
      </c>
      <c r="C157" s="2578">
        <f>C140*(((C141*C142)-(C143*C144))*C145*C147*365.25/C148)*C150*C151+C155</f>
        <v>141.77062482607911</v>
      </c>
      <c r="D157" s="2573" t="s">
        <v>294</v>
      </c>
      <c r="E157" s="173"/>
      <c r="F157" s="39"/>
      <c r="G157" s="39"/>
      <c r="H157" s="39"/>
      <c r="I157" s="39"/>
    </row>
    <row r="158" spans="1:9" x14ac:dyDescent="0.35">
      <c r="A158" s="39"/>
      <c r="B158" s="2604" t="s">
        <v>342</v>
      </c>
      <c r="C158" s="2578">
        <f>C140*(((C141*C142)-(C143*C144))*C146*C147*365.25/C149)*C150*C152+C156</f>
        <v>156.82927419495002</v>
      </c>
      <c r="D158" s="2573" t="s">
        <v>328</v>
      </c>
      <c r="E158" s="173"/>
      <c r="F158" s="182">
        <f>C140*(((C141*C142)-(F143*C144))*C146*C147*365.25/C149)*C150*C152</f>
        <v>227.11886379000012</v>
      </c>
      <c r="G158" s="39" t="s">
        <v>1361</v>
      </c>
      <c r="H158" s="39"/>
      <c r="I158" s="39"/>
    </row>
    <row r="159" spans="1:9" x14ac:dyDescent="0.35">
      <c r="A159" s="39"/>
      <c r="B159" s="173"/>
      <c r="C159" s="173"/>
      <c r="D159" s="173"/>
      <c r="E159" s="173"/>
      <c r="F159" s="39"/>
      <c r="G159" s="39"/>
      <c r="H159" s="39"/>
      <c r="I159" s="39"/>
    </row>
    <row r="160" spans="1:9" x14ac:dyDescent="0.35">
      <c r="A160" s="39"/>
      <c r="B160" s="173" t="s">
        <v>662</v>
      </c>
      <c r="C160" s="173"/>
      <c r="D160" s="173"/>
      <c r="E160" s="173"/>
      <c r="F160" s="39"/>
      <c r="G160" s="39"/>
      <c r="H160" s="39"/>
      <c r="I160" s="39"/>
    </row>
    <row r="161" spans="1:14" x14ac:dyDescent="0.35">
      <c r="A161" s="39"/>
      <c r="B161" s="2573" t="s">
        <v>293</v>
      </c>
      <c r="C161" s="2606">
        <v>255</v>
      </c>
      <c r="D161" s="2573" t="s">
        <v>294</v>
      </c>
      <c r="E161" s="173"/>
      <c r="F161" s="39"/>
      <c r="G161" s="39"/>
      <c r="H161" s="39"/>
      <c r="I161" s="39"/>
    </row>
    <row r="162" spans="1:14" x14ac:dyDescent="0.35">
      <c r="A162" s="39"/>
      <c r="B162" s="2573" t="s">
        <v>293</v>
      </c>
      <c r="C162" s="2606">
        <v>208</v>
      </c>
      <c r="D162" s="2573" t="s">
        <v>328</v>
      </c>
      <c r="E162" s="173"/>
      <c r="F162" s="39"/>
      <c r="G162" s="39"/>
      <c r="H162" s="39"/>
      <c r="I162" s="39"/>
    </row>
    <row r="163" spans="1:14" x14ac:dyDescent="0.35">
      <c r="A163" s="39"/>
      <c r="B163" s="181" t="s">
        <v>301</v>
      </c>
      <c r="C163" s="183">
        <f>C157/C161*C134</f>
        <v>1.5455777922215683E-2</v>
      </c>
      <c r="D163" s="173" t="s">
        <v>294</v>
      </c>
      <c r="E163" s="173"/>
      <c r="F163" s="39"/>
      <c r="G163" s="39"/>
      <c r="H163" s="39"/>
      <c r="I163" s="39"/>
    </row>
    <row r="164" spans="1:14" x14ac:dyDescent="0.35">
      <c r="A164" s="39"/>
      <c r="B164" s="181" t="s">
        <v>301</v>
      </c>
      <c r="C164" s="183">
        <f>C158/C161*C134</f>
        <v>1.7097465971057293E-2</v>
      </c>
      <c r="D164" s="173" t="s">
        <v>328</v>
      </c>
      <c r="E164" s="173"/>
      <c r="F164" s="39"/>
      <c r="G164" s="39"/>
      <c r="H164" s="39"/>
      <c r="I164" s="39"/>
    </row>
    <row r="165" spans="1:14" x14ac:dyDescent="0.35">
      <c r="A165" s="39"/>
      <c r="B165" s="173"/>
      <c r="C165" s="173"/>
      <c r="D165" s="173"/>
      <c r="E165" s="173"/>
      <c r="F165" s="39"/>
      <c r="G165" s="39"/>
      <c r="H165" s="39"/>
      <c r="I165" s="39"/>
    </row>
    <row r="166" spans="1:14" x14ac:dyDescent="0.35">
      <c r="A166" s="39"/>
      <c r="B166" s="173" t="s">
        <v>663</v>
      </c>
      <c r="C166" s="173"/>
      <c r="D166" s="173"/>
      <c r="E166" s="173"/>
      <c r="F166" s="39"/>
      <c r="G166" s="39"/>
      <c r="H166" s="39"/>
      <c r="I166" s="39"/>
    </row>
    <row r="167" spans="1:14" x14ac:dyDescent="0.35">
      <c r="A167" s="39"/>
      <c r="B167" s="173" t="s">
        <v>664</v>
      </c>
      <c r="C167" s="15">
        <v>1</v>
      </c>
      <c r="D167" s="173"/>
      <c r="E167" s="173"/>
      <c r="F167" s="39"/>
      <c r="G167" s="39"/>
      <c r="H167" s="39"/>
      <c r="I167" s="39"/>
      <c r="N167" s="173"/>
    </row>
    <row r="168" spans="1:14" x14ac:dyDescent="0.35">
      <c r="A168" s="39"/>
      <c r="B168" s="173" t="s">
        <v>665</v>
      </c>
      <c r="C168" s="184">
        <v>5.0099999999999997E-3</v>
      </c>
      <c r="D168" s="173" t="s">
        <v>294</v>
      </c>
      <c r="E168" s="173"/>
      <c r="F168" s="39"/>
      <c r="G168" s="39"/>
      <c r="H168" s="39"/>
      <c r="I168" s="39"/>
    </row>
    <row r="169" spans="1:14" x14ac:dyDescent="0.35">
      <c r="A169" s="39"/>
      <c r="B169" s="173" t="s">
        <v>665</v>
      </c>
      <c r="C169" s="184">
        <v>5.8300000000000001E-3</v>
      </c>
      <c r="D169" s="173" t="s">
        <v>328</v>
      </c>
      <c r="E169" s="173"/>
      <c r="F169" s="39"/>
      <c r="G169" s="39"/>
      <c r="H169" s="39"/>
      <c r="I169" s="39"/>
    </row>
    <row r="170" spans="1:14" x14ac:dyDescent="0.35">
      <c r="A170" s="39"/>
      <c r="B170" s="181" t="s">
        <v>302</v>
      </c>
      <c r="C170" s="182">
        <f>ROUND(C167*(((C141*C142)-(C143*C144))*C145*C147*365.25/C148)*C168*C151,2)</f>
        <v>5.82</v>
      </c>
      <c r="D170" s="173" t="s">
        <v>294</v>
      </c>
      <c r="E170" s="173"/>
      <c r="F170" s="39"/>
      <c r="G170" s="39"/>
      <c r="H170" s="39"/>
      <c r="I170" s="39"/>
    </row>
    <row r="171" spans="1:14" x14ac:dyDescent="0.35">
      <c r="A171" s="39"/>
      <c r="B171" s="181" t="s">
        <v>302</v>
      </c>
      <c r="C171" s="185">
        <f>C167*(((C141*C142)-(C143*C144))*C146*C147*365.25/C149)*C169*C152</f>
        <v>7.4937682858500017</v>
      </c>
      <c r="D171" s="173" t="s">
        <v>328</v>
      </c>
      <c r="E171" s="173"/>
      <c r="F171" s="39"/>
      <c r="G171" s="39"/>
      <c r="H171" s="39"/>
      <c r="I171" s="39"/>
    </row>
    <row r="172" spans="1:14" x14ac:dyDescent="0.35">
      <c r="A172" s="173"/>
      <c r="B172" s="173"/>
      <c r="C172" s="173"/>
      <c r="D172" s="173"/>
      <c r="E172" s="173"/>
      <c r="F172" s="39"/>
      <c r="G172" s="39"/>
      <c r="H172" s="39"/>
      <c r="I172" s="39"/>
    </row>
    <row r="173" spans="1:14" x14ac:dyDescent="0.35">
      <c r="A173" s="173"/>
      <c r="B173" s="173"/>
      <c r="C173" s="173"/>
      <c r="D173" s="173"/>
      <c r="E173" s="173"/>
      <c r="F173" s="39"/>
      <c r="G173" s="39"/>
      <c r="H173" s="39"/>
      <c r="I173" s="39"/>
    </row>
    <row r="174" spans="1:14" x14ac:dyDescent="0.35">
      <c r="A174" s="10" t="s">
        <v>666</v>
      </c>
      <c r="B174" s="2572" t="s">
        <v>667</v>
      </c>
      <c r="C174" s="186" t="s">
        <v>668</v>
      </c>
      <c r="D174" s="172"/>
      <c r="E174" s="172"/>
      <c r="F174" s="39"/>
      <c r="G174" s="39"/>
      <c r="H174" s="39"/>
      <c r="I174" s="39"/>
    </row>
    <row r="175" spans="1:14" x14ac:dyDescent="0.35">
      <c r="A175" s="39"/>
      <c r="B175" s="173" t="s">
        <v>288</v>
      </c>
      <c r="C175" s="174" t="s">
        <v>669</v>
      </c>
      <c r="D175" s="173"/>
      <c r="E175" s="173"/>
      <c r="F175" s="173"/>
      <c r="G175" s="39"/>
      <c r="H175" s="39"/>
      <c r="I175" s="39"/>
    </row>
    <row r="176" spans="1:14" x14ac:dyDescent="0.35">
      <c r="A176" s="39"/>
      <c r="B176" s="173" t="s">
        <v>289</v>
      </c>
      <c r="C176" s="2600" t="s">
        <v>3364</v>
      </c>
      <c r="D176" s="173"/>
      <c r="E176" s="173"/>
      <c r="F176" s="173"/>
      <c r="G176" s="39"/>
      <c r="H176" s="39"/>
      <c r="I176" s="39"/>
    </row>
    <row r="177" spans="1:15" x14ac:dyDescent="0.35">
      <c r="A177" s="39"/>
      <c r="B177" s="173" t="s">
        <v>288</v>
      </c>
      <c r="C177" s="174" t="s">
        <v>670</v>
      </c>
      <c r="D177" s="173"/>
      <c r="E177" s="173"/>
      <c r="F177" s="173"/>
      <c r="G177" s="39"/>
      <c r="H177" s="39"/>
      <c r="I177" s="39"/>
    </row>
    <row r="178" spans="1:15" x14ac:dyDescent="0.35">
      <c r="A178" s="39"/>
      <c r="B178" s="173" t="s">
        <v>289</v>
      </c>
      <c r="C178" s="2600" t="s">
        <v>3365</v>
      </c>
      <c r="D178" s="173"/>
      <c r="E178" s="173"/>
      <c r="F178" s="173"/>
      <c r="G178" s="39"/>
      <c r="H178" s="39"/>
      <c r="I178" s="39"/>
    </row>
    <row r="179" spans="1:15" x14ac:dyDescent="0.35">
      <c r="A179" s="39"/>
      <c r="B179" s="173" t="s">
        <v>290</v>
      </c>
      <c r="C179" s="2599">
        <v>10</v>
      </c>
      <c r="D179" s="173"/>
      <c r="E179" s="173"/>
      <c r="F179" s="173"/>
      <c r="G179" s="39"/>
      <c r="H179" s="39"/>
      <c r="I179" s="39"/>
    </row>
    <row r="180" spans="1:15" x14ac:dyDescent="0.35">
      <c r="A180" s="39"/>
      <c r="B180" s="173" t="s">
        <v>291</v>
      </c>
      <c r="C180" s="176">
        <v>8</v>
      </c>
      <c r="D180" s="173"/>
      <c r="E180" s="173"/>
      <c r="F180" s="173"/>
      <c r="G180" s="39"/>
      <c r="H180" s="39"/>
      <c r="I180" s="39"/>
      <c r="L180" s="2573" t="s">
        <v>3366</v>
      </c>
      <c r="M180" s="173"/>
      <c r="O180" s="600"/>
    </row>
    <row r="181" spans="1:15" x14ac:dyDescent="0.35">
      <c r="A181" s="39"/>
      <c r="B181" s="173" t="s">
        <v>292</v>
      </c>
      <c r="C181" s="11">
        <v>2.1999999999999999E-2</v>
      </c>
      <c r="D181" s="173"/>
      <c r="E181" s="173"/>
      <c r="F181" s="173"/>
      <c r="G181" s="39"/>
      <c r="H181" s="39"/>
      <c r="I181" s="39"/>
    </row>
    <row r="182" spans="1:15" x14ac:dyDescent="0.35">
      <c r="A182" s="39"/>
      <c r="B182" s="173"/>
      <c r="C182" s="173"/>
      <c r="D182" s="173"/>
      <c r="E182" s="173"/>
      <c r="F182" s="173"/>
      <c r="G182" s="39"/>
      <c r="H182" s="39"/>
      <c r="I182" s="39"/>
    </row>
    <row r="183" spans="1:15" x14ac:dyDescent="0.35">
      <c r="A183" s="39"/>
      <c r="B183" s="173" t="s">
        <v>671</v>
      </c>
      <c r="C183" s="173"/>
      <c r="D183" s="173"/>
      <c r="E183" s="173"/>
      <c r="F183" s="173"/>
      <c r="G183" s="39"/>
      <c r="H183" s="39"/>
      <c r="I183" s="39"/>
    </row>
    <row r="184" spans="1:15" s="600" customFormat="1" x14ac:dyDescent="0.35">
      <c r="B184" s="2601" t="s">
        <v>3310</v>
      </c>
      <c r="C184" s="173"/>
      <c r="D184" s="173"/>
      <c r="E184" s="173"/>
      <c r="F184" s="173"/>
    </row>
    <row r="185" spans="1:15" s="600" customFormat="1" x14ac:dyDescent="0.35">
      <c r="B185" s="2601" t="s">
        <v>3367</v>
      </c>
      <c r="C185" s="173"/>
      <c r="D185" s="173"/>
      <c r="E185" s="173"/>
      <c r="F185" s="173"/>
    </row>
    <row r="186" spans="1:15" s="600" customFormat="1" x14ac:dyDescent="0.35">
      <c r="B186" s="173"/>
      <c r="C186" s="173"/>
      <c r="D186" s="173"/>
      <c r="E186" s="173"/>
      <c r="F186" s="173"/>
    </row>
    <row r="187" spans="1:15" x14ac:dyDescent="0.35">
      <c r="A187" s="39"/>
      <c r="B187" s="173" t="s">
        <v>647</v>
      </c>
      <c r="C187" s="15">
        <v>1</v>
      </c>
      <c r="D187" s="173"/>
      <c r="E187" s="173"/>
      <c r="F187" s="173"/>
      <c r="G187" s="39"/>
      <c r="H187" s="39"/>
      <c r="I187" s="39"/>
    </row>
    <row r="188" spans="1:15" x14ac:dyDescent="0.35">
      <c r="A188" s="39"/>
      <c r="B188" s="173" t="s">
        <v>648</v>
      </c>
      <c r="C188" s="2603">
        <v>1.58</v>
      </c>
      <c r="D188" s="173" t="s">
        <v>649</v>
      </c>
      <c r="E188" s="173"/>
      <c r="F188" s="173"/>
      <c r="G188" s="39"/>
      <c r="H188" s="39"/>
      <c r="I188" s="39"/>
    </row>
    <row r="189" spans="1:15" x14ac:dyDescent="0.35">
      <c r="A189" s="39"/>
      <c r="B189" s="173" t="s">
        <v>650</v>
      </c>
      <c r="C189" s="179">
        <v>9</v>
      </c>
      <c r="D189" s="172" t="s">
        <v>672</v>
      </c>
      <c r="E189" s="173"/>
      <c r="F189" s="173"/>
      <c r="G189" s="39"/>
      <c r="H189" s="39"/>
      <c r="I189" s="39"/>
    </row>
    <row r="190" spans="1:15" x14ac:dyDescent="0.35">
      <c r="A190" s="39"/>
      <c r="B190" s="172" t="s">
        <v>650</v>
      </c>
      <c r="C190" s="179">
        <v>6.9</v>
      </c>
      <c r="D190" s="172" t="s">
        <v>673</v>
      </c>
      <c r="E190" s="173"/>
      <c r="F190" s="173"/>
      <c r="G190" s="39"/>
      <c r="H190" s="39"/>
      <c r="I190" s="39"/>
    </row>
    <row r="191" spans="1:15" x14ac:dyDescent="0.35">
      <c r="A191" s="39"/>
      <c r="B191" s="173" t="s">
        <v>652</v>
      </c>
      <c r="C191" s="178">
        <v>0.94</v>
      </c>
      <c r="D191" s="173" t="s">
        <v>649</v>
      </c>
      <c r="E191" s="173"/>
      <c r="F191" s="173"/>
      <c r="G191" s="39"/>
      <c r="H191" s="39"/>
      <c r="I191" s="39"/>
    </row>
    <row r="192" spans="1:15" x14ac:dyDescent="0.35">
      <c r="A192" s="39"/>
      <c r="B192" s="173" t="s">
        <v>653</v>
      </c>
      <c r="C192" s="179">
        <v>9</v>
      </c>
      <c r="D192" s="172" t="s">
        <v>672</v>
      </c>
      <c r="E192" s="173"/>
      <c r="F192" s="173"/>
      <c r="G192" s="39"/>
      <c r="H192" s="39"/>
      <c r="I192" s="39"/>
    </row>
    <row r="193" spans="1:9" x14ac:dyDescent="0.35">
      <c r="A193" s="39"/>
      <c r="B193" s="172" t="s">
        <v>653</v>
      </c>
      <c r="C193" s="179">
        <v>6.9</v>
      </c>
      <c r="D193" s="172" t="s">
        <v>673</v>
      </c>
      <c r="E193" s="173"/>
      <c r="F193" s="173"/>
      <c r="G193" s="39"/>
      <c r="H193" s="39"/>
      <c r="I193" s="39"/>
    </row>
    <row r="194" spans="1:9" x14ac:dyDescent="0.35">
      <c r="A194" s="39"/>
      <c r="B194" s="173" t="s">
        <v>654</v>
      </c>
      <c r="C194" s="178">
        <v>2.56</v>
      </c>
      <c r="D194" s="173" t="s">
        <v>294</v>
      </c>
      <c r="E194" s="173"/>
      <c r="F194" s="173"/>
      <c r="G194" s="39"/>
      <c r="H194" s="39"/>
      <c r="I194" s="39"/>
    </row>
    <row r="195" spans="1:9" x14ac:dyDescent="0.35">
      <c r="A195" s="39"/>
      <c r="B195" s="173" t="s">
        <v>654</v>
      </c>
      <c r="C195" s="178">
        <v>2.1</v>
      </c>
      <c r="D195" s="173" t="s">
        <v>328</v>
      </c>
      <c r="E195" s="173"/>
      <c r="F195" s="173"/>
      <c r="G195" s="39"/>
      <c r="H195" s="39"/>
      <c r="I195" s="39"/>
    </row>
    <row r="196" spans="1:9" x14ac:dyDescent="0.35">
      <c r="A196" s="39"/>
      <c r="B196" s="173" t="s">
        <v>674</v>
      </c>
      <c r="C196" s="187">
        <v>0.79500000000000004</v>
      </c>
      <c r="D196" s="173"/>
      <c r="E196" s="173"/>
      <c r="F196" s="173"/>
      <c r="G196" s="39"/>
      <c r="H196" s="39"/>
      <c r="I196" s="39"/>
    </row>
    <row r="197" spans="1:9" x14ac:dyDescent="0.35">
      <c r="A197" s="39"/>
      <c r="B197" s="173" t="s">
        <v>675</v>
      </c>
      <c r="C197" s="178">
        <v>3.83</v>
      </c>
      <c r="D197" s="173" t="s">
        <v>294</v>
      </c>
      <c r="E197" s="173"/>
      <c r="F197" s="173"/>
      <c r="G197" s="39"/>
      <c r="H197" s="39"/>
      <c r="I197" s="39"/>
    </row>
    <row r="198" spans="1:9" x14ac:dyDescent="0.35">
      <c r="A198" s="39"/>
      <c r="B198" s="173" t="s">
        <v>675</v>
      </c>
      <c r="C198" s="178">
        <v>2.5</v>
      </c>
      <c r="D198" s="173" t="s">
        <v>328</v>
      </c>
      <c r="E198" s="173"/>
      <c r="F198" s="173"/>
      <c r="G198" s="39"/>
      <c r="H198" s="39"/>
      <c r="I198" s="39"/>
    </row>
    <row r="199" spans="1:9" x14ac:dyDescent="0.35">
      <c r="A199" s="39"/>
      <c r="B199" s="173" t="s">
        <v>658</v>
      </c>
      <c r="C199" s="188">
        <v>9.1899999999999996E-2</v>
      </c>
      <c r="D199" s="173" t="s">
        <v>659</v>
      </c>
      <c r="G199" s="39"/>
      <c r="H199" s="39"/>
      <c r="I199" s="39"/>
    </row>
    <row r="200" spans="1:9" x14ac:dyDescent="0.35">
      <c r="A200" s="39"/>
      <c r="B200" s="173" t="s">
        <v>303</v>
      </c>
      <c r="C200" s="187">
        <v>0.95</v>
      </c>
      <c r="D200" s="173" t="s">
        <v>660</v>
      </c>
      <c r="G200" s="39"/>
      <c r="H200" s="39"/>
      <c r="I200" s="39"/>
    </row>
    <row r="201" spans="1:9" x14ac:dyDescent="0.35">
      <c r="A201" s="39"/>
      <c r="B201" s="173" t="s">
        <v>303</v>
      </c>
      <c r="C201" s="189">
        <f>(0.95*1+0.91*1.5)/C198</f>
        <v>0.92599999999999993</v>
      </c>
      <c r="D201" s="173" t="s">
        <v>676</v>
      </c>
      <c r="E201" s="173"/>
      <c r="F201" s="173"/>
      <c r="G201" s="39"/>
      <c r="H201" s="39"/>
      <c r="I201" s="39"/>
    </row>
    <row r="202" spans="1:9" s="600" customFormat="1" x14ac:dyDescent="0.35">
      <c r="B202" s="1" t="s">
        <v>3321</v>
      </c>
      <c r="C202" s="2596">
        <f>(((C188*C189)-(C191*C192))*C194*365.25*C196/C197)*C200</f>
        <v>1062.0491931070499</v>
      </c>
      <c r="D202" s="2601" t="s">
        <v>294</v>
      </c>
    </row>
    <row r="203" spans="1:9" s="600" customFormat="1" x14ac:dyDescent="0.35">
      <c r="B203" s="1" t="s">
        <v>3321</v>
      </c>
      <c r="C203" s="2596">
        <f>(((C188*C190)-(C191*C193))*C195*365.25*C196/C198)*C201</f>
        <v>997.41682696320038</v>
      </c>
      <c r="D203" s="2601" t="s">
        <v>328</v>
      </c>
    </row>
    <row r="204" spans="1:9" s="600" customFormat="1" x14ac:dyDescent="0.35">
      <c r="B204" s="1" t="s">
        <v>3322</v>
      </c>
      <c r="C204" s="2596">
        <f xml:space="preserve"> C202 / 1000000 * 5010</f>
        <v>5.3208664574663196</v>
      </c>
      <c r="D204" s="1" t="s">
        <v>294</v>
      </c>
    </row>
    <row r="205" spans="1:9" s="600" customFormat="1" x14ac:dyDescent="0.35">
      <c r="B205" s="1" t="s">
        <v>3322</v>
      </c>
      <c r="C205" s="2596">
        <f xml:space="preserve"> C203 / 1000000 * 5010</f>
        <v>4.997058303085633</v>
      </c>
      <c r="D205" s="1" t="s">
        <v>328</v>
      </c>
    </row>
    <row r="206" spans="1:9" x14ac:dyDescent="0.35">
      <c r="A206" s="39"/>
      <c r="B206" s="2604" t="s">
        <v>342</v>
      </c>
      <c r="C206" s="2578">
        <f>C187*(((C188*C189)-(C191*C192))*C194*365.25*C196/C197)*C199*C200+C204</f>
        <v>102.92318730400422</v>
      </c>
      <c r="D206" s="2573" t="s">
        <v>294</v>
      </c>
      <c r="E206" s="173"/>
      <c r="F206" s="173"/>
      <c r="G206" s="39"/>
      <c r="H206" s="39"/>
      <c r="I206" s="39"/>
    </row>
    <row r="207" spans="1:9" x14ac:dyDescent="0.35">
      <c r="A207" s="39"/>
      <c r="B207" s="2604" t="s">
        <v>342</v>
      </c>
      <c r="C207" s="2578">
        <f>C187*(((C188*C190)-(C191*C193))*C195*365.25*C196/C198)*C199*C201+C205</f>
        <v>96.659664701003749</v>
      </c>
      <c r="D207" s="2573" t="s">
        <v>328</v>
      </c>
      <c r="E207" s="173"/>
      <c r="F207" s="173"/>
      <c r="G207" s="39"/>
      <c r="H207" s="39"/>
      <c r="I207" s="39"/>
    </row>
    <row r="208" spans="1:9" x14ac:dyDescent="0.35">
      <c r="A208" s="39"/>
      <c r="B208" s="173"/>
      <c r="C208" s="173"/>
      <c r="D208" s="173"/>
      <c r="E208" s="173"/>
      <c r="F208" s="173"/>
      <c r="G208" s="39"/>
      <c r="H208" s="39"/>
      <c r="I208" s="39"/>
    </row>
    <row r="209" spans="1:29" x14ac:dyDescent="0.35">
      <c r="A209" s="39"/>
      <c r="B209" s="173" t="s">
        <v>662</v>
      </c>
      <c r="C209" s="173"/>
      <c r="D209" s="173"/>
      <c r="E209" s="173"/>
      <c r="F209" s="173"/>
      <c r="G209" s="39"/>
      <c r="H209" s="39"/>
      <c r="I209" s="39"/>
    </row>
    <row r="210" spans="1:29" x14ac:dyDescent="0.35">
      <c r="A210" s="39"/>
      <c r="B210" s="2573" t="s">
        <v>293</v>
      </c>
      <c r="C210" s="2606">
        <v>55</v>
      </c>
      <c r="D210" s="173" t="s">
        <v>294</v>
      </c>
      <c r="E210" s="173"/>
      <c r="F210" s="173"/>
      <c r="G210" s="39"/>
      <c r="H210" s="39"/>
      <c r="I210" s="39"/>
    </row>
    <row r="211" spans="1:29" x14ac:dyDescent="0.35">
      <c r="A211" s="39"/>
      <c r="B211" s="2573" t="s">
        <v>293</v>
      </c>
      <c r="C211" s="2606">
        <v>53</v>
      </c>
      <c r="D211" s="173" t="s">
        <v>328</v>
      </c>
      <c r="E211" s="173"/>
      <c r="F211" s="173"/>
      <c r="G211" s="39"/>
      <c r="H211" s="39"/>
      <c r="I211" s="39"/>
    </row>
    <row r="212" spans="1:29" x14ac:dyDescent="0.35">
      <c r="A212" s="39"/>
      <c r="B212" s="181" t="s">
        <v>301</v>
      </c>
      <c r="C212" s="183">
        <f>C206/C210*C181</f>
        <v>4.1169274921601683E-2</v>
      </c>
      <c r="D212" s="173" t="s">
        <v>294</v>
      </c>
      <c r="E212" s="173"/>
      <c r="F212" s="173"/>
      <c r="G212" s="39"/>
      <c r="H212" s="39"/>
      <c r="I212" s="39"/>
    </row>
    <row r="213" spans="1:29" x14ac:dyDescent="0.35">
      <c r="A213" s="39"/>
      <c r="B213" s="181" t="s">
        <v>301</v>
      </c>
      <c r="C213" s="183">
        <f>C207/C211*C181</f>
        <v>4.0122879687209102E-2</v>
      </c>
      <c r="D213" s="173" t="s">
        <v>328</v>
      </c>
      <c r="E213" s="173"/>
      <c r="F213" s="173"/>
      <c r="G213" s="39"/>
      <c r="H213" s="39"/>
      <c r="I213" s="39"/>
    </row>
    <row r="214" spans="1:29" x14ac:dyDescent="0.35">
      <c r="A214" s="39"/>
      <c r="B214" s="173"/>
      <c r="C214" s="173"/>
      <c r="D214" s="173"/>
      <c r="E214" s="173"/>
      <c r="F214" s="173"/>
      <c r="G214" s="39"/>
      <c r="H214" s="39"/>
      <c r="I214" s="39"/>
    </row>
    <row r="215" spans="1:29" x14ac:dyDescent="0.35">
      <c r="A215" s="39"/>
      <c r="B215" s="173" t="s">
        <v>677</v>
      </c>
      <c r="C215" s="173"/>
      <c r="D215" s="173"/>
      <c r="E215" s="173"/>
      <c r="F215" s="173"/>
      <c r="G215" s="39"/>
      <c r="H215" s="39"/>
      <c r="I215" s="39"/>
    </row>
    <row r="216" spans="1:29" x14ac:dyDescent="0.35">
      <c r="A216" s="39"/>
      <c r="B216" s="173" t="s">
        <v>664</v>
      </c>
      <c r="C216" s="15">
        <v>1</v>
      </c>
      <c r="D216" s="173"/>
      <c r="E216" s="173"/>
      <c r="F216" s="173"/>
      <c r="G216" s="39"/>
      <c r="H216" s="39"/>
      <c r="I216" s="39"/>
    </row>
    <row r="217" spans="1:29" x14ac:dyDescent="0.35">
      <c r="A217" s="39"/>
      <c r="B217" s="173" t="s">
        <v>665</v>
      </c>
      <c r="C217" s="184">
        <v>3.9399999999999999E-3</v>
      </c>
      <c r="D217" s="173" t="s">
        <v>294</v>
      </c>
      <c r="E217" s="173"/>
      <c r="F217" s="173"/>
      <c r="G217" s="39"/>
      <c r="H217" s="39"/>
      <c r="I217" s="39"/>
    </row>
    <row r="218" spans="1:29" x14ac:dyDescent="0.35">
      <c r="A218" s="39"/>
      <c r="B218" s="173" t="s">
        <v>665</v>
      </c>
      <c r="C218" s="184">
        <v>4.5900000000000003E-3</v>
      </c>
      <c r="D218" s="173" t="s">
        <v>328</v>
      </c>
      <c r="E218" s="173"/>
      <c r="F218" s="173"/>
      <c r="G218" s="39"/>
      <c r="H218" s="39"/>
      <c r="I218" s="39"/>
    </row>
    <row r="219" spans="1:29" x14ac:dyDescent="0.35">
      <c r="A219" s="39"/>
      <c r="B219" s="181" t="s">
        <v>302</v>
      </c>
      <c r="C219" s="190">
        <f>C216*(((C188*C189)-(C191*C192))*C194*365.25*C196/C197)*C217*C200</f>
        <v>4.1844738208417764</v>
      </c>
      <c r="D219" s="173" t="s">
        <v>294</v>
      </c>
      <c r="E219" s="173"/>
      <c r="F219" s="173"/>
      <c r="G219" s="39"/>
      <c r="H219" s="39"/>
      <c r="I219" s="39"/>
    </row>
    <row r="220" spans="1:29" x14ac:dyDescent="0.35">
      <c r="A220" s="39"/>
      <c r="B220" s="181" t="s">
        <v>302</v>
      </c>
      <c r="C220" s="190">
        <f>C216*(((C188*C190)-(C191*C193))*C195*365.25*C196/C198)*C218*C201</f>
        <v>4.5781432357610896</v>
      </c>
      <c r="D220" s="173" t="s">
        <v>328</v>
      </c>
      <c r="E220" s="173"/>
      <c r="F220" s="173"/>
      <c r="G220" s="39"/>
      <c r="H220" s="39"/>
      <c r="I220" s="39"/>
    </row>
    <row r="224" spans="1:29" x14ac:dyDescent="0.35">
      <c r="A224" s="2569" t="s">
        <v>433</v>
      </c>
      <c r="B224" s="2569" t="s">
        <v>434</v>
      </c>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row>
    <row r="225" spans="1:29" x14ac:dyDescent="0.3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row>
    <row r="226" spans="1:29" x14ac:dyDescent="0.35">
      <c r="A226" s="39"/>
      <c r="B226" s="1" t="s">
        <v>3355</v>
      </c>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row>
    <row r="227" spans="1:29" x14ac:dyDescent="0.35">
      <c r="A227" s="39"/>
      <c r="B227" s="39"/>
      <c r="C227" s="1" t="s">
        <v>3356</v>
      </c>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row>
    <row r="228" spans="1:29" x14ac:dyDescent="0.35">
      <c r="A228" s="39"/>
      <c r="B228" s="39"/>
      <c r="C228" s="2594" t="s">
        <v>3357</v>
      </c>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row>
    <row r="229" spans="1:29" x14ac:dyDescent="0.35">
      <c r="A229" s="39"/>
      <c r="B229" s="39" t="s">
        <v>435</v>
      </c>
      <c r="C229" s="88"/>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row>
    <row r="230" spans="1:29" x14ac:dyDescent="0.35">
      <c r="A230" s="39"/>
      <c r="B230" s="1" t="s">
        <v>3360</v>
      </c>
      <c r="C230" s="88"/>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row>
    <row r="231" spans="1:29" x14ac:dyDescent="0.35">
      <c r="A231" s="39"/>
      <c r="B231" s="39"/>
      <c r="C231" s="88"/>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row>
    <row r="232" spans="1:29" x14ac:dyDescent="0.35">
      <c r="A232" s="39"/>
      <c r="B232" s="1" t="s">
        <v>360</v>
      </c>
      <c r="C232" s="1">
        <v>15</v>
      </c>
      <c r="D232" s="39" t="s">
        <v>361</v>
      </c>
      <c r="E232" s="39"/>
      <c r="F232" s="39"/>
      <c r="G232" s="39"/>
      <c r="H232" s="39"/>
      <c r="I232" s="39"/>
      <c r="J232" s="39"/>
      <c r="K232" s="39"/>
      <c r="L232" s="39"/>
      <c r="M232" s="39">
        <f>((((($C$244*$C$245*365.25*$C$247*($C$248-$C$249*1)/3412)-((1/$C$240*$C$244*$C$245*365.25*$C$247*($C$248-$C$249)*1)/3412))*$C$250*27%)/$C$253)*$C$254)</f>
        <v>182.92141973796018</v>
      </c>
      <c r="N232" s="39">
        <f>((((($C$244*$C$245*365.25*$C$247*($C$248-$C$249*1)/3412)-((1/$C$240*$C$244*$C$245*365.25*$C$247*($C$248-$C$249)*1)/3412))*$C$251*49%)/$C$255)*(1-$C$259))</f>
        <v>0</v>
      </c>
      <c r="O232" s="39"/>
      <c r="P232" s="39"/>
      <c r="Q232" s="39"/>
      <c r="R232" s="39"/>
      <c r="S232" s="42">
        <f>(((1/$C$238-1/$C$240)*$C$244*$C$245*365.25*$C$247*($C$248-$C$249)*1)/3412)+M232-$N$232</f>
        <v>1775.2322199776379</v>
      </c>
      <c r="T232" s="91">
        <f>S232/2533*$C$236</f>
        <v>8.4101013184886123E-2</v>
      </c>
      <c r="U232" s="91">
        <f>-((((($C$244*$C$245*365.25 *$C$247*($C$248-$C$249)*1)/3412)-((($C$244*$C$245*365.25*$C$247*($C$248-$C$249)*1)/3412)/$C$240))*$C$250*49%*0.03412)/$C$257)*$C$259</f>
        <v>-34.065459563520001</v>
      </c>
      <c r="V232" s="39"/>
      <c r="W232" s="39"/>
      <c r="X232" s="39"/>
      <c r="Y232" s="39"/>
      <c r="Z232" s="39"/>
      <c r="AA232" s="39"/>
      <c r="AB232" s="39"/>
      <c r="AC232" s="39"/>
    </row>
    <row r="233" spans="1:29" ht="16" thickBot="1" x14ac:dyDescent="0.4">
      <c r="A233" s="39"/>
      <c r="B233" s="39"/>
      <c r="C233" s="89" t="s">
        <v>436</v>
      </c>
      <c r="D233" s="89" t="s">
        <v>437</v>
      </c>
      <c r="E233" s="39"/>
      <c r="F233" s="39"/>
      <c r="G233" s="39"/>
      <c r="H233" s="39"/>
      <c r="I233" s="39"/>
      <c r="J233" s="39"/>
      <c r="K233" s="39"/>
      <c r="L233" s="39"/>
      <c r="M233" s="39"/>
      <c r="N233" s="39"/>
      <c r="O233" s="39"/>
      <c r="P233" s="39"/>
      <c r="Q233" s="39"/>
      <c r="R233" s="39"/>
      <c r="S233" s="42"/>
      <c r="T233" s="39"/>
      <c r="U233" s="39"/>
      <c r="V233" s="39"/>
      <c r="W233" s="39"/>
      <c r="X233" s="39"/>
      <c r="Y233" s="39"/>
      <c r="Z233" s="39"/>
      <c r="AA233" s="39"/>
      <c r="AB233" s="39"/>
      <c r="AC233" s="39"/>
    </row>
    <row r="234" spans="1:29" x14ac:dyDescent="0.35">
      <c r="A234" s="39"/>
      <c r="B234" s="1" t="s">
        <v>438</v>
      </c>
      <c r="C234" s="2595">
        <v>1030</v>
      </c>
      <c r="D234" s="2595">
        <v>1113</v>
      </c>
      <c r="E234" s="39"/>
      <c r="F234" s="39"/>
      <c r="G234" s="39"/>
      <c r="I234" s="39"/>
      <c r="J234" s="39"/>
      <c r="K234" s="39"/>
      <c r="L234" s="2563" t="s">
        <v>3361</v>
      </c>
      <c r="M234" s="2555"/>
      <c r="N234" s="2555"/>
      <c r="O234" s="2555"/>
      <c r="P234" s="2555"/>
      <c r="Q234" s="2555"/>
      <c r="R234" s="2555"/>
      <c r="S234" s="2555" t="s">
        <v>409</v>
      </c>
      <c r="T234" s="2555" t="s">
        <v>413</v>
      </c>
      <c r="U234" s="2556" t="s">
        <v>418</v>
      </c>
      <c r="V234" s="39"/>
      <c r="W234" s="39"/>
      <c r="X234" s="39"/>
      <c r="Y234" s="39"/>
      <c r="Z234" s="39"/>
      <c r="AA234" s="39"/>
      <c r="AB234" s="39"/>
      <c r="AC234" s="39"/>
    </row>
    <row r="235" spans="1:29" x14ac:dyDescent="0.35">
      <c r="A235" s="39"/>
      <c r="B235" s="1" t="s">
        <v>439</v>
      </c>
      <c r="C235" s="2595">
        <v>2062</v>
      </c>
      <c r="D235" s="2595">
        <v>2432</v>
      </c>
      <c r="E235" s="90"/>
      <c r="F235" s="39"/>
      <c r="G235" s="39"/>
      <c r="I235" s="39"/>
      <c r="J235" s="39"/>
      <c r="K235" s="39"/>
      <c r="L235" s="2557"/>
      <c r="M235" s="218"/>
      <c r="N235" s="218"/>
      <c r="O235" s="218"/>
      <c r="P235" s="218"/>
      <c r="Q235" s="218"/>
      <c r="R235" s="218" t="s">
        <v>1</v>
      </c>
      <c r="S235" s="95">
        <f>(((1/$C$238-1/$C$240)*$C$244*$C$245*365.25*$C$247*($C$248-$C$249)*1)/3412)+M237-$N$237</f>
        <v>1648.2814563887869</v>
      </c>
      <c r="T235" s="96">
        <f>S235/2533*$C$236</f>
        <v>7.8086764613760143E-2</v>
      </c>
      <c r="U235" s="2597">
        <f>-((((($C$244*$C$245*365.25 *$C$247*($C$248-$C$249)*1)/3412)-((($C$244*$C$245*365.25*$C$247*($C$248-$C$249)*1)/3412)/$C$240))*$C$251*49%*0.03412)/$C$257)*$C$260</f>
        <v>-14.818474910131201</v>
      </c>
      <c r="V235" s="39"/>
      <c r="W235" s="39"/>
      <c r="X235" s="39" t="s">
        <v>467</v>
      </c>
      <c r="Y235" s="39" t="s">
        <v>468</v>
      </c>
      <c r="Z235" s="39"/>
      <c r="AA235" s="39"/>
      <c r="AB235" s="39"/>
      <c r="AC235" s="39"/>
    </row>
    <row r="236" spans="1:29" x14ac:dyDescent="0.35">
      <c r="A236" s="39"/>
      <c r="B236" s="39" t="s">
        <v>440</v>
      </c>
      <c r="C236" s="64">
        <v>0.12</v>
      </c>
      <c r="D236" s="39"/>
      <c r="E236" s="39"/>
      <c r="F236" s="39"/>
      <c r="G236" s="39"/>
      <c r="H236" s="39"/>
      <c r="I236" s="39"/>
      <c r="J236" s="39"/>
      <c r="K236" s="39"/>
      <c r="L236" s="2557" t="s">
        <v>1</v>
      </c>
      <c r="M236" s="218" t="s">
        <v>416</v>
      </c>
      <c r="N236" s="218" t="s">
        <v>424</v>
      </c>
      <c r="O236" s="218"/>
      <c r="P236" s="218"/>
      <c r="Q236" s="218"/>
      <c r="R236" s="218" t="s">
        <v>1</v>
      </c>
      <c r="S236" s="95">
        <f>(((1/$C$238-1/$C$241)*$C$244*$C$245*365.25*$C$247*($C$248-$C$249)*1)/3412)+$M$238-$N$238</f>
        <v>1470.0448192521985</v>
      </c>
      <c r="T236" s="96">
        <f t="shared" ref="T236:T238" si="0">S236/2533*$C$236</f>
        <v>6.9642865499511972E-2</v>
      </c>
      <c r="U236" s="2597">
        <f>-((((($C$244*$C$245*365.25 *$C$247*($C$248-$C$249)*1)/3412)-((($C$244*$C$245*365.25*$C$247*($C$248-$C$249)*1)/3412)/$C$241))*$C$251*49%*0.03412)/$C$257)*$C$260</f>
        <v>-15.524116572518402</v>
      </c>
      <c r="V236" s="39"/>
      <c r="W236" s="39" t="s">
        <v>470</v>
      </c>
      <c r="X236" s="39">
        <v>0.99</v>
      </c>
      <c r="Y236" s="97">
        <v>2.12</v>
      </c>
      <c r="Z236" s="39"/>
      <c r="AA236" s="39"/>
      <c r="AB236" s="39"/>
      <c r="AC236" s="39"/>
    </row>
    <row r="237" spans="1:29" x14ac:dyDescent="0.35">
      <c r="A237" s="39"/>
      <c r="B237" s="39" t="s">
        <v>441</v>
      </c>
      <c r="C237" s="39">
        <v>50</v>
      </c>
      <c r="D237" s="39">
        <v>60</v>
      </c>
      <c r="E237" s="39"/>
      <c r="G237" s="39"/>
      <c r="H237" s="39"/>
      <c r="I237" s="39"/>
      <c r="J237" s="39"/>
      <c r="K237" s="39"/>
      <c r="L237" s="2557">
        <v>2</v>
      </c>
      <c r="M237" s="218">
        <f>((((($C$244*$C$245*365.25*$C$247*($C$248-$C$249*1)/3412)-((1/$C$240*$C$244*$C$245*365.25*$C$247*($C$248-$C$249)*1)/3412))*$C$251*27%)/$C$253)*$C$254)</f>
        <v>91.460709868980089</v>
      </c>
      <c r="N237" s="218">
        <f>((((($C$244*$C$245*365.25*$C$247*($C$248-$C$249*1)/3412)-((1/$C$240*$C$244*$C$245*365.25*$C$247*($C$248-$C$249)*1)/3412))*$C$251*49%)/$C$255)*(1-$C$260))</f>
        <v>35.49005371987105</v>
      </c>
      <c r="O237" s="218"/>
      <c r="P237" s="218"/>
      <c r="Q237" s="218"/>
      <c r="R237" s="218" t="s">
        <v>8</v>
      </c>
      <c r="S237" s="95">
        <f>(((1/$C$238-1/$C$240)*$C$244*$C$246*365.25*$C$247*($C$248-$C$249)*1)/3412)+M242-N242</f>
        <v>1352.1058821939268</v>
      </c>
      <c r="T237" s="96">
        <f t="shared" si="0"/>
        <v>6.4055549097225106E-2</v>
      </c>
      <c r="U237" s="2597">
        <f>-((((($C$244*$C$246*365.25 *$C$247*($C$248-$C$249)*1)/3412)-((($C$244*$C$246*365.25*$C$247*($C$248-$C$249)*1)/3412)/$C$240))*$C$251*49%*0.03412)/$C$257)*$C$260</f>
        <v>-12.155780199717002</v>
      </c>
      <c r="V237" s="39"/>
      <c r="W237" s="39" t="s">
        <v>472</v>
      </c>
      <c r="X237" s="39">
        <v>1.06</v>
      </c>
      <c r="Y237" s="97">
        <v>3</v>
      </c>
      <c r="Z237" s="39"/>
      <c r="AA237" s="39"/>
      <c r="AB237" s="39"/>
      <c r="AC237" s="39"/>
    </row>
    <row r="238" spans="1:29" x14ac:dyDescent="0.35">
      <c r="A238" s="39"/>
      <c r="B238" s="1" t="s">
        <v>3358</v>
      </c>
      <c r="C238" s="585">
        <f>0.96-(0.0003*C237)</f>
        <v>0.94499999999999995</v>
      </c>
      <c r="D238" s="585" t="s">
        <v>446</v>
      </c>
      <c r="E238" s="39"/>
      <c r="F238" s="39"/>
      <c r="G238" s="39"/>
      <c r="H238" s="39"/>
      <c r="I238" s="39"/>
      <c r="J238" s="39"/>
      <c r="K238" s="39"/>
      <c r="L238" s="2557">
        <v>2.1</v>
      </c>
      <c r="M238" s="218">
        <f>((((($C$244*$C$245*365.25*$C$247*($C$248-$C$249*1)/3412)-((1/$C$241*$C$244*$C$245*365.25*$C$247*($C$248-$C$249)*1)/3412))*$C$251*27%)/$C$253)*$C$254)</f>
        <v>95.815981767502947</v>
      </c>
      <c r="N238" s="246">
        <f>((((($C$244*$C$245*365.25*$C$247*($C$248-$C$249*1)/3412)-((1/$C$241*$C$244*$C$245*365.25*$C$247*($C$248-$C$249)*1)/3412))*$C$251*49%)/$C$255)*(1-$C$258))</f>
        <v>286.00043290738569</v>
      </c>
      <c r="O238" s="218"/>
      <c r="P238" s="218"/>
      <c r="Q238" s="218"/>
      <c r="R238" s="218" t="s">
        <v>8</v>
      </c>
      <c r="S238" s="95">
        <f>(((1/$C$238-1/$C$240)*$C$244*$C$246*365.25*$C$247*($C$248-$C$249)*1)/3412)+M243-N243</f>
        <v>1354.2922359497513</v>
      </c>
      <c r="T238" s="96">
        <f t="shared" si="0"/>
        <v>6.4159126851152853E-2</v>
      </c>
      <c r="U238" s="2597">
        <f>-((((($C$244*$C$246*365.25 *$C$247*($C$248-$C$249)*1)/3412)-((($C$244*$C$246*365.25*$C$247*($C$248-$C$249)*1)/3412)/$C$241))*$C$251*49%*0.03412)/$C$257)*$C$260</f>
        <v>-12.734626875894003</v>
      </c>
      <c r="V238" s="39"/>
      <c r="W238" s="39"/>
      <c r="X238" s="39"/>
      <c r="Y238" s="39"/>
      <c r="Z238" s="39"/>
      <c r="AA238" s="39"/>
      <c r="AB238" s="39"/>
      <c r="AC238" s="39"/>
    </row>
    <row r="239" spans="1:29" x14ac:dyDescent="0.35">
      <c r="A239" s="39"/>
      <c r="B239" s="585"/>
      <c r="C239" s="585">
        <f>2.057-(0.00113*D237)</f>
        <v>1.9891999999999999</v>
      </c>
      <c r="D239" s="585" t="s">
        <v>449</v>
      </c>
      <c r="E239" s="39"/>
      <c r="F239" s="39"/>
      <c r="G239" s="39"/>
      <c r="H239" s="39"/>
      <c r="I239" s="39"/>
      <c r="J239" s="39"/>
      <c r="K239" s="39"/>
      <c r="L239" s="2557">
        <v>2.2999999999999998</v>
      </c>
      <c r="M239" s="218">
        <f>((((($C$244*$C$245*365.25*$C$247*($C$248-$C$249*1)/3412)-((1/$C$243*$C$244*$C$245*365.25*$C$247*($C$248-$C$249)*1)/3412))*$C$250*27%)/$C$253)*$C$254)</f>
        <v>206.78073535595499</v>
      </c>
      <c r="N239" s="218">
        <f>((((($C$244*$C$245*365.25*$C$247*($C$248-$C$249*1)/3412)-((1/$C$243*$C$244*$C$245*365.25*$C$247*($C$248-$C$249)*1)/3412))*$C$250*49%)/$C$255)*(1-$C$260))</f>
        <v>80.238382323186713</v>
      </c>
      <c r="O239" s="218"/>
      <c r="P239" s="218"/>
      <c r="Q239" s="218"/>
      <c r="R239" s="605"/>
      <c r="S239" s="95"/>
      <c r="T239" s="218"/>
      <c r="U239" s="2597">
        <f>-((((($C$244*$C$245*365.25 *$C$247*($C$248-$C$249)*1)/3412)-((($C$244*$C$245*365.25*$C$247*($C$248-$C$249)*1)/3412)/$C$240))*$C$250*49%*0.03412)/$C$257)*$C$258</f>
        <v>0</v>
      </c>
      <c r="V239" s="39"/>
      <c r="W239" s="39"/>
      <c r="X239" s="39"/>
      <c r="Y239" s="39"/>
      <c r="Z239" s="39"/>
      <c r="AA239" s="39"/>
      <c r="AB239" s="39"/>
      <c r="AC239" s="39"/>
    </row>
    <row r="240" spans="1:29" x14ac:dyDescent="0.35">
      <c r="A240" s="39"/>
      <c r="B240" s="1" t="s">
        <v>3359</v>
      </c>
      <c r="C240" s="585">
        <v>2</v>
      </c>
      <c r="D240" s="585"/>
      <c r="E240" s="39"/>
      <c r="F240" s="39"/>
      <c r="G240" s="39"/>
      <c r="H240" s="39"/>
      <c r="I240" s="39"/>
      <c r="J240" s="39"/>
      <c r="K240" s="39"/>
      <c r="L240" s="2557"/>
      <c r="M240" s="218"/>
      <c r="N240" s="218"/>
      <c r="O240" s="218"/>
      <c r="P240" s="218"/>
      <c r="Q240" s="218"/>
      <c r="R240" s="218"/>
      <c r="S240" s="218"/>
      <c r="T240" s="96"/>
      <c r="U240" s="2558"/>
      <c r="V240" s="39"/>
      <c r="W240" s="39"/>
      <c r="X240" s="39"/>
      <c r="Y240" s="39"/>
      <c r="Z240" s="39"/>
      <c r="AA240" s="39"/>
      <c r="AB240" s="39"/>
      <c r="AC240" s="39"/>
    </row>
    <row r="241" spans="1:29" x14ac:dyDescent="0.35">
      <c r="A241" s="39"/>
      <c r="B241" s="585"/>
      <c r="C241" s="585">
        <v>2.1</v>
      </c>
      <c r="D241" s="585"/>
      <c r="E241" s="39"/>
      <c r="F241" s="39"/>
      <c r="G241" s="39"/>
      <c r="H241" s="39"/>
      <c r="I241" s="39"/>
      <c r="J241" s="39"/>
      <c r="K241" s="39"/>
      <c r="L241" s="2557" t="s">
        <v>8</v>
      </c>
      <c r="M241" s="218" t="s">
        <v>416</v>
      </c>
      <c r="N241" s="218" t="s">
        <v>424</v>
      </c>
      <c r="O241" s="218"/>
      <c r="P241" s="218"/>
      <c r="Q241" s="218"/>
      <c r="R241" s="605"/>
      <c r="S241" s="95"/>
      <c r="T241" s="96"/>
      <c r="U241" s="2597"/>
      <c r="V241" s="39"/>
      <c r="W241" s="39"/>
      <c r="X241" s="39"/>
      <c r="Y241" s="39"/>
      <c r="Z241" s="39"/>
      <c r="AA241" s="39"/>
      <c r="AB241" s="39"/>
      <c r="AC241" s="39"/>
    </row>
    <row r="242" spans="1:29" x14ac:dyDescent="0.35">
      <c r="A242" s="39"/>
      <c r="B242" s="585"/>
      <c r="C242" s="585">
        <v>2.2000000000000002</v>
      </c>
      <c r="D242" s="585"/>
      <c r="E242" s="39"/>
      <c r="F242" s="39"/>
      <c r="G242" s="39"/>
      <c r="H242" s="39"/>
      <c r="I242" s="39"/>
      <c r="J242" s="39"/>
      <c r="K242" s="39"/>
      <c r="L242" s="2557">
        <v>2</v>
      </c>
      <c r="M242" s="218">
        <f>((((($C$244*$C$246*365.25*$C$247*($C$248-$C$249*1)/3412)-((1/$C$240*$C$244*$C$246*365.25*$C$247*($C$248-$C$249)*1)/3412))*$C$251*27%)/$C$253)*$C$254)</f>
        <v>75.026363564397741</v>
      </c>
      <c r="N242" s="218">
        <f>((((($C$244*$C$246*365.25*$C$247*($C$248-$C$249*1)/3412)-((1/$C$240*$C$244*$C$246*365.25*$C$247*($C$248-$C$249)*1)/3412))*$C$251*49%)/$C$255)*(1-$C$260))</f>
        <v>29.112934692081723</v>
      </c>
      <c r="O242" s="218"/>
      <c r="P242" s="218"/>
      <c r="Q242" s="218"/>
      <c r="R242" s="605"/>
      <c r="S242" s="95"/>
      <c r="T242" s="96"/>
      <c r="U242" s="2597"/>
      <c r="V242" s="39"/>
      <c r="W242" s="39"/>
      <c r="X242" s="39"/>
      <c r="Y242" s="39"/>
      <c r="Z242" s="39"/>
      <c r="AA242" s="39"/>
      <c r="AB242" s="39"/>
      <c r="AC242" s="39"/>
    </row>
    <row r="243" spans="1:29" ht="15" thickBot="1" x14ac:dyDescent="0.4">
      <c r="A243" s="39"/>
      <c r="B243" s="585"/>
      <c r="C243" s="585">
        <v>2.2999999999999998</v>
      </c>
      <c r="D243" s="585"/>
      <c r="E243" s="39"/>
      <c r="F243" s="39"/>
      <c r="G243" s="39"/>
      <c r="H243" s="39"/>
      <c r="I243" s="39"/>
      <c r="J243" s="39"/>
      <c r="K243" s="39"/>
      <c r="L243" s="2560">
        <v>2.1</v>
      </c>
      <c r="M243" s="2561">
        <f>((((($C$244*$C$246*365.25*$C$247*($C$248-$C$249*1)/3412)-((1/$C$241*$C$244*$C$246*365.25*$C$247*($C$248-$C$249)*1)/3412))*$C$251*27%)/$C$253)*$C$254)</f>
        <v>78.599047543654791</v>
      </c>
      <c r="N243" s="2561">
        <f>((((($C$244*$C$246*365.25*$C$247*($C$248-$C$249*1)/3412)-((1/$C$241*$C$244*$C$246*365.25*$C$247*($C$248-$C$249)*1)/3412))*$C$251*49%)/$C$255)*(1-$C$260))</f>
        <v>30.499264915514189</v>
      </c>
      <c r="O243" s="2561"/>
      <c r="P243" s="2561"/>
      <c r="Q243" s="2561"/>
      <c r="R243" s="2561"/>
      <c r="S243" s="2561"/>
      <c r="T243" s="2561"/>
      <c r="U243" s="2562"/>
      <c r="V243" s="39"/>
      <c r="W243" s="39"/>
      <c r="X243" s="39"/>
      <c r="Y243" s="39"/>
      <c r="Z243" s="39"/>
      <c r="AA243" s="39"/>
      <c r="AB243" s="39"/>
      <c r="AC243" s="39"/>
    </row>
    <row r="244" spans="1:29" ht="15" thickBot="1" x14ac:dyDescent="0.4">
      <c r="A244" s="39"/>
      <c r="B244" s="39" t="s">
        <v>454</v>
      </c>
      <c r="C244" s="39">
        <v>17.600000000000001</v>
      </c>
      <c r="D244" s="39" t="s">
        <v>455</v>
      </c>
      <c r="E244" s="39"/>
      <c r="F244" s="39"/>
      <c r="G244" s="39"/>
      <c r="H244" s="39"/>
      <c r="I244" s="39"/>
      <c r="J244" s="39"/>
      <c r="K244" s="39"/>
      <c r="L244" s="600"/>
      <c r="M244" s="600"/>
      <c r="N244" s="600"/>
      <c r="O244" s="600"/>
      <c r="P244" s="600"/>
      <c r="Q244" s="600"/>
      <c r="R244" s="600"/>
      <c r="S244" s="600"/>
      <c r="T244" s="600"/>
      <c r="U244" s="600"/>
      <c r="V244" s="600"/>
      <c r="W244" s="39"/>
      <c r="X244" s="39"/>
      <c r="Y244" s="39"/>
      <c r="Z244" s="39"/>
      <c r="AA244" s="39"/>
      <c r="AB244" s="39"/>
      <c r="AC244" s="39"/>
    </row>
    <row r="245" spans="1:29" x14ac:dyDescent="0.35">
      <c r="A245" s="39"/>
      <c r="B245" s="39" t="s">
        <v>456</v>
      </c>
      <c r="C245" s="39">
        <v>2.56</v>
      </c>
      <c r="D245" s="39" t="s">
        <v>457</v>
      </c>
      <c r="E245" s="39"/>
      <c r="F245" s="39"/>
      <c r="G245" s="39"/>
      <c r="H245" s="39"/>
      <c r="I245" s="39"/>
      <c r="J245" s="39"/>
      <c r="K245" s="39"/>
      <c r="L245" s="2563" t="s">
        <v>3362</v>
      </c>
      <c r="M245" s="2555"/>
      <c r="N245" s="2555"/>
      <c r="O245" s="2555"/>
      <c r="P245" s="2555"/>
      <c r="Q245" s="2555"/>
      <c r="R245" s="2555"/>
      <c r="S245" s="2555" t="s">
        <v>409</v>
      </c>
      <c r="T245" s="2555" t="s">
        <v>413</v>
      </c>
      <c r="U245" s="2556" t="s">
        <v>418</v>
      </c>
      <c r="V245" s="600"/>
      <c r="W245" s="39"/>
      <c r="X245" s="39"/>
      <c r="Y245" s="39"/>
      <c r="Z245" s="39"/>
      <c r="AA245" s="39"/>
      <c r="AB245" s="39"/>
      <c r="AC245" s="39"/>
    </row>
    <row r="246" spans="1:29" x14ac:dyDescent="0.35">
      <c r="A246" s="39"/>
      <c r="B246" s="39"/>
      <c r="C246" s="39">
        <v>2.1</v>
      </c>
      <c r="D246" s="39" t="s">
        <v>458</v>
      </c>
      <c r="E246" s="39"/>
      <c r="F246" s="39"/>
      <c r="G246" s="39"/>
      <c r="H246" s="39"/>
      <c r="I246" s="39"/>
      <c r="J246" s="39"/>
      <c r="K246" s="39"/>
      <c r="L246" s="2557"/>
      <c r="M246" s="218"/>
      <c r="N246" s="218"/>
      <c r="O246" s="218"/>
      <c r="P246" s="218"/>
      <c r="Q246" s="218"/>
      <c r="R246" s="218" t="s">
        <v>1</v>
      </c>
      <c r="S246" s="95">
        <f>(((1/$C$238-1/$C$240)*$C$244*$C$245*365.25*$C$247*($C$248-$C$249)*1)/3412)+M248-$N$248</f>
        <v>1661.5032411079544</v>
      </c>
      <c r="T246" s="96">
        <f>S246/2533*$C$236</f>
        <v>7.8713142097494873E-2</v>
      </c>
      <c r="U246" s="2597">
        <f>-((((($C$244*$C$245*365.25 *$C$247*($C$248-$C$249)*1)/3412)-((($C$244*$C$245*365.25*$C$247*($C$248-$C$249)*1)/3412)/$C$240))*$C$251*49%*0.03412)/$F$257)*$C$260</f>
        <v>-13.559388806655999</v>
      </c>
      <c r="V246" s="600"/>
      <c r="W246" s="39"/>
      <c r="X246" s="39"/>
      <c r="Y246" s="39"/>
      <c r="Z246" s="39"/>
      <c r="AA246" s="39"/>
      <c r="AB246" s="39"/>
      <c r="AC246" s="39"/>
    </row>
    <row r="247" spans="1:29" x14ac:dyDescent="0.35">
      <c r="A247" s="39"/>
      <c r="B247" s="39" t="s">
        <v>459</v>
      </c>
      <c r="C247" s="39">
        <v>8.33</v>
      </c>
      <c r="D247" s="39" t="s">
        <v>460</v>
      </c>
      <c r="E247" s="39"/>
      <c r="F247" s="39"/>
      <c r="G247" s="39"/>
      <c r="H247" s="39"/>
      <c r="I247" s="39"/>
      <c r="J247" s="39"/>
      <c r="K247" s="39"/>
      <c r="L247" s="2557" t="s">
        <v>1</v>
      </c>
      <c r="M247" s="218" t="s">
        <v>416</v>
      </c>
      <c r="N247" s="218" t="s">
        <v>424</v>
      </c>
      <c r="O247" s="218"/>
      <c r="P247" s="218"/>
      <c r="Q247" s="218"/>
      <c r="R247" s="218" t="s">
        <v>1</v>
      </c>
      <c r="S247" s="95">
        <f>(((1/$C$238-1/$C$241)*$C$244*$C$245*365.25*$C$247*($C$248-$C$249)*1)/3412)+$M$249-$N$249</f>
        <v>1576.5940001392637</v>
      </c>
      <c r="T247" s="96">
        <f t="shared" ref="T247:T249" si="1">S247/2533*$C$236</f>
        <v>7.4690596137667445E-2</v>
      </c>
      <c r="U247" s="2597">
        <f>-((((($C$244*$C$245*365.25 *$C$247*($C$248-$C$249)*1)/3412)-((($C$244*$C$245*365.25*$C$247*($C$248-$C$249)*1)/3412)/$C$241))*$C$251*49%*0.03412)/$F$257)*$C$260</f>
        <v>-14.205073987925335</v>
      </c>
      <c r="V247" s="600"/>
      <c r="W247" s="39"/>
      <c r="X247" s="39"/>
      <c r="Y247" s="39"/>
      <c r="Z247" s="39"/>
      <c r="AA247" s="39"/>
      <c r="AB247" s="39"/>
      <c r="AC247" s="39"/>
    </row>
    <row r="248" spans="1:29" x14ac:dyDescent="0.35">
      <c r="A248" s="39"/>
      <c r="B248" s="39" t="s">
        <v>461</v>
      </c>
      <c r="C248" s="39">
        <v>125</v>
      </c>
      <c r="D248" s="39" t="s">
        <v>462</v>
      </c>
      <c r="E248" s="39"/>
      <c r="F248" s="39"/>
      <c r="G248" s="39"/>
      <c r="H248" s="39"/>
      <c r="I248" s="39"/>
      <c r="J248" s="39"/>
      <c r="K248" s="39"/>
      <c r="L248" s="2557">
        <v>2</v>
      </c>
      <c r="M248" s="218">
        <f>((((($C$244*$C$245*365.25*$C$247*($C$248-$C$249*1)/3412)-((1/$C$240*$C$244*$C$245*365.25*$C$247*($C$248-$C$249)*1)/3412))*$C$251*27%)/$C$253)*$C$254)</f>
        <v>91.460709868980089</v>
      </c>
      <c r="N248" s="218">
        <f>((((($C$244*$C$245*365.25*$C$247*($C$248-$C$249*1)/3412)-((1/$C$240*$C$244*$C$245*365.25*$C$247*($C$248-$C$249)*1)/3412))*$C$251*49%)/$F$255)*(1-$C$260))</f>
        <v>22.268269000703402</v>
      </c>
      <c r="O248" s="218"/>
      <c r="P248" s="218"/>
      <c r="Q248" s="218"/>
      <c r="R248" s="218" t="s">
        <v>8</v>
      </c>
      <c r="S248" s="95">
        <f>(((1/$C$238-1/$C$240)*$C$244*$C$246*365.25*$C$247*($C$248-$C$249)*1)/3412)+M253-N253</f>
        <v>1362.9518774713692</v>
      </c>
      <c r="T248" s="96">
        <f t="shared" si="1"/>
        <v>6.4569374376851285E-2</v>
      </c>
      <c r="U248" s="2597">
        <f>-((((($C$244*$C$246*365.25 *$C$247*($C$248-$C$249)*1)/3412)-((($C$244*$C$246*365.25*$C$247*($C$248-$C$249)*1)/3412)/$C$240))*$C$251*49%*0.03412)/$F$257)*$C$260</f>
        <v>-11.122936130460003</v>
      </c>
      <c r="V248" s="600"/>
      <c r="W248" s="39"/>
      <c r="X248" s="39"/>
      <c r="Y248" s="39"/>
      <c r="Z248" s="39"/>
      <c r="AA248" s="39"/>
      <c r="AB248" s="39"/>
      <c r="AC248" s="39"/>
    </row>
    <row r="249" spans="1:29" x14ac:dyDescent="0.35">
      <c r="A249" s="39"/>
      <c r="B249" s="39" t="s">
        <v>463</v>
      </c>
      <c r="C249" s="39">
        <v>54</v>
      </c>
      <c r="D249" s="39" t="s">
        <v>464</v>
      </c>
      <c r="E249" s="39"/>
      <c r="F249" s="39"/>
      <c r="G249" s="39"/>
      <c r="H249" s="39"/>
      <c r="I249" s="39"/>
      <c r="J249" s="39"/>
      <c r="K249" s="39"/>
      <c r="L249" s="2557">
        <v>2.1</v>
      </c>
      <c r="M249" s="218">
        <f>((((($C$244*$C$245*365.25*$C$247*($C$248-$C$249*1)/3412)-((1/$C$241*$C$244*$C$245*365.25*$C$247*($C$248-$C$249)*1)/3412))*$C$251*27%)/$C$253)*$C$254)</f>
        <v>95.815981767502947</v>
      </c>
      <c r="N249" s="246">
        <f>((((($C$244*$C$245*365.25*$C$247*($C$248-$C$249*1)/3412)-((1/$C$241*$C$244*$C$245*365.25*$C$247*($C$248-$C$249)*1)/3412))*$C$251*49%)/$F$255)*(1-$C$258))</f>
        <v>179.45125202032042</v>
      </c>
      <c r="O249" s="218"/>
      <c r="P249" s="218"/>
      <c r="Q249" s="218"/>
      <c r="R249" s="218" t="s">
        <v>8</v>
      </c>
      <c r="S249" s="95">
        <f>(((1/$C$238-1/$C$240)*$C$244*$C$246*365.25*$C$247*($C$248-$C$249)*1)/3412)+M254-N254</f>
        <v>1365.654707192786</v>
      </c>
      <c r="T249" s="96">
        <f t="shared" si="1"/>
        <v>6.4697420001237391E-2</v>
      </c>
      <c r="U249" s="2597">
        <f>-((((($C$244*$C$246*365.25 *$C$247*($C$248-$C$249)*1)/3412)-((($C$244*$C$246*365.25*$C$247*($C$248-$C$249)*1)/3412)/$C$241))*$C$251*49%*0.03412)/$F$257)*$C$260</f>
        <v>-11.652599755720001</v>
      </c>
      <c r="V249" s="600"/>
      <c r="W249" s="39"/>
      <c r="X249" s="39"/>
      <c r="Y249" s="39"/>
      <c r="Z249" s="39"/>
      <c r="AA249" s="39"/>
      <c r="AB249" s="39"/>
      <c r="AC249" s="39"/>
    </row>
    <row r="250" spans="1:29" x14ac:dyDescent="0.35">
      <c r="A250" s="39"/>
      <c r="B250" s="47" t="s">
        <v>465</v>
      </c>
      <c r="C250" s="47">
        <v>1</v>
      </c>
      <c r="D250" s="47" t="s">
        <v>466</v>
      </c>
      <c r="E250" s="39"/>
      <c r="F250" s="39"/>
      <c r="G250" s="39"/>
      <c r="H250" s="39"/>
      <c r="I250" s="39"/>
      <c r="J250" s="39"/>
      <c r="K250" s="39"/>
      <c r="L250" s="2557">
        <v>2.2999999999999998</v>
      </c>
      <c r="M250" s="218">
        <f>((((($C$244*$C$245*365.25*$C$247*($C$248-$C$249*1)/3412)-((1/$C$243*$C$244*$C$245*365.25*$C$247*($C$248-$C$249)*1)/3412))*$C$250*27%)/$C$253)*$C$254)</f>
        <v>206.78073535595499</v>
      </c>
      <c r="N250" s="218">
        <f>((((($C$244*$C$245*365.25*$C$247*($C$248-$C$249*1)/3412)-((1/$C$243*$C$244*$C$245*365.25*$C$247*($C$248-$C$249)*1)/3412))*$C$250*49%)/$F$255)*(1-$C$260))</f>
        <v>50.345651653764207</v>
      </c>
      <c r="O250" s="218"/>
      <c r="P250" s="218"/>
      <c r="Q250" s="218"/>
      <c r="R250" s="605"/>
      <c r="S250" s="95"/>
      <c r="T250" s="218"/>
      <c r="U250" s="2597">
        <f>-((((($C$244*$C$245*365.25 *$C$247*($C$248-$C$249)*1)/3412)-((($C$244*$C$245*365.25*$C$247*($C$248-$C$249)*1)/3412)/$C$240))*$C$250*49%*0.03412)/$F$257)*$C$258</f>
        <v>0</v>
      </c>
      <c r="V250" s="600"/>
      <c r="W250" s="39"/>
      <c r="X250" s="39"/>
      <c r="Y250" s="39"/>
      <c r="Z250" s="39"/>
      <c r="AA250" s="39"/>
      <c r="AB250" s="39"/>
      <c r="AC250" s="39"/>
    </row>
    <row r="251" spans="1:29" x14ac:dyDescent="0.35">
      <c r="A251" s="39"/>
      <c r="B251" s="47"/>
      <c r="C251" s="47">
        <v>0.5</v>
      </c>
      <c r="D251" s="47" t="s">
        <v>469</v>
      </c>
      <c r="E251" s="39"/>
      <c r="F251" s="39"/>
      <c r="G251" s="39"/>
      <c r="H251" s="39"/>
      <c r="I251" s="39"/>
      <c r="J251" s="39"/>
      <c r="K251" s="39"/>
      <c r="L251" s="2557"/>
      <c r="M251" s="218"/>
      <c r="N251" s="218"/>
      <c r="O251" s="218"/>
      <c r="P251" s="218"/>
      <c r="Q251" s="218"/>
      <c r="R251" s="218"/>
      <c r="S251" s="218"/>
      <c r="T251" s="96"/>
      <c r="U251" s="2558"/>
      <c r="V251" s="600"/>
      <c r="W251" s="39"/>
      <c r="X251" s="39"/>
      <c r="Y251" s="39"/>
      <c r="Z251" s="39"/>
      <c r="AA251" s="39"/>
      <c r="AB251" s="39"/>
      <c r="AC251" s="39"/>
    </row>
    <row r="252" spans="1:29" x14ac:dyDescent="0.35">
      <c r="A252" s="39"/>
      <c r="B252" s="47"/>
      <c r="C252" s="47">
        <v>0</v>
      </c>
      <c r="D252" s="47" t="s">
        <v>471</v>
      </c>
      <c r="E252" s="40"/>
      <c r="F252" s="39"/>
      <c r="G252" s="39"/>
      <c r="H252" s="39"/>
      <c r="I252" s="39"/>
      <c r="J252" s="39"/>
      <c r="K252" s="39"/>
      <c r="L252" s="2557" t="s">
        <v>8</v>
      </c>
      <c r="M252" s="218" t="s">
        <v>416</v>
      </c>
      <c r="N252" s="218" t="s">
        <v>424</v>
      </c>
      <c r="O252" s="218"/>
      <c r="P252" s="218"/>
      <c r="Q252" s="218"/>
      <c r="R252" s="605"/>
      <c r="S252" s="95"/>
      <c r="T252" s="96"/>
      <c r="U252" s="2597"/>
      <c r="V252" s="600"/>
      <c r="W252" s="39"/>
      <c r="X252" s="39"/>
      <c r="Y252" s="39"/>
      <c r="Z252" s="39"/>
      <c r="AA252" s="39"/>
      <c r="AB252" s="39"/>
      <c r="AC252" s="39"/>
    </row>
    <row r="253" spans="1:29" x14ac:dyDescent="0.35">
      <c r="A253" s="39"/>
      <c r="B253" s="1" t="s">
        <v>473</v>
      </c>
      <c r="C253" s="2596">
        <v>2.8</v>
      </c>
      <c r="D253" s="40"/>
      <c r="E253" s="40"/>
      <c r="F253" s="39"/>
      <c r="G253" s="39"/>
      <c r="H253" s="39"/>
      <c r="I253" s="39"/>
      <c r="J253" s="39"/>
      <c r="K253" s="39"/>
      <c r="L253" s="2557">
        <v>2</v>
      </c>
      <c r="M253" s="218">
        <f>((((($C$244*$C$246*365.25*$C$247*($C$248-$C$249*1)/3412)-((1/$C$240*$C$244*$C$246*365.25*$C$247*($C$248-$C$249)*1)/3412))*$C$251*27%)/$C$253)*$C$254)</f>
        <v>75.026363564397741</v>
      </c>
      <c r="N253" s="218">
        <f>((((($C$244*$C$246*365.25*$C$247*($C$248-$C$249*1)/3412)-((1/$C$240*$C$244*$C$246*365.25*$C$247*($C$248-$C$249)*1)/3412))*$C$251*49%)/$F$255)*(1-$C$260))</f>
        <v>18.266939414639509</v>
      </c>
      <c r="O253" s="218"/>
      <c r="P253" s="218"/>
      <c r="Q253" s="218"/>
      <c r="R253" s="605"/>
      <c r="S253" s="95"/>
      <c r="T253" s="96"/>
      <c r="U253" s="2597"/>
      <c r="V253" s="600"/>
      <c r="W253" s="39"/>
      <c r="X253" s="39"/>
      <c r="Y253" s="39"/>
      <c r="Z253" s="39"/>
      <c r="AA253" s="39"/>
      <c r="AB253" s="39"/>
      <c r="AC253" s="39"/>
    </row>
    <row r="254" spans="1:29" ht="15" thickBot="1" x14ac:dyDescent="0.4">
      <c r="A254" s="39"/>
      <c r="B254" s="40" t="s">
        <v>474</v>
      </c>
      <c r="C254" s="40">
        <v>1.33</v>
      </c>
      <c r="D254" s="40" t="s">
        <v>475</v>
      </c>
      <c r="E254" s="40"/>
      <c r="F254" s="39"/>
      <c r="G254" s="39"/>
      <c r="H254" s="39"/>
      <c r="I254" s="39"/>
      <c r="J254" s="39"/>
      <c r="K254" s="39"/>
      <c r="L254" s="2560">
        <v>2.1</v>
      </c>
      <c r="M254" s="2561">
        <f>((((($C$244*$C$246*365.25*$C$247*($C$248-$C$249*1)/3412)-((1/$C$241*$C$244*$C$246*365.25*$C$247*($C$248-$C$249)*1)/3412))*$C$251*27%)/$C$253)*$C$254)</f>
        <v>78.599047543654791</v>
      </c>
      <c r="N254" s="2561">
        <f>((((($C$244*$C$246*365.25*$C$247*($C$248-$C$249*1)/3412)-((1/$C$241*$C$244*$C$246*365.25*$C$247*($C$248-$C$249)*1)/3412))*$C$251*49%)/$F$255)*(1-$C$260))</f>
        <v>19.136793672479488</v>
      </c>
      <c r="O254" s="2561"/>
      <c r="P254" s="2561"/>
      <c r="Q254" s="2561"/>
      <c r="R254" s="2561"/>
      <c r="S254" s="2561"/>
      <c r="T254" s="2561"/>
      <c r="U254" s="2562"/>
      <c r="V254" s="600"/>
      <c r="W254" s="39"/>
      <c r="X254" s="39"/>
      <c r="Y254" s="39"/>
      <c r="Z254" s="39"/>
      <c r="AA254" s="39"/>
      <c r="AB254" s="39"/>
      <c r="AC254" s="39"/>
    </row>
    <row r="255" spans="1:29" x14ac:dyDescent="0.35">
      <c r="A255" s="39"/>
      <c r="B255" s="40" t="s">
        <v>445</v>
      </c>
      <c r="C255" s="98">
        <f>O273</f>
        <v>1.28</v>
      </c>
      <c r="D255" s="40" t="s">
        <v>453</v>
      </c>
      <c r="E255" s="40"/>
      <c r="F255" s="1">
        <v>2.04</v>
      </c>
      <c r="G255" s="1" t="s">
        <v>3363</v>
      </c>
      <c r="H255" s="39"/>
      <c r="I255" s="39"/>
      <c r="J255" s="39"/>
      <c r="K255" s="39"/>
      <c r="L255" s="600"/>
      <c r="M255" s="600"/>
      <c r="N255" s="600"/>
      <c r="O255" s="600"/>
      <c r="P255" s="600"/>
      <c r="Q255" s="600"/>
      <c r="R255" s="600"/>
      <c r="S255" s="600"/>
      <c r="T255" s="600"/>
      <c r="U255" s="600"/>
      <c r="V255" s="600"/>
      <c r="W255" s="39"/>
      <c r="X255" s="39"/>
      <c r="Y255" s="39"/>
      <c r="Z255" s="39"/>
      <c r="AA255" s="39"/>
      <c r="AB255" s="39"/>
      <c r="AC255" s="39"/>
    </row>
    <row r="256" spans="1:29" x14ac:dyDescent="0.35">
      <c r="A256" s="39"/>
      <c r="B256" s="40" t="s">
        <v>476</v>
      </c>
      <c r="C256" s="40">
        <v>2533</v>
      </c>
      <c r="D256" s="40"/>
      <c r="E256" s="40"/>
      <c r="F256" s="39"/>
      <c r="G256" s="39"/>
      <c r="H256" s="39"/>
      <c r="I256" s="39"/>
      <c r="J256" s="39"/>
      <c r="K256" s="39"/>
      <c r="L256" s="600"/>
      <c r="M256" s="600"/>
      <c r="N256" s="600"/>
      <c r="O256" s="600"/>
      <c r="P256" s="600"/>
      <c r="Q256" s="600"/>
      <c r="R256" s="600"/>
      <c r="S256" s="600"/>
      <c r="T256" s="600"/>
      <c r="U256" s="600"/>
      <c r="V256" s="600"/>
      <c r="W256" s="39"/>
      <c r="X256" s="39"/>
      <c r="Y256" s="39"/>
      <c r="Z256" s="39"/>
      <c r="AA256" s="39"/>
      <c r="AB256" s="39"/>
      <c r="AC256" s="39"/>
    </row>
    <row r="257" spans="1:29" x14ac:dyDescent="0.35">
      <c r="A257" s="39"/>
      <c r="B257" s="40" t="s">
        <v>296</v>
      </c>
      <c r="C257" s="99">
        <v>0.7</v>
      </c>
      <c r="D257" s="40" t="s">
        <v>477</v>
      </c>
      <c r="E257" s="40"/>
      <c r="F257" s="2598">
        <v>0.76500000000000001</v>
      </c>
      <c r="G257" s="1" t="s">
        <v>3363</v>
      </c>
      <c r="H257" s="39"/>
      <c r="I257" s="39"/>
      <c r="J257" s="39"/>
      <c r="K257" s="39"/>
      <c r="L257" s="600"/>
      <c r="M257" s="600"/>
      <c r="N257" s="600"/>
      <c r="O257" s="600"/>
      <c r="P257" s="600"/>
      <c r="Q257" s="600"/>
      <c r="R257" s="600"/>
      <c r="S257" s="600"/>
      <c r="T257" s="600"/>
      <c r="U257" s="600"/>
      <c r="V257" s="600"/>
      <c r="W257" s="39"/>
      <c r="X257" s="39"/>
      <c r="Y257" s="39"/>
      <c r="Z257" s="39"/>
      <c r="AA257" s="39"/>
      <c r="AB257" s="39"/>
      <c r="AC257" s="39"/>
    </row>
    <row r="258" spans="1:29" x14ac:dyDescent="0.35">
      <c r="A258" s="39"/>
      <c r="B258" s="40" t="s">
        <v>478</v>
      </c>
      <c r="C258" s="99">
        <v>0</v>
      </c>
      <c r="D258" s="40" t="s">
        <v>479</v>
      </c>
      <c r="E258" s="40"/>
      <c r="F258" s="40"/>
      <c r="G258" s="40"/>
      <c r="H258" s="39"/>
      <c r="I258" s="39"/>
      <c r="J258" s="39"/>
      <c r="K258" s="39"/>
      <c r="L258" s="600"/>
      <c r="M258" s="600"/>
      <c r="N258" s="600"/>
      <c r="O258" s="600"/>
      <c r="P258" s="600"/>
      <c r="Q258" s="600"/>
      <c r="R258" s="600"/>
      <c r="S258" s="600"/>
      <c r="T258" s="600"/>
      <c r="U258" s="600"/>
      <c r="V258" s="600"/>
      <c r="W258" s="39"/>
      <c r="X258" s="39"/>
      <c r="Y258" s="39"/>
      <c r="Z258" s="39"/>
      <c r="AA258" s="39"/>
      <c r="AB258" s="39"/>
      <c r="AC258" s="39"/>
    </row>
    <row r="259" spans="1:29" x14ac:dyDescent="0.35">
      <c r="A259" s="39"/>
      <c r="B259" s="40"/>
      <c r="C259" s="99">
        <v>1</v>
      </c>
      <c r="D259" s="40" t="s">
        <v>480</v>
      </c>
      <c r="E259" s="40"/>
      <c r="F259" s="40"/>
      <c r="G259" s="40"/>
      <c r="H259" s="39"/>
      <c r="I259" s="39"/>
      <c r="J259" s="39"/>
      <c r="K259" s="39"/>
      <c r="L259" s="600"/>
      <c r="M259" s="600"/>
      <c r="N259" s="600"/>
      <c r="O259" s="600"/>
      <c r="P259" s="600"/>
      <c r="Q259" s="600"/>
      <c r="R259" s="600"/>
      <c r="S259" s="600"/>
      <c r="T259" s="600"/>
      <c r="U259" s="600"/>
      <c r="V259" s="600"/>
      <c r="W259" s="39"/>
      <c r="X259" s="39"/>
      <c r="Y259" s="39"/>
      <c r="Z259" s="39"/>
      <c r="AA259" s="39"/>
      <c r="AB259" s="39"/>
      <c r="AC259" s="39"/>
    </row>
    <row r="260" spans="1:29" x14ac:dyDescent="0.35">
      <c r="C260" s="99">
        <v>0.87</v>
      </c>
      <c r="D260" s="40" t="s">
        <v>481</v>
      </c>
      <c r="E260" s="40"/>
      <c r="L260" s="600"/>
      <c r="M260" s="600"/>
      <c r="N260" s="600"/>
      <c r="O260" s="600"/>
      <c r="P260" s="600"/>
      <c r="Q260" s="600"/>
      <c r="R260" s="600"/>
      <c r="S260" s="600"/>
      <c r="T260" s="600"/>
      <c r="U260" s="600"/>
      <c r="V260" s="600"/>
    </row>
    <row r="261" spans="1:29" x14ac:dyDescent="0.35">
      <c r="L261" s="600"/>
      <c r="M261" s="600"/>
      <c r="N261" s="600"/>
      <c r="O261" s="600"/>
      <c r="P261" s="600"/>
      <c r="Q261" s="600"/>
      <c r="R261" s="600"/>
      <c r="S261" s="600"/>
      <c r="T261" s="600"/>
      <c r="U261" s="600"/>
      <c r="V261" s="600"/>
    </row>
    <row r="262" spans="1:29" x14ac:dyDescent="0.35">
      <c r="L262" s="600"/>
      <c r="M262" s="600"/>
      <c r="N262" s="600"/>
      <c r="O262" s="600"/>
      <c r="P262" s="600"/>
      <c r="Q262" s="600"/>
      <c r="R262" s="600"/>
      <c r="S262" s="600"/>
      <c r="T262" s="600"/>
      <c r="U262" s="600"/>
      <c r="V262" s="600"/>
    </row>
    <row r="263" spans="1:29" x14ac:dyDescent="0.35">
      <c r="L263" s="600"/>
      <c r="M263" s="600"/>
      <c r="N263" s="600"/>
      <c r="O263" s="600"/>
      <c r="P263" s="600"/>
      <c r="Q263" s="600"/>
      <c r="R263" s="600"/>
      <c r="S263" s="600"/>
      <c r="T263" s="600"/>
      <c r="U263" s="600"/>
      <c r="V263" s="600"/>
    </row>
    <row r="264" spans="1:29" x14ac:dyDescent="0.35">
      <c r="L264" s="600"/>
      <c r="M264" s="600"/>
      <c r="N264" s="600"/>
      <c r="O264" s="600"/>
      <c r="P264" s="600"/>
      <c r="Q264" s="600"/>
      <c r="R264" s="600"/>
      <c r="S264" s="600"/>
      <c r="T264" s="600"/>
      <c r="U264" s="600"/>
      <c r="V264" s="600"/>
    </row>
    <row r="265" spans="1:29" x14ac:dyDescent="0.35">
      <c r="L265" s="39"/>
      <c r="M265" s="39"/>
      <c r="N265" s="39"/>
      <c r="O265" s="39"/>
      <c r="P265" s="39"/>
      <c r="Q265" s="39"/>
      <c r="R265" s="39"/>
      <c r="S265" s="39"/>
      <c r="T265" s="39"/>
      <c r="U265" s="39"/>
      <c r="V265" s="39"/>
    </row>
    <row r="266" spans="1:29" x14ac:dyDescent="0.35">
      <c r="L266" s="39"/>
      <c r="M266" s="39"/>
      <c r="N266" s="39"/>
      <c r="O266" s="39"/>
      <c r="P266" s="39"/>
      <c r="Q266" s="39"/>
      <c r="R266" s="39" t="s">
        <v>1736</v>
      </c>
      <c r="S266" s="39"/>
      <c r="T266" s="39"/>
      <c r="U266" s="39"/>
      <c r="V266" s="39"/>
    </row>
    <row r="267" spans="1:29" x14ac:dyDescent="0.35">
      <c r="L267" s="39" t="s">
        <v>1735</v>
      </c>
      <c r="M267" s="39"/>
      <c r="N267" s="39"/>
      <c r="O267" s="39" t="s">
        <v>1940</v>
      </c>
      <c r="P267" s="39"/>
      <c r="Q267" s="39"/>
      <c r="R267" s="39"/>
      <c r="S267" s="39"/>
      <c r="T267" s="39"/>
      <c r="U267" s="39"/>
      <c r="V267" s="39"/>
    </row>
    <row r="268" spans="1:29" ht="15.5" x14ac:dyDescent="0.35">
      <c r="L268" s="92" t="s">
        <v>442</v>
      </c>
      <c r="M268" s="92" t="s">
        <v>443</v>
      </c>
      <c r="N268" s="92" t="s">
        <v>444</v>
      </c>
      <c r="O268" s="92" t="s">
        <v>445</v>
      </c>
      <c r="P268" s="39" t="s">
        <v>408</v>
      </c>
      <c r="Q268" s="39"/>
      <c r="R268" s="39"/>
      <c r="S268" s="39"/>
      <c r="T268" s="39"/>
      <c r="U268" s="39"/>
      <c r="V268" s="39"/>
    </row>
    <row r="269" spans="1:29" x14ac:dyDescent="0.35">
      <c r="L269" s="2932" t="s">
        <v>447</v>
      </c>
      <c r="M269" s="41" t="s">
        <v>448</v>
      </c>
      <c r="N269" s="41">
        <v>6.8</v>
      </c>
      <c r="O269" s="610">
        <f>N269/3.413*0.85</f>
        <v>1.6935247582771755</v>
      </c>
      <c r="P269" s="85">
        <v>0.9</v>
      </c>
      <c r="Q269" s="39"/>
      <c r="R269" s="39"/>
      <c r="S269" s="39"/>
      <c r="T269" s="39"/>
      <c r="U269" s="39"/>
      <c r="V269" s="39"/>
    </row>
    <row r="270" spans="1:29" x14ac:dyDescent="0.35">
      <c r="L270" s="2933"/>
      <c r="M270" s="41" t="s">
        <v>450</v>
      </c>
      <c r="N270" s="41">
        <v>7.7</v>
      </c>
      <c r="O270" s="610">
        <f t="shared" ref="O270:O271" si="2">N270/3.413*0.85</f>
        <v>1.9176677409903311</v>
      </c>
      <c r="P270" s="85">
        <v>0.1</v>
      </c>
      <c r="Q270" s="39"/>
      <c r="R270" s="39"/>
      <c r="T270" s="39"/>
      <c r="U270" s="39"/>
      <c r="V270" s="39"/>
    </row>
    <row r="271" spans="1:29" x14ac:dyDescent="0.35">
      <c r="L271" s="2934"/>
      <c r="M271" s="41" t="s">
        <v>451</v>
      </c>
      <c r="N271" s="41">
        <v>8.1999999999999993</v>
      </c>
      <c r="O271" s="610">
        <f t="shared" si="2"/>
        <v>2.0421916202754176</v>
      </c>
      <c r="P271" s="85">
        <v>0</v>
      </c>
      <c r="Q271" s="39"/>
      <c r="R271" s="39"/>
      <c r="S271" s="39"/>
      <c r="T271" s="39"/>
      <c r="U271" s="39"/>
      <c r="V271" s="39"/>
    </row>
    <row r="272" spans="1:29" x14ac:dyDescent="0.35">
      <c r="L272" s="41" t="s">
        <v>452</v>
      </c>
      <c r="M272" s="41" t="s">
        <v>304</v>
      </c>
      <c r="N272" s="41" t="s">
        <v>304</v>
      </c>
      <c r="O272" s="610">
        <v>1</v>
      </c>
      <c r="P272" s="85">
        <v>0</v>
      </c>
      <c r="Q272" s="39"/>
      <c r="R272" s="39"/>
      <c r="S272" s="39"/>
      <c r="T272" s="39"/>
      <c r="U272" s="39"/>
      <c r="V272" s="39"/>
    </row>
    <row r="273" spans="12:22" x14ac:dyDescent="0.35">
      <c r="L273" s="41" t="s">
        <v>453</v>
      </c>
      <c r="M273" s="41" t="s">
        <v>304</v>
      </c>
      <c r="N273" s="41" t="s">
        <v>304</v>
      </c>
      <c r="O273" s="610">
        <v>1.28</v>
      </c>
      <c r="P273" s="85">
        <f>SUMPRODUCT(O269:O272,P269:P272)</f>
        <v>1.7159390565484911</v>
      </c>
      <c r="Q273" s="39"/>
      <c r="R273" s="39"/>
      <c r="S273" s="39"/>
      <c r="T273" s="39"/>
      <c r="U273" s="39"/>
      <c r="V273" s="39"/>
    </row>
    <row r="274" spans="12:22" x14ac:dyDescent="0.35">
      <c r="L274" s="39"/>
      <c r="M274" s="39"/>
      <c r="N274" s="39"/>
      <c r="O274" s="39"/>
      <c r="P274" s="39"/>
      <c r="Q274" s="39"/>
      <c r="R274" s="39"/>
      <c r="S274" s="39"/>
      <c r="T274" s="39"/>
      <c r="U274" s="39"/>
      <c r="V274" s="39"/>
    </row>
    <row r="275" spans="12:22" x14ac:dyDescent="0.35">
      <c r="L275" s="39"/>
      <c r="M275" s="39"/>
      <c r="N275" s="39"/>
      <c r="O275" s="39"/>
      <c r="P275" s="39"/>
      <c r="Q275" s="39"/>
      <c r="R275" s="39"/>
      <c r="S275" s="39"/>
      <c r="T275" s="39"/>
      <c r="U275" s="39"/>
      <c r="V275" s="39"/>
    </row>
    <row r="276" spans="12:22" x14ac:dyDescent="0.35">
      <c r="L276" s="39"/>
      <c r="M276" s="39"/>
      <c r="N276" s="39"/>
      <c r="O276" s="93"/>
      <c r="P276" s="93"/>
      <c r="Q276" s="94"/>
      <c r="R276" s="95"/>
      <c r="S276" s="91"/>
      <c r="T276" s="96"/>
      <c r="U276" s="96"/>
      <c r="V276" s="39"/>
    </row>
    <row r="277" spans="12:22" x14ac:dyDescent="0.35">
      <c r="L277" s="39"/>
      <c r="M277" s="39"/>
      <c r="N277" s="39"/>
      <c r="O277" s="93"/>
      <c r="P277" s="93"/>
      <c r="Q277" s="94"/>
      <c r="R277" s="95"/>
      <c r="S277" s="91"/>
      <c r="T277" s="91"/>
      <c r="U277" s="96"/>
      <c r="V277" s="39"/>
    </row>
    <row r="278" spans="12:22" x14ac:dyDescent="0.35">
      <c r="L278" s="39"/>
      <c r="M278" s="39"/>
      <c r="N278" s="39"/>
      <c r="O278" s="93"/>
      <c r="P278" s="93"/>
      <c r="Q278" s="94"/>
      <c r="R278" s="95"/>
      <c r="S278" s="91"/>
      <c r="T278" s="91"/>
      <c r="U278" s="39"/>
      <c r="V278" s="39"/>
    </row>
    <row r="279" spans="12:22" x14ac:dyDescent="0.35">
      <c r="L279" s="39"/>
      <c r="M279" s="39"/>
      <c r="N279" s="39"/>
      <c r="O279" s="39"/>
      <c r="P279" s="39"/>
      <c r="Q279" s="39"/>
      <c r="R279" s="39"/>
      <c r="S279" s="39"/>
      <c r="T279" s="91"/>
      <c r="U279" s="39"/>
      <c r="V279" s="39"/>
    </row>
    <row r="280" spans="12:22" x14ac:dyDescent="0.35">
      <c r="L280" s="39"/>
      <c r="M280" s="39"/>
      <c r="N280" s="39"/>
      <c r="O280" s="39"/>
      <c r="P280" s="39"/>
      <c r="Q280" s="39"/>
      <c r="R280" s="39"/>
      <c r="S280" s="39"/>
      <c r="T280" s="39"/>
      <c r="U280" s="39"/>
      <c r="V280" s="39"/>
    </row>
  </sheetData>
  <mergeCells count="1">
    <mergeCell ref="L269:L271"/>
  </mergeCells>
  <pageMargins left="0.7" right="0.7" top="0.75" bottom="0.75" header="0.3" footer="0.3"/>
  <pageSetup scale="28" fitToHeight="2" orientation="portrait" r:id="rId1"/>
  <headerFooter>
    <oddHeader>&amp;LAppendix G (Rev.)&amp;CRes DHW</oddHead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V684"/>
  <sheetViews>
    <sheetView topLeftCell="A2" workbookViewId="0">
      <selection activeCell="A2" sqref="A2"/>
    </sheetView>
  </sheetViews>
  <sheetFormatPr defaultColWidth="9.1796875" defaultRowHeight="11.5" x14ac:dyDescent="0.25"/>
  <cols>
    <col min="1" max="1" width="93.453125" style="1978" customWidth="1"/>
    <col min="2" max="2" width="18.81640625" style="1969" customWidth="1"/>
    <col min="3" max="4" width="17.26953125" style="1970" customWidth="1"/>
    <col min="5" max="5" width="17.26953125" style="1971" customWidth="1"/>
    <col min="6" max="6" width="18.81640625" style="1970" customWidth="1"/>
    <col min="7" max="12" width="17.26953125" style="1972" customWidth="1"/>
    <col min="13" max="16" width="17.26953125" style="1970" hidden="1" customWidth="1"/>
    <col min="17" max="20" width="17.26953125" style="1972" hidden="1" customWidth="1"/>
    <col min="21" max="24" width="17.26953125" style="1971" hidden="1" customWidth="1"/>
    <col min="25" max="28" width="17.26953125" style="1972" customWidth="1"/>
    <col min="29" max="29" width="17.26953125" style="1970" customWidth="1"/>
    <col min="30" max="32" width="17.26953125" style="1971" customWidth="1"/>
    <col min="33" max="33" width="17.26953125" style="1970" customWidth="1"/>
    <col min="34" max="36" width="17.26953125" style="1971" customWidth="1"/>
    <col min="37" max="37" width="17.26953125" style="1970" customWidth="1"/>
    <col min="38" max="40" width="17.26953125" style="1971" customWidth="1"/>
    <col min="41" max="41" width="20.1796875" style="1970" customWidth="1"/>
    <col min="42" max="44" width="17.26953125" style="1971" customWidth="1"/>
    <col min="45" max="45" width="14.81640625" style="1973" customWidth="1"/>
    <col min="46" max="46" width="16" style="1973" customWidth="1"/>
    <col min="47" max="47" width="13.453125" style="1973" customWidth="1"/>
    <col min="48" max="52" width="12.26953125" style="1973" customWidth="1"/>
    <col min="53" max="56" width="14.453125" style="1973" customWidth="1"/>
    <col min="57" max="57" width="14.54296875" style="1973" customWidth="1"/>
    <col min="58" max="59" width="13.453125" style="1973" customWidth="1"/>
    <col min="60" max="60" width="15.26953125" style="1973" customWidth="1"/>
    <col min="61" max="63" width="12.26953125" style="1973" customWidth="1"/>
    <col min="64" max="64" width="12.453125" style="1973" customWidth="1"/>
    <col min="65" max="68" width="13.54296875" style="1973" hidden="1" customWidth="1"/>
    <col min="69" max="72" width="12" style="1973" hidden="1" customWidth="1"/>
    <col min="73" max="73" width="13" style="1973" hidden="1" customWidth="1"/>
    <col min="74" max="74" width="13.54296875" style="1973" hidden="1" customWidth="1"/>
    <col min="75" max="75" width="13.81640625" style="1973" hidden="1" customWidth="1"/>
    <col min="76" max="77" width="12" style="1973" hidden="1" customWidth="1"/>
    <col min="78" max="78" width="12.1796875" style="1973" hidden="1" customWidth="1"/>
    <col min="79" max="83" width="9.1796875" style="1973" hidden="1" customWidth="1"/>
    <col min="84" max="84" width="12" style="1973" hidden="1" customWidth="1"/>
    <col min="85" max="86" width="9.1796875" style="1973" hidden="1" customWidth="1"/>
    <col min="87" max="87" width="9.1796875" style="1974" hidden="1" customWidth="1"/>
    <col min="88" max="89" width="11" style="1974" hidden="1" customWidth="1"/>
    <col min="90" max="90" width="10" style="1974" hidden="1" customWidth="1"/>
    <col min="91" max="91" width="13.26953125" style="1974" hidden="1" customWidth="1"/>
    <col min="92" max="92" width="10" style="1974" hidden="1" customWidth="1"/>
    <col min="93" max="93" width="13.54296875" style="1974" hidden="1" customWidth="1"/>
    <col min="94" max="94" width="13.453125" style="1975" hidden="1" customWidth="1"/>
    <col min="95" max="96" width="13.54296875" style="1975" hidden="1" customWidth="1"/>
    <col min="97" max="97" width="10.54296875" style="1975" hidden="1" customWidth="1"/>
    <col min="98" max="99" width="11.54296875" style="1975" hidden="1" customWidth="1"/>
    <col min="100" max="101" width="9.1796875" style="1973" hidden="1" customWidth="1"/>
    <col min="102" max="102" width="10.54296875" style="1976" customWidth="1"/>
    <col min="103" max="105" width="10.54296875" style="1973" customWidth="1"/>
    <col min="106" max="106" width="9.1796875" style="1976" hidden="1" customWidth="1"/>
    <col min="107" max="109" width="9.1796875" style="1973" hidden="1" customWidth="1"/>
    <col min="110" max="110" width="12" style="1976" hidden="1" customWidth="1"/>
    <col min="111" max="111" width="11" style="1973" hidden="1" customWidth="1"/>
    <col min="112" max="112" width="12" style="1973" hidden="1" customWidth="1"/>
    <col min="113" max="113" width="11" style="1973" hidden="1" customWidth="1"/>
    <col min="114" max="114" width="12" style="1976" hidden="1" customWidth="1"/>
    <col min="115" max="117" width="9.1796875" style="1973" hidden="1" customWidth="1"/>
    <col min="118" max="118" width="9.1796875" style="1977" hidden="1" customWidth="1"/>
    <col min="119" max="150" width="9.1796875" style="1973" customWidth="1"/>
    <col min="151" max="16384" width="9.1796875" style="1973"/>
  </cols>
  <sheetData>
    <row r="1" spans="1:152" ht="24" hidden="1" customHeight="1" x14ac:dyDescent="0.25">
      <c r="A1" s="1968"/>
    </row>
    <row r="2" spans="1:152" s="1988" customFormat="1" ht="48" customHeight="1" x14ac:dyDescent="0.25">
      <c r="A2" s="1978"/>
      <c r="B2" s="1979" t="s">
        <v>2812</v>
      </c>
      <c r="C2" s="1980" t="s">
        <v>60</v>
      </c>
      <c r="D2" s="1980" t="s">
        <v>61</v>
      </c>
      <c r="E2" s="1981" t="s">
        <v>62</v>
      </c>
      <c r="F2" s="1980" t="s">
        <v>63</v>
      </c>
      <c r="G2" s="1982" t="s">
        <v>2813</v>
      </c>
      <c r="H2" s="1982" t="s">
        <v>2814</v>
      </c>
      <c r="I2" s="2938" t="s">
        <v>66</v>
      </c>
      <c r="J2" s="2939"/>
      <c r="K2" s="2939"/>
      <c r="L2" s="2940"/>
      <c r="M2" s="2935" t="s">
        <v>67</v>
      </c>
      <c r="N2" s="2936"/>
      <c r="O2" s="2936"/>
      <c r="P2" s="2937"/>
      <c r="Q2" s="2938" t="s">
        <v>68</v>
      </c>
      <c r="R2" s="2939"/>
      <c r="S2" s="2939"/>
      <c r="T2" s="2940"/>
      <c r="U2" s="2941" t="s">
        <v>69</v>
      </c>
      <c r="V2" s="2942"/>
      <c r="W2" s="2942"/>
      <c r="X2" s="2943"/>
      <c r="Y2" s="2938" t="s">
        <v>70</v>
      </c>
      <c r="Z2" s="2939"/>
      <c r="AA2" s="2939"/>
      <c r="AB2" s="2940"/>
      <c r="AC2" s="2935" t="s">
        <v>71</v>
      </c>
      <c r="AD2" s="2936"/>
      <c r="AE2" s="2936"/>
      <c r="AF2" s="2937"/>
      <c r="AG2" s="2935" t="s">
        <v>72</v>
      </c>
      <c r="AH2" s="2936"/>
      <c r="AI2" s="2936"/>
      <c r="AJ2" s="2937"/>
      <c r="AK2" s="2935" t="s">
        <v>73</v>
      </c>
      <c r="AL2" s="2936"/>
      <c r="AM2" s="2936"/>
      <c r="AN2" s="2937"/>
      <c r="AO2" s="2935" t="s">
        <v>74</v>
      </c>
      <c r="AP2" s="2936"/>
      <c r="AQ2" s="2936"/>
      <c r="AR2" s="2937"/>
      <c r="AS2" s="2946" t="s">
        <v>2240</v>
      </c>
      <c r="AT2" s="2947"/>
      <c r="AU2" s="2947"/>
      <c r="AV2" s="2948"/>
      <c r="AW2" s="2949" t="s">
        <v>2241</v>
      </c>
      <c r="AX2" s="2950"/>
      <c r="AY2" s="2950"/>
      <c r="AZ2" s="2951"/>
      <c r="BA2" s="2946" t="s">
        <v>377</v>
      </c>
      <c r="BB2" s="2947"/>
      <c r="BC2" s="2947"/>
      <c r="BD2" s="2948"/>
      <c r="BE2" s="2952" t="s">
        <v>1371</v>
      </c>
      <c r="BF2" s="2952"/>
      <c r="BG2" s="2952"/>
      <c r="BH2" s="2952"/>
      <c r="BI2" s="2952" t="s">
        <v>1372</v>
      </c>
      <c r="BJ2" s="2952"/>
      <c r="BK2" s="2952"/>
      <c r="BL2" s="2952"/>
      <c r="BM2" s="2944" t="s">
        <v>2815</v>
      </c>
      <c r="BN2" s="2944"/>
      <c r="BO2" s="2944"/>
      <c r="BP2" s="2944"/>
      <c r="BQ2" s="2944" t="s">
        <v>2816</v>
      </c>
      <c r="BR2" s="2944"/>
      <c r="BS2" s="2944"/>
      <c r="BT2" s="2944"/>
      <c r="BU2" s="2944" t="s">
        <v>2817</v>
      </c>
      <c r="BV2" s="2944"/>
      <c r="BW2" s="2944"/>
      <c r="BX2" s="2944" t="s">
        <v>2818</v>
      </c>
      <c r="BY2" s="2944"/>
      <c r="BZ2" s="2945"/>
      <c r="CA2" s="1984" t="s">
        <v>2819</v>
      </c>
      <c r="CB2" s="1984" t="s">
        <v>2820</v>
      </c>
      <c r="CC2" s="1984" t="s">
        <v>2821</v>
      </c>
      <c r="CD2" s="1984" t="s">
        <v>2822</v>
      </c>
      <c r="CE2" s="1984" t="s">
        <v>2823</v>
      </c>
      <c r="CF2" s="1985" t="s">
        <v>2824</v>
      </c>
      <c r="CG2" s="1985" t="s">
        <v>2825</v>
      </c>
      <c r="CH2" s="1986" t="s">
        <v>2826</v>
      </c>
      <c r="CI2" s="1984" t="s">
        <v>2827</v>
      </c>
      <c r="CJ2" s="1987" t="s">
        <v>2828</v>
      </c>
      <c r="CK2" s="1987" t="s">
        <v>2829</v>
      </c>
      <c r="CL2" s="1987" t="s">
        <v>2830</v>
      </c>
      <c r="CM2" s="1987" t="s">
        <v>2830</v>
      </c>
      <c r="CN2" s="1987" t="s">
        <v>2830</v>
      </c>
      <c r="CO2" s="1987" t="s">
        <v>2830</v>
      </c>
      <c r="CP2" s="2959" t="s">
        <v>2831</v>
      </c>
      <c r="CQ2" s="2959"/>
      <c r="CR2" s="2959"/>
      <c r="CS2" s="2959" t="s">
        <v>2832</v>
      </c>
      <c r="CT2" s="2959"/>
      <c r="CU2" s="2960"/>
      <c r="CV2" s="1988" t="s">
        <v>2833</v>
      </c>
      <c r="CW2" s="1988" t="s">
        <v>2834</v>
      </c>
      <c r="CX2" s="2961" t="s">
        <v>2835</v>
      </c>
      <c r="CY2" s="2962"/>
      <c r="CZ2" s="2962"/>
      <c r="DA2" s="2963"/>
      <c r="DB2" s="2961" t="s">
        <v>2836</v>
      </c>
      <c r="DC2" s="2962"/>
      <c r="DD2" s="2962"/>
      <c r="DE2" s="2962"/>
      <c r="DF2" s="2961" t="s">
        <v>2837</v>
      </c>
      <c r="DG2" s="2962"/>
      <c r="DH2" s="2962"/>
      <c r="DI2" s="2962"/>
      <c r="DJ2" s="2961" t="s">
        <v>2838</v>
      </c>
      <c r="DK2" s="2962"/>
      <c r="DL2" s="2962"/>
      <c r="DM2" s="2962"/>
      <c r="DN2" s="1989"/>
      <c r="DO2" s="1990" t="s">
        <v>60</v>
      </c>
      <c r="DP2" s="1980" t="s">
        <v>61</v>
      </c>
      <c r="DQ2" s="1981" t="s">
        <v>62</v>
      </c>
      <c r="DR2" s="1980" t="s">
        <v>63</v>
      </c>
      <c r="DS2" s="2953" t="s">
        <v>2240</v>
      </c>
      <c r="DT2" s="2954"/>
      <c r="DU2" s="2954"/>
      <c r="DV2" s="2955"/>
      <c r="DW2" s="2956" t="s">
        <v>2241</v>
      </c>
      <c r="DX2" s="2957"/>
      <c r="DY2" s="2957"/>
      <c r="DZ2" s="2958"/>
      <c r="EA2" s="2953" t="s">
        <v>377</v>
      </c>
      <c r="EB2" s="2954"/>
      <c r="EC2" s="2954"/>
      <c r="ED2" s="2955"/>
      <c r="EU2" s="1991" t="s">
        <v>2839</v>
      </c>
      <c r="EV2" s="1991" t="s">
        <v>2840</v>
      </c>
    </row>
    <row r="3" spans="1:152" s="2000" customFormat="1" ht="23" x14ac:dyDescent="0.25">
      <c r="A3" s="1992"/>
      <c r="B3" s="1993"/>
      <c r="C3" s="1993"/>
      <c r="D3" s="1993"/>
      <c r="E3" s="1994"/>
      <c r="F3" s="1979"/>
      <c r="G3" s="1995"/>
      <c r="H3" s="1995"/>
      <c r="I3" s="1993" t="s">
        <v>2841</v>
      </c>
      <c r="J3" s="1993" t="s">
        <v>2842</v>
      </c>
      <c r="K3" s="1993" t="s">
        <v>2843</v>
      </c>
      <c r="L3" s="1993" t="s">
        <v>2844</v>
      </c>
      <c r="M3" s="1993" t="s">
        <v>2841</v>
      </c>
      <c r="N3" s="1993" t="s">
        <v>2842</v>
      </c>
      <c r="O3" s="1993" t="s">
        <v>2843</v>
      </c>
      <c r="P3" s="1993" t="s">
        <v>2844</v>
      </c>
      <c r="Q3" s="1993" t="s">
        <v>2841</v>
      </c>
      <c r="R3" s="1993" t="s">
        <v>2842</v>
      </c>
      <c r="S3" s="1993" t="s">
        <v>2843</v>
      </c>
      <c r="T3" s="1993" t="s">
        <v>2844</v>
      </c>
      <c r="U3" s="1993" t="s">
        <v>2841</v>
      </c>
      <c r="V3" s="1993" t="s">
        <v>2842</v>
      </c>
      <c r="W3" s="1993" t="s">
        <v>2843</v>
      </c>
      <c r="X3" s="1993" t="s">
        <v>2844</v>
      </c>
      <c r="Y3" s="1993" t="s">
        <v>2841</v>
      </c>
      <c r="Z3" s="1993" t="s">
        <v>2842</v>
      </c>
      <c r="AA3" s="1993" t="s">
        <v>2843</v>
      </c>
      <c r="AB3" s="1993" t="s">
        <v>2844</v>
      </c>
      <c r="AC3" s="1993" t="s">
        <v>2841</v>
      </c>
      <c r="AD3" s="1993" t="s">
        <v>2842</v>
      </c>
      <c r="AE3" s="1993" t="s">
        <v>2843</v>
      </c>
      <c r="AF3" s="1993" t="s">
        <v>2844</v>
      </c>
      <c r="AG3" s="1993" t="s">
        <v>2841</v>
      </c>
      <c r="AH3" s="1993" t="s">
        <v>2842</v>
      </c>
      <c r="AI3" s="1993" t="s">
        <v>2843</v>
      </c>
      <c r="AJ3" s="1993" t="s">
        <v>2844</v>
      </c>
      <c r="AK3" s="1993" t="s">
        <v>2841</v>
      </c>
      <c r="AL3" s="1993" t="s">
        <v>2842</v>
      </c>
      <c r="AM3" s="1993" t="s">
        <v>2843</v>
      </c>
      <c r="AN3" s="1993" t="s">
        <v>2844</v>
      </c>
      <c r="AO3" s="1993" t="s">
        <v>2841</v>
      </c>
      <c r="AP3" s="1993" t="s">
        <v>2842</v>
      </c>
      <c r="AQ3" s="1993" t="s">
        <v>2843</v>
      </c>
      <c r="AR3" s="1993" t="s">
        <v>2844</v>
      </c>
      <c r="AS3" s="1993" t="s">
        <v>2841</v>
      </c>
      <c r="AT3" s="1993" t="s">
        <v>2842</v>
      </c>
      <c r="AU3" s="1993" t="s">
        <v>2843</v>
      </c>
      <c r="AV3" s="1993" t="s">
        <v>2844</v>
      </c>
      <c r="AW3" s="1993" t="s">
        <v>2841</v>
      </c>
      <c r="AX3" s="1993" t="s">
        <v>2842</v>
      </c>
      <c r="AY3" s="1993" t="s">
        <v>2843</v>
      </c>
      <c r="AZ3" s="1993" t="s">
        <v>2844</v>
      </c>
      <c r="BA3" s="1993" t="s">
        <v>2841</v>
      </c>
      <c r="BB3" s="1993" t="s">
        <v>2842</v>
      </c>
      <c r="BC3" s="1993" t="s">
        <v>2843</v>
      </c>
      <c r="BD3" s="1993" t="s">
        <v>2844</v>
      </c>
      <c r="BE3" s="1993" t="s">
        <v>2841</v>
      </c>
      <c r="BF3" s="1993" t="s">
        <v>2842</v>
      </c>
      <c r="BG3" s="1993" t="s">
        <v>2843</v>
      </c>
      <c r="BH3" s="1993" t="s">
        <v>2844</v>
      </c>
      <c r="BI3" s="1993" t="s">
        <v>2841</v>
      </c>
      <c r="BJ3" s="1993" t="s">
        <v>2842</v>
      </c>
      <c r="BK3" s="1993" t="s">
        <v>2843</v>
      </c>
      <c r="BL3" s="1993" t="s">
        <v>2844</v>
      </c>
      <c r="BM3" s="1993" t="s">
        <v>2841</v>
      </c>
      <c r="BN3" s="1993" t="s">
        <v>2842</v>
      </c>
      <c r="BO3" s="1993" t="s">
        <v>2843</v>
      </c>
      <c r="BP3" s="1993" t="s">
        <v>2844</v>
      </c>
      <c r="BQ3" s="1993" t="s">
        <v>2841</v>
      </c>
      <c r="BR3" s="1993" t="s">
        <v>2842</v>
      </c>
      <c r="BS3" s="1993" t="s">
        <v>2843</v>
      </c>
      <c r="BT3" s="1993" t="s">
        <v>2844</v>
      </c>
      <c r="BU3" s="1996" t="s">
        <v>2845</v>
      </c>
      <c r="BV3" s="1996" t="s">
        <v>2846</v>
      </c>
      <c r="BW3" s="1996" t="s">
        <v>2847</v>
      </c>
      <c r="BX3" s="1996" t="s">
        <v>2848</v>
      </c>
      <c r="BY3" s="1996" t="s">
        <v>2849</v>
      </c>
      <c r="BZ3" s="1997" t="s">
        <v>2850</v>
      </c>
      <c r="CA3" s="1996"/>
      <c r="CB3" s="1996"/>
      <c r="CC3" s="1996"/>
      <c r="CD3" s="1996"/>
      <c r="CE3" s="1996"/>
      <c r="CF3" s="1996"/>
      <c r="CG3" s="1996"/>
      <c r="CH3" s="1997"/>
      <c r="CI3" s="1996"/>
      <c r="CJ3" s="1996"/>
      <c r="CK3" s="1996"/>
      <c r="CL3" s="1996" t="s">
        <v>2841</v>
      </c>
      <c r="CM3" s="1998" t="s">
        <v>2851</v>
      </c>
      <c r="CN3" s="1996" t="s">
        <v>2843</v>
      </c>
      <c r="CO3" s="1998" t="s">
        <v>2852</v>
      </c>
      <c r="CP3" s="1999" t="s">
        <v>2845</v>
      </c>
      <c r="CQ3" s="1999" t="s">
        <v>2846</v>
      </c>
      <c r="CR3" s="1999" t="s">
        <v>2847</v>
      </c>
      <c r="CS3" s="1999" t="s">
        <v>2848</v>
      </c>
      <c r="CT3" s="1999" t="s">
        <v>2849</v>
      </c>
      <c r="CU3" s="1999" t="s">
        <v>2850</v>
      </c>
      <c r="CW3" s="2000" t="s">
        <v>2853</v>
      </c>
      <c r="CX3" s="1993" t="s">
        <v>2841</v>
      </c>
      <c r="CY3" s="1993" t="s">
        <v>2842</v>
      </c>
      <c r="CZ3" s="1993" t="s">
        <v>2843</v>
      </c>
      <c r="DA3" s="2001" t="s">
        <v>2844</v>
      </c>
      <c r="DB3" s="1993" t="s">
        <v>2841</v>
      </c>
      <c r="DC3" s="1993" t="s">
        <v>2842</v>
      </c>
      <c r="DD3" s="1993" t="s">
        <v>2843</v>
      </c>
      <c r="DE3" s="2001" t="s">
        <v>2844</v>
      </c>
      <c r="DF3" s="1993" t="s">
        <v>2841</v>
      </c>
      <c r="DG3" s="1993" t="s">
        <v>2842</v>
      </c>
      <c r="DH3" s="1993" t="s">
        <v>2843</v>
      </c>
      <c r="DI3" s="2001" t="s">
        <v>2844</v>
      </c>
      <c r="DJ3" s="1993" t="s">
        <v>2841</v>
      </c>
      <c r="DK3" s="1993" t="s">
        <v>2842</v>
      </c>
      <c r="DL3" s="1993" t="s">
        <v>2843</v>
      </c>
      <c r="DM3" s="2001" t="s">
        <v>2844</v>
      </c>
      <c r="DN3" s="2002"/>
      <c r="DO3" s="1993"/>
      <c r="DP3" s="1993"/>
      <c r="DQ3" s="1994"/>
      <c r="DR3" s="1979"/>
      <c r="DS3" s="1993" t="s">
        <v>2841</v>
      </c>
      <c r="DT3" s="1993" t="s">
        <v>2842</v>
      </c>
      <c r="DU3" s="1993" t="s">
        <v>2843</v>
      </c>
      <c r="DV3" s="1993" t="s">
        <v>2844</v>
      </c>
      <c r="DW3" s="1993" t="s">
        <v>2841</v>
      </c>
      <c r="DX3" s="1993" t="s">
        <v>2842</v>
      </c>
      <c r="DY3" s="1993" t="s">
        <v>2843</v>
      </c>
      <c r="DZ3" s="1993" t="s">
        <v>2844</v>
      </c>
      <c r="EA3" s="1993" t="s">
        <v>2841</v>
      </c>
      <c r="EB3" s="1993" t="s">
        <v>2842</v>
      </c>
      <c r="EC3" s="1993" t="s">
        <v>2843</v>
      </c>
      <c r="ED3" s="1993" t="s">
        <v>2844</v>
      </c>
    </row>
    <row r="4" spans="1:152" x14ac:dyDescent="0.25">
      <c r="A4" s="2003"/>
      <c r="B4" s="2004"/>
      <c r="C4" s="2005"/>
      <c r="D4" s="2005"/>
      <c r="E4" s="2006"/>
      <c r="F4" s="2005"/>
      <c r="G4" s="2007"/>
      <c r="H4" s="2007"/>
      <c r="I4" s="2007"/>
      <c r="J4" s="2007"/>
      <c r="K4" s="2007"/>
      <c r="L4" s="2007"/>
      <c r="M4" s="2005"/>
      <c r="N4" s="2005"/>
      <c r="O4" s="2005"/>
      <c r="P4" s="2005"/>
      <c r="Q4" s="2007"/>
      <c r="R4" s="2007"/>
      <c r="S4" s="2007"/>
      <c r="T4" s="2007"/>
      <c r="U4" s="2006"/>
      <c r="V4" s="2006"/>
      <c r="W4" s="2006"/>
      <c r="X4" s="2006"/>
      <c r="Y4" s="2007"/>
      <c r="Z4" s="2007"/>
      <c r="AA4" s="2007"/>
      <c r="AB4" s="2007"/>
      <c r="AC4" s="2005"/>
      <c r="AD4" s="2006"/>
      <c r="AE4" s="2006"/>
      <c r="AF4" s="2006"/>
      <c r="AG4" s="2005"/>
      <c r="AH4" s="2006"/>
      <c r="AI4" s="2006"/>
      <c r="AJ4" s="2006"/>
      <c r="AK4" s="2005"/>
      <c r="AL4" s="2006"/>
      <c r="AM4" s="2006"/>
      <c r="AN4" s="2006"/>
      <c r="AO4" s="2005"/>
      <c r="AP4" s="2006"/>
      <c r="AQ4" s="2006"/>
      <c r="AR4" s="2006"/>
      <c r="BM4" s="2008"/>
      <c r="BN4" s="2008"/>
      <c r="BO4" s="2008"/>
      <c r="BP4" s="2008"/>
      <c r="BQ4" s="2008"/>
      <c r="BR4" s="2008"/>
      <c r="BS4" s="2008"/>
      <c r="BT4" s="2008"/>
      <c r="CA4" s="1974"/>
      <c r="CB4" s="1974"/>
      <c r="CC4" s="1974"/>
      <c r="CD4" s="1974"/>
      <c r="CE4" s="1974"/>
      <c r="CF4" s="1974"/>
      <c r="CG4" s="1974"/>
      <c r="CH4" s="2009"/>
      <c r="CL4" s="2010">
        <v>43101</v>
      </c>
      <c r="CM4" s="2010">
        <v>43466</v>
      </c>
      <c r="CN4" s="2010">
        <v>43831</v>
      </c>
      <c r="CO4" s="2010">
        <v>44197</v>
      </c>
    </row>
    <row r="5" spans="1:152" x14ac:dyDescent="0.25">
      <c r="A5" s="2011" t="s">
        <v>817</v>
      </c>
      <c r="B5" s="2012"/>
      <c r="C5" s="2013"/>
      <c r="D5" s="2013"/>
      <c r="E5" s="2014"/>
      <c r="F5" s="2013"/>
      <c r="G5" s="2015"/>
      <c r="H5" s="2015"/>
      <c r="I5" s="2015"/>
      <c r="J5" s="2015"/>
      <c r="K5" s="2015"/>
      <c r="L5" s="2015"/>
      <c r="M5" s="2016"/>
      <c r="N5" s="2016"/>
      <c r="O5" s="2016"/>
      <c r="P5" s="2016"/>
      <c r="Q5" s="2015"/>
      <c r="R5" s="2015"/>
      <c r="S5" s="2015"/>
      <c r="T5" s="2015"/>
      <c r="U5" s="2016"/>
      <c r="V5" s="2016"/>
      <c r="W5" s="2016"/>
      <c r="X5" s="2016"/>
      <c r="Y5" s="2015"/>
      <c r="Z5" s="2015"/>
      <c r="AA5" s="2015"/>
      <c r="AB5" s="2015"/>
      <c r="AC5" s="2016"/>
      <c r="AD5" s="2016"/>
      <c r="AE5" s="2016"/>
      <c r="AF5" s="2016"/>
      <c r="AG5" s="2016"/>
      <c r="AH5" s="2016"/>
      <c r="AI5" s="2016"/>
      <c r="AJ5" s="2016"/>
      <c r="AK5" s="2017">
        <f t="shared" ref="AK5:AR5" si="0">SUMIF(AK6:AK198,"&gt;0")+SUMIF(AK225:AK247,"&gt;0")</f>
        <v>105463230.09705798</v>
      </c>
      <c r="AL5" s="2017">
        <f t="shared" si="0"/>
        <v>102307182.39160761</v>
      </c>
      <c r="AM5" s="2017">
        <f t="shared" si="0"/>
        <v>102886716.55862114</v>
      </c>
      <c r="AN5" s="2017">
        <f t="shared" si="0"/>
        <v>101131951.21512787</v>
      </c>
      <c r="AO5" s="2017">
        <f t="shared" si="0"/>
        <v>1025393.7589659941</v>
      </c>
      <c r="AP5" s="2017">
        <f t="shared" si="0"/>
        <v>967246.69525639981</v>
      </c>
      <c r="AQ5" s="2017">
        <f t="shared" si="0"/>
        <v>352780.80595617555</v>
      </c>
      <c r="AR5" s="2017">
        <f t="shared" si="0"/>
        <v>348935.74323976558</v>
      </c>
      <c r="AS5" s="2018"/>
      <c r="AT5" s="2018"/>
      <c r="AU5" s="2018"/>
      <c r="AV5" s="2018"/>
      <c r="AW5" s="2018"/>
      <c r="AX5" s="2018"/>
      <c r="AY5" s="2018"/>
      <c r="AZ5" s="2018"/>
      <c r="BA5" s="2018"/>
      <c r="BB5" s="2018"/>
      <c r="BC5" s="2018"/>
      <c r="BD5" s="2018"/>
      <c r="BE5" s="2019">
        <f t="shared" ref="BE5:BL5" si="1">SUM(BE6:BE198)+SUM(BE225:BE247)</f>
        <v>11990107.939698609</v>
      </c>
      <c r="BF5" s="2019">
        <f t="shared" si="1"/>
        <v>12292954.873110807</v>
      </c>
      <c r="BG5" s="2019">
        <f t="shared" si="1"/>
        <v>12238486.036024351</v>
      </c>
      <c r="BH5" s="2019">
        <f t="shared" si="1"/>
        <v>12058391.370274218</v>
      </c>
      <c r="BI5" s="2019">
        <f t="shared" si="1"/>
        <v>965536.9671434171</v>
      </c>
      <c r="BJ5" s="2019">
        <f t="shared" si="1"/>
        <v>916245.08055001183</v>
      </c>
      <c r="BK5" s="2019">
        <f t="shared" si="1"/>
        <v>826044.00803120283</v>
      </c>
      <c r="BL5" s="2019">
        <f t="shared" si="1"/>
        <v>824630.66293316369</v>
      </c>
      <c r="BM5" s="2019"/>
      <c r="BN5" s="2019"/>
      <c r="BO5" s="2019"/>
      <c r="BP5" s="2019"/>
      <c r="BQ5" s="2019"/>
      <c r="BR5" s="2019"/>
      <c r="BS5" s="2019"/>
      <c r="BT5" s="2019"/>
      <c r="BU5" s="2019"/>
      <c r="BV5" s="2019"/>
      <c r="BW5" s="2019"/>
      <c r="BX5" s="2019"/>
      <c r="BY5" s="2019"/>
      <c r="BZ5" s="2019"/>
      <c r="CA5" s="1974"/>
      <c r="CB5" s="1974"/>
      <c r="CC5" s="1974"/>
      <c r="CD5" s="1974"/>
      <c r="CE5" s="1974"/>
      <c r="CF5" s="1974"/>
      <c r="CG5" s="1974"/>
      <c r="CH5" s="2009"/>
      <c r="CP5" s="2020"/>
      <c r="CQ5" s="2020"/>
      <c r="CR5" s="2020"/>
      <c r="CS5" s="2020"/>
      <c r="CT5" s="2020"/>
      <c r="CU5" s="2020"/>
    </row>
    <row r="6" spans="1:152" x14ac:dyDescent="0.25">
      <c r="A6" s="2021" t="s">
        <v>82</v>
      </c>
      <c r="B6" s="2022" t="s">
        <v>2854</v>
      </c>
      <c r="C6" s="2023">
        <v>15</v>
      </c>
      <c r="D6" s="2024">
        <v>1196.9881981079639</v>
      </c>
      <c r="E6" s="2024">
        <v>0.19548106019463757</v>
      </c>
      <c r="F6" s="2023">
        <v>-15.75017430029791</v>
      </c>
      <c r="G6" s="2025" t="s">
        <v>4</v>
      </c>
      <c r="H6" s="2025" t="s">
        <v>4</v>
      </c>
      <c r="I6" s="2026">
        <v>0.77800000000000002</v>
      </c>
      <c r="J6" s="2026">
        <v>0.77800000000000002</v>
      </c>
      <c r="K6" s="2026">
        <v>0.77800000000000002</v>
      </c>
      <c r="L6" s="2026">
        <v>0.77800000000000002</v>
      </c>
      <c r="M6" s="2027">
        <f>$D6*I6</f>
        <v>931.25681812799587</v>
      </c>
      <c r="N6" s="2027">
        <f>$D6*J6</f>
        <v>931.25681812799587</v>
      </c>
      <c r="O6" s="2027">
        <f>$D6*K6</f>
        <v>931.25681812799587</v>
      </c>
      <c r="P6" s="2027">
        <f>$D6*L6</f>
        <v>931.25681812799587</v>
      </c>
      <c r="Q6" s="2026">
        <v>0.77800000000000002</v>
      </c>
      <c r="R6" s="2026">
        <v>0.77800000000000002</v>
      </c>
      <c r="S6" s="2026">
        <v>0.77800000000000002</v>
      </c>
      <c r="T6" s="2026">
        <v>0.77800000000000002</v>
      </c>
      <c r="U6" s="2028">
        <f>$E6*Q6</f>
        <v>0.15208426483142803</v>
      </c>
      <c r="V6" s="2028">
        <f>$E6*R6</f>
        <v>0.15208426483142803</v>
      </c>
      <c r="W6" s="2028">
        <f>$E6*S6</f>
        <v>0.15208426483142803</v>
      </c>
      <c r="X6" s="2028">
        <f>$E6*T6</f>
        <v>0.15208426483142803</v>
      </c>
      <c r="Y6" s="2026">
        <v>0.77800000000000002</v>
      </c>
      <c r="Z6" s="2026">
        <v>0.77800000000000002</v>
      </c>
      <c r="AA6" s="2026">
        <v>0.77800000000000002</v>
      </c>
      <c r="AB6" s="2026">
        <v>0.77800000000000002</v>
      </c>
      <c r="AC6" s="2027">
        <f t="shared" ref="AC6:AF21" si="2">$F6*Y6</f>
        <v>-12.253635605631775</v>
      </c>
      <c r="AD6" s="2027">
        <f t="shared" si="2"/>
        <v>-12.253635605631775</v>
      </c>
      <c r="AE6" s="2027">
        <f t="shared" si="2"/>
        <v>-12.253635605631775</v>
      </c>
      <c r="AF6" s="2027">
        <f>$F6*AB6</f>
        <v>-12.253635605631775</v>
      </c>
      <c r="AG6" s="2027">
        <v>1778</v>
      </c>
      <c r="AH6" s="2027">
        <v>1349</v>
      </c>
      <c r="AI6" s="2027">
        <v>903</v>
      </c>
      <c r="AJ6" s="2027">
        <v>0</v>
      </c>
      <c r="AK6" s="2027">
        <f>AG6*M6</f>
        <v>1655774.6226315766</v>
      </c>
      <c r="AL6" s="2027">
        <f t="shared" ref="AL6:AN37" si="3">AH6*N6*CM6</f>
        <v>1256265.4476546664</v>
      </c>
      <c r="AM6" s="2027">
        <f t="shared" si="3"/>
        <v>840924.90676958032</v>
      </c>
      <c r="AN6" s="2027">
        <f t="shared" si="3"/>
        <v>0</v>
      </c>
      <c r="AO6" s="2027">
        <f>AG6*AC6</f>
        <v>-21786.964106813295</v>
      </c>
      <c r="AP6" s="2027">
        <f t="shared" ref="AP6:AR26" si="4">AH6*AD6*CM6</f>
        <v>-16530.154431997264</v>
      </c>
      <c r="AQ6" s="2027">
        <f t="shared" si="4"/>
        <v>-11065.032951885492</v>
      </c>
      <c r="AR6" s="2027">
        <f t="shared" si="4"/>
        <v>0</v>
      </c>
      <c r="AS6" s="2029">
        <v>73.209831181727907</v>
      </c>
      <c r="AT6" s="2029">
        <f>$AS6</f>
        <v>73.209831181727907</v>
      </c>
      <c r="AU6" s="2029">
        <f t="shared" ref="AU6:AV20" si="5">$AS6</f>
        <v>73.209831181727907</v>
      </c>
      <c r="AV6" s="2029">
        <f t="shared" si="5"/>
        <v>73.209831181727907</v>
      </c>
      <c r="AW6" s="1974"/>
      <c r="AX6" s="2029">
        <f>$AW6</f>
        <v>0</v>
      </c>
      <c r="AY6" s="2029">
        <f>$AW6</f>
        <v>0</v>
      </c>
      <c r="AZ6" s="2029">
        <f t="shared" ref="AZ6:AZ21" si="6">$AW6</f>
        <v>0</v>
      </c>
      <c r="BA6" s="2029">
        <v>206.25</v>
      </c>
      <c r="BB6" s="2029">
        <f>$BA6</f>
        <v>206.25</v>
      </c>
      <c r="BC6" s="2029">
        <f t="shared" ref="BC6:BD21" si="7">$BA6</f>
        <v>206.25</v>
      </c>
      <c r="BD6" s="2029">
        <f t="shared" si="7"/>
        <v>206.25</v>
      </c>
      <c r="BE6" s="2030">
        <f>AS6*AG6</f>
        <v>130167.07984111222</v>
      </c>
      <c r="BF6" s="2030">
        <f>AT6*AH6</f>
        <v>98760.06226415094</v>
      </c>
      <c r="BG6" s="2030">
        <f>AU6*AI6</f>
        <v>66108.477557100297</v>
      </c>
      <c r="BH6" s="2030">
        <f>AV6*AJ6</f>
        <v>0</v>
      </c>
      <c r="BI6" s="2030">
        <f>AW6*AG6</f>
        <v>0</v>
      </c>
      <c r="BJ6" s="2030">
        <f>AX6*AH6</f>
        <v>0</v>
      </c>
      <c r="BK6" s="2030">
        <f>AY6*AI6</f>
        <v>0</v>
      </c>
      <c r="BL6" s="2030">
        <f>AZ6*AJ6</f>
        <v>0</v>
      </c>
      <c r="BM6" s="2031"/>
      <c r="BN6" s="2031"/>
      <c r="BO6" s="2031"/>
      <c r="BP6" s="2031"/>
      <c r="BQ6" s="2031"/>
      <c r="BR6" s="2031"/>
      <c r="BS6" s="2031"/>
      <c r="BT6" s="2031"/>
      <c r="BU6" s="2029"/>
      <c r="BV6" s="2029"/>
      <c r="BW6" s="2029"/>
      <c r="BX6" s="2029"/>
      <c r="BY6" s="2029"/>
      <c r="BZ6" s="2032"/>
      <c r="CA6" s="1974"/>
      <c r="CB6" s="1974"/>
      <c r="CC6" s="1974"/>
      <c r="CD6" s="1974"/>
      <c r="CE6" s="1974">
        <v>0</v>
      </c>
      <c r="CF6" s="2033">
        <v>5.8668970595244828E-3</v>
      </c>
      <c r="CG6" s="2026">
        <v>-9.1805560361291148E-3</v>
      </c>
      <c r="CH6" s="2009">
        <v>1</v>
      </c>
      <c r="CI6" s="2029">
        <v>21.886333333333333</v>
      </c>
      <c r="CK6" s="2029">
        <f>-CI6+CJ6</f>
        <v>-21.886333333333333</v>
      </c>
      <c r="CL6" s="2034">
        <v>1</v>
      </c>
      <c r="CM6" s="2034">
        <v>1</v>
      </c>
      <c r="CN6" s="2034">
        <v>1</v>
      </c>
      <c r="CO6" s="2034">
        <v>1</v>
      </c>
      <c r="CP6" s="2035"/>
      <c r="CQ6" s="2036"/>
      <c r="CR6" s="2036"/>
      <c r="CS6" s="2036"/>
      <c r="CT6" s="2036"/>
      <c r="CU6" s="2036"/>
      <c r="CW6" s="1973">
        <v>0</v>
      </c>
      <c r="CX6" s="2037">
        <v>48.412499999999994</v>
      </c>
      <c r="CY6" s="2037">
        <v>48.412499999999994</v>
      </c>
      <c r="CZ6" s="2037">
        <v>48.412499999999994</v>
      </c>
      <c r="DA6" s="2037">
        <v>48.412499999999994</v>
      </c>
      <c r="DJ6" s="1976">
        <v>48.412499999999994</v>
      </c>
      <c r="DK6" s="1973">
        <v>48.412499999999994</v>
      </c>
      <c r="DL6" s="1973">
        <v>48.412499999999994</v>
      </c>
      <c r="DM6" s="1973">
        <v>48.412499999999994</v>
      </c>
      <c r="DO6" s="2038">
        <v>15</v>
      </c>
      <c r="DP6" s="2024">
        <v>1196.9881981079639</v>
      </c>
      <c r="DQ6" s="2024">
        <v>0.19548106019463757</v>
      </c>
      <c r="DR6" s="2023">
        <v>-15.75017430029791</v>
      </c>
      <c r="DS6" s="2029">
        <v>73.209831181727907</v>
      </c>
      <c r="DT6" s="2029">
        <v>73.209831181727907</v>
      </c>
      <c r="DU6" s="2029">
        <v>73.209831181727907</v>
      </c>
      <c r="DV6" s="2029">
        <v>73.209831181727907</v>
      </c>
      <c r="DW6" s="1974"/>
      <c r="DX6" s="2029">
        <v>0</v>
      </c>
      <c r="DY6" s="2029">
        <v>0</v>
      </c>
      <c r="DZ6" s="2029">
        <v>0</v>
      </c>
      <c r="EA6" s="2029">
        <v>206.25</v>
      </c>
      <c r="EB6" s="2029">
        <v>206.25</v>
      </c>
      <c r="EC6" s="2029">
        <v>206.25</v>
      </c>
      <c r="ED6" s="2029">
        <v>206.25</v>
      </c>
      <c r="EE6" s="2039">
        <f>C6-DO6</f>
        <v>0</v>
      </c>
      <c r="EF6" s="2039">
        <f t="shared" ref="EF6:EH21" si="8">D6-DP6</f>
        <v>0</v>
      </c>
      <c r="EG6" s="2039">
        <f t="shared" si="8"/>
        <v>0</v>
      </c>
      <c r="EH6" s="2039">
        <f t="shared" si="8"/>
        <v>0</v>
      </c>
      <c r="EI6" s="2040">
        <f>AS6-DS6</f>
        <v>0</v>
      </c>
      <c r="EJ6" s="2040">
        <f t="shared" ref="EJ6:ER21" si="9">AT6-DT6</f>
        <v>0</v>
      </c>
      <c r="EK6" s="2040">
        <f t="shared" si="9"/>
        <v>0</v>
      </c>
      <c r="EL6" s="2040">
        <f t="shared" si="9"/>
        <v>0</v>
      </c>
      <c r="EM6" s="2040">
        <f t="shared" si="9"/>
        <v>0</v>
      </c>
      <c r="EN6" s="2040">
        <f t="shared" si="9"/>
        <v>0</v>
      </c>
      <c r="EO6" s="2040">
        <f t="shared" si="9"/>
        <v>0</v>
      </c>
      <c r="EP6" s="2040">
        <f t="shared" si="9"/>
        <v>0</v>
      </c>
      <c r="EQ6" s="2040">
        <f t="shared" si="9"/>
        <v>0</v>
      </c>
      <c r="ER6" s="2040">
        <f>BB6-EB6</f>
        <v>0</v>
      </c>
      <c r="ES6" s="2040">
        <f t="shared" ref="ES6:ET21" si="10">BC6-EC6</f>
        <v>0</v>
      </c>
      <c r="ET6" s="2040">
        <f t="shared" si="10"/>
        <v>0</v>
      </c>
      <c r="EU6" s="2039">
        <f>SUM(EE6:ET6)</f>
        <v>0</v>
      </c>
      <c r="EV6" s="2039">
        <f>SUM(EE6:EH6)</f>
        <v>0</v>
      </c>
    </row>
    <row r="7" spans="1:152" x14ac:dyDescent="0.25">
      <c r="A7" s="2041" t="s">
        <v>83</v>
      </c>
      <c r="B7" s="2022" t="s">
        <v>2855</v>
      </c>
      <c r="C7" s="2023">
        <v>15</v>
      </c>
      <c r="D7" s="2024">
        <v>123.02131949994826</v>
      </c>
      <c r="E7" s="2024">
        <v>2.2357871076913258E-2</v>
      </c>
      <c r="F7" s="2023">
        <v>-1.2241137551056831</v>
      </c>
      <c r="G7" s="2025" t="s">
        <v>4</v>
      </c>
      <c r="H7" s="2025" t="s">
        <v>4</v>
      </c>
      <c r="I7" s="2026">
        <v>0.77800000000000002</v>
      </c>
      <c r="J7" s="2026">
        <v>0.77800000000000002</v>
      </c>
      <c r="K7" s="2026">
        <v>0.77800000000000002</v>
      </c>
      <c r="L7" s="2026">
        <v>0.77800000000000002</v>
      </c>
      <c r="M7" s="2027">
        <f t="shared" ref="M7:P70" si="11">$D7*I7</f>
        <v>95.710586570959748</v>
      </c>
      <c r="N7" s="2027">
        <f t="shared" si="11"/>
        <v>95.710586570959748</v>
      </c>
      <c r="O7" s="2027">
        <f t="shared" si="11"/>
        <v>95.710586570959748</v>
      </c>
      <c r="P7" s="2027">
        <f t="shared" si="11"/>
        <v>95.710586570959748</v>
      </c>
      <c r="Q7" s="2026">
        <v>0.77800000000000002</v>
      </c>
      <c r="R7" s="2026">
        <v>0.77800000000000002</v>
      </c>
      <c r="S7" s="2026">
        <v>0.77800000000000002</v>
      </c>
      <c r="T7" s="2026">
        <v>0.77800000000000002</v>
      </c>
      <c r="U7" s="2028">
        <f t="shared" ref="U7:X70" si="12">$E7*Q7</f>
        <v>1.7394423697838515E-2</v>
      </c>
      <c r="V7" s="2028">
        <f t="shared" si="12"/>
        <v>1.7394423697838515E-2</v>
      </c>
      <c r="W7" s="2028">
        <f t="shared" si="12"/>
        <v>1.7394423697838515E-2</v>
      </c>
      <c r="X7" s="2028">
        <f t="shared" si="12"/>
        <v>1.7394423697838515E-2</v>
      </c>
      <c r="Y7" s="2026">
        <v>0.77800000000000002</v>
      </c>
      <c r="Z7" s="2026">
        <v>0.77800000000000002</v>
      </c>
      <c r="AA7" s="2026">
        <v>0.77800000000000002</v>
      </c>
      <c r="AB7" s="2026">
        <v>0.77800000000000002</v>
      </c>
      <c r="AC7" s="2027">
        <f t="shared" si="2"/>
        <v>-0.95236050147222151</v>
      </c>
      <c r="AD7" s="2027">
        <f t="shared" si="2"/>
        <v>-0.95236050147222151</v>
      </c>
      <c r="AE7" s="2027">
        <f t="shared" si="2"/>
        <v>-0.95236050147222151</v>
      </c>
      <c r="AF7" s="2027">
        <f>$F7*AB7</f>
        <v>-0.95236050147222151</v>
      </c>
      <c r="AG7" s="2027">
        <v>100</v>
      </c>
      <c r="AH7" s="2027">
        <v>0</v>
      </c>
      <c r="AI7" s="2027">
        <v>0</v>
      </c>
      <c r="AJ7" s="2027">
        <v>0</v>
      </c>
      <c r="AK7" s="2027">
        <f>AG7*M7</f>
        <v>9571.0586570959749</v>
      </c>
      <c r="AL7" s="2027">
        <f t="shared" si="3"/>
        <v>0</v>
      </c>
      <c r="AM7" s="2027">
        <f t="shared" si="3"/>
        <v>0</v>
      </c>
      <c r="AN7" s="2027">
        <f t="shared" si="3"/>
        <v>0</v>
      </c>
      <c r="AO7" s="2027">
        <f>AG7*AC7</f>
        <v>-95.236050147222144</v>
      </c>
      <c r="AP7" s="2027">
        <f t="shared" si="4"/>
        <v>0</v>
      </c>
      <c r="AQ7" s="2027">
        <f t="shared" si="4"/>
        <v>0</v>
      </c>
      <c r="AR7" s="2027">
        <f t="shared" si="4"/>
        <v>0</v>
      </c>
      <c r="AS7" s="2029">
        <f>11.1*0.15/0.25</f>
        <v>6.6599999999999993</v>
      </c>
      <c r="AT7" s="2029">
        <f t="shared" ref="AT7:AV70" si="13">$AS7</f>
        <v>6.6599999999999993</v>
      </c>
      <c r="AU7" s="2029">
        <f t="shared" si="5"/>
        <v>6.6599999999999993</v>
      </c>
      <c r="AV7" s="2029">
        <f t="shared" si="5"/>
        <v>6.6599999999999993</v>
      </c>
      <c r="AW7" s="1974"/>
      <c r="AX7" s="2029">
        <f t="shared" ref="AX7:AZ38" si="14">$AW7</f>
        <v>0</v>
      </c>
      <c r="AY7" s="2029">
        <f t="shared" si="14"/>
        <v>0</v>
      </c>
      <c r="AZ7" s="2029">
        <f t="shared" si="6"/>
        <v>0</v>
      </c>
      <c r="BA7" s="2029">
        <v>57.5</v>
      </c>
      <c r="BB7" s="2029">
        <f t="shared" ref="BB7:BD38" si="15">$BA7</f>
        <v>57.5</v>
      </c>
      <c r="BC7" s="2029">
        <f t="shared" si="7"/>
        <v>57.5</v>
      </c>
      <c r="BD7" s="2029">
        <f t="shared" si="7"/>
        <v>57.5</v>
      </c>
      <c r="BE7" s="2030">
        <f t="shared" ref="BE7:BH70" si="16">AS7*AG7</f>
        <v>665.99999999999989</v>
      </c>
      <c r="BF7" s="2030">
        <f t="shared" si="16"/>
        <v>0</v>
      </c>
      <c r="BG7" s="2030">
        <f t="shared" si="16"/>
        <v>0</v>
      </c>
      <c r="BH7" s="2030">
        <f t="shared" si="16"/>
        <v>0</v>
      </c>
      <c r="BI7" s="2030">
        <f t="shared" ref="BI7:BL70" si="17">AW7*AG7</f>
        <v>0</v>
      </c>
      <c r="BJ7" s="2030">
        <f t="shared" si="17"/>
        <v>0</v>
      </c>
      <c r="BK7" s="2030">
        <f t="shared" si="17"/>
        <v>0</v>
      </c>
      <c r="BL7" s="2030">
        <f t="shared" si="17"/>
        <v>0</v>
      </c>
      <c r="BM7" s="2031"/>
      <c r="BN7" s="2031"/>
      <c r="BO7" s="2031"/>
      <c r="BP7" s="2031"/>
      <c r="BQ7" s="2031"/>
      <c r="BR7" s="2031"/>
      <c r="BS7" s="2031"/>
      <c r="BT7" s="2031"/>
      <c r="BU7" s="2029"/>
      <c r="BV7" s="2029"/>
      <c r="BW7" s="2029"/>
      <c r="BX7" s="2029"/>
      <c r="BY7" s="2029"/>
      <c r="BZ7" s="2032"/>
      <c r="CA7" s="1974"/>
      <c r="CB7" s="1974"/>
      <c r="CC7" s="1974"/>
      <c r="CD7" s="1974"/>
      <c r="CE7" s="1974">
        <v>1</v>
      </c>
      <c r="CF7" s="2033">
        <v>4.0010248700349192E-5</v>
      </c>
      <c r="CG7" s="2026">
        <v>-3.5530706520260055E-5</v>
      </c>
      <c r="CH7" s="2009">
        <v>1</v>
      </c>
      <c r="CI7" s="2029">
        <v>0.67827777777777754</v>
      </c>
      <c r="CK7" s="2029">
        <f t="shared" ref="CK7:CK70" si="18">-CI7+CJ7</f>
        <v>-0.67827777777777754</v>
      </c>
      <c r="CL7" s="2034">
        <v>1</v>
      </c>
      <c r="CM7" s="2026">
        <v>0.3</v>
      </c>
      <c r="CN7" s="2026">
        <v>0.3</v>
      </c>
      <c r="CO7" s="2026">
        <v>0.3</v>
      </c>
      <c r="CP7" s="2035"/>
      <c r="CQ7" s="2036"/>
      <c r="CR7" s="2036"/>
      <c r="CS7" s="2036"/>
      <c r="CT7" s="2036"/>
      <c r="CU7" s="2036"/>
      <c r="CW7" s="1973">
        <v>0</v>
      </c>
      <c r="CX7" s="2037">
        <v>6.6599999999999993</v>
      </c>
      <c r="CY7" s="2037">
        <v>6.6599999999999993</v>
      </c>
      <c r="CZ7" s="2037">
        <v>6.6599999999999993</v>
      </c>
      <c r="DA7" s="2037">
        <v>6.6599999999999993</v>
      </c>
      <c r="DJ7" s="1976">
        <v>6.6599999999999993</v>
      </c>
      <c r="DK7" s="1973">
        <v>6.6599999999999993</v>
      </c>
      <c r="DL7" s="1973">
        <v>6.6599999999999993</v>
      </c>
      <c r="DM7" s="1973">
        <v>6.6599999999999993</v>
      </c>
      <c r="DO7" s="2023">
        <v>15</v>
      </c>
      <c r="DP7" s="2024">
        <v>123.02131949994826</v>
      </c>
      <c r="DQ7" s="2024">
        <v>2.2357871076913258E-2</v>
      </c>
      <c r="DR7" s="2023">
        <v>-1.2241137551056831</v>
      </c>
      <c r="DS7" s="2029">
        <v>6.6599999999999993</v>
      </c>
      <c r="DT7" s="2029">
        <v>6.6599999999999993</v>
      </c>
      <c r="DU7" s="2029">
        <v>6.6599999999999993</v>
      </c>
      <c r="DV7" s="2029">
        <v>6.6599999999999993</v>
      </c>
      <c r="DW7" s="1974"/>
      <c r="DX7" s="2029">
        <v>0</v>
      </c>
      <c r="DY7" s="2029">
        <v>0</v>
      </c>
      <c r="DZ7" s="2029">
        <v>0</v>
      </c>
      <c r="EA7" s="2029">
        <v>57.5</v>
      </c>
      <c r="EB7" s="2029">
        <v>57.5</v>
      </c>
      <c r="EC7" s="2029">
        <v>57.5</v>
      </c>
      <c r="ED7" s="2029">
        <v>57.5</v>
      </c>
      <c r="EE7" s="2039">
        <f t="shared" ref="EE7:EH70" si="19">C7-DO7</f>
        <v>0</v>
      </c>
      <c r="EF7" s="2039">
        <f t="shared" si="8"/>
        <v>0</v>
      </c>
      <c r="EG7" s="2039">
        <f t="shared" si="8"/>
        <v>0</v>
      </c>
      <c r="EH7" s="2039">
        <f t="shared" si="8"/>
        <v>0</v>
      </c>
      <c r="EI7" s="2040">
        <f t="shared" ref="EI7:ET41" si="20">AS7-DS7</f>
        <v>0</v>
      </c>
      <c r="EJ7" s="2040">
        <f t="shared" si="9"/>
        <v>0</v>
      </c>
      <c r="EK7" s="2040">
        <f t="shared" si="9"/>
        <v>0</v>
      </c>
      <c r="EL7" s="2040">
        <f t="shared" si="9"/>
        <v>0</v>
      </c>
      <c r="EM7" s="2040">
        <f t="shared" si="9"/>
        <v>0</v>
      </c>
      <c r="EN7" s="2040">
        <f t="shared" si="9"/>
        <v>0</v>
      </c>
      <c r="EO7" s="2040">
        <f t="shared" si="9"/>
        <v>0</v>
      </c>
      <c r="EP7" s="2040">
        <f t="shared" si="9"/>
        <v>0</v>
      </c>
      <c r="EQ7" s="2040">
        <f t="shared" si="9"/>
        <v>0</v>
      </c>
      <c r="ER7" s="2040">
        <f t="shared" si="9"/>
        <v>0</v>
      </c>
      <c r="ES7" s="2040">
        <f t="shared" si="10"/>
        <v>0</v>
      </c>
      <c r="ET7" s="2040">
        <f t="shared" si="10"/>
        <v>0</v>
      </c>
      <c r="EU7" s="2039">
        <f t="shared" ref="EU7:EU70" si="21">SUM(EE7:ET7)</f>
        <v>0</v>
      </c>
      <c r="EV7" s="2039">
        <f t="shared" ref="EV7:EV70" si="22">SUM(EE7:EH7)</f>
        <v>0</v>
      </c>
    </row>
    <row r="8" spans="1:152" x14ac:dyDescent="0.25">
      <c r="A8" s="2041" t="s">
        <v>84</v>
      </c>
      <c r="B8" s="2022" t="s">
        <v>2856</v>
      </c>
      <c r="C8" s="2023">
        <v>15</v>
      </c>
      <c r="D8" s="2024">
        <v>222.67982320186317</v>
      </c>
      <c r="E8" s="2024">
        <v>4.5489871979223141E-2</v>
      </c>
      <c r="F8" s="2023">
        <v>-3.3979249924155255</v>
      </c>
      <c r="G8" s="2025" t="s">
        <v>4</v>
      </c>
      <c r="H8" s="2025" t="s">
        <v>4</v>
      </c>
      <c r="I8" s="2026">
        <v>0.77800000000000002</v>
      </c>
      <c r="J8" s="2026">
        <v>0.77800000000000002</v>
      </c>
      <c r="K8" s="2026">
        <v>0.77800000000000002</v>
      </c>
      <c r="L8" s="2026">
        <v>0.77800000000000002</v>
      </c>
      <c r="M8" s="2027">
        <f t="shared" si="11"/>
        <v>173.24490245104954</v>
      </c>
      <c r="N8" s="2027">
        <f t="shared" si="11"/>
        <v>173.24490245104954</v>
      </c>
      <c r="O8" s="2027">
        <f t="shared" si="11"/>
        <v>173.24490245104954</v>
      </c>
      <c r="P8" s="2027">
        <f t="shared" si="11"/>
        <v>173.24490245104954</v>
      </c>
      <c r="Q8" s="2026">
        <v>0.77800000000000002</v>
      </c>
      <c r="R8" s="2026">
        <v>0.77800000000000002</v>
      </c>
      <c r="S8" s="2026">
        <v>0.77800000000000002</v>
      </c>
      <c r="T8" s="2026">
        <v>0.77800000000000002</v>
      </c>
      <c r="U8" s="2028">
        <f t="shared" si="12"/>
        <v>3.5391120399835607E-2</v>
      </c>
      <c r="V8" s="2028">
        <f t="shared" si="12"/>
        <v>3.5391120399835607E-2</v>
      </c>
      <c r="W8" s="2028">
        <f t="shared" si="12"/>
        <v>3.5391120399835607E-2</v>
      </c>
      <c r="X8" s="2028">
        <f t="shared" si="12"/>
        <v>3.5391120399835607E-2</v>
      </c>
      <c r="Y8" s="2026">
        <v>0.77800000000000002</v>
      </c>
      <c r="Z8" s="2026">
        <v>0.77800000000000002</v>
      </c>
      <c r="AA8" s="2026">
        <v>0.77800000000000002</v>
      </c>
      <c r="AB8" s="2026">
        <v>0.77800000000000002</v>
      </c>
      <c r="AC8" s="2027">
        <f t="shared" si="2"/>
        <v>-2.6435856440992791</v>
      </c>
      <c r="AD8" s="2027">
        <f t="shared" si="2"/>
        <v>-2.6435856440992791</v>
      </c>
      <c r="AE8" s="2027">
        <f t="shared" si="2"/>
        <v>-2.6435856440992791</v>
      </c>
      <c r="AF8" s="2027">
        <f>$F8*AB8</f>
        <v>-2.6435856440992791</v>
      </c>
      <c r="AG8" s="2027">
        <v>712</v>
      </c>
      <c r="AH8" s="2027">
        <v>0</v>
      </c>
      <c r="AI8" s="2027">
        <v>0</v>
      </c>
      <c r="AJ8" s="2027">
        <v>0</v>
      </c>
      <c r="AK8" s="2027">
        <f>AG8*M8</f>
        <v>123350.37054514728</v>
      </c>
      <c r="AL8" s="2027">
        <f t="shared" si="3"/>
        <v>0</v>
      </c>
      <c r="AM8" s="2027">
        <f t="shared" si="3"/>
        <v>0</v>
      </c>
      <c r="AN8" s="2027">
        <f t="shared" si="3"/>
        <v>0</v>
      </c>
      <c r="AO8" s="2027">
        <f>AG8*AC8</f>
        <v>-1882.2329785986867</v>
      </c>
      <c r="AP8" s="2027">
        <f t="shared" si="4"/>
        <v>0</v>
      </c>
      <c r="AQ8" s="2027">
        <f t="shared" si="4"/>
        <v>0</v>
      </c>
      <c r="AR8" s="2027">
        <f t="shared" si="4"/>
        <v>0</v>
      </c>
      <c r="AS8" s="2029">
        <f>11.1*0.15/0.25</f>
        <v>6.6599999999999993</v>
      </c>
      <c r="AT8" s="2029">
        <f t="shared" si="13"/>
        <v>6.6599999999999993</v>
      </c>
      <c r="AU8" s="2029">
        <f t="shared" si="5"/>
        <v>6.6599999999999993</v>
      </c>
      <c r="AV8" s="2029">
        <f t="shared" si="5"/>
        <v>6.6599999999999993</v>
      </c>
      <c r="AW8" s="1974"/>
      <c r="AX8" s="2029">
        <f t="shared" si="14"/>
        <v>0</v>
      </c>
      <c r="AY8" s="2029">
        <f t="shared" si="14"/>
        <v>0</v>
      </c>
      <c r="AZ8" s="2029">
        <f t="shared" si="6"/>
        <v>0</v>
      </c>
      <c r="BA8" s="2029">
        <v>57.5</v>
      </c>
      <c r="BB8" s="2029">
        <f t="shared" si="15"/>
        <v>57.5</v>
      </c>
      <c r="BC8" s="2029">
        <f t="shared" si="7"/>
        <v>57.5</v>
      </c>
      <c r="BD8" s="2029">
        <f t="shared" si="7"/>
        <v>57.5</v>
      </c>
      <c r="BE8" s="2030">
        <f t="shared" si="16"/>
        <v>4741.9199999999992</v>
      </c>
      <c r="BF8" s="2030">
        <f t="shared" si="16"/>
        <v>0</v>
      </c>
      <c r="BG8" s="2030">
        <f t="shared" si="16"/>
        <v>0</v>
      </c>
      <c r="BH8" s="2030">
        <f t="shared" si="16"/>
        <v>0</v>
      </c>
      <c r="BI8" s="2030">
        <f t="shared" si="17"/>
        <v>0</v>
      </c>
      <c r="BJ8" s="2030">
        <f t="shared" si="17"/>
        <v>0</v>
      </c>
      <c r="BK8" s="2030">
        <f t="shared" si="17"/>
        <v>0</v>
      </c>
      <c r="BL8" s="2030">
        <f t="shared" si="17"/>
        <v>0</v>
      </c>
      <c r="BM8" s="2031"/>
      <c r="BN8" s="2031"/>
      <c r="BO8" s="2031"/>
      <c r="BP8" s="2031"/>
      <c r="BQ8" s="2031"/>
      <c r="BR8" s="2031"/>
      <c r="BS8" s="2031"/>
      <c r="BT8" s="2031"/>
      <c r="BU8" s="2029"/>
      <c r="BV8" s="2029"/>
      <c r="BW8" s="2029"/>
      <c r="BX8" s="2029"/>
      <c r="BY8" s="2029"/>
      <c r="BZ8" s="2032"/>
      <c r="CA8" s="1974"/>
      <c r="CB8" s="1974"/>
      <c r="CC8" s="1974"/>
      <c r="CD8" s="1974"/>
      <c r="CE8" s="1974">
        <v>1</v>
      </c>
      <c r="CF8" s="2033">
        <v>5.1564609304035128E-4</v>
      </c>
      <c r="CG8" s="2026">
        <v>-7.0222428861719806E-4</v>
      </c>
      <c r="CH8" s="2009">
        <v>1</v>
      </c>
      <c r="CI8" s="2029">
        <v>0.67827777777777754</v>
      </c>
      <c r="CK8" s="2029">
        <f t="shared" si="18"/>
        <v>-0.67827777777777754</v>
      </c>
      <c r="CL8" s="2034">
        <v>1</v>
      </c>
      <c r="CM8" s="2026">
        <v>0.32114942528735629</v>
      </c>
      <c r="CN8" s="2026">
        <v>0.32114942528735629</v>
      </c>
      <c r="CO8" s="2026">
        <v>0.32114942528735629</v>
      </c>
      <c r="CP8" s="2035"/>
      <c r="CQ8" s="2036"/>
      <c r="CR8" s="2036"/>
      <c r="CS8" s="2036"/>
      <c r="CT8" s="2036"/>
      <c r="CU8" s="2036"/>
      <c r="CW8" s="1973">
        <v>0</v>
      </c>
      <c r="CX8" s="2037">
        <v>6.6599999999999993</v>
      </c>
      <c r="CY8" s="2037">
        <v>6.6599999999999993</v>
      </c>
      <c r="CZ8" s="2037">
        <v>6.6599999999999993</v>
      </c>
      <c r="DA8" s="2037">
        <v>6.6599999999999993</v>
      </c>
      <c r="DJ8" s="1976">
        <v>6.6599999999999993</v>
      </c>
      <c r="DK8" s="1973">
        <v>6.6599999999999993</v>
      </c>
      <c r="DL8" s="1973">
        <v>6.6599999999999993</v>
      </c>
      <c r="DM8" s="1973">
        <v>6.6599999999999993</v>
      </c>
      <c r="DO8" s="2023">
        <v>15</v>
      </c>
      <c r="DP8" s="2024">
        <v>222.67982320186317</v>
      </c>
      <c r="DQ8" s="2024">
        <v>4.5489871979223141E-2</v>
      </c>
      <c r="DR8" s="2023">
        <v>-3.3979249924155255</v>
      </c>
      <c r="DS8" s="2029">
        <v>6.6599999999999993</v>
      </c>
      <c r="DT8" s="2029">
        <v>6.6599999999999993</v>
      </c>
      <c r="DU8" s="2029">
        <v>6.6599999999999993</v>
      </c>
      <c r="DV8" s="2029">
        <v>6.6599999999999993</v>
      </c>
      <c r="DW8" s="1974"/>
      <c r="DX8" s="2029">
        <v>0</v>
      </c>
      <c r="DY8" s="2029">
        <v>0</v>
      </c>
      <c r="DZ8" s="2029">
        <v>0</v>
      </c>
      <c r="EA8" s="2029">
        <v>57.5</v>
      </c>
      <c r="EB8" s="2029">
        <v>57.5</v>
      </c>
      <c r="EC8" s="2029">
        <v>57.5</v>
      </c>
      <c r="ED8" s="2029">
        <v>57.5</v>
      </c>
      <c r="EE8" s="2039">
        <f t="shared" si="19"/>
        <v>0</v>
      </c>
      <c r="EF8" s="2039">
        <f t="shared" si="8"/>
        <v>0</v>
      </c>
      <c r="EG8" s="2039">
        <f t="shared" si="8"/>
        <v>0</v>
      </c>
      <c r="EH8" s="2039">
        <f t="shared" si="8"/>
        <v>0</v>
      </c>
      <c r="EI8" s="2040">
        <f t="shared" si="20"/>
        <v>0</v>
      </c>
      <c r="EJ8" s="2040">
        <f t="shared" si="9"/>
        <v>0</v>
      </c>
      <c r="EK8" s="2040">
        <f t="shared" si="9"/>
        <v>0</v>
      </c>
      <c r="EL8" s="2040">
        <f t="shared" si="9"/>
        <v>0</v>
      </c>
      <c r="EM8" s="2040">
        <f t="shared" si="9"/>
        <v>0</v>
      </c>
      <c r="EN8" s="2040">
        <f t="shared" si="9"/>
        <v>0</v>
      </c>
      <c r="EO8" s="2040">
        <f t="shared" si="9"/>
        <v>0</v>
      </c>
      <c r="EP8" s="2040">
        <f t="shared" si="9"/>
        <v>0</v>
      </c>
      <c r="EQ8" s="2040">
        <f t="shared" si="9"/>
        <v>0</v>
      </c>
      <c r="ER8" s="2040">
        <f t="shared" si="9"/>
        <v>0</v>
      </c>
      <c r="ES8" s="2040">
        <f t="shared" si="10"/>
        <v>0</v>
      </c>
      <c r="ET8" s="2040">
        <f t="shared" si="10"/>
        <v>0</v>
      </c>
      <c r="EU8" s="2039">
        <f t="shared" si="21"/>
        <v>0</v>
      </c>
      <c r="EV8" s="2039">
        <f t="shared" si="22"/>
        <v>0</v>
      </c>
    </row>
    <row r="9" spans="1:152" x14ac:dyDescent="0.25">
      <c r="A9" s="2041" t="s">
        <v>85</v>
      </c>
      <c r="B9" s="2022" t="s">
        <v>2857</v>
      </c>
      <c r="C9" s="2023">
        <v>15</v>
      </c>
      <c r="D9" s="2024">
        <v>224.89721719069422</v>
      </c>
      <c r="E9" s="2024">
        <v>4.4905993242138939E-2</v>
      </c>
      <c r="F9" s="2023">
        <v>-3.2860315522710426</v>
      </c>
      <c r="G9" s="2025" t="s">
        <v>4</v>
      </c>
      <c r="H9" s="2025" t="s">
        <v>4</v>
      </c>
      <c r="I9" s="2026">
        <v>0.77800000000000002</v>
      </c>
      <c r="J9" s="2026">
        <v>0.77800000000000002</v>
      </c>
      <c r="K9" s="2026">
        <v>0.77800000000000002</v>
      </c>
      <c r="L9" s="2026">
        <v>0.77800000000000002</v>
      </c>
      <c r="M9" s="2027">
        <f t="shared" si="11"/>
        <v>174.97003497436012</v>
      </c>
      <c r="N9" s="2027">
        <f t="shared" si="11"/>
        <v>174.97003497436012</v>
      </c>
      <c r="O9" s="2027">
        <f t="shared" si="11"/>
        <v>174.97003497436012</v>
      </c>
      <c r="P9" s="2027">
        <f t="shared" si="11"/>
        <v>174.97003497436012</v>
      </c>
      <c r="Q9" s="2026">
        <v>0.77800000000000002</v>
      </c>
      <c r="R9" s="2026">
        <v>0.77800000000000002</v>
      </c>
      <c r="S9" s="2026">
        <v>0.77800000000000002</v>
      </c>
      <c r="T9" s="2026">
        <v>0.77800000000000002</v>
      </c>
      <c r="U9" s="2028">
        <f t="shared" si="12"/>
        <v>3.4936862742384098E-2</v>
      </c>
      <c r="V9" s="2028">
        <f t="shared" si="12"/>
        <v>3.4936862742384098E-2</v>
      </c>
      <c r="W9" s="2028">
        <f t="shared" si="12"/>
        <v>3.4936862742384098E-2</v>
      </c>
      <c r="X9" s="2028">
        <f t="shared" si="12"/>
        <v>3.4936862742384098E-2</v>
      </c>
      <c r="Y9" s="2026">
        <v>0.77800000000000002</v>
      </c>
      <c r="Z9" s="2026">
        <v>0.77800000000000002</v>
      </c>
      <c r="AA9" s="2026">
        <v>0.77800000000000002</v>
      </c>
      <c r="AB9" s="2026">
        <v>0.77800000000000002</v>
      </c>
      <c r="AC9" s="2027">
        <f t="shared" si="2"/>
        <v>-2.5565325476668712</v>
      </c>
      <c r="AD9" s="2027">
        <f t="shared" si="2"/>
        <v>-2.5565325476668712</v>
      </c>
      <c r="AE9" s="2027">
        <f t="shared" si="2"/>
        <v>-2.5565325476668712</v>
      </c>
      <c r="AF9" s="2027">
        <f>$F9*AB9</f>
        <v>-2.5565325476668712</v>
      </c>
      <c r="AG9" s="2027">
        <v>1778</v>
      </c>
      <c r="AH9" s="2027">
        <v>0</v>
      </c>
      <c r="AI9" s="2027">
        <v>0</v>
      </c>
      <c r="AJ9" s="2027">
        <v>0</v>
      </c>
      <c r="AK9" s="2027">
        <f>AG9*M9</f>
        <v>311096.7221844123</v>
      </c>
      <c r="AL9" s="2027">
        <f t="shared" si="3"/>
        <v>0</v>
      </c>
      <c r="AM9" s="2027">
        <f t="shared" si="3"/>
        <v>0</v>
      </c>
      <c r="AN9" s="2027">
        <f t="shared" si="3"/>
        <v>0</v>
      </c>
      <c r="AO9" s="2027">
        <f>AG9*AC9</f>
        <v>-4545.514869751697</v>
      </c>
      <c r="AP9" s="2027">
        <f t="shared" si="4"/>
        <v>0</v>
      </c>
      <c r="AQ9" s="2027">
        <f t="shared" si="4"/>
        <v>0</v>
      </c>
      <c r="AR9" s="2027">
        <f t="shared" si="4"/>
        <v>0</v>
      </c>
      <c r="AS9" s="2029">
        <f>14.41*0.15/0.25</f>
        <v>8.645999999999999</v>
      </c>
      <c r="AT9" s="2029">
        <f t="shared" si="13"/>
        <v>8.645999999999999</v>
      </c>
      <c r="AU9" s="2029">
        <f t="shared" si="5"/>
        <v>8.645999999999999</v>
      </c>
      <c r="AV9" s="2029">
        <f t="shared" si="5"/>
        <v>8.645999999999999</v>
      </c>
      <c r="AW9" s="1974"/>
      <c r="AX9" s="2029">
        <f t="shared" si="14"/>
        <v>0</v>
      </c>
      <c r="AY9" s="2029">
        <f t="shared" si="14"/>
        <v>0</v>
      </c>
      <c r="AZ9" s="2029">
        <f t="shared" si="6"/>
        <v>0</v>
      </c>
      <c r="BA9" s="2029">
        <v>57.5</v>
      </c>
      <c r="BB9" s="2029">
        <f t="shared" si="15"/>
        <v>57.5</v>
      </c>
      <c r="BC9" s="2029">
        <f t="shared" si="7"/>
        <v>57.5</v>
      </c>
      <c r="BD9" s="2029">
        <f t="shared" si="7"/>
        <v>57.5</v>
      </c>
      <c r="BE9" s="2030">
        <f t="shared" si="16"/>
        <v>15372.587999999998</v>
      </c>
      <c r="BF9" s="2030">
        <f t="shared" si="16"/>
        <v>0</v>
      </c>
      <c r="BG9" s="2030">
        <f t="shared" si="16"/>
        <v>0</v>
      </c>
      <c r="BH9" s="2030">
        <f t="shared" si="16"/>
        <v>0</v>
      </c>
      <c r="BI9" s="2030">
        <f t="shared" si="17"/>
        <v>0</v>
      </c>
      <c r="BJ9" s="2030">
        <f t="shared" si="17"/>
        <v>0</v>
      </c>
      <c r="BK9" s="2030">
        <f t="shared" si="17"/>
        <v>0</v>
      </c>
      <c r="BL9" s="2030">
        <f t="shared" si="17"/>
        <v>0</v>
      </c>
      <c r="BM9" s="2031"/>
      <c r="BN9" s="2031"/>
      <c r="BO9" s="2031"/>
      <c r="BP9" s="2031"/>
      <c r="BQ9" s="2031"/>
      <c r="BR9" s="2031"/>
      <c r="BS9" s="2031"/>
      <c r="BT9" s="2031"/>
      <c r="BU9" s="2029"/>
      <c r="BV9" s="2029"/>
      <c r="BW9" s="2029"/>
      <c r="BX9" s="2029"/>
      <c r="BY9" s="2029"/>
      <c r="BZ9" s="2032"/>
      <c r="CA9" s="1974"/>
      <c r="CB9" s="1974"/>
      <c r="CC9" s="1974"/>
      <c r="CD9" s="1974"/>
      <c r="CE9" s="1974">
        <v>1</v>
      </c>
      <c r="CF9" s="2033">
        <v>1.3004890754936015E-3</v>
      </c>
      <c r="CG9" s="2026">
        <v>-1.6958426412158009E-3</v>
      </c>
      <c r="CH9" s="2009">
        <v>1</v>
      </c>
      <c r="CI9" s="2029">
        <v>0.67827777777777754</v>
      </c>
      <c r="CK9" s="2029">
        <f t="shared" si="18"/>
        <v>-0.67827777777777754</v>
      </c>
      <c r="CL9" s="2034">
        <v>1</v>
      </c>
      <c r="CM9" s="2026">
        <v>0.31805100441658357</v>
      </c>
      <c r="CN9" s="2026">
        <v>0.31805100441658357</v>
      </c>
      <c r="CO9" s="2026">
        <v>0.31805100441658357</v>
      </c>
      <c r="CP9" s="2035"/>
      <c r="CQ9" s="2036"/>
      <c r="CR9" s="2036"/>
      <c r="CS9" s="2036"/>
      <c r="CT9" s="2036"/>
      <c r="CU9" s="2036"/>
      <c r="CW9" s="1973">
        <v>0</v>
      </c>
      <c r="CX9" s="2037">
        <v>8.645999999999999</v>
      </c>
      <c r="CY9" s="2037">
        <v>8.645999999999999</v>
      </c>
      <c r="CZ9" s="2037">
        <v>8.645999999999999</v>
      </c>
      <c r="DA9" s="2037">
        <v>8.645999999999999</v>
      </c>
      <c r="DJ9" s="1976">
        <v>8.645999999999999</v>
      </c>
      <c r="DK9" s="1973">
        <v>8.645999999999999</v>
      </c>
      <c r="DL9" s="1973">
        <v>8.645999999999999</v>
      </c>
      <c r="DM9" s="1973">
        <v>8.645999999999999</v>
      </c>
      <c r="DO9" s="2023">
        <v>15</v>
      </c>
      <c r="DP9" s="2024">
        <v>224.89721719069422</v>
      </c>
      <c r="DQ9" s="2024">
        <v>4.4905993242138939E-2</v>
      </c>
      <c r="DR9" s="2023">
        <v>-3.2860315522710426</v>
      </c>
      <c r="DS9" s="2029">
        <v>8.645999999999999</v>
      </c>
      <c r="DT9" s="2029">
        <v>8.645999999999999</v>
      </c>
      <c r="DU9" s="2029">
        <v>8.645999999999999</v>
      </c>
      <c r="DV9" s="2029">
        <v>8.645999999999999</v>
      </c>
      <c r="DW9" s="1974"/>
      <c r="DX9" s="2029">
        <v>0</v>
      </c>
      <c r="DY9" s="2029">
        <v>0</v>
      </c>
      <c r="DZ9" s="2029">
        <v>0</v>
      </c>
      <c r="EA9" s="2029">
        <v>57.5</v>
      </c>
      <c r="EB9" s="2029">
        <v>57.5</v>
      </c>
      <c r="EC9" s="2029">
        <v>57.5</v>
      </c>
      <c r="ED9" s="2029">
        <v>57.5</v>
      </c>
      <c r="EE9" s="2039">
        <f t="shared" si="19"/>
        <v>0</v>
      </c>
      <c r="EF9" s="2039">
        <f t="shared" si="8"/>
        <v>0</v>
      </c>
      <c r="EG9" s="2039">
        <f t="shared" si="8"/>
        <v>0</v>
      </c>
      <c r="EH9" s="2039">
        <f t="shared" si="8"/>
        <v>0</v>
      </c>
      <c r="EI9" s="2040">
        <f t="shared" si="20"/>
        <v>0</v>
      </c>
      <c r="EJ9" s="2040">
        <f t="shared" si="9"/>
        <v>0</v>
      </c>
      <c r="EK9" s="2040">
        <f t="shared" si="9"/>
        <v>0</v>
      </c>
      <c r="EL9" s="2040">
        <f t="shared" si="9"/>
        <v>0</v>
      </c>
      <c r="EM9" s="2040">
        <f t="shared" si="9"/>
        <v>0</v>
      </c>
      <c r="EN9" s="2040">
        <f t="shared" si="9"/>
        <v>0</v>
      </c>
      <c r="EO9" s="2040">
        <f t="shared" si="9"/>
        <v>0</v>
      </c>
      <c r="EP9" s="2040">
        <f t="shared" si="9"/>
        <v>0</v>
      </c>
      <c r="EQ9" s="2040">
        <f t="shared" si="9"/>
        <v>0</v>
      </c>
      <c r="ER9" s="2040">
        <f t="shared" si="9"/>
        <v>0</v>
      </c>
      <c r="ES9" s="2040">
        <f t="shared" si="10"/>
        <v>0</v>
      </c>
      <c r="ET9" s="2040">
        <f t="shared" si="10"/>
        <v>0</v>
      </c>
      <c r="EU9" s="2039">
        <f t="shared" si="21"/>
        <v>0</v>
      </c>
      <c r="EV9" s="2039">
        <f t="shared" si="22"/>
        <v>0</v>
      </c>
    </row>
    <row r="10" spans="1:152" x14ac:dyDescent="0.25">
      <c r="A10" s="2041" t="s">
        <v>86</v>
      </c>
      <c r="B10" s="2022" t="s">
        <v>2858</v>
      </c>
      <c r="C10" s="2023">
        <v>15</v>
      </c>
      <c r="D10" s="2024">
        <v>319.7574507204115</v>
      </c>
      <c r="E10" s="2024">
        <v>5.1221804743432534E-2</v>
      </c>
      <c r="F10" s="2023">
        <v>-2.8886794006649192</v>
      </c>
      <c r="G10" s="2025" t="s">
        <v>4</v>
      </c>
      <c r="H10" s="2025" t="s">
        <v>4</v>
      </c>
      <c r="I10" s="2026">
        <v>0.77800000000000002</v>
      </c>
      <c r="J10" s="2026">
        <v>0.77800000000000002</v>
      </c>
      <c r="K10" s="2026">
        <v>0.77800000000000002</v>
      </c>
      <c r="L10" s="2026">
        <v>0.77800000000000002</v>
      </c>
      <c r="M10" s="2027">
        <f t="shared" si="11"/>
        <v>248.77129666048015</v>
      </c>
      <c r="N10" s="2027">
        <f t="shared" si="11"/>
        <v>248.77129666048015</v>
      </c>
      <c r="O10" s="2027">
        <f t="shared" si="11"/>
        <v>248.77129666048015</v>
      </c>
      <c r="P10" s="2027">
        <f t="shared" si="11"/>
        <v>248.77129666048015</v>
      </c>
      <c r="Q10" s="2026">
        <v>0.77800000000000002</v>
      </c>
      <c r="R10" s="2026">
        <v>0.77800000000000002</v>
      </c>
      <c r="S10" s="2026">
        <v>0.77800000000000002</v>
      </c>
      <c r="T10" s="2026">
        <v>0.77800000000000002</v>
      </c>
      <c r="U10" s="2028">
        <f t="shared" si="12"/>
        <v>3.9850564090390513E-2</v>
      </c>
      <c r="V10" s="2028">
        <f t="shared" si="12"/>
        <v>3.9850564090390513E-2</v>
      </c>
      <c r="W10" s="2028">
        <f t="shared" si="12"/>
        <v>3.9850564090390513E-2</v>
      </c>
      <c r="X10" s="2028">
        <f t="shared" si="12"/>
        <v>3.9850564090390513E-2</v>
      </c>
      <c r="Y10" s="2026">
        <v>0.77800000000000002</v>
      </c>
      <c r="Z10" s="2026">
        <v>0.77800000000000002</v>
      </c>
      <c r="AA10" s="2026">
        <v>0.77800000000000002</v>
      </c>
      <c r="AB10" s="2026">
        <v>0.77800000000000002</v>
      </c>
      <c r="AC10" s="2027">
        <f t="shared" si="2"/>
        <v>-2.2473925737173071</v>
      </c>
      <c r="AD10" s="2027">
        <f t="shared" si="2"/>
        <v>-2.2473925737173071</v>
      </c>
      <c r="AE10" s="2027">
        <f t="shared" si="2"/>
        <v>-2.2473925737173071</v>
      </c>
      <c r="AF10" s="2027">
        <f>$F10*AB10</f>
        <v>-2.2473925737173071</v>
      </c>
      <c r="AG10" s="2027">
        <v>297</v>
      </c>
      <c r="AH10" s="2027">
        <v>0</v>
      </c>
      <c r="AI10" s="2027">
        <v>0</v>
      </c>
      <c r="AJ10" s="2027">
        <v>0</v>
      </c>
      <c r="AK10" s="2027">
        <f>AG10*M10</f>
        <v>73885.075108162608</v>
      </c>
      <c r="AL10" s="2027">
        <f t="shared" si="3"/>
        <v>0</v>
      </c>
      <c r="AM10" s="2027">
        <f t="shared" si="3"/>
        <v>0</v>
      </c>
      <c r="AN10" s="2027">
        <f t="shared" si="3"/>
        <v>0</v>
      </c>
      <c r="AO10" s="2027">
        <f>AG10*AC10</f>
        <v>-667.47559439404017</v>
      </c>
      <c r="AP10" s="2027">
        <f t="shared" si="4"/>
        <v>0</v>
      </c>
      <c r="AQ10" s="2027">
        <f t="shared" si="4"/>
        <v>0</v>
      </c>
      <c r="AR10" s="2027">
        <f t="shared" si="4"/>
        <v>0</v>
      </c>
      <c r="AS10" s="2029">
        <f>17.6*0.15/0.25</f>
        <v>10.56</v>
      </c>
      <c r="AT10" s="2029">
        <f t="shared" si="13"/>
        <v>10.56</v>
      </c>
      <c r="AU10" s="2029">
        <f t="shared" si="5"/>
        <v>10.56</v>
      </c>
      <c r="AV10" s="2029">
        <f t="shared" si="5"/>
        <v>10.56</v>
      </c>
      <c r="AW10" s="1974"/>
      <c r="AX10" s="2029">
        <f t="shared" si="14"/>
        <v>0</v>
      </c>
      <c r="AY10" s="2029">
        <f t="shared" si="14"/>
        <v>0</v>
      </c>
      <c r="AZ10" s="2029">
        <f t="shared" si="6"/>
        <v>0</v>
      </c>
      <c r="BA10" s="2029">
        <v>57.5</v>
      </c>
      <c r="BB10" s="2029">
        <f t="shared" si="15"/>
        <v>57.5</v>
      </c>
      <c r="BC10" s="2029">
        <f t="shared" si="7"/>
        <v>57.5</v>
      </c>
      <c r="BD10" s="2029">
        <f t="shared" si="7"/>
        <v>57.5</v>
      </c>
      <c r="BE10" s="2030">
        <f t="shared" si="16"/>
        <v>3136.32</v>
      </c>
      <c r="BF10" s="2030">
        <f t="shared" si="16"/>
        <v>0</v>
      </c>
      <c r="BG10" s="2030">
        <f t="shared" si="16"/>
        <v>0</v>
      </c>
      <c r="BH10" s="2030">
        <f t="shared" si="16"/>
        <v>0</v>
      </c>
      <c r="BI10" s="2030">
        <f t="shared" si="17"/>
        <v>0</v>
      </c>
      <c r="BJ10" s="2030">
        <f t="shared" si="17"/>
        <v>0</v>
      </c>
      <c r="BK10" s="2030">
        <f t="shared" si="17"/>
        <v>0</v>
      </c>
      <c r="BL10" s="2030">
        <f t="shared" si="17"/>
        <v>0</v>
      </c>
      <c r="BM10" s="2031"/>
      <c r="BN10" s="2031"/>
      <c r="BO10" s="2031"/>
      <c r="BP10" s="2031"/>
      <c r="BQ10" s="2031"/>
      <c r="BR10" s="2031"/>
      <c r="BS10" s="2031"/>
      <c r="BT10" s="2031"/>
      <c r="BU10" s="2029"/>
      <c r="BV10" s="2029"/>
      <c r="BW10" s="2029"/>
      <c r="BX10" s="2029"/>
      <c r="BY10" s="2029"/>
      <c r="BZ10" s="2032"/>
      <c r="CA10" s="1974"/>
      <c r="CB10" s="1974"/>
      <c r="CC10" s="1974"/>
      <c r="CD10" s="1974"/>
      <c r="CE10" s="1974">
        <v>1</v>
      </c>
      <c r="CF10" s="2033">
        <v>3.0886449829976441E-4</v>
      </c>
      <c r="CG10" s="2026">
        <v>-2.4902208162968977E-4</v>
      </c>
      <c r="CH10" s="2009">
        <v>1</v>
      </c>
      <c r="CI10" s="2029">
        <v>0.67827777777777754</v>
      </c>
      <c r="CK10" s="2029">
        <f t="shared" si="18"/>
        <v>-0.67827777777777754</v>
      </c>
      <c r="CL10" s="2034">
        <v>1</v>
      </c>
      <c r="CM10" s="2026">
        <v>0.3</v>
      </c>
      <c r="CN10" s="2026">
        <v>0.3</v>
      </c>
      <c r="CO10" s="2026">
        <v>0.3</v>
      </c>
      <c r="CP10" s="2035"/>
      <c r="CQ10" s="2036"/>
      <c r="CR10" s="2036"/>
      <c r="CS10" s="2036"/>
      <c r="CT10" s="2036"/>
      <c r="CU10" s="2036"/>
      <c r="CW10" s="1973">
        <v>0</v>
      </c>
      <c r="CX10" s="2037">
        <v>10.56</v>
      </c>
      <c r="CY10" s="2037">
        <v>10.56</v>
      </c>
      <c r="CZ10" s="2037">
        <v>10.56</v>
      </c>
      <c r="DA10" s="2037">
        <v>10.56</v>
      </c>
      <c r="DJ10" s="1976">
        <v>10.56</v>
      </c>
      <c r="DK10" s="1973">
        <v>10.56</v>
      </c>
      <c r="DL10" s="1973">
        <v>10.56</v>
      </c>
      <c r="DM10" s="1973">
        <v>10.56</v>
      </c>
      <c r="DO10" s="2023">
        <v>15</v>
      </c>
      <c r="DP10" s="2024">
        <v>319.7574507204115</v>
      </c>
      <c r="DQ10" s="2024">
        <v>5.1221804743432534E-2</v>
      </c>
      <c r="DR10" s="2023">
        <v>-2.8886794006649192</v>
      </c>
      <c r="DS10" s="2029">
        <v>10.56</v>
      </c>
      <c r="DT10" s="2029">
        <v>10.56</v>
      </c>
      <c r="DU10" s="2029">
        <v>10.56</v>
      </c>
      <c r="DV10" s="2029">
        <v>10.56</v>
      </c>
      <c r="DW10" s="1974"/>
      <c r="DX10" s="2029">
        <v>0</v>
      </c>
      <c r="DY10" s="2029">
        <v>0</v>
      </c>
      <c r="DZ10" s="2029">
        <v>0</v>
      </c>
      <c r="EA10" s="2029">
        <v>57.5</v>
      </c>
      <c r="EB10" s="2029">
        <v>57.5</v>
      </c>
      <c r="EC10" s="2029">
        <v>57.5</v>
      </c>
      <c r="ED10" s="2029">
        <v>57.5</v>
      </c>
      <c r="EE10" s="2039">
        <f t="shared" si="19"/>
        <v>0</v>
      </c>
      <c r="EF10" s="2039">
        <f t="shared" si="8"/>
        <v>0</v>
      </c>
      <c r="EG10" s="2039">
        <f t="shared" si="8"/>
        <v>0</v>
      </c>
      <c r="EH10" s="2039">
        <f t="shared" si="8"/>
        <v>0</v>
      </c>
      <c r="EI10" s="2040">
        <f t="shared" si="20"/>
        <v>0</v>
      </c>
      <c r="EJ10" s="2040">
        <f t="shared" si="9"/>
        <v>0</v>
      </c>
      <c r="EK10" s="2040">
        <f t="shared" si="9"/>
        <v>0</v>
      </c>
      <c r="EL10" s="2040">
        <f t="shared" si="9"/>
        <v>0</v>
      </c>
      <c r="EM10" s="2040">
        <f t="shared" si="9"/>
        <v>0</v>
      </c>
      <c r="EN10" s="2040">
        <f t="shared" si="9"/>
        <v>0</v>
      </c>
      <c r="EO10" s="2040">
        <f t="shared" si="9"/>
        <v>0</v>
      </c>
      <c r="EP10" s="2040">
        <f t="shared" si="9"/>
        <v>0</v>
      </c>
      <c r="EQ10" s="2040">
        <f t="shared" si="9"/>
        <v>0</v>
      </c>
      <c r="ER10" s="2040">
        <f t="shared" si="9"/>
        <v>0</v>
      </c>
      <c r="ES10" s="2040">
        <f t="shared" si="10"/>
        <v>0</v>
      </c>
      <c r="ET10" s="2040">
        <f t="shared" si="10"/>
        <v>0</v>
      </c>
      <c r="EU10" s="2039">
        <f t="shared" si="21"/>
        <v>0</v>
      </c>
      <c r="EV10" s="2039">
        <f t="shared" si="22"/>
        <v>0</v>
      </c>
    </row>
    <row r="11" spans="1:152" x14ac:dyDescent="0.25">
      <c r="A11" s="2041" t="s">
        <v>87</v>
      </c>
      <c r="B11" s="2022" t="s">
        <v>2859</v>
      </c>
      <c r="C11" s="2023">
        <v>15</v>
      </c>
      <c r="D11" s="2024">
        <v>77.523887002924553</v>
      </c>
      <c r="E11" s="2024">
        <v>1.4520596673392477E-2</v>
      </c>
      <c r="F11" s="2023">
        <v>-1.2747637537728052</v>
      </c>
      <c r="G11" s="2025" t="s">
        <v>4</v>
      </c>
      <c r="H11" s="2025" t="s">
        <v>4</v>
      </c>
      <c r="I11" s="2026">
        <v>0.77800000000000002</v>
      </c>
      <c r="J11" s="2026">
        <v>0.77800000000000002</v>
      </c>
      <c r="K11" s="2026">
        <v>0.77800000000000002</v>
      </c>
      <c r="L11" s="2026">
        <v>0.77800000000000002</v>
      </c>
      <c r="M11" s="2027">
        <f t="shared" si="11"/>
        <v>60.313584088275306</v>
      </c>
      <c r="N11" s="2027">
        <f t="shared" si="11"/>
        <v>60.313584088275306</v>
      </c>
      <c r="O11" s="2027">
        <f t="shared" si="11"/>
        <v>60.313584088275306</v>
      </c>
      <c r="P11" s="2027">
        <f t="shared" si="11"/>
        <v>60.313584088275306</v>
      </c>
      <c r="Q11" s="2026">
        <v>0.77800000000000002</v>
      </c>
      <c r="R11" s="2026">
        <v>0.77800000000000002</v>
      </c>
      <c r="S11" s="2026">
        <v>0.77800000000000002</v>
      </c>
      <c r="T11" s="2026">
        <v>0.77800000000000002</v>
      </c>
      <c r="U11" s="2028">
        <f t="shared" si="12"/>
        <v>1.1297024211899348E-2</v>
      </c>
      <c r="V11" s="2028">
        <f t="shared" si="12"/>
        <v>1.1297024211899348E-2</v>
      </c>
      <c r="W11" s="2028">
        <f t="shared" si="12"/>
        <v>1.1297024211899348E-2</v>
      </c>
      <c r="X11" s="2028">
        <f t="shared" si="12"/>
        <v>1.1297024211899348E-2</v>
      </c>
      <c r="Y11" s="2026">
        <v>0.77800000000000002</v>
      </c>
      <c r="Z11" s="2026">
        <v>0.77800000000000002</v>
      </c>
      <c r="AA11" s="2026">
        <v>0.77800000000000002</v>
      </c>
      <c r="AB11" s="2026">
        <v>0.77800000000000002</v>
      </c>
      <c r="AC11" s="2027">
        <f t="shared" si="2"/>
        <v>-0.99176620043524244</v>
      </c>
      <c r="AD11" s="2027">
        <f t="shared" si="2"/>
        <v>-0.99176620043524244</v>
      </c>
      <c r="AE11" s="2027">
        <f t="shared" si="2"/>
        <v>-0.99176620043524244</v>
      </c>
      <c r="AF11" s="2027">
        <f t="shared" si="2"/>
        <v>-0.99176620043524244</v>
      </c>
      <c r="AG11" s="2027">
        <v>1722</v>
      </c>
      <c r="AH11" s="2027">
        <v>0</v>
      </c>
      <c r="AI11" s="2027">
        <v>0</v>
      </c>
      <c r="AJ11" s="2027">
        <v>0</v>
      </c>
      <c r="AK11" s="2027">
        <f t="shared" ref="AK11:AK21" si="23">AG11*M11</f>
        <v>103859.99180001007</v>
      </c>
      <c r="AL11" s="2027">
        <f t="shared" si="3"/>
        <v>0</v>
      </c>
      <c r="AM11" s="2027">
        <f t="shared" si="3"/>
        <v>0</v>
      </c>
      <c r="AN11" s="2027">
        <f t="shared" si="3"/>
        <v>0</v>
      </c>
      <c r="AO11" s="2027">
        <f t="shared" ref="AO11:AO21" si="24">AG11*AC11</f>
        <v>-1707.8213971494874</v>
      </c>
      <c r="AP11" s="2027">
        <f t="shared" si="4"/>
        <v>0</v>
      </c>
      <c r="AQ11" s="2027">
        <f t="shared" si="4"/>
        <v>0</v>
      </c>
      <c r="AR11" s="2027">
        <f t="shared" si="4"/>
        <v>0</v>
      </c>
      <c r="AS11" s="2029">
        <f>8.88*0.15/0.25</f>
        <v>5.3280000000000003</v>
      </c>
      <c r="AT11" s="2029">
        <f t="shared" si="13"/>
        <v>5.3280000000000003</v>
      </c>
      <c r="AU11" s="2029">
        <f t="shared" si="5"/>
        <v>5.3280000000000003</v>
      </c>
      <c r="AV11" s="2029">
        <f t="shared" si="5"/>
        <v>5.3280000000000003</v>
      </c>
      <c r="AW11" s="1974"/>
      <c r="AX11" s="2029">
        <f t="shared" si="14"/>
        <v>0</v>
      </c>
      <c r="AY11" s="2029">
        <f t="shared" si="14"/>
        <v>0</v>
      </c>
      <c r="AZ11" s="2029">
        <f t="shared" si="6"/>
        <v>0</v>
      </c>
      <c r="BA11" s="2029">
        <v>56.25</v>
      </c>
      <c r="BB11" s="2029">
        <f t="shared" si="15"/>
        <v>56.25</v>
      </c>
      <c r="BC11" s="2029">
        <f t="shared" si="7"/>
        <v>56.25</v>
      </c>
      <c r="BD11" s="2029">
        <f t="shared" si="7"/>
        <v>56.25</v>
      </c>
      <c r="BE11" s="2030">
        <f t="shared" si="16"/>
        <v>9174.8160000000007</v>
      </c>
      <c r="BF11" s="2030">
        <f t="shared" si="16"/>
        <v>0</v>
      </c>
      <c r="BG11" s="2030">
        <f t="shared" si="16"/>
        <v>0</v>
      </c>
      <c r="BH11" s="2030">
        <f t="shared" si="16"/>
        <v>0</v>
      </c>
      <c r="BI11" s="2030">
        <f t="shared" si="17"/>
        <v>0</v>
      </c>
      <c r="BJ11" s="2030">
        <f t="shared" si="17"/>
        <v>0</v>
      </c>
      <c r="BK11" s="2030">
        <f t="shared" si="17"/>
        <v>0</v>
      </c>
      <c r="BL11" s="2030">
        <f t="shared" si="17"/>
        <v>0</v>
      </c>
      <c r="BM11" s="2031"/>
      <c r="BN11" s="2031"/>
      <c r="BO11" s="2031"/>
      <c r="BP11" s="2031"/>
      <c r="BQ11" s="2031"/>
      <c r="BR11" s="2031"/>
      <c r="BS11" s="2031"/>
      <c r="BT11" s="2031"/>
      <c r="BU11" s="2029"/>
      <c r="BV11" s="2029"/>
      <c r="BW11" s="2029"/>
      <c r="BX11" s="2029"/>
      <c r="BY11" s="2029"/>
      <c r="BZ11" s="2032"/>
      <c r="CA11" s="1974"/>
      <c r="CB11" s="1974"/>
      <c r="CC11" s="1974"/>
      <c r="CD11" s="1974"/>
      <c r="CE11" s="1974">
        <v>0</v>
      </c>
      <c r="CF11" s="2033">
        <v>4.3416974556453826E-4</v>
      </c>
      <c r="CG11" s="2026">
        <v>-6.371547408500841E-4</v>
      </c>
      <c r="CH11" s="2009">
        <v>1</v>
      </c>
      <c r="CI11" s="2029">
        <v>-1.1477222222222219</v>
      </c>
      <c r="CK11" s="2029">
        <f t="shared" si="18"/>
        <v>1.1477222222222219</v>
      </c>
      <c r="CL11" s="2034">
        <v>1</v>
      </c>
      <c r="CM11" s="2026">
        <v>1</v>
      </c>
      <c r="CN11" s="2026">
        <v>1</v>
      </c>
      <c r="CO11" s="2026">
        <v>1</v>
      </c>
      <c r="CP11" s="2035"/>
      <c r="CQ11" s="2036"/>
      <c r="CR11" s="2036"/>
      <c r="CS11" s="2036"/>
      <c r="CT11" s="2036"/>
      <c r="CU11" s="2036"/>
      <c r="CW11" s="1973">
        <v>0</v>
      </c>
      <c r="CX11" s="2037">
        <v>5.3280000000000003</v>
      </c>
      <c r="CY11" s="2037">
        <v>5.3280000000000003</v>
      </c>
      <c r="CZ11" s="2037">
        <v>5.3280000000000003</v>
      </c>
      <c r="DA11" s="2037">
        <v>5.3280000000000003</v>
      </c>
      <c r="DJ11" s="1976">
        <v>5.3280000000000003</v>
      </c>
      <c r="DK11" s="1973">
        <v>5.3280000000000003</v>
      </c>
      <c r="DL11" s="1973">
        <v>5.3280000000000003</v>
      </c>
      <c r="DM11" s="1973">
        <v>5.3280000000000003</v>
      </c>
      <c r="DO11" s="2023">
        <v>15</v>
      </c>
      <c r="DP11" s="2024">
        <v>77.523887002924553</v>
      </c>
      <c r="DQ11" s="2024">
        <v>1.4520596673392477E-2</v>
      </c>
      <c r="DR11" s="2023">
        <v>-1.2747637537728052</v>
      </c>
      <c r="DS11" s="2029">
        <v>5.3280000000000003</v>
      </c>
      <c r="DT11" s="2029">
        <v>5.3280000000000003</v>
      </c>
      <c r="DU11" s="2029">
        <v>5.3280000000000003</v>
      </c>
      <c r="DV11" s="2029">
        <v>5.3280000000000003</v>
      </c>
      <c r="DW11" s="1974"/>
      <c r="DX11" s="2029">
        <v>0</v>
      </c>
      <c r="DY11" s="2029">
        <v>0</v>
      </c>
      <c r="DZ11" s="2029">
        <v>0</v>
      </c>
      <c r="EA11" s="2029">
        <v>56.25</v>
      </c>
      <c r="EB11" s="2029">
        <v>56.25</v>
      </c>
      <c r="EC11" s="2029">
        <v>56.25</v>
      </c>
      <c r="ED11" s="2029">
        <v>56.25</v>
      </c>
      <c r="EE11" s="2039">
        <f t="shared" si="19"/>
        <v>0</v>
      </c>
      <c r="EF11" s="2039">
        <f t="shared" si="8"/>
        <v>0</v>
      </c>
      <c r="EG11" s="2039">
        <f t="shared" si="8"/>
        <v>0</v>
      </c>
      <c r="EH11" s="2039">
        <f t="shared" si="8"/>
        <v>0</v>
      </c>
      <c r="EI11" s="2040">
        <f t="shared" si="20"/>
        <v>0</v>
      </c>
      <c r="EJ11" s="2040">
        <f t="shared" si="9"/>
        <v>0</v>
      </c>
      <c r="EK11" s="2040">
        <f t="shared" si="9"/>
        <v>0</v>
      </c>
      <c r="EL11" s="2040">
        <f t="shared" si="9"/>
        <v>0</v>
      </c>
      <c r="EM11" s="2040">
        <f t="shared" si="9"/>
        <v>0</v>
      </c>
      <c r="EN11" s="2040">
        <f t="shared" si="9"/>
        <v>0</v>
      </c>
      <c r="EO11" s="2040">
        <f t="shared" si="9"/>
        <v>0</v>
      </c>
      <c r="EP11" s="2040">
        <f t="shared" si="9"/>
        <v>0</v>
      </c>
      <c r="EQ11" s="2040">
        <f t="shared" si="9"/>
        <v>0</v>
      </c>
      <c r="ER11" s="2040">
        <f t="shared" si="9"/>
        <v>0</v>
      </c>
      <c r="ES11" s="2040">
        <f t="shared" si="10"/>
        <v>0</v>
      </c>
      <c r="ET11" s="2040">
        <f t="shared" si="10"/>
        <v>0</v>
      </c>
      <c r="EU11" s="2039">
        <f t="shared" si="21"/>
        <v>0</v>
      </c>
      <c r="EV11" s="2039">
        <f t="shared" si="22"/>
        <v>0</v>
      </c>
    </row>
    <row r="12" spans="1:152" x14ac:dyDescent="0.25">
      <c r="A12" s="2041" t="s">
        <v>88</v>
      </c>
      <c r="B12" s="2022" t="s">
        <v>2860</v>
      </c>
      <c r="C12" s="2023">
        <v>15</v>
      </c>
      <c r="D12" s="2024">
        <v>246.4236010968103</v>
      </c>
      <c r="E12" s="2024">
        <v>4.6487532256076713E-2</v>
      </c>
      <c r="F12" s="2023">
        <v>-2.8002599595061124</v>
      </c>
      <c r="G12" s="2025" t="s">
        <v>4</v>
      </c>
      <c r="H12" s="2025" t="s">
        <v>4</v>
      </c>
      <c r="I12" s="2026">
        <v>0.77800000000000002</v>
      </c>
      <c r="J12" s="2026">
        <v>0.77800000000000002</v>
      </c>
      <c r="K12" s="2026">
        <v>0.77800000000000002</v>
      </c>
      <c r="L12" s="2026">
        <v>0.77800000000000002</v>
      </c>
      <c r="M12" s="2027">
        <f t="shared" si="11"/>
        <v>191.71756165331843</v>
      </c>
      <c r="N12" s="2027">
        <f t="shared" si="11"/>
        <v>191.71756165331843</v>
      </c>
      <c r="O12" s="2027">
        <f t="shared" si="11"/>
        <v>191.71756165331843</v>
      </c>
      <c r="P12" s="2027">
        <f t="shared" si="11"/>
        <v>191.71756165331843</v>
      </c>
      <c r="Q12" s="2026">
        <v>0.77800000000000002</v>
      </c>
      <c r="R12" s="2026">
        <v>0.77800000000000002</v>
      </c>
      <c r="S12" s="2026">
        <v>0.77800000000000002</v>
      </c>
      <c r="T12" s="2026">
        <v>0.77800000000000002</v>
      </c>
      <c r="U12" s="2028">
        <f t="shared" si="12"/>
        <v>3.6167300095227686E-2</v>
      </c>
      <c r="V12" s="2028">
        <f t="shared" si="12"/>
        <v>3.6167300095227686E-2</v>
      </c>
      <c r="W12" s="2028">
        <f t="shared" si="12"/>
        <v>3.6167300095227686E-2</v>
      </c>
      <c r="X12" s="2028">
        <f t="shared" si="12"/>
        <v>3.6167300095227686E-2</v>
      </c>
      <c r="Y12" s="2026">
        <v>0.77800000000000002</v>
      </c>
      <c r="Z12" s="2026">
        <v>0.77800000000000002</v>
      </c>
      <c r="AA12" s="2026">
        <v>0.77800000000000002</v>
      </c>
      <c r="AB12" s="2026">
        <v>0.77800000000000002</v>
      </c>
      <c r="AC12" s="2027">
        <f t="shared" si="2"/>
        <v>-2.1786022484957557</v>
      </c>
      <c r="AD12" s="2027">
        <f t="shared" si="2"/>
        <v>-2.1786022484957557</v>
      </c>
      <c r="AE12" s="2027">
        <f t="shared" si="2"/>
        <v>-2.1786022484957557</v>
      </c>
      <c r="AF12" s="2027">
        <f t="shared" si="2"/>
        <v>-2.1786022484957557</v>
      </c>
      <c r="AG12" s="2027">
        <v>32</v>
      </c>
      <c r="AH12" s="2027">
        <v>0</v>
      </c>
      <c r="AI12" s="2027">
        <v>0</v>
      </c>
      <c r="AJ12" s="2027">
        <v>0</v>
      </c>
      <c r="AK12" s="2027">
        <f t="shared" si="23"/>
        <v>6134.9619729061897</v>
      </c>
      <c r="AL12" s="2027">
        <f t="shared" si="3"/>
        <v>0</v>
      </c>
      <c r="AM12" s="2027">
        <f t="shared" si="3"/>
        <v>0</v>
      </c>
      <c r="AN12" s="2027">
        <f t="shared" si="3"/>
        <v>0</v>
      </c>
      <c r="AO12" s="2027">
        <f t="shared" si="24"/>
        <v>-69.715271951864182</v>
      </c>
      <c r="AP12" s="2027">
        <f t="shared" si="4"/>
        <v>0</v>
      </c>
      <c r="AQ12" s="2027">
        <f t="shared" si="4"/>
        <v>0</v>
      </c>
      <c r="AR12" s="2027">
        <f t="shared" si="4"/>
        <v>0</v>
      </c>
      <c r="AS12" s="2029">
        <f>1.5*0.15/0.2</f>
        <v>1.1249999999999998</v>
      </c>
      <c r="AT12" s="2029">
        <f t="shared" si="13"/>
        <v>1.1249999999999998</v>
      </c>
      <c r="AU12" s="2029">
        <f t="shared" si="5"/>
        <v>1.1249999999999998</v>
      </c>
      <c r="AV12" s="2029">
        <f t="shared" si="5"/>
        <v>1.1249999999999998</v>
      </c>
      <c r="AW12" s="1974"/>
      <c r="AX12" s="2029">
        <f t="shared" si="14"/>
        <v>0</v>
      </c>
      <c r="AY12" s="2029">
        <f t="shared" si="14"/>
        <v>0</v>
      </c>
      <c r="AZ12" s="2029">
        <f t="shared" si="6"/>
        <v>0</v>
      </c>
      <c r="BA12" s="2029">
        <v>57.5</v>
      </c>
      <c r="BB12" s="2029">
        <f t="shared" si="15"/>
        <v>57.5</v>
      </c>
      <c r="BC12" s="2029">
        <f t="shared" si="7"/>
        <v>57.5</v>
      </c>
      <c r="BD12" s="2029">
        <f t="shared" si="7"/>
        <v>57.5</v>
      </c>
      <c r="BE12" s="2030">
        <f t="shared" si="16"/>
        <v>35.999999999999993</v>
      </c>
      <c r="BF12" s="2030">
        <f t="shared" si="16"/>
        <v>0</v>
      </c>
      <c r="BG12" s="2030">
        <f t="shared" si="16"/>
        <v>0</v>
      </c>
      <c r="BH12" s="2030">
        <f t="shared" si="16"/>
        <v>0</v>
      </c>
      <c r="BI12" s="2030">
        <f t="shared" si="17"/>
        <v>0</v>
      </c>
      <c r="BJ12" s="2030">
        <f t="shared" si="17"/>
        <v>0</v>
      </c>
      <c r="BK12" s="2030">
        <f t="shared" si="17"/>
        <v>0</v>
      </c>
      <c r="BL12" s="2030">
        <f t="shared" si="17"/>
        <v>0</v>
      </c>
      <c r="BM12" s="2031"/>
      <c r="BN12" s="2031"/>
      <c r="BO12" s="2031"/>
      <c r="BP12" s="2031"/>
      <c r="BQ12" s="2031"/>
      <c r="BR12" s="2031"/>
      <c r="BS12" s="2031"/>
      <c r="BT12" s="2031"/>
      <c r="BU12" s="2029"/>
      <c r="BV12" s="2029"/>
      <c r="BW12" s="2029"/>
      <c r="BX12" s="2029"/>
      <c r="BY12" s="2029"/>
      <c r="BZ12" s="2032"/>
      <c r="CA12" s="1974"/>
      <c r="CB12" s="1974"/>
      <c r="CC12" s="1974"/>
      <c r="CD12" s="1974"/>
      <c r="CE12" s="1974">
        <v>1</v>
      </c>
      <c r="CF12" s="2033">
        <v>2.5646207289846327E-5</v>
      </c>
      <c r="CG12" s="2026">
        <v>-2.6009403622605554E-5</v>
      </c>
      <c r="CH12" s="2009">
        <v>1</v>
      </c>
      <c r="CI12" s="2029">
        <v>0.67827777777777754</v>
      </c>
      <c r="CK12" s="2029">
        <f t="shared" si="18"/>
        <v>-0.67827777777777754</v>
      </c>
      <c r="CL12" s="2034">
        <v>1</v>
      </c>
      <c r="CM12" s="2026">
        <v>0.45</v>
      </c>
      <c r="CN12" s="2026">
        <v>0.45</v>
      </c>
      <c r="CO12" s="2026">
        <v>0.45</v>
      </c>
      <c r="CP12" s="2035"/>
      <c r="CQ12" s="2036"/>
      <c r="CR12" s="2036"/>
      <c r="CS12" s="2036"/>
      <c r="CT12" s="2036"/>
      <c r="CU12" s="2036"/>
      <c r="CW12" s="1973">
        <v>0</v>
      </c>
      <c r="CX12" s="2037">
        <v>1.1249999999999998</v>
      </c>
      <c r="CY12" s="2037">
        <v>1.1249999999999998</v>
      </c>
      <c r="CZ12" s="2037">
        <v>1.1249999999999998</v>
      </c>
      <c r="DA12" s="2037">
        <v>1.1249999999999998</v>
      </c>
      <c r="DJ12" s="1976">
        <v>1.1249999999999998</v>
      </c>
      <c r="DK12" s="1973">
        <v>1.1249999999999998</v>
      </c>
      <c r="DL12" s="1973">
        <v>1.1249999999999998</v>
      </c>
      <c r="DM12" s="1973">
        <v>1.1249999999999998</v>
      </c>
      <c r="DO12" s="2023">
        <v>15</v>
      </c>
      <c r="DP12" s="2024">
        <v>246.4236010968103</v>
      </c>
      <c r="DQ12" s="2024">
        <v>4.6487532256076713E-2</v>
      </c>
      <c r="DR12" s="2023">
        <v>-2.8002599595061124</v>
      </c>
      <c r="DS12" s="2029">
        <v>1.1249999999999998</v>
      </c>
      <c r="DT12" s="2029">
        <v>1.1249999999999998</v>
      </c>
      <c r="DU12" s="2029">
        <v>1.1249999999999998</v>
      </c>
      <c r="DV12" s="2029">
        <v>1.1249999999999998</v>
      </c>
      <c r="DW12" s="1974"/>
      <c r="DX12" s="2029">
        <v>0</v>
      </c>
      <c r="DY12" s="2029">
        <v>0</v>
      </c>
      <c r="DZ12" s="2029">
        <v>0</v>
      </c>
      <c r="EA12" s="2029">
        <v>57.5</v>
      </c>
      <c r="EB12" s="2029">
        <v>57.5</v>
      </c>
      <c r="EC12" s="2029">
        <v>57.5</v>
      </c>
      <c r="ED12" s="2029">
        <v>57.5</v>
      </c>
      <c r="EE12" s="2039">
        <f t="shared" si="19"/>
        <v>0</v>
      </c>
      <c r="EF12" s="2039">
        <f t="shared" si="8"/>
        <v>0</v>
      </c>
      <c r="EG12" s="2039">
        <f t="shared" si="8"/>
        <v>0</v>
      </c>
      <c r="EH12" s="2039">
        <f t="shared" si="8"/>
        <v>0</v>
      </c>
      <c r="EI12" s="2040">
        <f t="shared" si="20"/>
        <v>0</v>
      </c>
      <c r="EJ12" s="2040">
        <f t="shared" si="9"/>
        <v>0</v>
      </c>
      <c r="EK12" s="2040">
        <f t="shared" si="9"/>
        <v>0</v>
      </c>
      <c r="EL12" s="2040">
        <f t="shared" si="9"/>
        <v>0</v>
      </c>
      <c r="EM12" s="2040">
        <f t="shared" si="9"/>
        <v>0</v>
      </c>
      <c r="EN12" s="2040">
        <f t="shared" si="9"/>
        <v>0</v>
      </c>
      <c r="EO12" s="2040">
        <f t="shared" si="9"/>
        <v>0</v>
      </c>
      <c r="EP12" s="2040">
        <f t="shared" si="9"/>
        <v>0</v>
      </c>
      <c r="EQ12" s="2040">
        <f t="shared" si="9"/>
        <v>0</v>
      </c>
      <c r="ER12" s="2040">
        <f t="shared" si="9"/>
        <v>0</v>
      </c>
      <c r="ES12" s="2040">
        <f t="shared" si="10"/>
        <v>0</v>
      </c>
      <c r="ET12" s="2040">
        <f t="shared" si="10"/>
        <v>0</v>
      </c>
      <c r="EU12" s="2039">
        <f t="shared" si="21"/>
        <v>0</v>
      </c>
      <c r="EV12" s="2039">
        <f t="shared" si="22"/>
        <v>0</v>
      </c>
    </row>
    <row r="13" spans="1:152" x14ac:dyDescent="0.25">
      <c r="A13" s="2041" t="s">
        <v>89</v>
      </c>
      <c r="B13" s="2022" t="s">
        <v>2861</v>
      </c>
      <c r="C13" s="2023">
        <v>15</v>
      </c>
      <c r="D13" s="2024">
        <v>297.46518499043776</v>
      </c>
      <c r="E13" s="2024">
        <v>6.1601995290690145E-2</v>
      </c>
      <c r="F13" s="2023">
        <v>-4.5766954392087689</v>
      </c>
      <c r="G13" s="2025" t="s">
        <v>4</v>
      </c>
      <c r="H13" s="2025" t="s">
        <v>4</v>
      </c>
      <c r="I13" s="2026">
        <v>0.77800000000000002</v>
      </c>
      <c r="J13" s="2026">
        <v>0.77800000000000002</v>
      </c>
      <c r="K13" s="2026">
        <v>0.77800000000000002</v>
      </c>
      <c r="L13" s="2026">
        <v>0.77800000000000002</v>
      </c>
      <c r="M13" s="2027">
        <f t="shared" si="11"/>
        <v>231.42791392256058</v>
      </c>
      <c r="N13" s="2027">
        <f t="shared" si="11"/>
        <v>231.42791392256058</v>
      </c>
      <c r="O13" s="2027">
        <f t="shared" si="11"/>
        <v>231.42791392256058</v>
      </c>
      <c r="P13" s="2027">
        <f t="shared" si="11"/>
        <v>231.42791392256058</v>
      </c>
      <c r="Q13" s="2026">
        <v>0.77800000000000002</v>
      </c>
      <c r="R13" s="2026">
        <v>0.77800000000000002</v>
      </c>
      <c r="S13" s="2026">
        <v>0.77800000000000002</v>
      </c>
      <c r="T13" s="2026">
        <v>0.77800000000000002</v>
      </c>
      <c r="U13" s="2028">
        <f t="shared" si="12"/>
        <v>4.7926352336156934E-2</v>
      </c>
      <c r="V13" s="2028">
        <f t="shared" si="12"/>
        <v>4.7926352336156934E-2</v>
      </c>
      <c r="W13" s="2028">
        <f t="shared" si="12"/>
        <v>4.7926352336156934E-2</v>
      </c>
      <c r="X13" s="2028">
        <f t="shared" si="12"/>
        <v>4.7926352336156934E-2</v>
      </c>
      <c r="Y13" s="2026">
        <v>0.77800000000000002</v>
      </c>
      <c r="Z13" s="2026">
        <v>0.77800000000000002</v>
      </c>
      <c r="AA13" s="2026">
        <v>0.77800000000000002</v>
      </c>
      <c r="AB13" s="2026">
        <v>0.77800000000000002</v>
      </c>
      <c r="AC13" s="2027">
        <f t="shared" si="2"/>
        <v>-3.5606690517044224</v>
      </c>
      <c r="AD13" s="2027">
        <f t="shared" si="2"/>
        <v>-3.5606690517044224</v>
      </c>
      <c r="AE13" s="2027">
        <f t="shared" si="2"/>
        <v>-3.5606690517044224</v>
      </c>
      <c r="AF13" s="2027">
        <f t="shared" si="2"/>
        <v>-3.5606690517044224</v>
      </c>
      <c r="AG13" s="2027">
        <v>416</v>
      </c>
      <c r="AH13" s="2027">
        <v>0</v>
      </c>
      <c r="AI13" s="2027">
        <v>0</v>
      </c>
      <c r="AJ13" s="2027">
        <v>0</v>
      </c>
      <c r="AK13" s="2027">
        <f t="shared" si="23"/>
        <v>96274.012191785194</v>
      </c>
      <c r="AL13" s="2027">
        <f t="shared" si="3"/>
        <v>0</v>
      </c>
      <c r="AM13" s="2027">
        <f t="shared" si="3"/>
        <v>0</v>
      </c>
      <c r="AN13" s="2027">
        <f t="shared" si="3"/>
        <v>0</v>
      </c>
      <c r="AO13" s="2027">
        <f t="shared" si="24"/>
        <v>-1481.2383255090397</v>
      </c>
      <c r="AP13" s="2027">
        <f t="shared" si="4"/>
        <v>0</v>
      </c>
      <c r="AQ13" s="2027">
        <f t="shared" si="4"/>
        <v>0</v>
      </c>
      <c r="AR13" s="2027">
        <f t="shared" si="4"/>
        <v>0</v>
      </c>
      <c r="AS13" s="2029">
        <f>11.041665*0.15/0.25</f>
        <v>6.6249989999999999</v>
      </c>
      <c r="AT13" s="2029">
        <f t="shared" si="13"/>
        <v>6.6249989999999999</v>
      </c>
      <c r="AU13" s="2029">
        <f t="shared" si="5"/>
        <v>6.6249989999999999</v>
      </c>
      <c r="AV13" s="2029">
        <f t="shared" si="5"/>
        <v>6.6249989999999999</v>
      </c>
      <c r="AW13" s="1974"/>
      <c r="AX13" s="2029">
        <f t="shared" si="14"/>
        <v>0</v>
      </c>
      <c r="AY13" s="2029">
        <f t="shared" si="14"/>
        <v>0</v>
      </c>
      <c r="AZ13" s="2029">
        <f t="shared" si="6"/>
        <v>0</v>
      </c>
      <c r="BA13" s="2029">
        <v>57.5</v>
      </c>
      <c r="BB13" s="2029">
        <f t="shared" si="15"/>
        <v>57.5</v>
      </c>
      <c r="BC13" s="2029">
        <f t="shared" si="7"/>
        <v>57.5</v>
      </c>
      <c r="BD13" s="2029">
        <f t="shared" si="7"/>
        <v>57.5</v>
      </c>
      <c r="BE13" s="2030">
        <f t="shared" si="16"/>
        <v>2755.9995840000001</v>
      </c>
      <c r="BF13" s="2030">
        <f t="shared" si="16"/>
        <v>0</v>
      </c>
      <c r="BG13" s="2030">
        <f t="shared" si="16"/>
        <v>0</v>
      </c>
      <c r="BH13" s="2030">
        <f t="shared" si="16"/>
        <v>0</v>
      </c>
      <c r="BI13" s="2030">
        <f t="shared" si="17"/>
        <v>0</v>
      </c>
      <c r="BJ13" s="2030">
        <f t="shared" si="17"/>
        <v>0</v>
      </c>
      <c r="BK13" s="2030">
        <f t="shared" si="17"/>
        <v>0</v>
      </c>
      <c r="BL13" s="2030">
        <f t="shared" si="17"/>
        <v>0</v>
      </c>
      <c r="BM13" s="2031"/>
      <c r="BN13" s="2031"/>
      <c r="BO13" s="2031"/>
      <c r="BP13" s="2031"/>
      <c r="BQ13" s="2031"/>
      <c r="BR13" s="2031"/>
      <c r="BS13" s="2031"/>
      <c r="BT13" s="2031"/>
      <c r="BU13" s="2029"/>
      <c r="BV13" s="2029"/>
      <c r="BW13" s="2029"/>
      <c r="BX13" s="2029"/>
      <c r="BY13" s="2029"/>
      <c r="BZ13" s="2032"/>
      <c r="CA13" s="1974"/>
      <c r="CB13" s="1974"/>
      <c r="CC13" s="1974"/>
      <c r="CD13" s="1974"/>
      <c r="CE13" s="1974">
        <v>1</v>
      </c>
      <c r="CF13" s="2033">
        <v>4.0245779585918069E-4</v>
      </c>
      <c r="CG13" s="2026">
        <v>-5.5262103109972609E-4</v>
      </c>
      <c r="CH13" s="2009">
        <v>1</v>
      </c>
      <c r="CI13" s="2029">
        <v>0.67827777777777754</v>
      </c>
      <c r="CK13" s="2029">
        <f t="shared" si="18"/>
        <v>-0.67827777777777754</v>
      </c>
      <c r="CL13" s="2034">
        <v>1</v>
      </c>
      <c r="CM13" s="2026">
        <v>0.33985765124555156</v>
      </c>
      <c r="CN13" s="2026">
        <v>0.33985765124555156</v>
      </c>
      <c r="CO13" s="2026">
        <v>0.33985765124555156</v>
      </c>
      <c r="CP13" s="2035"/>
      <c r="CQ13" s="2036"/>
      <c r="CR13" s="2036"/>
      <c r="CS13" s="2036"/>
      <c r="CT13" s="2036"/>
      <c r="CU13" s="2036"/>
      <c r="CW13" s="1973">
        <v>0</v>
      </c>
      <c r="CX13" s="2037">
        <v>6.6249989999999999</v>
      </c>
      <c r="CY13" s="2037">
        <v>6.6249989999999999</v>
      </c>
      <c r="CZ13" s="2037">
        <v>6.6249989999999999</v>
      </c>
      <c r="DA13" s="2037">
        <v>6.6249989999999999</v>
      </c>
      <c r="DJ13" s="1976">
        <v>6.6249989999999999</v>
      </c>
      <c r="DK13" s="1973">
        <v>6.6249989999999999</v>
      </c>
      <c r="DL13" s="1973">
        <v>6.6249989999999999</v>
      </c>
      <c r="DM13" s="1973">
        <v>6.6249989999999999</v>
      </c>
      <c r="DO13" s="2023">
        <v>15</v>
      </c>
      <c r="DP13" s="2024">
        <v>297.46518499043776</v>
      </c>
      <c r="DQ13" s="2024">
        <v>6.1601995290690145E-2</v>
      </c>
      <c r="DR13" s="2023">
        <v>-4.5766954392087689</v>
      </c>
      <c r="DS13" s="2029">
        <v>6.6249989999999999</v>
      </c>
      <c r="DT13" s="2029">
        <v>6.6249989999999999</v>
      </c>
      <c r="DU13" s="2029">
        <v>6.6249989999999999</v>
      </c>
      <c r="DV13" s="2029">
        <v>6.6249989999999999</v>
      </c>
      <c r="DW13" s="1974"/>
      <c r="DX13" s="2029">
        <v>0</v>
      </c>
      <c r="DY13" s="2029">
        <v>0</v>
      </c>
      <c r="DZ13" s="2029">
        <v>0</v>
      </c>
      <c r="EA13" s="2029">
        <v>57.5</v>
      </c>
      <c r="EB13" s="2029">
        <v>57.5</v>
      </c>
      <c r="EC13" s="2029">
        <v>57.5</v>
      </c>
      <c r="ED13" s="2029">
        <v>57.5</v>
      </c>
      <c r="EE13" s="2039">
        <f t="shared" si="19"/>
        <v>0</v>
      </c>
      <c r="EF13" s="2039">
        <f t="shared" si="8"/>
        <v>0</v>
      </c>
      <c r="EG13" s="2039">
        <f t="shared" si="8"/>
        <v>0</v>
      </c>
      <c r="EH13" s="2039">
        <f t="shared" si="8"/>
        <v>0</v>
      </c>
      <c r="EI13" s="2040">
        <f t="shared" si="20"/>
        <v>0</v>
      </c>
      <c r="EJ13" s="2040">
        <f t="shared" si="9"/>
        <v>0</v>
      </c>
      <c r="EK13" s="2040">
        <f t="shared" si="9"/>
        <v>0</v>
      </c>
      <c r="EL13" s="2040">
        <f t="shared" si="9"/>
        <v>0</v>
      </c>
      <c r="EM13" s="2040">
        <f t="shared" si="9"/>
        <v>0</v>
      </c>
      <c r="EN13" s="2040">
        <f t="shared" si="9"/>
        <v>0</v>
      </c>
      <c r="EO13" s="2040">
        <f t="shared" si="9"/>
        <v>0</v>
      </c>
      <c r="EP13" s="2040">
        <f t="shared" si="9"/>
        <v>0</v>
      </c>
      <c r="EQ13" s="2040">
        <f t="shared" si="9"/>
        <v>0</v>
      </c>
      <c r="ER13" s="2040">
        <f t="shared" si="9"/>
        <v>0</v>
      </c>
      <c r="ES13" s="2040">
        <f t="shared" si="10"/>
        <v>0</v>
      </c>
      <c r="ET13" s="2040">
        <f t="shared" si="10"/>
        <v>0</v>
      </c>
      <c r="EU13" s="2039">
        <f t="shared" si="21"/>
        <v>0</v>
      </c>
      <c r="EV13" s="2039">
        <f t="shared" si="22"/>
        <v>0</v>
      </c>
    </row>
    <row r="14" spans="1:152" x14ac:dyDescent="0.25">
      <c r="A14" s="2041" t="s">
        <v>90</v>
      </c>
      <c r="B14" s="2022" t="s">
        <v>2862</v>
      </c>
      <c r="C14" s="2023">
        <v>15</v>
      </c>
      <c r="D14" s="2024">
        <v>627.30672697694672</v>
      </c>
      <c r="E14" s="2024">
        <v>0.11402350209504306</v>
      </c>
      <c r="F14" s="2023">
        <v>-6.9807196028869232</v>
      </c>
      <c r="G14" s="2025" t="s">
        <v>4</v>
      </c>
      <c r="H14" s="2025" t="s">
        <v>4</v>
      </c>
      <c r="I14" s="2026">
        <v>0.77800000000000002</v>
      </c>
      <c r="J14" s="2026">
        <v>0.77800000000000002</v>
      </c>
      <c r="K14" s="2026">
        <v>0.77800000000000002</v>
      </c>
      <c r="L14" s="2026">
        <v>0.77800000000000002</v>
      </c>
      <c r="M14" s="2027">
        <f t="shared" si="11"/>
        <v>488.04463358806458</v>
      </c>
      <c r="N14" s="2027">
        <f t="shared" si="11"/>
        <v>488.04463358806458</v>
      </c>
      <c r="O14" s="2027">
        <f t="shared" si="11"/>
        <v>488.04463358806458</v>
      </c>
      <c r="P14" s="2027">
        <f t="shared" si="11"/>
        <v>488.04463358806458</v>
      </c>
      <c r="Q14" s="2026">
        <v>0.77800000000000002</v>
      </c>
      <c r="R14" s="2026">
        <v>0.77800000000000002</v>
      </c>
      <c r="S14" s="2026">
        <v>0.77800000000000002</v>
      </c>
      <c r="T14" s="2026">
        <v>0.77800000000000002</v>
      </c>
      <c r="U14" s="2028">
        <f t="shared" si="12"/>
        <v>8.8710284629943501E-2</v>
      </c>
      <c r="V14" s="2028">
        <f t="shared" si="12"/>
        <v>8.8710284629943501E-2</v>
      </c>
      <c r="W14" s="2028">
        <f t="shared" si="12"/>
        <v>8.8710284629943501E-2</v>
      </c>
      <c r="X14" s="2028">
        <f t="shared" si="12"/>
        <v>8.8710284629943501E-2</v>
      </c>
      <c r="Y14" s="2026">
        <v>0.77800000000000002</v>
      </c>
      <c r="Z14" s="2026">
        <v>0.77800000000000002</v>
      </c>
      <c r="AA14" s="2026">
        <v>0.77800000000000002</v>
      </c>
      <c r="AB14" s="2026">
        <v>0.77800000000000002</v>
      </c>
      <c r="AC14" s="2027">
        <f t="shared" si="2"/>
        <v>-5.4309998510460264</v>
      </c>
      <c r="AD14" s="2027">
        <f t="shared" si="2"/>
        <v>-5.4309998510460264</v>
      </c>
      <c r="AE14" s="2027">
        <f t="shared" si="2"/>
        <v>-5.4309998510460264</v>
      </c>
      <c r="AF14" s="2027">
        <f t="shared" si="2"/>
        <v>-5.4309998510460264</v>
      </c>
      <c r="AG14" s="2027">
        <v>158</v>
      </c>
      <c r="AH14" s="2027">
        <v>0</v>
      </c>
      <c r="AI14" s="2027">
        <v>0</v>
      </c>
      <c r="AJ14" s="2027">
        <v>0</v>
      </c>
      <c r="AK14" s="2027">
        <f t="shared" si="23"/>
        <v>77111.052106914198</v>
      </c>
      <c r="AL14" s="2027">
        <f t="shared" si="3"/>
        <v>0</v>
      </c>
      <c r="AM14" s="2027">
        <f t="shared" si="3"/>
        <v>0</v>
      </c>
      <c r="AN14" s="2027">
        <f t="shared" si="3"/>
        <v>0</v>
      </c>
      <c r="AO14" s="2027">
        <f t="shared" si="24"/>
        <v>-858.09797646527215</v>
      </c>
      <c r="AP14" s="2027">
        <f t="shared" si="4"/>
        <v>0</v>
      </c>
      <c r="AQ14" s="2027">
        <f t="shared" si="4"/>
        <v>0</v>
      </c>
      <c r="AR14" s="2027">
        <f t="shared" si="4"/>
        <v>0</v>
      </c>
      <c r="AS14" s="2029">
        <f>12.7708325*0.15/0.25</f>
        <v>7.6624994999999991</v>
      </c>
      <c r="AT14" s="2029">
        <f t="shared" si="13"/>
        <v>7.6624994999999991</v>
      </c>
      <c r="AU14" s="2029">
        <f t="shared" si="5"/>
        <v>7.6624994999999991</v>
      </c>
      <c r="AV14" s="2029">
        <f t="shared" si="5"/>
        <v>7.6624994999999991</v>
      </c>
      <c r="AW14" s="1974"/>
      <c r="AX14" s="2029">
        <f t="shared" si="14"/>
        <v>0</v>
      </c>
      <c r="AY14" s="2029">
        <f t="shared" si="14"/>
        <v>0</v>
      </c>
      <c r="AZ14" s="2029">
        <f t="shared" si="6"/>
        <v>0</v>
      </c>
      <c r="BA14" s="2029">
        <v>55</v>
      </c>
      <c r="BB14" s="2029">
        <f t="shared" si="15"/>
        <v>55</v>
      </c>
      <c r="BC14" s="2029">
        <f t="shared" si="7"/>
        <v>55</v>
      </c>
      <c r="BD14" s="2029">
        <f t="shared" si="7"/>
        <v>55</v>
      </c>
      <c r="BE14" s="2030">
        <f t="shared" si="16"/>
        <v>1210.6749209999998</v>
      </c>
      <c r="BF14" s="2030">
        <f t="shared" si="16"/>
        <v>0</v>
      </c>
      <c r="BG14" s="2030">
        <f t="shared" si="16"/>
        <v>0</v>
      </c>
      <c r="BH14" s="2030">
        <f t="shared" si="16"/>
        <v>0</v>
      </c>
      <c r="BI14" s="2030">
        <f t="shared" si="17"/>
        <v>0</v>
      </c>
      <c r="BJ14" s="2030">
        <f t="shared" si="17"/>
        <v>0</v>
      </c>
      <c r="BK14" s="2030">
        <f t="shared" si="17"/>
        <v>0</v>
      </c>
      <c r="BL14" s="2030">
        <f t="shared" si="17"/>
        <v>0</v>
      </c>
      <c r="BM14" s="2031"/>
      <c r="BN14" s="2031"/>
      <c r="BO14" s="2031"/>
      <c r="BP14" s="2031"/>
      <c r="BQ14" s="2031"/>
      <c r="BR14" s="2031"/>
      <c r="BS14" s="2031"/>
      <c r="BT14" s="2031"/>
      <c r="BU14" s="2029"/>
      <c r="BV14" s="2029"/>
      <c r="BW14" s="2029"/>
      <c r="BX14" s="2029"/>
      <c r="BY14" s="2029"/>
      <c r="BZ14" s="2032"/>
      <c r="CA14" s="1974"/>
      <c r="CB14" s="1974"/>
      <c r="CC14" s="1974"/>
      <c r="CD14" s="1974"/>
      <c r="CE14" s="1974">
        <v>1</v>
      </c>
      <c r="CF14" s="2033">
        <v>3.2235016865723981E-4</v>
      </c>
      <c r="CG14" s="2026">
        <v>-3.2013956186008319E-4</v>
      </c>
      <c r="CH14" s="2009">
        <v>1</v>
      </c>
      <c r="CI14" s="2029">
        <v>-2.5533333333333332</v>
      </c>
      <c r="CK14" s="2029">
        <f t="shared" si="18"/>
        <v>2.5533333333333332</v>
      </c>
      <c r="CL14" s="2034">
        <v>1</v>
      </c>
      <c r="CM14" s="2026">
        <v>0.6123711340206186</v>
      </c>
      <c r="CN14" s="2026">
        <v>0.6123711340206186</v>
      </c>
      <c r="CO14" s="2026">
        <v>0.6123711340206186</v>
      </c>
      <c r="CP14" s="2035"/>
      <c r="CQ14" s="2036"/>
      <c r="CR14" s="2036"/>
      <c r="CS14" s="2036"/>
      <c r="CT14" s="2036"/>
      <c r="CU14" s="2036"/>
      <c r="CW14" s="1973">
        <v>0</v>
      </c>
      <c r="CX14" s="2037">
        <v>7.6624994999999991</v>
      </c>
      <c r="CY14" s="2037">
        <v>7.6624994999999991</v>
      </c>
      <c r="CZ14" s="2037">
        <v>7.6624994999999991</v>
      </c>
      <c r="DA14" s="2037">
        <v>7.6624994999999991</v>
      </c>
      <c r="DJ14" s="1976">
        <v>7.6624994999999991</v>
      </c>
      <c r="DK14" s="1973">
        <v>7.6624994999999991</v>
      </c>
      <c r="DL14" s="1973">
        <v>7.6624994999999991</v>
      </c>
      <c r="DM14" s="1973">
        <v>7.6624994999999991</v>
      </c>
      <c r="DO14" s="2023">
        <v>15</v>
      </c>
      <c r="DP14" s="2024">
        <v>627.30672697694672</v>
      </c>
      <c r="DQ14" s="2024">
        <v>0.11402350209504306</v>
      </c>
      <c r="DR14" s="2023">
        <v>-6.9807196028869232</v>
      </c>
      <c r="DS14" s="2029">
        <v>7.6624994999999991</v>
      </c>
      <c r="DT14" s="2029">
        <v>7.6624994999999991</v>
      </c>
      <c r="DU14" s="2029">
        <v>7.6624994999999991</v>
      </c>
      <c r="DV14" s="2029">
        <v>7.6624994999999991</v>
      </c>
      <c r="DW14" s="1974"/>
      <c r="DX14" s="2029">
        <v>0</v>
      </c>
      <c r="DY14" s="2029">
        <v>0</v>
      </c>
      <c r="DZ14" s="2029">
        <v>0</v>
      </c>
      <c r="EA14" s="2029">
        <v>55</v>
      </c>
      <c r="EB14" s="2029">
        <v>55</v>
      </c>
      <c r="EC14" s="2029">
        <v>55</v>
      </c>
      <c r="ED14" s="2029">
        <v>55</v>
      </c>
      <c r="EE14" s="2039">
        <f t="shared" si="19"/>
        <v>0</v>
      </c>
      <c r="EF14" s="2039">
        <f t="shared" si="8"/>
        <v>0</v>
      </c>
      <c r="EG14" s="2039">
        <f t="shared" si="8"/>
        <v>0</v>
      </c>
      <c r="EH14" s="2039">
        <f t="shared" si="8"/>
        <v>0</v>
      </c>
      <c r="EI14" s="2040">
        <f t="shared" si="20"/>
        <v>0</v>
      </c>
      <c r="EJ14" s="2040">
        <f t="shared" si="9"/>
        <v>0</v>
      </c>
      <c r="EK14" s="2040">
        <f t="shared" si="9"/>
        <v>0</v>
      </c>
      <c r="EL14" s="2040">
        <f t="shared" si="9"/>
        <v>0</v>
      </c>
      <c r="EM14" s="2040">
        <f t="shared" si="9"/>
        <v>0</v>
      </c>
      <c r="EN14" s="2040">
        <f t="shared" si="9"/>
        <v>0</v>
      </c>
      <c r="EO14" s="2040">
        <f t="shared" si="9"/>
        <v>0</v>
      </c>
      <c r="EP14" s="2040">
        <f t="shared" si="9"/>
        <v>0</v>
      </c>
      <c r="EQ14" s="2040">
        <f t="shared" si="9"/>
        <v>0</v>
      </c>
      <c r="ER14" s="2040">
        <f t="shared" si="9"/>
        <v>0</v>
      </c>
      <c r="ES14" s="2040">
        <f t="shared" si="10"/>
        <v>0</v>
      </c>
      <c r="ET14" s="2040">
        <f t="shared" si="10"/>
        <v>0</v>
      </c>
      <c r="EU14" s="2039">
        <f t="shared" si="21"/>
        <v>0</v>
      </c>
      <c r="EV14" s="2039">
        <f t="shared" si="22"/>
        <v>0</v>
      </c>
    </row>
    <row r="15" spans="1:152" x14ac:dyDescent="0.25">
      <c r="A15" s="2041" t="s">
        <v>91</v>
      </c>
      <c r="B15" s="2022" t="s">
        <v>2863</v>
      </c>
      <c r="C15" s="2023">
        <v>15</v>
      </c>
      <c r="D15" s="2024">
        <v>421.3205987299782</v>
      </c>
      <c r="E15" s="2024">
        <v>8.5407598708988966E-2</v>
      </c>
      <c r="F15" s="2023">
        <v>-6.3152950628887501</v>
      </c>
      <c r="G15" s="2025" t="s">
        <v>4</v>
      </c>
      <c r="H15" s="2025" t="s">
        <v>4</v>
      </c>
      <c r="I15" s="2026">
        <v>0.77800000000000002</v>
      </c>
      <c r="J15" s="2026">
        <v>0.77800000000000002</v>
      </c>
      <c r="K15" s="2026">
        <v>0.77800000000000002</v>
      </c>
      <c r="L15" s="2026">
        <v>0.77800000000000002</v>
      </c>
      <c r="M15" s="2027">
        <f t="shared" si="11"/>
        <v>327.78742581192307</v>
      </c>
      <c r="N15" s="2027">
        <f t="shared" si="11"/>
        <v>327.78742581192307</v>
      </c>
      <c r="O15" s="2027">
        <f t="shared" si="11"/>
        <v>327.78742581192307</v>
      </c>
      <c r="P15" s="2027">
        <f t="shared" si="11"/>
        <v>327.78742581192307</v>
      </c>
      <c r="Q15" s="2026">
        <v>0.77800000000000002</v>
      </c>
      <c r="R15" s="2026">
        <v>0.77800000000000002</v>
      </c>
      <c r="S15" s="2026">
        <v>0.77800000000000002</v>
      </c>
      <c r="T15" s="2026">
        <v>0.77800000000000002</v>
      </c>
      <c r="U15" s="2028">
        <f t="shared" si="12"/>
        <v>6.6447111795593414E-2</v>
      </c>
      <c r="V15" s="2028">
        <f t="shared" si="12"/>
        <v>6.6447111795593414E-2</v>
      </c>
      <c r="W15" s="2028">
        <f t="shared" si="12"/>
        <v>6.6447111795593414E-2</v>
      </c>
      <c r="X15" s="2028">
        <f t="shared" si="12"/>
        <v>6.6447111795593414E-2</v>
      </c>
      <c r="Y15" s="2026">
        <v>0.77800000000000002</v>
      </c>
      <c r="Z15" s="2026">
        <v>0.77800000000000002</v>
      </c>
      <c r="AA15" s="2026">
        <v>0.77800000000000002</v>
      </c>
      <c r="AB15" s="2026">
        <v>0.77800000000000002</v>
      </c>
      <c r="AC15" s="2027">
        <f t="shared" si="2"/>
        <v>-4.9132995589274477</v>
      </c>
      <c r="AD15" s="2027">
        <f t="shared" si="2"/>
        <v>-4.9132995589274477</v>
      </c>
      <c r="AE15" s="2027">
        <f t="shared" si="2"/>
        <v>-4.9132995589274477</v>
      </c>
      <c r="AF15" s="2027">
        <f t="shared" si="2"/>
        <v>-4.9132995589274477</v>
      </c>
      <c r="AG15" s="2027">
        <v>223</v>
      </c>
      <c r="AH15" s="2027">
        <v>0</v>
      </c>
      <c r="AI15" s="2027">
        <v>0</v>
      </c>
      <c r="AJ15" s="2027">
        <v>0</v>
      </c>
      <c r="AK15" s="2027">
        <f t="shared" si="23"/>
        <v>73096.595956058838</v>
      </c>
      <c r="AL15" s="2027">
        <f t="shared" si="3"/>
        <v>0</v>
      </c>
      <c r="AM15" s="2027">
        <f t="shared" si="3"/>
        <v>0</v>
      </c>
      <c r="AN15" s="2027">
        <f t="shared" si="3"/>
        <v>0</v>
      </c>
      <c r="AO15" s="2027">
        <f t="shared" si="24"/>
        <v>-1095.6658016408207</v>
      </c>
      <c r="AP15" s="2027">
        <f t="shared" si="4"/>
        <v>0</v>
      </c>
      <c r="AQ15" s="2027">
        <f t="shared" si="4"/>
        <v>0</v>
      </c>
      <c r="AR15" s="2027">
        <f t="shared" si="4"/>
        <v>0</v>
      </c>
      <c r="AS15" s="2029">
        <f>9.15625*0.15/0.25</f>
        <v>5.4937499999999995</v>
      </c>
      <c r="AT15" s="2029">
        <f t="shared" si="13"/>
        <v>5.4937499999999995</v>
      </c>
      <c r="AU15" s="2029">
        <f t="shared" si="5"/>
        <v>5.4937499999999995</v>
      </c>
      <c r="AV15" s="2029">
        <f t="shared" si="5"/>
        <v>5.4937499999999995</v>
      </c>
      <c r="AW15" s="1974"/>
      <c r="AX15" s="2029">
        <f t="shared" si="14"/>
        <v>0</v>
      </c>
      <c r="AY15" s="2029">
        <f t="shared" si="14"/>
        <v>0</v>
      </c>
      <c r="AZ15" s="2029">
        <f t="shared" si="6"/>
        <v>0</v>
      </c>
      <c r="BA15" s="2029">
        <v>55</v>
      </c>
      <c r="BB15" s="2029">
        <f t="shared" si="15"/>
        <v>55</v>
      </c>
      <c r="BC15" s="2029">
        <f t="shared" si="7"/>
        <v>55</v>
      </c>
      <c r="BD15" s="2029">
        <f t="shared" si="7"/>
        <v>55</v>
      </c>
      <c r="BE15" s="2030">
        <f t="shared" si="16"/>
        <v>1225.1062499999998</v>
      </c>
      <c r="BF15" s="2030">
        <f t="shared" si="16"/>
        <v>0</v>
      </c>
      <c r="BG15" s="2030">
        <f t="shared" si="16"/>
        <v>0</v>
      </c>
      <c r="BH15" s="2030">
        <f t="shared" si="16"/>
        <v>0</v>
      </c>
      <c r="BI15" s="2030">
        <f t="shared" si="17"/>
        <v>0</v>
      </c>
      <c r="BJ15" s="2030">
        <f t="shared" si="17"/>
        <v>0</v>
      </c>
      <c r="BK15" s="2030">
        <f t="shared" si="17"/>
        <v>0</v>
      </c>
      <c r="BL15" s="2030">
        <f t="shared" si="17"/>
        <v>0</v>
      </c>
      <c r="BM15" s="2031"/>
      <c r="BN15" s="2031"/>
      <c r="BO15" s="2031"/>
      <c r="BP15" s="2031"/>
      <c r="BQ15" s="2031"/>
      <c r="BR15" s="2031"/>
      <c r="BS15" s="2031"/>
      <c r="BT15" s="2031"/>
      <c r="BU15" s="2029"/>
      <c r="BV15" s="2029"/>
      <c r="BW15" s="2029"/>
      <c r="BX15" s="2029"/>
      <c r="BY15" s="2029"/>
      <c r="BZ15" s="2032"/>
      <c r="CA15" s="1974"/>
      <c r="CB15" s="1974"/>
      <c r="CC15" s="1974"/>
      <c r="CD15" s="1974"/>
      <c r="CE15" s="1974">
        <v>1</v>
      </c>
      <c r="CF15" s="2033">
        <v>3.0556838988574661E-4</v>
      </c>
      <c r="CG15" s="2026">
        <v>-4.0877146818043441E-4</v>
      </c>
      <c r="CH15" s="2009">
        <v>1</v>
      </c>
      <c r="CI15" s="2029">
        <v>0.67827777777777754</v>
      </c>
      <c r="CK15" s="2029">
        <f t="shared" si="18"/>
        <v>-0.67827777777777754</v>
      </c>
      <c r="CL15" s="2034">
        <v>1</v>
      </c>
      <c r="CM15" s="2026">
        <v>0.45</v>
      </c>
      <c r="CN15" s="2026">
        <v>0.45</v>
      </c>
      <c r="CO15" s="2026">
        <v>0.45</v>
      </c>
      <c r="CP15" s="2035"/>
      <c r="CQ15" s="2036"/>
      <c r="CR15" s="2036"/>
      <c r="CS15" s="2036"/>
      <c r="CT15" s="2036"/>
      <c r="CU15" s="2036"/>
      <c r="CW15" s="1973">
        <v>0</v>
      </c>
      <c r="CX15" s="2037">
        <v>5.4937499999999995</v>
      </c>
      <c r="CY15" s="2037">
        <v>5.4937499999999995</v>
      </c>
      <c r="CZ15" s="2037">
        <v>5.4937499999999995</v>
      </c>
      <c r="DA15" s="2037">
        <v>5.4937499999999995</v>
      </c>
      <c r="DJ15" s="1976">
        <v>5.4937499999999995</v>
      </c>
      <c r="DK15" s="1973">
        <v>5.4937499999999995</v>
      </c>
      <c r="DL15" s="1973">
        <v>5.4937499999999995</v>
      </c>
      <c r="DM15" s="1973">
        <v>5.4937499999999995</v>
      </c>
      <c r="DO15" s="2023">
        <v>15</v>
      </c>
      <c r="DP15" s="2024">
        <v>421.3205987299782</v>
      </c>
      <c r="DQ15" s="2024">
        <v>8.5407598708988966E-2</v>
      </c>
      <c r="DR15" s="2023">
        <v>-6.3152950628887501</v>
      </c>
      <c r="DS15" s="2029">
        <v>5.4937499999999995</v>
      </c>
      <c r="DT15" s="2029">
        <v>5.4937499999999995</v>
      </c>
      <c r="DU15" s="2029">
        <v>5.4937499999999995</v>
      </c>
      <c r="DV15" s="2029">
        <v>5.4937499999999995</v>
      </c>
      <c r="DW15" s="1974"/>
      <c r="DX15" s="2029">
        <v>0</v>
      </c>
      <c r="DY15" s="2029">
        <v>0</v>
      </c>
      <c r="DZ15" s="2029">
        <v>0</v>
      </c>
      <c r="EA15" s="2029">
        <v>55</v>
      </c>
      <c r="EB15" s="2029">
        <v>55</v>
      </c>
      <c r="EC15" s="2029">
        <v>55</v>
      </c>
      <c r="ED15" s="2029">
        <v>55</v>
      </c>
      <c r="EE15" s="2039">
        <f t="shared" si="19"/>
        <v>0</v>
      </c>
      <c r="EF15" s="2039">
        <f t="shared" si="8"/>
        <v>0</v>
      </c>
      <c r="EG15" s="2039">
        <f t="shared" si="8"/>
        <v>0</v>
      </c>
      <c r="EH15" s="2039">
        <f t="shared" si="8"/>
        <v>0</v>
      </c>
      <c r="EI15" s="2040">
        <f t="shared" si="20"/>
        <v>0</v>
      </c>
      <c r="EJ15" s="2040">
        <f t="shared" si="9"/>
        <v>0</v>
      </c>
      <c r="EK15" s="2040">
        <f t="shared" si="9"/>
        <v>0</v>
      </c>
      <c r="EL15" s="2040">
        <f t="shared" si="9"/>
        <v>0</v>
      </c>
      <c r="EM15" s="2040">
        <f t="shared" si="9"/>
        <v>0</v>
      </c>
      <c r="EN15" s="2040">
        <f t="shared" si="9"/>
        <v>0</v>
      </c>
      <c r="EO15" s="2040">
        <f t="shared" si="9"/>
        <v>0</v>
      </c>
      <c r="EP15" s="2040">
        <f t="shared" si="9"/>
        <v>0</v>
      </c>
      <c r="EQ15" s="2040">
        <f t="shared" si="9"/>
        <v>0</v>
      </c>
      <c r="ER15" s="2040">
        <f t="shared" si="9"/>
        <v>0</v>
      </c>
      <c r="ES15" s="2040">
        <f t="shared" si="10"/>
        <v>0</v>
      </c>
      <c r="ET15" s="2040">
        <f t="shared" si="10"/>
        <v>0</v>
      </c>
      <c r="EU15" s="2039">
        <f t="shared" si="21"/>
        <v>0</v>
      </c>
      <c r="EV15" s="2039">
        <f t="shared" si="22"/>
        <v>0</v>
      </c>
    </row>
    <row r="16" spans="1:152" x14ac:dyDescent="0.25">
      <c r="A16" s="2021" t="s">
        <v>92</v>
      </c>
      <c r="B16" s="2022" t="s">
        <v>2864</v>
      </c>
      <c r="C16" s="2023">
        <v>8</v>
      </c>
      <c r="D16" s="2024">
        <v>246.48854412306085</v>
      </c>
      <c r="E16" s="2024">
        <v>9.9053515848612744E-2</v>
      </c>
      <c r="F16" s="2023">
        <v>-7.5406128429787227</v>
      </c>
      <c r="G16" s="2025" t="s">
        <v>4</v>
      </c>
      <c r="H16" s="2025" t="s">
        <v>4</v>
      </c>
      <c r="I16" s="2026">
        <v>0.77800000000000002</v>
      </c>
      <c r="J16" s="2026">
        <v>0.77800000000000002</v>
      </c>
      <c r="K16" s="2026">
        <v>0.77800000000000002</v>
      </c>
      <c r="L16" s="2026">
        <v>0.77800000000000002</v>
      </c>
      <c r="M16" s="2027">
        <f t="shared" si="11"/>
        <v>191.76808732774134</v>
      </c>
      <c r="N16" s="2027">
        <f t="shared" si="11"/>
        <v>191.76808732774134</v>
      </c>
      <c r="O16" s="2027">
        <f t="shared" si="11"/>
        <v>191.76808732774134</v>
      </c>
      <c r="P16" s="2027">
        <f t="shared" si="11"/>
        <v>191.76808732774134</v>
      </c>
      <c r="Q16" s="2026">
        <v>0.77800000000000002</v>
      </c>
      <c r="R16" s="2026">
        <v>0.77800000000000002</v>
      </c>
      <c r="S16" s="2026">
        <v>0.77800000000000002</v>
      </c>
      <c r="T16" s="2026">
        <v>0.77800000000000002</v>
      </c>
      <c r="U16" s="2028">
        <f t="shared" si="12"/>
        <v>7.7063635330220717E-2</v>
      </c>
      <c r="V16" s="2028">
        <f t="shared" si="12"/>
        <v>7.7063635330220717E-2</v>
      </c>
      <c r="W16" s="2028">
        <f t="shared" si="12"/>
        <v>7.7063635330220717E-2</v>
      </c>
      <c r="X16" s="2028">
        <f t="shared" si="12"/>
        <v>7.7063635330220717E-2</v>
      </c>
      <c r="Y16" s="2026">
        <v>0.77800000000000002</v>
      </c>
      <c r="Z16" s="2026">
        <v>0.77800000000000002</v>
      </c>
      <c r="AA16" s="2026">
        <v>0.77800000000000002</v>
      </c>
      <c r="AB16" s="2026">
        <v>0.77800000000000002</v>
      </c>
      <c r="AC16" s="2027">
        <f t="shared" si="2"/>
        <v>-5.8665967918374466</v>
      </c>
      <c r="AD16" s="2027">
        <f t="shared" si="2"/>
        <v>-5.8665967918374466</v>
      </c>
      <c r="AE16" s="2027">
        <f t="shared" si="2"/>
        <v>-5.8665967918374466</v>
      </c>
      <c r="AF16" s="2027">
        <f t="shared" si="2"/>
        <v>-5.8665967918374466</v>
      </c>
      <c r="AG16" s="2027">
        <v>6435</v>
      </c>
      <c r="AH16" s="2027">
        <v>6902</v>
      </c>
      <c r="AI16" s="2027">
        <v>7227</v>
      </c>
      <c r="AJ16" s="2027">
        <v>7351</v>
      </c>
      <c r="AK16" s="2027">
        <f t="shared" si="23"/>
        <v>1234027.6419540155</v>
      </c>
      <c r="AL16" s="2027">
        <f t="shared" si="3"/>
        <v>1323583.3387360708</v>
      </c>
      <c r="AM16" s="2027">
        <f t="shared" si="3"/>
        <v>1385907.9671175866</v>
      </c>
      <c r="AN16" s="2027">
        <f t="shared" si="3"/>
        <v>1409687.2099462266</v>
      </c>
      <c r="AO16" s="2027">
        <f t="shared" si="24"/>
        <v>-37751.55035547397</v>
      </c>
      <c r="AP16" s="2027">
        <f t="shared" si="4"/>
        <v>-40491.251057262059</v>
      </c>
      <c r="AQ16" s="2027">
        <f t="shared" si="4"/>
        <v>-42397.895014609225</v>
      </c>
      <c r="AR16" s="2027">
        <f t="shared" si="4"/>
        <v>-43125.353016797068</v>
      </c>
      <c r="AS16" s="2042">
        <v>30</v>
      </c>
      <c r="AT16" s="2029">
        <f t="shared" si="13"/>
        <v>30</v>
      </c>
      <c r="AU16" s="2029">
        <f t="shared" si="5"/>
        <v>30</v>
      </c>
      <c r="AV16" s="2029">
        <f t="shared" si="5"/>
        <v>30</v>
      </c>
      <c r="AW16" s="1974"/>
      <c r="AX16" s="2029">
        <f t="shared" si="14"/>
        <v>0</v>
      </c>
      <c r="AY16" s="2029">
        <f t="shared" si="14"/>
        <v>0</v>
      </c>
      <c r="AZ16" s="2029">
        <f t="shared" si="6"/>
        <v>0</v>
      </c>
      <c r="BA16" s="2042">
        <v>91.83</v>
      </c>
      <c r="BB16" s="2029">
        <f t="shared" si="15"/>
        <v>91.83</v>
      </c>
      <c r="BC16" s="2029">
        <f t="shared" si="7"/>
        <v>91.83</v>
      </c>
      <c r="BD16" s="2029">
        <f t="shared" si="7"/>
        <v>91.83</v>
      </c>
      <c r="BE16" s="2030">
        <f t="shared" si="16"/>
        <v>193050</v>
      </c>
      <c r="BF16" s="2030">
        <f t="shared" si="16"/>
        <v>207060</v>
      </c>
      <c r="BG16" s="2030">
        <f t="shared" si="16"/>
        <v>216810</v>
      </c>
      <c r="BH16" s="2030">
        <f t="shared" si="16"/>
        <v>220530</v>
      </c>
      <c r="BI16" s="2030">
        <f t="shared" si="17"/>
        <v>0</v>
      </c>
      <c r="BJ16" s="2030">
        <f t="shared" si="17"/>
        <v>0</v>
      </c>
      <c r="BK16" s="2030">
        <f t="shared" si="17"/>
        <v>0</v>
      </c>
      <c r="BL16" s="2030">
        <f t="shared" si="17"/>
        <v>0</v>
      </c>
      <c r="BM16" s="2031"/>
      <c r="BN16" s="2031"/>
      <c r="BO16" s="2031"/>
      <c r="BP16" s="2031"/>
      <c r="BQ16" s="2031"/>
      <c r="BR16" s="2031"/>
      <c r="BS16" s="2031"/>
      <c r="BT16" s="2031"/>
      <c r="BU16" s="2029"/>
      <c r="BV16" s="2029"/>
      <c r="BW16" s="2029"/>
      <c r="BX16" s="2029"/>
      <c r="BY16" s="2029"/>
      <c r="BZ16" s="2032"/>
      <c r="CA16" s="1974"/>
      <c r="CB16" s="1974"/>
      <c r="CC16" s="1974"/>
      <c r="CD16" s="1974"/>
      <c r="CE16" s="1974">
        <v>0</v>
      </c>
      <c r="CF16" s="2033">
        <v>3.3299521187815503E-3</v>
      </c>
      <c r="CG16" s="2026">
        <v>-5.9982563115747629E-3</v>
      </c>
      <c r="CH16" s="2009">
        <v>0</v>
      </c>
      <c r="CI16" s="2029">
        <v>0</v>
      </c>
      <c r="CK16" s="2029">
        <f t="shared" si="18"/>
        <v>0</v>
      </c>
      <c r="CL16" s="2034">
        <v>1</v>
      </c>
      <c r="CM16" s="2026">
        <v>1</v>
      </c>
      <c r="CN16" s="2026">
        <v>1</v>
      </c>
      <c r="CO16" s="2026">
        <v>1</v>
      </c>
      <c r="CP16" s="2035"/>
      <c r="CQ16" s="2036"/>
      <c r="CR16" s="2036"/>
      <c r="CS16" s="2036"/>
      <c r="CT16" s="2036"/>
      <c r="CU16" s="2036"/>
      <c r="CW16" s="1973">
        <v>0</v>
      </c>
      <c r="CX16" s="2037">
        <v>30</v>
      </c>
      <c r="CY16" s="2037">
        <v>30</v>
      </c>
      <c r="CZ16" s="2037">
        <v>30</v>
      </c>
      <c r="DA16" s="2037">
        <v>30</v>
      </c>
      <c r="DJ16" s="1976">
        <v>30</v>
      </c>
      <c r="DK16" s="1973">
        <v>30</v>
      </c>
      <c r="DL16" s="1973">
        <v>30</v>
      </c>
      <c r="DM16" s="1973">
        <v>30</v>
      </c>
      <c r="DO16" s="2043">
        <v>8</v>
      </c>
      <c r="DP16" s="2044">
        <v>246.48854412306085</v>
      </c>
      <c r="DQ16" s="2044">
        <v>9.9053515848612744E-2</v>
      </c>
      <c r="DR16" s="2043">
        <v>-7.5406128429787227</v>
      </c>
      <c r="DS16" s="2045">
        <v>30</v>
      </c>
      <c r="DT16" s="2046">
        <v>30</v>
      </c>
      <c r="DU16" s="2046">
        <v>30</v>
      </c>
      <c r="DV16" s="2046">
        <v>30</v>
      </c>
      <c r="DW16" s="2047"/>
      <c r="DX16" s="2046">
        <v>0</v>
      </c>
      <c r="DY16" s="2046">
        <v>0</v>
      </c>
      <c r="DZ16" s="2046">
        <v>0</v>
      </c>
      <c r="EA16" s="2045">
        <v>91.83</v>
      </c>
      <c r="EB16" s="2046">
        <v>91.83</v>
      </c>
      <c r="EC16" s="2046">
        <v>91.83</v>
      </c>
      <c r="ED16" s="2046">
        <v>91.83</v>
      </c>
      <c r="EE16" s="2039">
        <f t="shared" si="19"/>
        <v>0</v>
      </c>
      <c r="EF16" s="2039">
        <f t="shared" si="8"/>
        <v>0</v>
      </c>
      <c r="EG16" s="2039">
        <f t="shared" si="8"/>
        <v>0</v>
      </c>
      <c r="EH16" s="2039">
        <f t="shared" si="8"/>
        <v>0</v>
      </c>
      <c r="EI16" s="2040">
        <f t="shared" si="20"/>
        <v>0</v>
      </c>
      <c r="EJ16" s="2040">
        <f t="shared" si="9"/>
        <v>0</v>
      </c>
      <c r="EK16" s="2040">
        <f t="shared" si="9"/>
        <v>0</v>
      </c>
      <c r="EL16" s="2040">
        <f t="shared" si="9"/>
        <v>0</v>
      </c>
      <c r="EM16" s="2040">
        <f t="shared" si="9"/>
        <v>0</v>
      </c>
      <c r="EN16" s="2040">
        <f t="shared" si="9"/>
        <v>0</v>
      </c>
      <c r="EO16" s="2040">
        <f t="shared" si="9"/>
        <v>0</v>
      </c>
      <c r="EP16" s="2040">
        <f t="shared" si="9"/>
        <v>0</v>
      </c>
      <c r="EQ16" s="2040">
        <f t="shared" si="9"/>
        <v>0</v>
      </c>
      <c r="ER16" s="2040">
        <f t="shared" si="9"/>
        <v>0</v>
      </c>
      <c r="ES16" s="2040">
        <f t="shared" si="10"/>
        <v>0</v>
      </c>
      <c r="ET16" s="2040">
        <f t="shared" si="10"/>
        <v>0</v>
      </c>
      <c r="EU16" s="2039">
        <f t="shared" si="21"/>
        <v>0</v>
      </c>
      <c r="EV16" s="2039">
        <f t="shared" si="22"/>
        <v>0</v>
      </c>
    </row>
    <row r="17" spans="1:152" x14ac:dyDescent="0.25">
      <c r="A17" s="2041" t="s">
        <v>93</v>
      </c>
      <c r="B17" s="2022" t="s">
        <v>2865</v>
      </c>
      <c r="C17" s="2023">
        <v>8</v>
      </c>
      <c r="D17" s="2024">
        <v>488.84370000000001</v>
      </c>
      <c r="E17" s="2024">
        <v>0.35859099999999999</v>
      </c>
      <c r="F17" s="2023">
        <v>-9.8665699999999994</v>
      </c>
      <c r="G17" s="2025" t="s">
        <v>4</v>
      </c>
      <c r="H17" s="2025" t="s">
        <v>4</v>
      </c>
      <c r="I17" s="2026">
        <v>0.77800000000000002</v>
      </c>
      <c r="J17" s="2026">
        <v>0.77800000000000002</v>
      </c>
      <c r="K17" s="2026">
        <v>0.77800000000000002</v>
      </c>
      <c r="L17" s="2026">
        <v>0.77800000000000002</v>
      </c>
      <c r="M17" s="2027">
        <f t="shared" si="11"/>
        <v>380.32039860000003</v>
      </c>
      <c r="N17" s="2027">
        <f t="shared" si="11"/>
        <v>380.32039860000003</v>
      </c>
      <c r="O17" s="2027">
        <f t="shared" si="11"/>
        <v>380.32039860000003</v>
      </c>
      <c r="P17" s="2027">
        <f t="shared" si="11"/>
        <v>380.32039860000003</v>
      </c>
      <c r="Q17" s="2026">
        <v>0.77800000000000002</v>
      </c>
      <c r="R17" s="2026">
        <v>0.77800000000000002</v>
      </c>
      <c r="S17" s="2026">
        <v>0.77800000000000002</v>
      </c>
      <c r="T17" s="2026">
        <v>0.77800000000000002</v>
      </c>
      <c r="U17" s="2028">
        <f t="shared" si="12"/>
        <v>0.27898379800000001</v>
      </c>
      <c r="V17" s="2028">
        <f t="shared" si="12"/>
        <v>0.27898379800000001</v>
      </c>
      <c r="W17" s="2028">
        <f t="shared" si="12"/>
        <v>0.27898379800000001</v>
      </c>
      <c r="X17" s="2028">
        <f t="shared" si="12"/>
        <v>0.27898379800000001</v>
      </c>
      <c r="Y17" s="2026">
        <v>0.77800000000000002</v>
      </c>
      <c r="Z17" s="2026">
        <v>0.77800000000000002</v>
      </c>
      <c r="AA17" s="2026">
        <v>0.77800000000000002</v>
      </c>
      <c r="AB17" s="2026">
        <v>0.77800000000000002</v>
      </c>
      <c r="AC17" s="2027">
        <f t="shared" si="2"/>
        <v>-7.6761914600000001</v>
      </c>
      <c r="AD17" s="2027">
        <f t="shared" si="2"/>
        <v>-7.6761914600000001</v>
      </c>
      <c r="AE17" s="2027">
        <f t="shared" si="2"/>
        <v>-7.6761914600000001</v>
      </c>
      <c r="AF17" s="2027">
        <f t="shared" si="2"/>
        <v>-7.6761914600000001</v>
      </c>
      <c r="AG17" s="2027">
        <v>167</v>
      </c>
      <c r="AH17" s="2027">
        <v>175</v>
      </c>
      <c r="AI17" s="2027">
        <v>183</v>
      </c>
      <c r="AJ17" s="2027">
        <v>186</v>
      </c>
      <c r="AK17" s="2027">
        <f t="shared" si="23"/>
        <v>63513.506566200005</v>
      </c>
      <c r="AL17" s="2027">
        <f t="shared" si="3"/>
        <v>66556.069755000004</v>
      </c>
      <c r="AM17" s="2027">
        <f t="shared" si="3"/>
        <v>69598.63294380001</v>
      </c>
      <c r="AN17" s="2027">
        <f t="shared" si="3"/>
        <v>70739.594139600013</v>
      </c>
      <c r="AO17" s="2027">
        <f t="shared" si="24"/>
        <v>-1281.9239738199999</v>
      </c>
      <c r="AP17" s="2027">
        <f t="shared" si="4"/>
        <v>-1343.3335055</v>
      </c>
      <c r="AQ17" s="2027">
        <f t="shared" si="4"/>
        <v>-1404.7430371800001</v>
      </c>
      <c r="AR17" s="2027">
        <f t="shared" si="4"/>
        <v>-1427.7716115600001</v>
      </c>
      <c r="AS17" s="2029">
        <v>30</v>
      </c>
      <c r="AT17" s="2029">
        <f t="shared" si="13"/>
        <v>30</v>
      </c>
      <c r="AU17" s="2029">
        <f t="shared" si="5"/>
        <v>30</v>
      </c>
      <c r="AV17" s="2029">
        <f t="shared" si="5"/>
        <v>30</v>
      </c>
      <c r="AW17" s="1974"/>
      <c r="AX17" s="2029">
        <f t="shared" si="14"/>
        <v>0</v>
      </c>
      <c r="AY17" s="2029">
        <f t="shared" si="14"/>
        <v>0</v>
      </c>
      <c r="AZ17" s="2029">
        <f t="shared" si="6"/>
        <v>0</v>
      </c>
      <c r="BA17" s="2029">
        <v>102</v>
      </c>
      <c r="BB17" s="2029">
        <f t="shared" si="15"/>
        <v>102</v>
      </c>
      <c r="BC17" s="2029">
        <f t="shared" si="7"/>
        <v>102</v>
      </c>
      <c r="BD17" s="2029">
        <f t="shared" si="7"/>
        <v>102</v>
      </c>
      <c r="BE17" s="2030">
        <f t="shared" si="16"/>
        <v>5010</v>
      </c>
      <c r="BF17" s="2030">
        <f t="shared" si="16"/>
        <v>5250</v>
      </c>
      <c r="BG17" s="2030">
        <f t="shared" si="16"/>
        <v>5490</v>
      </c>
      <c r="BH17" s="2030">
        <f t="shared" si="16"/>
        <v>5580</v>
      </c>
      <c r="BI17" s="2030">
        <f t="shared" si="17"/>
        <v>0</v>
      </c>
      <c r="BJ17" s="2030">
        <f t="shared" si="17"/>
        <v>0</v>
      </c>
      <c r="BK17" s="2030">
        <f t="shared" si="17"/>
        <v>0</v>
      </c>
      <c r="BL17" s="2030">
        <f t="shared" si="17"/>
        <v>0</v>
      </c>
      <c r="BM17" s="2031"/>
      <c r="BN17" s="2031"/>
      <c r="BO17" s="2031"/>
      <c r="BP17" s="2031"/>
      <c r="BQ17" s="2031"/>
      <c r="BR17" s="2031"/>
      <c r="BS17" s="2031"/>
      <c r="BT17" s="2031"/>
      <c r="BU17" s="2029"/>
      <c r="BV17" s="2029"/>
      <c r="BW17" s="2029"/>
      <c r="BX17" s="2029"/>
      <c r="BY17" s="2029"/>
      <c r="BZ17" s="2032"/>
      <c r="CA17" s="1974"/>
      <c r="CB17" s="1974"/>
      <c r="CC17" s="1974"/>
      <c r="CD17" s="1974"/>
      <c r="CE17" s="1974">
        <v>0</v>
      </c>
      <c r="CF17" s="2033">
        <v>2.6550784867052156E-4</v>
      </c>
      <c r="CG17" s="2026">
        <v>-4.7826074710861466E-4</v>
      </c>
      <c r="CH17" s="2009">
        <v>0</v>
      </c>
      <c r="CI17" s="2029">
        <v>0</v>
      </c>
      <c r="CK17" s="2029">
        <f t="shared" si="18"/>
        <v>0</v>
      </c>
      <c r="CL17" s="2034">
        <v>1</v>
      </c>
      <c r="CM17" s="2026">
        <v>1</v>
      </c>
      <c r="CN17" s="2026">
        <v>1</v>
      </c>
      <c r="CO17" s="2026">
        <v>1</v>
      </c>
      <c r="CP17" s="2035"/>
      <c r="CQ17" s="2036"/>
      <c r="CR17" s="2036"/>
      <c r="CS17" s="2036"/>
      <c r="CT17" s="2036"/>
      <c r="CU17" s="2036"/>
      <c r="CW17" s="1973">
        <v>0</v>
      </c>
      <c r="CX17" s="2037">
        <v>30</v>
      </c>
      <c r="CY17" s="2037">
        <v>30</v>
      </c>
      <c r="CZ17" s="2037">
        <v>30</v>
      </c>
      <c r="DA17" s="2037">
        <v>30</v>
      </c>
      <c r="DJ17" s="1976">
        <v>30</v>
      </c>
      <c r="DK17" s="1973">
        <v>30</v>
      </c>
      <c r="DL17" s="1973">
        <v>30</v>
      </c>
      <c r="DM17" s="1973">
        <v>30</v>
      </c>
      <c r="DO17" s="2023">
        <v>8</v>
      </c>
      <c r="DP17" s="2024">
        <v>488.84370000000001</v>
      </c>
      <c r="DQ17" s="2024">
        <v>0.35859099999999999</v>
      </c>
      <c r="DR17" s="2023">
        <v>-9.8665699999999994</v>
      </c>
      <c r="DS17" s="2029">
        <v>30</v>
      </c>
      <c r="DT17" s="2029">
        <v>30</v>
      </c>
      <c r="DU17" s="2029">
        <v>30</v>
      </c>
      <c r="DV17" s="2029">
        <v>30</v>
      </c>
      <c r="DW17" s="1974"/>
      <c r="DX17" s="2029">
        <v>0</v>
      </c>
      <c r="DY17" s="2029">
        <v>0</v>
      </c>
      <c r="DZ17" s="2029">
        <v>0</v>
      </c>
      <c r="EA17" s="2029">
        <v>102</v>
      </c>
      <c r="EB17" s="2029">
        <v>102</v>
      </c>
      <c r="EC17" s="2029">
        <v>102</v>
      </c>
      <c r="ED17" s="2029">
        <v>102</v>
      </c>
      <c r="EE17" s="2039">
        <f t="shared" si="19"/>
        <v>0</v>
      </c>
      <c r="EF17" s="2039">
        <f t="shared" si="8"/>
        <v>0</v>
      </c>
      <c r="EG17" s="2039">
        <f t="shared" si="8"/>
        <v>0</v>
      </c>
      <c r="EH17" s="2039">
        <f t="shared" si="8"/>
        <v>0</v>
      </c>
      <c r="EI17" s="2040">
        <f t="shared" si="20"/>
        <v>0</v>
      </c>
      <c r="EJ17" s="2040">
        <f t="shared" si="9"/>
        <v>0</v>
      </c>
      <c r="EK17" s="2040">
        <f t="shared" si="9"/>
        <v>0</v>
      </c>
      <c r="EL17" s="2040">
        <f t="shared" si="9"/>
        <v>0</v>
      </c>
      <c r="EM17" s="2040">
        <f t="shared" si="9"/>
        <v>0</v>
      </c>
      <c r="EN17" s="2040">
        <f t="shared" si="9"/>
        <v>0</v>
      </c>
      <c r="EO17" s="2040">
        <f t="shared" si="9"/>
        <v>0</v>
      </c>
      <c r="EP17" s="2040">
        <f t="shared" si="9"/>
        <v>0</v>
      </c>
      <c r="EQ17" s="2040">
        <f t="shared" si="9"/>
        <v>0</v>
      </c>
      <c r="ER17" s="2040">
        <f t="shared" si="9"/>
        <v>0</v>
      </c>
      <c r="ES17" s="2040">
        <f t="shared" si="10"/>
        <v>0</v>
      </c>
      <c r="ET17" s="2040">
        <f t="shared" si="10"/>
        <v>0</v>
      </c>
      <c r="EU17" s="2039">
        <f t="shared" si="21"/>
        <v>0</v>
      </c>
      <c r="EV17" s="2039">
        <f t="shared" si="22"/>
        <v>0</v>
      </c>
    </row>
    <row r="18" spans="1:152" x14ac:dyDescent="0.25">
      <c r="A18" s="2041" t="s">
        <v>94</v>
      </c>
      <c r="B18" s="2022" t="s">
        <v>2866</v>
      </c>
      <c r="C18" s="2023">
        <v>8</v>
      </c>
      <c r="D18" s="2024">
        <v>304.13</v>
      </c>
      <c r="E18" s="2024">
        <v>0.1</v>
      </c>
      <c r="F18" s="2023">
        <v>-4.42</v>
      </c>
      <c r="G18" s="2025" t="s">
        <v>4</v>
      </c>
      <c r="H18" s="2025" t="s">
        <v>4</v>
      </c>
      <c r="I18" s="2026">
        <v>0.77800000000000002</v>
      </c>
      <c r="J18" s="2026">
        <v>0.77800000000000002</v>
      </c>
      <c r="K18" s="2026">
        <v>0.77800000000000002</v>
      </c>
      <c r="L18" s="2026">
        <v>0.77800000000000002</v>
      </c>
      <c r="M18" s="2027">
        <f t="shared" si="11"/>
        <v>236.61314000000002</v>
      </c>
      <c r="N18" s="2027">
        <f t="shared" si="11"/>
        <v>236.61314000000002</v>
      </c>
      <c r="O18" s="2027">
        <f t="shared" si="11"/>
        <v>236.61314000000002</v>
      </c>
      <c r="P18" s="2027">
        <f t="shared" si="11"/>
        <v>236.61314000000002</v>
      </c>
      <c r="Q18" s="2026">
        <v>0.77800000000000002</v>
      </c>
      <c r="R18" s="2026">
        <v>0.77800000000000002</v>
      </c>
      <c r="S18" s="2026">
        <v>0.77800000000000002</v>
      </c>
      <c r="T18" s="2026">
        <v>0.77800000000000002</v>
      </c>
      <c r="U18" s="2028">
        <f t="shared" si="12"/>
        <v>7.7800000000000008E-2</v>
      </c>
      <c r="V18" s="2028">
        <f t="shared" si="12"/>
        <v>7.7800000000000008E-2</v>
      </c>
      <c r="W18" s="2028">
        <f t="shared" si="12"/>
        <v>7.7800000000000008E-2</v>
      </c>
      <c r="X18" s="2028">
        <f t="shared" si="12"/>
        <v>7.7800000000000008E-2</v>
      </c>
      <c r="Y18" s="2026">
        <v>0.77800000000000002</v>
      </c>
      <c r="Z18" s="2026">
        <v>0.77800000000000002</v>
      </c>
      <c r="AA18" s="2026">
        <v>0.77800000000000002</v>
      </c>
      <c r="AB18" s="2026">
        <v>0.77800000000000002</v>
      </c>
      <c r="AC18" s="2027">
        <f t="shared" si="2"/>
        <v>-3.4387600000000003</v>
      </c>
      <c r="AD18" s="2027">
        <f t="shared" si="2"/>
        <v>-3.4387600000000003</v>
      </c>
      <c r="AE18" s="2027">
        <f t="shared" si="2"/>
        <v>-3.4387600000000003</v>
      </c>
      <c r="AF18" s="2027">
        <f t="shared" si="2"/>
        <v>-3.4387600000000003</v>
      </c>
      <c r="AG18" s="2027">
        <v>166</v>
      </c>
      <c r="AH18" s="2027">
        <v>173</v>
      </c>
      <c r="AI18" s="2027">
        <v>173</v>
      </c>
      <c r="AJ18" s="2027">
        <v>166</v>
      </c>
      <c r="AK18" s="2027">
        <f t="shared" si="23"/>
        <v>39277.781240000004</v>
      </c>
      <c r="AL18" s="2027">
        <f t="shared" si="3"/>
        <v>40934.073220000006</v>
      </c>
      <c r="AM18" s="2027">
        <f t="shared" si="3"/>
        <v>40934.073220000006</v>
      </c>
      <c r="AN18" s="2027">
        <f t="shared" si="3"/>
        <v>39277.781240000004</v>
      </c>
      <c r="AO18" s="2027">
        <f t="shared" si="24"/>
        <v>-570.83416</v>
      </c>
      <c r="AP18" s="2027">
        <f t="shared" si="4"/>
        <v>-594.90548000000001</v>
      </c>
      <c r="AQ18" s="2027">
        <f t="shared" si="4"/>
        <v>-594.90548000000001</v>
      </c>
      <c r="AR18" s="2027">
        <f t="shared" si="4"/>
        <v>-570.83416</v>
      </c>
      <c r="AS18" s="2029">
        <v>20</v>
      </c>
      <c r="AT18" s="2029">
        <f t="shared" si="13"/>
        <v>20</v>
      </c>
      <c r="AU18" s="2029">
        <f t="shared" si="5"/>
        <v>20</v>
      </c>
      <c r="AV18" s="2029">
        <f t="shared" si="5"/>
        <v>20</v>
      </c>
      <c r="AW18" s="1974"/>
      <c r="AX18" s="2029">
        <f t="shared" si="14"/>
        <v>0</v>
      </c>
      <c r="AY18" s="2029">
        <f t="shared" si="14"/>
        <v>0</v>
      </c>
      <c r="AZ18" s="2029">
        <f t="shared" si="6"/>
        <v>0</v>
      </c>
      <c r="BA18" s="2029">
        <v>61</v>
      </c>
      <c r="BB18" s="2029">
        <f t="shared" si="15"/>
        <v>61</v>
      </c>
      <c r="BC18" s="2029">
        <f t="shared" si="7"/>
        <v>61</v>
      </c>
      <c r="BD18" s="2029">
        <f t="shared" si="7"/>
        <v>61</v>
      </c>
      <c r="BE18" s="2030">
        <f t="shared" si="16"/>
        <v>3320</v>
      </c>
      <c r="BF18" s="2030">
        <f t="shared" si="16"/>
        <v>3460</v>
      </c>
      <c r="BG18" s="2030">
        <f t="shared" si="16"/>
        <v>3460</v>
      </c>
      <c r="BH18" s="2030">
        <f t="shared" si="16"/>
        <v>3320</v>
      </c>
      <c r="BI18" s="2030">
        <f t="shared" si="17"/>
        <v>0</v>
      </c>
      <c r="BJ18" s="2030">
        <f t="shared" si="17"/>
        <v>0</v>
      </c>
      <c r="BK18" s="2030">
        <f t="shared" si="17"/>
        <v>0</v>
      </c>
      <c r="BL18" s="2030">
        <f t="shared" si="17"/>
        <v>0</v>
      </c>
      <c r="BM18" s="2031"/>
      <c r="BN18" s="2031"/>
      <c r="BO18" s="2031"/>
      <c r="BP18" s="2031"/>
      <c r="BQ18" s="2031"/>
      <c r="BR18" s="2031"/>
      <c r="BS18" s="2031"/>
      <c r="BT18" s="2031"/>
      <c r="BU18" s="2029"/>
      <c r="BV18" s="2029"/>
      <c r="BW18" s="2029"/>
      <c r="BX18" s="2029"/>
      <c r="BY18" s="2029"/>
      <c r="BZ18" s="2032"/>
      <c r="CA18" s="1974"/>
      <c r="CB18" s="1974"/>
      <c r="CC18" s="1974"/>
      <c r="CD18" s="1974"/>
      <c r="CE18" s="1974">
        <v>0</v>
      </c>
      <c r="CF18" s="2033">
        <v>1.6419435426249227E-4</v>
      </c>
      <c r="CG18" s="2026">
        <v>-2.1296705375060921E-4</v>
      </c>
      <c r="CH18" s="2009">
        <v>0</v>
      </c>
      <c r="CI18" s="2029">
        <v>0</v>
      </c>
      <c r="CK18" s="2029">
        <f t="shared" si="18"/>
        <v>0</v>
      </c>
      <c r="CL18" s="2034">
        <v>1</v>
      </c>
      <c r="CM18" s="2026">
        <v>1</v>
      </c>
      <c r="CN18" s="2026">
        <v>1</v>
      </c>
      <c r="CO18" s="2026">
        <v>1</v>
      </c>
      <c r="CP18" s="2035"/>
      <c r="CQ18" s="2036"/>
      <c r="CR18" s="2036"/>
      <c r="CS18" s="2036"/>
      <c r="CT18" s="2036"/>
      <c r="CU18" s="2036"/>
      <c r="CW18" s="1973">
        <v>0</v>
      </c>
      <c r="CX18" s="2037">
        <v>20</v>
      </c>
      <c r="CY18" s="2037">
        <v>20</v>
      </c>
      <c r="CZ18" s="2037">
        <v>20</v>
      </c>
      <c r="DA18" s="2037">
        <v>20</v>
      </c>
      <c r="DJ18" s="1976">
        <v>20</v>
      </c>
      <c r="DK18" s="1973">
        <v>20</v>
      </c>
      <c r="DL18" s="1973">
        <v>20</v>
      </c>
      <c r="DM18" s="1973">
        <v>20</v>
      </c>
      <c r="DO18" s="2023">
        <v>8</v>
      </c>
      <c r="DP18" s="2024">
        <v>304.13</v>
      </c>
      <c r="DQ18" s="2024">
        <v>0.1</v>
      </c>
      <c r="DR18" s="2023">
        <v>-4.42</v>
      </c>
      <c r="DS18" s="2029">
        <v>20</v>
      </c>
      <c r="DT18" s="2029">
        <v>20</v>
      </c>
      <c r="DU18" s="2029">
        <v>20</v>
      </c>
      <c r="DV18" s="2029">
        <v>20</v>
      </c>
      <c r="DW18" s="1974"/>
      <c r="DX18" s="2029">
        <v>0</v>
      </c>
      <c r="DY18" s="2029">
        <v>0</v>
      </c>
      <c r="DZ18" s="2029">
        <v>0</v>
      </c>
      <c r="EA18" s="2029">
        <v>61</v>
      </c>
      <c r="EB18" s="2029">
        <v>61</v>
      </c>
      <c r="EC18" s="2029">
        <v>61</v>
      </c>
      <c r="ED18" s="2029">
        <v>61</v>
      </c>
      <c r="EE18" s="2039">
        <f t="shared" si="19"/>
        <v>0</v>
      </c>
      <c r="EF18" s="2039">
        <f t="shared" si="8"/>
        <v>0</v>
      </c>
      <c r="EG18" s="2039">
        <f t="shared" si="8"/>
        <v>0</v>
      </c>
      <c r="EH18" s="2039">
        <f t="shared" si="8"/>
        <v>0</v>
      </c>
      <c r="EI18" s="2040">
        <f t="shared" si="20"/>
        <v>0</v>
      </c>
      <c r="EJ18" s="2040">
        <f t="shared" si="9"/>
        <v>0</v>
      </c>
      <c r="EK18" s="2040">
        <f t="shared" si="9"/>
        <v>0</v>
      </c>
      <c r="EL18" s="2040">
        <f t="shared" si="9"/>
        <v>0</v>
      </c>
      <c r="EM18" s="2040">
        <f t="shared" si="9"/>
        <v>0</v>
      </c>
      <c r="EN18" s="2040">
        <f t="shared" si="9"/>
        <v>0</v>
      </c>
      <c r="EO18" s="2040">
        <f t="shared" si="9"/>
        <v>0</v>
      </c>
      <c r="EP18" s="2040">
        <f t="shared" si="9"/>
        <v>0</v>
      </c>
      <c r="EQ18" s="2040">
        <f t="shared" si="9"/>
        <v>0</v>
      </c>
      <c r="ER18" s="2040">
        <f t="shared" si="9"/>
        <v>0</v>
      </c>
      <c r="ES18" s="2040">
        <f t="shared" si="10"/>
        <v>0</v>
      </c>
      <c r="ET18" s="2040">
        <f t="shared" si="10"/>
        <v>0</v>
      </c>
      <c r="EU18" s="2039">
        <f t="shared" si="21"/>
        <v>0</v>
      </c>
      <c r="EV18" s="2039">
        <f t="shared" si="22"/>
        <v>0</v>
      </c>
    </row>
    <row r="19" spans="1:152" x14ac:dyDescent="0.25">
      <c r="A19" s="2041" t="s">
        <v>95</v>
      </c>
      <c r="B19" s="2022" t="s">
        <v>2867</v>
      </c>
      <c r="C19" s="2023">
        <v>8</v>
      </c>
      <c r="D19" s="2024">
        <v>88.394639999999995</v>
      </c>
      <c r="E19" s="2024">
        <v>6.9360000000000005E-2</v>
      </c>
      <c r="F19" s="2023">
        <v>-1.7841100000000001</v>
      </c>
      <c r="G19" s="2026" t="s">
        <v>4</v>
      </c>
      <c r="H19" s="2026" t="s">
        <v>4</v>
      </c>
      <c r="I19" s="2026">
        <v>0.77800000000000002</v>
      </c>
      <c r="J19" s="2026">
        <v>0.77800000000000002</v>
      </c>
      <c r="K19" s="2026">
        <v>0.77800000000000002</v>
      </c>
      <c r="L19" s="2026">
        <v>0.77800000000000002</v>
      </c>
      <c r="M19" s="2027">
        <f t="shared" si="11"/>
        <v>68.771029920000004</v>
      </c>
      <c r="N19" s="2027">
        <f t="shared" si="11"/>
        <v>68.771029920000004</v>
      </c>
      <c r="O19" s="2027">
        <f t="shared" si="11"/>
        <v>68.771029920000004</v>
      </c>
      <c r="P19" s="2027">
        <f t="shared" si="11"/>
        <v>68.771029920000004</v>
      </c>
      <c r="Q19" s="2026">
        <v>0.77800000000000002</v>
      </c>
      <c r="R19" s="2026">
        <v>0.77800000000000002</v>
      </c>
      <c r="S19" s="2026">
        <v>0.77800000000000002</v>
      </c>
      <c r="T19" s="2026">
        <v>0.77800000000000002</v>
      </c>
      <c r="U19" s="2028">
        <f t="shared" si="12"/>
        <v>5.3962080000000003E-2</v>
      </c>
      <c r="V19" s="2028">
        <f t="shared" si="12"/>
        <v>5.3962080000000003E-2</v>
      </c>
      <c r="W19" s="2028">
        <f t="shared" si="12"/>
        <v>5.3962080000000003E-2</v>
      </c>
      <c r="X19" s="2028">
        <f t="shared" si="12"/>
        <v>5.3962080000000003E-2</v>
      </c>
      <c r="Y19" s="2026">
        <v>0.77800000000000002</v>
      </c>
      <c r="Z19" s="2026">
        <v>0.77800000000000002</v>
      </c>
      <c r="AA19" s="2026">
        <v>0.77800000000000002</v>
      </c>
      <c r="AB19" s="2026">
        <v>0.77800000000000002</v>
      </c>
      <c r="AC19" s="2027">
        <f t="shared" si="2"/>
        <v>-1.3880375800000002</v>
      </c>
      <c r="AD19" s="2027">
        <f t="shared" si="2"/>
        <v>-1.3880375800000002</v>
      </c>
      <c r="AE19" s="2027">
        <f t="shared" si="2"/>
        <v>-1.3880375800000002</v>
      </c>
      <c r="AF19" s="2027">
        <f t="shared" si="2"/>
        <v>-1.3880375800000002</v>
      </c>
      <c r="AG19" s="2027">
        <v>2610</v>
      </c>
      <c r="AH19" s="2027">
        <v>5721</v>
      </c>
      <c r="AI19" s="2027">
        <v>6086</v>
      </c>
      <c r="AJ19" s="2027">
        <v>6384</v>
      </c>
      <c r="AK19" s="2027">
        <f t="shared" si="23"/>
        <v>179492.3880912</v>
      </c>
      <c r="AL19" s="2027">
        <f t="shared" si="3"/>
        <v>393439.06217232003</v>
      </c>
      <c r="AM19" s="2027">
        <f t="shared" si="3"/>
        <v>418540.48809312005</v>
      </c>
      <c r="AN19" s="2027">
        <f t="shared" si="3"/>
        <v>439034.25500928005</v>
      </c>
      <c r="AO19" s="2027">
        <f t="shared" si="24"/>
        <v>-3622.7780838000008</v>
      </c>
      <c r="AP19" s="2027">
        <f t="shared" si="4"/>
        <v>-7940.9629951800016</v>
      </c>
      <c r="AQ19" s="2027">
        <f t="shared" si="4"/>
        <v>-8447.5967118800017</v>
      </c>
      <c r="AR19" s="2027">
        <f t="shared" si="4"/>
        <v>-8861.2319107200019</v>
      </c>
      <c r="AS19" s="2029">
        <v>25</v>
      </c>
      <c r="AT19" s="2029">
        <f t="shared" si="13"/>
        <v>25</v>
      </c>
      <c r="AU19" s="2029">
        <f t="shared" si="5"/>
        <v>25</v>
      </c>
      <c r="AV19" s="2029">
        <f t="shared" si="5"/>
        <v>25</v>
      </c>
      <c r="AW19" s="1974"/>
      <c r="AX19" s="2029">
        <f t="shared" si="14"/>
        <v>0</v>
      </c>
      <c r="AY19" s="2029">
        <f t="shared" si="14"/>
        <v>0</v>
      </c>
      <c r="AZ19" s="2029">
        <f t="shared" si="6"/>
        <v>0</v>
      </c>
      <c r="BA19" s="2029">
        <v>51</v>
      </c>
      <c r="BB19" s="2029">
        <f t="shared" si="15"/>
        <v>51</v>
      </c>
      <c r="BC19" s="2029">
        <f t="shared" si="7"/>
        <v>51</v>
      </c>
      <c r="BD19" s="2029">
        <f t="shared" si="7"/>
        <v>51</v>
      </c>
      <c r="BE19" s="2030">
        <f t="shared" si="16"/>
        <v>65250</v>
      </c>
      <c r="BF19" s="2030">
        <f t="shared" si="16"/>
        <v>143025</v>
      </c>
      <c r="BG19" s="2030">
        <f t="shared" si="16"/>
        <v>152150</v>
      </c>
      <c r="BH19" s="2030">
        <f t="shared" si="16"/>
        <v>159600</v>
      </c>
      <c r="BI19" s="2030">
        <f t="shared" si="17"/>
        <v>0</v>
      </c>
      <c r="BJ19" s="2030">
        <f t="shared" si="17"/>
        <v>0</v>
      </c>
      <c r="BK19" s="2030">
        <f t="shared" si="17"/>
        <v>0</v>
      </c>
      <c r="BL19" s="2030">
        <f t="shared" si="17"/>
        <v>0</v>
      </c>
      <c r="BM19" s="2031"/>
      <c r="BN19" s="2031"/>
      <c r="BO19" s="2031"/>
      <c r="BP19" s="2031"/>
      <c r="BQ19" s="2031"/>
      <c r="BR19" s="2031"/>
      <c r="BS19" s="2031"/>
      <c r="BT19" s="2031"/>
      <c r="BU19" s="2029"/>
      <c r="BV19" s="2029"/>
      <c r="BW19" s="2029"/>
      <c r="BX19" s="2029"/>
      <c r="BY19" s="2029"/>
      <c r="BZ19" s="2032"/>
      <c r="CA19" s="1974"/>
      <c r="CB19" s="1974"/>
      <c r="CC19" s="1974"/>
      <c r="CD19" s="1974"/>
      <c r="CE19" s="1974">
        <v>0</v>
      </c>
      <c r="CF19" s="2033">
        <v>7.5033863490368683E-4</v>
      </c>
      <c r="CG19" s="2026">
        <v>-1.3515876045315225E-3</v>
      </c>
      <c r="CH19" s="2009">
        <v>0</v>
      </c>
      <c r="CI19" s="2029">
        <v>0</v>
      </c>
      <c r="CK19" s="2029">
        <f t="shared" si="18"/>
        <v>0</v>
      </c>
      <c r="CL19" s="2034">
        <v>1</v>
      </c>
      <c r="CM19" s="2026">
        <v>1</v>
      </c>
      <c r="CN19" s="2026">
        <v>1</v>
      </c>
      <c r="CO19" s="2026">
        <v>1</v>
      </c>
      <c r="CP19" s="2035"/>
      <c r="CQ19" s="2036"/>
      <c r="CR19" s="2036"/>
      <c r="CS19" s="2036"/>
      <c r="CT19" s="2036"/>
      <c r="CU19" s="2036"/>
      <c r="CW19" s="1973">
        <v>0</v>
      </c>
      <c r="CX19" s="2037">
        <v>15</v>
      </c>
      <c r="CY19" s="2037">
        <v>15</v>
      </c>
      <c r="CZ19" s="2037">
        <v>15</v>
      </c>
      <c r="DA19" s="2037">
        <v>15</v>
      </c>
      <c r="DJ19" s="1976">
        <v>15</v>
      </c>
      <c r="DK19" s="1973">
        <v>15</v>
      </c>
      <c r="DL19" s="1973">
        <v>15</v>
      </c>
      <c r="DM19" s="1973">
        <v>15</v>
      </c>
      <c r="DO19" s="2043">
        <v>8</v>
      </c>
      <c r="DP19" s="2044">
        <v>88.394639999999995</v>
      </c>
      <c r="DQ19" s="2044">
        <v>6.9360000000000005E-2</v>
      </c>
      <c r="DR19" s="2043">
        <v>-1.7841100000000001</v>
      </c>
      <c r="DS19" s="2046">
        <v>25</v>
      </c>
      <c r="DT19" s="2046">
        <v>25</v>
      </c>
      <c r="DU19" s="2046">
        <v>25</v>
      </c>
      <c r="DV19" s="2046">
        <v>25</v>
      </c>
      <c r="DW19" s="2047"/>
      <c r="DX19" s="2046">
        <v>0</v>
      </c>
      <c r="DY19" s="2046">
        <v>0</v>
      </c>
      <c r="DZ19" s="2046">
        <v>0</v>
      </c>
      <c r="EA19" s="2549">
        <v>50</v>
      </c>
      <c r="EB19" s="2549">
        <v>50</v>
      </c>
      <c r="EC19" s="2549">
        <v>50</v>
      </c>
      <c r="ED19" s="2549">
        <v>50</v>
      </c>
      <c r="EE19" s="2039">
        <f t="shared" si="19"/>
        <v>0</v>
      </c>
      <c r="EF19" s="2039">
        <f t="shared" si="8"/>
        <v>0</v>
      </c>
      <c r="EG19" s="2039">
        <f t="shared" si="8"/>
        <v>0</v>
      </c>
      <c r="EH19" s="2039">
        <f t="shared" si="8"/>
        <v>0</v>
      </c>
      <c r="EI19" s="2040">
        <f t="shared" si="20"/>
        <v>0</v>
      </c>
      <c r="EJ19" s="2040">
        <f t="shared" si="9"/>
        <v>0</v>
      </c>
      <c r="EK19" s="2040">
        <f t="shared" si="9"/>
        <v>0</v>
      </c>
      <c r="EL19" s="2040">
        <f t="shared" si="9"/>
        <v>0</v>
      </c>
      <c r="EM19" s="2040">
        <f t="shared" si="9"/>
        <v>0</v>
      </c>
      <c r="EN19" s="2040">
        <f t="shared" si="9"/>
        <v>0</v>
      </c>
      <c r="EO19" s="2040">
        <f t="shared" si="9"/>
        <v>0</v>
      </c>
      <c r="EP19" s="2040">
        <f t="shared" si="9"/>
        <v>0</v>
      </c>
      <c r="EQ19" s="2040">
        <f t="shared" si="9"/>
        <v>1</v>
      </c>
      <c r="ER19" s="2040">
        <f t="shared" si="9"/>
        <v>1</v>
      </c>
      <c r="ES19" s="2040">
        <f t="shared" si="10"/>
        <v>1</v>
      </c>
      <c r="ET19" s="2040">
        <f t="shared" si="10"/>
        <v>1</v>
      </c>
      <c r="EU19" s="2039">
        <f t="shared" si="21"/>
        <v>4</v>
      </c>
      <c r="EV19" s="2039">
        <f t="shared" si="22"/>
        <v>0</v>
      </c>
    </row>
    <row r="20" spans="1:152" x14ac:dyDescent="0.25">
      <c r="A20" s="2021" t="s">
        <v>2868</v>
      </c>
      <c r="B20" s="2022" t="s">
        <v>2869</v>
      </c>
      <c r="C20" s="2023">
        <v>15</v>
      </c>
      <c r="D20" s="2024">
        <v>132.64364949904598</v>
      </c>
      <c r="E20" s="2024">
        <v>2.6460530662842971E-2</v>
      </c>
      <c r="F20" s="2023">
        <v>-2.6801434517075093</v>
      </c>
      <c r="G20" s="2026" t="s">
        <v>2870</v>
      </c>
      <c r="H20" s="2026" t="s">
        <v>2870</v>
      </c>
      <c r="I20" s="2026">
        <v>0.77300000000000002</v>
      </c>
      <c r="J20" s="2026">
        <v>0.77300000000000002</v>
      </c>
      <c r="K20" s="2026">
        <v>0.77300000000000002</v>
      </c>
      <c r="L20" s="2026">
        <v>0.77300000000000002</v>
      </c>
      <c r="M20" s="2027">
        <f t="shared" si="11"/>
        <v>102.53354106276254</v>
      </c>
      <c r="N20" s="2027">
        <f t="shared" si="11"/>
        <v>102.53354106276254</v>
      </c>
      <c r="O20" s="2027">
        <f t="shared" si="11"/>
        <v>102.53354106276254</v>
      </c>
      <c r="P20" s="2027">
        <f t="shared" si="11"/>
        <v>102.53354106276254</v>
      </c>
      <c r="Q20" s="2026">
        <v>0.77300000000000002</v>
      </c>
      <c r="R20" s="2026">
        <v>0.77300000000000002</v>
      </c>
      <c r="S20" s="2026">
        <v>0.77300000000000002</v>
      </c>
      <c r="T20" s="2026">
        <v>0.77300000000000002</v>
      </c>
      <c r="U20" s="2028">
        <f t="shared" si="12"/>
        <v>2.0453990202377616E-2</v>
      </c>
      <c r="V20" s="2028">
        <f t="shared" si="12"/>
        <v>2.0453990202377616E-2</v>
      </c>
      <c r="W20" s="2028">
        <f t="shared" si="12"/>
        <v>2.0453990202377616E-2</v>
      </c>
      <c r="X20" s="2028">
        <f t="shared" si="12"/>
        <v>2.0453990202377616E-2</v>
      </c>
      <c r="Y20" s="2026">
        <v>0.77300000000000002</v>
      </c>
      <c r="Z20" s="2026">
        <v>0.77300000000000002</v>
      </c>
      <c r="AA20" s="2026">
        <v>0.77300000000000002</v>
      </c>
      <c r="AB20" s="2026">
        <v>0.77300000000000002</v>
      </c>
      <c r="AC20" s="2027">
        <f t="shared" si="2"/>
        <v>-2.0717508881699049</v>
      </c>
      <c r="AD20" s="2027">
        <f t="shared" si="2"/>
        <v>-2.0717508881699049</v>
      </c>
      <c r="AE20" s="2027">
        <f t="shared" si="2"/>
        <v>-2.0717508881699049</v>
      </c>
      <c r="AF20" s="2027">
        <f t="shared" si="2"/>
        <v>-2.0717508881699049</v>
      </c>
      <c r="AG20" s="2027">
        <v>33000</v>
      </c>
      <c r="AH20" s="2027">
        <v>36159</v>
      </c>
      <c r="AI20" s="2027">
        <v>37342</v>
      </c>
      <c r="AJ20" s="2027">
        <v>34863</v>
      </c>
      <c r="AK20" s="2027">
        <f t="shared" si="23"/>
        <v>3383606.8550711637</v>
      </c>
      <c r="AL20" s="2027">
        <f t="shared" si="3"/>
        <v>3707510.3112884308</v>
      </c>
      <c r="AM20" s="2027">
        <f t="shared" si="3"/>
        <v>1802324.1077375896</v>
      </c>
      <c r="AN20" s="2027">
        <f t="shared" si="3"/>
        <v>1682674.3443858277</v>
      </c>
      <c r="AO20" s="2027">
        <f t="shared" si="24"/>
        <v>-68367.779309606864</v>
      </c>
      <c r="AP20" s="2027">
        <f t="shared" si="4"/>
        <v>-74912.440365335598</v>
      </c>
      <c r="AQ20" s="2027">
        <f t="shared" si="4"/>
        <v>-36417.025416978016</v>
      </c>
      <c r="AR20" s="2027">
        <f t="shared" si="4"/>
        <v>-33999.43112613423</v>
      </c>
      <c r="AS20" s="2029">
        <v>2.2352242872433585</v>
      </c>
      <c r="AT20" s="2029">
        <f t="shared" si="13"/>
        <v>2.2352242872433585</v>
      </c>
      <c r="AU20" s="2029">
        <f t="shared" si="5"/>
        <v>2.2352242872433585</v>
      </c>
      <c r="AV20" s="2029">
        <f t="shared" si="5"/>
        <v>2.2352242872433585</v>
      </c>
      <c r="AW20" s="1974"/>
      <c r="AX20" s="2029">
        <f t="shared" si="14"/>
        <v>0</v>
      </c>
      <c r="AY20" s="2029">
        <f t="shared" si="14"/>
        <v>0</v>
      </c>
      <c r="AZ20" s="2029">
        <f t="shared" si="6"/>
        <v>0</v>
      </c>
      <c r="BA20" s="2029">
        <v>1.7695299211832249</v>
      </c>
      <c r="BB20" s="2029">
        <f t="shared" si="15"/>
        <v>1.7695299211832249</v>
      </c>
      <c r="BC20" s="2029">
        <f t="shared" si="7"/>
        <v>1.7695299211832249</v>
      </c>
      <c r="BD20" s="2029">
        <f t="shared" si="7"/>
        <v>1.7695299211832249</v>
      </c>
      <c r="BE20" s="2030">
        <f t="shared" si="16"/>
        <v>73762.401479030828</v>
      </c>
      <c r="BF20" s="2030">
        <f t="shared" si="16"/>
        <v>80823.475002432606</v>
      </c>
      <c r="BG20" s="2030">
        <f t="shared" si="16"/>
        <v>83467.745334241496</v>
      </c>
      <c r="BH20" s="2030">
        <f t="shared" si="16"/>
        <v>77926.624326165213</v>
      </c>
      <c r="BI20" s="2030">
        <f t="shared" si="17"/>
        <v>0</v>
      </c>
      <c r="BJ20" s="2030">
        <f t="shared" si="17"/>
        <v>0</v>
      </c>
      <c r="BK20" s="2030">
        <f t="shared" si="17"/>
        <v>0</v>
      </c>
      <c r="BL20" s="2030">
        <f t="shared" si="17"/>
        <v>0</v>
      </c>
      <c r="BM20" s="2031"/>
      <c r="BN20" s="2031"/>
      <c r="BO20" s="2031"/>
      <c r="BP20" s="2031"/>
      <c r="BQ20" s="2031"/>
      <c r="BR20" s="2031"/>
      <c r="BS20" s="2031"/>
      <c r="BT20" s="2031"/>
      <c r="BU20" s="2029"/>
      <c r="BV20" s="2029"/>
      <c r="BW20" s="2029"/>
      <c r="BX20" s="2029"/>
      <c r="BY20" s="2029"/>
      <c r="BZ20" s="2032"/>
      <c r="CA20" s="1974"/>
      <c r="CB20" s="1974"/>
      <c r="CC20" s="1974"/>
      <c r="CD20" s="1974"/>
      <c r="CE20" s="1974">
        <v>1</v>
      </c>
      <c r="CF20" s="2033">
        <v>1.4144616246316055E-2</v>
      </c>
      <c r="CG20" s="2026">
        <v>-2.5506680488495703E-2</v>
      </c>
      <c r="CH20" s="2009">
        <v>1</v>
      </c>
      <c r="CI20" s="2029">
        <v>0.20832982508570624</v>
      </c>
      <c r="CK20" s="2029">
        <f t="shared" si="18"/>
        <v>-0.20832982508570624</v>
      </c>
      <c r="CL20" s="2034">
        <v>1</v>
      </c>
      <c r="CM20" s="2026">
        <v>1</v>
      </c>
      <c r="CN20" s="2034">
        <v>0.47072727272727272</v>
      </c>
      <c r="CO20" s="2034">
        <v>0.47072727272727272</v>
      </c>
      <c r="CP20" s="2035"/>
      <c r="CQ20" s="2036"/>
      <c r="CR20" s="2036"/>
      <c r="CS20" s="2036"/>
      <c r="CT20" s="2036"/>
      <c r="CU20" s="2036"/>
      <c r="CW20" s="1973">
        <v>1</v>
      </c>
      <c r="CX20" s="2037">
        <v>2.2352242872433585</v>
      </c>
      <c r="CY20" s="2037">
        <v>2.2352242872433585</v>
      </c>
      <c r="CZ20" s="2037">
        <v>2.2352242872433585</v>
      </c>
      <c r="DA20" s="2037">
        <v>2.2352242872433585</v>
      </c>
      <c r="DJ20" s="1976">
        <v>2.2352242872433585</v>
      </c>
      <c r="DK20" s="1973">
        <v>2.2352242872433585</v>
      </c>
      <c r="DL20" s="1973">
        <v>2.2352242872433585</v>
      </c>
      <c r="DM20" s="1973">
        <v>2.2352242872433585</v>
      </c>
      <c r="DO20" s="2023">
        <v>15</v>
      </c>
      <c r="DP20" s="2024">
        <v>132.64364949904598</v>
      </c>
      <c r="DQ20" s="2024">
        <v>2.6460530662842971E-2</v>
      </c>
      <c r="DR20" s="2023">
        <v>-2.6801434517075093</v>
      </c>
      <c r="DS20" s="2029">
        <v>2.2352242872433585</v>
      </c>
      <c r="DT20" s="2029">
        <v>2.2352242872433585</v>
      </c>
      <c r="DU20" s="2029">
        <v>2.2352242872433585</v>
      </c>
      <c r="DV20" s="2029">
        <v>2.2352242872433585</v>
      </c>
      <c r="DW20" s="1974"/>
      <c r="DX20" s="2029">
        <v>0</v>
      </c>
      <c r="DY20" s="2029">
        <v>0</v>
      </c>
      <c r="DZ20" s="2029">
        <v>0</v>
      </c>
      <c r="EA20" s="2029">
        <v>1.7695299211832249</v>
      </c>
      <c r="EB20" s="2029">
        <v>1.7695299211832249</v>
      </c>
      <c r="EC20" s="2029">
        <v>1.7695299211832249</v>
      </c>
      <c r="ED20" s="2029">
        <v>1.7695299211832249</v>
      </c>
      <c r="EE20" s="2039">
        <f t="shared" si="19"/>
        <v>0</v>
      </c>
      <c r="EF20" s="2039">
        <f t="shared" si="8"/>
        <v>0</v>
      </c>
      <c r="EG20" s="2039">
        <f t="shared" si="8"/>
        <v>0</v>
      </c>
      <c r="EH20" s="2039">
        <f t="shared" si="8"/>
        <v>0</v>
      </c>
      <c r="EI20" s="2040">
        <f t="shared" si="20"/>
        <v>0</v>
      </c>
      <c r="EJ20" s="2040">
        <f t="shared" si="9"/>
        <v>0</v>
      </c>
      <c r="EK20" s="2040">
        <f t="shared" si="9"/>
        <v>0</v>
      </c>
      <c r="EL20" s="2040">
        <f t="shared" si="9"/>
        <v>0</v>
      </c>
      <c r="EM20" s="2040">
        <f t="shared" si="9"/>
        <v>0</v>
      </c>
      <c r="EN20" s="2040">
        <f t="shared" si="9"/>
        <v>0</v>
      </c>
      <c r="EO20" s="2040">
        <f t="shared" si="9"/>
        <v>0</v>
      </c>
      <c r="EP20" s="2040">
        <f t="shared" si="9"/>
        <v>0</v>
      </c>
      <c r="EQ20" s="2040">
        <f t="shared" si="9"/>
        <v>0</v>
      </c>
      <c r="ER20" s="2040">
        <f t="shared" si="9"/>
        <v>0</v>
      </c>
      <c r="ES20" s="2040">
        <f t="shared" si="10"/>
        <v>0</v>
      </c>
      <c r="ET20" s="2040">
        <f t="shared" si="10"/>
        <v>0</v>
      </c>
      <c r="EU20" s="2039">
        <f t="shared" si="21"/>
        <v>0</v>
      </c>
      <c r="EV20" s="2039">
        <f t="shared" si="22"/>
        <v>0</v>
      </c>
    </row>
    <row r="21" spans="1:152" ht="11.25" customHeight="1" x14ac:dyDescent="0.25">
      <c r="A21" s="2021" t="s">
        <v>2871</v>
      </c>
      <c r="B21" s="2022" t="s">
        <v>2872</v>
      </c>
      <c r="C21" s="2023">
        <v>15</v>
      </c>
      <c r="D21" s="2024">
        <v>105.16236658599999</v>
      </c>
      <c r="E21" s="2024">
        <v>2.2522290879999993E-2</v>
      </c>
      <c r="F21" s="2023">
        <v>-2.1225431788</v>
      </c>
      <c r="G21" s="2026" t="s">
        <v>2870</v>
      </c>
      <c r="H21" s="2026" t="s">
        <v>2870</v>
      </c>
      <c r="I21" s="2026">
        <v>0.77300000000000002</v>
      </c>
      <c r="J21" s="2026">
        <v>0.77300000000000002</v>
      </c>
      <c r="K21" s="2026">
        <v>0.77300000000000002</v>
      </c>
      <c r="L21" s="2026">
        <v>0.77300000000000002</v>
      </c>
      <c r="M21" s="2027">
        <f t="shared" si="11"/>
        <v>81.290509370978</v>
      </c>
      <c r="N21" s="2027">
        <f t="shared" si="11"/>
        <v>81.290509370978</v>
      </c>
      <c r="O21" s="2027">
        <f t="shared" si="11"/>
        <v>81.290509370978</v>
      </c>
      <c r="P21" s="2027">
        <f t="shared" si="11"/>
        <v>81.290509370978</v>
      </c>
      <c r="Q21" s="2026">
        <v>0.77300000000000002</v>
      </c>
      <c r="R21" s="2026">
        <v>0.77300000000000002</v>
      </c>
      <c r="S21" s="2026">
        <v>0.77300000000000002</v>
      </c>
      <c r="T21" s="2026">
        <v>0.77300000000000002</v>
      </c>
      <c r="U21" s="2028">
        <f t="shared" si="12"/>
        <v>1.7409730850239995E-2</v>
      </c>
      <c r="V21" s="2028">
        <f t="shared" si="12"/>
        <v>1.7409730850239995E-2</v>
      </c>
      <c r="W21" s="2028">
        <f t="shared" si="12"/>
        <v>1.7409730850239995E-2</v>
      </c>
      <c r="X21" s="2028">
        <f t="shared" si="12"/>
        <v>1.7409730850239995E-2</v>
      </c>
      <c r="Y21" s="2026">
        <v>0.77300000000000002</v>
      </c>
      <c r="Z21" s="2026">
        <v>0.77300000000000002</v>
      </c>
      <c r="AA21" s="2026">
        <v>0.77300000000000002</v>
      </c>
      <c r="AB21" s="2026">
        <v>0.77300000000000002</v>
      </c>
      <c r="AC21" s="2027">
        <f t="shared" si="2"/>
        <v>-1.6407258772124</v>
      </c>
      <c r="AD21" s="2027">
        <f t="shared" si="2"/>
        <v>-1.6407258772124</v>
      </c>
      <c r="AE21" s="2027">
        <f t="shared" si="2"/>
        <v>-1.6407258772124</v>
      </c>
      <c r="AF21" s="2027">
        <f t="shared" si="2"/>
        <v>-1.6407258772124</v>
      </c>
      <c r="AG21" s="2027">
        <v>2222</v>
      </c>
      <c r="AH21" s="2027">
        <v>2248</v>
      </c>
      <c r="AI21" s="2027">
        <v>2257</v>
      </c>
      <c r="AJ21" s="2027">
        <v>2252</v>
      </c>
      <c r="AK21" s="2027">
        <f t="shared" si="23"/>
        <v>180627.51182231313</v>
      </c>
      <c r="AL21" s="2027">
        <f t="shared" si="3"/>
        <v>182741.06506595854</v>
      </c>
      <c r="AM21" s="2027">
        <f t="shared" si="3"/>
        <v>183472.67965029736</v>
      </c>
      <c r="AN21" s="2027">
        <f t="shared" si="3"/>
        <v>183066.22710344245</v>
      </c>
      <c r="AO21" s="2027">
        <f t="shared" si="24"/>
        <v>-3645.6928991659529</v>
      </c>
      <c r="AP21" s="2027">
        <f t="shared" si="4"/>
        <v>-3688.3517719734755</v>
      </c>
      <c r="AQ21" s="2027">
        <f t="shared" si="4"/>
        <v>-3703.118304868387</v>
      </c>
      <c r="AR21" s="2027">
        <f t="shared" si="4"/>
        <v>-3694.914675482325</v>
      </c>
      <c r="AS21" s="2042">
        <v>6</v>
      </c>
      <c r="AT21" s="2029">
        <f>$AS$21/6*5</f>
        <v>5</v>
      </c>
      <c r="AU21" s="2029">
        <f t="shared" ref="AU21:AV21" si="25">$AS$21/6*5</f>
        <v>5</v>
      </c>
      <c r="AV21" s="2029">
        <f t="shared" si="25"/>
        <v>5</v>
      </c>
      <c r="AW21" s="1974"/>
      <c r="AX21" s="2029">
        <f t="shared" si="14"/>
        <v>0</v>
      </c>
      <c r="AY21" s="2029">
        <f t="shared" si="14"/>
        <v>0</v>
      </c>
      <c r="AZ21" s="2029">
        <f t="shared" si="6"/>
        <v>0</v>
      </c>
      <c r="BA21" s="2029">
        <v>54.99</v>
      </c>
      <c r="BB21" s="2029">
        <f t="shared" si="15"/>
        <v>54.99</v>
      </c>
      <c r="BC21" s="2029">
        <f t="shared" si="7"/>
        <v>54.99</v>
      </c>
      <c r="BD21" s="2029">
        <f t="shared" si="7"/>
        <v>54.99</v>
      </c>
      <c r="BE21" s="2030">
        <f t="shared" si="16"/>
        <v>13332</v>
      </c>
      <c r="BF21" s="2030">
        <f t="shared" si="16"/>
        <v>11240</v>
      </c>
      <c r="BG21" s="2030">
        <f t="shared" si="16"/>
        <v>11285</v>
      </c>
      <c r="BH21" s="2030">
        <f t="shared" si="16"/>
        <v>11260</v>
      </c>
      <c r="BI21" s="2030">
        <f t="shared" si="17"/>
        <v>0</v>
      </c>
      <c r="BJ21" s="2030">
        <f t="shared" si="17"/>
        <v>0</v>
      </c>
      <c r="BK21" s="2030">
        <f t="shared" si="17"/>
        <v>0</v>
      </c>
      <c r="BL21" s="2030">
        <f t="shared" si="17"/>
        <v>0</v>
      </c>
      <c r="BM21" s="2031"/>
      <c r="BN21" s="2031"/>
      <c r="BO21" s="2031"/>
      <c r="BP21" s="2031"/>
      <c r="BQ21" s="2031"/>
      <c r="BR21" s="2031"/>
      <c r="BS21" s="2031"/>
      <c r="BT21" s="2031"/>
      <c r="BU21" s="2029"/>
      <c r="BV21" s="2029"/>
      <c r="BW21" s="2029"/>
      <c r="BX21" s="2029"/>
      <c r="BY21" s="2029"/>
      <c r="BZ21" s="2032"/>
      <c r="CA21" s="1974"/>
      <c r="CB21" s="1974"/>
      <c r="CC21" s="1974"/>
      <c r="CD21" s="1974"/>
      <c r="CE21" s="1974">
        <v>0</v>
      </c>
      <c r="CF21" s="2033">
        <v>1.5082810584978769E-3</v>
      </c>
      <c r="CG21" s="2026">
        <v>-1.6903277566718237E-3</v>
      </c>
      <c r="CH21" s="2009">
        <v>1</v>
      </c>
      <c r="CI21" s="2029">
        <v>12.181999999999999</v>
      </c>
      <c r="CK21" s="2029">
        <f t="shared" si="18"/>
        <v>-12.181999999999999</v>
      </c>
      <c r="CL21" s="2034">
        <v>1</v>
      </c>
      <c r="CM21" s="2026">
        <v>1</v>
      </c>
      <c r="CN21" s="2026">
        <v>1</v>
      </c>
      <c r="CO21" s="2026">
        <v>1</v>
      </c>
      <c r="CP21" s="2035"/>
      <c r="CQ21" s="2036"/>
      <c r="CR21" s="2036"/>
      <c r="CS21" s="2036"/>
      <c r="CT21" s="2036"/>
      <c r="CU21" s="2036"/>
      <c r="CW21" s="1973">
        <v>1</v>
      </c>
      <c r="CX21" s="2037">
        <v>6</v>
      </c>
      <c r="CY21" s="2037">
        <v>5</v>
      </c>
      <c r="CZ21" s="2037">
        <v>5</v>
      </c>
      <c r="DA21" s="2037">
        <v>5</v>
      </c>
      <c r="DJ21" s="1976">
        <v>6</v>
      </c>
      <c r="DK21" s="1973">
        <v>5</v>
      </c>
      <c r="DL21" s="1973">
        <v>5</v>
      </c>
      <c r="DM21" s="1973">
        <v>5</v>
      </c>
      <c r="DO21" s="2043">
        <v>15</v>
      </c>
      <c r="DP21" s="2044">
        <v>105.16236658599999</v>
      </c>
      <c r="DQ21" s="2044">
        <v>2.2522290879999993E-2</v>
      </c>
      <c r="DR21" s="2043">
        <v>-2.1225431788</v>
      </c>
      <c r="DS21" s="2046">
        <v>6</v>
      </c>
      <c r="DT21" s="2046">
        <v>5</v>
      </c>
      <c r="DU21" s="2046">
        <v>5</v>
      </c>
      <c r="DV21" s="2046">
        <v>5</v>
      </c>
      <c r="DW21" s="2047"/>
      <c r="DX21" s="2046">
        <v>0</v>
      </c>
      <c r="DY21" s="2046">
        <v>0</v>
      </c>
      <c r="DZ21" s="2046">
        <v>0</v>
      </c>
      <c r="EA21" s="2046">
        <v>54.99</v>
      </c>
      <c r="EB21" s="2046">
        <v>54.99</v>
      </c>
      <c r="EC21" s="2046">
        <v>54.99</v>
      </c>
      <c r="ED21" s="2046">
        <v>54.99</v>
      </c>
      <c r="EE21" s="2039">
        <f t="shared" si="19"/>
        <v>0</v>
      </c>
      <c r="EF21" s="2039">
        <f t="shared" si="8"/>
        <v>0</v>
      </c>
      <c r="EG21" s="2039">
        <f t="shared" si="8"/>
        <v>0</v>
      </c>
      <c r="EH21" s="2039">
        <f t="shared" si="8"/>
        <v>0</v>
      </c>
      <c r="EI21" s="2040">
        <f t="shared" si="20"/>
        <v>0</v>
      </c>
      <c r="EJ21" s="2040">
        <f t="shared" si="9"/>
        <v>0</v>
      </c>
      <c r="EK21" s="2040">
        <f t="shared" si="9"/>
        <v>0</v>
      </c>
      <c r="EL21" s="2040">
        <f t="shared" si="9"/>
        <v>0</v>
      </c>
      <c r="EM21" s="2040">
        <f t="shared" si="9"/>
        <v>0</v>
      </c>
      <c r="EN21" s="2040">
        <f t="shared" si="9"/>
        <v>0</v>
      </c>
      <c r="EO21" s="2040">
        <f t="shared" si="9"/>
        <v>0</v>
      </c>
      <c r="EP21" s="2040">
        <f t="shared" si="9"/>
        <v>0</v>
      </c>
      <c r="EQ21" s="2040">
        <f t="shared" si="9"/>
        <v>0</v>
      </c>
      <c r="ER21" s="2040">
        <f t="shared" si="9"/>
        <v>0</v>
      </c>
      <c r="ES21" s="2040">
        <f t="shared" si="10"/>
        <v>0</v>
      </c>
      <c r="ET21" s="2040">
        <f t="shared" si="10"/>
        <v>0</v>
      </c>
      <c r="EU21" s="2039">
        <f t="shared" si="21"/>
        <v>0</v>
      </c>
      <c r="EV21" s="2039">
        <f t="shared" si="22"/>
        <v>0</v>
      </c>
    </row>
    <row r="22" spans="1:152" x14ac:dyDescent="0.25">
      <c r="A22" s="2021" t="s">
        <v>96</v>
      </c>
      <c r="B22" s="2022" t="s">
        <v>2873</v>
      </c>
      <c r="C22" s="2023">
        <v>8</v>
      </c>
      <c r="D22" s="2024">
        <v>113.34797485881018</v>
      </c>
      <c r="E22" s="2024">
        <v>8.4962855788356412E-2</v>
      </c>
      <c r="F22" s="2023">
        <v>-6.6561899777531819</v>
      </c>
      <c r="G22" s="2025" t="s">
        <v>4</v>
      </c>
      <c r="H22" s="2025" t="s">
        <v>4</v>
      </c>
      <c r="I22" s="2026">
        <v>0.77800000000000002</v>
      </c>
      <c r="J22" s="2026">
        <v>0.77800000000000002</v>
      </c>
      <c r="K22" s="2026">
        <v>0.77800000000000002</v>
      </c>
      <c r="L22" s="2026">
        <v>0.77800000000000002</v>
      </c>
      <c r="M22" s="2027">
        <f>$D22*I22</f>
        <v>88.184724440154326</v>
      </c>
      <c r="N22" s="2027">
        <f>$D22*J22</f>
        <v>88.184724440154326</v>
      </c>
      <c r="O22" s="2027">
        <f>$D22*K22</f>
        <v>88.184724440154326</v>
      </c>
      <c r="P22" s="2027">
        <f>$D22*L22</f>
        <v>88.184724440154326</v>
      </c>
      <c r="Q22" s="2026">
        <v>0.77800000000000002</v>
      </c>
      <c r="R22" s="2026">
        <v>0.77800000000000002</v>
      </c>
      <c r="S22" s="2026">
        <v>0.77800000000000002</v>
      </c>
      <c r="T22" s="2026">
        <v>0.77800000000000002</v>
      </c>
      <c r="U22" s="2028">
        <f>$E22*Q22</f>
        <v>6.6101101803341292E-2</v>
      </c>
      <c r="V22" s="2028">
        <f>$E22*R22</f>
        <v>6.6101101803341292E-2</v>
      </c>
      <c r="W22" s="2028">
        <f>$E22*S22</f>
        <v>6.6101101803341292E-2</v>
      </c>
      <c r="X22" s="2028">
        <f>$E22*T22</f>
        <v>6.6101101803341292E-2</v>
      </c>
      <c r="Y22" s="2026">
        <v>0.77800000000000002</v>
      </c>
      <c r="Z22" s="2026">
        <v>0.77800000000000002</v>
      </c>
      <c r="AA22" s="2026">
        <v>0.77800000000000002</v>
      </c>
      <c r="AB22" s="2026">
        <v>0.77800000000000002</v>
      </c>
      <c r="AC22" s="2027">
        <f t="shared" ref="AC22:AF37" si="26">$F22*Y22</f>
        <v>-5.178515802691976</v>
      </c>
      <c r="AD22" s="2027">
        <f t="shared" si="26"/>
        <v>-5.178515802691976</v>
      </c>
      <c r="AE22" s="2027">
        <f t="shared" si="26"/>
        <v>-5.178515802691976</v>
      </c>
      <c r="AF22" s="2027">
        <f>$F22*AB22</f>
        <v>-5.178515802691976</v>
      </c>
      <c r="AG22" s="2027">
        <v>4897</v>
      </c>
      <c r="AH22" s="2027">
        <v>5122</v>
      </c>
      <c r="AI22" s="2027">
        <v>5350</v>
      </c>
      <c r="AJ22" s="2027">
        <v>6101</v>
      </c>
      <c r="AK22" s="2027">
        <f>AG22*M22</f>
        <v>431840.59558343573</v>
      </c>
      <c r="AL22" s="2027">
        <f t="shared" si="3"/>
        <v>451682.15858247044</v>
      </c>
      <c r="AM22" s="2027">
        <f t="shared" si="3"/>
        <v>471788.27575482562</v>
      </c>
      <c r="AN22" s="2027">
        <f t="shared" si="3"/>
        <v>538015.00380938151</v>
      </c>
      <c r="AO22" s="2027">
        <f>AG22*AC22</f>
        <v>-25359.191885782606</v>
      </c>
      <c r="AP22" s="2027">
        <f t="shared" si="4"/>
        <v>-26524.357941388302</v>
      </c>
      <c r="AQ22" s="2027">
        <f t="shared" si="4"/>
        <v>-27705.059544402073</v>
      </c>
      <c r="AR22" s="2027">
        <f t="shared" si="4"/>
        <v>-31594.124912223746</v>
      </c>
      <c r="AS22" s="2042">
        <v>30</v>
      </c>
      <c r="AT22" s="2029">
        <f t="shared" si="13"/>
        <v>30</v>
      </c>
      <c r="AU22" s="2029">
        <f t="shared" si="13"/>
        <v>30</v>
      </c>
      <c r="AV22" s="2029">
        <f t="shared" si="13"/>
        <v>30</v>
      </c>
      <c r="AW22" s="1974"/>
      <c r="AX22" s="2029">
        <f t="shared" si="14"/>
        <v>0</v>
      </c>
      <c r="AY22" s="2029">
        <f t="shared" si="14"/>
        <v>0</v>
      </c>
      <c r="AZ22" s="2029">
        <f t="shared" si="14"/>
        <v>0</v>
      </c>
      <c r="BA22" s="2048">
        <v>54</v>
      </c>
      <c r="BB22" s="2029">
        <f t="shared" si="15"/>
        <v>54</v>
      </c>
      <c r="BC22" s="2029">
        <f t="shared" si="15"/>
        <v>54</v>
      </c>
      <c r="BD22" s="2029">
        <f t="shared" si="15"/>
        <v>54</v>
      </c>
      <c r="BE22" s="2030">
        <f t="shared" si="16"/>
        <v>146910</v>
      </c>
      <c r="BF22" s="2030">
        <f t="shared" si="16"/>
        <v>153660</v>
      </c>
      <c r="BG22" s="2030">
        <f t="shared" si="16"/>
        <v>160500</v>
      </c>
      <c r="BH22" s="2030">
        <f t="shared" si="16"/>
        <v>183030</v>
      </c>
      <c r="BI22" s="2030">
        <f t="shared" si="17"/>
        <v>0</v>
      </c>
      <c r="BJ22" s="2030">
        <f t="shared" si="17"/>
        <v>0</v>
      </c>
      <c r="BK22" s="2030">
        <f t="shared" si="17"/>
        <v>0</v>
      </c>
      <c r="BL22" s="2030">
        <f t="shared" si="17"/>
        <v>0</v>
      </c>
      <c r="BM22" s="2031"/>
      <c r="BN22" s="2031"/>
      <c r="BO22" s="2031"/>
      <c r="BP22" s="2031"/>
      <c r="BQ22" s="2031"/>
      <c r="BR22" s="2031"/>
      <c r="BS22" s="2031"/>
      <c r="BT22" s="2031"/>
      <c r="BU22" s="2029"/>
      <c r="BV22" s="2029"/>
      <c r="BW22" s="2029"/>
      <c r="BX22" s="2029"/>
      <c r="BY22" s="2029"/>
      <c r="BZ22" s="2032"/>
      <c r="CA22" s="1974"/>
      <c r="CB22" s="1974"/>
      <c r="CC22" s="1974"/>
      <c r="CD22" s="1974"/>
      <c r="CE22" s="1974">
        <v>0</v>
      </c>
      <c r="CF22" s="2033">
        <v>2.5340754507650744E-3</v>
      </c>
      <c r="CG22" s="2026">
        <v>-4.5646404285596912E-3</v>
      </c>
      <c r="CH22" s="2009">
        <v>0</v>
      </c>
      <c r="CI22" s="2029">
        <v>0</v>
      </c>
      <c r="CK22" s="2029">
        <f t="shared" si="18"/>
        <v>0</v>
      </c>
      <c r="CL22" s="2034">
        <v>1</v>
      </c>
      <c r="CM22" s="2026">
        <v>1</v>
      </c>
      <c r="CN22" s="2026">
        <v>1</v>
      </c>
      <c r="CO22" s="2026">
        <v>1</v>
      </c>
      <c r="CP22" s="2035"/>
      <c r="CQ22" s="2036"/>
      <c r="CR22" s="2036"/>
      <c r="CS22" s="2036"/>
      <c r="CT22" s="2036"/>
      <c r="CU22" s="2036"/>
      <c r="CW22" s="1973">
        <v>0</v>
      </c>
      <c r="CX22" s="2037">
        <v>30</v>
      </c>
      <c r="CY22" s="2037">
        <v>30</v>
      </c>
      <c r="CZ22" s="2037">
        <v>30</v>
      </c>
      <c r="DA22" s="2037">
        <v>30</v>
      </c>
      <c r="DJ22" s="1976">
        <v>30</v>
      </c>
      <c r="DK22" s="1973">
        <v>30</v>
      </c>
      <c r="DL22" s="1973">
        <v>30</v>
      </c>
      <c r="DM22" s="1973">
        <v>30</v>
      </c>
      <c r="DO22" s="2043">
        <v>8</v>
      </c>
      <c r="DP22" s="2044">
        <v>113.34797485881018</v>
      </c>
      <c r="DQ22" s="2044">
        <v>8.4962855788356412E-2</v>
      </c>
      <c r="DR22" s="2043">
        <v>-6.6561899777531819</v>
      </c>
      <c r="DS22" s="2045">
        <v>30</v>
      </c>
      <c r="DT22" s="2046">
        <v>30</v>
      </c>
      <c r="DU22" s="2046">
        <v>30</v>
      </c>
      <c r="DV22" s="2046">
        <v>30</v>
      </c>
      <c r="DW22" s="2047"/>
      <c r="DX22" s="2046">
        <v>0</v>
      </c>
      <c r="DY22" s="2046">
        <v>0</v>
      </c>
      <c r="DZ22" s="2046">
        <v>0</v>
      </c>
      <c r="EA22" s="2045">
        <v>54</v>
      </c>
      <c r="EB22" s="2046">
        <v>54</v>
      </c>
      <c r="EC22" s="2046">
        <v>54</v>
      </c>
      <c r="ED22" s="2046">
        <v>54</v>
      </c>
      <c r="EE22" s="2039">
        <f t="shared" si="19"/>
        <v>0</v>
      </c>
      <c r="EF22" s="2039">
        <f t="shared" si="19"/>
        <v>0</v>
      </c>
      <c r="EG22" s="2039">
        <f t="shared" si="19"/>
        <v>0</v>
      </c>
      <c r="EH22" s="2039">
        <f t="shared" si="19"/>
        <v>0</v>
      </c>
      <c r="EI22" s="2040">
        <f t="shared" si="20"/>
        <v>0</v>
      </c>
      <c r="EJ22" s="2040">
        <f t="shared" si="20"/>
        <v>0</v>
      </c>
      <c r="EK22" s="2040">
        <f t="shared" si="20"/>
        <v>0</v>
      </c>
      <c r="EL22" s="2040">
        <f t="shared" si="20"/>
        <v>0</v>
      </c>
      <c r="EM22" s="2040">
        <f t="shared" si="20"/>
        <v>0</v>
      </c>
      <c r="EN22" s="2040">
        <f t="shared" si="20"/>
        <v>0</v>
      </c>
      <c r="EO22" s="2040">
        <f t="shared" si="20"/>
        <v>0</v>
      </c>
      <c r="EP22" s="2040">
        <f t="shared" si="20"/>
        <v>0</v>
      </c>
      <c r="EQ22" s="2040">
        <f t="shared" si="20"/>
        <v>0</v>
      </c>
      <c r="ER22" s="2040">
        <f t="shared" si="20"/>
        <v>0</v>
      </c>
      <c r="ES22" s="2040">
        <f t="shared" si="20"/>
        <v>0</v>
      </c>
      <c r="ET22" s="2040">
        <f t="shared" si="20"/>
        <v>0</v>
      </c>
      <c r="EU22" s="2039">
        <f t="shared" si="21"/>
        <v>0</v>
      </c>
      <c r="EV22" s="2039">
        <f t="shared" si="22"/>
        <v>0</v>
      </c>
    </row>
    <row r="23" spans="1:152" x14ac:dyDescent="0.25">
      <c r="A23" s="2021" t="s">
        <v>2153</v>
      </c>
      <c r="B23" s="2022" t="s">
        <v>2875</v>
      </c>
      <c r="C23" s="2023">
        <v>15</v>
      </c>
      <c r="D23" s="2024">
        <v>1807.2102776975823</v>
      </c>
      <c r="E23" s="2024">
        <v>0</v>
      </c>
      <c r="F23" s="2023">
        <v>0</v>
      </c>
      <c r="G23" s="2026" t="s">
        <v>4</v>
      </c>
      <c r="H23" s="2026" t="s">
        <v>4</v>
      </c>
      <c r="I23" s="2026">
        <v>0.77800000000000002</v>
      </c>
      <c r="J23" s="2026">
        <v>0.77800000000000002</v>
      </c>
      <c r="K23" s="2026">
        <v>0.77800000000000002</v>
      </c>
      <c r="L23" s="2026">
        <v>0.77800000000000002</v>
      </c>
      <c r="M23" s="2027">
        <f t="shared" si="11"/>
        <v>1406.009596048719</v>
      </c>
      <c r="N23" s="2027">
        <f t="shared" si="11"/>
        <v>1406.009596048719</v>
      </c>
      <c r="O23" s="2027">
        <f t="shared" si="11"/>
        <v>1406.009596048719</v>
      </c>
      <c r="P23" s="2027">
        <f t="shared" si="11"/>
        <v>1406.009596048719</v>
      </c>
      <c r="Q23" s="2026">
        <v>0.77800000000000002</v>
      </c>
      <c r="R23" s="2026">
        <v>0.77800000000000002</v>
      </c>
      <c r="S23" s="2026">
        <v>0.77800000000000002</v>
      </c>
      <c r="T23" s="2026">
        <v>0.77800000000000002</v>
      </c>
      <c r="U23" s="2028">
        <f t="shared" si="12"/>
        <v>0</v>
      </c>
      <c r="V23" s="2028">
        <f t="shared" si="12"/>
        <v>0</v>
      </c>
      <c r="W23" s="2028">
        <f t="shared" si="12"/>
        <v>0</v>
      </c>
      <c r="X23" s="2028">
        <f t="shared" si="12"/>
        <v>0</v>
      </c>
      <c r="Y23" s="2026">
        <v>0.77800000000000002</v>
      </c>
      <c r="Z23" s="2026">
        <v>0.77800000000000002</v>
      </c>
      <c r="AA23" s="2026">
        <v>0.77800000000000002</v>
      </c>
      <c r="AB23" s="2026">
        <v>0.77800000000000002</v>
      </c>
      <c r="AC23" s="2027">
        <f t="shared" si="26"/>
        <v>0</v>
      </c>
      <c r="AD23" s="2027">
        <f t="shared" si="26"/>
        <v>0</v>
      </c>
      <c r="AE23" s="2027">
        <f t="shared" si="26"/>
        <v>0</v>
      </c>
      <c r="AF23" s="2027">
        <f>$F23*AB23</f>
        <v>0</v>
      </c>
      <c r="AG23" s="2027">
        <v>15998</v>
      </c>
      <c r="AH23" s="2027">
        <v>16185</v>
      </c>
      <c r="AI23" s="2027">
        <v>16250</v>
      </c>
      <c r="AJ23" s="2027">
        <v>16213</v>
      </c>
      <c r="AK23" s="2027">
        <f>AG23*M23</f>
        <v>22493341.517587408</v>
      </c>
      <c r="AL23" s="2027">
        <f t="shared" si="3"/>
        <v>22455280.779222071</v>
      </c>
      <c r="AM23" s="2027">
        <f t="shared" si="3"/>
        <v>22545462.629741032</v>
      </c>
      <c r="AN23" s="2027">
        <f t="shared" si="3"/>
        <v>22494128.345599469</v>
      </c>
      <c r="AO23" s="2027">
        <f>AG23*AC23</f>
        <v>0</v>
      </c>
      <c r="AP23" s="2027">
        <f t="shared" si="4"/>
        <v>0</v>
      </c>
      <c r="AQ23" s="2027">
        <f t="shared" si="4"/>
        <v>0</v>
      </c>
      <c r="AR23" s="2027">
        <f t="shared" si="4"/>
        <v>0</v>
      </c>
      <c r="AS23" s="2029">
        <v>147.51887405268855</v>
      </c>
      <c r="AT23" s="2029">
        <f t="shared" si="13"/>
        <v>147.51887405268855</v>
      </c>
      <c r="AU23" s="2029">
        <f t="shared" si="13"/>
        <v>147.51887405268855</v>
      </c>
      <c r="AV23" s="2029">
        <f t="shared" si="13"/>
        <v>147.51887405268855</v>
      </c>
      <c r="AW23" s="1974"/>
      <c r="AX23" s="2029">
        <f t="shared" si="14"/>
        <v>0</v>
      </c>
      <c r="AY23" s="2029">
        <f t="shared" si="14"/>
        <v>0</v>
      </c>
      <c r="AZ23" s="2029">
        <f t="shared" si="14"/>
        <v>0</v>
      </c>
      <c r="BA23" s="2029">
        <v>189.73709076145795</v>
      </c>
      <c r="BB23" s="2029">
        <f t="shared" si="15"/>
        <v>189.73709076145795</v>
      </c>
      <c r="BC23" s="2029">
        <f t="shared" si="15"/>
        <v>189.73709076145795</v>
      </c>
      <c r="BD23" s="2029">
        <f t="shared" si="15"/>
        <v>189.73709076145795</v>
      </c>
      <c r="BE23" s="2030">
        <f t="shared" si="16"/>
        <v>2360006.9470949112</v>
      </c>
      <c r="BF23" s="2030">
        <f t="shared" si="16"/>
        <v>2387592.9765427639</v>
      </c>
      <c r="BG23" s="2030">
        <f t="shared" si="16"/>
        <v>2397181.7033561887</v>
      </c>
      <c r="BH23" s="2030">
        <f t="shared" si="16"/>
        <v>2391723.5050162394</v>
      </c>
      <c r="BI23" s="2030">
        <f t="shared" si="17"/>
        <v>0</v>
      </c>
      <c r="BJ23" s="2030">
        <f t="shared" si="17"/>
        <v>0</v>
      </c>
      <c r="BK23" s="2030">
        <f t="shared" si="17"/>
        <v>0</v>
      </c>
      <c r="BL23" s="2030">
        <f t="shared" si="17"/>
        <v>0</v>
      </c>
      <c r="BM23" s="2031"/>
      <c r="BN23" s="2031"/>
      <c r="BO23" s="2031"/>
      <c r="BP23" s="2031"/>
      <c r="BQ23" s="2031"/>
      <c r="BR23" s="2031"/>
      <c r="BS23" s="2031"/>
      <c r="BT23" s="2031"/>
      <c r="BU23" s="2029"/>
      <c r="BV23" s="2029"/>
      <c r="BW23" s="2029"/>
      <c r="BX23" s="2029"/>
      <c r="BY23" s="2029"/>
      <c r="BZ23" s="2032"/>
      <c r="CA23" s="1974"/>
      <c r="CB23" s="1974"/>
      <c r="CC23" s="1974"/>
      <c r="CD23" s="1974"/>
      <c r="CE23" s="1974">
        <v>1</v>
      </c>
      <c r="CF23" s="2033">
        <v>9.4029743256596743E-2</v>
      </c>
      <c r="CG23" s="2026">
        <v>0</v>
      </c>
      <c r="CH23" s="2009">
        <v>1</v>
      </c>
      <c r="CI23" s="2029">
        <v>16.835977777777774</v>
      </c>
      <c r="CK23" s="2029">
        <f t="shared" si="18"/>
        <v>-16.835977777777774</v>
      </c>
      <c r="CL23" s="2034">
        <v>1</v>
      </c>
      <c r="CM23" s="2026">
        <v>0.98677355318637949</v>
      </c>
      <c r="CN23" s="2026">
        <v>0.98677355318637949</v>
      </c>
      <c r="CO23" s="2026">
        <v>0.98677355318637949</v>
      </c>
      <c r="CP23" s="2035"/>
      <c r="CQ23" s="2036"/>
      <c r="CR23" s="2036"/>
      <c r="CS23" s="2036"/>
      <c r="CT23" s="2036"/>
      <c r="CU23" s="2036"/>
      <c r="CW23" s="1973">
        <v>0</v>
      </c>
      <c r="CX23" s="2037">
        <v>129.07901479610248</v>
      </c>
      <c r="CY23" s="2037">
        <v>129.07901479610248</v>
      </c>
      <c r="CZ23" s="2037">
        <v>129.07901479610248</v>
      </c>
      <c r="DA23" s="2037">
        <v>129.07901479610248</v>
      </c>
      <c r="DJ23" s="1976">
        <v>129.07901479610248</v>
      </c>
      <c r="DK23" s="1973">
        <v>129.07901479610248</v>
      </c>
      <c r="DL23" s="1973">
        <v>129.07901479610248</v>
      </c>
      <c r="DM23" s="1973">
        <v>129.07901479610248</v>
      </c>
      <c r="DO23" s="2043">
        <v>15</v>
      </c>
      <c r="DP23" s="2044">
        <v>1807.2102776975823</v>
      </c>
      <c r="DQ23" s="2044">
        <v>0</v>
      </c>
      <c r="DR23" s="2043">
        <v>0</v>
      </c>
      <c r="DS23" s="2046">
        <v>147.51887405268855</v>
      </c>
      <c r="DT23" s="2046">
        <v>147.51887405268855</v>
      </c>
      <c r="DU23" s="2046">
        <v>147.51887405268855</v>
      </c>
      <c r="DV23" s="2046">
        <v>147.51887405268855</v>
      </c>
      <c r="DW23" s="2047"/>
      <c r="DX23" s="2046">
        <v>0</v>
      </c>
      <c r="DY23" s="2046">
        <v>0</v>
      </c>
      <c r="DZ23" s="2046">
        <v>0</v>
      </c>
      <c r="EA23" s="2046">
        <v>189.73709076145795</v>
      </c>
      <c r="EB23" s="2046">
        <v>189.73709076145795</v>
      </c>
      <c r="EC23" s="2046">
        <v>189.73709076145795</v>
      </c>
      <c r="ED23" s="2046">
        <v>189.73709076145795</v>
      </c>
      <c r="EE23" s="2039">
        <f t="shared" si="19"/>
        <v>0</v>
      </c>
      <c r="EF23" s="2039">
        <f t="shared" si="19"/>
        <v>0</v>
      </c>
      <c r="EG23" s="2039">
        <f t="shared" si="19"/>
        <v>0</v>
      </c>
      <c r="EH23" s="2039">
        <f t="shared" si="19"/>
        <v>0</v>
      </c>
      <c r="EI23" s="2040">
        <f t="shared" si="20"/>
        <v>0</v>
      </c>
      <c r="EJ23" s="2040">
        <f t="shared" si="20"/>
        <v>0</v>
      </c>
      <c r="EK23" s="2040">
        <f t="shared" si="20"/>
        <v>0</v>
      </c>
      <c r="EL23" s="2040">
        <f t="shared" si="20"/>
        <v>0</v>
      </c>
      <c r="EM23" s="2040">
        <f t="shared" si="20"/>
        <v>0</v>
      </c>
      <c r="EN23" s="2040">
        <f t="shared" si="20"/>
        <v>0</v>
      </c>
      <c r="EO23" s="2040">
        <f t="shared" si="20"/>
        <v>0</v>
      </c>
      <c r="EP23" s="2040">
        <f t="shared" si="20"/>
        <v>0</v>
      </c>
      <c r="EQ23" s="2040">
        <f t="shared" si="20"/>
        <v>0</v>
      </c>
      <c r="ER23" s="2040">
        <f t="shared" si="20"/>
        <v>0</v>
      </c>
      <c r="ES23" s="2040">
        <f t="shared" si="20"/>
        <v>0</v>
      </c>
      <c r="ET23" s="2040">
        <f t="shared" si="20"/>
        <v>0</v>
      </c>
      <c r="EU23" s="2039">
        <f t="shared" si="21"/>
        <v>0</v>
      </c>
      <c r="EV23" s="2039">
        <f t="shared" si="22"/>
        <v>0</v>
      </c>
    </row>
    <row r="24" spans="1:152" x14ac:dyDescent="0.25">
      <c r="A24" s="2041" t="s">
        <v>2876</v>
      </c>
      <c r="B24" s="2022" t="s">
        <v>2877</v>
      </c>
      <c r="C24" s="2023">
        <v>11</v>
      </c>
      <c r="D24" s="2024">
        <v>447.52687162570561</v>
      </c>
      <c r="E24" s="2024">
        <v>8.5249436480316743E-2</v>
      </c>
      <c r="F24" s="2023">
        <v>-5.2649053908958043</v>
      </c>
      <c r="G24" s="2026" t="s">
        <v>4</v>
      </c>
      <c r="H24" s="2026" t="s">
        <v>4</v>
      </c>
      <c r="I24" s="2026">
        <v>0.77800000000000002</v>
      </c>
      <c r="J24" s="2026">
        <v>0.77800000000000002</v>
      </c>
      <c r="K24" s="2026">
        <v>0.77800000000000002</v>
      </c>
      <c r="L24" s="2026">
        <v>0.77800000000000002</v>
      </c>
      <c r="M24" s="2027">
        <f t="shared" si="11"/>
        <v>348.17590612479898</v>
      </c>
      <c r="N24" s="2027">
        <f t="shared" si="11"/>
        <v>348.17590612479898</v>
      </c>
      <c r="O24" s="2027">
        <f t="shared" si="11"/>
        <v>348.17590612479898</v>
      </c>
      <c r="P24" s="2027">
        <f t="shared" si="11"/>
        <v>348.17590612479898</v>
      </c>
      <c r="Q24" s="2026">
        <v>0.77800000000000002</v>
      </c>
      <c r="R24" s="2026">
        <v>0.77800000000000002</v>
      </c>
      <c r="S24" s="2026">
        <v>0.77800000000000002</v>
      </c>
      <c r="T24" s="2026">
        <v>0.77800000000000002</v>
      </c>
      <c r="U24" s="2028">
        <f t="shared" si="12"/>
        <v>6.6324061581686425E-2</v>
      </c>
      <c r="V24" s="2028">
        <f t="shared" si="12"/>
        <v>6.6324061581686425E-2</v>
      </c>
      <c r="W24" s="2028">
        <f t="shared" si="12"/>
        <v>6.6324061581686425E-2</v>
      </c>
      <c r="X24" s="2028">
        <f t="shared" si="12"/>
        <v>6.6324061581686425E-2</v>
      </c>
      <c r="Y24" s="2026">
        <v>0.77800000000000002</v>
      </c>
      <c r="Z24" s="2026">
        <v>0.77800000000000002</v>
      </c>
      <c r="AA24" s="2026">
        <v>0.77800000000000002</v>
      </c>
      <c r="AB24" s="2026">
        <v>0.77800000000000002</v>
      </c>
      <c r="AC24" s="2027">
        <f t="shared" si="26"/>
        <v>-4.0960963941169357</v>
      </c>
      <c r="AD24" s="2027">
        <f t="shared" si="26"/>
        <v>-4.0960963941169357</v>
      </c>
      <c r="AE24" s="2027">
        <f t="shared" si="26"/>
        <v>-4.0960963941169357</v>
      </c>
      <c r="AF24" s="2027">
        <f t="shared" si="26"/>
        <v>-4.0960963941169357</v>
      </c>
      <c r="AG24" s="2027">
        <v>176</v>
      </c>
      <c r="AH24" s="2027">
        <v>185</v>
      </c>
      <c r="AI24" s="2027">
        <v>192</v>
      </c>
      <c r="AJ24" s="2027">
        <v>195</v>
      </c>
      <c r="AK24" s="2027">
        <f t="shared" ref="AK24:AK74" si="27">AG24*M24</f>
        <v>61278.959477964621</v>
      </c>
      <c r="AL24" s="2027">
        <f t="shared" si="3"/>
        <v>54179.628058753297</v>
      </c>
      <c r="AM24" s="2027">
        <f t="shared" si="3"/>
        <v>56229.668039354772</v>
      </c>
      <c r="AN24" s="2027">
        <f t="shared" si="3"/>
        <v>57108.256602469693</v>
      </c>
      <c r="AO24" s="2027">
        <f t="shared" ref="AO24:AO74" si="28">AG24*AC24</f>
        <v>-720.91296536458071</v>
      </c>
      <c r="AP24" s="2027">
        <f t="shared" si="4"/>
        <v>-637.39326938524607</v>
      </c>
      <c r="AQ24" s="2027">
        <f t="shared" si="4"/>
        <v>-661.51085255117425</v>
      </c>
      <c r="AR24" s="2027">
        <f t="shared" si="4"/>
        <v>-671.84695962228636</v>
      </c>
      <c r="AS24" s="2029">
        <f>18*0.15/0.25</f>
        <v>10.799999999999999</v>
      </c>
      <c r="AT24" s="2029">
        <f t="shared" si="13"/>
        <v>10.799999999999999</v>
      </c>
      <c r="AU24" s="2029">
        <f t="shared" si="13"/>
        <v>10.799999999999999</v>
      </c>
      <c r="AV24" s="2029">
        <f t="shared" si="13"/>
        <v>10.799999999999999</v>
      </c>
      <c r="AW24" s="1974"/>
      <c r="AX24" s="2029">
        <f t="shared" si="14"/>
        <v>0</v>
      </c>
      <c r="AY24" s="2029">
        <f t="shared" si="14"/>
        <v>0</v>
      </c>
      <c r="AZ24" s="2029">
        <f t="shared" si="14"/>
        <v>0</v>
      </c>
      <c r="BA24" s="2029">
        <v>12</v>
      </c>
      <c r="BB24" s="2029">
        <f t="shared" si="15"/>
        <v>12</v>
      </c>
      <c r="BC24" s="2029">
        <f t="shared" si="15"/>
        <v>12</v>
      </c>
      <c r="BD24" s="2029">
        <f t="shared" si="15"/>
        <v>12</v>
      </c>
      <c r="BE24" s="2030">
        <f t="shared" si="16"/>
        <v>1900.7999999999997</v>
      </c>
      <c r="BF24" s="2030">
        <f t="shared" si="16"/>
        <v>1997.9999999999998</v>
      </c>
      <c r="BG24" s="2030">
        <f t="shared" si="16"/>
        <v>2073.6</v>
      </c>
      <c r="BH24" s="2030">
        <f t="shared" si="16"/>
        <v>2106</v>
      </c>
      <c r="BI24" s="2030">
        <f t="shared" si="17"/>
        <v>0</v>
      </c>
      <c r="BJ24" s="2030">
        <f t="shared" si="17"/>
        <v>0</v>
      </c>
      <c r="BK24" s="2030">
        <f t="shared" si="17"/>
        <v>0</v>
      </c>
      <c r="BL24" s="2030">
        <f t="shared" si="17"/>
        <v>0</v>
      </c>
      <c r="BM24" s="2031"/>
      <c r="BN24" s="2031"/>
      <c r="BO24" s="2031"/>
      <c r="BP24" s="2031"/>
      <c r="BQ24" s="2031"/>
      <c r="BR24" s="2031"/>
      <c r="BS24" s="2031"/>
      <c r="BT24" s="2031"/>
      <c r="BU24" s="2029"/>
      <c r="BV24" s="2029"/>
      <c r="BW24" s="2029"/>
      <c r="BX24" s="2029"/>
      <c r="BY24" s="2029"/>
      <c r="BZ24" s="2032"/>
      <c r="CA24" s="1974"/>
      <c r="CB24" s="1974"/>
      <c r="CC24" s="1974"/>
      <c r="CD24" s="1974"/>
      <c r="CE24" s="1974">
        <v>1</v>
      </c>
      <c r="CF24" s="2033">
        <v>2.5616668925064338E-4</v>
      </c>
      <c r="CG24" s="2026">
        <v>-2.6895851895813267E-4</v>
      </c>
      <c r="CH24" s="2009">
        <v>0</v>
      </c>
      <c r="CI24" s="2029">
        <v>0</v>
      </c>
      <c r="CK24" s="2029">
        <f t="shared" si="18"/>
        <v>0</v>
      </c>
      <c r="CL24" s="2034">
        <v>1</v>
      </c>
      <c r="CM24" s="2026">
        <v>0.84113475177304964</v>
      </c>
      <c r="CN24" s="2026">
        <v>0.84113475177304964</v>
      </c>
      <c r="CO24" s="2026">
        <v>0.84113475177304964</v>
      </c>
      <c r="CP24" s="2035"/>
      <c r="CQ24" s="2036"/>
      <c r="CR24" s="2036"/>
      <c r="CS24" s="2036"/>
      <c r="CT24" s="2036"/>
      <c r="CU24" s="2036"/>
      <c r="CW24" s="1973">
        <v>0</v>
      </c>
      <c r="CX24" s="2037">
        <v>10.799999999999999</v>
      </c>
      <c r="CY24" s="2037">
        <v>10.799999999999999</v>
      </c>
      <c r="CZ24" s="2037">
        <v>10.799999999999999</v>
      </c>
      <c r="DA24" s="2037">
        <v>10.799999999999999</v>
      </c>
      <c r="DJ24" s="1976">
        <v>10.799999999999999</v>
      </c>
      <c r="DK24" s="1973">
        <v>10.799999999999999</v>
      </c>
      <c r="DL24" s="1973">
        <v>10.799999999999999</v>
      </c>
      <c r="DM24" s="1973">
        <v>10.799999999999999</v>
      </c>
      <c r="DO24" s="2023">
        <v>11</v>
      </c>
      <c r="DP24" s="2024">
        <v>447.52687162570561</v>
      </c>
      <c r="DQ24" s="2024">
        <v>8.5249436480316743E-2</v>
      </c>
      <c r="DR24" s="2023">
        <v>-5.2649053908958043</v>
      </c>
      <c r="DS24" s="2029">
        <v>10.799999999999999</v>
      </c>
      <c r="DT24" s="2029">
        <v>10.799999999999999</v>
      </c>
      <c r="DU24" s="2029">
        <v>10.799999999999999</v>
      </c>
      <c r="DV24" s="2029">
        <v>10.799999999999999</v>
      </c>
      <c r="DW24" s="1974"/>
      <c r="DX24" s="2029">
        <v>0</v>
      </c>
      <c r="DY24" s="2029">
        <v>0</v>
      </c>
      <c r="DZ24" s="2029">
        <v>0</v>
      </c>
      <c r="EA24" s="2029">
        <v>12</v>
      </c>
      <c r="EB24" s="2029">
        <v>12</v>
      </c>
      <c r="EC24" s="2029">
        <v>12</v>
      </c>
      <c r="ED24" s="2029">
        <v>12</v>
      </c>
      <c r="EE24" s="2039">
        <f t="shared" si="19"/>
        <v>0</v>
      </c>
      <c r="EF24" s="2039">
        <f t="shared" si="19"/>
        <v>0</v>
      </c>
      <c r="EG24" s="2039">
        <f t="shared" si="19"/>
        <v>0</v>
      </c>
      <c r="EH24" s="2039">
        <f t="shared" si="19"/>
        <v>0</v>
      </c>
      <c r="EI24" s="2040">
        <f t="shared" si="20"/>
        <v>0</v>
      </c>
      <c r="EJ24" s="2040">
        <f t="shared" si="20"/>
        <v>0</v>
      </c>
      <c r="EK24" s="2040">
        <f t="shared" si="20"/>
        <v>0</v>
      </c>
      <c r="EL24" s="2040">
        <f t="shared" si="20"/>
        <v>0</v>
      </c>
      <c r="EM24" s="2040">
        <f t="shared" si="20"/>
        <v>0</v>
      </c>
      <c r="EN24" s="2040">
        <f t="shared" si="20"/>
        <v>0</v>
      </c>
      <c r="EO24" s="2040">
        <f t="shared" si="20"/>
        <v>0</v>
      </c>
      <c r="EP24" s="2040">
        <f t="shared" si="20"/>
        <v>0</v>
      </c>
      <c r="EQ24" s="2040">
        <f t="shared" si="20"/>
        <v>0</v>
      </c>
      <c r="ER24" s="2040">
        <f t="shared" si="20"/>
        <v>0</v>
      </c>
      <c r="ES24" s="2040">
        <f t="shared" si="20"/>
        <v>0</v>
      </c>
      <c r="ET24" s="2040">
        <f t="shared" si="20"/>
        <v>0</v>
      </c>
      <c r="EU24" s="2039">
        <f t="shared" si="21"/>
        <v>0</v>
      </c>
      <c r="EV24" s="2039">
        <f t="shared" si="22"/>
        <v>0</v>
      </c>
    </row>
    <row r="25" spans="1:152" x14ac:dyDescent="0.25">
      <c r="A25" s="2041" t="s">
        <v>2878</v>
      </c>
      <c r="B25" s="2022" t="s">
        <v>2879</v>
      </c>
      <c r="C25" s="2023">
        <v>15</v>
      </c>
      <c r="D25" s="2024">
        <v>637.55372180534675</v>
      </c>
      <c r="E25" s="2024">
        <v>8.5057621995128424E-2</v>
      </c>
      <c r="F25" s="2023">
        <v>0</v>
      </c>
      <c r="G25" s="2026" t="s">
        <v>4</v>
      </c>
      <c r="H25" s="2026" t="s">
        <v>4</v>
      </c>
      <c r="I25" s="2026">
        <v>0.77800000000000002</v>
      </c>
      <c r="J25" s="2026">
        <v>0.77800000000000002</v>
      </c>
      <c r="K25" s="2026">
        <v>0.77800000000000002</v>
      </c>
      <c r="L25" s="2026">
        <v>0.77800000000000002</v>
      </c>
      <c r="M25" s="2027">
        <f t="shared" si="11"/>
        <v>496.0167955645598</v>
      </c>
      <c r="N25" s="2027">
        <f t="shared" si="11"/>
        <v>496.0167955645598</v>
      </c>
      <c r="O25" s="2027">
        <f t="shared" si="11"/>
        <v>496.0167955645598</v>
      </c>
      <c r="P25" s="2027">
        <f t="shared" si="11"/>
        <v>496.0167955645598</v>
      </c>
      <c r="Q25" s="2026">
        <v>0.77800000000000002</v>
      </c>
      <c r="R25" s="2026">
        <v>0.77800000000000002</v>
      </c>
      <c r="S25" s="2026">
        <v>0.77800000000000002</v>
      </c>
      <c r="T25" s="2026">
        <v>0.77800000000000002</v>
      </c>
      <c r="U25" s="2028">
        <f t="shared" si="12"/>
        <v>6.6174829912209909E-2</v>
      </c>
      <c r="V25" s="2028">
        <f t="shared" si="12"/>
        <v>6.6174829912209909E-2</v>
      </c>
      <c r="W25" s="2028">
        <f t="shared" si="12"/>
        <v>6.6174829912209909E-2</v>
      </c>
      <c r="X25" s="2028">
        <f t="shared" si="12"/>
        <v>6.6174829912209909E-2</v>
      </c>
      <c r="Y25" s="2026">
        <v>0.77800000000000002</v>
      </c>
      <c r="Z25" s="2026">
        <v>0.77800000000000002</v>
      </c>
      <c r="AA25" s="2026">
        <v>0.77800000000000002</v>
      </c>
      <c r="AB25" s="2026">
        <v>0.77800000000000002</v>
      </c>
      <c r="AC25" s="2027">
        <f t="shared" si="26"/>
        <v>0</v>
      </c>
      <c r="AD25" s="2027">
        <f t="shared" si="26"/>
        <v>0</v>
      </c>
      <c r="AE25" s="2027">
        <f t="shared" si="26"/>
        <v>0</v>
      </c>
      <c r="AF25" s="2027">
        <f t="shared" si="26"/>
        <v>0</v>
      </c>
      <c r="AG25" s="2027">
        <v>351</v>
      </c>
      <c r="AH25" s="2027">
        <v>322</v>
      </c>
      <c r="AI25" s="2027">
        <v>192</v>
      </c>
      <c r="AJ25" s="2027">
        <v>99</v>
      </c>
      <c r="AK25" s="2027">
        <f t="shared" si="27"/>
        <v>174101.89524316048</v>
      </c>
      <c r="AL25" s="2027">
        <f t="shared" si="3"/>
        <v>47915.22245153648</v>
      </c>
      <c r="AM25" s="2027">
        <f t="shared" si="3"/>
        <v>28570.567424518646</v>
      </c>
      <c r="AN25" s="2027">
        <f t="shared" si="3"/>
        <v>14731.698828267427</v>
      </c>
      <c r="AO25" s="2027">
        <f t="shared" si="28"/>
        <v>0</v>
      </c>
      <c r="AP25" s="2027">
        <f t="shared" si="4"/>
        <v>0</v>
      </c>
      <c r="AQ25" s="2027">
        <f t="shared" si="4"/>
        <v>0</v>
      </c>
      <c r="AR25" s="2027">
        <f t="shared" si="4"/>
        <v>0</v>
      </c>
      <c r="AS25" s="2029">
        <v>31.8</v>
      </c>
      <c r="AT25" s="2029">
        <f t="shared" si="13"/>
        <v>31.8</v>
      </c>
      <c r="AU25" s="2029">
        <f t="shared" si="13"/>
        <v>31.8</v>
      </c>
      <c r="AV25" s="2029">
        <f t="shared" si="13"/>
        <v>31.8</v>
      </c>
      <c r="AW25" s="1974"/>
      <c r="AX25" s="2029">
        <f t="shared" si="14"/>
        <v>0</v>
      </c>
      <c r="AY25" s="2029">
        <f t="shared" si="14"/>
        <v>0</v>
      </c>
      <c r="AZ25" s="2029">
        <f t="shared" si="14"/>
        <v>0</v>
      </c>
      <c r="BA25" s="2029">
        <v>42</v>
      </c>
      <c r="BB25" s="2029">
        <f t="shared" si="15"/>
        <v>42</v>
      </c>
      <c r="BC25" s="2029">
        <f t="shared" si="15"/>
        <v>42</v>
      </c>
      <c r="BD25" s="2029">
        <f t="shared" si="15"/>
        <v>42</v>
      </c>
      <c r="BE25" s="2030">
        <f t="shared" si="16"/>
        <v>11161.800000000001</v>
      </c>
      <c r="BF25" s="2030">
        <f t="shared" si="16"/>
        <v>10239.6</v>
      </c>
      <c r="BG25" s="2030">
        <f t="shared" si="16"/>
        <v>6105.6</v>
      </c>
      <c r="BH25" s="2030">
        <f t="shared" si="16"/>
        <v>3148.2000000000003</v>
      </c>
      <c r="BI25" s="2030">
        <f t="shared" si="17"/>
        <v>0</v>
      </c>
      <c r="BJ25" s="2030">
        <f t="shared" si="17"/>
        <v>0</v>
      </c>
      <c r="BK25" s="2030">
        <f t="shared" si="17"/>
        <v>0</v>
      </c>
      <c r="BL25" s="2030">
        <f t="shared" si="17"/>
        <v>0</v>
      </c>
      <c r="BM25" s="2031"/>
      <c r="BN25" s="2031"/>
      <c r="BO25" s="2031"/>
      <c r="BP25" s="2031"/>
      <c r="BQ25" s="2031"/>
      <c r="BR25" s="2031"/>
      <c r="BS25" s="2031"/>
      <c r="BT25" s="2031"/>
      <c r="BU25" s="2029"/>
      <c r="BV25" s="2029"/>
      <c r="BW25" s="2029"/>
      <c r="BX25" s="2029"/>
      <c r="BY25" s="2029"/>
      <c r="BZ25" s="2032"/>
      <c r="CA25" s="1974"/>
      <c r="CB25" s="1974"/>
      <c r="CC25" s="1974"/>
      <c r="CD25" s="1974"/>
      <c r="CE25" s="1974">
        <v>1</v>
      </c>
      <c r="CF25" s="2033">
        <v>7.2780455929151683E-4</v>
      </c>
      <c r="CG25" s="2026">
        <v>0</v>
      </c>
      <c r="CH25" s="2009">
        <v>1</v>
      </c>
      <c r="CI25" s="2029">
        <v>-0.13682777777777794</v>
      </c>
      <c r="CK25" s="2029">
        <f t="shared" si="18"/>
        <v>0.13682777777777794</v>
      </c>
      <c r="CL25" s="2034">
        <v>1</v>
      </c>
      <c r="CM25" s="2026">
        <v>0.3</v>
      </c>
      <c r="CN25" s="2026">
        <v>0.3</v>
      </c>
      <c r="CO25" s="2026">
        <v>0.3</v>
      </c>
      <c r="CP25" s="2035"/>
      <c r="CQ25" s="2036"/>
      <c r="CR25" s="2036"/>
      <c r="CS25" s="2036"/>
      <c r="CT25" s="2036"/>
      <c r="CU25" s="2036"/>
      <c r="CW25" s="1973">
        <v>0</v>
      </c>
      <c r="CX25" s="2037">
        <v>31.8</v>
      </c>
      <c r="CY25" s="2037">
        <v>31.8</v>
      </c>
      <c r="CZ25" s="2037">
        <v>31.8</v>
      </c>
      <c r="DA25" s="2037">
        <v>31.8</v>
      </c>
      <c r="DJ25" s="1976">
        <v>31.8</v>
      </c>
      <c r="DK25" s="1973">
        <v>31.8</v>
      </c>
      <c r="DL25" s="1973">
        <v>31.8</v>
      </c>
      <c r="DM25" s="1973">
        <v>31.8</v>
      </c>
      <c r="DO25" s="2023">
        <v>15</v>
      </c>
      <c r="DP25" s="2024">
        <v>637.55372180534675</v>
      </c>
      <c r="DQ25" s="2024">
        <v>8.5057621995128424E-2</v>
      </c>
      <c r="DR25" s="2023">
        <v>0</v>
      </c>
      <c r="DS25" s="2029">
        <v>31.8</v>
      </c>
      <c r="DT25" s="2029">
        <v>31.8</v>
      </c>
      <c r="DU25" s="2029">
        <v>31.8</v>
      </c>
      <c r="DV25" s="2029">
        <v>31.8</v>
      </c>
      <c r="DW25" s="1974"/>
      <c r="DX25" s="2029">
        <v>0</v>
      </c>
      <c r="DY25" s="2029">
        <v>0</v>
      </c>
      <c r="DZ25" s="2029">
        <v>0</v>
      </c>
      <c r="EA25" s="2029">
        <v>42</v>
      </c>
      <c r="EB25" s="2029">
        <v>42</v>
      </c>
      <c r="EC25" s="2029">
        <v>42</v>
      </c>
      <c r="ED25" s="2029">
        <v>42</v>
      </c>
      <c r="EE25" s="2039">
        <f t="shared" si="19"/>
        <v>0</v>
      </c>
      <c r="EF25" s="2039">
        <f t="shared" si="19"/>
        <v>0</v>
      </c>
      <c r="EG25" s="2039">
        <f t="shared" si="19"/>
        <v>0</v>
      </c>
      <c r="EH25" s="2039">
        <f t="shared" si="19"/>
        <v>0</v>
      </c>
      <c r="EI25" s="2040">
        <f t="shared" si="20"/>
        <v>0</v>
      </c>
      <c r="EJ25" s="2040">
        <f t="shared" si="20"/>
        <v>0</v>
      </c>
      <c r="EK25" s="2040">
        <f t="shared" si="20"/>
        <v>0</v>
      </c>
      <c r="EL25" s="2040">
        <f t="shared" si="20"/>
        <v>0</v>
      </c>
      <c r="EM25" s="2040">
        <f t="shared" si="20"/>
        <v>0</v>
      </c>
      <c r="EN25" s="2040">
        <f t="shared" si="20"/>
        <v>0</v>
      </c>
      <c r="EO25" s="2040">
        <f t="shared" si="20"/>
        <v>0</v>
      </c>
      <c r="EP25" s="2040">
        <f t="shared" si="20"/>
        <v>0</v>
      </c>
      <c r="EQ25" s="2040">
        <f t="shared" si="20"/>
        <v>0</v>
      </c>
      <c r="ER25" s="2040">
        <f t="shared" si="20"/>
        <v>0</v>
      </c>
      <c r="ES25" s="2040">
        <f t="shared" si="20"/>
        <v>0</v>
      </c>
      <c r="ET25" s="2040">
        <f t="shared" si="20"/>
        <v>0</v>
      </c>
      <c r="EU25" s="2039">
        <f t="shared" si="21"/>
        <v>0</v>
      </c>
      <c r="EV25" s="2039">
        <f t="shared" si="22"/>
        <v>0</v>
      </c>
    </row>
    <row r="26" spans="1:152" x14ac:dyDescent="0.25">
      <c r="A26" s="2041" t="s">
        <v>97</v>
      </c>
      <c r="B26" s="2022" t="s">
        <v>2880</v>
      </c>
      <c r="C26" s="2023">
        <v>8</v>
      </c>
      <c r="D26" s="2024">
        <v>71.84087754202956</v>
      </c>
      <c r="E26" s="2024">
        <v>3.2169598671817637E-2</v>
      </c>
      <c r="F26" s="2023">
        <v>0</v>
      </c>
      <c r="G26" s="2026" t="s">
        <v>4</v>
      </c>
      <c r="H26" s="2026" t="s">
        <v>4</v>
      </c>
      <c r="I26" s="2026">
        <v>0.77800000000000002</v>
      </c>
      <c r="J26" s="2026">
        <v>0.77800000000000002</v>
      </c>
      <c r="K26" s="2026">
        <v>0.77800000000000002</v>
      </c>
      <c r="L26" s="2026">
        <v>0.77800000000000002</v>
      </c>
      <c r="M26" s="2027">
        <f t="shared" si="11"/>
        <v>55.892202727699001</v>
      </c>
      <c r="N26" s="2027">
        <f t="shared" si="11"/>
        <v>55.892202727699001</v>
      </c>
      <c r="O26" s="2027">
        <f t="shared" si="11"/>
        <v>55.892202727699001</v>
      </c>
      <c r="P26" s="2027">
        <f t="shared" si="11"/>
        <v>55.892202727699001</v>
      </c>
      <c r="Q26" s="2026">
        <v>0.77800000000000002</v>
      </c>
      <c r="R26" s="2026">
        <v>0.77800000000000002</v>
      </c>
      <c r="S26" s="2026">
        <v>0.77800000000000002</v>
      </c>
      <c r="T26" s="2026">
        <v>0.77800000000000002</v>
      </c>
      <c r="U26" s="2028">
        <f t="shared" si="12"/>
        <v>2.5027947766674122E-2</v>
      </c>
      <c r="V26" s="2028">
        <f t="shared" si="12"/>
        <v>2.5027947766674122E-2</v>
      </c>
      <c r="W26" s="2028">
        <f t="shared" si="12"/>
        <v>2.5027947766674122E-2</v>
      </c>
      <c r="X26" s="2028">
        <f t="shared" si="12"/>
        <v>2.5027947766674122E-2</v>
      </c>
      <c r="Y26" s="2026">
        <v>0.77800000000000002</v>
      </c>
      <c r="Z26" s="2026">
        <v>0.77800000000000002</v>
      </c>
      <c r="AA26" s="2026">
        <v>0.77800000000000002</v>
      </c>
      <c r="AB26" s="2026">
        <v>0.77800000000000002</v>
      </c>
      <c r="AC26" s="2027">
        <f t="shared" si="26"/>
        <v>0</v>
      </c>
      <c r="AD26" s="2027">
        <f t="shared" si="26"/>
        <v>0</v>
      </c>
      <c r="AE26" s="2027">
        <f t="shared" si="26"/>
        <v>0</v>
      </c>
      <c r="AF26" s="2027">
        <f t="shared" si="26"/>
        <v>0</v>
      </c>
      <c r="AG26" s="2027">
        <v>23</v>
      </c>
      <c r="AH26" s="2027">
        <v>24</v>
      </c>
      <c r="AI26" s="2027">
        <v>25</v>
      </c>
      <c r="AJ26" s="2027">
        <v>26</v>
      </c>
      <c r="AK26" s="2027">
        <f t="shared" si="27"/>
        <v>1285.5206627370769</v>
      </c>
      <c r="AL26" s="2027">
        <f t="shared" si="3"/>
        <v>1341.4128654647761</v>
      </c>
      <c r="AM26" s="2027">
        <f t="shared" si="3"/>
        <v>1397.3050681924751</v>
      </c>
      <c r="AN26" s="2027">
        <f t="shared" si="3"/>
        <v>1453.1972709201741</v>
      </c>
      <c r="AO26" s="2027">
        <f t="shared" si="28"/>
        <v>0</v>
      </c>
      <c r="AP26" s="2027">
        <f t="shared" si="4"/>
        <v>0</v>
      </c>
      <c r="AQ26" s="2027">
        <f t="shared" si="4"/>
        <v>0</v>
      </c>
      <c r="AR26" s="2027">
        <f t="shared" si="4"/>
        <v>0</v>
      </c>
      <c r="AS26" s="2029">
        <v>12</v>
      </c>
      <c r="AT26" s="2029">
        <f t="shared" si="13"/>
        <v>12</v>
      </c>
      <c r="AU26" s="2029">
        <f t="shared" si="13"/>
        <v>12</v>
      </c>
      <c r="AV26" s="2029">
        <f t="shared" si="13"/>
        <v>12</v>
      </c>
      <c r="AW26" s="1974"/>
      <c r="AX26" s="2029">
        <f t="shared" si="14"/>
        <v>0</v>
      </c>
      <c r="AY26" s="2029">
        <f t="shared" si="14"/>
        <v>0</v>
      </c>
      <c r="AZ26" s="2029">
        <f t="shared" si="14"/>
        <v>0</v>
      </c>
      <c r="BA26" s="2029">
        <v>77.67</v>
      </c>
      <c r="BB26" s="2029">
        <f t="shared" si="15"/>
        <v>77.67</v>
      </c>
      <c r="BC26" s="2029">
        <f t="shared" si="15"/>
        <v>77.67</v>
      </c>
      <c r="BD26" s="2029">
        <f t="shared" si="15"/>
        <v>77.67</v>
      </c>
      <c r="BE26" s="2030">
        <f t="shared" si="16"/>
        <v>276</v>
      </c>
      <c r="BF26" s="2030">
        <f t="shared" si="16"/>
        <v>288</v>
      </c>
      <c r="BG26" s="2030">
        <f t="shared" si="16"/>
        <v>300</v>
      </c>
      <c r="BH26" s="2030">
        <f t="shared" si="16"/>
        <v>312</v>
      </c>
      <c r="BI26" s="2030">
        <f t="shared" si="17"/>
        <v>0</v>
      </c>
      <c r="BJ26" s="2030">
        <f t="shared" si="17"/>
        <v>0</v>
      </c>
      <c r="BK26" s="2030">
        <f t="shared" si="17"/>
        <v>0</v>
      </c>
      <c r="BL26" s="2030">
        <f t="shared" si="17"/>
        <v>0</v>
      </c>
      <c r="BM26" s="2031"/>
      <c r="BN26" s="2031"/>
      <c r="BO26" s="2031"/>
      <c r="BP26" s="2031"/>
      <c r="BQ26" s="2031"/>
      <c r="BR26" s="2031"/>
      <c r="BS26" s="2031"/>
      <c r="BT26" s="2031"/>
      <c r="BU26" s="2029"/>
      <c r="BV26" s="2029"/>
      <c r="BW26" s="2029"/>
      <c r="BX26" s="2029"/>
      <c r="BY26" s="2029"/>
      <c r="BZ26" s="2032"/>
      <c r="CA26" s="1974"/>
      <c r="CB26" s="1974"/>
      <c r="CC26" s="1974"/>
      <c r="CD26" s="1974"/>
      <c r="CE26" s="1974">
        <v>0</v>
      </c>
      <c r="CF26" s="2033">
        <v>5.3739093310660088E-6</v>
      </c>
      <c r="CG26" s="2026">
        <v>0</v>
      </c>
      <c r="CH26" s="2009">
        <v>0</v>
      </c>
      <c r="CI26" s="2029">
        <v>0</v>
      </c>
      <c r="CK26" s="2029">
        <f t="shared" si="18"/>
        <v>0</v>
      </c>
      <c r="CL26" s="2034">
        <v>1</v>
      </c>
      <c r="CM26" s="2034">
        <v>1</v>
      </c>
      <c r="CN26" s="2034">
        <v>1</v>
      </c>
      <c r="CO26" s="2034">
        <v>1</v>
      </c>
      <c r="CP26" s="2035"/>
      <c r="CQ26" s="2036"/>
      <c r="CR26" s="2036"/>
      <c r="CS26" s="2036"/>
      <c r="CT26" s="2036"/>
      <c r="CU26" s="2036"/>
      <c r="CW26" s="1973">
        <v>0</v>
      </c>
      <c r="CX26" s="2037">
        <v>12</v>
      </c>
      <c r="CY26" s="2037">
        <v>12</v>
      </c>
      <c r="CZ26" s="2037">
        <v>12</v>
      </c>
      <c r="DA26" s="2037">
        <v>12</v>
      </c>
      <c r="DJ26" s="1976">
        <v>12</v>
      </c>
      <c r="DK26" s="1973">
        <v>12</v>
      </c>
      <c r="DL26" s="1973">
        <v>12</v>
      </c>
      <c r="DM26" s="1973">
        <v>12</v>
      </c>
      <c r="DO26" s="2023">
        <v>8</v>
      </c>
      <c r="DP26" s="2024">
        <v>71.84087754202956</v>
      </c>
      <c r="DQ26" s="2024">
        <v>3.2169598671817637E-2</v>
      </c>
      <c r="DR26" s="2023">
        <v>0</v>
      </c>
      <c r="DS26" s="2029">
        <v>12</v>
      </c>
      <c r="DT26" s="2029">
        <v>12</v>
      </c>
      <c r="DU26" s="2029">
        <v>12</v>
      </c>
      <c r="DV26" s="2029">
        <v>12</v>
      </c>
      <c r="DW26" s="1974"/>
      <c r="DX26" s="2029">
        <v>0</v>
      </c>
      <c r="DY26" s="2029">
        <v>0</v>
      </c>
      <c r="DZ26" s="2029">
        <v>0</v>
      </c>
      <c r="EA26" s="2029">
        <v>77.67</v>
      </c>
      <c r="EB26" s="2029">
        <v>77.67</v>
      </c>
      <c r="EC26" s="2029">
        <v>77.67</v>
      </c>
      <c r="ED26" s="2029">
        <v>77.67</v>
      </c>
      <c r="EE26" s="2039">
        <f t="shared" si="19"/>
        <v>0</v>
      </c>
      <c r="EF26" s="2039">
        <f t="shared" si="19"/>
        <v>0</v>
      </c>
      <c r="EG26" s="2039">
        <f t="shared" si="19"/>
        <v>0</v>
      </c>
      <c r="EH26" s="2039">
        <f t="shared" si="19"/>
        <v>0</v>
      </c>
      <c r="EI26" s="2040">
        <f t="shared" si="20"/>
        <v>0</v>
      </c>
      <c r="EJ26" s="2040">
        <f t="shared" si="20"/>
        <v>0</v>
      </c>
      <c r="EK26" s="2040">
        <f t="shared" si="20"/>
        <v>0</v>
      </c>
      <c r="EL26" s="2040">
        <f t="shared" si="20"/>
        <v>0</v>
      </c>
      <c r="EM26" s="2040">
        <f t="shared" si="20"/>
        <v>0</v>
      </c>
      <c r="EN26" s="2040">
        <f t="shared" si="20"/>
        <v>0</v>
      </c>
      <c r="EO26" s="2040">
        <f t="shared" si="20"/>
        <v>0</v>
      </c>
      <c r="EP26" s="2040">
        <f t="shared" si="20"/>
        <v>0</v>
      </c>
      <c r="EQ26" s="2040">
        <f t="shared" si="20"/>
        <v>0</v>
      </c>
      <c r="ER26" s="2040">
        <f t="shared" si="20"/>
        <v>0</v>
      </c>
      <c r="ES26" s="2040">
        <f t="shared" si="20"/>
        <v>0</v>
      </c>
      <c r="ET26" s="2040">
        <f t="shared" si="20"/>
        <v>0</v>
      </c>
      <c r="EU26" s="2039">
        <f t="shared" si="21"/>
        <v>0</v>
      </c>
      <c r="EV26" s="2039">
        <f t="shared" si="22"/>
        <v>0</v>
      </c>
    </row>
    <row r="27" spans="1:152" x14ac:dyDescent="0.25">
      <c r="A27" s="2041"/>
      <c r="B27" s="2022"/>
      <c r="C27" s="2023"/>
      <c r="D27" s="2024"/>
      <c r="E27" s="2024"/>
      <c r="F27" s="2023"/>
      <c r="G27" s="2026" t="s">
        <v>4</v>
      </c>
      <c r="H27" s="2026" t="s">
        <v>4</v>
      </c>
      <c r="I27" s="2026">
        <v>0.77800000000000002</v>
      </c>
      <c r="J27" s="2026">
        <v>0.77800000000000002</v>
      </c>
      <c r="K27" s="2026">
        <v>0.77800000000000002</v>
      </c>
      <c r="L27" s="2026">
        <v>0.77800000000000002</v>
      </c>
      <c r="M27" s="2027">
        <f t="shared" si="11"/>
        <v>0</v>
      </c>
      <c r="N27" s="2027">
        <f t="shared" si="11"/>
        <v>0</v>
      </c>
      <c r="O27" s="2027">
        <f t="shared" si="11"/>
        <v>0</v>
      </c>
      <c r="P27" s="2027">
        <f t="shared" si="11"/>
        <v>0</v>
      </c>
      <c r="Q27" s="2026">
        <v>0.77800000000000002</v>
      </c>
      <c r="R27" s="2026">
        <v>0.77800000000000002</v>
      </c>
      <c r="S27" s="2026">
        <v>0.77800000000000002</v>
      </c>
      <c r="T27" s="2026">
        <v>0.77800000000000002</v>
      </c>
      <c r="U27" s="2028">
        <f t="shared" si="12"/>
        <v>0</v>
      </c>
      <c r="V27" s="2028">
        <f t="shared" si="12"/>
        <v>0</v>
      </c>
      <c r="W27" s="2028">
        <f t="shared" si="12"/>
        <v>0</v>
      </c>
      <c r="X27" s="2028">
        <f t="shared" si="12"/>
        <v>0</v>
      </c>
      <c r="Y27" s="2026">
        <v>0.77800000000000002</v>
      </c>
      <c r="Z27" s="2026">
        <v>0.77800000000000002</v>
      </c>
      <c r="AA27" s="2026">
        <v>0.77800000000000002</v>
      </c>
      <c r="AB27" s="2026">
        <v>0.77800000000000002</v>
      </c>
      <c r="AC27" s="2027"/>
      <c r="AD27" s="2027"/>
      <c r="AE27" s="2027"/>
      <c r="AF27" s="2027"/>
      <c r="AG27" s="2027">
        <v>0</v>
      </c>
      <c r="AH27" s="2027">
        <v>0</v>
      </c>
      <c r="AI27" s="2027">
        <v>0</v>
      </c>
      <c r="AJ27" s="2027">
        <v>0</v>
      </c>
      <c r="AK27" s="2027"/>
      <c r="AL27" s="2027">
        <f t="shared" si="3"/>
        <v>0</v>
      </c>
      <c r="AM27" s="2027">
        <f t="shared" si="3"/>
        <v>0</v>
      </c>
      <c r="AN27" s="2027">
        <f t="shared" si="3"/>
        <v>0</v>
      </c>
      <c r="AO27" s="2027"/>
      <c r="AP27" s="2027"/>
      <c r="AQ27" s="2027"/>
      <c r="AR27" s="2027">
        <f t="shared" ref="AR27:AR90" si="29">AJ27*AF27*CO27</f>
        <v>0</v>
      </c>
      <c r="AS27" s="2029"/>
      <c r="AT27" s="2029">
        <f t="shared" si="13"/>
        <v>0</v>
      </c>
      <c r="AU27" s="2029">
        <f t="shared" si="13"/>
        <v>0</v>
      </c>
      <c r="AV27" s="2029">
        <f t="shared" si="13"/>
        <v>0</v>
      </c>
      <c r="AW27" s="1974"/>
      <c r="AX27" s="2029">
        <f t="shared" si="14"/>
        <v>0</v>
      </c>
      <c r="AY27" s="2029">
        <f t="shared" si="14"/>
        <v>0</v>
      </c>
      <c r="AZ27" s="2029">
        <f t="shared" si="14"/>
        <v>0</v>
      </c>
      <c r="BA27" s="2029"/>
      <c r="BB27" s="2029">
        <f t="shared" si="15"/>
        <v>0</v>
      </c>
      <c r="BC27" s="2029">
        <f t="shared" si="15"/>
        <v>0</v>
      </c>
      <c r="BD27" s="2029">
        <f t="shared" si="15"/>
        <v>0</v>
      </c>
      <c r="BE27" s="2030">
        <f t="shared" si="16"/>
        <v>0</v>
      </c>
      <c r="BF27" s="2030">
        <f t="shared" si="16"/>
        <v>0</v>
      </c>
      <c r="BG27" s="2030">
        <f t="shared" si="16"/>
        <v>0</v>
      </c>
      <c r="BH27" s="2030">
        <f t="shared" si="16"/>
        <v>0</v>
      </c>
      <c r="BI27" s="2030">
        <f t="shared" si="17"/>
        <v>0</v>
      </c>
      <c r="BJ27" s="2030">
        <f t="shared" si="17"/>
        <v>0</v>
      </c>
      <c r="BK27" s="2030">
        <f t="shared" si="17"/>
        <v>0</v>
      </c>
      <c r="BL27" s="2030">
        <f t="shared" si="17"/>
        <v>0</v>
      </c>
      <c r="BM27" s="2031"/>
      <c r="BN27" s="2031"/>
      <c r="BO27" s="2031"/>
      <c r="BP27" s="2031"/>
      <c r="BQ27" s="2031"/>
      <c r="BR27" s="2031"/>
      <c r="BS27" s="2031"/>
      <c r="BT27" s="2031"/>
      <c r="BU27" s="2029"/>
      <c r="BV27" s="2029"/>
      <c r="BW27" s="2029"/>
      <c r="BX27" s="2029"/>
      <c r="BY27" s="2029"/>
      <c r="BZ27" s="2032"/>
      <c r="CA27" s="1974"/>
      <c r="CB27" s="1974"/>
      <c r="CC27" s="1974"/>
      <c r="CD27" s="1974"/>
      <c r="CE27" s="1974"/>
      <c r="CF27" s="2033">
        <v>0</v>
      </c>
      <c r="CG27" s="2026">
        <v>0</v>
      </c>
      <c r="CH27" s="2009"/>
      <c r="CI27" s="2029">
        <v>0</v>
      </c>
      <c r="CK27" s="2029">
        <f t="shared" si="18"/>
        <v>0</v>
      </c>
      <c r="CL27" s="2034">
        <v>1</v>
      </c>
      <c r="CM27" s="2034">
        <v>1</v>
      </c>
      <c r="CN27" s="2034">
        <v>1</v>
      </c>
      <c r="CO27" s="2034">
        <v>1</v>
      </c>
      <c r="CP27" s="2035"/>
      <c r="CQ27" s="2036"/>
      <c r="CR27" s="2036"/>
      <c r="CS27" s="2036"/>
      <c r="CT27" s="2036"/>
      <c r="CU27" s="2036"/>
      <c r="CX27" s="2037">
        <v>0</v>
      </c>
      <c r="CY27" s="2037">
        <v>0</v>
      </c>
      <c r="CZ27" s="2037">
        <v>0</v>
      </c>
      <c r="DA27" s="2037">
        <v>0</v>
      </c>
      <c r="DK27" s="1973">
        <v>0</v>
      </c>
      <c r="DL27" s="1973">
        <v>0</v>
      </c>
      <c r="DM27" s="1973">
        <v>0</v>
      </c>
      <c r="DO27" s="2023"/>
      <c r="DP27" s="2024"/>
      <c r="DQ27" s="2024"/>
      <c r="DR27" s="2023"/>
      <c r="DS27" s="2029"/>
      <c r="DT27" s="2029">
        <v>0</v>
      </c>
      <c r="DU27" s="2029">
        <v>0</v>
      </c>
      <c r="DV27" s="2029">
        <v>0</v>
      </c>
      <c r="DW27" s="1974"/>
      <c r="DX27" s="2029">
        <v>0</v>
      </c>
      <c r="DY27" s="2029">
        <v>0</v>
      </c>
      <c r="DZ27" s="2029">
        <v>0</v>
      </c>
      <c r="EA27" s="2029"/>
      <c r="EB27" s="2029">
        <v>0</v>
      </c>
      <c r="EC27" s="2029">
        <v>0</v>
      </c>
      <c r="ED27" s="2029">
        <v>0</v>
      </c>
      <c r="EE27" s="2039">
        <f t="shared" si="19"/>
        <v>0</v>
      </c>
      <c r="EF27" s="2039">
        <f t="shared" si="19"/>
        <v>0</v>
      </c>
      <c r="EG27" s="2039">
        <f t="shared" si="19"/>
        <v>0</v>
      </c>
      <c r="EH27" s="2039">
        <f t="shared" si="19"/>
        <v>0</v>
      </c>
      <c r="EI27" s="2040">
        <f t="shared" si="20"/>
        <v>0</v>
      </c>
      <c r="EJ27" s="2040">
        <f t="shared" si="20"/>
        <v>0</v>
      </c>
      <c r="EK27" s="2040">
        <f t="shared" si="20"/>
        <v>0</v>
      </c>
      <c r="EL27" s="2040">
        <f t="shared" si="20"/>
        <v>0</v>
      </c>
      <c r="EM27" s="2040">
        <f t="shared" si="20"/>
        <v>0</v>
      </c>
      <c r="EN27" s="2040">
        <f t="shared" si="20"/>
        <v>0</v>
      </c>
      <c r="EO27" s="2040">
        <f t="shared" si="20"/>
        <v>0</v>
      </c>
      <c r="EP27" s="2040">
        <f t="shared" si="20"/>
        <v>0</v>
      </c>
      <c r="EQ27" s="2040">
        <f t="shared" si="20"/>
        <v>0</v>
      </c>
      <c r="ER27" s="2040">
        <f t="shared" si="20"/>
        <v>0</v>
      </c>
      <c r="ES27" s="2040">
        <f t="shared" si="20"/>
        <v>0</v>
      </c>
      <c r="ET27" s="2040">
        <f t="shared" si="20"/>
        <v>0</v>
      </c>
      <c r="EU27" s="2039">
        <f t="shared" si="21"/>
        <v>0</v>
      </c>
      <c r="EV27" s="2039">
        <f t="shared" si="22"/>
        <v>0</v>
      </c>
    </row>
    <row r="28" spans="1:152" x14ac:dyDescent="0.25">
      <c r="A28" s="2041" t="s">
        <v>98</v>
      </c>
      <c r="B28" s="2022" t="s">
        <v>2881</v>
      </c>
      <c r="C28" s="2543">
        <v>5</v>
      </c>
      <c r="D28" s="2024">
        <v>240.22638539624486</v>
      </c>
      <c r="E28" s="2024">
        <v>2.5641090973990168E-2</v>
      </c>
      <c r="F28" s="2023">
        <v>-3.3246040586220444</v>
      </c>
      <c r="G28" s="2026" t="s">
        <v>4</v>
      </c>
      <c r="H28" s="2026" t="s">
        <v>4</v>
      </c>
      <c r="I28" s="2026">
        <v>0.77800000000000002</v>
      </c>
      <c r="J28" s="2026">
        <v>0.77800000000000002</v>
      </c>
      <c r="K28" s="2026">
        <v>0.77800000000000002</v>
      </c>
      <c r="L28" s="2026">
        <v>0.77800000000000002</v>
      </c>
      <c r="M28" s="2027">
        <f t="shared" si="11"/>
        <v>186.89612783827852</v>
      </c>
      <c r="N28" s="2027">
        <f t="shared" si="11"/>
        <v>186.89612783827852</v>
      </c>
      <c r="O28" s="2027">
        <f t="shared" si="11"/>
        <v>186.89612783827852</v>
      </c>
      <c r="P28" s="2027">
        <f t="shared" si="11"/>
        <v>186.89612783827852</v>
      </c>
      <c r="Q28" s="2026">
        <v>0.77800000000000002</v>
      </c>
      <c r="R28" s="2026">
        <v>0.77800000000000002</v>
      </c>
      <c r="S28" s="2026">
        <v>0.77800000000000002</v>
      </c>
      <c r="T28" s="2026">
        <v>0.77800000000000002</v>
      </c>
      <c r="U28" s="2028">
        <f t="shared" si="12"/>
        <v>1.9948768777764352E-2</v>
      </c>
      <c r="V28" s="2028">
        <f t="shared" si="12"/>
        <v>1.9948768777764352E-2</v>
      </c>
      <c r="W28" s="2028">
        <f t="shared" si="12"/>
        <v>1.9948768777764352E-2</v>
      </c>
      <c r="X28" s="2028">
        <f t="shared" si="12"/>
        <v>1.9948768777764352E-2</v>
      </c>
      <c r="Y28" s="2026">
        <v>0.77800000000000002</v>
      </c>
      <c r="Z28" s="2026">
        <v>0.77800000000000002</v>
      </c>
      <c r="AA28" s="2026">
        <v>0.77800000000000002</v>
      </c>
      <c r="AB28" s="2026">
        <v>0.77800000000000002</v>
      </c>
      <c r="AC28" s="2027">
        <f t="shared" si="26"/>
        <v>-2.5865419576079507</v>
      </c>
      <c r="AD28" s="2027">
        <f t="shared" si="26"/>
        <v>-2.5865419576079507</v>
      </c>
      <c r="AE28" s="2027">
        <f t="shared" si="26"/>
        <v>-2.5865419576079507</v>
      </c>
      <c r="AF28" s="2027">
        <f t="shared" si="26"/>
        <v>-2.5865419576079507</v>
      </c>
      <c r="AG28" s="2027">
        <v>263</v>
      </c>
      <c r="AH28" s="2027">
        <v>248</v>
      </c>
      <c r="AI28" s="2027">
        <v>240</v>
      </c>
      <c r="AJ28" s="2027">
        <v>170</v>
      </c>
      <c r="AK28" s="2027">
        <f t="shared" si="27"/>
        <v>49153.681621467251</v>
      </c>
      <c r="AL28" s="2027">
        <f t="shared" si="3"/>
        <v>46350.239703893072</v>
      </c>
      <c r="AM28" s="2027">
        <f t="shared" si="3"/>
        <v>44855.070681186844</v>
      </c>
      <c r="AN28" s="2027">
        <f t="shared" si="3"/>
        <v>31772.341732507346</v>
      </c>
      <c r="AO28" s="2027">
        <f t="shared" si="28"/>
        <v>-680.26053485089108</v>
      </c>
      <c r="AP28" s="2027">
        <f t="shared" ref="AP28:AQ48" si="30">AH28*AD28*CM28</f>
        <v>-641.46240548677179</v>
      </c>
      <c r="AQ28" s="2027">
        <f t="shared" si="30"/>
        <v>-620.77006982590819</v>
      </c>
      <c r="AR28" s="2027">
        <f t="shared" si="29"/>
        <v>-439.7121327933516</v>
      </c>
      <c r="AS28" s="2029">
        <v>20</v>
      </c>
      <c r="AT28" s="2029">
        <f t="shared" si="13"/>
        <v>20</v>
      </c>
      <c r="AU28" s="2029">
        <f t="shared" si="13"/>
        <v>20</v>
      </c>
      <c r="AV28" s="2029">
        <f t="shared" si="13"/>
        <v>20</v>
      </c>
      <c r="AW28" s="1974"/>
      <c r="AX28" s="2029">
        <f t="shared" si="14"/>
        <v>0</v>
      </c>
      <c r="AY28" s="2029">
        <f t="shared" si="14"/>
        <v>0</v>
      </c>
      <c r="AZ28" s="2029">
        <f t="shared" si="14"/>
        <v>0</v>
      </c>
      <c r="BA28" s="2029">
        <v>30</v>
      </c>
      <c r="BB28" s="2029">
        <f t="shared" si="15"/>
        <v>30</v>
      </c>
      <c r="BC28" s="2029">
        <f t="shared" si="15"/>
        <v>30</v>
      </c>
      <c r="BD28" s="2029">
        <f t="shared" si="15"/>
        <v>30</v>
      </c>
      <c r="BE28" s="2030">
        <f t="shared" si="16"/>
        <v>5260</v>
      </c>
      <c r="BF28" s="2030">
        <f t="shared" si="16"/>
        <v>4960</v>
      </c>
      <c r="BG28" s="2030">
        <f t="shared" si="16"/>
        <v>4800</v>
      </c>
      <c r="BH28" s="2030">
        <f t="shared" si="16"/>
        <v>3400</v>
      </c>
      <c r="BI28" s="2030">
        <f t="shared" si="17"/>
        <v>0</v>
      </c>
      <c r="BJ28" s="2030">
        <f t="shared" si="17"/>
        <v>0</v>
      </c>
      <c r="BK28" s="2030">
        <f t="shared" si="17"/>
        <v>0</v>
      </c>
      <c r="BL28" s="2030">
        <f t="shared" si="17"/>
        <v>0</v>
      </c>
      <c r="BM28" s="2031"/>
      <c r="BN28" s="2031"/>
      <c r="BO28" s="2031"/>
      <c r="BP28" s="2031"/>
      <c r="BQ28" s="2031"/>
      <c r="BR28" s="2031"/>
      <c r="BS28" s="2031"/>
      <c r="BT28" s="2031"/>
      <c r="BU28" s="2029"/>
      <c r="BV28" s="2029"/>
      <c r="BW28" s="2029"/>
      <c r="BX28" s="2029"/>
      <c r="BY28" s="2029"/>
      <c r="BZ28" s="2032"/>
      <c r="CA28" s="1974"/>
      <c r="CB28" s="1974"/>
      <c r="CC28" s="1974"/>
      <c r="CD28" s="1974"/>
      <c r="CE28" s="1974">
        <v>0</v>
      </c>
      <c r="CF28" s="2033">
        <v>2.054789440408052E-4</v>
      </c>
      <c r="CG28" s="2026">
        <v>-2.5379189271014876E-4</v>
      </c>
      <c r="CH28" s="2009">
        <v>1</v>
      </c>
      <c r="CI28" s="2029">
        <v>0</v>
      </c>
      <c r="CJ28" s="2030">
        <f>-7/1.37</f>
        <v>-5.10948905109489</v>
      </c>
      <c r="CK28" s="2029">
        <f t="shared" si="18"/>
        <v>-5.10948905109489</v>
      </c>
      <c r="CL28" s="2034">
        <v>1</v>
      </c>
      <c r="CM28" s="2034">
        <v>1</v>
      </c>
      <c r="CN28" s="2034">
        <v>1</v>
      </c>
      <c r="CO28" s="2034">
        <v>1</v>
      </c>
      <c r="CP28" s="2035"/>
      <c r="CQ28" s="2036"/>
      <c r="CR28" s="2036"/>
      <c r="CS28" s="2036"/>
      <c r="CT28" s="2036"/>
      <c r="CU28" s="2036"/>
      <c r="CW28" s="1973">
        <v>0</v>
      </c>
      <c r="CX28" s="2037">
        <v>20</v>
      </c>
      <c r="CY28" s="2037">
        <v>20</v>
      </c>
      <c r="CZ28" s="2037">
        <v>20</v>
      </c>
      <c r="DA28" s="2037">
        <v>20</v>
      </c>
      <c r="DJ28" s="1976">
        <v>20</v>
      </c>
      <c r="DK28" s="1973">
        <v>20</v>
      </c>
      <c r="DL28" s="1973">
        <v>20</v>
      </c>
      <c r="DM28" s="1973">
        <v>20</v>
      </c>
      <c r="DO28" s="2023">
        <v>16</v>
      </c>
      <c r="DP28" s="2024">
        <v>240.22638539624486</v>
      </c>
      <c r="DQ28" s="2024">
        <v>2.5641090973990168E-2</v>
      </c>
      <c r="DR28" s="2023">
        <v>-3.3246040586220444</v>
      </c>
      <c r="DS28" s="2029">
        <v>20</v>
      </c>
      <c r="DT28" s="2029">
        <v>20</v>
      </c>
      <c r="DU28" s="2029">
        <v>20</v>
      </c>
      <c r="DV28" s="2029">
        <v>20</v>
      </c>
      <c r="DW28" s="1974"/>
      <c r="DX28" s="2029">
        <v>0</v>
      </c>
      <c r="DY28" s="2029">
        <v>0</v>
      </c>
      <c r="DZ28" s="2029">
        <v>0</v>
      </c>
      <c r="EA28" s="2549">
        <v>32.5</v>
      </c>
      <c r="EB28" s="2549">
        <v>32.5</v>
      </c>
      <c r="EC28" s="2549">
        <v>32.5</v>
      </c>
      <c r="ED28" s="2549">
        <v>32.5</v>
      </c>
      <c r="EE28" s="2039">
        <f t="shared" si="19"/>
        <v>-11</v>
      </c>
      <c r="EF28" s="2039">
        <f t="shared" si="19"/>
        <v>0</v>
      </c>
      <c r="EG28" s="2039">
        <f t="shared" si="19"/>
        <v>0</v>
      </c>
      <c r="EH28" s="2039">
        <f t="shared" si="19"/>
        <v>0</v>
      </c>
      <c r="EI28" s="2040">
        <f t="shared" si="20"/>
        <v>0</v>
      </c>
      <c r="EJ28" s="2040">
        <f t="shared" si="20"/>
        <v>0</v>
      </c>
      <c r="EK28" s="2040">
        <f t="shared" si="20"/>
        <v>0</v>
      </c>
      <c r="EL28" s="2040">
        <f t="shared" si="20"/>
        <v>0</v>
      </c>
      <c r="EM28" s="2040">
        <f t="shared" si="20"/>
        <v>0</v>
      </c>
      <c r="EN28" s="2040">
        <f t="shared" si="20"/>
        <v>0</v>
      </c>
      <c r="EO28" s="2040">
        <f t="shared" si="20"/>
        <v>0</v>
      </c>
      <c r="EP28" s="2040">
        <f t="shared" si="20"/>
        <v>0</v>
      </c>
      <c r="EQ28" s="2040">
        <f t="shared" si="20"/>
        <v>-2.5</v>
      </c>
      <c r="ER28" s="2040">
        <f t="shared" si="20"/>
        <v>-2.5</v>
      </c>
      <c r="ES28" s="2040">
        <f t="shared" si="20"/>
        <v>-2.5</v>
      </c>
      <c r="ET28" s="2040">
        <f t="shared" si="20"/>
        <v>-2.5</v>
      </c>
      <c r="EU28" s="2039">
        <f t="shared" si="21"/>
        <v>-21</v>
      </c>
      <c r="EV28" s="2039">
        <f t="shared" si="22"/>
        <v>-11</v>
      </c>
    </row>
    <row r="29" spans="1:152" x14ac:dyDescent="0.25">
      <c r="A29" s="2041" t="s">
        <v>99</v>
      </c>
      <c r="B29" s="2022" t="s">
        <v>2882</v>
      </c>
      <c r="C29" s="2543">
        <v>5</v>
      </c>
      <c r="D29" s="2024">
        <v>272.82471167942094</v>
      </c>
      <c r="E29" s="2024">
        <v>8.0423996679544099E-2</v>
      </c>
      <c r="F29" s="2023">
        <v>-2.483570128272278</v>
      </c>
      <c r="G29" s="2026" t="s">
        <v>4</v>
      </c>
      <c r="H29" s="2026" t="s">
        <v>4</v>
      </c>
      <c r="I29" s="2026">
        <v>0.77800000000000002</v>
      </c>
      <c r="J29" s="2026">
        <v>0.77800000000000002</v>
      </c>
      <c r="K29" s="2026">
        <v>0.77800000000000002</v>
      </c>
      <c r="L29" s="2026">
        <v>0.77800000000000002</v>
      </c>
      <c r="M29" s="2027">
        <f t="shared" si="11"/>
        <v>212.25762568658951</v>
      </c>
      <c r="N29" s="2027">
        <f t="shared" si="11"/>
        <v>212.25762568658951</v>
      </c>
      <c r="O29" s="2027">
        <f t="shared" si="11"/>
        <v>212.25762568658951</v>
      </c>
      <c r="P29" s="2027">
        <f t="shared" si="11"/>
        <v>212.25762568658951</v>
      </c>
      <c r="Q29" s="2026">
        <v>0.77800000000000002</v>
      </c>
      <c r="R29" s="2026">
        <v>0.77800000000000002</v>
      </c>
      <c r="S29" s="2026">
        <v>0.77800000000000002</v>
      </c>
      <c r="T29" s="2026">
        <v>0.77800000000000002</v>
      </c>
      <c r="U29" s="2028">
        <f t="shared" si="12"/>
        <v>6.2569869416685311E-2</v>
      </c>
      <c r="V29" s="2028">
        <f t="shared" si="12"/>
        <v>6.2569869416685311E-2</v>
      </c>
      <c r="W29" s="2028">
        <f t="shared" si="12"/>
        <v>6.2569869416685311E-2</v>
      </c>
      <c r="X29" s="2028">
        <f t="shared" si="12"/>
        <v>6.2569869416685311E-2</v>
      </c>
      <c r="Y29" s="2026">
        <v>0.77800000000000002</v>
      </c>
      <c r="Z29" s="2026">
        <v>0.77800000000000002</v>
      </c>
      <c r="AA29" s="2026">
        <v>0.77800000000000002</v>
      </c>
      <c r="AB29" s="2026">
        <v>0.77800000000000002</v>
      </c>
      <c r="AC29" s="2027">
        <f t="shared" si="26"/>
        <v>-1.9322175597958324</v>
      </c>
      <c r="AD29" s="2027">
        <f t="shared" si="26"/>
        <v>-1.9322175597958324</v>
      </c>
      <c r="AE29" s="2027">
        <f t="shared" si="26"/>
        <v>-1.9322175597958324</v>
      </c>
      <c r="AF29" s="2027">
        <f t="shared" si="26"/>
        <v>-1.9322175597958324</v>
      </c>
      <c r="AG29" s="2027">
        <v>14</v>
      </c>
      <c r="AH29" s="2027">
        <v>18</v>
      </c>
      <c r="AI29" s="2027">
        <v>19</v>
      </c>
      <c r="AJ29" s="2027">
        <v>16</v>
      </c>
      <c r="AK29" s="2027">
        <f t="shared" si="27"/>
        <v>2971.606759612253</v>
      </c>
      <c r="AL29" s="2027">
        <f t="shared" si="3"/>
        <v>3820.6372623586112</v>
      </c>
      <c r="AM29" s="2027">
        <f t="shared" si="3"/>
        <v>4032.8948880452008</v>
      </c>
      <c r="AN29" s="2027">
        <f t="shared" si="3"/>
        <v>3396.1220109854321</v>
      </c>
      <c r="AO29" s="2027">
        <f t="shared" si="28"/>
        <v>-27.051045837141654</v>
      </c>
      <c r="AP29" s="2027">
        <f t="shared" si="30"/>
        <v>-34.77991607632498</v>
      </c>
      <c r="AQ29" s="2027">
        <f t="shared" si="30"/>
        <v>-36.712133636120818</v>
      </c>
      <c r="AR29" s="2027">
        <f t="shared" si="29"/>
        <v>-30.915480956733319</v>
      </c>
      <c r="AS29" s="2029">
        <v>10</v>
      </c>
      <c r="AT29" s="2029">
        <f t="shared" si="13"/>
        <v>10</v>
      </c>
      <c r="AU29" s="2029">
        <f t="shared" si="13"/>
        <v>10</v>
      </c>
      <c r="AV29" s="2029">
        <f t="shared" si="13"/>
        <v>10</v>
      </c>
      <c r="AW29" s="1974"/>
      <c r="AX29" s="2029">
        <f t="shared" si="14"/>
        <v>0</v>
      </c>
      <c r="AY29" s="2029">
        <f t="shared" si="14"/>
        <v>0</v>
      </c>
      <c r="AZ29" s="2029">
        <f t="shared" si="14"/>
        <v>0</v>
      </c>
      <c r="BA29" s="2029">
        <v>30</v>
      </c>
      <c r="BB29" s="2029">
        <f t="shared" si="15"/>
        <v>30</v>
      </c>
      <c r="BC29" s="2029">
        <f t="shared" si="15"/>
        <v>30</v>
      </c>
      <c r="BD29" s="2029">
        <f t="shared" si="15"/>
        <v>30</v>
      </c>
      <c r="BE29" s="2030">
        <f t="shared" si="16"/>
        <v>140</v>
      </c>
      <c r="BF29" s="2030">
        <f t="shared" si="16"/>
        <v>180</v>
      </c>
      <c r="BG29" s="2030">
        <f t="shared" si="16"/>
        <v>190</v>
      </c>
      <c r="BH29" s="2030">
        <f t="shared" si="16"/>
        <v>160</v>
      </c>
      <c r="BI29" s="2030">
        <f t="shared" si="17"/>
        <v>0</v>
      </c>
      <c r="BJ29" s="2030">
        <f t="shared" si="17"/>
        <v>0</v>
      </c>
      <c r="BK29" s="2030">
        <f t="shared" si="17"/>
        <v>0</v>
      </c>
      <c r="BL29" s="2030">
        <f t="shared" si="17"/>
        <v>0</v>
      </c>
      <c r="BM29" s="2031"/>
      <c r="BN29" s="2031"/>
      <c r="BO29" s="2031"/>
      <c r="BP29" s="2031"/>
      <c r="BQ29" s="2031"/>
      <c r="BR29" s="2031"/>
      <c r="BS29" s="2031"/>
      <c r="BT29" s="2031"/>
      <c r="BU29" s="2029"/>
      <c r="BV29" s="2029"/>
      <c r="BW29" s="2029"/>
      <c r="BX29" s="2029"/>
      <c r="BY29" s="2029"/>
      <c r="BZ29" s="2032"/>
      <c r="CA29" s="1974"/>
      <c r="CB29" s="1974"/>
      <c r="CC29" s="1974"/>
      <c r="CD29" s="1974"/>
      <c r="CE29" s="1974">
        <v>0</v>
      </c>
      <c r="CF29" s="2033">
        <v>1.2422317086477843E-5</v>
      </c>
      <c r="CG29" s="2026">
        <v>-1.0092215807142201E-5</v>
      </c>
      <c r="CH29" s="2009">
        <v>1</v>
      </c>
      <c r="CI29" s="2029">
        <v>0</v>
      </c>
      <c r="CJ29" s="2030">
        <f>-7/1.37</f>
        <v>-5.10948905109489</v>
      </c>
      <c r="CK29" s="2029">
        <f t="shared" si="18"/>
        <v>-5.10948905109489</v>
      </c>
      <c r="CL29" s="2034">
        <v>1</v>
      </c>
      <c r="CM29" s="2034">
        <v>1</v>
      </c>
      <c r="CN29" s="2034">
        <v>1</v>
      </c>
      <c r="CO29" s="2034">
        <v>1</v>
      </c>
      <c r="CP29" s="2035"/>
      <c r="CQ29" s="2036"/>
      <c r="CR29" s="2036"/>
      <c r="CS29" s="2036"/>
      <c r="CT29" s="2036"/>
      <c r="CU29" s="2036"/>
      <c r="CW29" s="1973">
        <v>0</v>
      </c>
      <c r="CX29" s="2037">
        <v>10</v>
      </c>
      <c r="CY29" s="2037">
        <v>10</v>
      </c>
      <c r="CZ29" s="2037">
        <v>10</v>
      </c>
      <c r="DA29" s="2037">
        <v>10</v>
      </c>
      <c r="DJ29" s="1976">
        <v>10</v>
      </c>
      <c r="DK29" s="1973">
        <v>10</v>
      </c>
      <c r="DL29" s="1973">
        <v>10</v>
      </c>
      <c r="DM29" s="1973">
        <v>10</v>
      </c>
      <c r="DO29" s="2023">
        <v>16</v>
      </c>
      <c r="DP29" s="2024">
        <v>272.82471167942094</v>
      </c>
      <c r="DQ29" s="2024">
        <v>8.0423996679544099E-2</v>
      </c>
      <c r="DR29" s="2023">
        <v>-2.483570128272278</v>
      </c>
      <c r="DS29" s="2029">
        <v>10</v>
      </c>
      <c r="DT29" s="2029">
        <v>10</v>
      </c>
      <c r="DU29" s="2029">
        <v>10</v>
      </c>
      <c r="DV29" s="2029">
        <v>10</v>
      </c>
      <c r="DW29" s="1974"/>
      <c r="DX29" s="2029">
        <v>0</v>
      </c>
      <c r="DY29" s="2029">
        <v>0</v>
      </c>
      <c r="DZ29" s="2029">
        <v>0</v>
      </c>
      <c r="EA29" s="2549">
        <v>32.5</v>
      </c>
      <c r="EB29" s="2549">
        <v>32.5</v>
      </c>
      <c r="EC29" s="2549">
        <v>32.5</v>
      </c>
      <c r="ED29" s="2549">
        <v>32.5</v>
      </c>
      <c r="EE29" s="2039">
        <f t="shared" si="19"/>
        <v>-11</v>
      </c>
      <c r="EF29" s="2039">
        <f t="shared" si="19"/>
        <v>0</v>
      </c>
      <c r="EG29" s="2039">
        <f t="shared" si="19"/>
        <v>0</v>
      </c>
      <c r="EH29" s="2039">
        <f t="shared" si="19"/>
        <v>0</v>
      </c>
      <c r="EI29" s="2040">
        <f t="shared" si="20"/>
        <v>0</v>
      </c>
      <c r="EJ29" s="2040">
        <f t="shared" si="20"/>
        <v>0</v>
      </c>
      <c r="EK29" s="2040">
        <f t="shared" si="20"/>
        <v>0</v>
      </c>
      <c r="EL29" s="2040">
        <f t="shared" si="20"/>
        <v>0</v>
      </c>
      <c r="EM29" s="2040">
        <f t="shared" si="20"/>
        <v>0</v>
      </c>
      <c r="EN29" s="2040">
        <f t="shared" si="20"/>
        <v>0</v>
      </c>
      <c r="EO29" s="2040">
        <f t="shared" si="20"/>
        <v>0</v>
      </c>
      <c r="EP29" s="2040">
        <f t="shared" si="20"/>
        <v>0</v>
      </c>
      <c r="EQ29" s="2040">
        <f t="shared" si="20"/>
        <v>-2.5</v>
      </c>
      <c r="ER29" s="2040">
        <f t="shared" si="20"/>
        <v>-2.5</v>
      </c>
      <c r="ES29" s="2040">
        <f t="shared" si="20"/>
        <v>-2.5</v>
      </c>
      <c r="ET29" s="2040">
        <f t="shared" si="20"/>
        <v>-2.5</v>
      </c>
      <c r="EU29" s="2039">
        <f t="shared" si="21"/>
        <v>-21</v>
      </c>
      <c r="EV29" s="2039">
        <f t="shared" si="22"/>
        <v>-11</v>
      </c>
    </row>
    <row r="30" spans="1:152" x14ac:dyDescent="0.25">
      <c r="A30" s="2021" t="s">
        <v>2883</v>
      </c>
      <c r="B30" s="2022" t="s">
        <v>2884</v>
      </c>
      <c r="C30" s="2023">
        <v>15</v>
      </c>
      <c r="D30" s="2024">
        <v>812.6885839476405</v>
      </c>
      <c r="E30" s="2024">
        <v>0.1417337655342763</v>
      </c>
      <c r="F30" s="2023">
        <v>-12.323260536976173</v>
      </c>
      <c r="G30" s="2026" t="s">
        <v>4</v>
      </c>
      <c r="H30" s="2026" t="s">
        <v>4</v>
      </c>
      <c r="I30" s="2026">
        <v>0.77800000000000002</v>
      </c>
      <c r="J30" s="2026">
        <v>0.77800000000000002</v>
      </c>
      <c r="K30" s="2026">
        <v>0.77800000000000002</v>
      </c>
      <c r="L30" s="2026">
        <v>0.77800000000000002</v>
      </c>
      <c r="M30" s="2027">
        <f t="shared" si="11"/>
        <v>632.27171831126429</v>
      </c>
      <c r="N30" s="2027">
        <f t="shared" si="11"/>
        <v>632.27171831126429</v>
      </c>
      <c r="O30" s="2027">
        <f t="shared" si="11"/>
        <v>632.27171831126429</v>
      </c>
      <c r="P30" s="2027">
        <f t="shared" si="11"/>
        <v>632.27171831126429</v>
      </c>
      <c r="Q30" s="2026">
        <v>0.77800000000000002</v>
      </c>
      <c r="R30" s="2026">
        <v>0.77800000000000002</v>
      </c>
      <c r="S30" s="2026">
        <v>0.77800000000000002</v>
      </c>
      <c r="T30" s="2026">
        <v>0.77800000000000002</v>
      </c>
      <c r="U30" s="2028">
        <f t="shared" si="12"/>
        <v>0.11026886958566696</v>
      </c>
      <c r="V30" s="2028">
        <f t="shared" si="12"/>
        <v>0.11026886958566696</v>
      </c>
      <c r="W30" s="2028">
        <f t="shared" si="12"/>
        <v>0.11026886958566696</v>
      </c>
      <c r="X30" s="2028">
        <f t="shared" si="12"/>
        <v>0.11026886958566696</v>
      </c>
      <c r="Y30" s="2026">
        <v>0.77800000000000002</v>
      </c>
      <c r="Z30" s="2026">
        <v>0.77800000000000002</v>
      </c>
      <c r="AA30" s="2026">
        <v>0.77800000000000002</v>
      </c>
      <c r="AB30" s="2026">
        <v>0.77800000000000002</v>
      </c>
      <c r="AC30" s="2027">
        <f t="shared" si="26"/>
        <v>-9.5874966977674632</v>
      </c>
      <c r="AD30" s="2027">
        <f t="shared" si="26"/>
        <v>-9.5874966977674632</v>
      </c>
      <c r="AE30" s="2027">
        <f t="shared" si="26"/>
        <v>-9.5874966977674632</v>
      </c>
      <c r="AF30" s="2027">
        <f t="shared" si="26"/>
        <v>-9.5874966977674632</v>
      </c>
      <c r="AG30" s="2027">
        <v>71102</v>
      </c>
      <c r="AH30" s="2027">
        <v>71934</v>
      </c>
      <c r="AI30" s="2027">
        <v>72219</v>
      </c>
      <c r="AJ30" s="2027">
        <v>72056</v>
      </c>
      <c r="AK30" s="2027">
        <f t="shared" si="27"/>
        <v>44955783.715367511</v>
      </c>
      <c r="AL30" s="2027">
        <f t="shared" si="3"/>
        <v>41784163.191347763</v>
      </c>
      <c r="AM30" s="2027">
        <f t="shared" si="3"/>
        <v>41949710.58909478</v>
      </c>
      <c r="AN30" s="2027">
        <f t="shared" si="3"/>
        <v>41855029.094944738</v>
      </c>
      <c r="AO30" s="2027">
        <f t="shared" si="28"/>
        <v>-681690.19020466215</v>
      </c>
      <c r="AP30" s="2027">
        <f t="shared" si="30"/>
        <v>-633597.09918071551</v>
      </c>
      <c r="AQ30" s="2027">
        <f t="shared" si="30"/>
        <v>-636107.38879712089</v>
      </c>
      <c r="AR30" s="2027">
        <f t="shared" si="29"/>
        <v>-634671.67929721181</v>
      </c>
      <c r="AS30" s="2029">
        <v>78.84429158351918</v>
      </c>
      <c r="AT30" s="2029">
        <f t="shared" si="13"/>
        <v>78.84429158351918</v>
      </c>
      <c r="AU30" s="2029">
        <f t="shared" si="13"/>
        <v>78.84429158351918</v>
      </c>
      <c r="AV30" s="2029">
        <f t="shared" si="13"/>
        <v>78.84429158351918</v>
      </c>
      <c r="AW30" s="1974"/>
      <c r="AX30" s="2029">
        <f t="shared" si="14"/>
        <v>0</v>
      </c>
      <c r="AY30" s="2029">
        <f t="shared" si="14"/>
        <v>0</v>
      </c>
      <c r="AZ30" s="2029">
        <f t="shared" si="14"/>
        <v>0</v>
      </c>
      <c r="BA30" s="2029">
        <v>266.88716398638337</v>
      </c>
      <c r="BB30" s="2029">
        <f t="shared" si="15"/>
        <v>266.88716398638337</v>
      </c>
      <c r="BC30" s="2029">
        <f t="shared" si="15"/>
        <v>266.88716398638337</v>
      </c>
      <c r="BD30" s="2029">
        <f t="shared" si="15"/>
        <v>266.88716398638337</v>
      </c>
      <c r="BE30" s="2030">
        <f t="shared" si="16"/>
        <v>5605986.8201713804</v>
      </c>
      <c r="BF30" s="2030">
        <f t="shared" si="16"/>
        <v>5671585.2707688687</v>
      </c>
      <c r="BG30" s="2030">
        <f t="shared" si="16"/>
        <v>5694055.8938701721</v>
      </c>
      <c r="BH30" s="2030">
        <f t="shared" si="16"/>
        <v>5681204.2743420582</v>
      </c>
      <c r="BI30" s="2030">
        <f t="shared" si="17"/>
        <v>0</v>
      </c>
      <c r="BJ30" s="2030">
        <f t="shared" si="17"/>
        <v>0</v>
      </c>
      <c r="BK30" s="2030">
        <f t="shared" si="17"/>
        <v>0</v>
      </c>
      <c r="BL30" s="2030">
        <f t="shared" si="17"/>
        <v>0</v>
      </c>
      <c r="BM30" s="2031"/>
      <c r="BN30" s="2031"/>
      <c r="BO30" s="2031"/>
      <c r="BP30" s="2031"/>
      <c r="BQ30" s="2031"/>
      <c r="BR30" s="2031"/>
      <c r="BS30" s="2031"/>
      <c r="BT30" s="2031"/>
      <c r="BU30" s="2029"/>
      <c r="BV30" s="2029"/>
      <c r="BW30" s="2029"/>
      <c r="BX30" s="2029"/>
      <c r="BY30" s="2029"/>
      <c r="BZ30" s="2032"/>
      <c r="CA30" s="1974"/>
      <c r="CB30" s="1974"/>
      <c r="CC30" s="1974"/>
      <c r="CD30" s="1974"/>
      <c r="CE30" s="1974">
        <v>1</v>
      </c>
      <c r="CF30" s="2033">
        <v>0.18793031694956894</v>
      </c>
      <c r="CG30" s="2026">
        <v>-0.25432526914398274</v>
      </c>
      <c r="CH30" s="2009">
        <v>1</v>
      </c>
      <c r="CI30" s="2029">
        <v>5.387533986928104</v>
      </c>
      <c r="CK30" s="2029">
        <f t="shared" si="18"/>
        <v>-5.387533986928104</v>
      </c>
      <c r="CL30" s="2034">
        <v>1</v>
      </c>
      <c r="CM30" s="2026">
        <v>0.91870005481454409</v>
      </c>
      <c r="CN30" s="2026">
        <v>0.91870005481454409</v>
      </c>
      <c r="CO30" s="2026">
        <v>0.91870005481454409</v>
      </c>
      <c r="CP30" s="2035"/>
      <c r="CQ30" s="2036"/>
      <c r="CR30" s="2036"/>
      <c r="CS30" s="2036"/>
      <c r="CT30" s="2036"/>
      <c r="CU30" s="2036"/>
      <c r="CW30" s="1973">
        <v>0</v>
      </c>
      <c r="CX30" s="2037">
        <v>68.988755135579282</v>
      </c>
      <c r="CY30" s="2037">
        <v>68.988755135579282</v>
      </c>
      <c r="CZ30" s="2037">
        <v>68.988755135579282</v>
      </c>
      <c r="DA30" s="2037">
        <v>68.988755135579282</v>
      </c>
      <c r="DJ30" s="1976">
        <v>68.988755135579282</v>
      </c>
      <c r="DK30" s="1973">
        <v>68.988755135579282</v>
      </c>
      <c r="DL30" s="1973">
        <v>68.988755135579282</v>
      </c>
      <c r="DM30" s="1973">
        <v>68.988755135579282</v>
      </c>
      <c r="DO30" s="2043">
        <v>15</v>
      </c>
      <c r="DP30" s="2044">
        <v>812.6885839476405</v>
      </c>
      <c r="DQ30" s="2044">
        <v>0.1417337655342763</v>
      </c>
      <c r="DR30" s="2043">
        <v>-12.323260536976173</v>
      </c>
      <c r="DS30" s="2046">
        <v>78.84429158351918</v>
      </c>
      <c r="DT30" s="2046">
        <v>78.84429158351918</v>
      </c>
      <c r="DU30" s="2046">
        <v>78.84429158351918</v>
      </c>
      <c r="DV30" s="2046">
        <v>78.84429158351918</v>
      </c>
      <c r="DW30" s="2047"/>
      <c r="DX30" s="2046">
        <v>0</v>
      </c>
      <c r="DY30" s="2046">
        <v>0</v>
      </c>
      <c r="DZ30" s="2046">
        <v>0</v>
      </c>
      <c r="EA30" s="2046">
        <v>266.88716398638337</v>
      </c>
      <c r="EB30" s="2046">
        <v>266.88716398638337</v>
      </c>
      <c r="EC30" s="2046">
        <v>266.88716398638337</v>
      </c>
      <c r="ED30" s="2046">
        <v>266.88716398638337</v>
      </c>
      <c r="EE30" s="2039">
        <f t="shared" si="19"/>
        <v>0</v>
      </c>
      <c r="EF30" s="2039">
        <f t="shared" si="19"/>
        <v>0</v>
      </c>
      <c r="EG30" s="2039">
        <f t="shared" si="19"/>
        <v>0</v>
      </c>
      <c r="EH30" s="2039">
        <f t="shared" si="19"/>
        <v>0</v>
      </c>
      <c r="EI30" s="2040">
        <f t="shared" si="20"/>
        <v>0</v>
      </c>
      <c r="EJ30" s="2040">
        <f t="shared" si="20"/>
        <v>0</v>
      </c>
      <c r="EK30" s="2040">
        <f t="shared" si="20"/>
        <v>0</v>
      </c>
      <c r="EL30" s="2040">
        <f t="shared" si="20"/>
        <v>0</v>
      </c>
      <c r="EM30" s="2040">
        <f t="shared" si="20"/>
        <v>0</v>
      </c>
      <c r="EN30" s="2040">
        <f t="shared" si="20"/>
        <v>0</v>
      </c>
      <c r="EO30" s="2040">
        <f t="shared" si="20"/>
        <v>0</v>
      </c>
      <c r="EP30" s="2040">
        <f t="shared" si="20"/>
        <v>0</v>
      </c>
      <c r="EQ30" s="2040">
        <f t="shared" si="20"/>
        <v>0</v>
      </c>
      <c r="ER30" s="2040">
        <f t="shared" si="20"/>
        <v>0</v>
      </c>
      <c r="ES30" s="2040">
        <f t="shared" si="20"/>
        <v>0</v>
      </c>
      <c r="ET30" s="2040">
        <f t="shared" si="20"/>
        <v>0</v>
      </c>
      <c r="EU30" s="2039">
        <f t="shared" si="21"/>
        <v>0</v>
      </c>
      <c r="EV30" s="2039">
        <f t="shared" si="22"/>
        <v>0</v>
      </c>
    </row>
    <row r="31" spans="1:152" x14ac:dyDescent="0.25">
      <c r="A31" s="2041" t="s">
        <v>101</v>
      </c>
      <c r="B31" s="2022" t="s">
        <v>2885</v>
      </c>
      <c r="C31" s="2023">
        <v>3</v>
      </c>
      <c r="D31" s="2024">
        <v>878</v>
      </c>
      <c r="E31" s="2024">
        <v>0.39</v>
      </c>
      <c r="F31" s="2023">
        <v>0</v>
      </c>
      <c r="G31" s="2026" t="s">
        <v>20</v>
      </c>
      <c r="H31" s="2026" t="s">
        <v>20</v>
      </c>
      <c r="I31" s="2026">
        <v>0.55700000000000005</v>
      </c>
      <c r="J31" s="2026">
        <v>0.55700000000000005</v>
      </c>
      <c r="K31" s="2026">
        <v>0.55700000000000005</v>
      </c>
      <c r="L31" s="2026">
        <v>0.55700000000000005</v>
      </c>
      <c r="M31" s="2027">
        <f t="shared" si="11"/>
        <v>489.04600000000005</v>
      </c>
      <c r="N31" s="2027">
        <f t="shared" si="11"/>
        <v>489.04600000000005</v>
      </c>
      <c r="O31" s="2027">
        <f t="shared" si="11"/>
        <v>489.04600000000005</v>
      </c>
      <c r="P31" s="2027">
        <f t="shared" si="11"/>
        <v>489.04600000000005</v>
      </c>
      <c r="Q31" s="2026">
        <v>0.55700000000000005</v>
      </c>
      <c r="R31" s="2026">
        <v>0.55700000000000005</v>
      </c>
      <c r="S31" s="2026">
        <v>0.55700000000000005</v>
      </c>
      <c r="T31" s="2026">
        <v>0.55700000000000005</v>
      </c>
      <c r="U31" s="2028">
        <f t="shared" si="12"/>
        <v>0.21723000000000003</v>
      </c>
      <c r="V31" s="2028">
        <f t="shared" si="12"/>
        <v>0.21723000000000003</v>
      </c>
      <c r="W31" s="2028">
        <f t="shared" si="12"/>
        <v>0.21723000000000003</v>
      </c>
      <c r="X31" s="2028">
        <f t="shared" si="12"/>
        <v>0.21723000000000003</v>
      </c>
      <c r="Y31" s="2026">
        <v>0.49399999999999999</v>
      </c>
      <c r="Z31" s="2026">
        <v>0.49399999999999999</v>
      </c>
      <c r="AA31" s="2026">
        <v>0.49399999999999999</v>
      </c>
      <c r="AB31" s="2026">
        <v>0.49399999999999999</v>
      </c>
      <c r="AC31" s="2027">
        <f t="shared" si="26"/>
        <v>0</v>
      </c>
      <c r="AD31" s="2027">
        <f t="shared" si="26"/>
        <v>0</v>
      </c>
      <c r="AE31" s="2027">
        <f t="shared" si="26"/>
        <v>0</v>
      </c>
      <c r="AF31" s="2027">
        <f t="shared" si="26"/>
        <v>0</v>
      </c>
      <c r="AG31" s="2027">
        <v>45</v>
      </c>
      <c r="AH31" s="2027">
        <v>47</v>
      </c>
      <c r="AI31" s="2027">
        <v>49</v>
      </c>
      <c r="AJ31" s="2027">
        <v>50</v>
      </c>
      <c r="AK31" s="2027">
        <f t="shared" si="27"/>
        <v>22007.070000000003</v>
      </c>
      <c r="AL31" s="2027">
        <f t="shared" si="3"/>
        <v>22985.162000000004</v>
      </c>
      <c r="AM31" s="2027">
        <f t="shared" si="3"/>
        <v>23963.254000000001</v>
      </c>
      <c r="AN31" s="2027">
        <f t="shared" si="3"/>
        <v>24452.300000000003</v>
      </c>
      <c r="AO31" s="2027">
        <f t="shared" si="28"/>
        <v>0</v>
      </c>
      <c r="AP31" s="2027">
        <f t="shared" si="30"/>
        <v>0</v>
      </c>
      <c r="AQ31" s="2027">
        <f t="shared" si="30"/>
        <v>0</v>
      </c>
      <c r="AR31" s="2027">
        <f t="shared" si="29"/>
        <v>0</v>
      </c>
      <c r="AS31" s="2029">
        <v>120</v>
      </c>
      <c r="AT31" s="2029">
        <f t="shared" si="13"/>
        <v>120</v>
      </c>
      <c r="AU31" s="2029">
        <f t="shared" si="13"/>
        <v>120</v>
      </c>
      <c r="AV31" s="2029">
        <f t="shared" si="13"/>
        <v>120</v>
      </c>
      <c r="AW31" s="1974"/>
      <c r="AX31" s="2029">
        <f t="shared" si="14"/>
        <v>0</v>
      </c>
      <c r="AY31" s="2029">
        <f t="shared" si="14"/>
        <v>0</v>
      </c>
      <c r="AZ31" s="2029">
        <f t="shared" si="14"/>
        <v>0</v>
      </c>
      <c r="BA31" s="2029">
        <v>140</v>
      </c>
      <c r="BB31" s="2029">
        <f t="shared" si="15"/>
        <v>140</v>
      </c>
      <c r="BC31" s="2029">
        <f t="shared" si="15"/>
        <v>140</v>
      </c>
      <c r="BD31" s="2029">
        <f t="shared" si="15"/>
        <v>140</v>
      </c>
      <c r="BE31" s="2030">
        <f t="shared" si="16"/>
        <v>5400</v>
      </c>
      <c r="BF31" s="2030">
        <f t="shared" si="16"/>
        <v>5640</v>
      </c>
      <c r="BG31" s="2030">
        <f t="shared" si="16"/>
        <v>5880</v>
      </c>
      <c r="BH31" s="2030">
        <f t="shared" si="16"/>
        <v>6000</v>
      </c>
      <c r="BI31" s="2030">
        <f t="shared" si="17"/>
        <v>0</v>
      </c>
      <c r="BJ31" s="2030">
        <f t="shared" si="17"/>
        <v>0</v>
      </c>
      <c r="BK31" s="2030">
        <f t="shared" si="17"/>
        <v>0</v>
      </c>
      <c r="BL31" s="2030">
        <f t="shared" si="17"/>
        <v>0</v>
      </c>
      <c r="BM31" s="2031"/>
      <c r="BN31" s="2031"/>
      <c r="BO31" s="2031"/>
      <c r="BP31" s="2031"/>
      <c r="BQ31" s="2031"/>
      <c r="BR31" s="2031"/>
      <c r="BS31" s="2031"/>
      <c r="BT31" s="2031"/>
      <c r="BU31" s="2029"/>
      <c r="BV31" s="2029"/>
      <c r="BW31" s="2029"/>
      <c r="BX31" s="2029"/>
      <c r="BY31" s="2029"/>
      <c r="BZ31" s="2032"/>
      <c r="CA31" s="1974"/>
      <c r="CB31" s="1974"/>
      <c r="CC31" s="1974"/>
      <c r="CD31" s="1974"/>
      <c r="CE31" s="1974">
        <v>0</v>
      </c>
      <c r="CF31" s="2033">
        <v>9.1996964537792862E-5</v>
      </c>
      <c r="CG31" s="2026">
        <v>0</v>
      </c>
      <c r="CH31" s="2009">
        <v>0</v>
      </c>
      <c r="CI31" s="2029">
        <v>0</v>
      </c>
      <c r="CK31" s="2029">
        <f t="shared" si="18"/>
        <v>0</v>
      </c>
      <c r="CL31" s="2034">
        <v>1</v>
      </c>
      <c r="CM31" s="2034">
        <v>1</v>
      </c>
      <c r="CN31" s="2034">
        <v>1</v>
      </c>
      <c r="CO31" s="2034">
        <v>1</v>
      </c>
      <c r="CP31" s="2035"/>
      <c r="CQ31" s="2036"/>
      <c r="CR31" s="2036"/>
      <c r="CS31" s="2036"/>
      <c r="CT31" s="2036"/>
      <c r="CU31" s="2036"/>
      <c r="CW31" s="1973">
        <v>0</v>
      </c>
      <c r="CX31" s="2037">
        <v>120</v>
      </c>
      <c r="CY31" s="2037">
        <v>120</v>
      </c>
      <c r="CZ31" s="2037">
        <v>120</v>
      </c>
      <c r="DA31" s="2037">
        <v>120</v>
      </c>
      <c r="DJ31" s="1976">
        <v>120</v>
      </c>
      <c r="DK31" s="1973">
        <v>120</v>
      </c>
      <c r="DL31" s="1973">
        <v>120</v>
      </c>
      <c r="DM31" s="1973">
        <v>120</v>
      </c>
      <c r="DO31" s="2023">
        <v>3</v>
      </c>
      <c r="DP31" s="2024">
        <v>878</v>
      </c>
      <c r="DQ31" s="2024">
        <v>0.39</v>
      </c>
      <c r="DR31" s="2023">
        <v>0</v>
      </c>
      <c r="DS31" s="2029">
        <v>120</v>
      </c>
      <c r="DT31" s="2029">
        <v>120</v>
      </c>
      <c r="DU31" s="2029">
        <v>120</v>
      </c>
      <c r="DV31" s="2029">
        <v>120</v>
      </c>
      <c r="DW31" s="1974"/>
      <c r="DX31" s="2029">
        <v>0</v>
      </c>
      <c r="DY31" s="2029">
        <v>0</v>
      </c>
      <c r="DZ31" s="2029">
        <v>0</v>
      </c>
      <c r="EA31" s="2029">
        <v>140</v>
      </c>
      <c r="EB31" s="2029">
        <v>140</v>
      </c>
      <c r="EC31" s="2029">
        <v>140</v>
      </c>
      <c r="ED31" s="2029">
        <v>140</v>
      </c>
      <c r="EE31" s="2039">
        <f t="shared" si="19"/>
        <v>0</v>
      </c>
      <c r="EF31" s="2039">
        <f t="shared" si="19"/>
        <v>0</v>
      </c>
      <c r="EG31" s="2039">
        <f t="shared" si="19"/>
        <v>0</v>
      </c>
      <c r="EH31" s="2039">
        <f t="shared" si="19"/>
        <v>0</v>
      </c>
      <c r="EI31" s="2040">
        <f t="shared" si="20"/>
        <v>0</v>
      </c>
      <c r="EJ31" s="2040">
        <f t="shared" si="20"/>
        <v>0</v>
      </c>
      <c r="EK31" s="2040">
        <f t="shared" si="20"/>
        <v>0</v>
      </c>
      <c r="EL31" s="2040">
        <f t="shared" si="20"/>
        <v>0</v>
      </c>
      <c r="EM31" s="2040">
        <f t="shared" si="20"/>
        <v>0</v>
      </c>
      <c r="EN31" s="2040">
        <f t="shared" si="20"/>
        <v>0</v>
      </c>
      <c r="EO31" s="2040">
        <f t="shared" si="20"/>
        <v>0</v>
      </c>
      <c r="EP31" s="2040">
        <f t="shared" si="20"/>
        <v>0</v>
      </c>
      <c r="EQ31" s="2040">
        <f t="shared" si="20"/>
        <v>0</v>
      </c>
      <c r="ER31" s="2040">
        <f t="shared" si="20"/>
        <v>0</v>
      </c>
      <c r="ES31" s="2040">
        <f t="shared" si="20"/>
        <v>0</v>
      </c>
      <c r="ET31" s="2040">
        <f t="shared" si="20"/>
        <v>0</v>
      </c>
      <c r="EU31" s="2039">
        <f t="shared" si="21"/>
        <v>0</v>
      </c>
      <c r="EV31" s="2039">
        <f t="shared" si="22"/>
        <v>0</v>
      </c>
    </row>
    <row r="32" spans="1:152" x14ac:dyDescent="0.25">
      <c r="A32" s="2041" t="s">
        <v>213</v>
      </c>
      <c r="B32" s="2022" t="s">
        <v>2886</v>
      </c>
      <c r="C32" s="2023">
        <v>15</v>
      </c>
      <c r="D32" s="2024">
        <v>514.38</v>
      </c>
      <c r="E32" s="2024">
        <v>0.5</v>
      </c>
      <c r="F32" s="2023">
        <v>0</v>
      </c>
      <c r="G32" s="2026" t="s">
        <v>20</v>
      </c>
      <c r="H32" s="2026" t="s">
        <v>20</v>
      </c>
      <c r="I32" s="2026">
        <v>0.55700000000000005</v>
      </c>
      <c r="J32" s="2026">
        <v>0.55700000000000005</v>
      </c>
      <c r="K32" s="2026">
        <v>0.55700000000000005</v>
      </c>
      <c r="L32" s="2026">
        <v>0.55700000000000005</v>
      </c>
      <c r="M32" s="2027">
        <f t="shared" si="11"/>
        <v>286.50966</v>
      </c>
      <c r="N32" s="2027">
        <f t="shared" si="11"/>
        <v>286.50966</v>
      </c>
      <c r="O32" s="2027">
        <f t="shared" si="11"/>
        <v>286.50966</v>
      </c>
      <c r="P32" s="2027">
        <f t="shared" si="11"/>
        <v>286.50966</v>
      </c>
      <c r="Q32" s="2026">
        <v>0.55700000000000005</v>
      </c>
      <c r="R32" s="2026">
        <v>0.55700000000000005</v>
      </c>
      <c r="S32" s="2026">
        <v>0.55700000000000005</v>
      </c>
      <c r="T32" s="2026">
        <v>0.55700000000000005</v>
      </c>
      <c r="U32" s="2028">
        <f t="shared" si="12"/>
        <v>0.27850000000000003</v>
      </c>
      <c r="V32" s="2028">
        <f t="shared" si="12"/>
        <v>0.27850000000000003</v>
      </c>
      <c r="W32" s="2028">
        <f t="shared" si="12"/>
        <v>0.27850000000000003</v>
      </c>
      <c r="X32" s="2028">
        <f t="shared" si="12"/>
        <v>0.27850000000000003</v>
      </c>
      <c r="Y32" s="2026">
        <v>0.49399999999999999</v>
      </c>
      <c r="Z32" s="2026">
        <v>0.49399999999999999</v>
      </c>
      <c r="AA32" s="2026">
        <v>0.49399999999999999</v>
      </c>
      <c r="AB32" s="2026">
        <v>0.49399999999999999</v>
      </c>
      <c r="AC32" s="2027">
        <f t="shared" si="26"/>
        <v>0</v>
      </c>
      <c r="AD32" s="2027">
        <f t="shared" si="26"/>
        <v>0</v>
      </c>
      <c r="AE32" s="2027">
        <f t="shared" si="26"/>
        <v>0</v>
      </c>
      <c r="AF32" s="2027">
        <f t="shared" si="26"/>
        <v>0</v>
      </c>
      <c r="AG32" s="2027">
        <v>18</v>
      </c>
      <c r="AH32" s="2027">
        <v>19</v>
      </c>
      <c r="AI32" s="2027">
        <v>23</v>
      </c>
      <c r="AJ32" s="2027">
        <v>20</v>
      </c>
      <c r="AK32" s="2027">
        <f t="shared" si="27"/>
        <v>5157.1738800000003</v>
      </c>
      <c r="AL32" s="2027">
        <f t="shared" si="3"/>
        <v>5443.68354</v>
      </c>
      <c r="AM32" s="2027">
        <f t="shared" si="3"/>
        <v>6589.7221799999998</v>
      </c>
      <c r="AN32" s="2027">
        <f t="shared" si="3"/>
        <v>5730.1931999999997</v>
      </c>
      <c r="AO32" s="2027">
        <f t="shared" si="28"/>
        <v>0</v>
      </c>
      <c r="AP32" s="2027">
        <f t="shared" si="30"/>
        <v>0</v>
      </c>
      <c r="AQ32" s="2027">
        <f t="shared" si="30"/>
        <v>0</v>
      </c>
      <c r="AR32" s="2027">
        <f t="shared" si="29"/>
        <v>0</v>
      </c>
      <c r="AS32" s="2029">
        <v>50</v>
      </c>
      <c r="AT32" s="2029">
        <f t="shared" si="13"/>
        <v>50</v>
      </c>
      <c r="AU32" s="2029">
        <f t="shared" si="13"/>
        <v>50</v>
      </c>
      <c r="AV32" s="2029">
        <f t="shared" si="13"/>
        <v>50</v>
      </c>
      <c r="AW32" s="1974"/>
      <c r="AX32" s="2029">
        <f t="shared" si="14"/>
        <v>0</v>
      </c>
      <c r="AY32" s="2029">
        <f t="shared" si="14"/>
        <v>0</v>
      </c>
      <c r="AZ32" s="2029">
        <f t="shared" si="14"/>
        <v>0</v>
      </c>
      <c r="BA32" s="2029">
        <v>300</v>
      </c>
      <c r="BB32" s="2029">
        <f t="shared" si="15"/>
        <v>300</v>
      </c>
      <c r="BC32" s="2029">
        <f t="shared" si="15"/>
        <v>300</v>
      </c>
      <c r="BD32" s="2029">
        <f t="shared" si="15"/>
        <v>300</v>
      </c>
      <c r="BE32" s="2030">
        <f t="shared" si="16"/>
        <v>900</v>
      </c>
      <c r="BF32" s="2030">
        <f t="shared" si="16"/>
        <v>950</v>
      </c>
      <c r="BG32" s="2030">
        <f t="shared" si="16"/>
        <v>1150</v>
      </c>
      <c r="BH32" s="2030">
        <f t="shared" si="16"/>
        <v>1000</v>
      </c>
      <c r="BI32" s="2030">
        <f t="shared" si="17"/>
        <v>0</v>
      </c>
      <c r="BJ32" s="2030">
        <f t="shared" si="17"/>
        <v>0</v>
      </c>
      <c r="BK32" s="2030">
        <f t="shared" si="17"/>
        <v>0</v>
      </c>
      <c r="BL32" s="2030">
        <f t="shared" si="17"/>
        <v>0</v>
      </c>
      <c r="BM32" s="2031"/>
      <c r="BN32" s="2031"/>
      <c r="BO32" s="2031"/>
      <c r="BP32" s="2031"/>
      <c r="BQ32" s="2031"/>
      <c r="BR32" s="2031"/>
      <c r="BS32" s="2031"/>
      <c r="BT32" s="2031"/>
      <c r="BU32" s="2029"/>
      <c r="BV32" s="2029"/>
      <c r="BW32" s="2029"/>
      <c r="BX32" s="2029"/>
      <c r="BY32" s="2029"/>
      <c r="BZ32" s="2032"/>
      <c r="CA32" s="1974"/>
      <c r="CB32" s="1974"/>
      <c r="CC32" s="1974"/>
      <c r="CD32" s="1974"/>
      <c r="CE32" s="1974">
        <v>0</v>
      </c>
      <c r="CF32" s="2033">
        <v>2.1558723744396305E-5</v>
      </c>
      <c r="CG32" s="2026">
        <v>0</v>
      </c>
      <c r="CH32" s="2009">
        <v>0</v>
      </c>
      <c r="CI32" s="2029">
        <v>0</v>
      </c>
      <c r="CK32" s="2029">
        <f t="shared" si="18"/>
        <v>0</v>
      </c>
      <c r="CL32" s="2034">
        <v>1</v>
      </c>
      <c r="CM32" s="2034">
        <v>1</v>
      </c>
      <c r="CN32" s="2034">
        <v>1</v>
      </c>
      <c r="CO32" s="2034">
        <v>1</v>
      </c>
      <c r="CP32" s="2035"/>
      <c r="CQ32" s="2036"/>
      <c r="CR32" s="2036"/>
      <c r="CS32" s="2036"/>
      <c r="CT32" s="2036"/>
      <c r="CU32" s="2036"/>
      <c r="CW32" s="1973">
        <v>3</v>
      </c>
      <c r="CX32" s="2037">
        <v>50</v>
      </c>
      <c r="CY32" s="2037">
        <v>50</v>
      </c>
      <c r="CZ32" s="2037">
        <v>50</v>
      </c>
      <c r="DA32" s="2037">
        <v>50</v>
      </c>
      <c r="DJ32" s="1976">
        <v>50</v>
      </c>
      <c r="DK32" s="1973">
        <v>50</v>
      </c>
      <c r="DL32" s="1973">
        <v>50</v>
      </c>
      <c r="DM32" s="1973">
        <v>50</v>
      </c>
      <c r="DO32" s="2023">
        <v>15</v>
      </c>
      <c r="DP32" s="2024">
        <v>514.38</v>
      </c>
      <c r="DQ32" s="2024">
        <v>0.5</v>
      </c>
      <c r="DR32" s="2023">
        <v>0</v>
      </c>
      <c r="DS32" s="2029">
        <v>50</v>
      </c>
      <c r="DT32" s="2029">
        <v>50</v>
      </c>
      <c r="DU32" s="2029">
        <v>50</v>
      </c>
      <c r="DV32" s="2029">
        <v>50</v>
      </c>
      <c r="DW32" s="1974"/>
      <c r="DX32" s="2029">
        <v>0</v>
      </c>
      <c r="DY32" s="2029">
        <v>0</v>
      </c>
      <c r="DZ32" s="2029">
        <v>0</v>
      </c>
      <c r="EA32" s="2029">
        <v>300</v>
      </c>
      <c r="EB32" s="2029">
        <v>300</v>
      </c>
      <c r="EC32" s="2029">
        <v>300</v>
      </c>
      <c r="ED32" s="2029">
        <v>300</v>
      </c>
      <c r="EE32" s="2039">
        <f t="shared" si="19"/>
        <v>0</v>
      </c>
      <c r="EF32" s="2039">
        <f t="shared" si="19"/>
        <v>0</v>
      </c>
      <c r="EG32" s="2039">
        <f t="shared" si="19"/>
        <v>0</v>
      </c>
      <c r="EH32" s="2039">
        <f t="shared" si="19"/>
        <v>0</v>
      </c>
      <c r="EI32" s="2040">
        <f t="shared" si="20"/>
        <v>0</v>
      </c>
      <c r="EJ32" s="2040">
        <f t="shared" si="20"/>
        <v>0</v>
      </c>
      <c r="EK32" s="2040">
        <f t="shared" si="20"/>
        <v>0</v>
      </c>
      <c r="EL32" s="2040">
        <f t="shared" si="20"/>
        <v>0</v>
      </c>
      <c r="EM32" s="2040">
        <f t="shared" si="20"/>
        <v>0</v>
      </c>
      <c r="EN32" s="2040">
        <f t="shared" si="20"/>
        <v>0</v>
      </c>
      <c r="EO32" s="2040">
        <f t="shared" si="20"/>
        <v>0</v>
      </c>
      <c r="EP32" s="2040">
        <f t="shared" si="20"/>
        <v>0</v>
      </c>
      <c r="EQ32" s="2040">
        <f t="shared" si="20"/>
        <v>0</v>
      </c>
      <c r="ER32" s="2040">
        <f t="shared" si="20"/>
        <v>0</v>
      </c>
      <c r="ES32" s="2040">
        <f t="shared" si="20"/>
        <v>0</v>
      </c>
      <c r="ET32" s="2040">
        <f t="shared" si="20"/>
        <v>0</v>
      </c>
      <c r="EU32" s="2039">
        <f t="shared" si="21"/>
        <v>0</v>
      </c>
      <c r="EV32" s="2039">
        <f t="shared" si="22"/>
        <v>0</v>
      </c>
    </row>
    <row r="33" spans="1:152" x14ac:dyDescent="0.25">
      <c r="A33" s="2041" t="s">
        <v>214</v>
      </c>
      <c r="B33" s="2022" t="s">
        <v>2887</v>
      </c>
      <c r="C33" s="2023">
        <v>15</v>
      </c>
      <c r="D33" s="2024">
        <v>744.5</v>
      </c>
      <c r="E33" s="2024">
        <v>0.747</v>
      </c>
      <c r="F33" s="2023">
        <v>0</v>
      </c>
      <c r="G33" s="2026" t="s">
        <v>20</v>
      </c>
      <c r="H33" s="2026" t="s">
        <v>20</v>
      </c>
      <c r="I33" s="2026">
        <v>0.55700000000000005</v>
      </c>
      <c r="J33" s="2026">
        <v>0.55700000000000005</v>
      </c>
      <c r="K33" s="2026">
        <v>0.55700000000000005</v>
      </c>
      <c r="L33" s="2026">
        <v>0.55700000000000005</v>
      </c>
      <c r="M33" s="2027">
        <f t="shared" si="11"/>
        <v>414.68650000000002</v>
      </c>
      <c r="N33" s="2027">
        <f t="shared" si="11"/>
        <v>414.68650000000002</v>
      </c>
      <c r="O33" s="2027">
        <f t="shared" si="11"/>
        <v>414.68650000000002</v>
      </c>
      <c r="P33" s="2027">
        <f t="shared" si="11"/>
        <v>414.68650000000002</v>
      </c>
      <c r="Q33" s="2026">
        <v>0.55700000000000005</v>
      </c>
      <c r="R33" s="2026">
        <v>0.55700000000000005</v>
      </c>
      <c r="S33" s="2026">
        <v>0.55700000000000005</v>
      </c>
      <c r="T33" s="2026">
        <v>0.55700000000000005</v>
      </c>
      <c r="U33" s="2028">
        <f t="shared" si="12"/>
        <v>0.41607900000000003</v>
      </c>
      <c r="V33" s="2028">
        <f t="shared" si="12"/>
        <v>0.41607900000000003</v>
      </c>
      <c r="W33" s="2028">
        <f t="shared" si="12"/>
        <v>0.41607900000000003</v>
      </c>
      <c r="X33" s="2028">
        <f t="shared" si="12"/>
        <v>0.41607900000000003</v>
      </c>
      <c r="Y33" s="2026">
        <v>0.49399999999999999</v>
      </c>
      <c r="Z33" s="2026">
        <v>0.49399999999999999</v>
      </c>
      <c r="AA33" s="2026">
        <v>0.49399999999999999</v>
      </c>
      <c r="AB33" s="2026">
        <v>0.49399999999999999</v>
      </c>
      <c r="AC33" s="2027">
        <f t="shared" si="26"/>
        <v>0</v>
      </c>
      <c r="AD33" s="2027">
        <f t="shared" si="26"/>
        <v>0</v>
      </c>
      <c r="AE33" s="2027">
        <f t="shared" si="26"/>
        <v>0</v>
      </c>
      <c r="AF33" s="2027">
        <f t="shared" si="26"/>
        <v>0</v>
      </c>
      <c r="AG33" s="2027">
        <v>9</v>
      </c>
      <c r="AH33" s="2027">
        <v>10</v>
      </c>
      <c r="AI33" s="2027">
        <v>14</v>
      </c>
      <c r="AJ33" s="2027">
        <v>10</v>
      </c>
      <c r="AK33" s="2027">
        <f t="shared" si="27"/>
        <v>3732.1785</v>
      </c>
      <c r="AL33" s="2027">
        <f t="shared" si="3"/>
        <v>4146.8649999999998</v>
      </c>
      <c r="AM33" s="2027">
        <f t="shared" si="3"/>
        <v>5805.6110000000008</v>
      </c>
      <c r="AN33" s="2027">
        <f t="shared" si="3"/>
        <v>4146.8649999999998</v>
      </c>
      <c r="AO33" s="2027">
        <f t="shared" si="28"/>
        <v>0</v>
      </c>
      <c r="AP33" s="2027">
        <f t="shared" si="30"/>
        <v>0</v>
      </c>
      <c r="AQ33" s="2027">
        <f t="shared" si="30"/>
        <v>0</v>
      </c>
      <c r="AR33" s="2027">
        <f t="shared" si="29"/>
        <v>0</v>
      </c>
      <c r="AS33" s="2029">
        <v>50</v>
      </c>
      <c r="AT33" s="2029">
        <f t="shared" si="13"/>
        <v>50</v>
      </c>
      <c r="AU33" s="2029">
        <f t="shared" si="13"/>
        <v>50</v>
      </c>
      <c r="AV33" s="2029">
        <f t="shared" si="13"/>
        <v>50</v>
      </c>
      <c r="AW33" s="1974"/>
      <c r="AX33" s="2029">
        <f t="shared" si="14"/>
        <v>0</v>
      </c>
      <c r="AY33" s="2029">
        <f t="shared" si="14"/>
        <v>0</v>
      </c>
      <c r="AZ33" s="2029">
        <f t="shared" si="14"/>
        <v>0</v>
      </c>
      <c r="BA33" s="2029">
        <v>1000</v>
      </c>
      <c r="BB33" s="2029">
        <f t="shared" si="15"/>
        <v>1000</v>
      </c>
      <c r="BC33" s="2029">
        <f t="shared" si="15"/>
        <v>1000</v>
      </c>
      <c r="BD33" s="2029">
        <f t="shared" si="15"/>
        <v>1000</v>
      </c>
      <c r="BE33" s="2030">
        <f t="shared" si="16"/>
        <v>450</v>
      </c>
      <c r="BF33" s="2030">
        <f t="shared" si="16"/>
        <v>500</v>
      </c>
      <c r="BG33" s="2030">
        <f t="shared" si="16"/>
        <v>700</v>
      </c>
      <c r="BH33" s="2030">
        <f t="shared" si="16"/>
        <v>500</v>
      </c>
      <c r="BI33" s="2030">
        <f t="shared" si="17"/>
        <v>0</v>
      </c>
      <c r="BJ33" s="2030">
        <f t="shared" si="17"/>
        <v>0</v>
      </c>
      <c r="BK33" s="2030">
        <f t="shared" si="17"/>
        <v>0</v>
      </c>
      <c r="BL33" s="2030">
        <f t="shared" si="17"/>
        <v>0</v>
      </c>
      <c r="BM33" s="2031"/>
      <c r="BN33" s="2031"/>
      <c r="BO33" s="2031"/>
      <c r="BP33" s="2031"/>
      <c r="BQ33" s="2031"/>
      <c r="BR33" s="2031"/>
      <c r="BS33" s="2031"/>
      <c r="BT33" s="2031"/>
      <c r="BU33" s="2029"/>
      <c r="BV33" s="2029"/>
      <c r="BW33" s="2029"/>
      <c r="BX33" s="2029"/>
      <c r="BY33" s="2029"/>
      <c r="BZ33" s="2032"/>
      <c r="CA33" s="1974"/>
      <c r="CB33" s="1974"/>
      <c r="CC33" s="1974"/>
      <c r="CD33" s="1974"/>
      <c r="CE33" s="1974">
        <v>0</v>
      </c>
      <c r="CF33" s="2033">
        <v>1.5601763120361453E-5</v>
      </c>
      <c r="CG33" s="2026">
        <v>0</v>
      </c>
      <c r="CH33" s="2009">
        <v>0</v>
      </c>
      <c r="CI33" s="2029">
        <v>0</v>
      </c>
      <c r="CK33" s="2029">
        <f t="shared" si="18"/>
        <v>0</v>
      </c>
      <c r="CL33" s="2034">
        <v>1</v>
      </c>
      <c r="CM33" s="2034">
        <v>1</v>
      </c>
      <c r="CN33" s="2034">
        <v>1</v>
      </c>
      <c r="CO33" s="2034">
        <v>1</v>
      </c>
      <c r="CP33" s="2035"/>
      <c r="CQ33" s="2036"/>
      <c r="CR33" s="2036"/>
      <c r="CS33" s="2036"/>
      <c r="CT33" s="2036"/>
      <c r="CU33" s="2036"/>
      <c r="CW33" s="1973">
        <v>3</v>
      </c>
      <c r="CX33" s="2037">
        <v>50</v>
      </c>
      <c r="CY33" s="2037">
        <v>50</v>
      </c>
      <c r="CZ33" s="2037">
        <v>50</v>
      </c>
      <c r="DA33" s="2037">
        <v>50</v>
      </c>
      <c r="DJ33" s="1976">
        <v>50</v>
      </c>
      <c r="DK33" s="1973">
        <v>50</v>
      </c>
      <c r="DL33" s="1973">
        <v>50</v>
      </c>
      <c r="DM33" s="1973">
        <v>50</v>
      </c>
      <c r="DO33" s="2023">
        <v>15</v>
      </c>
      <c r="DP33" s="2024">
        <v>744.5</v>
      </c>
      <c r="DQ33" s="2024">
        <v>0.747</v>
      </c>
      <c r="DR33" s="2023">
        <v>0</v>
      </c>
      <c r="DS33" s="2029">
        <v>50</v>
      </c>
      <c r="DT33" s="2029">
        <v>50</v>
      </c>
      <c r="DU33" s="2029">
        <v>50</v>
      </c>
      <c r="DV33" s="2029">
        <v>50</v>
      </c>
      <c r="DW33" s="1974"/>
      <c r="DX33" s="2029">
        <v>0</v>
      </c>
      <c r="DY33" s="2029">
        <v>0</v>
      </c>
      <c r="DZ33" s="2029">
        <v>0</v>
      </c>
      <c r="EA33" s="2029">
        <v>1000</v>
      </c>
      <c r="EB33" s="2029">
        <v>1000</v>
      </c>
      <c r="EC33" s="2029">
        <v>1000</v>
      </c>
      <c r="ED33" s="2029">
        <v>1000</v>
      </c>
      <c r="EE33" s="2039">
        <f t="shared" si="19"/>
        <v>0</v>
      </c>
      <c r="EF33" s="2039">
        <f t="shared" si="19"/>
        <v>0</v>
      </c>
      <c r="EG33" s="2039">
        <f t="shared" si="19"/>
        <v>0</v>
      </c>
      <c r="EH33" s="2039">
        <f t="shared" si="19"/>
        <v>0</v>
      </c>
      <c r="EI33" s="2040">
        <f t="shared" si="20"/>
        <v>0</v>
      </c>
      <c r="EJ33" s="2040">
        <f t="shared" si="20"/>
        <v>0</v>
      </c>
      <c r="EK33" s="2040">
        <f t="shared" si="20"/>
        <v>0</v>
      </c>
      <c r="EL33" s="2040">
        <f t="shared" si="20"/>
        <v>0</v>
      </c>
      <c r="EM33" s="2040">
        <f t="shared" si="20"/>
        <v>0</v>
      </c>
      <c r="EN33" s="2040">
        <f t="shared" si="20"/>
        <v>0</v>
      </c>
      <c r="EO33" s="2040">
        <f t="shared" si="20"/>
        <v>0</v>
      </c>
      <c r="EP33" s="2040">
        <f t="shared" si="20"/>
        <v>0</v>
      </c>
      <c r="EQ33" s="2040">
        <f t="shared" si="20"/>
        <v>0</v>
      </c>
      <c r="ER33" s="2040">
        <f t="shared" si="20"/>
        <v>0</v>
      </c>
      <c r="ES33" s="2040">
        <f t="shared" si="20"/>
        <v>0</v>
      </c>
      <c r="ET33" s="2040">
        <f t="shared" si="20"/>
        <v>0</v>
      </c>
      <c r="EU33" s="2039">
        <f t="shared" si="21"/>
        <v>0</v>
      </c>
      <c r="EV33" s="2039">
        <f t="shared" si="22"/>
        <v>0</v>
      </c>
    </row>
    <row r="34" spans="1:152" x14ac:dyDescent="0.25">
      <c r="A34" s="2041" t="s">
        <v>215</v>
      </c>
      <c r="B34" s="2022" t="s">
        <v>2888</v>
      </c>
      <c r="C34" s="2023">
        <v>15</v>
      </c>
      <c r="D34" s="2024">
        <v>9363.2099999999991</v>
      </c>
      <c r="E34" s="2024">
        <v>9.27</v>
      </c>
      <c r="F34" s="2023">
        <v>0</v>
      </c>
      <c r="G34" s="2026" t="s">
        <v>20</v>
      </c>
      <c r="H34" s="2026" t="s">
        <v>20</v>
      </c>
      <c r="I34" s="2026">
        <v>0.55700000000000005</v>
      </c>
      <c r="J34" s="2026">
        <v>0.55700000000000005</v>
      </c>
      <c r="K34" s="2026">
        <v>0.55700000000000005</v>
      </c>
      <c r="L34" s="2026">
        <v>0.55700000000000005</v>
      </c>
      <c r="M34" s="2027">
        <f t="shared" si="11"/>
        <v>5215.3079699999998</v>
      </c>
      <c r="N34" s="2027">
        <f t="shared" si="11"/>
        <v>5215.3079699999998</v>
      </c>
      <c r="O34" s="2027">
        <f t="shared" si="11"/>
        <v>5215.3079699999998</v>
      </c>
      <c r="P34" s="2027">
        <f t="shared" si="11"/>
        <v>5215.3079699999998</v>
      </c>
      <c r="Q34" s="2026">
        <v>0.55700000000000005</v>
      </c>
      <c r="R34" s="2026">
        <v>0.55700000000000005</v>
      </c>
      <c r="S34" s="2026">
        <v>0.55700000000000005</v>
      </c>
      <c r="T34" s="2026">
        <v>0.55700000000000005</v>
      </c>
      <c r="U34" s="2028">
        <f t="shared" si="12"/>
        <v>5.1633900000000006</v>
      </c>
      <c r="V34" s="2028">
        <f t="shared" si="12"/>
        <v>5.1633900000000006</v>
      </c>
      <c r="W34" s="2028">
        <f t="shared" si="12"/>
        <v>5.1633900000000006</v>
      </c>
      <c r="X34" s="2028">
        <f t="shared" si="12"/>
        <v>5.1633900000000006</v>
      </c>
      <c r="Y34" s="2026">
        <v>0.49399999999999999</v>
      </c>
      <c r="Z34" s="2026">
        <v>0.49399999999999999</v>
      </c>
      <c r="AA34" s="2026">
        <v>0.49399999999999999</v>
      </c>
      <c r="AB34" s="2026">
        <v>0.49399999999999999</v>
      </c>
      <c r="AC34" s="2027">
        <f t="shared" si="26"/>
        <v>0</v>
      </c>
      <c r="AD34" s="2027">
        <f t="shared" si="26"/>
        <v>0</v>
      </c>
      <c r="AE34" s="2027">
        <f t="shared" si="26"/>
        <v>0</v>
      </c>
      <c r="AF34" s="2027">
        <f t="shared" si="26"/>
        <v>0</v>
      </c>
      <c r="AG34" s="2027">
        <v>5</v>
      </c>
      <c r="AH34" s="2027">
        <v>6</v>
      </c>
      <c r="AI34" s="2027">
        <v>6</v>
      </c>
      <c r="AJ34" s="2027">
        <v>6</v>
      </c>
      <c r="AK34" s="2027">
        <f t="shared" si="27"/>
        <v>26076.539850000001</v>
      </c>
      <c r="AL34" s="2027">
        <f t="shared" si="3"/>
        <v>31291.847819999999</v>
      </c>
      <c r="AM34" s="2027">
        <f t="shared" si="3"/>
        <v>31291.847819999999</v>
      </c>
      <c r="AN34" s="2027">
        <f t="shared" si="3"/>
        <v>31291.847819999999</v>
      </c>
      <c r="AO34" s="2027">
        <f t="shared" si="28"/>
        <v>0</v>
      </c>
      <c r="AP34" s="2027">
        <f t="shared" si="30"/>
        <v>0</v>
      </c>
      <c r="AQ34" s="2027">
        <f t="shared" si="30"/>
        <v>0</v>
      </c>
      <c r="AR34" s="2027">
        <f t="shared" si="29"/>
        <v>0</v>
      </c>
      <c r="AS34" s="2029">
        <v>300</v>
      </c>
      <c r="AT34" s="2029">
        <f t="shared" si="13"/>
        <v>300</v>
      </c>
      <c r="AU34" s="2029">
        <f t="shared" si="13"/>
        <v>300</v>
      </c>
      <c r="AV34" s="2029">
        <f t="shared" si="13"/>
        <v>300</v>
      </c>
      <c r="AW34" s="1974"/>
      <c r="AX34" s="2029">
        <f t="shared" si="14"/>
        <v>0</v>
      </c>
      <c r="AY34" s="2029">
        <f t="shared" si="14"/>
        <v>0</v>
      </c>
      <c r="AZ34" s="2029">
        <f t="shared" si="14"/>
        <v>0</v>
      </c>
      <c r="BA34" s="2029">
        <v>4000</v>
      </c>
      <c r="BB34" s="2029">
        <f t="shared" si="15"/>
        <v>4000</v>
      </c>
      <c r="BC34" s="2029">
        <f t="shared" si="15"/>
        <v>4000</v>
      </c>
      <c r="BD34" s="2029">
        <f t="shared" si="15"/>
        <v>4000</v>
      </c>
      <c r="BE34" s="2030">
        <f t="shared" si="16"/>
        <v>1500</v>
      </c>
      <c r="BF34" s="2030">
        <f t="shared" si="16"/>
        <v>1800</v>
      </c>
      <c r="BG34" s="2030">
        <f t="shared" si="16"/>
        <v>1800</v>
      </c>
      <c r="BH34" s="2030">
        <f t="shared" si="16"/>
        <v>1800</v>
      </c>
      <c r="BI34" s="2030">
        <f t="shared" si="17"/>
        <v>0</v>
      </c>
      <c r="BJ34" s="2030">
        <f t="shared" si="17"/>
        <v>0</v>
      </c>
      <c r="BK34" s="2030">
        <f t="shared" si="17"/>
        <v>0</v>
      </c>
      <c r="BL34" s="2030">
        <f t="shared" si="17"/>
        <v>0</v>
      </c>
      <c r="BM34" s="2031"/>
      <c r="BN34" s="2031"/>
      <c r="BO34" s="2031"/>
      <c r="BP34" s="2031"/>
      <c r="BQ34" s="2031"/>
      <c r="BR34" s="2031"/>
      <c r="BS34" s="2031"/>
      <c r="BT34" s="2031"/>
      <c r="BU34" s="2029"/>
      <c r="BV34" s="2029"/>
      <c r="BW34" s="2029"/>
      <c r="BX34" s="2029"/>
      <c r="BY34" s="2029"/>
      <c r="BZ34" s="2032"/>
      <c r="CA34" s="1974"/>
      <c r="CB34" s="1974"/>
      <c r="CC34" s="1974"/>
      <c r="CD34" s="1974"/>
      <c r="CE34" s="1974">
        <v>0</v>
      </c>
      <c r="CF34" s="2033">
        <v>1.0900871910021608E-4</v>
      </c>
      <c r="CG34" s="2026">
        <v>0</v>
      </c>
      <c r="CH34" s="2009">
        <v>0</v>
      </c>
      <c r="CI34" s="2029">
        <v>0</v>
      </c>
      <c r="CK34" s="2029">
        <f t="shared" si="18"/>
        <v>0</v>
      </c>
      <c r="CL34" s="2034">
        <v>1</v>
      </c>
      <c r="CM34" s="2034">
        <v>1</v>
      </c>
      <c r="CN34" s="2034">
        <v>1</v>
      </c>
      <c r="CO34" s="2034">
        <v>1</v>
      </c>
      <c r="CP34" s="2035"/>
      <c r="CQ34" s="2036"/>
      <c r="CR34" s="2036"/>
      <c r="CS34" s="2036"/>
      <c r="CT34" s="2036"/>
      <c r="CU34" s="2036"/>
      <c r="CW34" s="1973">
        <v>0</v>
      </c>
      <c r="CX34" s="2037">
        <v>300</v>
      </c>
      <c r="CY34" s="2037">
        <v>300</v>
      </c>
      <c r="CZ34" s="2037">
        <v>300</v>
      </c>
      <c r="DA34" s="2037">
        <v>300</v>
      </c>
      <c r="DJ34" s="1976">
        <v>300</v>
      </c>
      <c r="DK34" s="1973">
        <v>300</v>
      </c>
      <c r="DL34" s="1973">
        <v>300</v>
      </c>
      <c r="DM34" s="1973">
        <v>300</v>
      </c>
      <c r="DO34" s="2023">
        <v>15</v>
      </c>
      <c r="DP34" s="2024">
        <v>9363.2099999999991</v>
      </c>
      <c r="DQ34" s="2024">
        <v>9.27</v>
      </c>
      <c r="DR34" s="2023">
        <v>0</v>
      </c>
      <c r="DS34" s="2029">
        <v>300</v>
      </c>
      <c r="DT34" s="2029">
        <v>300</v>
      </c>
      <c r="DU34" s="2029">
        <v>300</v>
      </c>
      <c r="DV34" s="2029">
        <v>300</v>
      </c>
      <c r="DW34" s="1974"/>
      <c r="DX34" s="2029">
        <v>0</v>
      </c>
      <c r="DY34" s="2029">
        <v>0</v>
      </c>
      <c r="DZ34" s="2029">
        <v>0</v>
      </c>
      <c r="EA34" s="2029">
        <v>4000</v>
      </c>
      <c r="EB34" s="2029">
        <v>4000</v>
      </c>
      <c r="EC34" s="2029">
        <v>4000</v>
      </c>
      <c r="ED34" s="2029">
        <v>4000</v>
      </c>
      <c r="EE34" s="2039">
        <f t="shared" si="19"/>
        <v>0</v>
      </c>
      <c r="EF34" s="2039">
        <f t="shared" si="19"/>
        <v>0</v>
      </c>
      <c r="EG34" s="2039">
        <f t="shared" si="19"/>
        <v>0</v>
      </c>
      <c r="EH34" s="2039">
        <f t="shared" si="19"/>
        <v>0</v>
      </c>
      <c r="EI34" s="2040">
        <f t="shared" si="20"/>
        <v>0</v>
      </c>
      <c r="EJ34" s="2040">
        <f t="shared" si="20"/>
        <v>0</v>
      </c>
      <c r="EK34" s="2040">
        <f t="shared" si="20"/>
        <v>0</v>
      </c>
      <c r="EL34" s="2040">
        <f t="shared" si="20"/>
        <v>0</v>
      </c>
      <c r="EM34" s="2040">
        <f t="shared" si="20"/>
        <v>0</v>
      </c>
      <c r="EN34" s="2040">
        <f t="shared" si="20"/>
        <v>0</v>
      </c>
      <c r="EO34" s="2040">
        <f t="shared" si="20"/>
        <v>0</v>
      </c>
      <c r="EP34" s="2040">
        <f t="shared" si="20"/>
        <v>0</v>
      </c>
      <c r="EQ34" s="2040">
        <f t="shared" si="20"/>
        <v>0</v>
      </c>
      <c r="ER34" s="2040">
        <f t="shared" si="20"/>
        <v>0</v>
      </c>
      <c r="ES34" s="2040">
        <f t="shared" si="20"/>
        <v>0</v>
      </c>
      <c r="ET34" s="2040">
        <f t="shared" si="20"/>
        <v>0</v>
      </c>
      <c r="EU34" s="2039">
        <f t="shared" si="21"/>
        <v>0</v>
      </c>
      <c r="EV34" s="2039">
        <f t="shared" si="22"/>
        <v>0</v>
      </c>
    </row>
    <row r="35" spans="1:152" x14ac:dyDescent="0.25">
      <c r="A35" s="2041" t="s">
        <v>216</v>
      </c>
      <c r="B35" s="2022" t="s">
        <v>2889</v>
      </c>
      <c r="C35" s="2023">
        <v>15</v>
      </c>
      <c r="D35" s="2024">
        <v>15220.95</v>
      </c>
      <c r="E35" s="2024">
        <v>15.56</v>
      </c>
      <c r="F35" s="2023">
        <v>0</v>
      </c>
      <c r="G35" s="2026" t="s">
        <v>20</v>
      </c>
      <c r="H35" s="2026" t="s">
        <v>20</v>
      </c>
      <c r="I35" s="2026">
        <v>0.55700000000000005</v>
      </c>
      <c r="J35" s="2026">
        <v>0.55700000000000005</v>
      </c>
      <c r="K35" s="2026">
        <v>0.55700000000000005</v>
      </c>
      <c r="L35" s="2026">
        <v>0.55700000000000005</v>
      </c>
      <c r="M35" s="2027">
        <f t="shared" si="11"/>
        <v>8478.0691500000012</v>
      </c>
      <c r="N35" s="2027">
        <f t="shared" si="11"/>
        <v>8478.0691500000012</v>
      </c>
      <c r="O35" s="2027">
        <f t="shared" si="11"/>
        <v>8478.0691500000012</v>
      </c>
      <c r="P35" s="2027">
        <f t="shared" si="11"/>
        <v>8478.0691500000012</v>
      </c>
      <c r="Q35" s="2026">
        <v>0.55700000000000005</v>
      </c>
      <c r="R35" s="2026">
        <v>0.55700000000000005</v>
      </c>
      <c r="S35" s="2026">
        <v>0.55700000000000005</v>
      </c>
      <c r="T35" s="2026">
        <v>0.55700000000000005</v>
      </c>
      <c r="U35" s="2028">
        <f t="shared" si="12"/>
        <v>8.6669200000000011</v>
      </c>
      <c r="V35" s="2028">
        <f t="shared" si="12"/>
        <v>8.6669200000000011</v>
      </c>
      <c r="W35" s="2028">
        <f t="shared" si="12"/>
        <v>8.6669200000000011</v>
      </c>
      <c r="X35" s="2028">
        <f t="shared" si="12"/>
        <v>8.6669200000000011</v>
      </c>
      <c r="Y35" s="2026">
        <v>0.49399999999999999</v>
      </c>
      <c r="Z35" s="2026">
        <v>0.49399999999999999</v>
      </c>
      <c r="AA35" s="2026">
        <v>0.49399999999999999</v>
      </c>
      <c r="AB35" s="2026">
        <v>0.49399999999999999</v>
      </c>
      <c r="AC35" s="2027">
        <f t="shared" si="26"/>
        <v>0</v>
      </c>
      <c r="AD35" s="2027">
        <f t="shared" si="26"/>
        <v>0</v>
      </c>
      <c r="AE35" s="2027">
        <f t="shared" si="26"/>
        <v>0</v>
      </c>
      <c r="AF35" s="2027">
        <f t="shared" si="26"/>
        <v>0</v>
      </c>
      <c r="AG35" s="2027">
        <v>5</v>
      </c>
      <c r="AH35" s="2027">
        <v>6</v>
      </c>
      <c r="AI35" s="2027">
        <v>6</v>
      </c>
      <c r="AJ35" s="2027">
        <v>6</v>
      </c>
      <c r="AK35" s="2027">
        <f t="shared" si="27"/>
        <v>42390.345750000008</v>
      </c>
      <c r="AL35" s="2027">
        <f t="shared" si="3"/>
        <v>50868.414900000003</v>
      </c>
      <c r="AM35" s="2027">
        <f t="shared" si="3"/>
        <v>50868.414900000003</v>
      </c>
      <c r="AN35" s="2027">
        <f t="shared" si="3"/>
        <v>50868.414900000003</v>
      </c>
      <c r="AO35" s="2027">
        <f t="shared" si="28"/>
        <v>0</v>
      </c>
      <c r="AP35" s="2027">
        <f t="shared" si="30"/>
        <v>0</v>
      </c>
      <c r="AQ35" s="2027">
        <f t="shared" si="30"/>
        <v>0</v>
      </c>
      <c r="AR35" s="2027">
        <f t="shared" si="29"/>
        <v>0</v>
      </c>
      <c r="AS35" s="2029">
        <v>500</v>
      </c>
      <c r="AT35" s="2029">
        <f t="shared" si="13"/>
        <v>500</v>
      </c>
      <c r="AU35" s="2029">
        <f t="shared" si="13"/>
        <v>500</v>
      </c>
      <c r="AV35" s="2029">
        <f t="shared" si="13"/>
        <v>500</v>
      </c>
      <c r="AW35" s="1974"/>
      <c r="AX35" s="2029">
        <f t="shared" si="14"/>
        <v>0</v>
      </c>
      <c r="AY35" s="2029">
        <f t="shared" si="14"/>
        <v>0</v>
      </c>
      <c r="AZ35" s="2029">
        <f t="shared" si="14"/>
        <v>0</v>
      </c>
      <c r="BA35" s="2029">
        <v>6500</v>
      </c>
      <c r="BB35" s="2029">
        <f t="shared" si="15"/>
        <v>6500</v>
      </c>
      <c r="BC35" s="2029">
        <f t="shared" si="15"/>
        <v>6500</v>
      </c>
      <c r="BD35" s="2029">
        <f t="shared" si="15"/>
        <v>6500</v>
      </c>
      <c r="BE35" s="2030">
        <f t="shared" si="16"/>
        <v>2500</v>
      </c>
      <c r="BF35" s="2030">
        <f t="shared" si="16"/>
        <v>3000</v>
      </c>
      <c r="BG35" s="2030">
        <f t="shared" si="16"/>
        <v>3000</v>
      </c>
      <c r="BH35" s="2030">
        <f>AV35*AJ35</f>
        <v>3000</v>
      </c>
      <c r="BI35" s="2030">
        <f t="shared" si="17"/>
        <v>0</v>
      </c>
      <c r="BJ35" s="2030">
        <f t="shared" si="17"/>
        <v>0</v>
      </c>
      <c r="BK35" s="2030">
        <f t="shared" si="17"/>
        <v>0</v>
      </c>
      <c r="BL35" s="2030">
        <f t="shared" si="17"/>
        <v>0</v>
      </c>
      <c r="BM35" s="2031"/>
      <c r="BN35" s="2031"/>
      <c r="BO35" s="2031"/>
      <c r="BP35" s="2031"/>
      <c r="BQ35" s="2031"/>
      <c r="BR35" s="2031"/>
      <c r="BS35" s="2031"/>
      <c r="BT35" s="2031"/>
      <c r="BU35" s="2029"/>
      <c r="BV35" s="2029"/>
      <c r="BW35" s="2029"/>
      <c r="BX35" s="2029"/>
      <c r="BY35" s="2029"/>
      <c r="BZ35" s="2032"/>
      <c r="CA35" s="1974"/>
      <c r="CB35" s="1974"/>
      <c r="CC35" s="1974"/>
      <c r="CD35" s="1974"/>
      <c r="CE35" s="1974">
        <v>0</v>
      </c>
      <c r="CF35" s="2033">
        <v>1.7720592221988338E-4</v>
      </c>
      <c r="CG35" s="2026">
        <v>0</v>
      </c>
      <c r="CH35" s="2009">
        <v>0</v>
      </c>
      <c r="CI35" s="2029">
        <v>0</v>
      </c>
      <c r="CK35" s="2029">
        <f t="shared" si="18"/>
        <v>0</v>
      </c>
      <c r="CL35" s="2034">
        <v>1</v>
      </c>
      <c r="CM35" s="2034">
        <v>1</v>
      </c>
      <c r="CN35" s="2034">
        <v>1</v>
      </c>
      <c r="CO35" s="2034">
        <v>1</v>
      </c>
      <c r="CP35" s="2035"/>
      <c r="CQ35" s="2036"/>
      <c r="CR35" s="2036"/>
      <c r="CS35" s="2036"/>
      <c r="CT35" s="2036"/>
      <c r="CU35" s="2036"/>
      <c r="CW35" s="1973">
        <v>0</v>
      </c>
      <c r="CX35" s="2037">
        <v>500</v>
      </c>
      <c r="CY35" s="2037">
        <v>500</v>
      </c>
      <c r="CZ35" s="2037">
        <v>500</v>
      </c>
      <c r="DA35" s="2037">
        <v>500</v>
      </c>
      <c r="DJ35" s="1976">
        <v>500</v>
      </c>
      <c r="DK35" s="1973">
        <v>500</v>
      </c>
      <c r="DL35" s="1973">
        <v>500</v>
      </c>
      <c r="DM35" s="1973">
        <v>500</v>
      </c>
      <c r="DO35" s="2023">
        <v>15</v>
      </c>
      <c r="DP35" s="2024">
        <v>15220.95</v>
      </c>
      <c r="DQ35" s="2024">
        <v>15.56</v>
      </c>
      <c r="DR35" s="2023">
        <v>0</v>
      </c>
      <c r="DS35" s="2029">
        <v>500</v>
      </c>
      <c r="DT35" s="2029">
        <v>500</v>
      </c>
      <c r="DU35" s="2029">
        <v>500</v>
      </c>
      <c r="DV35" s="2029">
        <v>500</v>
      </c>
      <c r="DW35" s="1974"/>
      <c r="DX35" s="2029">
        <v>0</v>
      </c>
      <c r="DY35" s="2029">
        <v>0</v>
      </c>
      <c r="DZ35" s="2029">
        <v>0</v>
      </c>
      <c r="EA35" s="2029">
        <v>6500</v>
      </c>
      <c r="EB35" s="2029">
        <v>6500</v>
      </c>
      <c r="EC35" s="2029">
        <v>6500</v>
      </c>
      <c r="ED35" s="2029">
        <v>6500</v>
      </c>
      <c r="EE35" s="2039">
        <f t="shared" si="19"/>
        <v>0</v>
      </c>
      <c r="EF35" s="2039">
        <f t="shared" si="19"/>
        <v>0</v>
      </c>
      <c r="EG35" s="2039">
        <f t="shared" si="19"/>
        <v>0</v>
      </c>
      <c r="EH35" s="2039">
        <f t="shared" si="19"/>
        <v>0</v>
      </c>
      <c r="EI35" s="2040">
        <f t="shared" si="20"/>
        <v>0</v>
      </c>
      <c r="EJ35" s="2040">
        <f t="shared" si="20"/>
        <v>0</v>
      </c>
      <c r="EK35" s="2040">
        <f t="shared" si="20"/>
        <v>0</v>
      </c>
      <c r="EL35" s="2040">
        <f t="shared" si="20"/>
        <v>0</v>
      </c>
      <c r="EM35" s="2040">
        <f t="shared" si="20"/>
        <v>0</v>
      </c>
      <c r="EN35" s="2040">
        <f t="shared" si="20"/>
        <v>0</v>
      </c>
      <c r="EO35" s="2040">
        <f t="shared" si="20"/>
        <v>0</v>
      </c>
      <c r="EP35" s="2040">
        <f t="shared" si="20"/>
        <v>0</v>
      </c>
      <c r="EQ35" s="2040">
        <f t="shared" si="20"/>
        <v>0</v>
      </c>
      <c r="ER35" s="2040">
        <f t="shared" si="20"/>
        <v>0</v>
      </c>
      <c r="ES35" s="2040">
        <f t="shared" si="20"/>
        <v>0</v>
      </c>
      <c r="ET35" s="2040">
        <f t="shared" si="20"/>
        <v>0</v>
      </c>
      <c r="EU35" s="2039">
        <f t="shared" si="21"/>
        <v>0</v>
      </c>
      <c r="EV35" s="2039">
        <f t="shared" si="22"/>
        <v>0</v>
      </c>
    </row>
    <row r="36" spans="1:152" x14ac:dyDescent="0.25">
      <c r="A36" s="2041" t="s">
        <v>217</v>
      </c>
      <c r="B36" s="2022" t="s">
        <v>2890</v>
      </c>
      <c r="C36" s="2543">
        <v>23</v>
      </c>
      <c r="D36" s="2024">
        <v>7993</v>
      </c>
      <c r="E36" s="2024">
        <v>6.66</v>
      </c>
      <c r="F36" s="2023">
        <v>0</v>
      </c>
      <c r="G36" s="2026" t="s">
        <v>20</v>
      </c>
      <c r="H36" s="2026" t="s">
        <v>20</v>
      </c>
      <c r="I36" s="2026">
        <v>0.55700000000000005</v>
      </c>
      <c r="J36" s="2026">
        <v>0.55700000000000005</v>
      </c>
      <c r="K36" s="2026">
        <v>0.55700000000000005</v>
      </c>
      <c r="L36" s="2026">
        <v>0.55700000000000005</v>
      </c>
      <c r="M36" s="2027">
        <f t="shared" si="11"/>
        <v>4452.1010000000006</v>
      </c>
      <c r="N36" s="2027">
        <f t="shared" si="11"/>
        <v>4452.1010000000006</v>
      </c>
      <c r="O36" s="2027">
        <f t="shared" si="11"/>
        <v>4452.1010000000006</v>
      </c>
      <c r="P36" s="2027">
        <f t="shared" si="11"/>
        <v>4452.1010000000006</v>
      </c>
      <c r="Q36" s="2026">
        <v>0.55700000000000005</v>
      </c>
      <c r="R36" s="2026">
        <v>0.55700000000000005</v>
      </c>
      <c r="S36" s="2026">
        <v>0.55700000000000005</v>
      </c>
      <c r="T36" s="2026">
        <v>0.55700000000000005</v>
      </c>
      <c r="U36" s="2028">
        <f t="shared" si="12"/>
        <v>3.7096200000000006</v>
      </c>
      <c r="V36" s="2028">
        <f t="shared" si="12"/>
        <v>3.7096200000000006</v>
      </c>
      <c r="W36" s="2028">
        <f t="shared" si="12"/>
        <v>3.7096200000000006</v>
      </c>
      <c r="X36" s="2028">
        <f t="shared" si="12"/>
        <v>3.7096200000000006</v>
      </c>
      <c r="Y36" s="2026">
        <v>0.49399999999999999</v>
      </c>
      <c r="Z36" s="2026">
        <v>0.49399999999999999</v>
      </c>
      <c r="AA36" s="2026">
        <v>0.49399999999999999</v>
      </c>
      <c r="AB36" s="2026">
        <v>0.49399999999999999</v>
      </c>
      <c r="AC36" s="2027">
        <f t="shared" si="26"/>
        <v>0</v>
      </c>
      <c r="AD36" s="2027">
        <f t="shared" si="26"/>
        <v>0</v>
      </c>
      <c r="AE36" s="2027">
        <f t="shared" si="26"/>
        <v>0</v>
      </c>
      <c r="AF36" s="2027">
        <f t="shared" si="26"/>
        <v>0</v>
      </c>
      <c r="AG36" s="2027">
        <v>5</v>
      </c>
      <c r="AH36" s="2027">
        <v>6</v>
      </c>
      <c r="AI36" s="2027">
        <v>6</v>
      </c>
      <c r="AJ36" s="2027">
        <v>6</v>
      </c>
      <c r="AK36" s="2027">
        <f t="shared" si="27"/>
        <v>22260.505000000005</v>
      </c>
      <c r="AL36" s="2027">
        <f t="shared" si="3"/>
        <v>26712.606000000003</v>
      </c>
      <c r="AM36" s="2027">
        <f t="shared" si="3"/>
        <v>26712.606000000003</v>
      </c>
      <c r="AN36" s="2027">
        <f t="shared" si="3"/>
        <v>26712.606000000003</v>
      </c>
      <c r="AO36" s="2027">
        <f t="shared" si="28"/>
        <v>0</v>
      </c>
      <c r="AP36" s="2027">
        <f t="shared" si="30"/>
        <v>0</v>
      </c>
      <c r="AQ36" s="2027">
        <f t="shared" si="30"/>
        <v>0</v>
      </c>
      <c r="AR36" s="2027">
        <f t="shared" si="29"/>
        <v>0</v>
      </c>
      <c r="AS36" s="2029">
        <v>500</v>
      </c>
      <c r="AT36" s="2029">
        <f t="shared" si="13"/>
        <v>500</v>
      </c>
      <c r="AU36" s="2029">
        <f t="shared" si="13"/>
        <v>500</v>
      </c>
      <c r="AV36" s="2029">
        <f t="shared" si="13"/>
        <v>500</v>
      </c>
      <c r="AW36" s="1974"/>
      <c r="AX36" s="2029">
        <f t="shared" si="14"/>
        <v>0</v>
      </c>
      <c r="AY36" s="2029">
        <f t="shared" si="14"/>
        <v>0</v>
      </c>
      <c r="AZ36" s="2029">
        <f t="shared" si="14"/>
        <v>0</v>
      </c>
      <c r="BA36" s="2029">
        <v>9525</v>
      </c>
      <c r="BB36" s="2029">
        <f t="shared" si="15"/>
        <v>9525</v>
      </c>
      <c r="BC36" s="2029">
        <f t="shared" si="15"/>
        <v>9525</v>
      </c>
      <c r="BD36" s="2029">
        <f t="shared" si="15"/>
        <v>9525</v>
      </c>
      <c r="BE36" s="2030">
        <f t="shared" si="16"/>
        <v>2500</v>
      </c>
      <c r="BF36" s="2030">
        <f t="shared" si="16"/>
        <v>3000</v>
      </c>
      <c r="BG36" s="2030">
        <f t="shared" si="16"/>
        <v>3000</v>
      </c>
      <c r="BH36" s="2030">
        <f t="shared" si="16"/>
        <v>3000</v>
      </c>
      <c r="BI36" s="2030">
        <f t="shared" si="17"/>
        <v>0</v>
      </c>
      <c r="BJ36" s="2030">
        <f t="shared" si="17"/>
        <v>0</v>
      </c>
      <c r="BK36" s="2030">
        <f t="shared" si="17"/>
        <v>0</v>
      </c>
      <c r="BL36" s="2030">
        <f t="shared" si="17"/>
        <v>0</v>
      </c>
      <c r="BM36" s="2031"/>
      <c r="BN36" s="2031"/>
      <c r="BO36" s="2031"/>
      <c r="BP36" s="2031"/>
      <c r="BQ36" s="2031"/>
      <c r="BR36" s="2031"/>
      <c r="BS36" s="2031"/>
      <c r="BT36" s="2031"/>
      <c r="BU36" s="2029"/>
      <c r="BV36" s="2029"/>
      <c r="BW36" s="2029"/>
      <c r="BX36" s="2029"/>
      <c r="BY36" s="2029"/>
      <c r="BZ36" s="2032"/>
      <c r="CA36" s="1974"/>
      <c r="CB36" s="1974"/>
      <c r="CC36" s="1974"/>
      <c r="CD36" s="1974"/>
      <c r="CE36" s="1974">
        <v>0</v>
      </c>
      <c r="CF36" s="2033">
        <v>9.3056408194201271E-5</v>
      </c>
      <c r="CG36" s="2026">
        <v>0</v>
      </c>
      <c r="CH36" s="2009">
        <v>0</v>
      </c>
      <c r="CI36" s="2029">
        <v>0</v>
      </c>
      <c r="CK36" s="2029">
        <f t="shared" si="18"/>
        <v>0</v>
      </c>
      <c r="CL36" s="2034">
        <v>1</v>
      </c>
      <c r="CM36" s="2034">
        <v>1</v>
      </c>
      <c r="CN36" s="2034">
        <v>1</v>
      </c>
      <c r="CO36" s="2034">
        <v>1</v>
      </c>
      <c r="CP36" s="2035"/>
      <c r="CQ36" s="2036"/>
      <c r="CR36" s="2036"/>
      <c r="CS36" s="2036"/>
      <c r="CT36" s="2036"/>
      <c r="CU36" s="2036"/>
      <c r="CW36" s="1973">
        <v>0</v>
      </c>
      <c r="CX36" s="2037">
        <v>500</v>
      </c>
      <c r="CY36" s="2037">
        <v>500</v>
      </c>
      <c r="CZ36" s="2037">
        <v>500</v>
      </c>
      <c r="DA36" s="2037">
        <v>500</v>
      </c>
      <c r="DJ36" s="1976">
        <v>500</v>
      </c>
      <c r="DK36" s="1973">
        <v>500</v>
      </c>
      <c r="DL36" s="1973">
        <v>500</v>
      </c>
      <c r="DM36" s="1973">
        <v>500</v>
      </c>
      <c r="DO36" s="2023">
        <v>20</v>
      </c>
      <c r="DP36" s="2024">
        <v>7993</v>
      </c>
      <c r="DQ36" s="2024">
        <v>6.66</v>
      </c>
      <c r="DR36" s="2023">
        <v>0</v>
      </c>
      <c r="DS36" s="2029">
        <v>500</v>
      </c>
      <c r="DT36" s="2029">
        <v>500</v>
      </c>
      <c r="DU36" s="2029">
        <v>500</v>
      </c>
      <c r="DV36" s="2029">
        <v>500</v>
      </c>
      <c r="DW36" s="1974"/>
      <c r="DX36" s="2029">
        <v>0</v>
      </c>
      <c r="DY36" s="2029">
        <v>0</v>
      </c>
      <c r="DZ36" s="2029">
        <v>0</v>
      </c>
      <c r="EA36" s="2029">
        <v>9525</v>
      </c>
      <c r="EB36" s="2029">
        <v>9525</v>
      </c>
      <c r="EC36" s="2029">
        <v>9525</v>
      </c>
      <c r="ED36" s="2029">
        <v>9525</v>
      </c>
      <c r="EE36" s="2039">
        <f t="shared" si="19"/>
        <v>3</v>
      </c>
      <c r="EF36" s="2039">
        <f t="shared" si="19"/>
        <v>0</v>
      </c>
      <c r="EG36" s="2039">
        <f t="shared" si="19"/>
        <v>0</v>
      </c>
      <c r="EH36" s="2039">
        <f t="shared" si="19"/>
        <v>0</v>
      </c>
      <c r="EI36" s="2040">
        <f t="shared" si="20"/>
        <v>0</v>
      </c>
      <c r="EJ36" s="2040">
        <f t="shared" si="20"/>
        <v>0</v>
      </c>
      <c r="EK36" s="2040">
        <f t="shared" si="20"/>
        <v>0</v>
      </c>
      <c r="EL36" s="2040">
        <f t="shared" si="20"/>
        <v>0</v>
      </c>
      <c r="EM36" s="2040">
        <f t="shared" si="20"/>
        <v>0</v>
      </c>
      <c r="EN36" s="2040">
        <f t="shared" si="20"/>
        <v>0</v>
      </c>
      <c r="EO36" s="2040">
        <f t="shared" si="20"/>
        <v>0</v>
      </c>
      <c r="EP36" s="2040">
        <f t="shared" si="20"/>
        <v>0</v>
      </c>
      <c r="EQ36" s="2040">
        <f t="shared" si="20"/>
        <v>0</v>
      </c>
      <c r="ER36" s="2040">
        <f t="shared" si="20"/>
        <v>0</v>
      </c>
      <c r="ES36" s="2040">
        <f t="shared" si="20"/>
        <v>0</v>
      </c>
      <c r="ET36" s="2040">
        <f t="shared" si="20"/>
        <v>0</v>
      </c>
      <c r="EU36" s="2039">
        <f t="shared" si="21"/>
        <v>3</v>
      </c>
      <c r="EV36" s="2039">
        <f t="shared" si="22"/>
        <v>3</v>
      </c>
    </row>
    <row r="37" spans="1:152" x14ac:dyDescent="0.25">
      <c r="A37" s="2041" t="s">
        <v>218</v>
      </c>
      <c r="B37" s="2022" t="s">
        <v>2891</v>
      </c>
      <c r="C37" s="2023">
        <v>15</v>
      </c>
      <c r="D37" s="2024">
        <v>2850.2260000000001</v>
      </c>
      <c r="E37" s="2024">
        <v>2.84</v>
      </c>
      <c r="F37" s="2023">
        <v>0</v>
      </c>
      <c r="G37" s="2026" t="s">
        <v>20</v>
      </c>
      <c r="H37" s="2026" t="s">
        <v>20</v>
      </c>
      <c r="I37" s="2026">
        <v>0.55700000000000005</v>
      </c>
      <c r="J37" s="2026">
        <v>0.55700000000000005</v>
      </c>
      <c r="K37" s="2026">
        <v>0.55700000000000005</v>
      </c>
      <c r="L37" s="2026">
        <v>0.55700000000000005</v>
      </c>
      <c r="M37" s="2027">
        <f t="shared" si="11"/>
        <v>1587.5758820000003</v>
      </c>
      <c r="N37" s="2027">
        <f t="shared" si="11"/>
        <v>1587.5758820000003</v>
      </c>
      <c r="O37" s="2027">
        <f t="shared" si="11"/>
        <v>1587.5758820000003</v>
      </c>
      <c r="P37" s="2027">
        <f t="shared" si="11"/>
        <v>1587.5758820000003</v>
      </c>
      <c r="Q37" s="2026">
        <v>0.55700000000000005</v>
      </c>
      <c r="R37" s="2026">
        <v>0.55700000000000005</v>
      </c>
      <c r="S37" s="2026">
        <v>0.55700000000000005</v>
      </c>
      <c r="T37" s="2026">
        <v>0.55700000000000005</v>
      </c>
      <c r="U37" s="2028">
        <f t="shared" si="12"/>
        <v>1.5818800000000002</v>
      </c>
      <c r="V37" s="2028">
        <f t="shared" si="12"/>
        <v>1.5818800000000002</v>
      </c>
      <c r="W37" s="2028">
        <f t="shared" si="12"/>
        <v>1.5818800000000002</v>
      </c>
      <c r="X37" s="2028">
        <f t="shared" si="12"/>
        <v>1.5818800000000002</v>
      </c>
      <c r="Y37" s="2026">
        <v>0.49399999999999999</v>
      </c>
      <c r="Z37" s="2026">
        <v>0.49399999999999999</v>
      </c>
      <c r="AA37" s="2026">
        <v>0.49399999999999999</v>
      </c>
      <c r="AB37" s="2026">
        <v>0.49399999999999999</v>
      </c>
      <c r="AC37" s="2027">
        <f t="shared" si="26"/>
        <v>0</v>
      </c>
      <c r="AD37" s="2027">
        <f t="shared" si="26"/>
        <v>0</v>
      </c>
      <c r="AE37" s="2027">
        <f t="shared" si="26"/>
        <v>0</v>
      </c>
      <c r="AF37" s="2027">
        <f t="shared" si="26"/>
        <v>0</v>
      </c>
      <c r="AG37" s="2027">
        <v>5</v>
      </c>
      <c r="AH37" s="2027">
        <v>6</v>
      </c>
      <c r="AI37" s="2027">
        <v>6</v>
      </c>
      <c r="AJ37" s="2027">
        <v>6</v>
      </c>
      <c r="AK37" s="2027">
        <f t="shared" si="27"/>
        <v>7937.8794100000014</v>
      </c>
      <c r="AL37" s="2027">
        <f t="shared" si="3"/>
        <v>9525.4552920000024</v>
      </c>
      <c r="AM37" s="2027">
        <f t="shared" si="3"/>
        <v>9525.4552920000024</v>
      </c>
      <c r="AN37" s="2027">
        <f t="shared" si="3"/>
        <v>9525.4552920000024</v>
      </c>
      <c r="AO37" s="2027">
        <f t="shared" si="28"/>
        <v>0</v>
      </c>
      <c r="AP37" s="2027">
        <f t="shared" si="30"/>
        <v>0</v>
      </c>
      <c r="AQ37" s="2027">
        <f t="shared" si="30"/>
        <v>0</v>
      </c>
      <c r="AR37" s="2027">
        <f t="shared" si="29"/>
        <v>0</v>
      </c>
      <c r="AS37" s="2029">
        <v>150</v>
      </c>
      <c r="AT37" s="2029">
        <f t="shared" si="13"/>
        <v>150</v>
      </c>
      <c r="AU37" s="2029">
        <f t="shared" si="13"/>
        <v>150</v>
      </c>
      <c r="AV37" s="2029">
        <f t="shared" si="13"/>
        <v>150</v>
      </c>
      <c r="AW37" s="1974"/>
      <c r="AX37" s="2029">
        <f t="shared" si="14"/>
        <v>0</v>
      </c>
      <c r="AY37" s="2029">
        <f t="shared" si="14"/>
        <v>0</v>
      </c>
      <c r="AZ37" s="2029">
        <f t="shared" si="14"/>
        <v>0</v>
      </c>
      <c r="BA37" s="2029">
        <v>1563</v>
      </c>
      <c r="BB37" s="2029">
        <f t="shared" si="15"/>
        <v>1563</v>
      </c>
      <c r="BC37" s="2029">
        <f t="shared" si="15"/>
        <v>1563</v>
      </c>
      <c r="BD37" s="2029">
        <f t="shared" si="15"/>
        <v>1563</v>
      </c>
      <c r="BE37" s="2030">
        <f t="shared" si="16"/>
        <v>750</v>
      </c>
      <c r="BF37" s="2030">
        <f t="shared" si="16"/>
        <v>900</v>
      </c>
      <c r="BG37" s="2030">
        <f t="shared" si="16"/>
        <v>900</v>
      </c>
      <c r="BH37" s="2030">
        <f t="shared" si="16"/>
        <v>900</v>
      </c>
      <c r="BI37" s="2030">
        <f t="shared" si="17"/>
        <v>0</v>
      </c>
      <c r="BJ37" s="2030">
        <f t="shared" si="17"/>
        <v>0</v>
      </c>
      <c r="BK37" s="2030">
        <f t="shared" si="17"/>
        <v>0</v>
      </c>
      <c r="BL37" s="2030">
        <f t="shared" si="17"/>
        <v>0</v>
      </c>
      <c r="BM37" s="2031"/>
      <c r="BN37" s="2031"/>
      <c r="BO37" s="2031"/>
      <c r="BP37" s="2031"/>
      <c r="BQ37" s="2031"/>
      <c r="BR37" s="2031"/>
      <c r="BS37" s="2031"/>
      <c r="BT37" s="2031"/>
      <c r="BU37" s="2029"/>
      <c r="BV37" s="2029"/>
      <c r="BW37" s="2029"/>
      <c r="BX37" s="2029"/>
      <c r="BY37" s="2029"/>
      <c r="BZ37" s="2032"/>
      <c r="CA37" s="1974"/>
      <c r="CB37" s="1974"/>
      <c r="CC37" s="1974"/>
      <c r="CD37" s="1974"/>
      <c r="CE37" s="1974">
        <v>0</v>
      </c>
      <c r="CF37" s="2033">
        <v>3.318300939593713E-5</v>
      </c>
      <c r="CG37" s="2026">
        <v>0</v>
      </c>
      <c r="CH37" s="2009">
        <v>0</v>
      </c>
      <c r="CI37" s="2029">
        <v>0</v>
      </c>
      <c r="CK37" s="2029">
        <f t="shared" si="18"/>
        <v>0</v>
      </c>
      <c r="CL37" s="2034">
        <v>1</v>
      </c>
      <c r="CM37" s="2034">
        <v>1</v>
      </c>
      <c r="CN37" s="2034">
        <v>1</v>
      </c>
      <c r="CO37" s="2034">
        <v>1</v>
      </c>
      <c r="CP37" s="2035"/>
      <c r="CQ37" s="2036"/>
      <c r="CR37" s="2036"/>
      <c r="CS37" s="2036"/>
      <c r="CT37" s="2036"/>
      <c r="CU37" s="2036"/>
      <c r="CW37" s="1973">
        <v>0</v>
      </c>
      <c r="CX37" s="2037">
        <v>150</v>
      </c>
      <c r="CY37" s="2037">
        <v>150</v>
      </c>
      <c r="CZ37" s="2037">
        <v>150</v>
      </c>
      <c r="DA37" s="2037">
        <v>150</v>
      </c>
      <c r="DJ37" s="1976">
        <v>150</v>
      </c>
      <c r="DK37" s="1973">
        <v>150</v>
      </c>
      <c r="DL37" s="1973">
        <v>150</v>
      </c>
      <c r="DM37" s="1973">
        <v>150</v>
      </c>
      <c r="DO37" s="2023">
        <v>15</v>
      </c>
      <c r="DP37" s="2024">
        <v>2850.2260000000001</v>
      </c>
      <c r="DQ37" s="2024">
        <v>2.84</v>
      </c>
      <c r="DR37" s="2023">
        <v>0</v>
      </c>
      <c r="DS37" s="2029">
        <v>150</v>
      </c>
      <c r="DT37" s="2029">
        <v>150</v>
      </c>
      <c r="DU37" s="2029">
        <v>150</v>
      </c>
      <c r="DV37" s="2029">
        <v>150</v>
      </c>
      <c r="DW37" s="1974"/>
      <c r="DX37" s="2029">
        <v>0</v>
      </c>
      <c r="DY37" s="2029">
        <v>0</v>
      </c>
      <c r="DZ37" s="2029">
        <v>0</v>
      </c>
      <c r="EA37" s="2029">
        <v>1563</v>
      </c>
      <c r="EB37" s="2029">
        <v>1563</v>
      </c>
      <c r="EC37" s="2029">
        <v>1563</v>
      </c>
      <c r="ED37" s="2029">
        <v>1563</v>
      </c>
      <c r="EE37" s="2039">
        <f t="shared" si="19"/>
        <v>0</v>
      </c>
      <c r="EF37" s="2039">
        <f t="shared" si="19"/>
        <v>0</v>
      </c>
      <c r="EG37" s="2039">
        <f t="shared" si="19"/>
        <v>0</v>
      </c>
      <c r="EH37" s="2039">
        <f t="shared" si="19"/>
        <v>0</v>
      </c>
      <c r="EI37" s="2040">
        <f t="shared" si="20"/>
        <v>0</v>
      </c>
      <c r="EJ37" s="2040">
        <f t="shared" si="20"/>
        <v>0</v>
      </c>
      <c r="EK37" s="2040">
        <f t="shared" si="20"/>
        <v>0</v>
      </c>
      <c r="EL37" s="2040">
        <f t="shared" si="20"/>
        <v>0</v>
      </c>
      <c r="EM37" s="2040">
        <f t="shared" si="20"/>
        <v>0</v>
      </c>
      <c r="EN37" s="2040">
        <f t="shared" si="20"/>
        <v>0</v>
      </c>
      <c r="EO37" s="2040">
        <f t="shared" si="20"/>
        <v>0</v>
      </c>
      <c r="EP37" s="2040">
        <f t="shared" si="20"/>
        <v>0</v>
      </c>
      <c r="EQ37" s="2040">
        <f t="shared" si="20"/>
        <v>0</v>
      </c>
      <c r="ER37" s="2040">
        <f t="shared" si="20"/>
        <v>0</v>
      </c>
      <c r="ES37" s="2040">
        <f t="shared" si="20"/>
        <v>0</v>
      </c>
      <c r="ET37" s="2040">
        <f t="shared" si="20"/>
        <v>0</v>
      </c>
      <c r="EU37" s="2039">
        <f t="shared" si="21"/>
        <v>0</v>
      </c>
      <c r="EV37" s="2039">
        <f t="shared" si="22"/>
        <v>0</v>
      </c>
    </row>
    <row r="38" spans="1:152" x14ac:dyDescent="0.25">
      <c r="A38" s="2041" t="s">
        <v>219</v>
      </c>
      <c r="B38" s="2022" t="s">
        <v>2892</v>
      </c>
      <c r="C38" s="2543">
        <v>23</v>
      </c>
      <c r="D38" s="2024">
        <v>17532</v>
      </c>
      <c r="E38" s="2024">
        <v>17.8</v>
      </c>
      <c r="F38" s="2023">
        <v>0</v>
      </c>
      <c r="G38" s="2026" t="s">
        <v>20</v>
      </c>
      <c r="H38" s="2026" t="s">
        <v>20</v>
      </c>
      <c r="I38" s="2026">
        <v>0.55700000000000005</v>
      </c>
      <c r="J38" s="2026">
        <v>0.55700000000000005</v>
      </c>
      <c r="K38" s="2026">
        <v>0.55700000000000005</v>
      </c>
      <c r="L38" s="2026">
        <v>0.55700000000000005</v>
      </c>
      <c r="M38" s="2027">
        <f t="shared" si="11"/>
        <v>9765.3240000000005</v>
      </c>
      <c r="N38" s="2027">
        <f t="shared" si="11"/>
        <v>9765.3240000000005</v>
      </c>
      <c r="O38" s="2027">
        <f t="shared" si="11"/>
        <v>9765.3240000000005</v>
      </c>
      <c r="P38" s="2027">
        <f t="shared" si="11"/>
        <v>9765.3240000000005</v>
      </c>
      <c r="Q38" s="2026">
        <v>0.55700000000000005</v>
      </c>
      <c r="R38" s="2026">
        <v>0.55700000000000005</v>
      </c>
      <c r="S38" s="2026">
        <v>0.55700000000000005</v>
      </c>
      <c r="T38" s="2026">
        <v>0.55700000000000005</v>
      </c>
      <c r="U38" s="2028">
        <f t="shared" si="12"/>
        <v>9.9146000000000019</v>
      </c>
      <c r="V38" s="2028">
        <f t="shared" si="12"/>
        <v>9.9146000000000019</v>
      </c>
      <c r="W38" s="2028">
        <f t="shared" si="12"/>
        <v>9.9146000000000019</v>
      </c>
      <c r="X38" s="2028">
        <f t="shared" si="12"/>
        <v>9.9146000000000019</v>
      </c>
      <c r="Y38" s="2026">
        <v>0.49399999999999999</v>
      </c>
      <c r="Z38" s="2026">
        <v>0.49399999999999999</v>
      </c>
      <c r="AA38" s="2026">
        <v>0.49399999999999999</v>
      </c>
      <c r="AB38" s="2026">
        <v>0.49399999999999999</v>
      </c>
      <c r="AC38" s="2027">
        <f t="shared" ref="AC38:AF74" si="31">$F38*Y38</f>
        <v>0</v>
      </c>
      <c r="AD38" s="2027">
        <f t="shared" si="31"/>
        <v>0</v>
      </c>
      <c r="AE38" s="2027">
        <f t="shared" si="31"/>
        <v>0</v>
      </c>
      <c r="AF38" s="2027">
        <f t="shared" si="31"/>
        <v>0</v>
      </c>
      <c r="AG38" s="2027">
        <v>5</v>
      </c>
      <c r="AH38" s="2027">
        <v>6</v>
      </c>
      <c r="AI38" s="2027">
        <v>6</v>
      </c>
      <c r="AJ38" s="2027">
        <v>6</v>
      </c>
      <c r="AK38" s="2027">
        <f t="shared" si="27"/>
        <v>48826.62</v>
      </c>
      <c r="AL38" s="2027">
        <f t="shared" ref="AL38:AN69" si="32">AH38*N38*CM38</f>
        <v>58591.944000000003</v>
      </c>
      <c r="AM38" s="2027">
        <f t="shared" si="32"/>
        <v>58591.944000000003</v>
      </c>
      <c r="AN38" s="2027">
        <f t="shared" si="32"/>
        <v>58591.944000000003</v>
      </c>
      <c r="AO38" s="2027">
        <f t="shared" si="28"/>
        <v>0</v>
      </c>
      <c r="AP38" s="2027">
        <f t="shared" si="30"/>
        <v>0</v>
      </c>
      <c r="AQ38" s="2027">
        <f t="shared" si="30"/>
        <v>0</v>
      </c>
      <c r="AR38" s="2027">
        <f t="shared" si="29"/>
        <v>0</v>
      </c>
      <c r="AS38" s="2029">
        <v>500</v>
      </c>
      <c r="AT38" s="2029">
        <f t="shared" si="13"/>
        <v>500</v>
      </c>
      <c r="AU38" s="2029">
        <f t="shared" si="13"/>
        <v>500</v>
      </c>
      <c r="AV38" s="2029">
        <f t="shared" si="13"/>
        <v>500</v>
      </c>
      <c r="AW38" s="1974"/>
      <c r="AX38" s="2029">
        <f t="shared" si="14"/>
        <v>0</v>
      </c>
      <c r="AY38" s="2029">
        <f t="shared" si="14"/>
        <v>0</v>
      </c>
      <c r="AZ38" s="2029">
        <f t="shared" si="14"/>
        <v>0</v>
      </c>
      <c r="BA38" s="2029">
        <v>25400</v>
      </c>
      <c r="BB38" s="2029">
        <f t="shared" si="15"/>
        <v>25400</v>
      </c>
      <c r="BC38" s="2029">
        <f t="shared" si="15"/>
        <v>25400</v>
      </c>
      <c r="BD38" s="2029">
        <f t="shared" si="15"/>
        <v>25400</v>
      </c>
      <c r="BE38" s="2030">
        <f t="shared" si="16"/>
        <v>2500</v>
      </c>
      <c r="BF38" s="2030">
        <f t="shared" si="16"/>
        <v>3000</v>
      </c>
      <c r="BG38" s="2030">
        <f t="shared" si="16"/>
        <v>3000</v>
      </c>
      <c r="BH38" s="2030">
        <f t="shared" si="16"/>
        <v>3000</v>
      </c>
      <c r="BI38" s="2030">
        <f t="shared" si="17"/>
        <v>0</v>
      </c>
      <c r="BJ38" s="2030">
        <f t="shared" si="17"/>
        <v>0</v>
      </c>
      <c r="BK38" s="2030">
        <f t="shared" si="17"/>
        <v>0</v>
      </c>
      <c r="BL38" s="2030">
        <f t="shared" si="17"/>
        <v>0</v>
      </c>
      <c r="BM38" s="2031"/>
      <c r="BN38" s="2031"/>
      <c r="BO38" s="2031"/>
      <c r="BP38" s="2031"/>
      <c r="BQ38" s="2031"/>
      <c r="BR38" s="2031"/>
      <c r="BS38" s="2031"/>
      <c r="BT38" s="2031"/>
      <c r="BU38" s="2029"/>
      <c r="BV38" s="2029"/>
      <c r="BW38" s="2029"/>
      <c r="BX38" s="2029"/>
      <c r="BY38" s="2029"/>
      <c r="BZ38" s="2032"/>
      <c r="CA38" s="1974"/>
      <c r="CB38" s="1974"/>
      <c r="CC38" s="1974"/>
      <c r="CD38" s="1974"/>
      <c r="CE38" s="1974">
        <v>0</v>
      </c>
      <c r="CF38" s="2033">
        <v>2.0411171630936275E-4</v>
      </c>
      <c r="CG38" s="2026">
        <v>0</v>
      </c>
      <c r="CH38" s="2009">
        <v>0</v>
      </c>
      <c r="CI38" s="2029">
        <v>0</v>
      </c>
      <c r="CK38" s="2029">
        <f t="shared" si="18"/>
        <v>0</v>
      </c>
      <c r="CL38" s="2034">
        <v>1</v>
      </c>
      <c r="CM38" s="2034">
        <v>1</v>
      </c>
      <c r="CN38" s="2034">
        <v>1</v>
      </c>
      <c r="CO38" s="2034">
        <v>1</v>
      </c>
      <c r="CP38" s="2035"/>
      <c r="CQ38" s="2036"/>
      <c r="CR38" s="2036"/>
      <c r="CS38" s="2036"/>
      <c r="CT38" s="2036"/>
      <c r="CU38" s="2036"/>
      <c r="CW38" s="1973">
        <v>0</v>
      </c>
      <c r="CX38" s="2037">
        <v>500</v>
      </c>
      <c r="CY38" s="2037">
        <v>500</v>
      </c>
      <c r="CZ38" s="2037">
        <v>500</v>
      </c>
      <c r="DA38" s="2037">
        <v>500</v>
      </c>
      <c r="DJ38" s="1976">
        <v>500</v>
      </c>
      <c r="DK38" s="1973">
        <v>500</v>
      </c>
      <c r="DL38" s="1973">
        <v>500</v>
      </c>
      <c r="DM38" s="1973">
        <v>500</v>
      </c>
      <c r="DO38" s="2023">
        <v>20</v>
      </c>
      <c r="DP38" s="2024">
        <v>17532</v>
      </c>
      <c r="DQ38" s="2024">
        <v>17.8</v>
      </c>
      <c r="DR38" s="2023">
        <v>0</v>
      </c>
      <c r="DS38" s="2029">
        <v>500</v>
      </c>
      <c r="DT38" s="2029">
        <v>500</v>
      </c>
      <c r="DU38" s="2029">
        <v>500</v>
      </c>
      <c r="DV38" s="2029">
        <v>500</v>
      </c>
      <c r="DW38" s="1974"/>
      <c r="DX38" s="2029">
        <v>0</v>
      </c>
      <c r="DY38" s="2029">
        <v>0</v>
      </c>
      <c r="DZ38" s="2029">
        <v>0</v>
      </c>
      <c r="EA38" s="2029">
        <v>25400</v>
      </c>
      <c r="EB38" s="2029">
        <v>25400</v>
      </c>
      <c r="EC38" s="2029">
        <v>25400</v>
      </c>
      <c r="ED38" s="2029">
        <v>25400</v>
      </c>
      <c r="EE38" s="2039">
        <f t="shared" si="19"/>
        <v>3</v>
      </c>
      <c r="EF38" s="2039">
        <f t="shared" si="19"/>
        <v>0</v>
      </c>
      <c r="EG38" s="2039">
        <f t="shared" si="19"/>
        <v>0</v>
      </c>
      <c r="EH38" s="2039">
        <f t="shared" si="19"/>
        <v>0</v>
      </c>
      <c r="EI38" s="2040">
        <f t="shared" si="20"/>
        <v>0</v>
      </c>
      <c r="EJ38" s="2040">
        <f t="shared" si="20"/>
        <v>0</v>
      </c>
      <c r="EK38" s="2040">
        <f t="shared" si="20"/>
        <v>0</v>
      </c>
      <c r="EL38" s="2040">
        <f t="shared" si="20"/>
        <v>0</v>
      </c>
      <c r="EM38" s="2040">
        <f t="shared" si="20"/>
        <v>0</v>
      </c>
      <c r="EN38" s="2040">
        <f t="shared" si="20"/>
        <v>0</v>
      </c>
      <c r="EO38" s="2040">
        <f t="shared" si="20"/>
        <v>0</v>
      </c>
      <c r="EP38" s="2040">
        <f t="shared" si="20"/>
        <v>0</v>
      </c>
      <c r="EQ38" s="2040">
        <f t="shared" si="20"/>
        <v>0</v>
      </c>
      <c r="ER38" s="2040">
        <f t="shared" si="20"/>
        <v>0</v>
      </c>
      <c r="ES38" s="2040">
        <f t="shared" si="20"/>
        <v>0</v>
      </c>
      <c r="ET38" s="2040">
        <f t="shared" si="20"/>
        <v>0</v>
      </c>
      <c r="EU38" s="2039">
        <f t="shared" si="21"/>
        <v>3</v>
      </c>
      <c r="EV38" s="2039">
        <f t="shared" si="22"/>
        <v>3</v>
      </c>
    </row>
    <row r="39" spans="1:152" x14ac:dyDescent="0.25">
      <c r="A39" s="2041" t="s">
        <v>220</v>
      </c>
      <c r="B39" s="2022" t="s">
        <v>2893</v>
      </c>
      <c r="C39" s="2543">
        <v>8</v>
      </c>
      <c r="D39" s="2024">
        <v>179.18</v>
      </c>
      <c r="E39" s="2024">
        <v>0.2</v>
      </c>
      <c r="F39" s="2023">
        <v>0</v>
      </c>
      <c r="G39" s="2026" t="s">
        <v>20</v>
      </c>
      <c r="H39" s="2026" t="s">
        <v>20</v>
      </c>
      <c r="I39" s="2026">
        <v>0.55700000000000005</v>
      </c>
      <c r="J39" s="2026">
        <v>0.55700000000000005</v>
      </c>
      <c r="K39" s="2026">
        <v>0.55700000000000005</v>
      </c>
      <c r="L39" s="2026">
        <v>0.55700000000000005</v>
      </c>
      <c r="M39" s="2027">
        <f t="shared" si="11"/>
        <v>99.803260000000009</v>
      </c>
      <c r="N39" s="2027">
        <f t="shared" si="11"/>
        <v>99.803260000000009</v>
      </c>
      <c r="O39" s="2027">
        <f t="shared" si="11"/>
        <v>99.803260000000009</v>
      </c>
      <c r="P39" s="2027">
        <f t="shared" si="11"/>
        <v>99.803260000000009</v>
      </c>
      <c r="Q39" s="2026">
        <v>0.55700000000000005</v>
      </c>
      <c r="R39" s="2026">
        <v>0.55700000000000005</v>
      </c>
      <c r="S39" s="2026">
        <v>0.55700000000000005</v>
      </c>
      <c r="T39" s="2026">
        <v>0.55700000000000005</v>
      </c>
      <c r="U39" s="2028">
        <f t="shared" si="12"/>
        <v>0.11140000000000001</v>
      </c>
      <c r="V39" s="2028">
        <f t="shared" si="12"/>
        <v>0.11140000000000001</v>
      </c>
      <c r="W39" s="2028">
        <f t="shared" si="12"/>
        <v>0.11140000000000001</v>
      </c>
      <c r="X39" s="2028">
        <f t="shared" si="12"/>
        <v>0.11140000000000001</v>
      </c>
      <c r="Y39" s="2026">
        <v>0.49399999999999999</v>
      </c>
      <c r="Z39" s="2026">
        <v>0.49399999999999999</v>
      </c>
      <c r="AA39" s="2026">
        <v>0.49399999999999999</v>
      </c>
      <c r="AB39" s="2026">
        <v>0.49399999999999999</v>
      </c>
      <c r="AC39" s="2027">
        <f t="shared" si="31"/>
        <v>0</v>
      </c>
      <c r="AD39" s="2027">
        <f t="shared" si="31"/>
        <v>0</v>
      </c>
      <c r="AE39" s="2027">
        <f t="shared" si="31"/>
        <v>0</v>
      </c>
      <c r="AF39" s="2027">
        <f t="shared" si="31"/>
        <v>0</v>
      </c>
      <c r="AG39" s="2027">
        <v>5</v>
      </c>
      <c r="AH39" s="2027">
        <v>6</v>
      </c>
      <c r="AI39" s="2027">
        <v>6</v>
      </c>
      <c r="AJ39" s="2027">
        <v>6</v>
      </c>
      <c r="AK39" s="2027">
        <f t="shared" si="27"/>
        <v>499.01630000000006</v>
      </c>
      <c r="AL39" s="2027">
        <f t="shared" si="32"/>
        <v>598.81956000000002</v>
      </c>
      <c r="AM39" s="2027">
        <f t="shared" si="32"/>
        <v>598.81956000000002</v>
      </c>
      <c r="AN39" s="2027">
        <f t="shared" si="32"/>
        <v>598.81956000000002</v>
      </c>
      <c r="AO39" s="2027">
        <f t="shared" si="28"/>
        <v>0</v>
      </c>
      <c r="AP39" s="2027">
        <f t="shared" si="30"/>
        <v>0</v>
      </c>
      <c r="AQ39" s="2027">
        <f t="shared" si="30"/>
        <v>0</v>
      </c>
      <c r="AR39" s="2027">
        <f t="shared" si="29"/>
        <v>0</v>
      </c>
      <c r="AS39" s="2029">
        <v>16.25</v>
      </c>
      <c r="AT39" s="2029">
        <f t="shared" si="13"/>
        <v>16.25</v>
      </c>
      <c r="AU39" s="2029">
        <f t="shared" si="13"/>
        <v>16.25</v>
      </c>
      <c r="AV39" s="2029">
        <f t="shared" si="13"/>
        <v>16.25</v>
      </c>
      <c r="AW39" s="1974"/>
      <c r="AX39" s="2029">
        <f t="shared" ref="AX39:AZ70" si="33">$AW39</f>
        <v>0</v>
      </c>
      <c r="AY39" s="2029">
        <f t="shared" si="33"/>
        <v>0</v>
      </c>
      <c r="AZ39" s="2029">
        <f t="shared" si="33"/>
        <v>0</v>
      </c>
      <c r="BA39" s="2029">
        <v>84</v>
      </c>
      <c r="BB39" s="2029">
        <f t="shared" ref="BB39:BD70" si="34">$BA39</f>
        <v>84</v>
      </c>
      <c r="BC39" s="2029">
        <f t="shared" si="34"/>
        <v>84</v>
      </c>
      <c r="BD39" s="2029">
        <f t="shared" si="34"/>
        <v>84</v>
      </c>
      <c r="BE39" s="2030">
        <f t="shared" si="16"/>
        <v>81.25</v>
      </c>
      <c r="BF39" s="2030">
        <f t="shared" si="16"/>
        <v>97.5</v>
      </c>
      <c r="BG39" s="2030">
        <f t="shared" si="16"/>
        <v>97.5</v>
      </c>
      <c r="BH39" s="2030">
        <f t="shared" si="16"/>
        <v>97.5</v>
      </c>
      <c r="BI39" s="2030">
        <f t="shared" si="17"/>
        <v>0</v>
      </c>
      <c r="BJ39" s="2030">
        <f t="shared" si="17"/>
        <v>0</v>
      </c>
      <c r="BK39" s="2030">
        <f t="shared" si="17"/>
        <v>0</v>
      </c>
      <c r="BL39" s="2030">
        <f t="shared" si="17"/>
        <v>0</v>
      </c>
      <c r="BM39" s="2031"/>
      <c r="BN39" s="2031"/>
      <c r="BO39" s="2031"/>
      <c r="BP39" s="2031"/>
      <c r="BQ39" s="2031"/>
      <c r="BR39" s="2031"/>
      <c r="BS39" s="2031"/>
      <c r="BT39" s="2031"/>
      <c r="BU39" s="2029"/>
      <c r="BV39" s="2029"/>
      <c r="BW39" s="2029"/>
      <c r="BX39" s="2029"/>
      <c r="BY39" s="2029"/>
      <c r="BZ39" s="2032"/>
      <c r="CA39" s="1974"/>
      <c r="CB39" s="1974"/>
      <c r="CC39" s="1974"/>
      <c r="CD39" s="1974"/>
      <c r="CE39" s="1974">
        <v>0</v>
      </c>
      <c r="CF39" s="2033">
        <v>2.0860562017061155E-6</v>
      </c>
      <c r="CG39" s="2026">
        <v>0</v>
      </c>
      <c r="CH39" s="2009">
        <v>0</v>
      </c>
      <c r="CI39" s="2029">
        <v>0</v>
      </c>
      <c r="CK39" s="2029">
        <f t="shared" si="18"/>
        <v>0</v>
      </c>
      <c r="CL39" s="2034">
        <v>1</v>
      </c>
      <c r="CM39" s="2034">
        <v>1</v>
      </c>
      <c r="CN39" s="2034">
        <v>1</v>
      </c>
      <c r="CO39" s="2034">
        <v>1</v>
      </c>
      <c r="CP39" s="2035"/>
      <c r="CQ39" s="2036"/>
      <c r="CR39" s="2036"/>
      <c r="CS39" s="2036"/>
      <c r="CT39" s="2036"/>
      <c r="CU39" s="2036"/>
      <c r="CW39" s="1973">
        <v>3</v>
      </c>
      <c r="CX39" s="2037">
        <v>16.25</v>
      </c>
      <c r="CY39" s="2037">
        <v>16.25</v>
      </c>
      <c r="CZ39" s="2037">
        <v>16.25</v>
      </c>
      <c r="DA39" s="2037">
        <v>16.25</v>
      </c>
      <c r="DJ39" s="1976">
        <v>16.25</v>
      </c>
      <c r="DK39" s="1973">
        <v>16.25</v>
      </c>
      <c r="DL39" s="1973">
        <v>16.25</v>
      </c>
      <c r="DM39" s="1973">
        <v>16.25</v>
      </c>
      <c r="DO39" s="2023">
        <v>15</v>
      </c>
      <c r="DP39" s="2024">
        <v>179.18</v>
      </c>
      <c r="DQ39" s="2024">
        <v>0.2</v>
      </c>
      <c r="DR39" s="2023">
        <v>0</v>
      </c>
      <c r="DS39" s="2029">
        <v>16.25</v>
      </c>
      <c r="DT39" s="2029">
        <v>16.25</v>
      </c>
      <c r="DU39" s="2029">
        <v>16.25</v>
      </c>
      <c r="DV39" s="2029">
        <v>16.25</v>
      </c>
      <c r="DW39" s="1974"/>
      <c r="DX39" s="2029">
        <v>0</v>
      </c>
      <c r="DY39" s="2029">
        <v>0</v>
      </c>
      <c r="DZ39" s="2029">
        <v>0</v>
      </c>
      <c r="EA39" s="2029">
        <v>84</v>
      </c>
      <c r="EB39" s="2029">
        <v>84</v>
      </c>
      <c r="EC39" s="2029">
        <v>84</v>
      </c>
      <c r="ED39" s="2029">
        <v>84</v>
      </c>
      <c r="EE39" s="2039">
        <f t="shared" si="19"/>
        <v>-7</v>
      </c>
      <c r="EF39" s="2039">
        <f t="shared" si="19"/>
        <v>0</v>
      </c>
      <c r="EG39" s="2039">
        <f t="shared" si="19"/>
        <v>0</v>
      </c>
      <c r="EH39" s="2039">
        <f t="shared" si="19"/>
        <v>0</v>
      </c>
      <c r="EI39" s="2040">
        <f t="shared" si="20"/>
        <v>0</v>
      </c>
      <c r="EJ39" s="2040">
        <f t="shared" si="20"/>
        <v>0</v>
      </c>
      <c r="EK39" s="2040">
        <f t="shared" si="20"/>
        <v>0</v>
      </c>
      <c r="EL39" s="2040">
        <f t="shared" si="20"/>
        <v>0</v>
      </c>
      <c r="EM39" s="2040">
        <f t="shared" si="20"/>
        <v>0</v>
      </c>
      <c r="EN39" s="2040">
        <f t="shared" si="20"/>
        <v>0</v>
      </c>
      <c r="EO39" s="2040">
        <f t="shared" si="20"/>
        <v>0</v>
      </c>
      <c r="EP39" s="2040">
        <f t="shared" si="20"/>
        <v>0</v>
      </c>
      <c r="EQ39" s="2040">
        <f t="shared" si="20"/>
        <v>0</v>
      </c>
      <c r="ER39" s="2040">
        <f t="shared" si="20"/>
        <v>0</v>
      </c>
      <c r="ES39" s="2040">
        <f t="shared" si="20"/>
        <v>0</v>
      </c>
      <c r="ET39" s="2040">
        <f t="shared" si="20"/>
        <v>0</v>
      </c>
      <c r="EU39" s="2039">
        <f t="shared" si="21"/>
        <v>-7</v>
      </c>
      <c r="EV39" s="2039">
        <f t="shared" si="22"/>
        <v>-7</v>
      </c>
    </row>
    <row r="40" spans="1:152" x14ac:dyDescent="0.25">
      <c r="A40" s="2021" t="s">
        <v>102</v>
      </c>
      <c r="B40" s="2022" t="s">
        <v>2894</v>
      </c>
      <c r="C40" s="2023">
        <v>15</v>
      </c>
      <c r="D40" s="2024">
        <v>2479.8128019490832</v>
      </c>
      <c r="E40" s="2024">
        <v>0</v>
      </c>
      <c r="F40" s="2023">
        <v>0</v>
      </c>
      <c r="G40" s="2026" t="s">
        <v>20</v>
      </c>
      <c r="H40" s="2026" t="s">
        <v>20</v>
      </c>
      <c r="I40" s="2026">
        <v>0.55700000000000005</v>
      </c>
      <c r="J40" s="2026">
        <v>0.55700000000000005</v>
      </c>
      <c r="K40" s="2026">
        <v>0.55700000000000005</v>
      </c>
      <c r="L40" s="2026">
        <v>0.55700000000000005</v>
      </c>
      <c r="M40" s="2027">
        <f t="shared" si="11"/>
        <v>1381.2557306856395</v>
      </c>
      <c r="N40" s="2027">
        <f t="shared" si="11"/>
        <v>1381.2557306856395</v>
      </c>
      <c r="O40" s="2027">
        <f t="shared" si="11"/>
        <v>1381.2557306856395</v>
      </c>
      <c r="P40" s="2027">
        <f t="shared" si="11"/>
        <v>1381.2557306856395</v>
      </c>
      <c r="Q40" s="2026">
        <v>0.55700000000000005</v>
      </c>
      <c r="R40" s="2026">
        <v>0.55700000000000005</v>
      </c>
      <c r="S40" s="2026">
        <v>0.55700000000000005</v>
      </c>
      <c r="T40" s="2026">
        <v>0.55700000000000005</v>
      </c>
      <c r="U40" s="2028">
        <f t="shared" si="12"/>
        <v>0</v>
      </c>
      <c r="V40" s="2028">
        <f t="shared" si="12"/>
        <v>0</v>
      </c>
      <c r="W40" s="2028">
        <f t="shared" si="12"/>
        <v>0</v>
      </c>
      <c r="X40" s="2028">
        <f t="shared" si="12"/>
        <v>0</v>
      </c>
      <c r="Y40" s="2026">
        <v>0.49399999999999999</v>
      </c>
      <c r="Z40" s="2026">
        <v>0.49399999999999999</v>
      </c>
      <c r="AA40" s="2026">
        <v>0.49399999999999999</v>
      </c>
      <c r="AB40" s="2026">
        <v>0.49399999999999999</v>
      </c>
      <c r="AC40" s="2027">
        <f t="shared" si="31"/>
        <v>0</v>
      </c>
      <c r="AD40" s="2027">
        <f t="shared" si="31"/>
        <v>0</v>
      </c>
      <c r="AE40" s="2027">
        <f t="shared" si="31"/>
        <v>0</v>
      </c>
      <c r="AF40" s="2027">
        <f t="shared" si="31"/>
        <v>0</v>
      </c>
      <c r="AG40" s="2027">
        <v>439</v>
      </c>
      <c r="AH40" s="2027">
        <v>459</v>
      </c>
      <c r="AI40" s="2027">
        <v>431</v>
      </c>
      <c r="AJ40" s="2027">
        <v>389</v>
      </c>
      <c r="AK40" s="2027">
        <f t="shared" si="27"/>
        <v>606371.26577099576</v>
      </c>
      <c r="AL40" s="2027">
        <f t="shared" si="32"/>
        <v>633996.38038470852</v>
      </c>
      <c r="AM40" s="2027">
        <f t="shared" si="32"/>
        <v>595321.21992551058</v>
      </c>
      <c r="AN40" s="2027">
        <f t="shared" si="32"/>
        <v>537308.47923671373</v>
      </c>
      <c r="AO40" s="2027">
        <f t="shared" si="28"/>
        <v>0</v>
      </c>
      <c r="AP40" s="2027">
        <f t="shared" si="30"/>
        <v>0</v>
      </c>
      <c r="AQ40" s="2027">
        <f t="shared" si="30"/>
        <v>0</v>
      </c>
      <c r="AR40" s="2027">
        <f t="shared" si="29"/>
        <v>0</v>
      </c>
      <c r="AS40" s="2042">
        <v>120</v>
      </c>
      <c r="AT40" s="2029">
        <f t="shared" si="13"/>
        <v>120</v>
      </c>
      <c r="AU40" s="2029">
        <f t="shared" si="13"/>
        <v>120</v>
      </c>
      <c r="AV40" s="2029">
        <f t="shared" si="13"/>
        <v>120</v>
      </c>
      <c r="AW40" s="2042">
        <v>0</v>
      </c>
      <c r="AX40" s="2029">
        <f t="shared" si="33"/>
        <v>0</v>
      </c>
      <c r="AY40" s="2029">
        <f t="shared" si="33"/>
        <v>0</v>
      </c>
      <c r="AZ40" s="2029">
        <f t="shared" si="33"/>
        <v>0</v>
      </c>
      <c r="BA40" s="2042">
        <v>195.08750000000001</v>
      </c>
      <c r="BB40" s="2029">
        <f t="shared" si="34"/>
        <v>195.08750000000001</v>
      </c>
      <c r="BC40" s="2029">
        <f t="shared" si="34"/>
        <v>195.08750000000001</v>
      </c>
      <c r="BD40" s="2029">
        <f t="shared" si="34"/>
        <v>195.08750000000001</v>
      </c>
      <c r="BE40" s="2030">
        <f t="shared" si="16"/>
        <v>52680</v>
      </c>
      <c r="BF40" s="2030">
        <f t="shared" si="16"/>
        <v>55080</v>
      </c>
      <c r="BG40" s="2030">
        <f t="shared" si="16"/>
        <v>51720</v>
      </c>
      <c r="BH40" s="2030">
        <f t="shared" si="16"/>
        <v>46680</v>
      </c>
      <c r="BI40" s="2030">
        <f t="shared" si="17"/>
        <v>0</v>
      </c>
      <c r="BJ40" s="2030">
        <f t="shared" si="17"/>
        <v>0</v>
      </c>
      <c r="BK40" s="2030">
        <f t="shared" si="17"/>
        <v>0</v>
      </c>
      <c r="BL40" s="2030">
        <f t="shared" si="17"/>
        <v>0</v>
      </c>
      <c r="BM40" s="2031"/>
      <c r="BN40" s="2031"/>
      <c r="BO40" s="2031"/>
      <c r="BP40" s="2031"/>
      <c r="BQ40" s="2031"/>
      <c r="BR40" s="2031"/>
      <c r="BS40" s="2031"/>
      <c r="BT40" s="2031"/>
      <c r="BU40" s="2029"/>
      <c r="BV40" s="2029"/>
      <c r="BW40" s="2029"/>
      <c r="BX40" s="2029"/>
      <c r="BY40" s="2029"/>
      <c r="BZ40" s="2032"/>
      <c r="CA40" s="1974"/>
      <c r="CB40" s="1974"/>
      <c r="CC40" s="1974"/>
      <c r="CD40" s="1974"/>
      <c r="CE40" s="1974">
        <v>0</v>
      </c>
      <c r="CF40" s="2033">
        <v>2.2850512708445445E-3</v>
      </c>
      <c r="CG40" s="2026">
        <v>0</v>
      </c>
      <c r="CH40" s="2009">
        <v>0</v>
      </c>
      <c r="CI40" s="2029">
        <v>0</v>
      </c>
      <c r="CK40" s="2029">
        <f t="shared" si="18"/>
        <v>0</v>
      </c>
      <c r="CL40" s="2034">
        <v>1</v>
      </c>
      <c r="CM40" s="2034">
        <v>1</v>
      </c>
      <c r="CN40" s="2034">
        <v>1</v>
      </c>
      <c r="CO40" s="2034">
        <v>1</v>
      </c>
      <c r="CP40" s="2035"/>
      <c r="CQ40" s="2036"/>
      <c r="CR40" s="2036"/>
      <c r="CS40" s="2036"/>
      <c r="CT40" s="2036"/>
      <c r="CU40" s="2036"/>
      <c r="CW40" s="1973">
        <v>0</v>
      </c>
      <c r="CX40" s="2037">
        <v>100</v>
      </c>
      <c r="CY40" s="2037">
        <v>100</v>
      </c>
      <c r="CZ40" s="2037">
        <v>100</v>
      </c>
      <c r="DA40" s="2037">
        <v>100</v>
      </c>
      <c r="DJ40" s="1976">
        <v>100</v>
      </c>
      <c r="DK40" s="1973">
        <v>100</v>
      </c>
      <c r="DL40" s="1973">
        <v>100</v>
      </c>
      <c r="DM40" s="1973">
        <v>100</v>
      </c>
      <c r="DO40" s="2043">
        <v>15</v>
      </c>
      <c r="DP40" s="2044">
        <v>2479.8128019490832</v>
      </c>
      <c r="DQ40" s="2044">
        <v>0</v>
      </c>
      <c r="DR40" s="2043">
        <v>0</v>
      </c>
      <c r="DS40" s="2045">
        <v>120</v>
      </c>
      <c r="DT40" s="2046">
        <v>120</v>
      </c>
      <c r="DU40" s="2046">
        <v>120</v>
      </c>
      <c r="DV40" s="2046">
        <v>120</v>
      </c>
      <c r="DW40" s="2045">
        <v>0</v>
      </c>
      <c r="DX40" s="2046">
        <v>0</v>
      </c>
      <c r="DY40" s="2046">
        <v>0</v>
      </c>
      <c r="DZ40" s="2046">
        <v>0</v>
      </c>
      <c r="EA40" s="2045">
        <v>195.08750000000001</v>
      </c>
      <c r="EB40" s="2046">
        <v>195.08750000000001</v>
      </c>
      <c r="EC40" s="2046">
        <v>195.08750000000001</v>
      </c>
      <c r="ED40" s="2046">
        <v>195.08750000000001</v>
      </c>
      <c r="EE40" s="2039">
        <f t="shared" si="19"/>
        <v>0</v>
      </c>
      <c r="EF40" s="2039">
        <f t="shared" si="19"/>
        <v>0</v>
      </c>
      <c r="EG40" s="2039">
        <f t="shared" si="19"/>
        <v>0</v>
      </c>
      <c r="EH40" s="2039">
        <f t="shared" si="19"/>
        <v>0</v>
      </c>
      <c r="EI40" s="2040">
        <f t="shared" si="20"/>
        <v>0</v>
      </c>
      <c r="EJ40" s="2040">
        <f t="shared" si="20"/>
        <v>0</v>
      </c>
      <c r="EK40" s="2040">
        <f t="shared" si="20"/>
        <v>0</v>
      </c>
      <c r="EL40" s="2040">
        <f t="shared" si="20"/>
        <v>0</v>
      </c>
      <c r="EM40" s="2040">
        <f t="shared" si="20"/>
        <v>0</v>
      </c>
      <c r="EN40" s="2040">
        <f t="shared" si="20"/>
        <v>0</v>
      </c>
      <c r="EO40" s="2040">
        <f t="shared" si="20"/>
        <v>0</v>
      </c>
      <c r="EP40" s="2040">
        <f t="shared" si="20"/>
        <v>0</v>
      </c>
      <c r="EQ40" s="2040">
        <f t="shared" si="20"/>
        <v>0</v>
      </c>
      <c r="ER40" s="2040">
        <f t="shared" si="20"/>
        <v>0</v>
      </c>
      <c r="ES40" s="2040">
        <f t="shared" si="20"/>
        <v>0</v>
      </c>
      <c r="ET40" s="2040">
        <f t="shared" si="20"/>
        <v>0</v>
      </c>
      <c r="EU40" s="2039">
        <f t="shared" si="21"/>
        <v>0</v>
      </c>
      <c r="EV40" s="2039">
        <f t="shared" si="22"/>
        <v>0</v>
      </c>
    </row>
    <row r="41" spans="1:152" x14ac:dyDescent="0.25">
      <c r="A41" s="2041" t="s">
        <v>103</v>
      </c>
      <c r="B41" s="2022" t="s">
        <v>2895</v>
      </c>
      <c r="C41" s="2023">
        <v>5</v>
      </c>
      <c r="D41" s="2024">
        <v>5005.72</v>
      </c>
      <c r="E41" s="2024">
        <v>0.56999999999999995</v>
      </c>
      <c r="F41" s="2023">
        <v>0</v>
      </c>
      <c r="G41" s="2026" t="s">
        <v>20</v>
      </c>
      <c r="H41" s="2026" t="s">
        <v>20</v>
      </c>
      <c r="I41" s="2026">
        <v>0.55700000000000005</v>
      </c>
      <c r="J41" s="2026">
        <v>0.55700000000000005</v>
      </c>
      <c r="K41" s="2026">
        <v>0.55700000000000005</v>
      </c>
      <c r="L41" s="2026">
        <v>0.55700000000000005</v>
      </c>
      <c r="M41" s="2027">
        <f t="shared" si="11"/>
        <v>2788.1860400000005</v>
      </c>
      <c r="N41" s="2027">
        <f t="shared" si="11"/>
        <v>2788.1860400000005</v>
      </c>
      <c r="O41" s="2027">
        <f t="shared" si="11"/>
        <v>2788.1860400000005</v>
      </c>
      <c r="P41" s="2027">
        <f t="shared" si="11"/>
        <v>2788.1860400000005</v>
      </c>
      <c r="Q41" s="2026">
        <v>0.55700000000000005</v>
      </c>
      <c r="R41" s="2026">
        <v>0.55700000000000005</v>
      </c>
      <c r="S41" s="2026">
        <v>0.55700000000000005</v>
      </c>
      <c r="T41" s="2026">
        <v>0.55700000000000005</v>
      </c>
      <c r="U41" s="2028">
        <f t="shared" si="12"/>
        <v>0.31748999999999999</v>
      </c>
      <c r="V41" s="2028">
        <f t="shared" si="12"/>
        <v>0.31748999999999999</v>
      </c>
      <c r="W41" s="2028">
        <f t="shared" si="12"/>
        <v>0.31748999999999999</v>
      </c>
      <c r="X41" s="2028">
        <f t="shared" si="12"/>
        <v>0.31748999999999999</v>
      </c>
      <c r="Y41" s="2026">
        <v>0.49399999999999999</v>
      </c>
      <c r="Z41" s="2026">
        <v>0.49399999999999999</v>
      </c>
      <c r="AA41" s="2026">
        <v>0.49399999999999999</v>
      </c>
      <c r="AB41" s="2026">
        <v>0.49399999999999999</v>
      </c>
      <c r="AC41" s="2027">
        <f t="shared" si="31"/>
        <v>0</v>
      </c>
      <c r="AD41" s="2027">
        <f t="shared" si="31"/>
        <v>0</v>
      </c>
      <c r="AE41" s="2027">
        <f t="shared" si="31"/>
        <v>0</v>
      </c>
      <c r="AF41" s="2027">
        <f t="shared" si="31"/>
        <v>0</v>
      </c>
      <c r="AG41" s="2027">
        <v>18</v>
      </c>
      <c r="AH41" s="2027">
        <v>19</v>
      </c>
      <c r="AI41" s="2027">
        <v>20</v>
      </c>
      <c r="AJ41" s="2027">
        <v>20</v>
      </c>
      <c r="AK41" s="2027">
        <f t="shared" si="27"/>
        <v>50187.348720000009</v>
      </c>
      <c r="AL41" s="2027">
        <f t="shared" si="32"/>
        <v>52975.53476000001</v>
      </c>
      <c r="AM41" s="2027">
        <f t="shared" si="32"/>
        <v>55763.72080000001</v>
      </c>
      <c r="AN41" s="2027">
        <f t="shared" si="32"/>
        <v>55763.72080000001</v>
      </c>
      <c r="AO41" s="2027">
        <f t="shared" si="28"/>
        <v>0</v>
      </c>
      <c r="AP41" s="2027">
        <f t="shared" si="30"/>
        <v>0</v>
      </c>
      <c r="AQ41" s="2027">
        <f t="shared" si="30"/>
        <v>0</v>
      </c>
      <c r="AR41" s="2027">
        <f t="shared" si="29"/>
        <v>0</v>
      </c>
      <c r="AS41" s="2029">
        <v>150</v>
      </c>
      <c r="AT41" s="2029">
        <f t="shared" si="13"/>
        <v>150</v>
      </c>
      <c r="AU41" s="2029">
        <f t="shared" si="13"/>
        <v>150</v>
      </c>
      <c r="AV41" s="2029">
        <f t="shared" si="13"/>
        <v>150</v>
      </c>
      <c r="AW41" s="1974"/>
      <c r="AX41" s="2029">
        <f t="shared" si="33"/>
        <v>0</v>
      </c>
      <c r="AY41" s="2029">
        <f t="shared" si="33"/>
        <v>0</v>
      </c>
      <c r="AZ41" s="2029">
        <f t="shared" si="33"/>
        <v>0</v>
      </c>
      <c r="BA41" s="2029">
        <v>1350</v>
      </c>
      <c r="BB41" s="2029">
        <f t="shared" si="34"/>
        <v>1350</v>
      </c>
      <c r="BC41" s="2029">
        <f t="shared" si="34"/>
        <v>1350</v>
      </c>
      <c r="BD41" s="2029">
        <f t="shared" si="34"/>
        <v>1350</v>
      </c>
      <c r="BE41" s="2030">
        <f t="shared" si="16"/>
        <v>2700</v>
      </c>
      <c r="BF41" s="2030">
        <f t="shared" si="16"/>
        <v>2850</v>
      </c>
      <c r="BG41" s="2030">
        <f t="shared" si="16"/>
        <v>3000</v>
      </c>
      <c r="BH41" s="2030">
        <f t="shared" si="16"/>
        <v>3000</v>
      </c>
      <c r="BI41" s="2030">
        <f t="shared" si="17"/>
        <v>0</v>
      </c>
      <c r="BJ41" s="2030">
        <f t="shared" si="17"/>
        <v>0</v>
      </c>
      <c r="BK41" s="2030">
        <f t="shared" si="17"/>
        <v>0</v>
      </c>
      <c r="BL41" s="2030">
        <f t="shared" si="17"/>
        <v>0</v>
      </c>
      <c r="BM41" s="2031"/>
      <c r="BN41" s="2031"/>
      <c r="BO41" s="2031"/>
      <c r="BP41" s="2031"/>
      <c r="BQ41" s="2031"/>
      <c r="BR41" s="2031"/>
      <c r="BS41" s="2031"/>
      <c r="BT41" s="2031"/>
      <c r="BU41" s="2029"/>
      <c r="BV41" s="2029"/>
      <c r="BW41" s="2029"/>
      <c r="BX41" s="2029"/>
      <c r="BY41" s="2029"/>
      <c r="BZ41" s="2032"/>
      <c r="CA41" s="1974"/>
      <c r="CB41" s="1974"/>
      <c r="CC41" s="1974"/>
      <c r="CD41" s="1974"/>
      <c r="CE41" s="1974">
        <v>0</v>
      </c>
      <c r="CF41" s="2033">
        <v>2.0980002064971323E-4</v>
      </c>
      <c r="CG41" s="2026">
        <v>0</v>
      </c>
      <c r="CH41" s="2009">
        <v>0</v>
      </c>
      <c r="CI41" s="2029">
        <v>0</v>
      </c>
      <c r="CK41" s="2029">
        <f t="shared" si="18"/>
        <v>0</v>
      </c>
      <c r="CL41" s="2034">
        <v>1</v>
      </c>
      <c r="CM41" s="2034">
        <v>1</v>
      </c>
      <c r="CN41" s="2034">
        <v>1</v>
      </c>
      <c r="CO41" s="2034">
        <v>1</v>
      </c>
      <c r="CP41" s="2035"/>
      <c r="CQ41" s="2036"/>
      <c r="CR41" s="2036"/>
      <c r="CS41" s="2036"/>
      <c r="CT41" s="2036"/>
      <c r="CU41" s="2036"/>
      <c r="CW41" s="1973">
        <v>2</v>
      </c>
      <c r="CX41" s="2037">
        <v>150</v>
      </c>
      <c r="CY41" s="2037">
        <v>150</v>
      </c>
      <c r="CZ41" s="2037">
        <v>150</v>
      </c>
      <c r="DA41" s="2037">
        <v>150</v>
      </c>
      <c r="DJ41" s="1976">
        <v>150</v>
      </c>
      <c r="DK41" s="1973">
        <v>150</v>
      </c>
      <c r="DL41" s="1973">
        <v>150</v>
      </c>
      <c r="DM41" s="1973">
        <v>150</v>
      </c>
      <c r="DO41" s="2023">
        <v>5</v>
      </c>
      <c r="DP41" s="2024">
        <v>5005.72</v>
      </c>
      <c r="DQ41" s="2024">
        <v>0.56999999999999995</v>
      </c>
      <c r="DR41" s="2023">
        <v>0</v>
      </c>
      <c r="DS41" s="2029">
        <v>150</v>
      </c>
      <c r="DT41" s="2029">
        <v>150</v>
      </c>
      <c r="DU41" s="2029">
        <v>150</v>
      </c>
      <c r="DV41" s="2029">
        <v>150</v>
      </c>
      <c r="DW41" s="1974"/>
      <c r="DX41" s="2029">
        <v>0</v>
      </c>
      <c r="DY41" s="2029">
        <v>0</v>
      </c>
      <c r="DZ41" s="2029">
        <v>0</v>
      </c>
      <c r="EA41" s="2029">
        <v>1350</v>
      </c>
      <c r="EB41" s="2029">
        <v>1350</v>
      </c>
      <c r="EC41" s="2029">
        <v>1350</v>
      </c>
      <c r="ED41" s="2029">
        <v>1350</v>
      </c>
      <c r="EE41" s="2039">
        <f t="shared" si="19"/>
        <v>0</v>
      </c>
      <c r="EF41" s="2039">
        <f t="shared" si="19"/>
        <v>0</v>
      </c>
      <c r="EG41" s="2039">
        <f t="shared" si="19"/>
        <v>0</v>
      </c>
      <c r="EH41" s="2039">
        <f t="shared" si="19"/>
        <v>0</v>
      </c>
      <c r="EI41" s="2040">
        <f t="shared" si="20"/>
        <v>0</v>
      </c>
      <c r="EJ41" s="2040">
        <f t="shared" si="20"/>
        <v>0</v>
      </c>
      <c r="EK41" s="2040">
        <f t="shared" si="20"/>
        <v>0</v>
      </c>
      <c r="EL41" s="2040">
        <f t="shared" si="20"/>
        <v>0</v>
      </c>
      <c r="EM41" s="2040">
        <f t="shared" si="20"/>
        <v>0</v>
      </c>
      <c r="EN41" s="2040">
        <f t="shared" si="20"/>
        <v>0</v>
      </c>
      <c r="EO41" s="2040">
        <f t="shared" si="20"/>
        <v>0</v>
      </c>
      <c r="EP41" s="2040">
        <f t="shared" si="20"/>
        <v>0</v>
      </c>
      <c r="EQ41" s="2040">
        <f t="shared" si="20"/>
        <v>0</v>
      </c>
      <c r="ER41" s="2040">
        <f t="shared" si="20"/>
        <v>0</v>
      </c>
      <c r="ES41" s="2040">
        <f t="shared" si="20"/>
        <v>0</v>
      </c>
      <c r="ET41" s="2040">
        <f t="shared" si="20"/>
        <v>0</v>
      </c>
      <c r="EU41" s="2039">
        <f t="shared" si="21"/>
        <v>0</v>
      </c>
      <c r="EV41" s="2039">
        <f t="shared" si="22"/>
        <v>0</v>
      </c>
    </row>
    <row r="42" spans="1:152" x14ac:dyDescent="0.25">
      <c r="A42" s="2041" t="s">
        <v>104</v>
      </c>
      <c r="B42" s="2022" t="s">
        <v>2896</v>
      </c>
      <c r="C42" s="2023">
        <v>5</v>
      </c>
      <c r="D42" s="2024">
        <v>7925.1</v>
      </c>
      <c r="E42" s="2024">
        <v>0.9</v>
      </c>
      <c r="F42" s="2023">
        <v>0</v>
      </c>
      <c r="G42" s="2026" t="s">
        <v>20</v>
      </c>
      <c r="H42" s="2026" t="s">
        <v>20</v>
      </c>
      <c r="I42" s="2026">
        <v>0.55700000000000005</v>
      </c>
      <c r="J42" s="2026">
        <v>0.55700000000000005</v>
      </c>
      <c r="K42" s="2026">
        <v>0.55700000000000005</v>
      </c>
      <c r="L42" s="2026">
        <v>0.55700000000000005</v>
      </c>
      <c r="M42" s="2027">
        <f t="shared" si="11"/>
        <v>4414.2807000000003</v>
      </c>
      <c r="N42" s="2027">
        <f t="shared" si="11"/>
        <v>4414.2807000000003</v>
      </c>
      <c r="O42" s="2027">
        <f t="shared" si="11"/>
        <v>4414.2807000000003</v>
      </c>
      <c r="P42" s="2027">
        <f t="shared" si="11"/>
        <v>4414.2807000000003</v>
      </c>
      <c r="Q42" s="2026">
        <v>0.55700000000000005</v>
      </c>
      <c r="R42" s="2026">
        <v>0.55700000000000005</v>
      </c>
      <c r="S42" s="2026">
        <v>0.55700000000000005</v>
      </c>
      <c r="T42" s="2026">
        <v>0.55700000000000005</v>
      </c>
      <c r="U42" s="2028">
        <f t="shared" si="12"/>
        <v>0.50130000000000008</v>
      </c>
      <c r="V42" s="2028">
        <f t="shared" si="12"/>
        <v>0.50130000000000008</v>
      </c>
      <c r="W42" s="2028">
        <f t="shared" si="12"/>
        <v>0.50130000000000008</v>
      </c>
      <c r="X42" s="2028">
        <f t="shared" si="12"/>
        <v>0.50130000000000008</v>
      </c>
      <c r="Y42" s="2026">
        <v>0.49399999999999999</v>
      </c>
      <c r="Z42" s="2026">
        <v>0.49399999999999999</v>
      </c>
      <c r="AA42" s="2026">
        <v>0.49399999999999999</v>
      </c>
      <c r="AB42" s="2026">
        <v>0.49399999999999999</v>
      </c>
      <c r="AC42" s="2027">
        <f t="shared" si="31"/>
        <v>0</v>
      </c>
      <c r="AD42" s="2027">
        <f t="shared" si="31"/>
        <v>0</v>
      </c>
      <c r="AE42" s="2027">
        <f t="shared" si="31"/>
        <v>0</v>
      </c>
      <c r="AF42" s="2027">
        <f t="shared" si="31"/>
        <v>0</v>
      </c>
      <c r="AG42" s="2027">
        <v>2</v>
      </c>
      <c r="AH42" s="2027">
        <v>3</v>
      </c>
      <c r="AI42" s="2027">
        <v>3</v>
      </c>
      <c r="AJ42" s="2027">
        <v>3</v>
      </c>
      <c r="AK42" s="2027">
        <f t="shared" si="27"/>
        <v>8828.5614000000005</v>
      </c>
      <c r="AL42" s="2027">
        <f t="shared" si="32"/>
        <v>13242.842100000002</v>
      </c>
      <c r="AM42" s="2027">
        <f t="shared" si="32"/>
        <v>13242.842100000002</v>
      </c>
      <c r="AN42" s="2027">
        <f t="shared" si="32"/>
        <v>13242.842100000002</v>
      </c>
      <c r="AO42" s="2027">
        <f t="shared" si="28"/>
        <v>0</v>
      </c>
      <c r="AP42" s="2027">
        <f t="shared" si="30"/>
        <v>0</v>
      </c>
      <c r="AQ42" s="2027">
        <f t="shared" si="30"/>
        <v>0</v>
      </c>
      <c r="AR42" s="2027">
        <f t="shared" si="29"/>
        <v>0</v>
      </c>
      <c r="AS42" s="2029">
        <v>300</v>
      </c>
      <c r="AT42" s="2029">
        <f t="shared" si="13"/>
        <v>300</v>
      </c>
      <c r="AU42" s="2029">
        <f t="shared" si="13"/>
        <v>300</v>
      </c>
      <c r="AV42" s="2029">
        <f t="shared" si="13"/>
        <v>300</v>
      </c>
      <c r="AW42" s="1974"/>
      <c r="AX42" s="2029">
        <f t="shared" si="33"/>
        <v>0</v>
      </c>
      <c r="AY42" s="2029">
        <f t="shared" si="33"/>
        <v>0</v>
      </c>
      <c r="AZ42" s="2029">
        <f t="shared" si="33"/>
        <v>0</v>
      </c>
      <c r="BA42" s="2029">
        <v>1350</v>
      </c>
      <c r="BB42" s="2029">
        <f t="shared" si="34"/>
        <v>1350</v>
      </c>
      <c r="BC42" s="2029">
        <f t="shared" si="34"/>
        <v>1350</v>
      </c>
      <c r="BD42" s="2029">
        <f t="shared" si="34"/>
        <v>1350</v>
      </c>
      <c r="BE42" s="2030">
        <f t="shared" si="16"/>
        <v>600</v>
      </c>
      <c r="BF42" s="2030">
        <f t="shared" si="16"/>
        <v>900</v>
      </c>
      <c r="BG42" s="2030">
        <f t="shared" si="16"/>
        <v>900</v>
      </c>
      <c r="BH42" s="2030">
        <f t="shared" si="16"/>
        <v>900</v>
      </c>
      <c r="BI42" s="2030">
        <f t="shared" si="17"/>
        <v>0</v>
      </c>
      <c r="BJ42" s="2030">
        <f t="shared" si="17"/>
        <v>0</v>
      </c>
      <c r="BK42" s="2030">
        <f t="shared" si="17"/>
        <v>0</v>
      </c>
      <c r="BL42" s="2030">
        <f t="shared" si="17"/>
        <v>0</v>
      </c>
      <c r="BM42" s="2031"/>
      <c r="BN42" s="2031"/>
      <c r="BO42" s="2031"/>
      <c r="BP42" s="2031"/>
      <c r="BQ42" s="2031"/>
      <c r="BR42" s="2031"/>
      <c r="BS42" s="2031"/>
      <c r="BT42" s="2031"/>
      <c r="BU42" s="2029"/>
      <c r="BV42" s="2029"/>
      <c r="BW42" s="2029"/>
      <c r="BX42" s="2029"/>
      <c r="BY42" s="2029"/>
      <c r="BZ42" s="2032"/>
      <c r="CA42" s="1974"/>
      <c r="CB42" s="1974"/>
      <c r="CC42" s="1974"/>
      <c r="CD42" s="1974"/>
      <c r="CE42" s="1974">
        <v>0</v>
      </c>
      <c r="CF42" s="2033">
        <v>3.6906360094075531E-5</v>
      </c>
      <c r="CG42" s="2026">
        <v>0</v>
      </c>
      <c r="CH42" s="2009">
        <v>0</v>
      </c>
      <c r="CI42" s="2029">
        <v>0</v>
      </c>
      <c r="CK42" s="2029">
        <f t="shared" si="18"/>
        <v>0</v>
      </c>
      <c r="CL42" s="2034">
        <v>1</v>
      </c>
      <c r="CM42" s="2034">
        <v>1</v>
      </c>
      <c r="CN42" s="2034">
        <v>1</v>
      </c>
      <c r="CO42" s="2034">
        <v>1</v>
      </c>
      <c r="CP42" s="2035"/>
      <c r="CQ42" s="2036"/>
      <c r="CR42" s="2036"/>
      <c r="CS42" s="2036"/>
      <c r="CT42" s="2036"/>
      <c r="CU42" s="2036"/>
      <c r="CW42" s="1973">
        <v>2</v>
      </c>
      <c r="CX42" s="2037">
        <v>300</v>
      </c>
      <c r="CY42" s="2037">
        <v>300</v>
      </c>
      <c r="CZ42" s="2037">
        <v>300</v>
      </c>
      <c r="DA42" s="2037">
        <v>300</v>
      </c>
      <c r="DJ42" s="1976">
        <v>300</v>
      </c>
      <c r="DK42" s="1973">
        <v>300</v>
      </c>
      <c r="DL42" s="1973">
        <v>300</v>
      </c>
      <c r="DM42" s="1973">
        <v>300</v>
      </c>
      <c r="DO42" s="2023">
        <v>5</v>
      </c>
      <c r="DP42" s="2024">
        <v>7925.1</v>
      </c>
      <c r="DQ42" s="2024">
        <v>0.9</v>
      </c>
      <c r="DR42" s="2023">
        <v>0</v>
      </c>
      <c r="DS42" s="2029">
        <v>300</v>
      </c>
      <c r="DT42" s="2029">
        <v>300</v>
      </c>
      <c r="DU42" s="2029">
        <v>300</v>
      </c>
      <c r="DV42" s="2029">
        <v>300</v>
      </c>
      <c r="DW42" s="1974"/>
      <c r="DX42" s="2029">
        <v>0</v>
      </c>
      <c r="DY42" s="2029">
        <v>0</v>
      </c>
      <c r="DZ42" s="2029">
        <v>0</v>
      </c>
      <c r="EA42" s="2029">
        <v>1350</v>
      </c>
      <c r="EB42" s="2029">
        <v>1350</v>
      </c>
      <c r="EC42" s="2029">
        <v>1350</v>
      </c>
      <c r="ED42" s="2029">
        <v>1350</v>
      </c>
      <c r="EE42" s="2039">
        <f t="shared" si="19"/>
        <v>0</v>
      </c>
      <c r="EF42" s="2039">
        <f t="shared" si="19"/>
        <v>0</v>
      </c>
      <c r="EG42" s="2039">
        <f t="shared" si="19"/>
        <v>0</v>
      </c>
      <c r="EH42" s="2039">
        <f t="shared" si="19"/>
        <v>0</v>
      </c>
      <c r="EI42" s="2040">
        <f t="shared" ref="EI42:ET63" si="35">AS42-DS42</f>
        <v>0</v>
      </c>
      <c r="EJ42" s="2040">
        <f t="shared" si="35"/>
        <v>0</v>
      </c>
      <c r="EK42" s="2040">
        <f t="shared" si="35"/>
        <v>0</v>
      </c>
      <c r="EL42" s="2040">
        <f t="shared" si="35"/>
        <v>0</v>
      </c>
      <c r="EM42" s="2040">
        <f t="shared" si="35"/>
        <v>0</v>
      </c>
      <c r="EN42" s="2040">
        <f t="shared" si="35"/>
        <v>0</v>
      </c>
      <c r="EO42" s="2040">
        <f t="shared" si="35"/>
        <v>0</v>
      </c>
      <c r="EP42" s="2040">
        <f t="shared" si="35"/>
        <v>0</v>
      </c>
      <c r="EQ42" s="2040">
        <f t="shared" si="35"/>
        <v>0</v>
      </c>
      <c r="ER42" s="2040">
        <f t="shared" si="35"/>
        <v>0</v>
      </c>
      <c r="ES42" s="2040">
        <f t="shared" si="35"/>
        <v>0</v>
      </c>
      <c r="ET42" s="2040">
        <f t="shared" si="35"/>
        <v>0</v>
      </c>
      <c r="EU42" s="2039">
        <f t="shared" si="21"/>
        <v>0</v>
      </c>
      <c r="EV42" s="2039">
        <f t="shared" si="22"/>
        <v>0</v>
      </c>
    </row>
    <row r="43" spans="1:152" x14ac:dyDescent="0.25">
      <c r="A43" s="2041" t="s">
        <v>221</v>
      </c>
      <c r="B43" s="2022" t="s">
        <v>2897</v>
      </c>
      <c r="C43" s="2543">
        <v>8</v>
      </c>
      <c r="D43" s="2024">
        <v>358.62</v>
      </c>
      <c r="E43" s="2024">
        <v>0.27</v>
      </c>
      <c r="F43" s="2023">
        <v>0</v>
      </c>
      <c r="G43" s="2026" t="s">
        <v>20</v>
      </c>
      <c r="H43" s="2026" t="s">
        <v>20</v>
      </c>
      <c r="I43" s="2026">
        <v>0.55700000000000005</v>
      </c>
      <c r="J43" s="2026">
        <v>0.55700000000000005</v>
      </c>
      <c r="K43" s="2026">
        <v>0.55700000000000005</v>
      </c>
      <c r="L43" s="2026">
        <v>0.55700000000000005</v>
      </c>
      <c r="M43" s="2027">
        <f t="shared" si="11"/>
        <v>199.75134000000003</v>
      </c>
      <c r="N43" s="2027">
        <f t="shared" si="11"/>
        <v>199.75134000000003</v>
      </c>
      <c r="O43" s="2027">
        <f t="shared" si="11"/>
        <v>199.75134000000003</v>
      </c>
      <c r="P43" s="2027">
        <f t="shared" si="11"/>
        <v>199.75134000000003</v>
      </c>
      <c r="Q43" s="2026">
        <v>0.55700000000000005</v>
      </c>
      <c r="R43" s="2026">
        <v>0.55700000000000005</v>
      </c>
      <c r="S43" s="2026">
        <v>0.55700000000000005</v>
      </c>
      <c r="T43" s="2026">
        <v>0.55700000000000005</v>
      </c>
      <c r="U43" s="2028">
        <f t="shared" si="12"/>
        <v>0.15039000000000002</v>
      </c>
      <c r="V43" s="2028">
        <f t="shared" si="12"/>
        <v>0.15039000000000002</v>
      </c>
      <c r="W43" s="2028">
        <f t="shared" si="12"/>
        <v>0.15039000000000002</v>
      </c>
      <c r="X43" s="2028">
        <f t="shared" si="12"/>
        <v>0.15039000000000002</v>
      </c>
      <c r="Y43" s="2026">
        <v>0.49399999999999999</v>
      </c>
      <c r="Z43" s="2026">
        <v>0.49399999999999999</v>
      </c>
      <c r="AA43" s="2026">
        <v>0.49399999999999999</v>
      </c>
      <c r="AB43" s="2026">
        <v>0.49399999999999999</v>
      </c>
      <c r="AC43" s="2027">
        <f t="shared" si="31"/>
        <v>0</v>
      </c>
      <c r="AD43" s="2027">
        <f t="shared" si="31"/>
        <v>0</v>
      </c>
      <c r="AE43" s="2027">
        <f t="shared" si="31"/>
        <v>0</v>
      </c>
      <c r="AF43" s="2027">
        <f t="shared" si="31"/>
        <v>0</v>
      </c>
      <c r="AG43" s="2027">
        <v>5</v>
      </c>
      <c r="AH43" s="2027">
        <v>3</v>
      </c>
      <c r="AI43" s="2027">
        <v>6</v>
      </c>
      <c r="AJ43" s="2027">
        <v>3</v>
      </c>
      <c r="AK43" s="2027">
        <f t="shared" si="27"/>
        <v>998.75670000000014</v>
      </c>
      <c r="AL43" s="2027">
        <f t="shared" si="32"/>
        <v>599.25402000000008</v>
      </c>
      <c r="AM43" s="2027">
        <f t="shared" si="32"/>
        <v>1198.5080400000002</v>
      </c>
      <c r="AN43" s="2027">
        <f t="shared" si="32"/>
        <v>599.25402000000008</v>
      </c>
      <c r="AO43" s="2027">
        <f t="shared" si="28"/>
        <v>0</v>
      </c>
      <c r="AP43" s="2027">
        <f t="shared" si="30"/>
        <v>0</v>
      </c>
      <c r="AQ43" s="2027">
        <f t="shared" si="30"/>
        <v>0</v>
      </c>
      <c r="AR43" s="2027">
        <f t="shared" si="29"/>
        <v>0</v>
      </c>
      <c r="AS43" s="2029">
        <v>22</v>
      </c>
      <c r="AT43" s="2029">
        <f t="shared" si="13"/>
        <v>22</v>
      </c>
      <c r="AU43" s="2029">
        <f t="shared" si="13"/>
        <v>22</v>
      </c>
      <c r="AV43" s="2029">
        <f t="shared" si="13"/>
        <v>22</v>
      </c>
      <c r="AW43" s="1974"/>
      <c r="AX43" s="2029">
        <f t="shared" si="33"/>
        <v>0</v>
      </c>
      <c r="AY43" s="2029">
        <f t="shared" si="33"/>
        <v>0</v>
      </c>
      <c r="AZ43" s="2029">
        <f t="shared" si="33"/>
        <v>0</v>
      </c>
      <c r="BA43" s="2029">
        <v>84</v>
      </c>
      <c r="BB43" s="2029">
        <f t="shared" si="34"/>
        <v>84</v>
      </c>
      <c r="BC43" s="2029">
        <f t="shared" si="34"/>
        <v>84</v>
      </c>
      <c r="BD43" s="2029">
        <f t="shared" si="34"/>
        <v>84</v>
      </c>
      <c r="BE43" s="2030">
        <f t="shared" si="16"/>
        <v>110</v>
      </c>
      <c r="BF43" s="2030">
        <f t="shared" si="16"/>
        <v>66</v>
      </c>
      <c r="BG43" s="2030">
        <f t="shared" si="16"/>
        <v>132</v>
      </c>
      <c r="BH43" s="2030">
        <f t="shared" si="16"/>
        <v>66</v>
      </c>
      <c r="BI43" s="2030">
        <f t="shared" si="17"/>
        <v>0</v>
      </c>
      <c r="BJ43" s="2030">
        <f t="shared" si="17"/>
        <v>0</v>
      </c>
      <c r="BK43" s="2030">
        <f t="shared" si="17"/>
        <v>0</v>
      </c>
      <c r="BL43" s="2030">
        <f t="shared" si="17"/>
        <v>0</v>
      </c>
      <c r="BM43" s="2031"/>
      <c r="BN43" s="2031"/>
      <c r="BO43" s="2031"/>
      <c r="BP43" s="2031"/>
      <c r="BQ43" s="2031"/>
      <c r="BR43" s="2031"/>
      <c r="BS43" s="2031"/>
      <c r="BT43" s="2031"/>
      <c r="BU43" s="2029"/>
      <c r="BV43" s="2029"/>
      <c r="BW43" s="2029"/>
      <c r="BX43" s="2029"/>
      <c r="BY43" s="2029"/>
      <c r="BZ43" s="2032"/>
      <c r="CA43" s="1974"/>
      <c r="CB43" s="1974"/>
      <c r="CC43" s="1974"/>
      <c r="CD43" s="1974"/>
      <c r="CE43" s="1974">
        <v>0</v>
      </c>
      <c r="CF43" s="2033">
        <v>4.1751393852876838E-6</v>
      </c>
      <c r="CG43" s="2026">
        <v>0</v>
      </c>
      <c r="CH43" s="2009">
        <v>0</v>
      </c>
      <c r="CI43" s="2029">
        <v>0</v>
      </c>
      <c r="CK43" s="2029">
        <f t="shared" si="18"/>
        <v>0</v>
      </c>
      <c r="CL43" s="2034">
        <v>1</v>
      </c>
      <c r="CM43" s="2034">
        <v>1</v>
      </c>
      <c r="CN43" s="2034">
        <v>1</v>
      </c>
      <c r="CO43" s="2034">
        <v>1</v>
      </c>
      <c r="CP43" s="2035"/>
      <c r="CQ43" s="2036"/>
      <c r="CR43" s="2036"/>
      <c r="CS43" s="2049"/>
      <c r="CT43" s="2049"/>
      <c r="CU43" s="2049"/>
      <c r="CW43" s="1973">
        <v>0</v>
      </c>
      <c r="CX43" s="2037">
        <v>22</v>
      </c>
      <c r="CY43" s="2037">
        <v>22</v>
      </c>
      <c r="CZ43" s="2037">
        <v>22</v>
      </c>
      <c r="DA43" s="2037">
        <v>22</v>
      </c>
      <c r="DJ43" s="1976">
        <v>22</v>
      </c>
      <c r="DK43" s="1973">
        <v>22</v>
      </c>
      <c r="DL43" s="1973">
        <v>22</v>
      </c>
      <c r="DM43" s="1973">
        <v>22</v>
      </c>
      <c r="DO43" s="2023">
        <v>15</v>
      </c>
      <c r="DP43" s="2024">
        <v>358.62</v>
      </c>
      <c r="DQ43" s="2024">
        <v>0.27</v>
      </c>
      <c r="DR43" s="2023">
        <v>0</v>
      </c>
      <c r="DS43" s="2029">
        <v>22</v>
      </c>
      <c r="DT43" s="2029">
        <v>22</v>
      </c>
      <c r="DU43" s="2029">
        <v>22</v>
      </c>
      <c r="DV43" s="2029">
        <v>22</v>
      </c>
      <c r="DW43" s="1974"/>
      <c r="DX43" s="2029">
        <v>0</v>
      </c>
      <c r="DY43" s="2029">
        <v>0</v>
      </c>
      <c r="DZ43" s="2029">
        <v>0</v>
      </c>
      <c r="EA43" s="2029">
        <v>84</v>
      </c>
      <c r="EB43" s="2029">
        <v>84</v>
      </c>
      <c r="EC43" s="2029">
        <v>84</v>
      </c>
      <c r="ED43" s="2029">
        <v>84</v>
      </c>
      <c r="EE43" s="2039">
        <f t="shared" si="19"/>
        <v>-7</v>
      </c>
      <c r="EF43" s="2039">
        <f t="shared" si="19"/>
        <v>0</v>
      </c>
      <c r="EG43" s="2039">
        <f t="shared" si="19"/>
        <v>0</v>
      </c>
      <c r="EH43" s="2039">
        <f t="shared" si="19"/>
        <v>0</v>
      </c>
      <c r="EI43" s="2040">
        <f t="shared" si="35"/>
        <v>0</v>
      </c>
      <c r="EJ43" s="2040">
        <f t="shared" si="35"/>
        <v>0</v>
      </c>
      <c r="EK43" s="2040">
        <f t="shared" si="35"/>
        <v>0</v>
      </c>
      <c r="EL43" s="2040">
        <f t="shared" si="35"/>
        <v>0</v>
      </c>
      <c r="EM43" s="2040">
        <f t="shared" si="35"/>
        <v>0</v>
      </c>
      <c r="EN43" s="2040">
        <f t="shared" si="35"/>
        <v>0</v>
      </c>
      <c r="EO43" s="2040">
        <f t="shared" si="35"/>
        <v>0</v>
      </c>
      <c r="EP43" s="2040">
        <f t="shared" si="35"/>
        <v>0</v>
      </c>
      <c r="EQ43" s="2040">
        <f t="shared" si="35"/>
        <v>0</v>
      </c>
      <c r="ER43" s="2040">
        <f t="shared" si="35"/>
        <v>0</v>
      </c>
      <c r="ES43" s="2040">
        <f t="shared" si="35"/>
        <v>0</v>
      </c>
      <c r="ET43" s="2040">
        <f t="shared" si="35"/>
        <v>0</v>
      </c>
      <c r="EU43" s="2039">
        <f t="shared" si="21"/>
        <v>-7</v>
      </c>
      <c r="EV43" s="2039">
        <f t="shared" si="22"/>
        <v>-7</v>
      </c>
    </row>
    <row r="44" spans="1:152" x14ac:dyDescent="0.25">
      <c r="A44" s="2041" t="s">
        <v>222</v>
      </c>
      <c r="B44" s="2022" t="s">
        <v>2898</v>
      </c>
      <c r="C44" s="2023">
        <v>5</v>
      </c>
      <c r="D44" s="2024">
        <v>1411.33</v>
      </c>
      <c r="E44" s="2024">
        <v>0</v>
      </c>
      <c r="F44" s="2023">
        <v>0</v>
      </c>
      <c r="G44" s="2026" t="s">
        <v>2899</v>
      </c>
      <c r="H44" s="2026" t="s">
        <v>2899</v>
      </c>
      <c r="I44" s="2026">
        <v>0.84899999999999998</v>
      </c>
      <c r="J44" s="2026">
        <v>0.84899999999999998</v>
      </c>
      <c r="K44" s="2026">
        <v>0.84899999999999998</v>
      </c>
      <c r="L44" s="2026">
        <v>0.84899999999999998</v>
      </c>
      <c r="M44" s="2027">
        <f t="shared" si="11"/>
        <v>1198.2191699999998</v>
      </c>
      <c r="N44" s="2027">
        <f t="shared" si="11"/>
        <v>1198.2191699999998</v>
      </c>
      <c r="O44" s="2027">
        <f t="shared" si="11"/>
        <v>1198.2191699999998</v>
      </c>
      <c r="P44" s="2027">
        <f t="shared" si="11"/>
        <v>1198.2191699999998</v>
      </c>
      <c r="Q44" s="2026">
        <v>0.84899999999999998</v>
      </c>
      <c r="R44" s="2026">
        <v>0.84899999999999998</v>
      </c>
      <c r="S44" s="2026">
        <v>0.84899999999999998</v>
      </c>
      <c r="T44" s="2026">
        <v>0.84899999999999998</v>
      </c>
      <c r="U44" s="2028">
        <f t="shared" si="12"/>
        <v>0</v>
      </c>
      <c r="V44" s="2028">
        <f t="shared" si="12"/>
        <v>0</v>
      </c>
      <c r="W44" s="2028">
        <f t="shared" si="12"/>
        <v>0</v>
      </c>
      <c r="X44" s="2028">
        <f t="shared" si="12"/>
        <v>0</v>
      </c>
      <c r="Y44" s="2026">
        <v>0.67500000000000004</v>
      </c>
      <c r="Z44" s="2026">
        <v>0.67500000000000004</v>
      </c>
      <c r="AA44" s="2026">
        <v>0.67500000000000004</v>
      </c>
      <c r="AB44" s="2026">
        <v>0.67500000000000004</v>
      </c>
      <c r="AC44" s="2027">
        <f t="shared" si="31"/>
        <v>0</v>
      </c>
      <c r="AD44" s="2027">
        <f t="shared" si="31"/>
        <v>0</v>
      </c>
      <c r="AE44" s="2027">
        <f t="shared" si="31"/>
        <v>0</v>
      </c>
      <c r="AF44" s="2027">
        <f t="shared" si="31"/>
        <v>0</v>
      </c>
      <c r="AG44" s="2027">
        <v>4</v>
      </c>
      <c r="AH44" s="2027">
        <v>5</v>
      </c>
      <c r="AI44" s="2027">
        <v>5</v>
      </c>
      <c r="AJ44" s="2027">
        <v>5</v>
      </c>
      <c r="AK44" s="2027">
        <f t="shared" si="27"/>
        <v>4792.8766799999994</v>
      </c>
      <c r="AL44" s="2027">
        <f t="shared" si="32"/>
        <v>5991.0958499999997</v>
      </c>
      <c r="AM44" s="2027">
        <f t="shared" si="32"/>
        <v>5991.0958499999997</v>
      </c>
      <c r="AN44" s="2027">
        <f t="shared" si="32"/>
        <v>5991.0958499999997</v>
      </c>
      <c r="AO44" s="2027">
        <f t="shared" si="28"/>
        <v>0</v>
      </c>
      <c r="AP44" s="2027">
        <f t="shared" si="30"/>
        <v>0</v>
      </c>
      <c r="AQ44" s="2027">
        <f t="shared" si="30"/>
        <v>0</v>
      </c>
      <c r="AR44" s="2027">
        <f t="shared" si="29"/>
        <v>0</v>
      </c>
      <c r="AS44" s="2029">
        <v>150</v>
      </c>
      <c r="AT44" s="2029">
        <f t="shared" si="13"/>
        <v>150</v>
      </c>
      <c r="AU44" s="2029">
        <f t="shared" si="13"/>
        <v>150</v>
      </c>
      <c r="AV44" s="2029">
        <f t="shared" si="13"/>
        <v>150</v>
      </c>
      <c r="AW44" s="1974"/>
      <c r="AX44" s="2029">
        <f t="shared" si="33"/>
        <v>0</v>
      </c>
      <c r="AY44" s="2029">
        <f t="shared" si="33"/>
        <v>0</v>
      </c>
      <c r="AZ44" s="2029">
        <f t="shared" si="33"/>
        <v>0</v>
      </c>
      <c r="BA44" s="2029">
        <v>180</v>
      </c>
      <c r="BB44" s="2029">
        <f t="shared" si="34"/>
        <v>180</v>
      </c>
      <c r="BC44" s="2029">
        <f t="shared" si="34"/>
        <v>180</v>
      </c>
      <c r="BD44" s="2029">
        <f t="shared" si="34"/>
        <v>180</v>
      </c>
      <c r="BE44" s="2030">
        <f t="shared" si="16"/>
        <v>600</v>
      </c>
      <c r="BF44" s="2030">
        <f t="shared" si="16"/>
        <v>750</v>
      </c>
      <c r="BG44" s="2030">
        <f t="shared" si="16"/>
        <v>750</v>
      </c>
      <c r="BH44" s="2030">
        <f t="shared" si="16"/>
        <v>750</v>
      </c>
      <c r="BI44" s="2030">
        <f t="shared" si="17"/>
        <v>0</v>
      </c>
      <c r="BJ44" s="2030">
        <f t="shared" si="17"/>
        <v>0</v>
      </c>
      <c r="BK44" s="2030">
        <f t="shared" si="17"/>
        <v>0</v>
      </c>
      <c r="BL44" s="2030">
        <f t="shared" si="17"/>
        <v>0</v>
      </c>
      <c r="BM44" s="2031"/>
      <c r="BN44" s="2031"/>
      <c r="BO44" s="2031"/>
      <c r="BP44" s="2031"/>
      <c r="BQ44" s="2031"/>
      <c r="BR44" s="2031"/>
      <c r="BS44" s="2031"/>
      <c r="BT44" s="2031"/>
      <c r="BU44" s="2029"/>
      <c r="BV44" s="2029"/>
      <c r="BW44" s="2029"/>
      <c r="BX44" s="2029"/>
      <c r="BY44" s="2029"/>
      <c r="BZ44" s="2032"/>
      <c r="CA44" s="1974"/>
      <c r="CB44" s="1974"/>
      <c r="CC44" s="1974"/>
      <c r="CD44" s="1974"/>
      <c r="CE44" s="1974">
        <v>0</v>
      </c>
      <c r="CF44" s="2033">
        <v>2.0035838753817493E-5</v>
      </c>
      <c r="CG44" s="2026">
        <v>0</v>
      </c>
      <c r="CH44" s="2009">
        <v>0</v>
      </c>
      <c r="CI44" s="2029">
        <v>0</v>
      </c>
      <c r="CK44" s="2029">
        <f t="shared" si="18"/>
        <v>0</v>
      </c>
      <c r="CL44" s="2034">
        <v>1</v>
      </c>
      <c r="CM44" s="2034">
        <v>1</v>
      </c>
      <c r="CN44" s="2034">
        <v>1</v>
      </c>
      <c r="CO44" s="2034">
        <v>1</v>
      </c>
      <c r="CP44" s="2035"/>
      <c r="CQ44" s="2036"/>
      <c r="CR44" s="2036"/>
      <c r="CS44" s="2049"/>
      <c r="CT44" s="2049"/>
      <c r="CU44" s="2049"/>
      <c r="CW44" s="1973">
        <v>0</v>
      </c>
      <c r="CX44" s="2037">
        <v>150</v>
      </c>
      <c r="CY44" s="2037">
        <v>150</v>
      </c>
      <c r="CZ44" s="2037">
        <v>150</v>
      </c>
      <c r="DA44" s="2037">
        <v>150</v>
      </c>
      <c r="DJ44" s="1976">
        <v>150</v>
      </c>
      <c r="DK44" s="1973">
        <v>150</v>
      </c>
      <c r="DL44" s="1973">
        <v>150</v>
      </c>
      <c r="DM44" s="1973">
        <v>150</v>
      </c>
      <c r="DO44" s="2023">
        <v>5</v>
      </c>
      <c r="DP44" s="2024">
        <v>1411.33</v>
      </c>
      <c r="DQ44" s="2024">
        <v>0</v>
      </c>
      <c r="DR44" s="2023">
        <v>0</v>
      </c>
      <c r="DS44" s="2029">
        <v>150</v>
      </c>
      <c r="DT44" s="2029">
        <v>150</v>
      </c>
      <c r="DU44" s="2029">
        <v>150</v>
      </c>
      <c r="DV44" s="2029">
        <v>150</v>
      </c>
      <c r="DW44" s="1974"/>
      <c r="DX44" s="2029">
        <v>0</v>
      </c>
      <c r="DY44" s="2029">
        <v>0</v>
      </c>
      <c r="DZ44" s="2029">
        <v>0</v>
      </c>
      <c r="EA44" s="2029">
        <v>180</v>
      </c>
      <c r="EB44" s="2029">
        <v>180</v>
      </c>
      <c r="EC44" s="2029">
        <v>180</v>
      </c>
      <c r="ED44" s="2029">
        <v>180</v>
      </c>
      <c r="EE44" s="2039">
        <f t="shared" si="19"/>
        <v>0</v>
      </c>
      <c r="EF44" s="2039">
        <f t="shared" si="19"/>
        <v>0</v>
      </c>
      <c r="EG44" s="2039">
        <f t="shared" si="19"/>
        <v>0</v>
      </c>
      <c r="EH44" s="2039">
        <f t="shared" si="19"/>
        <v>0</v>
      </c>
      <c r="EI44" s="2040">
        <f t="shared" si="35"/>
        <v>0</v>
      </c>
      <c r="EJ44" s="2040">
        <f t="shared" si="35"/>
        <v>0</v>
      </c>
      <c r="EK44" s="2040">
        <f t="shared" si="35"/>
        <v>0</v>
      </c>
      <c r="EL44" s="2040">
        <f t="shared" si="35"/>
        <v>0</v>
      </c>
      <c r="EM44" s="2040">
        <f t="shared" si="35"/>
        <v>0</v>
      </c>
      <c r="EN44" s="2040">
        <f t="shared" si="35"/>
        <v>0</v>
      </c>
      <c r="EO44" s="2040">
        <f t="shared" si="35"/>
        <v>0</v>
      </c>
      <c r="EP44" s="2040">
        <f t="shared" si="35"/>
        <v>0</v>
      </c>
      <c r="EQ44" s="2040">
        <f t="shared" si="35"/>
        <v>0</v>
      </c>
      <c r="ER44" s="2040">
        <f t="shared" si="35"/>
        <v>0</v>
      </c>
      <c r="ES44" s="2040">
        <f t="shared" si="35"/>
        <v>0</v>
      </c>
      <c r="ET44" s="2040">
        <f t="shared" si="35"/>
        <v>0</v>
      </c>
      <c r="EU44" s="2039">
        <f t="shared" si="21"/>
        <v>0</v>
      </c>
      <c r="EV44" s="2039">
        <f t="shared" si="22"/>
        <v>0</v>
      </c>
    </row>
    <row r="45" spans="1:152" x14ac:dyDescent="0.25">
      <c r="A45" s="2041" t="s">
        <v>223</v>
      </c>
      <c r="B45" s="2022" t="s">
        <v>2900</v>
      </c>
      <c r="C45" s="2023">
        <v>5</v>
      </c>
      <c r="D45" s="2024">
        <v>342.75</v>
      </c>
      <c r="E45" s="2024">
        <v>0</v>
      </c>
      <c r="F45" s="2023">
        <v>0</v>
      </c>
      <c r="G45" s="2026" t="s">
        <v>2899</v>
      </c>
      <c r="H45" s="2026" t="s">
        <v>2899</v>
      </c>
      <c r="I45" s="2026">
        <v>0.84899999999999998</v>
      </c>
      <c r="J45" s="2026">
        <v>0.84899999999999998</v>
      </c>
      <c r="K45" s="2026">
        <v>0.84899999999999998</v>
      </c>
      <c r="L45" s="2026">
        <v>0.84899999999999998</v>
      </c>
      <c r="M45" s="2027">
        <f t="shared" si="11"/>
        <v>290.99475000000001</v>
      </c>
      <c r="N45" s="2027">
        <f t="shared" si="11"/>
        <v>290.99475000000001</v>
      </c>
      <c r="O45" s="2027">
        <f t="shared" si="11"/>
        <v>290.99475000000001</v>
      </c>
      <c r="P45" s="2027">
        <f t="shared" si="11"/>
        <v>290.99475000000001</v>
      </c>
      <c r="Q45" s="2026">
        <v>0.84899999999999998</v>
      </c>
      <c r="R45" s="2026">
        <v>0.84899999999999998</v>
      </c>
      <c r="S45" s="2026">
        <v>0.84899999999999998</v>
      </c>
      <c r="T45" s="2026">
        <v>0.84899999999999998</v>
      </c>
      <c r="U45" s="2028">
        <f t="shared" si="12"/>
        <v>0</v>
      </c>
      <c r="V45" s="2028">
        <f t="shared" si="12"/>
        <v>0</v>
      </c>
      <c r="W45" s="2028">
        <f t="shared" si="12"/>
        <v>0</v>
      </c>
      <c r="X45" s="2028">
        <f t="shared" si="12"/>
        <v>0</v>
      </c>
      <c r="Y45" s="2026">
        <v>0.67500000000000004</v>
      </c>
      <c r="Z45" s="2026">
        <v>0.67500000000000004</v>
      </c>
      <c r="AA45" s="2026">
        <v>0.67500000000000004</v>
      </c>
      <c r="AB45" s="2026">
        <v>0.67500000000000004</v>
      </c>
      <c r="AC45" s="2027">
        <f t="shared" si="31"/>
        <v>0</v>
      </c>
      <c r="AD45" s="2027">
        <f t="shared" si="31"/>
        <v>0</v>
      </c>
      <c r="AE45" s="2027">
        <f t="shared" si="31"/>
        <v>0</v>
      </c>
      <c r="AF45" s="2027">
        <f t="shared" si="31"/>
        <v>0</v>
      </c>
      <c r="AG45" s="2027">
        <v>2</v>
      </c>
      <c r="AH45" s="2027">
        <v>3</v>
      </c>
      <c r="AI45" s="2027">
        <v>3</v>
      </c>
      <c r="AJ45" s="2027">
        <v>3</v>
      </c>
      <c r="AK45" s="2027">
        <f t="shared" si="27"/>
        <v>581.98950000000002</v>
      </c>
      <c r="AL45" s="2027">
        <f t="shared" si="32"/>
        <v>872.98424999999997</v>
      </c>
      <c r="AM45" s="2027">
        <f t="shared" si="32"/>
        <v>872.98424999999997</v>
      </c>
      <c r="AN45" s="2027">
        <f t="shared" si="32"/>
        <v>872.98424999999997</v>
      </c>
      <c r="AO45" s="2027">
        <f t="shared" si="28"/>
        <v>0</v>
      </c>
      <c r="AP45" s="2027">
        <f t="shared" si="30"/>
        <v>0</v>
      </c>
      <c r="AQ45" s="2027">
        <f t="shared" si="30"/>
        <v>0</v>
      </c>
      <c r="AR45" s="2027">
        <f t="shared" si="29"/>
        <v>0</v>
      </c>
      <c r="AS45" s="2029">
        <v>50</v>
      </c>
      <c r="AT45" s="2029">
        <f t="shared" si="13"/>
        <v>50</v>
      </c>
      <c r="AU45" s="2029">
        <f t="shared" si="13"/>
        <v>50</v>
      </c>
      <c r="AV45" s="2029">
        <f t="shared" si="13"/>
        <v>50</v>
      </c>
      <c r="AW45" s="1974"/>
      <c r="AX45" s="2029">
        <f t="shared" si="33"/>
        <v>0</v>
      </c>
      <c r="AY45" s="2029">
        <f t="shared" si="33"/>
        <v>0</v>
      </c>
      <c r="AZ45" s="2029">
        <f t="shared" si="33"/>
        <v>0</v>
      </c>
      <c r="BA45" s="2029">
        <v>80</v>
      </c>
      <c r="BB45" s="2029">
        <f t="shared" si="34"/>
        <v>80</v>
      </c>
      <c r="BC45" s="2029">
        <f t="shared" si="34"/>
        <v>80</v>
      </c>
      <c r="BD45" s="2029">
        <f t="shared" si="34"/>
        <v>80</v>
      </c>
      <c r="BE45" s="2030">
        <f t="shared" si="16"/>
        <v>100</v>
      </c>
      <c r="BF45" s="2030">
        <f t="shared" si="16"/>
        <v>150</v>
      </c>
      <c r="BG45" s="2030">
        <f t="shared" si="16"/>
        <v>150</v>
      </c>
      <c r="BH45" s="2030">
        <f t="shared" si="16"/>
        <v>150</v>
      </c>
      <c r="BI45" s="2030">
        <f t="shared" si="17"/>
        <v>0</v>
      </c>
      <c r="BJ45" s="2030">
        <f t="shared" si="17"/>
        <v>0</v>
      </c>
      <c r="BK45" s="2030">
        <f t="shared" si="17"/>
        <v>0</v>
      </c>
      <c r="BL45" s="2030">
        <f t="shared" si="17"/>
        <v>0</v>
      </c>
      <c r="BM45" s="2031"/>
      <c r="BN45" s="2031"/>
      <c r="BO45" s="2031"/>
      <c r="BP45" s="2031"/>
      <c r="BQ45" s="2031"/>
      <c r="BR45" s="2031"/>
      <c r="BS45" s="2031"/>
      <c r="BT45" s="2031"/>
      <c r="BU45" s="2029"/>
      <c r="BV45" s="2029"/>
      <c r="BW45" s="2029"/>
      <c r="BX45" s="2029"/>
      <c r="BY45" s="2029"/>
      <c r="BZ45" s="2032"/>
      <c r="CA45" s="1974"/>
      <c r="CB45" s="1974"/>
      <c r="CC45" s="1974"/>
      <c r="CD45" s="1974"/>
      <c r="CE45" s="1974">
        <v>0</v>
      </c>
      <c r="CF45" s="2033">
        <v>2.4329121229163081E-6</v>
      </c>
      <c r="CG45" s="2026">
        <v>0</v>
      </c>
      <c r="CH45" s="2009">
        <v>0</v>
      </c>
      <c r="CI45" s="2029">
        <v>0</v>
      </c>
      <c r="CK45" s="2029">
        <f t="shared" si="18"/>
        <v>0</v>
      </c>
      <c r="CL45" s="2034">
        <v>1</v>
      </c>
      <c r="CM45" s="2034">
        <v>1</v>
      </c>
      <c r="CN45" s="2034">
        <v>1</v>
      </c>
      <c r="CO45" s="2034">
        <v>1</v>
      </c>
      <c r="CP45" s="2035"/>
      <c r="CQ45" s="2036"/>
      <c r="CR45" s="2036"/>
      <c r="CS45" s="2049"/>
      <c r="CT45" s="2049"/>
      <c r="CU45" s="2049"/>
      <c r="CW45" s="1973">
        <v>0</v>
      </c>
      <c r="CX45" s="2037">
        <v>50</v>
      </c>
      <c r="CY45" s="2037">
        <v>50</v>
      </c>
      <c r="CZ45" s="2037">
        <v>50</v>
      </c>
      <c r="DA45" s="2037">
        <v>50</v>
      </c>
      <c r="DJ45" s="1976">
        <v>50</v>
      </c>
      <c r="DK45" s="1973">
        <v>50</v>
      </c>
      <c r="DL45" s="1973">
        <v>50</v>
      </c>
      <c r="DM45" s="1973">
        <v>50</v>
      </c>
      <c r="DO45" s="2023">
        <v>5</v>
      </c>
      <c r="DP45" s="2024">
        <v>342.75</v>
      </c>
      <c r="DQ45" s="2024">
        <v>0</v>
      </c>
      <c r="DR45" s="2023">
        <v>0</v>
      </c>
      <c r="DS45" s="2029">
        <v>50</v>
      </c>
      <c r="DT45" s="2029">
        <v>50</v>
      </c>
      <c r="DU45" s="2029">
        <v>50</v>
      </c>
      <c r="DV45" s="2029">
        <v>50</v>
      </c>
      <c r="DW45" s="1974"/>
      <c r="DX45" s="2029">
        <v>0</v>
      </c>
      <c r="DY45" s="2029">
        <v>0</v>
      </c>
      <c r="DZ45" s="2029">
        <v>0</v>
      </c>
      <c r="EA45" s="2029">
        <v>80</v>
      </c>
      <c r="EB45" s="2029">
        <v>80</v>
      </c>
      <c r="EC45" s="2029">
        <v>80</v>
      </c>
      <c r="ED45" s="2029">
        <v>80</v>
      </c>
      <c r="EE45" s="2039">
        <f t="shared" si="19"/>
        <v>0</v>
      </c>
      <c r="EF45" s="2039">
        <f t="shared" si="19"/>
        <v>0</v>
      </c>
      <c r="EG45" s="2039">
        <f t="shared" si="19"/>
        <v>0</v>
      </c>
      <c r="EH45" s="2039">
        <f t="shared" si="19"/>
        <v>0</v>
      </c>
      <c r="EI45" s="2040">
        <f t="shared" si="35"/>
        <v>0</v>
      </c>
      <c r="EJ45" s="2040">
        <f t="shared" si="35"/>
        <v>0</v>
      </c>
      <c r="EK45" s="2040">
        <f t="shared" si="35"/>
        <v>0</v>
      </c>
      <c r="EL45" s="2040">
        <f t="shared" si="35"/>
        <v>0</v>
      </c>
      <c r="EM45" s="2040">
        <f t="shared" si="35"/>
        <v>0</v>
      </c>
      <c r="EN45" s="2040">
        <f t="shared" si="35"/>
        <v>0</v>
      </c>
      <c r="EO45" s="2040">
        <f t="shared" si="35"/>
        <v>0</v>
      </c>
      <c r="EP45" s="2040">
        <f t="shared" si="35"/>
        <v>0</v>
      </c>
      <c r="EQ45" s="2040">
        <f t="shared" si="35"/>
        <v>0</v>
      </c>
      <c r="ER45" s="2040">
        <f t="shared" si="35"/>
        <v>0</v>
      </c>
      <c r="ES45" s="2040">
        <f t="shared" si="35"/>
        <v>0</v>
      </c>
      <c r="ET45" s="2040">
        <f t="shared" si="35"/>
        <v>0</v>
      </c>
      <c r="EU45" s="2039">
        <f t="shared" si="21"/>
        <v>0</v>
      </c>
      <c r="EV45" s="2039">
        <f t="shared" si="22"/>
        <v>0</v>
      </c>
    </row>
    <row r="46" spans="1:152" x14ac:dyDescent="0.25">
      <c r="A46" s="2021" t="s">
        <v>106</v>
      </c>
      <c r="B46" s="2022" t="s">
        <v>2901</v>
      </c>
      <c r="C46" s="2023">
        <v>8</v>
      </c>
      <c r="D46" s="2024">
        <f>943*0.5+2307*0.5</f>
        <v>1625</v>
      </c>
      <c r="E46" s="2024">
        <f>0.137*0.5+0.309*0.5</f>
        <v>0.223</v>
      </c>
      <c r="F46" s="2023">
        <v>0</v>
      </c>
      <c r="G46" s="2026" t="s">
        <v>2899</v>
      </c>
      <c r="H46" s="2026" t="s">
        <v>2899</v>
      </c>
      <c r="I46" s="2026">
        <v>0.84899999999999998</v>
      </c>
      <c r="J46" s="2026">
        <v>0.84899999999999998</v>
      </c>
      <c r="K46" s="2026">
        <v>0.84899999999999998</v>
      </c>
      <c r="L46" s="2026">
        <v>0.84899999999999998</v>
      </c>
      <c r="M46" s="2027">
        <f t="shared" si="11"/>
        <v>1379.625</v>
      </c>
      <c r="N46" s="2027">
        <f t="shared" si="11"/>
        <v>1379.625</v>
      </c>
      <c r="O46" s="2027">
        <f t="shared" si="11"/>
        <v>1379.625</v>
      </c>
      <c r="P46" s="2027">
        <f t="shared" si="11"/>
        <v>1379.625</v>
      </c>
      <c r="Q46" s="2026">
        <v>0.84899999999999998</v>
      </c>
      <c r="R46" s="2026">
        <v>0.84899999999999998</v>
      </c>
      <c r="S46" s="2026">
        <v>0.84899999999999998</v>
      </c>
      <c r="T46" s="2026">
        <v>0.84899999999999998</v>
      </c>
      <c r="U46" s="2028">
        <f t="shared" si="12"/>
        <v>0.189327</v>
      </c>
      <c r="V46" s="2028">
        <f t="shared" si="12"/>
        <v>0.189327</v>
      </c>
      <c r="W46" s="2028">
        <f t="shared" si="12"/>
        <v>0.189327</v>
      </c>
      <c r="X46" s="2028">
        <f t="shared" si="12"/>
        <v>0.189327</v>
      </c>
      <c r="Y46" s="2026">
        <v>0.67500000000000004</v>
      </c>
      <c r="Z46" s="2026">
        <v>0.67500000000000004</v>
      </c>
      <c r="AA46" s="2026">
        <v>0.67500000000000004</v>
      </c>
      <c r="AB46" s="2026">
        <v>0.67500000000000004</v>
      </c>
      <c r="AC46" s="2027">
        <f t="shared" si="31"/>
        <v>0</v>
      </c>
      <c r="AD46" s="2027">
        <f t="shared" si="31"/>
        <v>0</v>
      </c>
      <c r="AE46" s="2027">
        <f t="shared" si="31"/>
        <v>0</v>
      </c>
      <c r="AF46" s="2027">
        <f t="shared" si="31"/>
        <v>0</v>
      </c>
      <c r="AG46" s="2027">
        <v>27</v>
      </c>
      <c r="AH46" s="2027">
        <v>15</v>
      </c>
      <c r="AI46" s="2027">
        <v>16</v>
      </c>
      <c r="AJ46" s="2027">
        <v>16</v>
      </c>
      <c r="AK46" s="2027">
        <f t="shared" si="27"/>
        <v>37249.875</v>
      </c>
      <c r="AL46" s="2027">
        <f t="shared" si="32"/>
        <v>20694.375</v>
      </c>
      <c r="AM46" s="2027">
        <f t="shared" si="32"/>
        <v>22074</v>
      </c>
      <c r="AN46" s="2027">
        <f t="shared" si="32"/>
        <v>22074</v>
      </c>
      <c r="AO46" s="2027">
        <f t="shared" si="28"/>
        <v>0</v>
      </c>
      <c r="AP46" s="2027">
        <f t="shared" si="30"/>
        <v>0</v>
      </c>
      <c r="AQ46" s="2027">
        <f t="shared" si="30"/>
        <v>0</v>
      </c>
      <c r="AR46" s="2027">
        <f t="shared" si="29"/>
        <v>0</v>
      </c>
      <c r="AS46" s="2029">
        <v>30</v>
      </c>
      <c r="AT46" s="2029">
        <f t="shared" si="13"/>
        <v>30</v>
      </c>
      <c r="AU46" s="2029">
        <f t="shared" si="13"/>
        <v>30</v>
      </c>
      <c r="AV46" s="2029">
        <f t="shared" si="13"/>
        <v>30</v>
      </c>
      <c r="AW46" s="1974"/>
      <c r="AX46" s="2029">
        <f t="shared" si="33"/>
        <v>0</v>
      </c>
      <c r="AY46" s="2029">
        <f t="shared" si="33"/>
        <v>0</v>
      </c>
      <c r="AZ46" s="2029">
        <f t="shared" si="33"/>
        <v>0</v>
      </c>
      <c r="BA46" s="2029">
        <v>157</v>
      </c>
      <c r="BB46" s="2029">
        <f t="shared" si="34"/>
        <v>157</v>
      </c>
      <c r="BC46" s="2029">
        <f t="shared" si="34"/>
        <v>157</v>
      </c>
      <c r="BD46" s="2029">
        <f t="shared" si="34"/>
        <v>157</v>
      </c>
      <c r="BE46" s="2030">
        <f t="shared" si="16"/>
        <v>810</v>
      </c>
      <c r="BF46" s="2030">
        <f t="shared" si="16"/>
        <v>450</v>
      </c>
      <c r="BG46" s="2030">
        <f t="shared" si="16"/>
        <v>480</v>
      </c>
      <c r="BH46" s="2030">
        <f t="shared" si="16"/>
        <v>480</v>
      </c>
      <c r="BI46" s="2030">
        <f t="shared" si="17"/>
        <v>0</v>
      </c>
      <c r="BJ46" s="2030">
        <f t="shared" si="17"/>
        <v>0</v>
      </c>
      <c r="BK46" s="2030">
        <f t="shared" si="17"/>
        <v>0</v>
      </c>
      <c r="BL46" s="2030">
        <f t="shared" si="17"/>
        <v>0</v>
      </c>
      <c r="BM46" s="2031"/>
      <c r="BN46" s="2031"/>
      <c r="BO46" s="2031"/>
      <c r="BP46" s="2031"/>
      <c r="BQ46" s="2031"/>
      <c r="BR46" s="2031"/>
      <c r="BS46" s="2031"/>
      <c r="BT46" s="2031"/>
      <c r="BU46" s="2029"/>
      <c r="BV46" s="2029"/>
      <c r="BW46" s="2029"/>
      <c r="BX46" s="2029"/>
      <c r="BY46" s="2029"/>
      <c r="BZ46" s="2032"/>
      <c r="CA46" s="1974"/>
      <c r="CB46" s="1974"/>
      <c r="CC46" s="1974"/>
      <c r="CD46" s="1974"/>
      <c r="CE46" s="1974">
        <v>0</v>
      </c>
      <c r="CF46" s="2033">
        <v>1.557170231844683E-4</v>
      </c>
      <c r="CG46" s="2026">
        <v>0</v>
      </c>
      <c r="CH46" s="2009">
        <v>0</v>
      </c>
      <c r="CI46" s="2029">
        <v>0</v>
      </c>
      <c r="CK46" s="2029">
        <f t="shared" si="18"/>
        <v>0</v>
      </c>
      <c r="CL46" s="2034">
        <v>1</v>
      </c>
      <c r="CM46" s="2034">
        <v>1</v>
      </c>
      <c r="CN46" s="2034">
        <v>1</v>
      </c>
      <c r="CO46" s="2034">
        <v>1</v>
      </c>
      <c r="CP46" s="2035"/>
      <c r="CQ46" s="2036"/>
      <c r="CR46" s="2036"/>
      <c r="CS46" s="2049"/>
      <c r="CT46" s="2049"/>
      <c r="CU46" s="2049"/>
      <c r="CW46" s="1973">
        <v>0</v>
      </c>
      <c r="CX46" s="2037">
        <v>30</v>
      </c>
      <c r="CY46" s="2037">
        <v>30</v>
      </c>
      <c r="CZ46" s="2037">
        <v>30</v>
      </c>
      <c r="DA46" s="2037">
        <v>30</v>
      </c>
      <c r="DJ46" s="1976">
        <v>30</v>
      </c>
      <c r="DK46" s="1973">
        <v>30</v>
      </c>
      <c r="DL46" s="1973">
        <v>30</v>
      </c>
      <c r="DM46" s="1973">
        <v>30</v>
      </c>
      <c r="DO46" s="2023">
        <v>8</v>
      </c>
      <c r="DP46" s="2024">
        <v>1625</v>
      </c>
      <c r="DQ46" s="2024">
        <v>0.223</v>
      </c>
      <c r="DR46" s="2023">
        <v>0</v>
      </c>
      <c r="DS46" s="2029">
        <v>30</v>
      </c>
      <c r="DT46" s="2029">
        <v>30</v>
      </c>
      <c r="DU46" s="2029">
        <v>30</v>
      </c>
      <c r="DV46" s="2029">
        <v>30</v>
      </c>
      <c r="DW46" s="1974"/>
      <c r="DX46" s="2029">
        <v>0</v>
      </c>
      <c r="DY46" s="2029">
        <v>0</v>
      </c>
      <c r="DZ46" s="2029">
        <v>0</v>
      </c>
      <c r="EA46" s="2029">
        <v>157</v>
      </c>
      <c r="EB46" s="2029">
        <v>157</v>
      </c>
      <c r="EC46" s="2029">
        <v>157</v>
      </c>
      <c r="ED46" s="2029">
        <v>157</v>
      </c>
      <c r="EE46" s="2039">
        <f t="shared" si="19"/>
        <v>0</v>
      </c>
      <c r="EF46" s="2039">
        <f t="shared" si="19"/>
        <v>0</v>
      </c>
      <c r="EG46" s="2039">
        <f t="shared" si="19"/>
        <v>0</v>
      </c>
      <c r="EH46" s="2039">
        <f t="shared" si="19"/>
        <v>0</v>
      </c>
      <c r="EI46" s="2040">
        <f t="shared" si="35"/>
        <v>0</v>
      </c>
      <c r="EJ46" s="2040">
        <f t="shared" si="35"/>
        <v>0</v>
      </c>
      <c r="EK46" s="2040">
        <f t="shared" si="35"/>
        <v>0</v>
      </c>
      <c r="EL46" s="2040">
        <f t="shared" si="35"/>
        <v>0</v>
      </c>
      <c r="EM46" s="2040">
        <f t="shared" si="35"/>
        <v>0</v>
      </c>
      <c r="EN46" s="2040">
        <f t="shared" si="35"/>
        <v>0</v>
      </c>
      <c r="EO46" s="2040">
        <f t="shared" si="35"/>
        <v>0</v>
      </c>
      <c r="EP46" s="2040">
        <f t="shared" si="35"/>
        <v>0</v>
      </c>
      <c r="EQ46" s="2040">
        <f t="shared" si="35"/>
        <v>0</v>
      </c>
      <c r="ER46" s="2040">
        <f t="shared" si="35"/>
        <v>0</v>
      </c>
      <c r="ES46" s="2040">
        <f t="shared" si="35"/>
        <v>0</v>
      </c>
      <c r="ET46" s="2040">
        <f t="shared" si="35"/>
        <v>0</v>
      </c>
      <c r="EU46" s="2039">
        <f t="shared" si="21"/>
        <v>0</v>
      </c>
      <c r="EV46" s="2039">
        <f t="shared" si="22"/>
        <v>0</v>
      </c>
    </row>
    <row r="47" spans="1:152" x14ac:dyDescent="0.25">
      <c r="A47" s="2041" t="s">
        <v>107</v>
      </c>
      <c r="B47" s="2022" t="s">
        <v>2902</v>
      </c>
      <c r="C47" s="2023">
        <v>8</v>
      </c>
      <c r="D47" s="2024">
        <v>1625</v>
      </c>
      <c r="E47" s="2024">
        <v>0.22</v>
      </c>
      <c r="F47" s="2023">
        <v>0</v>
      </c>
      <c r="G47" s="2026" t="s">
        <v>2899</v>
      </c>
      <c r="H47" s="2026" t="s">
        <v>2899</v>
      </c>
      <c r="I47" s="2026">
        <v>0.84899999999999998</v>
      </c>
      <c r="J47" s="2026">
        <v>0.84899999999999998</v>
      </c>
      <c r="K47" s="2026">
        <v>0.84899999999999998</v>
      </c>
      <c r="L47" s="2026">
        <v>0.84899999999999998</v>
      </c>
      <c r="M47" s="2027">
        <f t="shared" si="11"/>
        <v>1379.625</v>
      </c>
      <c r="N47" s="2027">
        <f t="shared" si="11"/>
        <v>1379.625</v>
      </c>
      <c r="O47" s="2027">
        <f t="shared" si="11"/>
        <v>1379.625</v>
      </c>
      <c r="P47" s="2027">
        <f t="shared" si="11"/>
        <v>1379.625</v>
      </c>
      <c r="Q47" s="2026">
        <v>0.84899999999999998</v>
      </c>
      <c r="R47" s="2026">
        <v>0.84899999999999998</v>
      </c>
      <c r="S47" s="2026">
        <v>0.84899999999999998</v>
      </c>
      <c r="T47" s="2026">
        <v>0.84899999999999998</v>
      </c>
      <c r="U47" s="2028">
        <f t="shared" si="12"/>
        <v>0.18678</v>
      </c>
      <c r="V47" s="2028">
        <f t="shared" si="12"/>
        <v>0.18678</v>
      </c>
      <c r="W47" s="2028">
        <f t="shared" si="12"/>
        <v>0.18678</v>
      </c>
      <c r="X47" s="2028">
        <f t="shared" si="12"/>
        <v>0.18678</v>
      </c>
      <c r="Y47" s="2026">
        <v>0.67500000000000004</v>
      </c>
      <c r="Z47" s="2026">
        <v>0.67500000000000004</v>
      </c>
      <c r="AA47" s="2026">
        <v>0.67500000000000004</v>
      </c>
      <c r="AB47" s="2026">
        <v>0.67500000000000004</v>
      </c>
      <c r="AC47" s="2027">
        <f t="shared" si="31"/>
        <v>0</v>
      </c>
      <c r="AD47" s="2027">
        <f t="shared" si="31"/>
        <v>0</v>
      </c>
      <c r="AE47" s="2027">
        <f t="shared" si="31"/>
        <v>0</v>
      </c>
      <c r="AF47" s="2027">
        <f t="shared" si="31"/>
        <v>0</v>
      </c>
      <c r="AG47" s="2027">
        <v>1</v>
      </c>
      <c r="AH47" s="2027">
        <v>2</v>
      </c>
      <c r="AI47" s="2027">
        <v>2</v>
      </c>
      <c r="AJ47" s="2027">
        <v>2</v>
      </c>
      <c r="AK47" s="2027">
        <f t="shared" si="27"/>
        <v>1379.625</v>
      </c>
      <c r="AL47" s="2027">
        <f t="shared" si="32"/>
        <v>2759.25</v>
      </c>
      <c r="AM47" s="2027">
        <f t="shared" si="32"/>
        <v>2759.25</v>
      </c>
      <c r="AN47" s="2027">
        <f t="shared" si="32"/>
        <v>2759.25</v>
      </c>
      <c r="AO47" s="2027">
        <f t="shared" si="28"/>
        <v>0</v>
      </c>
      <c r="AP47" s="2027">
        <f t="shared" si="30"/>
        <v>0</v>
      </c>
      <c r="AQ47" s="2027">
        <f t="shared" si="30"/>
        <v>0</v>
      </c>
      <c r="AR47" s="2027">
        <f t="shared" si="29"/>
        <v>0</v>
      </c>
      <c r="AS47" s="2029">
        <v>30</v>
      </c>
      <c r="AT47" s="2029">
        <f t="shared" si="13"/>
        <v>30</v>
      </c>
      <c r="AU47" s="2029">
        <f t="shared" si="13"/>
        <v>30</v>
      </c>
      <c r="AV47" s="2029">
        <f t="shared" si="13"/>
        <v>30</v>
      </c>
      <c r="AW47" s="1974"/>
      <c r="AX47" s="2029">
        <f t="shared" si="33"/>
        <v>0</v>
      </c>
      <c r="AY47" s="2029">
        <f t="shared" si="33"/>
        <v>0</v>
      </c>
      <c r="AZ47" s="2029">
        <f t="shared" si="33"/>
        <v>0</v>
      </c>
      <c r="BA47" s="2029">
        <v>157</v>
      </c>
      <c r="BB47" s="2029">
        <f t="shared" si="34"/>
        <v>157</v>
      </c>
      <c r="BC47" s="2029">
        <f t="shared" si="34"/>
        <v>157</v>
      </c>
      <c r="BD47" s="2029">
        <f t="shared" si="34"/>
        <v>157</v>
      </c>
      <c r="BE47" s="2030">
        <f t="shared" si="16"/>
        <v>30</v>
      </c>
      <c r="BF47" s="2030">
        <f t="shared" si="16"/>
        <v>60</v>
      </c>
      <c r="BG47" s="2030">
        <f t="shared" si="16"/>
        <v>60</v>
      </c>
      <c r="BH47" s="2030">
        <f t="shared" si="16"/>
        <v>60</v>
      </c>
      <c r="BI47" s="2030">
        <f t="shared" si="17"/>
        <v>0</v>
      </c>
      <c r="BJ47" s="2030">
        <f t="shared" si="17"/>
        <v>0</v>
      </c>
      <c r="BK47" s="2030">
        <f t="shared" si="17"/>
        <v>0</v>
      </c>
      <c r="BL47" s="2030">
        <f t="shared" si="17"/>
        <v>0</v>
      </c>
      <c r="BM47" s="2031"/>
      <c r="BN47" s="2031"/>
      <c r="BO47" s="2031"/>
      <c r="BP47" s="2031"/>
      <c r="BQ47" s="2031"/>
      <c r="BR47" s="2031"/>
      <c r="BS47" s="2031"/>
      <c r="BT47" s="2031"/>
      <c r="BU47" s="2029"/>
      <c r="BV47" s="2029"/>
      <c r="BW47" s="2029"/>
      <c r="BX47" s="2029"/>
      <c r="BY47" s="2029"/>
      <c r="BZ47" s="2032"/>
      <c r="CA47" s="1974"/>
      <c r="CB47" s="1974"/>
      <c r="CC47" s="1974"/>
      <c r="CD47" s="1974"/>
      <c r="CE47" s="1974">
        <v>0</v>
      </c>
      <c r="CF47" s="2033">
        <v>5.7672971549803071E-6</v>
      </c>
      <c r="CG47" s="2026">
        <v>0</v>
      </c>
      <c r="CH47" s="2009">
        <v>0</v>
      </c>
      <c r="CI47" s="2029">
        <v>0</v>
      </c>
      <c r="CK47" s="2029">
        <f t="shared" si="18"/>
        <v>0</v>
      </c>
      <c r="CL47" s="2034">
        <v>1</v>
      </c>
      <c r="CM47" s="2034">
        <v>1</v>
      </c>
      <c r="CN47" s="2034">
        <v>1</v>
      </c>
      <c r="CO47" s="2034">
        <v>1</v>
      </c>
      <c r="CP47" s="2035"/>
      <c r="CQ47" s="2036"/>
      <c r="CR47" s="2036"/>
      <c r="CS47" s="2049"/>
      <c r="CT47" s="2049"/>
      <c r="CU47" s="2049"/>
      <c r="CW47" s="1973">
        <v>0</v>
      </c>
      <c r="CX47" s="2037">
        <v>30</v>
      </c>
      <c r="CY47" s="2037">
        <v>30</v>
      </c>
      <c r="CZ47" s="2037">
        <v>30</v>
      </c>
      <c r="DA47" s="2037">
        <v>30</v>
      </c>
      <c r="DJ47" s="1976">
        <v>30</v>
      </c>
      <c r="DK47" s="1973">
        <v>30</v>
      </c>
      <c r="DL47" s="1973">
        <v>30</v>
      </c>
      <c r="DM47" s="1973">
        <v>30</v>
      </c>
      <c r="DO47" s="2023">
        <v>8</v>
      </c>
      <c r="DP47" s="2024">
        <v>1625</v>
      </c>
      <c r="DQ47" s="2024">
        <v>0.22</v>
      </c>
      <c r="DR47" s="2023">
        <v>0</v>
      </c>
      <c r="DS47" s="2029">
        <v>30</v>
      </c>
      <c r="DT47" s="2029">
        <v>30</v>
      </c>
      <c r="DU47" s="2029">
        <v>30</v>
      </c>
      <c r="DV47" s="2029">
        <v>30</v>
      </c>
      <c r="DW47" s="1974"/>
      <c r="DX47" s="2029">
        <v>0</v>
      </c>
      <c r="DY47" s="2029">
        <v>0</v>
      </c>
      <c r="DZ47" s="2029">
        <v>0</v>
      </c>
      <c r="EA47" s="2029">
        <v>157</v>
      </c>
      <c r="EB47" s="2029">
        <v>157</v>
      </c>
      <c r="EC47" s="2029">
        <v>157</v>
      </c>
      <c r="ED47" s="2029">
        <v>157</v>
      </c>
      <c r="EE47" s="2039">
        <f t="shared" si="19"/>
        <v>0</v>
      </c>
      <c r="EF47" s="2039">
        <f t="shared" si="19"/>
        <v>0</v>
      </c>
      <c r="EG47" s="2039">
        <f t="shared" si="19"/>
        <v>0</v>
      </c>
      <c r="EH47" s="2039">
        <f t="shared" si="19"/>
        <v>0</v>
      </c>
      <c r="EI47" s="2040">
        <f t="shared" si="35"/>
        <v>0</v>
      </c>
      <c r="EJ47" s="2040">
        <f t="shared" si="35"/>
        <v>0</v>
      </c>
      <c r="EK47" s="2040">
        <f t="shared" si="35"/>
        <v>0</v>
      </c>
      <c r="EL47" s="2040">
        <f t="shared" si="35"/>
        <v>0</v>
      </c>
      <c r="EM47" s="2040">
        <f t="shared" si="35"/>
        <v>0</v>
      </c>
      <c r="EN47" s="2040">
        <f t="shared" si="35"/>
        <v>0</v>
      </c>
      <c r="EO47" s="2040">
        <f t="shared" si="35"/>
        <v>0</v>
      </c>
      <c r="EP47" s="2040">
        <f t="shared" si="35"/>
        <v>0</v>
      </c>
      <c r="EQ47" s="2040">
        <f t="shared" si="35"/>
        <v>0</v>
      </c>
      <c r="ER47" s="2040">
        <f t="shared" si="35"/>
        <v>0</v>
      </c>
      <c r="ES47" s="2040">
        <f t="shared" si="35"/>
        <v>0</v>
      </c>
      <c r="ET47" s="2040">
        <f t="shared" si="35"/>
        <v>0</v>
      </c>
      <c r="EU47" s="2039">
        <f t="shared" si="21"/>
        <v>0</v>
      </c>
      <c r="EV47" s="2039">
        <f t="shared" si="22"/>
        <v>0</v>
      </c>
    </row>
    <row r="48" spans="1:152" x14ac:dyDescent="0.25">
      <c r="A48" s="2041" t="s">
        <v>108</v>
      </c>
      <c r="B48" s="2022" t="s">
        <v>2903</v>
      </c>
      <c r="C48" s="2023">
        <v>6</v>
      </c>
      <c r="D48" s="2024">
        <v>1698</v>
      </c>
      <c r="E48" s="2024">
        <v>0.2</v>
      </c>
      <c r="F48" s="2023">
        <v>0</v>
      </c>
      <c r="G48" s="2026" t="s">
        <v>2899</v>
      </c>
      <c r="H48" s="2026" t="s">
        <v>2899</v>
      </c>
      <c r="I48" s="2026">
        <v>0.84899999999999998</v>
      </c>
      <c r="J48" s="2026">
        <v>0.84899999999999998</v>
      </c>
      <c r="K48" s="2026">
        <v>0.84899999999999998</v>
      </c>
      <c r="L48" s="2026">
        <v>0.84899999999999998</v>
      </c>
      <c r="M48" s="2027">
        <f t="shared" si="11"/>
        <v>1441.6019999999999</v>
      </c>
      <c r="N48" s="2027">
        <f t="shared" si="11"/>
        <v>1441.6019999999999</v>
      </c>
      <c r="O48" s="2027">
        <f t="shared" si="11"/>
        <v>1441.6019999999999</v>
      </c>
      <c r="P48" s="2027">
        <f t="shared" si="11"/>
        <v>1441.6019999999999</v>
      </c>
      <c r="Q48" s="2026">
        <v>0.84899999999999998</v>
      </c>
      <c r="R48" s="2026">
        <v>0.84899999999999998</v>
      </c>
      <c r="S48" s="2026">
        <v>0.84899999999999998</v>
      </c>
      <c r="T48" s="2026">
        <v>0.84899999999999998</v>
      </c>
      <c r="U48" s="2028">
        <f t="shared" si="12"/>
        <v>0.16980000000000001</v>
      </c>
      <c r="V48" s="2028">
        <f t="shared" si="12"/>
        <v>0.16980000000000001</v>
      </c>
      <c r="W48" s="2028">
        <f t="shared" si="12"/>
        <v>0.16980000000000001</v>
      </c>
      <c r="X48" s="2028">
        <f t="shared" si="12"/>
        <v>0.16980000000000001</v>
      </c>
      <c r="Y48" s="2026">
        <v>0.67500000000000004</v>
      </c>
      <c r="Z48" s="2026">
        <v>0.67500000000000004</v>
      </c>
      <c r="AA48" s="2026">
        <v>0.67500000000000004</v>
      </c>
      <c r="AB48" s="2026">
        <v>0.67500000000000004</v>
      </c>
      <c r="AC48" s="2027">
        <f t="shared" si="31"/>
        <v>0</v>
      </c>
      <c r="AD48" s="2027">
        <f t="shared" si="31"/>
        <v>0</v>
      </c>
      <c r="AE48" s="2027">
        <f t="shared" si="31"/>
        <v>0</v>
      </c>
      <c r="AF48" s="2027">
        <f t="shared" si="31"/>
        <v>0</v>
      </c>
      <c r="AG48" s="2027">
        <v>13</v>
      </c>
      <c r="AH48" s="2027">
        <v>14</v>
      </c>
      <c r="AI48" s="2027">
        <v>15</v>
      </c>
      <c r="AJ48" s="2027">
        <v>15</v>
      </c>
      <c r="AK48" s="2027">
        <f t="shared" si="27"/>
        <v>18740.825999999997</v>
      </c>
      <c r="AL48" s="2027">
        <f t="shared" si="32"/>
        <v>20182.428</v>
      </c>
      <c r="AM48" s="2027">
        <f t="shared" si="32"/>
        <v>21624.03</v>
      </c>
      <c r="AN48" s="2027">
        <f t="shared" si="32"/>
        <v>21624.03</v>
      </c>
      <c r="AO48" s="2027">
        <f t="shared" si="28"/>
        <v>0</v>
      </c>
      <c r="AP48" s="2027">
        <f t="shared" si="30"/>
        <v>0</v>
      </c>
      <c r="AQ48" s="2027">
        <f t="shared" si="30"/>
        <v>0</v>
      </c>
      <c r="AR48" s="2027">
        <f t="shared" si="29"/>
        <v>0</v>
      </c>
      <c r="AS48" s="2029">
        <v>115</v>
      </c>
      <c r="AT48" s="2029">
        <f t="shared" si="13"/>
        <v>115</v>
      </c>
      <c r="AU48" s="2029">
        <f t="shared" si="13"/>
        <v>115</v>
      </c>
      <c r="AV48" s="2029">
        <f t="shared" si="13"/>
        <v>115</v>
      </c>
      <c r="AW48" s="1974"/>
      <c r="AX48" s="2029">
        <f t="shared" si="33"/>
        <v>0</v>
      </c>
      <c r="AY48" s="2029">
        <f t="shared" si="33"/>
        <v>0</v>
      </c>
      <c r="AZ48" s="2029">
        <f t="shared" si="33"/>
        <v>0</v>
      </c>
      <c r="BA48" s="2029">
        <v>286.16000000000003</v>
      </c>
      <c r="BB48" s="2029">
        <f t="shared" si="34"/>
        <v>286.16000000000003</v>
      </c>
      <c r="BC48" s="2029">
        <f t="shared" si="34"/>
        <v>286.16000000000003</v>
      </c>
      <c r="BD48" s="2029">
        <f t="shared" si="34"/>
        <v>286.16000000000003</v>
      </c>
      <c r="BE48" s="2030">
        <f t="shared" si="16"/>
        <v>1495</v>
      </c>
      <c r="BF48" s="2030">
        <f t="shared" si="16"/>
        <v>1610</v>
      </c>
      <c r="BG48" s="2030">
        <f t="shared" si="16"/>
        <v>1725</v>
      </c>
      <c r="BH48" s="2030">
        <f t="shared" si="16"/>
        <v>1725</v>
      </c>
      <c r="BI48" s="2030">
        <f t="shared" si="17"/>
        <v>0</v>
      </c>
      <c r="BJ48" s="2030">
        <f t="shared" si="17"/>
        <v>0</v>
      </c>
      <c r="BK48" s="2030">
        <f t="shared" si="17"/>
        <v>0</v>
      </c>
      <c r="BL48" s="2030">
        <f t="shared" si="17"/>
        <v>0</v>
      </c>
      <c r="BM48" s="2031"/>
      <c r="BN48" s="2031"/>
      <c r="BO48" s="2031"/>
      <c r="BP48" s="2031"/>
      <c r="BQ48" s="2031"/>
      <c r="BR48" s="2031"/>
      <c r="BS48" s="2031"/>
      <c r="BT48" s="2031"/>
      <c r="BU48" s="2029"/>
      <c r="BV48" s="2029"/>
      <c r="BW48" s="2029"/>
      <c r="BX48" s="2029"/>
      <c r="BY48" s="2029"/>
      <c r="BZ48" s="2032"/>
      <c r="CA48" s="1974"/>
      <c r="CB48" s="1974"/>
      <c r="CC48" s="1974"/>
      <c r="CD48" s="1974"/>
      <c r="CE48" s="1974">
        <v>0</v>
      </c>
      <c r="CF48" s="2033">
        <v>7.8342964553252485E-5</v>
      </c>
      <c r="CG48" s="2026">
        <v>0</v>
      </c>
      <c r="CH48" s="2009">
        <v>0</v>
      </c>
      <c r="CI48" s="2029">
        <v>0</v>
      </c>
      <c r="CK48" s="2029">
        <f t="shared" si="18"/>
        <v>0</v>
      </c>
      <c r="CL48" s="2034">
        <v>1</v>
      </c>
      <c r="CM48" s="2034">
        <v>1</v>
      </c>
      <c r="CN48" s="2034">
        <v>1</v>
      </c>
      <c r="CO48" s="2034">
        <v>1</v>
      </c>
      <c r="CP48" s="2035"/>
      <c r="CQ48" s="2036"/>
      <c r="CR48" s="2036"/>
      <c r="CS48" s="2049"/>
      <c r="CT48" s="2049"/>
      <c r="CU48" s="2049"/>
      <c r="CW48" s="1973">
        <v>0</v>
      </c>
      <c r="CX48" s="2037">
        <v>115</v>
      </c>
      <c r="CY48" s="2037">
        <v>115</v>
      </c>
      <c r="CZ48" s="2037">
        <v>115</v>
      </c>
      <c r="DA48" s="2037">
        <v>115</v>
      </c>
      <c r="DJ48" s="1976">
        <v>115</v>
      </c>
      <c r="DK48" s="1973">
        <v>115</v>
      </c>
      <c r="DL48" s="1973">
        <v>115</v>
      </c>
      <c r="DM48" s="1973">
        <v>115</v>
      </c>
      <c r="DO48" s="2023">
        <v>6</v>
      </c>
      <c r="DP48" s="2024">
        <v>1698</v>
      </c>
      <c r="DQ48" s="2024">
        <v>0.2</v>
      </c>
      <c r="DR48" s="2023">
        <v>0</v>
      </c>
      <c r="DS48" s="2029">
        <v>115</v>
      </c>
      <c r="DT48" s="2029">
        <v>115</v>
      </c>
      <c r="DU48" s="2029">
        <v>115</v>
      </c>
      <c r="DV48" s="2029">
        <v>115</v>
      </c>
      <c r="DW48" s="1974"/>
      <c r="DX48" s="2029">
        <v>0</v>
      </c>
      <c r="DY48" s="2029">
        <v>0</v>
      </c>
      <c r="DZ48" s="2029">
        <v>0</v>
      </c>
      <c r="EA48" s="2029">
        <v>286.16000000000003</v>
      </c>
      <c r="EB48" s="2029">
        <v>286.16000000000003</v>
      </c>
      <c r="EC48" s="2029">
        <v>286.16000000000003</v>
      </c>
      <c r="ED48" s="2029">
        <v>286.16000000000003</v>
      </c>
      <c r="EE48" s="2039">
        <f t="shared" si="19"/>
        <v>0</v>
      </c>
      <c r="EF48" s="2039">
        <f t="shared" si="19"/>
        <v>0</v>
      </c>
      <c r="EG48" s="2039">
        <f t="shared" si="19"/>
        <v>0</v>
      </c>
      <c r="EH48" s="2039">
        <f t="shared" si="19"/>
        <v>0</v>
      </c>
      <c r="EI48" s="2040">
        <f t="shared" si="35"/>
        <v>0</v>
      </c>
      <c r="EJ48" s="2040">
        <f t="shared" si="35"/>
        <v>0</v>
      </c>
      <c r="EK48" s="2040">
        <f t="shared" si="35"/>
        <v>0</v>
      </c>
      <c r="EL48" s="2040">
        <f t="shared" si="35"/>
        <v>0</v>
      </c>
      <c r="EM48" s="2040">
        <f t="shared" si="35"/>
        <v>0</v>
      </c>
      <c r="EN48" s="2040">
        <f t="shared" si="35"/>
        <v>0</v>
      </c>
      <c r="EO48" s="2040">
        <f t="shared" si="35"/>
        <v>0</v>
      </c>
      <c r="EP48" s="2040">
        <f t="shared" si="35"/>
        <v>0</v>
      </c>
      <c r="EQ48" s="2040">
        <f t="shared" si="35"/>
        <v>0</v>
      </c>
      <c r="ER48" s="2040">
        <f t="shared" si="35"/>
        <v>0</v>
      </c>
      <c r="ES48" s="2040">
        <f t="shared" si="35"/>
        <v>0</v>
      </c>
      <c r="ET48" s="2040">
        <f t="shared" si="35"/>
        <v>0</v>
      </c>
      <c r="EU48" s="2039">
        <f t="shared" si="21"/>
        <v>0</v>
      </c>
      <c r="EV48" s="2039">
        <f t="shared" si="22"/>
        <v>0</v>
      </c>
    </row>
    <row r="49" spans="1:152" x14ac:dyDescent="0.25">
      <c r="A49" s="2041"/>
      <c r="B49" s="2022"/>
      <c r="C49" s="2023"/>
      <c r="D49" s="2024"/>
      <c r="E49" s="2024">
        <f>SUM('BUS Measure-Model Summary'!EI358)</f>
        <v>0</v>
      </c>
      <c r="F49" s="2023"/>
      <c r="G49" s="2026" t="s">
        <v>2285</v>
      </c>
      <c r="H49" s="2026" t="s">
        <v>2285</v>
      </c>
      <c r="I49" s="2026">
        <v>0.79999999999999993</v>
      </c>
      <c r="J49" s="2026">
        <v>0.79999999999999993</v>
      </c>
      <c r="K49" s="2026">
        <v>0.79999999999999993</v>
      </c>
      <c r="L49" s="2026">
        <v>0.79999999999999993</v>
      </c>
      <c r="M49" s="2027">
        <f t="shared" si="11"/>
        <v>0</v>
      </c>
      <c r="N49" s="2027">
        <f t="shared" si="11"/>
        <v>0</v>
      </c>
      <c r="O49" s="2027">
        <f t="shared" si="11"/>
        <v>0</v>
      </c>
      <c r="P49" s="2027">
        <f t="shared" si="11"/>
        <v>0</v>
      </c>
      <c r="Q49" s="2026">
        <v>0.79999999999999993</v>
      </c>
      <c r="R49" s="2026">
        <v>0.79999999999999993</v>
      </c>
      <c r="S49" s="2026">
        <v>0.79999999999999993</v>
      </c>
      <c r="T49" s="2026">
        <v>0.79999999999999993</v>
      </c>
      <c r="U49" s="2028">
        <f t="shared" si="12"/>
        <v>0</v>
      </c>
      <c r="V49" s="2028">
        <f t="shared" si="12"/>
        <v>0</v>
      </c>
      <c r="W49" s="2028">
        <f t="shared" si="12"/>
        <v>0</v>
      </c>
      <c r="X49" s="2028">
        <f t="shared" si="12"/>
        <v>0</v>
      </c>
      <c r="Y49" s="2026">
        <v>0.60399999999999998</v>
      </c>
      <c r="Z49" s="2026">
        <v>0.60399999999999998</v>
      </c>
      <c r="AA49" s="2026">
        <v>0.60399999999999998</v>
      </c>
      <c r="AB49" s="2026">
        <v>0.60399999999999998</v>
      </c>
      <c r="AC49" s="2027"/>
      <c r="AD49" s="2027"/>
      <c r="AE49" s="2027"/>
      <c r="AF49" s="2027"/>
      <c r="AG49" s="2027">
        <v>0</v>
      </c>
      <c r="AH49" s="2027">
        <v>0</v>
      </c>
      <c r="AI49" s="2027">
        <v>0</v>
      </c>
      <c r="AJ49" s="2027">
        <v>0</v>
      </c>
      <c r="AK49" s="2027"/>
      <c r="AL49" s="2027">
        <f t="shared" si="32"/>
        <v>0</v>
      </c>
      <c r="AM49" s="2027">
        <f t="shared" si="32"/>
        <v>0</v>
      </c>
      <c r="AN49" s="2027">
        <f t="shared" si="32"/>
        <v>0</v>
      </c>
      <c r="AO49" s="2027"/>
      <c r="AP49" s="2027"/>
      <c r="AQ49" s="2027"/>
      <c r="AR49" s="2027">
        <f t="shared" si="29"/>
        <v>0</v>
      </c>
      <c r="AS49" s="2029"/>
      <c r="AT49" s="2029">
        <f t="shared" si="13"/>
        <v>0</v>
      </c>
      <c r="AU49" s="2029">
        <f t="shared" si="13"/>
        <v>0</v>
      </c>
      <c r="AV49" s="2029">
        <f t="shared" si="13"/>
        <v>0</v>
      </c>
      <c r="AW49" s="1974"/>
      <c r="AX49" s="2029">
        <f t="shared" si="33"/>
        <v>0</v>
      </c>
      <c r="AY49" s="2029">
        <f t="shared" si="33"/>
        <v>0</v>
      </c>
      <c r="AZ49" s="2029">
        <f t="shared" si="33"/>
        <v>0</v>
      </c>
      <c r="BA49" s="2029"/>
      <c r="BB49" s="2029">
        <f t="shared" si="34"/>
        <v>0</v>
      </c>
      <c r="BC49" s="2029">
        <f t="shared" si="34"/>
        <v>0</v>
      </c>
      <c r="BD49" s="2029">
        <f t="shared" si="34"/>
        <v>0</v>
      </c>
      <c r="BE49" s="2030">
        <f t="shared" si="16"/>
        <v>0</v>
      </c>
      <c r="BF49" s="2030">
        <f t="shared" si="16"/>
        <v>0</v>
      </c>
      <c r="BG49" s="2030">
        <f t="shared" si="16"/>
        <v>0</v>
      </c>
      <c r="BH49" s="2030">
        <f t="shared" si="16"/>
        <v>0</v>
      </c>
      <c r="BI49" s="2030">
        <f t="shared" si="17"/>
        <v>0</v>
      </c>
      <c r="BJ49" s="2030">
        <f t="shared" si="17"/>
        <v>0</v>
      </c>
      <c r="BK49" s="2030">
        <f t="shared" si="17"/>
        <v>0</v>
      </c>
      <c r="BL49" s="2030">
        <f t="shared" si="17"/>
        <v>0</v>
      </c>
      <c r="BM49" s="2031"/>
      <c r="BN49" s="2031"/>
      <c r="BO49" s="2031"/>
      <c r="BP49" s="2031"/>
      <c r="BQ49" s="2031"/>
      <c r="BR49" s="2031"/>
      <c r="BS49" s="2031"/>
      <c r="BT49" s="2031"/>
      <c r="BU49" s="2029"/>
      <c r="BV49" s="2029"/>
      <c r="BW49" s="2029"/>
      <c r="BX49" s="2029"/>
      <c r="BY49" s="2029"/>
      <c r="BZ49" s="2032"/>
      <c r="CA49" s="1974"/>
      <c r="CB49" s="1974"/>
      <c r="CC49" s="1974"/>
      <c r="CD49" s="1974"/>
      <c r="CE49" s="1974"/>
      <c r="CF49" s="2033">
        <v>0</v>
      </c>
      <c r="CG49" s="2026">
        <v>0</v>
      </c>
      <c r="CH49" s="2009"/>
      <c r="CI49" s="2029">
        <v>0</v>
      </c>
      <c r="CK49" s="2029">
        <f t="shared" si="18"/>
        <v>0</v>
      </c>
      <c r="CL49" s="2034">
        <v>1</v>
      </c>
      <c r="CM49" s="2034">
        <v>1</v>
      </c>
      <c r="CN49" s="2034">
        <v>1</v>
      </c>
      <c r="CO49" s="2034">
        <v>1</v>
      </c>
      <c r="CP49" s="2035"/>
      <c r="CQ49" s="2036"/>
      <c r="CR49" s="2036"/>
      <c r="CS49" s="2049"/>
      <c r="CT49" s="2049"/>
      <c r="CU49" s="2049"/>
      <c r="CW49" s="1973">
        <v>0</v>
      </c>
      <c r="CX49" s="2037">
        <v>0</v>
      </c>
      <c r="CY49" s="2037">
        <v>0</v>
      </c>
      <c r="CZ49" s="2037">
        <v>0</v>
      </c>
      <c r="DA49" s="2037">
        <v>0</v>
      </c>
      <c r="DK49" s="1973">
        <v>0</v>
      </c>
      <c r="DL49" s="1973">
        <v>0</v>
      </c>
      <c r="DM49" s="1973">
        <v>0</v>
      </c>
      <c r="DO49" s="2023"/>
      <c r="DP49" s="2024"/>
      <c r="DQ49" s="2024"/>
      <c r="DR49" s="2023"/>
      <c r="DS49" s="2029"/>
      <c r="DT49" s="2029">
        <v>0</v>
      </c>
      <c r="DU49" s="2029">
        <v>0</v>
      </c>
      <c r="DV49" s="2029">
        <v>0</v>
      </c>
      <c r="DW49" s="1974"/>
      <c r="DX49" s="2029">
        <v>0</v>
      </c>
      <c r="DY49" s="2029">
        <v>0</v>
      </c>
      <c r="DZ49" s="2029">
        <v>0</v>
      </c>
      <c r="EA49" s="2029"/>
      <c r="EB49" s="2029">
        <v>0</v>
      </c>
      <c r="EC49" s="2029">
        <v>0</v>
      </c>
      <c r="ED49" s="2029">
        <v>0</v>
      </c>
      <c r="EE49" s="2039">
        <f t="shared" si="19"/>
        <v>0</v>
      </c>
      <c r="EF49" s="2039">
        <f t="shared" si="19"/>
        <v>0</v>
      </c>
      <c r="EG49" s="2039">
        <f t="shared" si="19"/>
        <v>0</v>
      </c>
      <c r="EH49" s="2039">
        <f t="shared" si="19"/>
        <v>0</v>
      </c>
      <c r="EI49" s="2040">
        <f t="shared" si="35"/>
        <v>0</v>
      </c>
      <c r="EJ49" s="2040">
        <f t="shared" si="35"/>
        <v>0</v>
      </c>
      <c r="EK49" s="2040">
        <f t="shared" si="35"/>
        <v>0</v>
      </c>
      <c r="EL49" s="2040">
        <f t="shared" si="35"/>
        <v>0</v>
      </c>
      <c r="EM49" s="2040">
        <f t="shared" si="35"/>
        <v>0</v>
      </c>
      <c r="EN49" s="2040">
        <f t="shared" si="35"/>
        <v>0</v>
      </c>
      <c r="EO49" s="2040">
        <f t="shared" si="35"/>
        <v>0</v>
      </c>
      <c r="EP49" s="2040">
        <f t="shared" si="35"/>
        <v>0</v>
      </c>
      <c r="EQ49" s="2040">
        <f t="shared" si="35"/>
        <v>0</v>
      </c>
      <c r="ER49" s="2040">
        <f t="shared" si="35"/>
        <v>0</v>
      </c>
      <c r="ES49" s="2040">
        <f t="shared" si="35"/>
        <v>0</v>
      </c>
      <c r="ET49" s="2040">
        <f t="shared" si="35"/>
        <v>0</v>
      </c>
      <c r="EU49" s="2039">
        <f t="shared" si="21"/>
        <v>0</v>
      </c>
      <c r="EV49" s="2039">
        <f t="shared" si="22"/>
        <v>0</v>
      </c>
    </row>
    <row r="50" spans="1:152" x14ac:dyDescent="0.25">
      <c r="A50" s="2041" t="s">
        <v>109</v>
      </c>
      <c r="B50" s="2022" t="s">
        <v>2904</v>
      </c>
      <c r="C50" s="2023">
        <v>12</v>
      </c>
      <c r="D50" s="2024">
        <v>3871.6500000000005</v>
      </c>
      <c r="E50" s="2024">
        <v>0.41412511986301376</v>
      </c>
      <c r="F50" s="2023">
        <v>0</v>
      </c>
      <c r="G50" s="2026" t="s">
        <v>2899</v>
      </c>
      <c r="H50" s="2026" t="s">
        <v>2899</v>
      </c>
      <c r="I50" s="2026">
        <v>0.84899999999999998</v>
      </c>
      <c r="J50" s="2026">
        <v>0.84899999999999998</v>
      </c>
      <c r="K50" s="2026">
        <v>0.84899999999999998</v>
      </c>
      <c r="L50" s="2026">
        <v>0.84899999999999998</v>
      </c>
      <c r="M50" s="2027">
        <f t="shared" si="11"/>
        <v>3287.0308500000006</v>
      </c>
      <c r="N50" s="2027">
        <f t="shared" si="11"/>
        <v>3287.0308500000006</v>
      </c>
      <c r="O50" s="2027">
        <f t="shared" si="11"/>
        <v>3287.0308500000006</v>
      </c>
      <c r="P50" s="2027">
        <f t="shared" si="11"/>
        <v>3287.0308500000006</v>
      </c>
      <c r="Q50" s="2026">
        <v>0.84899999999999998</v>
      </c>
      <c r="R50" s="2026">
        <v>0.84899999999999998</v>
      </c>
      <c r="S50" s="2026">
        <v>0.84899999999999998</v>
      </c>
      <c r="T50" s="2026">
        <v>0.84899999999999998</v>
      </c>
      <c r="U50" s="2028">
        <f t="shared" si="12"/>
        <v>0.35159222676369867</v>
      </c>
      <c r="V50" s="2028">
        <f t="shared" si="12"/>
        <v>0.35159222676369867</v>
      </c>
      <c r="W50" s="2028">
        <f t="shared" si="12"/>
        <v>0.35159222676369867</v>
      </c>
      <c r="X50" s="2028">
        <f t="shared" si="12"/>
        <v>0.35159222676369867</v>
      </c>
      <c r="Y50" s="2026">
        <v>0.67500000000000004</v>
      </c>
      <c r="Z50" s="2026">
        <v>0.67500000000000004</v>
      </c>
      <c r="AA50" s="2026">
        <v>0.67500000000000004</v>
      </c>
      <c r="AB50" s="2026">
        <v>0.67500000000000004</v>
      </c>
      <c r="AC50" s="2027">
        <f t="shared" si="31"/>
        <v>0</v>
      </c>
      <c r="AD50" s="2027">
        <f t="shared" si="31"/>
        <v>0</v>
      </c>
      <c r="AE50" s="2027">
        <f t="shared" si="31"/>
        <v>0</v>
      </c>
      <c r="AF50" s="2027">
        <f t="shared" si="31"/>
        <v>0</v>
      </c>
      <c r="AG50" s="2027">
        <v>5</v>
      </c>
      <c r="AH50" s="2027">
        <v>5</v>
      </c>
      <c r="AI50" s="2027">
        <v>5</v>
      </c>
      <c r="AJ50" s="2027">
        <v>6</v>
      </c>
      <c r="AK50" s="2027">
        <f t="shared" si="27"/>
        <v>16435.154250000003</v>
      </c>
      <c r="AL50" s="2027">
        <f t="shared" si="32"/>
        <v>16435.154250000003</v>
      </c>
      <c r="AM50" s="2027">
        <f t="shared" si="32"/>
        <v>16435.154250000003</v>
      </c>
      <c r="AN50" s="2027">
        <f t="shared" si="32"/>
        <v>19722.185100000002</v>
      </c>
      <c r="AO50" s="2027">
        <f t="shared" si="28"/>
        <v>0</v>
      </c>
      <c r="AP50" s="2027">
        <f t="shared" ref="AP50:AQ75" si="36">AH50*AD50*CM50</f>
        <v>0</v>
      </c>
      <c r="AQ50" s="2027">
        <f t="shared" si="36"/>
        <v>0</v>
      </c>
      <c r="AR50" s="2027">
        <f t="shared" si="29"/>
        <v>0</v>
      </c>
      <c r="AS50" s="2029">
        <v>100</v>
      </c>
      <c r="AT50" s="2029">
        <f t="shared" si="13"/>
        <v>100</v>
      </c>
      <c r="AU50" s="2029">
        <f t="shared" si="13"/>
        <v>100</v>
      </c>
      <c r="AV50" s="2029">
        <f t="shared" si="13"/>
        <v>100</v>
      </c>
      <c r="AW50" s="1974"/>
      <c r="AX50" s="2029">
        <f t="shared" si="33"/>
        <v>0</v>
      </c>
      <c r="AY50" s="2029">
        <f t="shared" si="33"/>
        <v>0</v>
      </c>
      <c r="AZ50" s="2029">
        <f t="shared" si="33"/>
        <v>0</v>
      </c>
      <c r="BA50" s="2029">
        <v>166</v>
      </c>
      <c r="BB50" s="2029">
        <f t="shared" si="34"/>
        <v>166</v>
      </c>
      <c r="BC50" s="2029">
        <f t="shared" si="34"/>
        <v>166</v>
      </c>
      <c r="BD50" s="2029">
        <f t="shared" si="34"/>
        <v>166</v>
      </c>
      <c r="BE50" s="2030">
        <f t="shared" si="16"/>
        <v>500</v>
      </c>
      <c r="BF50" s="2030">
        <f t="shared" si="16"/>
        <v>500</v>
      </c>
      <c r="BG50" s="2030">
        <f t="shared" si="16"/>
        <v>500</v>
      </c>
      <c r="BH50" s="2030">
        <f t="shared" si="16"/>
        <v>600</v>
      </c>
      <c r="BI50" s="2030">
        <f t="shared" si="17"/>
        <v>0</v>
      </c>
      <c r="BJ50" s="2030">
        <f t="shared" si="17"/>
        <v>0</v>
      </c>
      <c r="BK50" s="2030">
        <f t="shared" si="17"/>
        <v>0</v>
      </c>
      <c r="BL50" s="2030">
        <f t="shared" si="17"/>
        <v>0</v>
      </c>
      <c r="BM50" s="2031"/>
      <c r="BN50" s="2031"/>
      <c r="BO50" s="2031"/>
      <c r="BP50" s="2031"/>
      <c r="BQ50" s="2031"/>
      <c r="BR50" s="2031"/>
      <c r="BS50" s="2031"/>
      <c r="BT50" s="2031"/>
      <c r="BU50" s="2029"/>
      <c r="BV50" s="2029"/>
      <c r="BW50" s="2029"/>
      <c r="BX50" s="2029"/>
      <c r="BY50" s="2029"/>
      <c r="BZ50" s="2032"/>
      <c r="CA50" s="1974"/>
      <c r="CB50" s="1974"/>
      <c r="CC50" s="1974"/>
      <c r="CD50" s="1974"/>
      <c r="CE50" s="1974">
        <v>0</v>
      </c>
      <c r="CF50" s="2033">
        <v>6.870448009255234E-5</v>
      </c>
      <c r="CG50" s="2026">
        <v>0</v>
      </c>
      <c r="CH50" s="2009">
        <v>0</v>
      </c>
      <c r="CI50" s="2029">
        <v>0</v>
      </c>
      <c r="CK50" s="2029">
        <f t="shared" si="18"/>
        <v>0</v>
      </c>
      <c r="CL50" s="2034">
        <v>1</v>
      </c>
      <c r="CM50" s="2034">
        <v>1</v>
      </c>
      <c r="CN50" s="2034">
        <v>1</v>
      </c>
      <c r="CO50" s="2034">
        <v>1</v>
      </c>
      <c r="CP50" s="2035"/>
      <c r="CQ50" s="2036"/>
      <c r="CR50" s="2036"/>
      <c r="CS50" s="2049"/>
      <c r="CT50" s="2049"/>
      <c r="CU50" s="2049"/>
      <c r="CW50" s="1973">
        <v>0</v>
      </c>
      <c r="CX50" s="2037">
        <v>100</v>
      </c>
      <c r="CY50" s="2037">
        <v>100</v>
      </c>
      <c r="CZ50" s="2037">
        <v>100</v>
      </c>
      <c r="DA50" s="2037">
        <v>100</v>
      </c>
      <c r="DJ50" s="1976">
        <v>100</v>
      </c>
      <c r="DK50" s="1973">
        <v>100</v>
      </c>
      <c r="DL50" s="1973">
        <v>100</v>
      </c>
      <c r="DM50" s="1973">
        <v>100</v>
      </c>
      <c r="DO50" s="2023">
        <v>12</v>
      </c>
      <c r="DP50" s="2024">
        <v>3871.6500000000005</v>
      </c>
      <c r="DQ50" s="2024">
        <v>0.41412511986301376</v>
      </c>
      <c r="DR50" s="2023">
        <v>0</v>
      </c>
      <c r="DS50" s="2029">
        <v>100</v>
      </c>
      <c r="DT50" s="2029">
        <v>100</v>
      </c>
      <c r="DU50" s="2029">
        <v>100</v>
      </c>
      <c r="DV50" s="2029">
        <v>100</v>
      </c>
      <c r="DW50" s="1974"/>
      <c r="DX50" s="2029">
        <v>0</v>
      </c>
      <c r="DY50" s="2029">
        <v>0</v>
      </c>
      <c r="DZ50" s="2029">
        <v>0</v>
      </c>
      <c r="EA50" s="2029">
        <v>166</v>
      </c>
      <c r="EB50" s="2029">
        <v>166</v>
      </c>
      <c r="EC50" s="2029">
        <v>166</v>
      </c>
      <c r="ED50" s="2029">
        <v>166</v>
      </c>
      <c r="EE50" s="2039">
        <f t="shared" si="19"/>
        <v>0</v>
      </c>
      <c r="EF50" s="2039">
        <f t="shared" si="19"/>
        <v>0</v>
      </c>
      <c r="EG50" s="2039">
        <f t="shared" si="19"/>
        <v>0</v>
      </c>
      <c r="EH50" s="2039">
        <f t="shared" si="19"/>
        <v>0</v>
      </c>
      <c r="EI50" s="2040">
        <f t="shared" si="35"/>
        <v>0</v>
      </c>
      <c r="EJ50" s="2040">
        <f t="shared" si="35"/>
        <v>0</v>
      </c>
      <c r="EK50" s="2040">
        <f t="shared" si="35"/>
        <v>0</v>
      </c>
      <c r="EL50" s="2040">
        <f t="shared" si="35"/>
        <v>0</v>
      </c>
      <c r="EM50" s="2040">
        <f t="shared" si="35"/>
        <v>0</v>
      </c>
      <c r="EN50" s="2040">
        <f t="shared" si="35"/>
        <v>0</v>
      </c>
      <c r="EO50" s="2040">
        <f t="shared" si="35"/>
        <v>0</v>
      </c>
      <c r="EP50" s="2040">
        <f t="shared" si="35"/>
        <v>0</v>
      </c>
      <c r="EQ50" s="2040">
        <f t="shared" si="35"/>
        <v>0</v>
      </c>
      <c r="ER50" s="2040">
        <f t="shared" si="35"/>
        <v>0</v>
      </c>
      <c r="ES50" s="2040">
        <f t="shared" si="35"/>
        <v>0</v>
      </c>
      <c r="ET50" s="2040">
        <f t="shared" si="35"/>
        <v>0</v>
      </c>
      <c r="EU50" s="2039">
        <f t="shared" si="21"/>
        <v>0</v>
      </c>
      <c r="EV50" s="2039">
        <f t="shared" si="22"/>
        <v>0</v>
      </c>
    </row>
    <row r="51" spans="1:152" x14ac:dyDescent="0.25">
      <c r="A51" s="2041" t="s">
        <v>110</v>
      </c>
      <c r="B51" s="2022" t="s">
        <v>2905</v>
      </c>
      <c r="C51" s="2023">
        <v>12</v>
      </c>
      <c r="D51" s="2024">
        <v>7341.5250000000005</v>
      </c>
      <c r="E51" s="2024">
        <v>0.78527499143835622</v>
      </c>
      <c r="F51" s="2023">
        <v>0</v>
      </c>
      <c r="G51" s="2026" t="s">
        <v>2899</v>
      </c>
      <c r="H51" s="2026" t="s">
        <v>2899</v>
      </c>
      <c r="I51" s="2026">
        <v>0.84899999999999998</v>
      </c>
      <c r="J51" s="2026">
        <v>0.84899999999999998</v>
      </c>
      <c r="K51" s="2026">
        <v>0.84899999999999998</v>
      </c>
      <c r="L51" s="2026">
        <v>0.84899999999999998</v>
      </c>
      <c r="M51" s="2027">
        <f t="shared" si="11"/>
        <v>6232.9547250000005</v>
      </c>
      <c r="N51" s="2027">
        <f t="shared" si="11"/>
        <v>6232.9547250000005</v>
      </c>
      <c r="O51" s="2027">
        <f t="shared" si="11"/>
        <v>6232.9547250000005</v>
      </c>
      <c r="P51" s="2027">
        <f t="shared" si="11"/>
        <v>6232.9547250000005</v>
      </c>
      <c r="Q51" s="2026">
        <v>0.84899999999999998</v>
      </c>
      <c r="R51" s="2026">
        <v>0.84899999999999998</v>
      </c>
      <c r="S51" s="2026">
        <v>0.84899999999999998</v>
      </c>
      <c r="T51" s="2026">
        <v>0.84899999999999998</v>
      </c>
      <c r="U51" s="2028">
        <f t="shared" si="12"/>
        <v>0.66669846773116437</v>
      </c>
      <c r="V51" s="2028">
        <f t="shared" si="12"/>
        <v>0.66669846773116437</v>
      </c>
      <c r="W51" s="2028">
        <f t="shared" si="12"/>
        <v>0.66669846773116437</v>
      </c>
      <c r="X51" s="2028">
        <f t="shared" si="12"/>
        <v>0.66669846773116437</v>
      </c>
      <c r="Y51" s="2026">
        <v>0.67500000000000004</v>
      </c>
      <c r="Z51" s="2026">
        <v>0.67500000000000004</v>
      </c>
      <c r="AA51" s="2026">
        <v>0.67500000000000004</v>
      </c>
      <c r="AB51" s="2026">
        <v>0.67500000000000004</v>
      </c>
      <c r="AC51" s="2027">
        <f t="shared" si="31"/>
        <v>0</v>
      </c>
      <c r="AD51" s="2027">
        <f t="shared" si="31"/>
        <v>0</v>
      </c>
      <c r="AE51" s="2027">
        <f t="shared" si="31"/>
        <v>0</v>
      </c>
      <c r="AF51" s="2027">
        <f t="shared" si="31"/>
        <v>0</v>
      </c>
      <c r="AG51" s="2027">
        <v>5</v>
      </c>
      <c r="AH51" s="2027">
        <v>5</v>
      </c>
      <c r="AI51" s="2027">
        <v>5</v>
      </c>
      <c r="AJ51" s="2027">
        <v>6</v>
      </c>
      <c r="AK51" s="2027">
        <f t="shared" si="27"/>
        <v>31164.773625000002</v>
      </c>
      <c r="AL51" s="2027">
        <f t="shared" si="32"/>
        <v>31164.773625000002</v>
      </c>
      <c r="AM51" s="2027">
        <f t="shared" si="32"/>
        <v>31164.773625000002</v>
      </c>
      <c r="AN51" s="2027">
        <f t="shared" si="32"/>
        <v>37397.728350000005</v>
      </c>
      <c r="AO51" s="2027">
        <f t="shared" si="28"/>
        <v>0</v>
      </c>
      <c r="AP51" s="2027">
        <f t="shared" si="36"/>
        <v>0</v>
      </c>
      <c r="AQ51" s="2027">
        <f t="shared" si="36"/>
        <v>0</v>
      </c>
      <c r="AR51" s="2027">
        <f t="shared" si="29"/>
        <v>0</v>
      </c>
      <c r="AS51" s="2029">
        <v>200</v>
      </c>
      <c r="AT51" s="2029">
        <f t="shared" si="13"/>
        <v>200</v>
      </c>
      <c r="AU51" s="2029">
        <f t="shared" si="13"/>
        <v>200</v>
      </c>
      <c r="AV51" s="2029">
        <f t="shared" si="13"/>
        <v>200</v>
      </c>
      <c r="AW51" s="1974"/>
      <c r="AX51" s="2029">
        <f t="shared" si="33"/>
        <v>0</v>
      </c>
      <c r="AY51" s="2029">
        <f t="shared" si="33"/>
        <v>0</v>
      </c>
      <c r="AZ51" s="2029">
        <f t="shared" si="33"/>
        <v>0</v>
      </c>
      <c r="BA51" s="2029">
        <v>407</v>
      </c>
      <c r="BB51" s="2029">
        <f t="shared" si="34"/>
        <v>407</v>
      </c>
      <c r="BC51" s="2029">
        <f t="shared" si="34"/>
        <v>407</v>
      </c>
      <c r="BD51" s="2029">
        <f t="shared" si="34"/>
        <v>407</v>
      </c>
      <c r="BE51" s="2030">
        <f t="shared" si="16"/>
        <v>1000</v>
      </c>
      <c r="BF51" s="2030">
        <f t="shared" si="16"/>
        <v>1000</v>
      </c>
      <c r="BG51" s="2030">
        <f t="shared" si="16"/>
        <v>1000</v>
      </c>
      <c r="BH51" s="2030">
        <f t="shared" si="16"/>
        <v>1200</v>
      </c>
      <c r="BI51" s="2030">
        <f t="shared" si="17"/>
        <v>0</v>
      </c>
      <c r="BJ51" s="2030">
        <f t="shared" si="17"/>
        <v>0</v>
      </c>
      <c r="BK51" s="2030">
        <f t="shared" si="17"/>
        <v>0</v>
      </c>
      <c r="BL51" s="2030">
        <f t="shared" si="17"/>
        <v>0</v>
      </c>
      <c r="BM51" s="2031"/>
      <c r="BN51" s="2031"/>
      <c r="BO51" s="2031"/>
      <c r="BP51" s="2031"/>
      <c r="BQ51" s="2031"/>
      <c r="BR51" s="2031"/>
      <c r="BS51" s="2031"/>
      <c r="BT51" s="2031"/>
      <c r="BU51" s="2029"/>
      <c r="BV51" s="2029"/>
      <c r="BW51" s="2029"/>
      <c r="BX51" s="2029"/>
      <c r="BY51" s="2029"/>
      <c r="BZ51" s="2032"/>
      <c r="CA51" s="1974"/>
      <c r="CB51" s="1974"/>
      <c r="CC51" s="1974"/>
      <c r="CD51" s="1974"/>
      <c r="CE51" s="1974">
        <v>0</v>
      </c>
      <c r="CF51" s="2033">
        <v>1.3027924998682092E-4</v>
      </c>
      <c r="CG51" s="2026">
        <v>0</v>
      </c>
      <c r="CH51" s="2009">
        <v>0</v>
      </c>
      <c r="CI51" s="2029">
        <v>0</v>
      </c>
      <c r="CK51" s="2029">
        <f t="shared" si="18"/>
        <v>0</v>
      </c>
      <c r="CL51" s="2034">
        <v>1</v>
      </c>
      <c r="CM51" s="2034">
        <v>1</v>
      </c>
      <c r="CN51" s="2034">
        <v>1</v>
      </c>
      <c r="CO51" s="2034">
        <v>1</v>
      </c>
      <c r="CP51" s="2035"/>
      <c r="CQ51" s="2036"/>
      <c r="CR51" s="2036"/>
      <c r="CS51" s="2049"/>
      <c r="CT51" s="2049"/>
      <c r="CU51" s="2049"/>
      <c r="CW51" s="1973">
        <v>0</v>
      </c>
      <c r="CX51" s="2037">
        <v>200</v>
      </c>
      <c r="CY51" s="2037">
        <v>200</v>
      </c>
      <c r="CZ51" s="2037">
        <v>200</v>
      </c>
      <c r="DA51" s="2037">
        <v>200</v>
      </c>
      <c r="DJ51" s="1976">
        <v>200</v>
      </c>
      <c r="DK51" s="1973">
        <v>200</v>
      </c>
      <c r="DL51" s="1973">
        <v>200</v>
      </c>
      <c r="DM51" s="1973">
        <v>200</v>
      </c>
      <c r="DO51" s="2023">
        <v>12</v>
      </c>
      <c r="DP51" s="2024">
        <v>7341.5250000000005</v>
      </c>
      <c r="DQ51" s="2024">
        <v>0.78527499143835622</v>
      </c>
      <c r="DR51" s="2023">
        <v>0</v>
      </c>
      <c r="DS51" s="2029">
        <v>200</v>
      </c>
      <c r="DT51" s="2029">
        <v>200</v>
      </c>
      <c r="DU51" s="2029">
        <v>200</v>
      </c>
      <c r="DV51" s="2029">
        <v>200</v>
      </c>
      <c r="DW51" s="1974"/>
      <c r="DX51" s="2029">
        <v>0</v>
      </c>
      <c r="DY51" s="2029">
        <v>0</v>
      </c>
      <c r="DZ51" s="2029">
        <v>0</v>
      </c>
      <c r="EA51" s="2029">
        <v>407</v>
      </c>
      <c r="EB51" s="2029">
        <v>407</v>
      </c>
      <c r="EC51" s="2029">
        <v>407</v>
      </c>
      <c r="ED51" s="2029">
        <v>407</v>
      </c>
      <c r="EE51" s="2039">
        <f t="shared" si="19"/>
        <v>0</v>
      </c>
      <c r="EF51" s="2039">
        <f t="shared" si="19"/>
        <v>0</v>
      </c>
      <c r="EG51" s="2039">
        <f t="shared" si="19"/>
        <v>0</v>
      </c>
      <c r="EH51" s="2039">
        <f t="shared" si="19"/>
        <v>0</v>
      </c>
      <c r="EI51" s="2040">
        <f t="shared" si="35"/>
        <v>0</v>
      </c>
      <c r="EJ51" s="2040">
        <f t="shared" si="35"/>
        <v>0</v>
      </c>
      <c r="EK51" s="2040">
        <f t="shared" si="35"/>
        <v>0</v>
      </c>
      <c r="EL51" s="2040">
        <f t="shared" si="35"/>
        <v>0</v>
      </c>
      <c r="EM51" s="2040">
        <f t="shared" si="35"/>
        <v>0</v>
      </c>
      <c r="EN51" s="2040">
        <f t="shared" si="35"/>
        <v>0</v>
      </c>
      <c r="EO51" s="2040">
        <f t="shared" si="35"/>
        <v>0</v>
      </c>
      <c r="EP51" s="2040">
        <f t="shared" si="35"/>
        <v>0</v>
      </c>
      <c r="EQ51" s="2040">
        <f t="shared" si="35"/>
        <v>0</v>
      </c>
      <c r="ER51" s="2040">
        <f t="shared" si="35"/>
        <v>0</v>
      </c>
      <c r="ES51" s="2040">
        <f t="shared" si="35"/>
        <v>0</v>
      </c>
      <c r="ET51" s="2040">
        <f t="shared" si="35"/>
        <v>0</v>
      </c>
      <c r="EU51" s="2039">
        <f t="shared" si="21"/>
        <v>0</v>
      </c>
      <c r="EV51" s="2039">
        <f t="shared" si="22"/>
        <v>0</v>
      </c>
    </row>
    <row r="52" spans="1:152" x14ac:dyDescent="0.25">
      <c r="A52" s="2041" t="s">
        <v>111</v>
      </c>
      <c r="B52" s="2022" t="s">
        <v>2906</v>
      </c>
      <c r="C52" s="2543">
        <v>10</v>
      </c>
      <c r="D52" s="2024">
        <v>2709.2003718384003</v>
      </c>
      <c r="E52" s="2024">
        <v>0</v>
      </c>
      <c r="F52" s="2023">
        <v>0</v>
      </c>
      <c r="G52" s="2026" t="s">
        <v>2899</v>
      </c>
      <c r="H52" s="2026" t="s">
        <v>2899</v>
      </c>
      <c r="I52" s="2026">
        <v>0.84899999999999998</v>
      </c>
      <c r="J52" s="2026">
        <v>0.84899999999999998</v>
      </c>
      <c r="K52" s="2026">
        <v>0.84899999999999998</v>
      </c>
      <c r="L52" s="2026">
        <v>0.84899999999999998</v>
      </c>
      <c r="M52" s="2027">
        <f t="shared" si="11"/>
        <v>2300.1111156908019</v>
      </c>
      <c r="N52" s="2027">
        <f t="shared" si="11"/>
        <v>2300.1111156908019</v>
      </c>
      <c r="O52" s="2027">
        <f t="shared" si="11"/>
        <v>2300.1111156908019</v>
      </c>
      <c r="P52" s="2027">
        <f t="shared" si="11"/>
        <v>2300.1111156908019</v>
      </c>
      <c r="Q52" s="2026">
        <v>0.84899999999999998</v>
      </c>
      <c r="R52" s="2026">
        <v>0.84899999999999998</v>
      </c>
      <c r="S52" s="2026">
        <v>0.84899999999999998</v>
      </c>
      <c r="T52" s="2026">
        <v>0.84899999999999998</v>
      </c>
      <c r="U52" s="2028">
        <f t="shared" si="12"/>
        <v>0</v>
      </c>
      <c r="V52" s="2028">
        <f t="shared" si="12"/>
        <v>0</v>
      </c>
      <c r="W52" s="2028">
        <f t="shared" si="12"/>
        <v>0</v>
      </c>
      <c r="X52" s="2028">
        <f t="shared" si="12"/>
        <v>0</v>
      </c>
      <c r="Y52" s="2026">
        <v>0.67500000000000004</v>
      </c>
      <c r="Z52" s="2026">
        <v>0.67500000000000004</v>
      </c>
      <c r="AA52" s="2026">
        <v>0.67500000000000004</v>
      </c>
      <c r="AB52" s="2026">
        <v>0.67500000000000004</v>
      </c>
      <c r="AC52" s="2027">
        <f t="shared" si="31"/>
        <v>0</v>
      </c>
      <c r="AD52" s="2027">
        <f t="shared" si="31"/>
        <v>0</v>
      </c>
      <c r="AE52" s="2027">
        <f t="shared" si="31"/>
        <v>0</v>
      </c>
      <c r="AF52" s="2027">
        <f t="shared" si="31"/>
        <v>0</v>
      </c>
      <c r="AG52" s="2027">
        <v>5</v>
      </c>
      <c r="AH52" s="2027">
        <v>6</v>
      </c>
      <c r="AI52" s="2027">
        <v>6</v>
      </c>
      <c r="AJ52" s="2027">
        <v>6</v>
      </c>
      <c r="AK52" s="2027">
        <f t="shared" si="27"/>
        <v>11500.555578454008</v>
      </c>
      <c r="AL52" s="2027">
        <f t="shared" si="32"/>
        <v>13800.666694144811</v>
      </c>
      <c r="AM52" s="2027">
        <f t="shared" si="32"/>
        <v>13800.666694144811</v>
      </c>
      <c r="AN52" s="2027">
        <f t="shared" si="32"/>
        <v>13800.666694144811</v>
      </c>
      <c r="AO52" s="2027">
        <f t="shared" si="28"/>
        <v>0</v>
      </c>
      <c r="AP52" s="2027">
        <f t="shared" si="36"/>
        <v>0</v>
      </c>
      <c r="AQ52" s="2027">
        <f t="shared" si="36"/>
        <v>0</v>
      </c>
      <c r="AR52" s="2027">
        <f t="shared" si="29"/>
        <v>0</v>
      </c>
      <c r="AS52" s="2029">
        <v>80</v>
      </c>
      <c r="AT52" s="2029">
        <f t="shared" si="13"/>
        <v>80</v>
      </c>
      <c r="AU52" s="2029">
        <f t="shared" si="13"/>
        <v>80</v>
      </c>
      <c r="AV52" s="2029">
        <f t="shared" si="13"/>
        <v>80</v>
      </c>
      <c r="AW52" s="1974"/>
      <c r="AX52" s="2029">
        <f t="shared" si="33"/>
        <v>0</v>
      </c>
      <c r="AY52" s="2029">
        <f t="shared" si="33"/>
        <v>0</v>
      </c>
      <c r="AZ52" s="2029">
        <f t="shared" si="33"/>
        <v>0</v>
      </c>
      <c r="BA52" s="2029">
        <v>250</v>
      </c>
      <c r="BB52" s="2029">
        <f t="shared" si="34"/>
        <v>250</v>
      </c>
      <c r="BC52" s="2029">
        <f t="shared" si="34"/>
        <v>250</v>
      </c>
      <c r="BD52" s="2029">
        <f t="shared" si="34"/>
        <v>250</v>
      </c>
      <c r="BE52" s="2030">
        <f t="shared" si="16"/>
        <v>400</v>
      </c>
      <c r="BF52" s="2030">
        <f t="shared" si="16"/>
        <v>480</v>
      </c>
      <c r="BG52" s="2030">
        <f t="shared" si="16"/>
        <v>480</v>
      </c>
      <c r="BH52" s="2030">
        <f t="shared" si="16"/>
        <v>480</v>
      </c>
      <c r="BI52" s="2030">
        <f t="shared" si="17"/>
        <v>0</v>
      </c>
      <c r="BJ52" s="2030">
        <f t="shared" si="17"/>
        <v>0</v>
      </c>
      <c r="BK52" s="2030">
        <f t="shared" si="17"/>
        <v>0</v>
      </c>
      <c r="BL52" s="2030">
        <f t="shared" si="17"/>
        <v>0</v>
      </c>
      <c r="BM52" s="2031"/>
      <c r="BN52" s="2031"/>
      <c r="BO52" s="2031"/>
      <c r="BP52" s="2031"/>
      <c r="BQ52" s="2031"/>
      <c r="BR52" s="2031"/>
      <c r="BS52" s="2031"/>
      <c r="BT52" s="2031"/>
      <c r="BU52" s="2029"/>
      <c r="BV52" s="2029"/>
      <c r="BW52" s="2029"/>
      <c r="BX52" s="2029"/>
      <c r="BY52" s="2029"/>
      <c r="BZ52" s="2032"/>
      <c r="CA52" s="1974"/>
      <c r="CB52" s="1974"/>
      <c r="CC52" s="1974"/>
      <c r="CD52" s="1974"/>
      <c r="CE52" s="1974">
        <v>0</v>
      </c>
      <c r="CF52" s="2033">
        <v>4.8076195682385218E-5</v>
      </c>
      <c r="CG52" s="2026">
        <v>0</v>
      </c>
      <c r="CH52" s="2009">
        <v>0</v>
      </c>
      <c r="CI52" s="2029">
        <v>0</v>
      </c>
      <c r="CK52" s="2029">
        <f t="shared" si="18"/>
        <v>0</v>
      </c>
      <c r="CL52" s="2034">
        <v>1</v>
      </c>
      <c r="CM52" s="2034">
        <v>1</v>
      </c>
      <c r="CN52" s="2034">
        <v>1</v>
      </c>
      <c r="CO52" s="2034">
        <v>1</v>
      </c>
      <c r="CP52" s="2035"/>
      <c r="CQ52" s="2036"/>
      <c r="CR52" s="2036"/>
      <c r="CS52" s="2049"/>
      <c r="CT52" s="2049"/>
      <c r="CU52" s="2049"/>
      <c r="CW52" s="1973">
        <v>0</v>
      </c>
      <c r="CX52" s="2037">
        <v>80</v>
      </c>
      <c r="CY52" s="2037">
        <v>80</v>
      </c>
      <c r="CZ52" s="2037">
        <v>80</v>
      </c>
      <c r="DA52" s="2037">
        <v>80</v>
      </c>
      <c r="DJ52" s="1976">
        <v>80</v>
      </c>
      <c r="DK52" s="1973">
        <v>80</v>
      </c>
      <c r="DL52" s="1973">
        <v>80</v>
      </c>
      <c r="DM52" s="1973">
        <v>80</v>
      </c>
      <c r="DO52" s="2543">
        <v>10</v>
      </c>
      <c r="DP52" s="2024">
        <v>2709.2003718384003</v>
      </c>
      <c r="DQ52" s="2024">
        <v>0</v>
      </c>
      <c r="DR52" s="2023">
        <v>0</v>
      </c>
      <c r="DS52" s="2029">
        <v>80</v>
      </c>
      <c r="DT52" s="2029">
        <v>80</v>
      </c>
      <c r="DU52" s="2029">
        <v>80</v>
      </c>
      <c r="DV52" s="2029">
        <v>80</v>
      </c>
      <c r="DW52" s="1974"/>
      <c r="DX52" s="2029">
        <v>0</v>
      </c>
      <c r="DY52" s="2029">
        <v>0</v>
      </c>
      <c r="DZ52" s="2029">
        <v>0</v>
      </c>
      <c r="EA52" s="2029">
        <v>250</v>
      </c>
      <c r="EB52" s="2029">
        <v>250</v>
      </c>
      <c r="EC52" s="2029">
        <v>250</v>
      </c>
      <c r="ED52" s="2029">
        <v>250</v>
      </c>
      <c r="EE52" s="2039">
        <f t="shared" si="19"/>
        <v>0</v>
      </c>
      <c r="EF52" s="2039">
        <f t="shared" si="19"/>
        <v>0</v>
      </c>
      <c r="EG52" s="2039">
        <f t="shared" si="19"/>
        <v>0</v>
      </c>
      <c r="EH52" s="2039">
        <f t="shared" si="19"/>
        <v>0</v>
      </c>
      <c r="EI52" s="2040">
        <f t="shared" si="35"/>
        <v>0</v>
      </c>
      <c r="EJ52" s="2040">
        <f t="shared" si="35"/>
        <v>0</v>
      </c>
      <c r="EK52" s="2040">
        <f t="shared" si="35"/>
        <v>0</v>
      </c>
      <c r="EL52" s="2040">
        <f t="shared" si="35"/>
        <v>0</v>
      </c>
      <c r="EM52" s="2040">
        <f t="shared" si="35"/>
        <v>0</v>
      </c>
      <c r="EN52" s="2040">
        <f t="shared" si="35"/>
        <v>0</v>
      </c>
      <c r="EO52" s="2040">
        <f t="shared" si="35"/>
        <v>0</v>
      </c>
      <c r="EP52" s="2040">
        <f t="shared" si="35"/>
        <v>0</v>
      </c>
      <c r="EQ52" s="2040">
        <f t="shared" si="35"/>
        <v>0</v>
      </c>
      <c r="ER52" s="2040">
        <f t="shared" si="35"/>
        <v>0</v>
      </c>
      <c r="ES52" s="2040">
        <f t="shared" si="35"/>
        <v>0</v>
      </c>
      <c r="ET52" s="2040">
        <f t="shared" si="35"/>
        <v>0</v>
      </c>
      <c r="EU52" s="2039">
        <f t="shared" si="21"/>
        <v>0</v>
      </c>
      <c r="EV52" s="2039">
        <f t="shared" si="22"/>
        <v>0</v>
      </c>
    </row>
    <row r="53" spans="1:152" x14ac:dyDescent="0.25">
      <c r="A53" s="2041" t="s">
        <v>112</v>
      </c>
      <c r="B53" s="2022" t="s">
        <v>2907</v>
      </c>
      <c r="C53" s="2543">
        <v>10</v>
      </c>
      <c r="D53" s="2024">
        <v>1278.1885859028002</v>
      </c>
      <c r="E53" s="2024">
        <v>0</v>
      </c>
      <c r="F53" s="2023">
        <v>0</v>
      </c>
      <c r="G53" s="2026" t="s">
        <v>2899</v>
      </c>
      <c r="H53" s="2026" t="s">
        <v>2899</v>
      </c>
      <c r="I53" s="2026">
        <v>0.84899999999999998</v>
      </c>
      <c r="J53" s="2026">
        <v>0.84899999999999998</v>
      </c>
      <c r="K53" s="2026">
        <v>0.84899999999999998</v>
      </c>
      <c r="L53" s="2026">
        <v>0.84899999999999998</v>
      </c>
      <c r="M53" s="2027">
        <f t="shared" si="11"/>
        <v>1085.1821094314773</v>
      </c>
      <c r="N53" s="2027">
        <f t="shared" si="11"/>
        <v>1085.1821094314773</v>
      </c>
      <c r="O53" s="2027">
        <f t="shared" si="11"/>
        <v>1085.1821094314773</v>
      </c>
      <c r="P53" s="2027">
        <f t="shared" si="11"/>
        <v>1085.1821094314773</v>
      </c>
      <c r="Q53" s="2026">
        <v>0.84899999999999998</v>
      </c>
      <c r="R53" s="2026">
        <v>0.84899999999999998</v>
      </c>
      <c r="S53" s="2026">
        <v>0.84899999999999998</v>
      </c>
      <c r="T53" s="2026">
        <v>0.84899999999999998</v>
      </c>
      <c r="U53" s="2028">
        <f t="shared" si="12"/>
        <v>0</v>
      </c>
      <c r="V53" s="2028">
        <f t="shared" si="12"/>
        <v>0</v>
      </c>
      <c r="W53" s="2028">
        <f t="shared" si="12"/>
        <v>0</v>
      </c>
      <c r="X53" s="2028">
        <f t="shared" si="12"/>
        <v>0</v>
      </c>
      <c r="Y53" s="2026">
        <v>0.67500000000000004</v>
      </c>
      <c r="Z53" s="2026">
        <v>0.67500000000000004</v>
      </c>
      <c r="AA53" s="2026">
        <v>0.67500000000000004</v>
      </c>
      <c r="AB53" s="2026">
        <v>0.67500000000000004</v>
      </c>
      <c r="AC53" s="2027">
        <f t="shared" si="31"/>
        <v>0</v>
      </c>
      <c r="AD53" s="2027">
        <f t="shared" si="31"/>
        <v>0</v>
      </c>
      <c r="AE53" s="2027">
        <f t="shared" si="31"/>
        <v>0</v>
      </c>
      <c r="AF53" s="2027">
        <f t="shared" si="31"/>
        <v>0</v>
      </c>
      <c r="AG53" s="2027">
        <v>5</v>
      </c>
      <c r="AH53" s="2027">
        <v>7</v>
      </c>
      <c r="AI53" s="2027">
        <v>7</v>
      </c>
      <c r="AJ53" s="2027">
        <v>6</v>
      </c>
      <c r="AK53" s="2027">
        <f t="shared" si="27"/>
        <v>5425.9105471573866</v>
      </c>
      <c r="AL53" s="2027">
        <f t="shared" si="32"/>
        <v>7596.2747660203413</v>
      </c>
      <c r="AM53" s="2027">
        <f t="shared" si="32"/>
        <v>7596.2747660203413</v>
      </c>
      <c r="AN53" s="2027">
        <f t="shared" si="32"/>
        <v>6511.092656588864</v>
      </c>
      <c r="AO53" s="2027">
        <f t="shared" si="28"/>
        <v>0</v>
      </c>
      <c r="AP53" s="2027">
        <f t="shared" si="36"/>
        <v>0</v>
      </c>
      <c r="AQ53" s="2027">
        <f t="shared" si="36"/>
        <v>0</v>
      </c>
      <c r="AR53" s="2027">
        <f t="shared" si="29"/>
        <v>0</v>
      </c>
      <c r="AS53" s="2029">
        <v>80</v>
      </c>
      <c r="AT53" s="2029">
        <f t="shared" si="13"/>
        <v>80</v>
      </c>
      <c r="AU53" s="2029">
        <f t="shared" si="13"/>
        <v>80</v>
      </c>
      <c r="AV53" s="2029">
        <f t="shared" si="13"/>
        <v>80</v>
      </c>
      <c r="AW53" s="1974"/>
      <c r="AX53" s="2029">
        <f t="shared" si="33"/>
        <v>0</v>
      </c>
      <c r="AY53" s="2029">
        <f t="shared" si="33"/>
        <v>0</v>
      </c>
      <c r="AZ53" s="2029">
        <f t="shared" si="33"/>
        <v>0</v>
      </c>
      <c r="BA53" s="2029">
        <v>250</v>
      </c>
      <c r="BB53" s="2029">
        <f t="shared" si="34"/>
        <v>250</v>
      </c>
      <c r="BC53" s="2029">
        <f t="shared" si="34"/>
        <v>250</v>
      </c>
      <c r="BD53" s="2029">
        <f t="shared" si="34"/>
        <v>250</v>
      </c>
      <c r="BE53" s="2030">
        <f t="shared" si="16"/>
        <v>400</v>
      </c>
      <c r="BF53" s="2030">
        <f t="shared" si="16"/>
        <v>560</v>
      </c>
      <c r="BG53" s="2030">
        <f t="shared" si="16"/>
        <v>560</v>
      </c>
      <c r="BH53" s="2030">
        <f t="shared" si="16"/>
        <v>480</v>
      </c>
      <c r="BI53" s="2030">
        <f t="shared" si="17"/>
        <v>0</v>
      </c>
      <c r="BJ53" s="2030">
        <f t="shared" si="17"/>
        <v>0</v>
      </c>
      <c r="BK53" s="2030">
        <f t="shared" si="17"/>
        <v>0</v>
      </c>
      <c r="BL53" s="2030">
        <f t="shared" si="17"/>
        <v>0</v>
      </c>
      <c r="BM53" s="2031"/>
      <c r="BN53" s="2031"/>
      <c r="BO53" s="2031"/>
      <c r="BP53" s="2031"/>
      <c r="BQ53" s="2031"/>
      <c r="BR53" s="2031"/>
      <c r="BS53" s="2031"/>
      <c r="BT53" s="2031"/>
      <c r="BU53" s="2029"/>
      <c r="BV53" s="2029"/>
      <c r="BW53" s="2029"/>
      <c r="BX53" s="2029"/>
      <c r="BY53" s="2029"/>
      <c r="BZ53" s="2032"/>
      <c r="CA53" s="1974"/>
      <c r="CB53" s="1974"/>
      <c r="CC53" s="1974"/>
      <c r="CD53" s="1974"/>
      <c r="CE53" s="1974">
        <v>0</v>
      </c>
      <c r="CF53" s="2033">
        <v>2.2682133523093912E-5</v>
      </c>
      <c r="CG53" s="2026">
        <v>0</v>
      </c>
      <c r="CH53" s="2009">
        <v>0</v>
      </c>
      <c r="CI53" s="2029">
        <v>0</v>
      </c>
      <c r="CK53" s="2029">
        <f t="shared" si="18"/>
        <v>0</v>
      </c>
      <c r="CL53" s="2034">
        <v>1</v>
      </c>
      <c r="CM53" s="2034">
        <v>1</v>
      </c>
      <c r="CN53" s="2034">
        <v>1</v>
      </c>
      <c r="CO53" s="2034">
        <v>1</v>
      </c>
      <c r="CP53" s="2035"/>
      <c r="CQ53" s="2036"/>
      <c r="CR53" s="2036"/>
      <c r="CS53" s="2049"/>
      <c r="CT53" s="2049"/>
      <c r="CU53" s="2049"/>
      <c r="CW53" s="1973">
        <v>0</v>
      </c>
      <c r="CX53" s="2037">
        <v>80</v>
      </c>
      <c r="CY53" s="2037">
        <v>80</v>
      </c>
      <c r="CZ53" s="2037">
        <v>80</v>
      </c>
      <c r="DA53" s="2037">
        <v>80</v>
      </c>
      <c r="DJ53" s="1976">
        <v>80</v>
      </c>
      <c r="DK53" s="1973">
        <v>80</v>
      </c>
      <c r="DL53" s="1973">
        <v>80</v>
      </c>
      <c r="DM53" s="1973">
        <v>80</v>
      </c>
      <c r="DO53" s="2543">
        <v>10</v>
      </c>
      <c r="DP53" s="2024">
        <v>1278.1885859028002</v>
      </c>
      <c r="DQ53" s="2024">
        <v>0</v>
      </c>
      <c r="DR53" s="2023">
        <v>0</v>
      </c>
      <c r="DS53" s="2029">
        <v>80</v>
      </c>
      <c r="DT53" s="2029">
        <v>80</v>
      </c>
      <c r="DU53" s="2029">
        <v>80</v>
      </c>
      <c r="DV53" s="2029">
        <v>80</v>
      </c>
      <c r="DW53" s="1974"/>
      <c r="DX53" s="2029">
        <v>0</v>
      </c>
      <c r="DY53" s="2029">
        <v>0</v>
      </c>
      <c r="DZ53" s="2029">
        <v>0</v>
      </c>
      <c r="EA53" s="2029">
        <v>250</v>
      </c>
      <c r="EB53" s="2029">
        <v>250</v>
      </c>
      <c r="EC53" s="2029">
        <v>250</v>
      </c>
      <c r="ED53" s="2029">
        <v>250</v>
      </c>
      <c r="EE53" s="2039">
        <f t="shared" si="19"/>
        <v>0</v>
      </c>
      <c r="EF53" s="2039">
        <f t="shared" si="19"/>
        <v>0</v>
      </c>
      <c r="EG53" s="2039">
        <f t="shared" si="19"/>
        <v>0</v>
      </c>
      <c r="EH53" s="2039">
        <f t="shared" si="19"/>
        <v>0</v>
      </c>
      <c r="EI53" s="2040">
        <f t="shared" si="35"/>
        <v>0</v>
      </c>
      <c r="EJ53" s="2040">
        <f t="shared" si="35"/>
        <v>0</v>
      </c>
      <c r="EK53" s="2040">
        <f t="shared" si="35"/>
        <v>0</v>
      </c>
      <c r="EL53" s="2040">
        <f t="shared" si="35"/>
        <v>0</v>
      </c>
      <c r="EM53" s="2040">
        <f t="shared" si="35"/>
        <v>0</v>
      </c>
      <c r="EN53" s="2040">
        <f t="shared" si="35"/>
        <v>0</v>
      </c>
      <c r="EO53" s="2040">
        <f t="shared" si="35"/>
        <v>0</v>
      </c>
      <c r="EP53" s="2040">
        <f t="shared" si="35"/>
        <v>0</v>
      </c>
      <c r="EQ53" s="2040">
        <f t="shared" si="35"/>
        <v>0</v>
      </c>
      <c r="ER53" s="2040">
        <f t="shared" si="35"/>
        <v>0</v>
      </c>
      <c r="ES53" s="2040">
        <f t="shared" si="35"/>
        <v>0</v>
      </c>
      <c r="ET53" s="2040">
        <f t="shared" si="35"/>
        <v>0</v>
      </c>
      <c r="EU53" s="2039">
        <f t="shared" si="21"/>
        <v>0</v>
      </c>
      <c r="EV53" s="2039">
        <f t="shared" si="22"/>
        <v>0</v>
      </c>
    </row>
    <row r="54" spans="1:152" x14ac:dyDescent="0.25">
      <c r="A54" s="2041" t="s">
        <v>113</v>
      </c>
      <c r="B54" s="2022" t="s">
        <v>2908</v>
      </c>
      <c r="C54" s="2543">
        <v>15</v>
      </c>
      <c r="D54" s="2024">
        <v>478</v>
      </c>
      <c r="E54" s="2024">
        <v>0.06</v>
      </c>
      <c r="F54" s="2023">
        <v>0</v>
      </c>
      <c r="G54" s="2026" t="s">
        <v>2899</v>
      </c>
      <c r="H54" s="2026" t="s">
        <v>2899</v>
      </c>
      <c r="I54" s="2026">
        <v>0.84899999999999998</v>
      </c>
      <c r="J54" s="2026">
        <v>0.84899999999999998</v>
      </c>
      <c r="K54" s="2026">
        <v>0.84899999999999998</v>
      </c>
      <c r="L54" s="2026">
        <v>0.84899999999999998</v>
      </c>
      <c r="M54" s="2027">
        <f t="shared" si="11"/>
        <v>405.822</v>
      </c>
      <c r="N54" s="2027">
        <f t="shared" si="11"/>
        <v>405.822</v>
      </c>
      <c r="O54" s="2027">
        <f t="shared" si="11"/>
        <v>405.822</v>
      </c>
      <c r="P54" s="2027">
        <f t="shared" si="11"/>
        <v>405.822</v>
      </c>
      <c r="Q54" s="2026">
        <v>0.84899999999999998</v>
      </c>
      <c r="R54" s="2026">
        <v>0.84899999999999998</v>
      </c>
      <c r="S54" s="2026">
        <v>0.84899999999999998</v>
      </c>
      <c r="T54" s="2026">
        <v>0.84899999999999998</v>
      </c>
      <c r="U54" s="2028">
        <f t="shared" si="12"/>
        <v>5.0939999999999999E-2</v>
      </c>
      <c r="V54" s="2028">
        <f t="shared" si="12"/>
        <v>5.0939999999999999E-2</v>
      </c>
      <c r="W54" s="2028">
        <f t="shared" si="12"/>
        <v>5.0939999999999999E-2</v>
      </c>
      <c r="X54" s="2028">
        <f t="shared" si="12"/>
        <v>5.0939999999999999E-2</v>
      </c>
      <c r="Y54" s="2026">
        <v>0.67500000000000004</v>
      </c>
      <c r="Z54" s="2026">
        <v>0.67500000000000004</v>
      </c>
      <c r="AA54" s="2026">
        <v>0.67500000000000004</v>
      </c>
      <c r="AB54" s="2026">
        <v>0.67500000000000004</v>
      </c>
      <c r="AC54" s="2027">
        <f t="shared" si="31"/>
        <v>0</v>
      </c>
      <c r="AD54" s="2027">
        <f t="shared" si="31"/>
        <v>0</v>
      </c>
      <c r="AE54" s="2027">
        <f t="shared" si="31"/>
        <v>0</v>
      </c>
      <c r="AF54" s="2027">
        <f t="shared" si="31"/>
        <v>0</v>
      </c>
      <c r="AG54" s="2027">
        <v>14</v>
      </c>
      <c r="AH54" s="2027">
        <v>15</v>
      </c>
      <c r="AI54" s="2027">
        <v>16</v>
      </c>
      <c r="AJ54" s="2027">
        <v>16</v>
      </c>
      <c r="AK54" s="2027">
        <f t="shared" si="27"/>
        <v>5681.5079999999998</v>
      </c>
      <c r="AL54" s="2027">
        <f t="shared" si="32"/>
        <v>6087.33</v>
      </c>
      <c r="AM54" s="2027">
        <f t="shared" si="32"/>
        <v>6493.152</v>
      </c>
      <c r="AN54" s="2027">
        <f t="shared" si="32"/>
        <v>6493.152</v>
      </c>
      <c r="AO54" s="2027">
        <f t="shared" si="28"/>
        <v>0</v>
      </c>
      <c r="AP54" s="2027">
        <f t="shared" si="36"/>
        <v>0</v>
      </c>
      <c r="AQ54" s="2027">
        <f t="shared" si="36"/>
        <v>0</v>
      </c>
      <c r="AR54" s="2027">
        <f t="shared" si="29"/>
        <v>0</v>
      </c>
      <c r="AS54" s="2029">
        <v>60</v>
      </c>
      <c r="AT54" s="2029">
        <f t="shared" si="13"/>
        <v>60</v>
      </c>
      <c r="AU54" s="2029">
        <f t="shared" si="13"/>
        <v>60</v>
      </c>
      <c r="AV54" s="2029">
        <f t="shared" si="13"/>
        <v>60</v>
      </c>
      <c r="AW54" s="1974"/>
      <c r="AX54" s="2029">
        <f t="shared" si="33"/>
        <v>0</v>
      </c>
      <c r="AY54" s="2029">
        <f t="shared" si="33"/>
        <v>0</v>
      </c>
      <c r="AZ54" s="2029">
        <f t="shared" si="33"/>
        <v>0</v>
      </c>
      <c r="BA54" s="2029">
        <v>291</v>
      </c>
      <c r="BB54" s="2029">
        <f t="shared" si="34"/>
        <v>291</v>
      </c>
      <c r="BC54" s="2029">
        <f t="shared" si="34"/>
        <v>291</v>
      </c>
      <c r="BD54" s="2029">
        <f t="shared" si="34"/>
        <v>291</v>
      </c>
      <c r="BE54" s="2030">
        <f t="shared" si="16"/>
        <v>840</v>
      </c>
      <c r="BF54" s="2030">
        <f t="shared" si="16"/>
        <v>900</v>
      </c>
      <c r="BG54" s="2030">
        <f t="shared" si="16"/>
        <v>960</v>
      </c>
      <c r="BH54" s="2030">
        <f t="shared" si="16"/>
        <v>960</v>
      </c>
      <c r="BI54" s="2030">
        <f t="shared" si="17"/>
        <v>0</v>
      </c>
      <c r="BJ54" s="2030">
        <f t="shared" si="17"/>
        <v>0</v>
      </c>
      <c r="BK54" s="2030">
        <f t="shared" si="17"/>
        <v>0</v>
      </c>
      <c r="BL54" s="2030">
        <f t="shared" si="17"/>
        <v>0</v>
      </c>
      <c r="BM54" s="2031"/>
      <c r="BN54" s="2031"/>
      <c r="BO54" s="2031"/>
      <c r="BP54" s="2031"/>
      <c r="BQ54" s="2031"/>
      <c r="BR54" s="2031"/>
      <c r="BS54" s="2031"/>
      <c r="BT54" s="2031"/>
      <c r="BU54" s="2029"/>
      <c r="BV54" s="2029"/>
      <c r="BW54" s="2029"/>
      <c r="BX54" s="2029"/>
      <c r="BY54" s="2029"/>
      <c r="BZ54" s="2032"/>
      <c r="CA54" s="1974"/>
      <c r="CB54" s="1974"/>
      <c r="CC54" s="1974"/>
      <c r="CD54" s="1974"/>
      <c r="CE54" s="1974">
        <v>0</v>
      </c>
      <c r="CF54" s="2033">
        <v>2.3750616960694286E-5</v>
      </c>
      <c r="CG54" s="2026">
        <v>0</v>
      </c>
      <c r="CH54" s="2009">
        <v>0</v>
      </c>
      <c r="CI54" s="2029">
        <v>0</v>
      </c>
      <c r="CK54" s="2029">
        <f t="shared" si="18"/>
        <v>0</v>
      </c>
      <c r="CL54" s="2034">
        <v>1</v>
      </c>
      <c r="CM54" s="2034">
        <v>1</v>
      </c>
      <c r="CN54" s="2034">
        <v>1</v>
      </c>
      <c r="CO54" s="2034">
        <v>1</v>
      </c>
      <c r="CP54" s="2035"/>
      <c r="CQ54" s="2036"/>
      <c r="CR54" s="2036"/>
      <c r="CS54" s="2049"/>
      <c r="CT54" s="2049"/>
      <c r="CU54" s="2049"/>
      <c r="CW54" s="1973">
        <v>0</v>
      </c>
      <c r="CX54" s="2037">
        <v>60</v>
      </c>
      <c r="CY54" s="2037">
        <v>60</v>
      </c>
      <c r="CZ54" s="2037">
        <v>60</v>
      </c>
      <c r="DA54" s="2037">
        <v>60</v>
      </c>
      <c r="DJ54" s="1976">
        <v>60</v>
      </c>
      <c r="DK54" s="1973">
        <v>60</v>
      </c>
      <c r="DL54" s="1973">
        <v>60</v>
      </c>
      <c r="DM54" s="1973">
        <v>60</v>
      </c>
      <c r="DO54" s="2023">
        <v>16</v>
      </c>
      <c r="DP54" s="2024">
        <v>478</v>
      </c>
      <c r="DQ54" s="2024">
        <v>0.06</v>
      </c>
      <c r="DR54" s="2023">
        <v>0</v>
      </c>
      <c r="DS54" s="2029">
        <v>60</v>
      </c>
      <c r="DT54" s="2029">
        <v>60</v>
      </c>
      <c r="DU54" s="2029">
        <v>60</v>
      </c>
      <c r="DV54" s="2029">
        <v>60</v>
      </c>
      <c r="DW54" s="1974"/>
      <c r="DX54" s="2029">
        <v>0</v>
      </c>
      <c r="DY54" s="2029">
        <v>0</v>
      </c>
      <c r="DZ54" s="2029">
        <v>0</v>
      </c>
      <c r="EA54" s="2029">
        <v>291</v>
      </c>
      <c r="EB54" s="2029">
        <v>291</v>
      </c>
      <c r="EC54" s="2029">
        <v>291</v>
      </c>
      <c r="ED54" s="2029">
        <v>291</v>
      </c>
      <c r="EE54" s="2039">
        <f t="shared" si="19"/>
        <v>-1</v>
      </c>
      <c r="EF54" s="2039">
        <f t="shared" si="19"/>
        <v>0</v>
      </c>
      <c r="EG54" s="2039">
        <f t="shared" si="19"/>
        <v>0</v>
      </c>
      <c r="EH54" s="2039">
        <f t="shared" si="19"/>
        <v>0</v>
      </c>
      <c r="EI54" s="2040">
        <f t="shared" si="35"/>
        <v>0</v>
      </c>
      <c r="EJ54" s="2040">
        <f t="shared" si="35"/>
        <v>0</v>
      </c>
      <c r="EK54" s="2040">
        <f t="shared" si="35"/>
        <v>0</v>
      </c>
      <c r="EL54" s="2040">
        <f t="shared" si="35"/>
        <v>0</v>
      </c>
      <c r="EM54" s="2040">
        <f t="shared" si="35"/>
        <v>0</v>
      </c>
      <c r="EN54" s="2040">
        <f t="shared" si="35"/>
        <v>0</v>
      </c>
      <c r="EO54" s="2040">
        <f t="shared" si="35"/>
        <v>0</v>
      </c>
      <c r="EP54" s="2040">
        <f t="shared" si="35"/>
        <v>0</v>
      </c>
      <c r="EQ54" s="2040">
        <f t="shared" si="35"/>
        <v>0</v>
      </c>
      <c r="ER54" s="2040">
        <f t="shared" si="35"/>
        <v>0</v>
      </c>
      <c r="ES54" s="2040">
        <f t="shared" si="35"/>
        <v>0</v>
      </c>
      <c r="ET54" s="2040">
        <f t="shared" si="35"/>
        <v>0</v>
      </c>
      <c r="EU54" s="2039">
        <f t="shared" si="21"/>
        <v>-1</v>
      </c>
      <c r="EV54" s="2039">
        <f t="shared" si="22"/>
        <v>-1</v>
      </c>
    </row>
    <row r="55" spans="1:152" x14ac:dyDescent="0.25">
      <c r="A55" s="2041" t="s">
        <v>114</v>
      </c>
      <c r="B55" s="2022" t="s">
        <v>2909</v>
      </c>
      <c r="C55" s="2023">
        <v>12</v>
      </c>
      <c r="D55" s="2024">
        <v>269.89999999999998</v>
      </c>
      <c r="E55" s="2024">
        <v>0.03</v>
      </c>
      <c r="F55" s="2023">
        <v>0</v>
      </c>
      <c r="G55" s="2026" t="s">
        <v>2899</v>
      </c>
      <c r="H55" s="2026" t="s">
        <v>2899</v>
      </c>
      <c r="I55" s="2026">
        <v>0.84899999999999998</v>
      </c>
      <c r="J55" s="2026">
        <v>0.84899999999999998</v>
      </c>
      <c r="K55" s="2026">
        <v>0.84899999999999998</v>
      </c>
      <c r="L55" s="2026">
        <v>0.84899999999999998</v>
      </c>
      <c r="M55" s="2027">
        <f t="shared" si="11"/>
        <v>229.14509999999999</v>
      </c>
      <c r="N55" s="2027">
        <f t="shared" si="11"/>
        <v>229.14509999999999</v>
      </c>
      <c r="O55" s="2027">
        <f t="shared" si="11"/>
        <v>229.14509999999999</v>
      </c>
      <c r="P55" s="2027">
        <f t="shared" si="11"/>
        <v>229.14509999999999</v>
      </c>
      <c r="Q55" s="2026">
        <v>0.84899999999999998</v>
      </c>
      <c r="R55" s="2026">
        <v>0.84899999999999998</v>
      </c>
      <c r="S55" s="2026">
        <v>0.84899999999999998</v>
      </c>
      <c r="T55" s="2026">
        <v>0.84899999999999998</v>
      </c>
      <c r="U55" s="2028">
        <f t="shared" si="12"/>
        <v>2.547E-2</v>
      </c>
      <c r="V55" s="2028">
        <f t="shared" si="12"/>
        <v>2.547E-2</v>
      </c>
      <c r="W55" s="2028">
        <f t="shared" si="12"/>
        <v>2.547E-2</v>
      </c>
      <c r="X55" s="2028">
        <f t="shared" si="12"/>
        <v>2.547E-2</v>
      </c>
      <c r="Y55" s="2026">
        <v>0.67500000000000004</v>
      </c>
      <c r="Z55" s="2026">
        <v>0.67500000000000004</v>
      </c>
      <c r="AA55" s="2026">
        <v>0.67500000000000004</v>
      </c>
      <c r="AB55" s="2026">
        <v>0.67500000000000004</v>
      </c>
      <c r="AC55" s="2027">
        <f t="shared" si="31"/>
        <v>0</v>
      </c>
      <c r="AD55" s="2027">
        <f t="shared" si="31"/>
        <v>0</v>
      </c>
      <c r="AE55" s="2027">
        <f t="shared" si="31"/>
        <v>0</v>
      </c>
      <c r="AF55" s="2027">
        <f t="shared" si="31"/>
        <v>0</v>
      </c>
      <c r="AG55" s="2027">
        <v>1</v>
      </c>
      <c r="AH55" s="2027">
        <v>2</v>
      </c>
      <c r="AI55" s="2027">
        <v>1</v>
      </c>
      <c r="AJ55" s="2027">
        <v>2</v>
      </c>
      <c r="AK55" s="2027">
        <f t="shared" si="27"/>
        <v>229.14509999999999</v>
      </c>
      <c r="AL55" s="2027">
        <f t="shared" si="32"/>
        <v>458.29019999999997</v>
      </c>
      <c r="AM55" s="2027">
        <f t="shared" si="32"/>
        <v>229.14509999999999</v>
      </c>
      <c r="AN55" s="2027">
        <f t="shared" si="32"/>
        <v>458.29019999999997</v>
      </c>
      <c r="AO55" s="2027">
        <f t="shared" si="28"/>
        <v>0</v>
      </c>
      <c r="AP55" s="2027">
        <f t="shared" si="36"/>
        <v>0</v>
      </c>
      <c r="AQ55" s="2027">
        <f t="shared" si="36"/>
        <v>0</v>
      </c>
      <c r="AR55" s="2027">
        <f t="shared" si="29"/>
        <v>0</v>
      </c>
      <c r="AS55" s="2029">
        <v>35</v>
      </c>
      <c r="AT55" s="2029">
        <f t="shared" si="13"/>
        <v>35</v>
      </c>
      <c r="AU55" s="2029">
        <f t="shared" si="13"/>
        <v>35</v>
      </c>
      <c r="AV55" s="2029">
        <f t="shared" si="13"/>
        <v>35</v>
      </c>
      <c r="AW55" s="1974"/>
      <c r="AX55" s="2029">
        <f t="shared" si="33"/>
        <v>0</v>
      </c>
      <c r="AY55" s="2029">
        <f t="shared" si="33"/>
        <v>0</v>
      </c>
      <c r="AZ55" s="2029">
        <f t="shared" si="33"/>
        <v>0</v>
      </c>
      <c r="BA55" s="2029">
        <v>142</v>
      </c>
      <c r="BB55" s="2029">
        <f t="shared" si="34"/>
        <v>142</v>
      </c>
      <c r="BC55" s="2029">
        <f t="shared" si="34"/>
        <v>142</v>
      </c>
      <c r="BD55" s="2029">
        <f t="shared" si="34"/>
        <v>142</v>
      </c>
      <c r="BE55" s="2030">
        <f t="shared" si="16"/>
        <v>35</v>
      </c>
      <c r="BF55" s="2030">
        <f t="shared" si="16"/>
        <v>70</v>
      </c>
      <c r="BG55" s="2030">
        <f t="shared" si="16"/>
        <v>35</v>
      </c>
      <c r="BH55" s="2030">
        <f t="shared" si="16"/>
        <v>70</v>
      </c>
      <c r="BI55" s="2030">
        <f t="shared" si="17"/>
        <v>0</v>
      </c>
      <c r="BJ55" s="2030">
        <f t="shared" si="17"/>
        <v>0</v>
      </c>
      <c r="BK55" s="2030">
        <f t="shared" si="17"/>
        <v>0</v>
      </c>
      <c r="BL55" s="2030">
        <f t="shared" si="17"/>
        <v>0</v>
      </c>
      <c r="BM55" s="2031"/>
      <c r="BN55" s="2031"/>
      <c r="BO55" s="2031"/>
      <c r="BP55" s="2031"/>
      <c r="BQ55" s="2031"/>
      <c r="BR55" s="2031"/>
      <c r="BS55" s="2031"/>
      <c r="BT55" s="2031"/>
      <c r="BU55" s="2029"/>
      <c r="BV55" s="2029"/>
      <c r="BW55" s="2029"/>
      <c r="BX55" s="2029"/>
      <c r="BY55" s="2029"/>
      <c r="BZ55" s="2032"/>
      <c r="CA55" s="1974"/>
      <c r="CB55" s="1974"/>
      <c r="CC55" s="1974"/>
      <c r="CD55" s="1974"/>
      <c r="CE55" s="1974">
        <v>0</v>
      </c>
      <c r="CF55" s="2033">
        <v>9.5790369361795979E-7</v>
      </c>
      <c r="CG55" s="2026">
        <v>0</v>
      </c>
      <c r="CH55" s="2009">
        <v>0</v>
      </c>
      <c r="CI55" s="2029">
        <v>0</v>
      </c>
      <c r="CK55" s="2029">
        <f t="shared" si="18"/>
        <v>0</v>
      </c>
      <c r="CL55" s="2034">
        <v>1</v>
      </c>
      <c r="CM55" s="2034">
        <v>1</v>
      </c>
      <c r="CN55" s="2034">
        <v>1</v>
      </c>
      <c r="CO55" s="2034">
        <v>1</v>
      </c>
      <c r="CP55" s="2035"/>
      <c r="CQ55" s="2036"/>
      <c r="CR55" s="2036"/>
      <c r="CS55" s="2049"/>
      <c r="CT55" s="2049"/>
      <c r="CU55" s="2049"/>
      <c r="CW55" s="1973">
        <v>0</v>
      </c>
      <c r="CX55" s="2037">
        <v>35</v>
      </c>
      <c r="CY55" s="2037">
        <v>35</v>
      </c>
      <c r="CZ55" s="2037">
        <v>35</v>
      </c>
      <c r="DA55" s="2037">
        <v>35</v>
      </c>
      <c r="DJ55" s="1976">
        <v>35</v>
      </c>
      <c r="DK55" s="1973">
        <v>35</v>
      </c>
      <c r="DL55" s="1973">
        <v>35</v>
      </c>
      <c r="DM55" s="1973">
        <v>35</v>
      </c>
      <c r="DO55" s="2023">
        <v>12</v>
      </c>
      <c r="DP55" s="2024">
        <v>269.89999999999998</v>
      </c>
      <c r="DQ55" s="2024">
        <v>0.03</v>
      </c>
      <c r="DR55" s="2023">
        <v>0</v>
      </c>
      <c r="DS55" s="2029">
        <v>35</v>
      </c>
      <c r="DT55" s="2029">
        <v>35</v>
      </c>
      <c r="DU55" s="2029">
        <v>35</v>
      </c>
      <c r="DV55" s="2029">
        <v>35</v>
      </c>
      <c r="DW55" s="1974"/>
      <c r="DX55" s="2029">
        <v>0</v>
      </c>
      <c r="DY55" s="2029">
        <v>0</v>
      </c>
      <c r="DZ55" s="2029">
        <v>0</v>
      </c>
      <c r="EA55" s="2029">
        <v>142</v>
      </c>
      <c r="EB55" s="2029">
        <v>142</v>
      </c>
      <c r="EC55" s="2029">
        <v>142</v>
      </c>
      <c r="ED55" s="2029">
        <v>142</v>
      </c>
      <c r="EE55" s="2039">
        <f t="shared" si="19"/>
        <v>0</v>
      </c>
      <c r="EF55" s="2039">
        <f t="shared" si="19"/>
        <v>0</v>
      </c>
      <c r="EG55" s="2039">
        <f t="shared" si="19"/>
        <v>0</v>
      </c>
      <c r="EH55" s="2039">
        <f t="shared" si="19"/>
        <v>0</v>
      </c>
      <c r="EI55" s="2040">
        <f t="shared" si="35"/>
        <v>0</v>
      </c>
      <c r="EJ55" s="2040">
        <f t="shared" si="35"/>
        <v>0</v>
      </c>
      <c r="EK55" s="2040">
        <f t="shared" si="35"/>
        <v>0</v>
      </c>
      <c r="EL55" s="2040">
        <f t="shared" si="35"/>
        <v>0</v>
      </c>
      <c r="EM55" s="2040">
        <f t="shared" si="35"/>
        <v>0</v>
      </c>
      <c r="EN55" s="2040">
        <f t="shared" si="35"/>
        <v>0</v>
      </c>
      <c r="EO55" s="2040">
        <f t="shared" si="35"/>
        <v>0</v>
      </c>
      <c r="EP55" s="2040">
        <f t="shared" si="35"/>
        <v>0</v>
      </c>
      <c r="EQ55" s="2040">
        <f t="shared" si="35"/>
        <v>0</v>
      </c>
      <c r="ER55" s="2040">
        <f t="shared" si="35"/>
        <v>0</v>
      </c>
      <c r="ES55" s="2040">
        <f t="shared" si="35"/>
        <v>0</v>
      </c>
      <c r="ET55" s="2040">
        <f t="shared" si="35"/>
        <v>0</v>
      </c>
      <c r="EU55" s="2039">
        <f t="shared" si="21"/>
        <v>0</v>
      </c>
      <c r="EV55" s="2039">
        <f t="shared" si="22"/>
        <v>0</v>
      </c>
    </row>
    <row r="56" spans="1:152" x14ac:dyDescent="0.25">
      <c r="A56" s="2041" t="s">
        <v>115</v>
      </c>
      <c r="B56" s="2022" t="s">
        <v>2910</v>
      </c>
      <c r="C56" s="2023">
        <v>12</v>
      </c>
      <c r="D56" s="2024">
        <v>595.4</v>
      </c>
      <c r="E56" s="2024">
        <v>0.06</v>
      </c>
      <c r="F56" s="2023">
        <v>0</v>
      </c>
      <c r="G56" s="2026" t="s">
        <v>2899</v>
      </c>
      <c r="H56" s="2026" t="s">
        <v>2899</v>
      </c>
      <c r="I56" s="2026">
        <v>0.84899999999999998</v>
      </c>
      <c r="J56" s="2026">
        <v>0.84899999999999998</v>
      </c>
      <c r="K56" s="2026">
        <v>0.84899999999999998</v>
      </c>
      <c r="L56" s="2026">
        <v>0.84899999999999998</v>
      </c>
      <c r="M56" s="2027">
        <f t="shared" si="11"/>
        <v>505.49459999999999</v>
      </c>
      <c r="N56" s="2027">
        <f t="shared" si="11"/>
        <v>505.49459999999999</v>
      </c>
      <c r="O56" s="2027">
        <f t="shared" si="11"/>
        <v>505.49459999999999</v>
      </c>
      <c r="P56" s="2027">
        <f t="shared" si="11"/>
        <v>505.49459999999999</v>
      </c>
      <c r="Q56" s="2026">
        <v>0.84899999999999998</v>
      </c>
      <c r="R56" s="2026">
        <v>0.84899999999999998</v>
      </c>
      <c r="S56" s="2026">
        <v>0.84899999999999998</v>
      </c>
      <c r="T56" s="2026">
        <v>0.84899999999999998</v>
      </c>
      <c r="U56" s="2028">
        <f t="shared" si="12"/>
        <v>5.0939999999999999E-2</v>
      </c>
      <c r="V56" s="2028">
        <f t="shared" si="12"/>
        <v>5.0939999999999999E-2</v>
      </c>
      <c r="W56" s="2028">
        <f t="shared" si="12"/>
        <v>5.0939999999999999E-2</v>
      </c>
      <c r="X56" s="2028">
        <f t="shared" si="12"/>
        <v>5.0939999999999999E-2</v>
      </c>
      <c r="Y56" s="2026">
        <v>0.67500000000000004</v>
      </c>
      <c r="Z56" s="2026">
        <v>0.67500000000000004</v>
      </c>
      <c r="AA56" s="2026">
        <v>0.67500000000000004</v>
      </c>
      <c r="AB56" s="2026">
        <v>0.67500000000000004</v>
      </c>
      <c r="AC56" s="2027">
        <f t="shared" si="31"/>
        <v>0</v>
      </c>
      <c r="AD56" s="2027">
        <f t="shared" si="31"/>
        <v>0</v>
      </c>
      <c r="AE56" s="2027">
        <f t="shared" si="31"/>
        <v>0</v>
      </c>
      <c r="AF56" s="2027">
        <f t="shared" si="31"/>
        <v>0</v>
      </c>
      <c r="AG56" s="2027">
        <v>1</v>
      </c>
      <c r="AH56" s="2027">
        <v>1</v>
      </c>
      <c r="AI56" s="2027">
        <v>2</v>
      </c>
      <c r="AJ56" s="2027">
        <v>1</v>
      </c>
      <c r="AK56" s="2027">
        <f t="shared" si="27"/>
        <v>505.49459999999999</v>
      </c>
      <c r="AL56" s="2027">
        <f t="shared" si="32"/>
        <v>505.49459999999999</v>
      </c>
      <c r="AM56" s="2027">
        <f t="shared" si="32"/>
        <v>1010.9892</v>
      </c>
      <c r="AN56" s="2027">
        <f t="shared" si="32"/>
        <v>505.49459999999999</v>
      </c>
      <c r="AO56" s="2027">
        <f t="shared" si="28"/>
        <v>0</v>
      </c>
      <c r="AP56" s="2027">
        <f t="shared" si="36"/>
        <v>0</v>
      </c>
      <c r="AQ56" s="2027">
        <f t="shared" si="36"/>
        <v>0</v>
      </c>
      <c r="AR56" s="2027">
        <f t="shared" si="29"/>
        <v>0</v>
      </c>
      <c r="AS56" s="2029">
        <v>50</v>
      </c>
      <c r="AT56" s="2029">
        <f t="shared" si="13"/>
        <v>50</v>
      </c>
      <c r="AU56" s="2029">
        <f t="shared" si="13"/>
        <v>50</v>
      </c>
      <c r="AV56" s="2029">
        <f t="shared" si="13"/>
        <v>50</v>
      </c>
      <c r="AW56" s="1974"/>
      <c r="AX56" s="2029">
        <f t="shared" si="33"/>
        <v>0</v>
      </c>
      <c r="AY56" s="2029">
        <f t="shared" si="33"/>
        <v>0</v>
      </c>
      <c r="AZ56" s="2029">
        <f t="shared" si="33"/>
        <v>0</v>
      </c>
      <c r="BA56" s="2029">
        <v>166</v>
      </c>
      <c r="BB56" s="2029">
        <f t="shared" si="34"/>
        <v>166</v>
      </c>
      <c r="BC56" s="2029">
        <f t="shared" si="34"/>
        <v>166</v>
      </c>
      <c r="BD56" s="2029">
        <f t="shared" si="34"/>
        <v>166</v>
      </c>
      <c r="BE56" s="2030">
        <f t="shared" si="16"/>
        <v>50</v>
      </c>
      <c r="BF56" s="2030">
        <f t="shared" si="16"/>
        <v>50</v>
      </c>
      <c r="BG56" s="2030">
        <f t="shared" si="16"/>
        <v>100</v>
      </c>
      <c r="BH56" s="2030">
        <f t="shared" si="16"/>
        <v>50</v>
      </c>
      <c r="BI56" s="2030">
        <f t="shared" si="17"/>
        <v>0</v>
      </c>
      <c r="BJ56" s="2030">
        <f t="shared" si="17"/>
        <v>0</v>
      </c>
      <c r="BK56" s="2030">
        <f t="shared" si="17"/>
        <v>0</v>
      </c>
      <c r="BL56" s="2030">
        <f t="shared" si="17"/>
        <v>0</v>
      </c>
      <c r="BM56" s="2031"/>
      <c r="BN56" s="2031"/>
      <c r="BO56" s="2031"/>
      <c r="BP56" s="2031"/>
      <c r="BQ56" s="2031"/>
      <c r="BR56" s="2031"/>
      <c r="BS56" s="2031"/>
      <c r="BT56" s="2031"/>
      <c r="BU56" s="2029"/>
      <c r="BV56" s="2029"/>
      <c r="BW56" s="2029"/>
      <c r="BX56" s="2029"/>
      <c r="BY56" s="2029"/>
      <c r="BZ56" s="2032"/>
      <c r="CA56" s="1974"/>
      <c r="CB56" s="1974"/>
      <c r="CC56" s="1974"/>
      <c r="CD56" s="1974"/>
      <c r="CE56" s="1974">
        <v>0</v>
      </c>
      <c r="CF56" s="2033">
        <v>2.1131376775847843E-6</v>
      </c>
      <c r="CG56" s="2026">
        <v>0</v>
      </c>
      <c r="CH56" s="2009">
        <v>0</v>
      </c>
      <c r="CI56" s="2029">
        <v>0</v>
      </c>
      <c r="CK56" s="2029">
        <f t="shared" si="18"/>
        <v>0</v>
      </c>
      <c r="CL56" s="2034">
        <v>1</v>
      </c>
      <c r="CM56" s="2034">
        <v>1</v>
      </c>
      <c r="CN56" s="2034">
        <v>1</v>
      </c>
      <c r="CO56" s="2034">
        <v>1</v>
      </c>
      <c r="CP56" s="2035"/>
      <c r="CQ56" s="2036"/>
      <c r="CR56" s="2036"/>
      <c r="CS56" s="2049"/>
      <c r="CT56" s="2049"/>
      <c r="CU56" s="2049"/>
      <c r="CW56" s="1973">
        <v>0</v>
      </c>
      <c r="CX56" s="2037">
        <v>50</v>
      </c>
      <c r="CY56" s="2037">
        <v>50</v>
      </c>
      <c r="CZ56" s="2037">
        <v>50</v>
      </c>
      <c r="DA56" s="2037">
        <v>50</v>
      </c>
      <c r="DJ56" s="1976">
        <v>50</v>
      </c>
      <c r="DK56" s="1973">
        <v>50</v>
      </c>
      <c r="DL56" s="1973">
        <v>50</v>
      </c>
      <c r="DM56" s="1973">
        <v>50</v>
      </c>
      <c r="DO56" s="2023">
        <v>12</v>
      </c>
      <c r="DP56" s="2024">
        <v>595.4</v>
      </c>
      <c r="DQ56" s="2024">
        <v>0.06</v>
      </c>
      <c r="DR56" s="2023">
        <v>0</v>
      </c>
      <c r="DS56" s="2029">
        <v>50</v>
      </c>
      <c r="DT56" s="2029">
        <v>50</v>
      </c>
      <c r="DU56" s="2029">
        <v>50</v>
      </c>
      <c r="DV56" s="2029">
        <v>50</v>
      </c>
      <c r="DW56" s="1974"/>
      <c r="DX56" s="2029">
        <v>0</v>
      </c>
      <c r="DY56" s="2029">
        <v>0</v>
      </c>
      <c r="DZ56" s="2029">
        <v>0</v>
      </c>
      <c r="EA56" s="2029">
        <v>166</v>
      </c>
      <c r="EB56" s="2029">
        <v>166</v>
      </c>
      <c r="EC56" s="2029">
        <v>166</v>
      </c>
      <c r="ED56" s="2029">
        <v>166</v>
      </c>
      <c r="EE56" s="2039">
        <f t="shared" si="19"/>
        <v>0</v>
      </c>
      <c r="EF56" s="2039">
        <f t="shared" si="19"/>
        <v>0</v>
      </c>
      <c r="EG56" s="2039">
        <f t="shared" si="19"/>
        <v>0</v>
      </c>
      <c r="EH56" s="2039">
        <f t="shared" si="19"/>
        <v>0</v>
      </c>
      <c r="EI56" s="2040">
        <f t="shared" si="35"/>
        <v>0</v>
      </c>
      <c r="EJ56" s="2040">
        <f t="shared" si="35"/>
        <v>0</v>
      </c>
      <c r="EK56" s="2040">
        <f t="shared" si="35"/>
        <v>0</v>
      </c>
      <c r="EL56" s="2040">
        <f t="shared" si="35"/>
        <v>0</v>
      </c>
      <c r="EM56" s="2040">
        <f t="shared" si="35"/>
        <v>0</v>
      </c>
      <c r="EN56" s="2040">
        <f t="shared" si="35"/>
        <v>0</v>
      </c>
      <c r="EO56" s="2040">
        <f t="shared" si="35"/>
        <v>0</v>
      </c>
      <c r="EP56" s="2040">
        <f t="shared" si="35"/>
        <v>0</v>
      </c>
      <c r="EQ56" s="2040">
        <f t="shared" si="35"/>
        <v>0</v>
      </c>
      <c r="ER56" s="2040">
        <f t="shared" si="35"/>
        <v>0</v>
      </c>
      <c r="ES56" s="2040">
        <f t="shared" si="35"/>
        <v>0</v>
      </c>
      <c r="ET56" s="2040">
        <f t="shared" si="35"/>
        <v>0</v>
      </c>
      <c r="EU56" s="2039">
        <f t="shared" si="21"/>
        <v>0</v>
      </c>
      <c r="EV56" s="2039">
        <f t="shared" si="22"/>
        <v>0</v>
      </c>
    </row>
    <row r="57" spans="1:152" x14ac:dyDescent="0.25">
      <c r="A57" s="2041" t="s">
        <v>116</v>
      </c>
      <c r="B57" s="2022" t="s">
        <v>2911</v>
      </c>
      <c r="C57" s="2023">
        <v>12</v>
      </c>
      <c r="D57" s="2024">
        <v>958.4</v>
      </c>
      <c r="E57" s="2024">
        <v>0.1</v>
      </c>
      <c r="F57" s="2023">
        <v>0</v>
      </c>
      <c r="G57" s="2026" t="s">
        <v>2899</v>
      </c>
      <c r="H57" s="2026" t="s">
        <v>2899</v>
      </c>
      <c r="I57" s="2026">
        <v>0.84899999999999998</v>
      </c>
      <c r="J57" s="2026">
        <v>0.84899999999999998</v>
      </c>
      <c r="K57" s="2026">
        <v>0.84899999999999998</v>
      </c>
      <c r="L57" s="2026">
        <v>0.84899999999999998</v>
      </c>
      <c r="M57" s="2027">
        <f t="shared" si="11"/>
        <v>813.6816</v>
      </c>
      <c r="N57" s="2027">
        <f t="shared" si="11"/>
        <v>813.6816</v>
      </c>
      <c r="O57" s="2027">
        <f t="shared" si="11"/>
        <v>813.6816</v>
      </c>
      <c r="P57" s="2027">
        <f t="shared" si="11"/>
        <v>813.6816</v>
      </c>
      <c r="Q57" s="2026">
        <v>0.84899999999999998</v>
      </c>
      <c r="R57" s="2026">
        <v>0.84899999999999998</v>
      </c>
      <c r="S57" s="2026">
        <v>0.84899999999999998</v>
      </c>
      <c r="T57" s="2026">
        <v>0.84899999999999998</v>
      </c>
      <c r="U57" s="2028">
        <f t="shared" si="12"/>
        <v>8.4900000000000003E-2</v>
      </c>
      <c r="V57" s="2028">
        <f t="shared" si="12"/>
        <v>8.4900000000000003E-2</v>
      </c>
      <c r="W57" s="2028">
        <f t="shared" si="12"/>
        <v>8.4900000000000003E-2</v>
      </c>
      <c r="X57" s="2028">
        <f t="shared" si="12"/>
        <v>8.4900000000000003E-2</v>
      </c>
      <c r="Y57" s="2026">
        <v>0.67500000000000004</v>
      </c>
      <c r="Z57" s="2026">
        <v>0.67500000000000004</v>
      </c>
      <c r="AA57" s="2026">
        <v>0.67500000000000004</v>
      </c>
      <c r="AB57" s="2026">
        <v>0.67500000000000004</v>
      </c>
      <c r="AC57" s="2027">
        <f t="shared" si="31"/>
        <v>0</v>
      </c>
      <c r="AD57" s="2027">
        <f t="shared" si="31"/>
        <v>0</v>
      </c>
      <c r="AE57" s="2027">
        <f t="shared" si="31"/>
        <v>0</v>
      </c>
      <c r="AF57" s="2027">
        <f t="shared" si="31"/>
        <v>0</v>
      </c>
      <c r="AG57" s="2027">
        <v>2</v>
      </c>
      <c r="AH57" s="2027">
        <v>3</v>
      </c>
      <c r="AI57" s="2027">
        <v>2</v>
      </c>
      <c r="AJ57" s="2027">
        <v>2</v>
      </c>
      <c r="AK57" s="2027">
        <f t="shared" si="27"/>
        <v>1627.3632</v>
      </c>
      <c r="AL57" s="2027">
        <f t="shared" si="32"/>
        <v>2441.0448000000001</v>
      </c>
      <c r="AM57" s="2027">
        <f t="shared" si="32"/>
        <v>1627.3632</v>
      </c>
      <c r="AN57" s="2027">
        <f t="shared" si="32"/>
        <v>1627.3632</v>
      </c>
      <c r="AO57" s="2027">
        <f t="shared" si="28"/>
        <v>0</v>
      </c>
      <c r="AP57" s="2027">
        <f t="shared" si="36"/>
        <v>0</v>
      </c>
      <c r="AQ57" s="2027">
        <f t="shared" si="36"/>
        <v>0</v>
      </c>
      <c r="AR57" s="2027">
        <f t="shared" si="29"/>
        <v>0</v>
      </c>
      <c r="AS57" s="2029">
        <v>100</v>
      </c>
      <c r="AT57" s="2029">
        <f t="shared" si="13"/>
        <v>100</v>
      </c>
      <c r="AU57" s="2029">
        <f t="shared" si="13"/>
        <v>100</v>
      </c>
      <c r="AV57" s="2029">
        <f t="shared" si="13"/>
        <v>100</v>
      </c>
      <c r="AW57" s="1974"/>
      <c r="AX57" s="2029">
        <f t="shared" si="33"/>
        <v>0</v>
      </c>
      <c r="AY57" s="2029">
        <f t="shared" si="33"/>
        <v>0</v>
      </c>
      <c r="AZ57" s="2029">
        <f t="shared" si="33"/>
        <v>0</v>
      </c>
      <c r="BA57" s="2029">
        <v>166</v>
      </c>
      <c r="BB57" s="2029">
        <f t="shared" si="34"/>
        <v>166</v>
      </c>
      <c r="BC57" s="2029">
        <f t="shared" si="34"/>
        <v>166</v>
      </c>
      <c r="BD57" s="2029">
        <f t="shared" si="34"/>
        <v>166</v>
      </c>
      <c r="BE57" s="2030">
        <f t="shared" si="16"/>
        <v>200</v>
      </c>
      <c r="BF57" s="2030">
        <f t="shared" si="16"/>
        <v>300</v>
      </c>
      <c r="BG57" s="2030">
        <f t="shared" si="16"/>
        <v>200</v>
      </c>
      <c r="BH57" s="2030">
        <f t="shared" si="16"/>
        <v>200</v>
      </c>
      <c r="BI57" s="2030">
        <f t="shared" si="17"/>
        <v>0</v>
      </c>
      <c r="BJ57" s="2030">
        <f t="shared" si="17"/>
        <v>0</v>
      </c>
      <c r="BK57" s="2030">
        <f t="shared" si="17"/>
        <v>0</v>
      </c>
      <c r="BL57" s="2030">
        <f t="shared" si="17"/>
        <v>0</v>
      </c>
      <c r="BM57" s="2031"/>
      <c r="BN57" s="2031"/>
      <c r="BO57" s="2031"/>
      <c r="BP57" s="2031"/>
      <c r="BQ57" s="2031"/>
      <c r="BR57" s="2031"/>
      <c r="BS57" s="2031"/>
      <c r="BT57" s="2031"/>
      <c r="BU57" s="2029"/>
      <c r="BV57" s="2029"/>
      <c r="BW57" s="2029"/>
      <c r="BX57" s="2029"/>
      <c r="BY57" s="2029"/>
      <c r="BZ57" s="2032"/>
      <c r="CA57" s="1974"/>
      <c r="CB57" s="1974"/>
      <c r="CC57" s="1974"/>
      <c r="CD57" s="1974"/>
      <c r="CE57" s="1974">
        <v>0</v>
      </c>
      <c r="CF57" s="2033">
        <v>6.8029262687176941E-6</v>
      </c>
      <c r="CG57" s="2026">
        <v>0</v>
      </c>
      <c r="CH57" s="2009">
        <v>0</v>
      </c>
      <c r="CI57" s="2029">
        <v>0</v>
      </c>
      <c r="CK57" s="2029">
        <f t="shared" si="18"/>
        <v>0</v>
      </c>
      <c r="CL57" s="2034">
        <v>1</v>
      </c>
      <c r="CM57" s="2034">
        <v>1</v>
      </c>
      <c r="CN57" s="2034">
        <v>1</v>
      </c>
      <c r="CO57" s="2034">
        <v>1</v>
      </c>
      <c r="CP57" s="2035"/>
      <c r="CQ57" s="2036"/>
      <c r="CR57" s="2036"/>
      <c r="CS57" s="2049"/>
      <c r="CT57" s="2049"/>
      <c r="CU57" s="2049"/>
      <c r="CW57" s="1973">
        <v>0</v>
      </c>
      <c r="CX57" s="2037">
        <v>100</v>
      </c>
      <c r="CY57" s="2037">
        <v>100</v>
      </c>
      <c r="CZ57" s="2037">
        <v>100</v>
      </c>
      <c r="DA57" s="2037">
        <v>100</v>
      </c>
      <c r="DJ57" s="1976">
        <v>100</v>
      </c>
      <c r="DK57" s="1973">
        <v>100</v>
      </c>
      <c r="DL57" s="1973">
        <v>100</v>
      </c>
      <c r="DM57" s="1973">
        <v>100</v>
      </c>
      <c r="DO57" s="2023">
        <v>12</v>
      </c>
      <c r="DP57" s="2024">
        <v>958.4</v>
      </c>
      <c r="DQ57" s="2024">
        <v>0.1</v>
      </c>
      <c r="DR57" s="2023">
        <v>0</v>
      </c>
      <c r="DS57" s="2029">
        <v>100</v>
      </c>
      <c r="DT57" s="2029">
        <v>100</v>
      </c>
      <c r="DU57" s="2029">
        <v>100</v>
      </c>
      <c r="DV57" s="2029">
        <v>100</v>
      </c>
      <c r="DW57" s="1974"/>
      <c r="DX57" s="2029">
        <v>0</v>
      </c>
      <c r="DY57" s="2029">
        <v>0</v>
      </c>
      <c r="DZ57" s="2029">
        <v>0</v>
      </c>
      <c r="EA57" s="2029">
        <v>166</v>
      </c>
      <c r="EB57" s="2029">
        <v>166</v>
      </c>
      <c r="EC57" s="2029">
        <v>166</v>
      </c>
      <c r="ED57" s="2029">
        <v>166</v>
      </c>
      <c r="EE57" s="2039">
        <f t="shared" si="19"/>
        <v>0</v>
      </c>
      <c r="EF57" s="2039">
        <f t="shared" si="19"/>
        <v>0</v>
      </c>
      <c r="EG57" s="2039">
        <f t="shared" si="19"/>
        <v>0</v>
      </c>
      <c r="EH57" s="2039">
        <f t="shared" si="19"/>
        <v>0</v>
      </c>
      <c r="EI57" s="2040">
        <f t="shared" si="35"/>
        <v>0</v>
      </c>
      <c r="EJ57" s="2040">
        <f t="shared" si="35"/>
        <v>0</v>
      </c>
      <c r="EK57" s="2040">
        <f t="shared" si="35"/>
        <v>0</v>
      </c>
      <c r="EL57" s="2040">
        <f t="shared" si="35"/>
        <v>0</v>
      </c>
      <c r="EM57" s="2040">
        <f t="shared" si="35"/>
        <v>0</v>
      </c>
      <c r="EN57" s="2040">
        <f t="shared" si="35"/>
        <v>0</v>
      </c>
      <c r="EO57" s="2040">
        <f t="shared" si="35"/>
        <v>0</v>
      </c>
      <c r="EP57" s="2040">
        <f t="shared" si="35"/>
        <v>0</v>
      </c>
      <c r="EQ57" s="2040">
        <f t="shared" si="35"/>
        <v>0</v>
      </c>
      <c r="ER57" s="2040">
        <f t="shared" si="35"/>
        <v>0</v>
      </c>
      <c r="ES57" s="2040">
        <f t="shared" si="35"/>
        <v>0</v>
      </c>
      <c r="ET57" s="2040">
        <f t="shared" si="35"/>
        <v>0</v>
      </c>
      <c r="EU57" s="2039">
        <f t="shared" si="21"/>
        <v>0</v>
      </c>
      <c r="EV57" s="2039">
        <f t="shared" si="22"/>
        <v>0</v>
      </c>
    </row>
    <row r="58" spans="1:152" x14ac:dyDescent="0.25">
      <c r="A58" s="2041" t="s">
        <v>117</v>
      </c>
      <c r="B58" s="2022" t="s">
        <v>2912</v>
      </c>
      <c r="C58" s="2023">
        <v>12</v>
      </c>
      <c r="D58" s="2024">
        <v>2765.5</v>
      </c>
      <c r="E58" s="2024">
        <v>0.3</v>
      </c>
      <c r="F58" s="2023">
        <v>0</v>
      </c>
      <c r="G58" s="2026" t="s">
        <v>2899</v>
      </c>
      <c r="H58" s="2026" t="s">
        <v>2899</v>
      </c>
      <c r="I58" s="2026">
        <v>0.84899999999999998</v>
      </c>
      <c r="J58" s="2026">
        <v>0.84899999999999998</v>
      </c>
      <c r="K58" s="2026">
        <v>0.84899999999999998</v>
      </c>
      <c r="L58" s="2026">
        <v>0.84899999999999998</v>
      </c>
      <c r="M58" s="2027">
        <f t="shared" si="11"/>
        <v>2347.9094999999998</v>
      </c>
      <c r="N58" s="2027">
        <f t="shared" si="11"/>
        <v>2347.9094999999998</v>
      </c>
      <c r="O58" s="2027">
        <f t="shared" si="11"/>
        <v>2347.9094999999998</v>
      </c>
      <c r="P58" s="2027">
        <f t="shared" si="11"/>
        <v>2347.9094999999998</v>
      </c>
      <c r="Q58" s="2026">
        <v>0.84899999999999998</v>
      </c>
      <c r="R58" s="2026">
        <v>0.84899999999999998</v>
      </c>
      <c r="S58" s="2026">
        <v>0.84899999999999998</v>
      </c>
      <c r="T58" s="2026">
        <v>0.84899999999999998</v>
      </c>
      <c r="U58" s="2028">
        <f t="shared" si="12"/>
        <v>0.25469999999999998</v>
      </c>
      <c r="V58" s="2028">
        <f t="shared" si="12"/>
        <v>0.25469999999999998</v>
      </c>
      <c r="W58" s="2028">
        <f t="shared" si="12"/>
        <v>0.25469999999999998</v>
      </c>
      <c r="X58" s="2028">
        <f t="shared" si="12"/>
        <v>0.25469999999999998</v>
      </c>
      <c r="Y58" s="2026">
        <v>0.67500000000000004</v>
      </c>
      <c r="Z58" s="2026">
        <v>0.67500000000000004</v>
      </c>
      <c r="AA58" s="2026">
        <v>0.67500000000000004</v>
      </c>
      <c r="AB58" s="2026">
        <v>0.67500000000000004</v>
      </c>
      <c r="AC58" s="2027">
        <f t="shared" si="31"/>
        <v>0</v>
      </c>
      <c r="AD58" s="2027">
        <f t="shared" si="31"/>
        <v>0</v>
      </c>
      <c r="AE58" s="2027">
        <f t="shared" si="31"/>
        <v>0</v>
      </c>
      <c r="AF58" s="2027">
        <f t="shared" si="31"/>
        <v>0</v>
      </c>
      <c r="AG58" s="2027">
        <v>2</v>
      </c>
      <c r="AH58" s="2027">
        <v>2</v>
      </c>
      <c r="AI58" s="2027">
        <v>2</v>
      </c>
      <c r="AJ58" s="2027">
        <v>3</v>
      </c>
      <c r="AK58" s="2027">
        <f t="shared" si="27"/>
        <v>4695.8189999999995</v>
      </c>
      <c r="AL58" s="2027">
        <f t="shared" si="32"/>
        <v>4695.8189999999995</v>
      </c>
      <c r="AM58" s="2027">
        <f t="shared" si="32"/>
        <v>4695.8189999999995</v>
      </c>
      <c r="AN58" s="2027">
        <f t="shared" si="32"/>
        <v>7043.7284999999993</v>
      </c>
      <c r="AO58" s="2027">
        <f t="shared" si="28"/>
        <v>0</v>
      </c>
      <c r="AP58" s="2027">
        <f t="shared" si="36"/>
        <v>0</v>
      </c>
      <c r="AQ58" s="2027">
        <f t="shared" si="36"/>
        <v>0</v>
      </c>
      <c r="AR58" s="2027">
        <f t="shared" si="29"/>
        <v>0</v>
      </c>
      <c r="AS58" s="2029">
        <v>200</v>
      </c>
      <c r="AT58" s="2029">
        <f t="shared" si="13"/>
        <v>200</v>
      </c>
      <c r="AU58" s="2029">
        <f t="shared" si="13"/>
        <v>200</v>
      </c>
      <c r="AV58" s="2029">
        <f t="shared" si="13"/>
        <v>200</v>
      </c>
      <c r="AW58" s="1974"/>
      <c r="AX58" s="2029">
        <f t="shared" si="33"/>
        <v>0</v>
      </c>
      <c r="AY58" s="2029">
        <f t="shared" si="33"/>
        <v>0</v>
      </c>
      <c r="AZ58" s="2029">
        <f t="shared" si="33"/>
        <v>0</v>
      </c>
      <c r="BA58" s="2029">
        <v>407</v>
      </c>
      <c r="BB58" s="2029">
        <f t="shared" si="34"/>
        <v>407</v>
      </c>
      <c r="BC58" s="2029">
        <f t="shared" si="34"/>
        <v>407</v>
      </c>
      <c r="BD58" s="2029">
        <f t="shared" si="34"/>
        <v>407</v>
      </c>
      <c r="BE58" s="2030">
        <f t="shared" si="16"/>
        <v>400</v>
      </c>
      <c r="BF58" s="2030">
        <f t="shared" si="16"/>
        <v>400</v>
      </c>
      <c r="BG58" s="2030">
        <f t="shared" si="16"/>
        <v>400</v>
      </c>
      <c r="BH58" s="2030">
        <f t="shared" si="16"/>
        <v>600</v>
      </c>
      <c r="BI58" s="2030">
        <f t="shared" si="17"/>
        <v>0</v>
      </c>
      <c r="BJ58" s="2030">
        <f t="shared" si="17"/>
        <v>0</v>
      </c>
      <c r="BK58" s="2030">
        <f t="shared" si="17"/>
        <v>0</v>
      </c>
      <c r="BL58" s="2030">
        <f t="shared" si="17"/>
        <v>0</v>
      </c>
      <c r="BM58" s="2031"/>
      <c r="BN58" s="2031"/>
      <c r="BO58" s="2031"/>
      <c r="BP58" s="2031"/>
      <c r="BQ58" s="2031"/>
      <c r="BR58" s="2031"/>
      <c r="BS58" s="2031"/>
      <c r="BT58" s="2031"/>
      <c r="BU58" s="2029"/>
      <c r="BV58" s="2029"/>
      <c r="BW58" s="2029"/>
      <c r="BX58" s="2029"/>
      <c r="BY58" s="2029"/>
      <c r="BZ58" s="2032"/>
      <c r="CA58" s="1974"/>
      <c r="CB58" s="1974"/>
      <c r="CC58" s="1974"/>
      <c r="CD58" s="1974"/>
      <c r="CE58" s="1974">
        <v>0</v>
      </c>
      <c r="CF58" s="2033">
        <v>1.9630104962582198E-5</v>
      </c>
      <c r="CG58" s="2026">
        <v>0</v>
      </c>
      <c r="CH58" s="2009">
        <v>0</v>
      </c>
      <c r="CI58" s="2029">
        <v>0</v>
      </c>
      <c r="CK58" s="2029">
        <f t="shared" si="18"/>
        <v>0</v>
      </c>
      <c r="CL58" s="2034">
        <v>1</v>
      </c>
      <c r="CM58" s="2034">
        <v>1</v>
      </c>
      <c r="CN58" s="2034">
        <v>1</v>
      </c>
      <c r="CO58" s="2034">
        <v>1</v>
      </c>
      <c r="CP58" s="2035"/>
      <c r="CQ58" s="2036"/>
      <c r="CR58" s="2036"/>
      <c r="CS58" s="2049"/>
      <c r="CT58" s="2049"/>
      <c r="CU58" s="2049"/>
      <c r="CW58" s="1973">
        <v>0</v>
      </c>
      <c r="CX58" s="2037">
        <v>200</v>
      </c>
      <c r="CY58" s="2037">
        <v>200</v>
      </c>
      <c r="CZ58" s="2037">
        <v>200</v>
      </c>
      <c r="DA58" s="2037">
        <v>200</v>
      </c>
      <c r="DJ58" s="1976">
        <v>200</v>
      </c>
      <c r="DK58" s="1973">
        <v>200</v>
      </c>
      <c r="DL58" s="1973">
        <v>200</v>
      </c>
      <c r="DM58" s="1973">
        <v>200</v>
      </c>
      <c r="DO58" s="2023">
        <v>12</v>
      </c>
      <c r="DP58" s="2024">
        <v>2765.5</v>
      </c>
      <c r="DQ58" s="2024">
        <v>0.3</v>
      </c>
      <c r="DR58" s="2023">
        <v>0</v>
      </c>
      <c r="DS58" s="2029">
        <v>200</v>
      </c>
      <c r="DT58" s="2029">
        <v>200</v>
      </c>
      <c r="DU58" s="2029">
        <v>200</v>
      </c>
      <c r="DV58" s="2029">
        <v>200</v>
      </c>
      <c r="DW58" s="1974"/>
      <c r="DX58" s="2029">
        <v>0</v>
      </c>
      <c r="DY58" s="2029">
        <v>0</v>
      </c>
      <c r="DZ58" s="2029">
        <v>0</v>
      </c>
      <c r="EA58" s="2029">
        <v>407</v>
      </c>
      <c r="EB58" s="2029">
        <v>407</v>
      </c>
      <c r="EC58" s="2029">
        <v>407</v>
      </c>
      <c r="ED58" s="2029">
        <v>407</v>
      </c>
      <c r="EE58" s="2039">
        <f t="shared" si="19"/>
        <v>0</v>
      </c>
      <c r="EF58" s="2039">
        <f t="shared" si="19"/>
        <v>0</v>
      </c>
      <c r="EG58" s="2039">
        <f t="shared" si="19"/>
        <v>0</v>
      </c>
      <c r="EH58" s="2039">
        <f t="shared" si="19"/>
        <v>0</v>
      </c>
      <c r="EI58" s="2040">
        <f t="shared" si="35"/>
        <v>0</v>
      </c>
      <c r="EJ58" s="2040">
        <f t="shared" si="35"/>
        <v>0</v>
      </c>
      <c r="EK58" s="2040">
        <f t="shared" si="35"/>
        <v>0</v>
      </c>
      <c r="EL58" s="2040">
        <f t="shared" si="35"/>
        <v>0</v>
      </c>
      <c r="EM58" s="2040">
        <f t="shared" si="35"/>
        <v>0</v>
      </c>
      <c r="EN58" s="2040">
        <f t="shared" si="35"/>
        <v>0</v>
      </c>
      <c r="EO58" s="2040">
        <f t="shared" si="35"/>
        <v>0</v>
      </c>
      <c r="EP58" s="2040">
        <f t="shared" si="35"/>
        <v>0</v>
      </c>
      <c r="EQ58" s="2040">
        <f t="shared" si="35"/>
        <v>0</v>
      </c>
      <c r="ER58" s="2040">
        <f t="shared" si="35"/>
        <v>0</v>
      </c>
      <c r="ES58" s="2040">
        <f t="shared" si="35"/>
        <v>0</v>
      </c>
      <c r="ET58" s="2040">
        <f t="shared" si="35"/>
        <v>0</v>
      </c>
      <c r="EU58" s="2039">
        <f t="shared" si="21"/>
        <v>0</v>
      </c>
      <c r="EV58" s="2039">
        <f t="shared" si="22"/>
        <v>0</v>
      </c>
    </row>
    <row r="59" spans="1:152" x14ac:dyDescent="0.25">
      <c r="A59" s="2041" t="s">
        <v>118</v>
      </c>
      <c r="B59" s="2022" t="s">
        <v>2913</v>
      </c>
      <c r="C59" s="2023">
        <v>15</v>
      </c>
      <c r="D59" s="2024">
        <v>357.5</v>
      </c>
      <c r="E59" s="2024">
        <v>0.04</v>
      </c>
      <c r="F59" s="2023">
        <v>0</v>
      </c>
      <c r="G59" s="2026" t="s">
        <v>2899</v>
      </c>
      <c r="H59" s="2026" t="s">
        <v>2899</v>
      </c>
      <c r="I59" s="2026">
        <v>0.84899999999999998</v>
      </c>
      <c r="J59" s="2026">
        <v>0.84899999999999998</v>
      </c>
      <c r="K59" s="2026">
        <v>0.84899999999999998</v>
      </c>
      <c r="L59" s="2026">
        <v>0.84899999999999998</v>
      </c>
      <c r="M59" s="2027">
        <f t="shared" si="11"/>
        <v>303.51749999999998</v>
      </c>
      <c r="N59" s="2027">
        <f t="shared" si="11"/>
        <v>303.51749999999998</v>
      </c>
      <c r="O59" s="2027">
        <f t="shared" si="11"/>
        <v>303.51749999999998</v>
      </c>
      <c r="P59" s="2027">
        <f t="shared" si="11"/>
        <v>303.51749999999998</v>
      </c>
      <c r="Q59" s="2026">
        <v>0.84899999999999998</v>
      </c>
      <c r="R59" s="2026">
        <v>0.84899999999999998</v>
      </c>
      <c r="S59" s="2026">
        <v>0.84899999999999998</v>
      </c>
      <c r="T59" s="2026">
        <v>0.84899999999999998</v>
      </c>
      <c r="U59" s="2028">
        <f t="shared" si="12"/>
        <v>3.3959999999999997E-2</v>
      </c>
      <c r="V59" s="2028">
        <f t="shared" si="12"/>
        <v>3.3959999999999997E-2</v>
      </c>
      <c r="W59" s="2028">
        <f t="shared" si="12"/>
        <v>3.3959999999999997E-2</v>
      </c>
      <c r="X59" s="2028">
        <f t="shared" si="12"/>
        <v>3.3959999999999997E-2</v>
      </c>
      <c r="Y59" s="2026">
        <v>0.67500000000000004</v>
      </c>
      <c r="Z59" s="2026">
        <v>0.67500000000000004</v>
      </c>
      <c r="AA59" s="2026">
        <v>0.67500000000000004</v>
      </c>
      <c r="AB59" s="2026">
        <v>0.67500000000000004</v>
      </c>
      <c r="AC59" s="2027">
        <f t="shared" si="31"/>
        <v>0</v>
      </c>
      <c r="AD59" s="2027">
        <f t="shared" si="31"/>
        <v>0</v>
      </c>
      <c r="AE59" s="2027">
        <f t="shared" si="31"/>
        <v>0</v>
      </c>
      <c r="AF59" s="2027">
        <f t="shared" si="31"/>
        <v>0</v>
      </c>
      <c r="AG59" s="2027">
        <v>9</v>
      </c>
      <c r="AH59" s="2027">
        <v>10</v>
      </c>
      <c r="AI59" s="2027">
        <v>10</v>
      </c>
      <c r="AJ59" s="2027">
        <v>10</v>
      </c>
      <c r="AK59" s="2027">
        <f t="shared" si="27"/>
        <v>2731.6574999999998</v>
      </c>
      <c r="AL59" s="2027">
        <f t="shared" si="32"/>
        <v>3035.1749999999997</v>
      </c>
      <c r="AM59" s="2027">
        <f t="shared" si="32"/>
        <v>3035.1749999999997</v>
      </c>
      <c r="AN59" s="2027">
        <f t="shared" si="32"/>
        <v>3035.1749999999997</v>
      </c>
      <c r="AO59" s="2027">
        <f t="shared" si="28"/>
        <v>0</v>
      </c>
      <c r="AP59" s="2027">
        <f t="shared" si="36"/>
        <v>0</v>
      </c>
      <c r="AQ59" s="2027">
        <f t="shared" si="36"/>
        <v>0</v>
      </c>
      <c r="AR59" s="2027">
        <f t="shared" si="29"/>
        <v>0</v>
      </c>
      <c r="AS59" s="2029">
        <v>25</v>
      </c>
      <c r="AT59" s="2029">
        <f t="shared" si="13"/>
        <v>25</v>
      </c>
      <c r="AU59" s="2029">
        <f t="shared" si="13"/>
        <v>25</v>
      </c>
      <c r="AV59" s="2029">
        <f t="shared" si="13"/>
        <v>25</v>
      </c>
      <c r="AW59" s="1974"/>
      <c r="AX59" s="2029">
        <f t="shared" si="33"/>
        <v>0</v>
      </c>
      <c r="AY59" s="2029">
        <f t="shared" si="33"/>
        <v>0</v>
      </c>
      <c r="AZ59" s="2029">
        <f t="shared" si="33"/>
        <v>0</v>
      </c>
      <c r="BA59" s="2029">
        <v>50</v>
      </c>
      <c r="BB59" s="2029">
        <f t="shared" si="34"/>
        <v>50</v>
      </c>
      <c r="BC59" s="2029">
        <f t="shared" si="34"/>
        <v>50</v>
      </c>
      <c r="BD59" s="2029">
        <f t="shared" si="34"/>
        <v>50</v>
      </c>
      <c r="BE59" s="2030">
        <f t="shared" si="16"/>
        <v>225</v>
      </c>
      <c r="BF59" s="2030">
        <f t="shared" si="16"/>
        <v>250</v>
      </c>
      <c r="BG59" s="2030">
        <f t="shared" si="16"/>
        <v>250</v>
      </c>
      <c r="BH59" s="2030">
        <f t="shared" si="16"/>
        <v>250</v>
      </c>
      <c r="BI59" s="2030">
        <f t="shared" si="17"/>
        <v>0</v>
      </c>
      <c r="BJ59" s="2030">
        <f t="shared" si="17"/>
        <v>0</v>
      </c>
      <c r="BK59" s="2030">
        <f t="shared" si="17"/>
        <v>0</v>
      </c>
      <c r="BL59" s="2030">
        <f t="shared" si="17"/>
        <v>0</v>
      </c>
      <c r="BM59" s="2031"/>
      <c r="BN59" s="2031"/>
      <c r="BO59" s="2031"/>
      <c r="BP59" s="2031"/>
      <c r="BQ59" s="2031"/>
      <c r="BR59" s="2031"/>
      <c r="BS59" s="2031"/>
      <c r="BT59" s="2031"/>
      <c r="BU59" s="2029"/>
      <c r="BV59" s="2029"/>
      <c r="BW59" s="2029"/>
      <c r="BX59" s="2029"/>
      <c r="BY59" s="2029"/>
      <c r="BZ59" s="2032"/>
      <c r="CA59" s="1974"/>
      <c r="CB59" s="1974"/>
      <c r="CC59" s="1974"/>
      <c r="CD59" s="1974"/>
      <c r="CE59" s="1974">
        <v>0</v>
      </c>
      <c r="CF59" s="2033">
        <v>1.1419248366861007E-5</v>
      </c>
      <c r="CG59" s="2026">
        <v>0</v>
      </c>
      <c r="CH59" s="2009">
        <v>0</v>
      </c>
      <c r="CI59" s="2029">
        <v>0</v>
      </c>
      <c r="CK59" s="2029">
        <f t="shared" si="18"/>
        <v>0</v>
      </c>
      <c r="CL59" s="2034">
        <v>1</v>
      </c>
      <c r="CM59" s="2034">
        <v>1</v>
      </c>
      <c r="CN59" s="2034">
        <v>1</v>
      </c>
      <c r="CO59" s="2034">
        <v>1</v>
      </c>
      <c r="CP59" s="2035"/>
      <c r="CQ59" s="2036"/>
      <c r="CR59" s="2036"/>
      <c r="CS59" s="2049"/>
      <c r="CT59" s="2049"/>
      <c r="CU59" s="2049"/>
      <c r="CW59" s="1973">
        <v>0</v>
      </c>
      <c r="CX59" s="2037">
        <v>25</v>
      </c>
      <c r="CY59" s="2037">
        <v>25</v>
      </c>
      <c r="CZ59" s="2037">
        <v>25</v>
      </c>
      <c r="DA59" s="2037">
        <v>25</v>
      </c>
      <c r="DJ59" s="1976">
        <v>25</v>
      </c>
      <c r="DK59" s="1973">
        <v>25</v>
      </c>
      <c r="DL59" s="1973">
        <v>25</v>
      </c>
      <c r="DM59" s="1973">
        <v>25</v>
      </c>
      <c r="DO59" s="2023">
        <v>15</v>
      </c>
      <c r="DP59" s="2024">
        <v>357.5</v>
      </c>
      <c r="DQ59" s="2024">
        <v>0.04</v>
      </c>
      <c r="DR59" s="2023">
        <v>0</v>
      </c>
      <c r="DS59" s="2029">
        <v>25</v>
      </c>
      <c r="DT59" s="2029">
        <v>25</v>
      </c>
      <c r="DU59" s="2029">
        <v>25</v>
      </c>
      <c r="DV59" s="2029">
        <v>25</v>
      </c>
      <c r="DW59" s="1974"/>
      <c r="DX59" s="2029">
        <v>0</v>
      </c>
      <c r="DY59" s="2029">
        <v>0</v>
      </c>
      <c r="DZ59" s="2029">
        <v>0</v>
      </c>
      <c r="EA59" s="2029">
        <v>50</v>
      </c>
      <c r="EB59" s="2029">
        <v>50</v>
      </c>
      <c r="EC59" s="2029">
        <v>50</v>
      </c>
      <c r="ED59" s="2029">
        <v>50</v>
      </c>
      <c r="EE59" s="2039">
        <f t="shared" si="19"/>
        <v>0</v>
      </c>
      <c r="EF59" s="2039">
        <f t="shared" si="19"/>
        <v>0</v>
      </c>
      <c r="EG59" s="2039">
        <f t="shared" si="19"/>
        <v>0</v>
      </c>
      <c r="EH59" s="2039">
        <f t="shared" si="19"/>
        <v>0</v>
      </c>
      <c r="EI59" s="2040">
        <f t="shared" si="35"/>
        <v>0</v>
      </c>
      <c r="EJ59" s="2040">
        <f t="shared" si="35"/>
        <v>0</v>
      </c>
      <c r="EK59" s="2040">
        <f t="shared" si="35"/>
        <v>0</v>
      </c>
      <c r="EL59" s="2040">
        <f t="shared" si="35"/>
        <v>0</v>
      </c>
      <c r="EM59" s="2040">
        <f t="shared" si="35"/>
        <v>0</v>
      </c>
      <c r="EN59" s="2040">
        <f t="shared" si="35"/>
        <v>0</v>
      </c>
      <c r="EO59" s="2040">
        <f t="shared" si="35"/>
        <v>0</v>
      </c>
      <c r="EP59" s="2040">
        <f t="shared" si="35"/>
        <v>0</v>
      </c>
      <c r="EQ59" s="2040">
        <f t="shared" si="35"/>
        <v>0</v>
      </c>
      <c r="ER59" s="2040">
        <f t="shared" si="35"/>
        <v>0</v>
      </c>
      <c r="ES59" s="2040">
        <f t="shared" si="35"/>
        <v>0</v>
      </c>
      <c r="ET59" s="2040">
        <f t="shared" si="35"/>
        <v>0</v>
      </c>
      <c r="EU59" s="2039">
        <f t="shared" si="21"/>
        <v>0</v>
      </c>
      <c r="EV59" s="2039">
        <f t="shared" si="22"/>
        <v>0</v>
      </c>
    </row>
    <row r="60" spans="1:152" x14ac:dyDescent="0.25">
      <c r="A60" s="2041" t="s">
        <v>119</v>
      </c>
      <c r="B60" s="2022" t="s">
        <v>2914</v>
      </c>
      <c r="C60" s="2023">
        <v>15</v>
      </c>
      <c r="D60" s="2024">
        <v>577</v>
      </c>
      <c r="E60" s="2024">
        <v>0.09</v>
      </c>
      <c r="F60" s="2023">
        <v>0</v>
      </c>
      <c r="G60" s="2026" t="s">
        <v>2899</v>
      </c>
      <c r="H60" s="2026" t="s">
        <v>2899</v>
      </c>
      <c r="I60" s="2026">
        <v>0.84899999999999998</v>
      </c>
      <c r="J60" s="2026">
        <v>0.84899999999999998</v>
      </c>
      <c r="K60" s="2026">
        <v>0.84899999999999998</v>
      </c>
      <c r="L60" s="2026">
        <v>0.84899999999999998</v>
      </c>
      <c r="M60" s="2027">
        <f t="shared" si="11"/>
        <v>489.87299999999999</v>
      </c>
      <c r="N60" s="2027">
        <f t="shared" si="11"/>
        <v>489.87299999999999</v>
      </c>
      <c r="O60" s="2027">
        <f t="shared" si="11"/>
        <v>489.87299999999999</v>
      </c>
      <c r="P60" s="2027">
        <f t="shared" si="11"/>
        <v>489.87299999999999</v>
      </c>
      <c r="Q60" s="2026">
        <v>0.84899999999999998</v>
      </c>
      <c r="R60" s="2026">
        <v>0.84899999999999998</v>
      </c>
      <c r="S60" s="2026">
        <v>0.84899999999999998</v>
      </c>
      <c r="T60" s="2026">
        <v>0.84899999999999998</v>
      </c>
      <c r="U60" s="2028">
        <f t="shared" si="12"/>
        <v>7.6409999999999992E-2</v>
      </c>
      <c r="V60" s="2028">
        <f t="shared" si="12"/>
        <v>7.6409999999999992E-2</v>
      </c>
      <c r="W60" s="2028">
        <f t="shared" si="12"/>
        <v>7.6409999999999992E-2</v>
      </c>
      <c r="X60" s="2028">
        <f t="shared" si="12"/>
        <v>7.6409999999999992E-2</v>
      </c>
      <c r="Y60" s="2026">
        <v>0.67500000000000004</v>
      </c>
      <c r="Z60" s="2026">
        <v>0.67500000000000004</v>
      </c>
      <c r="AA60" s="2026">
        <v>0.67500000000000004</v>
      </c>
      <c r="AB60" s="2026">
        <v>0.67500000000000004</v>
      </c>
      <c r="AC60" s="2027">
        <f t="shared" si="31"/>
        <v>0</v>
      </c>
      <c r="AD60" s="2027">
        <f t="shared" si="31"/>
        <v>0</v>
      </c>
      <c r="AE60" s="2027">
        <f t="shared" si="31"/>
        <v>0</v>
      </c>
      <c r="AF60" s="2027">
        <f t="shared" si="31"/>
        <v>0</v>
      </c>
      <c r="AG60" s="2027">
        <v>9</v>
      </c>
      <c r="AH60" s="2027">
        <v>10</v>
      </c>
      <c r="AI60" s="2027">
        <v>10</v>
      </c>
      <c r="AJ60" s="2027">
        <v>10</v>
      </c>
      <c r="AK60" s="2027">
        <f t="shared" si="27"/>
        <v>4408.857</v>
      </c>
      <c r="AL60" s="2027">
        <f t="shared" si="32"/>
        <v>4898.7299999999996</v>
      </c>
      <c r="AM60" s="2027">
        <f t="shared" si="32"/>
        <v>4898.7299999999996</v>
      </c>
      <c r="AN60" s="2027">
        <f t="shared" si="32"/>
        <v>4898.7299999999996</v>
      </c>
      <c r="AO60" s="2027">
        <f t="shared" si="28"/>
        <v>0</v>
      </c>
      <c r="AP60" s="2027">
        <f t="shared" si="36"/>
        <v>0</v>
      </c>
      <c r="AQ60" s="2027">
        <f t="shared" si="36"/>
        <v>0</v>
      </c>
      <c r="AR60" s="2027">
        <f t="shared" si="29"/>
        <v>0</v>
      </c>
      <c r="AS60" s="2029">
        <v>35</v>
      </c>
      <c r="AT60" s="2029">
        <f t="shared" si="13"/>
        <v>35</v>
      </c>
      <c r="AU60" s="2029">
        <f t="shared" si="13"/>
        <v>35</v>
      </c>
      <c r="AV60" s="2029">
        <f t="shared" si="13"/>
        <v>35</v>
      </c>
      <c r="AW60" s="1974"/>
      <c r="AX60" s="2029">
        <f t="shared" si="33"/>
        <v>0</v>
      </c>
      <c r="AY60" s="2029">
        <f t="shared" si="33"/>
        <v>0</v>
      </c>
      <c r="AZ60" s="2029">
        <f t="shared" si="33"/>
        <v>0</v>
      </c>
      <c r="BA60" s="2029">
        <v>50</v>
      </c>
      <c r="BB60" s="2029">
        <f t="shared" si="34"/>
        <v>50</v>
      </c>
      <c r="BC60" s="2029">
        <f t="shared" si="34"/>
        <v>50</v>
      </c>
      <c r="BD60" s="2029">
        <f t="shared" si="34"/>
        <v>50</v>
      </c>
      <c r="BE60" s="2030">
        <f t="shared" si="16"/>
        <v>315</v>
      </c>
      <c r="BF60" s="2030">
        <f t="shared" si="16"/>
        <v>350</v>
      </c>
      <c r="BG60" s="2030">
        <f t="shared" si="16"/>
        <v>350</v>
      </c>
      <c r="BH60" s="2030">
        <f t="shared" si="16"/>
        <v>350</v>
      </c>
      <c r="BI60" s="2030">
        <f t="shared" si="17"/>
        <v>0</v>
      </c>
      <c r="BJ60" s="2030">
        <f t="shared" si="17"/>
        <v>0</v>
      </c>
      <c r="BK60" s="2030">
        <f t="shared" si="17"/>
        <v>0</v>
      </c>
      <c r="BL60" s="2030">
        <f t="shared" si="17"/>
        <v>0</v>
      </c>
      <c r="BM60" s="2031"/>
      <c r="BN60" s="2031"/>
      <c r="BO60" s="2031"/>
      <c r="BP60" s="2031"/>
      <c r="BQ60" s="2031"/>
      <c r="BR60" s="2031"/>
      <c r="BS60" s="2031"/>
      <c r="BT60" s="2031"/>
      <c r="BU60" s="2029"/>
      <c r="BV60" s="2029"/>
      <c r="BW60" s="2029"/>
      <c r="BX60" s="2029"/>
      <c r="BY60" s="2029"/>
      <c r="BZ60" s="2032"/>
      <c r="CA60" s="1974"/>
      <c r="CB60" s="1974"/>
      <c r="CC60" s="1974"/>
      <c r="CD60" s="1974"/>
      <c r="CE60" s="1974">
        <v>0</v>
      </c>
      <c r="CF60" s="2033">
        <v>1.8430507154346298E-5</v>
      </c>
      <c r="CG60" s="2026">
        <v>0</v>
      </c>
      <c r="CH60" s="2009">
        <v>0</v>
      </c>
      <c r="CI60" s="2029">
        <v>0</v>
      </c>
      <c r="CK60" s="2029">
        <f t="shared" si="18"/>
        <v>0</v>
      </c>
      <c r="CL60" s="2034">
        <v>1</v>
      </c>
      <c r="CM60" s="2034">
        <v>1</v>
      </c>
      <c r="CN60" s="2034">
        <v>1</v>
      </c>
      <c r="CO60" s="2034">
        <v>1</v>
      </c>
      <c r="CP60" s="2035"/>
      <c r="CQ60" s="2036"/>
      <c r="CR60" s="2036"/>
      <c r="CS60" s="2049"/>
      <c r="CT60" s="2049"/>
      <c r="CU60" s="2049"/>
      <c r="CW60" s="1973">
        <v>0</v>
      </c>
      <c r="CX60" s="2037">
        <v>35</v>
      </c>
      <c r="CY60" s="2037">
        <v>35</v>
      </c>
      <c r="CZ60" s="2037">
        <v>35</v>
      </c>
      <c r="DA60" s="2037">
        <v>35</v>
      </c>
      <c r="DJ60" s="1976">
        <v>35</v>
      </c>
      <c r="DK60" s="1973">
        <v>35</v>
      </c>
      <c r="DL60" s="1973">
        <v>35</v>
      </c>
      <c r="DM60" s="1973">
        <v>35</v>
      </c>
      <c r="DO60" s="2023">
        <v>15</v>
      </c>
      <c r="DP60" s="2024">
        <v>577</v>
      </c>
      <c r="DQ60" s="2024">
        <v>0.09</v>
      </c>
      <c r="DR60" s="2023">
        <v>0</v>
      </c>
      <c r="DS60" s="2029">
        <v>35</v>
      </c>
      <c r="DT60" s="2029">
        <v>35</v>
      </c>
      <c r="DU60" s="2029">
        <v>35</v>
      </c>
      <c r="DV60" s="2029">
        <v>35</v>
      </c>
      <c r="DW60" s="1974"/>
      <c r="DX60" s="2029">
        <v>0</v>
      </c>
      <c r="DY60" s="2029">
        <v>0</v>
      </c>
      <c r="DZ60" s="2029">
        <v>0</v>
      </c>
      <c r="EA60" s="2029">
        <v>50</v>
      </c>
      <c r="EB60" s="2029">
        <v>50</v>
      </c>
      <c r="EC60" s="2029">
        <v>50</v>
      </c>
      <c r="ED60" s="2029">
        <v>50</v>
      </c>
      <c r="EE60" s="2039">
        <f t="shared" si="19"/>
        <v>0</v>
      </c>
      <c r="EF60" s="2039">
        <f t="shared" si="19"/>
        <v>0</v>
      </c>
      <c r="EG60" s="2039">
        <f t="shared" si="19"/>
        <v>0</v>
      </c>
      <c r="EH60" s="2039">
        <f t="shared" si="19"/>
        <v>0</v>
      </c>
      <c r="EI60" s="2040">
        <f t="shared" si="35"/>
        <v>0</v>
      </c>
      <c r="EJ60" s="2040">
        <f t="shared" si="35"/>
        <v>0</v>
      </c>
      <c r="EK60" s="2040">
        <f t="shared" si="35"/>
        <v>0</v>
      </c>
      <c r="EL60" s="2040">
        <f t="shared" si="35"/>
        <v>0</v>
      </c>
      <c r="EM60" s="2040">
        <f t="shared" si="35"/>
        <v>0</v>
      </c>
      <c r="EN60" s="2040">
        <f t="shared" si="35"/>
        <v>0</v>
      </c>
      <c r="EO60" s="2040">
        <f t="shared" si="35"/>
        <v>0</v>
      </c>
      <c r="EP60" s="2040">
        <f t="shared" si="35"/>
        <v>0</v>
      </c>
      <c r="EQ60" s="2040">
        <f t="shared" si="35"/>
        <v>0</v>
      </c>
      <c r="ER60" s="2040">
        <f t="shared" si="35"/>
        <v>0</v>
      </c>
      <c r="ES60" s="2040">
        <f t="shared" si="35"/>
        <v>0</v>
      </c>
      <c r="ET60" s="2040">
        <f t="shared" si="35"/>
        <v>0</v>
      </c>
      <c r="EU60" s="2039">
        <f t="shared" si="21"/>
        <v>0</v>
      </c>
      <c r="EV60" s="2039">
        <f t="shared" si="22"/>
        <v>0</v>
      </c>
    </row>
    <row r="61" spans="1:152" x14ac:dyDescent="0.25">
      <c r="A61" s="2041" t="s">
        <v>120</v>
      </c>
      <c r="B61" s="2022" t="s">
        <v>2915</v>
      </c>
      <c r="C61" s="2023">
        <v>15</v>
      </c>
      <c r="D61" s="2024">
        <v>343</v>
      </c>
      <c r="E61" s="2024">
        <v>0.03</v>
      </c>
      <c r="F61" s="2023">
        <v>0</v>
      </c>
      <c r="G61" s="2026" t="s">
        <v>2899</v>
      </c>
      <c r="H61" s="2026" t="s">
        <v>2899</v>
      </c>
      <c r="I61" s="2026">
        <v>0.84899999999999998</v>
      </c>
      <c r="J61" s="2026">
        <v>0.84899999999999998</v>
      </c>
      <c r="K61" s="2026">
        <v>0.84899999999999998</v>
      </c>
      <c r="L61" s="2026">
        <v>0.84899999999999998</v>
      </c>
      <c r="M61" s="2027">
        <f t="shared" si="11"/>
        <v>291.20699999999999</v>
      </c>
      <c r="N61" s="2027">
        <f t="shared" si="11"/>
        <v>291.20699999999999</v>
      </c>
      <c r="O61" s="2027">
        <f t="shared" si="11"/>
        <v>291.20699999999999</v>
      </c>
      <c r="P61" s="2027">
        <f t="shared" si="11"/>
        <v>291.20699999999999</v>
      </c>
      <c r="Q61" s="2026">
        <v>0.84899999999999998</v>
      </c>
      <c r="R61" s="2026">
        <v>0.84899999999999998</v>
      </c>
      <c r="S61" s="2026">
        <v>0.84899999999999998</v>
      </c>
      <c r="T61" s="2026">
        <v>0.84899999999999998</v>
      </c>
      <c r="U61" s="2028">
        <f t="shared" si="12"/>
        <v>2.547E-2</v>
      </c>
      <c r="V61" s="2028">
        <f t="shared" si="12"/>
        <v>2.547E-2</v>
      </c>
      <c r="W61" s="2028">
        <f t="shared" si="12"/>
        <v>2.547E-2</v>
      </c>
      <c r="X61" s="2028">
        <f t="shared" si="12"/>
        <v>2.547E-2</v>
      </c>
      <c r="Y61" s="2026">
        <v>0.67500000000000004</v>
      </c>
      <c r="Z61" s="2026">
        <v>0.67500000000000004</v>
      </c>
      <c r="AA61" s="2026">
        <v>0.67500000000000004</v>
      </c>
      <c r="AB61" s="2026">
        <v>0.67500000000000004</v>
      </c>
      <c r="AC61" s="2027">
        <f t="shared" si="31"/>
        <v>0</v>
      </c>
      <c r="AD61" s="2027">
        <f t="shared" si="31"/>
        <v>0</v>
      </c>
      <c r="AE61" s="2027">
        <f t="shared" si="31"/>
        <v>0</v>
      </c>
      <c r="AF61" s="2027">
        <f t="shared" si="31"/>
        <v>0</v>
      </c>
      <c r="AG61" s="2027">
        <v>9</v>
      </c>
      <c r="AH61" s="2027">
        <v>10</v>
      </c>
      <c r="AI61" s="2027">
        <v>10</v>
      </c>
      <c r="AJ61" s="2027">
        <v>10</v>
      </c>
      <c r="AK61" s="2027">
        <f t="shared" si="27"/>
        <v>2620.8629999999998</v>
      </c>
      <c r="AL61" s="2027">
        <f t="shared" si="32"/>
        <v>2912.0699999999997</v>
      </c>
      <c r="AM61" s="2027">
        <f t="shared" si="32"/>
        <v>2912.0699999999997</v>
      </c>
      <c r="AN61" s="2027">
        <f t="shared" si="32"/>
        <v>2912.0699999999997</v>
      </c>
      <c r="AO61" s="2027">
        <f t="shared" si="28"/>
        <v>0</v>
      </c>
      <c r="AP61" s="2027">
        <f t="shared" si="36"/>
        <v>0</v>
      </c>
      <c r="AQ61" s="2027">
        <f t="shared" si="36"/>
        <v>0</v>
      </c>
      <c r="AR61" s="2027">
        <f t="shared" si="29"/>
        <v>0</v>
      </c>
      <c r="AS61" s="2029">
        <v>25</v>
      </c>
      <c r="AT61" s="2029">
        <f t="shared" si="13"/>
        <v>25</v>
      </c>
      <c r="AU61" s="2029">
        <f t="shared" si="13"/>
        <v>25</v>
      </c>
      <c r="AV61" s="2029">
        <f t="shared" si="13"/>
        <v>25</v>
      </c>
      <c r="AW61" s="1974"/>
      <c r="AX61" s="2029">
        <f t="shared" si="33"/>
        <v>0</v>
      </c>
      <c r="AY61" s="2029">
        <f t="shared" si="33"/>
        <v>0</v>
      </c>
      <c r="AZ61" s="2029">
        <f t="shared" si="33"/>
        <v>0</v>
      </c>
      <c r="BA61" s="2029">
        <v>50</v>
      </c>
      <c r="BB61" s="2029">
        <f t="shared" si="34"/>
        <v>50</v>
      </c>
      <c r="BC61" s="2029">
        <f t="shared" si="34"/>
        <v>50</v>
      </c>
      <c r="BD61" s="2029">
        <f t="shared" si="34"/>
        <v>50</v>
      </c>
      <c r="BE61" s="2030">
        <f t="shared" si="16"/>
        <v>225</v>
      </c>
      <c r="BF61" s="2030">
        <f t="shared" si="16"/>
        <v>250</v>
      </c>
      <c r="BG61" s="2030">
        <f t="shared" si="16"/>
        <v>250</v>
      </c>
      <c r="BH61" s="2030">
        <f t="shared" si="16"/>
        <v>250</v>
      </c>
      <c r="BI61" s="2030">
        <f t="shared" si="17"/>
        <v>0</v>
      </c>
      <c r="BJ61" s="2030">
        <f t="shared" si="17"/>
        <v>0</v>
      </c>
      <c r="BK61" s="2030">
        <f t="shared" si="17"/>
        <v>0</v>
      </c>
      <c r="BL61" s="2030">
        <f t="shared" si="17"/>
        <v>0</v>
      </c>
      <c r="BM61" s="2031"/>
      <c r="BN61" s="2031"/>
      <c r="BO61" s="2031"/>
      <c r="BP61" s="2031"/>
      <c r="BQ61" s="2031"/>
      <c r="BR61" s="2031"/>
      <c r="BS61" s="2031"/>
      <c r="BT61" s="2031"/>
      <c r="BU61" s="2029"/>
      <c r="BV61" s="2029"/>
      <c r="BW61" s="2029"/>
      <c r="BX61" s="2029"/>
      <c r="BY61" s="2029"/>
      <c r="BZ61" s="2032"/>
      <c r="CA61" s="1974"/>
      <c r="CB61" s="1974"/>
      <c r="CC61" s="1974"/>
      <c r="CD61" s="1974"/>
      <c r="CE61" s="1974">
        <v>0</v>
      </c>
      <c r="CF61" s="2033">
        <v>1.095609004149182E-5</v>
      </c>
      <c r="CG61" s="2026">
        <v>0</v>
      </c>
      <c r="CH61" s="2009">
        <v>0</v>
      </c>
      <c r="CI61" s="2029">
        <v>0</v>
      </c>
      <c r="CK61" s="2029">
        <f t="shared" si="18"/>
        <v>0</v>
      </c>
      <c r="CL61" s="2034">
        <v>1</v>
      </c>
      <c r="CM61" s="2034">
        <v>1</v>
      </c>
      <c r="CN61" s="2034">
        <v>1</v>
      </c>
      <c r="CO61" s="2034">
        <v>1</v>
      </c>
      <c r="CP61" s="2035"/>
      <c r="CQ61" s="2036"/>
      <c r="CR61" s="2036"/>
      <c r="CS61" s="2049"/>
      <c r="CT61" s="2049"/>
      <c r="CU61" s="2049"/>
      <c r="CW61" s="1973">
        <v>0</v>
      </c>
      <c r="CX61" s="2037">
        <v>25</v>
      </c>
      <c r="CY61" s="2037">
        <v>25</v>
      </c>
      <c r="CZ61" s="2037">
        <v>25</v>
      </c>
      <c r="DA61" s="2037">
        <v>25</v>
      </c>
      <c r="DJ61" s="1976">
        <v>25</v>
      </c>
      <c r="DK61" s="1973">
        <v>25</v>
      </c>
      <c r="DL61" s="1973">
        <v>25</v>
      </c>
      <c r="DM61" s="1973">
        <v>25</v>
      </c>
      <c r="DO61" s="2023">
        <v>15</v>
      </c>
      <c r="DP61" s="2024">
        <v>343</v>
      </c>
      <c r="DQ61" s="2024">
        <v>0.03</v>
      </c>
      <c r="DR61" s="2023">
        <v>0</v>
      </c>
      <c r="DS61" s="2029">
        <v>25</v>
      </c>
      <c r="DT61" s="2029">
        <v>25</v>
      </c>
      <c r="DU61" s="2029">
        <v>25</v>
      </c>
      <c r="DV61" s="2029">
        <v>25</v>
      </c>
      <c r="DW61" s="1974"/>
      <c r="DX61" s="2029">
        <v>0</v>
      </c>
      <c r="DY61" s="2029">
        <v>0</v>
      </c>
      <c r="DZ61" s="2029">
        <v>0</v>
      </c>
      <c r="EA61" s="2029">
        <v>50</v>
      </c>
      <c r="EB61" s="2029">
        <v>50</v>
      </c>
      <c r="EC61" s="2029">
        <v>50</v>
      </c>
      <c r="ED61" s="2029">
        <v>50</v>
      </c>
      <c r="EE61" s="2039">
        <f t="shared" si="19"/>
        <v>0</v>
      </c>
      <c r="EF61" s="2039">
        <f t="shared" si="19"/>
        <v>0</v>
      </c>
      <c r="EG61" s="2039">
        <f t="shared" si="19"/>
        <v>0</v>
      </c>
      <c r="EH61" s="2039">
        <f t="shared" si="19"/>
        <v>0</v>
      </c>
      <c r="EI61" s="2040">
        <f t="shared" si="35"/>
        <v>0</v>
      </c>
      <c r="EJ61" s="2040">
        <f t="shared" si="35"/>
        <v>0</v>
      </c>
      <c r="EK61" s="2040">
        <f t="shared" si="35"/>
        <v>0</v>
      </c>
      <c r="EL61" s="2040">
        <f t="shared" si="35"/>
        <v>0</v>
      </c>
      <c r="EM61" s="2040">
        <f t="shared" si="35"/>
        <v>0</v>
      </c>
      <c r="EN61" s="2040">
        <f t="shared" si="35"/>
        <v>0</v>
      </c>
      <c r="EO61" s="2040">
        <f t="shared" si="35"/>
        <v>0</v>
      </c>
      <c r="EP61" s="2040">
        <f t="shared" si="35"/>
        <v>0</v>
      </c>
      <c r="EQ61" s="2040">
        <f t="shared" si="35"/>
        <v>0</v>
      </c>
      <c r="ER61" s="2040">
        <f t="shared" si="35"/>
        <v>0</v>
      </c>
      <c r="ES61" s="2040">
        <f t="shared" si="35"/>
        <v>0</v>
      </c>
      <c r="ET61" s="2040">
        <f t="shared" si="35"/>
        <v>0</v>
      </c>
      <c r="EU61" s="2039">
        <f t="shared" si="21"/>
        <v>0</v>
      </c>
      <c r="EV61" s="2039">
        <f t="shared" si="22"/>
        <v>0</v>
      </c>
    </row>
    <row r="62" spans="1:152" x14ac:dyDescent="0.25">
      <c r="A62" s="2041" t="s">
        <v>121</v>
      </c>
      <c r="B62" s="2022" t="s">
        <v>2916</v>
      </c>
      <c r="C62" s="2023">
        <v>15</v>
      </c>
      <c r="D62" s="2024">
        <v>516.5</v>
      </c>
      <c r="E62" s="2024">
        <v>0.04</v>
      </c>
      <c r="F62" s="2023">
        <v>0</v>
      </c>
      <c r="G62" s="2026" t="s">
        <v>2899</v>
      </c>
      <c r="H62" s="2026" t="s">
        <v>2899</v>
      </c>
      <c r="I62" s="2026">
        <v>0.84899999999999998</v>
      </c>
      <c r="J62" s="2026">
        <v>0.84899999999999998</v>
      </c>
      <c r="K62" s="2026">
        <v>0.84899999999999998</v>
      </c>
      <c r="L62" s="2026">
        <v>0.84899999999999998</v>
      </c>
      <c r="M62" s="2027">
        <f t="shared" si="11"/>
        <v>438.50849999999997</v>
      </c>
      <c r="N62" s="2027">
        <f t="shared" si="11"/>
        <v>438.50849999999997</v>
      </c>
      <c r="O62" s="2027">
        <f t="shared" si="11"/>
        <v>438.50849999999997</v>
      </c>
      <c r="P62" s="2027">
        <f t="shared" si="11"/>
        <v>438.50849999999997</v>
      </c>
      <c r="Q62" s="2026">
        <v>0.84899999999999998</v>
      </c>
      <c r="R62" s="2026">
        <v>0.84899999999999998</v>
      </c>
      <c r="S62" s="2026">
        <v>0.84899999999999998</v>
      </c>
      <c r="T62" s="2026">
        <v>0.84899999999999998</v>
      </c>
      <c r="U62" s="2028">
        <f t="shared" si="12"/>
        <v>3.3959999999999997E-2</v>
      </c>
      <c r="V62" s="2028">
        <f t="shared" si="12"/>
        <v>3.3959999999999997E-2</v>
      </c>
      <c r="W62" s="2028">
        <f t="shared" si="12"/>
        <v>3.3959999999999997E-2</v>
      </c>
      <c r="X62" s="2028">
        <f t="shared" si="12"/>
        <v>3.3959999999999997E-2</v>
      </c>
      <c r="Y62" s="2026">
        <v>0.67500000000000004</v>
      </c>
      <c r="Z62" s="2026">
        <v>0.67500000000000004</v>
      </c>
      <c r="AA62" s="2026">
        <v>0.67500000000000004</v>
      </c>
      <c r="AB62" s="2026">
        <v>0.67500000000000004</v>
      </c>
      <c r="AC62" s="2027">
        <f t="shared" si="31"/>
        <v>0</v>
      </c>
      <c r="AD62" s="2027">
        <f t="shared" si="31"/>
        <v>0</v>
      </c>
      <c r="AE62" s="2027">
        <f t="shared" si="31"/>
        <v>0</v>
      </c>
      <c r="AF62" s="2027">
        <f t="shared" si="31"/>
        <v>0</v>
      </c>
      <c r="AG62" s="2027">
        <v>9</v>
      </c>
      <c r="AH62" s="2027">
        <v>10</v>
      </c>
      <c r="AI62" s="2027">
        <v>10</v>
      </c>
      <c r="AJ62" s="2027">
        <v>10</v>
      </c>
      <c r="AK62" s="2027">
        <f t="shared" si="27"/>
        <v>3946.5764999999997</v>
      </c>
      <c r="AL62" s="2027">
        <f t="shared" si="32"/>
        <v>4385.085</v>
      </c>
      <c r="AM62" s="2027">
        <f t="shared" si="32"/>
        <v>4385.085</v>
      </c>
      <c r="AN62" s="2027">
        <f t="shared" si="32"/>
        <v>4385.085</v>
      </c>
      <c r="AO62" s="2027">
        <f t="shared" si="28"/>
        <v>0</v>
      </c>
      <c r="AP62" s="2027">
        <f t="shared" si="36"/>
        <v>0</v>
      </c>
      <c r="AQ62" s="2027">
        <f t="shared" si="36"/>
        <v>0</v>
      </c>
      <c r="AR62" s="2027">
        <f t="shared" si="29"/>
        <v>0</v>
      </c>
      <c r="AS62" s="2029">
        <v>35</v>
      </c>
      <c r="AT62" s="2029">
        <f t="shared" si="13"/>
        <v>35</v>
      </c>
      <c r="AU62" s="2029">
        <f t="shared" si="13"/>
        <v>35</v>
      </c>
      <c r="AV62" s="2029">
        <f t="shared" si="13"/>
        <v>35</v>
      </c>
      <c r="AW62" s="1974"/>
      <c r="AX62" s="2029">
        <f t="shared" si="33"/>
        <v>0</v>
      </c>
      <c r="AY62" s="2029">
        <f t="shared" si="33"/>
        <v>0</v>
      </c>
      <c r="AZ62" s="2029">
        <f t="shared" si="33"/>
        <v>0</v>
      </c>
      <c r="BA62" s="2029">
        <v>50</v>
      </c>
      <c r="BB62" s="2029">
        <f t="shared" si="34"/>
        <v>50</v>
      </c>
      <c r="BC62" s="2029">
        <f t="shared" si="34"/>
        <v>50</v>
      </c>
      <c r="BD62" s="2029">
        <f t="shared" si="34"/>
        <v>50</v>
      </c>
      <c r="BE62" s="2030">
        <f t="shared" si="16"/>
        <v>315</v>
      </c>
      <c r="BF62" s="2030">
        <f t="shared" si="16"/>
        <v>350</v>
      </c>
      <c r="BG62" s="2030">
        <f t="shared" si="16"/>
        <v>350</v>
      </c>
      <c r="BH62" s="2030">
        <f t="shared" si="16"/>
        <v>350</v>
      </c>
      <c r="BI62" s="2030">
        <f t="shared" si="17"/>
        <v>0</v>
      </c>
      <c r="BJ62" s="2030">
        <f t="shared" si="17"/>
        <v>0</v>
      </c>
      <c r="BK62" s="2030">
        <f t="shared" si="17"/>
        <v>0</v>
      </c>
      <c r="BL62" s="2030">
        <f t="shared" si="17"/>
        <v>0</v>
      </c>
      <c r="BM62" s="2031"/>
      <c r="BN62" s="2031"/>
      <c r="BO62" s="2031"/>
      <c r="BP62" s="2031"/>
      <c r="BQ62" s="2031"/>
      <c r="BR62" s="2031"/>
      <c r="BS62" s="2031"/>
      <c r="BT62" s="2031"/>
      <c r="BU62" s="2029"/>
      <c r="BV62" s="2029"/>
      <c r="BW62" s="2029"/>
      <c r="BX62" s="2029"/>
      <c r="BY62" s="2029"/>
      <c r="BZ62" s="2032"/>
      <c r="CA62" s="1974"/>
      <c r="CB62" s="1974"/>
      <c r="CC62" s="1974"/>
      <c r="CD62" s="1974"/>
      <c r="CE62" s="1974">
        <v>0</v>
      </c>
      <c r="CF62" s="2033">
        <v>1.6498018969185205E-5</v>
      </c>
      <c r="CG62" s="2026">
        <v>0</v>
      </c>
      <c r="CH62" s="2009">
        <v>0</v>
      </c>
      <c r="CI62" s="2029">
        <v>0</v>
      </c>
      <c r="CK62" s="2029">
        <f t="shared" si="18"/>
        <v>0</v>
      </c>
      <c r="CL62" s="2034">
        <v>1</v>
      </c>
      <c r="CM62" s="2034">
        <v>1</v>
      </c>
      <c r="CN62" s="2034">
        <v>1</v>
      </c>
      <c r="CO62" s="2034">
        <v>1</v>
      </c>
      <c r="CP62" s="2035"/>
      <c r="CQ62" s="2036"/>
      <c r="CR62" s="2036"/>
      <c r="CS62" s="2049"/>
      <c r="CT62" s="2049"/>
      <c r="CU62" s="2049"/>
      <c r="CW62" s="1973">
        <v>0</v>
      </c>
      <c r="CX62" s="2037">
        <v>35</v>
      </c>
      <c r="CY62" s="2037">
        <v>35</v>
      </c>
      <c r="CZ62" s="2037">
        <v>35</v>
      </c>
      <c r="DA62" s="2037">
        <v>35</v>
      </c>
      <c r="DJ62" s="1976">
        <v>35</v>
      </c>
      <c r="DK62" s="1973">
        <v>35</v>
      </c>
      <c r="DL62" s="1973">
        <v>35</v>
      </c>
      <c r="DM62" s="1973">
        <v>35</v>
      </c>
      <c r="DO62" s="2023">
        <v>15</v>
      </c>
      <c r="DP62" s="2024">
        <v>516.5</v>
      </c>
      <c r="DQ62" s="2024">
        <v>0.04</v>
      </c>
      <c r="DR62" s="2023">
        <v>0</v>
      </c>
      <c r="DS62" s="2029">
        <v>35</v>
      </c>
      <c r="DT62" s="2029">
        <v>35</v>
      </c>
      <c r="DU62" s="2029">
        <v>35</v>
      </c>
      <c r="DV62" s="2029">
        <v>35</v>
      </c>
      <c r="DW62" s="1974"/>
      <c r="DX62" s="2029">
        <v>0</v>
      </c>
      <c r="DY62" s="2029">
        <v>0</v>
      </c>
      <c r="DZ62" s="2029">
        <v>0</v>
      </c>
      <c r="EA62" s="2029">
        <v>50</v>
      </c>
      <c r="EB62" s="2029">
        <v>50</v>
      </c>
      <c r="EC62" s="2029">
        <v>50</v>
      </c>
      <c r="ED62" s="2029">
        <v>50</v>
      </c>
      <c r="EE62" s="2039">
        <f t="shared" si="19"/>
        <v>0</v>
      </c>
      <c r="EF62" s="2039">
        <f t="shared" si="19"/>
        <v>0</v>
      </c>
      <c r="EG62" s="2039">
        <f t="shared" si="19"/>
        <v>0</v>
      </c>
      <c r="EH62" s="2039">
        <f t="shared" si="19"/>
        <v>0</v>
      </c>
      <c r="EI62" s="2040">
        <f t="shared" si="35"/>
        <v>0</v>
      </c>
      <c r="EJ62" s="2040">
        <f t="shared" si="35"/>
        <v>0</v>
      </c>
      <c r="EK62" s="2040">
        <f t="shared" si="35"/>
        <v>0</v>
      </c>
      <c r="EL62" s="2040">
        <f t="shared" si="35"/>
        <v>0</v>
      </c>
      <c r="EM62" s="2040">
        <f t="shared" si="35"/>
        <v>0</v>
      </c>
      <c r="EN62" s="2040">
        <f t="shared" si="35"/>
        <v>0</v>
      </c>
      <c r="EO62" s="2040">
        <f t="shared" si="35"/>
        <v>0</v>
      </c>
      <c r="EP62" s="2040">
        <f t="shared" si="35"/>
        <v>0</v>
      </c>
      <c r="EQ62" s="2040">
        <f t="shared" si="35"/>
        <v>0</v>
      </c>
      <c r="ER62" s="2040">
        <f t="shared" si="35"/>
        <v>0</v>
      </c>
      <c r="ES62" s="2040">
        <f t="shared" si="35"/>
        <v>0</v>
      </c>
      <c r="ET62" s="2040">
        <f t="shared" si="35"/>
        <v>0</v>
      </c>
      <c r="EU62" s="2039">
        <f t="shared" si="21"/>
        <v>0</v>
      </c>
      <c r="EV62" s="2039">
        <f t="shared" si="22"/>
        <v>0</v>
      </c>
    </row>
    <row r="63" spans="1:152" x14ac:dyDescent="0.25">
      <c r="A63" s="2041" t="s">
        <v>122</v>
      </c>
      <c r="B63" s="2022" t="s">
        <v>2917</v>
      </c>
      <c r="C63" s="2023">
        <v>7</v>
      </c>
      <c r="D63" s="2024">
        <v>372.14</v>
      </c>
      <c r="E63" s="2024">
        <v>0.12</v>
      </c>
      <c r="F63" s="2023">
        <v>0</v>
      </c>
      <c r="G63" s="2026" t="s">
        <v>2899</v>
      </c>
      <c r="H63" s="2026" t="s">
        <v>2899</v>
      </c>
      <c r="I63" s="2026">
        <v>0.84899999999999998</v>
      </c>
      <c r="J63" s="2026">
        <v>0.84899999999999998</v>
      </c>
      <c r="K63" s="2026">
        <v>0.84899999999999998</v>
      </c>
      <c r="L63" s="2026">
        <v>0.84899999999999998</v>
      </c>
      <c r="M63" s="2027">
        <f t="shared" si="11"/>
        <v>315.94685999999996</v>
      </c>
      <c r="N63" s="2027">
        <f t="shared" si="11"/>
        <v>315.94685999999996</v>
      </c>
      <c r="O63" s="2027">
        <f t="shared" si="11"/>
        <v>315.94685999999996</v>
      </c>
      <c r="P63" s="2027">
        <f t="shared" si="11"/>
        <v>315.94685999999996</v>
      </c>
      <c r="Q63" s="2026">
        <v>0.84899999999999998</v>
      </c>
      <c r="R63" s="2026">
        <v>0.84899999999999998</v>
      </c>
      <c r="S63" s="2026">
        <v>0.84899999999999998</v>
      </c>
      <c r="T63" s="2026">
        <v>0.84899999999999998</v>
      </c>
      <c r="U63" s="2028">
        <f t="shared" si="12"/>
        <v>0.10188</v>
      </c>
      <c r="V63" s="2028">
        <f t="shared" si="12"/>
        <v>0.10188</v>
      </c>
      <c r="W63" s="2028">
        <f t="shared" si="12"/>
        <v>0.10188</v>
      </c>
      <c r="X63" s="2028">
        <f t="shared" si="12"/>
        <v>0.10188</v>
      </c>
      <c r="Y63" s="2026">
        <v>0.67500000000000004</v>
      </c>
      <c r="Z63" s="2026">
        <v>0.67500000000000004</v>
      </c>
      <c r="AA63" s="2026">
        <v>0.67500000000000004</v>
      </c>
      <c r="AB63" s="2026">
        <v>0.67500000000000004</v>
      </c>
      <c r="AC63" s="2027">
        <f t="shared" si="31"/>
        <v>0</v>
      </c>
      <c r="AD63" s="2027">
        <f t="shared" si="31"/>
        <v>0</v>
      </c>
      <c r="AE63" s="2027">
        <f t="shared" si="31"/>
        <v>0</v>
      </c>
      <c r="AF63" s="2027">
        <f t="shared" si="31"/>
        <v>0</v>
      </c>
      <c r="AG63" s="2027">
        <v>1</v>
      </c>
      <c r="AH63" s="2027">
        <v>1</v>
      </c>
      <c r="AI63" s="2027">
        <v>1</v>
      </c>
      <c r="AJ63" s="2027">
        <v>1</v>
      </c>
      <c r="AK63" s="2027">
        <f t="shared" si="27"/>
        <v>315.94685999999996</v>
      </c>
      <c r="AL63" s="2027">
        <f t="shared" si="32"/>
        <v>315.94685999999996</v>
      </c>
      <c r="AM63" s="2027">
        <f t="shared" si="32"/>
        <v>315.94685999999996</v>
      </c>
      <c r="AN63" s="2027">
        <f t="shared" si="32"/>
        <v>315.94685999999996</v>
      </c>
      <c r="AO63" s="2027">
        <f t="shared" si="28"/>
        <v>0</v>
      </c>
      <c r="AP63" s="2027">
        <f t="shared" si="36"/>
        <v>0</v>
      </c>
      <c r="AQ63" s="2027">
        <f t="shared" si="36"/>
        <v>0</v>
      </c>
      <c r="AR63" s="2027">
        <f t="shared" si="29"/>
        <v>0</v>
      </c>
      <c r="AS63" s="2029">
        <v>25</v>
      </c>
      <c r="AT63" s="2029">
        <f t="shared" si="13"/>
        <v>25</v>
      </c>
      <c r="AU63" s="2029">
        <f t="shared" si="13"/>
        <v>25</v>
      </c>
      <c r="AV63" s="2029">
        <f t="shared" si="13"/>
        <v>25</v>
      </c>
      <c r="AW63" s="1974"/>
      <c r="AX63" s="2029">
        <f t="shared" si="33"/>
        <v>0</v>
      </c>
      <c r="AY63" s="2029">
        <f t="shared" si="33"/>
        <v>0</v>
      </c>
      <c r="AZ63" s="2029">
        <f t="shared" si="33"/>
        <v>0</v>
      </c>
      <c r="BA63" s="2029">
        <v>150</v>
      </c>
      <c r="BB63" s="2029">
        <f t="shared" si="34"/>
        <v>150</v>
      </c>
      <c r="BC63" s="2029">
        <f t="shared" si="34"/>
        <v>150</v>
      </c>
      <c r="BD63" s="2029">
        <f t="shared" si="34"/>
        <v>150</v>
      </c>
      <c r="BE63" s="2030">
        <f t="shared" si="16"/>
        <v>25</v>
      </c>
      <c r="BF63" s="2030">
        <f t="shared" si="16"/>
        <v>25</v>
      </c>
      <c r="BG63" s="2030">
        <f t="shared" si="16"/>
        <v>25</v>
      </c>
      <c r="BH63" s="2030">
        <f t="shared" si="16"/>
        <v>25</v>
      </c>
      <c r="BI63" s="2030">
        <f t="shared" si="17"/>
        <v>0</v>
      </c>
      <c r="BJ63" s="2030">
        <f t="shared" si="17"/>
        <v>0</v>
      </c>
      <c r="BK63" s="2030">
        <f t="shared" si="17"/>
        <v>0</v>
      </c>
      <c r="BL63" s="2030">
        <f t="shared" si="17"/>
        <v>0</v>
      </c>
      <c r="BM63" s="2031"/>
      <c r="BN63" s="2031"/>
      <c r="BO63" s="2031"/>
      <c r="BP63" s="2031"/>
      <c r="BQ63" s="2031"/>
      <c r="BR63" s="2031"/>
      <c r="BS63" s="2031"/>
      <c r="BT63" s="2031"/>
      <c r="BU63" s="2029"/>
      <c r="BV63" s="2029"/>
      <c r="BW63" s="2029"/>
      <c r="BX63" s="2029"/>
      <c r="BY63" s="2029"/>
      <c r="BZ63" s="2032"/>
      <c r="CA63" s="1974"/>
      <c r="CB63" s="1974"/>
      <c r="CC63" s="1974"/>
      <c r="CD63" s="1974"/>
      <c r="CE63" s="1974">
        <v>0</v>
      </c>
      <c r="CF63" s="2033">
        <v>1.3207642850796131E-6</v>
      </c>
      <c r="CG63" s="2026">
        <v>0</v>
      </c>
      <c r="CH63" s="2009">
        <v>0</v>
      </c>
      <c r="CI63" s="2029">
        <v>0</v>
      </c>
      <c r="CK63" s="2029">
        <f t="shared" si="18"/>
        <v>0</v>
      </c>
      <c r="CL63" s="2034">
        <v>1</v>
      </c>
      <c r="CM63" s="2034">
        <v>1</v>
      </c>
      <c r="CN63" s="2034">
        <v>1</v>
      </c>
      <c r="CO63" s="2034">
        <v>1</v>
      </c>
      <c r="CP63" s="2035"/>
      <c r="CQ63" s="2036"/>
      <c r="CR63" s="2036"/>
      <c r="CS63" s="2049"/>
      <c r="CT63" s="2049"/>
      <c r="CU63" s="2049"/>
      <c r="CW63" s="1973">
        <v>0</v>
      </c>
      <c r="CX63" s="2037">
        <v>25</v>
      </c>
      <c r="CY63" s="2037">
        <v>25</v>
      </c>
      <c r="CZ63" s="2037">
        <v>25</v>
      </c>
      <c r="DA63" s="2037">
        <v>25</v>
      </c>
      <c r="DJ63" s="1976">
        <v>25</v>
      </c>
      <c r="DK63" s="1973">
        <v>25</v>
      </c>
      <c r="DL63" s="1973">
        <v>25</v>
      </c>
      <c r="DM63" s="1973">
        <v>25</v>
      </c>
      <c r="DO63" s="2023">
        <v>7</v>
      </c>
      <c r="DP63" s="2024">
        <v>372.14</v>
      </c>
      <c r="DQ63" s="2024">
        <v>0.12</v>
      </c>
      <c r="DR63" s="2023">
        <v>0</v>
      </c>
      <c r="DS63" s="2029">
        <v>25</v>
      </c>
      <c r="DT63" s="2029">
        <v>25</v>
      </c>
      <c r="DU63" s="2029">
        <v>25</v>
      </c>
      <c r="DV63" s="2029">
        <v>25</v>
      </c>
      <c r="DW63" s="1974"/>
      <c r="DX63" s="2029">
        <v>0</v>
      </c>
      <c r="DY63" s="2029">
        <v>0</v>
      </c>
      <c r="DZ63" s="2029">
        <v>0</v>
      </c>
      <c r="EA63" s="2029">
        <v>150</v>
      </c>
      <c r="EB63" s="2029">
        <v>150</v>
      </c>
      <c r="EC63" s="2029">
        <v>150</v>
      </c>
      <c r="ED63" s="2029">
        <v>150</v>
      </c>
      <c r="EE63" s="2039">
        <f t="shared" si="19"/>
        <v>0</v>
      </c>
      <c r="EF63" s="2039">
        <f t="shared" si="19"/>
        <v>0</v>
      </c>
      <c r="EG63" s="2039">
        <f t="shared" si="19"/>
        <v>0</v>
      </c>
      <c r="EH63" s="2039">
        <f t="shared" si="19"/>
        <v>0</v>
      </c>
      <c r="EI63" s="2040">
        <f t="shared" si="35"/>
        <v>0</v>
      </c>
      <c r="EJ63" s="2040">
        <f t="shared" si="35"/>
        <v>0</v>
      </c>
      <c r="EK63" s="2040">
        <f t="shared" si="35"/>
        <v>0</v>
      </c>
      <c r="EL63" s="2040">
        <f t="shared" ref="EL63:ET91" si="37">AV63-DV63</f>
        <v>0</v>
      </c>
      <c r="EM63" s="2040">
        <f t="shared" si="37"/>
        <v>0</v>
      </c>
      <c r="EN63" s="2040">
        <f t="shared" si="37"/>
        <v>0</v>
      </c>
      <c r="EO63" s="2040">
        <f t="shared" si="37"/>
        <v>0</v>
      </c>
      <c r="EP63" s="2040">
        <f t="shared" si="37"/>
        <v>0</v>
      </c>
      <c r="EQ63" s="2040">
        <f t="shared" si="37"/>
        <v>0</v>
      </c>
      <c r="ER63" s="2040">
        <f t="shared" si="37"/>
        <v>0</v>
      </c>
      <c r="ES63" s="2040">
        <f t="shared" si="37"/>
        <v>0</v>
      </c>
      <c r="ET63" s="2040">
        <f t="shared" si="37"/>
        <v>0</v>
      </c>
      <c r="EU63" s="2039">
        <f t="shared" si="21"/>
        <v>0</v>
      </c>
      <c r="EV63" s="2039">
        <f t="shared" si="22"/>
        <v>0</v>
      </c>
    </row>
    <row r="64" spans="1:152" x14ac:dyDescent="0.25">
      <c r="A64" s="2041" t="s">
        <v>123</v>
      </c>
      <c r="B64" s="2022" t="s">
        <v>2918</v>
      </c>
      <c r="C64" s="2023">
        <v>7</v>
      </c>
      <c r="D64" s="2024">
        <v>625.23</v>
      </c>
      <c r="E64" s="2024">
        <v>0.2</v>
      </c>
      <c r="F64" s="2023">
        <v>0</v>
      </c>
      <c r="G64" s="2026" t="s">
        <v>2899</v>
      </c>
      <c r="H64" s="2026" t="s">
        <v>2899</v>
      </c>
      <c r="I64" s="2026">
        <v>0.84899999999999998</v>
      </c>
      <c r="J64" s="2026">
        <v>0.84899999999999998</v>
      </c>
      <c r="K64" s="2026">
        <v>0.84899999999999998</v>
      </c>
      <c r="L64" s="2026">
        <v>0.84899999999999998</v>
      </c>
      <c r="M64" s="2027">
        <f t="shared" si="11"/>
        <v>530.82027000000005</v>
      </c>
      <c r="N64" s="2027">
        <f t="shared" si="11"/>
        <v>530.82027000000005</v>
      </c>
      <c r="O64" s="2027">
        <f t="shared" si="11"/>
        <v>530.82027000000005</v>
      </c>
      <c r="P64" s="2027">
        <f t="shared" si="11"/>
        <v>530.82027000000005</v>
      </c>
      <c r="Q64" s="2026">
        <v>0.84899999999999998</v>
      </c>
      <c r="R64" s="2026">
        <v>0.84899999999999998</v>
      </c>
      <c r="S64" s="2026">
        <v>0.84899999999999998</v>
      </c>
      <c r="T64" s="2026">
        <v>0.84899999999999998</v>
      </c>
      <c r="U64" s="2028">
        <f t="shared" si="12"/>
        <v>0.16980000000000001</v>
      </c>
      <c r="V64" s="2028">
        <f t="shared" si="12"/>
        <v>0.16980000000000001</v>
      </c>
      <c r="W64" s="2028">
        <f t="shared" si="12"/>
        <v>0.16980000000000001</v>
      </c>
      <c r="X64" s="2028">
        <f t="shared" si="12"/>
        <v>0.16980000000000001</v>
      </c>
      <c r="Y64" s="2026">
        <v>0.67500000000000004</v>
      </c>
      <c r="Z64" s="2026">
        <v>0.67500000000000004</v>
      </c>
      <c r="AA64" s="2026">
        <v>0.67500000000000004</v>
      </c>
      <c r="AB64" s="2026">
        <v>0.67500000000000004</v>
      </c>
      <c r="AC64" s="2027">
        <f t="shared" si="31"/>
        <v>0</v>
      </c>
      <c r="AD64" s="2027">
        <f t="shared" si="31"/>
        <v>0</v>
      </c>
      <c r="AE64" s="2027">
        <f t="shared" si="31"/>
        <v>0</v>
      </c>
      <c r="AF64" s="2027">
        <f t="shared" si="31"/>
        <v>0</v>
      </c>
      <c r="AG64" s="2027">
        <v>1</v>
      </c>
      <c r="AH64" s="2027">
        <v>1</v>
      </c>
      <c r="AI64" s="2027">
        <v>1</v>
      </c>
      <c r="AJ64" s="2027">
        <v>1</v>
      </c>
      <c r="AK64" s="2027">
        <f t="shared" si="27"/>
        <v>530.82027000000005</v>
      </c>
      <c r="AL64" s="2027">
        <f t="shared" si="32"/>
        <v>530.82027000000005</v>
      </c>
      <c r="AM64" s="2027">
        <f t="shared" si="32"/>
        <v>530.82027000000005</v>
      </c>
      <c r="AN64" s="2027">
        <f t="shared" si="32"/>
        <v>530.82027000000005</v>
      </c>
      <c r="AO64" s="2027">
        <f t="shared" si="28"/>
        <v>0</v>
      </c>
      <c r="AP64" s="2027">
        <f t="shared" si="36"/>
        <v>0</v>
      </c>
      <c r="AQ64" s="2027">
        <f t="shared" si="36"/>
        <v>0</v>
      </c>
      <c r="AR64" s="2027">
        <f t="shared" si="29"/>
        <v>0</v>
      </c>
      <c r="AS64" s="2029">
        <v>50</v>
      </c>
      <c r="AT64" s="2029">
        <f t="shared" si="13"/>
        <v>50</v>
      </c>
      <c r="AU64" s="2029">
        <f t="shared" si="13"/>
        <v>50</v>
      </c>
      <c r="AV64" s="2029">
        <f t="shared" si="13"/>
        <v>50</v>
      </c>
      <c r="AW64" s="1974"/>
      <c r="AX64" s="2029">
        <f t="shared" si="33"/>
        <v>0</v>
      </c>
      <c r="AY64" s="2029">
        <f t="shared" si="33"/>
        <v>0</v>
      </c>
      <c r="AZ64" s="2029">
        <f t="shared" si="33"/>
        <v>0</v>
      </c>
      <c r="BA64" s="2029">
        <v>150</v>
      </c>
      <c r="BB64" s="2029">
        <f t="shared" si="34"/>
        <v>150</v>
      </c>
      <c r="BC64" s="2029">
        <f t="shared" si="34"/>
        <v>150</v>
      </c>
      <c r="BD64" s="2029">
        <f t="shared" si="34"/>
        <v>150</v>
      </c>
      <c r="BE64" s="2030">
        <f t="shared" si="16"/>
        <v>50</v>
      </c>
      <c r="BF64" s="2030">
        <f t="shared" si="16"/>
        <v>50</v>
      </c>
      <c r="BG64" s="2030">
        <f t="shared" si="16"/>
        <v>50</v>
      </c>
      <c r="BH64" s="2030">
        <f t="shared" si="16"/>
        <v>50</v>
      </c>
      <c r="BI64" s="2030">
        <f t="shared" si="17"/>
        <v>0</v>
      </c>
      <c r="BJ64" s="2030">
        <f t="shared" si="17"/>
        <v>0</v>
      </c>
      <c r="BK64" s="2030">
        <f t="shared" si="17"/>
        <v>0</v>
      </c>
      <c r="BL64" s="2030">
        <f t="shared" si="17"/>
        <v>0</v>
      </c>
      <c r="BM64" s="2031"/>
      <c r="BN64" s="2031"/>
      <c r="BO64" s="2031"/>
      <c r="BP64" s="2031"/>
      <c r="BQ64" s="2031"/>
      <c r="BR64" s="2031"/>
      <c r="BS64" s="2031"/>
      <c r="BT64" s="2031"/>
      <c r="BU64" s="2029"/>
      <c r="BV64" s="2029"/>
      <c r="BW64" s="2029"/>
      <c r="BX64" s="2029"/>
      <c r="BY64" s="2029"/>
      <c r="BZ64" s="2032"/>
      <c r="CA64" s="1974"/>
      <c r="CB64" s="1974"/>
      <c r="CC64" s="1974"/>
      <c r="CD64" s="1974"/>
      <c r="CE64" s="1974">
        <v>0</v>
      </c>
      <c r="CF64" s="2033">
        <v>2.2190075078205154E-6</v>
      </c>
      <c r="CG64" s="2026">
        <v>0</v>
      </c>
      <c r="CH64" s="2009">
        <v>0</v>
      </c>
      <c r="CI64" s="2029">
        <v>0</v>
      </c>
      <c r="CK64" s="2029">
        <f t="shared" si="18"/>
        <v>0</v>
      </c>
      <c r="CL64" s="2034">
        <v>1</v>
      </c>
      <c r="CM64" s="2034">
        <v>1</v>
      </c>
      <c r="CN64" s="2034">
        <v>1</v>
      </c>
      <c r="CO64" s="2034">
        <v>1</v>
      </c>
      <c r="CP64" s="2035"/>
      <c r="CQ64" s="2036"/>
      <c r="CR64" s="2036"/>
      <c r="CS64" s="2049"/>
      <c r="CT64" s="2049"/>
      <c r="CU64" s="2049"/>
      <c r="CW64" s="1973">
        <v>0</v>
      </c>
      <c r="CX64" s="2037">
        <v>50</v>
      </c>
      <c r="CY64" s="2037">
        <v>50</v>
      </c>
      <c r="CZ64" s="2037">
        <v>50</v>
      </c>
      <c r="DA64" s="2037">
        <v>50</v>
      </c>
      <c r="DJ64" s="1976">
        <v>50</v>
      </c>
      <c r="DK64" s="1973">
        <v>50</v>
      </c>
      <c r="DL64" s="1973">
        <v>50</v>
      </c>
      <c r="DM64" s="1973">
        <v>50</v>
      </c>
      <c r="DO64" s="2023">
        <v>7</v>
      </c>
      <c r="DP64" s="2024">
        <v>625.23</v>
      </c>
      <c r="DQ64" s="2024">
        <v>0.2</v>
      </c>
      <c r="DR64" s="2023">
        <v>0</v>
      </c>
      <c r="DS64" s="2029">
        <v>50</v>
      </c>
      <c r="DT64" s="2029">
        <v>50</v>
      </c>
      <c r="DU64" s="2029">
        <v>50</v>
      </c>
      <c r="DV64" s="2029">
        <v>50</v>
      </c>
      <c r="DW64" s="1974"/>
      <c r="DX64" s="2029">
        <v>0</v>
      </c>
      <c r="DY64" s="2029">
        <v>0</v>
      </c>
      <c r="DZ64" s="2029">
        <v>0</v>
      </c>
      <c r="EA64" s="2029">
        <v>150</v>
      </c>
      <c r="EB64" s="2029">
        <v>150</v>
      </c>
      <c r="EC64" s="2029">
        <v>150</v>
      </c>
      <c r="ED64" s="2029">
        <v>150</v>
      </c>
      <c r="EE64" s="2039">
        <f t="shared" si="19"/>
        <v>0</v>
      </c>
      <c r="EF64" s="2039">
        <f t="shared" si="19"/>
        <v>0</v>
      </c>
      <c r="EG64" s="2039">
        <f t="shared" si="19"/>
        <v>0</v>
      </c>
      <c r="EH64" s="2039">
        <f t="shared" si="19"/>
        <v>0</v>
      </c>
      <c r="EI64" s="2040">
        <f t="shared" ref="EI64:EN120" si="38">AS64-DS64</f>
        <v>0</v>
      </c>
      <c r="EJ64" s="2040">
        <f t="shared" si="38"/>
        <v>0</v>
      </c>
      <c r="EK64" s="2040">
        <f t="shared" si="38"/>
        <v>0</v>
      </c>
      <c r="EL64" s="2040">
        <f t="shared" si="37"/>
        <v>0</v>
      </c>
      <c r="EM64" s="2040">
        <f t="shared" si="37"/>
        <v>0</v>
      </c>
      <c r="EN64" s="2040">
        <f t="shared" si="37"/>
        <v>0</v>
      </c>
      <c r="EO64" s="2040">
        <f t="shared" si="37"/>
        <v>0</v>
      </c>
      <c r="EP64" s="2040">
        <f t="shared" si="37"/>
        <v>0</v>
      </c>
      <c r="EQ64" s="2040">
        <f t="shared" si="37"/>
        <v>0</v>
      </c>
      <c r="ER64" s="2040">
        <f t="shared" si="37"/>
        <v>0</v>
      </c>
      <c r="ES64" s="2040">
        <f t="shared" si="37"/>
        <v>0</v>
      </c>
      <c r="ET64" s="2040">
        <f t="shared" si="37"/>
        <v>0</v>
      </c>
      <c r="EU64" s="2039">
        <f t="shared" si="21"/>
        <v>0</v>
      </c>
      <c r="EV64" s="2039">
        <f t="shared" si="22"/>
        <v>0</v>
      </c>
    </row>
    <row r="65" spans="1:152" x14ac:dyDescent="0.25">
      <c r="A65" s="2041" t="s">
        <v>124</v>
      </c>
      <c r="B65" s="2022" t="s">
        <v>2919</v>
      </c>
      <c r="C65" s="2023">
        <v>7</v>
      </c>
      <c r="D65" s="2024">
        <v>1122.3599999999999</v>
      </c>
      <c r="E65" s="2024">
        <v>0.36</v>
      </c>
      <c r="F65" s="2023">
        <v>0</v>
      </c>
      <c r="G65" s="2026" t="s">
        <v>2899</v>
      </c>
      <c r="H65" s="2026" t="s">
        <v>2899</v>
      </c>
      <c r="I65" s="2026">
        <v>0.84899999999999998</v>
      </c>
      <c r="J65" s="2026">
        <v>0.84899999999999998</v>
      </c>
      <c r="K65" s="2026">
        <v>0.84899999999999998</v>
      </c>
      <c r="L65" s="2026">
        <v>0.84899999999999998</v>
      </c>
      <c r="M65" s="2027">
        <f t="shared" si="11"/>
        <v>952.8836399999999</v>
      </c>
      <c r="N65" s="2027">
        <f t="shared" si="11"/>
        <v>952.8836399999999</v>
      </c>
      <c r="O65" s="2027">
        <f t="shared" si="11"/>
        <v>952.8836399999999</v>
      </c>
      <c r="P65" s="2027">
        <f t="shared" si="11"/>
        <v>952.8836399999999</v>
      </c>
      <c r="Q65" s="2026">
        <v>0.84899999999999998</v>
      </c>
      <c r="R65" s="2026">
        <v>0.84899999999999998</v>
      </c>
      <c r="S65" s="2026">
        <v>0.84899999999999998</v>
      </c>
      <c r="T65" s="2026">
        <v>0.84899999999999998</v>
      </c>
      <c r="U65" s="2028">
        <f t="shared" si="12"/>
        <v>0.30563999999999997</v>
      </c>
      <c r="V65" s="2028">
        <f t="shared" si="12"/>
        <v>0.30563999999999997</v>
      </c>
      <c r="W65" s="2028">
        <f t="shared" si="12"/>
        <v>0.30563999999999997</v>
      </c>
      <c r="X65" s="2028">
        <f t="shared" si="12"/>
        <v>0.30563999999999997</v>
      </c>
      <c r="Y65" s="2026">
        <v>0.67500000000000004</v>
      </c>
      <c r="Z65" s="2026">
        <v>0.67500000000000004</v>
      </c>
      <c r="AA65" s="2026">
        <v>0.67500000000000004</v>
      </c>
      <c r="AB65" s="2026">
        <v>0.67500000000000004</v>
      </c>
      <c r="AC65" s="2027">
        <f t="shared" si="31"/>
        <v>0</v>
      </c>
      <c r="AD65" s="2027">
        <f t="shared" si="31"/>
        <v>0</v>
      </c>
      <c r="AE65" s="2027">
        <f t="shared" si="31"/>
        <v>0</v>
      </c>
      <c r="AF65" s="2027">
        <f t="shared" si="31"/>
        <v>0</v>
      </c>
      <c r="AG65" s="2027">
        <v>1</v>
      </c>
      <c r="AH65" s="2027">
        <v>1</v>
      </c>
      <c r="AI65" s="2027">
        <v>1</v>
      </c>
      <c r="AJ65" s="2027">
        <v>1</v>
      </c>
      <c r="AK65" s="2027">
        <f t="shared" si="27"/>
        <v>952.8836399999999</v>
      </c>
      <c r="AL65" s="2027">
        <f t="shared" si="32"/>
        <v>952.8836399999999</v>
      </c>
      <c r="AM65" s="2027">
        <f t="shared" si="32"/>
        <v>952.8836399999999</v>
      </c>
      <c r="AN65" s="2027">
        <f t="shared" si="32"/>
        <v>952.8836399999999</v>
      </c>
      <c r="AO65" s="2027">
        <f t="shared" si="28"/>
        <v>0</v>
      </c>
      <c r="AP65" s="2027">
        <f t="shared" si="36"/>
        <v>0</v>
      </c>
      <c r="AQ65" s="2027">
        <f t="shared" si="36"/>
        <v>0</v>
      </c>
      <c r="AR65" s="2027">
        <f t="shared" si="29"/>
        <v>0</v>
      </c>
      <c r="AS65" s="2029">
        <v>100</v>
      </c>
      <c r="AT65" s="2029">
        <f t="shared" si="13"/>
        <v>100</v>
      </c>
      <c r="AU65" s="2029">
        <f t="shared" si="13"/>
        <v>100</v>
      </c>
      <c r="AV65" s="2029">
        <f t="shared" si="13"/>
        <v>100</v>
      </c>
      <c r="AW65" s="1974"/>
      <c r="AX65" s="2029">
        <f t="shared" si="33"/>
        <v>0</v>
      </c>
      <c r="AY65" s="2029">
        <f t="shared" si="33"/>
        <v>0</v>
      </c>
      <c r="AZ65" s="2029">
        <f t="shared" si="33"/>
        <v>0</v>
      </c>
      <c r="BA65" s="2029">
        <v>150</v>
      </c>
      <c r="BB65" s="2029">
        <f t="shared" si="34"/>
        <v>150</v>
      </c>
      <c r="BC65" s="2029">
        <f t="shared" si="34"/>
        <v>150</v>
      </c>
      <c r="BD65" s="2029">
        <f t="shared" si="34"/>
        <v>150</v>
      </c>
      <c r="BE65" s="2030">
        <f t="shared" si="16"/>
        <v>100</v>
      </c>
      <c r="BF65" s="2030">
        <f t="shared" si="16"/>
        <v>100</v>
      </c>
      <c r="BG65" s="2030">
        <f t="shared" si="16"/>
        <v>100</v>
      </c>
      <c r="BH65" s="2030">
        <f t="shared" si="16"/>
        <v>100</v>
      </c>
      <c r="BI65" s="2030">
        <f t="shared" si="17"/>
        <v>0</v>
      </c>
      <c r="BJ65" s="2030">
        <f t="shared" si="17"/>
        <v>0</v>
      </c>
      <c r="BK65" s="2030">
        <f t="shared" si="17"/>
        <v>0</v>
      </c>
      <c r="BL65" s="2030">
        <f t="shared" si="17"/>
        <v>0</v>
      </c>
      <c r="BM65" s="2031"/>
      <c r="BN65" s="2031"/>
      <c r="BO65" s="2031"/>
      <c r="BP65" s="2031"/>
      <c r="BQ65" s="2031"/>
      <c r="BR65" s="2031"/>
      <c r="BS65" s="2031"/>
      <c r="BT65" s="2031"/>
      <c r="BU65" s="2029"/>
      <c r="BV65" s="2029"/>
      <c r="BW65" s="2029"/>
      <c r="BX65" s="2029"/>
      <c r="BY65" s="2029"/>
      <c r="BZ65" s="2032"/>
      <c r="CA65" s="1974"/>
      <c r="CB65" s="1974"/>
      <c r="CC65" s="1974"/>
      <c r="CD65" s="1974"/>
      <c r="CE65" s="1974">
        <v>0</v>
      </c>
      <c r="CF65" s="2033">
        <v>3.9833745445315054E-6</v>
      </c>
      <c r="CG65" s="2026">
        <v>0</v>
      </c>
      <c r="CH65" s="2009">
        <v>0</v>
      </c>
      <c r="CI65" s="2029">
        <v>0</v>
      </c>
      <c r="CK65" s="2029">
        <f t="shared" si="18"/>
        <v>0</v>
      </c>
      <c r="CL65" s="2034">
        <v>1</v>
      </c>
      <c r="CM65" s="2034">
        <v>1</v>
      </c>
      <c r="CN65" s="2034">
        <v>1</v>
      </c>
      <c r="CO65" s="2034">
        <v>1</v>
      </c>
      <c r="CP65" s="2035"/>
      <c r="CQ65" s="2036"/>
      <c r="CR65" s="2036"/>
      <c r="CS65" s="2049"/>
      <c r="CT65" s="2049"/>
      <c r="CU65" s="2049"/>
      <c r="CW65" s="1973">
        <v>0</v>
      </c>
      <c r="CX65" s="2037">
        <v>100</v>
      </c>
      <c r="CY65" s="2037">
        <v>100</v>
      </c>
      <c r="CZ65" s="2037">
        <v>100</v>
      </c>
      <c r="DA65" s="2037">
        <v>100</v>
      </c>
      <c r="DJ65" s="1976">
        <v>100</v>
      </c>
      <c r="DK65" s="1973">
        <v>100</v>
      </c>
      <c r="DL65" s="1973">
        <v>100</v>
      </c>
      <c r="DM65" s="1973">
        <v>100</v>
      </c>
      <c r="DO65" s="2023">
        <v>7</v>
      </c>
      <c r="DP65" s="2024">
        <v>1122.3599999999999</v>
      </c>
      <c r="DQ65" s="2024">
        <v>0.36</v>
      </c>
      <c r="DR65" s="2023">
        <v>0</v>
      </c>
      <c r="DS65" s="2029">
        <v>100</v>
      </c>
      <c r="DT65" s="2029">
        <v>100</v>
      </c>
      <c r="DU65" s="2029">
        <v>100</v>
      </c>
      <c r="DV65" s="2029">
        <v>100</v>
      </c>
      <c r="DW65" s="1974"/>
      <c r="DX65" s="2029">
        <v>0</v>
      </c>
      <c r="DY65" s="2029">
        <v>0</v>
      </c>
      <c r="DZ65" s="2029">
        <v>0</v>
      </c>
      <c r="EA65" s="2029">
        <v>150</v>
      </c>
      <c r="EB65" s="2029">
        <v>150</v>
      </c>
      <c r="EC65" s="2029">
        <v>150</v>
      </c>
      <c r="ED65" s="2029">
        <v>150</v>
      </c>
      <c r="EE65" s="2039">
        <f t="shared" si="19"/>
        <v>0</v>
      </c>
      <c r="EF65" s="2039">
        <f t="shared" si="19"/>
        <v>0</v>
      </c>
      <c r="EG65" s="2039">
        <f t="shared" si="19"/>
        <v>0</v>
      </c>
      <c r="EH65" s="2039">
        <f t="shared" si="19"/>
        <v>0</v>
      </c>
      <c r="EI65" s="2040">
        <f t="shared" si="38"/>
        <v>0</v>
      </c>
      <c r="EJ65" s="2040">
        <f t="shared" si="38"/>
        <v>0</v>
      </c>
      <c r="EK65" s="2040">
        <f t="shared" si="38"/>
        <v>0</v>
      </c>
      <c r="EL65" s="2040">
        <f t="shared" si="37"/>
        <v>0</v>
      </c>
      <c r="EM65" s="2040">
        <f t="shared" si="37"/>
        <v>0</v>
      </c>
      <c r="EN65" s="2040">
        <f t="shared" si="37"/>
        <v>0</v>
      </c>
      <c r="EO65" s="2040">
        <f t="shared" si="37"/>
        <v>0</v>
      </c>
      <c r="EP65" s="2040">
        <f t="shared" si="37"/>
        <v>0</v>
      </c>
      <c r="EQ65" s="2040">
        <f t="shared" si="37"/>
        <v>0</v>
      </c>
      <c r="ER65" s="2040">
        <f t="shared" si="37"/>
        <v>0</v>
      </c>
      <c r="ES65" s="2040">
        <f t="shared" si="37"/>
        <v>0</v>
      </c>
      <c r="ET65" s="2040">
        <f t="shared" si="37"/>
        <v>0</v>
      </c>
      <c r="EU65" s="2039">
        <f t="shared" si="21"/>
        <v>0</v>
      </c>
      <c r="EV65" s="2039">
        <f t="shared" si="22"/>
        <v>0</v>
      </c>
    </row>
    <row r="66" spans="1:152" x14ac:dyDescent="0.25">
      <c r="A66" s="2041" t="s">
        <v>125</v>
      </c>
      <c r="B66" s="2022" t="s">
        <v>2920</v>
      </c>
      <c r="C66" s="2023">
        <v>7</v>
      </c>
      <c r="D66" s="2024">
        <v>372.14</v>
      </c>
      <c r="E66" s="2024">
        <v>0.12</v>
      </c>
      <c r="F66" s="2023">
        <v>0</v>
      </c>
      <c r="G66" s="2026" t="s">
        <v>2899</v>
      </c>
      <c r="H66" s="2026" t="s">
        <v>2899</v>
      </c>
      <c r="I66" s="2026">
        <v>0.84899999999999998</v>
      </c>
      <c r="J66" s="2026">
        <v>0.84899999999999998</v>
      </c>
      <c r="K66" s="2026">
        <v>0.84899999999999998</v>
      </c>
      <c r="L66" s="2026">
        <v>0.84899999999999998</v>
      </c>
      <c r="M66" s="2027">
        <f t="shared" si="11"/>
        <v>315.94685999999996</v>
      </c>
      <c r="N66" s="2027">
        <f t="shared" si="11"/>
        <v>315.94685999999996</v>
      </c>
      <c r="O66" s="2027">
        <f t="shared" si="11"/>
        <v>315.94685999999996</v>
      </c>
      <c r="P66" s="2027">
        <f t="shared" si="11"/>
        <v>315.94685999999996</v>
      </c>
      <c r="Q66" s="2026">
        <v>0.84899999999999998</v>
      </c>
      <c r="R66" s="2026">
        <v>0.84899999999999998</v>
      </c>
      <c r="S66" s="2026">
        <v>0.84899999999999998</v>
      </c>
      <c r="T66" s="2026">
        <v>0.84899999999999998</v>
      </c>
      <c r="U66" s="2028">
        <f t="shared" si="12"/>
        <v>0.10188</v>
      </c>
      <c r="V66" s="2028">
        <f t="shared" si="12"/>
        <v>0.10188</v>
      </c>
      <c r="W66" s="2028">
        <f t="shared" si="12"/>
        <v>0.10188</v>
      </c>
      <c r="X66" s="2028">
        <f t="shared" si="12"/>
        <v>0.10188</v>
      </c>
      <c r="Y66" s="2026">
        <v>0.67500000000000004</v>
      </c>
      <c r="Z66" s="2026">
        <v>0.67500000000000004</v>
      </c>
      <c r="AA66" s="2026">
        <v>0.67500000000000004</v>
      </c>
      <c r="AB66" s="2026">
        <v>0.67500000000000004</v>
      </c>
      <c r="AC66" s="2027">
        <f t="shared" si="31"/>
        <v>0</v>
      </c>
      <c r="AD66" s="2027">
        <f t="shared" si="31"/>
        <v>0</v>
      </c>
      <c r="AE66" s="2027">
        <f t="shared" si="31"/>
        <v>0</v>
      </c>
      <c r="AF66" s="2027">
        <f t="shared" si="31"/>
        <v>0</v>
      </c>
      <c r="AG66" s="2027">
        <v>1</v>
      </c>
      <c r="AH66" s="2027">
        <v>1</v>
      </c>
      <c r="AI66" s="2027">
        <v>1</v>
      </c>
      <c r="AJ66" s="2027">
        <v>1</v>
      </c>
      <c r="AK66" s="2027">
        <f t="shared" si="27"/>
        <v>315.94685999999996</v>
      </c>
      <c r="AL66" s="2027">
        <f t="shared" si="32"/>
        <v>315.94685999999996</v>
      </c>
      <c r="AM66" s="2027">
        <f t="shared" si="32"/>
        <v>315.94685999999996</v>
      </c>
      <c r="AN66" s="2027">
        <f t="shared" si="32"/>
        <v>315.94685999999996</v>
      </c>
      <c r="AO66" s="2027">
        <f t="shared" si="28"/>
        <v>0</v>
      </c>
      <c r="AP66" s="2027">
        <f t="shared" si="36"/>
        <v>0</v>
      </c>
      <c r="AQ66" s="2027">
        <f t="shared" si="36"/>
        <v>0</v>
      </c>
      <c r="AR66" s="2027">
        <f t="shared" si="29"/>
        <v>0</v>
      </c>
      <c r="AS66" s="2029">
        <v>25</v>
      </c>
      <c r="AT66" s="2029">
        <f t="shared" si="13"/>
        <v>25</v>
      </c>
      <c r="AU66" s="2029">
        <f t="shared" si="13"/>
        <v>25</v>
      </c>
      <c r="AV66" s="2029">
        <f t="shared" si="13"/>
        <v>25</v>
      </c>
      <c r="AW66" s="1974"/>
      <c r="AX66" s="2029">
        <f t="shared" si="33"/>
        <v>0</v>
      </c>
      <c r="AY66" s="2029">
        <f t="shared" si="33"/>
        <v>0</v>
      </c>
      <c r="AZ66" s="2029">
        <f t="shared" si="33"/>
        <v>0</v>
      </c>
      <c r="BA66" s="2029">
        <v>150</v>
      </c>
      <c r="BB66" s="2029">
        <f t="shared" si="34"/>
        <v>150</v>
      </c>
      <c r="BC66" s="2029">
        <f t="shared" si="34"/>
        <v>150</v>
      </c>
      <c r="BD66" s="2029">
        <f t="shared" si="34"/>
        <v>150</v>
      </c>
      <c r="BE66" s="2030">
        <f t="shared" si="16"/>
        <v>25</v>
      </c>
      <c r="BF66" s="2030">
        <f t="shared" si="16"/>
        <v>25</v>
      </c>
      <c r="BG66" s="2030">
        <f t="shared" si="16"/>
        <v>25</v>
      </c>
      <c r="BH66" s="2030">
        <f t="shared" si="16"/>
        <v>25</v>
      </c>
      <c r="BI66" s="2030">
        <f t="shared" si="17"/>
        <v>0</v>
      </c>
      <c r="BJ66" s="2030">
        <f t="shared" si="17"/>
        <v>0</v>
      </c>
      <c r="BK66" s="2030">
        <f t="shared" si="17"/>
        <v>0</v>
      </c>
      <c r="BL66" s="2030">
        <f t="shared" si="17"/>
        <v>0</v>
      </c>
      <c r="BM66" s="2031"/>
      <c r="BN66" s="2031"/>
      <c r="BO66" s="2031"/>
      <c r="BP66" s="2031"/>
      <c r="BQ66" s="2031"/>
      <c r="BR66" s="2031"/>
      <c r="BS66" s="2031"/>
      <c r="BT66" s="2031"/>
      <c r="BU66" s="2029"/>
      <c r="BV66" s="2029"/>
      <c r="BW66" s="2029"/>
      <c r="BX66" s="2029"/>
      <c r="BY66" s="2029"/>
      <c r="BZ66" s="2032"/>
      <c r="CA66" s="1974"/>
      <c r="CB66" s="1974"/>
      <c r="CC66" s="1974"/>
      <c r="CD66" s="1974"/>
      <c r="CE66" s="1974">
        <v>0</v>
      </c>
      <c r="CF66" s="2033">
        <v>1.3207642850796131E-6</v>
      </c>
      <c r="CG66" s="2026">
        <v>0</v>
      </c>
      <c r="CH66" s="2009">
        <v>0</v>
      </c>
      <c r="CI66" s="2029">
        <v>0</v>
      </c>
      <c r="CK66" s="2029">
        <f t="shared" si="18"/>
        <v>0</v>
      </c>
      <c r="CL66" s="2034">
        <v>1</v>
      </c>
      <c r="CM66" s="2034">
        <v>1</v>
      </c>
      <c r="CN66" s="2034">
        <v>1</v>
      </c>
      <c r="CO66" s="2034">
        <v>1</v>
      </c>
      <c r="CP66" s="2035"/>
      <c r="CQ66" s="2036"/>
      <c r="CR66" s="2036"/>
      <c r="CS66" s="2049"/>
      <c r="CT66" s="2049"/>
      <c r="CU66" s="2049"/>
      <c r="CW66" s="1973">
        <v>0</v>
      </c>
      <c r="CX66" s="2037">
        <v>25</v>
      </c>
      <c r="CY66" s="2037">
        <v>25</v>
      </c>
      <c r="CZ66" s="2037">
        <v>25</v>
      </c>
      <c r="DA66" s="2037">
        <v>25</v>
      </c>
      <c r="DJ66" s="1976">
        <v>25</v>
      </c>
      <c r="DK66" s="1973">
        <v>25</v>
      </c>
      <c r="DL66" s="1973">
        <v>25</v>
      </c>
      <c r="DM66" s="1973">
        <v>25</v>
      </c>
      <c r="DO66" s="2023">
        <v>7</v>
      </c>
      <c r="DP66" s="2024">
        <v>372.14</v>
      </c>
      <c r="DQ66" s="2024">
        <v>0.12</v>
      </c>
      <c r="DR66" s="2023">
        <v>0</v>
      </c>
      <c r="DS66" s="2029">
        <v>25</v>
      </c>
      <c r="DT66" s="2029">
        <v>25</v>
      </c>
      <c r="DU66" s="2029">
        <v>25</v>
      </c>
      <c r="DV66" s="2029">
        <v>25</v>
      </c>
      <c r="DW66" s="1974"/>
      <c r="DX66" s="2029">
        <v>0</v>
      </c>
      <c r="DY66" s="2029">
        <v>0</v>
      </c>
      <c r="DZ66" s="2029">
        <v>0</v>
      </c>
      <c r="EA66" s="2029">
        <v>150</v>
      </c>
      <c r="EB66" s="2029">
        <v>150</v>
      </c>
      <c r="EC66" s="2029">
        <v>150</v>
      </c>
      <c r="ED66" s="2029">
        <v>150</v>
      </c>
      <c r="EE66" s="2039">
        <f t="shared" si="19"/>
        <v>0</v>
      </c>
      <c r="EF66" s="2039">
        <f t="shared" si="19"/>
        <v>0</v>
      </c>
      <c r="EG66" s="2039">
        <f t="shared" si="19"/>
        <v>0</v>
      </c>
      <c r="EH66" s="2039">
        <f t="shared" si="19"/>
        <v>0</v>
      </c>
      <c r="EI66" s="2040">
        <f t="shared" si="38"/>
        <v>0</v>
      </c>
      <c r="EJ66" s="2040">
        <f t="shared" si="38"/>
        <v>0</v>
      </c>
      <c r="EK66" s="2040">
        <f t="shared" si="38"/>
        <v>0</v>
      </c>
      <c r="EL66" s="2040">
        <f t="shared" si="37"/>
        <v>0</v>
      </c>
      <c r="EM66" s="2040">
        <f t="shared" si="37"/>
        <v>0</v>
      </c>
      <c r="EN66" s="2040">
        <f t="shared" si="37"/>
        <v>0</v>
      </c>
      <c r="EO66" s="2040">
        <f t="shared" si="37"/>
        <v>0</v>
      </c>
      <c r="EP66" s="2040">
        <f t="shared" si="37"/>
        <v>0</v>
      </c>
      <c r="EQ66" s="2040">
        <f t="shared" si="37"/>
        <v>0</v>
      </c>
      <c r="ER66" s="2040">
        <f t="shared" si="37"/>
        <v>0</v>
      </c>
      <c r="ES66" s="2040">
        <f t="shared" si="37"/>
        <v>0</v>
      </c>
      <c r="ET66" s="2040">
        <f t="shared" si="37"/>
        <v>0</v>
      </c>
      <c r="EU66" s="2039">
        <f t="shared" si="21"/>
        <v>0</v>
      </c>
      <c r="EV66" s="2039">
        <f t="shared" si="22"/>
        <v>0</v>
      </c>
    </row>
    <row r="67" spans="1:152" x14ac:dyDescent="0.25">
      <c r="A67" s="2041" t="s">
        <v>126</v>
      </c>
      <c r="B67" s="2022" t="s">
        <v>2921</v>
      </c>
      <c r="C67" s="2023">
        <v>7</v>
      </c>
      <c r="D67" s="2024">
        <v>625.23</v>
      </c>
      <c r="E67" s="2024">
        <v>0.2</v>
      </c>
      <c r="F67" s="2023">
        <v>0</v>
      </c>
      <c r="G67" s="2026" t="s">
        <v>2899</v>
      </c>
      <c r="H67" s="2026" t="s">
        <v>2899</v>
      </c>
      <c r="I67" s="2026">
        <v>0.84899999999999998</v>
      </c>
      <c r="J67" s="2026">
        <v>0.84899999999999998</v>
      </c>
      <c r="K67" s="2026">
        <v>0.84899999999999998</v>
      </c>
      <c r="L67" s="2026">
        <v>0.84899999999999998</v>
      </c>
      <c r="M67" s="2027">
        <f t="shared" si="11"/>
        <v>530.82027000000005</v>
      </c>
      <c r="N67" s="2027">
        <f t="shared" si="11"/>
        <v>530.82027000000005</v>
      </c>
      <c r="O67" s="2027">
        <f t="shared" si="11"/>
        <v>530.82027000000005</v>
      </c>
      <c r="P67" s="2027">
        <f t="shared" si="11"/>
        <v>530.82027000000005</v>
      </c>
      <c r="Q67" s="2026">
        <v>0.84899999999999998</v>
      </c>
      <c r="R67" s="2026">
        <v>0.84899999999999998</v>
      </c>
      <c r="S67" s="2026">
        <v>0.84899999999999998</v>
      </c>
      <c r="T67" s="2026">
        <v>0.84899999999999998</v>
      </c>
      <c r="U67" s="2028">
        <f t="shared" si="12"/>
        <v>0.16980000000000001</v>
      </c>
      <c r="V67" s="2028">
        <f t="shared" si="12"/>
        <v>0.16980000000000001</v>
      </c>
      <c r="W67" s="2028">
        <f t="shared" si="12"/>
        <v>0.16980000000000001</v>
      </c>
      <c r="X67" s="2028">
        <f t="shared" si="12"/>
        <v>0.16980000000000001</v>
      </c>
      <c r="Y67" s="2026">
        <v>0.67500000000000004</v>
      </c>
      <c r="Z67" s="2026">
        <v>0.67500000000000004</v>
      </c>
      <c r="AA67" s="2026">
        <v>0.67500000000000004</v>
      </c>
      <c r="AB67" s="2026">
        <v>0.67500000000000004</v>
      </c>
      <c r="AC67" s="2027">
        <f t="shared" si="31"/>
        <v>0</v>
      </c>
      <c r="AD67" s="2027">
        <f t="shared" si="31"/>
        <v>0</v>
      </c>
      <c r="AE67" s="2027">
        <f t="shared" si="31"/>
        <v>0</v>
      </c>
      <c r="AF67" s="2027">
        <f t="shared" si="31"/>
        <v>0</v>
      </c>
      <c r="AG67" s="2027">
        <v>1</v>
      </c>
      <c r="AH67" s="2027">
        <v>1</v>
      </c>
      <c r="AI67" s="2027">
        <v>1</v>
      </c>
      <c r="AJ67" s="2027">
        <v>1</v>
      </c>
      <c r="AK67" s="2027">
        <f t="shared" si="27"/>
        <v>530.82027000000005</v>
      </c>
      <c r="AL67" s="2027">
        <f t="shared" si="32"/>
        <v>530.82027000000005</v>
      </c>
      <c r="AM67" s="2027">
        <f t="shared" si="32"/>
        <v>530.82027000000005</v>
      </c>
      <c r="AN67" s="2027">
        <f t="shared" si="32"/>
        <v>530.82027000000005</v>
      </c>
      <c r="AO67" s="2027">
        <f t="shared" si="28"/>
        <v>0</v>
      </c>
      <c r="AP67" s="2027">
        <f t="shared" si="36"/>
        <v>0</v>
      </c>
      <c r="AQ67" s="2027">
        <f t="shared" si="36"/>
        <v>0</v>
      </c>
      <c r="AR67" s="2027">
        <f t="shared" si="29"/>
        <v>0</v>
      </c>
      <c r="AS67" s="2029">
        <v>50</v>
      </c>
      <c r="AT67" s="2029">
        <f t="shared" si="13"/>
        <v>50</v>
      </c>
      <c r="AU67" s="2029">
        <f t="shared" si="13"/>
        <v>50</v>
      </c>
      <c r="AV67" s="2029">
        <f t="shared" si="13"/>
        <v>50</v>
      </c>
      <c r="AW67" s="1974"/>
      <c r="AX67" s="2029">
        <f t="shared" si="33"/>
        <v>0</v>
      </c>
      <c r="AY67" s="2029">
        <f t="shared" si="33"/>
        <v>0</v>
      </c>
      <c r="AZ67" s="2029">
        <f t="shared" si="33"/>
        <v>0</v>
      </c>
      <c r="BA67" s="2029">
        <v>150</v>
      </c>
      <c r="BB67" s="2029">
        <f t="shared" si="34"/>
        <v>150</v>
      </c>
      <c r="BC67" s="2029">
        <f t="shared" si="34"/>
        <v>150</v>
      </c>
      <c r="BD67" s="2029">
        <f t="shared" si="34"/>
        <v>150</v>
      </c>
      <c r="BE67" s="2030">
        <f t="shared" si="16"/>
        <v>50</v>
      </c>
      <c r="BF67" s="2030">
        <f t="shared" si="16"/>
        <v>50</v>
      </c>
      <c r="BG67" s="2030">
        <f t="shared" si="16"/>
        <v>50</v>
      </c>
      <c r="BH67" s="2030">
        <f t="shared" si="16"/>
        <v>50</v>
      </c>
      <c r="BI67" s="2030">
        <f t="shared" si="17"/>
        <v>0</v>
      </c>
      <c r="BJ67" s="2030">
        <f t="shared" si="17"/>
        <v>0</v>
      </c>
      <c r="BK67" s="2030">
        <f t="shared" si="17"/>
        <v>0</v>
      </c>
      <c r="BL67" s="2030">
        <f t="shared" si="17"/>
        <v>0</v>
      </c>
      <c r="BM67" s="2031"/>
      <c r="BN67" s="2031"/>
      <c r="BO67" s="2031"/>
      <c r="BP67" s="2031"/>
      <c r="BQ67" s="2031"/>
      <c r="BR67" s="2031"/>
      <c r="BS67" s="2031"/>
      <c r="BT67" s="2031"/>
      <c r="BU67" s="2029"/>
      <c r="BV67" s="2029"/>
      <c r="BW67" s="2029"/>
      <c r="BX67" s="2029"/>
      <c r="BY67" s="2029"/>
      <c r="BZ67" s="2032"/>
      <c r="CA67" s="1974"/>
      <c r="CB67" s="1974"/>
      <c r="CC67" s="1974"/>
      <c r="CD67" s="1974"/>
      <c r="CE67" s="1974">
        <v>0</v>
      </c>
      <c r="CF67" s="2033">
        <v>2.2190075078205154E-6</v>
      </c>
      <c r="CG67" s="2026">
        <v>0</v>
      </c>
      <c r="CH67" s="2009">
        <v>0</v>
      </c>
      <c r="CI67" s="2029">
        <v>0</v>
      </c>
      <c r="CK67" s="2029">
        <f t="shared" si="18"/>
        <v>0</v>
      </c>
      <c r="CL67" s="2034">
        <v>1</v>
      </c>
      <c r="CM67" s="2034">
        <v>1</v>
      </c>
      <c r="CN67" s="2034">
        <v>1</v>
      </c>
      <c r="CO67" s="2034">
        <v>1</v>
      </c>
      <c r="CP67" s="2035"/>
      <c r="CQ67" s="2036"/>
      <c r="CR67" s="2036"/>
      <c r="CS67" s="2049"/>
      <c r="CT67" s="2049"/>
      <c r="CU67" s="2049"/>
      <c r="CW67" s="1973">
        <v>0</v>
      </c>
      <c r="CX67" s="2037">
        <v>50</v>
      </c>
      <c r="CY67" s="2037">
        <v>50</v>
      </c>
      <c r="CZ67" s="2037">
        <v>50</v>
      </c>
      <c r="DA67" s="2037">
        <v>50</v>
      </c>
      <c r="DJ67" s="1976">
        <v>50</v>
      </c>
      <c r="DK67" s="1973">
        <v>50</v>
      </c>
      <c r="DL67" s="1973">
        <v>50</v>
      </c>
      <c r="DM67" s="1973">
        <v>50</v>
      </c>
      <c r="DO67" s="2023">
        <v>7</v>
      </c>
      <c r="DP67" s="2024">
        <v>625.23</v>
      </c>
      <c r="DQ67" s="2024">
        <v>0.2</v>
      </c>
      <c r="DR67" s="2023">
        <v>0</v>
      </c>
      <c r="DS67" s="2029">
        <v>50</v>
      </c>
      <c r="DT67" s="2029">
        <v>50</v>
      </c>
      <c r="DU67" s="2029">
        <v>50</v>
      </c>
      <c r="DV67" s="2029">
        <v>50</v>
      </c>
      <c r="DW67" s="1974"/>
      <c r="DX67" s="2029">
        <v>0</v>
      </c>
      <c r="DY67" s="2029">
        <v>0</v>
      </c>
      <c r="DZ67" s="2029">
        <v>0</v>
      </c>
      <c r="EA67" s="2029">
        <v>150</v>
      </c>
      <c r="EB67" s="2029">
        <v>150</v>
      </c>
      <c r="EC67" s="2029">
        <v>150</v>
      </c>
      <c r="ED67" s="2029">
        <v>150</v>
      </c>
      <c r="EE67" s="2039">
        <f t="shared" si="19"/>
        <v>0</v>
      </c>
      <c r="EF67" s="2039">
        <f t="shared" si="19"/>
        <v>0</v>
      </c>
      <c r="EG67" s="2039">
        <f t="shared" si="19"/>
        <v>0</v>
      </c>
      <c r="EH67" s="2039">
        <f t="shared" si="19"/>
        <v>0</v>
      </c>
      <c r="EI67" s="2040">
        <f t="shared" si="38"/>
        <v>0</v>
      </c>
      <c r="EJ67" s="2040">
        <f t="shared" si="38"/>
        <v>0</v>
      </c>
      <c r="EK67" s="2040">
        <f t="shared" si="38"/>
        <v>0</v>
      </c>
      <c r="EL67" s="2040">
        <f t="shared" si="37"/>
        <v>0</v>
      </c>
      <c r="EM67" s="2040">
        <f t="shared" si="37"/>
        <v>0</v>
      </c>
      <c r="EN67" s="2040">
        <f t="shared" si="37"/>
        <v>0</v>
      </c>
      <c r="EO67" s="2040">
        <f t="shared" si="37"/>
        <v>0</v>
      </c>
      <c r="EP67" s="2040">
        <f t="shared" si="37"/>
        <v>0</v>
      </c>
      <c r="EQ67" s="2040">
        <f t="shared" si="37"/>
        <v>0</v>
      </c>
      <c r="ER67" s="2040">
        <f t="shared" si="37"/>
        <v>0</v>
      </c>
      <c r="ES67" s="2040">
        <f t="shared" si="37"/>
        <v>0</v>
      </c>
      <c r="ET67" s="2040">
        <f t="shared" si="37"/>
        <v>0</v>
      </c>
      <c r="EU67" s="2039">
        <f t="shared" si="21"/>
        <v>0</v>
      </c>
      <c r="EV67" s="2039">
        <f t="shared" si="22"/>
        <v>0</v>
      </c>
    </row>
    <row r="68" spans="1:152" x14ac:dyDescent="0.25">
      <c r="A68" s="2041" t="s">
        <v>127</v>
      </c>
      <c r="B68" s="2022" t="s">
        <v>2922</v>
      </c>
      <c r="C68" s="2023">
        <v>7</v>
      </c>
      <c r="D68" s="2024">
        <v>1122.3599999999999</v>
      </c>
      <c r="E68" s="2024">
        <v>0.36</v>
      </c>
      <c r="F68" s="2023">
        <v>0</v>
      </c>
      <c r="G68" s="2026" t="s">
        <v>2899</v>
      </c>
      <c r="H68" s="2026" t="s">
        <v>2899</v>
      </c>
      <c r="I68" s="2026">
        <v>0.84899999999999998</v>
      </c>
      <c r="J68" s="2026">
        <v>0.84899999999999998</v>
      </c>
      <c r="K68" s="2026">
        <v>0.84899999999999998</v>
      </c>
      <c r="L68" s="2026">
        <v>0.84899999999999998</v>
      </c>
      <c r="M68" s="2027">
        <f t="shared" si="11"/>
        <v>952.8836399999999</v>
      </c>
      <c r="N68" s="2027">
        <f t="shared" si="11"/>
        <v>952.8836399999999</v>
      </c>
      <c r="O68" s="2027">
        <f t="shared" si="11"/>
        <v>952.8836399999999</v>
      </c>
      <c r="P68" s="2027">
        <f t="shared" si="11"/>
        <v>952.8836399999999</v>
      </c>
      <c r="Q68" s="2026">
        <v>0.84899999999999998</v>
      </c>
      <c r="R68" s="2026">
        <v>0.84899999999999998</v>
      </c>
      <c r="S68" s="2026">
        <v>0.84899999999999998</v>
      </c>
      <c r="T68" s="2026">
        <v>0.84899999999999998</v>
      </c>
      <c r="U68" s="2028">
        <f t="shared" si="12"/>
        <v>0.30563999999999997</v>
      </c>
      <c r="V68" s="2028">
        <f t="shared" si="12"/>
        <v>0.30563999999999997</v>
      </c>
      <c r="W68" s="2028">
        <f t="shared" si="12"/>
        <v>0.30563999999999997</v>
      </c>
      <c r="X68" s="2028">
        <f t="shared" si="12"/>
        <v>0.30563999999999997</v>
      </c>
      <c r="Y68" s="2026">
        <v>0.67500000000000004</v>
      </c>
      <c r="Z68" s="2026">
        <v>0.67500000000000004</v>
      </c>
      <c r="AA68" s="2026">
        <v>0.67500000000000004</v>
      </c>
      <c r="AB68" s="2026">
        <v>0.67500000000000004</v>
      </c>
      <c r="AC68" s="2027">
        <f t="shared" si="31"/>
        <v>0</v>
      </c>
      <c r="AD68" s="2027">
        <f t="shared" si="31"/>
        <v>0</v>
      </c>
      <c r="AE68" s="2027">
        <f t="shared" si="31"/>
        <v>0</v>
      </c>
      <c r="AF68" s="2027">
        <f t="shared" si="31"/>
        <v>0</v>
      </c>
      <c r="AG68" s="2027">
        <v>1</v>
      </c>
      <c r="AH68" s="2027">
        <v>1</v>
      </c>
      <c r="AI68" s="2027">
        <v>1</v>
      </c>
      <c r="AJ68" s="2027">
        <v>1</v>
      </c>
      <c r="AK68" s="2027">
        <f t="shared" si="27"/>
        <v>952.8836399999999</v>
      </c>
      <c r="AL68" s="2027">
        <f t="shared" si="32"/>
        <v>952.8836399999999</v>
      </c>
      <c r="AM68" s="2027">
        <f t="shared" si="32"/>
        <v>952.8836399999999</v>
      </c>
      <c r="AN68" s="2027">
        <f t="shared" si="32"/>
        <v>952.8836399999999</v>
      </c>
      <c r="AO68" s="2027">
        <f t="shared" si="28"/>
        <v>0</v>
      </c>
      <c r="AP68" s="2027">
        <f t="shared" si="36"/>
        <v>0</v>
      </c>
      <c r="AQ68" s="2027">
        <f t="shared" si="36"/>
        <v>0</v>
      </c>
      <c r="AR68" s="2027">
        <f t="shared" si="29"/>
        <v>0</v>
      </c>
      <c r="AS68" s="2029">
        <v>100</v>
      </c>
      <c r="AT68" s="2029">
        <f t="shared" si="13"/>
        <v>100</v>
      </c>
      <c r="AU68" s="2029">
        <f t="shared" si="13"/>
        <v>100</v>
      </c>
      <c r="AV68" s="2029">
        <f t="shared" si="13"/>
        <v>100</v>
      </c>
      <c r="AW68" s="1974"/>
      <c r="AX68" s="2029">
        <f t="shared" si="33"/>
        <v>0</v>
      </c>
      <c r="AY68" s="2029">
        <f t="shared" si="33"/>
        <v>0</v>
      </c>
      <c r="AZ68" s="2029">
        <f t="shared" si="33"/>
        <v>0</v>
      </c>
      <c r="BA68" s="2029">
        <v>150</v>
      </c>
      <c r="BB68" s="2029">
        <f t="shared" si="34"/>
        <v>150</v>
      </c>
      <c r="BC68" s="2029">
        <f t="shared" si="34"/>
        <v>150</v>
      </c>
      <c r="BD68" s="2029">
        <f t="shared" si="34"/>
        <v>150</v>
      </c>
      <c r="BE68" s="2030">
        <f t="shared" si="16"/>
        <v>100</v>
      </c>
      <c r="BF68" s="2030">
        <f t="shared" si="16"/>
        <v>100</v>
      </c>
      <c r="BG68" s="2030">
        <f t="shared" si="16"/>
        <v>100</v>
      </c>
      <c r="BH68" s="2030">
        <f t="shared" si="16"/>
        <v>100</v>
      </c>
      <c r="BI68" s="2030">
        <f t="shared" si="17"/>
        <v>0</v>
      </c>
      <c r="BJ68" s="2030">
        <f t="shared" si="17"/>
        <v>0</v>
      </c>
      <c r="BK68" s="2030">
        <f t="shared" si="17"/>
        <v>0</v>
      </c>
      <c r="BL68" s="2030">
        <f t="shared" si="17"/>
        <v>0</v>
      </c>
      <c r="BM68" s="2031"/>
      <c r="BN68" s="2031"/>
      <c r="BO68" s="2031"/>
      <c r="BP68" s="2031"/>
      <c r="BQ68" s="2031"/>
      <c r="BR68" s="2031"/>
      <c r="BS68" s="2031"/>
      <c r="BT68" s="2031"/>
      <c r="BU68" s="2029"/>
      <c r="BV68" s="2029"/>
      <c r="BW68" s="2029"/>
      <c r="BX68" s="2029"/>
      <c r="BY68" s="2029"/>
      <c r="BZ68" s="2032"/>
      <c r="CA68" s="1974"/>
      <c r="CB68" s="1974"/>
      <c r="CC68" s="1974"/>
      <c r="CD68" s="1974"/>
      <c r="CE68" s="1974">
        <v>0</v>
      </c>
      <c r="CF68" s="2033">
        <v>3.9833745445315054E-6</v>
      </c>
      <c r="CG68" s="2026">
        <v>0</v>
      </c>
      <c r="CH68" s="2009">
        <v>0</v>
      </c>
      <c r="CI68" s="2029">
        <v>0</v>
      </c>
      <c r="CK68" s="2029">
        <f t="shared" si="18"/>
        <v>0</v>
      </c>
      <c r="CL68" s="2034">
        <v>1</v>
      </c>
      <c r="CM68" s="2034">
        <v>1</v>
      </c>
      <c r="CN68" s="2034">
        <v>1</v>
      </c>
      <c r="CO68" s="2034">
        <v>1</v>
      </c>
      <c r="CP68" s="2035"/>
      <c r="CQ68" s="2036"/>
      <c r="CR68" s="2036"/>
      <c r="CS68" s="2049"/>
      <c r="CT68" s="2049"/>
      <c r="CU68" s="2049"/>
      <c r="CW68" s="1973">
        <v>0</v>
      </c>
      <c r="CX68" s="2037">
        <v>100</v>
      </c>
      <c r="CY68" s="2037">
        <v>100</v>
      </c>
      <c r="CZ68" s="2037">
        <v>100</v>
      </c>
      <c r="DA68" s="2037">
        <v>100</v>
      </c>
      <c r="DJ68" s="1976">
        <v>100</v>
      </c>
      <c r="DK68" s="1973">
        <v>100</v>
      </c>
      <c r="DL68" s="1973">
        <v>100</v>
      </c>
      <c r="DM68" s="1973">
        <v>100</v>
      </c>
      <c r="DO68" s="2023">
        <v>7</v>
      </c>
      <c r="DP68" s="2024">
        <v>1122.3599999999999</v>
      </c>
      <c r="DQ68" s="2024">
        <v>0.36</v>
      </c>
      <c r="DR68" s="2023">
        <v>0</v>
      </c>
      <c r="DS68" s="2029">
        <v>100</v>
      </c>
      <c r="DT68" s="2029">
        <v>100</v>
      </c>
      <c r="DU68" s="2029">
        <v>100</v>
      </c>
      <c r="DV68" s="2029">
        <v>100</v>
      </c>
      <c r="DW68" s="1974"/>
      <c r="DX68" s="2029">
        <v>0</v>
      </c>
      <c r="DY68" s="2029">
        <v>0</v>
      </c>
      <c r="DZ68" s="2029">
        <v>0</v>
      </c>
      <c r="EA68" s="2029">
        <v>150</v>
      </c>
      <c r="EB68" s="2029">
        <v>150</v>
      </c>
      <c r="EC68" s="2029">
        <v>150</v>
      </c>
      <c r="ED68" s="2029">
        <v>150</v>
      </c>
      <c r="EE68" s="2039">
        <f t="shared" si="19"/>
        <v>0</v>
      </c>
      <c r="EF68" s="2039">
        <f t="shared" si="19"/>
        <v>0</v>
      </c>
      <c r="EG68" s="2039">
        <f t="shared" si="19"/>
        <v>0</v>
      </c>
      <c r="EH68" s="2039">
        <f t="shared" si="19"/>
        <v>0</v>
      </c>
      <c r="EI68" s="2040">
        <f t="shared" si="38"/>
        <v>0</v>
      </c>
      <c r="EJ68" s="2040">
        <f t="shared" si="38"/>
        <v>0</v>
      </c>
      <c r="EK68" s="2040">
        <f t="shared" si="38"/>
        <v>0</v>
      </c>
      <c r="EL68" s="2040">
        <f t="shared" si="37"/>
        <v>0</v>
      </c>
      <c r="EM68" s="2040">
        <f t="shared" si="37"/>
        <v>0</v>
      </c>
      <c r="EN68" s="2040">
        <f t="shared" si="37"/>
        <v>0</v>
      </c>
      <c r="EO68" s="2040">
        <f t="shared" si="37"/>
        <v>0</v>
      </c>
      <c r="EP68" s="2040">
        <f t="shared" si="37"/>
        <v>0</v>
      </c>
      <c r="EQ68" s="2040">
        <f t="shared" si="37"/>
        <v>0</v>
      </c>
      <c r="ER68" s="2040">
        <f t="shared" si="37"/>
        <v>0</v>
      </c>
      <c r="ES68" s="2040">
        <f t="shared" si="37"/>
        <v>0</v>
      </c>
      <c r="ET68" s="2040">
        <f t="shared" si="37"/>
        <v>0</v>
      </c>
      <c r="EU68" s="2039">
        <f t="shared" si="21"/>
        <v>0</v>
      </c>
      <c r="EV68" s="2039">
        <f t="shared" si="22"/>
        <v>0</v>
      </c>
    </row>
    <row r="69" spans="1:152" x14ac:dyDescent="0.25">
      <c r="A69" s="2041" t="s">
        <v>224</v>
      </c>
      <c r="B69" s="2022" t="s">
        <v>2923</v>
      </c>
      <c r="C69" s="2023">
        <v>10</v>
      </c>
      <c r="D69" s="2024">
        <v>10018.219999999999</v>
      </c>
      <c r="E69" s="2024">
        <v>3.6679999999999997</v>
      </c>
      <c r="F69" s="2023">
        <v>0</v>
      </c>
      <c r="G69" s="2026" t="s">
        <v>2899</v>
      </c>
      <c r="H69" s="2026" t="s">
        <v>2899</v>
      </c>
      <c r="I69" s="2026">
        <v>0.84899999999999998</v>
      </c>
      <c r="J69" s="2026">
        <v>0.84899999999999998</v>
      </c>
      <c r="K69" s="2026">
        <v>0.84899999999999998</v>
      </c>
      <c r="L69" s="2026">
        <v>0.84899999999999998</v>
      </c>
      <c r="M69" s="2027">
        <f t="shared" si="11"/>
        <v>8505.4687799999992</v>
      </c>
      <c r="N69" s="2027">
        <f t="shared" si="11"/>
        <v>8505.4687799999992</v>
      </c>
      <c r="O69" s="2027">
        <f t="shared" si="11"/>
        <v>8505.4687799999992</v>
      </c>
      <c r="P69" s="2027">
        <f t="shared" si="11"/>
        <v>8505.4687799999992</v>
      </c>
      <c r="Q69" s="2026">
        <v>0.84899999999999998</v>
      </c>
      <c r="R69" s="2026">
        <v>0.84899999999999998</v>
      </c>
      <c r="S69" s="2026">
        <v>0.84899999999999998</v>
      </c>
      <c r="T69" s="2026">
        <v>0.84899999999999998</v>
      </c>
      <c r="U69" s="2028">
        <f t="shared" si="12"/>
        <v>3.1141319999999997</v>
      </c>
      <c r="V69" s="2028">
        <f t="shared" si="12"/>
        <v>3.1141319999999997</v>
      </c>
      <c r="W69" s="2028">
        <f t="shared" si="12"/>
        <v>3.1141319999999997</v>
      </c>
      <c r="X69" s="2028">
        <f t="shared" si="12"/>
        <v>3.1141319999999997</v>
      </c>
      <c r="Y69" s="2026">
        <v>0.67500000000000004</v>
      </c>
      <c r="Z69" s="2026">
        <v>0.67500000000000004</v>
      </c>
      <c r="AA69" s="2026">
        <v>0.67500000000000004</v>
      </c>
      <c r="AB69" s="2026">
        <v>0.67500000000000004</v>
      </c>
      <c r="AC69" s="2027">
        <f t="shared" si="31"/>
        <v>0</v>
      </c>
      <c r="AD69" s="2027">
        <f t="shared" si="31"/>
        <v>0</v>
      </c>
      <c r="AE69" s="2027">
        <f t="shared" si="31"/>
        <v>0</v>
      </c>
      <c r="AF69" s="2027">
        <f t="shared" si="31"/>
        <v>0</v>
      </c>
      <c r="AG69" s="2027">
        <v>0</v>
      </c>
      <c r="AH69" s="2027">
        <v>1</v>
      </c>
      <c r="AI69" s="2027">
        <v>1</v>
      </c>
      <c r="AJ69" s="2027">
        <v>0</v>
      </c>
      <c r="AK69" s="2027">
        <f t="shared" si="27"/>
        <v>0</v>
      </c>
      <c r="AL69" s="2027">
        <f t="shared" si="32"/>
        <v>8505.4687799999992</v>
      </c>
      <c r="AM69" s="2027">
        <f t="shared" si="32"/>
        <v>8505.4687799999992</v>
      </c>
      <c r="AN69" s="2027">
        <f t="shared" si="32"/>
        <v>0</v>
      </c>
      <c r="AO69" s="2027">
        <f t="shared" si="28"/>
        <v>0</v>
      </c>
      <c r="AP69" s="2027">
        <f t="shared" si="36"/>
        <v>0</v>
      </c>
      <c r="AQ69" s="2027">
        <f t="shared" si="36"/>
        <v>0</v>
      </c>
      <c r="AR69" s="2027">
        <f t="shared" si="29"/>
        <v>0</v>
      </c>
      <c r="AS69" s="2029">
        <v>1000</v>
      </c>
      <c r="AT69" s="2029">
        <f t="shared" si="13"/>
        <v>1000</v>
      </c>
      <c r="AU69" s="2029">
        <f t="shared" si="13"/>
        <v>1000</v>
      </c>
      <c r="AV69" s="2029">
        <f t="shared" si="13"/>
        <v>1000</v>
      </c>
      <c r="AW69" s="1974"/>
      <c r="AX69" s="2029">
        <f t="shared" si="33"/>
        <v>0</v>
      </c>
      <c r="AY69" s="2029">
        <f t="shared" si="33"/>
        <v>0</v>
      </c>
      <c r="AZ69" s="2029">
        <f t="shared" si="33"/>
        <v>0</v>
      </c>
      <c r="BA69" s="2029">
        <v>4185</v>
      </c>
      <c r="BB69" s="2029">
        <f t="shared" si="34"/>
        <v>4185</v>
      </c>
      <c r="BC69" s="2029">
        <f t="shared" si="34"/>
        <v>4185</v>
      </c>
      <c r="BD69" s="2029">
        <f t="shared" si="34"/>
        <v>4185</v>
      </c>
      <c r="BE69" s="2030">
        <f t="shared" si="16"/>
        <v>0</v>
      </c>
      <c r="BF69" s="2030">
        <f t="shared" si="16"/>
        <v>1000</v>
      </c>
      <c r="BG69" s="2030">
        <f t="shared" si="16"/>
        <v>1000</v>
      </c>
      <c r="BH69" s="2030">
        <f t="shared" si="16"/>
        <v>0</v>
      </c>
      <c r="BI69" s="2030">
        <f t="shared" si="17"/>
        <v>0</v>
      </c>
      <c r="BJ69" s="2030">
        <f t="shared" si="17"/>
        <v>0</v>
      </c>
      <c r="BK69" s="2030">
        <f t="shared" si="17"/>
        <v>0</v>
      </c>
      <c r="BL69" s="2030">
        <f t="shared" si="17"/>
        <v>0</v>
      </c>
      <c r="BM69" s="2031"/>
      <c r="BN69" s="2031"/>
      <c r="BO69" s="2031"/>
      <c r="BP69" s="2031"/>
      <c r="BQ69" s="2031"/>
      <c r="BR69" s="2031"/>
      <c r="BS69" s="2031"/>
      <c r="BT69" s="2031"/>
      <c r="BU69" s="2029"/>
      <c r="BV69" s="2029"/>
      <c r="BW69" s="2029"/>
      <c r="BX69" s="2029"/>
      <c r="BY69" s="2029"/>
      <c r="BZ69" s="2032"/>
      <c r="CA69" s="1974"/>
      <c r="CB69" s="1974"/>
      <c r="CC69" s="1974"/>
      <c r="CD69" s="1974"/>
      <c r="CE69" s="1974">
        <v>0</v>
      </c>
      <c r="CF69" s="2033">
        <v>0</v>
      </c>
      <c r="CG69" s="2026">
        <v>0</v>
      </c>
      <c r="CH69" s="2009">
        <v>0</v>
      </c>
      <c r="CI69" s="2029">
        <v>0</v>
      </c>
      <c r="CK69" s="2029">
        <f t="shared" si="18"/>
        <v>0</v>
      </c>
      <c r="CL69" s="2034">
        <v>1</v>
      </c>
      <c r="CM69" s="2034">
        <v>1</v>
      </c>
      <c r="CN69" s="2034">
        <v>1</v>
      </c>
      <c r="CO69" s="2034">
        <v>1</v>
      </c>
      <c r="CP69" s="2035"/>
      <c r="CQ69" s="2036"/>
      <c r="CR69" s="2036"/>
      <c r="CS69" s="2049"/>
      <c r="CT69" s="2049"/>
      <c r="CU69" s="2049"/>
      <c r="CW69" s="1973">
        <v>0</v>
      </c>
      <c r="CX69" s="2037">
        <v>1000</v>
      </c>
      <c r="CY69" s="2037">
        <v>1000</v>
      </c>
      <c r="CZ69" s="2037">
        <v>1000</v>
      </c>
      <c r="DA69" s="2037">
        <v>1000</v>
      </c>
      <c r="DJ69" s="1976">
        <v>1000</v>
      </c>
      <c r="DK69" s="1973">
        <v>1000</v>
      </c>
      <c r="DL69" s="1973">
        <v>1000</v>
      </c>
      <c r="DM69" s="1973">
        <v>1000</v>
      </c>
      <c r="DO69" s="2023">
        <v>10</v>
      </c>
      <c r="DP69" s="2024">
        <v>10018.219999999999</v>
      </c>
      <c r="DQ69" s="2024">
        <v>3.6679999999999997</v>
      </c>
      <c r="DR69" s="2023">
        <v>0</v>
      </c>
      <c r="DS69" s="2029">
        <v>1000</v>
      </c>
      <c r="DT69" s="2029">
        <v>1000</v>
      </c>
      <c r="DU69" s="2029">
        <v>1000</v>
      </c>
      <c r="DV69" s="2029">
        <v>1000</v>
      </c>
      <c r="DW69" s="1974"/>
      <c r="DX69" s="2029">
        <v>0</v>
      </c>
      <c r="DY69" s="2029">
        <v>0</v>
      </c>
      <c r="DZ69" s="2029">
        <v>0</v>
      </c>
      <c r="EA69" s="2029">
        <v>4185</v>
      </c>
      <c r="EB69" s="2029">
        <v>4185</v>
      </c>
      <c r="EC69" s="2029">
        <v>4185</v>
      </c>
      <c r="ED69" s="2029">
        <v>4185</v>
      </c>
      <c r="EE69" s="2039">
        <f t="shared" si="19"/>
        <v>0</v>
      </c>
      <c r="EF69" s="2039">
        <f t="shared" si="19"/>
        <v>0</v>
      </c>
      <c r="EG69" s="2039">
        <f t="shared" si="19"/>
        <v>0</v>
      </c>
      <c r="EH69" s="2039">
        <f t="shared" si="19"/>
        <v>0</v>
      </c>
      <c r="EI69" s="2040">
        <f t="shared" si="38"/>
        <v>0</v>
      </c>
      <c r="EJ69" s="2040">
        <f t="shared" si="38"/>
        <v>0</v>
      </c>
      <c r="EK69" s="2040">
        <f t="shared" si="38"/>
        <v>0</v>
      </c>
      <c r="EL69" s="2040">
        <f t="shared" si="37"/>
        <v>0</v>
      </c>
      <c r="EM69" s="2040">
        <f t="shared" si="37"/>
        <v>0</v>
      </c>
      <c r="EN69" s="2040">
        <f t="shared" si="37"/>
        <v>0</v>
      </c>
      <c r="EO69" s="2040">
        <f t="shared" si="37"/>
        <v>0</v>
      </c>
      <c r="EP69" s="2040">
        <f t="shared" si="37"/>
        <v>0</v>
      </c>
      <c r="EQ69" s="2040">
        <f t="shared" si="37"/>
        <v>0</v>
      </c>
      <c r="ER69" s="2040">
        <f t="shared" si="37"/>
        <v>0</v>
      </c>
      <c r="ES69" s="2040">
        <f t="shared" si="37"/>
        <v>0</v>
      </c>
      <c r="ET69" s="2040">
        <f t="shared" si="37"/>
        <v>0</v>
      </c>
      <c r="EU69" s="2039">
        <f t="shared" si="21"/>
        <v>0</v>
      </c>
      <c r="EV69" s="2039">
        <f t="shared" si="22"/>
        <v>0</v>
      </c>
    </row>
    <row r="70" spans="1:152" x14ac:dyDescent="0.25">
      <c r="A70" s="2041" t="s">
        <v>225</v>
      </c>
      <c r="B70" s="2022" t="s">
        <v>2924</v>
      </c>
      <c r="C70" s="2023">
        <v>3</v>
      </c>
      <c r="D70" s="2024">
        <v>664</v>
      </c>
      <c r="E70" s="2024">
        <v>0</v>
      </c>
      <c r="F70" s="2023">
        <v>0</v>
      </c>
      <c r="G70" s="2026" t="s">
        <v>2899</v>
      </c>
      <c r="H70" s="2026" t="s">
        <v>2899</v>
      </c>
      <c r="I70" s="2026">
        <v>0.84899999999999998</v>
      </c>
      <c r="J70" s="2026">
        <v>0.84899999999999998</v>
      </c>
      <c r="K70" s="2026">
        <v>0.84899999999999998</v>
      </c>
      <c r="L70" s="2026">
        <v>0.84899999999999998</v>
      </c>
      <c r="M70" s="2027">
        <f t="shared" si="11"/>
        <v>563.73599999999999</v>
      </c>
      <c r="N70" s="2027">
        <f t="shared" si="11"/>
        <v>563.73599999999999</v>
      </c>
      <c r="O70" s="2027">
        <f t="shared" si="11"/>
        <v>563.73599999999999</v>
      </c>
      <c r="P70" s="2027">
        <f t="shared" si="11"/>
        <v>563.73599999999999</v>
      </c>
      <c r="Q70" s="2026">
        <v>0.84899999999999998</v>
      </c>
      <c r="R70" s="2026">
        <v>0.84899999999999998</v>
      </c>
      <c r="S70" s="2026">
        <v>0.84899999999999998</v>
      </c>
      <c r="T70" s="2026">
        <v>0.84899999999999998</v>
      </c>
      <c r="U70" s="2028">
        <f t="shared" si="12"/>
        <v>0</v>
      </c>
      <c r="V70" s="2028">
        <f t="shared" si="12"/>
        <v>0</v>
      </c>
      <c r="W70" s="2028">
        <f t="shared" si="12"/>
        <v>0</v>
      </c>
      <c r="X70" s="2028">
        <f t="shared" si="12"/>
        <v>0</v>
      </c>
      <c r="Y70" s="2026">
        <v>0.67500000000000004</v>
      </c>
      <c r="Z70" s="2026">
        <v>0.67500000000000004</v>
      </c>
      <c r="AA70" s="2026">
        <v>0.67500000000000004</v>
      </c>
      <c r="AB70" s="2026">
        <v>0.67500000000000004</v>
      </c>
      <c r="AC70" s="2027">
        <f t="shared" si="31"/>
        <v>0</v>
      </c>
      <c r="AD70" s="2027">
        <f t="shared" si="31"/>
        <v>0</v>
      </c>
      <c r="AE70" s="2027">
        <f t="shared" si="31"/>
        <v>0</v>
      </c>
      <c r="AF70" s="2027">
        <f t="shared" si="31"/>
        <v>0</v>
      </c>
      <c r="AG70" s="2027">
        <v>0</v>
      </c>
      <c r="AH70" s="2027">
        <v>0</v>
      </c>
      <c r="AI70" s="2027">
        <v>1</v>
      </c>
      <c r="AJ70" s="2027">
        <v>1</v>
      </c>
      <c r="AK70" s="2027">
        <f t="shared" si="27"/>
        <v>0</v>
      </c>
      <c r="AL70" s="2027">
        <f t="shared" ref="AL70:AN75" si="39">AH70*N70*CM70</f>
        <v>0</v>
      </c>
      <c r="AM70" s="2027">
        <f t="shared" si="39"/>
        <v>563.73599999999999</v>
      </c>
      <c r="AN70" s="2027">
        <f t="shared" si="39"/>
        <v>563.73599999999999</v>
      </c>
      <c r="AO70" s="2027">
        <f t="shared" si="28"/>
        <v>0</v>
      </c>
      <c r="AP70" s="2027">
        <f t="shared" si="36"/>
        <v>0</v>
      </c>
      <c r="AQ70" s="2027">
        <f t="shared" si="36"/>
        <v>0</v>
      </c>
      <c r="AR70" s="2027">
        <f t="shared" si="29"/>
        <v>0</v>
      </c>
      <c r="AS70" s="2029">
        <v>10</v>
      </c>
      <c r="AT70" s="2029">
        <f t="shared" si="13"/>
        <v>10</v>
      </c>
      <c r="AU70" s="2029">
        <f t="shared" si="13"/>
        <v>10</v>
      </c>
      <c r="AV70" s="2029">
        <f t="shared" si="13"/>
        <v>10</v>
      </c>
      <c r="AW70" s="1974"/>
      <c r="AX70" s="2029">
        <f t="shared" si="33"/>
        <v>0</v>
      </c>
      <c r="AY70" s="2029">
        <f t="shared" si="33"/>
        <v>0</v>
      </c>
      <c r="AZ70" s="2029">
        <f t="shared" si="33"/>
        <v>0</v>
      </c>
      <c r="BA70" s="2029">
        <v>10.19</v>
      </c>
      <c r="BB70" s="2029">
        <f t="shared" si="34"/>
        <v>10.19</v>
      </c>
      <c r="BC70" s="2029">
        <f t="shared" si="34"/>
        <v>10.19</v>
      </c>
      <c r="BD70" s="2029">
        <f t="shared" si="34"/>
        <v>10.19</v>
      </c>
      <c r="BE70" s="2030">
        <f t="shared" si="16"/>
        <v>0</v>
      </c>
      <c r="BF70" s="2030">
        <f t="shared" si="16"/>
        <v>0</v>
      </c>
      <c r="BG70" s="2030">
        <f t="shared" si="16"/>
        <v>10</v>
      </c>
      <c r="BH70" s="2030">
        <f t="shared" si="16"/>
        <v>10</v>
      </c>
      <c r="BI70" s="2030">
        <f t="shared" si="17"/>
        <v>0</v>
      </c>
      <c r="BJ70" s="2030">
        <f t="shared" si="17"/>
        <v>0</v>
      </c>
      <c r="BK70" s="2030">
        <f t="shared" si="17"/>
        <v>0</v>
      </c>
      <c r="BL70" s="2030">
        <f t="shared" ref="BL70:BL133" si="40">AZ70*AJ70</f>
        <v>0</v>
      </c>
      <c r="BM70" s="2031"/>
      <c r="BN70" s="2031"/>
      <c r="BO70" s="2031"/>
      <c r="BP70" s="2031"/>
      <c r="BQ70" s="2031"/>
      <c r="BR70" s="2031"/>
      <c r="BS70" s="2031"/>
      <c r="BT70" s="2031"/>
      <c r="BU70" s="2029"/>
      <c r="BV70" s="2029"/>
      <c r="BW70" s="2029"/>
      <c r="BX70" s="2029"/>
      <c r="BY70" s="2029"/>
      <c r="BZ70" s="2032"/>
      <c r="CA70" s="1974"/>
      <c r="CB70" s="1974"/>
      <c r="CC70" s="1974"/>
      <c r="CD70" s="1974"/>
      <c r="CE70" s="1974">
        <v>0</v>
      </c>
      <c r="CF70" s="2033">
        <v>0</v>
      </c>
      <c r="CG70" s="2026">
        <v>0</v>
      </c>
      <c r="CH70" s="2009">
        <v>0</v>
      </c>
      <c r="CI70" s="2029">
        <v>0</v>
      </c>
      <c r="CK70" s="2029">
        <f t="shared" si="18"/>
        <v>0</v>
      </c>
      <c r="CL70" s="2034">
        <v>1</v>
      </c>
      <c r="CM70" s="2034">
        <v>1</v>
      </c>
      <c r="CN70" s="2034">
        <v>1</v>
      </c>
      <c r="CO70" s="2034">
        <v>1</v>
      </c>
      <c r="CP70" s="2035"/>
      <c r="CQ70" s="2036"/>
      <c r="CR70" s="2036"/>
      <c r="CS70" s="2049"/>
      <c r="CT70" s="2049"/>
      <c r="CU70" s="2049"/>
      <c r="CW70" s="1973">
        <v>0</v>
      </c>
      <c r="CX70" s="2037">
        <v>10</v>
      </c>
      <c r="CY70" s="2037">
        <v>10</v>
      </c>
      <c r="CZ70" s="2037">
        <v>10</v>
      </c>
      <c r="DA70" s="2037">
        <v>10</v>
      </c>
      <c r="DJ70" s="1976">
        <v>10</v>
      </c>
      <c r="DK70" s="1973">
        <v>10</v>
      </c>
      <c r="DL70" s="1973">
        <v>10</v>
      </c>
      <c r="DM70" s="1973">
        <v>10</v>
      </c>
      <c r="DO70" s="2023">
        <v>3</v>
      </c>
      <c r="DP70" s="2024">
        <v>664</v>
      </c>
      <c r="DQ70" s="2024">
        <v>0</v>
      </c>
      <c r="DR70" s="2023">
        <v>0</v>
      </c>
      <c r="DS70" s="2029">
        <v>10</v>
      </c>
      <c r="DT70" s="2029">
        <v>10</v>
      </c>
      <c r="DU70" s="2029">
        <v>10</v>
      </c>
      <c r="DV70" s="2029">
        <v>10</v>
      </c>
      <c r="DW70" s="1974"/>
      <c r="DX70" s="2029">
        <v>0</v>
      </c>
      <c r="DY70" s="2029">
        <v>0</v>
      </c>
      <c r="DZ70" s="2029">
        <v>0</v>
      </c>
      <c r="EA70" s="2029">
        <v>10.19</v>
      </c>
      <c r="EB70" s="2029">
        <v>10.19</v>
      </c>
      <c r="EC70" s="2029">
        <v>10.19</v>
      </c>
      <c r="ED70" s="2029">
        <v>10.19</v>
      </c>
      <c r="EE70" s="2039">
        <f t="shared" si="19"/>
        <v>0</v>
      </c>
      <c r="EF70" s="2039">
        <f t="shared" si="19"/>
        <v>0</v>
      </c>
      <c r="EG70" s="2039">
        <f t="shared" si="19"/>
        <v>0</v>
      </c>
      <c r="EH70" s="2039">
        <f t="shared" si="19"/>
        <v>0</v>
      </c>
      <c r="EI70" s="2040">
        <f t="shared" si="38"/>
        <v>0</v>
      </c>
      <c r="EJ70" s="2040">
        <f t="shared" si="38"/>
        <v>0</v>
      </c>
      <c r="EK70" s="2040">
        <f t="shared" si="38"/>
        <v>0</v>
      </c>
      <c r="EL70" s="2040">
        <f t="shared" si="37"/>
        <v>0</v>
      </c>
      <c r="EM70" s="2040">
        <f t="shared" si="37"/>
        <v>0</v>
      </c>
      <c r="EN70" s="2040">
        <f t="shared" si="37"/>
        <v>0</v>
      </c>
      <c r="EO70" s="2040">
        <f t="shared" si="37"/>
        <v>0</v>
      </c>
      <c r="EP70" s="2040">
        <f t="shared" si="37"/>
        <v>0</v>
      </c>
      <c r="EQ70" s="2040">
        <f t="shared" si="37"/>
        <v>0</v>
      </c>
      <c r="ER70" s="2040">
        <f t="shared" si="37"/>
        <v>0</v>
      </c>
      <c r="ES70" s="2040">
        <f t="shared" si="37"/>
        <v>0</v>
      </c>
      <c r="ET70" s="2040">
        <f t="shared" si="37"/>
        <v>0</v>
      </c>
      <c r="EU70" s="2039">
        <f t="shared" si="21"/>
        <v>0</v>
      </c>
      <c r="EV70" s="2039">
        <f t="shared" si="22"/>
        <v>0</v>
      </c>
    </row>
    <row r="71" spans="1:152" x14ac:dyDescent="0.25">
      <c r="A71" s="2041" t="s">
        <v>226</v>
      </c>
      <c r="B71" s="2022" t="s">
        <v>2925</v>
      </c>
      <c r="C71" s="2023">
        <v>10</v>
      </c>
      <c r="D71" s="2024">
        <v>1592.85</v>
      </c>
      <c r="E71" s="2024">
        <v>0.53</v>
      </c>
      <c r="F71" s="2023">
        <v>0</v>
      </c>
      <c r="G71" s="2026" t="s">
        <v>2899</v>
      </c>
      <c r="H71" s="2026" t="s">
        <v>2899</v>
      </c>
      <c r="I71" s="2026">
        <v>0.84899999999999998</v>
      </c>
      <c r="J71" s="2026">
        <v>0.84899999999999998</v>
      </c>
      <c r="K71" s="2026">
        <v>0.84899999999999998</v>
      </c>
      <c r="L71" s="2026">
        <v>0.84899999999999998</v>
      </c>
      <c r="M71" s="2027">
        <f t="shared" ref="M71:P135" si="41">$D71*I71</f>
        <v>1352.3296499999999</v>
      </c>
      <c r="N71" s="2027">
        <f t="shared" si="41"/>
        <v>1352.3296499999999</v>
      </c>
      <c r="O71" s="2027">
        <f t="shared" si="41"/>
        <v>1352.3296499999999</v>
      </c>
      <c r="P71" s="2027">
        <f t="shared" si="41"/>
        <v>1352.3296499999999</v>
      </c>
      <c r="Q71" s="2026">
        <v>0.84899999999999998</v>
      </c>
      <c r="R71" s="2026">
        <v>0.84899999999999998</v>
      </c>
      <c r="S71" s="2026">
        <v>0.84899999999999998</v>
      </c>
      <c r="T71" s="2026">
        <v>0.84899999999999998</v>
      </c>
      <c r="U71" s="2028">
        <f t="shared" ref="U71:X135" si="42">$E71*Q71</f>
        <v>0.44997000000000004</v>
      </c>
      <c r="V71" s="2028">
        <f t="shared" si="42"/>
        <v>0.44997000000000004</v>
      </c>
      <c r="W71" s="2028">
        <f t="shared" si="42"/>
        <v>0.44997000000000004</v>
      </c>
      <c r="X71" s="2028">
        <f t="shared" si="42"/>
        <v>0.44997000000000004</v>
      </c>
      <c r="Y71" s="2026">
        <v>0.67500000000000004</v>
      </c>
      <c r="Z71" s="2026">
        <v>0.67500000000000004</v>
      </c>
      <c r="AA71" s="2026">
        <v>0.67500000000000004</v>
      </c>
      <c r="AB71" s="2026">
        <v>0.67500000000000004</v>
      </c>
      <c r="AC71" s="2027">
        <f t="shared" si="31"/>
        <v>0</v>
      </c>
      <c r="AD71" s="2027">
        <f t="shared" si="31"/>
        <v>0</v>
      </c>
      <c r="AE71" s="2027">
        <f t="shared" si="31"/>
        <v>0</v>
      </c>
      <c r="AF71" s="2027">
        <f t="shared" si="31"/>
        <v>0</v>
      </c>
      <c r="AG71" s="2027">
        <v>0</v>
      </c>
      <c r="AH71" s="2027">
        <v>1</v>
      </c>
      <c r="AI71" s="2027">
        <v>0</v>
      </c>
      <c r="AJ71" s="2027">
        <v>0</v>
      </c>
      <c r="AK71" s="2027">
        <f t="shared" si="27"/>
        <v>0</v>
      </c>
      <c r="AL71" s="2027">
        <f t="shared" si="39"/>
        <v>1352.3296499999999</v>
      </c>
      <c r="AM71" s="2027">
        <f t="shared" si="39"/>
        <v>0</v>
      </c>
      <c r="AN71" s="2027">
        <f t="shared" si="39"/>
        <v>0</v>
      </c>
      <c r="AO71" s="2027">
        <f t="shared" si="28"/>
        <v>0</v>
      </c>
      <c r="AP71" s="2027">
        <f t="shared" si="36"/>
        <v>0</v>
      </c>
      <c r="AQ71" s="2027">
        <f t="shared" si="36"/>
        <v>0</v>
      </c>
      <c r="AR71" s="2027">
        <f t="shared" si="29"/>
        <v>0</v>
      </c>
      <c r="AS71" s="2029">
        <v>75</v>
      </c>
      <c r="AT71" s="2029">
        <f t="shared" ref="AT71:AV102" si="43">$AS71</f>
        <v>75</v>
      </c>
      <c r="AU71" s="2029">
        <f t="shared" si="43"/>
        <v>75</v>
      </c>
      <c r="AV71" s="2029">
        <f t="shared" si="43"/>
        <v>75</v>
      </c>
      <c r="AW71" s="1974"/>
      <c r="AX71" s="2029">
        <f t="shared" ref="AX71:AZ102" si="44">$AW71</f>
        <v>0</v>
      </c>
      <c r="AY71" s="2029">
        <f t="shared" si="44"/>
        <v>0</v>
      </c>
      <c r="AZ71" s="2029">
        <f t="shared" si="44"/>
        <v>0</v>
      </c>
      <c r="BA71" s="2029">
        <v>788</v>
      </c>
      <c r="BB71" s="2029">
        <f t="shared" ref="BB71:BD102" si="45">$BA71</f>
        <v>788</v>
      </c>
      <c r="BC71" s="2029">
        <f t="shared" si="45"/>
        <v>788</v>
      </c>
      <c r="BD71" s="2029">
        <f t="shared" si="45"/>
        <v>788</v>
      </c>
      <c r="BE71" s="2030">
        <f t="shared" ref="BE71:BH134" si="46">AS71*AG71</f>
        <v>0</v>
      </c>
      <c r="BF71" s="2030">
        <f t="shared" si="46"/>
        <v>75</v>
      </c>
      <c r="BG71" s="2030">
        <f t="shared" si="46"/>
        <v>0</v>
      </c>
      <c r="BH71" s="2030">
        <f t="shared" si="46"/>
        <v>0</v>
      </c>
      <c r="BI71" s="2030">
        <f t="shared" ref="BI71:BL134" si="47">AW71*AG71</f>
        <v>0</v>
      </c>
      <c r="BJ71" s="2030">
        <f t="shared" si="47"/>
        <v>0</v>
      </c>
      <c r="BK71" s="2030">
        <f t="shared" si="47"/>
        <v>0</v>
      </c>
      <c r="BL71" s="2030">
        <f t="shared" si="40"/>
        <v>0</v>
      </c>
      <c r="BM71" s="2031"/>
      <c r="BN71" s="2031"/>
      <c r="BO71" s="2031"/>
      <c r="BP71" s="2031"/>
      <c r="BQ71" s="2031"/>
      <c r="BR71" s="2031"/>
      <c r="BS71" s="2031"/>
      <c r="BT71" s="2031"/>
      <c r="BU71" s="2029"/>
      <c r="BV71" s="2029"/>
      <c r="BW71" s="2029"/>
      <c r="BX71" s="2029"/>
      <c r="BY71" s="2029"/>
      <c r="BZ71" s="2032"/>
      <c r="CA71" s="1974"/>
      <c r="CB71" s="1974"/>
      <c r="CC71" s="1974"/>
      <c r="CD71" s="1974"/>
      <c r="CE71" s="1974">
        <v>0</v>
      </c>
      <c r="CF71" s="2033">
        <v>0</v>
      </c>
      <c r="CG71" s="2026">
        <v>0</v>
      </c>
      <c r="CH71" s="2009">
        <v>0</v>
      </c>
      <c r="CI71" s="2029">
        <v>0</v>
      </c>
      <c r="CK71" s="2029">
        <f t="shared" ref="CK71:CK134" si="48">-CI71+CJ71</f>
        <v>0</v>
      </c>
      <c r="CL71" s="2034">
        <v>1</v>
      </c>
      <c r="CM71" s="2034">
        <v>1</v>
      </c>
      <c r="CN71" s="2034">
        <v>1</v>
      </c>
      <c r="CO71" s="2034">
        <v>1</v>
      </c>
      <c r="CP71" s="2035"/>
      <c r="CQ71" s="2036"/>
      <c r="CR71" s="2036"/>
      <c r="CS71" s="2049"/>
      <c r="CT71" s="2049"/>
      <c r="CU71" s="2049"/>
      <c r="CW71" s="1973">
        <v>0</v>
      </c>
      <c r="CX71" s="2037">
        <v>75</v>
      </c>
      <c r="CY71" s="2037">
        <v>75</v>
      </c>
      <c r="CZ71" s="2037">
        <v>75</v>
      </c>
      <c r="DA71" s="2037">
        <v>75</v>
      </c>
      <c r="DJ71" s="1976">
        <v>75</v>
      </c>
      <c r="DK71" s="1973">
        <v>75</v>
      </c>
      <c r="DL71" s="1973">
        <v>75</v>
      </c>
      <c r="DM71" s="1973">
        <v>75</v>
      </c>
      <c r="DO71" s="2023">
        <v>10</v>
      </c>
      <c r="DP71" s="2024">
        <v>1592.85</v>
      </c>
      <c r="DQ71" s="2024">
        <v>0.53</v>
      </c>
      <c r="DR71" s="2023">
        <v>0</v>
      </c>
      <c r="DS71" s="2029">
        <v>75</v>
      </c>
      <c r="DT71" s="2029">
        <v>75</v>
      </c>
      <c r="DU71" s="2029">
        <v>75</v>
      </c>
      <c r="DV71" s="2029">
        <v>75</v>
      </c>
      <c r="DW71" s="1974"/>
      <c r="DX71" s="2029">
        <v>0</v>
      </c>
      <c r="DY71" s="2029">
        <v>0</v>
      </c>
      <c r="DZ71" s="2029">
        <v>0</v>
      </c>
      <c r="EA71" s="2029">
        <v>788</v>
      </c>
      <c r="EB71" s="2029">
        <v>788</v>
      </c>
      <c r="EC71" s="2029">
        <v>788</v>
      </c>
      <c r="ED71" s="2029">
        <v>788</v>
      </c>
      <c r="EE71" s="2039">
        <f t="shared" ref="EE71:EH134" si="49">C71-DO71</f>
        <v>0</v>
      </c>
      <c r="EF71" s="2039">
        <f t="shared" si="49"/>
        <v>0</v>
      </c>
      <c r="EG71" s="2039">
        <f t="shared" si="49"/>
        <v>0</v>
      </c>
      <c r="EH71" s="2039">
        <f t="shared" si="49"/>
        <v>0</v>
      </c>
      <c r="EI71" s="2040">
        <f t="shared" si="38"/>
        <v>0</v>
      </c>
      <c r="EJ71" s="2040">
        <f t="shared" si="38"/>
        <v>0</v>
      </c>
      <c r="EK71" s="2040">
        <f t="shared" si="38"/>
        <v>0</v>
      </c>
      <c r="EL71" s="2040">
        <f t="shared" si="37"/>
        <v>0</v>
      </c>
      <c r="EM71" s="2040">
        <f t="shared" si="37"/>
        <v>0</v>
      </c>
      <c r="EN71" s="2040">
        <f t="shared" si="37"/>
        <v>0</v>
      </c>
      <c r="EO71" s="2040">
        <f t="shared" si="37"/>
        <v>0</v>
      </c>
      <c r="EP71" s="2040">
        <f t="shared" si="37"/>
        <v>0</v>
      </c>
      <c r="EQ71" s="2040">
        <f t="shared" si="37"/>
        <v>0</v>
      </c>
      <c r="ER71" s="2040">
        <f t="shared" si="37"/>
        <v>0</v>
      </c>
      <c r="ES71" s="2040">
        <f t="shared" si="37"/>
        <v>0</v>
      </c>
      <c r="ET71" s="2040">
        <f t="shared" si="37"/>
        <v>0</v>
      </c>
      <c r="EU71" s="2039">
        <f t="shared" ref="EU71:EU134" si="50">SUM(EE71:ET71)</f>
        <v>0</v>
      </c>
      <c r="EV71" s="2039">
        <f t="shared" ref="EV71:EV134" si="51">SUM(EE71:EH71)</f>
        <v>0</v>
      </c>
    </row>
    <row r="72" spans="1:152" x14ac:dyDescent="0.25">
      <c r="A72" s="2041" t="s">
        <v>227</v>
      </c>
      <c r="B72" s="2022" t="s">
        <v>2926</v>
      </c>
      <c r="C72" s="2023">
        <v>10</v>
      </c>
      <c r="D72" s="2024">
        <v>3337.4</v>
      </c>
      <c r="E72" s="2024">
        <v>0.83</v>
      </c>
      <c r="F72" s="2023">
        <v>0</v>
      </c>
      <c r="G72" s="2026" t="s">
        <v>2899</v>
      </c>
      <c r="H72" s="2026" t="s">
        <v>2899</v>
      </c>
      <c r="I72" s="2026">
        <v>0.84899999999999998</v>
      </c>
      <c r="J72" s="2026">
        <v>0.84899999999999998</v>
      </c>
      <c r="K72" s="2026">
        <v>0.84899999999999998</v>
      </c>
      <c r="L72" s="2026">
        <v>0.84899999999999998</v>
      </c>
      <c r="M72" s="2027">
        <f t="shared" si="41"/>
        <v>2833.4526000000001</v>
      </c>
      <c r="N72" s="2027">
        <f t="shared" si="41"/>
        <v>2833.4526000000001</v>
      </c>
      <c r="O72" s="2027">
        <f t="shared" si="41"/>
        <v>2833.4526000000001</v>
      </c>
      <c r="P72" s="2027">
        <f t="shared" si="41"/>
        <v>2833.4526000000001</v>
      </c>
      <c r="Q72" s="2026">
        <v>0.84899999999999998</v>
      </c>
      <c r="R72" s="2026">
        <v>0.84899999999999998</v>
      </c>
      <c r="S72" s="2026">
        <v>0.84899999999999998</v>
      </c>
      <c r="T72" s="2026">
        <v>0.84899999999999998</v>
      </c>
      <c r="U72" s="2028">
        <f t="shared" si="42"/>
        <v>0.70466999999999991</v>
      </c>
      <c r="V72" s="2028">
        <f t="shared" si="42"/>
        <v>0.70466999999999991</v>
      </c>
      <c r="W72" s="2028">
        <f t="shared" si="42"/>
        <v>0.70466999999999991</v>
      </c>
      <c r="X72" s="2028">
        <f t="shared" si="42"/>
        <v>0.70466999999999991</v>
      </c>
      <c r="Y72" s="2026">
        <v>0.67500000000000004</v>
      </c>
      <c r="Z72" s="2026">
        <v>0.67500000000000004</v>
      </c>
      <c r="AA72" s="2026">
        <v>0.67500000000000004</v>
      </c>
      <c r="AB72" s="2026">
        <v>0.67500000000000004</v>
      </c>
      <c r="AC72" s="2027">
        <f t="shared" si="31"/>
        <v>0</v>
      </c>
      <c r="AD72" s="2027">
        <f t="shared" si="31"/>
        <v>0</v>
      </c>
      <c r="AE72" s="2027">
        <f t="shared" si="31"/>
        <v>0</v>
      </c>
      <c r="AF72" s="2027">
        <f t="shared" si="31"/>
        <v>0</v>
      </c>
      <c r="AG72" s="2027">
        <v>0</v>
      </c>
      <c r="AH72" s="2027">
        <v>1</v>
      </c>
      <c r="AI72" s="2027">
        <v>0</v>
      </c>
      <c r="AJ72" s="2027">
        <v>1</v>
      </c>
      <c r="AK72" s="2027">
        <f t="shared" si="27"/>
        <v>0</v>
      </c>
      <c r="AL72" s="2027">
        <f t="shared" si="39"/>
        <v>2833.4526000000001</v>
      </c>
      <c r="AM72" s="2027">
        <f t="shared" si="39"/>
        <v>0</v>
      </c>
      <c r="AN72" s="2027">
        <f t="shared" si="39"/>
        <v>2833.4526000000001</v>
      </c>
      <c r="AO72" s="2027">
        <f t="shared" si="28"/>
        <v>0</v>
      </c>
      <c r="AP72" s="2027">
        <f t="shared" si="36"/>
        <v>0</v>
      </c>
      <c r="AQ72" s="2027">
        <f t="shared" si="36"/>
        <v>0</v>
      </c>
      <c r="AR72" s="2027">
        <f t="shared" si="29"/>
        <v>0</v>
      </c>
      <c r="AS72" s="2029">
        <v>100</v>
      </c>
      <c r="AT72" s="2029">
        <f t="shared" si="43"/>
        <v>100</v>
      </c>
      <c r="AU72" s="2029">
        <f t="shared" si="43"/>
        <v>100</v>
      </c>
      <c r="AV72" s="2029">
        <f t="shared" si="43"/>
        <v>100</v>
      </c>
      <c r="AW72" s="1974"/>
      <c r="AX72" s="2029">
        <f t="shared" si="44"/>
        <v>0</v>
      </c>
      <c r="AY72" s="2029">
        <f t="shared" si="44"/>
        <v>0</v>
      </c>
      <c r="AZ72" s="2029">
        <f t="shared" si="44"/>
        <v>0</v>
      </c>
      <c r="BA72" s="2029">
        <v>1450</v>
      </c>
      <c r="BB72" s="2029">
        <f t="shared" si="45"/>
        <v>1450</v>
      </c>
      <c r="BC72" s="2029">
        <f t="shared" si="45"/>
        <v>1450</v>
      </c>
      <c r="BD72" s="2029">
        <f t="shared" si="45"/>
        <v>1450</v>
      </c>
      <c r="BE72" s="2030">
        <f t="shared" si="46"/>
        <v>0</v>
      </c>
      <c r="BF72" s="2030">
        <f t="shared" si="46"/>
        <v>100</v>
      </c>
      <c r="BG72" s="2030">
        <f t="shared" si="46"/>
        <v>0</v>
      </c>
      <c r="BH72" s="2030">
        <f t="shared" si="46"/>
        <v>100</v>
      </c>
      <c r="BI72" s="2030">
        <f t="shared" si="47"/>
        <v>0</v>
      </c>
      <c r="BJ72" s="2030">
        <f t="shared" si="47"/>
        <v>0</v>
      </c>
      <c r="BK72" s="2030">
        <f t="shared" si="47"/>
        <v>0</v>
      </c>
      <c r="BL72" s="2030">
        <f t="shared" si="40"/>
        <v>0</v>
      </c>
      <c r="BM72" s="2031"/>
      <c r="BN72" s="2031"/>
      <c r="BO72" s="2031"/>
      <c r="BP72" s="2031"/>
      <c r="BQ72" s="2031"/>
      <c r="BR72" s="2031"/>
      <c r="BS72" s="2031"/>
      <c r="BT72" s="2031"/>
      <c r="BU72" s="2029"/>
      <c r="BV72" s="2029"/>
      <c r="BW72" s="2029"/>
      <c r="BX72" s="2029"/>
      <c r="BY72" s="2029"/>
      <c r="BZ72" s="2032"/>
      <c r="CA72" s="1974"/>
      <c r="CB72" s="1974"/>
      <c r="CC72" s="1974"/>
      <c r="CD72" s="1974"/>
      <c r="CE72" s="1974">
        <v>0</v>
      </c>
      <c r="CF72" s="2033">
        <v>0</v>
      </c>
      <c r="CG72" s="2026">
        <v>0</v>
      </c>
      <c r="CH72" s="2009">
        <v>0</v>
      </c>
      <c r="CI72" s="2029">
        <v>0</v>
      </c>
      <c r="CK72" s="2029">
        <f t="shared" si="48"/>
        <v>0</v>
      </c>
      <c r="CL72" s="2034">
        <v>1</v>
      </c>
      <c r="CM72" s="2034">
        <v>1</v>
      </c>
      <c r="CN72" s="2034">
        <v>1</v>
      </c>
      <c r="CO72" s="2034">
        <v>1</v>
      </c>
      <c r="CP72" s="2035"/>
      <c r="CQ72" s="2036"/>
      <c r="CR72" s="2036"/>
      <c r="CS72" s="2049"/>
      <c r="CT72" s="2049"/>
      <c r="CU72" s="2049"/>
      <c r="CW72" s="1973">
        <v>0</v>
      </c>
      <c r="CX72" s="2037">
        <v>100</v>
      </c>
      <c r="CY72" s="2037">
        <v>100</v>
      </c>
      <c r="CZ72" s="2037">
        <v>100</v>
      </c>
      <c r="DA72" s="2037">
        <v>100</v>
      </c>
      <c r="DJ72" s="1976">
        <v>100</v>
      </c>
      <c r="DK72" s="1973">
        <v>100</v>
      </c>
      <c r="DL72" s="1973">
        <v>100</v>
      </c>
      <c r="DM72" s="1973">
        <v>100</v>
      </c>
      <c r="DO72" s="2023">
        <v>10</v>
      </c>
      <c r="DP72" s="2024">
        <v>3337.4</v>
      </c>
      <c r="DQ72" s="2024">
        <v>0.83</v>
      </c>
      <c r="DR72" s="2023">
        <v>0</v>
      </c>
      <c r="DS72" s="2029">
        <v>100</v>
      </c>
      <c r="DT72" s="2029">
        <v>100</v>
      </c>
      <c r="DU72" s="2029">
        <v>100</v>
      </c>
      <c r="DV72" s="2029">
        <v>100</v>
      </c>
      <c r="DW72" s="1974"/>
      <c r="DX72" s="2029">
        <v>0</v>
      </c>
      <c r="DY72" s="2029">
        <v>0</v>
      </c>
      <c r="DZ72" s="2029">
        <v>0</v>
      </c>
      <c r="EA72" s="2029">
        <v>1450</v>
      </c>
      <c r="EB72" s="2029">
        <v>1450</v>
      </c>
      <c r="EC72" s="2029">
        <v>1450</v>
      </c>
      <c r="ED72" s="2029">
        <v>1450</v>
      </c>
      <c r="EE72" s="2039">
        <f t="shared" si="49"/>
        <v>0</v>
      </c>
      <c r="EF72" s="2039">
        <f t="shared" si="49"/>
        <v>0</v>
      </c>
      <c r="EG72" s="2039">
        <f t="shared" si="49"/>
        <v>0</v>
      </c>
      <c r="EH72" s="2039">
        <f t="shared" si="49"/>
        <v>0</v>
      </c>
      <c r="EI72" s="2040">
        <f t="shared" si="38"/>
        <v>0</v>
      </c>
      <c r="EJ72" s="2040">
        <f t="shared" si="38"/>
        <v>0</v>
      </c>
      <c r="EK72" s="2040">
        <f t="shared" si="38"/>
        <v>0</v>
      </c>
      <c r="EL72" s="2040">
        <f t="shared" si="37"/>
        <v>0</v>
      </c>
      <c r="EM72" s="2040">
        <f t="shared" si="37"/>
        <v>0</v>
      </c>
      <c r="EN72" s="2040">
        <f t="shared" si="37"/>
        <v>0</v>
      </c>
      <c r="EO72" s="2040">
        <f t="shared" si="37"/>
        <v>0</v>
      </c>
      <c r="EP72" s="2040">
        <f t="shared" si="37"/>
        <v>0</v>
      </c>
      <c r="EQ72" s="2040">
        <f t="shared" si="37"/>
        <v>0</v>
      </c>
      <c r="ER72" s="2040">
        <f t="shared" si="37"/>
        <v>0</v>
      </c>
      <c r="ES72" s="2040">
        <f t="shared" si="37"/>
        <v>0</v>
      </c>
      <c r="ET72" s="2040">
        <f t="shared" si="37"/>
        <v>0</v>
      </c>
      <c r="EU72" s="2039">
        <f t="shared" si="50"/>
        <v>0</v>
      </c>
      <c r="EV72" s="2039">
        <f t="shared" si="51"/>
        <v>0</v>
      </c>
    </row>
    <row r="73" spans="1:152" x14ac:dyDescent="0.25">
      <c r="A73" s="2041" t="s">
        <v>228</v>
      </c>
      <c r="B73" s="2022" t="s">
        <v>2927</v>
      </c>
      <c r="C73" s="2023">
        <v>15</v>
      </c>
      <c r="D73" s="2024">
        <v>232.36866171003717</v>
      </c>
      <c r="E73" s="2024">
        <v>8.6900000000000005E-2</v>
      </c>
      <c r="F73" s="2023">
        <v>0</v>
      </c>
      <c r="G73" s="2026" t="s">
        <v>2899</v>
      </c>
      <c r="H73" s="2026" t="s">
        <v>2899</v>
      </c>
      <c r="I73" s="2026">
        <v>0.84899999999999998</v>
      </c>
      <c r="J73" s="2026">
        <v>0.84899999999999998</v>
      </c>
      <c r="K73" s="2026">
        <v>0.84899999999999998</v>
      </c>
      <c r="L73" s="2026">
        <v>0.84899999999999998</v>
      </c>
      <c r="M73" s="2027">
        <f t="shared" si="41"/>
        <v>197.28099379182154</v>
      </c>
      <c r="N73" s="2027">
        <f t="shared" si="41"/>
        <v>197.28099379182154</v>
      </c>
      <c r="O73" s="2027">
        <f t="shared" si="41"/>
        <v>197.28099379182154</v>
      </c>
      <c r="P73" s="2027">
        <f t="shared" si="41"/>
        <v>197.28099379182154</v>
      </c>
      <c r="Q73" s="2026">
        <v>0.84899999999999998</v>
      </c>
      <c r="R73" s="2026">
        <v>0.84899999999999998</v>
      </c>
      <c r="S73" s="2026">
        <v>0.84899999999999998</v>
      </c>
      <c r="T73" s="2026">
        <v>0.84899999999999998</v>
      </c>
      <c r="U73" s="2028">
        <f t="shared" si="42"/>
        <v>7.3778099999999999E-2</v>
      </c>
      <c r="V73" s="2028">
        <f t="shared" si="42"/>
        <v>7.3778099999999999E-2</v>
      </c>
      <c r="W73" s="2028">
        <f t="shared" si="42"/>
        <v>7.3778099999999999E-2</v>
      </c>
      <c r="X73" s="2028">
        <f t="shared" si="42"/>
        <v>7.3778099999999999E-2</v>
      </c>
      <c r="Y73" s="2026">
        <v>0.67500000000000004</v>
      </c>
      <c r="Z73" s="2026">
        <v>0.67500000000000004</v>
      </c>
      <c r="AA73" s="2026">
        <v>0.67500000000000004</v>
      </c>
      <c r="AB73" s="2026">
        <v>0.67500000000000004</v>
      </c>
      <c r="AC73" s="2027">
        <f t="shared" si="31"/>
        <v>0</v>
      </c>
      <c r="AD73" s="2027">
        <f t="shared" si="31"/>
        <v>0</v>
      </c>
      <c r="AE73" s="2027">
        <f t="shared" si="31"/>
        <v>0</v>
      </c>
      <c r="AF73" s="2027">
        <f t="shared" si="31"/>
        <v>0</v>
      </c>
      <c r="AG73" s="2027">
        <v>0</v>
      </c>
      <c r="AH73" s="2027">
        <v>0</v>
      </c>
      <c r="AI73" s="2027">
        <v>0</v>
      </c>
      <c r="AJ73" s="2027">
        <v>0</v>
      </c>
      <c r="AK73" s="2027">
        <f t="shared" si="27"/>
        <v>0</v>
      </c>
      <c r="AL73" s="2027">
        <f t="shared" si="39"/>
        <v>0</v>
      </c>
      <c r="AM73" s="2027">
        <f t="shared" si="39"/>
        <v>0</v>
      </c>
      <c r="AN73" s="2027">
        <f t="shared" si="39"/>
        <v>0</v>
      </c>
      <c r="AO73" s="2027">
        <f t="shared" si="28"/>
        <v>0</v>
      </c>
      <c r="AP73" s="2027">
        <f t="shared" si="36"/>
        <v>0</v>
      </c>
      <c r="AQ73" s="2027">
        <f t="shared" si="36"/>
        <v>0</v>
      </c>
      <c r="AR73" s="2027">
        <f t="shared" si="29"/>
        <v>0</v>
      </c>
      <c r="AS73" s="2029">
        <v>80</v>
      </c>
      <c r="AT73" s="2029">
        <f t="shared" si="43"/>
        <v>80</v>
      </c>
      <c r="AU73" s="2029">
        <f t="shared" si="43"/>
        <v>80</v>
      </c>
      <c r="AV73" s="2029">
        <f t="shared" si="43"/>
        <v>80</v>
      </c>
      <c r="AW73" s="1974"/>
      <c r="AX73" s="2029">
        <f t="shared" si="44"/>
        <v>0</v>
      </c>
      <c r="AY73" s="2029">
        <f t="shared" si="44"/>
        <v>0</v>
      </c>
      <c r="AZ73" s="2029">
        <f t="shared" si="44"/>
        <v>0</v>
      </c>
      <c r="BA73" s="2029">
        <v>260</v>
      </c>
      <c r="BB73" s="2029">
        <f t="shared" si="45"/>
        <v>260</v>
      </c>
      <c r="BC73" s="2029">
        <f t="shared" si="45"/>
        <v>260</v>
      </c>
      <c r="BD73" s="2029">
        <f t="shared" si="45"/>
        <v>260</v>
      </c>
      <c r="BE73" s="2030">
        <f t="shared" si="46"/>
        <v>0</v>
      </c>
      <c r="BF73" s="2030">
        <f t="shared" si="46"/>
        <v>0</v>
      </c>
      <c r="BG73" s="2030">
        <f t="shared" si="46"/>
        <v>0</v>
      </c>
      <c r="BH73" s="2030">
        <f t="shared" si="46"/>
        <v>0</v>
      </c>
      <c r="BI73" s="2030">
        <f t="shared" si="47"/>
        <v>0</v>
      </c>
      <c r="BJ73" s="2030">
        <f t="shared" si="47"/>
        <v>0</v>
      </c>
      <c r="BK73" s="2030">
        <f t="shared" si="47"/>
        <v>0</v>
      </c>
      <c r="BL73" s="2030">
        <f t="shared" si="40"/>
        <v>0</v>
      </c>
      <c r="BM73" s="2031"/>
      <c r="BN73" s="2031"/>
      <c r="BO73" s="2031"/>
      <c r="BP73" s="2031"/>
      <c r="BQ73" s="2031"/>
      <c r="BR73" s="2031"/>
      <c r="BS73" s="2031"/>
      <c r="BT73" s="2031"/>
      <c r="BU73" s="2029"/>
      <c r="BV73" s="2029"/>
      <c r="BW73" s="2029"/>
      <c r="BX73" s="2029"/>
      <c r="BY73" s="2029"/>
      <c r="BZ73" s="2032"/>
      <c r="CA73" s="1974"/>
      <c r="CB73" s="1974"/>
      <c r="CC73" s="1974"/>
      <c r="CD73" s="1974"/>
      <c r="CE73" s="1974">
        <v>0</v>
      </c>
      <c r="CF73" s="2033">
        <v>0</v>
      </c>
      <c r="CG73" s="2026">
        <v>0</v>
      </c>
      <c r="CH73" s="2009">
        <v>0</v>
      </c>
      <c r="CI73" s="2029">
        <v>0</v>
      </c>
      <c r="CK73" s="2029">
        <f t="shared" si="48"/>
        <v>0</v>
      </c>
      <c r="CL73" s="2034">
        <v>1</v>
      </c>
      <c r="CM73" s="2034">
        <v>1</v>
      </c>
      <c r="CN73" s="2034">
        <v>1</v>
      </c>
      <c r="CO73" s="2034">
        <v>1</v>
      </c>
      <c r="CP73" s="2035"/>
      <c r="CQ73" s="2036"/>
      <c r="CR73" s="2036"/>
      <c r="CS73" s="2049"/>
      <c r="CT73" s="2049"/>
      <c r="CU73" s="2049"/>
      <c r="CW73" s="1973">
        <v>0</v>
      </c>
      <c r="CX73" s="2037">
        <v>80</v>
      </c>
      <c r="CY73" s="2037">
        <v>80</v>
      </c>
      <c r="CZ73" s="2037">
        <v>80</v>
      </c>
      <c r="DA73" s="2037">
        <v>80</v>
      </c>
      <c r="DJ73" s="1976">
        <v>80</v>
      </c>
      <c r="DK73" s="1973">
        <v>80</v>
      </c>
      <c r="DL73" s="1973">
        <v>80</v>
      </c>
      <c r="DM73" s="1973">
        <v>80</v>
      </c>
      <c r="DO73" s="2023">
        <v>15</v>
      </c>
      <c r="DP73" s="2024">
        <v>232.36866171003717</v>
      </c>
      <c r="DQ73" s="2024">
        <v>8.6900000000000005E-2</v>
      </c>
      <c r="DR73" s="2023">
        <v>0</v>
      </c>
      <c r="DS73" s="2029">
        <v>80</v>
      </c>
      <c r="DT73" s="2029">
        <v>80</v>
      </c>
      <c r="DU73" s="2029">
        <v>80</v>
      </c>
      <c r="DV73" s="2029">
        <v>80</v>
      </c>
      <c r="DW73" s="1974"/>
      <c r="DX73" s="2029">
        <v>0</v>
      </c>
      <c r="DY73" s="2029">
        <v>0</v>
      </c>
      <c r="DZ73" s="2029">
        <v>0</v>
      </c>
      <c r="EA73" s="2029">
        <v>260</v>
      </c>
      <c r="EB73" s="2029">
        <v>260</v>
      </c>
      <c r="EC73" s="2029">
        <v>260</v>
      </c>
      <c r="ED73" s="2029">
        <v>260</v>
      </c>
      <c r="EE73" s="2039">
        <f t="shared" si="49"/>
        <v>0</v>
      </c>
      <c r="EF73" s="2039">
        <f t="shared" si="49"/>
        <v>0</v>
      </c>
      <c r="EG73" s="2039">
        <f t="shared" si="49"/>
        <v>0</v>
      </c>
      <c r="EH73" s="2039">
        <f t="shared" si="49"/>
        <v>0</v>
      </c>
      <c r="EI73" s="2040">
        <f t="shared" si="38"/>
        <v>0</v>
      </c>
      <c r="EJ73" s="2040">
        <f t="shared" si="38"/>
        <v>0</v>
      </c>
      <c r="EK73" s="2040">
        <f t="shared" si="38"/>
        <v>0</v>
      </c>
      <c r="EL73" s="2040">
        <f t="shared" si="37"/>
        <v>0</v>
      </c>
      <c r="EM73" s="2040">
        <f t="shared" si="37"/>
        <v>0</v>
      </c>
      <c r="EN73" s="2040">
        <f t="shared" si="37"/>
        <v>0</v>
      </c>
      <c r="EO73" s="2040">
        <f t="shared" si="37"/>
        <v>0</v>
      </c>
      <c r="EP73" s="2040">
        <f t="shared" si="37"/>
        <v>0</v>
      </c>
      <c r="EQ73" s="2040">
        <f t="shared" si="37"/>
        <v>0</v>
      </c>
      <c r="ER73" s="2040">
        <f t="shared" si="37"/>
        <v>0</v>
      </c>
      <c r="ES73" s="2040">
        <f t="shared" si="37"/>
        <v>0</v>
      </c>
      <c r="ET73" s="2040">
        <f t="shared" si="37"/>
        <v>0</v>
      </c>
      <c r="EU73" s="2039">
        <f t="shared" si="50"/>
        <v>0</v>
      </c>
      <c r="EV73" s="2039">
        <f t="shared" si="51"/>
        <v>0</v>
      </c>
    </row>
    <row r="74" spans="1:152" x14ac:dyDescent="0.25">
      <c r="A74" s="2041" t="s">
        <v>229</v>
      </c>
      <c r="B74" s="2022" t="s">
        <v>2928</v>
      </c>
      <c r="C74" s="2023">
        <v>15</v>
      </c>
      <c r="D74" s="2024">
        <v>1076.5</v>
      </c>
      <c r="E74" s="2024">
        <v>0.84</v>
      </c>
      <c r="F74" s="2023">
        <v>0</v>
      </c>
      <c r="G74" s="2026" t="s">
        <v>2899</v>
      </c>
      <c r="H74" s="2026" t="s">
        <v>2899</v>
      </c>
      <c r="I74" s="2026">
        <v>0.84899999999999998</v>
      </c>
      <c r="J74" s="2026">
        <v>0.84899999999999998</v>
      </c>
      <c r="K74" s="2026">
        <v>0.84899999999999998</v>
      </c>
      <c r="L74" s="2026">
        <v>0.84899999999999998</v>
      </c>
      <c r="M74" s="2027">
        <f t="shared" si="41"/>
        <v>913.94849999999997</v>
      </c>
      <c r="N74" s="2027">
        <f t="shared" si="41"/>
        <v>913.94849999999997</v>
      </c>
      <c r="O74" s="2027">
        <f t="shared" si="41"/>
        <v>913.94849999999997</v>
      </c>
      <c r="P74" s="2027">
        <f t="shared" si="41"/>
        <v>913.94849999999997</v>
      </c>
      <c r="Q74" s="2026">
        <v>0.84899999999999998</v>
      </c>
      <c r="R74" s="2026">
        <v>0.84899999999999998</v>
      </c>
      <c r="S74" s="2026">
        <v>0.84899999999999998</v>
      </c>
      <c r="T74" s="2026">
        <v>0.84899999999999998</v>
      </c>
      <c r="U74" s="2028">
        <f t="shared" si="42"/>
        <v>0.71315999999999991</v>
      </c>
      <c r="V74" s="2028">
        <f t="shared" si="42"/>
        <v>0.71315999999999991</v>
      </c>
      <c r="W74" s="2028">
        <f t="shared" si="42"/>
        <v>0.71315999999999991</v>
      </c>
      <c r="X74" s="2028">
        <f t="shared" si="42"/>
        <v>0.71315999999999991</v>
      </c>
      <c r="Y74" s="2026">
        <v>0.67500000000000004</v>
      </c>
      <c r="Z74" s="2026">
        <v>0.67500000000000004</v>
      </c>
      <c r="AA74" s="2026">
        <v>0.67500000000000004</v>
      </c>
      <c r="AB74" s="2026">
        <v>0.67500000000000004</v>
      </c>
      <c r="AC74" s="2027">
        <f t="shared" si="31"/>
        <v>0</v>
      </c>
      <c r="AD74" s="2027">
        <f t="shared" si="31"/>
        <v>0</v>
      </c>
      <c r="AE74" s="2027">
        <f t="shared" si="31"/>
        <v>0</v>
      </c>
      <c r="AF74" s="2027">
        <f t="shared" si="31"/>
        <v>0</v>
      </c>
      <c r="AG74" s="2027">
        <v>0</v>
      </c>
      <c r="AH74" s="2027">
        <v>0</v>
      </c>
      <c r="AI74" s="2027">
        <v>0</v>
      </c>
      <c r="AJ74" s="2027">
        <v>0</v>
      </c>
      <c r="AK74" s="2027">
        <f t="shared" si="27"/>
        <v>0</v>
      </c>
      <c r="AL74" s="2027">
        <f t="shared" si="39"/>
        <v>0</v>
      </c>
      <c r="AM74" s="2027">
        <f t="shared" si="39"/>
        <v>0</v>
      </c>
      <c r="AN74" s="2027">
        <f t="shared" si="39"/>
        <v>0</v>
      </c>
      <c r="AO74" s="2027">
        <f t="shared" si="28"/>
        <v>0</v>
      </c>
      <c r="AP74" s="2027">
        <f t="shared" si="36"/>
        <v>0</v>
      </c>
      <c r="AQ74" s="2027">
        <f t="shared" si="36"/>
        <v>0</v>
      </c>
      <c r="AR74" s="2027">
        <f t="shared" si="29"/>
        <v>0</v>
      </c>
      <c r="AS74" s="2029">
        <v>50</v>
      </c>
      <c r="AT74" s="2029">
        <f t="shared" si="43"/>
        <v>50</v>
      </c>
      <c r="AU74" s="2029">
        <f t="shared" si="43"/>
        <v>50</v>
      </c>
      <c r="AV74" s="2029">
        <f t="shared" si="43"/>
        <v>50</v>
      </c>
      <c r="AW74" s="1974"/>
      <c r="AX74" s="2029">
        <f t="shared" si="44"/>
        <v>0</v>
      </c>
      <c r="AY74" s="2029">
        <f t="shared" si="44"/>
        <v>0</v>
      </c>
      <c r="AZ74" s="2029">
        <f t="shared" si="44"/>
        <v>0</v>
      </c>
      <c r="BA74" s="2029">
        <v>260</v>
      </c>
      <c r="BB74" s="2029">
        <f t="shared" si="45"/>
        <v>260</v>
      </c>
      <c r="BC74" s="2029">
        <f t="shared" si="45"/>
        <v>260</v>
      </c>
      <c r="BD74" s="2029">
        <f t="shared" si="45"/>
        <v>260</v>
      </c>
      <c r="BE74" s="2030">
        <f t="shared" si="46"/>
        <v>0</v>
      </c>
      <c r="BF74" s="2030">
        <f t="shared" si="46"/>
        <v>0</v>
      </c>
      <c r="BG74" s="2030">
        <f t="shared" si="46"/>
        <v>0</v>
      </c>
      <c r="BH74" s="2030">
        <f t="shared" si="46"/>
        <v>0</v>
      </c>
      <c r="BI74" s="2030">
        <f t="shared" si="47"/>
        <v>0</v>
      </c>
      <c r="BJ74" s="2030">
        <f t="shared" si="47"/>
        <v>0</v>
      </c>
      <c r="BK74" s="2030">
        <f t="shared" si="47"/>
        <v>0</v>
      </c>
      <c r="BL74" s="2030">
        <f t="shared" si="40"/>
        <v>0</v>
      </c>
      <c r="BM74" s="2031"/>
      <c r="BN74" s="2031"/>
      <c r="BO74" s="2031"/>
      <c r="BP74" s="2031"/>
      <c r="BQ74" s="2031"/>
      <c r="BR74" s="2031"/>
      <c r="BS74" s="2031"/>
      <c r="BT74" s="2031"/>
      <c r="BU74" s="2029"/>
      <c r="BV74" s="2029"/>
      <c r="BW74" s="2029"/>
      <c r="BX74" s="2029"/>
      <c r="BY74" s="2029"/>
      <c r="BZ74" s="2032"/>
      <c r="CA74" s="1974"/>
      <c r="CB74" s="1974"/>
      <c r="CC74" s="1974"/>
      <c r="CD74" s="1974"/>
      <c r="CE74" s="1974">
        <v>0</v>
      </c>
      <c r="CF74" s="2033">
        <v>0</v>
      </c>
      <c r="CG74" s="2026">
        <v>0</v>
      </c>
      <c r="CH74" s="2009">
        <v>0</v>
      </c>
      <c r="CI74" s="2029">
        <v>0</v>
      </c>
      <c r="CK74" s="2029">
        <f t="shared" si="48"/>
        <v>0</v>
      </c>
      <c r="CL74" s="2034">
        <v>1</v>
      </c>
      <c r="CM74" s="2034">
        <v>1</v>
      </c>
      <c r="CN74" s="2034">
        <v>1</v>
      </c>
      <c r="CO74" s="2034">
        <v>1</v>
      </c>
      <c r="CP74" s="2035"/>
      <c r="CQ74" s="2036"/>
      <c r="CR74" s="2036"/>
      <c r="CS74" s="2049"/>
      <c r="CT74" s="2049"/>
      <c r="CU74" s="2049"/>
      <c r="CW74" s="1973">
        <v>0</v>
      </c>
      <c r="CX74" s="2037">
        <v>50</v>
      </c>
      <c r="CY74" s="2037">
        <v>50</v>
      </c>
      <c r="CZ74" s="2037">
        <v>50</v>
      </c>
      <c r="DA74" s="2037">
        <v>50</v>
      </c>
      <c r="DJ74" s="1976">
        <v>50</v>
      </c>
      <c r="DK74" s="1973">
        <v>50</v>
      </c>
      <c r="DL74" s="1973">
        <v>50</v>
      </c>
      <c r="DM74" s="1973">
        <v>50</v>
      </c>
      <c r="DO74" s="2023">
        <v>15</v>
      </c>
      <c r="DP74" s="2024">
        <v>1076.5</v>
      </c>
      <c r="DQ74" s="2024">
        <v>0.84</v>
      </c>
      <c r="DR74" s="2023">
        <v>0</v>
      </c>
      <c r="DS74" s="2029">
        <v>50</v>
      </c>
      <c r="DT74" s="2029">
        <v>50</v>
      </c>
      <c r="DU74" s="2029">
        <v>50</v>
      </c>
      <c r="DV74" s="2029">
        <v>50</v>
      </c>
      <c r="DW74" s="1974"/>
      <c r="DX74" s="2029">
        <v>0</v>
      </c>
      <c r="DY74" s="2029">
        <v>0</v>
      </c>
      <c r="DZ74" s="2029">
        <v>0</v>
      </c>
      <c r="EA74" s="2029">
        <v>260</v>
      </c>
      <c r="EB74" s="2029">
        <v>260</v>
      </c>
      <c r="EC74" s="2029">
        <v>260</v>
      </c>
      <c r="ED74" s="2029">
        <v>260</v>
      </c>
      <c r="EE74" s="2039">
        <f t="shared" si="49"/>
        <v>0</v>
      </c>
      <c r="EF74" s="2039">
        <f t="shared" si="49"/>
        <v>0</v>
      </c>
      <c r="EG74" s="2039">
        <f t="shared" si="49"/>
        <v>0</v>
      </c>
      <c r="EH74" s="2039">
        <f t="shared" si="49"/>
        <v>0</v>
      </c>
      <c r="EI74" s="2040">
        <f t="shared" si="38"/>
        <v>0</v>
      </c>
      <c r="EJ74" s="2040">
        <f t="shared" si="38"/>
        <v>0</v>
      </c>
      <c r="EK74" s="2040">
        <f t="shared" si="38"/>
        <v>0</v>
      </c>
      <c r="EL74" s="2040">
        <f t="shared" si="37"/>
        <v>0</v>
      </c>
      <c r="EM74" s="2040">
        <f t="shared" si="37"/>
        <v>0</v>
      </c>
      <c r="EN74" s="2040">
        <f t="shared" si="37"/>
        <v>0</v>
      </c>
      <c r="EO74" s="2040">
        <f t="shared" si="37"/>
        <v>0</v>
      </c>
      <c r="EP74" s="2040">
        <f t="shared" si="37"/>
        <v>0</v>
      </c>
      <c r="EQ74" s="2040">
        <f t="shared" si="37"/>
        <v>0</v>
      </c>
      <c r="ER74" s="2040">
        <f t="shared" si="37"/>
        <v>0</v>
      </c>
      <c r="ES74" s="2040">
        <f t="shared" si="37"/>
        <v>0</v>
      </c>
      <c r="ET74" s="2040">
        <f t="shared" si="37"/>
        <v>0</v>
      </c>
      <c r="EU74" s="2039">
        <f t="shared" si="50"/>
        <v>0</v>
      </c>
      <c r="EV74" s="2039">
        <f t="shared" si="51"/>
        <v>0</v>
      </c>
    </row>
    <row r="75" spans="1:152" ht="60" customHeight="1" x14ac:dyDescent="0.25">
      <c r="A75" s="2050" t="s">
        <v>128</v>
      </c>
      <c r="B75" s="2022" t="s">
        <v>2929</v>
      </c>
      <c r="C75" s="2023">
        <v>15</v>
      </c>
      <c r="D75" s="2024">
        <v>699.67851672345012</v>
      </c>
      <c r="E75" s="2024">
        <v>0.17336011546413563</v>
      </c>
      <c r="F75" s="2023">
        <v>0</v>
      </c>
      <c r="G75" s="2026" t="s">
        <v>20</v>
      </c>
      <c r="H75" s="2026" t="s">
        <v>20</v>
      </c>
      <c r="I75" s="2026">
        <v>0.55700000000000005</v>
      </c>
      <c r="J75" s="2026">
        <v>0.55700000000000005</v>
      </c>
      <c r="K75" s="2026">
        <v>0.55700000000000005</v>
      </c>
      <c r="L75" s="2026">
        <v>0.55700000000000005</v>
      </c>
      <c r="M75" s="2027">
        <f t="shared" si="41"/>
        <v>389.72093381496177</v>
      </c>
      <c r="N75" s="2027">
        <f t="shared" si="41"/>
        <v>389.72093381496177</v>
      </c>
      <c r="O75" s="2027">
        <f t="shared" si="41"/>
        <v>389.72093381496177</v>
      </c>
      <c r="P75" s="2027">
        <f t="shared" si="41"/>
        <v>389.72093381496177</v>
      </c>
      <c r="Q75" s="2026">
        <v>0.55700000000000005</v>
      </c>
      <c r="R75" s="2026">
        <v>0.55700000000000005</v>
      </c>
      <c r="S75" s="2026">
        <v>0.55700000000000005</v>
      </c>
      <c r="T75" s="2026">
        <v>0.55700000000000005</v>
      </c>
      <c r="U75" s="2028">
        <f t="shared" si="42"/>
        <v>9.656158431352356E-2</v>
      </c>
      <c r="V75" s="2028">
        <f t="shared" si="42"/>
        <v>9.656158431352356E-2</v>
      </c>
      <c r="W75" s="2028">
        <f t="shared" si="42"/>
        <v>9.656158431352356E-2</v>
      </c>
      <c r="X75" s="2028">
        <f t="shared" si="42"/>
        <v>9.656158431352356E-2</v>
      </c>
      <c r="Y75" s="2026">
        <v>0.49399999999999999</v>
      </c>
      <c r="Z75" s="2026">
        <v>0.49399999999999999</v>
      </c>
      <c r="AA75" s="2026">
        <v>0.49399999999999999</v>
      </c>
      <c r="AB75" s="2026">
        <v>0.49399999999999999</v>
      </c>
      <c r="AC75" s="2027">
        <f>$F75*Y75</f>
        <v>0</v>
      </c>
      <c r="AD75" s="2027">
        <f>$F75*Z75</f>
        <v>0</v>
      </c>
      <c r="AE75" s="2027">
        <f>$F75*AA75</f>
        <v>0</v>
      </c>
      <c r="AF75" s="2027">
        <f>$F75*AB75</f>
        <v>0</v>
      </c>
      <c r="AG75" s="2027">
        <v>656</v>
      </c>
      <c r="AH75" s="2027">
        <v>687</v>
      </c>
      <c r="AI75" s="2027">
        <v>717</v>
      </c>
      <c r="AJ75" s="2027">
        <v>680</v>
      </c>
      <c r="AK75" s="2027">
        <f>AG75*M75</f>
        <v>255656.93258261491</v>
      </c>
      <c r="AL75" s="2027">
        <f t="shared" si="39"/>
        <v>267738.28153087874</v>
      </c>
      <c r="AM75" s="2027">
        <f t="shared" si="39"/>
        <v>279429.90954532759</v>
      </c>
      <c r="AN75" s="2027">
        <f t="shared" si="39"/>
        <v>265010.23499417398</v>
      </c>
      <c r="AO75" s="2027">
        <f>AG75*AC75</f>
        <v>0</v>
      </c>
      <c r="AP75" s="2027">
        <f t="shared" si="36"/>
        <v>0</v>
      </c>
      <c r="AQ75" s="2027">
        <f t="shared" si="36"/>
        <v>0</v>
      </c>
      <c r="AR75" s="2027">
        <f t="shared" si="29"/>
        <v>0</v>
      </c>
      <c r="AS75" s="2042">
        <v>120.03646802414703</v>
      </c>
      <c r="AT75" s="2029">
        <f t="shared" si="43"/>
        <v>120.03646802414703</v>
      </c>
      <c r="AU75" s="2029">
        <f t="shared" si="43"/>
        <v>120.03646802414703</v>
      </c>
      <c r="AV75" s="2029">
        <f t="shared" si="43"/>
        <v>120.03646802414703</v>
      </c>
      <c r="AW75" s="2042"/>
      <c r="AX75" s="2029">
        <f t="shared" si="44"/>
        <v>0</v>
      </c>
      <c r="AY75" s="2029">
        <f t="shared" si="44"/>
        <v>0</v>
      </c>
      <c r="AZ75" s="2029">
        <f t="shared" si="44"/>
        <v>0</v>
      </c>
      <c r="BA75" s="2042">
        <v>195.14678713050651</v>
      </c>
      <c r="BB75" s="2029">
        <f t="shared" si="45"/>
        <v>195.14678713050651</v>
      </c>
      <c r="BC75" s="2029">
        <f t="shared" si="45"/>
        <v>195.14678713050651</v>
      </c>
      <c r="BD75" s="2029">
        <f t="shared" si="45"/>
        <v>195.14678713050651</v>
      </c>
      <c r="BE75" s="2030">
        <f t="shared" si="46"/>
        <v>78743.923023840456</v>
      </c>
      <c r="BF75" s="2030">
        <f t="shared" si="46"/>
        <v>82465.053532589009</v>
      </c>
      <c r="BG75" s="2030">
        <f t="shared" si="46"/>
        <v>86066.147573313414</v>
      </c>
      <c r="BH75" s="2030">
        <f t="shared" si="46"/>
        <v>81624.798256419977</v>
      </c>
      <c r="BI75" s="2030">
        <f t="shared" si="47"/>
        <v>0</v>
      </c>
      <c r="BJ75" s="2030">
        <f t="shared" si="47"/>
        <v>0</v>
      </c>
      <c r="BK75" s="2030">
        <f t="shared" si="47"/>
        <v>0</v>
      </c>
      <c r="BL75" s="2030">
        <f t="shared" si="40"/>
        <v>0</v>
      </c>
      <c r="BM75" s="2031"/>
      <c r="BN75" s="2031"/>
      <c r="BO75" s="2031"/>
      <c r="BP75" s="2031"/>
      <c r="BQ75" s="2031"/>
      <c r="BR75" s="2031"/>
      <c r="BS75" s="2031"/>
      <c r="BT75" s="2031"/>
      <c r="BU75" s="2029"/>
      <c r="BV75" s="2029"/>
      <c r="BW75" s="2029"/>
      <c r="BX75" s="2029"/>
      <c r="BY75" s="2029"/>
      <c r="BZ75" s="2032"/>
      <c r="CA75" s="1974"/>
      <c r="CB75" s="1974"/>
      <c r="CC75" s="1974"/>
      <c r="CD75" s="1974"/>
      <c r="CE75" s="1974">
        <v>0</v>
      </c>
      <c r="CF75" s="2033">
        <v>1.1316627125511787E-3</v>
      </c>
      <c r="CG75" s="2026">
        <v>0</v>
      </c>
      <c r="CH75" s="2009">
        <v>0</v>
      </c>
      <c r="CI75" s="2029">
        <v>0</v>
      </c>
      <c r="CK75" s="2029">
        <f t="shared" si="48"/>
        <v>0</v>
      </c>
      <c r="CL75" s="2034">
        <v>1</v>
      </c>
      <c r="CM75" s="2034">
        <v>1</v>
      </c>
      <c r="CN75" s="2034">
        <v>1</v>
      </c>
      <c r="CO75" s="2034">
        <v>1</v>
      </c>
      <c r="CP75" s="2035"/>
      <c r="CQ75" s="2036"/>
      <c r="CR75" s="2036"/>
      <c r="CS75" s="2049"/>
      <c r="CT75" s="2049"/>
      <c r="CU75" s="2049"/>
      <c r="CW75" s="1973">
        <v>0</v>
      </c>
      <c r="CX75" s="2037">
        <v>100</v>
      </c>
      <c r="CY75" s="2037">
        <v>100</v>
      </c>
      <c r="CZ75" s="2037">
        <v>100</v>
      </c>
      <c r="DA75" s="2037">
        <v>100</v>
      </c>
      <c r="DJ75" s="1976">
        <v>100</v>
      </c>
      <c r="DK75" s="1973">
        <v>100</v>
      </c>
      <c r="DL75" s="1973">
        <v>100</v>
      </c>
      <c r="DM75" s="1973">
        <v>100</v>
      </c>
      <c r="DO75" s="2043">
        <v>15</v>
      </c>
      <c r="DP75" s="2044">
        <v>699.67851672345012</v>
      </c>
      <c r="DQ75" s="2044">
        <v>0.17336011546413563</v>
      </c>
      <c r="DR75" s="2043">
        <v>0</v>
      </c>
      <c r="DS75" s="2045">
        <v>120.03646802414703</v>
      </c>
      <c r="DT75" s="2046">
        <v>120.03646802414703</v>
      </c>
      <c r="DU75" s="2046">
        <v>120.03646802414703</v>
      </c>
      <c r="DV75" s="2046">
        <v>120.03646802414703</v>
      </c>
      <c r="DW75" s="2045"/>
      <c r="DX75" s="2046">
        <v>0</v>
      </c>
      <c r="DY75" s="2046">
        <v>0</v>
      </c>
      <c r="DZ75" s="2046">
        <v>0</v>
      </c>
      <c r="EA75" s="2045">
        <v>195.14678713050651</v>
      </c>
      <c r="EB75" s="2046">
        <v>195.14678713050651</v>
      </c>
      <c r="EC75" s="2046">
        <v>195.14678713050651</v>
      </c>
      <c r="ED75" s="2046">
        <v>195.14678713050651</v>
      </c>
      <c r="EE75" s="2039">
        <f t="shared" si="49"/>
        <v>0</v>
      </c>
      <c r="EF75" s="2039">
        <f t="shared" si="49"/>
        <v>0</v>
      </c>
      <c r="EG75" s="2039">
        <f t="shared" si="49"/>
        <v>0</v>
      </c>
      <c r="EH75" s="2039">
        <f t="shared" si="49"/>
        <v>0</v>
      </c>
      <c r="EI75" s="2040">
        <f t="shared" si="38"/>
        <v>0</v>
      </c>
      <c r="EJ75" s="2040">
        <f t="shared" si="38"/>
        <v>0</v>
      </c>
      <c r="EK75" s="2040">
        <f t="shared" si="38"/>
        <v>0</v>
      </c>
      <c r="EL75" s="2040">
        <f t="shared" si="37"/>
        <v>0</v>
      </c>
      <c r="EM75" s="2040">
        <f t="shared" si="37"/>
        <v>0</v>
      </c>
      <c r="EN75" s="2040">
        <f t="shared" si="37"/>
        <v>0</v>
      </c>
      <c r="EO75" s="2040">
        <f t="shared" si="37"/>
        <v>0</v>
      </c>
      <c r="EP75" s="2040">
        <f t="shared" si="37"/>
        <v>0</v>
      </c>
      <c r="EQ75" s="2040">
        <f t="shared" si="37"/>
        <v>0</v>
      </c>
      <c r="ER75" s="2040">
        <f t="shared" si="37"/>
        <v>0</v>
      </c>
      <c r="ES75" s="2040">
        <f t="shared" si="37"/>
        <v>0</v>
      </c>
      <c r="ET75" s="2040">
        <f t="shared" si="37"/>
        <v>0</v>
      </c>
      <c r="EU75" s="2039">
        <f t="shared" si="50"/>
        <v>0</v>
      </c>
      <c r="EV75" s="2039">
        <f t="shared" si="51"/>
        <v>0</v>
      </c>
    </row>
    <row r="76" spans="1:152" ht="23" x14ac:dyDescent="0.25">
      <c r="A76" s="2041" t="s">
        <v>230</v>
      </c>
      <c r="B76" s="2022" t="s">
        <v>2930</v>
      </c>
      <c r="C76" s="2023"/>
      <c r="D76" s="2024"/>
      <c r="E76" s="2024"/>
      <c r="F76" s="2023"/>
      <c r="G76" s="2026" t="s">
        <v>2285</v>
      </c>
      <c r="H76" s="2026" t="s">
        <v>2285</v>
      </c>
      <c r="I76" s="2026">
        <v>0.79999999999999993</v>
      </c>
      <c r="J76" s="2026">
        <v>0.79999999999999993</v>
      </c>
      <c r="K76" s="2026">
        <v>0.79999999999999993</v>
      </c>
      <c r="L76" s="2026">
        <v>0.79999999999999993</v>
      </c>
      <c r="M76" s="2027">
        <f t="shared" si="41"/>
        <v>0</v>
      </c>
      <c r="N76" s="2027">
        <f t="shared" si="41"/>
        <v>0</v>
      </c>
      <c r="O76" s="2027">
        <f t="shared" si="41"/>
        <v>0</v>
      </c>
      <c r="P76" s="2027">
        <f t="shared" si="41"/>
        <v>0</v>
      </c>
      <c r="Q76" s="2026">
        <v>0.79999999999999993</v>
      </c>
      <c r="R76" s="2026">
        <v>0.79999999999999993</v>
      </c>
      <c r="S76" s="2026">
        <v>0.79999999999999993</v>
      </c>
      <c r="T76" s="2026">
        <v>0.79999999999999993</v>
      </c>
      <c r="U76" s="2028">
        <f t="shared" si="42"/>
        <v>0</v>
      </c>
      <c r="V76" s="2028">
        <f t="shared" si="42"/>
        <v>0</v>
      </c>
      <c r="W76" s="2028">
        <f t="shared" si="42"/>
        <v>0</v>
      </c>
      <c r="X76" s="2028">
        <f t="shared" si="42"/>
        <v>0</v>
      </c>
      <c r="Y76" s="2026">
        <v>0.60399999999999998</v>
      </c>
      <c r="Z76" s="2026">
        <v>0.60399999999999998</v>
      </c>
      <c r="AA76" s="2026">
        <v>0.60399999999999998</v>
      </c>
      <c r="AB76" s="2026">
        <v>0.60399999999999998</v>
      </c>
      <c r="AC76" s="2027"/>
      <c r="AD76" s="2027"/>
      <c r="AE76" s="2027"/>
      <c r="AF76" s="2027"/>
      <c r="AG76" s="2027">
        <v>0</v>
      </c>
      <c r="AH76" s="2027">
        <v>0</v>
      </c>
      <c r="AI76" s="2027">
        <v>0</v>
      </c>
      <c r="AJ76" s="2027">
        <v>0</v>
      </c>
      <c r="AK76" s="2027"/>
      <c r="AL76" s="2027"/>
      <c r="AM76" s="2027"/>
      <c r="AN76" s="2027">
        <f>AJ76*P76*CO76</f>
        <v>0</v>
      </c>
      <c r="AO76" s="2027"/>
      <c r="AP76" s="2027"/>
      <c r="AQ76" s="2027"/>
      <c r="AR76" s="2027">
        <f t="shared" si="29"/>
        <v>0</v>
      </c>
      <c r="AS76" s="1974"/>
      <c r="AT76" s="2029">
        <f t="shared" si="43"/>
        <v>0</v>
      </c>
      <c r="AU76" s="2029">
        <f t="shared" si="43"/>
        <v>0</v>
      </c>
      <c r="AV76" s="2029">
        <f t="shared" si="43"/>
        <v>0</v>
      </c>
      <c r="AW76" s="1974"/>
      <c r="AX76" s="2029">
        <f t="shared" si="44"/>
        <v>0</v>
      </c>
      <c r="AY76" s="2029">
        <f t="shared" si="44"/>
        <v>0</v>
      </c>
      <c r="AZ76" s="2029">
        <f t="shared" si="44"/>
        <v>0</v>
      </c>
      <c r="BA76" s="1974"/>
      <c r="BB76" s="2029">
        <f t="shared" si="45"/>
        <v>0</v>
      </c>
      <c r="BC76" s="2029">
        <f t="shared" si="45"/>
        <v>0</v>
      </c>
      <c r="BD76" s="2029">
        <f t="shared" si="45"/>
        <v>0</v>
      </c>
      <c r="BE76" s="2030">
        <f t="shared" si="46"/>
        <v>0</v>
      </c>
      <c r="BF76" s="2030">
        <f t="shared" si="46"/>
        <v>0</v>
      </c>
      <c r="BG76" s="2030">
        <f t="shared" si="46"/>
        <v>0</v>
      </c>
      <c r="BH76" s="2030">
        <f t="shared" si="46"/>
        <v>0</v>
      </c>
      <c r="BI76" s="2030">
        <f t="shared" si="47"/>
        <v>0</v>
      </c>
      <c r="BJ76" s="2030">
        <f t="shared" si="47"/>
        <v>0</v>
      </c>
      <c r="BK76" s="2030">
        <f t="shared" si="47"/>
        <v>0</v>
      </c>
      <c r="BL76" s="2030">
        <f t="shared" si="40"/>
        <v>0</v>
      </c>
      <c r="BM76" s="2031"/>
      <c r="BN76" s="2031"/>
      <c r="BO76" s="2031"/>
      <c r="BP76" s="2031"/>
      <c r="BQ76" s="2031"/>
      <c r="BR76" s="2031"/>
      <c r="BS76" s="2031"/>
      <c r="BT76" s="2031"/>
      <c r="BU76" s="2029"/>
      <c r="BV76" s="2029"/>
      <c r="BW76" s="2029"/>
      <c r="BX76" s="2029"/>
      <c r="BY76" s="2029"/>
      <c r="BZ76" s="2032"/>
      <c r="CA76" s="1974"/>
      <c r="CB76" s="1974"/>
      <c r="CC76" s="1974"/>
      <c r="CD76" s="1974"/>
      <c r="CE76" s="1974">
        <v>0</v>
      </c>
      <c r="CF76" s="2033">
        <v>0</v>
      </c>
      <c r="CG76" s="2026">
        <v>0</v>
      </c>
      <c r="CH76" s="2009">
        <v>1</v>
      </c>
      <c r="CI76" s="2029">
        <v>0</v>
      </c>
      <c r="CJ76" s="2048">
        <v>100</v>
      </c>
      <c r="CK76" s="2029">
        <f t="shared" si="48"/>
        <v>100</v>
      </c>
      <c r="CL76" s="2034">
        <v>1</v>
      </c>
      <c r="CM76" s="2034">
        <v>1</v>
      </c>
      <c r="CN76" s="2034">
        <v>1</v>
      </c>
      <c r="CO76" s="2034">
        <v>1</v>
      </c>
      <c r="CP76" s="2035"/>
      <c r="CQ76" s="2036"/>
      <c r="CR76" s="2036"/>
      <c r="CS76" s="2036"/>
      <c r="CT76" s="2036"/>
      <c r="CU76" s="2036"/>
      <c r="CW76" s="1973">
        <v>2</v>
      </c>
      <c r="CX76" s="2037">
        <v>0</v>
      </c>
      <c r="CY76" s="2037">
        <v>0</v>
      </c>
      <c r="CZ76" s="2037">
        <v>0</v>
      </c>
      <c r="DA76" s="2037">
        <v>0</v>
      </c>
      <c r="DK76" s="1973">
        <v>0</v>
      </c>
      <c r="DL76" s="1973">
        <v>0</v>
      </c>
      <c r="DM76" s="1973">
        <v>0</v>
      </c>
      <c r="DO76" s="2023"/>
      <c r="DP76" s="2024"/>
      <c r="DQ76" s="2024"/>
      <c r="DR76" s="2023"/>
      <c r="DS76" s="1974"/>
      <c r="DT76" s="2029">
        <v>0</v>
      </c>
      <c r="DU76" s="2029">
        <v>0</v>
      </c>
      <c r="DV76" s="2029">
        <v>0</v>
      </c>
      <c r="DW76" s="1974"/>
      <c r="DX76" s="2029">
        <v>0</v>
      </c>
      <c r="DY76" s="2029">
        <v>0</v>
      </c>
      <c r="DZ76" s="2029">
        <v>0</v>
      </c>
      <c r="EA76" s="1974"/>
      <c r="EB76" s="2029">
        <v>0</v>
      </c>
      <c r="EC76" s="2029">
        <v>0</v>
      </c>
      <c r="ED76" s="2029">
        <v>0</v>
      </c>
      <c r="EE76" s="2039">
        <f t="shared" si="49"/>
        <v>0</v>
      </c>
      <c r="EF76" s="2039">
        <f t="shared" si="49"/>
        <v>0</v>
      </c>
      <c r="EG76" s="2039">
        <f t="shared" si="49"/>
        <v>0</v>
      </c>
      <c r="EH76" s="2039">
        <f t="shared" si="49"/>
        <v>0</v>
      </c>
      <c r="EI76" s="2040">
        <f t="shared" si="38"/>
        <v>0</v>
      </c>
      <c r="EJ76" s="2040">
        <f t="shared" si="38"/>
        <v>0</v>
      </c>
      <c r="EK76" s="2040">
        <f t="shared" si="38"/>
        <v>0</v>
      </c>
      <c r="EL76" s="2040">
        <f t="shared" si="37"/>
        <v>0</v>
      </c>
      <c r="EM76" s="2040">
        <f t="shared" si="37"/>
        <v>0</v>
      </c>
      <c r="EN76" s="2040">
        <f t="shared" si="37"/>
        <v>0</v>
      </c>
      <c r="EO76" s="2040">
        <f t="shared" si="37"/>
        <v>0</v>
      </c>
      <c r="EP76" s="2040">
        <f t="shared" si="37"/>
        <v>0</v>
      </c>
      <c r="EQ76" s="2040">
        <f t="shared" si="37"/>
        <v>0</v>
      </c>
      <c r="ER76" s="2040">
        <f t="shared" si="37"/>
        <v>0</v>
      </c>
      <c r="ES76" s="2040">
        <f t="shared" si="37"/>
        <v>0</v>
      </c>
      <c r="ET76" s="2040">
        <f t="shared" si="37"/>
        <v>0</v>
      </c>
      <c r="EU76" s="2039">
        <f t="shared" si="50"/>
        <v>0</v>
      </c>
      <c r="EV76" s="2039">
        <f t="shared" si="51"/>
        <v>0</v>
      </c>
    </row>
    <row r="77" spans="1:152" ht="23" x14ac:dyDescent="0.25">
      <c r="A77" s="2041" t="s">
        <v>231</v>
      </c>
      <c r="B77" s="2022" t="s">
        <v>2930</v>
      </c>
      <c r="C77" s="2023"/>
      <c r="D77" s="2024"/>
      <c r="E77" s="2024"/>
      <c r="F77" s="2023"/>
      <c r="G77" s="2026" t="s">
        <v>2285</v>
      </c>
      <c r="H77" s="2026" t="s">
        <v>2285</v>
      </c>
      <c r="I77" s="2026">
        <v>0.79999999999999993</v>
      </c>
      <c r="J77" s="2026">
        <v>0.79999999999999993</v>
      </c>
      <c r="K77" s="2026">
        <v>0.79999999999999993</v>
      </c>
      <c r="L77" s="2026">
        <v>0.79999999999999993</v>
      </c>
      <c r="M77" s="2027">
        <f t="shared" si="41"/>
        <v>0</v>
      </c>
      <c r="N77" s="2027">
        <f t="shared" si="41"/>
        <v>0</v>
      </c>
      <c r="O77" s="2027">
        <f t="shared" si="41"/>
        <v>0</v>
      </c>
      <c r="P77" s="2027">
        <f t="shared" si="41"/>
        <v>0</v>
      </c>
      <c r="Q77" s="2026">
        <v>0.79999999999999993</v>
      </c>
      <c r="R77" s="2026">
        <v>0.79999999999999993</v>
      </c>
      <c r="S77" s="2026">
        <v>0.79999999999999993</v>
      </c>
      <c r="T77" s="2026">
        <v>0.79999999999999993</v>
      </c>
      <c r="U77" s="2028">
        <f t="shared" si="42"/>
        <v>0</v>
      </c>
      <c r="V77" s="2028">
        <f t="shared" si="42"/>
        <v>0</v>
      </c>
      <c r="W77" s="2028">
        <f t="shared" si="42"/>
        <v>0</v>
      </c>
      <c r="X77" s="2028">
        <f t="shared" si="42"/>
        <v>0</v>
      </c>
      <c r="Y77" s="2026">
        <v>0.60399999999999998</v>
      </c>
      <c r="Z77" s="2026">
        <v>0.60399999999999998</v>
      </c>
      <c r="AA77" s="2026">
        <v>0.60399999999999998</v>
      </c>
      <c r="AB77" s="2026">
        <v>0.60399999999999998</v>
      </c>
      <c r="AC77" s="2027"/>
      <c r="AD77" s="2027"/>
      <c r="AE77" s="2027"/>
      <c r="AF77" s="2027"/>
      <c r="AG77" s="2027">
        <v>0</v>
      </c>
      <c r="AH77" s="2027">
        <v>0</v>
      </c>
      <c r="AI77" s="2027">
        <v>0</v>
      </c>
      <c r="AJ77" s="2027">
        <v>0</v>
      </c>
      <c r="AK77" s="2027"/>
      <c r="AL77" s="2027"/>
      <c r="AM77" s="2027"/>
      <c r="AN77" s="2027">
        <f>AJ77*P77*CO77</f>
        <v>0</v>
      </c>
      <c r="AO77" s="2027"/>
      <c r="AP77" s="2027"/>
      <c r="AQ77" s="2027"/>
      <c r="AR77" s="2027">
        <f t="shared" si="29"/>
        <v>0</v>
      </c>
      <c r="AS77" s="1974"/>
      <c r="AT77" s="2029">
        <f t="shared" si="43"/>
        <v>0</v>
      </c>
      <c r="AU77" s="2029">
        <f t="shared" si="43"/>
        <v>0</v>
      </c>
      <c r="AV77" s="2029">
        <f t="shared" si="43"/>
        <v>0</v>
      </c>
      <c r="AW77" s="1974"/>
      <c r="AX77" s="2029">
        <f t="shared" si="44"/>
        <v>0</v>
      </c>
      <c r="AY77" s="2029">
        <f t="shared" si="44"/>
        <v>0</v>
      </c>
      <c r="AZ77" s="2029">
        <f t="shared" si="44"/>
        <v>0</v>
      </c>
      <c r="BA77" s="1974"/>
      <c r="BB77" s="2029">
        <f t="shared" si="45"/>
        <v>0</v>
      </c>
      <c r="BC77" s="2029">
        <f t="shared" si="45"/>
        <v>0</v>
      </c>
      <c r="BD77" s="2029">
        <f t="shared" si="45"/>
        <v>0</v>
      </c>
      <c r="BE77" s="2030">
        <f t="shared" si="46"/>
        <v>0</v>
      </c>
      <c r="BF77" s="2030">
        <f t="shared" si="46"/>
        <v>0</v>
      </c>
      <c r="BG77" s="2030">
        <f t="shared" si="46"/>
        <v>0</v>
      </c>
      <c r="BH77" s="2030">
        <f t="shared" si="46"/>
        <v>0</v>
      </c>
      <c r="BI77" s="2030">
        <f t="shared" si="47"/>
        <v>0</v>
      </c>
      <c r="BJ77" s="2030">
        <f t="shared" si="47"/>
        <v>0</v>
      </c>
      <c r="BK77" s="2030">
        <f t="shared" si="47"/>
        <v>0</v>
      </c>
      <c r="BL77" s="2030">
        <f t="shared" si="40"/>
        <v>0</v>
      </c>
      <c r="BM77" s="2031"/>
      <c r="BN77" s="2031"/>
      <c r="BO77" s="2031"/>
      <c r="BP77" s="2031"/>
      <c r="BQ77" s="2031"/>
      <c r="BR77" s="2031"/>
      <c r="BS77" s="2031"/>
      <c r="BT77" s="2031"/>
      <c r="BU77" s="2029"/>
      <c r="BV77" s="2029"/>
      <c r="BW77" s="2029"/>
      <c r="BX77" s="2029"/>
      <c r="BY77" s="2029"/>
      <c r="BZ77" s="2032"/>
      <c r="CA77" s="1974"/>
      <c r="CB77" s="1974"/>
      <c r="CC77" s="1974"/>
      <c r="CD77" s="1974"/>
      <c r="CE77" s="1974">
        <v>0</v>
      </c>
      <c r="CF77" s="2033">
        <v>0</v>
      </c>
      <c r="CG77" s="2026">
        <v>0</v>
      </c>
      <c r="CH77" s="2009">
        <v>0</v>
      </c>
      <c r="CI77" s="2029">
        <v>0</v>
      </c>
      <c r="CK77" s="2029">
        <f t="shared" si="48"/>
        <v>0</v>
      </c>
      <c r="CL77" s="2034">
        <v>1</v>
      </c>
      <c r="CM77" s="2034">
        <v>1</v>
      </c>
      <c r="CN77" s="2034">
        <v>1</v>
      </c>
      <c r="CO77" s="2034">
        <v>1</v>
      </c>
      <c r="CP77" s="2035"/>
      <c r="CQ77" s="2036"/>
      <c r="CR77" s="2036"/>
      <c r="CS77" s="2036"/>
      <c r="CT77" s="2036"/>
      <c r="CU77" s="2036"/>
      <c r="CW77" s="1973">
        <v>2</v>
      </c>
      <c r="CX77" s="2037">
        <v>0</v>
      </c>
      <c r="CY77" s="2037">
        <v>0</v>
      </c>
      <c r="CZ77" s="2037">
        <v>0</v>
      </c>
      <c r="DA77" s="2037">
        <v>0</v>
      </c>
      <c r="DK77" s="1973">
        <v>0</v>
      </c>
      <c r="DL77" s="1973">
        <v>0</v>
      </c>
      <c r="DM77" s="1973">
        <v>0</v>
      </c>
      <c r="DO77" s="2023"/>
      <c r="DP77" s="2024"/>
      <c r="DQ77" s="2024"/>
      <c r="DR77" s="2023"/>
      <c r="DS77" s="1974"/>
      <c r="DT77" s="2029">
        <v>0</v>
      </c>
      <c r="DU77" s="2029">
        <v>0</v>
      </c>
      <c r="DV77" s="2029">
        <v>0</v>
      </c>
      <c r="DW77" s="1974"/>
      <c r="DX77" s="2029">
        <v>0</v>
      </c>
      <c r="DY77" s="2029">
        <v>0</v>
      </c>
      <c r="DZ77" s="2029">
        <v>0</v>
      </c>
      <c r="EA77" s="1974"/>
      <c r="EB77" s="2029">
        <v>0</v>
      </c>
      <c r="EC77" s="2029">
        <v>0</v>
      </c>
      <c r="ED77" s="2029">
        <v>0</v>
      </c>
      <c r="EE77" s="2039">
        <f t="shared" si="49"/>
        <v>0</v>
      </c>
      <c r="EF77" s="2039">
        <f t="shared" si="49"/>
        <v>0</v>
      </c>
      <c r="EG77" s="2039">
        <f t="shared" si="49"/>
        <v>0</v>
      </c>
      <c r="EH77" s="2039">
        <f t="shared" si="49"/>
        <v>0</v>
      </c>
      <c r="EI77" s="2040">
        <f t="shared" si="38"/>
        <v>0</v>
      </c>
      <c r="EJ77" s="2040">
        <f t="shared" si="38"/>
        <v>0</v>
      </c>
      <c r="EK77" s="2040">
        <f t="shared" si="38"/>
        <v>0</v>
      </c>
      <c r="EL77" s="2040">
        <f t="shared" si="37"/>
        <v>0</v>
      </c>
      <c r="EM77" s="2040">
        <f t="shared" si="37"/>
        <v>0</v>
      </c>
      <c r="EN77" s="2040">
        <f t="shared" si="37"/>
        <v>0</v>
      </c>
      <c r="EO77" s="2040">
        <f t="shared" si="37"/>
        <v>0</v>
      </c>
      <c r="EP77" s="2040">
        <f t="shared" si="37"/>
        <v>0</v>
      </c>
      <c r="EQ77" s="2040">
        <f t="shared" si="37"/>
        <v>0</v>
      </c>
      <c r="ER77" s="2040">
        <f t="shared" si="37"/>
        <v>0</v>
      </c>
      <c r="ES77" s="2040">
        <f t="shared" si="37"/>
        <v>0</v>
      </c>
      <c r="ET77" s="2040">
        <f t="shared" si="37"/>
        <v>0</v>
      </c>
      <c r="EU77" s="2039">
        <f t="shared" si="50"/>
        <v>0</v>
      </c>
      <c r="EV77" s="2039">
        <f t="shared" si="51"/>
        <v>0</v>
      </c>
    </row>
    <row r="78" spans="1:152" ht="23" x14ac:dyDescent="0.25">
      <c r="A78" s="2041"/>
      <c r="B78" s="2022" t="s">
        <v>2930</v>
      </c>
      <c r="C78" s="2023"/>
      <c r="D78" s="2024"/>
      <c r="E78" s="2024"/>
      <c r="F78" s="2023"/>
      <c r="G78" s="2026" t="s">
        <v>2285</v>
      </c>
      <c r="H78" s="2026" t="s">
        <v>2285</v>
      </c>
      <c r="I78" s="2026">
        <v>0.79999999999999993</v>
      </c>
      <c r="J78" s="2026">
        <v>0.79999999999999993</v>
      </c>
      <c r="K78" s="2026">
        <v>0.79999999999999993</v>
      </c>
      <c r="L78" s="2026">
        <v>0.79999999999999993</v>
      </c>
      <c r="M78" s="2027">
        <f t="shared" si="41"/>
        <v>0</v>
      </c>
      <c r="N78" s="2027">
        <f t="shared" si="41"/>
        <v>0</v>
      </c>
      <c r="O78" s="2027">
        <f t="shared" si="41"/>
        <v>0</v>
      </c>
      <c r="P78" s="2027">
        <f t="shared" si="41"/>
        <v>0</v>
      </c>
      <c r="Q78" s="2026">
        <v>0.79999999999999993</v>
      </c>
      <c r="R78" s="2026">
        <v>0.79999999999999993</v>
      </c>
      <c r="S78" s="2026">
        <v>0.79999999999999993</v>
      </c>
      <c r="T78" s="2026">
        <v>0.79999999999999993</v>
      </c>
      <c r="U78" s="2028">
        <f t="shared" si="42"/>
        <v>0</v>
      </c>
      <c r="V78" s="2028">
        <f t="shared" si="42"/>
        <v>0</v>
      </c>
      <c r="W78" s="2028">
        <f t="shared" si="42"/>
        <v>0</v>
      </c>
      <c r="X78" s="2028">
        <f t="shared" si="42"/>
        <v>0</v>
      </c>
      <c r="Y78" s="2026">
        <v>0.60399999999999998</v>
      </c>
      <c r="Z78" s="2026">
        <v>0.60399999999999998</v>
      </c>
      <c r="AA78" s="2026">
        <v>0.60399999999999998</v>
      </c>
      <c r="AB78" s="2026">
        <v>0.60399999999999998</v>
      </c>
      <c r="AC78" s="2027"/>
      <c r="AD78" s="2027"/>
      <c r="AE78" s="2027"/>
      <c r="AF78" s="2027"/>
      <c r="AG78" s="2027">
        <v>0</v>
      </c>
      <c r="AH78" s="2027">
        <v>0</v>
      </c>
      <c r="AI78" s="2027">
        <v>0</v>
      </c>
      <c r="AJ78" s="2027">
        <v>0</v>
      </c>
      <c r="AK78" s="2027"/>
      <c r="AL78" s="2027"/>
      <c r="AM78" s="2027"/>
      <c r="AN78" s="2027">
        <f>AJ78*P78*CO78</f>
        <v>0</v>
      </c>
      <c r="AO78" s="2027"/>
      <c r="AP78" s="2027"/>
      <c r="AQ78" s="2027"/>
      <c r="AR78" s="2027">
        <f t="shared" si="29"/>
        <v>0</v>
      </c>
      <c r="AS78" s="1974"/>
      <c r="AT78" s="2029">
        <f t="shared" si="43"/>
        <v>0</v>
      </c>
      <c r="AU78" s="2029">
        <f t="shared" si="43"/>
        <v>0</v>
      </c>
      <c r="AV78" s="2029">
        <f t="shared" si="43"/>
        <v>0</v>
      </c>
      <c r="AW78" s="1974"/>
      <c r="AX78" s="2029">
        <f t="shared" si="44"/>
        <v>0</v>
      </c>
      <c r="AY78" s="2029">
        <f t="shared" si="44"/>
        <v>0</v>
      </c>
      <c r="AZ78" s="2029">
        <f t="shared" si="44"/>
        <v>0</v>
      </c>
      <c r="BA78" s="1974"/>
      <c r="BB78" s="2029">
        <f t="shared" si="45"/>
        <v>0</v>
      </c>
      <c r="BC78" s="2029">
        <f t="shared" si="45"/>
        <v>0</v>
      </c>
      <c r="BD78" s="2029">
        <f t="shared" si="45"/>
        <v>0</v>
      </c>
      <c r="BE78" s="2030">
        <f t="shared" si="46"/>
        <v>0</v>
      </c>
      <c r="BF78" s="2030">
        <f t="shared" si="46"/>
        <v>0</v>
      </c>
      <c r="BG78" s="2030">
        <f t="shared" si="46"/>
        <v>0</v>
      </c>
      <c r="BH78" s="2030">
        <f t="shared" si="46"/>
        <v>0</v>
      </c>
      <c r="BI78" s="2030">
        <f t="shared" si="47"/>
        <v>0</v>
      </c>
      <c r="BJ78" s="2030">
        <f t="shared" si="47"/>
        <v>0</v>
      </c>
      <c r="BK78" s="2030">
        <f t="shared" si="47"/>
        <v>0</v>
      </c>
      <c r="BL78" s="2030">
        <f t="shared" si="40"/>
        <v>0</v>
      </c>
      <c r="BM78" s="2031"/>
      <c r="BN78" s="2031"/>
      <c r="BO78" s="2031"/>
      <c r="BP78" s="2031"/>
      <c r="BQ78" s="2031"/>
      <c r="BR78" s="2031"/>
      <c r="BS78" s="2031"/>
      <c r="BT78" s="2031"/>
      <c r="BU78" s="2029"/>
      <c r="BV78" s="2029"/>
      <c r="BW78" s="2029"/>
      <c r="BX78" s="2029"/>
      <c r="BY78" s="2029"/>
      <c r="BZ78" s="2032"/>
      <c r="CA78" s="1974"/>
      <c r="CB78" s="1974"/>
      <c r="CC78" s="1974"/>
      <c r="CD78" s="1974"/>
      <c r="CE78" s="1974"/>
      <c r="CF78" s="2033">
        <v>0</v>
      </c>
      <c r="CG78" s="2026">
        <v>0</v>
      </c>
      <c r="CH78" s="2009"/>
      <c r="CI78" s="2029">
        <v>0</v>
      </c>
      <c r="CK78" s="2029">
        <f t="shared" si="48"/>
        <v>0</v>
      </c>
      <c r="CL78" s="2034">
        <v>1</v>
      </c>
      <c r="CM78" s="2034">
        <v>1</v>
      </c>
      <c r="CN78" s="2034">
        <v>1</v>
      </c>
      <c r="CO78" s="2034">
        <v>1</v>
      </c>
      <c r="CP78" s="2035"/>
      <c r="CQ78" s="2036"/>
      <c r="CR78" s="2036"/>
      <c r="CS78" s="2049"/>
      <c r="CT78" s="2049"/>
      <c r="CU78" s="2049"/>
      <c r="CW78" s="1973">
        <v>2</v>
      </c>
      <c r="CX78" s="2037">
        <v>0</v>
      </c>
      <c r="CY78" s="2037">
        <v>0</v>
      </c>
      <c r="CZ78" s="2037">
        <v>0</v>
      </c>
      <c r="DA78" s="2037">
        <v>0</v>
      </c>
      <c r="DK78" s="1973">
        <v>0</v>
      </c>
      <c r="DL78" s="1973">
        <v>0</v>
      </c>
      <c r="DM78" s="1973">
        <v>0</v>
      </c>
      <c r="DO78" s="2023"/>
      <c r="DP78" s="2024"/>
      <c r="DQ78" s="2024"/>
      <c r="DR78" s="2023"/>
      <c r="DS78" s="1974"/>
      <c r="DT78" s="2029">
        <v>0</v>
      </c>
      <c r="DU78" s="2029">
        <v>0</v>
      </c>
      <c r="DV78" s="2029">
        <v>0</v>
      </c>
      <c r="DW78" s="1974"/>
      <c r="DX78" s="2029">
        <v>0</v>
      </c>
      <c r="DY78" s="2029">
        <v>0</v>
      </c>
      <c r="DZ78" s="2029">
        <v>0</v>
      </c>
      <c r="EA78" s="1974"/>
      <c r="EB78" s="2029">
        <v>0</v>
      </c>
      <c r="EC78" s="2029">
        <v>0</v>
      </c>
      <c r="ED78" s="2029">
        <v>0</v>
      </c>
      <c r="EE78" s="2039">
        <f t="shared" si="49"/>
        <v>0</v>
      </c>
      <c r="EF78" s="2039">
        <f t="shared" si="49"/>
        <v>0</v>
      </c>
      <c r="EG78" s="2039">
        <f t="shared" si="49"/>
        <v>0</v>
      </c>
      <c r="EH78" s="2039">
        <f t="shared" si="49"/>
        <v>0</v>
      </c>
      <c r="EI78" s="2040">
        <f t="shared" si="38"/>
        <v>0</v>
      </c>
      <c r="EJ78" s="2040">
        <f t="shared" si="38"/>
        <v>0</v>
      </c>
      <c r="EK78" s="2040">
        <f t="shared" si="38"/>
        <v>0</v>
      </c>
      <c r="EL78" s="2040">
        <f t="shared" si="37"/>
        <v>0</v>
      </c>
      <c r="EM78" s="2040">
        <f t="shared" si="37"/>
        <v>0</v>
      </c>
      <c r="EN78" s="2040">
        <f t="shared" si="37"/>
        <v>0</v>
      </c>
      <c r="EO78" s="2040">
        <f t="shared" si="37"/>
        <v>0</v>
      </c>
      <c r="EP78" s="2040">
        <f t="shared" si="37"/>
        <v>0</v>
      </c>
      <c r="EQ78" s="2040">
        <f t="shared" si="37"/>
        <v>0</v>
      </c>
      <c r="ER78" s="2040">
        <f t="shared" si="37"/>
        <v>0</v>
      </c>
      <c r="ES78" s="2040">
        <f t="shared" si="37"/>
        <v>0</v>
      </c>
      <c r="ET78" s="2040">
        <f t="shared" si="37"/>
        <v>0</v>
      </c>
      <c r="EU78" s="2039">
        <f t="shared" si="50"/>
        <v>0</v>
      </c>
      <c r="EV78" s="2039">
        <f t="shared" si="51"/>
        <v>0</v>
      </c>
    </row>
    <row r="79" spans="1:152" x14ac:dyDescent="0.25">
      <c r="A79" s="2041"/>
      <c r="B79" s="2022"/>
      <c r="C79" s="2023"/>
      <c r="D79" s="2024"/>
      <c r="E79" s="2024"/>
      <c r="F79" s="2023"/>
      <c r="G79" s="2026"/>
      <c r="H79" s="2026"/>
      <c r="I79" s="2026" t="e">
        <v>#N/A</v>
      </c>
      <c r="J79" s="2026" t="e">
        <v>#N/A</v>
      </c>
      <c r="K79" s="2026" t="e">
        <v>#N/A</v>
      </c>
      <c r="L79" s="2026" t="e">
        <v>#N/A</v>
      </c>
      <c r="M79" s="2027" t="e">
        <f t="shared" si="41"/>
        <v>#N/A</v>
      </c>
      <c r="N79" s="2027" t="e">
        <f t="shared" si="41"/>
        <v>#N/A</v>
      </c>
      <c r="O79" s="2027" t="e">
        <f t="shared" si="41"/>
        <v>#N/A</v>
      </c>
      <c r="P79" s="2027" t="e">
        <f t="shared" si="41"/>
        <v>#N/A</v>
      </c>
      <c r="Q79" s="2026" t="e">
        <v>#N/A</v>
      </c>
      <c r="R79" s="2026" t="e">
        <v>#N/A</v>
      </c>
      <c r="S79" s="2026" t="e">
        <v>#N/A</v>
      </c>
      <c r="T79" s="2026" t="e">
        <v>#N/A</v>
      </c>
      <c r="U79" s="2028" t="e">
        <f t="shared" si="42"/>
        <v>#N/A</v>
      </c>
      <c r="V79" s="2028" t="e">
        <f t="shared" si="42"/>
        <v>#N/A</v>
      </c>
      <c r="W79" s="2028" t="e">
        <f t="shared" si="42"/>
        <v>#N/A</v>
      </c>
      <c r="X79" s="2028" t="e">
        <f t="shared" si="42"/>
        <v>#N/A</v>
      </c>
      <c r="Y79" s="2026" t="e">
        <v>#N/A</v>
      </c>
      <c r="Z79" s="2026" t="e">
        <v>#N/A</v>
      </c>
      <c r="AA79" s="2026" t="e">
        <v>#N/A</v>
      </c>
      <c r="AB79" s="2026" t="e">
        <v>#N/A</v>
      </c>
      <c r="AC79" s="2027"/>
      <c r="AD79" s="2027"/>
      <c r="AE79" s="2027"/>
      <c r="AF79" s="2027"/>
      <c r="AG79" s="2027">
        <v>0</v>
      </c>
      <c r="AH79" s="2027">
        <v>0</v>
      </c>
      <c r="AI79" s="2027">
        <v>0</v>
      </c>
      <c r="AJ79" s="2027">
        <v>0</v>
      </c>
      <c r="AK79" s="2027"/>
      <c r="AL79" s="2027"/>
      <c r="AM79" s="2027"/>
      <c r="AN79" s="2027"/>
      <c r="AO79" s="2027"/>
      <c r="AP79" s="2027"/>
      <c r="AQ79" s="2027"/>
      <c r="AR79" s="2027">
        <f t="shared" si="29"/>
        <v>0</v>
      </c>
      <c r="AS79" s="1974"/>
      <c r="AT79" s="2029">
        <f t="shared" si="43"/>
        <v>0</v>
      </c>
      <c r="AU79" s="2029">
        <f t="shared" si="43"/>
        <v>0</v>
      </c>
      <c r="AV79" s="2029">
        <f t="shared" si="43"/>
        <v>0</v>
      </c>
      <c r="AW79" s="1974"/>
      <c r="AX79" s="2029">
        <f t="shared" si="44"/>
        <v>0</v>
      </c>
      <c r="AY79" s="2029">
        <f t="shared" si="44"/>
        <v>0</v>
      </c>
      <c r="AZ79" s="2029">
        <f t="shared" si="44"/>
        <v>0</v>
      </c>
      <c r="BA79" s="1974"/>
      <c r="BB79" s="2029">
        <f t="shared" si="45"/>
        <v>0</v>
      </c>
      <c r="BC79" s="2029">
        <f t="shared" si="45"/>
        <v>0</v>
      </c>
      <c r="BD79" s="2029">
        <f t="shared" si="45"/>
        <v>0</v>
      </c>
      <c r="BE79" s="2030">
        <f t="shared" si="46"/>
        <v>0</v>
      </c>
      <c r="BF79" s="2030">
        <f t="shared" si="46"/>
        <v>0</v>
      </c>
      <c r="BG79" s="2030">
        <f t="shared" si="46"/>
        <v>0</v>
      </c>
      <c r="BH79" s="2030">
        <f t="shared" si="46"/>
        <v>0</v>
      </c>
      <c r="BI79" s="2030">
        <f t="shared" si="47"/>
        <v>0</v>
      </c>
      <c r="BJ79" s="2030">
        <f t="shared" si="47"/>
        <v>0</v>
      </c>
      <c r="BK79" s="2030">
        <f t="shared" si="47"/>
        <v>0</v>
      </c>
      <c r="BL79" s="2030">
        <f t="shared" si="40"/>
        <v>0</v>
      </c>
      <c r="BM79" s="2031"/>
      <c r="BN79" s="2031"/>
      <c r="BO79" s="2031"/>
      <c r="BP79" s="2031"/>
      <c r="BQ79" s="2031"/>
      <c r="BR79" s="2031"/>
      <c r="BS79" s="2031"/>
      <c r="BT79" s="2031"/>
      <c r="BU79" s="2029"/>
      <c r="BV79" s="2029"/>
      <c r="BW79" s="2029"/>
      <c r="BX79" s="2029"/>
      <c r="BY79" s="2029"/>
      <c r="BZ79" s="2032"/>
      <c r="CA79" s="1974"/>
      <c r="CB79" s="1974"/>
      <c r="CC79" s="1974"/>
      <c r="CD79" s="1974"/>
      <c r="CE79" s="1974"/>
      <c r="CF79" s="2033">
        <v>0</v>
      </c>
      <c r="CG79" s="2026">
        <v>0</v>
      </c>
      <c r="CH79" s="2009"/>
      <c r="CI79" s="2029">
        <v>0</v>
      </c>
      <c r="CK79" s="2029">
        <f t="shared" si="48"/>
        <v>0</v>
      </c>
      <c r="CL79" s="2034">
        <v>1</v>
      </c>
      <c r="CM79" s="2034">
        <v>1</v>
      </c>
      <c r="CN79" s="2034">
        <v>1</v>
      </c>
      <c r="CO79" s="2034">
        <v>1</v>
      </c>
      <c r="CP79" s="2035"/>
      <c r="CQ79" s="2036"/>
      <c r="CR79" s="2036"/>
      <c r="CS79" s="2049"/>
      <c r="CT79" s="2049"/>
      <c r="CU79" s="2049"/>
      <c r="CW79" s="1973">
        <v>0</v>
      </c>
      <c r="CX79" s="2037">
        <v>0</v>
      </c>
      <c r="CY79" s="2037">
        <v>0</v>
      </c>
      <c r="CZ79" s="2037">
        <v>0</v>
      </c>
      <c r="DA79" s="2037">
        <v>0</v>
      </c>
      <c r="DK79" s="1973">
        <v>0</v>
      </c>
      <c r="DL79" s="1973">
        <v>0</v>
      </c>
      <c r="DM79" s="1973">
        <v>0</v>
      </c>
      <c r="DO79" s="2023"/>
      <c r="DP79" s="2024"/>
      <c r="DQ79" s="2024"/>
      <c r="DR79" s="2023"/>
      <c r="DS79" s="1974"/>
      <c r="DT79" s="2029">
        <v>0</v>
      </c>
      <c r="DU79" s="2029">
        <v>0</v>
      </c>
      <c r="DV79" s="2029">
        <v>0</v>
      </c>
      <c r="DW79" s="1974"/>
      <c r="DX79" s="2029">
        <v>0</v>
      </c>
      <c r="DY79" s="2029">
        <v>0</v>
      </c>
      <c r="DZ79" s="2029">
        <v>0</v>
      </c>
      <c r="EA79" s="1974"/>
      <c r="EB79" s="2029">
        <v>0</v>
      </c>
      <c r="EC79" s="2029">
        <v>0</v>
      </c>
      <c r="ED79" s="2029">
        <v>0</v>
      </c>
      <c r="EE79" s="2039">
        <f t="shared" si="49"/>
        <v>0</v>
      </c>
      <c r="EF79" s="2039">
        <f t="shared" si="49"/>
        <v>0</v>
      </c>
      <c r="EG79" s="2039">
        <f t="shared" si="49"/>
        <v>0</v>
      </c>
      <c r="EH79" s="2039">
        <f t="shared" si="49"/>
        <v>0</v>
      </c>
      <c r="EI79" s="2040">
        <f t="shared" si="38"/>
        <v>0</v>
      </c>
      <c r="EJ79" s="2040">
        <f t="shared" si="38"/>
        <v>0</v>
      </c>
      <c r="EK79" s="2040">
        <f t="shared" si="38"/>
        <v>0</v>
      </c>
      <c r="EL79" s="2040">
        <f t="shared" si="37"/>
        <v>0</v>
      </c>
      <c r="EM79" s="2040">
        <f t="shared" si="37"/>
        <v>0</v>
      </c>
      <c r="EN79" s="2040">
        <f t="shared" si="37"/>
        <v>0</v>
      </c>
      <c r="EO79" s="2040">
        <f t="shared" si="37"/>
        <v>0</v>
      </c>
      <c r="EP79" s="2040">
        <f t="shared" si="37"/>
        <v>0</v>
      </c>
      <c r="EQ79" s="2040">
        <f t="shared" si="37"/>
        <v>0</v>
      </c>
      <c r="ER79" s="2040">
        <f t="shared" si="37"/>
        <v>0</v>
      </c>
      <c r="ES79" s="2040">
        <f t="shared" si="37"/>
        <v>0</v>
      </c>
      <c r="ET79" s="2040">
        <f t="shared" si="37"/>
        <v>0</v>
      </c>
      <c r="EU79" s="2039">
        <f t="shared" si="50"/>
        <v>0</v>
      </c>
      <c r="EV79" s="2039">
        <f t="shared" si="51"/>
        <v>0</v>
      </c>
    </row>
    <row r="80" spans="1:152" x14ac:dyDescent="0.25">
      <c r="A80" s="2041"/>
      <c r="B80" s="2022"/>
      <c r="C80" s="2023"/>
      <c r="D80" s="2024"/>
      <c r="E80" s="2024"/>
      <c r="F80" s="2023"/>
      <c r="G80" s="2026"/>
      <c r="H80" s="2026"/>
      <c r="I80" s="2026" t="e">
        <v>#N/A</v>
      </c>
      <c r="J80" s="2026" t="e">
        <v>#N/A</v>
      </c>
      <c r="K80" s="2026" t="e">
        <v>#N/A</v>
      </c>
      <c r="L80" s="2026" t="e">
        <v>#N/A</v>
      </c>
      <c r="M80" s="2027" t="e">
        <f t="shared" si="41"/>
        <v>#N/A</v>
      </c>
      <c r="N80" s="2027" t="e">
        <f t="shared" si="41"/>
        <v>#N/A</v>
      </c>
      <c r="O80" s="2027" t="e">
        <f t="shared" si="41"/>
        <v>#N/A</v>
      </c>
      <c r="P80" s="2027" t="e">
        <f t="shared" si="41"/>
        <v>#N/A</v>
      </c>
      <c r="Q80" s="2026" t="e">
        <v>#N/A</v>
      </c>
      <c r="R80" s="2026" t="e">
        <v>#N/A</v>
      </c>
      <c r="S80" s="2026" t="e">
        <v>#N/A</v>
      </c>
      <c r="T80" s="2026" t="e">
        <v>#N/A</v>
      </c>
      <c r="U80" s="2028" t="e">
        <f t="shared" si="42"/>
        <v>#N/A</v>
      </c>
      <c r="V80" s="2028" t="e">
        <f t="shared" si="42"/>
        <v>#N/A</v>
      </c>
      <c r="W80" s="2028" t="e">
        <f t="shared" si="42"/>
        <v>#N/A</v>
      </c>
      <c r="X80" s="2028" t="e">
        <f t="shared" si="42"/>
        <v>#N/A</v>
      </c>
      <c r="Y80" s="2026" t="e">
        <v>#N/A</v>
      </c>
      <c r="Z80" s="2026" t="e">
        <v>#N/A</v>
      </c>
      <c r="AA80" s="2026" t="e">
        <v>#N/A</v>
      </c>
      <c r="AB80" s="2026" t="e">
        <v>#N/A</v>
      </c>
      <c r="AC80" s="2027"/>
      <c r="AD80" s="2027"/>
      <c r="AE80" s="2027"/>
      <c r="AF80" s="2027"/>
      <c r="AG80" s="2027">
        <v>0</v>
      </c>
      <c r="AH80" s="2027">
        <v>0</v>
      </c>
      <c r="AI80" s="2027">
        <v>0</v>
      </c>
      <c r="AJ80" s="2027">
        <v>0</v>
      </c>
      <c r="AK80" s="2027"/>
      <c r="AL80" s="2027"/>
      <c r="AM80" s="2027"/>
      <c r="AN80" s="2027"/>
      <c r="AO80" s="2027"/>
      <c r="AP80" s="2027"/>
      <c r="AQ80" s="2027"/>
      <c r="AR80" s="2027">
        <f t="shared" si="29"/>
        <v>0</v>
      </c>
      <c r="AS80" s="1974"/>
      <c r="AT80" s="2029">
        <f t="shared" si="43"/>
        <v>0</v>
      </c>
      <c r="AU80" s="2029">
        <f t="shared" si="43"/>
        <v>0</v>
      </c>
      <c r="AV80" s="2029">
        <f t="shared" si="43"/>
        <v>0</v>
      </c>
      <c r="AW80" s="1974"/>
      <c r="AX80" s="2029">
        <f t="shared" si="44"/>
        <v>0</v>
      </c>
      <c r="AY80" s="2029">
        <f t="shared" si="44"/>
        <v>0</v>
      </c>
      <c r="AZ80" s="2029">
        <f t="shared" si="44"/>
        <v>0</v>
      </c>
      <c r="BA80" s="1974"/>
      <c r="BB80" s="2029">
        <f t="shared" si="45"/>
        <v>0</v>
      </c>
      <c r="BC80" s="2029">
        <f t="shared" si="45"/>
        <v>0</v>
      </c>
      <c r="BD80" s="2029">
        <f t="shared" si="45"/>
        <v>0</v>
      </c>
      <c r="BE80" s="2030">
        <f t="shared" si="46"/>
        <v>0</v>
      </c>
      <c r="BF80" s="2030">
        <f t="shared" si="46"/>
        <v>0</v>
      </c>
      <c r="BG80" s="2030">
        <f t="shared" si="46"/>
        <v>0</v>
      </c>
      <c r="BH80" s="2030">
        <f t="shared" si="46"/>
        <v>0</v>
      </c>
      <c r="BI80" s="2030">
        <f t="shared" si="47"/>
        <v>0</v>
      </c>
      <c r="BJ80" s="2030">
        <f t="shared" si="47"/>
        <v>0</v>
      </c>
      <c r="BK80" s="2030">
        <f t="shared" si="47"/>
        <v>0</v>
      </c>
      <c r="BL80" s="2030">
        <f t="shared" si="40"/>
        <v>0</v>
      </c>
      <c r="BM80" s="2031"/>
      <c r="BN80" s="2031"/>
      <c r="BO80" s="2031"/>
      <c r="BP80" s="2031"/>
      <c r="BQ80" s="2031"/>
      <c r="BR80" s="2031"/>
      <c r="BS80" s="2031"/>
      <c r="BT80" s="2031"/>
      <c r="BU80" s="2029"/>
      <c r="BV80" s="2029"/>
      <c r="BW80" s="2029"/>
      <c r="BX80" s="2029"/>
      <c r="BY80" s="2029"/>
      <c r="BZ80" s="2032"/>
      <c r="CA80" s="1974"/>
      <c r="CB80" s="1974"/>
      <c r="CC80" s="1974"/>
      <c r="CD80" s="1974"/>
      <c r="CE80" s="1974"/>
      <c r="CF80" s="2033">
        <v>0</v>
      </c>
      <c r="CG80" s="2026">
        <v>0</v>
      </c>
      <c r="CH80" s="2009"/>
      <c r="CI80" s="2029">
        <v>0</v>
      </c>
      <c r="CK80" s="2029">
        <f t="shared" si="48"/>
        <v>0</v>
      </c>
      <c r="CL80" s="2034">
        <v>1</v>
      </c>
      <c r="CM80" s="2034">
        <v>1</v>
      </c>
      <c r="CN80" s="2034">
        <v>1</v>
      </c>
      <c r="CO80" s="2034">
        <v>1</v>
      </c>
      <c r="CP80" s="2035"/>
      <c r="CQ80" s="2036"/>
      <c r="CR80" s="2036"/>
      <c r="CS80" s="2049"/>
      <c r="CT80" s="2049"/>
      <c r="CU80" s="2049"/>
      <c r="CW80" s="1973">
        <v>0</v>
      </c>
      <c r="CX80" s="2037">
        <v>0</v>
      </c>
      <c r="CY80" s="2037">
        <v>0</v>
      </c>
      <c r="CZ80" s="2037">
        <v>0</v>
      </c>
      <c r="DA80" s="2037">
        <v>0</v>
      </c>
      <c r="DK80" s="1973">
        <v>0</v>
      </c>
      <c r="DL80" s="1973">
        <v>0</v>
      </c>
      <c r="DM80" s="1973">
        <v>0</v>
      </c>
      <c r="DO80" s="2023"/>
      <c r="DP80" s="2024"/>
      <c r="DQ80" s="2024"/>
      <c r="DR80" s="2023"/>
      <c r="DS80" s="1974"/>
      <c r="DT80" s="2029">
        <v>0</v>
      </c>
      <c r="DU80" s="2029">
        <v>0</v>
      </c>
      <c r="DV80" s="2029">
        <v>0</v>
      </c>
      <c r="DW80" s="1974"/>
      <c r="DX80" s="2029">
        <v>0</v>
      </c>
      <c r="DY80" s="2029">
        <v>0</v>
      </c>
      <c r="DZ80" s="2029">
        <v>0</v>
      </c>
      <c r="EA80" s="1974"/>
      <c r="EB80" s="2029">
        <v>0</v>
      </c>
      <c r="EC80" s="2029">
        <v>0</v>
      </c>
      <c r="ED80" s="2029">
        <v>0</v>
      </c>
      <c r="EE80" s="2039">
        <f t="shared" si="49"/>
        <v>0</v>
      </c>
      <c r="EF80" s="2039">
        <f t="shared" si="49"/>
        <v>0</v>
      </c>
      <c r="EG80" s="2039">
        <f t="shared" si="49"/>
        <v>0</v>
      </c>
      <c r="EH80" s="2039">
        <f t="shared" si="49"/>
        <v>0</v>
      </c>
      <c r="EI80" s="2040">
        <f t="shared" si="38"/>
        <v>0</v>
      </c>
      <c r="EJ80" s="2040">
        <f t="shared" si="38"/>
        <v>0</v>
      </c>
      <c r="EK80" s="2040">
        <f t="shared" si="38"/>
        <v>0</v>
      </c>
      <c r="EL80" s="2040">
        <f t="shared" si="37"/>
        <v>0</v>
      </c>
      <c r="EM80" s="2040">
        <f t="shared" si="37"/>
        <v>0</v>
      </c>
      <c r="EN80" s="2040">
        <f t="shared" si="37"/>
        <v>0</v>
      </c>
      <c r="EO80" s="2040">
        <f t="shared" si="37"/>
        <v>0</v>
      </c>
      <c r="EP80" s="2040">
        <f t="shared" si="37"/>
        <v>0</v>
      </c>
      <c r="EQ80" s="2040">
        <f t="shared" si="37"/>
        <v>0</v>
      </c>
      <c r="ER80" s="2040">
        <f t="shared" si="37"/>
        <v>0</v>
      </c>
      <c r="ES80" s="2040">
        <f t="shared" si="37"/>
        <v>0</v>
      </c>
      <c r="ET80" s="2040">
        <f t="shared" si="37"/>
        <v>0</v>
      </c>
      <c r="EU80" s="2039">
        <f t="shared" si="50"/>
        <v>0</v>
      </c>
      <c r="EV80" s="2039">
        <f t="shared" si="51"/>
        <v>0</v>
      </c>
    </row>
    <row r="81" spans="1:152" x14ac:dyDescent="0.25">
      <c r="A81" s="2041"/>
      <c r="B81" s="2022"/>
      <c r="C81" s="2023"/>
      <c r="D81" s="2024"/>
      <c r="E81" s="2024"/>
      <c r="F81" s="2023"/>
      <c r="G81" s="2026"/>
      <c r="H81" s="2026"/>
      <c r="I81" s="2026" t="e">
        <v>#N/A</v>
      </c>
      <c r="J81" s="2026" t="e">
        <v>#N/A</v>
      </c>
      <c r="K81" s="2026" t="e">
        <v>#N/A</v>
      </c>
      <c r="L81" s="2026" t="e">
        <v>#N/A</v>
      </c>
      <c r="M81" s="2027" t="e">
        <f t="shared" si="41"/>
        <v>#N/A</v>
      </c>
      <c r="N81" s="2027" t="e">
        <f t="shared" si="41"/>
        <v>#N/A</v>
      </c>
      <c r="O81" s="2027" t="e">
        <f t="shared" si="41"/>
        <v>#N/A</v>
      </c>
      <c r="P81" s="2027" t="e">
        <f t="shared" si="41"/>
        <v>#N/A</v>
      </c>
      <c r="Q81" s="2026" t="e">
        <v>#N/A</v>
      </c>
      <c r="R81" s="2026" t="e">
        <v>#N/A</v>
      </c>
      <c r="S81" s="2026" t="e">
        <v>#N/A</v>
      </c>
      <c r="T81" s="2026" t="e">
        <v>#N/A</v>
      </c>
      <c r="U81" s="2028" t="e">
        <f t="shared" si="42"/>
        <v>#N/A</v>
      </c>
      <c r="V81" s="2028" t="e">
        <f t="shared" si="42"/>
        <v>#N/A</v>
      </c>
      <c r="W81" s="2028" t="e">
        <f t="shared" si="42"/>
        <v>#N/A</v>
      </c>
      <c r="X81" s="2028" t="e">
        <f t="shared" si="42"/>
        <v>#N/A</v>
      </c>
      <c r="Y81" s="2026" t="e">
        <v>#N/A</v>
      </c>
      <c r="Z81" s="2026" t="e">
        <v>#N/A</v>
      </c>
      <c r="AA81" s="2026" t="e">
        <v>#N/A</v>
      </c>
      <c r="AB81" s="2026" t="e">
        <v>#N/A</v>
      </c>
      <c r="AC81" s="2027"/>
      <c r="AD81" s="2027"/>
      <c r="AE81" s="2027"/>
      <c r="AF81" s="2027"/>
      <c r="AG81" s="2027">
        <v>0</v>
      </c>
      <c r="AH81" s="2027">
        <v>0</v>
      </c>
      <c r="AI81" s="2027">
        <v>0</v>
      </c>
      <c r="AJ81" s="2027">
        <v>0</v>
      </c>
      <c r="AK81" s="2027"/>
      <c r="AL81" s="2027"/>
      <c r="AM81" s="2027"/>
      <c r="AN81" s="2027"/>
      <c r="AO81" s="2027"/>
      <c r="AP81" s="2027"/>
      <c r="AQ81" s="2027"/>
      <c r="AR81" s="2027">
        <f t="shared" si="29"/>
        <v>0</v>
      </c>
      <c r="AS81" s="1974"/>
      <c r="AT81" s="2029">
        <f t="shared" si="43"/>
        <v>0</v>
      </c>
      <c r="AU81" s="2029">
        <f t="shared" si="43"/>
        <v>0</v>
      </c>
      <c r="AV81" s="2029">
        <f t="shared" si="43"/>
        <v>0</v>
      </c>
      <c r="AW81" s="1974"/>
      <c r="AX81" s="2029">
        <f t="shared" si="44"/>
        <v>0</v>
      </c>
      <c r="AY81" s="2029">
        <f t="shared" si="44"/>
        <v>0</v>
      </c>
      <c r="AZ81" s="2029">
        <f t="shared" si="44"/>
        <v>0</v>
      </c>
      <c r="BA81" s="1974"/>
      <c r="BB81" s="2029">
        <f t="shared" si="45"/>
        <v>0</v>
      </c>
      <c r="BC81" s="2029">
        <f t="shared" si="45"/>
        <v>0</v>
      </c>
      <c r="BD81" s="2029">
        <f t="shared" si="45"/>
        <v>0</v>
      </c>
      <c r="BE81" s="2030">
        <f t="shared" si="46"/>
        <v>0</v>
      </c>
      <c r="BF81" s="2030">
        <f t="shared" si="46"/>
        <v>0</v>
      </c>
      <c r="BG81" s="2030">
        <f t="shared" si="46"/>
        <v>0</v>
      </c>
      <c r="BH81" s="2030">
        <f t="shared" si="46"/>
        <v>0</v>
      </c>
      <c r="BI81" s="2030">
        <f t="shared" si="47"/>
        <v>0</v>
      </c>
      <c r="BJ81" s="2030">
        <f t="shared" si="47"/>
        <v>0</v>
      </c>
      <c r="BK81" s="2030">
        <f t="shared" si="47"/>
        <v>0</v>
      </c>
      <c r="BL81" s="2030">
        <f t="shared" si="40"/>
        <v>0</v>
      </c>
      <c r="BM81" s="2031"/>
      <c r="BN81" s="2031"/>
      <c r="BO81" s="2031"/>
      <c r="BP81" s="2031"/>
      <c r="BQ81" s="2031"/>
      <c r="BR81" s="2031"/>
      <c r="BS81" s="2031"/>
      <c r="BT81" s="2031"/>
      <c r="BU81" s="2029"/>
      <c r="BV81" s="2029"/>
      <c r="BW81" s="2029"/>
      <c r="BX81" s="2029"/>
      <c r="BY81" s="2029"/>
      <c r="BZ81" s="2032"/>
      <c r="CA81" s="1974"/>
      <c r="CB81" s="1974"/>
      <c r="CC81" s="1974"/>
      <c r="CD81" s="1974"/>
      <c r="CE81" s="1974"/>
      <c r="CF81" s="2033">
        <v>0</v>
      </c>
      <c r="CG81" s="2026">
        <v>0</v>
      </c>
      <c r="CH81" s="2009"/>
      <c r="CI81" s="2029">
        <v>0</v>
      </c>
      <c r="CK81" s="2029">
        <f t="shared" si="48"/>
        <v>0</v>
      </c>
      <c r="CL81" s="2034">
        <v>1</v>
      </c>
      <c r="CM81" s="2034">
        <v>1</v>
      </c>
      <c r="CN81" s="2034">
        <v>1</v>
      </c>
      <c r="CO81" s="2034">
        <v>1</v>
      </c>
      <c r="CP81" s="2035"/>
      <c r="CQ81" s="2036"/>
      <c r="CR81" s="2036"/>
      <c r="CS81" s="2049"/>
      <c r="CT81" s="2049"/>
      <c r="CU81" s="2049"/>
      <c r="CW81" s="1973">
        <v>0</v>
      </c>
      <c r="CX81" s="2037">
        <v>0</v>
      </c>
      <c r="CY81" s="2037">
        <v>0</v>
      </c>
      <c r="CZ81" s="2037">
        <v>0</v>
      </c>
      <c r="DA81" s="2037">
        <v>0</v>
      </c>
      <c r="DK81" s="1973">
        <v>0</v>
      </c>
      <c r="DL81" s="1973">
        <v>0</v>
      </c>
      <c r="DM81" s="1973">
        <v>0</v>
      </c>
      <c r="DO81" s="2023"/>
      <c r="DP81" s="2024"/>
      <c r="DQ81" s="2024"/>
      <c r="DR81" s="2023"/>
      <c r="DS81" s="1974"/>
      <c r="DT81" s="2029">
        <v>0</v>
      </c>
      <c r="DU81" s="2029">
        <v>0</v>
      </c>
      <c r="DV81" s="2029">
        <v>0</v>
      </c>
      <c r="DW81" s="1974"/>
      <c r="DX81" s="2029">
        <v>0</v>
      </c>
      <c r="DY81" s="2029">
        <v>0</v>
      </c>
      <c r="DZ81" s="2029">
        <v>0</v>
      </c>
      <c r="EA81" s="1974"/>
      <c r="EB81" s="2029">
        <v>0</v>
      </c>
      <c r="EC81" s="2029">
        <v>0</v>
      </c>
      <c r="ED81" s="2029">
        <v>0</v>
      </c>
      <c r="EE81" s="2039">
        <f t="shared" si="49"/>
        <v>0</v>
      </c>
      <c r="EF81" s="2039">
        <f t="shared" si="49"/>
        <v>0</v>
      </c>
      <c r="EG81" s="2039">
        <f t="shared" si="49"/>
        <v>0</v>
      </c>
      <c r="EH81" s="2039">
        <f t="shared" si="49"/>
        <v>0</v>
      </c>
      <c r="EI81" s="2040">
        <f t="shared" si="38"/>
        <v>0</v>
      </c>
      <c r="EJ81" s="2040">
        <f t="shared" si="38"/>
        <v>0</v>
      </c>
      <c r="EK81" s="2040">
        <f t="shared" si="38"/>
        <v>0</v>
      </c>
      <c r="EL81" s="2040">
        <f t="shared" si="37"/>
        <v>0</v>
      </c>
      <c r="EM81" s="2040">
        <f t="shared" si="37"/>
        <v>0</v>
      </c>
      <c r="EN81" s="2040">
        <f t="shared" si="37"/>
        <v>0</v>
      </c>
      <c r="EO81" s="2040">
        <f t="shared" si="37"/>
        <v>0</v>
      </c>
      <c r="EP81" s="2040">
        <f t="shared" si="37"/>
        <v>0</v>
      </c>
      <c r="EQ81" s="2040">
        <f t="shared" si="37"/>
        <v>0</v>
      </c>
      <c r="ER81" s="2040">
        <f t="shared" si="37"/>
        <v>0</v>
      </c>
      <c r="ES81" s="2040">
        <f t="shared" si="37"/>
        <v>0</v>
      </c>
      <c r="ET81" s="2040">
        <f t="shared" si="37"/>
        <v>0</v>
      </c>
      <c r="EU81" s="2039">
        <f t="shared" si="50"/>
        <v>0</v>
      </c>
      <c r="EV81" s="2039">
        <f t="shared" si="51"/>
        <v>0</v>
      </c>
    </row>
    <row r="82" spans="1:152" x14ac:dyDescent="0.25">
      <c r="A82" s="2041" t="s">
        <v>232</v>
      </c>
      <c r="B82" s="2022" t="s">
        <v>2931</v>
      </c>
      <c r="C82" s="2023">
        <v>12</v>
      </c>
      <c r="D82" s="2024">
        <v>14521.3</v>
      </c>
      <c r="E82" s="2024">
        <v>2.52</v>
      </c>
      <c r="F82" s="2023">
        <v>0</v>
      </c>
      <c r="G82" s="2026" t="s">
        <v>2899</v>
      </c>
      <c r="H82" s="2026" t="s">
        <v>2899</v>
      </c>
      <c r="I82" s="2026">
        <v>0.84899999999999998</v>
      </c>
      <c r="J82" s="2026">
        <v>0.84899999999999998</v>
      </c>
      <c r="K82" s="2026">
        <v>0.84899999999999998</v>
      </c>
      <c r="L82" s="2026">
        <v>0.84899999999999998</v>
      </c>
      <c r="M82" s="2027">
        <f t="shared" si="41"/>
        <v>12328.583699999999</v>
      </c>
      <c r="N82" s="2027">
        <f t="shared" si="41"/>
        <v>12328.583699999999</v>
      </c>
      <c r="O82" s="2027">
        <f t="shared" si="41"/>
        <v>12328.583699999999</v>
      </c>
      <c r="P82" s="2027">
        <f t="shared" si="41"/>
        <v>12328.583699999999</v>
      </c>
      <c r="Q82" s="2026">
        <v>0.84899999999999998</v>
      </c>
      <c r="R82" s="2026">
        <v>0.84899999999999998</v>
      </c>
      <c r="S82" s="2026">
        <v>0.84899999999999998</v>
      </c>
      <c r="T82" s="2026">
        <v>0.84899999999999998</v>
      </c>
      <c r="U82" s="2028">
        <f t="shared" si="42"/>
        <v>2.1394799999999998</v>
      </c>
      <c r="V82" s="2028">
        <f t="shared" si="42"/>
        <v>2.1394799999999998</v>
      </c>
      <c r="W82" s="2028">
        <f t="shared" si="42"/>
        <v>2.1394799999999998</v>
      </c>
      <c r="X82" s="2028">
        <f t="shared" si="42"/>
        <v>2.1394799999999998</v>
      </c>
      <c r="Y82" s="2026">
        <v>0.67500000000000004</v>
      </c>
      <c r="Z82" s="2026">
        <v>0.67500000000000004</v>
      </c>
      <c r="AA82" s="2026">
        <v>0.67500000000000004</v>
      </c>
      <c r="AB82" s="2026">
        <v>0.67500000000000004</v>
      </c>
      <c r="AC82" s="2027">
        <f>$F82*Y82</f>
        <v>0</v>
      </c>
      <c r="AD82" s="2027">
        <f>$F82*Z82</f>
        <v>0</v>
      </c>
      <c r="AE82" s="2027">
        <f>$F82*AA82</f>
        <v>0</v>
      </c>
      <c r="AF82" s="2027">
        <f>$F82*AB82</f>
        <v>0</v>
      </c>
      <c r="AG82" s="2027">
        <v>1</v>
      </c>
      <c r="AH82" s="2027">
        <v>1</v>
      </c>
      <c r="AI82" s="2027">
        <v>1</v>
      </c>
      <c r="AJ82" s="2027">
        <v>1</v>
      </c>
      <c r="AK82" s="2027">
        <f>AG82*M82</f>
        <v>12328.583699999999</v>
      </c>
      <c r="AL82" s="2027">
        <f t="shared" ref="AL82:AN97" si="52">AH82*N82*CM82</f>
        <v>12328.583699999999</v>
      </c>
      <c r="AM82" s="2027">
        <f t="shared" si="52"/>
        <v>12328.583699999999</v>
      </c>
      <c r="AN82" s="2027">
        <f t="shared" si="52"/>
        <v>12328.583699999999</v>
      </c>
      <c r="AO82" s="2027">
        <f>AG82*AC82</f>
        <v>0</v>
      </c>
      <c r="AP82" s="2027">
        <f t="shared" ref="AP82:AR97" si="53">AH82*AD82*CM82</f>
        <v>0</v>
      </c>
      <c r="AQ82" s="2027">
        <f t="shared" si="53"/>
        <v>0</v>
      </c>
      <c r="AR82" s="2027">
        <f t="shared" si="29"/>
        <v>0</v>
      </c>
      <c r="AS82" s="2029">
        <v>350</v>
      </c>
      <c r="AT82" s="2029">
        <f t="shared" si="43"/>
        <v>350</v>
      </c>
      <c r="AU82" s="2029">
        <f t="shared" si="43"/>
        <v>350</v>
      </c>
      <c r="AV82" s="2029">
        <f t="shared" si="43"/>
        <v>350</v>
      </c>
      <c r="AW82" s="2029"/>
      <c r="AX82" s="2029">
        <f t="shared" si="44"/>
        <v>0</v>
      </c>
      <c r="AY82" s="2029">
        <f t="shared" si="44"/>
        <v>0</v>
      </c>
      <c r="AZ82" s="2029">
        <f t="shared" si="44"/>
        <v>0</v>
      </c>
      <c r="BA82" s="2029">
        <v>2490</v>
      </c>
      <c r="BB82" s="2029">
        <f t="shared" si="45"/>
        <v>2490</v>
      </c>
      <c r="BC82" s="2029">
        <f t="shared" si="45"/>
        <v>2490</v>
      </c>
      <c r="BD82" s="2029">
        <f t="shared" si="45"/>
        <v>2490</v>
      </c>
      <c r="BE82" s="2030">
        <f t="shared" si="46"/>
        <v>350</v>
      </c>
      <c r="BF82" s="2030">
        <f t="shared" si="46"/>
        <v>350</v>
      </c>
      <c r="BG82" s="2030">
        <f t="shared" si="46"/>
        <v>350</v>
      </c>
      <c r="BH82" s="2030">
        <f t="shared" si="46"/>
        <v>350</v>
      </c>
      <c r="BI82" s="2030">
        <f t="shared" si="47"/>
        <v>0</v>
      </c>
      <c r="BJ82" s="2030">
        <f t="shared" si="47"/>
        <v>0</v>
      </c>
      <c r="BK82" s="2030">
        <f t="shared" si="47"/>
        <v>0</v>
      </c>
      <c r="BL82" s="2030">
        <f t="shared" si="40"/>
        <v>0</v>
      </c>
      <c r="BM82" s="2031"/>
      <c r="BN82" s="2031"/>
      <c r="BO82" s="2031"/>
      <c r="BP82" s="2031"/>
      <c r="BQ82" s="2031"/>
      <c r="BR82" s="2031"/>
      <c r="BS82" s="2031"/>
      <c r="BT82" s="2031"/>
      <c r="BU82" s="2029"/>
      <c r="BV82" s="2029"/>
      <c r="BW82" s="2029"/>
      <c r="BX82" s="2029"/>
      <c r="BY82" s="2029"/>
      <c r="BZ82" s="2032"/>
      <c r="CA82" s="2027">
        <v>76703</v>
      </c>
      <c r="CB82" s="1974"/>
      <c r="CC82" s="1974"/>
      <c r="CD82" s="1974"/>
      <c r="CE82" s="1974">
        <v>0</v>
      </c>
      <c r="CF82" s="2033">
        <v>5.1537632108686477E-5</v>
      </c>
      <c r="CG82" s="2026">
        <v>0</v>
      </c>
      <c r="CH82" s="2009">
        <v>0</v>
      </c>
      <c r="CI82" s="2029">
        <v>0</v>
      </c>
      <c r="CK82" s="2029">
        <f t="shared" si="48"/>
        <v>0</v>
      </c>
      <c r="CL82" s="2034">
        <v>1</v>
      </c>
      <c r="CM82" s="2034">
        <v>1</v>
      </c>
      <c r="CN82" s="2034">
        <v>1</v>
      </c>
      <c r="CO82" s="2034">
        <v>1</v>
      </c>
      <c r="CP82" s="2035"/>
      <c r="CQ82" s="2036"/>
      <c r="CR82" s="2036"/>
      <c r="CS82" s="2036"/>
      <c r="CT82" s="2036"/>
      <c r="CU82" s="2036"/>
      <c r="CW82" s="1973">
        <v>0</v>
      </c>
      <c r="CX82" s="2037">
        <v>350</v>
      </c>
      <c r="CY82" s="2037">
        <v>350</v>
      </c>
      <c r="CZ82" s="2037">
        <v>350</v>
      </c>
      <c r="DA82" s="2037">
        <v>350</v>
      </c>
      <c r="DJ82" s="1976">
        <v>350</v>
      </c>
      <c r="DK82" s="1973">
        <v>350</v>
      </c>
      <c r="DL82" s="1973">
        <v>350</v>
      </c>
      <c r="DM82" s="1973">
        <v>350</v>
      </c>
      <c r="DO82" s="2023">
        <v>12</v>
      </c>
      <c r="DP82" s="2024">
        <v>14521.3</v>
      </c>
      <c r="DQ82" s="2024">
        <v>2.52</v>
      </c>
      <c r="DR82" s="2023">
        <v>0</v>
      </c>
      <c r="DS82" s="2029">
        <v>350</v>
      </c>
      <c r="DT82" s="2029">
        <v>350</v>
      </c>
      <c r="DU82" s="2029">
        <v>350</v>
      </c>
      <c r="DV82" s="2029">
        <v>350</v>
      </c>
      <c r="DW82" s="2029"/>
      <c r="DX82" s="2029">
        <v>0</v>
      </c>
      <c r="DY82" s="2029">
        <v>0</v>
      </c>
      <c r="DZ82" s="2029">
        <v>0</v>
      </c>
      <c r="EA82" s="2029">
        <v>2490</v>
      </c>
      <c r="EB82" s="2029">
        <v>2490</v>
      </c>
      <c r="EC82" s="2029">
        <v>2490</v>
      </c>
      <c r="ED82" s="2029">
        <v>2490</v>
      </c>
      <c r="EE82" s="2039">
        <f t="shared" si="49"/>
        <v>0</v>
      </c>
      <c r="EF82" s="2039">
        <f t="shared" si="49"/>
        <v>0</v>
      </c>
      <c r="EG82" s="2039">
        <f t="shared" si="49"/>
        <v>0</v>
      </c>
      <c r="EH82" s="2039">
        <f t="shared" si="49"/>
        <v>0</v>
      </c>
      <c r="EI82" s="2040">
        <f t="shared" si="38"/>
        <v>0</v>
      </c>
      <c r="EJ82" s="2040">
        <f t="shared" si="38"/>
        <v>0</v>
      </c>
      <c r="EK82" s="2040">
        <f t="shared" si="38"/>
        <v>0</v>
      </c>
      <c r="EL82" s="2040">
        <f t="shared" si="37"/>
        <v>0</v>
      </c>
      <c r="EM82" s="2040">
        <f t="shared" si="37"/>
        <v>0</v>
      </c>
      <c r="EN82" s="2040">
        <f t="shared" si="37"/>
        <v>0</v>
      </c>
      <c r="EO82" s="2040">
        <f t="shared" si="37"/>
        <v>0</v>
      </c>
      <c r="EP82" s="2040">
        <f t="shared" si="37"/>
        <v>0</v>
      </c>
      <c r="EQ82" s="2040">
        <f t="shared" si="37"/>
        <v>0</v>
      </c>
      <c r="ER82" s="2040">
        <f t="shared" si="37"/>
        <v>0</v>
      </c>
      <c r="ES82" s="2040">
        <f t="shared" si="37"/>
        <v>0</v>
      </c>
      <c r="ET82" s="2040">
        <f t="shared" si="37"/>
        <v>0</v>
      </c>
      <c r="EU82" s="2039">
        <f t="shared" si="50"/>
        <v>0</v>
      </c>
      <c r="EV82" s="2039">
        <f t="shared" si="51"/>
        <v>0</v>
      </c>
    </row>
    <row r="83" spans="1:152" x14ac:dyDescent="0.25">
      <c r="A83" s="2041" t="s">
        <v>130</v>
      </c>
      <c r="B83" s="2022" t="s">
        <v>2932</v>
      </c>
      <c r="C83" s="2023">
        <v>12</v>
      </c>
      <c r="D83" s="2024">
        <v>16929.41</v>
      </c>
      <c r="E83" s="2024">
        <v>2.94</v>
      </c>
      <c r="F83" s="2023">
        <v>0</v>
      </c>
      <c r="G83" s="2026" t="s">
        <v>2899</v>
      </c>
      <c r="H83" s="2026" t="s">
        <v>2899</v>
      </c>
      <c r="I83" s="2026">
        <v>0.84899999999999998</v>
      </c>
      <c r="J83" s="2026">
        <v>0.84899999999999998</v>
      </c>
      <c r="K83" s="2026">
        <v>0.84899999999999998</v>
      </c>
      <c r="L83" s="2026">
        <v>0.84899999999999998</v>
      </c>
      <c r="M83" s="2027">
        <f t="shared" si="41"/>
        <v>14373.069089999999</v>
      </c>
      <c r="N83" s="2027">
        <f t="shared" si="41"/>
        <v>14373.069089999999</v>
      </c>
      <c r="O83" s="2027">
        <f t="shared" si="41"/>
        <v>14373.069089999999</v>
      </c>
      <c r="P83" s="2027">
        <f t="shared" si="41"/>
        <v>14373.069089999999</v>
      </c>
      <c r="Q83" s="2026">
        <v>0.84899999999999998</v>
      </c>
      <c r="R83" s="2026">
        <v>0.84899999999999998</v>
      </c>
      <c r="S83" s="2026">
        <v>0.84899999999999998</v>
      </c>
      <c r="T83" s="2026">
        <v>0.84899999999999998</v>
      </c>
      <c r="U83" s="2028">
        <f t="shared" si="42"/>
        <v>2.4960599999999999</v>
      </c>
      <c r="V83" s="2028">
        <f t="shared" si="42"/>
        <v>2.4960599999999999</v>
      </c>
      <c r="W83" s="2028">
        <f t="shared" si="42"/>
        <v>2.4960599999999999</v>
      </c>
      <c r="X83" s="2028">
        <f t="shared" si="42"/>
        <v>2.4960599999999999</v>
      </c>
      <c r="Y83" s="2026">
        <v>0.67500000000000004</v>
      </c>
      <c r="Z83" s="2026">
        <v>0.67500000000000004</v>
      </c>
      <c r="AA83" s="2026">
        <v>0.67500000000000004</v>
      </c>
      <c r="AB83" s="2026">
        <v>0.67500000000000004</v>
      </c>
      <c r="AC83" s="2027">
        <f t="shared" ref="AC83:AF92" si="54">$F83*Y83</f>
        <v>0</v>
      </c>
      <c r="AD83" s="2027">
        <f t="shared" si="54"/>
        <v>0</v>
      </c>
      <c r="AE83" s="2027">
        <f t="shared" si="54"/>
        <v>0</v>
      </c>
      <c r="AF83" s="2027">
        <f t="shared" si="54"/>
        <v>0</v>
      </c>
      <c r="AG83" s="2027">
        <v>1</v>
      </c>
      <c r="AH83" s="2027">
        <v>1</v>
      </c>
      <c r="AI83" s="2027">
        <v>1</v>
      </c>
      <c r="AJ83" s="2027">
        <v>1</v>
      </c>
      <c r="AK83" s="2027">
        <f t="shared" ref="AK83:AK92" si="55">AG83*M83</f>
        <v>14373.069089999999</v>
      </c>
      <c r="AL83" s="2027">
        <f t="shared" si="52"/>
        <v>14373.069089999999</v>
      </c>
      <c r="AM83" s="2027">
        <f t="shared" si="52"/>
        <v>14373.069089999999</v>
      </c>
      <c r="AN83" s="2027">
        <f t="shared" si="52"/>
        <v>14373.069089999999</v>
      </c>
      <c r="AO83" s="2027">
        <f t="shared" ref="AO83:AO92" si="56">AG83*AC83</f>
        <v>0</v>
      </c>
      <c r="AP83" s="2027">
        <f t="shared" si="53"/>
        <v>0</v>
      </c>
      <c r="AQ83" s="2027">
        <f t="shared" si="53"/>
        <v>0</v>
      </c>
      <c r="AR83" s="2027">
        <f t="shared" si="29"/>
        <v>0</v>
      </c>
      <c r="AS83" s="2029">
        <v>400</v>
      </c>
      <c r="AT83" s="2029">
        <f t="shared" si="43"/>
        <v>400</v>
      </c>
      <c r="AU83" s="2029">
        <f t="shared" si="43"/>
        <v>400</v>
      </c>
      <c r="AV83" s="2029">
        <f t="shared" si="43"/>
        <v>400</v>
      </c>
      <c r="AW83" s="2029"/>
      <c r="AX83" s="2029">
        <f t="shared" si="44"/>
        <v>0</v>
      </c>
      <c r="AY83" s="2029">
        <f t="shared" si="44"/>
        <v>0</v>
      </c>
      <c r="AZ83" s="2029">
        <f t="shared" si="44"/>
        <v>0</v>
      </c>
      <c r="BA83" s="2029">
        <v>2490</v>
      </c>
      <c r="BB83" s="2029">
        <f t="shared" si="45"/>
        <v>2490</v>
      </c>
      <c r="BC83" s="2029">
        <f t="shared" si="45"/>
        <v>2490</v>
      </c>
      <c r="BD83" s="2029">
        <f t="shared" si="45"/>
        <v>2490</v>
      </c>
      <c r="BE83" s="2030">
        <f t="shared" si="46"/>
        <v>400</v>
      </c>
      <c r="BF83" s="2030">
        <f t="shared" si="46"/>
        <v>400</v>
      </c>
      <c r="BG83" s="2030">
        <f t="shared" si="46"/>
        <v>400</v>
      </c>
      <c r="BH83" s="2030">
        <f t="shared" si="46"/>
        <v>400</v>
      </c>
      <c r="BI83" s="2030">
        <f t="shared" si="47"/>
        <v>0</v>
      </c>
      <c r="BJ83" s="2030">
        <f t="shared" si="47"/>
        <v>0</v>
      </c>
      <c r="BK83" s="2030">
        <f t="shared" si="47"/>
        <v>0</v>
      </c>
      <c r="BL83" s="2030">
        <f t="shared" si="40"/>
        <v>0</v>
      </c>
      <c r="BM83" s="2031"/>
      <c r="BN83" s="2031"/>
      <c r="BO83" s="2031"/>
      <c r="BP83" s="2031"/>
      <c r="BQ83" s="2031"/>
      <c r="BR83" s="2031"/>
      <c r="BS83" s="2031"/>
      <c r="BT83" s="2031"/>
      <c r="BU83" s="2029"/>
      <c r="BV83" s="2029"/>
      <c r="BW83" s="2029"/>
      <c r="BX83" s="2029"/>
      <c r="BY83" s="2029"/>
      <c r="BZ83" s="2032"/>
      <c r="CA83" s="2027">
        <v>76703</v>
      </c>
      <c r="CB83" s="1974"/>
      <c r="CC83" s="1974"/>
      <c r="CD83" s="1974"/>
      <c r="CE83" s="1974">
        <v>0</v>
      </c>
      <c r="CF83" s="2033">
        <v>6.0084269617535481E-5</v>
      </c>
      <c r="CG83" s="2026">
        <v>0</v>
      </c>
      <c r="CH83" s="2009">
        <v>0</v>
      </c>
      <c r="CI83" s="2029">
        <v>0</v>
      </c>
      <c r="CK83" s="2029">
        <f t="shared" si="48"/>
        <v>0</v>
      </c>
      <c r="CL83" s="2034">
        <v>1</v>
      </c>
      <c r="CM83" s="2034">
        <v>1</v>
      </c>
      <c r="CN83" s="2034">
        <v>1</v>
      </c>
      <c r="CO83" s="2034">
        <v>1</v>
      </c>
      <c r="CP83" s="2035"/>
      <c r="CQ83" s="2036"/>
      <c r="CR83" s="2036"/>
      <c r="CS83" s="2036"/>
      <c r="CT83" s="2036"/>
      <c r="CU83" s="2036"/>
      <c r="CW83" s="1973">
        <v>0</v>
      </c>
      <c r="CX83" s="2037">
        <v>400</v>
      </c>
      <c r="CY83" s="2037">
        <v>400</v>
      </c>
      <c r="CZ83" s="2037">
        <v>400</v>
      </c>
      <c r="DA83" s="2037">
        <v>400</v>
      </c>
      <c r="DJ83" s="1976">
        <v>400</v>
      </c>
      <c r="DK83" s="1973">
        <v>400</v>
      </c>
      <c r="DL83" s="1973">
        <v>400</v>
      </c>
      <c r="DM83" s="1973">
        <v>400</v>
      </c>
      <c r="DO83" s="2023">
        <v>12</v>
      </c>
      <c r="DP83" s="2024">
        <v>16929.41</v>
      </c>
      <c r="DQ83" s="2024">
        <v>2.94</v>
      </c>
      <c r="DR83" s="2023">
        <v>0</v>
      </c>
      <c r="DS83" s="2029">
        <v>400</v>
      </c>
      <c r="DT83" s="2029">
        <v>400</v>
      </c>
      <c r="DU83" s="2029">
        <v>400</v>
      </c>
      <c r="DV83" s="2029">
        <v>400</v>
      </c>
      <c r="DW83" s="2029"/>
      <c r="DX83" s="2029">
        <v>0</v>
      </c>
      <c r="DY83" s="2029">
        <v>0</v>
      </c>
      <c r="DZ83" s="2029">
        <v>0</v>
      </c>
      <c r="EA83" s="2029">
        <v>2490</v>
      </c>
      <c r="EB83" s="2029">
        <v>2490</v>
      </c>
      <c r="EC83" s="2029">
        <v>2490</v>
      </c>
      <c r="ED83" s="2029">
        <v>2490</v>
      </c>
      <c r="EE83" s="2039">
        <f t="shared" si="49"/>
        <v>0</v>
      </c>
      <c r="EF83" s="2039">
        <f t="shared" si="49"/>
        <v>0</v>
      </c>
      <c r="EG83" s="2039">
        <f t="shared" si="49"/>
        <v>0</v>
      </c>
      <c r="EH83" s="2039">
        <f t="shared" si="49"/>
        <v>0</v>
      </c>
      <c r="EI83" s="2040">
        <f t="shared" si="38"/>
        <v>0</v>
      </c>
      <c r="EJ83" s="2040">
        <f t="shared" si="38"/>
        <v>0</v>
      </c>
      <c r="EK83" s="2040">
        <f t="shared" si="38"/>
        <v>0</v>
      </c>
      <c r="EL83" s="2040">
        <f t="shared" si="37"/>
        <v>0</v>
      </c>
      <c r="EM83" s="2040">
        <f t="shared" si="37"/>
        <v>0</v>
      </c>
      <c r="EN83" s="2040">
        <f t="shared" si="37"/>
        <v>0</v>
      </c>
      <c r="EO83" s="2040">
        <f t="shared" si="37"/>
        <v>0</v>
      </c>
      <c r="EP83" s="2040">
        <f t="shared" si="37"/>
        <v>0</v>
      </c>
      <c r="EQ83" s="2040">
        <f t="shared" si="37"/>
        <v>0</v>
      </c>
      <c r="ER83" s="2040">
        <f t="shared" si="37"/>
        <v>0</v>
      </c>
      <c r="ES83" s="2040">
        <f t="shared" si="37"/>
        <v>0</v>
      </c>
      <c r="ET83" s="2040">
        <f t="shared" si="37"/>
        <v>0</v>
      </c>
      <c r="EU83" s="2039">
        <f t="shared" si="50"/>
        <v>0</v>
      </c>
      <c r="EV83" s="2039">
        <f t="shared" si="51"/>
        <v>0</v>
      </c>
    </row>
    <row r="84" spans="1:152" x14ac:dyDescent="0.25">
      <c r="A84" s="2041" t="s">
        <v>233</v>
      </c>
      <c r="B84" s="2022" t="s">
        <v>2933</v>
      </c>
      <c r="C84" s="2023">
        <v>12</v>
      </c>
      <c r="D84" s="2024">
        <v>25206.89</v>
      </c>
      <c r="E84" s="2024">
        <v>4.38</v>
      </c>
      <c r="F84" s="2023">
        <v>0</v>
      </c>
      <c r="G84" s="2026" t="s">
        <v>2899</v>
      </c>
      <c r="H84" s="2026" t="s">
        <v>2899</v>
      </c>
      <c r="I84" s="2026">
        <v>0.84899999999999998</v>
      </c>
      <c r="J84" s="2026">
        <v>0.84899999999999998</v>
      </c>
      <c r="K84" s="2026">
        <v>0.84899999999999998</v>
      </c>
      <c r="L84" s="2026">
        <v>0.84899999999999998</v>
      </c>
      <c r="M84" s="2027">
        <f t="shared" si="41"/>
        <v>21400.64961</v>
      </c>
      <c r="N84" s="2027">
        <f t="shared" si="41"/>
        <v>21400.64961</v>
      </c>
      <c r="O84" s="2027">
        <f t="shared" si="41"/>
        <v>21400.64961</v>
      </c>
      <c r="P84" s="2027">
        <f t="shared" si="41"/>
        <v>21400.64961</v>
      </c>
      <c r="Q84" s="2026">
        <v>0.84899999999999998</v>
      </c>
      <c r="R84" s="2026">
        <v>0.84899999999999998</v>
      </c>
      <c r="S84" s="2026">
        <v>0.84899999999999998</v>
      </c>
      <c r="T84" s="2026">
        <v>0.84899999999999998</v>
      </c>
      <c r="U84" s="2028">
        <f t="shared" si="42"/>
        <v>3.7186199999999996</v>
      </c>
      <c r="V84" s="2028">
        <f t="shared" si="42"/>
        <v>3.7186199999999996</v>
      </c>
      <c r="W84" s="2028">
        <f t="shared" si="42"/>
        <v>3.7186199999999996</v>
      </c>
      <c r="X84" s="2028">
        <f t="shared" si="42"/>
        <v>3.7186199999999996</v>
      </c>
      <c r="Y84" s="2026">
        <v>0.67500000000000004</v>
      </c>
      <c r="Z84" s="2026">
        <v>0.67500000000000004</v>
      </c>
      <c r="AA84" s="2026">
        <v>0.67500000000000004</v>
      </c>
      <c r="AB84" s="2026">
        <v>0.67500000000000004</v>
      </c>
      <c r="AC84" s="2027">
        <f t="shared" si="54"/>
        <v>0</v>
      </c>
      <c r="AD84" s="2027">
        <f t="shared" si="54"/>
        <v>0</v>
      </c>
      <c r="AE84" s="2027">
        <f t="shared" si="54"/>
        <v>0</v>
      </c>
      <c r="AF84" s="2027">
        <f t="shared" si="54"/>
        <v>0</v>
      </c>
      <c r="AG84" s="2027">
        <v>1</v>
      </c>
      <c r="AH84" s="2027">
        <v>1</v>
      </c>
      <c r="AI84" s="2027">
        <v>1</v>
      </c>
      <c r="AJ84" s="2027">
        <v>1</v>
      </c>
      <c r="AK84" s="2027">
        <f t="shared" si="55"/>
        <v>21400.64961</v>
      </c>
      <c r="AL84" s="2027">
        <f t="shared" si="52"/>
        <v>21400.64961</v>
      </c>
      <c r="AM84" s="2027">
        <f t="shared" si="52"/>
        <v>21400.64961</v>
      </c>
      <c r="AN84" s="2027">
        <f t="shared" si="52"/>
        <v>21400.64961</v>
      </c>
      <c r="AO84" s="2027">
        <f t="shared" si="56"/>
        <v>0</v>
      </c>
      <c r="AP84" s="2027">
        <f t="shared" si="53"/>
        <v>0</v>
      </c>
      <c r="AQ84" s="2027">
        <f t="shared" si="53"/>
        <v>0</v>
      </c>
      <c r="AR84" s="2027">
        <f t="shared" si="29"/>
        <v>0</v>
      </c>
      <c r="AS84" s="2029">
        <v>450</v>
      </c>
      <c r="AT84" s="2029">
        <f t="shared" si="43"/>
        <v>450</v>
      </c>
      <c r="AU84" s="2029">
        <f t="shared" si="43"/>
        <v>450</v>
      </c>
      <c r="AV84" s="2029">
        <f t="shared" si="43"/>
        <v>450</v>
      </c>
      <c r="AW84" s="2029"/>
      <c r="AX84" s="2029">
        <f t="shared" si="44"/>
        <v>0</v>
      </c>
      <c r="AY84" s="2029">
        <f t="shared" si="44"/>
        <v>0</v>
      </c>
      <c r="AZ84" s="2029">
        <f t="shared" si="44"/>
        <v>0</v>
      </c>
      <c r="BA84" s="2029">
        <v>2490</v>
      </c>
      <c r="BB84" s="2029">
        <f t="shared" si="45"/>
        <v>2490</v>
      </c>
      <c r="BC84" s="2029">
        <f t="shared" si="45"/>
        <v>2490</v>
      </c>
      <c r="BD84" s="2029">
        <f t="shared" si="45"/>
        <v>2490</v>
      </c>
      <c r="BE84" s="2030">
        <f t="shared" si="46"/>
        <v>450</v>
      </c>
      <c r="BF84" s="2030">
        <f t="shared" si="46"/>
        <v>450</v>
      </c>
      <c r="BG84" s="2030">
        <f t="shared" si="46"/>
        <v>450</v>
      </c>
      <c r="BH84" s="2030">
        <f t="shared" si="46"/>
        <v>450</v>
      </c>
      <c r="BI84" s="2030">
        <f t="shared" si="47"/>
        <v>0</v>
      </c>
      <c r="BJ84" s="2030">
        <f t="shared" si="47"/>
        <v>0</v>
      </c>
      <c r="BK84" s="2030">
        <f t="shared" si="47"/>
        <v>0</v>
      </c>
      <c r="BL84" s="2030">
        <f t="shared" si="40"/>
        <v>0</v>
      </c>
      <c r="BM84" s="2031"/>
      <c r="BN84" s="2031"/>
      <c r="BO84" s="2031"/>
      <c r="BP84" s="2031"/>
      <c r="BQ84" s="2031"/>
      <c r="BR84" s="2031"/>
      <c r="BS84" s="2031"/>
      <c r="BT84" s="2031"/>
      <c r="BU84" s="2029"/>
      <c r="BV84" s="2029"/>
      <c r="BW84" s="2029"/>
      <c r="BX84" s="2029"/>
      <c r="BY84" s="2029"/>
      <c r="BZ84" s="2032"/>
      <c r="CA84" s="2027">
        <v>76703</v>
      </c>
      <c r="CB84" s="1974"/>
      <c r="CC84" s="1974"/>
      <c r="CD84" s="1974"/>
      <c r="CE84" s="1974">
        <v>0</v>
      </c>
      <c r="CF84" s="2033">
        <v>8.946192306640096E-5</v>
      </c>
      <c r="CG84" s="2026">
        <v>0</v>
      </c>
      <c r="CH84" s="2009">
        <v>0</v>
      </c>
      <c r="CI84" s="2029">
        <v>0</v>
      </c>
      <c r="CK84" s="2029">
        <f t="shared" si="48"/>
        <v>0</v>
      </c>
      <c r="CL84" s="2034">
        <v>1</v>
      </c>
      <c r="CM84" s="2034">
        <v>1</v>
      </c>
      <c r="CN84" s="2034">
        <v>1</v>
      </c>
      <c r="CO84" s="2034">
        <v>1</v>
      </c>
      <c r="CP84" s="2035"/>
      <c r="CQ84" s="2036"/>
      <c r="CR84" s="2036"/>
      <c r="CS84" s="2036"/>
      <c r="CT84" s="2036"/>
      <c r="CU84" s="2036"/>
      <c r="CW84" s="1973">
        <v>0</v>
      </c>
      <c r="CX84" s="2037">
        <v>450</v>
      </c>
      <c r="CY84" s="2037">
        <v>450</v>
      </c>
      <c r="CZ84" s="2037">
        <v>450</v>
      </c>
      <c r="DA84" s="2037">
        <v>450</v>
      </c>
      <c r="DJ84" s="1976">
        <v>450</v>
      </c>
      <c r="DK84" s="1973">
        <v>450</v>
      </c>
      <c r="DL84" s="1973">
        <v>450</v>
      </c>
      <c r="DM84" s="1973">
        <v>450</v>
      </c>
      <c r="DO84" s="2023">
        <v>12</v>
      </c>
      <c r="DP84" s="2024">
        <v>25206.89</v>
      </c>
      <c r="DQ84" s="2024">
        <v>4.38</v>
      </c>
      <c r="DR84" s="2023">
        <v>0</v>
      </c>
      <c r="DS84" s="2029">
        <v>450</v>
      </c>
      <c r="DT84" s="2029">
        <v>450</v>
      </c>
      <c r="DU84" s="2029">
        <v>450</v>
      </c>
      <c r="DV84" s="2029">
        <v>450</v>
      </c>
      <c r="DW84" s="2029"/>
      <c r="DX84" s="2029">
        <v>0</v>
      </c>
      <c r="DY84" s="2029">
        <v>0</v>
      </c>
      <c r="DZ84" s="2029">
        <v>0</v>
      </c>
      <c r="EA84" s="2029">
        <v>2490</v>
      </c>
      <c r="EB84" s="2029">
        <v>2490</v>
      </c>
      <c r="EC84" s="2029">
        <v>2490</v>
      </c>
      <c r="ED84" s="2029">
        <v>2490</v>
      </c>
      <c r="EE84" s="2039">
        <f t="shared" si="49"/>
        <v>0</v>
      </c>
      <c r="EF84" s="2039">
        <f t="shared" si="49"/>
        <v>0</v>
      </c>
      <c r="EG84" s="2039">
        <f t="shared" si="49"/>
        <v>0</v>
      </c>
      <c r="EH84" s="2039">
        <f t="shared" si="49"/>
        <v>0</v>
      </c>
      <c r="EI84" s="2040">
        <f t="shared" si="38"/>
        <v>0</v>
      </c>
      <c r="EJ84" s="2040">
        <f t="shared" si="38"/>
        <v>0</v>
      </c>
      <c r="EK84" s="2040">
        <f t="shared" si="38"/>
        <v>0</v>
      </c>
      <c r="EL84" s="2040">
        <f t="shared" si="37"/>
        <v>0</v>
      </c>
      <c r="EM84" s="2040">
        <f t="shared" si="37"/>
        <v>0</v>
      </c>
      <c r="EN84" s="2040">
        <f t="shared" si="37"/>
        <v>0</v>
      </c>
      <c r="EO84" s="2040">
        <f t="shared" si="37"/>
        <v>0</v>
      </c>
      <c r="EP84" s="2040">
        <f t="shared" si="37"/>
        <v>0</v>
      </c>
      <c r="EQ84" s="2040">
        <f t="shared" si="37"/>
        <v>0</v>
      </c>
      <c r="ER84" s="2040">
        <f t="shared" si="37"/>
        <v>0</v>
      </c>
      <c r="ES84" s="2040">
        <f t="shared" si="37"/>
        <v>0</v>
      </c>
      <c r="ET84" s="2040">
        <f t="shared" si="37"/>
        <v>0</v>
      </c>
      <c r="EU84" s="2039">
        <f t="shared" si="50"/>
        <v>0</v>
      </c>
      <c r="EV84" s="2039">
        <f t="shared" si="51"/>
        <v>0</v>
      </c>
    </row>
    <row r="85" spans="1:152" x14ac:dyDescent="0.25">
      <c r="A85" s="2041" t="s">
        <v>234</v>
      </c>
      <c r="B85" s="2022" t="s">
        <v>2934</v>
      </c>
      <c r="C85" s="2023">
        <v>12</v>
      </c>
      <c r="D85" s="2024">
        <v>26089.03</v>
      </c>
      <c r="E85" s="2024">
        <v>4.54</v>
      </c>
      <c r="F85" s="2023">
        <v>0</v>
      </c>
      <c r="G85" s="2026" t="s">
        <v>2899</v>
      </c>
      <c r="H85" s="2026" t="s">
        <v>2899</v>
      </c>
      <c r="I85" s="2026">
        <v>0.84899999999999998</v>
      </c>
      <c r="J85" s="2026">
        <v>0.84899999999999998</v>
      </c>
      <c r="K85" s="2026">
        <v>0.84899999999999998</v>
      </c>
      <c r="L85" s="2026">
        <v>0.84899999999999998</v>
      </c>
      <c r="M85" s="2027">
        <f t="shared" si="41"/>
        <v>22149.586469999998</v>
      </c>
      <c r="N85" s="2027">
        <f t="shared" si="41"/>
        <v>22149.586469999998</v>
      </c>
      <c r="O85" s="2027">
        <f t="shared" si="41"/>
        <v>22149.586469999998</v>
      </c>
      <c r="P85" s="2027">
        <f t="shared" si="41"/>
        <v>22149.586469999998</v>
      </c>
      <c r="Q85" s="2026">
        <v>0.84899999999999998</v>
      </c>
      <c r="R85" s="2026">
        <v>0.84899999999999998</v>
      </c>
      <c r="S85" s="2026">
        <v>0.84899999999999998</v>
      </c>
      <c r="T85" s="2026">
        <v>0.84899999999999998</v>
      </c>
      <c r="U85" s="2028">
        <f t="shared" si="42"/>
        <v>3.85446</v>
      </c>
      <c r="V85" s="2028">
        <f t="shared" si="42"/>
        <v>3.85446</v>
      </c>
      <c r="W85" s="2028">
        <f t="shared" si="42"/>
        <v>3.85446</v>
      </c>
      <c r="X85" s="2028">
        <f t="shared" si="42"/>
        <v>3.85446</v>
      </c>
      <c r="Y85" s="2026">
        <v>0.67500000000000004</v>
      </c>
      <c r="Z85" s="2026">
        <v>0.67500000000000004</v>
      </c>
      <c r="AA85" s="2026">
        <v>0.67500000000000004</v>
      </c>
      <c r="AB85" s="2026">
        <v>0.67500000000000004</v>
      </c>
      <c r="AC85" s="2027">
        <f t="shared" si="54"/>
        <v>0</v>
      </c>
      <c r="AD85" s="2027">
        <f t="shared" si="54"/>
        <v>0</v>
      </c>
      <c r="AE85" s="2027">
        <f t="shared" si="54"/>
        <v>0</v>
      </c>
      <c r="AF85" s="2027">
        <f t="shared" si="54"/>
        <v>0</v>
      </c>
      <c r="AG85" s="2027">
        <v>1</v>
      </c>
      <c r="AH85" s="2027">
        <v>1</v>
      </c>
      <c r="AI85" s="2027">
        <v>1</v>
      </c>
      <c r="AJ85" s="2027">
        <v>1</v>
      </c>
      <c r="AK85" s="2027">
        <f t="shared" si="55"/>
        <v>22149.586469999998</v>
      </c>
      <c r="AL85" s="2027">
        <f t="shared" si="52"/>
        <v>22149.586469999998</v>
      </c>
      <c r="AM85" s="2027">
        <f t="shared" si="52"/>
        <v>22149.586469999998</v>
      </c>
      <c r="AN85" s="2027">
        <f t="shared" si="52"/>
        <v>22149.586469999998</v>
      </c>
      <c r="AO85" s="2027">
        <f t="shared" si="56"/>
        <v>0</v>
      </c>
      <c r="AP85" s="2027">
        <f t="shared" si="53"/>
        <v>0</v>
      </c>
      <c r="AQ85" s="2027">
        <f t="shared" si="53"/>
        <v>0</v>
      </c>
      <c r="AR85" s="2027">
        <f t="shared" si="29"/>
        <v>0</v>
      </c>
      <c r="AS85" s="2029">
        <v>500</v>
      </c>
      <c r="AT85" s="2029">
        <f t="shared" si="43"/>
        <v>500</v>
      </c>
      <c r="AU85" s="2029">
        <f t="shared" si="43"/>
        <v>500</v>
      </c>
      <c r="AV85" s="2029">
        <f t="shared" si="43"/>
        <v>500</v>
      </c>
      <c r="AW85" s="2029"/>
      <c r="AX85" s="2029">
        <f t="shared" si="44"/>
        <v>0</v>
      </c>
      <c r="AY85" s="2029">
        <f t="shared" si="44"/>
        <v>0</v>
      </c>
      <c r="AZ85" s="2029">
        <f t="shared" si="44"/>
        <v>0</v>
      </c>
      <c r="BA85" s="2029">
        <v>2490</v>
      </c>
      <c r="BB85" s="2029">
        <f t="shared" si="45"/>
        <v>2490</v>
      </c>
      <c r="BC85" s="2029">
        <f t="shared" si="45"/>
        <v>2490</v>
      </c>
      <c r="BD85" s="2029">
        <f t="shared" si="45"/>
        <v>2490</v>
      </c>
      <c r="BE85" s="2030">
        <f t="shared" si="46"/>
        <v>500</v>
      </c>
      <c r="BF85" s="2030">
        <f t="shared" si="46"/>
        <v>500</v>
      </c>
      <c r="BG85" s="2030">
        <f t="shared" si="46"/>
        <v>500</v>
      </c>
      <c r="BH85" s="2030">
        <f t="shared" si="46"/>
        <v>500</v>
      </c>
      <c r="BI85" s="2030">
        <f t="shared" si="47"/>
        <v>0</v>
      </c>
      <c r="BJ85" s="2030">
        <f t="shared" si="47"/>
        <v>0</v>
      </c>
      <c r="BK85" s="2030">
        <f t="shared" si="47"/>
        <v>0</v>
      </c>
      <c r="BL85" s="2030">
        <f t="shared" si="40"/>
        <v>0</v>
      </c>
      <c r="BM85" s="2031"/>
      <c r="BN85" s="2031"/>
      <c r="BO85" s="2031"/>
      <c r="BP85" s="2031"/>
      <c r="BQ85" s="2031"/>
      <c r="BR85" s="2031"/>
      <c r="BS85" s="2031"/>
      <c r="BT85" s="2031"/>
      <c r="BU85" s="2029"/>
      <c r="BV85" s="2029"/>
      <c r="BW85" s="2029"/>
      <c r="BX85" s="2029"/>
      <c r="BY85" s="2029"/>
      <c r="BZ85" s="2032"/>
      <c r="CA85" s="2027">
        <v>76703</v>
      </c>
      <c r="CB85" s="1974"/>
      <c r="CC85" s="1974"/>
      <c r="CD85" s="1974"/>
      <c r="CE85" s="1974">
        <v>0</v>
      </c>
      <c r="CF85" s="2033">
        <v>9.2592731381658996E-5</v>
      </c>
      <c r="CG85" s="2026">
        <v>0</v>
      </c>
      <c r="CH85" s="2009">
        <v>0</v>
      </c>
      <c r="CI85" s="2029">
        <v>0</v>
      </c>
      <c r="CK85" s="2029">
        <f t="shared" si="48"/>
        <v>0</v>
      </c>
      <c r="CL85" s="2034">
        <v>1</v>
      </c>
      <c r="CM85" s="2034">
        <v>1</v>
      </c>
      <c r="CN85" s="2034">
        <v>1</v>
      </c>
      <c r="CO85" s="2034">
        <v>1</v>
      </c>
      <c r="CP85" s="2035"/>
      <c r="CQ85" s="2036"/>
      <c r="CR85" s="2036"/>
      <c r="CS85" s="2036"/>
      <c r="CT85" s="2036"/>
      <c r="CU85" s="2036"/>
      <c r="CW85" s="1973">
        <v>0</v>
      </c>
      <c r="CX85" s="2037">
        <v>500</v>
      </c>
      <c r="CY85" s="2037">
        <v>500</v>
      </c>
      <c r="CZ85" s="2037">
        <v>500</v>
      </c>
      <c r="DA85" s="2037">
        <v>500</v>
      </c>
      <c r="DJ85" s="1976">
        <v>500</v>
      </c>
      <c r="DK85" s="1973">
        <v>500</v>
      </c>
      <c r="DL85" s="1973">
        <v>500</v>
      </c>
      <c r="DM85" s="1973">
        <v>500</v>
      </c>
      <c r="DO85" s="2023">
        <v>12</v>
      </c>
      <c r="DP85" s="2024">
        <v>26089.03</v>
      </c>
      <c r="DQ85" s="2024">
        <v>4.54</v>
      </c>
      <c r="DR85" s="2023">
        <v>0</v>
      </c>
      <c r="DS85" s="2029">
        <v>500</v>
      </c>
      <c r="DT85" s="2029">
        <v>500</v>
      </c>
      <c r="DU85" s="2029">
        <v>500</v>
      </c>
      <c r="DV85" s="2029">
        <v>500</v>
      </c>
      <c r="DW85" s="2029"/>
      <c r="DX85" s="2029">
        <v>0</v>
      </c>
      <c r="DY85" s="2029">
        <v>0</v>
      </c>
      <c r="DZ85" s="2029">
        <v>0</v>
      </c>
      <c r="EA85" s="2029">
        <v>2490</v>
      </c>
      <c r="EB85" s="2029">
        <v>2490</v>
      </c>
      <c r="EC85" s="2029">
        <v>2490</v>
      </c>
      <c r="ED85" s="2029">
        <v>2490</v>
      </c>
      <c r="EE85" s="2039">
        <f t="shared" si="49"/>
        <v>0</v>
      </c>
      <c r="EF85" s="2039">
        <f t="shared" si="49"/>
        <v>0</v>
      </c>
      <c r="EG85" s="2039">
        <f t="shared" si="49"/>
        <v>0</v>
      </c>
      <c r="EH85" s="2039">
        <f t="shared" si="49"/>
        <v>0</v>
      </c>
      <c r="EI85" s="2040">
        <f t="shared" si="38"/>
        <v>0</v>
      </c>
      <c r="EJ85" s="2040">
        <f t="shared" si="38"/>
        <v>0</v>
      </c>
      <c r="EK85" s="2040">
        <f t="shared" si="38"/>
        <v>0</v>
      </c>
      <c r="EL85" s="2040">
        <f t="shared" si="37"/>
        <v>0</v>
      </c>
      <c r="EM85" s="2040">
        <f t="shared" si="37"/>
        <v>0</v>
      </c>
      <c r="EN85" s="2040">
        <f t="shared" si="37"/>
        <v>0</v>
      </c>
      <c r="EO85" s="2040">
        <f t="shared" si="37"/>
        <v>0</v>
      </c>
      <c r="EP85" s="2040">
        <f t="shared" si="37"/>
        <v>0</v>
      </c>
      <c r="EQ85" s="2040">
        <f t="shared" si="37"/>
        <v>0</v>
      </c>
      <c r="ER85" s="2040">
        <f t="shared" si="37"/>
        <v>0</v>
      </c>
      <c r="ES85" s="2040">
        <f t="shared" si="37"/>
        <v>0</v>
      </c>
      <c r="ET85" s="2040">
        <f t="shared" si="37"/>
        <v>0</v>
      </c>
      <c r="EU85" s="2039">
        <f t="shared" si="50"/>
        <v>0</v>
      </c>
      <c r="EV85" s="2039">
        <f t="shared" si="51"/>
        <v>0</v>
      </c>
    </row>
    <row r="86" spans="1:152" x14ac:dyDescent="0.25">
      <c r="A86" s="2041" t="s">
        <v>131</v>
      </c>
      <c r="B86" s="2022" t="s">
        <v>2935</v>
      </c>
      <c r="C86" s="2023">
        <v>12</v>
      </c>
      <c r="D86" s="2024">
        <v>2628</v>
      </c>
      <c r="E86" s="2024">
        <v>1.2</v>
      </c>
      <c r="F86" s="2023">
        <v>0</v>
      </c>
      <c r="G86" s="2026" t="s">
        <v>2899</v>
      </c>
      <c r="H86" s="2026" t="s">
        <v>2899</v>
      </c>
      <c r="I86" s="2026">
        <v>0.84899999999999998</v>
      </c>
      <c r="J86" s="2026">
        <v>0.84899999999999998</v>
      </c>
      <c r="K86" s="2026">
        <v>0.84899999999999998</v>
      </c>
      <c r="L86" s="2026">
        <v>0.84899999999999998</v>
      </c>
      <c r="M86" s="2027">
        <f t="shared" si="41"/>
        <v>2231.172</v>
      </c>
      <c r="N86" s="2027">
        <f t="shared" si="41"/>
        <v>2231.172</v>
      </c>
      <c r="O86" s="2027">
        <f t="shared" si="41"/>
        <v>2231.172</v>
      </c>
      <c r="P86" s="2027">
        <f t="shared" si="41"/>
        <v>2231.172</v>
      </c>
      <c r="Q86" s="2026">
        <v>0.84899999999999998</v>
      </c>
      <c r="R86" s="2026">
        <v>0.84899999999999998</v>
      </c>
      <c r="S86" s="2026">
        <v>0.84899999999999998</v>
      </c>
      <c r="T86" s="2026">
        <v>0.84899999999999998</v>
      </c>
      <c r="U86" s="2028">
        <f t="shared" si="42"/>
        <v>1.0187999999999999</v>
      </c>
      <c r="V86" s="2028">
        <f t="shared" si="42"/>
        <v>1.0187999999999999</v>
      </c>
      <c r="W86" s="2028">
        <f t="shared" si="42"/>
        <v>1.0187999999999999</v>
      </c>
      <c r="X86" s="2028">
        <f t="shared" si="42"/>
        <v>1.0187999999999999</v>
      </c>
      <c r="Y86" s="2026">
        <v>0.67500000000000004</v>
      </c>
      <c r="Z86" s="2026">
        <v>0.67500000000000004</v>
      </c>
      <c r="AA86" s="2026">
        <v>0.67500000000000004</v>
      </c>
      <c r="AB86" s="2026">
        <v>0.67500000000000004</v>
      </c>
      <c r="AC86" s="2027">
        <f t="shared" si="54"/>
        <v>0</v>
      </c>
      <c r="AD86" s="2027">
        <f t="shared" si="54"/>
        <v>0</v>
      </c>
      <c r="AE86" s="2027">
        <f t="shared" si="54"/>
        <v>0</v>
      </c>
      <c r="AF86" s="2027">
        <f t="shared" si="54"/>
        <v>0</v>
      </c>
      <c r="AG86" s="2027">
        <v>1</v>
      </c>
      <c r="AH86" s="2027">
        <v>1</v>
      </c>
      <c r="AI86" s="2027">
        <v>1</v>
      </c>
      <c r="AJ86" s="2027">
        <v>1</v>
      </c>
      <c r="AK86" s="2027">
        <f t="shared" si="55"/>
        <v>2231.172</v>
      </c>
      <c r="AL86" s="2027">
        <f t="shared" si="52"/>
        <v>2231.172</v>
      </c>
      <c r="AM86" s="2027">
        <f t="shared" si="52"/>
        <v>2231.172</v>
      </c>
      <c r="AN86" s="2027">
        <f t="shared" si="52"/>
        <v>2231.172</v>
      </c>
      <c r="AO86" s="2027">
        <f t="shared" si="56"/>
        <v>0</v>
      </c>
      <c r="AP86" s="2027">
        <f t="shared" si="53"/>
        <v>0</v>
      </c>
      <c r="AQ86" s="2027">
        <f t="shared" si="53"/>
        <v>0</v>
      </c>
      <c r="AR86" s="2027">
        <f t="shared" si="29"/>
        <v>0</v>
      </c>
      <c r="AS86" s="2029">
        <v>500</v>
      </c>
      <c r="AT86" s="2029">
        <f t="shared" si="43"/>
        <v>500</v>
      </c>
      <c r="AU86" s="2029">
        <f t="shared" si="43"/>
        <v>500</v>
      </c>
      <c r="AV86" s="2029">
        <f t="shared" si="43"/>
        <v>500</v>
      </c>
      <c r="AW86" s="2029"/>
      <c r="AX86" s="2029">
        <f t="shared" si="44"/>
        <v>0</v>
      </c>
      <c r="AY86" s="2029">
        <f t="shared" si="44"/>
        <v>0</v>
      </c>
      <c r="AZ86" s="2029">
        <f t="shared" si="44"/>
        <v>0</v>
      </c>
      <c r="BA86" s="2029">
        <v>1500</v>
      </c>
      <c r="BB86" s="2029">
        <f t="shared" si="45"/>
        <v>1500</v>
      </c>
      <c r="BC86" s="2029">
        <f t="shared" si="45"/>
        <v>1500</v>
      </c>
      <c r="BD86" s="2029">
        <f t="shared" si="45"/>
        <v>1500</v>
      </c>
      <c r="BE86" s="2030">
        <f t="shared" si="46"/>
        <v>500</v>
      </c>
      <c r="BF86" s="2030">
        <f t="shared" si="46"/>
        <v>500</v>
      </c>
      <c r="BG86" s="2030">
        <f t="shared" si="46"/>
        <v>500</v>
      </c>
      <c r="BH86" s="2030">
        <f t="shared" si="46"/>
        <v>500</v>
      </c>
      <c r="BI86" s="2030">
        <f t="shared" si="47"/>
        <v>0</v>
      </c>
      <c r="BJ86" s="2030">
        <f t="shared" si="47"/>
        <v>0</v>
      </c>
      <c r="BK86" s="2030">
        <f t="shared" si="47"/>
        <v>0</v>
      </c>
      <c r="BL86" s="2030">
        <f t="shared" si="40"/>
        <v>0</v>
      </c>
      <c r="BM86" s="2031"/>
      <c r="BN86" s="2031"/>
      <c r="BO86" s="2031"/>
      <c r="BP86" s="2031"/>
      <c r="BQ86" s="2031"/>
      <c r="BR86" s="2031"/>
      <c r="BS86" s="2031"/>
      <c r="BT86" s="2031"/>
      <c r="BU86" s="2029"/>
      <c r="BV86" s="2029"/>
      <c r="BW86" s="2029"/>
      <c r="BX86" s="2029"/>
      <c r="BY86" s="2029"/>
      <c r="BZ86" s="2032"/>
      <c r="CA86" s="1974"/>
      <c r="CB86" s="1974"/>
      <c r="CC86" s="1974"/>
      <c r="CD86" s="1974"/>
      <c r="CE86" s="1974">
        <v>0</v>
      </c>
      <c r="CF86" s="2033">
        <v>9.3270504143312288E-6</v>
      </c>
      <c r="CG86" s="2026">
        <v>0</v>
      </c>
      <c r="CH86" s="2009">
        <v>0</v>
      </c>
      <c r="CI86" s="2029">
        <v>0</v>
      </c>
      <c r="CK86" s="2029">
        <f t="shared" si="48"/>
        <v>0</v>
      </c>
      <c r="CL86" s="2034">
        <v>1</v>
      </c>
      <c r="CM86" s="2034">
        <v>1</v>
      </c>
      <c r="CN86" s="2034">
        <v>1</v>
      </c>
      <c r="CO86" s="2034">
        <v>1</v>
      </c>
      <c r="CP86" s="2035"/>
      <c r="CQ86" s="2036"/>
      <c r="CR86" s="2036"/>
      <c r="CS86" s="2036"/>
      <c r="CT86" s="2036"/>
      <c r="CU86" s="2036"/>
      <c r="CW86" s="1973">
        <v>0</v>
      </c>
      <c r="CX86" s="2037">
        <v>500</v>
      </c>
      <c r="CY86" s="2037">
        <v>500</v>
      </c>
      <c r="CZ86" s="2037">
        <v>500</v>
      </c>
      <c r="DA86" s="2037">
        <v>500</v>
      </c>
      <c r="DJ86" s="1976">
        <v>500</v>
      </c>
      <c r="DK86" s="1973">
        <v>500</v>
      </c>
      <c r="DL86" s="1973">
        <v>500</v>
      </c>
      <c r="DM86" s="1973">
        <v>500</v>
      </c>
      <c r="DO86" s="2023">
        <v>12</v>
      </c>
      <c r="DP86" s="2024">
        <v>2628</v>
      </c>
      <c r="DQ86" s="2024">
        <v>1.2</v>
      </c>
      <c r="DR86" s="2023">
        <v>0</v>
      </c>
      <c r="DS86" s="2029">
        <v>500</v>
      </c>
      <c r="DT86" s="2029">
        <v>500</v>
      </c>
      <c r="DU86" s="2029">
        <v>500</v>
      </c>
      <c r="DV86" s="2029">
        <v>500</v>
      </c>
      <c r="DW86" s="2029"/>
      <c r="DX86" s="2029">
        <v>0</v>
      </c>
      <c r="DY86" s="2029">
        <v>0</v>
      </c>
      <c r="DZ86" s="2029">
        <v>0</v>
      </c>
      <c r="EA86" s="2029">
        <v>1500</v>
      </c>
      <c r="EB86" s="2029">
        <v>1500</v>
      </c>
      <c r="EC86" s="2029">
        <v>1500</v>
      </c>
      <c r="ED86" s="2029">
        <v>1500</v>
      </c>
      <c r="EE86" s="2039">
        <f t="shared" si="49"/>
        <v>0</v>
      </c>
      <c r="EF86" s="2039">
        <f t="shared" si="49"/>
        <v>0</v>
      </c>
      <c r="EG86" s="2039">
        <f t="shared" si="49"/>
        <v>0</v>
      </c>
      <c r="EH86" s="2039">
        <f t="shared" si="49"/>
        <v>0</v>
      </c>
      <c r="EI86" s="2040">
        <f t="shared" si="38"/>
        <v>0</v>
      </c>
      <c r="EJ86" s="2040">
        <f t="shared" si="38"/>
        <v>0</v>
      </c>
      <c r="EK86" s="2040">
        <f t="shared" si="38"/>
        <v>0</v>
      </c>
      <c r="EL86" s="2040">
        <f t="shared" si="37"/>
        <v>0</v>
      </c>
      <c r="EM86" s="2040">
        <f t="shared" si="37"/>
        <v>0</v>
      </c>
      <c r="EN86" s="2040">
        <f t="shared" si="37"/>
        <v>0</v>
      </c>
      <c r="EO86" s="2040">
        <f t="shared" si="37"/>
        <v>0</v>
      </c>
      <c r="EP86" s="2040">
        <f t="shared" si="37"/>
        <v>0</v>
      </c>
      <c r="EQ86" s="2040">
        <f t="shared" si="37"/>
        <v>0</v>
      </c>
      <c r="ER86" s="2040">
        <f t="shared" si="37"/>
        <v>0</v>
      </c>
      <c r="ES86" s="2040">
        <f t="shared" si="37"/>
        <v>0</v>
      </c>
      <c r="ET86" s="2040">
        <f t="shared" si="37"/>
        <v>0</v>
      </c>
      <c r="EU86" s="2039">
        <f t="shared" si="50"/>
        <v>0</v>
      </c>
      <c r="EV86" s="2039">
        <f t="shared" si="51"/>
        <v>0</v>
      </c>
    </row>
    <row r="87" spans="1:152" x14ac:dyDescent="0.25">
      <c r="A87" s="2041" t="s">
        <v>132</v>
      </c>
      <c r="B87" s="2022" t="s">
        <v>2936</v>
      </c>
      <c r="C87" s="2023">
        <v>12</v>
      </c>
      <c r="D87" s="2024">
        <v>3942</v>
      </c>
      <c r="E87" s="2024">
        <v>1.8</v>
      </c>
      <c r="F87" s="2023">
        <v>0</v>
      </c>
      <c r="G87" s="2026" t="s">
        <v>2899</v>
      </c>
      <c r="H87" s="2026" t="s">
        <v>2899</v>
      </c>
      <c r="I87" s="2026">
        <v>0.84899999999999998</v>
      </c>
      <c r="J87" s="2026">
        <v>0.84899999999999998</v>
      </c>
      <c r="K87" s="2026">
        <v>0.84899999999999998</v>
      </c>
      <c r="L87" s="2026">
        <v>0.84899999999999998</v>
      </c>
      <c r="M87" s="2027">
        <f t="shared" si="41"/>
        <v>3346.7579999999998</v>
      </c>
      <c r="N87" s="2027">
        <f t="shared" si="41"/>
        <v>3346.7579999999998</v>
      </c>
      <c r="O87" s="2027">
        <f t="shared" si="41"/>
        <v>3346.7579999999998</v>
      </c>
      <c r="P87" s="2027">
        <f t="shared" si="41"/>
        <v>3346.7579999999998</v>
      </c>
      <c r="Q87" s="2026">
        <v>0.84899999999999998</v>
      </c>
      <c r="R87" s="2026">
        <v>0.84899999999999998</v>
      </c>
      <c r="S87" s="2026">
        <v>0.84899999999999998</v>
      </c>
      <c r="T87" s="2026">
        <v>0.84899999999999998</v>
      </c>
      <c r="U87" s="2028">
        <f t="shared" si="42"/>
        <v>1.5282</v>
      </c>
      <c r="V87" s="2028">
        <f t="shared" si="42"/>
        <v>1.5282</v>
      </c>
      <c r="W87" s="2028">
        <f t="shared" si="42"/>
        <v>1.5282</v>
      </c>
      <c r="X87" s="2028">
        <f t="shared" si="42"/>
        <v>1.5282</v>
      </c>
      <c r="Y87" s="2026">
        <v>0.67500000000000004</v>
      </c>
      <c r="Z87" s="2026">
        <v>0.67500000000000004</v>
      </c>
      <c r="AA87" s="2026">
        <v>0.67500000000000004</v>
      </c>
      <c r="AB87" s="2026">
        <v>0.67500000000000004</v>
      </c>
      <c r="AC87" s="2027">
        <f t="shared" si="54"/>
        <v>0</v>
      </c>
      <c r="AD87" s="2027">
        <f t="shared" si="54"/>
        <v>0</v>
      </c>
      <c r="AE87" s="2027">
        <f t="shared" si="54"/>
        <v>0</v>
      </c>
      <c r="AF87" s="2027">
        <f t="shared" si="54"/>
        <v>0</v>
      </c>
      <c r="AG87" s="2027">
        <v>1</v>
      </c>
      <c r="AH87" s="2027">
        <v>2</v>
      </c>
      <c r="AI87" s="2027">
        <v>1</v>
      </c>
      <c r="AJ87" s="2027">
        <v>2</v>
      </c>
      <c r="AK87" s="2027">
        <f t="shared" si="55"/>
        <v>3346.7579999999998</v>
      </c>
      <c r="AL87" s="2027">
        <f t="shared" si="52"/>
        <v>6693.5159999999996</v>
      </c>
      <c r="AM87" s="2027">
        <f t="shared" si="52"/>
        <v>3346.7579999999998</v>
      </c>
      <c r="AN87" s="2027">
        <f t="shared" si="52"/>
        <v>6693.5159999999996</v>
      </c>
      <c r="AO87" s="2027">
        <f t="shared" si="56"/>
        <v>0</v>
      </c>
      <c r="AP87" s="2027">
        <f t="shared" si="53"/>
        <v>0</v>
      </c>
      <c r="AQ87" s="2027">
        <f t="shared" si="53"/>
        <v>0</v>
      </c>
      <c r="AR87" s="2027">
        <f t="shared" si="29"/>
        <v>0</v>
      </c>
      <c r="AS87" s="2029">
        <v>750</v>
      </c>
      <c r="AT87" s="2029">
        <f t="shared" si="43"/>
        <v>750</v>
      </c>
      <c r="AU87" s="2029">
        <f t="shared" si="43"/>
        <v>750</v>
      </c>
      <c r="AV87" s="2029">
        <f t="shared" si="43"/>
        <v>750</v>
      </c>
      <c r="AW87" s="2029"/>
      <c r="AX87" s="2029">
        <f t="shared" si="44"/>
        <v>0</v>
      </c>
      <c r="AY87" s="2029">
        <f t="shared" si="44"/>
        <v>0</v>
      </c>
      <c r="AZ87" s="2029">
        <f t="shared" si="44"/>
        <v>0</v>
      </c>
      <c r="BA87" s="2029">
        <v>1800</v>
      </c>
      <c r="BB87" s="2029">
        <f t="shared" si="45"/>
        <v>1800</v>
      </c>
      <c r="BC87" s="2029">
        <f t="shared" si="45"/>
        <v>1800</v>
      </c>
      <c r="BD87" s="2029">
        <f t="shared" si="45"/>
        <v>1800</v>
      </c>
      <c r="BE87" s="2030">
        <f t="shared" si="46"/>
        <v>750</v>
      </c>
      <c r="BF87" s="2030">
        <f t="shared" si="46"/>
        <v>1500</v>
      </c>
      <c r="BG87" s="2030">
        <f t="shared" si="46"/>
        <v>750</v>
      </c>
      <c r="BH87" s="2030">
        <f t="shared" si="46"/>
        <v>1500</v>
      </c>
      <c r="BI87" s="2030">
        <f t="shared" si="47"/>
        <v>0</v>
      </c>
      <c r="BJ87" s="2030">
        <f t="shared" si="47"/>
        <v>0</v>
      </c>
      <c r="BK87" s="2030">
        <f t="shared" si="47"/>
        <v>0</v>
      </c>
      <c r="BL87" s="2030">
        <f t="shared" si="40"/>
        <v>0</v>
      </c>
      <c r="BM87" s="2031"/>
      <c r="BN87" s="2031"/>
      <c r="BO87" s="2031"/>
      <c r="BP87" s="2031"/>
      <c r="BQ87" s="2031"/>
      <c r="BR87" s="2031"/>
      <c r="BS87" s="2031"/>
      <c r="BT87" s="2031"/>
      <c r="BU87" s="2029"/>
      <c r="BV87" s="2029"/>
      <c r="BW87" s="2029"/>
      <c r="BX87" s="2029"/>
      <c r="BY87" s="2029"/>
      <c r="BZ87" s="2032"/>
      <c r="CA87" s="1974"/>
      <c r="CB87" s="1974"/>
      <c r="CC87" s="1974"/>
      <c r="CD87" s="1974"/>
      <c r="CE87" s="1974">
        <v>0</v>
      </c>
      <c r="CF87" s="2033">
        <v>1.3990575621496843E-5</v>
      </c>
      <c r="CG87" s="2026">
        <v>0</v>
      </c>
      <c r="CH87" s="2009">
        <v>0</v>
      </c>
      <c r="CI87" s="2029">
        <v>0</v>
      </c>
      <c r="CK87" s="2029">
        <f t="shared" si="48"/>
        <v>0</v>
      </c>
      <c r="CL87" s="2034">
        <v>1</v>
      </c>
      <c r="CM87" s="2034">
        <v>1</v>
      </c>
      <c r="CN87" s="2034">
        <v>1</v>
      </c>
      <c r="CO87" s="2034">
        <v>1</v>
      </c>
      <c r="CP87" s="2035"/>
      <c r="CQ87" s="2036"/>
      <c r="CR87" s="2036"/>
      <c r="CS87" s="2036"/>
      <c r="CT87" s="2036"/>
      <c r="CU87" s="2036"/>
      <c r="CW87" s="1973">
        <v>0</v>
      </c>
      <c r="CX87" s="2037">
        <v>750</v>
      </c>
      <c r="CY87" s="2037">
        <v>750</v>
      </c>
      <c r="CZ87" s="2037">
        <v>750</v>
      </c>
      <c r="DA87" s="2037">
        <v>750</v>
      </c>
      <c r="DJ87" s="1976">
        <v>750</v>
      </c>
      <c r="DK87" s="1973">
        <v>750</v>
      </c>
      <c r="DL87" s="1973">
        <v>750</v>
      </c>
      <c r="DM87" s="1973">
        <v>750</v>
      </c>
      <c r="DO87" s="2023">
        <v>12</v>
      </c>
      <c r="DP87" s="2024">
        <v>3942</v>
      </c>
      <c r="DQ87" s="2024">
        <v>1.8</v>
      </c>
      <c r="DR87" s="2023">
        <v>0</v>
      </c>
      <c r="DS87" s="2029">
        <v>750</v>
      </c>
      <c r="DT87" s="2029">
        <v>750</v>
      </c>
      <c r="DU87" s="2029">
        <v>750</v>
      </c>
      <c r="DV87" s="2029">
        <v>750</v>
      </c>
      <c r="DW87" s="2029"/>
      <c r="DX87" s="2029">
        <v>0</v>
      </c>
      <c r="DY87" s="2029">
        <v>0</v>
      </c>
      <c r="DZ87" s="2029">
        <v>0</v>
      </c>
      <c r="EA87" s="2029">
        <v>1800</v>
      </c>
      <c r="EB87" s="2029">
        <v>1800</v>
      </c>
      <c r="EC87" s="2029">
        <v>1800</v>
      </c>
      <c r="ED87" s="2029">
        <v>1800</v>
      </c>
      <c r="EE87" s="2039">
        <f t="shared" si="49"/>
        <v>0</v>
      </c>
      <c r="EF87" s="2039">
        <f t="shared" si="49"/>
        <v>0</v>
      </c>
      <c r="EG87" s="2039">
        <f t="shared" si="49"/>
        <v>0</v>
      </c>
      <c r="EH87" s="2039">
        <f t="shared" si="49"/>
        <v>0</v>
      </c>
      <c r="EI87" s="2040">
        <f t="shared" si="38"/>
        <v>0</v>
      </c>
      <c r="EJ87" s="2040">
        <f t="shared" si="38"/>
        <v>0</v>
      </c>
      <c r="EK87" s="2040">
        <f t="shared" si="38"/>
        <v>0</v>
      </c>
      <c r="EL87" s="2040">
        <f t="shared" si="37"/>
        <v>0</v>
      </c>
      <c r="EM87" s="2040">
        <f t="shared" si="37"/>
        <v>0</v>
      </c>
      <c r="EN87" s="2040">
        <f t="shared" si="37"/>
        <v>0</v>
      </c>
      <c r="EO87" s="2040">
        <f t="shared" si="37"/>
        <v>0</v>
      </c>
      <c r="EP87" s="2040">
        <f t="shared" si="37"/>
        <v>0</v>
      </c>
      <c r="EQ87" s="2040">
        <f t="shared" si="37"/>
        <v>0</v>
      </c>
      <c r="ER87" s="2040">
        <f t="shared" si="37"/>
        <v>0</v>
      </c>
      <c r="ES87" s="2040">
        <f t="shared" si="37"/>
        <v>0</v>
      </c>
      <c r="ET87" s="2040">
        <f t="shared" si="37"/>
        <v>0</v>
      </c>
      <c r="EU87" s="2039">
        <f t="shared" si="50"/>
        <v>0</v>
      </c>
      <c r="EV87" s="2039">
        <f t="shared" si="51"/>
        <v>0</v>
      </c>
    </row>
    <row r="88" spans="1:152" x14ac:dyDescent="0.25">
      <c r="A88" s="2041" t="s">
        <v>133</v>
      </c>
      <c r="B88" s="2022" t="s">
        <v>2937</v>
      </c>
      <c r="C88" s="2023">
        <v>12</v>
      </c>
      <c r="D88" s="2024">
        <v>9308</v>
      </c>
      <c r="E88" s="2024">
        <v>4.25</v>
      </c>
      <c r="F88" s="2023">
        <v>0</v>
      </c>
      <c r="G88" s="2026" t="s">
        <v>2899</v>
      </c>
      <c r="H88" s="2026" t="s">
        <v>2899</v>
      </c>
      <c r="I88" s="2026">
        <v>0.84899999999999998</v>
      </c>
      <c r="J88" s="2026">
        <v>0.84899999999999998</v>
      </c>
      <c r="K88" s="2026">
        <v>0.84899999999999998</v>
      </c>
      <c r="L88" s="2026">
        <v>0.84899999999999998</v>
      </c>
      <c r="M88" s="2027">
        <f t="shared" si="41"/>
        <v>7902.4920000000002</v>
      </c>
      <c r="N88" s="2027">
        <f t="shared" si="41"/>
        <v>7902.4920000000002</v>
      </c>
      <c r="O88" s="2027">
        <f t="shared" si="41"/>
        <v>7902.4920000000002</v>
      </c>
      <c r="P88" s="2027">
        <f t="shared" si="41"/>
        <v>7902.4920000000002</v>
      </c>
      <c r="Q88" s="2026">
        <v>0.84899999999999998</v>
      </c>
      <c r="R88" s="2026">
        <v>0.84899999999999998</v>
      </c>
      <c r="S88" s="2026">
        <v>0.84899999999999998</v>
      </c>
      <c r="T88" s="2026">
        <v>0.84899999999999998</v>
      </c>
      <c r="U88" s="2028">
        <f t="shared" si="42"/>
        <v>3.60825</v>
      </c>
      <c r="V88" s="2028">
        <f t="shared" si="42"/>
        <v>3.60825</v>
      </c>
      <c r="W88" s="2028">
        <f t="shared" si="42"/>
        <v>3.60825</v>
      </c>
      <c r="X88" s="2028">
        <f t="shared" si="42"/>
        <v>3.60825</v>
      </c>
      <c r="Y88" s="2026">
        <v>0.67500000000000004</v>
      </c>
      <c r="Z88" s="2026">
        <v>0.67500000000000004</v>
      </c>
      <c r="AA88" s="2026">
        <v>0.67500000000000004</v>
      </c>
      <c r="AB88" s="2026">
        <v>0.67500000000000004</v>
      </c>
      <c r="AC88" s="2027">
        <f t="shared" si="54"/>
        <v>0</v>
      </c>
      <c r="AD88" s="2027">
        <f t="shared" si="54"/>
        <v>0</v>
      </c>
      <c r="AE88" s="2027">
        <f t="shared" si="54"/>
        <v>0</v>
      </c>
      <c r="AF88" s="2027">
        <f t="shared" si="54"/>
        <v>0</v>
      </c>
      <c r="AG88" s="2027">
        <v>1</v>
      </c>
      <c r="AH88" s="2027">
        <v>1</v>
      </c>
      <c r="AI88" s="2027">
        <v>2</v>
      </c>
      <c r="AJ88" s="2027">
        <v>1</v>
      </c>
      <c r="AK88" s="2027">
        <f t="shared" si="55"/>
        <v>7902.4920000000002</v>
      </c>
      <c r="AL88" s="2027">
        <f t="shared" si="52"/>
        <v>7902.4920000000002</v>
      </c>
      <c r="AM88" s="2027">
        <f t="shared" si="52"/>
        <v>15804.984</v>
      </c>
      <c r="AN88" s="2027">
        <f t="shared" si="52"/>
        <v>7902.4920000000002</v>
      </c>
      <c r="AO88" s="2027">
        <f t="shared" si="56"/>
        <v>0</v>
      </c>
      <c r="AP88" s="2027">
        <f t="shared" si="53"/>
        <v>0</v>
      </c>
      <c r="AQ88" s="2027">
        <f t="shared" si="53"/>
        <v>0</v>
      </c>
      <c r="AR88" s="2027">
        <f t="shared" si="29"/>
        <v>0</v>
      </c>
      <c r="AS88" s="2029">
        <v>1000</v>
      </c>
      <c r="AT88" s="2029">
        <f t="shared" si="43"/>
        <v>1000</v>
      </c>
      <c r="AU88" s="2029">
        <f t="shared" si="43"/>
        <v>1000</v>
      </c>
      <c r="AV88" s="2029">
        <f t="shared" si="43"/>
        <v>1000</v>
      </c>
      <c r="AW88" s="2029"/>
      <c r="AX88" s="2029">
        <f t="shared" si="44"/>
        <v>0</v>
      </c>
      <c r="AY88" s="2029">
        <f t="shared" si="44"/>
        <v>0</v>
      </c>
      <c r="AZ88" s="2029">
        <f t="shared" si="44"/>
        <v>0</v>
      </c>
      <c r="BA88" s="2029">
        <v>1200</v>
      </c>
      <c r="BB88" s="2029">
        <f t="shared" si="45"/>
        <v>1200</v>
      </c>
      <c r="BC88" s="2029">
        <f t="shared" si="45"/>
        <v>1200</v>
      </c>
      <c r="BD88" s="2029">
        <f t="shared" si="45"/>
        <v>1200</v>
      </c>
      <c r="BE88" s="2030">
        <f t="shared" si="46"/>
        <v>1000</v>
      </c>
      <c r="BF88" s="2030">
        <f t="shared" si="46"/>
        <v>1000</v>
      </c>
      <c r="BG88" s="2030">
        <f t="shared" si="46"/>
        <v>2000</v>
      </c>
      <c r="BH88" s="2030">
        <f t="shared" si="46"/>
        <v>1000</v>
      </c>
      <c r="BI88" s="2030">
        <f t="shared" si="47"/>
        <v>0</v>
      </c>
      <c r="BJ88" s="2030">
        <f t="shared" si="47"/>
        <v>0</v>
      </c>
      <c r="BK88" s="2030">
        <f t="shared" si="47"/>
        <v>0</v>
      </c>
      <c r="BL88" s="2030">
        <f t="shared" si="40"/>
        <v>0</v>
      </c>
      <c r="BM88" s="2031"/>
      <c r="BN88" s="2031"/>
      <c r="BO88" s="2031"/>
      <c r="BP88" s="2031"/>
      <c r="BQ88" s="2031"/>
      <c r="BR88" s="2031"/>
      <c r="BS88" s="2031"/>
      <c r="BT88" s="2031"/>
      <c r="BU88" s="2029"/>
      <c r="BV88" s="2029"/>
      <c r="BW88" s="2029"/>
      <c r="BX88" s="2029"/>
      <c r="BY88" s="2029"/>
      <c r="BZ88" s="2032"/>
      <c r="CA88" s="1974"/>
      <c r="CB88" s="1974"/>
      <c r="CC88" s="1974"/>
      <c r="CD88" s="1974"/>
      <c r="CE88" s="1974">
        <v>0</v>
      </c>
      <c r="CF88" s="2033">
        <v>3.3035078103727199E-5</v>
      </c>
      <c r="CG88" s="2026">
        <v>0</v>
      </c>
      <c r="CH88" s="2009">
        <v>0</v>
      </c>
      <c r="CI88" s="2029">
        <v>0</v>
      </c>
      <c r="CK88" s="2029">
        <f t="shared" si="48"/>
        <v>0</v>
      </c>
      <c r="CL88" s="2034">
        <v>1</v>
      </c>
      <c r="CM88" s="2034">
        <v>1</v>
      </c>
      <c r="CN88" s="2034">
        <v>1</v>
      </c>
      <c r="CO88" s="2034">
        <v>1</v>
      </c>
      <c r="CP88" s="2035"/>
      <c r="CQ88" s="2036"/>
      <c r="CR88" s="2036"/>
      <c r="CS88" s="2036"/>
      <c r="CT88" s="2036"/>
      <c r="CU88" s="2036"/>
      <c r="CW88" s="1973">
        <v>0</v>
      </c>
      <c r="CX88" s="2037">
        <v>1000</v>
      </c>
      <c r="CY88" s="2037">
        <v>1000</v>
      </c>
      <c r="CZ88" s="2037">
        <v>1000</v>
      </c>
      <c r="DA88" s="2037">
        <v>1000</v>
      </c>
      <c r="DJ88" s="1976">
        <v>1000</v>
      </c>
      <c r="DK88" s="1973">
        <v>1000</v>
      </c>
      <c r="DL88" s="1973">
        <v>1000</v>
      </c>
      <c r="DM88" s="1973">
        <v>1000</v>
      </c>
      <c r="DO88" s="2023">
        <v>12</v>
      </c>
      <c r="DP88" s="2024">
        <v>9308</v>
      </c>
      <c r="DQ88" s="2024">
        <v>4.25</v>
      </c>
      <c r="DR88" s="2023">
        <v>0</v>
      </c>
      <c r="DS88" s="2029">
        <v>1000</v>
      </c>
      <c r="DT88" s="2029">
        <v>1000</v>
      </c>
      <c r="DU88" s="2029">
        <v>1000</v>
      </c>
      <c r="DV88" s="2029">
        <v>1000</v>
      </c>
      <c r="DW88" s="2029"/>
      <c r="DX88" s="2029">
        <v>0</v>
      </c>
      <c r="DY88" s="2029">
        <v>0</v>
      </c>
      <c r="DZ88" s="2029">
        <v>0</v>
      </c>
      <c r="EA88" s="2029">
        <v>1200</v>
      </c>
      <c r="EB88" s="2029">
        <v>1200</v>
      </c>
      <c r="EC88" s="2029">
        <v>1200</v>
      </c>
      <c r="ED88" s="2029">
        <v>1200</v>
      </c>
      <c r="EE88" s="2039">
        <f t="shared" si="49"/>
        <v>0</v>
      </c>
      <c r="EF88" s="2039">
        <f t="shared" si="49"/>
        <v>0</v>
      </c>
      <c r="EG88" s="2039">
        <f t="shared" si="49"/>
        <v>0</v>
      </c>
      <c r="EH88" s="2039">
        <f t="shared" si="49"/>
        <v>0</v>
      </c>
      <c r="EI88" s="2040">
        <f t="shared" si="38"/>
        <v>0</v>
      </c>
      <c r="EJ88" s="2040">
        <f t="shared" si="38"/>
        <v>0</v>
      </c>
      <c r="EK88" s="2040">
        <f t="shared" si="38"/>
        <v>0</v>
      </c>
      <c r="EL88" s="2040">
        <f t="shared" si="37"/>
        <v>0</v>
      </c>
      <c r="EM88" s="2040">
        <f t="shared" si="37"/>
        <v>0</v>
      </c>
      <c r="EN88" s="2040">
        <f t="shared" si="37"/>
        <v>0</v>
      </c>
      <c r="EO88" s="2040">
        <f t="shared" si="37"/>
        <v>0</v>
      </c>
      <c r="EP88" s="2040">
        <f t="shared" si="37"/>
        <v>0</v>
      </c>
      <c r="EQ88" s="2040">
        <f t="shared" si="37"/>
        <v>0</v>
      </c>
      <c r="ER88" s="2040">
        <f t="shared" si="37"/>
        <v>0</v>
      </c>
      <c r="ES88" s="2040">
        <f t="shared" si="37"/>
        <v>0</v>
      </c>
      <c r="ET88" s="2040">
        <f t="shared" si="37"/>
        <v>0</v>
      </c>
      <c r="EU88" s="2039">
        <f t="shared" si="50"/>
        <v>0</v>
      </c>
      <c r="EV88" s="2039">
        <f t="shared" si="51"/>
        <v>0</v>
      </c>
    </row>
    <row r="89" spans="1:152" x14ac:dyDescent="0.25">
      <c r="A89" s="2041" t="s">
        <v>134</v>
      </c>
      <c r="B89" s="2022" t="s">
        <v>2938</v>
      </c>
      <c r="C89" s="2023">
        <v>12</v>
      </c>
      <c r="D89" s="2024">
        <v>2597</v>
      </c>
      <c r="E89" s="2024">
        <v>0.22</v>
      </c>
      <c r="F89" s="2023">
        <v>0</v>
      </c>
      <c r="G89" s="2026" t="s">
        <v>2899</v>
      </c>
      <c r="H89" s="2026" t="s">
        <v>2899</v>
      </c>
      <c r="I89" s="2026">
        <v>0.84899999999999998</v>
      </c>
      <c r="J89" s="2026">
        <v>0.84899999999999998</v>
      </c>
      <c r="K89" s="2026">
        <v>0.84899999999999998</v>
      </c>
      <c r="L89" s="2026">
        <v>0.84899999999999998</v>
      </c>
      <c r="M89" s="2027">
        <f t="shared" si="41"/>
        <v>2204.8530000000001</v>
      </c>
      <c r="N89" s="2027">
        <f t="shared" si="41"/>
        <v>2204.8530000000001</v>
      </c>
      <c r="O89" s="2027">
        <f t="shared" si="41"/>
        <v>2204.8530000000001</v>
      </c>
      <c r="P89" s="2027">
        <f t="shared" si="41"/>
        <v>2204.8530000000001</v>
      </c>
      <c r="Q89" s="2026">
        <v>0.84899999999999998</v>
      </c>
      <c r="R89" s="2026">
        <v>0.84899999999999998</v>
      </c>
      <c r="S89" s="2026">
        <v>0.84899999999999998</v>
      </c>
      <c r="T89" s="2026">
        <v>0.84899999999999998</v>
      </c>
      <c r="U89" s="2028">
        <f t="shared" si="42"/>
        <v>0.18678</v>
      </c>
      <c r="V89" s="2028">
        <f t="shared" si="42"/>
        <v>0.18678</v>
      </c>
      <c r="W89" s="2028">
        <f t="shared" si="42"/>
        <v>0.18678</v>
      </c>
      <c r="X89" s="2028">
        <f t="shared" si="42"/>
        <v>0.18678</v>
      </c>
      <c r="Y89" s="2026">
        <v>0.67500000000000004</v>
      </c>
      <c r="Z89" s="2026">
        <v>0.67500000000000004</v>
      </c>
      <c r="AA89" s="2026">
        <v>0.67500000000000004</v>
      </c>
      <c r="AB89" s="2026">
        <v>0.67500000000000004</v>
      </c>
      <c r="AC89" s="2027">
        <f t="shared" si="54"/>
        <v>0</v>
      </c>
      <c r="AD89" s="2027">
        <f t="shared" si="54"/>
        <v>0</v>
      </c>
      <c r="AE89" s="2027">
        <f t="shared" si="54"/>
        <v>0</v>
      </c>
      <c r="AF89" s="2027">
        <f t="shared" si="54"/>
        <v>0</v>
      </c>
      <c r="AG89" s="2027">
        <v>2</v>
      </c>
      <c r="AH89" s="2027">
        <v>2</v>
      </c>
      <c r="AI89" s="2027">
        <v>2</v>
      </c>
      <c r="AJ89" s="2027">
        <v>2</v>
      </c>
      <c r="AK89" s="2027">
        <f t="shared" si="55"/>
        <v>4409.7060000000001</v>
      </c>
      <c r="AL89" s="2027">
        <f t="shared" si="52"/>
        <v>4409.7060000000001</v>
      </c>
      <c r="AM89" s="2027">
        <f t="shared" si="52"/>
        <v>4409.7060000000001</v>
      </c>
      <c r="AN89" s="2027">
        <f t="shared" si="52"/>
        <v>4409.7060000000001</v>
      </c>
      <c r="AO89" s="2027">
        <f t="shared" si="56"/>
        <v>0</v>
      </c>
      <c r="AP89" s="2027">
        <f t="shared" si="53"/>
        <v>0</v>
      </c>
      <c r="AQ89" s="2027">
        <f t="shared" si="53"/>
        <v>0</v>
      </c>
      <c r="AR89" s="2027">
        <f t="shared" si="29"/>
        <v>0</v>
      </c>
      <c r="AS89" s="2029">
        <v>120</v>
      </c>
      <c r="AT89" s="2029">
        <f t="shared" si="43"/>
        <v>120</v>
      </c>
      <c r="AU89" s="2029">
        <f t="shared" si="43"/>
        <v>120</v>
      </c>
      <c r="AV89" s="2029">
        <f t="shared" si="43"/>
        <v>120</v>
      </c>
      <c r="AW89" s="2029"/>
      <c r="AX89" s="2029">
        <f t="shared" si="44"/>
        <v>0</v>
      </c>
      <c r="AY89" s="2029">
        <f t="shared" si="44"/>
        <v>0</v>
      </c>
      <c r="AZ89" s="2029">
        <f t="shared" si="44"/>
        <v>0</v>
      </c>
      <c r="BA89" s="2029">
        <v>0</v>
      </c>
      <c r="BB89" s="2029">
        <f t="shared" si="45"/>
        <v>0</v>
      </c>
      <c r="BC89" s="2029">
        <f t="shared" si="45"/>
        <v>0</v>
      </c>
      <c r="BD89" s="2029">
        <f t="shared" si="45"/>
        <v>0</v>
      </c>
      <c r="BE89" s="2030">
        <f t="shared" si="46"/>
        <v>240</v>
      </c>
      <c r="BF89" s="2030">
        <f t="shared" si="46"/>
        <v>240</v>
      </c>
      <c r="BG89" s="2030">
        <f t="shared" si="46"/>
        <v>240</v>
      </c>
      <c r="BH89" s="2030">
        <f t="shared" si="46"/>
        <v>240</v>
      </c>
      <c r="BI89" s="2030">
        <f t="shared" si="47"/>
        <v>0</v>
      </c>
      <c r="BJ89" s="2030">
        <f t="shared" si="47"/>
        <v>0</v>
      </c>
      <c r="BK89" s="2030">
        <f t="shared" si="47"/>
        <v>0</v>
      </c>
      <c r="BL89" s="2030">
        <f t="shared" si="40"/>
        <v>0</v>
      </c>
      <c r="BM89" s="2031"/>
      <c r="BN89" s="2031"/>
      <c r="BO89" s="2031"/>
      <c r="BP89" s="2031"/>
      <c r="BQ89" s="2031"/>
      <c r="BR89" s="2031"/>
      <c r="BS89" s="2031"/>
      <c r="BT89" s="2031"/>
      <c r="BU89" s="2029"/>
      <c r="BV89" s="2029"/>
      <c r="BW89" s="2029"/>
      <c r="BX89" s="2029"/>
      <c r="BY89" s="2029"/>
      <c r="BZ89" s="2032"/>
      <c r="CA89" s="1974"/>
      <c r="CB89" s="1974"/>
      <c r="CC89" s="1974"/>
      <c r="CD89" s="1974"/>
      <c r="CE89" s="1974">
        <v>0</v>
      </c>
      <c r="CF89" s="2033">
        <v>1.8434056260287824E-5</v>
      </c>
      <c r="CG89" s="2026">
        <v>0</v>
      </c>
      <c r="CH89" s="2009">
        <v>0</v>
      </c>
      <c r="CI89" s="2029">
        <v>0</v>
      </c>
      <c r="CK89" s="2029">
        <f t="shared" si="48"/>
        <v>0</v>
      </c>
      <c r="CL89" s="2034">
        <v>1</v>
      </c>
      <c r="CM89" s="2034">
        <v>1</v>
      </c>
      <c r="CN89" s="2034">
        <v>1</v>
      </c>
      <c r="CO89" s="2034">
        <v>1</v>
      </c>
      <c r="CP89" s="2035"/>
      <c r="CQ89" s="2036"/>
      <c r="CR89" s="2036"/>
      <c r="CS89" s="2036"/>
      <c r="CT89" s="2036"/>
      <c r="CU89" s="2036"/>
      <c r="CW89" s="1973">
        <v>0</v>
      </c>
      <c r="CX89" s="2037">
        <v>120</v>
      </c>
      <c r="CY89" s="2037">
        <v>120</v>
      </c>
      <c r="CZ89" s="2037">
        <v>120</v>
      </c>
      <c r="DA89" s="2037">
        <v>120</v>
      </c>
      <c r="DJ89" s="1976">
        <v>120</v>
      </c>
      <c r="DK89" s="1973">
        <v>120</v>
      </c>
      <c r="DL89" s="1973">
        <v>120</v>
      </c>
      <c r="DM89" s="1973">
        <v>120</v>
      </c>
      <c r="DO89" s="2023">
        <v>12</v>
      </c>
      <c r="DP89" s="2024">
        <v>2597</v>
      </c>
      <c r="DQ89" s="2024">
        <v>0.22</v>
      </c>
      <c r="DR89" s="2023">
        <v>0</v>
      </c>
      <c r="DS89" s="2029">
        <v>120</v>
      </c>
      <c r="DT89" s="2029">
        <v>120</v>
      </c>
      <c r="DU89" s="2029">
        <v>120</v>
      </c>
      <c r="DV89" s="2029">
        <v>120</v>
      </c>
      <c r="DW89" s="2029"/>
      <c r="DX89" s="2029">
        <v>0</v>
      </c>
      <c r="DY89" s="2029">
        <v>0</v>
      </c>
      <c r="DZ89" s="2029">
        <v>0</v>
      </c>
      <c r="EA89" s="2029">
        <v>0</v>
      </c>
      <c r="EB89" s="2029">
        <v>0</v>
      </c>
      <c r="EC89" s="2029">
        <v>0</v>
      </c>
      <c r="ED89" s="2029">
        <v>0</v>
      </c>
      <c r="EE89" s="2039">
        <f t="shared" si="49"/>
        <v>0</v>
      </c>
      <c r="EF89" s="2039">
        <f t="shared" si="49"/>
        <v>0</v>
      </c>
      <c r="EG89" s="2039">
        <f t="shared" si="49"/>
        <v>0</v>
      </c>
      <c r="EH89" s="2039">
        <f t="shared" si="49"/>
        <v>0</v>
      </c>
      <c r="EI89" s="2040">
        <f t="shared" si="38"/>
        <v>0</v>
      </c>
      <c r="EJ89" s="2040">
        <f t="shared" si="38"/>
        <v>0</v>
      </c>
      <c r="EK89" s="2040">
        <f t="shared" si="38"/>
        <v>0</v>
      </c>
      <c r="EL89" s="2040">
        <f t="shared" si="37"/>
        <v>0</v>
      </c>
      <c r="EM89" s="2040">
        <f t="shared" si="37"/>
        <v>0</v>
      </c>
      <c r="EN89" s="2040">
        <f t="shared" si="37"/>
        <v>0</v>
      </c>
      <c r="EO89" s="2040">
        <f t="shared" si="37"/>
        <v>0</v>
      </c>
      <c r="EP89" s="2040">
        <f t="shared" si="37"/>
        <v>0</v>
      </c>
      <c r="EQ89" s="2040">
        <f t="shared" si="37"/>
        <v>0</v>
      </c>
      <c r="ER89" s="2040">
        <f t="shared" si="37"/>
        <v>0</v>
      </c>
      <c r="ES89" s="2040">
        <f t="shared" si="37"/>
        <v>0</v>
      </c>
      <c r="ET89" s="2040">
        <f t="shared" si="37"/>
        <v>0</v>
      </c>
      <c r="EU89" s="2039">
        <f t="shared" si="50"/>
        <v>0</v>
      </c>
      <c r="EV89" s="2039">
        <f t="shared" si="51"/>
        <v>0</v>
      </c>
    </row>
    <row r="90" spans="1:152" x14ac:dyDescent="0.25">
      <c r="A90" s="2041" t="s">
        <v>135</v>
      </c>
      <c r="B90" s="2022" t="s">
        <v>2939</v>
      </c>
      <c r="C90" s="2023">
        <v>15</v>
      </c>
      <c r="D90" s="2024">
        <v>4339.74</v>
      </c>
      <c r="E90" s="2024">
        <v>0.66</v>
      </c>
      <c r="F90" s="2023">
        <v>279</v>
      </c>
      <c r="G90" s="2026" t="s">
        <v>2899</v>
      </c>
      <c r="H90" s="2026" t="s">
        <v>2899</v>
      </c>
      <c r="I90" s="2026">
        <v>0.84899999999999998</v>
      </c>
      <c r="J90" s="2026">
        <v>0.84899999999999998</v>
      </c>
      <c r="K90" s="2026">
        <v>0.84899999999999998</v>
      </c>
      <c r="L90" s="2026">
        <v>0.84899999999999998</v>
      </c>
      <c r="M90" s="2027">
        <f t="shared" si="41"/>
        <v>3684.4392599999996</v>
      </c>
      <c r="N90" s="2027">
        <f t="shared" si="41"/>
        <v>3684.4392599999996</v>
      </c>
      <c r="O90" s="2027">
        <f t="shared" si="41"/>
        <v>3684.4392599999996</v>
      </c>
      <c r="P90" s="2027">
        <f t="shared" si="41"/>
        <v>3684.4392599999996</v>
      </c>
      <c r="Q90" s="2026">
        <v>0.84899999999999998</v>
      </c>
      <c r="R90" s="2026">
        <v>0.84899999999999998</v>
      </c>
      <c r="S90" s="2026">
        <v>0.84899999999999998</v>
      </c>
      <c r="T90" s="2026">
        <v>0.84899999999999998</v>
      </c>
      <c r="U90" s="2028">
        <f t="shared" si="42"/>
        <v>0.56034000000000006</v>
      </c>
      <c r="V90" s="2028">
        <f t="shared" si="42"/>
        <v>0.56034000000000006</v>
      </c>
      <c r="W90" s="2028">
        <f t="shared" si="42"/>
        <v>0.56034000000000006</v>
      </c>
      <c r="X90" s="2028">
        <f t="shared" si="42"/>
        <v>0.56034000000000006</v>
      </c>
      <c r="Y90" s="2026">
        <v>0.67500000000000004</v>
      </c>
      <c r="Z90" s="2026">
        <v>0.67500000000000004</v>
      </c>
      <c r="AA90" s="2026">
        <v>0.67500000000000004</v>
      </c>
      <c r="AB90" s="2026">
        <v>0.67500000000000004</v>
      </c>
      <c r="AC90" s="2027">
        <f t="shared" si="54"/>
        <v>188.32500000000002</v>
      </c>
      <c r="AD90" s="2027">
        <f t="shared" si="54"/>
        <v>188.32500000000002</v>
      </c>
      <c r="AE90" s="2027">
        <f t="shared" si="54"/>
        <v>188.32500000000002</v>
      </c>
      <c r="AF90" s="2027">
        <f t="shared" si="54"/>
        <v>188.32500000000002</v>
      </c>
      <c r="AG90" s="2027">
        <v>8</v>
      </c>
      <c r="AH90" s="2027">
        <v>9</v>
      </c>
      <c r="AI90" s="2027">
        <v>8</v>
      </c>
      <c r="AJ90" s="2027">
        <v>8</v>
      </c>
      <c r="AK90" s="2027">
        <f t="shared" si="55"/>
        <v>29475.514079999997</v>
      </c>
      <c r="AL90" s="2027">
        <f t="shared" si="52"/>
        <v>33159.95334</v>
      </c>
      <c r="AM90" s="2027">
        <f t="shared" si="52"/>
        <v>29475.514079999997</v>
      </c>
      <c r="AN90" s="2027">
        <f t="shared" si="52"/>
        <v>29475.514079999997</v>
      </c>
      <c r="AO90" s="2027">
        <f t="shared" si="56"/>
        <v>1506.6000000000001</v>
      </c>
      <c r="AP90" s="2027">
        <f t="shared" si="53"/>
        <v>1694.9250000000002</v>
      </c>
      <c r="AQ90" s="2027">
        <f t="shared" si="53"/>
        <v>1506.6000000000001</v>
      </c>
      <c r="AR90" s="2027">
        <f t="shared" si="29"/>
        <v>1506.6000000000001</v>
      </c>
      <c r="AS90" s="2029">
        <f>DF90</f>
        <v>498.16666666666669</v>
      </c>
      <c r="AT90" s="2029">
        <v>498.16666666666669</v>
      </c>
      <c r="AU90" s="2029">
        <v>498.16666666666669</v>
      </c>
      <c r="AV90" s="2029">
        <v>498.16666666666669</v>
      </c>
      <c r="AW90" s="2029">
        <f>CX90-AS90</f>
        <v>318.50000000000006</v>
      </c>
      <c r="AX90" s="2029">
        <f t="shared" si="44"/>
        <v>318.50000000000006</v>
      </c>
      <c r="AY90" s="2029">
        <f t="shared" si="44"/>
        <v>318.50000000000006</v>
      </c>
      <c r="AZ90" s="2029">
        <f t="shared" si="44"/>
        <v>318.50000000000006</v>
      </c>
      <c r="BA90" s="2042">
        <v>1124</v>
      </c>
      <c r="BB90" s="2029">
        <f t="shared" si="45"/>
        <v>1124</v>
      </c>
      <c r="BC90" s="2029">
        <f t="shared" si="45"/>
        <v>1124</v>
      </c>
      <c r="BD90" s="2029">
        <f t="shared" si="45"/>
        <v>1124</v>
      </c>
      <c r="BE90" s="2030">
        <f t="shared" si="46"/>
        <v>3985.3333333333335</v>
      </c>
      <c r="BF90" s="2030">
        <f t="shared" si="46"/>
        <v>4483.5</v>
      </c>
      <c r="BG90" s="2030">
        <f t="shared" si="46"/>
        <v>3985.3333333333335</v>
      </c>
      <c r="BH90" s="2030">
        <f t="shared" si="46"/>
        <v>3985.3333333333335</v>
      </c>
      <c r="BI90" s="2030">
        <f t="shared" si="47"/>
        <v>2548.0000000000005</v>
      </c>
      <c r="BJ90" s="2030">
        <f t="shared" si="47"/>
        <v>2866.5000000000005</v>
      </c>
      <c r="BK90" s="2030">
        <f t="shared" si="47"/>
        <v>2548.0000000000005</v>
      </c>
      <c r="BL90" s="2030">
        <f t="shared" si="40"/>
        <v>2548.0000000000005</v>
      </c>
      <c r="BM90" s="2031"/>
      <c r="BN90" s="2031"/>
      <c r="BO90" s="2031"/>
      <c r="BP90" s="2031"/>
      <c r="BQ90" s="2031"/>
      <c r="BR90" s="2031"/>
      <c r="BS90" s="2031"/>
      <c r="BT90" s="2031"/>
      <c r="BU90" s="2029"/>
      <c r="BV90" s="2029"/>
      <c r="BW90" s="2029"/>
      <c r="BX90" s="2029"/>
      <c r="BY90" s="2029"/>
      <c r="BZ90" s="2032"/>
      <c r="CA90" s="2027">
        <v>35711</v>
      </c>
      <c r="CB90" s="1974"/>
      <c r="CC90" s="1974"/>
      <c r="CD90" s="1974"/>
      <c r="CE90" s="1974">
        <v>0</v>
      </c>
      <c r="CF90" s="2033">
        <v>1.2321757614943625E-4</v>
      </c>
      <c r="CG90" s="2026">
        <v>5.6208297551896312E-4</v>
      </c>
      <c r="CH90" s="2009">
        <v>0</v>
      </c>
      <c r="CI90" s="2029">
        <v>0</v>
      </c>
      <c r="CK90" s="2029">
        <f t="shared" si="48"/>
        <v>0</v>
      </c>
      <c r="CL90" s="2034">
        <v>1</v>
      </c>
      <c r="CM90" s="2034">
        <v>1</v>
      </c>
      <c r="CN90" s="2034">
        <v>1</v>
      </c>
      <c r="CO90" s="2034">
        <v>1</v>
      </c>
      <c r="CP90" s="2035"/>
      <c r="CQ90" s="2036"/>
      <c r="CR90" s="2036"/>
      <c r="CS90" s="2036"/>
      <c r="CT90" s="2036"/>
      <c r="CU90" s="2036"/>
      <c r="CW90" s="1973">
        <v>0</v>
      </c>
      <c r="CX90" s="2037">
        <v>816.66666666666674</v>
      </c>
      <c r="CY90" s="2037">
        <v>816.66666666666674</v>
      </c>
      <c r="CZ90" s="2037">
        <v>816.66666666666674</v>
      </c>
      <c r="DA90" s="2037">
        <v>816.66666666666674</v>
      </c>
      <c r="DB90" s="2051">
        <v>0.61</v>
      </c>
      <c r="DC90" s="2051">
        <v>0.61</v>
      </c>
      <c r="DD90" s="2051">
        <v>0.61</v>
      </c>
      <c r="DE90" s="2051">
        <v>0.61</v>
      </c>
      <c r="DF90" s="2037">
        <f>DB90*CX90</f>
        <v>498.16666666666669</v>
      </c>
      <c r="DG90" s="2037">
        <f>DC90*CY90</f>
        <v>498.16666666666669</v>
      </c>
      <c r="DH90" s="2037">
        <f>DD90*CZ90</f>
        <v>498.16666666666669</v>
      </c>
      <c r="DI90" s="2037">
        <f>DE90*DA90</f>
        <v>498.16666666666669</v>
      </c>
      <c r="DJ90" s="1976">
        <v>733.33333333333337</v>
      </c>
      <c r="DK90" s="1973">
        <v>733.33333333333337</v>
      </c>
      <c r="DL90" s="1973">
        <v>733.33333333333337</v>
      </c>
      <c r="DM90" s="1973">
        <v>733.33333333333337</v>
      </c>
      <c r="DO90" s="2023">
        <v>15</v>
      </c>
      <c r="DP90" s="2024">
        <v>4339.74</v>
      </c>
      <c r="DQ90" s="2024">
        <v>0.66</v>
      </c>
      <c r="DR90" s="2023">
        <v>279</v>
      </c>
      <c r="DS90" s="2029">
        <v>498.16666666666669</v>
      </c>
      <c r="DT90" s="2029">
        <v>498.16666666666669</v>
      </c>
      <c r="DU90" s="2029">
        <v>498.16666666666669</v>
      </c>
      <c r="DV90" s="2029">
        <v>498.16666666666669</v>
      </c>
      <c r="DW90" s="2029">
        <v>318.50000000000006</v>
      </c>
      <c r="DX90" s="2029">
        <v>318.50000000000006</v>
      </c>
      <c r="DY90" s="2029">
        <v>318.50000000000006</v>
      </c>
      <c r="DZ90" s="2029">
        <v>318.50000000000006</v>
      </c>
      <c r="EA90" s="2042">
        <v>1124</v>
      </c>
      <c r="EB90" s="2029">
        <v>1124</v>
      </c>
      <c r="EC90" s="2029">
        <v>1124</v>
      </c>
      <c r="ED90" s="2029">
        <v>1124</v>
      </c>
      <c r="EE90" s="2039">
        <f t="shared" si="49"/>
        <v>0</v>
      </c>
      <c r="EF90" s="2039">
        <f t="shared" si="49"/>
        <v>0</v>
      </c>
      <c r="EG90" s="2039">
        <f t="shared" si="49"/>
        <v>0</v>
      </c>
      <c r="EH90" s="2039">
        <f t="shared" si="49"/>
        <v>0</v>
      </c>
      <c r="EI90" s="2040">
        <f t="shared" si="38"/>
        <v>0</v>
      </c>
      <c r="EJ90" s="2040">
        <f t="shared" si="38"/>
        <v>0</v>
      </c>
      <c r="EK90" s="2040">
        <f t="shared" si="38"/>
        <v>0</v>
      </c>
      <c r="EL90" s="2040">
        <f t="shared" si="37"/>
        <v>0</v>
      </c>
      <c r="EM90" s="2040">
        <f t="shared" si="37"/>
        <v>0</v>
      </c>
      <c r="EN90" s="2040">
        <f t="shared" si="37"/>
        <v>0</v>
      </c>
      <c r="EO90" s="2040">
        <f t="shared" si="37"/>
        <v>0</v>
      </c>
      <c r="EP90" s="2040">
        <f t="shared" si="37"/>
        <v>0</v>
      </c>
      <c r="EQ90" s="2040">
        <f t="shared" si="37"/>
        <v>0</v>
      </c>
      <c r="ER90" s="2040">
        <f t="shared" si="37"/>
        <v>0</v>
      </c>
      <c r="ES90" s="2040">
        <f t="shared" si="37"/>
        <v>0</v>
      </c>
      <c r="ET90" s="2040">
        <f t="shared" si="37"/>
        <v>0</v>
      </c>
      <c r="EU90" s="2039">
        <f t="shared" si="50"/>
        <v>0</v>
      </c>
      <c r="EV90" s="2039">
        <f t="shared" si="51"/>
        <v>0</v>
      </c>
    </row>
    <row r="91" spans="1:152" x14ac:dyDescent="0.25">
      <c r="A91" s="2041" t="s">
        <v>136</v>
      </c>
      <c r="B91" s="2022" t="s">
        <v>2940</v>
      </c>
      <c r="C91" s="2023">
        <v>4</v>
      </c>
      <c r="D91" s="2024">
        <v>5220</v>
      </c>
      <c r="E91" s="2024">
        <v>0</v>
      </c>
      <c r="F91" s="2023">
        <v>0</v>
      </c>
      <c r="G91" s="2026" t="s">
        <v>2899</v>
      </c>
      <c r="H91" s="2026" t="s">
        <v>2899</v>
      </c>
      <c r="I91" s="2026">
        <v>0.84899999999999998</v>
      </c>
      <c r="J91" s="2026">
        <v>0.84899999999999998</v>
      </c>
      <c r="K91" s="2026">
        <v>0.84899999999999998</v>
      </c>
      <c r="L91" s="2026">
        <v>0.84899999999999998</v>
      </c>
      <c r="M91" s="2027">
        <f t="shared" si="41"/>
        <v>4431.78</v>
      </c>
      <c r="N91" s="2027">
        <f t="shared" si="41"/>
        <v>4431.78</v>
      </c>
      <c r="O91" s="2027">
        <f t="shared" si="41"/>
        <v>4431.78</v>
      </c>
      <c r="P91" s="2027">
        <f t="shared" si="41"/>
        <v>4431.78</v>
      </c>
      <c r="Q91" s="2026">
        <v>0.84899999999999998</v>
      </c>
      <c r="R91" s="2026">
        <v>0.84899999999999998</v>
      </c>
      <c r="S91" s="2026">
        <v>0.84899999999999998</v>
      </c>
      <c r="T91" s="2026">
        <v>0.84899999999999998</v>
      </c>
      <c r="U91" s="2028">
        <f t="shared" si="42"/>
        <v>0</v>
      </c>
      <c r="V91" s="2028">
        <f t="shared" si="42"/>
        <v>0</v>
      </c>
      <c r="W91" s="2028">
        <f t="shared" si="42"/>
        <v>0</v>
      </c>
      <c r="X91" s="2028">
        <f t="shared" si="42"/>
        <v>0</v>
      </c>
      <c r="Y91" s="2026">
        <v>0.67500000000000004</v>
      </c>
      <c r="Z91" s="2026">
        <v>0.67500000000000004</v>
      </c>
      <c r="AA91" s="2026">
        <v>0.67500000000000004</v>
      </c>
      <c r="AB91" s="2026">
        <v>0.67500000000000004</v>
      </c>
      <c r="AC91" s="2027">
        <f t="shared" si="54"/>
        <v>0</v>
      </c>
      <c r="AD91" s="2027">
        <f t="shared" si="54"/>
        <v>0</v>
      </c>
      <c r="AE91" s="2027">
        <f t="shared" si="54"/>
        <v>0</v>
      </c>
      <c r="AF91" s="2027">
        <f t="shared" si="54"/>
        <v>0</v>
      </c>
      <c r="AG91" s="2027">
        <v>0</v>
      </c>
      <c r="AH91" s="2027">
        <v>0</v>
      </c>
      <c r="AI91" s="2027">
        <v>0</v>
      </c>
      <c r="AJ91" s="2027">
        <v>0</v>
      </c>
      <c r="AK91" s="2027">
        <f t="shared" si="55"/>
        <v>0</v>
      </c>
      <c r="AL91" s="2027">
        <f t="shared" si="52"/>
        <v>0</v>
      </c>
      <c r="AM91" s="2027">
        <f t="shared" si="52"/>
        <v>0</v>
      </c>
      <c r="AN91" s="2027">
        <f t="shared" si="52"/>
        <v>0</v>
      </c>
      <c r="AO91" s="2027">
        <f t="shared" si="56"/>
        <v>0</v>
      </c>
      <c r="AP91" s="2027">
        <f t="shared" si="53"/>
        <v>0</v>
      </c>
      <c r="AQ91" s="2027">
        <f t="shared" si="53"/>
        <v>0</v>
      </c>
      <c r="AR91" s="2027">
        <f t="shared" si="53"/>
        <v>0</v>
      </c>
      <c r="AS91" s="2029">
        <v>200</v>
      </c>
      <c r="AT91" s="2029">
        <f t="shared" si="43"/>
        <v>200</v>
      </c>
      <c r="AU91" s="2029">
        <f t="shared" si="43"/>
        <v>200</v>
      </c>
      <c r="AV91" s="2029">
        <f t="shared" si="43"/>
        <v>200</v>
      </c>
      <c r="AW91" s="1974"/>
      <c r="AX91" s="2029">
        <f t="shared" si="44"/>
        <v>0</v>
      </c>
      <c r="AY91" s="2029">
        <f t="shared" si="44"/>
        <v>0</v>
      </c>
      <c r="AZ91" s="2029">
        <f t="shared" si="44"/>
        <v>0</v>
      </c>
      <c r="BA91" s="2029">
        <v>140</v>
      </c>
      <c r="BB91" s="2029">
        <f t="shared" si="45"/>
        <v>140</v>
      </c>
      <c r="BC91" s="2029">
        <f t="shared" si="45"/>
        <v>140</v>
      </c>
      <c r="BD91" s="2029">
        <f t="shared" si="45"/>
        <v>140</v>
      </c>
      <c r="BE91" s="2030">
        <f t="shared" si="46"/>
        <v>0</v>
      </c>
      <c r="BF91" s="2030">
        <f t="shared" si="46"/>
        <v>0</v>
      </c>
      <c r="BG91" s="2030">
        <f t="shared" si="46"/>
        <v>0</v>
      </c>
      <c r="BH91" s="2030">
        <f t="shared" si="46"/>
        <v>0</v>
      </c>
      <c r="BI91" s="2030">
        <f t="shared" si="47"/>
        <v>0</v>
      </c>
      <c r="BJ91" s="2030">
        <f t="shared" si="47"/>
        <v>0</v>
      </c>
      <c r="BK91" s="2030">
        <f t="shared" si="47"/>
        <v>0</v>
      </c>
      <c r="BL91" s="2030">
        <f t="shared" si="40"/>
        <v>0</v>
      </c>
      <c r="BM91" s="2031"/>
      <c r="BN91" s="2031"/>
      <c r="BO91" s="2031"/>
      <c r="BP91" s="2031"/>
      <c r="BQ91" s="2031"/>
      <c r="BR91" s="2031"/>
      <c r="BS91" s="2031"/>
      <c r="BT91" s="2031"/>
      <c r="BU91" s="2029"/>
      <c r="BV91" s="2029"/>
      <c r="BW91" s="2029"/>
      <c r="BX91" s="2029"/>
      <c r="BY91" s="2029"/>
      <c r="BZ91" s="2032"/>
      <c r="CA91" s="1974"/>
      <c r="CB91" s="1974"/>
      <c r="CC91" s="1974"/>
      <c r="CD91" s="1974"/>
      <c r="CE91" s="1974">
        <v>0</v>
      </c>
      <c r="CF91" s="2033">
        <v>0</v>
      </c>
      <c r="CG91" s="2026">
        <v>0</v>
      </c>
      <c r="CH91" s="2009">
        <v>0</v>
      </c>
      <c r="CI91" s="2029">
        <v>0</v>
      </c>
      <c r="CK91" s="2029">
        <f t="shared" si="48"/>
        <v>0</v>
      </c>
      <c r="CL91" s="2034">
        <v>1</v>
      </c>
      <c r="CM91" s="2034">
        <v>1</v>
      </c>
      <c r="CN91" s="2034">
        <v>1</v>
      </c>
      <c r="CO91" s="2034">
        <v>1</v>
      </c>
      <c r="CP91" s="2035"/>
      <c r="CQ91" s="2036"/>
      <c r="CR91" s="2036"/>
      <c r="CS91" s="2036"/>
      <c r="CT91" s="2036"/>
      <c r="CU91" s="2036"/>
      <c r="CW91" s="1973">
        <v>0</v>
      </c>
      <c r="CX91" s="2037">
        <v>200</v>
      </c>
      <c r="CY91" s="2037">
        <v>200</v>
      </c>
      <c r="CZ91" s="2037">
        <v>200</v>
      </c>
      <c r="DA91" s="2037">
        <v>200</v>
      </c>
      <c r="DJ91" s="1976">
        <v>200</v>
      </c>
      <c r="DK91" s="1973">
        <v>200</v>
      </c>
      <c r="DL91" s="1973">
        <v>200</v>
      </c>
      <c r="DM91" s="1973">
        <v>200</v>
      </c>
      <c r="DO91" s="2023">
        <v>4</v>
      </c>
      <c r="DP91" s="2024">
        <v>5220</v>
      </c>
      <c r="DQ91" s="2024">
        <v>0</v>
      </c>
      <c r="DR91" s="2023">
        <v>0</v>
      </c>
      <c r="DS91" s="2029">
        <v>200</v>
      </c>
      <c r="DT91" s="2029">
        <v>200</v>
      </c>
      <c r="DU91" s="2029">
        <v>200</v>
      </c>
      <c r="DV91" s="2029">
        <v>200</v>
      </c>
      <c r="DW91" s="1974"/>
      <c r="DX91" s="2029">
        <v>0</v>
      </c>
      <c r="DY91" s="2029">
        <v>0</v>
      </c>
      <c r="DZ91" s="2029">
        <v>0</v>
      </c>
      <c r="EA91" s="2029">
        <v>140</v>
      </c>
      <c r="EB91" s="2029">
        <v>140</v>
      </c>
      <c r="EC91" s="2029">
        <v>140</v>
      </c>
      <c r="ED91" s="2029">
        <v>140</v>
      </c>
      <c r="EE91" s="2039">
        <f t="shared" si="49"/>
        <v>0</v>
      </c>
      <c r="EF91" s="2039">
        <f t="shared" si="49"/>
        <v>0</v>
      </c>
      <c r="EG91" s="2039">
        <f t="shared" si="49"/>
        <v>0</v>
      </c>
      <c r="EH91" s="2039">
        <f t="shared" si="49"/>
        <v>0</v>
      </c>
      <c r="EI91" s="2040">
        <f t="shared" si="38"/>
        <v>0</v>
      </c>
      <c r="EJ91" s="2040">
        <f t="shared" si="38"/>
        <v>0</v>
      </c>
      <c r="EK91" s="2040">
        <f t="shared" si="38"/>
        <v>0</v>
      </c>
      <c r="EL91" s="2040">
        <f t="shared" si="37"/>
        <v>0</v>
      </c>
      <c r="EM91" s="2040">
        <f t="shared" si="37"/>
        <v>0</v>
      </c>
      <c r="EN91" s="2040">
        <f t="shared" si="37"/>
        <v>0</v>
      </c>
      <c r="EO91" s="2040">
        <f t="shared" ref="EO91:ET133" si="57">AY91-DY91</f>
        <v>0</v>
      </c>
      <c r="EP91" s="2040">
        <f t="shared" si="57"/>
        <v>0</v>
      </c>
      <c r="EQ91" s="2040">
        <f t="shared" si="57"/>
        <v>0</v>
      </c>
      <c r="ER91" s="2040">
        <f t="shared" si="57"/>
        <v>0</v>
      </c>
      <c r="ES91" s="2040">
        <f t="shared" si="57"/>
        <v>0</v>
      </c>
      <c r="ET91" s="2040">
        <f t="shared" si="57"/>
        <v>0</v>
      </c>
      <c r="EU91" s="2039">
        <f t="shared" si="50"/>
        <v>0</v>
      </c>
      <c r="EV91" s="2039">
        <f t="shared" si="51"/>
        <v>0</v>
      </c>
    </row>
    <row r="92" spans="1:152" x14ac:dyDescent="0.25">
      <c r="A92" s="2041" t="s">
        <v>137</v>
      </c>
      <c r="B92" s="2022" t="s">
        <v>2941</v>
      </c>
      <c r="C92" s="2543">
        <v>13</v>
      </c>
      <c r="D92" s="2024">
        <v>11337</v>
      </c>
      <c r="E92" s="2024">
        <v>1.1200000000000001</v>
      </c>
      <c r="F92" s="2023">
        <v>0</v>
      </c>
      <c r="G92" s="2026" t="s">
        <v>137</v>
      </c>
      <c r="H92" s="2026" t="s">
        <v>137</v>
      </c>
      <c r="I92" s="2026">
        <v>0.83299999999999996</v>
      </c>
      <c r="J92" s="2026">
        <v>0.83299999999999996</v>
      </c>
      <c r="K92" s="2026">
        <v>0.83299999999999996</v>
      </c>
      <c r="L92" s="2026">
        <v>0.83299999999999996</v>
      </c>
      <c r="M92" s="2027">
        <f t="shared" si="41"/>
        <v>9443.7209999999995</v>
      </c>
      <c r="N92" s="2027">
        <f t="shared" si="41"/>
        <v>9443.7209999999995</v>
      </c>
      <c r="O92" s="2027">
        <f t="shared" si="41"/>
        <v>9443.7209999999995</v>
      </c>
      <c r="P92" s="2027">
        <f t="shared" si="41"/>
        <v>9443.7209999999995</v>
      </c>
      <c r="Q92" s="2026">
        <v>0.83299999999999996</v>
      </c>
      <c r="R92" s="2026">
        <v>0.83299999999999996</v>
      </c>
      <c r="S92" s="2026">
        <v>0.83299999999999996</v>
      </c>
      <c r="T92" s="2026">
        <v>0.83299999999999996</v>
      </c>
      <c r="U92" s="2028">
        <f t="shared" si="42"/>
        <v>0.93296000000000001</v>
      </c>
      <c r="V92" s="2028">
        <f t="shared" si="42"/>
        <v>0.93296000000000001</v>
      </c>
      <c r="W92" s="2028">
        <f t="shared" si="42"/>
        <v>0.93296000000000001</v>
      </c>
      <c r="X92" s="2028">
        <f t="shared" si="42"/>
        <v>0.93296000000000001</v>
      </c>
      <c r="Y92" s="2026">
        <v>0.83299999999999996</v>
      </c>
      <c r="Z92" s="2026">
        <v>0.83299999999999996</v>
      </c>
      <c r="AA92" s="2026">
        <v>0.83299999999999996</v>
      </c>
      <c r="AB92" s="2026">
        <v>0.83299999999999996</v>
      </c>
      <c r="AC92" s="2027">
        <f t="shared" si="54"/>
        <v>0</v>
      </c>
      <c r="AD92" s="2027">
        <f t="shared" si="54"/>
        <v>0</v>
      </c>
      <c r="AE92" s="2027">
        <f t="shared" si="54"/>
        <v>0</v>
      </c>
      <c r="AF92" s="2027">
        <f t="shared" si="54"/>
        <v>0</v>
      </c>
      <c r="AG92" s="2027">
        <v>1725</v>
      </c>
      <c r="AH92" s="2027">
        <v>1794</v>
      </c>
      <c r="AI92" s="2027">
        <v>1912</v>
      </c>
      <c r="AJ92" s="2027">
        <v>1811</v>
      </c>
      <c r="AK92" s="2027">
        <f t="shared" si="55"/>
        <v>16290418.725</v>
      </c>
      <c r="AL92" s="2027">
        <f t="shared" si="52"/>
        <v>16942035.473999999</v>
      </c>
      <c r="AM92" s="2027">
        <f t="shared" si="52"/>
        <v>18056394.551999997</v>
      </c>
      <c r="AN92" s="2027">
        <f t="shared" si="52"/>
        <v>17102578.730999999</v>
      </c>
      <c r="AO92" s="2027">
        <f t="shared" si="56"/>
        <v>0</v>
      </c>
      <c r="AP92" s="2027">
        <f t="shared" si="53"/>
        <v>0</v>
      </c>
      <c r="AQ92" s="2027">
        <f t="shared" si="53"/>
        <v>0</v>
      </c>
      <c r="AR92" s="2027">
        <f t="shared" si="53"/>
        <v>0</v>
      </c>
      <c r="AS92" s="2029">
        <v>1050</v>
      </c>
      <c r="AT92" s="2029">
        <f t="shared" si="43"/>
        <v>1050</v>
      </c>
      <c r="AU92" s="2029">
        <f t="shared" si="43"/>
        <v>1050</v>
      </c>
      <c r="AV92" s="2029">
        <f t="shared" si="43"/>
        <v>1050</v>
      </c>
      <c r="AW92" s="1974"/>
      <c r="AX92" s="2029">
        <f t="shared" si="44"/>
        <v>0</v>
      </c>
      <c r="AY92" s="2029">
        <f t="shared" si="44"/>
        <v>0</v>
      </c>
      <c r="AZ92" s="2029">
        <f t="shared" si="44"/>
        <v>0</v>
      </c>
      <c r="BA92" s="2029">
        <v>2085.4</v>
      </c>
      <c r="BB92" s="2029">
        <f t="shared" si="45"/>
        <v>2085.4</v>
      </c>
      <c r="BC92" s="2029">
        <f t="shared" si="45"/>
        <v>2085.4</v>
      </c>
      <c r="BD92" s="2029">
        <f t="shared" si="45"/>
        <v>2085.4</v>
      </c>
      <c r="BE92" s="2030">
        <f t="shared" si="46"/>
        <v>1811250</v>
      </c>
      <c r="BF92" s="2030">
        <f t="shared" si="46"/>
        <v>1883700</v>
      </c>
      <c r="BG92" s="2030">
        <f t="shared" si="46"/>
        <v>2007600</v>
      </c>
      <c r="BH92" s="2030">
        <f t="shared" si="46"/>
        <v>1901550</v>
      </c>
      <c r="BI92" s="2030">
        <f t="shared" si="47"/>
        <v>0</v>
      </c>
      <c r="BJ92" s="2030">
        <f t="shared" si="47"/>
        <v>0</v>
      </c>
      <c r="BK92" s="2030">
        <f t="shared" si="47"/>
        <v>0</v>
      </c>
      <c r="BL92" s="2030">
        <f t="shared" si="40"/>
        <v>0</v>
      </c>
      <c r="BM92" s="2031"/>
      <c r="BN92" s="2031"/>
      <c r="BO92" s="2031"/>
      <c r="BP92" s="2031"/>
      <c r="BQ92" s="2031"/>
      <c r="BR92" s="2031"/>
      <c r="BS92" s="2031"/>
      <c r="BT92" s="2031"/>
      <c r="BU92" s="2029"/>
      <c r="BV92" s="2029"/>
      <c r="BW92" s="2029"/>
      <c r="BX92" s="2029"/>
      <c r="BY92" s="2029"/>
      <c r="BZ92" s="2032"/>
      <c r="CA92" s="1974"/>
      <c r="CB92" s="1974"/>
      <c r="CC92" s="1974"/>
      <c r="CD92" s="1974"/>
      <c r="CE92" s="1974">
        <v>0</v>
      </c>
      <c r="CF92" s="2033">
        <v>6.8099436851412828E-2</v>
      </c>
      <c r="CG92" s="2026">
        <v>0</v>
      </c>
      <c r="CH92" s="2009">
        <v>0</v>
      </c>
      <c r="CI92" s="2029">
        <v>0</v>
      </c>
      <c r="CK92" s="2029">
        <f t="shared" si="48"/>
        <v>0</v>
      </c>
      <c r="CL92" s="2034">
        <v>1</v>
      </c>
      <c r="CM92" s="2034">
        <v>1</v>
      </c>
      <c r="CN92" s="2034">
        <v>1</v>
      </c>
      <c r="CO92" s="2034">
        <v>1</v>
      </c>
      <c r="CP92" s="2035"/>
      <c r="CQ92" s="2036"/>
      <c r="CR92" s="2036"/>
      <c r="CS92" s="2036"/>
      <c r="CT92" s="2036"/>
      <c r="CU92" s="2036"/>
      <c r="CW92" s="1973">
        <v>0</v>
      </c>
      <c r="CX92" s="2037">
        <v>1050</v>
      </c>
      <c r="CY92" s="2037">
        <v>1050</v>
      </c>
      <c r="CZ92" s="2037">
        <v>1050</v>
      </c>
      <c r="DA92" s="2037">
        <v>1050</v>
      </c>
      <c r="DJ92" s="1976">
        <v>1050</v>
      </c>
      <c r="DK92" s="1973">
        <v>1050</v>
      </c>
      <c r="DL92" s="1973">
        <v>1050</v>
      </c>
      <c r="DM92" s="1973">
        <v>1050</v>
      </c>
      <c r="DO92" s="2023">
        <v>15</v>
      </c>
      <c r="DP92" s="2024">
        <v>11337</v>
      </c>
      <c r="DQ92" s="2024">
        <v>1.1200000000000001</v>
      </c>
      <c r="DR92" s="2023">
        <v>0</v>
      </c>
      <c r="DS92" s="2029">
        <v>1050</v>
      </c>
      <c r="DT92" s="2029">
        <v>1050</v>
      </c>
      <c r="DU92" s="2029">
        <v>1050</v>
      </c>
      <c r="DV92" s="2029">
        <v>1050</v>
      </c>
      <c r="DW92" s="1974"/>
      <c r="DX92" s="2029">
        <v>0</v>
      </c>
      <c r="DY92" s="2029">
        <v>0</v>
      </c>
      <c r="DZ92" s="2029">
        <v>0</v>
      </c>
      <c r="EA92" s="2029">
        <v>2085.4</v>
      </c>
      <c r="EB92" s="2029">
        <v>2085.4</v>
      </c>
      <c r="EC92" s="2029">
        <v>2085.4</v>
      </c>
      <c r="ED92" s="2029">
        <v>2085.4</v>
      </c>
      <c r="EE92" s="2039">
        <f t="shared" si="49"/>
        <v>-2</v>
      </c>
      <c r="EF92" s="2039">
        <f t="shared" si="49"/>
        <v>0</v>
      </c>
      <c r="EG92" s="2039">
        <f t="shared" si="49"/>
        <v>0</v>
      </c>
      <c r="EH92" s="2039">
        <f t="shared" si="49"/>
        <v>0</v>
      </c>
      <c r="EI92" s="2040">
        <f t="shared" si="38"/>
        <v>0</v>
      </c>
      <c r="EJ92" s="2040">
        <f t="shared" si="38"/>
        <v>0</v>
      </c>
      <c r="EK92" s="2040">
        <f t="shared" si="38"/>
        <v>0</v>
      </c>
      <c r="EL92" s="2040">
        <f t="shared" si="38"/>
        <v>0</v>
      </c>
      <c r="EM92" s="2040">
        <f t="shared" si="38"/>
        <v>0</v>
      </c>
      <c r="EN92" s="2040">
        <f t="shared" si="38"/>
        <v>0</v>
      </c>
      <c r="EO92" s="2040">
        <f t="shared" si="57"/>
        <v>0</v>
      </c>
      <c r="EP92" s="2040">
        <f t="shared" si="57"/>
        <v>0</v>
      </c>
      <c r="EQ92" s="2040">
        <f t="shared" si="57"/>
        <v>0</v>
      </c>
      <c r="ER92" s="2040">
        <f t="shared" si="57"/>
        <v>0</v>
      </c>
      <c r="ES92" s="2040">
        <f t="shared" si="57"/>
        <v>0</v>
      </c>
      <c r="ET92" s="2040">
        <f t="shared" si="57"/>
        <v>0</v>
      </c>
      <c r="EU92" s="2039">
        <f t="shared" si="50"/>
        <v>-2</v>
      </c>
      <c r="EV92" s="2039">
        <f t="shared" si="51"/>
        <v>-2</v>
      </c>
    </row>
    <row r="93" spans="1:152" x14ac:dyDescent="0.25">
      <c r="A93" s="2041" t="s">
        <v>235</v>
      </c>
      <c r="B93" s="2022"/>
      <c r="C93" s="2023"/>
      <c r="D93" s="2024"/>
      <c r="E93" s="2024"/>
      <c r="F93" s="2023"/>
      <c r="G93" s="2026" t="s">
        <v>2285</v>
      </c>
      <c r="H93" s="2026" t="s">
        <v>2285</v>
      </c>
      <c r="I93" s="2026">
        <v>0.79999999999999993</v>
      </c>
      <c r="J93" s="2026">
        <v>0.79999999999999993</v>
      </c>
      <c r="K93" s="2026">
        <v>0.79999999999999993</v>
      </c>
      <c r="L93" s="2026">
        <v>0.79999999999999993</v>
      </c>
      <c r="M93" s="2027">
        <f t="shared" si="41"/>
        <v>0</v>
      </c>
      <c r="N93" s="2027">
        <f t="shared" si="41"/>
        <v>0</v>
      </c>
      <c r="O93" s="2027">
        <f t="shared" si="41"/>
        <v>0</v>
      </c>
      <c r="P93" s="2027">
        <f t="shared" si="41"/>
        <v>0</v>
      </c>
      <c r="Q93" s="2026">
        <v>0.79999999999999993</v>
      </c>
      <c r="R93" s="2026">
        <v>0.79999999999999993</v>
      </c>
      <c r="S93" s="2026">
        <v>0.79999999999999993</v>
      </c>
      <c r="T93" s="2026">
        <v>0.79999999999999993</v>
      </c>
      <c r="U93" s="2028">
        <f t="shared" si="42"/>
        <v>0</v>
      </c>
      <c r="V93" s="2028">
        <f t="shared" si="42"/>
        <v>0</v>
      </c>
      <c r="W93" s="2028">
        <f t="shared" si="42"/>
        <v>0</v>
      </c>
      <c r="X93" s="2028">
        <f t="shared" si="42"/>
        <v>0</v>
      </c>
      <c r="Y93" s="2026">
        <v>0.60399999999999998</v>
      </c>
      <c r="Z93" s="2026">
        <v>0.60399999999999998</v>
      </c>
      <c r="AA93" s="2026">
        <v>0.60399999999999998</v>
      </c>
      <c r="AB93" s="2026">
        <v>0.60399999999999998</v>
      </c>
      <c r="AC93" s="2027"/>
      <c r="AD93" s="2027"/>
      <c r="AE93" s="2027"/>
      <c r="AF93" s="2027"/>
      <c r="AG93" s="2027">
        <v>0</v>
      </c>
      <c r="AH93" s="2027">
        <v>0</v>
      </c>
      <c r="AI93" s="2027">
        <v>0</v>
      </c>
      <c r="AJ93" s="2027">
        <v>0</v>
      </c>
      <c r="AK93" s="2027"/>
      <c r="AL93" s="2027"/>
      <c r="AM93" s="2027"/>
      <c r="AN93" s="2027">
        <f t="shared" si="52"/>
        <v>0</v>
      </c>
      <c r="AO93" s="2027"/>
      <c r="AP93" s="2027"/>
      <c r="AQ93" s="2027"/>
      <c r="AR93" s="2027">
        <f t="shared" si="53"/>
        <v>0</v>
      </c>
      <c r="AS93" s="2031">
        <v>15000</v>
      </c>
      <c r="AT93" s="2029">
        <f t="shared" si="43"/>
        <v>15000</v>
      </c>
      <c r="AU93" s="2029">
        <f t="shared" si="43"/>
        <v>15000</v>
      </c>
      <c r="AV93" s="2029">
        <f t="shared" si="43"/>
        <v>15000</v>
      </c>
      <c r="AW93" s="1974">
        <v>15000</v>
      </c>
      <c r="AX93" s="2029">
        <f t="shared" si="44"/>
        <v>15000</v>
      </c>
      <c r="AY93" s="2029">
        <f t="shared" si="44"/>
        <v>15000</v>
      </c>
      <c r="AZ93" s="2029">
        <f t="shared" si="44"/>
        <v>15000</v>
      </c>
      <c r="BA93" s="1974"/>
      <c r="BB93" s="2029">
        <f t="shared" si="45"/>
        <v>0</v>
      </c>
      <c r="BC93" s="2029">
        <f t="shared" si="45"/>
        <v>0</v>
      </c>
      <c r="BD93" s="2029">
        <f t="shared" si="45"/>
        <v>0</v>
      </c>
      <c r="BE93" s="2030">
        <f t="shared" si="46"/>
        <v>0</v>
      </c>
      <c r="BF93" s="2030">
        <f t="shared" si="46"/>
        <v>0</v>
      </c>
      <c r="BG93" s="2030">
        <f t="shared" si="46"/>
        <v>0</v>
      </c>
      <c r="BH93" s="2030">
        <f t="shared" si="46"/>
        <v>0</v>
      </c>
      <c r="BI93" s="2030">
        <f t="shared" si="47"/>
        <v>0</v>
      </c>
      <c r="BJ93" s="2030">
        <f t="shared" si="47"/>
        <v>0</v>
      </c>
      <c r="BK93" s="2030">
        <f t="shared" si="47"/>
        <v>0</v>
      </c>
      <c r="BL93" s="2030">
        <f t="shared" si="40"/>
        <v>0</v>
      </c>
      <c r="BM93" s="2031"/>
      <c r="BN93" s="2031"/>
      <c r="BO93" s="2031"/>
      <c r="BP93" s="2031"/>
      <c r="BQ93" s="2031"/>
      <c r="BR93" s="2031"/>
      <c r="BS93" s="2031"/>
      <c r="BT93" s="2031"/>
      <c r="BU93" s="2029"/>
      <c r="BV93" s="2029"/>
      <c r="BW93" s="2029"/>
      <c r="BX93" s="2029"/>
      <c r="BY93" s="2029"/>
      <c r="BZ93" s="2032"/>
      <c r="CA93" s="1974"/>
      <c r="CB93" s="1974"/>
      <c r="CC93" s="1974"/>
      <c r="CD93" s="1974"/>
      <c r="CE93" s="1974">
        <v>0</v>
      </c>
      <c r="CF93" s="2033">
        <v>0</v>
      </c>
      <c r="CG93" s="2026">
        <v>0</v>
      </c>
      <c r="CH93" s="2009">
        <v>0</v>
      </c>
      <c r="CI93" s="2029">
        <v>0</v>
      </c>
      <c r="CK93" s="2029">
        <f t="shared" si="48"/>
        <v>0</v>
      </c>
      <c r="CL93" s="2034">
        <v>1</v>
      </c>
      <c r="CM93" s="2034">
        <v>1</v>
      </c>
      <c r="CN93" s="2034">
        <v>1</v>
      </c>
      <c r="CO93" s="2034">
        <v>1</v>
      </c>
      <c r="CP93" s="2035"/>
      <c r="CQ93" s="2036"/>
      <c r="CR93" s="2036"/>
      <c r="CS93" s="2036"/>
      <c r="CT93" s="2036"/>
      <c r="CU93" s="2036"/>
      <c r="CW93" s="1973">
        <v>0</v>
      </c>
      <c r="CX93" s="2037">
        <v>30000</v>
      </c>
      <c r="CY93" s="2037">
        <v>30000</v>
      </c>
      <c r="CZ93" s="2037">
        <v>30000</v>
      </c>
      <c r="DA93" s="2037">
        <v>30000</v>
      </c>
      <c r="DJ93" s="1976">
        <v>15000</v>
      </c>
      <c r="DK93" s="1973">
        <v>15000</v>
      </c>
      <c r="DL93" s="1973">
        <v>15000</v>
      </c>
      <c r="DM93" s="1973">
        <v>15000</v>
      </c>
      <c r="DO93" s="2023"/>
      <c r="DP93" s="2024"/>
      <c r="DQ93" s="2024"/>
      <c r="DR93" s="2023"/>
      <c r="DS93" s="2031">
        <v>15000</v>
      </c>
      <c r="DT93" s="2029">
        <v>15000</v>
      </c>
      <c r="DU93" s="2029">
        <v>15000</v>
      </c>
      <c r="DV93" s="2029">
        <v>15000</v>
      </c>
      <c r="DW93" s="1974">
        <v>15000</v>
      </c>
      <c r="DX93" s="2029">
        <v>15000</v>
      </c>
      <c r="DY93" s="2029">
        <v>15000</v>
      </c>
      <c r="DZ93" s="2029">
        <v>15000</v>
      </c>
      <c r="EA93" s="1974"/>
      <c r="EB93" s="2029">
        <v>0</v>
      </c>
      <c r="EC93" s="2029">
        <v>0</v>
      </c>
      <c r="ED93" s="2029">
        <v>0</v>
      </c>
      <c r="EE93" s="2039">
        <f t="shared" si="49"/>
        <v>0</v>
      </c>
      <c r="EF93" s="2039">
        <f t="shared" si="49"/>
        <v>0</v>
      </c>
      <c r="EG93" s="2039">
        <f t="shared" si="49"/>
        <v>0</v>
      </c>
      <c r="EH93" s="2039">
        <f t="shared" si="49"/>
        <v>0</v>
      </c>
      <c r="EI93" s="2040">
        <f t="shared" si="38"/>
        <v>0</v>
      </c>
      <c r="EJ93" s="2040">
        <f t="shared" si="38"/>
        <v>0</v>
      </c>
      <c r="EK93" s="2040">
        <f t="shared" si="38"/>
        <v>0</v>
      </c>
      <c r="EL93" s="2040">
        <f t="shared" si="38"/>
        <v>0</v>
      </c>
      <c r="EM93" s="2040">
        <f t="shared" si="38"/>
        <v>0</v>
      </c>
      <c r="EN93" s="2040">
        <f t="shared" si="38"/>
        <v>0</v>
      </c>
      <c r="EO93" s="2040">
        <f t="shared" si="57"/>
        <v>0</v>
      </c>
      <c r="EP93" s="2040">
        <f t="shared" si="57"/>
        <v>0</v>
      </c>
      <c r="EQ93" s="2040">
        <f t="shared" si="57"/>
        <v>0</v>
      </c>
      <c r="ER93" s="2040">
        <f t="shared" si="57"/>
        <v>0</v>
      </c>
      <c r="ES93" s="2040">
        <f t="shared" si="57"/>
        <v>0</v>
      </c>
      <c r="ET93" s="2040">
        <f t="shared" si="57"/>
        <v>0</v>
      </c>
      <c r="EU93" s="2039">
        <f t="shared" si="50"/>
        <v>0</v>
      </c>
      <c r="EV93" s="2039">
        <f t="shared" si="51"/>
        <v>0</v>
      </c>
    </row>
    <row r="94" spans="1:152" x14ac:dyDescent="0.25">
      <c r="A94" s="2041" t="s">
        <v>236</v>
      </c>
      <c r="B94" s="2022" t="s">
        <v>2942</v>
      </c>
      <c r="C94" s="2023"/>
      <c r="D94" s="2024"/>
      <c r="E94" s="2024"/>
      <c r="F94" s="2023"/>
      <c r="G94" s="2026" t="s">
        <v>2285</v>
      </c>
      <c r="H94" s="2026" t="s">
        <v>2285</v>
      </c>
      <c r="I94" s="2026">
        <v>0.79999999999999993</v>
      </c>
      <c r="J94" s="2026">
        <v>0.79999999999999993</v>
      </c>
      <c r="K94" s="2026">
        <v>0.79999999999999993</v>
      </c>
      <c r="L94" s="2026">
        <v>0.79999999999999993</v>
      </c>
      <c r="M94" s="2027">
        <f t="shared" si="41"/>
        <v>0</v>
      </c>
      <c r="N94" s="2027">
        <f t="shared" si="41"/>
        <v>0</v>
      </c>
      <c r="O94" s="2027">
        <f t="shared" si="41"/>
        <v>0</v>
      </c>
      <c r="P94" s="2027">
        <f t="shared" si="41"/>
        <v>0</v>
      </c>
      <c r="Q94" s="2026">
        <v>0.79999999999999993</v>
      </c>
      <c r="R94" s="2026">
        <v>0.79999999999999993</v>
      </c>
      <c r="S94" s="2026">
        <v>0.79999999999999993</v>
      </c>
      <c r="T94" s="2026">
        <v>0.79999999999999993</v>
      </c>
      <c r="U94" s="2028">
        <f t="shared" si="42"/>
        <v>0</v>
      </c>
      <c r="V94" s="2028">
        <f t="shared" si="42"/>
        <v>0</v>
      </c>
      <c r="W94" s="2028">
        <f t="shared" si="42"/>
        <v>0</v>
      </c>
      <c r="X94" s="2028">
        <f t="shared" si="42"/>
        <v>0</v>
      </c>
      <c r="Y94" s="2026">
        <v>0.60399999999999998</v>
      </c>
      <c r="Z94" s="2026">
        <v>0.60399999999999998</v>
      </c>
      <c r="AA94" s="2026">
        <v>0.60399999999999998</v>
      </c>
      <c r="AB94" s="2026">
        <v>0.60399999999999998</v>
      </c>
      <c r="AC94" s="2027"/>
      <c r="AD94" s="2027"/>
      <c r="AE94" s="2027"/>
      <c r="AF94" s="2027"/>
      <c r="AG94" s="2027">
        <v>0</v>
      </c>
      <c r="AH94" s="2027">
        <v>0</v>
      </c>
      <c r="AI94" s="2027">
        <v>0</v>
      </c>
      <c r="AJ94" s="2027">
        <v>0</v>
      </c>
      <c r="AK94" s="2027"/>
      <c r="AL94" s="2027"/>
      <c r="AM94" s="2027"/>
      <c r="AN94" s="2027">
        <f t="shared" si="52"/>
        <v>0</v>
      </c>
      <c r="AO94" s="2027"/>
      <c r="AP94" s="2027"/>
      <c r="AQ94" s="2027"/>
      <c r="AR94" s="2027">
        <f t="shared" si="53"/>
        <v>0</v>
      </c>
      <c r="AS94" s="2031">
        <v>15000</v>
      </c>
      <c r="AT94" s="2029">
        <f t="shared" si="43"/>
        <v>15000</v>
      </c>
      <c r="AU94" s="2029">
        <f t="shared" si="43"/>
        <v>15000</v>
      </c>
      <c r="AV94" s="2029">
        <f t="shared" si="43"/>
        <v>15000</v>
      </c>
      <c r="AW94" s="1974">
        <v>15000</v>
      </c>
      <c r="AX94" s="2029">
        <f t="shared" si="44"/>
        <v>15000</v>
      </c>
      <c r="AY94" s="2029">
        <f t="shared" si="44"/>
        <v>15000</v>
      </c>
      <c r="AZ94" s="2029">
        <f t="shared" si="44"/>
        <v>15000</v>
      </c>
      <c r="BA94" s="1974"/>
      <c r="BB94" s="2029">
        <f t="shared" si="45"/>
        <v>0</v>
      </c>
      <c r="BC94" s="2029">
        <f t="shared" si="45"/>
        <v>0</v>
      </c>
      <c r="BD94" s="2029">
        <f t="shared" si="45"/>
        <v>0</v>
      </c>
      <c r="BE94" s="2030">
        <f t="shared" si="46"/>
        <v>0</v>
      </c>
      <c r="BF94" s="2030">
        <f t="shared" si="46"/>
        <v>0</v>
      </c>
      <c r="BG94" s="2030">
        <f t="shared" si="46"/>
        <v>0</v>
      </c>
      <c r="BH94" s="2030">
        <f t="shared" si="46"/>
        <v>0</v>
      </c>
      <c r="BI94" s="2030">
        <f t="shared" si="47"/>
        <v>0</v>
      </c>
      <c r="BJ94" s="2030">
        <f t="shared" si="47"/>
        <v>0</v>
      </c>
      <c r="BK94" s="2030">
        <f t="shared" si="47"/>
        <v>0</v>
      </c>
      <c r="BL94" s="2030">
        <f t="shared" si="40"/>
        <v>0</v>
      </c>
      <c r="BM94" s="2031"/>
      <c r="BN94" s="2031"/>
      <c r="BO94" s="2031"/>
      <c r="BP94" s="2031"/>
      <c r="BQ94" s="2031"/>
      <c r="BR94" s="2031"/>
      <c r="BS94" s="2031"/>
      <c r="BT94" s="2031"/>
      <c r="BU94" s="2029"/>
      <c r="BV94" s="2029"/>
      <c r="BW94" s="2029"/>
      <c r="BX94" s="2029"/>
      <c r="BY94" s="2029"/>
      <c r="BZ94" s="2032"/>
      <c r="CA94" s="1974"/>
      <c r="CB94" s="1974"/>
      <c r="CC94" s="1974"/>
      <c r="CD94" s="1974"/>
      <c r="CE94" s="1974">
        <v>0</v>
      </c>
      <c r="CF94" s="2033">
        <v>0</v>
      </c>
      <c r="CG94" s="2026">
        <v>0</v>
      </c>
      <c r="CH94" s="2009">
        <v>0</v>
      </c>
      <c r="CI94" s="2029">
        <v>0</v>
      </c>
      <c r="CK94" s="2029">
        <f t="shared" si="48"/>
        <v>0</v>
      </c>
      <c r="CL94" s="2034">
        <v>1</v>
      </c>
      <c r="CM94" s="2034">
        <v>1</v>
      </c>
      <c r="CN94" s="2034">
        <v>1</v>
      </c>
      <c r="CO94" s="2034">
        <v>1</v>
      </c>
      <c r="CP94" s="2035"/>
      <c r="CQ94" s="2036"/>
      <c r="CR94" s="2036"/>
      <c r="CS94" s="2036"/>
      <c r="CT94" s="2036"/>
      <c r="CU94" s="2036"/>
      <c r="CW94" s="1973">
        <v>0</v>
      </c>
      <c r="CX94" s="2037">
        <v>30000</v>
      </c>
      <c r="CY94" s="2037">
        <v>30000</v>
      </c>
      <c r="CZ94" s="2037">
        <v>30000</v>
      </c>
      <c r="DA94" s="2037">
        <v>30000</v>
      </c>
      <c r="DJ94" s="1976">
        <v>15000</v>
      </c>
      <c r="DK94" s="1973">
        <v>15000</v>
      </c>
      <c r="DL94" s="1973">
        <v>15000</v>
      </c>
      <c r="DM94" s="1973">
        <v>15000</v>
      </c>
      <c r="DO94" s="2023"/>
      <c r="DP94" s="2024"/>
      <c r="DQ94" s="2024"/>
      <c r="DR94" s="2023"/>
      <c r="DS94" s="2031">
        <v>15000</v>
      </c>
      <c r="DT94" s="2029">
        <v>15000</v>
      </c>
      <c r="DU94" s="2029">
        <v>15000</v>
      </c>
      <c r="DV94" s="2029">
        <v>15000</v>
      </c>
      <c r="DW94" s="1974">
        <v>15000</v>
      </c>
      <c r="DX94" s="2029">
        <v>15000</v>
      </c>
      <c r="DY94" s="2029">
        <v>15000</v>
      </c>
      <c r="DZ94" s="2029">
        <v>15000</v>
      </c>
      <c r="EA94" s="1974"/>
      <c r="EB94" s="2029">
        <v>0</v>
      </c>
      <c r="EC94" s="2029">
        <v>0</v>
      </c>
      <c r="ED94" s="2029">
        <v>0</v>
      </c>
      <c r="EE94" s="2039">
        <f t="shared" si="49"/>
        <v>0</v>
      </c>
      <c r="EF94" s="2039">
        <f t="shared" si="49"/>
        <v>0</v>
      </c>
      <c r="EG94" s="2039">
        <f t="shared" si="49"/>
        <v>0</v>
      </c>
      <c r="EH94" s="2039">
        <f t="shared" si="49"/>
        <v>0</v>
      </c>
      <c r="EI94" s="2040">
        <f t="shared" si="38"/>
        <v>0</v>
      </c>
      <c r="EJ94" s="2040">
        <f t="shared" si="38"/>
        <v>0</v>
      </c>
      <c r="EK94" s="2040">
        <f t="shared" si="38"/>
        <v>0</v>
      </c>
      <c r="EL94" s="2040">
        <f t="shared" si="38"/>
        <v>0</v>
      </c>
      <c r="EM94" s="2040">
        <f t="shared" si="38"/>
        <v>0</v>
      </c>
      <c r="EN94" s="2040">
        <f t="shared" si="38"/>
        <v>0</v>
      </c>
      <c r="EO94" s="2040">
        <f t="shared" si="57"/>
        <v>0</v>
      </c>
      <c r="EP94" s="2040">
        <f t="shared" si="57"/>
        <v>0</v>
      </c>
      <c r="EQ94" s="2040">
        <f t="shared" si="57"/>
        <v>0</v>
      </c>
      <c r="ER94" s="2040">
        <f t="shared" si="57"/>
        <v>0</v>
      </c>
      <c r="ES94" s="2040">
        <f t="shared" si="57"/>
        <v>0</v>
      </c>
      <c r="ET94" s="2040">
        <f t="shared" si="57"/>
        <v>0</v>
      </c>
      <c r="EU94" s="2039">
        <f t="shared" si="50"/>
        <v>0</v>
      </c>
      <c r="EV94" s="2039">
        <f t="shared" si="51"/>
        <v>0</v>
      </c>
    </row>
    <row r="95" spans="1:152" ht="23" x14ac:dyDescent="0.25">
      <c r="A95" s="2041" t="s">
        <v>237</v>
      </c>
      <c r="B95" s="2022" t="s">
        <v>2930</v>
      </c>
      <c r="C95" s="2023"/>
      <c r="D95" s="2024"/>
      <c r="E95" s="2024"/>
      <c r="F95" s="2023"/>
      <c r="G95" s="2026" t="s">
        <v>2285</v>
      </c>
      <c r="H95" s="2026" t="s">
        <v>2285</v>
      </c>
      <c r="I95" s="2026">
        <v>0.79999999999999993</v>
      </c>
      <c r="J95" s="2026">
        <v>0.79999999999999993</v>
      </c>
      <c r="K95" s="2026">
        <v>0.79999999999999993</v>
      </c>
      <c r="L95" s="2026">
        <v>0.79999999999999993</v>
      </c>
      <c r="M95" s="2027">
        <f>$D95*I95</f>
        <v>0</v>
      </c>
      <c r="N95" s="2027">
        <f>$D95*J95</f>
        <v>0</v>
      </c>
      <c r="O95" s="2027">
        <f>$D95*K95</f>
        <v>0</v>
      </c>
      <c r="P95" s="2027">
        <f>$D95*L95</f>
        <v>0</v>
      </c>
      <c r="Q95" s="2026">
        <v>0.79999999999999993</v>
      </c>
      <c r="R95" s="2026">
        <v>0.79999999999999993</v>
      </c>
      <c r="S95" s="2026">
        <v>0.79999999999999993</v>
      </c>
      <c r="T95" s="2026">
        <v>0.79999999999999993</v>
      </c>
      <c r="U95" s="2028">
        <f>$E95*Q95</f>
        <v>0</v>
      </c>
      <c r="V95" s="2028">
        <f>$E95*R95</f>
        <v>0</v>
      </c>
      <c r="W95" s="2028">
        <f>$E95*S95</f>
        <v>0</v>
      </c>
      <c r="X95" s="2028">
        <f>$E95*T95</f>
        <v>0</v>
      </c>
      <c r="Y95" s="2026">
        <v>0.60399999999999998</v>
      </c>
      <c r="Z95" s="2026">
        <v>0.60399999999999998</v>
      </c>
      <c r="AA95" s="2026">
        <v>0.60399999999999998</v>
      </c>
      <c r="AB95" s="2026">
        <v>0.60399999999999998</v>
      </c>
      <c r="AC95" s="2027"/>
      <c r="AD95" s="2027"/>
      <c r="AE95" s="2027"/>
      <c r="AF95" s="2027"/>
      <c r="AG95" s="2027">
        <v>0</v>
      </c>
      <c r="AH95" s="2027">
        <v>0</v>
      </c>
      <c r="AI95" s="2027">
        <v>0</v>
      </c>
      <c r="AJ95" s="2027">
        <v>0</v>
      </c>
      <c r="AK95" s="2027"/>
      <c r="AL95" s="2027"/>
      <c r="AM95" s="2027"/>
      <c r="AN95" s="2027">
        <f t="shared" si="52"/>
        <v>0</v>
      </c>
      <c r="AO95" s="2027"/>
      <c r="AP95" s="2027"/>
      <c r="AQ95" s="2027"/>
      <c r="AR95" s="2027">
        <f t="shared" si="53"/>
        <v>0</v>
      </c>
      <c r="AS95" s="1974"/>
      <c r="AT95" s="2029">
        <f t="shared" si="43"/>
        <v>0</v>
      </c>
      <c r="AU95" s="2029">
        <f t="shared" si="43"/>
        <v>0</v>
      </c>
      <c r="AV95" s="2029">
        <f t="shared" si="43"/>
        <v>0</v>
      </c>
      <c r="AW95" s="1974"/>
      <c r="AX95" s="2029">
        <f t="shared" si="44"/>
        <v>0</v>
      </c>
      <c r="AY95" s="2029">
        <f t="shared" si="44"/>
        <v>0</v>
      </c>
      <c r="AZ95" s="2029">
        <f t="shared" si="44"/>
        <v>0</v>
      </c>
      <c r="BA95" s="1974"/>
      <c r="BB95" s="2029">
        <f t="shared" si="45"/>
        <v>0</v>
      </c>
      <c r="BC95" s="2029">
        <f t="shared" si="45"/>
        <v>0</v>
      </c>
      <c r="BD95" s="2029">
        <f t="shared" si="45"/>
        <v>0</v>
      </c>
      <c r="BE95" s="2030">
        <f t="shared" si="46"/>
        <v>0</v>
      </c>
      <c r="BF95" s="2030">
        <f t="shared" si="46"/>
        <v>0</v>
      </c>
      <c r="BG95" s="2030">
        <f t="shared" si="46"/>
        <v>0</v>
      </c>
      <c r="BH95" s="2030">
        <f t="shared" si="46"/>
        <v>0</v>
      </c>
      <c r="BI95" s="2030">
        <f t="shared" si="47"/>
        <v>0</v>
      </c>
      <c r="BJ95" s="2030">
        <f t="shared" si="47"/>
        <v>0</v>
      </c>
      <c r="BK95" s="2030">
        <f t="shared" si="47"/>
        <v>0</v>
      </c>
      <c r="BL95" s="2030">
        <f t="shared" si="40"/>
        <v>0</v>
      </c>
      <c r="BM95" s="2031"/>
      <c r="BN95" s="2031"/>
      <c r="BO95" s="2031"/>
      <c r="BP95" s="2031"/>
      <c r="BQ95" s="2031"/>
      <c r="BR95" s="2031"/>
      <c r="BS95" s="2031"/>
      <c r="BT95" s="2031"/>
      <c r="BU95" s="2029"/>
      <c r="BV95" s="2029"/>
      <c r="BW95" s="2029"/>
      <c r="BX95" s="2029"/>
      <c r="BY95" s="2029"/>
      <c r="BZ95" s="2032"/>
      <c r="CA95" s="1974"/>
      <c r="CB95" s="1974"/>
      <c r="CC95" s="1974"/>
      <c r="CD95" s="1974"/>
      <c r="CE95" s="1974">
        <v>0</v>
      </c>
      <c r="CF95" s="2033">
        <v>0</v>
      </c>
      <c r="CG95" s="2026">
        <v>0</v>
      </c>
      <c r="CH95" s="2009">
        <v>0</v>
      </c>
      <c r="CI95" s="2029">
        <v>0</v>
      </c>
      <c r="CK95" s="2029">
        <f t="shared" si="48"/>
        <v>0</v>
      </c>
      <c r="CL95" s="2034">
        <v>1</v>
      </c>
      <c r="CM95" s="2034">
        <v>1</v>
      </c>
      <c r="CN95" s="2034">
        <v>1</v>
      </c>
      <c r="CO95" s="2034">
        <v>1</v>
      </c>
      <c r="CP95" s="2035"/>
      <c r="CQ95" s="2036"/>
      <c r="CR95" s="2036"/>
      <c r="CS95" s="2036"/>
      <c r="CT95" s="2036"/>
      <c r="CU95" s="2036"/>
      <c r="CW95" s="1973">
        <v>4</v>
      </c>
      <c r="CX95" s="2037">
        <v>0</v>
      </c>
      <c r="CY95" s="2037">
        <v>0</v>
      </c>
      <c r="CZ95" s="2037">
        <v>0</v>
      </c>
      <c r="DA95" s="2037">
        <v>0</v>
      </c>
      <c r="DK95" s="1973">
        <v>0</v>
      </c>
      <c r="DL95" s="1973">
        <v>0</v>
      </c>
      <c r="DM95" s="1973">
        <v>0</v>
      </c>
      <c r="DO95" s="2023"/>
      <c r="DP95" s="2024"/>
      <c r="DQ95" s="2024"/>
      <c r="DR95" s="2023"/>
      <c r="DS95" s="1974"/>
      <c r="DT95" s="2029">
        <v>0</v>
      </c>
      <c r="DU95" s="2029">
        <v>0</v>
      </c>
      <c r="DV95" s="2029">
        <v>0</v>
      </c>
      <c r="DW95" s="1974"/>
      <c r="DX95" s="2029">
        <v>0</v>
      </c>
      <c r="DY95" s="2029">
        <v>0</v>
      </c>
      <c r="DZ95" s="2029">
        <v>0</v>
      </c>
      <c r="EA95" s="1974"/>
      <c r="EB95" s="2029">
        <v>0</v>
      </c>
      <c r="EC95" s="2029">
        <v>0</v>
      </c>
      <c r="ED95" s="2029">
        <v>0</v>
      </c>
      <c r="EE95" s="2039">
        <f t="shared" si="49"/>
        <v>0</v>
      </c>
      <c r="EF95" s="2039">
        <f t="shared" si="49"/>
        <v>0</v>
      </c>
      <c r="EG95" s="2039">
        <f t="shared" si="49"/>
        <v>0</v>
      </c>
      <c r="EH95" s="2039">
        <f t="shared" si="49"/>
        <v>0</v>
      </c>
      <c r="EI95" s="2040">
        <f t="shared" si="38"/>
        <v>0</v>
      </c>
      <c r="EJ95" s="2040">
        <f t="shared" si="38"/>
        <v>0</v>
      </c>
      <c r="EK95" s="2040">
        <f t="shared" si="38"/>
        <v>0</v>
      </c>
      <c r="EL95" s="2040">
        <f t="shared" si="38"/>
        <v>0</v>
      </c>
      <c r="EM95" s="2040">
        <f t="shared" si="38"/>
        <v>0</v>
      </c>
      <c r="EN95" s="2040">
        <f t="shared" si="38"/>
        <v>0</v>
      </c>
      <c r="EO95" s="2040">
        <f t="shared" si="57"/>
        <v>0</v>
      </c>
      <c r="EP95" s="2040">
        <f t="shared" si="57"/>
        <v>0</v>
      </c>
      <c r="EQ95" s="2040">
        <f t="shared" si="57"/>
        <v>0</v>
      </c>
      <c r="ER95" s="2040">
        <f t="shared" si="57"/>
        <v>0</v>
      </c>
      <c r="ES95" s="2040">
        <f t="shared" si="57"/>
        <v>0</v>
      </c>
      <c r="ET95" s="2040">
        <f t="shared" si="57"/>
        <v>0</v>
      </c>
      <c r="EU95" s="2039">
        <f t="shared" si="50"/>
        <v>0</v>
      </c>
      <c r="EV95" s="2039">
        <f t="shared" si="51"/>
        <v>0</v>
      </c>
    </row>
    <row r="96" spans="1:152" ht="23" x14ac:dyDescent="0.25">
      <c r="A96" s="2041" t="s">
        <v>238</v>
      </c>
      <c r="B96" s="2022" t="s">
        <v>2930</v>
      </c>
      <c r="C96" s="2023"/>
      <c r="D96" s="2024"/>
      <c r="E96" s="2024"/>
      <c r="F96" s="2023"/>
      <c r="G96" s="2026" t="s">
        <v>2285</v>
      </c>
      <c r="H96" s="2026" t="s">
        <v>2285</v>
      </c>
      <c r="I96" s="2026">
        <v>0.79999999999999993</v>
      </c>
      <c r="J96" s="2026">
        <v>0.79999999999999993</v>
      </c>
      <c r="K96" s="2026">
        <v>0.79999999999999993</v>
      </c>
      <c r="L96" s="2026">
        <v>0.79999999999999993</v>
      </c>
      <c r="M96" s="2027">
        <f t="shared" si="41"/>
        <v>0</v>
      </c>
      <c r="N96" s="2027">
        <f t="shared" si="41"/>
        <v>0</v>
      </c>
      <c r="O96" s="2027">
        <f t="shared" si="41"/>
        <v>0</v>
      </c>
      <c r="P96" s="2027">
        <f t="shared" si="41"/>
        <v>0</v>
      </c>
      <c r="Q96" s="2026">
        <v>0.79999999999999993</v>
      </c>
      <c r="R96" s="2026">
        <v>0.79999999999999993</v>
      </c>
      <c r="S96" s="2026">
        <v>0.79999999999999993</v>
      </c>
      <c r="T96" s="2026">
        <v>0.79999999999999993</v>
      </c>
      <c r="U96" s="2028">
        <f t="shared" si="42"/>
        <v>0</v>
      </c>
      <c r="V96" s="2028">
        <f t="shared" si="42"/>
        <v>0</v>
      </c>
      <c r="W96" s="2028">
        <f t="shared" si="42"/>
        <v>0</v>
      </c>
      <c r="X96" s="2028">
        <f t="shared" si="42"/>
        <v>0</v>
      </c>
      <c r="Y96" s="2026">
        <v>0.60399999999999998</v>
      </c>
      <c r="Z96" s="2026">
        <v>0.60399999999999998</v>
      </c>
      <c r="AA96" s="2026">
        <v>0.60399999999999998</v>
      </c>
      <c r="AB96" s="2026">
        <v>0.60399999999999998</v>
      </c>
      <c r="AC96" s="2027"/>
      <c r="AD96" s="2027"/>
      <c r="AE96" s="2027"/>
      <c r="AF96" s="2027"/>
      <c r="AG96" s="2027">
        <v>0</v>
      </c>
      <c r="AH96" s="2027">
        <v>0</v>
      </c>
      <c r="AI96" s="2027">
        <v>0</v>
      </c>
      <c r="AJ96" s="2027">
        <v>0</v>
      </c>
      <c r="AK96" s="2027"/>
      <c r="AL96" s="2027"/>
      <c r="AM96" s="2027"/>
      <c r="AN96" s="2027">
        <f t="shared" si="52"/>
        <v>0</v>
      </c>
      <c r="AO96" s="2027"/>
      <c r="AP96" s="2027"/>
      <c r="AQ96" s="2027"/>
      <c r="AR96" s="2027">
        <f t="shared" si="53"/>
        <v>0</v>
      </c>
      <c r="AS96" s="1974"/>
      <c r="AT96" s="2029">
        <f t="shared" si="43"/>
        <v>0</v>
      </c>
      <c r="AU96" s="2029">
        <f t="shared" si="43"/>
        <v>0</v>
      </c>
      <c r="AV96" s="2029">
        <f t="shared" si="43"/>
        <v>0</v>
      </c>
      <c r="AW96" s="1974"/>
      <c r="AX96" s="2029">
        <f t="shared" si="44"/>
        <v>0</v>
      </c>
      <c r="AY96" s="2029">
        <f t="shared" si="44"/>
        <v>0</v>
      </c>
      <c r="AZ96" s="2029">
        <f t="shared" si="44"/>
        <v>0</v>
      </c>
      <c r="BA96" s="1974"/>
      <c r="BB96" s="2029">
        <f t="shared" si="45"/>
        <v>0</v>
      </c>
      <c r="BC96" s="2029">
        <f t="shared" si="45"/>
        <v>0</v>
      </c>
      <c r="BD96" s="2029">
        <f t="shared" si="45"/>
        <v>0</v>
      </c>
      <c r="BE96" s="2030">
        <f t="shared" si="46"/>
        <v>0</v>
      </c>
      <c r="BF96" s="2030">
        <f t="shared" si="46"/>
        <v>0</v>
      </c>
      <c r="BG96" s="2030">
        <f t="shared" si="46"/>
        <v>0</v>
      </c>
      <c r="BH96" s="2030">
        <f t="shared" si="46"/>
        <v>0</v>
      </c>
      <c r="BI96" s="2030">
        <f t="shared" si="47"/>
        <v>0</v>
      </c>
      <c r="BJ96" s="2030">
        <f t="shared" si="47"/>
        <v>0</v>
      </c>
      <c r="BK96" s="2030">
        <f t="shared" si="47"/>
        <v>0</v>
      </c>
      <c r="BL96" s="2030">
        <f t="shared" si="40"/>
        <v>0</v>
      </c>
      <c r="BM96" s="2031"/>
      <c r="BN96" s="2031"/>
      <c r="BO96" s="2031"/>
      <c r="BP96" s="2031"/>
      <c r="BQ96" s="2031"/>
      <c r="BR96" s="2031"/>
      <c r="BS96" s="2031"/>
      <c r="BT96" s="2031"/>
      <c r="BU96" s="2029"/>
      <c r="BV96" s="2029"/>
      <c r="BW96" s="2029"/>
      <c r="BX96" s="2029"/>
      <c r="BY96" s="2029"/>
      <c r="BZ96" s="2032"/>
      <c r="CA96" s="1974"/>
      <c r="CB96" s="1974"/>
      <c r="CC96" s="1974"/>
      <c r="CD96" s="1974"/>
      <c r="CE96" s="1974">
        <v>0</v>
      </c>
      <c r="CF96" s="2033">
        <v>0</v>
      </c>
      <c r="CG96" s="2026">
        <v>0</v>
      </c>
      <c r="CH96" s="2009">
        <v>0</v>
      </c>
      <c r="CI96" s="2029">
        <v>0</v>
      </c>
      <c r="CK96" s="2029">
        <f t="shared" si="48"/>
        <v>0</v>
      </c>
      <c r="CL96" s="2034">
        <v>1</v>
      </c>
      <c r="CM96" s="2034">
        <v>1</v>
      </c>
      <c r="CN96" s="2034">
        <v>1</v>
      </c>
      <c r="CO96" s="2034">
        <v>1</v>
      </c>
      <c r="CP96" s="2035"/>
      <c r="CQ96" s="2036"/>
      <c r="CR96" s="2036"/>
      <c r="CS96" s="2036"/>
      <c r="CT96" s="2036"/>
      <c r="CU96" s="2036"/>
      <c r="CW96" s="1973">
        <v>4</v>
      </c>
      <c r="CX96" s="2037">
        <v>0</v>
      </c>
      <c r="CY96" s="2037">
        <v>0</v>
      </c>
      <c r="CZ96" s="2037">
        <v>0</v>
      </c>
      <c r="DA96" s="2037">
        <v>0</v>
      </c>
      <c r="DK96" s="1973">
        <v>0</v>
      </c>
      <c r="DL96" s="1973">
        <v>0</v>
      </c>
      <c r="DM96" s="1973">
        <v>0</v>
      </c>
      <c r="DO96" s="2023"/>
      <c r="DP96" s="2024"/>
      <c r="DQ96" s="2024"/>
      <c r="DR96" s="2023"/>
      <c r="DS96" s="1974"/>
      <c r="DT96" s="2029">
        <v>0</v>
      </c>
      <c r="DU96" s="2029">
        <v>0</v>
      </c>
      <c r="DV96" s="2029">
        <v>0</v>
      </c>
      <c r="DW96" s="1974"/>
      <c r="DX96" s="2029">
        <v>0</v>
      </c>
      <c r="DY96" s="2029">
        <v>0</v>
      </c>
      <c r="DZ96" s="2029">
        <v>0</v>
      </c>
      <c r="EA96" s="1974"/>
      <c r="EB96" s="2029">
        <v>0</v>
      </c>
      <c r="EC96" s="2029">
        <v>0</v>
      </c>
      <c r="ED96" s="2029">
        <v>0</v>
      </c>
      <c r="EE96" s="2039">
        <f t="shared" si="49"/>
        <v>0</v>
      </c>
      <c r="EF96" s="2039">
        <f t="shared" si="49"/>
        <v>0</v>
      </c>
      <c r="EG96" s="2039">
        <f t="shared" si="49"/>
        <v>0</v>
      </c>
      <c r="EH96" s="2039">
        <f t="shared" si="49"/>
        <v>0</v>
      </c>
      <c r="EI96" s="2040">
        <f t="shared" si="38"/>
        <v>0</v>
      </c>
      <c r="EJ96" s="2040">
        <f t="shared" si="38"/>
        <v>0</v>
      </c>
      <c r="EK96" s="2040">
        <f t="shared" si="38"/>
        <v>0</v>
      </c>
      <c r="EL96" s="2040">
        <f t="shared" si="38"/>
        <v>0</v>
      </c>
      <c r="EM96" s="2040">
        <f t="shared" si="38"/>
        <v>0</v>
      </c>
      <c r="EN96" s="2040">
        <f t="shared" si="38"/>
        <v>0</v>
      </c>
      <c r="EO96" s="2040">
        <f t="shared" si="57"/>
        <v>0</v>
      </c>
      <c r="EP96" s="2040">
        <f t="shared" si="57"/>
        <v>0</v>
      </c>
      <c r="EQ96" s="2040">
        <f t="shared" si="57"/>
        <v>0</v>
      </c>
      <c r="ER96" s="2040">
        <f t="shared" si="57"/>
        <v>0</v>
      </c>
      <c r="ES96" s="2040">
        <f t="shared" si="57"/>
        <v>0</v>
      </c>
      <c r="ET96" s="2040">
        <f t="shared" si="57"/>
        <v>0</v>
      </c>
      <c r="EU96" s="2039">
        <f t="shared" si="50"/>
        <v>0</v>
      </c>
      <c r="EV96" s="2039">
        <f t="shared" si="51"/>
        <v>0</v>
      </c>
    </row>
    <row r="97" spans="1:152" ht="23" x14ac:dyDescent="0.25">
      <c r="A97" s="2041" t="s">
        <v>239</v>
      </c>
      <c r="B97" s="2022" t="s">
        <v>2930</v>
      </c>
      <c r="C97" s="2023"/>
      <c r="D97" s="2024"/>
      <c r="E97" s="2024"/>
      <c r="F97" s="2023"/>
      <c r="G97" s="2026" t="s">
        <v>2285</v>
      </c>
      <c r="H97" s="2026" t="s">
        <v>2285</v>
      </c>
      <c r="I97" s="2026">
        <v>0.79999999999999993</v>
      </c>
      <c r="J97" s="2026">
        <v>0.79999999999999993</v>
      </c>
      <c r="K97" s="2026">
        <v>0.79999999999999993</v>
      </c>
      <c r="L97" s="2026">
        <v>0.79999999999999993</v>
      </c>
      <c r="M97" s="2027">
        <f t="shared" si="41"/>
        <v>0</v>
      </c>
      <c r="N97" s="2027">
        <f t="shared" si="41"/>
        <v>0</v>
      </c>
      <c r="O97" s="2027">
        <f t="shared" si="41"/>
        <v>0</v>
      </c>
      <c r="P97" s="2027">
        <f t="shared" si="41"/>
        <v>0</v>
      </c>
      <c r="Q97" s="2026">
        <v>0.79999999999999993</v>
      </c>
      <c r="R97" s="2026">
        <v>0.79999999999999993</v>
      </c>
      <c r="S97" s="2026">
        <v>0.79999999999999993</v>
      </c>
      <c r="T97" s="2026">
        <v>0.79999999999999993</v>
      </c>
      <c r="U97" s="2028">
        <f t="shared" si="42"/>
        <v>0</v>
      </c>
      <c r="V97" s="2028">
        <f t="shared" si="42"/>
        <v>0</v>
      </c>
      <c r="W97" s="2028">
        <f t="shared" si="42"/>
        <v>0</v>
      </c>
      <c r="X97" s="2028">
        <f t="shared" si="42"/>
        <v>0</v>
      </c>
      <c r="Y97" s="2026">
        <v>0.60399999999999998</v>
      </c>
      <c r="Z97" s="2026">
        <v>0.60399999999999998</v>
      </c>
      <c r="AA97" s="2026">
        <v>0.60399999999999998</v>
      </c>
      <c r="AB97" s="2026">
        <v>0.60399999999999998</v>
      </c>
      <c r="AC97" s="2027"/>
      <c r="AD97" s="2027"/>
      <c r="AE97" s="2027"/>
      <c r="AF97" s="2027"/>
      <c r="AG97" s="2027">
        <v>0</v>
      </c>
      <c r="AH97" s="2027">
        <v>0</v>
      </c>
      <c r="AI97" s="2027">
        <v>0</v>
      </c>
      <c r="AJ97" s="2027">
        <v>0</v>
      </c>
      <c r="AK97" s="2027"/>
      <c r="AL97" s="2027"/>
      <c r="AM97" s="2027"/>
      <c r="AN97" s="2027">
        <f t="shared" si="52"/>
        <v>0</v>
      </c>
      <c r="AO97" s="2027"/>
      <c r="AP97" s="2027"/>
      <c r="AQ97" s="2027"/>
      <c r="AR97" s="2027">
        <f t="shared" si="53"/>
        <v>0</v>
      </c>
      <c r="AS97" s="1974"/>
      <c r="AT97" s="2029">
        <f t="shared" si="43"/>
        <v>0</v>
      </c>
      <c r="AU97" s="2029">
        <f t="shared" si="43"/>
        <v>0</v>
      </c>
      <c r="AV97" s="2029">
        <f t="shared" si="43"/>
        <v>0</v>
      </c>
      <c r="AW97" s="1974"/>
      <c r="AX97" s="2029">
        <f t="shared" si="44"/>
        <v>0</v>
      </c>
      <c r="AY97" s="2029">
        <f t="shared" si="44"/>
        <v>0</v>
      </c>
      <c r="AZ97" s="2029">
        <f t="shared" si="44"/>
        <v>0</v>
      </c>
      <c r="BA97" s="1974"/>
      <c r="BB97" s="2029">
        <f t="shared" si="45"/>
        <v>0</v>
      </c>
      <c r="BC97" s="2029">
        <f t="shared" si="45"/>
        <v>0</v>
      </c>
      <c r="BD97" s="2029">
        <f t="shared" si="45"/>
        <v>0</v>
      </c>
      <c r="BE97" s="2030">
        <f t="shared" si="46"/>
        <v>0</v>
      </c>
      <c r="BF97" s="2030">
        <f t="shared" si="46"/>
        <v>0</v>
      </c>
      <c r="BG97" s="2030">
        <f t="shared" si="46"/>
        <v>0</v>
      </c>
      <c r="BH97" s="2030">
        <f t="shared" si="46"/>
        <v>0</v>
      </c>
      <c r="BI97" s="2030">
        <f t="shared" si="47"/>
        <v>0</v>
      </c>
      <c r="BJ97" s="2030">
        <f t="shared" si="47"/>
        <v>0</v>
      </c>
      <c r="BK97" s="2030">
        <f t="shared" si="47"/>
        <v>0</v>
      </c>
      <c r="BL97" s="2030">
        <f t="shared" si="40"/>
        <v>0</v>
      </c>
      <c r="BM97" s="2031"/>
      <c r="BN97" s="2031"/>
      <c r="BO97" s="2031"/>
      <c r="BP97" s="2031"/>
      <c r="BQ97" s="2031"/>
      <c r="BR97" s="2031"/>
      <c r="BS97" s="2031"/>
      <c r="BT97" s="2031"/>
      <c r="BU97" s="2029"/>
      <c r="BV97" s="2029"/>
      <c r="BW97" s="2029"/>
      <c r="BX97" s="2029"/>
      <c r="BY97" s="2029"/>
      <c r="BZ97" s="2032"/>
      <c r="CA97" s="1974"/>
      <c r="CB97" s="1974"/>
      <c r="CC97" s="1974"/>
      <c r="CD97" s="1974"/>
      <c r="CE97" s="1974">
        <v>0</v>
      </c>
      <c r="CF97" s="2033">
        <v>0</v>
      </c>
      <c r="CG97" s="2026">
        <v>0</v>
      </c>
      <c r="CH97" s="2009">
        <v>0</v>
      </c>
      <c r="CI97" s="2029">
        <v>0</v>
      </c>
      <c r="CK97" s="2029">
        <f t="shared" si="48"/>
        <v>0</v>
      </c>
      <c r="CL97" s="2034">
        <v>1</v>
      </c>
      <c r="CM97" s="2034">
        <v>1</v>
      </c>
      <c r="CN97" s="2034">
        <v>1</v>
      </c>
      <c r="CO97" s="2034">
        <v>1</v>
      </c>
      <c r="CP97" s="2035"/>
      <c r="CQ97" s="2036"/>
      <c r="CR97" s="2036"/>
      <c r="CS97" s="2036"/>
      <c r="CT97" s="2036"/>
      <c r="CU97" s="2036"/>
      <c r="CW97" s="1973">
        <v>4</v>
      </c>
      <c r="CX97" s="2037">
        <v>0</v>
      </c>
      <c r="CY97" s="2037">
        <v>0</v>
      </c>
      <c r="CZ97" s="2037">
        <v>0</v>
      </c>
      <c r="DA97" s="2037">
        <v>0</v>
      </c>
      <c r="DK97" s="1973">
        <v>0</v>
      </c>
      <c r="DL97" s="1973">
        <v>0</v>
      </c>
      <c r="DM97" s="1973">
        <v>0</v>
      </c>
      <c r="DO97" s="2023"/>
      <c r="DP97" s="2024"/>
      <c r="DQ97" s="2024"/>
      <c r="DR97" s="2023"/>
      <c r="DS97" s="1974"/>
      <c r="DT97" s="2029">
        <v>0</v>
      </c>
      <c r="DU97" s="2029">
        <v>0</v>
      </c>
      <c r="DV97" s="2029">
        <v>0</v>
      </c>
      <c r="DW97" s="1974"/>
      <c r="DX97" s="2029">
        <v>0</v>
      </c>
      <c r="DY97" s="2029">
        <v>0</v>
      </c>
      <c r="DZ97" s="2029">
        <v>0</v>
      </c>
      <c r="EA97" s="1974"/>
      <c r="EB97" s="2029">
        <v>0</v>
      </c>
      <c r="EC97" s="2029">
        <v>0</v>
      </c>
      <c r="ED97" s="2029">
        <v>0</v>
      </c>
      <c r="EE97" s="2039">
        <f t="shared" si="49"/>
        <v>0</v>
      </c>
      <c r="EF97" s="2039">
        <f t="shared" si="49"/>
        <v>0</v>
      </c>
      <c r="EG97" s="2039">
        <f t="shared" si="49"/>
        <v>0</v>
      </c>
      <c r="EH97" s="2039">
        <f t="shared" si="49"/>
        <v>0</v>
      </c>
      <c r="EI97" s="2040">
        <f t="shared" si="38"/>
        <v>0</v>
      </c>
      <c r="EJ97" s="2040">
        <f t="shared" si="38"/>
        <v>0</v>
      </c>
      <c r="EK97" s="2040">
        <f t="shared" si="38"/>
        <v>0</v>
      </c>
      <c r="EL97" s="2040">
        <f t="shared" si="38"/>
        <v>0</v>
      </c>
      <c r="EM97" s="2040">
        <f t="shared" si="38"/>
        <v>0</v>
      </c>
      <c r="EN97" s="2040">
        <f t="shared" si="38"/>
        <v>0</v>
      </c>
      <c r="EO97" s="2040">
        <f t="shared" si="57"/>
        <v>0</v>
      </c>
      <c r="EP97" s="2040">
        <f t="shared" si="57"/>
        <v>0</v>
      </c>
      <c r="EQ97" s="2040">
        <f t="shared" si="57"/>
        <v>0</v>
      </c>
      <c r="ER97" s="2040">
        <f t="shared" si="57"/>
        <v>0</v>
      </c>
      <c r="ES97" s="2040">
        <f t="shared" si="57"/>
        <v>0</v>
      </c>
      <c r="ET97" s="2040">
        <f t="shared" si="57"/>
        <v>0</v>
      </c>
      <c r="EU97" s="2039">
        <f t="shared" si="50"/>
        <v>0</v>
      </c>
      <c r="EV97" s="2039">
        <f t="shared" si="51"/>
        <v>0</v>
      </c>
    </row>
    <row r="98" spans="1:152" ht="23" x14ac:dyDescent="0.25">
      <c r="A98" s="2041" t="s">
        <v>240</v>
      </c>
      <c r="B98" s="2022" t="s">
        <v>2930</v>
      </c>
      <c r="C98" s="2023"/>
      <c r="D98" s="2024"/>
      <c r="E98" s="2024"/>
      <c r="F98" s="2023"/>
      <c r="G98" s="2026" t="s">
        <v>2285</v>
      </c>
      <c r="H98" s="2026" t="s">
        <v>2285</v>
      </c>
      <c r="I98" s="2026">
        <v>0.79999999999999993</v>
      </c>
      <c r="J98" s="2026">
        <v>0.79999999999999993</v>
      </c>
      <c r="K98" s="2026">
        <v>0.79999999999999993</v>
      </c>
      <c r="L98" s="2026">
        <v>0.79999999999999993</v>
      </c>
      <c r="M98" s="2027">
        <f t="shared" si="41"/>
        <v>0</v>
      </c>
      <c r="N98" s="2027">
        <f t="shared" si="41"/>
        <v>0</v>
      </c>
      <c r="O98" s="2027">
        <f t="shared" si="41"/>
        <v>0</v>
      </c>
      <c r="P98" s="2027">
        <f t="shared" si="41"/>
        <v>0</v>
      </c>
      <c r="Q98" s="2026">
        <v>0.79999999999999993</v>
      </c>
      <c r="R98" s="2026">
        <v>0.79999999999999993</v>
      </c>
      <c r="S98" s="2026">
        <v>0.79999999999999993</v>
      </c>
      <c r="T98" s="2026">
        <v>0.79999999999999993</v>
      </c>
      <c r="U98" s="2028">
        <f t="shared" si="42"/>
        <v>0</v>
      </c>
      <c r="V98" s="2028">
        <f t="shared" si="42"/>
        <v>0</v>
      </c>
      <c r="W98" s="2028">
        <f t="shared" si="42"/>
        <v>0</v>
      </c>
      <c r="X98" s="2028">
        <f t="shared" si="42"/>
        <v>0</v>
      </c>
      <c r="Y98" s="2026">
        <v>0.60399999999999998</v>
      </c>
      <c r="Z98" s="2026">
        <v>0.60399999999999998</v>
      </c>
      <c r="AA98" s="2026">
        <v>0.60399999999999998</v>
      </c>
      <c r="AB98" s="2026">
        <v>0.60399999999999998</v>
      </c>
      <c r="AC98" s="2027"/>
      <c r="AD98" s="2027"/>
      <c r="AE98" s="2027"/>
      <c r="AF98" s="2027"/>
      <c r="AG98" s="2027">
        <v>0</v>
      </c>
      <c r="AH98" s="2027">
        <v>0</v>
      </c>
      <c r="AI98" s="2027">
        <v>0</v>
      </c>
      <c r="AJ98" s="2027">
        <v>0</v>
      </c>
      <c r="AK98" s="2027"/>
      <c r="AL98" s="2027"/>
      <c r="AM98" s="2027"/>
      <c r="AN98" s="2027">
        <f t="shared" ref="AN98:AN134" si="58">AJ98*P98*CO98</f>
        <v>0</v>
      </c>
      <c r="AO98" s="2027"/>
      <c r="AP98" s="2027"/>
      <c r="AQ98" s="2027"/>
      <c r="AR98" s="2027">
        <f t="shared" ref="AR98:AR161" si="59">AJ98*AF98*CO98</f>
        <v>0</v>
      </c>
      <c r="AS98" s="1974"/>
      <c r="AT98" s="2029">
        <f t="shared" si="43"/>
        <v>0</v>
      </c>
      <c r="AU98" s="2029">
        <f t="shared" si="43"/>
        <v>0</v>
      </c>
      <c r="AV98" s="2029">
        <f t="shared" si="43"/>
        <v>0</v>
      </c>
      <c r="AW98" s="1974"/>
      <c r="AX98" s="2029">
        <f t="shared" si="44"/>
        <v>0</v>
      </c>
      <c r="AY98" s="2029">
        <f t="shared" si="44"/>
        <v>0</v>
      </c>
      <c r="AZ98" s="2029">
        <f t="shared" si="44"/>
        <v>0</v>
      </c>
      <c r="BA98" s="1974"/>
      <c r="BB98" s="2029">
        <f t="shared" si="45"/>
        <v>0</v>
      </c>
      <c r="BC98" s="2029">
        <f t="shared" si="45"/>
        <v>0</v>
      </c>
      <c r="BD98" s="2029">
        <f t="shared" si="45"/>
        <v>0</v>
      </c>
      <c r="BE98" s="2030">
        <f t="shared" si="46"/>
        <v>0</v>
      </c>
      <c r="BF98" s="2030">
        <f t="shared" si="46"/>
        <v>0</v>
      </c>
      <c r="BG98" s="2030">
        <f t="shared" si="46"/>
        <v>0</v>
      </c>
      <c r="BH98" s="2030">
        <f t="shared" si="46"/>
        <v>0</v>
      </c>
      <c r="BI98" s="2030">
        <f t="shared" si="47"/>
        <v>0</v>
      </c>
      <c r="BJ98" s="2030">
        <f t="shared" si="47"/>
        <v>0</v>
      </c>
      <c r="BK98" s="2030">
        <f t="shared" si="47"/>
        <v>0</v>
      </c>
      <c r="BL98" s="2030">
        <f t="shared" si="40"/>
        <v>0</v>
      </c>
      <c r="BM98" s="2031"/>
      <c r="BN98" s="2031"/>
      <c r="BO98" s="2031"/>
      <c r="BP98" s="2031"/>
      <c r="BQ98" s="2031"/>
      <c r="BR98" s="2031"/>
      <c r="BS98" s="2031"/>
      <c r="BT98" s="2031"/>
      <c r="BU98" s="2029"/>
      <c r="BV98" s="2029"/>
      <c r="BW98" s="2029"/>
      <c r="BX98" s="2029"/>
      <c r="BY98" s="2029"/>
      <c r="BZ98" s="2032"/>
      <c r="CA98" s="1974"/>
      <c r="CB98" s="1974"/>
      <c r="CC98" s="1974"/>
      <c r="CD98" s="1974"/>
      <c r="CE98" s="1974">
        <v>0</v>
      </c>
      <c r="CF98" s="2033">
        <v>0</v>
      </c>
      <c r="CG98" s="2026">
        <v>0</v>
      </c>
      <c r="CH98" s="2009">
        <v>0</v>
      </c>
      <c r="CI98" s="2029">
        <v>0</v>
      </c>
      <c r="CK98" s="2029">
        <f t="shared" si="48"/>
        <v>0</v>
      </c>
      <c r="CL98" s="2034">
        <v>1</v>
      </c>
      <c r="CM98" s="2034">
        <v>1</v>
      </c>
      <c r="CN98" s="2034">
        <v>1</v>
      </c>
      <c r="CO98" s="2034">
        <v>1</v>
      </c>
      <c r="CP98" s="2035"/>
      <c r="CQ98" s="2036"/>
      <c r="CR98" s="2036"/>
      <c r="CS98" s="2036"/>
      <c r="CT98" s="2036"/>
      <c r="CU98" s="2036"/>
      <c r="CW98" s="1973">
        <v>4</v>
      </c>
      <c r="CX98" s="2037">
        <v>0</v>
      </c>
      <c r="CY98" s="2037">
        <v>0</v>
      </c>
      <c r="CZ98" s="2037">
        <v>0</v>
      </c>
      <c r="DA98" s="2037">
        <v>0</v>
      </c>
      <c r="DK98" s="1973">
        <v>0</v>
      </c>
      <c r="DL98" s="1973">
        <v>0</v>
      </c>
      <c r="DM98" s="1973">
        <v>0</v>
      </c>
      <c r="DO98" s="2023"/>
      <c r="DP98" s="2024"/>
      <c r="DQ98" s="2024"/>
      <c r="DR98" s="2023"/>
      <c r="DS98" s="1974"/>
      <c r="DT98" s="2029">
        <v>0</v>
      </c>
      <c r="DU98" s="2029">
        <v>0</v>
      </c>
      <c r="DV98" s="2029">
        <v>0</v>
      </c>
      <c r="DW98" s="1974"/>
      <c r="DX98" s="2029">
        <v>0</v>
      </c>
      <c r="DY98" s="2029">
        <v>0</v>
      </c>
      <c r="DZ98" s="2029">
        <v>0</v>
      </c>
      <c r="EA98" s="1974"/>
      <c r="EB98" s="2029">
        <v>0</v>
      </c>
      <c r="EC98" s="2029">
        <v>0</v>
      </c>
      <c r="ED98" s="2029">
        <v>0</v>
      </c>
      <c r="EE98" s="2039">
        <f t="shared" si="49"/>
        <v>0</v>
      </c>
      <c r="EF98" s="2039">
        <f t="shared" si="49"/>
        <v>0</v>
      </c>
      <c r="EG98" s="2039">
        <f t="shared" si="49"/>
        <v>0</v>
      </c>
      <c r="EH98" s="2039">
        <f t="shared" si="49"/>
        <v>0</v>
      </c>
      <c r="EI98" s="2040">
        <f t="shared" si="38"/>
        <v>0</v>
      </c>
      <c r="EJ98" s="2040">
        <f t="shared" si="38"/>
        <v>0</v>
      </c>
      <c r="EK98" s="2040">
        <f t="shared" si="38"/>
        <v>0</v>
      </c>
      <c r="EL98" s="2040">
        <f t="shared" si="38"/>
        <v>0</v>
      </c>
      <c r="EM98" s="2040">
        <f t="shared" si="38"/>
        <v>0</v>
      </c>
      <c r="EN98" s="2040">
        <f t="shared" si="38"/>
        <v>0</v>
      </c>
      <c r="EO98" s="2040">
        <f t="shared" si="57"/>
        <v>0</v>
      </c>
      <c r="EP98" s="2040">
        <f t="shared" si="57"/>
        <v>0</v>
      </c>
      <c r="EQ98" s="2040">
        <f t="shared" si="57"/>
        <v>0</v>
      </c>
      <c r="ER98" s="2040">
        <f t="shared" si="57"/>
        <v>0</v>
      </c>
      <c r="ES98" s="2040">
        <f t="shared" si="57"/>
        <v>0</v>
      </c>
      <c r="ET98" s="2040">
        <f t="shared" si="57"/>
        <v>0</v>
      </c>
      <c r="EU98" s="2039">
        <f t="shared" si="50"/>
        <v>0</v>
      </c>
      <c r="EV98" s="2039">
        <f t="shared" si="51"/>
        <v>0</v>
      </c>
    </row>
    <row r="99" spans="1:152" x14ac:dyDescent="0.25">
      <c r="A99" s="2041" t="s">
        <v>138</v>
      </c>
      <c r="B99" s="2022"/>
      <c r="C99" s="2023">
        <v>5</v>
      </c>
      <c r="D99" s="2024">
        <v>4154.43</v>
      </c>
      <c r="E99" s="2024">
        <v>0</v>
      </c>
      <c r="F99" s="2023">
        <v>0</v>
      </c>
      <c r="G99" s="2026" t="s">
        <v>2943</v>
      </c>
      <c r="H99" s="2026" t="s">
        <v>2943</v>
      </c>
      <c r="I99" s="2026">
        <v>0.91999999999999993</v>
      </c>
      <c r="J99" s="2026">
        <v>0.91999999999999993</v>
      </c>
      <c r="K99" s="2026">
        <v>0.91999999999999993</v>
      </c>
      <c r="L99" s="2026">
        <v>0.91999999999999993</v>
      </c>
      <c r="M99" s="2027">
        <f t="shared" si="41"/>
        <v>3822.0756000000001</v>
      </c>
      <c r="N99" s="2027">
        <f t="shared" si="41"/>
        <v>3822.0756000000001</v>
      </c>
      <c r="O99" s="2027">
        <f t="shared" si="41"/>
        <v>3822.0756000000001</v>
      </c>
      <c r="P99" s="2027">
        <f t="shared" si="41"/>
        <v>3822.0756000000001</v>
      </c>
      <c r="Q99" s="2026">
        <v>0.91999999999999993</v>
      </c>
      <c r="R99" s="2026">
        <v>0.91999999999999993</v>
      </c>
      <c r="S99" s="2026">
        <v>0.91999999999999993</v>
      </c>
      <c r="T99" s="2026">
        <v>0.91999999999999993</v>
      </c>
      <c r="U99" s="2028">
        <f t="shared" si="42"/>
        <v>0</v>
      </c>
      <c r="V99" s="2028">
        <f t="shared" si="42"/>
        <v>0</v>
      </c>
      <c r="W99" s="2028">
        <f t="shared" si="42"/>
        <v>0</v>
      </c>
      <c r="X99" s="2028">
        <f t="shared" si="42"/>
        <v>0</v>
      </c>
      <c r="Y99" s="2026">
        <v>0.89</v>
      </c>
      <c r="Z99" s="2026">
        <v>0.89</v>
      </c>
      <c r="AA99" s="2026">
        <v>0.89</v>
      </c>
      <c r="AB99" s="2026">
        <v>0.89</v>
      </c>
      <c r="AC99" s="2027">
        <f>$F99*Y99</f>
        <v>0</v>
      </c>
      <c r="AD99" s="2027">
        <f>$F99*Z99</f>
        <v>0</v>
      </c>
      <c r="AE99" s="2027">
        <f>$F99*AA99</f>
        <v>0</v>
      </c>
      <c r="AF99" s="2027">
        <f>$F99*AB99</f>
        <v>0</v>
      </c>
      <c r="AG99" s="2027">
        <v>12</v>
      </c>
      <c r="AH99" s="2027">
        <v>15</v>
      </c>
      <c r="AI99" s="2027">
        <v>16</v>
      </c>
      <c r="AJ99" s="2027">
        <v>16</v>
      </c>
      <c r="AK99" s="2027">
        <f>AG99*M99</f>
        <v>45864.907200000001</v>
      </c>
      <c r="AL99" s="2027">
        <f t="shared" ref="AL99:AM134" si="60">AH99*N99*CM99</f>
        <v>57331.134000000005</v>
      </c>
      <c r="AM99" s="2027">
        <f t="shared" si="60"/>
        <v>61153.209600000002</v>
      </c>
      <c r="AN99" s="2027">
        <f t="shared" si="58"/>
        <v>61153.209600000002</v>
      </c>
      <c r="AO99" s="2027">
        <f>AG99*AC99</f>
        <v>0</v>
      </c>
      <c r="AP99" s="2027">
        <f t="shared" ref="AP99:AQ134" si="61">AH99*AD99*CM99</f>
        <v>0</v>
      </c>
      <c r="AQ99" s="2027">
        <f t="shared" si="61"/>
        <v>0</v>
      </c>
      <c r="AR99" s="2027">
        <f t="shared" si="59"/>
        <v>0</v>
      </c>
      <c r="AS99" s="2029">
        <v>100</v>
      </c>
      <c r="AT99" s="2029">
        <f t="shared" si="43"/>
        <v>100</v>
      </c>
      <c r="AU99" s="2029">
        <f t="shared" si="43"/>
        <v>100</v>
      </c>
      <c r="AV99" s="2029">
        <f t="shared" si="43"/>
        <v>100</v>
      </c>
      <c r="AW99" s="1974"/>
      <c r="AX99" s="2029">
        <f t="shared" si="44"/>
        <v>0</v>
      </c>
      <c r="AY99" s="2029">
        <f t="shared" si="44"/>
        <v>0</v>
      </c>
      <c r="AZ99" s="2029">
        <f t="shared" si="44"/>
        <v>0</v>
      </c>
      <c r="BA99" s="2029">
        <v>100</v>
      </c>
      <c r="BB99" s="2029">
        <f t="shared" si="45"/>
        <v>100</v>
      </c>
      <c r="BC99" s="2029">
        <f t="shared" si="45"/>
        <v>100</v>
      </c>
      <c r="BD99" s="2029">
        <f t="shared" si="45"/>
        <v>100</v>
      </c>
      <c r="BE99" s="2030">
        <f t="shared" si="46"/>
        <v>1200</v>
      </c>
      <c r="BF99" s="2030">
        <f t="shared" si="46"/>
        <v>1500</v>
      </c>
      <c r="BG99" s="2030">
        <f t="shared" si="46"/>
        <v>1600</v>
      </c>
      <c r="BH99" s="2030">
        <f t="shared" si="46"/>
        <v>1600</v>
      </c>
      <c r="BI99" s="2030">
        <f t="shared" si="47"/>
        <v>0</v>
      </c>
      <c r="BJ99" s="2030">
        <f t="shared" si="47"/>
        <v>0</v>
      </c>
      <c r="BK99" s="2030">
        <f t="shared" si="47"/>
        <v>0</v>
      </c>
      <c r="BL99" s="2030">
        <f t="shared" si="40"/>
        <v>0</v>
      </c>
      <c r="BM99" s="2031"/>
      <c r="BN99" s="2031"/>
      <c r="BO99" s="2031"/>
      <c r="BP99" s="2031"/>
      <c r="BQ99" s="2031"/>
      <c r="BR99" s="2031"/>
      <c r="BS99" s="2031"/>
      <c r="BT99" s="2031"/>
      <c r="BU99" s="2029"/>
      <c r="BV99" s="2029"/>
      <c r="BW99" s="2029"/>
      <c r="BX99" s="2029"/>
      <c r="BY99" s="2029"/>
      <c r="BZ99" s="2032"/>
      <c r="CA99" s="2027">
        <v>23587</v>
      </c>
      <c r="CB99" s="1974"/>
      <c r="CC99" s="1974"/>
      <c r="CD99" s="1974"/>
      <c r="CE99" s="1974">
        <v>0</v>
      </c>
      <c r="CF99" s="2033">
        <v>1.917307593063302E-4</v>
      </c>
      <c r="CG99" s="2026">
        <v>0</v>
      </c>
      <c r="CH99" s="2009">
        <v>0</v>
      </c>
      <c r="CI99" s="2029">
        <v>0</v>
      </c>
      <c r="CK99" s="2029">
        <f t="shared" si="48"/>
        <v>0</v>
      </c>
      <c r="CL99" s="2034">
        <v>1</v>
      </c>
      <c r="CM99" s="2034">
        <v>1</v>
      </c>
      <c r="CN99" s="2034">
        <v>1</v>
      </c>
      <c r="CO99" s="2034">
        <v>1</v>
      </c>
      <c r="CP99" s="2035"/>
      <c r="CQ99" s="2036"/>
      <c r="CR99" s="2036"/>
      <c r="CS99" s="2036"/>
      <c r="CT99" s="2036"/>
      <c r="CU99" s="2036"/>
      <c r="CW99" s="1973">
        <v>0</v>
      </c>
      <c r="CX99" s="2037">
        <v>100</v>
      </c>
      <c r="CY99" s="2037">
        <v>100</v>
      </c>
      <c r="CZ99" s="2037">
        <v>100</v>
      </c>
      <c r="DA99" s="2037">
        <v>100</v>
      </c>
      <c r="DJ99" s="1976">
        <v>100</v>
      </c>
      <c r="DK99" s="1973">
        <v>100</v>
      </c>
      <c r="DL99" s="1973">
        <v>100</v>
      </c>
      <c r="DM99" s="1973">
        <v>100</v>
      </c>
      <c r="DO99" s="2023">
        <v>5</v>
      </c>
      <c r="DP99" s="2024">
        <v>4154.43</v>
      </c>
      <c r="DQ99" s="2024">
        <v>0</v>
      </c>
      <c r="DR99" s="2023">
        <v>0</v>
      </c>
      <c r="DS99" s="2029">
        <v>100</v>
      </c>
      <c r="DT99" s="2029">
        <v>100</v>
      </c>
      <c r="DU99" s="2029">
        <v>100</v>
      </c>
      <c r="DV99" s="2029">
        <v>100</v>
      </c>
      <c r="DW99" s="1974"/>
      <c r="DX99" s="2029">
        <v>0</v>
      </c>
      <c r="DY99" s="2029">
        <v>0</v>
      </c>
      <c r="DZ99" s="2029">
        <v>0</v>
      </c>
      <c r="EA99" s="2029">
        <v>100</v>
      </c>
      <c r="EB99" s="2029">
        <v>100</v>
      </c>
      <c r="EC99" s="2029">
        <v>100</v>
      </c>
      <c r="ED99" s="2029">
        <v>100</v>
      </c>
      <c r="EE99" s="2039">
        <f t="shared" si="49"/>
        <v>0</v>
      </c>
      <c r="EF99" s="2039">
        <f t="shared" si="49"/>
        <v>0</v>
      </c>
      <c r="EG99" s="2039">
        <f t="shared" si="49"/>
        <v>0</v>
      </c>
      <c r="EH99" s="2039">
        <f t="shared" si="49"/>
        <v>0</v>
      </c>
      <c r="EI99" s="2040">
        <f t="shared" si="38"/>
        <v>0</v>
      </c>
      <c r="EJ99" s="2040">
        <f t="shared" si="38"/>
        <v>0</v>
      </c>
      <c r="EK99" s="2040">
        <f t="shared" si="38"/>
        <v>0</v>
      </c>
      <c r="EL99" s="2040">
        <f t="shared" si="38"/>
        <v>0</v>
      </c>
      <c r="EM99" s="2040">
        <f t="shared" si="38"/>
        <v>0</v>
      </c>
      <c r="EN99" s="2040">
        <f t="shared" si="38"/>
        <v>0</v>
      </c>
      <c r="EO99" s="2040">
        <f t="shared" si="57"/>
        <v>0</v>
      </c>
      <c r="EP99" s="2040">
        <f t="shared" si="57"/>
        <v>0</v>
      </c>
      <c r="EQ99" s="2040">
        <f t="shared" si="57"/>
        <v>0</v>
      </c>
      <c r="ER99" s="2040">
        <f t="shared" si="57"/>
        <v>0</v>
      </c>
      <c r="ES99" s="2040">
        <f t="shared" si="57"/>
        <v>0</v>
      </c>
      <c r="ET99" s="2040">
        <f t="shared" si="57"/>
        <v>0</v>
      </c>
      <c r="EU99" s="2039">
        <f t="shared" si="50"/>
        <v>0</v>
      </c>
      <c r="EV99" s="2039">
        <f t="shared" si="51"/>
        <v>0</v>
      </c>
    </row>
    <row r="100" spans="1:152" x14ac:dyDescent="0.25">
      <c r="A100" s="2041" t="s">
        <v>139</v>
      </c>
      <c r="B100" s="2022"/>
      <c r="C100" s="2023">
        <v>5</v>
      </c>
      <c r="D100" s="2024">
        <v>0</v>
      </c>
      <c r="E100" s="2024">
        <v>0</v>
      </c>
      <c r="F100" s="2023">
        <v>172</v>
      </c>
      <c r="G100" s="2026" t="s">
        <v>2943</v>
      </c>
      <c r="H100" s="2026" t="s">
        <v>2943</v>
      </c>
      <c r="I100" s="2026">
        <v>0.91999999999999993</v>
      </c>
      <c r="J100" s="2026">
        <v>0.91999999999999993</v>
      </c>
      <c r="K100" s="2026">
        <v>0.91999999999999993</v>
      </c>
      <c r="L100" s="2026">
        <v>0.91999999999999993</v>
      </c>
      <c r="M100" s="2027">
        <f t="shared" si="41"/>
        <v>0</v>
      </c>
      <c r="N100" s="2027">
        <f t="shared" si="41"/>
        <v>0</v>
      </c>
      <c r="O100" s="2027">
        <f t="shared" si="41"/>
        <v>0</v>
      </c>
      <c r="P100" s="2027">
        <f t="shared" si="41"/>
        <v>0</v>
      </c>
      <c r="Q100" s="2026">
        <v>0.91999999999999993</v>
      </c>
      <c r="R100" s="2026">
        <v>0.91999999999999993</v>
      </c>
      <c r="S100" s="2026">
        <v>0.91999999999999993</v>
      </c>
      <c r="T100" s="2026">
        <v>0.91999999999999993</v>
      </c>
      <c r="U100" s="2028">
        <f t="shared" si="42"/>
        <v>0</v>
      </c>
      <c r="V100" s="2028">
        <f t="shared" si="42"/>
        <v>0</v>
      </c>
      <c r="W100" s="2028">
        <f t="shared" si="42"/>
        <v>0</v>
      </c>
      <c r="X100" s="2028">
        <f t="shared" si="42"/>
        <v>0</v>
      </c>
      <c r="Y100" s="2026">
        <v>0.89</v>
      </c>
      <c r="Z100" s="2026">
        <v>0.89</v>
      </c>
      <c r="AA100" s="2026">
        <v>0.89</v>
      </c>
      <c r="AB100" s="2026">
        <v>0.89</v>
      </c>
      <c r="AC100" s="2027">
        <f t="shared" ref="AC100:AF117" si="62">$F100*Y100</f>
        <v>153.08000000000001</v>
      </c>
      <c r="AD100" s="2027">
        <f t="shared" si="62"/>
        <v>153.08000000000001</v>
      </c>
      <c r="AE100" s="2027">
        <f t="shared" si="62"/>
        <v>153.08000000000001</v>
      </c>
      <c r="AF100" s="2027">
        <f t="shared" si="62"/>
        <v>153.08000000000001</v>
      </c>
      <c r="AG100" s="2027">
        <v>27</v>
      </c>
      <c r="AH100" s="2027">
        <v>27</v>
      </c>
      <c r="AI100" s="2027">
        <v>35</v>
      </c>
      <c r="AJ100" s="2027">
        <v>35</v>
      </c>
      <c r="AK100" s="2027">
        <f t="shared" ref="AK100:AK163" si="63">AG100*M100</f>
        <v>0</v>
      </c>
      <c r="AL100" s="2027">
        <f t="shared" si="60"/>
        <v>0</v>
      </c>
      <c r="AM100" s="2027">
        <f t="shared" si="60"/>
        <v>0</v>
      </c>
      <c r="AN100" s="2027">
        <f t="shared" si="58"/>
        <v>0</v>
      </c>
      <c r="AO100" s="2027">
        <f t="shared" ref="AO100:AO163" si="64">AG100*AC100</f>
        <v>4133.1600000000008</v>
      </c>
      <c r="AP100" s="2027">
        <f t="shared" si="61"/>
        <v>4133.1600000000008</v>
      </c>
      <c r="AQ100" s="2027">
        <f t="shared" si="61"/>
        <v>5357.8</v>
      </c>
      <c r="AR100" s="2027">
        <f t="shared" si="59"/>
        <v>5357.8</v>
      </c>
      <c r="AS100" s="2029"/>
      <c r="AT100" s="2029">
        <f t="shared" si="43"/>
        <v>0</v>
      </c>
      <c r="AU100" s="2029">
        <f t="shared" si="43"/>
        <v>0</v>
      </c>
      <c r="AV100" s="2029">
        <f t="shared" si="43"/>
        <v>0</v>
      </c>
      <c r="AW100" s="2029">
        <v>100</v>
      </c>
      <c r="AX100" s="2029">
        <f t="shared" si="44"/>
        <v>100</v>
      </c>
      <c r="AY100" s="2029">
        <f t="shared" si="44"/>
        <v>100</v>
      </c>
      <c r="AZ100" s="2029">
        <f t="shared" si="44"/>
        <v>100</v>
      </c>
      <c r="BA100" s="2029">
        <v>100</v>
      </c>
      <c r="BB100" s="2029">
        <f t="shared" si="45"/>
        <v>100</v>
      </c>
      <c r="BC100" s="2029">
        <f t="shared" si="45"/>
        <v>100</v>
      </c>
      <c r="BD100" s="2029">
        <f t="shared" si="45"/>
        <v>100</v>
      </c>
      <c r="BE100" s="2030">
        <f t="shared" si="46"/>
        <v>0</v>
      </c>
      <c r="BF100" s="2030">
        <f t="shared" si="46"/>
        <v>0</v>
      </c>
      <c r="BG100" s="2030">
        <f t="shared" si="46"/>
        <v>0</v>
      </c>
      <c r="BH100" s="2030">
        <f t="shared" si="46"/>
        <v>0</v>
      </c>
      <c r="BI100" s="2030">
        <f t="shared" si="47"/>
        <v>2700</v>
      </c>
      <c r="BJ100" s="2030">
        <f t="shared" si="47"/>
        <v>2700</v>
      </c>
      <c r="BK100" s="2030">
        <f t="shared" si="47"/>
        <v>3500</v>
      </c>
      <c r="BL100" s="2030">
        <f t="shared" si="40"/>
        <v>3500</v>
      </c>
      <c r="BM100" s="2031"/>
      <c r="BN100" s="2031"/>
      <c r="BO100" s="2031"/>
      <c r="BP100" s="2031"/>
      <c r="BQ100" s="2031"/>
      <c r="BR100" s="2031"/>
      <c r="BS100" s="2031"/>
      <c r="BT100" s="2031"/>
      <c r="BU100" s="2029"/>
      <c r="BV100" s="2029"/>
      <c r="BW100" s="2029"/>
      <c r="BX100" s="2029"/>
      <c r="BY100" s="2029"/>
      <c r="BZ100" s="2032"/>
      <c r="CA100" s="2027">
        <v>23587</v>
      </c>
      <c r="CB100" s="1974"/>
      <c r="CC100" s="1974"/>
      <c r="CD100" s="1974"/>
      <c r="CE100" s="1974">
        <v>0</v>
      </c>
      <c r="CF100" s="2033">
        <v>0</v>
      </c>
      <c r="CG100" s="2026">
        <v>1.5420011091835642E-3</v>
      </c>
      <c r="CH100" s="2009">
        <v>0</v>
      </c>
      <c r="CI100" s="2029">
        <v>0</v>
      </c>
      <c r="CK100" s="2029">
        <f t="shared" si="48"/>
        <v>0</v>
      </c>
      <c r="CL100" s="2034">
        <v>1</v>
      </c>
      <c r="CM100" s="2034">
        <v>1</v>
      </c>
      <c r="CN100" s="2034">
        <v>1</v>
      </c>
      <c r="CO100" s="2034">
        <v>1</v>
      </c>
      <c r="CP100" s="2035"/>
      <c r="CQ100" s="2036"/>
      <c r="CR100" s="2036"/>
      <c r="CS100" s="2036"/>
      <c r="CT100" s="2036"/>
      <c r="CU100" s="2036"/>
      <c r="CW100" s="1973">
        <v>0</v>
      </c>
      <c r="CX100" s="2037">
        <v>100</v>
      </c>
      <c r="CY100" s="2037">
        <v>100</v>
      </c>
      <c r="CZ100" s="2037">
        <v>100</v>
      </c>
      <c r="DA100" s="2037">
        <v>100</v>
      </c>
      <c r="DK100" s="1973">
        <v>0</v>
      </c>
      <c r="DL100" s="1973">
        <v>0</v>
      </c>
      <c r="DM100" s="1973">
        <v>0</v>
      </c>
      <c r="DO100" s="2023">
        <v>5</v>
      </c>
      <c r="DP100" s="2024">
        <v>0</v>
      </c>
      <c r="DQ100" s="2024">
        <v>0</v>
      </c>
      <c r="DR100" s="2023">
        <v>172</v>
      </c>
      <c r="DS100" s="2029"/>
      <c r="DT100" s="2029">
        <v>0</v>
      </c>
      <c r="DU100" s="2029">
        <v>0</v>
      </c>
      <c r="DV100" s="2029">
        <v>0</v>
      </c>
      <c r="DW100" s="2029">
        <v>100</v>
      </c>
      <c r="DX100" s="2029">
        <v>100</v>
      </c>
      <c r="DY100" s="2029">
        <v>100</v>
      </c>
      <c r="DZ100" s="2029">
        <v>100</v>
      </c>
      <c r="EA100" s="2029">
        <v>100</v>
      </c>
      <c r="EB100" s="2029">
        <v>100</v>
      </c>
      <c r="EC100" s="2029">
        <v>100</v>
      </c>
      <c r="ED100" s="2029">
        <v>100</v>
      </c>
      <c r="EE100" s="2039">
        <f t="shared" si="49"/>
        <v>0</v>
      </c>
      <c r="EF100" s="2039">
        <f t="shared" si="49"/>
        <v>0</v>
      </c>
      <c r="EG100" s="2039">
        <f t="shared" si="49"/>
        <v>0</v>
      </c>
      <c r="EH100" s="2039">
        <f t="shared" si="49"/>
        <v>0</v>
      </c>
      <c r="EI100" s="2040">
        <f t="shared" si="38"/>
        <v>0</v>
      </c>
      <c r="EJ100" s="2040">
        <f t="shared" si="38"/>
        <v>0</v>
      </c>
      <c r="EK100" s="2040">
        <f t="shared" si="38"/>
        <v>0</v>
      </c>
      <c r="EL100" s="2040">
        <f t="shared" si="38"/>
        <v>0</v>
      </c>
      <c r="EM100" s="2040">
        <f t="shared" si="38"/>
        <v>0</v>
      </c>
      <c r="EN100" s="2040">
        <f t="shared" si="38"/>
        <v>0</v>
      </c>
      <c r="EO100" s="2040">
        <f t="shared" si="57"/>
        <v>0</v>
      </c>
      <c r="EP100" s="2040">
        <f t="shared" si="57"/>
        <v>0</v>
      </c>
      <c r="EQ100" s="2040">
        <f t="shared" si="57"/>
        <v>0</v>
      </c>
      <c r="ER100" s="2040">
        <f t="shared" si="57"/>
        <v>0</v>
      </c>
      <c r="ES100" s="2040">
        <f t="shared" si="57"/>
        <v>0</v>
      </c>
      <c r="ET100" s="2040">
        <f t="shared" si="57"/>
        <v>0</v>
      </c>
      <c r="EU100" s="2039">
        <f t="shared" si="50"/>
        <v>0</v>
      </c>
      <c r="EV100" s="2039">
        <f t="shared" si="51"/>
        <v>0</v>
      </c>
    </row>
    <row r="101" spans="1:152" x14ac:dyDescent="0.25">
      <c r="A101" s="2021" t="s">
        <v>140</v>
      </c>
      <c r="B101" s="2069" t="s">
        <v>2944</v>
      </c>
      <c r="C101" s="2070">
        <v>16.5</v>
      </c>
      <c r="D101" s="2071">
        <v>703.4542114695339</v>
      </c>
      <c r="E101" s="2024">
        <v>0.13878620061450539</v>
      </c>
      <c r="F101" s="2023">
        <v>542.52473385463566</v>
      </c>
      <c r="G101" s="2026" t="s">
        <v>20</v>
      </c>
      <c r="H101" s="2026" t="s">
        <v>20</v>
      </c>
      <c r="I101" s="2026">
        <v>0.55700000000000005</v>
      </c>
      <c r="J101" s="2026">
        <v>0.55700000000000005</v>
      </c>
      <c r="K101" s="2026">
        <v>0.55700000000000005</v>
      </c>
      <c r="L101" s="2026">
        <v>0.55700000000000005</v>
      </c>
      <c r="M101" s="2027">
        <f t="shared" si="41"/>
        <v>391.8239957885304</v>
      </c>
      <c r="N101" s="2027">
        <f t="shared" si="41"/>
        <v>391.8239957885304</v>
      </c>
      <c r="O101" s="2027">
        <f t="shared" si="41"/>
        <v>391.8239957885304</v>
      </c>
      <c r="P101" s="2027">
        <f t="shared" si="41"/>
        <v>391.8239957885304</v>
      </c>
      <c r="Q101" s="2026">
        <v>0.55700000000000005</v>
      </c>
      <c r="R101" s="2026">
        <v>0.55700000000000005</v>
      </c>
      <c r="S101" s="2026">
        <v>0.55700000000000005</v>
      </c>
      <c r="T101" s="2026">
        <v>0.55700000000000005</v>
      </c>
      <c r="U101" s="2028">
        <f t="shared" si="42"/>
        <v>7.7303913742279504E-2</v>
      </c>
      <c r="V101" s="2028">
        <f t="shared" si="42"/>
        <v>7.7303913742279504E-2</v>
      </c>
      <c r="W101" s="2028">
        <f t="shared" si="42"/>
        <v>7.7303913742279504E-2</v>
      </c>
      <c r="X101" s="2028">
        <f t="shared" si="42"/>
        <v>7.7303913742279504E-2</v>
      </c>
      <c r="Y101" s="2026">
        <v>0.49399999999999999</v>
      </c>
      <c r="Z101" s="2026">
        <v>0.49399999999999999</v>
      </c>
      <c r="AA101" s="2026">
        <v>0.49399999999999999</v>
      </c>
      <c r="AB101" s="2026">
        <v>0.49399999999999999</v>
      </c>
      <c r="AC101" s="2027">
        <f t="shared" si="62"/>
        <v>268.00721852419002</v>
      </c>
      <c r="AD101" s="2027">
        <f t="shared" si="62"/>
        <v>268.00721852419002</v>
      </c>
      <c r="AE101" s="2027">
        <f t="shared" si="62"/>
        <v>268.00721852419002</v>
      </c>
      <c r="AF101" s="2027">
        <f t="shared" si="62"/>
        <v>268.00721852419002</v>
      </c>
      <c r="AG101" s="2027">
        <v>70</v>
      </c>
      <c r="AH101" s="2027">
        <v>60</v>
      </c>
      <c r="AI101" s="2027">
        <v>60</v>
      </c>
      <c r="AJ101" s="2027">
        <v>60</v>
      </c>
      <c r="AK101" s="2027">
        <f t="shared" si="63"/>
        <v>27427.679705197126</v>
      </c>
      <c r="AL101" s="2027">
        <f t="shared" si="60"/>
        <v>23509.439747311822</v>
      </c>
      <c r="AM101" s="2027">
        <f t="shared" si="60"/>
        <v>23509.439747311822</v>
      </c>
      <c r="AN101" s="2027">
        <f t="shared" si="58"/>
        <v>23509.439747311822</v>
      </c>
      <c r="AO101" s="2027">
        <f t="shared" si="64"/>
        <v>18760.5052966933</v>
      </c>
      <c r="AP101" s="2027">
        <f t="shared" si="61"/>
        <v>16080.433111451401</v>
      </c>
      <c r="AQ101" s="2027">
        <f t="shared" si="61"/>
        <v>16080.433111451401</v>
      </c>
      <c r="AR101" s="2027">
        <f t="shared" si="59"/>
        <v>16080.433111451401</v>
      </c>
      <c r="AS101" s="2029">
        <f>DF101</f>
        <v>176</v>
      </c>
      <c r="AT101" s="2029">
        <f t="shared" si="43"/>
        <v>176</v>
      </c>
      <c r="AU101" s="2029">
        <f t="shared" si="43"/>
        <v>176</v>
      </c>
      <c r="AV101" s="2029">
        <f t="shared" si="43"/>
        <v>176</v>
      </c>
      <c r="AW101" s="2029">
        <f>CX101-AS101</f>
        <v>1424</v>
      </c>
      <c r="AX101" s="2029">
        <f t="shared" si="44"/>
        <v>1424</v>
      </c>
      <c r="AY101" s="2029">
        <f t="shared" si="44"/>
        <v>1424</v>
      </c>
      <c r="AZ101" s="2029">
        <f t="shared" si="44"/>
        <v>1424</v>
      </c>
      <c r="BA101" s="2029">
        <v>1685.0046656590621</v>
      </c>
      <c r="BB101" s="2029">
        <f t="shared" si="45"/>
        <v>1685.0046656590621</v>
      </c>
      <c r="BC101" s="2029">
        <f t="shared" si="45"/>
        <v>1685.0046656590621</v>
      </c>
      <c r="BD101" s="2029">
        <f t="shared" si="45"/>
        <v>1685.0046656590621</v>
      </c>
      <c r="BE101" s="2030">
        <f t="shared" si="46"/>
        <v>12320</v>
      </c>
      <c r="BF101" s="2030">
        <f t="shared" si="46"/>
        <v>10560</v>
      </c>
      <c r="BG101" s="2030">
        <f t="shared" si="46"/>
        <v>10560</v>
      </c>
      <c r="BH101" s="2030">
        <f t="shared" si="46"/>
        <v>10560</v>
      </c>
      <c r="BI101" s="2030">
        <f t="shared" si="47"/>
        <v>99680</v>
      </c>
      <c r="BJ101" s="2030">
        <f t="shared" si="47"/>
        <v>85440</v>
      </c>
      <c r="BK101" s="2030">
        <f t="shared" si="47"/>
        <v>85440</v>
      </c>
      <c r="BL101" s="2030">
        <f t="shared" si="40"/>
        <v>85440</v>
      </c>
      <c r="BM101" s="2031"/>
      <c r="BN101" s="2031"/>
      <c r="BO101" s="2031"/>
      <c r="BP101" s="2031"/>
      <c r="BQ101" s="2031"/>
      <c r="BR101" s="2031"/>
      <c r="BS101" s="2031"/>
      <c r="BT101" s="2031"/>
      <c r="BU101" s="2029"/>
      <c r="BV101" s="2029"/>
      <c r="BW101" s="2029"/>
      <c r="BX101" s="2029"/>
      <c r="BY101" s="2029"/>
      <c r="BZ101" s="2032"/>
      <c r="CA101" s="1974"/>
      <c r="CB101" s="1974" t="s">
        <v>2945</v>
      </c>
      <c r="CC101" s="1974" t="s">
        <v>2946</v>
      </c>
      <c r="CD101" s="1974">
        <f>ROUND(0.117*F101,2)</f>
        <v>63.48</v>
      </c>
      <c r="CE101" s="1974">
        <v>1</v>
      </c>
      <c r="CF101" s="2033">
        <v>1.1572384554614794E-4</v>
      </c>
      <c r="CG101" s="2026">
        <v>6.497004667582156E-3</v>
      </c>
      <c r="CH101" s="2009">
        <v>0</v>
      </c>
      <c r="CI101" s="2029">
        <v>0</v>
      </c>
      <c r="CK101" s="2029">
        <f t="shared" si="48"/>
        <v>0</v>
      </c>
      <c r="CL101" s="2034">
        <v>1</v>
      </c>
      <c r="CM101" s="2034">
        <v>1</v>
      </c>
      <c r="CN101" s="2034">
        <v>1</v>
      </c>
      <c r="CO101" s="2034">
        <v>1</v>
      </c>
      <c r="CP101" s="2035"/>
      <c r="CQ101" s="2036"/>
      <c r="CR101" s="2036"/>
      <c r="CS101" s="2036"/>
      <c r="CT101" s="2036"/>
      <c r="CU101" s="2036"/>
      <c r="CW101" s="1973">
        <v>0</v>
      </c>
      <c r="CX101" s="2037">
        <v>1600</v>
      </c>
      <c r="CY101" s="2037">
        <f>CX101</f>
        <v>1600</v>
      </c>
      <c r="CZ101" s="2037">
        <f>CX101</f>
        <v>1600</v>
      </c>
      <c r="DA101" s="2037">
        <f>CX101</f>
        <v>1600</v>
      </c>
      <c r="DB101" s="2051">
        <v>0.11</v>
      </c>
      <c r="DC101" s="2051">
        <v>0.11</v>
      </c>
      <c r="DD101" s="2051">
        <v>0.11</v>
      </c>
      <c r="DE101" s="2051">
        <v>0.11</v>
      </c>
      <c r="DF101" s="2037">
        <f>DB101*CX101</f>
        <v>176</v>
      </c>
      <c r="DG101" s="2037">
        <f>DC101*CY101</f>
        <v>176</v>
      </c>
      <c r="DH101" s="2037">
        <f>DD101*CZ101</f>
        <v>176</v>
      </c>
      <c r="DI101" s="2037">
        <f>DE101*DA101</f>
        <v>176</v>
      </c>
      <c r="DK101" s="1973">
        <v>0</v>
      </c>
      <c r="DL101" s="1973">
        <v>0</v>
      </c>
      <c r="DM101" s="1973">
        <v>0</v>
      </c>
      <c r="DO101" s="2053">
        <v>16.5</v>
      </c>
      <c r="DP101" s="2044">
        <v>703.4542114695339</v>
      </c>
      <c r="DQ101" s="2044">
        <v>0.13878620061450539</v>
      </c>
      <c r="DR101" s="2043">
        <v>542.52473385463566</v>
      </c>
      <c r="DS101" s="2046">
        <v>176</v>
      </c>
      <c r="DT101" s="2046">
        <v>176</v>
      </c>
      <c r="DU101" s="2046">
        <v>176</v>
      </c>
      <c r="DV101" s="2046">
        <v>176</v>
      </c>
      <c r="DW101" s="2046">
        <v>1424</v>
      </c>
      <c r="DX101" s="2046">
        <v>1424</v>
      </c>
      <c r="DY101" s="2046">
        <v>1424</v>
      </c>
      <c r="DZ101" s="2046">
        <v>1424</v>
      </c>
      <c r="EA101" s="2046">
        <v>1685.0046656590621</v>
      </c>
      <c r="EB101" s="2046">
        <v>1685.0046656590621</v>
      </c>
      <c r="EC101" s="2046">
        <v>1685.0046656590621</v>
      </c>
      <c r="ED101" s="2046">
        <v>1685.0046656590621</v>
      </c>
      <c r="EE101" s="2039">
        <f t="shared" si="49"/>
        <v>0</v>
      </c>
      <c r="EF101" s="2039">
        <f t="shared" si="49"/>
        <v>0</v>
      </c>
      <c r="EG101" s="2039">
        <f t="shared" si="49"/>
        <v>0</v>
      </c>
      <c r="EH101" s="2039">
        <f t="shared" si="49"/>
        <v>0</v>
      </c>
      <c r="EI101" s="2040">
        <f t="shared" si="38"/>
        <v>0</v>
      </c>
      <c r="EJ101" s="2040">
        <f t="shared" si="38"/>
        <v>0</v>
      </c>
      <c r="EK101" s="2040">
        <f t="shared" si="38"/>
        <v>0</v>
      </c>
      <c r="EL101" s="2040">
        <f t="shared" si="38"/>
        <v>0</v>
      </c>
      <c r="EM101" s="2040">
        <f t="shared" si="38"/>
        <v>0</v>
      </c>
      <c r="EN101" s="2040">
        <f t="shared" si="38"/>
        <v>0</v>
      </c>
      <c r="EO101" s="2040">
        <f t="shared" si="57"/>
        <v>0</v>
      </c>
      <c r="EP101" s="2040">
        <f t="shared" si="57"/>
        <v>0</v>
      </c>
      <c r="EQ101" s="2040">
        <f t="shared" si="57"/>
        <v>0</v>
      </c>
      <c r="ER101" s="2040">
        <f t="shared" si="57"/>
        <v>0</v>
      </c>
      <c r="ES101" s="2040">
        <f t="shared" si="57"/>
        <v>0</v>
      </c>
      <c r="ET101" s="2040">
        <f t="shared" si="57"/>
        <v>0</v>
      </c>
      <c r="EU101" s="2039">
        <f t="shared" si="50"/>
        <v>0</v>
      </c>
      <c r="EV101" s="2039">
        <f t="shared" si="51"/>
        <v>0</v>
      </c>
    </row>
    <row r="102" spans="1:152" x14ac:dyDescent="0.25">
      <c r="A102" s="2041" t="s">
        <v>141</v>
      </c>
      <c r="B102" s="2022" t="s">
        <v>2947</v>
      </c>
      <c r="C102" s="2023">
        <v>20</v>
      </c>
      <c r="D102" s="2024">
        <v>0</v>
      </c>
      <c r="E102" s="2024">
        <v>0</v>
      </c>
      <c r="F102" s="2023">
        <v>1337.7267780000002</v>
      </c>
      <c r="G102" s="2026" t="s">
        <v>20</v>
      </c>
      <c r="H102" s="2026" t="s">
        <v>20</v>
      </c>
      <c r="I102" s="2026">
        <v>0.55700000000000005</v>
      </c>
      <c r="J102" s="2026">
        <v>0.55700000000000005</v>
      </c>
      <c r="K102" s="2026">
        <v>0.55700000000000005</v>
      </c>
      <c r="L102" s="2026">
        <v>0.55700000000000005</v>
      </c>
      <c r="M102" s="2027">
        <f t="shared" si="41"/>
        <v>0</v>
      </c>
      <c r="N102" s="2027">
        <f t="shared" si="41"/>
        <v>0</v>
      </c>
      <c r="O102" s="2027">
        <f t="shared" si="41"/>
        <v>0</v>
      </c>
      <c r="P102" s="2027">
        <f t="shared" si="41"/>
        <v>0</v>
      </c>
      <c r="Q102" s="2026">
        <v>0.55700000000000005</v>
      </c>
      <c r="R102" s="2026">
        <v>0.55700000000000005</v>
      </c>
      <c r="S102" s="2026">
        <v>0.55700000000000005</v>
      </c>
      <c r="T102" s="2026">
        <v>0.55700000000000005</v>
      </c>
      <c r="U102" s="2028">
        <f t="shared" si="42"/>
        <v>0</v>
      </c>
      <c r="V102" s="2028">
        <f t="shared" si="42"/>
        <v>0</v>
      </c>
      <c r="W102" s="2028">
        <f t="shared" si="42"/>
        <v>0</v>
      </c>
      <c r="X102" s="2028">
        <f t="shared" si="42"/>
        <v>0</v>
      </c>
      <c r="Y102" s="2026">
        <v>0.49399999999999999</v>
      </c>
      <c r="Z102" s="2026">
        <v>0.49399999999999999</v>
      </c>
      <c r="AA102" s="2026">
        <v>0.49399999999999999</v>
      </c>
      <c r="AB102" s="2026">
        <v>0.49399999999999999</v>
      </c>
      <c r="AC102" s="2027">
        <f t="shared" si="62"/>
        <v>660.83702833200005</v>
      </c>
      <c r="AD102" s="2027">
        <f t="shared" si="62"/>
        <v>660.83702833200005</v>
      </c>
      <c r="AE102" s="2027">
        <f t="shared" si="62"/>
        <v>660.83702833200005</v>
      </c>
      <c r="AF102" s="2027">
        <f t="shared" si="62"/>
        <v>660.83702833200005</v>
      </c>
      <c r="AG102" s="2027">
        <v>18</v>
      </c>
      <c r="AH102" s="2027">
        <v>22</v>
      </c>
      <c r="AI102" s="2027">
        <v>22</v>
      </c>
      <c r="AJ102" s="2027">
        <v>22</v>
      </c>
      <c r="AK102" s="2027">
        <f t="shared" si="63"/>
        <v>0</v>
      </c>
      <c r="AL102" s="2027">
        <f t="shared" si="60"/>
        <v>0</v>
      </c>
      <c r="AM102" s="2027">
        <f t="shared" si="60"/>
        <v>0</v>
      </c>
      <c r="AN102" s="2027">
        <f t="shared" si="58"/>
        <v>0</v>
      </c>
      <c r="AO102" s="2027">
        <f t="shared" si="64"/>
        <v>11895.066509976001</v>
      </c>
      <c r="AP102" s="2027">
        <f t="shared" si="61"/>
        <v>14538.414623304001</v>
      </c>
      <c r="AQ102" s="2027">
        <f t="shared" si="61"/>
        <v>14538.414623304001</v>
      </c>
      <c r="AR102" s="2027">
        <f t="shared" si="59"/>
        <v>14538.414623304001</v>
      </c>
      <c r="AS102" s="2029"/>
      <c r="AT102" s="2029">
        <f t="shared" si="43"/>
        <v>0</v>
      </c>
      <c r="AU102" s="2029">
        <f t="shared" si="43"/>
        <v>0</v>
      </c>
      <c r="AV102" s="2029">
        <f t="shared" si="43"/>
        <v>0</v>
      </c>
      <c r="AW102" s="2029">
        <v>800.00599999999986</v>
      </c>
      <c r="AX102" s="2029">
        <f t="shared" si="44"/>
        <v>800.00599999999986</v>
      </c>
      <c r="AY102" s="2029">
        <f t="shared" si="44"/>
        <v>800.00599999999986</v>
      </c>
      <c r="AZ102" s="2029">
        <f t="shared" si="44"/>
        <v>800.00599999999986</v>
      </c>
      <c r="BA102" s="2029">
        <v>621</v>
      </c>
      <c r="BB102" s="2029">
        <f t="shared" si="45"/>
        <v>621</v>
      </c>
      <c r="BC102" s="2029">
        <f t="shared" si="45"/>
        <v>621</v>
      </c>
      <c r="BD102" s="2029">
        <f t="shared" si="45"/>
        <v>621</v>
      </c>
      <c r="BE102" s="2030">
        <f t="shared" si="46"/>
        <v>0</v>
      </c>
      <c r="BF102" s="2030">
        <f t="shared" si="46"/>
        <v>0</v>
      </c>
      <c r="BG102" s="2030">
        <f t="shared" si="46"/>
        <v>0</v>
      </c>
      <c r="BH102" s="2030">
        <f t="shared" si="46"/>
        <v>0</v>
      </c>
      <c r="BI102" s="2030">
        <f t="shared" si="47"/>
        <v>14400.107999999997</v>
      </c>
      <c r="BJ102" s="2030">
        <f t="shared" si="47"/>
        <v>17600.131999999998</v>
      </c>
      <c r="BK102" s="2030">
        <f t="shared" si="47"/>
        <v>17600.131999999998</v>
      </c>
      <c r="BL102" s="2030">
        <f t="shared" si="40"/>
        <v>17600.131999999998</v>
      </c>
      <c r="BM102" s="2031"/>
      <c r="BN102" s="2031"/>
      <c r="BO102" s="2031"/>
      <c r="BP102" s="2031"/>
      <c r="BQ102" s="2031"/>
      <c r="BR102" s="2031"/>
      <c r="BS102" s="2031"/>
      <c r="BT102" s="2031"/>
      <c r="BU102" s="2029"/>
      <c r="BV102" s="2029"/>
      <c r="BW102" s="2029"/>
      <c r="BX102" s="2029"/>
      <c r="BY102" s="2029"/>
      <c r="BZ102" s="2032"/>
      <c r="CA102" s="1974"/>
      <c r="CB102" s="1974"/>
      <c r="CC102" s="1974"/>
      <c r="CD102" s="1974"/>
      <c r="CE102" s="1974">
        <v>0</v>
      </c>
      <c r="CF102" s="2033">
        <v>0</v>
      </c>
      <c r="CG102" s="2026">
        <v>4.4984366823540584E-3</v>
      </c>
      <c r="CH102" s="2009">
        <v>0</v>
      </c>
      <c r="CI102" s="2029">
        <v>0</v>
      </c>
      <c r="CK102" s="2029">
        <f t="shared" si="48"/>
        <v>0</v>
      </c>
      <c r="CL102" s="2034">
        <v>1</v>
      </c>
      <c r="CM102" s="2034">
        <v>1</v>
      </c>
      <c r="CN102" s="2034">
        <v>1</v>
      </c>
      <c r="CO102" s="2034">
        <v>1</v>
      </c>
      <c r="CP102" s="2035"/>
      <c r="CQ102" s="2036"/>
      <c r="CR102" s="2036"/>
      <c r="CS102" s="2036"/>
      <c r="CT102" s="2036"/>
      <c r="CU102" s="2036"/>
      <c r="CW102" s="1973">
        <v>0</v>
      </c>
      <c r="CX102" s="2037">
        <v>800</v>
      </c>
      <c r="CY102" s="2037">
        <v>800</v>
      </c>
      <c r="CZ102" s="2037">
        <v>800</v>
      </c>
      <c r="DA102" s="2037">
        <v>800</v>
      </c>
      <c r="DK102" s="1973">
        <v>0</v>
      </c>
      <c r="DL102" s="1973">
        <v>0</v>
      </c>
      <c r="DM102" s="1973">
        <v>0</v>
      </c>
      <c r="DO102" s="2043">
        <v>20</v>
      </c>
      <c r="DP102" s="2044">
        <v>0</v>
      </c>
      <c r="DQ102" s="2044">
        <v>0</v>
      </c>
      <c r="DR102" s="2043">
        <v>1337.7267780000002</v>
      </c>
      <c r="DS102" s="2046"/>
      <c r="DT102" s="2046">
        <v>0</v>
      </c>
      <c r="DU102" s="2046">
        <v>0</v>
      </c>
      <c r="DV102" s="2046">
        <v>0</v>
      </c>
      <c r="DW102" s="2046">
        <v>800.00599999999986</v>
      </c>
      <c r="DX102" s="2046">
        <v>800.00599999999986</v>
      </c>
      <c r="DY102" s="2046">
        <v>800.00599999999986</v>
      </c>
      <c r="DZ102" s="2046">
        <v>800.00599999999986</v>
      </c>
      <c r="EA102" s="2046">
        <v>621</v>
      </c>
      <c r="EB102" s="2046">
        <v>621</v>
      </c>
      <c r="EC102" s="2046">
        <v>621</v>
      </c>
      <c r="ED102" s="2046">
        <v>621</v>
      </c>
      <c r="EE102" s="2039">
        <f t="shared" si="49"/>
        <v>0</v>
      </c>
      <c r="EF102" s="2039">
        <f t="shared" si="49"/>
        <v>0</v>
      </c>
      <c r="EG102" s="2039">
        <f t="shared" si="49"/>
        <v>0</v>
      </c>
      <c r="EH102" s="2039">
        <f t="shared" si="49"/>
        <v>0</v>
      </c>
      <c r="EI102" s="2040">
        <f t="shared" si="38"/>
        <v>0</v>
      </c>
      <c r="EJ102" s="2040">
        <f t="shared" si="38"/>
        <v>0</v>
      </c>
      <c r="EK102" s="2040">
        <f t="shared" si="38"/>
        <v>0</v>
      </c>
      <c r="EL102" s="2040">
        <f t="shared" si="38"/>
        <v>0</v>
      </c>
      <c r="EM102" s="2040">
        <f t="shared" si="38"/>
        <v>0</v>
      </c>
      <c r="EN102" s="2040">
        <f t="shared" si="38"/>
        <v>0</v>
      </c>
      <c r="EO102" s="2040">
        <f t="shared" si="57"/>
        <v>0</v>
      </c>
      <c r="EP102" s="2040">
        <f t="shared" si="57"/>
        <v>0</v>
      </c>
      <c r="EQ102" s="2040">
        <f t="shared" si="57"/>
        <v>0</v>
      </c>
      <c r="ER102" s="2040">
        <f t="shared" si="57"/>
        <v>0</v>
      </c>
      <c r="ES102" s="2040">
        <f t="shared" si="57"/>
        <v>0</v>
      </c>
      <c r="ET102" s="2040">
        <f t="shared" si="57"/>
        <v>0</v>
      </c>
      <c r="EU102" s="2039">
        <f t="shared" si="50"/>
        <v>0</v>
      </c>
      <c r="EV102" s="2039">
        <f t="shared" si="51"/>
        <v>0</v>
      </c>
    </row>
    <row r="103" spans="1:152" x14ac:dyDescent="0.25">
      <c r="A103" s="2041" t="s">
        <v>142</v>
      </c>
      <c r="B103" s="2022"/>
      <c r="C103" s="2023">
        <v>12</v>
      </c>
      <c r="D103" s="2024">
        <v>0</v>
      </c>
      <c r="E103" s="2024">
        <v>0</v>
      </c>
      <c r="F103" s="2023">
        <v>451</v>
      </c>
      <c r="G103" s="2026" t="s">
        <v>20</v>
      </c>
      <c r="H103" s="2026" t="s">
        <v>20</v>
      </c>
      <c r="I103" s="2026">
        <v>0.55700000000000005</v>
      </c>
      <c r="J103" s="2026">
        <v>0.55700000000000005</v>
      </c>
      <c r="K103" s="2026">
        <v>0.55700000000000005</v>
      </c>
      <c r="L103" s="2026">
        <v>0.55700000000000005</v>
      </c>
      <c r="M103" s="2027">
        <f t="shared" si="41"/>
        <v>0</v>
      </c>
      <c r="N103" s="2027">
        <f t="shared" si="41"/>
        <v>0</v>
      </c>
      <c r="O103" s="2027">
        <f t="shared" si="41"/>
        <v>0</v>
      </c>
      <c r="P103" s="2027">
        <f t="shared" si="41"/>
        <v>0</v>
      </c>
      <c r="Q103" s="2026">
        <v>0.55700000000000005</v>
      </c>
      <c r="R103" s="2026">
        <v>0.55700000000000005</v>
      </c>
      <c r="S103" s="2026">
        <v>0.55700000000000005</v>
      </c>
      <c r="T103" s="2026">
        <v>0.55700000000000005</v>
      </c>
      <c r="U103" s="2028">
        <f t="shared" si="42"/>
        <v>0</v>
      </c>
      <c r="V103" s="2028">
        <f t="shared" si="42"/>
        <v>0</v>
      </c>
      <c r="W103" s="2028">
        <f t="shared" si="42"/>
        <v>0</v>
      </c>
      <c r="X103" s="2028">
        <f t="shared" si="42"/>
        <v>0</v>
      </c>
      <c r="Y103" s="2026">
        <v>0.49399999999999999</v>
      </c>
      <c r="Z103" s="2026">
        <v>0.49399999999999999</v>
      </c>
      <c r="AA103" s="2026">
        <v>0.49399999999999999</v>
      </c>
      <c r="AB103" s="2026">
        <v>0.49399999999999999</v>
      </c>
      <c r="AC103" s="2027">
        <f t="shared" si="62"/>
        <v>222.79400000000001</v>
      </c>
      <c r="AD103" s="2027">
        <f t="shared" si="62"/>
        <v>222.79400000000001</v>
      </c>
      <c r="AE103" s="2027">
        <f t="shared" si="62"/>
        <v>222.79400000000001</v>
      </c>
      <c r="AF103" s="2027">
        <f t="shared" si="62"/>
        <v>222.79400000000001</v>
      </c>
      <c r="AG103" s="2027">
        <v>18</v>
      </c>
      <c r="AH103" s="2027">
        <v>18</v>
      </c>
      <c r="AI103" s="2027">
        <v>22</v>
      </c>
      <c r="AJ103" s="2027">
        <v>22</v>
      </c>
      <c r="AK103" s="2027">
        <f t="shared" si="63"/>
        <v>0</v>
      </c>
      <c r="AL103" s="2027">
        <f t="shared" si="60"/>
        <v>0</v>
      </c>
      <c r="AM103" s="2027">
        <f t="shared" si="60"/>
        <v>0</v>
      </c>
      <c r="AN103" s="2027">
        <f t="shared" si="58"/>
        <v>0</v>
      </c>
      <c r="AO103" s="2027">
        <f t="shared" si="64"/>
        <v>4010.2920000000004</v>
      </c>
      <c r="AP103" s="2027">
        <f t="shared" si="61"/>
        <v>4010.2920000000004</v>
      </c>
      <c r="AQ103" s="2027">
        <f t="shared" si="61"/>
        <v>4901.4679999999998</v>
      </c>
      <c r="AR103" s="2027">
        <f t="shared" si="59"/>
        <v>4901.4679999999998</v>
      </c>
      <c r="AS103" s="2029"/>
      <c r="AT103" s="2029">
        <f t="shared" ref="AT103:AV134" si="65">$AS103</f>
        <v>0</v>
      </c>
      <c r="AU103" s="2029">
        <f t="shared" si="65"/>
        <v>0</v>
      </c>
      <c r="AV103" s="2029">
        <f t="shared" si="65"/>
        <v>0</v>
      </c>
      <c r="AW103" s="2029">
        <v>1200</v>
      </c>
      <c r="AX103" s="2029">
        <f t="shared" ref="AX103:AZ134" si="66">$AW103</f>
        <v>1200</v>
      </c>
      <c r="AY103" s="2029">
        <f t="shared" si="66"/>
        <v>1200</v>
      </c>
      <c r="AZ103" s="2029">
        <f t="shared" si="66"/>
        <v>1200</v>
      </c>
      <c r="BA103" s="2029">
        <v>1716</v>
      </c>
      <c r="BB103" s="2029">
        <f t="shared" ref="BB103:BD134" si="67">$BA103</f>
        <v>1716</v>
      </c>
      <c r="BC103" s="2029">
        <f t="shared" si="67"/>
        <v>1716</v>
      </c>
      <c r="BD103" s="2029">
        <f t="shared" si="67"/>
        <v>1716</v>
      </c>
      <c r="BE103" s="2030">
        <f t="shared" si="46"/>
        <v>0</v>
      </c>
      <c r="BF103" s="2030">
        <f t="shared" si="46"/>
        <v>0</v>
      </c>
      <c r="BG103" s="2030">
        <f t="shared" si="46"/>
        <v>0</v>
      </c>
      <c r="BH103" s="2030">
        <f t="shared" si="46"/>
        <v>0</v>
      </c>
      <c r="BI103" s="2030">
        <f t="shared" si="47"/>
        <v>21600</v>
      </c>
      <c r="BJ103" s="2030">
        <f t="shared" si="47"/>
        <v>21600</v>
      </c>
      <c r="BK103" s="2030">
        <f t="shared" si="47"/>
        <v>26400</v>
      </c>
      <c r="BL103" s="2030">
        <f t="shared" si="40"/>
        <v>26400</v>
      </c>
      <c r="BM103" s="2031"/>
      <c r="BN103" s="2031"/>
      <c r="BO103" s="2031"/>
      <c r="BP103" s="2031"/>
      <c r="BQ103" s="2031"/>
      <c r="BR103" s="2031"/>
      <c r="BS103" s="2031"/>
      <c r="BT103" s="2031"/>
      <c r="BU103" s="2029"/>
      <c r="BV103" s="2029"/>
      <c r="BW103" s="2029"/>
      <c r="BX103" s="2029"/>
      <c r="BY103" s="2029"/>
      <c r="BZ103" s="2032"/>
      <c r="CA103" s="1974"/>
      <c r="CB103" s="1974"/>
      <c r="CC103" s="1974"/>
      <c r="CD103" s="1974"/>
      <c r="CE103" s="1974">
        <v>0</v>
      </c>
      <c r="CF103" s="2033">
        <v>0</v>
      </c>
      <c r="CG103" s="2026">
        <v>1.4961614629363424E-3</v>
      </c>
      <c r="CH103" s="2009">
        <v>0</v>
      </c>
      <c r="CI103" s="2029">
        <v>0</v>
      </c>
      <c r="CK103" s="2029">
        <f t="shared" si="48"/>
        <v>0</v>
      </c>
      <c r="CL103" s="2034">
        <v>1</v>
      </c>
      <c r="CM103" s="2034">
        <v>1</v>
      </c>
      <c r="CN103" s="2034">
        <v>1</v>
      </c>
      <c r="CO103" s="2034">
        <v>1</v>
      </c>
      <c r="CP103" s="2035"/>
      <c r="CQ103" s="2036"/>
      <c r="CR103" s="2036"/>
      <c r="CS103" s="2036"/>
      <c r="CT103" s="2036"/>
      <c r="CU103" s="2036"/>
      <c r="CW103" s="1973">
        <v>0</v>
      </c>
      <c r="CX103" s="2037">
        <v>1200</v>
      </c>
      <c r="CY103" s="2037">
        <v>1200</v>
      </c>
      <c r="CZ103" s="2037">
        <v>1200</v>
      </c>
      <c r="DA103" s="2037">
        <v>1200</v>
      </c>
      <c r="DK103" s="1973">
        <v>0</v>
      </c>
      <c r="DL103" s="1973">
        <v>0</v>
      </c>
      <c r="DM103" s="1973">
        <v>0</v>
      </c>
      <c r="DO103" s="2023">
        <v>12</v>
      </c>
      <c r="DP103" s="2024">
        <v>0</v>
      </c>
      <c r="DQ103" s="2024">
        <v>0</v>
      </c>
      <c r="DR103" s="2023">
        <v>451</v>
      </c>
      <c r="DS103" s="2029"/>
      <c r="DT103" s="2029">
        <v>0</v>
      </c>
      <c r="DU103" s="2029">
        <v>0</v>
      </c>
      <c r="DV103" s="2029">
        <v>0</v>
      </c>
      <c r="DW103" s="2029">
        <v>1200</v>
      </c>
      <c r="DX103" s="2029">
        <v>1200</v>
      </c>
      <c r="DY103" s="2029">
        <v>1200</v>
      </c>
      <c r="DZ103" s="2029">
        <v>1200</v>
      </c>
      <c r="EA103" s="2029">
        <v>1716</v>
      </c>
      <c r="EB103" s="2029">
        <v>1716</v>
      </c>
      <c r="EC103" s="2029">
        <v>1716</v>
      </c>
      <c r="ED103" s="2029">
        <v>1716</v>
      </c>
      <c r="EE103" s="2039">
        <f t="shared" si="49"/>
        <v>0</v>
      </c>
      <c r="EF103" s="2039">
        <f t="shared" si="49"/>
        <v>0</v>
      </c>
      <c r="EG103" s="2039">
        <f t="shared" si="49"/>
        <v>0</v>
      </c>
      <c r="EH103" s="2039">
        <f t="shared" si="49"/>
        <v>0</v>
      </c>
      <c r="EI103" s="2040">
        <f t="shared" si="38"/>
        <v>0</v>
      </c>
      <c r="EJ103" s="2040">
        <f t="shared" si="38"/>
        <v>0</v>
      </c>
      <c r="EK103" s="2040">
        <f t="shared" si="38"/>
        <v>0</v>
      </c>
      <c r="EL103" s="2040">
        <f t="shared" si="38"/>
        <v>0</v>
      </c>
      <c r="EM103" s="2040">
        <f t="shared" si="38"/>
        <v>0</v>
      </c>
      <c r="EN103" s="2040">
        <f t="shared" si="38"/>
        <v>0</v>
      </c>
      <c r="EO103" s="2040">
        <f t="shared" si="57"/>
        <v>0</v>
      </c>
      <c r="EP103" s="2040">
        <f t="shared" si="57"/>
        <v>0</v>
      </c>
      <c r="EQ103" s="2040">
        <f t="shared" si="57"/>
        <v>0</v>
      </c>
      <c r="ER103" s="2040">
        <f t="shared" si="57"/>
        <v>0</v>
      </c>
      <c r="ES103" s="2040">
        <f t="shared" si="57"/>
        <v>0</v>
      </c>
      <c r="ET103" s="2040">
        <f t="shared" si="57"/>
        <v>0</v>
      </c>
      <c r="EU103" s="2039">
        <f t="shared" si="50"/>
        <v>0</v>
      </c>
      <c r="EV103" s="2039">
        <f t="shared" si="51"/>
        <v>0</v>
      </c>
    </row>
    <row r="104" spans="1:152" x14ac:dyDescent="0.25">
      <c r="A104" s="2041" t="s">
        <v>143</v>
      </c>
      <c r="B104" s="2022"/>
      <c r="C104" s="2023">
        <v>12</v>
      </c>
      <c r="D104" s="2024">
        <v>0</v>
      </c>
      <c r="E104" s="2024">
        <v>0</v>
      </c>
      <c r="F104" s="2023">
        <v>266</v>
      </c>
      <c r="G104" s="2026" t="s">
        <v>20</v>
      </c>
      <c r="H104" s="2026" t="s">
        <v>20</v>
      </c>
      <c r="I104" s="2026">
        <v>0.55700000000000005</v>
      </c>
      <c r="J104" s="2026">
        <v>0.55700000000000005</v>
      </c>
      <c r="K104" s="2026">
        <v>0.55700000000000005</v>
      </c>
      <c r="L104" s="2026">
        <v>0.55700000000000005</v>
      </c>
      <c r="M104" s="2027">
        <f t="shared" si="41"/>
        <v>0</v>
      </c>
      <c r="N104" s="2027">
        <f t="shared" si="41"/>
        <v>0</v>
      </c>
      <c r="O104" s="2027">
        <f t="shared" si="41"/>
        <v>0</v>
      </c>
      <c r="P104" s="2027">
        <f t="shared" si="41"/>
        <v>0</v>
      </c>
      <c r="Q104" s="2026">
        <v>0.55700000000000005</v>
      </c>
      <c r="R104" s="2026">
        <v>0.55700000000000005</v>
      </c>
      <c r="S104" s="2026">
        <v>0.55700000000000005</v>
      </c>
      <c r="T104" s="2026">
        <v>0.55700000000000005</v>
      </c>
      <c r="U104" s="2028">
        <f t="shared" si="42"/>
        <v>0</v>
      </c>
      <c r="V104" s="2028">
        <f t="shared" si="42"/>
        <v>0</v>
      </c>
      <c r="W104" s="2028">
        <f t="shared" si="42"/>
        <v>0</v>
      </c>
      <c r="X104" s="2028">
        <f t="shared" si="42"/>
        <v>0</v>
      </c>
      <c r="Y104" s="2026">
        <v>0.49399999999999999</v>
      </c>
      <c r="Z104" s="2026">
        <v>0.49399999999999999</v>
      </c>
      <c r="AA104" s="2026">
        <v>0.49399999999999999</v>
      </c>
      <c r="AB104" s="2026">
        <v>0.49399999999999999</v>
      </c>
      <c r="AC104" s="2027">
        <f t="shared" si="62"/>
        <v>131.404</v>
      </c>
      <c r="AD104" s="2027">
        <f t="shared" si="62"/>
        <v>131.404</v>
      </c>
      <c r="AE104" s="2027">
        <f t="shared" si="62"/>
        <v>131.404</v>
      </c>
      <c r="AF104" s="2027">
        <f t="shared" si="62"/>
        <v>131.404</v>
      </c>
      <c r="AG104" s="2027">
        <v>4</v>
      </c>
      <c r="AH104" s="2027">
        <v>4</v>
      </c>
      <c r="AI104" s="2027">
        <v>4</v>
      </c>
      <c r="AJ104" s="2027">
        <v>4</v>
      </c>
      <c r="AK104" s="2027">
        <f t="shared" si="63"/>
        <v>0</v>
      </c>
      <c r="AL104" s="2027">
        <f t="shared" si="60"/>
        <v>0</v>
      </c>
      <c r="AM104" s="2027">
        <f t="shared" si="60"/>
        <v>0</v>
      </c>
      <c r="AN104" s="2027">
        <f t="shared" si="58"/>
        <v>0</v>
      </c>
      <c r="AO104" s="2027">
        <f t="shared" si="64"/>
        <v>525.61599999999999</v>
      </c>
      <c r="AP104" s="2027">
        <f t="shared" si="61"/>
        <v>525.61599999999999</v>
      </c>
      <c r="AQ104" s="2027">
        <f t="shared" si="61"/>
        <v>525.61599999999999</v>
      </c>
      <c r="AR104" s="2027">
        <f t="shared" si="59"/>
        <v>525.61599999999999</v>
      </c>
      <c r="AS104" s="2029"/>
      <c r="AT104" s="2029">
        <f t="shared" si="65"/>
        <v>0</v>
      </c>
      <c r="AU104" s="2029">
        <f t="shared" si="65"/>
        <v>0</v>
      </c>
      <c r="AV104" s="2029">
        <f t="shared" si="65"/>
        <v>0</v>
      </c>
      <c r="AW104" s="2029">
        <v>300</v>
      </c>
      <c r="AX104" s="2029">
        <f t="shared" si="66"/>
        <v>300</v>
      </c>
      <c r="AY104" s="2029">
        <f t="shared" si="66"/>
        <v>300</v>
      </c>
      <c r="AZ104" s="2029">
        <f t="shared" si="66"/>
        <v>300</v>
      </c>
      <c r="BA104" s="2029">
        <v>676</v>
      </c>
      <c r="BB104" s="2029">
        <f t="shared" si="67"/>
        <v>676</v>
      </c>
      <c r="BC104" s="2029">
        <f t="shared" si="67"/>
        <v>676</v>
      </c>
      <c r="BD104" s="2029">
        <f t="shared" si="67"/>
        <v>676</v>
      </c>
      <c r="BE104" s="2030">
        <f t="shared" si="46"/>
        <v>0</v>
      </c>
      <c r="BF104" s="2030">
        <f t="shared" si="46"/>
        <v>0</v>
      </c>
      <c r="BG104" s="2030">
        <f t="shared" si="46"/>
        <v>0</v>
      </c>
      <c r="BH104" s="2030">
        <f t="shared" si="46"/>
        <v>0</v>
      </c>
      <c r="BI104" s="2030">
        <f t="shared" si="47"/>
        <v>1200</v>
      </c>
      <c r="BJ104" s="2030">
        <f t="shared" si="47"/>
        <v>1200</v>
      </c>
      <c r="BK104" s="2030">
        <f t="shared" si="47"/>
        <v>1200</v>
      </c>
      <c r="BL104" s="2030">
        <f t="shared" si="40"/>
        <v>1200</v>
      </c>
      <c r="BM104" s="2031"/>
      <c r="BN104" s="2031"/>
      <c r="BO104" s="2031"/>
      <c r="BP104" s="2031"/>
      <c r="BQ104" s="2031"/>
      <c r="BR104" s="2031"/>
      <c r="BS104" s="2031"/>
      <c r="BT104" s="2031"/>
      <c r="BU104" s="2029"/>
      <c r="BV104" s="2029"/>
      <c r="BW104" s="2029"/>
      <c r="BX104" s="2029"/>
      <c r="BY104" s="2029"/>
      <c r="BZ104" s="2032"/>
      <c r="CA104" s="1974"/>
      <c r="CB104" s="1974"/>
      <c r="CC104" s="1974"/>
      <c r="CD104" s="1974"/>
      <c r="CE104" s="1974">
        <v>0</v>
      </c>
      <c r="CF104" s="2033">
        <v>0</v>
      </c>
      <c r="CG104" s="2026">
        <v>1.9609704318357578E-4</v>
      </c>
      <c r="CH104" s="2009">
        <v>0</v>
      </c>
      <c r="CI104" s="2029">
        <v>0</v>
      </c>
      <c r="CK104" s="2029">
        <f t="shared" si="48"/>
        <v>0</v>
      </c>
      <c r="CL104" s="2034">
        <v>1</v>
      </c>
      <c r="CM104" s="2034">
        <v>1</v>
      </c>
      <c r="CN104" s="2034">
        <v>1</v>
      </c>
      <c r="CO104" s="2034">
        <v>1</v>
      </c>
      <c r="CP104" s="2035"/>
      <c r="CQ104" s="2036"/>
      <c r="CR104" s="2036"/>
      <c r="CS104" s="2036"/>
      <c r="CT104" s="2036"/>
      <c r="CU104" s="2036"/>
      <c r="CW104" s="1973">
        <v>0</v>
      </c>
      <c r="CX104" s="2037">
        <v>300</v>
      </c>
      <c r="CY104" s="2037">
        <v>300</v>
      </c>
      <c r="CZ104" s="2037">
        <v>300</v>
      </c>
      <c r="DA104" s="2037">
        <v>300</v>
      </c>
      <c r="DK104" s="1973">
        <v>0</v>
      </c>
      <c r="DL104" s="1973">
        <v>0</v>
      </c>
      <c r="DM104" s="1973">
        <v>0</v>
      </c>
      <c r="DO104" s="2023">
        <v>12</v>
      </c>
      <c r="DP104" s="2024">
        <v>0</v>
      </c>
      <c r="DQ104" s="2024">
        <v>0</v>
      </c>
      <c r="DR104" s="2023">
        <v>266</v>
      </c>
      <c r="DS104" s="2029"/>
      <c r="DT104" s="2029">
        <v>0</v>
      </c>
      <c r="DU104" s="2029">
        <v>0</v>
      </c>
      <c r="DV104" s="2029">
        <v>0</v>
      </c>
      <c r="DW104" s="2029">
        <v>300</v>
      </c>
      <c r="DX104" s="2029">
        <v>300</v>
      </c>
      <c r="DY104" s="2029">
        <v>300</v>
      </c>
      <c r="DZ104" s="2029">
        <v>300</v>
      </c>
      <c r="EA104" s="2029">
        <v>676</v>
      </c>
      <c r="EB104" s="2029">
        <v>676</v>
      </c>
      <c r="EC104" s="2029">
        <v>676</v>
      </c>
      <c r="ED104" s="2029">
        <v>676</v>
      </c>
      <c r="EE104" s="2039">
        <f t="shared" si="49"/>
        <v>0</v>
      </c>
      <c r="EF104" s="2039">
        <f t="shared" si="49"/>
        <v>0</v>
      </c>
      <c r="EG104" s="2039">
        <f t="shared" si="49"/>
        <v>0</v>
      </c>
      <c r="EH104" s="2039">
        <f t="shared" si="49"/>
        <v>0</v>
      </c>
      <c r="EI104" s="2040">
        <f t="shared" si="38"/>
        <v>0</v>
      </c>
      <c r="EJ104" s="2040">
        <f t="shared" si="38"/>
        <v>0</v>
      </c>
      <c r="EK104" s="2040">
        <f t="shared" si="38"/>
        <v>0</v>
      </c>
      <c r="EL104" s="2040">
        <f t="shared" si="38"/>
        <v>0</v>
      </c>
      <c r="EM104" s="2040">
        <f t="shared" si="38"/>
        <v>0</v>
      </c>
      <c r="EN104" s="2040">
        <f t="shared" si="38"/>
        <v>0</v>
      </c>
      <c r="EO104" s="2040">
        <f t="shared" si="57"/>
        <v>0</v>
      </c>
      <c r="EP104" s="2040">
        <f t="shared" si="57"/>
        <v>0</v>
      </c>
      <c r="EQ104" s="2040">
        <f t="shared" si="57"/>
        <v>0</v>
      </c>
      <c r="ER104" s="2040">
        <f t="shared" si="57"/>
        <v>0</v>
      </c>
      <c r="ES104" s="2040">
        <f t="shared" si="57"/>
        <v>0</v>
      </c>
      <c r="ET104" s="2040">
        <f t="shared" si="57"/>
        <v>0</v>
      </c>
      <c r="EU104" s="2039">
        <f t="shared" si="50"/>
        <v>0</v>
      </c>
      <c r="EV104" s="2039">
        <f t="shared" si="51"/>
        <v>0</v>
      </c>
    </row>
    <row r="105" spans="1:152" x14ac:dyDescent="0.25">
      <c r="A105" s="2041" t="s">
        <v>144</v>
      </c>
      <c r="B105" s="2022"/>
      <c r="C105" s="2023">
        <v>6</v>
      </c>
      <c r="D105" s="2024">
        <v>0</v>
      </c>
      <c r="E105" s="2024">
        <v>0</v>
      </c>
      <c r="F105" s="2023">
        <v>587.29999999999995</v>
      </c>
      <c r="G105" s="2026" t="s">
        <v>2899</v>
      </c>
      <c r="H105" s="2026" t="s">
        <v>2899</v>
      </c>
      <c r="I105" s="2026">
        <v>0.84899999999999998</v>
      </c>
      <c r="J105" s="2026">
        <v>0.84899999999999998</v>
      </c>
      <c r="K105" s="2026">
        <v>0.84899999999999998</v>
      </c>
      <c r="L105" s="2026">
        <v>0.84899999999999998</v>
      </c>
      <c r="M105" s="2027">
        <f t="shared" si="41"/>
        <v>0</v>
      </c>
      <c r="N105" s="2027">
        <f t="shared" si="41"/>
        <v>0</v>
      </c>
      <c r="O105" s="2027">
        <f t="shared" si="41"/>
        <v>0</v>
      </c>
      <c r="P105" s="2027">
        <f t="shared" si="41"/>
        <v>0</v>
      </c>
      <c r="Q105" s="2026">
        <v>0.84899999999999998</v>
      </c>
      <c r="R105" s="2026">
        <v>0.84899999999999998</v>
      </c>
      <c r="S105" s="2026">
        <v>0.84899999999999998</v>
      </c>
      <c r="T105" s="2026">
        <v>0.84899999999999998</v>
      </c>
      <c r="U105" s="2028">
        <f t="shared" si="42"/>
        <v>0</v>
      </c>
      <c r="V105" s="2028">
        <f t="shared" si="42"/>
        <v>0</v>
      </c>
      <c r="W105" s="2028">
        <f t="shared" si="42"/>
        <v>0</v>
      </c>
      <c r="X105" s="2028">
        <f t="shared" si="42"/>
        <v>0</v>
      </c>
      <c r="Y105" s="2026">
        <v>0.67500000000000004</v>
      </c>
      <c r="Z105" s="2026">
        <v>0.67500000000000004</v>
      </c>
      <c r="AA105" s="2026">
        <v>0.67500000000000004</v>
      </c>
      <c r="AB105" s="2026">
        <v>0.67500000000000004</v>
      </c>
      <c r="AC105" s="2027">
        <f t="shared" si="62"/>
        <v>396.42750000000001</v>
      </c>
      <c r="AD105" s="2027">
        <f t="shared" si="62"/>
        <v>396.42750000000001</v>
      </c>
      <c r="AE105" s="2027">
        <f t="shared" si="62"/>
        <v>396.42750000000001</v>
      </c>
      <c r="AF105" s="2027">
        <f t="shared" si="62"/>
        <v>396.42750000000001</v>
      </c>
      <c r="AG105" s="2027">
        <v>8</v>
      </c>
      <c r="AH105" s="2027">
        <v>6</v>
      </c>
      <c r="AI105" s="2027">
        <v>6</v>
      </c>
      <c r="AJ105" s="2027">
        <v>8</v>
      </c>
      <c r="AK105" s="2027">
        <f t="shared" si="63"/>
        <v>0</v>
      </c>
      <c r="AL105" s="2027">
        <f t="shared" si="60"/>
        <v>0</v>
      </c>
      <c r="AM105" s="2027">
        <f t="shared" si="60"/>
        <v>0</v>
      </c>
      <c r="AN105" s="2027">
        <f t="shared" si="58"/>
        <v>0</v>
      </c>
      <c r="AO105" s="2027">
        <f t="shared" si="64"/>
        <v>3171.42</v>
      </c>
      <c r="AP105" s="2027">
        <f t="shared" si="61"/>
        <v>2378.5650000000001</v>
      </c>
      <c r="AQ105" s="2027">
        <f t="shared" si="61"/>
        <v>2378.5650000000001</v>
      </c>
      <c r="AR105" s="2027">
        <f t="shared" si="59"/>
        <v>3171.42</v>
      </c>
      <c r="AS105" s="2029"/>
      <c r="AT105" s="2029">
        <f t="shared" si="65"/>
        <v>0</v>
      </c>
      <c r="AU105" s="2029">
        <f t="shared" si="65"/>
        <v>0</v>
      </c>
      <c r="AV105" s="2029">
        <f t="shared" si="65"/>
        <v>0</v>
      </c>
      <c r="AW105" s="2029">
        <v>400</v>
      </c>
      <c r="AX105" s="2029">
        <f t="shared" si="66"/>
        <v>400</v>
      </c>
      <c r="AY105" s="2029">
        <f t="shared" si="66"/>
        <v>400</v>
      </c>
      <c r="AZ105" s="2029">
        <f t="shared" si="66"/>
        <v>400</v>
      </c>
      <c r="BA105" s="2029">
        <v>550</v>
      </c>
      <c r="BB105" s="2029">
        <f t="shared" si="67"/>
        <v>550</v>
      </c>
      <c r="BC105" s="2029">
        <f t="shared" si="67"/>
        <v>550</v>
      </c>
      <c r="BD105" s="2029">
        <f t="shared" si="67"/>
        <v>550</v>
      </c>
      <c r="BE105" s="2030">
        <f t="shared" si="46"/>
        <v>0</v>
      </c>
      <c r="BF105" s="2030">
        <f t="shared" si="46"/>
        <v>0</v>
      </c>
      <c r="BG105" s="2030">
        <f t="shared" si="46"/>
        <v>0</v>
      </c>
      <c r="BH105" s="2030">
        <f t="shared" si="46"/>
        <v>0</v>
      </c>
      <c r="BI105" s="2030">
        <f t="shared" si="47"/>
        <v>3200</v>
      </c>
      <c r="BJ105" s="2030">
        <f t="shared" si="47"/>
        <v>2400</v>
      </c>
      <c r="BK105" s="2030">
        <f t="shared" si="47"/>
        <v>2400</v>
      </c>
      <c r="BL105" s="2030">
        <f t="shared" si="40"/>
        <v>3200</v>
      </c>
      <c r="BM105" s="2031"/>
      <c r="BN105" s="2031"/>
      <c r="BO105" s="2031"/>
      <c r="BP105" s="2031"/>
      <c r="BQ105" s="2031"/>
      <c r="BR105" s="2031"/>
      <c r="BS105" s="2031"/>
      <c r="BT105" s="2031"/>
      <c r="BU105" s="2029"/>
      <c r="BV105" s="2029"/>
      <c r="BW105" s="2029"/>
      <c r="BX105" s="2029"/>
      <c r="BY105" s="2029"/>
      <c r="BZ105" s="2032"/>
      <c r="CA105" s="2027">
        <v>3438</v>
      </c>
      <c r="CB105" s="1974"/>
      <c r="CC105" s="1974"/>
      <c r="CD105" s="1974"/>
      <c r="CE105" s="1974">
        <v>0</v>
      </c>
      <c r="CF105" s="2033">
        <v>0</v>
      </c>
      <c r="CG105" s="2026">
        <v>1.1831947366390215E-3</v>
      </c>
      <c r="CH105" s="2009">
        <v>0</v>
      </c>
      <c r="CI105" s="2029">
        <v>0</v>
      </c>
      <c r="CK105" s="2029">
        <f t="shared" si="48"/>
        <v>0</v>
      </c>
      <c r="CL105" s="2034">
        <v>1</v>
      </c>
      <c r="CM105" s="2034">
        <v>1</v>
      </c>
      <c r="CN105" s="2034">
        <v>1</v>
      </c>
      <c r="CO105" s="2034">
        <v>1</v>
      </c>
      <c r="CP105" s="2035"/>
      <c r="CQ105" s="2036"/>
      <c r="CR105" s="2036"/>
      <c r="CS105" s="2036"/>
      <c r="CT105" s="2036"/>
      <c r="CU105" s="2036"/>
      <c r="CW105" s="1973">
        <v>0</v>
      </c>
      <c r="CX105" s="2037">
        <v>400</v>
      </c>
      <c r="CY105" s="2037">
        <v>400</v>
      </c>
      <c r="CZ105" s="2037">
        <v>400</v>
      </c>
      <c r="DA105" s="2037">
        <v>400</v>
      </c>
      <c r="DK105" s="1973">
        <v>0</v>
      </c>
      <c r="DL105" s="1973">
        <v>0</v>
      </c>
      <c r="DM105" s="1973">
        <v>0</v>
      </c>
      <c r="DO105" s="2023">
        <v>6</v>
      </c>
      <c r="DP105" s="2024">
        <v>0</v>
      </c>
      <c r="DQ105" s="2024">
        <v>0</v>
      </c>
      <c r="DR105" s="2023">
        <v>587.29999999999995</v>
      </c>
      <c r="DS105" s="2029"/>
      <c r="DT105" s="2029">
        <v>0</v>
      </c>
      <c r="DU105" s="2029">
        <v>0</v>
      </c>
      <c r="DV105" s="2029">
        <v>0</v>
      </c>
      <c r="DW105" s="2029">
        <v>400</v>
      </c>
      <c r="DX105" s="2029">
        <v>400</v>
      </c>
      <c r="DY105" s="2029">
        <v>400</v>
      </c>
      <c r="DZ105" s="2029">
        <v>400</v>
      </c>
      <c r="EA105" s="2029">
        <v>550</v>
      </c>
      <c r="EB105" s="2029">
        <v>550</v>
      </c>
      <c r="EC105" s="2029">
        <v>550</v>
      </c>
      <c r="ED105" s="2029">
        <v>550</v>
      </c>
      <c r="EE105" s="2039">
        <f t="shared" si="49"/>
        <v>0</v>
      </c>
      <c r="EF105" s="2039">
        <f t="shared" si="49"/>
        <v>0</v>
      </c>
      <c r="EG105" s="2039">
        <f t="shared" si="49"/>
        <v>0</v>
      </c>
      <c r="EH105" s="2039">
        <f t="shared" si="49"/>
        <v>0</v>
      </c>
      <c r="EI105" s="2040">
        <f t="shared" si="38"/>
        <v>0</v>
      </c>
      <c r="EJ105" s="2040">
        <f t="shared" si="38"/>
        <v>0</v>
      </c>
      <c r="EK105" s="2040">
        <f t="shared" si="38"/>
        <v>0</v>
      </c>
      <c r="EL105" s="2040">
        <f t="shared" si="38"/>
        <v>0</v>
      </c>
      <c r="EM105" s="2040">
        <f t="shared" si="38"/>
        <v>0</v>
      </c>
      <c r="EN105" s="2040">
        <f t="shared" si="38"/>
        <v>0</v>
      </c>
      <c r="EO105" s="2040">
        <f t="shared" si="57"/>
        <v>0</v>
      </c>
      <c r="EP105" s="2040">
        <f t="shared" si="57"/>
        <v>0</v>
      </c>
      <c r="EQ105" s="2040">
        <f t="shared" si="57"/>
        <v>0</v>
      </c>
      <c r="ER105" s="2040">
        <f t="shared" si="57"/>
        <v>0</v>
      </c>
      <c r="ES105" s="2040">
        <f t="shared" si="57"/>
        <v>0</v>
      </c>
      <c r="ET105" s="2040">
        <f t="shared" si="57"/>
        <v>0</v>
      </c>
      <c r="EU105" s="2039">
        <f t="shared" si="50"/>
        <v>0</v>
      </c>
      <c r="EV105" s="2039">
        <f t="shared" si="51"/>
        <v>0</v>
      </c>
    </row>
    <row r="106" spans="1:152" x14ac:dyDescent="0.25">
      <c r="A106" s="2041" t="s">
        <v>145</v>
      </c>
      <c r="B106" s="2022"/>
      <c r="C106" s="2543">
        <v>13</v>
      </c>
      <c r="D106" s="2024">
        <v>13160.16</v>
      </c>
      <c r="E106" s="2024">
        <v>3.1640000000000001</v>
      </c>
      <c r="F106" s="2023">
        <v>0</v>
      </c>
      <c r="G106" s="2026" t="s">
        <v>2899</v>
      </c>
      <c r="H106" s="2026" t="s">
        <v>2899</v>
      </c>
      <c r="I106" s="2026">
        <v>0.84899999999999998</v>
      </c>
      <c r="J106" s="2026">
        <v>0.84899999999999998</v>
      </c>
      <c r="K106" s="2026">
        <v>0.84899999999999998</v>
      </c>
      <c r="L106" s="2026">
        <v>0.84899999999999998</v>
      </c>
      <c r="M106" s="2027">
        <f t="shared" si="41"/>
        <v>11172.975839999999</v>
      </c>
      <c r="N106" s="2027">
        <f t="shared" si="41"/>
        <v>11172.975839999999</v>
      </c>
      <c r="O106" s="2027">
        <f t="shared" si="41"/>
        <v>11172.975839999999</v>
      </c>
      <c r="P106" s="2027">
        <f t="shared" si="41"/>
        <v>11172.975839999999</v>
      </c>
      <c r="Q106" s="2026">
        <v>0.84899999999999998</v>
      </c>
      <c r="R106" s="2026">
        <v>0.84899999999999998</v>
      </c>
      <c r="S106" s="2026">
        <v>0.84899999999999998</v>
      </c>
      <c r="T106" s="2026">
        <v>0.84899999999999998</v>
      </c>
      <c r="U106" s="2028">
        <f t="shared" si="42"/>
        <v>2.6862360000000001</v>
      </c>
      <c r="V106" s="2028">
        <f t="shared" si="42"/>
        <v>2.6862360000000001</v>
      </c>
      <c r="W106" s="2028">
        <f t="shared" si="42"/>
        <v>2.6862360000000001</v>
      </c>
      <c r="X106" s="2028">
        <f t="shared" si="42"/>
        <v>2.6862360000000001</v>
      </c>
      <c r="Y106" s="2026">
        <v>0.67500000000000004</v>
      </c>
      <c r="Z106" s="2026">
        <v>0.67500000000000004</v>
      </c>
      <c r="AA106" s="2026">
        <v>0.67500000000000004</v>
      </c>
      <c r="AB106" s="2026">
        <v>0.67500000000000004</v>
      </c>
      <c r="AC106" s="2027">
        <f t="shared" si="62"/>
        <v>0</v>
      </c>
      <c r="AD106" s="2027">
        <f t="shared" si="62"/>
        <v>0</v>
      </c>
      <c r="AE106" s="2027">
        <f t="shared" si="62"/>
        <v>0</v>
      </c>
      <c r="AF106" s="2027">
        <f t="shared" si="62"/>
        <v>0</v>
      </c>
      <c r="AG106" s="2027">
        <v>3</v>
      </c>
      <c r="AH106" s="2027">
        <v>4</v>
      </c>
      <c r="AI106" s="2027">
        <v>4</v>
      </c>
      <c r="AJ106" s="2027">
        <v>4</v>
      </c>
      <c r="AK106" s="2027">
        <f t="shared" si="63"/>
        <v>33518.927519999997</v>
      </c>
      <c r="AL106" s="2027">
        <f t="shared" si="60"/>
        <v>44691.903359999997</v>
      </c>
      <c r="AM106" s="2027">
        <f t="shared" si="60"/>
        <v>44691.903359999997</v>
      </c>
      <c r="AN106" s="2027">
        <f t="shared" si="58"/>
        <v>44691.903359999997</v>
      </c>
      <c r="AO106" s="2027">
        <f t="shared" si="64"/>
        <v>0</v>
      </c>
      <c r="AP106" s="2027">
        <f t="shared" si="61"/>
        <v>0</v>
      </c>
      <c r="AQ106" s="2027">
        <f t="shared" si="61"/>
        <v>0</v>
      </c>
      <c r="AR106" s="2027">
        <f t="shared" si="59"/>
        <v>0</v>
      </c>
      <c r="AS106" s="2029">
        <v>1200</v>
      </c>
      <c r="AT106" s="2029">
        <f t="shared" si="65"/>
        <v>1200</v>
      </c>
      <c r="AU106" s="2029">
        <f t="shared" si="65"/>
        <v>1200</v>
      </c>
      <c r="AV106" s="2029">
        <f t="shared" si="65"/>
        <v>1200</v>
      </c>
      <c r="AW106" s="1974"/>
      <c r="AX106" s="2029">
        <f t="shared" si="66"/>
        <v>0</v>
      </c>
      <c r="AY106" s="2029">
        <f t="shared" si="66"/>
        <v>0</v>
      </c>
      <c r="AZ106" s="2029">
        <f t="shared" si="66"/>
        <v>0</v>
      </c>
      <c r="BA106" s="2029">
        <v>3986</v>
      </c>
      <c r="BB106" s="2029">
        <f t="shared" si="67"/>
        <v>3986</v>
      </c>
      <c r="BC106" s="2029">
        <f t="shared" si="67"/>
        <v>3986</v>
      </c>
      <c r="BD106" s="2029">
        <f t="shared" si="67"/>
        <v>3986</v>
      </c>
      <c r="BE106" s="2030">
        <f t="shared" si="46"/>
        <v>3600</v>
      </c>
      <c r="BF106" s="2030">
        <f t="shared" si="46"/>
        <v>4800</v>
      </c>
      <c r="BG106" s="2030">
        <f t="shared" si="46"/>
        <v>4800</v>
      </c>
      <c r="BH106" s="2030">
        <f t="shared" si="46"/>
        <v>4800</v>
      </c>
      <c r="BI106" s="2030">
        <f t="shared" si="47"/>
        <v>0</v>
      </c>
      <c r="BJ106" s="2030">
        <f t="shared" si="47"/>
        <v>0</v>
      </c>
      <c r="BK106" s="2030">
        <f t="shared" si="47"/>
        <v>0</v>
      </c>
      <c r="BL106" s="2030">
        <f t="shared" si="40"/>
        <v>0</v>
      </c>
      <c r="BM106" s="2031"/>
      <c r="BN106" s="2031"/>
      <c r="BO106" s="2031"/>
      <c r="BP106" s="2031"/>
      <c r="BQ106" s="2031"/>
      <c r="BR106" s="2031"/>
      <c r="BS106" s="2031"/>
      <c r="BT106" s="2031"/>
      <c r="BU106" s="2029"/>
      <c r="BV106" s="2029"/>
      <c r="BW106" s="2029"/>
      <c r="BX106" s="2029"/>
      <c r="BY106" s="2029"/>
      <c r="BZ106" s="2032"/>
      <c r="CA106" s="1974"/>
      <c r="CB106" s="1974"/>
      <c r="CC106" s="1974"/>
      <c r="CD106" s="1974"/>
      <c r="CE106" s="1974">
        <v>0</v>
      </c>
      <c r="CF106" s="2033">
        <v>1.4012040614231193E-4</v>
      </c>
      <c r="CG106" s="2026">
        <v>0</v>
      </c>
      <c r="CH106" s="2009">
        <v>0</v>
      </c>
      <c r="CI106" s="2029">
        <v>0</v>
      </c>
      <c r="CK106" s="2029">
        <f t="shared" si="48"/>
        <v>0</v>
      </c>
      <c r="CL106" s="2034">
        <v>1</v>
      </c>
      <c r="CM106" s="2034">
        <v>1</v>
      </c>
      <c r="CN106" s="2034">
        <v>1</v>
      </c>
      <c r="CO106" s="2034">
        <v>1</v>
      </c>
      <c r="CP106" s="2035"/>
      <c r="CQ106" s="2036"/>
      <c r="CR106" s="2036"/>
      <c r="CS106" s="2036"/>
      <c r="CT106" s="2036"/>
      <c r="CU106" s="2036"/>
      <c r="CW106" s="1973">
        <v>0</v>
      </c>
      <c r="CX106" s="2037">
        <v>1200</v>
      </c>
      <c r="CY106" s="2037">
        <v>1200</v>
      </c>
      <c r="CZ106" s="2037">
        <v>1200</v>
      </c>
      <c r="DA106" s="2037">
        <v>1200</v>
      </c>
      <c r="DJ106" s="1976">
        <v>1200</v>
      </c>
      <c r="DK106" s="1973">
        <v>1200</v>
      </c>
      <c r="DL106" s="1973">
        <v>1200</v>
      </c>
      <c r="DM106" s="1973">
        <v>1200</v>
      </c>
      <c r="DO106" s="2023">
        <v>10</v>
      </c>
      <c r="DP106" s="2024">
        <v>13160.16</v>
      </c>
      <c r="DQ106" s="2024">
        <v>3.1640000000000001</v>
      </c>
      <c r="DR106" s="2023">
        <v>0</v>
      </c>
      <c r="DS106" s="2029">
        <v>1200</v>
      </c>
      <c r="DT106" s="2029">
        <v>1200</v>
      </c>
      <c r="DU106" s="2029">
        <v>1200</v>
      </c>
      <c r="DV106" s="2029">
        <v>1200</v>
      </c>
      <c r="DW106" s="1974"/>
      <c r="DX106" s="2029">
        <v>0</v>
      </c>
      <c r="DY106" s="2029">
        <v>0</v>
      </c>
      <c r="DZ106" s="2029">
        <v>0</v>
      </c>
      <c r="EA106" s="2029">
        <v>3986</v>
      </c>
      <c r="EB106" s="2029">
        <v>3986</v>
      </c>
      <c r="EC106" s="2029">
        <v>3986</v>
      </c>
      <c r="ED106" s="2029">
        <v>3986</v>
      </c>
      <c r="EE106" s="2039">
        <f t="shared" si="49"/>
        <v>3</v>
      </c>
      <c r="EF106" s="2039">
        <f t="shared" si="49"/>
        <v>0</v>
      </c>
      <c r="EG106" s="2039">
        <f t="shared" si="49"/>
        <v>0</v>
      </c>
      <c r="EH106" s="2039">
        <f t="shared" si="49"/>
        <v>0</v>
      </c>
      <c r="EI106" s="2040">
        <f t="shared" si="38"/>
        <v>0</v>
      </c>
      <c r="EJ106" s="2040">
        <f t="shared" si="38"/>
        <v>0</v>
      </c>
      <c r="EK106" s="2040">
        <f t="shared" si="38"/>
        <v>0</v>
      </c>
      <c r="EL106" s="2040">
        <f t="shared" si="38"/>
        <v>0</v>
      </c>
      <c r="EM106" s="2040">
        <f t="shared" si="38"/>
        <v>0</v>
      </c>
      <c r="EN106" s="2040">
        <f t="shared" si="38"/>
        <v>0</v>
      </c>
      <c r="EO106" s="2040">
        <f t="shared" si="57"/>
        <v>0</v>
      </c>
      <c r="EP106" s="2040">
        <f t="shared" si="57"/>
        <v>0</v>
      </c>
      <c r="EQ106" s="2040">
        <f t="shared" si="57"/>
        <v>0</v>
      </c>
      <c r="ER106" s="2040">
        <f t="shared" si="57"/>
        <v>0</v>
      </c>
      <c r="ES106" s="2040">
        <f t="shared" si="57"/>
        <v>0</v>
      </c>
      <c r="ET106" s="2040">
        <f t="shared" si="57"/>
        <v>0</v>
      </c>
      <c r="EU106" s="2039">
        <f t="shared" si="50"/>
        <v>3</v>
      </c>
      <c r="EV106" s="2039">
        <f t="shared" si="51"/>
        <v>3</v>
      </c>
    </row>
    <row r="107" spans="1:152" x14ac:dyDescent="0.25">
      <c r="A107" s="2041" t="s">
        <v>147</v>
      </c>
      <c r="B107" s="2022"/>
      <c r="C107" s="2023">
        <v>5</v>
      </c>
      <c r="D107" s="2024">
        <v>2700</v>
      </c>
      <c r="E107" s="2024">
        <v>0.5</v>
      </c>
      <c r="F107" s="2023">
        <v>0</v>
      </c>
      <c r="G107" s="2026" t="s">
        <v>2948</v>
      </c>
      <c r="H107" s="2026" t="s">
        <v>2948</v>
      </c>
      <c r="I107" s="2026">
        <v>0.70200000000000007</v>
      </c>
      <c r="J107" s="2026">
        <v>0.70200000000000007</v>
      </c>
      <c r="K107" s="2026">
        <v>0.70200000000000007</v>
      </c>
      <c r="L107" s="2026">
        <v>0.70200000000000007</v>
      </c>
      <c r="M107" s="2027">
        <f t="shared" si="41"/>
        <v>1895.4</v>
      </c>
      <c r="N107" s="2027">
        <f t="shared" si="41"/>
        <v>1895.4</v>
      </c>
      <c r="O107" s="2027">
        <f t="shared" si="41"/>
        <v>1895.4</v>
      </c>
      <c r="P107" s="2027">
        <f t="shared" si="41"/>
        <v>1895.4</v>
      </c>
      <c r="Q107" s="2026">
        <v>0.70200000000000007</v>
      </c>
      <c r="R107" s="2026">
        <v>0.70200000000000007</v>
      </c>
      <c r="S107" s="2026">
        <v>0.70200000000000007</v>
      </c>
      <c r="T107" s="2026">
        <v>0.70200000000000007</v>
      </c>
      <c r="U107" s="2028">
        <f t="shared" si="42"/>
        <v>0.35100000000000003</v>
      </c>
      <c r="V107" s="2028">
        <f t="shared" si="42"/>
        <v>0.35100000000000003</v>
      </c>
      <c r="W107" s="2028">
        <f t="shared" si="42"/>
        <v>0.35100000000000003</v>
      </c>
      <c r="X107" s="2028">
        <f t="shared" si="42"/>
        <v>0.35100000000000003</v>
      </c>
      <c r="Y107" s="2026">
        <v>0.70200000000000007</v>
      </c>
      <c r="Z107" s="2026">
        <v>0.70200000000000007</v>
      </c>
      <c r="AA107" s="2026">
        <v>0.70200000000000007</v>
      </c>
      <c r="AB107" s="2026">
        <v>0.70200000000000007</v>
      </c>
      <c r="AC107" s="2027">
        <f t="shared" si="62"/>
        <v>0</v>
      </c>
      <c r="AD107" s="2027">
        <f t="shared" si="62"/>
        <v>0</v>
      </c>
      <c r="AE107" s="2027">
        <f t="shared" si="62"/>
        <v>0</v>
      </c>
      <c r="AF107" s="2027">
        <f t="shared" si="62"/>
        <v>0</v>
      </c>
      <c r="AG107" s="2027">
        <v>351</v>
      </c>
      <c r="AH107" s="2027">
        <v>367</v>
      </c>
      <c r="AI107" s="2027">
        <v>383</v>
      </c>
      <c r="AJ107" s="2027">
        <v>389</v>
      </c>
      <c r="AK107" s="2027">
        <f t="shared" si="63"/>
        <v>665285.4</v>
      </c>
      <c r="AL107" s="2027">
        <f t="shared" si="60"/>
        <v>695611.8</v>
      </c>
      <c r="AM107" s="2027">
        <f t="shared" si="60"/>
        <v>725938.20000000007</v>
      </c>
      <c r="AN107" s="2027">
        <f t="shared" si="58"/>
        <v>737310.60000000009</v>
      </c>
      <c r="AO107" s="2027">
        <f t="shared" si="64"/>
        <v>0</v>
      </c>
      <c r="AP107" s="2027">
        <f t="shared" si="61"/>
        <v>0</v>
      </c>
      <c r="AQ107" s="2027">
        <f t="shared" si="61"/>
        <v>0</v>
      </c>
      <c r="AR107" s="2027">
        <f t="shared" si="59"/>
        <v>0</v>
      </c>
      <c r="AS107" s="2029">
        <v>60</v>
      </c>
      <c r="AT107" s="2029">
        <f t="shared" si="65"/>
        <v>60</v>
      </c>
      <c r="AU107" s="2029">
        <f t="shared" si="65"/>
        <v>60</v>
      </c>
      <c r="AV107" s="2029">
        <f t="shared" si="65"/>
        <v>60</v>
      </c>
      <c r="AW107" s="1974"/>
      <c r="AX107" s="2029">
        <f t="shared" si="66"/>
        <v>0</v>
      </c>
      <c r="AY107" s="2029">
        <f t="shared" si="66"/>
        <v>0</v>
      </c>
      <c r="AZ107" s="2029">
        <f t="shared" si="66"/>
        <v>0</v>
      </c>
      <c r="BA107" s="2029">
        <v>72</v>
      </c>
      <c r="BB107" s="2029">
        <f t="shared" si="67"/>
        <v>72</v>
      </c>
      <c r="BC107" s="2029">
        <f t="shared" si="67"/>
        <v>72</v>
      </c>
      <c r="BD107" s="2029">
        <f t="shared" si="67"/>
        <v>72</v>
      </c>
      <c r="BE107" s="2030">
        <f t="shared" si="46"/>
        <v>21060</v>
      </c>
      <c r="BF107" s="2030">
        <f t="shared" si="46"/>
        <v>22020</v>
      </c>
      <c r="BG107" s="2030">
        <f t="shared" si="46"/>
        <v>22980</v>
      </c>
      <c r="BH107" s="2030">
        <f t="shared" si="46"/>
        <v>23340</v>
      </c>
      <c r="BI107" s="2030">
        <f t="shared" si="47"/>
        <v>0</v>
      </c>
      <c r="BJ107" s="2030">
        <f t="shared" si="47"/>
        <v>0</v>
      </c>
      <c r="BK107" s="2030">
        <f t="shared" si="47"/>
        <v>0</v>
      </c>
      <c r="BL107" s="2030">
        <f t="shared" si="40"/>
        <v>0</v>
      </c>
      <c r="BM107" s="2031"/>
      <c r="BN107" s="2031"/>
      <c r="BO107" s="2031"/>
      <c r="BP107" s="2031"/>
      <c r="BQ107" s="2031"/>
      <c r="BR107" s="2031"/>
      <c r="BS107" s="2031"/>
      <c r="BT107" s="2031"/>
      <c r="BU107" s="2029"/>
      <c r="BV107" s="2029"/>
      <c r="BW107" s="2029"/>
      <c r="BX107" s="2029"/>
      <c r="BY107" s="2029"/>
      <c r="BZ107" s="2032"/>
      <c r="CA107" s="1974"/>
      <c r="CB107" s="1974"/>
      <c r="CC107" s="1974"/>
      <c r="CD107" s="1974"/>
      <c r="CE107" s="1974">
        <v>0</v>
      </c>
      <c r="CF107" s="2033">
        <v>2.7811170388112247E-3</v>
      </c>
      <c r="CG107" s="2026">
        <v>0</v>
      </c>
      <c r="CH107" s="2009">
        <v>0</v>
      </c>
      <c r="CI107" s="2029">
        <v>0</v>
      </c>
      <c r="CK107" s="2029">
        <f t="shared" si="48"/>
        <v>0</v>
      </c>
      <c r="CL107" s="2034">
        <v>1</v>
      </c>
      <c r="CM107" s="2034">
        <v>1</v>
      </c>
      <c r="CN107" s="2034">
        <v>1</v>
      </c>
      <c r="CO107" s="2034">
        <v>1</v>
      </c>
      <c r="CP107" s="2035"/>
      <c r="CQ107" s="2036"/>
      <c r="CR107" s="2036"/>
      <c r="CS107" s="2036"/>
      <c r="CT107" s="2036"/>
      <c r="CU107" s="2036"/>
      <c r="CW107" s="1973">
        <v>0</v>
      </c>
      <c r="CX107" s="2037">
        <v>60</v>
      </c>
      <c r="CY107" s="2037">
        <v>60</v>
      </c>
      <c r="CZ107" s="2037">
        <v>60</v>
      </c>
      <c r="DA107" s="2037">
        <v>60</v>
      </c>
      <c r="DJ107" s="1976">
        <v>60</v>
      </c>
      <c r="DK107" s="1973">
        <v>60</v>
      </c>
      <c r="DL107" s="1973">
        <v>60</v>
      </c>
      <c r="DM107" s="1973">
        <v>60</v>
      </c>
      <c r="DO107" s="2023">
        <v>5</v>
      </c>
      <c r="DP107" s="2024">
        <v>2700</v>
      </c>
      <c r="DQ107" s="2024">
        <v>0.5</v>
      </c>
      <c r="DR107" s="2023">
        <v>0</v>
      </c>
      <c r="DS107" s="2029">
        <v>60</v>
      </c>
      <c r="DT107" s="2029">
        <v>60</v>
      </c>
      <c r="DU107" s="2029">
        <v>60</v>
      </c>
      <c r="DV107" s="2029">
        <v>60</v>
      </c>
      <c r="DW107" s="1974"/>
      <c r="DX107" s="2029">
        <v>0</v>
      </c>
      <c r="DY107" s="2029">
        <v>0</v>
      </c>
      <c r="DZ107" s="2029">
        <v>0</v>
      </c>
      <c r="EA107" s="2029">
        <v>72</v>
      </c>
      <c r="EB107" s="2029">
        <v>72</v>
      </c>
      <c r="EC107" s="2029">
        <v>72</v>
      </c>
      <c r="ED107" s="2029">
        <v>72</v>
      </c>
      <c r="EE107" s="2039">
        <f t="shared" si="49"/>
        <v>0</v>
      </c>
      <c r="EF107" s="2039">
        <f t="shared" si="49"/>
        <v>0</v>
      </c>
      <c r="EG107" s="2039">
        <f t="shared" si="49"/>
        <v>0</v>
      </c>
      <c r="EH107" s="2039">
        <f t="shared" si="49"/>
        <v>0</v>
      </c>
      <c r="EI107" s="2040">
        <f t="shared" si="38"/>
        <v>0</v>
      </c>
      <c r="EJ107" s="2040">
        <f t="shared" si="38"/>
        <v>0</v>
      </c>
      <c r="EK107" s="2040">
        <f t="shared" si="38"/>
        <v>0</v>
      </c>
      <c r="EL107" s="2040">
        <f t="shared" si="38"/>
        <v>0</v>
      </c>
      <c r="EM107" s="2040">
        <f t="shared" si="38"/>
        <v>0</v>
      </c>
      <c r="EN107" s="2040">
        <f t="shared" si="38"/>
        <v>0</v>
      </c>
      <c r="EO107" s="2040">
        <f t="shared" si="57"/>
        <v>0</v>
      </c>
      <c r="EP107" s="2040">
        <f t="shared" si="57"/>
        <v>0</v>
      </c>
      <c r="EQ107" s="2040">
        <f t="shared" si="57"/>
        <v>0</v>
      </c>
      <c r="ER107" s="2040">
        <f t="shared" si="57"/>
        <v>0</v>
      </c>
      <c r="ES107" s="2040">
        <f t="shared" si="57"/>
        <v>0</v>
      </c>
      <c r="ET107" s="2040">
        <f t="shared" si="57"/>
        <v>0</v>
      </c>
      <c r="EU107" s="2039">
        <f t="shared" si="50"/>
        <v>0</v>
      </c>
      <c r="EV107" s="2039">
        <f t="shared" si="51"/>
        <v>0</v>
      </c>
    </row>
    <row r="108" spans="1:152" x14ac:dyDescent="0.25">
      <c r="A108" s="2041" t="s">
        <v>149</v>
      </c>
      <c r="B108" s="2022"/>
      <c r="C108" s="2023">
        <v>10</v>
      </c>
      <c r="D108" s="2024">
        <v>0</v>
      </c>
      <c r="E108" s="2024">
        <v>0</v>
      </c>
      <c r="F108" s="2023">
        <v>1089</v>
      </c>
      <c r="G108" s="2026" t="s">
        <v>2899</v>
      </c>
      <c r="H108" s="2026" t="s">
        <v>2899</v>
      </c>
      <c r="I108" s="2026">
        <v>0.84899999999999998</v>
      </c>
      <c r="J108" s="2026">
        <v>0.84899999999999998</v>
      </c>
      <c r="K108" s="2026">
        <v>0.84899999999999998</v>
      </c>
      <c r="L108" s="2026">
        <v>0.84899999999999998</v>
      </c>
      <c r="M108" s="2027">
        <f t="shared" si="41"/>
        <v>0</v>
      </c>
      <c r="N108" s="2027">
        <f t="shared" si="41"/>
        <v>0</v>
      </c>
      <c r="O108" s="2027">
        <f t="shared" si="41"/>
        <v>0</v>
      </c>
      <c r="P108" s="2027">
        <f t="shared" si="41"/>
        <v>0</v>
      </c>
      <c r="Q108" s="2026">
        <v>0.84899999999999998</v>
      </c>
      <c r="R108" s="2026">
        <v>0.84899999999999998</v>
      </c>
      <c r="S108" s="2026">
        <v>0.84899999999999998</v>
      </c>
      <c r="T108" s="2026">
        <v>0.84899999999999998</v>
      </c>
      <c r="U108" s="2028">
        <f t="shared" si="42"/>
        <v>0</v>
      </c>
      <c r="V108" s="2028">
        <f t="shared" si="42"/>
        <v>0</v>
      </c>
      <c r="W108" s="2028">
        <f t="shared" si="42"/>
        <v>0</v>
      </c>
      <c r="X108" s="2028">
        <f t="shared" si="42"/>
        <v>0</v>
      </c>
      <c r="Y108" s="2026">
        <v>0.67500000000000004</v>
      </c>
      <c r="Z108" s="2026">
        <v>0.67500000000000004</v>
      </c>
      <c r="AA108" s="2026">
        <v>0.67500000000000004</v>
      </c>
      <c r="AB108" s="2026">
        <v>0.67500000000000004</v>
      </c>
      <c r="AC108" s="2027">
        <f t="shared" si="62"/>
        <v>735.07500000000005</v>
      </c>
      <c r="AD108" s="2027">
        <f t="shared" si="62"/>
        <v>735.07500000000005</v>
      </c>
      <c r="AE108" s="2027">
        <f t="shared" si="62"/>
        <v>735.07500000000005</v>
      </c>
      <c r="AF108" s="2027">
        <f t="shared" si="62"/>
        <v>735.07500000000005</v>
      </c>
      <c r="AG108" s="2027">
        <v>1</v>
      </c>
      <c r="AH108" s="2027">
        <v>1</v>
      </c>
      <c r="AI108" s="2027">
        <v>1</v>
      </c>
      <c r="AJ108" s="2027">
        <v>1</v>
      </c>
      <c r="AK108" s="2027">
        <f t="shared" si="63"/>
        <v>0</v>
      </c>
      <c r="AL108" s="2027">
        <f t="shared" si="60"/>
        <v>0</v>
      </c>
      <c r="AM108" s="2027">
        <f t="shared" si="60"/>
        <v>0</v>
      </c>
      <c r="AN108" s="2027">
        <f t="shared" si="58"/>
        <v>0</v>
      </c>
      <c r="AO108" s="2027">
        <f t="shared" si="64"/>
        <v>735.07500000000005</v>
      </c>
      <c r="AP108" s="2027">
        <f t="shared" si="61"/>
        <v>735.07500000000005</v>
      </c>
      <c r="AQ108" s="2027">
        <f t="shared" si="61"/>
        <v>735.07500000000005</v>
      </c>
      <c r="AR108" s="2027">
        <f t="shared" si="59"/>
        <v>735.07500000000005</v>
      </c>
      <c r="AS108" s="2029"/>
      <c r="AT108" s="2029">
        <f t="shared" si="65"/>
        <v>0</v>
      </c>
      <c r="AU108" s="2029">
        <f t="shared" si="65"/>
        <v>0</v>
      </c>
      <c r="AV108" s="2029">
        <f t="shared" si="65"/>
        <v>0</v>
      </c>
      <c r="AW108" s="2029">
        <v>3000</v>
      </c>
      <c r="AX108" s="2029">
        <f t="shared" si="66"/>
        <v>3000</v>
      </c>
      <c r="AY108" s="2029">
        <f t="shared" si="66"/>
        <v>3000</v>
      </c>
      <c r="AZ108" s="2029">
        <f t="shared" si="66"/>
        <v>3000</v>
      </c>
      <c r="BA108" s="2029">
        <v>5900</v>
      </c>
      <c r="BB108" s="2029">
        <f t="shared" si="67"/>
        <v>5900</v>
      </c>
      <c r="BC108" s="2029">
        <f t="shared" si="67"/>
        <v>5900</v>
      </c>
      <c r="BD108" s="2029">
        <f t="shared" si="67"/>
        <v>5900</v>
      </c>
      <c r="BE108" s="2030">
        <f t="shared" si="46"/>
        <v>0</v>
      </c>
      <c r="BF108" s="2030">
        <f t="shared" si="46"/>
        <v>0</v>
      </c>
      <c r="BG108" s="2030">
        <f t="shared" si="46"/>
        <v>0</v>
      </c>
      <c r="BH108" s="2030">
        <f t="shared" si="46"/>
        <v>0</v>
      </c>
      <c r="BI108" s="2030">
        <f t="shared" si="47"/>
        <v>3000</v>
      </c>
      <c r="BJ108" s="2030">
        <f t="shared" si="47"/>
        <v>3000</v>
      </c>
      <c r="BK108" s="2030">
        <f t="shared" si="47"/>
        <v>3000</v>
      </c>
      <c r="BL108" s="2030">
        <f t="shared" si="40"/>
        <v>3000</v>
      </c>
      <c r="BM108" s="2031"/>
      <c r="BN108" s="2031"/>
      <c r="BO108" s="2031"/>
      <c r="BP108" s="2031"/>
      <c r="BQ108" s="2031"/>
      <c r="BR108" s="2031"/>
      <c r="BS108" s="2031"/>
      <c r="BT108" s="2031"/>
      <c r="BU108" s="2029"/>
      <c r="BV108" s="2029"/>
      <c r="BW108" s="2029"/>
      <c r="BX108" s="2029"/>
      <c r="BY108" s="2029"/>
      <c r="BZ108" s="2032"/>
      <c r="CA108" s="1974"/>
      <c r="CB108" s="1974"/>
      <c r="CC108" s="1974"/>
      <c r="CD108" s="1974"/>
      <c r="CE108" s="1974">
        <v>0</v>
      </c>
      <c r="CF108" s="2033">
        <v>0</v>
      </c>
      <c r="CG108" s="2026">
        <v>2.7424209692659084E-4</v>
      </c>
      <c r="CH108" s="2009">
        <v>0</v>
      </c>
      <c r="CI108" s="2029">
        <v>0</v>
      </c>
      <c r="CK108" s="2029">
        <f t="shared" si="48"/>
        <v>0</v>
      </c>
      <c r="CL108" s="2034">
        <v>1</v>
      </c>
      <c r="CM108" s="2034">
        <v>1</v>
      </c>
      <c r="CN108" s="2034">
        <v>1</v>
      </c>
      <c r="CO108" s="2034">
        <v>1</v>
      </c>
      <c r="CP108" s="2035"/>
      <c r="CQ108" s="2036"/>
      <c r="CR108" s="2036"/>
      <c r="CS108" s="2036"/>
      <c r="CT108" s="2036"/>
      <c r="CU108" s="2036"/>
      <c r="CW108" s="1973">
        <v>0</v>
      </c>
      <c r="CX108" s="2037">
        <v>3000</v>
      </c>
      <c r="CY108" s="2037">
        <v>3000</v>
      </c>
      <c r="CZ108" s="2037">
        <v>3000</v>
      </c>
      <c r="DA108" s="2037">
        <v>3000</v>
      </c>
      <c r="DK108" s="1973">
        <v>0</v>
      </c>
      <c r="DL108" s="1973">
        <v>0</v>
      </c>
      <c r="DM108" s="1973">
        <v>0</v>
      </c>
      <c r="DO108" s="2023">
        <v>10</v>
      </c>
      <c r="DP108" s="2024">
        <v>0</v>
      </c>
      <c r="DQ108" s="2024">
        <v>0</v>
      </c>
      <c r="DR108" s="2023">
        <v>1089</v>
      </c>
      <c r="DS108" s="2029"/>
      <c r="DT108" s="2029">
        <v>0</v>
      </c>
      <c r="DU108" s="2029">
        <v>0</v>
      </c>
      <c r="DV108" s="2029">
        <v>0</v>
      </c>
      <c r="DW108" s="2029">
        <v>3000</v>
      </c>
      <c r="DX108" s="2029">
        <v>3000</v>
      </c>
      <c r="DY108" s="2029">
        <v>3000</v>
      </c>
      <c r="DZ108" s="2029">
        <v>3000</v>
      </c>
      <c r="EA108" s="2029">
        <v>5900</v>
      </c>
      <c r="EB108" s="2029">
        <v>5900</v>
      </c>
      <c r="EC108" s="2029">
        <v>5900</v>
      </c>
      <c r="ED108" s="2029">
        <v>5900</v>
      </c>
      <c r="EE108" s="2039">
        <f t="shared" si="49"/>
        <v>0</v>
      </c>
      <c r="EF108" s="2039">
        <f t="shared" si="49"/>
        <v>0</v>
      </c>
      <c r="EG108" s="2039">
        <f t="shared" si="49"/>
        <v>0</v>
      </c>
      <c r="EH108" s="2039">
        <f t="shared" si="49"/>
        <v>0</v>
      </c>
      <c r="EI108" s="2040">
        <f t="shared" si="38"/>
        <v>0</v>
      </c>
      <c r="EJ108" s="2040">
        <f t="shared" si="38"/>
        <v>0</v>
      </c>
      <c r="EK108" s="2040">
        <f t="shared" si="38"/>
        <v>0</v>
      </c>
      <c r="EL108" s="2040">
        <f t="shared" si="38"/>
        <v>0</v>
      </c>
      <c r="EM108" s="2040">
        <f t="shared" si="38"/>
        <v>0</v>
      </c>
      <c r="EN108" s="2040">
        <f t="shared" si="38"/>
        <v>0</v>
      </c>
      <c r="EO108" s="2040">
        <f t="shared" si="57"/>
        <v>0</v>
      </c>
      <c r="EP108" s="2040">
        <f t="shared" si="57"/>
        <v>0</v>
      </c>
      <c r="EQ108" s="2040">
        <f t="shared" si="57"/>
        <v>0</v>
      </c>
      <c r="ER108" s="2040">
        <f t="shared" si="57"/>
        <v>0</v>
      </c>
      <c r="ES108" s="2040">
        <f t="shared" si="57"/>
        <v>0</v>
      </c>
      <c r="ET108" s="2040">
        <f t="shared" si="57"/>
        <v>0</v>
      </c>
      <c r="EU108" s="2039">
        <f t="shared" si="50"/>
        <v>0</v>
      </c>
      <c r="EV108" s="2039">
        <f t="shared" si="51"/>
        <v>0</v>
      </c>
    </row>
    <row r="109" spans="1:152" x14ac:dyDescent="0.25">
      <c r="A109" s="2041" t="s">
        <v>150</v>
      </c>
      <c r="B109" s="2022"/>
      <c r="C109" s="2023">
        <v>12</v>
      </c>
      <c r="D109" s="2024">
        <v>0</v>
      </c>
      <c r="E109" s="2024">
        <v>0</v>
      </c>
      <c r="F109" s="2023">
        <v>239</v>
      </c>
      <c r="G109" s="2026" t="s">
        <v>2899</v>
      </c>
      <c r="H109" s="2026" t="s">
        <v>2899</v>
      </c>
      <c r="I109" s="2026">
        <v>0.84899999999999998</v>
      </c>
      <c r="J109" s="2026">
        <v>0.84899999999999998</v>
      </c>
      <c r="K109" s="2026">
        <v>0.84899999999999998</v>
      </c>
      <c r="L109" s="2026">
        <v>0.84899999999999998</v>
      </c>
      <c r="M109" s="2027">
        <f t="shared" si="41"/>
        <v>0</v>
      </c>
      <c r="N109" s="2027">
        <f t="shared" si="41"/>
        <v>0</v>
      </c>
      <c r="O109" s="2027">
        <f t="shared" si="41"/>
        <v>0</v>
      </c>
      <c r="P109" s="2027">
        <f t="shared" si="41"/>
        <v>0</v>
      </c>
      <c r="Q109" s="2026">
        <v>0.84899999999999998</v>
      </c>
      <c r="R109" s="2026">
        <v>0.84899999999999998</v>
      </c>
      <c r="S109" s="2026">
        <v>0.84899999999999998</v>
      </c>
      <c r="T109" s="2026">
        <v>0.84899999999999998</v>
      </c>
      <c r="U109" s="2028">
        <f t="shared" si="42"/>
        <v>0</v>
      </c>
      <c r="V109" s="2028">
        <f t="shared" si="42"/>
        <v>0</v>
      </c>
      <c r="W109" s="2028">
        <f t="shared" si="42"/>
        <v>0</v>
      </c>
      <c r="X109" s="2028">
        <f t="shared" si="42"/>
        <v>0</v>
      </c>
      <c r="Y109" s="2026">
        <v>0.67500000000000004</v>
      </c>
      <c r="Z109" s="2026">
        <v>0.67500000000000004</v>
      </c>
      <c r="AA109" s="2026">
        <v>0.67500000000000004</v>
      </c>
      <c r="AB109" s="2026">
        <v>0.67500000000000004</v>
      </c>
      <c r="AC109" s="2027">
        <f t="shared" si="62"/>
        <v>161.32500000000002</v>
      </c>
      <c r="AD109" s="2027">
        <f t="shared" si="62"/>
        <v>161.32500000000002</v>
      </c>
      <c r="AE109" s="2027">
        <f t="shared" si="62"/>
        <v>161.32500000000002</v>
      </c>
      <c r="AF109" s="2027">
        <f t="shared" si="62"/>
        <v>161.32500000000002</v>
      </c>
      <c r="AG109" s="2027">
        <v>1</v>
      </c>
      <c r="AH109" s="2027">
        <v>1</v>
      </c>
      <c r="AI109" s="2027">
        <v>1</v>
      </c>
      <c r="AJ109" s="2027">
        <v>1</v>
      </c>
      <c r="AK109" s="2027">
        <f t="shared" si="63"/>
        <v>0</v>
      </c>
      <c r="AL109" s="2027">
        <f t="shared" si="60"/>
        <v>0</v>
      </c>
      <c r="AM109" s="2027">
        <f t="shared" si="60"/>
        <v>0</v>
      </c>
      <c r="AN109" s="2027">
        <f t="shared" si="58"/>
        <v>0</v>
      </c>
      <c r="AO109" s="2027">
        <f t="shared" si="64"/>
        <v>161.32500000000002</v>
      </c>
      <c r="AP109" s="2027">
        <f t="shared" si="61"/>
        <v>161.32500000000002</v>
      </c>
      <c r="AQ109" s="2027">
        <f t="shared" si="61"/>
        <v>161.32500000000002</v>
      </c>
      <c r="AR109" s="2027">
        <f t="shared" si="59"/>
        <v>161.32500000000002</v>
      </c>
      <c r="AS109" s="2029"/>
      <c r="AT109" s="2029">
        <f t="shared" si="65"/>
        <v>0</v>
      </c>
      <c r="AU109" s="2029">
        <f t="shared" si="65"/>
        <v>0</v>
      </c>
      <c r="AV109" s="2029">
        <f t="shared" si="65"/>
        <v>0</v>
      </c>
      <c r="AW109" s="2029">
        <v>750</v>
      </c>
      <c r="AX109" s="2029">
        <f t="shared" si="66"/>
        <v>750</v>
      </c>
      <c r="AY109" s="2029">
        <f t="shared" si="66"/>
        <v>750</v>
      </c>
      <c r="AZ109" s="2029">
        <f t="shared" si="66"/>
        <v>750</v>
      </c>
      <c r="BA109" s="2029">
        <v>1000</v>
      </c>
      <c r="BB109" s="2029">
        <f t="shared" si="67"/>
        <v>1000</v>
      </c>
      <c r="BC109" s="2029">
        <f t="shared" si="67"/>
        <v>1000</v>
      </c>
      <c r="BD109" s="2029">
        <f t="shared" si="67"/>
        <v>1000</v>
      </c>
      <c r="BE109" s="2030">
        <f t="shared" si="46"/>
        <v>0</v>
      </c>
      <c r="BF109" s="2030">
        <f t="shared" si="46"/>
        <v>0</v>
      </c>
      <c r="BG109" s="2030">
        <f t="shared" si="46"/>
        <v>0</v>
      </c>
      <c r="BH109" s="2030">
        <f t="shared" si="46"/>
        <v>0</v>
      </c>
      <c r="BI109" s="2030">
        <f t="shared" si="47"/>
        <v>750</v>
      </c>
      <c r="BJ109" s="2030">
        <f t="shared" si="47"/>
        <v>750</v>
      </c>
      <c r="BK109" s="2030">
        <f t="shared" si="47"/>
        <v>750</v>
      </c>
      <c r="BL109" s="2030">
        <f t="shared" si="40"/>
        <v>750</v>
      </c>
      <c r="BM109" s="2031"/>
      <c r="BN109" s="2031"/>
      <c r="BO109" s="2031"/>
      <c r="BP109" s="2031"/>
      <c r="BQ109" s="2031"/>
      <c r="BR109" s="2031"/>
      <c r="BS109" s="2031"/>
      <c r="BT109" s="2031"/>
      <c r="BU109" s="2029"/>
      <c r="BV109" s="2029"/>
      <c r="BW109" s="2029"/>
      <c r="BX109" s="2029"/>
      <c r="BY109" s="2029"/>
      <c r="BZ109" s="2032"/>
      <c r="CA109" s="1974"/>
      <c r="CB109" s="1974"/>
      <c r="CC109" s="1974"/>
      <c r="CD109" s="1974"/>
      <c r="CE109" s="1974">
        <v>0</v>
      </c>
      <c r="CF109" s="2033">
        <v>0</v>
      </c>
      <c r="CG109" s="2026">
        <v>6.0187200335587893E-5</v>
      </c>
      <c r="CH109" s="2009">
        <v>0</v>
      </c>
      <c r="CI109" s="2029">
        <v>0</v>
      </c>
      <c r="CK109" s="2029">
        <f t="shared" si="48"/>
        <v>0</v>
      </c>
      <c r="CL109" s="2034">
        <v>1</v>
      </c>
      <c r="CM109" s="2034">
        <v>1</v>
      </c>
      <c r="CN109" s="2034">
        <v>1</v>
      </c>
      <c r="CO109" s="2034">
        <v>1</v>
      </c>
      <c r="CP109" s="2035"/>
      <c r="CQ109" s="2036"/>
      <c r="CR109" s="2036"/>
      <c r="CS109" s="2036"/>
      <c r="CT109" s="2036"/>
      <c r="CU109" s="2036"/>
      <c r="CW109" s="1973">
        <v>0</v>
      </c>
      <c r="CX109" s="2037">
        <v>750</v>
      </c>
      <c r="CY109" s="2037">
        <v>750</v>
      </c>
      <c r="CZ109" s="2037">
        <v>750</v>
      </c>
      <c r="DA109" s="2037">
        <v>750</v>
      </c>
      <c r="DK109" s="1973">
        <v>0</v>
      </c>
      <c r="DL109" s="1973">
        <v>0</v>
      </c>
      <c r="DM109" s="1973">
        <v>0</v>
      </c>
      <c r="DO109" s="2023">
        <v>12</v>
      </c>
      <c r="DP109" s="2024">
        <v>0</v>
      </c>
      <c r="DQ109" s="2024">
        <v>0</v>
      </c>
      <c r="DR109" s="2023">
        <v>239</v>
      </c>
      <c r="DS109" s="2029"/>
      <c r="DT109" s="2029">
        <v>0</v>
      </c>
      <c r="DU109" s="2029">
        <v>0</v>
      </c>
      <c r="DV109" s="2029">
        <v>0</v>
      </c>
      <c r="DW109" s="2029">
        <v>750</v>
      </c>
      <c r="DX109" s="2029">
        <v>750</v>
      </c>
      <c r="DY109" s="2029">
        <v>750</v>
      </c>
      <c r="DZ109" s="2029">
        <v>750</v>
      </c>
      <c r="EA109" s="2029">
        <v>1000</v>
      </c>
      <c r="EB109" s="2029">
        <v>1000</v>
      </c>
      <c r="EC109" s="2029">
        <v>1000</v>
      </c>
      <c r="ED109" s="2029">
        <v>1000</v>
      </c>
      <c r="EE109" s="2039">
        <f t="shared" si="49"/>
        <v>0</v>
      </c>
      <c r="EF109" s="2039">
        <f t="shared" si="49"/>
        <v>0</v>
      </c>
      <c r="EG109" s="2039">
        <f t="shared" si="49"/>
        <v>0</v>
      </c>
      <c r="EH109" s="2039">
        <f t="shared" si="49"/>
        <v>0</v>
      </c>
      <c r="EI109" s="2040">
        <f t="shared" si="38"/>
        <v>0</v>
      </c>
      <c r="EJ109" s="2040">
        <f t="shared" si="38"/>
        <v>0</v>
      </c>
      <c r="EK109" s="2040">
        <f t="shared" si="38"/>
        <v>0</v>
      </c>
      <c r="EL109" s="2040">
        <f t="shared" si="38"/>
        <v>0</v>
      </c>
      <c r="EM109" s="2040">
        <f t="shared" si="38"/>
        <v>0</v>
      </c>
      <c r="EN109" s="2040">
        <f t="shared" si="38"/>
        <v>0</v>
      </c>
      <c r="EO109" s="2040">
        <f t="shared" si="57"/>
        <v>0</v>
      </c>
      <c r="EP109" s="2040">
        <f t="shared" si="57"/>
        <v>0</v>
      </c>
      <c r="EQ109" s="2040">
        <f t="shared" si="57"/>
        <v>0</v>
      </c>
      <c r="ER109" s="2040">
        <f t="shared" si="57"/>
        <v>0</v>
      </c>
      <c r="ES109" s="2040">
        <f t="shared" si="57"/>
        <v>0</v>
      </c>
      <c r="ET109" s="2040">
        <f t="shared" si="57"/>
        <v>0</v>
      </c>
      <c r="EU109" s="2039">
        <f t="shared" si="50"/>
        <v>0</v>
      </c>
      <c r="EV109" s="2039">
        <f t="shared" si="51"/>
        <v>0</v>
      </c>
    </row>
    <row r="110" spans="1:152" x14ac:dyDescent="0.25">
      <c r="A110" s="2041" t="s">
        <v>151</v>
      </c>
      <c r="B110" s="2022"/>
      <c r="C110" s="2023">
        <v>12</v>
      </c>
      <c r="D110" s="2024">
        <v>0</v>
      </c>
      <c r="E110" s="2024">
        <v>0</v>
      </c>
      <c r="F110" s="2023">
        <v>661</v>
      </c>
      <c r="G110" s="2026" t="s">
        <v>2899</v>
      </c>
      <c r="H110" s="2026" t="s">
        <v>2899</v>
      </c>
      <c r="I110" s="2026">
        <v>0.84899999999999998</v>
      </c>
      <c r="J110" s="2026">
        <v>0.84899999999999998</v>
      </c>
      <c r="K110" s="2026">
        <v>0.84899999999999998</v>
      </c>
      <c r="L110" s="2026">
        <v>0.84899999999999998</v>
      </c>
      <c r="M110" s="2027">
        <f t="shared" si="41"/>
        <v>0</v>
      </c>
      <c r="N110" s="2027">
        <f t="shared" si="41"/>
        <v>0</v>
      </c>
      <c r="O110" s="2027">
        <f t="shared" si="41"/>
        <v>0</v>
      </c>
      <c r="P110" s="2027">
        <f t="shared" si="41"/>
        <v>0</v>
      </c>
      <c r="Q110" s="2026">
        <v>0.84899999999999998</v>
      </c>
      <c r="R110" s="2026">
        <v>0.84899999999999998</v>
      </c>
      <c r="S110" s="2026">
        <v>0.84899999999999998</v>
      </c>
      <c r="T110" s="2026">
        <v>0.84899999999999998</v>
      </c>
      <c r="U110" s="2028">
        <f t="shared" si="42"/>
        <v>0</v>
      </c>
      <c r="V110" s="2028">
        <f t="shared" si="42"/>
        <v>0</v>
      </c>
      <c r="W110" s="2028">
        <f t="shared" si="42"/>
        <v>0</v>
      </c>
      <c r="X110" s="2028">
        <f t="shared" si="42"/>
        <v>0</v>
      </c>
      <c r="Y110" s="2026">
        <v>0.67500000000000004</v>
      </c>
      <c r="Z110" s="2026">
        <v>0.67500000000000004</v>
      </c>
      <c r="AA110" s="2026">
        <v>0.67500000000000004</v>
      </c>
      <c r="AB110" s="2026">
        <v>0.67500000000000004</v>
      </c>
      <c r="AC110" s="2027">
        <f t="shared" si="62"/>
        <v>446.17500000000001</v>
      </c>
      <c r="AD110" s="2027">
        <f t="shared" si="62"/>
        <v>446.17500000000001</v>
      </c>
      <c r="AE110" s="2027">
        <f t="shared" si="62"/>
        <v>446.17500000000001</v>
      </c>
      <c r="AF110" s="2027">
        <f t="shared" si="62"/>
        <v>446.17500000000001</v>
      </c>
      <c r="AG110" s="2027">
        <v>1</v>
      </c>
      <c r="AH110" s="2027">
        <v>1</v>
      </c>
      <c r="AI110" s="2027">
        <v>1</v>
      </c>
      <c r="AJ110" s="2027">
        <v>1</v>
      </c>
      <c r="AK110" s="2027">
        <f t="shared" si="63"/>
        <v>0</v>
      </c>
      <c r="AL110" s="2027">
        <f t="shared" si="60"/>
        <v>0</v>
      </c>
      <c r="AM110" s="2027">
        <f t="shared" si="60"/>
        <v>0</v>
      </c>
      <c r="AN110" s="2027">
        <f t="shared" si="58"/>
        <v>0</v>
      </c>
      <c r="AO110" s="2027">
        <f t="shared" si="64"/>
        <v>446.17500000000001</v>
      </c>
      <c r="AP110" s="2027">
        <f t="shared" si="61"/>
        <v>446.17500000000001</v>
      </c>
      <c r="AQ110" s="2027">
        <f t="shared" si="61"/>
        <v>446.17500000000001</v>
      </c>
      <c r="AR110" s="2027">
        <f t="shared" si="59"/>
        <v>446.17500000000001</v>
      </c>
      <c r="AS110" s="2029"/>
      <c r="AT110" s="2029">
        <f t="shared" si="65"/>
        <v>0</v>
      </c>
      <c r="AU110" s="2029">
        <f t="shared" si="65"/>
        <v>0</v>
      </c>
      <c r="AV110" s="2029">
        <f t="shared" si="65"/>
        <v>0</v>
      </c>
      <c r="AW110" s="2029">
        <v>1500</v>
      </c>
      <c r="AX110" s="2029">
        <f t="shared" si="66"/>
        <v>1500</v>
      </c>
      <c r="AY110" s="2029">
        <f t="shared" si="66"/>
        <v>1500</v>
      </c>
      <c r="AZ110" s="2029">
        <f t="shared" si="66"/>
        <v>1500</v>
      </c>
      <c r="BA110" s="2029">
        <v>2200</v>
      </c>
      <c r="BB110" s="2029">
        <f t="shared" si="67"/>
        <v>2200</v>
      </c>
      <c r="BC110" s="2029">
        <f t="shared" si="67"/>
        <v>2200</v>
      </c>
      <c r="BD110" s="2029">
        <f t="shared" si="67"/>
        <v>2200</v>
      </c>
      <c r="BE110" s="2030">
        <f t="shared" si="46"/>
        <v>0</v>
      </c>
      <c r="BF110" s="2030">
        <f t="shared" si="46"/>
        <v>0</v>
      </c>
      <c r="BG110" s="2030">
        <f t="shared" si="46"/>
        <v>0</v>
      </c>
      <c r="BH110" s="2030">
        <f t="shared" si="46"/>
        <v>0</v>
      </c>
      <c r="BI110" s="2030">
        <f t="shared" si="47"/>
        <v>1500</v>
      </c>
      <c r="BJ110" s="2030">
        <f t="shared" si="47"/>
        <v>1500</v>
      </c>
      <c r="BK110" s="2030">
        <f t="shared" si="47"/>
        <v>1500</v>
      </c>
      <c r="BL110" s="2030">
        <f t="shared" si="40"/>
        <v>1500</v>
      </c>
      <c r="BM110" s="2031"/>
      <c r="BN110" s="2031"/>
      <c r="BO110" s="2031"/>
      <c r="BP110" s="2031"/>
      <c r="BQ110" s="2031"/>
      <c r="BR110" s="2031"/>
      <c r="BS110" s="2031"/>
      <c r="BT110" s="2031"/>
      <c r="BU110" s="2029"/>
      <c r="BV110" s="2029"/>
      <c r="BW110" s="2029"/>
      <c r="BX110" s="2029"/>
      <c r="BY110" s="2029"/>
      <c r="BZ110" s="2032"/>
      <c r="CA110" s="1974"/>
      <c r="CB110" s="1974"/>
      <c r="CC110" s="1974"/>
      <c r="CD110" s="1974"/>
      <c r="CE110" s="1974">
        <v>0</v>
      </c>
      <c r="CF110" s="2033">
        <v>0</v>
      </c>
      <c r="CG110" s="2026">
        <v>1.6645916076076818E-4</v>
      </c>
      <c r="CH110" s="2009">
        <v>0</v>
      </c>
      <c r="CI110" s="2029">
        <v>0</v>
      </c>
      <c r="CK110" s="2029">
        <f t="shared" si="48"/>
        <v>0</v>
      </c>
      <c r="CL110" s="2034">
        <v>1</v>
      </c>
      <c r="CM110" s="2034">
        <v>1</v>
      </c>
      <c r="CN110" s="2034">
        <v>1</v>
      </c>
      <c r="CO110" s="2034">
        <v>1</v>
      </c>
      <c r="CP110" s="2035"/>
      <c r="CQ110" s="2036"/>
      <c r="CR110" s="2036"/>
      <c r="CS110" s="2036"/>
      <c r="CT110" s="2036"/>
      <c r="CU110" s="2036"/>
      <c r="CW110" s="1973">
        <v>0</v>
      </c>
      <c r="CX110" s="2037">
        <v>1500</v>
      </c>
      <c r="CY110" s="2037">
        <v>1500</v>
      </c>
      <c r="CZ110" s="2037">
        <v>1500</v>
      </c>
      <c r="DA110" s="2037">
        <v>1500</v>
      </c>
      <c r="DK110" s="1973">
        <v>0</v>
      </c>
      <c r="DL110" s="1973">
        <v>0</v>
      </c>
      <c r="DM110" s="1973">
        <v>0</v>
      </c>
      <c r="DO110" s="2023">
        <v>12</v>
      </c>
      <c r="DP110" s="2024">
        <v>0</v>
      </c>
      <c r="DQ110" s="2024">
        <v>0</v>
      </c>
      <c r="DR110" s="2023">
        <v>661</v>
      </c>
      <c r="DS110" s="2029"/>
      <c r="DT110" s="2029">
        <v>0</v>
      </c>
      <c r="DU110" s="2029">
        <v>0</v>
      </c>
      <c r="DV110" s="2029">
        <v>0</v>
      </c>
      <c r="DW110" s="2029">
        <v>1500</v>
      </c>
      <c r="DX110" s="2029">
        <v>1500</v>
      </c>
      <c r="DY110" s="2029">
        <v>1500</v>
      </c>
      <c r="DZ110" s="2029">
        <v>1500</v>
      </c>
      <c r="EA110" s="2029">
        <v>2200</v>
      </c>
      <c r="EB110" s="2029">
        <v>2200</v>
      </c>
      <c r="EC110" s="2029">
        <v>2200</v>
      </c>
      <c r="ED110" s="2029">
        <v>2200</v>
      </c>
      <c r="EE110" s="2039">
        <f t="shared" si="49"/>
        <v>0</v>
      </c>
      <c r="EF110" s="2039">
        <f t="shared" si="49"/>
        <v>0</v>
      </c>
      <c r="EG110" s="2039">
        <f t="shared" si="49"/>
        <v>0</v>
      </c>
      <c r="EH110" s="2039">
        <f t="shared" si="49"/>
        <v>0</v>
      </c>
      <c r="EI110" s="2040">
        <f t="shared" si="38"/>
        <v>0</v>
      </c>
      <c r="EJ110" s="2040">
        <f t="shared" si="38"/>
        <v>0</v>
      </c>
      <c r="EK110" s="2040">
        <f t="shared" si="38"/>
        <v>0</v>
      </c>
      <c r="EL110" s="2040">
        <f t="shared" si="38"/>
        <v>0</v>
      </c>
      <c r="EM110" s="2040">
        <f t="shared" si="38"/>
        <v>0</v>
      </c>
      <c r="EN110" s="2040">
        <f t="shared" si="38"/>
        <v>0</v>
      </c>
      <c r="EO110" s="2040">
        <f t="shared" si="57"/>
        <v>0</v>
      </c>
      <c r="EP110" s="2040">
        <f t="shared" si="57"/>
        <v>0</v>
      </c>
      <c r="EQ110" s="2040">
        <f t="shared" si="57"/>
        <v>0</v>
      </c>
      <c r="ER110" s="2040">
        <f t="shared" si="57"/>
        <v>0</v>
      </c>
      <c r="ES110" s="2040">
        <f t="shared" si="57"/>
        <v>0</v>
      </c>
      <c r="ET110" s="2040">
        <f t="shared" si="57"/>
        <v>0</v>
      </c>
      <c r="EU110" s="2039">
        <f t="shared" si="50"/>
        <v>0</v>
      </c>
      <c r="EV110" s="2039">
        <f t="shared" si="51"/>
        <v>0</v>
      </c>
    </row>
    <row r="111" spans="1:152" x14ac:dyDescent="0.25">
      <c r="A111" s="2041" t="s">
        <v>152</v>
      </c>
      <c r="B111" s="2022"/>
      <c r="C111" s="2023">
        <v>12</v>
      </c>
      <c r="D111" s="2024">
        <v>0</v>
      </c>
      <c r="E111" s="2024">
        <v>0</v>
      </c>
      <c r="F111" s="2023">
        <v>554</v>
      </c>
      <c r="G111" s="2026" t="s">
        <v>2899</v>
      </c>
      <c r="H111" s="2026" t="s">
        <v>2899</v>
      </c>
      <c r="I111" s="2026">
        <v>0.84899999999999998</v>
      </c>
      <c r="J111" s="2026">
        <v>0.84899999999999998</v>
      </c>
      <c r="K111" s="2026">
        <v>0.84899999999999998</v>
      </c>
      <c r="L111" s="2026">
        <v>0.84899999999999998</v>
      </c>
      <c r="M111" s="2027">
        <f t="shared" si="41"/>
        <v>0</v>
      </c>
      <c r="N111" s="2027">
        <f t="shared" si="41"/>
        <v>0</v>
      </c>
      <c r="O111" s="2027">
        <f t="shared" si="41"/>
        <v>0</v>
      </c>
      <c r="P111" s="2027">
        <f t="shared" si="41"/>
        <v>0</v>
      </c>
      <c r="Q111" s="2026">
        <v>0.84899999999999998</v>
      </c>
      <c r="R111" s="2026">
        <v>0.84899999999999998</v>
      </c>
      <c r="S111" s="2026">
        <v>0.84899999999999998</v>
      </c>
      <c r="T111" s="2026">
        <v>0.84899999999999998</v>
      </c>
      <c r="U111" s="2028">
        <f t="shared" si="42"/>
        <v>0</v>
      </c>
      <c r="V111" s="2028">
        <f t="shared" si="42"/>
        <v>0</v>
      </c>
      <c r="W111" s="2028">
        <f t="shared" si="42"/>
        <v>0</v>
      </c>
      <c r="X111" s="2028">
        <f t="shared" si="42"/>
        <v>0</v>
      </c>
      <c r="Y111" s="2026">
        <v>0.67500000000000004</v>
      </c>
      <c r="Z111" s="2026">
        <v>0.67500000000000004</v>
      </c>
      <c r="AA111" s="2026">
        <v>0.67500000000000004</v>
      </c>
      <c r="AB111" s="2026">
        <v>0.67500000000000004</v>
      </c>
      <c r="AC111" s="2027">
        <f t="shared" si="62"/>
        <v>373.95000000000005</v>
      </c>
      <c r="AD111" s="2027">
        <f t="shared" si="62"/>
        <v>373.95000000000005</v>
      </c>
      <c r="AE111" s="2027">
        <f t="shared" si="62"/>
        <v>373.95000000000005</v>
      </c>
      <c r="AF111" s="2027">
        <f t="shared" si="62"/>
        <v>373.95000000000005</v>
      </c>
      <c r="AG111" s="2027">
        <v>1</v>
      </c>
      <c r="AH111" s="2027">
        <v>1</v>
      </c>
      <c r="AI111" s="2027">
        <v>1</v>
      </c>
      <c r="AJ111" s="2027">
        <v>1</v>
      </c>
      <c r="AK111" s="2027">
        <f t="shared" si="63"/>
        <v>0</v>
      </c>
      <c r="AL111" s="2027">
        <f t="shared" si="60"/>
        <v>0</v>
      </c>
      <c r="AM111" s="2027">
        <f t="shared" si="60"/>
        <v>0</v>
      </c>
      <c r="AN111" s="2027">
        <f t="shared" si="58"/>
        <v>0</v>
      </c>
      <c r="AO111" s="2027">
        <f t="shared" si="64"/>
        <v>373.95000000000005</v>
      </c>
      <c r="AP111" s="2027">
        <f t="shared" si="61"/>
        <v>373.95000000000005</v>
      </c>
      <c r="AQ111" s="2027">
        <f t="shared" si="61"/>
        <v>373.95000000000005</v>
      </c>
      <c r="AR111" s="2027">
        <f t="shared" si="59"/>
        <v>373.95000000000005</v>
      </c>
      <c r="AS111" s="2029"/>
      <c r="AT111" s="2029">
        <f t="shared" si="65"/>
        <v>0</v>
      </c>
      <c r="AU111" s="2029">
        <f t="shared" si="65"/>
        <v>0</v>
      </c>
      <c r="AV111" s="2029">
        <f t="shared" si="65"/>
        <v>0</v>
      </c>
      <c r="AW111" s="2029">
        <v>2000</v>
      </c>
      <c r="AX111" s="2029">
        <f t="shared" si="66"/>
        <v>2000</v>
      </c>
      <c r="AY111" s="2029">
        <f t="shared" si="66"/>
        <v>2000</v>
      </c>
      <c r="AZ111" s="2029">
        <f t="shared" si="66"/>
        <v>2000</v>
      </c>
      <c r="BA111" s="2029">
        <v>2700</v>
      </c>
      <c r="BB111" s="2029">
        <f t="shared" si="67"/>
        <v>2700</v>
      </c>
      <c r="BC111" s="2029">
        <f t="shared" si="67"/>
        <v>2700</v>
      </c>
      <c r="BD111" s="2029">
        <f t="shared" si="67"/>
        <v>2700</v>
      </c>
      <c r="BE111" s="2030">
        <f t="shared" si="46"/>
        <v>0</v>
      </c>
      <c r="BF111" s="2030">
        <f t="shared" si="46"/>
        <v>0</v>
      </c>
      <c r="BG111" s="2030">
        <f t="shared" si="46"/>
        <v>0</v>
      </c>
      <c r="BH111" s="2030">
        <f t="shared" si="46"/>
        <v>0</v>
      </c>
      <c r="BI111" s="2030">
        <f t="shared" si="47"/>
        <v>2000</v>
      </c>
      <c r="BJ111" s="2030">
        <f t="shared" si="47"/>
        <v>2000</v>
      </c>
      <c r="BK111" s="2030">
        <f t="shared" si="47"/>
        <v>2000</v>
      </c>
      <c r="BL111" s="2030">
        <f t="shared" si="40"/>
        <v>2000</v>
      </c>
      <c r="BM111" s="2031"/>
      <c r="BN111" s="2031"/>
      <c r="BO111" s="2031"/>
      <c r="BP111" s="2031"/>
      <c r="BQ111" s="2031"/>
      <c r="BR111" s="2031"/>
      <c r="BS111" s="2031"/>
      <c r="BT111" s="2031"/>
      <c r="BU111" s="2029"/>
      <c r="BV111" s="2029"/>
      <c r="BW111" s="2029"/>
      <c r="BX111" s="2029"/>
      <c r="BY111" s="2029"/>
      <c r="BZ111" s="2032"/>
      <c r="CA111" s="1974"/>
      <c r="CB111" s="1974"/>
      <c r="CC111" s="1974"/>
      <c r="CD111" s="1974"/>
      <c r="CE111" s="1974">
        <v>0</v>
      </c>
      <c r="CF111" s="2033">
        <v>0</v>
      </c>
      <c r="CG111" s="2026">
        <v>1.3951342671931252E-4</v>
      </c>
      <c r="CH111" s="2009">
        <v>0</v>
      </c>
      <c r="CI111" s="2029">
        <v>0</v>
      </c>
      <c r="CK111" s="2029">
        <f t="shared" si="48"/>
        <v>0</v>
      </c>
      <c r="CL111" s="2034">
        <v>1</v>
      </c>
      <c r="CM111" s="2034">
        <v>1</v>
      </c>
      <c r="CN111" s="2034">
        <v>1</v>
      </c>
      <c r="CO111" s="2034">
        <v>1</v>
      </c>
      <c r="CP111" s="2035"/>
      <c r="CQ111" s="2036"/>
      <c r="CR111" s="2036"/>
      <c r="CS111" s="2036"/>
      <c r="CT111" s="2036"/>
      <c r="CU111" s="2036"/>
      <c r="CW111" s="1973">
        <v>0</v>
      </c>
      <c r="CX111" s="2037">
        <v>2000</v>
      </c>
      <c r="CY111" s="2037">
        <v>2000</v>
      </c>
      <c r="CZ111" s="2037">
        <v>2000</v>
      </c>
      <c r="DA111" s="2037">
        <v>2000</v>
      </c>
      <c r="DK111" s="1973">
        <v>0</v>
      </c>
      <c r="DL111" s="1973">
        <v>0</v>
      </c>
      <c r="DM111" s="1973">
        <v>0</v>
      </c>
      <c r="DO111" s="2023">
        <v>12</v>
      </c>
      <c r="DP111" s="2024">
        <v>0</v>
      </c>
      <c r="DQ111" s="2024">
        <v>0</v>
      </c>
      <c r="DR111" s="2023">
        <v>554</v>
      </c>
      <c r="DS111" s="2029"/>
      <c r="DT111" s="2029">
        <v>0</v>
      </c>
      <c r="DU111" s="2029">
        <v>0</v>
      </c>
      <c r="DV111" s="2029">
        <v>0</v>
      </c>
      <c r="DW111" s="2029">
        <v>2000</v>
      </c>
      <c r="DX111" s="2029">
        <v>2000</v>
      </c>
      <c r="DY111" s="2029">
        <v>2000</v>
      </c>
      <c r="DZ111" s="2029">
        <v>2000</v>
      </c>
      <c r="EA111" s="2029">
        <v>2700</v>
      </c>
      <c r="EB111" s="2029">
        <v>2700</v>
      </c>
      <c r="EC111" s="2029">
        <v>2700</v>
      </c>
      <c r="ED111" s="2029">
        <v>2700</v>
      </c>
      <c r="EE111" s="2039">
        <f t="shared" si="49"/>
        <v>0</v>
      </c>
      <c r="EF111" s="2039">
        <f t="shared" si="49"/>
        <v>0</v>
      </c>
      <c r="EG111" s="2039">
        <f t="shared" si="49"/>
        <v>0</v>
      </c>
      <c r="EH111" s="2039">
        <f t="shared" si="49"/>
        <v>0</v>
      </c>
      <c r="EI111" s="2040">
        <f t="shared" si="38"/>
        <v>0</v>
      </c>
      <c r="EJ111" s="2040">
        <f t="shared" si="38"/>
        <v>0</v>
      </c>
      <c r="EK111" s="2040">
        <f t="shared" si="38"/>
        <v>0</v>
      </c>
      <c r="EL111" s="2040">
        <f t="shared" si="38"/>
        <v>0</v>
      </c>
      <c r="EM111" s="2040">
        <f t="shared" si="38"/>
        <v>0</v>
      </c>
      <c r="EN111" s="2040">
        <f t="shared" si="38"/>
        <v>0</v>
      </c>
      <c r="EO111" s="2040">
        <f t="shared" si="57"/>
        <v>0</v>
      </c>
      <c r="EP111" s="2040">
        <f t="shared" si="57"/>
        <v>0</v>
      </c>
      <c r="EQ111" s="2040">
        <f t="shared" si="57"/>
        <v>0</v>
      </c>
      <c r="ER111" s="2040">
        <f t="shared" si="57"/>
        <v>0</v>
      </c>
      <c r="ES111" s="2040">
        <f t="shared" si="57"/>
        <v>0</v>
      </c>
      <c r="ET111" s="2040">
        <f t="shared" si="57"/>
        <v>0</v>
      </c>
      <c r="EU111" s="2039">
        <f t="shared" si="50"/>
        <v>0</v>
      </c>
      <c r="EV111" s="2039">
        <f t="shared" si="51"/>
        <v>0</v>
      </c>
    </row>
    <row r="112" spans="1:152" x14ac:dyDescent="0.25">
      <c r="A112" s="2041" t="s">
        <v>153</v>
      </c>
      <c r="B112" s="2022"/>
      <c r="C112" s="2023">
        <v>12</v>
      </c>
      <c r="D112" s="2024">
        <v>0</v>
      </c>
      <c r="E112" s="2024">
        <v>0</v>
      </c>
      <c r="F112" s="2023">
        <v>1380</v>
      </c>
      <c r="G112" s="2026" t="s">
        <v>2899</v>
      </c>
      <c r="H112" s="2026" t="s">
        <v>2899</v>
      </c>
      <c r="I112" s="2026">
        <v>0.84899999999999998</v>
      </c>
      <c r="J112" s="2026">
        <v>0.84899999999999998</v>
      </c>
      <c r="K112" s="2026">
        <v>0.84899999999999998</v>
      </c>
      <c r="L112" s="2026">
        <v>0.84899999999999998</v>
      </c>
      <c r="M112" s="2027">
        <f t="shared" si="41"/>
        <v>0</v>
      </c>
      <c r="N112" s="2027">
        <f t="shared" si="41"/>
        <v>0</v>
      </c>
      <c r="O112" s="2027">
        <f t="shared" si="41"/>
        <v>0</v>
      </c>
      <c r="P112" s="2027">
        <f t="shared" si="41"/>
        <v>0</v>
      </c>
      <c r="Q112" s="2026">
        <v>0.84899999999999998</v>
      </c>
      <c r="R112" s="2026">
        <v>0.84899999999999998</v>
      </c>
      <c r="S112" s="2026">
        <v>0.84899999999999998</v>
      </c>
      <c r="T112" s="2026">
        <v>0.84899999999999998</v>
      </c>
      <c r="U112" s="2028">
        <f t="shared" si="42"/>
        <v>0</v>
      </c>
      <c r="V112" s="2028">
        <f t="shared" si="42"/>
        <v>0</v>
      </c>
      <c r="W112" s="2028">
        <f t="shared" si="42"/>
        <v>0</v>
      </c>
      <c r="X112" s="2028">
        <f t="shared" si="42"/>
        <v>0</v>
      </c>
      <c r="Y112" s="2026">
        <v>0.67500000000000004</v>
      </c>
      <c r="Z112" s="2026">
        <v>0.67500000000000004</v>
      </c>
      <c r="AA112" s="2026">
        <v>0.67500000000000004</v>
      </c>
      <c r="AB112" s="2026">
        <v>0.67500000000000004</v>
      </c>
      <c r="AC112" s="2027">
        <f t="shared" si="62"/>
        <v>931.50000000000011</v>
      </c>
      <c r="AD112" s="2027">
        <f t="shared" si="62"/>
        <v>931.50000000000011</v>
      </c>
      <c r="AE112" s="2027">
        <f t="shared" si="62"/>
        <v>931.50000000000011</v>
      </c>
      <c r="AF112" s="2027">
        <f t="shared" si="62"/>
        <v>931.50000000000011</v>
      </c>
      <c r="AG112" s="2027">
        <v>1</v>
      </c>
      <c r="AH112" s="2027">
        <v>2</v>
      </c>
      <c r="AI112" s="2027">
        <v>2</v>
      </c>
      <c r="AJ112" s="2027">
        <v>2</v>
      </c>
      <c r="AK112" s="2027">
        <f t="shared" si="63"/>
        <v>0</v>
      </c>
      <c r="AL112" s="2027">
        <f t="shared" si="60"/>
        <v>0</v>
      </c>
      <c r="AM112" s="2027">
        <f t="shared" si="60"/>
        <v>0</v>
      </c>
      <c r="AN112" s="2027">
        <f t="shared" si="58"/>
        <v>0</v>
      </c>
      <c r="AO112" s="2027">
        <f t="shared" si="64"/>
        <v>931.50000000000011</v>
      </c>
      <c r="AP112" s="2027">
        <f t="shared" si="61"/>
        <v>1863.0000000000002</v>
      </c>
      <c r="AQ112" s="2027">
        <f t="shared" si="61"/>
        <v>1863.0000000000002</v>
      </c>
      <c r="AR112" s="2027">
        <f t="shared" si="59"/>
        <v>1863.0000000000002</v>
      </c>
      <c r="AS112" s="2029"/>
      <c r="AT112" s="2029">
        <f t="shared" si="65"/>
        <v>0</v>
      </c>
      <c r="AU112" s="2029">
        <f t="shared" si="65"/>
        <v>0</v>
      </c>
      <c r="AV112" s="2029">
        <f t="shared" si="65"/>
        <v>0</v>
      </c>
      <c r="AW112" s="2029">
        <v>1000</v>
      </c>
      <c r="AX112" s="2029">
        <f t="shared" si="66"/>
        <v>1000</v>
      </c>
      <c r="AY112" s="2029">
        <f t="shared" si="66"/>
        <v>1000</v>
      </c>
      <c r="AZ112" s="2029">
        <f t="shared" si="66"/>
        <v>1000</v>
      </c>
      <c r="BA112" s="2029">
        <v>2400</v>
      </c>
      <c r="BB112" s="2029">
        <f t="shared" si="67"/>
        <v>2400</v>
      </c>
      <c r="BC112" s="2029">
        <f t="shared" si="67"/>
        <v>2400</v>
      </c>
      <c r="BD112" s="2029">
        <f t="shared" si="67"/>
        <v>2400</v>
      </c>
      <c r="BE112" s="2030">
        <f t="shared" si="46"/>
        <v>0</v>
      </c>
      <c r="BF112" s="2030">
        <f t="shared" si="46"/>
        <v>0</v>
      </c>
      <c r="BG112" s="2030">
        <f t="shared" si="46"/>
        <v>0</v>
      </c>
      <c r="BH112" s="2030">
        <f t="shared" si="46"/>
        <v>0</v>
      </c>
      <c r="BI112" s="2030">
        <f t="shared" si="47"/>
        <v>1000</v>
      </c>
      <c r="BJ112" s="2030">
        <f t="shared" si="47"/>
        <v>2000</v>
      </c>
      <c r="BK112" s="2030">
        <f t="shared" si="47"/>
        <v>2000</v>
      </c>
      <c r="BL112" s="2030">
        <f t="shared" si="40"/>
        <v>2000</v>
      </c>
      <c r="BM112" s="2031"/>
      <c r="BN112" s="2031"/>
      <c r="BO112" s="2031"/>
      <c r="BP112" s="2031"/>
      <c r="BQ112" s="2031"/>
      <c r="BR112" s="2031"/>
      <c r="BS112" s="2031"/>
      <c r="BT112" s="2031"/>
      <c r="BU112" s="2029"/>
      <c r="BV112" s="2029"/>
      <c r="BW112" s="2029"/>
      <c r="BX112" s="2029"/>
      <c r="BY112" s="2029"/>
      <c r="BZ112" s="2032"/>
      <c r="CA112" s="1974"/>
      <c r="CB112" s="1974"/>
      <c r="CC112" s="1974"/>
      <c r="CD112" s="1974"/>
      <c r="CE112" s="1974">
        <v>0</v>
      </c>
      <c r="CF112" s="2033">
        <v>0</v>
      </c>
      <c r="CG112" s="2026">
        <v>3.4752442034774602E-4</v>
      </c>
      <c r="CH112" s="2009">
        <v>0</v>
      </c>
      <c r="CI112" s="2029">
        <v>0</v>
      </c>
      <c r="CK112" s="2029">
        <f t="shared" si="48"/>
        <v>0</v>
      </c>
      <c r="CL112" s="2034">
        <v>1</v>
      </c>
      <c r="CM112" s="2034">
        <v>1</v>
      </c>
      <c r="CN112" s="2034">
        <v>1</v>
      </c>
      <c r="CO112" s="2034">
        <v>1</v>
      </c>
      <c r="CP112" s="2035"/>
      <c r="CQ112" s="2036"/>
      <c r="CR112" s="2036"/>
      <c r="CS112" s="2036"/>
      <c r="CT112" s="2036"/>
      <c r="CU112" s="2036"/>
      <c r="CW112" s="1973">
        <v>0</v>
      </c>
      <c r="CX112" s="2037">
        <v>1000</v>
      </c>
      <c r="CY112" s="2037">
        <v>1000</v>
      </c>
      <c r="CZ112" s="2037">
        <v>1000</v>
      </c>
      <c r="DA112" s="2037">
        <v>1000</v>
      </c>
      <c r="DK112" s="1973">
        <v>0</v>
      </c>
      <c r="DL112" s="1973">
        <v>0</v>
      </c>
      <c r="DM112" s="1973">
        <v>0</v>
      </c>
      <c r="DO112" s="2023">
        <v>12</v>
      </c>
      <c r="DP112" s="2024">
        <v>0</v>
      </c>
      <c r="DQ112" s="2024">
        <v>0</v>
      </c>
      <c r="DR112" s="2023">
        <v>1380</v>
      </c>
      <c r="DS112" s="2029"/>
      <c r="DT112" s="2029">
        <v>0</v>
      </c>
      <c r="DU112" s="2029">
        <v>0</v>
      </c>
      <c r="DV112" s="2029">
        <v>0</v>
      </c>
      <c r="DW112" s="2029">
        <v>1000</v>
      </c>
      <c r="DX112" s="2029">
        <v>1000</v>
      </c>
      <c r="DY112" s="2029">
        <v>1000</v>
      </c>
      <c r="DZ112" s="2029">
        <v>1000</v>
      </c>
      <c r="EA112" s="2029">
        <v>2400</v>
      </c>
      <c r="EB112" s="2029">
        <v>2400</v>
      </c>
      <c r="EC112" s="2029">
        <v>2400</v>
      </c>
      <c r="ED112" s="2029">
        <v>2400</v>
      </c>
      <c r="EE112" s="2039">
        <f t="shared" si="49"/>
        <v>0</v>
      </c>
      <c r="EF112" s="2039">
        <f t="shared" si="49"/>
        <v>0</v>
      </c>
      <c r="EG112" s="2039">
        <f t="shared" si="49"/>
        <v>0</v>
      </c>
      <c r="EH112" s="2039">
        <f t="shared" si="49"/>
        <v>0</v>
      </c>
      <c r="EI112" s="2040">
        <f t="shared" si="38"/>
        <v>0</v>
      </c>
      <c r="EJ112" s="2040">
        <f t="shared" si="38"/>
        <v>0</v>
      </c>
      <c r="EK112" s="2040">
        <f t="shared" si="38"/>
        <v>0</v>
      </c>
      <c r="EL112" s="2040">
        <f t="shared" si="38"/>
        <v>0</v>
      </c>
      <c r="EM112" s="2040">
        <f t="shared" si="38"/>
        <v>0</v>
      </c>
      <c r="EN112" s="2040">
        <f t="shared" si="38"/>
        <v>0</v>
      </c>
      <c r="EO112" s="2040">
        <f t="shared" si="57"/>
        <v>0</v>
      </c>
      <c r="EP112" s="2040">
        <f t="shared" si="57"/>
        <v>0</v>
      </c>
      <c r="EQ112" s="2040">
        <f t="shared" si="57"/>
        <v>0</v>
      </c>
      <c r="ER112" s="2040">
        <f t="shared" si="57"/>
        <v>0</v>
      </c>
      <c r="ES112" s="2040">
        <f t="shared" si="57"/>
        <v>0</v>
      </c>
      <c r="ET112" s="2040">
        <f t="shared" si="57"/>
        <v>0</v>
      </c>
      <c r="EU112" s="2039">
        <f t="shared" si="50"/>
        <v>0</v>
      </c>
      <c r="EV112" s="2039">
        <f t="shared" si="51"/>
        <v>0</v>
      </c>
    </row>
    <row r="113" spans="1:152" x14ac:dyDescent="0.25">
      <c r="A113" s="2041" t="s">
        <v>154</v>
      </c>
      <c r="B113" s="2022"/>
      <c r="C113" s="2023">
        <v>12</v>
      </c>
      <c r="D113" s="2024">
        <v>0</v>
      </c>
      <c r="E113" s="2024">
        <v>0</v>
      </c>
      <c r="F113" s="2023">
        <v>2064</v>
      </c>
      <c r="G113" s="2026" t="s">
        <v>2899</v>
      </c>
      <c r="H113" s="2026" t="s">
        <v>2899</v>
      </c>
      <c r="I113" s="2026">
        <v>0.84899999999999998</v>
      </c>
      <c r="J113" s="2026">
        <v>0.84899999999999998</v>
      </c>
      <c r="K113" s="2026">
        <v>0.84899999999999998</v>
      </c>
      <c r="L113" s="2026">
        <v>0.84899999999999998</v>
      </c>
      <c r="M113" s="2027">
        <f t="shared" si="41"/>
        <v>0</v>
      </c>
      <c r="N113" s="2027">
        <f t="shared" si="41"/>
        <v>0</v>
      </c>
      <c r="O113" s="2027">
        <f t="shared" si="41"/>
        <v>0</v>
      </c>
      <c r="P113" s="2027">
        <f t="shared" si="41"/>
        <v>0</v>
      </c>
      <c r="Q113" s="2026">
        <v>0.84899999999999998</v>
      </c>
      <c r="R113" s="2026">
        <v>0.84899999999999998</v>
      </c>
      <c r="S113" s="2026">
        <v>0.84899999999999998</v>
      </c>
      <c r="T113" s="2026">
        <v>0.84899999999999998</v>
      </c>
      <c r="U113" s="2028">
        <f t="shared" si="42"/>
        <v>0</v>
      </c>
      <c r="V113" s="2028">
        <f t="shared" si="42"/>
        <v>0</v>
      </c>
      <c r="W113" s="2028">
        <f t="shared" si="42"/>
        <v>0</v>
      </c>
      <c r="X113" s="2028">
        <f t="shared" si="42"/>
        <v>0</v>
      </c>
      <c r="Y113" s="2026">
        <v>0.67500000000000004</v>
      </c>
      <c r="Z113" s="2026">
        <v>0.67500000000000004</v>
      </c>
      <c r="AA113" s="2026">
        <v>0.67500000000000004</v>
      </c>
      <c r="AB113" s="2026">
        <v>0.67500000000000004</v>
      </c>
      <c r="AC113" s="2027">
        <f t="shared" si="62"/>
        <v>1393.2</v>
      </c>
      <c r="AD113" s="2027">
        <f t="shared" si="62"/>
        <v>1393.2</v>
      </c>
      <c r="AE113" s="2027">
        <f t="shared" si="62"/>
        <v>1393.2</v>
      </c>
      <c r="AF113" s="2027">
        <f t="shared" si="62"/>
        <v>1393.2</v>
      </c>
      <c r="AG113" s="2027">
        <v>1</v>
      </c>
      <c r="AH113" s="2027">
        <v>1</v>
      </c>
      <c r="AI113" s="2027">
        <v>1</v>
      </c>
      <c r="AJ113" s="2027">
        <v>1</v>
      </c>
      <c r="AK113" s="2027">
        <f t="shared" si="63"/>
        <v>0</v>
      </c>
      <c r="AL113" s="2027">
        <f t="shared" si="60"/>
        <v>0</v>
      </c>
      <c r="AM113" s="2027">
        <f t="shared" si="60"/>
        <v>0</v>
      </c>
      <c r="AN113" s="2027">
        <f t="shared" si="58"/>
        <v>0</v>
      </c>
      <c r="AO113" s="2027">
        <f t="shared" si="64"/>
        <v>1393.2</v>
      </c>
      <c r="AP113" s="2027">
        <f t="shared" si="61"/>
        <v>1393.2</v>
      </c>
      <c r="AQ113" s="2027">
        <f t="shared" si="61"/>
        <v>1393.2</v>
      </c>
      <c r="AR113" s="2027">
        <f t="shared" si="59"/>
        <v>1393.2</v>
      </c>
      <c r="AS113" s="2029"/>
      <c r="AT113" s="2029">
        <f t="shared" si="65"/>
        <v>0</v>
      </c>
      <c r="AU113" s="2029">
        <f t="shared" si="65"/>
        <v>0</v>
      </c>
      <c r="AV113" s="2029">
        <f t="shared" si="65"/>
        <v>0</v>
      </c>
      <c r="AW113" s="2029">
        <v>2500</v>
      </c>
      <c r="AX113" s="2029">
        <f t="shared" si="66"/>
        <v>2500</v>
      </c>
      <c r="AY113" s="2029">
        <f t="shared" si="66"/>
        <v>2500</v>
      </c>
      <c r="AZ113" s="2029">
        <f t="shared" si="66"/>
        <v>2500</v>
      </c>
      <c r="BA113" s="2029">
        <v>8646</v>
      </c>
      <c r="BB113" s="2029">
        <f t="shared" si="67"/>
        <v>8646</v>
      </c>
      <c r="BC113" s="2029">
        <f t="shared" si="67"/>
        <v>8646</v>
      </c>
      <c r="BD113" s="2029">
        <f t="shared" si="67"/>
        <v>8646</v>
      </c>
      <c r="BE113" s="2030">
        <f t="shared" si="46"/>
        <v>0</v>
      </c>
      <c r="BF113" s="2030">
        <f t="shared" si="46"/>
        <v>0</v>
      </c>
      <c r="BG113" s="2030">
        <f t="shared" si="46"/>
        <v>0</v>
      </c>
      <c r="BH113" s="2030">
        <f t="shared" si="46"/>
        <v>0</v>
      </c>
      <c r="BI113" s="2030">
        <f t="shared" si="47"/>
        <v>2500</v>
      </c>
      <c r="BJ113" s="2030">
        <f t="shared" si="47"/>
        <v>2500</v>
      </c>
      <c r="BK113" s="2030">
        <f t="shared" si="47"/>
        <v>2500</v>
      </c>
      <c r="BL113" s="2030">
        <f t="shared" si="40"/>
        <v>2500</v>
      </c>
      <c r="BM113" s="2031"/>
      <c r="BN113" s="2031"/>
      <c r="BO113" s="2031"/>
      <c r="BP113" s="2031"/>
      <c r="BQ113" s="2031"/>
      <c r="BR113" s="2031"/>
      <c r="BS113" s="2031"/>
      <c r="BT113" s="2031"/>
      <c r="BU113" s="2029"/>
      <c r="BV113" s="2029"/>
      <c r="BW113" s="2029"/>
      <c r="BX113" s="2029"/>
      <c r="BY113" s="2029"/>
      <c r="BZ113" s="2032"/>
      <c r="CA113" s="1974"/>
      <c r="CB113" s="1974"/>
      <c r="CC113" s="1974"/>
      <c r="CD113" s="1974"/>
      <c r="CE113" s="1974">
        <v>0</v>
      </c>
      <c r="CF113" s="2033">
        <v>0</v>
      </c>
      <c r="CG113" s="2026">
        <v>5.1977565478097661E-4</v>
      </c>
      <c r="CH113" s="2009">
        <v>0</v>
      </c>
      <c r="CI113" s="2029">
        <v>0</v>
      </c>
      <c r="CK113" s="2029">
        <f t="shared" si="48"/>
        <v>0</v>
      </c>
      <c r="CL113" s="2034">
        <v>1</v>
      </c>
      <c r="CM113" s="2034">
        <v>1</v>
      </c>
      <c r="CN113" s="2034">
        <v>1</v>
      </c>
      <c r="CO113" s="2034">
        <v>1</v>
      </c>
      <c r="CP113" s="2035"/>
      <c r="CQ113" s="2036"/>
      <c r="CR113" s="2036"/>
      <c r="CS113" s="2036"/>
      <c r="CT113" s="2036"/>
      <c r="CU113" s="2036"/>
      <c r="CW113" s="1973">
        <v>0</v>
      </c>
      <c r="CX113" s="2037">
        <v>2500</v>
      </c>
      <c r="CY113" s="2037">
        <v>2500</v>
      </c>
      <c r="CZ113" s="2037">
        <v>2500</v>
      </c>
      <c r="DA113" s="2037">
        <v>2500</v>
      </c>
      <c r="DK113" s="1973">
        <v>0</v>
      </c>
      <c r="DL113" s="1973">
        <v>0</v>
      </c>
      <c r="DM113" s="1973">
        <v>0</v>
      </c>
      <c r="DO113" s="2023">
        <v>12</v>
      </c>
      <c r="DP113" s="2024">
        <v>0</v>
      </c>
      <c r="DQ113" s="2024">
        <v>0</v>
      </c>
      <c r="DR113" s="2023">
        <v>2064</v>
      </c>
      <c r="DS113" s="2029"/>
      <c r="DT113" s="2029">
        <v>0</v>
      </c>
      <c r="DU113" s="2029">
        <v>0</v>
      </c>
      <c r="DV113" s="2029">
        <v>0</v>
      </c>
      <c r="DW113" s="2029">
        <v>2500</v>
      </c>
      <c r="DX113" s="2029">
        <v>2500</v>
      </c>
      <c r="DY113" s="2029">
        <v>2500</v>
      </c>
      <c r="DZ113" s="2029">
        <v>2500</v>
      </c>
      <c r="EA113" s="2029">
        <v>8646</v>
      </c>
      <c r="EB113" s="2029">
        <v>8646</v>
      </c>
      <c r="EC113" s="2029">
        <v>8646</v>
      </c>
      <c r="ED113" s="2029">
        <v>8646</v>
      </c>
      <c r="EE113" s="2039">
        <f t="shared" si="49"/>
        <v>0</v>
      </c>
      <c r="EF113" s="2039">
        <f t="shared" si="49"/>
        <v>0</v>
      </c>
      <c r="EG113" s="2039">
        <f t="shared" si="49"/>
        <v>0</v>
      </c>
      <c r="EH113" s="2039">
        <f t="shared" si="49"/>
        <v>0</v>
      </c>
      <c r="EI113" s="2040">
        <f t="shared" si="38"/>
        <v>0</v>
      </c>
      <c r="EJ113" s="2040">
        <f t="shared" si="38"/>
        <v>0</v>
      </c>
      <c r="EK113" s="2040">
        <f t="shared" si="38"/>
        <v>0</v>
      </c>
      <c r="EL113" s="2040">
        <f t="shared" si="38"/>
        <v>0</v>
      </c>
      <c r="EM113" s="2040">
        <f t="shared" si="38"/>
        <v>0</v>
      </c>
      <c r="EN113" s="2040">
        <f t="shared" si="38"/>
        <v>0</v>
      </c>
      <c r="EO113" s="2040">
        <f t="shared" si="57"/>
        <v>0</v>
      </c>
      <c r="EP113" s="2040">
        <f t="shared" si="57"/>
        <v>0</v>
      </c>
      <c r="EQ113" s="2040">
        <f t="shared" si="57"/>
        <v>0</v>
      </c>
      <c r="ER113" s="2040">
        <f t="shared" si="57"/>
        <v>0</v>
      </c>
      <c r="ES113" s="2040">
        <f t="shared" si="57"/>
        <v>0</v>
      </c>
      <c r="ET113" s="2040">
        <f t="shared" si="57"/>
        <v>0</v>
      </c>
      <c r="EU113" s="2039">
        <f t="shared" si="50"/>
        <v>0</v>
      </c>
      <c r="EV113" s="2039">
        <f t="shared" si="51"/>
        <v>0</v>
      </c>
    </row>
    <row r="114" spans="1:152" x14ac:dyDescent="0.25">
      <c r="A114" s="2041" t="s">
        <v>155</v>
      </c>
      <c r="B114" s="2022"/>
      <c r="C114" s="2023">
        <v>10</v>
      </c>
      <c r="D114" s="2024">
        <v>696.26666666666665</v>
      </c>
      <c r="E114" s="2024">
        <v>0</v>
      </c>
      <c r="F114" s="2023">
        <v>4026.8310515999997</v>
      </c>
      <c r="G114" s="2026" t="s">
        <v>2899</v>
      </c>
      <c r="H114" s="2026" t="s">
        <v>2899</v>
      </c>
      <c r="I114" s="2026">
        <v>0.84899999999999998</v>
      </c>
      <c r="J114" s="2026">
        <v>0.84899999999999998</v>
      </c>
      <c r="K114" s="2026">
        <v>0.84899999999999998</v>
      </c>
      <c r="L114" s="2026">
        <v>0.84899999999999998</v>
      </c>
      <c r="M114" s="2027">
        <f t="shared" si="41"/>
        <v>591.13040000000001</v>
      </c>
      <c r="N114" s="2027">
        <f t="shared" si="41"/>
        <v>591.13040000000001</v>
      </c>
      <c r="O114" s="2027">
        <f t="shared" si="41"/>
        <v>591.13040000000001</v>
      </c>
      <c r="P114" s="2027">
        <f t="shared" si="41"/>
        <v>591.13040000000001</v>
      </c>
      <c r="Q114" s="2026">
        <v>0.84899999999999998</v>
      </c>
      <c r="R114" s="2026">
        <v>0.84899999999999998</v>
      </c>
      <c r="S114" s="2026">
        <v>0.84899999999999998</v>
      </c>
      <c r="T114" s="2026">
        <v>0.84899999999999998</v>
      </c>
      <c r="U114" s="2028">
        <f t="shared" si="42"/>
        <v>0</v>
      </c>
      <c r="V114" s="2028">
        <f t="shared" si="42"/>
        <v>0</v>
      </c>
      <c r="W114" s="2028">
        <f t="shared" si="42"/>
        <v>0</v>
      </c>
      <c r="X114" s="2028">
        <f t="shared" si="42"/>
        <v>0</v>
      </c>
      <c r="Y114" s="2026">
        <v>0.67500000000000004</v>
      </c>
      <c r="Z114" s="2026">
        <v>0.67500000000000004</v>
      </c>
      <c r="AA114" s="2026">
        <v>0.67500000000000004</v>
      </c>
      <c r="AB114" s="2026">
        <v>0.67500000000000004</v>
      </c>
      <c r="AC114" s="2027">
        <f t="shared" si="62"/>
        <v>2718.11095983</v>
      </c>
      <c r="AD114" s="2027">
        <f t="shared" si="62"/>
        <v>2718.11095983</v>
      </c>
      <c r="AE114" s="2027">
        <f t="shared" si="62"/>
        <v>2718.11095983</v>
      </c>
      <c r="AF114" s="2027">
        <f t="shared" si="62"/>
        <v>2718.11095983</v>
      </c>
      <c r="AG114" s="2027">
        <v>4</v>
      </c>
      <c r="AH114" s="2027">
        <v>3</v>
      </c>
      <c r="AI114" s="2027">
        <v>3</v>
      </c>
      <c r="AJ114" s="2027">
        <v>3</v>
      </c>
      <c r="AK114" s="2027">
        <f t="shared" si="63"/>
        <v>2364.5216</v>
      </c>
      <c r="AL114" s="2027">
        <f t="shared" si="60"/>
        <v>1773.3912</v>
      </c>
      <c r="AM114" s="2027">
        <f t="shared" si="60"/>
        <v>1773.3912</v>
      </c>
      <c r="AN114" s="2027">
        <f t="shared" si="58"/>
        <v>1773.3912</v>
      </c>
      <c r="AO114" s="2027">
        <f t="shared" si="64"/>
        <v>10872.44383932</v>
      </c>
      <c r="AP114" s="2027">
        <f t="shared" si="61"/>
        <v>8154.3328794899999</v>
      </c>
      <c r="AQ114" s="2027">
        <f t="shared" si="61"/>
        <v>8154.3328794899999</v>
      </c>
      <c r="AR114" s="2027">
        <f t="shared" si="59"/>
        <v>8154.3328794899999</v>
      </c>
      <c r="AS114" s="2029">
        <v>140</v>
      </c>
      <c r="AT114" s="2029">
        <f t="shared" si="65"/>
        <v>140</v>
      </c>
      <c r="AU114" s="2029">
        <f t="shared" si="65"/>
        <v>140</v>
      </c>
      <c r="AV114" s="2029">
        <f t="shared" si="65"/>
        <v>140</v>
      </c>
      <c r="AW114" s="2029">
        <v>13860</v>
      </c>
      <c r="AX114" s="2029">
        <f t="shared" si="66"/>
        <v>13860</v>
      </c>
      <c r="AY114" s="2029">
        <f t="shared" si="66"/>
        <v>13860</v>
      </c>
      <c r="AZ114" s="2029">
        <f t="shared" si="66"/>
        <v>13860</v>
      </c>
      <c r="BA114" s="2029">
        <v>19960</v>
      </c>
      <c r="BB114" s="2029">
        <f t="shared" si="67"/>
        <v>19960</v>
      </c>
      <c r="BC114" s="2029">
        <f t="shared" si="67"/>
        <v>19960</v>
      </c>
      <c r="BD114" s="2029">
        <f t="shared" si="67"/>
        <v>19960</v>
      </c>
      <c r="BE114" s="2030">
        <f t="shared" si="46"/>
        <v>560</v>
      </c>
      <c r="BF114" s="2030">
        <f t="shared" si="46"/>
        <v>420</v>
      </c>
      <c r="BG114" s="2030">
        <f t="shared" si="46"/>
        <v>420</v>
      </c>
      <c r="BH114" s="2030">
        <f t="shared" si="46"/>
        <v>420</v>
      </c>
      <c r="BI114" s="2030">
        <f t="shared" si="47"/>
        <v>55440</v>
      </c>
      <c r="BJ114" s="2030">
        <f t="shared" si="47"/>
        <v>41580</v>
      </c>
      <c r="BK114" s="2030">
        <f t="shared" si="47"/>
        <v>41580</v>
      </c>
      <c r="BL114" s="2030">
        <f t="shared" si="40"/>
        <v>41580</v>
      </c>
      <c r="BM114" s="2031"/>
      <c r="BN114" s="2031"/>
      <c r="BO114" s="2031"/>
      <c r="BP114" s="2031"/>
      <c r="BQ114" s="2031"/>
      <c r="BR114" s="2031"/>
      <c r="BS114" s="2031"/>
      <c r="BT114" s="2031"/>
      <c r="BU114" s="2029"/>
      <c r="BV114" s="2029"/>
      <c r="BW114" s="2029"/>
      <c r="BX114" s="2029"/>
      <c r="BY114" s="2029"/>
      <c r="BZ114" s="2032"/>
      <c r="CA114" s="2027">
        <v>464946</v>
      </c>
      <c r="CB114" s="1974"/>
      <c r="CC114" s="1974"/>
      <c r="CD114" s="1974"/>
      <c r="CE114" s="1974">
        <v>0</v>
      </c>
      <c r="CF114" s="2033">
        <v>1.0590532129514606E-5</v>
      </c>
      <c r="CG114" s="2026">
        <v>7.8721836087467679E-3</v>
      </c>
      <c r="CH114" s="2009">
        <v>1</v>
      </c>
      <c r="CI114" s="2029">
        <v>0</v>
      </c>
      <c r="CJ114" s="2054">
        <f>0.79*254.38</f>
        <v>200.96020000000001</v>
      </c>
      <c r="CK114" s="2029">
        <f t="shared" si="48"/>
        <v>200.96020000000001</v>
      </c>
      <c r="CL114" s="2034">
        <v>1</v>
      </c>
      <c r="CM114" s="2034">
        <v>1</v>
      </c>
      <c r="CN114" s="2034">
        <v>1</v>
      </c>
      <c r="CO114" s="2034">
        <v>1</v>
      </c>
      <c r="CP114" s="2035"/>
      <c r="CQ114" s="2036"/>
      <c r="CR114" s="2036"/>
      <c r="CS114" s="2036"/>
      <c r="CT114" s="2036"/>
      <c r="CU114" s="2036"/>
      <c r="CW114" s="1973">
        <v>0</v>
      </c>
      <c r="CX114" s="2037">
        <v>14000</v>
      </c>
      <c r="CY114" s="2037">
        <v>14000</v>
      </c>
      <c r="CZ114" s="2037">
        <v>14000</v>
      </c>
      <c r="DA114" s="2037">
        <v>14000</v>
      </c>
      <c r="DK114" s="1973">
        <v>0</v>
      </c>
      <c r="DL114" s="1973">
        <v>0</v>
      </c>
      <c r="DM114" s="1973">
        <v>0</v>
      </c>
      <c r="DO114" s="2043">
        <v>10</v>
      </c>
      <c r="DP114" s="2044">
        <v>696.26666666666665</v>
      </c>
      <c r="DQ114" s="2044">
        <v>0</v>
      </c>
      <c r="DR114" s="2043">
        <v>4026.8310515999997</v>
      </c>
      <c r="DS114" s="2046">
        <v>140</v>
      </c>
      <c r="DT114" s="2046">
        <v>140</v>
      </c>
      <c r="DU114" s="2046">
        <v>140</v>
      </c>
      <c r="DV114" s="2046">
        <v>140</v>
      </c>
      <c r="DW114" s="2046">
        <v>13860</v>
      </c>
      <c r="DX114" s="2046">
        <v>13860</v>
      </c>
      <c r="DY114" s="2046">
        <v>13860</v>
      </c>
      <c r="DZ114" s="2046">
        <v>13860</v>
      </c>
      <c r="EA114" s="2046">
        <v>19960</v>
      </c>
      <c r="EB114" s="2046">
        <v>19960</v>
      </c>
      <c r="EC114" s="2046">
        <v>19960</v>
      </c>
      <c r="ED114" s="2046">
        <v>19960</v>
      </c>
      <c r="EE114" s="2039">
        <f t="shared" si="49"/>
        <v>0</v>
      </c>
      <c r="EF114" s="2039">
        <f t="shared" si="49"/>
        <v>0</v>
      </c>
      <c r="EG114" s="2039">
        <f t="shared" si="49"/>
        <v>0</v>
      </c>
      <c r="EH114" s="2039">
        <f t="shared" si="49"/>
        <v>0</v>
      </c>
      <c r="EI114" s="2040">
        <f t="shared" si="38"/>
        <v>0</v>
      </c>
      <c r="EJ114" s="2040">
        <f t="shared" si="38"/>
        <v>0</v>
      </c>
      <c r="EK114" s="2040">
        <f t="shared" si="38"/>
        <v>0</v>
      </c>
      <c r="EL114" s="2040">
        <f t="shared" si="38"/>
        <v>0</v>
      </c>
      <c r="EM114" s="2040">
        <f t="shared" si="38"/>
        <v>0</v>
      </c>
      <c r="EN114" s="2040">
        <f t="shared" si="38"/>
        <v>0</v>
      </c>
      <c r="EO114" s="2040">
        <f t="shared" si="57"/>
        <v>0</v>
      </c>
      <c r="EP114" s="2040">
        <f t="shared" si="57"/>
        <v>0</v>
      </c>
      <c r="EQ114" s="2040">
        <f t="shared" si="57"/>
        <v>0</v>
      </c>
      <c r="ER114" s="2040">
        <f t="shared" si="57"/>
        <v>0</v>
      </c>
      <c r="ES114" s="2040">
        <f t="shared" si="57"/>
        <v>0</v>
      </c>
      <c r="ET114" s="2040">
        <f t="shared" si="57"/>
        <v>0</v>
      </c>
      <c r="EU114" s="2039">
        <f t="shared" si="50"/>
        <v>0</v>
      </c>
      <c r="EV114" s="2039">
        <f t="shared" si="51"/>
        <v>0</v>
      </c>
    </row>
    <row r="115" spans="1:152" x14ac:dyDescent="0.25">
      <c r="A115" s="2041" t="s">
        <v>156</v>
      </c>
      <c r="B115" s="2022"/>
      <c r="C115" s="2023">
        <v>15</v>
      </c>
      <c r="D115" s="2024">
        <v>6269.87</v>
      </c>
      <c r="E115" s="2024">
        <v>0</v>
      </c>
      <c r="F115" s="2023">
        <v>0</v>
      </c>
      <c r="G115" s="2026" t="s">
        <v>2899</v>
      </c>
      <c r="H115" s="2026" t="s">
        <v>2899</v>
      </c>
      <c r="I115" s="2026">
        <v>0.84899999999999998</v>
      </c>
      <c r="J115" s="2026">
        <v>0.84899999999999998</v>
      </c>
      <c r="K115" s="2026">
        <v>0.84899999999999998</v>
      </c>
      <c r="L115" s="2026">
        <v>0.84899999999999998</v>
      </c>
      <c r="M115" s="2027">
        <f t="shared" si="41"/>
        <v>5323.1196300000001</v>
      </c>
      <c r="N115" s="2027">
        <f t="shared" si="41"/>
        <v>5323.1196300000001</v>
      </c>
      <c r="O115" s="2027">
        <f t="shared" si="41"/>
        <v>5323.1196300000001</v>
      </c>
      <c r="P115" s="2027">
        <f t="shared" si="41"/>
        <v>5323.1196300000001</v>
      </c>
      <c r="Q115" s="2026">
        <v>0.84899999999999998</v>
      </c>
      <c r="R115" s="2026">
        <v>0.84899999999999998</v>
      </c>
      <c r="S115" s="2026">
        <v>0.84899999999999998</v>
      </c>
      <c r="T115" s="2026">
        <v>0.84899999999999998</v>
      </c>
      <c r="U115" s="2028">
        <f t="shared" si="42"/>
        <v>0</v>
      </c>
      <c r="V115" s="2028">
        <f t="shared" si="42"/>
        <v>0</v>
      </c>
      <c r="W115" s="2028">
        <f t="shared" si="42"/>
        <v>0</v>
      </c>
      <c r="X115" s="2028">
        <f t="shared" si="42"/>
        <v>0</v>
      </c>
      <c r="Y115" s="2026">
        <v>0.67500000000000004</v>
      </c>
      <c r="Z115" s="2026">
        <v>0.67500000000000004</v>
      </c>
      <c r="AA115" s="2026">
        <v>0.67500000000000004</v>
      </c>
      <c r="AB115" s="2026">
        <v>0.67500000000000004</v>
      </c>
      <c r="AC115" s="2027">
        <f t="shared" si="62"/>
        <v>0</v>
      </c>
      <c r="AD115" s="2027">
        <f t="shared" si="62"/>
        <v>0</v>
      </c>
      <c r="AE115" s="2027">
        <f t="shared" si="62"/>
        <v>0</v>
      </c>
      <c r="AF115" s="2027">
        <f t="shared" si="62"/>
        <v>0</v>
      </c>
      <c r="AG115" s="2027">
        <v>1</v>
      </c>
      <c r="AH115" s="2027">
        <v>1</v>
      </c>
      <c r="AI115" s="2027">
        <v>2</v>
      </c>
      <c r="AJ115" s="2027">
        <v>2</v>
      </c>
      <c r="AK115" s="2027">
        <f t="shared" si="63"/>
        <v>5323.1196300000001</v>
      </c>
      <c r="AL115" s="2027">
        <f t="shared" si="60"/>
        <v>5323.1196300000001</v>
      </c>
      <c r="AM115" s="2027">
        <f t="shared" si="60"/>
        <v>10646.23926</v>
      </c>
      <c r="AN115" s="2027">
        <f t="shared" si="58"/>
        <v>10646.23926</v>
      </c>
      <c r="AO115" s="2027">
        <f t="shared" si="64"/>
        <v>0</v>
      </c>
      <c r="AP115" s="2027">
        <f t="shared" si="61"/>
        <v>0</v>
      </c>
      <c r="AQ115" s="2027">
        <f t="shared" si="61"/>
        <v>0</v>
      </c>
      <c r="AR115" s="2027">
        <f t="shared" si="59"/>
        <v>0</v>
      </c>
      <c r="AS115" s="2029">
        <v>400</v>
      </c>
      <c r="AT115" s="2029">
        <f t="shared" si="65"/>
        <v>400</v>
      </c>
      <c r="AU115" s="2029">
        <f t="shared" si="65"/>
        <v>400</v>
      </c>
      <c r="AV115" s="2029">
        <f t="shared" si="65"/>
        <v>400</v>
      </c>
      <c r="AW115" s="1974"/>
      <c r="AX115" s="2029">
        <f t="shared" si="66"/>
        <v>0</v>
      </c>
      <c r="AY115" s="2029">
        <f t="shared" si="66"/>
        <v>0</v>
      </c>
      <c r="AZ115" s="2029">
        <f t="shared" si="66"/>
        <v>0</v>
      </c>
      <c r="BA115" s="2029">
        <v>2558</v>
      </c>
      <c r="BB115" s="2029">
        <f t="shared" si="67"/>
        <v>2558</v>
      </c>
      <c r="BC115" s="2029">
        <f t="shared" si="67"/>
        <v>2558</v>
      </c>
      <c r="BD115" s="2029">
        <f t="shared" si="67"/>
        <v>2558</v>
      </c>
      <c r="BE115" s="2030">
        <f t="shared" si="46"/>
        <v>400</v>
      </c>
      <c r="BF115" s="2030">
        <f t="shared" si="46"/>
        <v>400</v>
      </c>
      <c r="BG115" s="2030">
        <f t="shared" si="46"/>
        <v>800</v>
      </c>
      <c r="BH115" s="2030">
        <f t="shared" si="46"/>
        <v>800</v>
      </c>
      <c r="BI115" s="2030">
        <f t="shared" si="47"/>
        <v>0</v>
      </c>
      <c r="BJ115" s="2030">
        <f t="shared" si="47"/>
        <v>0</v>
      </c>
      <c r="BK115" s="2030">
        <f t="shared" si="47"/>
        <v>0</v>
      </c>
      <c r="BL115" s="2030">
        <f t="shared" si="40"/>
        <v>0</v>
      </c>
      <c r="BM115" s="2031"/>
      <c r="BN115" s="2031"/>
      <c r="BO115" s="2031"/>
      <c r="BP115" s="2031"/>
      <c r="BQ115" s="2031"/>
      <c r="BR115" s="2031"/>
      <c r="BS115" s="2031"/>
      <c r="BT115" s="2031"/>
      <c r="BU115" s="2029"/>
      <c r="BV115" s="2029"/>
      <c r="BW115" s="2029"/>
      <c r="BX115" s="2029"/>
      <c r="BY115" s="2029"/>
      <c r="BZ115" s="2032"/>
      <c r="CA115" s="1974"/>
      <c r="CB115" s="1974"/>
      <c r="CC115" s="1974"/>
      <c r="CD115" s="1974"/>
      <c r="CE115" s="1974">
        <v>0</v>
      </c>
      <c r="CF115" s="2033">
        <v>2.2252432869597771E-5</v>
      </c>
      <c r="CG115" s="2026">
        <v>0</v>
      </c>
      <c r="CH115" s="2009">
        <v>0</v>
      </c>
      <c r="CI115" s="2029">
        <v>0</v>
      </c>
      <c r="CK115" s="2029">
        <f t="shared" si="48"/>
        <v>0</v>
      </c>
      <c r="CL115" s="2034">
        <v>1</v>
      </c>
      <c r="CM115" s="2034">
        <v>1</v>
      </c>
      <c r="CN115" s="2034">
        <v>1</v>
      </c>
      <c r="CO115" s="2034">
        <v>1</v>
      </c>
      <c r="CP115" s="2035"/>
      <c r="CQ115" s="2036"/>
      <c r="CR115" s="2036"/>
      <c r="CS115" s="2036"/>
      <c r="CT115" s="2036"/>
      <c r="CU115" s="2036"/>
      <c r="CW115" s="1973">
        <v>0</v>
      </c>
      <c r="CX115" s="2037">
        <v>400</v>
      </c>
      <c r="CY115" s="2037">
        <v>400</v>
      </c>
      <c r="CZ115" s="2037">
        <v>400</v>
      </c>
      <c r="DA115" s="2037">
        <v>400</v>
      </c>
      <c r="DJ115" s="1976">
        <v>400</v>
      </c>
      <c r="DK115" s="1973">
        <v>400</v>
      </c>
      <c r="DL115" s="1973">
        <v>400</v>
      </c>
      <c r="DM115" s="1973">
        <v>400</v>
      </c>
      <c r="DO115" s="2023">
        <v>15</v>
      </c>
      <c r="DP115" s="2024">
        <v>6269.87</v>
      </c>
      <c r="DQ115" s="2024">
        <v>0</v>
      </c>
      <c r="DR115" s="2023">
        <v>0</v>
      </c>
      <c r="DS115" s="2029">
        <v>400</v>
      </c>
      <c r="DT115" s="2029">
        <v>400</v>
      </c>
      <c r="DU115" s="2029">
        <v>400</v>
      </c>
      <c r="DV115" s="2029">
        <v>400</v>
      </c>
      <c r="DW115" s="1974"/>
      <c r="DX115" s="2029">
        <v>0</v>
      </c>
      <c r="DY115" s="2029">
        <v>0</v>
      </c>
      <c r="DZ115" s="2029">
        <v>0</v>
      </c>
      <c r="EA115" s="2029">
        <v>2558</v>
      </c>
      <c r="EB115" s="2029">
        <v>2558</v>
      </c>
      <c r="EC115" s="2029">
        <v>2558</v>
      </c>
      <c r="ED115" s="2029">
        <v>2558</v>
      </c>
      <c r="EE115" s="2039">
        <f t="shared" si="49"/>
        <v>0</v>
      </c>
      <c r="EF115" s="2039">
        <f t="shared" si="49"/>
        <v>0</v>
      </c>
      <c r="EG115" s="2039">
        <f t="shared" si="49"/>
        <v>0</v>
      </c>
      <c r="EH115" s="2039">
        <f t="shared" si="49"/>
        <v>0</v>
      </c>
      <c r="EI115" s="2040">
        <f t="shared" si="38"/>
        <v>0</v>
      </c>
      <c r="EJ115" s="2040">
        <f t="shared" si="38"/>
        <v>0</v>
      </c>
      <c r="EK115" s="2040">
        <f t="shared" si="38"/>
        <v>0</v>
      </c>
      <c r="EL115" s="2040">
        <f t="shared" si="38"/>
        <v>0</v>
      </c>
      <c r="EM115" s="2040">
        <f t="shared" si="38"/>
        <v>0</v>
      </c>
      <c r="EN115" s="2040">
        <f t="shared" si="38"/>
        <v>0</v>
      </c>
      <c r="EO115" s="2040">
        <f t="shared" si="57"/>
        <v>0</v>
      </c>
      <c r="EP115" s="2040">
        <f t="shared" si="57"/>
        <v>0</v>
      </c>
      <c r="EQ115" s="2040">
        <f t="shared" si="57"/>
        <v>0</v>
      </c>
      <c r="ER115" s="2040">
        <f t="shared" si="57"/>
        <v>0</v>
      </c>
      <c r="ES115" s="2040">
        <f t="shared" si="57"/>
        <v>0</v>
      </c>
      <c r="ET115" s="2040">
        <f t="shared" si="57"/>
        <v>0</v>
      </c>
      <c r="EU115" s="2039">
        <f t="shared" si="50"/>
        <v>0</v>
      </c>
      <c r="EV115" s="2039">
        <f t="shared" si="51"/>
        <v>0</v>
      </c>
    </row>
    <row r="116" spans="1:152" x14ac:dyDescent="0.25">
      <c r="A116" s="2041" t="s">
        <v>157</v>
      </c>
      <c r="B116" s="2022"/>
      <c r="C116" s="2023">
        <v>10</v>
      </c>
      <c r="D116" s="2024">
        <v>1969.66</v>
      </c>
      <c r="E116" s="2024">
        <v>0.30499999999999999</v>
      </c>
      <c r="F116" s="2023">
        <v>0</v>
      </c>
      <c r="G116" s="2026" t="s">
        <v>2899</v>
      </c>
      <c r="H116" s="2026" t="s">
        <v>2899</v>
      </c>
      <c r="I116" s="2026">
        <v>0.84899999999999998</v>
      </c>
      <c r="J116" s="2026">
        <v>0.84899999999999998</v>
      </c>
      <c r="K116" s="2026">
        <v>0.84899999999999998</v>
      </c>
      <c r="L116" s="2026">
        <v>0.84899999999999998</v>
      </c>
      <c r="M116" s="2027">
        <f t="shared" si="41"/>
        <v>1672.24134</v>
      </c>
      <c r="N116" s="2027">
        <f t="shared" si="41"/>
        <v>1672.24134</v>
      </c>
      <c r="O116" s="2027">
        <f t="shared" si="41"/>
        <v>1672.24134</v>
      </c>
      <c r="P116" s="2027">
        <f t="shared" si="41"/>
        <v>1672.24134</v>
      </c>
      <c r="Q116" s="2026">
        <v>0.84899999999999998</v>
      </c>
      <c r="R116" s="2026">
        <v>0.84899999999999998</v>
      </c>
      <c r="S116" s="2026">
        <v>0.84899999999999998</v>
      </c>
      <c r="T116" s="2026">
        <v>0.84899999999999998</v>
      </c>
      <c r="U116" s="2028">
        <f t="shared" si="42"/>
        <v>0.25894499999999998</v>
      </c>
      <c r="V116" s="2028">
        <f t="shared" si="42"/>
        <v>0.25894499999999998</v>
      </c>
      <c r="W116" s="2028">
        <f t="shared" si="42"/>
        <v>0.25894499999999998</v>
      </c>
      <c r="X116" s="2028">
        <f t="shared" si="42"/>
        <v>0.25894499999999998</v>
      </c>
      <c r="Y116" s="2026">
        <v>0.67500000000000004</v>
      </c>
      <c r="Z116" s="2026">
        <v>0.67500000000000004</v>
      </c>
      <c r="AA116" s="2026">
        <v>0.67500000000000004</v>
      </c>
      <c r="AB116" s="2026">
        <v>0.67500000000000004</v>
      </c>
      <c r="AC116" s="2027">
        <f t="shared" si="62"/>
        <v>0</v>
      </c>
      <c r="AD116" s="2027">
        <f t="shared" si="62"/>
        <v>0</v>
      </c>
      <c r="AE116" s="2027">
        <f t="shared" si="62"/>
        <v>0</v>
      </c>
      <c r="AF116" s="2027">
        <f t="shared" si="62"/>
        <v>0</v>
      </c>
      <c r="AG116" s="2027">
        <v>8</v>
      </c>
      <c r="AH116" s="2027">
        <v>9</v>
      </c>
      <c r="AI116" s="2027">
        <v>10</v>
      </c>
      <c r="AJ116" s="2027">
        <v>10</v>
      </c>
      <c r="AK116" s="2027">
        <f t="shared" si="63"/>
        <v>13377.93072</v>
      </c>
      <c r="AL116" s="2027">
        <f t="shared" si="60"/>
        <v>15050.172060000001</v>
      </c>
      <c r="AM116" s="2027">
        <f t="shared" si="60"/>
        <v>16722.413400000001</v>
      </c>
      <c r="AN116" s="2027">
        <f t="shared" si="58"/>
        <v>16722.413400000001</v>
      </c>
      <c r="AO116" s="2027">
        <f t="shared" si="64"/>
        <v>0</v>
      </c>
      <c r="AP116" s="2027">
        <f t="shared" si="61"/>
        <v>0</v>
      </c>
      <c r="AQ116" s="2027">
        <f t="shared" si="61"/>
        <v>0</v>
      </c>
      <c r="AR116" s="2027">
        <f t="shared" si="59"/>
        <v>0</v>
      </c>
      <c r="AS116" s="2029">
        <v>120</v>
      </c>
      <c r="AT116" s="2029">
        <f t="shared" si="65"/>
        <v>120</v>
      </c>
      <c r="AU116" s="2029">
        <f t="shared" si="65"/>
        <v>120</v>
      </c>
      <c r="AV116" s="2029">
        <f t="shared" si="65"/>
        <v>120</v>
      </c>
      <c r="AW116" s="1974"/>
      <c r="AX116" s="2029">
        <f t="shared" si="66"/>
        <v>0</v>
      </c>
      <c r="AY116" s="2029">
        <f t="shared" si="66"/>
        <v>0</v>
      </c>
      <c r="AZ116" s="2029">
        <f t="shared" si="66"/>
        <v>0</v>
      </c>
      <c r="BA116" s="2029">
        <v>700</v>
      </c>
      <c r="BB116" s="2029">
        <f t="shared" si="67"/>
        <v>700</v>
      </c>
      <c r="BC116" s="2029">
        <f t="shared" si="67"/>
        <v>700</v>
      </c>
      <c r="BD116" s="2029">
        <f t="shared" si="67"/>
        <v>700</v>
      </c>
      <c r="BE116" s="2030">
        <f t="shared" si="46"/>
        <v>960</v>
      </c>
      <c r="BF116" s="2030">
        <f t="shared" si="46"/>
        <v>1080</v>
      </c>
      <c r="BG116" s="2030">
        <f t="shared" si="46"/>
        <v>1200</v>
      </c>
      <c r="BH116" s="2030">
        <f t="shared" si="46"/>
        <v>1200</v>
      </c>
      <c r="BI116" s="2030">
        <f t="shared" si="47"/>
        <v>0</v>
      </c>
      <c r="BJ116" s="2030">
        <f t="shared" si="47"/>
        <v>0</v>
      </c>
      <c r="BK116" s="2030">
        <f t="shared" si="47"/>
        <v>0</v>
      </c>
      <c r="BL116" s="2030">
        <f t="shared" si="40"/>
        <v>0</v>
      </c>
      <c r="BM116" s="2031"/>
      <c r="BN116" s="2031"/>
      <c r="BO116" s="2031"/>
      <c r="BP116" s="2031"/>
      <c r="BQ116" s="2031"/>
      <c r="BR116" s="2031"/>
      <c r="BS116" s="2031"/>
      <c r="BT116" s="2031"/>
      <c r="BU116" s="2029"/>
      <c r="BV116" s="2029"/>
      <c r="BW116" s="2029"/>
      <c r="BX116" s="2029"/>
      <c r="BY116" s="2029"/>
      <c r="BZ116" s="2032"/>
      <c r="CA116" s="1974"/>
      <c r="CB116" s="1974"/>
      <c r="CC116" s="1974"/>
      <c r="CD116" s="1974"/>
      <c r="CE116" s="1974">
        <v>0</v>
      </c>
      <c r="CF116" s="2033">
        <v>5.5924256070294209E-5</v>
      </c>
      <c r="CG116" s="2026">
        <v>0</v>
      </c>
      <c r="CH116" s="2009">
        <v>0</v>
      </c>
      <c r="CI116" s="2029">
        <v>0</v>
      </c>
      <c r="CK116" s="2029">
        <f t="shared" si="48"/>
        <v>0</v>
      </c>
      <c r="CL116" s="2034">
        <v>1</v>
      </c>
      <c r="CM116" s="2034">
        <v>1</v>
      </c>
      <c r="CN116" s="2034">
        <v>1</v>
      </c>
      <c r="CO116" s="2034">
        <v>1</v>
      </c>
      <c r="CP116" s="2035"/>
      <c r="CQ116" s="2036"/>
      <c r="CR116" s="2036"/>
      <c r="CS116" s="2036"/>
      <c r="CT116" s="2036"/>
      <c r="CU116" s="2036"/>
      <c r="CW116" s="1973">
        <v>0</v>
      </c>
      <c r="CX116" s="2037">
        <v>120</v>
      </c>
      <c r="CY116" s="2037">
        <v>120</v>
      </c>
      <c r="CZ116" s="2037">
        <v>120</v>
      </c>
      <c r="DA116" s="2037">
        <v>120</v>
      </c>
      <c r="DJ116" s="1976">
        <v>120</v>
      </c>
      <c r="DK116" s="1973">
        <v>120</v>
      </c>
      <c r="DL116" s="1973">
        <v>120</v>
      </c>
      <c r="DM116" s="1973">
        <v>120</v>
      </c>
      <c r="DO116" s="2023">
        <v>10</v>
      </c>
      <c r="DP116" s="2024">
        <v>1969.66</v>
      </c>
      <c r="DQ116" s="2024">
        <v>0.30499999999999999</v>
      </c>
      <c r="DR116" s="2023">
        <v>0</v>
      </c>
      <c r="DS116" s="2029">
        <v>120</v>
      </c>
      <c r="DT116" s="2029">
        <v>120</v>
      </c>
      <c r="DU116" s="2029">
        <v>120</v>
      </c>
      <c r="DV116" s="2029">
        <v>120</v>
      </c>
      <c r="DW116" s="1974"/>
      <c r="DX116" s="2029">
        <v>0</v>
      </c>
      <c r="DY116" s="2029">
        <v>0</v>
      </c>
      <c r="DZ116" s="2029">
        <v>0</v>
      </c>
      <c r="EA116" s="2029">
        <v>700</v>
      </c>
      <c r="EB116" s="2029">
        <v>700</v>
      </c>
      <c r="EC116" s="2029">
        <v>700</v>
      </c>
      <c r="ED116" s="2029">
        <v>700</v>
      </c>
      <c r="EE116" s="2039">
        <f t="shared" si="49"/>
        <v>0</v>
      </c>
      <c r="EF116" s="2039">
        <f t="shared" si="49"/>
        <v>0</v>
      </c>
      <c r="EG116" s="2039">
        <f t="shared" si="49"/>
        <v>0</v>
      </c>
      <c r="EH116" s="2039">
        <f t="shared" si="49"/>
        <v>0</v>
      </c>
      <c r="EI116" s="2040">
        <f t="shared" si="38"/>
        <v>0</v>
      </c>
      <c r="EJ116" s="2040">
        <f t="shared" si="38"/>
        <v>0</v>
      </c>
      <c r="EK116" s="2040">
        <f t="shared" si="38"/>
        <v>0</v>
      </c>
      <c r="EL116" s="2040">
        <f t="shared" si="38"/>
        <v>0</v>
      </c>
      <c r="EM116" s="2040">
        <f t="shared" si="38"/>
        <v>0</v>
      </c>
      <c r="EN116" s="2040">
        <f t="shared" si="38"/>
        <v>0</v>
      </c>
      <c r="EO116" s="2040">
        <f t="shared" si="57"/>
        <v>0</v>
      </c>
      <c r="EP116" s="2040">
        <f t="shared" si="57"/>
        <v>0</v>
      </c>
      <c r="EQ116" s="2040">
        <f t="shared" si="57"/>
        <v>0</v>
      </c>
      <c r="ER116" s="2040">
        <f t="shared" si="57"/>
        <v>0</v>
      </c>
      <c r="ES116" s="2040">
        <f t="shared" si="57"/>
        <v>0</v>
      </c>
      <c r="ET116" s="2040">
        <f t="shared" si="57"/>
        <v>0</v>
      </c>
      <c r="EU116" s="2039">
        <f t="shared" si="50"/>
        <v>0</v>
      </c>
      <c r="EV116" s="2039">
        <f t="shared" si="51"/>
        <v>0</v>
      </c>
    </row>
    <row r="117" spans="1:152" x14ac:dyDescent="0.25">
      <c r="A117" s="2021" t="s">
        <v>158</v>
      </c>
      <c r="B117" s="2069" t="s">
        <v>2949</v>
      </c>
      <c r="C117" s="2068">
        <v>15</v>
      </c>
      <c r="D117" s="2071">
        <v>4966</v>
      </c>
      <c r="E117" s="2024">
        <v>0.67999999999999994</v>
      </c>
      <c r="F117" s="2023">
        <v>5505.34375</v>
      </c>
      <c r="G117" s="2026" t="s">
        <v>2899</v>
      </c>
      <c r="H117" s="2026" t="s">
        <v>2899</v>
      </c>
      <c r="I117" s="2026">
        <v>0.84899999999999998</v>
      </c>
      <c r="J117" s="2026">
        <v>0.84899999999999998</v>
      </c>
      <c r="K117" s="2026">
        <v>0.84899999999999998</v>
      </c>
      <c r="L117" s="2026">
        <v>0.84899999999999998</v>
      </c>
      <c r="M117" s="2027">
        <f t="shared" si="41"/>
        <v>4216.134</v>
      </c>
      <c r="N117" s="2027">
        <f t="shared" si="41"/>
        <v>4216.134</v>
      </c>
      <c r="O117" s="2027">
        <f t="shared" si="41"/>
        <v>4216.134</v>
      </c>
      <c r="P117" s="2027">
        <f t="shared" si="41"/>
        <v>4216.134</v>
      </c>
      <c r="Q117" s="2026">
        <v>0.84899999999999998</v>
      </c>
      <c r="R117" s="2026">
        <v>0.84899999999999998</v>
      </c>
      <c r="S117" s="2026">
        <v>0.84899999999999998</v>
      </c>
      <c r="T117" s="2026">
        <v>0.84899999999999998</v>
      </c>
      <c r="U117" s="2028">
        <f t="shared" si="42"/>
        <v>0.57731999999999994</v>
      </c>
      <c r="V117" s="2028">
        <f t="shared" si="42"/>
        <v>0.57731999999999994</v>
      </c>
      <c r="W117" s="2028">
        <f t="shared" si="42"/>
        <v>0.57731999999999994</v>
      </c>
      <c r="X117" s="2028">
        <f t="shared" si="42"/>
        <v>0.57731999999999994</v>
      </c>
      <c r="Y117" s="2026">
        <v>0.67500000000000004</v>
      </c>
      <c r="Z117" s="2026">
        <v>0.67500000000000004</v>
      </c>
      <c r="AA117" s="2026">
        <v>0.67500000000000004</v>
      </c>
      <c r="AB117" s="2026">
        <v>0.67500000000000004</v>
      </c>
      <c r="AC117" s="2027">
        <f t="shared" si="62"/>
        <v>3716.1070312500001</v>
      </c>
      <c r="AD117" s="2027">
        <f t="shared" si="62"/>
        <v>3716.1070312500001</v>
      </c>
      <c r="AE117" s="2027">
        <f t="shared" si="62"/>
        <v>3716.1070312500001</v>
      </c>
      <c r="AF117" s="2027">
        <f t="shared" si="62"/>
        <v>3716.1070312500001</v>
      </c>
      <c r="AG117" s="2027">
        <v>3</v>
      </c>
      <c r="AH117" s="2027">
        <v>3</v>
      </c>
      <c r="AI117" s="2027">
        <v>3</v>
      </c>
      <c r="AJ117" s="2027">
        <v>3</v>
      </c>
      <c r="AK117" s="2027">
        <f t="shared" si="63"/>
        <v>12648.402</v>
      </c>
      <c r="AL117" s="2027">
        <f t="shared" si="60"/>
        <v>12648.402</v>
      </c>
      <c r="AM117" s="2027">
        <f t="shared" si="60"/>
        <v>12648.402</v>
      </c>
      <c r="AN117" s="2027">
        <f t="shared" si="58"/>
        <v>12648.402</v>
      </c>
      <c r="AO117" s="2027">
        <f t="shared" si="64"/>
        <v>11148.321093750001</v>
      </c>
      <c r="AP117" s="2027">
        <f t="shared" si="61"/>
        <v>11148.321093750001</v>
      </c>
      <c r="AQ117" s="2027">
        <f t="shared" si="61"/>
        <v>11148.321093750001</v>
      </c>
      <c r="AR117" s="2027">
        <f t="shared" si="59"/>
        <v>11148.321093750001</v>
      </c>
      <c r="AS117" s="2029">
        <f>DF117</f>
        <v>223.12500000000003</v>
      </c>
      <c r="AT117" s="2029">
        <f t="shared" si="65"/>
        <v>223.12500000000003</v>
      </c>
      <c r="AU117" s="2029">
        <f t="shared" si="65"/>
        <v>223.12500000000003</v>
      </c>
      <c r="AV117" s="2029">
        <f t="shared" si="65"/>
        <v>223.12500000000003</v>
      </c>
      <c r="AW117" s="2029">
        <f>CX117-AS117</f>
        <v>2964.375</v>
      </c>
      <c r="AX117" s="2029">
        <f t="shared" si="66"/>
        <v>2964.375</v>
      </c>
      <c r="AY117" s="2029">
        <f t="shared" si="66"/>
        <v>2964.375</v>
      </c>
      <c r="AZ117" s="2029">
        <f t="shared" si="66"/>
        <v>2964.375</v>
      </c>
      <c r="BA117" s="2029">
        <v>1988</v>
      </c>
      <c r="BB117" s="2029">
        <f t="shared" si="67"/>
        <v>1988</v>
      </c>
      <c r="BC117" s="2029">
        <f t="shared" si="67"/>
        <v>1988</v>
      </c>
      <c r="BD117" s="2029">
        <f t="shared" si="67"/>
        <v>1988</v>
      </c>
      <c r="BE117" s="2030">
        <f t="shared" si="46"/>
        <v>669.37500000000011</v>
      </c>
      <c r="BF117" s="2030">
        <f t="shared" si="46"/>
        <v>669.37500000000011</v>
      </c>
      <c r="BG117" s="2030">
        <f t="shared" si="46"/>
        <v>669.37500000000011</v>
      </c>
      <c r="BH117" s="2030">
        <f t="shared" si="46"/>
        <v>669.37500000000011</v>
      </c>
      <c r="BI117" s="2030">
        <f t="shared" si="47"/>
        <v>8893.125</v>
      </c>
      <c r="BJ117" s="2030">
        <f t="shared" si="47"/>
        <v>8893.125</v>
      </c>
      <c r="BK117" s="2030">
        <f t="shared" si="47"/>
        <v>8893.125</v>
      </c>
      <c r="BL117" s="2030">
        <f t="shared" si="40"/>
        <v>8893.125</v>
      </c>
      <c r="BM117" s="2031"/>
      <c r="BN117" s="2031"/>
      <c r="BO117" s="2031"/>
      <c r="BP117" s="2031"/>
      <c r="BQ117" s="2031"/>
      <c r="BR117" s="2031"/>
      <c r="BS117" s="2031"/>
      <c r="BT117" s="2031"/>
      <c r="BU117" s="2029"/>
      <c r="BV117" s="2029"/>
      <c r="BW117" s="2029"/>
      <c r="BX117" s="2029"/>
      <c r="BY117" s="2029"/>
      <c r="BZ117" s="2032"/>
      <c r="CA117" s="1974"/>
      <c r="CB117" s="1974"/>
      <c r="CC117" s="1974"/>
      <c r="CD117" s="1974"/>
      <c r="CE117" s="1974">
        <v>0</v>
      </c>
      <c r="CF117" s="2033">
        <v>4.7763867761061524E-5</v>
      </c>
      <c r="CG117" s="2026">
        <v>5.9099620458603341E-3</v>
      </c>
      <c r="CH117" s="2009">
        <v>0</v>
      </c>
      <c r="CI117" s="2029">
        <v>0</v>
      </c>
      <c r="CK117" s="2029">
        <f t="shared" si="48"/>
        <v>0</v>
      </c>
      <c r="CL117" s="2034">
        <v>1</v>
      </c>
      <c r="CM117" s="2034">
        <v>1</v>
      </c>
      <c r="CN117" s="2034">
        <v>1</v>
      </c>
      <c r="CO117" s="2034">
        <v>1</v>
      </c>
      <c r="CP117" s="2035"/>
      <c r="CQ117" s="2036"/>
      <c r="CR117" s="2036"/>
      <c r="CS117" s="2036"/>
      <c r="CT117" s="2036"/>
      <c r="CU117" s="2036"/>
      <c r="CW117" s="1973">
        <v>0</v>
      </c>
      <c r="CX117" s="2037">
        <v>3187.5</v>
      </c>
      <c r="CY117" s="2037">
        <f>CX117</f>
        <v>3187.5</v>
      </c>
      <c r="CZ117" s="2037">
        <f>CX117</f>
        <v>3187.5</v>
      </c>
      <c r="DA117" s="2037">
        <f>CX117</f>
        <v>3187.5</v>
      </c>
      <c r="DB117" s="2051">
        <v>7.0000000000000007E-2</v>
      </c>
      <c r="DC117" s="2051">
        <v>7.0000000000000007E-2</v>
      </c>
      <c r="DD117" s="2051">
        <v>7.0000000000000007E-2</v>
      </c>
      <c r="DE117" s="2051">
        <v>7.0000000000000007E-2</v>
      </c>
      <c r="DF117" s="2037">
        <f>DB117*CX117</f>
        <v>223.12500000000003</v>
      </c>
      <c r="DG117" s="2037">
        <f>DC117*CY117</f>
        <v>223.12500000000003</v>
      </c>
      <c r="DH117" s="2037">
        <f>DD117*CZ117</f>
        <v>223.12500000000003</v>
      </c>
      <c r="DI117" s="2037">
        <f>DE117*DA117</f>
        <v>223.12500000000003</v>
      </c>
      <c r="DJ117" s="1976">
        <v>318.75</v>
      </c>
      <c r="DK117" s="1973">
        <v>318.75</v>
      </c>
      <c r="DL117" s="1973">
        <v>318.75</v>
      </c>
      <c r="DM117" s="1973">
        <v>318.75</v>
      </c>
      <c r="DO117" s="2023">
        <v>15</v>
      </c>
      <c r="DP117" s="2024">
        <v>4966</v>
      </c>
      <c r="DQ117" s="2024">
        <v>0.67999999999999994</v>
      </c>
      <c r="DR117" s="2023">
        <v>5505.34375</v>
      </c>
      <c r="DS117" s="2029">
        <v>223.12500000000003</v>
      </c>
      <c r="DT117" s="2029">
        <v>223.12500000000003</v>
      </c>
      <c r="DU117" s="2029">
        <v>223.12500000000003</v>
      </c>
      <c r="DV117" s="2029">
        <v>223.12500000000003</v>
      </c>
      <c r="DW117" s="2029">
        <v>2964.375</v>
      </c>
      <c r="DX117" s="2029">
        <v>2964.375</v>
      </c>
      <c r="DY117" s="2029">
        <v>2964.375</v>
      </c>
      <c r="DZ117" s="2029">
        <v>2964.375</v>
      </c>
      <c r="EA117" s="2029">
        <v>1988</v>
      </c>
      <c r="EB117" s="2029">
        <v>1988</v>
      </c>
      <c r="EC117" s="2029">
        <v>1988</v>
      </c>
      <c r="ED117" s="2029">
        <v>1988</v>
      </c>
      <c r="EE117" s="2039">
        <f t="shared" si="49"/>
        <v>0</v>
      </c>
      <c r="EF117" s="2039">
        <f t="shared" si="49"/>
        <v>0</v>
      </c>
      <c r="EG117" s="2039">
        <f t="shared" si="49"/>
        <v>0</v>
      </c>
      <c r="EH117" s="2039">
        <f t="shared" si="49"/>
        <v>0</v>
      </c>
      <c r="EI117" s="2040">
        <f t="shared" si="38"/>
        <v>0</v>
      </c>
      <c r="EJ117" s="2040">
        <f t="shared" si="38"/>
        <v>0</v>
      </c>
      <c r="EK117" s="2040">
        <f t="shared" si="38"/>
        <v>0</v>
      </c>
      <c r="EL117" s="2040">
        <f t="shared" si="38"/>
        <v>0</v>
      </c>
      <c r="EM117" s="2040">
        <f t="shared" si="38"/>
        <v>0</v>
      </c>
      <c r="EN117" s="2040">
        <f t="shared" si="38"/>
        <v>0</v>
      </c>
      <c r="EO117" s="2040">
        <f t="shared" si="57"/>
        <v>0</v>
      </c>
      <c r="EP117" s="2040">
        <f t="shared" si="57"/>
        <v>0</v>
      </c>
      <c r="EQ117" s="2040">
        <f t="shared" si="57"/>
        <v>0</v>
      </c>
      <c r="ER117" s="2040">
        <f t="shared" si="57"/>
        <v>0</v>
      </c>
      <c r="ES117" s="2040">
        <f t="shared" si="57"/>
        <v>0</v>
      </c>
      <c r="ET117" s="2040">
        <f t="shared" si="57"/>
        <v>0</v>
      </c>
      <c r="EU117" s="2039">
        <f t="shared" si="50"/>
        <v>0</v>
      </c>
      <c r="EV117" s="2039">
        <f t="shared" si="51"/>
        <v>0</v>
      </c>
    </row>
    <row r="118" spans="1:152" x14ac:dyDescent="0.25">
      <c r="A118" s="2041" t="s">
        <v>159</v>
      </c>
      <c r="B118" s="2022"/>
      <c r="C118" s="2023">
        <v>15</v>
      </c>
      <c r="D118" s="2024">
        <v>167.00986740139751</v>
      </c>
      <c r="E118" s="2024">
        <v>3.6658771183834489E-2</v>
      </c>
      <c r="F118" s="2023">
        <v>-2.5484437443116437</v>
      </c>
      <c r="G118" s="2026" t="s">
        <v>4</v>
      </c>
      <c r="H118" s="2026" t="s">
        <v>4</v>
      </c>
      <c r="I118" s="2026">
        <v>0.77800000000000002</v>
      </c>
      <c r="J118" s="2026">
        <v>0.77800000000000002</v>
      </c>
      <c r="K118" s="2026">
        <v>0.77800000000000002</v>
      </c>
      <c r="L118" s="2026">
        <v>0.77800000000000002</v>
      </c>
      <c r="M118" s="2027">
        <f t="shared" si="41"/>
        <v>129.93367683828728</v>
      </c>
      <c r="N118" s="2027">
        <f t="shared" si="41"/>
        <v>129.93367683828728</v>
      </c>
      <c r="O118" s="2027">
        <f t="shared" si="41"/>
        <v>129.93367683828728</v>
      </c>
      <c r="P118" s="2027">
        <f t="shared" si="41"/>
        <v>129.93367683828728</v>
      </c>
      <c r="Q118" s="2026">
        <v>0.77800000000000002</v>
      </c>
      <c r="R118" s="2026">
        <v>0.77800000000000002</v>
      </c>
      <c r="S118" s="2026">
        <v>0.77800000000000002</v>
      </c>
      <c r="T118" s="2026">
        <v>0.77800000000000002</v>
      </c>
      <c r="U118" s="2028">
        <f t="shared" si="42"/>
        <v>2.8520523981023234E-2</v>
      </c>
      <c r="V118" s="2028">
        <f t="shared" si="42"/>
        <v>2.8520523981023234E-2</v>
      </c>
      <c r="W118" s="2028">
        <f t="shared" si="42"/>
        <v>2.8520523981023234E-2</v>
      </c>
      <c r="X118" s="2028">
        <f t="shared" si="42"/>
        <v>2.8520523981023234E-2</v>
      </c>
      <c r="Y118" s="2026">
        <v>0.77800000000000002</v>
      </c>
      <c r="Z118" s="2026">
        <v>0.77800000000000002</v>
      </c>
      <c r="AA118" s="2026">
        <v>0.77800000000000002</v>
      </c>
      <c r="AB118" s="2026">
        <v>0.77800000000000002</v>
      </c>
      <c r="AC118" s="2027">
        <f t="shared" ref="AC118:AF146" si="68">$F118*Y118</f>
        <v>-1.9826892330744588</v>
      </c>
      <c r="AD118" s="2027">
        <f t="shared" si="68"/>
        <v>-1.9826892330744588</v>
      </c>
      <c r="AE118" s="2027">
        <f t="shared" si="68"/>
        <v>-1.9826892330744588</v>
      </c>
      <c r="AF118" s="2027">
        <f t="shared" si="68"/>
        <v>-1.9826892330744588</v>
      </c>
      <c r="AG118" s="2027">
        <v>8</v>
      </c>
      <c r="AH118" s="2027">
        <v>0</v>
      </c>
      <c r="AI118" s="2027">
        <v>0</v>
      </c>
      <c r="AJ118" s="2027">
        <v>0</v>
      </c>
      <c r="AK118" s="2027">
        <f t="shared" si="63"/>
        <v>1039.4694147062983</v>
      </c>
      <c r="AL118" s="2027">
        <f t="shared" si="60"/>
        <v>0</v>
      </c>
      <c r="AM118" s="2027">
        <f t="shared" si="60"/>
        <v>0</v>
      </c>
      <c r="AN118" s="2027">
        <f t="shared" si="58"/>
        <v>0</v>
      </c>
      <c r="AO118" s="2027">
        <f t="shared" si="64"/>
        <v>-15.86151386459567</v>
      </c>
      <c r="AP118" s="2027">
        <f t="shared" si="61"/>
        <v>0</v>
      </c>
      <c r="AQ118" s="2027">
        <f t="shared" si="61"/>
        <v>0</v>
      </c>
      <c r="AR118" s="2027">
        <f t="shared" si="59"/>
        <v>0</v>
      </c>
      <c r="AS118" s="2029">
        <v>8.3281250000000249</v>
      </c>
      <c r="AT118" s="2029">
        <f t="shared" si="65"/>
        <v>8.3281250000000249</v>
      </c>
      <c r="AU118" s="2029">
        <f t="shared" si="65"/>
        <v>8.3281250000000249</v>
      </c>
      <c r="AV118" s="2029">
        <f t="shared" si="65"/>
        <v>8.3281250000000249</v>
      </c>
      <c r="AW118" s="1974"/>
      <c r="AX118" s="2029">
        <f t="shared" si="66"/>
        <v>0</v>
      </c>
      <c r="AY118" s="2029">
        <f t="shared" si="66"/>
        <v>0</v>
      </c>
      <c r="AZ118" s="2029">
        <f t="shared" si="66"/>
        <v>0</v>
      </c>
      <c r="BA118" s="2029">
        <v>57.5</v>
      </c>
      <c r="BB118" s="2029">
        <f t="shared" si="67"/>
        <v>57.5</v>
      </c>
      <c r="BC118" s="2029">
        <f t="shared" si="67"/>
        <v>57.5</v>
      </c>
      <c r="BD118" s="2029">
        <f t="shared" si="67"/>
        <v>57.5</v>
      </c>
      <c r="BE118" s="2030">
        <f t="shared" si="46"/>
        <v>66.625000000000199</v>
      </c>
      <c r="BF118" s="2030">
        <f t="shared" si="46"/>
        <v>0</v>
      </c>
      <c r="BG118" s="2030">
        <f t="shared" si="46"/>
        <v>0</v>
      </c>
      <c r="BH118" s="2030">
        <f t="shared" si="46"/>
        <v>0</v>
      </c>
      <c r="BI118" s="2030">
        <f t="shared" si="47"/>
        <v>0</v>
      </c>
      <c r="BJ118" s="2030">
        <f t="shared" si="47"/>
        <v>0</v>
      </c>
      <c r="BK118" s="2030">
        <f t="shared" si="47"/>
        <v>0</v>
      </c>
      <c r="BL118" s="2030">
        <f t="shared" si="40"/>
        <v>0</v>
      </c>
      <c r="BM118" s="2031"/>
      <c r="BN118" s="2031"/>
      <c r="BO118" s="2031"/>
      <c r="BP118" s="2031"/>
      <c r="BQ118" s="2031"/>
      <c r="BR118" s="2031"/>
      <c r="BS118" s="2031"/>
      <c r="BT118" s="2031"/>
      <c r="BU118" s="2029"/>
      <c r="BV118" s="2029"/>
      <c r="BW118" s="2029"/>
      <c r="BX118" s="2029"/>
      <c r="BY118" s="2029"/>
      <c r="BZ118" s="2032"/>
      <c r="CA118" s="1974"/>
      <c r="CB118" s="1974"/>
      <c r="CC118" s="1974"/>
      <c r="CD118" s="1974"/>
      <c r="CE118" s="1974">
        <v>1</v>
      </c>
      <c r="CF118" s="2033">
        <v>4.3453322447220653E-6</v>
      </c>
      <c r="CG118" s="2026">
        <v>-5.9176204096954874E-6</v>
      </c>
      <c r="CH118" s="2009">
        <v>1</v>
      </c>
      <c r="CI118" s="2029">
        <v>0.67827777777777754</v>
      </c>
      <c r="CK118" s="2029">
        <f t="shared" si="48"/>
        <v>-0.67827777777777754</v>
      </c>
      <c r="CL118" s="2034">
        <v>1</v>
      </c>
      <c r="CM118" s="2026">
        <v>0.3</v>
      </c>
      <c r="CN118" s="2026">
        <v>0.3</v>
      </c>
      <c r="CO118" s="2026">
        <v>0.3</v>
      </c>
      <c r="CP118" s="2035"/>
      <c r="CQ118" s="2036"/>
      <c r="CR118" s="2036"/>
      <c r="CS118" s="2036"/>
      <c r="CT118" s="2036"/>
      <c r="CU118" s="2036"/>
      <c r="CW118" s="1973">
        <v>0</v>
      </c>
      <c r="CX118" s="2037">
        <v>8.3281250000000249</v>
      </c>
      <c r="CY118" s="2037">
        <v>8.3281250000000249</v>
      </c>
      <c r="CZ118" s="2037">
        <v>8.3281250000000249</v>
      </c>
      <c r="DA118" s="2037">
        <v>8.3281250000000249</v>
      </c>
      <c r="DJ118" s="1976">
        <v>8.3281250000000249</v>
      </c>
      <c r="DK118" s="1973">
        <v>8.3281250000000249</v>
      </c>
      <c r="DL118" s="1973">
        <v>8.3281250000000249</v>
      </c>
      <c r="DM118" s="1973">
        <v>8.3281250000000249</v>
      </c>
      <c r="DO118" s="2023">
        <v>15</v>
      </c>
      <c r="DP118" s="2024">
        <v>167.00986740139751</v>
      </c>
      <c r="DQ118" s="2024">
        <v>3.6658771183834489E-2</v>
      </c>
      <c r="DR118" s="2023">
        <v>-2.5484437443116437</v>
      </c>
      <c r="DS118" s="2029">
        <v>8.3281250000000249</v>
      </c>
      <c r="DT118" s="2029">
        <v>8.3281250000000249</v>
      </c>
      <c r="DU118" s="2029">
        <v>8.3281250000000249</v>
      </c>
      <c r="DV118" s="2029">
        <v>8.3281250000000249</v>
      </c>
      <c r="DW118" s="1974"/>
      <c r="DX118" s="2029">
        <v>0</v>
      </c>
      <c r="DY118" s="2029">
        <v>0</v>
      </c>
      <c r="DZ118" s="2029">
        <v>0</v>
      </c>
      <c r="EA118" s="2029">
        <v>57.5</v>
      </c>
      <c r="EB118" s="2029">
        <v>57.5</v>
      </c>
      <c r="EC118" s="2029">
        <v>57.5</v>
      </c>
      <c r="ED118" s="2029">
        <v>57.5</v>
      </c>
      <c r="EE118" s="2039">
        <f t="shared" si="49"/>
        <v>0</v>
      </c>
      <c r="EF118" s="2039">
        <f t="shared" si="49"/>
        <v>0</v>
      </c>
      <c r="EG118" s="2039">
        <f t="shared" si="49"/>
        <v>0</v>
      </c>
      <c r="EH118" s="2039">
        <f t="shared" si="49"/>
        <v>0</v>
      </c>
      <c r="EI118" s="2040">
        <f t="shared" si="38"/>
        <v>0</v>
      </c>
      <c r="EJ118" s="2040">
        <f t="shared" si="38"/>
        <v>0</v>
      </c>
      <c r="EK118" s="2040">
        <f t="shared" si="38"/>
        <v>0</v>
      </c>
      <c r="EL118" s="2040">
        <f t="shared" si="38"/>
        <v>0</v>
      </c>
      <c r="EM118" s="2040">
        <f t="shared" si="38"/>
        <v>0</v>
      </c>
      <c r="EN118" s="2040">
        <f t="shared" si="38"/>
        <v>0</v>
      </c>
      <c r="EO118" s="2040">
        <f t="shared" si="57"/>
        <v>0</v>
      </c>
      <c r="EP118" s="2040">
        <f t="shared" si="57"/>
        <v>0</v>
      </c>
      <c r="EQ118" s="2040">
        <f t="shared" si="57"/>
        <v>0</v>
      </c>
      <c r="ER118" s="2040">
        <f t="shared" si="57"/>
        <v>0</v>
      </c>
      <c r="ES118" s="2040">
        <f t="shared" si="57"/>
        <v>0</v>
      </c>
      <c r="ET118" s="2040">
        <f t="shared" si="57"/>
        <v>0</v>
      </c>
      <c r="EU118" s="2039">
        <f t="shared" si="50"/>
        <v>0</v>
      </c>
      <c r="EV118" s="2039">
        <f t="shared" si="51"/>
        <v>0</v>
      </c>
    </row>
    <row r="119" spans="1:152" x14ac:dyDescent="0.25">
      <c r="A119" s="2041" t="s">
        <v>160</v>
      </c>
      <c r="B119" s="2022"/>
      <c r="C119" s="2023">
        <v>8</v>
      </c>
      <c r="D119" s="2024">
        <v>1104</v>
      </c>
      <c r="E119" s="2024">
        <v>0.182</v>
      </c>
      <c r="F119" s="2023">
        <v>-19.39</v>
      </c>
      <c r="G119" s="2026" t="s">
        <v>4</v>
      </c>
      <c r="H119" s="2026" t="s">
        <v>4</v>
      </c>
      <c r="I119" s="2026">
        <v>0.77800000000000002</v>
      </c>
      <c r="J119" s="2026">
        <v>0.77800000000000002</v>
      </c>
      <c r="K119" s="2026">
        <v>0.77800000000000002</v>
      </c>
      <c r="L119" s="2026">
        <v>0.77800000000000002</v>
      </c>
      <c r="M119" s="2027">
        <f t="shared" si="41"/>
        <v>858.91200000000003</v>
      </c>
      <c r="N119" s="2027">
        <f t="shared" si="41"/>
        <v>858.91200000000003</v>
      </c>
      <c r="O119" s="2027">
        <f t="shared" si="41"/>
        <v>858.91200000000003</v>
      </c>
      <c r="P119" s="2027">
        <f t="shared" si="41"/>
        <v>858.91200000000003</v>
      </c>
      <c r="Q119" s="2026">
        <v>0.77800000000000002</v>
      </c>
      <c r="R119" s="2026">
        <v>0.77800000000000002</v>
      </c>
      <c r="S119" s="2026">
        <v>0.77800000000000002</v>
      </c>
      <c r="T119" s="2026">
        <v>0.77800000000000002</v>
      </c>
      <c r="U119" s="2028">
        <f t="shared" si="42"/>
        <v>0.141596</v>
      </c>
      <c r="V119" s="2028">
        <f t="shared" si="42"/>
        <v>0.141596</v>
      </c>
      <c r="W119" s="2028">
        <f t="shared" si="42"/>
        <v>0.141596</v>
      </c>
      <c r="X119" s="2028">
        <f t="shared" si="42"/>
        <v>0.141596</v>
      </c>
      <c r="Y119" s="2026">
        <v>0.77800000000000002</v>
      </c>
      <c r="Z119" s="2026">
        <v>0.77800000000000002</v>
      </c>
      <c r="AA119" s="2026">
        <v>0.77800000000000002</v>
      </c>
      <c r="AB119" s="2026">
        <v>0.77800000000000002</v>
      </c>
      <c r="AC119" s="2027">
        <f t="shared" si="68"/>
        <v>-15.085420000000001</v>
      </c>
      <c r="AD119" s="2027">
        <f t="shared" si="68"/>
        <v>-15.085420000000001</v>
      </c>
      <c r="AE119" s="2027">
        <f t="shared" si="68"/>
        <v>-15.085420000000001</v>
      </c>
      <c r="AF119" s="2027">
        <f t="shared" si="68"/>
        <v>-15.085420000000001</v>
      </c>
      <c r="AG119" s="2027">
        <v>121</v>
      </c>
      <c r="AH119" s="2027">
        <v>157</v>
      </c>
      <c r="AI119" s="2027">
        <v>192</v>
      </c>
      <c r="AJ119" s="2027">
        <v>243</v>
      </c>
      <c r="AK119" s="2027">
        <f t="shared" si="63"/>
        <v>103928.352</v>
      </c>
      <c r="AL119" s="2027">
        <f t="shared" si="60"/>
        <v>134849.18400000001</v>
      </c>
      <c r="AM119" s="2027">
        <f t="shared" si="60"/>
        <v>164911.10399999999</v>
      </c>
      <c r="AN119" s="2027">
        <f t="shared" si="58"/>
        <v>208715.61600000001</v>
      </c>
      <c r="AO119" s="2027">
        <f t="shared" si="64"/>
        <v>-1825.33582</v>
      </c>
      <c r="AP119" s="2027">
        <f t="shared" si="61"/>
        <v>-2368.4109400000002</v>
      </c>
      <c r="AQ119" s="2027">
        <f t="shared" si="61"/>
        <v>-2896.4006400000003</v>
      </c>
      <c r="AR119" s="2027">
        <f t="shared" si="59"/>
        <v>-3665.7570600000004</v>
      </c>
      <c r="AS119" s="2029">
        <v>50</v>
      </c>
      <c r="AT119" s="2029">
        <f t="shared" si="65"/>
        <v>50</v>
      </c>
      <c r="AU119" s="2029">
        <f t="shared" si="65"/>
        <v>50</v>
      </c>
      <c r="AV119" s="2029">
        <f t="shared" si="65"/>
        <v>50</v>
      </c>
      <c r="AW119" s="1974"/>
      <c r="AX119" s="2029">
        <f t="shared" si="66"/>
        <v>0</v>
      </c>
      <c r="AY119" s="2029">
        <f t="shared" si="66"/>
        <v>0</v>
      </c>
      <c r="AZ119" s="2029">
        <f t="shared" si="66"/>
        <v>0</v>
      </c>
      <c r="BA119" s="2029">
        <v>274</v>
      </c>
      <c r="BB119" s="2029">
        <f t="shared" si="67"/>
        <v>274</v>
      </c>
      <c r="BC119" s="2029">
        <f t="shared" si="67"/>
        <v>274</v>
      </c>
      <c r="BD119" s="2029">
        <f t="shared" si="67"/>
        <v>274</v>
      </c>
      <c r="BE119" s="2030">
        <f t="shared" si="46"/>
        <v>6050</v>
      </c>
      <c r="BF119" s="2030">
        <f t="shared" si="46"/>
        <v>7850</v>
      </c>
      <c r="BG119" s="2030">
        <f t="shared" si="46"/>
        <v>9600</v>
      </c>
      <c r="BH119" s="2030">
        <f t="shared" si="46"/>
        <v>12150</v>
      </c>
      <c r="BI119" s="2030">
        <f t="shared" si="47"/>
        <v>0</v>
      </c>
      <c r="BJ119" s="2030">
        <f t="shared" si="47"/>
        <v>0</v>
      </c>
      <c r="BK119" s="2030">
        <f t="shared" si="47"/>
        <v>0</v>
      </c>
      <c r="BL119" s="2030">
        <f t="shared" si="40"/>
        <v>0</v>
      </c>
      <c r="BM119" s="2031"/>
      <c r="BN119" s="2031"/>
      <c r="BO119" s="2031"/>
      <c r="BP119" s="2031"/>
      <c r="BQ119" s="2031"/>
      <c r="BR119" s="2031"/>
      <c r="BS119" s="2031"/>
      <c r="BT119" s="2031"/>
      <c r="BU119" s="2029"/>
      <c r="BV119" s="2029"/>
      <c r="BW119" s="2029"/>
      <c r="BX119" s="2029"/>
      <c r="BY119" s="2029"/>
      <c r="BZ119" s="2032"/>
      <c r="CA119" s="1974"/>
      <c r="CB119" s="1974"/>
      <c r="CC119" s="1974"/>
      <c r="CD119" s="1974"/>
      <c r="CE119" s="1974">
        <v>0</v>
      </c>
      <c r="CF119" s="2033">
        <v>4.3445551422407677E-4</v>
      </c>
      <c r="CG119" s="2026">
        <v>-6.8099707223347032E-4</v>
      </c>
      <c r="CH119" s="2009">
        <v>0</v>
      </c>
      <c r="CI119" s="2029">
        <v>0</v>
      </c>
      <c r="CK119" s="2029">
        <f t="shared" si="48"/>
        <v>0</v>
      </c>
      <c r="CL119" s="2034">
        <v>1</v>
      </c>
      <c r="CM119" s="2034">
        <v>1</v>
      </c>
      <c r="CN119" s="2034">
        <v>1</v>
      </c>
      <c r="CO119" s="2034">
        <v>1</v>
      </c>
      <c r="CP119" s="2035"/>
      <c r="CQ119" s="2036"/>
      <c r="CR119" s="2036"/>
      <c r="CS119" s="2036"/>
      <c r="CT119" s="2036"/>
      <c r="CU119" s="2036"/>
      <c r="CW119" s="1973">
        <v>0</v>
      </c>
      <c r="CX119" s="2037">
        <v>50</v>
      </c>
      <c r="CY119" s="2037">
        <v>50</v>
      </c>
      <c r="CZ119" s="2037">
        <v>50</v>
      </c>
      <c r="DA119" s="2037">
        <v>50</v>
      </c>
      <c r="DJ119" s="1976">
        <v>50</v>
      </c>
      <c r="DK119" s="1973">
        <v>50</v>
      </c>
      <c r="DL119" s="1973">
        <v>50</v>
      </c>
      <c r="DM119" s="1973">
        <v>50</v>
      </c>
      <c r="DO119" s="2023">
        <v>8</v>
      </c>
      <c r="DP119" s="2024">
        <v>1104</v>
      </c>
      <c r="DQ119" s="2024">
        <v>0.182</v>
      </c>
      <c r="DR119" s="2023">
        <v>-19.39</v>
      </c>
      <c r="DS119" s="2029">
        <v>50</v>
      </c>
      <c r="DT119" s="2029">
        <v>50</v>
      </c>
      <c r="DU119" s="2029">
        <v>50</v>
      </c>
      <c r="DV119" s="2029">
        <v>50</v>
      </c>
      <c r="DW119" s="1974"/>
      <c r="DX119" s="2029">
        <v>0</v>
      </c>
      <c r="DY119" s="2029">
        <v>0</v>
      </c>
      <c r="DZ119" s="2029">
        <v>0</v>
      </c>
      <c r="EA119" s="2029">
        <v>274</v>
      </c>
      <c r="EB119" s="2029">
        <v>274</v>
      </c>
      <c r="EC119" s="2029">
        <v>274</v>
      </c>
      <c r="ED119" s="2029">
        <v>274</v>
      </c>
      <c r="EE119" s="2039">
        <f t="shared" si="49"/>
        <v>0</v>
      </c>
      <c r="EF119" s="2039">
        <f t="shared" si="49"/>
        <v>0</v>
      </c>
      <c r="EG119" s="2039">
        <f t="shared" si="49"/>
        <v>0</v>
      </c>
      <c r="EH119" s="2039">
        <f t="shared" si="49"/>
        <v>0</v>
      </c>
      <c r="EI119" s="2040">
        <f t="shared" si="38"/>
        <v>0</v>
      </c>
      <c r="EJ119" s="2040">
        <f t="shared" si="38"/>
        <v>0</v>
      </c>
      <c r="EK119" s="2040">
        <f t="shared" si="38"/>
        <v>0</v>
      </c>
      <c r="EL119" s="2040">
        <f t="shared" si="38"/>
        <v>0</v>
      </c>
      <c r="EM119" s="2040">
        <f t="shared" si="38"/>
        <v>0</v>
      </c>
      <c r="EN119" s="2040">
        <f t="shared" si="38"/>
        <v>0</v>
      </c>
      <c r="EO119" s="2040">
        <f t="shared" si="57"/>
        <v>0</v>
      </c>
      <c r="EP119" s="2040">
        <f t="shared" si="57"/>
        <v>0</v>
      </c>
      <c r="EQ119" s="2040">
        <f t="shared" si="57"/>
        <v>0</v>
      </c>
      <c r="ER119" s="2040">
        <f t="shared" si="57"/>
        <v>0</v>
      </c>
      <c r="ES119" s="2040">
        <f t="shared" si="57"/>
        <v>0</v>
      </c>
      <c r="ET119" s="2040">
        <f t="shared" si="57"/>
        <v>0</v>
      </c>
      <c r="EU119" s="2039">
        <f t="shared" si="50"/>
        <v>0</v>
      </c>
      <c r="EV119" s="2039">
        <f t="shared" si="51"/>
        <v>0</v>
      </c>
    </row>
    <row r="120" spans="1:152" x14ac:dyDescent="0.25">
      <c r="A120" s="2041" t="s">
        <v>161</v>
      </c>
      <c r="B120" s="2022"/>
      <c r="C120" s="2023">
        <v>14</v>
      </c>
      <c r="D120" s="2024">
        <v>1310</v>
      </c>
      <c r="E120" s="2024">
        <v>0</v>
      </c>
      <c r="F120" s="2023">
        <v>0</v>
      </c>
      <c r="G120" s="2026" t="s">
        <v>2899</v>
      </c>
      <c r="H120" s="2026" t="s">
        <v>2899</v>
      </c>
      <c r="I120" s="2026">
        <v>0.84899999999999998</v>
      </c>
      <c r="J120" s="2026">
        <v>0.84899999999999998</v>
      </c>
      <c r="K120" s="2026">
        <v>0.84899999999999998</v>
      </c>
      <c r="L120" s="2026">
        <v>0.84899999999999998</v>
      </c>
      <c r="M120" s="2027">
        <f t="shared" si="41"/>
        <v>1112.19</v>
      </c>
      <c r="N120" s="2027">
        <f t="shared" si="41"/>
        <v>1112.19</v>
      </c>
      <c r="O120" s="2027">
        <f t="shared" si="41"/>
        <v>1112.19</v>
      </c>
      <c r="P120" s="2027">
        <f t="shared" si="41"/>
        <v>1112.19</v>
      </c>
      <c r="Q120" s="2026">
        <v>0.84899999999999998</v>
      </c>
      <c r="R120" s="2026">
        <v>0.84899999999999998</v>
      </c>
      <c r="S120" s="2026">
        <v>0.84899999999999998</v>
      </c>
      <c r="T120" s="2026">
        <v>0.84899999999999998</v>
      </c>
      <c r="U120" s="2028">
        <f t="shared" si="42"/>
        <v>0</v>
      </c>
      <c r="V120" s="2028">
        <f t="shared" si="42"/>
        <v>0</v>
      </c>
      <c r="W120" s="2028">
        <f t="shared" si="42"/>
        <v>0</v>
      </c>
      <c r="X120" s="2028">
        <f t="shared" si="42"/>
        <v>0</v>
      </c>
      <c r="Y120" s="2026">
        <v>0.67500000000000004</v>
      </c>
      <c r="Z120" s="2026">
        <v>0.67500000000000004</v>
      </c>
      <c r="AA120" s="2026">
        <v>0.67500000000000004</v>
      </c>
      <c r="AB120" s="2026">
        <v>0.67500000000000004</v>
      </c>
      <c r="AC120" s="2027">
        <f t="shared" si="68"/>
        <v>0</v>
      </c>
      <c r="AD120" s="2027">
        <f t="shared" si="68"/>
        <v>0</v>
      </c>
      <c r="AE120" s="2027">
        <f t="shared" si="68"/>
        <v>0</v>
      </c>
      <c r="AF120" s="2027">
        <f t="shared" si="68"/>
        <v>0</v>
      </c>
      <c r="AG120" s="2027">
        <v>1</v>
      </c>
      <c r="AH120" s="2027">
        <v>2</v>
      </c>
      <c r="AI120" s="2027">
        <v>2</v>
      </c>
      <c r="AJ120" s="2027">
        <v>2</v>
      </c>
      <c r="AK120" s="2027">
        <f t="shared" si="63"/>
        <v>1112.19</v>
      </c>
      <c r="AL120" s="2027">
        <f t="shared" si="60"/>
        <v>2224.38</v>
      </c>
      <c r="AM120" s="2027">
        <f t="shared" si="60"/>
        <v>2224.38</v>
      </c>
      <c r="AN120" s="2027">
        <f t="shared" si="58"/>
        <v>2224.38</v>
      </c>
      <c r="AO120" s="2027">
        <f t="shared" si="64"/>
        <v>0</v>
      </c>
      <c r="AP120" s="2027">
        <f t="shared" si="61"/>
        <v>0</v>
      </c>
      <c r="AQ120" s="2027">
        <f t="shared" si="61"/>
        <v>0</v>
      </c>
      <c r="AR120" s="2027">
        <f t="shared" si="59"/>
        <v>0</v>
      </c>
      <c r="AS120" s="2029">
        <v>100</v>
      </c>
      <c r="AT120" s="2029">
        <f t="shared" si="65"/>
        <v>100</v>
      </c>
      <c r="AU120" s="2029">
        <f t="shared" si="65"/>
        <v>100</v>
      </c>
      <c r="AV120" s="2029">
        <f t="shared" si="65"/>
        <v>100</v>
      </c>
      <c r="AW120" s="1974"/>
      <c r="AX120" s="2029">
        <f t="shared" si="66"/>
        <v>0</v>
      </c>
      <c r="AY120" s="2029">
        <f t="shared" si="66"/>
        <v>0</v>
      </c>
      <c r="AZ120" s="2029">
        <f t="shared" si="66"/>
        <v>0</v>
      </c>
      <c r="BA120" s="2029">
        <v>500</v>
      </c>
      <c r="BB120" s="2029">
        <f t="shared" si="67"/>
        <v>500</v>
      </c>
      <c r="BC120" s="2029">
        <f t="shared" si="67"/>
        <v>500</v>
      </c>
      <c r="BD120" s="2029">
        <f t="shared" si="67"/>
        <v>500</v>
      </c>
      <c r="BE120" s="2030">
        <f t="shared" si="46"/>
        <v>100</v>
      </c>
      <c r="BF120" s="2030">
        <f t="shared" si="46"/>
        <v>200</v>
      </c>
      <c r="BG120" s="2030">
        <f t="shared" si="46"/>
        <v>200</v>
      </c>
      <c r="BH120" s="2030">
        <f t="shared" si="46"/>
        <v>200</v>
      </c>
      <c r="BI120" s="2030">
        <f t="shared" si="47"/>
        <v>0</v>
      </c>
      <c r="BJ120" s="2030">
        <f t="shared" si="47"/>
        <v>0</v>
      </c>
      <c r="BK120" s="2030">
        <f t="shared" si="47"/>
        <v>0</v>
      </c>
      <c r="BL120" s="2030">
        <f t="shared" si="40"/>
        <v>0</v>
      </c>
      <c r="BM120" s="2031"/>
      <c r="BN120" s="2031"/>
      <c r="BO120" s="2031"/>
      <c r="BP120" s="2031"/>
      <c r="BQ120" s="2031"/>
      <c r="BR120" s="2031"/>
      <c r="BS120" s="2031"/>
      <c r="BT120" s="2031"/>
      <c r="BU120" s="2029"/>
      <c r="BV120" s="2029"/>
      <c r="BW120" s="2029"/>
      <c r="BX120" s="2029"/>
      <c r="BY120" s="2029"/>
      <c r="BZ120" s="2032"/>
      <c r="CA120" s="1974"/>
      <c r="CB120" s="1974"/>
      <c r="CC120" s="1974"/>
      <c r="CD120" s="1974"/>
      <c r="CE120" s="1974">
        <v>0</v>
      </c>
      <c r="CF120" s="2033">
        <v>4.6493287833995095E-6</v>
      </c>
      <c r="CG120" s="2026">
        <v>0</v>
      </c>
      <c r="CH120" s="2009">
        <v>0</v>
      </c>
      <c r="CI120" s="2029">
        <v>0</v>
      </c>
      <c r="CK120" s="2029">
        <f t="shared" si="48"/>
        <v>0</v>
      </c>
      <c r="CL120" s="2034">
        <v>1</v>
      </c>
      <c r="CM120" s="2034">
        <v>1</v>
      </c>
      <c r="CN120" s="2034">
        <v>1</v>
      </c>
      <c r="CO120" s="2034">
        <v>1</v>
      </c>
      <c r="CP120" s="2035"/>
      <c r="CQ120" s="2036"/>
      <c r="CR120" s="2036"/>
      <c r="CS120" s="2049"/>
      <c r="CT120" s="2049"/>
      <c r="CU120" s="2049"/>
      <c r="CW120" s="1973">
        <v>0</v>
      </c>
      <c r="CX120" s="2037">
        <v>100</v>
      </c>
      <c r="CY120" s="2037">
        <v>100</v>
      </c>
      <c r="CZ120" s="2037">
        <v>100</v>
      </c>
      <c r="DA120" s="2037">
        <v>100</v>
      </c>
      <c r="DJ120" s="1976">
        <v>100</v>
      </c>
      <c r="DK120" s="1973">
        <v>100</v>
      </c>
      <c r="DL120" s="1973">
        <v>100</v>
      </c>
      <c r="DM120" s="1973">
        <v>100</v>
      </c>
      <c r="DO120" s="2023">
        <v>14</v>
      </c>
      <c r="DP120" s="2024">
        <v>1310</v>
      </c>
      <c r="DQ120" s="2024">
        <v>0</v>
      </c>
      <c r="DR120" s="2023">
        <v>0</v>
      </c>
      <c r="DS120" s="2029">
        <v>100</v>
      </c>
      <c r="DT120" s="2029">
        <v>100</v>
      </c>
      <c r="DU120" s="2029">
        <v>100</v>
      </c>
      <c r="DV120" s="2029">
        <v>100</v>
      </c>
      <c r="DW120" s="1974"/>
      <c r="DX120" s="2029">
        <v>0</v>
      </c>
      <c r="DY120" s="2029">
        <v>0</v>
      </c>
      <c r="DZ120" s="2029">
        <v>0</v>
      </c>
      <c r="EA120" s="2029">
        <v>500</v>
      </c>
      <c r="EB120" s="2029">
        <v>500</v>
      </c>
      <c r="EC120" s="2029">
        <v>500</v>
      </c>
      <c r="ED120" s="2029">
        <v>500</v>
      </c>
      <c r="EE120" s="2039">
        <f t="shared" si="49"/>
        <v>0</v>
      </c>
      <c r="EF120" s="2039">
        <f t="shared" si="49"/>
        <v>0</v>
      </c>
      <c r="EG120" s="2039">
        <f t="shared" si="49"/>
        <v>0</v>
      </c>
      <c r="EH120" s="2039">
        <f t="shared" si="49"/>
        <v>0</v>
      </c>
      <c r="EI120" s="2040">
        <f t="shared" si="38"/>
        <v>0</v>
      </c>
      <c r="EJ120" s="2040">
        <f t="shared" si="38"/>
        <v>0</v>
      </c>
      <c r="EK120" s="2040">
        <f t="shared" si="38"/>
        <v>0</v>
      </c>
      <c r="EL120" s="2040">
        <f t="shared" ref="EL120:EQ169" si="69">AV120-DV120</f>
        <v>0</v>
      </c>
      <c r="EM120" s="2040">
        <f t="shared" si="69"/>
        <v>0</v>
      </c>
      <c r="EN120" s="2040">
        <f t="shared" si="69"/>
        <v>0</v>
      </c>
      <c r="EO120" s="2040">
        <f t="shared" si="57"/>
        <v>0</v>
      </c>
      <c r="EP120" s="2040">
        <f t="shared" si="57"/>
        <v>0</v>
      </c>
      <c r="EQ120" s="2040">
        <f t="shared" si="57"/>
        <v>0</v>
      </c>
      <c r="ER120" s="2040">
        <f t="shared" si="57"/>
        <v>0</v>
      </c>
      <c r="ES120" s="2040">
        <f t="shared" si="57"/>
        <v>0</v>
      </c>
      <c r="ET120" s="2040">
        <f t="shared" si="57"/>
        <v>0</v>
      </c>
      <c r="EU120" s="2039">
        <f t="shared" si="50"/>
        <v>0</v>
      </c>
      <c r="EV120" s="2039">
        <f t="shared" si="51"/>
        <v>0</v>
      </c>
    </row>
    <row r="121" spans="1:152" x14ac:dyDescent="0.25">
      <c r="A121" s="2041" t="s">
        <v>162</v>
      </c>
      <c r="B121" s="2022"/>
      <c r="C121" s="2023">
        <v>10</v>
      </c>
      <c r="D121" s="2024">
        <v>613.20000000000005</v>
      </c>
      <c r="E121" s="2024">
        <v>0.05</v>
      </c>
      <c r="F121" s="2023">
        <v>-9.6</v>
      </c>
      <c r="G121" s="2026" t="s">
        <v>2899</v>
      </c>
      <c r="H121" s="2026" t="s">
        <v>2899</v>
      </c>
      <c r="I121" s="2026">
        <v>0.84899999999999998</v>
      </c>
      <c r="J121" s="2026">
        <v>0.84899999999999998</v>
      </c>
      <c r="K121" s="2026">
        <v>0.84899999999999998</v>
      </c>
      <c r="L121" s="2026">
        <v>0.84899999999999998</v>
      </c>
      <c r="M121" s="2027">
        <f t="shared" si="41"/>
        <v>520.60680000000002</v>
      </c>
      <c r="N121" s="2027">
        <f t="shared" si="41"/>
        <v>520.60680000000002</v>
      </c>
      <c r="O121" s="2027">
        <f t="shared" si="41"/>
        <v>520.60680000000002</v>
      </c>
      <c r="P121" s="2027">
        <f t="shared" si="41"/>
        <v>520.60680000000002</v>
      </c>
      <c r="Q121" s="2026">
        <v>0.84899999999999998</v>
      </c>
      <c r="R121" s="2026">
        <v>0.84899999999999998</v>
      </c>
      <c r="S121" s="2026">
        <v>0.84899999999999998</v>
      </c>
      <c r="T121" s="2026">
        <v>0.84899999999999998</v>
      </c>
      <c r="U121" s="2028">
        <f t="shared" si="42"/>
        <v>4.2450000000000002E-2</v>
      </c>
      <c r="V121" s="2028">
        <f t="shared" si="42"/>
        <v>4.2450000000000002E-2</v>
      </c>
      <c r="W121" s="2028">
        <f t="shared" si="42"/>
        <v>4.2450000000000002E-2</v>
      </c>
      <c r="X121" s="2028">
        <f t="shared" si="42"/>
        <v>4.2450000000000002E-2</v>
      </c>
      <c r="Y121" s="2026">
        <v>0.67500000000000004</v>
      </c>
      <c r="Z121" s="2026">
        <v>0.67500000000000004</v>
      </c>
      <c r="AA121" s="2026">
        <v>0.67500000000000004</v>
      </c>
      <c r="AB121" s="2026">
        <v>0.67500000000000004</v>
      </c>
      <c r="AC121" s="2027">
        <f t="shared" si="68"/>
        <v>-6.48</v>
      </c>
      <c r="AD121" s="2027">
        <f t="shared" si="68"/>
        <v>-6.48</v>
      </c>
      <c r="AE121" s="2027">
        <f t="shared" si="68"/>
        <v>-6.48</v>
      </c>
      <c r="AF121" s="2027">
        <f t="shared" si="68"/>
        <v>-6.48</v>
      </c>
      <c r="AG121" s="2027">
        <v>1</v>
      </c>
      <c r="AH121" s="2027">
        <v>1</v>
      </c>
      <c r="AI121" s="2027">
        <v>1</v>
      </c>
      <c r="AJ121" s="2027">
        <v>1</v>
      </c>
      <c r="AK121" s="2027">
        <f t="shared" si="63"/>
        <v>520.60680000000002</v>
      </c>
      <c r="AL121" s="2027">
        <f t="shared" si="60"/>
        <v>520.60680000000002</v>
      </c>
      <c r="AM121" s="2027">
        <f t="shared" si="60"/>
        <v>520.60680000000002</v>
      </c>
      <c r="AN121" s="2027">
        <f t="shared" si="58"/>
        <v>520.60680000000002</v>
      </c>
      <c r="AO121" s="2027">
        <f t="shared" si="64"/>
        <v>-6.48</v>
      </c>
      <c r="AP121" s="2027">
        <f t="shared" si="61"/>
        <v>-6.48</v>
      </c>
      <c r="AQ121" s="2027">
        <f t="shared" si="61"/>
        <v>-6.48</v>
      </c>
      <c r="AR121" s="2027">
        <f t="shared" si="59"/>
        <v>-6.48</v>
      </c>
      <c r="AS121" s="2029">
        <v>60</v>
      </c>
      <c r="AT121" s="2029">
        <f t="shared" si="65"/>
        <v>60</v>
      </c>
      <c r="AU121" s="2029">
        <f t="shared" si="65"/>
        <v>60</v>
      </c>
      <c r="AV121" s="2029">
        <f t="shared" si="65"/>
        <v>60</v>
      </c>
      <c r="AW121" s="1974"/>
      <c r="AX121" s="2029">
        <f t="shared" si="66"/>
        <v>0</v>
      </c>
      <c r="AY121" s="2029">
        <f t="shared" si="66"/>
        <v>0</v>
      </c>
      <c r="AZ121" s="2029">
        <f t="shared" si="66"/>
        <v>0</v>
      </c>
      <c r="BA121" s="2029">
        <v>117</v>
      </c>
      <c r="BB121" s="2029">
        <f t="shared" si="67"/>
        <v>117</v>
      </c>
      <c r="BC121" s="2029">
        <f t="shared" si="67"/>
        <v>117</v>
      </c>
      <c r="BD121" s="2029">
        <f t="shared" si="67"/>
        <v>117</v>
      </c>
      <c r="BE121" s="2030">
        <f t="shared" si="46"/>
        <v>60</v>
      </c>
      <c r="BF121" s="2030">
        <f t="shared" si="46"/>
        <v>60</v>
      </c>
      <c r="BG121" s="2030">
        <f t="shared" si="46"/>
        <v>60</v>
      </c>
      <c r="BH121" s="2030">
        <f t="shared" si="46"/>
        <v>60</v>
      </c>
      <c r="BI121" s="2030">
        <f t="shared" si="47"/>
        <v>0</v>
      </c>
      <c r="BJ121" s="2030">
        <f t="shared" si="47"/>
        <v>0</v>
      </c>
      <c r="BK121" s="2030">
        <f t="shared" si="47"/>
        <v>0</v>
      </c>
      <c r="BL121" s="2030">
        <f t="shared" si="40"/>
        <v>0</v>
      </c>
      <c r="BM121" s="2031"/>
      <c r="BN121" s="2031"/>
      <c r="BO121" s="2031"/>
      <c r="BP121" s="2031"/>
      <c r="BQ121" s="2031"/>
      <c r="BR121" s="2031"/>
      <c r="BS121" s="2031"/>
      <c r="BT121" s="2031"/>
      <c r="BU121" s="2029"/>
      <c r="BV121" s="2029"/>
      <c r="BW121" s="2029"/>
      <c r="BX121" s="2029"/>
      <c r="BY121" s="2029"/>
      <c r="BZ121" s="2032"/>
      <c r="CA121" s="1974"/>
      <c r="CB121" s="1974"/>
      <c r="CC121" s="1974"/>
      <c r="CD121" s="1974"/>
      <c r="CE121" s="1974">
        <v>0</v>
      </c>
      <c r="CF121" s="2033">
        <v>2.1763117633439536E-6</v>
      </c>
      <c r="CG121" s="2026">
        <v>-2.4175611850277984E-6</v>
      </c>
      <c r="CH121" s="2009">
        <v>0</v>
      </c>
      <c r="CI121" s="2029">
        <v>0</v>
      </c>
      <c r="CK121" s="2029">
        <f t="shared" si="48"/>
        <v>0</v>
      </c>
      <c r="CL121" s="2034">
        <v>1</v>
      </c>
      <c r="CM121" s="2034">
        <v>1</v>
      </c>
      <c r="CN121" s="2034">
        <v>1</v>
      </c>
      <c r="CO121" s="2034">
        <v>1</v>
      </c>
      <c r="CP121" s="2035"/>
      <c r="CQ121" s="2036"/>
      <c r="CR121" s="2036"/>
      <c r="CS121" s="2049"/>
      <c r="CT121" s="2049"/>
      <c r="CU121" s="2049"/>
      <c r="CW121" s="1973">
        <v>0</v>
      </c>
      <c r="CX121" s="2037">
        <v>60</v>
      </c>
      <c r="CY121" s="2037">
        <v>60</v>
      </c>
      <c r="CZ121" s="2037">
        <v>60</v>
      </c>
      <c r="DA121" s="2037">
        <v>60</v>
      </c>
      <c r="DJ121" s="1976">
        <v>60</v>
      </c>
      <c r="DK121" s="1973">
        <v>60</v>
      </c>
      <c r="DL121" s="1973">
        <v>60</v>
      </c>
      <c r="DM121" s="1973">
        <v>60</v>
      </c>
      <c r="DO121" s="2023">
        <v>10</v>
      </c>
      <c r="DP121" s="2024">
        <v>613.20000000000005</v>
      </c>
      <c r="DQ121" s="2024">
        <v>0.05</v>
      </c>
      <c r="DR121" s="2023">
        <v>-9.6</v>
      </c>
      <c r="DS121" s="2029">
        <v>60</v>
      </c>
      <c r="DT121" s="2029">
        <v>60</v>
      </c>
      <c r="DU121" s="2029">
        <v>60</v>
      </c>
      <c r="DV121" s="2029">
        <v>60</v>
      </c>
      <c r="DW121" s="1974"/>
      <c r="DX121" s="2029">
        <v>0</v>
      </c>
      <c r="DY121" s="2029">
        <v>0</v>
      </c>
      <c r="DZ121" s="2029">
        <v>0</v>
      </c>
      <c r="EA121" s="2029">
        <v>117</v>
      </c>
      <c r="EB121" s="2029">
        <v>117</v>
      </c>
      <c r="EC121" s="2029">
        <v>117</v>
      </c>
      <c r="ED121" s="2029">
        <v>117</v>
      </c>
      <c r="EE121" s="2039">
        <f t="shared" si="49"/>
        <v>0</v>
      </c>
      <c r="EF121" s="2039">
        <f t="shared" si="49"/>
        <v>0</v>
      </c>
      <c r="EG121" s="2039">
        <f t="shared" si="49"/>
        <v>0</v>
      </c>
      <c r="EH121" s="2039">
        <f t="shared" si="49"/>
        <v>0</v>
      </c>
      <c r="EI121" s="2040">
        <f t="shared" ref="EI121:EN184" si="70">AS121-DS121</f>
        <v>0</v>
      </c>
      <c r="EJ121" s="2040">
        <f t="shared" si="70"/>
        <v>0</v>
      </c>
      <c r="EK121" s="2040">
        <f t="shared" si="70"/>
        <v>0</v>
      </c>
      <c r="EL121" s="2040">
        <f t="shared" si="69"/>
        <v>0</v>
      </c>
      <c r="EM121" s="2040">
        <f t="shared" si="69"/>
        <v>0</v>
      </c>
      <c r="EN121" s="2040">
        <f t="shared" si="69"/>
        <v>0</v>
      </c>
      <c r="EO121" s="2040">
        <f t="shared" si="57"/>
        <v>0</v>
      </c>
      <c r="EP121" s="2040">
        <f t="shared" si="57"/>
        <v>0</v>
      </c>
      <c r="EQ121" s="2040">
        <f t="shared" si="57"/>
        <v>0</v>
      </c>
      <c r="ER121" s="2040">
        <f t="shared" si="57"/>
        <v>0</v>
      </c>
      <c r="ES121" s="2040">
        <f t="shared" si="57"/>
        <v>0</v>
      </c>
      <c r="ET121" s="2040">
        <f t="shared" si="57"/>
        <v>0</v>
      </c>
      <c r="EU121" s="2039">
        <f t="shared" si="50"/>
        <v>0</v>
      </c>
      <c r="EV121" s="2039">
        <f t="shared" si="51"/>
        <v>0</v>
      </c>
    </row>
    <row r="122" spans="1:152" x14ac:dyDescent="0.25">
      <c r="A122" s="2041" t="s">
        <v>241</v>
      </c>
      <c r="B122" s="2022"/>
      <c r="C122" s="2023">
        <v>15</v>
      </c>
      <c r="D122" s="2024">
        <v>0</v>
      </c>
      <c r="E122" s="2024">
        <v>0</v>
      </c>
      <c r="F122" s="2055">
        <f>4.98/4/24</f>
        <v>5.1875000000000004E-2</v>
      </c>
      <c r="G122" s="2026" t="s">
        <v>20</v>
      </c>
      <c r="H122" s="2026" t="s">
        <v>20</v>
      </c>
      <c r="I122" s="2026">
        <v>0.55700000000000005</v>
      </c>
      <c r="J122" s="2026">
        <v>0.55700000000000005</v>
      </c>
      <c r="K122" s="2026">
        <v>0.55700000000000005</v>
      </c>
      <c r="L122" s="2026">
        <v>0.55700000000000005</v>
      </c>
      <c r="M122" s="2027">
        <f t="shared" si="41"/>
        <v>0</v>
      </c>
      <c r="N122" s="2027">
        <f t="shared" si="41"/>
        <v>0</v>
      </c>
      <c r="O122" s="2027">
        <f t="shared" si="41"/>
        <v>0</v>
      </c>
      <c r="P122" s="2027">
        <f t="shared" si="41"/>
        <v>0</v>
      </c>
      <c r="Q122" s="2026">
        <v>0.55700000000000005</v>
      </c>
      <c r="R122" s="2026">
        <v>0.55700000000000005</v>
      </c>
      <c r="S122" s="2026">
        <v>0.55700000000000005</v>
      </c>
      <c r="T122" s="2026">
        <v>0.55700000000000005</v>
      </c>
      <c r="U122" s="2028">
        <f t="shared" si="42"/>
        <v>0</v>
      </c>
      <c r="V122" s="2028">
        <f t="shared" si="42"/>
        <v>0</v>
      </c>
      <c r="W122" s="2028">
        <f t="shared" si="42"/>
        <v>0</v>
      </c>
      <c r="X122" s="2028">
        <f t="shared" si="42"/>
        <v>0</v>
      </c>
      <c r="Y122" s="2026">
        <v>0.49399999999999999</v>
      </c>
      <c r="Z122" s="2026">
        <v>0.49399999999999999</v>
      </c>
      <c r="AA122" s="2026">
        <v>0.49399999999999999</v>
      </c>
      <c r="AB122" s="2026">
        <v>0.49399999999999999</v>
      </c>
      <c r="AC122" s="2027">
        <f t="shared" si="68"/>
        <v>2.5626250000000003E-2</v>
      </c>
      <c r="AD122" s="2027">
        <f t="shared" si="68"/>
        <v>2.5626250000000003E-2</v>
      </c>
      <c r="AE122" s="2027">
        <f t="shared" si="68"/>
        <v>2.5626250000000003E-2</v>
      </c>
      <c r="AF122" s="2027">
        <f t="shared" si="68"/>
        <v>2.5626250000000003E-2</v>
      </c>
      <c r="AG122" s="2027">
        <v>10000</v>
      </c>
      <c r="AH122" s="2027">
        <v>15000</v>
      </c>
      <c r="AI122" s="2027">
        <v>20000</v>
      </c>
      <c r="AJ122" s="2027">
        <v>25000</v>
      </c>
      <c r="AK122" s="2027">
        <f t="shared" si="63"/>
        <v>0</v>
      </c>
      <c r="AL122" s="2027">
        <f t="shared" si="60"/>
        <v>0</v>
      </c>
      <c r="AM122" s="2027">
        <f t="shared" si="60"/>
        <v>0</v>
      </c>
      <c r="AN122" s="2027">
        <f t="shared" si="58"/>
        <v>0</v>
      </c>
      <c r="AO122" s="2027">
        <f t="shared" si="64"/>
        <v>256.26250000000005</v>
      </c>
      <c r="AP122" s="2027">
        <f t="shared" si="61"/>
        <v>384.39375000000007</v>
      </c>
      <c r="AQ122" s="2027">
        <f t="shared" si="61"/>
        <v>512.52500000000009</v>
      </c>
      <c r="AR122" s="2027">
        <f t="shared" si="59"/>
        <v>640.65625000000011</v>
      </c>
      <c r="AS122" s="2029"/>
      <c r="AT122" s="2029">
        <f t="shared" si="65"/>
        <v>0</v>
      </c>
      <c r="AU122" s="2029">
        <f t="shared" si="65"/>
        <v>0</v>
      </c>
      <c r="AV122" s="2029">
        <f t="shared" si="65"/>
        <v>0</v>
      </c>
      <c r="AW122" s="2029">
        <v>4</v>
      </c>
      <c r="AX122" s="2029">
        <f t="shared" si="66"/>
        <v>4</v>
      </c>
      <c r="AY122" s="2029">
        <f t="shared" si="66"/>
        <v>4</v>
      </c>
      <c r="AZ122" s="2029">
        <f t="shared" si="66"/>
        <v>4</v>
      </c>
      <c r="BA122" s="2029">
        <v>6</v>
      </c>
      <c r="BB122" s="2029">
        <f t="shared" si="67"/>
        <v>6</v>
      </c>
      <c r="BC122" s="2029">
        <f t="shared" si="67"/>
        <v>6</v>
      </c>
      <c r="BD122" s="2029">
        <f t="shared" si="67"/>
        <v>6</v>
      </c>
      <c r="BE122" s="2030">
        <f t="shared" si="46"/>
        <v>0</v>
      </c>
      <c r="BF122" s="2030">
        <f t="shared" si="46"/>
        <v>0</v>
      </c>
      <c r="BG122" s="2030">
        <f t="shared" si="46"/>
        <v>0</v>
      </c>
      <c r="BH122" s="2030">
        <f t="shared" si="46"/>
        <v>0</v>
      </c>
      <c r="BI122" s="2030">
        <f t="shared" si="47"/>
        <v>40000</v>
      </c>
      <c r="BJ122" s="2030">
        <f t="shared" si="47"/>
        <v>60000</v>
      </c>
      <c r="BK122" s="2030">
        <f t="shared" si="47"/>
        <v>80000</v>
      </c>
      <c r="BL122" s="2030">
        <f t="shared" si="40"/>
        <v>100000</v>
      </c>
      <c r="BM122" s="2031"/>
      <c r="BN122" s="2031"/>
      <c r="BO122" s="2031"/>
      <c r="BP122" s="2031"/>
      <c r="BQ122" s="2031"/>
      <c r="BR122" s="2031"/>
      <c r="BS122" s="2031"/>
      <c r="BT122" s="2031"/>
      <c r="BU122" s="2029"/>
      <c r="BV122" s="2029"/>
      <c r="BW122" s="2029"/>
      <c r="BX122" s="2029"/>
      <c r="BY122" s="2029"/>
      <c r="BZ122" s="2032"/>
      <c r="CA122" s="1974"/>
      <c r="CB122" s="1974"/>
      <c r="CC122" s="1974"/>
      <c r="CD122" s="1974"/>
      <c r="CE122" s="1974">
        <v>0</v>
      </c>
      <c r="CF122" s="2033">
        <v>0</v>
      </c>
      <c r="CG122" s="2026">
        <v>9.5606523638608988E-5</v>
      </c>
      <c r="CH122" s="2009">
        <v>0</v>
      </c>
      <c r="CI122" s="2029">
        <v>0</v>
      </c>
      <c r="CK122" s="2029">
        <f t="shared" si="48"/>
        <v>0</v>
      </c>
      <c r="CL122" s="2034">
        <v>1</v>
      </c>
      <c r="CM122" s="2034">
        <v>1</v>
      </c>
      <c r="CN122" s="2034">
        <v>1</v>
      </c>
      <c r="CO122" s="2034">
        <v>1</v>
      </c>
      <c r="CP122" s="2035"/>
      <c r="CQ122" s="2036"/>
      <c r="CR122" s="2036"/>
      <c r="CS122" s="2036"/>
      <c r="CT122" s="2036"/>
      <c r="CU122" s="2036"/>
      <c r="CW122" s="1973">
        <v>0</v>
      </c>
      <c r="CX122" s="2037">
        <v>4</v>
      </c>
      <c r="CY122" s="2037">
        <v>4</v>
      </c>
      <c r="CZ122" s="2037">
        <v>4</v>
      </c>
      <c r="DA122" s="2037">
        <v>4</v>
      </c>
      <c r="DK122" s="1973">
        <v>0</v>
      </c>
      <c r="DL122" s="1973">
        <v>0</v>
      </c>
      <c r="DM122" s="1973">
        <v>0</v>
      </c>
      <c r="DO122" s="2023">
        <v>15</v>
      </c>
      <c r="DP122" s="2024">
        <v>0</v>
      </c>
      <c r="DQ122" s="2024">
        <v>0</v>
      </c>
      <c r="DR122" s="2055">
        <v>5.1875000000000004E-2</v>
      </c>
      <c r="DS122" s="2029"/>
      <c r="DT122" s="2029">
        <v>0</v>
      </c>
      <c r="DU122" s="2029">
        <v>0</v>
      </c>
      <c r="DV122" s="2029">
        <v>0</v>
      </c>
      <c r="DW122" s="2029">
        <v>4</v>
      </c>
      <c r="DX122" s="2029">
        <v>4</v>
      </c>
      <c r="DY122" s="2029">
        <v>4</v>
      </c>
      <c r="DZ122" s="2029">
        <v>4</v>
      </c>
      <c r="EA122" s="2029">
        <v>6</v>
      </c>
      <c r="EB122" s="2029">
        <v>6</v>
      </c>
      <c r="EC122" s="2029">
        <v>6</v>
      </c>
      <c r="ED122" s="2029">
        <v>6</v>
      </c>
      <c r="EE122" s="2039">
        <f t="shared" si="49"/>
        <v>0</v>
      </c>
      <c r="EF122" s="2039">
        <f t="shared" si="49"/>
        <v>0</v>
      </c>
      <c r="EG122" s="2039">
        <f t="shared" si="49"/>
        <v>0</v>
      </c>
      <c r="EH122" s="2039">
        <f t="shared" si="49"/>
        <v>0</v>
      </c>
      <c r="EI122" s="2040">
        <f t="shared" si="70"/>
        <v>0</v>
      </c>
      <c r="EJ122" s="2040">
        <f t="shared" si="70"/>
        <v>0</v>
      </c>
      <c r="EK122" s="2040">
        <f t="shared" si="70"/>
        <v>0</v>
      </c>
      <c r="EL122" s="2040">
        <f t="shared" si="69"/>
        <v>0</v>
      </c>
      <c r="EM122" s="2040">
        <f t="shared" si="69"/>
        <v>0</v>
      </c>
      <c r="EN122" s="2040">
        <f t="shared" si="69"/>
        <v>0</v>
      </c>
      <c r="EO122" s="2040">
        <f t="shared" si="57"/>
        <v>0</v>
      </c>
      <c r="EP122" s="2040">
        <f t="shared" si="57"/>
        <v>0</v>
      </c>
      <c r="EQ122" s="2040">
        <f t="shared" si="57"/>
        <v>0</v>
      </c>
      <c r="ER122" s="2040">
        <f t="shared" si="57"/>
        <v>0</v>
      </c>
      <c r="ES122" s="2040">
        <f t="shared" si="57"/>
        <v>0</v>
      </c>
      <c r="ET122" s="2040">
        <f t="shared" si="57"/>
        <v>0</v>
      </c>
      <c r="EU122" s="2039">
        <f t="shared" si="50"/>
        <v>0</v>
      </c>
      <c r="EV122" s="2039">
        <f t="shared" si="51"/>
        <v>0</v>
      </c>
    </row>
    <row r="123" spans="1:152" x14ac:dyDescent="0.25">
      <c r="A123" s="2041" t="s">
        <v>163</v>
      </c>
      <c r="B123" s="2022"/>
      <c r="C123" s="2023">
        <v>6.6</v>
      </c>
      <c r="D123" s="2024">
        <v>265.27999999999997</v>
      </c>
      <c r="E123" s="2024">
        <v>0.06</v>
      </c>
      <c r="F123" s="2023">
        <v>0</v>
      </c>
      <c r="G123" s="2026" t="s">
        <v>20</v>
      </c>
      <c r="H123" s="2026" t="s">
        <v>20</v>
      </c>
      <c r="I123" s="2026">
        <v>0.55700000000000005</v>
      </c>
      <c r="J123" s="2026">
        <v>0.55700000000000005</v>
      </c>
      <c r="K123" s="2026">
        <v>0.55700000000000005</v>
      </c>
      <c r="L123" s="2026">
        <v>0.55700000000000005</v>
      </c>
      <c r="M123" s="2027">
        <f t="shared" si="41"/>
        <v>147.76096000000001</v>
      </c>
      <c r="N123" s="2027">
        <f t="shared" si="41"/>
        <v>147.76096000000001</v>
      </c>
      <c r="O123" s="2027">
        <f t="shared" si="41"/>
        <v>147.76096000000001</v>
      </c>
      <c r="P123" s="2027">
        <f t="shared" si="41"/>
        <v>147.76096000000001</v>
      </c>
      <c r="Q123" s="2026">
        <v>0.55700000000000005</v>
      </c>
      <c r="R123" s="2026">
        <v>0.55700000000000005</v>
      </c>
      <c r="S123" s="2026">
        <v>0.55700000000000005</v>
      </c>
      <c r="T123" s="2026">
        <v>0.55700000000000005</v>
      </c>
      <c r="U123" s="2028">
        <f t="shared" si="42"/>
        <v>3.3420000000000005E-2</v>
      </c>
      <c r="V123" s="2028">
        <f t="shared" si="42"/>
        <v>3.3420000000000005E-2</v>
      </c>
      <c r="W123" s="2028">
        <f t="shared" si="42"/>
        <v>3.3420000000000005E-2</v>
      </c>
      <c r="X123" s="2028">
        <f t="shared" si="42"/>
        <v>3.3420000000000005E-2</v>
      </c>
      <c r="Y123" s="2026">
        <v>0.49399999999999999</v>
      </c>
      <c r="Z123" s="2026">
        <v>0.49399999999999999</v>
      </c>
      <c r="AA123" s="2026">
        <v>0.49399999999999999</v>
      </c>
      <c r="AB123" s="2026">
        <v>0.49399999999999999</v>
      </c>
      <c r="AC123" s="2027">
        <f t="shared" si="68"/>
        <v>0</v>
      </c>
      <c r="AD123" s="2027">
        <f t="shared" si="68"/>
        <v>0</v>
      </c>
      <c r="AE123" s="2027">
        <f t="shared" si="68"/>
        <v>0</v>
      </c>
      <c r="AF123" s="2027">
        <f t="shared" si="68"/>
        <v>0</v>
      </c>
      <c r="AG123" s="2027">
        <v>132</v>
      </c>
      <c r="AH123" s="2027">
        <v>139</v>
      </c>
      <c r="AI123" s="2027">
        <v>145</v>
      </c>
      <c r="AJ123" s="2027">
        <v>146</v>
      </c>
      <c r="AK123" s="2027">
        <f t="shared" si="63"/>
        <v>19504.44672</v>
      </c>
      <c r="AL123" s="2027">
        <f t="shared" si="60"/>
        <v>20538.773440000001</v>
      </c>
      <c r="AM123" s="2027">
        <f t="shared" si="60"/>
        <v>21425.339200000002</v>
      </c>
      <c r="AN123" s="2027">
        <f t="shared" si="58"/>
        <v>21573.100160000002</v>
      </c>
      <c r="AO123" s="2027">
        <f t="shared" si="64"/>
        <v>0</v>
      </c>
      <c r="AP123" s="2027">
        <f t="shared" si="61"/>
        <v>0</v>
      </c>
      <c r="AQ123" s="2027">
        <f t="shared" si="61"/>
        <v>0</v>
      </c>
      <c r="AR123" s="2027">
        <f t="shared" si="59"/>
        <v>0</v>
      </c>
      <c r="AS123" s="2029">
        <v>17.5</v>
      </c>
      <c r="AT123" s="2029">
        <f t="shared" si="65"/>
        <v>17.5</v>
      </c>
      <c r="AU123" s="2029">
        <f t="shared" si="65"/>
        <v>17.5</v>
      </c>
      <c r="AV123" s="2029">
        <f t="shared" si="65"/>
        <v>17.5</v>
      </c>
      <c r="AW123" s="1974"/>
      <c r="AX123" s="2029">
        <f t="shared" si="66"/>
        <v>0</v>
      </c>
      <c r="AY123" s="2029">
        <f t="shared" si="66"/>
        <v>0</v>
      </c>
      <c r="AZ123" s="2029">
        <f t="shared" si="66"/>
        <v>0</v>
      </c>
      <c r="BA123" s="2029">
        <v>17.5</v>
      </c>
      <c r="BB123" s="2029">
        <f t="shared" si="67"/>
        <v>17.5</v>
      </c>
      <c r="BC123" s="2029">
        <f t="shared" si="67"/>
        <v>17.5</v>
      </c>
      <c r="BD123" s="2029">
        <f t="shared" si="67"/>
        <v>17.5</v>
      </c>
      <c r="BE123" s="2030">
        <f t="shared" si="46"/>
        <v>2310</v>
      </c>
      <c r="BF123" s="2030">
        <f t="shared" si="46"/>
        <v>2432.5</v>
      </c>
      <c r="BG123" s="2030">
        <f t="shared" si="46"/>
        <v>2537.5</v>
      </c>
      <c r="BH123" s="2030">
        <f t="shared" si="46"/>
        <v>2555</v>
      </c>
      <c r="BI123" s="2030">
        <f t="shared" si="47"/>
        <v>0</v>
      </c>
      <c r="BJ123" s="2030">
        <f t="shared" si="47"/>
        <v>0</v>
      </c>
      <c r="BK123" s="2030">
        <f t="shared" si="47"/>
        <v>0</v>
      </c>
      <c r="BL123" s="2030">
        <f t="shared" si="40"/>
        <v>0</v>
      </c>
      <c r="BM123" s="2031"/>
      <c r="BN123" s="2031"/>
      <c r="BO123" s="2031"/>
      <c r="BP123" s="2031"/>
      <c r="BQ123" s="2031"/>
      <c r="BR123" s="2031"/>
      <c r="BS123" s="2031"/>
      <c r="BT123" s="2031"/>
      <c r="BU123" s="2029"/>
      <c r="BV123" s="2029"/>
      <c r="BW123" s="2029"/>
      <c r="BX123" s="2029"/>
      <c r="BY123" s="2029"/>
      <c r="BZ123" s="2032"/>
      <c r="CA123" s="1974"/>
      <c r="CB123" s="1974"/>
      <c r="CC123" s="1974"/>
      <c r="CD123" s="1974"/>
      <c r="CE123" s="1974">
        <v>0</v>
      </c>
      <c r="CF123" s="2033">
        <v>8.1535156348805645E-5</v>
      </c>
      <c r="CG123" s="2026">
        <v>0</v>
      </c>
      <c r="CH123" s="2009">
        <v>0</v>
      </c>
      <c r="CI123" s="2029">
        <v>0</v>
      </c>
      <c r="CK123" s="2029">
        <f t="shared" si="48"/>
        <v>0</v>
      </c>
      <c r="CL123" s="2034">
        <v>1</v>
      </c>
      <c r="CM123" s="2034">
        <v>1</v>
      </c>
      <c r="CN123" s="2034">
        <v>1</v>
      </c>
      <c r="CO123" s="2034">
        <v>1</v>
      </c>
      <c r="CP123" s="2035"/>
      <c r="CQ123" s="2036"/>
      <c r="CR123" s="2036"/>
      <c r="CS123" s="2049"/>
      <c r="CT123" s="2049"/>
      <c r="CU123" s="2049"/>
      <c r="CW123" s="1973">
        <v>3</v>
      </c>
      <c r="CX123" s="2037">
        <v>17.5</v>
      </c>
      <c r="CY123" s="2037">
        <v>17.5</v>
      </c>
      <c r="CZ123" s="2037">
        <v>17.5</v>
      </c>
      <c r="DA123" s="2037">
        <v>17.5</v>
      </c>
      <c r="DJ123" s="1976">
        <v>17.5</v>
      </c>
      <c r="DK123" s="1973">
        <v>17.5</v>
      </c>
      <c r="DL123" s="1973">
        <v>17.5</v>
      </c>
      <c r="DM123" s="1973">
        <v>17.5</v>
      </c>
      <c r="DO123" s="2023">
        <v>6.6</v>
      </c>
      <c r="DP123" s="2024">
        <v>265.27999999999997</v>
      </c>
      <c r="DQ123" s="2024">
        <v>0.06</v>
      </c>
      <c r="DR123" s="2023">
        <v>0</v>
      </c>
      <c r="DS123" s="2029">
        <v>17.5</v>
      </c>
      <c r="DT123" s="2029">
        <v>17.5</v>
      </c>
      <c r="DU123" s="2029">
        <v>17.5</v>
      </c>
      <c r="DV123" s="2029">
        <v>17.5</v>
      </c>
      <c r="DW123" s="1974"/>
      <c r="DX123" s="2029">
        <v>0</v>
      </c>
      <c r="DY123" s="2029">
        <v>0</v>
      </c>
      <c r="DZ123" s="2029">
        <v>0</v>
      </c>
      <c r="EA123" s="2029">
        <v>17.5</v>
      </c>
      <c r="EB123" s="2029">
        <v>17.5</v>
      </c>
      <c r="EC123" s="2029">
        <v>17.5</v>
      </c>
      <c r="ED123" s="2029">
        <v>17.5</v>
      </c>
      <c r="EE123" s="2039">
        <f t="shared" si="49"/>
        <v>0</v>
      </c>
      <c r="EF123" s="2039">
        <f t="shared" si="49"/>
        <v>0</v>
      </c>
      <c r="EG123" s="2039">
        <f t="shared" si="49"/>
        <v>0</v>
      </c>
      <c r="EH123" s="2039">
        <f t="shared" si="49"/>
        <v>0</v>
      </c>
      <c r="EI123" s="2040">
        <f t="shared" si="70"/>
        <v>0</v>
      </c>
      <c r="EJ123" s="2040">
        <f t="shared" si="70"/>
        <v>0</v>
      </c>
      <c r="EK123" s="2040">
        <f t="shared" si="70"/>
        <v>0</v>
      </c>
      <c r="EL123" s="2040">
        <f t="shared" si="69"/>
        <v>0</v>
      </c>
      <c r="EM123" s="2040">
        <f t="shared" si="69"/>
        <v>0</v>
      </c>
      <c r="EN123" s="2040">
        <f t="shared" si="69"/>
        <v>0</v>
      </c>
      <c r="EO123" s="2040">
        <f t="shared" si="57"/>
        <v>0</v>
      </c>
      <c r="EP123" s="2040">
        <f t="shared" si="57"/>
        <v>0</v>
      </c>
      <c r="EQ123" s="2040">
        <f t="shared" si="57"/>
        <v>0</v>
      </c>
      <c r="ER123" s="2040">
        <f t="shared" si="57"/>
        <v>0</v>
      </c>
      <c r="ES123" s="2040">
        <f t="shared" si="57"/>
        <v>0</v>
      </c>
      <c r="ET123" s="2040">
        <f t="shared" si="57"/>
        <v>0</v>
      </c>
      <c r="EU123" s="2039">
        <f t="shared" si="50"/>
        <v>0</v>
      </c>
      <c r="EV123" s="2039">
        <f t="shared" si="51"/>
        <v>0</v>
      </c>
    </row>
    <row r="124" spans="1:152" x14ac:dyDescent="0.25">
      <c r="A124" s="2041" t="s">
        <v>164</v>
      </c>
      <c r="B124" s="2022"/>
      <c r="C124" s="2023">
        <v>15</v>
      </c>
      <c r="D124" s="2024">
        <v>448.9</v>
      </c>
      <c r="E124" s="2024">
        <v>0.216</v>
      </c>
      <c r="F124" s="2023">
        <v>0</v>
      </c>
      <c r="G124" s="2026" t="s">
        <v>2899</v>
      </c>
      <c r="H124" s="2026" t="s">
        <v>2899</v>
      </c>
      <c r="I124" s="2026">
        <v>0.84899999999999998</v>
      </c>
      <c r="J124" s="2026">
        <v>0.84899999999999998</v>
      </c>
      <c r="K124" s="2026">
        <v>0.84899999999999998</v>
      </c>
      <c r="L124" s="2026">
        <v>0.84899999999999998</v>
      </c>
      <c r="M124" s="2027">
        <f t="shared" si="41"/>
        <v>381.11609999999996</v>
      </c>
      <c r="N124" s="2027">
        <f t="shared" si="41"/>
        <v>381.11609999999996</v>
      </c>
      <c r="O124" s="2027">
        <f t="shared" si="41"/>
        <v>381.11609999999996</v>
      </c>
      <c r="P124" s="2027">
        <f t="shared" si="41"/>
        <v>381.11609999999996</v>
      </c>
      <c r="Q124" s="2026">
        <v>0.84899999999999998</v>
      </c>
      <c r="R124" s="2026">
        <v>0.84899999999999998</v>
      </c>
      <c r="S124" s="2026">
        <v>0.84899999999999998</v>
      </c>
      <c r="T124" s="2026">
        <v>0.84899999999999998</v>
      </c>
      <c r="U124" s="2028">
        <f t="shared" si="42"/>
        <v>0.18338399999999999</v>
      </c>
      <c r="V124" s="2028">
        <f t="shared" si="42"/>
        <v>0.18338399999999999</v>
      </c>
      <c r="W124" s="2028">
        <f t="shared" si="42"/>
        <v>0.18338399999999999</v>
      </c>
      <c r="X124" s="2028">
        <f t="shared" si="42"/>
        <v>0.18338399999999999</v>
      </c>
      <c r="Y124" s="2026">
        <v>0.67500000000000004</v>
      </c>
      <c r="Z124" s="2026">
        <v>0.67500000000000004</v>
      </c>
      <c r="AA124" s="2026">
        <v>0.67500000000000004</v>
      </c>
      <c r="AB124" s="2026">
        <v>0.67500000000000004</v>
      </c>
      <c r="AC124" s="2027">
        <f t="shared" si="68"/>
        <v>0</v>
      </c>
      <c r="AD124" s="2027">
        <f t="shared" si="68"/>
        <v>0</v>
      </c>
      <c r="AE124" s="2027">
        <f t="shared" si="68"/>
        <v>0</v>
      </c>
      <c r="AF124" s="2027">
        <f t="shared" si="68"/>
        <v>0</v>
      </c>
      <c r="AG124" s="2027">
        <v>1</v>
      </c>
      <c r="AH124" s="2027">
        <v>2</v>
      </c>
      <c r="AI124" s="2027">
        <v>2</v>
      </c>
      <c r="AJ124" s="2027">
        <v>2</v>
      </c>
      <c r="AK124" s="2027">
        <f t="shared" si="63"/>
        <v>381.11609999999996</v>
      </c>
      <c r="AL124" s="2027">
        <f t="shared" si="60"/>
        <v>762.23219999999992</v>
      </c>
      <c r="AM124" s="2027">
        <f t="shared" si="60"/>
        <v>762.23219999999992</v>
      </c>
      <c r="AN124" s="2027">
        <f t="shared" si="58"/>
        <v>762.23219999999992</v>
      </c>
      <c r="AO124" s="2027">
        <f t="shared" si="64"/>
        <v>0</v>
      </c>
      <c r="AP124" s="2027">
        <f t="shared" si="61"/>
        <v>0</v>
      </c>
      <c r="AQ124" s="2027">
        <f t="shared" si="61"/>
        <v>0</v>
      </c>
      <c r="AR124" s="2027">
        <f t="shared" si="59"/>
        <v>0</v>
      </c>
      <c r="AS124" s="2029">
        <v>40</v>
      </c>
      <c r="AT124" s="2029">
        <f t="shared" si="65"/>
        <v>40</v>
      </c>
      <c r="AU124" s="2029">
        <f t="shared" si="65"/>
        <v>40</v>
      </c>
      <c r="AV124" s="2029">
        <f t="shared" si="65"/>
        <v>40</v>
      </c>
      <c r="AW124" s="1974"/>
      <c r="AX124" s="2029">
        <f t="shared" si="66"/>
        <v>0</v>
      </c>
      <c r="AY124" s="2029">
        <f t="shared" si="66"/>
        <v>0</v>
      </c>
      <c r="AZ124" s="2029">
        <f t="shared" si="66"/>
        <v>0</v>
      </c>
      <c r="BA124" s="2029">
        <v>60.4</v>
      </c>
      <c r="BB124" s="2029">
        <f t="shared" si="67"/>
        <v>60.4</v>
      </c>
      <c r="BC124" s="2029">
        <f t="shared" si="67"/>
        <v>60.4</v>
      </c>
      <c r="BD124" s="2029">
        <f t="shared" si="67"/>
        <v>60.4</v>
      </c>
      <c r="BE124" s="2030">
        <f t="shared" si="46"/>
        <v>40</v>
      </c>
      <c r="BF124" s="2030">
        <f t="shared" si="46"/>
        <v>80</v>
      </c>
      <c r="BG124" s="2030">
        <f t="shared" si="46"/>
        <v>80</v>
      </c>
      <c r="BH124" s="2030">
        <f t="shared" si="46"/>
        <v>80</v>
      </c>
      <c r="BI124" s="2030">
        <f t="shared" si="47"/>
        <v>0</v>
      </c>
      <c r="BJ124" s="2030">
        <f t="shared" si="47"/>
        <v>0</v>
      </c>
      <c r="BK124" s="2030">
        <f t="shared" si="47"/>
        <v>0</v>
      </c>
      <c r="BL124" s="2030">
        <f t="shared" si="40"/>
        <v>0</v>
      </c>
      <c r="BM124" s="2031"/>
      <c r="BN124" s="2031"/>
      <c r="BO124" s="2031"/>
      <c r="BP124" s="2031"/>
      <c r="BQ124" s="2031"/>
      <c r="BR124" s="2031"/>
      <c r="BS124" s="2031"/>
      <c r="BT124" s="2031"/>
      <c r="BU124" s="2029"/>
      <c r="BV124" s="2029"/>
      <c r="BW124" s="2029"/>
      <c r="BX124" s="2029"/>
      <c r="BY124" s="2029"/>
      <c r="BZ124" s="2032"/>
      <c r="CA124" s="1974"/>
      <c r="CB124" s="1974"/>
      <c r="CC124" s="1974"/>
      <c r="CD124" s="1974"/>
      <c r="CE124" s="1974">
        <v>0</v>
      </c>
      <c r="CF124" s="2033">
        <v>1.5931936571511751E-6</v>
      </c>
      <c r="CG124" s="2026">
        <v>0</v>
      </c>
      <c r="CH124" s="2009">
        <v>0</v>
      </c>
      <c r="CI124" s="2029">
        <v>0</v>
      </c>
      <c r="CK124" s="2029">
        <f t="shared" si="48"/>
        <v>0</v>
      </c>
      <c r="CL124" s="2034">
        <v>1</v>
      </c>
      <c r="CM124" s="2034">
        <v>1</v>
      </c>
      <c r="CN124" s="2034">
        <v>1</v>
      </c>
      <c r="CO124" s="2034">
        <v>1</v>
      </c>
      <c r="CP124" s="2035"/>
      <c r="CQ124" s="2036"/>
      <c r="CR124" s="2036"/>
      <c r="CS124" s="2049"/>
      <c r="CT124" s="2049"/>
      <c r="CU124" s="2049"/>
      <c r="CW124" s="1973">
        <v>0</v>
      </c>
      <c r="CX124" s="2037">
        <v>40</v>
      </c>
      <c r="CY124" s="2037">
        <v>40</v>
      </c>
      <c r="CZ124" s="2037">
        <v>40</v>
      </c>
      <c r="DA124" s="2037">
        <v>40</v>
      </c>
      <c r="DJ124" s="1976">
        <v>40</v>
      </c>
      <c r="DK124" s="1973">
        <v>40</v>
      </c>
      <c r="DL124" s="1973">
        <v>40</v>
      </c>
      <c r="DM124" s="1973">
        <v>40</v>
      </c>
      <c r="DO124" s="2023">
        <v>15</v>
      </c>
      <c r="DP124" s="2024">
        <v>448.9</v>
      </c>
      <c r="DQ124" s="2024">
        <v>0.216</v>
      </c>
      <c r="DR124" s="2023">
        <v>0</v>
      </c>
      <c r="DS124" s="2029">
        <v>40</v>
      </c>
      <c r="DT124" s="2029">
        <v>40</v>
      </c>
      <c r="DU124" s="2029">
        <v>40</v>
      </c>
      <c r="DV124" s="2029">
        <v>40</v>
      </c>
      <c r="DW124" s="1974"/>
      <c r="DX124" s="2029">
        <v>0</v>
      </c>
      <c r="DY124" s="2029">
        <v>0</v>
      </c>
      <c r="DZ124" s="2029">
        <v>0</v>
      </c>
      <c r="EA124" s="2029">
        <v>60.4</v>
      </c>
      <c r="EB124" s="2029">
        <v>60.4</v>
      </c>
      <c r="EC124" s="2029">
        <v>60.4</v>
      </c>
      <c r="ED124" s="2029">
        <v>60.4</v>
      </c>
      <c r="EE124" s="2039">
        <f t="shared" si="49"/>
        <v>0</v>
      </c>
      <c r="EF124" s="2039">
        <f t="shared" si="49"/>
        <v>0</v>
      </c>
      <c r="EG124" s="2039">
        <f t="shared" si="49"/>
        <v>0</v>
      </c>
      <c r="EH124" s="2039">
        <f t="shared" si="49"/>
        <v>0</v>
      </c>
      <c r="EI124" s="2040">
        <f t="shared" si="70"/>
        <v>0</v>
      </c>
      <c r="EJ124" s="2040">
        <f t="shared" si="70"/>
        <v>0</v>
      </c>
      <c r="EK124" s="2040">
        <f t="shared" si="70"/>
        <v>0</v>
      </c>
      <c r="EL124" s="2040">
        <f t="shared" si="69"/>
        <v>0</v>
      </c>
      <c r="EM124" s="2040">
        <f t="shared" si="69"/>
        <v>0</v>
      </c>
      <c r="EN124" s="2040">
        <f t="shared" si="69"/>
        <v>0</v>
      </c>
      <c r="EO124" s="2040">
        <f t="shared" si="57"/>
        <v>0</v>
      </c>
      <c r="EP124" s="2040">
        <f t="shared" si="57"/>
        <v>0</v>
      </c>
      <c r="EQ124" s="2040">
        <f t="shared" si="57"/>
        <v>0</v>
      </c>
      <c r="ER124" s="2040">
        <f t="shared" si="57"/>
        <v>0</v>
      </c>
      <c r="ES124" s="2040">
        <f t="shared" si="57"/>
        <v>0</v>
      </c>
      <c r="ET124" s="2040">
        <f t="shared" si="57"/>
        <v>0</v>
      </c>
      <c r="EU124" s="2039">
        <f t="shared" si="50"/>
        <v>0</v>
      </c>
      <c r="EV124" s="2039">
        <f t="shared" si="51"/>
        <v>0</v>
      </c>
    </row>
    <row r="125" spans="1:152" x14ac:dyDescent="0.25">
      <c r="A125" s="2041" t="s">
        <v>165</v>
      </c>
      <c r="B125" s="2022" t="s">
        <v>2950</v>
      </c>
      <c r="C125" s="2023">
        <v>12</v>
      </c>
      <c r="D125" s="2024">
        <v>2200</v>
      </c>
      <c r="E125" s="2024">
        <v>0.4</v>
      </c>
      <c r="F125" s="2023">
        <v>0</v>
      </c>
      <c r="G125" s="2026" t="s">
        <v>2899</v>
      </c>
      <c r="H125" s="2026" t="s">
        <v>2899</v>
      </c>
      <c r="I125" s="2026">
        <v>0.84899999999999998</v>
      </c>
      <c r="J125" s="2026">
        <v>0.84899999999999998</v>
      </c>
      <c r="K125" s="2026">
        <v>0.84899999999999998</v>
      </c>
      <c r="L125" s="2026">
        <v>0.84899999999999998</v>
      </c>
      <c r="M125" s="2027">
        <f t="shared" si="41"/>
        <v>1867.8</v>
      </c>
      <c r="N125" s="2027">
        <f t="shared" si="41"/>
        <v>1867.8</v>
      </c>
      <c r="O125" s="2027">
        <f t="shared" si="41"/>
        <v>1867.8</v>
      </c>
      <c r="P125" s="2027">
        <f t="shared" si="41"/>
        <v>1867.8</v>
      </c>
      <c r="Q125" s="2026">
        <v>0.84899999999999998</v>
      </c>
      <c r="R125" s="2026">
        <v>0.84899999999999998</v>
      </c>
      <c r="S125" s="2026">
        <v>0.84899999999999998</v>
      </c>
      <c r="T125" s="2026">
        <v>0.84899999999999998</v>
      </c>
      <c r="U125" s="2028">
        <f t="shared" si="42"/>
        <v>0.33960000000000001</v>
      </c>
      <c r="V125" s="2028">
        <f t="shared" si="42"/>
        <v>0.33960000000000001</v>
      </c>
      <c r="W125" s="2028">
        <f t="shared" si="42"/>
        <v>0.33960000000000001</v>
      </c>
      <c r="X125" s="2028">
        <f t="shared" si="42"/>
        <v>0.33960000000000001</v>
      </c>
      <c r="Y125" s="2026">
        <v>0.67500000000000004</v>
      </c>
      <c r="Z125" s="2026">
        <v>0.67500000000000004</v>
      </c>
      <c r="AA125" s="2026">
        <v>0.67500000000000004</v>
      </c>
      <c r="AB125" s="2026">
        <v>0.67500000000000004</v>
      </c>
      <c r="AC125" s="2027">
        <f t="shared" si="68"/>
        <v>0</v>
      </c>
      <c r="AD125" s="2027">
        <f t="shared" si="68"/>
        <v>0</v>
      </c>
      <c r="AE125" s="2027">
        <f t="shared" si="68"/>
        <v>0</v>
      </c>
      <c r="AF125" s="2027">
        <f t="shared" si="68"/>
        <v>0</v>
      </c>
      <c r="AG125" s="2027">
        <v>1</v>
      </c>
      <c r="AH125" s="2027">
        <v>2</v>
      </c>
      <c r="AI125" s="2027">
        <v>2</v>
      </c>
      <c r="AJ125" s="2027">
        <v>2</v>
      </c>
      <c r="AK125" s="2027">
        <f t="shared" si="63"/>
        <v>1867.8</v>
      </c>
      <c r="AL125" s="2027">
        <f t="shared" si="60"/>
        <v>3735.6</v>
      </c>
      <c r="AM125" s="2027">
        <f t="shared" si="60"/>
        <v>3735.6</v>
      </c>
      <c r="AN125" s="2027">
        <f t="shared" si="58"/>
        <v>3735.6</v>
      </c>
      <c r="AO125" s="2027">
        <f t="shared" si="64"/>
        <v>0</v>
      </c>
      <c r="AP125" s="2027">
        <f t="shared" si="61"/>
        <v>0</v>
      </c>
      <c r="AQ125" s="2027">
        <f t="shared" si="61"/>
        <v>0</v>
      </c>
      <c r="AR125" s="2027">
        <f t="shared" si="59"/>
        <v>0</v>
      </c>
      <c r="AS125" s="2029">
        <v>300</v>
      </c>
      <c r="AT125" s="2029">
        <f t="shared" si="65"/>
        <v>300</v>
      </c>
      <c r="AU125" s="2029">
        <f t="shared" si="65"/>
        <v>300</v>
      </c>
      <c r="AV125" s="2029">
        <f t="shared" si="65"/>
        <v>300</v>
      </c>
      <c r="AW125" s="2029">
        <v>0</v>
      </c>
      <c r="AX125" s="2029">
        <f t="shared" si="66"/>
        <v>0</v>
      </c>
      <c r="AY125" s="2029">
        <f t="shared" si="66"/>
        <v>0</v>
      </c>
      <c r="AZ125" s="2029">
        <f t="shared" si="66"/>
        <v>0</v>
      </c>
      <c r="BA125" s="2029">
        <v>900</v>
      </c>
      <c r="BB125" s="2029">
        <f t="shared" si="67"/>
        <v>900</v>
      </c>
      <c r="BC125" s="2029">
        <f t="shared" si="67"/>
        <v>900</v>
      </c>
      <c r="BD125" s="2029">
        <f t="shared" si="67"/>
        <v>900</v>
      </c>
      <c r="BE125" s="2030">
        <f t="shared" si="46"/>
        <v>300</v>
      </c>
      <c r="BF125" s="2030">
        <f t="shared" si="46"/>
        <v>600</v>
      </c>
      <c r="BG125" s="2030">
        <f t="shared" si="46"/>
        <v>600</v>
      </c>
      <c r="BH125" s="2030">
        <f t="shared" si="46"/>
        <v>600</v>
      </c>
      <c r="BI125" s="2030">
        <f t="shared" si="47"/>
        <v>0</v>
      </c>
      <c r="BJ125" s="2030">
        <f t="shared" si="47"/>
        <v>0</v>
      </c>
      <c r="BK125" s="2030">
        <f t="shared" si="47"/>
        <v>0</v>
      </c>
      <c r="BL125" s="2030">
        <f t="shared" si="40"/>
        <v>0</v>
      </c>
      <c r="BM125" s="2031"/>
      <c r="BN125" s="2031"/>
      <c r="BO125" s="2031"/>
      <c r="BP125" s="2031"/>
      <c r="BQ125" s="2031"/>
      <c r="BR125" s="2031"/>
      <c r="BS125" s="2031"/>
      <c r="BT125" s="2031"/>
      <c r="BU125" s="2029"/>
      <c r="BV125" s="2029"/>
      <c r="BW125" s="2029"/>
      <c r="BX125" s="2029"/>
      <c r="BY125" s="2029"/>
      <c r="BZ125" s="2032"/>
      <c r="CA125" s="1974"/>
      <c r="CB125" s="1974"/>
      <c r="CC125" s="1974"/>
      <c r="CD125" s="1974"/>
      <c r="CE125" s="1974">
        <v>0</v>
      </c>
      <c r="CF125" s="2033">
        <v>7.8080330713579543E-6</v>
      </c>
      <c r="CG125" s="2026">
        <v>0</v>
      </c>
      <c r="CH125" s="2009">
        <v>0</v>
      </c>
      <c r="CI125" s="2029">
        <v>0</v>
      </c>
      <c r="CK125" s="2029">
        <f t="shared" si="48"/>
        <v>0</v>
      </c>
      <c r="CL125" s="2034">
        <v>1</v>
      </c>
      <c r="CM125" s="2034">
        <v>1</v>
      </c>
      <c r="CN125" s="2034">
        <v>1</v>
      </c>
      <c r="CO125" s="2034">
        <v>1</v>
      </c>
      <c r="CP125" s="2035"/>
      <c r="CQ125" s="2036"/>
      <c r="CR125" s="2036"/>
      <c r="CS125" s="2049"/>
      <c r="CT125" s="2049"/>
      <c r="CU125" s="2049"/>
      <c r="CW125" s="1973">
        <v>0</v>
      </c>
      <c r="CX125" s="2037">
        <v>300</v>
      </c>
      <c r="CY125" s="2037">
        <v>300</v>
      </c>
      <c r="CZ125" s="2037">
        <v>300</v>
      </c>
      <c r="DA125" s="2037">
        <v>300</v>
      </c>
      <c r="DJ125" s="1976">
        <v>300</v>
      </c>
      <c r="DK125" s="1973">
        <v>300</v>
      </c>
      <c r="DL125" s="1973">
        <v>300</v>
      </c>
      <c r="DM125" s="1973">
        <v>300</v>
      </c>
      <c r="DO125" s="2023">
        <v>12</v>
      </c>
      <c r="DP125" s="2024">
        <v>2200</v>
      </c>
      <c r="DQ125" s="2024">
        <v>0.4</v>
      </c>
      <c r="DR125" s="2023">
        <v>0</v>
      </c>
      <c r="DS125" s="2029">
        <v>300</v>
      </c>
      <c r="DT125" s="2029">
        <v>300</v>
      </c>
      <c r="DU125" s="2029">
        <v>300</v>
      </c>
      <c r="DV125" s="2029">
        <v>300</v>
      </c>
      <c r="DW125" s="2029">
        <v>0</v>
      </c>
      <c r="DX125" s="2029">
        <v>0</v>
      </c>
      <c r="DY125" s="2029">
        <v>0</v>
      </c>
      <c r="DZ125" s="2029">
        <v>0</v>
      </c>
      <c r="EA125" s="2029">
        <v>900</v>
      </c>
      <c r="EB125" s="2029">
        <v>900</v>
      </c>
      <c r="EC125" s="2029">
        <v>900</v>
      </c>
      <c r="ED125" s="2029">
        <v>900</v>
      </c>
      <c r="EE125" s="2039">
        <f t="shared" si="49"/>
        <v>0</v>
      </c>
      <c r="EF125" s="2039">
        <f t="shared" si="49"/>
        <v>0</v>
      </c>
      <c r="EG125" s="2039">
        <f t="shared" si="49"/>
        <v>0</v>
      </c>
      <c r="EH125" s="2039">
        <f t="shared" si="49"/>
        <v>0</v>
      </c>
      <c r="EI125" s="2040">
        <f t="shared" si="70"/>
        <v>0</v>
      </c>
      <c r="EJ125" s="2040">
        <f t="shared" si="70"/>
        <v>0</v>
      </c>
      <c r="EK125" s="2040">
        <f t="shared" si="70"/>
        <v>0</v>
      </c>
      <c r="EL125" s="2040">
        <f t="shared" si="69"/>
        <v>0</v>
      </c>
      <c r="EM125" s="2040">
        <f t="shared" si="69"/>
        <v>0</v>
      </c>
      <c r="EN125" s="2040">
        <f t="shared" si="69"/>
        <v>0</v>
      </c>
      <c r="EO125" s="2040">
        <f t="shared" si="57"/>
        <v>0</v>
      </c>
      <c r="EP125" s="2040">
        <f t="shared" si="57"/>
        <v>0</v>
      </c>
      <c r="EQ125" s="2040">
        <f t="shared" si="57"/>
        <v>0</v>
      </c>
      <c r="ER125" s="2040">
        <f t="shared" si="57"/>
        <v>0</v>
      </c>
      <c r="ES125" s="2040">
        <f t="shared" si="57"/>
        <v>0</v>
      </c>
      <c r="ET125" s="2040">
        <f t="shared" si="57"/>
        <v>0</v>
      </c>
      <c r="EU125" s="2039">
        <f t="shared" si="50"/>
        <v>0</v>
      </c>
      <c r="EV125" s="2039">
        <f t="shared" si="51"/>
        <v>0</v>
      </c>
    </row>
    <row r="126" spans="1:152" x14ac:dyDescent="0.25">
      <c r="A126" s="2041" t="s">
        <v>166</v>
      </c>
      <c r="B126" s="2022"/>
      <c r="C126" s="2543">
        <v>8</v>
      </c>
      <c r="D126" s="2024">
        <v>312.76</v>
      </c>
      <c r="E126" s="2024">
        <v>2.76E-2</v>
      </c>
      <c r="F126" s="2023">
        <v>0</v>
      </c>
      <c r="G126" s="2026" t="s">
        <v>137</v>
      </c>
      <c r="H126" s="2026" t="s">
        <v>137</v>
      </c>
      <c r="I126" s="2026">
        <v>0.83299999999999996</v>
      </c>
      <c r="J126" s="2026">
        <v>0.83299999999999996</v>
      </c>
      <c r="K126" s="2026">
        <v>0.83299999999999996</v>
      </c>
      <c r="L126" s="2026">
        <v>0.83299999999999996</v>
      </c>
      <c r="M126" s="2027">
        <f t="shared" si="41"/>
        <v>260.52907999999996</v>
      </c>
      <c r="N126" s="2027">
        <f t="shared" si="41"/>
        <v>260.52907999999996</v>
      </c>
      <c r="O126" s="2027">
        <f t="shared" si="41"/>
        <v>260.52907999999996</v>
      </c>
      <c r="P126" s="2027">
        <f t="shared" si="41"/>
        <v>260.52907999999996</v>
      </c>
      <c r="Q126" s="2026">
        <v>0.83299999999999996</v>
      </c>
      <c r="R126" s="2026">
        <v>0.83299999999999996</v>
      </c>
      <c r="S126" s="2026">
        <v>0.83299999999999996</v>
      </c>
      <c r="T126" s="2026">
        <v>0.83299999999999996</v>
      </c>
      <c r="U126" s="2028">
        <f t="shared" si="42"/>
        <v>2.2990799999999999E-2</v>
      </c>
      <c r="V126" s="2028">
        <f t="shared" si="42"/>
        <v>2.2990799999999999E-2</v>
      </c>
      <c r="W126" s="2028">
        <f t="shared" si="42"/>
        <v>2.2990799999999999E-2</v>
      </c>
      <c r="X126" s="2028">
        <f t="shared" si="42"/>
        <v>2.2990799999999999E-2</v>
      </c>
      <c r="Y126" s="2026">
        <v>0.83299999999999996</v>
      </c>
      <c r="Z126" s="2026">
        <v>0.83299999999999996</v>
      </c>
      <c r="AA126" s="2026">
        <v>0.83299999999999996</v>
      </c>
      <c r="AB126" s="2026">
        <v>0.83299999999999996</v>
      </c>
      <c r="AC126" s="2027">
        <f t="shared" si="68"/>
        <v>0</v>
      </c>
      <c r="AD126" s="2027">
        <f t="shared" si="68"/>
        <v>0</v>
      </c>
      <c r="AE126" s="2027">
        <f t="shared" si="68"/>
        <v>0</v>
      </c>
      <c r="AF126" s="2027">
        <f t="shared" si="68"/>
        <v>0</v>
      </c>
      <c r="AG126" s="2027">
        <v>1</v>
      </c>
      <c r="AH126" s="2027">
        <v>1</v>
      </c>
      <c r="AI126" s="2027">
        <v>1</v>
      </c>
      <c r="AJ126" s="2027">
        <v>1</v>
      </c>
      <c r="AK126" s="2027">
        <f t="shared" si="63"/>
        <v>260.52907999999996</v>
      </c>
      <c r="AL126" s="2027">
        <f t="shared" si="60"/>
        <v>260.52907999999996</v>
      </c>
      <c r="AM126" s="2027">
        <f t="shared" si="60"/>
        <v>260.52907999999996</v>
      </c>
      <c r="AN126" s="2027">
        <f t="shared" si="58"/>
        <v>260.52907999999996</v>
      </c>
      <c r="AO126" s="2027">
        <f t="shared" si="64"/>
        <v>0</v>
      </c>
      <c r="AP126" s="2027">
        <f t="shared" si="61"/>
        <v>0</v>
      </c>
      <c r="AQ126" s="2027">
        <f t="shared" si="61"/>
        <v>0</v>
      </c>
      <c r="AR126" s="2027">
        <f t="shared" si="59"/>
        <v>0</v>
      </c>
      <c r="AS126" s="2029">
        <v>25</v>
      </c>
      <c r="AT126" s="2029">
        <f t="shared" si="65"/>
        <v>25</v>
      </c>
      <c r="AU126" s="2029">
        <f t="shared" si="65"/>
        <v>25</v>
      </c>
      <c r="AV126" s="2029">
        <f t="shared" si="65"/>
        <v>25</v>
      </c>
      <c r="AW126" s="1974"/>
      <c r="AX126" s="2029">
        <f t="shared" si="66"/>
        <v>0</v>
      </c>
      <c r="AY126" s="2029">
        <f t="shared" si="66"/>
        <v>0</v>
      </c>
      <c r="AZ126" s="2029">
        <f t="shared" si="66"/>
        <v>0</v>
      </c>
      <c r="BA126" s="2029">
        <v>110</v>
      </c>
      <c r="BB126" s="2029">
        <f t="shared" si="67"/>
        <v>110</v>
      </c>
      <c r="BC126" s="2029">
        <f t="shared" si="67"/>
        <v>110</v>
      </c>
      <c r="BD126" s="2029">
        <f t="shared" si="67"/>
        <v>110</v>
      </c>
      <c r="BE126" s="2030">
        <f t="shared" si="46"/>
        <v>25</v>
      </c>
      <c r="BF126" s="2030">
        <f t="shared" si="46"/>
        <v>25</v>
      </c>
      <c r="BG126" s="2030">
        <f t="shared" si="46"/>
        <v>25</v>
      </c>
      <c r="BH126" s="2030">
        <f t="shared" si="46"/>
        <v>25</v>
      </c>
      <c r="BI126" s="2030">
        <f t="shared" si="47"/>
        <v>0</v>
      </c>
      <c r="BJ126" s="2030">
        <f t="shared" si="47"/>
        <v>0</v>
      </c>
      <c r="BK126" s="2030">
        <f t="shared" si="47"/>
        <v>0</v>
      </c>
      <c r="BL126" s="2030">
        <f t="shared" si="40"/>
        <v>0</v>
      </c>
      <c r="BM126" s="2031"/>
      <c r="BN126" s="2031"/>
      <c r="BO126" s="2031"/>
      <c r="BP126" s="2031"/>
      <c r="BQ126" s="2031"/>
      <c r="BR126" s="2031"/>
      <c r="BS126" s="2031"/>
      <c r="BT126" s="2031"/>
      <c r="BU126" s="2029"/>
      <c r="BV126" s="2029"/>
      <c r="BW126" s="2029"/>
      <c r="BX126" s="2029"/>
      <c r="BY126" s="2029"/>
      <c r="BZ126" s="2032"/>
      <c r="CA126" s="1974"/>
      <c r="CB126" s="1974"/>
      <c r="CC126" s="1974"/>
      <c r="CD126" s="1974"/>
      <c r="CE126" s="1974">
        <v>0</v>
      </c>
      <c r="CF126" s="2033">
        <v>1.0890993000805557E-6</v>
      </c>
      <c r="CG126" s="2026">
        <v>0</v>
      </c>
      <c r="CH126" s="2009">
        <v>0</v>
      </c>
      <c r="CI126" s="2029">
        <v>0</v>
      </c>
      <c r="CK126" s="2029">
        <f t="shared" si="48"/>
        <v>0</v>
      </c>
      <c r="CL126" s="2034">
        <v>1</v>
      </c>
      <c r="CM126" s="2034">
        <v>1</v>
      </c>
      <c r="CN126" s="2034">
        <v>1</v>
      </c>
      <c r="CO126" s="2034">
        <v>1</v>
      </c>
      <c r="CP126" s="2035"/>
      <c r="CQ126" s="2036"/>
      <c r="CR126" s="2036"/>
      <c r="CS126" s="2049"/>
      <c r="CT126" s="2049"/>
      <c r="CU126" s="2049"/>
      <c r="CW126" s="1973">
        <v>0</v>
      </c>
      <c r="CX126" s="2037">
        <v>25</v>
      </c>
      <c r="CY126" s="2037">
        <v>25</v>
      </c>
      <c r="CZ126" s="2037">
        <v>25</v>
      </c>
      <c r="DA126" s="2037">
        <v>25</v>
      </c>
      <c r="DJ126" s="1976">
        <v>25</v>
      </c>
      <c r="DK126" s="1973">
        <v>25</v>
      </c>
      <c r="DL126" s="1973">
        <v>25</v>
      </c>
      <c r="DM126" s="1973">
        <v>25</v>
      </c>
      <c r="DO126" s="2023">
        <v>10</v>
      </c>
      <c r="DP126" s="2024">
        <v>312.76</v>
      </c>
      <c r="DQ126" s="2024">
        <v>2.76E-2</v>
      </c>
      <c r="DR126" s="2023">
        <v>0</v>
      </c>
      <c r="DS126" s="2029">
        <v>25</v>
      </c>
      <c r="DT126" s="2029">
        <v>25</v>
      </c>
      <c r="DU126" s="2029">
        <v>25</v>
      </c>
      <c r="DV126" s="2029">
        <v>25</v>
      </c>
      <c r="DW126" s="1974"/>
      <c r="DX126" s="2029">
        <v>0</v>
      </c>
      <c r="DY126" s="2029">
        <v>0</v>
      </c>
      <c r="DZ126" s="2029">
        <v>0</v>
      </c>
      <c r="EA126" s="2029">
        <v>110</v>
      </c>
      <c r="EB126" s="2029">
        <v>110</v>
      </c>
      <c r="EC126" s="2029">
        <v>110</v>
      </c>
      <c r="ED126" s="2029">
        <v>110</v>
      </c>
      <c r="EE126" s="2039">
        <f t="shared" si="49"/>
        <v>-2</v>
      </c>
      <c r="EF126" s="2039">
        <f t="shared" si="49"/>
        <v>0</v>
      </c>
      <c r="EG126" s="2039">
        <f t="shared" si="49"/>
        <v>0</v>
      </c>
      <c r="EH126" s="2039">
        <f t="shared" si="49"/>
        <v>0</v>
      </c>
      <c r="EI126" s="2040">
        <f t="shared" si="70"/>
        <v>0</v>
      </c>
      <c r="EJ126" s="2040">
        <f t="shared" si="70"/>
        <v>0</v>
      </c>
      <c r="EK126" s="2040">
        <f t="shared" si="70"/>
        <v>0</v>
      </c>
      <c r="EL126" s="2040">
        <f t="shared" si="69"/>
        <v>0</v>
      </c>
      <c r="EM126" s="2040">
        <f t="shared" si="69"/>
        <v>0</v>
      </c>
      <c r="EN126" s="2040">
        <f t="shared" si="69"/>
        <v>0</v>
      </c>
      <c r="EO126" s="2040">
        <f t="shared" si="57"/>
        <v>0</v>
      </c>
      <c r="EP126" s="2040">
        <f t="shared" si="57"/>
        <v>0</v>
      </c>
      <c r="EQ126" s="2040">
        <f t="shared" si="57"/>
        <v>0</v>
      </c>
      <c r="ER126" s="2040">
        <f t="shared" si="57"/>
        <v>0</v>
      </c>
      <c r="ES126" s="2040">
        <f t="shared" si="57"/>
        <v>0</v>
      </c>
      <c r="ET126" s="2040">
        <f t="shared" si="57"/>
        <v>0</v>
      </c>
      <c r="EU126" s="2039">
        <f t="shared" si="50"/>
        <v>-2</v>
      </c>
      <c r="EV126" s="2039">
        <f t="shared" si="51"/>
        <v>-2</v>
      </c>
    </row>
    <row r="127" spans="1:152" x14ac:dyDescent="0.25">
      <c r="A127" s="2041" t="s">
        <v>167</v>
      </c>
      <c r="B127" s="2022"/>
      <c r="C127" s="2543">
        <v>8</v>
      </c>
      <c r="D127" s="2024">
        <v>4726</v>
      </c>
      <c r="E127" s="2024">
        <v>0</v>
      </c>
      <c r="F127" s="2023">
        <v>73.599999999999994</v>
      </c>
      <c r="G127" s="2026" t="s">
        <v>20</v>
      </c>
      <c r="H127" s="2026" t="s">
        <v>20</v>
      </c>
      <c r="I127" s="2026">
        <v>0.55700000000000005</v>
      </c>
      <c r="J127" s="2026">
        <v>0.55700000000000005</v>
      </c>
      <c r="K127" s="2026">
        <v>0.55700000000000005</v>
      </c>
      <c r="L127" s="2026">
        <v>0.55700000000000005</v>
      </c>
      <c r="M127" s="2027">
        <f t="shared" si="41"/>
        <v>2632.3820000000001</v>
      </c>
      <c r="N127" s="2027">
        <f t="shared" si="41"/>
        <v>2632.3820000000001</v>
      </c>
      <c r="O127" s="2027">
        <f t="shared" si="41"/>
        <v>2632.3820000000001</v>
      </c>
      <c r="P127" s="2027">
        <f t="shared" si="41"/>
        <v>2632.3820000000001</v>
      </c>
      <c r="Q127" s="2026">
        <v>0.55700000000000005</v>
      </c>
      <c r="R127" s="2026">
        <v>0.55700000000000005</v>
      </c>
      <c r="S127" s="2026">
        <v>0.55700000000000005</v>
      </c>
      <c r="T127" s="2026">
        <v>0.55700000000000005</v>
      </c>
      <c r="U127" s="2028">
        <f t="shared" si="42"/>
        <v>0</v>
      </c>
      <c r="V127" s="2028">
        <f t="shared" si="42"/>
        <v>0</v>
      </c>
      <c r="W127" s="2028">
        <f t="shared" si="42"/>
        <v>0</v>
      </c>
      <c r="X127" s="2028">
        <f t="shared" si="42"/>
        <v>0</v>
      </c>
      <c r="Y127" s="2026">
        <v>0.49399999999999999</v>
      </c>
      <c r="Z127" s="2026">
        <v>0.49399999999999999</v>
      </c>
      <c r="AA127" s="2026">
        <v>0.49399999999999999</v>
      </c>
      <c r="AB127" s="2026">
        <v>0.49399999999999999</v>
      </c>
      <c r="AC127" s="2027">
        <f t="shared" si="68"/>
        <v>36.358399999999996</v>
      </c>
      <c r="AD127" s="2027">
        <f t="shared" si="68"/>
        <v>36.358399999999996</v>
      </c>
      <c r="AE127" s="2027">
        <f t="shared" si="68"/>
        <v>36.358399999999996</v>
      </c>
      <c r="AF127" s="2027">
        <f t="shared" si="68"/>
        <v>36.358399999999996</v>
      </c>
      <c r="AG127" s="2027">
        <v>20</v>
      </c>
      <c r="AH127" s="2027">
        <v>6</v>
      </c>
      <c r="AI127" s="2027">
        <v>1</v>
      </c>
      <c r="AJ127" s="2027">
        <v>1</v>
      </c>
      <c r="AK127" s="2027">
        <f t="shared" si="63"/>
        <v>52647.64</v>
      </c>
      <c r="AL127" s="2027">
        <f t="shared" si="60"/>
        <v>15794.292000000001</v>
      </c>
      <c r="AM127" s="2027">
        <f t="shared" si="60"/>
        <v>2632.3820000000001</v>
      </c>
      <c r="AN127" s="2027">
        <f t="shared" si="58"/>
        <v>2632.3820000000001</v>
      </c>
      <c r="AO127" s="2027">
        <f t="shared" si="64"/>
        <v>727.16799999999989</v>
      </c>
      <c r="AP127" s="2027">
        <f t="shared" si="61"/>
        <v>218.15039999999999</v>
      </c>
      <c r="AQ127" s="2027">
        <f t="shared" si="61"/>
        <v>36.358399999999996</v>
      </c>
      <c r="AR127" s="2027">
        <f t="shared" si="59"/>
        <v>36.358399999999996</v>
      </c>
      <c r="AS127" s="2029">
        <f>DF127</f>
        <v>87</v>
      </c>
      <c r="AT127" s="2029">
        <f t="shared" si="65"/>
        <v>87</v>
      </c>
      <c r="AU127" s="2029">
        <f t="shared" si="65"/>
        <v>87</v>
      </c>
      <c r="AV127" s="2029">
        <f t="shared" si="65"/>
        <v>87</v>
      </c>
      <c r="AW127" s="2029">
        <f>CX127-AS127</f>
        <v>13</v>
      </c>
      <c r="AX127" s="2029">
        <f t="shared" si="66"/>
        <v>13</v>
      </c>
      <c r="AY127" s="2029">
        <f t="shared" si="66"/>
        <v>13</v>
      </c>
      <c r="AZ127" s="2029">
        <f t="shared" si="66"/>
        <v>13</v>
      </c>
      <c r="BA127" s="2029">
        <v>181</v>
      </c>
      <c r="BB127" s="2029">
        <f t="shared" si="67"/>
        <v>181</v>
      </c>
      <c r="BC127" s="2029">
        <f t="shared" si="67"/>
        <v>181</v>
      </c>
      <c r="BD127" s="2029">
        <f t="shared" si="67"/>
        <v>181</v>
      </c>
      <c r="BE127" s="2030">
        <f t="shared" si="46"/>
        <v>1740</v>
      </c>
      <c r="BF127" s="2030">
        <f t="shared" si="46"/>
        <v>522</v>
      </c>
      <c r="BG127" s="2030">
        <f t="shared" si="46"/>
        <v>87</v>
      </c>
      <c r="BH127" s="2030">
        <f t="shared" si="46"/>
        <v>87</v>
      </c>
      <c r="BI127" s="2030">
        <f t="shared" si="47"/>
        <v>260</v>
      </c>
      <c r="BJ127" s="2030">
        <f t="shared" si="47"/>
        <v>78</v>
      </c>
      <c r="BK127" s="2030">
        <f t="shared" si="47"/>
        <v>13</v>
      </c>
      <c r="BL127" s="2030">
        <f t="shared" si="40"/>
        <v>13</v>
      </c>
      <c r="BM127" s="2031"/>
      <c r="BN127" s="2031"/>
      <c r="BO127" s="2031"/>
      <c r="BP127" s="2031"/>
      <c r="BQ127" s="2031"/>
      <c r="BR127" s="2031"/>
      <c r="BS127" s="2031"/>
      <c r="BT127" s="2031"/>
      <c r="BU127" s="2029"/>
      <c r="BV127" s="2029"/>
      <c r="BW127" s="2029"/>
      <c r="BX127" s="2029"/>
      <c r="BY127" s="2029"/>
      <c r="BZ127" s="2032"/>
      <c r="CA127" s="1974"/>
      <c r="CB127" s="1974"/>
      <c r="CC127" s="1974"/>
      <c r="CD127" s="1974"/>
      <c r="CE127" s="1974">
        <v>0</v>
      </c>
      <c r="CF127" s="2033">
        <v>2.2008486682136623E-4</v>
      </c>
      <c r="CG127" s="2026">
        <v>2.7129214996825517E-4</v>
      </c>
      <c r="CH127" s="2009">
        <v>0</v>
      </c>
      <c r="CI127" s="2029">
        <v>0</v>
      </c>
      <c r="CK127" s="2029">
        <f t="shared" si="48"/>
        <v>0</v>
      </c>
      <c r="CL127" s="2034">
        <v>1</v>
      </c>
      <c r="CM127" s="2034">
        <v>1</v>
      </c>
      <c r="CN127" s="2034">
        <v>1</v>
      </c>
      <c r="CO127" s="2034">
        <v>1</v>
      </c>
      <c r="CP127" s="2035"/>
      <c r="CQ127" s="2036"/>
      <c r="CR127" s="2036"/>
      <c r="CS127" s="2036"/>
      <c r="CT127" s="2036"/>
      <c r="CU127" s="2036"/>
      <c r="CW127" s="1973">
        <v>0</v>
      </c>
      <c r="CX127" s="2037">
        <v>100</v>
      </c>
      <c r="CY127" s="2037">
        <v>100</v>
      </c>
      <c r="CZ127" s="2037">
        <v>100</v>
      </c>
      <c r="DA127" s="2037">
        <v>100</v>
      </c>
      <c r="DB127" s="2051">
        <v>0.87</v>
      </c>
      <c r="DC127" s="2051">
        <v>0.87</v>
      </c>
      <c r="DD127" s="2051">
        <v>0.87</v>
      </c>
      <c r="DE127" s="2051">
        <v>0.87</v>
      </c>
      <c r="DF127" s="2037">
        <f>DB127*CX127</f>
        <v>87</v>
      </c>
      <c r="DG127" s="2037">
        <f>DC127*CY127</f>
        <v>87</v>
      </c>
      <c r="DH127" s="2037">
        <f>DD127*CZ127</f>
        <v>87</v>
      </c>
      <c r="DI127" s="2037">
        <f>DE127*DA127</f>
        <v>87</v>
      </c>
      <c r="DJ127" s="1976">
        <v>50</v>
      </c>
      <c r="DK127" s="1973">
        <v>50</v>
      </c>
      <c r="DL127" s="1973">
        <v>50</v>
      </c>
      <c r="DM127" s="1973">
        <v>50</v>
      </c>
      <c r="DO127" s="2023">
        <v>4</v>
      </c>
      <c r="DP127" s="2024">
        <v>4726</v>
      </c>
      <c r="DQ127" s="2024">
        <v>0</v>
      </c>
      <c r="DR127" s="2023">
        <v>73.599999999999994</v>
      </c>
      <c r="DS127" s="2029">
        <v>87</v>
      </c>
      <c r="DT127" s="2029">
        <v>87</v>
      </c>
      <c r="DU127" s="2029">
        <v>87</v>
      </c>
      <c r="DV127" s="2029">
        <v>87</v>
      </c>
      <c r="DW127" s="2029">
        <v>13</v>
      </c>
      <c r="DX127" s="2029">
        <v>13</v>
      </c>
      <c r="DY127" s="2029">
        <v>13</v>
      </c>
      <c r="DZ127" s="2029">
        <v>13</v>
      </c>
      <c r="EA127" s="2029">
        <v>181</v>
      </c>
      <c r="EB127" s="2029">
        <v>181</v>
      </c>
      <c r="EC127" s="2029">
        <v>181</v>
      </c>
      <c r="ED127" s="2029">
        <v>181</v>
      </c>
      <c r="EE127" s="2039">
        <f t="shared" si="49"/>
        <v>4</v>
      </c>
      <c r="EF127" s="2039">
        <f t="shared" si="49"/>
        <v>0</v>
      </c>
      <c r="EG127" s="2039">
        <f t="shared" si="49"/>
        <v>0</v>
      </c>
      <c r="EH127" s="2039">
        <f t="shared" si="49"/>
        <v>0</v>
      </c>
      <c r="EI127" s="2040">
        <f t="shared" si="70"/>
        <v>0</v>
      </c>
      <c r="EJ127" s="2040">
        <f t="shared" si="70"/>
        <v>0</v>
      </c>
      <c r="EK127" s="2040">
        <f t="shared" si="70"/>
        <v>0</v>
      </c>
      <c r="EL127" s="2040">
        <f t="shared" si="69"/>
        <v>0</v>
      </c>
      <c r="EM127" s="2040">
        <f t="shared" si="69"/>
        <v>0</v>
      </c>
      <c r="EN127" s="2040">
        <f t="shared" si="69"/>
        <v>0</v>
      </c>
      <c r="EO127" s="2040">
        <f t="shared" si="57"/>
        <v>0</v>
      </c>
      <c r="EP127" s="2040">
        <f t="shared" si="57"/>
        <v>0</v>
      </c>
      <c r="EQ127" s="2040">
        <f t="shared" si="57"/>
        <v>0</v>
      </c>
      <c r="ER127" s="2040">
        <f t="shared" si="57"/>
        <v>0</v>
      </c>
      <c r="ES127" s="2040">
        <f t="shared" si="57"/>
        <v>0</v>
      </c>
      <c r="ET127" s="2040">
        <f t="shared" si="57"/>
        <v>0</v>
      </c>
      <c r="EU127" s="2039">
        <f t="shared" si="50"/>
        <v>4</v>
      </c>
      <c r="EV127" s="2039">
        <f t="shared" si="51"/>
        <v>4</v>
      </c>
    </row>
    <row r="128" spans="1:152" x14ac:dyDescent="0.25">
      <c r="A128" s="2041" t="s">
        <v>242</v>
      </c>
      <c r="B128" s="2022"/>
      <c r="C128" s="2023">
        <v>15</v>
      </c>
      <c r="D128" s="2024">
        <v>0</v>
      </c>
      <c r="E128" s="2024">
        <v>0</v>
      </c>
      <c r="F128" s="2023">
        <v>10</v>
      </c>
      <c r="G128" s="2026" t="s">
        <v>20</v>
      </c>
      <c r="H128" s="2026" t="s">
        <v>20</v>
      </c>
      <c r="I128" s="2026">
        <v>0.55700000000000005</v>
      </c>
      <c r="J128" s="2026">
        <v>0.55700000000000005</v>
      </c>
      <c r="K128" s="2026">
        <v>0.55700000000000005</v>
      </c>
      <c r="L128" s="2026">
        <v>0.55700000000000005</v>
      </c>
      <c r="M128" s="2027">
        <f t="shared" si="41"/>
        <v>0</v>
      </c>
      <c r="N128" s="2027">
        <f t="shared" si="41"/>
        <v>0</v>
      </c>
      <c r="O128" s="2027">
        <f t="shared" si="41"/>
        <v>0</v>
      </c>
      <c r="P128" s="2027">
        <f t="shared" si="41"/>
        <v>0</v>
      </c>
      <c r="Q128" s="2026">
        <v>0.55700000000000005</v>
      </c>
      <c r="R128" s="2026">
        <v>0.55700000000000005</v>
      </c>
      <c r="S128" s="2026">
        <v>0.55700000000000005</v>
      </c>
      <c r="T128" s="2026">
        <v>0.55700000000000005</v>
      </c>
      <c r="U128" s="2028">
        <f t="shared" si="42"/>
        <v>0</v>
      </c>
      <c r="V128" s="2028">
        <f t="shared" si="42"/>
        <v>0</v>
      </c>
      <c r="W128" s="2028">
        <f t="shared" si="42"/>
        <v>0</v>
      </c>
      <c r="X128" s="2028">
        <f t="shared" si="42"/>
        <v>0</v>
      </c>
      <c r="Y128" s="2026">
        <v>0.49399999999999999</v>
      </c>
      <c r="Z128" s="2026">
        <v>0.49399999999999999</v>
      </c>
      <c r="AA128" s="2026">
        <v>0.49399999999999999</v>
      </c>
      <c r="AB128" s="2026">
        <v>0.49399999999999999</v>
      </c>
      <c r="AC128" s="2027">
        <f t="shared" si="68"/>
        <v>4.9399999999999995</v>
      </c>
      <c r="AD128" s="2027">
        <f t="shared" si="68"/>
        <v>4.9399999999999995</v>
      </c>
      <c r="AE128" s="2027">
        <f t="shared" si="68"/>
        <v>4.9399999999999995</v>
      </c>
      <c r="AF128" s="2027">
        <f t="shared" si="68"/>
        <v>4.9399999999999995</v>
      </c>
      <c r="AG128" s="2027">
        <v>1</v>
      </c>
      <c r="AH128" s="2027">
        <v>0</v>
      </c>
      <c r="AI128" s="2027">
        <v>1</v>
      </c>
      <c r="AJ128" s="2027">
        <v>0</v>
      </c>
      <c r="AK128" s="2027">
        <f t="shared" si="63"/>
        <v>0</v>
      </c>
      <c r="AL128" s="2027">
        <f t="shared" si="60"/>
        <v>0</v>
      </c>
      <c r="AM128" s="2027">
        <f t="shared" si="60"/>
        <v>0</v>
      </c>
      <c r="AN128" s="2027">
        <f t="shared" si="58"/>
        <v>0</v>
      </c>
      <c r="AO128" s="2027">
        <f t="shared" si="64"/>
        <v>4.9399999999999995</v>
      </c>
      <c r="AP128" s="2027">
        <f t="shared" si="61"/>
        <v>0</v>
      </c>
      <c r="AQ128" s="2027">
        <f t="shared" si="61"/>
        <v>4.9399999999999995</v>
      </c>
      <c r="AR128" s="2027">
        <f t="shared" si="59"/>
        <v>0</v>
      </c>
      <c r="AS128" s="2029"/>
      <c r="AT128" s="2029">
        <f t="shared" si="65"/>
        <v>0</v>
      </c>
      <c r="AU128" s="2029">
        <f t="shared" si="65"/>
        <v>0</v>
      </c>
      <c r="AV128" s="2029">
        <f t="shared" si="65"/>
        <v>0</v>
      </c>
      <c r="AW128" s="2029">
        <v>10</v>
      </c>
      <c r="AX128" s="2029">
        <f t="shared" si="66"/>
        <v>10</v>
      </c>
      <c r="AY128" s="2029">
        <f t="shared" si="66"/>
        <v>10</v>
      </c>
      <c r="AZ128" s="2029">
        <f t="shared" si="66"/>
        <v>10</v>
      </c>
      <c r="BA128" s="2029">
        <v>30</v>
      </c>
      <c r="BB128" s="2029">
        <f t="shared" si="67"/>
        <v>30</v>
      </c>
      <c r="BC128" s="2029">
        <f t="shared" si="67"/>
        <v>30</v>
      </c>
      <c r="BD128" s="2029">
        <f t="shared" si="67"/>
        <v>30</v>
      </c>
      <c r="BE128" s="2030">
        <f t="shared" si="46"/>
        <v>0</v>
      </c>
      <c r="BF128" s="2030">
        <f t="shared" si="46"/>
        <v>0</v>
      </c>
      <c r="BG128" s="2030">
        <f t="shared" si="46"/>
        <v>0</v>
      </c>
      <c r="BH128" s="2030">
        <f t="shared" si="46"/>
        <v>0</v>
      </c>
      <c r="BI128" s="2030">
        <f t="shared" si="47"/>
        <v>10</v>
      </c>
      <c r="BJ128" s="2030">
        <f t="shared" si="47"/>
        <v>0</v>
      </c>
      <c r="BK128" s="2030">
        <f t="shared" si="47"/>
        <v>10</v>
      </c>
      <c r="BL128" s="2030">
        <f t="shared" si="40"/>
        <v>0</v>
      </c>
      <c r="BM128" s="2031"/>
      <c r="BN128" s="2031"/>
      <c r="BO128" s="2031"/>
      <c r="BP128" s="2031"/>
      <c r="BQ128" s="2031"/>
      <c r="BR128" s="2031"/>
      <c r="BS128" s="2031"/>
      <c r="BT128" s="2031"/>
      <c r="BU128" s="2029"/>
      <c r="BV128" s="2029"/>
      <c r="BW128" s="2029"/>
      <c r="BX128" s="2029"/>
      <c r="BY128" s="2029"/>
      <c r="BZ128" s="2032"/>
      <c r="CA128" s="1974"/>
      <c r="CB128" s="1974"/>
      <c r="CC128" s="1974"/>
      <c r="CD128" s="1974"/>
      <c r="CE128" s="1974">
        <v>0</v>
      </c>
      <c r="CF128" s="2033">
        <v>0</v>
      </c>
      <c r="CG128" s="2026">
        <v>1.8430173231539076E-6</v>
      </c>
      <c r="CH128" s="2009">
        <v>0</v>
      </c>
      <c r="CI128" s="2029">
        <v>0</v>
      </c>
      <c r="CK128" s="2029">
        <f t="shared" si="48"/>
        <v>0</v>
      </c>
      <c r="CL128" s="2034">
        <v>1</v>
      </c>
      <c r="CM128" s="2034">
        <v>1</v>
      </c>
      <c r="CN128" s="2034">
        <v>1</v>
      </c>
      <c r="CO128" s="2034">
        <v>1</v>
      </c>
      <c r="CP128" s="2035"/>
      <c r="CQ128" s="2036"/>
      <c r="CR128" s="2036"/>
      <c r="CS128" s="2049"/>
      <c r="CT128" s="2049"/>
      <c r="CU128" s="2049"/>
      <c r="CW128" s="1973">
        <v>0</v>
      </c>
      <c r="CX128" s="2037">
        <v>10</v>
      </c>
      <c r="CY128" s="2037">
        <v>10</v>
      </c>
      <c r="CZ128" s="2037">
        <v>10</v>
      </c>
      <c r="DA128" s="2037">
        <v>10</v>
      </c>
      <c r="DK128" s="1973">
        <v>0</v>
      </c>
      <c r="DL128" s="1973">
        <v>0</v>
      </c>
      <c r="DM128" s="1973">
        <v>0</v>
      </c>
      <c r="DO128" s="2023">
        <v>15</v>
      </c>
      <c r="DP128" s="2024">
        <v>0</v>
      </c>
      <c r="DQ128" s="2024">
        <v>0</v>
      </c>
      <c r="DR128" s="2023">
        <v>10</v>
      </c>
      <c r="DS128" s="2029"/>
      <c r="DT128" s="2029">
        <v>0</v>
      </c>
      <c r="DU128" s="2029">
        <v>0</v>
      </c>
      <c r="DV128" s="2029">
        <v>0</v>
      </c>
      <c r="DW128" s="2029">
        <v>10</v>
      </c>
      <c r="DX128" s="2029">
        <v>10</v>
      </c>
      <c r="DY128" s="2029">
        <v>10</v>
      </c>
      <c r="DZ128" s="2029">
        <v>10</v>
      </c>
      <c r="EA128" s="2029">
        <v>30</v>
      </c>
      <c r="EB128" s="2029">
        <v>30</v>
      </c>
      <c r="EC128" s="2029">
        <v>30</v>
      </c>
      <c r="ED128" s="2029">
        <v>30</v>
      </c>
      <c r="EE128" s="2039">
        <f t="shared" si="49"/>
        <v>0</v>
      </c>
      <c r="EF128" s="2039">
        <f t="shared" si="49"/>
        <v>0</v>
      </c>
      <c r="EG128" s="2039">
        <f t="shared" si="49"/>
        <v>0</v>
      </c>
      <c r="EH128" s="2039">
        <f t="shared" si="49"/>
        <v>0</v>
      </c>
      <c r="EI128" s="2040">
        <f t="shared" si="70"/>
        <v>0</v>
      </c>
      <c r="EJ128" s="2040">
        <f t="shared" si="70"/>
        <v>0</v>
      </c>
      <c r="EK128" s="2040">
        <f t="shared" si="70"/>
        <v>0</v>
      </c>
      <c r="EL128" s="2040">
        <f t="shared" si="69"/>
        <v>0</v>
      </c>
      <c r="EM128" s="2040">
        <f t="shared" si="69"/>
        <v>0</v>
      </c>
      <c r="EN128" s="2040">
        <f t="shared" si="69"/>
        <v>0</v>
      </c>
      <c r="EO128" s="2040">
        <f t="shared" si="57"/>
        <v>0</v>
      </c>
      <c r="EP128" s="2040">
        <f t="shared" si="57"/>
        <v>0</v>
      </c>
      <c r="EQ128" s="2040">
        <f t="shared" si="57"/>
        <v>0</v>
      </c>
      <c r="ER128" s="2040">
        <f t="shared" si="57"/>
        <v>0</v>
      </c>
      <c r="ES128" s="2040">
        <f t="shared" si="57"/>
        <v>0</v>
      </c>
      <c r="ET128" s="2040">
        <f t="shared" si="57"/>
        <v>0</v>
      </c>
      <c r="EU128" s="2039">
        <f t="shared" si="50"/>
        <v>0</v>
      </c>
      <c r="EV128" s="2039">
        <f t="shared" si="51"/>
        <v>0</v>
      </c>
    </row>
    <row r="129" spans="1:152" x14ac:dyDescent="0.25">
      <c r="A129" s="2041" t="s">
        <v>243</v>
      </c>
      <c r="B129" s="2022"/>
      <c r="C129" s="2023">
        <v>15</v>
      </c>
      <c r="D129" s="2024">
        <v>651</v>
      </c>
      <c r="E129" s="2024">
        <v>0</v>
      </c>
      <c r="F129" s="2023">
        <v>559</v>
      </c>
      <c r="G129" s="2026" t="s">
        <v>20</v>
      </c>
      <c r="H129" s="2026" t="s">
        <v>20</v>
      </c>
      <c r="I129" s="2026">
        <v>0.55700000000000005</v>
      </c>
      <c r="J129" s="2026">
        <v>0.55700000000000005</v>
      </c>
      <c r="K129" s="2026">
        <v>0.55700000000000005</v>
      </c>
      <c r="L129" s="2026">
        <v>0.55700000000000005</v>
      </c>
      <c r="M129" s="2027">
        <f t="shared" si="41"/>
        <v>362.60700000000003</v>
      </c>
      <c r="N129" s="2027">
        <f t="shared" si="41"/>
        <v>362.60700000000003</v>
      </c>
      <c r="O129" s="2027">
        <f t="shared" si="41"/>
        <v>362.60700000000003</v>
      </c>
      <c r="P129" s="2027">
        <f t="shared" si="41"/>
        <v>362.60700000000003</v>
      </c>
      <c r="Q129" s="2026">
        <v>0.55700000000000005</v>
      </c>
      <c r="R129" s="2026">
        <v>0.55700000000000005</v>
      </c>
      <c r="S129" s="2026">
        <v>0.55700000000000005</v>
      </c>
      <c r="T129" s="2026">
        <v>0.55700000000000005</v>
      </c>
      <c r="U129" s="2028">
        <f t="shared" si="42"/>
        <v>0</v>
      </c>
      <c r="V129" s="2028">
        <f t="shared" si="42"/>
        <v>0</v>
      </c>
      <c r="W129" s="2028">
        <f t="shared" si="42"/>
        <v>0</v>
      </c>
      <c r="X129" s="2028">
        <f t="shared" si="42"/>
        <v>0</v>
      </c>
      <c r="Y129" s="2026">
        <v>0.49399999999999999</v>
      </c>
      <c r="Z129" s="2026">
        <v>0.49399999999999999</v>
      </c>
      <c r="AA129" s="2026">
        <v>0.49399999999999999</v>
      </c>
      <c r="AB129" s="2026">
        <v>0.49399999999999999</v>
      </c>
      <c r="AC129" s="2027">
        <f t="shared" si="68"/>
        <v>276.14600000000002</v>
      </c>
      <c r="AD129" s="2027">
        <f t="shared" si="68"/>
        <v>276.14600000000002</v>
      </c>
      <c r="AE129" s="2027">
        <f t="shared" si="68"/>
        <v>276.14600000000002</v>
      </c>
      <c r="AF129" s="2027">
        <f t="shared" si="68"/>
        <v>276.14600000000002</v>
      </c>
      <c r="AG129" s="2027">
        <v>1</v>
      </c>
      <c r="AH129" s="2027">
        <v>0</v>
      </c>
      <c r="AI129" s="2027">
        <v>1</v>
      </c>
      <c r="AJ129" s="2027">
        <v>0</v>
      </c>
      <c r="AK129" s="2027">
        <f t="shared" si="63"/>
        <v>362.60700000000003</v>
      </c>
      <c r="AL129" s="2027">
        <f t="shared" si="60"/>
        <v>0</v>
      </c>
      <c r="AM129" s="2027">
        <f t="shared" si="60"/>
        <v>362.60700000000003</v>
      </c>
      <c r="AN129" s="2027">
        <f t="shared" si="58"/>
        <v>0</v>
      </c>
      <c r="AO129" s="2027">
        <f t="shared" si="64"/>
        <v>276.14600000000002</v>
      </c>
      <c r="AP129" s="2027">
        <f t="shared" si="61"/>
        <v>0</v>
      </c>
      <c r="AQ129" s="2027">
        <f t="shared" si="61"/>
        <v>276.14600000000002</v>
      </c>
      <c r="AR129" s="2027">
        <f t="shared" si="59"/>
        <v>0</v>
      </c>
      <c r="AS129" s="2029">
        <f>DF129</f>
        <v>40</v>
      </c>
      <c r="AT129" s="2029">
        <f t="shared" si="65"/>
        <v>40</v>
      </c>
      <c r="AU129" s="2029">
        <f t="shared" si="65"/>
        <v>40</v>
      </c>
      <c r="AV129" s="2029">
        <f t="shared" si="65"/>
        <v>40</v>
      </c>
      <c r="AW129" s="2029">
        <f>CX129-AS129</f>
        <v>460</v>
      </c>
      <c r="AX129" s="2029">
        <f t="shared" si="66"/>
        <v>460</v>
      </c>
      <c r="AY129" s="2029">
        <f t="shared" si="66"/>
        <v>460</v>
      </c>
      <c r="AZ129" s="2029">
        <f t="shared" si="66"/>
        <v>460</v>
      </c>
      <c r="BA129" s="2029">
        <v>1200</v>
      </c>
      <c r="BB129" s="2029">
        <f t="shared" si="67"/>
        <v>1200</v>
      </c>
      <c r="BC129" s="2029">
        <f t="shared" si="67"/>
        <v>1200</v>
      </c>
      <c r="BD129" s="2029">
        <f t="shared" si="67"/>
        <v>1200</v>
      </c>
      <c r="BE129" s="2030">
        <f t="shared" si="46"/>
        <v>40</v>
      </c>
      <c r="BF129" s="2030">
        <f t="shared" si="46"/>
        <v>0</v>
      </c>
      <c r="BG129" s="2030">
        <f t="shared" si="46"/>
        <v>40</v>
      </c>
      <c r="BH129" s="2030">
        <f t="shared" si="46"/>
        <v>0</v>
      </c>
      <c r="BI129" s="2030">
        <f t="shared" si="47"/>
        <v>460</v>
      </c>
      <c r="BJ129" s="2030">
        <f t="shared" si="47"/>
        <v>0</v>
      </c>
      <c r="BK129" s="2030">
        <f t="shared" si="47"/>
        <v>460</v>
      </c>
      <c r="BL129" s="2030">
        <f t="shared" si="40"/>
        <v>0</v>
      </c>
      <c r="BM129" s="2031"/>
      <c r="BN129" s="2031"/>
      <c r="BO129" s="2031"/>
      <c r="BP129" s="2031"/>
      <c r="BQ129" s="2031"/>
      <c r="BR129" s="2031"/>
      <c r="BS129" s="2031"/>
      <c r="BT129" s="2031"/>
      <c r="BU129" s="2029"/>
      <c r="BV129" s="2029"/>
      <c r="BW129" s="2029"/>
      <c r="BX129" s="2029"/>
      <c r="BY129" s="2029"/>
      <c r="BZ129" s="2032"/>
      <c r="CA129" s="1974"/>
      <c r="CB129" s="1974"/>
      <c r="CC129" s="1974"/>
      <c r="CD129" s="1974"/>
      <c r="CE129" s="1974">
        <v>0</v>
      </c>
      <c r="CF129" s="2033">
        <v>1.5158193853227829E-6</v>
      </c>
      <c r="CG129" s="2026">
        <v>1.0302466836430345E-4</v>
      </c>
      <c r="CH129" s="2009">
        <v>0</v>
      </c>
      <c r="CI129" s="2029">
        <v>0</v>
      </c>
      <c r="CK129" s="2029">
        <f t="shared" si="48"/>
        <v>0</v>
      </c>
      <c r="CL129" s="2034">
        <v>1</v>
      </c>
      <c r="CM129" s="2034">
        <v>1</v>
      </c>
      <c r="CN129" s="2034">
        <v>1</v>
      </c>
      <c r="CO129" s="2034">
        <v>1</v>
      </c>
      <c r="CP129" s="2035"/>
      <c r="CQ129" s="2036"/>
      <c r="CR129" s="2036"/>
      <c r="CS129" s="2036"/>
      <c r="CT129" s="2036"/>
      <c r="CU129" s="2036"/>
      <c r="CW129" s="1973">
        <v>0</v>
      </c>
      <c r="CX129" s="2037">
        <v>500</v>
      </c>
      <c r="CY129" s="2037">
        <v>500</v>
      </c>
      <c r="CZ129" s="2037">
        <v>500</v>
      </c>
      <c r="DA129" s="2037">
        <v>500</v>
      </c>
      <c r="DB129" s="2051">
        <v>0.08</v>
      </c>
      <c r="DC129" s="2051">
        <v>0.08</v>
      </c>
      <c r="DD129" s="2051">
        <v>0.08</v>
      </c>
      <c r="DE129" s="2051">
        <v>0.08</v>
      </c>
      <c r="DF129" s="2037">
        <f t="shared" ref="DF129:DI130" si="71">DB129*CX129</f>
        <v>40</v>
      </c>
      <c r="DG129" s="2037">
        <f t="shared" si="71"/>
        <v>40</v>
      </c>
      <c r="DH129" s="2037">
        <f t="shared" si="71"/>
        <v>40</v>
      </c>
      <c r="DI129" s="2037">
        <f t="shared" si="71"/>
        <v>40</v>
      </c>
      <c r="DK129" s="1973">
        <v>0</v>
      </c>
      <c r="DL129" s="1973">
        <v>0</v>
      </c>
      <c r="DM129" s="1973">
        <v>0</v>
      </c>
      <c r="DO129" s="2023">
        <v>15</v>
      </c>
      <c r="DP129" s="2024">
        <v>651</v>
      </c>
      <c r="DQ129" s="2024">
        <v>0</v>
      </c>
      <c r="DR129" s="2023">
        <v>559</v>
      </c>
      <c r="DS129" s="2029">
        <v>40</v>
      </c>
      <c r="DT129" s="2029">
        <v>40</v>
      </c>
      <c r="DU129" s="2029">
        <v>40</v>
      </c>
      <c r="DV129" s="2029">
        <v>40</v>
      </c>
      <c r="DW129" s="2029">
        <v>460</v>
      </c>
      <c r="DX129" s="2029">
        <v>460</v>
      </c>
      <c r="DY129" s="2029">
        <v>460</v>
      </c>
      <c r="DZ129" s="2029">
        <v>460</v>
      </c>
      <c r="EA129" s="2029">
        <v>1200</v>
      </c>
      <c r="EB129" s="2029">
        <v>1200</v>
      </c>
      <c r="EC129" s="2029">
        <v>1200</v>
      </c>
      <c r="ED129" s="2029">
        <v>1200</v>
      </c>
      <c r="EE129" s="2039">
        <f t="shared" si="49"/>
        <v>0</v>
      </c>
      <c r="EF129" s="2039">
        <f t="shared" si="49"/>
        <v>0</v>
      </c>
      <c r="EG129" s="2039">
        <f t="shared" si="49"/>
        <v>0</v>
      </c>
      <c r="EH129" s="2039">
        <f t="shared" si="49"/>
        <v>0</v>
      </c>
      <c r="EI129" s="2040">
        <f t="shared" si="70"/>
        <v>0</v>
      </c>
      <c r="EJ129" s="2040">
        <f t="shared" si="70"/>
        <v>0</v>
      </c>
      <c r="EK129" s="2040">
        <f t="shared" si="70"/>
        <v>0</v>
      </c>
      <c r="EL129" s="2040">
        <f t="shared" si="69"/>
        <v>0</v>
      </c>
      <c r="EM129" s="2040">
        <f t="shared" si="69"/>
        <v>0</v>
      </c>
      <c r="EN129" s="2040">
        <f t="shared" si="69"/>
        <v>0</v>
      </c>
      <c r="EO129" s="2040">
        <f t="shared" si="57"/>
        <v>0</v>
      </c>
      <c r="EP129" s="2040">
        <f t="shared" si="57"/>
        <v>0</v>
      </c>
      <c r="EQ129" s="2040">
        <f t="shared" si="57"/>
        <v>0</v>
      </c>
      <c r="ER129" s="2040">
        <f t="shared" si="57"/>
        <v>0</v>
      </c>
      <c r="ES129" s="2040">
        <f t="shared" si="57"/>
        <v>0</v>
      </c>
      <c r="ET129" s="2040">
        <f t="shared" si="57"/>
        <v>0</v>
      </c>
      <c r="EU129" s="2039">
        <f t="shared" si="50"/>
        <v>0</v>
      </c>
      <c r="EV129" s="2039">
        <f t="shared" si="51"/>
        <v>0</v>
      </c>
    </row>
    <row r="130" spans="1:152" x14ac:dyDescent="0.25">
      <c r="A130" s="2041" t="s">
        <v>168</v>
      </c>
      <c r="B130" s="2022"/>
      <c r="C130" s="2023">
        <v>10</v>
      </c>
      <c r="D130" s="2024">
        <v>4468</v>
      </c>
      <c r="E130" s="2024">
        <v>0</v>
      </c>
      <c r="F130" s="2023">
        <v>623</v>
      </c>
      <c r="G130" s="2026" t="s">
        <v>20</v>
      </c>
      <c r="H130" s="2026" t="s">
        <v>20</v>
      </c>
      <c r="I130" s="2026">
        <v>0.55700000000000005</v>
      </c>
      <c r="J130" s="2026">
        <v>0.55700000000000005</v>
      </c>
      <c r="K130" s="2026">
        <v>0.55700000000000005</v>
      </c>
      <c r="L130" s="2026">
        <v>0.55700000000000005</v>
      </c>
      <c r="M130" s="2027">
        <f t="shared" si="41"/>
        <v>2488.6760000000004</v>
      </c>
      <c r="N130" s="2027">
        <f t="shared" si="41"/>
        <v>2488.6760000000004</v>
      </c>
      <c r="O130" s="2027">
        <f t="shared" si="41"/>
        <v>2488.6760000000004</v>
      </c>
      <c r="P130" s="2027">
        <f t="shared" si="41"/>
        <v>2488.6760000000004</v>
      </c>
      <c r="Q130" s="2026">
        <v>0.55700000000000005</v>
      </c>
      <c r="R130" s="2026">
        <v>0.55700000000000005</v>
      </c>
      <c r="S130" s="2026">
        <v>0.55700000000000005</v>
      </c>
      <c r="T130" s="2026">
        <v>0.55700000000000005</v>
      </c>
      <c r="U130" s="2028">
        <f t="shared" si="42"/>
        <v>0</v>
      </c>
      <c r="V130" s="2028">
        <f t="shared" si="42"/>
        <v>0</v>
      </c>
      <c r="W130" s="2028">
        <f t="shared" si="42"/>
        <v>0</v>
      </c>
      <c r="X130" s="2028">
        <f t="shared" si="42"/>
        <v>0</v>
      </c>
      <c r="Y130" s="2026">
        <v>0.49399999999999999</v>
      </c>
      <c r="Z130" s="2026">
        <v>0.49399999999999999</v>
      </c>
      <c r="AA130" s="2026">
        <v>0.49399999999999999</v>
      </c>
      <c r="AB130" s="2026">
        <v>0.49399999999999999</v>
      </c>
      <c r="AC130" s="2027">
        <f t="shared" si="68"/>
        <v>307.762</v>
      </c>
      <c r="AD130" s="2027">
        <f t="shared" si="68"/>
        <v>307.762</v>
      </c>
      <c r="AE130" s="2027">
        <f t="shared" si="68"/>
        <v>307.762</v>
      </c>
      <c r="AF130" s="2027">
        <f t="shared" si="68"/>
        <v>307.762</v>
      </c>
      <c r="AG130" s="2027">
        <v>20</v>
      </c>
      <c r="AH130" s="2027">
        <v>20</v>
      </c>
      <c r="AI130" s="2027">
        <v>30</v>
      </c>
      <c r="AJ130" s="2027">
        <v>30</v>
      </c>
      <c r="AK130" s="2027">
        <f t="shared" si="63"/>
        <v>49773.520000000004</v>
      </c>
      <c r="AL130" s="2027">
        <f t="shared" si="60"/>
        <v>49773.520000000004</v>
      </c>
      <c r="AM130" s="2027">
        <f t="shared" si="60"/>
        <v>74660.280000000013</v>
      </c>
      <c r="AN130" s="2027">
        <f t="shared" si="58"/>
        <v>74660.280000000013</v>
      </c>
      <c r="AO130" s="2027">
        <f t="shared" si="64"/>
        <v>6155.24</v>
      </c>
      <c r="AP130" s="2027">
        <f t="shared" si="61"/>
        <v>6155.24</v>
      </c>
      <c r="AQ130" s="2027">
        <f t="shared" si="61"/>
        <v>9232.86</v>
      </c>
      <c r="AR130" s="2027">
        <f t="shared" si="59"/>
        <v>9232.86</v>
      </c>
      <c r="AS130" s="2029">
        <f>DF130</f>
        <v>740</v>
      </c>
      <c r="AT130" s="2029">
        <f t="shared" si="65"/>
        <v>740</v>
      </c>
      <c r="AU130" s="2029">
        <f t="shared" si="65"/>
        <v>740</v>
      </c>
      <c r="AV130" s="2029">
        <f t="shared" si="65"/>
        <v>740</v>
      </c>
      <c r="AW130" s="2029">
        <f>CX130-AS130</f>
        <v>1260</v>
      </c>
      <c r="AX130" s="2029">
        <f t="shared" si="66"/>
        <v>1260</v>
      </c>
      <c r="AY130" s="2029">
        <f t="shared" si="66"/>
        <v>1260</v>
      </c>
      <c r="AZ130" s="2029">
        <f t="shared" si="66"/>
        <v>1260</v>
      </c>
      <c r="BA130" s="2029">
        <v>1500</v>
      </c>
      <c r="BB130" s="2029">
        <f t="shared" si="67"/>
        <v>1500</v>
      </c>
      <c r="BC130" s="2029">
        <f t="shared" si="67"/>
        <v>1500</v>
      </c>
      <c r="BD130" s="2029">
        <f t="shared" si="67"/>
        <v>1500</v>
      </c>
      <c r="BE130" s="2030">
        <f t="shared" si="46"/>
        <v>14800</v>
      </c>
      <c r="BF130" s="2030">
        <f t="shared" si="46"/>
        <v>14800</v>
      </c>
      <c r="BG130" s="2030">
        <f t="shared" si="46"/>
        <v>22200</v>
      </c>
      <c r="BH130" s="2030">
        <f t="shared" si="46"/>
        <v>22200</v>
      </c>
      <c r="BI130" s="2030">
        <f t="shared" si="47"/>
        <v>25200</v>
      </c>
      <c r="BJ130" s="2030">
        <f t="shared" si="47"/>
        <v>25200</v>
      </c>
      <c r="BK130" s="2030">
        <f t="shared" si="47"/>
        <v>37800</v>
      </c>
      <c r="BL130" s="2030">
        <f t="shared" si="40"/>
        <v>37800</v>
      </c>
      <c r="BM130" s="2031"/>
      <c r="BN130" s="2031"/>
      <c r="BO130" s="2031"/>
      <c r="BP130" s="2031"/>
      <c r="BQ130" s="2031"/>
      <c r="BR130" s="2031"/>
      <c r="BS130" s="2031"/>
      <c r="BT130" s="2031"/>
      <c r="BU130" s="2029"/>
      <c r="BV130" s="2029"/>
      <c r="BW130" s="2029"/>
      <c r="BX130" s="2029"/>
      <c r="BY130" s="2029"/>
      <c r="BZ130" s="2032"/>
      <c r="CA130" s="1974"/>
      <c r="CB130" s="1974"/>
      <c r="CC130" s="1974"/>
      <c r="CD130" s="1974"/>
      <c r="CE130" s="1974">
        <v>0</v>
      </c>
      <c r="CF130" s="2033">
        <v>2.0807007722341609E-4</v>
      </c>
      <c r="CG130" s="2026">
        <v>2.2963995846497689E-3</v>
      </c>
      <c r="CH130" s="2009">
        <v>0</v>
      </c>
      <c r="CI130" s="2029">
        <v>0</v>
      </c>
      <c r="CK130" s="2029">
        <f t="shared" si="48"/>
        <v>0</v>
      </c>
      <c r="CL130" s="2034">
        <v>1</v>
      </c>
      <c r="CM130" s="2034">
        <v>1</v>
      </c>
      <c r="CN130" s="2034">
        <v>1</v>
      </c>
      <c r="CO130" s="2034">
        <v>1</v>
      </c>
      <c r="CP130" s="2035"/>
      <c r="CQ130" s="2036"/>
      <c r="CR130" s="2036"/>
      <c r="CS130" s="2036"/>
      <c r="CT130" s="2036"/>
      <c r="CU130" s="2036"/>
      <c r="CW130" s="1973">
        <v>0</v>
      </c>
      <c r="CX130" s="2037">
        <v>2000</v>
      </c>
      <c r="CY130" s="2037">
        <v>2000</v>
      </c>
      <c r="CZ130" s="2037">
        <v>2000</v>
      </c>
      <c r="DA130" s="2037">
        <v>2000</v>
      </c>
      <c r="DB130" s="2051">
        <v>0.37</v>
      </c>
      <c r="DC130" s="2051">
        <v>0.37</v>
      </c>
      <c r="DD130" s="2051">
        <v>0.37</v>
      </c>
      <c r="DE130" s="2051">
        <v>0.37</v>
      </c>
      <c r="DF130" s="2037">
        <f t="shared" si="71"/>
        <v>740</v>
      </c>
      <c r="DG130" s="2037">
        <f t="shared" si="71"/>
        <v>740</v>
      </c>
      <c r="DH130" s="2037">
        <f t="shared" si="71"/>
        <v>740</v>
      </c>
      <c r="DI130" s="2037">
        <f t="shared" si="71"/>
        <v>740</v>
      </c>
      <c r="DJ130" s="1976">
        <v>1000</v>
      </c>
      <c r="DK130" s="1973">
        <v>1000</v>
      </c>
      <c r="DL130" s="1973">
        <v>1000</v>
      </c>
      <c r="DM130" s="1973">
        <v>1000</v>
      </c>
      <c r="DO130" s="2023">
        <v>10</v>
      </c>
      <c r="DP130" s="2024">
        <v>4468</v>
      </c>
      <c r="DQ130" s="2024">
        <v>0</v>
      </c>
      <c r="DR130" s="2023">
        <v>623</v>
      </c>
      <c r="DS130" s="2029">
        <v>740</v>
      </c>
      <c r="DT130" s="2029">
        <v>740</v>
      </c>
      <c r="DU130" s="2029">
        <v>740</v>
      </c>
      <c r="DV130" s="2029">
        <v>740</v>
      </c>
      <c r="DW130" s="2029">
        <v>1260</v>
      </c>
      <c r="DX130" s="2029">
        <v>1260</v>
      </c>
      <c r="DY130" s="2029">
        <v>1260</v>
      </c>
      <c r="DZ130" s="2029">
        <v>1260</v>
      </c>
      <c r="EA130" s="2029">
        <v>1500</v>
      </c>
      <c r="EB130" s="2029">
        <v>1500</v>
      </c>
      <c r="EC130" s="2029">
        <v>1500</v>
      </c>
      <c r="ED130" s="2029">
        <v>1500</v>
      </c>
      <c r="EE130" s="2039">
        <f t="shared" si="49"/>
        <v>0</v>
      </c>
      <c r="EF130" s="2039">
        <f t="shared" si="49"/>
        <v>0</v>
      </c>
      <c r="EG130" s="2039">
        <f t="shared" si="49"/>
        <v>0</v>
      </c>
      <c r="EH130" s="2039">
        <f t="shared" si="49"/>
        <v>0</v>
      </c>
      <c r="EI130" s="2040">
        <f t="shared" si="70"/>
        <v>0</v>
      </c>
      <c r="EJ130" s="2040">
        <f t="shared" si="70"/>
        <v>0</v>
      </c>
      <c r="EK130" s="2040">
        <f t="shared" si="70"/>
        <v>0</v>
      </c>
      <c r="EL130" s="2040">
        <f t="shared" si="69"/>
        <v>0</v>
      </c>
      <c r="EM130" s="2040">
        <f t="shared" si="69"/>
        <v>0</v>
      </c>
      <c r="EN130" s="2040">
        <f t="shared" si="69"/>
        <v>0</v>
      </c>
      <c r="EO130" s="2040">
        <f t="shared" si="57"/>
        <v>0</v>
      </c>
      <c r="EP130" s="2040">
        <f t="shared" si="57"/>
        <v>0</v>
      </c>
      <c r="EQ130" s="2040">
        <f t="shared" si="57"/>
        <v>0</v>
      </c>
      <c r="ER130" s="2040">
        <f t="shared" si="57"/>
        <v>0</v>
      </c>
      <c r="ES130" s="2040">
        <f t="shared" si="57"/>
        <v>0</v>
      </c>
      <c r="ET130" s="2040">
        <f t="shared" si="57"/>
        <v>0</v>
      </c>
      <c r="EU130" s="2039">
        <f t="shared" si="50"/>
        <v>0</v>
      </c>
      <c r="EV130" s="2039">
        <f t="shared" si="51"/>
        <v>0</v>
      </c>
    </row>
    <row r="131" spans="1:152" x14ac:dyDescent="0.25">
      <c r="A131" s="2041" t="s">
        <v>169</v>
      </c>
      <c r="B131" s="2022"/>
      <c r="C131" s="2023">
        <v>4</v>
      </c>
      <c r="D131" s="2024">
        <v>124</v>
      </c>
      <c r="E131" s="2024">
        <v>0</v>
      </c>
      <c r="F131" s="2023">
        <v>0</v>
      </c>
      <c r="G131" s="2026" t="s">
        <v>2899</v>
      </c>
      <c r="H131" s="2026" t="s">
        <v>2899</v>
      </c>
      <c r="I131" s="2026">
        <v>0.84899999999999998</v>
      </c>
      <c r="J131" s="2026">
        <v>0.84899999999999998</v>
      </c>
      <c r="K131" s="2026">
        <v>0.84899999999999998</v>
      </c>
      <c r="L131" s="2026">
        <v>0.84899999999999998</v>
      </c>
      <c r="M131" s="2027">
        <f t="shared" si="41"/>
        <v>105.276</v>
      </c>
      <c r="N131" s="2027">
        <f t="shared" si="41"/>
        <v>105.276</v>
      </c>
      <c r="O131" s="2027">
        <f t="shared" si="41"/>
        <v>105.276</v>
      </c>
      <c r="P131" s="2027">
        <f t="shared" si="41"/>
        <v>105.276</v>
      </c>
      <c r="Q131" s="2026">
        <v>0.84899999999999998</v>
      </c>
      <c r="R131" s="2026">
        <v>0.84899999999999998</v>
      </c>
      <c r="S131" s="2026">
        <v>0.84899999999999998</v>
      </c>
      <c r="T131" s="2026">
        <v>0.84899999999999998</v>
      </c>
      <c r="U131" s="2028">
        <f t="shared" si="42"/>
        <v>0</v>
      </c>
      <c r="V131" s="2028">
        <f t="shared" si="42"/>
        <v>0</v>
      </c>
      <c r="W131" s="2028">
        <f t="shared" si="42"/>
        <v>0</v>
      </c>
      <c r="X131" s="2028">
        <f t="shared" si="42"/>
        <v>0</v>
      </c>
      <c r="Y131" s="2026">
        <v>0.67500000000000004</v>
      </c>
      <c r="Z131" s="2026">
        <v>0.67500000000000004</v>
      </c>
      <c r="AA131" s="2026">
        <v>0.67500000000000004</v>
      </c>
      <c r="AB131" s="2026">
        <v>0.67500000000000004</v>
      </c>
      <c r="AC131" s="2027">
        <f t="shared" si="68"/>
        <v>0</v>
      </c>
      <c r="AD131" s="2027">
        <f t="shared" si="68"/>
        <v>0</v>
      </c>
      <c r="AE131" s="2027">
        <f t="shared" si="68"/>
        <v>0</v>
      </c>
      <c r="AF131" s="2027">
        <f t="shared" si="68"/>
        <v>0</v>
      </c>
      <c r="AG131" s="2027">
        <v>23</v>
      </c>
      <c r="AH131" s="2027">
        <v>23</v>
      </c>
      <c r="AI131" s="2027">
        <v>23</v>
      </c>
      <c r="AJ131" s="2027">
        <v>23</v>
      </c>
      <c r="AK131" s="2027">
        <f t="shared" si="63"/>
        <v>2421.348</v>
      </c>
      <c r="AL131" s="2027">
        <f t="shared" si="60"/>
        <v>2421.348</v>
      </c>
      <c r="AM131" s="2027">
        <f t="shared" si="60"/>
        <v>2421.348</v>
      </c>
      <c r="AN131" s="2027">
        <f t="shared" si="58"/>
        <v>2421.348</v>
      </c>
      <c r="AO131" s="2027">
        <f t="shared" si="64"/>
        <v>0</v>
      </c>
      <c r="AP131" s="2027">
        <f t="shared" si="61"/>
        <v>0</v>
      </c>
      <c r="AQ131" s="2027">
        <f t="shared" si="61"/>
        <v>0</v>
      </c>
      <c r="AR131" s="2027">
        <f t="shared" si="59"/>
        <v>0</v>
      </c>
      <c r="AS131" s="2029">
        <v>10</v>
      </c>
      <c r="AT131" s="2029">
        <f t="shared" si="65"/>
        <v>10</v>
      </c>
      <c r="AU131" s="2029">
        <f t="shared" si="65"/>
        <v>10</v>
      </c>
      <c r="AV131" s="2029">
        <f t="shared" si="65"/>
        <v>10</v>
      </c>
      <c r="AW131" s="1974"/>
      <c r="AX131" s="2029">
        <f t="shared" si="66"/>
        <v>0</v>
      </c>
      <c r="AY131" s="2029">
        <f t="shared" si="66"/>
        <v>0</v>
      </c>
      <c r="AZ131" s="2029">
        <f t="shared" si="66"/>
        <v>0</v>
      </c>
      <c r="BA131" s="2029">
        <v>9</v>
      </c>
      <c r="BB131" s="2029">
        <f t="shared" si="67"/>
        <v>9</v>
      </c>
      <c r="BC131" s="2029">
        <f t="shared" si="67"/>
        <v>9</v>
      </c>
      <c r="BD131" s="2029">
        <f t="shared" si="67"/>
        <v>9</v>
      </c>
      <c r="BE131" s="2030">
        <f t="shared" si="46"/>
        <v>230</v>
      </c>
      <c r="BF131" s="2030">
        <f t="shared" si="46"/>
        <v>230</v>
      </c>
      <c r="BG131" s="2030">
        <f t="shared" si="46"/>
        <v>230</v>
      </c>
      <c r="BH131" s="2030">
        <f t="shared" si="46"/>
        <v>230</v>
      </c>
      <c r="BI131" s="2030">
        <f t="shared" si="47"/>
        <v>0</v>
      </c>
      <c r="BJ131" s="2030">
        <f t="shared" si="47"/>
        <v>0</v>
      </c>
      <c r="BK131" s="2030">
        <f t="shared" si="47"/>
        <v>0</v>
      </c>
      <c r="BL131" s="2030">
        <f t="shared" si="40"/>
        <v>0</v>
      </c>
      <c r="BM131" s="2031"/>
      <c r="BN131" s="2031"/>
      <c r="BO131" s="2031"/>
      <c r="BP131" s="2031"/>
      <c r="BQ131" s="2031"/>
      <c r="BR131" s="2031"/>
      <c r="BS131" s="2031"/>
      <c r="BT131" s="2031"/>
      <c r="BU131" s="2029"/>
      <c r="BV131" s="2029"/>
      <c r="BW131" s="2029"/>
      <c r="BX131" s="2029"/>
      <c r="BY131" s="2029"/>
      <c r="BZ131" s="2032"/>
      <c r="CA131" s="1974"/>
      <c r="CB131" s="1974"/>
      <c r="CC131" s="1974"/>
      <c r="CD131" s="1974"/>
      <c r="CE131" s="1974">
        <v>0</v>
      </c>
      <c r="CF131" s="2033">
        <v>1.0122050145233129E-5</v>
      </c>
      <c r="CG131" s="2026">
        <v>0</v>
      </c>
      <c r="CH131" s="2009">
        <v>0</v>
      </c>
      <c r="CI131" s="2029">
        <v>0</v>
      </c>
      <c r="CK131" s="2029">
        <f t="shared" si="48"/>
        <v>0</v>
      </c>
      <c r="CL131" s="2034">
        <v>1</v>
      </c>
      <c r="CM131" s="2034">
        <v>1</v>
      </c>
      <c r="CN131" s="2034">
        <v>1</v>
      </c>
      <c r="CO131" s="2034">
        <v>1</v>
      </c>
      <c r="CP131" s="2035"/>
      <c r="CQ131" s="2036"/>
      <c r="CR131" s="2036"/>
      <c r="CS131" s="2049"/>
      <c r="CT131" s="2049"/>
      <c r="CU131" s="2049"/>
      <c r="CW131" s="1973">
        <v>0</v>
      </c>
      <c r="CX131" s="2037">
        <v>10</v>
      </c>
      <c r="CY131" s="2037">
        <v>10</v>
      </c>
      <c r="CZ131" s="2037">
        <v>10</v>
      </c>
      <c r="DA131" s="2037">
        <v>10</v>
      </c>
      <c r="DJ131" s="1976">
        <v>10</v>
      </c>
      <c r="DK131" s="1973">
        <v>10</v>
      </c>
      <c r="DL131" s="1973">
        <v>10</v>
      </c>
      <c r="DM131" s="1973">
        <v>10</v>
      </c>
      <c r="DO131" s="2023">
        <v>4</v>
      </c>
      <c r="DP131" s="2024">
        <v>124</v>
      </c>
      <c r="DQ131" s="2024">
        <v>0</v>
      </c>
      <c r="DR131" s="2023">
        <v>0</v>
      </c>
      <c r="DS131" s="2029">
        <v>10</v>
      </c>
      <c r="DT131" s="2029">
        <v>10</v>
      </c>
      <c r="DU131" s="2029">
        <v>10</v>
      </c>
      <c r="DV131" s="2029">
        <v>10</v>
      </c>
      <c r="DW131" s="1974"/>
      <c r="DX131" s="2029">
        <v>0</v>
      </c>
      <c r="DY131" s="2029">
        <v>0</v>
      </c>
      <c r="DZ131" s="2029">
        <v>0</v>
      </c>
      <c r="EA131" s="2029">
        <v>9</v>
      </c>
      <c r="EB131" s="2029">
        <v>9</v>
      </c>
      <c r="EC131" s="2029">
        <v>9</v>
      </c>
      <c r="ED131" s="2029">
        <v>9</v>
      </c>
      <c r="EE131" s="2039">
        <f t="shared" si="49"/>
        <v>0</v>
      </c>
      <c r="EF131" s="2039">
        <f t="shared" si="49"/>
        <v>0</v>
      </c>
      <c r="EG131" s="2039">
        <f t="shared" si="49"/>
        <v>0</v>
      </c>
      <c r="EH131" s="2039">
        <f t="shared" si="49"/>
        <v>0</v>
      </c>
      <c r="EI131" s="2040">
        <f t="shared" si="70"/>
        <v>0</v>
      </c>
      <c r="EJ131" s="2040">
        <f t="shared" si="70"/>
        <v>0</v>
      </c>
      <c r="EK131" s="2040">
        <f t="shared" si="70"/>
        <v>0</v>
      </c>
      <c r="EL131" s="2040">
        <f t="shared" si="69"/>
        <v>0</v>
      </c>
      <c r="EM131" s="2040">
        <f t="shared" si="69"/>
        <v>0</v>
      </c>
      <c r="EN131" s="2040">
        <f t="shared" si="69"/>
        <v>0</v>
      </c>
      <c r="EO131" s="2040">
        <f t="shared" si="57"/>
        <v>0</v>
      </c>
      <c r="EP131" s="2040">
        <f t="shared" si="57"/>
        <v>0</v>
      </c>
      <c r="EQ131" s="2040">
        <f t="shared" si="57"/>
        <v>0</v>
      </c>
      <c r="ER131" s="2040">
        <f t="shared" si="57"/>
        <v>0</v>
      </c>
      <c r="ES131" s="2040">
        <f t="shared" si="57"/>
        <v>0</v>
      </c>
      <c r="ET131" s="2040">
        <f t="shared" si="57"/>
        <v>0</v>
      </c>
      <c r="EU131" s="2039">
        <f t="shared" si="50"/>
        <v>0</v>
      </c>
      <c r="EV131" s="2039">
        <f t="shared" si="51"/>
        <v>0</v>
      </c>
    </row>
    <row r="132" spans="1:152" x14ac:dyDescent="0.25">
      <c r="A132" s="2041" t="s">
        <v>170</v>
      </c>
      <c r="B132" s="2022"/>
      <c r="C132" s="2023">
        <v>5</v>
      </c>
      <c r="D132" s="2024">
        <v>200</v>
      </c>
      <c r="E132" s="2024">
        <v>0</v>
      </c>
      <c r="F132" s="2023">
        <v>0</v>
      </c>
      <c r="G132" s="2026" t="s">
        <v>2899</v>
      </c>
      <c r="H132" s="2026" t="s">
        <v>2899</v>
      </c>
      <c r="I132" s="2026">
        <v>0.84899999999999998</v>
      </c>
      <c r="J132" s="2026">
        <v>0.84899999999999998</v>
      </c>
      <c r="K132" s="2026">
        <v>0.84899999999999998</v>
      </c>
      <c r="L132" s="2026">
        <v>0.84899999999999998</v>
      </c>
      <c r="M132" s="2027">
        <f t="shared" si="41"/>
        <v>169.79999999999998</v>
      </c>
      <c r="N132" s="2027">
        <f t="shared" si="41"/>
        <v>169.79999999999998</v>
      </c>
      <c r="O132" s="2027">
        <f t="shared" si="41"/>
        <v>169.79999999999998</v>
      </c>
      <c r="P132" s="2027">
        <f t="shared" si="41"/>
        <v>169.79999999999998</v>
      </c>
      <c r="Q132" s="2026">
        <v>0.84899999999999998</v>
      </c>
      <c r="R132" s="2026">
        <v>0.84899999999999998</v>
      </c>
      <c r="S132" s="2026">
        <v>0.84899999999999998</v>
      </c>
      <c r="T132" s="2026">
        <v>0.84899999999999998</v>
      </c>
      <c r="U132" s="2028">
        <f t="shared" si="42"/>
        <v>0</v>
      </c>
      <c r="V132" s="2028">
        <f t="shared" si="42"/>
        <v>0</v>
      </c>
      <c r="W132" s="2028">
        <f t="shared" si="42"/>
        <v>0</v>
      </c>
      <c r="X132" s="2028">
        <f t="shared" si="42"/>
        <v>0</v>
      </c>
      <c r="Y132" s="2026">
        <v>0.67500000000000004</v>
      </c>
      <c r="Z132" s="2026">
        <v>0.67500000000000004</v>
      </c>
      <c r="AA132" s="2026">
        <v>0.67500000000000004</v>
      </c>
      <c r="AB132" s="2026">
        <v>0.67500000000000004</v>
      </c>
      <c r="AC132" s="2027">
        <f t="shared" si="68"/>
        <v>0</v>
      </c>
      <c r="AD132" s="2027">
        <f t="shared" si="68"/>
        <v>0</v>
      </c>
      <c r="AE132" s="2027">
        <f t="shared" si="68"/>
        <v>0</v>
      </c>
      <c r="AF132" s="2027">
        <f t="shared" si="68"/>
        <v>0</v>
      </c>
      <c r="AG132" s="2027">
        <v>1</v>
      </c>
      <c r="AH132" s="2027">
        <v>1</v>
      </c>
      <c r="AI132" s="2027">
        <v>1</v>
      </c>
      <c r="AJ132" s="2027">
        <v>1</v>
      </c>
      <c r="AK132" s="2027">
        <f t="shared" si="63"/>
        <v>169.79999999999998</v>
      </c>
      <c r="AL132" s="2027">
        <f t="shared" si="60"/>
        <v>169.79999999999998</v>
      </c>
      <c r="AM132" s="2027">
        <f t="shared" si="60"/>
        <v>169.79999999999998</v>
      </c>
      <c r="AN132" s="2027">
        <f t="shared" si="58"/>
        <v>169.79999999999998</v>
      </c>
      <c r="AO132" s="2027">
        <f t="shared" si="64"/>
        <v>0</v>
      </c>
      <c r="AP132" s="2027">
        <f t="shared" si="61"/>
        <v>0</v>
      </c>
      <c r="AQ132" s="2027">
        <f t="shared" si="61"/>
        <v>0</v>
      </c>
      <c r="AR132" s="2027">
        <f t="shared" si="59"/>
        <v>0</v>
      </c>
      <c r="AS132" s="2029">
        <v>10</v>
      </c>
      <c r="AT132" s="2029">
        <f t="shared" si="65"/>
        <v>10</v>
      </c>
      <c r="AU132" s="2029">
        <f t="shared" si="65"/>
        <v>10</v>
      </c>
      <c r="AV132" s="2029">
        <f t="shared" si="65"/>
        <v>10</v>
      </c>
      <c r="AW132" s="1974"/>
      <c r="AX132" s="2029">
        <f t="shared" si="66"/>
        <v>0</v>
      </c>
      <c r="AY132" s="2029">
        <f t="shared" si="66"/>
        <v>0</v>
      </c>
      <c r="AZ132" s="2029">
        <f t="shared" si="66"/>
        <v>0</v>
      </c>
      <c r="BA132" s="2029">
        <v>29</v>
      </c>
      <c r="BB132" s="2029">
        <f t="shared" si="67"/>
        <v>29</v>
      </c>
      <c r="BC132" s="2029">
        <f t="shared" si="67"/>
        <v>29</v>
      </c>
      <c r="BD132" s="2029">
        <f t="shared" si="67"/>
        <v>29</v>
      </c>
      <c r="BE132" s="2030">
        <f t="shared" si="46"/>
        <v>10</v>
      </c>
      <c r="BF132" s="2030">
        <f t="shared" si="46"/>
        <v>10</v>
      </c>
      <c r="BG132" s="2030">
        <f t="shared" si="46"/>
        <v>10</v>
      </c>
      <c r="BH132" s="2030">
        <f t="shared" si="46"/>
        <v>10</v>
      </c>
      <c r="BI132" s="2030">
        <f t="shared" si="47"/>
        <v>0</v>
      </c>
      <c r="BJ132" s="2030">
        <f t="shared" si="47"/>
        <v>0</v>
      </c>
      <c r="BK132" s="2030">
        <f t="shared" si="47"/>
        <v>0</v>
      </c>
      <c r="BL132" s="2030">
        <f t="shared" si="40"/>
        <v>0</v>
      </c>
      <c r="BM132" s="2031"/>
      <c r="BN132" s="2031"/>
      <c r="BO132" s="2031"/>
      <c r="BP132" s="2031"/>
      <c r="BQ132" s="2031"/>
      <c r="BR132" s="2031"/>
      <c r="BS132" s="2031"/>
      <c r="BT132" s="2031"/>
      <c r="BU132" s="2029"/>
      <c r="BV132" s="2029"/>
      <c r="BW132" s="2029"/>
      <c r="BX132" s="2029"/>
      <c r="BY132" s="2029"/>
      <c r="BZ132" s="2032"/>
      <c r="CA132" s="1974"/>
      <c r="CB132" s="1974"/>
      <c r="CC132" s="1974"/>
      <c r="CD132" s="1974"/>
      <c r="CE132" s="1974">
        <v>0</v>
      </c>
      <c r="CF132" s="2033">
        <v>7.0982118830526851E-7</v>
      </c>
      <c r="CG132" s="2026">
        <v>0</v>
      </c>
      <c r="CH132" s="2009">
        <v>1</v>
      </c>
      <c r="CI132" s="2029">
        <v>0</v>
      </c>
      <c r="CJ132" s="2048">
        <v>2</v>
      </c>
      <c r="CK132" s="2029">
        <f t="shared" si="48"/>
        <v>2</v>
      </c>
      <c r="CL132" s="2034">
        <v>1</v>
      </c>
      <c r="CM132" s="2034">
        <v>1</v>
      </c>
      <c r="CN132" s="2034">
        <v>1</v>
      </c>
      <c r="CO132" s="2034">
        <v>1</v>
      </c>
      <c r="CP132" s="2035"/>
      <c r="CQ132" s="2036"/>
      <c r="CR132" s="2036"/>
      <c r="CS132" s="2049"/>
      <c r="CT132" s="2049"/>
      <c r="CU132" s="2049"/>
      <c r="CW132" s="1973">
        <v>0</v>
      </c>
      <c r="CX132" s="2037">
        <v>10</v>
      </c>
      <c r="CY132" s="2037">
        <v>10</v>
      </c>
      <c r="CZ132" s="2037">
        <v>10</v>
      </c>
      <c r="DA132" s="2037">
        <v>10</v>
      </c>
      <c r="DJ132" s="1976">
        <v>10</v>
      </c>
      <c r="DK132" s="1973">
        <v>10</v>
      </c>
      <c r="DL132" s="1973">
        <v>10</v>
      </c>
      <c r="DM132" s="1973">
        <v>10</v>
      </c>
      <c r="DO132" s="2023">
        <v>5</v>
      </c>
      <c r="DP132" s="2024">
        <v>200</v>
      </c>
      <c r="DQ132" s="2024">
        <v>0</v>
      </c>
      <c r="DR132" s="2023">
        <v>0</v>
      </c>
      <c r="DS132" s="2029">
        <v>10</v>
      </c>
      <c r="DT132" s="2029">
        <v>10</v>
      </c>
      <c r="DU132" s="2029">
        <v>10</v>
      </c>
      <c r="DV132" s="2029">
        <v>10</v>
      </c>
      <c r="DW132" s="1974"/>
      <c r="DX132" s="2029">
        <v>0</v>
      </c>
      <c r="DY132" s="2029">
        <v>0</v>
      </c>
      <c r="DZ132" s="2029">
        <v>0</v>
      </c>
      <c r="EA132" s="2029">
        <v>29</v>
      </c>
      <c r="EB132" s="2029">
        <v>29</v>
      </c>
      <c r="EC132" s="2029">
        <v>29</v>
      </c>
      <c r="ED132" s="2029">
        <v>29</v>
      </c>
      <c r="EE132" s="2039">
        <f t="shared" si="49"/>
        <v>0</v>
      </c>
      <c r="EF132" s="2039">
        <f t="shared" si="49"/>
        <v>0</v>
      </c>
      <c r="EG132" s="2039">
        <f t="shared" si="49"/>
        <v>0</v>
      </c>
      <c r="EH132" s="2039">
        <f t="shared" si="49"/>
        <v>0</v>
      </c>
      <c r="EI132" s="2040">
        <f t="shared" si="70"/>
        <v>0</v>
      </c>
      <c r="EJ132" s="2040">
        <f t="shared" si="70"/>
        <v>0</v>
      </c>
      <c r="EK132" s="2040">
        <f t="shared" si="70"/>
        <v>0</v>
      </c>
      <c r="EL132" s="2040">
        <f t="shared" si="69"/>
        <v>0</v>
      </c>
      <c r="EM132" s="2040">
        <f t="shared" si="69"/>
        <v>0</v>
      </c>
      <c r="EN132" s="2040">
        <f t="shared" si="69"/>
        <v>0</v>
      </c>
      <c r="EO132" s="2040">
        <f t="shared" si="57"/>
        <v>0</v>
      </c>
      <c r="EP132" s="2040">
        <f t="shared" si="57"/>
        <v>0</v>
      </c>
      <c r="EQ132" s="2040">
        <f t="shared" si="57"/>
        <v>0</v>
      </c>
      <c r="ER132" s="2040">
        <f t="shared" si="57"/>
        <v>0</v>
      </c>
      <c r="ES132" s="2040">
        <f t="shared" si="57"/>
        <v>0</v>
      </c>
      <c r="ET132" s="2040">
        <f t="shared" si="57"/>
        <v>0</v>
      </c>
      <c r="EU132" s="2039">
        <f t="shared" si="50"/>
        <v>0</v>
      </c>
      <c r="EV132" s="2039">
        <f t="shared" si="51"/>
        <v>0</v>
      </c>
    </row>
    <row r="133" spans="1:152" x14ac:dyDescent="0.25">
      <c r="A133" s="2041" t="s">
        <v>171</v>
      </c>
      <c r="B133" s="2022"/>
      <c r="C133" s="2023">
        <v>6.4</v>
      </c>
      <c r="D133" s="2024">
        <v>18.478182004249195</v>
      </c>
      <c r="E133" s="2056">
        <v>3.6662845075411819E-3</v>
      </c>
      <c r="F133" s="2023">
        <v>-0.31568684654610324</v>
      </c>
      <c r="G133" s="2026" t="s">
        <v>4</v>
      </c>
      <c r="H133" s="2026" t="s">
        <v>4</v>
      </c>
      <c r="I133" s="2026">
        <v>0.77800000000000002</v>
      </c>
      <c r="J133" s="2026">
        <v>0.77800000000000002</v>
      </c>
      <c r="K133" s="2026">
        <v>0.77800000000000002</v>
      </c>
      <c r="L133" s="2026">
        <v>0.77800000000000002</v>
      </c>
      <c r="M133" s="2027">
        <f t="shared" si="41"/>
        <v>14.376025599305875</v>
      </c>
      <c r="N133" s="2027">
        <f t="shared" si="41"/>
        <v>14.376025599305875</v>
      </c>
      <c r="O133" s="2027">
        <f t="shared" si="41"/>
        <v>14.376025599305875</v>
      </c>
      <c r="P133" s="2027">
        <f t="shared" si="41"/>
        <v>14.376025599305875</v>
      </c>
      <c r="Q133" s="2026">
        <v>0.77800000000000002</v>
      </c>
      <c r="R133" s="2026">
        <v>0.77800000000000002</v>
      </c>
      <c r="S133" s="2026">
        <v>0.77800000000000002</v>
      </c>
      <c r="T133" s="2026">
        <v>0.77800000000000002</v>
      </c>
      <c r="U133" s="2028">
        <f t="shared" si="42"/>
        <v>2.8523693468670399E-3</v>
      </c>
      <c r="V133" s="2028">
        <f t="shared" si="42"/>
        <v>2.8523693468670399E-3</v>
      </c>
      <c r="W133" s="2028">
        <f t="shared" si="42"/>
        <v>2.8523693468670399E-3</v>
      </c>
      <c r="X133" s="2028">
        <f t="shared" si="42"/>
        <v>2.8523693468670399E-3</v>
      </c>
      <c r="Y133" s="2026">
        <v>0.77800000000000002</v>
      </c>
      <c r="Z133" s="2026">
        <v>0.77800000000000002</v>
      </c>
      <c r="AA133" s="2026">
        <v>0.77800000000000002</v>
      </c>
      <c r="AB133" s="2026">
        <v>0.77800000000000002</v>
      </c>
      <c r="AC133" s="2027">
        <f t="shared" si="68"/>
        <v>-0.24560436661286833</v>
      </c>
      <c r="AD133" s="2027">
        <f t="shared" si="68"/>
        <v>-0.24560436661286833</v>
      </c>
      <c r="AE133" s="2027">
        <f t="shared" si="68"/>
        <v>-0.24560436661286833</v>
      </c>
      <c r="AF133" s="2027">
        <f t="shared" si="68"/>
        <v>-0.24560436661286833</v>
      </c>
      <c r="AG133" s="2027">
        <v>526</v>
      </c>
      <c r="AH133" s="2027">
        <v>310</v>
      </c>
      <c r="AI133" s="2027">
        <v>312</v>
      </c>
      <c r="AJ133" s="2027">
        <v>180</v>
      </c>
      <c r="AK133" s="2027">
        <f t="shared" si="63"/>
        <v>7561.7894652348896</v>
      </c>
      <c r="AL133" s="2027">
        <f t="shared" si="60"/>
        <v>4456.5679357848212</v>
      </c>
      <c r="AM133" s="2027">
        <f t="shared" si="60"/>
        <v>4485.3199869834325</v>
      </c>
      <c r="AN133" s="2027">
        <f t="shared" si="58"/>
        <v>2587.6846078750573</v>
      </c>
      <c r="AO133" s="2027">
        <f t="shared" si="64"/>
        <v>-129.18789683836874</v>
      </c>
      <c r="AP133" s="2027">
        <f t="shared" si="61"/>
        <v>-76.13735364998918</v>
      </c>
      <c r="AQ133" s="2027">
        <f t="shared" si="61"/>
        <v>-76.628562383214913</v>
      </c>
      <c r="AR133" s="2027">
        <f t="shared" si="59"/>
        <v>-44.208785990316301</v>
      </c>
      <c r="AS133" s="2029">
        <v>1</v>
      </c>
      <c r="AT133" s="2029">
        <f t="shared" si="65"/>
        <v>1</v>
      </c>
      <c r="AU133" s="2029">
        <f t="shared" si="65"/>
        <v>1</v>
      </c>
      <c r="AV133" s="2029">
        <f t="shared" si="65"/>
        <v>1</v>
      </c>
      <c r="AW133" s="1974"/>
      <c r="AX133" s="2029">
        <f t="shared" si="66"/>
        <v>0</v>
      </c>
      <c r="AY133" s="2029">
        <f t="shared" si="66"/>
        <v>0</v>
      </c>
      <c r="AZ133" s="2029">
        <f t="shared" si="66"/>
        <v>0</v>
      </c>
      <c r="BA133" s="2029">
        <v>2</v>
      </c>
      <c r="BB133" s="2029">
        <f t="shared" si="67"/>
        <v>2</v>
      </c>
      <c r="BC133" s="2029">
        <f t="shared" si="67"/>
        <v>2</v>
      </c>
      <c r="BD133" s="2029">
        <f t="shared" si="67"/>
        <v>2</v>
      </c>
      <c r="BE133" s="2030">
        <f t="shared" si="46"/>
        <v>526</v>
      </c>
      <c r="BF133" s="2030">
        <f t="shared" si="46"/>
        <v>310</v>
      </c>
      <c r="BG133" s="2030">
        <f t="shared" si="46"/>
        <v>312</v>
      </c>
      <c r="BH133" s="2030">
        <f t="shared" si="46"/>
        <v>180</v>
      </c>
      <c r="BI133" s="2030">
        <f t="shared" si="47"/>
        <v>0</v>
      </c>
      <c r="BJ133" s="2030">
        <f t="shared" si="47"/>
        <v>0</v>
      </c>
      <c r="BK133" s="2030">
        <f t="shared" si="47"/>
        <v>0</v>
      </c>
      <c r="BL133" s="2030">
        <f t="shared" si="40"/>
        <v>0</v>
      </c>
      <c r="BM133" s="2031"/>
      <c r="BN133" s="2031"/>
      <c r="BO133" s="2031"/>
      <c r="BP133" s="2031"/>
      <c r="BQ133" s="2031"/>
      <c r="BR133" s="2031"/>
      <c r="BS133" s="2031"/>
      <c r="BT133" s="2031"/>
      <c r="BU133" s="2029"/>
      <c r="BV133" s="2029"/>
      <c r="BW133" s="2029"/>
      <c r="BX133" s="2029"/>
      <c r="BY133" s="2029"/>
      <c r="BZ133" s="2032"/>
      <c r="CA133" s="1974"/>
      <c r="CB133" s="1974"/>
      <c r="CC133" s="1974"/>
      <c r="CD133" s="1974"/>
      <c r="CE133" s="1974">
        <v>0</v>
      </c>
      <c r="CF133" s="2033">
        <v>3.1610826760466963E-5</v>
      </c>
      <c r="CG133" s="2026">
        <v>-4.8197476075897481E-5</v>
      </c>
      <c r="CH133" s="2009">
        <v>1</v>
      </c>
      <c r="CI133" s="2029">
        <v>1.0682031250000001</v>
      </c>
      <c r="CK133" s="2029">
        <f t="shared" si="48"/>
        <v>-1.0682031250000001</v>
      </c>
      <c r="CL133" s="2034">
        <v>1</v>
      </c>
      <c r="CM133" s="2034">
        <v>1</v>
      </c>
      <c r="CN133" s="2034">
        <v>1</v>
      </c>
      <c r="CO133" s="2034">
        <v>1</v>
      </c>
      <c r="CP133" s="2035"/>
      <c r="CQ133" s="2036"/>
      <c r="CR133" s="2036"/>
      <c r="CS133" s="2049"/>
      <c r="CT133" s="2049"/>
      <c r="CU133" s="2049"/>
      <c r="CW133" s="1973">
        <v>1</v>
      </c>
      <c r="CX133" s="2037">
        <v>1</v>
      </c>
      <c r="CY133" s="2037">
        <v>1</v>
      </c>
      <c r="CZ133" s="2037">
        <v>1</v>
      </c>
      <c r="DA133" s="2037">
        <v>1</v>
      </c>
      <c r="DJ133" s="1976">
        <v>1</v>
      </c>
      <c r="DK133" s="1973">
        <v>1</v>
      </c>
      <c r="DL133" s="1973">
        <v>1</v>
      </c>
      <c r="DM133" s="1973">
        <v>1</v>
      </c>
      <c r="DO133" s="2023">
        <v>6.4</v>
      </c>
      <c r="DP133" s="2024">
        <v>18.478182004249195</v>
      </c>
      <c r="DQ133" s="2056">
        <v>3.6662845075411819E-3</v>
      </c>
      <c r="DR133" s="2023">
        <v>-0.31568684654610324</v>
      </c>
      <c r="DS133" s="2029">
        <v>1</v>
      </c>
      <c r="DT133" s="2029">
        <v>1</v>
      </c>
      <c r="DU133" s="2029">
        <v>1</v>
      </c>
      <c r="DV133" s="2029">
        <v>1</v>
      </c>
      <c r="DW133" s="1974"/>
      <c r="DX133" s="2029">
        <v>0</v>
      </c>
      <c r="DY133" s="2029">
        <v>0</v>
      </c>
      <c r="DZ133" s="2029">
        <v>0</v>
      </c>
      <c r="EA133" s="2029">
        <v>2</v>
      </c>
      <c r="EB133" s="2029">
        <v>2</v>
      </c>
      <c r="EC133" s="2029">
        <v>2</v>
      </c>
      <c r="ED133" s="2029">
        <v>2</v>
      </c>
      <c r="EE133" s="2039">
        <f t="shared" si="49"/>
        <v>0</v>
      </c>
      <c r="EF133" s="2039">
        <f t="shared" si="49"/>
        <v>0</v>
      </c>
      <c r="EG133" s="2039">
        <f t="shared" si="49"/>
        <v>0</v>
      </c>
      <c r="EH133" s="2039">
        <f t="shared" si="49"/>
        <v>0</v>
      </c>
      <c r="EI133" s="2040">
        <f t="shared" si="70"/>
        <v>0</v>
      </c>
      <c r="EJ133" s="2040">
        <f t="shared" si="70"/>
        <v>0</v>
      </c>
      <c r="EK133" s="2040">
        <f t="shared" si="70"/>
        <v>0</v>
      </c>
      <c r="EL133" s="2040">
        <f t="shared" si="69"/>
        <v>0</v>
      </c>
      <c r="EM133" s="2040">
        <f t="shared" si="69"/>
        <v>0</v>
      </c>
      <c r="EN133" s="2040">
        <f t="shared" si="69"/>
        <v>0</v>
      </c>
      <c r="EO133" s="2040">
        <f t="shared" si="57"/>
        <v>0</v>
      </c>
      <c r="EP133" s="2040">
        <f t="shared" si="57"/>
        <v>0</v>
      </c>
      <c r="EQ133" s="2040">
        <f t="shared" si="57"/>
        <v>0</v>
      </c>
      <c r="ER133" s="2040">
        <f t="shared" ref="ER133:ET196" si="72">BB133-EB133</f>
        <v>0</v>
      </c>
      <c r="ES133" s="2040">
        <f t="shared" si="72"/>
        <v>0</v>
      </c>
      <c r="ET133" s="2040">
        <f t="shared" si="72"/>
        <v>0</v>
      </c>
      <c r="EU133" s="2039">
        <f t="shared" si="50"/>
        <v>0</v>
      </c>
      <c r="EV133" s="2039">
        <f t="shared" si="51"/>
        <v>0</v>
      </c>
    </row>
    <row r="134" spans="1:152" x14ac:dyDescent="0.25">
      <c r="A134" s="2041" t="s">
        <v>172</v>
      </c>
      <c r="B134" s="2022"/>
      <c r="C134" s="2023">
        <v>6.4</v>
      </c>
      <c r="D134" s="2024">
        <v>21.991008069072514</v>
      </c>
      <c r="E134" s="2056">
        <v>4.3632697291493983E-3</v>
      </c>
      <c r="F134" s="2023">
        <v>-0.38562087317472998</v>
      </c>
      <c r="G134" s="2026" t="s">
        <v>4</v>
      </c>
      <c r="H134" s="2026" t="s">
        <v>4</v>
      </c>
      <c r="I134" s="2026">
        <v>0.77800000000000002</v>
      </c>
      <c r="J134" s="2026">
        <v>0.77800000000000002</v>
      </c>
      <c r="K134" s="2026">
        <v>0.77800000000000002</v>
      </c>
      <c r="L134" s="2026">
        <v>0.77800000000000002</v>
      </c>
      <c r="M134" s="2027">
        <f t="shared" si="41"/>
        <v>17.109004277738418</v>
      </c>
      <c r="N134" s="2027">
        <f t="shared" si="41"/>
        <v>17.109004277738418</v>
      </c>
      <c r="O134" s="2027">
        <f t="shared" si="41"/>
        <v>17.109004277738418</v>
      </c>
      <c r="P134" s="2027">
        <f t="shared" si="41"/>
        <v>17.109004277738418</v>
      </c>
      <c r="Q134" s="2026">
        <v>0.77800000000000002</v>
      </c>
      <c r="R134" s="2026">
        <v>0.77800000000000002</v>
      </c>
      <c r="S134" s="2026">
        <v>0.77800000000000002</v>
      </c>
      <c r="T134" s="2026">
        <v>0.77800000000000002</v>
      </c>
      <c r="U134" s="2028">
        <f t="shared" si="42"/>
        <v>3.3946238492782322E-3</v>
      </c>
      <c r="V134" s="2028">
        <f t="shared" si="42"/>
        <v>3.3946238492782322E-3</v>
      </c>
      <c r="W134" s="2028">
        <f t="shared" si="42"/>
        <v>3.3946238492782322E-3</v>
      </c>
      <c r="X134" s="2028">
        <f t="shared" si="42"/>
        <v>3.3946238492782322E-3</v>
      </c>
      <c r="Y134" s="2026">
        <v>0.77800000000000002</v>
      </c>
      <c r="Z134" s="2026">
        <v>0.77800000000000002</v>
      </c>
      <c r="AA134" s="2026">
        <v>0.77800000000000002</v>
      </c>
      <c r="AB134" s="2026">
        <v>0.77800000000000002</v>
      </c>
      <c r="AC134" s="2027">
        <f t="shared" si="68"/>
        <v>-0.30001303932993995</v>
      </c>
      <c r="AD134" s="2027">
        <f t="shared" si="68"/>
        <v>-0.30001303932993995</v>
      </c>
      <c r="AE134" s="2027">
        <f t="shared" si="68"/>
        <v>-0.30001303932993995</v>
      </c>
      <c r="AF134" s="2027">
        <f t="shared" si="68"/>
        <v>-0.30001303932993995</v>
      </c>
      <c r="AG134" s="2027">
        <v>526</v>
      </c>
      <c r="AH134" s="2027">
        <v>310</v>
      </c>
      <c r="AI134" s="2027">
        <v>312</v>
      </c>
      <c r="AJ134" s="2027">
        <v>180</v>
      </c>
      <c r="AK134" s="2027">
        <f t="shared" si="63"/>
        <v>8999.3362500904077</v>
      </c>
      <c r="AL134" s="2027">
        <f t="shared" si="60"/>
        <v>5303.7913260989098</v>
      </c>
      <c r="AM134" s="2027">
        <f t="shared" si="60"/>
        <v>5338.0093346543863</v>
      </c>
      <c r="AN134" s="2027">
        <f t="shared" si="58"/>
        <v>3079.620769992915</v>
      </c>
      <c r="AO134" s="2027">
        <f t="shared" si="64"/>
        <v>-157.80685868754841</v>
      </c>
      <c r="AP134" s="2027">
        <f t="shared" si="61"/>
        <v>-93.004042192281389</v>
      </c>
      <c r="AQ134" s="2027">
        <f t="shared" si="61"/>
        <v>-93.604068270941269</v>
      </c>
      <c r="AR134" s="2027">
        <f t="shared" si="59"/>
        <v>-54.002347079389189</v>
      </c>
      <c r="AS134" s="2029">
        <v>1</v>
      </c>
      <c r="AT134" s="2029">
        <f t="shared" si="65"/>
        <v>1</v>
      </c>
      <c r="AU134" s="2029">
        <f t="shared" si="65"/>
        <v>1</v>
      </c>
      <c r="AV134" s="2029">
        <f t="shared" si="65"/>
        <v>1</v>
      </c>
      <c r="AW134" s="1974"/>
      <c r="AX134" s="2029">
        <f t="shared" si="66"/>
        <v>0</v>
      </c>
      <c r="AY134" s="2029">
        <f t="shared" si="66"/>
        <v>0</v>
      </c>
      <c r="AZ134" s="2029">
        <f t="shared" si="66"/>
        <v>0</v>
      </c>
      <c r="BA134" s="2029">
        <v>2</v>
      </c>
      <c r="BB134" s="2029">
        <f t="shared" si="67"/>
        <v>2</v>
      </c>
      <c r="BC134" s="2029">
        <f t="shared" si="67"/>
        <v>2</v>
      </c>
      <c r="BD134" s="2029">
        <f t="shared" si="67"/>
        <v>2</v>
      </c>
      <c r="BE134" s="2030">
        <f t="shared" si="46"/>
        <v>526</v>
      </c>
      <c r="BF134" s="2030">
        <f t="shared" si="46"/>
        <v>310</v>
      </c>
      <c r="BG134" s="2030">
        <f t="shared" si="46"/>
        <v>312</v>
      </c>
      <c r="BH134" s="2030">
        <f t="shared" ref="BH134:BH197" si="73">AV134*AJ134</f>
        <v>180</v>
      </c>
      <c r="BI134" s="2030">
        <f t="shared" si="47"/>
        <v>0</v>
      </c>
      <c r="BJ134" s="2030">
        <f t="shared" si="47"/>
        <v>0</v>
      </c>
      <c r="BK134" s="2030">
        <f t="shared" si="47"/>
        <v>0</v>
      </c>
      <c r="BL134" s="2030">
        <f t="shared" si="47"/>
        <v>0</v>
      </c>
      <c r="BM134" s="2031"/>
      <c r="BN134" s="2031"/>
      <c r="BO134" s="2031"/>
      <c r="BP134" s="2031"/>
      <c r="BQ134" s="2031"/>
      <c r="BR134" s="2031"/>
      <c r="BS134" s="2031"/>
      <c r="BT134" s="2031"/>
      <c r="BU134" s="2029"/>
      <c r="BV134" s="2029"/>
      <c r="BW134" s="2029"/>
      <c r="BX134" s="2029"/>
      <c r="BY134" s="2029"/>
      <c r="BZ134" s="2032"/>
      <c r="CA134" s="1974"/>
      <c r="CB134" s="1974"/>
      <c r="CC134" s="1974"/>
      <c r="CD134" s="1974"/>
      <c r="CE134" s="1974">
        <v>0</v>
      </c>
      <c r="CF134" s="2033">
        <v>3.7620256484086291E-5</v>
      </c>
      <c r="CG134" s="2026">
        <v>-5.8874650662682688E-5</v>
      </c>
      <c r="CH134" s="2009">
        <v>1</v>
      </c>
      <c r="CI134" s="2029">
        <v>0</v>
      </c>
      <c r="CK134" s="2029">
        <f t="shared" si="48"/>
        <v>0</v>
      </c>
      <c r="CL134" s="2034">
        <v>1</v>
      </c>
      <c r="CM134" s="2034">
        <v>1</v>
      </c>
      <c r="CN134" s="2034">
        <v>1</v>
      </c>
      <c r="CO134" s="2034">
        <v>1</v>
      </c>
      <c r="CP134" s="2035"/>
      <c r="CQ134" s="2036"/>
      <c r="CR134" s="2036"/>
      <c r="CS134" s="2049"/>
      <c r="CT134" s="2049"/>
      <c r="CU134" s="2049"/>
      <c r="CW134" s="1973">
        <v>1</v>
      </c>
      <c r="CX134" s="2037">
        <v>1</v>
      </c>
      <c r="CY134" s="2037">
        <v>1</v>
      </c>
      <c r="CZ134" s="2037">
        <v>1</v>
      </c>
      <c r="DA134" s="2037">
        <v>1</v>
      </c>
      <c r="DJ134" s="1976">
        <v>1</v>
      </c>
      <c r="DK134" s="1973">
        <v>1</v>
      </c>
      <c r="DL134" s="1973">
        <v>1</v>
      </c>
      <c r="DM134" s="1973">
        <v>1</v>
      </c>
      <c r="DO134" s="2023">
        <v>6.4</v>
      </c>
      <c r="DP134" s="2024">
        <v>21.991008069072514</v>
      </c>
      <c r="DQ134" s="2056">
        <v>4.3632697291493983E-3</v>
      </c>
      <c r="DR134" s="2023">
        <v>-0.38562087317472998</v>
      </c>
      <c r="DS134" s="2029">
        <v>1</v>
      </c>
      <c r="DT134" s="2029">
        <v>1</v>
      </c>
      <c r="DU134" s="2029">
        <v>1</v>
      </c>
      <c r="DV134" s="2029">
        <v>1</v>
      </c>
      <c r="DW134" s="1974"/>
      <c r="DX134" s="2029">
        <v>0</v>
      </c>
      <c r="DY134" s="2029">
        <v>0</v>
      </c>
      <c r="DZ134" s="2029">
        <v>0</v>
      </c>
      <c r="EA134" s="2029">
        <v>2</v>
      </c>
      <c r="EB134" s="2029">
        <v>2</v>
      </c>
      <c r="EC134" s="2029">
        <v>2</v>
      </c>
      <c r="ED134" s="2029">
        <v>2</v>
      </c>
      <c r="EE134" s="2039">
        <f t="shared" si="49"/>
        <v>0</v>
      </c>
      <c r="EF134" s="2039">
        <f t="shared" si="49"/>
        <v>0</v>
      </c>
      <c r="EG134" s="2039">
        <f t="shared" si="49"/>
        <v>0</v>
      </c>
      <c r="EH134" s="2039">
        <f t="shared" ref="EH134:EH197" si="74">F134-DR134</f>
        <v>0</v>
      </c>
      <c r="EI134" s="2040">
        <f t="shared" si="70"/>
        <v>0</v>
      </c>
      <c r="EJ134" s="2040">
        <f t="shared" si="70"/>
        <v>0</v>
      </c>
      <c r="EK134" s="2040">
        <f t="shared" si="70"/>
        <v>0</v>
      </c>
      <c r="EL134" s="2040">
        <f t="shared" si="69"/>
        <v>0</v>
      </c>
      <c r="EM134" s="2040">
        <f t="shared" si="69"/>
        <v>0</v>
      </c>
      <c r="EN134" s="2040">
        <f t="shared" si="69"/>
        <v>0</v>
      </c>
      <c r="EO134" s="2040">
        <f t="shared" si="69"/>
        <v>0</v>
      </c>
      <c r="EP134" s="2040">
        <f t="shared" si="69"/>
        <v>0</v>
      </c>
      <c r="EQ134" s="2040">
        <f t="shared" si="69"/>
        <v>0</v>
      </c>
      <c r="ER134" s="2040">
        <f t="shared" si="72"/>
        <v>0</v>
      </c>
      <c r="ES134" s="2040">
        <f t="shared" si="72"/>
        <v>0</v>
      </c>
      <c r="ET134" s="2040">
        <f t="shared" si="72"/>
        <v>0</v>
      </c>
      <c r="EU134" s="2039">
        <f t="shared" si="50"/>
        <v>0</v>
      </c>
      <c r="EV134" s="2039">
        <f t="shared" si="51"/>
        <v>0</v>
      </c>
    </row>
    <row r="135" spans="1:152" x14ac:dyDescent="0.25">
      <c r="A135" s="2041"/>
      <c r="B135" s="2022"/>
      <c r="C135" s="2023"/>
      <c r="D135" s="2024"/>
      <c r="E135" s="2024"/>
      <c r="F135" s="2023"/>
      <c r="G135" s="2026"/>
      <c r="H135" s="2026"/>
      <c r="I135" s="2026" t="e">
        <v>#N/A</v>
      </c>
      <c r="J135" s="2026" t="e">
        <v>#N/A</v>
      </c>
      <c r="K135" s="2026" t="e">
        <v>#N/A</v>
      </c>
      <c r="L135" s="2026" t="e">
        <v>#N/A</v>
      </c>
      <c r="M135" s="2027" t="e">
        <f t="shared" si="41"/>
        <v>#N/A</v>
      </c>
      <c r="N135" s="2027" t="e">
        <f t="shared" si="41"/>
        <v>#N/A</v>
      </c>
      <c r="O135" s="2027" t="e">
        <f t="shared" si="41"/>
        <v>#N/A</v>
      </c>
      <c r="P135" s="2027" t="e">
        <f t="shared" ref="P135:P198" si="75">$D135*L135</f>
        <v>#N/A</v>
      </c>
      <c r="Q135" s="2026" t="e">
        <v>#N/A</v>
      </c>
      <c r="R135" s="2026" t="e">
        <v>#N/A</v>
      </c>
      <c r="S135" s="2026" t="e">
        <v>#N/A</v>
      </c>
      <c r="T135" s="2026" t="e">
        <v>#N/A</v>
      </c>
      <c r="U135" s="2028" t="e">
        <f t="shared" si="42"/>
        <v>#N/A</v>
      </c>
      <c r="V135" s="2028" t="e">
        <f t="shared" si="42"/>
        <v>#N/A</v>
      </c>
      <c r="W135" s="2028" t="e">
        <f t="shared" si="42"/>
        <v>#N/A</v>
      </c>
      <c r="X135" s="2028" t="e">
        <f t="shared" ref="X135:X198" si="76">$E135*T135</f>
        <v>#N/A</v>
      </c>
      <c r="Y135" s="2026" t="e">
        <v>#N/A</v>
      </c>
      <c r="Z135" s="2026" t="e">
        <v>#N/A</v>
      </c>
      <c r="AA135" s="2026" t="e">
        <v>#N/A</v>
      </c>
      <c r="AB135" s="2026" t="e">
        <v>#N/A</v>
      </c>
      <c r="AC135" s="2027"/>
      <c r="AD135" s="2027"/>
      <c r="AE135" s="2027"/>
      <c r="AF135" s="2027"/>
      <c r="AG135" s="2027">
        <v>0</v>
      </c>
      <c r="AH135" s="2027">
        <v>0</v>
      </c>
      <c r="AI135" s="2027">
        <v>0</v>
      </c>
      <c r="AJ135" s="2027">
        <v>0</v>
      </c>
      <c r="AK135" s="2027"/>
      <c r="AL135" s="2027"/>
      <c r="AM135" s="2027"/>
      <c r="AN135" s="2027"/>
      <c r="AO135" s="2027"/>
      <c r="AP135" s="2027"/>
      <c r="AQ135" s="2027"/>
      <c r="AR135" s="2027">
        <f t="shared" si="59"/>
        <v>0</v>
      </c>
      <c r="AS135" s="2029"/>
      <c r="AT135" s="2029">
        <f t="shared" ref="AT135:AV198" si="77">$AS135</f>
        <v>0</v>
      </c>
      <c r="AU135" s="2029">
        <f t="shared" si="77"/>
        <v>0</v>
      </c>
      <c r="AV135" s="2029">
        <f t="shared" si="77"/>
        <v>0</v>
      </c>
      <c r="AW135" s="1974"/>
      <c r="AX135" s="2029">
        <f t="shared" ref="AX135:AZ166" si="78">$AW135</f>
        <v>0</v>
      </c>
      <c r="AY135" s="2029">
        <f t="shared" si="78"/>
        <v>0</v>
      </c>
      <c r="AZ135" s="2029">
        <f t="shared" si="78"/>
        <v>0</v>
      </c>
      <c r="BA135" s="2029"/>
      <c r="BB135" s="2029">
        <f t="shared" ref="BB135:BD166" si="79">$BA135</f>
        <v>0</v>
      </c>
      <c r="BC135" s="2029">
        <f t="shared" si="79"/>
        <v>0</v>
      </c>
      <c r="BD135" s="2029">
        <f t="shared" si="79"/>
        <v>0</v>
      </c>
      <c r="BE135" s="2030">
        <f t="shared" ref="BE135:BH198" si="80">AS135*AG135</f>
        <v>0</v>
      </c>
      <c r="BF135" s="2030">
        <f t="shared" si="80"/>
        <v>0</v>
      </c>
      <c r="BG135" s="2030">
        <f t="shared" si="80"/>
        <v>0</v>
      </c>
      <c r="BH135" s="2030">
        <f t="shared" si="73"/>
        <v>0</v>
      </c>
      <c r="BI135" s="2030">
        <f t="shared" ref="BI135:BL198" si="81">AW135*AG135</f>
        <v>0</v>
      </c>
      <c r="BJ135" s="2030">
        <f t="shared" si="81"/>
        <v>0</v>
      </c>
      <c r="BK135" s="2030">
        <f t="shared" si="81"/>
        <v>0</v>
      </c>
      <c r="BL135" s="2030">
        <f t="shared" si="81"/>
        <v>0</v>
      </c>
      <c r="BM135" s="2031"/>
      <c r="BN135" s="2031"/>
      <c r="BO135" s="2031"/>
      <c r="BP135" s="2031"/>
      <c r="BQ135" s="2031"/>
      <c r="BR135" s="2031"/>
      <c r="BS135" s="2031"/>
      <c r="BT135" s="2031"/>
      <c r="BU135" s="2029"/>
      <c r="BV135" s="2029"/>
      <c r="BW135" s="2029"/>
      <c r="BX135" s="2029"/>
      <c r="BY135" s="2029"/>
      <c r="BZ135" s="2032"/>
      <c r="CA135" s="1974"/>
      <c r="CB135" s="1974"/>
      <c r="CC135" s="1974"/>
      <c r="CD135" s="1974"/>
      <c r="CE135" s="1974"/>
      <c r="CF135" s="2033">
        <v>0</v>
      </c>
      <c r="CG135" s="2026">
        <v>0</v>
      </c>
      <c r="CH135" s="2009"/>
      <c r="CI135" s="2029">
        <v>0</v>
      </c>
      <c r="CK135" s="2029">
        <f t="shared" ref="CK135:CK197" si="82">-CI135+CJ135</f>
        <v>0</v>
      </c>
      <c r="CL135" s="2034">
        <v>1</v>
      </c>
      <c r="CM135" s="2034">
        <v>1</v>
      </c>
      <c r="CN135" s="2034">
        <v>1</v>
      </c>
      <c r="CO135" s="2034">
        <v>1</v>
      </c>
      <c r="CP135" s="2035"/>
      <c r="CQ135" s="2036"/>
      <c r="CR135" s="2036"/>
      <c r="CS135" s="2049"/>
      <c r="CT135" s="2049"/>
      <c r="CU135" s="2049"/>
      <c r="CW135" s="1973">
        <v>0</v>
      </c>
      <c r="CX135" s="2037">
        <v>0</v>
      </c>
      <c r="CY135" s="2037">
        <v>0</v>
      </c>
      <c r="CZ135" s="2037">
        <v>0</v>
      </c>
      <c r="DA135" s="2037">
        <v>0</v>
      </c>
      <c r="DK135" s="1973">
        <v>0</v>
      </c>
      <c r="DL135" s="1973">
        <v>0</v>
      </c>
      <c r="DM135" s="1973">
        <v>0</v>
      </c>
      <c r="DO135" s="2023"/>
      <c r="DP135" s="2024"/>
      <c r="DQ135" s="2024"/>
      <c r="DR135" s="2023"/>
      <c r="DS135" s="2029"/>
      <c r="DT135" s="2029">
        <v>0</v>
      </c>
      <c r="DU135" s="2029">
        <v>0</v>
      </c>
      <c r="DV135" s="2029">
        <v>0</v>
      </c>
      <c r="DW135" s="1974"/>
      <c r="DX135" s="2029">
        <v>0</v>
      </c>
      <c r="DY135" s="2029">
        <v>0</v>
      </c>
      <c r="DZ135" s="2029">
        <v>0</v>
      </c>
      <c r="EA135" s="2029"/>
      <c r="EB135" s="2029">
        <v>0</v>
      </c>
      <c r="EC135" s="2029">
        <v>0</v>
      </c>
      <c r="ED135" s="2029">
        <v>0</v>
      </c>
      <c r="EE135" s="2039">
        <f t="shared" ref="EE135:EH198" si="83">C135-DO135</f>
        <v>0</v>
      </c>
      <c r="EF135" s="2039">
        <f t="shared" si="83"/>
        <v>0</v>
      </c>
      <c r="EG135" s="2039">
        <f t="shared" si="83"/>
        <v>0</v>
      </c>
      <c r="EH135" s="2039">
        <f t="shared" si="74"/>
        <v>0</v>
      </c>
      <c r="EI135" s="2040">
        <f t="shared" si="70"/>
        <v>0</v>
      </c>
      <c r="EJ135" s="2040">
        <f t="shared" si="70"/>
        <v>0</v>
      </c>
      <c r="EK135" s="2040">
        <f t="shared" si="70"/>
        <v>0</v>
      </c>
      <c r="EL135" s="2040">
        <f t="shared" si="69"/>
        <v>0</v>
      </c>
      <c r="EM135" s="2040">
        <f t="shared" si="69"/>
        <v>0</v>
      </c>
      <c r="EN135" s="2040">
        <f t="shared" si="69"/>
        <v>0</v>
      </c>
      <c r="EO135" s="2040">
        <f t="shared" si="69"/>
        <v>0</v>
      </c>
      <c r="EP135" s="2040">
        <f t="shared" si="69"/>
        <v>0</v>
      </c>
      <c r="EQ135" s="2040">
        <f t="shared" si="69"/>
        <v>0</v>
      </c>
      <c r="ER135" s="2040">
        <f t="shared" si="72"/>
        <v>0</v>
      </c>
      <c r="ES135" s="2040">
        <f t="shared" si="72"/>
        <v>0</v>
      </c>
      <c r="ET135" s="2040">
        <f t="shared" si="72"/>
        <v>0</v>
      </c>
      <c r="EU135" s="2039">
        <f t="shared" ref="EU135:EU198" si="84">SUM(EE135:ET135)</f>
        <v>0</v>
      </c>
      <c r="EV135" s="2039">
        <f t="shared" ref="EV135:EV198" si="85">SUM(EE135:EH135)</f>
        <v>0</v>
      </c>
    </row>
    <row r="136" spans="1:152" x14ac:dyDescent="0.25">
      <c r="A136" s="2021" t="s">
        <v>1016</v>
      </c>
      <c r="B136" s="2069"/>
      <c r="C136" s="2068">
        <v>10</v>
      </c>
      <c r="D136" s="2071">
        <v>20.576568549600005</v>
      </c>
      <c r="E136" s="2024">
        <v>6.7886315422358541E-3</v>
      </c>
      <c r="F136" s="2057">
        <v>5.3588189352600013</v>
      </c>
      <c r="G136" s="2026" t="s">
        <v>2285</v>
      </c>
      <c r="H136" s="2026" t="s">
        <v>2285</v>
      </c>
      <c r="I136" s="2026">
        <v>0.79999999999999993</v>
      </c>
      <c r="J136" s="2026">
        <v>0.79999999999999993</v>
      </c>
      <c r="K136" s="2026">
        <v>0.79999999999999993</v>
      </c>
      <c r="L136" s="2026">
        <v>0.79999999999999993</v>
      </c>
      <c r="M136" s="2027">
        <f t="shared" ref="M136:O198" si="86">$D136*I136</f>
        <v>16.461254839680002</v>
      </c>
      <c r="N136" s="2027">
        <f t="shared" si="86"/>
        <v>16.461254839680002</v>
      </c>
      <c r="O136" s="2027">
        <f t="shared" si="86"/>
        <v>16.461254839680002</v>
      </c>
      <c r="P136" s="2027">
        <f t="shared" si="75"/>
        <v>16.461254839680002</v>
      </c>
      <c r="Q136" s="2026">
        <v>0.79999999999999993</v>
      </c>
      <c r="R136" s="2026">
        <v>0.79999999999999993</v>
      </c>
      <c r="S136" s="2026">
        <v>0.79999999999999993</v>
      </c>
      <c r="T136" s="2026">
        <v>0.79999999999999993</v>
      </c>
      <c r="U136" s="2028">
        <f t="shared" ref="U136:W198" si="87">$E136*Q136</f>
        <v>5.4309052337886826E-3</v>
      </c>
      <c r="V136" s="2028">
        <f t="shared" si="87"/>
        <v>5.4309052337886826E-3</v>
      </c>
      <c r="W136" s="2028">
        <f t="shared" si="87"/>
        <v>5.4309052337886826E-3</v>
      </c>
      <c r="X136" s="2028">
        <f t="shared" si="76"/>
        <v>5.4309052337886826E-3</v>
      </c>
      <c r="Y136" s="2026">
        <v>0.60399999999999998</v>
      </c>
      <c r="Z136" s="2026">
        <v>0.60399999999999998</v>
      </c>
      <c r="AA136" s="2026">
        <v>0.60399999999999998</v>
      </c>
      <c r="AB136" s="2026">
        <v>0.60399999999999998</v>
      </c>
      <c r="AC136" s="2027">
        <f t="shared" si="68"/>
        <v>3.2367266368970409</v>
      </c>
      <c r="AD136" s="2027">
        <f t="shared" si="68"/>
        <v>3.2367266368970409</v>
      </c>
      <c r="AE136" s="2027">
        <f t="shared" si="68"/>
        <v>3.2367266368970409</v>
      </c>
      <c r="AF136" s="2027">
        <f t="shared" si="68"/>
        <v>3.2367266368970409</v>
      </c>
      <c r="AG136" s="2027">
        <v>23</v>
      </c>
      <c r="AH136" s="2027">
        <v>23</v>
      </c>
      <c r="AI136" s="2027">
        <v>23</v>
      </c>
      <c r="AJ136" s="2027">
        <v>23</v>
      </c>
      <c r="AK136" s="2027">
        <f t="shared" si="63"/>
        <v>378.60886131264004</v>
      </c>
      <c r="AL136" s="2027">
        <f t="shared" ref="AL136:AN167" si="88">AH136*N136*CM136</f>
        <v>378.60886131264004</v>
      </c>
      <c r="AM136" s="2027">
        <f t="shared" si="88"/>
        <v>378.60886131264004</v>
      </c>
      <c r="AN136" s="2027">
        <f t="shared" si="88"/>
        <v>378.60886131264004</v>
      </c>
      <c r="AO136" s="2027">
        <f t="shared" si="64"/>
        <v>74.444712648631935</v>
      </c>
      <c r="AP136" s="2027">
        <f t="shared" ref="AP136:AR167" si="89">AH136*AD136*CM136</f>
        <v>74.444712648631935</v>
      </c>
      <c r="AQ136" s="2027">
        <f t="shared" si="89"/>
        <v>74.444712648631935</v>
      </c>
      <c r="AR136" s="2027">
        <f t="shared" si="59"/>
        <v>74.444712648631935</v>
      </c>
      <c r="AS136" s="2029">
        <v>1.92</v>
      </c>
      <c r="AT136" s="2029">
        <f t="shared" si="77"/>
        <v>1.92</v>
      </c>
      <c r="AU136" s="2029">
        <f t="shared" si="77"/>
        <v>1.92</v>
      </c>
      <c r="AV136" s="2029">
        <f t="shared" si="77"/>
        <v>1.92</v>
      </c>
      <c r="AW136" s="1974">
        <v>10.08</v>
      </c>
      <c r="AX136" s="2029">
        <f t="shared" si="78"/>
        <v>10.08</v>
      </c>
      <c r="AY136" s="2029">
        <f t="shared" si="78"/>
        <v>10.08</v>
      </c>
      <c r="AZ136" s="2029">
        <f t="shared" si="78"/>
        <v>10.08</v>
      </c>
      <c r="BA136" s="2048">
        <v>12</v>
      </c>
      <c r="BB136" s="2029">
        <f t="shared" si="79"/>
        <v>12</v>
      </c>
      <c r="BC136" s="2029">
        <f t="shared" si="79"/>
        <v>12</v>
      </c>
      <c r="BD136" s="2029">
        <f t="shared" si="79"/>
        <v>12</v>
      </c>
      <c r="BE136" s="2030">
        <f t="shared" si="80"/>
        <v>44.16</v>
      </c>
      <c r="BF136" s="2030">
        <f t="shared" si="80"/>
        <v>44.16</v>
      </c>
      <c r="BG136" s="2030">
        <f t="shared" si="80"/>
        <v>44.16</v>
      </c>
      <c r="BH136" s="2030">
        <f t="shared" si="73"/>
        <v>44.16</v>
      </c>
      <c r="BI136" s="2030">
        <f t="shared" si="81"/>
        <v>231.84</v>
      </c>
      <c r="BJ136" s="2030">
        <f t="shared" si="81"/>
        <v>231.84</v>
      </c>
      <c r="BK136" s="2030">
        <f t="shared" si="81"/>
        <v>231.84</v>
      </c>
      <c r="BL136" s="2030">
        <f t="shared" si="81"/>
        <v>231.84</v>
      </c>
      <c r="BM136" s="2031"/>
      <c r="BN136" s="2031"/>
      <c r="BO136" s="2031"/>
      <c r="BP136" s="2031"/>
      <c r="BQ136" s="2031"/>
      <c r="BR136" s="2031"/>
      <c r="BS136" s="2031"/>
      <c r="BT136" s="2031"/>
      <c r="BU136" s="2029"/>
      <c r="BV136" s="2029"/>
      <c r="BW136" s="2029"/>
      <c r="BX136" s="2029"/>
      <c r="BY136" s="2029"/>
      <c r="BZ136" s="2032"/>
      <c r="CA136" s="1974">
        <f>253156.60125/250</f>
        <v>1012.626405</v>
      </c>
      <c r="CB136" s="1974"/>
      <c r="CC136" s="1974"/>
      <c r="CD136" s="1974"/>
      <c r="CE136" s="1974">
        <v>0</v>
      </c>
      <c r="CF136" s="2033">
        <v>1.5827125550049634E-6</v>
      </c>
      <c r="CG136" s="2026">
        <v>2.7773865390413663E-5</v>
      </c>
      <c r="CH136" s="2009">
        <v>0</v>
      </c>
      <c r="CI136" s="2029">
        <v>0</v>
      </c>
      <c r="CK136" s="2029">
        <f t="shared" si="82"/>
        <v>0</v>
      </c>
      <c r="CL136" s="2034">
        <v>1</v>
      </c>
      <c r="CM136" s="2034">
        <v>1</v>
      </c>
      <c r="CN136" s="2034">
        <v>1</v>
      </c>
      <c r="CO136" s="2034">
        <v>1</v>
      </c>
      <c r="CP136" s="2035"/>
      <c r="CQ136" s="2036"/>
      <c r="CR136" s="2036"/>
      <c r="CS136" s="2036"/>
      <c r="CT136" s="2036"/>
      <c r="CU136" s="2036"/>
      <c r="CW136" s="1973">
        <v>0</v>
      </c>
      <c r="CX136" s="2037">
        <v>12</v>
      </c>
      <c r="CY136" s="2037">
        <v>12</v>
      </c>
      <c r="CZ136" s="2037">
        <v>12</v>
      </c>
      <c r="DA136" s="2037">
        <v>12</v>
      </c>
      <c r="DJ136" s="1976">
        <v>1.92</v>
      </c>
      <c r="DK136" s="1973">
        <v>1.92</v>
      </c>
      <c r="DL136" s="1973">
        <v>1.92</v>
      </c>
      <c r="DM136" s="1973">
        <v>1.92</v>
      </c>
      <c r="DO136" s="2043">
        <v>10</v>
      </c>
      <c r="DP136" s="2044">
        <v>20.576568549600005</v>
      </c>
      <c r="DQ136" s="2044">
        <v>6.7886315422358541E-3</v>
      </c>
      <c r="DR136" s="2058">
        <v>5.3588189352600013</v>
      </c>
      <c r="DS136" s="2046">
        <v>1.92</v>
      </c>
      <c r="DT136" s="2046">
        <v>1.92</v>
      </c>
      <c r="DU136" s="2046">
        <v>1.92</v>
      </c>
      <c r="DV136" s="2046">
        <v>1.92</v>
      </c>
      <c r="DW136" s="2047">
        <v>10.08</v>
      </c>
      <c r="DX136" s="2046">
        <v>10.08</v>
      </c>
      <c r="DY136" s="2046">
        <v>10.08</v>
      </c>
      <c r="DZ136" s="2046">
        <v>10.08</v>
      </c>
      <c r="EA136" s="2059">
        <v>12</v>
      </c>
      <c r="EB136" s="2046">
        <v>12</v>
      </c>
      <c r="EC136" s="2046">
        <v>12</v>
      </c>
      <c r="ED136" s="2046">
        <v>12</v>
      </c>
      <c r="EE136" s="2039">
        <f t="shared" si="83"/>
        <v>0</v>
      </c>
      <c r="EF136" s="2039">
        <f t="shared" si="83"/>
        <v>0</v>
      </c>
      <c r="EG136" s="2039">
        <f t="shared" si="83"/>
        <v>0</v>
      </c>
      <c r="EH136" s="2039">
        <f t="shared" si="74"/>
        <v>0</v>
      </c>
      <c r="EI136" s="2040">
        <f t="shared" si="70"/>
        <v>0</v>
      </c>
      <c r="EJ136" s="2040">
        <f t="shared" si="70"/>
        <v>0</v>
      </c>
      <c r="EK136" s="2040">
        <f t="shared" si="70"/>
        <v>0</v>
      </c>
      <c r="EL136" s="2040">
        <f t="shared" si="69"/>
        <v>0</v>
      </c>
      <c r="EM136" s="2040">
        <f t="shared" si="69"/>
        <v>0</v>
      </c>
      <c r="EN136" s="2040">
        <f t="shared" si="69"/>
        <v>0</v>
      </c>
      <c r="EO136" s="2040">
        <f t="shared" si="69"/>
        <v>0</v>
      </c>
      <c r="EP136" s="2040">
        <f t="shared" si="69"/>
        <v>0</v>
      </c>
      <c r="EQ136" s="2040">
        <f t="shared" si="69"/>
        <v>0</v>
      </c>
      <c r="ER136" s="2040">
        <f t="shared" si="72"/>
        <v>0</v>
      </c>
      <c r="ES136" s="2040">
        <f t="shared" si="72"/>
        <v>0</v>
      </c>
      <c r="ET136" s="2040">
        <f t="shared" si="72"/>
        <v>0</v>
      </c>
      <c r="EU136" s="2039">
        <f t="shared" si="84"/>
        <v>0</v>
      </c>
      <c r="EV136" s="2039">
        <f t="shared" si="85"/>
        <v>0</v>
      </c>
    </row>
    <row r="137" spans="1:152" x14ac:dyDescent="0.25">
      <c r="A137" s="2021" t="s">
        <v>2951</v>
      </c>
      <c r="B137" s="2069"/>
      <c r="C137" s="2070">
        <v>15</v>
      </c>
      <c r="D137" s="2071">
        <v>42.69534774200001</v>
      </c>
      <c r="E137" s="2060">
        <v>9.1439273599999999E-3</v>
      </c>
      <c r="F137" s="2060">
        <v>-0.86174096360000019</v>
      </c>
      <c r="G137" s="2026" t="s">
        <v>2870</v>
      </c>
      <c r="H137" s="2026" t="s">
        <v>2870</v>
      </c>
      <c r="I137" s="2026">
        <v>0.77300000000000002</v>
      </c>
      <c r="J137" s="2026">
        <v>0.77300000000000002</v>
      </c>
      <c r="K137" s="2026">
        <v>0.77300000000000002</v>
      </c>
      <c r="L137" s="2026">
        <v>0.77300000000000002</v>
      </c>
      <c r="M137" s="2027">
        <f t="shared" si="86"/>
        <v>33.003503804566009</v>
      </c>
      <c r="N137" s="2027">
        <f t="shared" si="86"/>
        <v>33.003503804566009</v>
      </c>
      <c r="O137" s="2027">
        <f t="shared" si="86"/>
        <v>33.003503804566009</v>
      </c>
      <c r="P137" s="2027">
        <f t="shared" si="75"/>
        <v>33.003503804566009</v>
      </c>
      <c r="Q137" s="2026">
        <v>0.77300000000000002</v>
      </c>
      <c r="R137" s="2026">
        <v>0.77300000000000002</v>
      </c>
      <c r="S137" s="2026">
        <v>0.77300000000000002</v>
      </c>
      <c r="T137" s="2026">
        <v>0.77300000000000002</v>
      </c>
      <c r="U137" s="2028">
        <f t="shared" si="87"/>
        <v>7.0682558492800003E-3</v>
      </c>
      <c r="V137" s="2028">
        <f t="shared" si="87"/>
        <v>7.0682558492800003E-3</v>
      </c>
      <c r="W137" s="2028">
        <f t="shared" si="87"/>
        <v>7.0682558492800003E-3</v>
      </c>
      <c r="X137" s="2028">
        <f t="shared" si="76"/>
        <v>7.0682558492800003E-3</v>
      </c>
      <c r="Y137" s="2026">
        <v>0.77300000000000002</v>
      </c>
      <c r="Z137" s="2026">
        <v>0.77300000000000002</v>
      </c>
      <c r="AA137" s="2026">
        <v>0.77300000000000002</v>
      </c>
      <c r="AB137" s="2026">
        <v>0.77300000000000002</v>
      </c>
      <c r="AC137" s="2027">
        <f t="shared" si="68"/>
        <v>-0.66612576486280017</v>
      </c>
      <c r="AD137" s="2027">
        <f t="shared" si="68"/>
        <v>-0.66612576486280017</v>
      </c>
      <c r="AE137" s="2027">
        <f t="shared" si="68"/>
        <v>-0.66612576486280017</v>
      </c>
      <c r="AF137" s="2027">
        <f t="shared" si="68"/>
        <v>-0.66612576486280017</v>
      </c>
      <c r="AG137" s="2027">
        <v>240000</v>
      </c>
      <c r="AH137" s="2027">
        <v>253000</v>
      </c>
      <c r="AI137" s="2027">
        <v>291000</v>
      </c>
      <c r="AJ137" s="2027">
        <v>302500</v>
      </c>
      <c r="AK137" s="2027">
        <f t="shared" si="63"/>
        <v>7920840.9130958421</v>
      </c>
      <c r="AL137" s="2027">
        <f t="shared" si="88"/>
        <v>7431398.951674128</v>
      </c>
      <c r="AM137" s="2027">
        <f t="shared" si="88"/>
        <v>8547577.4503445495</v>
      </c>
      <c r="AN137" s="2027">
        <f t="shared" si="88"/>
        <v>8885368.3117842842</v>
      </c>
      <c r="AO137" s="2027">
        <f t="shared" si="64"/>
        <v>-159870.18356707203</v>
      </c>
      <c r="AP137" s="2027">
        <f t="shared" si="89"/>
        <v>-149991.5384741567</v>
      </c>
      <c r="AQ137" s="2027">
        <f t="shared" si="89"/>
        <v>-172519.91184181662</v>
      </c>
      <c r="AR137" s="2027">
        <f t="shared" si="59"/>
        <v>-179337.7090451874</v>
      </c>
      <c r="AS137" s="2029">
        <v>4</v>
      </c>
      <c r="AT137" s="2029">
        <v>4</v>
      </c>
      <c r="AU137" s="2029">
        <v>3</v>
      </c>
      <c r="AV137" s="2029">
        <v>3</v>
      </c>
      <c r="AW137" s="1974"/>
      <c r="AX137" s="2029">
        <f t="shared" si="78"/>
        <v>0</v>
      </c>
      <c r="AY137" s="2029">
        <f t="shared" si="78"/>
        <v>0</v>
      </c>
      <c r="AZ137" s="2029">
        <f t="shared" si="78"/>
        <v>0</v>
      </c>
      <c r="BA137" s="2029">
        <v>4.1099999999999994</v>
      </c>
      <c r="BB137" s="2029">
        <f t="shared" si="79"/>
        <v>4.1099999999999994</v>
      </c>
      <c r="BC137" s="2029">
        <f t="shared" si="79"/>
        <v>4.1099999999999994</v>
      </c>
      <c r="BD137" s="2029">
        <f t="shared" si="79"/>
        <v>4.1099999999999994</v>
      </c>
      <c r="BE137" s="2030">
        <f t="shared" si="80"/>
        <v>960000</v>
      </c>
      <c r="BF137" s="2030">
        <f t="shared" si="80"/>
        <v>1012000</v>
      </c>
      <c r="BG137" s="2030">
        <f t="shared" si="80"/>
        <v>873000</v>
      </c>
      <c r="BH137" s="2030">
        <f t="shared" si="73"/>
        <v>907500</v>
      </c>
      <c r="BI137" s="2030">
        <f t="shared" si="81"/>
        <v>0</v>
      </c>
      <c r="BJ137" s="2030">
        <f t="shared" si="81"/>
        <v>0</v>
      </c>
      <c r="BK137" s="2030">
        <f t="shared" si="81"/>
        <v>0</v>
      </c>
      <c r="BL137" s="2030">
        <f t="shared" si="81"/>
        <v>0</v>
      </c>
      <c r="BM137" s="2031"/>
      <c r="BN137" s="2031"/>
      <c r="BO137" s="2031"/>
      <c r="BP137" s="2031"/>
      <c r="BQ137" s="2031"/>
      <c r="BR137" s="2031"/>
      <c r="BS137" s="2031"/>
      <c r="BT137" s="2031"/>
      <c r="BU137" s="2029"/>
      <c r="BV137" s="2029"/>
      <c r="BW137" s="2029"/>
      <c r="BX137" s="2029"/>
      <c r="BY137" s="2029"/>
      <c r="BZ137" s="2032"/>
      <c r="CA137" s="1974"/>
      <c r="CB137" s="1974"/>
      <c r="CC137" s="1974"/>
      <c r="CD137" s="1974"/>
      <c r="CE137" s="1974">
        <v>1</v>
      </c>
      <c r="CF137" s="2033">
        <v>3.3111782740345576E-2</v>
      </c>
      <c r="CG137" s="2026">
        <v>-5.9644436795528132E-2</v>
      </c>
      <c r="CH137" s="2009">
        <v>1</v>
      </c>
      <c r="CI137" s="2029">
        <v>1.176912501648</v>
      </c>
      <c r="CK137" s="2029">
        <f t="shared" si="82"/>
        <v>-1.176912501648</v>
      </c>
      <c r="CL137" s="2034">
        <v>1</v>
      </c>
      <c r="CM137" s="2034">
        <v>0.89</v>
      </c>
      <c r="CN137" s="2034">
        <v>0.89</v>
      </c>
      <c r="CO137" s="2034">
        <v>0.89</v>
      </c>
      <c r="CP137" s="2035"/>
      <c r="CQ137" s="2036"/>
      <c r="CR137" s="2036"/>
      <c r="CS137" s="2036"/>
      <c r="CT137" s="2036"/>
      <c r="CU137" s="2036"/>
      <c r="CW137" s="1973">
        <v>1</v>
      </c>
      <c r="CX137" s="2037">
        <v>4</v>
      </c>
      <c r="CY137" s="2037">
        <v>4</v>
      </c>
      <c r="CZ137" s="2037">
        <v>3</v>
      </c>
      <c r="DA137" s="2037">
        <v>3</v>
      </c>
      <c r="DJ137" s="1976">
        <v>4</v>
      </c>
      <c r="DK137" s="1973">
        <v>4</v>
      </c>
      <c r="DL137" s="1973">
        <v>3</v>
      </c>
      <c r="DM137" s="1973">
        <v>3</v>
      </c>
      <c r="DO137" s="2052">
        <v>15</v>
      </c>
      <c r="DP137" s="2024">
        <v>42.69534774200001</v>
      </c>
      <c r="DQ137" s="2060">
        <v>9.1439273599999999E-3</v>
      </c>
      <c r="DR137" s="2060">
        <v>-0.86174096360000019</v>
      </c>
      <c r="DS137" s="2029">
        <v>4</v>
      </c>
      <c r="DT137" s="2029">
        <v>4</v>
      </c>
      <c r="DU137" s="2029">
        <v>3</v>
      </c>
      <c r="DV137" s="2029">
        <v>3</v>
      </c>
      <c r="DW137" s="1974"/>
      <c r="DX137" s="2029">
        <v>0</v>
      </c>
      <c r="DY137" s="2029">
        <v>0</v>
      </c>
      <c r="DZ137" s="2029">
        <v>0</v>
      </c>
      <c r="EA137" s="2029">
        <v>4.1099999999999994</v>
      </c>
      <c r="EB137" s="2029">
        <v>4.1099999999999994</v>
      </c>
      <c r="EC137" s="2029">
        <v>4.1099999999999994</v>
      </c>
      <c r="ED137" s="2029">
        <v>4.1099999999999994</v>
      </c>
      <c r="EE137" s="2039">
        <f t="shared" si="83"/>
        <v>0</v>
      </c>
      <c r="EF137" s="2039">
        <f t="shared" si="83"/>
        <v>0</v>
      </c>
      <c r="EG137" s="2039">
        <f t="shared" si="83"/>
        <v>0</v>
      </c>
      <c r="EH137" s="2039">
        <f t="shared" si="74"/>
        <v>0</v>
      </c>
      <c r="EI137" s="2040">
        <f t="shared" si="70"/>
        <v>0</v>
      </c>
      <c r="EJ137" s="2040">
        <f t="shared" si="70"/>
        <v>0</v>
      </c>
      <c r="EK137" s="2040">
        <f t="shared" si="70"/>
        <v>0</v>
      </c>
      <c r="EL137" s="2040">
        <f t="shared" si="69"/>
        <v>0</v>
      </c>
      <c r="EM137" s="2040">
        <f t="shared" si="69"/>
        <v>0</v>
      </c>
      <c r="EN137" s="2040">
        <f t="shared" si="69"/>
        <v>0</v>
      </c>
      <c r="EO137" s="2040">
        <f t="shared" si="69"/>
        <v>0</v>
      </c>
      <c r="EP137" s="2040">
        <f t="shared" si="69"/>
        <v>0</v>
      </c>
      <c r="EQ137" s="2040">
        <f t="shared" si="69"/>
        <v>0</v>
      </c>
      <c r="ER137" s="2040">
        <f t="shared" si="72"/>
        <v>0</v>
      </c>
      <c r="ES137" s="2040">
        <f t="shared" si="72"/>
        <v>0</v>
      </c>
      <c r="ET137" s="2040">
        <f t="shared" si="72"/>
        <v>0</v>
      </c>
      <c r="EU137" s="2039">
        <f t="shared" si="84"/>
        <v>0</v>
      </c>
      <c r="EV137" s="2039">
        <f t="shared" si="85"/>
        <v>0</v>
      </c>
    </row>
    <row r="138" spans="1:152" x14ac:dyDescent="0.25">
      <c r="A138" s="2041" t="s">
        <v>173</v>
      </c>
      <c r="B138" s="2022"/>
      <c r="C138" s="2023">
        <v>10.197838058331634</v>
      </c>
      <c r="D138" s="2024">
        <v>511.38289999999995</v>
      </c>
      <c r="E138" s="2024">
        <v>0</v>
      </c>
      <c r="F138" s="2023">
        <v>0</v>
      </c>
      <c r="G138" s="2026" t="s">
        <v>2870</v>
      </c>
      <c r="H138" s="2026" t="s">
        <v>2870</v>
      </c>
      <c r="I138" s="2026">
        <v>0.77300000000000002</v>
      </c>
      <c r="J138" s="2026">
        <v>0.77300000000000002</v>
      </c>
      <c r="K138" s="2026">
        <v>0.77300000000000002</v>
      </c>
      <c r="L138" s="2026">
        <v>0.77300000000000002</v>
      </c>
      <c r="M138" s="2027">
        <f t="shared" si="86"/>
        <v>395.29898169999996</v>
      </c>
      <c r="N138" s="2027">
        <f t="shared" si="86"/>
        <v>395.29898169999996</v>
      </c>
      <c r="O138" s="2027">
        <f t="shared" si="86"/>
        <v>395.29898169999996</v>
      </c>
      <c r="P138" s="2027">
        <f t="shared" si="75"/>
        <v>395.29898169999996</v>
      </c>
      <c r="Q138" s="2026">
        <v>0.77300000000000002</v>
      </c>
      <c r="R138" s="2026">
        <v>0.77300000000000002</v>
      </c>
      <c r="S138" s="2026">
        <v>0.77300000000000002</v>
      </c>
      <c r="T138" s="2026">
        <v>0.77300000000000002</v>
      </c>
      <c r="U138" s="2028">
        <f t="shared" si="87"/>
        <v>0</v>
      </c>
      <c r="V138" s="2028">
        <f t="shared" si="87"/>
        <v>0</v>
      </c>
      <c r="W138" s="2028">
        <f t="shared" si="87"/>
        <v>0</v>
      </c>
      <c r="X138" s="2028">
        <f t="shared" si="76"/>
        <v>0</v>
      </c>
      <c r="Y138" s="2026">
        <v>0.77300000000000002</v>
      </c>
      <c r="Z138" s="2026">
        <v>0.77300000000000002</v>
      </c>
      <c r="AA138" s="2026">
        <v>0.77300000000000002</v>
      </c>
      <c r="AB138" s="2026">
        <v>0.77300000000000002</v>
      </c>
      <c r="AC138" s="2027">
        <f t="shared" si="68"/>
        <v>0</v>
      </c>
      <c r="AD138" s="2027">
        <f t="shared" si="68"/>
        <v>0</v>
      </c>
      <c r="AE138" s="2027">
        <f t="shared" si="68"/>
        <v>0</v>
      </c>
      <c r="AF138" s="2027">
        <f t="shared" si="68"/>
        <v>0</v>
      </c>
      <c r="AG138" s="2027">
        <v>123</v>
      </c>
      <c r="AH138" s="2027">
        <v>231</v>
      </c>
      <c r="AI138" s="2027">
        <v>240</v>
      </c>
      <c r="AJ138" s="2027">
        <v>195</v>
      </c>
      <c r="AK138" s="2027">
        <f t="shared" si="63"/>
        <v>48621.774749099997</v>
      </c>
      <c r="AL138" s="2027">
        <f t="shared" si="88"/>
        <v>91314.064772699989</v>
      </c>
      <c r="AM138" s="2027">
        <f t="shared" si="88"/>
        <v>94871.755607999992</v>
      </c>
      <c r="AN138" s="2027">
        <f t="shared" si="88"/>
        <v>77083.301431499989</v>
      </c>
      <c r="AO138" s="2027">
        <f t="shared" si="64"/>
        <v>0</v>
      </c>
      <c r="AP138" s="2027">
        <f t="shared" si="89"/>
        <v>0</v>
      </c>
      <c r="AQ138" s="2027">
        <f t="shared" si="89"/>
        <v>0</v>
      </c>
      <c r="AR138" s="2027">
        <f t="shared" si="59"/>
        <v>0</v>
      </c>
      <c r="AS138" s="2029">
        <v>40</v>
      </c>
      <c r="AT138" s="2029">
        <f t="shared" si="77"/>
        <v>40</v>
      </c>
      <c r="AU138" s="2029">
        <f t="shared" si="77"/>
        <v>40</v>
      </c>
      <c r="AV138" s="2029">
        <f t="shared" si="77"/>
        <v>40</v>
      </c>
      <c r="AW138" s="1974"/>
      <c r="AX138" s="2029">
        <f t="shared" si="78"/>
        <v>0</v>
      </c>
      <c r="AY138" s="2029">
        <f t="shared" si="78"/>
        <v>0</v>
      </c>
      <c r="AZ138" s="2029">
        <f t="shared" si="78"/>
        <v>0</v>
      </c>
      <c r="BA138" s="2029">
        <v>143.75</v>
      </c>
      <c r="BB138" s="2029">
        <f t="shared" si="79"/>
        <v>143.75</v>
      </c>
      <c r="BC138" s="2029">
        <f t="shared" si="79"/>
        <v>143.75</v>
      </c>
      <c r="BD138" s="2029">
        <f t="shared" si="79"/>
        <v>143.75</v>
      </c>
      <c r="BE138" s="2030">
        <f t="shared" si="80"/>
        <v>4920</v>
      </c>
      <c r="BF138" s="2030">
        <f t="shared" si="80"/>
        <v>9240</v>
      </c>
      <c r="BG138" s="2030">
        <f t="shared" si="80"/>
        <v>9600</v>
      </c>
      <c r="BH138" s="2030">
        <f t="shared" si="73"/>
        <v>7800</v>
      </c>
      <c r="BI138" s="2030">
        <f t="shared" si="81"/>
        <v>0</v>
      </c>
      <c r="BJ138" s="2030">
        <f t="shared" si="81"/>
        <v>0</v>
      </c>
      <c r="BK138" s="2030">
        <f t="shared" si="81"/>
        <v>0</v>
      </c>
      <c r="BL138" s="2030">
        <f t="shared" si="81"/>
        <v>0</v>
      </c>
      <c r="BM138" s="2031"/>
      <c r="BN138" s="2031"/>
      <c r="BO138" s="2031"/>
      <c r="BP138" s="2031"/>
      <c r="BQ138" s="2031"/>
      <c r="BR138" s="2031"/>
      <c r="BS138" s="2031"/>
      <c r="BT138" s="2031"/>
      <c r="BU138" s="2029"/>
      <c r="BV138" s="2029"/>
      <c r="BW138" s="2029"/>
      <c r="BX138" s="2029"/>
      <c r="BY138" s="2029"/>
      <c r="BZ138" s="2032"/>
      <c r="CA138" s="1974"/>
      <c r="CB138" s="1974"/>
      <c r="CC138" s="1974"/>
      <c r="CD138" s="1974"/>
      <c r="CE138" s="1974">
        <v>0</v>
      </c>
      <c r="CF138" s="2033">
        <v>2.0325539416912402E-4</v>
      </c>
      <c r="CG138" s="2026">
        <v>0</v>
      </c>
      <c r="CH138" s="2009">
        <v>1</v>
      </c>
      <c r="CI138" s="2029">
        <v>24.764039713333329</v>
      </c>
      <c r="CK138" s="2029">
        <f t="shared" si="82"/>
        <v>-24.764039713333329</v>
      </c>
      <c r="CL138" s="2034">
        <v>1</v>
      </c>
      <c r="CM138" s="2034">
        <v>1</v>
      </c>
      <c r="CN138" s="2034">
        <v>1</v>
      </c>
      <c r="CO138" s="2034">
        <v>1</v>
      </c>
      <c r="CP138" s="2035"/>
      <c r="CQ138" s="2036"/>
      <c r="CR138" s="2036"/>
      <c r="CS138" s="2036"/>
      <c r="CT138" s="2036"/>
      <c r="CU138" s="2036"/>
      <c r="CW138" s="1973">
        <v>1</v>
      </c>
      <c r="CX138" s="2037">
        <v>40</v>
      </c>
      <c r="CY138" s="2037">
        <v>40</v>
      </c>
      <c r="CZ138" s="2037">
        <v>40</v>
      </c>
      <c r="DA138" s="2037">
        <v>40</v>
      </c>
      <c r="DJ138" s="1976">
        <v>40</v>
      </c>
      <c r="DK138" s="1973">
        <v>40</v>
      </c>
      <c r="DL138" s="1973">
        <v>40</v>
      </c>
      <c r="DM138" s="1973">
        <v>40</v>
      </c>
      <c r="DO138" s="2023">
        <v>10.197838058331634</v>
      </c>
      <c r="DP138" s="2024">
        <v>511.38289999999995</v>
      </c>
      <c r="DQ138" s="2024">
        <v>0</v>
      </c>
      <c r="DR138" s="2023">
        <v>0</v>
      </c>
      <c r="DS138" s="2029">
        <v>40</v>
      </c>
      <c r="DT138" s="2029">
        <v>40</v>
      </c>
      <c r="DU138" s="2029">
        <v>40</v>
      </c>
      <c r="DV138" s="2029">
        <v>40</v>
      </c>
      <c r="DW138" s="1974"/>
      <c r="DX138" s="2029">
        <v>0</v>
      </c>
      <c r="DY138" s="2029">
        <v>0</v>
      </c>
      <c r="DZ138" s="2029">
        <v>0</v>
      </c>
      <c r="EA138" s="2029">
        <v>143.75</v>
      </c>
      <c r="EB138" s="2029">
        <v>143.75</v>
      </c>
      <c r="EC138" s="2029">
        <v>143.75</v>
      </c>
      <c r="ED138" s="2029">
        <v>143.75</v>
      </c>
      <c r="EE138" s="2039">
        <f t="shared" si="83"/>
        <v>0</v>
      </c>
      <c r="EF138" s="2039">
        <f t="shared" si="83"/>
        <v>0</v>
      </c>
      <c r="EG138" s="2039">
        <f t="shared" si="83"/>
        <v>0</v>
      </c>
      <c r="EH138" s="2039">
        <f t="shared" si="74"/>
        <v>0</v>
      </c>
      <c r="EI138" s="2040">
        <f t="shared" si="70"/>
        <v>0</v>
      </c>
      <c r="EJ138" s="2040">
        <f t="shared" si="70"/>
        <v>0</v>
      </c>
      <c r="EK138" s="2040">
        <f t="shared" si="70"/>
        <v>0</v>
      </c>
      <c r="EL138" s="2040">
        <f t="shared" si="69"/>
        <v>0</v>
      </c>
      <c r="EM138" s="2040">
        <f t="shared" si="69"/>
        <v>0</v>
      </c>
      <c r="EN138" s="2040">
        <f t="shared" si="69"/>
        <v>0</v>
      </c>
      <c r="EO138" s="2040">
        <f t="shared" si="69"/>
        <v>0</v>
      </c>
      <c r="EP138" s="2040">
        <f t="shared" si="69"/>
        <v>0</v>
      </c>
      <c r="EQ138" s="2040">
        <f t="shared" si="69"/>
        <v>0</v>
      </c>
      <c r="ER138" s="2040">
        <f t="shared" si="72"/>
        <v>0</v>
      </c>
      <c r="ES138" s="2040">
        <f t="shared" si="72"/>
        <v>0</v>
      </c>
      <c r="ET138" s="2040">
        <f t="shared" si="72"/>
        <v>0</v>
      </c>
      <c r="EU138" s="2039">
        <f t="shared" si="84"/>
        <v>0</v>
      </c>
      <c r="EV138" s="2039">
        <f t="shared" si="85"/>
        <v>0</v>
      </c>
    </row>
    <row r="139" spans="1:152" x14ac:dyDescent="0.25">
      <c r="A139" s="2041" t="s">
        <v>244</v>
      </c>
      <c r="B139" s="2022"/>
      <c r="C139" s="2023">
        <v>12.8</v>
      </c>
      <c r="D139" s="2024">
        <v>1445.31</v>
      </c>
      <c r="E139" s="2024">
        <v>4.7999999999999996E-3</v>
      </c>
      <c r="F139" s="2023">
        <v>0</v>
      </c>
      <c r="G139" s="2026" t="s">
        <v>4</v>
      </c>
      <c r="H139" s="2026" t="s">
        <v>4</v>
      </c>
      <c r="I139" s="2026">
        <v>0.77800000000000002</v>
      </c>
      <c r="J139" s="2026">
        <v>0.77800000000000002</v>
      </c>
      <c r="K139" s="2026">
        <v>0.77800000000000002</v>
      </c>
      <c r="L139" s="2026">
        <v>0.77800000000000002</v>
      </c>
      <c r="M139" s="2027">
        <f t="shared" si="86"/>
        <v>1124.45118</v>
      </c>
      <c r="N139" s="2027">
        <f t="shared" si="86"/>
        <v>1124.45118</v>
      </c>
      <c r="O139" s="2027">
        <f t="shared" si="86"/>
        <v>1124.45118</v>
      </c>
      <c r="P139" s="2027">
        <f t="shared" si="75"/>
        <v>1124.45118</v>
      </c>
      <c r="Q139" s="2026">
        <v>0.77800000000000002</v>
      </c>
      <c r="R139" s="2026">
        <v>0.77800000000000002</v>
      </c>
      <c r="S139" s="2026">
        <v>0.77800000000000002</v>
      </c>
      <c r="T139" s="2026">
        <v>0.77800000000000002</v>
      </c>
      <c r="U139" s="2028">
        <f t="shared" si="87"/>
        <v>3.7343999999999997E-3</v>
      </c>
      <c r="V139" s="2028">
        <f t="shared" si="87"/>
        <v>3.7343999999999997E-3</v>
      </c>
      <c r="W139" s="2028">
        <f t="shared" si="87"/>
        <v>3.7343999999999997E-3</v>
      </c>
      <c r="X139" s="2028">
        <f t="shared" si="76"/>
        <v>3.7343999999999997E-3</v>
      </c>
      <c r="Y139" s="2026">
        <v>0.77800000000000002</v>
      </c>
      <c r="Z139" s="2026">
        <v>0.77800000000000002</v>
      </c>
      <c r="AA139" s="2026">
        <v>0.77800000000000002</v>
      </c>
      <c r="AB139" s="2026">
        <v>0.77800000000000002</v>
      </c>
      <c r="AC139" s="2027">
        <f t="shared" si="68"/>
        <v>0</v>
      </c>
      <c r="AD139" s="2027">
        <f t="shared" si="68"/>
        <v>0</v>
      </c>
      <c r="AE139" s="2027">
        <f t="shared" si="68"/>
        <v>0</v>
      </c>
      <c r="AF139" s="2027">
        <f t="shared" si="68"/>
        <v>0</v>
      </c>
      <c r="AG139" s="2027">
        <v>0</v>
      </c>
      <c r="AH139" s="2027">
        <v>0</v>
      </c>
      <c r="AI139" s="2027">
        <v>0</v>
      </c>
      <c r="AJ139" s="2027">
        <v>0</v>
      </c>
      <c r="AK139" s="2027">
        <f t="shared" si="63"/>
        <v>0</v>
      </c>
      <c r="AL139" s="2027">
        <f t="shared" si="88"/>
        <v>0</v>
      </c>
      <c r="AM139" s="2027">
        <f t="shared" si="88"/>
        <v>0</v>
      </c>
      <c r="AN139" s="2027">
        <f t="shared" si="88"/>
        <v>0</v>
      </c>
      <c r="AO139" s="2027">
        <f t="shared" si="64"/>
        <v>0</v>
      </c>
      <c r="AP139" s="2027">
        <f t="shared" si="89"/>
        <v>0</v>
      </c>
      <c r="AQ139" s="2027">
        <f t="shared" si="89"/>
        <v>0</v>
      </c>
      <c r="AR139" s="2027">
        <f t="shared" si="59"/>
        <v>0</v>
      </c>
      <c r="AS139" s="2029">
        <v>104.24</v>
      </c>
      <c r="AT139" s="2029">
        <f t="shared" si="77"/>
        <v>104.24</v>
      </c>
      <c r="AU139" s="2029">
        <f t="shared" si="77"/>
        <v>104.24</v>
      </c>
      <c r="AV139" s="2029">
        <f t="shared" si="77"/>
        <v>104.24</v>
      </c>
      <c r="AW139" s="1974"/>
      <c r="AX139" s="2029">
        <f t="shared" si="78"/>
        <v>0</v>
      </c>
      <c r="AY139" s="2029">
        <f t="shared" si="78"/>
        <v>0</v>
      </c>
      <c r="AZ139" s="2029">
        <f t="shared" si="78"/>
        <v>0</v>
      </c>
      <c r="BA139" s="2029">
        <v>408.28</v>
      </c>
      <c r="BB139" s="2029">
        <f t="shared" si="79"/>
        <v>408.28</v>
      </c>
      <c r="BC139" s="2029">
        <f t="shared" si="79"/>
        <v>408.28</v>
      </c>
      <c r="BD139" s="2029">
        <f t="shared" si="79"/>
        <v>408.28</v>
      </c>
      <c r="BE139" s="2030">
        <f t="shared" si="80"/>
        <v>0</v>
      </c>
      <c r="BF139" s="2030">
        <f t="shared" si="80"/>
        <v>0</v>
      </c>
      <c r="BG139" s="2030">
        <f t="shared" si="80"/>
        <v>0</v>
      </c>
      <c r="BH139" s="2030">
        <f t="shared" si="73"/>
        <v>0</v>
      </c>
      <c r="BI139" s="2030">
        <f t="shared" si="81"/>
        <v>0</v>
      </c>
      <c r="BJ139" s="2030">
        <f t="shared" si="81"/>
        <v>0</v>
      </c>
      <c r="BK139" s="2030">
        <f t="shared" si="81"/>
        <v>0</v>
      </c>
      <c r="BL139" s="2030">
        <f t="shared" si="81"/>
        <v>0</v>
      </c>
      <c r="BM139" s="2031"/>
      <c r="BN139" s="2031"/>
      <c r="BO139" s="2031"/>
      <c r="BP139" s="2031"/>
      <c r="BQ139" s="2031"/>
      <c r="BR139" s="2031"/>
      <c r="BS139" s="2031"/>
      <c r="BT139" s="2031"/>
      <c r="BU139" s="2029"/>
      <c r="BV139" s="2029"/>
      <c r="BW139" s="2029"/>
      <c r="BX139" s="2029"/>
      <c r="BY139" s="2029"/>
      <c r="BZ139" s="2032"/>
      <c r="CA139" s="1974"/>
      <c r="CB139" s="1974"/>
      <c r="CC139" s="1974"/>
      <c r="CD139" s="1974"/>
      <c r="CE139" s="1974">
        <v>0</v>
      </c>
      <c r="CF139" s="2033">
        <v>0</v>
      </c>
      <c r="CG139" s="2026">
        <v>0</v>
      </c>
      <c r="CH139" s="2009">
        <v>1</v>
      </c>
      <c r="CI139" s="2029">
        <v>19.729661458333329</v>
      </c>
      <c r="CK139" s="2029">
        <f t="shared" si="82"/>
        <v>-19.729661458333329</v>
      </c>
      <c r="CL139" s="2034">
        <v>1</v>
      </c>
      <c r="CM139" s="2034">
        <v>1</v>
      </c>
      <c r="CN139" s="2034">
        <v>1</v>
      </c>
      <c r="CO139" s="2034">
        <v>1</v>
      </c>
      <c r="CP139" s="2035"/>
      <c r="CQ139" s="2036"/>
      <c r="CR139" s="2036"/>
      <c r="CS139" s="2049"/>
      <c r="CT139" s="2049"/>
      <c r="CU139" s="2049"/>
      <c r="CW139" s="1973">
        <v>0</v>
      </c>
      <c r="CX139" s="2037">
        <v>104.24</v>
      </c>
      <c r="CY139" s="2037">
        <v>104.24</v>
      </c>
      <c r="CZ139" s="2037">
        <v>104.24</v>
      </c>
      <c r="DA139" s="2037">
        <v>104.24</v>
      </c>
      <c r="DJ139" s="1976">
        <v>104.24</v>
      </c>
      <c r="DK139" s="1973">
        <v>104.24</v>
      </c>
      <c r="DL139" s="1973">
        <v>104.24</v>
      </c>
      <c r="DM139" s="1973">
        <v>104.24</v>
      </c>
      <c r="DO139" s="2023">
        <v>12.8</v>
      </c>
      <c r="DP139" s="2024">
        <v>1445.31</v>
      </c>
      <c r="DQ139" s="2024">
        <v>4.7999999999999996E-3</v>
      </c>
      <c r="DR139" s="2023">
        <v>0</v>
      </c>
      <c r="DS139" s="2029">
        <v>104.24</v>
      </c>
      <c r="DT139" s="2029">
        <v>104.24</v>
      </c>
      <c r="DU139" s="2029">
        <v>104.24</v>
      </c>
      <c r="DV139" s="2029">
        <v>104.24</v>
      </c>
      <c r="DW139" s="1974"/>
      <c r="DX139" s="2029">
        <v>0</v>
      </c>
      <c r="DY139" s="2029">
        <v>0</v>
      </c>
      <c r="DZ139" s="2029">
        <v>0</v>
      </c>
      <c r="EA139" s="2029">
        <v>408.28</v>
      </c>
      <c r="EB139" s="2029">
        <v>408.28</v>
      </c>
      <c r="EC139" s="2029">
        <v>408.28</v>
      </c>
      <c r="ED139" s="2029">
        <v>408.28</v>
      </c>
      <c r="EE139" s="2039">
        <f t="shared" si="83"/>
        <v>0</v>
      </c>
      <c r="EF139" s="2039">
        <f t="shared" si="83"/>
        <v>0</v>
      </c>
      <c r="EG139" s="2039">
        <f t="shared" si="83"/>
        <v>0</v>
      </c>
      <c r="EH139" s="2039">
        <f t="shared" si="74"/>
        <v>0</v>
      </c>
      <c r="EI139" s="2040">
        <f t="shared" si="70"/>
        <v>0</v>
      </c>
      <c r="EJ139" s="2040">
        <f t="shared" si="70"/>
        <v>0</v>
      </c>
      <c r="EK139" s="2040">
        <f t="shared" si="70"/>
        <v>0</v>
      </c>
      <c r="EL139" s="2040">
        <f t="shared" si="69"/>
        <v>0</v>
      </c>
      <c r="EM139" s="2040">
        <f t="shared" si="69"/>
        <v>0</v>
      </c>
      <c r="EN139" s="2040">
        <f t="shared" si="69"/>
        <v>0</v>
      </c>
      <c r="EO139" s="2040">
        <f t="shared" si="69"/>
        <v>0</v>
      </c>
      <c r="EP139" s="2040">
        <f t="shared" si="69"/>
        <v>0</v>
      </c>
      <c r="EQ139" s="2040">
        <f t="shared" si="69"/>
        <v>0</v>
      </c>
      <c r="ER139" s="2040">
        <f t="shared" si="72"/>
        <v>0</v>
      </c>
      <c r="ES139" s="2040">
        <f t="shared" si="72"/>
        <v>0</v>
      </c>
      <c r="ET139" s="2040">
        <f t="shared" si="72"/>
        <v>0</v>
      </c>
      <c r="EU139" s="2039">
        <f t="shared" si="84"/>
        <v>0</v>
      </c>
      <c r="EV139" s="2039">
        <f t="shared" si="85"/>
        <v>0</v>
      </c>
    </row>
    <row r="140" spans="1:152" x14ac:dyDescent="0.25">
      <c r="A140" s="2041" t="s">
        <v>245</v>
      </c>
      <c r="B140" s="2022"/>
      <c r="C140" s="2023">
        <v>12.8</v>
      </c>
      <c r="D140" s="2024">
        <v>2107.0500000000002</v>
      </c>
      <c r="E140" s="2024">
        <v>4.4999999999999997E-3</v>
      </c>
      <c r="F140" s="2023">
        <v>0</v>
      </c>
      <c r="G140" s="2026" t="s">
        <v>4</v>
      </c>
      <c r="H140" s="2026" t="s">
        <v>4</v>
      </c>
      <c r="I140" s="2026">
        <v>0.77800000000000002</v>
      </c>
      <c r="J140" s="2026">
        <v>0.77800000000000002</v>
      </c>
      <c r="K140" s="2026">
        <v>0.77800000000000002</v>
      </c>
      <c r="L140" s="2026">
        <v>0.77800000000000002</v>
      </c>
      <c r="M140" s="2027">
        <f t="shared" si="86"/>
        <v>1639.2849000000001</v>
      </c>
      <c r="N140" s="2027">
        <f t="shared" si="86"/>
        <v>1639.2849000000001</v>
      </c>
      <c r="O140" s="2027">
        <f t="shared" si="86"/>
        <v>1639.2849000000001</v>
      </c>
      <c r="P140" s="2027">
        <f t="shared" si="75"/>
        <v>1639.2849000000001</v>
      </c>
      <c r="Q140" s="2026">
        <v>0.77800000000000002</v>
      </c>
      <c r="R140" s="2026">
        <v>0.77800000000000002</v>
      </c>
      <c r="S140" s="2026">
        <v>0.77800000000000002</v>
      </c>
      <c r="T140" s="2026">
        <v>0.77800000000000002</v>
      </c>
      <c r="U140" s="2028">
        <f t="shared" si="87"/>
        <v>3.5009999999999998E-3</v>
      </c>
      <c r="V140" s="2028">
        <f t="shared" si="87"/>
        <v>3.5009999999999998E-3</v>
      </c>
      <c r="W140" s="2028">
        <f t="shared" si="87"/>
        <v>3.5009999999999998E-3</v>
      </c>
      <c r="X140" s="2028">
        <f t="shared" si="76"/>
        <v>3.5009999999999998E-3</v>
      </c>
      <c r="Y140" s="2026">
        <v>0.77800000000000002</v>
      </c>
      <c r="Z140" s="2026">
        <v>0.77800000000000002</v>
      </c>
      <c r="AA140" s="2026">
        <v>0.77800000000000002</v>
      </c>
      <c r="AB140" s="2026">
        <v>0.77800000000000002</v>
      </c>
      <c r="AC140" s="2027">
        <f t="shared" si="68"/>
        <v>0</v>
      </c>
      <c r="AD140" s="2027">
        <f t="shared" si="68"/>
        <v>0</v>
      </c>
      <c r="AE140" s="2027">
        <f t="shared" si="68"/>
        <v>0</v>
      </c>
      <c r="AF140" s="2027">
        <f t="shared" si="68"/>
        <v>0</v>
      </c>
      <c r="AG140" s="2027">
        <v>0</v>
      </c>
      <c r="AH140" s="2027">
        <v>0</v>
      </c>
      <c r="AI140" s="2027">
        <v>0</v>
      </c>
      <c r="AJ140" s="2027">
        <v>0</v>
      </c>
      <c r="AK140" s="2027">
        <f t="shared" si="63"/>
        <v>0</v>
      </c>
      <c r="AL140" s="2027">
        <f t="shared" si="88"/>
        <v>0</v>
      </c>
      <c r="AM140" s="2027">
        <f t="shared" si="88"/>
        <v>0</v>
      </c>
      <c r="AN140" s="2027">
        <f t="shared" si="88"/>
        <v>0</v>
      </c>
      <c r="AO140" s="2027">
        <f t="shared" si="64"/>
        <v>0</v>
      </c>
      <c r="AP140" s="2027">
        <f t="shared" si="89"/>
        <v>0</v>
      </c>
      <c r="AQ140" s="2027">
        <f t="shared" si="89"/>
        <v>0</v>
      </c>
      <c r="AR140" s="2027">
        <f t="shared" si="59"/>
        <v>0</v>
      </c>
      <c r="AS140" s="2029">
        <v>151.24</v>
      </c>
      <c r="AT140" s="2029">
        <f t="shared" si="77"/>
        <v>151.24</v>
      </c>
      <c r="AU140" s="2029">
        <f t="shared" si="77"/>
        <v>151.24</v>
      </c>
      <c r="AV140" s="2029">
        <f t="shared" si="77"/>
        <v>151.24</v>
      </c>
      <c r="AW140" s="1974"/>
      <c r="AX140" s="2029">
        <f t="shared" si="78"/>
        <v>0</v>
      </c>
      <c r="AY140" s="2029">
        <f t="shared" si="78"/>
        <v>0</v>
      </c>
      <c r="AZ140" s="2029">
        <f t="shared" si="78"/>
        <v>0</v>
      </c>
      <c r="BA140" s="2029">
        <v>629.05999999999995</v>
      </c>
      <c r="BB140" s="2029">
        <f t="shared" si="79"/>
        <v>629.05999999999995</v>
      </c>
      <c r="BC140" s="2029">
        <f t="shared" si="79"/>
        <v>629.05999999999995</v>
      </c>
      <c r="BD140" s="2029">
        <f t="shared" si="79"/>
        <v>629.05999999999995</v>
      </c>
      <c r="BE140" s="2030">
        <f t="shared" si="80"/>
        <v>0</v>
      </c>
      <c r="BF140" s="2030">
        <f t="shared" si="80"/>
        <v>0</v>
      </c>
      <c r="BG140" s="2030">
        <f t="shared" si="80"/>
        <v>0</v>
      </c>
      <c r="BH140" s="2030">
        <f t="shared" si="73"/>
        <v>0</v>
      </c>
      <c r="BI140" s="2030">
        <f t="shared" si="81"/>
        <v>0</v>
      </c>
      <c r="BJ140" s="2030">
        <f t="shared" si="81"/>
        <v>0</v>
      </c>
      <c r="BK140" s="2030">
        <f t="shared" si="81"/>
        <v>0</v>
      </c>
      <c r="BL140" s="2030">
        <f t="shared" si="81"/>
        <v>0</v>
      </c>
      <c r="BM140" s="2031"/>
      <c r="BN140" s="2031"/>
      <c r="BO140" s="2031"/>
      <c r="BP140" s="2031"/>
      <c r="BQ140" s="2031"/>
      <c r="BR140" s="2031"/>
      <c r="BS140" s="2031"/>
      <c r="BT140" s="2031"/>
      <c r="BU140" s="2029"/>
      <c r="BV140" s="2029"/>
      <c r="BW140" s="2029"/>
      <c r="BX140" s="2029"/>
      <c r="BY140" s="2029"/>
      <c r="BZ140" s="2032"/>
      <c r="CA140" s="1974"/>
      <c r="CB140" s="1974"/>
      <c r="CC140" s="1974"/>
      <c r="CD140" s="1974"/>
      <c r="CE140" s="1974">
        <v>0</v>
      </c>
      <c r="CF140" s="2033">
        <v>0</v>
      </c>
      <c r="CG140" s="2026">
        <v>0</v>
      </c>
      <c r="CH140" s="2009">
        <v>1</v>
      </c>
      <c r="CI140" s="2029">
        <v>19.729661458333329</v>
      </c>
      <c r="CK140" s="2029">
        <f t="shared" si="82"/>
        <v>-19.729661458333329</v>
      </c>
      <c r="CL140" s="2034">
        <v>1</v>
      </c>
      <c r="CM140" s="2034">
        <v>1</v>
      </c>
      <c r="CN140" s="2034">
        <v>1</v>
      </c>
      <c r="CO140" s="2034">
        <v>1</v>
      </c>
      <c r="CP140" s="2035"/>
      <c r="CQ140" s="2036"/>
      <c r="CR140" s="2036"/>
      <c r="CS140" s="2049"/>
      <c r="CT140" s="2049"/>
      <c r="CU140" s="2049"/>
      <c r="CW140" s="1973">
        <v>0</v>
      </c>
      <c r="CX140" s="2037">
        <v>151.24</v>
      </c>
      <c r="CY140" s="2037">
        <v>151.24</v>
      </c>
      <c r="CZ140" s="2037">
        <v>151.24</v>
      </c>
      <c r="DA140" s="2037">
        <v>151.24</v>
      </c>
      <c r="DJ140" s="1976">
        <v>151.24</v>
      </c>
      <c r="DK140" s="1973">
        <v>151.24</v>
      </c>
      <c r="DL140" s="1973">
        <v>151.24</v>
      </c>
      <c r="DM140" s="1973">
        <v>151.24</v>
      </c>
      <c r="DO140" s="2023">
        <v>12.8</v>
      </c>
      <c r="DP140" s="2024">
        <v>2107.0500000000002</v>
      </c>
      <c r="DQ140" s="2024">
        <v>4.4999999999999997E-3</v>
      </c>
      <c r="DR140" s="2023">
        <v>0</v>
      </c>
      <c r="DS140" s="2029">
        <v>151.24</v>
      </c>
      <c r="DT140" s="2029">
        <v>151.24</v>
      </c>
      <c r="DU140" s="2029">
        <v>151.24</v>
      </c>
      <c r="DV140" s="2029">
        <v>151.24</v>
      </c>
      <c r="DW140" s="1974"/>
      <c r="DX140" s="2029">
        <v>0</v>
      </c>
      <c r="DY140" s="2029">
        <v>0</v>
      </c>
      <c r="DZ140" s="2029">
        <v>0</v>
      </c>
      <c r="EA140" s="2029">
        <v>629.05999999999995</v>
      </c>
      <c r="EB140" s="2029">
        <v>629.05999999999995</v>
      </c>
      <c r="EC140" s="2029">
        <v>629.05999999999995</v>
      </c>
      <c r="ED140" s="2029">
        <v>629.05999999999995</v>
      </c>
      <c r="EE140" s="2039">
        <f t="shared" si="83"/>
        <v>0</v>
      </c>
      <c r="EF140" s="2039">
        <f t="shared" si="83"/>
        <v>0</v>
      </c>
      <c r="EG140" s="2039">
        <f t="shared" si="83"/>
        <v>0</v>
      </c>
      <c r="EH140" s="2039">
        <f t="shared" si="74"/>
        <v>0</v>
      </c>
      <c r="EI140" s="2040">
        <f t="shared" si="70"/>
        <v>0</v>
      </c>
      <c r="EJ140" s="2040">
        <f t="shared" si="70"/>
        <v>0</v>
      </c>
      <c r="EK140" s="2040">
        <f t="shared" si="70"/>
        <v>0</v>
      </c>
      <c r="EL140" s="2040">
        <f t="shared" si="69"/>
        <v>0</v>
      </c>
      <c r="EM140" s="2040">
        <f t="shared" si="69"/>
        <v>0</v>
      </c>
      <c r="EN140" s="2040">
        <f t="shared" si="69"/>
        <v>0</v>
      </c>
      <c r="EO140" s="2040">
        <f t="shared" si="69"/>
        <v>0</v>
      </c>
      <c r="EP140" s="2040">
        <f t="shared" si="69"/>
        <v>0</v>
      </c>
      <c r="EQ140" s="2040">
        <f t="shared" si="69"/>
        <v>0</v>
      </c>
      <c r="ER140" s="2040">
        <f t="shared" si="72"/>
        <v>0</v>
      </c>
      <c r="ES140" s="2040">
        <f t="shared" si="72"/>
        <v>0</v>
      </c>
      <c r="ET140" s="2040">
        <f t="shared" si="72"/>
        <v>0</v>
      </c>
      <c r="EU140" s="2039">
        <f t="shared" si="84"/>
        <v>0</v>
      </c>
      <c r="EV140" s="2039">
        <f t="shared" si="85"/>
        <v>0</v>
      </c>
    </row>
    <row r="141" spans="1:152" x14ac:dyDescent="0.25">
      <c r="A141" s="2041" t="s">
        <v>246</v>
      </c>
      <c r="B141" s="2022"/>
      <c r="C141" s="2023">
        <v>12.8</v>
      </c>
      <c r="D141" s="2024">
        <v>3814.19</v>
      </c>
      <c r="E141" s="2024">
        <v>0</v>
      </c>
      <c r="F141" s="2023">
        <v>0</v>
      </c>
      <c r="G141" s="2026" t="s">
        <v>4</v>
      </c>
      <c r="H141" s="2026" t="s">
        <v>4</v>
      </c>
      <c r="I141" s="2026">
        <v>0.77800000000000002</v>
      </c>
      <c r="J141" s="2026">
        <v>0.77800000000000002</v>
      </c>
      <c r="K141" s="2026">
        <v>0.77800000000000002</v>
      </c>
      <c r="L141" s="2026">
        <v>0.77800000000000002</v>
      </c>
      <c r="M141" s="2027">
        <f t="shared" si="86"/>
        <v>2967.4398200000001</v>
      </c>
      <c r="N141" s="2027">
        <f t="shared" si="86"/>
        <v>2967.4398200000001</v>
      </c>
      <c r="O141" s="2027">
        <f t="shared" si="86"/>
        <v>2967.4398200000001</v>
      </c>
      <c r="P141" s="2027">
        <f t="shared" si="75"/>
        <v>2967.4398200000001</v>
      </c>
      <c r="Q141" s="2026">
        <v>0.77800000000000002</v>
      </c>
      <c r="R141" s="2026">
        <v>0.77800000000000002</v>
      </c>
      <c r="S141" s="2026">
        <v>0.77800000000000002</v>
      </c>
      <c r="T141" s="2026">
        <v>0.77800000000000002</v>
      </c>
      <c r="U141" s="2028">
        <f t="shared" si="87"/>
        <v>0</v>
      </c>
      <c r="V141" s="2028">
        <f t="shared" si="87"/>
        <v>0</v>
      </c>
      <c r="W141" s="2028">
        <f t="shared" si="87"/>
        <v>0</v>
      </c>
      <c r="X141" s="2028">
        <f t="shared" si="76"/>
        <v>0</v>
      </c>
      <c r="Y141" s="2026">
        <v>0.77800000000000002</v>
      </c>
      <c r="Z141" s="2026">
        <v>0.77800000000000002</v>
      </c>
      <c r="AA141" s="2026">
        <v>0.77800000000000002</v>
      </c>
      <c r="AB141" s="2026">
        <v>0.77800000000000002</v>
      </c>
      <c r="AC141" s="2027">
        <f t="shared" si="68"/>
        <v>0</v>
      </c>
      <c r="AD141" s="2027">
        <f t="shared" si="68"/>
        <v>0</v>
      </c>
      <c r="AE141" s="2027">
        <f t="shared" si="68"/>
        <v>0</v>
      </c>
      <c r="AF141" s="2027">
        <f t="shared" si="68"/>
        <v>0</v>
      </c>
      <c r="AG141" s="2027">
        <v>0</v>
      </c>
      <c r="AH141" s="2027">
        <v>0</v>
      </c>
      <c r="AI141" s="2027">
        <v>0</v>
      </c>
      <c r="AJ141" s="2027">
        <v>0</v>
      </c>
      <c r="AK141" s="2027">
        <f t="shared" si="63"/>
        <v>0</v>
      </c>
      <c r="AL141" s="2027">
        <f t="shared" si="88"/>
        <v>0</v>
      </c>
      <c r="AM141" s="2027">
        <f t="shared" si="88"/>
        <v>0</v>
      </c>
      <c r="AN141" s="2027">
        <f t="shared" si="88"/>
        <v>0</v>
      </c>
      <c r="AO141" s="2027">
        <f t="shared" si="64"/>
        <v>0</v>
      </c>
      <c r="AP141" s="2027">
        <f t="shared" si="89"/>
        <v>0</v>
      </c>
      <c r="AQ141" s="2027">
        <f t="shared" si="89"/>
        <v>0</v>
      </c>
      <c r="AR141" s="2027">
        <f t="shared" si="59"/>
        <v>0</v>
      </c>
      <c r="AS141" s="2029">
        <v>273.2</v>
      </c>
      <c r="AT141" s="2029">
        <f t="shared" si="77"/>
        <v>273.2</v>
      </c>
      <c r="AU141" s="2029">
        <f t="shared" si="77"/>
        <v>273.2</v>
      </c>
      <c r="AV141" s="2029">
        <f t="shared" si="77"/>
        <v>273.2</v>
      </c>
      <c r="AW141" s="1974"/>
      <c r="AX141" s="2029">
        <f t="shared" si="78"/>
        <v>0</v>
      </c>
      <c r="AY141" s="2029">
        <f t="shared" si="78"/>
        <v>0</v>
      </c>
      <c r="AZ141" s="2029">
        <f t="shared" si="78"/>
        <v>0</v>
      </c>
      <c r="BA141" s="2029">
        <v>841.24</v>
      </c>
      <c r="BB141" s="2029">
        <f t="shared" si="79"/>
        <v>841.24</v>
      </c>
      <c r="BC141" s="2029">
        <f t="shared" si="79"/>
        <v>841.24</v>
      </c>
      <c r="BD141" s="2029">
        <f t="shared" si="79"/>
        <v>841.24</v>
      </c>
      <c r="BE141" s="2030">
        <f t="shared" si="80"/>
        <v>0</v>
      </c>
      <c r="BF141" s="2030">
        <f t="shared" si="80"/>
        <v>0</v>
      </c>
      <c r="BG141" s="2030">
        <f t="shared" si="80"/>
        <v>0</v>
      </c>
      <c r="BH141" s="2030">
        <f t="shared" si="73"/>
        <v>0</v>
      </c>
      <c r="BI141" s="2030">
        <f t="shared" si="81"/>
        <v>0</v>
      </c>
      <c r="BJ141" s="2030">
        <f t="shared" si="81"/>
        <v>0</v>
      </c>
      <c r="BK141" s="2030">
        <f t="shared" si="81"/>
        <v>0</v>
      </c>
      <c r="BL141" s="2030">
        <f t="shared" si="81"/>
        <v>0</v>
      </c>
      <c r="BM141" s="2031"/>
      <c r="BN141" s="2031"/>
      <c r="BO141" s="2031"/>
      <c r="BP141" s="2031"/>
      <c r="BQ141" s="2031"/>
      <c r="BR141" s="2031"/>
      <c r="BS141" s="2031"/>
      <c r="BT141" s="2031"/>
      <c r="BU141" s="2029"/>
      <c r="BV141" s="2029"/>
      <c r="BW141" s="2029"/>
      <c r="BX141" s="2029"/>
      <c r="BY141" s="2029"/>
      <c r="BZ141" s="2032"/>
      <c r="CA141" s="1974"/>
      <c r="CB141" s="1974"/>
      <c r="CC141" s="1974"/>
      <c r="CD141" s="1974"/>
      <c r="CE141" s="1974">
        <v>0</v>
      </c>
      <c r="CF141" s="2033">
        <v>0</v>
      </c>
      <c r="CG141" s="2026">
        <v>0</v>
      </c>
      <c r="CH141" s="2009">
        <v>1</v>
      </c>
      <c r="CI141" s="2029">
        <v>19.729661458333329</v>
      </c>
      <c r="CK141" s="2029">
        <f t="shared" si="82"/>
        <v>-19.729661458333329</v>
      </c>
      <c r="CL141" s="2034">
        <v>1</v>
      </c>
      <c r="CM141" s="2034">
        <v>1</v>
      </c>
      <c r="CN141" s="2034">
        <v>1</v>
      </c>
      <c r="CO141" s="2034">
        <v>1</v>
      </c>
      <c r="CP141" s="2035"/>
      <c r="CQ141" s="2036"/>
      <c r="CR141" s="2036"/>
      <c r="CS141" s="2049"/>
      <c r="CT141" s="2049"/>
      <c r="CU141" s="2049"/>
      <c r="CW141" s="1973">
        <v>0</v>
      </c>
      <c r="CX141" s="2037">
        <v>273.2</v>
      </c>
      <c r="CY141" s="2037">
        <v>273.2</v>
      </c>
      <c r="CZ141" s="2037">
        <v>273.2</v>
      </c>
      <c r="DA141" s="2037">
        <v>273.2</v>
      </c>
      <c r="DJ141" s="1976">
        <v>273.2</v>
      </c>
      <c r="DK141" s="1973">
        <v>273.2</v>
      </c>
      <c r="DL141" s="1973">
        <v>273.2</v>
      </c>
      <c r="DM141" s="1973">
        <v>273.2</v>
      </c>
      <c r="DO141" s="2023">
        <v>12.8</v>
      </c>
      <c r="DP141" s="2024">
        <v>3814.19</v>
      </c>
      <c r="DQ141" s="2024">
        <v>0</v>
      </c>
      <c r="DR141" s="2023">
        <v>0</v>
      </c>
      <c r="DS141" s="2029">
        <v>273.2</v>
      </c>
      <c r="DT141" s="2029">
        <v>273.2</v>
      </c>
      <c r="DU141" s="2029">
        <v>273.2</v>
      </c>
      <c r="DV141" s="2029">
        <v>273.2</v>
      </c>
      <c r="DW141" s="1974"/>
      <c r="DX141" s="2029">
        <v>0</v>
      </c>
      <c r="DY141" s="2029">
        <v>0</v>
      </c>
      <c r="DZ141" s="2029">
        <v>0</v>
      </c>
      <c r="EA141" s="2029">
        <v>841.24</v>
      </c>
      <c r="EB141" s="2029">
        <v>841.24</v>
      </c>
      <c r="EC141" s="2029">
        <v>841.24</v>
      </c>
      <c r="ED141" s="2029">
        <v>841.24</v>
      </c>
      <c r="EE141" s="2039">
        <f t="shared" si="83"/>
        <v>0</v>
      </c>
      <c r="EF141" s="2039">
        <f t="shared" si="83"/>
        <v>0</v>
      </c>
      <c r="EG141" s="2039">
        <f t="shared" si="83"/>
        <v>0</v>
      </c>
      <c r="EH141" s="2039">
        <f t="shared" si="74"/>
        <v>0</v>
      </c>
      <c r="EI141" s="2040">
        <f t="shared" si="70"/>
        <v>0</v>
      </c>
      <c r="EJ141" s="2040">
        <f t="shared" si="70"/>
        <v>0</v>
      </c>
      <c r="EK141" s="2040">
        <f t="shared" si="70"/>
        <v>0</v>
      </c>
      <c r="EL141" s="2040">
        <f t="shared" si="69"/>
        <v>0</v>
      </c>
      <c r="EM141" s="2040">
        <f t="shared" si="69"/>
        <v>0</v>
      </c>
      <c r="EN141" s="2040">
        <f t="shared" si="69"/>
        <v>0</v>
      </c>
      <c r="EO141" s="2040">
        <f t="shared" si="69"/>
        <v>0</v>
      </c>
      <c r="EP141" s="2040">
        <f t="shared" si="69"/>
        <v>0</v>
      </c>
      <c r="EQ141" s="2040">
        <f t="shared" si="69"/>
        <v>0</v>
      </c>
      <c r="ER141" s="2040">
        <f t="shared" si="72"/>
        <v>0</v>
      </c>
      <c r="ES141" s="2040">
        <f t="shared" si="72"/>
        <v>0</v>
      </c>
      <c r="ET141" s="2040">
        <f t="shared" si="72"/>
        <v>0</v>
      </c>
      <c r="EU141" s="2039">
        <f t="shared" si="84"/>
        <v>0</v>
      </c>
      <c r="EV141" s="2039">
        <f t="shared" si="85"/>
        <v>0</v>
      </c>
    </row>
    <row r="142" spans="1:152" x14ac:dyDescent="0.25">
      <c r="A142" s="2041" t="s">
        <v>247</v>
      </c>
      <c r="B142" s="2022"/>
      <c r="C142" s="2023">
        <v>12.8</v>
      </c>
      <c r="D142" s="2024">
        <v>1091.81</v>
      </c>
      <c r="E142" s="2024">
        <v>3.7000000000000002E-3</v>
      </c>
      <c r="F142" s="2023">
        <v>0</v>
      </c>
      <c r="G142" s="2026" t="s">
        <v>4</v>
      </c>
      <c r="H142" s="2026" t="s">
        <v>4</v>
      </c>
      <c r="I142" s="2026">
        <v>0.77800000000000002</v>
      </c>
      <c r="J142" s="2026">
        <v>0.77800000000000002</v>
      </c>
      <c r="K142" s="2026">
        <v>0.77800000000000002</v>
      </c>
      <c r="L142" s="2026">
        <v>0.77800000000000002</v>
      </c>
      <c r="M142" s="2027">
        <f t="shared" si="86"/>
        <v>849.42818</v>
      </c>
      <c r="N142" s="2027">
        <f t="shared" si="86"/>
        <v>849.42818</v>
      </c>
      <c r="O142" s="2027">
        <f t="shared" si="86"/>
        <v>849.42818</v>
      </c>
      <c r="P142" s="2027">
        <f t="shared" si="75"/>
        <v>849.42818</v>
      </c>
      <c r="Q142" s="2026">
        <v>0.77800000000000002</v>
      </c>
      <c r="R142" s="2026">
        <v>0.77800000000000002</v>
      </c>
      <c r="S142" s="2026">
        <v>0.77800000000000002</v>
      </c>
      <c r="T142" s="2026">
        <v>0.77800000000000002</v>
      </c>
      <c r="U142" s="2028">
        <f t="shared" si="87"/>
        <v>2.8786000000000003E-3</v>
      </c>
      <c r="V142" s="2028">
        <f t="shared" si="87"/>
        <v>2.8786000000000003E-3</v>
      </c>
      <c r="W142" s="2028">
        <f t="shared" si="87"/>
        <v>2.8786000000000003E-3</v>
      </c>
      <c r="X142" s="2028">
        <f t="shared" si="76"/>
        <v>2.8786000000000003E-3</v>
      </c>
      <c r="Y142" s="2026">
        <v>0.77800000000000002</v>
      </c>
      <c r="Z142" s="2026">
        <v>0.77800000000000002</v>
      </c>
      <c r="AA142" s="2026">
        <v>0.77800000000000002</v>
      </c>
      <c r="AB142" s="2026">
        <v>0.77800000000000002</v>
      </c>
      <c r="AC142" s="2027">
        <f t="shared" si="68"/>
        <v>0</v>
      </c>
      <c r="AD142" s="2027">
        <f t="shared" si="68"/>
        <v>0</v>
      </c>
      <c r="AE142" s="2027">
        <f t="shared" si="68"/>
        <v>0</v>
      </c>
      <c r="AF142" s="2027">
        <f t="shared" si="68"/>
        <v>0</v>
      </c>
      <c r="AG142" s="2027">
        <v>0</v>
      </c>
      <c r="AH142" s="2027">
        <v>0</v>
      </c>
      <c r="AI142" s="2027">
        <v>0</v>
      </c>
      <c r="AJ142" s="2027">
        <v>0</v>
      </c>
      <c r="AK142" s="2027">
        <f t="shared" si="63"/>
        <v>0</v>
      </c>
      <c r="AL142" s="2027">
        <f t="shared" si="88"/>
        <v>0</v>
      </c>
      <c r="AM142" s="2027">
        <f t="shared" si="88"/>
        <v>0</v>
      </c>
      <c r="AN142" s="2027">
        <f t="shared" si="88"/>
        <v>0</v>
      </c>
      <c r="AO142" s="2027">
        <f t="shared" si="64"/>
        <v>0</v>
      </c>
      <c r="AP142" s="2027">
        <f t="shared" si="89"/>
        <v>0</v>
      </c>
      <c r="AQ142" s="2027">
        <f t="shared" si="89"/>
        <v>0</v>
      </c>
      <c r="AR142" s="2027">
        <f t="shared" si="59"/>
        <v>0</v>
      </c>
      <c r="AS142" s="2029">
        <v>79.400000000000006</v>
      </c>
      <c r="AT142" s="2029">
        <f t="shared" si="77"/>
        <v>79.400000000000006</v>
      </c>
      <c r="AU142" s="2029">
        <f t="shared" si="77"/>
        <v>79.400000000000006</v>
      </c>
      <c r="AV142" s="2029">
        <f t="shared" si="77"/>
        <v>79.400000000000006</v>
      </c>
      <c r="AW142" s="1974"/>
      <c r="AX142" s="2029">
        <f t="shared" si="78"/>
        <v>0</v>
      </c>
      <c r="AY142" s="2029">
        <f t="shared" si="78"/>
        <v>0</v>
      </c>
      <c r="AZ142" s="2029">
        <f t="shared" si="78"/>
        <v>0</v>
      </c>
      <c r="BA142" s="2029">
        <v>365.21</v>
      </c>
      <c r="BB142" s="2029">
        <f t="shared" si="79"/>
        <v>365.21</v>
      </c>
      <c r="BC142" s="2029">
        <f t="shared" si="79"/>
        <v>365.21</v>
      </c>
      <c r="BD142" s="2029">
        <f t="shared" si="79"/>
        <v>365.21</v>
      </c>
      <c r="BE142" s="2030">
        <f t="shared" si="80"/>
        <v>0</v>
      </c>
      <c r="BF142" s="2030">
        <f t="shared" si="80"/>
        <v>0</v>
      </c>
      <c r="BG142" s="2030">
        <f t="shared" si="80"/>
        <v>0</v>
      </c>
      <c r="BH142" s="2030">
        <f t="shared" si="73"/>
        <v>0</v>
      </c>
      <c r="BI142" s="2030">
        <f t="shared" si="81"/>
        <v>0</v>
      </c>
      <c r="BJ142" s="2030">
        <f t="shared" si="81"/>
        <v>0</v>
      </c>
      <c r="BK142" s="2030">
        <f t="shared" si="81"/>
        <v>0</v>
      </c>
      <c r="BL142" s="2030">
        <f t="shared" si="81"/>
        <v>0</v>
      </c>
      <c r="BM142" s="2031"/>
      <c r="BN142" s="2031"/>
      <c r="BO142" s="2031"/>
      <c r="BP142" s="2031"/>
      <c r="BQ142" s="2031"/>
      <c r="BR142" s="2031"/>
      <c r="BS142" s="2031"/>
      <c r="BT142" s="2031"/>
      <c r="BU142" s="2029"/>
      <c r="BV142" s="2029"/>
      <c r="BW142" s="2029"/>
      <c r="BX142" s="2029"/>
      <c r="BY142" s="2029"/>
      <c r="BZ142" s="2032"/>
      <c r="CA142" s="1974"/>
      <c r="CB142" s="1974"/>
      <c r="CC142" s="1974"/>
      <c r="CD142" s="1974"/>
      <c r="CE142" s="1974">
        <v>0</v>
      </c>
      <c r="CF142" s="2033">
        <v>0</v>
      </c>
      <c r="CG142" s="2026">
        <v>0</v>
      </c>
      <c r="CH142" s="2009">
        <v>1</v>
      </c>
      <c r="CI142" s="2029">
        <v>19.729661458333329</v>
      </c>
      <c r="CK142" s="2029">
        <f t="shared" si="82"/>
        <v>-19.729661458333329</v>
      </c>
      <c r="CL142" s="2034">
        <v>1</v>
      </c>
      <c r="CM142" s="2034">
        <v>1</v>
      </c>
      <c r="CN142" s="2034">
        <v>1</v>
      </c>
      <c r="CO142" s="2034">
        <v>1</v>
      </c>
      <c r="CP142" s="2035"/>
      <c r="CQ142" s="2036"/>
      <c r="CR142" s="2036"/>
      <c r="CS142" s="2049"/>
      <c r="CT142" s="2049"/>
      <c r="CU142" s="2049"/>
      <c r="CW142" s="1973">
        <v>0</v>
      </c>
      <c r="CX142" s="2037">
        <v>79.400000000000006</v>
      </c>
      <c r="CY142" s="2037">
        <v>79.400000000000006</v>
      </c>
      <c r="CZ142" s="2037">
        <v>79.400000000000006</v>
      </c>
      <c r="DA142" s="2037">
        <v>79.400000000000006</v>
      </c>
      <c r="DJ142" s="1976">
        <v>79.400000000000006</v>
      </c>
      <c r="DK142" s="1973">
        <v>79.400000000000006</v>
      </c>
      <c r="DL142" s="1973">
        <v>79.400000000000006</v>
      </c>
      <c r="DM142" s="1973">
        <v>79.400000000000006</v>
      </c>
      <c r="DO142" s="2023">
        <v>12.8</v>
      </c>
      <c r="DP142" s="2024">
        <v>1091.81</v>
      </c>
      <c r="DQ142" s="2024">
        <v>3.7000000000000002E-3</v>
      </c>
      <c r="DR142" s="2023">
        <v>0</v>
      </c>
      <c r="DS142" s="2029">
        <v>79.400000000000006</v>
      </c>
      <c r="DT142" s="2029">
        <v>79.400000000000006</v>
      </c>
      <c r="DU142" s="2029">
        <v>79.400000000000006</v>
      </c>
      <c r="DV142" s="2029">
        <v>79.400000000000006</v>
      </c>
      <c r="DW142" s="1974"/>
      <c r="DX142" s="2029">
        <v>0</v>
      </c>
      <c r="DY142" s="2029">
        <v>0</v>
      </c>
      <c r="DZ142" s="2029">
        <v>0</v>
      </c>
      <c r="EA142" s="2029">
        <v>365.21</v>
      </c>
      <c r="EB142" s="2029">
        <v>365.21</v>
      </c>
      <c r="EC142" s="2029">
        <v>365.21</v>
      </c>
      <c r="ED142" s="2029">
        <v>365.21</v>
      </c>
      <c r="EE142" s="2039">
        <f t="shared" si="83"/>
        <v>0</v>
      </c>
      <c r="EF142" s="2039">
        <f t="shared" si="83"/>
        <v>0</v>
      </c>
      <c r="EG142" s="2039">
        <f t="shared" si="83"/>
        <v>0</v>
      </c>
      <c r="EH142" s="2039">
        <f t="shared" si="74"/>
        <v>0</v>
      </c>
      <c r="EI142" s="2040">
        <f t="shared" si="70"/>
        <v>0</v>
      </c>
      <c r="EJ142" s="2040">
        <f t="shared" si="70"/>
        <v>0</v>
      </c>
      <c r="EK142" s="2040">
        <f t="shared" si="70"/>
        <v>0</v>
      </c>
      <c r="EL142" s="2040">
        <f t="shared" si="69"/>
        <v>0</v>
      </c>
      <c r="EM142" s="2040">
        <f t="shared" si="69"/>
        <v>0</v>
      </c>
      <c r="EN142" s="2040">
        <f t="shared" si="69"/>
        <v>0</v>
      </c>
      <c r="EO142" s="2040">
        <f t="shared" si="69"/>
        <v>0</v>
      </c>
      <c r="EP142" s="2040">
        <f t="shared" si="69"/>
        <v>0</v>
      </c>
      <c r="EQ142" s="2040">
        <f t="shared" si="69"/>
        <v>0</v>
      </c>
      <c r="ER142" s="2040">
        <f t="shared" si="72"/>
        <v>0</v>
      </c>
      <c r="ES142" s="2040">
        <f t="shared" si="72"/>
        <v>0</v>
      </c>
      <c r="ET142" s="2040">
        <f t="shared" si="72"/>
        <v>0</v>
      </c>
      <c r="EU142" s="2039">
        <f t="shared" si="84"/>
        <v>0</v>
      </c>
      <c r="EV142" s="2039">
        <f t="shared" si="85"/>
        <v>0</v>
      </c>
    </row>
    <row r="143" spans="1:152" x14ac:dyDescent="0.25">
      <c r="A143" s="2041" t="s">
        <v>248</v>
      </c>
      <c r="B143" s="2022"/>
      <c r="C143" s="2023">
        <v>14.2</v>
      </c>
      <c r="D143" s="2024">
        <v>345.7151356212263</v>
      </c>
      <c r="E143" s="2024">
        <v>6.8267605170546919E-2</v>
      </c>
      <c r="F143" s="2023">
        <v>-3.951361934218987</v>
      </c>
      <c r="G143" s="2026" t="s">
        <v>4</v>
      </c>
      <c r="H143" s="2026" t="s">
        <v>4</v>
      </c>
      <c r="I143" s="2026">
        <v>0.77800000000000002</v>
      </c>
      <c r="J143" s="2026">
        <v>0.77800000000000002</v>
      </c>
      <c r="K143" s="2026">
        <v>0.77800000000000002</v>
      </c>
      <c r="L143" s="2026">
        <v>0.77800000000000002</v>
      </c>
      <c r="M143" s="2027">
        <f t="shared" si="86"/>
        <v>268.96637551331406</v>
      </c>
      <c r="N143" s="2027">
        <f t="shared" si="86"/>
        <v>268.96637551331406</v>
      </c>
      <c r="O143" s="2027">
        <f t="shared" si="86"/>
        <v>268.96637551331406</v>
      </c>
      <c r="P143" s="2027">
        <f t="shared" si="75"/>
        <v>268.96637551331406</v>
      </c>
      <c r="Q143" s="2026">
        <v>0.77800000000000002</v>
      </c>
      <c r="R143" s="2026">
        <v>0.77800000000000002</v>
      </c>
      <c r="S143" s="2026">
        <v>0.77800000000000002</v>
      </c>
      <c r="T143" s="2026">
        <v>0.77800000000000002</v>
      </c>
      <c r="U143" s="2028">
        <f t="shared" si="87"/>
        <v>5.3112196822685503E-2</v>
      </c>
      <c r="V143" s="2028">
        <f t="shared" si="87"/>
        <v>5.3112196822685503E-2</v>
      </c>
      <c r="W143" s="2028">
        <f t="shared" si="87"/>
        <v>5.3112196822685503E-2</v>
      </c>
      <c r="X143" s="2028">
        <f t="shared" si="76"/>
        <v>5.3112196822685503E-2</v>
      </c>
      <c r="Y143" s="2026">
        <v>0.77800000000000002</v>
      </c>
      <c r="Z143" s="2026">
        <v>0.77800000000000002</v>
      </c>
      <c r="AA143" s="2026">
        <v>0.77800000000000002</v>
      </c>
      <c r="AB143" s="2026">
        <v>0.77800000000000002</v>
      </c>
      <c r="AC143" s="2027">
        <f t="shared" si="68"/>
        <v>-3.0741595848223722</v>
      </c>
      <c r="AD143" s="2027">
        <f t="shared" si="68"/>
        <v>-3.0741595848223722</v>
      </c>
      <c r="AE143" s="2027">
        <f t="shared" si="68"/>
        <v>-3.0741595848223722</v>
      </c>
      <c r="AF143" s="2027">
        <f t="shared" si="68"/>
        <v>-3.0741595848223722</v>
      </c>
      <c r="AG143" s="2027">
        <v>0</v>
      </c>
      <c r="AH143" s="2027">
        <v>0</v>
      </c>
      <c r="AI143" s="2027">
        <v>0</v>
      </c>
      <c r="AJ143" s="2027">
        <v>0</v>
      </c>
      <c r="AK143" s="2027">
        <f t="shared" si="63"/>
        <v>0</v>
      </c>
      <c r="AL143" s="2027">
        <f t="shared" si="88"/>
        <v>0</v>
      </c>
      <c r="AM143" s="2027">
        <f t="shared" si="88"/>
        <v>0</v>
      </c>
      <c r="AN143" s="2027">
        <f t="shared" si="88"/>
        <v>0</v>
      </c>
      <c r="AO143" s="2027">
        <f t="shared" si="64"/>
        <v>0</v>
      </c>
      <c r="AP143" s="2027">
        <f t="shared" si="89"/>
        <v>0</v>
      </c>
      <c r="AQ143" s="2027">
        <f t="shared" si="89"/>
        <v>0</v>
      </c>
      <c r="AR143" s="2027">
        <f t="shared" si="59"/>
        <v>0</v>
      </c>
      <c r="AS143" s="2029">
        <v>32.433</v>
      </c>
      <c r="AT143" s="2029">
        <f t="shared" si="77"/>
        <v>32.433</v>
      </c>
      <c r="AU143" s="2029">
        <f t="shared" si="77"/>
        <v>32.433</v>
      </c>
      <c r="AV143" s="2029">
        <f t="shared" si="77"/>
        <v>32.433</v>
      </c>
      <c r="AW143" s="1974"/>
      <c r="AX143" s="2029">
        <f t="shared" si="78"/>
        <v>0</v>
      </c>
      <c r="AY143" s="2029">
        <f t="shared" si="78"/>
        <v>0</v>
      </c>
      <c r="AZ143" s="2029">
        <f t="shared" si="78"/>
        <v>0</v>
      </c>
      <c r="BA143" s="2029">
        <v>232.07400000000001</v>
      </c>
      <c r="BB143" s="2029">
        <f t="shared" si="79"/>
        <v>232.07400000000001</v>
      </c>
      <c r="BC143" s="2029">
        <f t="shared" si="79"/>
        <v>232.07400000000001</v>
      </c>
      <c r="BD143" s="2029">
        <f t="shared" si="79"/>
        <v>232.07400000000001</v>
      </c>
      <c r="BE143" s="2030">
        <f t="shared" si="80"/>
        <v>0</v>
      </c>
      <c r="BF143" s="2030">
        <f t="shared" si="80"/>
        <v>0</v>
      </c>
      <c r="BG143" s="2030">
        <f t="shared" si="80"/>
        <v>0</v>
      </c>
      <c r="BH143" s="2030">
        <f t="shared" si="73"/>
        <v>0</v>
      </c>
      <c r="BI143" s="2030">
        <f t="shared" si="81"/>
        <v>0</v>
      </c>
      <c r="BJ143" s="2030">
        <f t="shared" si="81"/>
        <v>0</v>
      </c>
      <c r="BK143" s="2030">
        <f t="shared" si="81"/>
        <v>0</v>
      </c>
      <c r="BL143" s="2030">
        <f t="shared" si="81"/>
        <v>0</v>
      </c>
      <c r="BM143" s="2031"/>
      <c r="BN143" s="2031"/>
      <c r="BO143" s="2031"/>
      <c r="BP143" s="2031"/>
      <c r="BQ143" s="2031"/>
      <c r="BR143" s="2031"/>
      <c r="BS143" s="2031"/>
      <c r="BT143" s="2031"/>
      <c r="BU143" s="2029"/>
      <c r="BV143" s="2029"/>
      <c r="BW143" s="2029"/>
      <c r="BX143" s="2029"/>
      <c r="BY143" s="2029"/>
      <c r="BZ143" s="2032"/>
      <c r="CA143" s="1974"/>
      <c r="CB143" s="1974"/>
      <c r="CC143" s="1974"/>
      <c r="CD143" s="1974"/>
      <c r="CE143" s="1974">
        <v>1</v>
      </c>
      <c r="CF143" s="2033">
        <v>0</v>
      </c>
      <c r="CG143" s="2026">
        <v>0</v>
      </c>
      <c r="CH143" s="2009">
        <v>1</v>
      </c>
      <c r="CI143" s="2029">
        <v>-4.9454877412623895E-2</v>
      </c>
      <c r="CK143" s="2029">
        <f t="shared" si="82"/>
        <v>4.9454877412623895E-2</v>
      </c>
      <c r="CL143" s="2034">
        <v>1</v>
      </c>
      <c r="CM143" s="2026">
        <v>0.86266901151105424</v>
      </c>
      <c r="CN143" s="2026">
        <v>0.86266901151105424</v>
      </c>
      <c r="CO143" s="2026">
        <v>0.86266901151105424</v>
      </c>
      <c r="CP143" s="2035"/>
      <c r="CQ143" s="2036"/>
      <c r="CR143" s="2036"/>
      <c r="CS143" s="2049"/>
      <c r="CT143" s="2049"/>
      <c r="CU143" s="2049"/>
      <c r="CW143" s="1973">
        <v>0</v>
      </c>
      <c r="CX143" s="2037">
        <v>32.433</v>
      </c>
      <c r="CY143" s="2037">
        <v>32.433</v>
      </c>
      <c r="CZ143" s="2037">
        <v>32.433</v>
      </c>
      <c r="DA143" s="2037">
        <v>32.433</v>
      </c>
      <c r="DJ143" s="1976">
        <v>32.433</v>
      </c>
      <c r="DK143" s="1973">
        <v>32.433</v>
      </c>
      <c r="DL143" s="1973">
        <v>32.433</v>
      </c>
      <c r="DM143" s="1973">
        <v>32.433</v>
      </c>
      <c r="DO143" s="2023">
        <v>14.2</v>
      </c>
      <c r="DP143" s="2024">
        <v>345.7151356212263</v>
      </c>
      <c r="DQ143" s="2024">
        <v>6.8267605170546919E-2</v>
      </c>
      <c r="DR143" s="2023">
        <v>-3.951361934218987</v>
      </c>
      <c r="DS143" s="2029">
        <v>32.433</v>
      </c>
      <c r="DT143" s="2029">
        <v>32.433</v>
      </c>
      <c r="DU143" s="2029">
        <v>32.433</v>
      </c>
      <c r="DV143" s="2029">
        <v>32.433</v>
      </c>
      <c r="DW143" s="1974"/>
      <c r="DX143" s="2029">
        <v>0</v>
      </c>
      <c r="DY143" s="2029">
        <v>0</v>
      </c>
      <c r="DZ143" s="2029">
        <v>0</v>
      </c>
      <c r="EA143" s="2029">
        <v>232.07400000000001</v>
      </c>
      <c r="EB143" s="2029">
        <v>232.07400000000001</v>
      </c>
      <c r="EC143" s="2029">
        <v>232.07400000000001</v>
      </c>
      <c r="ED143" s="2029">
        <v>232.07400000000001</v>
      </c>
      <c r="EE143" s="2039">
        <f t="shared" si="83"/>
        <v>0</v>
      </c>
      <c r="EF143" s="2039">
        <f t="shared" si="83"/>
        <v>0</v>
      </c>
      <c r="EG143" s="2039">
        <f t="shared" si="83"/>
        <v>0</v>
      </c>
      <c r="EH143" s="2039">
        <f t="shared" si="74"/>
        <v>0</v>
      </c>
      <c r="EI143" s="2040">
        <f t="shared" si="70"/>
        <v>0</v>
      </c>
      <c r="EJ143" s="2040">
        <f t="shared" si="70"/>
        <v>0</v>
      </c>
      <c r="EK143" s="2040">
        <f t="shared" si="70"/>
        <v>0</v>
      </c>
      <c r="EL143" s="2040">
        <f t="shared" si="69"/>
        <v>0</v>
      </c>
      <c r="EM143" s="2040">
        <f t="shared" si="69"/>
        <v>0</v>
      </c>
      <c r="EN143" s="2040">
        <f t="shared" si="69"/>
        <v>0</v>
      </c>
      <c r="EO143" s="2040">
        <f t="shared" si="69"/>
        <v>0</v>
      </c>
      <c r="EP143" s="2040">
        <f t="shared" si="69"/>
        <v>0</v>
      </c>
      <c r="EQ143" s="2040">
        <f t="shared" si="69"/>
        <v>0</v>
      </c>
      <c r="ER143" s="2040">
        <f t="shared" si="72"/>
        <v>0</v>
      </c>
      <c r="ES143" s="2040">
        <f t="shared" si="72"/>
        <v>0</v>
      </c>
      <c r="ET143" s="2040">
        <f t="shared" si="72"/>
        <v>0</v>
      </c>
      <c r="EU143" s="2039">
        <f t="shared" si="84"/>
        <v>0</v>
      </c>
      <c r="EV143" s="2039">
        <f t="shared" si="85"/>
        <v>0</v>
      </c>
    </row>
    <row r="144" spans="1:152" x14ac:dyDescent="0.25">
      <c r="A144" s="2041" t="s">
        <v>249</v>
      </c>
      <c r="B144" s="2022"/>
      <c r="C144" s="2023">
        <v>14.2</v>
      </c>
      <c r="D144" s="2024">
        <v>307.36439473597659</v>
      </c>
      <c r="E144" s="2024">
        <v>6.2218576864295917E-2</v>
      </c>
      <c r="F144" s="2023">
        <v>-3.7360152128356967</v>
      </c>
      <c r="G144" s="2026" t="s">
        <v>4</v>
      </c>
      <c r="H144" s="2026" t="s">
        <v>4</v>
      </c>
      <c r="I144" s="2026">
        <v>0.77800000000000002</v>
      </c>
      <c r="J144" s="2026">
        <v>0.77800000000000002</v>
      </c>
      <c r="K144" s="2026">
        <v>0.77800000000000002</v>
      </c>
      <c r="L144" s="2026">
        <v>0.77800000000000002</v>
      </c>
      <c r="M144" s="2027">
        <f t="shared" si="86"/>
        <v>239.1294991045898</v>
      </c>
      <c r="N144" s="2027">
        <f t="shared" si="86"/>
        <v>239.1294991045898</v>
      </c>
      <c r="O144" s="2027">
        <f t="shared" si="86"/>
        <v>239.1294991045898</v>
      </c>
      <c r="P144" s="2027">
        <f t="shared" si="75"/>
        <v>239.1294991045898</v>
      </c>
      <c r="Q144" s="2026">
        <v>0.77800000000000002</v>
      </c>
      <c r="R144" s="2026">
        <v>0.77800000000000002</v>
      </c>
      <c r="S144" s="2026">
        <v>0.77800000000000002</v>
      </c>
      <c r="T144" s="2026">
        <v>0.77800000000000002</v>
      </c>
      <c r="U144" s="2028">
        <f t="shared" si="87"/>
        <v>4.8406052800422227E-2</v>
      </c>
      <c r="V144" s="2028">
        <f t="shared" si="87"/>
        <v>4.8406052800422227E-2</v>
      </c>
      <c r="W144" s="2028">
        <f t="shared" si="87"/>
        <v>4.8406052800422227E-2</v>
      </c>
      <c r="X144" s="2028">
        <f t="shared" si="76"/>
        <v>4.8406052800422227E-2</v>
      </c>
      <c r="Y144" s="2026">
        <v>0.77800000000000002</v>
      </c>
      <c r="Z144" s="2026">
        <v>0.77800000000000002</v>
      </c>
      <c r="AA144" s="2026">
        <v>0.77800000000000002</v>
      </c>
      <c r="AB144" s="2026">
        <v>0.77800000000000002</v>
      </c>
      <c r="AC144" s="2027">
        <f t="shared" si="68"/>
        <v>-2.9066198355861723</v>
      </c>
      <c r="AD144" s="2027">
        <f t="shared" si="68"/>
        <v>-2.9066198355861723</v>
      </c>
      <c r="AE144" s="2027">
        <f t="shared" si="68"/>
        <v>-2.9066198355861723</v>
      </c>
      <c r="AF144" s="2027">
        <f t="shared" si="68"/>
        <v>-2.9066198355861723</v>
      </c>
      <c r="AG144" s="2027">
        <v>0</v>
      </c>
      <c r="AH144" s="2027">
        <v>0</v>
      </c>
      <c r="AI144" s="2027">
        <v>0</v>
      </c>
      <c r="AJ144" s="2027">
        <v>0</v>
      </c>
      <c r="AK144" s="2027">
        <f t="shared" si="63"/>
        <v>0</v>
      </c>
      <c r="AL144" s="2027">
        <f t="shared" si="88"/>
        <v>0</v>
      </c>
      <c r="AM144" s="2027">
        <f t="shared" si="88"/>
        <v>0</v>
      </c>
      <c r="AN144" s="2027">
        <f t="shared" si="88"/>
        <v>0</v>
      </c>
      <c r="AO144" s="2027">
        <f t="shared" si="64"/>
        <v>0</v>
      </c>
      <c r="AP144" s="2027">
        <f t="shared" si="89"/>
        <v>0</v>
      </c>
      <c r="AQ144" s="2027">
        <f t="shared" si="89"/>
        <v>0</v>
      </c>
      <c r="AR144" s="2027">
        <f t="shared" si="59"/>
        <v>0</v>
      </c>
      <c r="AS144" s="2029">
        <v>24.163</v>
      </c>
      <c r="AT144" s="2029">
        <f t="shared" si="77"/>
        <v>24.163</v>
      </c>
      <c r="AU144" s="2029">
        <f t="shared" si="77"/>
        <v>24.163</v>
      </c>
      <c r="AV144" s="2029">
        <f t="shared" si="77"/>
        <v>24.163</v>
      </c>
      <c r="AW144" s="1974"/>
      <c r="AX144" s="2029">
        <f t="shared" si="78"/>
        <v>0</v>
      </c>
      <c r="AY144" s="2029">
        <f t="shared" si="78"/>
        <v>0</v>
      </c>
      <c r="AZ144" s="2029">
        <f t="shared" si="78"/>
        <v>0</v>
      </c>
      <c r="BA144" s="2029">
        <v>167.61</v>
      </c>
      <c r="BB144" s="2029">
        <f t="shared" si="79"/>
        <v>167.61</v>
      </c>
      <c r="BC144" s="2029">
        <f t="shared" si="79"/>
        <v>167.61</v>
      </c>
      <c r="BD144" s="2029">
        <f t="shared" si="79"/>
        <v>167.61</v>
      </c>
      <c r="BE144" s="2030">
        <f t="shared" si="80"/>
        <v>0</v>
      </c>
      <c r="BF144" s="2030">
        <f t="shared" si="80"/>
        <v>0</v>
      </c>
      <c r="BG144" s="2030">
        <f t="shared" si="80"/>
        <v>0</v>
      </c>
      <c r="BH144" s="2030">
        <f t="shared" si="73"/>
        <v>0</v>
      </c>
      <c r="BI144" s="2030">
        <f t="shared" si="81"/>
        <v>0</v>
      </c>
      <c r="BJ144" s="2030">
        <f t="shared" si="81"/>
        <v>0</v>
      </c>
      <c r="BK144" s="2030">
        <f t="shared" si="81"/>
        <v>0</v>
      </c>
      <c r="BL144" s="2030">
        <f t="shared" si="81"/>
        <v>0</v>
      </c>
      <c r="BM144" s="2031"/>
      <c r="BN144" s="2031"/>
      <c r="BO144" s="2031"/>
      <c r="BP144" s="2031"/>
      <c r="BQ144" s="2031"/>
      <c r="BR144" s="2031"/>
      <c r="BS144" s="2031"/>
      <c r="BT144" s="2031"/>
      <c r="BU144" s="2029"/>
      <c r="BV144" s="2029"/>
      <c r="BW144" s="2029"/>
      <c r="BX144" s="2029"/>
      <c r="BY144" s="2029"/>
      <c r="BZ144" s="2032"/>
      <c r="CA144" s="1974"/>
      <c r="CB144" s="1974"/>
      <c r="CC144" s="1974"/>
      <c r="CD144" s="1974"/>
      <c r="CE144" s="1974">
        <v>1</v>
      </c>
      <c r="CF144" s="2033">
        <v>0</v>
      </c>
      <c r="CG144" s="2026">
        <v>0</v>
      </c>
      <c r="CH144" s="2009">
        <v>1</v>
      </c>
      <c r="CI144" s="2029">
        <v>0.9336502347417841</v>
      </c>
      <c r="CK144" s="2029">
        <f t="shared" si="82"/>
        <v>-0.9336502347417841</v>
      </c>
      <c r="CL144" s="2034">
        <v>1</v>
      </c>
      <c r="CM144" s="2034">
        <v>1</v>
      </c>
      <c r="CN144" s="2034">
        <v>1</v>
      </c>
      <c r="CO144" s="2034">
        <v>1</v>
      </c>
      <c r="CP144" s="2035"/>
      <c r="CQ144" s="2036"/>
      <c r="CR144" s="2036"/>
      <c r="CS144" s="2049"/>
      <c r="CT144" s="2049"/>
      <c r="CU144" s="2049"/>
      <c r="CW144" s="1973">
        <v>0</v>
      </c>
      <c r="CX144" s="2037">
        <v>24.163</v>
      </c>
      <c r="CY144" s="2037">
        <v>24.163</v>
      </c>
      <c r="CZ144" s="2037">
        <v>24.163</v>
      </c>
      <c r="DA144" s="2037">
        <v>24.163</v>
      </c>
      <c r="DJ144" s="1976">
        <v>24.163</v>
      </c>
      <c r="DK144" s="1973">
        <v>24.163</v>
      </c>
      <c r="DL144" s="1973">
        <v>24.163</v>
      </c>
      <c r="DM144" s="1973">
        <v>24.163</v>
      </c>
      <c r="DO144" s="2023">
        <v>14.2</v>
      </c>
      <c r="DP144" s="2024">
        <v>307.36439473597659</v>
      </c>
      <c r="DQ144" s="2024">
        <v>6.2218576864295917E-2</v>
      </c>
      <c r="DR144" s="2023">
        <v>-3.7360152128356967</v>
      </c>
      <c r="DS144" s="2029">
        <v>24.163</v>
      </c>
      <c r="DT144" s="2029">
        <v>24.163</v>
      </c>
      <c r="DU144" s="2029">
        <v>24.163</v>
      </c>
      <c r="DV144" s="2029">
        <v>24.163</v>
      </c>
      <c r="DW144" s="1974"/>
      <c r="DX144" s="2029">
        <v>0</v>
      </c>
      <c r="DY144" s="2029">
        <v>0</v>
      </c>
      <c r="DZ144" s="2029">
        <v>0</v>
      </c>
      <c r="EA144" s="2029">
        <v>167.61</v>
      </c>
      <c r="EB144" s="2029">
        <v>167.61</v>
      </c>
      <c r="EC144" s="2029">
        <v>167.61</v>
      </c>
      <c r="ED144" s="2029">
        <v>167.61</v>
      </c>
      <c r="EE144" s="2039">
        <f t="shared" si="83"/>
        <v>0</v>
      </c>
      <c r="EF144" s="2039">
        <f t="shared" si="83"/>
        <v>0</v>
      </c>
      <c r="EG144" s="2039">
        <f t="shared" si="83"/>
        <v>0</v>
      </c>
      <c r="EH144" s="2039">
        <f t="shared" si="74"/>
        <v>0</v>
      </c>
      <c r="EI144" s="2040">
        <f t="shared" si="70"/>
        <v>0</v>
      </c>
      <c r="EJ144" s="2040">
        <f t="shared" si="70"/>
        <v>0</v>
      </c>
      <c r="EK144" s="2040">
        <f t="shared" si="70"/>
        <v>0</v>
      </c>
      <c r="EL144" s="2040">
        <f t="shared" si="69"/>
        <v>0</v>
      </c>
      <c r="EM144" s="2040">
        <f t="shared" si="69"/>
        <v>0</v>
      </c>
      <c r="EN144" s="2040">
        <f t="shared" si="69"/>
        <v>0</v>
      </c>
      <c r="EO144" s="2040">
        <f t="shared" si="69"/>
        <v>0</v>
      </c>
      <c r="EP144" s="2040">
        <f t="shared" si="69"/>
        <v>0</v>
      </c>
      <c r="EQ144" s="2040">
        <f t="shared" si="69"/>
        <v>0</v>
      </c>
      <c r="ER144" s="2040">
        <f t="shared" si="72"/>
        <v>0</v>
      </c>
      <c r="ES144" s="2040">
        <f t="shared" si="72"/>
        <v>0</v>
      </c>
      <c r="ET144" s="2040">
        <f t="shared" si="72"/>
        <v>0</v>
      </c>
      <c r="EU144" s="2039">
        <f t="shared" si="84"/>
        <v>0</v>
      </c>
      <c r="EV144" s="2039">
        <f t="shared" si="85"/>
        <v>0</v>
      </c>
    </row>
    <row r="145" spans="1:152" x14ac:dyDescent="0.25">
      <c r="A145" s="2041" t="s">
        <v>250</v>
      </c>
      <c r="B145" s="2022"/>
      <c r="C145" s="2023">
        <v>14.2</v>
      </c>
      <c r="D145" s="2024">
        <v>1379.4595533315332</v>
      </c>
      <c r="E145" s="2024">
        <v>0.29035335870004769</v>
      </c>
      <c r="F145" s="2023">
        <v>-9.7413985327404902</v>
      </c>
      <c r="G145" s="2026" t="s">
        <v>4</v>
      </c>
      <c r="H145" s="2026" t="s">
        <v>4</v>
      </c>
      <c r="I145" s="2026">
        <v>0.77800000000000002</v>
      </c>
      <c r="J145" s="2026">
        <v>0.77800000000000002</v>
      </c>
      <c r="K145" s="2026">
        <v>0.77800000000000002</v>
      </c>
      <c r="L145" s="2026">
        <v>0.77800000000000002</v>
      </c>
      <c r="M145" s="2027">
        <f t="shared" si="86"/>
        <v>1073.2195324919328</v>
      </c>
      <c r="N145" s="2027">
        <f t="shared" si="86"/>
        <v>1073.2195324919328</v>
      </c>
      <c r="O145" s="2027">
        <f t="shared" si="86"/>
        <v>1073.2195324919328</v>
      </c>
      <c r="P145" s="2027">
        <f t="shared" si="75"/>
        <v>1073.2195324919328</v>
      </c>
      <c r="Q145" s="2026">
        <v>0.77800000000000002</v>
      </c>
      <c r="R145" s="2026">
        <v>0.77800000000000002</v>
      </c>
      <c r="S145" s="2026">
        <v>0.77800000000000002</v>
      </c>
      <c r="T145" s="2026">
        <v>0.77800000000000002</v>
      </c>
      <c r="U145" s="2028">
        <f t="shared" si="87"/>
        <v>0.2258949130686371</v>
      </c>
      <c r="V145" s="2028">
        <f t="shared" si="87"/>
        <v>0.2258949130686371</v>
      </c>
      <c r="W145" s="2028">
        <f t="shared" si="87"/>
        <v>0.2258949130686371</v>
      </c>
      <c r="X145" s="2028">
        <f t="shared" si="76"/>
        <v>0.2258949130686371</v>
      </c>
      <c r="Y145" s="2026">
        <v>0.77800000000000002</v>
      </c>
      <c r="Z145" s="2026">
        <v>0.77800000000000002</v>
      </c>
      <c r="AA145" s="2026">
        <v>0.77800000000000002</v>
      </c>
      <c r="AB145" s="2026">
        <v>0.77800000000000002</v>
      </c>
      <c r="AC145" s="2027">
        <f t="shared" si="68"/>
        <v>-7.5788080584721014</v>
      </c>
      <c r="AD145" s="2027">
        <f t="shared" si="68"/>
        <v>-7.5788080584721014</v>
      </c>
      <c r="AE145" s="2027">
        <f t="shared" si="68"/>
        <v>-7.5788080584721014</v>
      </c>
      <c r="AF145" s="2027">
        <f t="shared" si="68"/>
        <v>-7.5788080584721014</v>
      </c>
      <c r="AG145" s="2027">
        <v>0</v>
      </c>
      <c r="AH145" s="2027">
        <v>0</v>
      </c>
      <c r="AI145" s="2027">
        <v>0</v>
      </c>
      <c r="AJ145" s="2027">
        <v>0</v>
      </c>
      <c r="AK145" s="2027">
        <f t="shared" si="63"/>
        <v>0</v>
      </c>
      <c r="AL145" s="2027">
        <f t="shared" si="88"/>
        <v>0</v>
      </c>
      <c r="AM145" s="2027">
        <f t="shared" si="88"/>
        <v>0</v>
      </c>
      <c r="AN145" s="2027">
        <f t="shared" si="88"/>
        <v>0</v>
      </c>
      <c r="AO145" s="2027">
        <f t="shared" si="64"/>
        <v>0</v>
      </c>
      <c r="AP145" s="2027">
        <f t="shared" si="89"/>
        <v>0</v>
      </c>
      <c r="AQ145" s="2027">
        <f t="shared" si="89"/>
        <v>0</v>
      </c>
      <c r="AR145" s="2027">
        <f t="shared" si="59"/>
        <v>0</v>
      </c>
      <c r="AS145" s="2029">
        <v>131.37899999999999</v>
      </c>
      <c r="AT145" s="2029">
        <f t="shared" si="77"/>
        <v>131.37899999999999</v>
      </c>
      <c r="AU145" s="2029">
        <f t="shared" si="77"/>
        <v>131.37899999999999</v>
      </c>
      <c r="AV145" s="2029">
        <f t="shared" si="77"/>
        <v>131.37899999999999</v>
      </c>
      <c r="AW145" s="1974"/>
      <c r="AX145" s="2029">
        <f t="shared" si="78"/>
        <v>0</v>
      </c>
      <c r="AY145" s="2029">
        <f t="shared" si="78"/>
        <v>0</v>
      </c>
      <c r="AZ145" s="2029">
        <f t="shared" si="78"/>
        <v>0</v>
      </c>
      <c r="BA145" s="2029">
        <v>920.31600000000003</v>
      </c>
      <c r="BB145" s="2029">
        <f t="shared" si="79"/>
        <v>920.31600000000003</v>
      </c>
      <c r="BC145" s="2029">
        <f t="shared" si="79"/>
        <v>920.31600000000003</v>
      </c>
      <c r="BD145" s="2029">
        <f t="shared" si="79"/>
        <v>920.31600000000003</v>
      </c>
      <c r="BE145" s="2030">
        <f t="shared" si="80"/>
        <v>0</v>
      </c>
      <c r="BF145" s="2030">
        <f t="shared" si="80"/>
        <v>0</v>
      </c>
      <c r="BG145" s="2030">
        <f t="shared" si="80"/>
        <v>0</v>
      </c>
      <c r="BH145" s="2030">
        <f t="shared" si="73"/>
        <v>0</v>
      </c>
      <c r="BI145" s="2030">
        <f t="shared" si="81"/>
        <v>0</v>
      </c>
      <c r="BJ145" s="2030">
        <f t="shared" si="81"/>
        <v>0</v>
      </c>
      <c r="BK145" s="2030">
        <f t="shared" si="81"/>
        <v>0</v>
      </c>
      <c r="BL145" s="2030">
        <f t="shared" si="81"/>
        <v>0</v>
      </c>
      <c r="BM145" s="2031"/>
      <c r="BN145" s="2031"/>
      <c r="BO145" s="2031"/>
      <c r="BP145" s="2031"/>
      <c r="BQ145" s="2031"/>
      <c r="BR145" s="2031"/>
      <c r="BS145" s="2031"/>
      <c r="BT145" s="2031"/>
      <c r="BU145" s="2029"/>
      <c r="BV145" s="2029"/>
      <c r="BW145" s="2029"/>
      <c r="BX145" s="2029"/>
      <c r="BY145" s="2029"/>
      <c r="BZ145" s="2032"/>
      <c r="CA145" s="1974"/>
      <c r="CB145" s="1974"/>
      <c r="CC145" s="1974"/>
      <c r="CD145" s="1974"/>
      <c r="CE145" s="1974">
        <v>1</v>
      </c>
      <c r="CF145" s="2033">
        <v>0</v>
      </c>
      <c r="CG145" s="2026">
        <v>0</v>
      </c>
      <c r="CH145" s="2009">
        <v>1</v>
      </c>
      <c r="CI145" s="2029">
        <v>25.473227699530515</v>
      </c>
      <c r="CK145" s="2029">
        <f t="shared" si="82"/>
        <v>-25.473227699530515</v>
      </c>
      <c r="CL145" s="2034">
        <v>1</v>
      </c>
      <c r="CM145" s="2026">
        <v>0.98677355318637949</v>
      </c>
      <c r="CN145" s="2026">
        <v>0.98677355318637949</v>
      </c>
      <c r="CO145" s="2026">
        <v>0.98677355318637949</v>
      </c>
      <c r="CP145" s="2035"/>
      <c r="CQ145" s="2036"/>
      <c r="CR145" s="2036"/>
      <c r="CS145" s="2049"/>
      <c r="CT145" s="2049"/>
      <c r="CU145" s="2049"/>
      <c r="CW145" s="1973">
        <v>0</v>
      </c>
      <c r="CX145" s="2037">
        <v>131.37899999999999</v>
      </c>
      <c r="CY145" s="2037">
        <v>131.37899999999999</v>
      </c>
      <c r="CZ145" s="2037">
        <v>131.37899999999999</v>
      </c>
      <c r="DA145" s="2037">
        <v>131.37899999999999</v>
      </c>
      <c r="DJ145" s="1976">
        <v>131.37899999999999</v>
      </c>
      <c r="DK145" s="1973">
        <v>131.37899999999999</v>
      </c>
      <c r="DL145" s="1973">
        <v>131.37899999999999</v>
      </c>
      <c r="DM145" s="1973">
        <v>131.37899999999999</v>
      </c>
      <c r="DO145" s="2023">
        <v>14.2</v>
      </c>
      <c r="DP145" s="2024">
        <v>1379.4595533315332</v>
      </c>
      <c r="DQ145" s="2024">
        <v>0.29035335870004769</v>
      </c>
      <c r="DR145" s="2023">
        <v>-9.7413985327404902</v>
      </c>
      <c r="DS145" s="2029">
        <v>131.37899999999999</v>
      </c>
      <c r="DT145" s="2029">
        <v>131.37899999999999</v>
      </c>
      <c r="DU145" s="2029">
        <v>131.37899999999999</v>
      </c>
      <c r="DV145" s="2029">
        <v>131.37899999999999</v>
      </c>
      <c r="DW145" s="1974"/>
      <c r="DX145" s="2029">
        <v>0</v>
      </c>
      <c r="DY145" s="2029">
        <v>0</v>
      </c>
      <c r="DZ145" s="2029">
        <v>0</v>
      </c>
      <c r="EA145" s="2029">
        <v>920.31600000000003</v>
      </c>
      <c r="EB145" s="2029">
        <v>920.31600000000003</v>
      </c>
      <c r="EC145" s="2029">
        <v>920.31600000000003</v>
      </c>
      <c r="ED145" s="2029">
        <v>920.31600000000003</v>
      </c>
      <c r="EE145" s="2039">
        <f t="shared" si="83"/>
        <v>0</v>
      </c>
      <c r="EF145" s="2039">
        <f t="shared" si="83"/>
        <v>0</v>
      </c>
      <c r="EG145" s="2039">
        <f t="shared" si="83"/>
        <v>0</v>
      </c>
      <c r="EH145" s="2039">
        <f t="shared" si="74"/>
        <v>0</v>
      </c>
      <c r="EI145" s="2040">
        <f t="shared" si="70"/>
        <v>0</v>
      </c>
      <c r="EJ145" s="2040">
        <f t="shared" si="70"/>
        <v>0</v>
      </c>
      <c r="EK145" s="2040">
        <f t="shared" si="70"/>
        <v>0</v>
      </c>
      <c r="EL145" s="2040">
        <f t="shared" si="69"/>
        <v>0</v>
      </c>
      <c r="EM145" s="2040">
        <f t="shared" si="69"/>
        <v>0</v>
      </c>
      <c r="EN145" s="2040">
        <f t="shared" si="69"/>
        <v>0</v>
      </c>
      <c r="EO145" s="2040">
        <f t="shared" si="69"/>
        <v>0</v>
      </c>
      <c r="EP145" s="2040">
        <f t="shared" si="69"/>
        <v>0</v>
      </c>
      <c r="EQ145" s="2040">
        <f t="shared" si="69"/>
        <v>0</v>
      </c>
      <c r="ER145" s="2040">
        <f t="shared" si="72"/>
        <v>0</v>
      </c>
      <c r="ES145" s="2040">
        <f t="shared" si="72"/>
        <v>0</v>
      </c>
      <c r="ET145" s="2040">
        <f t="shared" si="72"/>
        <v>0</v>
      </c>
      <c r="EU145" s="2039">
        <f t="shared" si="84"/>
        <v>0</v>
      </c>
      <c r="EV145" s="2039">
        <f t="shared" si="85"/>
        <v>0</v>
      </c>
    </row>
    <row r="146" spans="1:152" x14ac:dyDescent="0.25">
      <c r="A146" s="2041" t="s">
        <v>251</v>
      </c>
      <c r="B146" s="2022"/>
      <c r="C146" s="2023">
        <v>14.2</v>
      </c>
      <c r="D146" s="2024">
        <v>718.72636357268686</v>
      </c>
      <c r="E146" s="2024">
        <v>0.15036156075538182</v>
      </c>
      <c r="F146" s="2023">
        <v>-9.5646854424359287</v>
      </c>
      <c r="G146" s="2026" t="s">
        <v>4</v>
      </c>
      <c r="H146" s="2026" t="s">
        <v>4</v>
      </c>
      <c r="I146" s="2026">
        <v>0.77800000000000002</v>
      </c>
      <c r="J146" s="2026">
        <v>0.77800000000000002</v>
      </c>
      <c r="K146" s="2026">
        <v>0.77800000000000002</v>
      </c>
      <c r="L146" s="2026">
        <v>0.77800000000000002</v>
      </c>
      <c r="M146" s="2027">
        <f t="shared" si="86"/>
        <v>559.16911085955041</v>
      </c>
      <c r="N146" s="2027">
        <f t="shared" si="86"/>
        <v>559.16911085955041</v>
      </c>
      <c r="O146" s="2027">
        <f t="shared" si="86"/>
        <v>559.16911085955041</v>
      </c>
      <c r="P146" s="2027">
        <f t="shared" si="75"/>
        <v>559.16911085955041</v>
      </c>
      <c r="Q146" s="2026">
        <v>0.77800000000000002</v>
      </c>
      <c r="R146" s="2026">
        <v>0.77800000000000002</v>
      </c>
      <c r="S146" s="2026">
        <v>0.77800000000000002</v>
      </c>
      <c r="T146" s="2026">
        <v>0.77800000000000002</v>
      </c>
      <c r="U146" s="2028">
        <f t="shared" si="87"/>
        <v>0.11698129426768705</v>
      </c>
      <c r="V146" s="2028">
        <f t="shared" si="87"/>
        <v>0.11698129426768705</v>
      </c>
      <c r="W146" s="2028">
        <f t="shared" si="87"/>
        <v>0.11698129426768705</v>
      </c>
      <c r="X146" s="2028">
        <f t="shared" si="76"/>
        <v>0.11698129426768705</v>
      </c>
      <c r="Y146" s="2026">
        <v>0.77800000000000002</v>
      </c>
      <c r="Z146" s="2026">
        <v>0.77800000000000002</v>
      </c>
      <c r="AA146" s="2026">
        <v>0.77800000000000002</v>
      </c>
      <c r="AB146" s="2026">
        <v>0.77800000000000002</v>
      </c>
      <c r="AC146" s="2027">
        <f t="shared" si="68"/>
        <v>-7.4413252742151528</v>
      </c>
      <c r="AD146" s="2027">
        <f t="shared" si="68"/>
        <v>-7.4413252742151528</v>
      </c>
      <c r="AE146" s="2027">
        <f t="shared" si="68"/>
        <v>-7.4413252742151528</v>
      </c>
      <c r="AF146" s="2027">
        <f t="shared" si="68"/>
        <v>-7.4413252742151528</v>
      </c>
      <c r="AG146" s="2027">
        <v>0</v>
      </c>
      <c r="AH146" s="2027">
        <v>0</v>
      </c>
      <c r="AI146" s="2027">
        <v>0</v>
      </c>
      <c r="AJ146" s="2027">
        <v>0</v>
      </c>
      <c r="AK146" s="2027">
        <f t="shared" si="63"/>
        <v>0</v>
      </c>
      <c r="AL146" s="2027">
        <f t="shared" si="88"/>
        <v>0</v>
      </c>
      <c r="AM146" s="2027">
        <f t="shared" si="88"/>
        <v>0</v>
      </c>
      <c r="AN146" s="2027">
        <f t="shared" si="88"/>
        <v>0</v>
      </c>
      <c r="AO146" s="2027">
        <f t="shared" si="64"/>
        <v>0</v>
      </c>
      <c r="AP146" s="2027">
        <f t="shared" si="89"/>
        <v>0</v>
      </c>
      <c r="AQ146" s="2027">
        <f t="shared" si="89"/>
        <v>0</v>
      </c>
      <c r="AR146" s="2027">
        <f t="shared" si="59"/>
        <v>0</v>
      </c>
      <c r="AS146" s="2029">
        <v>61.805999999999997</v>
      </c>
      <c r="AT146" s="2029">
        <f t="shared" si="77"/>
        <v>61.805999999999997</v>
      </c>
      <c r="AU146" s="2029">
        <f t="shared" si="77"/>
        <v>61.805999999999997</v>
      </c>
      <c r="AV146" s="2029">
        <f t="shared" si="77"/>
        <v>61.805999999999997</v>
      </c>
      <c r="AW146" s="1974"/>
      <c r="AX146" s="2029">
        <f t="shared" si="78"/>
        <v>0</v>
      </c>
      <c r="AY146" s="2029">
        <f t="shared" si="78"/>
        <v>0</v>
      </c>
      <c r="AZ146" s="2029">
        <f t="shared" si="78"/>
        <v>0</v>
      </c>
      <c r="BA146" s="2029">
        <v>196.78800000000001</v>
      </c>
      <c r="BB146" s="2029">
        <f t="shared" si="79"/>
        <v>196.78800000000001</v>
      </c>
      <c r="BC146" s="2029">
        <f t="shared" si="79"/>
        <v>196.78800000000001</v>
      </c>
      <c r="BD146" s="2029">
        <f t="shared" si="79"/>
        <v>196.78800000000001</v>
      </c>
      <c r="BE146" s="2030">
        <f t="shared" si="80"/>
        <v>0</v>
      </c>
      <c r="BF146" s="2030">
        <f t="shared" si="80"/>
        <v>0</v>
      </c>
      <c r="BG146" s="2030">
        <f t="shared" si="80"/>
        <v>0</v>
      </c>
      <c r="BH146" s="2030">
        <f t="shared" si="73"/>
        <v>0</v>
      </c>
      <c r="BI146" s="2030">
        <f t="shared" si="81"/>
        <v>0</v>
      </c>
      <c r="BJ146" s="2030">
        <f t="shared" si="81"/>
        <v>0</v>
      </c>
      <c r="BK146" s="2030">
        <f t="shared" si="81"/>
        <v>0</v>
      </c>
      <c r="BL146" s="2030">
        <f t="shared" si="81"/>
        <v>0</v>
      </c>
      <c r="BM146" s="2031"/>
      <c r="BN146" s="2031"/>
      <c r="BO146" s="2031"/>
      <c r="BP146" s="2031"/>
      <c r="BQ146" s="2031"/>
      <c r="BR146" s="2031"/>
      <c r="BS146" s="2031"/>
      <c r="BT146" s="2031"/>
      <c r="BU146" s="2029"/>
      <c r="BV146" s="2029"/>
      <c r="BW146" s="2029"/>
      <c r="BX146" s="2029"/>
      <c r="BY146" s="2029"/>
      <c r="BZ146" s="2032"/>
      <c r="CA146" s="1974"/>
      <c r="CB146" s="1974"/>
      <c r="CC146" s="1974"/>
      <c r="CD146" s="1974"/>
      <c r="CE146" s="1974">
        <v>0</v>
      </c>
      <c r="CF146" s="2033">
        <v>0</v>
      </c>
      <c r="CG146" s="2026">
        <v>0</v>
      </c>
      <c r="CH146" s="2009">
        <v>1</v>
      </c>
      <c r="CI146" s="2029">
        <v>12.86830985915493</v>
      </c>
      <c r="CK146" s="2029">
        <f t="shared" si="82"/>
        <v>-12.86830985915493</v>
      </c>
      <c r="CL146" s="2034">
        <v>1</v>
      </c>
      <c r="CM146" s="2034">
        <v>1</v>
      </c>
      <c r="CN146" s="2034">
        <v>1</v>
      </c>
      <c r="CO146" s="2034">
        <v>1</v>
      </c>
      <c r="CP146" s="2035"/>
      <c r="CQ146" s="2036"/>
      <c r="CR146" s="2036"/>
      <c r="CS146" s="2049"/>
      <c r="CT146" s="2049"/>
      <c r="CU146" s="2049"/>
      <c r="CW146" s="1973">
        <v>0</v>
      </c>
      <c r="CX146" s="2037">
        <v>61.805999999999997</v>
      </c>
      <c r="CY146" s="2037">
        <v>61.805999999999997</v>
      </c>
      <c r="CZ146" s="2037">
        <v>61.805999999999997</v>
      </c>
      <c r="DA146" s="2037">
        <v>61.805999999999997</v>
      </c>
      <c r="DJ146" s="1976">
        <v>61.805999999999997</v>
      </c>
      <c r="DK146" s="1973">
        <v>61.805999999999997</v>
      </c>
      <c r="DL146" s="1973">
        <v>61.805999999999997</v>
      </c>
      <c r="DM146" s="1973">
        <v>61.805999999999997</v>
      </c>
      <c r="DO146" s="2023">
        <v>14.2</v>
      </c>
      <c r="DP146" s="2024">
        <v>718.72636357268686</v>
      </c>
      <c r="DQ146" s="2024">
        <v>0.15036156075538182</v>
      </c>
      <c r="DR146" s="2023">
        <v>-9.5646854424359287</v>
      </c>
      <c r="DS146" s="2029">
        <v>61.805999999999997</v>
      </c>
      <c r="DT146" s="2029">
        <v>61.805999999999997</v>
      </c>
      <c r="DU146" s="2029">
        <v>61.805999999999997</v>
      </c>
      <c r="DV146" s="2029">
        <v>61.805999999999997</v>
      </c>
      <c r="DW146" s="1974"/>
      <c r="DX146" s="2029">
        <v>0</v>
      </c>
      <c r="DY146" s="2029">
        <v>0</v>
      </c>
      <c r="DZ146" s="2029">
        <v>0</v>
      </c>
      <c r="EA146" s="2029">
        <v>196.78800000000001</v>
      </c>
      <c r="EB146" s="2029">
        <v>196.78800000000001</v>
      </c>
      <c r="EC146" s="2029">
        <v>196.78800000000001</v>
      </c>
      <c r="ED146" s="2029">
        <v>196.78800000000001</v>
      </c>
      <c r="EE146" s="2039">
        <f t="shared" si="83"/>
        <v>0</v>
      </c>
      <c r="EF146" s="2039">
        <f t="shared" si="83"/>
        <v>0</v>
      </c>
      <c r="EG146" s="2039">
        <f t="shared" si="83"/>
        <v>0</v>
      </c>
      <c r="EH146" s="2039">
        <f t="shared" si="74"/>
        <v>0</v>
      </c>
      <c r="EI146" s="2040">
        <f t="shared" si="70"/>
        <v>0</v>
      </c>
      <c r="EJ146" s="2040">
        <f t="shared" si="70"/>
        <v>0</v>
      </c>
      <c r="EK146" s="2040">
        <f t="shared" si="70"/>
        <v>0</v>
      </c>
      <c r="EL146" s="2040">
        <f t="shared" si="69"/>
        <v>0</v>
      </c>
      <c r="EM146" s="2040">
        <f t="shared" si="69"/>
        <v>0</v>
      </c>
      <c r="EN146" s="2040">
        <f t="shared" si="69"/>
        <v>0</v>
      </c>
      <c r="EO146" s="2040">
        <f t="shared" si="69"/>
        <v>0</v>
      </c>
      <c r="EP146" s="2040">
        <f t="shared" si="69"/>
        <v>0</v>
      </c>
      <c r="EQ146" s="2040">
        <f t="shared" si="69"/>
        <v>0</v>
      </c>
      <c r="ER146" s="2040">
        <f t="shared" si="72"/>
        <v>0</v>
      </c>
      <c r="ES146" s="2040">
        <f t="shared" si="72"/>
        <v>0</v>
      </c>
      <c r="ET146" s="2040">
        <f t="shared" si="72"/>
        <v>0</v>
      </c>
      <c r="EU146" s="2039">
        <f t="shared" si="84"/>
        <v>0</v>
      </c>
      <c r="EV146" s="2039">
        <f t="shared" si="85"/>
        <v>0</v>
      </c>
    </row>
    <row r="147" spans="1:152" x14ac:dyDescent="0.25">
      <c r="A147" s="2021" t="s">
        <v>2952</v>
      </c>
      <c r="B147" s="2069"/>
      <c r="C147" s="2068">
        <v>15</v>
      </c>
      <c r="D147" s="2071">
        <v>89.722072000000011</v>
      </c>
      <c r="E147" s="2024">
        <v>1.41994336E-2</v>
      </c>
      <c r="F147" s="2023">
        <v>-0.98694279200000035</v>
      </c>
      <c r="G147" s="2026" t="s">
        <v>2870</v>
      </c>
      <c r="H147" s="2026" t="s">
        <v>2870</v>
      </c>
      <c r="I147" s="2026">
        <v>0.77300000000000002</v>
      </c>
      <c r="J147" s="2026">
        <v>0.77300000000000002</v>
      </c>
      <c r="K147" s="2026">
        <v>0.77300000000000002</v>
      </c>
      <c r="L147" s="2026">
        <v>0.77300000000000002</v>
      </c>
      <c r="M147" s="2027">
        <f t="shared" si="86"/>
        <v>69.355161656000007</v>
      </c>
      <c r="N147" s="2027">
        <f t="shared" si="86"/>
        <v>69.355161656000007</v>
      </c>
      <c r="O147" s="2027">
        <f t="shared" si="86"/>
        <v>69.355161656000007</v>
      </c>
      <c r="P147" s="2027">
        <f t="shared" si="75"/>
        <v>69.355161656000007</v>
      </c>
      <c r="Q147" s="2026">
        <v>0.77300000000000002</v>
      </c>
      <c r="R147" s="2026">
        <v>0.77300000000000002</v>
      </c>
      <c r="S147" s="2026">
        <v>0.77300000000000002</v>
      </c>
      <c r="T147" s="2026">
        <v>0.77300000000000002</v>
      </c>
      <c r="U147" s="2028">
        <f t="shared" si="87"/>
        <v>1.0976162172800001E-2</v>
      </c>
      <c r="V147" s="2028">
        <f t="shared" si="87"/>
        <v>1.0976162172800001E-2</v>
      </c>
      <c r="W147" s="2028">
        <f t="shared" si="87"/>
        <v>1.0976162172800001E-2</v>
      </c>
      <c r="X147" s="2028">
        <f t="shared" si="76"/>
        <v>1.0976162172800001E-2</v>
      </c>
      <c r="Y147" s="2026">
        <v>0.77300000000000002</v>
      </c>
      <c r="Z147" s="2026">
        <v>0.77300000000000002</v>
      </c>
      <c r="AA147" s="2026">
        <v>0.77300000000000002</v>
      </c>
      <c r="AB147" s="2026">
        <v>0.77300000000000002</v>
      </c>
      <c r="AC147" s="2027">
        <f t="shared" ref="AC147:AF162" si="90">$F147*Y147</f>
        <v>-0.76290677821600028</v>
      </c>
      <c r="AD147" s="2027">
        <f t="shared" si="90"/>
        <v>-0.76290677821600028</v>
      </c>
      <c r="AE147" s="2027">
        <f t="shared" si="90"/>
        <v>-0.76290677821600028</v>
      </c>
      <c r="AF147" s="2027">
        <f t="shared" si="90"/>
        <v>-0.76290677821600028</v>
      </c>
      <c r="AG147" s="2027">
        <v>31000</v>
      </c>
      <c r="AH147" s="2027">
        <v>35000</v>
      </c>
      <c r="AI147" s="2027">
        <v>37000</v>
      </c>
      <c r="AJ147" s="2027">
        <v>37000</v>
      </c>
      <c r="AK147" s="2027">
        <f t="shared" si="63"/>
        <v>2150010.0113360002</v>
      </c>
      <c r="AL147" s="2027">
        <f t="shared" si="88"/>
        <v>2427430.6579600004</v>
      </c>
      <c r="AM147" s="2027">
        <f t="shared" si="88"/>
        <v>2566140.9812720004</v>
      </c>
      <c r="AN147" s="2027">
        <f t="shared" si="88"/>
        <v>2566140.9812720004</v>
      </c>
      <c r="AO147" s="2027">
        <f t="shared" si="64"/>
        <v>-23650.11012469601</v>
      </c>
      <c r="AP147" s="2027">
        <f t="shared" si="89"/>
        <v>-26701.73723756001</v>
      </c>
      <c r="AQ147" s="2027">
        <f t="shared" si="89"/>
        <v>-28227.55079399201</v>
      </c>
      <c r="AR147" s="2027">
        <f t="shared" si="59"/>
        <v>-28227.55079399201</v>
      </c>
      <c r="AS147" s="2029">
        <v>8</v>
      </c>
      <c r="AT147" s="2029">
        <v>8</v>
      </c>
      <c r="AU147" s="2029">
        <v>5</v>
      </c>
      <c r="AV147" s="2029">
        <v>4</v>
      </c>
      <c r="AW147" s="1974"/>
      <c r="AX147" s="2029">
        <f t="shared" si="78"/>
        <v>0</v>
      </c>
      <c r="AY147" s="2029">
        <f t="shared" si="78"/>
        <v>0</v>
      </c>
      <c r="AZ147" s="2029">
        <f t="shared" si="78"/>
        <v>0</v>
      </c>
      <c r="BA147" s="2029">
        <v>12.330000000000002</v>
      </c>
      <c r="BB147" s="2029">
        <f>BA147</f>
        <v>12.330000000000002</v>
      </c>
      <c r="BC147" s="2029">
        <f>BB147*0.8</f>
        <v>9.8640000000000025</v>
      </c>
      <c r="BD147" s="2029">
        <f>BC147*0.7</f>
        <v>6.9048000000000016</v>
      </c>
      <c r="BE147" s="2030">
        <f t="shared" si="80"/>
        <v>248000</v>
      </c>
      <c r="BF147" s="2030">
        <f t="shared" si="80"/>
        <v>280000</v>
      </c>
      <c r="BG147" s="2030">
        <f t="shared" si="80"/>
        <v>185000</v>
      </c>
      <c r="BH147" s="2030">
        <f t="shared" si="73"/>
        <v>148000</v>
      </c>
      <c r="BI147" s="2030">
        <f t="shared" si="81"/>
        <v>0</v>
      </c>
      <c r="BJ147" s="2030">
        <f t="shared" si="81"/>
        <v>0</v>
      </c>
      <c r="BK147" s="2030">
        <f t="shared" si="81"/>
        <v>0</v>
      </c>
      <c r="BL147" s="2030">
        <f t="shared" si="81"/>
        <v>0</v>
      </c>
      <c r="BM147" s="2031"/>
      <c r="BN147" s="2031"/>
      <c r="BO147" s="2031"/>
      <c r="BP147" s="2031"/>
      <c r="BQ147" s="2031"/>
      <c r="BR147" s="2031"/>
      <c r="BS147" s="2031"/>
      <c r="BT147" s="2031"/>
      <c r="BU147" s="2029"/>
      <c r="BV147" s="2029"/>
      <c r="BW147" s="2029"/>
      <c r="BX147" s="2029"/>
      <c r="BY147" s="2029"/>
      <c r="BZ147" s="2032"/>
      <c r="CA147" s="1974"/>
      <c r="CB147" s="1974"/>
      <c r="CC147" s="1974"/>
      <c r="CD147" s="1974"/>
      <c r="CE147" s="1974">
        <v>0</v>
      </c>
      <c r="CF147" s="2033">
        <v>8.9877659665179247E-3</v>
      </c>
      <c r="CG147" s="2026">
        <v>-8.8233932498608045E-3</v>
      </c>
      <c r="CH147" s="2009">
        <v>1</v>
      </c>
      <c r="CI147" s="2029">
        <v>0.99282231904761908</v>
      </c>
      <c r="CK147" s="2029">
        <f t="shared" si="82"/>
        <v>-0.99282231904761908</v>
      </c>
      <c r="CL147" s="2034">
        <v>1</v>
      </c>
      <c r="CM147" s="2034">
        <v>1</v>
      </c>
      <c r="CN147" s="2034">
        <v>1</v>
      </c>
      <c r="CO147" s="2034">
        <v>1</v>
      </c>
      <c r="CP147" s="2035"/>
      <c r="CQ147" s="2036"/>
      <c r="CR147" s="2036"/>
      <c r="CS147" s="2036"/>
      <c r="CT147" s="2036"/>
      <c r="CU147" s="2036"/>
      <c r="CW147" s="1973">
        <v>1</v>
      </c>
      <c r="CX147" s="2037">
        <v>7</v>
      </c>
      <c r="CY147" s="2037">
        <v>7</v>
      </c>
      <c r="CZ147" s="2037">
        <v>5</v>
      </c>
      <c r="DA147" s="2037">
        <v>4</v>
      </c>
      <c r="DJ147" s="1976">
        <v>7</v>
      </c>
      <c r="DK147" s="1973">
        <v>7</v>
      </c>
      <c r="DL147" s="1973">
        <v>5</v>
      </c>
      <c r="DM147" s="1973">
        <v>4</v>
      </c>
      <c r="DO147" s="2043">
        <v>15</v>
      </c>
      <c r="DP147" s="2044">
        <v>89.722072000000011</v>
      </c>
      <c r="DQ147" s="2044">
        <v>1.41994336E-2</v>
      </c>
      <c r="DR147" s="2043">
        <v>-0.98694279200000035</v>
      </c>
      <c r="DS147" s="2046">
        <v>8</v>
      </c>
      <c r="DT147" s="2046">
        <v>8</v>
      </c>
      <c r="DU147" s="2046">
        <v>5</v>
      </c>
      <c r="DV147" s="2046">
        <v>4</v>
      </c>
      <c r="DW147" s="2047"/>
      <c r="DX147" s="2046">
        <v>0</v>
      </c>
      <c r="DY147" s="2046">
        <v>0</v>
      </c>
      <c r="DZ147" s="2046">
        <v>0</v>
      </c>
      <c r="EA147" s="2046">
        <v>12.330000000000002</v>
      </c>
      <c r="EB147" s="2046">
        <v>12.330000000000002</v>
      </c>
      <c r="EC147" s="2046">
        <v>9.8640000000000025</v>
      </c>
      <c r="ED147" s="2046">
        <v>6.9048000000000016</v>
      </c>
      <c r="EE147" s="2039">
        <f t="shared" si="83"/>
        <v>0</v>
      </c>
      <c r="EF147" s="2039">
        <f t="shared" si="83"/>
        <v>0</v>
      </c>
      <c r="EG147" s="2039">
        <f t="shared" si="83"/>
        <v>0</v>
      </c>
      <c r="EH147" s="2039">
        <f t="shared" si="74"/>
        <v>0</v>
      </c>
      <c r="EI147" s="2040">
        <f t="shared" si="70"/>
        <v>0</v>
      </c>
      <c r="EJ147" s="2040">
        <f t="shared" si="70"/>
        <v>0</v>
      </c>
      <c r="EK147" s="2040">
        <f t="shared" si="70"/>
        <v>0</v>
      </c>
      <c r="EL147" s="2040">
        <f t="shared" si="69"/>
        <v>0</v>
      </c>
      <c r="EM147" s="2040">
        <f t="shared" si="69"/>
        <v>0</v>
      </c>
      <c r="EN147" s="2040">
        <f t="shared" si="69"/>
        <v>0</v>
      </c>
      <c r="EO147" s="2040">
        <f t="shared" si="69"/>
        <v>0</v>
      </c>
      <c r="EP147" s="2040">
        <f t="shared" si="69"/>
        <v>0</v>
      </c>
      <c r="EQ147" s="2040">
        <f t="shared" si="69"/>
        <v>0</v>
      </c>
      <c r="ER147" s="2040">
        <f t="shared" si="72"/>
        <v>0</v>
      </c>
      <c r="ES147" s="2040">
        <f t="shared" si="72"/>
        <v>0</v>
      </c>
      <c r="ET147" s="2040">
        <f t="shared" si="72"/>
        <v>0</v>
      </c>
      <c r="EU147" s="2039">
        <f t="shared" si="84"/>
        <v>0</v>
      </c>
      <c r="EV147" s="2039">
        <f t="shared" si="85"/>
        <v>0</v>
      </c>
    </row>
    <row r="148" spans="1:152" x14ac:dyDescent="0.25">
      <c r="A148" s="2041" t="s">
        <v>252</v>
      </c>
      <c r="B148" s="2022"/>
      <c r="C148" s="2023">
        <v>10</v>
      </c>
      <c r="D148" s="2061">
        <v>-1522.2395734687498</v>
      </c>
      <c r="E148" s="2024">
        <v>0</v>
      </c>
      <c r="F148" s="2023">
        <v>472.27012500000001</v>
      </c>
      <c r="G148" s="2026" t="s">
        <v>2899</v>
      </c>
      <c r="H148" s="2026" t="s">
        <v>2899</v>
      </c>
      <c r="I148" s="2026">
        <v>0.84899999999999998</v>
      </c>
      <c r="J148" s="2026">
        <v>0.84899999999999998</v>
      </c>
      <c r="K148" s="2026">
        <v>0.84899999999999998</v>
      </c>
      <c r="L148" s="2026">
        <v>0.84899999999999998</v>
      </c>
      <c r="M148" s="2027">
        <f t="shared" si="86"/>
        <v>-1292.3813978749686</v>
      </c>
      <c r="N148" s="2027">
        <f t="shared" si="86"/>
        <v>-1292.3813978749686</v>
      </c>
      <c r="O148" s="2027">
        <f t="shared" si="86"/>
        <v>-1292.3813978749686</v>
      </c>
      <c r="P148" s="2027">
        <f t="shared" si="75"/>
        <v>-1292.3813978749686</v>
      </c>
      <c r="Q148" s="2026">
        <v>0.84899999999999998</v>
      </c>
      <c r="R148" s="2026">
        <v>0.84899999999999998</v>
      </c>
      <c r="S148" s="2026">
        <v>0.84899999999999998</v>
      </c>
      <c r="T148" s="2026">
        <v>0.84899999999999998</v>
      </c>
      <c r="U148" s="2028">
        <f t="shared" si="87"/>
        <v>0</v>
      </c>
      <c r="V148" s="2028">
        <f t="shared" si="87"/>
        <v>0</v>
      </c>
      <c r="W148" s="2028">
        <f t="shared" si="87"/>
        <v>0</v>
      </c>
      <c r="X148" s="2028">
        <f t="shared" si="76"/>
        <v>0</v>
      </c>
      <c r="Y148" s="2026">
        <v>0.67500000000000004</v>
      </c>
      <c r="Z148" s="2026">
        <v>0.67500000000000004</v>
      </c>
      <c r="AA148" s="2026">
        <v>0.67500000000000004</v>
      </c>
      <c r="AB148" s="2026">
        <v>0.67500000000000004</v>
      </c>
      <c r="AC148" s="2027">
        <f t="shared" si="90"/>
        <v>318.782334375</v>
      </c>
      <c r="AD148" s="2027">
        <f t="shared" si="90"/>
        <v>318.782334375</v>
      </c>
      <c r="AE148" s="2027">
        <f t="shared" si="90"/>
        <v>318.782334375</v>
      </c>
      <c r="AF148" s="2027">
        <f t="shared" si="90"/>
        <v>318.782334375</v>
      </c>
      <c r="AG148" s="2027">
        <v>0</v>
      </c>
      <c r="AH148" s="2027">
        <v>0</v>
      </c>
      <c r="AI148" s="2027">
        <v>0</v>
      </c>
      <c r="AJ148" s="2027">
        <v>0</v>
      </c>
      <c r="AK148" s="2027">
        <f t="shared" si="63"/>
        <v>0</v>
      </c>
      <c r="AL148" s="2027">
        <f t="shared" si="88"/>
        <v>0</v>
      </c>
      <c r="AM148" s="2027">
        <f t="shared" si="88"/>
        <v>0</v>
      </c>
      <c r="AN148" s="2027">
        <f t="shared" si="88"/>
        <v>0</v>
      </c>
      <c r="AO148" s="2027">
        <f t="shared" si="64"/>
        <v>0</v>
      </c>
      <c r="AP148" s="2027">
        <f t="shared" si="89"/>
        <v>0</v>
      </c>
      <c r="AQ148" s="2027">
        <f t="shared" si="89"/>
        <v>0</v>
      </c>
      <c r="AR148" s="2027">
        <f t="shared" si="59"/>
        <v>0</v>
      </c>
      <c r="AS148" s="2029"/>
      <c r="AT148" s="2029">
        <f t="shared" si="77"/>
        <v>0</v>
      </c>
      <c r="AU148" s="2029">
        <f t="shared" si="77"/>
        <v>0</v>
      </c>
      <c r="AV148" s="2029">
        <f t="shared" si="77"/>
        <v>0</v>
      </c>
      <c r="AW148" s="2029">
        <v>1000</v>
      </c>
      <c r="AX148" s="2029">
        <f t="shared" si="78"/>
        <v>1000</v>
      </c>
      <c r="AY148" s="2029">
        <f t="shared" si="78"/>
        <v>1000</v>
      </c>
      <c r="AZ148" s="2029">
        <f t="shared" si="78"/>
        <v>1000</v>
      </c>
      <c r="BA148" s="2029">
        <v>8600</v>
      </c>
      <c r="BB148" s="2029">
        <f t="shared" si="79"/>
        <v>8600</v>
      </c>
      <c r="BC148" s="2029">
        <f t="shared" si="79"/>
        <v>8600</v>
      </c>
      <c r="BD148" s="2029">
        <f t="shared" si="79"/>
        <v>8600</v>
      </c>
      <c r="BE148" s="2030">
        <f t="shared" si="80"/>
        <v>0</v>
      </c>
      <c r="BF148" s="2030">
        <f t="shared" si="80"/>
        <v>0</v>
      </c>
      <c r="BG148" s="2030">
        <f t="shared" si="80"/>
        <v>0</v>
      </c>
      <c r="BH148" s="2030">
        <f t="shared" si="73"/>
        <v>0</v>
      </c>
      <c r="BI148" s="2030">
        <f t="shared" si="81"/>
        <v>0</v>
      </c>
      <c r="BJ148" s="2030">
        <f t="shared" si="81"/>
        <v>0</v>
      </c>
      <c r="BK148" s="2030">
        <f t="shared" si="81"/>
        <v>0</v>
      </c>
      <c r="BL148" s="2030">
        <f t="shared" si="81"/>
        <v>0</v>
      </c>
      <c r="BM148" s="2031"/>
      <c r="BN148" s="2031"/>
      <c r="BO148" s="2031"/>
      <c r="BP148" s="2031"/>
      <c r="BQ148" s="2031"/>
      <c r="BR148" s="2031"/>
      <c r="BS148" s="2031"/>
      <c r="BT148" s="2031"/>
      <c r="BU148" s="2029"/>
      <c r="BV148" s="2029"/>
      <c r="BW148" s="2029"/>
      <c r="BX148" s="2029"/>
      <c r="BY148" s="2029"/>
      <c r="BZ148" s="2032"/>
      <c r="CA148" s="1974"/>
      <c r="CB148" s="1974"/>
      <c r="CC148" s="1974"/>
      <c r="CD148" s="1974"/>
      <c r="CE148" s="1974">
        <v>0</v>
      </c>
      <c r="CF148" s="2033">
        <v>0</v>
      </c>
      <c r="CG148" s="2026">
        <v>0</v>
      </c>
      <c r="CH148" s="2009">
        <v>0</v>
      </c>
      <c r="CI148" s="2029">
        <v>0</v>
      </c>
      <c r="CK148" s="2029">
        <f t="shared" si="82"/>
        <v>0</v>
      </c>
      <c r="CL148" s="2034">
        <v>1</v>
      </c>
      <c r="CM148" s="2034">
        <v>1</v>
      </c>
      <c r="CN148" s="2034">
        <v>1</v>
      </c>
      <c r="CO148" s="2034">
        <v>1</v>
      </c>
      <c r="CP148" s="2035"/>
      <c r="CQ148" s="2036"/>
      <c r="CR148" s="2036"/>
      <c r="CS148" s="2036"/>
      <c r="CT148" s="2036"/>
      <c r="CU148" s="2036"/>
      <c r="CW148" s="1973">
        <v>0</v>
      </c>
      <c r="CX148" s="2037">
        <v>1000</v>
      </c>
      <c r="CY148" s="2037">
        <v>1000</v>
      </c>
      <c r="CZ148" s="2037">
        <v>1000</v>
      </c>
      <c r="DA148" s="2037">
        <v>1000</v>
      </c>
      <c r="DK148" s="1973">
        <v>0</v>
      </c>
      <c r="DL148" s="1973">
        <v>0</v>
      </c>
      <c r="DM148" s="1973">
        <v>0</v>
      </c>
      <c r="DO148" s="2023">
        <v>10</v>
      </c>
      <c r="DP148" s="2061">
        <v>-1522.2395734687498</v>
      </c>
      <c r="DQ148" s="2024">
        <v>0</v>
      </c>
      <c r="DR148" s="2023">
        <v>472.27012500000001</v>
      </c>
      <c r="DS148" s="2029"/>
      <c r="DT148" s="2029">
        <v>0</v>
      </c>
      <c r="DU148" s="2029">
        <v>0</v>
      </c>
      <c r="DV148" s="2029">
        <v>0</v>
      </c>
      <c r="DW148" s="2029">
        <v>1000</v>
      </c>
      <c r="DX148" s="2029">
        <v>1000</v>
      </c>
      <c r="DY148" s="2029">
        <v>1000</v>
      </c>
      <c r="DZ148" s="2029">
        <v>1000</v>
      </c>
      <c r="EA148" s="2029">
        <v>8600</v>
      </c>
      <c r="EB148" s="2029">
        <v>8600</v>
      </c>
      <c r="EC148" s="2029">
        <v>8600</v>
      </c>
      <c r="ED148" s="2029">
        <v>8600</v>
      </c>
      <c r="EE148" s="2039">
        <f t="shared" si="83"/>
        <v>0</v>
      </c>
      <c r="EF148" s="2039">
        <f t="shared" si="83"/>
        <v>0</v>
      </c>
      <c r="EG148" s="2039">
        <f t="shared" si="83"/>
        <v>0</v>
      </c>
      <c r="EH148" s="2039">
        <f t="shared" si="74"/>
        <v>0</v>
      </c>
      <c r="EI148" s="2040">
        <f t="shared" si="70"/>
        <v>0</v>
      </c>
      <c r="EJ148" s="2040">
        <f t="shared" si="70"/>
        <v>0</v>
      </c>
      <c r="EK148" s="2040">
        <f t="shared" si="70"/>
        <v>0</v>
      </c>
      <c r="EL148" s="2040">
        <f t="shared" si="69"/>
        <v>0</v>
      </c>
      <c r="EM148" s="2040">
        <f t="shared" si="69"/>
        <v>0</v>
      </c>
      <c r="EN148" s="2040">
        <f t="shared" si="69"/>
        <v>0</v>
      </c>
      <c r="EO148" s="2040">
        <f t="shared" si="69"/>
        <v>0</v>
      </c>
      <c r="EP148" s="2040">
        <f t="shared" si="69"/>
        <v>0</v>
      </c>
      <c r="EQ148" s="2040">
        <f t="shared" si="69"/>
        <v>0</v>
      </c>
      <c r="ER148" s="2040">
        <f t="shared" si="72"/>
        <v>0</v>
      </c>
      <c r="ES148" s="2040">
        <f t="shared" si="72"/>
        <v>0</v>
      </c>
      <c r="ET148" s="2040">
        <f t="shared" si="72"/>
        <v>0</v>
      </c>
      <c r="EU148" s="2039">
        <f t="shared" si="84"/>
        <v>0</v>
      </c>
      <c r="EV148" s="2039">
        <f t="shared" si="85"/>
        <v>0</v>
      </c>
    </row>
    <row r="149" spans="1:152" x14ac:dyDescent="0.25">
      <c r="A149" s="2041" t="s">
        <v>253</v>
      </c>
      <c r="B149" s="2022"/>
      <c r="C149" s="2023">
        <v>10</v>
      </c>
      <c r="D149" s="2061">
        <v>-888.10068703124989</v>
      </c>
      <c r="E149" s="2024">
        <v>0</v>
      </c>
      <c r="F149" s="2023">
        <v>624.99187500000005</v>
      </c>
      <c r="G149" s="2026" t="s">
        <v>2899</v>
      </c>
      <c r="H149" s="2026" t="s">
        <v>2899</v>
      </c>
      <c r="I149" s="2026">
        <v>0.84899999999999998</v>
      </c>
      <c r="J149" s="2026">
        <v>0.84899999999999998</v>
      </c>
      <c r="K149" s="2026">
        <v>0.84899999999999998</v>
      </c>
      <c r="L149" s="2026">
        <v>0.84899999999999998</v>
      </c>
      <c r="M149" s="2027">
        <f t="shared" si="86"/>
        <v>-753.99748328953115</v>
      </c>
      <c r="N149" s="2027">
        <f t="shared" si="86"/>
        <v>-753.99748328953115</v>
      </c>
      <c r="O149" s="2027">
        <f t="shared" si="86"/>
        <v>-753.99748328953115</v>
      </c>
      <c r="P149" s="2027">
        <f t="shared" si="75"/>
        <v>-753.99748328953115</v>
      </c>
      <c r="Q149" s="2026">
        <v>0.84899999999999998</v>
      </c>
      <c r="R149" s="2026">
        <v>0.84899999999999998</v>
      </c>
      <c r="S149" s="2026">
        <v>0.84899999999999998</v>
      </c>
      <c r="T149" s="2026">
        <v>0.84899999999999998</v>
      </c>
      <c r="U149" s="2028">
        <f t="shared" si="87"/>
        <v>0</v>
      </c>
      <c r="V149" s="2028">
        <f t="shared" si="87"/>
        <v>0</v>
      </c>
      <c r="W149" s="2028">
        <f t="shared" si="87"/>
        <v>0</v>
      </c>
      <c r="X149" s="2028">
        <f t="shared" si="76"/>
        <v>0</v>
      </c>
      <c r="Y149" s="2026">
        <v>0.67500000000000004</v>
      </c>
      <c r="Z149" s="2026">
        <v>0.67500000000000004</v>
      </c>
      <c r="AA149" s="2026">
        <v>0.67500000000000004</v>
      </c>
      <c r="AB149" s="2026">
        <v>0.67500000000000004</v>
      </c>
      <c r="AC149" s="2027">
        <f t="shared" si="90"/>
        <v>421.86951562500008</v>
      </c>
      <c r="AD149" s="2027">
        <f t="shared" si="90"/>
        <v>421.86951562500008</v>
      </c>
      <c r="AE149" s="2027">
        <f t="shared" si="90"/>
        <v>421.86951562500008</v>
      </c>
      <c r="AF149" s="2027">
        <f t="shared" si="90"/>
        <v>421.86951562500008</v>
      </c>
      <c r="AG149" s="2027">
        <v>0</v>
      </c>
      <c r="AH149" s="2027">
        <v>0</v>
      </c>
      <c r="AI149" s="2027">
        <v>0</v>
      </c>
      <c r="AJ149" s="2027">
        <v>0</v>
      </c>
      <c r="AK149" s="2027">
        <f t="shared" si="63"/>
        <v>0</v>
      </c>
      <c r="AL149" s="2027">
        <f t="shared" si="88"/>
        <v>0</v>
      </c>
      <c r="AM149" s="2027">
        <f t="shared" si="88"/>
        <v>0</v>
      </c>
      <c r="AN149" s="2027">
        <f t="shared" si="88"/>
        <v>0</v>
      </c>
      <c r="AO149" s="2027">
        <f t="shared" si="64"/>
        <v>0</v>
      </c>
      <c r="AP149" s="2027">
        <f t="shared" si="89"/>
        <v>0</v>
      </c>
      <c r="AQ149" s="2027">
        <f t="shared" si="89"/>
        <v>0</v>
      </c>
      <c r="AR149" s="2027">
        <f t="shared" si="59"/>
        <v>0</v>
      </c>
      <c r="AS149" s="2029"/>
      <c r="AT149" s="2029">
        <f t="shared" si="77"/>
        <v>0</v>
      </c>
      <c r="AU149" s="2029">
        <f t="shared" si="77"/>
        <v>0</v>
      </c>
      <c r="AV149" s="2029">
        <f t="shared" si="77"/>
        <v>0</v>
      </c>
      <c r="AW149" s="2029">
        <v>1000</v>
      </c>
      <c r="AX149" s="2029">
        <f t="shared" si="78"/>
        <v>1000</v>
      </c>
      <c r="AY149" s="2029">
        <f t="shared" si="78"/>
        <v>1000</v>
      </c>
      <c r="AZ149" s="2029">
        <f t="shared" si="78"/>
        <v>1000</v>
      </c>
      <c r="BA149" s="2029">
        <v>8650</v>
      </c>
      <c r="BB149" s="2029">
        <f t="shared" si="79"/>
        <v>8650</v>
      </c>
      <c r="BC149" s="2029">
        <f t="shared" si="79"/>
        <v>8650</v>
      </c>
      <c r="BD149" s="2029">
        <f t="shared" si="79"/>
        <v>8650</v>
      </c>
      <c r="BE149" s="2030">
        <f t="shared" si="80"/>
        <v>0</v>
      </c>
      <c r="BF149" s="2030">
        <f t="shared" si="80"/>
        <v>0</v>
      </c>
      <c r="BG149" s="2030">
        <f t="shared" si="80"/>
        <v>0</v>
      </c>
      <c r="BH149" s="2030">
        <f t="shared" si="73"/>
        <v>0</v>
      </c>
      <c r="BI149" s="2030">
        <f t="shared" si="81"/>
        <v>0</v>
      </c>
      <c r="BJ149" s="2030">
        <f t="shared" si="81"/>
        <v>0</v>
      </c>
      <c r="BK149" s="2030">
        <f t="shared" si="81"/>
        <v>0</v>
      </c>
      <c r="BL149" s="2030">
        <f t="shared" si="81"/>
        <v>0</v>
      </c>
      <c r="BM149" s="2031"/>
      <c r="BN149" s="2031"/>
      <c r="BO149" s="2031"/>
      <c r="BP149" s="2031"/>
      <c r="BQ149" s="2031"/>
      <c r="BR149" s="2031"/>
      <c r="BS149" s="2031"/>
      <c r="BT149" s="2031"/>
      <c r="BU149" s="2029"/>
      <c r="BV149" s="2029"/>
      <c r="BW149" s="2029"/>
      <c r="BX149" s="2029"/>
      <c r="BY149" s="2029"/>
      <c r="BZ149" s="2032"/>
      <c r="CA149" s="1974"/>
      <c r="CB149" s="1974"/>
      <c r="CC149" s="1974"/>
      <c r="CD149" s="1974"/>
      <c r="CE149" s="1974">
        <v>0</v>
      </c>
      <c r="CF149" s="2033">
        <v>0</v>
      </c>
      <c r="CG149" s="2026">
        <v>0</v>
      </c>
      <c r="CH149" s="2009">
        <v>0</v>
      </c>
      <c r="CI149" s="2029">
        <v>0</v>
      </c>
      <c r="CK149" s="2029">
        <f t="shared" si="82"/>
        <v>0</v>
      </c>
      <c r="CL149" s="2034">
        <v>1</v>
      </c>
      <c r="CM149" s="2034">
        <v>1</v>
      </c>
      <c r="CN149" s="2034">
        <v>1</v>
      </c>
      <c r="CO149" s="2034">
        <v>1</v>
      </c>
      <c r="CP149" s="2035"/>
      <c r="CQ149" s="2036"/>
      <c r="CR149" s="2036"/>
      <c r="CS149" s="2036"/>
      <c r="CT149" s="2036"/>
      <c r="CU149" s="2036"/>
      <c r="CW149" s="1973">
        <v>0</v>
      </c>
      <c r="CX149" s="2037">
        <v>1000</v>
      </c>
      <c r="CY149" s="2037">
        <v>1000</v>
      </c>
      <c r="CZ149" s="2037">
        <v>1000</v>
      </c>
      <c r="DA149" s="2037">
        <v>1000</v>
      </c>
      <c r="DK149" s="1973">
        <v>0</v>
      </c>
      <c r="DL149" s="1973">
        <v>0</v>
      </c>
      <c r="DM149" s="1973">
        <v>0</v>
      </c>
      <c r="DO149" s="2023">
        <v>10</v>
      </c>
      <c r="DP149" s="2061">
        <v>-888.10068703124989</v>
      </c>
      <c r="DQ149" s="2024">
        <v>0</v>
      </c>
      <c r="DR149" s="2023">
        <v>624.99187500000005</v>
      </c>
      <c r="DS149" s="2029"/>
      <c r="DT149" s="2029">
        <v>0</v>
      </c>
      <c r="DU149" s="2029">
        <v>0</v>
      </c>
      <c r="DV149" s="2029">
        <v>0</v>
      </c>
      <c r="DW149" s="2029">
        <v>1000</v>
      </c>
      <c r="DX149" s="2029">
        <v>1000</v>
      </c>
      <c r="DY149" s="2029">
        <v>1000</v>
      </c>
      <c r="DZ149" s="2029">
        <v>1000</v>
      </c>
      <c r="EA149" s="2029">
        <v>8650</v>
      </c>
      <c r="EB149" s="2029">
        <v>8650</v>
      </c>
      <c r="EC149" s="2029">
        <v>8650</v>
      </c>
      <c r="ED149" s="2029">
        <v>8650</v>
      </c>
      <c r="EE149" s="2039">
        <f t="shared" si="83"/>
        <v>0</v>
      </c>
      <c r="EF149" s="2039">
        <f t="shared" si="83"/>
        <v>0</v>
      </c>
      <c r="EG149" s="2039">
        <f t="shared" si="83"/>
        <v>0</v>
      </c>
      <c r="EH149" s="2039">
        <f t="shared" si="74"/>
        <v>0</v>
      </c>
      <c r="EI149" s="2040">
        <f t="shared" si="70"/>
        <v>0</v>
      </c>
      <c r="EJ149" s="2040">
        <f t="shared" si="70"/>
        <v>0</v>
      </c>
      <c r="EK149" s="2040">
        <f t="shared" si="70"/>
        <v>0</v>
      </c>
      <c r="EL149" s="2040">
        <f t="shared" si="69"/>
        <v>0</v>
      </c>
      <c r="EM149" s="2040">
        <f t="shared" si="69"/>
        <v>0</v>
      </c>
      <c r="EN149" s="2040">
        <f t="shared" si="69"/>
        <v>0</v>
      </c>
      <c r="EO149" s="2040">
        <f t="shared" si="69"/>
        <v>0</v>
      </c>
      <c r="EP149" s="2040">
        <f t="shared" si="69"/>
        <v>0</v>
      </c>
      <c r="EQ149" s="2040">
        <f t="shared" si="69"/>
        <v>0</v>
      </c>
      <c r="ER149" s="2040">
        <f t="shared" si="72"/>
        <v>0</v>
      </c>
      <c r="ES149" s="2040">
        <f t="shared" si="72"/>
        <v>0</v>
      </c>
      <c r="ET149" s="2040">
        <f t="shared" si="72"/>
        <v>0</v>
      </c>
      <c r="EU149" s="2039">
        <f t="shared" si="84"/>
        <v>0</v>
      </c>
      <c r="EV149" s="2039">
        <f t="shared" si="85"/>
        <v>0</v>
      </c>
    </row>
    <row r="150" spans="1:152" x14ac:dyDescent="0.25">
      <c r="A150" s="2041" t="s">
        <v>254</v>
      </c>
      <c r="B150" s="2022"/>
      <c r="C150" s="2023">
        <v>10</v>
      </c>
      <c r="D150" s="2061">
        <v>-502.36652362500001</v>
      </c>
      <c r="E150" s="2024">
        <v>0</v>
      </c>
      <c r="F150" s="2023">
        <v>717.88950000000011</v>
      </c>
      <c r="G150" s="2026" t="s">
        <v>2899</v>
      </c>
      <c r="H150" s="2026" t="s">
        <v>2899</v>
      </c>
      <c r="I150" s="2026">
        <v>0.84899999999999998</v>
      </c>
      <c r="J150" s="2026">
        <v>0.84899999999999998</v>
      </c>
      <c r="K150" s="2026">
        <v>0.84899999999999998</v>
      </c>
      <c r="L150" s="2026">
        <v>0.84899999999999998</v>
      </c>
      <c r="M150" s="2027">
        <f t="shared" si="86"/>
        <v>-426.50917855762498</v>
      </c>
      <c r="N150" s="2027">
        <f t="shared" si="86"/>
        <v>-426.50917855762498</v>
      </c>
      <c r="O150" s="2027">
        <f t="shared" si="86"/>
        <v>-426.50917855762498</v>
      </c>
      <c r="P150" s="2027">
        <f t="shared" si="75"/>
        <v>-426.50917855762498</v>
      </c>
      <c r="Q150" s="2026">
        <v>0.84899999999999998</v>
      </c>
      <c r="R150" s="2026">
        <v>0.84899999999999998</v>
      </c>
      <c r="S150" s="2026">
        <v>0.84899999999999998</v>
      </c>
      <c r="T150" s="2026">
        <v>0.84899999999999998</v>
      </c>
      <c r="U150" s="2028">
        <f t="shared" si="87"/>
        <v>0</v>
      </c>
      <c r="V150" s="2028">
        <f t="shared" si="87"/>
        <v>0</v>
      </c>
      <c r="W150" s="2028">
        <f t="shared" si="87"/>
        <v>0</v>
      </c>
      <c r="X150" s="2028">
        <f t="shared" si="76"/>
        <v>0</v>
      </c>
      <c r="Y150" s="2026">
        <v>0.67500000000000004</v>
      </c>
      <c r="Z150" s="2026">
        <v>0.67500000000000004</v>
      </c>
      <c r="AA150" s="2026">
        <v>0.67500000000000004</v>
      </c>
      <c r="AB150" s="2026">
        <v>0.67500000000000004</v>
      </c>
      <c r="AC150" s="2027">
        <f t="shared" si="90"/>
        <v>484.57541250000008</v>
      </c>
      <c r="AD150" s="2027">
        <f t="shared" si="90"/>
        <v>484.57541250000008</v>
      </c>
      <c r="AE150" s="2027">
        <f t="shared" si="90"/>
        <v>484.57541250000008</v>
      </c>
      <c r="AF150" s="2027">
        <f t="shared" si="90"/>
        <v>484.57541250000008</v>
      </c>
      <c r="AG150" s="2027">
        <v>0</v>
      </c>
      <c r="AH150" s="2027">
        <v>0</v>
      </c>
      <c r="AI150" s="2027">
        <v>0</v>
      </c>
      <c r="AJ150" s="2027">
        <v>0</v>
      </c>
      <c r="AK150" s="2027">
        <f t="shared" si="63"/>
        <v>0</v>
      </c>
      <c r="AL150" s="2027">
        <f t="shared" si="88"/>
        <v>0</v>
      </c>
      <c r="AM150" s="2027">
        <f t="shared" si="88"/>
        <v>0</v>
      </c>
      <c r="AN150" s="2027">
        <f t="shared" si="88"/>
        <v>0</v>
      </c>
      <c r="AO150" s="2027">
        <f t="shared" si="64"/>
        <v>0</v>
      </c>
      <c r="AP150" s="2027">
        <f t="shared" si="89"/>
        <v>0</v>
      </c>
      <c r="AQ150" s="2027">
        <f t="shared" si="89"/>
        <v>0</v>
      </c>
      <c r="AR150" s="2027">
        <f t="shared" si="59"/>
        <v>0</v>
      </c>
      <c r="AS150" s="2029"/>
      <c r="AT150" s="2029">
        <f t="shared" si="77"/>
        <v>0</v>
      </c>
      <c r="AU150" s="2029">
        <f t="shared" si="77"/>
        <v>0</v>
      </c>
      <c r="AV150" s="2029">
        <f t="shared" si="77"/>
        <v>0</v>
      </c>
      <c r="AW150" s="2029">
        <v>1000</v>
      </c>
      <c r="AX150" s="2029">
        <f t="shared" si="78"/>
        <v>1000</v>
      </c>
      <c r="AY150" s="2029">
        <f t="shared" si="78"/>
        <v>1000</v>
      </c>
      <c r="AZ150" s="2029">
        <f t="shared" si="78"/>
        <v>1000</v>
      </c>
      <c r="BA150" s="2029">
        <v>8700</v>
      </c>
      <c r="BB150" s="2029">
        <f t="shared" si="79"/>
        <v>8700</v>
      </c>
      <c r="BC150" s="2029">
        <f t="shared" si="79"/>
        <v>8700</v>
      </c>
      <c r="BD150" s="2029">
        <f t="shared" si="79"/>
        <v>8700</v>
      </c>
      <c r="BE150" s="2030">
        <f t="shared" si="80"/>
        <v>0</v>
      </c>
      <c r="BF150" s="2030">
        <f t="shared" si="80"/>
        <v>0</v>
      </c>
      <c r="BG150" s="2030">
        <f t="shared" si="80"/>
        <v>0</v>
      </c>
      <c r="BH150" s="2030">
        <f t="shared" si="73"/>
        <v>0</v>
      </c>
      <c r="BI150" s="2030">
        <f t="shared" si="81"/>
        <v>0</v>
      </c>
      <c r="BJ150" s="2030">
        <f t="shared" si="81"/>
        <v>0</v>
      </c>
      <c r="BK150" s="2030">
        <f t="shared" si="81"/>
        <v>0</v>
      </c>
      <c r="BL150" s="2030">
        <f t="shared" si="81"/>
        <v>0</v>
      </c>
      <c r="BM150" s="2031"/>
      <c r="BN150" s="2031"/>
      <c r="BO150" s="2031"/>
      <c r="BP150" s="2031"/>
      <c r="BQ150" s="2031"/>
      <c r="BR150" s="2031"/>
      <c r="BS150" s="2031"/>
      <c r="BT150" s="2031"/>
      <c r="BU150" s="2029"/>
      <c r="BV150" s="2029"/>
      <c r="BW150" s="2029"/>
      <c r="BX150" s="2029"/>
      <c r="BY150" s="2029"/>
      <c r="BZ150" s="2032"/>
      <c r="CA150" s="1974"/>
      <c r="CB150" s="1974"/>
      <c r="CC150" s="1974"/>
      <c r="CD150" s="1974"/>
      <c r="CE150" s="1974">
        <v>0</v>
      </c>
      <c r="CF150" s="2033">
        <v>0</v>
      </c>
      <c r="CG150" s="2026">
        <v>0</v>
      </c>
      <c r="CH150" s="2009">
        <v>0</v>
      </c>
      <c r="CI150" s="2029">
        <v>0</v>
      </c>
      <c r="CK150" s="2029">
        <f t="shared" si="82"/>
        <v>0</v>
      </c>
      <c r="CL150" s="2034">
        <v>1</v>
      </c>
      <c r="CM150" s="2034">
        <v>1</v>
      </c>
      <c r="CN150" s="2034">
        <v>1</v>
      </c>
      <c r="CO150" s="2034">
        <v>1</v>
      </c>
      <c r="CP150" s="2035"/>
      <c r="CQ150" s="2036"/>
      <c r="CR150" s="2036"/>
      <c r="CS150" s="2036"/>
      <c r="CT150" s="2036"/>
      <c r="CU150" s="2036"/>
      <c r="CW150" s="1973">
        <v>0</v>
      </c>
      <c r="CX150" s="2037">
        <v>1000</v>
      </c>
      <c r="CY150" s="2037">
        <v>1000</v>
      </c>
      <c r="CZ150" s="2037">
        <v>1000</v>
      </c>
      <c r="DA150" s="2037">
        <v>1000</v>
      </c>
      <c r="DK150" s="1973">
        <v>0</v>
      </c>
      <c r="DL150" s="1973">
        <v>0</v>
      </c>
      <c r="DM150" s="1973">
        <v>0</v>
      </c>
      <c r="DO150" s="2023">
        <v>10</v>
      </c>
      <c r="DP150" s="2061">
        <v>-502.36652362500001</v>
      </c>
      <c r="DQ150" s="2024">
        <v>0</v>
      </c>
      <c r="DR150" s="2023">
        <v>717.88950000000011</v>
      </c>
      <c r="DS150" s="2029"/>
      <c r="DT150" s="2029">
        <v>0</v>
      </c>
      <c r="DU150" s="2029">
        <v>0</v>
      </c>
      <c r="DV150" s="2029">
        <v>0</v>
      </c>
      <c r="DW150" s="2029">
        <v>1000</v>
      </c>
      <c r="DX150" s="2029">
        <v>1000</v>
      </c>
      <c r="DY150" s="2029">
        <v>1000</v>
      </c>
      <c r="DZ150" s="2029">
        <v>1000</v>
      </c>
      <c r="EA150" s="2029">
        <v>8700</v>
      </c>
      <c r="EB150" s="2029">
        <v>8700</v>
      </c>
      <c r="EC150" s="2029">
        <v>8700</v>
      </c>
      <c r="ED150" s="2029">
        <v>8700</v>
      </c>
      <c r="EE150" s="2039">
        <f t="shared" si="83"/>
        <v>0</v>
      </c>
      <c r="EF150" s="2039">
        <f t="shared" si="83"/>
        <v>0</v>
      </c>
      <c r="EG150" s="2039">
        <f t="shared" si="83"/>
        <v>0</v>
      </c>
      <c r="EH150" s="2039">
        <f t="shared" si="74"/>
        <v>0</v>
      </c>
      <c r="EI150" s="2040">
        <f t="shared" si="70"/>
        <v>0</v>
      </c>
      <c r="EJ150" s="2040">
        <f t="shared" si="70"/>
        <v>0</v>
      </c>
      <c r="EK150" s="2040">
        <f t="shared" si="70"/>
        <v>0</v>
      </c>
      <c r="EL150" s="2040">
        <f t="shared" si="69"/>
        <v>0</v>
      </c>
      <c r="EM150" s="2040">
        <f t="shared" si="69"/>
        <v>0</v>
      </c>
      <c r="EN150" s="2040">
        <f t="shared" si="69"/>
        <v>0</v>
      </c>
      <c r="EO150" s="2040">
        <f t="shared" si="69"/>
        <v>0</v>
      </c>
      <c r="EP150" s="2040">
        <f t="shared" si="69"/>
        <v>0</v>
      </c>
      <c r="EQ150" s="2040">
        <f t="shared" si="69"/>
        <v>0</v>
      </c>
      <c r="ER150" s="2040">
        <f t="shared" si="72"/>
        <v>0</v>
      </c>
      <c r="ES150" s="2040">
        <f t="shared" si="72"/>
        <v>0</v>
      </c>
      <c r="ET150" s="2040">
        <f t="shared" si="72"/>
        <v>0</v>
      </c>
      <c r="EU150" s="2039">
        <f t="shared" si="84"/>
        <v>0</v>
      </c>
      <c r="EV150" s="2039">
        <f t="shared" si="85"/>
        <v>0</v>
      </c>
    </row>
    <row r="151" spans="1:152" x14ac:dyDescent="0.25">
      <c r="A151" s="2041" t="s">
        <v>255</v>
      </c>
      <c r="B151" s="2022"/>
      <c r="C151" s="2023">
        <v>10</v>
      </c>
      <c r="D151" s="2024">
        <v>20.697080156250195</v>
      </c>
      <c r="E151" s="2024">
        <v>0</v>
      </c>
      <c r="F151" s="2023">
        <v>843.86062500000014</v>
      </c>
      <c r="G151" s="2026" t="s">
        <v>2899</v>
      </c>
      <c r="H151" s="2026" t="s">
        <v>2899</v>
      </c>
      <c r="I151" s="2026">
        <v>0.84899999999999998</v>
      </c>
      <c r="J151" s="2026">
        <v>0.84899999999999998</v>
      </c>
      <c r="K151" s="2026">
        <v>0.84899999999999998</v>
      </c>
      <c r="L151" s="2026">
        <v>0.84899999999999998</v>
      </c>
      <c r="M151" s="2027">
        <f t="shared" si="86"/>
        <v>17.571821052656414</v>
      </c>
      <c r="N151" s="2027">
        <f t="shared" si="86"/>
        <v>17.571821052656414</v>
      </c>
      <c r="O151" s="2027">
        <f t="shared" si="86"/>
        <v>17.571821052656414</v>
      </c>
      <c r="P151" s="2027">
        <f t="shared" si="75"/>
        <v>17.571821052656414</v>
      </c>
      <c r="Q151" s="2026">
        <v>0.84899999999999998</v>
      </c>
      <c r="R151" s="2026">
        <v>0.84899999999999998</v>
      </c>
      <c r="S151" s="2026">
        <v>0.84899999999999998</v>
      </c>
      <c r="T151" s="2026">
        <v>0.84899999999999998</v>
      </c>
      <c r="U151" s="2028">
        <f t="shared" si="87"/>
        <v>0</v>
      </c>
      <c r="V151" s="2028">
        <f t="shared" si="87"/>
        <v>0</v>
      </c>
      <c r="W151" s="2028">
        <f t="shared" si="87"/>
        <v>0</v>
      </c>
      <c r="X151" s="2028">
        <f t="shared" si="76"/>
        <v>0</v>
      </c>
      <c r="Y151" s="2026">
        <v>0.67500000000000004</v>
      </c>
      <c r="Z151" s="2026">
        <v>0.67500000000000004</v>
      </c>
      <c r="AA151" s="2026">
        <v>0.67500000000000004</v>
      </c>
      <c r="AB151" s="2026">
        <v>0.67500000000000004</v>
      </c>
      <c r="AC151" s="2027">
        <f t="shared" si="90"/>
        <v>569.60592187500015</v>
      </c>
      <c r="AD151" s="2027">
        <f t="shared" si="90"/>
        <v>569.60592187500015</v>
      </c>
      <c r="AE151" s="2027">
        <f t="shared" si="90"/>
        <v>569.60592187500015</v>
      </c>
      <c r="AF151" s="2027">
        <f t="shared" si="90"/>
        <v>569.60592187500015</v>
      </c>
      <c r="AG151" s="2027">
        <v>1</v>
      </c>
      <c r="AH151" s="2027">
        <v>1</v>
      </c>
      <c r="AI151" s="2027">
        <v>1</v>
      </c>
      <c r="AJ151" s="2027">
        <v>1</v>
      </c>
      <c r="AK151" s="2027">
        <f t="shared" si="63"/>
        <v>17.571821052656414</v>
      </c>
      <c r="AL151" s="2027">
        <f t="shared" si="88"/>
        <v>17.571821052656414</v>
      </c>
      <c r="AM151" s="2027">
        <f t="shared" si="88"/>
        <v>17.571821052656414</v>
      </c>
      <c r="AN151" s="2027">
        <f t="shared" si="88"/>
        <v>17.571821052656414</v>
      </c>
      <c r="AO151" s="2027">
        <f t="shared" si="64"/>
        <v>569.60592187500015</v>
      </c>
      <c r="AP151" s="2027">
        <f t="shared" si="89"/>
        <v>569.60592187500015</v>
      </c>
      <c r="AQ151" s="2027">
        <f t="shared" si="89"/>
        <v>569.60592187500015</v>
      </c>
      <c r="AR151" s="2027">
        <f t="shared" si="59"/>
        <v>569.60592187500015</v>
      </c>
      <c r="AS151" s="2029">
        <f>DF151</f>
        <v>0</v>
      </c>
      <c r="AT151" s="2029">
        <f t="shared" si="77"/>
        <v>0</v>
      </c>
      <c r="AU151" s="2029">
        <f t="shared" si="77"/>
        <v>0</v>
      </c>
      <c r="AV151" s="2029">
        <f t="shared" si="77"/>
        <v>0</v>
      </c>
      <c r="AW151" s="2029">
        <f>CX151-AS151</f>
        <v>1000</v>
      </c>
      <c r="AX151" s="2029">
        <f t="shared" si="78"/>
        <v>1000</v>
      </c>
      <c r="AY151" s="2029">
        <f t="shared" si="78"/>
        <v>1000</v>
      </c>
      <c r="AZ151" s="2029">
        <f t="shared" si="78"/>
        <v>1000</v>
      </c>
      <c r="BA151" s="2029">
        <v>8750</v>
      </c>
      <c r="BB151" s="2029">
        <f t="shared" si="79"/>
        <v>8750</v>
      </c>
      <c r="BC151" s="2029">
        <f t="shared" si="79"/>
        <v>8750</v>
      </c>
      <c r="BD151" s="2029">
        <f t="shared" si="79"/>
        <v>8750</v>
      </c>
      <c r="BE151" s="2030">
        <f t="shared" si="80"/>
        <v>0</v>
      </c>
      <c r="BF151" s="2030">
        <f t="shared" si="80"/>
        <v>0</v>
      </c>
      <c r="BG151" s="2030">
        <f t="shared" si="80"/>
        <v>0</v>
      </c>
      <c r="BH151" s="2030">
        <f t="shared" si="73"/>
        <v>0</v>
      </c>
      <c r="BI151" s="2030">
        <f t="shared" si="81"/>
        <v>1000</v>
      </c>
      <c r="BJ151" s="2030">
        <f t="shared" si="81"/>
        <v>1000</v>
      </c>
      <c r="BK151" s="2030">
        <f t="shared" si="81"/>
        <v>1000</v>
      </c>
      <c r="BL151" s="2030">
        <f t="shared" si="81"/>
        <v>1000</v>
      </c>
      <c r="BM151" s="2031"/>
      <c r="BN151" s="2031"/>
      <c r="BO151" s="2031"/>
      <c r="BP151" s="2031"/>
      <c r="BQ151" s="2031"/>
      <c r="BR151" s="2031"/>
      <c r="BS151" s="2031"/>
      <c r="BT151" s="2031"/>
      <c r="BU151" s="2029"/>
      <c r="BV151" s="2029"/>
      <c r="BW151" s="2029"/>
      <c r="BX151" s="2029"/>
      <c r="BY151" s="2029"/>
      <c r="BZ151" s="2032"/>
      <c r="CA151" s="1974"/>
      <c r="CB151" s="1974"/>
      <c r="CC151" s="1974"/>
      <c r="CD151" s="1974"/>
      <c r="CE151" s="1974">
        <v>0</v>
      </c>
      <c r="CF151" s="2033">
        <v>7.3456130154794531E-8</v>
      </c>
      <c r="CG151" s="2026">
        <v>2.1250882214305197E-4</v>
      </c>
      <c r="CH151" s="2009">
        <v>0</v>
      </c>
      <c r="CI151" s="2029">
        <v>0</v>
      </c>
      <c r="CK151" s="2029">
        <f t="shared" si="82"/>
        <v>0</v>
      </c>
      <c r="CL151" s="2034">
        <v>1</v>
      </c>
      <c r="CM151" s="2034">
        <v>1</v>
      </c>
      <c r="CN151" s="2034">
        <v>1</v>
      </c>
      <c r="CO151" s="2034">
        <v>1</v>
      </c>
      <c r="CP151" s="2035"/>
      <c r="CQ151" s="2036"/>
      <c r="CR151" s="2036"/>
      <c r="CS151" s="2036"/>
      <c r="CT151" s="2036"/>
      <c r="CU151" s="2036"/>
      <c r="CW151" s="1973">
        <v>0</v>
      </c>
      <c r="CX151" s="2037">
        <v>1000</v>
      </c>
      <c r="CY151" s="2037">
        <v>1000</v>
      </c>
      <c r="CZ151" s="2037">
        <v>1000</v>
      </c>
      <c r="DA151" s="2037">
        <v>1000</v>
      </c>
      <c r="DB151" s="2051">
        <v>0</v>
      </c>
      <c r="DC151" s="2051">
        <v>0</v>
      </c>
      <c r="DD151" s="2051">
        <v>0</v>
      </c>
      <c r="DE151" s="2051">
        <v>0</v>
      </c>
      <c r="DF151" s="2037">
        <f t="shared" ref="DF151:DI153" si="91">DB151*CX151</f>
        <v>0</v>
      </c>
      <c r="DG151" s="2037">
        <f t="shared" si="91"/>
        <v>0</v>
      </c>
      <c r="DH151" s="2037">
        <f t="shared" si="91"/>
        <v>0</v>
      </c>
      <c r="DI151" s="2037">
        <f t="shared" si="91"/>
        <v>0</v>
      </c>
      <c r="DK151" s="1973">
        <v>0</v>
      </c>
      <c r="DL151" s="1973">
        <v>0</v>
      </c>
      <c r="DM151" s="1973">
        <v>0</v>
      </c>
      <c r="DO151" s="2023">
        <v>10</v>
      </c>
      <c r="DP151" s="2024">
        <v>20.697080156250195</v>
      </c>
      <c r="DQ151" s="2024">
        <v>0</v>
      </c>
      <c r="DR151" s="2023">
        <v>843.86062500000014</v>
      </c>
      <c r="DS151" s="2029">
        <v>0</v>
      </c>
      <c r="DT151" s="2029">
        <v>0</v>
      </c>
      <c r="DU151" s="2029">
        <v>0</v>
      </c>
      <c r="DV151" s="2029">
        <v>0</v>
      </c>
      <c r="DW151" s="2029">
        <v>1000</v>
      </c>
      <c r="DX151" s="2029">
        <v>1000</v>
      </c>
      <c r="DY151" s="2029">
        <v>1000</v>
      </c>
      <c r="DZ151" s="2029">
        <v>1000</v>
      </c>
      <c r="EA151" s="2029">
        <v>8750</v>
      </c>
      <c r="EB151" s="2029">
        <v>8750</v>
      </c>
      <c r="EC151" s="2029">
        <v>8750</v>
      </c>
      <c r="ED151" s="2029">
        <v>8750</v>
      </c>
      <c r="EE151" s="2039">
        <f t="shared" si="83"/>
        <v>0</v>
      </c>
      <c r="EF151" s="2039">
        <f t="shared" si="83"/>
        <v>0</v>
      </c>
      <c r="EG151" s="2039">
        <f t="shared" si="83"/>
        <v>0</v>
      </c>
      <c r="EH151" s="2039">
        <f t="shared" si="74"/>
        <v>0</v>
      </c>
      <c r="EI151" s="2040">
        <f t="shared" si="70"/>
        <v>0</v>
      </c>
      <c r="EJ151" s="2040">
        <f t="shared" si="70"/>
        <v>0</v>
      </c>
      <c r="EK151" s="2040">
        <f t="shared" si="70"/>
        <v>0</v>
      </c>
      <c r="EL151" s="2040">
        <f t="shared" si="69"/>
        <v>0</v>
      </c>
      <c r="EM151" s="2040">
        <f t="shared" si="69"/>
        <v>0</v>
      </c>
      <c r="EN151" s="2040">
        <f t="shared" si="69"/>
        <v>0</v>
      </c>
      <c r="EO151" s="2040">
        <f t="shared" si="69"/>
        <v>0</v>
      </c>
      <c r="EP151" s="2040">
        <f t="shared" si="69"/>
        <v>0</v>
      </c>
      <c r="EQ151" s="2040">
        <f t="shared" si="69"/>
        <v>0</v>
      </c>
      <c r="ER151" s="2040">
        <f t="shared" si="72"/>
        <v>0</v>
      </c>
      <c r="ES151" s="2040">
        <f t="shared" si="72"/>
        <v>0</v>
      </c>
      <c r="ET151" s="2040">
        <f t="shared" si="72"/>
        <v>0</v>
      </c>
      <c r="EU151" s="2039">
        <f t="shared" si="84"/>
        <v>0</v>
      </c>
      <c r="EV151" s="2039">
        <f t="shared" si="85"/>
        <v>0</v>
      </c>
    </row>
    <row r="152" spans="1:152" x14ac:dyDescent="0.25">
      <c r="A152" s="2041" t="s">
        <v>256</v>
      </c>
      <c r="B152" s="2022"/>
      <c r="C152" s="2023">
        <v>10</v>
      </c>
      <c r="D152" s="2024">
        <v>654.83596659374984</v>
      </c>
      <c r="E152" s="2024">
        <v>0</v>
      </c>
      <c r="F152" s="2023">
        <v>996.58237499999996</v>
      </c>
      <c r="G152" s="2026" t="s">
        <v>2899</v>
      </c>
      <c r="H152" s="2026" t="s">
        <v>2899</v>
      </c>
      <c r="I152" s="2026">
        <v>0.84899999999999998</v>
      </c>
      <c r="J152" s="2026">
        <v>0.84899999999999998</v>
      </c>
      <c r="K152" s="2026">
        <v>0.84899999999999998</v>
      </c>
      <c r="L152" s="2026">
        <v>0.84899999999999998</v>
      </c>
      <c r="M152" s="2027">
        <f t="shared" si="86"/>
        <v>555.95573563809364</v>
      </c>
      <c r="N152" s="2027">
        <f t="shared" si="86"/>
        <v>555.95573563809364</v>
      </c>
      <c r="O152" s="2027">
        <f t="shared" si="86"/>
        <v>555.95573563809364</v>
      </c>
      <c r="P152" s="2027">
        <f t="shared" si="75"/>
        <v>555.95573563809364</v>
      </c>
      <c r="Q152" s="2026">
        <v>0.84899999999999998</v>
      </c>
      <c r="R152" s="2026">
        <v>0.84899999999999998</v>
      </c>
      <c r="S152" s="2026">
        <v>0.84899999999999998</v>
      </c>
      <c r="T152" s="2026">
        <v>0.84899999999999998</v>
      </c>
      <c r="U152" s="2028">
        <f t="shared" si="87"/>
        <v>0</v>
      </c>
      <c r="V152" s="2028">
        <f t="shared" si="87"/>
        <v>0</v>
      </c>
      <c r="W152" s="2028">
        <f t="shared" si="87"/>
        <v>0</v>
      </c>
      <c r="X152" s="2028">
        <f t="shared" si="76"/>
        <v>0</v>
      </c>
      <c r="Y152" s="2026">
        <v>0.67500000000000004</v>
      </c>
      <c r="Z152" s="2026">
        <v>0.67500000000000004</v>
      </c>
      <c r="AA152" s="2026">
        <v>0.67500000000000004</v>
      </c>
      <c r="AB152" s="2026">
        <v>0.67500000000000004</v>
      </c>
      <c r="AC152" s="2027">
        <f t="shared" si="90"/>
        <v>672.69310312499999</v>
      </c>
      <c r="AD152" s="2027">
        <f t="shared" si="90"/>
        <v>672.69310312499999</v>
      </c>
      <c r="AE152" s="2027">
        <f t="shared" si="90"/>
        <v>672.69310312499999</v>
      </c>
      <c r="AF152" s="2027">
        <f t="shared" si="90"/>
        <v>672.69310312499999</v>
      </c>
      <c r="AG152" s="2027">
        <v>2</v>
      </c>
      <c r="AH152" s="2027">
        <v>2</v>
      </c>
      <c r="AI152" s="2027">
        <v>2</v>
      </c>
      <c r="AJ152" s="2027">
        <v>2</v>
      </c>
      <c r="AK152" s="2027">
        <f t="shared" si="63"/>
        <v>1111.9114712761873</v>
      </c>
      <c r="AL152" s="2027">
        <f t="shared" si="88"/>
        <v>1111.9114712761873</v>
      </c>
      <c r="AM152" s="2027">
        <f t="shared" si="88"/>
        <v>1111.9114712761873</v>
      </c>
      <c r="AN152" s="2027">
        <f t="shared" si="88"/>
        <v>1111.9114712761873</v>
      </c>
      <c r="AO152" s="2027">
        <f t="shared" si="64"/>
        <v>1345.38620625</v>
      </c>
      <c r="AP152" s="2027">
        <f t="shared" si="89"/>
        <v>1345.38620625</v>
      </c>
      <c r="AQ152" s="2027">
        <f t="shared" si="89"/>
        <v>1345.38620625</v>
      </c>
      <c r="AR152" s="2027">
        <f t="shared" si="59"/>
        <v>1345.38620625</v>
      </c>
      <c r="AS152" s="2029">
        <f>DF152</f>
        <v>60</v>
      </c>
      <c r="AT152" s="2029">
        <f t="shared" si="77"/>
        <v>60</v>
      </c>
      <c r="AU152" s="2029">
        <f t="shared" si="77"/>
        <v>60</v>
      </c>
      <c r="AV152" s="2029">
        <f t="shared" si="77"/>
        <v>60</v>
      </c>
      <c r="AW152" s="2029">
        <f>CX152-AS152</f>
        <v>940</v>
      </c>
      <c r="AX152" s="2029">
        <f t="shared" si="78"/>
        <v>940</v>
      </c>
      <c r="AY152" s="2029">
        <f t="shared" si="78"/>
        <v>940</v>
      </c>
      <c r="AZ152" s="2029">
        <f t="shared" si="78"/>
        <v>940</v>
      </c>
      <c r="BA152" s="2029">
        <v>8800</v>
      </c>
      <c r="BB152" s="2029">
        <f t="shared" si="79"/>
        <v>8800</v>
      </c>
      <c r="BC152" s="2029">
        <f t="shared" si="79"/>
        <v>8800</v>
      </c>
      <c r="BD152" s="2029">
        <f t="shared" si="79"/>
        <v>8800</v>
      </c>
      <c r="BE152" s="2030">
        <f t="shared" si="80"/>
        <v>120</v>
      </c>
      <c r="BF152" s="2030">
        <f t="shared" si="80"/>
        <v>120</v>
      </c>
      <c r="BG152" s="2030">
        <f t="shared" si="80"/>
        <v>120</v>
      </c>
      <c r="BH152" s="2030">
        <f t="shared" si="73"/>
        <v>120</v>
      </c>
      <c r="BI152" s="2030">
        <f t="shared" si="81"/>
        <v>1880</v>
      </c>
      <c r="BJ152" s="2030">
        <f t="shared" si="81"/>
        <v>1880</v>
      </c>
      <c r="BK152" s="2030">
        <f t="shared" si="81"/>
        <v>1880</v>
      </c>
      <c r="BL152" s="2030">
        <f t="shared" si="81"/>
        <v>1880</v>
      </c>
      <c r="BM152" s="2031"/>
      <c r="BN152" s="2031"/>
      <c r="BO152" s="2031"/>
      <c r="BP152" s="2031"/>
      <c r="BQ152" s="2031"/>
      <c r="BR152" s="2031"/>
      <c r="BS152" s="2031"/>
      <c r="BT152" s="2031"/>
      <c r="BU152" s="2029"/>
      <c r="BV152" s="2029"/>
      <c r="BW152" s="2029"/>
      <c r="BX152" s="2029"/>
      <c r="BY152" s="2029"/>
      <c r="BZ152" s="2032"/>
      <c r="CA152" s="1974"/>
      <c r="CB152" s="1974"/>
      <c r="CC152" s="1974"/>
      <c r="CD152" s="1974"/>
      <c r="CE152" s="1974">
        <v>0</v>
      </c>
      <c r="CF152" s="2033">
        <v>4.6481644395260465E-6</v>
      </c>
      <c r="CG152" s="2026">
        <v>5.0193726405892028E-4</v>
      </c>
      <c r="CH152" s="2009">
        <v>0</v>
      </c>
      <c r="CI152" s="2029">
        <v>0</v>
      </c>
      <c r="CK152" s="2029">
        <f t="shared" si="82"/>
        <v>0</v>
      </c>
      <c r="CL152" s="2034">
        <v>1</v>
      </c>
      <c r="CM152" s="2034">
        <v>1</v>
      </c>
      <c r="CN152" s="2034">
        <v>1</v>
      </c>
      <c r="CO152" s="2034">
        <v>1</v>
      </c>
      <c r="CP152" s="2035"/>
      <c r="CQ152" s="2036"/>
      <c r="CR152" s="2036"/>
      <c r="CS152" s="2036"/>
      <c r="CT152" s="2036"/>
      <c r="CU152" s="2036"/>
      <c r="CW152" s="1973">
        <v>0</v>
      </c>
      <c r="CX152" s="2037">
        <v>1000</v>
      </c>
      <c r="CY152" s="2037">
        <v>1000</v>
      </c>
      <c r="CZ152" s="2037">
        <v>1000</v>
      </c>
      <c r="DA152" s="2037">
        <v>1000</v>
      </c>
      <c r="DB152" s="2051">
        <v>0.06</v>
      </c>
      <c r="DC152" s="2051">
        <v>0.06</v>
      </c>
      <c r="DD152" s="2051">
        <v>0.06</v>
      </c>
      <c r="DE152" s="2051">
        <v>0.06</v>
      </c>
      <c r="DF152" s="2037">
        <f t="shared" si="91"/>
        <v>60</v>
      </c>
      <c r="DG152" s="2037">
        <f t="shared" si="91"/>
        <v>60</v>
      </c>
      <c r="DH152" s="2037">
        <f t="shared" si="91"/>
        <v>60</v>
      </c>
      <c r="DI152" s="2037">
        <f t="shared" si="91"/>
        <v>60</v>
      </c>
      <c r="DK152" s="1973">
        <v>0</v>
      </c>
      <c r="DL152" s="1973">
        <v>0</v>
      </c>
      <c r="DM152" s="1973">
        <v>0</v>
      </c>
      <c r="DO152" s="2023">
        <v>10</v>
      </c>
      <c r="DP152" s="2024">
        <v>654.83596659374984</v>
      </c>
      <c r="DQ152" s="2024">
        <v>0</v>
      </c>
      <c r="DR152" s="2023">
        <v>996.58237499999996</v>
      </c>
      <c r="DS152" s="2029">
        <v>60</v>
      </c>
      <c r="DT152" s="2029">
        <v>60</v>
      </c>
      <c r="DU152" s="2029">
        <v>60</v>
      </c>
      <c r="DV152" s="2029">
        <v>60</v>
      </c>
      <c r="DW152" s="2029">
        <v>940</v>
      </c>
      <c r="DX152" s="2029">
        <v>940</v>
      </c>
      <c r="DY152" s="2029">
        <v>940</v>
      </c>
      <c r="DZ152" s="2029">
        <v>940</v>
      </c>
      <c r="EA152" s="2029">
        <v>8800</v>
      </c>
      <c r="EB152" s="2029">
        <v>8800</v>
      </c>
      <c r="EC152" s="2029">
        <v>8800</v>
      </c>
      <c r="ED152" s="2029">
        <v>8800</v>
      </c>
      <c r="EE152" s="2039">
        <f t="shared" si="83"/>
        <v>0</v>
      </c>
      <c r="EF152" s="2039">
        <f t="shared" si="83"/>
        <v>0</v>
      </c>
      <c r="EG152" s="2039">
        <f t="shared" si="83"/>
        <v>0</v>
      </c>
      <c r="EH152" s="2039">
        <f t="shared" si="74"/>
        <v>0</v>
      </c>
      <c r="EI152" s="2040">
        <f t="shared" si="70"/>
        <v>0</v>
      </c>
      <c r="EJ152" s="2040">
        <f t="shared" si="70"/>
        <v>0</v>
      </c>
      <c r="EK152" s="2040">
        <f t="shared" si="70"/>
        <v>0</v>
      </c>
      <c r="EL152" s="2040">
        <f t="shared" si="69"/>
        <v>0</v>
      </c>
      <c r="EM152" s="2040">
        <f t="shared" si="69"/>
        <v>0</v>
      </c>
      <c r="EN152" s="2040">
        <f t="shared" si="69"/>
        <v>0</v>
      </c>
      <c r="EO152" s="2040">
        <f t="shared" si="69"/>
        <v>0</v>
      </c>
      <c r="EP152" s="2040">
        <f t="shared" si="69"/>
        <v>0</v>
      </c>
      <c r="EQ152" s="2040">
        <f t="shared" si="69"/>
        <v>0</v>
      </c>
      <c r="ER152" s="2040">
        <f t="shared" si="72"/>
        <v>0</v>
      </c>
      <c r="ES152" s="2040">
        <f t="shared" si="72"/>
        <v>0</v>
      </c>
      <c r="ET152" s="2040">
        <f t="shared" si="72"/>
        <v>0</v>
      </c>
      <c r="EU152" s="2039">
        <f t="shared" si="84"/>
        <v>0</v>
      </c>
      <c r="EV152" s="2039">
        <f t="shared" si="85"/>
        <v>0</v>
      </c>
    </row>
    <row r="153" spans="1:152" x14ac:dyDescent="0.25">
      <c r="A153" s="2041" t="s">
        <v>257</v>
      </c>
      <c r="B153" s="2022"/>
      <c r="C153" s="2023">
        <v>10</v>
      </c>
      <c r="D153" s="2024">
        <v>1040.5701300000001</v>
      </c>
      <c r="E153" s="2024">
        <v>0</v>
      </c>
      <c r="F153" s="2023">
        <v>1089.48</v>
      </c>
      <c r="G153" s="2026" t="s">
        <v>2899</v>
      </c>
      <c r="H153" s="2026" t="s">
        <v>2899</v>
      </c>
      <c r="I153" s="2026">
        <v>0.84899999999999998</v>
      </c>
      <c r="J153" s="2026">
        <v>0.84899999999999998</v>
      </c>
      <c r="K153" s="2026">
        <v>0.84899999999999998</v>
      </c>
      <c r="L153" s="2026">
        <v>0.84899999999999998</v>
      </c>
      <c r="M153" s="2027">
        <f t="shared" si="86"/>
        <v>883.44404037000004</v>
      </c>
      <c r="N153" s="2027">
        <f t="shared" si="86"/>
        <v>883.44404037000004</v>
      </c>
      <c r="O153" s="2027">
        <f t="shared" si="86"/>
        <v>883.44404037000004</v>
      </c>
      <c r="P153" s="2027">
        <f t="shared" si="75"/>
        <v>883.44404037000004</v>
      </c>
      <c r="Q153" s="2026">
        <v>0.84899999999999998</v>
      </c>
      <c r="R153" s="2026">
        <v>0.84899999999999998</v>
      </c>
      <c r="S153" s="2026">
        <v>0.84899999999999998</v>
      </c>
      <c r="T153" s="2026">
        <v>0.84899999999999998</v>
      </c>
      <c r="U153" s="2028">
        <f t="shared" si="87"/>
        <v>0</v>
      </c>
      <c r="V153" s="2028">
        <f t="shared" si="87"/>
        <v>0</v>
      </c>
      <c r="W153" s="2028">
        <f t="shared" si="87"/>
        <v>0</v>
      </c>
      <c r="X153" s="2028">
        <f t="shared" si="76"/>
        <v>0</v>
      </c>
      <c r="Y153" s="2026">
        <v>0.67500000000000004</v>
      </c>
      <c r="Z153" s="2026">
        <v>0.67500000000000004</v>
      </c>
      <c r="AA153" s="2026">
        <v>0.67500000000000004</v>
      </c>
      <c r="AB153" s="2026">
        <v>0.67500000000000004</v>
      </c>
      <c r="AC153" s="2027">
        <f t="shared" si="90"/>
        <v>735.39900000000011</v>
      </c>
      <c r="AD153" s="2027">
        <f t="shared" si="90"/>
        <v>735.39900000000011</v>
      </c>
      <c r="AE153" s="2027">
        <f t="shared" si="90"/>
        <v>735.39900000000011</v>
      </c>
      <c r="AF153" s="2027">
        <f t="shared" si="90"/>
        <v>735.39900000000011</v>
      </c>
      <c r="AG153" s="2027">
        <v>2</v>
      </c>
      <c r="AH153" s="2027">
        <v>2</v>
      </c>
      <c r="AI153" s="2027">
        <v>2</v>
      </c>
      <c r="AJ153" s="2027">
        <v>2</v>
      </c>
      <c r="AK153" s="2027">
        <f t="shared" si="63"/>
        <v>1766.8880807400001</v>
      </c>
      <c r="AL153" s="2027">
        <f t="shared" si="88"/>
        <v>1766.8880807400001</v>
      </c>
      <c r="AM153" s="2027">
        <f t="shared" si="88"/>
        <v>1766.8880807400001</v>
      </c>
      <c r="AN153" s="2027">
        <f t="shared" si="88"/>
        <v>1766.8880807400001</v>
      </c>
      <c r="AO153" s="2027">
        <f t="shared" si="64"/>
        <v>1470.7980000000002</v>
      </c>
      <c r="AP153" s="2027">
        <f t="shared" si="89"/>
        <v>1470.7980000000002</v>
      </c>
      <c r="AQ153" s="2027">
        <f t="shared" si="89"/>
        <v>1470.7980000000002</v>
      </c>
      <c r="AR153" s="2027">
        <f t="shared" si="59"/>
        <v>1470.7980000000002</v>
      </c>
      <c r="AS153" s="2029">
        <f>DF153</f>
        <v>80</v>
      </c>
      <c r="AT153" s="2029">
        <f t="shared" si="77"/>
        <v>80</v>
      </c>
      <c r="AU153" s="2029">
        <f t="shared" si="77"/>
        <v>80</v>
      </c>
      <c r="AV153" s="2029">
        <f t="shared" si="77"/>
        <v>80</v>
      </c>
      <c r="AW153" s="2029">
        <f>CX153-AS153</f>
        <v>920</v>
      </c>
      <c r="AX153" s="2029">
        <f t="shared" si="78"/>
        <v>920</v>
      </c>
      <c r="AY153" s="2029">
        <f t="shared" si="78"/>
        <v>920</v>
      </c>
      <c r="AZ153" s="2029">
        <f t="shared" si="78"/>
        <v>920</v>
      </c>
      <c r="BA153" s="2029">
        <v>8850</v>
      </c>
      <c r="BB153" s="2029">
        <f t="shared" si="79"/>
        <v>8850</v>
      </c>
      <c r="BC153" s="2029">
        <f t="shared" si="79"/>
        <v>8850</v>
      </c>
      <c r="BD153" s="2029">
        <f t="shared" si="79"/>
        <v>8850</v>
      </c>
      <c r="BE153" s="2030">
        <f t="shared" si="80"/>
        <v>160</v>
      </c>
      <c r="BF153" s="2030">
        <f t="shared" si="80"/>
        <v>160</v>
      </c>
      <c r="BG153" s="2030">
        <f t="shared" si="80"/>
        <v>160</v>
      </c>
      <c r="BH153" s="2030">
        <f t="shared" si="73"/>
        <v>160</v>
      </c>
      <c r="BI153" s="2030">
        <f t="shared" si="81"/>
        <v>1840</v>
      </c>
      <c r="BJ153" s="2030">
        <f t="shared" si="81"/>
        <v>1840</v>
      </c>
      <c r="BK153" s="2030">
        <f t="shared" si="81"/>
        <v>1840</v>
      </c>
      <c r="BL153" s="2030">
        <f t="shared" si="81"/>
        <v>1840</v>
      </c>
      <c r="BM153" s="2031"/>
      <c r="BN153" s="2031"/>
      <c r="BO153" s="2031"/>
      <c r="BP153" s="2031"/>
      <c r="BQ153" s="2031"/>
      <c r="BR153" s="2031"/>
      <c r="BS153" s="2031"/>
      <c r="BT153" s="2031"/>
      <c r="BU153" s="2029"/>
      <c r="BV153" s="2029"/>
      <c r="BW153" s="2029"/>
      <c r="BX153" s="2029"/>
      <c r="BY153" s="2029"/>
      <c r="BZ153" s="2032"/>
      <c r="CA153" s="1974"/>
      <c r="CB153" s="1974"/>
      <c r="CC153" s="1974"/>
      <c r="CD153" s="1974"/>
      <c r="CE153" s="1974">
        <v>0</v>
      </c>
      <c r="CF153" s="2033">
        <v>7.3861872619156781E-6</v>
      </c>
      <c r="CG153" s="2026">
        <v>5.4872594997168456E-4</v>
      </c>
      <c r="CH153" s="2009">
        <v>0</v>
      </c>
      <c r="CI153" s="2029">
        <v>0</v>
      </c>
      <c r="CK153" s="2029">
        <f t="shared" si="82"/>
        <v>0</v>
      </c>
      <c r="CL153" s="2034">
        <v>1</v>
      </c>
      <c r="CM153" s="2034">
        <v>1</v>
      </c>
      <c r="CN153" s="2034">
        <v>1</v>
      </c>
      <c r="CO153" s="2034">
        <v>1</v>
      </c>
      <c r="CP153" s="2035"/>
      <c r="CQ153" s="2036"/>
      <c r="CR153" s="2036"/>
      <c r="CS153" s="2036"/>
      <c r="CT153" s="2036"/>
      <c r="CU153" s="2036"/>
      <c r="CW153" s="1973">
        <v>0</v>
      </c>
      <c r="CX153" s="2037">
        <v>1000</v>
      </c>
      <c r="CY153" s="2037">
        <v>1000</v>
      </c>
      <c r="CZ153" s="2037">
        <v>1000</v>
      </c>
      <c r="DA153" s="2037">
        <v>1000</v>
      </c>
      <c r="DB153" s="2051">
        <v>0.08</v>
      </c>
      <c r="DC153" s="2051">
        <v>0.08</v>
      </c>
      <c r="DD153" s="2051">
        <v>0.08</v>
      </c>
      <c r="DE153" s="2051">
        <v>0.08</v>
      </c>
      <c r="DF153" s="2037">
        <f t="shared" si="91"/>
        <v>80</v>
      </c>
      <c r="DG153" s="2037">
        <f t="shared" si="91"/>
        <v>80</v>
      </c>
      <c r="DH153" s="2037">
        <f t="shared" si="91"/>
        <v>80</v>
      </c>
      <c r="DI153" s="2037">
        <f t="shared" si="91"/>
        <v>80</v>
      </c>
      <c r="DK153" s="1973">
        <v>0</v>
      </c>
      <c r="DL153" s="1973">
        <v>0</v>
      </c>
      <c r="DM153" s="1973">
        <v>0</v>
      </c>
      <c r="DO153" s="2023">
        <v>10</v>
      </c>
      <c r="DP153" s="2024">
        <v>1040.5701300000001</v>
      </c>
      <c r="DQ153" s="2024">
        <v>0</v>
      </c>
      <c r="DR153" s="2023">
        <v>1089.48</v>
      </c>
      <c r="DS153" s="2029">
        <v>80</v>
      </c>
      <c r="DT153" s="2029">
        <v>80</v>
      </c>
      <c r="DU153" s="2029">
        <v>80</v>
      </c>
      <c r="DV153" s="2029">
        <v>80</v>
      </c>
      <c r="DW153" s="2029">
        <v>920</v>
      </c>
      <c r="DX153" s="2029">
        <v>920</v>
      </c>
      <c r="DY153" s="2029">
        <v>920</v>
      </c>
      <c r="DZ153" s="2029">
        <v>920</v>
      </c>
      <c r="EA153" s="2029">
        <v>8850</v>
      </c>
      <c r="EB153" s="2029">
        <v>8850</v>
      </c>
      <c r="EC153" s="2029">
        <v>8850</v>
      </c>
      <c r="ED153" s="2029">
        <v>8850</v>
      </c>
      <c r="EE153" s="2039">
        <f t="shared" si="83"/>
        <v>0</v>
      </c>
      <c r="EF153" s="2039">
        <f t="shared" si="83"/>
        <v>0</v>
      </c>
      <c r="EG153" s="2039">
        <f t="shared" si="83"/>
        <v>0</v>
      </c>
      <c r="EH153" s="2039">
        <f t="shared" si="74"/>
        <v>0</v>
      </c>
      <c r="EI153" s="2040">
        <f t="shared" si="70"/>
        <v>0</v>
      </c>
      <c r="EJ153" s="2040">
        <f t="shared" si="70"/>
        <v>0</v>
      </c>
      <c r="EK153" s="2040">
        <f t="shared" si="70"/>
        <v>0</v>
      </c>
      <c r="EL153" s="2040">
        <f t="shared" si="69"/>
        <v>0</v>
      </c>
      <c r="EM153" s="2040">
        <f t="shared" si="69"/>
        <v>0</v>
      </c>
      <c r="EN153" s="2040">
        <f t="shared" si="69"/>
        <v>0</v>
      </c>
      <c r="EO153" s="2040">
        <f t="shared" si="69"/>
        <v>0</v>
      </c>
      <c r="EP153" s="2040">
        <f t="shared" si="69"/>
        <v>0</v>
      </c>
      <c r="EQ153" s="2040">
        <f t="shared" si="69"/>
        <v>0</v>
      </c>
      <c r="ER153" s="2040">
        <f t="shared" si="72"/>
        <v>0</v>
      </c>
      <c r="ES153" s="2040">
        <f t="shared" si="72"/>
        <v>0</v>
      </c>
      <c r="ET153" s="2040">
        <f t="shared" si="72"/>
        <v>0</v>
      </c>
      <c r="EU153" s="2039">
        <f t="shared" si="84"/>
        <v>0</v>
      </c>
      <c r="EV153" s="2039">
        <f t="shared" si="85"/>
        <v>0</v>
      </c>
    </row>
    <row r="154" spans="1:152" x14ac:dyDescent="0.25">
      <c r="A154" s="2041" t="s">
        <v>174</v>
      </c>
      <c r="B154" s="2022" t="s">
        <v>2953</v>
      </c>
      <c r="C154" s="2023">
        <v>6</v>
      </c>
      <c r="D154" s="2024">
        <v>0</v>
      </c>
      <c r="E154" s="2024">
        <v>0</v>
      </c>
      <c r="F154" s="2023">
        <v>208.55999999999997</v>
      </c>
      <c r="G154" s="2026" t="s">
        <v>2954</v>
      </c>
      <c r="H154" s="2026" t="s">
        <v>2954</v>
      </c>
      <c r="I154" s="2026">
        <v>0.60799999999999998</v>
      </c>
      <c r="J154" s="2026">
        <v>0.60799999999999998</v>
      </c>
      <c r="K154" s="2026">
        <v>0.60799999999999998</v>
      </c>
      <c r="L154" s="2026">
        <v>0.60799999999999998</v>
      </c>
      <c r="M154" s="2027">
        <f t="shared" si="86"/>
        <v>0</v>
      </c>
      <c r="N154" s="2027">
        <f t="shared" si="86"/>
        <v>0</v>
      </c>
      <c r="O154" s="2027">
        <f t="shared" si="86"/>
        <v>0</v>
      </c>
      <c r="P154" s="2027">
        <f t="shared" si="75"/>
        <v>0</v>
      </c>
      <c r="Q154" s="2026">
        <v>0.60799999999999998</v>
      </c>
      <c r="R154" s="2026">
        <v>0.60799999999999998</v>
      </c>
      <c r="S154" s="2026">
        <v>0.60799999999999998</v>
      </c>
      <c r="T154" s="2026">
        <v>0.60799999999999998</v>
      </c>
      <c r="U154" s="2028">
        <f t="shared" si="87"/>
        <v>0</v>
      </c>
      <c r="V154" s="2028">
        <f t="shared" si="87"/>
        <v>0</v>
      </c>
      <c r="W154" s="2028">
        <f t="shared" si="87"/>
        <v>0</v>
      </c>
      <c r="X154" s="2028">
        <f t="shared" si="76"/>
        <v>0</v>
      </c>
      <c r="Y154" s="2026">
        <v>0.60799999999999998</v>
      </c>
      <c r="Z154" s="2026">
        <v>0.60799999999999998</v>
      </c>
      <c r="AA154" s="2026">
        <v>0.60799999999999998</v>
      </c>
      <c r="AB154" s="2026">
        <v>0.60799999999999998</v>
      </c>
      <c r="AC154" s="2027">
        <f t="shared" si="90"/>
        <v>126.80447999999998</v>
      </c>
      <c r="AD154" s="2027">
        <f t="shared" si="90"/>
        <v>126.80447999999998</v>
      </c>
      <c r="AE154" s="2027">
        <f t="shared" si="90"/>
        <v>126.80447999999998</v>
      </c>
      <c r="AF154" s="2027">
        <f t="shared" si="90"/>
        <v>126.80447999999998</v>
      </c>
      <c r="AG154" s="2027">
        <v>150</v>
      </c>
      <c r="AH154" s="2027">
        <v>150</v>
      </c>
      <c r="AI154" s="2027">
        <v>110</v>
      </c>
      <c r="AJ154" s="2027">
        <v>60</v>
      </c>
      <c r="AK154" s="2027">
        <f t="shared" si="63"/>
        <v>0</v>
      </c>
      <c r="AL154" s="2027">
        <f t="shared" si="88"/>
        <v>0</v>
      </c>
      <c r="AM154" s="2027">
        <f t="shared" si="88"/>
        <v>0</v>
      </c>
      <c r="AN154" s="2027">
        <f t="shared" si="88"/>
        <v>0</v>
      </c>
      <c r="AO154" s="2027">
        <f t="shared" si="64"/>
        <v>19020.671999999999</v>
      </c>
      <c r="AP154" s="2027">
        <f t="shared" si="89"/>
        <v>19020.671999999999</v>
      </c>
      <c r="AQ154" s="2027">
        <f t="shared" si="89"/>
        <v>13948.492799999998</v>
      </c>
      <c r="AR154" s="2027">
        <f t="shared" si="59"/>
        <v>7608.2687999999989</v>
      </c>
      <c r="AS154" s="2029"/>
      <c r="AT154" s="2029">
        <f t="shared" si="77"/>
        <v>0</v>
      </c>
      <c r="AU154" s="2029">
        <f t="shared" si="77"/>
        <v>0</v>
      </c>
      <c r="AV154" s="2029">
        <f t="shared" si="77"/>
        <v>0</v>
      </c>
      <c r="AW154" s="2042">
        <v>600</v>
      </c>
      <c r="AX154" s="2029">
        <f t="shared" si="78"/>
        <v>600</v>
      </c>
      <c r="AY154" s="2029">
        <f t="shared" si="78"/>
        <v>600</v>
      </c>
      <c r="AZ154" s="2029">
        <f t="shared" si="78"/>
        <v>600</v>
      </c>
      <c r="BA154" s="2042">
        <v>1200</v>
      </c>
      <c r="BB154" s="2029">
        <f t="shared" si="79"/>
        <v>1200</v>
      </c>
      <c r="BC154" s="2029">
        <f t="shared" si="79"/>
        <v>1200</v>
      </c>
      <c r="BD154" s="2029">
        <f t="shared" si="79"/>
        <v>1200</v>
      </c>
      <c r="BE154" s="2030">
        <f t="shared" si="80"/>
        <v>0</v>
      </c>
      <c r="BF154" s="2030">
        <f t="shared" si="80"/>
        <v>0</v>
      </c>
      <c r="BG154" s="2030">
        <f t="shared" si="80"/>
        <v>0</v>
      </c>
      <c r="BH154" s="2030">
        <f t="shared" si="73"/>
        <v>0</v>
      </c>
      <c r="BI154" s="2030">
        <f t="shared" si="81"/>
        <v>90000</v>
      </c>
      <c r="BJ154" s="2030">
        <f t="shared" si="81"/>
        <v>90000</v>
      </c>
      <c r="BK154" s="2030">
        <f t="shared" si="81"/>
        <v>66000</v>
      </c>
      <c r="BL154" s="2030">
        <f t="shared" si="81"/>
        <v>36000</v>
      </c>
      <c r="BM154" s="2031"/>
      <c r="BN154" s="2031"/>
      <c r="BO154" s="2031"/>
      <c r="BP154" s="2031"/>
      <c r="BQ154" s="2031"/>
      <c r="BR154" s="2031"/>
      <c r="BS154" s="2031"/>
      <c r="BT154" s="2031"/>
      <c r="BU154" s="2029"/>
      <c r="BV154" s="2029"/>
      <c r="BW154" s="2029"/>
      <c r="BX154" s="2029"/>
      <c r="BY154" s="2029"/>
      <c r="BZ154" s="2032"/>
      <c r="CA154" s="1974"/>
      <c r="CB154" s="1974"/>
      <c r="CC154" s="1974"/>
      <c r="CD154" s="1974"/>
      <c r="CE154" s="1974">
        <v>0</v>
      </c>
      <c r="CF154" s="2033">
        <v>0</v>
      </c>
      <c r="CG154" s="2026">
        <v>3.0036224124002465E-2</v>
      </c>
      <c r="CH154" s="2009">
        <v>0</v>
      </c>
      <c r="CI154" s="2029">
        <v>0</v>
      </c>
      <c r="CK154" s="2029">
        <f t="shared" si="82"/>
        <v>0</v>
      </c>
      <c r="CL154" s="2034">
        <v>1</v>
      </c>
      <c r="CM154" s="2034">
        <v>1</v>
      </c>
      <c r="CN154" s="2034">
        <v>1</v>
      </c>
      <c r="CO154" s="2034">
        <v>1</v>
      </c>
      <c r="CP154" s="2035"/>
      <c r="CQ154" s="2036"/>
      <c r="CR154" s="2036"/>
      <c r="CS154" s="2036"/>
      <c r="CT154" s="2036"/>
      <c r="CU154" s="2036"/>
      <c r="CW154" s="1973">
        <v>0</v>
      </c>
      <c r="CX154" s="2037">
        <v>600</v>
      </c>
      <c r="CY154" s="2037">
        <v>600</v>
      </c>
      <c r="CZ154" s="2037">
        <v>600</v>
      </c>
      <c r="DA154" s="2037">
        <v>600</v>
      </c>
      <c r="DK154" s="1973">
        <v>0</v>
      </c>
      <c r="DL154" s="1973">
        <v>0</v>
      </c>
      <c r="DM154" s="1973">
        <v>0</v>
      </c>
      <c r="DO154" s="2043">
        <v>6</v>
      </c>
      <c r="DP154" s="2044">
        <v>0</v>
      </c>
      <c r="DQ154" s="2044">
        <v>0</v>
      </c>
      <c r="DR154" s="2043">
        <v>208.55999999999997</v>
      </c>
      <c r="DS154" s="2046"/>
      <c r="DT154" s="2046">
        <v>0</v>
      </c>
      <c r="DU154" s="2046">
        <v>0</v>
      </c>
      <c r="DV154" s="2046">
        <v>0</v>
      </c>
      <c r="DW154" s="2045">
        <v>600</v>
      </c>
      <c r="DX154" s="2046">
        <v>600</v>
      </c>
      <c r="DY154" s="2046">
        <v>600</v>
      </c>
      <c r="DZ154" s="2046">
        <v>600</v>
      </c>
      <c r="EA154" s="2045">
        <v>1200</v>
      </c>
      <c r="EB154" s="2046">
        <v>1200</v>
      </c>
      <c r="EC154" s="2046">
        <v>1200</v>
      </c>
      <c r="ED154" s="2046">
        <v>1200</v>
      </c>
      <c r="EE154" s="2039">
        <f t="shared" si="83"/>
        <v>0</v>
      </c>
      <c r="EF154" s="2039">
        <f t="shared" si="83"/>
        <v>0</v>
      </c>
      <c r="EG154" s="2039">
        <f t="shared" si="83"/>
        <v>0</v>
      </c>
      <c r="EH154" s="2039">
        <f t="shared" si="74"/>
        <v>0</v>
      </c>
      <c r="EI154" s="2040">
        <f t="shared" si="70"/>
        <v>0</v>
      </c>
      <c r="EJ154" s="2040">
        <f t="shared" si="70"/>
        <v>0</v>
      </c>
      <c r="EK154" s="2040">
        <f t="shared" si="70"/>
        <v>0</v>
      </c>
      <c r="EL154" s="2040">
        <f t="shared" si="69"/>
        <v>0</v>
      </c>
      <c r="EM154" s="2040">
        <f t="shared" si="69"/>
        <v>0</v>
      </c>
      <c r="EN154" s="2040">
        <f t="shared" si="69"/>
        <v>0</v>
      </c>
      <c r="EO154" s="2040">
        <f t="shared" si="69"/>
        <v>0</v>
      </c>
      <c r="EP154" s="2040">
        <f t="shared" si="69"/>
        <v>0</v>
      </c>
      <c r="EQ154" s="2040">
        <f t="shared" si="69"/>
        <v>0</v>
      </c>
      <c r="ER154" s="2040">
        <f t="shared" si="72"/>
        <v>0</v>
      </c>
      <c r="ES154" s="2040">
        <f t="shared" si="72"/>
        <v>0</v>
      </c>
      <c r="ET154" s="2040">
        <f t="shared" si="72"/>
        <v>0</v>
      </c>
      <c r="EU154" s="2039">
        <f t="shared" si="84"/>
        <v>0</v>
      </c>
      <c r="EV154" s="2039">
        <f t="shared" si="85"/>
        <v>0</v>
      </c>
    </row>
    <row r="155" spans="1:152" x14ac:dyDescent="0.25">
      <c r="A155" s="2021" t="s">
        <v>1019</v>
      </c>
      <c r="B155" s="2069" t="s">
        <v>2955</v>
      </c>
      <c r="C155" s="2068">
        <v>9</v>
      </c>
      <c r="D155" s="2071">
        <v>27.187769531356203</v>
      </c>
      <c r="E155" s="2024">
        <v>4.6993183364750354E-3</v>
      </c>
      <c r="F155" s="2023">
        <v>5.4316370902687714</v>
      </c>
      <c r="G155" s="2026" t="s">
        <v>2285</v>
      </c>
      <c r="H155" s="2026" t="s">
        <v>2285</v>
      </c>
      <c r="I155" s="2026">
        <v>0.79999999999999993</v>
      </c>
      <c r="J155" s="2026">
        <v>0.79999999999999993</v>
      </c>
      <c r="K155" s="2026">
        <v>0.79999999999999993</v>
      </c>
      <c r="L155" s="2026">
        <v>0.79999999999999993</v>
      </c>
      <c r="M155" s="2027">
        <f t="shared" si="86"/>
        <v>21.750215625084959</v>
      </c>
      <c r="N155" s="2027">
        <f t="shared" si="86"/>
        <v>21.750215625084959</v>
      </c>
      <c r="O155" s="2027">
        <f t="shared" si="86"/>
        <v>21.750215625084959</v>
      </c>
      <c r="P155" s="2027">
        <f t="shared" si="75"/>
        <v>21.750215625084959</v>
      </c>
      <c r="Q155" s="2026">
        <v>0.79999999999999993</v>
      </c>
      <c r="R155" s="2026">
        <v>0.79999999999999993</v>
      </c>
      <c r="S155" s="2026">
        <v>0.79999999999999993</v>
      </c>
      <c r="T155" s="2026">
        <v>0.79999999999999993</v>
      </c>
      <c r="U155" s="2028">
        <f t="shared" si="87"/>
        <v>3.759454669180028E-3</v>
      </c>
      <c r="V155" s="2028">
        <f t="shared" si="87"/>
        <v>3.759454669180028E-3</v>
      </c>
      <c r="W155" s="2028">
        <f t="shared" si="87"/>
        <v>3.759454669180028E-3</v>
      </c>
      <c r="X155" s="2028">
        <f t="shared" si="76"/>
        <v>3.759454669180028E-3</v>
      </c>
      <c r="Y155" s="2026">
        <v>0.60399999999999998</v>
      </c>
      <c r="Z155" s="2026">
        <v>0.60399999999999998</v>
      </c>
      <c r="AA155" s="2026">
        <v>0.60399999999999998</v>
      </c>
      <c r="AB155" s="2026">
        <v>0.60399999999999998</v>
      </c>
      <c r="AC155" s="2027">
        <f t="shared" si="90"/>
        <v>3.2807088025223377</v>
      </c>
      <c r="AD155" s="2027">
        <f t="shared" si="90"/>
        <v>3.2807088025223377</v>
      </c>
      <c r="AE155" s="2027">
        <f t="shared" si="90"/>
        <v>3.2807088025223377</v>
      </c>
      <c r="AF155" s="2027">
        <f t="shared" si="90"/>
        <v>3.2807088025223377</v>
      </c>
      <c r="AG155" s="2027">
        <v>862</v>
      </c>
      <c r="AH155" s="2027">
        <v>868</v>
      </c>
      <c r="AI155" s="2027">
        <v>846</v>
      </c>
      <c r="AJ155" s="2027">
        <v>844</v>
      </c>
      <c r="AK155" s="2027">
        <f t="shared" si="63"/>
        <v>18748.685868823235</v>
      </c>
      <c r="AL155" s="2027">
        <f t="shared" si="88"/>
        <v>18879.187162573744</v>
      </c>
      <c r="AM155" s="2027">
        <f t="shared" si="88"/>
        <v>18400.682418821874</v>
      </c>
      <c r="AN155" s="2027">
        <f t="shared" si="88"/>
        <v>18357.181987571705</v>
      </c>
      <c r="AO155" s="2027">
        <f t="shared" si="64"/>
        <v>2827.9709877742553</v>
      </c>
      <c r="AP155" s="2027">
        <f t="shared" si="89"/>
        <v>2847.655240589389</v>
      </c>
      <c r="AQ155" s="2027">
        <f t="shared" si="89"/>
        <v>2775.4796469338976</v>
      </c>
      <c r="AR155" s="2027">
        <f t="shared" si="59"/>
        <v>2768.9182293288532</v>
      </c>
      <c r="AS155" s="2029">
        <v>1.2000000000000006</v>
      </c>
      <c r="AT155" s="2029">
        <f t="shared" si="77"/>
        <v>1.2000000000000006</v>
      </c>
      <c r="AU155" s="2029">
        <f t="shared" si="77"/>
        <v>1.2000000000000006</v>
      </c>
      <c r="AV155" s="2029">
        <f t="shared" si="77"/>
        <v>1.2000000000000006</v>
      </c>
      <c r="AW155" s="2029">
        <v>4.8000000000000025</v>
      </c>
      <c r="AX155" s="2029">
        <f t="shared" si="78"/>
        <v>4.8000000000000025</v>
      </c>
      <c r="AY155" s="2029">
        <f t="shared" si="78"/>
        <v>4.8000000000000025</v>
      </c>
      <c r="AZ155" s="2029">
        <f t="shared" si="78"/>
        <v>4.8000000000000025</v>
      </c>
      <c r="BA155" s="2048">
        <v>8</v>
      </c>
      <c r="BB155" s="2029">
        <f t="shared" si="79"/>
        <v>8</v>
      </c>
      <c r="BC155" s="2029">
        <f t="shared" si="79"/>
        <v>8</v>
      </c>
      <c r="BD155" s="2029">
        <f t="shared" si="79"/>
        <v>8</v>
      </c>
      <c r="BE155" s="2030">
        <f t="shared" si="80"/>
        <v>1034.4000000000005</v>
      </c>
      <c r="BF155" s="2030">
        <f t="shared" si="80"/>
        <v>1041.6000000000006</v>
      </c>
      <c r="BG155" s="2030">
        <f t="shared" si="80"/>
        <v>1015.2000000000005</v>
      </c>
      <c r="BH155" s="2030">
        <f t="shared" si="73"/>
        <v>1012.8000000000005</v>
      </c>
      <c r="BI155" s="2030">
        <f t="shared" si="81"/>
        <v>4137.6000000000022</v>
      </c>
      <c r="BJ155" s="2030">
        <f t="shared" si="81"/>
        <v>4166.4000000000024</v>
      </c>
      <c r="BK155" s="2030">
        <f t="shared" si="81"/>
        <v>4060.800000000002</v>
      </c>
      <c r="BL155" s="2030">
        <f t="shared" si="81"/>
        <v>4051.2000000000021</v>
      </c>
      <c r="BM155" s="2031"/>
      <c r="BN155" s="2031"/>
      <c r="BO155" s="2031"/>
      <c r="BP155" s="2031"/>
      <c r="BQ155" s="2031"/>
      <c r="BR155" s="2031"/>
      <c r="BS155" s="2031"/>
      <c r="BT155" s="2031"/>
      <c r="BU155" s="2029"/>
      <c r="BV155" s="2029"/>
      <c r="BW155" s="2029"/>
      <c r="BX155" s="2029"/>
      <c r="BY155" s="2029"/>
      <c r="BZ155" s="2032"/>
      <c r="CA155" s="2027">
        <v>1479.2040006178568</v>
      </c>
      <c r="CB155" s="1974"/>
      <c r="CC155" s="1974"/>
      <c r="CD155" s="1974"/>
      <c r="CE155" s="1974">
        <v>0</v>
      </c>
      <c r="CF155" s="2033">
        <v>1.070846335045758E-4</v>
      </c>
      <c r="CG155" s="2026">
        <v>1.4415259573819859E-3</v>
      </c>
      <c r="CH155" s="2009">
        <v>0</v>
      </c>
      <c r="CI155" s="2029">
        <v>0</v>
      </c>
      <c r="CK155" s="2029">
        <f t="shared" si="82"/>
        <v>0</v>
      </c>
      <c r="CL155" s="2034">
        <v>1</v>
      </c>
      <c r="CM155" s="2034">
        <v>1</v>
      </c>
      <c r="CN155" s="2034">
        <v>1</v>
      </c>
      <c r="CO155" s="2034">
        <v>1</v>
      </c>
      <c r="CP155" s="2035"/>
      <c r="CQ155" s="2036"/>
      <c r="CR155" s="2036"/>
      <c r="CS155" s="2036"/>
      <c r="CT155" s="2036"/>
      <c r="CU155" s="2036"/>
      <c r="CW155" s="1973">
        <v>0</v>
      </c>
      <c r="CX155" s="2037">
        <v>6.0000000000000036</v>
      </c>
      <c r="CY155" s="2037">
        <v>6.0000000000000036</v>
      </c>
      <c r="CZ155" s="2037">
        <v>6.0000000000000036</v>
      </c>
      <c r="DA155" s="2037">
        <v>6.0000000000000036</v>
      </c>
      <c r="DJ155" s="1976">
        <v>1.2000000000000006</v>
      </c>
      <c r="DK155" s="1973">
        <v>1.2000000000000006</v>
      </c>
      <c r="DL155" s="1973">
        <v>1.2000000000000006</v>
      </c>
      <c r="DM155" s="1973">
        <v>1.2000000000000006</v>
      </c>
      <c r="DO155" s="2043">
        <v>9</v>
      </c>
      <c r="DP155" s="2044">
        <v>27.187769531356203</v>
      </c>
      <c r="DQ155" s="2044">
        <v>4.6993183364750354E-3</v>
      </c>
      <c r="DR155" s="2043">
        <v>5.4316370902687714</v>
      </c>
      <c r="DS155" s="2046">
        <v>1.2000000000000006</v>
      </c>
      <c r="DT155" s="2046">
        <v>1.2000000000000006</v>
      </c>
      <c r="DU155" s="2046">
        <v>1.2000000000000006</v>
      </c>
      <c r="DV155" s="2046">
        <v>1.2000000000000006</v>
      </c>
      <c r="DW155" s="2046">
        <v>4.8000000000000025</v>
      </c>
      <c r="DX155" s="2046">
        <v>4.8000000000000025</v>
      </c>
      <c r="DY155" s="2046">
        <v>4.8000000000000025</v>
      </c>
      <c r="DZ155" s="2046">
        <v>4.8000000000000025</v>
      </c>
      <c r="EA155" s="2045">
        <v>8</v>
      </c>
      <c r="EB155" s="2046">
        <v>8</v>
      </c>
      <c r="EC155" s="2046">
        <v>8</v>
      </c>
      <c r="ED155" s="2046">
        <v>8</v>
      </c>
      <c r="EE155" s="2039">
        <f t="shared" si="83"/>
        <v>0</v>
      </c>
      <c r="EF155" s="2039">
        <f t="shared" si="83"/>
        <v>0</v>
      </c>
      <c r="EG155" s="2039">
        <f t="shared" si="83"/>
        <v>0</v>
      </c>
      <c r="EH155" s="2039">
        <f t="shared" si="74"/>
        <v>0</v>
      </c>
      <c r="EI155" s="2040">
        <f t="shared" si="70"/>
        <v>0</v>
      </c>
      <c r="EJ155" s="2040">
        <f t="shared" si="70"/>
        <v>0</v>
      </c>
      <c r="EK155" s="2040">
        <f t="shared" si="70"/>
        <v>0</v>
      </c>
      <c r="EL155" s="2040">
        <f t="shared" si="69"/>
        <v>0</v>
      </c>
      <c r="EM155" s="2040">
        <f t="shared" si="69"/>
        <v>0</v>
      </c>
      <c r="EN155" s="2040">
        <f t="shared" si="69"/>
        <v>0</v>
      </c>
      <c r="EO155" s="2040">
        <f t="shared" si="69"/>
        <v>0</v>
      </c>
      <c r="EP155" s="2040">
        <f t="shared" si="69"/>
        <v>0</v>
      </c>
      <c r="EQ155" s="2040">
        <f t="shared" si="69"/>
        <v>0</v>
      </c>
      <c r="ER155" s="2040">
        <f t="shared" si="72"/>
        <v>0</v>
      </c>
      <c r="ES155" s="2040">
        <f t="shared" si="72"/>
        <v>0</v>
      </c>
      <c r="ET155" s="2040">
        <f t="shared" si="72"/>
        <v>0</v>
      </c>
      <c r="EU155" s="2039">
        <f t="shared" si="84"/>
        <v>0</v>
      </c>
      <c r="EV155" s="2039">
        <f t="shared" si="85"/>
        <v>0</v>
      </c>
    </row>
    <row r="156" spans="1:152" x14ac:dyDescent="0.25">
      <c r="A156" s="2021" t="s">
        <v>1020</v>
      </c>
      <c r="B156" s="2069" t="s">
        <v>2956</v>
      </c>
      <c r="C156" s="2068">
        <v>9</v>
      </c>
      <c r="D156" s="2071">
        <v>37.488220600065439</v>
      </c>
      <c r="E156" s="2024">
        <v>6.4797181050298865E-3</v>
      </c>
      <c r="F156" s="2023">
        <v>7.4894856389249336</v>
      </c>
      <c r="G156" s="2026" t="s">
        <v>2285</v>
      </c>
      <c r="H156" s="2026" t="s">
        <v>2285</v>
      </c>
      <c r="I156" s="2026">
        <v>0.79999999999999993</v>
      </c>
      <c r="J156" s="2026">
        <v>0.79999999999999993</v>
      </c>
      <c r="K156" s="2026">
        <v>0.79999999999999993</v>
      </c>
      <c r="L156" s="2026">
        <v>0.79999999999999993</v>
      </c>
      <c r="M156" s="2027">
        <f t="shared" si="86"/>
        <v>29.990576480052347</v>
      </c>
      <c r="N156" s="2027">
        <f t="shared" si="86"/>
        <v>29.990576480052347</v>
      </c>
      <c r="O156" s="2027">
        <f t="shared" si="86"/>
        <v>29.990576480052347</v>
      </c>
      <c r="P156" s="2027">
        <f t="shared" si="75"/>
        <v>29.990576480052347</v>
      </c>
      <c r="Q156" s="2026">
        <v>0.79999999999999993</v>
      </c>
      <c r="R156" s="2026">
        <v>0.79999999999999993</v>
      </c>
      <c r="S156" s="2026">
        <v>0.79999999999999993</v>
      </c>
      <c r="T156" s="2026">
        <v>0.79999999999999993</v>
      </c>
      <c r="U156" s="2028">
        <f t="shared" si="87"/>
        <v>5.183774484023909E-3</v>
      </c>
      <c r="V156" s="2028">
        <f t="shared" si="87"/>
        <v>5.183774484023909E-3</v>
      </c>
      <c r="W156" s="2028">
        <f t="shared" si="87"/>
        <v>5.183774484023909E-3</v>
      </c>
      <c r="X156" s="2028">
        <f t="shared" si="76"/>
        <v>5.183774484023909E-3</v>
      </c>
      <c r="Y156" s="2026">
        <v>0.60399999999999998</v>
      </c>
      <c r="Z156" s="2026">
        <v>0.60399999999999998</v>
      </c>
      <c r="AA156" s="2026">
        <v>0.60399999999999998</v>
      </c>
      <c r="AB156" s="2026">
        <v>0.60399999999999998</v>
      </c>
      <c r="AC156" s="2027">
        <f t="shared" si="90"/>
        <v>4.52364932591066</v>
      </c>
      <c r="AD156" s="2027">
        <f t="shared" si="90"/>
        <v>4.52364932591066</v>
      </c>
      <c r="AE156" s="2027">
        <f t="shared" si="90"/>
        <v>4.52364932591066</v>
      </c>
      <c r="AF156" s="2027">
        <f t="shared" si="90"/>
        <v>4.52364932591066</v>
      </c>
      <c r="AG156" s="2027">
        <v>1724</v>
      </c>
      <c r="AH156" s="2027">
        <v>1642</v>
      </c>
      <c r="AI156" s="2027">
        <v>1692</v>
      </c>
      <c r="AJ156" s="2027">
        <v>1687</v>
      </c>
      <c r="AK156" s="2027">
        <f t="shared" si="63"/>
        <v>51703.753851610243</v>
      </c>
      <c r="AL156" s="2027">
        <f t="shared" si="88"/>
        <v>49244.526580245954</v>
      </c>
      <c r="AM156" s="2027">
        <f t="shared" si="88"/>
        <v>50744.055404248575</v>
      </c>
      <c r="AN156" s="2027">
        <f t="shared" si="88"/>
        <v>50594.102521848312</v>
      </c>
      <c r="AO156" s="2027">
        <f t="shared" si="64"/>
        <v>7798.7714378699775</v>
      </c>
      <c r="AP156" s="2027">
        <f t="shared" si="89"/>
        <v>7427.8321931453038</v>
      </c>
      <c r="AQ156" s="2027">
        <f t="shared" si="89"/>
        <v>7654.014659440837</v>
      </c>
      <c r="AR156" s="2027">
        <f t="shared" si="59"/>
        <v>7631.3964128112839</v>
      </c>
      <c r="AS156" s="2029">
        <v>2.4000000000000012</v>
      </c>
      <c r="AT156" s="2029">
        <f t="shared" si="77"/>
        <v>2.4000000000000012</v>
      </c>
      <c r="AU156" s="2029">
        <f t="shared" si="77"/>
        <v>2.4000000000000012</v>
      </c>
      <c r="AV156" s="2029">
        <f t="shared" si="77"/>
        <v>2.4000000000000012</v>
      </c>
      <c r="AW156" s="2029">
        <v>9.600000000000005</v>
      </c>
      <c r="AX156" s="2029">
        <f t="shared" si="78"/>
        <v>9.600000000000005</v>
      </c>
      <c r="AY156" s="2029">
        <f t="shared" si="78"/>
        <v>9.600000000000005</v>
      </c>
      <c r="AZ156" s="2029">
        <f t="shared" si="78"/>
        <v>9.600000000000005</v>
      </c>
      <c r="BA156" s="2048">
        <v>14.27</v>
      </c>
      <c r="BB156" s="2029">
        <f t="shared" si="79"/>
        <v>14.27</v>
      </c>
      <c r="BC156" s="2029">
        <f t="shared" si="79"/>
        <v>14.27</v>
      </c>
      <c r="BD156" s="2029">
        <f t="shared" si="79"/>
        <v>14.27</v>
      </c>
      <c r="BE156" s="2030">
        <f t="shared" si="80"/>
        <v>4137.6000000000022</v>
      </c>
      <c r="BF156" s="2030">
        <f t="shared" si="80"/>
        <v>3940.800000000002</v>
      </c>
      <c r="BG156" s="2030">
        <f t="shared" si="80"/>
        <v>4060.800000000002</v>
      </c>
      <c r="BH156" s="2030">
        <f t="shared" si="73"/>
        <v>4048.800000000002</v>
      </c>
      <c r="BI156" s="2030">
        <f t="shared" si="81"/>
        <v>16550.400000000009</v>
      </c>
      <c r="BJ156" s="2030">
        <f t="shared" si="81"/>
        <v>15763.200000000008</v>
      </c>
      <c r="BK156" s="2030">
        <f t="shared" si="81"/>
        <v>16243.200000000008</v>
      </c>
      <c r="BL156" s="2030">
        <f t="shared" si="81"/>
        <v>16195.200000000008</v>
      </c>
      <c r="BM156" s="2031"/>
      <c r="BN156" s="2031"/>
      <c r="BO156" s="2031"/>
      <c r="BP156" s="2031"/>
      <c r="BQ156" s="2031"/>
      <c r="BR156" s="2031"/>
      <c r="BS156" s="2031"/>
      <c r="BT156" s="2031"/>
      <c r="BU156" s="2029"/>
      <c r="BV156" s="2029"/>
      <c r="BW156" s="2029"/>
      <c r="BX156" s="2029"/>
      <c r="BY156" s="2029"/>
      <c r="BZ156" s="2032"/>
      <c r="CA156" s="1974">
        <v>1479.2040006178568</v>
      </c>
      <c r="CB156" s="1974"/>
      <c r="CC156" s="1974"/>
      <c r="CD156" s="1974"/>
      <c r="CE156" s="1974">
        <v>0</v>
      </c>
      <c r="CF156" s="2033">
        <v>2.1416926700915161E-4</v>
      </c>
      <c r="CG156" s="2026">
        <v>2.8830519147639718E-3</v>
      </c>
      <c r="CH156" s="2009">
        <v>0</v>
      </c>
      <c r="CI156" s="2029">
        <v>0</v>
      </c>
      <c r="CK156" s="2029">
        <f t="shared" si="82"/>
        <v>0</v>
      </c>
      <c r="CL156" s="2034">
        <v>1</v>
      </c>
      <c r="CM156" s="2034">
        <v>1</v>
      </c>
      <c r="CN156" s="2034">
        <v>1</v>
      </c>
      <c r="CO156" s="2034">
        <v>1</v>
      </c>
      <c r="CP156" s="2035"/>
      <c r="CQ156" s="2036"/>
      <c r="CR156" s="2036"/>
      <c r="CS156" s="2036"/>
      <c r="CT156" s="2036"/>
      <c r="CU156" s="2036"/>
      <c r="CW156" s="1973">
        <v>0</v>
      </c>
      <c r="CX156" s="2037">
        <v>12.000000000000007</v>
      </c>
      <c r="CY156" s="2037">
        <v>12.000000000000007</v>
      </c>
      <c r="CZ156" s="2037">
        <v>12.000000000000007</v>
      </c>
      <c r="DA156" s="2037">
        <v>12.000000000000007</v>
      </c>
      <c r="DB156" s="2051"/>
      <c r="DJ156" s="1976">
        <v>2.4000000000000012</v>
      </c>
      <c r="DK156" s="1973">
        <v>2.4000000000000012</v>
      </c>
      <c r="DL156" s="1973">
        <v>2.4000000000000012</v>
      </c>
      <c r="DM156" s="1973">
        <v>2.4000000000000012</v>
      </c>
      <c r="DO156" s="2043">
        <v>9</v>
      </c>
      <c r="DP156" s="2044">
        <v>37.488220600065439</v>
      </c>
      <c r="DQ156" s="2044">
        <v>6.4797181050298865E-3</v>
      </c>
      <c r="DR156" s="2043">
        <v>7.4894856389249336</v>
      </c>
      <c r="DS156" s="2046">
        <v>2.4000000000000012</v>
      </c>
      <c r="DT156" s="2046">
        <v>2.4000000000000012</v>
      </c>
      <c r="DU156" s="2046">
        <v>2.4000000000000012</v>
      </c>
      <c r="DV156" s="2046">
        <v>2.4000000000000012</v>
      </c>
      <c r="DW156" s="2046">
        <v>9.600000000000005</v>
      </c>
      <c r="DX156" s="2046">
        <v>9.600000000000005</v>
      </c>
      <c r="DY156" s="2046">
        <v>9.600000000000005</v>
      </c>
      <c r="DZ156" s="2046">
        <v>9.600000000000005</v>
      </c>
      <c r="EA156" s="2045">
        <v>14.27</v>
      </c>
      <c r="EB156" s="2046">
        <v>14.27</v>
      </c>
      <c r="EC156" s="2046">
        <v>14.27</v>
      </c>
      <c r="ED156" s="2046">
        <v>14.27</v>
      </c>
      <c r="EE156" s="2039">
        <f t="shared" si="83"/>
        <v>0</v>
      </c>
      <c r="EF156" s="2039">
        <f t="shared" si="83"/>
        <v>0</v>
      </c>
      <c r="EG156" s="2039">
        <f t="shared" si="83"/>
        <v>0</v>
      </c>
      <c r="EH156" s="2039">
        <f t="shared" si="74"/>
        <v>0</v>
      </c>
      <c r="EI156" s="2040">
        <f t="shared" si="70"/>
        <v>0</v>
      </c>
      <c r="EJ156" s="2040">
        <f t="shared" si="70"/>
        <v>0</v>
      </c>
      <c r="EK156" s="2040">
        <f t="shared" si="70"/>
        <v>0</v>
      </c>
      <c r="EL156" s="2040">
        <f t="shared" si="69"/>
        <v>0</v>
      </c>
      <c r="EM156" s="2040">
        <f t="shared" si="69"/>
        <v>0</v>
      </c>
      <c r="EN156" s="2040">
        <f t="shared" si="69"/>
        <v>0</v>
      </c>
      <c r="EO156" s="2040">
        <f t="shared" si="69"/>
        <v>0</v>
      </c>
      <c r="EP156" s="2040">
        <f t="shared" si="69"/>
        <v>0</v>
      </c>
      <c r="EQ156" s="2040">
        <f t="shared" si="69"/>
        <v>0</v>
      </c>
      <c r="ER156" s="2040">
        <f t="shared" si="72"/>
        <v>0</v>
      </c>
      <c r="ES156" s="2040">
        <f t="shared" si="72"/>
        <v>0</v>
      </c>
      <c r="ET156" s="2040">
        <f t="shared" si="72"/>
        <v>0</v>
      </c>
      <c r="EU156" s="2039">
        <f t="shared" si="84"/>
        <v>0</v>
      </c>
      <c r="EV156" s="2039">
        <f t="shared" si="85"/>
        <v>0</v>
      </c>
    </row>
    <row r="157" spans="1:152" x14ac:dyDescent="0.25">
      <c r="A157" s="2041" t="s">
        <v>175</v>
      </c>
      <c r="B157" s="2022"/>
      <c r="C157" s="2023">
        <v>8</v>
      </c>
      <c r="D157" s="2024">
        <v>4384.6000000000004</v>
      </c>
      <c r="E157" s="2024">
        <v>0.14000000000000001</v>
      </c>
      <c r="F157" s="2023">
        <v>-46.1</v>
      </c>
      <c r="G157" s="2026" t="s">
        <v>4</v>
      </c>
      <c r="H157" s="2026" t="s">
        <v>4</v>
      </c>
      <c r="I157" s="2026">
        <v>0.77800000000000002</v>
      </c>
      <c r="J157" s="2026">
        <v>0.77800000000000002</v>
      </c>
      <c r="K157" s="2026">
        <v>0.77800000000000002</v>
      </c>
      <c r="L157" s="2026">
        <v>0.77800000000000002</v>
      </c>
      <c r="M157" s="2027">
        <f t="shared" si="86"/>
        <v>3411.2188000000006</v>
      </c>
      <c r="N157" s="2027">
        <f t="shared" si="86"/>
        <v>3411.2188000000006</v>
      </c>
      <c r="O157" s="2027">
        <f t="shared" si="86"/>
        <v>3411.2188000000006</v>
      </c>
      <c r="P157" s="2027">
        <f t="shared" si="75"/>
        <v>3411.2188000000006</v>
      </c>
      <c r="Q157" s="2026">
        <v>0.77800000000000002</v>
      </c>
      <c r="R157" s="2026">
        <v>0.77800000000000002</v>
      </c>
      <c r="S157" s="2026">
        <v>0.77800000000000002</v>
      </c>
      <c r="T157" s="2026">
        <v>0.77800000000000002</v>
      </c>
      <c r="U157" s="2028">
        <f t="shared" si="87"/>
        <v>0.10892000000000002</v>
      </c>
      <c r="V157" s="2028">
        <f t="shared" si="87"/>
        <v>0.10892000000000002</v>
      </c>
      <c r="W157" s="2028">
        <f t="shared" si="87"/>
        <v>0.10892000000000002</v>
      </c>
      <c r="X157" s="2028">
        <f t="shared" si="76"/>
        <v>0.10892000000000002</v>
      </c>
      <c r="Y157" s="2026">
        <v>0.77800000000000002</v>
      </c>
      <c r="Z157" s="2026">
        <v>0.77800000000000002</v>
      </c>
      <c r="AA157" s="2026">
        <v>0.77800000000000002</v>
      </c>
      <c r="AB157" s="2026">
        <v>0.77800000000000002</v>
      </c>
      <c r="AC157" s="2027">
        <f t="shared" si="90"/>
        <v>-35.8658</v>
      </c>
      <c r="AD157" s="2027">
        <f t="shared" si="90"/>
        <v>-35.8658</v>
      </c>
      <c r="AE157" s="2027">
        <f t="shared" si="90"/>
        <v>-35.8658</v>
      </c>
      <c r="AF157" s="2027">
        <f t="shared" si="90"/>
        <v>-35.8658</v>
      </c>
      <c r="AG157" s="2027">
        <v>27</v>
      </c>
      <c r="AH157" s="2027">
        <v>54</v>
      </c>
      <c r="AI157" s="2027">
        <v>55</v>
      </c>
      <c r="AJ157" s="2027">
        <v>52</v>
      </c>
      <c r="AK157" s="2027">
        <f t="shared" si="63"/>
        <v>92102.90760000002</v>
      </c>
      <c r="AL157" s="2027">
        <f t="shared" si="88"/>
        <v>184205.81520000004</v>
      </c>
      <c r="AM157" s="2027">
        <f t="shared" si="88"/>
        <v>187617.03400000004</v>
      </c>
      <c r="AN157" s="2027">
        <f t="shared" si="88"/>
        <v>177383.37760000004</v>
      </c>
      <c r="AO157" s="2027">
        <f t="shared" si="64"/>
        <v>-968.37660000000005</v>
      </c>
      <c r="AP157" s="2027">
        <f t="shared" si="89"/>
        <v>-1936.7532000000001</v>
      </c>
      <c r="AQ157" s="2027">
        <f t="shared" si="89"/>
        <v>-1972.6189999999999</v>
      </c>
      <c r="AR157" s="2027">
        <f t="shared" si="59"/>
        <v>-1865.0216</v>
      </c>
      <c r="AS157" s="2029">
        <v>100</v>
      </c>
      <c r="AT157" s="2029">
        <f t="shared" si="77"/>
        <v>100</v>
      </c>
      <c r="AU157" s="2029">
        <f t="shared" si="77"/>
        <v>100</v>
      </c>
      <c r="AV157" s="2029">
        <f t="shared" si="77"/>
        <v>100</v>
      </c>
      <c r="AW157" s="1974"/>
      <c r="AX157" s="2029">
        <f t="shared" si="78"/>
        <v>0</v>
      </c>
      <c r="AY157" s="2029">
        <f t="shared" si="78"/>
        <v>0</v>
      </c>
      <c r="AZ157" s="2029">
        <f t="shared" si="78"/>
        <v>0</v>
      </c>
      <c r="BA157" s="2029">
        <v>274</v>
      </c>
      <c r="BB157" s="2029">
        <f t="shared" si="79"/>
        <v>274</v>
      </c>
      <c r="BC157" s="2029">
        <f t="shared" si="79"/>
        <v>274</v>
      </c>
      <c r="BD157" s="2029">
        <f t="shared" si="79"/>
        <v>274</v>
      </c>
      <c r="BE157" s="2030">
        <f t="shared" si="80"/>
        <v>2700</v>
      </c>
      <c r="BF157" s="2030">
        <f t="shared" si="80"/>
        <v>5400</v>
      </c>
      <c r="BG157" s="2030">
        <f t="shared" si="80"/>
        <v>5500</v>
      </c>
      <c r="BH157" s="2030">
        <f t="shared" si="73"/>
        <v>5200</v>
      </c>
      <c r="BI157" s="2030">
        <f t="shared" si="81"/>
        <v>0</v>
      </c>
      <c r="BJ157" s="2030">
        <f t="shared" si="81"/>
        <v>0</v>
      </c>
      <c r="BK157" s="2030">
        <f t="shared" si="81"/>
        <v>0</v>
      </c>
      <c r="BL157" s="2030">
        <f t="shared" si="81"/>
        <v>0</v>
      </c>
      <c r="BM157" s="2031"/>
      <c r="BN157" s="2031"/>
      <c r="BO157" s="2031"/>
      <c r="BP157" s="2031"/>
      <c r="BQ157" s="2031"/>
      <c r="BR157" s="2031"/>
      <c r="BS157" s="2031"/>
      <c r="BT157" s="2031"/>
      <c r="BU157" s="2029"/>
      <c r="BV157" s="2029"/>
      <c r="BW157" s="2029"/>
      <c r="BX157" s="2029"/>
      <c r="BY157" s="2029"/>
      <c r="BZ157" s="2032"/>
      <c r="CA157" s="1974"/>
      <c r="CB157" s="1974"/>
      <c r="CC157" s="1974"/>
      <c r="CD157" s="1974"/>
      <c r="CE157" s="1974">
        <v>0</v>
      </c>
      <c r="CF157" s="2033">
        <v>3.8502117384571477E-4</v>
      </c>
      <c r="CG157" s="2026">
        <v>-3.6128235812487501E-4</v>
      </c>
      <c r="CH157" s="2009">
        <v>0</v>
      </c>
      <c r="CI157" s="2029">
        <v>0</v>
      </c>
      <c r="CK157" s="2029">
        <f t="shared" si="82"/>
        <v>0</v>
      </c>
      <c r="CL157" s="2034">
        <v>1</v>
      </c>
      <c r="CM157" s="2034">
        <v>1</v>
      </c>
      <c r="CN157" s="2034">
        <v>1</v>
      </c>
      <c r="CO157" s="2034">
        <v>1</v>
      </c>
      <c r="CP157" s="2035"/>
      <c r="CQ157" s="2036"/>
      <c r="CR157" s="2036"/>
      <c r="CS157" s="2036"/>
      <c r="CT157" s="2036"/>
      <c r="CU157" s="2036"/>
      <c r="CW157" s="1973">
        <v>0</v>
      </c>
      <c r="CX157" s="2037">
        <v>100</v>
      </c>
      <c r="CY157" s="2037">
        <v>100</v>
      </c>
      <c r="CZ157" s="2037">
        <v>100</v>
      </c>
      <c r="DA157" s="2037">
        <v>100</v>
      </c>
      <c r="DJ157" s="1976">
        <v>100</v>
      </c>
      <c r="DK157" s="1973">
        <v>100</v>
      </c>
      <c r="DL157" s="1973">
        <v>100</v>
      </c>
      <c r="DM157" s="1973">
        <v>100</v>
      </c>
      <c r="DO157" s="2023">
        <v>8</v>
      </c>
      <c r="DP157" s="2024">
        <v>4384.6000000000004</v>
      </c>
      <c r="DQ157" s="2024">
        <v>0.14000000000000001</v>
      </c>
      <c r="DR157" s="2023">
        <v>-46.1</v>
      </c>
      <c r="DS157" s="2029">
        <v>100</v>
      </c>
      <c r="DT157" s="2029">
        <v>100</v>
      </c>
      <c r="DU157" s="2029">
        <v>100</v>
      </c>
      <c r="DV157" s="2029">
        <v>100</v>
      </c>
      <c r="DW157" s="1974"/>
      <c r="DX157" s="2029">
        <v>0</v>
      </c>
      <c r="DY157" s="2029">
        <v>0</v>
      </c>
      <c r="DZ157" s="2029">
        <v>0</v>
      </c>
      <c r="EA157" s="2029">
        <v>274</v>
      </c>
      <c r="EB157" s="2029">
        <v>274</v>
      </c>
      <c r="EC157" s="2029">
        <v>274</v>
      </c>
      <c r="ED157" s="2029">
        <v>274</v>
      </c>
      <c r="EE157" s="2039">
        <f t="shared" si="83"/>
        <v>0</v>
      </c>
      <c r="EF157" s="2039">
        <f t="shared" si="83"/>
        <v>0</v>
      </c>
      <c r="EG157" s="2039">
        <f t="shared" si="83"/>
        <v>0</v>
      </c>
      <c r="EH157" s="2039">
        <f t="shared" si="74"/>
        <v>0</v>
      </c>
      <c r="EI157" s="2040">
        <f t="shared" si="70"/>
        <v>0</v>
      </c>
      <c r="EJ157" s="2040">
        <f t="shared" si="70"/>
        <v>0</v>
      </c>
      <c r="EK157" s="2040">
        <f t="shared" si="70"/>
        <v>0</v>
      </c>
      <c r="EL157" s="2040">
        <f t="shared" si="69"/>
        <v>0</v>
      </c>
      <c r="EM157" s="2040">
        <f t="shared" si="69"/>
        <v>0</v>
      </c>
      <c r="EN157" s="2040">
        <f t="shared" si="69"/>
        <v>0</v>
      </c>
      <c r="EO157" s="2040">
        <f t="shared" si="69"/>
        <v>0</v>
      </c>
      <c r="EP157" s="2040">
        <f t="shared" si="69"/>
        <v>0</v>
      </c>
      <c r="EQ157" s="2040">
        <f t="shared" si="69"/>
        <v>0</v>
      </c>
      <c r="ER157" s="2040">
        <f t="shared" si="72"/>
        <v>0</v>
      </c>
      <c r="ES157" s="2040">
        <f t="shared" si="72"/>
        <v>0</v>
      </c>
      <c r="ET157" s="2040">
        <f t="shared" si="72"/>
        <v>0</v>
      </c>
      <c r="EU157" s="2039">
        <f t="shared" si="84"/>
        <v>0</v>
      </c>
      <c r="EV157" s="2039">
        <f t="shared" si="85"/>
        <v>0</v>
      </c>
    </row>
    <row r="158" spans="1:152" x14ac:dyDescent="0.25">
      <c r="A158" s="2041" t="s">
        <v>2957</v>
      </c>
      <c r="B158" s="2022"/>
      <c r="C158" s="2023">
        <v>10</v>
      </c>
      <c r="D158" s="2024">
        <v>621</v>
      </c>
      <c r="E158" s="2024">
        <v>5.7634999999999999E-2</v>
      </c>
      <c r="F158" s="2023">
        <v>61.482900000000001</v>
      </c>
      <c r="G158" s="2026" t="s">
        <v>20</v>
      </c>
      <c r="H158" s="2026" t="s">
        <v>20</v>
      </c>
      <c r="I158" s="2026">
        <v>0.55700000000000005</v>
      </c>
      <c r="J158" s="2026">
        <v>0.55700000000000005</v>
      </c>
      <c r="K158" s="2026">
        <v>0.55700000000000005</v>
      </c>
      <c r="L158" s="2026">
        <v>0.55700000000000005</v>
      </c>
      <c r="M158" s="2027">
        <f t="shared" si="86"/>
        <v>345.89700000000005</v>
      </c>
      <c r="N158" s="2027">
        <f t="shared" si="86"/>
        <v>345.89700000000005</v>
      </c>
      <c r="O158" s="2027">
        <f t="shared" si="86"/>
        <v>345.89700000000005</v>
      </c>
      <c r="P158" s="2027">
        <f t="shared" si="75"/>
        <v>345.89700000000005</v>
      </c>
      <c r="Q158" s="2026">
        <v>0.55700000000000005</v>
      </c>
      <c r="R158" s="2026">
        <v>0.55700000000000005</v>
      </c>
      <c r="S158" s="2026">
        <v>0.55700000000000005</v>
      </c>
      <c r="T158" s="2026">
        <v>0.55700000000000005</v>
      </c>
      <c r="U158" s="2028">
        <f t="shared" si="87"/>
        <v>3.2102695000000001E-2</v>
      </c>
      <c r="V158" s="2028">
        <f t="shared" si="87"/>
        <v>3.2102695000000001E-2</v>
      </c>
      <c r="W158" s="2028">
        <f t="shared" si="87"/>
        <v>3.2102695000000001E-2</v>
      </c>
      <c r="X158" s="2028">
        <f t="shared" si="76"/>
        <v>3.2102695000000001E-2</v>
      </c>
      <c r="Y158" s="2026">
        <v>0.49399999999999999</v>
      </c>
      <c r="Z158" s="2026">
        <v>0.49399999999999999</v>
      </c>
      <c r="AA158" s="2026">
        <v>0.49399999999999999</v>
      </c>
      <c r="AB158" s="2026">
        <v>0.49399999999999999</v>
      </c>
      <c r="AC158" s="2027">
        <f t="shared" si="90"/>
        <v>30.372552599999999</v>
      </c>
      <c r="AD158" s="2027">
        <f t="shared" si="90"/>
        <v>30.372552599999999</v>
      </c>
      <c r="AE158" s="2027">
        <f t="shared" si="90"/>
        <v>30.372552599999999</v>
      </c>
      <c r="AF158" s="2027">
        <f t="shared" si="90"/>
        <v>30.372552599999999</v>
      </c>
      <c r="AG158" s="2027">
        <v>53</v>
      </c>
      <c r="AH158" s="2027">
        <v>66</v>
      </c>
      <c r="AI158" s="2027">
        <v>88</v>
      </c>
      <c r="AJ158" s="2027">
        <v>89</v>
      </c>
      <c r="AK158" s="2027">
        <f t="shared" si="63"/>
        <v>18332.541000000001</v>
      </c>
      <c r="AL158" s="2027">
        <f t="shared" si="88"/>
        <v>22829.202000000005</v>
      </c>
      <c r="AM158" s="2027">
        <f t="shared" si="88"/>
        <v>30438.936000000005</v>
      </c>
      <c r="AN158" s="2027">
        <f t="shared" si="88"/>
        <v>30784.833000000006</v>
      </c>
      <c r="AO158" s="2027">
        <f t="shared" si="64"/>
        <v>1609.7452877999999</v>
      </c>
      <c r="AP158" s="2027">
        <f t="shared" si="89"/>
        <v>2004.5884715999998</v>
      </c>
      <c r="AQ158" s="2027">
        <f t="shared" si="89"/>
        <v>2672.7846288000001</v>
      </c>
      <c r="AR158" s="2027">
        <f t="shared" si="59"/>
        <v>2703.1571813999999</v>
      </c>
      <c r="AS158" s="2029">
        <f>DF158</f>
        <v>81</v>
      </c>
      <c r="AT158" s="2029">
        <f>DG158</f>
        <v>52</v>
      </c>
      <c r="AU158" s="2029">
        <f>$AT158</f>
        <v>52</v>
      </c>
      <c r="AV158" s="2029">
        <f>$AT158</f>
        <v>52</v>
      </c>
      <c r="AW158" s="2029">
        <f>CX158-AS158</f>
        <v>69</v>
      </c>
      <c r="AX158" s="2029">
        <f>CY158-AT158</f>
        <v>48</v>
      </c>
      <c r="AY158" s="2029">
        <f>$AX158</f>
        <v>48</v>
      </c>
      <c r="AZ158" s="2029">
        <f>$AX158</f>
        <v>48</v>
      </c>
      <c r="BA158" s="2029">
        <v>175</v>
      </c>
      <c r="BB158" s="2029">
        <f t="shared" si="79"/>
        <v>175</v>
      </c>
      <c r="BC158" s="2029">
        <f t="shared" si="79"/>
        <v>175</v>
      </c>
      <c r="BD158" s="2029">
        <f t="shared" si="79"/>
        <v>175</v>
      </c>
      <c r="BE158" s="2030">
        <f t="shared" si="80"/>
        <v>4293</v>
      </c>
      <c r="BF158" s="2030">
        <f t="shared" si="80"/>
        <v>3432</v>
      </c>
      <c r="BG158" s="2030">
        <f t="shared" si="80"/>
        <v>4576</v>
      </c>
      <c r="BH158" s="2030">
        <f t="shared" si="73"/>
        <v>4628</v>
      </c>
      <c r="BI158" s="2030">
        <f t="shared" si="81"/>
        <v>3657</v>
      </c>
      <c r="BJ158" s="2030">
        <f t="shared" si="81"/>
        <v>3168</v>
      </c>
      <c r="BK158" s="2030">
        <f t="shared" si="81"/>
        <v>4224</v>
      </c>
      <c r="BL158" s="2030">
        <f t="shared" si="81"/>
        <v>4272</v>
      </c>
      <c r="BM158" s="2031"/>
      <c r="BN158" s="2031"/>
      <c r="BO158" s="2031"/>
      <c r="BP158" s="2031"/>
      <c r="BQ158" s="2031"/>
      <c r="BR158" s="2031"/>
      <c r="BS158" s="2031"/>
      <c r="BT158" s="2031"/>
      <c r="BU158" s="2029"/>
      <c r="BV158" s="2029"/>
      <c r="BW158" s="2029"/>
      <c r="BX158" s="2029"/>
      <c r="BY158" s="2029"/>
      <c r="BZ158" s="2032"/>
      <c r="CA158" s="1974"/>
      <c r="CB158" s="1974"/>
      <c r="CC158" s="1974"/>
      <c r="CD158" s="1974"/>
      <c r="CE158" s="1974">
        <v>0</v>
      </c>
      <c r="CF158" s="2033">
        <v>7.6636195743669364E-5</v>
      </c>
      <c r="CG158" s="2026">
        <v>6.0056446382201882E-4</v>
      </c>
      <c r="CH158" s="2009">
        <v>0</v>
      </c>
      <c r="CI158" s="2029">
        <v>0</v>
      </c>
      <c r="CK158" s="2029">
        <f t="shared" si="82"/>
        <v>0</v>
      </c>
      <c r="CL158" s="2034">
        <v>1</v>
      </c>
      <c r="CM158" s="2034">
        <v>1</v>
      </c>
      <c r="CN158" s="2034">
        <v>1</v>
      </c>
      <c r="CO158" s="2034">
        <v>1</v>
      </c>
      <c r="CP158" s="2035"/>
      <c r="CQ158" s="2036"/>
      <c r="CR158" s="2036"/>
      <c r="CS158" s="2036"/>
      <c r="CT158" s="2036"/>
      <c r="CU158" s="2036"/>
      <c r="CW158" s="1973">
        <v>0</v>
      </c>
      <c r="CX158" s="2037">
        <v>150</v>
      </c>
      <c r="CY158" s="2037">
        <v>100</v>
      </c>
      <c r="CZ158" s="2037">
        <v>100</v>
      </c>
      <c r="DA158" s="2037">
        <v>100</v>
      </c>
      <c r="DB158" s="2051">
        <v>0.54</v>
      </c>
      <c r="DC158" s="2062">
        <v>0.52</v>
      </c>
      <c r="DD158" s="2062">
        <v>0.52</v>
      </c>
      <c r="DE158" s="2062">
        <v>0.52</v>
      </c>
      <c r="DF158" s="2037">
        <f>DB158*CX158</f>
        <v>81</v>
      </c>
      <c r="DG158" s="2037">
        <f>DC158*CY158</f>
        <v>52</v>
      </c>
      <c r="DH158" s="2037">
        <f>DD158*CZ158</f>
        <v>52</v>
      </c>
      <c r="DI158" s="2037">
        <f>DE158*DA158</f>
        <v>52</v>
      </c>
      <c r="DJ158" s="1976">
        <v>75</v>
      </c>
      <c r="DK158" s="1973">
        <v>50</v>
      </c>
      <c r="DL158" s="1973">
        <v>50</v>
      </c>
      <c r="DM158" s="1973">
        <v>50</v>
      </c>
      <c r="DO158" s="2023">
        <v>10</v>
      </c>
      <c r="DP158" s="2024">
        <v>621</v>
      </c>
      <c r="DQ158" s="2024">
        <v>5.7634999999999999E-2</v>
      </c>
      <c r="DR158" s="2023">
        <v>61.482900000000001</v>
      </c>
      <c r="DS158" s="2029">
        <v>81</v>
      </c>
      <c r="DT158" s="2029">
        <v>52</v>
      </c>
      <c r="DU158" s="2029">
        <v>52</v>
      </c>
      <c r="DV158" s="2029">
        <v>52</v>
      </c>
      <c r="DW158" s="2029">
        <v>69</v>
      </c>
      <c r="DX158" s="2029">
        <v>48</v>
      </c>
      <c r="DY158" s="2029">
        <v>48</v>
      </c>
      <c r="DZ158" s="2029">
        <v>48</v>
      </c>
      <c r="EA158" s="2029">
        <v>175</v>
      </c>
      <c r="EB158" s="2029">
        <v>175</v>
      </c>
      <c r="EC158" s="2029">
        <v>175</v>
      </c>
      <c r="ED158" s="2029">
        <v>175</v>
      </c>
      <c r="EE158" s="2039">
        <f t="shared" si="83"/>
        <v>0</v>
      </c>
      <c r="EF158" s="2039">
        <f t="shared" si="83"/>
        <v>0</v>
      </c>
      <c r="EG158" s="2039">
        <f t="shared" si="83"/>
        <v>0</v>
      </c>
      <c r="EH158" s="2039">
        <f t="shared" si="74"/>
        <v>0</v>
      </c>
      <c r="EI158" s="2040">
        <f t="shared" si="70"/>
        <v>0</v>
      </c>
      <c r="EJ158" s="2040">
        <f t="shared" si="70"/>
        <v>0</v>
      </c>
      <c r="EK158" s="2040">
        <f t="shared" si="70"/>
        <v>0</v>
      </c>
      <c r="EL158" s="2040">
        <f t="shared" si="69"/>
        <v>0</v>
      </c>
      <c r="EM158" s="2040">
        <f t="shared" si="69"/>
        <v>0</v>
      </c>
      <c r="EN158" s="2040">
        <f t="shared" si="69"/>
        <v>0</v>
      </c>
      <c r="EO158" s="2040">
        <f t="shared" si="69"/>
        <v>0</v>
      </c>
      <c r="EP158" s="2040">
        <f t="shared" si="69"/>
        <v>0</v>
      </c>
      <c r="EQ158" s="2040">
        <f t="shared" si="69"/>
        <v>0</v>
      </c>
      <c r="ER158" s="2040">
        <f t="shared" si="72"/>
        <v>0</v>
      </c>
      <c r="ES158" s="2040">
        <f t="shared" si="72"/>
        <v>0</v>
      </c>
      <c r="ET158" s="2040">
        <f t="shared" si="72"/>
        <v>0</v>
      </c>
      <c r="EU158" s="2039">
        <f t="shared" si="84"/>
        <v>0</v>
      </c>
      <c r="EV158" s="2039">
        <f t="shared" si="85"/>
        <v>0</v>
      </c>
    </row>
    <row r="159" spans="1:152" x14ac:dyDescent="0.25">
      <c r="A159" s="2041" t="s">
        <v>176</v>
      </c>
      <c r="B159" s="2022"/>
      <c r="C159" s="2023">
        <v>15</v>
      </c>
      <c r="D159" s="2024">
        <v>0</v>
      </c>
      <c r="E159" s="2024">
        <v>0</v>
      </c>
      <c r="F159" s="2023">
        <v>1.6</v>
      </c>
      <c r="G159" s="2026" t="s">
        <v>2285</v>
      </c>
      <c r="H159" s="2026" t="s">
        <v>2285</v>
      </c>
      <c r="I159" s="2026">
        <v>0.79999999999999993</v>
      </c>
      <c r="J159" s="2026">
        <v>0.79999999999999993</v>
      </c>
      <c r="K159" s="2026">
        <v>0.79999999999999993</v>
      </c>
      <c r="L159" s="2026">
        <v>0.79999999999999993</v>
      </c>
      <c r="M159" s="2027">
        <f t="shared" si="86"/>
        <v>0</v>
      </c>
      <c r="N159" s="2027">
        <f t="shared" si="86"/>
        <v>0</v>
      </c>
      <c r="O159" s="2027">
        <f t="shared" si="86"/>
        <v>0</v>
      </c>
      <c r="P159" s="2027">
        <f t="shared" si="75"/>
        <v>0</v>
      </c>
      <c r="Q159" s="2026">
        <v>0.79999999999999993</v>
      </c>
      <c r="R159" s="2026">
        <v>0.79999999999999993</v>
      </c>
      <c r="S159" s="2026">
        <v>0.79999999999999993</v>
      </c>
      <c r="T159" s="2026">
        <v>0.79999999999999993</v>
      </c>
      <c r="U159" s="2028">
        <f t="shared" si="87"/>
        <v>0</v>
      </c>
      <c r="V159" s="2028">
        <f t="shared" si="87"/>
        <v>0</v>
      </c>
      <c r="W159" s="2028">
        <f t="shared" si="87"/>
        <v>0</v>
      </c>
      <c r="X159" s="2028">
        <f t="shared" si="76"/>
        <v>0</v>
      </c>
      <c r="Y159" s="2026">
        <v>0.60399999999999998</v>
      </c>
      <c r="Z159" s="2026">
        <v>0.60399999999999998</v>
      </c>
      <c r="AA159" s="2026">
        <v>0.60399999999999998</v>
      </c>
      <c r="AB159" s="2026">
        <v>0.60399999999999998</v>
      </c>
      <c r="AC159" s="2027">
        <f t="shared" si="90"/>
        <v>0.96640000000000004</v>
      </c>
      <c r="AD159" s="2027">
        <f t="shared" si="90"/>
        <v>0.96640000000000004</v>
      </c>
      <c r="AE159" s="2027">
        <f t="shared" si="90"/>
        <v>0.96640000000000004</v>
      </c>
      <c r="AF159" s="2027">
        <f t="shared" si="90"/>
        <v>0.96640000000000004</v>
      </c>
      <c r="AG159" s="2027">
        <v>6877</v>
      </c>
      <c r="AH159" s="2027">
        <v>6800</v>
      </c>
      <c r="AI159" s="2027">
        <v>6819</v>
      </c>
      <c r="AJ159" s="2027">
        <v>6823</v>
      </c>
      <c r="AK159" s="2027">
        <f t="shared" si="63"/>
        <v>0</v>
      </c>
      <c r="AL159" s="2027">
        <f t="shared" si="88"/>
        <v>0</v>
      </c>
      <c r="AM159" s="2027">
        <f t="shared" si="88"/>
        <v>0</v>
      </c>
      <c r="AN159" s="2027">
        <f t="shared" si="88"/>
        <v>0</v>
      </c>
      <c r="AO159" s="2027">
        <f t="shared" si="64"/>
        <v>6645.9328000000005</v>
      </c>
      <c r="AP159" s="2027">
        <f t="shared" si="89"/>
        <v>6571.52</v>
      </c>
      <c r="AQ159" s="2027">
        <f t="shared" si="89"/>
        <v>6589.8816000000006</v>
      </c>
      <c r="AR159" s="2027">
        <f t="shared" si="59"/>
        <v>6593.7472000000007</v>
      </c>
      <c r="AS159" s="2029"/>
      <c r="AT159" s="2029">
        <f t="shared" si="77"/>
        <v>0</v>
      </c>
      <c r="AU159" s="2029">
        <f t="shared" si="77"/>
        <v>0</v>
      </c>
      <c r="AV159" s="2029">
        <f t="shared" si="77"/>
        <v>0</v>
      </c>
      <c r="AW159" s="2029">
        <v>1</v>
      </c>
      <c r="AX159" s="2029">
        <f t="shared" si="78"/>
        <v>1</v>
      </c>
      <c r="AY159" s="2029">
        <f t="shared" si="78"/>
        <v>1</v>
      </c>
      <c r="AZ159" s="2029">
        <f t="shared" si="78"/>
        <v>1</v>
      </c>
      <c r="BA159" s="2029">
        <v>13.97</v>
      </c>
      <c r="BB159" s="2029">
        <f t="shared" si="79"/>
        <v>13.97</v>
      </c>
      <c r="BC159" s="2029">
        <f t="shared" si="79"/>
        <v>13.97</v>
      </c>
      <c r="BD159" s="2029">
        <f t="shared" si="79"/>
        <v>13.97</v>
      </c>
      <c r="BE159" s="2030">
        <f t="shared" si="80"/>
        <v>0</v>
      </c>
      <c r="BF159" s="2030">
        <f t="shared" si="80"/>
        <v>0</v>
      </c>
      <c r="BG159" s="2030">
        <f t="shared" si="80"/>
        <v>0</v>
      </c>
      <c r="BH159" s="2030">
        <f t="shared" si="73"/>
        <v>0</v>
      </c>
      <c r="BI159" s="2030">
        <f t="shared" si="81"/>
        <v>6877</v>
      </c>
      <c r="BJ159" s="2030">
        <f t="shared" si="81"/>
        <v>6800</v>
      </c>
      <c r="BK159" s="2030">
        <f t="shared" si="81"/>
        <v>6819</v>
      </c>
      <c r="BL159" s="2030">
        <f t="shared" si="81"/>
        <v>6823</v>
      </c>
      <c r="BM159" s="2031"/>
      <c r="BN159" s="2031"/>
      <c r="BO159" s="2031"/>
      <c r="BP159" s="2031"/>
      <c r="BQ159" s="2031"/>
      <c r="BR159" s="2031"/>
      <c r="BS159" s="2031"/>
      <c r="BT159" s="2031"/>
      <c r="BU159" s="2029"/>
      <c r="BV159" s="2029"/>
      <c r="BW159" s="2029"/>
      <c r="BX159" s="2029"/>
      <c r="BY159" s="2029"/>
      <c r="BZ159" s="2032"/>
      <c r="CA159" s="1974"/>
      <c r="CB159" s="1974"/>
      <c r="CC159" s="1974"/>
      <c r="CD159" s="1974"/>
      <c r="CE159" s="1974">
        <v>0</v>
      </c>
      <c r="CF159" s="2033">
        <v>0</v>
      </c>
      <c r="CG159" s="2026">
        <v>2.4794674653677642E-3</v>
      </c>
      <c r="CH159" s="2009">
        <v>0</v>
      </c>
      <c r="CI159" s="2029">
        <v>0</v>
      </c>
      <c r="CK159" s="2029">
        <f t="shared" si="82"/>
        <v>0</v>
      </c>
      <c r="CL159" s="2034">
        <v>1</v>
      </c>
      <c r="CM159" s="2034">
        <v>1</v>
      </c>
      <c r="CN159" s="2034">
        <v>1</v>
      </c>
      <c r="CO159" s="2034">
        <v>1</v>
      </c>
      <c r="CP159" s="2035"/>
      <c r="CQ159" s="2036"/>
      <c r="CR159" s="2036"/>
      <c r="CS159" s="2036"/>
      <c r="CT159" s="2036"/>
      <c r="CU159" s="2036"/>
      <c r="CW159" s="1973">
        <v>0</v>
      </c>
      <c r="CX159" s="2037">
        <v>1</v>
      </c>
      <c r="CY159" s="2037">
        <v>1</v>
      </c>
      <c r="CZ159" s="2037">
        <v>1</v>
      </c>
      <c r="DA159" s="2037">
        <v>1</v>
      </c>
      <c r="DK159" s="1973">
        <v>0</v>
      </c>
      <c r="DL159" s="1973">
        <v>0</v>
      </c>
      <c r="DM159" s="1973">
        <v>0</v>
      </c>
      <c r="DO159" s="2023">
        <v>15</v>
      </c>
      <c r="DP159" s="2024">
        <v>0</v>
      </c>
      <c r="DQ159" s="2024">
        <v>0</v>
      </c>
      <c r="DR159" s="2023">
        <v>1.6</v>
      </c>
      <c r="DS159" s="2029"/>
      <c r="DT159" s="2029">
        <v>0</v>
      </c>
      <c r="DU159" s="2029">
        <v>0</v>
      </c>
      <c r="DV159" s="2029">
        <v>0</v>
      </c>
      <c r="DW159" s="2029">
        <v>1</v>
      </c>
      <c r="DX159" s="2029">
        <v>1</v>
      </c>
      <c r="DY159" s="2029">
        <v>1</v>
      </c>
      <c r="DZ159" s="2029">
        <v>1</v>
      </c>
      <c r="EA159" s="2029">
        <v>13.97</v>
      </c>
      <c r="EB159" s="2029">
        <v>13.97</v>
      </c>
      <c r="EC159" s="2029">
        <v>13.97</v>
      </c>
      <c r="ED159" s="2029">
        <v>13.97</v>
      </c>
      <c r="EE159" s="2039">
        <f t="shared" si="83"/>
        <v>0</v>
      </c>
      <c r="EF159" s="2039">
        <f t="shared" si="83"/>
        <v>0</v>
      </c>
      <c r="EG159" s="2039">
        <f t="shared" si="83"/>
        <v>0</v>
      </c>
      <c r="EH159" s="2039">
        <f t="shared" si="74"/>
        <v>0</v>
      </c>
      <c r="EI159" s="2040">
        <f t="shared" si="70"/>
        <v>0</v>
      </c>
      <c r="EJ159" s="2040">
        <f t="shared" si="70"/>
        <v>0</v>
      </c>
      <c r="EK159" s="2040">
        <f t="shared" si="70"/>
        <v>0</v>
      </c>
      <c r="EL159" s="2040">
        <f t="shared" si="69"/>
        <v>0</v>
      </c>
      <c r="EM159" s="2040">
        <f t="shared" si="69"/>
        <v>0</v>
      </c>
      <c r="EN159" s="2040">
        <f t="shared" si="69"/>
        <v>0</v>
      </c>
      <c r="EO159" s="2040">
        <f t="shared" si="69"/>
        <v>0</v>
      </c>
      <c r="EP159" s="2040">
        <f t="shared" si="69"/>
        <v>0</v>
      </c>
      <c r="EQ159" s="2040">
        <f t="shared" si="69"/>
        <v>0</v>
      </c>
      <c r="ER159" s="2040">
        <f t="shared" si="72"/>
        <v>0</v>
      </c>
      <c r="ES159" s="2040">
        <f t="shared" si="72"/>
        <v>0</v>
      </c>
      <c r="ET159" s="2040">
        <f t="shared" si="72"/>
        <v>0</v>
      </c>
      <c r="EU159" s="2039">
        <f t="shared" si="84"/>
        <v>0</v>
      </c>
      <c r="EV159" s="2039">
        <f t="shared" si="85"/>
        <v>0</v>
      </c>
    </row>
    <row r="160" spans="1:152" x14ac:dyDescent="0.25">
      <c r="A160" s="2041" t="s">
        <v>258</v>
      </c>
      <c r="B160" s="2022"/>
      <c r="C160" s="2023">
        <v>15</v>
      </c>
      <c r="D160" s="2024">
        <v>0</v>
      </c>
      <c r="E160" s="2024">
        <v>0</v>
      </c>
      <c r="F160" s="2023">
        <v>0.12</v>
      </c>
      <c r="G160" s="2026" t="s">
        <v>2285</v>
      </c>
      <c r="H160" s="2026" t="s">
        <v>2285</v>
      </c>
      <c r="I160" s="2026">
        <v>0.79999999999999993</v>
      </c>
      <c r="J160" s="2026">
        <v>0.79999999999999993</v>
      </c>
      <c r="K160" s="2026">
        <v>0.79999999999999993</v>
      </c>
      <c r="L160" s="2026">
        <v>0.79999999999999993</v>
      </c>
      <c r="M160" s="2027">
        <f t="shared" si="86"/>
        <v>0</v>
      </c>
      <c r="N160" s="2027">
        <f t="shared" si="86"/>
        <v>0</v>
      </c>
      <c r="O160" s="2027">
        <f t="shared" si="86"/>
        <v>0</v>
      </c>
      <c r="P160" s="2027">
        <f t="shared" si="75"/>
        <v>0</v>
      </c>
      <c r="Q160" s="2026">
        <v>0.79999999999999993</v>
      </c>
      <c r="R160" s="2026">
        <v>0.79999999999999993</v>
      </c>
      <c r="S160" s="2026">
        <v>0.79999999999999993</v>
      </c>
      <c r="T160" s="2026">
        <v>0.79999999999999993</v>
      </c>
      <c r="U160" s="2028">
        <f t="shared" si="87"/>
        <v>0</v>
      </c>
      <c r="V160" s="2028">
        <f t="shared" si="87"/>
        <v>0</v>
      </c>
      <c r="W160" s="2028">
        <f t="shared" si="87"/>
        <v>0</v>
      </c>
      <c r="X160" s="2028">
        <f t="shared" si="76"/>
        <v>0</v>
      </c>
      <c r="Y160" s="2026">
        <v>0.60399999999999998</v>
      </c>
      <c r="Z160" s="2026">
        <v>0.60399999999999998</v>
      </c>
      <c r="AA160" s="2026">
        <v>0.60399999999999998</v>
      </c>
      <c r="AB160" s="2026">
        <v>0.60399999999999998</v>
      </c>
      <c r="AC160" s="2027">
        <f t="shared" si="90"/>
        <v>7.2479999999999989E-2</v>
      </c>
      <c r="AD160" s="2027">
        <f t="shared" si="90"/>
        <v>7.2479999999999989E-2</v>
      </c>
      <c r="AE160" s="2027">
        <f t="shared" si="90"/>
        <v>7.2479999999999989E-2</v>
      </c>
      <c r="AF160" s="2027">
        <f t="shared" si="90"/>
        <v>7.2479999999999989E-2</v>
      </c>
      <c r="AG160" s="2027">
        <v>0</v>
      </c>
      <c r="AH160" s="2027">
        <v>0</v>
      </c>
      <c r="AI160" s="2027">
        <v>0</v>
      </c>
      <c r="AJ160" s="2027">
        <v>0</v>
      </c>
      <c r="AK160" s="2027">
        <f t="shared" si="63"/>
        <v>0</v>
      </c>
      <c r="AL160" s="2027">
        <f t="shared" si="88"/>
        <v>0</v>
      </c>
      <c r="AM160" s="2027">
        <f t="shared" si="88"/>
        <v>0</v>
      </c>
      <c r="AN160" s="2027">
        <f t="shared" si="88"/>
        <v>0</v>
      </c>
      <c r="AO160" s="2027">
        <f t="shared" si="64"/>
        <v>0</v>
      </c>
      <c r="AP160" s="2027">
        <f t="shared" si="89"/>
        <v>0</v>
      </c>
      <c r="AQ160" s="2027">
        <f t="shared" si="89"/>
        <v>0</v>
      </c>
      <c r="AR160" s="2027">
        <f t="shared" si="59"/>
        <v>0</v>
      </c>
      <c r="AS160" s="2029"/>
      <c r="AT160" s="2029">
        <f t="shared" si="77"/>
        <v>0</v>
      </c>
      <c r="AU160" s="2029">
        <f t="shared" si="77"/>
        <v>0</v>
      </c>
      <c r="AV160" s="2029">
        <f t="shared" si="77"/>
        <v>0</v>
      </c>
      <c r="AW160" s="2029">
        <v>0.1</v>
      </c>
      <c r="AX160" s="2029">
        <f t="shared" si="78"/>
        <v>0.1</v>
      </c>
      <c r="AY160" s="2029">
        <f t="shared" si="78"/>
        <v>0.1</v>
      </c>
      <c r="AZ160" s="2029">
        <f t="shared" si="78"/>
        <v>0.1</v>
      </c>
      <c r="BA160" s="2029">
        <v>4.1500000000000004</v>
      </c>
      <c r="BB160" s="2029">
        <f t="shared" si="79"/>
        <v>4.1500000000000004</v>
      </c>
      <c r="BC160" s="2029">
        <f t="shared" si="79"/>
        <v>4.1500000000000004</v>
      </c>
      <c r="BD160" s="2029">
        <f t="shared" si="79"/>
        <v>4.1500000000000004</v>
      </c>
      <c r="BE160" s="2030">
        <f t="shared" si="80"/>
        <v>0</v>
      </c>
      <c r="BF160" s="2030">
        <f t="shared" si="80"/>
        <v>0</v>
      </c>
      <c r="BG160" s="2030">
        <f t="shared" si="80"/>
        <v>0</v>
      </c>
      <c r="BH160" s="2030">
        <f t="shared" si="73"/>
        <v>0</v>
      </c>
      <c r="BI160" s="2030">
        <f t="shared" si="81"/>
        <v>0</v>
      </c>
      <c r="BJ160" s="2030">
        <f t="shared" si="81"/>
        <v>0</v>
      </c>
      <c r="BK160" s="2030">
        <f t="shared" si="81"/>
        <v>0</v>
      </c>
      <c r="BL160" s="2030">
        <f t="shared" si="81"/>
        <v>0</v>
      </c>
      <c r="BM160" s="2031"/>
      <c r="BN160" s="2031"/>
      <c r="BO160" s="2031"/>
      <c r="BP160" s="2031"/>
      <c r="BQ160" s="2031"/>
      <c r="BR160" s="2031"/>
      <c r="BS160" s="2031"/>
      <c r="BT160" s="2031"/>
      <c r="BU160" s="2029"/>
      <c r="BV160" s="2029"/>
      <c r="BW160" s="2029"/>
      <c r="BX160" s="2029"/>
      <c r="BY160" s="2029"/>
      <c r="BZ160" s="2032"/>
      <c r="CA160" s="1974"/>
      <c r="CB160" s="1974"/>
      <c r="CC160" s="1974"/>
      <c r="CD160" s="1974"/>
      <c r="CE160" s="1974">
        <v>0</v>
      </c>
      <c r="CF160" s="2033">
        <v>0</v>
      </c>
      <c r="CG160" s="2026">
        <v>0</v>
      </c>
      <c r="CH160" s="2009">
        <v>0</v>
      </c>
      <c r="CI160" s="2029">
        <v>0</v>
      </c>
      <c r="CK160" s="2029">
        <f t="shared" si="82"/>
        <v>0</v>
      </c>
      <c r="CL160" s="2034">
        <v>1</v>
      </c>
      <c r="CM160" s="2034">
        <v>1</v>
      </c>
      <c r="CN160" s="2034">
        <v>1</v>
      </c>
      <c r="CO160" s="2034">
        <v>1</v>
      </c>
      <c r="CP160" s="2035"/>
      <c r="CQ160" s="2036"/>
      <c r="CR160" s="2036"/>
      <c r="CS160" s="2036"/>
      <c r="CT160" s="2036"/>
      <c r="CU160" s="2036"/>
      <c r="CW160" s="1973">
        <v>0</v>
      </c>
      <c r="CX160" s="2037">
        <v>0.1</v>
      </c>
      <c r="CY160" s="2037">
        <v>0.1</v>
      </c>
      <c r="CZ160" s="2037">
        <v>0.1</v>
      </c>
      <c r="DA160" s="2037">
        <v>0.1</v>
      </c>
      <c r="DK160" s="1973">
        <v>0</v>
      </c>
      <c r="DL160" s="1973">
        <v>0</v>
      </c>
      <c r="DM160" s="1973">
        <v>0</v>
      </c>
      <c r="DO160" s="2023">
        <v>15</v>
      </c>
      <c r="DP160" s="2024">
        <v>0</v>
      </c>
      <c r="DQ160" s="2024">
        <v>0</v>
      </c>
      <c r="DR160" s="2023">
        <v>0.12</v>
      </c>
      <c r="DS160" s="2029"/>
      <c r="DT160" s="2029">
        <v>0</v>
      </c>
      <c r="DU160" s="2029">
        <v>0</v>
      </c>
      <c r="DV160" s="2029">
        <v>0</v>
      </c>
      <c r="DW160" s="2029">
        <v>0.1</v>
      </c>
      <c r="DX160" s="2029">
        <v>0.1</v>
      </c>
      <c r="DY160" s="2029">
        <v>0.1</v>
      </c>
      <c r="DZ160" s="2029">
        <v>0.1</v>
      </c>
      <c r="EA160" s="2029">
        <v>4.1500000000000004</v>
      </c>
      <c r="EB160" s="2029">
        <v>4.1500000000000004</v>
      </c>
      <c r="EC160" s="2029">
        <v>4.1500000000000004</v>
      </c>
      <c r="ED160" s="2029">
        <v>4.1500000000000004</v>
      </c>
      <c r="EE160" s="2039">
        <f t="shared" si="83"/>
        <v>0</v>
      </c>
      <c r="EF160" s="2039">
        <f t="shared" si="83"/>
        <v>0</v>
      </c>
      <c r="EG160" s="2039">
        <f t="shared" si="83"/>
        <v>0</v>
      </c>
      <c r="EH160" s="2039">
        <f t="shared" si="74"/>
        <v>0</v>
      </c>
      <c r="EI160" s="2040">
        <f t="shared" si="70"/>
        <v>0</v>
      </c>
      <c r="EJ160" s="2040">
        <f t="shared" si="70"/>
        <v>0</v>
      </c>
      <c r="EK160" s="2040">
        <f t="shared" si="70"/>
        <v>0</v>
      </c>
      <c r="EL160" s="2040">
        <f t="shared" si="69"/>
        <v>0</v>
      </c>
      <c r="EM160" s="2040">
        <f t="shared" si="69"/>
        <v>0</v>
      </c>
      <c r="EN160" s="2040">
        <f t="shared" si="69"/>
        <v>0</v>
      </c>
      <c r="EO160" s="2040">
        <f t="shared" si="69"/>
        <v>0</v>
      </c>
      <c r="EP160" s="2040">
        <f t="shared" si="69"/>
        <v>0</v>
      </c>
      <c r="EQ160" s="2040">
        <f t="shared" si="69"/>
        <v>0</v>
      </c>
      <c r="ER160" s="2040">
        <f t="shared" si="72"/>
        <v>0</v>
      </c>
      <c r="ES160" s="2040">
        <f t="shared" si="72"/>
        <v>0</v>
      </c>
      <c r="ET160" s="2040">
        <f t="shared" si="72"/>
        <v>0</v>
      </c>
      <c r="EU160" s="2039">
        <f t="shared" si="84"/>
        <v>0</v>
      </c>
      <c r="EV160" s="2039">
        <f t="shared" si="85"/>
        <v>0</v>
      </c>
    </row>
    <row r="161" spans="1:152" x14ac:dyDescent="0.25">
      <c r="A161" s="2041" t="s">
        <v>177</v>
      </c>
      <c r="B161" s="2022"/>
      <c r="C161" s="2023">
        <v>15</v>
      </c>
      <c r="D161" s="2024">
        <v>110019</v>
      </c>
      <c r="E161" s="2024">
        <v>11.2379</v>
      </c>
      <c r="F161" s="2023">
        <v>0</v>
      </c>
      <c r="G161" s="2026" t="s">
        <v>2899</v>
      </c>
      <c r="H161" s="2026" t="s">
        <v>2899</v>
      </c>
      <c r="I161" s="2026">
        <v>0.84899999999999998</v>
      </c>
      <c r="J161" s="2026">
        <v>0.84899999999999998</v>
      </c>
      <c r="K161" s="2026">
        <v>0.84899999999999998</v>
      </c>
      <c r="L161" s="2026">
        <v>0.84899999999999998</v>
      </c>
      <c r="M161" s="2027">
        <f t="shared" si="86"/>
        <v>93406.130999999994</v>
      </c>
      <c r="N161" s="2027">
        <f t="shared" si="86"/>
        <v>93406.130999999994</v>
      </c>
      <c r="O161" s="2027">
        <f t="shared" si="86"/>
        <v>93406.130999999994</v>
      </c>
      <c r="P161" s="2027">
        <f t="shared" si="75"/>
        <v>93406.130999999994</v>
      </c>
      <c r="Q161" s="2026">
        <v>0.84899999999999998</v>
      </c>
      <c r="R161" s="2026">
        <v>0.84899999999999998</v>
      </c>
      <c r="S161" s="2026">
        <v>0.84899999999999998</v>
      </c>
      <c r="T161" s="2026">
        <v>0.84899999999999998</v>
      </c>
      <c r="U161" s="2028">
        <f t="shared" si="87"/>
        <v>9.5409770999999992</v>
      </c>
      <c r="V161" s="2028">
        <f t="shared" si="87"/>
        <v>9.5409770999999992</v>
      </c>
      <c r="W161" s="2028">
        <f t="shared" si="87"/>
        <v>9.5409770999999992</v>
      </c>
      <c r="X161" s="2028">
        <f t="shared" si="76"/>
        <v>9.5409770999999992</v>
      </c>
      <c r="Y161" s="2026">
        <v>0.67500000000000004</v>
      </c>
      <c r="Z161" s="2026">
        <v>0.67500000000000004</v>
      </c>
      <c r="AA161" s="2026">
        <v>0.67500000000000004</v>
      </c>
      <c r="AB161" s="2026">
        <v>0.67500000000000004</v>
      </c>
      <c r="AC161" s="2027">
        <f t="shared" si="90"/>
        <v>0</v>
      </c>
      <c r="AD161" s="2027">
        <f t="shared" si="90"/>
        <v>0</v>
      </c>
      <c r="AE161" s="2027">
        <f t="shared" si="90"/>
        <v>0</v>
      </c>
      <c r="AF161" s="2027">
        <f t="shared" si="90"/>
        <v>0</v>
      </c>
      <c r="AG161" s="2027">
        <v>1</v>
      </c>
      <c r="AH161" s="2027">
        <v>2</v>
      </c>
      <c r="AI161" s="2027">
        <v>2</v>
      </c>
      <c r="AJ161" s="2027">
        <v>1</v>
      </c>
      <c r="AK161" s="2027">
        <f t="shared" si="63"/>
        <v>93406.130999999994</v>
      </c>
      <c r="AL161" s="2027">
        <f t="shared" si="88"/>
        <v>186812.26199999999</v>
      </c>
      <c r="AM161" s="2027">
        <f t="shared" si="88"/>
        <v>186812.26199999999</v>
      </c>
      <c r="AN161" s="2027">
        <f t="shared" si="88"/>
        <v>93406.130999999994</v>
      </c>
      <c r="AO161" s="2027">
        <f t="shared" si="64"/>
        <v>0</v>
      </c>
      <c r="AP161" s="2027">
        <f t="shared" si="89"/>
        <v>0</v>
      </c>
      <c r="AQ161" s="2027">
        <f t="shared" si="89"/>
        <v>0</v>
      </c>
      <c r="AR161" s="2027">
        <f t="shared" si="59"/>
        <v>0</v>
      </c>
      <c r="AS161" s="2029">
        <v>1000</v>
      </c>
      <c r="AT161" s="2029">
        <f t="shared" si="77"/>
        <v>1000</v>
      </c>
      <c r="AU161" s="2029">
        <f t="shared" si="77"/>
        <v>1000</v>
      </c>
      <c r="AV161" s="2029">
        <f t="shared" si="77"/>
        <v>1000</v>
      </c>
      <c r="AW161" s="1974"/>
      <c r="AX161" s="2029">
        <f t="shared" si="78"/>
        <v>0</v>
      </c>
      <c r="AY161" s="2029">
        <f t="shared" si="78"/>
        <v>0</v>
      </c>
      <c r="AZ161" s="2029">
        <f t="shared" si="78"/>
        <v>0</v>
      </c>
      <c r="BA161" s="2029">
        <v>10200</v>
      </c>
      <c r="BB161" s="2029">
        <f t="shared" si="79"/>
        <v>10200</v>
      </c>
      <c r="BC161" s="2029">
        <f t="shared" si="79"/>
        <v>10200</v>
      </c>
      <c r="BD161" s="2029">
        <f t="shared" si="79"/>
        <v>10200</v>
      </c>
      <c r="BE161" s="2030">
        <f t="shared" si="80"/>
        <v>1000</v>
      </c>
      <c r="BF161" s="2030">
        <f t="shared" si="80"/>
        <v>2000</v>
      </c>
      <c r="BG161" s="2030">
        <f t="shared" si="80"/>
        <v>2000</v>
      </c>
      <c r="BH161" s="2030">
        <f t="shared" si="73"/>
        <v>1000</v>
      </c>
      <c r="BI161" s="2030">
        <f t="shared" si="81"/>
        <v>0</v>
      </c>
      <c r="BJ161" s="2030">
        <f t="shared" si="81"/>
        <v>0</v>
      </c>
      <c r="BK161" s="2030">
        <f t="shared" si="81"/>
        <v>0</v>
      </c>
      <c r="BL161" s="2030">
        <f t="shared" si="81"/>
        <v>0</v>
      </c>
      <c r="BM161" s="2031"/>
      <c r="BN161" s="2031"/>
      <c r="BO161" s="2031"/>
      <c r="BP161" s="2031"/>
      <c r="BQ161" s="2031"/>
      <c r="BR161" s="2031"/>
      <c r="BS161" s="2031"/>
      <c r="BT161" s="2031"/>
      <c r="BU161" s="2029"/>
      <c r="BV161" s="2029"/>
      <c r="BW161" s="2029"/>
      <c r="BX161" s="2029"/>
      <c r="BY161" s="2029"/>
      <c r="BZ161" s="2032"/>
      <c r="CA161" s="1974"/>
      <c r="CB161" s="1974"/>
      <c r="CC161" s="1974"/>
      <c r="CD161" s="1974"/>
      <c r="CE161" s="1974">
        <v>0</v>
      </c>
      <c r="CF161" s="2033">
        <v>3.9046908658078671E-4</v>
      </c>
      <c r="CG161" s="2026">
        <v>0</v>
      </c>
      <c r="CH161" s="2009">
        <v>0</v>
      </c>
      <c r="CI161" s="2029">
        <v>0</v>
      </c>
      <c r="CK161" s="2029">
        <f t="shared" si="82"/>
        <v>0</v>
      </c>
      <c r="CL161" s="2034">
        <v>1</v>
      </c>
      <c r="CM161" s="2034">
        <v>1</v>
      </c>
      <c r="CN161" s="2034">
        <v>1</v>
      </c>
      <c r="CO161" s="2034">
        <v>1</v>
      </c>
      <c r="CP161" s="2035"/>
      <c r="CQ161" s="2036"/>
      <c r="CR161" s="2036"/>
      <c r="CS161" s="2036"/>
      <c r="CT161" s="2036"/>
      <c r="CU161" s="2036"/>
      <c r="CW161" s="1973">
        <v>0</v>
      </c>
      <c r="CX161" s="2037">
        <v>1000</v>
      </c>
      <c r="CY161" s="2037">
        <v>1000</v>
      </c>
      <c r="CZ161" s="2037">
        <v>1000</v>
      </c>
      <c r="DA161" s="2037">
        <v>1000</v>
      </c>
      <c r="DJ161" s="1976">
        <v>1000</v>
      </c>
      <c r="DK161" s="1973">
        <v>1000</v>
      </c>
      <c r="DL161" s="1973">
        <v>1000</v>
      </c>
      <c r="DM161" s="1973">
        <v>1000</v>
      </c>
      <c r="DO161" s="2023">
        <v>15</v>
      </c>
      <c r="DP161" s="2024">
        <v>110019</v>
      </c>
      <c r="DQ161" s="2024">
        <v>11.2379</v>
      </c>
      <c r="DR161" s="2023">
        <v>0</v>
      </c>
      <c r="DS161" s="2029">
        <v>1000</v>
      </c>
      <c r="DT161" s="2029">
        <v>1000</v>
      </c>
      <c r="DU161" s="2029">
        <v>1000</v>
      </c>
      <c r="DV161" s="2029">
        <v>1000</v>
      </c>
      <c r="DW161" s="1974"/>
      <c r="DX161" s="2029">
        <v>0</v>
      </c>
      <c r="DY161" s="2029">
        <v>0</v>
      </c>
      <c r="DZ161" s="2029">
        <v>0</v>
      </c>
      <c r="EA161" s="2029">
        <v>10200</v>
      </c>
      <c r="EB161" s="2029">
        <v>10200</v>
      </c>
      <c r="EC161" s="2029">
        <v>10200</v>
      </c>
      <c r="ED161" s="2029">
        <v>10200</v>
      </c>
      <c r="EE161" s="2039">
        <f t="shared" si="83"/>
        <v>0</v>
      </c>
      <c r="EF161" s="2039">
        <f t="shared" si="83"/>
        <v>0</v>
      </c>
      <c r="EG161" s="2039">
        <f t="shared" si="83"/>
        <v>0</v>
      </c>
      <c r="EH161" s="2039">
        <f t="shared" si="74"/>
        <v>0</v>
      </c>
      <c r="EI161" s="2040">
        <f t="shared" si="70"/>
        <v>0</v>
      </c>
      <c r="EJ161" s="2040">
        <f t="shared" si="70"/>
        <v>0</v>
      </c>
      <c r="EK161" s="2040">
        <f t="shared" si="70"/>
        <v>0</v>
      </c>
      <c r="EL161" s="2040">
        <f t="shared" si="69"/>
        <v>0</v>
      </c>
      <c r="EM161" s="2040">
        <f t="shared" si="69"/>
        <v>0</v>
      </c>
      <c r="EN161" s="2040">
        <f t="shared" si="69"/>
        <v>0</v>
      </c>
      <c r="EO161" s="2040">
        <f t="shared" si="69"/>
        <v>0</v>
      </c>
      <c r="EP161" s="2040">
        <f t="shared" si="69"/>
        <v>0</v>
      </c>
      <c r="EQ161" s="2040">
        <f t="shared" si="69"/>
        <v>0</v>
      </c>
      <c r="ER161" s="2040">
        <f t="shared" si="72"/>
        <v>0</v>
      </c>
      <c r="ES161" s="2040">
        <f t="shared" si="72"/>
        <v>0</v>
      </c>
      <c r="ET161" s="2040">
        <f t="shared" si="72"/>
        <v>0</v>
      </c>
      <c r="EU161" s="2039">
        <f t="shared" si="84"/>
        <v>0</v>
      </c>
      <c r="EV161" s="2039">
        <f t="shared" si="85"/>
        <v>0</v>
      </c>
    </row>
    <row r="162" spans="1:152" x14ac:dyDescent="0.25">
      <c r="A162" s="2041" t="s">
        <v>178</v>
      </c>
      <c r="B162" s="2022"/>
      <c r="C162" s="2543">
        <v>13</v>
      </c>
      <c r="D162" s="2024">
        <v>6.83</v>
      </c>
      <c r="E162" s="2024">
        <v>1.137E-3</v>
      </c>
      <c r="F162" s="2023">
        <v>0</v>
      </c>
      <c r="G162" s="2026" t="s">
        <v>2899</v>
      </c>
      <c r="H162" s="2026" t="s">
        <v>2899</v>
      </c>
      <c r="I162" s="2026">
        <v>0.84899999999999998</v>
      </c>
      <c r="J162" s="2026">
        <v>0.84899999999999998</v>
      </c>
      <c r="K162" s="2026">
        <v>0.84899999999999998</v>
      </c>
      <c r="L162" s="2026">
        <v>0.84899999999999998</v>
      </c>
      <c r="M162" s="2027">
        <f t="shared" si="86"/>
        <v>5.7986699999999995</v>
      </c>
      <c r="N162" s="2027">
        <f t="shared" si="86"/>
        <v>5.7986699999999995</v>
      </c>
      <c r="O162" s="2027">
        <f t="shared" si="86"/>
        <v>5.7986699999999995</v>
      </c>
      <c r="P162" s="2027">
        <f t="shared" si="75"/>
        <v>5.7986699999999995</v>
      </c>
      <c r="Q162" s="2026">
        <v>0.84899999999999998</v>
      </c>
      <c r="R162" s="2026">
        <v>0.84899999999999998</v>
      </c>
      <c r="S162" s="2026">
        <v>0.84899999999999998</v>
      </c>
      <c r="T162" s="2026">
        <v>0.84899999999999998</v>
      </c>
      <c r="U162" s="2028">
        <f t="shared" si="87"/>
        <v>9.6531299999999998E-4</v>
      </c>
      <c r="V162" s="2028">
        <f t="shared" si="87"/>
        <v>9.6531299999999998E-4</v>
      </c>
      <c r="W162" s="2028">
        <f t="shared" si="87"/>
        <v>9.6531299999999998E-4</v>
      </c>
      <c r="X162" s="2028">
        <f t="shared" si="76"/>
        <v>9.6531299999999998E-4</v>
      </c>
      <c r="Y162" s="2026">
        <v>0.67500000000000004</v>
      </c>
      <c r="Z162" s="2026">
        <v>0.67500000000000004</v>
      </c>
      <c r="AA162" s="2026">
        <v>0.67500000000000004</v>
      </c>
      <c r="AB162" s="2026">
        <v>0.67500000000000004</v>
      </c>
      <c r="AC162" s="2027">
        <f t="shared" si="90"/>
        <v>0</v>
      </c>
      <c r="AD162" s="2027">
        <f t="shared" si="90"/>
        <v>0</v>
      </c>
      <c r="AE162" s="2027">
        <f t="shared" si="90"/>
        <v>0</v>
      </c>
      <c r="AF162" s="2027">
        <f t="shared" si="90"/>
        <v>0</v>
      </c>
      <c r="AG162" s="2027">
        <v>1778</v>
      </c>
      <c r="AH162" s="2027">
        <v>1799</v>
      </c>
      <c r="AI162" s="2027">
        <v>2709</v>
      </c>
      <c r="AJ162" s="2027">
        <v>1982</v>
      </c>
      <c r="AK162" s="2027">
        <f t="shared" si="63"/>
        <v>10310.035259999999</v>
      </c>
      <c r="AL162" s="2027">
        <f t="shared" si="88"/>
        <v>10431.80733</v>
      </c>
      <c r="AM162" s="2027">
        <f t="shared" si="88"/>
        <v>15708.597029999999</v>
      </c>
      <c r="AN162" s="2027">
        <f t="shared" si="88"/>
        <v>11492.96394</v>
      </c>
      <c r="AO162" s="2027">
        <f t="shared" si="64"/>
        <v>0</v>
      </c>
      <c r="AP162" s="2027">
        <f t="shared" si="89"/>
        <v>0</v>
      </c>
      <c r="AQ162" s="2027">
        <f t="shared" si="89"/>
        <v>0</v>
      </c>
      <c r="AR162" s="2027">
        <f t="shared" si="89"/>
        <v>0</v>
      </c>
      <c r="AS162" s="2029">
        <v>3</v>
      </c>
      <c r="AT162" s="2029">
        <f t="shared" si="77"/>
        <v>3</v>
      </c>
      <c r="AU162" s="2029">
        <f t="shared" si="77"/>
        <v>3</v>
      </c>
      <c r="AV162" s="2029">
        <f t="shared" si="77"/>
        <v>3</v>
      </c>
      <c r="AW162" s="1974"/>
      <c r="AX162" s="2029">
        <f t="shared" si="78"/>
        <v>0</v>
      </c>
      <c r="AY162" s="2029">
        <f t="shared" si="78"/>
        <v>0</v>
      </c>
      <c r="AZ162" s="2029">
        <f t="shared" si="78"/>
        <v>0</v>
      </c>
      <c r="BA162" s="2029">
        <v>6</v>
      </c>
      <c r="BB162" s="2029">
        <f t="shared" si="79"/>
        <v>6</v>
      </c>
      <c r="BC162" s="2029">
        <f t="shared" si="79"/>
        <v>6</v>
      </c>
      <c r="BD162" s="2029">
        <f t="shared" si="79"/>
        <v>6</v>
      </c>
      <c r="BE162" s="2030">
        <f t="shared" si="80"/>
        <v>5334</v>
      </c>
      <c r="BF162" s="2030">
        <f t="shared" si="80"/>
        <v>5397</v>
      </c>
      <c r="BG162" s="2030">
        <f t="shared" si="80"/>
        <v>8127</v>
      </c>
      <c r="BH162" s="2030">
        <f t="shared" si="73"/>
        <v>5946</v>
      </c>
      <c r="BI162" s="2030">
        <f t="shared" si="81"/>
        <v>0</v>
      </c>
      <c r="BJ162" s="2030">
        <f t="shared" si="81"/>
        <v>0</v>
      </c>
      <c r="BK162" s="2030">
        <f t="shared" si="81"/>
        <v>0</v>
      </c>
      <c r="BL162" s="2030">
        <f t="shared" si="81"/>
        <v>0</v>
      </c>
      <c r="BM162" s="2031"/>
      <c r="BN162" s="2031"/>
      <c r="BO162" s="2031"/>
      <c r="BP162" s="2031"/>
      <c r="BQ162" s="2031"/>
      <c r="BR162" s="2031"/>
      <c r="BS162" s="2031"/>
      <c r="BT162" s="2031"/>
      <c r="BU162" s="2029"/>
      <c r="BV162" s="2029"/>
      <c r="BW162" s="2029"/>
      <c r="BX162" s="2029"/>
      <c r="BY162" s="2029"/>
      <c r="BZ162" s="2032"/>
      <c r="CA162" s="1974"/>
      <c r="CB162" s="1974"/>
      <c r="CC162" s="1974"/>
      <c r="CD162" s="1974"/>
      <c r="CE162" s="1974">
        <v>0</v>
      </c>
      <c r="CF162" s="2033">
        <v>4.3099419786351102E-5</v>
      </c>
      <c r="CG162" s="2026">
        <v>0</v>
      </c>
      <c r="CH162" s="2009">
        <v>0</v>
      </c>
      <c r="CI162" s="2029">
        <v>0</v>
      </c>
      <c r="CK162" s="2029">
        <f t="shared" si="82"/>
        <v>0</v>
      </c>
      <c r="CL162" s="2034">
        <v>1</v>
      </c>
      <c r="CM162" s="2034">
        <v>1</v>
      </c>
      <c r="CN162" s="2034">
        <v>1</v>
      </c>
      <c r="CO162" s="2034">
        <v>1</v>
      </c>
      <c r="CP162" s="2035"/>
      <c r="CQ162" s="2036"/>
      <c r="CR162" s="2036"/>
      <c r="CS162" s="2036"/>
      <c r="CT162" s="2036"/>
      <c r="CU162" s="2036"/>
      <c r="CW162" s="1973">
        <v>0</v>
      </c>
      <c r="CX162" s="2037">
        <v>3</v>
      </c>
      <c r="CY162" s="2037">
        <v>3</v>
      </c>
      <c r="CZ162" s="2037">
        <v>3</v>
      </c>
      <c r="DA162" s="2037">
        <v>3</v>
      </c>
      <c r="DJ162" s="1976">
        <v>3</v>
      </c>
      <c r="DK162" s="1973">
        <v>3</v>
      </c>
      <c r="DL162" s="1973">
        <v>3</v>
      </c>
      <c r="DM162" s="1973">
        <v>3</v>
      </c>
      <c r="DO162" s="2023">
        <v>10</v>
      </c>
      <c r="DP162" s="2024">
        <v>6.83</v>
      </c>
      <c r="DQ162" s="2024">
        <v>1.137E-3</v>
      </c>
      <c r="DR162" s="2023">
        <v>0</v>
      </c>
      <c r="DS162" s="2029">
        <v>3</v>
      </c>
      <c r="DT162" s="2029">
        <v>3</v>
      </c>
      <c r="DU162" s="2029">
        <v>3</v>
      </c>
      <c r="DV162" s="2029">
        <v>3</v>
      </c>
      <c r="DW162" s="1974"/>
      <c r="DX162" s="2029">
        <v>0</v>
      </c>
      <c r="DY162" s="2029">
        <v>0</v>
      </c>
      <c r="DZ162" s="2029">
        <v>0</v>
      </c>
      <c r="EA162" s="2029">
        <v>6</v>
      </c>
      <c r="EB162" s="2029">
        <v>6</v>
      </c>
      <c r="EC162" s="2029">
        <v>6</v>
      </c>
      <c r="ED162" s="2029">
        <v>6</v>
      </c>
      <c r="EE162" s="2039">
        <f t="shared" si="83"/>
        <v>3</v>
      </c>
      <c r="EF162" s="2039">
        <f t="shared" si="83"/>
        <v>0</v>
      </c>
      <c r="EG162" s="2039">
        <f t="shared" si="83"/>
        <v>0</v>
      </c>
      <c r="EH162" s="2039">
        <f t="shared" si="74"/>
        <v>0</v>
      </c>
      <c r="EI162" s="2040">
        <f t="shared" si="70"/>
        <v>0</v>
      </c>
      <c r="EJ162" s="2040">
        <f t="shared" si="70"/>
        <v>0</v>
      </c>
      <c r="EK162" s="2040">
        <f t="shared" si="70"/>
        <v>0</v>
      </c>
      <c r="EL162" s="2040">
        <f t="shared" si="69"/>
        <v>0</v>
      </c>
      <c r="EM162" s="2040">
        <f t="shared" si="69"/>
        <v>0</v>
      </c>
      <c r="EN162" s="2040">
        <f t="shared" si="69"/>
        <v>0</v>
      </c>
      <c r="EO162" s="2040">
        <f t="shared" si="69"/>
        <v>0</v>
      </c>
      <c r="EP162" s="2040">
        <f t="shared" si="69"/>
        <v>0</v>
      </c>
      <c r="EQ162" s="2040">
        <f t="shared" si="69"/>
        <v>0</v>
      </c>
      <c r="ER162" s="2040">
        <f t="shared" si="72"/>
        <v>0</v>
      </c>
      <c r="ES162" s="2040">
        <f t="shared" si="72"/>
        <v>0</v>
      </c>
      <c r="ET162" s="2040">
        <f t="shared" si="72"/>
        <v>0</v>
      </c>
      <c r="EU162" s="2039">
        <f t="shared" si="84"/>
        <v>3</v>
      </c>
      <c r="EV162" s="2039">
        <f t="shared" si="85"/>
        <v>3</v>
      </c>
    </row>
    <row r="163" spans="1:152" x14ac:dyDescent="0.25">
      <c r="A163" s="2041" t="s">
        <v>179</v>
      </c>
      <c r="B163" s="2022"/>
      <c r="C163" s="2023">
        <v>12</v>
      </c>
      <c r="D163" s="2024">
        <v>6368</v>
      </c>
      <c r="E163" s="2024">
        <v>0.74</v>
      </c>
      <c r="F163" s="2023">
        <v>0</v>
      </c>
      <c r="G163" s="2026" t="s">
        <v>2899</v>
      </c>
      <c r="H163" s="2026" t="s">
        <v>2899</v>
      </c>
      <c r="I163" s="2026">
        <v>0.84899999999999998</v>
      </c>
      <c r="J163" s="2026">
        <v>0.84899999999999998</v>
      </c>
      <c r="K163" s="2026">
        <v>0.84899999999999998</v>
      </c>
      <c r="L163" s="2026">
        <v>0.84899999999999998</v>
      </c>
      <c r="M163" s="2027">
        <f t="shared" si="86"/>
        <v>5406.4319999999998</v>
      </c>
      <c r="N163" s="2027">
        <f t="shared" si="86"/>
        <v>5406.4319999999998</v>
      </c>
      <c r="O163" s="2027">
        <f t="shared" si="86"/>
        <v>5406.4319999999998</v>
      </c>
      <c r="P163" s="2027">
        <f t="shared" si="75"/>
        <v>5406.4319999999998</v>
      </c>
      <c r="Q163" s="2026">
        <v>0.84899999999999998</v>
      </c>
      <c r="R163" s="2026">
        <v>0.84899999999999998</v>
      </c>
      <c r="S163" s="2026">
        <v>0.84899999999999998</v>
      </c>
      <c r="T163" s="2026">
        <v>0.84899999999999998</v>
      </c>
      <c r="U163" s="2028">
        <f t="shared" si="87"/>
        <v>0.62825999999999993</v>
      </c>
      <c r="V163" s="2028">
        <f t="shared" si="87"/>
        <v>0.62825999999999993</v>
      </c>
      <c r="W163" s="2028">
        <f t="shared" si="87"/>
        <v>0.62825999999999993</v>
      </c>
      <c r="X163" s="2028">
        <f t="shared" si="76"/>
        <v>0.62825999999999993</v>
      </c>
      <c r="Y163" s="2026">
        <v>0.67500000000000004</v>
      </c>
      <c r="Z163" s="2026">
        <v>0.67500000000000004</v>
      </c>
      <c r="AA163" s="2026">
        <v>0.67500000000000004</v>
      </c>
      <c r="AB163" s="2026">
        <v>0.67500000000000004</v>
      </c>
      <c r="AC163" s="2027">
        <f t="shared" ref="AC163:AF173" si="92">$F163*Y163</f>
        <v>0</v>
      </c>
      <c r="AD163" s="2027">
        <f t="shared" si="92"/>
        <v>0</v>
      </c>
      <c r="AE163" s="2027">
        <f t="shared" si="92"/>
        <v>0</v>
      </c>
      <c r="AF163" s="2027">
        <f t="shared" si="92"/>
        <v>0</v>
      </c>
      <c r="AG163" s="2027">
        <v>4</v>
      </c>
      <c r="AH163" s="2027">
        <v>2</v>
      </c>
      <c r="AI163" s="2027">
        <v>2</v>
      </c>
      <c r="AJ163" s="2027">
        <v>5</v>
      </c>
      <c r="AK163" s="2027">
        <f t="shared" si="63"/>
        <v>21625.727999999999</v>
      </c>
      <c r="AL163" s="2027">
        <f t="shared" si="88"/>
        <v>10812.864</v>
      </c>
      <c r="AM163" s="2027">
        <f t="shared" si="88"/>
        <v>10812.864</v>
      </c>
      <c r="AN163" s="2027">
        <f t="shared" si="88"/>
        <v>27032.16</v>
      </c>
      <c r="AO163" s="2027">
        <f t="shared" si="64"/>
        <v>0</v>
      </c>
      <c r="AP163" s="2027">
        <f t="shared" si="89"/>
        <v>0</v>
      </c>
      <c r="AQ163" s="2027">
        <f t="shared" si="89"/>
        <v>0</v>
      </c>
      <c r="AR163" s="2027">
        <f t="shared" si="89"/>
        <v>0</v>
      </c>
      <c r="AS163" s="2031">
        <v>300</v>
      </c>
      <c r="AT163" s="2029">
        <f t="shared" si="77"/>
        <v>300</v>
      </c>
      <c r="AU163" s="2029">
        <f t="shared" si="77"/>
        <v>300</v>
      </c>
      <c r="AV163" s="2029">
        <f t="shared" si="77"/>
        <v>300</v>
      </c>
      <c r="AW163" s="1974"/>
      <c r="AX163" s="2029">
        <f t="shared" si="78"/>
        <v>0</v>
      </c>
      <c r="AY163" s="2029">
        <f t="shared" si="78"/>
        <v>0</v>
      </c>
      <c r="AZ163" s="2029">
        <f t="shared" si="78"/>
        <v>0</v>
      </c>
      <c r="BA163" s="2031">
        <v>1000</v>
      </c>
      <c r="BB163" s="2029">
        <f t="shared" si="79"/>
        <v>1000</v>
      </c>
      <c r="BC163" s="2029">
        <f t="shared" si="79"/>
        <v>1000</v>
      </c>
      <c r="BD163" s="2029">
        <f t="shared" si="79"/>
        <v>1000</v>
      </c>
      <c r="BE163" s="2030">
        <f t="shared" si="80"/>
        <v>1200</v>
      </c>
      <c r="BF163" s="2030">
        <f t="shared" si="80"/>
        <v>600</v>
      </c>
      <c r="BG163" s="2030">
        <f t="shared" si="80"/>
        <v>600</v>
      </c>
      <c r="BH163" s="2030">
        <f t="shared" si="73"/>
        <v>1500</v>
      </c>
      <c r="BI163" s="2030">
        <f t="shared" si="81"/>
        <v>0</v>
      </c>
      <c r="BJ163" s="2030">
        <f t="shared" si="81"/>
        <v>0</v>
      </c>
      <c r="BK163" s="2030">
        <f t="shared" si="81"/>
        <v>0</v>
      </c>
      <c r="BL163" s="2030">
        <f t="shared" si="81"/>
        <v>0</v>
      </c>
      <c r="BM163" s="2031"/>
      <c r="BN163" s="2031"/>
      <c r="BO163" s="2031"/>
      <c r="BP163" s="2031"/>
      <c r="BQ163" s="2031"/>
      <c r="BR163" s="2031"/>
      <c r="BS163" s="2031"/>
      <c r="BT163" s="2031"/>
      <c r="BU163" s="2029"/>
      <c r="BV163" s="2029"/>
      <c r="BW163" s="2029"/>
      <c r="BX163" s="2029"/>
      <c r="BY163" s="2029"/>
      <c r="BZ163" s="2032"/>
      <c r="CA163" s="1974"/>
      <c r="CB163" s="1974"/>
      <c r="CC163" s="1974"/>
      <c r="CD163" s="1974"/>
      <c r="CE163" s="1974">
        <v>0</v>
      </c>
      <c r="CF163" s="2033">
        <v>9.0402826542558998E-5</v>
      </c>
      <c r="CG163" s="2026">
        <v>0</v>
      </c>
      <c r="CH163" s="2009">
        <v>0</v>
      </c>
      <c r="CI163" s="2029">
        <v>0</v>
      </c>
      <c r="CK163" s="2029">
        <f t="shared" si="82"/>
        <v>0</v>
      </c>
      <c r="CL163" s="2034">
        <v>1</v>
      </c>
      <c r="CM163" s="2034">
        <v>1</v>
      </c>
      <c r="CN163" s="2034">
        <v>1</v>
      </c>
      <c r="CO163" s="2034">
        <v>1</v>
      </c>
      <c r="CP163" s="2035"/>
      <c r="CQ163" s="2036"/>
      <c r="CR163" s="2036"/>
      <c r="CS163" s="2036"/>
      <c r="CT163" s="2036"/>
      <c r="CU163" s="2036"/>
      <c r="CW163" s="1973">
        <v>0</v>
      </c>
      <c r="CX163" s="2037">
        <v>300</v>
      </c>
      <c r="CY163" s="2037">
        <v>300</v>
      </c>
      <c r="CZ163" s="2037">
        <v>300</v>
      </c>
      <c r="DA163" s="2037">
        <v>300</v>
      </c>
      <c r="DJ163" s="1976">
        <v>300</v>
      </c>
      <c r="DK163" s="1973">
        <v>300</v>
      </c>
      <c r="DL163" s="1973">
        <v>300</v>
      </c>
      <c r="DM163" s="1973">
        <v>300</v>
      </c>
      <c r="DO163" s="2023">
        <v>12</v>
      </c>
      <c r="DP163" s="2024">
        <v>6368</v>
      </c>
      <c r="DQ163" s="2024">
        <v>0.74</v>
      </c>
      <c r="DR163" s="2023">
        <v>0</v>
      </c>
      <c r="DS163" s="2031">
        <v>300</v>
      </c>
      <c r="DT163" s="2029">
        <v>300</v>
      </c>
      <c r="DU163" s="2029">
        <v>300</v>
      </c>
      <c r="DV163" s="2029">
        <v>300</v>
      </c>
      <c r="DW163" s="1974"/>
      <c r="DX163" s="2029">
        <v>0</v>
      </c>
      <c r="DY163" s="2029">
        <v>0</v>
      </c>
      <c r="DZ163" s="2029">
        <v>0</v>
      </c>
      <c r="EA163" s="2031">
        <v>1000</v>
      </c>
      <c r="EB163" s="2029">
        <v>1000</v>
      </c>
      <c r="EC163" s="2029">
        <v>1000</v>
      </c>
      <c r="ED163" s="2029">
        <v>1000</v>
      </c>
      <c r="EE163" s="2039">
        <f t="shared" si="83"/>
        <v>0</v>
      </c>
      <c r="EF163" s="2039">
        <f t="shared" si="83"/>
        <v>0</v>
      </c>
      <c r="EG163" s="2039">
        <f t="shared" si="83"/>
        <v>0</v>
      </c>
      <c r="EH163" s="2039">
        <f t="shared" si="74"/>
        <v>0</v>
      </c>
      <c r="EI163" s="2040">
        <f t="shared" si="70"/>
        <v>0</v>
      </c>
      <c r="EJ163" s="2040">
        <f t="shared" si="70"/>
        <v>0</v>
      </c>
      <c r="EK163" s="2040">
        <f t="shared" si="70"/>
        <v>0</v>
      </c>
      <c r="EL163" s="2040">
        <f t="shared" si="69"/>
        <v>0</v>
      </c>
      <c r="EM163" s="2040">
        <f t="shared" si="69"/>
        <v>0</v>
      </c>
      <c r="EN163" s="2040">
        <f t="shared" si="69"/>
        <v>0</v>
      </c>
      <c r="EO163" s="2040">
        <f t="shared" si="69"/>
        <v>0</v>
      </c>
      <c r="EP163" s="2040">
        <f t="shared" si="69"/>
        <v>0</v>
      </c>
      <c r="EQ163" s="2040">
        <f t="shared" si="69"/>
        <v>0</v>
      </c>
      <c r="ER163" s="2040">
        <f t="shared" si="72"/>
        <v>0</v>
      </c>
      <c r="ES163" s="2040">
        <f t="shared" si="72"/>
        <v>0</v>
      </c>
      <c r="ET163" s="2040">
        <f t="shared" si="72"/>
        <v>0</v>
      </c>
      <c r="EU163" s="2039">
        <f t="shared" si="84"/>
        <v>0</v>
      </c>
      <c r="EV163" s="2039">
        <f t="shared" si="85"/>
        <v>0</v>
      </c>
    </row>
    <row r="164" spans="1:152" x14ac:dyDescent="0.25">
      <c r="A164" s="2041" t="s">
        <v>180</v>
      </c>
      <c r="B164" s="2022"/>
      <c r="C164" s="2023">
        <v>15</v>
      </c>
      <c r="D164" s="2024">
        <v>10563.4</v>
      </c>
      <c r="E164" s="2024">
        <v>55.3</v>
      </c>
      <c r="F164" s="2023">
        <v>632.79999999999995</v>
      </c>
      <c r="G164" s="2026" t="s">
        <v>2899</v>
      </c>
      <c r="H164" s="2026" t="s">
        <v>2899</v>
      </c>
      <c r="I164" s="2026">
        <v>0.84899999999999998</v>
      </c>
      <c r="J164" s="2026">
        <v>0.84899999999999998</v>
      </c>
      <c r="K164" s="2026">
        <v>0.84899999999999998</v>
      </c>
      <c r="L164" s="2026">
        <v>0.84899999999999998</v>
      </c>
      <c r="M164" s="2027">
        <f t="shared" si="86"/>
        <v>8968.3266000000003</v>
      </c>
      <c r="N164" s="2027">
        <f t="shared" si="86"/>
        <v>8968.3266000000003</v>
      </c>
      <c r="O164" s="2027">
        <f t="shared" si="86"/>
        <v>8968.3266000000003</v>
      </c>
      <c r="P164" s="2027">
        <f t="shared" si="75"/>
        <v>8968.3266000000003</v>
      </c>
      <c r="Q164" s="2026">
        <v>0.84899999999999998</v>
      </c>
      <c r="R164" s="2026">
        <v>0.84899999999999998</v>
      </c>
      <c r="S164" s="2026">
        <v>0.84899999999999998</v>
      </c>
      <c r="T164" s="2026">
        <v>0.84899999999999998</v>
      </c>
      <c r="U164" s="2028">
        <f t="shared" si="87"/>
        <v>46.949699999999993</v>
      </c>
      <c r="V164" s="2028">
        <f t="shared" si="87"/>
        <v>46.949699999999993</v>
      </c>
      <c r="W164" s="2028">
        <f t="shared" si="87"/>
        <v>46.949699999999993</v>
      </c>
      <c r="X164" s="2028">
        <f t="shared" si="76"/>
        <v>46.949699999999993</v>
      </c>
      <c r="Y164" s="2026">
        <v>0.67500000000000004</v>
      </c>
      <c r="Z164" s="2026">
        <v>0.67500000000000004</v>
      </c>
      <c r="AA164" s="2026">
        <v>0.67500000000000004</v>
      </c>
      <c r="AB164" s="2026">
        <v>0.67500000000000004</v>
      </c>
      <c r="AC164" s="2027">
        <f t="shared" si="92"/>
        <v>427.14</v>
      </c>
      <c r="AD164" s="2027">
        <f t="shared" si="92"/>
        <v>427.14</v>
      </c>
      <c r="AE164" s="2027">
        <f t="shared" si="92"/>
        <v>427.14</v>
      </c>
      <c r="AF164" s="2027">
        <f t="shared" si="92"/>
        <v>427.14</v>
      </c>
      <c r="AG164" s="2027">
        <v>1</v>
      </c>
      <c r="AH164" s="2027">
        <v>2</v>
      </c>
      <c r="AI164" s="2027">
        <v>2</v>
      </c>
      <c r="AJ164" s="2027">
        <v>2</v>
      </c>
      <c r="AK164" s="2027">
        <f t="shared" ref="AK164:AK173" si="93">AG164*M164</f>
        <v>8968.3266000000003</v>
      </c>
      <c r="AL164" s="2027">
        <f t="shared" si="88"/>
        <v>17936.653200000001</v>
      </c>
      <c r="AM164" s="2027">
        <f t="shared" si="88"/>
        <v>17936.653200000001</v>
      </c>
      <c r="AN164" s="2027">
        <f t="shared" si="88"/>
        <v>17936.653200000001</v>
      </c>
      <c r="AO164" s="2027">
        <f t="shared" ref="AO164:AO173" si="94">AG164*AC164</f>
        <v>427.14</v>
      </c>
      <c r="AP164" s="2027">
        <f t="shared" si="89"/>
        <v>854.28</v>
      </c>
      <c r="AQ164" s="2027">
        <f t="shared" si="89"/>
        <v>854.28</v>
      </c>
      <c r="AR164" s="2027">
        <f t="shared" si="89"/>
        <v>854.28</v>
      </c>
      <c r="AS164" s="2029">
        <f>DF164</f>
        <v>768</v>
      </c>
      <c r="AT164" s="2029">
        <f t="shared" si="77"/>
        <v>768</v>
      </c>
      <c r="AU164" s="2029">
        <f t="shared" si="77"/>
        <v>768</v>
      </c>
      <c r="AV164" s="2029">
        <f t="shared" si="77"/>
        <v>768</v>
      </c>
      <c r="AW164" s="2029">
        <f>CX164-AS164</f>
        <v>32</v>
      </c>
      <c r="AX164" s="2029">
        <f t="shared" si="78"/>
        <v>32</v>
      </c>
      <c r="AY164" s="2029">
        <f t="shared" si="78"/>
        <v>32</v>
      </c>
      <c r="AZ164" s="2029">
        <f t="shared" si="78"/>
        <v>32</v>
      </c>
      <c r="BA164" s="2031">
        <v>9000</v>
      </c>
      <c r="BB164" s="2029">
        <f t="shared" si="79"/>
        <v>9000</v>
      </c>
      <c r="BC164" s="2029">
        <f t="shared" si="79"/>
        <v>9000</v>
      </c>
      <c r="BD164" s="2029">
        <f t="shared" si="79"/>
        <v>9000</v>
      </c>
      <c r="BE164" s="2030">
        <f t="shared" si="80"/>
        <v>768</v>
      </c>
      <c r="BF164" s="2030">
        <f t="shared" si="80"/>
        <v>1536</v>
      </c>
      <c r="BG164" s="2030">
        <f t="shared" si="80"/>
        <v>1536</v>
      </c>
      <c r="BH164" s="2030">
        <f t="shared" si="73"/>
        <v>1536</v>
      </c>
      <c r="BI164" s="2030">
        <f t="shared" si="81"/>
        <v>32</v>
      </c>
      <c r="BJ164" s="2030">
        <f t="shared" si="81"/>
        <v>64</v>
      </c>
      <c r="BK164" s="2030">
        <f t="shared" si="81"/>
        <v>64</v>
      </c>
      <c r="BL164" s="2030">
        <f t="shared" si="81"/>
        <v>64</v>
      </c>
      <c r="BM164" s="2031"/>
      <c r="BN164" s="2031"/>
      <c r="BO164" s="2031"/>
      <c r="BP164" s="2031"/>
      <c r="BQ164" s="2031"/>
      <c r="BR164" s="2031"/>
      <c r="BS164" s="2031"/>
      <c r="BT164" s="2031"/>
      <c r="BU164" s="2029"/>
      <c r="BV164" s="2029"/>
      <c r="BW164" s="2029"/>
      <c r="BX164" s="2029"/>
      <c r="BY164" s="2029"/>
      <c r="BZ164" s="2032"/>
      <c r="CA164" s="1974"/>
      <c r="CB164" s="1974"/>
      <c r="CC164" s="1974"/>
      <c r="CD164" s="1974"/>
      <c r="CE164" s="1974">
        <v>0</v>
      </c>
      <c r="CF164" s="2033">
        <v>3.7490625702719368E-5</v>
      </c>
      <c r="CG164" s="2026">
        <v>1.5935757477974902E-4</v>
      </c>
      <c r="CH164" s="2009">
        <v>1</v>
      </c>
      <c r="CI164" s="2029">
        <v>0</v>
      </c>
      <c r="CJ164" s="2048">
        <v>150</v>
      </c>
      <c r="CK164" s="2029">
        <f t="shared" si="82"/>
        <v>150</v>
      </c>
      <c r="CL164" s="2034">
        <v>1</v>
      </c>
      <c r="CM164" s="2034">
        <v>1</v>
      </c>
      <c r="CN164" s="2034">
        <v>1</v>
      </c>
      <c r="CO164" s="2034">
        <v>1</v>
      </c>
      <c r="CP164" s="2035"/>
      <c r="CQ164" s="2036"/>
      <c r="CR164" s="2036"/>
      <c r="CS164" s="2036"/>
      <c r="CT164" s="2036"/>
      <c r="CU164" s="2036"/>
      <c r="CW164" s="1973">
        <v>0</v>
      </c>
      <c r="CX164" s="2037">
        <v>800</v>
      </c>
      <c r="CY164" s="2037">
        <v>800</v>
      </c>
      <c r="CZ164" s="2037">
        <v>800</v>
      </c>
      <c r="DA164" s="2037">
        <v>800</v>
      </c>
      <c r="DB164" s="2051">
        <v>0.96</v>
      </c>
      <c r="DC164" s="2051">
        <v>0.96</v>
      </c>
      <c r="DD164" s="2051">
        <v>0.96</v>
      </c>
      <c r="DE164" s="2051">
        <v>0.96</v>
      </c>
      <c r="DF164" s="2037">
        <f>DB164*CX164</f>
        <v>768</v>
      </c>
      <c r="DG164" s="2037">
        <f>DC164*CY164</f>
        <v>768</v>
      </c>
      <c r="DH164" s="2037">
        <f>DD164*CZ164</f>
        <v>768</v>
      </c>
      <c r="DI164" s="2037">
        <f>DE164*DA164</f>
        <v>768</v>
      </c>
      <c r="DJ164" s="1976">
        <v>400</v>
      </c>
      <c r="DK164" s="1973">
        <v>400</v>
      </c>
      <c r="DL164" s="1973">
        <v>400</v>
      </c>
      <c r="DM164" s="1973">
        <v>400</v>
      </c>
      <c r="DO164" s="2023">
        <v>15</v>
      </c>
      <c r="DP164" s="2024">
        <v>10563.4</v>
      </c>
      <c r="DQ164" s="2024">
        <v>55.3</v>
      </c>
      <c r="DR164" s="2023">
        <v>632.79999999999995</v>
      </c>
      <c r="DS164" s="2029">
        <v>768</v>
      </c>
      <c r="DT164" s="2029">
        <v>768</v>
      </c>
      <c r="DU164" s="2029">
        <v>768</v>
      </c>
      <c r="DV164" s="2029">
        <v>768</v>
      </c>
      <c r="DW164" s="2029">
        <v>32</v>
      </c>
      <c r="DX164" s="2029">
        <v>32</v>
      </c>
      <c r="DY164" s="2029">
        <v>32</v>
      </c>
      <c r="DZ164" s="2029">
        <v>32</v>
      </c>
      <c r="EA164" s="2031">
        <v>9000</v>
      </c>
      <c r="EB164" s="2029">
        <v>9000</v>
      </c>
      <c r="EC164" s="2029">
        <v>9000</v>
      </c>
      <c r="ED164" s="2029">
        <v>9000</v>
      </c>
      <c r="EE164" s="2039">
        <f t="shared" si="83"/>
        <v>0</v>
      </c>
      <c r="EF164" s="2039">
        <f t="shared" si="83"/>
        <v>0</v>
      </c>
      <c r="EG164" s="2039">
        <f t="shared" si="83"/>
        <v>0</v>
      </c>
      <c r="EH164" s="2039">
        <f t="shared" si="74"/>
        <v>0</v>
      </c>
      <c r="EI164" s="2040">
        <f t="shared" si="70"/>
        <v>0</v>
      </c>
      <c r="EJ164" s="2040">
        <f t="shared" si="70"/>
        <v>0</v>
      </c>
      <c r="EK164" s="2040">
        <f t="shared" si="70"/>
        <v>0</v>
      </c>
      <c r="EL164" s="2040">
        <f t="shared" si="69"/>
        <v>0</v>
      </c>
      <c r="EM164" s="2040">
        <f t="shared" si="69"/>
        <v>0</v>
      </c>
      <c r="EN164" s="2040">
        <f t="shared" si="69"/>
        <v>0</v>
      </c>
      <c r="EO164" s="2040">
        <f t="shared" si="69"/>
        <v>0</v>
      </c>
      <c r="EP164" s="2040">
        <f t="shared" si="69"/>
        <v>0</v>
      </c>
      <c r="EQ164" s="2040">
        <f t="shared" si="69"/>
        <v>0</v>
      </c>
      <c r="ER164" s="2040">
        <f t="shared" si="72"/>
        <v>0</v>
      </c>
      <c r="ES164" s="2040">
        <f t="shared" si="72"/>
        <v>0</v>
      </c>
      <c r="ET164" s="2040">
        <f t="shared" si="72"/>
        <v>0</v>
      </c>
      <c r="EU164" s="2039">
        <f t="shared" si="84"/>
        <v>0</v>
      </c>
      <c r="EV164" s="2039">
        <f t="shared" si="85"/>
        <v>0</v>
      </c>
    </row>
    <row r="165" spans="1:152" x14ac:dyDescent="0.25">
      <c r="A165" s="2041" t="s">
        <v>259</v>
      </c>
      <c r="B165" s="2022"/>
      <c r="C165" s="2023"/>
      <c r="D165" s="2024"/>
      <c r="E165" s="2024"/>
      <c r="F165" s="2023"/>
      <c r="G165" s="2026" t="s">
        <v>20</v>
      </c>
      <c r="H165" s="2026" t="s">
        <v>20</v>
      </c>
      <c r="I165" s="2026">
        <v>0.55700000000000005</v>
      </c>
      <c r="J165" s="2026">
        <v>0.55700000000000005</v>
      </c>
      <c r="K165" s="2026">
        <v>0.55700000000000005</v>
      </c>
      <c r="L165" s="2026">
        <v>0.55700000000000005</v>
      </c>
      <c r="M165" s="2027">
        <f t="shared" si="86"/>
        <v>0</v>
      </c>
      <c r="N165" s="2027">
        <f t="shared" si="86"/>
        <v>0</v>
      </c>
      <c r="O165" s="2027">
        <f t="shared" si="86"/>
        <v>0</v>
      </c>
      <c r="P165" s="2027">
        <f t="shared" si="75"/>
        <v>0</v>
      </c>
      <c r="Q165" s="2026">
        <v>0.55700000000000005</v>
      </c>
      <c r="R165" s="2026">
        <v>0.55700000000000005</v>
      </c>
      <c r="S165" s="2026">
        <v>0.55700000000000005</v>
      </c>
      <c r="T165" s="2026">
        <v>0.55700000000000005</v>
      </c>
      <c r="U165" s="2028">
        <f t="shared" si="87"/>
        <v>0</v>
      </c>
      <c r="V165" s="2028">
        <f t="shared" si="87"/>
        <v>0</v>
      </c>
      <c r="W165" s="2028">
        <f t="shared" si="87"/>
        <v>0</v>
      </c>
      <c r="X165" s="2028">
        <f t="shared" si="76"/>
        <v>0</v>
      </c>
      <c r="Y165" s="2026">
        <v>0.49399999999999999</v>
      </c>
      <c r="Z165" s="2026">
        <v>0.49399999999999999</v>
      </c>
      <c r="AA165" s="2026">
        <v>0.49399999999999999</v>
      </c>
      <c r="AB165" s="2026">
        <v>0.49399999999999999</v>
      </c>
      <c r="AC165" s="2027">
        <f t="shared" si="92"/>
        <v>0</v>
      </c>
      <c r="AD165" s="2027">
        <f t="shared" si="92"/>
        <v>0</v>
      </c>
      <c r="AE165" s="2027">
        <f t="shared" si="92"/>
        <v>0</v>
      </c>
      <c r="AF165" s="2027">
        <f t="shared" si="92"/>
        <v>0</v>
      </c>
      <c r="AG165" s="2027">
        <v>0</v>
      </c>
      <c r="AH165" s="2027">
        <v>0</v>
      </c>
      <c r="AI165" s="2027">
        <v>0</v>
      </c>
      <c r="AJ165" s="2027">
        <v>0</v>
      </c>
      <c r="AK165" s="2027">
        <f t="shared" si="93"/>
        <v>0</v>
      </c>
      <c r="AL165" s="2027">
        <f t="shared" si="88"/>
        <v>0</v>
      </c>
      <c r="AM165" s="2027">
        <f t="shared" si="88"/>
        <v>0</v>
      </c>
      <c r="AN165" s="2027">
        <f t="shared" si="88"/>
        <v>0</v>
      </c>
      <c r="AO165" s="2027">
        <f t="shared" si="94"/>
        <v>0</v>
      </c>
      <c r="AP165" s="2027">
        <f t="shared" si="89"/>
        <v>0</v>
      </c>
      <c r="AQ165" s="2027">
        <f t="shared" si="89"/>
        <v>0</v>
      </c>
      <c r="AR165" s="2027">
        <f t="shared" si="89"/>
        <v>0</v>
      </c>
      <c r="AS165" s="2031"/>
      <c r="AT165" s="2029">
        <f t="shared" si="77"/>
        <v>0</v>
      </c>
      <c r="AU165" s="2029">
        <f t="shared" si="77"/>
        <v>0</v>
      </c>
      <c r="AV165" s="2029">
        <f t="shared" si="77"/>
        <v>0</v>
      </c>
      <c r="AW165" s="1974"/>
      <c r="AX165" s="2029">
        <f t="shared" si="78"/>
        <v>0</v>
      </c>
      <c r="AY165" s="2029">
        <f t="shared" si="78"/>
        <v>0</v>
      </c>
      <c r="AZ165" s="2029">
        <f t="shared" si="78"/>
        <v>0</v>
      </c>
      <c r="BA165" s="1974"/>
      <c r="BB165" s="2029">
        <f t="shared" si="79"/>
        <v>0</v>
      </c>
      <c r="BC165" s="2029">
        <f t="shared" si="79"/>
        <v>0</v>
      </c>
      <c r="BD165" s="2029">
        <f t="shared" si="79"/>
        <v>0</v>
      </c>
      <c r="BE165" s="2030">
        <f t="shared" si="80"/>
        <v>0</v>
      </c>
      <c r="BF165" s="2030">
        <f t="shared" si="80"/>
        <v>0</v>
      </c>
      <c r="BG165" s="2030">
        <f t="shared" si="80"/>
        <v>0</v>
      </c>
      <c r="BH165" s="2030">
        <f t="shared" si="73"/>
        <v>0</v>
      </c>
      <c r="BI165" s="2030">
        <f t="shared" si="81"/>
        <v>0</v>
      </c>
      <c r="BJ165" s="2030">
        <f t="shared" si="81"/>
        <v>0</v>
      </c>
      <c r="BK165" s="2030">
        <f t="shared" si="81"/>
        <v>0</v>
      </c>
      <c r="BL165" s="2030">
        <f t="shared" si="81"/>
        <v>0</v>
      </c>
      <c r="BM165" s="2031"/>
      <c r="BN165" s="2031"/>
      <c r="BO165" s="2031"/>
      <c r="BP165" s="2031"/>
      <c r="BQ165" s="2031"/>
      <c r="BR165" s="2031"/>
      <c r="BS165" s="2031"/>
      <c r="BT165" s="2031"/>
      <c r="BU165" s="2029"/>
      <c r="BV165" s="2029"/>
      <c r="BW165" s="2029"/>
      <c r="BX165" s="2029"/>
      <c r="BY165" s="2029"/>
      <c r="BZ165" s="2032"/>
      <c r="CA165" s="1974"/>
      <c r="CB165" s="1974"/>
      <c r="CC165" s="1974"/>
      <c r="CD165" s="1974"/>
      <c r="CE165" s="1974">
        <v>0</v>
      </c>
      <c r="CF165" s="2033">
        <v>0</v>
      </c>
      <c r="CG165" s="2026">
        <v>0</v>
      </c>
      <c r="CH165" s="2009">
        <v>0</v>
      </c>
      <c r="CI165" s="2029">
        <v>0</v>
      </c>
      <c r="CK165" s="2029">
        <f t="shared" si="82"/>
        <v>0</v>
      </c>
      <c r="CL165" s="2034">
        <v>1</v>
      </c>
      <c r="CM165" s="2034">
        <v>1</v>
      </c>
      <c r="CN165" s="2034">
        <v>1</v>
      </c>
      <c r="CO165" s="2034">
        <v>1</v>
      </c>
      <c r="CP165" s="2035"/>
      <c r="CQ165" s="2036"/>
      <c r="CR165" s="2036"/>
      <c r="CS165" s="2036"/>
      <c r="CT165" s="2036"/>
      <c r="CU165" s="2036"/>
      <c r="CW165" s="1973">
        <v>0</v>
      </c>
      <c r="CX165" s="2037">
        <v>0</v>
      </c>
      <c r="CY165" s="2037">
        <v>0</v>
      </c>
      <c r="CZ165" s="2037">
        <v>0</v>
      </c>
      <c r="DA165" s="2037">
        <v>0</v>
      </c>
      <c r="DK165" s="1973">
        <v>0</v>
      </c>
      <c r="DL165" s="1973">
        <v>0</v>
      </c>
      <c r="DM165" s="1973">
        <v>0</v>
      </c>
      <c r="DO165" s="2023"/>
      <c r="DP165" s="2024"/>
      <c r="DQ165" s="2024"/>
      <c r="DR165" s="2023"/>
      <c r="DS165" s="2031"/>
      <c r="DT165" s="2029">
        <v>0</v>
      </c>
      <c r="DU165" s="2029">
        <v>0</v>
      </c>
      <c r="DV165" s="2029">
        <v>0</v>
      </c>
      <c r="DW165" s="1974"/>
      <c r="DX165" s="2029">
        <v>0</v>
      </c>
      <c r="DY165" s="2029">
        <v>0</v>
      </c>
      <c r="DZ165" s="2029">
        <v>0</v>
      </c>
      <c r="EA165" s="1974"/>
      <c r="EB165" s="2029">
        <v>0</v>
      </c>
      <c r="EC165" s="2029">
        <v>0</v>
      </c>
      <c r="ED165" s="2029">
        <v>0</v>
      </c>
      <c r="EE165" s="2039">
        <f t="shared" si="83"/>
        <v>0</v>
      </c>
      <c r="EF165" s="2039">
        <f t="shared" si="83"/>
        <v>0</v>
      </c>
      <c r="EG165" s="2039">
        <f t="shared" si="83"/>
        <v>0</v>
      </c>
      <c r="EH165" s="2039">
        <f t="shared" si="74"/>
        <v>0</v>
      </c>
      <c r="EI165" s="2040">
        <f t="shared" si="70"/>
        <v>0</v>
      </c>
      <c r="EJ165" s="2040">
        <f t="shared" si="70"/>
        <v>0</v>
      </c>
      <c r="EK165" s="2040">
        <f t="shared" si="70"/>
        <v>0</v>
      </c>
      <c r="EL165" s="2040">
        <f t="shared" si="69"/>
        <v>0</v>
      </c>
      <c r="EM165" s="2040">
        <f t="shared" si="69"/>
        <v>0</v>
      </c>
      <c r="EN165" s="2040">
        <f t="shared" si="69"/>
        <v>0</v>
      </c>
      <c r="EO165" s="2040">
        <f t="shared" si="69"/>
        <v>0</v>
      </c>
      <c r="EP165" s="2040">
        <f t="shared" si="69"/>
        <v>0</v>
      </c>
      <c r="EQ165" s="2040">
        <f t="shared" si="69"/>
        <v>0</v>
      </c>
      <c r="ER165" s="2040">
        <f t="shared" si="72"/>
        <v>0</v>
      </c>
      <c r="ES165" s="2040">
        <f t="shared" si="72"/>
        <v>0</v>
      </c>
      <c r="ET165" s="2040">
        <f t="shared" si="72"/>
        <v>0</v>
      </c>
      <c r="EU165" s="2039">
        <f t="shared" si="84"/>
        <v>0</v>
      </c>
      <c r="EV165" s="2039">
        <f t="shared" si="85"/>
        <v>0</v>
      </c>
    </row>
    <row r="166" spans="1:152" x14ac:dyDescent="0.25">
      <c r="A166" s="2021" t="s">
        <v>181</v>
      </c>
      <c r="B166" s="2069" t="s">
        <v>2958</v>
      </c>
      <c r="C166" s="2068">
        <v>15</v>
      </c>
      <c r="D166" s="2071">
        <v>-1103.8355523767607</v>
      </c>
      <c r="E166" s="2024">
        <v>-0.17697329812206575</v>
      </c>
      <c r="F166" s="2023" t="s">
        <v>3002</v>
      </c>
      <c r="G166" s="2026" t="s">
        <v>20</v>
      </c>
      <c r="H166" s="2026" t="s">
        <v>20</v>
      </c>
      <c r="I166" s="2026">
        <v>0.55700000000000005</v>
      </c>
      <c r="J166" s="2026">
        <v>0.55700000000000005</v>
      </c>
      <c r="K166" s="2026">
        <v>0.55700000000000005</v>
      </c>
      <c r="L166" s="2026">
        <v>0.55700000000000005</v>
      </c>
      <c r="M166" s="2027">
        <f t="shared" si="86"/>
        <v>-614.83640267385579</v>
      </c>
      <c r="N166" s="2027">
        <f t="shared" si="86"/>
        <v>-614.83640267385579</v>
      </c>
      <c r="O166" s="2027">
        <f t="shared" si="86"/>
        <v>-614.83640267385579</v>
      </c>
      <c r="P166" s="2027">
        <f t="shared" si="75"/>
        <v>-614.83640267385579</v>
      </c>
      <c r="Q166" s="2026">
        <v>0.55700000000000005</v>
      </c>
      <c r="R166" s="2026">
        <v>0.55700000000000005</v>
      </c>
      <c r="S166" s="2026">
        <v>0.55700000000000005</v>
      </c>
      <c r="T166" s="2026">
        <v>0.55700000000000005</v>
      </c>
      <c r="U166" s="2028">
        <f t="shared" si="87"/>
        <v>-9.8574127053990629E-2</v>
      </c>
      <c r="V166" s="2028">
        <f t="shared" si="87"/>
        <v>-9.8574127053990629E-2</v>
      </c>
      <c r="W166" s="2028">
        <f t="shared" si="87"/>
        <v>-9.8574127053990629E-2</v>
      </c>
      <c r="X166" s="2028">
        <f t="shared" si="76"/>
        <v>-9.8574127053990629E-2</v>
      </c>
      <c r="Y166" s="2026">
        <v>0.49399999999999999</v>
      </c>
      <c r="Z166" s="2026">
        <v>0.49399999999999999</v>
      </c>
      <c r="AA166" s="2026">
        <v>0.49399999999999999</v>
      </c>
      <c r="AB166" s="2026">
        <v>0.49399999999999999</v>
      </c>
      <c r="AC166" s="2027" t="e">
        <f t="shared" si="92"/>
        <v>#VALUE!</v>
      </c>
      <c r="AD166" s="2027" t="e">
        <f t="shared" si="92"/>
        <v>#VALUE!</v>
      </c>
      <c r="AE166" s="2027" t="e">
        <f t="shared" si="92"/>
        <v>#VALUE!</v>
      </c>
      <c r="AF166" s="2027" t="e">
        <f t="shared" si="92"/>
        <v>#VALUE!</v>
      </c>
      <c r="AG166" s="2027">
        <v>22</v>
      </c>
      <c r="AH166" s="2027">
        <v>16</v>
      </c>
      <c r="AI166" s="2027">
        <v>23</v>
      </c>
      <c r="AJ166" s="2027">
        <v>23</v>
      </c>
      <c r="AK166" s="2027">
        <f t="shared" si="93"/>
        <v>-13526.400858824827</v>
      </c>
      <c r="AL166" s="2027">
        <f t="shared" si="88"/>
        <v>-9837.3824427816926</v>
      </c>
      <c r="AM166" s="2027">
        <f t="shared" si="88"/>
        <v>-14141.237261498683</v>
      </c>
      <c r="AN166" s="2027">
        <f t="shared" si="88"/>
        <v>-14141.237261498683</v>
      </c>
      <c r="AO166" s="2027" t="e">
        <f t="shared" si="94"/>
        <v>#VALUE!</v>
      </c>
      <c r="AP166" s="2027" t="e">
        <f t="shared" si="89"/>
        <v>#VALUE!</v>
      </c>
      <c r="AQ166" s="2027" t="e">
        <f t="shared" si="89"/>
        <v>#VALUE!</v>
      </c>
      <c r="AR166" s="2027" t="e">
        <f t="shared" si="89"/>
        <v>#VALUE!</v>
      </c>
      <c r="AS166" s="1974"/>
      <c r="AT166" s="2029">
        <f t="shared" si="77"/>
        <v>0</v>
      </c>
      <c r="AU166" s="2029">
        <f t="shared" si="77"/>
        <v>0</v>
      </c>
      <c r="AV166" s="2029">
        <f t="shared" si="77"/>
        <v>0</v>
      </c>
      <c r="AW166" s="2031">
        <v>2499.9973541666664</v>
      </c>
      <c r="AX166" s="2029">
        <f t="shared" si="78"/>
        <v>2499.9973541666664</v>
      </c>
      <c r="AY166" s="2029">
        <f t="shared" si="78"/>
        <v>2499.9973541666664</v>
      </c>
      <c r="AZ166" s="2029">
        <f t="shared" si="78"/>
        <v>2499.9973541666664</v>
      </c>
      <c r="BA166" s="2031">
        <v>2179.2916666666665</v>
      </c>
      <c r="BB166" s="2029">
        <f t="shared" si="79"/>
        <v>2179.2916666666665</v>
      </c>
      <c r="BC166" s="2029">
        <f t="shared" si="79"/>
        <v>2179.2916666666665</v>
      </c>
      <c r="BD166" s="2029">
        <f t="shared" si="79"/>
        <v>2179.2916666666665</v>
      </c>
      <c r="BE166" s="2030">
        <f t="shared" si="80"/>
        <v>0</v>
      </c>
      <c r="BF166" s="2030">
        <f t="shared" si="80"/>
        <v>0</v>
      </c>
      <c r="BG166" s="2030">
        <f t="shared" si="80"/>
        <v>0</v>
      </c>
      <c r="BH166" s="2030">
        <f t="shared" si="73"/>
        <v>0</v>
      </c>
      <c r="BI166" s="2030">
        <f t="shared" si="81"/>
        <v>54999.941791666657</v>
      </c>
      <c r="BJ166" s="2030">
        <f t="shared" si="81"/>
        <v>39999.957666666662</v>
      </c>
      <c r="BK166" s="2030">
        <f t="shared" si="81"/>
        <v>57499.939145833327</v>
      </c>
      <c r="BL166" s="2030">
        <f t="shared" si="81"/>
        <v>57499.939145833327</v>
      </c>
      <c r="BM166" s="2031"/>
      <c r="BN166" s="2031"/>
      <c r="BO166" s="2031"/>
      <c r="BP166" s="2031"/>
      <c r="BQ166" s="2031"/>
      <c r="BR166" s="2031"/>
      <c r="BS166" s="2031"/>
      <c r="BT166" s="2031"/>
      <c r="BU166" s="2029"/>
      <c r="BV166" s="2029"/>
      <c r="BW166" s="2029"/>
      <c r="BX166" s="2029"/>
      <c r="BY166" s="2029"/>
      <c r="BZ166" s="2032"/>
      <c r="CA166" s="1974"/>
      <c r="CB166" s="1974"/>
      <c r="CC166" s="1974"/>
      <c r="CD166" s="1974"/>
      <c r="CE166" s="1974">
        <v>0</v>
      </c>
      <c r="CF166" s="2033">
        <v>-7.1101475806784186E-5</v>
      </c>
      <c r="CG166" s="2026">
        <v>7.2496929423582109E-3</v>
      </c>
      <c r="CH166" s="2009">
        <v>1</v>
      </c>
      <c r="CI166" s="2029">
        <v>0</v>
      </c>
      <c r="CJ166" s="2029">
        <f>BA166/5.42*0.05</f>
        <v>20.104166666666668</v>
      </c>
      <c r="CK166" s="2029">
        <f t="shared" si="82"/>
        <v>20.104166666666668</v>
      </c>
      <c r="CL166" s="2034">
        <v>1</v>
      </c>
      <c r="CM166" s="2034">
        <v>1</v>
      </c>
      <c r="CN166" s="2034">
        <v>1</v>
      </c>
      <c r="CO166" s="2034">
        <v>1</v>
      </c>
      <c r="CP166" s="2035"/>
      <c r="CQ166" s="2036"/>
      <c r="CR166" s="2036"/>
      <c r="CS166" s="2036"/>
      <c r="CT166" s="2036"/>
      <c r="CU166" s="2036"/>
      <c r="CW166" s="1973">
        <v>0</v>
      </c>
      <c r="CX166" s="2037">
        <v>2500</v>
      </c>
      <c r="CY166" s="2037">
        <v>2500</v>
      </c>
      <c r="CZ166" s="2037">
        <v>2500</v>
      </c>
      <c r="DA166" s="2037">
        <v>2500</v>
      </c>
      <c r="DK166" s="1973">
        <v>0</v>
      </c>
      <c r="DL166" s="1973">
        <v>0</v>
      </c>
      <c r="DM166" s="1973">
        <v>0</v>
      </c>
      <c r="DO166" s="2043">
        <v>15</v>
      </c>
      <c r="DP166" s="2044">
        <v>-1103.8355523767607</v>
      </c>
      <c r="DQ166" s="2044">
        <v>-0.17697329812206575</v>
      </c>
      <c r="DR166" s="2043">
        <v>1410.9147306857637</v>
      </c>
      <c r="DS166" s="2047"/>
      <c r="DT166" s="2046">
        <v>0</v>
      </c>
      <c r="DU166" s="2046">
        <v>0</v>
      </c>
      <c r="DV166" s="2046">
        <v>0</v>
      </c>
      <c r="DW166" s="2063">
        <v>2499.9973541666664</v>
      </c>
      <c r="DX166" s="2046">
        <v>2499.9973541666664</v>
      </c>
      <c r="DY166" s="2046">
        <v>2499.9973541666664</v>
      </c>
      <c r="DZ166" s="2046">
        <v>2499.9973541666664</v>
      </c>
      <c r="EA166" s="2063">
        <v>2179.2916666666665</v>
      </c>
      <c r="EB166" s="2046">
        <v>2179.2916666666665</v>
      </c>
      <c r="EC166" s="2046">
        <v>2179.2916666666665</v>
      </c>
      <c r="ED166" s="2046">
        <v>2179.2916666666665</v>
      </c>
      <c r="EE166" s="2039">
        <f t="shared" si="83"/>
        <v>0</v>
      </c>
      <c r="EF166" s="2039">
        <f t="shared" si="83"/>
        <v>0</v>
      </c>
      <c r="EG166" s="2039">
        <f t="shared" si="83"/>
        <v>0</v>
      </c>
      <c r="EH166" s="2039" t="e">
        <f t="shared" si="74"/>
        <v>#VALUE!</v>
      </c>
      <c r="EI166" s="2040">
        <f t="shared" si="70"/>
        <v>0</v>
      </c>
      <c r="EJ166" s="2040">
        <f t="shared" si="70"/>
        <v>0</v>
      </c>
      <c r="EK166" s="2040">
        <f t="shared" si="70"/>
        <v>0</v>
      </c>
      <c r="EL166" s="2040">
        <f t="shared" si="69"/>
        <v>0</v>
      </c>
      <c r="EM166" s="2040">
        <f t="shared" si="69"/>
        <v>0</v>
      </c>
      <c r="EN166" s="2040">
        <f t="shared" si="69"/>
        <v>0</v>
      </c>
      <c r="EO166" s="2040">
        <f t="shared" si="69"/>
        <v>0</v>
      </c>
      <c r="EP166" s="2040">
        <f t="shared" si="69"/>
        <v>0</v>
      </c>
      <c r="EQ166" s="2040">
        <f t="shared" si="69"/>
        <v>0</v>
      </c>
      <c r="ER166" s="2040">
        <f t="shared" si="72"/>
        <v>0</v>
      </c>
      <c r="ES166" s="2040">
        <f t="shared" si="72"/>
        <v>0</v>
      </c>
      <c r="ET166" s="2040">
        <f t="shared" si="72"/>
        <v>0</v>
      </c>
      <c r="EU166" s="2039" t="e">
        <f t="shared" si="84"/>
        <v>#VALUE!</v>
      </c>
      <c r="EV166" s="2039" t="e">
        <f t="shared" si="85"/>
        <v>#VALUE!</v>
      </c>
    </row>
    <row r="167" spans="1:152" x14ac:dyDescent="0.25">
      <c r="A167" s="2041" t="s">
        <v>182</v>
      </c>
      <c r="B167" s="2022" t="s">
        <v>2959</v>
      </c>
      <c r="C167" s="2023">
        <v>14</v>
      </c>
      <c r="D167" s="2024">
        <v>0</v>
      </c>
      <c r="E167" s="2024">
        <v>0</v>
      </c>
      <c r="F167" s="2023">
        <v>405.14400000000001</v>
      </c>
      <c r="G167" s="2026" t="s">
        <v>2899</v>
      </c>
      <c r="H167" s="2026" t="s">
        <v>2899</v>
      </c>
      <c r="I167" s="2026">
        <v>0.84899999999999998</v>
      </c>
      <c r="J167" s="2026">
        <v>0.84899999999999998</v>
      </c>
      <c r="K167" s="2026">
        <v>0.84899999999999998</v>
      </c>
      <c r="L167" s="2026">
        <v>0.84899999999999998</v>
      </c>
      <c r="M167" s="2027">
        <f t="shared" si="86"/>
        <v>0</v>
      </c>
      <c r="N167" s="2027">
        <f t="shared" si="86"/>
        <v>0</v>
      </c>
      <c r="O167" s="2027">
        <f t="shared" si="86"/>
        <v>0</v>
      </c>
      <c r="P167" s="2027">
        <f t="shared" si="75"/>
        <v>0</v>
      </c>
      <c r="Q167" s="2026">
        <v>0.84899999999999998</v>
      </c>
      <c r="R167" s="2026">
        <v>0.84899999999999998</v>
      </c>
      <c r="S167" s="2026">
        <v>0.84899999999999998</v>
      </c>
      <c r="T167" s="2026">
        <v>0.84899999999999998</v>
      </c>
      <c r="U167" s="2028">
        <f t="shared" si="87"/>
        <v>0</v>
      </c>
      <c r="V167" s="2028">
        <f t="shared" si="87"/>
        <v>0</v>
      </c>
      <c r="W167" s="2028">
        <f t="shared" si="87"/>
        <v>0</v>
      </c>
      <c r="X167" s="2028">
        <f t="shared" si="76"/>
        <v>0</v>
      </c>
      <c r="Y167" s="2026">
        <v>0.67500000000000004</v>
      </c>
      <c r="Z167" s="2026">
        <v>0.67500000000000004</v>
      </c>
      <c r="AA167" s="2026">
        <v>0.67500000000000004</v>
      </c>
      <c r="AB167" s="2026">
        <v>0.67500000000000004</v>
      </c>
      <c r="AC167" s="2027">
        <f t="shared" si="92"/>
        <v>273.47220000000004</v>
      </c>
      <c r="AD167" s="2027">
        <f t="shared" si="92"/>
        <v>273.47220000000004</v>
      </c>
      <c r="AE167" s="2027">
        <f t="shared" si="92"/>
        <v>273.47220000000004</v>
      </c>
      <c r="AF167" s="2027">
        <f t="shared" si="92"/>
        <v>273.47220000000004</v>
      </c>
      <c r="AG167" s="2027">
        <v>5</v>
      </c>
      <c r="AH167" s="2027">
        <v>5</v>
      </c>
      <c r="AI167" s="2027">
        <v>5</v>
      </c>
      <c r="AJ167" s="2027">
        <v>4</v>
      </c>
      <c r="AK167" s="2027">
        <f t="shared" si="93"/>
        <v>0</v>
      </c>
      <c r="AL167" s="2027">
        <f t="shared" si="88"/>
        <v>0</v>
      </c>
      <c r="AM167" s="2027">
        <f t="shared" si="88"/>
        <v>0</v>
      </c>
      <c r="AN167" s="2027">
        <f t="shared" si="88"/>
        <v>0</v>
      </c>
      <c r="AO167" s="2027">
        <f t="shared" si="94"/>
        <v>1367.3610000000003</v>
      </c>
      <c r="AP167" s="2027">
        <f t="shared" si="89"/>
        <v>1367.3610000000003</v>
      </c>
      <c r="AQ167" s="2027">
        <f t="shared" si="89"/>
        <v>1367.3610000000003</v>
      </c>
      <c r="AR167" s="2027">
        <f t="shared" si="89"/>
        <v>1093.8888000000002</v>
      </c>
      <c r="AS167" s="1974"/>
      <c r="AT167" s="2029">
        <f t="shared" si="77"/>
        <v>0</v>
      </c>
      <c r="AU167" s="2029">
        <f t="shared" si="77"/>
        <v>0</v>
      </c>
      <c r="AV167" s="2029">
        <f t="shared" si="77"/>
        <v>0</v>
      </c>
      <c r="AW167" s="2064">
        <v>975</v>
      </c>
      <c r="AX167" s="2029">
        <f t="shared" ref="AX167:AZ198" si="95">$AW167</f>
        <v>975</v>
      </c>
      <c r="AY167" s="2029">
        <f t="shared" si="95"/>
        <v>975</v>
      </c>
      <c r="AZ167" s="2029">
        <f t="shared" si="95"/>
        <v>975</v>
      </c>
      <c r="BA167" s="2065">
        <v>700</v>
      </c>
      <c r="BB167" s="2029">
        <f t="shared" ref="BB167:BD198" si="96">$BA167</f>
        <v>700</v>
      </c>
      <c r="BC167" s="2029">
        <f t="shared" si="96"/>
        <v>700</v>
      </c>
      <c r="BD167" s="2029">
        <f t="shared" si="96"/>
        <v>700</v>
      </c>
      <c r="BE167" s="2030">
        <f t="shared" si="80"/>
        <v>0</v>
      </c>
      <c r="BF167" s="2030">
        <f t="shared" si="80"/>
        <v>0</v>
      </c>
      <c r="BG167" s="2030">
        <f t="shared" si="80"/>
        <v>0</v>
      </c>
      <c r="BH167" s="2030">
        <f t="shared" si="73"/>
        <v>0</v>
      </c>
      <c r="BI167" s="2030">
        <f t="shared" si="81"/>
        <v>4875</v>
      </c>
      <c r="BJ167" s="2030">
        <f t="shared" si="81"/>
        <v>4875</v>
      </c>
      <c r="BK167" s="2030">
        <f t="shared" si="81"/>
        <v>4875</v>
      </c>
      <c r="BL167" s="2030">
        <f t="shared" si="81"/>
        <v>3900</v>
      </c>
      <c r="BM167" s="2031"/>
      <c r="BN167" s="2031"/>
      <c r="BO167" s="2031"/>
      <c r="BP167" s="2031"/>
      <c r="BQ167" s="2031"/>
      <c r="BR167" s="2031"/>
      <c r="BS167" s="2031"/>
      <c r="BT167" s="2031"/>
      <c r="BU167" s="2029"/>
      <c r="BV167" s="2029"/>
      <c r="BW167" s="2029"/>
      <c r="BX167" s="2029"/>
      <c r="BY167" s="2029"/>
      <c r="BZ167" s="2032"/>
      <c r="CA167" s="1974"/>
      <c r="CB167" s="1974"/>
      <c r="CC167" s="1974"/>
      <c r="CD167" s="1974"/>
      <c r="CE167" s="1974">
        <v>0</v>
      </c>
      <c r="CF167" s="2033">
        <v>0</v>
      </c>
      <c r="CG167" s="2026">
        <v>5.099543124668012E-4</v>
      </c>
      <c r="CH167" s="2009">
        <v>0</v>
      </c>
      <c r="CI167" s="2029">
        <v>0</v>
      </c>
      <c r="CK167" s="2029">
        <f t="shared" si="82"/>
        <v>0</v>
      </c>
      <c r="CL167" s="2034">
        <v>1</v>
      </c>
      <c r="CM167" s="2034">
        <v>1</v>
      </c>
      <c r="CN167" s="2034">
        <v>1</v>
      </c>
      <c r="CO167" s="2034">
        <v>1</v>
      </c>
      <c r="CP167" s="2035"/>
      <c r="CQ167" s="2036"/>
      <c r="CR167" s="2036"/>
      <c r="CS167" s="2036"/>
      <c r="CT167" s="2036"/>
      <c r="CU167" s="2036"/>
      <c r="CW167" s="1973">
        <v>0</v>
      </c>
      <c r="CX167" s="2037">
        <v>650</v>
      </c>
      <c r="CY167" s="2037">
        <v>650</v>
      </c>
      <c r="CZ167" s="2037">
        <v>650</v>
      </c>
      <c r="DA167" s="2037">
        <v>650</v>
      </c>
      <c r="DK167" s="1973">
        <v>0</v>
      </c>
      <c r="DL167" s="1973">
        <v>0</v>
      </c>
      <c r="DM167" s="1973">
        <v>0</v>
      </c>
      <c r="DO167" s="2043">
        <v>14</v>
      </c>
      <c r="DP167" s="2044">
        <v>0</v>
      </c>
      <c r="DQ167" s="2044">
        <v>0</v>
      </c>
      <c r="DR167" s="2043">
        <v>405.14400000000001</v>
      </c>
      <c r="DS167" s="2047"/>
      <c r="DT167" s="2046">
        <v>0</v>
      </c>
      <c r="DU167" s="2046">
        <v>0</v>
      </c>
      <c r="DV167" s="2046">
        <v>0</v>
      </c>
      <c r="DW167" s="2066">
        <v>975</v>
      </c>
      <c r="DX167" s="2046">
        <v>975</v>
      </c>
      <c r="DY167" s="2046">
        <v>975</v>
      </c>
      <c r="DZ167" s="2046">
        <v>975</v>
      </c>
      <c r="EA167" s="2067">
        <v>700</v>
      </c>
      <c r="EB167" s="2046">
        <v>700</v>
      </c>
      <c r="EC167" s="2046">
        <v>700</v>
      </c>
      <c r="ED167" s="2046">
        <v>700</v>
      </c>
      <c r="EE167" s="2039">
        <f t="shared" si="83"/>
        <v>0</v>
      </c>
      <c r="EF167" s="2039">
        <f t="shared" si="83"/>
        <v>0</v>
      </c>
      <c r="EG167" s="2039">
        <f t="shared" si="83"/>
        <v>0</v>
      </c>
      <c r="EH167" s="2039">
        <f t="shared" si="74"/>
        <v>0</v>
      </c>
      <c r="EI167" s="2040">
        <f t="shared" si="70"/>
        <v>0</v>
      </c>
      <c r="EJ167" s="2040">
        <f t="shared" si="70"/>
        <v>0</v>
      </c>
      <c r="EK167" s="2040">
        <f t="shared" si="70"/>
        <v>0</v>
      </c>
      <c r="EL167" s="2040">
        <f t="shared" si="69"/>
        <v>0</v>
      </c>
      <c r="EM167" s="2040">
        <f t="shared" si="69"/>
        <v>0</v>
      </c>
      <c r="EN167" s="2040">
        <f t="shared" si="69"/>
        <v>0</v>
      </c>
      <c r="EO167" s="2040">
        <f t="shared" si="69"/>
        <v>0</v>
      </c>
      <c r="EP167" s="2040">
        <f t="shared" si="69"/>
        <v>0</v>
      </c>
      <c r="EQ167" s="2040">
        <f t="shared" si="69"/>
        <v>0</v>
      </c>
      <c r="ER167" s="2040">
        <f t="shared" si="72"/>
        <v>0</v>
      </c>
      <c r="ES167" s="2040">
        <f t="shared" si="72"/>
        <v>0</v>
      </c>
      <c r="ET167" s="2040">
        <f t="shared" si="72"/>
        <v>0</v>
      </c>
      <c r="EU167" s="2039">
        <f t="shared" si="84"/>
        <v>0</v>
      </c>
      <c r="EV167" s="2039">
        <f t="shared" si="85"/>
        <v>0</v>
      </c>
    </row>
    <row r="168" spans="1:152" x14ac:dyDescent="0.25">
      <c r="A168" s="2041" t="s">
        <v>260</v>
      </c>
      <c r="B168" s="2022"/>
      <c r="C168" s="2023"/>
      <c r="D168" s="2024"/>
      <c r="E168" s="2024"/>
      <c r="F168" s="2023"/>
      <c r="G168" s="2026" t="s">
        <v>2960</v>
      </c>
      <c r="H168" s="2026" t="s">
        <v>2960</v>
      </c>
      <c r="I168" s="2026">
        <v>0.83099999999999996</v>
      </c>
      <c r="J168" s="2026">
        <v>0.83099999999999996</v>
      </c>
      <c r="K168" s="2026">
        <v>0.83099999999999996</v>
      </c>
      <c r="L168" s="2026">
        <v>0.83099999999999996</v>
      </c>
      <c r="M168" s="2027">
        <f t="shared" si="86"/>
        <v>0</v>
      </c>
      <c r="N168" s="2027">
        <f t="shared" si="86"/>
        <v>0</v>
      </c>
      <c r="O168" s="2027">
        <f t="shared" si="86"/>
        <v>0</v>
      </c>
      <c r="P168" s="2027">
        <f t="shared" si="75"/>
        <v>0</v>
      </c>
      <c r="Q168" s="2026">
        <v>0.83099999999999996</v>
      </c>
      <c r="R168" s="2026">
        <v>0.83099999999999996</v>
      </c>
      <c r="S168" s="2026">
        <v>0.83099999999999996</v>
      </c>
      <c r="T168" s="2026">
        <v>0.83099999999999996</v>
      </c>
      <c r="U168" s="2028">
        <f t="shared" si="87"/>
        <v>0</v>
      </c>
      <c r="V168" s="2028">
        <f t="shared" si="87"/>
        <v>0</v>
      </c>
      <c r="W168" s="2028">
        <f t="shared" si="87"/>
        <v>0</v>
      </c>
      <c r="X168" s="2028">
        <f t="shared" si="76"/>
        <v>0</v>
      </c>
      <c r="Y168" s="2026">
        <v>0.83099999999999996</v>
      </c>
      <c r="Z168" s="2026">
        <v>0.83099999999999996</v>
      </c>
      <c r="AA168" s="2026">
        <v>0.83099999999999996</v>
      </c>
      <c r="AB168" s="2026">
        <v>0.83099999999999996</v>
      </c>
      <c r="AC168" s="2027">
        <f t="shared" si="92"/>
        <v>0</v>
      </c>
      <c r="AD168" s="2027">
        <f t="shared" si="92"/>
        <v>0</v>
      </c>
      <c r="AE168" s="2027">
        <f t="shared" si="92"/>
        <v>0</v>
      </c>
      <c r="AF168" s="2027">
        <f t="shared" si="92"/>
        <v>0</v>
      </c>
      <c r="AG168" s="2027">
        <v>0</v>
      </c>
      <c r="AH168" s="2027">
        <v>0</v>
      </c>
      <c r="AI168" s="2027">
        <v>0</v>
      </c>
      <c r="AJ168" s="2027">
        <v>0</v>
      </c>
      <c r="AK168" s="2027">
        <f t="shared" si="93"/>
        <v>0</v>
      </c>
      <c r="AL168" s="2027">
        <f t="shared" ref="AL168:AN198" si="97">AH168*N168*CM168</f>
        <v>0</v>
      </c>
      <c r="AM168" s="2027">
        <f t="shared" si="97"/>
        <v>0</v>
      </c>
      <c r="AN168" s="2027">
        <f t="shared" si="97"/>
        <v>0</v>
      </c>
      <c r="AO168" s="2027">
        <f t="shared" si="94"/>
        <v>0</v>
      </c>
      <c r="AP168" s="2027">
        <f t="shared" ref="AP168:AR198" si="98">AH168*AD168*CM168</f>
        <v>0</v>
      </c>
      <c r="AQ168" s="2027">
        <f t="shared" si="98"/>
        <v>0</v>
      </c>
      <c r="AR168" s="2027">
        <f t="shared" si="98"/>
        <v>0</v>
      </c>
      <c r="AS168" s="1974"/>
      <c r="AT168" s="2029">
        <f t="shared" si="77"/>
        <v>0</v>
      </c>
      <c r="AU168" s="2029">
        <f t="shared" si="77"/>
        <v>0</v>
      </c>
      <c r="AV168" s="2029">
        <f t="shared" si="77"/>
        <v>0</v>
      </c>
      <c r="AW168" s="1974"/>
      <c r="AX168" s="2029">
        <f t="shared" si="95"/>
        <v>0</v>
      </c>
      <c r="AY168" s="2029">
        <f t="shared" si="95"/>
        <v>0</v>
      </c>
      <c r="AZ168" s="2029">
        <f t="shared" si="95"/>
        <v>0</v>
      </c>
      <c r="BA168" s="1974"/>
      <c r="BB168" s="2029">
        <f t="shared" si="96"/>
        <v>0</v>
      </c>
      <c r="BC168" s="2029">
        <f t="shared" si="96"/>
        <v>0</v>
      </c>
      <c r="BD168" s="2029">
        <f t="shared" si="96"/>
        <v>0</v>
      </c>
      <c r="BE168" s="2030">
        <f t="shared" si="80"/>
        <v>0</v>
      </c>
      <c r="BF168" s="2030">
        <f t="shared" si="80"/>
        <v>0</v>
      </c>
      <c r="BG168" s="2030">
        <f t="shared" si="80"/>
        <v>0</v>
      </c>
      <c r="BH168" s="2030">
        <f t="shared" si="73"/>
        <v>0</v>
      </c>
      <c r="BI168" s="2030">
        <f t="shared" si="81"/>
        <v>0</v>
      </c>
      <c r="BJ168" s="2030">
        <f t="shared" si="81"/>
        <v>0</v>
      </c>
      <c r="BK168" s="2030">
        <f t="shared" si="81"/>
        <v>0</v>
      </c>
      <c r="BL168" s="2030">
        <f t="shared" si="81"/>
        <v>0</v>
      </c>
      <c r="BM168" s="2031"/>
      <c r="BN168" s="2031"/>
      <c r="BO168" s="2031"/>
      <c r="BP168" s="2031"/>
      <c r="BQ168" s="2031"/>
      <c r="BR168" s="2031"/>
      <c r="BS168" s="2031"/>
      <c r="BT168" s="2031"/>
      <c r="BU168" s="2029"/>
      <c r="BV168" s="2029"/>
      <c r="BW168" s="2029"/>
      <c r="BX168" s="2029"/>
      <c r="BY168" s="2029"/>
      <c r="BZ168" s="2032"/>
      <c r="CA168" s="1974"/>
      <c r="CB168" s="1974"/>
      <c r="CC168" s="1974"/>
      <c r="CD168" s="1974"/>
      <c r="CE168" s="1974">
        <v>0</v>
      </c>
      <c r="CF168" s="2033">
        <v>0</v>
      </c>
      <c r="CG168" s="2026">
        <v>0</v>
      </c>
      <c r="CH168" s="2009">
        <v>0</v>
      </c>
      <c r="CI168" s="2029">
        <v>0</v>
      </c>
      <c r="CK168" s="2029">
        <f t="shared" si="82"/>
        <v>0</v>
      </c>
      <c r="CL168" s="2034">
        <v>1</v>
      </c>
      <c r="CM168" s="2034">
        <v>1</v>
      </c>
      <c r="CN168" s="2034">
        <v>1</v>
      </c>
      <c r="CO168" s="2034">
        <v>1</v>
      </c>
      <c r="CP168" s="2035"/>
      <c r="CQ168" s="2036"/>
      <c r="CR168" s="2036"/>
      <c r="CS168" s="2036"/>
      <c r="CT168" s="2036"/>
      <c r="CU168" s="2036"/>
      <c r="CW168" s="1973">
        <v>0</v>
      </c>
      <c r="CX168" s="2037">
        <v>0</v>
      </c>
      <c r="CY168" s="2037">
        <v>0</v>
      </c>
      <c r="CZ168" s="2037">
        <v>0</v>
      </c>
      <c r="DA168" s="2037">
        <v>0</v>
      </c>
      <c r="DK168" s="1973">
        <v>0</v>
      </c>
      <c r="DL168" s="1973">
        <v>0</v>
      </c>
      <c r="DM168" s="1973">
        <v>0</v>
      </c>
      <c r="DO168" s="2023"/>
      <c r="DP168" s="2024"/>
      <c r="DQ168" s="2024"/>
      <c r="DR168" s="2023"/>
      <c r="DS168" s="1974"/>
      <c r="DT168" s="2029">
        <v>0</v>
      </c>
      <c r="DU168" s="2029">
        <v>0</v>
      </c>
      <c r="DV168" s="2029">
        <v>0</v>
      </c>
      <c r="DW168" s="1974"/>
      <c r="DX168" s="2029">
        <v>0</v>
      </c>
      <c r="DY168" s="2029">
        <v>0</v>
      </c>
      <c r="DZ168" s="2029">
        <v>0</v>
      </c>
      <c r="EA168" s="1974"/>
      <c r="EB168" s="2029">
        <v>0</v>
      </c>
      <c r="EC168" s="2029">
        <v>0</v>
      </c>
      <c r="ED168" s="2029">
        <v>0</v>
      </c>
      <c r="EE168" s="2039">
        <f t="shared" si="83"/>
        <v>0</v>
      </c>
      <c r="EF168" s="2039">
        <f t="shared" si="83"/>
        <v>0</v>
      </c>
      <c r="EG168" s="2039">
        <f t="shared" si="83"/>
        <v>0</v>
      </c>
      <c r="EH168" s="2039">
        <f t="shared" si="74"/>
        <v>0</v>
      </c>
      <c r="EI168" s="2040">
        <f t="shared" si="70"/>
        <v>0</v>
      </c>
      <c r="EJ168" s="2040">
        <f t="shared" si="70"/>
        <v>0</v>
      </c>
      <c r="EK168" s="2040">
        <f t="shared" si="70"/>
        <v>0</v>
      </c>
      <c r="EL168" s="2040">
        <f t="shared" si="69"/>
        <v>0</v>
      </c>
      <c r="EM168" s="2040">
        <f t="shared" si="69"/>
        <v>0</v>
      </c>
      <c r="EN168" s="2040">
        <f t="shared" si="69"/>
        <v>0</v>
      </c>
      <c r="EO168" s="2040">
        <f t="shared" si="69"/>
        <v>0</v>
      </c>
      <c r="EP168" s="2040">
        <f t="shared" si="69"/>
        <v>0</v>
      </c>
      <c r="EQ168" s="2040">
        <f t="shared" si="69"/>
        <v>0</v>
      </c>
      <c r="ER168" s="2040">
        <f t="shared" si="72"/>
        <v>0</v>
      </c>
      <c r="ES168" s="2040">
        <f t="shared" si="72"/>
        <v>0</v>
      </c>
      <c r="ET168" s="2040">
        <f t="shared" si="72"/>
        <v>0</v>
      </c>
      <c r="EU168" s="2039">
        <f t="shared" si="84"/>
        <v>0</v>
      </c>
      <c r="EV168" s="2039">
        <f t="shared" si="85"/>
        <v>0</v>
      </c>
    </row>
    <row r="169" spans="1:152" x14ac:dyDescent="0.25">
      <c r="A169" s="2041" t="s">
        <v>261</v>
      </c>
      <c r="B169" s="2022"/>
      <c r="C169" s="2023"/>
      <c r="D169" s="2024"/>
      <c r="E169" s="2024"/>
      <c r="F169" s="2023"/>
      <c r="G169" s="2026" t="s">
        <v>2899</v>
      </c>
      <c r="H169" s="2026" t="s">
        <v>2899</v>
      </c>
      <c r="I169" s="2026">
        <v>0.84899999999999998</v>
      </c>
      <c r="J169" s="2026">
        <v>0.84899999999999998</v>
      </c>
      <c r="K169" s="2026">
        <v>0.84899999999999998</v>
      </c>
      <c r="L169" s="2026">
        <v>0.84899999999999998</v>
      </c>
      <c r="M169" s="2027">
        <f t="shared" si="86"/>
        <v>0</v>
      </c>
      <c r="N169" s="2027">
        <f t="shared" si="86"/>
        <v>0</v>
      </c>
      <c r="O169" s="2027">
        <f t="shared" si="86"/>
        <v>0</v>
      </c>
      <c r="P169" s="2027">
        <f t="shared" si="75"/>
        <v>0</v>
      </c>
      <c r="Q169" s="2026">
        <v>0.84899999999999998</v>
      </c>
      <c r="R169" s="2026">
        <v>0.84899999999999998</v>
      </c>
      <c r="S169" s="2026">
        <v>0.84899999999999998</v>
      </c>
      <c r="T169" s="2026">
        <v>0.84899999999999998</v>
      </c>
      <c r="U169" s="2028">
        <f t="shared" si="87"/>
        <v>0</v>
      </c>
      <c r="V169" s="2028">
        <f t="shared" si="87"/>
        <v>0</v>
      </c>
      <c r="W169" s="2028">
        <f t="shared" si="87"/>
        <v>0</v>
      </c>
      <c r="X169" s="2028">
        <f t="shared" si="76"/>
        <v>0</v>
      </c>
      <c r="Y169" s="2026">
        <v>0.67500000000000004</v>
      </c>
      <c r="Z169" s="2026">
        <v>0.67500000000000004</v>
      </c>
      <c r="AA169" s="2026">
        <v>0.67500000000000004</v>
      </c>
      <c r="AB169" s="2026">
        <v>0.67500000000000004</v>
      </c>
      <c r="AC169" s="2027">
        <f t="shared" si="92"/>
        <v>0</v>
      </c>
      <c r="AD169" s="2027">
        <f t="shared" si="92"/>
        <v>0</v>
      </c>
      <c r="AE169" s="2027">
        <f t="shared" si="92"/>
        <v>0</v>
      </c>
      <c r="AF169" s="2027">
        <f t="shared" si="92"/>
        <v>0</v>
      </c>
      <c r="AG169" s="2027">
        <v>0</v>
      </c>
      <c r="AH169" s="2027">
        <v>0</v>
      </c>
      <c r="AI169" s="2027">
        <v>0</v>
      </c>
      <c r="AJ169" s="2027">
        <v>0</v>
      </c>
      <c r="AK169" s="2027">
        <f t="shared" si="93"/>
        <v>0</v>
      </c>
      <c r="AL169" s="2027">
        <f t="shared" si="97"/>
        <v>0</v>
      </c>
      <c r="AM169" s="2027">
        <f t="shared" si="97"/>
        <v>0</v>
      </c>
      <c r="AN169" s="2027">
        <f t="shared" si="97"/>
        <v>0</v>
      </c>
      <c r="AO169" s="2027">
        <f t="shared" si="94"/>
        <v>0</v>
      </c>
      <c r="AP169" s="2027">
        <f t="shared" si="98"/>
        <v>0</v>
      </c>
      <c r="AQ169" s="2027">
        <f t="shared" si="98"/>
        <v>0</v>
      </c>
      <c r="AR169" s="2027">
        <f t="shared" si="98"/>
        <v>0</v>
      </c>
      <c r="AS169" s="1974"/>
      <c r="AT169" s="2029">
        <f t="shared" si="77"/>
        <v>0</v>
      </c>
      <c r="AU169" s="2029">
        <f t="shared" si="77"/>
        <v>0</v>
      </c>
      <c r="AV169" s="2029">
        <f t="shared" si="77"/>
        <v>0</v>
      </c>
      <c r="AW169" s="1974"/>
      <c r="AX169" s="2029">
        <f t="shared" si="95"/>
        <v>0</v>
      </c>
      <c r="AY169" s="2029">
        <f t="shared" si="95"/>
        <v>0</v>
      </c>
      <c r="AZ169" s="2029">
        <f t="shared" si="95"/>
        <v>0</v>
      </c>
      <c r="BA169" s="1974"/>
      <c r="BB169" s="2029">
        <f t="shared" si="96"/>
        <v>0</v>
      </c>
      <c r="BC169" s="2029">
        <f t="shared" si="96"/>
        <v>0</v>
      </c>
      <c r="BD169" s="2029">
        <f t="shared" si="96"/>
        <v>0</v>
      </c>
      <c r="BE169" s="2030">
        <f t="shared" si="80"/>
        <v>0</v>
      </c>
      <c r="BF169" s="2030">
        <f t="shared" si="80"/>
        <v>0</v>
      </c>
      <c r="BG169" s="2030">
        <f t="shared" si="80"/>
        <v>0</v>
      </c>
      <c r="BH169" s="2030">
        <f t="shared" si="73"/>
        <v>0</v>
      </c>
      <c r="BI169" s="2030">
        <f t="shared" si="81"/>
        <v>0</v>
      </c>
      <c r="BJ169" s="2030">
        <f t="shared" si="81"/>
        <v>0</v>
      </c>
      <c r="BK169" s="2030">
        <f t="shared" si="81"/>
        <v>0</v>
      </c>
      <c r="BL169" s="2030">
        <f t="shared" si="81"/>
        <v>0</v>
      </c>
      <c r="BM169" s="2031"/>
      <c r="BN169" s="2031"/>
      <c r="BO169" s="2031"/>
      <c r="BP169" s="2031"/>
      <c r="BQ169" s="2031"/>
      <c r="BR169" s="2031"/>
      <c r="BS169" s="2031"/>
      <c r="BT169" s="2031"/>
      <c r="BU169" s="2029"/>
      <c r="BV169" s="2029"/>
      <c r="BW169" s="2029"/>
      <c r="BX169" s="2029"/>
      <c r="BY169" s="2029"/>
      <c r="BZ169" s="2032"/>
      <c r="CA169" s="1974"/>
      <c r="CB169" s="1974"/>
      <c r="CC169" s="1974"/>
      <c r="CD169" s="1974"/>
      <c r="CE169" s="1974">
        <v>0</v>
      </c>
      <c r="CF169" s="2033">
        <v>0</v>
      </c>
      <c r="CG169" s="2026">
        <v>0</v>
      </c>
      <c r="CH169" s="2009">
        <v>0</v>
      </c>
      <c r="CI169" s="2029">
        <v>0</v>
      </c>
      <c r="CK169" s="2029">
        <f t="shared" si="82"/>
        <v>0</v>
      </c>
      <c r="CL169" s="2034">
        <v>1</v>
      </c>
      <c r="CM169" s="2034">
        <v>1</v>
      </c>
      <c r="CN169" s="2034">
        <v>1</v>
      </c>
      <c r="CO169" s="2034">
        <v>1</v>
      </c>
      <c r="CP169" s="2035"/>
      <c r="CQ169" s="2036"/>
      <c r="CR169" s="2036"/>
      <c r="CS169" s="2036"/>
      <c r="CT169" s="2036"/>
      <c r="CU169" s="2036"/>
      <c r="CW169" s="1973">
        <v>0</v>
      </c>
      <c r="CX169" s="2037">
        <v>0</v>
      </c>
      <c r="CY169" s="2037">
        <v>0</v>
      </c>
      <c r="CZ169" s="2037">
        <v>0</v>
      </c>
      <c r="DA169" s="2037">
        <v>0</v>
      </c>
      <c r="DK169" s="1973">
        <v>0</v>
      </c>
      <c r="DL169" s="1973">
        <v>0</v>
      </c>
      <c r="DM169" s="1973">
        <v>0</v>
      </c>
      <c r="DO169" s="2023"/>
      <c r="DP169" s="2024"/>
      <c r="DQ169" s="2024"/>
      <c r="DR169" s="2023"/>
      <c r="DS169" s="1974"/>
      <c r="DT169" s="2029">
        <v>0</v>
      </c>
      <c r="DU169" s="2029">
        <v>0</v>
      </c>
      <c r="DV169" s="2029">
        <v>0</v>
      </c>
      <c r="DW169" s="1974"/>
      <c r="DX169" s="2029">
        <v>0</v>
      </c>
      <c r="DY169" s="2029">
        <v>0</v>
      </c>
      <c r="DZ169" s="2029">
        <v>0</v>
      </c>
      <c r="EA169" s="1974"/>
      <c r="EB169" s="2029">
        <v>0</v>
      </c>
      <c r="EC169" s="2029">
        <v>0</v>
      </c>
      <c r="ED169" s="2029">
        <v>0</v>
      </c>
      <c r="EE169" s="2039">
        <f t="shared" si="83"/>
        <v>0</v>
      </c>
      <c r="EF169" s="2039">
        <f t="shared" si="83"/>
        <v>0</v>
      </c>
      <c r="EG169" s="2039">
        <f t="shared" si="83"/>
        <v>0</v>
      </c>
      <c r="EH169" s="2039">
        <f t="shared" si="74"/>
        <v>0</v>
      </c>
      <c r="EI169" s="2040">
        <f t="shared" si="70"/>
        <v>0</v>
      </c>
      <c r="EJ169" s="2040">
        <f t="shared" si="70"/>
        <v>0</v>
      </c>
      <c r="EK169" s="2040">
        <f t="shared" si="70"/>
        <v>0</v>
      </c>
      <c r="EL169" s="2040">
        <f t="shared" si="69"/>
        <v>0</v>
      </c>
      <c r="EM169" s="2040">
        <f t="shared" si="69"/>
        <v>0</v>
      </c>
      <c r="EN169" s="2040">
        <f t="shared" si="69"/>
        <v>0</v>
      </c>
      <c r="EO169" s="2040">
        <f t="shared" ref="EO169:ET225" si="99">AY169-DY169</f>
        <v>0</v>
      </c>
      <c r="EP169" s="2040">
        <f t="shared" si="99"/>
        <v>0</v>
      </c>
      <c r="EQ169" s="2040">
        <f t="shared" si="99"/>
        <v>0</v>
      </c>
      <c r="ER169" s="2040">
        <f t="shared" si="72"/>
        <v>0</v>
      </c>
      <c r="ES169" s="2040">
        <f t="shared" si="72"/>
        <v>0</v>
      </c>
      <c r="ET169" s="2040">
        <f t="shared" si="72"/>
        <v>0</v>
      </c>
      <c r="EU169" s="2039">
        <f t="shared" si="84"/>
        <v>0</v>
      </c>
      <c r="EV169" s="2039">
        <f t="shared" si="85"/>
        <v>0</v>
      </c>
    </row>
    <row r="170" spans="1:152" x14ac:dyDescent="0.25">
      <c r="A170" s="2041" t="s">
        <v>262</v>
      </c>
      <c r="B170" s="2022"/>
      <c r="C170" s="2023">
        <v>15</v>
      </c>
      <c r="D170" s="2024">
        <v>101.616</v>
      </c>
      <c r="E170" s="2024">
        <v>1.1599999999999999E-2</v>
      </c>
      <c r="F170" s="2023">
        <v>0</v>
      </c>
      <c r="G170" s="2026" t="s">
        <v>2899</v>
      </c>
      <c r="H170" s="2026" t="s">
        <v>2899</v>
      </c>
      <c r="I170" s="2026">
        <v>0.84899999999999998</v>
      </c>
      <c r="J170" s="2026">
        <v>0.84899999999999998</v>
      </c>
      <c r="K170" s="2026">
        <v>0.84899999999999998</v>
      </c>
      <c r="L170" s="2026">
        <v>0.84899999999999998</v>
      </c>
      <c r="M170" s="2027">
        <f t="shared" si="86"/>
        <v>86.271984000000003</v>
      </c>
      <c r="N170" s="2027">
        <f t="shared" si="86"/>
        <v>86.271984000000003</v>
      </c>
      <c r="O170" s="2027">
        <f t="shared" si="86"/>
        <v>86.271984000000003</v>
      </c>
      <c r="P170" s="2027">
        <f t="shared" si="75"/>
        <v>86.271984000000003</v>
      </c>
      <c r="Q170" s="2026">
        <v>0.84899999999999998</v>
      </c>
      <c r="R170" s="2026">
        <v>0.84899999999999998</v>
      </c>
      <c r="S170" s="2026">
        <v>0.84899999999999998</v>
      </c>
      <c r="T170" s="2026">
        <v>0.84899999999999998</v>
      </c>
      <c r="U170" s="2028">
        <f t="shared" si="87"/>
        <v>9.8483999999999985E-3</v>
      </c>
      <c r="V170" s="2028">
        <f t="shared" si="87"/>
        <v>9.8483999999999985E-3</v>
      </c>
      <c r="W170" s="2028">
        <f t="shared" si="87"/>
        <v>9.8483999999999985E-3</v>
      </c>
      <c r="X170" s="2028">
        <f t="shared" si="76"/>
        <v>9.8483999999999985E-3</v>
      </c>
      <c r="Y170" s="2026">
        <v>0.67500000000000004</v>
      </c>
      <c r="Z170" s="2026">
        <v>0.67500000000000004</v>
      </c>
      <c r="AA170" s="2026">
        <v>0.67500000000000004</v>
      </c>
      <c r="AB170" s="2026">
        <v>0.67500000000000004</v>
      </c>
      <c r="AC170" s="2027">
        <f t="shared" si="92"/>
        <v>0</v>
      </c>
      <c r="AD170" s="2027">
        <f t="shared" si="92"/>
        <v>0</v>
      </c>
      <c r="AE170" s="2027">
        <f t="shared" si="92"/>
        <v>0</v>
      </c>
      <c r="AF170" s="2027">
        <f t="shared" si="92"/>
        <v>0</v>
      </c>
      <c r="AG170" s="2027">
        <v>9</v>
      </c>
      <c r="AH170" s="2027">
        <v>11</v>
      </c>
      <c r="AI170" s="2027">
        <v>11</v>
      </c>
      <c r="AJ170" s="2027">
        <v>11</v>
      </c>
      <c r="AK170" s="2027">
        <f t="shared" si="93"/>
        <v>776.447856</v>
      </c>
      <c r="AL170" s="2027">
        <f t="shared" si="97"/>
        <v>948.99182400000007</v>
      </c>
      <c r="AM170" s="2027">
        <f t="shared" si="97"/>
        <v>948.99182400000007</v>
      </c>
      <c r="AN170" s="2027">
        <f t="shared" si="97"/>
        <v>948.99182400000007</v>
      </c>
      <c r="AO170" s="2027">
        <f t="shared" si="94"/>
        <v>0</v>
      </c>
      <c r="AP170" s="2027">
        <f t="shared" si="98"/>
        <v>0</v>
      </c>
      <c r="AQ170" s="2027">
        <f t="shared" si="98"/>
        <v>0</v>
      </c>
      <c r="AR170" s="2027">
        <f t="shared" si="98"/>
        <v>0</v>
      </c>
      <c r="AS170" s="2031">
        <v>150</v>
      </c>
      <c r="AT170" s="2029">
        <f t="shared" si="77"/>
        <v>150</v>
      </c>
      <c r="AU170" s="2029">
        <f t="shared" si="77"/>
        <v>150</v>
      </c>
      <c r="AV170" s="2029">
        <f t="shared" si="77"/>
        <v>150</v>
      </c>
      <c r="AW170" s="2031"/>
      <c r="AX170" s="2029">
        <f t="shared" si="95"/>
        <v>0</v>
      </c>
      <c r="AY170" s="2029">
        <f t="shared" si="95"/>
        <v>0</v>
      </c>
      <c r="AZ170" s="2029">
        <f t="shared" si="95"/>
        <v>0</v>
      </c>
      <c r="BA170" s="2031">
        <v>224</v>
      </c>
      <c r="BB170" s="2029">
        <f t="shared" si="96"/>
        <v>224</v>
      </c>
      <c r="BC170" s="2029">
        <f t="shared" si="96"/>
        <v>224</v>
      </c>
      <c r="BD170" s="2029">
        <f t="shared" si="96"/>
        <v>224</v>
      </c>
      <c r="BE170" s="2030">
        <f t="shared" si="80"/>
        <v>1350</v>
      </c>
      <c r="BF170" s="2030">
        <f t="shared" si="80"/>
        <v>1650</v>
      </c>
      <c r="BG170" s="2030">
        <f t="shared" si="80"/>
        <v>1650</v>
      </c>
      <c r="BH170" s="2030">
        <f t="shared" si="73"/>
        <v>1650</v>
      </c>
      <c r="BI170" s="2030">
        <f t="shared" si="81"/>
        <v>0</v>
      </c>
      <c r="BJ170" s="2030">
        <f t="shared" si="81"/>
        <v>0</v>
      </c>
      <c r="BK170" s="2030">
        <f t="shared" si="81"/>
        <v>0</v>
      </c>
      <c r="BL170" s="2030">
        <f t="shared" si="81"/>
        <v>0</v>
      </c>
      <c r="BM170" s="2031"/>
      <c r="BN170" s="2031"/>
      <c r="BO170" s="2031"/>
      <c r="BP170" s="2031"/>
      <c r="BQ170" s="2031"/>
      <c r="BR170" s="2031"/>
      <c r="BS170" s="2031"/>
      <c r="BT170" s="2031"/>
      <c r="BU170" s="2029"/>
      <c r="BV170" s="2029"/>
      <c r="BW170" s="2029"/>
      <c r="BX170" s="2029"/>
      <c r="BY170" s="2029"/>
      <c r="BZ170" s="2032"/>
      <c r="CA170" s="1974"/>
      <c r="CB170" s="1974"/>
      <c r="CC170" s="1974"/>
      <c r="CD170" s="1974"/>
      <c r="CE170" s="1974">
        <v>0</v>
      </c>
      <c r="CF170" s="2033">
        <v>3.2458135441872675E-6</v>
      </c>
      <c r="CG170" s="2026">
        <v>0</v>
      </c>
      <c r="CH170" s="2009">
        <v>0</v>
      </c>
      <c r="CI170" s="2029">
        <v>0</v>
      </c>
      <c r="CK170" s="2029">
        <f t="shared" si="82"/>
        <v>0</v>
      </c>
      <c r="CL170" s="2034">
        <v>1</v>
      </c>
      <c r="CM170" s="2034">
        <v>1</v>
      </c>
      <c r="CN170" s="2034">
        <v>1</v>
      </c>
      <c r="CO170" s="2034">
        <v>1</v>
      </c>
      <c r="CP170" s="2035"/>
      <c r="CQ170" s="2036"/>
      <c r="CR170" s="2036"/>
      <c r="CS170" s="2036"/>
      <c r="CT170" s="2036"/>
      <c r="CU170" s="2036"/>
      <c r="CW170" s="1973">
        <v>0</v>
      </c>
      <c r="CX170" s="2037">
        <v>150</v>
      </c>
      <c r="CY170" s="2037">
        <v>150</v>
      </c>
      <c r="CZ170" s="2037">
        <v>150</v>
      </c>
      <c r="DA170" s="2037">
        <v>150</v>
      </c>
      <c r="DJ170" s="1976">
        <v>150</v>
      </c>
      <c r="DK170" s="1973">
        <v>150</v>
      </c>
      <c r="DL170" s="1973">
        <v>150</v>
      </c>
      <c r="DM170" s="1973">
        <v>150</v>
      </c>
      <c r="DO170" s="2023">
        <v>15</v>
      </c>
      <c r="DP170" s="2024">
        <v>101.616</v>
      </c>
      <c r="DQ170" s="2024">
        <v>1.1599999999999999E-2</v>
      </c>
      <c r="DR170" s="2023">
        <v>0</v>
      </c>
      <c r="DS170" s="2031">
        <v>150</v>
      </c>
      <c r="DT170" s="2029">
        <v>150</v>
      </c>
      <c r="DU170" s="2029">
        <v>150</v>
      </c>
      <c r="DV170" s="2029">
        <v>150</v>
      </c>
      <c r="DW170" s="2031"/>
      <c r="DX170" s="2029">
        <v>0</v>
      </c>
      <c r="DY170" s="2029">
        <v>0</v>
      </c>
      <c r="DZ170" s="2029">
        <v>0</v>
      </c>
      <c r="EA170" s="2031">
        <v>224</v>
      </c>
      <c r="EB170" s="2029">
        <v>224</v>
      </c>
      <c r="EC170" s="2029">
        <v>224</v>
      </c>
      <c r="ED170" s="2029">
        <v>224</v>
      </c>
      <c r="EE170" s="2039">
        <f t="shared" si="83"/>
        <v>0</v>
      </c>
      <c r="EF170" s="2039">
        <f t="shared" si="83"/>
        <v>0</v>
      </c>
      <c r="EG170" s="2039">
        <f t="shared" si="83"/>
        <v>0</v>
      </c>
      <c r="EH170" s="2039">
        <f t="shared" si="74"/>
        <v>0</v>
      </c>
      <c r="EI170" s="2040">
        <f t="shared" si="70"/>
        <v>0</v>
      </c>
      <c r="EJ170" s="2040">
        <f t="shared" si="70"/>
        <v>0</v>
      </c>
      <c r="EK170" s="2040">
        <f t="shared" si="70"/>
        <v>0</v>
      </c>
      <c r="EL170" s="2040">
        <f t="shared" si="70"/>
        <v>0</v>
      </c>
      <c r="EM170" s="2040">
        <f t="shared" si="70"/>
        <v>0</v>
      </c>
      <c r="EN170" s="2040">
        <f t="shared" si="70"/>
        <v>0</v>
      </c>
      <c r="EO170" s="2040">
        <f t="shared" si="99"/>
        <v>0</v>
      </c>
      <c r="EP170" s="2040">
        <f t="shared" si="99"/>
        <v>0</v>
      </c>
      <c r="EQ170" s="2040">
        <f t="shared" si="99"/>
        <v>0</v>
      </c>
      <c r="ER170" s="2040">
        <f t="shared" si="72"/>
        <v>0</v>
      </c>
      <c r="ES170" s="2040">
        <f t="shared" si="72"/>
        <v>0</v>
      </c>
      <c r="ET170" s="2040">
        <f t="shared" si="72"/>
        <v>0</v>
      </c>
      <c r="EU170" s="2039">
        <f t="shared" si="84"/>
        <v>0</v>
      </c>
      <c r="EV170" s="2039">
        <f t="shared" si="85"/>
        <v>0</v>
      </c>
    </row>
    <row r="171" spans="1:152" x14ac:dyDescent="0.25">
      <c r="A171" s="2041" t="s">
        <v>263</v>
      </c>
      <c r="B171" s="2022"/>
      <c r="C171" s="2023"/>
      <c r="D171" s="2024"/>
      <c r="E171" s="2024"/>
      <c r="F171" s="2023"/>
      <c r="G171" s="2026" t="s">
        <v>20</v>
      </c>
      <c r="H171" s="2026" t="s">
        <v>20</v>
      </c>
      <c r="I171" s="2026">
        <v>0.55700000000000005</v>
      </c>
      <c r="J171" s="2026">
        <v>0.55700000000000005</v>
      </c>
      <c r="K171" s="2026">
        <v>0.55700000000000005</v>
      </c>
      <c r="L171" s="2026">
        <v>0.55700000000000005</v>
      </c>
      <c r="M171" s="2027">
        <f t="shared" si="86"/>
        <v>0</v>
      </c>
      <c r="N171" s="2027">
        <f t="shared" si="86"/>
        <v>0</v>
      </c>
      <c r="O171" s="2027">
        <f t="shared" si="86"/>
        <v>0</v>
      </c>
      <c r="P171" s="2027">
        <f t="shared" si="75"/>
        <v>0</v>
      </c>
      <c r="Q171" s="2026">
        <v>0.55700000000000005</v>
      </c>
      <c r="R171" s="2026">
        <v>0.55700000000000005</v>
      </c>
      <c r="S171" s="2026">
        <v>0.55700000000000005</v>
      </c>
      <c r="T171" s="2026">
        <v>0.55700000000000005</v>
      </c>
      <c r="U171" s="2028">
        <f t="shared" si="87"/>
        <v>0</v>
      </c>
      <c r="V171" s="2028">
        <f t="shared" si="87"/>
        <v>0</v>
      </c>
      <c r="W171" s="2028">
        <f t="shared" si="87"/>
        <v>0</v>
      </c>
      <c r="X171" s="2028">
        <f t="shared" si="76"/>
        <v>0</v>
      </c>
      <c r="Y171" s="2026">
        <v>0.49399999999999999</v>
      </c>
      <c r="Z171" s="2026">
        <v>0.49399999999999999</v>
      </c>
      <c r="AA171" s="2026">
        <v>0.49399999999999999</v>
      </c>
      <c r="AB171" s="2026">
        <v>0.49399999999999999</v>
      </c>
      <c r="AC171" s="2027">
        <f t="shared" si="92"/>
        <v>0</v>
      </c>
      <c r="AD171" s="2027">
        <f t="shared" si="92"/>
        <v>0</v>
      </c>
      <c r="AE171" s="2027">
        <f t="shared" si="92"/>
        <v>0</v>
      </c>
      <c r="AF171" s="2027">
        <f t="shared" si="92"/>
        <v>0</v>
      </c>
      <c r="AG171" s="2027">
        <v>0</v>
      </c>
      <c r="AH171" s="2027">
        <v>0</v>
      </c>
      <c r="AI171" s="2027">
        <v>0</v>
      </c>
      <c r="AJ171" s="2027">
        <v>0</v>
      </c>
      <c r="AK171" s="2027">
        <f t="shared" si="93"/>
        <v>0</v>
      </c>
      <c r="AL171" s="2027">
        <f t="shared" si="97"/>
        <v>0</v>
      </c>
      <c r="AM171" s="2027">
        <f t="shared" si="97"/>
        <v>0</v>
      </c>
      <c r="AN171" s="2027">
        <f t="shared" si="97"/>
        <v>0</v>
      </c>
      <c r="AO171" s="2027">
        <f t="shared" si="94"/>
        <v>0</v>
      </c>
      <c r="AP171" s="2027">
        <f t="shared" si="98"/>
        <v>0</v>
      </c>
      <c r="AQ171" s="2027">
        <f t="shared" si="98"/>
        <v>0</v>
      </c>
      <c r="AR171" s="2027">
        <f t="shared" si="98"/>
        <v>0</v>
      </c>
      <c r="AS171" s="1974"/>
      <c r="AT171" s="2029">
        <f t="shared" si="77"/>
        <v>0</v>
      </c>
      <c r="AU171" s="2029">
        <f t="shared" si="77"/>
        <v>0</v>
      </c>
      <c r="AV171" s="2029">
        <f t="shared" si="77"/>
        <v>0</v>
      </c>
      <c r="AW171" s="1974"/>
      <c r="AX171" s="2029">
        <f t="shared" si="95"/>
        <v>0</v>
      </c>
      <c r="AY171" s="2029">
        <f t="shared" si="95"/>
        <v>0</v>
      </c>
      <c r="AZ171" s="2029">
        <f t="shared" si="95"/>
        <v>0</v>
      </c>
      <c r="BA171" s="1974"/>
      <c r="BB171" s="2029">
        <f t="shared" si="96"/>
        <v>0</v>
      </c>
      <c r="BC171" s="2029">
        <f t="shared" si="96"/>
        <v>0</v>
      </c>
      <c r="BD171" s="2029">
        <f t="shared" si="96"/>
        <v>0</v>
      </c>
      <c r="BE171" s="2030">
        <f t="shared" si="80"/>
        <v>0</v>
      </c>
      <c r="BF171" s="2030">
        <f t="shared" si="80"/>
        <v>0</v>
      </c>
      <c r="BG171" s="2030">
        <f t="shared" si="80"/>
        <v>0</v>
      </c>
      <c r="BH171" s="2030">
        <f t="shared" si="73"/>
        <v>0</v>
      </c>
      <c r="BI171" s="2030">
        <f t="shared" si="81"/>
        <v>0</v>
      </c>
      <c r="BJ171" s="2030">
        <f t="shared" si="81"/>
        <v>0</v>
      </c>
      <c r="BK171" s="2030">
        <f t="shared" si="81"/>
        <v>0</v>
      </c>
      <c r="BL171" s="2030">
        <f t="shared" si="81"/>
        <v>0</v>
      </c>
      <c r="BM171" s="2031"/>
      <c r="BN171" s="2031"/>
      <c r="BO171" s="2031"/>
      <c r="BP171" s="2031"/>
      <c r="BQ171" s="2031"/>
      <c r="BR171" s="2031"/>
      <c r="BS171" s="2031"/>
      <c r="BT171" s="2031"/>
      <c r="BU171" s="2029"/>
      <c r="BV171" s="2029"/>
      <c r="BW171" s="2029"/>
      <c r="BX171" s="2029"/>
      <c r="BY171" s="2029"/>
      <c r="BZ171" s="2032"/>
      <c r="CA171" s="1974"/>
      <c r="CB171" s="1974"/>
      <c r="CC171" s="1974"/>
      <c r="CD171" s="1974"/>
      <c r="CE171" s="1974">
        <v>0</v>
      </c>
      <c r="CF171" s="2033">
        <v>0</v>
      </c>
      <c r="CG171" s="2026">
        <v>0</v>
      </c>
      <c r="CH171" s="2009">
        <v>0</v>
      </c>
      <c r="CI171" s="2029">
        <v>0</v>
      </c>
      <c r="CK171" s="2029">
        <f t="shared" si="82"/>
        <v>0</v>
      </c>
      <c r="CL171" s="2034">
        <v>1</v>
      </c>
      <c r="CM171" s="2034">
        <v>1</v>
      </c>
      <c r="CN171" s="2034">
        <v>1</v>
      </c>
      <c r="CO171" s="2034">
        <v>1</v>
      </c>
      <c r="CP171" s="2035"/>
      <c r="CQ171" s="2036"/>
      <c r="CR171" s="2036"/>
      <c r="CS171" s="2036"/>
      <c r="CT171" s="2036"/>
      <c r="CU171" s="2036"/>
      <c r="CW171" s="1973">
        <v>0</v>
      </c>
      <c r="CX171" s="2037">
        <v>0</v>
      </c>
      <c r="CY171" s="2037">
        <v>0</v>
      </c>
      <c r="CZ171" s="2037">
        <v>0</v>
      </c>
      <c r="DA171" s="2037">
        <v>0</v>
      </c>
      <c r="DK171" s="1973">
        <v>0</v>
      </c>
      <c r="DL171" s="1973">
        <v>0</v>
      </c>
      <c r="DM171" s="1973">
        <v>0</v>
      </c>
      <c r="DO171" s="2023"/>
      <c r="DP171" s="2024"/>
      <c r="DQ171" s="2024"/>
      <c r="DR171" s="2023"/>
      <c r="DS171" s="1974"/>
      <c r="DT171" s="2029">
        <v>0</v>
      </c>
      <c r="DU171" s="2029">
        <v>0</v>
      </c>
      <c r="DV171" s="2029">
        <v>0</v>
      </c>
      <c r="DW171" s="1974"/>
      <c r="DX171" s="2029">
        <v>0</v>
      </c>
      <c r="DY171" s="2029">
        <v>0</v>
      </c>
      <c r="DZ171" s="2029">
        <v>0</v>
      </c>
      <c r="EA171" s="1974"/>
      <c r="EB171" s="2029">
        <v>0</v>
      </c>
      <c r="EC171" s="2029">
        <v>0</v>
      </c>
      <c r="ED171" s="2029">
        <v>0</v>
      </c>
      <c r="EE171" s="2039">
        <f t="shared" si="83"/>
        <v>0</v>
      </c>
      <c r="EF171" s="2039">
        <f t="shared" si="83"/>
        <v>0</v>
      </c>
      <c r="EG171" s="2039">
        <f t="shared" si="83"/>
        <v>0</v>
      </c>
      <c r="EH171" s="2039">
        <f t="shared" si="74"/>
        <v>0</v>
      </c>
      <c r="EI171" s="2040">
        <f t="shared" si="70"/>
        <v>0</v>
      </c>
      <c r="EJ171" s="2040">
        <f t="shared" si="70"/>
        <v>0</v>
      </c>
      <c r="EK171" s="2040">
        <f t="shared" si="70"/>
        <v>0</v>
      </c>
      <c r="EL171" s="2040">
        <f t="shared" si="70"/>
        <v>0</v>
      </c>
      <c r="EM171" s="2040">
        <f t="shared" si="70"/>
        <v>0</v>
      </c>
      <c r="EN171" s="2040">
        <f t="shared" si="70"/>
        <v>0</v>
      </c>
      <c r="EO171" s="2040">
        <f t="shared" si="99"/>
        <v>0</v>
      </c>
      <c r="EP171" s="2040">
        <f t="shared" si="99"/>
        <v>0</v>
      </c>
      <c r="EQ171" s="2040">
        <f t="shared" si="99"/>
        <v>0</v>
      </c>
      <c r="ER171" s="2040">
        <f t="shared" si="72"/>
        <v>0</v>
      </c>
      <c r="ES171" s="2040">
        <f t="shared" si="72"/>
        <v>0</v>
      </c>
      <c r="ET171" s="2040">
        <f t="shared" si="72"/>
        <v>0</v>
      </c>
      <c r="EU171" s="2039">
        <f t="shared" si="84"/>
        <v>0</v>
      </c>
      <c r="EV171" s="2039">
        <f t="shared" si="85"/>
        <v>0</v>
      </c>
    </row>
    <row r="172" spans="1:152" x14ac:dyDescent="0.25">
      <c r="A172" s="2041" t="s">
        <v>264</v>
      </c>
      <c r="B172" s="2022"/>
      <c r="C172" s="2023"/>
      <c r="D172" s="2024"/>
      <c r="E172" s="2024"/>
      <c r="F172" s="2023"/>
      <c r="G172" s="2026" t="s">
        <v>2285</v>
      </c>
      <c r="H172" s="2026" t="s">
        <v>2285</v>
      </c>
      <c r="I172" s="2026">
        <v>0.79999999999999993</v>
      </c>
      <c r="J172" s="2026">
        <v>0.79999999999999993</v>
      </c>
      <c r="K172" s="2026">
        <v>0.79999999999999993</v>
      </c>
      <c r="L172" s="2026">
        <v>0.79999999999999993</v>
      </c>
      <c r="M172" s="2027">
        <f t="shared" si="86"/>
        <v>0</v>
      </c>
      <c r="N172" s="2027">
        <f t="shared" si="86"/>
        <v>0</v>
      </c>
      <c r="O172" s="2027">
        <f t="shared" si="86"/>
        <v>0</v>
      </c>
      <c r="P172" s="2027">
        <f t="shared" si="75"/>
        <v>0</v>
      </c>
      <c r="Q172" s="2026">
        <v>0.79999999999999993</v>
      </c>
      <c r="R172" s="2026">
        <v>0.79999999999999993</v>
      </c>
      <c r="S172" s="2026">
        <v>0.79999999999999993</v>
      </c>
      <c r="T172" s="2026">
        <v>0.79999999999999993</v>
      </c>
      <c r="U172" s="2028">
        <f t="shared" si="87"/>
        <v>0</v>
      </c>
      <c r="V172" s="2028">
        <f t="shared" si="87"/>
        <v>0</v>
      </c>
      <c r="W172" s="2028">
        <f t="shared" si="87"/>
        <v>0</v>
      </c>
      <c r="X172" s="2028">
        <f t="shared" si="76"/>
        <v>0</v>
      </c>
      <c r="Y172" s="2026">
        <v>0.60399999999999998</v>
      </c>
      <c r="Z172" s="2026">
        <v>0.60399999999999998</v>
      </c>
      <c r="AA172" s="2026">
        <v>0.60399999999999998</v>
      </c>
      <c r="AB172" s="2026">
        <v>0.60399999999999998</v>
      </c>
      <c r="AC172" s="2027">
        <f t="shared" si="92"/>
        <v>0</v>
      </c>
      <c r="AD172" s="2027">
        <f t="shared" si="92"/>
        <v>0</v>
      </c>
      <c r="AE172" s="2027">
        <f t="shared" si="92"/>
        <v>0</v>
      </c>
      <c r="AF172" s="2027">
        <f t="shared" si="92"/>
        <v>0</v>
      </c>
      <c r="AG172" s="2027">
        <v>0</v>
      </c>
      <c r="AH172" s="2027">
        <v>0</v>
      </c>
      <c r="AI172" s="2027">
        <v>0</v>
      </c>
      <c r="AJ172" s="2027">
        <v>0</v>
      </c>
      <c r="AK172" s="2027">
        <f t="shared" si="93"/>
        <v>0</v>
      </c>
      <c r="AL172" s="2027">
        <f t="shared" si="97"/>
        <v>0</v>
      </c>
      <c r="AM172" s="2027">
        <f t="shared" si="97"/>
        <v>0</v>
      </c>
      <c r="AN172" s="2027">
        <f t="shared" si="97"/>
        <v>0</v>
      </c>
      <c r="AO172" s="2027">
        <f t="shared" si="94"/>
        <v>0</v>
      </c>
      <c r="AP172" s="2027">
        <f t="shared" si="98"/>
        <v>0</v>
      </c>
      <c r="AQ172" s="2027">
        <f t="shared" si="98"/>
        <v>0</v>
      </c>
      <c r="AR172" s="2027">
        <f t="shared" si="98"/>
        <v>0</v>
      </c>
      <c r="AS172" s="2048">
        <v>500</v>
      </c>
      <c r="AT172" s="2029">
        <f t="shared" si="77"/>
        <v>500</v>
      </c>
      <c r="AU172" s="2029">
        <f t="shared" si="77"/>
        <v>500</v>
      </c>
      <c r="AV172" s="2029">
        <f t="shared" si="77"/>
        <v>500</v>
      </c>
      <c r="AW172" s="1974"/>
      <c r="AX172" s="2029">
        <f t="shared" si="95"/>
        <v>0</v>
      </c>
      <c r="AY172" s="2029">
        <f t="shared" si="95"/>
        <v>0</v>
      </c>
      <c r="AZ172" s="2029">
        <f t="shared" si="95"/>
        <v>0</v>
      </c>
      <c r="BA172" s="1974"/>
      <c r="BB172" s="2029">
        <f t="shared" si="96"/>
        <v>0</v>
      </c>
      <c r="BC172" s="2029">
        <f t="shared" si="96"/>
        <v>0</v>
      </c>
      <c r="BD172" s="2029">
        <f t="shared" si="96"/>
        <v>0</v>
      </c>
      <c r="BE172" s="2030">
        <f t="shared" si="80"/>
        <v>0</v>
      </c>
      <c r="BF172" s="2030">
        <f t="shared" si="80"/>
        <v>0</v>
      </c>
      <c r="BG172" s="2030">
        <f t="shared" si="80"/>
        <v>0</v>
      </c>
      <c r="BH172" s="2030">
        <f t="shared" si="73"/>
        <v>0</v>
      </c>
      <c r="BI172" s="2030">
        <f t="shared" si="81"/>
        <v>0</v>
      </c>
      <c r="BJ172" s="2030">
        <f t="shared" si="81"/>
        <v>0</v>
      </c>
      <c r="BK172" s="2030">
        <f t="shared" si="81"/>
        <v>0</v>
      </c>
      <c r="BL172" s="2030">
        <f t="shared" si="81"/>
        <v>0</v>
      </c>
      <c r="BM172" s="2031"/>
      <c r="BN172" s="2031"/>
      <c r="BO172" s="2031"/>
      <c r="BP172" s="2031"/>
      <c r="BQ172" s="2031"/>
      <c r="BR172" s="2031"/>
      <c r="BS172" s="2031"/>
      <c r="BT172" s="2031"/>
      <c r="BU172" s="2029"/>
      <c r="BV172" s="2029"/>
      <c r="BW172" s="2029"/>
      <c r="BX172" s="2029"/>
      <c r="BY172" s="2029"/>
      <c r="BZ172" s="2032"/>
      <c r="CA172" s="1974"/>
      <c r="CB172" s="1974"/>
      <c r="CC172" s="1974"/>
      <c r="CD172" s="1974"/>
      <c r="CE172" s="1974">
        <v>0</v>
      </c>
      <c r="CF172" s="2033">
        <v>0</v>
      </c>
      <c r="CG172" s="2026">
        <v>0</v>
      </c>
      <c r="CH172" s="2009">
        <v>0</v>
      </c>
      <c r="CI172" s="2029">
        <v>0</v>
      </c>
      <c r="CK172" s="2029">
        <f t="shared" si="82"/>
        <v>0</v>
      </c>
      <c r="CL172" s="2034">
        <v>1</v>
      </c>
      <c r="CM172" s="2034">
        <v>1</v>
      </c>
      <c r="CN172" s="2034">
        <v>1</v>
      </c>
      <c r="CO172" s="2034">
        <v>1</v>
      </c>
      <c r="CP172" s="2035"/>
      <c r="CQ172" s="2036"/>
      <c r="CR172" s="2036"/>
      <c r="CS172" s="2036"/>
      <c r="CT172" s="2036"/>
      <c r="CU172" s="2036"/>
      <c r="CW172" s="1973">
        <v>0</v>
      </c>
      <c r="CX172" s="2037">
        <v>500</v>
      </c>
      <c r="CY172" s="2037">
        <v>500</v>
      </c>
      <c r="CZ172" s="2037">
        <v>500</v>
      </c>
      <c r="DA172" s="2037">
        <v>500</v>
      </c>
      <c r="DJ172" s="1976">
        <v>500</v>
      </c>
      <c r="DK172" s="1973">
        <v>500</v>
      </c>
      <c r="DL172" s="1973">
        <v>500</v>
      </c>
      <c r="DM172" s="1973">
        <v>500</v>
      </c>
      <c r="DO172" s="2023"/>
      <c r="DP172" s="2024"/>
      <c r="DQ172" s="2024"/>
      <c r="DR172" s="2023"/>
      <c r="DS172" s="2048">
        <v>500</v>
      </c>
      <c r="DT172" s="2029">
        <v>500</v>
      </c>
      <c r="DU172" s="2029">
        <v>500</v>
      </c>
      <c r="DV172" s="2029">
        <v>500</v>
      </c>
      <c r="DW172" s="1974"/>
      <c r="DX172" s="2029">
        <v>0</v>
      </c>
      <c r="DY172" s="2029">
        <v>0</v>
      </c>
      <c r="DZ172" s="2029">
        <v>0</v>
      </c>
      <c r="EA172" s="1974"/>
      <c r="EB172" s="2029">
        <v>0</v>
      </c>
      <c r="EC172" s="2029">
        <v>0</v>
      </c>
      <c r="ED172" s="2029">
        <v>0</v>
      </c>
      <c r="EE172" s="2039">
        <f t="shared" si="83"/>
        <v>0</v>
      </c>
      <c r="EF172" s="2039">
        <f t="shared" si="83"/>
        <v>0</v>
      </c>
      <c r="EG172" s="2039">
        <f t="shared" si="83"/>
        <v>0</v>
      </c>
      <c r="EH172" s="2039">
        <f t="shared" si="74"/>
        <v>0</v>
      </c>
      <c r="EI172" s="2040">
        <f t="shared" si="70"/>
        <v>0</v>
      </c>
      <c r="EJ172" s="2040">
        <f t="shared" si="70"/>
        <v>0</v>
      </c>
      <c r="EK172" s="2040">
        <f t="shared" si="70"/>
        <v>0</v>
      </c>
      <c r="EL172" s="2040">
        <f t="shared" si="70"/>
        <v>0</v>
      </c>
      <c r="EM172" s="2040">
        <f t="shared" si="70"/>
        <v>0</v>
      </c>
      <c r="EN172" s="2040">
        <f t="shared" si="70"/>
        <v>0</v>
      </c>
      <c r="EO172" s="2040">
        <f t="shared" si="99"/>
        <v>0</v>
      </c>
      <c r="EP172" s="2040">
        <f t="shared" si="99"/>
        <v>0</v>
      </c>
      <c r="EQ172" s="2040">
        <f t="shared" si="99"/>
        <v>0</v>
      </c>
      <c r="ER172" s="2040">
        <f t="shared" si="72"/>
        <v>0</v>
      </c>
      <c r="ES172" s="2040">
        <f t="shared" si="72"/>
        <v>0</v>
      </c>
      <c r="ET172" s="2040">
        <f t="shared" si="72"/>
        <v>0</v>
      </c>
      <c r="EU172" s="2039">
        <f t="shared" si="84"/>
        <v>0</v>
      </c>
      <c r="EV172" s="2039">
        <f t="shared" si="85"/>
        <v>0</v>
      </c>
    </row>
    <row r="173" spans="1:152" x14ac:dyDescent="0.25">
      <c r="A173" s="2021" t="s">
        <v>183</v>
      </c>
      <c r="B173" s="2069"/>
      <c r="C173" s="2068">
        <v>15</v>
      </c>
      <c r="D173" s="2071">
        <v>9003.1426966292202</v>
      </c>
      <c r="E173" s="2024">
        <v>0.23703852327447691</v>
      </c>
      <c r="F173" s="2023">
        <v>0</v>
      </c>
      <c r="G173" s="2026" t="s">
        <v>2285</v>
      </c>
      <c r="H173" s="2026" t="s">
        <v>2285</v>
      </c>
      <c r="I173" s="2026">
        <v>0.79999999999999993</v>
      </c>
      <c r="J173" s="2026">
        <v>0.79999999999999993</v>
      </c>
      <c r="K173" s="2026">
        <v>0.79999999999999993</v>
      </c>
      <c r="L173" s="2026">
        <v>0.79999999999999993</v>
      </c>
      <c r="M173" s="2027">
        <f t="shared" si="86"/>
        <v>7202.5141573033752</v>
      </c>
      <c r="N173" s="2027">
        <f t="shared" si="86"/>
        <v>7202.5141573033752</v>
      </c>
      <c r="O173" s="2027">
        <f t="shared" si="86"/>
        <v>7202.5141573033752</v>
      </c>
      <c r="P173" s="2027">
        <f t="shared" si="75"/>
        <v>7202.5141573033752</v>
      </c>
      <c r="Q173" s="2026">
        <v>0.79999999999999993</v>
      </c>
      <c r="R173" s="2026">
        <v>0.79999999999999993</v>
      </c>
      <c r="S173" s="2026">
        <v>0.79999999999999993</v>
      </c>
      <c r="T173" s="2026">
        <v>0.79999999999999993</v>
      </c>
      <c r="U173" s="2028">
        <f t="shared" si="87"/>
        <v>0.1896308186195815</v>
      </c>
      <c r="V173" s="2028">
        <f t="shared" si="87"/>
        <v>0.1896308186195815</v>
      </c>
      <c r="W173" s="2028">
        <f t="shared" si="87"/>
        <v>0.1896308186195815</v>
      </c>
      <c r="X173" s="2028">
        <f t="shared" si="76"/>
        <v>0.1896308186195815</v>
      </c>
      <c r="Y173" s="2026">
        <v>0.60399999999999998</v>
      </c>
      <c r="Z173" s="2026">
        <v>0.60399999999999998</v>
      </c>
      <c r="AA173" s="2026">
        <v>0.60399999999999998</v>
      </c>
      <c r="AB173" s="2026">
        <v>0.60399999999999998</v>
      </c>
      <c r="AC173" s="2027">
        <f t="shared" si="92"/>
        <v>0</v>
      </c>
      <c r="AD173" s="2027">
        <f t="shared" si="92"/>
        <v>0</v>
      </c>
      <c r="AE173" s="2027">
        <f t="shared" si="92"/>
        <v>0</v>
      </c>
      <c r="AF173" s="2027">
        <f t="shared" si="92"/>
        <v>0</v>
      </c>
      <c r="AG173" s="2027">
        <v>45</v>
      </c>
      <c r="AH173" s="2027">
        <v>47</v>
      </c>
      <c r="AI173" s="2027">
        <v>49</v>
      </c>
      <c r="AJ173" s="2027">
        <v>50</v>
      </c>
      <c r="AK173" s="2027">
        <f t="shared" si="93"/>
        <v>324113.13707865187</v>
      </c>
      <c r="AL173" s="2027">
        <f t="shared" si="97"/>
        <v>338518.16539325862</v>
      </c>
      <c r="AM173" s="2027">
        <f t="shared" si="97"/>
        <v>352923.19370786537</v>
      </c>
      <c r="AN173" s="2027">
        <f t="shared" si="97"/>
        <v>360125.70786516875</v>
      </c>
      <c r="AO173" s="2027">
        <f t="shared" si="94"/>
        <v>0</v>
      </c>
      <c r="AP173" s="2027">
        <f t="shared" si="98"/>
        <v>0</v>
      </c>
      <c r="AQ173" s="2027">
        <f t="shared" si="98"/>
        <v>0</v>
      </c>
      <c r="AR173" s="2027">
        <f t="shared" si="98"/>
        <v>0</v>
      </c>
      <c r="AS173" s="2064">
        <v>375</v>
      </c>
      <c r="AT173" s="2029">
        <f t="shared" si="77"/>
        <v>375</v>
      </c>
      <c r="AU173" s="2029">
        <f t="shared" si="77"/>
        <v>375</v>
      </c>
      <c r="AV173" s="2029">
        <f t="shared" si="77"/>
        <v>375</v>
      </c>
      <c r="AW173" s="2031"/>
      <c r="AX173" s="2029">
        <f t="shared" si="95"/>
        <v>0</v>
      </c>
      <c r="AY173" s="2029">
        <f t="shared" si="95"/>
        <v>0</v>
      </c>
      <c r="AZ173" s="2029">
        <f t="shared" si="95"/>
        <v>0</v>
      </c>
      <c r="BA173" s="2065">
        <v>400</v>
      </c>
      <c r="BB173" s="2029">
        <f t="shared" si="96"/>
        <v>400</v>
      </c>
      <c r="BC173" s="2029">
        <f t="shared" si="96"/>
        <v>400</v>
      </c>
      <c r="BD173" s="2029">
        <f t="shared" si="96"/>
        <v>400</v>
      </c>
      <c r="BE173" s="2030">
        <f t="shared" si="80"/>
        <v>16875</v>
      </c>
      <c r="BF173" s="2030">
        <f t="shared" si="80"/>
        <v>17625</v>
      </c>
      <c r="BG173" s="2030">
        <f t="shared" si="80"/>
        <v>18375</v>
      </c>
      <c r="BH173" s="2030">
        <f t="shared" si="73"/>
        <v>18750</v>
      </c>
      <c r="BI173" s="2030">
        <f t="shared" si="81"/>
        <v>0</v>
      </c>
      <c r="BJ173" s="2030">
        <f t="shared" si="81"/>
        <v>0</v>
      </c>
      <c r="BK173" s="2030">
        <f t="shared" si="81"/>
        <v>0</v>
      </c>
      <c r="BL173" s="2030">
        <f t="shared" si="81"/>
        <v>0</v>
      </c>
      <c r="BM173" s="2031"/>
      <c r="BN173" s="2031"/>
      <c r="BO173" s="2031"/>
      <c r="BP173" s="2031"/>
      <c r="BQ173" s="2031"/>
      <c r="BR173" s="2031"/>
      <c r="BS173" s="2031"/>
      <c r="BT173" s="2031"/>
      <c r="BU173" s="2029"/>
      <c r="BV173" s="2029"/>
      <c r="BW173" s="2029"/>
      <c r="BX173" s="2029"/>
      <c r="BY173" s="2029"/>
      <c r="BZ173" s="2032"/>
      <c r="CA173" s="1974"/>
      <c r="CB173" s="1974"/>
      <c r="CC173" s="1974"/>
      <c r="CD173" s="1974"/>
      <c r="CE173" s="1974">
        <v>0</v>
      </c>
      <c r="CF173" s="2033">
        <v>1.3549020736543997E-3</v>
      </c>
      <c r="CG173" s="2026">
        <v>0</v>
      </c>
      <c r="CH173" s="2009">
        <v>0</v>
      </c>
      <c r="CI173" s="2029">
        <v>0</v>
      </c>
      <c r="CK173" s="2029">
        <f t="shared" si="82"/>
        <v>0</v>
      </c>
      <c r="CL173" s="2034">
        <v>1</v>
      </c>
      <c r="CM173" s="2034">
        <v>1</v>
      </c>
      <c r="CN173" s="2034">
        <v>1</v>
      </c>
      <c r="CO173" s="2034">
        <v>1</v>
      </c>
      <c r="CP173" s="2035"/>
      <c r="CQ173" s="2036"/>
      <c r="CR173" s="2036"/>
      <c r="CS173" s="2036"/>
      <c r="CT173" s="2036"/>
      <c r="CU173" s="2036"/>
      <c r="CW173" s="1973">
        <v>0</v>
      </c>
      <c r="CX173" s="2037">
        <v>375</v>
      </c>
      <c r="CY173" s="2037">
        <v>375</v>
      </c>
      <c r="CZ173" s="2037">
        <v>375</v>
      </c>
      <c r="DA173" s="2037">
        <v>375</v>
      </c>
      <c r="DJ173" s="1976">
        <v>375</v>
      </c>
      <c r="DK173" s="1973">
        <v>375</v>
      </c>
      <c r="DL173" s="1973">
        <v>375</v>
      </c>
      <c r="DM173" s="1973">
        <v>375</v>
      </c>
      <c r="DO173" s="2023">
        <v>15</v>
      </c>
      <c r="DP173" s="2024">
        <v>9003.1426966292202</v>
      </c>
      <c r="DQ173" s="2024">
        <v>0.23703852327447691</v>
      </c>
      <c r="DR173" s="2023">
        <v>0</v>
      </c>
      <c r="DS173" s="2064">
        <v>375</v>
      </c>
      <c r="DT173" s="2029">
        <v>375</v>
      </c>
      <c r="DU173" s="2029">
        <v>375</v>
      </c>
      <c r="DV173" s="2029">
        <v>375</v>
      </c>
      <c r="DW173" s="2031"/>
      <c r="DX173" s="2029">
        <v>0</v>
      </c>
      <c r="DY173" s="2029">
        <v>0</v>
      </c>
      <c r="DZ173" s="2029">
        <v>0</v>
      </c>
      <c r="EA173" s="2065">
        <v>400</v>
      </c>
      <c r="EB173" s="2029">
        <v>400</v>
      </c>
      <c r="EC173" s="2029">
        <v>400</v>
      </c>
      <c r="ED173" s="2029">
        <v>400</v>
      </c>
      <c r="EE173" s="2039">
        <f t="shared" si="83"/>
        <v>0</v>
      </c>
      <c r="EF173" s="2039">
        <f t="shared" si="83"/>
        <v>0</v>
      </c>
      <c r="EG173" s="2039">
        <f t="shared" si="83"/>
        <v>0</v>
      </c>
      <c r="EH173" s="2039">
        <f t="shared" si="74"/>
        <v>0</v>
      </c>
      <c r="EI173" s="2040">
        <f t="shared" si="70"/>
        <v>0</v>
      </c>
      <c r="EJ173" s="2040">
        <f t="shared" si="70"/>
        <v>0</v>
      </c>
      <c r="EK173" s="2040">
        <f t="shared" si="70"/>
        <v>0</v>
      </c>
      <c r="EL173" s="2040">
        <f t="shared" si="70"/>
        <v>0</v>
      </c>
      <c r="EM173" s="2040">
        <f t="shared" si="70"/>
        <v>0</v>
      </c>
      <c r="EN173" s="2040">
        <f t="shared" si="70"/>
        <v>0</v>
      </c>
      <c r="EO173" s="2040">
        <f t="shared" si="99"/>
        <v>0</v>
      </c>
      <c r="EP173" s="2040">
        <f t="shared" si="99"/>
        <v>0</v>
      </c>
      <c r="EQ173" s="2040">
        <f t="shared" si="99"/>
        <v>0</v>
      </c>
      <c r="ER173" s="2040">
        <f t="shared" si="72"/>
        <v>0</v>
      </c>
      <c r="ES173" s="2040">
        <f t="shared" si="72"/>
        <v>0</v>
      </c>
      <c r="ET173" s="2040">
        <f t="shared" si="72"/>
        <v>0</v>
      </c>
      <c r="EU173" s="2039">
        <f t="shared" si="84"/>
        <v>0</v>
      </c>
      <c r="EV173" s="2039">
        <f t="shared" si="85"/>
        <v>0</v>
      </c>
    </row>
    <row r="174" spans="1:152" x14ac:dyDescent="0.25">
      <c r="A174" s="2041" t="s">
        <v>184</v>
      </c>
      <c r="B174" s="2022" t="s">
        <v>2961</v>
      </c>
      <c r="C174" s="2023">
        <v>8</v>
      </c>
      <c r="D174" s="2024">
        <v>269.60365200000001</v>
      </c>
      <c r="E174" s="2024">
        <v>0.21154800000000001</v>
      </c>
      <c r="F174" s="2023">
        <v>-5.4415415999999999</v>
      </c>
      <c r="G174" s="2026" t="s">
        <v>2960</v>
      </c>
      <c r="H174" s="2026" t="s">
        <v>2960</v>
      </c>
      <c r="I174" s="2026">
        <v>0.83099999999999996</v>
      </c>
      <c r="J174" s="2026">
        <v>0.83099999999999996</v>
      </c>
      <c r="K174" s="2026">
        <v>0.83099999999999996</v>
      </c>
      <c r="L174" s="2026">
        <v>0.83099999999999996</v>
      </c>
      <c r="M174" s="2027">
        <f t="shared" si="86"/>
        <v>224.04063481200001</v>
      </c>
      <c r="N174" s="2027">
        <f t="shared" si="86"/>
        <v>224.04063481200001</v>
      </c>
      <c r="O174" s="2027">
        <f t="shared" si="86"/>
        <v>224.04063481200001</v>
      </c>
      <c r="P174" s="2027">
        <f t="shared" si="75"/>
        <v>224.04063481200001</v>
      </c>
      <c r="Q174" s="2026">
        <v>0.83099999999999996</v>
      </c>
      <c r="R174" s="2026">
        <v>0.83099999999999996</v>
      </c>
      <c r="S174" s="2026">
        <v>0.83099999999999996</v>
      </c>
      <c r="T174" s="2026">
        <v>0.83099999999999996</v>
      </c>
      <c r="U174" s="2028">
        <f t="shared" si="87"/>
        <v>0.175796388</v>
      </c>
      <c r="V174" s="2028">
        <f t="shared" si="87"/>
        <v>0.175796388</v>
      </c>
      <c r="W174" s="2028">
        <f t="shared" si="87"/>
        <v>0.175796388</v>
      </c>
      <c r="X174" s="2028">
        <f t="shared" si="76"/>
        <v>0.175796388</v>
      </c>
      <c r="Y174" s="2026">
        <v>0.83099999999999996</v>
      </c>
      <c r="Z174" s="2026">
        <v>0.83099999999999996</v>
      </c>
      <c r="AA174" s="2026">
        <v>0.83099999999999996</v>
      </c>
      <c r="AB174" s="2026">
        <v>0.83099999999999996</v>
      </c>
      <c r="AC174" s="2027">
        <f>$F174*Y174</f>
        <v>-4.5219210695999994</v>
      </c>
      <c r="AD174" s="2027">
        <f>$F174*Z174</f>
        <v>-4.5219210695999994</v>
      </c>
      <c r="AE174" s="2027">
        <f>$F174*AA174</f>
        <v>-4.5219210695999994</v>
      </c>
      <c r="AF174" s="2027">
        <f>$F174*AB174</f>
        <v>-4.5219210695999994</v>
      </c>
      <c r="AG174" s="2027">
        <v>1</v>
      </c>
      <c r="AH174" s="2027">
        <v>2</v>
      </c>
      <c r="AI174" s="2027">
        <v>2</v>
      </c>
      <c r="AJ174" s="2027">
        <v>2</v>
      </c>
      <c r="AK174" s="2027">
        <f>AG174*M174</f>
        <v>224.04063481200001</v>
      </c>
      <c r="AL174" s="2027">
        <f t="shared" si="97"/>
        <v>448.08126962400002</v>
      </c>
      <c r="AM174" s="2027">
        <f t="shared" si="97"/>
        <v>448.08126962400002</v>
      </c>
      <c r="AN174" s="2027">
        <f t="shared" si="97"/>
        <v>448.08126962400002</v>
      </c>
      <c r="AO174" s="2027">
        <f>AG174*AC174</f>
        <v>-4.5219210695999994</v>
      </c>
      <c r="AP174" s="2027">
        <f t="shared" si="98"/>
        <v>-9.0438421391999988</v>
      </c>
      <c r="AQ174" s="2027">
        <f t="shared" si="98"/>
        <v>-9.0438421391999988</v>
      </c>
      <c r="AR174" s="2027">
        <f t="shared" si="98"/>
        <v>-9.0438421391999988</v>
      </c>
      <c r="AS174" s="2029">
        <v>25</v>
      </c>
      <c r="AT174" s="2029">
        <f t="shared" si="77"/>
        <v>25</v>
      </c>
      <c r="AU174" s="2029">
        <f t="shared" si="77"/>
        <v>25</v>
      </c>
      <c r="AV174" s="2029">
        <f t="shared" si="77"/>
        <v>25</v>
      </c>
      <c r="AW174" s="1974">
        <v>0</v>
      </c>
      <c r="AX174" s="2029">
        <f t="shared" si="95"/>
        <v>0</v>
      </c>
      <c r="AY174" s="2029">
        <f t="shared" si="95"/>
        <v>0</v>
      </c>
      <c r="AZ174" s="2029">
        <f t="shared" si="95"/>
        <v>0</v>
      </c>
      <c r="BA174" s="2029">
        <v>51</v>
      </c>
      <c r="BB174" s="2029">
        <f t="shared" si="96"/>
        <v>51</v>
      </c>
      <c r="BC174" s="2029">
        <f t="shared" si="96"/>
        <v>51</v>
      </c>
      <c r="BD174" s="2029">
        <f t="shared" si="96"/>
        <v>51</v>
      </c>
      <c r="BE174" s="2030">
        <f t="shared" si="80"/>
        <v>25</v>
      </c>
      <c r="BF174" s="2030">
        <f t="shared" si="80"/>
        <v>50</v>
      </c>
      <c r="BG174" s="2030">
        <f t="shared" si="80"/>
        <v>50</v>
      </c>
      <c r="BH174" s="2030">
        <f t="shared" si="73"/>
        <v>50</v>
      </c>
      <c r="BI174" s="2030">
        <f t="shared" si="81"/>
        <v>0</v>
      </c>
      <c r="BJ174" s="2030">
        <f t="shared" si="81"/>
        <v>0</v>
      </c>
      <c r="BK174" s="2030">
        <f t="shared" si="81"/>
        <v>0</v>
      </c>
      <c r="BL174" s="2030">
        <f t="shared" si="81"/>
        <v>0</v>
      </c>
      <c r="BM174" s="2031"/>
      <c r="BN174" s="2031"/>
      <c r="BO174" s="2031"/>
      <c r="BP174" s="2031"/>
      <c r="BQ174" s="2031"/>
      <c r="BR174" s="2031"/>
      <c r="BS174" s="2031"/>
      <c r="BT174" s="2031"/>
      <c r="BU174" s="2029"/>
      <c r="BV174" s="2029"/>
      <c r="BW174" s="2029"/>
      <c r="BX174" s="2029"/>
      <c r="BY174" s="2029"/>
      <c r="BZ174" s="2032"/>
      <c r="CA174" s="1974"/>
      <c r="CB174" s="1974"/>
      <c r="CC174" s="1974"/>
      <c r="CD174" s="1974"/>
      <c r="CE174" s="1974">
        <v>0</v>
      </c>
      <c r="CF174" s="2033">
        <v>9.3656530995830725E-7</v>
      </c>
      <c r="CG174" s="2026">
        <v>-1.6870402561148676E-6</v>
      </c>
      <c r="CH174" s="2009">
        <v>0</v>
      </c>
      <c r="CI174" s="2029">
        <v>0</v>
      </c>
      <c r="CK174" s="2029">
        <f t="shared" si="82"/>
        <v>0</v>
      </c>
      <c r="CL174" s="2034">
        <v>1</v>
      </c>
      <c r="CM174" s="2034">
        <v>1</v>
      </c>
      <c r="CN174" s="2034">
        <v>1</v>
      </c>
      <c r="CO174" s="2034">
        <v>1</v>
      </c>
      <c r="CP174" s="2035"/>
      <c r="CQ174" s="2036"/>
      <c r="CR174" s="2036"/>
      <c r="CS174" s="2049"/>
      <c r="CT174" s="2049"/>
      <c r="CU174" s="2049"/>
      <c r="CW174" s="1973">
        <v>0</v>
      </c>
      <c r="CX174" s="2037">
        <v>25</v>
      </c>
      <c r="CY174" s="2037">
        <v>25</v>
      </c>
      <c r="CZ174" s="2037">
        <v>25</v>
      </c>
      <c r="DA174" s="2037">
        <v>25</v>
      </c>
      <c r="DJ174" s="1976">
        <v>25</v>
      </c>
      <c r="DK174" s="1973">
        <v>25</v>
      </c>
      <c r="DL174" s="1973">
        <v>25</v>
      </c>
      <c r="DM174" s="1973">
        <v>25</v>
      </c>
      <c r="DO174" s="2023">
        <v>8</v>
      </c>
      <c r="DP174" s="2024">
        <v>269.60365200000001</v>
      </c>
      <c r="DQ174" s="2024">
        <v>0.21154800000000001</v>
      </c>
      <c r="DR174" s="2023">
        <v>-5.4415415999999999</v>
      </c>
      <c r="DS174" s="2029">
        <v>25</v>
      </c>
      <c r="DT174" s="2029">
        <v>25</v>
      </c>
      <c r="DU174" s="2029">
        <v>25</v>
      </c>
      <c r="DV174" s="2029">
        <v>25</v>
      </c>
      <c r="DW174" s="1974">
        <v>0</v>
      </c>
      <c r="DX174" s="2029">
        <v>0</v>
      </c>
      <c r="DY174" s="2029">
        <v>0</v>
      </c>
      <c r="DZ174" s="2029">
        <v>0</v>
      </c>
      <c r="EA174" s="2029">
        <v>51</v>
      </c>
      <c r="EB174" s="2029">
        <v>51</v>
      </c>
      <c r="EC174" s="2029">
        <v>51</v>
      </c>
      <c r="ED174" s="2029">
        <v>51</v>
      </c>
      <c r="EE174" s="2039">
        <f t="shared" si="83"/>
        <v>0</v>
      </c>
      <c r="EF174" s="2039">
        <f t="shared" si="83"/>
        <v>0</v>
      </c>
      <c r="EG174" s="2039">
        <f t="shared" si="83"/>
        <v>0</v>
      </c>
      <c r="EH174" s="2039">
        <f t="shared" si="74"/>
        <v>0</v>
      </c>
      <c r="EI174" s="2040">
        <f t="shared" si="70"/>
        <v>0</v>
      </c>
      <c r="EJ174" s="2040">
        <f t="shared" si="70"/>
        <v>0</v>
      </c>
      <c r="EK174" s="2040">
        <f t="shared" si="70"/>
        <v>0</v>
      </c>
      <c r="EL174" s="2040">
        <f t="shared" si="70"/>
        <v>0</v>
      </c>
      <c r="EM174" s="2040">
        <f t="shared" si="70"/>
        <v>0</v>
      </c>
      <c r="EN174" s="2040">
        <f t="shared" si="70"/>
        <v>0</v>
      </c>
      <c r="EO174" s="2040">
        <f t="shared" si="99"/>
        <v>0</v>
      </c>
      <c r="EP174" s="2040">
        <f t="shared" si="99"/>
        <v>0</v>
      </c>
      <c r="EQ174" s="2040">
        <f t="shared" si="99"/>
        <v>0</v>
      </c>
      <c r="ER174" s="2040">
        <f t="shared" si="72"/>
        <v>0</v>
      </c>
      <c r="ES174" s="2040">
        <f t="shared" si="72"/>
        <v>0</v>
      </c>
      <c r="ET174" s="2040">
        <f t="shared" si="72"/>
        <v>0</v>
      </c>
      <c r="EU174" s="2039">
        <f t="shared" si="84"/>
        <v>0</v>
      </c>
      <c r="EV174" s="2039">
        <f t="shared" si="85"/>
        <v>0</v>
      </c>
    </row>
    <row r="175" spans="1:152" x14ac:dyDescent="0.25">
      <c r="A175" s="2041" t="s">
        <v>185</v>
      </c>
      <c r="B175" s="2022" t="s">
        <v>2961</v>
      </c>
      <c r="C175" s="2023">
        <v>5</v>
      </c>
      <c r="D175" s="2024">
        <v>1613</v>
      </c>
      <c r="E175" s="2024">
        <v>0.4</v>
      </c>
      <c r="F175" s="2023">
        <v>0</v>
      </c>
      <c r="G175" s="2026" t="s">
        <v>2960</v>
      </c>
      <c r="H175" s="2026" t="s">
        <v>2960</v>
      </c>
      <c r="I175" s="2026">
        <v>0.83099999999999996</v>
      </c>
      <c r="J175" s="2026">
        <v>0.83099999999999996</v>
      </c>
      <c r="K175" s="2026">
        <v>0.83099999999999996</v>
      </c>
      <c r="L175" s="2026">
        <v>0.83099999999999996</v>
      </c>
      <c r="M175" s="2027">
        <f t="shared" si="86"/>
        <v>1340.403</v>
      </c>
      <c r="N175" s="2027">
        <f t="shared" si="86"/>
        <v>1340.403</v>
      </c>
      <c r="O175" s="2027">
        <f t="shared" si="86"/>
        <v>1340.403</v>
      </c>
      <c r="P175" s="2027">
        <f t="shared" si="75"/>
        <v>1340.403</v>
      </c>
      <c r="Q175" s="2026">
        <v>0.83099999999999996</v>
      </c>
      <c r="R175" s="2026">
        <v>0.83099999999999996</v>
      </c>
      <c r="S175" s="2026">
        <v>0.83099999999999996</v>
      </c>
      <c r="T175" s="2026">
        <v>0.83099999999999996</v>
      </c>
      <c r="U175" s="2028">
        <f t="shared" si="87"/>
        <v>0.33240000000000003</v>
      </c>
      <c r="V175" s="2028">
        <f t="shared" si="87"/>
        <v>0.33240000000000003</v>
      </c>
      <c r="W175" s="2028">
        <f t="shared" si="87"/>
        <v>0.33240000000000003</v>
      </c>
      <c r="X175" s="2028">
        <f t="shared" si="76"/>
        <v>0.33240000000000003</v>
      </c>
      <c r="Y175" s="2026">
        <v>0.83099999999999996</v>
      </c>
      <c r="Z175" s="2026">
        <v>0.83099999999999996</v>
      </c>
      <c r="AA175" s="2026">
        <v>0.83099999999999996</v>
      </c>
      <c r="AB175" s="2026">
        <v>0.83099999999999996</v>
      </c>
      <c r="AC175" s="2027">
        <f t="shared" ref="AC175:AF198" si="100">$F175*Y175</f>
        <v>0</v>
      </c>
      <c r="AD175" s="2027">
        <f t="shared" si="100"/>
        <v>0</v>
      </c>
      <c r="AE175" s="2027">
        <f t="shared" si="100"/>
        <v>0</v>
      </c>
      <c r="AF175" s="2027">
        <f t="shared" si="100"/>
        <v>0</v>
      </c>
      <c r="AG175" s="2027">
        <v>1</v>
      </c>
      <c r="AH175" s="2027">
        <v>2</v>
      </c>
      <c r="AI175" s="2027">
        <v>2</v>
      </c>
      <c r="AJ175" s="2027">
        <v>2</v>
      </c>
      <c r="AK175" s="2027">
        <f t="shared" ref="AK175:AK198" si="101">AG175*M175</f>
        <v>1340.403</v>
      </c>
      <c r="AL175" s="2027">
        <f t="shared" si="97"/>
        <v>2680.806</v>
      </c>
      <c r="AM175" s="2027">
        <f t="shared" si="97"/>
        <v>2680.806</v>
      </c>
      <c r="AN175" s="2027">
        <f t="shared" si="97"/>
        <v>2680.806</v>
      </c>
      <c r="AO175" s="2027">
        <f t="shared" ref="AO175:AO198" si="102">AG175*AC175</f>
        <v>0</v>
      </c>
      <c r="AP175" s="2027">
        <f t="shared" si="98"/>
        <v>0</v>
      </c>
      <c r="AQ175" s="2027">
        <f t="shared" si="98"/>
        <v>0</v>
      </c>
      <c r="AR175" s="2027">
        <f t="shared" si="98"/>
        <v>0</v>
      </c>
      <c r="AS175" s="2029">
        <v>100</v>
      </c>
      <c r="AT175" s="2029">
        <f t="shared" si="77"/>
        <v>100</v>
      </c>
      <c r="AU175" s="2029">
        <f t="shared" si="77"/>
        <v>100</v>
      </c>
      <c r="AV175" s="2029">
        <f t="shared" si="77"/>
        <v>100</v>
      </c>
      <c r="AW175" s="1974"/>
      <c r="AX175" s="2029">
        <f t="shared" si="95"/>
        <v>0</v>
      </c>
      <c r="AY175" s="2029">
        <f t="shared" si="95"/>
        <v>0</v>
      </c>
      <c r="AZ175" s="2029">
        <f t="shared" si="95"/>
        <v>0</v>
      </c>
      <c r="BA175" s="2029">
        <v>180</v>
      </c>
      <c r="BB175" s="2029">
        <f t="shared" si="96"/>
        <v>180</v>
      </c>
      <c r="BC175" s="2029">
        <f t="shared" si="96"/>
        <v>180</v>
      </c>
      <c r="BD175" s="2029">
        <f t="shared" si="96"/>
        <v>180</v>
      </c>
      <c r="BE175" s="2030">
        <f t="shared" si="80"/>
        <v>100</v>
      </c>
      <c r="BF175" s="2030">
        <f t="shared" si="80"/>
        <v>200</v>
      </c>
      <c r="BG175" s="2030">
        <f t="shared" si="80"/>
        <v>200</v>
      </c>
      <c r="BH175" s="2030">
        <f t="shared" si="73"/>
        <v>200</v>
      </c>
      <c r="BI175" s="2030">
        <f t="shared" si="81"/>
        <v>0</v>
      </c>
      <c r="BJ175" s="2030">
        <f t="shared" si="81"/>
        <v>0</v>
      </c>
      <c r="BK175" s="2030">
        <f t="shared" si="81"/>
        <v>0</v>
      </c>
      <c r="BL175" s="2030">
        <f t="shared" si="81"/>
        <v>0</v>
      </c>
      <c r="BM175" s="2031"/>
      <c r="BN175" s="2031"/>
      <c r="BO175" s="2031"/>
      <c r="BP175" s="2031"/>
      <c r="BQ175" s="2031"/>
      <c r="BR175" s="2031"/>
      <c r="BS175" s="2031"/>
      <c r="BT175" s="2031"/>
      <c r="BU175" s="2029"/>
      <c r="BV175" s="2029"/>
      <c r="BW175" s="2029"/>
      <c r="BX175" s="2029"/>
      <c r="BY175" s="2029"/>
      <c r="BZ175" s="2032"/>
      <c r="CA175" s="1974"/>
      <c r="CB175" s="1974"/>
      <c r="CC175" s="1974"/>
      <c r="CD175" s="1974"/>
      <c r="CE175" s="1974">
        <v>0</v>
      </c>
      <c r="CF175" s="2033">
        <v>5.6033359850880268E-6</v>
      </c>
      <c r="CG175" s="2026">
        <v>0</v>
      </c>
      <c r="CH175" s="2009">
        <v>0</v>
      </c>
      <c r="CI175" s="2029">
        <v>0</v>
      </c>
      <c r="CK175" s="2029">
        <f t="shared" si="82"/>
        <v>0</v>
      </c>
      <c r="CL175" s="2034">
        <v>1</v>
      </c>
      <c r="CM175" s="2034">
        <v>1</v>
      </c>
      <c r="CN175" s="2034">
        <v>1</v>
      </c>
      <c r="CO175" s="2034">
        <v>1</v>
      </c>
      <c r="CP175" s="2035"/>
      <c r="CQ175" s="2036"/>
      <c r="CR175" s="2036"/>
      <c r="CS175" s="2049"/>
      <c r="CT175" s="2049"/>
      <c r="CU175" s="2049"/>
      <c r="CW175" s="1973">
        <v>0</v>
      </c>
      <c r="CX175" s="2037">
        <v>100</v>
      </c>
      <c r="CY175" s="2037">
        <v>100</v>
      </c>
      <c r="CZ175" s="2037">
        <v>100</v>
      </c>
      <c r="DA175" s="2037">
        <v>100</v>
      </c>
      <c r="DJ175" s="1976">
        <v>100</v>
      </c>
      <c r="DK175" s="1973">
        <v>100</v>
      </c>
      <c r="DL175" s="1973">
        <v>100</v>
      </c>
      <c r="DM175" s="1973">
        <v>100</v>
      </c>
      <c r="DO175" s="2023">
        <v>5</v>
      </c>
      <c r="DP175" s="2024">
        <v>1613</v>
      </c>
      <c r="DQ175" s="2024">
        <v>0.4</v>
      </c>
      <c r="DR175" s="2023">
        <v>0</v>
      </c>
      <c r="DS175" s="2029">
        <v>100</v>
      </c>
      <c r="DT175" s="2029">
        <v>100</v>
      </c>
      <c r="DU175" s="2029">
        <v>100</v>
      </c>
      <c r="DV175" s="2029">
        <v>100</v>
      </c>
      <c r="DW175" s="1974"/>
      <c r="DX175" s="2029">
        <v>0</v>
      </c>
      <c r="DY175" s="2029">
        <v>0</v>
      </c>
      <c r="DZ175" s="2029">
        <v>0</v>
      </c>
      <c r="EA175" s="2029">
        <v>180</v>
      </c>
      <c r="EB175" s="2029">
        <v>180</v>
      </c>
      <c r="EC175" s="2029">
        <v>180</v>
      </c>
      <c r="ED175" s="2029">
        <v>180</v>
      </c>
      <c r="EE175" s="2039">
        <f t="shared" si="83"/>
        <v>0</v>
      </c>
      <c r="EF175" s="2039">
        <f t="shared" si="83"/>
        <v>0</v>
      </c>
      <c r="EG175" s="2039">
        <f t="shared" si="83"/>
        <v>0</v>
      </c>
      <c r="EH175" s="2039">
        <f t="shared" si="74"/>
        <v>0</v>
      </c>
      <c r="EI175" s="2040">
        <f t="shared" si="70"/>
        <v>0</v>
      </c>
      <c r="EJ175" s="2040">
        <f t="shared" si="70"/>
        <v>0</v>
      </c>
      <c r="EK175" s="2040">
        <f t="shared" si="70"/>
        <v>0</v>
      </c>
      <c r="EL175" s="2040">
        <f t="shared" si="70"/>
        <v>0</v>
      </c>
      <c r="EM175" s="2040">
        <f t="shared" si="70"/>
        <v>0</v>
      </c>
      <c r="EN175" s="2040">
        <f t="shared" si="70"/>
        <v>0</v>
      </c>
      <c r="EO175" s="2040">
        <f t="shared" si="99"/>
        <v>0</v>
      </c>
      <c r="EP175" s="2040">
        <f t="shared" si="99"/>
        <v>0</v>
      </c>
      <c r="EQ175" s="2040">
        <f t="shared" si="99"/>
        <v>0</v>
      </c>
      <c r="ER175" s="2040">
        <f t="shared" si="72"/>
        <v>0</v>
      </c>
      <c r="ES175" s="2040">
        <f t="shared" si="72"/>
        <v>0</v>
      </c>
      <c r="ET175" s="2040">
        <f t="shared" si="72"/>
        <v>0</v>
      </c>
      <c r="EU175" s="2039">
        <f t="shared" si="84"/>
        <v>0</v>
      </c>
      <c r="EV175" s="2039">
        <f t="shared" si="85"/>
        <v>0</v>
      </c>
    </row>
    <row r="176" spans="1:152" x14ac:dyDescent="0.25">
      <c r="A176" s="2041" t="s">
        <v>186</v>
      </c>
      <c r="B176" s="2022" t="s">
        <v>2961</v>
      </c>
      <c r="C176" s="2023">
        <v>5</v>
      </c>
      <c r="D176" s="2024">
        <v>1613</v>
      </c>
      <c r="E176" s="2024">
        <v>0.4</v>
      </c>
      <c r="F176" s="2023">
        <v>0</v>
      </c>
      <c r="G176" s="2026" t="s">
        <v>2960</v>
      </c>
      <c r="H176" s="2026" t="s">
        <v>2960</v>
      </c>
      <c r="I176" s="2026">
        <v>0.83099999999999996</v>
      </c>
      <c r="J176" s="2026">
        <v>0.83099999999999996</v>
      </c>
      <c r="K176" s="2026">
        <v>0.83099999999999996</v>
      </c>
      <c r="L176" s="2026">
        <v>0.83099999999999996</v>
      </c>
      <c r="M176" s="2027">
        <f t="shared" si="86"/>
        <v>1340.403</v>
      </c>
      <c r="N176" s="2027">
        <f t="shared" si="86"/>
        <v>1340.403</v>
      </c>
      <c r="O176" s="2027">
        <f t="shared" si="86"/>
        <v>1340.403</v>
      </c>
      <c r="P176" s="2027">
        <f t="shared" si="75"/>
        <v>1340.403</v>
      </c>
      <c r="Q176" s="2026">
        <v>0.83099999999999996</v>
      </c>
      <c r="R176" s="2026">
        <v>0.83099999999999996</v>
      </c>
      <c r="S176" s="2026">
        <v>0.83099999999999996</v>
      </c>
      <c r="T176" s="2026">
        <v>0.83099999999999996</v>
      </c>
      <c r="U176" s="2028">
        <f t="shared" si="87"/>
        <v>0.33240000000000003</v>
      </c>
      <c r="V176" s="2028">
        <f t="shared" si="87"/>
        <v>0.33240000000000003</v>
      </c>
      <c r="W176" s="2028">
        <f t="shared" si="87"/>
        <v>0.33240000000000003</v>
      </c>
      <c r="X176" s="2028">
        <f t="shared" si="76"/>
        <v>0.33240000000000003</v>
      </c>
      <c r="Y176" s="2026">
        <v>0.83099999999999996</v>
      </c>
      <c r="Z176" s="2026">
        <v>0.83099999999999996</v>
      </c>
      <c r="AA176" s="2026">
        <v>0.83099999999999996</v>
      </c>
      <c r="AB176" s="2026">
        <v>0.83099999999999996</v>
      </c>
      <c r="AC176" s="2027">
        <f t="shared" si="100"/>
        <v>0</v>
      </c>
      <c r="AD176" s="2027">
        <f t="shared" si="100"/>
        <v>0</v>
      </c>
      <c r="AE176" s="2027">
        <f t="shared" si="100"/>
        <v>0</v>
      </c>
      <c r="AF176" s="2027">
        <f t="shared" si="100"/>
        <v>0</v>
      </c>
      <c r="AG176" s="2027">
        <v>1</v>
      </c>
      <c r="AH176" s="2027">
        <v>2</v>
      </c>
      <c r="AI176" s="2027">
        <v>2</v>
      </c>
      <c r="AJ176" s="2027">
        <v>2</v>
      </c>
      <c r="AK176" s="2027">
        <f t="shared" si="101"/>
        <v>1340.403</v>
      </c>
      <c r="AL176" s="2027">
        <f t="shared" si="97"/>
        <v>2680.806</v>
      </c>
      <c r="AM176" s="2027">
        <f t="shared" si="97"/>
        <v>2680.806</v>
      </c>
      <c r="AN176" s="2027">
        <f t="shared" si="97"/>
        <v>2680.806</v>
      </c>
      <c r="AO176" s="2027">
        <f t="shared" si="102"/>
        <v>0</v>
      </c>
      <c r="AP176" s="2027">
        <f t="shared" si="98"/>
        <v>0</v>
      </c>
      <c r="AQ176" s="2027">
        <f t="shared" si="98"/>
        <v>0</v>
      </c>
      <c r="AR176" s="2027">
        <f t="shared" si="98"/>
        <v>0</v>
      </c>
      <c r="AS176" s="2029">
        <v>100</v>
      </c>
      <c r="AT176" s="2029">
        <f t="shared" si="77"/>
        <v>100</v>
      </c>
      <c r="AU176" s="2029">
        <f t="shared" si="77"/>
        <v>100</v>
      </c>
      <c r="AV176" s="2029">
        <f t="shared" si="77"/>
        <v>100</v>
      </c>
      <c r="AW176" s="1974"/>
      <c r="AX176" s="2029">
        <f t="shared" si="95"/>
        <v>0</v>
      </c>
      <c r="AY176" s="2029">
        <f t="shared" si="95"/>
        <v>0</v>
      </c>
      <c r="AZ176" s="2029">
        <f t="shared" si="95"/>
        <v>0</v>
      </c>
      <c r="BA176" s="2029">
        <v>180</v>
      </c>
      <c r="BB176" s="2029">
        <f t="shared" si="96"/>
        <v>180</v>
      </c>
      <c r="BC176" s="2029">
        <f t="shared" si="96"/>
        <v>180</v>
      </c>
      <c r="BD176" s="2029">
        <f t="shared" si="96"/>
        <v>180</v>
      </c>
      <c r="BE176" s="2030">
        <f t="shared" si="80"/>
        <v>100</v>
      </c>
      <c r="BF176" s="2030">
        <f t="shared" si="80"/>
        <v>200</v>
      </c>
      <c r="BG176" s="2030">
        <f t="shared" si="80"/>
        <v>200</v>
      </c>
      <c r="BH176" s="2030">
        <f t="shared" si="73"/>
        <v>200</v>
      </c>
      <c r="BI176" s="2030">
        <f t="shared" si="81"/>
        <v>0</v>
      </c>
      <c r="BJ176" s="2030">
        <f t="shared" si="81"/>
        <v>0</v>
      </c>
      <c r="BK176" s="2030">
        <f t="shared" si="81"/>
        <v>0</v>
      </c>
      <c r="BL176" s="2030">
        <f t="shared" si="81"/>
        <v>0</v>
      </c>
      <c r="BM176" s="2031"/>
      <c r="BN176" s="2031"/>
      <c r="BO176" s="2031"/>
      <c r="BP176" s="2031"/>
      <c r="BQ176" s="2031"/>
      <c r="BR176" s="2031"/>
      <c r="BS176" s="2031"/>
      <c r="BT176" s="2031"/>
      <c r="BU176" s="2029"/>
      <c r="BV176" s="2029"/>
      <c r="BW176" s="2029"/>
      <c r="BX176" s="2029"/>
      <c r="BY176" s="2029"/>
      <c r="BZ176" s="2032"/>
      <c r="CA176" s="1974"/>
      <c r="CB176" s="1974"/>
      <c r="CC176" s="1974"/>
      <c r="CD176" s="1974"/>
      <c r="CE176" s="1974">
        <v>0</v>
      </c>
      <c r="CF176" s="2033">
        <v>5.6033359850880268E-6</v>
      </c>
      <c r="CG176" s="2026">
        <v>0</v>
      </c>
      <c r="CH176" s="2009">
        <v>0</v>
      </c>
      <c r="CI176" s="2029">
        <v>0</v>
      </c>
      <c r="CK176" s="2029">
        <f t="shared" si="82"/>
        <v>0</v>
      </c>
      <c r="CL176" s="2034">
        <v>1</v>
      </c>
      <c r="CM176" s="2034">
        <v>1</v>
      </c>
      <c r="CN176" s="2034">
        <v>1</v>
      </c>
      <c r="CO176" s="2034">
        <v>1</v>
      </c>
      <c r="CP176" s="2035"/>
      <c r="CQ176" s="2036"/>
      <c r="CR176" s="2036"/>
      <c r="CS176" s="2049"/>
      <c r="CT176" s="2049"/>
      <c r="CU176" s="2049"/>
      <c r="CW176" s="1973">
        <v>0</v>
      </c>
      <c r="CX176" s="2037">
        <v>100</v>
      </c>
      <c r="CY176" s="2037">
        <v>100</v>
      </c>
      <c r="CZ176" s="2037">
        <v>100</v>
      </c>
      <c r="DA176" s="2037">
        <v>100</v>
      </c>
      <c r="DJ176" s="1976">
        <v>100</v>
      </c>
      <c r="DK176" s="1973">
        <v>100</v>
      </c>
      <c r="DL176" s="1973">
        <v>100</v>
      </c>
      <c r="DM176" s="1973">
        <v>100</v>
      </c>
      <c r="DO176" s="2023">
        <v>5</v>
      </c>
      <c r="DP176" s="2024">
        <v>1613</v>
      </c>
      <c r="DQ176" s="2024">
        <v>0.4</v>
      </c>
      <c r="DR176" s="2023">
        <v>0</v>
      </c>
      <c r="DS176" s="2029">
        <v>100</v>
      </c>
      <c r="DT176" s="2029">
        <v>100</v>
      </c>
      <c r="DU176" s="2029">
        <v>100</v>
      </c>
      <c r="DV176" s="2029">
        <v>100</v>
      </c>
      <c r="DW176" s="1974"/>
      <c r="DX176" s="2029">
        <v>0</v>
      </c>
      <c r="DY176" s="2029">
        <v>0</v>
      </c>
      <c r="DZ176" s="2029">
        <v>0</v>
      </c>
      <c r="EA176" s="2029">
        <v>180</v>
      </c>
      <c r="EB176" s="2029">
        <v>180</v>
      </c>
      <c r="EC176" s="2029">
        <v>180</v>
      </c>
      <c r="ED176" s="2029">
        <v>180</v>
      </c>
      <c r="EE176" s="2039">
        <f t="shared" si="83"/>
        <v>0</v>
      </c>
      <c r="EF176" s="2039">
        <f t="shared" si="83"/>
        <v>0</v>
      </c>
      <c r="EG176" s="2039">
        <f t="shared" si="83"/>
        <v>0</v>
      </c>
      <c r="EH176" s="2039">
        <f t="shared" si="74"/>
        <v>0</v>
      </c>
      <c r="EI176" s="2040">
        <f t="shared" si="70"/>
        <v>0</v>
      </c>
      <c r="EJ176" s="2040">
        <f t="shared" si="70"/>
        <v>0</v>
      </c>
      <c r="EK176" s="2040">
        <f t="shared" si="70"/>
        <v>0</v>
      </c>
      <c r="EL176" s="2040">
        <f t="shared" si="70"/>
        <v>0</v>
      </c>
      <c r="EM176" s="2040">
        <f t="shared" si="70"/>
        <v>0</v>
      </c>
      <c r="EN176" s="2040">
        <f t="shared" si="70"/>
        <v>0</v>
      </c>
      <c r="EO176" s="2040">
        <f t="shared" si="99"/>
        <v>0</v>
      </c>
      <c r="EP176" s="2040">
        <f t="shared" si="99"/>
        <v>0</v>
      </c>
      <c r="EQ176" s="2040">
        <f t="shared" si="99"/>
        <v>0</v>
      </c>
      <c r="ER176" s="2040">
        <f t="shared" si="72"/>
        <v>0</v>
      </c>
      <c r="ES176" s="2040">
        <f t="shared" si="72"/>
        <v>0</v>
      </c>
      <c r="ET176" s="2040">
        <f t="shared" si="72"/>
        <v>0</v>
      </c>
      <c r="EU176" s="2039">
        <f t="shared" si="84"/>
        <v>0</v>
      </c>
      <c r="EV176" s="2039">
        <f t="shared" si="85"/>
        <v>0</v>
      </c>
    </row>
    <row r="177" spans="1:152" x14ac:dyDescent="0.25">
      <c r="A177" s="2041" t="s">
        <v>187</v>
      </c>
      <c r="B177" s="2022" t="s">
        <v>2961</v>
      </c>
      <c r="C177" s="2023">
        <v>5</v>
      </c>
      <c r="D177" s="2024">
        <v>1613</v>
      </c>
      <c r="E177" s="2024">
        <v>0.4</v>
      </c>
      <c r="F177" s="2023">
        <v>0</v>
      </c>
      <c r="G177" s="2026" t="s">
        <v>2960</v>
      </c>
      <c r="H177" s="2026" t="s">
        <v>2960</v>
      </c>
      <c r="I177" s="2026">
        <v>0.83099999999999996</v>
      </c>
      <c r="J177" s="2026">
        <v>0.83099999999999996</v>
      </c>
      <c r="K177" s="2026">
        <v>0.83099999999999996</v>
      </c>
      <c r="L177" s="2026">
        <v>0.83099999999999996</v>
      </c>
      <c r="M177" s="2027">
        <f t="shared" si="86"/>
        <v>1340.403</v>
      </c>
      <c r="N177" s="2027">
        <f t="shared" si="86"/>
        <v>1340.403</v>
      </c>
      <c r="O177" s="2027">
        <f t="shared" si="86"/>
        <v>1340.403</v>
      </c>
      <c r="P177" s="2027">
        <f t="shared" si="75"/>
        <v>1340.403</v>
      </c>
      <c r="Q177" s="2026">
        <v>0.83099999999999996</v>
      </c>
      <c r="R177" s="2026">
        <v>0.83099999999999996</v>
      </c>
      <c r="S177" s="2026">
        <v>0.83099999999999996</v>
      </c>
      <c r="T177" s="2026">
        <v>0.83099999999999996</v>
      </c>
      <c r="U177" s="2028">
        <f t="shared" si="87"/>
        <v>0.33240000000000003</v>
      </c>
      <c r="V177" s="2028">
        <f t="shared" si="87"/>
        <v>0.33240000000000003</v>
      </c>
      <c r="W177" s="2028">
        <f t="shared" si="87"/>
        <v>0.33240000000000003</v>
      </c>
      <c r="X177" s="2028">
        <f t="shared" si="76"/>
        <v>0.33240000000000003</v>
      </c>
      <c r="Y177" s="2026">
        <v>0.83099999999999996</v>
      </c>
      <c r="Z177" s="2026">
        <v>0.83099999999999996</v>
      </c>
      <c r="AA177" s="2026">
        <v>0.83099999999999996</v>
      </c>
      <c r="AB177" s="2026">
        <v>0.83099999999999996</v>
      </c>
      <c r="AC177" s="2027">
        <f t="shared" si="100"/>
        <v>0</v>
      </c>
      <c r="AD177" s="2027">
        <f t="shared" si="100"/>
        <v>0</v>
      </c>
      <c r="AE177" s="2027">
        <f t="shared" si="100"/>
        <v>0</v>
      </c>
      <c r="AF177" s="2027">
        <f t="shared" si="100"/>
        <v>0</v>
      </c>
      <c r="AG177" s="2027">
        <v>1</v>
      </c>
      <c r="AH177" s="2027">
        <v>2</v>
      </c>
      <c r="AI177" s="2027">
        <v>2</v>
      </c>
      <c r="AJ177" s="2027">
        <v>2</v>
      </c>
      <c r="AK177" s="2027">
        <f t="shared" si="101"/>
        <v>1340.403</v>
      </c>
      <c r="AL177" s="2027">
        <f t="shared" si="97"/>
        <v>2680.806</v>
      </c>
      <c r="AM177" s="2027">
        <f t="shared" si="97"/>
        <v>2680.806</v>
      </c>
      <c r="AN177" s="2027">
        <f t="shared" si="97"/>
        <v>2680.806</v>
      </c>
      <c r="AO177" s="2027">
        <f t="shared" si="102"/>
        <v>0</v>
      </c>
      <c r="AP177" s="2027">
        <f t="shared" si="98"/>
        <v>0</v>
      </c>
      <c r="AQ177" s="2027">
        <f t="shared" si="98"/>
        <v>0</v>
      </c>
      <c r="AR177" s="2027">
        <f t="shared" si="98"/>
        <v>0</v>
      </c>
      <c r="AS177" s="2029">
        <v>100</v>
      </c>
      <c r="AT177" s="2029">
        <f t="shared" si="77"/>
        <v>100</v>
      </c>
      <c r="AU177" s="2029">
        <f t="shared" si="77"/>
        <v>100</v>
      </c>
      <c r="AV177" s="2029">
        <f t="shared" si="77"/>
        <v>100</v>
      </c>
      <c r="AW177" s="1974"/>
      <c r="AX177" s="2029">
        <f t="shared" si="95"/>
        <v>0</v>
      </c>
      <c r="AY177" s="2029">
        <f t="shared" si="95"/>
        <v>0</v>
      </c>
      <c r="AZ177" s="2029">
        <f t="shared" si="95"/>
        <v>0</v>
      </c>
      <c r="BA177" s="2029">
        <v>180</v>
      </c>
      <c r="BB177" s="2029">
        <f t="shared" si="96"/>
        <v>180</v>
      </c>
      <c r="BC177" s="2029">
        <f t="shared" si="96"/>
        <v>180</v>
      </c>
      <c r="BD177" s="2029">
        <f t="shared" si="96"/>
        <v>180</v>
      </c>
      <c r="BE177" s="2030">
        <f t="shared" si="80"/>
        <v>100</v>
      </c>
      <c r="BF177" s="2030">
        <f t="shared" si="80"/>
        <v>200</v>
      </c>
      <c r="BG177" s="2030">
        <f t="shared" si="80"/>
        <v>200</v>
      </c>
      <c r="BH177" s="2030">
        <f t="shared" si="73"/>
        <v>200</v>
      </c>
      <c r="BI177" s="2030">
        <f t="shared" si="81"/>
        <v>0</v>
      </c>
      <c r="BJ177" s="2030">
        <f t="shared" si="81"/>
        <v>0</v>
      </c>
      <c r="BK177" s="2030">
        <f t="shared" si="81"/>
        <v>0</v>
      </c>
      <c r="BL177" s="2030">
        <f t="shared" si="81"/>
        <v>0</v>
      </c>
      <c r="BM177" s="2031"/>
      <c r="BN177" s="2031"/>
      <c r="BO177" s="2031"/>
      <c r="BP177" s="2031"/>
      <c r="BQ177" s="2031"/>
      <c r="BR177" s="2031"/>
      <c r="BS177" s="2031"/>
      <c r="BT177" s="2031"/>
      <c r="BU177" s="2029"/>
      <c r="BV177" s="2029"/>
      <c r="BW177" s="2029"/>
      <c r="BX177" s="2029"/>
      <c r="BY177" s="2029"/>
      <c r="BZ177" s="2032"/>
      <c r="CA177" s="1974"/>
      <c r="CB177" s="1974"/>
      <c r="CC177" s="1974"/>
      <c r="CD177" s="1974"/>
      <c r="CE177" s="1974">
        <v>0</v>
      </c>
      <c r="CF177" s="2033">
        <v>5.6033359850880268E-6</v>
      </c>
      <c r="CG177" s="2026">
        <v>0</v>
      </c>
      <c r="CH177" s="2009">
        <v>0</v>
      </c>
      <c r="CI177" s="2029">
        <v>0</v>
      </c>
      <c r="CK177" s="2029">
        <f t="shared" si="82"/>
        <v>0</v>
      </c>
      <c r="CL177" s="2034">
        <v>1</v>
      </c>
      <c r="CM177" s="2034">
        <v>1</v>
      </c>
      <c r="CN177" s="2034">
        <v>1</v>
      </c>
      <c r="CO177" s="2034">
        <v>1</v>
      </c>
      <c r="CP177" s="2035"/>
      <c r="CQ177" s="2036"/>
      <c r="CR177" s="2036"/>
      <c r="CS177" s="2049"/>
      <c r="CT177" s="2049"/>
      <c r="CU177" s="2049"/>
      <c r="CW177" s="1973">
        <v>0</v>
      </c>
      <c r="CX177" s="2037">
        <v>100</v>
      </c>
      <c r="CY177" s="2037">
        <v>100</v>
      </c>
      <c r="CZ177" s="2037">
        <v>100</v>
      </c>
      <c r="DA177" s="2037">
        <v>100</v>
      </c>
      <c r="DJ177" s="1976">
        <v>100</v>
      </c>
      <c r="DK177" s="1973">
        <v>100</v>
      </c>
      <c r="DL177" s="1973">
        <v>100</v>
      </c>
      <c r="DM177" s="1973">
        <v>100</v>
      </c>
      <c r="DO177" s="2023">
        <v>5</v>
      </c>
      <c r="DP177" s="2024">
        <v>1613</v>
      </c>
      <c r="DQ177" s="2024">
        <v>0.4</v>
      </c>
      <c r="DR177" s="2023">
        <v>0</v>
      </c>
      <c r="DS177" s="2029">
        <v>100</v>
      </c>
      <c r="DT177" s="2029">
        <v>100</v>
      </c>
      <c r="DU177" s="2029">
        <v>100</v>
      </c>
      <c r="DV177" s="2029">
        <v>100</v>
      </c>
      <c r="DW177" s="1974"/>
      <c r="DX177" s="2029">
        <v>0</v>
      </c>
      <c r="DY177" s="2029">
        <v>0</v>
      </c>
      <c r="DZ177" s="2029">
        <v>0</v>
      </c>
      <c r="EA177" s="2029">
        <v>180</v>
      </c>
      <c r="EB177" s="2029">
        <v>180</v>
      </c>
      <c r="EC177" s="2029">
        <v>180</v>
      </c>
      <c r="ED177" s="2029">
        <v>180</v>
      </c>
      <c r="EE177" s="2039">
        <f t="shared" si="83"/>
        <v>0</v>
      </c>
      <c r="EF177" s="2039">
        <f t="shared" si="83"/>
        <v>0</v>
      </c>
      <c r="EG177" s="2039">
        <f t="shared" si="83"/>
        <v>0</v>
      </c>
      <c r="EH177" s="2039">
        <f t="shared" si="74"/>
        <v>0</v>
      </c>
      <c r="EI177" s="2040">
        <f t="shared" si="70"/>
        <v>0</v>
      </c>
      <c r="EJ177" s="2040">
        <f t="shared" si="70"/>
        <v>0</v>
      </c>
      <c r="EK177" s="2040">
        <f t="shared" si="70"/>
        <v>0</v>
      </c>
      <c r="EL177" s="2040">
        <f t="shared" si="70"/>
        <v>0</v>
      </c>
      <c r="EM177" s="2040">
        <f t="shared" si="70"/>
        <v>0</v>
      </c>
      <c r="EN177" s="2040">
        <f t="shared" si="70"/>
        <v>0</v>
      </c>
      <c r="EO177" s="2040">
        <f t="shared" si="99"/>
        <v>0</v>
      </c>
      <c r="EP177" s="2040">
        <f t="shared" si="99"/>
        <v>0</v>
      </c>
      <c r="EQ177" s="2040">
        <f t="shared" si="99"/>
        <v>0</v>
      </c>
      <c r="ER177" s="2040">
        <f t="shared" si="72"/>
        <v>0</v>
      </c>
      <c r="ES177" s="2040">
        <f t="shared" si="72"/>
        <v>0</v>
      </c>
      <c r="ET177" s="2040">
        <f t="shared" si="72"/>
        <v>0</v>
      </c>
      <c r="EU177" s="2039">
        <f t="shared" si="84"/>
        <v>0</v>
      </c>
      <c r="EV177" s="2039">
        <f t="shared" si="85"/>
        <v>0</v>
      </c>
    </row>
    <row r="178" spans="1:152" x14ac:dyDescent="0.25">
      <c r="A178" s="2041" t="s">
        <v>188</v>
      </c>
      <c r="B178" s="2022" t="s">
        <v>2961</v>
      </c>
      <c r="C178" s="2023">
        <v>5</v>
      </c>
      <c r="D178" s="2024">
        <v>1613</v>
      </c>
      <c r="E178" s="2024">
        <v>0.4</v>
      </c>
      <c r="F178" s="2023">
        <v>0</v>
      </c>
      <c r="G178" s="2026" t="s">
        <v>2960</v>
      </c>
      <c r="H178" s="2026" t="s">
        <v>2960</v>
      </c>
      <c r="I178" s="2026">
        <v>0.83099999999999996</v>
      </c>
      <c r="J178" s="2026">
        <v>0.83099999999999996</v>
      </c>
      <c r="K178" s="2026">
        <v>0.83099999999999996</v>
      </c>
      <c r="L178" s="2026">
        <v>0.83099999999999996</v>
      </c>
      <c r="M178" s="2027">
        <f t="shared" si="86"/>
        <v>1340.403</v>
      </c>
      <c r="N178" s="2027">
        <f t="shared" si="86"/>
        <v>1340.403</v>
      </c>
      <c r="O178" s="2027">
        <f t="shared" si="86"/>
        <v>1340.403</v>
      </c>
      <c r="P178" s="2027">
        <f t="shared" si="75"/>
        <v>1340.403</v>
      </c>
      <c r="Q178" s="2026">
        <v>0.83099999999999996</v>
      </c>
      <c r="R178" s="2026">
        <v>0.83099999999999996</v>
      </c>
      <c r="S178" s="2026">
        <v>0.83099999999999996</v>
      </c>
      <c r="T178" s="2026">
        <v>0.83099999999999996</v>
      </c>
      <c r="U178" s="2028">
        <f t="shared" si="87"/>
        <v>0.33240000000000003</v>
      </c>
      <c r="V178" s="2028">
        <f t="shared" si="87"/>
        <v>0.33240000000000003</v>
      </c>
      <c r="W178" s="2028">
        <f t="shared" si="87"/>
        <v>0.33240000000000003</v>
      </c>
      <c r="X178" s="2028">
        <f t="shared" si="76"/>
        <v>0.33240000000000003</v>
      </c>
      <c r="Y178" s="2026">
        <v>0.83099999999999996</v>
      </c>
      <c r="Z178" s="2026">
        <v>0.83099999999999996</v>
      </c>
      <c r="AA178" s="2026">
        <v>0.83099999999999996</v>
      </c>
      <c r="AB178" s="2026">
        <v>0.83099999999999996</v>
      </c>
      <c r="AC178" s="2027">
        <f t="shared" si="100"/>
        <v>0</v>
      </c>
      <c r="AD178" s="2027">
        <f t="shared" si="100"/>
        <v>0</v>
      </c>
      <c r="AE178" s="2027">
        <f t="shared" si="100"/>
        <v>0</v>
      </c>
      <c r="AF178" s="2027">
        <f t="shared" si="100"/>
        <v>0</v>
      </c>
      <c r="AG178" s="2027">
        <v>1</v>
      </c>
      <c r="AH178" s="2027">
        <v>2</v>
      </c>
      <c r="AI178" s="2027">
        <v>2</v>
      </c>
      <c r="AJ178" s="2027">
        <v>2</v>
      </c>
      <c r="AK178" s="2027">
        <f t="shared" si="101"/>
        <v>1340.403</v>
      </c>
      <c r="AL178" s="2027">
        <f t="shared" si="97"/>
        <v>2680.806</v>
      </c>
      <c r="AM178" s="2027">
        <f t="shared" si="97"/>
        <v>2680.806</v>
      </c>
      <c r="AN178" s="2027">
        <f t="shared" si="97"/>
        <v>2680.806</v>
      </c>
      <c r="AO178" s="2027">
        <f t="shared" si="102"/>
        <v>0</v>
      </c>
      <c r="AP178" s="2027">
        <f t="shared" si="98"/>
        <v>0</v>
      </c>
      <c r="AQ178" s="2027">
        <f t="shared" si="98"/>
        <v>0</v>
      </c>
      <c r="AR178" s="2027">
        <f t="shared" si="98"/>
        <v>0</v>
      </c>
      <c r="AS178" s="2029">
        <v>100</v>
      </c>
      <c r="AT178" s="2029">
        <f t="shared" si="77"/>
        <v>100</v>
      </c>
      <c r="AU178" s="2029">
        <f t="shared" si="77"/>
        <v>100</v>
      </c>
      <c r="AV178" s="2029">
        <f t="shared" si="77"/>
        <v>100</v>
      </c>
      <c r="AW178" s="1974"/>
      <c r="AX178" s="2029">
        <f t="shared" si="95"/>
        <v>0</v>
      </c>
      <c r="AY178" s="2029">
        <f t="shared" si="95"/>
        <v>0</v>
      </c>
      <c r="AZ178" s="2029">
        <f t="shared" si="95"/>
        <v>0</v>
      </c>
      <c r="BA178" s="2029">
        <v>180</v>
      </c>
      <c r="BB178" s="2029">
        <f t="shared" si="96"/>
        <v>180</v>
      </c>
      <c r="BC178" s="2029">
        <f t="shared" si="96"/>
        <v>180</v>
      </c>
      <c r="BD178" s="2029">
        <f t="shared" si="96"/>
        <v>180</v>
      </c>
      <c r="BE178" s="2030">
        <f t="shared" si="80"/>
        <v>100</v>
      </c>
      <c r="BF178" s="2030">
        <f t="shared" si="80"/>
        <v>200</v>
      </c>
      <c r="BG178" s="2030">
        <f t="shared" si="80"/>
        <v>200</v>
      </c>
      <c r="BH178" s="2030">
        <f t="shared" si="73"/>
        <v>200</v>
      </c>
      <c r="BI178" s="2030">
        <f t="shared" si="81"/>
        <v>0</v>
      </c>
      <c r="BJ178" s="2030">
        <f t="shared" si="81"/>
        <v>0</v>
      </c>
      <c r="BK178" s="2030">
        <f t="shared" si="81"/>
        <v>0</v>
      </c>
      <c r="BL178" s="2030">
        <f t="shared" si="81"/>
        <v>0</v>
      </c>
      <c r="BM178" s="2031"/>
      <c r="BN178" s="2031"/>
      <c r="BO178" s="2031"/>
      <c r="BP178" s="2031"/>
      <c r="BQ178" s="2031"/>
      <c r="BR178" s="2031"/>
      <c r="BS178" s="2031"/>
      <c r="BT178" s="2031"/>
      <c r="BU178" s="2029"/>
      <c r="BV178" s="2029"/>
      <c r="BW178" s="2029"/>
      <c r="BX178" s="2029"/>
      <c r="BY178" s="2029"/>
      <c r="BZ178" s="2032"/>
      <c r="CA178" s="1974"/>
      <c r="CB178" s="1974"/>
      <c r="CC178" s="1974"/>
      <c r="CD178" s="1974"/>
      <c r="CE178" s="1974">
        <v>0</v>
      </c>
      <c r="CF178" s="2033">
        <v>5.6033359850880268E-6</v>
      </c>
      <c r="CG178" s="2026">
        <v>0</v>
      </c>
      <c r="CH178" s="2009">
        <v>0</v>
      </c>
      <c r="CI178" s="2029">
        <v>0</v>
      </c>
      <c r="CK178" s="2029">
        <f t="shared" si="82"/>
        <v>0</v>
      </c>
      <c r="CL178" s="2034">
        <v>1</v>
      </c>
      <c r="CM178" s="2034">
        <v>1</v>
      </c>
      <c r="CN178" s="2034">
        <v>1</v>
      </c>
      <c r="CO178" s="2034">
        <v>1</v>
      </c>
      <c r="CP178" s="2035"/>
      <c r="CQ178" s="2036"/>
      <c r="CR178" s="2036"/>
      <c r="CS178" s="2049"/>
      <c r="CT178" s="2049"/>
      <c r="CU178" s="2049"/>
      <c r="CW178" s="1973">
        <v>0</v>
      </c>
      <c r="CX178" s="2037">
        <v>100</v>
      </c>
      <c r="CY178" s="2037">
        <v>100</v>
      </c>
      <c r="CZ178" s="2037">
        <v>100</v>
      </c>
      <c r="DA178" s="2037">
        <v>100</v>
      </c>
      <c r="DJ178" s="1976">
        <v>100</v>
      </c>
      <c r="DK178" s="1973">
        <v>100</v>
      </c>
      <c r="DL178" s="1973">
        <v>100</v>
      </c>
      <c r="DM178" s="1973">
        <v>100</v>
      </c>
      <c r="DO178" s="2023">
        <v>5</v>
      </c>
      <c r="DP178" s="2024">
        <v>1613</v>
      </c>
      <c r="DQ178" s="2024">
        <v>0.4</v>
      </c>
      <c r="DR178" s="2023">
        <v>0</v>
      </c>
      <c r="DS178" s="2029">
        <v>100</v>
      </c>
      <c r="DT178" s="2029">
        <v>100</v>
      </c>
      <c r="DU178" s="2029">
        <v>100</v>
      </c>
      <c r="DV178" s="2029">
        <v>100</v>
      </c>
      <c r="DW178" s="1974"/>
      <c r="DX178" s="2029">
        <v>0</v>
      </c>
      <c r="DY178" s="2029">
        <v>0</v>
      </c>
      <c r="DZ178" s="2029">
        <v>0</v>
      </c>
      <c r="EA178" s="2029">
        <v>180</v>
      </c>
      <c r="EB178" s="2029">
        <v>180</v>
      </c>
      <c r="EC178" s="2029">
        <v>180</v>
      </c>
      <c r="ED178" s="2029">
        <v>180</v>
      </c>
      <c r="EE178" s="2039">
        <f t="shared" si="83"/>
        <v>0</v>
      </c>
      <c r="EF178" s="2039">
        <f t="shared" si="83"/>
        <v>0</v>
      </c>
      <c r="EG178" s="2039">
        <f t="shared" si="83"/>
        <v>0</v>
      </c>
      <c r="EH178" s="2039">
        <f t="shared" si="74"/>
        <v>0</v>
      </c>
      <c r="EI178" s="2040">
        <f t="shared" si="70"/>
        <v>0</v>
      </c>
      <c r="EJ178" s="2040">
        <f t="shared" si="70"/>
        <v>0</v>
      </c>
      <c r="EK178" s="2040">
        <f t="shared" si="70"/>
        <v>0</v>
      </c>
      <c r="EL178" s="2040">
        <f t="shared" si="70"/>
        <v>0</v>
      </c>
      <c r="EM178" s="2040">
        <f t="shared" si="70"/>
        <v>0</v>
      </c>
      <c r="EN178" s="2040">
        <f t="shared" si="70"/>
        <v>0</v>
      </c>
      <c r="EO178" s="2040">
        <f t="shared" si="99"/>
        <v>0</v>
      </c>
      <c r="EP178" s="2040">
        <f t="shared" si="99"/>
        <v>0</v>
      </c>
      <c r="EQ178" s="2040">
        <f t="shared" si="99"/>
        <v>0</v>
      </c>
      <c r="ER178" s="2040">
        <f t="shared" si="72"/>
        <v>0</v>
      </c>
      <c r="ES178" s="2040">
        <f t="shared" si="72"/>
        <v>0</v>
      </c>
      <c r="ET178" s="2040">
        <f t="shared" si="72"/>
        <v>0</v>
      </c>
      <c r="EU178" s="2039">
        <f t="shared" si="84"/>
        <v>0</v>
      </c>
      <c r="EV178" s="2039">
        <f t="shared" si="85"/>
        <v>0</v>
      </c>
    </row>
    <row r="179" spans="1:152" x14ac:dyDescent="0.25">
      <c r="A179" s="2041" t="s">
        <v>189</v>
      </c>
      <c r="B179" s="2022" t="s">
        <v>2961</v>
      </c>
      <c r="C179" s="2023">
        <v>5</v>
      </c>
      <c r="D179" s="2024">
        <v>387</v>
      </c>
      <c r="E179" s="2024">
        <v>0.1</v>
      </c>
      <c r="F179" s="2023">
        <v>0</v>
      </c>
      <c r="G179" s="2026" t="s">
        <v>2960</v>
      </c>
      <c r="H179" s="2026" t="s">
        <v>2960</v>
      </c>
      <c r="I179" s="2026">
        <v>0.83099999999999996</v>
      </c>
      <c r="J179" s="2026">
        <v>0.83099999999999996</v>
      </c>
      <c r="K179" s="2026">
        <v>0.83099999999999996</v>
      </c>
      <c r="L179" s="2026">
        <v>0.83099999999999996</v>
      </c>
      <c r="M179" s="2027">
        <f t="shared" si="86"/>
        <v>321.59699999999998</v>
      </c>
      <c r="N179" s="2027">
        <f t="shared" si="86"/>
        <v>321.59699999999998</v>
      </c>
      <c r="O179" s="2027">
        <f t="shared" si="86"/>
        <v>321.59699999999998</v>
      </c>
      <c r="P179" s="2027">
        <f t="shared" si="75"/>
        <v>321.59699999999998</v>
      </c>
      <c r="Q179" s="2026">
        <v>0.83099999999999996</v>
      </c>
      <c r="R179" s="2026">
        <v>0.83099999999999996</v>
      </c>
      <c r="S179" s="2026">
        <v>0.83099999999999996</v>
      </c>
      <c r="T179" s="2026">
        <v>0.83099999999999996</v>
      </c>
      <c r="U179" s="2028">
        <f t="shared" si="87"/>
        <v>8.3100000000000007E-2</v>
      </c>
      <c r="V179" s="2028">
        <f t="shared" si="87"/>
        <v>8.3100000000000007E-2</v>
      </c>
      <c r="W179" s="2028">
        <f t="shared" si="87"/>
        <v>8.3100000000000007E-2</v>
      </c>
      <c r="X179" s="2028">
        <f t="shared" si="76"/>
        <v>8.3100000000000007E-2</v>
      </c>
      <c r="Y179" s="2026">
        <v>0.83099999999999996</v>
      </c>
      <c r="Z179" s="2026">
        <v>0.83099999999999996</v>
      </c>
      <c r="AA179" s="2026">
        <v>0.83099999999999996</v>
      </c>
      <c r="AB179" s="2026">
        <v>0.83099999999999996</v>
      </c>
      <c r="AC179" s="2027">
        <f t="shared" si="100"/>
        <v>0</v>
      </c>
      <c r="AD179" s="2027">
        <f t="shared" si="100"/>
        <v>0</v>
      </c>
      <c r="AE179" s="2027">
        <f t="shared" si="100"/>
        <v>0</v>
      </c>
      <c r="AF179" s="2027">
        <f t="shared" si="100"/>
        <v>0</v>
      </c>
      <c r="AG179" s="2027">
        <v>1</v>
      </c>
      <c r="AH179" s="2027">
        <v>2</v>
      </c>
      <c r="AI179" s="2027">
        <v>2</v>
      </c>
      <c r="AJ179" s="2027">
        <v>2</v>
      </c>
      <c r="AK179" s="2027">
        <f t="shared" si="101"/>
        <v>321.59699999999998</v>
      </c>
      <c r="AL179" s="2027">
        <f t="shared" si="97"/>
        <v>643.19399999999996</v>
      </c>
      <c r="AM179" s="2027">
        <f t="shared" si="97"/>
        <v>643.19399999999996</v>
      </c>
      <c r="AN179" s="2027">
        <f t="shared" si="97"/>
        <v>643.19399999999996</v>
      </c>
      <c r="AO179" s="2027">
        <f t="shared" si="102"/>
        <v>0</v>
      </c>
      <c r="AP179" s="2027">
        <f t="shared" si="98"/>
        <v>0</v>
      </c>
      <c r="AQ179" s="2027">
        <f t="shared" si="98"/>
        <v>0</v>
      </c>
      <c r="AR179" s="2027">
        <f t="shared" si="98"/>
        <v>0</v>
      </c>
      <c r="AS179" s="2029">
        <v>30</v>
      </c>
      <c r="AT179" s="2029">
        <f t="shared" si="77"/>
        <v>30</v>
      </c>
      <c r="AU179" s="2029">
        <f t="shared" si="77"/>
        <v>30</v>
      </c>
      <c r="AV179" s="2029">
        <f t="shared" si="77"/>
        <v>30</v>
      </c>
      <c r="AW179" s="1974"/>
      <c r="AX179" s="2029">
        <f t="shared" si="95"/>
        <v>0</v>
      </c>
      <c r="AY179" s="2029">
        <f t="shared" si="95"/>
        <v>0</v>
      </c>
      <c r="AZ179" s="2029">
        <f t="shared" si="95"/>
        <v>0</v>
      </c>
      <c r="BA179" s="2029">
        <v>80</v>
      </c>
      <c r="BB179" s="2029">
        <f t="shared" si="96"/>
        <v>80</v>
      </c>
      <c r="BC179" s="2029">
        <f t="shared" si="96"/>
        <v>80</v>
      </c>
      <c r="BD179" s="2029">
        <f t="shared" si="96"/>
        <v>80</v>
      </c>
      <c r="BE179" s="2030">
        <f t="shared" si="80"/>
        <v>30</v>
      </c>
      <c r="BF179" s="2030">
        <f t="shared" si="80"/>
        <v>60</v>
      </c>
      <c r="BG179" s="2030">
        <f t="shared" si="80"/>
        <v>60</v>
      </c>
      <c r="BH179" s="2030">
        <f t="shared" si="73"/>
        <v>60</v>
      </c>
      <c r="BI179" s="2030">
        <f t="shared" si="81"/>
        <v>0</v>
      </c>
      <c r="BJ179" s="2030">
        <f t="shared" si="81"/>
        <v>0</v>
      </c>
      <c r="BK179" s="2030">
        <f t="shared" si="81"/>
        <v>0</v>
      </c>
      <c r="BL179" s="2030">
        <f t="shared" si="81"/>
        <v>0</v>
      </c>
      <c r="BM179" s="2031"/>
      <c r="BN179" s="2031"/>
      <c r="BO179" s="2031"/>
      <c r="BP179" s="2031"/>
      <c r="BQ179" s="2031"/>
      <c r="BR179" s="2031"/>
      <c r="BS179" s="2031"/>
      <c r="BT179" s="2031"/>
      <c r="BU179" s="2029"/>
      <c r="BV179" s="2029"/>
      <c r="BW179" s="2029"/>
      <c r="BX179" s="2029"/>
      <c r="BY179" s="2029"/>
      <c r="BZ179" s="2032"/>
      <c r="CA179" s="1974"/>
      <c r="CB179" s="1974"/>
      <c r="CC179" s="1974"/>
      <c r="CD179" s="1974"/>
      <c r="CE179" s="1974">
        <v>0</v>
      </c>
      <c r="CF179" s="2033">
        <v>1.3443837732356269E-6</v>
      </c>
      <c r="CG179" s="2026">
        <v>0</v>
      </c>
      <c r="CH179" s="2009">
        <v>0</v>
      </c>
      <c r="CI179" s="2029">
        <v>0</v>
      </c>
      <c r="CK179" s="2029">
        <f t="shared" si="82"/>
        <v>0</v>
      </c>
      <c r="CL179" s="2034">
        <v>1</v>
      </c>
      <c r="CM179" s="2034">
        <v>1</v>
      </c>
      <c r="CN179" s="2034">
        <v>1</v>
      </c>
      <c r="CO179" s="2034">
        <v>1</v>
      </c>
      <c r="CP179" s="2035"/>
      <c r="CQ179" s="2036"/>
      <c r="CR179" s="2036"/>
      <c r="CS179" s="2049"/>
      <c r="CT179" s="2049"/>
      <c r="CU179" s="2049"/>
      <c r="CW179" s="1973">
        <v>0</v>
      </c>
      <c r="CX179" s="2037">
        <v>30</v>
      </c>
      <c r="CY179" s="2037">
        <v>30</v>
      </c>
      <c r="CZ179" s="2037">
        <v>30</v>
      </c>
      <c r="DA179" s="2037">
        <v>30</v>
      </c>
      <c r="DJ179" s="1976">
        <v>30</v>
      </c>
      <c r="DK179" s="1973">
        <v>30</v>
      </c>
      <c r="DL179" s="1973">
        <v>30</v>
      </c>
      <c r="DM179" s="1973">
        <v>30</v>
      </c>
      <c r="DO179" s="2023">
        <v>5</v>
      </c>
      <c r="DP179" s="2024">
        <v>387</v>
      </c>
      <c r="DQ179" s="2024">
        <v>0.1</v>
      </c>
      <c r="DR179" s="2023">
        <v>0</v>
      </c>
      <c r="DS179" s="2029">
        <v>30</v>
      </c>
      <c r="DT179" s="2029">
        <v>30</v>
      </c>
      <c r="DU179" s="2029">
        <v>30</v>
      </c>
      <c r="DV179" s="2029">
        <v>30</v>
      </c>
      <c r="DW179" s="1974"/>
      <c r="DX179" s="2029">
        <v>0</v>
      </c>
      <c r="DY179" s="2029">
        <v>0</v>
      </c>
      <c r="DZ179" s="2029">
        <v>0</v>
      </c>
      <c r="EA179" s="2029">
        <v>80</v>
      </c>
      <c r="EB179" s="2029">
        <v>80</v>
      </c>
      <c r="EC179" s="2029">
        <v>80</v>
      </c>
      <c r="ED179" s="2029">
        <v>80</v>
      </c>
      <c r="EE179" s="2039">
        <f t="shared" si="83"/>
        <v>0</v>
      </c>
      <c r="EF179" s="2039">
        <f t="shared" si="83"/>
        <v>0</v>
      </c>
      <c r="EG179" s="2039">
        <f t="shared" si="83"/>
        <v>0</v>
      </c>
      <c r="EH179" s="2039">
        <f t="shared" si="74"/>
        <v>0</v>
      </c>
      <c r="EI179" s="2040">
        <f t="shared" si="70"/>
        <v>0</v>
      </c>
      <c r="EJ179" s="2040">
        <f t="shared" si="70"/>
        <v>0</v>
      </c>
      <c r="EK179" s="2040">
        <f t="shared" si="70"/>
        <v>0</v>
      </c>
      <c r="EL179" s="2040">
        <f t="shared" si="70"/>
        <v>0</v>
      </c>
      <c r="EM179" s="2040">
        <f t="shared" si="70"/>
        <v>0</v>
      </c>
      <c r="EN179" s="2040">
        <f t="shared" si="70"/>
        <v>0</v>
      </c>
      <c r="EO179" s="2040">
        <f t="shared" si="99"/>
        <v>0</v>
      </c>
      <c r="EP179" s="2040">
        <f t="shared" si="99"/>
        <v>0</v>
      </c>
      <c r="EQ179" s="2040">
        <f t="shared" si="99"/>
        <v>0</v>
      </c>
      <c r="ER179" s="2040">
        <f t="shared" si="72"/>
        <v>0</v>
      </c>
      <c r="ES179" s="2040">
        <f t="shared" si="72"/>
        <v>0</v>
      </c>
      <c r="ET179" s="2040">
        <f t="shared" si="72"/>
        <v>0</v>
      </c>
      <c r="EU179" s="2039">
        <f t="shared" si="84"/>
        <v>0</v>
      </c>
      <c r="EV179" s="2039">
        <f t="shared" si="85"/>
        <v>0</v>
      </c>
    </row>
    <row r="180" spans="1:152" x14ac:dyDescent="0.25">
      <c r="A180" s="2041" t="s">
        <v>190</v>
      </c>
      <c r="B180" s="2022" t="s">
        <v>2961</v>
      </c>
      <c r="C180" s="2023">
        <v>5</v>
      </c>
      <c r="D180" s="2024">
        <v>387</v>
      </c>
      <c r="E180" s="2024">
        <v>0.1</v>
      </c>
      <c r="F180" s="2023">
        <v>0</v>
      </c>
      <c r="G180" s="2026" t="s">
        <v>2960</v>
      </c>
      <c r="H180" s="2026" t="s">
        <v>2960</v>
      </c>
      <c r="I180" s="2026">
        <v>0.83099999999999996</v>
      </c>
      <c r="J180" s="2026">
        <v>0.83099999999999996</v>
      </c>
      <c r="K180" s="2026">
        <v>0.83099999999999996</v>
      </c>
      <c r="L180" s="2026">
        <v>0.83099999999999996</v>
      </c>
      <c r="M180" s="2027">
        <f t="shared" si="86"/>
        <v>321.59699999999998</v>
      </c>
      <c r="N180" s="2027">
        <f t="shared" si="86"/>
        <v>321.59699999999998</v>
      </c>
      <c r="O180" s="2027">
        <f t="shared" si="86"/>
        <v>321.59699999999998</v>
      </c>
      <c r="P180" s="2027">
        <f t="shared" si="75"/>
        <v>321.59699999999998</v>
      </c>
      <c r="Q180" s="2026">
        <v>0.83099999999999996</v>
      </c>
      <c r="R180" s="2026">
        <v>0.83099999999999996</v>
      </c>
      <c r="S180" s="2026">
        <v>0.83099999999999996</v>
      </c>
      <c r="T180" s="2026">
        <v>0.83099999999999996</v>
      </c>
      <c r="U180" s="2028">
        <f t="shared" si="87"/>
        <v>8.3100000000000007E-2</v>
      </c>
      <c r="V180" s="2028">
        <f t="shared" si="87"/>
        <v>8.3100000000000007E-2</v>
      </c>
      <c r="W180" s="2028">
        <f t="shared" si="87"/>
        <v>8.3100000000000007E-2</v>
      </c>
      <c r="X180" s="2028">
        <f t="shared" si="76"/>
        <v>8.3100000000000007E-2</v>
      </c>
      <c r="Y180" s="2026">
        <v>0.83099999999999996</v>
      </c>
      <c r="Z180" s="2026">
        <v>0.83099999999999996</v>
      </c>
      <c r="AA180" s="2026">
        <v>0.83099999999999996</v>
      </c>
      <c r="AB180" s="2026">
        <v>0.83099999999999996</v>
      </c>
      <c r="AC180" s="2027">
        <f t="shared" si="100"/>
        <v>0</v>
      </c>
      <c r="AD180" s="2027">
        <f t="shared" si="100"/>
        <v>0</v>
      </c>
      <c r="AE180" s="2027">
        <f t="shared" si="100"/>
        <v>0</v>
      </c>
      <c r="AF180" s="2027">
        <f t="shared" si="100"/>
        <v>0</v>
      </c>
      <c r="AG180" s="2027">
        <v>1</v>
      </c>
      <c r="AH180" s="2027">
        <v>2</v>
      </c>
      <c r="AI180" s="2027">
        <v>2</v>
      </c>
      <c r="AJ180" s="2027">
        <v>2</v>
      </c>
      <c r="AK180" s="2027">
        <f t="shared" si="101"/>
        <v>321.59699999999998</v>
      </c>
      <c r="AL180" s="2027">
        <f t="shared" si="97"/>
        <v>643.19399999999996</v>
      </c>
      <c r="AM180" s="2027">
        <f t="shared" si="97"/>
        <v>643.19399999999996</v>
      </c>
      <c r="AN180" s="2027">
        <f t="shared" si="97"/>
        <v>643.19399999999996</v>
      </c>
      <c r="AO180" s="2027">
        <f t="shared" si="102"/>
        <v>0</v>
      </c>
      <c r="AP180" s="2027">
        <f t="shared" si="98"/>
        <v>0</v>
      </c>
      <c r="AQ180" s="2027">
        <f t="shared" si="98"/>
        <v>0</v>
      </c>
      <c r="AR180" s="2027">
        <f t="shared" si="98"/>
        <v>0</v>
      </c>
      <c r="AS180" s="2029">
        <v>30</v>
      </c>
      <c r="AT180" s="2029">
        <f t="shared" si="77"/>
        <v>30</v>
      </c>
      <c r="AU180" s="2029">
        <f t="shared" si="77"/>
        <v>30</v>
      </c>
      <c r="AV180" s="2029">
        <f t="shared" si="77"/>
        <v>30</v>
      </c>
      <c r="AW180" s="1974"/>
      <c r="AX180" s="2029">
        <f t="shared" si="95"/>
        <v>0</v>
      </c>
      <c r="AY180" s="2029">
        <f t="shared" si="95"/>
        <v>0</v>
      </c>
      <c r="AZ180" s="2029">
        <f t="shared" si="95"/>
        <v>0</v>
      </c>
      <c r="BA180" s="2029">
        <v>80</v>
      </c>
      <c r="BB180" s="2029">
        <f t="shared" si="96"/>
        <v>80</v>
      </c>
      <c r="BC180" s="2029">
        <f t="shared" si="96"/>
        <v>80</v>
      </c>
      <c r="BD180" s="2029">
        <f t="shared" si="96"/>
        <v>80</v>
      </c>
      <c r="BE180" s="2030">
        <f t="shared" si="80"/>
        <v>30</v>
      </c>
      <c r="BF180" s="2030">
        <f t="shared" si="80"/>
        <v>60</v>
      </c>
      <c r="BG180" s="2030">
        <f t="shared" si="80"/>
        <v>60</v>
      </c>
      <c r="BH180" s="2030">
        <f t="shared" si="73"/>
        <v>60</v>
      </c>
      <c r="BI180" s="2030">
        <f t="shared" si="81"/>
        <v>0</v>
      </c>
      <c r="BJ180" s="2030">
        <f t="shared" si="81"/>
        <v>0</v>
      </c>
      <c r="BK180" s="2030">
        <f t="shared" si="81"/>
        <v>0</v>
      </c>
      <c r="BL180" s="2030">
        <f t="shared" si="81"/>
        <v>0</v>
      </c>
      <c r="BM180" s="2031"/>
      <c r="BN180" s="2031"/>
      <c r="BO180" s="2031"/>
      <c r="BP180" s="2031"/>
      <c r="BQ180" s="2031"/>
      <c r="BR180" s="2031"/>
      <c r="BS180" s="2031"/>
      <c r="BT180" s="2031"/>
      <c r="BU180" s="2029"/>
      <c r="BV180" s="2029"/>
      <c r="BW180" s="2029"/>
      <c r="BX180" s="2029"/>
      <c r="BY180" s="2029"/>
      <c r="BZ180" s="2032"/>
      <c r="CA180" s="1974"/>
      <c r="CB180" s="1974"/>
      <c r="CC180" s="1974"/>
      <c r="CD180" s="1974"/>
      <c r="CE180" s="1974">
        <v>0</v>
      </c>
      <c r="CF180" s="2033">
        <v>1.3443837732356269E-6</v>
      </c>
      <c r="CG180" s="2026">
        <v>0</v>
      </c>
      <c r="CH180" s="2009">
        <v>0</v>
      </c>
      <c r="CI180" s="2029">
        <v>0</v>
      </c>
      <c r="CK180" s="2029">
        <f t="shared" si="82"/>
        <v>0</v>
      </c>
      <c r="CL180" s="2034">
        <v>1</v>
      </c>
      <c r="CM180" s="2034">
        <v>1</v>
      </c>
      <c r="CN180" s="2034">
        <v>1</v>
      </c>
      <c r="CO180" s="2034">
        <v>1</v>
      </c>
      <c r="CP180" s="2035"/>
      <c r="CQ180" s="2036"/>
      <c r="CR180" s="2036"/>
      <c r="CS180" s="2049"/>
      <c r="CT180" s="2049"/>
      <c r="CU180" s="2049"/>
      <c r="CW180" s="1973">
        <v>0</v>
      </c>
      <c r="CX180" s="2037">
        <v>30</v>
      </c>
      <c r="CY180" s="2037">
        <v>30</v>
      </c>
      <c r="CZ180" s="2037">
        <v>30</v>
      </c>
      <c r="DA180" s="2037">
        <v>30</v>
      </c>
      <c r="DJ180" s="1976">
        <v>30</v>
      </c>
      <c r="DK180" s="1973">
        <v>30</v>
      </c>
      <c r="DL180" s="1973">
        <v>30</v>
      </c>
      <c r="DM180" s="1973">
        <v>30</v>
      </c>
      <c r="DO180" s="2023">
        <v>5</v>
      </c>
      <c r="DP180" s="2024">
        <v>387</v>
      </c>
      <c r="DQ180" s="2024">
        <v>0.1</v>
      </c>
      <c r="DR180" s="2023">
        <v>0</v>
      </c>
      <c r="DS180" s="2029">
        <v>30</v>
      </c>
      <c r="DT180" s="2029">
        <v>30</v>
      </c>
      <c r="DU180" s="2029">
        <v>30</v>
      </c>
      <c r="DV180" s="2029">
        <v>30</v>
      </c>
      <c r="DW180" s="1974"/>
      <c r="DX180" s="2029">
        <v>0</v>
      </c>
      <c r="DY180" s="2029">
        <v>0</v>
      </c>
      <c r="DZ180" s="2029">
        <v>0</v>
      </c>
      <c r="EA180" s="2029">
        <v>80</v>
      </c>
      <c r="EB180" s="2029">
        <v>80</v>
      </c>
      <c r="EC180" s="2029">
        <v>80</v>
      </c>
      <c r="ED180" s="2029">
        <v>80</v>
      </c>
      <c r="EE180" s="2039">
        <f t="shared" si="83"/>
        <v>0</v>
      </c>
      <c r="EF180" s="2039">
        <f t="shared" si="83"/>
        <v>0</v>
      </c>
      <c r="EG180" s="2039">
        <f t="shared" si="83"/>
        <v>0</v>
      </c>
      <c r="EH180" s="2039">
        <f t="shared" si="74"/>
        <v>0</v>
      </c>
      <c r="EI180" s="2040">
        <f t="shared" si="70"/>
        <v>0</v>
      </c>
      <c r="EJ180" s="2040">
        <f t="shared" si="70"/>
        <v>0</v>
      </c>
      <c r="EK180" s="2040">
        <f t="shared" si="70"/>
        <v>0</v>
      </c>
      <c r="EL180" s="2040">
        <f t="shared" si="70"/>
        <v>0</v>
      </c>
      <c r="EM180" s="2040">
        <f t="shared" si="70"/>
        <v>0</v>
      </c>
      <c r="EN180" s="2040">
        <f t="shared" si="70"/>
        <v>0</v>
      </c>
      <c r="EO180" s="2040">
        <f t="shared" si="99"/>
        <v>0</v>
      </c>
      <c r="EP180" s="2040">
        <f t="shared" si="99"/>
        <v>0</v>
      </c>
      <c r="EQ180" s="2040">
        <f t="shared" si="99"/>
        <v>0</v>
      </c>
      <c r="ER180" s="2040">
        <f t="shared" si="72"/>
        <v>0</v>
      </c>
      <c r="ES180" s="2040">
        <f t="shared" si="72"/>
        <v>0</v>
      </c>
      <c r="ET180" s="2040">
        <f t="shared" si="72"/>
        <v>0</v>
      </c>
      <c r="EU180" s="2039">
        <f t="shared" si="84"/>
        <v>0</v>
      </c>
      <c r="EV180" s="2039">
        <f t="shared" si="85"/>
        <v>0</v>
      </c>
    </row>
    <row r="181" spans="1:152" x14ac:dyDescent="0.25">
      <c r="A181" s="2041" t="s">
        <v>191</v>
      </c>
      <c r="B181" s="2022" t="s">
        <v>2961</v>
      </c>
      <c r="C181" s="2023">
        <v>5</v>
      </c>
      <c r="D181" s="2024">
        <v>387</v>
      </c>
      <c r="E181" s="2024">
        <v>0.1</v>
      </c>
      <c r="F181" s="2023">
        <v>0</v>
      </c>
      <c r="G181" s="2026" t="s">
        <v>2960</v>
      </c>
      <c r="H181" s="2026" t="s">
        <v>2960</v>
      </c>
      <c r="I181" s="2026">
        <v>0.83099999999999996</v>
      </c>
      <c r="J181" s="2026">
        <v>0.83099999999999996</v>
      </c>
      <c r="K181" s="2026">
        <v>0.83099999999999996</v>
      </c>
      <c r="L181" s="2026">
        <v>0.83099999999999996</v>
      </c>
      <c r="M181" s="2027">
        <f t="shared" si="86"/>
        <v>321.59699999999998</v>
      </c>
      <c r="N181" s="2027">
        <f t="shared" si="86"/>
        <v>321.59699999999998</v>
      </c>
      <c r="O181" s="2027">
        <f t="shared" si="86"/>
        <v>321.59699999999998</v>
      </c>
      <c r="P181" s="2027">
        <f t="shared" si="75"/>
        <v>321.59699999999998</v>
      </c>
      <c r="Q181" s="2026">
        <v>0.83099999999999996</v>
      </c>
      <c r="R181" s="2026">
        <v>0.83099999999999996</v>
      </c>
      <c r="S181" s="2026">
        <v>0.83099999999999996</v>
      </c>
      <c r="T181" s="2026">
        <v>0.83099999999999996</v>
      </c>
      <c r="U181" s="2028">
        <f t="shared" si="87"/>
        <v>8.3100000000000007E-2</v>
      </c>
      <c r="V181" s="2028">
        <f t="shared" si="87"/>
        <v>8.3100000000000007E-2</v>
      </c>
      <c r="W181" s="2028">
        <f t="shared" si="87"/>
        <v>8.3100000000000007E-2</v>
      </c>
      <c r="X181" s="2028">
        <f t="shared" si="76"/>
        <v>8.3100000000000007E-2</v>
      </c>
      <c r="Y181" s="2026">
        <v>0.83099999999999996</v>
      </c>
      <c r="Z181" s="2026">
        <v>0.83099999999999996</v>
      </c>
      <c r="AA181" s="2026">
        <v>0.83099999999999996</v>
      </c>
      <c r="AB181" s="2026">
        <v>0.83099999999999996</v>
      </c>
      <c r="AC181" s="2027">
        <f t="shared" si="100"/>
        <v>0</v>
      </c>
      <c r="AD181" s="2027">
        <f t="shared" si="100"/>
        <v>0</v>
      </c>
      <c r="AE181" s="2027">
        <f t="shared" si="100"/>
        <v>0</v>
      </c>
      <c r="AF181" s="2027">
        <f t="shared" si="100"/>
        <v>0</v>
      </c>
      <c r="AG181" s="2027">
        <v>1</v>
      </c>
      <c r="AH181" s="2027">
        <v>2</v>
      </c>
      <c r="AI181" s="2027">
        <v>2</v>
      </c>
      <c r="AJ181" s="2027">
        <v>2</v>
      </c>
      <c r="AK181" s="2027">
        <f t="shared" si="101"/>
        <v>321.59699999999998</v>
      </c>
      <c r="AL181" s="2027">
        <f t="shared" si="97"/>
        <v>643.19399999999996</v>
      </c>
      <c r="AM181" s="2027">
        <f t="shared" si="97"/>
        <v>643.19399999999996</v>
      </c>
      <c r="AN181" s="2027">
        <f t="shared" si="97"/>
        <v>643.19399999999996</v>
      </c>
      <c r="AO181" s="2027">
        <f t="shared" si="102"/>
        <v>0</v>
      </c>
      <c r="AP181" s="2027">
        <f t="shared" si="98"/>
        <v>0</v>
      </c>
      <c r="AQ181" s="2027">
        <f t="shared" si="98"/>
        <v>0</v>
      </c>
      <c r="AR181" s="2027">
        <f t="shared" si="98"/>
        <v>0</v>
      </c>
      <c r="AS181" s="2029">
        <v>30</v>
      </c>
      <c r="AT181" s="2029">
        <f t="shared" si="77"/>
        <v>30</v>
      </c>
      <c r="AU181" s="2029">
        <f t="shared" si="77"/>
        <v>30</v>
      </c>
      <c r="AV181" s="2029">
        <f t="shared" si="77"/>
        <v>30</v>
      </c>
      <c r="AW181" s="1974"/>
      <c r="AX181" s="2029">
        <f t="shared" si="95"/>
        <v>0</v>
      </c>
      <c r="AY181" s="2029">
        <f t="shared" si="95"/>
        <v>0</v>
      </c>
      <c r="AZ181" s="2029">
        <f t="shared" si="95"/>
        <v>0</v>
      </c>
      <c r="BA181" s="2029">
        <v>80</v>
      </c>
      <c r="BB181" s="2029">
        <f t="shared" si="96"/>
        <v>80</v>
      </c>
      <c r="BC181" s="2029">
        <f t="shared" si="96"/>
        <v>80</v>
      </c>
      <c r="BD181" s="2029">
        <f t="shared" si="96"/>
        <v>80</v>
      </c>
      <c r="BE181" s="2030">
        <f t="shared" si="80"/>
        <v>30</v>
      </c>
      <c r="BF181" s="2030">
        <f t="shared" si="80"/>
        <v>60</v>
      </c>
      <c r="BG181" s="2030">
        <f t="shared" si="80"/>
        <v>60</v>
      </c>
      <c r="BH181" s="2030">
        <f t="shared" si="73"/>
        <v>60</v>
      </c>
      <c r="BI181" s="2030">
        <f t="shared" si="81"/>
        <v>0</v>
      </c>
      <c r="BJ181" s="2030">
        <f t="shared" si="81"/>
        <v>0</v>
      </c>
      <c r="BK181" s="2030">
        <f t="shared" si="81"/>
        <v>0</v>
      </c>
      <c r="BL181" s="2030">
        <f t="shared" si="81"/>
        <v>0</v>
      </c>
      <c r="BM181" s="2031"/>
      <c r="BN181" s="2031"/>
      <c r="BO181" s="2031"/>
      <c r="BP181" s="2031"/>
      <c r="BQ181" s="2031"/>
      <c r="BR181" s="2031"/>
      <c r="BS181" s="2031"/>
      <c r="BT181" s="2031"/>
      <c r="BU181" s="2029"/>
      <c r="BV181" s="2029"/>
      <c r="BW181" s="2029"/>
      <c r="BX181" s="2029"/>
      <c r="BY181" s="2029"/>
      <c r="BZ181" s="2032"/>
      <c r="CA181" s="1974"/>
      <c r="CB181" s="1974"/>
      <c r="CC181" s="1974"/>
      <c r="CD181" s="1974"/>
      <c r="CE181" s="1974">
        <v>0</v>
      </c>
      <c r="CF181" s="2033">
        <v>1.3443837732356269E-6</v>
      </c>
      <c r="CG181" s="2026">
        <v>0</v>
      </c>
      <c r="CH181" s="2009">
        <v>0</v>
      </c>
      <c r="CI181" s="2029">
        <v>0</v>
      </c>
      <c r="CK181" s="2029">
        <f t="shared" si="82"/>
        <v>0</v>
      </c>
      <c r="CL181" s="2034">
        <v>1</v>
      </c>
      <c r="CM181" s="2034">
        <v>1</v>
      </c>
      <c r="CN181" s="2034">
        <v>1</v>
      </c>
      <c r="CO181" s="2034">
        <v>1</v>
      </c>
      <c r="CP181" s="2035"/>
      <c r="CQ181" s="2036"/>
      <c r="CR181" s="2036"/>
      <c r="CS181" s="2049"/>
      <c r="CT181" s="2049"/>
      <c r="CU181" s="2049"/>
      <c r="CW181" s="1973">
        <v>0</v>
      </c>
      <c r="CX181" s="2037">
        <v>30</v>
      </c>
      <c r="CY181" s="2037">
        <v>30</v>
      </c>
      <c r="CZ181" s="2037">
        <v>30</v>
      </c>
      <c r="DA181" s="2037">
        <v>30</v>
      </c>
      <c r="DJ181" s="1976">
        <v>30</v>
      </c>
      <c r="DK181" s="1973">
        <v>30</v>
      </c>
      <c r="DL181" s="1973">
        <v>30</v>
      </c>
      <c r="DM181" s="1973">
        <v>30</v>
      </c>
      <c r="DO181" s="2023">
        <v>5</v>
      </c>
      <c r="DP181" s="2024">
        <v>387</v>
      </c>
      <c r="DQ181" s="2024">
        <v>0.1</v>
      </c>
      <c r="DR181" s="2023">
        <v>0</v>
      </c>
      <c r="DS181" s="2029">
        <v>30</v>
      </c>
      <c r="DT181" s="2029">
        <v>30</v>
      </c>
      <c r="DU181" s="2029">
        <v>30</v>
      </c>
      <c r="DV181" s="2029">
        <v>30</v>
      </c>
      <c r="DW181" s="1974"/>
      <c r="DX181" s="2029">
        <v>0</v>
      </c>
      <c r="DY181" s="2029">
        <v>0</v>
      </c>
      <c r="DZ181" s="2029">
        <v>0</v>
      </c>
      <c r="EA181" s="2029">
        <v>80</v>
      </c>
      <c r="EB181" s="2029">
        <v>80</v>
      </c>
      <c r="EC181" s="2029">
        <v>80</v>
      </c>
      <c r="ED181" s="2029">
        <v>80</v>
      </c>
      <c r="EE181" s="2039">
        <f t="shared" si="83"/>
        <v>0</v>
      </c>
      <c r="EF181" s="2039">
        <f t="shared" si="83"/>
        <v>0</v>
      </c>
      <c r="EG181" s="2039">
        <f t="shared" si="83"/>
        <v>0</v>
      </c>
      <c r="EH181" s="2039">
        <f t="shared" si="74"/>
        <v>0</v>
      </c>
      <c r="EI181" s="2040">
        <f t="shared" si="70"/>
        <v>0</v>
      </c>
      <c r="EJ181" s="2040">
        <f t="shared" si="70"/>
        <v>0</v>
      </c>
      <c r="EK181" s="2040">
        <f t="shared" si="70"/>
        <v>0</v>
      </c>
      <c r="EL181" s="2040">
        <f t="shared" si="70"/>
        <v>0</v>
      </c>
      <c r="EM181" s="2040">
        <f t="shared" si="70"/>
        <v>0</v>
      </c>
      <c r="EN181" s="2040">
        <f t="shared" si="70"/>
        <v>0</v>
      </c>
      <c r="EO181" s="2040">
        <f t="shared" si="99"/>
        <v>0</v>
      </c>
      <c r="EP181" s="2040">
        <f t="shared" si="99"/>
        <v>0</v>
      </c>
      <c r="EQ181" s="2040">
        <f t="shared" si="99"/>
        <v>0</v>
      </c>
      <c r="ER181" s="2040">
        <f t="shared" si="72"/>
        <v>0</v>
      </c>
      <c r="ES181" s="2040">
        <f t="shared" si="72"/>
        <v>0</v>
      </c>
      <c r="ET181" s="2040">
        <f t="shared" si="72"/>
        <v>0</v>
      </c>
      <c r="EU181" s="2039">
        <f t="shared" si="84"/>
        <v>0</v>
      </c>
      <c r="EV181" s="2039">
        <f t="shared" si="85"/>
        <v>0</v>
      </c>
    </row>
    <row r="182" spans="1:152" x14ac:dyDescent="0.25">
      <c r="A182" s="2041" t="s">
        <v>192</v>
      </c>
      <c r="B182" s="2022" t="s">
        <v>2961</v>
      </c>
      <c r="C182" s="2023">
        <v>5</v>
      </c>
      <c r="D182" s="2024">
        <v>387</v>
      </c>
      <c r="E182" s="2024">
        <v>0.1</v>
      </c>
      <c r="F182" s="2023">
        <v>0</v>
      </c>
      <c r="G182" s="2026" t="s">
        <v>2960</v>
      </c>
      <c r="H182" s="2026" t="s">
        <v>2960</v>
      </c>
      <c r="I182" s="2026">
        <v>0.83099999999999996</v>
      </c>
      <c r="J182" s="2026">
        <v>0.83099999999999996</v>
      </c>
      <c r="K182" s="2026">
        <v>0.83099999999999996</v>
      </c>
      <c r="L182" s="2026">
        <v>0.83099999999999996</v>
      </c>
      <c r="M182" s="2027">
        <f t="shared" si="86"/>
        <v>321.59699999999998</v>
      </c>
      <c r="N182" s="2027">
        <f t="shared" si="86"/>
        <v>321.59699999999998</v>
      </c>
      <c r="O182" s="2027">
        <f t="shared" si="86"/>
        <v>321.59699999999998</v>
      </c>
      <c r="P182" s="2027">
        <f t="shared" si="75"/>
        <v>321.59699999999998</v>
      </c>
      <c r="Q182" s="2026">
        <v>0.83099999999999996</v>
      </c>
      <c r="R182" s="2026">
        <v>0.83099999999999996</v>
      </c>
      <c r="S182" s="2026">
        <v>0.83099999999999996</v>
      </c>
      <c r="T182" s="2026">
        <v>0.83099999999999996</v>
      </c>
      <c r="U182" s="2028">
        <f t="shared" si="87"/>
        <v>8.3100000000000007E-2</v>
      </c>
      <c r="V182" s="2028">
        <f t="shared" si="87"/>
        <v>8.3100000000000007E-2</v>
      </c>
      <c r="W182" s="2028">
        <f t="shared" si="87"/>
        <v>8.3100000000000007E-2</v>
      </c>
      <c r="X182" s="2028">
        <f t="shared" si="76"/>
        <v>8.3100000000000007E-2</v>
      </c>
      <c r="Y182" s="2026">
        <v>0.83099999999999996</v>
      </c>
      <c r="Z182" s="2026">
        <v>0.83099999999999996</v>
      </c>
      <c r="AA182" s="2026">
        <v>0.83099999999999996</v>
      </c>
      <c r="AB182" s="2026">
        <v>0.83099999999999996</v>
      </c>
      <c r="AC182" s="2027">
        <f t="shared" si="100"/>
        <v>0</v>
      </c>
      <c r="AD182" s="2027">
        <f t="shared" si="100"/>
        <v>0</v>
      </c>
      <c r="AE182" s="2027">
        <f t="shared" si="100"/>
        <v>0</v>
      </c>
      <c r="AF182" s="2027">
        <f t="shared" si="100"/>
        <v>0</v>
      </c>
      <c r="AG182" s="2027">
        <v>1</v>
      </c>
      <c r="AH182" s="2027">
        <v>2</v>
      </c>
      <c r="AI182" s="2027">
        <v>2</v>
      </c>
      <c r="AJ182" s="2027">
        <v>2</v>
      </c>
      <c r="AK182" s="2027">
        <f t="shared" si="101"/>
        <v>321.59699999999998</v>
      </c>
      <c r="AL182" s="2027">
        <f t="shared" si="97"/>
        <v>643.19399999999996</v>
      </c>
      <c r="AM182" s="2027">
        <f t="shared" si="97"/>
        <v>643.19399999999996</v>
      </c>
      <c r="AN182" s="2027">
        <f t="shared" si="97"/>
        <v>643.19399999999996</v>
      </c>
      <c r="AO182" s="2027">
        <f t="shared" si="102"/>
        <v>0</v>
      </c>
      <c r="AP182" s="2027">
        <f t="shared" si="98"/>
        <v>0</v>
      </c>
      <c r="AQ182" s="2027">
        <f t="shared" si="98"/>
        <v>0</v>
      </c>
      <c r="AR182" s="2027">
        <f t="shared" si="98"/>
        <v>0</v>
      </c>
      <c r="AS182" s="2029">
        <v>30</v>
      </c>
      <c r="AT182" s="2029">
        <f t="shared" si="77"/>
        <v>30</v>
      </c>
      <c r="AU182" s="2029">
        <f t="shared" si="77"/>
        <v>30</v>
      </c>
      <c r="AV182" s="2029">
        <f t="shared" si="77"/>
        <v>30</v>
      </c>
      <c r="AW182" s="1974"/>
      <c r="AX182" s="2029">
        <f t="shared" si="95"/>
        <v>0</v>
      </c>
      <c r="AY182" s="2029">
        <f t="shared" si="95"/>
        <v>0</v>
      </c>
      <c r="AZ182" s="2029">
        <f t="shared" si="95"/>
        <v>0</v>
      </c>
      <c r="BA182" s="2029">
        <v>80</v>
      </c>
      <c r="BB182" s="2029">
        <f t="shared" si="96"/>
        <v>80</v>
      </c>
      <c r="BC182" s="2029">
        <f t="shared" si="96"/>
        <v>80</v>
      </c>
      <c r="BD182" s="2029">
        <f t="shared" si="96"/>
        <v>80</v>
      </c>
      <c r="BE182" s="2030">
        <f t="shared" si="80"/>
        <v>30</v>
      </c>
      <c r="BF182" s="2030">
        <f t="shared" si="80"/>
        <v>60</v>
      </c>
      <c r="BG182" s="2030">
        <f t="shared" si="80"/>
        <v>60</v>
      </c>
      <c r="BH182" s="2030">
        <f t="shared" si="73"/>
        <v>60</v>
      </c>
      <c r="BI182" s="2030">
        <f t="shared" si="81"/>
        <v>0</v>
      </c>
      <c r="BJ182" s="2030">
        <f t="shared" si="81"/>
        <v>0</v>
      </c>
      <c r="BK182" s="2030">
        <f t="shared" si="81"/>
        <v>0</v>
      </c>
      <c r="BL182" s="2030">
        <f t="shared" si="81"/>
        <v>0</v>
      </c>
      <c r="BM182" s="2031"/>
      <c r="BN182" s="2031"/>
      <c r="BO182" s="2031"/>
      <c r="BP182" s="2031"/>
      <c r="BQ182" s="2031"/>
      <c r="BR182" s="2031"/>
      <c r="BS182" s="2031"/>
      <c r="BT182" s="2031"/>
      <c r="BU182" s="2029"/>
      <c r="BV182" s="2029"/>
      <c r="BW182" s="2029"/>
      <c r="BX182" s="2029"/>
      <c r="BY182" s="2029"/>
      <c r="BZ182" s="2032"/>
      <c r="CA182" s="1974"/>
      <c r="CB182" s="1974"/>
      <c r="CC182" s="1974"/>
      <c r="CD182" s="1974"/>
      <c r="CE182" s="1974">
        <v>0</v>
      </c>
      <c r="CF182" s="2033">
        <v>1.3443837732356269E-6</v>
      </c>
      <c r="CG182" s="2026">
        <v>0</v>
      </c>
      <c r="CH182" s="2009">
        <v>0</v>
      </c>
      <c r="CI182" s="2029">
        <v>0</v>
      </c>
      <c r="CK182" s="2029">
        <f t="shared" si="82"/>
        <v>0</v>
      </c>
      <c r="CL182" s="2034">
        <v>1</v>
      </c>
      <c r="CM182" s="2034">
        <v>1</v>
      </c>
      <c r="CN182" s="2034">
        <v>1</v>
      </c>
      <c r="CO182" s="2034">
        <v>1</v>
      </c>
      <c r="CP182" s="2035"/>
      <c r="CQ182" s="2036"/>
      <c r="CR182" s="2036"/>
      <c r="CS182" s="2049"/>
      <c r="CT182" s="2049"/>
      <c r="CU182" s="2049"/>
      <c r="CW182" s="1973">
        <v>0</v>
      </c>
      <c r="CX182" s="2037">
        <v>30</v>
      </c>
      <c r="CY182" s="2037">
        <v>30</v>
      </c>
      <c r="CZ182" s="2037">
        <v>30</v>
      </c>
      <c r="DA182" s="2037">
        <v>30</v>
      </c>
      <c r="DJ182" s="1976">
        <v>30</v>
      </c>
      <c r="DK182" s="1973">
        <v>30</v>
      </c>
      <c r="DL182" s="1973">
        <v>30</v>
      </c>
      <c r="DM182" s="1973">
        <v>30</v>
      </c>
      <c r="DO182" s="2023">
        <v>5</v>
      </c>
      <c r="DP182" s="2024">
        <v>387</v>
      </c>
      <c r="DQ182" s="2024">
        <v>0.1</v>
      </c>
      <c r="DR182" s="2023">
        <v>0</v>
      </c>
      <c r="DS182" s="2029">
        <v>30</v>
      </c>
      <c r="DT182" s="2029">
        <v>30</v>
      </c>
      <c r="DU182" s="2029">
        <v>30</v>
      </c>
      <c r="DV182" s="2029">
        <v>30</v>
      </c>
      <c r="DW182" s="1974"/>
      <c r="DX182" s="2029">
        <v>0</v>
      </c>
      <c r="DY182" s="2029">
        <v>0</v>
      </c>
      <c r="DZ182" s="2029">
        <v>0</v>
      </c>
      <c r="EA182" s="2029">
        <v>80</v>
      </c>
      <c r="EB182" s="2029">
        <v>80</v>
      </c>
      <c r="EC182" s="2029">
        <v>80</v>
      </c>
      <c r="ED182" s="2029">
        <v>80</v>
      </c>
      <c r="EE182" s="2039">
        <f t="shared" si="83"/>
        <v>0</v>
      </c>
      <c r="EF182" s="2039">
        <f t="shared" si="83"/>
        <v>0</v>
      </c>
      <c r="EG182" s="2039">
        <f t="shared" si="83"/>
        <v>0</v>
      </c>
      <c r="EH182" s="2039">
        <f t="shared" si="74"/>
        <v>0</v>
      </c>
      <c r="EI182" s="2040">
        <f t="shared" si="70"/>
        <v>0</v>
      </c>
      <c r="EJ182" s="2040">
        <f t="shared" si="70"/>
        <v>0</v>
      </c>
      <c r="EK182" s="2040">
        <f t="shared" si="70"/>
        <v>0</v>
      </c>
      <c r="EL182" s="2040">
        <f t="shared" si="70"/>
        <v>0</v>
      </c>
      <c r="EM182" s="2040">
        <f t="shared" si="70"/>
        <v>0</v>
      </c>
      <c r="EN182" s="2040">
        <f t="shared" si="70"/>
        <v>0</v>
      </c>
      <c r="EO182" s="2040">
        <f t="shared" si="99"/>
        <v>0</v>
      </c>
      <c r="EP182" s="2040">
        <f t="shared" si="99"/>
        <v>0</v>
      </c>
      <c r="EQ182" s="2040">
        <f t="shared" si="99"/>
        <v>0</v>
      </c>
      <c r="ER182" s="2040">
        <f t="shared" si="72"/>
        <v>0</v>
      </c>
      <c r="ES182" s="2040">
        <f t="shared" si="72"/>
        <v>0</v>
      </c>
      <c r="ET182" s="2040">
        <f t="shared" si="72"/>
        <v>0</v>
      </c>
      <c r="EU182" s="2039">
        <f t="shared" si="84"/>
        <v>0</v>
      </c>
      <c r="EV182" s="2039">
        <f t="shared" si="85"/>
        <v>0</v>
      </c>
    </row>
    <row r="183" spans="1:152" x14ac:dyDescent="0.25">
      <c r="A183" s="2041" t="s">
        <v>193</v>
      </c>
      <c r="B183" s="2022" t="s">
        <v>2962</v>
      </c>
      <c r="C183" s="2023">
        <v>3</v>
      </c>
      <c r="D183" s="2024">
        <v>0</v>
      </c>
      <c r="E183" s="2024">
        <v>0</v>
      </c>
      <c r="F183" s="2068">
        <v>1596.992328311999</v>
      </c>
      <c r="G183" s="2026" t="s">
        <v>20</v>
      </c>
      <c r="H183" s="2026" t="s">
        <v>20</v>
      </c>
      <c r="I183" s="2026">
        <v>0.55700000000000005</v>
      </c>
      <c r="J183" s="2026">
        <v>0.55700000000000005</v>
      </c>
      <c r="K183" s="2026">
        <v>0.55700000000000005</v>
      </c>
      <c r="L183" s="2026">
        <v>0.55700000000000005</v>
      </c>
      <c r="M183" s="2027">
        <f t="shared" si="86"/>
        <v>0</v>
      </c>
      <c r="N183" s="2027">
        <f t="shared" si="86"/>
        <v>0</v>
      </c>
      <c r="O183" s="2027">
        <f t="shared" si="86"/>
        <v>0</v>
      </c>
      <c r="P183" s="2027">
        <f t="shared" si="75"/>
        <v>0</v>
      </c>
      <c r="Q183" s="2026">
        <v>0.55700000000000005</v>
      </c>
      <c r="R183" s="2026">
        <v>0.55700000000000005</v>
      </c>
      <c r="S183" s="2026">
        <v>0.55700000000000005</v>
      </c>
      <c r="T183" s="2026">
        <v>0.55700000000000005</v>
      </c>
      <c r="U183" s="2028">
        <f t="shared" si="87"/>
        <v>0</v>
      </c>
      <c r="V183" s="2028">
        <f t="shared" si="87"/>
        <v>0</v>
      </c>
      <c r="W183" s="2028">
        <f t="shared" si="87"/>
        <v>0</v>
      </c>
      <c r="X183" s="2028">
        <f t="shared" si="76"/>
        <v>0</v>
      </c>
      <c r="Y183" s="2026">
        <v>0.49399999999999999</v>
      </c>
      <c r="Z183" s="2026">
        <v>0.49399999999999999</v>
      </c>
      <c r="AA183" s="2026">
        <v>0.49399999999999999</v>
      </c>
      <c r="AB183" s="2026">
        <v>0.49399999999999999</v>
      </c>
      <c r="AC183" s="2027">
        <f t="shared" si="100"/>
        <v>788.91421018612755</v>
      </c>
      <c r="AD183" s="2027">
        <f t="shared" si="100"/>
        <v>788.91421018612755</v>
      </c>
      <c r="AE183" s="2027">
        <f t="shared" si="100"/>
        <v>788.91421018612755</v>
      </c>
      <c r="AF183" s="2027">
        <f t="shared" si="100"/>
        <v>788.91421018612755</v>
      </c>
      <c r="AG183" s="2027">
        <v>30</v>
      </c>
      <c r="AH183" s="2027">
        <v>27</v>
      </c>
      <c r="AI183" s="2027">
        <v>28</v>
      </c>
      <c r="AJ183" s="2027">
        <v>28</v>
      </c>
      <c r="AK183" s="2027">
        <f t="shared" si="101"/>
        <v>0</v>
      </c>
      <c r="AL183" s="2027">
        <f t="shared" si="97"/>
        <v>0</v>
      </c>
      <c r="AM183" s="2027">
        <f t="shared" si="97"/>
        <v>0</v>
      </c>
      <c r="AN183" s="2027">
        <f t="shared" si="97"/>
        <v>0</v>
      </c>
      <c r="AO183" s="2027">
        <f t="shared" si="102"/>
        <v>23667.426305583827</v>
      </c>
      <c r="AP183" s="2027">
        <f t="shared" si="98"/>
        <v>21300.683675025444</v>
      </c>
      <c r="AQ183" s="2027">
        <f t="shared" si="98"/>
        <v>22089.597885211573</v>
      </c>
      <c r="AR183" s="2027">
        <f t="shared" si="98"/>
        <v>22089.597885211573</v>
      </c>
      <c r="AS183" s="2029"/>
      <c r="AT183" s="2029">
        <f t="shared" si="77"/>
        <v>0</v>
      </c>
      <c r="AU183" s="2029">
        <f t="shared" si="77"/>
        <v>0</v>
      </c>
      <c r="AV183" s="2029">
        <f t="shared" si="77"/>
        <v>0</v>
      </c>
      <c r="AW183" s="2029">
        <v>873.81692307692299</v>
      </c>
      <c r="AX183" s="2029">
        <f t="shared" si="95"/>
        <v>873.81692307692299</v>
      </c>
      <c r="AY183" s="2029">
        <f t="shared" si="95"/>
        <v>873.81692307692299</v>
      </c>
      <c r="AZ183" s="2029">
        <f t="shared" si="95"/>
        <v>873.81692307692299</v>
      </c>
      <c r="BA183" s="2029">
        <v>604.39003846153832</v>
      </c>
      <c r="BB183" s="2029">
        <f t="shared" si="96"/>
        <v>604.39003846153832</v>
      </c>
      <c r="BC183" s="2029">
        <f t="shared" si="96"/>
        <v>604.39003846153832</v>
      </c>
      <c r="BD183" s="2029">
        <f t="shared" si="96"/>
        <v>604.39003846153832</v>
      </c>
      <c r="BE183" s="2030">
        <f t="shared" si="80"/>
        <v>0</v>
      </c>
      <c r="BF183" s="2030">
        <f t="shared" si="80"/>
        <v>0</v>
      </c>
      <c r="BG183" s="2030">
        <f t="shared" si="80"/>
        <v>0</v>
      </c>
      <c r="BH183" s="2030">
        <f t="shared" si="73"/>
        <v>0</v>
      </c>
      <c r="BI183" s="2030">
        <f t="shared" si="81"/>
        <v>26214.507692307689</v>
      </c>
      <c r="BJ183" s="2030">
        <f t="shared" si="81"/>
        <v>23593.056923076922</v>
      </c>
      <c r="BK183" s="2030">
        <f t="shared" si="81"/>
        <v>24466.873846153845</v>
      </c>
      <c r="BL183" s="2030">
        <f t="shared" si="81"/>
        <v>24466.873846153845</v>
      </c>
      <c r="BM183" s="2031"/>
      <c r="BN183" s="2031"/>
      <c r="BO183" s="2031"/>
      <c r="BP183" s="2031"/>
      <c r="BQ183" s="2031"/>
      <c r="BR183" s="2031"/>
      <c r="BS183" s="2031"/>
      <c r="BT183" s="2031"/>
      <c r="BU183" s="2029"/>
      <c r="BV183" s="2029"/>
      <c r="BW183" s="2029"/>
      <c r="BX183" s="2029"/>
      <c r="BY183" s="2029"/>
      <c r="BZ183" s="2032"/>
      <c r="CA183" s="1974"/>
      <c r="CB183" s="1974"/>
      <c r="CC183" s="1974"/>
      <c r="CD183" s="1974"/>
      <c r="CE183" s="1974">
        <v>0</v>
      </c>
      <c r="CF183" s="2033">
        <v>0</v>
      </c>
      <c r="CG183" s="2026">
        <v>8.8298535780687217E-3</v>
      </c>
      <c r="CH183" s="2009">
        <v>0</v>
      </c>
      <c r="CI183" s="2029">
        <v>0</v>
      </c>
      <c r="CK183" s="2029">
        <f t="shared" si="82"/>
        <v>0</v>
      </c>
      <c r="CL183" s="2034">
        <v>1</v>
      </c>
      <c r="CM183" s="2034">
        <v>1</v>
      </c>
      <c r="CN183" s="2034">
        <v>1</v>
      </c>
      <c r="CO183" s="2034">
        <v>1</v>
      </c>
      <c r="CP183" s="2035"/>
      <c r="CQ183" s="2036"/>
      <c r="CR183" s="2036"/>
      <c r="CS183" s="2036"/>
      <c r="CT183" s="2036"/>
      <c r="CU183" s="2036"/>
      <c r="CW183" s="1973">
        <v>0</v>
      </c>
      <c r="CX183" s="2037">
        <v>873.81692307692299</v>
      </c>
      <c r="CY183" s="2037">
        <v>873.81692307692299</v>
      </c>
      <c r="CZ183" s="2037">
        <v>873.81692307692299</v>
      </c>
      <c r="DA183" s="2037">
        <v>873.81692307692299</v>
      </c>
      <c r="DK183" s="1973">
        <v>0</v>
      </c>
      <c r="DL183" s="1973">
        <v>0</v>
      </c>
      <c r="DM183" s="1973">
        <v>0</v>
      </c>
      <c r="DO183" s="2023">
        <v>3</v>
      </c>
      <c r="DP183" s="2024">
        <v>0</v>
      </c>
      <c r="DQ183" s="2024">
        <v>0</v>
      </c>
      <c r="DR183" s="2023">
        <v>1596.992328311999</v>
      </c>
      <c r="DS183" s="2029"/>
      <c r="DT183" s="2029">
        <v>0</v>
      </c>
      <c r="DU183" s="2029">
        <v>0</v>
      </c>
      <c r="DV183" s="2029">
        <v>0</v>
      </c>
      <c r="DW183" s="2029">
        <v>873.81692307692299</v>
      </c>
      <c r="DX183" s="2029">
        <v>873.81692307692299</v>
      </c>
      <c r="DY183" s="2029">
        <v>873.81692307692299</v>
      </c>
      <c r="DZ183" s="2029">
        <v>873.81692307692299</v>
      </c>
      <c r="EA183" s="2029">
        <v>604.39003846153832</v>
      </c>
      <c r="EB183" s="2029">
        <v>604.39003846153832</v>
      </c>
      <c r="EC183" s="2029">
        <v>604.39003846153832</v>
      </c>
      <c r="ED183" s="2029">
        <v>604.39003846153832</v>
      </c>
      <c r="EE183" s="2039">
        <f t="shared" si="83"/>
        <v>0</v>
      </c>
      <c r="EF183" s="2039">
        <f t="shared" si="83"/>
        <v>0</v>
      </c>
      <c r="EG183" s="2039">
        <f t="shared" si="83"/>
        <v>0</v>
      </c>
      <c r="EH183" s="2039">
        <f t="shared" si="74"/>
        <v>0</v>
      </c>
      <c r="EI183" s="2040">
        <f t="shared" si="70"/>
        <v>0</v>
      </c>
      <c r="EJ183" s="2040">
        <f t="shared" si="70"/>
        <v>0</v>
      </c>
      <c r="EK183" s="2040">
        <f t="shared" si="70"/>
        <v>0</v>
      </c>
      <c r="EL183" s="2040">
        <f t="shared" si="70"/>
        <v>0</v>
      </c>
      <c r="EM183" s="2040">
        <f t="shared" si="70"/>
        <v>0</v>
      </c>
      <c r="EN183" s="2040">
        <f t="shared" si="70"/>
        <v>0</v>
      </c>
      <c r="EO183" s="2040">
        <f t="shared" si="99"/>
        <v>0</v>
      </c>
      <c r="EP183" s="2040">
        <f t="shared" si="99"/>
        <v>0</v>
      </c>
      <c r="EQ183" s="2040">
        <f t="shared" si="99"/>
        <v>0</v>
      </c>
      <c r="ER183" s="2040">
        <f t="shared" si="72"/>
        <v>0</v>
      </c>
      <c r="ES183" s="2040">
        <f t="shared" si="72"/>
        <v>0</v>
      </c>
      <c r="ET183" s="2040">
        <f t="shared" si="72"/>
        <v>0</v>
      </c>
      <c r="EU183" s="2039">
        <f t="shared" si="84"/>
        <v>0</v>
      </c>
      <c r="EV183" s="2039">
        <f t="shared" si="85"/>
        <v>0</v>
      </c>
    </row>
    <row r="184" spans="1:152" x14ac:dyDescent="0.25">
      <c r="A184" s="2041" t="s">
        <v>265</v>
      </c>
      <c r="B184" s="2022" t="s">
        <v>2963</v>
      </c>
      <c r="C184" s="2023">
        <v>20</v>
      </c>
      <c r="D184" s="2024">
        <v>0</v>
      </c>
      <c r="E184" s="2024">
        <v>0</v>
      </c>
      <c r="F184" s="2023">
        <v>358.38875000000002</v>
      </c>
      <c r="G184" s="2026" t="s">
        <v>20</v>
      </c>
      <c r="H184" s="2026" t="s">
        <v>20</v>
      </c>
      <c r="I184" s="2026">
        <v>0.55700000000000005</v>
      </c>
      <c r="J184" s="2026">
        <v>0.55700000000000005</v>
      </c>
      <c r="K184" s="2026">
        <v>0.55700000000000005</v>
      </c>
      <c r="L184" s="2026">
        <v>0.55700000000000005</v>
      </c>
      <c r="M184" s="2027">
        <f t="shared" si="86"/>
        <v>0</v>
      </c>
      <c r="N184" s="2027">
        <f t="shared" si="86"/>
        <v>0</v>
      </c>
      <c r="O184" s="2027">
        <f t="shared" si="86"/>
        <v>0</v>
      </c>
      <c r="P184" s="2027">
        <f t="shared" si="75"/>
        <v>0</v>
      </c>
      <c r="Q184" s="2026">
        <v>0.55700000000000005</v>
      </c>
      <c r="R184" s="2026">
        <v>0.55700000000000005</v>
      </c>
      <c r="S184" s="2026">
        <v>0.55700000000000005</v>
      </c>
      <c r="T184" s="2026">
        <v>0.55700000000000005</v>
      </c>
      <c r="U184" s="2028">
        <f t="shared" si="87"/>
        <v>0</v>
      </c>
      <c r="V184" s="2028">
        <f t="shared" si="87"/>
        <v>0</v>
      </c>
      <c r="W184" s="2028">
        <f t="shared" si="87"/>
        <v>0</v>
      </c>
      <c r="X184" s="2028">
        <f t="shared" si="76"/>
        <v>0</v>
      </c>
      <c r="Y184" s="2026">
        <v>0.49399999999999999</v>
      </c>
      <c r="Z184" s="2026">
        <v>0.49399999999999999</v>
      </c>
      <c r="AA184" s="2026">
        <v>0.49399999999999999</v>
      </c>
      <c r="AB184" s="2026">
        <v>0.49399999999999999</v>
      </c>
      <c r="AC184" s="2027">
        <f t="shared" si="100"/>
        <v>177.04404250000002</v>
      </c>
      <c r="AD184" s="2027">
        <f t="shared" si="100"/>
        <v>177.04404250000002</v>
      </c>
      <c r="AE184" s="2027">
        <f t="shared" si="100"/>
        <v>177.04404250000002</v>
      </c>
      <c r="AF184" s="2027">
        <f t="shared" si="100"/>
        <v>177.04404250000002</v>
      </c>
      <c r="AG184" s="2027">
        <v>0</v>
      </c>
      <c r="AH184" s="2027">
        <v>0</v>
      </c>
      <c r="AI184" s="2027">
        <v>0</v>
      </c>
      <c r="AJ184" s="2027">
        <v>0</v>
      </c>
      <c r="AK184" s="2027">
        <f t="shared" si="101"/>
        <v>0</v>
      </c>
      <c r="AL184" s="2027">
        <f t="shared" si="97"/>
        <v>0</v>
      </c>
      <c r="AM184" s="2027">
        <f t="shared" si="97"/>
        <v>0</v>
      </c>
      <c r="AN184" s="2027">
        <f t="shared" si="97"/>
        <v>0</v>
      </c>
      <c r="AO184" s="2027">
        <f t="shared" si="102"/>
        <v>0</v>
      </c>
      <c r="AP184" s="2027">
        <f t="shared" si="98"/>
        <v>0</v>
      </c>
      <c r="AQ184" s="2027">
        <f t="shared" si="98"/>
        <v>0</v>
      </c>
      <c r="AR184" s="2027">
        <f t="shared" si="98"/>
        <v>0</v>
      </c>
      <c r="AS184" s="2029"/>
      <c r="AT184" s="2029">
        <f t="shared" si="77"/>
        <v>0</v>
      </c>
      <c r="AU184" s="2029">
        <f t="shared" si="77"/>
        <v>0</v>
      </c>
      <c r="AV184" s="2029">
        <f t="shared" si="77"/>
        <v>0</v>
      </c>
      <c r="AW184" s="2029">
        <v>510</v>
      </c>
      <c r="AX184" s="2029">
        <f t="shared" si="95"/>
        <v>510</v>
      </c>
      <c r="AY184" s="2029">
        <f t="shared" si="95"/>
        <v>510</v>
      </c>
      <c r="AZ184" s="2029">
        <f t="shared" si="95"/>
        <v>510</v>
      </c>
      <c r="BA184" s="2029">
        <v>1470</v>
      </c>
      <c r="BB184" s="2029">
        <f t="shared" si="96"/>
        <v>1470</v>
      </c>
      <c r="BC184" s="2029">
        <f t="shared" si="96"/>
        <v>1470</v>
      </c>
      <c r="BD184" s="2029">
        <f t="shared" si="96"/>
        <v>1470</v>
      </c>
      <c r="BE184" s="2030">
        <f t="shared" si="80"/>
        <v>0</v>
      </c>
      <c r="BF184" s="2030">
        <f t="shared" si="80"/>
        <v>0</v>
      </c>
      <c r="BG184" s="2030">
        <f t="shared" si="80"/>
        <v>0</v>
      </c>
      <c r="BH184" s="2030">
        <f t="shared" si="73"/>
        <v>0</v>
      </c>
      <c r="BI184" s="2030">
        <f t="shared" si="81"/>
        <v>0</v>
      </c>
      <c r="BJ184" s="2030">
        <f t="shared" si="81"/>
        <v>0</v>
      </c>
      <c r="BK184" s="2030">
        <f t="shared" si="81"/>
        <v>0</v>
      </c>
      <c r="BL184" s="2030">
        <f t="shared" si="81"/>
        <v>0</v>
      </c>
      <c r="BM184" s="2031"/>
      <c r="BN184" s="2031"/>
      <c r="BO184" s="2031"/>
      <c r="BP184" s="2031"/>
      <c r="BQ184" s="2031"/>
      <c r="BR184" s="2031"/>
      <c r="BS184" s="2031"/>
      <c r="BT184" s="2031"/>
      <c r="BU184" s="2029"/>
      <c r="BV184" s="2029"/>
      <c r="BW184" s="2029"/>
      <c r="BX184" s="2029"/>
      <c r="BY184" s="2029"/>
      <c r="BZ184" s="2032"/>
      <c r="CA184" s="1974"/>
      <c r="CB184" s="1974"/>
      <c r="CC184" s="1974"/>
      <c r="CD184" s="1974"/>
      <c r="CE184" s="1974">
        <v>0</v>
      </c>
      <c r="CF184" s="2033">
        <v>0</v>
      </c>
      <c r="CG184" s="2026">
        <v>0</v>
      </c>
      <c r="CH184" s="2009">
        <v>0</v>
      </c>
      <c r="CI184" s="2029">
        <v>0</v>
      </c>
      <c r="CK184" s="2029">
        <f t="shared" si="82"/>
        <v>0</v>
      </c>
      <c r="CL184" s="2034">
        <v>1</v>
      </c>
      <c r="CM184" s="2034">
        <v>1</v>
      </c>
      <c r="CN184" s="2034">
        <v>1</v>
      </c>
      <c r="CO184" s="2034">
        <v>1</v>
      </c>
      <c r="CP184" s="2035"/>
      <c r="CQ184" s="2036"/>
      <c r="CR184" s="2036"/>
      <c r="CS184" s="2049"/>
      <c r="CT184" s="2049"/>
      <c r="CU184" s="2049"/>
      <c r="CW184" s="1973">
        <v>0</v>
      </c>
      <c r="CX184" s="2037">
        <v>510</v>
      </c>
      <c r="CY184" s="2037">
        <v>510</v>
      </c>
      <c r="CZ184" s="2037">
        <v>510</v>
      </c>
      <c r="DA184" s="2037">
        <v>510</v>
      </c>
      <c r="DK184" s="1973">
        <v>0</v>
      </c>
      <c r="DL184" s="1973">
        <v>0</v>
      </c>
      <c r="DM184" s="1973">
        <v>0</v>
      </c>
      <c r="DO184" s="2023">
        <v>20</v>
      </c>
      <c r="DP184" s="2024">
        <v>0</v>
      </c>
      <c r="DQ184" s="2024">
        <v>0</v>
      </c>
      <c r="DR184" s="2023">
        <v>358.38875000000002</v>
      </c>
      <c r="DS184" s="2029"/>
      <c r="DT184" s="2029">
        <v>0</v>
      </c>
      <c r="DU184" s="2029">
        <v>0</v>
      </c>
      <c r="DV184" s="2029">
        <v>0</v>
      </c>
      <c r="DW184" s="2029">
        <v>510</v>
      </c>
      <c r="DX184" s="2029">
        <v>510</v>
      </c>
      <c r="DY184" s="2029">
        <v>510</v>
      </c>
      <c r="DZ184" s="2029">
        <v>510</v>
      </c>
      <c r="EA184" s="2029">
        <v>1470</v>
      </c>
      <c r="EB184" s="2029">
        <v>1470</v>
      </c>
      <c r="EC184" s="2029">
        <v>1470</v>
      </c>
      <c r="ED184" s="2029">
        <v>1470</v>
      </c>
      <c r="EE184" s="2039">
        <f t="shared" si="83"/>
        <v>0</v>
      </c>
      <c r="EF184" s="2039">
        <f t="shared" si="83"/>
        <v>0</v>
      </c>
      <c r="EG184" s="2039">
        <f t="shared" si="83"/>
        <v>0</v>
      </c>
      <c r="EH184" s="2039">
        <f t="shared" si="74"/>
        <v>0</v>
      </c>
      <c r="EI184" s="2040">
        <f t="shared" si="70"/>
        <v>0</v>
      </c>
      <c r="EJ184" s="2040">
        <f t="shared" si="70"/>
        <v>0</v>
      </c>
      <c r="EK184" s="2040">
        <f t="shared" si="70"/>
        <v>0</v>
      </c>
      <c r="EL184" s="2040">
        <f t="shared" si="70"/>
        <v>0</v>
      </c>
      <c r="EM184" s="2040">
        <f t="shared" si="70"/>
        <v>0</v>
      </c>
      <c r="EN184" s="2040">
        <f t="shared" si="70"/>
        <v>0</v>
      </c>
      <c r="EO184" s="2040">
        <f t="shared" si="99"/>
        <v>0</v>
      </c>
      <c r="EP184" s="2040">
        <f t="shared" si="99"/>
        <v>0</v>
      </c>
      <c r="EQ184" s="2040">
        <f t="shared" si="99"/>
        <v>0</v>
      </c>
      <c r="ER184" s="2040">
        <f t="shared" si="72"/>
        <v>0</v>
      </c>
      <c r="ES184" s="2040">
        <f t="shared" si="72"/>
        <v>0</v>
      </c>
      <c r="ET184" s="2040">
        <f t="shared" si="72"/>
        <v>0</v>
      </c>
      <c r="EU184" s="2039">
        <f t="shared" si="84"/>
        <v>0</v>
      </c>
      <c r="EV184" s="2039">
        <f t="shared" si="85"/>
        <v>0</v>
      </c>
    </row>
    <row r="185" spans="1:152" x14ac:dyDescent="0.25">
      <c r="A185" s="2041" t="s">
        <v>194</v>
      </c>
      <c r="B185" s="2022" t="s">
        <v>2964</v>
      </c>
      <c r="C185" s="2023">
        <v>20</v>
      </c>
      <c r="D185" s="2024">
        <v>0</v>
      </c>
      <c r="E185" s="2024">
        <v>0</v>
      </c>
      <c r="F185" s="2068">
        <v>1071.5740261700303</v>
      </c>
      <c r="G185" s="2026" t="s">
        <v>20</v>
      </c>
      <c r="H185" s="2026" t="s">
        <v>20</v>
      </c>
      <c r="I185" s="2026">
        <v>0.55700000000000005</v>
      </c>
      <c r="J185" s="2026">
        <v>0.55700000000000005</v>
      </c>
      <c r="K185" s="2026">
        <v>0.55700000000000005</v>
      </c>
      <c r="L185" s="2026">
        <v>0.55700000000000005</v>
      </c>
      <c r="M185" s="2027">
        <f t="shared" si="86"/>
        <v>0</v>
      </c>
      <c r="N185" s="2027">
        <f t="shared" si="86"/>
        <v>0</v>
      </c>
      <c r="O185" s="2027">
        <f t="shared" si="86"/>
        <v>0</v>
      </c>
      <c r="P185" s="2027">
        <f t="shared" si="75"/>
        <v>0</v>
      </c>
      <c r="Q185" s="2026">
        <v>0.55700000000000005</v>
      </c>
      <c r="R185" s="2026">
        <v>0.55700000000000005</v>
      </c>
      <c r="S185" s="2026">
        <v>0.55700000000000005</v>
      </c>
      <c r="T185" s="2026">
        <v>0.55700000000000005</v>
      </c>
      <c r="U185" s="2028">
        <f t="shared" si="87"/>
        <v>0</v>
      </c>
      <c r="V185" s="2028">
        <f t="shared" si="87"/>
        <v>0</v>
      </c>
      <c r="W185" s="2028">
        <f t="shared" si="87"/>
        <v>0</v>
      </c>
      <c r="X185" s="2028">
        <f t="shared" si="76"/>
        <v>0</v>
      </c>
      <c r="Y185" s="2026">
        <v>0.49399999999999999</v>
      </c>
      <c r="Z185" s="2026">
        <v>0.49399999999999999</v>
      </c>
      <c r="AA185" s="2026">
        <v>0.49399999999999999</v>
      </c>
      <c r="AB185" s="2026">
        <v>0.49399999999999999</v>
      </c>
      <c r="AC185" s="2027">
        <f t="shared" si="100"/>
        <v>529.35756892799498</v>
      </c>
      <c r="AD185" s="2027">
        <f t="shared" si="100"/>
        <v>529.35756892799498</v>
      </c>
      <c r="AE185" s="2027">
        <f t="shared" si="100"/>
        <v>529.35756892799498</v>
      </c>
      <c r="AF185" s="2027">
        <f t="shared" si="100"/>
        <v>529.35756892799498</v>
      </c>
      <c r="AG185" s="2027">
        <v>30</v>
      </c>
      <c r="AH185" s="2027">
        <v>29</v>
      </c>
      <c r="AI185" s="2027">
        <v>29</v>
      </c>
      <c r="AJ185" s="2027">
        <v>33</v>
      </c>
      <c r="AK185" s="2027">
        <f t="shared" si="101"/>
        <v>0</v>
      </c>
      <c r="AL185" s="2027">
        <f t="shared" si="97"/>
        <v>0</v>
      </c>
      <c r="AM185" s="2027">
        <f t="shared" si="97"/>
        <v>0</v>
      </c>
      <c r="AN185" s="2027">
        <f t="shared" si="97"/>
        <v>0</v>
      </c>
      <c r="AO185" s="2027">
        <f t="shared" si="102"/>
        <v>15880.727067839849</v>
      </c>
      <c r="AP185" s="2027">
        <f t="shared" si="98"/>
        <v>15351.369498911854</v>
      </c>
      <c r="AQ185" s="2027">
        <f t="shared" si="98"/>
        <v>15351.369498911854</v>
      </c>
      <c r="AR185" s="2027">
        <f t="shared" si="98"/>
        <v>17468.799774623832</v>
      </c>
      <c r="AS185" s="2029"/>
      <c r="AT185" s="2029">
        <f t="shared" si="77"/>
        <v>0</v>
      </c>
      <c r="AU185" s="2029">
        <f t="shared" si="77"/>
        <v>0</v>
      </c>
      <c r="AV185" s="2029">
        <f t="shared" si="77"/>
        <v>0</v>
      </c>
      <c r="AW185" s="2029">
        <v>2284.3137254901962</v>
      </c>
      <c r="AX185" s="2029">
        <f t="shared" si="95"/>
        <v>2284.3137254901962</v>
      </c>
      <c r="AY185" s="2029">
        <f t="shared" si="95"/>
        <v>2284.3137254901962</v>
      </c>
      <c r="AZ185" s="2029">
        <f t="shared" si="95"/>
        <v>2284.3137254901962</v>
      </c>
      <c r="BA185" s="2029">
        <v>2799.4117647058824</v>
      </c>
      <c r="BB185" s="2029">
        <f t="shared" si="96"/>
        <v>2799.4117647058824</v>
      </c>
      <c r="BC185" s="2029">
        <f t="shared" si="96"/>
        <v>2799.4117647058824</v>
      </c>
      <c r="BD185" s="2029">
        <f t="shared" si="96"/>
        <v>2799.4117647058824</v>
      </c>
      <c r="BE185" s="2030">
        <f t="shared" si="80"/>
        <v>0</v>
      </c>
      <c r="BF185" s="2030">
        <f t="shared" si="80"/>
        <v>0</v>
      </c>
      <c r="BG185" s="2030">
        <f t="shared" si="80"/>
        <v>0</v>
      </c>
      <c r="BH185" s="2030">
        <f t="shared" si="73"/>
        <v>0</v>
      </c>
      <c r="BI185" s="2030">
        <f t="shared" si="81"/>
        <v>68529.411764705888</v>
      </c>
      <c r="BJ185" s="2030">
        <f t="shared" si="81"/>
        <v>66245.098039215693</v>
      </c>
      <c r="BK185" s="2030">
        <f t="shared" si="81"/>
        <v>66245.098039215693</v>
      </c>
      <c r="BL185" s="2030">
        <f t="shared" si="81"/>
        <v>75382.352941176476</v>
      </c>
      <c r="BM185" s="2031"/>
      <c r="BN185" s="2031"/>
      <c r="BO185" s="2031"/>
      <c r="BP185" s="2031"/>
      <c r="BQ185" s="2031"/>
      <c r="BR185" s="2031"/>
      <c r="BS185" s="2031"/>
      <c r="BT185" s="2031"/>
      <c r="BU185" s="2029"/>
      <c r="BV185" s="2029"/>
      <c r="BW185" s="2029"/>
      <c r="BX185" s="2029"/>
      <c r="BY185" s="2029"/>
      <c r="BZ185" s="2032"/>
      <c r="CA185" s="1974"/>
      <c r="CB185" s="1974"/>
      <c r="CC185" s="1974"/>
      <c r="CD185" s="1974"/>
      <c r="CE185" s="1974">
        <v>0</v>
      </c>
      <c r="CF185" s="2033">
        <v>0</v>
      </c>
      <c r="CG185" s="2026">
        <v>3.1088076986877673E-3</v>
      </c>
      <c r="CH185" s="2009">
        <v>0</v>
      </c>
      <c r="CI185" s="2029">
        <v>0</v>
      </c>
      <c r="CK185" s="2029">
        <f t="shared" si="82"/>
        <v>0</v>
      </c>
      <c r="CL185" s="2034">
        <v>1</v>
      </c>
      <c r="CM185" s="2034">
        <v>1</v>
      </c>
      <c r="CN185" s="2034">
        <v>1</v>
      </c>
      <c r="CO185" s="2034">
        <v>1</v>
      </c>
      <c r="CP185" s="2035"/>
      <c r="CQ185" s="2036"/>
      <c r="CR185" s="2036"/>
      <c r="CS185" s="2049"/>
      <c r="CT185" s="2049"/>
      <c r="CU185" s="2049"/>
      <c r="CW185" s="1973">
        <v>0</v>
      </c>
      <c r="CX185" s="2037">
        <v>2200</v>
      </c>
      <c r="CY185" s="2037">
        <v>2200</v>
      </c>
      <c r="CZ185" s="2037">
        <v>2200</v>
      </c>
      <c r="DA185" s="2037">
        <v>2200</v>
      </c>
      <c r="DK185" s="1973">
        <v>0</v>
      </c>
      <c r="DL185" s="1973">
        <v>0</v>
      </c>
      <c r="DM185" s="1973">
        <v>0</v>
      </c>
      <c r="DO185" s="2043">
        <v>20</v>
      </c>
      <c r="DP185" s="2044">
        <v>0</v>
      </c>
      <c r="DQ185" s="2044">
        <v>0</v>
      </c>
      <c r="DR185" s="2043">
        <v>1071.5740261700303</v>
      </c>
      <c r="DS185" s="2046"/>
      <c r="DT185" s="2046">
        <v>0</v>
      </c>
      <c r="DU185" s="2046">
        <v>0</v>
      </c>
      <c r="DV185" s="2046">
        <v>0</v>
      </c>
      <c r="DW185" s="2046">
        <v>2284.3137254901962</v>
      </c>
      <c r="DX185" s="2046">
        <v>2284.3137254901962</v>
      </c>
      <c r="DY185" s="2046">
        <v>2284.3137254901962</v>
      </c>
      <c r="DZ185" s="2046">
        <v>2284.3137254901962</v>
      </c>
      <c r="EA185" s="2046">
        <v>2799.4117647058824</v>
      </c>
      <c r="EB185" s="2046">
        <v>2799.4117647058824</v>
      </c>
      <c r="EC185" s="2046">
        <v>2799.4117647058824</v>
      </c>
      <c r="ED185" s="2046">
        <v>2799.4117647058824</v>
      </c>
      <c r="EE185" s="2039">
        <f t="shared" si="83"/>
        <v>0</v>
      </c>
      <c r="EF185" s="2039">
        <f t="shared" si="83"/>
        <v>0</v>
      </c>
      <c r="EG185" s="2039">
        <f t="shared" si="83"/>
        <v>0</v>
      </c>
      <c r="EH185" s="2039">
        <f t="shared" si="74"/>
        <v>0</v>
      </c>
      <c r="EI185" s="2040">
        <f t="shared" ref="EI185:EQ226" si="103">AS185-DS185</f>
        <v>0</v>
      </c>
      <c r="EJ185" s="2040">
        <f t="shared" si="103"/>
        <v>0</v>
      </c>
      <c r="EK185" s="2040">
        <f t="shared" si="103"/>
        <v>0</v>
      </c>
      <c r="EL185" s="2040">
        <f t="shared" si="103"/>
        <v>0</v>
      </c>
      <c r="EM185" s="2040">
        <f t="shared" si="103"/>
        <v>0</v>
      </c>
      <c r="EN185" s="2040">
        <f t="shared" si="103"/>
        <v>0</v>
      </c>
      <c r="EO185" s="2040">
        <f t="shared" si="99"/>
        <v>0</v>
      </c>
      <c r="EP185" s="2040">
        <f t="shared" si="99"/>
        <v>0</v>
      </c>
      <c r="EQ185" s="2040">
        <f t="shared" si="99"/>
        <v>0</v>
      </c>
      <c r="ER185" s="2040">
        <f t="shared" si="72"/>
        <v>0</v>
      </c>
      <c r="ES185" s="2040">
        <f t="shared" si="72"/>
        <v>0</v>
      </c>
      <c r="ET185" s="2040">
        <f t="shared" si="72"/>
        <v>0</v>
      </c>
      <c r="EU185" s="2039">
        <f t="shared" si="84"/>
        <v>0</v>
      </c>
      <c r="EV185" s="2039">
        <f t="shared" si="85"/>
        <v>0</v>
      </c>
    </row>
    <row r="186" spans="1:152" x14ac:dyDescent="0.25">
      <c r="A186" s="2041" t="s">
        <v>266</v>
      </c>
      <c r="B186" s="2022" t="s">
        <v>2965</v>
      </c>
      <c r="C186" s="2023">
        <v>16.5</v>
      </c>
      <c r="D186" s="2024">
        <v>710</v>
      </c>
      <c r="E186" s="2024">
        <v>3.8899999999999997E-2</v>
      </c>
      <c r="F186" s="2023">
        <v>182.6</v>
      </c>
      <c r="G186" s="2026" t="s">
        <v>20</v>
      </c>
      <c r="H186" s="2026" t="s">
        <v>20</v>
      </c>
      <c r="I186" s="2026">
        <v>0.55700000000000005</v>
      </c>
      <c r="J186" s="2026">
        <v>0.55700000000000005</v>
      </c>
      <c r="K186" s="2026">
        <v>0.55700000000000005</v>
      </c>
      <c r="L186" s="2026">
        <v>0.55700000000000005</v>
      </c>
      <c r="M186" s="2027">
        <f t="shared" si="86"/>
        <v>395.47</v>
      </c>
      <c r="N186" s="2027">
        <f t="shared" si="86"/>
        <v>395.47</v>
      </c>
      <c r="O186" s="2027">
        <f t="shared" si="86"/>
        <v>395.47</v>
      </c>
      <c r="P186" s="2027">
        <f t="shared" si="75"/>
        <v>395.47</v>
      </c>
      <c r="Q186" s="2026">
        <v>0.55700000000000005</v>
      </c>
      <c r="R186" s="2026">
        <v>0.55700000000000005</v>
      </c>
      <c r="S186" s="2026">
        <v>0.55700000000000005</v>
      </c>
      <c r="T186" s="2026">
        <v>0.55700000000000005</v>
      </c>
      <c r="U186" s="2028">
        <f t="shared" si="87"/>
        <v>2.16673E-2</v>
      </c>
      <c r="V186" s="2028">
        <f t="shared" si="87"/>
        <v>2.16673E-2</v>
      </c>
      <c r="W186" s="2028">
        <f t="shared" si="87"/>
        <v>2.16673E-2</v>
      </c>
      <c r="X186" s="2028">
        <f t="shared" si="76"/>
        <v>2.16673E-2</v>
      </c>
      <c r="Y186" s="2026">
        <v>0.49399999999999999</v>
      </c>
      <c r="Z186" s="2026">
        <v>0.49399999999999999</v>
      </c>
      <c r="AA186" s="2026">
        <v>0.49399999999999999</v>
      </c>
      <c r="AB186" s="2026">
        <v>0.49399999999999999</v>
      </c>
      <c r="AC186" s="2027">
        <f t="shared" si="100"/>
        <v>90.204399999999993</v>
      </c>
      <c r="AD186" s="2027">
        <f t="shared" si="100"/>
        <v>90.204399999999993</v>
      </c>
      <c r="AE186" s="2027">
        <f t="shared" si="100"/>
        <v>90.204399999999993</v>
      </c>
      <c r="AF186" s="2027">
        <f t="shared" si="100"/>
        <v>90.204399999999993</v>
      </c>
      <c r="AG186" s="2027">
        <v>0</v>
      </c>
      <c r="AH186" s="2027">
        <v>0</v>
      </c>
      <c r="AI186" s="2027">
        <v>0</v>
      </c>
      <c r="AJ186" s="2027">
        <v>0</v>
      </c>
      <c r="AK186" s="2027">
        <f t="shared" si="101"/>
        <v>0</v>
      </c>
      <c r="AL186" s="2027">
        <f t="shared" si="97"/>
        <v>0</v>
      </c>
      <c r="AM186" s="2027">
        <f t="shared" si="97"/>
        <v>0</v>
      </c>
      <c r="AN186" s="2027">
        <f t="shared" si="97"/>
        <v>0</v>
      </c>
      <c r="AO186" s="2027">
        <f t="shared" si="102"/>
        <v>0</v>
      </c>
      <c r="AP186" s="2027">
        <f t="shared" si="98"/>
        <v>0</v>
      </c>
      <c r="AQ186" s="2027">
        <f t="shared" si="98"/>
        <v>0</v>
      </c>
      <c r="AR186" s="2027">
        <f t="shared" si="98"/>
        <v>0</v>
      </c>
      <c r="AS186" s="2029"/>
      <c r="AT186" s="2029">
        <f t="shared" si="77"/>
        <v>0</v>
      </c>
      <c r="AU186" s="2029">
        <f t="shared" si="77"/>
        <v>0</v>
      </c>
      <c r="AV186" s="2029">
        <f t="shared" si="77"/>
        <v>0</v>
      </c>
      <c r="AW186" s="2029">
        <v>250</v>
      </c>
      <c r="AX186" s="2029">
        <f t="shared" si="95"/>
        <v>250</v>
      </c>
      <c r="AY186" s="2029">
        <f t="shared" si="95"/>
        <v>250</v>
      </c>
      <c r="AZ186" s="2029">
        <f t="shared" si="95"/>
        <v>250</v>
      </c>
      <c r="BA186" s="2029">
        <v>802</v>
      </c>
      <c r="BB186" s="2029">
        <f t="shared" si="96"/>
        <v>802</v>
      </c>
      <c r="BC186" s="2029">
        <f t="shared" si="96"/>
        <v>802</v>
      </c>
      <c r="BD186" s="2029">
        <f t="shared" si="96"/>
        <v>802</v>
      </c>
      <c r="BE186" s="2030">
        <f t="shared" si="80"/>
        <v>0</v>
      </c>
      <c r="BF186" s="2030">
        <f t="shared" si="80"/>
        <v>0</v>
      </c>
      <c r="BG186" s="2030">
        <f t="shared" si="80"/>
        <v>0</v>
      </c>
      <c r="BH186" s="2030">
        <f t="shared" si="73"/>
        <v>0</v>
      </c>
      <c r="BI186" s="2030">
        <f t="shared" si="81"/>
        <v>0</v>
      </c>
      <c r="BJ186" s="2030">
        <f t="shared" si="81"/>
        <v>0</v>
      </c>
      <c r="BK186" s="2030">
        <f t="shared" si="81"/>
        <v>0</v>
      </c>
      <c r="BL186" s="2030">
        <f t="shared" si="81"/>
        <v>0</v>
      </c>
      <c r="BM186" s="2031"/>
      <c r="BN186" s="2031"/>
      <c r="BO186" s="2031"/>
      <c r="BP186" s="2031"/>
      <c r="BQ186" s="2031"/>
      <c r="BR186" s="2031"/>
      <c r="BS186" s="2031"/>
      <c r="BT186" s="2031"/>
      <c r="BU186" s="2029"/>
      <c r="BV186" s="2029"/>
      <c r="BW186" s="2029"/>
      <c r="BX186" s="2029"/>
      <c r="BY186" s="2029"/>
      <c r="BZ186" s="2032"/>
      <c r="CA186" s="1974"/>
      <c r="CB186" s="1974"/>
      <c r="CC186" s="1974"/>
      <c r="CD186" s="1974"/>
      <c r="CE186" s="1974">
        <v>0</v>
      </c>
      <c r="CF186" s="2033">
        <v>0</v>
      </c>
      <c r="CG186" s="2026">
        <v>0</v>
      </c>
      <c r="CH186" s="2009">
        <v>0</v>
      </c>
      <c r="CI186" s="2029">
        <v>0</v>
      </c>
      <c r="CK186" s="2029">
        <f t="shared" si="82"/>
        <v>0</v>
      </c>
      <c r="CL186" s="2034">
        <v>1</v>
      </c>
      <c r="CM186" s="2034">
        <v>1</v>
      </c>
      <c r="CN186" s="2034">
        <v>1</v>
      </c>
      <c r="CO186" s="2034">
        <v>1</v>
      </c>
      <c r="CP186" s="2035"/>
      <c r="CQ186" s="2036"/>
      <c r="CR186" s="2036"/>
      <c r="CS186" s="2036"/>
      <c r="CT186" s="2036"/>
      <c r="CU186" s="2036"/>
      <c r="CW186" s="1973">
        <v>0</v>
      </c>
      <c r="CX186" s="2037">
        <v>250</v>
      </c>
      <c r="CY186" s="2037">
        <v>250</v>
      </c>
      <c r="CZ186" s="2037">
        <v>250</v>
      </c>
      <c r="DA186" s="2037">
        <v>250</v>
      </c>
      <c r="DK186" s="1973">
        <v>0</v>
      </c>
      <c r="DL186" s="1973">
        <v>0</v>
      </c>
      <c r="DM186" s="1973">
        <v>0</v>
      </c>
      <c r="DO186" s="2052">
        <v>16.5</v>
      </c>
      <c r="DP186" s="2024">
        <v>710</v>
      </c>
      <c r="DQ186" s="2024">
        <v>3.8899999999999997E-2</v>
      </c>
      <c r="DR186" s="2023">
        <v>182.6</v>
      </c>
      <c r="DS186" s="2029"/>
      <c r="DT186" s="2029">
        <v>0</v>
      </c>
      <c r="DU186" s="2029">
        <v>0</v>
      </c>
      <c r="DV186" s="2029">
        <v>0</v>
      </c>
      <c r="DW186" s="2029">
        <v>250</v>
      </c>
      <c r="DX186" s="2029">
        <v>250</v>
      </c>
      <c r="DY186" s="2029">
        <v>250</v>
      </c>
      <c r="DZ186" s="2029">
        <v>250</v>
      </c>
      <c r="EA186" s="2029">
        <v>802</v>
      </c>
      <c r="EB186" s="2029">
        <v>802</v>
      </c>
      <c r="EC186" s="2029">
        <v>802</v>
      </c>
      <c r="ED186" s="2029">
        <v>802</v>
      </c>
      <c r="EE186" s="2039">
        <f t="shared" si="83"/>
        <v>0</v>
      </c>
      <c r="EF186" s="2039">
        <f t="shared" si="83"/>
        <v>0</v>
      </c>
      <c r="EG186" s="2039">
        <f t="shared" si="83"/>
        <v>0</v>
      </c>
      <c r="EH186" s="2039">
        <f t="shared" si="74"/>
        <v>0</v>
      </c>
      <c r="EI186" s="2040">
        <f t="shared" si="103"/>
        <v>0</v>
      </c>
      <c r="EJ186" s="2040">
        <f t="shared" si="103"/>
        <v>0</v>
      </c>
      <c r="EK186" s="2040">
        <f t="shared" si="103"/>
        <v>0</v>
      </c>
      <c r="EL186" s="2040">
        <f t="shared" si="103"/>
        <v>0</v>
      </c>
      <c r="EM186" s="2040">
        <f t="shared" si="103"/>
        <v>0</v>
      </c>
      <c r="EN186" s="2040">
        <f t="shared" si="103"/>
        <v>0</v>
      </c>
      <c r="EO186" s="2040">
        <f t="shared" si="99"/>
        <v>0</v>
      </c>
      <c r="EP186" s="2040">
        <f t="shared" si="99"/>
        <v>0</v>
      </c>
      <c r="EQ186" s="2040">
        <f t="shared" si="99"/>
        <v>0</v>
      </c>
      <c r="ER186" s="2040">
        <f t="shared" si="72"/>
        <v>0</v>
      </c>
      <c r="ES186" s="2040">
        <f t="shared" si="72"/>
        <v>0</v>
      </c>
      <c r="ET186" s="2040">
        <f t="shared" si="72"/>
        <v>0</v>
      </c>
      <c r="EU186" s="2039">
        <f t="shared" si="84"/>
        <v>0</v>
      </c>
      <c r="EV186" s="2039">
        <f t="shared" si="85"/>
        <v>0</v>
      </c>
    </row>
    <row r="187" spans="1:152" x14ac:dyDescent="0.25">
      <c r="A187" s="2021" t="s">
        <v>195</v>
      </c>
      <c r="B187" s="2069" t="s">
        <v>2966</v>
      </c>
      <c r="C187" s="2070">
        <v>16.5</v>
      </c>
      <c r="D187" s="2071">
        <v>705.91923714759537</v>
      </c>
      <c r="E187" s="2071">
        <v>0.11911992211259753</v>
      </c>
      <c r="F187" s="2068">
        <v>228.88895164555328</v>
      </c>
      <c r="G187" s="2026" t="s">
        <v>20</v>
      </c>
      <c r="H187" s="2026" t="s">
        <v>20</v>
      </c>
      <c r="I187" s="2026">
        <v>0.55700000000000005</v>
      </c>
      <c r="J187" s="2026">
        <v>0.55700000000000005</v>
      </c>
      <c r="K187" s="2026">
        <v>0.55700000000000005</v>
      </c>
      <c r="L187" s="2026">
        <v>0.55700000000000005</v>
      </c>
      <c r="M187" s="2027">
        <f t="shared" si="86"/>
        <v>393.19701509121063</v>
      </c>
      <c r="N187" s="2027">
        <f t="shared" si="86"/>
        <v>393.19701509121063</v>
      </c>
      <c r="O187" s="2027">
        <f t="shared" si="86"/>
        <v>393.19701509121063</v>
      </c>
      <c r="P187" s="2027">
        <f t="shared" si="75"/>
        <v>393.19701509121063</v>
      </c>
      <c r="Q187" s="2026">
        <v>0.55700000000000005</v>
      </c>
      <c r="R187" s="2026">
        <v>0.55700000000000005</v>
      </c>
      <c r="S187" s="2026">
        <v>0.55700000000000005</v>
      </c>
      <c r="T187" s="2026">
        <v>0.55700000000000005</v>
      </c>
      <c r="U187" s="2028">
        <f t="shared" si="87"/>
        <v>6.6349796616716833E-2</v>
      </c>
      <c r="V187" s="2028">
        <f t="shared" si="87"/>
        <v>6.6349796616716833E-2</v>
      </c>
      <c r="W187" s="2028">
        <f t="shared" si="87"/>
        <v>6.6349796616716833E-2</v>
      </c>
      <c r="X187" s="2028">
        <f t="shared" si="76"/>
        <v>6.6349796616716833E-2</v>
      </c>
      <c r="Y187" s="2026">
        <v>0.49399999999999999</v>
      </c>
      <c r="Z187" s="2026">
        <v>0.49399999999999999</v>
      </c>
      <c r="AA187" s="2026">
        <v>0.49399999999999999</v>
      </c>
      <c r="AB187" s="2026">
        <v>0.49399999999999999</v>
      </c>
      <c r="AC187" s="2027">
        <f t="shared" si="100"/>
        <v>113.07114211290332</v>
      </c>
      <c r="AD187" s="2027">
        <f t="shared" si="100"/>
        <v>113.07114211290332</v>
      </c>
      <c r="AE187" s="2027">
        <f t="shared" si="100"/>
        <v>113.07114211290332</v>
      </c>
      <c r="AF187" s="2027">
        <f t="shared" si="100"/>
        <v>113.07114211290332</v>
      </c>
      <c r="AG187" s="2027">
        <v>60</v>
      </c>
      <c r="AH187" s="2027">
        <v>55</v>
      </c>
      <c r="AI187" s="2027">
        <v>55</v>
      </c>
      <c r="AJ187" s="2027">
        <v>55</v>
      </c>
      <c r="AK187" s="2027">
        <f t="shared" si="101"/>
        <v>23591.820905472639</v>
      </c>
      <c r="AL187" s="2027">
        <f t="shared" si="97"/>
        <v>21625.835830016586</v>
      </c>
      <c r="AM187" s="2027">
        <f t="shared" si="97"/>
        <v>21625.835830016586</v>
      </c>
      <c r="AN187" s="2027">
        <f t="shared" si="97"/>
        <v>21625.835830016586</v>
      </c>
      <c r="AO187" s="2027">
        <f t="shared" si="102"/>
        <v>6784.268526774199</v>
      </c>
      <c r="AP187" s="2027">
        <f t="shared" si="98"/>
        <v>6218.9128162096822</v>
      </c>
      <c r="AQ187" s="2027">
        <f t="shared" si="98"/>
        <v>6218.9128162096822</v>
      </c>
      <c r="AR187" s="2027">
        <f t="shared" si="98"/>
        <v>6218.9128162096822</v>
      </c>
      <c r="AS187" s="2029">
        <f>DF187</f>
        <v>220</v>
      </c>
      <c r="AT187" s="2029">
        <f t="shared" si="77"/>
        <v>220</v>
      </c>
      <c r="AU187" s="2029">
        <f t="shared" si="77"/>
        <v>220</v>
      </c>
      <c r="AV187" s="2029">
        <f t="shared" si="77"/>
        <v>220</v>
      </c>
      <c r="AW187" s="2029">
        <f>CX187-AS187</f>
        <v>780</v>
      </c>
      <c r="AX187" s="2029">
        <f t="shared" si="95"/>
        <v>780</v>
      </c>
      <c r="AY187" s="2029">
        <f t="shared" si="95"/>
        <v>780</v>
      </c>
      <c r="AZ187" s="2029">
        <f t="shared" si="95"/>
        <v>780</v>
      </c>
      <c r="BA187" s="2029">
        <v>1275</v>
      </c>
      <c r="BB187" s="2029">
        <f t="shared" si="96"/>
        <v>1275</v>
      </c>
      <c r="BC187" s="2029">
        <f t="shared" si="96"/>
        <v>1275</v>
      </c>
      <c r="BD187" s="2029">
        <f t="shared" si="96"/>
        <v>1275</v>
      </c>
      <c r="BE187" s="2030">
        <f t="shared" si="80"/>
        <v>13200</v>
      </c>
      <c r="BF187" s="2030">
        <f t="shared" si="80"/>
        <v>12100</v>
      </c>
      <c r="BG187" s="2030">
        <f t="shared" si="80"/>
        <v>12100</v>
      </c>
      <c r="BH187" s="2030">
        <f t="shared" si="73"/>
        <v>12100</v>
      </c>
      <c r="BI187" s="2030">
        <f t="shared" si="81"/>
        <v>46800</v>
      </c>
      <c r="BJ187" s="2030">
        <f t="shared" si="81"/>
        <v>42900</v>
      </c>
      <c r="BK187" s="2030">
        <f t="shared" si="81"/>
        <v>42900</v>
      </c>
      <c r="BL187" s="2030">
        <f t="shared" si="81"/>
        <v>42900</v>
      </c>
      <c r="BM187" s="2031"/>
      <c r="BN187" s="2031"/>
      <c r="BO187" s="2031"/>
      <c r="BP187" s="2031"/>
      <c r="BQ187" s="2031"/>
      <c r="BR187" s="2031"/>
      <c r="BS187" s="2031"/>
      <c r="BT187" s="2031"/>
      <c r="BU187" s="2029"/>
      <c r="BV187" s="2029"/>
      <c r="BW187" s="2029"/>
      <c r="BX187" s="2029"/>
      <c r="BY187" s="2029"/>
      <c r="BZ187" s="2032"/>
      <c r="CA187" s="1974"/>
      <c r="CB187" s="1974"/>
      <c r="CC187" s="1974"/>
      <c r="CD187" s="1974"/>
      <c r="CE187" s="1974">
        <v>0</v>
      </c>
      <c r="CF187" s="2033">
        <v>9.9191867610983945E-5</v>
      </c>
      <c r="CG187" s="2026">
        <v>2.3564819493845863E-3</v>
      </c>
      <c r="CH187" s="2009">
        <v>0</v>
      </c>
      <c r="CI187" s="2029">
        <v>0</v>
      </c>
      <c r="CK187" s="2029">
        <f t="shared" si="82"/>
        <v>0</v>
      </c>
      <c r="CL187" s="2034">
        <v>1</v>
      </c>
      <c r="CM187" s="2034">
        <v>1</v>
      </c>
      <c r="CN187" s="2034">
        <v>1</v>
      </c>
      <c r="CO187" s="2034">
        <v>1</v>
      </c>
      <c r="CP187" s="2035"/>
      <c r="CQ187" s="2036"/>
      <c r="CR187" s="2036"/>
      <c r="CS187" s="2036"/>
      <c r="CT187" s="2036"/>
      <c r="CU187" s="2036"/>
      <c r="CW187" s="1973">
        <v>0</v>
      </c>
      <c r="CX187" s="2037">
        <v>1000</v>
      </c>
      <c r="CY187" s="2037">
        <f>$CX187</f>
        <v>1000</v>
      </c>
      <c r="CZ187" s="2037">
        <f>$CX187</f>
        <v>1000</v>
      </c>
      <c r="DA187" s="2037">
        <f>$CX187</f>
        <v>1000</v>
      </c>
      <c r="DB187" s="2051">
        <v>0.22</v>
      </c>
      <c r="DC187" s="2051">
        <v>0.22</v>
      </c>
      <c r="DD187" s="2051">
        <v>0.22</v>
      </c>
      <c r="DE187" s="2051">
        <v>0.22</v>
      </c>
      <c r="DF187" s="2037">
        <f>DB187*CX187</f>
        <v>220</v>
      </c>
      <c r="DG187" s="2037">
        <f>DC187*CY187</f>
        <v>220</v>
      </c>
      <c r="DH187" s="2037">
        <f>DD187*CZ187</f>
        <v>220</v>
      </c>
      <c r="DI187" s="2037">
        <f>DE187*DA187</f>
        <v>220</v>
      </c>
      <c r="DK187" s="1973">
        <v>0</v>
      </c>
      <c r="DL187" s="1973">
        <v>0</v>
      </c>
      <c r="DM187" s="1973">
        <v>0</v>
      </c>
      <c r="DO187" s="2053">
        <v>16.5</v>
      </c>
      <c r="DP187" s="2044">
        <v>705.91923714759537</v>
      </c>
      <c r="DQ187" s="2044">
        <v>0.11911992211259753</v>
      </c>
      <c r="DR187" s="2043">
        <v>228.88895164555328</v>
      </c>
      <c r="DS187" s="2046">
        <v>220</v>
      </c>
      <c r="DT187" s="2046">
        <v>220</v>
      </c>
      <c r="DU187" s="2046">
        <v>220</v>
      </c>
      <c r="DV187" s="2046">
        <v>220</v>
      </c>
      <c r="DW187" s="2046">
        <v>780</v>
      </c>
      <c r="DX187" s="2046">
        <v>780</v>
      </c>
      <c r="DY187" s="2046">
        <v>780</v>
      </c>
      <c r="DZ187" s="2046">
        <v>780</v>
      </c>
      <c r="EA187" s="2046">
        <v>1275</v>
      </c>
      <c r="EB187" s="2046">
        <v>1275</v>
      </c>
      <c r="EC187" s="2046">
        <v>1275</v>
      </c>
      <c r="ED187" s="2046">
        <v>1275</v>
      </c>
      <c r="EE187" s="2039">
        <f t="shared" si="83"/>
        <v>0</v>
      </c>
      <c r="EF187" s="2039">
        <f t="shared" si="83"/>
        <v>0</v>
      </c>
      <c r="EG187" s="2039">
        <f t="shared" si="83"/>
        <v>0</v>
      </c>
      <c r="EH187" s="2039">
        <f t="shared" si="74"/>
        <v>0</v>
      </c>
      <c r="EI187" s="2040">
        <f t="shared" si="103"/>
        <v>0</v>
      </c>
      <c r="EJ187" s="2040">
        <f t="shared" si="103"/>
        <v>0</v>
      </c>
      <c r="EK187" s="2040">
        <f t="shared" si="103"/>
        <v>0</v>
      </c>
      <c r="EL187" s="2040">
        <f t="shared" si="103"/>
        <v>0</v>
      </c>
      <c r="EM187" s="2040">
        <f t="shared" si="103"/>
        <v>0</v>
      </c>
      <c r="EN187" s="2040">
        <f t="shared" si="103"/>
        <v>0</v>
      </c>
      <c r="EO187" s="2040">
        <f t="shared" si="99"/>
        <v>0</v>
      </c>
      <c r="EP187" s="2040">
        <f t="shared" si="99"/>
        <v>0</v>
      </c>
      <c r="EQ187" s="2040">
        <f t="shared" si="99"/>
        <v>0</v>
      </c>
      <c r="ER187" s="2040">
        <f t="shared" si="72"/>
        <v>0</v>
      </c>
      <c r="ES187" s="2040">
        <f t="shared" si="72"/>
        <v>0</v>
      </c>
      <c r="ET187" s="2040">
        <f t="shared" si="72"/>
        <v>0</v>
      </c>
      <c r="EU187" s="2039">
        <f t="shared" si="84"/>
        <v>0</v>
      </c>
      <c r="EV187" s="2039">
        <f t="shared" si="85"/>
        <v>0</v>
      </c>
    </row>
    <row r="188" spans="1:152" x14ac:dyDescent="0.25">
      <c r="A188" s="2041" t="s">
        <v>196</v>
      </c>
      <c r="B188" s="2022" t="s">
        <v>2967</v>
      </c>
      <c r="C188" s="2023">
        <v>20</v>
      </c>
      <c r="D188" s="2024">
        <v>0</v>
      </c>
      <c r="E188" s="2024">
        <v>0</v>
      </c>
      <c r="F188" s="2023">
        <v>172.09</v>
      </c>
      <c r="G188" s="2026" t="s">
        <v>20</v>
      </c>
      <c r="H188" s="2026" t="s">
        <v>20</v>
      </c>
      <c r="I188" s="2026">
        <v>0.55700000000000005</v>
      </c>
      <c r="J188" s="2026">
        <v>0.55700000000000005</v>
      </c>
      <c r="K188" s="2026">
        <v>0.55700000000000005</v>
      </c>
      <c r="L188" s="2026">
        <v>0.55700000000000005</v>
      </c>
      <c r="M188" s="2027">
        <f t="shared" si="86"/>
        <v>0</v>
      </c>
      <c r="N188" s="2027">
        <f t="shared" si="86"/>
        <v>0</v>
      </c>
      <c r="O188" s="2027">
        <f t="shared" si="86"/>
        <v>0</v>
      </c>
      <c r="P188" s="2027">
        <f t="shared" si="75"/>
        <v>0</v>
      </c>
      <c r="Q188" s="2026">
        <v>0.55700000000000005</v>
      </c>
      <c r="R188" s="2026">
        <v>0.55700000000000005</v>
      </c>
      <c r="S188" s="2026">
        <v>0.55700000000000005</v>
      </c>
      <c r="T188" s="2026">
        <v>0.55700000000000005</v>
      </c>
      <c r="U188" s="2028">
        <f t="shared" si="87"/>
        <v>0</v>
      </c>
      <c r="V188" s="2028">
        <f t="shared" si="87"/>
        <v>0</v>
      </c>
      <c r="W188" s="2028">
        <f t="shared" si="87"/>
        <v>0</v>
      </c>
      <c r="X188" s="2028">
        <f t="shared" si="76"/>
        <v>0</v>
      </c>
      <c r="Y188" s="2026">
        <v>0.49399999999999999</v>
      </c>
      <c r="Z188" s="2026">
        <v>0.49399999999999999</v>
      </c>
      <c r="AA188" s="2026">
        <v>0.49399999999999999</v>
      </c>
      <c r="AB188" s="2026">
        <v>0.49399999999999999</v>
      </c>
      <c r="AC188" s="2027">
        <f t="shared" si="100"/>
        <v>85.012460000000004</v>
      </c>
      <c r="AD188" s="2027">
        <f t="shared" si="100"/>
        <v>85.012460000000004</v>
      </c>
      <c r="AE188" s="2027">
        <f t="shared" si="100"/>
        <v>85.012460000000004</v>
      </c>
      <c r="AF188" s="2027">
        <f t="shared" si="100"/>
        <v>85.012460000000004</v>
      </c>
      <c r="AG188" s="2027">
        <v>15</v>
      </c>
      <c r="AH188" s="2027">
        <v>15</v>
      </c>
      <c r="AI188" s="2027">
        <v>15</v>
      </c>
      <c r="AJ188" s="2027">
        <v>15</v>
      </c>
      <c r="AK188" s="2027">
        <f t="shared" si="101"/>
        <v>0</v>
      </c>
      <c r="AL188" s="2027">
        <f t="shared" si="97"/>
        <v>0</v>
      </c>
      <c r="AM188" s="2027">
        <f t="shared" si="97"/>
        <v>0</v>
      </c>
      <c r="AN188" s="2027">
        <f t="shared" si="97"/>
        <v>0</v>
      </c>
      <c r="AO188" s="2027">
        <f t="shared" si="102"/>
        <v>1275.1869000000002</v>
      </c>
      <c r="AP188" s="2027">
        <f t="shared" si="98"/>
        <v>1275.1869000000002</v>
      </c>
      <c r="AQ188" s="2027">
        <f t="shared" si="98"/>
        <v>1275.1869000000002</v>
      </c>
      <c r="AR188" s="2027">
        <f t="shared" si="98"/>
        <v>1275.1869000000002</v>
      </c>
      <c r="AS188" s="2029"/>
      <c r="AT188" s="2029">
        <f t="shared" si="77"/>
        <v>0</v>
      </c>
      <c r="AU188" s="2029">
        <f t="shared" si="77"/>
        <v>0</v>
      </c>
      <c r="AV188" s="2029">
        <f t="shared" si="77"/>
        <v>0</v>
      </c>
      <c r="AW188" s="2029">
        <v>500</v>
      </c>
      <c r="AX188" s="2029">
        <f t="shared" si="95"/>
        <v>500</v>
      </c>
      <c r="AY188" s="2029">
        <f t="shared" si="95"/>
        <v>500</v>
      </c>
      <c r="AZ188" s="2029">
        <f t="shared" si="95"/>
        <v>500</v>
      </c>
      <c r="BA188" s="2029">
        <v>652.73</v>
      </c>
      <c r="BB188" s="2029">
        <f t="shared" si="96"/>
        <v>652.73</v>
      </c>
      <c r="BC188" s="2029">
        <f t="shared" si="96"/>
        <v>652.73</v>
      </c>
      <c r="BD188" s="2029">
        <f t="shared" si="96"/>
        <v>652.73</v>
      </c>
      <c r="BE188" s="2030">
        <f t="shared" si="80"/>
        <v>0</v>
      </c>
      <c r="BF188" s="2030">
        <f t="shared" si="80"/>
        <v>0</v>
      </c>
      <c r="BG188" s="2030">
        <f t="shared" si="80"/>
        <v>0</v>
      </c>
      <c r="BH188" s="2030">
        <f t="shared" si="73"/>
        <v>0</v>
      </c>
      <c r="BI188" s="2030">
        <f t="shared" si="81"/>
        <v>7500</v>
      </c>
      <c r="BJ188" s="2030">
        <f t="shared" si="81"/>
        <v>7500</v>
      </c>
      <c r="BK188" s="2030">
        <f t="shared" si="81"/>
        <v>7500</v>
      </c>
      <c r="BL188" s="2030">
        <f t="shared" si="81"/>
        <v>7500</v>
      </c>
      <c r="BM188" s="2031"/>
      <c r="BN188" s="2031"/>
      <c r="BO188" s="2031"/>
      <c r="BP188" s="2031"/>
      <c r="BQ188" s="2031"/>
      <c r="BR188" s="2031"/>
      <c r="BS188" s="2031"/>
      <c r="BT188" s="2031"/>
      <c r="BU188" s="2029"/>
      <c r="BV188" s="2029"/>
      <c r="BW188" s="2029"/>
      <c r="BX188" s="2029"/>
      <c r="BY188" s="2029"/>
      <c r="BZ188" s="2032"/>
      <c r="CA188" s="1974"/>
      <c r="CB188" s="1974"/>
      <c r="CC188" s="1974"/>
      <c r="CD188" s="1974"/>
      <c r="CE188" s="1974">
        <v>0</v>
      </c>
      <c r="CF188" s="2033">
        <v>0</v>
      </c>
      <c r="CG188" s="2026">
        <v>4.7574727671233403E-4</v>
      </c>
      <c r="CH188" s="2009">
        <v>1</v>
      </c>
      <c r="CI188" s="2029">
        <v>0</v>
      </c>
      <c r="CJ188" s="2048">
        <v>100</v>
      </c>
      <c r="CK188" s="2029">
        <f t="shared" si="82"/>
        <v>100</v>
      </c>
      <c r="CL188" s="2034">
        <v>1</v>
      </c>
      <c r="CM188" s="2034">
        <v>1</v>
      </c>
      <c r="CN188" s="2034">
        <v>1</v>
      </c>
      <c r="CO188" s="2034">
        <v>1</v>
      </c>
      <c r="CP188" s="2035"/>
      <c r="CQ188" s="2036"/>
      <c r="CR188" s="2036"/>
      <c r="CS188" s="2036"/>
      <c r="CT188" s="2036"/>
      <c r="CU188" s="2036"/>
      <c r="CW188" s="1973">
        <v>2</v>
      </c>
      <c r="CX188" s="2037">
        <v>500</v>
      </c>
      <c r="CY188" s="2037">
        <v>500</v>
      </c>
      <c r="CZ188" s="2037">
        <v>500</v>
      </c>
      <c r="DA188" s="2037">
        <v>500</v>
      </c>
      <c r="DK188" s="1973">
        <v>0</v>
      </c>
      <c r="DL188" s="1973">
        <v>0</v>
      </c>
      <c r="DM188" s="1973">
        <v>0</v>
      </c>
      <c r="DO188" s="2023">
        <v>20</v>
      </c>
      <c r="DP188" s="2024">
        <v>0</v>
      </c>
      <c r="DQ188" s="2024">
        <v>0</v>
      </c>
      <c r="DR188" s="2023">
        <v>172.09</v>
      </c>
      <c r="DS188" s="2029"/>
      <c r="DT188" s="2029">
        <v>0</v>
      </c>
      <c r="DU188" s="2029">
        <v>0</v>
      </c>
      <c r="DV188" s="2029">
        <v>0</v>
      </c>
      <c r="DW188" s="2029">
        <v>500</v>
      </c>
      <c r="DX188" s="2029">
        <v>500</v>
      </c>
      <c r="DY188" s="2029">
        <v>500</v>
      </c>
      <c r="DZ188" s="2029">
        <v>500</v>
      </c>
      <c r="EA188" s="2029">
        <v>652.73</v>
      </c>
      <c r="EB188" s="2029">
        <v>652.73</v>
      </c>
      <c r="EC188" s="2029">
        <v>652.73</v>
      </c>
      <c r="ED188" s="2029">
        <v>652.73</v>
      </c>
      <c r="EE188" s="2039">
        <f t="shared" si="83"/>
        <v>0</v>
      </c>
      <c r="EF188" s="2039">
        <f t="shared" si="83"/>
        <v>0</v>
      </c>
      <c r="EG188" s="2039">
        <f t="shared" si="83"/>
        <v>0</v>
      </c>
      <c r="EH188" s="2039">
        <f t="shared" si="74"/>
        <v>0</v>
      </c>
      <c r="EI188" s="2040">
        <f t="shared" si="103"/>
        <v>0</v>
      </c>
      <c r="EJ188" s="2040">
        <f t="shared" si="103"/>
        <v>0</v>
      </c>
      <c r="EK188" s="2040">
        <f t="shared" si="103"/>
        <v>0</v>
      </c>
      <c r="EL188" s="2040">
        <f t="shared" si="103"/>
        <v>0</v>
      </c>
      <c r="EM188" s="2040">
        <f t="shared" si="103"/>
        <v>0</v>
      </c>
      <c r="EN188" s="2040">
        <f t="shared" si="103"/>
        <v>0</v>
      </c>
      <c r="EO188" s="2040">
        <f t="shared" si="99"/>
        <v>0</v>
      </c>
      <c r="EP188" s="2040">
        <f t="shared" si="99"/>
        <v>0</v>
      </c>
      <c r="EQ188" s="2040">
        <f t="shared" si="99"/>
        <v>0</v>
      </c>
      <c r="ER188" s="2040">
        <f t="shared" si="72"/>
        <v>0</v>
      </c>
      <c r="ES188" s="2040">
        <f t="shared" si="72"/>
        <v>0</v>
      </c>
      <c r="ET188" s="2040">
        <f t="shared" si="72"/>
        <v>0</v>
      </c>
      <c r="EU188" s="2039">
        <f t="shared" si="84"/>
        <v>0</v>
      </c>
      <c r="EV188" s="2039">
        <f t="shared" si="85"/>
        <v>0</v>
      </c>
    </row>
    <row r="189" spans="1:152" ht="12.65" customHeight="1" x14ac:dyDescent="0.25">
      <c r="A189" s="2021" t="s">
        <v>197</v>
      </c>
      <c r="B189" s="2069" t="s">
        <v>2968</v>
      </c>
      <c r="C189" s="2068">
        <v>15</v>
      </c>
      <c r="D189" s="2071">
        <v>0</v>
      </c>
      <c r="E189" s="2071">
        <v>0</v>
      </c>
      <c r="F189" s="2068">
        <v>75.446948711455732</v>
      </c>
      <c r="G189" s="2026" t="s">
        <v>20</v>
      </c>
      <c r="H189" s="2026" t="s">
        <v>20</v>
      </c>
      <c r="I189" s="2026">
        <v>0.55700000000000005</v>
      </c>
      <c r="J189" s="2026">
        <v>0.55700000000000005</v>
      </c>
      <c r="K189" s="2026">
        <v>0.55700000000000005</v>
      </c>
      <c r="L189" s="2026">
        <v>0.55700000000000005</v>
      </c>
      <c r="M189" s="2027">
        <f t="shared" si="86"/>
        <v>0</v>
      </c>
      <c r="N189" s="2027">
        <f t="shared" si="86"/>
        <v>0</v>
      </c>
      <c r="O189" s="2027">
        <f t="shared" si="86"/>
        <v>0</v>
      </c>
      <c r="P189" s="2027">
        <f t="shared" si="75"/>
        <v>0</v>
      </c>
      <c r="Q189" s="2026">
        <v>0.55700000000000005</v>
      </c>
      <c r="R189" s="2026">
        <v>0.55700000000000005</v>
      </c>
      <c r="S189" s="2026">
        <v>0.55700000000000005</v>
      </c>
      <c r="T189" s="2026">
        <v>0.55700000000000005</v>
      </c>
      <c r="U189" s="2028">
        <f t="shared" si="87"/>
        <v>0</v>
      </c>
      <c r="V189" s="2028">
        <f t="shared" si="87"/>
        <v>0</v>
      </c>
      <c r="W189" s="2028">
        <f t="shared" si="87"/>
        <v>0</v>
      </c>
      <c r="X189" s="2028">
        <f t="shared" si="76"/>
        <v>0</v>
      </c>
      <c r="Y189" s="2026">
        <v>0.49399999999999999</v>
      </c>
      <c r="Z189" s="2026">
        <v>0.49399999999999999</v>
      </c>
      <c r="AA189" s="2026">
        <v>0.49399999999999999</v>
      </c>
      <c r="AB189" s="2026">
        <v>0.49399999999999999</v>
      </c>
      <c r="AC189" s="2027">
        <f t="shared" si="100"/>
        <v>37.270792663459133</v>
      </c>
      <c r="AD189" s="2027">
        <f t="shared" si="100"/>
        <v>37.270792663459133</v>
      </c>
      <c r="AE189" s="2027">
        <f t="shared" si="100"/>
        <v>37.270792663459133</v>
      </c>
      <c r="AF189" s="2027">
        <f t="shared" si="100"/>
        <v>37.270792663459133</v>
      </c>
      <c r="AG189" s="2027">
        <v>42</v>
      </c>
      <c r="AH189" s="2027">
        <v>40</v>
      </c>
      <c r="AI189" s="2027">
        <v>39</v>
      </c>
      <c r="AJ189" s="2027">
        <v>40</v>
      </c>
      <c r="AK189" s="2027">
        <f t="shared" si="101"/>
        <v>0</v>
      </c>
      <c r="AL189" s="2027">
        <f t="shared" si="97"/>
        <v>0</v>
      </c>
      <c r="AM189" s="2027">
        <f t="shared" si="97"/>
        <v>0</v>
      </c>
      <c r="AN189" s="2027">
        <f t="shared" si="97"/>
        <v>0</v>
      </c>
      <c r="AO189" s="2027">
        <f t="shared" si="102"/>
        <v>1565.3732918652836</v>
      </c>
      <c r="AP189" s="2027">
        <f t="shared" si="98"/>
        <v>1490.8317065383653</v>
      </c>
      <c r="AQ189" s="2027">
        <f t="shared" si="98"/>
        <v>1453.5609138749062</v>
      </c>
      <c r="AR189" s="2027">
        <f t="shared" si="98"/>
        <v>1490.8317065383653</v>
      </c>
      <c r="AS189" s="2029"/>
      <c r="AT189" s="2029">
        <f t="shared" si="77"/>
        <v>0</v>
      </c>
      <c r="AU189" s="2029">
        <f t="shared" si="77"/>
        <v>0</v>
      </c>
      <c r="AV189" s="2029">
        <f t="shared" si="77"/>
        <v>0</v>
      </c>
      <c r="AW189" s="2048">
        <v>700</v>
      </c>
      <c r="AX189" s="2029">
        <f t="shared" si="95"/>
        <v>700</v>
      </c>
      <c r="AY189" s="2029">
        <f t="shared" si="95"/>
        <v>700</v>
      </c>
      <c r="AZ189" s="2029">
        <f t="shared" si="95"/>
        <v>700</v>
      </c>
      <c r="BA189" s="2029">
        <v>1135</v>
      </c>
      <c r="BB189" s="2029">
        <f t="shared" si="96"/>
        <v>1135</v>
      </c>
      <c r="BC189" s="2029">
        <f t="shared" si="96"/>
        <v>1135</v>
      </c>
      <c r="BD189" s="2029">
        <f t="shared" si="96"/>
        <v>1135</v>
      </c>
      <c r="BE189" s="2030">
        <f t="shared" si="80"/>
        <v>0</v>
      </c>
      <c r="BF189" s="2030">
        <f t="shared" si="80"/>
        <v>0</v>
      </c>
      <c r="BG189" s="2030">
        <f t="shared" si="80"/>
        <v>0</v>
      </c>
      <c r="BH189" s="2030">
        <f t="shared" si="73"/>
        <v>0</v>
      </c>
      <c r="BI189" s="2030">
        <f t="shared" si="81"/>
        <v>29400</v>
      </c>
      <c r="BJ189" s="2030">
        <f t="shared" si="81"/>
        <v>28000</v>
      </c>
      <c r="BK189" s="2030">
        <f t="shared" si="81"/>
        <v>27300</v>
      </c>
      <c r="BL189" s="2030">
        <f t="shared" si="81"/>
        <v>28000</v>
      </c>
      <c r="BM189" s="2031"/>
      <c r="BN189" s="2031"/>
      <c r="BO189" s="2031"/>
      <c r="BP189" s="2031"/>
      <c r="BQ189" s="2031"/>
      <c r="BR189" s="2031"/>
      <c r="BS189" s="2031"/>
      <c r="BT189" s="2031"/>
      <c r="BU189" s="2029"/>
      <c r="BV189" s="2029"/>
      <c r="BW189" s="2029"/>
      <c r="BX189" s="2029"/>
      <c r="BY189" s="2029"/>
      <c r="BZ189" s="2032"/>
      <c r="CA189" s="1974"/>
      <c r="CB189" s="1974"/>
      <c r="CC189" s="1974"/>
      <c r="CD189" s="1974"/>
      <c r="CE189" s="1974">
        <v>0</v>
      </c>
      <c r="CF189" s="2033">
        <v>0</v>
      </c>
      <c r="CG189" s="2026">
        <v>5.734935620607017E-4</v>
      </c>
      <c r="CH189" s="2009">
        <v>0</v>
      </c>
      <c r="CI189" s="2029">
        <v>0</v>
      </c>
      <c r="CK189" s="2029">
        <f t="shared" si="82"/>
        <v>0</v>
      </c>
      <c r="CL189" s="2034">
        <v>1</v>
      </c>
      <c r="CM189" s="2034">
        <v>1</v>
      </c>
      <c r="CN189" s="2034">
        <v>1</v>
      </c>
      <c r="CO189" s="2034">
        <v>1</v>
      </c>
      <c r="CP189" s="2035"/>
      <c r="CQ189" s="2036"/>
      <c r="CR189" s="2036"/>
      <c r="CS189" s="2036"/>
      <c r="CT189" s="2036"/>
      <c r="CU189" s="2036"/>
      <c r="CW189" s="1973">
        <v>2</v>
      </c>
      <c r="CX189" s="2037">
        <v>700</v>
      </c>
      <c r="CY189" s="2037">
        <v>700</v>
      </c>
      <c r="CZ189" s="2037">
        <v>700</v>
      </c>
      <c r="DA189" s="2037">
        <v>700</v>
      </c>
      <c r="DK189" s="1973">
        <v>0</v>
      </c>
      <c r="DL189" s="1973">
        <v>0</v>
      </c>
      <c r="DM189" s="1973">
        <v>0</v>
      </c>
      <c r="DO189" s="2043">
        <v>15</v>
      </c>
      <c r="DP189" s="2044">
        <v>0</v>
      </c>
      <c r="DQ189" s="2044">
        <v>0</v>
      </c>
      <c r="DR189" s="2043">
        <v>75.446948711455732</v>
      </c>
      <c r="DS189" s="2046"/>
      <c r="DT189" s="2046">
        <v>0</v>
      </c>
      <c r="DU189" s="2046">
        <v>0</v>
      </c>
      <c r="DV189" s="2046">
        <v>0</v>
      </c>
      <c r="DW189" s="2059">
        <v>700</v>
      </c>
      <c r="DX189" s="2046">
        <v>700</v>
      </c>
      <c r="DY189" s="2046">
        <v>700</v>
      </c>
      <c r="DZ189" s="2046">
        <v>700</v>
      </c>
      <c r="EA189" s="2046">
        <v>1135</v>
      </c>
      <c r="EB189" s="2046">
        <v>1135</v>
      </c>
      <c r="EC189" s="2046">
        <v>1135</v>
      </c>
      <c r="ED189" s="2046">
        <v>1135</v>
      </c>
      <c r="EE189" s="2039">
        <f t="shared" si="83"/>
        <v>0</v>
      </c>
      <c r="EF189" s="2039">
        <f t="shared" si="83"/>
        <v>0</v>
      </c>
      <c r="EG189" s="2039">
        <f t="shared" si="83"/>
        <v>0</v>
      </c>
      <c r="EH189" s="2039">
        <f t="shared" si="74"/>
        <v>0</v>
      </c>
      <c r="EI189" s="2040">
        <f t="shared" si="103"/>
        <v>0</v>
      </c>
      <c r="EJ189" s="2040">
        <f t="shared" si="103"/>
        <v>0</v>
      </c>
      <c r="EK189" s="2040">
        <f t="shared" si="103"/>
        <v>0</v>
      </c>
      <c r="EL189" s="2040">
        <f t="shared" si="103"/>
        <v>0</v>
      </c>
      <c r="EM189" s="2040">
        <f t="shared" si="103"/>
        <v>0</v>
      </c>
      <c r="EN189" s="2040">
        <f t="shared" si="103"/>
        <v>0</v>
      </c>
      <c r="EO189" s="2040">
        <f t="shared" si="99"/>
        <v>0</v>
      </c>
      <c r="EP189" s="2040">
        <f t="shared" si="99"/>
        <v>0</v>
      </c>
      <c r="EQ189" s="2040">
        <f t="shared" si="99"/>
        <v>0</v>
      </c>
      <c r="ER189" s="2040">
        <f t="shared" si="72"/>
        <v>0</v>
      </c>
      <c r="ES189" s="2040">
        <f t="shared" si="72"/>
        <v>0</v>
      </c>
      <c r="ET189" s="2040">
        <f t="shared" si="72"/>
        <v>0</v>
      </c>
      <c r="EU189" s="2039">
        <f t="shared" si="84"/>
        <v>0</v>
      </c>
      <c r="EV189" s="2039">
        <f t="shared" si="85"/>
        <v>0</v>
      </c>
    </row>
    <row r="190" spans="1:152" x14ac:dyDescent="0.25">
      <c r="A190" s="2021" t="s">
        <v>198</v>
      </c>
      <c r="B190" s="2069" t="s">
        <v>2969</v>
      </c>
      <c r="C190" s="2068">
        <v>15</v>
      </c>
      <c r="D190" s="2071">
        <v>0</v>
      </c>
      <c r="E190" s="2071">
        <v>0</v>
      </c>
      <c r="F190" s="2068">
        <v>62.806322167483358</v>
      </c>
      <c r="G190" s="2026" t="s">
        <v>20</v>
      </c>
      <c r="H190" s="2026" t="s">
        <v>20</v>
      </c>
      <c r="I190" s="2026">
        <v>0.55700000000000005</v>
      </c>
      <c r="J190" s="2026">
        <v>0.55700000000000005</v>
      </c>
      <c r="K190" s="2026">
        <v>0.55700000000000005</v>
      </c>
      <c r="L190" s="2026">
        <v>0.55700000000000005</v>
      </c>
      <c r="M190" s="2027">
        <f t="shared" si="86"/>
        <v>0</v>
      </c>
      <c r="N190" s="2027">
        <f t="shared" si="86"/>
        <v>0</v>
      </c>
      <c r="O190" s="2027">
        <f t="shared" si="86"/>
        <v>0</v>
      </c>
      <c r="P190" s="2027">
        <f t="shared" si="75"/>
        <v>0</v>
      </c>
      <c r="Q190" s="2026">
        <v>0.55700000000000005</v>
      </c>
      <c r="R190" s="2026">
        <v>0.55700000000000005</v>
      </c>
      <c r="S190" s="2026">
        <v>0.55700000000000005</v>
      </c>
      <c r="T190" s="2026">
        <v>0.55700000000000005</v>
      </c>
      <c r="U190" s="2028">
        <f t="shared" si="87"/>
        <v>0</v>
      </c>
      <c r="V190" s="2028">
        <f t="shared" si="87"/>
        <v>0</v>
      </c>
      <c r="W190" s="2028">
        <f t="shared" si="87"/>
        <v>0</v>
      </c>
      <c r="X190" s="2028">
        <f t="shared" si="76"/>
        <v>0</v>
      </c>
      <c r="Y190" s="2026">
        <v>0.49399999999999999</v>
      </c>
      <c r="Z190" s="2026">
        <v>0.49399999999999999</v>
      </c>
      <c r="AA190" s="2026">
        <v>0.49399999999999999</v>
      </c>
      <c r="AB190" s="2026">
        <v>0.49399999999999999</v>
      </c>
      <c r="AC190" s="2027">
        <f t="shared" si="100"/>
        <v>31.026323150736779</v>
      </c>
      <c r="AD190" s="2027">
        <f t="shared" si="100"/>
        <v>31.026323150736779</v>
      </c>
      <c r="AE190" s="2027">
        <f t="shared" si="100"/>
        <v>31.026323150736779</v>
      </c>
      <c r="AF190" s="2027">
        <f t="shared" si="100"/>
        <v>31.026323150736779</v>
      </c>
      <c r="AG190" s="2027">
        <v>75</v>
      </c>
      <c r="AH190" s="2027">
        <v>75</v>
      </c>
      <c r="AI190" s="2027">
        <v>70</v>
      </c>
      <c r="AJ190" s="2027">
        <v>69</v>
      </c>
      <c r="AK190" s="2027">
        <f t="shared" si="101"/>
        <v>0</v>
      </c>
      <c r="AL190" s="2027">
        <f t="shared" si="97"/>
        <v>0</v>
      </c>
      <c r="AM190" s="2027">
        <f t="shared" si="97"/>
        <v>0</v>
      </c>
      <c r="AN190" s="2027">
        <f t="shared" si="97"/>
        <v>0</v>
      </c>
      <c r="AO190" s="2027">
        <f t="shared" si="102"/>
        <v>2326.9742363052583</v>
      </c>
      <c r="AP190" s="2027">
        <f t="shared" si="98"/>
        <v>2326.9742363052583</v>
      </c>
      <c r="AQ190" s="2027">
        <f t="shared" si="98"/>
        <v>2171.8426205515743</v>
      </c>
      <c r="AR190" s="2027">
        <f t="shared" si="98"/>
        <v>2140.8162974008378</v>
      </c>
      <c r="AS190" s="2029"/>
      <c r="AT190" s="2029">
        <f t="shared" si="77"/>
        <v>0</v>
      </c>
      <c r="AU190" s="2029">
        <f t="shared" si="77"/>
        <v>0</v>
      </c>
      <c r="AV190" s="2029">
        <f t="shared" si="77"/>
        <v>0</v>
      </c>
      <c r="AW190" s="2048">
        <v>600</v>
      </c>
      <c r="AX190" s="2029">
        <f t="shared" si="95"/>
        <v>600</v>
      </c>
      <c r="AY190" s="2029">
        <f t="shared" si="95"/>
        <v>600</v>
      </c>
      <c r="AZ190" s="2029">
        <f t="shared" si="95"/>
        <v>600</v>
      </c>
      <c r="BA190" s="2029">
        <v>879</v>
      </c>
      <c r="BB190" s="2029">
        <f t="shared" si="96"/>
        <v>879</v>
      </c>
      <c r="BC190" s="2029">
        <f t="shared" si="96"/>
        <v>879</v>
      </c>
      <c r="BD190" s="2029">
        <f t="shared" si="96"/>
        <v>879</v>
      </c>
      <c r="BE190" s="2030">
        <f t="shared" si="80"/>
        <v>0</v>
      </c>
      <c r="BF190" s="2030">
        <f t="shared" si="80"/>
        <v>0</v>
      </c>
      <c r="BG190" s="2030">
        <f t="shared" si="80"/>
        <v>0</v>
      </c>
      <c r="BH190" s="2030">
        <f t="shared" si="73"/>
        <v>0</v>
      </c>
      <c r="BI190" s="2030">
        <f t="shared" si="81"/>
        <v>45000</v>
      </c>
      <c r="BJ190" s="2030">
        <f t="shared" si="81"/>
        <v>45000</v>
      </c>
      <c r="BK190" s="2030">
        <f t="shared" si="81"/>
        <v>42000</v>
      </c>
      <c r="BL190" s="2030">
        <f t="shared" si="81"/>
        <v>41400</v>
      </c>
      <c r="BM190" s="2031"/>
      <c r="BN190" s="2031"/>
      <c r="BO190" s="2031"/>
      <c r="BP190" s="2031"/>
      <c r="BQ190" s="2031"/>
      <c r="BR190" s="2031"/>
      <c r="BS190" s="2031"/>
      <c r="BT190" s="2031"/>
      <c r="BU190" s="2029"/>
      <c r="BV190" s="2029"/>
      <c r="BW190" s="2029"/>
      <c r="BX190" s="2029"/>
      <c r="BY190" s="2029"/>
      <c r="BZ190" s="2032"/>
      <c r="CA190" s="1974"/>
      <c r="CB190" s="1974"/>
      <c r="CC190" s="1974"/>
      <c r="CD190" s="1974"/>
      <c r="CE190" s="1974">
        <v>0</v>
      </c>
      <c r="CF190" s="2033">
        <v>0</v>
      </c>
      <c r="CG190" s="2026">
        <v>8.5505973301967157E-4</v>
      </c>
      <c r="CH190" s="2009">
        <v>0</v>
      </c>
      <c r="CI190" s="2029">
        <v>0</v>
      </c>
      <c r="CK190" s="2029">
        <f t="shared" si="82"/>
        <v>0</v>
      </c>
      <c r="CL190" s="2034">
        <v>1</v>
      </c>
      <c r="CM190" s="2034">
        <v>1</v>
      </c>
      <c r="CN190" s="2034">
        <v>1</v>
      </c>
      <c r="CO190" s="2034">
        <v>1</v>
      </c>
      <c r="CP190" s="2035"/>
      <c r="CQ190" s="2036"/>
      <c r="CR190" s="2036"/>
      <c r="CS190" s="2036"/>
      <c r="CT190" s="2036"/>
      <c r="CU190" s="2036"/>
      <c r="CW190" s="1973">
        <v>2</v>
      </c>
      <c r="CX190" s="2037">
        <v>600</v>
      </c>
      <c r="CY190" s="2037">
        <v>600</v>
      </c>
      <c r="CZ190" s="2037">
        <v>600</v>
      </c>
      <c r="DA190" s="2037">
        <v>600</v>
      </c>
      <c r="DK190" s="1973">
        <v>0</v>
      </c>
      <c r="DL190" s="1973">
        <v>0</v>
      </c>
      <c r="DM190" s="1973">
        <v>0</v>
      </c>
      <c r="DO190" s="2043">
        <v>15</v>
      </c>
      <c r="DP190" s="2044">
        <v>0</v>
      </c>
      <c r="DQ190" s="2044">
        <v>0</v>
      </c>
      <c r="DR190" s="2043">
        <v>62.806322167483358</v>
      </c>
      <c r="DS190" s="2046"/>
      <c r="DT190" s="2046">
        <v>0</v>
      </c>
      <c r="DU190" s="2046">
        <v>0</v>
      </c>
      <c r="DV190" s="2046">
        <v>0</v>
      </c>
      <c r="DW190" s="2059">
        <v>600</v>
      </c>
      <c r="DX190" s="2046">
        <v>600</v>
      </c>
      <c r="DY190" s="2046">
        <v>600</v>
      </c>
      <c r="DZ190" s="2046">
        <v>600</v>
      </c>
      <c r="EA190" s="2046">
        <v>879</v>
      </c>
      <c r="EB190" s="2046">
        <v>879</v>
      </c>
      <c r="EC190" s="2046">
        <v>879</v>
      </c>
      <c r="ED190" s="2046">
        <v>879</v>
      </c>
      <c r="EE190" s="2039">
        <f t="shared" si="83"/>
        <v>0</v>
      </c>
      <c r="EF190" s="2039">
        <f t="shared" si="83"/>
        <v>0</v>
      </c>
      <c r="EG190" s="2039">
        <f t="shared" si="83"/>
        <v>0</v>
      </c>
      <c r="EH190" s="2039">
        <f t="shared" si="74"/>
        <v>0</v>
      </c>
      <c r="EI190" s="2040">
        <f t="shared" si="103"/>
        <v>0</v>
      </c>
      <c r="EJ190" s="2040">
        <f t="shared" si="103"/>
        <v>0</v>
      </c>
      <c r="EK190" s="2040">
        <f t="shared" si="103"/>
        <v>0</v>
      </c>
      <c r="EL190" s="2040">
        <f t="shared" si="103"/>
        <v>0</v>
      </c>
      <c r="EM190" s="2040">
        <f t="shared" si="103"/>
        <v>0</v>
      </c>
      <c r="EN190" s="2040">
        <f t="shared" si="103"/>
        <v>0</v>
      </c>
      <c r="EO190" s="2040">
        <f t="shared" si="99"/>
        <v>0</v>
      </c>
      <c r="EP190" s="2040">
        <f t="shared" si="99"/>
        <v>0</v>
      </c>
      <c r="EQ190" s="2040">
        <f t="shared" si="99"/>
        <v>0</v>
      </c>
      <c r="ER190" s="2040">
        <f t="shared" si="72"/>
        <v>0</v>
      </c>
      <c r="ES190" s="2040">
        <f t="shared" si="72"/>
        <v>0</v>
      </c>
      <c r="ET190" s="2040">
        <f t="shared" si="72"/>
        <v>0</v>
      </c>
      <c r="EU190" s="2039">
        <f t="shared" si="84"/>
        <v>0</v>
      </c>
      <c r="EV190" s="2039">
        <f t="shared" si="85"/>
        <v>0</v>
      </c>
    </row>
    <row r="191" spans="1:152" x14ac:dyDescent="0.25">
      <c r="A191" s="2041" t="s">
        <v>199</v>
      </c>
      <c r="B191" s="2022" t="s">
        <v>2970</v>
      </c>
      <c r="C191" s="2023">
        <v>12</v>
      </c>
      <c r="D191" s="2024">
        <v>0</v>
      </c>
      <c r="E191" s="2024">
        <v>0</v>
      </c>
      <c r="F191" s="2023">
        <v>1321</v>
      </c>
      <c r="G191" s="2026" t="s">
        <v>2899</v>
      </c>
      <c r="H191" s="2026" t="s">
        <v>2899</v>
      </c>
      <c r="I191" s="2026">
        <v>0.84899999999999998</v>
      </c>
      <c r="J191" s="2026">
        <v>0.84899999999999998</v>
      </c>
      <c r="K191" s="2026">
        <v>0.84899999999999998</v>
      </c>
      <c r="L191" s="2026">
        <v>0.84899999999999998</v>
      </c>
      <c r="M191" s="2027">
        <f t="shared" si="86"/>
        <v>0</v>
      </c>
      <c r="N191" s="2027">
        <f t="shared" si="86"/>
        <v>0</v>
      </c>
      <c r="O191" s="2027">
        <f t="shared" si="86"/>
        <v>0</v>
      </c>
      <c r="P191" s="2027">
        <f t="shared" si="75"/>
        <v>0</v>
      </c>
      <c r="Q191" s="2026">
        <v>0.84899999999999998</v>
      </c>
      <c r="R191" s="2026">
        <v>0.84899999999999998</v>
      </c>
      <c r="S191" s="2026">
        <v>0.84899999999999998</v>
      </c>
      <c r="T191" s="2026">
        <v>0.84899999999999998</v>
      </c>
      <c r="U191" s="2028">
        <f t="shared" si="87"/>
        <v>0</v>
      </c>
      <c r="V191" s="2028">
        <f t="shared" si="87"/>
        <v>0</v>
      </c>
      <c r="W191" s="2028">
        <f t="shared" si="87"/>
        <v>0</v>
      </c>
      <c r="X191" s="2028">
        <f t="shared" si="76"/>
        <v>0</v>
      </c>
      <c r="Y191" s="2026">
        <v>0.67500000000000004</v>
      </c>
      <c r="Z191" s="2026">
        <v>0.67500000000000004</v>
      </c>
      <c r="AA191" s="2026">
        <v>0.67500000000000004</v>
      </c>
      <c r="AB191" s="2026">
        <v>0.67500000000000004</v>
      </c>
      <c r="AC191" s="2027">
        <f t="shared" si="100"/>
        <v>891.67500000000007</v>
      </c>
      <c r="AD191" s="2027">
        <f t="shared" si="100"/>
        <v>891.67500000000007</v>
      </c>
      <c r="AE191" s="2027">
        <f t="shared" si="100"/>
        <v>891.67500000000007</v>
      </c>
      <c r="AF191" s="2027">
        <f t="shared" si="100"/>
        <v>891.67500000000007</v>
      </c>
      <c r="AG191" s="2027">
        <v>4</v>
      </c>
      <c r="AH191" s="2027">
        <v>4</v>
      </c>
      <c r="AI191" s="2027">
        <v>4</v>
      </c>
      <c r="AJ191" s="2027">
        <v>4</v>
      </c>
      <c r="AK191" s="2027">
        <f t="shared" si="101"/>
        <v>0</v>
      </c>
      <c r="AL191" s="2027">
        <f t="shared" si="97"/>
        <v>0</v>
      </c>
      <c r="AM191" s="2027">
        <f t="shared" si="97"/>
        <v>0</v>
      </c>
      <c r="AN191" s="2027">
        <f t="shared" si="97"/>
        <v>0</v>
      </c>
      <c r="AO191" s="2027">
        <f t="shared" si="102"/>
        <v>3566.7000000000003</v>
      </c>
      <c r="AP191" s="2027">
        <f t="shared" si="98"/>
        <v>3566.7000000000003</v>
      </c>
      <c r="AQ191" s="2027">
        <f t="shared" si="98"/>
        <v>3566.7000000000003</v>
      </c>
      <c r="AR191" s="2027">
        <f t="shared" si="98"/>
        <v>3566.7000000000003</v>
      </c>
      <c r="AS191" s="2029"/>
      <c r="AT191" s="2029">
        <f t="shared" si="77"/>
        <v>0</v>
      </c>
      <c r="AU191" s="2029">
        <f t="shared" si="77"/>
        <v>0</v>
      </c>
      <c r="AV191" s="2029">
        <f t="shared" si="77"/>
        <v>0</v>
      </c>
      <c r="AW191" s="2029">
        <v>1000</v>
      </c>
      <c r="AX191" s="2029">
        <f t="shared" si="95"/>
        <v>1000</v>
      </c>
      <c r="AY191" s="2029">
        <f t="shared" si="95"/>
        <v>1000</v>
      </c>
      <c r="AZ191" s="2029">
        <f t="shared" si="95"/>
        <v>1000</v>
      </c>
      <c r="BA191" s="2029">
        <v>998</v>
      </c>
      <c r="BB191" s="2029">
        <f t="shared" si="96"/>
        <v>998</v>
      </c>
      <c r="BC191" s="2029">
        <f t="shared" si="96"/>
        <v>998</v>
      </c>
      <c r="BD191" s="2029">
        <f t="shared" si="96"/>
        <v>998</v>
      </c>
      <c r="BE191" s="2030">
        <f t="shared" si="80"/>
        <v>0</v>
      </c>
      <c r="BF191" s="2030">
        <f t="shared" si="80"/>
        <v>0</v>
      </c>
      <c r="BG191" s="2030">
        <f t="shared" si="80"/>
        <v>0</v>
      </c>
      <c r="BH191" s="2030">
        <f t="shared" si="73"/>
        <v>0</v>
      </c>
      <c r="BI191" s="2030">
        <f t="shared" si="81"/>
        <v>4000</v>
      </c>
      <c r="BJ191" s="2030">
        <f t="shared" si="81"/>
        <v>4000</v>
      </c>
      <c r="BK191" s="2030">
        <f t="shared" si="81"/>
        <v>4000</v>
      </c>
      <c r="BL191" s="2030">
        <f t="shared" si="81"/>
        <v>4000</v>
      </c>
      <c r="BM191" s="2031"/>
      <c r="BN191" s="2031"/>
      <c r="BO191" s="2031"/>
      <c r="BP191" s="2031"/>
      <c r="BQ191" s="2031"/>
      <c r="BR191" s="2031"/>
      <c r="BS191" s="2031"/>
      <c r="BT191" s="2031"/>
      <c r="BU191" s="2029"/>
      <c r="BV191" s="2029"/>
      <c r="BW191" s="2029"/>
      <c r="BX191" s="2029"/>
      <c r="BY191" s="2029"/>
      <c r="BZ191" s="2032"/>
      <c r="CA191" s="2027">
        <v>76703</v>
      </c>
      <c r="CB191" s="1974"/>
      <c r="CC191" s="1974"/>
      <c r="CD191" s="1974"/>
      <c r="CE191" s="1974">
        <v>0</v>
      </c>
      <c r="CF191" s="2033">
        <v>0</v>
      </c>
      <c r="CG191" s="2026">
        <v>1.3306659689257172E-3</v>
      </c>
      <c r="CH191" s="2009">
        <v>0</v>
      </c>
      <c r="CI191" s="2029">
        <v>0</v>
      </c>
      <c r="CK191" s="2029">
        <f t="shared" si="82"/>
        <v>0</v>
      </c>
      <c r="CL191" s="2034">
        <v>1</v>
      </c>
      <c r="CM191" s="2034">
        <v>1</v>
      </c>
      <c r="CN191" s="2034">
        <v>1</v>
      </c>
      <c r="CO191" s="2034">
        <v>1</v>
      </c>
      <c r="CP191" s="2035"/>
      <c r="CQ191" s="2036"/>
      <c r="CR191" s="2036"/>
      <c r="CS191" s="2036"/>
      <c r="CT191" s="2036"/>
      <c r="CU191" s="2036"/>
      <c r="CW191" s="1973">
        <v>0</v>
      </c>
      <c r="CX191" s="2037">
        <v>1000</v>
      </c>
      <c r="CY191" s="2037">
        <v>1000</v>
      </c>
      <c r="CZ191" s="2037">
        <v>1000</v>
      </c>
      <c r="DA191" s="2037">
        <v>1000</v>
      </c>
      <c r="DK191" s="1973">
        <v>0</v>
      </c>
      <c r="DL191" s="1973">
        <v>0</v>
      </c>
      <c r="DM191" s="1973">
        <v>0</v>
      </c>
      <c r="DO191" s="2023">
        <v>12</v>
      </c>
      <c r="DP191" s="2024">
        <v>0</v>
      </c>
      <c r="DQ191" s="2024">
        <v>0</v>
      </c>
      <c r="DR191" s="2023">
        <v>1321</v>
      </c>
      <c r="DS191" s="2029"/>
      <c r="DT191" s="2029">
        <v>0</v>
      </c>
      <c r="DU191" s="2029">
        <v>0</v>
      </c>
      <c r="DV191" s="2029">
        <v>0</v>
      </c>
      <c r="DW191" s="2029">
        <v>1000</v>
      </c>
      <c r="DX191" s="2029">
        <v>1000</v>
      </c>
      <c r="DY191" s="2029">
        <v>1000</v>
      </c>
      <c r="DZ191" s="2029">
        <v>1000</v>
      </c>
      <c r="EA191" s="2029">
        <v>998</v>
      </c>
      <c r="EB191" s="2029">
        <v>998</v>
      </c>
      <c r="EC191" s="2029">
        <v>998</v>
      </c>
      <c r="ED191" s="2029">
        <v>998</v>
      </c>
      <c r="EE191" s="2039">
        <f t="shared" si="83"/>
        <v>0</v>
      </c>
      <c r="EF191" s="2039">
        <f t="shared" si="83"/>
        <v>0</v>
      </c>
      <c r="EG191" s="2039">
        <f t="shared" si="83"/>
        <v>0</v>
      </c>
      <c r="EH191" s="2039">
        <f t="shared" si="74"/>
        <v>0</v>
      </c>
      <c r="EI191" s="2040">
        <f t="shared" si="103"/>
        <v>0</v>
      </c>
      <c r="EJ191" s="2040">
        <f t="shared" si="103"/>
        <v>0</v>
      </c>
      <c r="EK191" s="2040">
        <f t="shared" si="103"/>
        <v>0</v>
      </c>
      <c r="EL191" s="2040">
        <f t="shared" si="103"/>
        <v>0</v>
      </c>
      <c r="EM191" s="2040">
        <f t="shared" si="103"/>
        <v>0</v>
      </c>
      <c r="EN191" s="2040">
        <f t="shared" si="103"/>
        <v>0</v>
      </c>
      <c r="EO191" s="2040">
        <f t="shared" si="99"/>
        <v>0</v>
      </c>
      <c r="EP191" s="2040">
        <f t="shared" si="99"/>
        <v>0</v>
      </c>
      <c r="EQ191" s="2040">
        <f t="shared" si="99"/>
        <v>0</v>
      </c>
      <c r="ER191" s="2040">
        <f t="shared" si="72"/>
        <v>0</v>
      </c>
      <c r="ES191" s="2040">
        <f t="shared" si="72"/>
        <v>0</v>
      </c>
      <c r="ET191" s="2040">
        <f t="shared" si="72"/>
        <v>0</v>
      </c>
      <c r="EU191" s="2039">
        <f t="shared" si="84"/>
        <v>0</v>
      </c>
      <c r="EV191" s="2039">
        <f t="shared" si="85"/>
        <v>0</v>
      </c>
    </row>
    <row r="192" spans="1:152" x14ac:dyDescent="0.25">
      <c r="A192" s="2041" t="s">
        <v>200</v>
      </c>
      <c r="B192" s="2022" t="s">
        <v>2971</v>
      </c>
      <c r="C192" s="2023">
        <v>12</v>
      </c>
      <c r="D192" s="2024">
        <v>0</v>
      </c>
      <c r="E192" s="2024">
        <v>0</v>
      </c>
      <c r="F192" s="2023">
        <v>1591</v>
      </c>
      <c r="G192" s="2026" t="s">
        <v>2899</v>
      </c>
      <c r="H192" s="2026" t="s">
        <v>2899</v>
      </c>
      <c r="I192" s="2026">
        <v>0.84899999999999998</v>
      </c>
      <c r="J192" s="2026">
        <v>0.84899999999999998</v>
      </c>
      <c r="K192" s="2026">
        <v>0.84899999999999998</v>
      </c>
      <c r="L192" s="2026">
        <v>0.84899999999999998</v>
      </c>
      <c r="M192" s="2027">
        <f t="shared" si="86"/>
        <v>0</v>
      </c>
      <c r="N192" s="2027">
        <f t="shared" si="86"/>
        <v>0</v>
      </c>
      <c r="O192" s="2027">
        <f t="shared" si="86"/>
        <v>0</v>
      </c>
      <c r="P192" s="2027">
        <f t="shared" si="75"/>
        <v>0</v>
      </c>
      <c r="Q192" s="2026">
        <v>0.84899999999999998</v>
      </c>
      <c r="R192" s="2026">
        <v>0.84899999999999998</v>
      </c>
      <c r="S192" s="2026">
        <v>0.84899999999999998</v>
      </c>
      <c r="T192" s="2026">
        <v>0.84899999999999998</v>
      </c>
      <c r="U192" s="2028">
        <f t="shared" si="87"/>
        <v>0</v>
      </c>
      <c r="V192" s="2028">
        <f t="shared" si="87"/>
        <v>0</v>
      </c>
      <c r="W192" s="2028">
        <f t="shared" si="87"/>
        <v>0</v>
      </c>
      <c r="X192" s="2028">
        <f t="shared" si="76"/>
        <v>0</v>
      </c>
      <c r="Y192" s="2026">
        <v>0.67500000000000004</v>
      </c>
      <c r="Z192" s="2026">
        <v>0.67500000000000004</v>
      </c>
      <c r="AA192" s="2026">
        <v>0.67500000000000004</v>
      </c>
      <c r="AB192" s="2026">
        <v>0.67500000000000004</v>
      </c>
      <c r="AC192" s="2027">
        <f t="shared" si="100"/>
        <v>1073.9250000000002</v>
      </c>
      <c r="AD192" s="2027">
        <f t="shared" si="100"/>
        <v>1073.9250000000002</v>
      </c>
      <c r="AE192" s="2027">
        <f t="shared" si="100"/>
        <v>1073.9250000000002</v>
      </c>
      <c r="AF192" s="2027">
        <f t="shared" si="100"/>
        <v>1073.9250000000002</v>
      </c>
      <c r="AG192" s="2027">
        <v>4</v>
      </c>
      <c r="AH192" s="2027">
        <v>4</v>
      </c>
      <c r="AI192" s="2027">
        <v>4</v>
      </c>
      <c r="AJ192" s="2027">
        <v>4</v>
      </c>
      <c r="AK192" s="2027">
        <f t="shared" si="101"/>
        <v>0</v>
      </c>
      <c r="AL192" s="2027">
        <f t="shared" si="97"/>
        <v>0</v>
      </c>
      <c r="AM192" s="2027">
        <f t="shared" si="97"/>
        <v>0</v>
      </c>
      <c r="AN192" s="2027">
        <f t="shared" si="97"/>
        <v>0</v>
      </c>
      <c r="AO192" s="2027">
        <f t="shared" si="102"/>
        <v>4295.7000000000007</v>
      </c>
      <c r="AP192" s="2027">
        <f t="shared" si="98"/>
        <v>4295.7000000000007</v>
      </c>
      <c r="AQ192" s="2027">
        <f t="shared" si="98"/>
        <v>4295.7000000000007</v>
      </c>
      <c r="AR192" s="2027">
        <f t="shared" si="98"/>
        <v>4295.7000000000007</v>
      </c>
      <c r="AS192" s="2029"/>
      <c r="AT192" s="2029">
        <f t="shared" si="77"/>
        <v>0</v>
      </c>
      <c r="AU192" s="2029">
        <f t="shared" si="77"/>
        <v>0</v>
      </c>
      <c r="AV192" s="2029">
        <f t="shared" si="77"/>
        <v>0</v>
      </c>
      <c r="AW192" s="2029">
        <v>1200</v>
      </c>
      <c r="AX192" s="2029">
        <f t="shared" si="95"/>
        <v>1200</v>
      </c>
      <c r="AY192" s="2029">
        <f t="shared" si="95"/>
        <v>1200</v>
      </c>
      <c r="AZ192" s="2029">
        <f t="shared" si="95"/>
        <v>1200</v>
      </c>
      <c r="BA192" s="2029">
        <v>998</v>
      </c>
      <c r="BB192" s="2029">
        <f t="shared" si="96"/>
        <v>998</v>
      </c>
      <c r="BC192" s="2029">
        <f t="shared" si="96"/>
        <v>998</v>
      </c>
      <c r="BD192" s="2029">
        <f t="shared" si="96"/>
        <v>998</v>
      </c>
      <c r="BE192" s="2030">
        <f t="shared" si="80"/>
        <v>0</v>
      </c>
      <c r="BF192" s="2030">
        <f t="shared" si="80"/>
        <v>0</v>
      </c>
      <c r="BG192" s="2030">
        <f t="shared" si="80"/>
        <v>0</v>
      </c>
      <c r="BH192" s="2030">
        <f t="shared" si="73"/>
        <v>0</v>
      </c>
      <c r="BI192" s="2030">
        <f t="shared" si="81"/>
        <v>4800</v>
      </c>
      <c r="BJ192" s="2030">
        <f t="shared" si="81"/>
        <v>4800</v>
      </c>
      <c r="BK192" s="2030">
        <f t="shared" si="81"/>
        <v>4800</v>
      </c>
      <c r="BL192" s="2030">
        <f t="shared" si="81"/>
        <v>4800</v>
      </c>
      <c r="BM192" s="2031"/>
      <c r="BN192" s="2031"/>
      <c r="BO192" s="2031"/>
      <c r="BP192" s="2031"/>
      <c r="BQ192" s="2031"/>
      <c r="BR192" s="2031"/>
      <c r="BS192" s="2031"/>
      <c r="BT192" s="2031"/>
      <c r="BU192" s="2029"/>
      <c r="BV192" s="2029"/>
      <c r="BW192" s="2029"/>
      <c r="BX192" s="2029"/>
      <c r="BY192" s="2029"/>
      <c r="BZ192" s="2032"/>
      <c r="CA192" s="2027">
        <v>76703</v>
      </c>
      <c r="CB192" s="1974"/>
      <c r="CC192" s="1974"/>
      <c r="CD192" s="1974"/>
      <c r="CE192" s="1974">
        <v>0</v>
      </c>
      <c r="CF192" s="2033">
        <v>0</v>
      </c>
      <c r="CG192" s="2026">
        <v>1.6026416022413448E-3</v>
      </c>
      <c r="CH192" s="2009">
        <v>0</v>
      </c>
      <c r="CI192" s="2029">
        <v>0</v>
      </c>
      <c r="CK192" s="2029">
        <f t="shared" si="82"/>
        <v>0</v>
      </c>
      <c r="CL192" s="2034">
        <v>1</v>
      </c>
      <c r="CM192" s="2034">
        <v>1</v>
      </c>
      <c r="CN192" s="2034">
        <v>1</v>
      </c>
      <c r="CO192" s="2034">
        <v>1</v>
      </c>
      <c r="CP192" s="2035"/>
      <c r="CQ192" s="2036"/>
      <c r="CR192" s="2036"/>
      <c r="CS192" s="2036"/>
      <c r="CT192" s="2036"/>
      <c r="CU192" s="2036"/>
      <c r="CW192" s="1973">
        <v>0</v>
      </c>
      <c r="CX192" s="2037">
        <v>1200</v>
      </c>
      <c r="CY192" s="2037">
        <v>1200</v>
      </c>
      <c r="CZ192" s="2037">
        <v>1200</v>
      </c>
      <c r="DA192" s="2037">
        <v>1200</v>
      </c>
      <c r="DK192" s="1973">
        <v>0</v>
      </c>
      <c r="DL192" s="1973">
        <v>0</v>
      </c>
      <c r="DM192" s="1973">
        <v>0</v>
      </c>
      <c r="DO192" s="2023">
        <v>12</v>
      </c>
      <c r="DP192" s="2024">
        <v>0</v>
      </c>
      <c r="DQ192" s="2024">
        <v>0</v>
      </c>
      <c r="DR192" s="2023">
        <v>1591</v>
      </c>
      <c r="DS192" s="2029"/>
      <c r="DT192" s="2029">
        <v>0</v>
      </c>
      <c r="DU192" s="2029">
        <v>0</v>
      </c>
      <c r="DV192" s="2029">
        <v>0</v>
      </c>
      <c r="DW192" s="2029">
        <v>1200</v>
      </c>
      <c r="DX192" s="2029">
        <v>1200</v>
      </c>
      <c r="DY192" s="2029">
        <v>1200</v>
      </c>
      <c r="DZ192" s="2029">
        <v>1200</v>
      </c>
      <c r="EA192" s="2029">
        <v>998</v>
      </c>
      <c r="EB192" s="2029">
        <v>998</v>
      </c>
      <c r="EC192" s="2029">
        <v>998</v>
      </c>
      <c r="ED192" s="2029">
        <v>998</v>
      </c>
      <c r="EE192" s="2039">
        <f t="shared" si="83"/>
        <v>0</v>
      </c>
      <c r="EF192" s="2039">
        <f t="shared" si="83"/>
        <v>0</v>
      </c>
      <c r="EG192" s="2039">
        <f t="shared" si="83"/>
        <v>0</v>
      </c>
      <c r="EH192" s="2039">
        <f t="shared" si="74"/>
        <v>0</v>
      </c>
      <c r="EI192" s="2040">
        <f t="shared" si="103"/>
        <v>0</v>
      </c>
      <c r="EJ192" s="2040">
        <f t="shared" si="103"/>
        <v>0</v>
      </c>
      <c r="EK192" s="2040">
        <f t="shared" si="103"/>
        <v>0</v>
      </c>
      <c r="EL192" s="2040">
        <f t="shared" si="103"/>
        <v>0</v>
      </c>
      <c r="EM192" s="2040">
        <f t="shared" si="103"/>
        <v>0</v>
      </c>
      <c r="EN192" s="2040">
        <f t="shared" si="103"/>
        <v>0</v>
      </c>
      <c r="EO192" s="2040">
        <f t="shared" si="99"/>
        <v>0</v>
      </c>
      <c r="EP192" s="2040">
        <f t="shared" si="99"/>
        <v>0</v>
      </c>
      <c r="EQ192" s="2040">
        <f t="shared" si="99"/>
        <v>0</v>
      </c>
      <c r="ER192" s="2040">
        <f t="shared" si="72"/>
        <v>0</v>
      </c>
      <c r="ES192" s="2040">
        <f t="shared" si="72"/>
        <v>0</v>
      </c>
      <c r="ET192" s="2040">
        <f t="shared" si="72"/>
        <v>0</v>
      </c>
      <c r="EU192" s="2039">
        <f t="shared" si="84"/>
        <v>0</v>
      </c>
      <c r="EV192" s="2039">
        <f t="shared" si="85"/>
        <v>0</v>
      </c>
    </row>
    <row r="193" spans="1:152" x14ac:dyDescent="0.25">
      <c r="A193" s="2041" t="s">
        <v>201</v>
      </c>
      <c r="B193" s="2022" t="s">
        <v>2972</v>
      </c>
      <c r="C193" s="2023">
        <v>12</v>
      </c>
      <c r="D193" s="2024">
        <v>0</v>
      </c>
      <c r="E193" s="2024">
        <v>0</v>
      </c>
      <c r="F193" s="2023">
        <v>149</v>
      </c>
      <c r="G193" s="2026" t="s">
        <v>2899</v>
      </c>
      <c r="H193" s="2026" t="s">
        <v>2899</v>
      </c>
      <c r="I193" s="2026">
        <v>0.84899999999999998</v>
      </c>
      <c r="J193" s="2026">
        <v>0.84899999999999998</v>
      </c>
      <c r="K193" s="2026">
        <v>0.84899999999999998</v>
      </c>
      <c r="L193" s="2026">
        <v>0.84899999999999998</v>
      </c>
      <c r="M193" s="2027">
        <f t="shared" si="86"/>
        <v>0</v>
      </c>
      <c r="N193" s="2027">
        <f t="shared" si="86"/>
        <v>0</v>
      </c>
      <c r="O193" s="2027">
        <f t="shared" si="86"/>
        <v>0</v>
      </c>
      <c r="P193" s="2027">
        <f t="shared" si="75"/>
        <v>0</v>
      </c>
      <c r="Q193" s="2026">
        <v>0.84899999999999998</v>
      </c>
      <c r="R193" s="2026">
        <v>0.84899999999999998</v>
      </c>
      <c r="S193" s="2026">
        <v>0.84899999999999998</v>
      </c>
      <c r="T193" s="2026">
        <v>0.84899999999999998</v>
      </c>
      <c r="U193" s="2028">
        <f t="shared" si="87"/>
        <v>0</v>
      </c>
      <c r="V193" s="2028">
        <f t="shared" si="87"/>
        <v>0</v>
      </c>
      <c r="W193" s="2028">
        <f t="shared" si="87"/>
        <v>0</v>
      </c>
      <c r="X193" s="2028">
        <f t="shared" si="76"/>
        <v>0</v>
      </c>
      <c r="Y193" s="2026">
        <v>0.67500000000000004</v>
      </c>
      <c r="Z193" s="2026">
        <v>0.67500000000000004</v>
      </c>
      <c r="AA193" s="2026">
        <v>0.67500000000000004</v>
      </c>
      <c r="AB193" s="2026">
        <v>0.67500000000000004</v>
      </c>
      <c r="AC193" s="2027">
        <f t="shared" si="100"/>
        <v>100.575</v>
      </c>
      <c r="AD193" s="2027">
        <f t="shared" si="100"/>
        <v>100.575</v>
      </c>
      <c r="AE193" s="2027">
        <f t="shared" si="100"/>
        <v>100.575</v>
      </c>
      <c r="AF193" s="2027">
        <f t="shared" si="100"/>
        <v>100.575</v>
      </c>
      <c r="AG193" s="2027">
        <v>11</v>
      </c>
      <c r="AH193" s="2027">
        <v>11</v>
      </c>
      <c r="AI193" s="2027">
        <v>10</v>
      </c>
      <c r="AJ193" s="2027">
        <v>10</v>
      </c>
      <c r="AK193" s="2027">
        <f t="shared" si="101"/>
        <v>0</v>
      </c>
      <c r="AL193" s="2027">
        <f t="shared" si="97"/>
        <v>0</v>
      </c>
      <c r="AM193" s="2027">
        <f t="shared" si="97"/>
        <v>0</v>
      </c>
      <c r="AN193" s="2027">
        <f t="shared" si="97"/>
        <v>0</v>
      </c>
      <c r="AO193" s="2027">
        <f t="shared" si="102"/>
        <v>1106.325</v>
      </c>
      <c r="AP193" s="2027">
        <f t="shared" si="98"/>
        <v>1106.325</v>
      </c>
      <c r="AQ193" s="2027">
        <f t="shared" si="98"/>
        <v>1005.75</v>
      </c>
      <c r="AR193" s="2027">
        <f t="shared" si="98"/>
        <v>1005.75</v>
      </c>
      <c r="AS193" s="2029"/>
      <c r="AT193" s="2029">
        <f t="shared" si="77"/>
        <v>0</v>
      </c>
      <c r="AU193" s="2029">
        <f t="shared" si="77"/>
        <v>0</v>
      </c>
      <c r="AV193" s="2029">
        <f t="shared" si="77"/>
        <v>0</v>
      </c>
      <c r="AW193" s="2029">
        <v>200</v>
      </c>
      <c r="AX193" s="2029">
        <f t="shared" si="95"/>
        <v>200</v>
      </c>
      <c r="AY193" s="2029">
        <f t="shared" si="95"/>
        <v>200</v>
      </c>
      <c r="AZ193" s="2029">
        <f t="shared" si="95"/>
        <v>200</v>
      </c>
      <c r="BA193" s="2029">
        <v>60</v>
      </c>
      <c r="BB193" s="2029">
        <f t="shared" si="96"/>
        <v>60</v>
      </c>
      <c r="BC193" s="2029">
        <f t="shared" si="96"/>
        <v>60</v>
      </c>
      <c r="BD193" s="2029">
        <f t="shared" si="96"/>
        <v>60</v>
      </c>
      <c r="BE193" s="2030">
        <f t="shared" si="80"/>
        <v>0</v>
      </c>
      <c r="BF193" s="2030">
        <f t="shared" si="80"/>
        <v>0</v>
      </c>
      <c r="BG193" s="2030">
        <f t="shared" si="80"/>
        <v>0</v>
      </c>
      <c r="BH193" s="2030">
        <f t="shared" si="73"/>
        <v>0</v>
      </c>
      <c r="BI193" s="2030">
        <f t="shared" si="81"/>
        <v>2200</v>
      </c>
      <c r="BJ193" s="2030">
        <f t="shared" si="81"/>
        <v>2200</v>
      </c>
      <c r="BK193" s="2030">
        <f t="shared" si="81"/>
        <v>2000</v>
      </c>
      <c r="BL193" s="2030">
        <f t="shared" si="81"/>
        <v>2000</v>
      </c>
      <c r="BM193" s="2031"/>
      <c r="BN193" s="2031"/>
      <c r="BO193" s="2031"/>
      <c r="BP193" s="2031"/>
      <c r="BQ193" s="2031"/>
      <c r="BR193" s="2031"/>
      <c r="BS193" s="2031"/>
      <c r="BT193" s="2031"/>
      <c r="BU193" s="2029"/>
      <c r="BV193" s="2029"/>
      <c r="BW193" s="2029"/>
      <c r="BX193" s="2029"/>
      <c r="BY193" s="2029"/>
      <c r="BZ193" s="2032"/>
      <c r="CA193" s="1974"/>
      <c r="CB193" s="1974"/>
      <c r="CC193" s="1974"/>
      <c r="CD193" s="1974"/>
      <c r="CE193" s="1974"/>
      <c r="CF193" s="2033">
        <v>0</v>
      </c>
      <c r="CG193" s="2026">
        <v>4.1274820648547515E-4</v>
      </c>
      <c r="CH193" s="2009">
        <v>0</v>
      </c>
      <c r="CI193" s="2029">
        <v>0</v>
      </c>
      <c r="CK193" s="2029">
        <f t="shared" si="82"/>
        <v>0</v>
      </c>
      <c r="CL193" s="2034">
        <v>1</v>
      </c>
      <c r="CM193" s="2034">
        <v>1</v>
      </c>
      <c r="CN193" s="2034">
        <v>1</v>
      </c>
      <c r="CO193" s="2034">
        <v>1</v>
      </c>
      <c r="CP193" s="2035"/>
      <c r="CQ193" s="2036"/>
      <c r="CR193" s="2036"/>
      <c r="CS193" s="2036"/>
      <c r="CT193" s="2036"/>
      <c r="CU193" s="2036"/>
      <c r="CW193" s="1973">
        <v>0</v>
      </c>
      <c r="CX193" s="2037">
        <v>200</v>
      </c>
      <c r="CY193" s="2037">
        <v>200</v>
      </c>
      <c r="CZ193" s="2037">
        <v>200</v>
      </c>
      <c r="DA193" s="2037">
        <v>200</v>
      </c>
      <c r="DK193" s="1973">
        <v>0</v>
      </c>
      <c r="DL193" s="1973">
        <v>0</v>
      </c>
      <c r="DM193" s="1973">
        <v>0</v>
      </c>
      <c r="DO193" s="2023">
        <v>12</v>
      </c>
      <c r="DP193" s="2024">
        <v>0</v>
      </c>
      <c r="DQ193" s="2024">
        <v>0</v>
      </c>
      <c r="DR193" s="2023">
        <v>149</v>
      </c>
      <c r="DS193" s="2029"/>
      <c r="DT193" s="2029">
        <v>0</v>
      </c>
      <c r="DU193" s="2029">
        <v>0</v>
      </c>
      <c r="DV193" s="2029">
        <v>0</v>
      </c>
      <c r="DW193" s="2029">
        <v>200</v>
      </c>
      <c r="DX193" s="2029">
        <v>200</v>
      </c>
      <c r="DY193" s="2029">
        <v>200</v>
      </c>
      <c r="DZ193" s="2029">
        <v>200</v>
      </c>
      <c r="EA193" s="2029">
        <v>60</v>
      </c>
      <c r="EB193" s="2029">
        <v>60</v>
      </c>
      <c r="EC193" s="2029">
        <v>60</v>
      </c>
      <c r="ED193" s="2029">
        <v>60</v>
      </c>
      <c r="EE193" s="2039">
        <f t="shared" si="83"/>
        <v>0</v>
      </c>
      <c r="EF193" s="2039">
        <f t="shared" si="83"/>
        <v>0</v>
      </c>
      <c r="EG193" s="2039">
        <f t="shared" si="83"/>
        <v>0</v>
      </c>
      <c r="EH193" s="2039">
        <f t="shared" si="74"/>
        <v>0</v>
      </c>
      <c r="EI193" s="2040">
        <f t="shared" si="103"/>
        <v>0</v>
      </c>
      <c r="EJ193" s="2040">
        <f t="shared" si="103"/>
        <v>0</v>
      </c>
      <c r="EK193" s="2040">
        <f t="shared" si="103"/>
        <v>0</v>
      </c>
      <c r="EL193" s="2040">
        <f t="shared" si="103"/>
        <v>0</v>
      </c>
      <c r="EM193" s="2040">
        <f t="shared" si="103"/>
        <v>0</v>
      </c>
      <c r="EN193" s="2040">
        <f t="shared" si="103"/>
        <v>0</v>
      </c>
      <c r="EO193" s="2040">
        <f t="shared" si="99"/>
        <v>0</v>
      </c>
      <c r="EP193" s="2040">
        <f t="shared" si="99"/>
        <v>0</v>
      </c>
      <c r="EQ193" s="2040">
        <f t="shared" si="99"/>
        <v>0</v>
      </c>
      <c r="ER193" s="2040">
        <f t="shared" si="72"/>
        <v>0</v>
      </c>
      <c r="ES193" s="2040">
        <f t="shared" si="72"/>
        <v>0</v>
      </c>
      <c r="ET193" s="2040">
        <f t="shared" si="72"/>
        <v>0</v>
      </c>
      <c r="EU193" s="2039">
        <f t="shared" si="84"/>
        <v>0</v>
      </c>
      <c r="EV193" s="2039">
        <f t="shared" si="85"/>
        <v>0</v>
      </c>
    </row>
    <row r="194" spans="1:152" x14ac:dyDescent="0.25">
      <c r="A194" s="2021" t="s">
        <v>202</v>
      </c>
      <c r="B194" s="2069" t="s">
        <v>2973</v>
      </c>
      <c r="C194" s="2068">
        <v>15</v>
      </c>
      <c r="D194" s="2071">
        <v>0</v>
      </c>
      <c r="E194" s="2071">
        <v>0</v>
      </c>
      <c r="F194" s="2068">
        <v>505.2346714285714</v>
      </c>
      <c r="G194" s="2026" t="s">
        <v>2899</v>
      </c>
      <c r="H194" s="2026" t="s">
        <v>2899</v>
      </c>
      <c r="I194" s="2026">
        <v>0.84899999999999998</v>
      </c>
      <c r="J194" s="2026">
        <v>0.84899999999999998</v>
      </c>
      <c r="K194" s="2026">
        <v>0.84899999999999998</v>
      </c>
      <c r="L194" s="2026">
        <v>0.84899999999999998</v>
      </c>
      <c r="M194" s="2027">
        <f t="shared" si="86"/>
        <v>0</v>
      </c>
      <c r="N194" s="2027">
        <f t="shared" si="86"/>
        <v>0</v>
      </c>
      <c r="O194" s="2027">
        <f t="shared" si="86"/>
        <v>0</v>
      </c>
      <c r="P194" s="2027">
        <f t="shared" si="75"/>
        <v>0</v>
      </c>
      <c r="Q194" s="2026">
        <v>0.84899999999999998</v>
      </c>
      <c r="R194" s="2026">
        <v>0.84899999999999998</v>
      </c>
      <c r="S194" s="2026">
        <v>0.84899999999999998</v>
      </c>
      <c r="T194" s="2026">
        <v>0.84899999999999998</v>
      </c>
      <c r="U194" s="2028">
        <f t="shared" si="87"/>
        <v>0</v>
      </c>
      <c r="V194" s="2028">
        <f t="shared" si="87"/>
        <v>0</v>
      </c>
      <c r="W194" s="2028">
        <f t="shared" si="87"/>
        <v>0</v>
      </c>
      <c r="X194" s="2028">
        <f t="shared" si="76"/>
        <v>0</v>
      </c>
      <c r="Y194" s="2026">
        <v>0.67500000000000004</v>
      </c>
      <c r="Z194" s="2026">
        <v>0.67500000000000004</v>
      </c>
      <c r="AA194" s="2026">
        <v>0.67500000000000004</v>
      </c>
      <c r="AB194" s="2026">
        <v>0.67500000000000004</v>
      </c>
      <c r="AC194" s="2027">
        <f t="shared" si="100"/>
        <v>341.03340321428573</v>
      </c>
      <c r="AD194" s="2027">
        <f t="shared" si="100"/>
        <v>341.03340321428573</v>
      </c>
      <c r="AE194" s="2027">
        <f t="shared" si="100"/>
        <v>341.03340321428573</v>
      </c>
      <c r="AF194" s="2027">
        <f t="shared" si="100"/>
        <v>341.03340321428573</v>
      </c>
      <c r="AG194" s="2027">
        <v>20</v>
      </c>
      <c r="AH194" s="2027">
        <v>19</v>
      </c>
      <c r="AI194" s="2027">
        <v>20</v>
      </c>
      <c r="AJ194" s="2027">
        <v>20</v>
      </c>
      <c r="AK194" s="2027">
        <f t="shared" si="101"/>
        <v>0</v>
      </c>
      <c r="AL194" s="2027">
        <f t="shared" si="97"/>
        <v>0</v>
      </c>
      <c r="AM194" s="2027">
        <f t="shared" si="97"/>
        <v>0</v>
      </c>
      <c r="AN194" s="2027">
        <f t="shared" si="97"/>
        <v>0</v>
      </c>
      <c r="AO194" s="2027">
        <f t="shared" si="102"/>
        <v>6820.6680642857145</v>
      </c>
      <c r="AP194" s="2027">
        <f t="shared" si="98"/>
        <v>6479.634661071429</v>
      </c>
      <c r="AQ194" s="2027">
        <f t="shared" si="98"/>
        <v>6820.6680642857145</v>
      </c>
      <c r="AR194" s="2027">
        <f t="shared" si="98"/>
        <v>6820.6680642857145</v>
      </c>
      <c r="AS194" s="2029"/>
      <c r="AT194" s="2029">
        <f t="shared" si="77"/>
        <v>0</v>
      </c>
      <c r="AU194" s="2029">
        <f t="shared" si="77"/>
        <v>0</v>
      </c>
      <c r="AV194" s="2029">
        <f t="shared" si="77"/>
        <v>0</v>
      </c>
      <c r="AW194" s="2042">
        <v>1200</v>
      </c>
      <c r="AX194" s="2029">
        <f t="shared" si="95"/>
        <v>1200</v>
      </c>
      <c r="AY194" s="2029">
        <f t="shared" si="95"/>
        <v>1200</v>
      </c>
      <c r="AZ194" s="2029">
        <f t="shared" si="95"/>
        <v>1200</v>
      </c>
      <c r="BA194" s="2029">
        <v>1200</v>
      </c>
      <c r="BB194" s="2029">
        <f t="shared" si="96"/>
        <v>1200</v>
      </c>
      <c r="BC194" s="2029">
        <f t="shared" si="96"/>
        <v>1200</v>
      </c>
      <c r="BD194" s="2029">
        <f t="shared" si="96"/>
        <v>1200</v>
      </c>
      <c r="BE194" s="2030">
        <f t="shared" si="80"/>
        <v>0</v>
      </c>
      <c r="BF194" s="2030">
        <f t="shared" si="80"/>
        <v>0</v>
      </c>
      <c r="BG194" s="2030">
        <f t="shared" si="80"/>
        <v>0</v>
      </c>
      <c r="BH194" s="2030">
        <f t="shared" si="73"/>
        <v>0</v>
      </c>
      <c r="BI194" s="2030">
        <f t="shared" si="81"/>
        <v>24000</v>
      </c>
      <c r="BJ194" s="2030">
        <f t="shared" si="81"/>
        <v>22800</v>
      </c>
      <c r="BK194" s="2030">
        <f t="shared" si="81"/>
        <v>24000</v>
      </c>
      <c r="BL194" s="2030">
        <f t="shared" si="81"/>
        <v>24000</v>
      </c>
      <c r="BM194" s="2031"/>
      <c r="BN194" s="2031"/>
      <c r="BO194" s="2031"/>
      <c r="BP194" s="2031"/>
      <c r="BQ194" s="2031"/>
      <c r="BR194" s="2031"/>
      <c r="BS194" s="2031"/>
      <c r="BT194" s="2031"/>
      <c r="BU194" s="2029"/>
      <c r="BV194" s="2029"/>
      <c r="BW194" s="2029"/>
      <c r="BX194" s="2029"/>
      <c r="BY194" s="2029"/>
      <c r="BZ194" s="2032"/>
      <c r="CA194" s="1974"/>
      <c r="CB194" s="1974"/>
      <c r="CC194" s="1974"/>
      <c r="CD194" s="1974"/>
      <c r="CE194" s="1974">
        <v>0</v>
      </c>
      <c r="CF194" s="2033">
        <v>0</v>
      </c>
      <c r="CG194" s="2026">
        <v>2.5434758300813291E-3</v>
      </c>
      <c r="CH194" s="2009">
        <v>0</v>
      </c>
      <c r="CI194" s="2029">
        <v>0</v>
      </c>
      <c r="CK194" s="2029">
        <f t="shared" si="82"/>
        <v>0</v>
      </c>
      <c r="CL194" s="2034">
        <v>1</v>
      </c>
      <c r="CM194" s="2034">
        <v>1</v>
      </c>
      <c r="CN194" s="2034">
        <v>1</v>
      </c>
      <c r="CO194" s="2034">
        <v>1</v>
      </c>
      <c r="CP194" s="2035"/>
      <c r="CQ194" s="2036"/>
      <c r="CR194" s="2036"/>
      <c r="CS194" s="2036"/>
      <c r="CT194" s="2036"/>
      <c r="CU194" s="2036"/>
      <c r="CW194" s="1973">
        <v>0</v>
      </c>
      <c r="CX194" s="2037">
        <v>1200</v>
      </c>
      <c r="CY194" s="2037">
        <v>1200</v>
      </c>
      <c r="CZ194" s="2037">
        <v>1200</v>
      </c>
      <c r="DA194" s="2037">
        <v>1200</v>
      </c>
      <c r="DK194" s="1973">
        <v>0</v>
      </c>
      <c r="DL194" s="1973">
        <v>0</v>
      </c>
      <c r="DM194" s="1973">
        <v>0</v>
      </c>
      <c r="DO194" s="2043">
        <v>15</v>
      </c>
      <c r="DP194" s="2044">
        <v>0</v>
      </c>
      <c r="DQ194" s="2044">
        <v>0</v>
      </c>
      <c r="DR194" s="2043">
        <v>505.2346714285714</v>
      </c>
      <c r="DS194" s="2046"/>
      <c r="DT194" s="2046">
        <v>0</v>
      </c>
      <c r="DU194" s="2046">
        <v>0</v>
      </c>
      <c r="DV194" s="2046">
        <v>0</v>
      </c>
      <c r="DW194" s="2045">
        <v>1200</v>
      </c>
      <c r="DX194" s="2046">
        <v>1200</v>
      </c>
      <c r="DY194" s="2046">
        <v>1200</v>
      </c>
      <c r="DZ194" s="2046">
        <v>1200</v>
      </c>
      <c r="EA194" s="2046">
        <v>1200</v>
      </c>
      <c r="EB194" s="2046">
        <v>1200</v>
      </c>
      <c r="EC194" s="2046">
        <v>1200</v>
      </c>
      <c r="ED194" s="2046">
        <v>1200</v>
      </c>
      <c r="EE194" s="2039">
        <f t="shared" si="83"/>
        <v>0</v>
      </c>
      <c r="EF194" s="2039">
        <f t="shared" si="83"/>
        <v>0</v>
      </c>
      <c r="EG194" s="2039">
        <f t="shared" si="83"/>
        <v>0</v>
      </c>
      <c r="EH194" s="2039">
        <f t="shared" si="74"/>
        <v>0</v>
      </c>
      <c r="EI194" s="2040">
        <f t="shared" si="103"/>
        <v>0</v>
      </c>
      <c r="EJ194" s="2040">
        <f t="shared" si="103"/>
        <v>0</v>
      </c>
      <c r="EK194" s="2040">
        <f t="shared" si="103"/>
        <v>0</v>
      </c>
      <c r="EL194" s="2040">
        <f t="shared" si="103"/>
        <v>0</v>
      </c>
      <c r="EM194" s="2040">
        <f t="shared" si="103"/>
        <v>0</v>
      </c>
      <c r="EN194" s="2040">
        <f t="shared" si="103"/>
        <v>0</v>
      </c>
      <c r="EO194" s="2040">
        <f t="shared" si="99"/>
        <v>0</v>
      </c>
      <c r="EP194" s="2040">
        <f t="shared" si="99"/>
        <v>0</v>
      </c>
      <c r="EQ194" s="2040">
        <f t="shared" si="99"/>
        <v>0</v>
      </c>
      <c r="ER194" s="2040">
        <f t="shared" si="72"/>
        <v>0</v>
      </c>
      <c r="ES194" s="2040">
        <f t="shared" si="72"/>
        <v>0</v>
      </c>
      <c r="ET194" s="2040">
        <f t="shared" si="72"/>
        <v>0</v>
      </c>
      <c r="EU194" s="2039">
        <f t="shared" si="84"/>
        <v>0</v>
      </c>
      <c r="EV194" s="2039">
        <f t="shared" si="85"/>
        <v>0</v>
      </c>
    </row>
    <row r="195" spans="1:152" x14ac:dyDescent="0.25">
      <c r="A195" s="2041" t="s">
        <v>203</v>
      </c>
      <c r="B195" s="2022" t="s">
        <v>2974</v>
      </c>
      <c r="C195" s="2023">
        <v>6</v>
      </c>
      <c r="D195" s="2024">
        <v>0</v>
      </c>
      <c r="E195" s="2024">
        <v>0</v>
      </c>
      <c r="F195" s="2023">
        <v>0</v>
      </c>
      <c r="G195" s="2026" t="s">
        <v>2954</v>
      </c>
      <c r="H195" s="2026" t="s">
        <v>2954</v>
      </c>
      <c r="I195" s="2026">
        <v>0.60799999999999998</v>
      </c>
      <c r="J195" s="2026">
        <v>0.60799999999999998</v>
      </c>
      <c r="K195" s="2026">
        <v>0.60799999999999998</v>
      </c>
      <c r="L195" s="2026">
        <v>0.60799999999999998</v>
      </c>
      <c r="M195" s="2027">
        <f t="shared" si="86"/>
        <v>0</v>
      </c>
      <c r="N195" s="2027">
        <f t="shared" si="86"/>
        <v>0</v>
      </c>
      <c r="O195" s="2027">
        <f t="shared" si="86"/>
        <v>0</v>
      </c>
      <c r="P195" s="2027">
        <f t="shared" si="75"/>
        <v>0</v>
      </c>
      <c r="Q195" s="2026">
        <v>0.60799999999999998</v>
      </c>
      <c r="R195" s="2026">
        <v>0.60799999999999998</v>
      </c>
      <c r="S195" s="2026">
        <v>0.60799999999999998</v>
      </c>
      <c r="T195" s="2026">
        <v>0.60799999999999998</v>
      </c>
      <c r="U195" s="2028">
        <f t="shared" si="87"/>
        <v>0</v>
      </c>
      <c r="V195" s="2028">
        <f t="shared" si="87"/>
        <v>0</v>
      </c>
      <c r="W195" s="2028">
        <f t="shared" si="87"/>
        <v>0</v>
      </c>
      <c r="X195" s="2028">
        <f t="shared" si="76"/>
        <v>0</v>
      </c>
      <c r="Y195" s="2026">
        <v>0.60799999999999998</v>
      </c>
      <c r="Z195" s="2026">
        <v>0.60799999999999998</v>
      </c>
      <c r="AA195" s="2026">
        <v>0.60799999999999998</v>
      </c>
      <c r="AB195" s="2026">
        <v>0.60799999999999998</v>
      </c>
      <c r="AC195" s="2027">
        <f t="shared" si="100"/>
        <v>0</v>
      </c>
      <c r="AD195" s="2027">
        <f t="shared" si="100"/>
        <v>0</v>
      </c>
      <c r="AE195" s="2027">
        <f t="shared" si="100"/>
        <v>0</v>
      </c>
      <c r="AF195" s="2027">
        <f t="shared" si="100"/>
        <v>0</v>
      </c>
      <c r="AG195" s="2027">
        <f>AG196*6</f>
        <v>1260</v>
      </c>
      <c r="AH195" s="2027">
        <f>AH196*6</f>
        <v>1140</v>
      </c>
      <c r="AI195" s="2027">
        <f>AI196*6</f>
        <v>1200</v>
      </c>
      <c r="AJ195" s="2027">
        <f>AJ196*6</f>
        <v>1200</v>
      </c>
      <c r="AK195" s="2027">
        <f t="shared" si="101"/>
        <v>0</v>
      </c>
      <c r="AL195" s="2027">
        <f t="shared" si="97"/>
        <v>0</v>
      </c>
      <c r="AM195" s="2027">
        <f t="shared" si="97"/>
        <v>0</v>
      </c>
      <c r="AN195" s="2027">
        <f t="shared" si="97"/>
        <v>0</v>
      </c>
      <c r="AO195" s="2027">
        <f t="shared" si="102"/>
        <v>0</v>
      </c>
      <c r="AP195" s="2027">
        <f t="shared" si="98"/>
        <v>0</v>
      </c>
      <c r="AQ195" s="2027">
        <f t="shared" si="98"/>
        <v>0</v>
      </c>
      <c r="AR195" s="2027">
        <f t="shared" si="98"/>
        <v>0</v>
      </c>
      <c r="AS195" s="2029"/>
      <c r="AT195" s="2029">
        <f t="shared" si="77"/>
        <v>0</v>
      </c>
      <c r="AU195" s="2029">
        <f t="shared" si="77"/>
        <v>0</v>
      </c>
      <c r="AV195" s="2029">
        <f t="shared" si="77"/>
        <v>0</v>
      </c>
      <c r="AW195" s="2029">
        <v>40</v>
      </c>
      <c r="AX195" s="2029">
        <f t="shared" si="95"/>
        <v>40</v>
      </c>
      <c r="AY195" s="2029">
        <f t="shared" si="95"/>
        <v>40</v>
      </c>
      <c r="AZ195" s="2029">
        <f t="shared" si="95"/>
        <v>40</v>
      </c>
      <c r="BA195" s="2029">
        <v>20</v>
      </c>
      <c r="BB195" s="2029">
        <f t="shared" si="96"/>
        <v>20</v>
      </c>
      <c r="BC195" s="2029">
        <f t="shared" si="96"/>
        <v>20</v>
      </c>
      <c r="BD195" s="2029">
        <f t="shared" si="96"/>
        <v>20</v>
      </c>
      <c r="BE195" s="2030">
        <f t="shared" si="80"/>
        <v>0</v>
      </c>
      <c r="BF195" s="2030">
        <f t="shared" si="80"/>
        <v>0</v>
      </c>
      <c r="BG195" s="2030">
        <f t="shared" si="80"/>
        <v>0</v>
      </c>
      <c r="BH195" s="2030">
        <f t="shared" si="73"/>
        <v>0</v>
      </c>
      <c r="BI195" s="2030">
        <f t="shared" si="81"/>
        <v>50400</v>
      </c>
      <c r="BJ195" s="2030">
        <f t="shared" si="81"/>
        <v>45600</v>
      </c>
      <c r="BK195" s="2030">
        <f t="shared" si="81"/>
        <v>48000</v>
      </c>
      <c r="BL195" s="2030">
        <f t="shared" si="81"/>
        <v>48000</v>
      </c>
      <c r="BM195" s="2031"/>
      <c r="BN195" s="2031"/>
      <c r="BO195" s="2031"/>
      <c r="BP195" s="2031"/>
      <c r="BQ195" s="2031"/>
      <c r="BR195" s="2031"/>
      <c r="BS195" s="2031"/>
      <c r="BT195" s="2031"/>
      <c r="BU195" s="2029"/>
      <c r="BV195" s="2029"/>
      <c r="BW195" s="2029"/>
      <c r="BX195" s="2029"/>
      <c r="BY195" s="2029"/>
      <c r="BZ195" s="2032"/>
      <c r="CA195" s="1974"/>
      <c r="CB195" s="1974"/>
      <c r="CC195" s="1974"/>
      <c r="CD195" s="1974"/>
      <c r="CE195" s="1974">
        <v>0</v>
      </c>
      <c r="CF195" s="2033">
        <v>0</v>
      </c>
      <c r="CG195" s="2026">
        <v>0</v>
      </c>
      <c r="CH195" s="2009">
        <v>0</v>
      </c>
      <c r="CI195" s="2029">
        <v>0</v>
      </c>
      <c r="CK195" s="2029">
        <f t="shared" si="82"/>
        <v>0</v>
      </c>
      <c r="CL195" s="2034">
        <v>1</v>
      </c>
      <c r="CM195" s="2034">
        <v>1</v>
      </c>
      <c r="CN195" s="2034">
        <v>1</v>
      </c>
      <c r="CO195" s="2034">
        <v>1</v>
      </c>
      <c r="CP195" s="2035"/>
      <c r="CQ195" s="2036"/>
      <c r="CR195" s="2036"/>
      <c r="CS195" s="2036"/>
      <c r="CT195" s="2036"/>
      <c r="CU195" s="2036"/>
      <c r="CW195" s="1973">
        <v>0</v>
      </c>
      <c r="CX195" s="2037">
        <v>40</v>
      </c>
      <c r="CY195" s="2037">
        <v>40</v>
      </c>
      <c r="CZ195" s="2037">
        <v>40</v>
      </c>
      <c r="DA195" s="2037">
        <v>40</v>
      </c>
      <c r="DK195" s="1973">
        <v>0</v>
      </c>
      <c r="DL195" s="1973">
        <v>0</v>
      </c>
      <c r="DM195" s="1973">
        <v>0</v>
      </c>
      <c r="DO195" s="2023">
        <v>6</v>
      </c>
      <c r="DP195" s="2024">
        <v>0</v>
      </c>
      <c r="DQ195" s="2024">
        <v>0</v>
      </c>
      <c r="DR195" s="2023">
        <v>0</v>
      </c>
      <c r="DS195" s="2029"/>
      <c r="DT195" s="2029">
        <v>0</v>
      </c>
      <c r="DU195" s="2029">
        <v>0</v>
      </c>
      <c r="DV195" s="2029">
        <v>0</v>
      </c>
      <c r="DW195" s="2029">
        <v>40</v>
      </c>
      <c r="DX195" s="2029">
        <v>40</v>
      </c>
      <c r="DY195" s="2029">
        <v>40</v>
      </c>
      <c r="DZ195" s="2029">
        <v>40</v>
      </c>
      <c r="EA195" s="2029">
        <v>20</v>
      </c>
      <c r="EB195" s="2029">
        <v>20</v>
      </c>
      <c r="EC195" s="2029">
        <v>20</v>
      </c>
      <c r="ED195" s="2029">
        <v>20</v>
      </c>
      <c r="EE195" s="2039">
        <f t="shared" si="83"/>
        <v>0</v>
      </c>
      <c r="EF195" s="2039">
        <f t="shared" si="83"/>
        <v>0</v>
      </c>
      <c r="EG195" s="2039">
        <f t="shared" si="83"/>
        <v>0</v>
      </c>
      <c r="EH195" s="2039">
        <f t="shared" si="74"/>
        <v>0</v>
      </c>
      <c r="EI195" s="2040">
        <f t="shared" si="103"/>
        <v>0</v>
      </c>
      <c r="EJ195" s="2040">
        <f t="shared" si="103"/>
        <v>0</v>
      </c>
      <c r="EK195" s="2040">
        <f t="shared" si="103"/>
        <v>0</v>
      </c>
      <c r="EL195" s="2040">
        <f t="shared" si="103"/>
        <v>0</v>
      </c>
      <c r="EM195" s="2040">
        <f t="shared" si="103"/>
        <v>0</v>
      </c>
      <c r="EN195" s="2040">
        <f t="shared" si="103"/>
        <v>0</v>
      </c>
      <c r="EO195" s="2040">
        <f t="shared" si="99"/>
        <v>0</v>
      </c>
      <c r="EP195" s="2040">
        <f t="shared" si="99"/>
        <v>0</v>
      </c>
      <c r="EQ195" s="2040">
        <f t="shared" si="99"/>
        <v>0</v>
      </c>
      <c r="ER195" s="2040">
        <f t="shared" si="72"/>
        <v>0</v>
      </c>
      <c r="ES195" s="2040">
        <f t="shared" si="72"/>
        <v>0</v>
      </c>
      <c r="ET195" s="2040">
        <f t="shared" si="72"/>
        <v>0</v>
      </c>
      <c r="EU195" s="2039">
        <f t="shared" si="84"/>
        <v>0</v>
      </c>
      <c r="EV195" s="2039">
        <f t="shared" si="85"/>
        <v>0</v>
      </c>
    </row>
    <row r="196" spans="1:152" x14ac:dyDescent="0.25">
      <c r="A196" s="2021" t="s">
        <v>204</v>
      </c>
      <c r="B196" s="2069" t="s">
        <v>2975</v>
      </c>
      <c r="C196" s="2068">
        <v>6</v>
      </c>
      <c r="D196" s="2071">
        <v>0</v>
      </c>
      <c r="E196" s="2071">
        <v>0</v>
      </c>
      <c r="F196" s="2068">
        <v>297.65043171806178</v>
      </c>
      <c r="G196" s="2026" t="s">
        <v>2954</v>
      </c>
      <c r="H196" s="2026" t="s">
        <v>2954</v>
      </c>
      <c r="I196" s="2026">
        <v>0.60799999999999998</v>
      </c>
      <c r="J196" s="2026">
        <v>0.60799999999999998</v>
      </c>
      <c r="K196" s="2026">
        <v>0.60799999999999998</v>
      </c>
      <c r="L196" s="2026">
        <v>0.60799999999999998</v>
      </c>
      <c r="M196" s="2027">
        <f t="shared" si="86"/>
        <v>0</v>
      </c>
      <c r="N196" s="2027">
        <f t="shared" si="86"/>
        <v>0</v>
      </c>
      <c r="O196" s="2027">
        <f t="shared" si="86"/>
        <v>0</v>
      </c>
      <c r="P196" s="2027">
        <f t="shared" si="75"/>
        <v>0</v>
      </c>
      <c r="Q196" s="2026">
        <v>0.60799999999999998</v>
      </c>
      <c r="R196" s="2026">
        <v>0.60799999999999998</v>
      </c>
      <c r="S196" s="2026">
        <v>0.60799999999999998</v>
      </c>
      <c r="T196" s="2026">
        <v>0.60799999999999998</v>
      </c>
      <c r="U196" s="2028">
        <f t="shared" si="87"/>
        <v>0</v>
      </c>
      <c r="V196" s="2028">
        <f t="shared" si="87"/>
        <v>0</v>
      </c>
      <c r="W196" s="2028">
        <f t="shared" si="87"/>
        <v>0</v>
      </c>
      <c r="X196" s="2028">
        <f t="shared" si="76"/>
        <v>0</v>
      </c>
      <c r="Y196" s="2026">
        <v>0.60799999999999998</v>
      </c>
      <c r="Z196" s="2026">
        <v>0.60799999999999998</v>
      </c>
      <c r="AA196" s="2026">
        <v>0.60799999999999998</v>
      </c>
      <c r="AB196" s="2026">
        <v>0.60799999999999998</v>
      </c>
      <c r="AC196" s="2027">
        <f t="shared" si="100"/>
        <v>180.97146248458156</v>
      </c>
      <c r="AD196" s="2027">
        <f t="shared" si="100"/>
        <v>180.97146248458156</v>
      </c>
      <c r="AE196" s="2027">
        <f t="shared" si="100"/>
        <v>180.97146248458156</v>
      </c>
      <c r="AF196" s="2027">
        <f t="shared" si="100"/>
        <v>180.97146248458156</v>
      </c>
      <c r="AG196" s="2027">
        <v>210</v>
      </c>
      <c r="AH196" s="2027">
        <v>190</v>
      </c>
      <c r="AI196" s="2027">
        <v>200</v>
      </c>
      <c r="AJ196" s="2027">
        <v>200</v>
      </c>
      <c r="AK196" s="2027">
        <f t="shared" si="101"/>
        <v>0</v>
      </c>
      <c r="AL196" s="2027">
        <f t="shared" si="97"/>
        <v>0</v>
      </c>
      <c r="AM196" s="2027">
        <f t="shared" si="97"/>
        <v>0</v>
      </c>
      <c r="AN196" s="2027">
        <f t="shared" si="97"/>
        <v>0</v>
      </c>
      <c r="AO196" s="2027">
        <f t="shared" si="102"/>
        <v>38004.00712176213</v>
      </c>
      <c r="AP196" s="2027">
        <f t="shared" si="98"/>
        <v>34384.577872070498</v>
      </c>
      <c r="AQ196" s="2027">
        <f t="shared" si="98"/>
        <v>36194.292496916314</v>
      </c>
      <c r="AR196" s="2027">
        <f t="shared" si="98"/>
        <v>36194.292496916314</v>
      </c>
      <c r="AS196" s="2029"/>
      <c r="AT196" s="2029">
        <f t="shared" si="77"/>
        <v>0</v>
      </c>
      <c r="AU196" s="2029">
        <f t="shared" si="77"/>
        <v>0</v>
      </c>
      <c r="AV196" s="2029">
        <f t="shared" si="77"/>
        <v>0</v>
      </c>
      <c r="AW196" s="2029">
        <v>100</v>
      </c>
      <c r="AX196" s="2029">
        <f t="shared" si="95"/>
        <v>100</v>
      </c>
      <c r="AY196" s="2029">
        <f t="shared" si="95"/>
        <v>100</v>
      </c>
      <c r="AZ196" s="2029">
        <f t="shared" si="95"/>
        <v>100</v>
      </c>
      <c r="BA196" s="2048">
        <v>77</v>
      </c>
      <c r="BB196" s="2029">
        <f t="shared" si="96"/>
        <v>77</v>
      </c>
      <c r="BC196" s="2029">
        <f t="shared" si="96"/>
        <v>77</v>
      </c>
      <c r="BD196" s="2029">
        <f t="shared" si="96"/>
        <v>77</v>
      </c>
      <c r="BE196" s="2030">
        <f t="shared" si="80"/>
        <v>0</v>
      </c>
      <c r="BF196" s="2030">
        <f t="shared" si="80"/>
        <v>0</v>
      </c>
      <c r="BG196" s="2030">
        <f t="shared" si="80"/>
        <v>0</v>
      </c>
      <c r="BH196" s="2030">
        <f t="shared" si="73"/>
        <v>0</v>
      </c>
      <c r="BI196" s="2030">
        <f t="shared" si="81"/>
        <v>21000</v>
      </c>
      <c r="BJ196" s="2030">
        <f t="shared" si="81"/>
        <v>19000</v>
      </c>
      <c r="BK196" s="2030">
        <f t="shared" si="81"/>
        <v>20000</v>
      </c>
      <c r="BL196" s="2030">
        <f t="shared" si="81"/>
        <v>20000</v>
      </c>
      <c r="BM196" s="2031"/>
      <c r="BN196" s="2031"/>
      <c r="BO196" s="2031"/>
      <c r="BP196" s="2031"/>
      <c r="BQ196" s="2031"/>
      <c r="BR196" s="2031"/>
      <c r="BS196" s="2031"/>
      <c r="BT196" s="2031"/>
      <c r="BU196" s="2029"/>
      <c r="BV196" s="2029"/>
      <c r="BW196" s="2029"/>
      <c r="BX196" s="2029"/>
      <c r="BY196" s="2029"/>
      <c r="BZ196" s="2032"/>
      <c r="CA196" s="1974"/>
      <c r="CB196" s="1974"/>
      <c r="CC196" s="1974"/>
      <c r="CD196" s="1974"/>
      <c r="CE196" s="1974">
        <v>0</v>
      </c>
      <c r="CF196" s="2033">
        <v>0</v>
      </c>
      <c r="CG196" s="2026">
        <v>1.4178551310662367E-2</v>
      </c>
      <c r="CH196" s="2009">
        <v>0</v>
      </c>
      <c r="CI196" s="2029">
        <v>0</v>
      </c>
      <c r="CK196" s="2029">
        <f t="shared" si="82"/>
        <v>0</v>
      </c>
      <c r="CL196" s="2034">
        <v>1</v>
      </c>
      <c r="CM196" s="2034">
        <v>1</v>
      </c>
      <c r="CN196" s="2034">
        <v>1</v>
      </c>
      <c r="CO196" s="2034">
        <v>1</v>
      </c>
      <c r="CP196" s="2035"/>
      <c r="CQ196" s="2036"/>
      <c r="CR196" s="2036"/>
      <c r="CS196" s="2036"/>
      <c r="CT196" s="2036"/>
      <c r="CU196" s="2036"/>
      <c r="CW196" s="1973">
        <v>0</v>
      </c>
      <c r="CX196" s="2037">
        <v>100</v>
      </c>
      <c r="CY196" s="2037">
        <v>100</v>
      </c>
      <c r="CZ196" s="2037">
        <v>100</v>
      </c>
      <c r="DA196" s="2037">
        <v>100</v>
      </c>
      <c r="DK196" s="1973">
        <v>0</v>
      </c>
      <c r="DL196" s="1973">
        <v>0</v>
      </c>
      <c r="DM196" s="1973">
        <v>0</v>
      </c>
      <c r="DO196" s="2023">
        <v>6</v>
      </c>
      <c r="DP196" s="2024">
        <v>0</v>
      </c>
      <c r="DQ196" s="2024">
        <v>0</v>
      </c>
      <c r="DR196" s="2023">
        <v>297.65043171806178</v>
      </c>
      <c r="DS196" s="2029"/>
      <c r="DT196" s="2029">
        <v>0</v>
      </c>
      <c r="DU196" s="2029">
        <v>0</v>
      </c>
      <c r="DV196" s="2029">
        <v>0</v>
      </c>
      <c r="DW196" s="2029">
        <v>100</v>
      </c>
      <c r="DX196" s="2029">
        <v>100</v>
      </c>
      <c r="DY196" s="2029">
        <v>100</v>
      </c>
      <c r="DZ196" s="2029">
        <v>100</v>
      </c>
      <c r="EA196" s="2048">
        <v>77</v>
      </c>
      <c r="EB196" s="2029">
        <v>77</v>
      </c>
      <c r="EC196" s="2029">
        <v>77</v>
      </c>
      <c r="ED196" s="2029">
        <v>77</v>
      </c>
      <c r="EE196" s="2039">
        <f t="shared" si="83"/>
        <v>0</v>
      </c>
      <c r="EF196" s="2039">
        <f t="shared" si="83"/>
        <v>0</v>
      </c>
      <c r="EG196" s="2039">
        <f t="shared" si="83"/>
        <v>0</v>
      </c>
      <c r="EH196" s="2039">
        <f t="shared" si="74"/>
        <v>0</v>
      </c>
      <c r="EI196" s="2040">
        <f t="shared" si="103"/>
        <v>0</v>
      </c>
      <c r="EJ196" s="2040">
        <f t="shared" si="103"/>
        <v>0</v>
      </c>
      <c r="EK196" s="2040">
        <f t="shared" si="103"/>
        <v>0</v>
      </c>
      <c r="EL196" s="2040">
        <f t="shared" si="103"/>
        <v>0</v>
      </c>
      <c r="EM196" s="2040">
        <f t="shared" si="103"/>
        <v>0</v>
      </c>
      <c r="EN196" s="2040">
        <f t="shared" si="103"/>
        <v>0</v>
      </c>
      <c r="EO196" s="2040">
        <f t="shared" si="99"/>
        <v>0</v>
      </c>
      <c r="EP196" s="2040">
        <f t="shared" si="99"/>
        <v>0</v>
      </c>
      <c r="EQ196" s="2040">
        <f t="shared" si="99"/>
        <v>0</v>
      </c>
      <c r="ER196" s="2040">
        <f t="shared" si="72"/>
        <v>0</v>
      </c>
      <c r="ES196" s="2040">
        <f t="shared" si="72"/>
        <v>0</v>
      </c>
      <c r="ET196" s="2040">
        <f t="shared" si="72"/>
        <v>0</v>
      </c>
      <c r="EU196" s="2039">
        <f t="shared" si="84"/>
        <v>0</v>
      </c>
      <c r="EV196" s="2039">
        <f t="shared" si="85"/>
        <v>0</v>
      </c>
    </row>
    <row r="197" spans="1:152" x14ac:dyDescent="0.25">
      <c r="A197" s="2041" t="s">
        <v>205</v>
      </c>
      <c r="B197" s="2022" t="s">
        <v>2976</v>
      </c>
      <c r="C197" s="2023">
        <v>6</v>
      </c>
      <c r="D197" s="2024">
        <v>0</v>
      </c>
      <c r="E197" s="2024">
        <v>0</v>
      </c>
      <c r="F197" s="2023">
        <v>0</v>
      </c>
      <c r="G197" s="2026" t="s">
        <v>2954</v>
      </c>
      <c r="H197" s="2026" t="s">
        <v>2954</v>
      </c>
      <c r="I197" s="2026">
        <v>0.60799999999999998</v>
      </c>
      <c r="J197" s="2026">
        <v>0.60799999999999998</v>
      </c>
      <c r="K197" s="2026">
        <v>0.60799999999999998</v>
      </c>
      <c r="L197" s="2026">
        <v>0.60799999999999998</v>
      </c>
      <c r="M197" s="2027">
        <f t="shared" si="86"/>
        <v>0</v>
      </c>
      <c r="N197" s="2027">
        <f t="shared" si="86"/>
        <v>0</v>
      </c>
      <c r="O197" s="2027">
        <f t="shared" si="86"/>
        <v>0</v>
      </c>
      <c r="P197" s="2027">
        <f t="shared" si="75"/>
        <v>0</v>
      </c>
      <c r="Q197" s="2026">
        <v>0.60799999999999998</v>
      </c>
      <c r="R197" s="2026">
        <v>0.60799999999999998</v>
      </c>
      <c r="S197" s="2026">
        <v>0.60799999999999998</v>
      </c>
      <c r="T197" s="2026">
        <v>0.60799999999999998</v>
      </c>
      <c r="U197" s="2028">
        <f t="shared" si="87"/>
        <v>0</v>
      </c>
      <c r="V197" s="2028">
        <f t="shared" si="87"/>
        <v>0</v>
      </c>
      <c r="W197" s="2028">
        <f t="shared" si="87"/>
        <v>0</v>
      </c>
      <c r="X197" s="2028">
        <f t="shared" si="76"/>
        <v>0</v>
      </c>
      <c r="Y197" s="2026">
        <v>0.60799999999999998</v>
      </c>
      <c r="Z197" s="2026">
        <v>0.60799999999999998</v>
      </c>
      <c r="AA197" s="2026">
        <v>0.60799999999999998</v>
      </c>
      <c r="AB197" s="2026">
        <v>0.60799999999999998</v>
      </c>
      <c r="AC197" s="2027">
        <f t="shared" si="100"/>
        <v>0</v>
      </c>
      <c r="AD197" s="2027">
        <f t="shared" si="100"/>
        <v>0</v>
      </c>
      <c r="AE197" s="2027">
        <f t="shared" si="100"/>
        <v>0</v>
      </c>
      <c r="AF197" s="2027">
        <f t="shared" si="100"/>
        <v>0</v>
      </c>
      <c r="AG197" s="2027">
        <f>AG198*6</f>
        <v>1800</v>
      </c>
      <c r="AH197" s="2027">
        <f>AH198*6</f>
        <v>1692</v>
      </c>
      <c r="AI197" s="2027">
        <f>AI198*6</f>
        <v>300</v>
      </c>
      <c r="AJ197" s="2027">
        <f>AJ198*6</f>
        <v>300</v>
      </c>
      <c r="AK197" s="2027">
        <f t="shared" si="101"/>
        <v>0</v>
      </c>
      <c r="AL197" s="2027">
        <f t="shared" si="97"/>
        <v>0</v>
      </c>
      <c r="AM197" s="2027">
        <f t="shared" si="97"/>
        <v>0</v>
      </c>
      <c r="AN197" s="2027">
        <f t="shared" si="97"/>
        <v>0</v>
      </c>
      <c r="AO197" s="2027">
        <f t="shared" si="102"/>
        <v>0</v>
      </c>
      <c r="AP197" s="2027">
        <f t="shared" si="98"/>
        <v>0</v>
      </c>
      <c r="AQ197" s="2027">
        <f t="shared" si="98"/>
        <v>0</v>
      </c>
      <c r="AR197" s="2027">
        <f t="shared" si="98"/>
        <v>0</v>
      </c>
      <c r="AS197" s="2029"/>
      <c r="AT197" s="2029">
        <f t="shared" si="77"/>
        <v>0</v>
      </c>
      <c r="AU197" s="2029">
        <f t="shared" si="77"/>
        <v>0</v>
      </c>
      <c r="AV197" s="2029">
        <f t="shared" si="77"/>
        <v>0</v>
      </c>
      <c r="AW197" s="2029">
        <v>46.54</v>
      </c>
      <c r="AX197" s="2029">
        <f t="shared" si="95"/>
        <v>46.54</v>
      </c>
      <c r="AY197" s="2029">
        <v>48</v>
      </c>
      <c r="AZ197" s="2029">
        <v>48</v>
      </c>
      <c r="BA197" s="2029">
        <v>20</v>
      </c>
      <c r="BB197" s="2029">
        <f t="shared" si="96"/>
        <v>20</v>
      </c>
      <c r="BC197" s="2029">
        <f t="shared" si="96"/>
        <v>20</v>
      </c>
      <c r="BD197" s="2029">
        <f t="shared" si="96"/>
        <v>20</v>
      </c>
      <c r="BE197" s="2030">
        <f t="shared" si="80"/>
        <v>0</v>
      </c>
      <c r="BF197" s="2030">
        <f t="shared" si="80"/>
        <v>0</v>
      </c>
      <c r="BG197" s="2030">
        <f t="shared" si="80"/>
        <v>0</v>
      </c>
      <c r="BH197" s="2030">
        <f t="shared" si="73"/>
        <v>0</v>
      </c>
      <c r="BI197" s="2030">
        <f t="shared" si="81"/>
        <v>83772</v>
      </c>
      <c r="BJ197" s="2030">
        <f t="shared" si="81"/>
        <v>78745.679999999993</v>
      </c>
      <c r="BK197" s="2030">
        <f t="shared" si="81"/>
        <v>14400</v>
      </c>
      <c r="BL197" s="2030">
        <f t="shared" si="81"/>
        <v>14400</v>
      </c>
      <c r="BM197" s="2031"/>
      <c r="BN197" s="2031"/>
      <c r="BO197" s="2031"/>
      <c r="BP197" s="2031"/>
      <c r="BQ197" s="2031"/>
      <c r="BR197" s="2031"/>
      <c r="BS197" s="2031"/>
      <c r="BT197" s="2031"/>
      <c r="BU197" s="2029"/>
      <c r="BV197" s="2029"/>
      <c r="BW197" s="2029"/>
      <c r="BX197" s="2029"/>
      <c r="BY197" s="2029"/>
      <c r="BZ197" s="2032"/>
      <c r="CA197" s="1974"/>
      <c r="CB197" s="1974"/>
      <c r="CC197" s="1974"/>
      <c r="CD197" s="1974"/>
      <c r="CE197" s="1974">
        <v>0</v>
      </c>
      <c r="CF197" s="2033">
        <v>0</v>
      </c>
      <c r="CG197" s="2026">
        <v>0</v>
      </c>
      <c r="CH197" s="2009">
        <v>0</v>
      </c>
      <c r="CI197" s="2029">
        <v>0</v>
      </c>
      <c r="CK197" s="2029">
        <f t="shared" si="82"/>
        <v>0</v>
      </c>
      <c r="CL197" s="2034">
        <v>1</v>
      </c>
      <c r="CM197" s="2034">
        <v>1</v>
      </c>
      <c r="CN197" s="2034">
        <v>1</v>
      </c>
      <c r="CO197" s="2034">
        <v>1</v>
      </c>
      <c r="CP197" s="2035"/>
      <c r="CQ197" s="2036"/>
      <c r="CR197" s="2036"/>
      <c r="CS197" s="2036"/>
      <c r="CT197" s="2036"/>
      <c r="CU197" s="2036"/>
      <c r="CW197" s="1973">
        <v>0</v>
      </c>
      <c r="CX197" s="2037">
        <v>46.54</v>
      </c>
      <c r="CY197" s="2037">
        <v>46.54</v>
      </c>
      <c r="CZ197" s="2037">
        <v>48</v>
      </c>
      <c r="DA197" s="2037">
        <v>48</v>
      </c>
      <c r="DK197" s="1973">
        <v>0</v>
      </c>
      <c r="DL197" s="1973">
        <v>0</v>
      </c>
      <c r="DM197" s="1973">
        <v>0</v>
      </c>
      <c r="DO197" s="2023">
        <v>6</v>
      </c>
      <c r="DP197" s="2024">
        <v>0</v>
      </c>
      <c r="DQ197" s="2024">
        <v>0</v>
      </c>
      <c r="DR197" s="2023">
        <v>0</v>
      </c>
      <c r="DS197" s="2029"/>
      <c r="DT197" s="2029">
        <v>0</v>
      </c>
      <c r="DU197" s="2029">
        <v>0</v>
      </c>
      <c r="DV197" s="2029">
        <v>0</v>
      </c>
      <c r="DW197" s="2029">
        <v>46.54</v>
      </c>
      <c r="DX197" s="2029">
        <v>46.54</v>
      </c>
      <c r="DY197" s="2029">
        <v>48</v>
      </c>
      <c r="DZ197" s="2029">
        <v>48</v>
      </c>
      <c r="EA197" s="2029">
        <v>20</v>
      </c>
      <c r="EB197" s="2029">
        <v>20</v>
      </c>
      <c r="EC197" s="2029">
        <v>20</v>
      </c>
      <c r="ED197" s="2029">
        <v>20</v>
      </c>
      <c r="EE197" s="2039">
        <f t="shared" si="83"/>
        <v>0</v>
      </c>
      <c r="EF197" s="2039">
        <f t="shared" si="83"/>
        <v>0</v>
      </c>
      <c r="EG197" s="2039">
        <f t="shared" si="83"/>
        <v>0</v>
      </c>
      <c r="EH197" s="2039">
        <f t="shared" si="74"/>
        <v>0</v>
      </c>
      <c r="EI197" s="2040">
        <f t="shared" si="103"/>
        <v>0</v>
      </c>
      <c r="EJ197" s="2040">
        <f t="shared" si="103"/>
        <v>0</v>
      </c>
      <c r="EK197" s="2040">
        <f t="shared" si="103"/>
        <v>0</v>
      </c>
      <c r="EL197" s="2040">
        <f t="shared" si="103"/>
        <v>0</v>
      </c>
      <c r="EM197" s="2040">
        <f t="shared" si="103"/>
        <v>0</v>
      </c>
      <c r="EN197" s="2040">
        <f t="shared" si="103"/>
        <v>0</v>
      </c>
      <c r="EO197" s="2040">
        <f t="shared" si="99"/>
        <v>0</v>
      </c>
      <c r="EP197" s="2040">
        <f t="shared" si="99"/>
        <v>0</v>
      </c>
      <c r="EQ197" s="2040">
        <f t="shared" si="99"/>
        <v>0</v>
      </c>
      <c r="ER197" s="2040">
        <f t="shared" si="99"/>
        <v>0</v>
      </c>
      <c r="ES197" s="2040">
        <f t="shared" si="99"/>
        <v>0</v>
      </c>
      <c r="ET197" s="2040">
        <f t="shared" si="99"/>
        <v>0</v>
      </c>
      <c r="EU197" s="2039">
        <f t="shared" si="84"/>
        <v>0</v>
      </c>
      <c r="EV197" s="2039">
        <f t="shared" si="85"/>
        <v>0</v>
      </c>
    </row>
    <row r="198" spans="1:152" x14ac:dyDescent="0.25">
      <c r="A198" s="2021" t="s">
        <v>206</v>
      </c>
      <c r="B198" s="2069" t="s">
        <v>2977</v>
      </c>
      <c r="C198" s="2068">
        <v>6</v>
      </c>
      <c r="D198" s="2071">
        <v>0</v>
      </c>
      <c r="E198" s="2071">
        <v>0</v>
      </c>
      <c r="F198" s="2068">
        <v>4382.0432722457281</v>
      </c>
      <c r="G198" s="2026" t="s">
        <v>2954</v>
      </c>
      <c r="H198" s="2026" t="s">
        <v>2954</v>
      </c>
      <c r="I198" s="2026">
        <v>0.60799999999999998</v>
      </c>
      <c r="J198" s="2026">
        <v>0.60799999999999998</v>
      </c>
      <c r="K198" s="2026">
        <v>0.60799999999999998</v>
      </c>
      <c r="L198" s="2026">
        <v>0.60799999999999998</v>
      </c>
      <c r="M198" s="2027">
        <f t="shared" si="86"/>
        <v>0</v>
      </c>
      <c r="N198" s="2027">
        <f t="shared" si="86"/>
        <v>0</v>
      </c>
      <c r="O198" s="2027">
        <f t="shared" si="86"/>
        <v>0</v>
      </c>
      <c r="P198" s="2027">
        <f t="shared" si="75"/>
        <v>0</v>
      </c>
      <c r="Q198" s="2026">
        <v>0.60799999999999998</v>
      </c>
      <c r="R198" s="2026">
        <v>0.60799999999999998</v>
      </c>
      <c r="S198" s="2026">
        <v>0.60799999999999998</v>
      </c>
      <c r="T198" s="2026">
        <v>0.60799999999999998</v>
      </c>
      <c r="U198" s="2028">
        <f t="shared" si="87"/>
        <v>0</v>
      </c>
      <c r="V198" s="2028">
        <f t="shared" si="87"/>
        <v>0</v>
      </c>
      <c r="W198" s="2028">
        <f t="shared" si="87"/>
        <v>0</v>
      </c>
      <c r="X198" s="2028">
        <f t="shared" si="76"/>
        <v>0</v>
      </c>
      <c r="Y198" s="2026">
        <v>0.60799999999999998</v>
      </c>
      <c r="Z198" s="2026">
        <v>0.60799999999999998</v>
      </c>
      <c r="AA198" s="2026">
        <v>0.60799999999999998</v>
      </c>
      <c r="AB198" s="2026">
        <v>0.60799999999999998</v>
      </c>
      <c r="AC198" s="2027">
        <f t="shared" si="100"/>
        <v>2664.2823095254025</v>
      </c>
      <c r="AD198" s="2027">
        <f t="shared" si="100"/>
        <v>2664.2823095254025</v>
      </c>
      <c r="AE198" s="2027">
        <f t="shared" si="100"/>
        <v>2664.2823095254025</v>
      </c>
      <c r="AF198" s="2027">
        <f t="shared" si="100"/>
        <v>2664.2823095254025</v>
      </c>
      <c r="AG198" s="2027">
        <v>300</v>
      </c>
      <c r="AH198" s="2027">
        <v>282</v>
      </c>
      <c r="AI198" s="2027">
        <v>50</v>
      </c>
      <c r="AJ198" s="2027">
        <v>50</v>
      </c>
      <c r="AK198" s="2027">
        <f t="shared" si="101"/>
        <v>0</v>
      </c>
      <c r="AL198" s="2027">
        <f t="shared" si="97"/>
        <v>0</v>
      </c>
      <c r="AM198" s="2027">
        <f t="shared" si="97"/>
        <v>0</v>
      </c>
      <c r="AN198" s="2027">
        <f t="shared" si="97"/>
        <v>0</v>
      </c>
      <c r="AO198" s="2027">
        <f t="shared" si="102"/>
        <v>799284.69285762077</v>
      </c>
      <c r="AP198" s="2027">
        <f t="shared" si="98"/>
        <v>751327.61128616356</v>
      </c>
      <c r="AQ198" s="2027">
        <f t="shared" si="98"/>
        <v>133214.11547627012</v>
      </c>
      <c r="AR198" s="2027">
        <f t="shared" si="98"/>
        <v>133214.11547627012</v>
      </c>
      <c r="AS198" s="2029"/>
      <c r="AT198" s="2029">
        <f t="shared" si="77"/>
        <v>0</v>
      </c>
      <c r="AU198" s="2029">
        <f t="shared" si="77"/>
        <v>0</v>
      </c>
      <c r="AV198" s="2029">
        <f t="shared" si="77"/>
        <v>0</v>
      </c>
      <c r="AW198" s="2029">
        <v>262.99677631578948</v>
      </c>
      <c r="AX198" s="2029">
        <f t="shared" si="95"/>
        <v>262.99677631578948</v>
      </c>
      <c r="AY198" s="2029">
        <v>270</v>
      </c>
      <c r="AZ198" s="2029">
        <v>270</v>
      </c>
      <c r="BA198" s="2029">
        <v>275.3700657894737</v>
      </c>
      <c r="BB198" s="2029">
        <f t="shared" si="96"/>
        <v>275.3700657894737</v>
      </c>
      <c r="BC198" s="2029">
        <f t="shared" si="96"/>
        <v>275.3700657894737</v>
      </c>
      <c r="BD198" s="2029">
        <f t="shared" si="96"/>
        <v>275.3700657894737</v>
      </c>
      <c r="BE198" s="2030">
        <f t="shared" si="80"/>
        <v>0</v>
      </c>
      <c r="BF198" s="2030">
        <f t="shared" si="80"/>
        <v>0</v>
      </c>
      <c r="BG198" s="2030">
        <f t="shared" si="80"/>
        <v>0</v>
      </c>
      <c r="BH198" s="2030">
        <f t="shared" si="80"/>
        <v>0</v>
      </c>
      <c r="BI198" s="2030">
        <f t="shared" si="81"/>
        <v>78899.03289473684</v>
      </c>
      <c r="BJ198" s="2030">
        <f t="shared" si="81"/>
        <v>74165.09092105263</v>
      </c>
      <c r="BK198" s="2030">
        <f t="shared" si="81"/>
        <v>13500</v>
      </c>
      <c r="BL198" s="2030">
        <f t="shared" ref="BL198" si="104">AZ198*AJ198</f>
        <v>13500</v>
      </c>
      <c r="BM198" s="2031"/>
      <c r="BN198" s="2031"/>
      <c r="BO198" s="2031"/>
      <c r="BP198" s="2031"/>
      <c r="BQ198" s="2031"/>
      <c r="BR198" s="2031"/>
      <c r="BS198" s="2031"/>
      <c r="BT198" s="2031"/>
      <c r="BU198" s="2029"/>
      <c r="BV198" s="2029"/>
      <c r="BW198" s="2029"/>
      <c r="BX198" s="2029"/>
      <c r="BY198" s="2029"/>
      <c r="BZ198" s="2032"/>
      <c r="CA198" s="1974"/>
      <c r="CB198" s="1974"/>
      <c r="CC198" s="1974"/>
      <c r="CD198" s="1974"/>
      <c r="CE198" s="1974">
        <v>0</v>
      </c>
      <c r="CF198" s="2033">
        <v>0</v>
      </c>
      <c r="CG198" s="2026">
        <v>0.29819747673448294</v>
      </c>
      <c r="CH198" s="2009">
        <v>0</v>
      </c>
      <c r="CI198" s="2029">
        <v>0</v>
      </c>
      <c r="CK198" s="2029">
        <f>-CI198+CJ198</f>
        <v>0</v>
      </c>
      <c r="CL198" s="2034">
        <v>1</v>
      </c>
      <c r="CM198" s="2034">
        <v>1</v>
      </c>
      <c r="CN198" s="2034">
        <v>1</v>
      </c>
      <c r="CO198" s="2034">
        <v>1</v>
      </c>
      <c r="CP198" s="2035"/>
      <c r="CQ198" s="2036"/>
      <c r="CR198" s="2036"/>
      <c r="CS198" s="2036"/>
      <c r="CT198" s="2036"/>
      <c r="CU198" s="2036"/>
      <c r="CW198" s="1973">
        <v>0</v>
      </c>
      <c r="CX198" s="2037">
        <v>263</v>
      </c>
      <c r="CY198" s="2037">
        <v>263</v>
      </c>
      <c r="CZ198" s="2037">
        <v>270</v>
      </c>
      <c r="DA198" s="2037">
        <v>270</v>
      </c>
      <c r="DK198" s="1973">
        <v>0</v>
      </c>
      <c r="DL198" s="1973">
        <v>0</v>
      </c>
      <c r="DM198" s="1973">
        <v>0</v>
      </c>
      <c r="DO198" s="2023">
        <v>6</v>
      </c>
      <c r="DP198" s="2024">
        <v>0</v>
      </c>
      <c r="DQ198" s="2024">
        <v>0</v>
      </c>
      <c r="DR198" s="2023">
        <v>4382.0432722457281</v>
      </c>
      <c r="DS198" s="2029"/>
      <c r="DT198" s="2029">
        <v>0</v>
      </c>
      <c r="DU198" s="2029">
        <v>0</v>
      </c>
      <c r="DV198" s="2029">
        <v>0</v>
      </c>
      <c r="DW198" s="2029">
        <v>263</v>
      </c>
      <c r="DX198" s="2029">
        <v>263</v>
      </c>
      <c r="DY198" s="2029">
        <v>270</v>
      </c>
      <c r="DZ198" s="2029">
        <v>270</v>
      </c>
      <c r="EA198" s="2029">
        <v>275.3700657894737</v>
      </c>
      <c r="EB198" s="2029">
        <v>275.3700657894737</v>
      </c>
      <c r="EC198" s="2029">
        <v>275.3700657894737</v>
      </c>
      <c r="ED198" s="2029">
        <v>275.3700657894737</v>
      </c>
      <c r="EE198" s="2039">
        <f t="shared" si="83"/>
        <v>0</v>
      </c>
      <c r="EF198" s="2039">
        <f t="shared" si="83"/>
        <v>0</v>
      </c>
      <c r="EG198" s="2039">
        <f t="shared" si="83"/>
        <v>0</v>
      </c>
      <c r="EH198" s="2039">
        <f t="shared" si="83"/>
        <v>0</v>
      </c>
      <c r="EI198" s="2040">
        <f t="shared" si="103"/>
        <v>0</v>
      </c>
      <c r="EJ198" s="2040">
        <f t="shared" si="103"/>
        <v>0</v>
      </c>
      <c r="EK198" s="2040">
        <f t="shared" si="103"/>
        <v>0</v>
      </c>
      <c r="EL198" s="2040">
        <f t="shared" si="103"/>
        <v>0</v>
      </c>
      <c r="EM198" s="2040">
        <f t="shared" si="103"/>
        <v>-3.2236842105248797E-3</v>
      </c>
      <c r="EN198" s="2040">
        <f t="shared" si="103"/>
        <v>-3.2236842105248797E-3</v>
      </c>
      <c r="EO198" s="2040">
        <f t="shared" si="99"/>
        <v>0</v>
      </c>
      <c r="EP198" s="2040">
        <f t="shared" si="99"/>
        <v>0</v>
      </c>
      <c r="EQ198" s="2040">
        <f t="shared" si="99"/>
        <v>0</v>
      </c>
      <c r="ER198" s="2040">
        <f t="shared" si="99"/>
        <v>0</v>
      </c>
      <c r="ES198" s="2040">
        <f t="shared" si="99"/>
        <v>0</v>
      </c>
      <c r="ET198" s="2040">
        <f t="shared" si="99"/>
        <v>0</v>
      </c>
      <c r="EU198" s="2039">
        <f t="shared" si="84"/>
        <v>-6.4473684210497595E-3</v>
      </c>
      <c r="EV198" s="2039">
        <f t="shared" si="85"/>
        <v>0</v>
      </c>
    </row>
    <row r="199" spans="1:152" s="2018" customFormat="1" x14ac:dyDescent="0.25">
      <c r="A199" s="2011" t="s">
        <v>811</v>
      </c>
      <c r="B199" s="2012"/>
      <c r="C199" s="2013"/>
      <c r="D199" s="2013"/>
      <c r="E199" s="2014"/>
      <c r="F199" s="2013"/>
      <c r="G199" s="2015"/>
      <c r="H199" s="2015"/>
      <c r="I199" s="2015"/>
      <c r="J199" s="2015"/>
      <c r="K199" s="2015"/>
      <c r="L199" s="2015"/>
      <c r="M199" s="2016"/>
      <c r="N199" s="2016"/>
      <c r="O199" s="2016"/>
      <c r="P199" s="2016"/>
      <c r="Q199" s="2015"/>
      <c r="R199" s="2015"/>
      <c r="S199" s="2015"/>
      <c r="T199" s="2015"/>
      <c r="U199" s="2016"/>
      <c r="V199" s="2016"/>
      <c r="W199" s="2016"/>
      <c r="X199" s="2016"/>
      <c r="Y199" s="2015"/>
      <c r="Z199" s="2015"/>
      <c r="AA199" s="2015"/>
      <c r="AB199" s="2015"/>
      <c r="AC199" s="2016"/>
      <c r="AD199" s="2016"/>
      <c r="AE199" s="2016"/>
      <c r="AF199" s="2016"/>
      <c r="AG199" s="2016">
        <v>1.4</v>
      </c>
      <c r="AH199" s="2016">
        <v>1.36</v>
      </c>
      <c r="AI199" s="2016">
        <v>1.29</v>
      </c>
      <c r="AJ199" s="2016">
        <v>1.29</v>
      </c>
      <c r="AK199" s="2072">
        <f t="shared" ref="AK199:BL199" si="105">SUM(AK200:AK203)</f>
        <v>68381871.010199994</v>
      </c>
      <c r="AL199" s="2072">
        <f t="shared" si="105"/>
        <v>67286412.8178</v>
      </c>
      <c r="AM199" s="2072">
        <f t="shared" si="105"/>
        <v>68297604.995399982</v>
      </c>
      <c r="AN199" s="2072">
        <f t="shared" si="105"/>
        <v>70067191.306199998</v>
      </c>
      <c r="AO199" s="2072">
        <f t="shared" si="105"/>
        <v>635295.47399999993</v>
      </c>
      <c r="AP199" s="2072">
        <f t="shared" si="105"/>
        <v>500535.82799999998</v>
      </c>
      <c r="AQ199" s="2072">
        <f>SUM(AQ200:AQ203)</f>
        <v>442781.6939999999</v>
      </c>
      <c r="AR199" s="2073">
        <f t="shared" si="105"/>
        <v>436364.56799999997</v>
      </c>
      <c r="AS199" s="2073"/>
      <c r="AT199" s="2073"/>
      <c r="AU199" s="2073"/>
      <c r="AV199" s="2073"/>
      <c r="AW199" s="2073"/>
      <c r="AX199" s="2073"/>
      <c r="AY199" s="2073"/>
      <c r="AZ199" s="2073"/>
      <c r="BA199" s="2073"/>
      <c r="BB199" s="2073"/>
      <c r="BC199" s="2073"/>
      <c r="BD199" s="2073"/>
      <c r="BE199" s="2074">
        <f t="shared" si="105"/>
        <v>10158562.259999998</v>
      </c>
      <c r="BF199" s="2074">
        <f t="shared" si="105"/>
        <v>10004036.280000001</v>
      </c>
      <c r="BG199" s="2074">
        <f t="shared" si="105"/>
        <v>10150045.08</v>
      </c>
      <c r="BH199" s="2074">
        <f t="shared" si="105"/>
        <v>10405560.48</v>
      </c>
      <c r="BI199" s="2075">
        <f t="shared" si="105"/>
        <v>1875611.25</v>
      </c>
      <c r="BJ199" s="2075">
        <f t="shared" si="105"/>
        <v>1513424.25</v>
      </c>
      <c r="BK199" s="2075">
        <f t="shared" si="105"/>
        <v>1441849.2</v>
      </c>
      <c r="BL199" s="2075">
        <f t="shared" si="105"/>
        <v>1422877.5</v>
      </c>
      <c r="BM199" s="2075"/>
      <c r="BN199" s="2075"/>
      <c r="BO199" s="2075"/>
      <c r="BP199" s="2075"/>
      <c r="BQ199" s="2075"/>
      <c r="BR199" s="2075"/>
      <c r="BS199" s="2075"/>
      <c r="BT199" s="2075"/>
      <c r="BU199" s="2075"/>
      <c r="BV199" s="2075"/>
      <c r="BW199" s="2075"/>
      <c r="BX199" s="2075"/>
      <c r="BY199" s="2075"/>
      <c r="BZ199" s="2075"/>
      <c r="CA199" s="2076"/>
      <c r="CB199" s="2076"/>
      <c r="CC199" s="2076"/>
      <c r="CD199" s="2076"/>
      <c r="CE199" s="2076"/>
      <c r="CF199" s="2077"/>
      <c r="CG199" s="2078"/>
      <c r="CH199" s="2079"/>
      <c r="CI199" s="2076"/>
      <c r="CJ199" s="2076"/>
      <c r="CK199" s="2080">
        <f t="shared" ref="CK199:CK245" si="106">-CI199+CJ199</f>
        <v>0</v>
      </c>
      <c r="CL199" s="2081">
        <v>1</v>
      </c>
      <c r="CM199" s="2076"/>
      <c r="CN199" s="2076"/>
      <c r="CO199" s="2076"/>
      <c r="CP199" s="2082"/>
      <c r="CQ199" s="2082"/>
      <c r="CR199" s="2082"/>
      <c r="CS199" s="2082"/>
      <c r="CT199" s="2082"/>
      <c r="CU199" s="2082"/>
      <c r="CW199" s="2018">
        <v>0</v>
      </c>
      <c r="CX199" s="2083"/>
      <c r="DB199" s="2083"/>
      <c r="DF199" s="2083"/>
      <c r="DJ199" s="2083"/>
      <c r="DN199" s="1977"/>
      <c r="DO199" s="2013"/>
      <c r="DP199" s="2013"/>
      <c r="DQ199" s="2014"/>
      <c r="DR199" s="2013"/>
      <c r="DS199" s="2073"/>
      <c r="DT199" s="2073"/>
      <c r="DU199" s="2073"/>
      <c r="DV199" s="2073"/>
      <c r="DW199" s="2073"/>
      <c r="DX199" s="2073"/>
      <c r="DY199" s="2073"/>
      <c r="DZ199" s="2073"/>
      <c r="EA199" s="2073"/>
      <c r="EB199" s="2073"/>
      <c r="EC199" s="2073"/>
      <c r="ED199" s="2073"/>
      <c r="EE199" s="2039">
        <f t="shared" ref="EE199:EH262" si="107">C199-DO199</f>
        <v>0</v>
      </c>
      <c r="EF199" s="2039">
        <f t="shared" si="107"/>
        <v>0</v>
      </c>
      <c r="EG199" s="2039">
        <f t="shared" si="107"/>
        <v>0</v>
      </c>
      <c r="EH199" s="2039">
        <f t="shared" si="107"/>
        <v>0</v>
      </c>
      <c r="EI199" s="2040">
        <f t="shared" si="103"/>
        <v>0</v>
      </c>
      <c r="EJ199" s="2040">
        <f t="shared" si="103"/>
        <v>0</v>
      </c>
      <c r="EK199" s="2040">
        <f t="shared" si="103"/>
        <v>0</v>
      </c>
      <c r="EL199" s="2040">
        <f t="shared" si="103"/>
        <v>0</v>
      </c>
      <c r="EM199" s="2040">
        <f t="shared" si="103"/>
        <v>0</v>
      </c>
      <c r="EN199" s="2040">
        <f t="shared" si="103"/>
        <v>0</v>
      </c>
      <c r="EO199" s="2040">
        <f t="shared" si="99"/>
        <v>0</v>
      </c>
      <c r="EP199" s="2040">
        <f t="shared" si="99"/>
        <v>0</v>
      </c>
      <c r="EQ199" s="2040">
        <f t="shared" si="99"/>
        <v>0</v>
      </c>
      <c r="ER199" s="2040">
        <f t="shared" si="99"/>
        <v>0</v>
      </c>
      <c r="ES199" s="2040">
        <f t="shared" si="99"/>
        <v>0</v>
      </c>
      <c r="ET199" s="2040">
        <f t="shared" si="99"/>
        <v>0</v>
      </c>
      <c r="EU199" s="2039">
        <f t="shared" ref="EU199:EU262" si="108">SUM(EE199:ET199)</f>
        <v>0</v>
      </c>
      <c r="EV199" s="2039">
        <f t="shared" ref="EV199:EV262" si="109">SUM(EE199:EH199)</f>
        <v>0</v>
      </c>
    </row>
    <row r="200" spans="1:152" x14ac:dyDescent="0.25">
      <c r="A200" s="2041" t="s">
        <v>267</v>
      </c>
      <c r="B200" s="2022" t="s">
        <v>820</v>
      </c>
      <c r="C200" s="2023">
        <v>13</v>
      </c>
      <c r="D200" s="2023">
        <v>512567</v>
      </c>
      <c r="E200" s="2057">
        <v>58.930499999999995</v>
      </c>
      <c r="F200" s="2023">
        <v>0</v>
      </c>
      <c r="G200" s="2026" t="s">
        <v>211</v>
      </c>
      <c r="H200" s="2026" t="s">
        <v>211</v>
      </c>
      <c r="I200" s="2026">
        <v>0.82199999999999995</v>
      </c>
      <c r="J200" s="2026">
        <v>0.82199999999999995</v>
      </c>
      <c r="K200" s="2026">
        <v>0.82199999999999995</v>
      </c>
      <c r="L200" s="2026">
        <v>0.82199999999999995</v>
      </c>
      <c r="M200" s="2027">
        <f>$D200*I200</f>
        <v>421330.07399999996</v>
      </c>
      <c r="N200" s="2027">
        <f>$D200*J200</f>
        <v>421330.07399999996</v>
      </c>
      <c r="O200" s="2027">
        <f>$D200*K200</f>
        <v>421330.07399999996</v>
      </c>
      <c r="P200" s="2027">
        <f>$D200*L200</f>
        <v>421330.07399999996</v>
      </c>
      <c r="Q200" s="2026">
        <v>0.82199999999999995</v>
      </c>
      <c r="R200" s="2026">
        <v>0.82199999999999995</v>
      </c>
      <c r="S200" s="2026">
        <v>0.82199999999999995</v>
      </c>
      <c r="T200" s="2026">
        <v>0.82199999999999995</v>
      </c>
      <c r="U200" s="2028">
        <f>$E200*Q200</f>
        <v>48.440870999999994</v>
      </c>
      <c r="V200" s="2028">
        <f>$E200*R200</f>
        <v>48.440870999999994</v>
      </c>
      <c r="W200" s="2028">
        <f>$E200*S200</f>
        <v>48.440870999999994</v>
      </c>
      <c r="X200" s="2028">
        <f>$E200*T200</f>
        <v>48.440870999999994</v>
      </c>
      <c r="Y200" s="2026">
        <v>0.93899999999999995</v>
      </c>
      <c r="Z200" s="2026">
        <v>0.93899999999999995</v>
      </c>
      <c r="AA200" s="2026">
        <v>0.93899999999999995</v>
      </c>
      <c r="AB200" s="2026">
        <v>0.93899999999999995</v>
      </c>
      <c r="AC200" s="2027">
        <f>$F200*Y200</f>
        <v>0</v>
      </c>
      <c r="AD200" s="2027">
        <f>$F200*Z200</f>
        <v>0</v>
      </c>
      <c r="AE200" s="2027">
        <f>$F200*AA200</f>
        <v>0</v>
      </c>
      <c r="AF200" s="2027">
        <f>$F200*AB200</f>
        <v>0</v>
      </c>
      <c r="AG200" s="2084">
        <v>146.69999999999999</v>
      </c>
      <c r="AH200" s="2084">
        <v>143.9</v>
      </c>
      <c r="AI200" s="2084">
        <v>146.29999999999998</v>
      </c>
      <c r="AJ200" s="2084">
        <v>150.5</v>
      </c>
      <c r="AK200" s="2027">
        <f t="shared" ref="AK200:AN203" si="110">AG200*M200</f>
        <v>61809121.855799988</v>
      </c>
      <c r="AL200" s="2027">
        <f t="shared" si="110"/>
        <v>60629397.648599997</v>
      </c>
      <c r="AM200" s="2027">
        <f t="shared" si="110"/>
        <v>61640589.826199986</v>
      </c>
      <c r="AN200" s="2027">
        <f t="shared" si="110"/>
        <v>63410176.136999995</v>
      </c>
      <c r="AO200" s="2027">
        <f t="shared" ref="AO200:AQ203" si="111">AG200*AC200</f>
        <v>0</v>
      </c>
      <c r="AP200" s="2027">
        <f t="shared" si="111"/>
        <v>0</v>
      </c>
      <c r="AQ200" s="2027">
        <f t="shared" si="111"/>
        <v>0</v>
      </c>
      <c r="AR200" s="2027">
        <f>AJ200*AF200</f>
        <v>0</v>
      </c>
      <c r="AS200" s="2030">
        <v>60837</v>
      </c>
      <c r="AT200" s="2029">
        <v>60837</v>
      </c>
      <c r="AU200" s="2029">
        <v>60837</v>
      </c>
      <c r="AV200" s="2029">
        <v>60837</v>
      </c>
      <c r="AW200" s="1974"/>
      <c r="AX200" s="2029">
        <v>0</v>
      </c>
      <c r="AY200" s="2029">
        <v>0</v>
      </c>
      <c r="AZ200" s="2029">
        <v>0</v>
      </c>
      <c r="BA200" s="2030">
        <v>136194</v>
      </c>
      <c r="BB200" s="2029">
        <v>136194</v>
      </c>
      <c r="BC200" s="2029">
        <v>136194</v>
      </c>
      <c r="BD200" s="2029">
        <v>136194</v>
      </c>
      <c r="BE200" s="2030">
        <f t="shared" ref="BE200:BH203" si="112">AS200*AG200</f>
        <v>8924787.8999999985</v>
      </c>
      <c r="BF200" s="2030">
        <f t="shared" si="112"/>
        <v>8754444.3000000007</v>
      </c>
      <c r="BG200" s="2030">
        <f t="shared" si="112"/>
        <v>8900453.0999999996</v>
      </c>
      <c r="BH200" s="2030">
        <f t="shared" si="112"/>
        <v>9155968.5</v>
      </c>
      <c r="BI200" s="2030">
        <f t="shared" ref="BI200:BL203" si="113">AW200*AG200</f>
        <v>0</v>
      </c>
      <c r="BJ200" s="2030">
        <f t="shared" si="113"/>
        <v>0</v>
      </c>
      <c r="BK200" s="2030">
        <f t="shared" si="113"/>
        <v>0</v>
      </c>
      <c r="BL200" s="2030">
        <f t="shared" si="113"/>
        <v>0</v>
      </c>
      <c r="BM200" s="2031"/>
      <c r="BN200" s="2031"/>
      <c r="BO200" s="2031"/>
      <c r="BP200" s="2031"/>
      <c r="BQ200" s="2031"/>
      <c r="BR200" s="2031"/>
      <c r="BS200" s="2031"/>
      <c r="BT200" s="2031"/>
      <c r="BU200" s="2029"/>
      <c r="BV200" s="2029"/>
      <c r="BW200" s="2029"/>
      <c r="BX200" s="2029"/>
      <c r="BY200" s="2029"/>
      <c r="BZ200" s="2032"/>
      <c r="CA200" s="1974"/>
      <c r="CB200" s="1974"/>
      <c r="CC200" s="1974"/>
      <c r="CD200" s="1974"/>
      <c r="CE200" s="1974"/>
      <c r="CF200" s="2033">
        <v>0.25838294654763894</v>
      </c>
      <c r="CG200" s="2026">
        <v>0</v>
      </c>
      <c r="CH200" s="2009"/>
      <c r="CK200" s="2029">
        <f t="shared" si="106"/>
        <v>0</v>
      </c>
      <c r="CL200" s="2034">
        <v>1</v>
      </c>
      <c r="CP200" s="2035"/>
      <c r="CQ200" s="2036"/>
      <c r="CR200" s="2036"/>
      <c r="CS200" s="2036"/>
      <c r="CT200" s="2036"/>
      <c r="CU200" s="2036"/>
      <c r="CV200" s="1973">
        <v>0</v>
      </c>
      <c r="CW200" s="1973">
        <v>0</v>
      </c>
      <c r="CX200" s="2037">
        <v>60837</v>
      </c>
      <c r="CY200" s="2037">
        <v>60837</v>
      </c>
      <c r="CZ200" s="2037">
        <v>60837</v>
      </c>
      <c r="DA200" s="2037">
        <v>60837</v>
      </c>
      <c r="DB200" s="2051">
        <v>0.93</v>
      </c>
      <c r="DC200" s="2062">
        <v>0.94</v>
      </c>
      <c r="DD200" s="2062">
        <v>0.94</v>
      </c>
      <c r="DE200" s="2062">
        <v>0.94</v>
      </c>
      <c r="DJ200" s="1976">
        <v>60837</v>
      </c>
      <c r="DK200" s="1973">
        <v>60837</v>
      </c>
      <c r="DL200" s="1973">
        <v>60837</v>
      </c>
      <c r="DM200" s="1973">
        <v>60837</v>
      </c>
      <c r="DO200" s="2023">
        <v>13</v>
      </c>
      <c r="DP200" s="2023">
        <v>512567</v>
      </c>
      <c r="DQ200" s="2057">
        <v>58.930499999999995</v>
      </c>
      <c r="DR200" s="2023">
        <v>0</v>
      </c>
      <c r="DS200" s="2030">
        <v>60837</v>
      </c>
      <c r="DT200" s="2029">
        <v>60837</v>
      </c>
      <c r="DU200" s="2029">
        <v>60837</v>
      </c>
      <c r="DV200" s="2029">
        <v>60837</v>
      </c>
      <c r="DW200" s="1974"/>
      <c r="DX200" s="2029">
        <v>0</v>
      </c>
      <c r="DY200" s="2029">
        <v>0</v>
      </c>
      <c r="DZ200" s="2029">
        <v>0</v>
      </c>
      <c r="EA200" s="2030">
        <v>136194</v>
      </c>
      <c r="EB200" s="2029">
        <v>136194</v>
      </c>
      <c r="EC200" s="2029">
        <v>136194</v>
      </c>
      <c r="ED200" s="2029">
        <v>136194</v>
      </c>
      <c r="EE200" s="2039">
        <f t="shared" si="107"/>
        <v>0</v>
      </c>
      <c r="EF200" s="2039">
        <f t="shared" si="107"/>
        <v>0</v>
      </c>
      <c r="EG200" s="2039">
        <f t="shared" si="107"/>
        <v>0</v>
      </c>
      <c r="EH200" s="2039">
        <f t="shared" si="107"/>
        <v>0</v>
      </c>
      <c r="EI200" s="2040">
        <f t="shared" si="103"/>
        <v>0</v>
      </c>
      <c r="EJ200" s="2040">
        <f t="shared" si="103"/>
        <v>0</v>
      </c>
      <c r="EK200" s="2040">
        <f t="shared" si="103"/>
        <v>0</v>
      </c>
      <c r="EL200" s="2040">
        <f t="shared" si="103"/>
        <v>0</v>
      </c>
      <c r="EM200" s="2040">
        <f t="shared" si="103"/>
        <v>0</v>
      </c>
      <c r="EN200" s="2040">
        <f t="shared" si="103"/>
        <v>0</v>
      </c>
      <c r="EO200" s="2040">
        <f t="shared" si="99"/>
        <v>0</v>
      </c>
      <c r="EP200" s="2040">
        <f t="shared" si="99"/>
        <v>0</v>
      </c>
      <c r="EQ200" s="2040">
        <f t="shared" si="99"/>
        <v>0</v>
      </c>
      <c r="ER200" s="2040">
        <f t="shared" si="99"/>
        <v>0</v>
      </c>
      <c r="ES200" s="2040">
        <f t="shared" si="99"/>
        <v>0</v>
      </c>
      <c r="ET200" s="2040">
        <f t="shared" si="99"/>
        <v>0</v>
      </c>
      <c r="EU200" s="2039">
        <f t="shared" si="108"/>
        <v>0</v>
      </c>
      <c r="EV200" s="2039">
        <f t="shared" si="109"/>
        <v>0</v>
      </c>
    </row>
    <row r="201" spans="1:152" x14ac:dyDescent="0.25">
      <c r="A201" s="2041" t="s">
        <v>2978</v>
      </c>
      <c r="B201" s="2022" t="s">
        <v>820</v>
      </c>
      <c r="C201" s="2023">
        <v>13</v>
      </c>
      <c r="D201" s="2023">
        <v>512567</v>
      </c>
      <c r="E201" s="2057">
        <v>58.930499999999995</v>
      </c>
      <c r="F201" s="2023">
        <v>0</v>
      </c>
      <c r="G201" s="2026" t="s">
        <v>211</v>
      </c>
      <c r="H201" s="2026" t="s">
        <v>211</v>
      </c>
      <c r="I201" s="2026">
        <v>0.82199999999999995</v>
      </c>
      <c r="J201" s="2026">
        <v>0.82199999999999995</v>
      </c>
      <c r="K201" s="2026">
        <v>0.82199999999999995</v>
      </c>
      <c r="L201" s="2026">
        <v>0.82199999999999995</v>
      </c>
      <c r="M201" s="2027">
        <f>$D201*I201</f>
        <v>421330.07399999996</v>
      </c>
      <c r="N201" s="2027">
        <f t="shared" ref="N201:O203" si="114">$D201*J201</f>
        <v>421330.07399999996</v>
      </c>
      <c r="O201" s="2027">
        <f t="shared" si="114"/>
        <v>421330.07399999996</v>
      </c>
      <c r="P201" s="2027">
        <f>$D201*L201</f>
        <v>421330.07399999996</v>
      </c>
      <c r="Q201" s="2026">
        <v>0.82199999999999995</v>
      </c>
      <c r="R201" s="2026">
        <v>0.82199999999999995</v>
      </c>
      <c r="S201" s="2026">
        <v>0.82199999999999995</v>
      </c>
      <c r="T201" s="2026">
        <v>0.82199999999999995</v>
      </c>
      <c r="U201" s="2028">
        <f>$E201*Q201</f>
        <v>48.440870999999994</v>
      </c>
      <c r="V201" s="2028">
        <f t="shared" ref="V201:W203" si="115">$E201*R201</f>
        <v>48.440870999999994</v>
      </c>
      <c r="W201" s="2028">
        <f t="shared" si="115"/>
        <v>48.440870999999994</v>
      </c>
      <c r="X201" s="2028">
        <f>$E201*T201</f>
        <v>48.440870999999994</v>
      </c>
      <c r="Y201" s="2026">
        <v>0.93899999999999995</v>
      </c>
      <c r="Z201" s="2026">
        <v>0.93899999999999995</v>
      </c>
      <c r="AA201" s="2026">
        <v>0.93899999999999995</v>
      </c>
      <c r="AB201" s="2026">
        <v>0.93899999999999995</v>
      </c>
      <c r="AC201" s="2027">
        <f>$F201*Y201</f>
        <v>0</v>
      </c>
      <c r="AD201" s="2027">
        <f t="shared" ref="AD201:AE203" si="116">$F201*Z201</f>
        <v>0</v>
      </c>
      <c r="AE201" s="2027">
        <f t="shared" si="116"/>
        <v>0</v>
      </c>
      <c r="AF201" s="2027">
        <f>$F201*AB201</f>
        <v>0</v>
      </c>
      <c r="AG201" s="2084">
        <v>15.6</v>
      </c>
      <c r="AH201" s="2084">
        <v>15.799999999999999</v>
      </c>
      <c r="AI201" s="2084">
        <v>15.799999999999999</v>
      </c>
      <c r="AJ201" s="2084">
        <v>15.799999999999999</v>
      </c>
      <c r="AK201" s="2027">
        <f t="shared" si="110"/>
        <v>6572749.1543999994</v>
      </c>
      <c r="AL201" s="2027">
        <f t="shared" si="110"/>
        <v>6657015.1691999994</v>
      </c>
      <c r="AM201" s="2027">
        <f t="shared" si="110"/>
        <v>6657015.1691999994</v>
      </c>
      <c r="AN201" s="2027">
        <f t="shared" si="110"/>
        <v>6657015.1691999994</v>
      </c>
      <c r="AO201" s="2027">
        <f t="shared" si="111"/>
        <v>0</v>
      </c>
      <c r="AP201" s="2027">
        <f t="shared" si="111"/>
        <v>0</v>
      </c>
      <c r="AQ201" s="2027">
        <f t="shared" si="111"/>
        <v>0</v>
      </c>
      <c r="AR201" s="2027">
        <f>AJ201*AF201</f>
        <v>0</v>
      </c>
      <c r="AS201" s="2030">
        <v>79088.100000000006</v>
      </c>
      <c r="AT201" s="2029">
        <v>79088.100000000006</v>
      </c>
      <c r="AU201" s="2029">
        <v>79088.100000000006</v>
      </c>
      <c r="AV201" s="2029">
        <v>79088.100000000006</v>
      </c>
      <c r="AW201" s="1974"/>
      <c r="AX201" s="2029">
        <v>0</v>
      </c>
      <c r="AY201" s="2029">
        <v>0</v>
      </c>
      <c r="AZ201" s="2029">
        <v>0</v>
      </c>
      <c r="BA201" s="2030">
        <v>136194</v>
      </c>
      <c r="BB201" s="2029">
        <v>136194</v>
      </c>
      <c r="BC201" s="2029">
        <v>136194</v>
      </c>
      <c r="BD201" s="2029">
        <v>136194</v>
      </c>
      <c r="BE201" s="2030">
        <f t="shared" si="112"/>
        <v>1233774.3600000001</v>
      </c>
      <c r="BF201" s="2030">
        <f t="shared" si="112"/>
        <v>1249591.98</v>
      </c>
      <c r="BG201" s="2030">
        <f t="shared" si="112"/>
        <v>1249591.98</v>
      </c>
      <c r="BH201" s="2030">
        <f t="shared" si="112"/>
        <v>1249591.98</v>
      </c>
      <c r="BI201" s="2030">
        <f t="shared" si="113"/>
        <v>0</v>
      </c>
      <c r="BJ201" s="2030">
        <f t="shared" si="113"/>
        <v>0</v>
      </c>
      <c r="BK201" s="2030">
        <f t="shared" si="113"/>
        <v>0</v>
      </c>
      <c r="BL201" s="2030">
        <f t="shared" si="113"/>
        <v>0</v>
      </c>
      <c r="BM201" s="2031"/>
      <c r="BN201" s="2031"/>
      <c r="BO201" s="2031"/>
      <c r="BP201" s="2031"/>
      <c r="BQ201" s="2031"/>
      <c r="BR201" s="2031"/>
      <c r="BS201" s="2031"/>
      <c r="BT201" s="2031"/>
      <c r="BU201" s="2029"/>
      <c r="BV201" s="2029"/>
      <c r="BW201" s="2029"/>
      <c r="BX201" s="2029"/>
      <c r="BY201" s="2029"/>
      <c r="BZ201" s="2032"/>
      <c r="CA201" s="1974"/>
      <c r="CB201" s="1974"/>
      <c r="CC201" s="1974"/>
      <c r="CD201" s="1974"/>
      <c r="CE201" s="1974"/>
      <c r="CF201" s="2033">
        <v>2.7476305154350157E-2</v>
      </c>
      <c r="CG201" s="2026">
        <v>0</v>
      </c>
      <c r="CH201" s="2009"/>
      <c r="CK201" s="2029">
        <f t="shared" si="106"/>
        <v>0</v>
      </c>
      <c r="CL201" s="2034">
        <v>1</v>
      </c>
      <c r="CP201" s="2035"/>
      <c r="CQ201" s="2036"/>
      <c r="CR201" s="2036"/>
      <c r="CS201" s="2036"/>
      <c r="CT201" s="2036"/>
      <c r="CU201" s="2036"/>
      <c r="CV201" s="1973">
        <v>1</v>
      </c>
      <c r="CW201" s="1973">
        <v>0</v>
      </c>
      <c r="CX201" s="2037">
        <v>79088.100000000006</v>
      </c>
      <c r="CY201" s="2037">
        <v>79088.100000000006</v>
      </c>
      <c r="CZ201" s="2037">
        <v>79088.100000000006</v>
      </c>
      <c r="DA201" s="2037">
        <v>79088.100000000006</v>
      </c>
      <c r="DB201" s="2051">
        <v>0.91</v>
      </c>
      <c r="DC201" s="2062">
        <v>0.91</v>
      </c>
      <c r="DD201" s="2062">
        <v>0.91</v>
      </c>
      <c r="DE201" s="2062">
        <v>0.9</v>
      </c>
      <c r="DJ201" s="1976">
        <v>79088.100000000006</v>
      </c>
      <c r="DK201" s="1973">
        <v>79088.100000000006</v>
      </c>
      <c r="DL201" s="1973">
        <v>79088.100000000006</v>
      </c>
      <c r="DM201" s="1973">
        <v>79088.100000000006</v>
      </c>
      <c r="DO201" s="2023">
        <v>13</v>
      </c>
      <c r="DP201" s="2023">
        <v>512567</v>
      </c>
      <c r="DQ201" s="2057">
        <v>58.930499999999995</v>
      </c>
      <c r="DR201" s="2023">
        <v>0</v>
      </c>
      <c r="DS201" s="2030">
        <v>79088.100000000006</v>
      </c>
      <c r="DT201" s="2029">
        <v>79088.100000000006</v>
      </c>
      <c r="DU201" s="2029">
        <v>79088.100000000006</v>
      </c>
      <c r="DV201" s="2029">
        <v>79088.100000000006</v>
      </c>
      <c r="DW201" s="1974"/>
      <c r="DX201" s="2029">
        <v>0</v>
      </c>
      <c r="DY201" s="2029">
        <v>0</v>
      </c>
      <c r="DZ201" s="2029">
        <v>0</v>
      </c>
      <c r="EA201" s="2030">
        <v>136194</v>
      </c>
      <c r="EB201" s="2029">
        <v>136194</v>
      </c>
      <c r="EC201" s="2029">
        <v>136194</v>
      </c>
      <c r="ED201" s="2029">
        <v>136194</v>
      </c>
      <c r="EE201" s="2039">
        <f t="shared" si="107"/>
        <v>0</v>
      </c>
      <c r="EF201" s="2039">
        <f t="shared" si="107"/>
        <v>0</v>
      </c>
      <c r="EG201" s="2039">
        <f t="shared" si="107"/>
        <v>0</v>
      </c>
      <c r="EH201" s="2039">
        <f t="shared" si="107"/>
        <v>0</v>
      </c>
      <c r="EI201" s="2040">
        <f t="shared" si="103"/>
        <v>0</v>
      </c>
      <c r="EJ201" s="2040">
        <f t="shared" si="103"/>
        <v>0</v>
      </c>
      <c r="EK201" s="2040">
        <f t="shared" si="103"/>
        <v>0</v>
      </c>
      <c r="EL201" s="2040">
        <f t="shared" si="103"/>
        <v>0</v>
      </c>
      <c r="EM201" s="2040">
        <f t="shared" si="103"/>
        <v>0</v>
      </c>
      <c r="EN201" s="2040">
        <f t="shared" si="103"/>
        <v>0</v>
      </c>
      <c r="EO201" s="2040">
        <f t="shared" si="99"/>
        <v>0</v>
      </c>
      <c r="EP201" s="2040">
        <f t="shared" si="99"/>
        <v>0</v>
      </c>
      <c r="EQ201" s="2040">
        <f t="shared" si="99"/>
        <v>0</v>
      </c>
      <c r="ER201" s="2040">
        <f t="shared" si="99"/>
        <v>0</v>
      </c>
      <c r="ES201" s="2040">
        <f t="shared" si="99"/>
        <v>0</v>
      </c>
      <c r="ET201" s="2040">
        <f t="shared" si="99"/>
        <v>0</v>
      </c>
      <c r="EU201" s="2039">
        <f t="shared" si="108"/>
        <v>0</v>
      </c>
      <c r="EV201" s="2039">
        <f t="shared" si="109"/>
        <v>0</v>
      </c>
    </row>
    <row r="202" spans="1:152" x14ac:dyDescent="0.25">
      <c r="A202" s="2041" t="s">
        <v>268</v>
      </c>
      <c r="B202" s="2022" t="s">
        <v>820</v>
      </c>
      <c r="C202" s="2023">
        <v>13</v>
      </c>
      <c r="D202" s="2023">
        <v>0</v>
      </c>
      <c r="E202" s="2057">
        <v>0</v>
      </c>
      <c r="F202" s="2023">
        <v>6834</v>
      </c>
      <c r="G202" s="2026" t="s">
        <v>211</v>
      </c>
      <c r="H202" s="2026" t="s">
        <v>211</v>
      </c>
      <c r="I202" s="2026">
        <v>0.82199999999999995</v>
      </c>
      <c r="J202" s="2026">
        <v>0.82199999999999995</v>
      </c>
      <c r="K202" s="2026">
        <v>0.82199999999999995</v>
      </c>
      <c r="L202" s="2026">
        <v>0.82199999999999995</v>
      </c>
      <c r="M202" s="2027">
        <f>$D202*I202</f>
        <v>0</v>
      </c>
      <c r="N202" s="2027">
        <f t="shared" si="114"/>
        <v>0</v>
      </c>
      <c r="O202" s="2027">
        <f t="shared" si="114"/>
        <v>0</v>
      </c>
      <c r="P202" s="2027">
        <f>$D202*L202</f>
        <v>0</v>
      </c>
      <c r="Q202" s="2026">
        <v>0.82199999999999995</v>
      </c>
      <c r="R202" s="2026">
        <v>0.82199999999999995</v>
      </c>
      <c r="S202" s="2026">
        <v>0.82199999999999995</v>
      </c>
      <c r="T202" s="2026">
        <v>0.82199999999999995</v>
      </c>
      <c r="U202" s="2028">
        <f>$E202*Q202</f>
        <v>0</v>
      </c>
      <c r="V202" s="2028">
        <f t="shared" si="115"/>
        <v>0</v>
      </c>
      <c r="W202" s="2028">
        <f t="shared" si="115"/>
        <v>0</v>
      </c>
      <c r="X202" s="2028">
        <f>$E202*T202</f>
        <v>0</v>
      </c>
      <c r="Y202" s="2026">
        <v>0.93899999999999995</v>
      </c>
      <c r="Z202" s="2026">
        <v>0.93899999999999995</v>
      </c>
      <c r="AA202" s="2026">
        <v>0.93899999999999995</v>
      </c>
      <c r="AB202" s="2026">
        <v>0.93899999999999995</v>
      </c>
      <c r="AC202" s="2027">
        <f>$F202*Y202</f>
        <v>6417.1259999999993</v>
      </c>
      <c r="AD202" s="2027">
        <f t="shared" si="116"/>
        <v>6417.1259999999993</v>
      </c>
      <c r="AE202" s="2027">
        <f t="shared" si="116"/>
        <v>6417.1259999999993</v>
      </c>
      <c r="AF202" s="2027">
        <f>$F202*AB202</f>
        <v>6417.1259999999993</v>
      </c>
      <c r="AG202" s="2084">
        <v>84</v>
      </c>
      <c r="AH202" s="2084">
        <v>63</v>
      </c>
      <c r="AI202" s="2084">
        <v>55</v>
      </c>
      <c r="AJ202" s="2084">
        <v>54</v>
      </c>
      <c r="AK202" s="2027">
        <f t="shared" si="110"/>
        <v>0</v>
      </c>
      <c r="AL202" s="2027">
        <f t="shared" si="110"/>
        <v>0</v>
      </c>
      <c r="AM202" s="2027">
        <f t="shared" si="110"/>
        <v>0</v>
      </c>
      <c r="AN202" s="2027">
        <f t="shared" si="110"/>
        <v>0</v>
      </c>
      <c r="AO202" s="2027">
        <f t="shared" si="111"/>
        <v>539038.58399999992</v>
      </c>
      <c r="AP202" s="2027">
        <f t="shared" si="111"/>
        <v>404278.93799999997</v>
      </c>
      <c r="AQ202" s="2027">
        <f t="shared" si="111"/>
        <v>352941.92999999993</v>
      </c>
      <c r="AR202" s="2027">
        <f>AJ202*AF202</f>
        <v>346524.80399999995</v>
      </c>
      <c r="AS202" s="2030"/>
      <c r="AT202" s="2029">
        <v>0</v>
      </c>
      <c r="AU202" s="2029">
        <v>0</v>
      </c>
      <c r="AV202" s="2029">
        <v>0</v>
      </c>
      <c r="AW202" s="2085">
        <v>17247</v>
      </c>
      <c r="AX202" s="2029">
        <v>17247</v>
      </c>
      <c r="AY202" s="2029">
        <v>18971.7</v>
      </c>
      <c r="AZ202" s="2029">
        <v>18971.7</v>
      </c>
      <c r="BA202" s="2030">
        <v>34459</v>
      </c>
      <c r="BB202" s="2029">
        <v>34459</v>
      </c>
      <c r="BC202" s="2029">
        <v>34459</v>
      </c>
      <c r="BD202" s="2029">
        <v>34459</v>
      </c>
      <c r="BE202" s="2030">
        <f t="shared" si="112"/>
        <v>0</v>
      </c>
      <c r="BF202" s="2030">
        <f t="shared" si="112"/>
        <v>0</v>
      </c>
      <c r="BG202" s="2030">
        <f t="shared" si="112"/>
        <v>0</v>
      </c>
      <c r="BH202" s="2030">
        <f t="shared" si="112"/>
        <v>0</v>
      </c>
      <c r="BI202" s="2030">
        <f t="shared" si="113"/>
        <v>1448748</v>
      </c>
      <c r="BJ202" s="2030">
        <f t="shared" si="113"/>
        <v>1086561</v>
      </c>
      <c r="BK202" s="2030">
        <f t="shared" si="113"/>
        <v>1043443.5</v>
      </c>
      <c r="BL202" s="2030">
        <f t="shared" si="113"/>
        <v>1024471.8</v>
      </c>
      <c r="BM202" s="2031"/>
      <c r="BN202" s="2031"/>
      <c r="BO202" s="2031"/>
      <c r="BP202" s="2031"/>
      <c r="BQ202" s="2031"/>
      <c r="BR202" s="2031"/>
      <c r="BS202" s="2031"/>
      <c r="BT202" s="2031"/>
      <c r="BU202" s="2029"/>
      <c r="BV202" s="2029"/>
      <c r="BW202" s="2029"/>
      <c r="BX202" s="2029"/>
      <c r="BY202" s="2029"/>
      <c r="BZ202" s="2032"/>
      <c r="CA202" s="1974"/>
      <c r="CB202" s="1974"/>
      <c r="CC202" s="1974"/>
      <c r="CD202" s="1974"/>
      <c r="CE202" s="1974"/>
      <c r="CF202" s="2033">
        <v>0</v>
      </c>
      <c r="CG202" s="2026">
        <v>0.20110474659116451</v>
      </c>
      <c r="CH202" s="2009"/>
      <c r="CK202" s="2029">
        <f t="shared" si="106"/>
        <v>0</v>
      </c>
      <c r="CL202" s="2034">
        <v>1</v>
      </c>
      <c r="CP202" s="2035"/>
      <c r="CQ202" s="2036"/>
      <c r="CR202" s="2036"/>
      <c r="CS202" s="2036"/>
      <c r="CT202" s="2036"/>
      <c r="CU202" s="2036"/>
      <c r="CV202" s="1973">
        <v>0</v>
      </c>
      <c r="CW202" s="1973">
        <v>0</v>
      </c>
      <c r="CX202" s="2037">
        <v>17247</v>
      </c>
      <c r="CY202" s="2037">
        <v>17247</v>
      </c>
      <c r="CZ202" s="2037">
        <v>18971.7</v>
      </c>
      <c r="DA202" s="2037">
        <v>18971.7</v>
      </c>
      <c r="DK202" s="1973">
        <v>0</v>
      </c>
      <c r="DL202" s="1973">
        <v>0</v>
      </c>
      <c r="DM202" s="1973">
        <v>0</v>
      </c>
      <c r="DO202" s="2023">
        <v>13</v>
      </c>
      <c r="DP202" s="2023">
        <v>0</v>
      </c>
      <c r="DQ202" s="2057">
        <v>0</v>
      </c>
      <c r="DR202" s="2023">
        <v>6834</v>
      </c>
      <c r="DS202" s="2030"/>
      <c r="DT202" s="2029">
        <v>0</v>
      </c>
      <c r="DU202" s="2029">
        <v>0</v>
      </c>
      <c r="DV202" s="2029">
        <v>0</v>
      </c>
      <c r="DW202" s="2085">
        <v>17247</v>
      </c>
      <c r="DX202" s="2029">
        <v>17247</v>
      </c>
      <c r="DY202" s="2029">
        <v>18971.7</v>
      </c>
      <c r="DZ202" s="2029">
        <v>18971.7</v>
      </c>
      <c r="EA202" s="2030">
        <v>34459</v>
      </c>
      <c r="EB202" s="2029">
        <v>34459</v>
      </c>
      <c r="EC202" s="2029">
        <v>34459</v>
      </c>
      <c r="ED202" s="2029">
        <v>34459</v>
      </c>
      <c r="EE202" s="2039">
        <f t="shared" si="107"/>
        <v>0</v>
      </c>
      <c r="EF202" s="2039">
        <f t="shared" si="107"/>
        <v>0</v>
      </c>
      <c r="EG202" s="2039">
        <f t="shared" si="107"/>
        <v>0</v>
      </c>
      <c r="EH202" s="2039">
        <f t="shared" si="107"/>
        <v>0</v>
      </c>
      <c r="EI202" s="2040">
        <f t="shared" si="103"/>
        <v>0</v>
      </c>
      <c r="EJ202" s="2040">
        <f t="shared" si="103"/>
        <v>0</v>
      </c>
      <c r="EK202" s="2040">
        <f t="shared" si="103"/>
        <v>0</v>
      </c>
      <c r="EL202" s="2040">
        <f t="shared" si="103"/>
        <v>0</v>
      </c>
      <c r="EM202" s="2040">
        <f t="shared" si="103"/>
        <v>0</v>
      </c>
      <c r="EN202" s="2040">
        <f t="shared" si="103"/>
        <v>0</v>
      </c>
      <c r="EO202" s="2040">
        <f t="shared" si="99"/>
        <v>0</v>
      </c>
      <c r="EP202" s="2040">
        <f t="shared" si="99"/>
        <v>0</v>
      </c>
      <c r="EQ202" s="2040">
        <f t="shared" si="99"/>
        <v>0</v>
      </c>
      <c r="ER202" s="2040">
        <f t="shared" si="99"/>
        <v>0</v>
      </c>
      <c r="ES202" s="2040">
        <f t="shared" si="99"/>
        <v>0</v>
      </c>
      <c r="ET202" s="2040">
        <f t="shared" si="99"/>
        <v>0</v>
      </c>
      <c r="EU202" s="2039">
        <f t="shared" si="108"/>
        <v>0</v>
      </c>
      <c r="EV202" s="2039">
        <f t="shared" si="109"/>
        <v>0</v>
      </c>
    </row>
    <row r="203" spans="1:152" x14ac:dyDescent="0.25">
      <c r="A203" s="2041" t="s">
        <v>2979</v>
      </c>
      <c r="B203" s="2022" t="s">
        <v>820</v>
      </c>
      <c r="C203" s="2023">
        <v>13</v>
      </c>
      <c r="D203" s="2023">
        <v>0</v>
      </c>
      <c r="E203" s="2023">
        <v>0</v>
      </c>
      <c r="F203" s="2023">
        <v>6834</v>
      </c>
      <c r="G203" s="2026" t="s">
        <v>211</v>
      </c>
      <c r="H203" s="2026" t="s">
        <v>211</v>
      </c>
      <c r="I203" s="2026">
        <v>0.82199999999999995</v>
      </c>
      <c r="J203" s="2026">
        <v>0.82199999999999995</v>
      </c>
      <c r="K203" s="2026">
        <v>0.82199999999999995</v>
      </c>
      <c r="L203" s="2026">
        <v>0.82199999999999995</v>
      </c>
      <c r="M203" s="2027">
        <f>$D203*I203</f>
        <v>0</v>
      </c>
      <c r="N203" s="2027">
        <f t="shared" si="114"/>
        <v>0</v>
      </c>
      <c r="O203" s="2027">
        <f t="shared" si="114"/>
        <v>0</v>
      </c>
      <c r="P203" s="2027">
        <f>$D203*L203</f>
        <v>0</v>
      </c>
      <c r="Q203" s="2026">
        <v>0.82199999999999995</v>
      </c>
      <c r="R203" s="2026">
        <v>0.82199999999999995</v>
      </c>
      <c r="S203" s="2026">
        <v>0.82199999999999995</v>
      </c>
      <c r="T203" s="2026">
        <v>0.82199999999999995</v>
      </c>
      <c r="U203" s="2028">
        <f>$E203*Q203</f>
        <v>0</v>
      </c>
      <c r="V203" s="2028">
        <f t="shared" si="115"/>
        <v>0</v>
      </c>
      <c r="W203" s="2028">
        <f t="shared" si="115"/>
        <v>0</v>
      </c>
      <c r="X203" s="2028">
        <f>$E203*T203</f>
        <v>0</v>
      </c>
      <c r="Y203" s="2026">
        <v>0.93899999999999995</v>
      </c>
      <c r="Z203" s="2026">
        <v>0.93899999999999995</v>
      </c>
      <c r="AA203" s="2026">
        <v>0.93899999999999995</v>
      </c>
      <c r="AB203" s="2026">
        <v>0.93899999999999995</v>
      </c>
      <c r="AC203" s="2027">
        <f>$F203*Y203</f>
        <v>6417.1259999999993</v>
      </c>
      <c r="AD203" s="2027">
        <f t="shared" si="116"/>
        <v>6417.1259999999993</v>
      </c>
      <c r="AE203" s="2027">
        <f t="shared" si="116"/>
        <v>6417.1259999999993</v>
      </c>
      <c r="AF203" s="2027">
        <f>$F203*AB203</f>
        <v>6417.1259999999993</v>
      </c>
      <c r="AG203" s="2084">
        <v>15</v>
      </c>
      <c r="AH203" s="2084">
        <v>15</v>
      </c>
      <c r="AI203" s="2084">
        <v>14</v>
      </c>
      <c r="AJ203" s="2084">
        <v>14</v>
      </c>
      <c r="AK203" s="2027">
        <f t="shared" si="110"/>
        <v>0</v>
      </c>
      <c r="AL203" s="2027">
        <f t="shared" si="110"/>
        <v>0</v>
      </c>
      <c r="AM203" s="2027">
        <f t="shared" si="110"/>
        <v>0</v>
      </c>
      <c r="AN203" s="2027">
        <f t="shared" si="110"/>
        <v>0</v>
      </c>
      <c r="AO203" s="2027">
        <f t="shared" si="111"/>
        <v>96256.889999999985</v>
      </c>
      <c r="AP203" s="2027">
        <f t="shared" si="111"/>
        <v>96256.889999999985</v>
      </c>
      <c r="AQ203" s="2027">
        <f t="shared" si="111"/>
        <v>89839.763999999996</v>
      </c>
      <c r="AR203" s="2027">
        <f>AJ203*AF203</f>
        <v>89839.763999999996</v>
      </c>
      <c r="AS203" s="2030"/>
      <c r="AT203" s="2029">
        <v>0</v>
      </c>
      <c r="AU203" s="2029">
        <v>0</v>
      </c>
      <c r="AV203" s="2029">
        <v>0</v>
      </c>
      <c r="AW203" s="2030">
        <v>28457.55</v>
      </c>
      <c r="AX203" s="2029">
        <v>28457.55</v>
      </c>
      <c r="AY203" s="2029">
        <v>28457.55</v>
      </c>
      <c r="AZ203" s="2029">
        <v>28457.55</v>
      </c>
      <c r="BA203" s="2030">
        <v>34459</v>
      </c>
      <c r="BB203" s="2029">
        <v>34459</v>
      </c>
      <c r="BC203" s="2029">
        <v>34459</v>
      </c>
      <c r="BD203" s="2029">
        <v>34459</v>
      </c>
      <c r="BE203" s="2030">
        <f t="shared" si="112"/>
        <v>0</v>
      </c>
      <c r="BF203" s="2030">
        <f t="shared" si="112"/>
        <v>0</v>
      </c>
      <c r="BG203" s="2030">
        <f t="shared" si="112"/>
        <v>0</v>
      </c>
      <c r="BH203" s="2030">
        <f t="shared" si="112"/>
        <v>0</v>
      </c>
      <c r="BI203" s="2030">
        <f t="shared" si="113"/>
        <v>426863.25</v>
      </c>
      <c r="BJ203" s="2030">
        <f t="shared" si="113"/>
        <v>426863.25</v>
      </c>
      <c r="BK203" s="2030">
        <f t="shared" si="113"/>
        <v>398405.7</v>
      </c>
      <c r="BL203" s="2030">
        <f t="shared" si="113"/>
        <v>398405.7</v>
      </c>
      <c r="BM203" s="2031"/>
      <c r="BN203" s="2031"/>
      <c r="BO203" s="2031"/>
      <c r="BP203" s="2031"/>
      <c r="BQ203" s="2031"/>
      <c r="BR203" s="2031"/>
      <c r="BS203" s="2031"/>
      <c r="BT203" s="2031"/>
      <c r="BU203" s="2029"/>
      <c r="BV203" s="2029"/>
      <c r="BW203" s="2029"/>
      <c r="BX203" s="2029"/>
      <c r="BY203" s="2029"/>
      <c r="BZ203" s="2032"/>
      <c r="CA203" s="1974"/>
      <c r="CB203" s="1974"/>
      <c r="CC203" s="1974"/>
      <c r="CD203" s="1974"/>
      <c r="CE203" s="1974"/>
      <c r="CF203" s="2033">
        <v>0</v>
      </c>
      <c r="CG203" s="2026">
        <v>3.5911561891279378E-2</v>
      </c>
      <c r="CH203" s="2009"/>
      <c r="CK203" s="2029">
        <f t="shared" si="106"/>
        <v>0</v>
      </c>
      <c r="CL203" s="2034">
        <v>1</v>
      </c>
      <c r="CP203" s="2035"/>
      <c r="CQ203" s="2036"/>
      <c r="CR203" s="2036"/>
      <c r="CS203" s="2036"/>
      <c r="CT203" s="2036"/>
      <c r="CU203" s="2036"/>
      <c r="CV203" s="1973">
        <v>1</v>
      </c>
      <c r="CW203" s="1973">
        <v>0</v>
      </c>
      <c r="CX203" s="2037">
        <v>28457.55</v>
      </c>
      <c r="CY203" s="2037">
        <v>28457.55</v>
      </c>
      <c r="CZ203" s="2037">
        <v>28457.55</v>
      </c>
      <c r="DA203" s="2037">
        <v>28457.55</v>
      </c>
      <c r="DK203" s="1973">
        <v>0</v>
      </c>
      <c r="DL203" s="1973">
        <v>0</v>
      </c>
      <c r="DM203" s="1973">
        <v>0</v>
      </c>
      <c r="DO203" s="2023">
        <v>13</v>
      </c>
      <c r="DP203" s="2023">
        <v>0</v>
      </c>
      <c r="DQ203" s="2023">
        <v>0</v>
      </c>
      <c r="DR203" s="2023">
        <v>6834</v>
      </c>
      <c r="DS203" s="2030"/>
      <c r="DT203" s="2029">
        <v>0</v>
      </c>
      <c r="DU203" s="2029">
        <v>0</v>
      </c>
      <c r="DV203" s="2029">
        <v>0</v>
      </c>
      <c r="DW203" s="2030">
        <v>28457.55</v>
      </c>
      <c r="DX203" s="2029">
        <v>28457.55</v>
      </c>
      <c r="DY203" s="2029">
        <v>28457.55</v>
      </c>
      <c r="DZ203" s="2029">
        <v>28457.55</v>
      </c>
      <c r="EA203" s="2030">
        <v>34459</v>
      </c>
      <c r="EB203" s="2029">
        <v>34459</v>
      </c>
      <c r="EC203" s="2029">
        <v>34459</v>
      </c>
      <c r="ED203" s="2029">
        <v>34459</v>
      </c>
      <c r="EE203" s="2039">
        <f t="shared" si="107"/>
        <v>0</v>
      </c>
      <c r="EF203" s="2039">
        <f t="shared" si="107"/>
        <v>0</v>
      </c>
      <c r="EG203" s="2039">
        <f t="shared" si="107"/>
        <v>0</v>
      </c>
      <c r="EH203" s="2039">
        <f t="shared" si="107"/>
        <v>0</v>
      </c>
      <c r="EI203" s="2040">
        <f t="shared" si="103"/>
        <v>0</v>
      </c>
      <c r="EJ203" s="2040">
        <f t="shared" si="103"/>
        <v>0</v>
      </c>
      <c r="EK203" s="2040">
        <f t="shared" si="103"/>
        <v>0</v>
      </c>
      <c r="EL203" s="2040">
        <f t="shared" si="103"/>
        <v>0</v>
      </c>
      <c r="EM203" s="2040">
        <f t="shared" si="103"/>
        <v>0</v>
      </c>
      <c r="EN203" s="2040">
        <f t="shared" si="103"/>
        <v>0</v>
      </c>
      <c r="EO203" s="2040">
        <f t="shared" si="99"/>
        <v>0</v>
      </c>
      <c r="EP203" s="2040">
        <f t="shared" si="99"/>
        <v>0</v>
      </c>
      <c r="EQ203" s="2040">
        <f t="shared" si="99"/>
        <v>0</v>
      </c>
      <c r="ER203" s="2040">
        <f t="shared" si="99"/>
        <v>0</v>
      </c>
      <c r="ES203" s="2040">
        <f t="shared" si="99"/>
        <v>0</v>
      </c>
      <c r="ET203" s="2040">
        <f t="shared" si="99"/>
        <v>0</v>
      </c>
      <c r="EU203" s="2039">
        <f t="shared" si="108"/>
        <v>0</v>
      </c>
      <c r="EV203" s="2039">
        <f t="shared" si="109"/>
        <v>0</v>
      </c>
    </row>
    <row r="204" spans="1:152" s="2018" customFormat="1" x14ac:dyDescent="0.25">
      <c r="A204" s="2011" t="s">
        <v>2980</v>
      </c>
      <c r="B204" s="2012"/>
      <c r="C204" s="2013"/>
      <c r="D204" s="2013"/>
      <c r="E204" s="2014"/>
      <c r="F204" s="2013"/>
      <c r="G204" s="2015"/>
      <c r="H204" s="2015"/>
      <c r="I204" s="2015"/>
      <c r="J204" s="2015"/>
      <c r="K204" s="2015"/>
      <c r="L204" s="2015"/>
      <c r="M204" s="2016"/>
      <c r="N204" s="2016"/>
      <c r="O204" s="2016"/>
      <c r="P204" s="2016"/>
      <c r="Q204" s="2015"/>
      <c r="R204" s="2015"/>
      <c r="S204" s="2015"/>
      <c r="T204" s="2015"/>
      <c r="U204" s="2016"/>
      <c r="V204" s="2016"/>
      <c r="W204" s="2016"/>
      <c r="X204" s="2016"/>
      <c r="Y204" s="2015"/>
      <c r="Z204" s="2015"/>
      <c r="AA204" s="2015"/>
      <c r="AB204" s="2015"/>
      <c r="AC204" s="2016"/>
      <c r="AD204" s="2016"/>
      <c r="AE204" s="2016"/>
      <c r="AF204" s="2016"/>
      <c r="AG204" s="2016">
        <v>1.4</v>
      </c>
      <c r="AH204" s="2016">
        <v>1.52</v>
      </c>
      <c r="AI204" s="2016">
        <v>1.52</v>
      </c>
      <c r="AJ204" s="2016">
        <v>1.54</v>
      </c>
      <c r="AK204" s="2072">
        <f t="shared" ref="AK204:BL204" si="117">SUM(AK205:AK208)</f>
        <v>10639303.664000001</v>
      </c>
      <c r="AL204" s="2072">
        <f t="shared" si="117"/>
        <v>10896706.172000002</v>
      </c>
      <c r="AM204" s="2072">
        <f t="shared" si="117"/>
        <v>10982507.008000001</v>
      </c>
      <c r="AN204" s="2072">
        <f t="shared" si="117"/>
        <v>10768004.918000001</v>
      </c>
      <c r="AO204" s="2072">
        <f t="shared" si="117"/>
        <v>365143</v>
      </c>
      <c r="AP204" s="2072">
        <f t="shared" si="117"/>
        <v>321325.84000000008</v>
      </c>
      <c r="AQ204" s="2072">
        <f>SUM(AQ205:AQ208)</f>
        <v>324246.98400000005</v>
      </c>
      <c r="AR204" s="2073">
        <f t="shared" si="117"/>
        <v>324246.98400000005</v>
      </c>
      <c r="AS204" s="2073"/>
      <c r="AT204" s="2073"/>
      <c r="AU204" s="2073"/>
      <c r="AV204" s="2073"/>
      <c r="AW204" s="2073"/>
      <c r="AX204" s="2073"/>
      <c r="AY204" s="2073"/>
      <c r="AZ204" s="2073"/>
      <c r="BA204" s="2073"/>
      <c r="BB204" s="2073"/>
      <c r="BC204" s="2073"/>
      <c r="BD204" s="2073"/>
      <c r="BE204" s="2074">
        <f t="shared" si="117"/>
        <v>1127154.196</v>
      </c>
      <c r="BF204" s="2074">
        <f t="shared" si="117"/>
        <v>1115045.8984000001</v>
      </c>
      <c r="BG204" s="2074">
        <f t="shared" si="117"/>
        <v>1141793.0874000001</v>
      </c>
      <c r="BH204" s="2074">
        <f t="shared" si="117"/>
        <v>1077891.0379999999</v>
      </c>
      <c r="BI204" s="2075">
        <f t="shared" si="117"/>
        <v>581750.57499999995</v>
      </c>
      <c r="BJ204" s="2075">
        <f t="shared" si="117"/>
        <v>533530.5639999999</v>
      </c>
      <c r="BK204" s="2075">
        <f t="shared" si="117"/>
        <v>531583.38659999997</v>
      </c>
      <c r="BL204" s="2075">
        <f t="shared" si="117"/>
        <v>551401.03199999989</v>
      </c>
      <c r="BM204" s="2075"/>
      <c r="BN204" s="2075"/>
      <c r="BO204" s="2075"/>
      <c r="BP204" s="2075"/>
      <c r="BQ204" s="2075"/>
      <c r="BR204" s="2075"/>
      <c r="BS204" s="2075"/>
      <c r="BT204" s="2075"/>
      <c r="BU204" s="2075"/>
      <c r="BV204" s="2075"/>
      <c r="BW204" s="2075"/>
      <c r="BX204" s="2075"/>
      <c r="BY204" s="2075"/>
      <c r="BZ204" s="2075"/>
      <c r="CA204" s="2076"/>
      <c r="CB204" s="2076"/>
      <c r="CC204" s="2076"/>
      <c r="CD204" s="2076"/>
      <c r="CE204" s="2076"/>
      <c r="CF204" s="2077"/>
      <c r="CG204" s="2078"/>
      <c r="CH204" s="2079"/>
      <c r="CI204" s="2076"/>
      <c r="CJ204" s="2076"/>
      <c r="CK204" s="2080">
        <f t="shared" si="106"/>
        <v>0</v>
      </c>
      <c r="CL204" s="2081">
        <v>1</v>
      </c>
      <c r="CM204" s="2076"/>
      <c r="CN204" s="2076"/>
      <c r="CO204" s="2076"/>
      <c r="CP204" s="2082"/>
      <c r="CQ204" s="2082"/>
      <c r="CR204" s="2082"/>
      <c r="CS204" s="2082"/>
      <c r="CT204" s="2082"/>
      <c r="CU204" s="2082"/>
      <c r="CW204" s="2018">
        <v>0</v>
      </c>
      <c r="CX204" s="2083"/>
      <c r="DB204" s="2083"/>
      <c r="DF204" s="2083"/>
      <c r="DJ204" s="2083"/>
      <c r="DN204" s="1977"/>
      <c r="DO204" s="2013"/>
      <c r="DP204" s="2013"/>
      <c r="DQ204" s="2014"/>
      <c r="DR204" s="2013"/>
      <c r="DS204" s="2073"/>
      <c r="DT204" s="2073"/>
      <c r="DU204" s="2073"/>
      <c r="DV204" s="2073"/>
      <c r="DW204" s="2073"/>
      <c r="DX204" s="2073"/>
      <c r="DY204" s="2073"/>
      <c r="DZ204" s="2073"/>
      <c r="EA204" s="2073"/>
      <c r="EB204" s="2073"/>
      <c r="EC204" s="2073"/>
      <c r="ED204" s="2073"/>
      <c r="EE204" s="2039">
        <f t="shared" si="107"/>
        <v>0</v>
      </c>
      <c r="EF204" s="2039">
        <f t="shared" si="107"/>
        <v>0</v>
      </c>
      <c r="EG204" s="2039">
        <f t="shared" si="107"/>
        <v>0</v>
      </c>
      <c r="EH204" s="2039">
        <f t="shared" si="107"/>
        <v>0</v>
      </c>
      <c r="EI204" s="2040">
        <f t="shared" si="103"/>
        <v>0</v>
      </c>
      <c r="EJ204" s="2040">
        <f t="shared" si="103"/>
        <v>0</v>
      </c>
      <c r="EK204" s="2040">
        <f t="shared" si="103"/>
        <v>0</v>
      </c>
      <c r="EL204" s="2040">
        <f t="shared" si="103"/>
        <v>0</v>
      </c>
      <c r="EM204" s="2040">
        <f t="shared" si="103"/>
        <v>0</v>
      </c>
      <c r="EN204" s="2040">
        <f t="shared" si="103"/>
        <v>0</v>
      </c>
      <c r="EO204" s="2040">
        <f t="shared" si="99"/>
        <v>0</v>
      </c>
      <c r="EP204" s="2040">
        <f t="shared" si="99"/>
        <v>0</v>
      </c>
      <c r="EQ204" s="2040">
        <f t="shared" si="99"/>
        <v>0</v>
      </c>
      <c r="ER204" s="2040">
        <f t="shared" si="99"/>
        <v>0</v>
      </c>
      <c r="ES204" s="2040">
        <f t="shared" si="99"/>
        <v>0</v>
      </c>
      <c r="ET204" s="2040">
        <f t="shared" si="99"/>
        <v>0</v>
      </c>
      <c r="EU204" s="2039">
        <f t="shared" si="108"/>
        <v>0</v>
      </c>
      <c r="EV204" s="2039">
        <f t="shared" si="109"/>
        <v>0</v>
      </c>
    </row>
    <row r="205" spans="1:152" x14ac:dyDescent="0.25">
      <c r="A205" s="2041" t="s">
        <v>269</v>
      </c>
      <c r="B205" s="2022" t="s">
        <v>820</v>
      </c>
      <c r="C205" s="2023">
        <v>5</v>
      </c>
      <c r="D205" s="2023">
        <v>469370</v>
      </c>
      <c r="E205" s="2023">
        <v>40.952999999999996</v>
      </c>
      <c r="F205" s="2023">
        <v>0</v>
      </c>
      <c r="G205" s="2026" t="s">
        <v>2981</v>
      </c>
      <c r="H205" s="2026" t="s">
        <v>2981</v>
      </c>
      <c r="I205" s="2026">
        <v>0.91400000000000003</v>
      </c>
      <c r="J205" s="2026">
        <v>0.91400000000000003</v>
      </c>
      <c r="K205" s="2026">
        <v>0.91400000000000003</v>
      </c>
      <c r="L205" s="2026">
        <v>0.91400000000000003</v>
      </c>
      <c r="M205" s="2027">
        <f t="shared" ref="M205:O208" si="118">$D205*I205</f>
        <v>429004.18</v>
      </c>
      <c r="N205" s="2027">
        <f t="shared" si="118"/>
        <v>429004.18</v>
      </c>
      <c r="O205" s="2027">
        <f t="shared" si="118"/>
        <v>429004.18</v>
      </c>
      <c r="P205" s="2027">
        <f>$D205*L205</f>
        <v>429004.18</v>
      </c>
      <c r="Q205" s="2026">
        <v>0.91400000000000003</v>
      </c>
      <c r="R205" s="2026">
        <v>0.91400000000000003</v>
      </c>
      <c r="S205" s="2026">
        <v>0.91400000000000003</v>
      </c>
      <c r="T205" s="2026">
        <v>0.91400000000000003</v>
      </c>
      <c r="U205" s="2028">
        <f t="shared" ref="U205:W208" si="119">$E205*Q205</f>
        <v>37.431041999999998</v>
      </c>
      <c r="V205" s="2028">
        <f t="shared" si="119"/>
        <v>37.431041999999998</v>
      </c>
      <c r="W205" s="2028">
        <f t="shared" si="119"/>
        <v>37.431041999999998</v>
      </c>
      <c r="X205" s="2028">
        <f>$E205*T205</f>
        <v>37.431041999999998</v>
      </c>
      <c r="Y205" s="2026">
        <v>0.91400000000000003</v>
      </c>
      <c r="Z205" s="2026">
        <v>0.91400000000000003</v>
      </c>
      <c r="AA205" s="2026">
        <v>0.91400000000000003</v>
      </c>
      <c r="AB205" s="2026">
        <v>0.91400000000000003</v>
      </c>
      <c r="AC205" s="2027">
        <v>0</v>
      </c>
      <c r="AD205" s="2027">
        <f t="shared" ref="AD205:AF208" si="120">$F205*Z205</f>
        <v>0</v>
      </c>
      <c r="AE205" s="2027">
        <f t="shared" si="120"/>
        <v>0</v>
      </c>
      <c r="AF205" s="2027">
        <f t="shared" si="120"/>
        <v>0</v>
      </c>
      <c r="AG205" s="2084">
        <v>23.6</v>
      </c>
      <c r="AH205" s="2084">
        <v>24.200000000000003</v>
      </c>
      <c r="AI205" s="2084">
        <v>24.3</v>
      </c>
      <c r="AJ205" s="2084">
        <v>23.900000000000002</v>
      </c>
      <c r="AK205" s="2027">
        <f t="shared" ref="AK205:AM208" si="121">AG205*M205</f>
        <v>10124498.648</v>
      </c>
      <c r="AL205" s="2027">
        <f t="shared" si="121"/>
        <v>10381901.156000001</v>
      </c>
      <c r="AM205" s="2027">
        <f t="shared" si="121"/>
        <v>10424801.574000001</v>
      </c>
      <c r="AN205" s="2027">
        <f>AJ205*P205</f>
        <v>10253199.902000001</v>
      </c>
      <c r="AO205" s="2027">
        <f t="shared" ref="AO205:AQ208" si="122">AG205*AC205</f>
        <v>0</v>
      </c>
      <c r="AP205" s="2027">
        <f t="shared" si="122"/>
        <v>0</v>
      </c>
      <c r="AQ205" s="2027">
        <f t="shared" si="122"/>
        <v>0</v>
      </c>
      <c r="AR205" s="2027">
        <f>AJ205*AF205</f>
        <v>0</v>
      </c>
      <c r="AS205" s="2030">
        <v>42486.92</v>
      </c>
      <c r="AT205" s="2030">
        <v>41170.555999999997</v>
      </c>
      <c r="AU205" s="2030">
        <v>41609.343999999997</v>
      </c>
      <c r="AV205" s="2030">
        <v>40292.979999999996</v>
      </c>
      <c r="AW205" s="2030">
        <v>0</v>
      </c>
      <c r="AX205" s="2029">
        <v>0</v>
      </c>
      <c r="AY205" s="2029">
        <v>0</v>
      </c>
      <c r="AZ205" s="2029">
        <v>0</v>
      </c>
      <c r="BA205" s="2030">
        <v>29080</v>
      </c>
      <c r="BB205" s="2029">
        <v>29080</v>
      </c>
      <c r="BC205" s="2029">
        <v>29080</v>
      </c>
      <c r="BD205" s="2029">
        <v>29080</v>
      </c>
      <c r="BE205" s="2030">
        <f t="shared" ref="BE205:BH208" si="123">AS205*AG205</f>
        <v>1002691.312</v>
      </c>
      <c r="BF205" s="2030">
        <f t="shared" si="123"/>
        <v>996327.45520000008</v>
      </c>
      <c r="BG205" s="2030">
        <f t="shared" si="123"/>
        <v>1011107.0592</v>
      </c>
      <c r="BH205" s="2030">
        <f t="shared" si="123"/>
        <v>963002.22199999995</v>
      </c>
      <c r="BI205" s="2030">
        <f t="shared" ref="BI205:BL208" si="124">AW205*AG205</f>
        <v>0</v>
      </c>
      <c r="BJ205" s="2030">
        <f t="shared" si="124"/>
        <v>0</v>
      </c>
      <c r="BK205" s="2030">
        <f t="shared" si="124"/>
        <v>0</v>
      </c>
      <c r="BL205" s="2030">
        <f t="shared" si="124"/>
        <v>0</v>
      </c>
      <c r="BM205" s="2031"/>
      <c r="BN205" s="2031"/>
      <c r="BO205" s="2031"/>
      <c r="BP205" s="2031"/>
      <c r="BQ205" s="2031"/>
      <c r="BR205" s="2031"/>
      <c r="BS205" s="2031"/>
      <c r="BT205" s="2031"/>
      <c r="BU205" s="2029"/>
      <c r="BV205" s="2029"/>
      <c r="BW205" s="2029"/>
      <c r="BX205" s="2029"/>
      <c r="BY205" s="2029"/>
      <c r="BZ205" s="2032"/>
      <c r="CA205" s="1974"/>
      <c r="CB205" s="1974"/>
      <c r="CC205" s="1974"/>
      <c r="CD205" s="1974"/>
      <c r="CE205" s="1974"/>
      <c r="CF205" s="2033">
        <v>4.232381425982594E-2</v>
      </c>
      <c r="CG205" s="2026">
        <v>0</v>
      </c>
      <c r="CH205" s="2009"/>
      <c r="CK205" s="2029">
        <f t="shared" si="106"/>
        <v>0</v>
      </c>
      <c r="CL205" s="2034">
        <v>1</v>
      </c>
      <c r="CP205" s="2035"/>
      <c r="CQ205" s="2036"/>
      <c r="CR205" s="2036"/>
      <c r="CS205" s="2036"/>
      <c r="CT205" s="2036"/>
      <c r="CU205" s="2036"/>
      <c r="CW205" s="1973">
        <v>0</v>
      </c>
      <c r="CX205" s="2037">
        <v>27931.399999999998</v>
      </c>
      <c r="CY205" s="2037">
        <v>27931.399999999998</v>
      </c>
      <c r="CZ205" s="2037">
        <v>27931.399999999998</v>
      </c>
      <c r="DA205" s="2037">
        <v>27931.399999999998</v>
      </c>
      <c r="DB205" s="2051">
        <v>0.4841394933316317</v>
      </c>
      <c r="DC205" s="2051">
        <v>0.46913949333163169</v>
      </c>
      <c r="DD205" s="2051">
        <v>0.47413949333163169</v>
      </c>
      <c r="DE205" s="2051">
        <v>0.45913949333163168</v>
      </c>
      <c r="DF205" s="2037">
        <f t="shared" ref="DF205:DI206" si="125">DB205*SUM(CX205,CX207)</f>
        <v>42486.92</v>
      </c>
      <c r="DG205" s="2037">
        <f t="shared" si="125"/>
        <v>41170.555999999997</v>
      </c>
      <c r="DH205" s="2037">
        <f t="shared" si="125"/>
        <v>41609.343999999997</v>
      </c>
      <c r="DI205" s="2037">
        <f t="shared" si="125"/>
        <v>40292.979999999996</v>
      </c>
      <c r="DJ205" s="1976" t="e">
        <f>#REF!</f>
        <v>#REF!</v>
      </c>
      <c r="DK205" s="1973">
        <v>27931.399999999998</v>
      </c>
      <c r="DL205" s="1973">
        <v>27931.399999999998</v>
      </c>
      <c r="DM205" s="1973">
        <v>27931.399999999998</v>
      </c>
      <c r="DO205" s="2023">
        <v>5</v>
      </c>
      <c r="DP205" s="2023">
        <v>469370</v>
      </c>
      <c r="DQ205" s="2023">
        <v>40.952999999999996</v>
      </c>
      <c r="DR205" s="2023">
        <v>0</v>
      </c>
      <c r="DS205" s="2030">
        <v>42486.92</v>
      </c>
      <c r="DT205" s="2030">
        <v>41170.555999999997</v>
      </c>
      <c r="DU205" s="2030">
        <v>41609.343999999997</v>
      </c>
      <c r="DV205" s="2030">
        <v>40292.979999999996</v>
      </c>
      <c r="DW205" s="2030">
        <v>0</v>
      </c>
      <c r="DX205" s="2029">
        <v>0</v>
      </c>
      <c r="DY205" s="2029">
        <v>0</v>
      </c>
      <c r="DZ205" s="2029">
        <v>0</v>
      </c>
      <c r="EA205" s="2030">
        <v>29080</v>
      </c>
      <c r="EB205" s="2029">
        <v>29080</v>
      </c>
      <c r="EC205" s="2029">
        <v>29080</v>
      </c>
      <c r="ED205" s="2029">
        <v>29080</v>
      </c>
      <c r="EE205" s="2039">
        <f t="shared" si="107"/>
        <v>0</v>
      </c>
      <c r="EF205" s="2039">
        <f t="shared" si="107"/>
        <v>0</v>
      </c>
      <c r="EG205" s="2039">
        <f t="shared" si="107"/>
        <v>0</v>
      </c>
      <c r="EH205" s="2039">
        <f t="shared" si="107"/>
        <v>0</v>
      </c>
      <c r="EI205" s="2040">
        <f t="shared" si="103"/>
        <v>0</v>
      </c>
      <c r="EJ205" s="2040">
        <f t="shared" si="103"/>
        <v>0</v>
      </c>
      <c r="EK205" s="2040">
        <f t="shared" si="103"/>
        <v>0</v>
      </c>
      <c r="EL205" s="2040">
        <f t="shared" si="103"/>
        <v>0</v>
      </c>
      <c r="EM205" s="2040">
        <f t="shared" si="103"/>
        <v>0</v>
      </c>
      <c r="EN205" s="2040">
        <f t="shared" si="103"/>
        <v>0</v>
      </c>
      <c r="EO205" s="2040">
        <f t="shared" si="99"/>
        <v>0</v>
      </c>
      <c r="EP205" s="2040">
        <f t="shared" si="99"/>
        <v>0</v>
      </c>
      <c r="EQ205" s="2040">
        <f t="shared" si="99"/>
        <v>0</v>
      </c>
      <c r="ER205" s="2040">
        <f t="shared" si="99"/>
        <v>0</v>
      </c>
      <c r="ES205" s="2040">
        <f t="shared" si="99"/>
        <v>0</v>
      </c>
      <c r="ET205" s="2040">
        <f t="shared" si="99"/>
        <v>0</v>
      </c>
      <c r="EU205" s="2039">
        <f t="shared" si="108"/>
        <v>0</v>
      </c>
      <c r="EV205" s="2039">
        <f t="shared" si="109"/>
        <v>0</v>
      </c>
    </row>
    <row r="206" spans="1:152" x14ac:dyDescent="0.25">
      <c r="A206" s="2041" t="s">
        <v>2982</v>
      </c>
      <c r="B206" s="2022" t="s">
        <v>820</v>
      </c>
      <c r="C206" s="2023">
        <v>5</v>
      </c>
      <c r="D206" s="2023">
        <v>469370</v>
      </c>
      <c r="E206" s="2023">
        <v>40.952999999999996</v>
      </c>
      <c r="F206" s="2023">
        <v>0</v>
      </c>
      <c r="G206" s="2023" t="str">
        <f>G205</f>
        <v>RCx</v>
      </c>
      <c r="H206" s="2023" t="str">
        <f>H205</f>
        <v>RCx</v>
      </c>
      <c r="I206" s="2026">
        <v>0.91400000000000003</v>
      </c>
      <c r="J206" s="2026">
        <v>0.91400000000000003</v>
      </c>
      <c r="K206" s="2026">
        <v>0.91400000000000003</v>
      </c>
      <c r="L206" s="2026">
        <v>0.91400000000000003</v>
      </c>
      <c r="M206" s="2027">
        <f t="shared" si="118"/>
        <v>429004.18</v>
      </c>
      <c r="N206" s="2027">
        <f t="shared" si="118"/>
        <v>429004.18</v>
      </c>
      <c r="O206" s="2027">
        <f t="shared" si="118"/>
        <v>429004.18</v>
      </c>
      <c r="P206" s="2027">
        <f>$D206*L206</f>
        <v>429004.18</v>
      </c>
      <c r="Q206" s="2026">
        <v>0.91400000000000003</v>
      </c>
      <c r="R206" s="2026">
        <v>0.91400000000000003</v>
      </c>
      <c r="S206" s="2026">
        <v>0.91400000000000003</v>
      </c>
      <c r="T206" s="2026">
        <v>0.91400000000000003</v>
      </c>
      <c r="U206" s="2028">
        <f t="shared" si="119"/>
        <v>37.431041999999998</v>
      </c>
      <c r="V206" s="2028">
        <f t="shared" si="119"/>
        <v>37.431041999999998</v>
      </c>
      <c r="W206" s="2028">
        <f t="shared" si="119"/>
        <v>37.431041999999998</v>
      </c>
      <c r="X206" s="2028">
        <f>$E206*T206</f>
        <v>37.431041999999998</v>
      </c>
      <c r="Y206" s="2026">
        <v>0.91400000000000003</v>
      </c>
      <c r="Z206" s="2026">
        <v>0.91400000000000003</v>
      </c>
      <c r="AA206" s="2026">
        <v>0.91400000000000003</v>
      </c>
      <c r="AB206" s="2026">
        <v>0.91400000000000003</v>
      </c>
      <c r="AC206" s="2027">
        <v>0</v>
      </c>
      <c r="AD206" s="2027">
        <f t="shared" si="120"/>
        <v>0</v>
      </c>
      <c r="AE206" s="2027">
        <f t="shared" si="120"/>
        <v>0</v>
      </c>
      <c r="AF206" s="2027">
        <f t="shared" si="120"/>
        <v>0</v>
      </c>
      <c r="AG206" s="2084">
        <v>1.2000000000000002</v>
      </c>
      <c r="AH206" s="2084">
        <v>1.2000000000000002</v>
      </c>
      <c r="AI206" s="2084">
        <v>1.3</v>
      </c>
      <c r="AJ206" s="2084">
        <v>1.2000000000000002</v>
      </c>
      <c r="AK206" s="2027">
        <f t="shared" si="121"/>
        <v>514805.01600000006</v>
      </c>
      <c r="AL206" s="2027">
        <f t="shared" si="121"/>
        <v>514805.01600000006</v>
      </c>
      <c r="AM206" s="2027">
        <f t="shared" si="121"/>
        <v>557705.43400000001</v>
      </c>
      <c r="AN206" s="2027">
        <f>AJ206*P206</f>
        <v>514805.01600000006</v>
      </c>
      <c r="AO206" s="2027">
        <f t="shared" si="122"/>
        <v>0</v>
      </c>
      <c r="AP206" s="2027">
        <f t="shared" si="122"/>
        <v>0</v>
      </c>
      <c r="AQ206" s="2027">
        <f t="shared" si="122"/>
        <v>0</v>
      </c>
      <c r="AR206" s="2027">
        <f>AJ206*AF206</f>
        <v>0</v>
      </c>
      <c r="AS206" s="2030">
        <v>103719.06999999999</v>
      </c>
      <c r="AT206" s="2030">
        <v>98932.035999999993</v>
      </c>
      <c r="AU206" s="2030">
        <v>100527.71399999999</v>
      </c>
      <c r="AV206" s="2030">
        <v>95740.68</v>
      </c>
      <c r="AW206" s="2030">
        <v>0</v>
      </c>
      <c r="AX206" s="2029">
        <v>0</v>
      </c>
      <c r="AY206" s="2029">
        <v>0</v>
      </c>
      <c r="AZ206" s="2029">
        <v>0</v>
      </c>
      <c r="BA206" s="2030">
        <v>29080</v>
      </c>
      <c r="BB206" s="2029">
        <v>29080</v>
      </c>
      <c r="BC206" s="2029">
        <v>29080</v>
      </c>
      <c r="BD206" s="2029">
        <v>29080</v>
      </c>
      <c r="BE206" s="2030">
        <f t="shared" si="123"/>
        <v>124462.88400000001</v>
      </c>
      <c r="BF206" s="2030">
        <f t="shared" si="123"/>
        <v>118718.44320000001</v>
      </c>
      <c r="BG206" s="2030">
        <f t="shared" si="123"/>
        <v>130686.0282</v>
      </c>
      <c r="BH206" s="2030">
        <f t="shared" si="123"/>
        <v>114888.81600000001</v>
      </c>
      <c r="BI206" s="2030">
        <f t="shared" si="124"/>
        <v>0</v>
      </c>
      <c r="BJ206" s="2030">
        <f t="shared" si="124"/>
        <v>0</v>
      </c>
      <c r="BK206" s="2030">
        <f t="shared" si="124"/>
        <v>0</v>
      </c>
      <c r="BL206" s="2030">
        <f t="shared" si="124"/>
        <v>0</v>
      </c>
      <c r="BM206" s="2031"/>
      <c r="BN206" s="2031"/>
      <c r="BO206" s="2031"/>
      <c r="BP206" s="2031"/>
      <c r="BQ206" s="2031"/>
      <c r="BR206" s="2031"/>
      <c r="BS206" s="2031"/>
      <c r="BT206" s="2031"/>
      <c r="BU206" s="2029"/>
      <c r="BV206" s="2029"/>
      <c r="BW206" s="2029"/>
      <c r="BX206" s="2029"/>
      <c r="BY206" s="2029"/>
      <c r="BZ206" s="2032"/>
      <c r="CA206" s="1974"/>
      <c r="CB206" s="1974"/>
      <c r="CC206" s="1974"/>
      <c r="CD206" s="1974"/>
      <c r="CE206" s="1974"/>
      <c r="CF206" s="2033">
        <v>2.1520583521945397E-3</v>
      </c>
      <c r="CG206" s="2026">
        <v>0</v>
      </c>
      <c r="CH206" s="2009"/>
      <c r="CK206" s="2029">
        <f>-CI206+CJ206</f>
        <v>0</v>
      </c>
      <c r="CL206" s="2034">
        <v>1</v>
      </c>
      <c r="CP206" s="2035"/>
      <c r="CQ206" s="2036"/>
      <c r="CR206" s="2036"/>
      <c r="CS206" s="2036"/>
      <c r="CT206" s="2036"/>
      <c r="CU206" s="2036"/>
      <c r="CW206" s="1973">
        <v>0</v>
      </c>
      <c r="CX206" s="2037">
        <v>69828.5</v>
      </c>
      <c r="CY206" s="2037">
        <v>69828.5</v>
      </c>
      <c r="CZ206" s="2037">
        <v>69828.5</v>
      </c>
      <c r="DA206" s="2037">
        <v>69828.5</v>
      </c>
      <c r="DB206" s="2051">
        <v>0.65</v>
      </c>
      <c r="DC206" s="2062">
        <v>0.62</v>
      </c>
      <c r="DD206" s="2062">
        <v>0.63</v>
      </c>
      <c r="DE206" s="2062">
        <v>0.6</v>
      </c>
      <c r="DF206" s="2037">
        <f t="shared" si="125"/>
        <v>103719.06999999999</v>
      </c>
      <c r="DG206" s="2037">
        <f t="shared" si="125"/>
        <v>98932.035999999993</v>
      </c>
      <c r="DH206" s="2037">
        <f t="shared" si="125"/>
        <v>100527.71399999999</v>
      </c>
      <c r="DI206" s="2037">
        <f t="shared" si="125"/>
        <v>95740.68</v>
      </c>
      <c r="DJ206" s="2030" t="e">
        <f>DJ205*2.5</f>
        <v>#REF!</v>
      </c>
      <c r="DK206" s="1973">
        <v>69828.5</v>
      </c>
      <c r="DL206" s="1973">
        <v>69828.5</v>
      </c>
      <c r="DM206" s="1973">
        <v>69828.5</v>
      </c>
      <c r="DO206" s="2023">
        <v>5</v>
      </c>
      <c r="DP206" s="2023">
        <v>469370</v>
      </c>
      <c r="DQ206" s="2023">
        <v>40.952999999999996</v>
      </c>
      <c r="DR206" s="2023">
        <v>0</v>
      </c>
      <c r="DS206" s="2030">
        <v>103719.06999999999</v>
      </c>
      <c r="DT206" s="2030">
        <v>98932.035999999993</v>
      </c>
      <c r="DU206" s="2030">
        <v>100527.71399999999</v>
      </c>
      <c r="DV206" s="2030">
        <v>95740.68</v>
      </c>
      <c r="DW206" s="2030">
        <v>0</v>
      </c>
      <c r="DX206" s="2029">
        <v>0</v>
      </c>
      <c r="DY206" s="2029">
        <v>0</v>
      </c>
      <c r="DZ206" s="2029">
        <v>0</v>
      </c>
      <c r="EA206" s="2030">
        <v>29080</v>
      </c>
      <c r="EB206" s="2029">
        <v>29080</v>
      </c>
      <c r="EC206" s="2029">
        <v>29080</v>
      </c>
      <c r="ED206" s="2029">
        <v>29080</v>
      </c>
      <c r="EE206" s="2039">
        <f t="shared" si="107"/>
        <v>0</v>
      </c>
      <c r="EF206" s="2039">
        <f t="shared" si="107"/>
        <v>0</v>
      </c>
      <c r="EG206" s="2039">
        <f t="shared" si="107"/>
        <v>0</v>
      </c>
      <c r="EH206" s="2039">
        <f t="shared" si="107"/>
        <v>0</v>
      </c>
      <c r="EI206" s="2040">
        <f t="shared" si="103"/>
        <v>0</v>
      </c>
      <c r="EJ206" s="2040">
        <f t="shared" si="103"/>
        <v>0</v>
      </c>
      <c r="EK206" s="2040">
        <f t="shared" si="103"/>
        <v>0</v>
      </c>
      <c r="EL206" s="2040">
        <f t="shared" si="103"/>
        <v>0</v>
      </c>
      <c r="EM206" s="2040">
        <f t="shared" si="103"/>
        <v>0</v>
      </c>
      <c r="EN206" s="2040">
        <f t="shared" si="103"/>
        <v>0</v>
      </c>
      <c r="EO206" s="2040">
        <f t="shared" si="99"/>
        <v>0</v>
      </c>
      <c r="EP206" s="2040">
        <f t="shared" si="99"/>
        <v>0</v>
      </c>
      <c r="EQ206" s="2040">
        <f t="shared" si="99"/>
        <v>0</v>
      </c>
      <c r="ER206" s="2040">
        <f t="shared" si="99"/>
        <v>0</v>
      </c>
      <c r="ES206" s="2040">
        <f t="shared" si="99"/>
        <v>0</v>
      </c>
      <c r="ET206" s="2040">
        <f t="shared" si="99"/>
        <v>0</v>
      </c>
      <c r="EU206" s="2039">
        <f t="shared" si="108"/>
        <v>0</v>
      </c>
      <c r="EV206" s="2039">
        <f t="shared" si="109"/>
        <v>0</v>
      </c>
    </row>
    <row r="207" spans="1:152" x14ac:dyDescent="0.25">
      <c r="A207" s="2041" t="s">
        <v>270</v>
      </c>
      <c r="B207" s="2022" t="s">
        <v>820</v>
      </c>
      <c r="C207" s="2023">
        <v>5</v>
      </c>
      <c r="D207" s="2023">
        <v>0</v>
      </c>
      <c r="E207" s="2023">
        <v>0</v>
      </c>
      <c r="F207" s="2023">
        <v>31960</v>
      </c>
      <c r="G207" s="2023" t="str">
        <f>G208</f>
        <v>RCx</v>
      </c>
      <c r="H207" s="2023" t="str">
        <f>H208</f>
        <v>RCx</v>
      </c>
      <c r="I207" s="2026">
        <v>0.91400000000000003</v>
      </c>
      <c r="J207" s="2026">
        <v>0.91400000000000003</v>
      </c>
      <c r="K207" s="2026">
        <v>0.91400000000000003</v>
      </c>
      <c r="L207" s="2026">
        <v>0.91400000000000003</v>
      </c>
      <c r="M207" s="2027">
        <f t="shared" si="118"/>
        <v>0</v>
      </c>
      <c r="N207" s="2027">
        <f t="shared" si="118"/>
        <v>0</v>
      </c>
      <c r="O207" s="2027">
        <f t="shared" si="118"/>
        <v>0</v>
      </c>
      <c r="P207" s="2027">
        <f>$D207*L207</f>
        <v>0</v>
      </c>
      <c r="Q207" s="2026">
        <v>0.91400000000000003</v>
      </c>
      <c r="R207" s="2026">
        <v>0.91400000000000003</v>
      </c>
      <c r="S207" s="2026">
        <v>0.91400000000000003</v>
      </c>
      <c r="T207" s="2026">
        <v>0.91400000000000003</v>
      </c>
      <c r="U207" s="2028">
        <f t="shared" si="119"/>
        <v>0</v>
      </c>
      <c r="V207" s="2028">
        <f t="shared" si="119"/>
        <v>0</v>
      </c>
      <c r="W207" s="2028">
        <f t="shared" si="119"/>
        <v>0</v>
      </c>
      <c r="X207" s="2028">
        <f>$E207*T207</f>
        <v>0</v>
      </c>
      <c r="Y207" s="2026">
        <v>0.91400000000000003</v>
      </c>
      <c r="Z207" s="2026">
        <v>0.91400000000000003</v>
      </c>
      <c r="AA207" s="2026">
        <v>0.91400000000000003</v>
      </c>
      <c r="AB207" s="2026">
        <v>0.91400000000000003</v>
      </c>
      <c r="AC207" s="2027">
        <f>$F207*Y207</f>
        <v>29211.440000000002</v>
      </c>
      <c r="AD207" s="2027">
        <f t="shared" si="120"/>
        <v>29211.440000000002</v>
      </c>
      <c r="AE207" s="2027">
        <f t="shared" si="120"/>
        <v>29211.440000000002</v>
      </c>
      <c r="AF207" s="2027">
        <f t="shared" si="120"/>
        <v>29211.440000000002</v>
      </c>
      <c r="AG207" s="2084">
        <v>11</v>
      </c>
      <c r="AH207" s="2084">
        <v>9.5</v>
      </c>
      <c r="AI207" s="2084">
        <v>9.6</v>
      </c>
      <c r="AJ207" s="2084">
        <v>9.6</v>
      </c>
      <c r="AK207" s="2027">
        <f t="shared" si="121"/>
        <v>0</v>
      </c>
      <c r="AL207" s="2027">
        <f t="shared" si="121"/>
        <v>0</v>
      </c>
      <c r="AM207" s="2027">
        <f t="shared" si="121"/>
        <v>0</v>
      </c>
      <c r="AN207" s="2027">
        <f>AJ207*P207</f>
        <v>0</v>
      </c>
      <c r="AO207" s="2027">
        <f t="shared" si="122"/>
        <v>321325.84000000003</v>
      </c>
      <c r="AP207" s="2027">
        <f t="shared" si="122"/>
        <v>277508.68000000005</v>
      </c>
      <c r="AQ207" s="2027">
        <f t="shared" si="122"/>
        <v>280429.82400000002</v>
      </c>
      <c r="AR207" s="2027">
        <f>AJ207*AF207</f>
        <v>280429.82400000002</v>
      </c>
      <c r="AS207" s="2030">
        <v>0</v>
      </c>
      <c r="AT207" s="2029">
        <v>0</v>
      </c>
      <c r="AU207" s="2029">
        <v>0</v>
      </c>
      <c r="AV207" s="2029">
        <v>0</v>
      </c>
      <c r="AW207" s="2030">
        <v>45270.679999999993</v>
      </c>
      <c r="AX207" s="2030">
        <v>46587.043999999994</v>
      </c>
      <c r="AY207" s="2030">
        <v>46148.255999999994</v>
      </c>
      <c r="AZ207" s="2030">
        <v>47464.619999999995</v>
      </c>
      <c r="BA207" s="2030">
        <v>67560</v>
      </c>
      <c r="BB207" s="2029">
        <v>67560</v>
      </c>
      <c r="BC207" s="2029">
        <v>67560</v>
      </c>
      <c r="BD207" s="2029">
        <v>67560</v>
      </c>
      <c r="BE207" s="2030">
        <f t="shared" si="123"/>
        <v>0</v>
      </c>
      <c r="BF207" s="2030">
        <f t="shared" si="123"/>
        <v>0</v>
      </c>
      <c r="BG207" s="2030">
        <f t="shared" si="123"/>
        <v>0</v>
      </c>
      <c r="BH207" s="2030">
        <f t="shared" si="123"/>
        <v>0</v>
      </c>
      <c r="BI207" s="2030">
        <f t="shared" si="124"/>
        <v>497977.47999999992</v>
      </c>
      <c r="BJ207" s="2030">
        <f t="shared" si="124"/>
        <v>442576.91799999995</v>
      </c>
      <c r="BK207" s="2030">
        <f t="shared" si="124"/>
        <v>443023.25759999995</v>
      </c>
      <c r="BL207" s="2030">
        <f t="shared" si="124"/>
        <v>455660.35199999996</v>
      </c>
      <c r="BM207" s="2031"/>
      <c r="BN207" s="2031"/>
      <c r="BO207" s="2031"/>
      <c r="BP207" s="2031"/>
      <c r="BQ207" s="2031"/>
      <c r="BR207" s="2031"/>
      <c r="BS207" s="2031"/>
      <c r="BT207" s="2031"/>
      <c r="BU207" s="2029"/>
      <c r="BV207" s="2029"/>
      <c r="BW207" s="2029"/>
      <c r="BX207" s="2029"/>
      <c r="BY207" s="2029"/>
      <c r="BZ207" s="2032"/>
      <c r="CA207" s="1974"/>
      <c r="CB207" s="1974"/>
      <c r="CC207" s="1974"/>
      <c r="CD207" s="1974"/>
      <c r="CE207" s="1974"/>
      <c r="CF207" s="2033">
        <v>0</v>
      </c>
      <c r="CG207" s="2026">
        <v>0.1198803824892674</v>
      </c>
      <c r="CH207" s="2009"/>
      <c r="CK207" s="2029">
        <f>-CI207+CJ207</f>
        <v>0</v>
      </c>
      <c r="CL207" s="2034">
        <v>1</v>
      </c>
      <c r="CP207" s="2035"/>
      <c r="CQ207" s="2036"/>
      <c r="CR207" s="2036"/>
      <c r="CS207" s="2036"/>
      <c r="CT207" s="2036"/>
      <c r="CU207" s="2036"/>
      <c r="CW207" s="1973">
        <v>0</v>
      </c>
      <c r="CX207" s="2037">
        <v>59826.2</v>
      </c>
      <c r="CY207" s="2037">
        <v>59826.2</v>
      </c>
      <c r="CZ207" s="2037">
        <v>59826.2</v>
      </c>
      <c r="DA207" s="2037">
        <v>59826.2</v>
      </c>
      <c r="DJ207" s="1976" t="e">
        <f>#REF!</f>
        <v>#REF!</v>
      </c>
      <c r="DK207" s="1973">
        <v>0</v>
      </c>
      <c r="DL207" s="1973">
        <v>0</v>
      </c>
      <c r="DM207" s="1973">
        <v>0</v>
      </c>
      <c r="DO207" s="2023">
        <v>5</v>
      </c>
      <c r="DP207" s="2023">
        <v>0</v>
      </c>
      <c r="DQ207" s="2023">
        <v>0</v>
      </c>
      <c r="DR207" s="2023">
        <v>31960</v>
      </c>
      <c r="DS207" s="2030">
        <v>0</v>
      </c>
      <c r="DT207" s="2029">
        <v>0</v>
      </c>
      <c r="DU207" s="2029">
        <v>0</v>
      </c>
      <c r="DV207" s="2029">
        <v>0</v>
      </c>
      <c r="DW207" s="2030">
        <v>45270.679999999993</v>
      </c>
      <c r="DX207" s="2030">
        <v>46587.043999999994</v>
      </c>
      <c r="DY207" s="2030">
        <v>46148.255999999994</v>
      </c>
      <c r="DZ207" s="2030">
        <v>47464.619999999995</v>
      </c>
      <c r="EA207" s="2030">
        <v>67560</v>
      </c>
      <c r="EB207" s="2029">
        <v>67560</v>
      </c>
      <c r="EC207" s="2029">
        <v>67560</v>
      </c>
      <c r="ED207" s="2029">
        <v>67560</v>
      </c>
      <c r="EE207" s="2039">
        <f t="shared" si="107"/>
        <v>0</v>
      </c>
      <c r="EF207" s="2039">
        <f t="shared" si="107"/>
        <v>0</v>
      </c>
      <c r="EG207" s="2039">
        <f t="shared" si="107"/>
        <v>0</v>
      </c>
      <c r="EH207" s="2039">
        <f t="shared" si="107"/>
        <v>0</v>
      </c>
      <c r="EI207" s="2040">
        <f t="shared" si="103"/>
        <v>0</v>
      </c>
      <c r="EJ207" s="2040">
        <f t="shared" si="103"/>
        <v>0</v>
      </c>
      <c r="EK207" s="2040">
        <f t="shared" si="103"/>
        <v>0</v>
      </c>
      <c r="EL207" s="2040">
        <f t="shared" si="103"/>
        <v>0</v>
      </c>
      <c r="EM207" s="2040">
        <f t="shared" si="103"/>
        <v>0</v>
      </c>
      <c r="EN207" s="2040">
        <f t="shared" si="103"/>
        <v>0</v>
      </c>
      <c r="EO207" s="2040">
        <f t="shared" si="99"/>
        <v>0</v>
      </c>
      <c r="EP207" s="2040">
        <f t="shared" si="99"/>
        <v>0</v>
      </c>
      <c r="EQ207" s="2040">
        <f t="shared" si="99"/>
        <v>0</v>
      </c>
      <c r="ER207" s="2040">
        <f t="shared" si="99"/>
        <v>0</v>
      </c>
      <c r="ES207" s="2040">
        <f t="shared" si="99"/>
        <v>0</v>
      </c>
      <c r="ET207" s="2040">
        <f t="shared" si="99"/>
        <v>0</v>
      </c>
      <c r="EU207" s="2039">
        <f t="shared" si="108"/>
        <v>0</v>
      </c>
      <c r="EV207" s="2039">
        <f t="shared" si="109"/>
        <v>0</v>
      </c>
    </row>
    <row r="208" spans="1:152" x14ac:dyDescent="0.25">
      <c r="A208" s="2041" t="s">
        <v>2983</v>
      </c>
      <c r="B208" s="2022" t="s">
        <v>820</v>
      </c>
      <c r="C208" s="2023">
        <v>5</v>
      </c>
      <c r="D208" s="2023">
        <v>0</v>
      </c>
      <c r="E208" s="2023">
        <v>0</v>
      </c>
      <c r="F208" s="2023">
        <v>31960</v>
      </c>
      <c r="G208" s="2026" t="s">
        <v>2981</v>
      </c>
      <c r="H208" s="2026" t="s">
        <v>2981</v>
      </c>
      <c r="I208" s="2026">
        <v>0.91400000000000003</v>
      </c>
      <c r="J208" s="2026">
        <v>0.91400000000000003</v>
      </c>
      <c r="K208" s="2026">
        <v>0.91400000000000003</v>
      </c>
      <c r="L208" s="2026">
        <v>0.91400000000000003</v>
      </c>
      <c r="M208" s="2027">
        <f t="shared" si="118"/>
        <v>0</v>
      </c>
      <c r="N208" s="2027">
        <f t="shared" si="118"/>
        <v>0</v>
      </c>
      <c r="O208" s="2027">
        <f t="shared" si="118"/>
        <v>0</v>
      </c>
      <c r="P208" s="2027">
        <f>$D208*L208</f>
        <v>0</v>
      </c>
      <c r="Q208" s="2026">
        <v>0.91400000000000003</v>
      </c>
      <c r="R208" s="2026">
        <v>0.91400000000000003</v>
      </c>
      <c r="S208" s="2026">
        <v>0.91400000000000003</v>
      </c>
      <c r="T208" s="2026">
        <v>0.91400000000000003</v>
      </c>
      <c r="U208" s="2028">
        <f t="shared" si="119"/>
        <v>0</v>
      </c>
      <c r="V208" s="2028">
        <f t="shared" si="119"/>
        <v>0</v>
      </c>
      <c r="W208" s="2028">
        <f t="shared" si="119"/>
        <v>0</v>
      </c>
      <c r="X208" s="2028">
        <f>$E208*T208</f>
        <v>0</v>
      </c>
      <c r="Y208" s="2026">
        <v>0.91400000000000003</v>
      </c>
      <c r="Z208" s="2026">
        <v>0.91400000000000003</v>
      </c>
      <c r="AA208" s="2026">
        <v>0.91400000000000003</v>
      </c>
      <c r="AB208" s="2026">
        <v>0.91400000000000003</v>
      </c>
      <c r="AC208" s="2027">
        <f>$F208*Y208</f>
        <v>29211.440000000002</v>
      </c>
      <c r="AD208" s="2027">
        <f t="shared" si="120"/>
        <v>29211.440000000002</v>
      </c>
      <c r="AE208" s="2027">
        <f t="shared" si="120"/>
        <v>29211.440000000002</v>
      </c>
      <c r="AF208" s="2027">
        <f t="shared" si="120"/>
        <v>29211.440000000002</v>
      </c>
      <c r="AG208" s="2084">
        <v>1.5</v>
      </c>
      <c r="AH208" s="2084">
        <v>1.5</v>
      </c>
      <c r="AI208" s="2084">
        <v>1.5</v>
      </c>
      <c r="AJ208" s="2084">
        <v>1.5</v>
      </c>
      <c r="AK208" s="2027">
        <f t="shared" si="121"/>
        <v>0</v>
      </c>
      <c r="AL208" s="2027">
        <f t="shared" si="121"/>
        <v>0</v>
      </c>
      <c r="AM208" s="2027">
        <f t="shared" si="121"/>
        <v>0</v>
      </c>
      <c r="AN208" s="2027">
        <f>AJ208*P208</f>
        <v>0</v>
      </c>
      <c r="AO208" s="2027">
        <f t="shared" si="122"/>
        <v>43817.16</v>
      </c>
      <c r="AP208" s="2027">
        <f t="shared" si="122"/>
        <v>43817.16</v>
      </c>
      <c r="AQ208" s="2027">
        <f t="shared" si="122"/>
        <v>43817.16</v>
      </c>
      <c r="AR208" s="2027">
        <f>AJ208*AF208</f>
        <v>43817.16</v>
      </c>
      <c r="AS208" s="2030">
        <v>0</v>
      </c>
      <c r="AT208" s="2029">
        <v>0</v>
      </c>
      <c r="AU208" s="2029">
        <v>0</v>
      </c>
      <c r="AV208" s="2029">
        <v>0</v>
      </c>
      <c r="AW208" s="2030">
        <v>55848.729999999996</v>
      </c>
      <c r="AX208" s="2030">
        <v>60635.763999999996</v>
      </c>
      <c r="AY208" s="2030">
        <v>59040.085999999996</v>
      </c>
      <c r="AZ208" s="2030">
        <v>63827.119999999995</v>
      </c>
      <c r="BA208" s="2030">
        <v>67560</v>
      </c>
      <c r="BB208" s="2029">
        <v>67560</v>
      </c>
      <c r="BC208" s="2029">
        <v>67560</v>
      </c>
      <c r="BD208" s="2029">
        <v>67560</v>
      </c>
      <c r="BE208" s="2030">
        <f t="shared" si="123"/>
        <v>0</v>
      </c>
      <c r="BF208" s="2030">
        <f t="shared" si="123"/>
        <v>0</v>
      </c>
      <c r="BG208" s="2030">
        <f t="shared" si="123"/>
        <v>0</v>
      </c>
      <c r="BH208" s="2030">
        <f t="shared" si="123"/>
        <v>0</v>
      </c>
      <c r="BI208" s="2030">
        <f t="shared" si="124"/>
        <v>83773.095000000001</v>
      </c>
      <c r="BJ208" s="2030">
        <f t="shared" si="124"/>
        <v>90953.645999999993</v>
      </c>
      <c r="BK208" s="2030">
        <f t="shared" si="124"/>
        <v>88560.128999999986</v>
      </c>
      <c r="BL208" s="2030">
        <f t="shared" si="124"/>
        <v>95740.68</v>
      </c>
      <c r="BM208" s="2031"/>
      <c r="BN208" s="2031"/>
      <c r="BO208" s="2031"/>
      <c r="BP208" s="2031"/>
      <c r="BQ208" s="2031"/>
      <c r="BR208" s="2031"/>
      <c r="BS208" s="2031"/>
      <c r="BT208" s="2031"/>
      <c r="BU208" s="2029"/>
      <c r="BV208" s="2029"/>
      <c r="BW208" s="2029"/>
      <c r="BX208" s="2029"/>
      <c r="BY208" s="2029"/>
      <c r="BZ208" s="2032"/>
      <c r="CA208" s="1974"/>
      <c r="CB208" s="1974"/>
      <c r="CC208" s="1974"/>
      <c r="CD208" s="1974"/>
      <c r="CE208" s="1974"/>
      <c r="CF208" s="2033">
        <v>0</v>
      </c>
      <c r="CG208" s="2026">
        <v>1.6347324884900098E-2</v>
      </c>
      <c r="CH208" s="2009"/>
      <c r="CK208" s="2029">
        <f t="shared" si="106"/>
        <v>0</v>
      </c>
      <c r="CL208" s="2034">
        <v>1</v>
      </c>
      <c r="CP208" s="2035"/>
      <c r="CQ208" s="2036"/>
      <c r="CR208" s="2036"/>
      <c r="CS208" s="2036"/>
      <c r="CT208" s="2036"/>
      <c r="CU208" s="2036"/>
      <c r="CW208" s="1973">
        <v>0</v>
      </c>
      <c r="CX208" s="2037">
        <v>89739.299999999988</v>
      </c>
      <c r="CY208" s="2037">
        <v>89739.299999999988</v>
      </c>
      <c r="CZ208" s="2037">
        <v>89739.299999999988</v>
      </c>
      <c r="DA208" s="2037">
        <v>89739.299999999988</v>
      </c>
      <c r="DJ208" s="2030" t="e">
        <f>DJ207*1.5</f>
        <v>#REF!</v>
      </c>
      <c r="DK208" s="1973">
        <v>0</v>
      </c>
      <c r="DL208" s="1973">
        <v>0</v>
      </c>
      <c r="DM208" s="1973">
        <v>0</v>
      </c>
      <c r="DO208" s="2023">
        <v>5</v>
      </c>
      <c r="DP208" s="2023">
        <v>0</v>
      </c>
      <c r="DQ208" s="2023">
        <v>0</v>
      </c>
      <c r="DR208" s="2023">
        <v>31960</v>
      </c>
      <c r="DS208" s="2030">
        <v>0</v>
      </c>
      <c r="DT208" s="2029">
        <v>0</v>
      </c>
      <c r="DU208" s="2029">
        <v>0</v>
      </c>
      <c r="DV208" s="2029">
        <v>0</v>
      </c>
      <c r="DW208" s="2030">
        <v>55848.729999999996</v>
      </c>
      <c r="DX208" s="2030">
        <v>60635.763999999996</v>
      </c>
      <c r="DY208" s="2030">
        <v>59040.085999999996</v>
      </c>
      <c r="DZ208" s="2030">
        <v>63827.119999999995</v>
      </c>
      <c r="EA208" s="2030">
        <v>67560</v>
      </c>
      <c r="EB208" s="2029">
        <v>67560</v>
      </c>
      <c r="EC208" s="2029">
        <v>67560</v>
      </c>
      <c r="ED208" s="2029">
        <v>67560</v>
      </c>
      <c r="EE208" s="2039">
        <f t="shared" si="107"/>
        <v>0</v>
      </c>
      <c r="EF208" s="2039">
        <f t="shared" si="107"/>
        <v>0</v>
      </c>
      <c r="EG208" s="2039">
        <f t="shared" si="107"/>
        <v>0</v>
      </c>
      <c r="EH208" s="2039">
        <f t="shared" si="107"/>
        <v>0</v>
      </c>
      <c r="EI208" s="2040">
        <f t="shared" si="103"/>
        <v>0</v>
      </c>
      <c r="EJ208" s="2040">
        <f t="shared" si="103"/>
        <v>0</v>
      </c>
      <c r="EK208" s="2040">
        <f t="shared" si="103"/>
        <v>0</v>
      </c>
      <c r="EL208" s="2040">
        <f t="shared" si="103"/>
        <v>0</v>
      </c>
      <c r="EM208" s="2040">
        <f t="shared" si="103"/>
        <v>0</v>
      </c>
      <c r="EN208" s="2040">
        <f t="shared" si="103"/>
        <v>0</v>
      </c>
      <c r="EO208" s="2040">
        <f t="shared" si="99"/>
        <v>0</v>
      </c>
      <c r="EP208" s="2040">
        <f t="shared" si="99"/>
        <v>0</v>
      </c>
      <c r="EQ208" s="2040">
        <f t="shared" si="99"/>
        <v>0</v>
      </c>
      <c r="ER208" s="2040">
        <f t="shared" si="99"/>
        <v>0</v>
      </c>
      <c r="ES208" s="2040">
        <f t="shared" si="99"/>
        <v>0</v>
      </c>
      <c r="ET208" s="2040">
        <f t="shared" si="99"/>
        <v>0</v>
      </c>
      <c r="EU208" s="2039">
        <f t="shared" si="108"/>
        <v>0</v>
      </c>
      <c r="EV208" s="2039">
        <f t="shared" si="109"/>
        <v>0</v>
      </c>
    </row>
    <row r="209" spans="1:152" x14ac:dyDescent="0.25">
      <c r="A209" s="2086" t="s">
        <v>2984</v>
      </c>
      <c r="B209" s="2012"/>
      <c r="C209" s="2013"/>
      <c r="D209" s="2013"/>
      <c r="E209" s="2014"/>
      <c r="F209" s="2013"/>
      <c r="G209" s="2015"/>
      <c r="H209" s="2015"/>
      <c r="I209" s="2015"/>
      <c r="J209" s="2015"/>
      <c r="K209" s="2015"/>
      <c r="L209" s="2015"/>
      <c r="M209" s="2015"/>
      <c r="N209" s="2015"/>
      <c r="O209" s="2015"/>
      <c r="P209" s="2015"/>
      <c r="Q209" s="2015"/>
      <c r="R209" s="2015"/>
      <c r="S209" s="2015"/>
      <c r="T209" s="2015"/>
      <c r="U209" s="2015"/>
      <c r="V209" s="2015"/>
      <c r="W209" s="2015"/>
      <c r="X209" s="2015"/>
      <c r="Y209" s="2015"/>
      <c r="Z209" s="2015"/>
      <c r="AA209" s="2015"/>
      <c r="AB209" s="2015"/>
      <c r="AC209" s="2015"/>
      <c r="AD209" s="2015"/>
      <c r="AE209" s="2015"/>
      <c r="AF209" s="2015"/>
      <c r="AG209" s="2015"/>
      <c r="AH209" s="2015"/>
      <c r="AI209" s="2015"/>
      <c r="AJ209" s="2015"/>
      <c r="AK209" s="2087"/>
      <c r="AL209" s="2087"/>
      <c r="AM209" s="2087"/>
      <c r="AN209" s="2087"/>
      <c r="AO209" s="2087"/>
      <c r="AP209" s="2087"/>
      <c r="AQ209" s="2087"/>
      <c r="AR209" s="2087"/>
      <c r="AS209" s="2076"/>
      <c r="AT209" s="2076"/>
      <c r="AU209" s="2076"/>
      <c r="AV209" s="2076"/>
      <c r="AW209" s="2076"/>
      <c r="AX209" s="2076"/>
      <c r="AY209" s="2076"/>
      <c r="AZ209" s="2076"/>
      <c r="BA209" s="2076"/>
      <c r="BB209" s="2076"/>
      <c r="BC209" s="2076"/>
      <c r="BD209" s="2076"/>
      <c r="BE209" s="2076"/>
      <c r="BF209" s="2076"/>
      <c r="BG209" s="2076"/>
      <c r="BH209" s="2076"/>
      <c r="BI209" s="2076"/>
      <c r="BJ209" s="2076"/>
      <c r="BK209" s="2076"/>
      <c r="BL209" s="2076"/>
      <c r="BM209" s="2076"/>
      <c r="BN209" s="2076"/>
      <c r="BO209" s="2076"/>
      <c r="BP209" s="2076"/>
      <c r="BQ209" s="2076"/>
      <c r="BR209" s="2076"/>
      <c r="BS209" s="2079"/>
      <c r="BT209" s="2079"/>
      <c r="BU209" s="2029"/>
      <c r="BV209" s="2029"/>
      <c r="BW209" s="2029"/>
      <c r="BX209" s="2029"/>
      <c r="BY209" s="2029"/>
      <c r="BZ209" s="2032"/>
      <c r="CA209" s="1974"/>
      <c r="CB209" s="1974"/>
      <c r="CC209" s="1974"/>
      <c r="CD209" s="1974"/>
      <c r="CE209" s="1974"/>
      <c r="CF209" s="2033"/>
      <c r="CG209" s="2026"/>
      <c r="CH209" s="2009"/>
      <c r="CK209" s="2029">
        <f t="shared" si="106"/>
        <v>0</v>
      </c>
      <c r="CL209" s="2034">
        <v>1</v>
      </c>
      <c r="CW209" s="1973">
        <v>0</v>
      </c>
      <c r="DO209" s="2013"/>
      <c r="DP209" s="2013"/>
      <c r="DQ209" s="2014"/>
      <c r="DR209" s="2013"/>
      <c r="DS209" s="2076"/>
      <c r="DT209" s="2076"/>
      <c r="DU209" s="2076"/>
      <c r="DV209" s="2076"/>
      <c r="DW209" s="2076"/>
      <c r="DX209" s="2076"/>
      <c r="DY209" s="2076"/>
      <c r="DZ209" s="2076"/>
      <c r="EA209" s="2076"/>
      <c r="EB209" s="2076"/>
      <c r="EC209" s="2076"/>
      <c r="ED209" s="2076"/>
      <c r="EE209" s="2039">
        <f t="shared" si="107"/>
        <v>0</v>
      </c>
      <c r="EF209" s="2039">
        <f t="shared" si="107"/>
        <v>0</v>
      </c>
      <c r="EG209" s="2039">
        <f t="shared" si="107"/>
        <v>0</v>
      </c>
      <c r="EH209" s="2039">
        <f t="shared" si="107"/>
        <v>0</v>
      </c>
      <c r="EI209" s="2040">
        <f t="shared" si="103"/>
        <v>0</v>
      </c>
      <c r="EJ209" s="2040">
        <f t="shared" si="103"/>
        <v>0</v>
      </c>
      <c r="EK209" s="2040">
        <f t="shared" si="103"/>
        <v>0</v>
      </c>
      <c r="EL209" s="2040">
        <f t="shared" si="103"/>
        <v>0</v>
      </c>
      <c r="EM209" s="2040">
        <f t="shared" si="103"/>
        <v>0</v>
      </c>
      <c r="EN209" s="2040">
        <f t="shared" si="103"/>
        <v>0</v>
      </c>
      <c r="EO209" s="2040">
        <f t="shared" si="99"/>
        <v>0</v>
      </c>
      <c r="EP209" s="2040">
        <f t="shared" si="99"/>
        <v>0</v>
      </c>
      <c r="EQ209" s="2040">
        <f t="shared" si="99"/>
        <v>0</v>
      </c>
      <c r="ER209" s="2040">
        <f t="shared" si="99"/>
        <v>0</v>
      </c>
      <c r="ES209" s="2040">
        <f t="shared" si="99"/>
        <v>0</v>
      </c>
      <c r="ET209" s="2040">
        <f t="shared" si="99"/>
        <v>0</v>
      </c>
      <c r="EU209" s="2039">
        <f t="shared" si="108"/>
        <v>0</v>
      </c>
      <c r="EV209" s="2039">
        <f t="shared" si="109"/>
        <v>0</v>
      </c>
    </row>
    <row r="210" spans="1:152" x14ac:dyDescent="0.25">
      <c r="A210" s="2088" t="s">
        <v>2985</v>
      </c>
      <c r="B210" s="2022"/>
      <c r="C210" s="2023"/>
      <c r="D210" s="2023"/>
      <c r="E210" s="2023"/>
      <c r="F210" s="2023"/>
      <c r="G210" s="2026"/>
      <c r="H210" s="2026"/>
      <c r="I210" s="2026"/>
      <c r="J210" s="2026"/>
      <c r="K210" s="2026"/>
      <c r="L210" s="2026"/>
      <c r="M210" s="2027"/>
      <c r="N210" s="2027"/>
      <c r="O210" s="2027"/>
      <c r="P210" s="2027"/>
      <c r="Q210" s="2026"/>
      <c r="R210" s="2026"/>
      <c r="S210" s="2026"/>
      <c r="T210" s="2026"/>
      <c r="U210" s="2028"/>
      <c r="V210" s="2028"/>
      <c r="W210" s="2028"/>
      <c r="X210" s="2028"/>
      <c r="Y210" s="2026"/>
      <c r="Z210" s="2026"/>
      <c r="AA210" s="2026"/>
      <c r="AB210" s="2026"/>
      <c r="AC210" s="2027"/>
      <c r="AD210" s="2027"/>
      <c r="AE210" s="2027"/>
      <c r="AF210" s="2027"/>
      <c r="AG210" s="2027"/>
      <c r="AH210" s="2027"/>
      <c r="AI210" s="2027"/>
      <c r="AJ210" s="2027"/>
      <c r="AK210" s="2027"/>
      <c r="AL210" s="2027"/>
      <c r="AM210" s="2027"/>
      <c r="AN210" s="2027"/>
      <c r="AO210" s="2027"/>
      <c r="AP210" s="2027"/>
      <c r="AQ210" s="2027"/>
      <c r="AR210" s="2027"/>
      <c r="AS210" s="1974"/>
      <c r="AT210" s="1974"/>
      <c r="AU210" s="1974"/>
      <c r="AV210" s="1974"/>
      <c r="AW210" s="1974"/>
      <c r="AX210" s="1974"/>
      <c r="AY210" s="1974"/>
      <c r="AZ210" s="1974"/>
      <c r="BA210" s="1974"/>
      <c r="BB210" s="1974"/>
      <c r="BC210" s="1974"/>
      <c r="BD210" s="1974"/>
      <c r="BE210" s="1974"/>
      <c r="BF210" s="1974"/>
      <c r="BG210" s="1974"/>
      <c r="BH210" s="1974"/>
      <c r="BI210" s="1974"/>
      <c r="BJ210" s="1974"/>
      <c r="BK210" s="1974"/>
      <c r="BL210" s="1974"/>
      <c r="BM210" s="1974"/>
      <c r="BN210" s="1974"/>
      <c r="BO210" s="1974"/>
      <c r="BP210" s="1974"/>
      <c r="BQ210" s="1974"/>
      <c r="BR210" s="1974"/>
      <c r="BS210" s="2009"/>
      <c r="BT210" s="2009"/>
      <c r="BU210" s="2029"/>
      <c r="BV210" s="2029"/>
      <c r="BW210" s="2029"/>
      <c r="BX210" s="2029"/>
      <c r="BY210" s="2029"/>
      <c r="BZ210" s="2032"/>
      <c r="CA210" s="1974"/>
      <c r="CB210" s="1974"/>
      <c r="CC210" s="1974"/>
      <c r="CD210" s="1974"/>
      <c r="CE210" s="1974"/>
      <c r="CF210" s="2033"/>
      <c r="CG210" s="2026"/>
      <c r="CH210" s="2009"/>
      <c r="CK210" s="2029">
        <f t="shared" si="106"/>
        <v>0</v>
      </c>
      <c r="CL210" s="2034">
        <v>1</v>
      </c>
      <c r="CW210" s="1973">
        <v>0</v>
      </c>
      <c r="DO210" s="2023"/>
      <c r="DP210" s="2023"/>
      <c r="DQ210" s="2023"/>
      <c r="DR210" s="2023"/>
      <c r="DS210" s="1974"/>
      <c r="DT210" s="1974"/>
      <c r="DU210" s="1974"/>
      <c r="DV210" s="1974"/>
      <c r="DW210" s="1974"/>
      <c r="DX210" s="1974"/>
      <c r="DY210" s="1974"/>
      <c r="DZ210" s="1974"/>
      <c r="EA210" s="1974"/>
      <c r="EB210" s="1974"/>
      <c r="EC210" s="1974"/>
      <c r="ED210" s="1974"/>
      <c r="EE210" s="2039">
        <f t="shared" si="107"/>
        <v>0</v>
      </c>
      <c r="EF210" s="2039">
        <f t="shared" si="107"/>
        <v>0</v>
      </c>
      <c r="EG210" s="2039">
        <f t="shared" si="107"/>
        <v>0</v>
      </c>
      <c r="EH210" s="2039">
        <f t="shared" si="107"/>
        <v>0</v>
      </c>
      <c r="EI210" s="2040">
        <f t="shared" si="103"/>
        <v>0</v>
      </c>
      <c r="EJ210" s="2040">
        <f t="shared" si="103"/>
        <v>0</v>
      </c>
      <c r="EK210" s="2040">
        <f t="shared" si="103"/>
        <v>0</v>
      </c>
      <c r="EL210" s="2040">
        <f t="shared" si="103"/>
        <v>0</v>
      </c>
      <c r="EM210" s="2040">
        <f t="shared" si="103"/>
        <v>0</v>
      </c>
      <c r="EN210" s="2040">
        <f t="shared" si="103"/>
        <v>0</v>
      </c>
      <c r="EO210" s="2040">
        <f t="shared" si="99"/>
        <v>0</v>
      </c>
      <c r="EP210" s="2040">
        <f t="shared" si="99"/>
        <v>0</v>
      </c>
      <c r="EQ210" s="2040">
        <f t="shared" si="99"/>
        <v>0</v>
      </c>
      <c r="ER210" s="2040">
        <f t="shared" si="99"/>
        <v>0</v>
      </c>
      <c r="ES210" s="2040">
        <f t="shared" si="99"/>
        <v>0</v>
      </c>
      <c r="ET210" s="2040">
        <f t="shared" si="99"/>
        <v>0</v>
      </c>
      <c r="EU210" s="2039">
        <f t="shared" si="108"/>
        <v>0</v>
      </c>
      <c r="EV210" s="2039">
        <f t="shared" si="109"/>
        <v>0</v>
      </c>
    </row>
    <row r="211" spans="1:152" x14ac:dyDescent="0.25">
      <c r="A211" s="2089"/>
      <c r="B211" s="2076"/>
      <c r="C211" s="2090"/>
      <c r="D211" s="2090"/>
      <c r="E211" s="2091"/>
      <c r="F211" s="2090"/>
      <c r="G211" s="2078"/>
      <c r="H211" s="2078"/>
      <c r="I211" s="2078"/>
      <c r="J211" s="2078"/>
      <c r="K211" s="2078"/>
      <c r="L211" s="2078"/>
      <c r="M211" s="2090"/>
      <c r="N211" s="2090"/>
      <c r="O211" s="2090"/>
      <c r="P211" s="2090"/>
      <c r="Q211" s="2078"/>
      <c r="R211" s="2078"/>
      <c r="S211" s="2078"/>
      <c r="T211" s="2078"/>
      <c r="U211" s="2091"/>
      <c r="V211" s="2091"/>
      <c r="W211" s="2091"/>
      <c r="X211" s="2091"/>
      <c r="Y211" s="2078"/>
      <c r="Z211" s="2078"/>
      <c r="AA211" s="2078"/>
      <c r="AB211" s="2078"/>
      <c r="AC211" s="2090"/>
      <c r="AD211" s="2091"/>
      <c r="AE211" s="2091"/>
      <c r="AF211" s="2091"/>
      <c r="AG211" s="2090"/>
      <c r="AH211" s="2091"/>
      <c r="AI211" s="2091"/>
      <c r="AJ211" s="2091"/>
      <c r="AK211" s="2090"/>
      <c r="AL211" s="2091"/>
      <c r="AM211" s="2091"/>
      <c r="AN211" s="2091"/>
      <c r="AO211" s="2090"/>
      <c r="AP211" s="2091"/>
      <c r="AQ211" s="2091"/>
      <c r="AR211" s="2091"/>
      <c r="AS211" s="2076"/>
      <c r="AT211" s="2076"/>
      <c r="AU211" s="2076"/>
      <c r="AV211" s="2076"/>
      <c r="AW211" s="2076"/>
      <c r="AX211" s="2076"/>
      <c r="AY211" s="2076"/>
      <c r="AZ211" s="2076"/>
      <c r="BA211" s="2076"/>
      <c r="BB211" s="2076"/>
      <c r="BC211" s="2076"/>
      <c r="BD211" s="2076"/>
      <c r="BE211" s="2076"/>
      <c r="BF211" s="2076"/>
      <c r="BG211" s="2076"/>
      <c r="BH211" s="2076"/>
      <c r="BI211" s="2076"/>
      <c r="BJ211" s="2076"/>
      <c r="BK211" s="2076"/>
      <c r="BL211" s="2076"/>
      <c r="BM211" s="2076"/>
      <c r="BN211" s="2076"/>
      <c r="BO211" s="2076"/>
      <c r="BP211" s="2076"/>
      <c r="BQ211" s="2076"/>
      <c r="BR211" s="2076"/>
      <c r="BS211" s="2079"/>
      <c r="BT211" s="2079"/>
      <c r="BU211" s="2029"/>
      <c r="BV211" s="2029"/>
      <c r="BW211" s="2029"/>
      <c r="BX211" s="2029"/>
      <c r="BY211" s="2029"/>
      <c r="BZ211" s="2032"/>
      <c r="CA211" s="1974"/>
      <c r="CB211" s="1974"/>
      <c r="CC211" s="1974"/>
      <c r="CD211" s="1974"/>
      <c r="CE211" s="1974"/>
      <c r="CF211" s="2033"/>
      <c r="CG211" s="2026"/>
      <c r="CH211" s="2009"/>
      <c r="CK211" s="2029">
        <f t="shared" si="106"/>
        <v>0</v>
      </c>
      <c r="CL211" s="2034">
        <v>1</v>
      </c>
      <c r="DO211" s="2090"/>
      <c r="DP211" s="2090"/>
      <c r="DQ211" s="2091"/>
      <c r="DR211" s="2090"/>
      <c r="DS211" s="2076"/>
      <c r="DT211" s="2076"/>
      <c r="DU211" s="2076"/>
      <c r="DV211" s="2076"/>
      <c r="DW211" s="2076"/>
      <c r="DX211" s="2076"/>
      <c r="DY211" s="2076"/>
      <c r="DZ211" s="2076"/>
      <c r="EA211" s="2076"/>
      <c r="EB211" s="2076"/>
      <c r="EC211" s="2076"/>
      <c r="ED211" s="2076"/>
      <c r="EE211" s="2039">
        <f t="shared" si="107"/>
        <v>0</v>
      </c>
      <c r="EF211" s="2039">
        <f t="shared" si="107"/>
        <v>0</v>
      </c>
      <c r="EG211" s="2039">
        <f t="shared" si="107"/>
        <v>0</v>
      </c>
      <c r="EH211" s="2039">
        <f t="shared" si="107"/>
        <v>0</v>
      </c>
      <c r="EI211" s="2040">
        <f t="shared" si="103"/>
        <v>0</v>
      </c>
      <c r="EJ211" s="2040">
        <f t="shared" si="103"/>
        <v>0</v>
      </c>
      <c r="EK211" s="2040">
        <f t="shared" si="103"/>
        <v>0</v>
      </c>
      <c r="EL211" s="2040">
        <f t="shared" si="103"/>
        <v>0</v>
      </c>
      <c r="EM211" s="2040">
        <f t="shared" si="103"/>
        <v>0</v>
      </c>
      <c r="EN211" s="2040">
        <f t="shared" si="103"/>
        <v>0</v>
      </c>
      <c r="EO211" s="2040">
        <f t="shared" si="99"/>
        <v>0</v>
      </c>
      <c r="EP211" s="2040">
        <f t="shared" si="99"/>
        <v>0</v>
      </c>
      <c r="EQ211" s="2040">
        <f t="shared" si="99"/>
        <v>0</v>
      </c>
      <c r="ER211" s="2040">
        <f t="shared" si="99"/>
        <v>0</v>
      </c>
      <c r="ES211" s="2040">
        <f t="shared" si="99"/>
        <v>0</v>
      </c>
      <c r="ET211" s="2040">
        <f t="shared" si="99"/>
        <v>0</v>
      </c>
      <c r="EU211" s="2039">
        <f t="shared" si="108"/>
        <v>0</v>
      </c>
      <c r="EV211" s="2039">
        <f t="shared" si="109"/>
        <v>0</v>
      </c>
    </row>
    <row r="212" spans="1:152" x14ac:dyDescent="0.25">
      <c r="A212" s="2092"/>
      <c r="B212" s="2093"/>
      <c r="C212" s="2094"/>
      <c r="D212" s="2094"/>
      <c r="E212" s="2095"/>
      <c r="F212" s="2094"/>
      <c r="G212" s="2096"/>
      <c r="H212" s="2096"/>
      <c r="I212" s="2096"/>
      <c r="J212" s="2096"/>
      <c r="K212" s="2096"/>
      <c r="L212" s="2096"/>
      <c r="M212" s="2094"/>
      <c r="N212" s="2094"/>
      <c r="O212" s="2094"/>
      <c r="P212" s="2094"/>
      <c r="Q212" s="2096"/>
      <c r="R212" s="2096"/>
      <c r="S212" s="2096"/>
      <c r="T212" s="2096"/>
      <c r="U212" s="2095"/>
      <c r="V212" s="2095"/>
      <c r="W212" s="2095"/>
      <c r="X212" s="2095"/>
      <c r="Y212" s="2096"/>
      <c r="Z212" s="2096"/>
      <c r="AA212" s="2096"/>
      <c r="AB212" s="2096"/>
      <c r="AC212" s="2094"/>
      <c r="AD212" s="2095"/>
      <c r="AE212" s="2095"/>
      <c r="AF212" s="2095"/>
      <c r="AG212" s="2094"/>
      <c r="AH212" s="2095"/>
      <c r="AI212" s="2095"/>
      <c r="AJ212" s="2095"/>
      <c r="AK212" s="2094"/>
      <c r="AL212" s="2095"/>
      <c r="AM212" s="2095"/>
      <c r="AN212" s="2095"/>
      <c r="AO212" s="2094"/>
      <c r="AP212" s="2095"/>
      <c r="AQ212" s="2095"/>
      <c r="AR212" s="2095"/>
      <c r="AS212" s="1974"/>
      <c r="AT212" s="1974"/>
      <c r="AU212" s="1974"/>
      <c r="AV212" s="1974"/>
      <c r="AW212" s="1974"/>
      <c r="AX212" s="1974"/>
      <c r="AY212" s="1974"/>
      <c r="AZ212" s="1974"/>
      <c r="BA212" s="1974"/>
      <c r="BB212" s="1974"/>
      <c r="BC212" s="1974"/>
      <c r="BD212" s="1974"/>
      <c r="BE212" s="1974"/>
      <c r="BF212" s="1974"/>
      <c r="BG212" s="1974"/>
      <c r="BH212" s="1974"/>
      <c r="BI212" s="1974"/>
      <c r="BJ212" s="1974"/>
      <c r="BK212" s="1974"/>
      <c r="BL212" s="1974"/>
      <c r="BM212" s="1974"/>
      <c r="BN212" s="1974"/>
      <c r="BO212" s="1974"/>
      <c r="BP212" s="1974"/>
      <c r="BQ212" s="1974"/>
      <c r="BR212" s="1974"/>
      <c r="BS212" s="2009"/>
      <c r="BT212" s="2009"/>
      <c r="BU212" s="2029"/>
      <c r="BV212" s="2029"/>
      <c r="BW212" s="2029"/>
      <c r="BX212" s="2029"/>
      <c r="BY212" s="2029"/>
      <c r="BZ212" s="2032"/>
      <c r="CA212" s="1974"/>
      <c r="CB212" s="1974"/>
      <c r="CC212" s="1974"/>
      <c r="CD212" s="1974"/>
      <c r="CE212" s="1974"/>
      <c r="CF212" s="2033"/>
      <c r="CG212" s="2026"/>
      <c r="CH212" s="2009"/>
      <c r="CK212" s="2029"/>
      <c r="CL212" s="2034"/>
      <c r="DO212" s="2094"/>
      <c r="DP212" s="2094"/>
      <c r="DQ212" s="2095"/>
      <c r="DR212" s="2094"/>
      <c r="DS212" s="1974"/>
      <c r="DT212" s="1974"/>
      <c r="DU212" s="1974"/>
      <c r="DV212" s="1974"/>
      <c r="DW212" s="1974"/>
      <c r="DX212" s="1974"/>
      <c r="DY212" s="1974"/>
      <c r="DZ212" s="1974"/>
      <c r="EA212" s="1974"/>
      <c r="EB212" s="1974"/>
      <c r="EC212" s="1974"/>
      <c r="ED212" s="1974"/>
      <c r="EE212" s="2039">
        <f t="shared" si="107"/>
        <v>0</v>
      </c>
      <c r="EF212" s="2039">
        <f t="shared" si="107"/>
        <v>0</v>
      </c>
      <c r="EG212" s="2039">
        <f t="shared" si="107"/>
        <v>0</v>
      </c>
      <c r="EH212" s="2039">
        <f t="shared" si="107"/>
        <v>0</v>
      </c>
      <c r="EI212" s="2040">
        <f t="shared" si="103"/>
        <v>0</v>
      </c>
      <c r="EJ212" s="2040">
        <f t="shared" si="103"/>
        <v>0</v>
      </c>
      <c r="EK212" s="2040">
        <f t="shared" si="103"/>
        <v>0</v>
      </c>
      <c r="EL212" s="2040">
        <f t="shared" si="103"/>
        <v>0</v>
      </c>
      <c r="EM212" s="2040">
        <f t="shared" si="103"/>
        <v>0</v>
      </c>
      <c r="EN212" s="2040">
        <f t="shared" si="103"/>
        <v>0</v>
      </c>
      <c r="EO212" s="2040">
        <f t="shared" si="99"/>
        <v>0</v>
      </c>
      <c r="EP212" s="2040">
        <f t="shared" si="99"/>
        <v>0</v>
      </c>
      <c r="EQ212" s="2040">
        <f t="shared" si="99"/>
        <v>0</v>
      </c>
      <c r="ER212" s="2040">
        <f t="shared" si="99"/>
        <v>0</v>
      </c>
      <c r="ES212" s="2040">
        <f t="shared" si="99"/>
        <v>0</v>
      </c>
      <c r="ET212" s="2040">
        <f t="shared" si="99"/>
        <v>0</v>
      </c>
      <c r="EU212" s="2039">
        <f t="shared" si="108"/>
        <v>0</v>
      </c>
      <c r="EV212" s="2039">
        <f t="shared" si="109"/>
        <v>0</v>
      </c>
    </row>
    <row r="213" spans="1:152" x14ac:dyDescent="0.25">
      <c r="A213" s="2097"/>
      <c r="B213" s="2093"/>
      <c r="C213" s="2094"/>
      <c r="D213" s="2094"/>
      <c r="E213" s="2095"/>
      <c r="F213" s="2094"/>
      <c r="G213" s="2096"/>
      <c r="H213" s="2096"/>
      <c r="I213" s="2096"/>
      <c r="J213" s="2096"/>
      <c r="K213" s="2096"/>
      <c r="L213" s="2096"/>
      <c r="M213" s="2094"/>
      <c r="N213" s="2094"/>
      <c r="O213" s="2094"/>
      <c r="P213" s="2094"/>
      <c r="Q213" s="2096"/>
      <c r="R213" s="2096"/>
      <c r="S213" s="2096"/>
      <c r="T213" s="2096"/>
      <c r="U213" s="2095"/>
      <c r="V213" s="2095"/>
      <c r="W213" s="2095"/>
      <c r="X213" s="2095"/>
      <c r="Y213" s="2096"/>
      <c r="Z213" s="2096"/>
      <c r="AA213" s="2096"/>
      <c r="AB213" s="2096"/>
      <c r="AC213" s="2094"/>
      <c r="AD213" s="2095"/>
      <c r="AE213" s="2095"/>
      <c r="AF213" s="2095"/>
      <c r="AG213" s="2094"/>
      <c r="AH213" s="2095"/>
      <c r="AI213" s="2095"/>
      <c r="AJ213" s="2095"/>
      <c r="AK213" s="2094"/>
      <c r="AL213" s="2095"/>
      <c r="AM213" s="2095"/>
      <c r="AN213" s="2095"/>
      <c r="AO213" s="2094"/>
      <c r="AP213" s="2095"/>
      <c r="AQ213" s="2095"/>
      <c r="AR213" s="2095"/>
      <c r="AS213" s="1974"/>
      <c r="AT213" s="1974"/>
      <c r="AU213" s="1974"/>
      <c r="AV213" s="1974"/>
      <c r="AW213" s="1974"/>
      <c r="AX213" s="1974"/>
      <c r="AY213" s="1974"/>
      <c r="AZ213" s="1974"/>
      <c r="BA213" s="1974"/>
      <c r="BB213" s="1974"/>
      <c r="BC213" s="1974"/>
      <c r="BD213" s="1974"/>
      <c r="BE213" s="1974"/>
      <c r="BF213" s="1974"/>
      <c r="BG213" s="1974"/>
      <c r="BH213" s="1974"/>
      <c r="BI213" s="1974"/>
      <c r="BJ213" s="1974"/>
      <c r="BK213" s="1974"/>
      <c r="BL213" s="1974"/>
      <c r="BM213" s="1974"/>
      <c r="BN213" s="1974"/>
      <c r="BO213" s="1974"/>
      <c r="BP213" s="1974"/>
      <c r="BQ213" s="1974"/>
      <c r="BR213" s="1974"/>
      <c r="BS213" s="2009"/>
      <c r="BT213" s="2009"/>
      <c r="BU213" s="2029"/>
      <c r="BV213" s="2029"/>
      <c r="BW213" s="2029"/>
      <c r="BX213" s="2029"/>
      <c r="BY213" s="2029"/>
      <c r="BZ213" s="2032"/>
      <c r="CA213" s="1974"/>
      <c r="CB213" s="1974"/>
      <c r="CC213" s="1974"/>
      <c r="CD213" s="1974"/>
      <c r="CE213" s="1974"/>
      <c r="CF213" s="2033"/>
      <c r="CG213" s="2026"/>
      <c r="CH213" s="2009"/>
      <c r="CK213" s="2029"/>
      <c r="CL213" s="2034"/>
      <c r="DO213" s="2094"/>
      <c r="DP213" s="2094"/>
      <c r="DQ213" s="2095"/>
      <c r="DR213" s="2094"/>
      <c r="DS213" s="1974"/>
      <c r="DT213" s="1974"/>
      <c r="DU213" s="1974"/>
      <c r="DV213" s="1974"/>
      <c r="DW213" s="1974"/>
      <c r="DX213" s="1974"/>
      <c r="DY213" s="1974"/>
      <c r="DZ213" s="1974"/>
      <c r="EA213" s="1974"/>
      <c r="EB213" s="1974"/>
      <c r="EC213" s="1974"/>
      <c r="ED213" s="1974"/>
      <c r="EE213" s="2039">
        <f t="shared" si="107"/>
        <v>0</v>
      </c>
      <c r="EF213" s="2039">
        <f t="shared" si="107"/>
        <v>0</v>
      </c>
      <c r="EG213" s="2039">
        <f t="shared" si="107"/>
        <v>0</v>
      </c>
      <c r="EH213" s="2039">
        <f t="shared" si="107"/>
        <v>0</v>
      </c>
      <c r="EI213" s="2040">
        <f t="shared" si="103"/>
        <v>0</v>
      </c>
      <c r="EJ213" s="2040">
        <f t="shared" si="103"/>
        <v>0</v>
      </c>
      <c r="EK213" s="2040">
        <f t="shared" si="103"/>
        <v>0</v>
      </c>
      <c r="EL213" s="2040">
        <f t="shared" si="103"/>
        <v>0</v>
      </c>
      <c r="EM213" s="2040">
        <f t="shared" si="103"/>
        <v>0</v>
      </c>
      <c r="EN213" s="2040">
        <f t="shared" si="103"/>
        <v>0</v>
      </c>
      <c r="EO213" s="2040">
        <f t="shared" si="99"/>
        <v>0</v>
      </c>
      <c r="EP213" s="2040">
        <f t="shared" si="99"/>
        <v>0</v>
      </c>
      <c r="EQ213" s="2040">
        <f t="shared" si="99"/>
        <v>0</v>
      </c>
      <c r="ER213" s="2040">
        <f t="shared" si="99"/>
        <v>0</v>
      </c>
      <c r="ES213" s="2040">
        <f t="shared" si="99"/>
        <v>0</v>
      </c>
      <c r="ET213" s="2040">
        <f t="shared" si="99"/>
        <v>0</v>
      </c>
      <c r="EU213" s="2039">
        <f t="shared" si="108"/>
        <v>0</v>
      </c>
      <c r="EV213" s="2039">
        <f t="shared" si="109"/>
        <v>0</v>
      </c>
    </row>
    <row r="214" spans="1:152" x14ac:dyDescent="0.25">
      <c r="A214" s="2097"/>
      <c r="B214" s="2093"/>
      <c r="C214" s="2094"/>
      <c r="D214" s="2094"/>
      <c r="E214" s="2095"/>
      <c r="F214" s="2094"/>
      <c r="G214" s="2096"/>
      <c r="H214" s="2096"/>
      <c r="I214" s="2096"/>
      <c r="J214" s="2096"/>
      <c r="K214" s="2096"/>
      <c r="L214" s="2096"/>
      <c r="M214" s="2094"/>
      <c r="N214" s="2094"/>
      <c r="O214" s="2094"/>
      <c r="P214" s="2094"/>
      <c r="Q214" s="2096"/>
      <c r="R214" s="2096"/>
      <c r="S214" s="2096"/>
      <c r="T214" s="2096"/>
      <c r="U214" s="2095"/>
      <c r="V214" s="2095"/>
      <c r="W214" s="2095"/>
      <c r="X214" s="2095"/>
      <c r="Y214" s="2096"/>
      <c r="Z214" s="2096"/>
      <c r="AA214" s="2096"/>
      <c r="AB214" s="2096"/>
      <c r="AC214" s="2094"/>
      <c r="AD214" s="2095"/>
      <c r="AE214" s="2095"/>
      <c r="AF214" s="2095"/>
      <c r="AG214" s="2094"/>
      <c r="AH214" s="2095"/>
      <c r="AI214" s="2095"/>
      <c r="AJ214" s="2095"/>
      <c r="AK214" s="2094"/>
      <c r="AL214" s="2095"/>
      <c r="AM214" s="2095"/>
      <c r="AN214" s="2095"/>
      <c r="AO214" s="2094"/>
      <c r="AP214" s="2095"/>
      <c r="AQ214" s="2095"/>
      <c r="AR214" s="2095"/>
      <c r="AS214" s="1974"/>
      <c r="AT214" s="1974"/>
      <c r="AU214" s="1974"/>
      <c r="AV214" s="1974"/>
      <c r="AW214" s="1974"/>
      <c r="AX214" s="1974"/>
      <c r="AY214" s="1974"/>
      <c r="AZ214" s="1974"/>
      <c r="BA214" s="1974"/>
      <c r="BB214" s="1974"/>
      <c r="BC214" s="1974"/>
      <c r="BD214" s="1974"/>
      <c r="BE214" s="1974"/>
      <c r="BF214" s="1974"/>
      <c r="BG214" s="1974"/>
      <c r="BH214" s="1974"/>
      <c r="BI214" s="1974"/>
      <c r="BJ214" s="1974"/>
      <c r="BK214" s="1974"/>
      <c r="BL214" s="1974"/>
      <c r="BM214" s="1974"/>
      <c r="BN214" s="1974"/>
      <c r="BO214" s="1974"/>
      <c r="BP214" s="1974"/>
      <c r="BQ214" s="1974"/>
      <c r="BR214" s="1974"/>
      <c r="BS214" s="2009"/>
      <c r="BT214" s="2009"/>
      <c r="BU214" s="1974"/>
      <c r="BV214" s="1974"/>
      <c r="BW214" s="1974"/>
      <c r="BX214" s="1974"/>
      <c r="BY214" s="1974"/>
      <c r="BZ214" s="2009"/>
      <c r="CA214" s="1974"/>
      <c r="CB214" s="1974"/>
      <c r="CC214" s="1974"/>
      <c r="CD214" s="1974"/>
      <c r="CE214" s="1974"/>
      <c r="CF214" s="2033"/>
      <c r="CG214" s="2026"/>
      <c r="CH214" s="2009"/>
      <c r="CK214" s="2029">
        <f t="shared" si="106"/>
        <v>0</v>
      </c>
      <c r="CL214" s="2034">
        <v>1</v>
      </c>
      <c r="DO214" s="2094"/>
      <c r="DP214" s="2094"/>
      <c r="DQ214" s="2095"/>
      <c r="DR214" s="2094"/>
      <c r="DS214" s="1974"/>
      <c r="DT214" s="1974"/>
      <c r="DU214" s="1974"/>
      <c r="DV214" s="1974"/>
      <c r="DW214" s="1974"/>
      <c r="DX214" s="1974"/>
      <c r="DY214" s="1974"/>
      <c r="DZ214" s="1974"/>
      <c r="EA214" s="1974"/>
      <c r="EB214" s="1974"/>
      <c r="EC214" s="1974"/>
      <c r="ED214" s="1974"/>
      <c r="EE214" s="2039">
        <f t="shared" si="107"/>
        <v>0</v>
      </c>
      <c r="EF214" s="2039">
        <f t="shared" si="107"/>
        <v>0</v>
      </c>
      <c r="EG214" s="2039">
        <f t="shared" si="107"/>
        <v>0</v>
      </c>
      <c r="EH214" s="2039">
        <f t="shared" si="107"/>
        <v>0</v>
      </c>
      <c r="EI214" s="2040">
        <f t="shared" si="103"/>
        <v>0</v>
      </c>
      <c r="EJ214" s="2040">
        <f t="shared" si="103"/>
        <v>0</v>
      </c>
      <c r="EK214" s="2040">
        <f t="shared" si="103"/>
        <v>0</v>
      </c>
      <c r="EL214" s="2040">
        <f t="shared" si="103"/>
        <v>0</v>
      </c>
      <c r="EM214" s="2040">
        <f t="shared" si="103"/>
        <v>0</v>
      </c>
      <c r="EN214" s="2040">
        <f t="shared" si="103"/>
        <v>0</v>
      </c>
      <c r="EO214" s="2040">
        <f t="shared" si="99"/>
        <v>0</v>
      </c>
      <c r="EP214" s="2040">
        <f t="shared" si="99"/>
        <v>0</v>
      </c>
      <c r="EQ214" s="2040">
        <f t="shared" si="99"/>
        <v>0</v>
      </c>
      <c r="ER214" s="2040">
        <f t="shared" si="99"/>
        <v>0</v>
      </c>
      <c r="ES214" s="2040">
        <f t="shared" si="99"/>
        <v>0</v>
      </c>
      <c r="ET214" s="2040">
        <f t="shared" si="99"/>
        <v>0</v>
      </c>
      <c r="EU214" s="2039">
        <f t="shared" si="108"/>
        <v>0</v>
      </c>
      <c r="EV214" s="2039">
        <f t="shared" si="109"/>
        <v>0</v>
      </c>
    </row>
    <row r="215" spans="1:152" s="2018" customFormat="1" x14ac:dyDescent="0.25">
      <c r="A215" s="2098" t="s">
        <v>2986</v>
      </c>
      <c r="B215" s="2076"/>
      <c r="C215" s="2090"/>
      <c r="D215" s="2090"/>
      <c r="E215" s="2091"/>
      <c r="F215" s="2090"/>
      <c r="G215" s="2078"/>
      <c r="H215" s="2078"/>
      <c r="I215" s="2078"/>
      <c r="J215" s="2078"/>
      <c r="K215" s="2078"/>
      <c r="L215" s="2078"/>
      <c r="M215" s="2090"/>
      <c r="N215" s="2090"/>
      <c r="O215" s="2090"/>
      <c r="P215" s="2090"/>
      <c r="Q215" s="2078"/>
      <c r="R215" s="2078"/>
      <c r="S215" s="2078"/>
      <c r="T215" s="2078"/>
      <c r="U215" s="2091"/>
      <c r="V215" s="2091"/>
      <c r="W215" s="2091"/>
      <c r="X215" s="2091"/>
      <c r="Y215" s="2078"/>
      <c r="Z215" s="2078"/>
      <c r="AA215" s="2078"/>
      <c r="AB215" s="2078"/>
      <c r="AC215" s="2090"/>
      <c r="AD215" s="2091"/>
      <c r="AE215" s="2091"/>
      <c r="AF215" s="2091"/>
      <c r="AG215" s="2090"/>
      <c r="AH215" s="2091"/>
      <c r="AI215" s="2091"/>
      <c r="AJ215" s="2091"/>
      <c r="AK215" s="2090"/>
      <c r="AL215" s="2091"/>
      <c r="AM215" s="2091"/>
      <c r="AN215" s="2091"/>
      <c r="AO215" s="2090"/>
      <c r="AP215" s="2091"/>
      <c r="AQ215" s="2091"/>
      <c r="AR215" s="2091"/>
      <c r="AS215" s="2076"/>
      <c r="AT215" s="2076"/>
      <c r="AU215" s="2076"/>
      <c r="AV215" s="2076"/>
      <c r="AW215" s="2076"/>
      <c r="AX215" s="2076"/>
      <c r="AY215" s="2076"/>
      <c r="AZ215" s="2076"/>
      <c r="BA215" s="2076"/>
      <c r="BB215" s="2076"/>
      <c r="BC215" s="2076"/>
      <c r="BD215" s="2076"/>
      <c r="BE215" s="2099">
        <f>BE216</f>
        <v>500000</v>
      </c>
      <c r="BF215" s="2099">
        <f t="shared" ref="BF215:BL215" si="126">BF216</f>
        <v>500000</v>
      </c>
      <c r="BG215" s="2099">
        <f t="shared" si="126"/>
        <v>500000</v>
      </c>
      <c r="BH215" s="2099">
        <f t="shared" si="126"/>
        <v>500000</v>
      </c>
      <c r="BI215" s="2099">
        <f t="shared" si="126"/>
        <v>0</v>
      </c>
      <c r="BJ215" s="2099">
        <f t="shared" si="126"/>
        <v>0</v>
      </c>
      <c r="BK215" s="2099">
        <f t="shared" si="126"/>
        <v>0</v>
      </c>
      <c r="BL215" s="2099">
        <f t="shared" si="126"/>
        <v>0</v>
      </c>
      <c r="BM215" s="2076"/>
      <c r="BN215" s="2076"/>
      <c r="BO215" s="2076"/>
      <c r="BP215" s="2076"/>
      <c r="BQ215" s="2076"/>
      <c r="BR215" s="2076"/>
      <c r="BS215" s="2079"/>
      <c r="BT215" s="2079"/>
      <c r="BU215" s="2080"/>
      <c r="BV215" s="2080"/>
      <c r="BW215" s="2080"/>
      <c r="BX215" s="2080"/>
      <c r="BY215" s="2080"/>
      <c r="BZ215" s="2080"/>
      <c r="CA215" s="2076"/>
      <c r="CB215" s="2076"/>
      <c r="CC215" s="2076"/>
      <c r="CD215" s="2076"/>
      <c r="CE215" s="2076"/>
      <c r="CF215" s="2077"/>
      <c r="CG215" s="2078"/>
      <c r="CH215" s="2079"/>
      <c r="CI215" s="2076"/>
      <c r="CJ215" s="2076"/>
      <c r="CK215" s="2080">
        <f t="shared" si="106"/>
        <v>0</v>
      </c>
      <c r="CL215" s="2081">
        <v>1</v>
      </c>
      <c r="CM215" s="2076"/>
      <c r="CN215" s="2076"/>
      <c r="CO215" s="2076"/>
      <c r="CP215" s="2100"/>
      <c r="CQ215" s="2100"/>
      <c r="CR215" s="2100"/>
      <c r="CS215" s="2100"/>
      <c r="CT215" s="2100"/>
      <c r="CU215" s="2100"/>
      <c r="CX215" s="2083"/>
      <c r="DB215" s="2083"/>
      <c r="DF215" s="2083"/>
      <c r="DJ215" s="2083"/>
      <c r="DN215" s="1977"/>
      <c r="DO215" s="2090"/>
      <c r="DP215" s="2090"/>
      <c r="DQ215" s="2091"/>
      <c r="DR215" s="2090"/>
      <c r="DS215" s="2076"/>
      <c r="DT215" s="2076"/>
      <c r="DU215" s="2076"/>
      <c r="DV215" s="2076"/>
      <c r="DW215" s="2076"/>
      <c r="DX215" s="2076"/>
      <c r="DY215" s="2076"/>
      <c r="DZ215" s="2076"/>
      <c r="EA215" s="2076"/>
      <c r="EB215" s="2076"/>
      <c r="EC215" s="2076"/>
      <c r="ED215" s="2076"/>
      <c r="EE215" s="2039">
        <f t="shared" si="107"/>
        <v>0</v>
      </c>
      <c r="EF215" s="2039">
        <f t="shared" si="107"/>
        <v>0</v>
      </c>
      <c r="EG215" s="2039">
        <f t="shared" si="107"/>
        <v>0</v>
      </c>
      <c r="EH215" s="2039">
        <f t="shared" si="107"/>
        <v>0</v>
      </c>
      <c r="EI215" s="2040">
        <f t="shared" si="103"/>
        <v>0</v>
      </c>
      <c r="EJ215" s="2040">
        <f t="shared" si="103"/>
        <v>0</v>
      </c>
      <c r="EK215" s="2040">
        <f t="shared" si="103"/>
        <v>0</v>
      </c>
      <c r="EL215" s="2040">
        <f t="shared" si="103"/>
        <v>0</v>
      </c>
      <c r="EM215" s="2040">
        <f t="shared" si="103"/>
        <v>0</v>
      </c>
      <c r="EN215" s="2040">
        <f t="shared" si="103"/>
        <v>0</v>
      </c>
      <c r="EO215" s="2040">
        <f t="shared" si="99"/>
        <v>0</v>
      </c>
      <c r="EP215" s="2040">
        <f t="shared" si="99"/>
        <v>0</v>
      </c>
      <c r="EQ215" s="2040">
        <f t="shared" si="99"/>
        <v>0</v>
      </c>
      <c r="ER215" s="2040">
        <f t="shared" si="99"/>
        <v>0</v>
      </c>
      <c r="ES215" s="2040">
        <f t="shared" si="99"/>
        <v>0</v>
      </c>
      <c r="ET215" s="2040">
        <f t="shared" si="99"/>
        <v>0</v>
      </c>
      <c r="EU215" s="2039">
        <f t="shared" si="108"/>
        <v>0</v>
      </c>
      <c r="EV215" s="2039">
        <f t="shared" si="109"/>
        <v>0</v>
      </c>
    </row>
    <row r="216" spans="1:152" x14ac:dyDescent="0.25">
      <c r="A216" s="2101" t="s">
        <v>271</v>
      </c>
      <c r="B216" s="2022" t="s">
        <v>2987</v>
      </c>
      <c r="C216" s="2023">
        <v>15</v>
      </c>
      <c r="D216" s="2024">
        <v>620.81786</v>
      </c>
      <c r="E216" s="2024">
        <v>0</v>
      </c>
      <c r="F216" s="2023">
        <v>0</v>
      </c>
      <c r="G216" s="1974" t="s">
        <v>2988</v>
      </c>
      <c r="H216" s="1974" t="s">
        <v>2988</v>
      </c>
      <c r="I216" s="2026">
        <v>0.9</v>
      </c>
      <c r="J216" s="2026">
        <v>0.9</v>
      </c>
      <c r="K216" s="2026">
        <v>0.9</v>
      </c>
      <c r="L216" s="2026">
        <v>0.9</v>
      </c>
      <c r="M216" s="2027">
        <f>$D216*I216</f>
        <v>558.73607400000003</v>
      </c>
      <c r="N216" s="2027">
        <f>$D216*J216</f>
        <v>558.73607400000003</v>
      </c>
      <c r="O216" s="2027">
        <f>$D216*K216</f>
        <v>558.73607400000003</v>
      </c>
      <c r="P216" s="2027">
        <f>$D216*L216</f>
        <v>558.73607400000003</v>
      </c>
      <c r="Q216" s="2026">
        <v>0.9</v>
      </c>
      <c r="R216" s="2026">
        <v>0.9</v>
      </c>
      <c r="S216" s="2026">
        <v>0.9</v>
      </c>
      <c r="T216" s="2026">
        <v>0.9</v>
      </c>
      <c r="U216" s="2028">
        <f>$E216*Q216</f>
        <v>0</v>
      </c>
      <c r="V216" s="2028">
        <f>$E216*R216</f>
        <v>0</v>
      </c>
      <c r="W216" s="2028">
        <f>$E216*S216</f>
        <v>0</v>
      </c>
      <c r="X216" s="2028">
        <f>$E216*T216</f>
        <v>0</v>
      </c>
      <c r="Y216" s="2026">
        <v>0.9</v>
      </c>
      <c r="Z216" s="2026">
        <v>0.9</v>
      </c>
      <c r="AA216" s="2026">
        <v>0.9</v>
      </c>
      <c r="AB216" s="2026">
        <v>0.9</v>
      </c>
      <c r="AC216" s="2027">
        <f>$F216*Y216</f>
        <v>0</v>
      </c>
      <c r="AD216" s="2027">
        <f>$F216*Z216</f>
        <v>0</v>
      </c>
      <c r="AE216" s="2027"/>
      <c r="AF216" s="2027">
        <f>$F216*AB216</f>
        <v>0</v>
      </c>
      <c r="AG216" s="2027">
        <v>10000</v>
      </c>
      <c r="AH216" s="2027">
        <v>10000</v>
      </c>
      <c r="AI216" s="2027">
        <v>10000</v>
      </c>
      <c r="AJ216" s="2027">
        <v>10000</v>
      </c>
      <c r="AK216" s="2027">
        <f>AG216*M216</f>
        <v>5587360.7400000002</v>
      </c>
      <c r="AL216" s="2027">
        <f>AH216*N216</f>
        <v>5587360.7400000002</v>
      </c>
      <c r="AM216" s="2027">
        <f>AI216*O216</f>
        <v>5587360.7400000002</v>
      </c>
      <c r="AN216" s="2027">
        <f>AJ216*P216</f>
        <v>5587360.7400000002</v>
      </c>
      <c r="AO216" s="2027">
        <f>AG216*AC216</f>
        <v>0</v>
      </c>
      <c r="AP216" s="2027">
        <f>AH216*AD216</f>
        <v>0</v>
      </c>
      <c r="AQ216" s="2027">
        <f>AI216*AE216</f>
        <v>0</v>
      </c>
      <c r="AR216" s="2027">
        <f>AJ216*AF216</f>
        <v>0</v>
      </c>
      <c r="AS216" s="2029">
        <v>50</v>
      </c>
      <c r="AT216" s="2029">
        <f>$AS216</f>
        <v>50</v>
      </c>
      <c r="AU216" s="2029">
        <f>$AS216</f>
        <v>50</v>
      </c>
      <c r="AV216" s="2029">
        <f>$AS216</f>
        <v>50</v>
      </c>
      <c r="AW216" s="1974">
        <v>0</v>
      </c>
      <c r="AX216" s="2029">
        <f>$AW216</f>
        <v>0</v>
      </c>
      <c r="AY216" s="2029">
        <f>$AW216</f>
        <v>0</v>
      </c>
      <c r="AZ216" s="2029">
        <f>$AW216</f>
        <v>0</v>
      </c>
      <c r="BA216" s="2029">
        <v>110.21899999999999</v>
      </c>
      <c r="BB216" s="2029">
        <f>$BA216</f>
        <v>110.21899999999999</v>
      </c>
      <c r="BC216" s="2029">
        <f>$BA216</f>
        <v>110.21899999999999</v>
      </c>
      <c r="BD216" s="2029">
        <f>$BA216</f>
        <v>110.21899999999999</v>
      </c>
      <c r="BE216" s="2030">
        <f>AS216*AG216</f>
        <v>500000</v>
      </c>
      <c r="BF216" s="2030">
        <f>AT216*AH216</f>
        <v>500000</v>
      </c>
      <c r="BG216" s="2030">
        <f>AU216*AI216</f>
        <v>500000</v>
      </c>
      <c r="BH216" s="2030">
        <f>AV216*AJ216</f>
        <v>500000</v>
      </c>
      <c r="BI216" s="2030">
        <f>AW216*AG216</f>
        <v>0</v>
      </c>
      <c r="BJ216" s="2030">
        <f>AX216*AH216</f>
        <v>0</v>
      </c>
      <c r="BK216" s="2030">
        <f>AY216*AI216</f>
        <v>0</v>
      </c>
      <c r="BL216" s="2030">
        <f>AZ216*AJ216</f>
        <v>0</v>
      </c>
      <c r="BM216" s="2031"/>
      <c r="BN216" s="2031"/>
      <c r="BO216" s="2031"/>
      <c r="BP216" s="2031"/>
      <c r="BQ216" s="2031"/>
      <c r="BR216" s="2031"/>
      <c r="BS216" s="2031"/>
      <c r="BT216" s="2031"/>
      <c r="BU216" s="2029"/>
      <c r="BV216" s="2029"/>
      <c r="BW216" s="2029"/>
      <c r="BX216" s="2029"/>
      <c r="BY216" s="2029"/>
      <c r="BZ216" s="2032"/>
      <c r="CA216" s="1974"/>
      <c r="CB216" s="1974"/>
      <c r="CC216" s="1974"/>
      <c r="CD216" s="1974"/>
      <c r="CE216" s="1974"/>
      <c r="CF216" s="2033">
        <v>2.3357049705282715E-2</v>
      </c>
      <c r="CG216" s="2026">
        <v>0</v>
      </c>
      <c r="CH216" s="2009"/>
      <c r="CI216" s="2029">
        <v>17.367448888888887</v>
      </c>
      <c r="CK216" s="2029">
        <f t="shared" si="106"/>
        <v>-17.367448888888887</v>
      </c>
      <c r="CL216" s="2034">
        <v>1</v>
      </c>
      <c r="CP216" s="2035"/>
      <c r="CQ216" s="2036"/>
      <c r="CR216" s="2036"/>
      <c r="CS216" s="2036"/>
      <c r="CT216" s="2036"/>
      <c r="CU216" s="2036"/>
      <c r="CV216" s="1973">
        <v>1</v>
      </c>
      <c r="CW216" s="1973">
        <v>0</v>
      </c>
      <c r="CX216" s="2037">
        <v>50</v>
      </c>
      <c r="CY216" s="2037">
        <v>50</v>
      </c>
      <c r="CZ216" s="2037">
        <v>50</v>
      </c>
      <c r="DA216" s="2037">
        <v>50</v>
      </c>
      <c r="DJ216" s="1976">
        <v>50</v>
      </c>
      <c r="DK216" s="1973">
        <v>50</v>
      </c>
      <c r="DL216" s="1973">
        <v>50</v>
      </c>
      <c r="DM216" s="1973">
        <v>50</v>
      </c>
      <c r="DO216" s="2043">
        <v>15</v>
      </c>
      <c r="DP216" s="2044">
        <v>620.81786</v>
      </c>
      <c r="DQ216" s="2044">
        <v>0</v>
      </c>
      <c r="DR216" s="2043">
        <v>0</v>
      </c>
      <c r="DS216" s="2046">
        <v>50</v>
      </c>
      <c r="DT216" s="2046">
        <v>50</v>
      </c>
      <c r="DU216" s="2046">
        <v>50</v>
      </c>
      <c r="DV216" s="2046">
        <v>50</v>
      </c>
      <c r="DW216" s="2047">
        <v>0</v>
      </c>
      <c r="DX216" s="2046">
        <v>0</v>
      </c>
      <c r="DY216" s="2046">
        <v>0</v>
      </c>
      <c r="DZ216" s="2046">
        <v>0</v>
      </c>
      <c r="EA216" s="2046">
        <v>110.21899999999999</v>
      </c>
      <c r="EB216" s="2046">
        <v>110.21899999999999</v>
      </c>
      <c r="EC216" s="2046">
        <v>110.21899999999999</v>
      </c>
      <c r="ED216" s="2046">
        <v>110.21899999999999</v>
      </c>
      <c r="EE216" s="2039">
        <f t="shared" si="107"/>
        <v>0</v>
      </c>
      <c r="EF216" s="2039">
        <f t="shared" si="107"/>
        <v>0</v>
      </c>
      <c r="EG216" s="2039">
        <f t="shared" si="107"/>
        <v>0</v>
      </c>
      <c r="EH216" s="2039">
        <f t="shared" si="107"/>
        <v>0</v>
      </c>
      <c r="EI216" s="2040">
        <f t="shared" si="103"/>
        <v>0</v>
      </c>
      <c r="EJ216" s="2040">
        <f t="shared" si="103"/>
        <v>0</v>
      </c>
      <c r="EK216" s="2040">
        <f t="shared" si="103"/>
        <v>0</v>
      </c>
      <c r="EL216" s="2040">
        <f t="shared" si="103"/>
        <v>0</v>
      </c>
      <c r="EM216" s="2040">
        <f t="shared" si="103"/>
        <v>0</v>
      </c>
      <c r="EN216" s="2040">
        <f t="shared" si="103"/>
        <v>0</v>
      </c>
      <c r="EO216" s="2040">
        <f t="shared" si="99"/>
        <v>0</v>
      </c>
      <c r="EP216" s="2040">
        <f t="shared" si="99"/>
        <v>0</v>
      </c>
      <c r="EQ216" s="2040">
        <f t="shared" si="99"/>
        <v>0</v>
      </c>
      <c r="ER216" s="2040">
        <f t="shared" si="99"/>
        <v>0</v>
      </c>
      <c r="ES216" s="2040">
        <f t="shared" si="99"/>
        <v>0</v>
      </c>
      <c r="ET216" s="2040">
        <f t="shared" si="99"/>
        <v>0</v>
      </c>
      <c r="EU216" s="2039">
        <f t="shared" si="108"/>
        <v>0</v>
      </c>
      <c r="EV216" s="2039">
        <f t="shared" si="109"/>
        <v>0</v>
      </c>
    </row>
    <row r="217" spans="1:152" x14ac:dyDescent="0.25">
      <c r="A217" s="2011" t="s">
        <v>2989</v>
      </c>
      <c r="B217" s="2093"/>
      <c r="C217" s="2094"/>
      <c r="D217" s="2094"/>
      <c r="E217" s="2095"/>
      <c r="F217" s="2094"/>
      <c r="G217" s="2096"/>
      <c r="H217" s="2096"/>
      <c r="I217" s="2096"/>
      <c r="J217" s="2096"/>
      <c r="K217" s="2096"/>
      <c r="L217" s="2096"/>
      <c r="M217" s="2094"/>
      <c r="N217" s="2094"/>
      <c r="O217" s="2094"/>
      <c r="P217" s="2094"/>
      <c r="Q217" s="2096"/>
      <c r="R217" s="2096"/>
      <c r="S217" s="2096"/>
      <c r="T217" s="2096"/>
      <c r="U217" s="2095"/>
      <c r="V217" s="2095"/>
      <c r="W217" s="2095"/>
      <c r="X217" s="2095"/>
      <c r="Y217" s="2096"/>
      <c r="Z217" s="2096"/>
      <c r="AA217" s="2096"/>
      <c r="AB217" s="2096"/>
      <c r="AC217" s="2094"/>
      <c r="AD217" s="2095"/>
      <c r="AE217" s="2095"/>
      <c r="AF217" s="2095"/>
      <c r="AG217" s="2094"/>
      <c r="AH217" s="2095"/>
      <c r="AI217" s="2095"/>
      <c r="AJ217" s="2095"/>
      <c r="AK217" s="2094"/>
      <c r="AL217" s="2095"/>
      <c r="AM217" s="2095"/>
      <c r="AN217" s="2095"/>
      <c r="AO217" s="2094"/>
      <c r="AP217" s="2095"/>
      <c r="AQ217" s="2095"/>
      <c r="AR217" s="2095"/>
      <c r="AS217" s="1974"/>
      <c r="AT217" s="1974"/>
      <c r="AU217" s="1974"/>
      <c r="AV217" s="1974"/>
      <c r="AW217" s="1974"/>
      <c r="AX217" s="1974"/>
      <c r="AY217" s="1974"/>
      <c r="AZ217" s="1974"/>
      <c r="BA217" s="1974"/>
      <c r="BB217" s="1974"/>
      <c r="BC217" s="1974"/>
      <c r="BD217" s="1974"/>
      <c r="BE217" s="1974"/>
      <c r="BF217" s="1974"/>
      <c r="BG217" s="1974"/>
      <c r="BH217" s="1974"/>
      <c r="BI217" s="1974"/>
      <c r="BJ217" s="1974"/>
      <c r="BK217" s="1974"/>
      <c r="BL217" s="1974"/>
      <c r="BM217" s="1974"/>
      <c r="BN217" s="1974"/>
      <c r="BO217" s="1974"/>
      <c r="BP217" s="1974"/>
      <c r="BQ217" s="1974"/>
      <c r="BR217" s="1974"/>
      <c r="BS217" s="2009"/>
      <c r="BT217" s="2009"/>
      <c r="BU217" s="1974"/>
      <c r="BV217" s="1974"/>
      <c r="BW217" s="1974"/>
      <c r="BX217" s="1974"/>
      <c r="BY217" s="1974"/>
      <c r="BZ217" s="2009"/>
      <c r="CA217" s="1974"/>
      <c r="CB217" s="1974"/>
      <c r="CC217" s="1974"/>
      <c r="CD217" s="1974"/>
      <c r="CE217" s="1974"/>
      <c r="CF217" s="2033">
        <v>0</v>
      </c>
      <c r="CG217" s="2026">
        <v>0</v>
      </c>
      <c r="CH217" s="2009"/>
      <c r="CK217" s="2029">
        <f t="shared" si="106"/>
        <v>0</v>
      </c>
      <c r="CL217" s="2034">
        <v>1</v>
      </c>
      <c r="DO217" s="2094"/>
      <c r="DP217" s="2094"/>
      <c r="DQ217" s="2095"/>
      <c r="DR217" s="2094"/>
      <c r="DS217" s="1974"/>
      <c r="DT217" s="1974"/>
      <c r="DU217" s="1974"/>
      <c r="DV217" s="1974"/>
      <c r="DW217" s="1974"/>
      <c r="DX217" s="1974"/>
      <c r="DY217" s="1974"/>
      <c r="DZ217" s="1974"/>
      <c r="EA217" s="1974"/>
      <c r="EB217" s="1974"/>
      <c r="EC217" s="1974"/>
      <c r="ED217" s="1974"/>
      <c r="EE217" s="2039">
        <f t="shared" si="107"/>
        <v>0</v>
      </c>
      <c r="EF217" s="2039">
        <f t="shared" si="107"/>
        <v>0</v>
      </c>
      <c r="EG217" s="2039">
        <f t="shared" si="107"/>
        <v>0</v>
      </c>
      <c r="EH217" s="2039">
        <f t="shared" si="107"/>
        <v>0</v>
      </c>
      <c r="EI217" s="2040">
        <f t="shared" si="103"/>
        <v>0</v>
      </c>
      <c r="EJ217" s="2040">
        <f t="shared" si="103"/>
        <v>0</v>
      </c>
      <c r="EK217" s="2040">
        <f t="shared" si="103"/>
        <v>0</v>
      </c>
      <c r="EL217" s="2040">
        <f t="shared" si="103"/>
        <v>0</v>
      </c>
      <c r="EM217" s="2040">
        <f t="shared" si="103"/>
        <v>0</v>
      </c>
      <c r="EN217" s="2040">
        <f t="shared" si="103"/>
        <v>0</v>
      </c>
      <c r="EO217" s="2040">
        <f t="shared" si="99"/>
        <v>0</v>
      </c>
      <c r="EP217" s="2040">
        <f t="shared" si="99"/>
        <v>0</v>
      </c>
      <c r="EQ217" s="2040">
        <f t="shared" si="99"/>
        <v>0</v>
      </c>
      <c r="ER217" s="2040">
        <f t="shared" si="99"/>
        <v>0</v>
      </c>
      <c r="ES217" s="2040">
        <f t="shared" si="99"/>
        <v>0</v>
      </c>
      <c r="ET217" s="2040">
        <f t="shared" si="99"/>
        <v>0</v>
      </c>
      <c r="EU217" s="2039">
        <f t="shared" si="108"/>
        <v>0</v>
      </c>
      <c r="EV217" s="2039">
        <f t="shared" si="109"/>
        <v>0</v>
      </c>
    </row>
    <row r="218" spans="1:152" x14ac:dyDescent="0.25">
      <c r="A218" s="2092" t="s">
        <v>2990</v>
      </c>
      <c r="B218" s="2093"/>
      <c r="C218" s="2094"/>
      <c r="D218" s="2094"/>
      <c r="E218" s="2095"/>
      <c r="F218" s="2094"/>
      <c r="G218" s="2096"/>
      <c r="H218" s="2096"/>
      <c r="I218" s="2096"/>
      <c r="J218" s="2096"/>
      <c r="K218" s="2096"/>
      <c r="L218" s="2096"/>
      <c r="M218" s="2094"/>
      <c r="N218" s="2094"/>
      <c r="O218" s="2094"/>
      <c r="P218" s="2094"/>
      <c r="Q218" s="2096"/>
      <c r="R218" s="2096"/>
      <c r="S218" s="2096"/>
      <c r="T218" s="2096"/>
      <c r="U218" s="2095"/>
      <c r="V218" s="2095"/>
      <c r="W218" s="2095"/>
      <c r="X218" s="2095"/>
      <c r="Y218" s="2096"/>
      <c r="Z218" s="2096"/>
      <c r="AA218" s="2096"/>
      <c r="AB218" s="2096"/>
      <c r="AC218" s="2094"/>
      <c r="AD218" s="2095"/>
      <c r="AE218" s="2095"/>
      <c r="AF218" s="2095"/>
      <c r="AG218" s="2094"/>
      <c r="AH218" s="2095"/>
      <c r="AI218" s="2095"/>
      <c r="AJ218" s="2095"/>
      <c r="AK218" s="2094"/>
      <c r="AL218" s="2095"/>
      <c r="AM218" s="2095"/>
      <c r="AN218" s="2095"/>
      <c r="AO218" s="2094"/>
      <c r="AP218" s="2095"/>
      <c r="AQ218" s="2095"/>
      <c r="AR218" s="2095"/>
      <c r="AS218" s="1974"/>
      <c r="AT218" s="1974"/>
      <c r="AU218" s="1974"/>
      <c r="AV218" s="1974"/>
      <c r="AW218" s="1974"/>
      <c r="AX218" s="1974"/>
      <c r="AY218" s="1974"/>
      <c r="AZ218" s="1974"/>
      <c r="BA218" s="1974"/>
      <c r="BB218" s="1974"/>
      <c r="BC218" s="1974"/>
      <c r="BD218" s="1974"/>
      <c r="BE218" s="1974"/>
      <c r="BF218" s="1974"/>
      <c r="BG218" s="1974"/>
      <c r="BH218" s="1974"/>
      <c r="BI218" s="1974"/>
      <c r="BJ218" s="1974"/>
      <c r="BK218" s="1974"/>
      <c r="BL218" s="1974"/>
      <c r="BM218" s="1974"/>
      <c r="BN218" s="1974"/>
      <c r="BO218" s="1974"/>
      <c r="BP218" s="1974"/>
      <c r="BQ218" s="1974"/>
      <c r="BR218" s="1974"/>
      <c r="BS218" s="2009"/>
      <c r="BT218" s="2009"/>
      <c r="BU218" s="1974"/>
      <c r="BV218" s="1974"/>
      <c r="BW218" s="1974"/>
      <c r="BX218" s="1974"/>
      <c r="BY218" s="1974"/>
      <c r="BZ218" s="2009"/>
      <c r="CA218" s="1974"/>
      <c r="CB218" s="1974"/>
      <c r="CC218" s="1974"/>
      <c r="CD218" s="1974"/>
      <c r="CE218" s="1974"/>
      <c r="CF218" s="2033">
        <v>0</v>
      </c>
      <c r="CG218" s="2026">
        <v>0</v>
      </c>
      <c r="CH218" s="2009"/>
      <c r="CK218" s="2029">
        <f t="shared" si="106"/>
        <v>0</v>
      </c>
      <c r="CL218" s="2034">
        <v>1</v>
      </c>
      <c r="CW218" s="1973">
        <v>0</v>
      </c>
      <c r="DO218" s="2094"/>
      <c r="DP218" s="2094"/>
      <c r="DQ218" s="2095"/>
      <c r="DR218" s="2094"/>
      <c r="DS218" s="1974"/>
      <c r="DT218" s="1974"/>
      <c r="DU218" s="1974"/>
      <c r="DV218" s="1974"/>
      <c r="DW218" s="1974"/>
      <c r="DX218" s="1974"/>
      <c r="DY218" s="1974"/>
      <c r="DZ218" s="1974"/>
      <c r="EA218" s="1974"/>
      <c r="EB218" s="1974"/>
      <c r="EC218" s="1974"/>
      <c r="ED218" s="1974"/>
      <c r="EE218" s="2039">
        <f t="shared" si="107"/>
        <v>0</v>
      </c>
      <c r="EF218" s="2039">
        <f t="shared" si="107"/>
        <v>0</v>
      </c>
      <c r="EG218" s="2039">
        <f t="shared" si="107"/>
        <v>0</v>
      </c>
      <c r="EH218" s="2039">
        <f t="shared" si="107"/>
        <v>0</v>
      </c>
      <c r="EI218" s="2040">
        <f t="shared" si="103"/>
        <v>0</v>
      </c>
      <c r="EJ218" s="2040">
        <f t="shared" si="103"/>
        <v>0</v>
      </c>
      <c r="EK218" s="2040">
        <f t="shared" si="103"/>
        <v>0</v>
      </c>
      <c r="EL218" s="2040">
        <f t="shared" si="103"/>
        <v>0</v>
      </c>
      <c r="EM218" s="2040">
        <f t="shared" si="103"/>
        <v>0</v>
      </c>
      <c r="EN218" s="2040">
        <f t="shared" si="103"/>
        <v>0</v>
      </c>
      <c r="EO218" s="2040">
        <f t="shared" si="99"/>
        <v>0</v>
      </c>
      <c r="EP218" s="2040">
        <f t="shared" si="99"/>
        <v>0</v>
      </c>
      <c r="EQ218" s="2040">
        <f t="shared" si="99"/>
        <v>0</v>
      </c>
      <c r="ER218" s="2040">
        <f t="shared" si="99"/>
        <v>0</v>
      </c>
      <c r="ES218" s="2040">
        <f t="shared" si="99"/>
        <v>0</v>
      </c>
      <c r="ET218" s="2040">
        <f t="shared" si="99"/>
        <v>0</v>
      </c>
      <c r="EU218" s="2039">
        <f t="shared" si="108"/>
        <v>0</v>
      </c>
      <c r="EV218" s="2039">
        <f t="shared" si="109"/>
        <v>0</v>
      </c>
    </row>
    <row r="219" spans="1:152" x14ac:dyDescent="0.25">
      <c r="A219" s="2092" t="s">
        <v>2991</v>
      </c>
      <c r="B219" s="2093"/>
      <c r="C219" s="2094"/>
      <c r="D219" s="2094"/>
      <c r="E219" s="2095"/>
      <c r="F219" s="2094"/>
      <c r="G219" s="2096"/>
      <c r="H219" s="2096"/>
      <c r="I219" s="2096"/>
      <c r="J219" s="2096"/>
      <c r="K219" s="2096"/>
      <c r="L219" s="2096"/>
      <c r="M219" s="2094"/>
      <c r="N219" s="2094"/>
      <c r="O219" s="2094"/>
      <c r="P219" s="2094"/>
      <c r="Q219" s="2096"/>
      <c r="R219" s="2096"/>
      <c r="S219" s="2096"/>
      <c r="T219" s="2096"/>
      <c r="U219" s="2095"/>
      <c r="V219" s="2095"/>
      <c r="W219" s="2095"/>
      <c r="X219" s="2095"/>
      <c r="Y219" s="2096"/>
      <c r="Z219" s="2096"/>
      <c r="AA219" s="2096"/>
      <c r="AB219" s="2096"/>
      <c r="AC219" s="2094"/>
      <c r="AD219" s="2095"/>
      <c r="AE219" s="2095"/>
      <c r="AF219" s="2095"/>
      <c r="AG219" s="2094"/>
      <c r="AH219" s="2095"/>
      <c r="AI219" s="2095"/>
      <c r="AJ219" s="2095"/>
      <c r="AK219" s="2094"/>
      <c r="AL219" s="2095"/>
      <c r="AM219" s="2095"/>
      <c r="AN219" s="2095"/>
      <c r="AO219" s="2094"/>
      <c r="AP219" s="2095"/>
      <c r="AQ219" s="2095"/>
      <c r="AR219" s="2095"/>
      <c r="AS219" s="1974"/>
      <c r="AT219" s="1974"/>
      <c r="AU219" s="1974"/>
      <c r="AV219" s="1974"/>
      <c r="AW219" s="1974"/>
      <c r="AX219" s="1974"/>
      <c r="AY219" s="1974"/>
      <c r="AZ219" s="1974"/>
      <c r="BA219" s="1974"/>
      <c r="BB219" s="1974"/>
      <c r="BC219" s="1974"/>
      <c r="BD219" s="1974"/>
      <c r="BE219" s="1974"/>
      <c r="BF219" s="1974"/>
      <c r="BG219" s="1974"/>
      <c r="BH219" s="1974"/>
      <c r="BI219" s="1974"/>
      <c r="BJ219" s="1974"/>
      <c r="BK219" s="1974"/>
      <c r="BL219" s="1974"/>
      <c r="BM219" s="1974"/>
      <c r="BN219" s="1974"/>
      <c r="BO219" s="1974"/>
      <c r="BP219" s="1974"/>
      <c r="BQ219" s="1974"/>
      <c r="BR219" s="1974"/>
      <c r="BS219" s="2009"/>
      <c r="BT219" s="2009"/>
      <c r="BU219" s="1974"/>
      <c r="BV219" s="1974"/>
      <c r="BW219" s="1974"/>
      <c r="BX219" s="1974"/>
      <c r="BY219" s="1974"/>
      <c r="BZ219" s="2009"/>
      <c r="CA219" s="1974"/>
      <c r="CB219" s="1974"/>
      <c r="CC219" s="1974"/>
      <c r="CD219" s="1974"/>
      <c r="CE219" s="1974"/>
      <c r="CF219" s="2033">
        <v>0</v>
      </c>
      <c r="CG219" s="2026">
        <v>0</v>
      </c>
      <c r="CH219" s="2009"/>
      <c r="CK219" s="2029">
        <f t="shared" si="106"/>
        <v>0</v>
      </c>
      <c r="CL219" s="2034">
        <v>1</v>
      </c>
      <c r="CW219" s="1973">
        <v>0</v>
      </c>
      <c r="DO219" s="2094"/>
      <c r="DP219" s="2094"/>
      <c r="DQ219" s="2095"/>
      <c r="DR219" s="2094"/>
      <c r="DS219" s="1974"/>
      <c r="DT219" s="1974"/>
      <c r="DU219" s="1974"/>
      <c r="DV219" s="1974"/>
      <c r="DW219" s="1974"/>
      <c r="DX219" s="1974"/>
      <c r="DY219" s="1974"/>
      <c r="DZ219" s="1974"/>
      <c r="EA219" s="1974"/>
      <c r="EB219" s="1974"/>
      <c r="EC219" s="1974"/>
      <c r="ED219" s="1974"/>
      <c r="EE219" s="2039">
        <f t="shared" si="107"/>
        <v>0</v>
      </c>
      <c r="EF219" s="2039">
        <f t="shared" si="107"/>
        <v>0</v>
      </c>
      <c r="EG219" s="2039">
        <f t="shared" si="107"/>
        <v>0</v>
      </c>
      <c r="EH219" s="2039">
        <f t="shared" si="107"/>
        <v>0</v>
      </c>
      <c r="EI219" s="2040">
        <f t="shared" si="103"/>
        <v>0</v>
      </c>
      <c r="EJ219" s="2040">
        <f t="shared" si="103"/>
        <v>0</v>
      </c>
      <c r="EK219" s="2040">
        <f t="shared" si="103"/>
        <v>0</v>
      </c>
      <c r="EL219" s="2040">
        <f t="shared" si="103"/>
        <v>0</v>
      </c>
      <c r="EM219" s="2040">
        <f t="shared" si="103"/>
        <v>0</v>
      </c>
      <c r="EN219" s="2040">
        <f t="shared" si="103"/>
        <v>0</v>
      </c>
      <c r="EO219" s="2040">
        <f t="shared" si="99"/>
        <v>0</v>
      </c>
      <c r="EP219" s="2040">
        <f t="shared" si="99"/>
        <v>0</v>
      </c>
      <c r="EQ219" s="2040">
        <f t="shared" si="99"/>
        <v>0</v>
      </c>
      <c r="ER219" s="2040">
        <f t="shared" si="99"/>
        <v>0</v>
      </c>
      <c r="ES219" s="2040">
        <f t="shared" si="99"/>
        <v>0</v>
      </c>
      <c r="ET219" s="2040">
        <f t="shared" si="99"/>
        <v>0</v>
      </c>
      <c r="EU219" s="2039">
        <f t="shared" si="108"/>
        <v>0</v>
      </c>
      <c r="EV219" s="2039">
        <f t="shared" si="109"/>
        <v>0</v>
      </c>
    </row>
    <row r="220" spans="1:152" x14ac:dyDescent="0.25">
      <c r="A220" s="2092" t="s">
        <v>2992</v>
      </c>
      <c r="B220" s="2093"/>
      <c r="C220" s="2094"/>
      <c r="D220" s="2094"/>
      <c r="E220" s="2095"/>
      <c r="F220" s="2094"/>
      <c r="G220" s="2096"/>
      <c r="H220" s="2096"/>
      <c r="I220" s="2096"/>
      <c r="J220" s="2096"/>
      <c r="K220" s="2096"/>
      <c r="L220" s="2096"/>
      <c r="M220" s="2094"/>
      <c r="N220" s="2094"/>
      <c r="O220" s="2094"/>
      <c r="P220" s="2094"/>
      <c r="Q220" s="2096"/>
      <c r="R220" s="2096"/>
      <c r="S220" s="2096"/>
      <c r="T220" s="2096"/>
      <c r="U220" s="2095"/>
      <c r="V220" s="2095"/>
      <c r="W220" s="2095"/>
      <c r="X220" s="2095"/>
      <c r="Y220" s="2096"/>
      <c r="Z220" s="2096"/>
      <c r="AA220" s="2096"/>
      <c r="AB220" s="2096"/>
      <c r="AC220" s="2094"/>
      <c r="AD220" s="2095"/>
      <c r="AE220" s="2095"/>
      <c r="AF220" s="2095"/>
      <c r="AG220" s="2094"/>
      <c r="AH220" s="2095"/>
      <c r="AI220" s="2095"/>
      <c r="AJ220" s="2095"/>
      <c r="AK220" s="2094"/>
      <c r="AL220" s="2095"/>
      <c r="AM220" s="2095"/>
      <c r="AN220" s="2095"/>
      <c r="AO220" s="2094"/>
      <c r="AP220" s="2095"/>
      <c r="AQ220" s="2095"/>
      <c r="AR220" s="2095"/>
      <c r="AS220" s="1974"/>
      <c r="AT220" s="1974"/>
      <c r="AU220" s="1974"/>
      <c r="AV220" s="1974"/>
      <c r="AW220" s="1974"/>
      <c r="AX220" s="1974"/>
      <c r="AY220" s="1974"/>
      <c r="AZ220" s="1974"/>
      <c r="BA220" s="1974"/>
      <c r="BB220" s="1974"/>
      <c r="BC220" s="1974"/>
      <c r="BD220" s="1974"/>
      <c r="BE220" s="1974"/>
      <c r="BF220" s="1974"/>
      <c r="BG220" s="1974"/>
      <c r="BH220" s="1974"/>
      <c r="BI220" s="1974"/>
      <c r="BJ220" s="1974"/>
      <c r="BK220" s="1974"/>
      <c r="BL220" s="1974"/>
      <c r="BM220" s="1974"/>
      <c r="BN220" s="1974"/>
      <c r="BO220" s="1974"/>
      <c r="BP220" s="1974"/>
      <c r="BQ220" s="1974"/>
      <c r="BR220" s="1974"/>
      <c r="BS220" s="2009"/>
      <c r="BT220" s="2009"/>
      <c r="BU220" s="1974"/>
      <c r="BV220" s="1974"/>
      <c r="BW220" s="1974"/>
      <c r="BX220" s="1974"/>
      <c r="BY220" s="1974"/>
      <c r="BZ220" s="2009"/>
      <c r="CA220" s="1974"/>
      <c r="CB220" s="1974"/>
      <c r="CC220" s="1974"/>
      <c r="CD220" s="1974"/>
      <c r="CE220" s="1974"/>
      <c r="CF220" s="2033">
        <v>0</v>
      </c>
      <c r="CG220" s="2026">
        <v>0</v>
      </c>
      <c r="CH220" s="2009"/>
      <c r="CK220" s="2029">
        <f t="shared" si="106"/>
        <v>0</v>
      </c>
      <c r="CL220" s="2034">
        <v>1</v>
      </c>
      <c r="CW220" s="1973">
        <v>0</v>
      </c>
      <c r="DO220" s="2094"/>
      <c r="DP220" s="2094"/>
      <c r="DQ220" s="2095"/>
      <c r="DR220" s="2094"/>
      <c r="DS220" s="1974"/>
      <c r="DT220" s="1974"/>
      <c r="DU220" s="1974"/>
      <c r="DV220" s="1974"/>
      <c r="DW220" s="1974"/>
      <c r="DX220" s="1974"/>
      <c r="DY220" s="1974"/>
      <c r="DZ220" s="1974"/>
      <c r="EA220" s="1974"/>
      <c r="EB220" s="1974"/>
      <c r="EC220" s="1974"/>
      <c r="ED220" s="1974"/>
      <c r="EE220" s="2039">
        <f t="shared" si="107"/>
        <v>0</v>
      </c>
      <c r="EF220" s="2039">
        <f t="shared" si="107"/>
        <v>0</v>
      </c>
      <c r="EG220" s="2039">
        <f t="shared" si="107"/>
        <v>0</v>
      </c>
      <c r="EH220" s="2039">
        <f t="shared" si="107"/>
        <v>0</v>
      </c>
      <c r="EI220" s="2040">
        <f t="shared" si="103"/>
        <v>0</v>
      </c>
      <c r="EJ220" s="2040">
        <f t="shared" si="103"/>
        <v>0</v>
      </c>
      <c r="EK220" s="2040">
        <f t="shared" si="103"/>
        <v>0</v>
      </c>
      <c r="EL220" s="2040">
        <f t="shared" si="103"/>
        <v>0</v>
      </c>
      <c r="EM220" s="2040">
        <f t="shared" si="103"/>
        <v>0</v>
      </c>
      <c r="EN220" s="2040">
        <f t="shared" si="103"/>
        <v>0</v>
      </c>
      <c r="EO220" s="2040">
        <f t="shared" si="99"/>
        <v>0</v>
      </c>
      <c r="EP220" s="2040">
        <f t="shared" si="99"/>
        <v>0</v>
      </c>
      <c r="EQ220" s="2040">
        <f t="shared" si="99"/>
        <v>0</v>
      </c>
      <c r="ER220" s="2040">
        <f t="shared" si="99"/>
        <v>0</v>
      </c>
      <c r="ES220" s="2040">
        <f t="shared" si="99"/>
        <v>0</v>
      </c>
      <c r="ET220" s="2040">
        <f t="shared" si="99"/>
        <v>0</v>
      </c>
      <c r="EU220" s="2039">
        <f t="shared" si="108"/>
        <v>0</v>
      </c>
      <c r="EV220" s="2039">
        <f t="shared" si="109"/>
        <v>0</v>
      </c>
    </row>
    <row r="221" spans="1:152" x14ac:dyDescent="0.25">
      <c r="A221" s="2092" t="s">
        <v>2993</v>
      </c>
      <c r="B221" s="2093"/>
      <c r="C221" s="2102"/>
      <c r="D221" s="2094"/>
      <c r="E221" s="2095"/>
      <c r="F221" s="2094"/>
      <c r="G221" s="2096"/>
      <c r="H221" s="2096"/>
      <c r="I221" s="2096"/>
      <c r="J221" s="2096"/>
      <c r="K221" s="2096"/>
      <c r="L221" s="2096"/>
      <c r="M221" s="2094"/>
      <c r="N221" s="2094"/>
      <c r="O221" s="2094"/>
      <c r="P221" s="2094"/>
      <c r="Q221" s="2096"/>
      <c r="R221" s="2096"/>
      <c r="S221" s="2096"/>
      <c r="T221" s="2096"/>
      <c r="U221" s="2095"/>
      <c r="V221" s="2095"/>
      <c r="W221" s="2095"/>
      <c r="X221" s="2095"/>
      <c r="Y221" s="2096"/>
      <c r="Z221" s="2096"/>
      <c r="AA221" s="2096"/>
      <c r="AB221" s="2096"/>
      <c r="AC221" s="2094"/>
      <c r="AD221" s="2095"/>
      <c r="AE221" s="2095"/>
      <c r="AF221" s="2095"/>
      <c r="AG221" s="2094"/>
      <c r="AH221" s="2095"/>
      <c r="AI221" s="2095"/>
      <c r="AJ221" s="2095"/>
      <c r="AK221" s="2094"/>
      <c r="AL221" s="2095"/>
      <c r="AM221" s="2095"/>
      <c r="AN221" s="2095"/>
      <c r="AO221" s="2094"/>
      <c r="AP221" s="2095"/>
      <c r="AQ221" s="2095"/>
      <c r="AR221" s="2095"/>
      <c r="AS221" s="1974"/>
      <c r="AT221" s="1974"/>
      <c r="AU221" s="1974"/>
      <c r="AV221" s="1974"/>
      <c r="AW221" s="1974"/>
      <c r="AX221" s="1974"/>
      <c r="AY221" s="1974"/>
      <c r="AZ221" s="1974"/>
      <c r="BA221" s="1974"/>
      <c r="BB221" s="1974"/>
      <c r="BC221" s="1974"/>
      <c r="BD221" s="1974"/>
      <c r="BE221" s="1974"/>
      <c r="BF221" s="1974"/>
      <c r="BG221" s="1974"/>
      <c r="BH221" s="1974"/>
      <c r="BI221" s="1974"/>
      <c r="BJ221" s="1974"/>
      <c r="BK221" s="1974"/>
      <c r="BL221" s="1974"/>
      <c r="BM221" s="1974"/>
      <c r="BN221" s="1974"/>
      <c r="BO221" s="1974"/>
      <c r="BP221" s="1974"/>
      <c r="BQ221" s="1974"/>
      <c r="BR221" s="1974"/>
      <c r="BS221" s="2009"/>
      <c r="BT221" s="2009"/>
      <c r="BU221" s="1974"/>
      <c r="BV221" s="1974"/>
      <c r="BW221" s="1974"/>
      <c r="BX221" s="1974"/>
      <c r="BY221" s="1974"/>
      <c r="BZ221" s="2009"/>
      <c r="CA221" s="1974"/>
      <c r="CB221" s="1974"/>
      <c r="CC221" s="1974"/>
      <c r="CD221" s="1974"/>
      <c r="CE221" s="1974"/>
      <c r="CF221" s="2033">
        <v>0</v>
      </c>
      <c r="CG221" s="2026">
        <v>0</v>
      </c>
      <c r="CH221" s="2009"/>
      <c r="CK221" s="2029">
        <f t="shared" si="106"/>
        <v>0</v>
      </c>
      <c r="CL221" s="2034">
        <v>1</v>
      </c>
      <c r="CW221" s="1973">
        <v>0</v>
      </c>
      <c r="DO221" s="2102"/>
      <c r="DP221" s="2094"/>
      <c r="DQ221" s="2095"/>
      <c r="DR221" s="2094"/>
      <c r="DS221" s="1974"/>
      <c r="DT221" s="1974"/>
      <c r="DU221" s="1974"/>
      <c r="DV221" s="1974"/>
      <c r="DW221" s="1974"/>
      <c r="DX221" s="1974"/>
      <c r="DY221" s="1974"/>
      <c r="DZ221" s="1974"/>
      <c r="EA221" s="1974"/>
      <c r="EB221" s="1974"/>
      <c r="EC221" s="1974"/>
      <c r="ED221" s="1974"/>
      <c r="EE221" s="2039">
        <f t="shared" si="107"/>
        <v>0</v>
      </c>
      <c r="EF221" s="2039">
        <f t="shared" si="107"/>
        <v>0</v>
      </c>
      <c r="EG221" s="2039">
        <f t="shared" si="107"/>
        <v>0</v>
      </c>
      <c r="EH221" s="2039">
        <f t="shared" si="107"/>
        <v>0</v>
      </c>
      <c r="EI221" s="2040">
        <f t="shared" si="103"/>
        <v>0</v>
      </c>
      <c r="EJ221" s="2040">
        <f t="shared" si="103"/>
        <v>0</v>
      </c>
      <c r="EK221" s="2040">
        <f t="shared" si="103"/>
        <v>0</v>
      </c>
      <c r="EL221" s="2040">
        <f t="shared" si="103"/>
        <v>0</v>
      </c>
      <c r="EM221" s="2040">
        <f t="shared" si="103"/>
        <v>0</v>
      </c>
      <c r="EN221" s="2040">
        <f t="shared" si="103"/>
        <v>0</v>
      </c>
      <c r="EO221" s="2040">
        <f t="shared" si="99"/>
        <v>0</v>
      </c>
      <c r="EP221" s="2040">
        <f t="shared" si="99"/>
        <v>0</v>
      </c>
      <c r="EQ221" s="2040">
        <f t="shared" si="99"/>
        <v>0</v>
      </c>
      <c r="ER221" s="2040">
        <f t="shared" si="99"/>
        <v>0</v>
      </c>
      <c r="ES221" s="2040">
        <f t="shared" si="99"/>
        <v>0</v>
      </c>
      <c r="ET221" s="2040">
        <f t="shared" si="99"/>
        <v>0</v>
      </c>
      <c r="EU221" s="2039">
        <f t="shared" si="108"/>
        <v>0</v>
      </c>
      <c r="EV221" s="2039">
        <f t="shared" si="109"/>
        <v>0</v>
      </c>
    </row>
    <row r="222" spans="1:152" x14ac:dyDescent="0.25">
      <c r="BU222" s="1974"/>
      <c r="BV222" s="1974"/>
      <c r="BW222" s="1974"/>
      <c r="BX222" s="1974"/>
      <c r="BY222" s="1974"/>
      <c r="BZ222" s="2009"/>
      <c r="CA222" s="1974"/>
      <c r="CB222" s="1974"/>
      <c r="CC222" s="1974"/>
      <c r="CD222" s="1974"/>
      <c r="CE222" s="1974"/>
      <c r="CF222" s="2033">
        <v>0</v>
      </c>
      <c r="CG222" s="2026">
        <v>0</v>
      </c>
      <c r="CH222" s="2009"/>
      <c r="CK222" s="2029">
        <f t="shared" si="106"/>
        <v>0</v>
      </c>
      <c r="CL222" s="2034">
        <v>1</v>
      </c>
      <c r="DO222" s="1970"/>
      <c r="DP222" s="1970"/>
      <c r="DQ222" s="1971"/>
      <c r="DR222" s="1970"/>
      <c r="EE222" s="2039">
        <f t="shared" si="107"/>
        <v>0</v>
      </c>
      <c r="EF222" s="2039">
        <f t="shared" si="107"/>
        <v>0</v>
      </c>
      <c r="EG222" s="2039">
        <f t="shared" si="107"/>
        <v>0</v>
      </c>
      <c r="EH222" s="2039">
        <f t="shared" si="107"/>
        <v>0</v>
      </c>
      <c r="EI222" s="2040">
        <f t="shared" si="103"/>
        <v>0</v>
      </c>
      <c r="EJ222" s="2040">
        <f t="shared" si="103"/>
        <v>0</v>
      </c>
      <c r="EK222" s="2040">
        <f t="shared" si="103"/>
        <v>0</v>
      </c>
      <c r="EL222" s="2040">
        <f t="shared" si="103"/>
        <v>0</v>
      </c>
      <c r="EM222" s="2040">
        <f t="shared" si="103"/>
        <v>0</v>
      </c>
      <c r="EN222" s="2040">
        <f t="shared" si="103"/>
        <v>0</v>
      </c>
      <c r="EO222" s="2040">
        <f t="shared" si="99"/>
        <v>0</v>
      </c>
      <c r="EP222" s="2040">
        <f t="shared" si="99"/>
        <v>0</v>
      </c>
      <c r="EQ222" s="2040">
        <f t="shared" si="99"/>
        <v>0</v>
      </c>
      <c r="ER222" s="2040">
        <f t="shared" si="99"/>
        <v>0</v>
      </c>
      <c r="ES222" s="2040">
        <f t="shared" si="99"/>
        <v>0</v>
      </c>
      <c r="ET222" s="2040">
        <f t="shared" si="99"/>
        <v>0</v>
      </c>
      <c r="EU222" s="2039">
        <f t="shared" si="108"/>
        <v>0</v>
      </c>
      <c r="EV222" s="2039">
        <f t="shared" si="109"/>
        <v>0</v>
      </c>
    </row>
    <row r="223" spans="1:152" x14ac:dyDescent="0.25">
      <c r="BU223" s="1974"/>
      <c r="BV223" s="1974"/>
      <c r="BW223" s="1974"/>
      <c r="BX223" s="1974"/>
      <c r="BY223" s="1974"/>
      <c r="BZ223" s="2009"/>
      <c r="CA223" s="1974"/>
      <c r="CB223" s="1974"/>
      <c r="CC223" s="1974"/>
      <c r="CD223" s="1974"/>
      <c r="CE223" s="1974"/>
      <c r="CF223" s="2033">
        <v>0</v>
      </c>
      <c r="CG223" s="2026">
        <v>0</v>
      </c>
      <c r="CH223" s="2009"/>
      <c r="CK223" s="2029">
        <f t="shared" si="106"/>
        <v>0</v>
      </c>
      <c r="CL223" s="2034">
        <v>1</v>
      </c>
      <c r="DO223" s="1970"/>
      <c r="DP223" s="1970"/>
      <c r="DQ223" s="1971"/>
      <c r="DR223" s="1970"/>
      <c r="EE223" s="2039">
        <f t="shared" si="107"/>
        <v>0</v>
      </c>
      <c r="EF223" s="2039">
        <f t="shared" si="107"/>
        <v>0</v>
      </c>
      <c r="EG223" s="2039">
        <f t="shared" si="107"/>
        <v>0</v>
      </c>
      <c r="EH223" s="2039">
        <f t="shared" si="107"/>
        <v>0</v>
      </c>
      <c r="EI223" s="2040">
        <f t="shared" si="103"/>
        <v>0</v>
      </c>
      <c r="EJ223" s="2040">
        <f t="shared" si="103"/>
        <v>0</v>
      </c>
      <c r="EK223" s="2040">
        <f t="shared" si="103"/>
        <v>0</v>
      </c>
      <c r="EL223" s="2040">
        <f t="shared" si="103"/>
        <v>0</v>
      </c>
      <c r="EM223" s="2040">
        <f t="shared" si="103"/>
        <v>0</v>
      </c>
      <c r="EN223" s="2040">
        <f t="shared" si="103"/>
        <v>0</v>
      </c>
      <c r="EO223" s="2040">
        <f t="shared" si="99"/>
        <v>0</v>
      </c>
      <c r="EP223" s="2040">
        <f t="shared" si="99"/>
        <v>0</v>
      </c>
      <c r="EQ223" s="2040">
        <f t="shared" si="99"/>
        <v>0</v>
      </c>
      <c r="ER223" s="2040">
        <f t="shared" si="99"/>
        <v>0</v>
      </c>
      <c r="ES223" s="2040">
        <f t="shared" si="99"/>
        <v>0</v>
      </c>
      <c r="ET223" s="2040">
        <f t="shared" si="99"/>
        <v>0</v>
      </c>
      <c r="EU223" s="2039">
        <f t="shared" si="108"/>
        <v>0</v>
      </c>
      <c r="EV223" s="2039">
        <f t="shared" si="109"/>
        <v>0</v>
      </c>
    </row>
    <row r="224" spans="1:152" x14ac:dyDescent="0.25">
      <c r="A224" s="2103" t="s">
        <v>2994</v>
      </c>
      <c r="B224" s="2093"/>
      <c r="C224" s="2094"/>
      <c r="D224" s="2094"/>
      <c r="E224" s="2095"/>
      <c r="F224" s="2094"/>
      <c r="G224" s="2096"/>
      <c r="H224" s="2096"/>
      <c r="I224" s="2096"/>
      <c r="J224" s="2096"/>
      <c r="K224" s="2096"/>
      <c r="L224" s="2096"/>
      <c r="M224" s="2094"/>
      <c r="N224" s="2094"/>
      <c r="O224" s="2094"/>
      <c r="P224" s="2094"/>
      <c r="Q224" s="2096"/>
      <c r="R224" s="2096"/>
      <c r="S224" s="2096"/>
      <c r="T224" s="2096"/>
      <c r="U224" s="2095"/>
      <c r="V224" s="2095"/>
      <c r="W224" s="2095"/>
      <c r="X224" s="2095"/>
      <c r="Y224" s="2096"/>
      <c r="Z224" s="2096"/>
      <c r="AA224" s="2096"/>
      <c r="AB224" s="2096"/>
      <c r="AC224" s="2094"/>
      <c r="AD224" s="2095"/>
      <c r="AE224" s="2095"/>
      <c r="AF224" s="2095"/>
      <c r="AG224" s="2094"/>
      <c r="AH224" s="2095"/>
      <c r="AI224" s="2095"/>
      <c r="AJ224" s="2095"/>
      <c r="AK224" s="2094"/>
      <c r="AL224" s="2095"/>
      <c r="AM224" s="2095"/>
      <c r="AN224" s="2095"/>
      <c r="AO224" s="2094"/>
      <c r="AP224" s="2095"/>
      <c r="AQ224" s="2095"/>
      <c r="AR224" s="2095"/>
      <c r="AS224" s="1974"/>
      <c r="AT224" s="1974"/>
      <c r="AU224" s="1974"/>
      <c r="AV224" s="1974"/>
      <c r="AW224" s="1974"/>
      <c r="AX224" s="1974"/>
      <c r="AY224" s="1974"/>
      <c r="AZ224" s="1974"/>
      <c r="BA224" s="1974"/>
      <c r="BB224" s="1974"/>
      <c r="BC224" s="1974"/>
      <c r="BD224" s="1974"/>
      <c r="BE224" s="1974"/>
      <c r="BF224" s="1974"/>
      <c r="BG224" s="1974"/>
      <c r="BH224" s="1974"/>
      <c r="BI224" s="1974"/>
      <c r="BJ224" s="1974"/>
      <c r="BK224" s="1974"/>
      <c r="BL224" s="1974"/>
      <c r="BM224" s="1974"/>
      <c r="BN224" s="1974"/>
      <c r="BO224" s="1974"/>
      <c r="BP224" s="1974"/>
      <c r="BQ224" s="1974"/>
      <c r="BR224" s="1974"/>
      <c r="BS224" s="2009"/>
      <c r="BT224" s="2009"/>
      <c r="BU224" s="1974"/>
      <c r="BV224" s="1974"/>
      <c r="BW224" s="1974"/>
      <c r="BX224" s="1974"/>
      <c r="BY224" s="1974"/>
      <c r="BZ224" s="2009"/>
      <c r="CA224" s="1974"/>
      <c r="CB224" s="1974"/>
      <c r="CC224" s="1974"/>
      <c r="CD224" s="1974"/>
      <c r="CE224" s="1974"/>
      <c r="CF224" s="2033">
        <v>0</v>
      </c>
      <c r="CG224" s="2026">
        <v>0</v>
      </c>
      <c r="CH224" s="2009"/>
      <c r="CK224" s="2029">
        <f t="shared" si="106"/>
        <v>0</v>
      </c>
      <c r="CL224" s="2034">
        <v>1</v>
      </c>
      <c r="DO224" s="2094"/>
      <c r="DP224" s="2094"/>
      <c r="DQ224" s="2095"/>
      <c r="DR224" s="2094"/>
      <c r="DS224" s="1974"/>
      <c r="DT224" s="1974"/>
      <c r="DU224" s="1974"/>
      <c r="DV224" s="1974"/>
      <c r="DW224" s="1974"/>
      <c r="DX224" s="1974"/>
      <c r="DY224" s="1974"/>
      <c r="DZ224" s="1974"/>
      <c r="EA224" s="1974"/>
      <c r="EB224" s="1974"/>
      <c r="EC224" s="1974"/>
      <c r="ED224" s="1974"/>
      <c r="EE224" s="2039">
        <f t="shared" si="107"/>
        <v>0</v>
      </c>
      <c r="EF224" s="2039">
        <f t="shared" si="107"/>
        <v>0</v>
      </c>
      <c r="EG224" s="2039">
        <f t="shared" si="107"/>
        <v>0</v>
      </c>
      <c r="EH224" s="2039">
        <f t="shared" si="107"/>
        <v>0</v>
      </c>
      <c r="EI224" s="2040">
        <f t="shared" si="103"/>
        <v>0</v>
      </c>
      <c r="EJ224" s="2040">
        <f t="shared" si="103"/>
        <v>0</v>
      </c>
      <c r="EK224" s="2040">
        <f t="shared" si="103"/>
        <v>0</v>
      </c>
      <c r="EL224" s="2040">
        <f t="shared" si="103"/>
        <v>0</v>
      </c>
      <c r="EM224" s="2040">
        <f t="shared" si="103"/>
        <v>0</v>
      </c>
      <c r="EN224" s="2040">
        <f t="shared" si="103"/>
        <v>0</v>
      </c>
      <c r="EO224" s="2040">
        <f t="shared" si="99"/>
        <v>0</v>
      </c>
      <c r="EP224" s="2040">
        <f t="shared" si="99"/>
        <v>0</v>
      </c>
      <c r="EQ224" s="2040">
        <f t="shared" si="99"/>
        <v>0</v>
      </c>
      <c r="ER224" s="2040">
        <f t="shared" si="99"/>
        <v>0</v>
      </c>
      <c r="ES224" s="2040">
        <f t="shared" si="99"/>
        <v>0</v>
      </c>
      <c r="ET224" s="2040">
        <f t="shared" si="99"/>
        <v>0</v>
      </c>
      <c r="EU224" s="2039">
        <f t="shared" si="108"/>
        <v>0</v>
      </c>
      <c r="EV224" s="2039">
        <f t="shared" si="109"/>
        <v>0</v>
      </c>
    </row>
    <row r="225" spans="1:152" s="2115" customFormat="1" x14ac:dyDescent="0.25">
      <c r="A225" s="2104" t="s">
        <v>207</v>
      </c>
      <c r="B225" s="2105"/>
      <c r="C225" s="2106">
        <v>10</v>
      </c>
      <c r="D225" s="2107">
        <v>330</v>
      </c>
      <c r="E225" s="2107">
        <v>0</v>
      </c>
      <c r="F225" s="2106">
        <v>0</v>
      </c>
      <c r="G225" s="2108" t="s">
        <v>2285</v>
      </c>
      <c r="H225" s="2108" t="s">
        <v>2285</v>
      </c>
      <c r="I225" s="2108">
        <v>0.79999999999999993</v>
      </c>
      <c r="J225" s="2108">
        <v>0.79999999999999993</v>
      </c>
      <c r="K225" s="2108">
        <v>0.79999999999999993</v>
      </c>
      <c r="L225" s="2108">
        <v>0.79999999999999993</v>
      </c>
      <c r="M225" s="2109">
        <f t="shared" ref="M225:P240" si="127">$D225*I225</f>
        <v>264</v>
      </c>
      <c r="N225" s="2109">
        <f t="shared" si="127"/>
        <v>264</v>
      </c>
      <c r="O225" s="2109">
        <f t="shared" si="127"/>
        <v>264</v>
      </c>
      <c r="P225" s="2109">
        <f t="shared" si="127"/>
        <v>264</v>
      </c>
      <c r="Q225" s="2108">
        <v>0.79999999999999993</v>
      </c>
      <c r="R225" s="2108">
        <v>0.79999999999999993</v>
      </c>
      <c r="S225" s="2108">
        <v>0.79999999999999993</v>
      </c>
      <c r="T225" s="2108">
        <v>0.79999999999999993</v>
      </c>
      <c r="U225" s="2110">
        <f t="shared" ref="U225:X240" si="128">$E225*Q225</f>
        <v>0</v>
      </c>
      <c r="V225" s="2110">
        <f t="shared" si="128"/>
        <v>0</v>
      </c>
      <c r="W225" s="2110">
        <f t="shared" si="128"/>
        <v>0</v>
      </c>
      <c r="X225" s="2110">
        <f>$E225*T225</f>
        <v>0</v>
      </c>
      <c r="Y225" s="2108">
        <v>0.60399999999999998</v>
      </c>
      <c r="Z225" s="2108">
        <v>0.60399999999999998</v>
      </c>
      <c r="AA225" s="2108">
        <v>0.60399999999999998</v>
      </c>
      <c r="AB225" s="2108">
        <v>0.60399999999999998</v>
      </c>
      <c r="AC225" s="2027">
        <f t="shared" ref="AC225:AF240" si="129">$F225*Y225</f>
        <v>0</v>
      </c>
      <c r="AD225" s="2027">
        <f t="shared" si="129"/>
        <v>0</v>
      </c>
      <c r="AE225" s="2027">
        <f t="shared" si="129"/>
        <v>0</v>
      </c>
      <c r="AF225" s="2027">
        <f>$F225*AB225</f>
        <v>0</v>
      </c>
      <c r="AG225" s="2027">
        <v>15</v>
      </c>
      <c r="AH225" s="2027">
        <v>16</v>
      </c>
      <c r="AI225" s="2027">
        <v>20</v>
      </c>
      <c r="AJ225" s="2027">
        <v>17</v>
      </c>
      <c r="AK225" s="2027">
        <f>AG225*M225</f>
        <v>3960</v>
      </c>
      <c r="AL225" s="2027">
        <f t="shared" ref="AL225:AN246" si="130">AH225*N225*CM225</f>
        <v>4224</v>
      </c>
      <c r="AM225" s="2027">
        <f t="shared" si="130"/>
        <v>5280</v>
      </c>
      <c r="AN225" s="2027">
        <f t="shared" si="130"/>
        <v>4488</v>
      </c>
      <c r="AO225" s="2109">
        <f>AG225*AC225</f>
        <v>0</v>
      </c>
      <c r="AP225" s="2027">
        <f t="shared" ref="AP225:AR246" si="131">AH225*AD225*CM225</f>
        <v>0</v>
      </c>
      <c r="AQ225" s="2027">
        <f t="shared" si="131"/>
        <v>0</v>
      </c>
      <c r="AR225" s="2027">
        <f t="shared" si="131"/>
        <v>0</v>
      </c>
      <c r="AS225" s="2111">
        <v>150</v>
      </c>
      <c r="AT225" s="2029">
        <f t="shared" ref="AT225:AV246" si="132">$AS225</f>
        <v>150</v>
      </c>
      <c r="AU225" s="2029">
        <f t="shared" si="132"/>
        <v>150</v>
      </c>
      <c r="AV225" s="2029">
        <f t="shared" si="132"/>
        <v>150</v>
      </c>
      <c r="AW225" s="2111">
        <v>0</v>
      </c>
      <c r="AX225" s="2029">
        <f t="shared" ref="AX225:AZ246" si="133">$AW225</f>
        <v>0</v>
      </c>
      <c r="AY225" s="2029">
        <f t="shared" si="133"/>
        <v>0</v>
      </c>
      <c r="AZ225" s="2029">
        <f t="shared" si="133"/>
        <v>0</v>
      </c>
      <c r="BA225" s="2111">
        <v>300</v>
      </c>
      <c r="BB225" s="2029">
        <f t="shared" ref="BB225:BD246" si="134">$BA225</f>
        <v>300</v>
      </c>
      <c r="BC225" s="2029">
        <f t="shared" si="134"/>
        <v>300</v>
      </c>
      <c r="BD225" s="2029">
        <f t="shared" si="134"/>
        <v>300</v>
      </c>
      <c r="BE225" s="2030">
        <f t="shared" ref="BE225:BH246" si="135">AS225*AG225</f>
        <v>2250</v>
      </c>
      <c r="BF225" s="2030">
        <f t="shared" si="135"/>
        <v>2400</v>
      </c>
      <c r="BG225" s="2030">
        <f t="shared" si="135"/>
        <v>3000</v>
      </c>
      <c r="BH225" s="2030">
        <f t="shared" si="135"/>
        <v>2550</v>
      </c>
      <c r="BI225" s="2030">
        <f t="shared" ref="BI225:BL246" si="136">AW225*AG225</f>
        <v>0</v>
      </c>
      <c r="BJ225" s="2030">
        <f t="shared" si="136"/>
        <v>0</v>
      </c>
      <c r="BK225" s="2030">
        <f t="shared" si="136"/>
        <v>0</v>
      </c>
      <c r="BL225" s="2030">
        <f t="shared" si="136"/>
        <v>0</v>
      </c>
      <c r="BM225" s="2111"/>
      <c r="BN225" s="2111"/>
      <c r="BO225" s="2111"/>
      <c r="BP225" s="2111"/>
      <c r="BQ225" s="2111"/>
      <c r="BR225" s="2111"/>
      <c r="BS225" s="2111"/>
      <c r="BT225" s="2111"/>
      <c r="BU225" s="2029"/>
      <c r="BV225" s="2029"/>
      <c r="BW225" s="2029"/>
      <c r="BX225" s="2029"/>
      <c r="BY225" s="2029"/>
      <c r="BZ225" s="2032"/>
      <c r="CA225" s="2112"/>
      <c r="CB225" s="2112"/>
      <c r="CC225" s="2112"/>
      <c r="CD225" s="2112"/>
      <c r="CE225" s="2112">
        <v>0</v>
      </c>
      <c r="CF225" s="2033">
        <v>1.6554133720193543E-5</v>
      </c>
      <c r="CG225" s="2026">
        <v>0</v>
      </c>
      <c r="CH225" s="2113">
        <v>0</v>
      </c>
      <c r="CI225" s="2112"/>
      <c r="CJ225" s="1974"/>
      <c r="CK225" s="2029">
        <f t="shared" si="106"/>
        <v>0</v>
      </c>
      <c r="CL225" s="2034">
        <v>1</v>
      </c>
      <c r="CM225" s="2114">
        <v>1</v>
      </c>
      <c r="CN225" s="2114">
        <v>1</v>
      </c>
      <c r="CO225" s="2114">
        <v>1</v>
      </c>
      <c r="CP225" s="2035"/>
      <c r="CQ225" s="2036"/>
      <c r="CR225" s="2036"/>
      <c r="CS225" s="2049"/>
      <c r="CT225" s="2049"/>
      <c r="CU225" s="2049"/>
      <c r="CW225" s="2115">
        <v>0</v>
      </c>
      <c r="CX225" s="2037">
        <v>150</v>
      </c>
      <c r="CY225" s="2037">
        <v>150</v>
      </c>
      <c r="CZ225" s="2037">
        <v>150</v>
      </c>
      <c r="DA225" s="2037">
        <v>150</v>
      </c>
      <c r="DB225" s="2116"/>
      <c r="DF225" s="2116"/>
      <c r="DJ225" s="2116">
        <v>150</v>
      </c>
      <c r="DK225" s="2115">
        <v>150</v>
      </c>
      <c r="DL225" s="2115">
        <v>150</v>
      </c>
      <c r="DM225" s="2115">
        <v>150</v>
      </c>
      <c r="DN225" s="1977"/>
      <c r="DO225" s="2106">
        <v>10</v>
      </c>
      <c r="DP225" s="2107">
        <v>330</v>
      </c>
      <c r="DQ225" s="2107">
        <v>0</v>
      </c>
      <c r="DR225" s="2106">
        <v>0</v>
      </c>
      <c r="DS225" s="2111">
        <v>150</v>
      </c>
      <c r="DT225" s="2029">
        <v>150</v>
      </c>
      <c r="DU225" s="2029">
        <v>150</v>
      </c>
      <c r="DV225" s="2029">
        <v>150</v>
      </c>
      <c r="DW225" s="2111">
        <v>0</v>
      </c>
      <c r="DX225" s="2029">
        <v>0</v>
      </c>
      <c r="DY225" s="2029">
        <v>0</v>
      </c>
      <c r="DZ225" s="2029">
        <v>0</v>
      </c>
      <c r="EA225" s="2111">
        <v>300</v>
      </c>
      <c r="EB225" s="2029">
        <v>300</v>
      </c>
      <c r="EC225" s="2029">
        <v>300</v>
      </c>
      <c r="ED225" s="2029">
        <v>300</v>
      </c>
      <c r="EE225" s="2039">
        <f t="shared" si="107"/>
        <v>0</v>
      </c>
      <c r="EF225" s="2039">
        <f t="shared" si="107"/>
        <v>0</v>
      </c>
      <c r="EG225" s="2039">
        <f t="shared" si="107"/>
        <v>0</v>
      </c>
      <c r="EH225" s="2039">
        <f t="shared" si="107"/>
        <v>0</v>
      </c>
      <c r="EI225" s="2040">
        <f t="shared" si="103"/>
        <v>0</v>
      </c>
      <c r="EJ225" s="2040">
        <f t="shared" si="103"/>
        <v>0</v>
      </c>
      <c r="EK225" s="2040">
        <f t="shared" si="103"/>
        <v>0</v>
      </c>
      <c r="EL225" s="2040">
        <f t="shared" si="103"/>
        <v>0</v>
      </c>
      <c r="EM225" s="2040">
        <f t="shared" si="103"/>
        <v>0</v>
      </c>
      <c r="EN225" s="2040">
        <f t="shared" si="103"/>
        <v>0</v>
      </c>
      <c r="EO225" s="2040">
        <f t="shared" si="99"/>
        <v>0</v>
      </c>
      <c r="EP225" s="2040">
        <f t="shared" si="99"/>
        <v>0</v>
      </c>
      <c r="EQ225" s="2040">
        <f t="shared" si="99"/>
        <v>0</v>
      </c>
      <c r="ER225" s="2040">
        <f t="shared" ref="ER225:ET288" si="137">BB225-EB225</f>
        <v>0</v>
      </c>
      <c r="ES225" s="2040">
        <f t="shared" si="137"/>
        <v>0</v>
      </c>
      <c r="ET225" s="2040">
        <f t="shared" si="137"/>
        <v>0</v>
      </c>
      <c r="EU225" s="2039">
        <f t="shared" si="108"/>
        <v>0</v>
      </c>
      <c r="EV225" s="2039">
        <f t="shared" si="109"/>
        <v>0</v>
      </c>
    </row>
    <row r="226" spans="1:152" s="2115" customFormat="1" x14ac:dyDescent="0.25">
      <c r="A226" s="2104" t="s">
        <v>272</v>
      </c>
      <c r="B226" s="2105"/>
      <c r="C226" s="2106"/>
      <c r="D226" s="2107"/>
      <c r="E226" s="2107"/>
      <c r="F226" s="2106"/>
      <c r="G226" s="2108" t="s">
        <v>2285</v>
      </c>
      <c r="H226" s="2108" t="s">
        <v>2285</v>
      </c>
      <c r="I226" s="2108">
        <v>0.79999999999999993</v>
      </c>
      <c r="J226" s="2108">
        <v>0.79999999999999993</v>
      </c>
      <c r="K226" s="2108">
        <v>0.79999999999999993</v>
      </c>
      <c r="L226" s="2108">
        <v>0.79999999999999993</v>
      </c>
      <c r="M226" s="2109">
        <f t="shared" si="127"/>
        <v>0</v>
      </c>
      <c r="N226" s="2109">
        <f t="shared" si="127"/>
        <v>0</v>
      </c>
      <c r="O226" s="2109">
        <f t="shared" si="127"/>
        <v>0</v>
      </c>
      <c r="P226" s="2109">
        <f t="shared" si="127"/>
        <v>0</v>
      </c>
      <c r="Q226" s="2108">
        <v>0.79999999999999993</v>
      </c>
      <c r="R226" s="2108">
        <v>0.79999999999999993</v>
      </c>
      <c r="S226" s="2108">
        <v>0.79999999999999993</v>
      </c>
      <c r="T226" s="2108">
        <v>0.79999999999999993</v>
      </c>
      <c r="U226" s="2110">
        <f t="shared" si="128"/>
        <v>0</v>
      </c>
      <c r="V226" s="2110">
        <f t="shared" si="128"/>
        <v>0</v>
      </c>
      <c r="W226" s="2110">
        <f t="shared" si="128"/>
        <v>0</v>
      </c>
      <c r="X226" s="2110">
        <f>$E226*T226</f>
        <v>0</v>
      </c>
      <c r="Y226" s="2108">
        <v>0.60399999999999998</v>
      </c>
      <c r="Z226" s="2108">
        <v>0.60399999999999998</v>
      </c>
      <c r="AA226" s="2108">
        <v>0.60399999999999998</v>
      </c>
      <c r="AB226" s="2108">
        <v>0.60399999999999998</v>
      </c>
      <c r="AC226" s="2027">
        <f t="shared" si="129"/>
        <v>0</v>
      </c>
      <c r="AD226" s="2027">
        <f t="shared" si="129"/>
        <v>0</v>
      </c>
      <c r="AE226" s="2027">
        <f t="shared" si="129"/>
        <v>0</v>
      </c>
      <c r="AF226" s="2027">
        <f>$F226*AB226</f>
        <v>0</v>
      </c>
      <c r="AG226" s="2027">
        <v>0</v>
      </c>
      <c r="AH226" s="2027">
        <v>0</v>
      </c>
      <c r="AI226" s="2027">
        <v>0</v>
      </c>
      <c r="AJ226" s="2027">
        <v>0</v>
      </c>
      <c r="AK226" s="2027">
        <f t="shared" ref="AK226:AK246" si="138">AG226*M226</f>
        <v>0</v>
      </c>
      <c r="AL226" s="2027">
        <f t="shared" si="130"/>
        <v>0</v>
      </c>
      <c r="AM226" s="2027">
        <f t="shared" si="130"/>
        <v>0</v>
      </c>
      <c r="AN226" s="2027">
        <f t="shared" si="130"/>
        <v>0</v>
      </c>
      <c r="AO226" s="2109">
        <f t="shared" ref="AO226:AO246" si="139">AG226*AC226</f>
        <v>0</v>
      </c>
      <c r="AP226" s="2027">
        <f t="shared" si="131"/>
        <v>0</v>
      </c>
      <c r="AQ226" s="2027">
        <f t="shared" si="131"/>
        <v>0</v>
      </c>
      <c r="AR226" s="2027">
        <f t="shared" si="131"/>
        <v>0</v>
      </c>
      <c r="AS226" s="2111"/>
      <c r="AT226" s="2029">
        <f t="shared" si="132"/>
        <v>0</v>
      </c>
      <c r="AU226" s="2029">
        <f t="shared" si="132"/>
        <v>0</v>
      </c>
      <c r="AV226" s="2029">
        <f t="shared" si="132"/>
        <v>0</v>
      </c>
      <c r="AW226" s="2111"/>
      <c r="AX226" s="2029">
        <f t="shared" si="133"/>
        <v>0</v>
      </c>
      <c r="AY226" s="2029">
        <f t="shared" si="133"/>
        <v>0</v>
      </c>
      <c r="AZ226" s="2029">
        <f t="shared" si="133"/>
        <v>0</v>
      </c>
      <c r="BA226" s="2112"/>
      <c r="BB226" s="2029">
        <f t="shared" si="134"/>
        <v>0</v>
      </c>
      <c r="BC226" s="2029">
        <f t="shared" si="134"/>
        <v>0</v>
      </c>
      <c r="BD226" s="2029">
        <f t="shared" si="134"/>
        <v>0</v>
      </c>
      <c r="BE226" s="2030">
        <f t="shared" si="135"/>
        <v>0</v>
      </c>
      <c r="BF226" s="2030">
        <f t="shared" si="135"/>
        <v>0</v>
      </c>
      <c r="BG226" s="2030">
        <f t="shared" si="135"/>
        <v>0</v>
      </c>
      <c r="BH226" s="2030">
        <f t="shared" si="135"/>
        <v>0</v>
      </c>
      <c r="BI226" s="2030">
        <f t="shared" si="136"/>
        <v>0</v>
      </c>
      <c r="BJ226" s="2030">
        <f t="shared" si="136"/>
        <v>0</v>
      </c>
      <c r="BK226" s="2030">
        <f t="shared" si="136"/>
        <v>0</v>
      </c>
      <c r="BL226" s="2030">
        <f t="shared" si="136"/>
        <v>0</v>
      </c>
      <c r="BM226" s="2111"/>
      <c r="BN226" s="2111"/>
      <c r="BO226" s="2111"/>
      <c r="BP226" s="2111"/>
      <c r="BQ226" s="2111"/>
      <c r="BR226" s="2111"/>
      <c r="BS226" s="2111"/>
      <c r="BT226" s="2111"/>
      <c r="BU226" s="2029"/>
      <c r="BV226" s="2029"/>
      <c r="BW226" s="2029"/>
      <c r="BX226" s="2029"/>
      <c r="BY226" s="2029"/>
      <c r="BZ226" s="2032"/>
      <c r="CA226" s="2112"/>
      <c r="CB226" s="2112"/>
      <c r="CC226" s="2112"/>
      <c r="CD226" s="2112"/>
      <c r="CE226" s="2112">
        <v>0</v>
      </c>
      <c r="CF226" s="2033">
        <v>0</v>
      </c>
      <c r="CG226" s="2026">
        <v>0</v>
      </c>
      <c r="CH226" s="2113">
        <v>0</v>
      </c>
      <c r="CI226" s="2112"/>
      <c r="CJ226" s="1974"/>
      <c r="CK226" s="2029">
        <f t="shared" si="106"/>
        <v>0</v>
      </c>
      <c r="CL226" s="2034">
        <v>1</v>
      </c>
      <c r="CM226" s="2108">
        <v>1</v>
      </c>
      <c r="CN226" s="2108">
        <v>1</v>
      </c>
      <c r="CO226" s="2108">
        <v>1</v>
      </c>
      <c r="CP226" s="2035"/>
      <c r="CQ226" s="2036"/>
      <c r="CR226" s="2036"/>
      <c r="CS226" s="2049"/>
      <c r="CT226" s="2049"/>
      <c r="CU226" s="2049"/>
      <c r="CW226" s="2115">
        <v>0</v>
      </c>
      <c r="CX226" s="2037">
        <v>0</v>
      </c>
      <c r="CY226" s="2037">
        <v>0</v>
      </c>
      <c r="CZ226" s="2037">
        <v>0</v>
      </c>
      <c r="DA226" s="2037">
        <v>0</v>
      </c>
      <c r="DB226" s="2116"/>
      <c r="DF226" s="2116"/>
      <c r="DJ226" s="2116"/>
      <c r="DK226" s="2115">
        <v>0</v>
      </c>
      <c r="DL226" s="2115">
        <v>0</v>
      </c>
      <c r="DM226" s="2115">
        <v>0</v>
      </c>
      <c r="DN226" s="1977"/>
      <c r="DO226" s="2106"/>
      <c r="DP226" s="2107"/>
      <c r="DQ226" s="2107"/>
      <c r="DR226" s="2106"/>
      <c r="DS226" s="2111"/>
      <c r="DT226" s="2029">
        <v>0</v>
      </c>
      <c r="DU226" s="2029">
        <v>0</v>
      </c>
      <c r="DV226" s="2029">
        <v>0</v>
      </c>
      <c r="DW226" s="2111"/>
      <c r="DX226" s="2029">
        <v>0</v>
      </c>
      <c r="DY226" s="2029">
        <v>0</v>
      </c>
      <c r="DZ226" s="2029">
        <v>0</v>
      </c>
      <c r="EA226" s="2112"/>
      <c r="EB226" s="2029">
        <v>0</v>
      </c>
      <c r="EC226" s="2029">
        <v>0</v>
      </c>
      <c r="ED226" s="2029">
        <v>0</v>
      </c>
      <c r="EE226" s="2039">
        <f t="shared" si="107"/>
        <v>0</v>
      </c>
      <c r="EF226" s="2039">
        <f t="shared" si="107"/>
        <v>0</v>
      </c>
      <c r="EG226" s="2039">
        <f t="shared" si="107"/>
        <v>0</v>
      </c>
      <c r="EH226" s="2039">
        <f t="shared" si="107"/>
        <v>0</v>
      </c>
      <c r="EI226" s="2040">
        <f t="shared" si="103"/>
        <v>0</v>
      </c>
      <c r="EJ226" s="2040">
        <f t="shared" si="103"/>
        <v>0</v>
      </c>
      <c r="EK226" s="2040">
        <f t="shared" si="103"/>
        <v>0</v>
      </c>
      <c r="EL226" s="2040">
        <f t="shared" si="103"/>
        <v>0</v>
      </c>
      <c r="EM226" s="2040">
        <f t="shared" si="103"/>
        <v>0</v>
      </c>
      <c r="EN226" s="2040">
        <f t="shared" si="103"/>
        <v>0</v>
      </c>
      <c r="EO226" s="2040">
        <f t="shared" si="103"/>
        <v>0</v>
      </c>
      <c r="EP226" s="2040">
        <f t="shared" si="103"/>
        <v>0</v>
      </c>
      <c r="EQ226" s="2040">
        <f t="shared" si="103"/>
        <v>0</v>
      </c>
      <c r="ER226" s="2040">
        <f t="shared" si="137"/>
        <v>0</v>
      </c>
      <c r="ES226" s="2040">
        <f t="shared" si="137"/>
        <v>0</v>
      </c>
      <c r="ET226" s="2040">
        <f t="shared" si="137"/>
        <v>0</v>
      </c>
      <c r="EU226" s="2039">
        <f t="shared" si="108"/>
        <v>0</v>
      </c>
      <c r="EV226" s="2039">
        <f t="shared" si="109"/>
        <v>0</v>
      </c>
    </row>
    <row r="227" spans="1:152" x14ac:dyDescent="0.25">
      <c r="A227" s="2104" t="s">
        <v>208</v>
      </c>
      <c r="B227" s="2105"/>
      <c r="C227" s="2106">
        <v>18</v>
      </c>
      <c r="D227" s="2107">
        <v>4596</v>
      </c>
      <c r="E227" s="2107">
        <v>1.4</v>
      </c>
      <c r="F227" s="2106">
        <v>0</v>
      </c>
      <c r="G227" s="2108" t="s">
        <v>2285</v>
      </c>
      <c r="H227" s="2108" t="s">
        <v>2285</v>
      </c>
      <c r="I227" s="2108">
        <v>0.79999999999999993</v>
      </c>
      <c r="J227" s="2108">
        <v>0.79999999999999993</v>
      </c>
      <c r="K227" s="2108">
        <v>0.79999999999999993</v>
      </c>
      <c r="L227" s="2108">
        <v>0.79999999999999993</v>
      </c>
      <c r="M227" s="2109">
        <f t="shared" si="127"/>
        <v>3676.7999999999997</v>
      </c>
      <c r="N227" s="2109">
        <f t="shared" si="127"/>
        <v>3676.7999999999997</v>
      </c>
      <c r="O227" s="2109">
        <f t="shared" si="127"/>
        <v>3676.7999999999997</v>
      </c>
      <c r="P227" s="2109">
        <f t="shared" si="127"/>
        <v>3676.7999999999997</v>
      </c>
      <c r="Q227" s="2108">
        <v>0.79999999999999993</v>
      </c>
      <c r="R227" s="2108">
        <v>0.79999999999999993</v>
      </c>
      <c r="S227" s="2108">
        <v>0.79999999999999993</v>
      </c>
      <c r="T227" s="2108">
        <v>0.79999999999999993</v>
      </c>
      <c r="U227" s="2110">
        <f t="shared" si="128"/>
        <v>1.1199999999999999</v>
      </c>
      <c r="V227" s="2110">
        <f t="shared" si="128"/>
        <v>1.1199999999999999</v>
      </c>
      <c r="W227" s="2110">
        <f t="shared" si="128"/>
        <v>1.1199999999999999</v>
      </c>
      <c r="X227" s="2110">
        <f>$E227*T227</f>
        <v>1.1199999999999999</v>
      </c>
      <c r="Y227" s="2108">
        <v>0.60399999999999998</v>
      </c>
      <c r="Z227" s="2108">
        <v>0.60399999999999998</v>
      </c>
      <c r="AA227" s="2108">
        <v>0.60399999999999998</v>
      </c>
      <c r="AB227" s="2108">
        <v>0.60399999999999998</v>
      </c>
      <c r="AC227" s="2027">
        <f t="shared" si="129"/>
        <v>0</v>
      </c>
      <c r="AD227" s="2027">
        <f t="shared" si="129"/>
        <v>0</v>
      </c>
      <c r="AE227" s="2027">
        <f t="shared" si="129"/>
        <v>0</v>
      </c>
      <c r="AF227" s="2027">
        <f>$F227*AB227</f>
        <v>0</v>
      </c>
      <c r="AG227" s="2027">
        <v>18</v>
      </c>
      <c r="AH227" s="2027">
        <v>19</v>
      </c>
      <c r="AI227" s="2027">
        <v>39</v>
      </c>
      <c r="AJ227" s="2027">
        <v>40</v>
      </c>
      <c r="AK227" s="2027">
        <f t="shared" si="138"/>
        <v>66182.399999999994</v>
      </c>
      <c r="AL227" s="2027">
        <f t="shared" si="130"/>
        <v>69859.199999999997</v>
      </c>
      <c r="AM227" s="2027">
        <f t="shared" si="130"/>
        <v>143395.19999999998</v>
      </c>
      <c r="AN227" s="2027">
        <f t="shared" si="130"/>
        <v>147072</v>
      </c>
      <c r="AO227" s="2109">
        <f t="shared" si="139"/>
        <v>0</v>
      </c>
      <c r="AP227" s="2027">
        <f t="shared" si="131"/>
        <v>0</v>
      </c>
      <c r="AQ227" s="2027">
        <f t="shared" si="131"/>
        <v>0</v>
      </c>
      <c r="AR227" s="2027">
        <f t="shared" si="131"/>
        <v>0</v>
      </c>
      <c r="AS227" s="2111">
        <v>700</v>
      </c>
      <c r="AT227" s="2029">
        <f t="shared" si="132"/>
        <v>700</v>
      </c>
      <c r="AU227" s="2029">
        <f t="shared" si="132"/>
        <v>700</v>
      </c>
      <c r="AV227" s="2029">
        <f t="shared" si="132"/>
        <v>700</v>
      </c>
      <c r="AW227" s="2111"/>
      <c r="AX227" s="2029">
        <f t="shared" si="133"/>
        <v>0</v>
      </c>
      <c r="AY227" s="2029">
        <f t="shared" si="133"/>
        <v>0</v>
      </c>
      <c r="AZ227" s="2029">
        <f t="shared" si="133"/>
        <v>0</v>
      </c>
      <c r="BA227" s="2111">
        <v>3750</v>
      </c>
      <c r="BB227" s="2029">
        <f t="shared" si="134"/>
        <v>3750</v>
      </c>
      <c r="BC227" s="2029">
        <f t="shared" si="134"/>
        <v>3750</v>
      </c>
      <c r="BD227" s="2029">
        <f t="shared" si="134"/>
        <v>3750</v>
      </c>
      <c r="BE227" s="2030">
        <f t="shared" si="135"/>
        <v>12600</v>
      </c>
      <c r="BF227" s="2030">
        <f t="shared" si="135"/>
        <v>13300</v>
      </c>
      <c r="BG227" s="2030">
        <f t="shared" si="135"/>
        <v>27300</v>
      </c>
      <c r="BH227" s="2030">
        <f t="shared" si="135"/>
        <v>28000</v>
      </c>
      <c r="BI227" s="2030">
        <f t="shared" si="136"/>
        <v>0</v>
      </c>
      <c r="BJ227" s="2030">
        <f t="shared" si="136"/>
        <v>0</v>
      </c>
      <c r="BK227" s="2030">
        <f t="shared" si="136"/>
        <v>0</v>
      </c>
      <c r="BL227" s="2030">
        <f t="shared" si="136"/>
        <v>0</v>
      </c>
      <c r="BM227" s="2111"/>
      <c r="BN227" s="2111"/>
      <c r="BO227" s="2111"/>
      <c r="BP227" s="2111"/>
      <c r="BQ227" s="2111"/>
      <c r="BR227" s="2111"/>
      <c r="BS227" s="2111"/>
      <c r="BT227" s="2111"/>
      <c r="BU227" s="2029"/>
      <c r="BV227" s="2029"/>
      <c r="BW227" s="2029"/>
      <c r="BX227" s="2029"/>
      <c r="BY227" s="2029"/>
      <c r="BZ227" s="2032"/>
      <c r="CA227" s="1974"/>
      <c r="CB227" s="1974"/>
      <c r="CC227" s="1974"/>
      <c r="CD227" s="1974"/>
      <c r="CE227" s="1974">
        <v>0</v>
      </c>
      <c r="CF227" s="2033">
        <v>2.7666472210185279E-4</v>
      </c>
      <c r="CG227" s="2026">
        <v>0</v>
      </c>
      <c r="CH227" s="2009">
        <v>0</v>
      </c>
      <c r="CK227" s="2029">
        <f t="shared" si="106"/>
        <v>0</v>
      </c>
      <c r="CL227" s="2034">
        <v>1</v>
      </c>
      <c r="CM227" s="2026">
        <v>1</v>
      </c>
      <c r="CN227" s="2026">
        <v>1</v>
      </c>
      <c r="CO227" s="2026">
        <v>1</v>
      </c>
      <c r="CP227" s="2035"/>
      <c r="CQ227" s="2036"/>
      <c r="CR227" s="2036"/>
      <c r="CS227" s="2049"/>
      <c r="CT227" s="2049"/>
      <c r="CU227" s="2049"/>
      <c r="CW227" s="1973">
        <v>0</v>
      </c>
      <c r="CX227" s="2037">
        <v>700</v>
      </c>
      <c r="CY227" s="2037">
        <v>700</v>
      </c>
      <c r="CZ227" s="2037">
        <v>700</v>
      </c>
      <c r="DA227" s="2037">
        <v>700</v>
      </c>
      <c r="DJ227" s="1976">
        <v>700</v>
      </c>
      <c r="DK227" s="1973">
        <v>700</v>
      </c>
      <c r="DL227" s="1973">
        <v>700</v>
      </c>
      <c r="DM227" s="1973">
        <v>700</v>
      </c>
      <c r="DO227" s="2106">
        <v>18</v>
      </c>
      <c r="DP227" s="2107">
        <v>4596</v>
      </c>
      <c r="DQ227" s="2107">
        <v>1.4</v>
      </c>
      <c r="DR227" s="2106">
        <v>0</v>
      </c>
      <c r="DS227" s="2111">
        <v>700</v>
      </c>
      <c r="DT227" s="2029">
        <v>700</v>
      </c>
      <c r="DU227" s="2029">
        <v>700</v>
      </c>
      <c r="DV227" s="2029">
        <v>700</v>
      </c>
      <c r="DW227" s="2111"/>
      <c r="DX227" s="2029">
        <v>0</v>
      </c>
      <c r="DY227" s="2029">
        <v>0</v>
      </c>
      <c r="DZ227" s="2029">
        <v>0</v>
      </c>
      <c r="EA227" s="2111">
        <v>3750</v>
      </c>
      <c r="EB227" s="2029">
        <v>3750</v>
      </c>
      <c r="EC227" s="2029">
        <v>3750</v>
      </c>
      <c r="ED227" s="2029">
        <v>3750</v>
      </c>
      <c r="EE227" s="2039">
        <f t="shared" si="107"/>
        <v>0</v>
      </c>
      <c r="EF227" s="2039">
        <f t="shared" si="107"/>
        <v>0</v>
      </c>
      <c r="EG227" s="2039">
        <f t="shared" si="107"/>
        <v>0</v>
      </c>
      <c r="EH227" s="2039">
        <f t="shared" si="107"/>
        <v>0</v>
      </c>
      <c r="EI227" s="2040">
        <f t="shared" ref="EI227:EQ255" si="140">AS227-DS227</f>
        <v>0</v>
      </c>
      <c r="EJ227" s="2040">
        <f t="shared" si="140"/>
        <v>0</v>
      </c>
      <c r="EK227" s="2040">
        <f t="shared" si="140"/>
        <v>0</v>
      </c>
      <c r="EL227" s="2040">
        <f t="shared" si="140"/>
        <v>0</v>
      </c>
      <c r="EM227" s="2040">
        <f t="shared" si="140"/>
        <v>0</v>
      </c>
      <c r="EN227" s="2040">
        <f t="shared" si="140"/>
        <v>0</v>
      </c>
      <c r="EO227" s="2040">
        <f t="shared" si="140"/>
        <v>0</v>
      </c>
      <c r="EP227" s="2040">
        <f t="shared" si="140"/>
        <v>0</v>
      </c>
      <c r="EQ227" s="2040">
        <f t="shared" si="140"/>
        <v>0</v>
      </c>
      <c r="ER227" s="2040">
        <f t="shared" si="137"/>
        <v>0</v>
      </c>
      <c r="ES227" s="2040">
        <f t="shared" si="137"/>
        <v>0</v>
      </c>
      <c r="ET227" s="2040">
        <f t="shared" si="137"/>
        <v>0</v>
      </c>
      <c r="EU227" s="2039">
        <f t="shared" si="108"/>
        <v>0</v>
      </c>
      <c r="EV227" s="2039">
        <f t="shared" si="109"/>
        <v>0</v>
      </c>
    </row>
    <row r="228" spans="1:152" x14ac:dyDescent="0.25">
      <c r="A228" s="2104" t="s">
        <v>1035</v>
      </c>
      <c r="B228" s="2105"/>
      <c r="C228" s="2106"/>
      <c r="D228" s="2107"/>
      <c r="E228" s="2107"/>
      <c r="F228" s="2106"/>
      <c r="G228" s="2108" t="s">
        <v>2899</v>
      </c>
      <c r="H228" s="2108" t="s">
        <v>2899</v>
      </c>
      <c r="I228" s="2108">
        <v>0.84899999999999998</v>
      </c>
      <c r="J228" s="2108">
        <v>0.84899999999999998</v>
      </c>
      <c r="K228" s="2108">
        <v>0.84899999999999998</v>
      </c>
      <c r="L228" s="2108">
        <v>0.84899999999999998</v>
      </c>
      <c r="M228" s="2109">
        <f t="shared" si="127"/>
        <v>0</v>
      </c>
      <c r="N228" s="2109">
        <f t="shared" si="127"/>
        <v>0</v>
      </c>
      <c r="O228" s="2109">
        <f t="shared" si="127"/>
        <v>0</v>
      </c>
      <c r="P228" s="2109">
        <f t="shared" si="127"/>
        <v>0</v>
      </c>
      <c r="Q228" s="2108">
        <v>0.84899999999999998</v>
      </c>
      <c r="R228" s="2108">
        <v>0.84899999999999998</v>
      </c>
      <c r="S228" s="2108">
        <v>0.84899999999999998</v>
      </c>
      <c r="T228" s="2108">
        <v>0.84899999999999998</v>
      </c>
      <c r="U228" s="2110">
        <f t="shared" si="128"/>
        <v>0</v>
      </c>
      <c r="V228" s="2110">
        <f t="shared" si="128"/>
        <v>0</v>
      </c>
      <c r="W228" s="2110">
        <f t="shared" si="128"/>
        <v>0</v>
      </c>
      <c r="X228" s="2110">
        <f t="shared" si="128"/>
        <v>0</v>
      </c>
      <c r="Y228" s="2108">
        <v>0.67500000000000004</v>
      </c>
      <c r="Z228" s="2108">
        <v>0.67500000000000004</v>
      </c>
      <c r="AA228" s="2108">
        <v>0.67500000000000004</v>
      </c>
      <c r="AB228" s="2108">
        <v>0.67500000000000004</v>
      </c>
      <c r="AC228" s="2027">
        <f t="shared" si="129"/>
        <v>0</v>
      </c>
      <c r="AD228" s="2027">
        <f t="shared" si="129"/>
        <v>0</v>
      </c>
      <c r="AE228" s="2027">
        <f t="shared" si="129"/>
        <v>0</v>
      </c>
      <c r="AF228" s="2027">
        <f t="shared" si="129"/>
        <v>0</v>
      </c>
      <c r="AG228" s="2027">
        <v>0</v>
      </c>
      <c r="AH228" s="2027">
        <v>0</v>
      </c>
      <c r="AI228" s="2027">
        <v>0</v>
      </c>
      <c r="AJ228" s="2027">
        <v>0</v>
      </c>
      <c r="AK228" s="2027">
        <f t="shared" si="138"/>
        <v>0</v>
      </c>
      <c r="AL228" s="2027">
        <f t="shared" si="130"/>
        <v>0</v>
      </c>
      <c r="AM228" s="2027">
        <f t="shared" si="130"/>
        <v>0</v>
      </c>
      <c r="AN228" s="2027">
        <f t="shared" si="130"/>
        <v>0</v>
      </c>
      <c r="AO228" s="2109">
        <f t="shared" si="139"/>
        <v>0</v>
      </c>
      <c r="AP228" s="2027">
        <f t="shared" si="131"/>
        <v>0</v>
      </c>
      <c r="AQ228" s="2027">
        <f t="shared" si="131"/>
        <v>0</v>
      </c>
      <c r="AR228" s="2027">
        <f t="shared" si="131"/>
        <v>0</v>
      </c>
      <c r="AS228" s="2111"/>
      <c r="AT228" s="2029">
        <f t="shared" si="132"/>
        <v>0</v>
      </c>
      <c r="AU228" s="2029">
        <f t="shared" si="132"/>
        <v>0</v>
      </c>
      <c r="AV228" s="2029">
        <f t="shared" si="132"/>
        <v>0</v>
      </c>
      <c r="AW228" s="2111"/>
      <c r="AX228" s="2029">
        <f t="shared" si="133"/>
        <v>0</v>
      </c>
      <c r="AY228" s="2029">
        <f t="shared" si="133"/>
        <v>0</v>
      </c>
      <c r="AZ228" s="2029">
        <f t="shared" si="133"/>
        <v>0</v>
      </c>
      <c r="BA228" s="2111"/>
      <c r="BB228" s="2029">
        <f t="shared" si="134"/>
        <v>0</v>
      </c>
      <c r="BC228" s="2029">
        <f t="shared" si="134"/>
        <v>0</v>
      </c>
      <c r="BD228" s="2029">
        <f t="shared" si="134"/>
        <v>0</v>
      </c>
      <c r="BE228" s="2030">
        <f t="shared" si="135"/>
        <v>0</v>
      </c>
      <c r="BF228" s="2030">
        <f t="shared" si="135"/>
        <v>0</v>
      </c>
      <c r="BG228" s="2030">
        <f t="shared" si="135"/>
        <v>0</v>
      </c>
      <c r="BH228" s="2030">
        <f t="shared" si="135"/>
        <v>0</v>
      </c>
      <c r="BI228" s="2030">
        <f t="shared" si="136"/>
        <v>0</v>
      </c>
      <c r="BJ228" s="2030">
        <f t="shared" si="136"/>
        <v>0</v>
      </c>
      <c r="BK228" s="2030">
        <f t="shared" si="136"/>
        <v>0</v>
      </c>
      <c r="BL228" s="2030">
        <f t="shared" si="136"/>
        <v>0</v>
      </c>
      <c r="BM228" s="2111"/>
      <c r="BN228" s="2111"/>
      <c r="BO228" s="2111"/>
      <c r="BP228" s="2111"/>
      <c r="BQ228" s="2111"/>
      <c r="BR228" s="2111"/>
      <c r="BS228" s="2111"/>
      <c r="BT228" s="2111"/>
      <c r="BU228" s="2029"/>
      <c r="BV228" s="2029"/>
      <c r="BW228" s="2029"/>
      <c r="BX228" s="2029"/>
      <c r="BY228" s="2029"/>
      <c r="BZ228" s="2032"/>
      <c r="CA228" s="1974"/>
      <c r="CB228" s="1974"/>
      <c r="CC228" s="1974"/>
      <c r="CD228" s="1974"/>
      <c r="CE228" s="1974">
        <v>0</v>
      </c>
      <c r="CF228" s="2033">
        <v>0</v>
      </c>
      <c r="CG228" s="2026">
        <v>0</v>
      </c>
      <c r="CH228" s="2009">
        <v>0</v>
      </c>
      <c r="CK228" s="2029"/>
      <c r="CL228" s="2034"/>
      <c r="CM228" s="2026"/>
      <c r="CN228" s="2026"/>
      <c r="CO228" s="2026">
        <v>1</v>
      </c>
      <c r="CP228" s="2035"/>
      <c r="CQ228" s="2036"/>
      <c r="CR228" s="2036"/>
      <c r="CS228" s="2049"/>
      <c r="CT228" s="2049"/>
      <c r="CU228" s="2049"/>
      <c r="CW228" s="1973">
        <v>0</v>
      </c>
      <c r="CX228" s="2037">
        <v>0</v>
      </c>
      <c r="CY228" s="2037">
        <v>0</v>
      </c>
      <c r="CZ228" s="2037">
        <v>0</v>
      </c>
      <c r="DA228" s="2037">
        <v>0</v>
      </c>
      <c r="DK228" s="1973">
        <v>0</v>
      </c>
      <c r="DL228" s="1973">
        <v>0</v>
      </c>
      <c r="DM228" s="1973">
        <v>0</v>
      </c>
      <c r="DO228" s="2106"/>
      <c r="DP228" s="2107"/>
      <c r="DQ228" s="2107"/>
      <c r="DR228" s="2106"/>
      <c r="DS228" s="2111"/>
      <c r="DT228" s="2029">
        <v>0</v>
      </c>
      <c r="DU228" s="2029">
        <v>0</v>
      </c>
      <c r="DV228" s="2029">
        <v>0</v>
      </c>
      <c r="DW228" s="2111"/>
      <c r="DX228" s="2029">
        <v>0</v>
      </c>
      <c r="DY228" s="2029">
        <v>0</v>
      </c>
      <c r="DZ228" s="2029">
        <v>0</v>
      </c>
      <c r="EA228" s="2111"/>
      <c r="EB228" s="2029">
        <v>0</v>
      </c>
      <c r="EC228" s="2029">
        <v>0</v>
      </c>
      <c r="ED228" s="2029">
        <v>0</v>
      </c>
      <c r="EE228" s="2039">
        <f t="shared" si="107"/>
        <v>0</v>
      </c>
      <c r="EF228" s="2039">
        <f t="shared" si="107"/>
        <v>0</v>
      </c>
      <c r="EG228" s="2039">
        <f t="shared" si="107"/>
        <v>0</v>
      </c>
      <c r="EH228" s="2039">
        <f t="shared" si="107"/>
        <v>0</v>
      </c>
      <c r="EI228" s="2040">
        <f t="shared" si="140"/>
        <v>0</v>
      </c>
      <c r="EJ228" s="2040">
        <f t="shared" si="140"/>
        <v>0</v>
      </c>
      <c r="EK228" s="2040">
        <f t="shared" si="140"/>
        <v>0</v>
      </c>
      <c r="EL228" s="2040">
        <f t="shared" si="140"/>
        <v>0</v>
      </c>
      <c r="EM228" s="2040">
        <f t="shared" si="140"/>
        <v>0</v>
      </c>
      <c r="EN228" s="2040">
        <f t="shared" si="140"/>
        <v>0</v>
      </c>
      <c r="EO228" s="2040">
        <f t="shared" si="140"/>
        <v>0</v>
      </c>
      <c r="EP228" s="2040">
        <f t="shared" si="140"/>
        <v>0</v>
      </c>
      <c r="EQ228" s="2040">
        <f t="shared" si="140"/>
        <v>0</v>
      </c>
      <c r="ER228" s="2040">
        <f t="shared" si="137"/>
        <v>0</v>
      </c>
      <c r="ES228" s="2040">
        <f t="shared" si="137"/>
        <v>0</v>
      </c>
      <c r="ET228" s="2040">
        <f t="shared" si="137"/>
        <v>0</v>
      </c>
      <c r="EU228" s="2039">
        <f t="shared" si="108"/>
        <v>0</v>
      </c>
      <c r="EV228" s="2039">
        <f t="shared" si="109"/>
        <v>0</v>
      </c>
    </row>
    <row r="229" spans="1:152" x14ac:dyDescent="0.25">
      <c r="A229" s="2117" t="s">
        <v>2995</v>
      </c>
      <c r="B229" s="2022"/>
      <c r="C229" s="2023">
        <v>15</v>
      </c>
      <c r="D229" s="2024">
        <v>27.794957926000002</v>
      </c>
      <c r="E229" s="2024">
        <v>5.9527580800000012E-3</v>
      </c>
      <c r="F229" s="2023">
        <v>-0.56099915080000007</v>
      </c>
      <c r="G229" s="2026" t="s">
        <v>2870</v>
      </c>
      <c r="H229" s="2026" t="s">
        <v>2870</v>
      </c>
      <c r="I229" s="2026">
        <v>0.77300000000000002</v>
      </c>
      <c r="J229" s="2026">
        <v>0.77300000000000002</v>
      </c>
      <c r="K229" s="2026">
        <v>0.77300000000000002</v>
      </c>
      <c r="L229" s="2026">
        <v>0.77300000000000002</v>
      </c>
      <c r="M229" s="2027">
        <f t="shared" si="127"/>
        <v>21.485502476798001</v>
      </c>
      <c r="N229" s="2027">
        <f t="shared" si="127"/>
        <v>21.485502476798001</v>
      </c>
      <c r="O229" s="2027">
        <f t="shared" si="127"/>
        <v>21.485502476798001</v>
      </c>
      <c r="P229" s="2027">
        <f t="shared" si="127"/>
        <v>21.485502476798001</v>
      </c>
      <c r="Q229" s="2026">
        <v>0.77300000000000002</v>
      </c>
      <c r="R229" s="2026">
        <v>0.77300000000000002</v>
      </c>
      <c r="S229" s="2026">
        <v>0.77300000000000002</v>
      </c>
      <c r="T229" s="2026">
        <v>0.77300000000000002</v>
      </c>
      <c r="U229" s="2028">
        <f t="shared" si="128"/>
        <v>4.6014819958400009E-3</v>
      </c>
      <c r="V229" s="2028">
        <f t="shared" si="128"/>
        <v>4.6014819958400009E-3</v>
      </c>
      <c r="W229" s="2028">
        <f t="shared" si="128"/>
        <v>4.6014819958400009E-3</v>
      </c>
      <c r="X229" s="2028">
        <f t="shared" si="128"/>
        <v>4.6014819958400009E-3</v>
      </c>
      <c r="Y229" s="2026">
        <v>0.77300000000000002</v>
      </c>
      <c r="Z229" s="2026">
        <v>0.77300000000000002</v>
      </c>
      <c r="AA229" s="2026">
        <v>0.77300000000000002</v>
      </c>
      <c r="AB229" s="2026">
        <v>0.77300000000000002</v>
      </c>
      <c r="AC229" s="2027">
        <f t="shared" si="129"/>
        <v>-0.43365234356840004</v>
      </c>
      <c r="AD229" s="2027">
        <f t="shared" si="129"/>
        <v>-0.43365234356840004</v>
      </c>
      <c r="AE229" s="2027">
        <f t="shared" si="129"/>
        <v>-0.43365234356840004</v>
      </c>
      <c r="AF229" s="2027">
        <f t="shared" si="129"/>
        <v>-0.43365234356840004</v>
      </c>
      <c r="AG229" s="2027">
        <v>4500</v>
      </c>
      <c r="AH229" s="2027">
        <v>5000</v>
      </c>
      <c r="AI229" s="2027">
        <v>5500</v>
      </c>
      <c r="AJ229" s="2027">
        <v>6000</v>
      </c>
      <c r="AK229" s="2027">
        <f t="shared" si="138"/>
        <v>96684.761145591008</v>
      </c>
      <c r="AL229" s="2027">
        <f t="shared" si="130"/>
        <v>80570.634287992507</v>
      </c>
      <c r="AM229" s="2027">
        <f t="shared" si="130"/>
        <v>88627.69771679175</v>
      </c>
      <c r="AN229" s="2027">
        <f t="shared" si="130"/>
        <v>96684.761145590994</v>
      </c>
      <c r="AO229" s="2027">
        <f t="shared" si="139"/>
        <v>-1951.4355460578001</v>
      </c>
      <c r="AP229" s="2027">
        <f t="shared" si="131"/>
        <v>-1626.1962883814999</v>
      </c>
      <c r="AQ229" s="2027">
        <f t="shared" si="131"/>
        <v>-1788.8159172196501</v>
      </c>
      <c r="AR229" s="2027">
        <f t="shared" si="131"/>
        <v>-1951.4355460578004</v>
      </c>
      <c r="AS229" s="2064">
        <v>2</v>
      </c>
      <c r="AT229" s="2029">
        <v>1.5</v>
      </c>
      <c r="AU229" s="2029">
        <v>1.5</v>
      </c>
      <c r="AV229" s="2029">
        <v>1.5</v>
      </c>
      <c r="AW229" s="2031">
        <v>0</v>
      </c>
      <c r="AX229" s="2029">
        <f t="shared" si="133"/>
        <v>0</v>
      </c>
      <c r="AY229" s="2029">
        <f t="shared" si="133"/>
        <v>0</v>
      </c>
      <c r="AZ229" s="2029">
        <f t="shared" si="133"/>
        <v>0</v>
      </c>
      <c r="BA229" s="2031">
        <v>1.2999999999999989</v>
      </c>
      <c r="BB229" s="2029">
        <f t="shared" si="134"/>
        <v>1.2999999999999989</v>
      </c>
      <c r="BC229" s="2029">
        <f t="shared" si="134"/>
        <v>1.2999999999999989</v>
      </c>
      <c r="BD229" s="2029">
        <f t="shared" si="134"/>
        <v>1.2999999999999989</v>
      </c>
      <c r="BE229" s="2030">
        <f t="shared" si="135"/>
        <v>9000</v>
      </c>
      <c r="BF229" s="2030">
        <f t="shared" si="135"/>
        <v>7500</v>
      </c>
      <c r="BG229" s="2030">
        <f t="shared" si="135"/>
        <v>8250</v>
      </c>
      <c r="BH229" s="2030">
        <f t="shared" si="135"/>
        <v>9000</v>
      </c>
      <c r="BI229" s="2030">
        <f t="shared" si="136"/>
        <v>0</v>
      </c>
      <c r="BJ229" s="2030">
        <f t="shared" si="136"/>
        <v>0</v>
      </c>
      <c r="BK229" s="2030">
        <f t="shared" si="136"/>
        <v>0</v>
      </c>
      <c r="BL229" s="2030">
        <f t="shared" si="136"/>
        <v>0</v>
      </c>
      <c r="BM229" s="2031"/>
      <c r="BN229" s="2031"/>
      <c r="BO229" s="2031"/>
      <c r="BP229" s="2031"/>
      <c r="BQ229" s="2031"/>
      <c r="BR229" s="2031"/>
      <c r="BS229" s="2031"/>
      <c r="BT229" s="2031"/>
      <c r="BU229" s="2029"/>
      <c r="BV229" s="2029"/>
      <c r="BW229" s="2029"/>
      <c r="BX229" s="2029"/>
      <c r="BY229" s="2029"/>
      <c r="BZ229" s="2032"/>
      <c r="CA229" s="1974"/>
      <c r="CB229" s="1974"/>
      <c r="CC229" s="1974"/>
      <c r="CD229" s="1974"/>
      <c r="CE229" s="1974">
        <v>1</v>
      </c>
      <c r="CF229" s="2033">
        <v>4.0417486482552688E-4</v>
      </c>
      <c r="CG229" s="2026">
        <v>-7.2804241222729378E-4</v>
      </c>
      <c r="CH229" s="2009">
        <v>1</v>
      </c>
      <c r="CI229" s="2029">
        <v>1.1461222222222223</v>
      </c>
      <c r="CK229" s="2029">
        <f t="shared" si="106"/>
        <v>-1.1461222222222223</v>
      </c>
      <c r="CL229" s="2034">
        <v>1</v>
      </c>
      <c r="CM229" s="2034">
        <v>0.75</v>
      </c>
      <c r="CN229" s="2034">
        <v>0.75</v>
      </c>
      <c r="CO229" s="2034">
        <v>0.75</v>
      </c>
      <c r="CP229" s="2035"/>
      <c r="CQ229" s="2036"/>
      <c r="CR229" s="2036"/>
      <c r="CS229" s="2036"/>
      <c r="CT229" s="2036"/>
      <c r="CU229" s="2036"/>
      <c r="CW229" s="1973">
        <v>1</v>
      </c>
      <c r="CX229" s="2037">
        <v>2</v>
      </c>
      <c r="CY229" s="2037">
        <v>1.5</v>
      </c>
      <c r="CZ229" s="2037">
        <v>1.5</v>
      </c>
      <c r="DA229" s="2037">
        <v>1.5</v>
      </c>
      <c r="DJ229" s="1976">
        <v>2</v>
      </c>
      <c r="DK229" s="1973">
        <v>1.5</v>
      </c>
      <c r="DL229" s="1973">
        <v>1.5</v>
      </c>
      <c r="DM229" s="1973">
        <v>1.5</v>
      </c>
      <c r="DO229" s="2023">
        <v>15</v>
      </c>
      <c r="DP229" s="2024">
        <v>27.794957926000002</v>
      </c>
      <c r="DQ229" s="2024">
        <v>5.9527580800000012E-3</v>
      </c>
      <c r="DR229" s="2023">
        <v>-0.56099915080000007</v>
      </c>
      <c r="DS229" s="2064">
        <v>2</v>
      </c>
      <c r="DT229" s="2029">
        <v>1.5</v>
      </c>
      <c r="DU229" s="2029">
        <v>1.5</v>
      </c>
      <c r="DV229" s="2029">
        <v>1.5</v>
      </c>
      <c r="DW229" s="2031">
        <v>0</v>
      </c>
      <c r="DX229" s="2029">
        <v>0</v>
      </c>
      <c r="DY229" s="2029">
        <v>0</v>
      </c>
      <c r="DZ229" s="2029">
        <v>0</v>
      </c>
      <c r="EA229" s="2031">
        <v>1.2999999999999989</v>
      </c>
      <c r="EB229" s="2029">
        <v>1.2999999999999989</v>
      </c>
      <c r="EC229" s="2029">
        <v>1.2999999999999989</v>
      </c>
      <c r="ED229" s="2029">
        <v>1.2999999999999989</v>
      </c>
      <c r="EE229" s="2039">
        <f t="shared" si="107"/>
        <v>0</v>
      </c>
      <c r="EF229" s="2039">
        <f t="shared" si="107"/>
        <v>0</v>
      </c>
      <c r="EG229" s="2039">
        <f t="shared" si="107"/>
        <v>0</v>
      </c>
      <c r="EH229" s="2039">
        <f t="shared" si="107"/>
        <v>0</v>
      </c>
      <c r="EI229" s="2040">
        <f t="shared" si="140"/>
        <v>0</v>
      </c>
      <c r="EJ229" s="2040">
        <f t="shared" si="140"/>
        <v>0</v>
      </c>
      <c r="EK229" s="2040">
        <f t="shared" si="140"/>
        <v>0</v>
      </c>
      <c r="EL229" s="2040">
        <f t="shared" si="140"/>
        <v>0</v>
      </c>
      <c r="EM229" s="2040">
        <f t="shared" si="140"/>
        <v>0</v>
      </c>
      <c r="EN229" s="2040">
        <f t="shared" si="140"/>
        <v>0</v>
      </c>
      <c r="EO229" s="2040">
        <f t="shared" si="140"/>
        <v>0</v>
      </c>
      <c r="EP229" s="2040">
        <f t="shared" si="140"/>
        <v>0</v>
      </c>
      <c r="EQ229" s="2040">
        <f t="shared" si="140"/>
        <v>0</v>
      </c>
      <c r="ER229" s="2040">
        <f t="shared" si="137"/>
        <v>0</v>
      </c>
      <c r="ES229" s="2040">
        <f t="shared" si="137"/>
        <v>0</v>
      </c>
      <c r="ET229" s="2040">
        <f t="shared" si="137"/>
        <v>0</v>
      </c>
      <c r="EU229" s="2039">
        <f t="shared" si="108"/>
        <v>0</v>
      </c>
      <c r="EV229" s="2039">
        <f t="shared" si="109"/>
        <v>0</v>
      </c>
    </row>
    <row r="230" spans="1:152" x14ac:dyDescent="0.25">
      <c r="A230" s="2104" t="s">
        <v>1037</v>
      </c>
      <c r="B230" s="2105"/>
      <c r="C230" s="2106"/>
      <c r="D230" s="2107"/>
      <c r="E230" s="2107"/>
      <c r="F230" s="2106"/>
      <c r="G230" s="2108" t="s">
        <v>2285</v>
      </c>
      <c r="H230" s="2108" t="s">
        <v>2285</v>
      </c>
      <c r="I230" s="2108">
        <v>0.79999999999999993</v>
      </c>
      <c r="J230" s="2108">
        <v>0.79999999999999993</v>
      </c>
      <c r="K230" s="2108">
        <v>0.79999999999999993</v>
      </c>
      <c r="L230" s="2108">
        <v>0.79999999999999993</v>
      </c>
      <c r="M230" s="2109">
        <f t="shared" si="127"/>
        <v>0</v>
      </c>
      <c r="N230" s="2109">
        <f t="shared" si="127"/>
        <v>0</v>
      </c>
      <c r="O230" s="2109">
        <f t="shared" si="127"/>
        <v>0</v>
      </c>
      <c r="P230" s="2109">
        <f t="shared" si="127"/>
        <v>0</v>
      </c>
      <c r="Q230" s="2108">
        <v>0.79999999999999993</v>
      </c>
      <c r="R230" s="2108">
        <v>0.79999999999999993</v>
      </c>
      <c r="S230" s="2108">
        <v>0.79999999999999993</v>
      </c>
      <c r="T230" s="2108">
        <v>0.79999999999999993</v>
      </c>
      <c r="U230" s="2110">
        <f t="shared" si="128"/>
        <v>0</v>
      </c>
      <c r="V230" s="2110">
        <f t="shared" si="128"/>
        <v>0</v>
      </c>
      <c r="W230" s="2110">
        <f t="shared" si="128"/>
        <v>0</v>
      </c>
      <c r="X230" s="2110">
        <f t="shared" si="128"/>
        <v>0</v>
      </c>
      <c r="Y230" s="2108">
        <v>0.60399999999999998</v>
      </c>
      <c r="Z230" s="2108">
        <v>0.60399999999999998</v>
      </c>
      <c r="AA230" s="2108">
        <v>0.60399999999999998</v>
      </c>
      <c r="AB230" s="2108">
        <v>0.60399999999999998</v>
      </c>
      <c r="AC230" s="2027">
        <f t="shared" si="129"/>
        <v>0</v>
      </c>
      <c r="AD230" s="2027">
        <f t="shared" si="129"/>
        <v>0</v>
      </c>
      <c r="AE230" s="2027">
        <f t="shared" si="129"/>
        <v>0</v>
      </c>
      <c r="AF230" s="2027">
        <f t="shared" si="129"/>
        <v>0</v>
      </c>
      <c r="AG230" s="2027"/>
      <c r="AH230" s="2027"/>
      <c r="AI230" s="2027"/>
      <c r="AJ230" s="2027"/>
      <c r="AK230" s="2027">
        <f t="shared" si="138"/>
        <v>0</v>
      </c>
      <c r="AL230" s="2027">
        <f t="shared" si="130"/>
        <v>0</v>
      </c>
      <c r="AM230" s="2027">
        <f t="shared" si="130"/>
        <v>0</v>
      </c>
      <c r="AN230" s="2027">
        <f t="shared" si="130"/>
        <v>0</v>
      </c>
      <c r="AO230" s="2109">
        <f t="shared" si="139"/>
        <v>0</v>
      </c>
      <c r="AP230" s="2027">
        <f t="shared" si="131"/>
        <v>0</v>
      </c>
      <c r="AQ230" s="2027">
        <f t="shared" si="131"/>
        <v>0</v>
      </c>
      <c r="AR230" s="2027">
        <f t="shared" si="131"/>
        <v>0</v>
      </c>
      <c r="AS230" s="2111"/>
      <c r="AT230" s="2029">
        <f t="shared" si="132"/>
        <v>0</v>
      </c>
      <c r="AU230" s="2029">
        <f t="shared" si="132"/>
        <v>0</v>
      </c>
      <c r="AV230" s="2029">
        <f t="shared" si="132"/>
        <v>0</v>
      </c>
      <c r="AW230" s="2111"/>
      <c r="AX230" s="2029">
        <f t="shared" si="133"/>
        <v>0</v>
      </c>
      <c r="AY230" s="2029">
        <f t="shared" si="133"/>
        <v>0</v>
      </c>
      <c r="AZ230" s="2029">
        <f t="shared" si="133"/>
        <v>0</v>
      </c>
      <c r="BA230" s="2111"/>
      <c r="BB230" s="2029">
        <f t="shared" si="134"/>
        <v>0</v>
      </c>
      <c r="BC230" s="2029">
        <f t="shared" si="134"/>
        <v>0</v>
      </c>
      <c r="BD230" s="2029">
        <f t="shared" si="134"/>
        <v>0</v>
      </c>
      <c r="BE230" s="2030">
        <f t="shared" si="135"/>
        <v>0</v>
      </c>
      <c r="BF230" s="2030">
        <f t="shared" si="135"/>
        <v>0</v>
      </c>
      <c r="BG230" s="2030">
        <f t="shared" si="135"/>
        <v>0</v>
      </c>
      <c r="BH230" s="2030">
        <f t="shared" si="135"/>
        <v>0</v>
      </c>
      <c r="BI230" s="2030">
        <f t="shared" si="136"/>
        <v>0</v>
      </c>
      <c r="BJ230" s="2030">
        <f t="shared" si="136"/>
        <v>0</v>
      </c>
      <c r="BK230" s="2030">
        <f t="shared" si="136"/>
        <v>0</v>
      </c>
      <c r="BL230" s="2030">
        <f t="shared" si="136"/>
        <v>0</v>
      </c>
      <c r="BM230" s="2111"/>
      <c r="BN230" s="2111"/>
      <c r="BO230" s="2111"/>
      <c r="BP230" s="2111"/>
      <c r="BQ230" s="2111"/>
      <c r="BR230" s="2111"/>
      <c r="BS230" s="2111"/>
      <c r="BT230" s="2111"/>
      <c r="BU230" s="2029"/>
      <c r="BV230" s="2029"/>
      <c r="BW230" s="2029"/>
      <c r="BX230" s="2029"/>
      <c r="BY230" s="2029"/>
      <c r="BZ230" s="2032"/>
      <c r="CA230" s="1974"/>
      <c r="CB230" s="1974"/>
      <c r="CC230" s="1974"/>
      <c r="CD230" s="1974"/>
      <c r="CE230" s="1974"/>
      <c r="CF230" s="2033">
        <v>0</v>
      </c>
      <c r="CG230" s="2026">
        <v>0</v>
      </c>
      <c r="CH230" s="2009"/>
      <c r="CK230" s="2029"/>
      <c r="CL230" s="2034"/>
      <c r="CM230" s="2026"/>
      <c r="CN230" s="2026"/>
      <c r="CO230" s="2026"/>
      <c r="CP230" s="2035"/>
      <c r="CQ230" s="2036"/>
      <c r="CR230" s="2036"/>
      <c r="CS230" s="2049"/>
      <c r="CT230" s="2049"/>
      <c r="CU230" s="2049"/>
      <c r="CW230" s="1973">
        <v>0</v>
      </c>
      <c r="CX230" s="2037">
        <v>0</v>
      </c>
      <c r="CY230" s="2037">
        <v>0</v>
      </c>
      <c r="CZ230" s="2037">
        <v>0</v>
      </c>
      <c r="DA230" s="2037">
        <v>0</v>
      </c>
      <c r="DK230" s="1973">
        <v>0</v>
      </c>
      <c r="DL230" s="1973">
        <v>0</v>
      </c>
      <c r="DM230" s="1973">
        <v>0</v>
      </c>
      <c r="DO230" s="2106"/>
      <c r="DP230" s="2107"/>
      <c r="DQ230" s="2107"/>
      <c r="DR230" s="2106"/>
      <c r="DS230" s="2111"/>
      <c r="DT230" s="2029">
        <v>0</v>
      </c>
      <c r="DU230" s="2029">
        <v>0</v>
      </c>
      <c r="DV230" s="2029">
        <v>0</v>
      </c>
      <c r="DW230" s="2111"/>
      <c r="DX230" s="2029">
        <v>0</v>
      </c>
      <c r="DY230" s="2029">
        <v>0</v>
      </c>
      <c r="DZ230" s="2029">
        <v>0</v>
      </c>
      <c r="EA230" s="2111"/>
      <c r="EB230" s="2029">
        <v>0</v>
      </c>
      <c r="EC230" s="2029">
        <v>0</v>
      </c>
      <c r="ED230" s="2029">
        <v>0</v>
      </c>
      <c r="EE230" s="2039">
        <f t="shared" si="107"/>
        <v>0</v>
      </c>
      <c r="EF230" s="2039">
        <f t="shared" si="107"/>
        <v>0</v>
      </c>
      <c r="EG230" s="2039">
        <f t="shared" si="107"/>
        <v>0</v>
      </c>
      <c r="EH230" s="2039">
        <f t="shared" si="107"/>
        <v>0</v>
      </c>
      <c r="EI230" s="2040">
        <f t="shared" si="140"/>
        <v>0</v>
      </c>
      <c r="EJ230" s="2040">
        <f t="shared" si="140"/>
        <v>0</v>
      </c>
      <c r="EK230" s="2040">
        <f t="shared" si="140"/>
        <v>0</v>
      </c>
      <c r="EL230" s="2040">
        <f t="shared" si="140"/>
        <v>0</v>
      </c>
      <c r="EM230" s="2040">
        <f t="shared" si="140"/>
        <v>0</v>
      </c>
      <c r="EN230" s="2040">
        <f t="shared" si="140"/>
        <v>0</v>
      </c>
      <c r="EO230" s="2040">
        <f t="shared" si="140"/>
        <v>0</v>
      </c>
      <c r="EP230" s="2040">
        <f t="shared" si="140"/>
        <v>0</v>
      </c>
      <c r="EQ230" s="2040">
        <f t="shared" si="140"/>
        <v>0</v>
      </c>
      <c r="ER230" s="2040">
        <f t="shared" si="137"/>
        <v>0</v>
      </c>
      <c r="ES230" s="2040">
        <f t="shared" si="137"/>
        <v>0</v>
      </c>
      <c r="ET230" s="2040">
        <f t="shared" si="137"/>
        <v>0</v>
      </c>
      <c r="EU230" s="2039">
        <f t="shared" si="108"/>
        <v>0</v>
      </c>
      <c r="EV230" s="2039">
        <f t="shared" si="109"/>
        <v>0</v>
      </c>
    </row>
    <row r="231" spans="1:152" x14ac:dyDescent="0.25">
      <c r="A231" s="2104" t="s">
        <v>1038</v>
      </c>
      <c r="B231" s="2105"/>
      <c r="C231" s="2106"/>
      <c r="D231" s="2107"/>
      <c r="E231" s="2107"/>
      <c r="F231" s="2106"/>
      <c r="G231" s="2108" t="s">
        <v>2285</v>
      </c>
      <c r="H231" s="2108" t="s">
        <v>2285</v>
      </c>
      <c r="I231" s="2108">
        <v>0.79999999999999993</v>
      </c>
      <c r="J231" s="2108">
        <v>0.79999999999999993</v>
      </c>
      <c r="K231" s="2108">
        <v>0.79999999999999993</v>
      </c>
      <c r="L231" s="2108">
        <v>0.79999999999999993</v>
      </c>
      <c r="M231" s="2109">
        <f t="shared" si="127"/>
        <v>0</v>
      </c>
      <c r="N231" s="2109">
        <f t="shared" si="127"/>
        <v>0</v>
      </c>
      <c r="O231" s="2109">
        <f t="shared" si="127"/>
        <v>0</v>
      </c>
      <c r="P231" s="2109">
        <f t="shared" si="127"/>
        <v>0</v>
      </c>
      <c r="Q231" s="2108">
        <v>0.79999999999999993</v>
      </c>
      <c r="R231" s="2108">
        <v>0.79999999999999993</v>
      </c>
      <c r="S231" s="2108">
        <v>0.79999999999999993</v>
      </c>
      <c r="T231" s="2108">
        <v>0.79999999999999993</v>
      </c>
      <c r="U231" s="2110">
        <f t="shared" si="128"/>
        <v>0</v>
      </c>
      <c r="V231" s="2110">
        <f t="shared" si="128"/>
        <v>0</v>
      </c>
      <c r="W231" s="2110">
        <f t="shared" si="128"/>
        <v>0</v>
      </c>
      <c r="X231" s="2110">
        <f t="shared" si="128"/>
        <v>0</v>
      </c>
      <c r="Y231" s="2108">
        <v>0.60399999999999998</v>
      </c>
      <c r="Z231" s="2108">
        <v>0.60399999999999998</v>
      </c>
      <c r="AA231" s="2108">
        <v>0.60399999999999998</v>
      </c>
      <c r="AB231" s="2108">
        <v>0.60399999999999998</v>
      </c>
      <c r="AC231" s="2027">
        <f t="shared" si="129"/>
        <v>0</v>
      </c>
      <c r="AD231" s="2027">
        <f t="shared" si="129"/>
        <v>0</v>
      </c>
      <c r="AE231" s="2027">
        <f t="shared" si="129"/>
        <v>0</v>
      </c>
      <c r="AF231" s="2027">
        <f t="shared" si="129"/>
        <v>0</v>
      </c>
      <c r="AG231" s="2027"/>
      <c r="AH231" s="2027"/>
      <c r="AI231" s="2027"/>
      <c r="AJ231" s="2027"/>
      <c r="AK231" s="2027">
        <f t="shared" si="138"/>
        <v>0</v>
      </c>
      <c r="AL231" s="2027">
        <f t="shared" si="130"/>
        <v>0</v>
      </c>
      <c r="AM231" s="2027">
        <f t="shared" si="130"/>
        <v>0</v>
      </c>
      <c r="AN231" s="2027">
        <f t="shared" si="130"/>
        <v>0</v>
      </c>
      <c r="AO231" s="2109">
        <f t="shared" si="139"/>
        <v>0</v>
      </c>
      <c r="AP231" s="2027">
        <f t="shared" si="131"/>
        <v>0</v>
      </c>
      <c r="AQ231" s="2027">
        <f t="shared" si="131"/>
        <v>0</v>
      </c>
      <c r="AR231" s="2027">
        <f t="shared" si="131"/>
        <v>0</v>
      </c>
      <c r="AS231" s="2111"/>
      <c r="AT231" s="2029">
        <f t="shared" si="132"/>
        <v>0</v>
      </c>
      <c r="AU231" s="2029">
        <f t="shared" si="132"/>
        <v>0</v>
      </c>
      <c r="AV231" s="2029">
        <f t="shared" si="132"/>
        <v>0</v>
      </c>
      <c r="AW231" s="2111"/>
      <c r="AX231" s="2029">
        <f t="shared" si="133"/>
        <v>0</v>
      </c>
      <c r="AY231" s="2029">
        <f t="shared" si="133"/>
        <v>0</v>
      </c>
      <c r="AZ231" s="2029">
        <f t="shared" si="133"/>
        <v>0</v>
      </c>
      <c r="BA231" s="2111"/>
      <c r="BB231" s="2029">
        <f t="shared" si="134"/>
        <v>0</v>
      </c>
      <c r="BC231" s="2029">
        <f t="shared" si="134"/>
        <v>0</v>
      </c>
      <c r="BD231" s="2029">
        <f t="shared" si="134"/>
        <v>0</v>
      </c>
      <c r="BE231" s="2030">
        <f t="shared" si="135"/>
        <v>0</v>
      </c>
      <c r="BF231" s="2030">
        <f t="shared" si="135"/>
        <v>0</v>
      </c>
      <c r="BG231" s="2030">
        <f t="shared" si="135"/>
        <v>0</v>
      </c>
      <c r="BH231" s="2030">
        <f t="shared" si="135"/>
        <v>0</v>
      </c>
      <c r="BI231" s="2030">
        <f t="shared" si="136"/>
        <v>0</v>
      </c>
      <c r="BJ231" s="2030">
        <f t="shared" si="136"/>
        <v>0</v>
      </c>
      <c r="BK231" s="2030">
        <f t="shared" si="136"/>
        <v>0</v>
      </c>
      <c r="BL231" s="2030">
        <f t="shared" si="136"/>
        <v>0</v>
      </c>
      <c r="BM231" s="2111"/>
      <c r="BN231" s="2111"/>
      <c r="BO231" s="2111"/>
      <c r="BP231" s="2111"/>
      <c r="BQ231" s="2111"/>
      <c r="BR231" s="2111"/>
      <c r="BS231" s="2111"/>
      <c r="BT231" s="2111"/>
      <c r="BU231" s="2029"/>
      <c r="BV231" s="2029"/>
      <c r="BW231" s="2029"/>
      <c r="BX231" s="2029"/>
      <c r="BY231" s="2029"/>
      <c r="BZ231" s="2032"/>
      <c r="CA231" s="1974"/>
      <c r="CB231" s="1974"/>
      <c r="CC231" s="1974"/>
      <c r="CD231" s="1974"/>
      <c r="CE231" s="1974"/>
      <c r="CF231" s="2033">
        <v>0</v>
      </c>
      <c r="CG231" s="2026">
        <v>0</v>
      </c>
      <c r="CH231" s="2009"/>
      <c r="CK231" s="2029"/>
      <c r="CL231" s="2034"/>
      <c r="CM231" s="2026"/>
      <c r="CN231" s="2026"/>
      <c r="CO231" s="2026"/>
      <c r="CP231" s="2035"/>
      <c r="CQ231" s="2036"/>
      <c r="CR231" s="2036"/>
      <c r="CS231" s="2049"/>
      <c r="CT231" s="2049"/>
      <c r="CU231" s="2049"/>
      <c r="CW231" s="1973">
        <v>0</v>
      </c>
      <c r="CX231" s="2037">
        <v>0</v>
      </c>
      <c r="CY231" s="2037">
        <v>0</v>
      </c>
      <c r="CZ231" s="2037">
        <v>0</v>
      </c>
      <c r="DA231" s="2037">
        <v>0</v>
      </c>
      <c r="DK231" s="1973">
        <v>0</v>
      </c>
      <c r="DL231" s="1973">
        <v>0</v>
      </c>
      <c r="DM231" s="1973">
        <v>0</v>
      </c>
      <c r="DO231" s="2106"/>
      <c r="DP231" s="2107"/>
      <c r="DQ231" s="2107"/>
      <c r="DR231" s="2106"/>
      <c r="DS231" s="2111"/>
      <c r="DT231" s="2029">
        <v>0</v>
      </c>
      <c r="DU231" s="2029">
        <v>0</v>
      </c>
      <c r="DV231" s="2029">
        <v>0</v>
      </c>
      <c r="DW231" s="2111"/>
      <c r="DX231" s="2029">
        <v>0</v>
      </c>
      <c r="DY231" s="2029">
        <v>0</v>
      </c>
      <c r="DZ231" s="2029">
        <v>0</v>
      </c>
      <c r="EA231" s="2111"/>
      <c r="EB231" s="2029">
        <v>0</v>
      </c>
      <c r="EC231" s="2029">
        <v>0</v>
      </c>
      <c r="ED231" s="2029">
        <v>0</v>
      </c>
      <c r="EE231" s="2039">
        <f t="shared" si="107"/>
        <v>0</v>
      </c>
      <c r="EF231" s="2039">
        <f t="shared" si="107"/>
        <v>0</v>
      </c>
      <c r="EG231" s="2039">
        <f t="shared" si="107"/>
        <v>0</v>
      </c>
      <c r="EH231" s="2039">
        <f t="shared" si="107"/>
        <v>0</v>
      </c>
      <c r="EI231" s="2040">
        <f t="shared" si="140"/>
        <v>0</v>
      </c>
      <c r="EJ231" s="2040">
        <f t="shared" si="140"/>
        <v>0</v>
      </c>
      <c r="EK231" s="2040">
        <f t="shared" si="140"/>
        <v>0</v>
      </c>
      <c r="EL231" s="2040">
        <f t="shared" si="140"/>
        <v>0</v>
      </c>
      <c r="EM231" s="2040">
        <f t="shared" si="140"/>
        <v>0</v>
      </c>
      <c r="EN231" s="2040">
        <f t="shared" si="140"/>
        <v>0</v>
      </c>
      <c r="EO231" s="2040">
        <f t="shared" si="140"/>
        <v>0</v>
      </c>
      <c r="EP231" s="2040">
        <f t="shared" si="140"/>
        <v>0</v>
      </c>
      <c r="EQ231" s="2040">
        <f t="shared" si="140"/>
        <v>0</v>
      </c>
      <c r="ER231" s="2040">
        <f t="shared" si="137"/>
        <v>0</v>
      </c>
      <c r="ES231" s="2040">
        <f t="shared" si="137"/>
        <v>0</v>
      </c>
      <c r="ET231" s="2040">
        <f t="shared" si="137"/>
        <v>0</v>
      </c>
      <c r="EU231" s="2039">
        <f t="shared" si="108"/>
        <v>0</v>
      </c>
      <c r="EV231" s="2039">
        <f t="shared" si="109"/>
        <v>0</v>
      </c>
    </row>
    <row r="232" spans="1:152" x14ac:dyDescent="0.25">
      <c r="A232" s="2104" t="s">
        <v>1039</v>
      </c>
      <c r="B232" s="2105"/>
      <c r="C232" s="2106"/>
      <c r="D232" s="2107"/>
      <c r="E232" s="2107"/>
      <c r="F232" s="2106"/>
      <c r="G232" s="2108" t="s">
        <v>2285</v>
      </c>
      <c r="H232" s="2108" t="s">
        <v>2285</v>
      </c>
      <c r="I232" s="2108">
        <v>0.79999999999999993</v>
      </c>
      <c r="J232" s="2108">
        <v>0.79999999999999993</v>
      </c>
      <c r="K232" s="2108">
        <v>0.79999999999999993</v>
      </c>
      <c r="L232" s="2108">
        <v>0.79999999999999993</v>
      </c>
      <c r="M232" s="2109">
        <f t="shared" si="127"/>
        <v>0</v>
      </c>
      <c r="N232" s="2109">
        <f t="shared" si="127"/>
        <v>0</v>
      </c>
      <c r="O232" s="2109">
        <f t="shared" si="127"/>
        <v>0</v>
      </c>
      <c r="P232" s="2109">
        <f t="shared" si="127"/>
        <v>0</v>
      </c>
      <c r="Q232" s="2108">
        <v>0.79999999999999993</v>
      </c>
      <c r="R232" s="2108">
        <v>0.79999999999999993</v>
      </c>
      <c r="S232" s="2108">
        <v>0.79999999999999993</v>
      </c>
      <c r="T232" s="2108">
        <v>0.79999999999999993</v>
      </c>
      <c r="U232" s="2110">
        <f t="shared" si="128"/>
        <v>0</v>
      </c>
      <c r="V232" s="2110">
        <f t="shared" si="128"/>
        <v>0</v>
      </c>
      <c r="W232" s="2110">
        <f t="shared" si="128"/>
        <v>0</v>
      </c>
      <c r="X232" s="2110">
        <f t="shared" si="128"/>
        <v>0</v>
      </c>
      <c r="Y232" s="2108">
        <v>0.60399999999999998</v>
      </c>
      <c r="Z232" s="2108">
        <v>0.60399999999999998</v>
      </c>
      <c r="AA232" s="2108">
        <v>0.60399999999999998</v>
      </c>
      <c r="AB232" s="2108">
        <v>0.60399999999999998</v>
      </c>
      <c r="AC232" s="2027">
        <f t="shared" si="129"/>
        <v>0</v>
      </c>
      <c r="AD232" s="2027">
        <f t="shared" si="129"/>
        <v>0</v>
      </c>
      <c r="AE232" s="2027">
        <f t="shared" si="129"/>
        <v>0</v>
      </c>
      <c r="AF232" s="2027">
        <f t="shared" si="129"/>
        <v>0</v>
      </c>
      <c r="AG232" s="2027"/>
      <c r="AH232" s="2027"/>
      <c r="AI232" s="2027"/>
      <c r="AJ232" s="2027"/>
      <c r="AK232" s="2027">
        <f t="shared" si="138"/>
        <v>0</v>
      </c>
      <c r="AL232" s="2027">
        <f t="shared" si="130"/>
        <v>0</v>
      </c>
      <c r="AM232" s="2027">
        <f t="shared" si="130"/>
        <v>0</v>
      </c>
      <c r="AN232" s="2027">
        <f t="shared" si="130"/>
        <v>0</v>
      </c>
      <c r="AO232" s="2109">
        <f t="shared" si="139"/>
        <v>0</v>
      </c>
      <c r="AP232" s="2027">
        <f t="shared" si="131"/>
        <v>0</v>
      </c>
      <c r="AQ232" s="2027">
        <f t="shared" si="131"/>
        <v>0</v>
      </c>
      <c r="AR232" s="2027">
        <f t="shared" si="131"/>
        <v>0</v>
      </c>
      <c r="AS232" s="2111"/>
      <c r="AT232" s="2029">
        <f t="shared" si="132"/>
        <v>0</v>
      </c>
      <c r="AU232" s="2029">
        <f t="shared" si="132"/>
        <v>0</v>
      </c>
      <c r="AV232" s="2029">
        <f t="shared" si="132"/>
        <v>0</v>
      </c>
      <c r="AW232" s="2111"/>
      <c r="AX232" s="2029">
        <f t="shared" si="133"/>
        <v>0</v>
      </c>
      <c r="AY232" s="2029">
        <f t="shared" si="133"/>
        <v>0</v>
      </c>
      <c r="AZ232" s="2029">
        <f t="shared" si="133"/>
        <v>0</v>
      </c>
      <c r="BA232" s="2111"/>
      <c r="BB232" s="2029">
        <f t="shared" si="134"/>
        <v>0</v>
      </c>
      <c r="BC232" s="2029">
        <f t="shared" si="134"/>
        <v>0</v>
      </c>
      <c r="BD232" s="2029">
        <f t="shared" si="134"/>
        <v>0</v>
      </c>
      <c r="BE232" s="2030">
        <f t="shared" si="135"/>
        <v>0</v>
      </c>
      <c r="BF232" s="2030">
        <f t="shared" si="135"/>
        <v>0</v>
      </c>
      <c r="BG232" s="2030">
        <f t="shared" si="135"/>
        <v>0</v>
      </c>
      <c r="BH232" s="2030">
        <f t="shared" si="135"/>
        <v>0</v>
      </c>
      <c r="BI232" s="2030">
        <f t="shared" si="136"/>
        <v>0</v>
      </c>
      <c r="BJ232" s="2030">
        <f t="shared" si="136"/>
        <v>0</v>
      </c>
      <c r="BK232" s="2030">
        <f t="shared" si="136"/>
        <v>0</v>
      </c>
      <c r="BL232" s="2030">
        <f t="shared" si="136"/>
        <v>0</v>
      </c>
      <c r="BM232" s="2111"/>
      <c r="BN232" s="2111"/>
      <c r="BO232" s="2111"/>
      <c r="BP232" s="2111"/>
      <c r="BQ232" s="2111"/>
      <c r="BR232" s="2111"/>
      <c r="BS232" s="2111"/>
      <c r="BT232" s="2111"/>
      <c r="BU232" s="2029"/>
      <c r="BV232" s="2029"/>
      <c r="BW232" s="2029"/>
      <c r="BX232" s="2029"/>
      <c r="BY232" s="2029"/>
      <c r="BZ232" s="2032"/>
      <c r="CA232" s="1974"/>
      <c r="CB232" s="1974"/>
      <c r="CC232" s="1974"/>
      <c r="CD232" s="1974"/>
      <c r="CE232" s="1974"/>
      <c r="CF232" s="2033">
        <v>0</v>
      </c>
      <c r="CG232" s="2026">
        <v>0</v>
      </c>
      <c r="CH232" s="2009"/>
      <c r="CK232" s="2029"/>
      <c r="CL232" s="2034"/>
      <c r="CM232" s="2026"/>
      <c r="CN232" s="2026"/>
      <c r="CO232" s="2026"/>
      <c r="CP232" s="2035"/>
      <c r="CQ232" s="2036"/>
      <c r="CR232" s="2036"/>
      <c r="CS232" s="2049"/>
      <c r="CT232" s="2049"/>
      <c r="CU232" s="2049"/>
      <c r="CW232" s="1973">
        <v>0</v>
      </c>
      <c r="CX232" s="2037">
        <v>0</v>
      </c>
      <c r="CY232" s="2037">
        <v>0</v>
      </c>
      <c r="CZ232" s="2037">
        <v>0</v>
      </c>
      <c r="DA232" s="2037">
        <v>0</v>
      </c>
      <c r="DK232" s="1973">
        <v>0</v>
      </c>
      <c r="DL232" s="1973">
        <v>0</v>
      </c>
      <c r="DM232" s="1973">
        <v>0</v>
      </c>
      <c r="DO232" s="2106"/>
      <c r="DP232" s="2107"/>
      <c r="DQ232" s="2107"/>
      <c r="DR232" s="2106"/>
      <c r="DS232" s="2111"/>
      <c r="DT232" s="2029">
        <v>0</v>
      </c>
      <c r="DU232" s="2029">
        <v>0</v>
      </c>
      <c r="DV232" s="2029">
        <v>0</v>
      </c>
      <c r="DW232" s="2111"/>
      <c r="DX232" s="2029">
        <v>0</v>
      </c>
      <c r="DY232" s="2029">
        <v>0</v>
      </c>
      <c r="DZ232" s="2029">
        <v>0</v>
      </c>
      <c r="EA232" s="2111"/>
      <c r="EB232" s="2029">
        <v>0</v>
      </c>
      <c r="EC232" s="2029">
        <v>0</v>
      </c>
      <c r="ED232" s="2029">
        <v>0</v>
      </c>
      <c r="EE232" s="2039">
        <f t="shared" si="107"/>
        <v>0</v>
      </c>
      <c r="EF232" s="2039">
        <f t="shared" si="107"/>
        <v>0</v>
      </c>
      <c r="EG232" s="2039">
        <f t="shared" si="107"/>
        <v>0</v>
      </c>
      <c r="EH232" s="2039">
        <f t="shared" si="107"/>
        <v>0</v>
      </c>
      <c r="EI232" s="2040">
        <f t="shared" si="140"/>
        <v>0</v>
      </c>
      <c r="EJ232" s="2040">
        <f t="shared" si="140"/>
        <v>0</v>
      </c>
      <c r="EK232" s="2040">
        <f t="shared" si="140"/>
        <v>0</v>
      </c>
      <c r="EL232" s="2040">
        <f t="shared" si="140"/>
        <v>0</v>
      </c>
      <c r="EM232" s="2040">
        <f t="shared" si="140"/>
        <v>0</v>
      </c>
      <c r="EN232" s="2040">
        <f t="shared" si="140"/>
        <v>0</v>
      </c>
      <c r="EO232" s="2040">
        <f t="shared" si="140"/>
        <v>0</v>
      </c>
      <c r="EP232" s="2040">
        <f t="shared" si="140"/>
        <v>0</v>
      </c>
      <c r="EQ232" s="2040">
        <f t="shared" si="140"/>
        <v>0</v>
      </c>
      <c r="ER232" s="2040">
        <f t="shared" si="137"/>
        <v>0</v>
      </c>
      <c r="ES232" s="2040">
        <f t="shared" si="137"/>
        <v>0</v>
      </c>
      <c r="ET232" s="2040">
        <f t="shared" si="137"/>
        <v>0</v>
      </c>
      <c r="EU232" s="2039">
        <f t="shared" si="108"/>
        <v>0</v>
      </c>
      <c r="EV232" s="2039">
        <f t="shared" si="109"/>
        <v>0</v>
      </c>
    </row>
    <row r="233" spans="1:152" x14ac:dyDescent="0.25">
      <c r="A233" s="2104" t="s">
        <v>1040</v>
      </c>
      <c r="B233" s="2105"/>
      <c r="C233" s="2106"/>
      <c r="D233" s="2107"/>
      <c r="E233" s="2107"/>
      <c r="F233" s="2106"/>
      <c r="G233" s="2108" t="s">
        <v>2285</v>
      </c>
      <c r="H233" s="2108" t="s">
        <v>2285</v>
      </c>
      <c r="I233" s="2108">
        <v>0.79999999999999993</v>
      </c>
      <c r="J233" s="2108">
        <v>0.79999999999999993</v>
      </c>
      <c r="K233" s="2108">
        <v>0.79999999999999993</v>
      </c>
      <c r="L233" s="2108">
        <v>0.79999999999999993</v>
      </c>
      <c r="M233" s="2109">
        <f t="shared" si="127"/>
        <v>0</v>
      </c>
      <c r="N233" s="2109">
        <f t="shared" si="127"/>
        <v>0</v>
      </c>
      <c r="O233" s="2109">
        <f t="shared" si="127"/>
        <v>0</v>
      </c>
      <c r="P233" s="2109">
        <f t="shared" si="127"/>
        <v>0</v>
      </c>
      <c r="Q233" s="2108">
        <v>0.79999999999999993</v>
      </c>
      <c r="R233" s="2108">
        <v>0.79999999999999993</v>
      </c>
      <c r="S233" s="2108">
        <v>0.79999999999999993</v>
      </c>
      <c r="T233" s="2108">
        <v>0.79999999999999993</v>
      </c>
      <c r="U233" s="2110">
        <f t="shared" si="128"/>
        <v>0</v>
      </c>
      <c r="V233" s="2110">
        <f t="shared" si="128"/>
        <v>0</v>
      </c>
      <c r="W233" s="2110">
        <f t="shared" si="128"/>
        <v>0</v>
      </c>
      <c r="X233" s="2110">
        <f t="shared" si="128"/>
        <v>0</v>
      </c>
      <c r="Y233" s="2108">
        <v>0.60399999999999998</v>
      </c>
      <c r="Z233" s="2108">
        <v>0.60399999999999998</v>
      </c>
      <c r="AA233" s="2108">
        <v>0.60399999999999998</v>
      </c>
      <c r="AB233" s="2108">
        <v>0.60399999999999998</v>
      </c>
      <c r="AC233" s="2027">
        <f t="shared" si="129"/>
        <v>0</v>
      </c>
      <c r="AD233" s="2027">
        <f t="shared" si="129"/>
        <v>0</v>
      </c>
      <c r="AE233" s="2027">
        <f t="shared" si="129"/>
        <v>0</v>
      </c>
      <c r="AF233" s="2027">
        <f t="shared" si="129"/>
        <v>0</v>
      </c>
      <c r="AG233" s="2027"/>
      <c r="AH233" s="2027"/>
      <c r="AI233" s="2027"/>
      <c r="AJ233" s="2027"/>
      <c r="AK233" s="2027">
        <f t="shared" si="138"/>
        <v>0</v>
      </c>
      <c r="AL233" s="2027">
        <f t="shared" si="130"/>
        <v>0</v>
      </c>
      <c r="AM233" s="2027">
        <f t="shared" si="130"/>
        <v>0</v>
      </c>
      <c r="AN233" s="2027">
        <f t="shared" si="130"/>
        <v>0</v>
      </c>
      <c r="AO233" s="2109">
        <f t="shared" si="139"/>
        <v>0</v>
      </c>
      <c r="AP233" s="2027">
        <f t="shared" si="131"/>
        <v>0</v>
      </c>
      <c r="AQ233" s="2027">
        <f t="shared" si="131"/>
        <v>0</v>
      </c>
      <c r="AR233" s="2027">
        <f t="shared" si="131"/>
        <v>0</v>
      </c>
      <c r="AS233" s="2111"/>
      <c r="AT233" s="2029">
        <f t="shared" si="132"/>
        <v>0</v>
      </c>
      <c r="AU233" s="2029">
        <f t="shared" si="132"/>
        <v>0</v>
      </c>
      <c r="AV233" s="2029">
        <f t="shared" si="132"/>
        <v>0</v>
      </c>
      <c r="AW233" s="2111"/>
      <c r="AX233" s="2029">
        <f t="shared" si="133"/>
        <v>0</v>
      </c>
      <c r="AY233" s="2029">
        <f t="shared" si="133"/>
        <v>0</v>
      </c>
      <c r="AZ233" s="2029">
        <f t="shared" si="133"/>
        <v>0</v>
      </c>
      <c r="BA233" s="2111"/>
      <c r="BB233" s="2029">
        <f t="shared" si="134"/>
        <v>0</v>
      </c>
      <c r="BC233" s="2029">
        <f t="shared" si="134"/>
        <v>0</v>
      </c>
      <c r="BD233" s="2029">
        <f t="shared" si="134"/>
        <v>0</v>
      </c>
      <c r="BE233" s="2030">
        <f t="shared" si="135"/>
        <v>0</v>
      </c>
      <c r="BF233" s="2030">
        <f t="shared" si="135"/>
        <v>0</v>
      </c>
      <c r="BG233" s="2030">
        <f t="shared" si="135"/>
        <v>0</v>
      </c>
      <c r="BH233" s="2030">
        <f t="shared" si="135"/>
        <v>0</v>
      </c>
      <c r="BI233" s="2030">
        <f t="shared" si="136"/>
        <v>0</v>
      </c>
      <c r="BJ233" s="2030">
        <f t="shared" si="136"/>
        <v>0</v>
      </c>
      <c r="BK233" s="2030">
        <f t="shared" si="136"/>
        <v>0</v>
      </c>
      <c r="BL233" s="2030">
        <f t="shared" si="136"/>
        <v>0</v>
      </c>
      <c r="BM233" s="2111"/>
      <c r="BN233" s="2111"/>
      <c r="BO233" s="2111"/>
      <c r="BP233" s="2111"/>
      <c r="BQ233" s="2111"/>
      <c r="BR233" s="2111"/>
      <c r="BS233" s="2111"/>
      <c r="BT233" s="2111"/>
      <c r="BU233" s="2029"/>
      <c r="BV233" s="2029"/>
      <c r="BW233" s="2029"/>
      <c r="BX233" s="2029"/>
      <c r="BY233" s="2029"/>
      <c r="BZ233" s="2032"/>
      <c r="CA233" s="1974"/>
      <c r="CB233" s="1974"/>
      <c r="CC233" s="1974"/>
      <c r="CD233" s="1974"/>
      <c r="CE233" s="1974"/>
      <c r="CF233" s="2033">
        <v>0</v>
      </c>
      <c r="CG233" s="2026">
        <v>0</v>
      </c>
      <c r="CH233" s="2009"/>
      <c r="CK233" s="2029"/>
      <c r="CL233" s="2034"/>
      <c r="CM233" s="2026"/>
      <c r="CN233" s="2026"/>
      <c r="CO233" s="2026"/>
      <c r="CP233" s="2035"/>
      <c r="CQ233" s="2036"/>
      <c r="CR233" s="2036"/>
      <c r="CS233" s="2049"/>
      <c r="CT233" s="2049"/>
      <c r="CU233" s="2049"/>
      <c r="CW233" s="1973">
        <v>0</v>
      </c>
      <c r="CX233" s="2037">
        <v>0</v>
      </c>
      <c r="CY233" s="2037">
        <v>0</v>
      </c>
      <c r="CZ233" s="2037">
        <v>0</v>
      </c>
      <c r="DA233" s="2037">
        <v>0</v>
      </c>
      <c r="DK233" s="1973">
        <v>0</v>
      </c>
      <c r="DL233" s="1973">
        <v>0</v>
      </c>
      <c r="DM233" s="1973">
        <v>0</v>
      </c>
      <c r="DO233" s="2106"/>
      <c r="DP233" s="2107"/>
      <c r="DQ233" s="2107"/>
      <c r="DR233" s="2106"/>
      <c r="DS233" s="2111"/>
      <c r="DT233" s="2029">
        <v>0</v>
      </c>
      <c r="DU233" s="2029">
        <v>0</v>
      </c>
      <c r="DV233" s="2029">
        <v>0</v>
      </c>
      <c r="DW233" s="2111"/>
      <c r="DX233" s="2029">
        <v>0</v>
      </c>
      <c r="DY233" s="2029">
        <v>0</v>
      </c>
      <c r="DZ233" s="2029">
        <v>0</v>
      </c>
      <c r="EA233" s="2111"/>
      <c r="EB233" s="2029">
        <v>0</v>
      </c>
      <c r="EC233" s="2029">
        <v>0</v>
      </c>
      <c r="ED233" s="2029">
        <v>0</v>
      </c>
      <c r="EE233" s="2039">
        <f t="shared" si="107"/>
        <v>0</v>
      </c>
      <c r="EF233" s="2039">
        <f t="shared" si="107"/>
        <v>0</v>
      </c>
      <c r="EG233" s="2039">
        <f t="shared" si="107"/>
        <v>0</v>
      </c>
      <c r="EH233" s="2039">
        <f t="shared" si="107"/>
        <v>0</v>
      </c>
      <c r="EI233" s="2040">
        <f t="shared" si="140"/>
        <v>0</v>
      </c>
      <c r="EJ233" s="2040">
        <f t="shared" si="140"/>
        <v>0</v>
      </c>
      <c r="EK233" s="2040">
        <f t="shared" si="140"/>
        <v>0</v>
      </c>
      <c r="EL233" s="2040">
        <f t="shared" si="140"/>
        <v>0</v>
      </c>
      <c r="EM233" s="2040">
        <f t="shared" si="140"/>
        <v>0</v>
      </c>
      <c r="EN233" s="2040">
        <f t="shared" si="140"/>
        <v>0</v>
      </c>
      <c r="EO233" s="2040">
        <f t="shared" si="140"/>
        <v>0</v>
      </c>
      <c r="EP233" s="2040">
        <f t="shared" si="140"/>
        <v>0</v>
      </c>
      <c r="EQ233" s="2040">
        <f t="shared" si="140"/>
        <v>0</v>
      </c>
      <c r="ER233" s="2040">
        <f t="shared" si="137"/>
        <v>0</v>
      </c>
      <c r="ES233" s="2040">
        <f t="shared" si="137"/>
        <v>0</v>
      </c>
      <c r="ET233" s="2040">
        <f t="shared" si="137"/>
        <v>0</v>
      </c>
      <c r="EU233" s="2039">
        <f t="shared" si="108"/>
        <v>0</v>
      </c>
      <c r="EV233" s="2039">
        <f t="shared" si="109"/>
        <v>0</v>
      </c>
    </row>
    <row r="234" spans="1:152" x14ac:dyDescent="0.25">
      <c r="A234" s="2104" t="s">
        <v>1041</v>
      </c>
      <c r="B234" s="2105"/>
      <c r="C234" s="2106"/>
      <c r="D234" s="2107"/>
      <c r="E234" s="2107"/>
      <c r="F234" s="2106"/>
      <c r="G234" s="2108" t="s">
        <v>2285</v>
      </c>
      <c r="H234" s="2108" t="s">
        <v>2285</v>
      </c>
      <c r="I234" s="2108">
        <v>0.79999999999999993</v>
      </c>
      <c r="J234" s="2108">
        <v>0.79999999999999993</v>
      </c>
      <c r="K234" s="2108">
        <v>0.79999999999999993</v>
      </c>
      <c r="L234" s="2108">
        <v>0.79999999999999993</v>
      </c>
      <c r="M234" s="2109">
        <f t="shared" si="127"/>
        <v>0</v>
      </c>
      <c r="N234" s="2109">
        <f t="shared" si="127"/>
        <v>0</v>
      </c>
      <c r="O234" s="2109">
        <f t="shared" si="127"/>
        <v>0</v>
      </c>
      <c r="P234" s="2109">
        <f t="shared" si="127"/>
        <v>0</v>
      </c>
      <c r="Q234" s="2108">
        <v>0.79999999999999993</v>
      </c>
      <c r="R234" s="2108">
        <v>0.79999999999999993</v>
      </c>
      <c r="S234" s="2108">
        <v>0.79999999999999993</v>
      </c>
      <c r="T234" s="2108">
        <v>0.79999999999999993</v>
      </c>
      <c r="U234" s="2110">
        <f t="shared" si="128"/>
        <v>0</v>
      </c>
      <c r="V234" s="2110">
        <f t="shared" si="128"/>
        <v>0</v>
      </c>
      <c r="W234" s="2110">
        <f t="shared" si="128"/>
        <v>0</v>
      </c>
      <c r="X234" s="2110">
        <f t="shared" si="128"/>
        <v>0</v>
      </c>
      <c r="Y234" s="2108">
        <v>0.60399999999999998</v>
      </c>
      <c r="Z234" s="2108">
        <v>0.60399999999999998</v>
      </c>
      <c r="AA234" s="2108">
        <v>0.60399999999999998</v>
      </c>
      <c r="AB234" s="2108">
        <v>0.60399999999999998</v>
      </c>
      <c r="AC234" s="2027">
        <f t="shared" si="129"/>
        <v>0</v>
      </c>
      <c r="AD234" s="2027">
        <f t="shared" si="129"/>
        <v>0</v>
      </c>
      <c r="AE234" s="2027">
        <f t="shared" si="129"/>
        <v>0</v>
      </c>
      <c r="AF234" s="2027">
        <f t="shared" si="129"/>
        <v>0</v>
      </c>
      <c r="AG234" s="2027"/>
      <c r="AH234" s="2027"/>
      <c r="AI234" s="2027"/>
      <c r="AJ234" s="2027"/>
      <c r="AK234" s="2027">
        <f t="shared" si="138"/>
        <v>0</v>
      </c>
      <c r="AL234" s="2027">
        <f t="shared" si="130"/>
        <v>0</v>
      </c>
      <c r="AM234" s="2027">
        <f t="shared" si="130"/>
        <v>0</v>
      </c>
      <c r="AN234" s="2027">
        <f t="shared" si="130"/>
        <v>0</v>
      </c>
      <c r="AO234" s="2109">
        <f t="shared" si="139"/>
        <v>0</v>
      </c>
      <c r="AP234" s="2027">
        <f t="shared" si="131"/>
        <v>0</v>
      </c>
      <c r="AQ234" s="2027">
        <f t="shared" si="131"/>
        <v>0</v>
      </c>
      <c r="AR234" s="2027">
        <f t="shared" si="131"/>
        <v>0</v>
      </c>
      <c r="AS234" s="2111"/>
      <c r="AT234" s="2029">
        <f t="shared" si="132"/>
        <v>0</v>
      </c>
      <c r="AU234" s="2029">
        <f t="shared" si="132"/>
        <v>0</v>
      </c>
      <c r="AV234" s="2029">
        <f t="shared" si="132"/>
        <v>0</v>
      </c>
      <c r="AW234" s="2111"/>
      <c r="AX234" s="2029">
        <f t="shared" si="133"/>
        <v>0</v>
      </c>
      <c r="AY234" s="2029">
        <f t="shared" si="133"/>
        <v>0</v>
      </c>
      <c r="AZ234" s="2029">
        <f t="shared" si="133"/>
        <v>0</v>
      </c>
      <c r="BA234" s="2111"/>
      <c r="BB234" s="2029">
        <f t="shared" si="134"/>
        <v>0</v>
      </c>
      <c r="BC234" s="2029">
        <f t="shared" si="134"/>
        <v>0</v>
      </c>
      <c r="BD234" s="2029">
        <f t="shared" si="134"/>
        <v>0</v>
      </c>
      <c r="BE234" s="2030">
        <f t="shared" si="135"/>
        <v>0</v>
      </c>
      <c r="BF234" s="2030">
        <f t="shared" si="135"/>
        <v>0</v>
      </c>
      <c r="BG234" s="2030">
        <f t="shared" si="135"/>
        <v>0</v>
      </c>
      <c r="BH234" s="2030">
        <f t="shared" si="135"/>
        <v>0</v>
      </c>
      <c r="BI234" s="2030">
        <f t="shared" si="136"/>
        <v>0</v>
      </c>
      <c r="BJ234" s="2030">
        <f t="shared" si="136"/>
        <v>0</v>
      </c>
      <c r="BK234" s="2030">
        <f t="shared" si="136"/>
        <v>0</v>
      </c>
      <c r="BL234" s="2030">
        <f t="shared" si="136"/>
        <v>0</v>
      </c>
      <c r="BM234" s="2111"/>
      <c r="BN234" s="2111"/>
      <c r="BO234" s="2111"/>
      <c r="BP234" s="2111"/>
      <c r="BQ234" s="2111"/>
      <c r="BR234" s="2111"/>
      <c r="BS234" s="2111"/>
      <c r="BT234" s="2111"/>
      <c r="BU234" s="2029"/>
      <c r="BV234" s="2029"/>
      <c r="BW234" s="2029"/>
      <c r="BX234" s="2029"/>
      <c r="BY234" s="2029"/>
      <c r="BZ234" s="2032"/>
      <c r="CA234" s="1974"/>
      <c r="CB234" s="1974"/>
      <c r="CC234" s="1974"/>
      <c r="CD234" s="1974"/>
      <c r="CE234" s="1974"/>
      <c r="CF234" s="2033">
        <v>0</v>
      </c>
      <c r="CG234" s="2026">
        <v>0</v>
      </c>
      <c r="CH234" s="2009"/>
      <c r="CK234" s="2029"/>
      <c r="CL234" s="2034"/>
      <c r="CM234" s="2026"/>
      <c r="CN234" s="2026"/>
      <c r="CO234" s="2026"/>
      <c r="CP234" s="2035"/>
      <c r="CQ234" s="2036"/>
      <c r="CR234" s="2036"/>
      <c r="CS234" s="2049"/>
      <c r="CT234" s="2049"/>
      <c r="CU234" s="2049"/>
      <c r="CW234" s="1973">
        <v>0</v>
      </c>
      <c r="CX234" s="2037">
        <v>0</v>
      </c>
      <c r="CY234" s="2037">
        <v>0</v>
      </c>
      <c r="CZ234" s="2037">
        <v>0</v>
      </c>
      <c r="DA234" s="2037">
        <v>0</v>
      </c>
      <c r="DK234" s="1973">
        <v>0</v>
      </c>
      <c r="DL234" s="1973">
        <v>0</v>
      </c>
      <c r="DM234" s="1973">
        <v>0</v>
      </c>
      <c r="DO234" s="2106"/>
      <c r="DP234" s="2107"/>
      <c r="DQ234" s="2107"/>
      <c r="DR234" s="2106"/>
      <c r="DS234" s="2111"/>
      <c r="DT234" s="2029">
        <v>0</v>
      </c>
      <c r="DU234" s="2029">
        <v>0</v>
      </c>
      <c r="DV234" s="2029">
        <v>0</v>
      </c>
      <c r="DW234" s="2111"/>
      <c r="DX234" s="2029">
        <v>0</v>
      </c>
      <c r="DY234" s="2029">
        <v>0</v>
      </c>
      <c r="DZ234" s="2029">
        <v>0</v>
      </c>
      <c r="EA234" s="2111"/>
      <c r="EB234" s="2029">
        <v>0</v>
      </c>
      <c r="EC234" s="2029">
        <v>0</v>
      </c>
      <c r="ED234" s="2029">
        <v>0</v>
      </c>
      <c r="EE234" s="2039">
        <f t="shared" si="107"/>
        <v>0</v>
      </c>
      <c r="EF234" s="2039">
        <f t="shared" si="107"/>
        <v>0</v>
      </c>
      <c r="EG234" s="2039">
        <f t="shared" si="107"/>
        <v>0</v>
      </c>
      <c r="EH234" s="2039">
        <f t="shared" si="107"/>
        <v>0</v>
      </c>
      <c r="EI234" s="2040">
        <f t="shared" si="140"/>
        <v>0</v>
      </c>
      <c r="EJ234" s="2040">
        <f t="shared" si="140"/>
        <v>0</v>
      </c>
      <c r="EK234" s="2040">
        <f t="shared" si="140"/>
        <v>0</v>
      </c>
      <c r="EL234" s="2040">
        <f t="shared" si="140"/>
        <v>0</v>
      </c>
      <c r="EM234" s="2040">
        <f t="shared" si="140"/>
        <v>0</v>
      </c>
      <c r="EN234" s="2040">
        <f t="shared" si="140"/>
        <v>0</v>
      </c>
      <c r="EO234" s="2040">
        <f t="shared" si="140"/>
        <v>0</v>
      </c>
      <c r="EP234" s="2040">
        <f t="shared" si="140"/>
        <v>0</v>
      </c>
      <c r="EQ234" s="2040">
        <f t="shared" si="140"/>
        <v>0</v>
      </c>
      <c r="ER234" s="2040">
        <f t="shared" si="137"/>
        <v>0</v>
      </c>
      <c r="ES234" s="2040">
        <f t="shared" si="137"/>
        <v>0</v>
      </c>
      <c r="ET234" s="2040">
        <f t="shared" si="137"/>
        <v>0</v>
      </c>
      <c r="EU234" s="2039">
        <f t="shared" si="108"/>
        <v>0</v>
      </c>
      <c r="EV234" s="2039">
        <f t="shared" si="109"/>
        <v>0</v>
      </c>
    </row>
    <row r="235" spans="1:152" x14ac:dyDescent="0.25">
      <c r="A235" s="2104" t="s">
        <v>1042</v>
      </c>
      <c r="B235" s="2105"/>
      <c r="C235" s="2106"/>
      <c r="D235" s="2107"/>
      <c r="E235" s="2107"/>
      <c r="F235" s="2106"/>
      <c r="G235" s="2108" t="s">
        <v>2285</v>
      </c>
      <c r="H235" s="2108" t="s">
        <v>2285</v>
      </c>
      <c r="I235" s="2108">
        <v>0.79999999999999993</v>
      </c>
      <c r="J235" s="2108">
        <v>0.79999999999999993</v>
      </c>
      <c r="K235" s="2108">
        <v>0.79999999999999993</v>
      </c>
      <c r="L235" s="2108">
        <v>0.79999999999999993</v>
      </c>
      <c r="M235" s="2109">
        <f t="shared" si="127"/>
        <v>0</v>
      </c>
      <c r="N235" s="2109">
        <f t="shared" si="127"/>
        <v>0</v>
      </c>
      <c r="O235" s="2109">
        <f t="shared" si="127"/>
        <v>0</v>
      </c>
      <c r="P235" s="2109">
        <f t="shared" si="127"/>
        <v>0</v>
      </c>
      <c r="Q235" s="2108">
        <v>0.79999999999999993</v>
      </c>
      <c r="R235" s="2108">
        <v>0.79999999999999993</v>
      </c>
      <c r="S235" s="2108">
        <v>0.79999999999999993</v>
      </c>
      <c r="T235" s="2108">
        <v>0.79999999999999993</v>
      </c>
      <c r="U235" s="2110">
        <f t="shared" si="128"/>
        <v>0</v>
      </c>
      <c r="V235" s="2110">
        <f t="shared" si="128"/>
        <v>0</v>
      </c>
      <c r="W235" s="2110">
        <f t="shared" si="128"/>
        <v>0</v>
      </c>
      <c r="X235" s="2110">
        <f t="shared" si="128"/>
        <v>0</v>
      </c>
      <c r="Y235" s="2108">
        <v>0.60399999999999998</v>
      </c>
      <c r="Z235" s="2108">
        <v>0.60399999999999998</v>
      </c>
      <c r="AA235" s="2108">
        <v>0.60399999999999998</v>
      </c>
      <c r="AB235" s="2108">
        <v>0.60399999999999998</v>
      </c>
      <c r="AC235" s="2027">
        <f t="shared" si="129"/>
        <v>0</v>
      </c>
      <c r="AD235" s="2027">
        <f t="shared" si="129"/>
        <v>0</v>
      </c>
      <c r="AE235" s="2027">
        <f t="shared" si="129"/>
        <v>0</v>
      </c>
      <c r="AF235" s="2027">
        <f t="shared" si="129"/>
        <v>0</v>
      </c>
      <c r="AG235" s="2027"/>
      <c r="AH235" s="2027"/>
      <c r="AI235" s="2027"/>
      <c r="AJ235" s="2027"/>
      <c r="AK235" s="2027">
        <f t="shared" si="138"/>
        <v>0</v>
      </c>
      <c r="AL235" s="2027">
        <f t="shared" si="130"/>
        <v>0</v>
      </c>
      <c r="AM235" s="2027">
        <f t="shared" si="130"/>
        <v>0</v>
      </c>
      <c r="AN235" s="2027">
        <f t="shared" si="130"/>
        <v>0</v>
      </c>
      <c r="AO235" s="2109">
        <f t="shared" si="139"/>
        <v>0</v>
      </c>
      <c r="AP235" s="2027">
        <f t="shared" si="131"/>
        <v>0</v>
      </c>
      <c r="AQ235" s="2027">
        <f t="shared" si="131"/>
        <v>0</v>
      </c>
      <c r="AR235" s="2027">
        <f t="shared" si="131"/>
        <v>0</v>
      </c>
      <c r="AS235" s="2111"/>
      <c r="AT235" s="2029">
        <f t="shared" si="132"/>
        <v>0</v>
      </c>
      <c r="AU235" s="2029">
        <f t="shared" si="132"/>
        <v>0</v>
      </c>
      <c r="AV235" s="2029">
        <f t="shared" si="132"/>
        <v>0</v>
      </c>
      <c r="AW235" s="2111"/>
      <c r="AX235" s="2029">
        <f t="shared" si="133"/>
        <v>0</v>
      </c>
      <c r="AY235" s="2029">
        <f t="shared" si="133"/>
        <v>0</v>
      </c>
      <c r="AZ235" s="2029">
        <f t="shared" si="133"/>
        <v>0</v>
      </c>
      <c r="BA235" s="2111"/>
      <c r="BB235" s="2029">
        <f t="shared" si="134"/>
        <v>0</v>
      </c>
      <c r="BC235" s="2029">
        <f t="shared" si="134"/>
        <v>0</v>
      </c>
      <c r="BD235" s="2029">
        <f t="shared" si="134"/>
        <v>0</v>
      </c>
      <c r="BE235" s="2030">
        <f t="shared" si="135"/>
        <v>0</v>
      </c>
      <c r="BF235" s="2030">
        <f t="shared" si="135"/>
        <v>0</v>
      </c>
      <c r="BG235" s="2030">
        <f t="shared" si="135"/>
        <v>0</v>
      </c>
      <c r="BH235" s="2030">
        <f t="shared" si="135"/>
        <v>0</v>
      </c>
      <c r="BI235" s="2030">
        <f t="shared" si="136"/>
        <v>0</v>
      </c>
      <c r="BJ235" s="2030">
        <f t="shared" si="136"/>
        <v>0</v>
      </c>
      <c r="BK235" s="2030">
        <f t="shared" si="136"/>
        <v>0</v>
      </c>
      <c r="BL235" s="2030">
        <f t="shared" si="136"/>
        <v>0</v>
      </c>
      <c r="BM235" s="2111"/>
      <c r="BN235" s="2111"/>
      <c r="BO235" s="2111"/>
      <c r="BP235" s="2111"/>
      <c r="BQ235" s="2111"/>
      <c r="BR235" s="2111"/>
      <c r="BS235" s="2111"/>
      <c r="BT235" s="2111"/>
      <c r="BU235" s="2029"/>
      <c r="BV235" s="2029"/>
      <c r="BW235" s="2029"/>
      <c r="BX235" s="2029"/>
      <c r="BY235" s="2029"/>
      <c r="BZ235" s="2032"/>
      <c r="CA235" s="1974"/>
      <c r="CB235" s="1974"/>
      <c r="CC235" s="1974"/>
      <c r="CD235" s="1974"/>
      <c r="CE235" s="1974"/>
      <c r="CF235" s="2033">
        <v>0</v>
      </c>
      <c r="CG235" s="2026">
        <v>0</v>
      </c>
      <c r="CH235" s="2009"/>
      <c r="CK235" s="2029"/>
      <c r="CL235" s="2034"/>
      <c r="CM235" s="2026"/>
      <c r="CN235" s="2026"/>
      <c r="CO235" s="2026"/>
      <c r="CP235" s="2035"/>
      <c r="CQ235" s="2036"/>
      <c r="CR235" s="2036"/>
      <c r="CS235" s="2049"/>
      <c r="CT235" s="2049"/>
      <c r="CU235" s="2049"/>
      <c r="CW235" s="1973">
        <v>0</v>
      </c>
      <c r="CX235" s="2037">
        <v>0</v>
      </c>
      <c r="CY235" s="2037">
        <v>0</v>
      </c>
      <c r="CZ235" s="2037">
        <v>0</v>
      </c>
      <c r="DA235" s="2037">
        <v>0</v>
      </c>
      <c r="DK235" s="1973">
        <v>0</v>
      </c>
      <c r="DL235" s="1973">
        <v>0</v>
      </c>
      <c r="DM235" s="1973">
        <v>0</v>
      </c>
      <c r="DO235" s="2106"/>
      <c r="DP235" s="2107"/>
      <c r="DQ235" s="2107"/>
      <c r="DR235" s="2106"/>
      <c r="DS235" s="2111"/>
      <c r="DT235" s="2029">
        <v>0</v>
      </c>
      <c r="DU235" s="2029">
        <v>0</v>
      </c>
      <c r="DV235" s="2029">
        <v>0</v>
      </c>
      <c r="DW235" s="2111"/>
      <c r="DX235" s="2029">
        <v>0</v>
      </c>
      <c r="DY235" s="2029">
        <v>0</v>
      </c>
      <c r="DZ235" s="2029">
        <v>0</v>
      </c>
      <c r="EA235" s="2111"/>
      <c r="EB235" s="2029">
        <v>0</v>
      </c>
      <c r="EC235" s="2029">
        <v>0</v>
      </c>
      <c r="ED235" s="2029">
        <v>0</v>
      </c>
      <c r="EE235" s="2039">
        <f t="shared" si="107"/>
        <v>0</v>
      </c>
      <c r="EF235" s="2039">
        <f t="shared" si="107"/>
        <v>0</v>
      </c>
      <c r="EG235" s="2039">
        <f t="shared" si="107"/>
        <v>0</v>
      </c>
      <c r="EH235" s="2039">
        <f t="shared" si="107"/>
        <v>0</v>
      </c>
      <c r="EI235" s="2040">
        <f t="shared" si="140"/>
        <v>0</v>
      </c>
      <c r="EJ235" s="2040">
        <f t="shared" si="140"/>
        <v>0</v>
      </c>
      <c r="EK235" s="2040">
        <f t="shared" si="140"/>
        <v>0</v>
      </c>
      <c r="EL235" s="2040">
        <f t="shared" si="140"/>
        <v>0</v>
      </c>
      <c r="EM235" s="2040">
        <f t="shared" si="140"/>
        <v>0</v>
      </c>
      <c r="EN235" s="2040">
        <f t="shared" si="140"/>
        <v>0</v>
      </c>
      <c r="EO235" s="2040">
        <f t="shared" si="140"/>
        <v>0</v>
      </c>
      <c r="EP235" s="2040">
        <f t="shared" si="140"/>
        <v>0</v>
      </c>
      <c r="EQ235" s="2040">
        <f t="shared" si="140"/>
        <v>0</v>
      </c>
      <c r="ER235" s="2040">
        <f t="shared" si="137"/>
        <v>0</v>
      </c>
      <c r="ES235" s="2040">
        <f t="shared" si="137"/>
        <v>0</v>
      </c>
      <c r="ET235" s="2040">
        <f t="shared" si="137"/>
        <v>0</v>
      </c>
      <c r="EU235" s="2039">
        <f t="shared" si="108"/>
        <v>0</v>
      </c>
      <c r="EV235" s="2039">
        <f t="shared" si="109"/>
        <v>0</v>
      </c>
    </row>
    <row r="236" spans="1:152" x14ac:dyDescent="0.25">
      <c r="A236" s="2104" t="s">
        <v>1043</v>
      </c>
      <c r="B236" s="2105"/>
      <c r="C236" s="2106"/>
      <c r="D236" s="2107"/>
      <c r="E236" s="2107"/>
      <c r="F236" s="2106"/>
      <c r="G236" s="2108" t="s">
        <v>2285</v>
      </c>
      <c r="H236" s="2108" t="s">
        <v>2285</v>
      </c>
      <c r="I236" s="2108">
        <v>0.79999999999999993</v>
      </c>
      <c r="J236" s="2108">
        <v>0.79999999999999993</v>
      </c>
      <c r="K236" s="2108">
        <v>0.79999999999999993</v>
      </c>
      <c r="L236" s="2108">
        <v>0.79999999999999993</v>
      </c>
      <c r="M236" s="2109">
        <f t="shared" si="127"/>
        <v>0</v>
      </c>
      <c r="N236" s="2109">
        <f t="shared" si="127"/>
        <v>0</v>
      </c>
      <c r="O236" s="2109">
        <f t="shared" si="127"/>
        <v>0</v>
      </c>
      <c r="P236" s="2109">
        <f t="shared" si="127"/>
        <v>0</v>
      </c>
      <c r="Q236" s="2108">
        <v>0.79999999999999993</v>
      </c>
      <c r="R236" s="2108">
        <v>0.79999999999999993</v>
      </c>
      <c r="S236" s="2108">
        <v>0.79999999999999993</v>
      </c>
      <c r="T236" s="2108">
        <v>0.79999999999999993</v>
      </c>
      <c r="U236" s="2110">
        <f t="shared" si="128"/>
        <v>0</v>
      </c>
      <c r="V236" s="2110">
        <f t="shared" si="128"/>
        <v>0</v>
      </c>
      <c r="W236" s="2110">
        <f t="shared" si="128"/>
        <v>0</v>
      </c>
      <c r="X236" s="2110">
        <f t="shared" si="128"/>
        <v>0</v>
      </c>
      <c r="Y236" s="2108">
        <v>0.60399999999999998</v>
      </c>
      <c r="Z236" s="2108">
        <v>0.60399999999999998</v>
      </c>
      <c r="AA236" s="2108">
        <v>0.60399999999999998</v>
      </c>
      <c r="AB236" s="2108">
        <v>0.60399999999999998</v>
      </c>
      <c r="AC236" s="2027">
        <f t="shared" si="129"/>
        <v>0</v>
      </c>
      <c r="AD236" s="2027">
        <f t="shared" si="129"/>
        <v>0</v>
      </c>
      <c r="AE236" s="2027">
        <f t="shared" si="129"/>
        <v>0</v>
      </c>
      <c r="AF236" s="2027">
        <f t="shared" si="129"/>
        <v>0</v>
      </c>
      <c r="AG236" s="2027"/>
      <c r="AH236" s="2027"/>
      <c r="AI236" s="2027"/>
      <c r="AJ236" s="2027"/>
      <c r="AK236" s="2027">
        <f t="shared" si="138"/>
        <v>0</v>
      </c>
      <c r="AL236" s="2027">
        <f t="shared" si="130"/>
        <v>0</v>
      </c>
      <c r="AM236" s="2027">
        <f t="shared" si="130"/>
        <v>0</v>
      </c>
      <c r="AN236" s="2027">
        <f t="shared" si="130"/>
        <v>0</v>
      </c>
      <c r="AO236" s="2109">
        <f t="shared" si="139"/>
        <v>0</v>
      </c>
      <c r="AP236" s="2027">
        <f t="shared" si="131"/>
        <v>0</v>
      </c>
      <c r="AQ236" s="2027">
        <f t="shared" si="131"/>
        <v>0</v>
      </c>
      <c r="AR236" s="2027">
        <f t="shared" si="131"/>
        <v>0</v>
      </c>
      <c r="AS236" s="2111"/>
      <c r="AT236" s="2029">
        <f t="shared" si="132"/>
        <v>0</v>
      </c>
      <c r="AU236" s="2029">
        <f t="shared" si="132"/>
        <v>0</v>
      </c>
      <c r="AV236" s="2029">
        <f t="shared" si="132"/>
        <v>0</v>
      </c>
      <c r="AW236" s="2111"/>
      <c r="AX236" s="2029">
        <f t="shared" si="133"/>
        <v>0</v>
      </c>
      <c r="AY236" s="2029">
        <f t="shared" si="133"/>
        <v>0</v>
      </c>
      <c r="AZ236" s="2029">
        <f t="shared" si="133"/>
        <v>0</v>
      </c>
      <c r="BA236" s="2111"/>
      <c r="BB236" s="2029">
        <f t="shared" si="134"/>
        <v>0</v>
      </c>
      <c r="BC236" s="2029">
        <f t="shared" si="134"/>
        <v>0</v>
      </c>
      <c r="BD236" s="2029">
        <f t="shared" si="134"/>
        <v>0</v>
      </c>
      <c r="BE236" s="2030">
        <f t="shared" si="135"/>
        <v>0</v>
      </c>
      <c r="BF236" s="2030">
        <f t="shared" si="135"/>
        <v>0</v>
      </c>
      <c r="BG236" s="2030">
        <f t="shared" si="135"/>
        <v>0</v>
      </c>
      <c r="BH236" s="2030">
        <f t="shared" si="135"/>
        <v>0</v>
      </c>
      <c r="BI236" s="2030">
        <f t="shared" si="136"/>
        <v>0</v>
      </c>
      <c r="BJ236" s="2030">
        <f t="shared" si="136"/>
        <v>0</v>
      </c>
      <c r="BK236" s="2030">
        <f t="shared" si="136"/>
        <v>0</v>
      </c>
      <c r="BL236" s="2030">
        <f t="shared" si="136"/>
        <v>0</v>
      </c>
      <c r="BM236" s="2111"/>
      <c r="BN236" s="2111"/>
      <c r="BO236" s="2111"/>
      <c r="BP236" s="2111"/>
      <c r="BQ236" s="2111"/>
      <c r="BR236" s="2111"/>
      <c r="BS236" s="2111"/>
      <c r="BT236" s="2111"/>
      <c r="BU236" s="2029"/>
      <c r="BV236" s="2029"/>
      <c r="BW236" s="2029"/>
      <c r="BX236" s="2029"/>
      <c r="BY236" s="2029"/>
      <c r="BZ236" s="2032"/>
      <c r="CA236" s="1974"/>
      <c r="CB236" s="1974"/>
      <c r="CC236" s="1974"/>
      <c r="CD236" s="1974"/>
      <c r="CE236" s="1974"/>
      <c r="CF236" s="2033">
        <v>0</v>
      </c>
      <c r="CG236" s="2026">
        <v>0</v>
      </c>
      <c r="CH236" s="2009"/>
      <c r="CK236" s="2029"/>
      <c r="CL236" s="2034"/>
      <c r="CM236" s="2026"/>
      <c r="CN236" s="2026"/>
      <c r="CO236" s="2026"/>
      <c r="CP236" s="2035"/>
      <c r="CQ236" s="2036"/>
      <c r="CR236" s="2036"/>
      <c r="CS236" s="2049"/>
      <c r="CT236" s="2049"/>
      <c r="CU236" s="2049"/>
      <c r="CW236" s="1973">
        <v>0</v>
      </c>
      <c r="CX236" s="2037">
        <v>0</v>
      </c>
      <c r="CY236" s="2037">
        <v>0</v>
      </c>
      <c r="CZ236" s="2037">
        <v>0</v>
      </c>
      <c r="DA236" s="2037">
        <v>0</v>
      </c>
      <c r="DK236" s="1973">
        <v>0</v>
      </c>
      <c r="DL236" s="1973">
        <v>0</v>
      </c>
      <c r="DM236" s="1973">
        <v>0</v>
      </c>
      <c r="DO236" s="2106"/>
      <c r="DP236" s="2107"/>
      <c r="DQ236" s="2107"/>
      <c r="DR236" s="2106"/>
      <c r="DS236" s="2111"/>
      <c r="DT236" s="2029">
        <v>0</v>
      </c>
      <c r="DU236" s="2029">
        <v>0</v>
      </c>
      <c r="DV236" s="2029">
        <v>0</v>
      </c>
      <c r="DW236" s="2111"/>
      <c r="DX236" s="2029">
        <v>0</v>
      </c>
      <c r="DY236" s="2029">
        <v>0</v>
      </c>
      <c r="DZ236" s="2029">
        <v>0</v>
      </c>
      <c r="EA236" s="2111"/>
      <c r="EB236" s="2029">
        <v>0</v>
      </c>
      <c r="EC236" s="2029">
        <v>0</v>
      </c>
      <c r="ED236" s="2029">
        <v>0</v>
      </c>
      <c r="EE236" s="2039">
        <f t="shared" si="107"/>
        <v>0</v>
      </c>
      <c r="EF236" s="2039">
        <f t="shared" si="107"/>
        <v>0</v>
      </c>
      <c r="EG236" s="2039">
        <f t="shared" si="107"/>
        <v>0</v>
      </c>
      <c r="EH236" s="2039">
        <f t="shared" si="107"/>
        <v>0</v>
      </c>
      <c r="EI236" s="2040">
        <f t="shared" si="140"/>
        <v>0</v>
      </c>
      <c r="EJ236" s="2040">
        <f t="shared" si="140"/>
        <v>0</v>
      </c>
      <c r="EK236" s="2040">
        <f t="shared" si="140"/>
        <v>0</v>
      </c>
      <c r="EL236" s="2040">
        <f t="shared" si="140"/>
        <v>0</v>
      </c>
      <c r="EM236" s="2040">
        <f t="shared" si="140"/>
        <v>0</v>
      </c>
      <c r="EN236" s="2040">
        <f t="shared" si="140"/>
        <v>0</v>
      </c>
      <c r="EO236" s="2040">
        <f t="shared" si="140"/>
        <v>0</v>
      </c>
      <c r="EP236" s="2040">
        <f t="shared" si="140"/>
        <v>0</v>
      </c>
      <c r="EQ236" s="2040">
        <f t="shared" si="140"/>
        <v>0</v>
      </c>
      <c r="ER236" s="2040">
        <f t="shared" si="137"/>
        <v>0</v>
      </c>
      <c r="ES236" s="2040">
        <f t="shared" si="137"/>
        <v>0</v>
      </c>
      <c r="ET236" s="2040">
        <f t="shared" si="137"/>
        <v>0</v>
      </c>
      <c r="EU236" s="2039">
        <f t="shared" si="108"/>
        <v>0</v>
      </c>
      <c r="EV236" s="2039">
        <f t="shared" si="109"/>
        <v>0</v>
      </c>
    </row>
    <row r="237" spans="1:152" x14ac:dyDescent="0.25">
      <c r="A237" s="2104" t="s">
        <v>1044</v>
      </c>
      <c r="B237" s="2105"/>
      <c r="C237" s="2106"/>
      <c r="D237" s="2107"/>
      <c r="E237" s="2107"/>
      <c r="F237" s="2106"/>
      <c r="G237" s="2108" t="s">
        <v>2285</v>
      </c>
      <c r="H237" s="2108" t="s">
        <v>2285</v>
      </c>
      <c r="I237" s="2108">
        <v>0.79999999999999993</v>
      </c>
      <c r="J237" s="2108">
        <v>0.79999999999999993</v>
      </c>
      <c r="K237" s="2108">
        <v>0.79999999999999993</v>
      </c>
      <c r="L237" s="2108">
        <v>0.79999999999999993</v>
      </c>
      <c r="M237" s="2109">
        <f t="shared" si="127"/>
        <v>0</v>
      </c>
      <c r="N237" s="2109">
        <f t="shared" si="127"/>
        <v>0</v>
      </c>
      <c r="O237" s="2109">
        <f t="shared" si="127"/>
        <v>0</v>
      </c>
      <c r="P237" s="2109">
        <f t="shared" si="127"/>
        <v>0</v>
      </c>
      <c r="Q237" s="2108">
        <v>0.79999999999999993</v>
      </c>
      <c r="R237" s="2108">
        <v>0.79999999999999993</v>
      </c>
      <c r="S237" s="2108">
        <v>0.79999999999999993</v>
      </c>
      <c r="T237" s="2108">
        <v>0.79999999999999993</v>
      </c>
      <c r="U237" s="2110">
        <f t="shared" si="128"/>
        <v>0</v>
      </c>
      <c r="V237" s="2110">
        <f t="shared" si="128"/>
        <v>0</v>
      </c>
      <c r="W237" s="2110">
        <f t="shared" si="128"/>
        <v>0</v>
      </c>
      <c r="X237" s="2110">
        <f t="shared" si="128"/>
        <v>0</v>
      </c>
      <c r="Y237" s="2108">
        <v>0.60399999999999998</v>
      </c>
      <c r="Z237" s="2108">
        <v>0.60399999999999998</v>
      </c>
      <c r="AA237" s="2108">
        <v>0.60399999999999998</v>
      </c>
      <c r="AB237" s="2108">
        <v>0.60399999999999998</v>
      </c>
      <c r="AC237" s="2027">
        <f t="shared" si="129"/>
        <v>0</v>
      </c>
      <c r="AD237" s="2027">
        <f t="shared" si="129"/>
        <v>0</v>
      </c>
      <c r="AE237" s="2027">
        <f t="shared" si="129"/>
        <v>0</v>
      </c>
      <c r="AF237" s="2027">
        <f t="shared" si="129"/>
        <v>0</v>
      </c>
      <c r="AG237" s="2027"/>
      <c r="AH237" s="2027"/>
      <c r="AI237" s="2027"/>
      <c r="AJ237" s="2027"/>
      <c r="AK237" s="2027">
        <f t="shared" si="138"/>
        <v>0</v>
      </c>
      <c r="AL237" s="2027">
        <f t="shared" si="130"/>
        <v>0</v>
      </c>
      <c r="AM237" s="2027">
        <f t="shared" si="130"/>
        <v>0</v>
      </c>
      <c r="AN237" s="2027">
        <f t="shared" si="130"/>
        <v>0</v>
      </c>
      <c r="AO237" s="2109">
        <f t="shared" si="139"/>
        <v>0</v>
      </c>
      <c r="AP237" s="2027">
        <f t="shared" si="131"/>
        <v>0</v>
      </c>
      <c r="AQ237" s="2027">
        <f t="shared" si="131"/>
        <v>0</v>
      </c>
      <c r="AR237" s="2027">
        <f t="shared" si="131"/>
        <v>0</v>
      </c>
      <c r="AS237" s="2111"/>
      <c r="AT237" s="2029">
        <f t="shared" si="132"/>
        <v>0</v>
      </c>
      <c r="AU237" s="2029">
        <f t="shared" si="132"/>
        <v>0</v>
      </c>
      <c r="AV237" s="2029">
        <f t="shared" si="132"/>
        <v>0</v>
      </c>
      <c r="AW237" s="2111"/>
      <c r="AX237" s="2029">
        <f t="shared" si="133"/>
        <v>0</v>
      </c>
      <c r="AY237" s="2029">
        <f t="shared" si="133"/>
        <v>0</v>
      </c>
      <c r="AZ237" s="2029">
        <f t="shared" si="133"/>
        <v>0</v>
      </c>
      <c r="BA237" s="2111"/>
      <c r="BB237" s="2029">
        <f t="shared" si="134"/>
        <v>0</v>
      </c>
      <c r="BC237" s="2029">
        <f t="shared" si="134"/>
        <v>0</v>
      </c>
      <c r="BD237" s="2029">
        <f t="shared" si="134"/>
        <v>0</v>
      </c>
      <c r="BE237" s="2030">
        <f t="shared" si="135"/>
        <v>0</v>
      </c>
      <c r="BF237" s="2030">
        <f t="shared" si="135"/>
        <v>0</v>
      </c>
      <c r="BG237" s="2030">
        <f t="shared" si="135"/>
        <v>0</v>
      </c>
      <c r="BH237" s="2030">
        <f t="shared" si="135"/>
        <v>0</v>
      </c>
      <c r="BI237" s="2030">
        <f t="shared" si="136"/>
        <v>0</v>
      </c>
      <c r="BJ237" s="2030">
        <f t="shared" si="136"/>
        <v>0</v>
      </c>
      <c r="BK237" s="2030">
        <f t="shared" si="136"/>
        <v>0</v>
      </c>
      <c r="BL237" s="2030">
        <f t="shared" si="136"/>
        <v>0</v>
      </c>
      <c r="BM237" s="2111"/>
      <c r="BN237" s="2111"/>
      <c r="BO237" s="2111"/>
      <c r="BP237" s="2111"/>
      <c r="BQ237" s="2111"/>
      <c r="BR237" s="2111"/>
      <c r="BS237" s="2111"/>
      <c r="BT237" s="2111"/>
      <c r="BU237" s="2029"/>
      <c r="BV237" s="2029"/>
      <c r="BW237" s="2029"/>
      <c r="BX237" s="2029"/>
      <c r="BY237" s="2029"/>
      <c r="BZ237" s="2032"/>
      <c r="CA237" s="1974"/>
      <c r="CB237" s="1974"/>
      <c r="CC237" s="1974"/>
      <c r="CD237" s="1974"/>
      <c r="CE237" s="1974"/>
      <c r="CF237" s="2033">
        <v>0</v>
      </c>
      <c r="CG237" s="2026">
        <v>0</v>
      </c>
      <c r="CH237" s="2009"/>
      <c r="CK237" s="2029"/>
      <c r="CL237" s="2034"/>
      <c r="CM237" s="2026"/>
      <c r="CN237" s="2026"/>
      <c r="CO237" s="2026"/>
      <c r="CP237" s="2035"/>
      <c r="CQ237" s="2036"/>
      <c r="CR237" s="2036"/>
      <c r="CS237" s="2049"/>
      <c r="CT237" s="2049"/>
      <c r="CU237" s="2049"/>
      <c r="CW237" s="1973">
        <v>0</v>
      </c>
      <c r="CX237" s="2037">
        <v>0</v>
      </c>
      <c r="CY237" s="2037">
        <v>0</v>
      </c>
      <c r="CZ237" s="2037">
        <v>0</v>
      </c>
      <c r="DA237" s="2037">
        <v>0</v>
      </c>
      <c r="DK237" s="1973">
        <v>0</v>
      </c>
      <c r="DL237" s="1973">
        <v>0</v>
      </c>
      <c r="DM237" s="1973">
        <v>0</v>
      </c>
      <c r="DO237" s="2106"/>
      <c r="DP237" s="2107"/>
      <c r="DQ237" s="2107"/>
      <c r="DR237" s="2106"/>
      <c r="DS237" s="2111"/>
      <c r="DT237" s="2029">
        <v>0</v>
      </c>
      <c r="DU237" s="2029">
        <v>0</v>
      </c>
      <c r="DV237" s="2029">
        <v>0</v>
      </c>
      <c r="DW237" s="2111"/>
      <c r="DX237" s="2029">
        <v>0</v>
      </c>
      <c r="DY237" s="2029">
        <v>0</v>
      </c>
      <c r="DZ237" s="2029">
        <v>0</v>
      </c>
      <c r="EA237" s="2111"/>
      <c r="EB237" s="2029">
        <v>0</v>
      </c>
      <c r="EC237" s="2029">
        <v>0</v>
      </c>
      <c r="ED237" s="2029">
        <v>0</v>
      </c>
      <c r="EE237" s="2039">
        <f t="shared" si="107"/>
        <v>0</v>
      </c>
      <c r="EF237" s="2039">
        <f t="shared" si="107"/>
        <v>0</v>
      </c>
      <c r="EG237" s="2039">
        <f t="shared" si="107"/>
        <v>0</v>
      </c>
      <c r="EH237" s="2039">
        <f t="shared" si="107"/>
        <v>0</v>
      </c>
      <c r="EI237" s="2040">
        <f t="shared" si="140"/>
        <v>0</v>
      </c>
      <c r="EJ237" s="2040">
        <f t="shared" si="140"/>
        <v>0</v>
      </c>
      <c r="EK237" s="2040">
        <f t="shared" si="140"/>
        <v>0</v>
      </c>
      <c r="EL237" s="2040">
        <f t="shared" si="140"/>
        <v>0</v>
      </c>
      <c r="EM237" s="2040">
        <f t="shared" si="140"/>
        <v>0</v>
      </c>
      <c r="EN237" s="2040">
        <f t="shared" si="140"/>
        <v>0</v>
      </c>
      <c r="EO237" s="2040">
        <f t="shared" si="140"/>
        <v>0</v>
      </c>
      <c r="EP237" s="2040">
        <f t="shared" si="140"/>
        <v>0</v>
      </c>
      <c r="EQ237" s="2040">
        <f t="shared" si="140"/>
        <v>0</v>
      </c>
      <c r="ER237" s="2040">
        <f t="shared" si="137"/>
        <v>0</v>
      </c>
      <c r="ES237" s="2040">
        <f t="shared" si="137"/>
        <v>0</v>
      </c>
      <c r="ET237" s="2040">
        <f t="shared" si="137"/>
        <v>0</v>
      </c>
      <c r="EU237" s="2039">
        <f t="shared" si="108"/>
        <v>0</v>
      </c>
      <c r="EV237" s="2039">
        <f t="shared" si="109"/>
        <v>0</v>
      </c>
    </row>
    <row r="238" spans="1:152" x14ac:dyDescent="0.25">
      <c r="A238" s="2104" t="s">
        <v>1045</v>
      </c>
      <c r="B238" s="2105"/>
      <c r="C238" s="2106"/>
      <c r="D238" s="2107"/>
      <c r="E238" s="2107"/>
      <c r="F238" s="2106"/>
      <c r="G238" s="2108" t="s">
        <v>2285</v>
      </c>
      <c r="H238" s="2108" t="s">
        <v>2285</v>
      </c>
      <c r="I238" s="2108">
        <v>0.79999999999999993</v>
      </c>
      <c r="J238" s="2108">
        <v>0.79999999999999993</v>
      </c>
      <c r="K238" s="2108">
        <v>0.79999999999999993</v>
      </c>
      <c r="L238" s="2108">
        <v>0.79999999999999993</v>
      </c>
      <c r="M238" s="2109">
        <f t="shared" si="127"/>
        <v>0</v>
      </c>
      <c r="N238" s="2109">
        <f t="shared" si="127"/>
        <v>0</v>
      </c>
      <c r="O238" s="2109">
        <f t="shared" si="127"/>
        <v>0</v>
      </c>
      <c r="P238" s="2109">
        <f t="shared" si="127"/>
        <v>0</v>
      </c>
      <c r="Q238" s="2108">
        <v>0.79999999999999993</v>
      </c>
      <c r="R238" s="2108">
        <v>0.79999999999999993</v>
      </c>
      <c r="S238" s="2108">
        <v>0.79999999999999993</v>
      </c>
      <c r="T238" s="2108">
        <v>0.79999999999999993</v>
      </c>
      <c r="U238" s="2110">
        <f t="shared" si="128"/>
        <v>0</v>
      </c>
      <c r="V238" s="2110">
        <f t="shared" si="128"/>
        <v>0</v>
      </c>
      <c r="W238" s="2110">
        <f t="shared" si="128"/>
        <v>0</v>
      </c>
      <c r="X238" s="2110">
        <f t="shared" si="128"/>
        <v>0</v>
      </c>
      <c r="Y238" s="2108">
        <v>0.60399999999999998</v>
      </c>
      <c r="Z238" s="2108">
        <v>0.60399999999999998</v>
      </c>
      <c r="AA238" s="2108">
        <v>0.60399999999999998</v>
      </c>
      <c r="AB238" s="2108">
        <v>0.60399999999999998</v>
      </c>
      <c r="AC238" s="2027">
        <f t="shared" si="129"/>
        <v>0</v>
      </c>
      <c r="AD238" s="2027">
        <f t="shared" si="129"/>
        <v>0</v>
      </c>
      <c r="AE238" s="2027">
        <f t="shared" si="129"/>
        <v>0</v>
      </c>
      <c r="AF238" s="2027">
        <f t="shared" si="129"/>
        <v>0</v>
      </c>
      <c r="AG238" s="2027"/>
      <c r="AH238" s="2027"/>
      <c r="AI238" s="2027"/>
      <c r="AJ238" s="2027"/>
      <c r="AK238" s="2027">
        <f t="shared" si="138"/>
        <v>0</v>
      </c>
      <c r="AL238" s="2027">
        <f t="shared" si="130"/>
        <v>0</v>
      </c>
      <c r="AM238" s="2027">
        <f t="shared" si="130"/>
        <v>0</v>
      </c>
      <c r="AN238" s="2027">
        <f t="shared" si="130"/>
        <v>0</v>
      </c>
      <c r="AO238" s="2109">
        <f t="shared" si="139"/>
        <v>0</v>
      </c>
      <c r="AP238" s="2027">
        <f t="shared" si="131"/>
        <v>0</v>
      </c>
      <c r="AQ238" s="2027">
        <f t="shared" si="131"/>
        <v>0</v>
      </c>
      <c r="AR238" s="2027">
        <f t="shared" si="131"/>
        <v>0</v>
      </c>
      <c r="AS238" s="2111"/>
      <c r="AT238" s="2029">
        <f t="shared" si="132"/>
        <v>0</v>
      </c>
      <c r="AU238" s="2029">
        <f t="shared" si="132"/>
        <v>0</v>
      </c>
      <c r="AV238" s="2029">
        <f t="shared" si="132"/>
        <v>0</v>
      </c>
      <c r="AW238" s="2111"/>
      <c r="AX238" s="2029">
        <f t="shared" si="133"/>
        <v>0</v>
      </c>
      <c r="AY238" s="2029">
        <f t="shared" si="133"/>
        <v>0</v>
      </c>
      <c r="AZ238" s="2029">
        <f t="shared" si="133"/>
        <v>0</v>
      </c>
      <c r="BA238" s="2111"/>
      <c r="BB238" s="2029">
        <f t="shared" si="134"/>
        <v>0</v>
      </c>
      <c r="BC238" s="2029">
        <f t="shared" si="134"/>
        <v>0</v>
      </c>
      <c r="BD238" s="2029">
        <f t="shared" si="134"/>
        <v>0</v>
      </c>
      <c r="BE238" s="2030">
        <f t="shared" si="135"/>
        <v>0</v>
      </c>
      <c r="BF238" s="2030">
        <f t="shared" si="135"/>
        <v>0</v>
      </c>
      <c r="BG238" s="2030">
        <f t="shared" si="135"/>
        <v>0</v>
      </c>
      <c r="BH238" s="2030">
        <f t="shared" si="135"/>
        <v>0</v>
      </c>
      <c r="BI238" s="2030">
        <f t="shared" si="136"/>
        <v>0</v>
      </c>
      <c r="BJ238" s="2030">
        <f t="shared" si="136"/>
        <v>0</v>
      </c>
      <c r="BK238" s="2030">
        <f t="shared" si="136"/>
        <v>0</v>
      </c>
      <c r="BL238" s="2030">
        <f t="shared" si="136"/>
        <v>0</v>
      </c>
      <c r="BM238" s="2111"/>
      <c r="BN238" s="2111"/>
      <c r="BO238" s="2111"/>
      <c r="BP238" s="2111"/>
      <c r="BQ238" s="2111"/>
      <c r="BR238" s="2111"/>
      <c r="BS238" s="2111"/>
      <c r="BT238" s="2111"/>
      <c r="BU238" s="2029"/>
      <c r="BV238" s="2029"/>
      <c r="BW238" s="2029"/>
      <c r="BX238" s="2029"/>
      <c r="BY238" s="2029"/>
      <c r="BZ238" s="2032"/>
      <c r="CA238" s="1974"/>
      <c r="CB238" s="1974"/>
      <c r="CC238" s="1974"/>
      <c r="CD238" s="1974"/>
      <c r="CE238" s="1974"/>
      <c r="CF238" s="2033">
        <v>0</v>
      </c>
      <c r="CG238" s="2026">
        <v>0</v>
      </c>
      <c r="CH238" s="2009"/>
      <c r="CK238" s="2029"/>
      <c r="CL238" s="2034"/>
      <c r="CM238" s="2026"/>
      <c r="CN238" s="2026"/>
      <c r="CO238" s="2026"/>
      <c r="CP238" s="2035"/>
      <c r="CQ238" s="2036"/>
      <c r="CR238" s="2036"/>
      <c r="CS238" s="2049"/>
      <c r="CT238" s="2049"/>
      <c r="CU238" s="2049"/>
      <c r="CW238" s="1973">
        <v>0</v>
      </c>
      <c r="CX238" s="2037">
        <v>0</v>
      </c>
      <c r="CY238" s="2037">
        <v>0</v>
      </c>
      <c r="CZ238" s="2037">
        <v>0</v>
      </c>
      <c r="DA238" s="2037">
        <v>0</v>
      </c>
      <c r="DK238" s="1973">
        <v>0</v>
      </c>
      <c r="DL238" s="1973">
        <v>0</v>
      </c>
      <c r="DM238" s="1973">
        <v>0</v>
      </c>
      <c r="DO238" s="2106"/>
      <c r="DP238" s="2107"/>
      <c r="DQ238" s="2107"/>
      <c r="DR238" s="2106"/>
      <c r="DS238" s="2111"/>
      <c r="DT238" s="2029">
        <v>0</v>
      </c>
      <c r="DU238" s="2029">
        <v>0</v>
      </c>
      <c r="DV238" s="2029">
        <v>0</v>
      </c>
      <c r="DW238" s="2111"/>
      <c r="DX238" s="2029">
        <v>0</v>
      </c>
      <c r="DY238" s="2029">
        <v>0</v>
      </c>
      <c r="DZ238" s="2029">
        <v>0</v>
      </c>
      <c r="EA238" s="2111"/>
      <c r="EB238" s="2029">
        <v>0</v>
      </c>
      <c r="EC238" s="2029">
        <v>0</v>
      </c>
      <c r="ED238" s="2029">
        <v>0</v>
      </c>
      <c r="EE238" s="2039">
        <f t="shared" si="107"/>
        <v>0</v>
      </c>
      <c r="EF238" s="2039">
        <f t="shared" si="107"/>
        <v>0</v>
      </c>
      <c r="EG238" s="2039">
        <f t="shared" si="107"/>
        <v>0</v>
      </c>
      <c r="EH238" s="2039">
        <f t="shared" si="107"/>
        <v>0</v>
      </c>
      <c r="EI238" s="2040">
        <f t="shared" si="140"/>
        <v>0</v>
      </c>
      <c r="EJ238" s="2040">
        <f t="shared" si="140"/>
        <v>0</v>
      </c>
      <c r="EK238" s="2040">
        <f t="shared" si="140"/>
        <v>0</v>
      </c>
      <c r="EL238" s="2040">
        <f t="shared" si="140"/>
        <v>0</v>
      </c>
      <c r="EM238" s="2040">
        <f t="shared" si="140"/>
        <v>0</v>
      </c>
      <c r="EN238" s="2040">
        <f t="shared" si="140"/>
        <v>0</v>
      </c>
      <c r="EO238" s="2040">
        <f t="shared" si="140"/>
        <v>0</v>
      </c>
      <c r="EP238" s="2040">
        <f t="shared" si="140"/>
        <v>0</v>
      </c>
      <c r="EQ238" s="2040">
        <f t="shared" si="140"/>
        <v>0</v>
      </c>
      <c r="ER238" s="2040">
        <f t="shared" si="137"/>
        <v>0</v>
      </c>
      <c r="ES238" s="2040">
        <f t="shared" si="137"/>
        <v>0</v>
      </c>
      <c r="ET238" s="2040">
        <f t="shared" si="137"/>
        <v>0</v>
      </c>
      <c r="EU238" s="2039">
        <f t="shared" si="108"/>
        <v>0</v>
      </c>
      <c r="EV238" s="2039">
        <f t="shared" si="109"/>
        <v>0</v>
      </c>
    </row>
    <row r="239" spans="1:152" x14ac:dyDescent="0.25">
      <c r="A239" s="2104" t="s">
        <v>1046</v>
      </c>
      <c r="B239" s="2105"/>
      <c r="C239" s="2106"/>
      <c r="D239" s="2107"/>
      <c r="E239" s="2107"/>
      <c r="F239" s="2106"/>
      <c r="G239" s="2108" t="s">
        <v>2285</v>
      </c>
      <c r="H239" s="2108" t="s">
        <v>2285</v>
      </c>
      <c r="I239" s="2108">
        <v>0.79999999999999993</v>
      </c>
      <c r="J239" s="2108">
        <v>0.79999999999999993</v>
      </c>
      <c r="K239" s="2108">
        <v>0.79999999999999993</v>
      </c>
      <c r="L239" s="2108">
        <v>0.79999999999999993</v>
      </c>
      <c r="M239" s="2109">
        <f t="shared" si="127"/>
        <v>0</v>
      </c>
      <c r="N239" s="2109">
        <f t="shared" si="127"/>
        <v>0</v>
      </c>
      <c r="O239" s="2109">
        <f t="shared" si="127"/>
        <v>0</v>
      </c>
      <c r="P239" s="2109">
        <f t="shared" si="127"/>
        <v>0</v>
      </c>
      <c r="Q239" s="2108">
        <v>0.79999999999999993</v>
      </c>
      <c r="R239" s="2108">
        <v>0.79999999999999993</v>
      </c>
      <c r="S239" s="2108">
        <v>0.79999999999999993</v>
      </c>
      <c r="T239" s="2108">
        <v>0.79999999999999993</v>
      </c>
      <c r="U239" s="2110">
        <f t="shared" si="128"/>
        <v>0</v>
      </c>
      <c r="V239" s="2110">
        <f t="shared" si="128"/>
        <v>0</v>
      </c>
      <c r="W239" s="2110">
        <f t="shared" si="128"/>
        <v>0</v>
      </c>
      <c r="X239" s="2110">
        <f t="shared" si="128"/>
        <v>0</v>
      </c>
      <c r="Y239" s="2108">
        <v>0.60399999999999998</v>
      </c>
      <c r="Z239" s="2108">
        <v>0.60399999999999998</v>
      </c>
      <c r="AA239" s="2108">
        <v>0.60399999999999998</v>
      </c>
      <c r="AB239" s="2108">
        <v>0.60399999999999998</v>
      </c>
      <c r="AC239" s="2027">
        <f t="shared" si="129"/>
        <v>0</v>
      </c>
      <c r="AD239" s="2027">
        <f t="shared" si="129"/>
        <v>0</v>
      </c>
      <c r="AE239" s="2027">
        <f t="shared" si="129"/>
        <v>0</v>
      </c>
      <c r="AF239" s="2027">
        <f t="shared" si="129"/>
        <v>0</v>
      </c>
      <c r="AG239" s="2027"/>
      <c r="AH239" s="2027"/>
      <c r="AI239" s="2027"/>
      <c r="AJ239" s="2027"/>
      <c r="AK239" s="2027">
        <f t="shared" si="138"/>
        <v>0</v>
      </c>
      <c r="AL239" s="2027">
        <f t="shared" si="130"/>
        <v>0</v>
      </c>
      <c r="AM239" s="2027">
        <f t="shared" si="130"/>
        <v>0</v>
      </c>
      <c r="AN239" s="2027">
        <f t="shared" si="130"/>
        <v>0</v>
      </c>
      <c r="AO239" s="2109">
        <f t="shared" si="139"/>
        <v>0</v>
      </c>
      <c r="AP239" s="2027">
        <f t="shared" si="131"/>
        <v>0</v>
      </c>
      <c r="AQ239" s="2027">
        <f t="shared" si="131"/>
        <v>0</v>
      </c>
      <c r="AR239" s="2027">
        <f t="shared" si="131"/>
        <v>0</v>
      </c>
      <c r="AS239" s="2111"/>
      <c r="AT239" s="2029">
        <f t="shared" si="132"/>
        <v>0</v>
      </c>
      <c r="AU239" s="2029">
        <f t="shared" si="132"/>
        <v>0</v>
      </c>
      <c r="AV239" s="2029">
        <f t="shared" si="132"/>
        <v>0</v>
      </c>
      <c r="AW239" s="2111"/>
      <c r="AX239" s="2029">
        <f t="shared" si="133"/>
        <v>0</v>
      </c>
      <c r="AY239" s="2029">
        <f t="shared" si="133"/>
        <v>0</v>
      </c>
      <c r="AZ239" s="2029">
        <f t="shared" si="133"/>
        <v>0</v>
      </c>
      <c r="BA239" s="2111"/>
      <c r="BB239" s="2029">
        <f t="shared" si="134"/>
        <v>0</v>
      </c>
      <c r="BC239" s="2029">
        <f t="shared" si="134"/>
        <v>0</v>
      </c>
      <c r="BD239" s="2029">
        <f t="shared" si="134"/>
        <v>0</v>
      </c>
      <c r="BE239" s="2030">
        <f t="shared" si="135"/>
        <v>0</v>
      </c>
      <c r="BF239" s="2030">
        <f t="shared" si="135"/>
        <v>0</v>
      </c>
      <c r="BG239" s="2030">
        <f t="shared" si="135"/>
        <v>0</v>
      </c>
      <c r="BH239" s="2030">
        <f t="shared" si="135"/>
        <v>0</v>
      </c>
      <c r="BI239" s="2030">
        <f t="shared" si="136"/>
        <v>0</v>
      </c>
      <c r="BJ239" s="2030">
        <f t="shared" si="136"/>
        <v>0</v>
      </c>
      <c r="BK239" s="2030">
        <f t="shared" si="136"/>
        <v>0</v>
      </c>
      <c r="BL239" s="2030">
        <f t="shared" si="136"/>
        <v>0</v>
      </c>
      <c r="BM239" s="2111"/>
      <c r="BN239" s="2111"/>
      <c r="BO239" s="2111"/>
      <c r="BP239" s="2111"/>
      <c r="BQ239" s="2111"/>
      <c r="BR239" s="2111"/>
      <c r="BS239" s="2111"/>
      <c r="BT239" s="2111"/>
      <c r="BU239" s="2029"/>
      <c r="BV239" s="2029"/>
      <c r="BW239" s="2029"/>
      <c r="BX239" s="2029"/>
      <c r="BY239" s="2029"/>
      <c r="BZ239" s="2032"/>
      <c r="CA239" s="1974"/>
      <c r="CB239" s="1974"/>
      <c r="CC239" s="1974"/>
      <c r="CD239" s="1974"/>
      <c r="CE239" s="1974"/>
      <c r="CF239" s="2033">
        <v>0</v>
      </c>
      <c r="CG239" s="2026">
        <v>0</v>
      </c>
      <c r="CH239" s="2009"/>
      <c r="CK239" s="2029"/>
      <c r="CL239" s="2034"/>
      <c r="CM239" s="2026"/>
      <c r="CN239" s="2026"/>
      <c r="CO239" s="2026"/>
      <c r="CP239" s="2035"/>
      <c r="CQ239" s="2036"/>
      <c r="CR239" s="2036"/>
      <c r="CS239" s="2049"/>
      <c r="CT239" s="2049"/>
      <c r="CU239" s="2049"/>
      <c r="CW239" s="1973">
        <v>0</v>
      </c>
      <c r="CX239" s="2037">
        <v>0</v>
      </c>
      <c r="CY239" s="2037">
        <v>0</v>
      </c>
      <c r="CZ239" s="2037">
        <v>0</v>
      </c>
      <c r="DA239" s="2037">
        <v>0</v>
      </c>
      <c r="DK239" s="1973">
        <v>0</v>
      </c>
      <c r="DL239" s="1973">
        <v>0</v>
      </c>
      <c r="DM239" s="1973">
        <v>0</v>
      </c>
      <c r="DO239" s="2106"/>
      <c r="DP239" s="2107"/>
      <c r="DQ239" s="2107"/>
      <c r="DR239" s="2106"/>
      <c r="DS239" s="2111"/>
      <c r="DT239" s="2029">
        <v>0</v>
      </c>
      <c r="DU239" s="2029">
        <v>0</v>
      </c>
      <c r="DV239" s="2029">
        <v>0</v>
      </c>
      <c r="DW239" s="2111"/>
      <c r="DX239" s="2029">
        <v>0</v>
      </c>
      <c r="DY239" s="2029">
        <v>0</v>
      </c>
      <c r="DZ239" s="2029">
        <v>0</v>
      </c>
      <c r="EA239" s="2111"/>
      <c r="EB239" s="2029">
        <v>0</v>
      </c>
      <c r="EC239" s="2029">
        <v>0</v>
      </c>
      <c r="ED239" s="2029">
        <v>0</v>
      </c>
      <c r="EE239" s="2039">
        <f t="shared" si="107"/>
        <v>0</v>
      </c>
      <c r="EF239" s="2039">
        <f t="shared" si="107"/>
        <v>0</v>
      </c>
      <c r="EG239" s="2039">
        <f t="shared" si="107"/>
        <v>0</v>
      </c>
      <c r="EH239" s="2039">
        <f t="shared" si="107"/>
        <v>0</v>
      </c>
      <c r="EI239" s="2040">
        <f t="shared" si="140"/>
        <v>0</v>
      </c>
      <c r="EJ239" s="2040">
        <f t="shared" si="140"/>
        <v>0</v>
      </c>
      <c r="EK239" s="2040">
        <f t="shared" si="140"/>
        <v>0</v>
      </c>
      <c r="EL239" s="2040">
        <f t="shared" si="140"/>
        <v>0</v>
      </c>
      <c r="EM239" s="2040">
        <f t="shared" si="140"/>
        <v>0</v>
      </c>
      <c r="EN239" s="2040">
        <f t="shared" si="140"/>
        <v>0</v>
      </c>
      <c r="EO239" s="2040">
        <f t="shared" si="140"/>
        <v>0</v>
      </c>
      <c r="EP239" s="2040">
        <f t="shared" si="140"/>
        <v>0</v>
      </c>
      <c r="EQ239" s="2040">
        <f t="shared" si="140"/>
        <v>0</v>
      </c>
      <c r="ER239" s="2040">
        <f t="shared" si="137"/>
        <v>0</v>
      </c>
      <c r="ES239" s="2040">
        <f t="shared" si="137"/>
        <v>0</v>
      </c>
      <c r="ET239" s="2040">
        <f t="shared" si="137"/>
        <v>0</v>
      </c>
      <c r="EU239" s="2039">
        <f t="shared" si="108"/>
        <v>0</v>
      </c>
      <c r="EV239" s="2039">
        <f t="shared" si="109"/>
        <v>0</v>
      </c>
    </row>
    <row r="240" spans="1:152" x14ac:dyDescent="0.25">
      <c r="A240" s="2104" t="s">
        <v>1047</v>
      </c>
      <c r="B240" s="2105"/>
      <c r="C240" s="2106"/>
      <c r="D240" s="2107"/>
      <c r="E240" s="2107"/>
      <c r="F240" s="2106"/>
      <c r="G240" s="2108" t="s">
        <v>2285</v>
      </c>
      <c r="H240" s="2108" t="s">
        <v>2285</v>
      </c>
      <c r="I240" s="2108">
        <v>0.79999999999999993</v>
      </c>
      <c r="J240" s="2108">
        <v>0.79999999999999993</v>
      </c>
      <c r="K240" s="2108">
        <v>0.79999999999999993</v>
      </c>
      <c r="L240" s="2108">
        <v>0.79999999999999993</v>
      </c>
      <c r="M240" s="2109">
        <f t="shared" si="127"/>
        <v>0</v>
      </c>
      <c r="N240" s="2109">
        <f t="shared" si="127"/>
        <v>0</v>
      </c>
      <c r="O240" s="2109">
        <f t="shared" si="127"/>
        <v>0</v>
      </c>
      <c r="P240" s="2109">
        <f t="shared" si="127"/>
        <v>0</v>
      </c>
      <c r="Q240" s="2108">
        <v>0.79999999999999993</v>
      </c>
      <c r="R240" s="2108">
        <v>0.79999999999999993</v>
      </c>
      <c r="S240" s="2108">
        <v>0.79999999999999993</v>
      </c>
      <c r="T240" s="2108">
        <v>0.79999999999999993</v>
      </c>
      <c r="U240" s="2110">
        <f t="shared" si="128"/>
        <v>0</v>
      </c>
      <c r="V240" s="2110">
        <f t="shared" si="128"/>
        <v>0</v>
      </c>
      <c r="W240" s="2110">
        <f t="shared" si="128"/>
        <v>0</v>
      </c>
      <c r="X240" s="2110">
        <f t="shared" si="128"/>
        <v>0</v>
      </c>
      <c r="Y240" s="2108">
        <v>0.60399999999999998</v>
      </c>
      <c r="Z240" s="2108">
        <v>0.60399999999999998</v>
      </c>
      <c r="AA240" s="2108">
        <v>0.60399999999999998</v>
      </c>
      <c r="AB240" s="2108">
        <v>0.60399999999999998</v>
      </c>
      <c r="AC240" s="2027">
        <f t="shared" si="129"/>
        <v>0</v>
      </c>
      <c r="AD240" s="2027">
        <f t="shared" si="129"/>
        <v>0</v>
      </c>
      <c r="AE240" s="2027">
        <f t="shared" si="129"/>
        <v>0</v>
      </c>
      <c r="AF240" s="2027">
        <f t="shared" si="129"/>
        <v>0</v>
      </c>
      <c r="AG240" s="2027"/>
      <c r="AH240" s="2027"/>
      <c r="AI240" s="2027"/>
      <c r="AJ240" s="2027"/>
      <c r="AK240" s="2027">
        <f t="shared" si="138"/>
        <v>0</v>
      </c>
      <c r="AL240" s="2027">
        <f t="shared" si="130"/>
        <v>0</v>
      </c>
      <c r="AM240" s="2027">
        <f t="shared" si="130"/>
        <v>0</v>
      </c>
      <c r="AN240" s="2027">
        <f t="shared" si="130"/>
        <v>0</v>
      </c>
      <c r="AO240" s="2109">
        <f t="shared" si="139"/>
        <v>0</v>
      </c>
      <c r="AP240" s="2027">
        <f t="shared" si="131"/>
        <v>0</v>
      </c>
      <c r="AQ240" s="2027">
        <f t="shared" si="131"/>
        <v>0</v>
      </c>
      <c r="AR240" s="2027">
        <f t="shared" si="131"/>
        <v>0</v>
      </c>
      <c r="AS240" s="2111"/>
      <c r="AT240" s="2029">
        <f t="shared" si="132"/>
        <v>0</v>
      </c>
      <c r="AU240" s="2029">
        <f t="shared" si="132"/>
        <v>0</v>
      </c>
      <c r="AV240" s="2029">
        <f t="shared" si="132"/>
        <v>0</v>
      </c>
      <c r="AW240" s="2111"/>
      <c r="AX240" s="2029">
        <f t="shared" si="133"/>
        <v>0</v>
      </c>
      <c r="AY240" s="2029">
        <f t="shared" si="133"/>
        <v>0</v>
      </c>
      <c r="AZ240" s="2029">
        <f t="shared" si="133"/>
        <v>0</v>
      </c>
      <c r="BA240" s="2111"/>
      <c r="BB240" s="2029">
        <f t="shared" si="134"/>
        <v>0</v>
      </c>
      <c r="BC240" s="2029">
        <f t="shared" si="134"/>
        <v>0</v>
      </c>
      <c r="BD240" s="2029">
        <f t="shared" si="134"/>
        <v>0</v>
      </c>
      <c r="BE240" s="2030">
        <f t="shared" si="135"/>
        <v>0</v>
      </c>
      <c r="BF240" s="2030">
        <f t="shared" si="135"/>
        <v>0</v>
      </c>
      <c r="BG240" s="2030">
        <f t="shared" si="135"/>
        <v>0</v>
      </c>
      <c r="BH240" s="2030">
        <f t="shared" si="135"/>
        <v>0</v>
      </c>
      <c r="BI240" s="2030">
        <f t="shared" si="136"/>
        <v>0</v>
      </c>
      <c r="BJ240" s="2030">
        <f t="shared" si="136"/>
        <v>0</v>
      </c>
      <c r="BK240" s="2030">
        <f t="shared" si="136"/>
        <v>0</v>
      </c>
      <c r="BL240" s="2030">
        <f t="shared" si="136"/>
        <v>0</v>
      </c>
      <c r="BM240" s="2111"/>
      <c r="BN240" s="2111"/>
      <c r="BO240" s="2111"/>
      <c r="BP240" s="2111"/>
      <c r="BQ240" s="2111"/>
      <c r="BR240" s="2111"/>
      <c r="BS240" s="2111"/>
      <c r="BT240" s="2111"/>
      <c r="BU240" s="2029"/>
      <c r="BV240" s="2029"/>
      <c r="BW240" s="2029"/>
      <c r="BX240" s="2029"/>
      <c r="BY240" s="2029"/>
      <c r="BZ240" s="2032"/>
      <c r="CA240" s="1974"/>
      <c r="CB240" s="1974"/>
      <c r="CC240" s="1974"/>
      <c r="CD240" s="1974"/>
      <c r="CE240" s="1974"/>
      <c r="CF240" s="2033">
        <v>0</v>
      </c>
      <c r="CG240" s="2026">
        <v>0</v>
      </c>
      <c r="CH240" s="2009"/>
      <c r="CK240" s="2029"/>
      <c r="CL240" s="2034"/>
      <c r="CM240" s="2026"/>
      <c r="CN240" s="2026"/>
      <c r="CO240" s="2026"/>
      <c r="CP240" s="2035"/>
      <c r="CQ240" s="2036"/>
      <c r="CR240" s="2036"/>
      <c r="CS240" s="2049"/>
      <c r="CT240" s="2049"/>
      <c r="CU240" s="2049"/>
      <c r="CW240" s="1973">
        <v>0</v>
      </c>
      <c r="CX240" s="2037">
        <v>0</v>
      </c>
      <c r="CY240" s="2037">
        <v>0</v>
      </c>
      <c r="CZ240" s="2037">
        <v>0</v>
      </c>
      <c r="DA240" s="2037">
        <v>0</v>
      </c>
      <c r="DK240" s="1973">
        <v>0</v>
      </c>
      <c r="DL240" s="1973">
        <v>0</v>
      </c>
      <c r="DM240" s="1973">
        <v>0</v>
      </c>
      <c r="DO240" s="2106"/>
      <c r="DP240" s="2107"/>
      <c r="DQ240" s="2107"/>
      <c r="DR240" s="2106"/>
      <c r="DS240" s="2111"/>
      <c r="DT240" s="2029">
        <v>0</v>
      </c>
      <c r="DU240" s="2029">
        <v>0</v>
      </c>
      <c r="DV240" s="2029">
        <v>0</v>
      </c>
      <c r="DW240" s="2111"/>
      <c r="DX240" s="2029">
        <v>0</v>
      </c>
      <c r="DY240" s="2029">
        <v>0</v>
      </c>
      <c r="DZ240" s="2029">
        <v>0</v>
      </c>
      <c r="EA240" s="2111"/>
      <c r="EB240" s="2029">
        <v>0</v>
      </c>
      <c r="EC240" s="2029">
        <v>0</v>
      </c>
      <c r="ED240" s="2029">
        <v>0</v>
      </c>
      <c r="EE240" s="2039">
        <f t="shared" si="107"/>
        <v>0</v>
      </c>
      <c r="EF240" s="2039">
        <f t="shared" si="107"/>
        <v>0</v>
      </c>
      <c r="EG240" s="2039">
        <f t="shared" si="107"/>
        <v>0</v>
      </c>
      <c r="EH240" s="2039">
        <f t="shared" si="107"/>
        <v>0</v>
      </c>
      <c r="EI240" s="2040">
        <f t="shared" si="140"/>
        <v>0</v>
      </c>
      <c r="EJ240" s="2040">
        <f t="shared" si="140"/>
        <v>0</v>
      </c>
      <c r="EK240" s="2040">
        <f t="shared" si="140"/>
        <v>0</v>
      </c>
      <c r="EL240" s="2040">
        <f t="shared" si="140"/>
        <v>0</v>
      </c>
      <c r="EM240" s="2040">
        <f t="shared" si="140"/>
        <v>0</v>
      </c>
      <c r="EN240" s="2040">
        <f t="shared" si="140"/>
        <v>0</v>
      </c>
      <c r="EO240" s="2040">
        <f t="shared" si="140"/>
        <v>0</v>
      </c>
      <c r="EP240" s="2040">
        <f t="shared" si="140"/>
        <v>0</v>
      </c>
      <c r="EQ240" s="2040">
        <f t="shared" si="140"/>
        <v>0</v>
      </c>
      <c r="ER240" s="2040">
        <f t="shared" si="137"/>
        <v>0</v>
      </c>
      <c r="ES240" s="2040">
        <f t="shared" si="137"/>
        <v>0</v>
      </c>
      <c r="ET240" s="2040">
        <f t="shared" si="137"/>
        <v>0</v>
      </c>
      <c r="EU240" s="2039">
        <f t="shared" si="108"/>
        <v>0</v>
      </c>
      <c r="EV240" s="2039">
        <f t="shared" si="109"/>
        <v>0</v>
      </c>
    </row>
    <row r="241" spans="1:152" x14ac:dyDescent="0.25">
      <c r="A241" s="2104" t="s">
        <v>1048</v>
      </c>
      <c r="B241" s="2105"/>
      <c r="C241" s="2106"/>
      <c r="D241" s="2107"/>
      <c r="E241" s="2107"/>
      <c r="F241" s="2106"/>
      <c r="G241" s="2108" t="s">
        <v>2285</v>
      </c>
      <c r="H241" s="2108" t="s">
        <v>2285</v>
      </c>
      <c r="I241" s="2108">
        <v>0.79999999999999993</v>
      </c>
      <c r="J241" s="2108">
        <v>0.79999999999999993</v>
      </c>
      <c r="K241" s="2108">
        <v>0.79999999999999993</v>
      </c>
      <c r="L241" s="2108">
        <v>0.79999999999999993</v>
      </c>
      <c r="M241" s="2109">
        <f t="shared" ref="M241:P245" si="141">$D241*I241</f>
        <v>0</v>
      </c>
      <c r="N241" s="2109">
        <f t="shared" si="141"/>
        <v>0</v>
      </c>
      <c r="O241" s="2109">
        <f t="shared" si="141"/>
        <v>0</v>
      </c>
      <c r="P241" s="2109">
        <f t="shared" si="141"/>
        <v>0</v>
      </c>
      <c r="Q241" s="2108">
        <v>0.79999999999999993</v>
      </c>
      <c r="R241" s="2108">
        <v>0.79999999999999993</v>
      </c>
      <c r="S241" s="2108">
        <v>0.79999999999999993</v>
      </c>
      <c r="T241" s="2108">
        <v>0.79999999999999993</v>
      </c>
      <c r="U241" s="2110">
        <f t="shared" ref="U241:X246" si="142">$E241*Q241</f>
        <v>0</v>
      </c>
      <c r="V241" s="2110">
        <f t="shared" si="142"/>
        <v>0</v>
      </c>
      <c r="W241" s="2110">
        <f t="shared" si="142"/>
        <v>0</v>
      </c>
      <c r="X241" s="2110">
        <f t="shared" si="142"/>
        <v>0</v>
      </c>
      <c r="Y241" s="2108">
        <v>0.60399999999999998</v>
      </c>
      <c r="Z241" s="2108">
        <v>0.60399999999999998</v>
      </c>
      <c r="AA241" s="2108">
        <v>0.60399999999999998</v>
      </c>
      <c r="AB241" s="2108">
        <v>0.60399999999999998</v>
      </c>
      <c r="AC241" s="2027">
        <f t="shared" ref="AC241:AF245" si="143">$F241*Y241</f>
        <v>0</v>
      </c>
      <c r="AD241" s="2027">
        <f t="shared" si="143"/>
        <v>0</v>
      </c>
      <c r="AE241" s="2027">
        <f t="shared" si="143"/>
        <v>0</v>
      </c>
      <c r="AF241" s="2027">
        <f t="shared" si="143"/>
        <v>0</v>
      </c>
      <c r="AG241" s="2027"/>
      <c r="AH241" s="2027"/>
      <c r="AI241" s="2027"/>
      <c r="AJ241" s="2027"/>
      <c r="AK241" s="2027">
        <f t="shared" si="138"/>
        <v>0</v>
      </c>
      <c r="AL241" s="2027">
        <f t="shared" si="130"/>
        <v>0</v>
      </c>
      <c r="AM241" s="2027">
        <f t="shared" si="130"/>
        <v>0</v>
      </c>
      <c r="AN241" s="2027">
        <f t="shared" si="130"/>
        <v>0</v>
      </c>
      <c r="AO241" s="2109">
        <f t="shared" si="139"/>
        <v>0</v>
      </c>
      <c r="AP241" s="2027">
        <f t="shared" si="131"/>
        <v>0</v>
      </c>
      <c r="AQ241" s="2027">
        <f t="shared" si="131"/>
        <v>0</v>
      </c>
      <c r="AR241" s="2027">
        <f t="shared" si="131"/>
        <v>0</v>
      </c>
      <c r="AS241" s="2111"/>
      <c r="AT241" s="2029">
        <f t="shared" si="132"/>
        <v>0</v>
      </c>
      <c r="AU241" s="2029">
        <f t="shared" si="132"/>
        <v>0</v>
      </c>
      <c r="AV241" s="2029">
        <f t="shared" si="132"/>
        <v>0</v>
      </c>
      <c r="AW241" s="2111"/>
      <c r="AX241" s="2029">
        <f t="shared" si="133"/>
        <v>0</v>
      </c>
      <c r="AY241" s="2029">
        <f t="shared" si="133"/>
        <v>0</v>
      </c>
      <c r="AZ241" s="2029">
        <f t="shared" si="133"/>
        <v>0</v>
      </c>
      <c r="BA241" s="2111"/>
      <c r="BB241" s="2029">
        <f t="shared" si="134"/>
        <v>0</v>
      </c>
      <c r="BC241" s="2029">
        <f t="shared" si="134"/>
        <v>0</v>
      </c>
      <c r="BD241" s="2029">
        <f t="shared" si="134"/>
        <v>0</v>
      </c>
      <c r="BE241" s="2030">
        <f t="shared" si="135"/>
        <v>0</v>
      </c>
      <c r="BF241" s="2030">
        <f t="shared" si="135"/>
        <v>0</v>
      </c>
      <c r="BG241" s="2030">
        <f t="shared" si="135"/>
        <v>0</v>
      </c>
      <c r="BH241" s="2030">
        <f t="shared" si="135"/>
        <v>0</v>
      </c>
      <c r="BI241" s="2030">
        <f t="shared" si="136"/>
        <v>0</v>
      </c>
      <c r="BJ241" s="2030">
        <f t="shared" si="136"/>
        <v>0</v>
      </c>
      <c r="BK241" s="2030">
        <f t="shared" si="136"/>
        <v>0</v>
      </c>
      <c r="BL241" s="2030">
        <f t="shared" si="136"/>
        <v>0</v>
      </c>
      <c r="BM241" s="2111"/>
      <c r="BN241" s="2111"/>
      <c r="BO241" s="2111"/>
      <c r="BP241" s="2111"/>
      <c r="BQ241" s="2111"/>
      <c r="BR241" s="2111"/>
      <c r="BS241" s="2111"/>
      <c r="BT241" s="2111"/>
      <c r="BU241" s="2029"/>
      <c r="BV241" s="2029"/>
      <c r="BW241" s="2029"/>
      <c r="BX241" s="2029"/>
      <c r="BY241" s="2029"/>
      <c r="BZ241" s="2032"/>
      <c r="CA241" s="1974"/>
      <c r="CB241" s="1974"/>
      <c r="CC241" s="1974"/>
      <c r="CD241" s="1974"/>
      <c r="CE241" s="1974"/>
      <c r="CF241" s="2033">
        <v>0</v>
      </c>
      <c r="CG241" s="2026">
        <v>0</v>
      </c>
      <c r="CH241" s="2009"/>
      <c r="CK241" s="2029"/>
      <c r="CL241" s="2034"/>
      <c r="CM241" s="2026"/>
      <c r="CN241" s="2026"/>
      <c r="CO241" s="2026"/>
      <c r="CP241" s="2035"/>
      <c r="CQ241" s="2036"/>
      <c r="CR241" s="2036"/>
      <c r="CS241" s="2049"/>
      <c r="CT241" s="2049"/>
      <c r="CU241" s="2049"/>
      <c r="CW241" s="1973">
        <v>0</v>
      </c>
      <c r="CX241" s="2037">
        <v>0</v>
      </c>
      <c r="CY241" s="2037">
        <v>0</v>
      </c>
      <c r="CZ241" s="2037">
        <v>0</v>
      </c>
      <c r="DA241" s="2037">
        <v>0</v>
      </c>
      <c r="DK241" s="1973">
        <v>0</v>
      </c>
      <c r="DL241" s="1973">
        <v>0</v>
      </c>
      <c r="DM241" s="1973">
        <v>0</v>
      </c>
      <c r="DO241" s="2106"/>
      <c r="DP241" s="2107"/>
      <c r="DQ241" s="2107"/>
      <c r="DR241" s="2106"/>
      <c r="DS241" s="2111"/>
      <c r="DT241" s="2029">
        <v>0</v>
      </c>
      <c r="DU241" s="2029">
        <v>0</v>
      </c>
      <c r="DV241" s="2029">
        <v>0</v>
      </c>
      <c r="DW241" s="2111"/>
      <c r="DX241" s="2029">
        <v>0</v>
      </c>
      <c r="DY241" s="2029">
        <v>0</v>
      </c>
      <c r="DZ241" s="2029">
        <v>0</v>
      </c>
      <c r="EA241" s="2111"/>
      <c r="EB241" s="2029">
        <v>0</v>
      </c>
      <c r="EC241" s="2029">
        <v>0</v>
      </c>
      <c r="ED241" s="2029">
        <v>0</v>
      </c>
      <c r="EE241" s="2039">
        <f t="shared" si="107"/>
        <v>0</v>
      </c>
      <c r="EF241" s="2039">
        <f t="shared" si="107"/>
        <v>0</v>
      </c>
      <c r="EG241" s="2039">
        <f t="shared" si="107"/>
        <v>0</v>
      </c>
      <c r="EH241" s="2039">
        <f t="shared" si="107"/>
        <v>0</v>
      </c>
      <c r="EI241" s="2040">
        <f t="shared" si="140"/>
        <v>0</v>
      </c>
      <c r="EJ241" s="2040">
        <f t="shared" si="140"/>
        <v>0</v>
      </c>
      <c r="EK241" s="2040">
        <f t="shared" si="140"/>
        <v>0</v>
      </c>
      <c r="EL241" s="2040">
        <f t="shared" si="140"/>
        <v>0</v>
      </c>
      <c r="EM241" s="2040">
        <f t="shared" si="140"/>
        <v>0</v>
      </c>
      <c r="EN241" s="2040">
        <f t="shared" si="140"/>
        <v>0</v>
      </c>
      <c r="EO241" s="2040">
        <f t="shared" si="140"/>
        <v>0</v>
      </c>
      <c r="EP241" s="2040">
        <f t="shared" si="140"/>
        <v>0</v>
      </c>
      <c r="EQ241" s="2040">
        <f t="shared" si="140"/>
        <v>0</v>
      </c>
      <c r="ER241" s="2040">
        <f t="shared" si="137"/>
        <v>0</v>
      </c>
      <c r="ES241" s="2040">
        <f t="shared" si="137"/>
        <v>0</v>
      </c>
      <c r="ET241" s="2040">
        <f t="shared" si="137"/>
        <v>0</v>
      </c>
      <c r="EU241" s="2039">
        <f t="shared" si="108"/>
        <v>0</v>
      </c>
      <c r="EV241" s="2039">
        <f t="shared" si="109"/>
        <v>0</v>
      </c>
    </row>
    <row r="242" spans="1:152" x14ac:dyDescent="0.25">
      <c r="A242" s="2104" t="s">
        <v>1049</v>
      </c>
      <c r="B242" s="2105"/>
      <c r="C242" s="2106"/>
      <c r="D242" s="2107"/>
      <c r="E242" s="2107"/>
      <c r="F242" s="2106"/>
      <c r="G242" s="2108" t="s">
        <v>2285</v>
      </c>
      <c r="H242" s="2108" t="s">
        <v>2285</v>
      </c>
      <c r="I242" s="2108">
        <v>0.79999999999999993</v>
      </c>
      <c r="J242" s="2108">
        <v>0.79999999999999993</v>
      </c>
      <c r="K242" s="2108">
        <v>0.79999999999999993</v>
      </c>
      <c r="L242" s="2108">
        <v>0.79999999999999993</v>
      </c>
      <c r="M242" s="2109">
        <f t="shared" si="141"/>
        <v>0</v>
      </c>
      <c r="N242" s="2109">
        <f t="shared" si="141"/>
        <v>0</v>
      </c>
      <c r="O242" s="2109">
        <f t="shared" si="141"/>
        <v>0</v>
      </c>
      <c r="P242" s="2109">
        <f t="shared" si="141"/>
        <v>0</v>
      </c>
      <c r="Q242" s="2108">
        <v>0.79999999999999993</v>
      </c>
      <c r="R242" s="2108">
        <v>0.79999999999999993</v>
      </c>
      <c r="S242" s="2108">
        <v>0.79999999999999993</v>
      </c>
      <c r="T242" s="2108">
        <v>0.79999999999999993</v>
      </c>
      <c r="U242" s="2110">
        <f t="shared" si="142"/>
        <v>0</v>
      </c>
      <c r="V242" s="2110">
        <f t="shared" si="142"/>
        <v>0</v>
      </c>
      <c r="W242" s="2110">
        <f t="shared" si="142"/>
        <v>0</v>
      </c>
      <c r="X242" s="2110">
        <f t="shared" si="142"/>
        <v>0</v>
      </c>
      <c r="Y242" s="2108">
        <v>0.60399999999999998</v>
      </c>
      <c r="Z242" s="2108">
        <v>0.60399999999999998</v>
      </c>
      <c r="AA242" s="2108">
        <v>0.60399999999999998</v>
      </c>
      <c r="AB242" s="2108">
        <v>0.60399999999999998</v>
      </c>
      <c r="AC242" s="2027">
        <f t="shared" si="143"/>
        <v>0</v>
      </c>
      <c r="AD242" s="2027">
        <f t="shared" si="143"/>
        <v>0</v>
      </c>
      <c r="AE242" s="2027">
        <f t="shared" si="143"/>
        <v>0</v>
      </c>
      <c r="AF242" s="2027">
        <f t="shared" si="143"/>
        <v>0</v>
      </c>
      <c r="AG242" s="2027"/>
      <c r="AH242" s="2027"/>
      <c r="AI242" s="2027"/>
      <c r="AJ242" s="2027"/>
      <c r="AK242" s="2027">
        <f t="shared" si="138"/>
        <v>0</v>
      </c>
      <c r="AL242" s="2027">
        <f t="shared" si="130"/>
        <v>0</v>
      </c>
      <c r="AM242" s="2027">
        <f t="shared" si="130"/>
        <v>0</v>
      </c>
      <c r="AN242" s="2027">
        <f t="shared" si="130"/>
        <v>0</v>
      </c>
      <c r="AO242" s="2109">
        <f t="shared" si="139"/>
        <v>0</v>
      </c>
      <c r="AP242" s="2027">
        <f t="shared" si="131"/>
        <v>0</v>
      </c>
      <c r="AQ242" s="2027">
        <f t="shared" si="131"/>
        <v>0</v>
      </c>
      <c r="AR242" s="2027">
        <f t="shared" si="131"/>
        <v>0</v>
      </c>
      <c r="AS242" s="2111"/>
      <c r="AT242" s="2029">
        <f t="shared" si="132"/>
        <v>0</v>
      </c>
      <c r="AU242" s="2029">
        <f t="shared" si="132"/>
        <v>0</v>
      </c>
      <c r="AV242" s="2029">
        <f t="shared" si="132"/>
        <v>0</v>
      </c>
      <c r="AW242" s="2111"/>
      <c r="AX242" s="2029">
        <f t="shared" si="133"/>
        <v>0</v>
      </c>
      <c r="AY242" s="2029">
        <f t="shared" si="133"/>
        <v>0</v>
      </c>
      <c r="AZ242" s="2029">
        <f t="shared" si="133"/>
        <v>0</v>
      </c>
      <c r="BA242" s="2111"/>
      <c r="BB242" s="2029">
        <f t="shared" si="134"/>
        <v>0</v>
      </c>
      <c r="BC242" s="2029">
        <f t="shared" si="134"/>
        <v>0</v>
      </c>
      <c r="BD242" s="2029">
        <f t="shared" si="134"/>
        <v>0</v>
      </c>
      <c r="BE242" s="2030">
        <f t="shared" si="135"/>
        <v>0</v>
      </c>
      <c r="BF242" s="2030">
        <f t="shared" si="135"/>
        <v>0</v>
      </c>
      <c r="BG242" s="2030">
        <f t="shared" si="135"/>
        <v>0</v>
      </c>
      <c r="BH242" s="2030">
        <f t="shared" si="135"/>
        <v>0</v>
      </c>
      <c r="BI242" s="2030">
        <f t="shared" si="136"/>
        <v>0</v>
      </c>
      <c r="BJ242" s="2030">
        <f t="shared" si="136"/>
        <v>0</v>
      </c>
      <c r="BK242" s="2030">
        <f t="shared" si="136"/>
        <v>0</v>
      </c>
      <c r="BL242" s="2030">
        <f t="shared" si="136"/>
        <v>0</v>
      </c>
      <c r="BM242" s="2111"/>
      <c r="BN242" s="2111"/>
      <c r="BO242" s="2111"/>
      <c r="BP242" s="2111"/>
      <c r="BQ242" s="2111"/>
      <c r="BR242" s="2111"/>
      <c r="BS242" s="2111"/>
      <c r="BT242" s="2111"/>
      <c r="BU242" s="2029"/>
      <c r="BV242" s="2029"/>
      <c r="BW242" s="2029"/>
      <c r="BX242" s="2029"/>
      <c r="BY242" s="2029"/>
      <c r="BZ242" s="2032"/>
      <c r="CA242" s="1974"/>
      <c r="CB242" s="1974"/>
      <c r="CC242" s="1974"/>
      <c r="CD242" s="1974"/>
      <c r="CE242" s="1974"/>
      <c r="CF242" s="2033">
        <v>0</v>
      </c>
      <c r="CG242" s="2026">
        <v>0</v>
      </c>
      <c r="CH242" s="2009"/>
      <c r="CK242" s="2029"/>
      <c r="CL242" s="2034"/>
      <c r="CM242" s="2026"/>
      <c r="CN242" s="2026"/>
      <c r="CO242" s="2026"/>
      <c r="CP242" s="2035"/>
      <c r="CQ242" s="2036"/>
      <c r="CR242" s="2036"/>
      <c r="CS242" s="2049"/>
      <c r="CT242" s="2049"/>
      <c r="CU242" s="2049"/>
      <c r="CW242" s="1973">
        <v>0</v>
      </c>
      <c r="CX242" s="2037">
        <v>0</v>
      </c>
      <c r="CY242" s="2037">
        <v>0</v>
      </c>
      <c r="CZ242" s="2037">
        <v>0</v>
      </c>
      <c r="DA242" s="2037">
        <v>0</v>
      </c>
      <c r="DK242" s="1973">
        <v>0</v>
      </c>
      <c r="DL242" s="1973">
        <v>0</v>
      </c>
      <c r="DM242" s="1973">
        <v>0</v>
      </c>
      <c r="DO242" s="2106"/>
      <c r="DP242" s="2107"/>
      <c r="DQ242" s="2107"/>
      <c r="DR242" s="2106"/>
      <c r="DS242" s="2111"/>
      <c r="DT242" s="2029">
        <v>0</v>
      </c>
      <c r="DU242" s="2029">
        <v>0</v>
      </c>
      <c r="DV242" s="2029">
        <v>0</v>
      </c>
      <c r="DW242" s="2111"/>
      <c r="DX242" s="2029">
        <v>0</v>
      </c>
      <c r="DY242" s="2029">
        <v>0</v>
      </c>
      <c r="DZ242" s="2029">
        <v>0</v>
      </c>
      <c r="EA242" s="2111"/>
      <c r="EB242" s="2029">
        <v>0</v>
      </c>
      <c r="EC242" s="2029">
        <v>0</v>
      </c>
      <c r="ED242" s="2029">
        <v>0</v>
      </c>
      <c r="EE242" s="2039">
        <f t="shared" si="107"/>
        <v>0</v>
      </c>
      <c r="EF242" s="2039">
        <f t="shared" si="107"/>
        <v>0</v>
      </c>
      <c r="EG242" s="2039">
        <f t="shared" si="107"/>
        <v>0</v>
      </c>
      <c r="EH242" s="2039">
        <f t="shared" si="107"/>
        <v>0</v>
      </c>
      <c r="EI242" s="2040">
        <f t="shared" si="140"/>
        <v>0</v>
      </c>
      <c r="EJ242" s="2040">
        <f t="shared" si="140"/>
        <v>0</v>
      </c>
      <c r="EK242" s="2040">
        <f t="shared" si="140"/>
        <v>0</v>
      </c>
      <c r="EL242" s="2040">
        <f t="shared" si="140"/>
        <v>0</v>
      </c>
      <c r="EM242" s="2040">
        <f t="shared" si="140"/>
        <v>0</v>
      </c>
      <c r="EN242" s="2040">
        <f t="shared" si="140"/>
        <v>0</v>
      </c>
      <c r="EO242" s="2040">
        <f t="shared" si="140"/>
        <v>0</v>
      </c>
      <c r="EP242" s="2040">
        <f t="shared" si="140"/>
        <v>0</v>
      </c>
      <c r="EQ242" s="2040">
        <f t="shared" si="140"/>
        <v>0</v>
      </c>
      <c r="ER242" s="2040">
        <f t="shared" si="137"/>
        <v>0</v>
      </c>
      <c r="ES242" s="2040">
        <f t="shared" si="137"/>
        <v>0</v>
      </c>
      <c r="ET242" s="2040">
        <f t="shared" si="137"/>
        <v>0</v>
      </c>
      <c r="EU242" s="2039">
        <f t="shared" si="108"/>
        <v>0</v>
      </c>
      <c r="EV242" s="2039">
        <f t="shared" si="109"/>
        <v>0</v>
      </c>
    </row>
    <row r="243" spans="1:152" x14ac:dyDescent="0.25">
      <c r="A243" s="2104" t="s">
        <v>1050</v>
      </c>
      <c r="B243" s="2105"/>
      <c r="C243" s="2106"/>
      <c r="D243" s="2107"/>
      <c r="E243" s="2107"/>
      <c r="F243" s="2106"/>
      <c r="G243" s="2108" t="s">
        <v>2285</v>
      </c>
      <c r="H243" s="2108" t="s">
        <v>2285</v>
      </c>
      <c r="I243" s="2108">
        <v>0.79999999999999993</v>
      </c>
      <c r="J243" s="2108">
        <v>0.79999999999999993</v>
      </c>
      <c r="K243" s="2108">
        <v>0.79999999999999993</v>
      </c>
      <c r="L243" s="2108">
        <v>0.79999999999999993</v>
      </c>
      <c r="M243" s="2109">
        <f t="shared" si="141"/>
        <v>0</v>
      </c>
      <c r="N243" s="2109">
        <f t="shared" si="141"/>
        <v>0</v>
      </c>
      <c r="O243" s="2109">
        <f t="shared" si="141"/>
        <v>0</v>
      </c>
      <c r="P243" s="2109">
        <f t="shared" si="141"/>
        <v>0</v>
      </c>
      <c r="Q243" s="2108">
        <v>0.79999999999999993</v>
      </c>
      <c r="R243" s="2108">
        <v>0.79999999999999993</v>
      </c>
      <c r="S243" s="2108">
        <v>0.79999999999999993</v>
      </c>
      <c r="T243" s="2108">
        <v>0.79999999999999993</v>
      </c>
      <c r="U243" s="2110">
        <f t="shared" si="142"/>
        <v>0</v>
      </c>
      <c r="V243" s="2110">
        <f t="shared" si="142"/>
        <v>0</v>
      </c>
      <c r="W243" s="2110">
        <f t="shared" si="142"/>
        <v>0</v>
      </c>
      <c r="X243" s="2110">
        <f t="shared" si="142"/>
        <v>0</v>
      </c>
      <c r="Y243" s="2108">
        <v>0.60399999999999998</v>
      </c>
      <c r="Z243" s="2108">
        <v>0.60399999999999998</v>
      </c>
      <c r="AA243" s="2108">
        <v>0.60399999999999998</v>
      </c>
      <c r="AB243" s="2108">
        <v>0.60399999999999998</v>
      </c>
      <c r="AC243" s="2027">
        <f t="shared" si="143"/>
        <v>0</v>
      </c>
      <c r="AD243" s="2027">
        <f t="shared" si="143"/>
        <v>0</v>
      </c>
      <c r="AE243" s="2027">
        <f t="shared" si="143"/>
        <v>0</v>
      </c>
      <c r="AF243" s="2027">
        <f t="shared" si="143"/>
        <v>0</v>
      </c>
      <c r="AG243" s="2027"/>
      <c r="AH243" s="2027"/>
      <c r="AI243" s="2027"/>
      <c r="AJ243" s="2027"/>
      <c r="AK243" s="2027">
        <f t="shared" si="138"/>
        <v>0</v>
      </c>
      <c r="AL243" s="2027">
        <f t="shared" si="130"/>
        <v>0</v>
      </c>
      <c r="AM243" s="2027">
        <f t="shared" si="130"/>
        <v>0</v>
      </c>
      <c r="AN243" s="2027">
        <f t="shared" si="130"/>
        <v>0</v>
      </c>
      <c r="AO243" s="2109">
        <f t="shared" si="139"/>
        <v>0</v>
      </c>
      <c r="AP243" s="2027">
        <f t="shared" si="131"/>
        <v>0</v>
      </c>
      <c r="AQ243" s="2027">
        <f t="shared" si="131"/>
        <v>0</v>
      </c>
      <c r="AR243" s="2027">
        <f t="shared" si="131"/>
        <v>0</v>
      </c>
      <c r="AS243" s="2111"/>
      <c r="AT243" s="2029">
        <f t="shared" si="132"/>
        <v>0</v>
      </c>
      <c r="AU243" s="2029">
        <f t="shared" si="132"/>
        <v>0</v>
      </c>
      <c r="AV243" s="2029">
        <f t="shared" si="132"/>
        <v>0</v>
      </c>
      <c r="AW243" s="2111"/>
      <c r="AX243" s="2029">
        <f t="shared" si="133"/>
        <v>0</v>
      </c>
      <c r="AY243" s="2029">
        <f t="shared" si="133"/>
        <v>0</v>
      </c>
      <c r="AZ243" s="2029">
        <f t="shared" si="133"/>
        <v>0</v>
      </c>
      <c r="BA243" s="2111"/>
      <c r="BB243" s="2029">
        <f t="shared" si="134"/>
        <v>0</v>
      </c>
      <c r="BC243" s="2029">
        <f t="shared" si="134"/>
        <v>0</v>
      </c>
      <c r="BD243" s="2029">
        <f t="shared" si="134"/>
        <v>0</v>
      </c>
      <c r="BE243" s="2030">
        <f t="shared" si="135"/>
        <v>0</v>
      </c>
      <c r="BF243" s="2030">
        <f t="shared" si="135"/>
        <v>0</v>
      </c>
      <c r="BG243" s="2030">
        <f t="shared" si="135"/>
        <v>0</v>
      </c>
      <c r="BH243" s="2030">
        <f t="shared" si="135"/>
        <v>0</v>
      </c>
      <c r="BI243" s="2030">
        <f t="shared" si="136"/>
        <v>0</v>
      </c>
      <c r="BJ243" s="2030">
        <f t="shared" si="136"/>
        <v>0</v>
      </c>
      <c r="BK243" s="2030">
        <f t="shared" si="136"/>
        <v>0</v>
      </c>
      <c r="BL243" s="2030">
        <f t="shared" si="136"/>
        <v>0</v>
      </c>
      <c r="BM243" s="2111"/>
      <c r="BN243" s="2111"/>
      <c r="BO243" s="2111"/>
      <c r="BP243" s="2111"/>
      <c r="BQ243" s="2111"/>
      <c r="BR243" s="2111"/>
      <c r="BS243" s="2111"/>
      <c r="BT243" s="2111"/>
      <c r="BU243" s="2029"/>
      <c r="BV243" s="2029"/>
      <c r="BW243" s="2029"/>
      <c r="BX243" s="2029"/>
      <c r="BY243" s="2029"/>
      <c r="BZ243" s="2032"/>
      <c r="CA243" s="1974"/>
      <c r="CB243" s="1974"/>
      <c r="CC243" s="1974"/>
      <c r="CD243" s="1974"/>
      <c r="CE243" s="1974"/>
      <c r="CF243" s="2033">
        <v>0</v>
      </c>
      <c r="CG243" s="2026">
        <v>0</v>
      </c>
      <c r="CH243" s="2009"/>
      <c r="CK243" s="2029"/>
      <c r="CL243" s="2034"/>
      <c r="CM243" s="2026"/>
      <c r="CN243" s="2026"/>
      <c r="CO243" s="2026"/>
      <c r="CP243" s="2035"/>
      <c r="CQ243" s="2036"/>
      <c r="CR243" s="2036"/>
      <c r="CS243" s="2049"/>
      <c r="CT243" s="2049"/>
      <c r="CU243" s="2049"/>
      <c r="CW243" s="1973">
        <v>0</v>
      </c>
      <c r="CX243" s="2037">
        <v>0</v>
      </c>
      <c r="CY243" s="2037">
        <v>0</v>
      </c>
      <c r="CZ243" s="2037">
        <v>0</v>
      </c>
      <c r="DA243" s="2037">
        <v>0</v>
      </c>
      <c r="DK243" s="1973">
        <v>0</v>
      </c>
      <c r="DL243" s="1973">
        <v>0</v>
      </c>
      <c r="DM243" s="1973">
        <v>0</v>
      </c>
      <c r="DO243" s="2106"/>
      <c r="DP243" s="2107"/>
      <c r="DQ243" s="2107"/>
      <c r="DR243" s="2106"/>
      <c r="DS243" s="2111"/>
      <c r="DT243" s="2029">
        <v>0</v>
      </c>
      <c r="DU243" s="2029">
        <v>0</v>
      </c>
      <c r="DV243" s="2029">
        <v>0</v>
      </c>
      <c r="DW243" s="2111"/>
      <c r="DX243" s="2029">
        <v>0</v>
      </c>
      <c r="DY243" s="2029">
        <v>0</v>
      </c>
      <c r="DZ243" s="2029">
        <v>0</v>
      </c>
      <c r="EA243" s="2111"/>
      <c r="EB243" s="2029">
        <v>0</v>
      </c>
      <c r="EC243" s="2029">
        <v>0</v>
      </c>
      <c r="ED243" s="2029">
        <v>0</v>
      </c>
      <c r="EE243" s="2039">
        <f t="shared" si="107"/>
        <v>0</v>
      </c>
      <c r="EF243" s="2039">
        <f t="shared" si="107"/>
        <v>0</v>
      </c>
      <c r="EG243" s="2039">
        <f t="shared" si="107"/>
        <v>0</v>
      </c>
      <c r="EH243" s="2039">
        <f t="shared" si="107"/>
        <v>0</v>
      </c>
      <c r="EI243" s="2040">
        <f t="shared" si="140"/>
        <v>0</v>
      </c>
      <c r="EJ243" s="2040">
        <f t="shared" si="140"/>
        <v>0</v>
      </c>
      <c r="EK243" s="2040">
        <f t="shared" si="140"/>
        <v>0</v>
      </c>
      <c r="EL243" s="2040">
        <f t="shared" si="140"/>
        <v>0</v>
      </c>
      <c r="EM243" s="2040">
        <f t="shared" si="140"/>
        <v>0</v>
      </c>
      <c r="EN243" s="2040">
        <f t="shared" si="140"/>
        <v>0</v>
      </c>
      <c r="EO243" s="2040">
        <f t="shared" si="140"/>
        <v>0</v>
      </c>
      <c r="EP243" s="2040">
        <f t="shared" si="140"/>
        <v>0</v>
      </c>
      <c r="EQ243" s="2040">
        <f t="shared" si="140"/>
        <v>0</v>
      </c>
      <c r="ER243" s="2040">
        <f t="shared" si="137"/>
        <v>0</v>
      </c>
      <c r="ES243" s="2040">
        <f t="shared" si="137"/>
        <v>0</v>
      </c>
      <c r="ET243" s="2040">
        <f t="shared" si="137"/>
        <v>0</v>
      </c>
      <c r="EU243" s="2039">
        <f t="shared" si="108"/>
        <v>0</v>
      </c>
      <c r="EV243" s="2039">
        <f t="shared" si="109"/>
        <v>0</v>
      </c>
    </row>
    <row r="244" spans="1:152" x14ac:dyDescent="0.25">
      <c r="A244" s="2104" t="s">
        <v>1051</v>
      </c>
      <c r="B244" s="2105"/>
      <c r="C244" s="2106"/>
      <c r="D244" s="2107"/>
      <c r="E244" s="2107"/>
      <c r="F244" s="2106"/>
      <c r="G244" s="2108" t="s">
        <v>2285</v>
      </c>
      <c r="H244" s="2108" t="s">
        <v>2285</v>
      </c>
      <c r="I244" s="2108">
        <v>0.79999999999999993</v>
      </c>
      <c r="J244" s="2108">
        <v>0.79999999999999993</v>
      </c>
      <c r="K244" s="2108">
        <v>0.79999999999999993</v>
      </c>
      <c r="L244" s="2108">
        <v>0.79999999999999993</v>
      </c>
      <c r="M244" s="2109">
        <f t="shared" si="141"/>
        <v>0</v>
      </c>
      <c r="N244" s="2109">
        <f t="shared" si="141"/>
        <v>0</v>
      </c>
      <c r="O244" s="2109">
        <f t="shared" si="141"/>
        <v>0</v>
      </c>
      <c r="P244" s="2109">
        <f t="shared" si="141"/>
        <v>0</v>
      </c>
      <c r="Q244" s="2108">
        <v>0.79999999999999993</v>
      </c>
      <c r="R244" s="2108">
        <v>0.79999999999999993</v>
      </c>
      <c r="S244" s="2108">
        <v>0.79999999999999993</v>
      </c>
      <c r="T244" s="2108">
        <v>0.79999999999999993</v>
      </c>
      <c r="U244" s="2110">
        <f t="shared" si="142"/>
        <v>0</v>
      </c>
      <c r="V244" s="2110">
        <f t="shared" si="142"/>
        <v>0</v>
      </c>
      <c r="W244" s="2110">
        <f t="shared" si="142"/>
        <v>0</v>
      </c>
      <c r="X244" s="2110">
        <f t="shared" si="142"/>
        <v>0</v>
      </c>
      <c r="Y244" s="2108">
        <v>0.60399999999999998</v>
      </c>
      <c r="Z244" s="2108">
        <v>0.60399999999999998</v>
      </c>
      <c r="AA244" s="2108">
        <v>0.60399999999999998</v>
      </c>
      <c r="AB244" s="2108">
        <v>0.60399999999999998</v>
      </c>
      <c r="AC244" s="2027">
        <f t="shared" si="143"/>
        <v>0</v>
      </c>
      <c r="AD244" s="2027">
        <f t="shared" si="143"/>
        <v>0</v>
      </c>
      <c r="AE244" s="2027">
        <f t="shared" si="143"/>
        <v>0</v>
      </c>
      <c r="AF244" s="2027">
        <f t="shared" si="143"/>
        <v>0</v>
      </c>
      <c r="AG244" s="2027"/>
      <c r="AH244" s="2027"/>
      <c r="AI244" s="2027"/>
      <c r="AJ244" s="2027"/>
      <c r="AK244" s="2027">
        <f t="shared" si="138"/>
        <v>0</v>
      </c>
      <c r="AL244" s="2027">
        <f t="shared" si="130"/>
        <v>0</v>
      </c>
      <c r="AM244" s="2027">
        <f t="shared" si="130"/>
        <v>0</v>
      </c>
      <c r="AN244" s="2027">
        <f t="shared" si="130"/>
        <v>0</v>
      </c>
      <c r="AO244" s="2109">
        <f t="shared" si="139"/>
        <v>0</v>
      </c>
      <c r="AP244" s="2027">
        <f t="shared" si="131"/>
        <v>0</v>
      </c>
      <c r="AQ244" s="2027">
        <f t="shared" si="131"/>
        <v>0</v>
      </c>
      <c r="AR244" s="2027">
        <f t="shared" si="131"/>
        <v>0</v>
      </c>
      <c r="AS244" s="2111"/>
      <c r="AT244" s="2029">
        <f t="shared" si="132"/>
        <v>0</v>
      </c>
      <c r="AU244" s="2029">
        <f t="shared" si="132"/>
        <v>0</v>
      </c>
      <c r="AV244" s="2029">
        <f t="shared" si="132"/>
        <v>0</v>
      </c>
      <c r="AW244" s="2111"/>
      <c r="AX244" s="2029">
        <f t="shared" si="133"/>
        <v>0</v>
      </c>
      <c r="AY244" s="2029">
        <f t="shared" si="133"/>
        <v>0</v>
      </c>
      <c r="AZ244" s="2029">
        <f t="shared" si="133"/>
        <v>0</v>
      </c>
      <c r="BA244" s="2111"/>
      <c r="BB244" s="2029">
        <f t="shared" si="134"/>
        <v>0</v>
      </c>
      <c r="BC244" s="2029">
        <f t="shared" si="134"/>
        <v>0</v>
      </c>
      <c r="BD244" s="2029">
        <f t="shared" si="134"/>
        <v>0</v>
      </c>
      <c r="BE244" s="2030">
        <f t="shared" si="135"/>
        <v>0</v>
      </c>
      <c r="BF244" s="2030">
        <f t="shared" si="135"/>
        <v>0</v>
      </c>
      <c r="BG244" s="2030">
        <f t="shared" si="135"/>
        <v>0</v>
      </c>
      <c r="BH244" s="2030">
        <f t="shared" si="135"/>
        <v>0</v>
      </c>
      <c r="BI244" s="2030">
        <f t="shared" si="136"/>
        <v>0</v>
      </c>
      <c r="BJ244" s="2030">
        <f t="shared" si="136"/>
        <v>0</v>
      </c>
      <c r="BK244" s="2030">
        <f t="shared" si="136"/>
        <v>0</v>
      </c>
      <c r="BL244" s="2030">
        <f t="shared" si="136"/>
        <v>0</v>
      </c>
      <c r="BM244" s="2111"/>
      <c r="BN244" s="2111"/>
      <c r="BO244" s="2111"/>
      <c r="BP244" s="2111"/>
      <c r="BQ244" s="2111"/>
      <c r="BR244" s="2111"/>
      <c r="BS244" s="2111"/>
      <c r="BT244" s="2111"/>
      <c r="BU244" s="2029"/>
      <c r="BV244" s="2029"/>
      <c r="BW244" s="2029"/>
      <c r="BX244" s="2029"/>
      <c r="BY244" s="2029"/>
      <c r="BZ244" s="2032"/>
      <c r="CA244" s="1974"/>
      <c r="CB244" s="1974"/>
      <c r="CC244" s="1974"/>
      <c r="CD244" s="1974"/>
      <c r="CE244" s="1974"/>
      <c r="CF244" s="2033">
        <v>0</v>
      </c>
      <c r="CG244" s="2026">
        <v>0</v>
      </c>
      <c r="CH244" s="2009"/>
      <c r="CK244" s="2029"/>
      <c r="CL244" s="2034"/>
      <c r="CM244" s="2026"/>
      <c r="CN244" s="2026"/>
      <c r="CO244" s="2026"/>
      <c r="CP244" s="2035"/>
      <c r="CQ244" s="2036"/>
      <c r="CR244" s="2036"/>
      <c r="CS244" s="2049"/>
      <c r="CT244" s="2049"/>
      <c r="CU244" s="2049"/>
      <c r="CW244" s="1973">
        <v>0</v>
      </c>
      <c r="CX244" s="2037">
        <v>0</v>
      </c>
      <c r="CY244" s="2037">
        <v>0</v>
      </c>
      <c r="CZ244" s="2037">
        <v>0</v>
      </c>
      <c r="DA244" s="2037">
        <v>0</v>
      </c>
      <c r="DK244" s="1973">
        <v>0</v>
      </c>
      <c r="DL244" s="1973">
        <v>0</v>
      </c>
      <c r="DM244" s="1973">
        <v>0</v>
      </c>
      <c r="DO244" s="2106"/>
      <c r="DP244" s="2107"/>
      <c r="DQ244" s="2107"/>
      <c r="DR244" s="2106"/>
      <c r="DS244" s="2111"/>
      <c r="DT244" s="2029">
        <v>0</v>
      </c>
      <c r="DU244" s="2029">
        <v>0</v>
      </c>
      <c r="DV244" s="2029">
        <v>0</v>
      </c>
      <c r="DW244" s="2111"/>
      <c r="DX244" s="2029">
        <v>0</v>
      </c>
      <c r="DY244" s="2029">
        <v>0</v>
      </c>
      <c r="DZ244" s="2029">
        <v>0</v>
      </c>
      <c r="EA244" s="2111"/>
      <c r="EB244" s="2029">
        <v>0</v>
      </c>
      <c r="EC244" s="2029">
        <v>0</v>
      </c>
      <c r="ED244" s="2029">
        <v>0</v>
      </c>
      <c r="EE244" s="2039">
        <f t="shared" si="107"/>
        <v>0</v>
      </c>
      <c r="EF244" s="2039">
        <f t="shared" si="107"/>
        <v>0</v>
      </c>
      <c r="EG244" s="2039">
        <f t="shared" si="107"/>
        <v>0</v>
      </c>
      <c r="EH244" s="2039">
        <f t="shared" si="107"/>
        <v>0</v>
      </c>
      <c r="EI244" s="2040">
        <f t="shared" si="140"/>
        <v>0</v>
      </c>
      <c r="EJ244" s="2040">
        <f t="shared" si="140"/>
        <v>0</v>
      </c>
      <c r="EK244" s="2040">
        <f t="shared" si="140"/>
        <v>0</v>
      </c>
      <c r="EL244" s="2040">
        <f t="shared" si="140"/>
        <v>0</v>
      </c>
      <c r="EM244" s="2040">
        <f t="shared" si="140"/>
        <v>0</v>
      </c>
      <c r="EN244" s="2040">
        <f t="shared" si="140"/>
        <v>0</v>
      </c>
      <c r="EO244" s="2040">
        <f t="shared" si="140"/>
        <v>0</v>
      </c>
      <c r="EP244" s="2040">
        <f t="shared" si="140"/>
        <v>0</v>
      </c>
      <c r="EQ244" s="2040">
        <f t="shared" si="140"/>
        <v>0</v>
      </c>
      <c r="ER244" s="2040">
        <f t="shared" si="137"/>
        <v>0</v>
      </c>
      <c r="ES244" s="2040">
        <f t="shared" si="137"/>
        <v>0</v>
      </c>
      <c r="ET244" s="2040">
        <f t="shared" si="137"/>
        <v>0</v>
      </c>
      <c r="EU244" s="2039">
        <f t="shared" si="108"/>
        <v>0</v>
      </c>
      <c r="EV244" s="2039">
        <f t="shared" si="109"/>
        <v>0</v>
      </c>
    </row>
    <row r="245" spans="1:152" x14ac:dyDescent="0.25">
      <c r="A245" s="2104" t="s">
        <v>209</v>
      </c>
      <c r="B245" s="2105"/>
      <c r="C245" s="2106">
        <v>12</v>
      </c>
      <c r="D245" s="2107">
        <v>0</v>
      </c>
      <c r="E245" s="2107">
        <v>0</v>
      </c>
      <c r="F245" s="2106">
        <v>257</v>
      </c>
      <c r="G245" s="2108" t="s">
        <v>2899</v>
      </c>
      <c r="H245" s="2108" t="s">
        <v>2899</v>
      </c>
      <c r="I245" s="2108">
        <v>0.84899999999999998</v>
      </c>
      <c r="J245" s="2108">
        <v>0.84899999999999998</v>
      </c>
      <c r="K245" s="2108">
        <v>0.84899999999999998</v>
      </c>
      <c r="L245" s="2108">
        <v>0.84899999999999998</v>
      </c>
      <c r="M245" s="2109">
        <f t="shared" si="141"/>
        <v>0</v>
      </c>
      <c r="N245" s="2109">
        <f t="shared" si="141"/>
        <v>0</v>
      </c>
      <c r="O245" s="2109">
        <f t="shared" si="141"/>
        <v>0</v>
      </c>
      <c r="P245" s="2109">
        <f t="shared" si="141"/>
        <v>0</v>
      </c>
      <c r="Q245" s="2108">
        <v>0.84899999999999998</v>
      </c>
      <c r="R245" s="2108">
        <v>0.84899999999999998</v>
      </c>
      <c r="S245" s="2108">
        <v>0.84899999999999998</v>
      </c>
      <c r="T245" s="2108">
        <v>0.84899999999999998</v>
      </c>
      <c r="U245" s="2110">
        <f t="shared" si="142"/>
        <v>0</v>
      </c>
      <c r="V245" s="2110">
        <f t="shared" si="142"/>
        <v>0</v>
      </c>
      <c r="W245" s="2110">
        <f t="shared" si="142"/>
        <v>0</v>
      </c>
      <c r="X245" s="2110">
        <f>$E245*T245</f>
        <v>0</v>
      </c>
      <c r="Y245" s="2108">
        <v>0.67500000000000004</v>
      </c>
      <c r="Z245" s="2108">
        <v>0.67500000000000004</v>
      </c>
      <c r="AA245" s="2108">
        <v>0.67500000000000004</v>
      </c>
      <c r="AB245" s="2108">
        <v>0.67500000000000004</v>
      </c>
      <c r="AC245" s="2027">
        <f t="shared" si="143"/>
        <v>173.47500000000002</v>
      </c>
      <c r="AD245" s="2027">
        <f t="shared" si="143"/>
        <v>173.47500000000002</v>
      </c>
      <c r="AE245" s="2027">
        <f t="shared" si="143"/>
        <v>173.47500000000002</v>
      </c>
      <c r="AF245" s="2027">
        <f t="shared" si="143"/>
        <v>173.47500000000002</v>
      </c>
      <c r="AG245" s="2027">
        <v>1</v>
      </c>
      <c r="AH245" s="2027">
        <v>1</v>
      </c>
      <c r="AI245" s="2027">
        <v>1</v>
      </c>
      <c r="AJ245" s="2027">
        <v>1</v>
      </c>
      <c r="AK245" s="2027">
        <f t="shared" si="138"/>
        <v>0</v>
      </c>
      <c r="AL245" s="2027">
        <f t="shared" si="130"/>
        <v>0</v>
      </c>
      <c r="AM245" s="2027">
        <f t="shared" si="130"/>
        <v>0</v>
      </c>
      <c r="AN245" s="2027">
        <f t="shared" si="130"/>
        <v>0</v>
      </c>
      <c r="AO245" s="2109">
        <f t="shared" si="139"/>
        <v>173.47500000000002</v>
      </c>
      <c r="AP245" s="2027">
        <f t="shared" si="131"/>
        <v>173.47500000000002</v>
      </c>
      <c r="AQ245" s="2027">
        <f t="shared" si="131"/>
        <v>173.47500000000002</v>
      </c>
      <c r="AR245" s="2027">
        <f t="shared" si="131"/>
        <v>173.47500000000002</v>
      </c>
      <c r="AS245" s="2111"/>
      <c r="AT245" s="2029">
        <f t="shared" si="132"/>
        <v>0</v>
      </c>
      <c r="AU245" s="2029">
        <f t="shared" si="132"/>
        <v>0</v>
      </c>
      <c r="AV245" s="2029">
        <f t="shared" si="132"/>
        <v>0</v>
      </c>
      <c r="AW245" s="2111">
        <v>600</v>
      </c>
      <c r="AX245" s="2029">
        <f t="shared" si="133"/>
        <v>600</v>
      </c>
      <c r="AY245" s="2029">
        <f t="shared" si="133"/>
        <v>600</v>
      </c>
      <c r="AZ245" s="2029">
        <f t="shared" si="133"/>
        <v>600</v>
      </c>
      <c r="BA245" s="2111">
        <v>1000</v>
      </c>
      <c r="BB245" s="2029">
        <f t="shared" si="134"/>
        <v>1000</v>
      </c>
      <c r="BC245" s="2029">
        <f t="shared" si="134"/>
        <v>1000</v>
      </c>
      <c r="BD245" s="2029">
        <f t="shared" si="134"/>
        <v>1000</v>
      </c>
      <c r="BE245" s="2030">
        <f t="shared" si="135"/>
        <v>0</v>
      </c>
      <c r="BF245" s="2030">
        <f t="shared" si="135"/>
        <v>0</v>
      </c>
      <c r="BG245" s="2030">
        <f t="shared" si="135"/>
        <v>0</v>
      </c>
      <c r="BH245" s="2030">
        <f t="shared" si="135"/>
        <v>0</v>
      </c>
      <c r="BI245" s="2030">
        <f t="shared" si="136"/>
        <v>600</v>
      </c>
      <c r="BJ245" s="2030">
        <f t="shared" si="136"/>
        <v>600</v>
      </c>
      <c r="BK245" s="2030">
        <f t="shared" si="136"/>
        <v>600</v>
      </c>
      <c r="BL245" s="2030">
        <f t="shared" si="136"/>
        <v>600</v>
      </c>
      <c r="BM245" s="2111"/>
      <c r="BN245" s="2111"/>
      <c r="BO245" s="2111"/>
      <c r="BP245" s="2111"/>
      <c r="BQ245" s="2111"/>
      <c r="BR245" s="2111"/>
      <c r="BS245" s="2111"/>
      <c r="BT245" s="2111"/>
      <c r="BU245" s="2029"/>
      <c r="BV245" s="2029"/>
      <c r="BW245" s="2029"/>
      <c r="BX245" s="2029"/>
      <c r="BY245" s="2029"/>
      <c r="BZ245" s="2032"/>
      <c r="CA245" s="1974"/>
      <c r="CB245" s="1974"/>
      <c r="CC245" s="1974"/>
      <c r="CD245" s="1974"/>
      <c r="CE245" s="1974">
        <v>0</v>
      </c>
      <c r="CF245" s="2033">
        <v>0</v>
      </c>
      <c r="CG245" s="2026">
        <v>6.4720127557515024E-5</v>
      </c>
      <c r="CH245" s="2009">
        <v>0</v>
      </c>
      <c r="CK245" s="2029">
        <f t="shared" si="106"/>
        <v>0</v>
      </c>
      <c r="CL245" s="2034">
        <v>1</v>
      </c>
      <c r="CM245" s="2026">
        <v>1</v>
      </c>
      <c r="CN245" s="2026">
        <v>1</v>
      </c>
      <c r="CO245" s="2026">
        <v>1</v>
      </c>
      <c r="CP245" s="2035"/>
      <c r="CQ245" s="2036"/>
      <c r="CR245" s="2036"/>
      <c r="CS245" s="2049"/>
      <c r="CT245" s="2049"/>
      <c r="CU245" s="2049"/>
      <c r="CW245" s="1973">
        <v>0</v>
      </c>
      <c r="CX245" s="2037">
        <v>600</v>
      </c>
      <c r="CY245" s="2037">
        <v>600</v>
      </c>
      <c r="CZ245" s="2037">
        <v>600</v>
      </c>
      <c r="DA245" s="2037">
        <v>600</v>
      </c>
      <c r="DK245" s="1973">
        <v>0</v>
      </c>
      <c r="DL245" s="1973">
        <v>0</v>
      </c>
      <c r="DM245" s="1973">
        <v>0</v>
      </c>
      <c r="DO245" s="2106">
        <v>12</v>
      </c>
      <c r="DP245" s="2107">
        <v>0</v>
      </c>
      <c r="DQ245" s="2107">
        <v>0</v>
      </c>
      <c r="DR245" s="2106">
        <v>257</v>
      </c>
      <c r="DS245" s="2111"/>
      <c r="DT245" s="2029">
        <v>0</v>
      </c>
      <c r="DU245" s="2029">
        <v>0</v>
      </c>
      <c r="DV245" s="2029">
        <v>0</v>
      </c>
      <c r="DW245" s="2111">
        <v>600</v>
      </c>
      <c r="DX245" s="2029">
        <v>600</v>
      </c>
      <c r="DY245" s="2029">
        <v>600</v>
      </c>
      <c r="DZ245" s="2029">
        <v>600</v>
      </c>
      <c r="EA245" s="2111">
        <v>1000</v>
      </c>
      <c r="EB245" s="2029">
        <v>1000</v>
      </c>
      <c r="EC245" s="2029">
        <v>1000</v>
      </c>
      <c r="ED245" s="2029">
        <v>1000</v>
      </c>
      <c r="EE245" s="2039">
        <f t="shared" si="107"/>
        <v>0</v>
      </c>
      <c r="EF245" s="2039">
        <f t="shared" si="107"/>
        <v>0</v>
      </c>
      <c r="EG245" s="2039">
        <f t="shared" si="107"/>
        <v>0</v>
      </c>
      <c r="EH245" s="2039">
        <f t="shared" si="107"/>
        <v>0</v>
      </c>
      <c r="EI245" s="2040">
        <f t="shared" si="140"/>
        <v>0</v>
      </c>
      <c r="EJ245" s="2040">
        <f t="shared" si="140"/>
        <v>0</v>
      </c>
      <c r="EK245" s="2040">
        <f t="shared" si="140"/>
        <v>0</v>
      </c>
      <c r="EL245" s="2040">
        <f t="shared" si="140"/>
        <v>0</v>
      </c>
      <c r="EM245" s="2040">
        <f t="shared" si="140"/>
        <v>0</v>
      </c>
      <c r="EN245" s="2040">
        <f t="shared" si="140"/>
        <v>0</v>
      </c>
      <c r="EO245" s="2040">
        <f t="shared" si="140"/>
        <v>0</v>
      </c>
      <c r="EP245" s="2040">
        <f t="shared" si="140"/>
        <v>0</v>
      </c>
      <c r="EQ245" s="2040">
        <f t="shared" si="140"/>
        <v>0</v>
      </c>
      <c r="ER245" s="2040">
        <f t="shared" si="137"/>
        <v>0</v>
      </c>
      <c r="ES245" s="2040">
        <f t="shared" si="137"/>
        <v>0</v>
      </c>
      <c r="ET245" s="2040">
        <f t="shared" si="137"/>
        <v>0</v>
      </c>
      <c r="EU245" s="2039">
        <f t="shared" si="108"/>
        <v>0</v>
      </c>
      <c r="EV245" s="2039">
        <f t="shared" si="109"/>
        <v>0</v>
      </c>
    </row>
    <row r="246" spans="1:152" x14ac:dyDescent="0.25">
      <c r="A246" s="2118" t="s">
        <v>1052</v>
      </c>
      <c r="B246" s="2022"/>
      <c r="C246" s="2023"/>
      <c r="D246" s="2024"/>
      <c r="E246" s="2024"/>
      <c r="F246" s="2023"/>
      <c r="G246" s="2026" t="s">
        <v>20</v>
      </c>
      <c r="H246" s="2026" t="s">
        <v>20</v>
      </c>
      <c r="I246" s="2108">
        <v>0.55700000000000005</v>
      </c>
      <c r="J246" s="2108">
        <v>0.55700000000000005</v>
      </c>
      <c r="K246" s="2108">
        <v>0.55700000000000005</v>
      </c>
      <c r="L246" s="2108">
        <v>0.55700000000000005</v>
      </c>
      <c r="M246" s="2027">
        <f>$D246*I246</f>
        <v>0</v>
      </c>
      <c r="N246" s="2027">
        <f>$D246*J246</f>
        <v>0</v>
      </c>
      <c r="O246" s="2027">
        <f>$D246*K246</f>
        <v>0</v>
      </c>
      <c r="P246" s="2027">
        <f>$D246*L246</f>
        <v>0</v>
      </c>
      <c r="Q246" s="2026">
        <v>0.55700000000000005</v>
      </c>
      <c r="R246" s="2026">
        <v>0.55700000000000005</v>
      </c>
      <c r="S246" s="2026">
        <v>0.55700000000000005</v>
      </c>
      <c r="T246" s="2026">
        <v>0.55700000000000005</v>
      </c>
      <c r="U246" s="2028">
        <f t="shared" si="142"/>
        <v>0</v>
      </c>
      <c r="V246" s="2028">
        <f t="shared" si="142"/>
        <v>0</v>
      </c>
      <c r="W246" s="2028">
        <f t="shared" si="142"/>
        <v>0</v>
      </c>
      <c r="X246" s="2028">
        <f>$E246*T246</f>
        <v>0</v>
      </c>
      <c r="Y246" s="2026">
        <v>0.49399999999999999</v>
      </c>
      <c r="Z246" s="2026">
        <v>0.49399999999999999</v>
      </c>
      <c r="AA246" s="2026">
        <v>0.49399999999999999</v>
      </c>
      <c r="AB246" s="2026">
        <v>0.49399999999999999</v>
      </c>
      <c r="AC246" s="2027">
        <f>$F246*Y246</f>
        <v>0</v>
      </c>
      <c r="AD246" s="2027">
        <f>$F246*Z246</f>
        <v>0</v>
      </c>
      <c r="AE246" s="2027">
        <f>$F246*AA246</f>
        <v>0</v>
      </c>
      <c r="AF246" s="2027">
        <f>$F246*AB246</f>
        <v>0</v>
      </c>
      <c r="AG246" s="2027">
        <v>0</v>
      </c>
      <c r="AH246" s="2027">
        <v>0</v>
      </c>
      <c r="AI246" s="2027">
        <v>0</v>
      </c>
      <c r="AJ246" s="2027">
        <v>0</v>
      </c>
      <c r="AK246" s="2027">
        <f t="shared" si="138"/>
        <v>0</v>
      </c>
      <c r="AL246" s="2027">
        <f t="shared" si="130"/>
        <v>0</v>
      </c>
      <c r="AM246" s="2027">
        <f t="shared" si="130"/>
        <v>0</v>
      </c>
      <c r="AN246" s="2027">
        <f t="shared" si="130"/>
        <v>0</v>
      </c>
      <c r="AO246" s="2109">
        <f t="shared" si="139"/>
        <v>0</v>
      </c>
      <c r="AP246" s="2027">
        <f t="shared" si="131"/>
        <v>0</v>
      </c>
      <c r="AQ246" s="2027">
        <f t="shared" si="131"/>
        <v>0</v>
      </c>
      <c r="AR246" s="2027">
        <f t="shared" si="131"/>
        <v>0</v>
      </c>
      <c r="AS246" s="2031"/>
      <c r="AT246" s="2029">
        <f t="shared" si="132"/>
        <v>0</v>
      </c>
      <c r="AU246" s="2029">
        <f t="shared" si="132"/>
        <v>0</v>
      </c>
      <c r="AV246" s="2029">
        <f t="shared" si="132"/>
        <v>0</v>
      </c>
      <c r="AW246" s="2031"/>
      <c r="AX246" s="2029">
        <f t="shared" si="133"/>
        <v>0</v>
      </c>
      <c r="AY246" s="2029">
        <f t="shared" si="133"/>
        <v>0</v>
      </c>
      <c r="AZ246" s="2029">
        <f t="shared" si="133"/>
        <v>0</v>
      </c>
      <c r="BA246" s="2031"/>
      <c r="BB246" s="2029">
        <f t="shared" si="134"/>
        <v>0</v>
      </c>
      <c r="BC246" s="2029">
        <f t="shared" si="134"/>
        <v>0</v>
      </c>
      <c r="BD246" s="2029">
        <f t="shared" si="134"/>
        <v>0</v>
      </c>
      <c r="BE246" s="2030">
        <f t="shared" si="135"/>
        <v>0</v>
      </c>
      <c r="BF246" s="2030">
        <f t="shared" si="135"/>
        <v>0</v>
      </c>
      <c r="BG246" s="2030">
        <f t="shared" si="135"/>
        <v>0</v>
      </c>
      <c r="BH246" s="2030">
        <f t="shared" si="135"/>
        <v>0</v>
      </c>
      <c r="BI246" s="2030">
        <f t="shared" si="136"/>
        <v>0</v>
      </c>
      <c r="BJ246" s="2030">
        <f t="shared" si="136"/>
        <v>0</v>
      </c>
      <c r="BK246" s="2030">
        <f t="shared" si="136"/>
        <v>0</v>
      </c>
      <c r="BL246" s="2030">
        <f t="shared" si="136"/>
        <v>0</v>
      </c>
      <c r="BM246" s="2031"/>
      <c r="BN246" s="2031"/>
      <c r="BO246" s="2031"/>
      <c r="BP246" s="2031"/>
      <c r="BQ246" s="2031"/>
      <c r="BR246" s="2031"/>
      <c r="BS246" s="2031"/>
      <c r="BT246" s="2031"/>
      <c r="BU246" s="2029"/>
      <c r="BV246" s="2029"/>
      <c r="BW246" s="2029"/>
      <c r="BX246" s="2029"/>
      <c r="BY246" s="2029"/>
      <c r="BZ246" s="2032"/>
      <c r="CA246" s="1974"/>
      <c r="CB246" s="1974"/>
      <c r="CC246" s="1974"/>
      <c r="CD246" s="1974"/>
      <c r="CE246" s="1974">
        <v>1</v>
      </c>
      <c r="CF246" s="2033">
        <v>0</v>
      </c>
      <c r="CG246" s="2026">
        <v>0</v>
      </c>
      <c r="CH246" s="2009">
        <v>0</v>
      </c>
      <c r="CK246" s="2029">
        <f>-CI246+CJ246</f>
        <v>0</v>
      </c>
      <c r="CL246" s="2034">
        <v>1</v>
      </c>
      <c r="CM246" s="2026">
        <v>1</v>
      </c>
      <c r="CN246" s="2026">
        <v>1</v>
      </c>
      <c r="CO246" s="2026">
        <v>1</v>
      </c>
      <c r="CP246" s="2035"/>
      <c r="CQ246" s="2036"/>
      <c r="CR246" s="2036"/>
      <c r="CS246" s="2036"/>
      <c r="CT246" s="2036"/>
      <c r="CU246" s="2036"/>
      <c r="CW246" s="1973">
        <v>0</v>
      </c>
      <c r="CX246" s="2037">
        <v>0</v>
      </c>
      <c r="CY246" s="2037">
        <v>0</v>
      </c>
      <c r="CZ246" s="2037">
        <v>0</v>
      </c>
      <c r="DA246" s="2037">
        <v>0</v>
      </c>
      <c r="DK246" s="1973">
        <v>0</v>
      </c>
      <c r="DL246" s="1973">
        <v>0</v>
      </c>
      <c r="DM246" s="1973">
        <v>0</v>
      </c>
      <c r="DO246" s="2023"/>
      <c r="DP246" s="2024"/>
      <c r="DQ246" s="2024"/>
      <c r="DR246" s="2023"/>
      <c r="DS246" s="2031"/>
      <c r="DT246" s="2029">
        <v>0</v>
      </c>
      <c r="DU246" s="2029">
        <v>0</v>
      </c>
      <c r="DV246" s="2029">
        <v>0</v>
      </c>
      <c r="DW246" s="2031"/>
      <c r="DX246" s="2029">
        <v>0</v>
      </c>
      <c r="DY246" s="2029">
        <v>0</v>
      </c>
      <c r="DZ246" s="2029">
        <v>0</v>
      </c>
      <c r="EA246" s="2031"/>
      <c r="EB246" s="2029">
        <v>0</v>
      </c>
      <c r="EC246" s="2029">
        <v>0</v>
      </c>
      <c r="ED246" s="2029">
        <v>0</v>
      </c>
      <c r="EE246" s="2039">
        <f t="shared" si="107"/>
        <v>0</v>
      </c>
      <c r="EF246" s="2039">
        <f t="shared" si="107"/>
        <v>0</v>
      </c>
      <c r="EG246" s="2039">
        <f t="shared" si="107"/>
        <v>0</v>
      </c>
      <c r="EH246" s="2039">
        <f t="shared" si="107"/>
        <v>0</v>
      </c>
      <c r="EI246" s="2040">
        <f t="shared" si="140"/>
        <v>0</v>
      </c>
      <c r="EJ246" s="2040">
        <f t="shared" si="140"/>
        <v>0</v>
      </c>
      <c r="EK246" s="2040">
        <f t="shared" si="140"/>
        <v>0</v>
      </c>
      <c r="EL246" s="2040">
        <f t="shared" si="140"/>
        <v>0</v>
      </c>
      <c r="EM246" s="2040">
        <f t="shared" si="140"/>
        <v>0</v>
      </c>
      <c r="EN246" s="2040">
        <f t="shared" si="140"/>
        <v>0</v>
      </c>
      <c r="EO246" s="2040">
        <f t="shared" si="140"/>
        <v>0</v>
      </c>
      <c r="EP246" s="2040">
        <f t="shared" si="140"/>
        <v>0</v>
      </c>
      <c r="EQ246" s="2040">
        <f t="shared" si="140"/>
        <v>0</v>
      </c>
      <c r="ER246" s="2040">
        <f t="shared" si="137"/>
        <v>0</v>
      </c>
      <c r="ES246" s="2040">
        <f t="shared" si="137"/>
        <v>0</v>
      </c>
      <c r="ET246" s="2040">
        <f t="shared" si="137"/>
        <v>0</v>
      </c>
      <c r="EU246" s="2039">
        <f t="shared" si="108"/>
        <v>0</v>
      </c>
      <c r="EV246" s="2039">
        <f t="shared" si="109"/>
        <v>0</v>
      </c>
    </row>
    <row r="247" spans="1:152" x14ac:dyDescent="0.25">
      <c r="A247" s="2119"/>
      <c r="CA247" s="1974"/>
      <c r="CB247" s="1974"/>
      <c r="CC247" s="1974"/>
      <c r="CD247" s="1974"/>
      <c r="CE247" s="1974"/>
      <c r="CF247" s="2033"/>
      <c r="CG247" s="2026"/>
      <c r="CH247" s="2009"/>
      <c r="CK247" s="2029"/>
      <c r="CL247" s="2034"/>
      <c r="CM247" s="2026"/>
      <c r="CN247" s="2026"/>
      <c r="CO247" s="2026"/>
      <c r="DO247" s="1970"/>
      <c r="DP247" s="1970"/>
      <c r="DQ247" s="1971"/>
      <c r="DR247" s="1970"/>
      <c r="EE247" s="2039">
        <f t="shared" si="107"/>
        <v>0</v>
      </c>
      <c r="EF247" s="2039">
        <f t="shared" si="107"/>
        <v>0</v>
      </c>
      <c r="EG247" s="2039">
        <f t="shared" si="107"/>
        <v>0</v>
      </c>
      <c r="EH247" s="2039">
        <f t="shared" si="107"/>
        <v>0</v>
      </c>
      <c r="EI247" s="2040">
        <f t="shared" si="140"/>
        <v>0</v>
      </c>
      <c r="EJ247" s="2040">
        <f t="shared" si="140"/>
        <v>0</v>
      </c>
      <c r="EK247" s="2040">
        <f t="shared" si="140"/>
        <v>0</v>
      </c>
      <c r="EL247" s="2040">
        <f t="shared" si="140"/>
        <v>0</v>
      </c>
      <c r="EM247" s="2040">
        <f t="shared" si="140"/>
        <v>0</v>
      </c>
      <c r="EN247" s="2040">
        <f t="shared" si="140"/>
        <v>0</v>
      </c>
      <c r="EO247" s="2040">
        <f t="shared" si="140"/>
        <v>0</v>
      </c>
      <c r="EP247" s="2040">
        <f t="shared" si="140"/>
        <v>0</v>
      </c>
      <c r="EQ247" s="2040">
        <f t="shared" si="140"/>
        <v>0</v>
      </c>
      <c r="ER247" s="2040">
        <f t="shared" si="137"/>
        <v>0</v>
      </c>
      <c r="ES247" s="2040">
        <f t="shared" si="137"/>
        <v>0</v>
      </c>
      <c r="ET247" s="2040">
        <f t="shared" si="137"/>
        <v>0</v>
      </c>
      <c r="EU247" s="2039">
        <f t="shared" si="108"/>
        <v>0</v>
      </c>
      <c r="EV247" s="2039">
        <f t="shared" si="109"/>
        <v>0</v>
      </c>
    </row>
    <row r="248" spans="1:152" x14ac:dyDescent="0.25">
      <c r="CF248" s="2120"/>
      <c r="CG248" s="2121"/>
      <c r="DO248" s="1970"/>
      <c r="DP248" s="1970"/>
      <c r="DQ248" s="1971"/>
      <c r="DR248" s="1970"/>
      <c r="EE248" s="2039">
        <f t="shared" si="107"/>
        <v>0</v>
      </c>
      <c r="EF248" s="2039">
        <f t="shared" si="107"/>
        <v>0</v>
      </c>
      <c r="EG248" s="2039">
        <f t="shared" si="107"/>
        <v>0</v>
      </c>
      <c r="EH248" s="2039">
        <f t="shared" si="107"/>
        <v>0</v>
      </c>
      <c r="EI248" s="2040">
        <f t="shared" si="140"/>
        <v>0</v>
      </c>
      <c r="EJ248" s="2040">
        <f t="shared" si="140"/>
        <v>0</v>
      </c>
      <c r="EK248" s="2040">
        <f t="shared" si="140"/>
        <v>0</v>
      </c>
      <c r="EL248" s="2040">
        <f t="shared" si="140"/>
        <v>0</v>
      </c>
      <c r="EM248" s="2040">
        <f t="shared" si="140"/>
        <v>0</v>
      </c>
      <c r="EN248" s="2040">
        <f t="shared" si="140"/>
        <v>0</v>
      </c>
      <c r="EO248" s="2040">
        <f t="shared" si="140"/>
        <v>0</v>
      </c>
      <c r="EP248" s="2040">
        <f t="shared" si="140"/>
        <v>0</v>
      </c>
      <c r="EQ248" s="2040">
        <f t="shared" si="140"/>
        <v>0</v>
      </c>
      <c r="ER248" s="2040">
        <f t="shared" si="137"/>
        <v>0</v>
      </c>
      <c r="ES248" s="2040">
        <f t="shared" si="137"/>
        <v>0</v>
      </c>
      <c r="ET248" s="2040">
        <f t="shared" si="137"/>
        <v>0</v>
      </c>
      <c r="EU248" s="2039">
        <f t="shared" si="108"/>
        <v>0</v>
      </c>
      <c r="EV248" s="2039">
        <f t="shared" si="109"/>
        <v>0</v>
      </c>
    </row>
    <row r="249" spans="1:152" s="2018" customFormat="1" x14ac:dyDescent="0.25">
      <c r="A249" s="2122" t="s">
        <v>2996</v>
      </c>
      <c r="B249" s="2076"/>
      <c r="C249" s="2090"/>
      <c r="D249" s="2090"/>
      <c r="E249" s="2091"/>
      <c r="F249" s="2090"/>
      <c r="G249" s="2078"/>
      <c r="H249" s="2078"/>
      <c r="I249" s="2078"/>
      <c r="J249" s="2078"/>
      <c r="K249" s="2078"/>
      <c r="L249" s="2078"/>
      <c r="M249" s="2090"/>
      <c r="N249" s="2090"/>
      <c r="O249" s="2090"/>
      <c r="P249" s="2090"/>
      <c r="Q249" s="2078"/>
      <c r="R249" s="2078"/>
      <c r="S249" s="2078"/>
      <c r="T249" s="2078"/>
      <c r="U249" s="2091"/>
      <c r="V249" s="2091"/>
      <c r="W249" s="2091"/>
      <c r="X249" s="2091"/>
      <c r="Y249" s="2078"/>
      <c r="Z249" s="2078"/>
      <c r="AA249" s="2078"/>
      <c r="AB249" s="2078"/>
      <c r="AC249" s="2090"/>
      <c r="AD249" s="2091"/>
      <c r="AE249" s="2091"/>
      <c r="AF249" s="2091"/>
      <c r="AG249" s="2090"/>
      <c r="AH249" s="2091"/>
      <c r="AI249" s="2091"/>
      <c r="AJ249" s="2091"/>
      <c r="AK249" s="2072">
        <f t="shared" ref="AK249:AR249" si="144">SUMIF(AK250:AK464,"&gt;0")</f>
        <v>34000199.576119088</v>
      </c>
      <c r="AL249" s="2072">
        <f t="shared" si="144"/>
        <v>32230135.481242329</v>
      </c>
      <c r="AM249" s="2072">
        <f t="shared" si="144"/>
        <v>30886354.916667327</v>
      </c>
      <c r="AN249" s="2072">
        <f t="shared" si="144"/>
        <v>30715382.978198279</v>
      </c>
      <c r="AO249" s="2072">
        <f t="shared" si="144"/>
        <v>197049.64583747741</v>
      </c>
      <c r="AP249" s="2072">
        <f t="shared" si="144"/>
        <v>164983.52202267901</v>
      </c>
      <c r="AQ249" s="2072">
        <f t="shared" si="144"/>
        <v>154585.62358462479</v>
      </c>
      <c r="AR249" s="2072">
        <f t="shared" si="144"/>
        <v>134255.31385835694</v>
      </c>
      <c r="BE249" s="2019">
        <f t="shared" ref="BE249:BL249" si="145">SUM(BE250:BE464)</f>
        <v>7078465.6070204414</v>
      </c>
      <c r="BF249" s="2019">
        <f t="shared" si="145"/>
        <v>7046038.0015373519</v>
      </c>
      <c r="BG249" s="2019">
        <f t="shared" si="145"/>
        <v>6904062.0505977366</v>
      </c>
      <c r="BH249" s="2019">
        <f t="shared" si="145"/>
        <v>6883837.5025164392</v>
      </c>
      <c r="BI249" s="2019">
        <f t="shared" si="145"/>
        <v>321031.35099999997</v>
      </c>
      <c r="BJ249" s="2019">
        <f t="shared" si="145"/>
        <v>273189.27400000003</v>
      </c>
      <c r="BK249" s="2019">
        <f t="shared" si="145"/>
        <v>279019.16600000003</v>
      </c>
      <c r="BL249" s="2019">
        <f t="shared" si="145"/>
        <v>241588.33000000002</v>
      </c>
      <c r="BM249" s="2019"/>
      <c r="BN249" s="2019"/>
      <c r="BO249" s="2019"/>
      <c r="BP249" s="2019"/>
      <c r="BQ249" s="2019"/>
      <c r="BR249" s="2019"/>
      <c r="BS249" s="2019"/>
      <c r="BT249" s="2019"/>
      <c r="BU249" s="2019"/>
      <c r="BV249" s="2019"/>
      <c r="BW249" s="2019"/>
      <c r="BX249" s="2019"/>
      <c r="BY249" s="2019"/>
      <c r="BZ249" s="2019"/>
      <c r="CA249" s="2076"/>
      <c r="CB249" s="2076"/>
      <c r="CC249" s="2076"/>
      <c r="CD249" s="2076"/>
      <c r="CE249" s="2076"/>
      <c r="CF249" s="2076"/>
      <c r="CG249" s="2076"/>
      <c r="CH249" s="2079"/>
      <c r="CI249" s="2076"/>
      <c r="CJ249" s="2076"/>
      <c r="CK249" s="2076"/>
      <c r="CL249" s="2076"/>
      <c r="CM249" s="2076"/>
      <c r="CN249" s="2076"/>
      <c r="CO249" s="2076"/>
      <c r="CP249" s="2020"/>
      <c r="CQ249" s="2020"/>
      <c r="CR249" s="2020"/>
      <c r="CS249" s="2020"/>
      <c r="CT249" s="2020"/>
      <c r="CU249" s="2020"/>
      <c r="CX249" s="2083"/>
      <c r="DB249" s="2083"/>
      <c r="DF249" s="2083"/>
      <c r="DJ249" s="2083"/>
      <c r="DN249" s="1977"/>
      <c r="DO249" s="2090"/>
      <c r="DP249" s="2090"/>
      <c r="DQ249" s="2091"/>
      <c r="DR249" s="2090"/>
      <c r="EE249" s="2039">
        <f t="shared" si="107"/>
        <v>0</v>
      </c>
      <c r="EF249" s="2039">
        <f t="shared" si="107"/>
        <v>0</v>
      </c>
      <c r="EG249" s="2039">
        <f t="shared" si="107"/>
        <v>0</v>
      </c>
      <c r="EH249" s="2039">
        <f t="shared" si="107"/>
        <v>0</v>
      </c>
      <c r="EI249" s="2040">
        <f t="shared" si="140"/>
        <v>0</v>
      </c>
      <c r="EJ249" s="2040">
        <f t="shared" si="140"/>
        <v>0</v>
      </c>
      <c r="EK249" s="2040">
        <f t="shared" si="140"/>
        <v>0</v>
      </c>
      <c r="EL249" s="2040">
        <f t="shared" si="140"/>
        <v>0</v>
      </c>
      <c r="EM249" s="2040">
        <f t="shared" si="140"/>
        <v>0</v>
      </c>
      <c r="EN249" s="2040">
        <f t="shared" si="140"/>
        <v>0</v>
      </c>
      <c r="EO249" s="2040">
        <f t="shared" si="140"/>
        <v>0</v>
      </c>
      <c r="EP249" s="2040">
        <f t="shared" si="140"/>
        <v>0</v>
      </c>
      <c r="EQ249" s="2040">
        <f t="shared" si="140"/>
        <v>0</v>
      </c>
      <c r="ER249" s="2040">
        <f t="shared" si="137"/>
        <v>0</v>
      </c>
      <c r="ES249" s="2040">
        <f t="shared" si="137"/>
        <v>0</v>
      </c>
      <c r="ET249" s="2040">
        <f t="shared" si="137"/>
        <v>0</v>
      </c>
      <c r="EU249" s="2039">
        <f t="shared" si="108"/>
        <v>0</v>
      </c>
      <c r="EV249" s="2039">
        <f t="shared" si="109"/>
        <v>0</v>
      </c>
    </row>
    <row r="250" spans="1:152" x14ac:dyDescent="0.25">
      <c r="A250" s="2123" t="s">
        <v>82</v>
      </c>
      <c r="B250" s="1974" t="str">
        <f t="shared" ref="B250:B313" si="146">IF(B6="","",B6)</f>
        <v>BPL91</v>
      </c>
      <c r="C250" s="1974">
        <f t="shared" ref="C250:F265" si="147">C6</f>
        <v>15</v>
      </c>
      <c r="D250" s="2028">
        <v>1077.2366830534436</v>
      </c>
      <c r="E250" s="2028">
        <v>0.21036758620335591</v>
      </c>
      <c r="F250" s="2028">
        <v>-22.695612749561732</v>
      </c>
      <c r="G250" s="1974" t="s">
        <v>2997</v>
      </c>
      <c r="H250" s="1974" t="s">
        <v>2997</v>
      </c>
      <c r="I250" s="2026">
        <v>0.96199999999999997</v>
      </c>
      <c r="J250" s="2026">
        <v>0.96199999999999997</v>
      </c>
      <c r="K250" s="2026">
        <v>0.96199999999999997</v>
      </c>
      <c r="L250" s="2026">
        <v>0.96199999999999997</v>
      </c>
      <c r="M250" s="2027">
        <f>$D250*I250</f>
        <v>1036.3016890974127</v>
      </c>
      <c r="N250" s="2027">
        <f>$D250*J250</f>
        <v>1036.3016890974127</v>
      </c>
      <c r="O250" s="2027">
        <f>$D250*K250</f>
        <v>1036.3016890974127</v>
      </c>
      <c r="P250" s="2027">
        <f>$D250*L250</f>
        <v>1036.3016890974127</v>
      </c>
      <c r="Q250" s="2026">
        <v>0.96199999999999997</v>
      </c>
      <c r="R250" s="2026">
        <v>0.96199999999999997</v>
      </c>
      <c r="S250" s="2026">
        <v>0.96199999999999997</v>
      </c>
      <c r="T250" s="2026">
        <v>0.96199999999999997</v>
      </c>
      <c r="U250" s="2028">
        <f>$E250*Q250</f>
        <v>0.20237361792762837</v>
      </c>
      <c r="V250" s="2028">
        <f>$E250*R250</f>
        <v>0.20237361792762837</v>
      </c>
      <c r="W250" s="2028">
        <f>$E250*S250</f>
        <v>0.20237361792762837</v>
      </c>
      <c r="X250" s="2028">
        <f>$E250*T250</f>
        <v>0.20237361792762837</v>
      </c>
      <c r="Y250" s="2026">
        <v>0.96199999999999997</v>
      </c>
      <c r="Z250" s="2026">
        <v>0.96199999999999997</v>
      </c>
      <c r="AA250" s="2026">
        <v>0.96199999999999997</v>
      </c>
      <c r="AB250" s="2026">
        <v>0.96199999999999997</v>
      </c>
      <c r="AC250" s="2027">
        <f>$F250*Y250</f>
        <v>-21.833179465078384</v>
      </c>
      <c r="AD250" s="2027">
        <f>$F250*Z250</f>
        <v>-21.833179465078384</v>
      </c>
      <c r="AE250" s="2027">
        <f>$F250*AA250</f>
        <v>-21.833179465078384</v>
      </c>
      <c r="AF250" s="2027">
        <f>$F250*AB250</f>
        <v>-21.833179465078384</v>
      </c>
      <c r="AG250" s="2027">
        <v>208</v>
      </c>
      <c r="AH250" s="2027">
        <v>178</v>
      </c>
      <c r="AI250" s="2027">
        <v>149</v>
      </c>
      <c r="AJ250" s="2028">
        <v>0</v>
      </c>
      <c r="AK250" s="2027">
        <f t="shared" ref="AK250:AK313" si="148">AG250*M250</f>
        <v>215550.75133226183</v>
      </c>
      <c r="AL250" s="2027">
        <f t="shared" ref="AL250:AN313" si="149">AH250*N250*CM250</f>
        <v>184461.70065933946</v>
      </c>
      <c r="AM250" s="2027">
        <f t="shared" si="149"/>
        <v>154408.95167551449</v>
      </c>
      <c r="AN250" s="2027">
        <f t="shared" si="149"/>
        <v>0</v>
      </c>
      <c r="AO250" s="2027">
        <f>AG250*AC250</f>
        <v>-4541.3013287363037</v>
      </c>
      <c r="AP250" s="2027">
        <f t="shared" ref="AP250:AR313" si="150">AH250*AD250*CM250</f>
        <v>-3886.3059447839523</v>
      </c>
      <c r="AQ250" s="2027">
        <f t="shared" si="150"/>
        <v>-3253.1437402966794</v>
      </c>
      <c r="AR250" s="2027">
        <f t="shared" si="150"/>
        <v>0</v>
      </c>
      <c r="AS250" s="2124">
        <v>139.09660335587276</v>
      </c>
      <c r="AT250" s="2029">
        <f t="shared" ref="AT250:AV313" si="151">$AS250</f>
        <v>139.09660335587276</v>
      </c>
      <c r="AU250" s="2029">
        <f t="shared" si="151"/>
        <v>139.09660335587276</v>
      </c>
      <c r="AV250" s="2029">
        <f t="shared" si="151"/>
        <v>139.09660335587276</v>
      </c>
      <c r="AW250" s="2124">
        <f t="shared" ref="AW250:AW313" si="152">AW6*1.3</f>
        <v>0</v>
      </c>
      <c r="AX250" s="2029">
        <f t="shared" ref="AX250:AZ265" si="153">$AW250</f>
        <v>0</v>
      </c>
      <c r="AY250" s="2029">
        <f t="shared" si="153"/>
        <v>0</v>
      </c>
      <c r="AZ250" s="2029">
        <f t="shared" si="153"/>
        <v>0</v>
      </c>
      <c r="BA250" s="2124">
        <v>206.25</v>
      </c>
      <c r="BB250" s="2029">
        <f t="shared" ref="BA250:BD265" si="154">BB6</f>
        <v>206.25</v>
      </c>
      <c r="BC250" s="2029">
        <f t="shared" si="154"/>
        <v>206.25</v>
      </c>
      <c r="BD250" s="2029">
        <f t="shared" si="154"/>
        <v>206.25</v>
      </c>
      <c r="BE250" s="2030">
        <f t="shared" ref="BE250:BH313" si="155">AS250*AG250</f>
        <v>28932.093498021535</v>
      </c>
      <c r="BF250" s="2030">
        <f t="shared" si="155"/>
        <v>24759.195397345353</v>
      </c>
      <c r="BG250" s="2030">
        <f t="shared" si="155"/>
        <v>20725.393900025039</v>
      </c>
      <c r="BH250" s="2030">
        <f t="shared" si="155"/>
        <v>0</v>
      </c>
      <c r="BI250" s="2030">
        <f t="shared" ref="BI250:BL313" si="156">AW250*AG250</f>
        <v>0</v>
      </c>
      <c r="BJ250" s="2030">
        <f t="shared" si="156"/>
        <v>0</v>
      </c>
      <c r="BK250" s="2030">
        <f t="shared" si="156"/>
        <v>0</v>
      </c>
      <c r="BL250" s="2030">
        <f t="shared" si="156"/>
        <v>0</v>
      </c>
      <c r="BM250" s="2125"/>
      <c r="BN250" s="2125"/>
      <c r="BO250" s="2125"/>
      <c r="BP250" s="2125"/>
      <c r="BQ250" s="2125"/>
      <c r="BR250" s="2125"/>
      <c r="BS250" s="2125"/>
      <c r="BT250" s="2125"/>
      <c r="BU250" s="2029"/>
      <c r="BV250" s="2029"/>
      <c r="BW250" s="2029"/>
      <c r="BX250" s="2029"/>
      <c r="BY250" s="2029"/>
      <c r="BZ250" s="2032"/>
      <c r="CA250" s="1974">
        <f>CA6</f>
        <v>0</v>
      </c>
      <c r="CB250" s="1974">
        <f t="shared" ref="CB250:CK250" si="157">CB6</f>
        <v>0</v>
      </c>
      <c r="CC250" s="1974">
        <f t="shared" si="157"/>
        <v>0</v>
      </c>
      <c r="CD250" s="1974">
        <f t="shared" si="157"/>
        <v>0</v>
      </c>
      <c r="CE250" s="1974">
        <f t="shared" si="157"/>
        <v>0</v>
      </c>
      <c r="CF250" s="2033">
        <v>7.6379714550327325E-4</v>
      </c>
      <c r="CG250" s="2026">
        <v>-1.3279937746733792E-3</v>
      </c>
      <c r="CH250" s="2009">
        <f t="shared" si="157"/>
        <v>1</v>
      </c>
      <c r="CI250" s="2031">
        <f t="shared" si="157"/>
        <v>21.886333333333333</v>
      </c>
      <c r="CJ250" s="1974">
        <f t="shared" si="157"/>
        <v>0</v>
      </c>
      <c r="CK250" s="2031">
        <f t="shared" si="157"/>
        <v>-21.886333333333333</v>
      </c>
      <c r="CL250" s="2026">
        <v>1</v>
      </c>
      <c r="CM250" s="2026">
        <v>1</v>
      </c>
      <c r="CN250" s="2026">
        <v>1</v>
      </c>
      <c r="CO250" s="2026">
        <v>1</v>
      </c>
      <c r="CP250" s="2035"/>
      <c r="CQ250" s="2036"/>
      <c r="CR250" s="2036"/>
      <c r="CS250" s="2036"/>
      <c r="CT250" s="2036"/>
      <c r="CU250" s="2036"/>
      <c r="CW250" s="1973">
        <v>0</v>
      </c>
      <c r="CX250" s="2037">
        <v>91.983749999999986</v>
      </c>
      <c r="CY250" s="2037">
        <v>91.983749999999986</v>
      </c>
      <c r="CZ250" s="2037">
        <v>91.983749999999986</v>
      </c>
      <c r="DA250" s="2037">
        <v>91.983749999999986</v>
      </c>
      <c r="DJ250" s="1976">
        <v>91.983749999999986</v>
      </c>
      <c r="DK250" s="1973">
        <v>91.983749999999986</v>
      </c>
      <c r="DL250" s="1973">
        <v>91.983749999999986</v>
      </c>
      <c r="DM250" s="1973">
        <v>91.983749999999986</v>
      </c>
      <c r="DO250" s="1974">
        <v>15</v>
      </c>
      <c r="DP250" s="2028">
        <v>1077.2366830534436</v>
      </c>
      <c r="DQ250" s="2028">
        <v>0.21036758620335591</v>
      </c>
      <c r="DR250" s="2028">
        <v>-22.695612749561732</v>
      </c>
      <c r="DS250" s="2029">
        <v>139.09660335587276</v>
      </c>
      <c r="DT250" s="2029">
        <v>139.09660335587276</v>
      </c>
      <c r="DU250" s="2029">
        <v>139.09660335587276</v>
      </c>
      <c r="DV250" s="2029">
        <v>139.09660335587276</v>
      </c>
      <c r="DW250" s="2029">
        <v>0</v>
      </c>
      <c r="DX250" s="2029">
        <v>0</v>
      </c>
      <c r="DY250" s="2029">
        <v>0</v>
      </c>
      <c r="DZ250" s="2029">
        <v>0</v>
      </c>
      <c r="EA250" s="2029">
        <v>206.25</v>
      </c>
      <c r="EB250" s="2029">
        <v>206.25</v>
      </c>
      <c r="EC250" s="2029">
        <v>206.25</v>
      </c>
      <c r="ED250" s="2029">
        <v>206.25</v>
      </c>
      <c r="EE250" s="2039">
        <f t="shared" si="107"/>
        <v>0</v>
      </c>
      <c r="EF250" s="2039">
        <f t="shared" si="107"/>
        <v>0</v>
      </c>
      <c r="EG250" s="2039">
        <f t="shared" si="107"/>
        <v>0</v>
      </c>
      <c r="EH250" s="2039">
        <f t="shared" si="107"/>
        <v>0</v>
      </c>
      <c r="EI250" s="2040">
        <f t="shared" si="140"/>
        <v>0</v>
      </c>
      <c r="EJ250" s="2040">
        <f t="shared" si="140"/>
        <v>0</v>
      </c>
      <c r="EK250" s="2040">
        <f t="shared" si="140"/>
        <v>0</v>
      </c>
      <c r="EL250" s="2040">
        <f t="shared" si="140"/>
        <v>0</v>
      </c>
      <c r="EM250" s="2040">
        <f t="shared" si="140"/>
        <v>0</v>
      </c>
      <c r="EN250" s="2040">
        <f t="shared" si="140"/>
        <v>0</v>
      </c>
      <c r="EO250" s="2040">
        <f t="shared" si="140"/>
        <v>0</v>
      </c>
      <c r="EP250" s="2040">
        <f t="shared" si="140"/>
        <v>0</v>
      </c>
      <c r="EQ250" s="2040">
        <f t="shared" si="140"/>
        <v>0</v>
      </c>
      <c r="ER250" s="2040">
        <f t="shared" si="137"/>
        <v>0</v>
      </c>
      <c r="ES250" s="2040">
        <f t="shared" si="137"/>
        <v>0</v>
      </c>
      <c r="ET250" s="2040">
        <f t="shared" si="137"/>
        <v>0</v>
      </c>
      <c r="EU250" s="2039">
        <f t="shared" si="108"/>
        <v>0</v>
      </c>
      <c r="EV250" s="2039">
        <f t="shared" si="109"/>
        <v>0</v>
      </c>
    </row>
    <row r="251" spans="1:152" x14ac:dyDescent="0.25">
      <c r="A251" s="2126" t="s">
        <v>83</v>
      </c>
      <c r="B251" s="2093" t="str">
        <f t="shared" si="146"/>
        <v xml:space="preserve">BPL40  </v>
      </c>
      <c r="C251" s="1974">
        <f t="shared" si="147"/>
        <v>15</v>
      </c>
      <c r="D251" s="2028">
        <v>110.71918754995343</v>
      </c>
      <c r="E251" s="1974">
        <v>2.0122083969221934E-2</v>
      </c>
      <c r="F251" s="2127">
        <v>-1.2241137551056831</v>
      </c>
      <c r="G251" s="1974" t="s">
        <v>2997</v>
      </c>
      <c r="H251" s="1974" t="s">
        <v>2997</v>
      </c>
      <c r="I251" s="2026">
        <v>0.96199999999999997</v>
      </c>
      <c r="J251" s="2026">
        <v>0.96199999999999997</v>
      </c>
      <c r="K251" s="2026">
        <v>0.96199999999999997</v>
      </c>
      <c r="L251" s="2026">
        <v>0.96199999999999997</v>
      </c>
      <c r="M251" s="2027">
        <f t="shared" ref="M251:P314" si="158">$D251*I251</f>
        <v>106.5118584230552</v>
      </c>
      <c r="N251" s="2027">
        <f t="shared" si="158"/>
        <v>106.5118584230552</v>
      </c>
      <c r="O251" s="2027">
        <f t="shared" si="158"/>
        <v>106.5118584230552</v>
      </c>
      <c r="P251" s="2027">
        <f t="shared" si="158"/>
        <v>106.5118584230552</v>
      </c>
      <c r="Q251" s="2026">
        <v>0.96199999999999997</v>
      </c>
      <c r="R251" s="2026">
        <v>0.96199999999999997</v>
      </c>
      <c r="S251" s="2026">
        <v>0.96199999999999997</v>
      </c>
      <c r="T251" s="2026">
        <v>0.96199999999999997</v>
      </c>
      <c r="U251" s="2028">
        <f t="shared" ref="U251:X314" si="159">$E251*Q251</f>
        <v>1.9357444778391499E-2</v>
      </c>
      <c r="V251" s="2028">
        <f t="shared" si="159"/>
        <v>1.9357444778391499E-2</v>
      </c>
      <c r="W251" s="2028">
        <f t="shared" si="159"/>
        <v>1.9357444778391499E-2</v>
      </c>
      <c r="X251" s="2028">
        <f t="shared" si="159"/>
        <v>1.9357444778391499E-2</v>
      </c>
      <c r="Y251" s="2026">
        <v>0.96199999999999997</v>
      </c>
      <c r="Z251" s="2026">
        <v>0.96199999999999997</v>
      </c>
      <c r="AA251" s="2026">
        <v>0.96199999999999997</v>
      </c>
      <c r="AB251" s="2026">
        <v>0.96199999999999997</v>
      </c>
      <c r="AC251" s="2027">
        <f t="shared" ref="AC251:AF314" si="160">$F251*Y251</f>
        <v>-1.1775974324116671</v>
      </c>
      <c r="AD251" s="2027">
        <f t="shared" si="160"/>
        <v>-1.1775974324116671</v>
      </c>
      <c r="AE251" s="2027">
        <f t="shared" si="160"/>
        <v>-1.1775974324116671</v>
      </c>
      <c r="AF251" s="2027">
        <f t="shared" si="160"/>
        <v>-1.1775974324116671</v>
      </c>
      <c r="AG251" s="2027">
        <v>10</v>
      </c>
      <c r="AH251" s="2027">
        <v>0</v>
      </c>
      <c r="AI251" s="2027">
        <v>0</v>
      </c>
      <c r="AJ251" s="2027">
        <v>0</v>
      </c>
      <c r="AK251" s="2027">
        <f t="shared" si="148"/>
        <v>1065.118584230552</v>
      </c>
      <c r="AL251" s="2027">
        <f t="shared" si="149"/>
        <v>0</v>
      </c>
      <c r="AM251" s="2027">
        <f t="shared" si="149"/>
        <v>0</v>
      </c>
      <c r="AN251" s="2027">
        <f t="shared" si="149"/>
        <v>0</v>
      </c>
      <c r="AO251" s="2027">
        <f t="shared" ref="AO251:AO314" si="161">AG251*AC251</f>
        <v>-11.775974324116671</v>
      </c>
      <c r="AP251" s="2027">
        <f t="shared" si="150"/>
        <v>0</v>
      </c>
      <c r="AQ251" s="2027">
        <f t="shared" si="150"/>
        <v>0</v>
      </c>
      <c r="AR251" s="2027">
        <f t="shared" si="150"/>
        <v>0</v>
      </c>
      <c r="AS251" s="2124">
        <f t="shared" ref="AS251:AS259" si="162">AS7*1.9</f>
        <v>12.653999999999998</v>
      </c>
      <c r="AT251" s="2029">
        <f t="shared" si="151"/>
        <v>12.653999999999998</v>
      </c>
      <c r="AU251" s="2029">
        <f t="shared" si="151"/>
        <v>12.653999999999998</v>
      </c>
      <c r="AV251" s="2029">
        <f t="shared" si="151"/>
        <v>12.653999999999998</v>
      </c>
      <c r="AW251" s="2124">
        <f t="shared" si="152"/>
        <v>0</v>
      </c>
      <c r="AX251" s="2029">
        <f t="shared" si="153"/>
        <v>0</v>
      </c>
      <c r="AY251" s="2029">
        <f t="shared" si="153"/>
        <v>0</v>
      </c>
      <c r="AZ251" s="2029">
        <f t="shared" si="153"/>
        <v>0</v>
      </c>
      <c r="BA251" s="2124">
        <f t="shared" si="154"/>
        <v>57.5</v>
      </c>
      <c r="BB251" s="2029">
        <f t="shared" si="154"/>
        <v>57.5</v>
      </c>
      <c r="BC251" s="2029">
        <f t="shared" si="154"/>
        <v>57.5</v>
      </c>
      <c r="BD251" s="2029">
        <f t="shared" si="154"/>
        <v>57.5</v>
      </c>
      <c r="BE251" s="2030">
        <f t="shared" si="155"/>
        <v>126.53999999999998</v>
      </c>
      <c r="BF251" s="2030">
        <f t="shared" si="155"/>
        <v>0</v>
      </c>
      <c r="BG251" s="2030">
        <f t="shared" si="155"/>
        <v>0</v>
      </c>
      <c r="BH251" s="2030">
        <f t="shared" si="155"/>
        <v>0</v>
      </c>
      <c r="BI251" s="2030">
        <f t="shared" si="156"/>
        <v>0</v>
      </c>
      <c r="BJ251" s="2030">
        <f t="shared" si="156"/>
        <v>0</v>
      </c>
      <c r="BK251" s="2030">
        <f t="shared" si="156"/>
        <v>0</v>
      </c>
      <c r="BL251" s="2030">
        <f t="shared" si="156"/>
        <v>0</v>
      </c>
      <c r="BM251" s="2125"/>
      <c r="BN251" s="2125"/>
      <c r="BO251" s="2125"/>
      <c r="BP251" s="2125"/>
      <c r="BQ251" s="2125"/>
      <c r="BR251" s="2125"/>
      <c r="BS251" s="2125"/>
      <c r="BT251" s="2125"/>
      <c r="BU251" s="2029"/>
      <c r="BV251" s="2029"/>
      <c r="BW251" s="2029"/>
      <c r="BX251" s="2029"/>
      <c r="BY251" s="2029"/>
      <c r="BZ251" s="2032"/>
      <c r="CA251" s="1974">
        <f t="shared" ref="CA251:CK266" si="163">CA7</f>
        <v>0</v>
      </c>
      <c r="CB251" s="1974">
        <f t="shared" si="163"/>
        <v>0</v>
      </c>
      <c r="CC251" s="1974">
        <f t="shared" si="163"/>
        <v>0</v>
      </c>
      <c r="CD251" s="1974">
        <f t="shared" si="163"/>
        <v>0</v>
      </c>
      <c r="CE251" s="1974">
        <f t="shared" si="163"/>
        <v>1</v>
      </c>
      <c r="CF251" s="2033">
        <v>4.4525544119231781E-6</v>
      </c>
      <c r="CG251" s="2026">
        <v>-4.3933855620167315E-6</v>
      </c>
      <c r="CH251" s="2009">
        <f t="shared" si="163"/>
        <v>1</v>
      </c>
      <c r="CI251" s="2031">
        <f t="shared" si="163"/>
        <v>0.67827777777777754</v>
      </c>
      <c r="CJ251" s="1974">
        <f t="shared" si="163"/>
        <v>0</v>
      </c>
      <c r="CK251" s="2031">
        <f t="shared" si="163"/>
        <v>-0.67827777777777754</v>
      </c>
      <c r="CL251" s="2026">
        <v>1</v>
      </c>
      <c r="CM251" s="2026">
        <v>0.3</v>
      </c>
      <c r="CN251" s="2026">
        <v>0.3</v>
      </c>
      <c r="CO251" s="2026">
        <v>0.3</v>
      </c>
      <c r="CP251" s="2035"/>
      <c r="CQ251" s="2036"/>
      <c r="CR251" s="2036"/>
      <c r="CS251" s="2036"/>
      <c r="CT251" s="2036"/>
      <c r="CU251" s="2036"/>
      <c r="CW251" s="1973">
        <v>0</v>
      </c>
      <c r="CX251" s="2037">
        <v>12.653999999999998</v>
      </c>
      <c r="CY251" s="2037">
        <v>12.653999999999998</v>
      </c>
      <c r="CZ251" s="2037">
        <v>12.653999999999998</v>
      </c>
      <c r="DA251" s="2037">
        <v>12.653999999999998</v>
      </c>
      <c r="DJ251" s="1976">
        <v>12.653999999999998</v>
      </c>
      <c r="DK251" s="1973">
        <v>12.653999999999998</v>
      </c>
      <c r="DL251" s="1973">
        <v>12.653999999999998</v>
      </c>
      <c r="DM251" s="1973">
        <v>12.653999999999998</v>
      </c>
      <c r="DO251" s="1974">
        <v>15</v>
      </c>
      <c r="DP251" s="2028">
        <v>110.71918754995343</v>
      </c>
      <c r="DQ251" s="1974">
        <v>2.0122083969221934E-2</v>
      </c>
      <c r="DR251" s="2028">
        <v>-1.2241137551056831</v>
      </c>
      <c r="DS251" s="2124">
        <v>12.653999999999998</v>
      </c>
      <c r="DT251" s="2029">
        <v>12.653999999999998</v>
      </c>
      <c r="DU251" s="2029">
        <v>12.653999999999998</v>
      </c>
      <c r="DV251" s="2029">
        <v>12.653999999999998</v>
      </c>
      <c r="DW251" s="2124">
        <v>0</v>
      </c>
      <c r="DX251" s="2029">
        <v>0</v>
      </c>
      <c r="DY251" s="2029">
        <v>0</v>
      </c>
      <c r="DZ251" s="2029">
        <v>0</v>
      </c>
      <c r="EA251" s="2124">
        <v>57.5</v>
      </c>
      <c r="EB251" s="2029">
        <v>57.5</v>
      </c>
      <c r="EC251" s="2029">
        <v>57.5</v>
      </c>
      <c r="ED251" s="2029">
        <v>57.5</v>
      </c>
      <c r="EE251" s="2039">
        <f t="shared" si="107"/>
        <v>0</v>
      </c>
      <c r="EF251" s="2039">
        <f t="shared" si="107"/>
        <v>0</v>
      </c>
      <c r="EG251" s="2039">
        <f t="shared" si="107"/>
        <v>0</v>
      </c>
      <c r="EH251" s="2039">
        <f t="shared" si="107"/>
        <v>0</v>
      </c>
      <c r="EI251" s="2040">
        <f t="shared" si="140"/>
        <v>0</v>
      </c>
      <c r="EJ251" s="2040">
        <f t="shared" si="140"/>
        <v>0</v>
      </c>
      <c r="EK251" s="2040">
        <f t="shared" si="140"/>
        <v>0</v>
      </c>
      <c r="EL251" s="2040">
        <f t="shared" si="140"/>
        <v>0</v>
      </c>
      <c r="EM251" s="2040">
        <f t="shared" si="140"/>
        <v>0</v>
      </c>
      <c r="EN251" s="2040">
        <f t="shared" si="140"/>
        <v>0</v>
      </c>
      <c r="EO251" s="2040">
        <f t="shared" si="140"/>
        <v>0</v>
      </c>
      <c r="EP251" s="2040">
        <f t="shared" si="140"/>
        <v>0</v>
      </c>
      <c r="EQ251" s="2040">
        <f t="shared" si="140"/>
        <v>0</v>
      </c>
      <c r="ER251" s="2040">
        <f t="shared" si="137"/>
        <v>0</v>
      </c>
      <c r="ES251" s="2040">
        <f t="shared" si="137"/>
        <v>0</v>
      </c>
      <c r="ET251" s="2040">
        <f t="shared" si="137"/>
        <v>0</v>
      </c>
      <c r="EU251" s="2039">
        <f t="shared" si="108"/>
        <v>0</v>
      </c>
      <c r="EV251" s="2039">
        <f t="shared" si="109"/>
        <v>0</v>
      </c>
    </row>
    <row r="252" spans="1:152" x14ac:dyDescent="0.25">
      <c r="A252" s="2126" t="s">
        <v>84</v>
      </c>
      <c r="B252" s="2093" t="str">
        <f t="shared" si="146"/>
        <v xml:space="preserve">BPL60  </v>
      </c>
      <c r="C252" s="1974">
        <f t="shared" si="147"/>
        <v>15</v>
      </c>
      <c r="D252" s="2028">
        <v>200.41184088167685</v>
      </c>
      <c r="E252" s="1974">
        <v>4.0940884781300826E-2</v>
      </c>
      <c r="F252" s="2127">
        <v>-3.3979249924155255</v>
      </c>
      <c r="G252" s="1974" t="s">
        <v>2997</v>
      </c>
      <c r="H252" s="1974" t="s">
        <v>2997</v>
      </c>
      <c r="I252" s="2026">
        <v>0.96199999999999997</v>
      </c>
      <c r="J252" s="2026">
        <v>0.96199999999999997</v>
      </c>
      <c r="K252" s="2026">
        <v>0.96199999999999997</v>
      </c>
      <c r="L252" s="2026">
        <v>0.96199999999999997</v>
      </c>
      <c r="M252" s="2027">
        <f t="shared" si="158"/>
        <v>192.79619092817313</v>
      </c>
      <c r="N252" s="2027">
        <f t="shared" si="158"/>
        <v>192.79619092817313</v>
      </c>
      <c r="O252" s="2027">
        <f t="shared" si="158"/>
        <v>192.79619092817313</v>
      </c>
      <c r="P252" s="2027">
        <f t="shared" si="158"/>
        <v>192.79619092817313</v>
      </c>
      <c r="Q252" s="2026">
        <v>0.96199999999999997</v>
      </c>
      <c r="R252" s="2026">
        <v>0.96199999999999997</v>
      </c>
      <c r="S252" s="2026">
        <v>0.96199999999999997</v>
      </c>
      <c r="T252" s="2026">
        <v>0.96199999999999997</v>
      </c>
      <c r="U252" s="2028">
        <f t="shared" si="159"/>
        <v>3.938513115961139E-2</v>
      </c>
      <c r="V252" s="2028">
        <f t="shared" si="159"/>
        <v>3.938513115961139E-2</v>
      </c>
      <c r="W252" s="2028">
        <f t="shared" si="159"/>
        <v>3.938513115961139E-2</v>
      </c>
      <c r="X252" s="2028">
        <f t="shared" si="159"/>
        <v>3.938513115961139E-2</v>
      </c>
      <c r="Y252" s="2026">
        <v>0.96199999999999997</v>
      </c>
      <c r="Z252" s="2026">
        <v>0.96199999999999997</v>
      </c>
      <c r="AA252" s="2026">
        <v>0.96199999999999997</v>
      </c>
      <c r="AB252" s="2026">
        <v>0.96199999999999997</v>
      </c>
      <c r="AC252" s="2027">
        <f t="shared" si="160"/>
        <v>-3.2688038427037354</v>
      </c>
      <c r="AD252" s="2027">
        <f t="shared" si="160"/>
        <v>-3.2688038427037354</v>
      </c>
      <c r="AE252" s="2027">
        <f t="shared" si="160"/>
        <v>-3.2688038427037354</v>
      </c>
      <c r="AF252" s="2027">
        <f t="shared" si="160"/>
        <v>-3.2688038427037354</v>
      </c>
      <c r="AG252" s="2027">
        <v>16</v>
      </c>
      <c r="AH252" s="2027">
        <v>0</v>
      </c>
      <c r="AI252" s="2027">
        <v>0</v>
      </c>
      <c r="AJ252" s="2027">
        <v>0</v>
      </c>
      <c r="AK252" s="2027">
        <f t="shared" si="148"/>
        <v>3084.7390548507701</v>
      </c>
      <c r="AL252" s="2027">
        <f t="shared" si="149"/>
        <v>0</v>
      </c>
      <c r="AM252" s="2027">
        <f t="shared" si="149"/>
        <v>0</v>
      </c>
      <c r="AN252" s="2027">
        <f t="shared" si="149"/>
        <v>0</v>
      </c>
      <c r="AO252" s="2027">
        <f t="shared" si="161"/>
        <v>-52.300861483259766</v>
      </c>
      <c r="AP252" s="2027">
        <f t="shared" si="150"/>
        <v>0</v>
      </c>
      <c r="AQ252" s="2027">
        <f t="shared" si="150"/>
        <v>0</v>
      </c>
      <c r="AR252" s="2027">
        <f t="shared" si="150"/>
        <v>0</v>
      </c>
      <c r="AS252" s="2124">
        <f t="shared" si="162"/>
        <v>12.653999999999998</v>
      </c>
      <c r="AT252" s="2029">
        <f t="shared" si="151"/>
        <v>12.653999999999998</v>
      </c>
      <c r="AU252" s="2029">
        <f t="shared" si="151"/>
        <v>12.653999999999998</v>
      </c>
      <c r="AV252" s="2029">
        <f t="shared" si="151"/>
        <v>12.653999999999998</v>
      </c>
      <c r="AW252" s="2124">
        <f t="shared" si="152"/>
        <v>0</v>
      </c>
      <c r="AX252" s="2029">
        <f t="shared" si="153"/>
        <v>0</v>
      </c>
      <c r="AY252" s="2029">
        <f t="shared" si="153"/>
        <v>0</v>
      </c>
      <c r="AZ252" s="2029">
        <f t="shared" si="153"/>
        <v>0</v>
      </c>
      <c r="BA252" s="2124">
        <f t="shared" si="154"/>
        <v>57.5</v>
      </c>
      <c r="BB252" s="2029">
        <f t="shared" si="154"/>
        <v>57.5</v>
      </c>
      <c r="BC252" s="2029">
        <f t="shared" si="154"/>
        <v>57.5</v>
      </c>
      <c r="BD252" s="2029">
        <f t="shared" si="154"/>
        <v>57.5</v>
      </c>
      <c r="BE252" s="2030">
        <f t="shared" si="155"/>
        <v>202.46399999999997</v>
      </c>
      <c r="BF252" s="2030">
        <f t="shared" si="155"/>
        <v>0</v>
      </c>
      <c r="BG252" s="2030">
        <f t="shared" si="155"/>
        <v>0</v>
      </c>
      <c r="BH252" s="2030">
        <f t="shared" si="155"/>
        <v>0</v>
      </c>
      <c r="BI252" s="2030">
        <f t="shared" si="156"/>
        <v>0</v>
      </c>
      <c r="BJ252" s="2030">
        <f t="shared" si="156"/>
        <v>0</v>
      </c>
      <c r="BK252" s="2030">
        <f t="shared" si="156"/>
        <v>0</v>
      </c>
      <c r="BL252" s="2030">
        <f t="shared" si="156"/>
        <v>0</v>
      </c>
      <c r="BM252" s="2125"/>
      <c r="BN252" s="2125"/>
      <c r="BO252" s="2125"/>
      <c r="BP252" s="2125"/>
      <c r="BQ252" s="2125"/>
      <c r="BR252" s="2125"/>
      <c r="BS252" s="2125"/>
      <c r="BT252" s="2125"/>
      <c r="BU252" s="2029"/>
      <c r="BV252" s="2029"/>
      <c r="BW252" s="2029"/>
      <c r="BX252" s="2029"/>
      <c r="BY252" s="2029"/>
      <c r="BZ252" s="2032"/>
      <c r="CA252" s="1974">
        <f t="shared" si="163"/>
        <v>0</v>
      </c>
      <c r="CB252" s="1974">
        <f t="shared" si="163"/>
        <v>0</v>
      </c>
      <c r="CC252" s="1974">
        <f t="shared" si="163"/>
        <v>0</v>
      </c>
      <c r="CD252" s="1974">
        <f t="shared" si="163"/>
        <v>0</v>
      </c>
      <c r="CE252" s="1974">
        <f t="shared" si="163"/>
        <v>1</v>
      </c>
      <c r="CF252" s="2033">
        <v>1.2895248183308861E-5</v>
      </c>
      <c r="CG252" s="2026">
        <v>-1.9512427880469783E-5</v>
      </c>
      <c r="CH252" s="2009">
        <f t="shared" si="163"/>
        <v>1</v>
      </c>
      <c r="CI252" s="2031">
        <f t="shared" si="163"/>
        <v>0.67827777777777754</v>
      </c>
      <c r="CJ252" s="1974">
        <f t="shared" si="163"/>
        <v>0</v>
      </c>
      <c r="CK252" s="2031">
        <f t="shared" si="163"/>
        <v>-0.67827777777777754</v>
      </c>
      <c r="CL252" s="2026">
        <v>1</v>
      </c>
      <c r="CM252" s="2026">
        <v>0.32114942528735629</v>
      </c>
      <c r="CN252" s="2026">
        <v>0.32114942528735629</v>
      </c>
      <c r="CO252" s="2026">
        <v>0.32114942528735629</v>
      </c>
      <c r="CP252" s="2035"/>
      <c r="CQ252" s="2036"/>
      <c r="CR252" s="2036"/>
      <c r="CS252" s="2036"/>
      <c r="CT252" s="2036"/>
      <c r="CU252" s="2036"/>
      <c r="CW252" s="1973">
        <v>0</v>
      </c>
      <c r="CX252" s="2037">
        <v>12.653999999999998</v>
      </c>
      <c r="CY252" s="2037">
        <v>12.653999999999998</v>
      </c>
      <c r="CZ252" s="2037">
        <v>12.653999999999998</v>
      </c>
      <c r="DA252" s="2037">
        <v>12.653999999999998</v>
      </c>
      <c r="DJ252" s="1976">
        <v>12.653999999999998</v>
      </c>
      <c r="DK252" s="1973">
        <v>12.653999999999998</v>
      </c>
      <c r="DL252" s="1973">
        <v>12.653999999999998</v>
      </c>
      <c r="DM252" s="1973">
        <v>12.653999999999998</v>
      </c>
      <c r="DO252" s="1974">
        <v>15</v>
      </c>
      <c r="DP252" s="2028">
        <v>200.41184088167685</v>
      </c>
      <c r="DQ252" s="1974">
        <v>4.0940884781300826E-2</v>
      </c>
      <c r="DR252" s="2028">
        <v>-3.3979249924155255</v>
      </c>
      <c r="DS252" s="2124">
        <v>12.653999999999998</v>
      </c>
      <c r="DT252" s="2029">
        <v>12.653999999999998</v>
      </c>
      <c r="DU252" s="2029">
        <v>12.653999999999998</v>
      </c>
      <c r="DV252" s="2029">
        <v>12.653999999999998</v>
      </c>
      <c r="DW252" s="2124">
        <v>0</v>
      </c>
      <c r="DX252" s="2029">
        <v>0</v>
      </c>
      <c r="DY252" s="2029">
        <v>0</v>
      </c>
      <c r="DZ252" s="2029">
        <v>0</v>
      </c>
      <c r="EA252" s="2124">
        <v>57.5</v>
      </c>
      <c r="EB252" s="2029">
        <v>57.5</v>
      </c>
      <c r="EC252" s="2029">
        <v>57.5</v>
      </c>
      <c r="ED252" s="2029">
        <v>57.5</v>
      </c>
      <c r="EE252" s="2039">
        <f t="shared" si="107"/>
        <v>0</v>
      </c>
      <c r="EF252" s="2039">
        <f t="shared" si="107"/>
        <v>0</v>
      </c>
      <c r="EG252" s="2039">
        <f t="shared" si="107"/>
        <v>0</v>
      </c>
      <c r="EH252" s="2039">
        <f t="shared" si="107"/>
        <v>0</v>
      </c>
      <c r="EI252" s="2040">
        <f t="shared" si="140"/>
        <v>0</v>
      </c>
      <c r="EJ252" s="2040">
        <f t="shared" si="140"/>
        <v>0</v>
      </c>
      <c r="EK252" s="2040">
        <f t="shared" si="140"/>
        <v>0</v>
      </c>
      <c r="EL252" s="2040">
        <f t="shared" si="140"/>
        <v>0</v>
      </c>
      <c r="EM252" s="2040">
        <f t="shared" si="140"/>
        <v>0</v>
      </c>
      <c r="EN252" s="2040">
        <f t="shared" si="140"/>
        <v>0</v>
      </c>
      <c r="EO252" s="2040">
        <f t="shared" si="140"/>
        <v>0</v>
      </c>
      <c r="EP252" s="2040">
        <f t="shared" si="140"/>
        <v>0</v>
      </c>
      <c r="EQ252" s="2040">
        <f t="shared" si="140"/>
        <v>0</v>
      </c>
      <c r="ER252" s="2040">
        <f t="shared" si="137"/>
        <v>0</v>
      </c>
      <c r="ES252" s="2040">
        <f t="shared" si="137"/>
        <v>0</v>
      </c>
      <c r="ET252" s="2040">
        <f t="shared" si="137"/>
        <v>0</v>
      </c>
      <c r="EU252" s="2039">
        <f t="shared" si="108"/>
        <v>0</v>
      </c>
      <c r="EV252" s="2039">
        <f t="shared" si="109"/>
        <v>0</v>
      </c>
    </row>
    <row r="253" spans="1:152" x14ac:dyDescent="0.25">
      <c r="A253" s="2126" t="s">
        <v>85</v>
      </c>
      <c r="B253" s="2093" t="str">
        <f t="shared" si="146"/>
        <v xml:space="preserve">BPL41 </v>
      </c>
      <c r="C253" s="1974">
        <f t="shared" si="147"/>
        <v>15</v>
      </c>
      <c r="D253" s="2028">
        <v>202.4074954716248</v>
      </c>
      <c r="E253" s="1974">
        <v>4.0415393917925049E-2</v>
      </c>
      <c r="F253" s="2127">
        <v>-3.2860315522710426</v>
      </c>
      <c r="G253" s="1974" t="s">
        <v>2997</v>
      </c>
      <c r="H253" s="1974" t="s">
        <v>2997</v>
      </c>
      <c r="I253" s="2026">
        <v>0.96199999999999997</v>
      </c>
      <c r="J253" s="2026">
        <v>0.96199999999999997</v>
      </c>
      <c r="K253" s="2026">
        <v>0.96199999999999997</v>
      </c>
      <c r="L253" s="2026">
        <v>0.96199999999999997</v>
      </c>
      <c r="M253" s="2027">
        <f t="shared" si="158"/>
        <v>194.71601064370304</v>
      </c>
      <c r="N253" s="2027">
        <f t="shared" si="158"/>
        <v>194.71601064370304</v>
      </c>
      <c r="O253" s="2027">
        <f t="shared" si="158"/>
        <v>194.71601064370304</v>
      </c>
      <c r="P253" s="2027">
        <f t="shared" si="158"/>
        <v>194.71601064370304</v>
      </c>
      <c r="Q253" s="2026">
        <v>0.96199999999999997</v>
      </c>
      <c r="R253" s="2026">
        <v>0.96199999999999997</v>
      </c>
      <c r="S253" s="2026">
        <v>0.96199999999999997</v>
      </c>
      <c r="T253" s="2026">
        <v>0.96199999999999997</v>
      </c>
      <c r="U253" s="2028">
        <f t="shared" si="159"/>
        <v>3.8879608949043895E-2</v>
      </c>
      <c r="V253" s="2028">
        <f t="shared" si="159"/>
        <v>3.8879608949043895E-2</v>
      </c>
      <c r="W253" s="2028">
        <f t="shared" si="159"/>
        <v>3.8879608949043895E-2</v>
      </c>
      <c r="X253" s="2028">
        <f t="shared" si="159"/>
        <v>3.8879608949043895E-2</v>
      </c>
      <c r="Y253" s="2026">
        <v>0.96199999999999997</v>
      </c>
      <c r="Z253" s="2026">
        <v>0.96199999999999997</v>
      </c>
      <c r="AA253" s="2026">
        <v>0.96199999999999997</v>
      </c>
      <c r="AB253" s="2026">
        <v>0.96199999999999997</v>
      </c>
      <c r="AC253" s="2027">
        <f t="shared" si="160"/>
        <v>-3.1611623532847428</v>
      </c>
      <c r="AD253" s="2027">
        <f t="shared" si="160"/>
        <v>-3.1611623532847428</v>
      </c>
      <c r="AE253" s="2027">
        <f t="shared" si="160"/>
        <v>-3.1611623532847428</v>
      </c>
      <c r="AF253" s="2027">
        <f t="shared" si="160"/>
        <v>-3.1611623532847428</v>
      </c>
      <c r="AG253" s="2027">
        <v>192</v>
      </c>
      <c r="AH253" s="2027">
        <v>0</v>
      </c>
      <c r="AI253" s="2027">
        <v>0</v>
      </c>
      <c r="AJ253" s="2027">
        <v>0</v>
      </c>
      <c r="AK253" s="2027">
        <f t="shared" si="148"/>
        <v>37385.474043590984</v>
      </c>
      <c r="AL253" s="2027">
        <f t="shared" si="149"/>
        <v>0</v>
      </c>
      <c r="AM253" s="2027">
        <f t="shared" si="149"/>
        <v>0</v>
      </c>
      <c r="AN253" s="2027">
        <f t="shared" si="149"/>
        <v>0</v>
      </c>
      <c r="AO253" s="2027">
        <f t="shared" si="161"/>
        <v>-606.94317183067062</v>
      </c>
      <c r="AP253" s="2027">
        <f t="shared" si="150"/>
        <v>0</v>
      </c>
      <c r="AQ253" s="2027">
        <f t="shared" si="150"/>
        <v>0</v>
      </c>
      <c r="AR253" s="2027">
        <f t="shared" si="150"/>
        <v>0</v>
      </c>
      <c r="AS253" s="2124">
        <f t="shared" si="162"/>
        <v>16.427399999999999</v>
      </c>
      <c r="AT253" s="2029">
        <f t="shared" si="151"/>
        <v>16.427399999999999</v>
      </c>
      <c r="AU253" s="2029">
        <f t="shared" si="151"/>
        <v>16.427399999999999</v>
      </c>
      <c r="AV253" s="2029">
        <f t="shared" si="151"/>
        <v>16.427399999999999</v>
      </c>
      <c r="AW253" s="2124">
        <f t="shared" si="152"/>
        <v>0</v>
      </c>
      <c r="AX253" s="2029">
        <f t="shared" si="153"/>
        <v>0</v>
      </c>
      <c r="AY253" s="2029">
        <f t="shared" si="153"/>
        <v>0</v>
      </c>
      <c r="AZ253" s="2029">
        <f t="shared" si="153"/>
        <v>0</v>
      </c>
      <c r="BA253" s="2124">
        <f t="shared" si="154"/>
        <v>57.5</v>
      </c>
      <c r="BB253" s="2029">
        <f t="shared" si="154"/>
        <v>57.5</v>
      </c>
      <c r="BC253" s="2029">
        <f t="shared" si="154"/>
        <v>57.5</v>
      </c>
      <c r="BD253" s="2029">
        <f t="shared" si="154"/>
        <v>57.5</v>
      </c>
      <c r="BE253" s="2030">
        <f t="shared" si="155"/>
        <v>3154.0607999999997</v>
      </c>
      <c r="BF253" s="2030">
        <f t="shared" si="155"/>
        <v>0</v>
      </c>
      <c r="BG253" s="2030">
        <f t="shared" si="155"/>
        <v>0</v>
      </c>
      <c r="BH253" s="2030">
        <f t="shared" si="155"/>
        <v>0</v>
      </c>
      <c r="BI253" s="2030">
        <f t="shared" si="156"/>
        <v>0</v>
      </c>
      <c r="BJ253" s="2030">
        <f t="shared" si="156"/>
        <v>0</v>
      </c>
      <c r="BK253" s="2030">
        <f t="shared" si="156"/>
        <v>0</v>
      </c>
      <c r="BL253" s="2030">
        <f t="shared" si="156"/>
        <v>0</v>
      </c>
      <c r="BM253" s="2125"/>
      <c r="BN253" s="2125"/>
      <c r="BO253" s="2125"/>
      <c r="BP253" s="2125"/>
      <c r="BQ253" s="2125"/>
      <c r="BR253" s="2125"/>
      <c r="BS253" s="2125"/>
      <c r="BT253" s="2125"/>
      <c r="BU253" s="2029"/>
      <c r="BV253" s="2029"/>
      <c r="BW253" s="2029"/>
      <c r="BX253" s="2029"/>
      <c r="BY253" s="2029"/>
      <c r="BZ253" s="2032"/>
      <c r="CA253" s="1974">
        <f t="shared" si="163"/>
        <v>0</v>
      </c>
      <c r="CB253" s="1974">
        <f t="shared" si="163"/>
        <v>0</v>
      </c>
      <c r="CC253" s="1974">
        <f t="shared" si="163"/>
        <v>0</v>
      </c>
      <c r="CD253" s="1974">
        <f t="shared" si="163"/>
        <v>0</v>
      </c>
      <c r="CE253" s="1974">
        <f t="shared" si="163"/>
        <v>1</v>
      </c>
      <c r="CF253" s="2033">
        <v>1.5628387285616919E-4</v>
      </c>
      <c r="CG253" s="2026">
        <v>-2.2643861940362448E-4</v>
      </c>
      <c r="CH253" s="2009">
        <f t="shared" si="163"/>
        <v>1</v>
      </c>
      <c r="CI253" s="2031">
        <f t="shared" si="163"/>
        <v>0.67827777777777754</v>
      </c>
      <c r="CJ253" s="1974">
        <f t="shared" si="163"/>
        <v>0</v>
      </c>
      <c r="CK253" s="2031">
        <f t="shared" si="163"/>
        <v>-0.67827777777777754</v>
      </c>
      <c r="CL253" s="2026">
        <v>1</v>
      </c>
      <c r="CM253" s="2026">
        <v>0.31805100441658357</v>
      </c>
      <c r="CN253" s="2026">
        <v>0.31805100441658357</v>
      </c>
      <c r="CO253" s="2026">
        <v>0.31805100441658357</v>
      </c>
      <c r="CP253" s="2035"/>
      <c r="CQ253" s="2036"/>
      <c r="CR253" s="2036"/>
      <c r="CS253" s="2036"/>
      <c r="CT253" s="2036"/>
      <c r="CU253" s="2036"/>
      <c r="CW253" s="1973">
        <v>0</v>
      </c>
      <c r="CX253" s="2037">
        <v>16.427399999999999</v>
      </c>
      <c r="CY253" s="2037">
        <v>16.427399999999999</v>
      </c>
      <c r="CZ253" s="2037">
        <v>16.427399999999999</v>
      </c>
      <c r="DA253" s="2037">
        <v>16.427399999999999</v>
      </c>
      <c r="DJ253" s="1976">
        <v>16.427399999999999</v>
      </c>
      <c r="DK253" s="1973">
        <v>16.427399999999999</v>
      </c>
      <c r="DL253" s="1973">
        <v>16.427399999999999</v>
      </c>
      <c r="DM253" s="1973">
        <v>16.427399999999999</v>
      </c>
      <c r="DO253" s="1974">
        <v>15</v>
      </c>
      <c r="DP253" s="2028">
        <v>202.4074954716248</v>
      </c>
      <c r="DQ253" s="1974">
        <v>4.0415393917925049E-2</v>
      </c>
      <c r="DR253" s="2028">
        <v>-3.2860315522710426</v>
      </c>
      <c r="DS253" s="2124">
        <v>16.427399999999999</v>
      </c>
      <c r="DT253" s="2029">
        <v>16.427399999999999</v>
      </c>
      <c r="DU253" s="2029">
        <v>16.427399999999999</v>
      </c>
      <c r="DV253" s="2029">
        <v>16.427399999999999</v>
      </c>
      <c r="DW253" s="2124">
        <v>0</v>
      </c>
      <c r="DX253" s="2029">
        <v>0</v>
      </c>
      <c r="DY253" s="2029">
        <v>0</v>
      </c>
      <c r="DZ253" s="2029">
        <v>0</v>
      </c>
      <c r="EA253" s="2124">
        <v>57.5</v>
      </c>
      <c r="EB253" s="2029">
        <v>57.5</v>
      </c>
      <c r="EC253" s="2029">
        <v>57.5</v>
      </c>
      <c r="ED253" s="2029">
        <v>57.5</v>
      </c>
      <c r="EE253" s="2039">
        <f t="shared" si="107"/>
        <v>0</v>
      </c>
      <c r="EF253" s="2039">
        <f t="shared" si="107"/>
        <v>0</v>
      </c>
      <c r="EG253" s="2039">
        <f t="shared" si="107"/>
        <v>0</v>
      </c>
      <c r="EH253" s="2039">
        <f t="shared" si="107"/>
        <v>0</v>
      </c>
      <c r="EI253" s="2040">
        <f t="shared" si="140"/>
        <v>0</v>
      </c>
      <c r="EJ253" s="2040">
        <f t="shared" si="140"/>
        <v>0</v>
      </c>
      <c r="EK253" s="2040">
        <f t="shared" si="140"/>
        <v>0</v>
      </c>
      <c r="EL253" s="2040">
        <f t="shared" si="140"/>
        <v>0</v>
      </c>
      <c r="EM253" s="2040">
        <f t="shared" si="140"/>
        <v>0</v>
      </c>
      <c r="EN253" s="2040">
        <f t="shared" si="140"/>
        <v>0</v>
      </c>
      <c r="EO253" s="2040">
        <f t="shared" si="140"/>
        <v>0</v>
      </c>
      <c r="EP253" s="2040">
        <f t="shared" si="140"/>
        <v>0</v>
      </c>
      <c r="EQ253" s="2040">
        <f t="shared" si="140"/>
        <v>0</v>
      </c>
      <c r="ER253" s="2040">
        <f t="shared" si="137"/>
        <v>0</v>
      </c>
      <c r="ES253" s="2040">
        <f t="shared" si="137"/>
        <v>0</v>
      </c>
      <c r="ET253" s="2040">
        <f t="shared" si="137"/>
        <v>0</v>
      </c>
      <c r="EU253" s="2039">
        <f t="shared" si="108"/>
        <v>0</v>
      </c>
      <c r="EV253" s="2039">
        <f t="shared" si="109"/>
        <v>0</v>
      </c>
    </row>
    <row r="254" spans="1:152" x14ac:dyDescent="0.25">
      <c r="A254" s="2126" t="s">
        <v>86</v>
      </c>
      <c r="B254" s="2093" t="str">
        <f t="shared" si="146"/>
        <v xml:space="preserve">BPL42 </v>
      </c>
      <c r="C254" s="1974">
        <f t="shared" si="147"/>
        <v>15</v>
      </c>
      <c r="D254" s="2028">
        <v>287.78170564837035</v>
      </c>
      <c r="E254" s="1974">
        <v>4.6099624269089284E-2</v>
      </c>
      <c r="F254" s="2127">
        <v>-2.8886794006649192</v>
      </c>
      <c r="G254" s="1974" t="s">
        <v>2997</v>
      </c>
      <c r="H254" s="1974" t="s">
        <v>2997</v>
      </c>
      <c r="I254" s="2026">
        <v>0.96199999999999997</v>
      </c>
      <c r="J254" s="2026">
        <v>0.96199999999999997</v>
      </c>
      <c r="K254" s="2026">
        <v>0.96199999999999997</v>
      </c>
      <c r="L254" s="2026">
        <v>0.96199999999999997</v>
      </c>
      <c r="M254" s="2027">
        <f t="shared" si="158"/>
        <v>276.84600083373226</v>
      </c>
      <c r="N254" s="2027">
        <f t="shared" si="158"/>
        <v>276.84600083373226</v>
      </c>
      <c r="O254" s="2027">
        <f t="shared" si="158"/>
        <v>276.84600083373226</v>
      </c>
      <c r="P254" s="2027">
        <f t="shared" si="158"/>
        <v>276.84600083373226</v>
      </c>
      <c r="Q254" s="2026">
        <v>0.96199999999999997</v>
      </c>
      <c r="R254" s="2026">
        <v>0.96199999999999997</v>
      </c>
      <c r="S254" s="2026">
        <v>0.96199999999999997</v>
      </c>
      <c r="T254" s="2026">
        <v>0.96199999999999997</v>
      </c>
      <c r="U254" s="2028">
        <f t="shared" si="159"/>
        <v>4.4347838546863888E-2</v>
      </c>
      <c r="V254" s="2028">
        <f t="shared" si="159"/>
        <v>4.4347838546863888E-2</v>
      </c>
      <c r="W254" s="2028">
        <f t="shared" si="159"/>
        <v>4.4347838546863888E-2</v>
      </c>
      <c r="X254" s="2028">
        <f t="shared" si="159"/>
        <v>4.4347838546863888E-2</v>
      </c>
      <c r="Y254" s="2026">
        <v>0.96199999999999997</v>
      </c>
      <c r="Z254" s="2026">
        <v>0.96199999999999997</v>
      </c>
      <c r="AA254" s="2026">
        <v>0.96199999999999997</v>
      </c>
      <c r="AB254" s="2026">
        <v>0.96199999999999997</v>
      </c>
      <c r="AC254" s="2027">
        <f t="shared" si="160"/>
        <v>-2.7789095834396522</v>
      </c>
      <c r="AD254" s="2027">
        <f t="shared" si="160"/>
        <v>-2.7789095834396522</v>
      </c>
      <c r="AE254" s="2027">
        <f t="shared" si="160"/>
        <v>-2.7789095834396522</v>
      </c>
      <c r="AF254" s="2027">
        <f t="shared" si="160"/>
        <v>-2.7789095834396522</v>
      </c>
      <c r="AG254" s="2027">
        <v>30</v>
      </c>
      <c r="AH254" s="2027">
        <v>0</v>
      </c>
      <c r="AI254" s="2027">
        <v>0</v>
      </c>
      <c r="AJ254" s="2027">
        <v>0</v>
      </c>
      <c r="AK254" s="2027">
        <f t="shared" si="148"/>
        <v>8305.3800250119675</v>
      </c>
      <c r="AL254" s="2027">
        <f t="shared" si="149"/>
        <v>0</v>
      </c>
      <c r="AM254" s="2027">
        <f t="shared" si="149"/>
        <v>0</v>
      </c>
      <c r="AN254" s="2027">
        <f t="shared" si="149"/>
        <v>0</v>
      </c>
      <c r="AO254" s="2027">
        <f t="shared" si="161"/>
        <v>-83.367287503189573</v>
      </c>
      <c r="AP254" s="2027">
        <f t="shared" si="150"/>
        <v>0</v>
      </c>
      <c r="AQ254" s="2027">
        <f t="shared" si="150"/>
        <v>0</v>
      </c>
      <c r="AR254" s="2027">
        <f t="shared" si="150"/>
        <v>0</v>
      </c>
      <c r="AS254" s="2124">
        <f t="shared" si="162"/>
        <v>20.064</v>
      </c>
      <c r="AT254" s="2029">
        <f t="shared" si="151"/>
        <v>20.064</v>
      </c>
      <c r="AU254" s="2029">
        <f t="shared" si="151"/>
        <v>20.064</v>
      </c>
      <c r="AV254" s="2029">
        <f t="shared" si="151"/>
        <v>20.064</v>
      </c>
      <c r="AW254" s="2124">
        <f t="shared" si="152"/>
        <v>0</v>
      </c>
      <c r="AX254" s="2029">
        <f t="shared" si="153"/>
        <v>0</v>
      </c>
      <c r="AY254" s="2029">
        <f t="shared" si="153"/>
        <v>0</v>
      </c>
      <c r="AZ254" s="2029">
        <f t="shared" si="153"/>
        <v>0</v>
      </c>
      <c r="BA254" s="2124">
        <f t="shared" si="154"/>
        <v>57.5</v>
      </c>
      <c r="BB254" s="2029">
        <f t="shared" si="154"/>
        <v>57.5</v>
      </c>
      <c r="BC254" s="2029">
        <f t="shared" si="154"/>
        <v>57.5</v>
      </c>
      <c r="BD254" s="2029">
        <f t="shared" si="154"/>
        <v>57.5</v>
      </c>
      <c r="BE254" s="2030">
        <f t="shared" si="155"/>
        <v>601.91999999999996</v>
      </c>
      <c r="BF254" s="2030">
        <f t="shared" si="155"/>
        <v>0</v>
      </c>
      <c r="BG254" s="2030">
        <f t="shared" si="155"/>
        <v>0</v>
      </c>
      <c r="BH254" s="2030">
        <f t="shared" si="155"/>
        <v>0</v>
      </c>
      <c r="BI254" s="2030">
        <f t="shared" si="156"/>
        <v>0</v>
      </c>
      <c r="BJ254" s="2030">
        <f t="shared" si="156"/>
        <v>0</v>
      </c>
      <c r="BK254" s="2030">
        <f t="shared" si="156"/>
        <v>0</v>
      </c>
      <c r="BL254" s="2030">
        <f t="shared" si="156"/>
        <v>0</v>
      </c>
      <c r="BM254" s="2125"/>
      <c r="BN254" s="2125"/>
      <c r="BO254" s="2125"/>
      <c r="BP254" s="2125"/>
      <c r="BQ254" s="2125"/>
      <c r="BR254" s="2125"/>
      <c r="BS254" s="2125"/>
      <c r="BT254" s="2125"/>
      <c r="BU254" s="2029"/>
      <c r="BV254" s="2029"/>
      <c r="BW254" s="2029"/>
      <c r="BX254" s="2029"/>
      <c r="BY254" s="2029"/>
      <c r="BZ254" s="2032"/>
      <c r="CA254" s="1974">
        <f t="shared" si="163"/>
        <v>0</v>
      </c>
      <c r="CB254" s="1974">
        <f t="shared" si="163"/>
        <v>0</v>
      </c>
      <c r="CC254" s="1974">
        <f t="shared" si="163"/>
        <v>0</v>
      </c>
      <c r="CD254" s="1974">
        <f t="shared" si="163"/>
        <v>0</v>
      </c>
      <c r="CE254" s="1974">
        <f t="shared" si="163"/>
        <v>1</v>
      </c>
      <c r="CF254" s="2033">
        <v>3.4719285740169824E-5</v>
      </c>
      <c r="CG254" s="2026">
        <v>-3.1102703451969772E-5</v>
      </c>
      <c r="CH254" s="2009">
        <f t="shared" si="163"/>
        <v>1</v>
      </c>
      <c r="CI254" s="2031">
        <f t="shared" si="163"/>
        <v>0.67827777777777754</v>
      </c>
      <c r="CJ254" s="1974">
        <f t="shared" si="163"/>
        <v>0</v>
      </c>
      <c r="CK254" s="2031">
        <f t="shared" si="163"/>
        <v>-0.67827777777777754</v>
      </c>
      <c r="CL254" s="2026">
        <v>1</v>
      </c>
      <c r="CM254" s="2026">
        <v>0.3</v>
      </c>
      <c r="CN254" s="2026">
        <v>0.3</v>
      </c>
      <c r="CO254" s="2026">
        <v>0.3</v>
      </c>
      <c r="CP254" s="2035"/>
      <c r="CQ254" s="2036"/>
      <c r="CR254" s="2036"/>
      <c r="CS254" s="2036"/>
      <c r="CT254" s="2036"/>
      <c r="CU254" s="2036"/>
      <c r="CW254" s="1973">
        <v>0</v>
      </c>
      <c r="CX254" s="2037">
        <v>20.064</v>
      </c>
      <c r="CY254" s="2037">
        <v>20.064</v>
      </c>
      <c r="CZ254" s="2037">
        <v>20.064</v>
      </c>
      <c r="DA254" s="2037">
        <v>20.064</v>
      </c>
      <c r="DJ254" s="1976">
        <v>20.064</v>
      </c>
      <c r="DK254" s="1973">
        <v>20.064</v>
      </c>
      <c r="DL254" s="1973">
        <v>20.064</v>
      </c>
      <c r="DM254" s="1973">
        <v>20.064</v>
      </c>
      <c r="DO254" s="1974">
        <v>15</v>
      </c>
      <c r="DP254" s="2028">
        <v>287.78170564837035</v>
      </c>
      <c r="DQ254" s="1974">
        <v>4.6099624269089284E-2</v>
      </c>
      <c r="DR254" s="2028">
        <v>-2.8886794006649192</v>
      </c>
      <c r="DS254" s="2124">
        <v>20.064</v>
      </c>
      <c r="DT254" s="2029">
        <v>20.064</v>
      </c>
      <c r="DU254" s="2029">
        <v>20.064</v>
      </c>
      <c r="DV254" s="2029">
        <v>20.064</v>
      </c>
      <c r="DW254" s="2124">
        <v>0</v>
      </c>
      <c r="DX254" s="2029">
        <v>0</v>
      </c>
      <c r="DY254" s="2029">
        <v>0</v>
      </c>
      <c r="DZ254" s="2029">
        <v>0</v>
      </c>
      <c r="EA254" s="2124">
        <v>57.5</v>
      </c>
      <c r="EB254" s="2029">
        <v>57.5</v>
      </c>
      <c r="EC254" s="2029">
        <v>57.5</v>
      </c>
      <c r="ED254" s="2029">
        <v>57.5</v>
      </c>
      <c r="EE254" s="2039">
        <f t="shared" si="107"/>
        <v>0</v>
      </c>
      <c r="EF254" s="2039">
        <f t="shared" si="107"/>
        <v>0</v>
      </c>
      <c r="EG254" s="2039">
        <f t="shared" si="107"/>
        <v>0</v>
      </c>
      <c r="EH254" s="2039">
        <f t="shared" si="107"/>
        <v>0</v>
      </c>
      <c r="EI254" s="2040">
        <f t="shared" si="140"/>
        <v>0</v>
      </c>
      <c r="EJ254" s="2040">
        <f t="shared" si="140"/>
        <v>0</v>
      </c>
      <c r="EK254" s="2040">
        <f t="shared" si="140"/>
        <v>0</v>
      </c>
      <c r="EL254" s="2040">
        <f t="shared" si="140"/>
        <v>0</v>
      </c>
      <c r="EM254" s="2040">
        <f t="shared" si="140"/>
        <v>0</v>
      </c>
      <c r="EN254" s="2040">
        <f t="shared" si="140"/>
        <v>0</v>
      </c>
      <c r="EO254" s="2040">
        <f t="shared" si="140"/>
        <v>0</v>
      </c>
      <c r="EP254" s="2040">
        <f t="shared" si="140"/>
        <v>0</v>
      </c>
      <c r="EQ254" s="2040">
        <f t="shared" si="140"/>
        <v>0</v>
      </c>
      <c r="ER254" s="2040">
        <f t="shared" si="137"/>
        <v>0</v>
      </c>
      <c r="ES254" s="2040">
        <f t="shared" si="137"/>
        <v>0</v>
      </c>
      <c r="ET254" s="2040">
        <f t="shared" si="137"/>
        <v>0</v>
      </c>
      <c r="EU254" s="2039">
        <f t="shared" si="108"/>
        <v>0</v>
      </c>
      <c r="EV254" s="2039">
        <f t="shared" si="109"/>
        <v>0</v>
      </c>
    </row>
    <row r="255" spans="1:152" x14ac:dyDescent="0.25">
      <c r="A255" s="2126" t="s">
        <v>87</v>
      </c>
      <c r="B255" s="2093" t="str">
        <f t="shared" si="146"/>
        <v xml:space="preserve">BPL44 </v>
      </c>
      <c r="C255" s="1974">
        <f t="shared" si="147"/>
        <v>15</v>
      </c>
      <c r="D255" s="2028">
        <v>69.771498302632097</v>
      </c>
      <c r="E255" s="1974">
        <v>1.3068537006053231E-2</v>
      </c>
      <c r="F255" s="2127">
        <v>-1.2747637537728052</v>
      </c>
      <c r="G255" s="1974" t="s">
        <v>2997</v>
      </c>
      <c r="H255" s="1974" t="s">
        <v>2997</v>
      </c>
      <c r="I255" s="2026">
        <v>0.96199999999999997</v>
      </c>
      <c r="J255" s="2026">
        <v>0.96199999999999997</v>
      </c>
      <c r="K255" s="2026">
        <v>0.96199999999999997</v>
      </c>
      <c r="L255" s="2026">
        <v>0.96199999999999997</v>
      </c>
      <c r="M255" s="2027">
        <f t="shared" si="158"/>
        <v>67.120181367132076</v>
      </c>
      <c r="N255" s="2027">
        <f t="shared" si="158"/>
        <v>67.120181367132076</v>
      </c>
      <c r="O255" s="2027">
        <f t="shared" si="158"/>
        <v>67.120181367132076</v>
      </c>
      <c r="P255" s="2027">
        <f t="shared" si="158"/>
        <v>67.120181367132076</v>
      </c>
      <c r="Q255" s="2026">
        <v>0.96199999999999997</v>
      </c>
      <c r="R255" s="2026">
        <v>0.96199999999999997</v>
      </c>
      <c r="S255" s="2026">
        <v>0.96199999999999997</v>
      </c>
      <c r="T255" s="2026">
        <v>0.96199999999999997</v>
      </c>
      <c r="U255" s="2028">
        <f t="shared" si="159"/>
        <v>1.2571932599823208E-2</v>
      </c>
      <c r="V255" s="2028">
        <f t="shared" si="159"/>
        <v>1.2571932599823208E-2</v>
      </c>
      <c r="W255" s="2028">
        <f t="shared" si="159"/>
        <v>1.2571932599823208E-2</v>
      </c>
      <c r="X255" s="2028">
        <f t="shared" si="159"/>
        <v>1.2571932599823208E-2</v>
      </c>
      <c r="Y255" s="2026">
        <v>0.96199999999999997</v>
      </c>
      <c r="Z255" s="2026">
        <v>0.96199999999999997</v>
      </c>
      <c r="AA255" s="2026">
        <v>0.96199999999999997</v>
      </c>
      <c r="AB255" s="2026">
        <v>0.96199999999999997</v>
      </c>
      <c r="AC255" s="2027">
        <f t="shared" si="160"/>
        <v>-1.2263227311294385</v>
      </c>
      <c r="AD255" s="2027">
        <f t="shared" si="160"/>
        <v>-1.2263227311294385</v>
      </c>
      <c r="AE255" s="2027">
        <f t="shared" si="160"/>
        <v>-1.2263227311294385</v>
      </c>
      <c r="AF255" s="2027">
        <f t="shared" si="160"/>
        <v>-1.2263227311294385</v>
      </c>
      <c r="AG255" s="2027">
        <v>170</v>
      </c>
      <c r="AH255" s="2027">
        <v>0</v>
      </c>
      <c r="AI255" s="2027">
        <v>0</v>
      </c>
      <c r="AJ255" s="2027">
        <v>0</v>
      </c>
      <c r="AK255" s="2027">
        <f t="shared" si="148"/>
        <v>11410.430832412452</v>
      </c>
      <c r="AL255" s="2027">
        <f t="shared" si="149"/>
        <v>0</v>
      </c>
      <c r="AM255" s="2027">
        <f t="shared" si="149"/>
        <v>0</v>
      </c>
      <c r="AN255" s="2027">
        <f t="shared" si="149"/>
        <v>0</v>
      </c>
      <c r="AO255" s="2027">
        <f t="shared" si="161"/>
        <v>-208.47486429200453</v>
      </c>
      <c r="AP255" s="2027">
        <f t="shared" si="150"/>
        <v>0</v>
      </c>
      <c r="AQ255" s="2027">
        <f t="shared" si="150"/>
        <v>0</v>
      </c>
      <c r="AR255" s="2027">
        <f t="shared" si="150"/>
        <v>0</v>
      </c>
      <c r="AS255" s="2124">
        <f t="shared" si="162"/>
        <v>10.123200000000001</v>
      </c>
      <c r="AT255" s="2029">
        <f t="shared" si="151"/>
        <v>10.123200000000001</v>
      </c>
      <c r="AU255" s="2029">
        <f t="shared" si="151"/>
        <v>10.123200000000001</v>
      </c>
      <c r="AV255" s="2029">
        <f t="shared" si="151"/>
        <v>10.123200000000001</v>
      </c>
      <c r="AW255" s="2124">
        <f t="shared" si="152"/>
        <v>0</v>
      </c>
      <c r="AX255" s="2029">
        <f t="shared" si="153"/>
        <v>0</v>
      </c>
      <c r="AY255" s="2029">
        <f t="shared" si="153"/>
        <v>0</v>
      </c>
      <c r="AZ255" s="2029">
        <f t="shared" si="153"/>
        <v>0</v>
      </c>
      <c r="BA255" s="2124">
        <f t="shared" si="154"/>
        <v>56.25</v>
      </c>
      <c r="BB255" s="2029">
        <f t="shared" si="154"/>
        <v>56.25</v>
      </c>
      <c r="BC255" s="2029">
        <f t="shared" si="154"/>
        <v>56.25</v>
      </c>
      <c r="BD255" s="2029">
        <f t="shared" si="154"/>
        <v>56.25</v>
      </c>
      <c r="BE255" s="2030">
        <f t="shared" si="155"/>
        <v>1720.9440000000002</v>
      </c>
      <c r="BF255" s="2030">
        <f t="shared" si="155"/>
        <v>0</v>
      </c>
      <c r="BG255" s="2030">
        <f t="shared" si="155"/>
        <v>0</v>
      </c>
      <c r="BH255" s="2030">
        <f t="shared" si="155"/>
        <v>0</v>
      </c>
      <c r="BI255" s="2030">
        <f t="shared" si="156"/>
        <v>0</v>
      </c>
      <c r="BJ255" s="2030">
        <f t="shared" si="156"/>
        <v>0</v>
      </c>
      <c r="BK255" s="2030">
        <f t="shared" si="156"/>
        <v>0</v>
      </c>
      <c r="BL255" s="2030">
        <f t="shared" si="156"/>
        <v>0</v>
      </c>
      <c r="BM255" s="2125"/>
      <c r="BN255" s="2125"/>
      <c r="BO255" s="2125"/>
      <c r="BP255" s="2125"/>
      <c r="BQ255" s="2125"/>
      <c r="BR255" s="2125"/>
      <c r="BS255" s="2125"/>
      <c r="BT255" s="2125"/>
      <c r="BU255" s="2029"/>
      <c r="BV255" s="2029"/>
      <c r="BW255" s="2029"/>
      <c r="BX255" s="2029"/>
      <c r="BY255" s="2029"/>
      <c r="BZ255" s="2032"/>
      <c r="CA255" s="1974">
        <f t="shared" si="163"/>
        <v>0</v>
      </c>
      <c r="CB255" s="1974">
        <f t="shared" si="163"/>
        <v>0</v>
      </c>
      <c r="CC255" s="1974">
        <f t="shared" si="163"/>
        <v>0</v>
      </c>
      <c r="CD255" s="1974">
        <f t="shared" si="163"/>
        <v>0</v>
      </c>
      <c r="CE255" s="1974">
        <f t="shared" si="163"/>
        <v>0</v>
      </c>
      <c r="CF255" s="2033">
        <v>4.769944389009471E-5</v>
      </c>
      <c r="CG255" s="2026">
        <v>-7.7777891970106145E-5</v>
      </c>
      <c r="CH255" s="2009">
        <f t="shared" si="163"/>
        <v>1</v>
      </c>
      <c r="CI255" s="2031">
        <f t="shared" si="163"/>
        <v>-1.1477222222222219</v>
      </c>
      <c r="CJ255" s="1974">
        <f t="shared" si="163"/>
        <v>0</v>
      </c>
      <c r="CK255" s="2031">
        <f t="shared" si="163"/>
        <v>1.1477222222222219</v>
      </c>
      <c r="CL255" s="2026">
        <v>1</v>
      </c>
      <c r="CM255" s="2026">
        <v>1</v>
      </c>
      <c r="CN255" s="2026">
        <v>1</v>
      </c>
      <c r="CO255" s="2026">
        <v>1</v>
      </c>
      <c r="CP255" s="2035"/>
      <c r="CQ255" s="2036"/>
      <c r="CR255" s="2036"/>
      <c r="CS255" s="2036"/>
      <c r="CT255" s="2036"/>
      <c r="CU255" s="2036"/>
      <c r="CW255" s="1973">
        <v>0</v>
      </c>
      <c r="CX255" s="2037">
        <v>10.123200000000001</v>
      </c>
      <c r="CY255" s="2037">
        <v>10.123200000000001</v>
      </c>
      <c r="CZ255" s="2037">
        <v>10.123200000000001</v>
      </c>
      <c r="DA255" s="2037">
        <v>10.123200000000001</v>
      </c>
      <c r="DJ255" s="1976">
        <v>10.123200000000001</v>
      </c>
      <c r="DK255" s="1973">
        <v>10.123200000000001</v>
      </c>
      <c r="DL255" s="1973">
        <v>10.123200000000001</v>
      </c>
      <c r="DM255" s="1973">
        <v>10.123200000000001</v>
      </c>
      <c r="DO255" s="1974">
        <v>15</v>
      </c>
      <c r="DP255" s="2028">
        <v>69.771498302632097</v>
      </c>
      <c r="DQ255" s="1974">
        <v>1.3068537006053231E-2</v>
      </c>
      <c r="DR255" s="2028">
        <v>-1.2747637537728052</v>
      </c>
      <c r="DS255" s="2124">
        <v>10.123200000000001</v>
      </c>
      <c r="DT255" s="2029">
        <v>10.123200000000001</v>
      </c>
      <c r="DU255" s="2029">
        <v>10.123200000000001</v>
      </c>
      <c r="DV255" s="2029">
        <v>10.123200000000001</v>
      </c>
      <c r="DW255" s="2124">
        <v>0</v>
      </c>
      <c r="DX255" s="2029">
        <v>0</v>
      </c>
      <c r="DY255" s="2029">
        <v>0</v>
      </c>
      <c r="DZ255" s="2029">
        <v>0</v>
      </c>
      <c r="EA255" s="2124">
        <v>56.25</v>
      </c>
      <c r="EB255" s="2029">
        <v>56.25</v>
      </c>
      <c r="EC255" s="2029">
        <v>56.25</v>
      </c>
      <c r="ED255" s="2029">
        <v>56.25</v>
      </c>
      <c r="EE255" s="2039">
        <f t="shared" si="107"/>
        <v>0</v>
      </c>
      <c r="EF255" s="2039">
        <f t="shared" si="107"/>
        <v>0</v>
      </c>
      <c r="EG255" s="2039">
        <f t="shared" si="107"/>
        <v>0</v>
      </c>
      <c r="EH255" s="2039">
        <f t="shared" si="107"/>
        <v>0</v>
      </c>
      <c r="EI255" s="2040">
        <f t="shared" si="140"/>
        <v>0</v>
      </c>
      <c r="EJ255" s="2040">
        <f t="shared" si="140"/>
        <v>0</v>
      </c>
      <c r="EK255" s="2040">
        <f t="shared" si="140"/>
        <v>0</v>
      </c>
      <c r="EL255" s="2040">
        <f t="shared" ref="EL255:ET294" si="164">AV255-DV255</f>
        <v>0</v>
      </c>
      <c r="EM255" s="2040">
        <f t="shared" si="164"/>
        <v>0</v>
      </c>
      <c r="EN255" s="2040">
        <f t="shared" si="164"/>
        <v>0</v>
      </c>
      <c r="EO255" s="2040">
        <f t="shared" si="164"/>
        <v>0</v>
      </c>
      <c r="EP255" s="2040">
        <f t="shared" si="164"/>
        <v>0</v>
      </c>
      <c r="EQ255" s="2040">
        <f t="shared" si="164"/>
        <v>0</v>
      </c>
      <c r="ER255" s="2040">
        <f t="shared" si="137"/>
        <v>0</v>
      </c>
      <c r="ES255" s="2040">
        <f t="shared" si="137"/>
        <v>0</v>
      </c>
      <c r="ET255" s="2040">
        <f t="shared" si="137"/>
        <v>0</v>
      </c>
      <c r="EU255" s="2039">
        <f t="shared" si="108"/>
        <v>0</v>
      </c>
      <c r="EV255" s="2039">
        <f t="shared" si="109"/>
        <v>0</v>
      </c>
    </row>
    <row r="256" spans="1:152" x14ac:dyDescent="0.25">
      <c r="A256" s="2126" t="s">
        <v>88</v>
      </c>
      <c r="B256" s="2093" t="str">
        <f t="shared" si="146"/>
        <v xml:space="preserve">BPL66 </v>
      </c>
      <c r="C256" s="1974">
        <f t="shared" si="147"/>
        <v>15</v>
      </c>
      <c r="D256" s="2028">
        <v>221.78124098712928</v>
      </c>
      <c r="E256" s="1974">
        <v>4.1838779030469044E-2</v>
      </c>
      <c r="F256" s="2127">
        <v>-2.8002599595061124</v>
      </c>
      <c r="G256" s="1974" t="s">
        <v>2997</v>
      </c>
      <c r="H256" s="1974" t="s">
        <v>2997</v>
      </c>
      <c r="I256" s="2026">
        <v>0.96199999999999997</v>
      </c>
      <c r="J256" s="2026">
        <v>0.96199999999999997</v>
      </c>
      <c r="K256" s="2026">
        <v>0.96199999999999997</v>
      </c>
      <c r="L256" s="2026">
        <v>0.96199999999999997</v>
      </c>
      <c r="M256" s="2027">
        <f t="shared" si="158"/>
        <v>213.35355382961836</v>
      </c>
      <c r="N256" s="2027">
        <f t="shared" si="158"/>
        <v>213.35355382961836</v>
      </c>
      <c r="O256" s="2027">
        <f t="shared" si="158"/>
        <v>213.35355382961836</v>
      </c>
      <c r="P256" s="2027">
        <f t="shared" si="158"/>
        <v>213.35355382961836</v>
      </c>
      <c r="Q256" s="2026">
        <v>0.96199999999999997</v>
      </c>
      <c r="R256" s="2026">
        <v>0.96199999999999997</v>
      </c>
      <c r="S256" s="2026">
        <v>0.96199999999999997</v>
      </c>
      <c r="T256" s="2026">
        <v>0.96199999999999997</v>
      </c>
      <c r="U256" s="2028">
        <f t="shared" si="159"/>
        <v>4.0248905427311216E-2</v>
      </c>
      <c r="V256" s="2028">
        <f t="shared" si="159"/>
        <v>4.0248905427311216E-2</v>
      </c>
      <c r="W256" s="2028">
        <f t="shared" si="159"/>
        <v>4.0248905427311216E-2</v>
      </c>
      <c r="X256" s="2028">
        <f t="shared" si="159"/>
        <v>4.0248905427311216E-2</v>
      </c>
      <c r="Y256" s="2026">
        <v>0.96199999999999997</v>
      </c>
      <c r="Z256" s="2026">
        <v>0.96199999999999997</v>
      </c>
      <c r="AA256" s="2026">
        <v>0.96199999999999997</v>
      </c>
      <c r="AB256" s="2026">
        <v>0.96199999999999997</v>
      </c>
      <c r="AC256" s="2027">
        <f t="shared" si="160"/>
        <v>-2.69385008104488</v>
      </c>
      <c r="AD256" s="2027">
        <f t="shared" si="160"/>
        <v>-2.69385008104488</v>
      </c>
      <c r="AE256" s="2027">
        <f t="shared" si="160"/>
        <v>-2.69385008104488</v>
      </c>
      <c r="AF256" s="2027">
        <f t="shared" si="160"/>
        <v>-2.69385008104488</v>
      </c>
      <c r="AG256" s="2027">
        <v>4</v>
      </c>
      <c r="AH256" s="2027">
        <v>0</v>
      </c>
      <c r="AI256" s="2027">
        <v>0</v>
      </c>
      <c r="AJ256" s="2027">
        <v>0</v>
      </c>
      <c r="AK256" s="2027">
        <f t="shared" si="148"/>
        <v>853.41421531847345</v>
      </c>
      <c r="AL256" s="2027">
        <f t="shared" si="149"/>
        <v>0</v>
      </c>
      <c r="AM256" s="2027">
        <f t="shared" si="149"/>
        <v>0</v>
      </c>
      <c r="AN256" s="2027">
        <f t="shared" si="149"/>
        <v>0</v>
      </c>
      <c r="AO256" s="2027">
        <f t="shared" si="161"/>
        <v>-10.77540032417952</v>
      </c>
      <c r="AP256" s="2027">
        <f t="shared" si="150"/>
        <v>0</v>
      </c>
      <c r="AQ256" s="2027">
        <f t="shared" si="150"/>
        <v>0</v>
      </c>
      <c r="AR256" s="2027">
        <f t="shared" si="150"/>
        <v>0</v>
      </c>
      <c r="AS256" s="2124">
        <f t="shared" si="162"/>
        <v>2.1374999999999993</v>
      </c>
      <c r="AT256" s="2029">
        <f t="shared" si="151"/>
        <v>2.1374999999999993</v>
      </c>
      <c r="AU256" s="2029">
        <f t="shared" si="151"/>
        <v>2.1374999999999993</v>
      </c>
      <c r="AV256" s="2029">
        <f t="shared" si="151"/>
        <v>2.1374999999999993</v>
      </c>
      <c r="AW256" s="2124">
        <f t="shared" si="152"/>
        <v>0</v>
      </c>
      <c r="AX256" s="2029">
        <f t="shared" si="153"/>
        <v>0</v>
      </c>
      <c r="AY256" s="2029">
        <f t="shared" si="153"/>
        <v>0</v>
      </c>
      <c r="AZ256" s="2029">
        <f t="shared" si="153"/>
        <v>0</v>
      </c>
      <c r="BA256" s="2124">
        <f t="shared" si="154"/>
        <v>57.5</v>
      </c>
      <c r="BB256" s="2029">
        <f t="shared" si="154"/>
        <v>57.5</v>
      </c>
      <c r="BC256" s="2029">
        <f t="shared" si="154"/>
        <v>57.5</v>
      </c>
      <c r="BD256" s="2029">
        <f t="shared" si="154"/>
        <v>57.5</v>
      </c>
      <c r="BE256" s="2030">
        <f t="shared" si="155"/>
        <v>8.5499999999999972</v>
      </c>
      <c r="BF256" s="2030">
        <f t="shared" si="155"/>
        <v>0</v>
      </c>
      <c r="BG256" s="2030">
        <f t="shared" si="155"/>
        <v>0</v>
      </c>
      <c r="BH256" s="2030">
        <f t="shared" si="155"/>
        <v>0</v>
      </c>
      <c r="BI256" s="2030">
        <f t="shared" si="156"/>
        <v>0</v>
      </c>
      <c r="BJ256" s="2030">
        <f t="shared" si="156"/>
        <v>0</v>
      </c>
      <c r="BK256" s="2030">
        <f t="shared" si="156"/>
        <v>0</v>
      </c>
      <c r="BL256" s="2030">
        <f t="shared" si="156"/>
        <v>0</v>
      </c>
      <c r="BM256" s="2125"/>
      <c r="BN256" s="2125"/>
      <c r="BO256" s="2125"/>
      <c r="BP256" s="2125"/>
      <c r="BQ256" s="2125"/>
      <c r="BR256" s="2125"/>
      <c r="BS256" s="2125"/>
      <c r="BT256" s="2125"/>
      <c r="BU256" s="2029"/>
      <c r="BV256" s="2029"/>
      <c r="BW256" s="2029"/>
      <c r="BX256" s="2029"/>
      <c r="BY256" s="2029"/>
      <c r="BZ256" s="2032"/>
      <c r="CA256" s="1974">
        <f t="shared" si="163"/>
        <v>0</v>
      </c>
      <c r="CB256" s="1974">
        <f t="shared" si="163"/>
        <v>0</v>
      </c>
      <c r="CC256" s="1974">
        <f t="shared" si="163"/>
        <v>0</v>
      </c>
      <c r="CD256" s="1974">
        <f t="shared" si="163"/>
        <v>0</v>
      </c>
      <c r="CE256" s="1974">
        <f t="shared" si="163"/>
        <v>1</v>
      </c>
      <c r="CF256" s="2033">
        <v>3.5675588482565792E-6</v>
      </c>
      <c r="CG256" s="2026">
        <v>-4.0200909840852405E-6</v>
      </c>
      <c r="CH256" s="2009">
        <f t="shared" si="163"/>
        <v>1</v>
      </c>
      <c r="CI256" s="2031">
        <f t="shared" si="163"/>
        <v>0.67827777777777754</v>
      </c>
      <c r="CJ256" s="1974">
        <f t="shared" si="163"/>
        <v>0</v>
      </c>
      <c r="CK256" s="2031">
        <f t="shared" si="163"/>
        <v>-0.67827777777777754</v>
      </c>
      <c r="CL256" s="2026">
        <v>1</v>
      </c>
      <c r="CM256" s="2026">
        <v>0.45</v>
      </c>
      <c r="CN256" s="2026">
        <v>0.45</v>
      </c>
      <c r="CO256" s="2026">
        <v>0.45</v>
      </c>
      <c r="CP256" s="2035"/>
      <c r="CQ256" s="2036"/>
      <c r="CR256" s="2036"/>
      <c r="CS256" s="2036"/>
      <c r="CT256" s="2036"/>
      <c r="CU256" s="2036"/>
      <c r="CW256" s="1973">
        <v>0</v>
      </c>
      <c r="CX256" s="2037">
        <v>2.1374999999999993</v>
      </c>
      <c r="CY256" s="2037">
        <v>2.1374999999999993</v>
      </c>
      <c r="CZ256" s="2037">
        <v>2.1374999999999993</v>
      </c>
      <c r="DA256" s="2037">
        <v>2.1374999999999993</v>
      </c>
      <c r="DJ256" s="1976">
        <v>2.1374999999999993</v>
      </c>
      <c r="DK256" s="1973">
        <v>2.1374999999999993</v>
      </c>
      <c r="DL256" s="1973">
        <v>2.1374999999999993</v>
      </c>
      <c r="DM256" s="1973">
        <v>2.1374999999999993</v>
      </c>
      <c r="DO256" s="1974">
        <v>15</v>
      </c>
      <c r="DP256" s="2028">
        <v>221.78124098712928</v>
      </c>
      <c r="DQ256" s="1974">
        <v>4.1838779030469044E-2</v>
      </c>
      <c r="DR256" s="2028">
        <v>-2.8002599595061124</v>
      </c>
      <c r="DS256" s="2124">
        <v>2.1374999999999993</v>
      </c>
      <c r="DT256" s="2029">
        <v>2.1374999999999993</v>
      </c>
      <c r="DU256" s="2029">
        <v>2.1374999999999993</v>
      </c>
      <c r="DV256" s="2029">
        <v>2.1374999999999993</v>
      </c>
      <c r="DW256" s="2124">
        <v>0</v>
      </c>
      <c r="DX256" s="2029">
        <v>0</v>
      </c>
      <c r="DY256" s="2029">
        <v>0</v>
      </c>
      <c r="DZ256" s="2029">
        <v>0</v>
      </c>
      <c r="EA256" s="2124">
        <v>57.5</v>
      </c>
      <c r="EB256" s="2029">
        <v>57.5</v>
      </c>
      <c r="EC256" s="2029">
        <v>57.5</v>
      </c>
      <c r="ED256" s="2029">
        <v>57.5</v>
      </c>
      <c r="EE256" s="2039">
        <f t="shared" si="107"/>
        <v>0</v>
      </c>
      <c r="EF256" s="2039">
        <f t="shared" si="107"/>
        <v>0</v>
      </c>
      <c r="EG256" s="2039">
        <f t="shared" si="107"/>
        <v>0</v>
      </c>
      <c r="EH256" s="2039">
        <f t="shared" si="107"/>
        <v>0</v>
      </c>
      <c r="EI256" s="2040">
        <f t="shared" ref="EI256:EQ310" si="165">AS256-DS256</f>
        <v>0</v>
      </c>
      <c r="EJ256" s="2040">
        <f t="shared" si="165"/>
        <v>0</v>
      </c>
      <c r="EK256" s="2040">
        <f t="shared" si="165"/>
        <v>0</v>
      </c>
      <c r="EL256" s="2040">
        <f t="shared" si="164"/>
        <v>0</v>
      </c>
      <c r="EM256" s="2040">
        <f t="shared" si="164"/>
        <v>0</v>
      </c>
      <c r="EN256" s="2040">
        <f t="shared" si="164"/>
        <v>0</v>
      </c>
      <c r="EO256" s="2040">
        <f t="shared" si="164"/>
        <v>0</v>
      </c>
      <c r="EP256" s="2040">
        <f t="shared" si="164"/>
        <v>0</v>
      </c>
      <c r="EQ256" s="2040">
        <f t="shared" si="164"/>
        <v>0</v>
      </c>
      <c r="ER256" s="2040">
        <f t="shared" si="137"/>
        <v>0</v>
      </c>
      <c r="ES256" s="2040">
        <f t="shared" si="137"/>
        <v>0</v>
      </c>
      <c r="ET256" s="2040">
        <f t="shared" si="137"/>
        <v>0</v>
      </c>
      <c r="EU256" s="2039">
        <f t="shared" si="108"/>
        <v>0</v>
      </c>
      <c r="EV256" s="2039">
        <f t="shared" si="109"/>
        <v>0</v>
      </c>
    </row>
    <row r="257" spans="1:152" x14ac:dyDescent="0.25">
      <c r="A257" s="2126" t="s">
        <v>89</v>
      </c>
      <c r="B257" s="2093" t="str">
        <f t="shared" si="146"/>
        <v>BPL62</v>
      </c>
      <c r="C257" s="1974">
        <f t="shared" si="147"/>
        <v>15</v>
      </c>
      <c r="D257" s="2028">
        <v>267.718666491394</v>
      </c>
      <c r="E257" s="1974">
        <v>5.5441795761621129E-2</v>
      </c>
      <c r="F257" s="2127">
        <v>-4.5766954392087689</v>
      </c>
      <c r="G257" s="1974" t="s">
        <v>2997</v>
      </c>
      <c r="H257" s="1974" t="s">
        <v>2997</v>
      </c>
      <c r="I257" s="2026">
        <v>0.96199999999999997</v>
      </c>
      <c r="J257" s="2026">
        <v>0.96199999999999997</v>
      </c>
      <c r="K257" s="2026">
        <v>0.96199999999999997</v>
      </c>
      <c r="L257" s="2026">
        <v>0.96199999999999997</v>
      </c>
      <c r="M257" s="2027">
        <f t="shared" si="158"/>
        <v>257.545357164721</v>
      </c>
      <c r="N257" s="2027">
        <f t="shared" si="158"/>
        <v>257.545357164721</v>
      </c>
      <c r="O257" s="2027">
        <f t="shared" si="158"/>
        <v>257.545357164721</v>
      </c>
      <c r="P257" s="2027">
        <f t="shared" si="158"/>
        <v>257.545357164721</v>
      </c>
      <c r="Q257" s="2026">
        <v>0.96199999999999997</v>
      </c>
      <c r="R257" s="2026">
        <v>0.96199999999999997</v>
      </c>
      <c r="S257" s="2026">
        <v>0.96199999999999997</v>
      </c>
      <c r="T257" s="2026">
        <v>0.96199999999999997</v>
      </c>
      <c r="U257" s="2028">
        <f t="shared" si="159"/>
        <v>5.3335007522679521E-2</v>
      </c>
      <c r="V257" s="2028">
        <f t="shared" si="159"/>
        <v>5.3335007522679521E-2</v>
      </c>
      <c r="W257" s="2028">
        <f t="shared" si="159"/>
        <v>5.3335007522679521E-2</v>
      </c>
      <c r="X257" s="2028">
        <f t="shared" si="159"/>
        <v>5.3335007522679521E-2</v>
      </c>
      <c r="Y257" s="2026">
        <v>0.96199999999999997</v>
      </c>
      <c r="Z257" s="2026">
        <v>0.96199999999999997</v>
      </c>
      <c r="AA257" s="2026">
        <v>0.96199999999999997</v>
      </c>
      <c r="AB257" s="2026">
        <v>0.96199999999999997</v>
      </c>
      <c r="AC257" s="2027">
        <f t="shared" si="160"/>
        <v>-4.4027810125188358</v>
      </c>
      <c r="AD257" s="2027">
        <f t="shared" si="160"/>
        <v>-4.4027810125188358</v>
      </c>
      <c r="AE257" s="2027">
        <f t="shared" si="160"/>
        <v>-4.4027810125188358</v>
      </c>
      <c r="AF257" s="2027">
        <f t="shared" si="160"/>
        <v>-4.4027810125188358</v>
      </c>
      <c r="AG257" s="2027">
        <v>42</v>
      </c>
      <c r="AH257" s="2027">
        <v>0</v>
      </c>
      <c r="AI257" s="2027">
        <v>0</v>
      </c>
      <c r="AJ257" s="2027">
        <v>0</v>
      </c>
      <c r="AK257" s="2027">
        <f t="shared" si="148"/>
        <v>10816.905000918281</v>
      </c>
      <c r="AL257" s="2027">
        <f t="shared" si="149"/>
        <v>0</v>
      </c>
      <c r="AM257" s="2027">
        <f t="shared" si="149"/>
        <v>0</v>
      </c>
      <c r="AN257" s="2027">
        <f t="shared" si="149"/>
        <v>0</v>
      </c>
      <c r="AO257" s="2027">
        <f t="shared" si="161"/>
        <v>-184.9168025257911</v>
      </c>
      <c r="AP257" s="2027">
        <f t="shared" si="150"/>
        <v>0</v>
      </c>
      <c r="AQ257" s="2027">
        <f t="shared" si="150"/>
        <v>0</v>
      </c>
      <c r="AR257" s="2027">
        <f t="shared" si="150"/>
        <v>0</v>
      </c>
      <c r="AS257" s="2124">
        <f t="shared" si="162"/>
        <v>12.587498099999999</v>
      </c>
      <c r="AT257" s="2029">
        <f t="shared" si="151"/>
        <v>12.587498099999999</v>
      </c>
      <c r="AU257" s="2029">
        <f t="shared" si="151"/>
        <v>12.587498099999999</v>
      </c>
      <c r="AV257" s="2029">
        <f t="shared" si="151"/>
        <v>12.587498099999999</v>
      </c>
      <c r="AW257" s="2124">
        <f t="shared" si="152"/>
        <v>0</v>
      </c>
      <c r="AX257" s="2029">
        <f t="shared" si="153"/>
        <v>0</v>
      </c>
      <c r="AY257" s="2029">
        <f t="shared" si="153"/>
        <v>0</v>
      </c>
      <c r="AZ257" s="2029">
        <f t="shared" si="153"/>
        <v>0</v>
      </c>
      <c r="BA257" s="2124">
        <f t="shared" si="154"/>
        <v>57.5</v>
      </c>
      <c r="BB257" s="2029">
        <f t="shared" si="154"/>
        <v>57.5</v>
      </c>
      <c r="BC257" s="2029">
        <f t="shared" si="154"/>
        <v>57.5</v>
      </c>
      <c r="BD257" s="2029">
        <f t="shared" si="154"/>
        <v>57.5</v>
      </c>
      <c r="BE257" s="2030">
        <f t="shared" si="155"/>
        <v>528.67492019999997</v>
      </c>
      <c r="BF257" s="2030">
        <f t="shared" si="155"/>
        <v>0</v>
      </c>
      <c r="BG257" s="2030">
        <f t="shared" si="155"/>
        <v>0</v>
      </c>
      <c r="BH257" s="2030">
        <f t="shared" si="155"/>
        <v>0</v>
      </c>
      <c r="BI257" s="2030">
        <f t="shared" si="156"/>
        <v>0</v>
      </c>
      <c r="BJ257" s="2030">
        <f t="shared" si="156"/>
        <v>0</v>
      </c>
      <c r="BK257" s="2030">
        <f t="shared" si="156"/>
        <v>0</v>
      </c>
      <c r="BL257" s="2030">
        <f t="shared" si="156"/>
        <v>0</v>
      </c>
      <c r="BM257" s="2125"/>
      <c r="BN257" s="2125"/>
      <c r="BO257" s="2125"/>
      <c r="BP257" s="2125"/>
      <c r="BQ257" s="2125"/>
      <c r="BR257" s="2125"/>
      <c r="BS257" s="2125"/>
      <c r="BT257" s="2125"/>
      <c r="BU257" s="2029"/>
      <c r="BV257" s="2029"/>
      <c r="BW257" s="2029"/>
      <c r="BX257" s="2029"/>
      <c r="BY257" s="2029"/>
      <c r="BZ257" s="2032"/>
      <c r="CA257" s="1974">
        <f t="shared" si="163"/>
        <v>0</v>
      </c>
      <c r="CB257" s="1974">
        <f t="shared" si="163"/>
        <v>0</v>
      </c>
      <c r="CC257" s="1974">
        <f t="shared" si="163"/>
        <v>0</v>
      </c>
      <c r="CD257" s="1974">
        <f t="shared" si="163"/>
        <v>0</v>
      </c>
      <c r="CE257" s="1974">
        <f t="shared" si="163"/>
        <v>1</v>
      </c>
      <c r="CF257" s="2033">
        <v>4.5218306016119061E-5</v>
      </c>
      <c r="CG257" s="2026">
        <v>-6.8988840161389323E-5</v>
      </c>
      <c r="CH257" s="2009">
        <f t="shared" si="163"/>
        <v>1</v>
      </c>
      <c r="CI257" s="2031">
        <f t="shared" si="163"/>
        <v>0.67827777777777754</v>
      </c>
      <c r="CJ257" s="1974">
        <f t="shared" si="163"/>
        <v>0</v>
      </c>
      <c r="CK257" s="2031">
        <f t="shared" si="163"/>
        <v>-0.67827777777777754</v>
      </c>
      <c r="CL257" s="2026">
        <v>1</v>
      </c>
      <c r="CM257" s="2026">
        <v>0.33985765124555156</v>
      </c>
      <c r="CN257" s="2026">
        <v>0.33985765124555156</v>
      </c>
      <c r="CO257" s="2026">
        <v>0.33985765124555156</v>
      </c>
      <c r="CP257" s="2035"/>
      <c r="CQ257" s="2036"/>
      <c r="CR257" s="2036"/>
      <c r="CS257" s="2036"/>
      <c r="CT257" s="2036"/>
      <c r="CU257" s="2036"/>
      <c r="CW257" s="1973">
        <v>0</v>
      </c>
      <c r="CX257" s="2037">
        <v>12.587498099999999</v>
      </c>
      <c r="CY257" s="2037">
        <v>12.587498099999999</v>
      </c>
      <c r="CZ257" s="2037">
        <v>12.587498099999999</v>
      </c>
      <c r="DA257" s="2037">
        <v>12.587498099999999</v>
      </c>
      <c r="DJ257" s="1976">
        <v>12.587498099999999</v>
      </c>
      <c r="DK257" s="1973">
        <v>12.587498099999999</v>
      </c>
      <c r="DL257" s="1973">
        <v>12.587498099999999</v>
      </c>
      <c r="DM257" s="1973">
        <v>12.587498099999999</v>
      </c>
      <c r="DO257" s="1974">
        <v>15</v>
      </c>
      <c r="DP257" s="2028">
        <v>267.718666491394</v>
      </c>
      <c r="DQ257" s="1974">
        <v>5.5441795761621129E-2</v>
      </c>
      <c r="DR257" s="2028">
        <v>-4.5766954392087689</v>
      </c>
      <c r="DS257" s="2124">
        <v>12.587498099999999</v>
      </c>
      <c r="DT257" s="2029">
        <v>12.587498099999999</v>
      </c>
      <c r="DU257" s="2029">
        <v>12.587498099999999</v>
      </c>
      <c r="DV257" s="2029">
        <v>12.587498099999999</v>
      </c>
      <c r="DW257" s="2124">
        <v>0</v>
      </c>
      <c r="DX257" s="2029">
        <v>0</v>
      </c>
      <c r="DY257" s="2029">
        <v>0</v>
      </c>
      <c r="DZ257" s="2029">
        <v>0</v>
      </c>
      <c r="EA257" s="2124">
        <v>57.5</v>
      </c>
      <c r="EB257" s="2029">
        <v>57.5</v>
      </c>
      <c r="EC257" s="2029">
        <v>57.5</v>
      </c>
      <c r="ED257" s="2029">
        <v>57.5</v>
      </c>
      <c r="EE257" s="2039">
        <f t="shared" si="107"/>
        <v>0</v>
      </c>
      <c r="EF257" s="2039">
        <f t="shared" si="107"/>
        <v>0</v>
      </c>
      <c r="EG257" s="2039">
        <f t="shared" si="107"/>
        <v>0</v>
      </c>
      <c r="EH257" s="2039">
        <f t="shared" si="107"/>
        <v>0</v>
      </c>
      <c r="EI257" s="2040">
        <f t="shared" si="165"/>
        <v>0</v>
      </c>
      <c r="EJ257" s="2040">
        <f t="shared" si="165"/>
        <v>0</v>
      </c>
      <c r="EK257" s="2040">
        <f t="shared" si="165"/>
        <v>0</v>
      </c>
      <c r="EL257" s="2040">
        <f t="shared" si="164"/>
        <v>0</v>
      </c>
      <c r="EM257" s="2040">
        <f t="shared" si="164"/>
        <v>0</v>
      </c>
      <c r="EN257" s="2040">
        <f t="shared" si="164"/>
        <v>0</v>
      </c>
      <c r="EO257" s="2040">
        <f t="shared" si="164"/>
        <v>0</v>
      </c>
      <c r="EP257" s="2040">
        <f t="shared" si="164"/>
        <v>0</v>
      </c>
      <c r="EQ257" s="2040">
        <f t="shared" si="164"/>
        <v>0</v>
      </c>
      <c r="ER257" s="2040">
        <f t="shared" si="137"/>
        <v>0</v>
      </c>
      <c r="ES257" s="2040">
        <f t="shared" si="137"/>
        <v>0</v>
      </c>
      <c r="ET257" s="2040">
        <f t="shared" si="137"/>
        <v>0</v>
      </c>
      <c r="EU257" s="2039">
        <f t="shared" si="108"/>
        <v>0</v>
      </c>
      <c r="EV257" s="2039">
        <f t="shared" si="109"/>
        <v>0</v>
      </c>
    </row>
    <row r="258" spans="1:152" x14ac:dyDescent="0.25">
      <c r="A258" s="2126" t="s">
        <v>90</v>
      </c>
      <c r="B258" s="2093" t="str">
        <f t="shared" si="146"/>
        <v xml:space="preserve">BPL43 </v>
      </c>
      <c r="C258" s="1974">
        <f t="shared" si="147"/>
        <v>15</v>
      </c>
      <c r="D258" s="2028">
        <v>564.57605427925205</v>
      </c>
      <c r="E258" s="1974">
        <v>0.10262115188553875</v>
      </c>
      <c r="F258" s="2127">
        <v>-6.9807196028869232</v>
      </c>
      <c r="G258" s="1974" t="s">
        <v>2997</v>
      </c>
      <c r="H258" s="1974" t="s">
        <v>2997</v>
      </c>
      <c r="I258" s="2026">
        <v>0.96199999999999997</v>
      </c>
      <c r="J258" s="2026">
        <v>0.96199999999999997</v>
      </c>
      <c r="K258" s="2026">
        <v>0.96199999999999997</v>
      </c>
      <c r="L258" s="2026">
        <v>0.96199999999999997</v>
      </c>
      <c r="M258" s="2027">
        <f t="shared" si="158"/>
        <v>543.1221642166405</v>
      </c>
      <c r="N258" s="2027">
        <f t="shared" si="158"/>
        <v>543.1221642166405</v>
      </c>
      <c r="O258" s="2027">
        <f t="shared" si="158"/>
        <v>543.1221642166405</v>
      </c>
      <c r="P258" s="2027">
        <f t="shared" si="158"/>
        <v>543.1221642166405</v>
      </c>
      <c r="Q258" s="2026">
        <v>0.96199999999999997</v>
      </c>
      <c r="R258" s="2026">
        <v>0.96199999999999997</v>
      </c>
      <c r="S258" s="2026">
        <v>0.96199999999999997</v>
      </c>
      <c r="T258" s="2026">
        <v>0.96199999999999997</v>
      </c>
      <c r="U258" s="2028">
        <f t="shared" si="159"/>
        <v>9.8721548113888266E-2</v>
      </c>
      <c r="V258" s="2028">
        <f t="shared" si="159"/>
        <v>9.8721548113888266E-2</v>
      </c>
      <c r="W258" s="2028">
        <f t="shared" si="159"/>
        <v>9.8721548113888266E-2</v>
      </c>
      <c r="X258" s="2028">
        <f t="shared" si="159"/>
        <v>9.8721548113888266E-2</v>
      </c>
      <c r="Y258" s="2026">
        <v>0.96199999999999997</v>
      </c>
      <c r="Z258" s="2026">
        <v>0.96199999999999997</v>
      </c>
      <c r="AA258" s="2026">
        <v>0.96199999999999997</v>
      </c>
      <c r="AB258" s="2026">
        <v>0.96199999999999997</v>
      </c>
      <c r="AC258" s="2027">
        <f t="shared" si="160"/>
        <v>-6.71545225797722</v>
      </c>
      <c r="AD258" s="2027">
        <f t="shared" si="160"/>
        <v>-6.71545225797722</v>
      </c>
      <c r="AE258" s="2027">
        <f t="shared" si="160"/>
        <v>-6.71545225797722</v>
      </c>
      <c r="AF258" s="2027">
        <f t="shared" si="160"/>
        <v>-6.71545225797722</v>
      </c>
      <c r="AG258" s="2027">
        <v>16</v>
      </c>
      <c r="AH258" s="2027">
        <v>0</v>
      </c>
      <c r="AI258" s="2027">
        <v>0</v>
      </c>
      <c r="AJ258" s="2027">
        <v>0</v>
      </c>
      <c r="AK258" s="2027">
        <f t="shared" si="148"/>
        <v>8689.954627466248</v>
      </c>
      <c r="AL258" s="2027">
        <f t="shared" si="149"/>
        <v>0</v>
      </c>
      <c r="AM258" s="2027">
        <f t="shared" si="149"/>
        <v>0</v>
      </c>
      <c r="AN258" s="2027">
        <f t="shared" si="149"/>
        <v>0</v>
      </c>
      <c r="AO258" s="2027">
        <f t="shared" si="161"/>
        <v>-107.44723612763552</v>
      </c>
      <c r="AP258" s="2027">
        <f t="shared" si="150"/>
        <v>0</v>
      </c>
      <c r="AQ258" s="2027">
        <f t="shared" si="150"/>
        <v>0</v>
      </c>
      <c r="AR258" s="2027">
        <f t="shared" si="150"/>
        <v>0</v>
      </c>
      <c r="AS258" s="2124">
        <f t="shared" si="162"/>
        <v>14.558749049999998</v>
      </c>
      <c r="AT258" s="2029">
        <f t="shared" si="151"/>
        <v>14.558749049999998</v>
      </c>
      <c r="AU258" s="2029">
        <f t="shared" si="151"/>
        <v>14.558749049999998</v>
      </c>
      <c r="AV258" s="2029">
        <f t="shared" si="151"/>
        <v>14.558749049999998</v>
      </c>
      <c r="AW258" s="2124">
        <f t="shared" si="152"/>
        <v>0</v>
      </c>
      <c r="AX258" s="2029">
        <f t="shared" si="153"/>
        <v>0</v>
      </c>
      <c r="AY258" s="2029">
        <f t="shared" si="153"/>
        <v>0</v>
      </c>
      <c r="AZ258" s="2029">
        <f t="shared" si="153"/>
        <v>0</v>
      </c>
      <c r="BA258" s="2124">
        <f t="shared" si="154"/>
        <v>55</v>
      </c>
      <c r="BB258" s="2029">
        <f t="shared" si="154"/>
        <v>55</v>
      </c>
      <c r="BC258" s="2029">
        <f t="shared" si="154"/>
        <v>55</v>
      </c>
      <c r="BD258" s="2029">
        <f t="shared" si="154"/>
        <v>55</v>
      </c>
      <c r="BE258" s="2030">
        <f t="shared" si="155"/>
        <v>232.93998479999996</v>
      </c>
      <c r="BF258" s="2030">
        <f t="shared" si="155"/>
        <v>0</v>
      </c>
      <c r="BG258" s="2030">
        <f t="shared" si="155"/>
        <v>0</v>
      </c>
      <c r="BH258" s="2030">
        <f t="shared" si="155"/>
        <v>0</v>
      </c>
      <c r="BI258" s="2030">
        <f t="shared" si="156"/>
        <v>0</v>
      </c>
      <c r="BJ258" s="2030">
        <f t="shared" si="156"/>
        <v>0</v>
      </c>
      <c r="BK258" s="2030">
        <f t="shared" si="156"/>
        <v>0</v>
      </c>
      <c r="BL258" s="2030">
        <f t="shared" si="156"/>
        <v>0</v>
      </c>
      <c r="BM258" s="2125"/>
      <c r="BN258" s="2125"/>
      <c r="BO258" s="2125"/>
      <c r="BP258" s="2125"/>
      <c r="BQ258" s="2125"/>
      <c r="BR258" s="2125"/>
      <c r="BS258" s="2125"/>
      <c r="BT258" s="2125"/>
      <c r="BU258" s="2029"/>
      <c r="BV258" s="2029"/>
      <c r="BW258" s="2029"/>
      <c r="BX258" s="2029"/>
      <c r="BY258" s="2029"/>
      <c r="BZ258" s="2032"/>
      <c r="CA258" s="1974">
        <f t="shared" si="163"/>
        <v>0</v>
      </c>
      <c r="CB258" s="1974">
        <f t="shared" si="163"/>
        <v>0</v>
      </c>
      <c r="CC258" s="1974">
        <f t="shared" si="163"/>
        <v>0</v>
      </c>
      <c r="CD258" s="1974">
        <f t="shared" si="163"/>
        <v>0</v>
      </c>
      <c r="CE258" s="1974">
        <f t="shared" si="163"/>
        <v>1</v>
      </c>
      <c r="CF258" s="2033">
        <v>3.6326937102396702E-5</v>
      </c>
      <c r="CG258" s="2026">
        <v>-4.0086461034056813E-5</v>
      </c>
      <c r="CH258" s="2009">
        <f t="shared" si="163"/>
        <v>1</v>
      </c>
      <c r="CI258" s="2031">
        <f t="shared" si="163"/>
        <v>-2.5533333333333332</v>
      </c>
      <c r="CJ258" s="1974">
        <f t="shared" si="163"/>
        <v>0</v>
      </c>
      <c r="CK258" s="2031">
        <f t="shared" si="163"/>
        <v>2.5533333333333332</v>
      </c>
      <c r="CL258" s="2026">
        <v>1</v>
      </c>
      <c r="CM258" s="2026">
        <v>0.6123711340206186</v>
      </c>
      <c r="CN258" s="2026">
        <v>0.6123711340206186</v>
      </c>
      <c r="CO258" s="2026">
        <v>0.6123711340206186</v>
      </c>
      <c r="CP258" s="2035"/>
      <c r="CQ258" s="2036"/>
      <c r="CR258" s="2036"/>
      <c r="CS258" s="2036"/>
      <c r="CT258" s="2036"/>
      <c r="CU258" s="2036"/>
      <c r="CW258" s="1973">
        <v>0</v>
      </c>
      <c r="CX258" s="2037">
        <v>14.558749049999998</v>
      </c>
      <c r="CY258" s="2037">
        <v>14.558749049999998</v>
      </c>
      <c r="CZ258" s="2037">
        <v>14.558749049999998</v>
      </c>
      <c r="DA258" s="2037">
        <v>14.558749049999998</v>
      </c>
      <c r="DJ258" s="1976">
        <v>14.558749049999998</v>
      </c>
      <c r="DK258" s="1973">
        <v>14.558749049999998</v>
      </c>
      <c r="DL258" s="1973">
        <v>14.558749049999998</v>
      </c>
      <c r="DM258" s="1973">
        <v>14.558749049999998</v>
      </c>
      <c r="DO258" s="1974">
        <v>15</v>
      </c>
      <c r="DP258" s="2028">
        <v>564.57605427925205</v>
      </c>
      <c r="DQ258" s="1974">
        <v>0.10262115188553875</v>
      </c>
      <c r="DR258" s="2028">
        <v>-6.9807196028869232</v>
      </c>
      <c r="DS258" s="2124">
        <v>14.558749049999998</v>
      </c>
      <c r="DT258" s="2029">
        <v>14.558749049999998</v>
      </c>
      <c r="DU258" s="2029">
        <v>14.558749049999998</v>
      </c>
      <c r="DV258" s="2029">
        <v>14.558749049999998</v>
      </c>
      <c r="DW258" s="2124">
        <v>0</v>
      </c>
      <c r="DX258" s="2029">
        <v>0</v>
      </c>
      <c r="DY258" s="2029">
        <v>0</v>
      </c>
      <c r="DZ258" s="2029">
        <v>0</v>
      </c>
      <c r="EA258" s="2124">
        <v>55</v>
      </c>
      <c r="EB258" s="2029">
        <v>55</v>
      </c>
      <c r="EC258" s="2029">
        <v>55</v>
      </c>
      <c r="ED258" s="2029">
        <v>55</v>
      </c>
      <c r="EE258" s="2039">
        <f t="shared" si="107"/>
        <v>0</v>
      </c>
      <c r="EF258" s="2039">
        <f t="shared" si="107"/>
        <v>0</v>
      </c>
      <c r="EG258" s="2039">
        <f t="shared" si="107"/>
        <v>0</v>
      </c>
      <c r="EH258" s="2039">
        <f t="shared" si="107"/>
        <v>0</v>
      </c>
      <c r="EI258" s="2040">
        <f t="shared" si="165"/>
        <v>0</v>
      </c>
      <c r="EJ258" s="2040">
        <f t="shared" si="165"/>
        <v>0</v>
      </c>
      <c r="EK258" s="2040">
        <f t="shared" si="165"/>
        <v>0</v>
      </c>
      <c r="EL258" s="2040">
        <f t="shared" si="164"/>
        <v>0</v>
      </c>
      <c r="EM258" s="2040">
        <f t="shared" si="164"/>
        <v>0</v>
      </c>
      <c r="EN258" s="2040">
        <f t="shared" si="164"/>
        <v>0</v>
      </c>
      <c r="EO258" s="2040">
        <f t="shared" si="164"/>
        <v>0</v>
      </c>
      <c r="EP258" s="2040">
        <f t="shared" si="164"/>
        <v>0</v>
      </c>
      <c r="EQ258" s="2040">
        <f t="shared" si="164"/>
        <v>0</v>
      </c>
      <c r="ER258" s="2040">
        <f t="shared" si="137"/>
        <v>0</v>
      </c>
      <c r="ES258" s="2040">
        <f t="shared" si="137"/>
        <v>0</v>
      </c>
      <c r="ET258" s="2040">
        <f t="shared" si="137"/>
        <v>0</v>
      </c>
      <c r="EU258" s="2039">
        <f t="shared" si="108"/>
        <v>0</v>
      </c>
      <c r="EV258" s="2039">
        <f t="shared" si="109"/>
        <v>0</v>
      </c>
    </row>
    <row r="259" spans="1:152" x14ac:dyDescent="0.25">
      <c r="A259" s="2126" t="s">
        <v>91</v>
      </c>
      <c r="B259" s="2093" t="str">
        <f t="shared" si="146"/>
        <v xml:space="preserve">BPL64  </v>
      </c>
      <c r="C259" s="1974">
        <f t="shared" si="147"/>
        <v>15</v>
      </c>
      <c r="D259" s="2028">
        <v>379.18853885698041</v>
      </c>
      <c r="E259" s="1974">
        <v>7.6866838838090076E-2</v>
      </c>
      <c r="F259" s="2127">
        <v>-6.3152950628887501</v>
      </c>
      <c r="G259" s="1974" t="s">
        <v>2997</v>
      </c>
      <c r="H259" s="1974" t="s">
        <v>2997</v>
      </c>
      <c r="I259" s="2026">
        <v>0.96199999999999997</v>
      </c>
      <c r="J259" s="2026">
        <v>0.96199999999999997</v>
      </c>
      <c r="K259" s="2026">
        <v>0.96199999999999997</v>
      </c>
      <c r="L259" s="2026">
        <v>0.96199999999999997</v>
      </c>
      <c r="M259" s="2027">
        <f t="shared" si="158"/>
        <v>364.77937438041516</v>
      </c>
      <c r="N259" s="2027">
        <f t="shared" si="158"/>
        <v>364.77937438041516</v>
      </c>
      <c r="O259" s="2027">
        <f t="shared" si="158"/>
        <v>364.77937438041516</v>
      </c>
      <c r="P259" s="2027">
        <f t="shared" si="158"/>
        <v>364.77937438041516</v>
      </c>
      <c r="Q259" s="2026">
        <v>0.96199999999999997</v>
      </c>
      <c r="R259" s="2026">
        <v>0.96199999999999997</v>
      </c>
      <c r="S259" s="2026">
        <v>0.96199999999999997</v>
      </c>
      <c r="T259" s="2026">
        <v>0.96199999999999997</v>
      </c>
      <c r="U259" s="2028">
        <f t="shared" si="159"/>
        <v>7.3945898962242657E-2</v>
      </c>
      <c r="V259" s="2028">
        <f t="shared" si="159"/>
        <v>7.3945898962242657E-2</v>
      </c>
      <c r="W259" s="2028">
        <f t="shared" si="159"/>
        <v>7.3945898962242657E-2</v>
      </c>
      <c r="X259" s="2028">
        <f t="shared" si="159"/>
        <v>7.3945898962242657E-2</v>
      </c>
      <c r="Y259" s="2026">
        <v>0.96199999999999997</v>
      </c>
      <c r="Z259" s="2026">
        <v>0.96199999999999997</v>
      </c>
      <c r="AA259" s="2026">
        <v>0.96199999999999997</v>
      </c>
      <c r="AB259" s="2026">
        <v>0.96199999999999997</v>
      </c>
      <c r="AC259" s="2027">
        <f t="shared" si="160"/>
        <v>-6.0753138504989774</v>
      </c>
      <c r="AD259" s="2027">
        <f t="shared" si="160"/>
        <v>-6.0753138504989774</v>
      </c>
      <c r="AE259" s="2027">
        <f t="shared" si="160"/>
        <v>-6.0753138504989774</v>
      </c>
      <c r="AF259" s="2027">
        <f t="shared" si="160"/>
        <v>-6.0753138504989774</v>
      </c>
      <c r="AG259" s="2027">
        <v>23</v>
      </c>
      <c r="AH259" s="2027">
        <v>0</v>
      </c>
      <c r="AI259" s="2027">
        <v>0</v>
      </c>
      <c r="AJ259" s="2027">
        <v>0</v>
      </c>
      <c r="AK259" s="2027">
        <f t="shared" si="148"/>
        <v>8389.9256107495494</v>
      </c>
      <c r="AL259" s="2027">
        <f t="shared" si="149"/>
        <v>0</v>
      </c>
      <c r="AM259" s="2027">
        <f t="shared" si="149"/>
        <v>0</v>
      </c>
      <c r="AN259" s="2027">
        <f t="shared" si="149"/>
        <v>0</v>
      </c>
      <c r="AO259" s="2027">
        <f t="shared" si="161"/>
        <v>-139.73221856147649</v>
      </c>
      <c r="AP259" s="2027">
        <f t="shared" si="150"/>
        <v>0</v>
      </c>
      <c r="AQ259" s="2027">
        <f t="shared" si="150"/>
        <v>0</v>
      </c>
      <c r="AR259" s="2027">
        <f t="shared" si="150"/>
        <v>0</v>
      </c>
      <c r="AS259" s="2124">
        <f t="shared" si="162"/>
        <v>10.438124999999998</v>
      </c>
      <c r="AT259" s="2029">
        <f t="shared" si="151"/>
        <v>10.438124999999998</v>
      </c>
      <c r="AU259" s="2029">
        <f t="shared" si="151"/>
        <v>10.438124999999998</v>
      </c>
      <c r="AV259" s="2029">
        <f t="shared" si="151"/>
        <v>10.438124999999998</v>
      </c>
      <c r="AW259" s="2124">
        <f t="shared" si="152"/>
        <v>0</v>
      </c>
      <c r="AX259" s="2029">
        <f t="shared" si="153"/>
        <v>0</v>
      </c>
      <c r="AY259" s="2029">
        <f t="shared" si="153"/>
        <v>0</v>
      </c>
      <c r="AZ259" s="2029">
        <f t="shared" si="153"/>
        <v>0</v>
      </c>
      <c r="BA259" s="2124">
        <f t="shared" si="154"/>
        <v>55</v>
      </c>
      <c r="BB259" s="2029">
        <f t="shared" si="154"/>
        <v>55</v>
      </c>
      <c r="BC259" s="2029">
        <f t="shared" si="154"/>
        <v>55</v>
      </c>
      <c r="BD259" s="2029">
        <f t="shared" si="154"/>
        <v>55</v>
      </c>
      <c r="BE259" s="2030">
        <f t="shared" si="155"/>
        <v>240.07687499999994</v>
      </c>
      <c r="BF259" s="2030">
        <f t="shared" si="155"/>
        <v>0</v>
      </c>
      <c r="BG259" s="2030">
        <f t="shared" si="155"/>
        <v>0</v>
      </c>
      <c r="BH259" s="2030">
        <f t="shared" si="155"/>
        <v>0</v>
      </c>
      <c r="BI259" s="2030">
        <f t="shared" si="156"/>
        <v>0</v>
      </c>
      <c r="BJ259" s="2030">
        <f t="shared" si="156"/>
        <v>0</v>
      </c>
      <c r="BK259" s="2030">
        <f t="shared" si="156"/>
        <v>0</v>
      </c>
      <c r="BL259" s="2030">
        <f t="shared" si="156"/>
        <v>0</v>
      </c>
      <c r="BM259" s="2125"/>
      <c r="BN259" s="2125"/>
      <c r="BO259" s="2125"/>
      <c r="BP259" s="2125"/>
      <c r="BQ259" s="2125"/>
      <c r="BR259" s="2125"/>
      <c r="BS259" s="2125"/>
      <c r="BT259" s="2125"/>
      <c r="BU259" s="2029"/>
      <c r="BV259" s="2029"/>
      <c r="BW259" s="2029"/>
      <c r="BX259" s="2029"/>
      <c r="BY259" s="2029"/>
      <c r="BZ259" s="2032"/>
      <c r="CA259" s="1974">
        <f t="shared" si="163"/>
        <v>0</v>
      </c>
      <c r="CB259" s="1974">
        <f t="shared" si="163"/>
        <v>0</v>
      </c>
      <c r="CC259" s="1974">
        <f t="shared" si="163"/>
        <v>0</v>
      </c>
      <c r="CD259" s="1974">
        <f t="shared" si="163"/>
        <v>0</v>
      </c>
      <c r="CE259" s="1974">
        <f t="shared" si="163"/>
        <v>1</v>
      </c>
      <c r="CF259" s="2033">
        <v>3.5072714763339525E-5</v>
      </c>
      <c r="CG259" s="2026">
        <v>-5.2131356156179994E-5</v>
      </c>
      <c r="CH259" s="2009">
        <f t="shared" si="163"/>
        <v>1</v>
      </c>
      <c r="CI259" s="2031">
        <f t="shared" si="163"/>
        <v>0.67827777777777754</v>
      </c>
      <c r="CJ259" s="1974">
        <f t="shared" si="163"/>
        <v>0</v>
      </c>
      <c r="CK259" s="2031">
        <f t="shared" si="163"/>
        <v>-0.67827777777777754</v>
      </c>
      <c r="CL259" s="2026">
        <v>1</v>
      </c>
      <c r="CM259" s="2026">
        <v>0.45</v>
      </c>
      <c r="CN259" s="2026">
        <v>0.45</v>
      </c>
      <c r="CO259" s="2026">
        <v>0.45</v>
      </c>
      <c r="CP259" s="2035"/>
      <c r="CQ259" s="2036"/>
      <c r="CR259" s="2036"/>
      <c r="CS259" s="2036"/>
      <c r="CT259" s="2036"/>
      <c r="CU259" s="2036"/>
      <c r="CW259" s="1973">
        <v>0</v>
      </c>
      <c r="CX259" s="2037">
        <v>10.438124999999998</v>
      </c>
      <c r="CY259" s="2037">
        <v>10.438124999999998</v>
      </c>
      <c r="CZ259" s="2037">
        <v>10.438124999999998</v>
      </c>
      <c r="DA259" s="2037">
        <v>10.438124999999998</v>
      </c>
      <c r="DJ259" s="1976">
        <v>10.438124999999998</v>
      </c>
      <c r="DK259" s="1973">
        <v>10.438124999999998</v>
      </c>
      <c r="DL259" s="1973">
        <v>10.438124999999998</v>
      </c>
      <c r="DM259" s="1973">
        <v>10.438124999999998</v>
      </c>
      <c r="DO259" s="1974">
        <v>15</v>
      </c>
      <c r="DP259" s="2028">
        <v>379.18853885698041</v>
      </c>
      <c r="DQ259" s="1974">
        <v>7.6866838838090076E-2</v>
      </c>
      <c r="DR259" s="2028">
        <v>-6.3152950628887501</v>
      </c>
      <c r="DS259" s="2124">
        <v>10.438124999999998</v>
      </c>
      <c r="DT259" s="2029">
        <v>10.438124999999998</v>
      </c>
      <c r="DU259" s="2029">
        <v>10.438124999999998</v>
      </c>
      <c r="DV259" s="2029">
        <v>10.438124999999998</v>
      </c>
      <c r="DW259" s="2124">
        <v>0</v>
      </c>
      <c r="DX259" s="2029">
        <v>0</v>
      </c>
      <c r="DY259" s="2029">
        <v>0</v>
      </c>
      <c r="DZ259" s="2029">
        <v>0</v>
      </c>
      <c r="EA259" s="2124">
        <v>55</v>
      </c>
      <c r="EB259" s="2029">
        <v>55</v>
      </c>
      <c r="EC259" s="2029">
        <v>55</v>
      </c>
      <c r="ED259" s="2029">
        <v>55</v>
      </c>
      <c r="EE259" s="2039">
        <f t="shared" si="107"/>
        <v>0</v>
      </c>
      <c r="EF259" s="2039">
        <f t="shared" si="107"/>
        <v>0</v>
      </c>
      <c r="EG259" s="2039">
        <f t="shared" si="107"/>
        <v>0</v>
      </c>
      <c r="EH259" s="2039">
        <f t="shared" si="107"/>
        <v>0</v>
      </c>
      <c r="EI259" s="2040">
        <f t="shared" si="165"/>
        <v>0</v>
      </c>
      <c r="EJ259" s="2040">
        <f t="shared" si="165"/>
        <v>0</v>
      </c>
      <c r="EK259" s="2040">
        <f t="shared" si="165"/>
        <v>0</v>
      </c>
      <c r="EL259" s="2040">
        <f t="shared" si="164"/>
        <v>0</v>
      </c>
      <c r="EM259" s="2040">
        <f t="shared" si="164"/>
        <v>0</v>
      </c>
      <c r="EN259" s="2040">
        <f t="shared" si="164"/>
        <v>0</v>
      </c>
      <c r="EO259" s="2040">
        <f t="shared" si="164"/>
        <v>0</v>
      </c>
      <c r="EP259" s="2040">
        <f t="shared" si="164"/>
        <v>0</v>
      </c>
      <c r="EQ259" s="2040">
        <f t="shared" si="164"/>
        <v>0</v>
      </c>
      <c r="ER259" s="2040">
        <f t="shared" si="137"/>
        <v>0</v>
      </c>
      <c r="ES259" s="2040">
        <f t="shared" si="137"/>
        <v>0</v>
      </c>
      <c r="ET259" s="2040">
        <f t="shared" si="137"/>
        <v>0</v>
      </c>
      <c r="EU259" s="2039">
        <f t="shared" si="108"/>
        <v>0</v>
      </c>
      <c r="EV259" s="2039">
        <f t="shared" si="109"/>
        <v>0</v>
      </c>
    </row>
    <row r="260" spans="1:152" x14ac:dyDescent="0.25">
      <c r="A260" s="2126" t="s">
        <v>92</v>
      </c>
      <c r="B260" s="2093" t="str">
        <f t="shared" si="146"/>
        <v>BPL72</v>
      </c>
      <c r="C260" s="1974">
        <v>8</v>
      </c>
      <c r="D260" s="2028">
        <v>220.54963560659652</v>
      </c>
      <c r="E260" s="2028">
        <v>9.4213847030991046E-2</v>
      </c>
      <c r="F260" s="2127">
        <v>-7.5741148090154597</v>
      </c>
      <c r="G260" s="1974" t="s">
        <v>2997</v>
      </c>
      <c r="H260" s="1974" t="s">
        <v>2997</v>
      </c>
      <c r="I260" s="2026">
        <v>0.96199999999999997</v>
      </c>
      <c r="J260" s="2026">
        <v>0.96199999999999997</v>
      </c>
      <c r="K260" s="2026">
        <v>0.96199999999999997</v>
      </c>
      <c r="L260" s="2026">
        <v>0.96199999999999997</v>
      </c>
      <c r="M260" s="2027">
        <f t="shared" si="158"/>
        <v>212.16874945354584</v>
      </c>
      <c r="N260" s="2027">
        <f t="shared" si="158"/>
        <v>212.16874945354584</v>
      </c>
      <c r="O260" s="2027">
        <f t="shared" si="158"/>
        <v>212.16874945354584</v>
      </c>
      <c r="P260" s="2027">
        <f t="shared" si="158"/>
        <v>212.16874945354584</v>
      </c>
      <c r="Q260" s="2026">
        <v>0.96199999999999997</v>
      </c>
      <c r="R260" s="2026">
        <v>0.96199999999999997</v>
      </c>
      <c r="S260" s="2026">
        <v>0.96199999999999997</v>
      </c>
      <c r="T260" s="2026">
        <v>0.96199999999999997</v>
      </c>
      <c r="U260" s="2028">
        <f t="shared" si="159"/>
        <v>9.0633720843813381E-2</v>
      </c>
      <c r="V260" s="2028">
        <f t="shared" si="159"/>
        <v>9.0633720843813381E-2</v>
      </c>
      <c r="W260" s="2028">
        <f t="shared" si="159"/>
        <v>9.0633720843813381E-2</v>
      </c>
      <c r="X260" s="2028">
        <f t="shared" si="159"/>
        <v>9.0633720843813381E-2</v>
      </c>
      <c r="Y260" s="2026">
        <v>0.96199999999999997</v>
      </c>
      <c r="Z260" s="2026">
        <v>0.96199999999999997</v>
      </c>
      <c r="AA260" s="2026">
        <v>0.96199999999999997</v>
      </c>
      <c r="AB260" s="2026">
        <v>0.96199999999999997</v>
      </c>
      <c r="AC260" s="2027">
        <f t="shared" si="160"/>
        <v>-7.2862984462728724</v>
      </c>
      <c r="AD260" s="2027">
        <f t="shared" si="160"/>
        <v>-7.2862984462728724</v>
      </c>
      <c r="AE260" s="2027">
        <f t="shared" si="160"/>
        <v>-7.2862984462728724</v>
      </c>
      <c r="AF260" s="2027">
        <f t="shared" si="160"/>
        <v>-7.2862984462728724</v>
      </c>
      <c r="AG260" s="2027">
        <v>701</v>
      </c>
      <c r="AH260" s="2027">
        <v>733</v>
      </c>
      <c r="AI260" s="2027">
        <v>765</v>
      </c>
      <c r="AJ260" s="2027">
        <v>776</v>
      </c>
      <c r="AK260" s="2027">
        <f t="shared" si="148"/>
        <v>148730.29336693563</v>
      </c>
      <c r="AL260" s="2027">
        <f t="shared" si="149"/>
        <v>155519.69334944911</v>
      </c>
      <c r="AM260" s="2027">
        <f t="shared" si="149"/>
        <v>162309.09333196256</v>
      </c>
      <c r="AN260" s="2027">
        <f t="shared" si="149"/>
        <v>164642.94957595158</v>
      </c>
      <c r="AO260" s="2027">
        <f t="shared" si="161"/>
        <v>-5107.6952108372834</v>
      </c>
      <c r="AP260" s="2027">
        <f t="shared" si="150"/>
        <v>-5340.8567611180151</v>
      </c>
      <c r="AQ260" s="2027">
        <f t="shared" si="150"/>
        <v>-5574.0183113987478</v>
      </c>
      <c r="AR260" s="2027">
        <f t="shared" si="150"/>
        <v>-5654.1675943077489</v>
      </c>
      <c r="AS260" s="2124">
        <v>60</v>
      </c>
      <c r="AT260" s="2029">
        <f t="shared" si="151"/>
        <v>60</v>
      </c>
      <c r="AU260" s="2029">
        <f t="shared" si="151"/>
        <v>60</v>
      </c>
      <c r="AV260" s="2029">
        <f t="shared" si="151"/>
        <v>60</v>
      </c>
      <c r="AW260" s="2124">
        <f t="shared" si="152"/>
        <v>0</v>
      </c>
      <c r="AX260" s="2029">
        <f t="shared" si="153"/>
        <v>0</v>
      </c>
      <c r="AY260" s="2029">
        <f t="shared" si="153"/>
        <v>0</v>
      </c>
      <c r="AZ260" s="2029">
        <f t="shared" si="153"/>
        <v>0</v>
      </c>
      <c r="BA260" s="2128">
        <v>91.83</v>
      </c>
      <c r="BB260" s="2042">
        <f>$BA260</f>
        <v>91.83</v>
      </c>
      <c r="BC260" s="2042">
        <f t="shared" ref="BC260:BD260" si="166">$BA260</f>
        <v>91.83</v>
      </c>
      <c r="BD260" s="2042">
        <f t="shared" si="166"/>
        <v>91.83</v>
      </c>
      <c r="BE260" s="2030">
        <f t="shared" si="155"/>
        <v>42060</v>
      </c>
      <c r="BF260" s="2030">
        <f t="shared" si="155"/>
        <v>43980</v>
      </c>
      <c r="BG260" s="2030">
        <f t="shared" si="155"/>
        <v>45900</v>
      </c>
      <c r="BH260" s="2030">
        <f t="shared" si="155"/>
        <v>46560</v>
      </c>
      <c r="BI260" s="2030">
        <f t="shared" si="156"/>
        <v>0</v>
      </c>
      <c r="BJ260" s="2030">
        <f t="shared" si="156"/>
        <v>0</v>
      </c>
      <c r="BK260" s="2030">
        <f t="shared" si="156"/>
        <v>0</v>
      </c>
      <c r="BL260" s="2030">
        <f t="shared" si="156"/>
        <v>0</v>
      </c>
      <c r="BM260" s="2125"/>
      <c r="BN260" s="2125"/>
      <c r="BO260" s="2125"/>
      <c r="BP260" s="2125"/>
      <c r="BQ260" s="2125"/>
      <c r="BR260" s="2125"/>
      <c r="BS260" s="2125"/>
      <c r="BT260" s="2125"/>
      <c r="BU260" s="2029"/>
      <c r="BV260" s="2029"/>
      <c r="BW260" s="2029"/>
      <c r="BX260" s="2029"/>
      <c r="BY260" s="2029"/>
      <c r="BZ260" s="2032"/>
      <c r="CA260" s="1974">
        <f t="shared" si="163"/>
        <v>0</v>
      </c>
      <c r="CB260" s="1974">
        <f t="shared" si="163"/>
        <v>0</v>
      </c>
      <c r="CC260" s="1974">
        <f t="shared" si="163"/>
        <v>0</v>
      </c>
      <c r="CD260" s="1974">
        <f t="shared" si="163"/>
        <v>0</v>
      </c>
      <c r="CE260" s="1974">
        <f t="shared" si="163"/>
        <v>0</v>
      </c>
      <c r="CF260" s="2033">
        <v>4.0368762844046309E-4</v>
      </c>
      <c r="CG260" s="2026">
        <v>-8.079601877557822E-4</v>
      </c>
      <c r="CH260" s="2009">
        <f t="shared" si="163"/>
        <v>0</v>
      </c>
      <c r="CI260" s="2031">
        <f t="shared" si="163"/>
        <v>0</v>
      </c>
      <c r="CJ260" s="1974">
        <f t="shared" si="163"/>
        <v>0</v>
      </c>
      <c r="CK260" s="2031">
        <f t="shared" si="163"/>
        <v>0</v>
      </c>
      <c r="CL260" s="2026">
        <v>1</v>
      </c>
      <c r="CM260" s="2026">
        <v>1</v>
      </c>
      <c r="CN260" s="2026">
        <v>1</v>
      </c>
      <c r="CO260" s="2026">
        <v>1</v>
      </c>
      <c r="CP260" s="2035"/>
      <c r="CQ260" s="2036"/>
      <c r="CR260" s="2036"/>
      <c r="CS260" s="2036"/>
      <c r="CT260" s="2036"/>
      <c r="CU260" s="2036"/>
      <c r="CW260" s="1973">
        <v>0</v>
      </c>
      <c r="CX260" s="2037">
        <v>60</v>
      </c>
      <c r="CY260" s="2037">
        <v>60</v>
      </c>
      <c r="CZ260" s="2037">
        <v>60</v>
      </c>
      <c r="DA260" s="2037">
        <v>60</v>
      </c>
      <c r="DJ260" s="1976">
        <v>60</v>
      </c>
      <c r="DK260" s="1973">
        <v>60</v>
      </c>
      <c r="DL260" s="1973">
        <v>60</v>
      </c>
      <c r="DM260" s="1973">
        <v>60</v>
      </c>
      <c r="DO260" s="2047">
        <v>8</v>
      </c>
      <c r="DP260" s="2129">
        <v>220.54963560659652</v>
      </c>
      <c r="DQ260" s="2129">
        <v>9.4213847030991046E-2</v>
      </c>
      <c r="DR260" s="2129">
        <v>-7.5741148090154597</v>
      </c>
      <c r="DS260" s="2046">
        <v>60</v>
      </c>
      <c r="DT260" s="2046">
        <v>60</v>
      </c>
      <c r="DU260" s="2046">
        <v>60</v>
      </c>
      <c r="DV260" s="2046">
        <v>60</v>
      </c>
      <c r="DW260" s="2046">
        <v>0</v>
      </c>
      <c r="DX260" s="2046">
        <v>0</v>
      </c>
      <c r="DY260" s="2046">
        <v>0</v>
      </c>
      <c r="DZ260" s="2046">
        <v>0</v>
      </c>
      <c r="EA260" s="2045">
        <v>91.83</v>
      </c>
      <c r="EB260" s="2046">
        <v>91.83</v>
      </c>
      <c r="EC260" s="2046">
        <v>91.83</v>
      </c>
      <c r="ED260" s="2046">
        <v>91.83</v>
      </c>
      <c r="EE260" s="2039">
        <f t="shared" si="107"/>
        <v>0</v>
      </c>
      <c r="EF260" s="2039">
        <f t="shared" si="107"/>
        <v>0</v>
      </c>
      <c r="EG260" s="2039">
        <f t="shared" si="107"/>
        <v>0</v>
      </c>
      <c r="EH260" s="2039">
        <f t="shared" si="107"/>
        <v>0</v>
      </c>
      <c r="EI260" s="2040">
        <f t="shared" si="165"/>
        <v>0</v>
      </c>
      <c r="EJ260" s="2040">
        <f t="shared" si="165"/>
        <v>0</v>
      </c>
      <c r="EK260" s="2040">
        <f t="shared" si="165"/>
        <v>0</v>
      </c>
      <c r="EL260" s="2040">
        <f t="shared" si="164"/>
        <v>0</v>
      </c>
      <c r="EM260" s="2040">
        <f t="shared" si="164"/>
        <v>0</v>
      </c>
      <c r="EN260" s="2040">
        <f t="shared" si="164"/>
        <v>0</v>
      </c>
      <c r="EO260" s="2040">
        <f t="shared" si="164"/>
        <v>0</v>
      </c>
      <c r="EP260" s="2040">
        <f t="shared" si="164"/>
        <v>0</v>
      </c>
      <c r="EQ260" s="2040">
        <f t="shared" si="164"/>
        <v>0</v>
      </c>
      <c r="ER260" s="2040">
        <f t="shared" si="137"/>
        <v>0</v>
      </c>
      <c r="ES260" s="2040">
        <f t="shared" si="137"/>
        <v>0</v>
      </c>
      <c r="ET260" s="2040">
        <f t="shared" si="137"/>
        <v>0</v>
      </c>
      <c r="EU260" s="2039">
        <f t="shared" si="108"/>
        <v>0</v>
      </c>
      <c r="EV260" s="2039">
        <f t="shared" si="109"/>
        <v>0</v>
      </c>
    </row>
    <row r="261" spans="1:152" x14ac:dyDescent="0.25">
      <c r="A261" s="2126" t="s">
        <v>93</v>
      </c>
      <c r="B261" s="2093" t="str">
        <f t="shared" si="146"/>
        <v>BPL73</v>
      </c>
      <c r="C261" s="1974">
        <f t="shared" si="147"/>
        <v>8</v>
      </c>
      <c r="D261" s="2028">
        <v>439.95933000000002</v>
      </c>
      <c r="E261" s="1974">
        <v>0.32273190000000002</v>
      </c>
      <c r="F261" s="2127">
        <v>-9.8665699999999994</v>
      </c>
      <c r="G261" s="1974" t="s">
        <v>2997</v>
      </c>
      <c r="H261" s="1974" t="s">
        <v>2997</v>
      </c>
      <c r="I261" s="2026">
        <v>0.96199999999999997</v>
      </c>
      <c r="J261" s="2026">
        <v>0.96199999999999997</v>
      </c>
      <c r="K261" s="2026">
        <v>0.96199999999999997</v>
      </c>
      <c r="L261" s="2026">
        <v>0.96199999999999997</v>
      </c>
      <c r="M261" s="2027">
        <f t="shared" si="158"/>
        <v>423.24087545999998</v>
      </c>
      <c r="N261" s="2027">
        <f t="shared" si="158"/>
        <v>423.24087545999998</v>
      </c>
      <c r="O261" s="2027">
        <f t="shared" si="158"/>
        <v>423.24087545999998</v>
      </c>
      <c r="P261" s="2027">
        <f t="shared" si="158"/>
        <v>423.24087545999998</v>
      </c>
      <c r="Q261" s="2026">
        <v>0.96199999999999997</v>
      </c>
      <c r="R261" s="2026">
        <v>0.96199999999999997</v>
      </c>
      <c r="S261" s="2026">
        <v>0.96199999999999997</v>
      </c>
      <c r="T261" s="2026">
        <v>0.96199999999999997</v>
      </c>
      <c r="U261" s="2028">
        <f t="shared" si="159"/>
        <v>0.31046808780000001</v>
      </c>
      <c r="V261" s="2028">
        <f t="shared" si="159"/>
        <v>0.31046808780000001</v>
      </c>
      <c r="W261" s="2028">
        <f t="shared" si="159"/>
        <v>0.31046808780000001</v>
      </c>
      <c r="X261" s="2028">
        <f t="shared" si="159"/>
        <v>0.31046808780000001</v>
      </c>
      <c r="Y261" s="2026">
        <v>0.96199999999999997</v>
      </c>
      <c r="Z261" s="2026">
        <v>0.96199999999999997</v>
      </c>
      <c r="AA261" s="2026">
        <v>0.96199999999999997</v>
      </c>
      <c r="AB261" s="2026">
        <v>0.96199999999999997</v>
      </c>
      <c r="AC261" s="2027">
        <f t="shared" si="160"/>
        <v>-9.4916403399999982</v>
      </c>
      <c r="AD261" s="2027">
        <f t="shared" si="160"/>
        <v>-9.4916403399999982</v>
      </c>
      <c r="AE261" s="2027">
        <f t="shared" si="160"/>
        <v>-9.4916403399999982</v>
      </c>
      <c r="AF261" s="2027">
        <f t="shared" si="160"/>
        <v>-9.4916403399999982</v>
      </c>
      <c r="AG261" s="2027">
        <v>32</v>
      </c>
      <c r="AH261" s="2027">
        <v>35</v>
      </c>
      <c r="AI261" s="2027">
        <v>36</v>
      </c>
      <c r="AJ261" s="2027">
        <v>37</v>
      </c>
      <c r="AK261" s="2027">
        <f t="shared" si="148"/>
        <v>13543.708014719999</v>
      </c>
      <c r="AL261" s="2027">
        <f t="shared" si="149"/>
        <v>14813.4306411</v>
      </c>
      <c r="AM261" s="2027">
        <f t="shared" si="149"/>
        <v>15236.67151656</v>
      </c>
      <c r="AN261" s="2027">
        <f t="shared" si="149"/>
        <v>15659.91239202</v>
      </c>
      <c r="AO261" s="2027">
        <f t="shared" si="161"/>
        <v>-303.73249087999994</v>
      </c>
      <c r="AP261" s="2027">
        <f t="shared" si="150"/>
        <v>-332.20741189999995</v>
      </c>
      <c r="AQ261" s="2027">
        <f t="shared" si="150"/>
        <v>-341.69905223999996</v>
      </c>
      <c r="AR261" s="2027">
        <f t="shared" si="150"/>
        <v>-351.19069257999996</v>
      </c>
      <c r="AS261" s="2124">
        <f>AS17*2</f>
        <v>60</v>
      </c>
      <c r="AT261" s="2029">
        <f t="shared" si="151"/>
        <v>60</v>
      </c>
      <c r="AU261" s="2029">
        <f t="shared" si="151"/>
        <v>60</v>
      </c>
      <c r="AV261" s="2029">
        <f t="shared" si="151"/>
        <v>60</v>
      </c>
      <c r="AW261" s="2124">
        <f t="shared" si="152"/>
        <v>0</v>
      </c>
      <c r="AX261" s="2029">
        <f t="shared" si="153"/>
        <v>0</v>
      </c>
      <c r="AY261" s="2029">
        <f t="shared" si="153"/>
        <v>0</v>
      </c>
      <c r="AZ261" s="2029">
        <f t="shared" si="153"/>
        <v>0</v>
      </c>
      <c r="BA261" s="2124">
        <f t="shared" si="154"/>
        <v>102</v>
      </c>
      <c r="BB261" s="2029">
        <f t="shared" si="154"/>
        <v>102</v>
      </c>
      <c r="BC261" s="2029">
        <f t="shared" si="154"/>
        <v>102</v>
      </c>
      <c r="BD261" s="2029">
        <f t="shared" si="154"/>
        <v>102</v>
      </c>
      <c r="BE261" s="2030">
        <f t="shared" si="155"/>
        <v>1920</v>
      </c>
      <c r="BF261" s="2030">
        <f t="shared" si="155"/>
        <v>2100</v>
      </c>
      <c r="BG261" s="2030">
        <f t="shared" si="155"/>
        <v>2160</v>
      </c>
      <c r="BH261" s="2030">
        <f t="shared" si="155"/>
        <v>2220</v>
      </c>
      <c r="BI261" s="2030">
        <f t="shared" si="156"/>
        <v>0</v>
      </c>
      <c r="BJ261" s="2030">
        <f t="shared" si="156"/>
        <v>0</v>
      </c>
      <c r="BK261" s="2030">
        <f t="shared" si="156"/>
        <v>0</v>
      </c>
      <c r="BL261" s="2030">
        <f t="shared" si="156"/>
        <v>0</v>
      </c>
      <c r="BM261" s="2125"/>
      <c r="BN261" s="2125"/>
      <c r="BO261" s="2125"/>
      <c r="BP261" s="2125"/>
      <c r="BQ261" s="2125"/>
      <c r="BR261" s="2125"/>
      <c r="BS261" s="2125"/>
      <c r="BT261" s="2125"/>
      <c r="BU261" s="2029"/>
      <c r="BV261" s="2029"/>
      <c r="BW261" s="2029"/>
      <c r="BX261" s="2029"/>
      <c r="BY261" s="2029"/>
      <c r="BZ261" s="2032"/>
      <c r="CA261" s="1974">
        <f t="shared" si="163"/>
        <v>0</v>
      </c>
      <c r="CB261" s="1974">
        <f t="shared" si="163"/>
        <v>0</v>
      </c>
      <c r="CC261" s="1974">
        <f t="shared" si="163"/>
        <v>0</v>
      </c>
      <c r="CD261" s="1974">
        <f t="shared" si="163"/>
        <v>0</v>
      </c>
      <c r="CE261" s="1974">
        <f t="shared" si="163"/>
        <v>0</v>
      </c>
      <c r="CF261" s="2033">
        <v>5.6617260995689867E-5</v>
      </c>
      <c r="CG261" s="2026">
        <v>-1.133166482381632E-4</v>
      </c>
      <c r="CH261" s="2009">
        <f t="shared" si="163"/>
        <v>0</v>
      </c>
      <c r="CI261" s="2031">
        <f t="shared" si="163"/>
        <v>0</v>
      </c>
      <c r="CJ261" s="1974">
        <f t="shared" si="163"/>
        <v>0</v>
      </c>
      <c r="CK261" s="2031">
        <f t="shared" si="163"/>
        <v>0</v>
      </c>
      <c r="CL261" s="2026">
        <v>1</v>
      </c>
      <c r="CM261" s="2026">
        <v>1</v>
      </c>
      <c r="CN261" s="2026">
        <v>1</v>
      </c>
      <c r="CO261" s="2026">
        <v>1</v>
      </c>
      <c r="CP261" s="2035"/>
      <c r="CQ261" s="2036"/>
      <c r="CR261" s="2036"/>
      <c r="CS261" s="2036"/>
      <c r="CT261" s="2036"/>
      <c r="CU261" s="2036"/>
      <c r="CW261" s="1973">
        <v>0</v>
      </c>
      <c r="CX261" s="2037">
        <v>60</v>
      </c>
      <c r="CY261" s="2037">
        <v>60</v>
      </c>
      <c r="CZ261" s="2037">
        <v>60</v>
      </c>
      <c r="DA261" s="2037">
        <v>60</v>
      </c>
      <c r="DJ261" s="1976">
        <v>60</v>
      </c>
      <c r="DK261" s="1973">
        <v>60</v>
      </c>
      <c r="DL261" s="1973">
        <v>60</v>
      </c>
      <c r="DM261" s="1973">
        <v>60</v>
      </c>
      <c r="DO261" s="1974">
        <v>8</v>
      </c>
      <c r="DP261" s="2028">
        <v>439.95933000000002</v>
      </c>
      <c r="DQ261" s="1974">
        <v>0.32273190000000002</v>
      </c>
      <c r="DR261" s="2028">
        <v>-9.8665699999999994</v>
      </c>
      <c r="DS261" s="2124">
        <v>60</v>
      </c>
      <c r="DT261" s="2029">
        <v>60</v>
      </c>
      <c r="DU261" s="2029">
        <v>60</v>
      </c>
      <c r="DV261" s="2029">
        <v>60</v>
      </c>
      <c r="DW261" s="2124">
        <v>0</v>
      </c>
      <c r="DX261" s="2029">
        <v>0</v>
      </c>
      <c r="DY261" s="2029">
        <v>0</v>
      </c>
      <c r="DZ261" s="2029">
        <v>0</v>
      </c>
      <c r="EA261" s="2124">
        <v>102</v>
      </c>
      <c r="EB261" s="2029">
        <v>102</v>
      </c>
      <c r="EC261" s="2029">
        <v>102</v>
      </c>
      <c r="ED261" s="2029">
        <v>102</v>
      </c>
      <c r="EE261" s="2039">
        <f t="shared" si="107"/>
        <v>0</v>
      </c>
      <c r="EF261" s="2039">
        <f t="shared" si="107"/>
        <v>0</v>
      </c>
      <c r="EG261" s="2039">
        <f t="shared" si="107"/>
        <v>0</v>
      </c>
      <c r="EH261" s="2039">
        <f t="shared" si="107"/>
        <v>0</v>
      </c>
      <c r="EI261" s="2040">
        <f t="shared" si="165"/>
        <v>0</v>
      </c>
      <c r="EJ261" s="2040">
        <f t="shared" si="165"/>
        <v>0</v>
      </c>
      <c r="EK261" s="2040">
        <f t="shared" si="165"/>
        <v>0</v>
      </c>
      <c r="EL261" s="2040">
        <f t="shared" si="164"/>
        <v>0</v>
      </c>
      <c r="EM261" s="2040">
        <f t="shared" si="164"/>
        <v>0</v>
      </c>
      <c r="EN261" s="2040">
        <f t="shared" si="164"/>
        <v>0</v>
      </c>
      <c r="EO261" s="2040">
        <f t="shared" si="164"/>
        <v>0</v>
      </c>
      <c r="EP261" s="2040">
        <f t="shared" si="164"/>
        <v>0</v>
      </c>
      <c r="EQ261" s="2040">
        <f t="shared" si="164"/>
        <v>0</v>
      </c>
      <c r="ER261" s="2040">
        <f t="shared" si="137"/>
        <v>0</v>
      </c>
      <c r="ES261" s="2040">
        <f t="shared" si="137"/>
        <v>0</v>
      </c>
      <c r="ET261" s="2040">
        <f t="shared" si="137"/>
        <v>0</v>
      </c>
      <c r="EU261" s="2039">
        <f t="shared" si="108"/>
        <v>0</v>
      </c>
      <c r="EV261" s="2039">
        <f t="shared" si="109"/>
        <v>0</v>
      </c>
    </row>
    <row r="262" spans="1:152" x14ac:dyDescent="0.25">
      <c r="A262" s="2126" t="s">
        <v>94</v>
      </c>
      <c r="B262" s="2093" t="str">
        <f t="shared" si="146"/>
        <v>BPL74</v>
      </c>
      <c r="C262" s="1974">
        <f t="shared" si="147"/>
        <v>8</v>
      </c>
      <c r="D262" s="2028">
        <v>273.71699999999998</v>
      </c>
      <c r="E262" s="1974">
        <v>9.0000000000000011E-2</v>
      </c>
      <c r="F262" s="2127">
        <v>-4.42</v>
      </c>
      <c r="G262" s="1974" t="s">
        <v>2997</v>
      </c>
      <c r="H262" s="1974" t="s">
        <v>2997</v>
      </c>
      <c r="I262" s="2026">
        <v>0.96199999999999997</v>
      </c>
      <c r="J262" s="2026">
        <v>0.96199999999999997</v>
      </c>
      <c r="K262" s="2026">
        <v>0.96199999999999997</v>
      </c>
      <c r="L262" s="2026">
        <v>0.96199999999999997</v>
      </c>
      <c r="M262" s="2027">
        <f t="shared" si="158"/>
        <v>263.31575399999997</v>
      </c>
      <c r="N262" s="2027">
        <f t="shared" si="158"/>
        <v>263.31575399999997</v>
      </c>
      <c r="O262" s="2027">
        <f t="shared" si="158"/>
        <v>263.31575399999997</v>
      </c>
      <c r="P262" s="2027">
        <f t="shared" si="158"/>
        <v>263.31575399999997</v>
      </c>
      <c r="Q262" s="2026">
        <v>0.96199999999999997</v>
      </c>
      <c r="R262" s="2026">
        <v>0.96199999999999997</v>
      </c>
      <c r="S262" s="2026">
        <v>0.96199999999999997</v>
      </c>
      <c r="T262" s="2026">
        <v>0.96199999999999997</v>
      </c>
      <c r="U262" s="2028">
        <f t="shared" si="159"/>
        <v>8.6580000000000004E-2</v>
      </c>
      <c r="V262" s="2028">
        <f t="shared" si="159"/>
        <v>8.6580000000000004E-2</v>
      </c>
      <c r="W262" s="2028">
        <f t="shared" si="159"/>
        <v>8.6580000000000004E-2</v>
      </c>
      <c r="X262" s="2028">
        <f t="shared" si="159"/>
        <v>8.6580000000000004E-2</v>
      </c>
      <c r="Y262" s="2026">
        <v>0.96199999999999997</v>
      </c>
      <c r="Z262" s="2026">
        <v>0.96199999999999997</v>
      </c>
      <c r="AA262" s="2026">
        <v>0.96199999999999997</v>
      </c>
      <c r="AB262" s="2026">
        <v>0.96199999999999997</v>
      </c>
      <c r="AC262" s="2027">
        <f t="shared" si="160"/>
        <v>-4.25204</v>
      </c>
      <c r="AD262" s="2027">
        <f t="shared" si="160"/>
        <v>-4.25204</v>
      </c>
      <c r="AE262" s="2027">
        <f t="shared" si="160"/>
        <v>-4.25204</v>
      </c>
      <c r="AF262" s="2027">
        <f t="shared" si="160"/>
        <v>-4.25204</v>
      </c>
      <c r="AG262" s="2027">
        <v>88</v>
      </c>
      <c r="AH262" s="2027">
        <v>93</v>
      </c>
      <c r="AI262" s="2027">
        <v>97</v>
      </c>
      <c r="AJ262" s="2027">
        <v>99</v>
      </c>
      <c r="AK262" s="2027">
        <f t="shared" si="148"/>
        <v>23171.786351999996</v>
      </c>
      <c r="AL262" s="2027">
        <f t="shared" si="149"/>
        <v>24488.365121999996</v>
      </c>
      <c r="AM262" s="2027">
        <f t="shared" si="149"/>
        <v>25541.628137999996</v>
      </c>
      <c r="AN262" s="2027">
        <f t="shared" si="149"/>
        <v>26068.259645999999</v>
      </c>
      <c r="AO262" s="2027">
        <f t="shared" si="161"/>
        <v>-374.17952000000002</v>
      </c>
      <c r="AP262" s="2027">
        <f t="shared" si="150"/>
        <v>-395.43972000000002</v>
      </c>
      <c r="AQ262" s="2027">
        <f t="shared" si="150"/>
        <v>-412.44788</v>
      </c>
      <c r="AR262" s="2027">
        <f t="shared" si="150"/>
        <v>-420.95195999999999</v>
      </c>
      <c r="AS262" s="2124">
        <f>AS18*2</f>
        <v>40</v>
      </c>
      <c r="AT262" s="2029">
        <f t="shared" si="151"/>
        <v>40</v>
      </c>
      <c r="AU262" s="2029">
        <f t="shared" si="151"/>
        <v>40</v>
      </c>
      <c r="AV262" s="2029">
        <f t="shared" si="151"/>
        <v>40</v>
      </c>
      <c r="AW262" s="2124">
        <f t="shared" si="152"/>
        <v>0</v>
      </c>
      <c r="AX262" s="2029">
        <f t="shared" si="153"/>
        <v>0</v>
      </c>
      <c r="AY262" s="2029">
        <f t="shared" si="153"/>
        <v>0</v>
      </c>
      <c r="AZ262" s="2029">
        <f t="shared" si="153"/>
        <v>0</v>
      </c>
      <c r="BA262" s="2124">
        <f t="shared" si="154"/>
        <v>61</v>
      </c>
      <c r="BB262" s="2029">
        <f t="shared" si="154"/>
        <v>61</v>
      </c>
      <c r="BC262" s="2029">
        <f t="shared" si="154"/>
        <v>61</v>
      </c>
      <c r="BD262" s="2029">
        <f t="shared" si="154"/>
        <v>61</v>
      </c>
      <c r="BE262" s="2030">
        <f t="shared" si="155"/>
        <v>3520</v>
      </c>
      <c r="BF262" s="2030">
        <f t="shared" si="155"/>
        <v>3720</v>
      </c>
      <c r="BG262" s="2030">
        <f t="shared" si="155"/>
        <v>3880</v>
      </c>
      <c r="BH262" s="2030">
        <f t="shared" si="155"/>
        <v>3960</v>
      </c>
      <c r="BI262" s="2030">
        <f t="shared" si="156"/>
        <v>0</v>
      </c>
      <c r="BJ262" s="2030">
        <f t="shared" si="156"/>
        <v>0</v>
      </c>
      <c r="BK262" s="2030">
        <f t="shared" si="156"/>
        <v>0</v>
      </c>
      <c r="BL262" s="2030">
        <f t="shared" si="156"/>
        <v>0</v>
      </c>
      <c r="BM262" s="2125"/>
      <c r="BN262" s="2125"/>
      <c r="BO262" s="2125"/>
      <c r="BP262" s="2125"/>
      <c r="BQ262" s="2125"/>
      <c r="BR262" s="2125"/>
      <c r="BS262" s="2125"/>
      <c r="BT262" s="2125"/>
      <c r="BU262" s="2029"/>
      <c r="BV262" s="2029"/>
      <c r="BW262" s="2029"/>
      <c r="BX262" s="2029"/>
      <c r="BY262" s="2029"/>
      <c r="BZ262" s="2032"/>
      <c r="CA262" s="1974">
        <f t="shared" si="163"/>
        <v>0</v>
      </c>
      <c r="CB262" s="1974">
        <f t="shared" si="163"/>
        <v>0</v>
      </c>
      <c r="CC262" s="1974">
        <f t="shared" si="163"/>
        <v>0</v>
      </c>
      <c r="CD262" s="1974">
        <f t="shared" si="163"/>
        <v>0</v>
      </c>
      <c r="CE262" s="1974">
        <f t="shared" si="163"/>
        <v>0</v>
      </c>
      <c r="CF262" s="2033">
        <v>9.6865871163324152E-5</v>
      </c>
      <c r="CG262" s="2026">
        <v>-1.3959905613955751E-4</v>
      </c>
      <c r="CH262" s="2009">
        <f t="shared" si="163"/>
        <v>0</v>
      </c>
      <c r="CI262" s="2031">
        <f t="shared" si="163"/>
        <v>0</v>
      </c>
      <c r="CJ262" s="1974">
        <f t="shared" si="163"/>
        <v>0</v>
      </c>
      <c r="CK262" s="2031">
        <f t="shared" si="163"/>
        <v>0</v>
      </c>
      <c r="CL262" s="2026">
        <v>1</v>
      </c>
      <c r="CM262" s="2026">
        <v>1</v>
      </c>
      <c r="CN262" s="2026">
        <v>1</v>
      </c>
      <c r="CO262" s="2026">
        <v>1</v>
      </c>
      <c r="CP262" s="2035"/>
      <c r="CQ262" s="2036"/>
      <c r="CR262" s="2036"/>
      <c r="CS262" s="2036"/>
      <c r="CT262" s="2036"/>
      <c r="CU262" s="2036"/>
      <c r="CW262" s="1973">
        <v>0</v>
      </c>
      <c r="CX262" s="2037">
        <v>40</v>
      </c>
      <c r="CY262" s="2037">
        <v>40</v>
      </c>
      <c r="CZ262" s="2037">
        <v>40</v>
      </c>
      <c r="DA262" s="2037">
        <v>40</v>
      </c>
      <c r="DJ262" s="1976">
        <v>40</v>
      </c>
      <c r="DK262" s="1973">
        <v>40</v>
      </c>
      <c r="DL262" s="1973">
        <v>40</v>
      </c>
      <c r="DM262" s="1973">
        <v>40</v>
      </c>
      <c r="DO262" s="1974">
        <v>8</v>
      </c>
      <c r="DP262" s="2028">
        <v>273.71699999999998</v>
      </c>
      <c r="DQ262" s="1974">
        <v>9.0000000000000011E-2</v>
      </c>
      <c r="DR262" s="2028">
        <v>-4.42</v>
      </c>
      <c r="DS262" s="2124">
        <v>40</v>
      </c>
      <c r="DT262" s="2029">
        <v>40</v>
      </c>
      <c r="DU262" s="2029">
        <v>40</v>
      </c>
      <c r="DV262" s="2029">
        <v>40</v>
      </c>
      <c r="DW262" s="2124">
        <v>0</v>
      </c>
      <c r="DX262" s="2029">
        <v>0</v>
      </c>
      <c r="DY262" s="2029">
        <v>0</v>
      </c>
      <c r="DZ262" s="2029">
        <v>0</v>
      </c>
      <c r="EA262" s="2124">
        <v>61</v>
      </c>
      <c r="EB262" s="2029">
        <v>61</v>
      </c>
      <c r="EC262" s="2029">
        <v>61</v>
      </c>
      <c r="ED262" s="2029">
        <v>61</v>
      </c>
      <c r="EE262" s="2039">
        <f t="shared" si="107"/>
        <v>0</v>
      </c>
      <c r="EF262" s="2039">
        <f t="shared" si="107"/>
        <v>0</v>
      </c>
      <c r="EG262" s="2039">
        <f t="shared" si="107"/>
        <v>0</v>
      </c>
      <c r="EH262" s="2039">
        <f t="shared" ref="EH262:EH325" si="167">F262-DR262</f>
        <v>0</v>
      </c>
      <c r="EI262" s="2040">
        <f t="shared" si="165"/>
        <v>0</v>
      </c>
      <c r="EJ262" s="2040">
        <f t="shared" si="165"/>
        <v>0</v>
      </c>
      <c r="EK262" s="2040">
        <f t="shared" si="165"/>
        <v>0</v>
      </c>
      <c r="EL262" s="2040">
        <f t="shared" si="164"/>
        <v>0</v>
      </c>
      <c r="EM262" s="2040">
        <f t="shared" si="164"/>
        <v>0</v>
      </c>
      <c r="EN262" s="2040">
        <f t="shared" si="164"/>
        <v>0</v>
      </c>
      <c r="EO262" s="2040">
        <f t="shared" si="164"/>
        <v>0</v>
      </c>
      <c r="EP262" s="2040">
        <f t="shared" si="164"/>
        <v>0</v>
      </c>
      <c r="EQ262" s="2040">
        <f t="shared" si="164"/>
        <v>0</v>
      </c>
      <c r="ER262" s="2040">
        <f t="shared" si="137"/>
        <v>0</v>
      </c>
      <c r="ES262" s="2040">
        <f t="shared" si="137"/>
        <v>0</v>
      </c>
      <c r="ET262" s="2040">
        <f t="shared" si="137"/>
        <v>0</v>
      </c>
      <c r="EU262" s="2039">
        <f t="shared" si="108"/>
        <v>0</v>
      </c>
      <c r="EV262" s="2039">
        <f t="shared" si="109"/>
        <v>0</v>
      </c>
    </row>
    <row r="263" spans="1:152" x14ac:dyDescent="0.25">
      <c r="A263" s="2126" t="s">
        <v>95</v>
      </c>
      <c r="B263" s="2093" t="str">
        <f t="shared" si="146"/>
        <v xml:space="preserve">BPL79 </v>
      </c>
      <c r="C263" s="1974">
        <f t="shared" si="147"/>
        <v>8</v>
      </c>
      <c r="D263" s="2028">
        <v>79.555176000000003</v>
      </c>
      <c r="E263" s="1974">
        <v>6.2424000000000007E-2</v>
      </c>
      <c r="F263" s="2127">
        <v>-1.7841100000000001</v>
      </c>
      <c r="G263" s="1974" t="s">
        <v>2997</v>
      </c>
      <c r="H263" s="1974" t="s">
        <v>2997</v>
      </c>
      <c r="I263" s="2026">
        <v>0.96199999999999997</v>
      </c>
      <c r="J263" s="2026">
        <v>0.96199999999999997</v>
      </c>
      <c r="K263" s="2026">
        <v>0.96199999999999997</v>
      </c>
      <c r="L263" s="2026">
        <v>0.96199999999999997</v>
      </c>
      <c r="M263" s="2027">
        <f t="shared" si="158"/>
        <v>76.532079311999993</v>
      </c>
      <c r="N263" s="2027">
        <f t="shared" si="158"/>
        <v>76.532079311999993</v>
      </c>
      <c r="O263" s="2027">
        <f t="shared" si="158"/>
        <v>76.532079311999993</v>
      </c>
      <c r="P263" s="2027">
        <f t="shared" si="158"/>
        <v>76.532079311999993</v>
      </c>
      <c r="Q263" s="2026">
        <v>0.96199999999999997</v>
      </c>
      <c r="R263" s="2026">
        <v>0.96199999999999997</v>
      </c>
      <c r="S263" s="2026">
        <v>0.96199999999999997</v>
      </c>
      <c r="T263" s="2026">
        <v>0.96199999999999997</v>
      </c>
      <c r="U263" s="2028">
        <f t="shared" si="159"/>
        <v>6.0051888000000005E-2</v>
      </c>
      <c r="V263" s="2028">
        <f t="shared" si="159"/>
        <v>6.0051888000000005E-2</v>
      </c>
      <c r="W263" s="2028">
        <f t="shared" si="159"/>
        <v>6.0051888000000005E-2</v>
      </c>
      <c r="X263" s="2028">
        <f t="shared" si="159"/>
        <v>6.0051888000000005E-2</v>
      </c>
      <c r="Y263" s="2026">
        <v>0.96199999999999997</v>
      </c>
      <c r="Z263" s="2026">
        <v>0.96199999999999997</v>
      </c>
      <c r="AA263" s="2026">
        <v>0.96199999999999997</v>
      </c>
      <c r="AB263" s="2026">
        <v>0.96199999999999997</v>
      </c>
      <c r="AC263" s="2027">
        <f t="shared" si="160"/>
        <v>-1.7163138200000001</v>
      </c>
      <c r="AD263" s="2027">
        <f t="shared" si="160"/>
        <v>-1.7163138200000001</v>
      </c>
      <c r="AE263" s="2027">
        <f t="shared" si="160"/>
        <v>-1.7163138200000001</v>
      </c>
      <c r="AF263" s="2027">
        <f t="shared" si="160"/>
        <v>-1.7163138200000001</v>
      </c>
      <c r="AG263" s="2027">
        <v>876</v>
      </c>
      <c r="AH263" s="2027">
        <v>1099</v>
      </c>
      <c r="AI263" s="2027">
        <v>1147</v>
      </c>
      <c r="AJ263" s="2027">
        <v>1163</v>
      </c>
      <c r="AK263" s="2027">
        <f t="shared" si="148"/>
        <v>67042.101477311997</v>
      </c>
      <c r="AL263" s="2027">
        <f t="shared" si="149"/>
        <v>84108.755163887996</v>
      </c>
      <c r="AM263" s="2027">
        <f t="shared" si="149"/>
        <v>87782.294970863994</v>
      </c>
      <c r="AN263" s="2027">
        <f t="shared" si="149"/>
        <v>89006.808239855993</v>
      </c>
      <c r="AO263" s="2027">
        <f t="shared" si="161"/>
        <v>-1503.49090632</v>
      </c>
      <c r="AP263" s="2027">
        <f t="shared" si="150"/>
        <v>-1886.22888818</v>
      </c>
      <c r="AQ263" s="2027">
        <f t="shared" si="150"/>
        <v>-1968.6119515400001</v>
      </c>
      <c r="AR263" s="2027">
        <f t="shared" si="150"/>
        <v>-1996.07297266</v>
      </c>
      <c r="AS263" s="2124">
        <f>AS19*1.9</f>
        <v>47.5</v>
      </c>
      <c r="AT263" s="2029">
        <f t="shared" si="151"/>
        <v>47.5</v>
      </c>
      <c r="AU263" s="2029">
        <f t="shared" si="151"/>
        <v>47.5</v>
      </c>
      <c r="AV263" s="2029">
        <f t="shared" si="151"/>
        <v>47.5</v>
      </c>
      <c r="AW263" s="2124">
        <f t="shared" si="152"/>
        <v>0</v>
      </c>
      <c r="AX263" s="2029">
        <f t="shared" si="153"/>
        <v>0</v>
      </c>
      <c r="AY263" s="2029">
        <f t="shared" si="153"/>
        <v>0</v>
      </c>
      <c r="AZ263" s="2029">
        <f t="shared" si="153"/>
        <v>0</v>
      </c>
      <c r="BA263" s="2124">
        <f t="shared" si="154"/>
        <v>51</v>
      </c>
      <c r="BB263" s="2029">
        <f t="shared" si="154"/>
        <v>51</v>
      </c>
      <c r="BC263" s="2029">
        <f t="shared" si="154"/>
        <v>51</v>
      </c>
      <c r="BD263" s="2029">
        <f t="shared" si="154"/>
        <v>51</v>
      </c>
      <c r="BE263" s="2030">
        <f t="shared" si="155"/>
        <v>41610</v>
      </c>
      <c r="BF263" s="2030">
        <f t="shared" si="155"/>
        <v>52202.5</v>
      </c>
      <c r="BG263" s="2030">
        <f t="shared" si="155"/>
        <v>54482.5</v>
      </c>
      <c r="BH263" s="2030">
        <f t="shared" si="155"/>
        <v>55242.5</v>
      </c>
      <c r="BI263" s="2030">
        <f t="shared" si="156"/>
        <v>0</v>
      </c>
      <c r="BJ263" s="2030">
        <f t="shared" si="156"/>
        <v>0</v>
      </c>
      <c r="BK263" s="2030">
        <f t="shared" si="156"/>
        <v>0</v>
      </c>
      <c r="BL263" s="2030">
        <f t="shared" si="156"/>
        <v>0</v>
      </c>
      <c r="BM263" s="2125"/>
      <c r="BN263" s="2125"/>
      <c r="BO263" s="2125"/>
      <c r="BP263" s="2125"/>
      <c r="BQ263" s="2125"/>
      <c r="BR263" s="2125"/>
      <c r="BS263" s="2125"/>
      <c r="BT263" s="2125"/>
      <c r="BU263" s="2029"/>
      <c r="BV263" s="2029"/>
      <c r="BW263" s="2029"/>
      <c r="BX263" s="2029"/>
      <c r="BY263" s="2029"/>
      <c r="BZ263" s="2032"/>
      <c r="CA263" s="1974">
        <f t="shared" si="163"/>
        <v>0</v>
      </c>
      <c r="CB263" s="1974">
        <f t="shared" si="163"/>
        <v>0</v>
      </c>
      <c r="CC263" s="1974">
        <f t="shared" si="163"/>
        <v>0</v>
      </c>
      <c r="CD263" s="1974">
        <f t="shared" si="163"/>
        <v>0</v>
      </c>
      <c r="CE263" s="1974">
        <f t="shared" si="163"/>
        <v>0</v>
      </c>
      <c r="CF263" s="2033">
        <v>2.8025856382277978E-4</v>
      </c>
      <c r="CG263" s="2026">
        <v>-5.6092303351257678E-4</v>
      </c>
      <c r="CH263" s="2009">
        <f t="shared" si="163"/>
        <v>0</v>
      </c>
      <c r="CI263" s="2031">
        <f t="shared" si="163"/>
        <v>0</v>
      </c>
      <c r="CJ263" s="1974">
        <f t="shared" si="163"/>
        <v>0</v>
      </c>
      <c r="CK263" s="2031">
        <f t="shared" si="163"/>
        <v>0</v>
      </c>
      <c r="CL263" s="2026">
        <v>1</v>
      </c>
      <c r="CM263" s="2026">
        <v>1</v>
      </c>
      <c r="CN263" s="2026">
        <v>1</v>
      </c>
      <c r="CO263" s="2026">
        <v>1</v>
      </c>
      <c r="CP263" s="2035"/>
      <c r="CQ263" s="2036"/>
      <c r="CR263" s="2036"/>
      <c r="CS263" s="2036"/>
      <c r="CT263" s="2036"/>
      <c r="CU263" s="2036"/>
      <c r="CW263" s="1973">
        <v>0</v>
      </c>
      <c r="CX263" s="2037">
        <v>28.5</v>
      </c>
      <c r="CY263" s="2037">
        <v>28.5</v>
      </c>
      <c r="CZ263" s="2037">
        <v>28.5</v>
      </c>
      <c r="DA263" s="2037">
        <v>28.5</v>
      </c>
      <c r="DJ263" s="1976">
        <v>28.5</v>
      </c>
      <c r="DK263" s="1973">
        <v>28.5</v>
      </c>
      <c r="DL263" s="1973">
        <v>28.5</v>
      </c>
      <c r="DM263" s="1973">
        <v>28.5</v>
      </c>
      <c r="DO263" s="2047">
        <v>8</v>
      </c>
      <c r="DP263" s="2129">
        <v>79.555176000000003</v>
      </c>
      <c r="DQ263" s="2047">
        <v>6.2424000000000007E-2</v>
      </c>
      <c r="DR263" s="2129">
        <v>-1.7841100000000001</v>
      </c>
      <c r="DS263" s="2046">
        <v>47.5</v>
      </c>
      <c r="DT263" s="2046">
        <v>47.5</v>
      </c>
      <c r="DU263" s="2046">
        <v>47.5</v>
      </c>
      <c r="DV263" s="2046">
        <v>47.5</v>
      </c>
      <c r="DW263" s="2046">
        <v>0</v>
      </c>
      <c r="DX263" s="2046">
        <v>0</v>
      </c>
      <c r="DY263" s="2046">
        <v>0</v>
      </c>
      <c r="DZ263" s="2046">
        <v>0</v>
      </c>
      <c r="EA263" s="2549">
        <v>50</v>
      </c>
      <c r="EB263" s="2549">
        <v>50</v>
      </c>
      <c r="EC263" s="2549">
        <v>50</v>
      </c>
      <c r="ED263" s="2549">
        <v>50</v>
      </c>
      <c r="EE263" s="2039">
        <f t="shared" ref="EE263:EH326" si="168">C263-DO263</f>
        <v>0</v>
      </c>
      <c r="EF263" s="2039">
        <f t="shared" si="168"/>
        <v>0</v>
      </c>
      <c r="EG263" s="2039">
        <f t="shared" si="168"/>
        <v>0</v>
      </c>
      <c r="EH263" s="2039">
        <f t="shared" si="167"/>
        <v>0</v>
      </c>
      <c r="EI263" s="2040">
        <f t="shared" si="165"/>
        <v>0</v>
      </c>
      <c r="EJ263" s="2040">
        <f t="shared" si="165"/>
        <v>0</v>
      </c>
      <c r="EK263" s="2040">
        <f t="shared" si="165"/>
        <v>0</v>
      </c>
      <c r="EL263" s="2040">
        <f t="shared" si="164"/>
        <v>0</v>
      </c>
      <c r="EM263" s="2040">
        <f t="shared" si="164"/>
        <v>0</v>
      </c>
      <c r="EN263" s="2040">
        <f t="shared" si="164"/>
        <v>0</v>
      </c>
      <c r="EO263" s="2040">
        <f t="shared" si="164"/>
        <v>0</v>
      </c>
      <c r="EP263" s="2040">
        <f t="shared" si="164"/>
        <v>0</v>
      </c>
      <c r="EQ263" s="2040">
        <f t="shared" si="164"/>
        <v>1</v>
      </c>
      <c r="ER263" s="2040">
        <f t="shared" si="137"/>
        <v>1</v>
      </c>
      <c r="ES263" s="2040">
        <f t="shared" si="137"/>
        <v>1</v>
      </c>
      <c r="ET263" s="2040">
        <f t="shared" si="137"/>
        <v>1</v>
      </c>
      <c r="EU263" s="2039">
        <f t="shared" ref="EU263:EU326" si="169">SUM(EE263:ET263)</f>
        <v>4</v>
      </c>
      <c r="EV263" s="2039">
        <f t="shared" ref="EV263:EV326" si="170">SUM(EE263:EH263)</f>
        <v>0</v>
      </c>
    </row>
    <row r="264" spans="1:152" x14ac:dyDescent="0.25">
      <c r="A264" s="2126" t="s">
        <v>2868</v>
      </c>
      <c r="B264" s="1974" t="str">
        <f t="shared" si="146"/>
        <v>BPL81</v>
      </c>
      <c r="C264" s="1974">
        <f t="shared" si="147"/>
        <v>15</v>
      </c>
      <c r="D264" s="2028">
        <f t="shared" si="147"/>
        <v>132.64364949904598</v>
      </c>
      <c r="E264" s="2127">
        <f t="shared" si="147"/>
        <v>2.6460530662842971E-2</v>
      </c>
      <c r="F264" s="2127">
        <f t="shared" si="147"/>
        <v>-2.6801434517075093</v>
      </c>
      <c r="G264" s="1974" t="s">
        <v>2997</v>
      </c>
      <c r="H264" s="1974" t="s">
        <v>2997</v>
      </c>
      <c r="I264" s="2026">
        <v>0.96199999999999997</v>
      </c>
      <c r="J264" s="2026">
        <v>0.96199999999999997</v>
      </c>
      <c r="K264" s="2026">
        <v>0.96199999999999997</v>
      </c>
      <c r="L264" s="2026">
        <v>0.96199999999999997</v>
      </c>
      <c r="M264" s="2027">
        <f t="shared" si="158"/>
        <v>127.60319081808223</v>
      </c>
      <c r="N264" s="2027">
        <f t="shared" si="158"/>
        <v>127.60319081808223</v>
      </c>
      <c r="O264" s="2027">
        <f t="shared" si="158"/>
        <v>127.60319081808223</v>
      </c>
      <c r="P264" s="2027">
        <f t="shared" si="158"/>
        <v>127.60319081808223</v>
      </c>
      <c r="Q264" s="2026">
        <v>0.96199999999999997</v>
      </c>
      <c r="R264" s="2026">
        <v>0.96199999999999997</v>
      </c>
      <c r="S264" s="2026">
        <v>0.96199999999999997</v>
      </c>
      <c r="T264" s="2026">
        <v>0.96199999999999997</v>
      </c>
      <c r="U264" s="2028">
        <f t="shared" si="159"/>
        <v>2.5455030497654938E-2</v>
      </c>
      <c r="V264" s="2028">
        <f t="shared" si="159"/>
        <v>2.5455030497654938E-2</v>
      </c>
      <c r="W264" s="2028">
        <f t="shared" si="159"/>
        <v>2.5455030497654938E-2</v>
      </c>
      <c r="X264" s="2028">
        <f t="shared" si="159"/>
        <v>2.5455030497654938E-2</v>
      </c>
      <c r="Y264" s="2026">
        <v>0.96199999999999997</v>
      </c>
      <c r="Z264" s="2026">
        <v>0.96199999999999997</v>
      </c>
      <c r="AA264" s="2026">
        <v>0.96199999999999997</v>
      </c>
      <c r="AB264" s="2026">
        <v>0.96199999999999997</v>
      </c>
      <c r="AC264" s="2027">
        <f t="shared" si="160"/>
        <v>-2.5782980005426239</v>
      </c>
      <c r="AD264" s="2027">
        <f t="shared" si="160"/>
        <v>-2.5782980005426239</v>
      </c>
      <c r="AE264" s="2027">
        <f t="shared" si="160"/>
        <v>-2.5782980005426239</v>
      </c>
      <c r="AF264" s="2027">
        <f t="shared" si="160"/>
        <v>-2.5782980005426239</v>
      </c>
      <c r="AG264" s="2027">
        <v>17776</v>
      </c>
      <c r="AH264" s="2027">
        <v>17984</v>
      </c>
      <c r="AI264" s="2027">
        <v>11000</v>
      </c>
      <c r="AJ264" s="2027">
        <v>11000</v>
      </c>
      <c r="AK264" s="2027">
        <f t="shared" si="148"/>
        <v>2268274.3199822297</v>
      </c>
      <c r="AL264" s="2027">
        <f t="shared" si="149"/>
        <v>2294815.783672391</v>
      </c>
      <c r="AM264" s="2027">
        <f t="shared" si="149"/>
        <v>660729.32205602969</v>
      </c>
      <c r="AN264" s="2027">
        <f t="shared" si="149"/>
        <v>660729.32205602969</v>
      </c>
      <c r="AO264" s="2027">
        <f t="shared" si="161"/>
        <v>-45831.82525764568</v>
      </c>
      <c r="AP264" s="2027">
        <f t="shared" si="150"/>
        <v>-46368.111241758546</v>
      </c>
      <c r="AQ264" s="2027">
        <f t="shared" si="150"/>
        <v>-13350.427046809706</v>
      </c>
      <c r="AR264" s="2027">
        <f t="shared" si="150"/>
        <v>-13350.427046809706</v>
      </c>
      <c r="AS264" s="2029">
        <f>2.5*AS20</f>
        <v>5.5880607181083963</v>
      </c>
      <c r="AT264" s="2029">
        <f>AS264</f>
        <v>5.5880607181083963</v>
      </c>
      <c r="AU264" s="2029">
        <f>$AT264*2/2.5</f>
        <v>4.4704485744867171</v>
      </c>
      <c r="AV264" s="2029">
        <f>$AT264*2/2.5</f>
        <v>4.4704485744867171</v>
      </c>
      <c r="AW264" s="2029">
        <f t="shared" si="152"/>
        <v>0</v>
      </c>
      <c r="AX264" s="2029">
        <f t="shared" si="153"/>
        <v>0</v>
      </c>
      <c r="AY264" s="2029">
        <f t="shared" si="153"/>
        <v>0</v>
      </c>
      <c r="AZ264" s="2029">
        <f t="shared" si="153"/>
        <v>0</v>
      </c>
      <c r="BA264" s="2029">
        <f t="shared" si="154"/>
        <v>1.7695299211832249</v>
      </c>
      <c r="BB264" s="2029">
        <f t="shared" si="154"/>
        <v>1.7695299211832249</v>
      </c>
      <c r="BC264" s="2029">
        <f t="shared" si="154"/>
        <v>1.7695299211832249</v>
      </c>
      <c r="BD264" s="2029">
        <f t="shared" si="154"/>
        <v>1.7695299211832249</v>
      </c>
      <c r="BE264" s="2030">
        <f t="shared" si="155"/>
        <v>99333.367325094849</v>
      </c>
      <c r="BF264" s="2030">
        <f t="shared" si="155"/>
        <v>100495.6839544614</v>
      </c>
      <c r="BG264" s="2030">
        <f t="shared" si="155"/>
        <v>49174.934319353888</v>
      </c>
      <c r="BH264" s="2030">
        <f t="shared" si="155"/>
        <v>49174.934319353888</v>
      </c>
      <c r="BI264" s="2030">
        <f t="shared" si="156"/>
        <v>0</v>
      </c>
      <c r="BJ264" s="2030">
        <f t="shared" si="156"/>
        <v>0</v>
      </c>
      <c r="BK264" s="2030">
        <f t="shared" si="156"/>
        <v>0</v>
      </c>
      <c r="BL264" s="2030">
        <f t="shared" si="156"/>
        <v>0</v>
      </c>
      <c r="BM264" s="2125"/>
      <c r="BN264" s="2125"/>
      <c r="BO264" s="2125"/>
      <c r="BP264" s="2125"/>
      <c r="BQ264" s="2125"/>
      <c r="BR264" s="2125"/>
      <c r="BS264" s="2125"/>
      <c r="BT264" s="2125"/>
      <c r="BU264" s="2029"/>
      <c r="BV264" s="2029"/>
      <c r="BW264" s="2029"/>
      <c r="BX264" s="2029"/>
      <c r="BY264" s="2029"/>
      <c r="BZ264" s="2032"/>
      <c r="CA264" s="1974">
        <f t="shared" si="163"/>
        <v>0</v>
      </c>
      <c r="CB264" s="1974">
        <f t="shared" si="163"/>
        <v>0</v>
      </c>
      <c r="CC264" s="1974">
        <f t="shared" si="163"/>
        <v>0</v>
      </c>
      <c r="CD264" s="1974">
        <f t="shared" si="163"/>
        <v>0</v>
      </c>
      <c r="CE264" s="1974">
        <f t="shared" si="163"/>
        <v>1</v>
      </c>
      <c r="CF264" s="2033">
        <v>9.4821506078451787E-3</v>
      </c>
      <c r="CG264" s="2026">
        <v>-1.7098957065101984E-2</v>
      </c>
      <c r="CH264" s="2009">
        <f t="shared" si="163"/>
        <v>1</v>
      </c>
      <c r="CI264" s="2031">
        <f t="shared" si="163"/>
        <v>0.20832982508570624</v>
      </c>
      <c r="CJ264" s="1974">
        <f t="shared" si="163"/>
        <v>0</v>
      </c>
      <c r="CK264" s="2031">
        <f t="shared" si="163"/>
        <v>-0.20832982508570624</v>
      </c>
      <c r="CL264" s="2026">
        <v>1</v>
      </c>
      <c r="CM264" s="2026">
        <v>1</v>
      </c>
      <c r="CN264" s="2026">
        <v>0.47072727272727272</v>
      </c>
      <c r="CO264" s="2026">
        <v>0.47072727272727272</v>
      </c>
      <c r="CP264" s="2035"/>
      <c r="CQ264" s="2036"/>
      <c r="CR264" s="2036"/>
      <c r="CS264" s="2036"/>
      <c r="CT264" s="2036"/>
      <c r="CU264" s="2036"/>
      <c r="CW264" s="1973">
        <v>1</v>
      </c>
      <c r="CX264" s="2037">
        <v>5.5880607181083963</v>
      </c>
      <c r="CY264" s="2037">
        <v>5.5880607181083963</v>
      </c>
      <c r="CZ264" s="2037">
        <v>4.4704485744867171</v>
      </c>
      <c r="DA264" s="2037">
        <v>4.4704485744867171</v>
      </c>
      <c r="DJ264" s="1976">
        <v>5.5880607181083963</v>
      </c>
      <c r="DK264" s="1973">
        <v>5.5880607181083963</v>
      </c>
      <c r="DL264" s="1973">
        <v>4.4704485744867171</v>
      </c>
      <c r="DM264" s="1973">
        <v>4.4704485744867171</v>
      </c>
      <c r="DO264" s="1974">
        <v>15</v>
      </c>
      <c r="DP264" s="2028">
        <v>132.64364949904598</v>
      </c>
      <c r="DQ264" s="2127">
        <v>2.6460530662842971E-2</v>
      </c>
      <c r="DR264" s="2028">
        <v>-2.6801434517075093</v>
      </c>
      <c r="DS264" s="2029">
        <v>5.5880607181083963</v>
      </c>
      <c r="DT264" s="2029">
        <v>5.5880607181083963</v>
      </c>
      <c r="DU264" s="2029">
        <v>4.4704485744867171</v>
      </c>
      <c r="DV264" s="2029">
        <v>4.4704485744867171</v>
      </c>
      <c r="DW264" s="2029">
        <v>0</v>
      </c>
      <c r="DX264" s="2029">
        <v>0</v>
      </c>
      <c r="DY264" s="2029">
        <v>0</v>
      </c>
      <c r="DZ264" s="2029">
        <v>0</v>
      </c>
      <c r="EA264" s="2029">
        <v>1.7695299211832249</v>
      </c>
      <c r="EB264" s="2029">
        <v>1.7695299211832249</v>
      </c>
      <c r="EC264" s="2029">
        <v>1.7695299211832249</v>
      </c>
      <c r="ED264" s="2029">
        <v>1.7695299211832249</v>
      </c>
      <c r="EE264" s="2039">
        <f t="shared" si="168"/>
        <v>0</v>
      </c>
      <c r="EF264" s="2039">
        <f t="shared" si="168"/>
        <v>0</v>
      </c>
      <c r="EG264" s="2039">
        <f t="shared" si="168"/>
        <v>0</v>
      </c>
      <c r="EH264" s="2039">
        <f t="shared" si="167"/>
        <v>0</v>
      </c>
      <c r="EI264" s="2040">
        <f t="shared" si="165"/>
        <v>0</v>
      </c>
      <c r="EJ264" s="2040">
        <f t="shared" si="165"/>
        <v>0</v>
      </c>
      <c r="EK264" s="2040">
        <f t="shared" si="165"/>
        <v>0</v>
      </c>
      <c r="EL264" s="2040">
        <f t="shared" si="164"/>
        <v>0</v>
      </c>
      <c r="EM264" s="2040">
        <f t="shared" si="164"/>
        <v>0</v>
      </c>
      <c r="EN264" s="2040">
        <f t="shared" si="164"/>
        <v>0</v>
      </c>
      <c r="EO264" s="2040">
        <f t="shared" si="164"/>
        <v>0</v>
      </c>
      <c r="EP264" s="2040">
        <f t="shared" si="164"/>
        <v>0</v>
      </c>
      <c r="EQ264" s="2040">
        <f t="shared" si="164"/>
        <v>0</v>
      </c>
      <c r="ER264" s="2040">
        <f t="shared" si="137"/>
        <v>0</v>
      </c>
      <c r="ES264" s="2040">
        <f t="shared" si="137"/>
        <v>0</v>
      </c>
      <c r="ET264" s="2040">
        <f t="shared" si="137"/>
        <v>0</v>
      </c>
      <c r="EU264" s="2039">
        <f t="shared" si="169"/>
        <v>0</v>
      </c>
      <c r="EV264" s="2039">
        <f t="shared" si="170"/>
        <v>0</v>
      </c>
    </row>
    <row r="265" spans="1:152" x14ac:dyDescent="0.25">
      <c r="A265" s="2126" t="s">
        <v>2871</v>
      </c>
      <c r="B265" s="1974" t="str">
        <f t="shared" si="146"/>
        <v>BPL84</v>
      </c>
      <c r="C265" s="2027">
        <f>C21</f>
        <v>15</v>
      </c>
      <c r="D265" s="2028">
        <f t="shared" si="147"/>
        <v>105.16236658599999</v>
      </c>
      <c r="E265" s="2127">
        <f t="shared" si="147"/>
        <v>2.2522290879999993E-2</v>
      </c>
      <c r="F265" s="2127">
        <f t="shared" si="147"/>
        <v>-2.1225431788</v>
      </c>
      <c r="G265" s="1974" t="s">
        <v>2997</v>
      </c>
      <c r="H265" s="1974" t="s">
        <v>2997</v>
      </c>
      <c r="I265" s="2026">
        <v>0.96199999999999997</v>
      </c>
      <c r="J265" s="2026">
        <v>0.96199999999999997</v>
      </c>
      <c r="K265" s="2026">
        <v>0.96199999999999997</v>
      </c>
      <c r="L265" s="2026">
        <v>0.96199999999999997</v>
      </c>
      <c r="M265" s="2027">
        <f t="shared" si="158"/>
        <v>101.16619665573198</v>
      </c>
      <c r="N265" s="2027">
        <f t="shared" si="158"/>
        <v>101.16619665573198</v>
      </c>
      <c r="O265" s="2027">
        <f t="shared" si="158"/>
        <v>101.16619665573198</v>
      </c>
      <c r="P265" s="2027">
        <f t="shared" si="158"/>
        <v>101.16619665573198</v>
      </c>
      <c r="Q265" s="2026">
        <v>0.96199999999999997</v>
      </c>
      <c r="R265" s="2026">
        <v>0.96199999999999997</v>
      </c>
      <c r="S265" s="2026">
        <v>0.96199999999999997</v>
      </c>
      <c r="T265" s="2026">
        <v>0.96199999999999997</v>
      </c>
      <c r="U265" s="2028">
        <f t="shared" si="159"/>
        <v>2.1666443826559995E-2</v>
      </c>
      <c r="V265" s="2028">
        <f t="shared" si="159"/>
        <v>2.1666443826559995E-2</v>
      </c>
      <c r="W265" s="2028">
        <f t="shared" si="159"/>
        <v>2.1666443826559995E-2</v>
      </c>
      <c r="X265" s="2028">
        <f t="shared" si="159"/>
        <v>2.1666443826559995E-2</v>
      </c>
      <c r="Y265" s="2026">
        <v>0.96199999999999997</v>
      </c>
      <c r="Z265" s="2026">
        <v>0.96199999999999997</v>
      </c>
      <c r="AA265" s="2026">
        <v>0.96199999999999997</v>
      </c>
      <c r="AB265" s="2026">
        <v>0.96199999999999997</v>
      </c>
      <c r="AC265" s="2027">
        <f t="shared" si="160"/>
        <v>-2.0418865380055999</v>
      </c>
      <c r="AD265" s="2027">
        <f t="shared" si="160"/>
        <v>-2.0418865380055999</v>
      </c>
      <c r="AE265" s="2027">
        <f t="shared" si="160"/>
        <v>-2.0418865380055999</v>
      </c>
      <c r="AF265" s="2027">
        <f t="shared" si="160"/>
        <v>-2.0418865380055999</v>
      </c>
      <c r="AG265" s="2027">
        <v>1334</v>
      </c>
      <c r="AH265" s="2027">
        <v>1349</v>
      </c>
      <c r="AI265" s="2027">
        <v>1355</v>
      </c>
      <c r="AJ265" s="2027">
        <v>1352</v>
      </c>
      <c r="AK265" s="2027">
        <f t="shared" si="148"/>
        <v>134955.70633874647</v>
      </c>
      <c r="AL265" s="2027">
        <f t="shared" si="149"/>
        <v>136473.19928858243</v>
      </c>
      <c r="AM265" s="2027">
        <f t="shared" si="149"/>
        <v>137080.19646851684</v>
      </c>
      <c r="AN265" s="2027">
        <f t="shared" si="149"/>
        <v>136776.69787854963</v>
      </c>
      <c r="AO265" s="2027">
        <f t="shared" si="161"/>
        <v>-2723.8766416994704</v>
      </c>
      <c r="AP265" s="2027">
        <f t="shared" si="150"/>
        <v>-2754.5049397695543</v>
      </c>
      <c r="AQ265" s="2027">
        <f t="shared" si="150"/>
        <v>-2766.7562589975878</v>
      </c>
      <c r="AR265" s="2027">
        <f t="shared" si="150"/>
        <v>-2760.6305993835713</v>
      </c>
      <c r="AS265" s="2029">
        <f>2.5*AS21</f>
        <v>15</v>
      </c>
      <c r="AT265" s="2029">
        <f t="shared" si="151"/>
        <v>15</v>
      </c>
      <c r="AU265" s="2029">
        <f t="shared" si="151"/>
        <v>15</v>
      </c>
      <c r="AV265" s="2029">
        <f t="shared" si="151"/>
        <v>15</v>
      </c>
      <c r="AW265" s="2029">
        <f t="shared" si="152"/>
        <v>0</v>
      </c>
      <c r="AX265" s="2029">
        <f t="shared" si="153"/>
        <v>0</v>
      </c>
      <c r="AY265" s="2029">
        <f t="shared" si="153"/>
        <v>0</v>
      </c>
      <c r="AZ265" s="2029">
        <f t="shared" si="153"/>
        <v>0</v>
      </c>
      <c r="BA265" s="2029">
        <f t="shared" si="154"/>
        <v>54.99</v>
      </c>
      <c r="BB265" s="2029">
        <f t="shared" si="154"/>
        <v>54.99</v>
      </c>
      <c r="BC265" s="2029">
        <f t="shared" si="154"/>
        <v>54.99</v>
      </c>
      <c r="BD265" s="2029">
        <f t="shared" si="154"/>
        <v>54.99</v>
      </c>
      <c r="BE265" s="2030">
        <f t="shared" si="155"/>
        <v>20010</v>
      </c>
      <c r="BF265" s="2030">
        <f t="shared" si="155"/>
        <v>20235</v>
      </c>
      <c r="BG265" s="2030">
        <f t="shared" si="155"/>
        <v>20325</v>
      </c>
      <c r="BH265" s="2030">
        <f t="shared" si="155"/>
        <v>20280</v>
      </c>
      <c r="BI265" s="2030">
        <f t="shared" si="156"/>
        <v>0</v>
      </c>
      <c r="BJ265" s="2030">
        <f t="shared" si="156"/>
        <v>0</v>
      </c>
      <c r="BK265" s="2030">
        <f t="shared" si="156"/>
        <v>0</v>
      </c>
      <c r="BL265" s="2030">
        <f t="shared" si="156"/>
        <v>0</v>
      </c>
      <c r="BM265" s="2125"/>
      <c r="BN265" s="2125"/>
      <c r="BO265" s="2125"/>
      <c r="BP265" s="2125"/>
      <c r="BQ265" s="2125"/>
      <c r="BR265" s="2125"/>
      <c r="BS265" s="2125"/>
      <c r="BT265" s="2125"/>
      <c r="BU265" s="2029"/>
      <c r="BV265" s="2029"/>
      <c r="BW265" s="2029"/>
      <c r="BX265" s="2029"/>
      <c r="BY265" s="2029"/>
      <c r="BZ265" s="2032"/>
      <c r="CA265" s="1974">
        <f t="shared" si="163"/>
        <v>0</v>
      </c>
      <c r="CB265" s="1974">
        <f t="shared" si="163"/>
        <v>0</v>
      </c>
      <c r="CC265" s="1974">
        <f t="shared" si="163"/>
        <v>0</v>
      </c>
      <c r="CD265" s="1974">
        <f t="shared" si="163"/>
        <v>0</v>
      </c>
      <c r="CE265" s="1974">
        <f t="shared" si="163"/>
        <v>0</v>
      </c>
      <c r="CF265" s="2033">
        <v>1.0142199280608675E-3</v>
      </c>
      <c r="CG265" s="2026">
        <v>-1.2629270815070538E-3</v>
      </c>
      <c r="CH265" s="2009">
        <f t="shared" si="163"/>
        <v>1</v>
      </c>
      <c r="CI265" s="2031">
        <f t="shared" si="163"/>
        <v>12.181999999999999</v>
      </c>
      <c r="CJ265" s="1974">
        <f t="shared" si="163"/>
        <v>0</v>
      </c>
      <c r="CK265" s="2031">
        <f t="shared" si="163"/>
        <v>-12.181999999999999</v>
      </c>
      <c r="CL265" s="2026">
        <v>1</v>
      </c>
      <c r="CM265" s="2026">
        <v>1</v>
      </c>
      <c r="CN265" s="2026">
        <v>1</v>
      </c>
      <c r="CO265" s="2026">
        <v>1</v>
      </c>
      <c r="CP265" s="2035"/>
      <c r="CQ265" s="2036"/>
      <c r="CR265" s="2036"/>
      <c r="CS265" s="2036"/>
      <c r="CT265" s="2036"/>
      <c r="CU265" s="2036"/>
      <c r="CW265" s="1973">
        <v>1</v>
      </c>
      <c r="CX265" s="2037">
        <v>15</v>
      </c>
      <c r="CY265" s="2037">
        <v>15</v>
      </c>
      <c r="CZ265" s="2037">
        <v>15</v>
      </c>
      <c r="DA265" s="2037">
        <v>15</v>
      </c>
      <c r="DJ265" s="1976">
        <v>15</v>
      </c>
      <c r="DK265" s="1973">
        <v>15</v>
      </c>
      <c r="DL265" s="1973">
        <v>15</v>
      </c>
      <c r="DM265" s="1973">
        <v>15</v>
      </c>
      <c r="DO265" s="2047">
        <v>15</v>
      </c>
      <c r="DP265" s="2129">
        <v>105.16236658599999</v>
      </c>
      <c r="DQ265" s="2130">
        <v>2.2522290879999993E-2</v>
      </c>
      <c r="DR265" s="2129">
        <v>-2.1225431788</v>
      </c>
      <c r="DS265" s="2046">
        <v>15</v>
      </c>
      <c r="DT265" s="2046">
        <v>15</v>
      </c>
      <c r="DU265" s="2046">
        <v>15</v>
      </c>
      <c r="DV265" s="2046">
        <v>15</v>
      </c>
      <c r="DW265" s="2046">
        <v>0</v>
      </c>
      <c r="DX265" s="2046">
        <v>0</v>
      </c>
      <c r="DY265" s="2046">
        <v>0</v>
      </c>
      <c r="DZ265" s="2046">
        <v>0</v>
      </c>
      <c r="EA265" s="2046">
        <v>54.99</v>
      </c>
      <c r="EB265" s="2046">
        <v>54.99</v>
      </c>
      <c r="EC265" s="2046">
        <v>54.99</v>
      </c>
      <c r="ED265" s="2046">
        <v>54.99</v>
      </c>
      <c r="EE265" s="2039">
        <f t="shared" si="168"/>
        <v>0</v>
      </c>
      <c r="EF265" s="2039">
        <f t="shared" si="168"/>
        <v>0</v>
      </c>
      <c r="EG265" s="2039">
        <f t="shared" si="168"/>
        <v>0</v>
      </c>
      <c r="EH265" s="2039">
        <f t="shared" si="167"/>
        <v>0</v>
      </c>
      <c r="EI265" s="2040">
        <f t="shared" si="165"/>
        <v>0</v>
      </c>
      <c r="EJ265" s="2040">
        <f t="shared" si="165"/>
        <v>0</v>
      </c>
      <c r="EK265" s="2040">
        <f t="shared" si="165"/>
        <v>0</v>
      </c>
      <c r="EL265" s="2040">
        <f t="shared" si="164"/>
        <v>0</v>
      </c>
      <c r="EM265" s="2040">
        <f t="shared" si="164"/>
        <v>0</v>
      </c>
      <c r="EN265" s="2040">
        <f t="shared" si="164"/>
        <v>0</v>
      </c>
      <c r="EO265" s="2040">
        <f t="shared" si="164"/>
        <v>0</v>
      </c>
      <c r="EP265" s="2040">
        <f t="shared" si="164"/>
        <v>0</v>
      </c>
      <c r="EQ265" s="2040">
        <f t="shared" si="164"/>
        <v>0</v>
      </c>
      <c r="ER265" s="2040">
        <f t="shared" si="137"/>
        <v>0</v>
      </c>
      <c r="ES265" s="2040">
        <f t="shared" si="137"/>
        <v>0</v>
      </c>
      <c r="ET265" s="2040">
        <f t="shared" si="137"/>
        <v>0</v>
      </c>
      <c r="EU265" s="2039">
        <f t="shared" si="169"/>
        <v>0</v>
      </c>
      <c r="EV265" s="2039">
        <f t="shared" si="170"/>
        <v>0</v>
      </c>
    </row>
    <row r="266" spans="1:152" x14ac:dyDescent="0.25">
      <c r="A266" s="2126" t="s">
        <v>96</v>
      </c>
      <c r="B266" s="2093" t="str">
        <f t="shared" si="146"/>
        <v>BPL72B</v>
      </c>
      <c r="C266" s="2027">
        <f>C22</f>
        <v>8</v>
      </c>
      <c r="D266" s="2028">
        <v>92.424621276884565</v>
      </c>
      <c r="E266" s="2028">
        <v>7.5064263441446441E-2</v>
      </c>
      <c r="F266" s="2127">
        <v>-7.1373240650904028</v>
      </c>
      <c r="G266" s="1974" t="s">
        <v>2997</v>
      </c>
      <c r="H266" s="1974" t="s">
        <v>2997</v>
      </c>
      <c r="I266" s="2026">
        <v>0.96199999999999997</v>
      </c>
      <c r="J266" s="2026">
        <v>0.96199999999999997</v>
      </c>
      <c r="K266" s="2026">
        <v>0.96199999999999997</v>
      </c>
      <c r="L266" s="2026">
        <v>0.96199999999999997</v>
      </c>
      <c r="M266" s="2027">
        <f t="shared" si="158"/>
        <v>88.912485668362947</v>
      </c>
      <c r="N266" s="2027">
        <f t="shared" si="158"/>
        <v>88.912485668362947</v>
      </c>
      <c r="O266" s="2027">
        <f t="shared" si="158"/>
        <v>88.912485668362947</v>
      </c>
      <c r="P266" s="2027">
        <f t="shared" si="158"/>
        <v>88.912485668362947</v>
      </c>
      <c r="Q266" s="2026">
        <v>0.96199999999999997</v>
      </c>
      <c r="R266" s="2026">
        <v>0.96199999999999997</v>
      </c>
      <c r="S266" s="2026">
        <v>0.96199999999999997</v>
      </c>
      <c r="T266" s="2026">
        <v>0.96199999999999997</v>
      </c>
      <c r="U266" s="2028">
        <f t="shared" si="159"/>
        <v>7.221182143067148E-2</v>
      </c>
      <c r="V266" s="2028">
        <f t="shared" si="159"/>
        <v>7.221182143067148E-2</v>
      </c>
      <c r="W266" s="2028">
        <f t="shared" si="159"/>
        <v>7.221182143067148E-2</v>
      </c>
      <c r="X266" s="2028">
        <f t="shared" si="159"/>
        <v>7.221182143067148E-2</v>
      </c>
      <c r="Y266" s="2026">
        <v>0.96199999999999997</v>
      </c>
      <c r="Z266" s="2026">
        <v>0.96199999999999997</v>
      </c>
      <c r="AA266" s="2026">
        <v>0.96199999999999997</v>
      </c>
      <c r="AB266" s="2026">
        <v>0.96199999999999997</v>
      </c>
      <c r="AC266" s="2027">
        <f t="shared" si="160"/>
        <v>-6.8661057506169669</v>
      </c>
      <c r="AD266" s="2027">
        <f t="shared" si="160"/>
        <v>-6.8661057506169669</v>
      </c>
      <c r="AE266" s="2027">
        <f t="shared" si="160"/>
        <v>-6.8661057506169669</v>
      </c>
      <c r="AF266" s="2027">
        <f t="shared" si="160"/>
        <v>-6.8661057506169669</v>
      </c>
      <c r="AG266" s="2027">
        <v>1750</v>
      </c>
      <c r="AH266" s="2027">
        <v>2288</v>
      </c>
      <c r="AI266" s="2027">
        <v>2867</v>
      </c>
      <c r="AJ266" s="2027">
        <v>3390</v>
      </c>
      <c r="AK266" s="2027">
        <f t="shared" si="148"/>
        <v>155596.84991963516</v>
      </c>
      <c r="AL266" s="2027">
        <f t="shared" si="149"/>
        <v>203431.76720921442</v>
      </c>
      <c r="AM266" s="2027">
        <f t="shared" si="149"/>
        <v>254912.09641119657</v>
      </c>
      <c r="AN266" s="2027">
        <f t="shared" si="149"/>
        <v>301413.32641575037</v>
      </c>
      <c r="AO266" s="2027">
        <f t="shared" si="161"/>
        <v>-12015.685063579693</v>
      </c>
      <c r="AP266" s="2027">
        <f t="shared" si="150"/>
        <v>-15709.649957411621</v>
      </c>
      <c r="AQ266" s="2027">
        <f t="shared" si="150"/>
        <v>-19685.125187018843</v>
      </c>
      <c r="AR266" s="2027">
        <f t="shared" si="150"/>
        <v>-23276.098494591519</v>
      </c>
      <c r="AS266" s="2124">
        <v>57</v>
      </c>
      <c r="AT266" s="2029">
        <f t="shared" si="151"/>
        <v>57</v>
      </c>
      <c r="AU266" s="2029">
        <f t="shared" si="151"/>
        <v>57</v>
      </c>
      <c r="AV266" s="2029">
        <f t="shared" si="151"/>
        <v>57</v>
      </c>
      <c r="AW266" s="2124">
        <f t="shared" si="152"/>
        <v>0</v>
      </c>
      <c r="AX266" s="2029">
        <f t="shared" ref="AX266:AZ329" si="171">$AW266</f>
        <v>0</v>
      </c>
      <c r="AY266" s="2029">
        <f t="shared" si="171"/>
        <v>0</v>
      </c>
      <c r="AZ266" s="2029">
        <f t="shared" si="171"/>
        <v>0</v>
      </c>
      <c r="BA266" s="2131">
        <v>54</v>
      </c>
      <c r="BB266" s="2048">
        <f>$BA266</f>
        <v>54</v>
      </c>
      <c r="BC266" s="2048">
        <f t="shared" ref="BC266:BD267" si="172">$BA266</f>
        <v>54</v>
      </c>
      <c r="BD266" s="2048">
        <f t="shared" si="172"/>
        <v>54</v>
      </c>
      <c r="BE266" s="2030">
        <f t="shared" si="155"/>
        <v>99750</v>
      </c>
      <c r="BF266" s="2030">
        <f t="shared" si="155"/>
        <v>130416</v>
      </c>
      <c r="BG266" s="2030">
        <f t="shared" si="155"/>
        <v>163419</v>
      </c>
      <c r="BH266" s="2030">
        <f t="shared" si="155"/>
        <v>193230</v>
      </c>
      <c r="BI266" s="2030">
        <f t="shared" si="156"/>
        <v>0</v>
      </c>
      <c r="BJ266" s="2030">
        <f t="shared" si="156"/>
        <v>0</v>
      </c>
      <c r="BK266" s="2030">
        <f t="shared" si="156"/>
        <v>0</v>
      </c>
      <c r="BL266" s="2030">
        <f t="shared" si="156"/>
        <v>0</v>
      </c>
      <c r="BM266" s="2125"/>
      <c r="BN266" s="2125"/>
      <c r="BO266" s="2125"/>
      <c r="BP266" s="2125"/>
      <c r="BQ266" s="2125"/>
      <c r="BR266" s="2125"/>
      <c r="BS266" s="2125"/>
      <c r="BT266" s="2125"/>
      <c r="BU266" s="2029"/>
      <c r="BV266" s="2029"/>
      <c r="BW266" s="2029"/>
      <c r="BX266" s="2029"/>
      <c r="BY266" s="2029"/>
      <c r="BZ266" s="2032"/>
      <c r="CA266" s="1974">
        <f t="shared" si="163"/>
        <v>0</v>
      </c>
      <c r="CB266" s="1974">
        <f t="shared" si="163"/>
        <v>0</v>
      </c>
      <c r="CC266" s="1974">
        <f t="shared" si="163"/>
        <v>0</v>
      </c>
      <c r="CD266" s="1974">
        <f t="shared" si="163"/>
        <v>0</v>
      </c>
      <c r="CE266" s="1974">
        <f t="shared" si="163"/>
        <v>0</v>
      </c>
      <c r="CF266" s="2033">
        <v>1.0077793862636381E-3</v>
      </c>
      <c r="CG266" s="2026">
        <v>-2.0170190136556618E-3</v>
      </c>
      <c r="CH266" s="2009">
        <f t="shared" si="163"/>
        <v>0</v>
      </c>
      <c r="CI266" s="2031">
        <f t="shared" si="163"/>
        <v>0</v>
      </c>
      <c r="CJ266" s="1974">
        <f t="shared" si="163"/>
        <v>0</v>
      </c>
      <c r="CK266" s="2031">
        <f t="shared" si="163"/>
        <v>0</v>
      </c>
      <c r="CL266" s="2026">
        <v>1</v>
      </c>
      <c r="CM266" s="2026">
        <v>1</v>
      </c>
      <c r="CN266" s="2026">
        <v>1</v>
      </c>
      <c r="CO266" s="2026">
        <v>1</v>
      </c>
      <c r="CP266" s="2035"/>
      <c r="CQ266" s="2036"/>
      <c r="CR266" s="2036"/>
      <c r="CS266" s="2036"/>
      <c r="CT266" s="2036"/>
      <c r="CU266" s="2036"/>
      <c r="CW266" s="1973">
        <v>0</v>
      </c>
      <c r="CX266" s="2037">
        <v>57</v>
      </c>
      <c r="CY266" s="2037">
        <v>57</v>
      </c>
      <c r="CZ266" s="2037">
        <v>57</v>
      </c>
      <c r="DA266" s="2037">
        <v>57</v>
      </c>
      <c r="DJ266" s="1976">
        <v>57</v>
      </c>
      <c r="DK266" s="1973">
        <v>57</v>
      </c>
      <c r="DL266" s="1973">
        <v>57</v>
      </c>
      <c r="DM266" s="1973">
        <v>57</v>
      </c>
      <c r="DO266" s="2047">
        <v>8</v>
      </c>
      <c r="DP266" s="2129">
        <v>92.424621276884565</v>
      </c>
      <c r="DQ266" s="2129">
        <v>7.5064263441446441E-2</v>
      </c>
      <c r="DR266" s="2129">
        <v>-7.1373240650904028</v>
      </c>
      <c r="DS266" s="2046">
        <v>57</v>
      </c>
      <c r="DT266" s="2046">
        <v>57</v>
      </c>
      <c r="DU266" s="2046">
        <v>57</v>
      </c>
      <c r="DV266" s="2046">
        <v>57</v>
      </c>
      <c r="DW266" s="2046">
        <v>0</v>
      </c>
      <c r="DX266" s="2046">
        <v>0</v>
      </c>
      <c r="DY266" s="2046">
        <v>0</v>
      </c>
      <c r="DZ266" s="2046">
        <v>0</v>
      </c>
      <c r="EA266" s="2059">
        <v>54</v>
      </c>
      <c r="EB266" s="2046">
        <v>54</v>
      </c>
      <c r="EC266" s="2046">
        <v>54</v>
      </c>
      <c r="ED266" s="2046">
        <v>54</v>
      </c>
      <c r="EE266" s="2039">
        <f t="shared" si="168"/>
        <v>0</v>
      </c>
      <c r="EF266" s="2039">
        <f t="shared" si="168"/>
        <v>0</v>
      </c>
      <c r="EG266" s="2039">
        <f t="shared" si="168"/>
        <v>0</v>
      </c>
      <c r="EH266" s="2039">
        <f t="shared" si="167"/>
        <v>0</v>
      </c>
      <c r="EI266" s="2040">
        <f t="shared" si="165"/>
        <v>0</v>
      </c>
      <c r="EJ266" s="2040">
        <f t="shared" si="165"/>
        <v>0</v>
      </c>
      <c r="EK266" s="2040">
        <f t="shared" si="165"/>
        <v>0</v>
      </c>
      <c r="EL266" s="2040">
        <f t="shared" si="164"/>
        <v>0</v>
      </c>
      <c r="EM266" s="2040">
        <f t="shared" si="164"/>
        <v>0</v>
      </c>
      <c r="EN266" s="2040">
        <f t="shared" si="164"/>
        <v>0</v>
      </c>
      <c r="EO266" s="2040">
        <f t="shared" si="164"/>
        <v>0</v>
      </c>
      <c r="EP266" s="2040">
        <f t="shared" si="164"/>
        <v>0</v>
      </c>
      <c r="EQ266" s="2040">
        <f t="shared" si="164"/>
        <v>0</v>
      </c>
      <c r="ER266" s="2040">
        <f t="shared" si="137"/>
        <v>0</v>
      </c>
      <c r="ES266" s="2040">
        <f t="shared" si="137"/>
        <v>0</v>
      </c>
      <c r="ET266" s="2040">
        <f t="shared" si="137"/>
        <v>0</v>
      </c>
      <c r="EU266" s="2039">
        <f t="shared" si="169"/>
        <v>0</v>
      </c>
      <c r="EV266" s="2039">
        <f t="shared" si="170"/>
        <v>0</v>
      </c>
    </row>
    <row r="267" spans="1:152" x14ac:dyDescent="0.25">
      <c r="A267" s="2126" t="s">
        <v>2874</v>
      </c>
      <c r="B267" s="1974" t="str">
        <f t="shared" si="146"/>
        <v>BPL50 and Online Store</v>
      </c>
      <c r="C267" s="1974">
        <f t="shared" ref="C267:E282" si="173">C23</f>
        <v>15</v>
      </c>
      <c r="D267" s="2028">
        <v>1807.2102776975823</v>
      </c>
      <c r="E267" s="2127">
        <f>E23</f>
        <v>0</v>
      </c>
      <c r="F267" s="1974">
        <f t="shared" ref="F267:F330" si="174">F23</f>
        <v>0</v>
      </c>
      <c r="G267" s="1974" t="s">
        <v>2997</v>
      </c>
      <c r="H267" s="1974" t="s">
        <v>2997</v>
      </c>
      <c r="I267" s="2026">
        <v>0.96199999999999997</v>
      </c>
      <c r="J267" s="2026">
        <v>0.96199999999999997</v>
      </c>
      <c r="K267" s="2026">
        <v>0.96199999999999997</v>
      </c>
      <c r="L267" s="2026">
        <v>0.96199999999999997</v>
      </c>
      <c r="M267" s="2027">
        <f t="shared" si="158"/>
        <v>1738.5362871450741</v>
      </c>
      <c r="N267" s="2027">
        <f t="shared" si="158"/>
        <v>1738.5362871450741</v>
      </c>
      <c r="O267" s="2027">
        <f t="shared" si="158"/>
        <v>1738.5362871450741</v>
      </c>
      <c r="P267" s="2027">
        <f t="shared" si="158"/>
        <v>1738.5362871450741</v>
      </c>
      <c r="Q267" s="2026">
        <v>0.96199999999999997</v>
      </c>
      <c r="R267" s="2026">
        <v>0.96199999999999997</v>
      </c>
      <c r="S267" s="2026">
        <v>0.96199999999999997</v>
      </c>
      <c r="T267" s="2026">
        <v>0.96199999999999997</v>
      </c>
      <c r="U267" s="2028">
        <f t="shared" si="159"/>
        <v>0</v>
      </c>
      <c r="V267" s="2028">
        <f t="shared" si="159"/>
        <v>0</v>
      </c>
      <c r="W267" s="2028">
        <f t="shared" si="159"/>
        <v>0</v>
      </c>
      <c r="X267" s="2028">
        <f t="shared" si="159"/>
        <v>0</v>
      </c>
      <c r="Y267" s="2026">
        <v>0.96199999999999997</v>
      </c>
      <c r="Z267" s="2026">
        <v>0.96199999999999997</v>
      </c>
      <c r="AA267" s="2026">
        <v>0.96199999999999997</v>
      </c>
      <c r="AB267" s="2026">
        <v>0.96199999999999997</v>
      </c>
      <c r="AC267" s="2027">
        <f t="shared" si="160"/>
        <v>0</v>
      </c>
      <c r="AD267" s="2027">
        <f t="shared" si="160"/>
        <v>0</v>
      </c>
      <c r="AE267" s="2027">
        <f t="shared" si="160"/>
        <v>0</v>
      </c>
      <c r="AF267" s="2027">
        <f t="shared" si="160"/>
        <v>0</v>
      </c>
      <c r="AG267" s="2027">
        <v>5333</v>
      </c>
      <c r="AH267" s="2027">
        <v>5395</v>
      </c>
      <c r="AI267" s="2027">
        <v>5417</v>
      </c>
      <c r="AJ267" s="2027">
        <v>5405</v>
      </c>
      <c r="AK267" s="2027">
        <f t="shared" si="148"/>
        <v>9271614.01934468</v>
      </c>
      <c r="AL267" s="2027">
        <f t="shared" si="149"/>
        <v>9255347.0906647947</v>
      </c>
      <c r="AM267" s="2027">
        <f t="shared" si="149"/>
        <v>9293089.0065118056</v>
      </c>
      <c r="AN267" s="2027">
        <f t="shared" si="149"/>
        <v>9272502.5069588907</v>
      </c>
      <c r="AO267" s="2027">
        <f t="shared" si="161"/>
        <v>0</v>
      </c>
      <c r="AP267" s="2027">
        <f t="shared" si="150"/>
        <v>0</v>
      </c>
      <c r="AQ267" s="2027">
        <f t="shared" si="150"/>
        <v>0</v>
      </c>
      <c r="AR267" s="2027">
        <f t="shared" si="150"/>
        <v>0</v>
      </c>
      <c r="AS267" s="2029">
        <v>280.28586070010829</v>
      </c>
      <c r="AT267" s="2029">
        <f t="shared" si="151"/>
        <v>280.28586070010829</v>
      </c>
      <c r="AU267" s="2029">
        <f t="shared" si="151"/>
        <v>280.28586070010829</v>
      </c>
      <c r="AV267" s="2029">
        <f t="shared" si="151"/>
        <v>280.28586070010829</v>
      </c>
      <c r="AW267" s="2029">
        <f t="shared" si="152"/>
        <v>0</v>
      </c>
      <c r="AX267" s="2029">
        <f t="shared" si="171"/>
        <v>0</v>
      </c>
      <c r="AY267" s="2029">
        <f t="shared" si="171"/>
        <v>0</v>
      </c>
      <c r="AZ267" s="2029">
        <f t="shared" si="171"/>
        <v>0</v>
      </c>
      <c r="BA267" s="2029">
        <v>189.73709076145795</v>
      </c>
      <c r="BB267" s="2029">
        <f>$BA267</f>
        <v>189.73709076145795</v>
      </c>
      <c r="BC267" s="2029">
        <f t="shared" si="172"/>
        <v>189.73709076145795</v>
      </c>
      <c r="BD267" s="2029">
        <f t="shared" si="172"/>
        <v>189.73709076145795</v>
      </c>
      <c r="BE267" s="2030">
        <f t="shared" si="155"/>
        <v>1494764.4951136776</v>
      </c>
      <c r="BF267" s="2030">
        <f t="shared" si="155"/>
        <v>1512142.2184770843</v>
      </c>
      <c r="BG267" s="2030">
        <f t="shared" si="155"/>
        <v>1518308.5074124865</v>
      </c>
      <c r="BH267" s="2030">
        <f t="shared" si="155"/>
        <v>1514945.0770840852</v>
      </c>
      <c r="BI267" s="2030">
        <f t="shared" si="156"/>
        <v>0</v>
      </c>
      <c r="BJ267" s="2030">
        <f t="shared" si="156"/>
        <v>0</v>
      </c>
      <c r="BK267" s="2030">
        <f t="shared" si="156"/>
        <v>0</v>
      </c>
      <c r="BL267" s="2030">
        <f t="shared" si="156"/>
        <v>0</v>
      </c>
      <c r="BM267" s="2125"/>
      <c r="BN267" s="2125"/>
      <c r="BO267" s="2125"/>
      <c r="BP267" s="2125"/>
      <c r="BQ267" s="2125"/>
      <c r="BR267" s="2125"/>
      <c r="BS267" s="2125"/>
      <c r="BT267" s="2125"/>
      <c r="BU267" s="2029"/>
      <c r="BV267" s="2029"/>
      <c r="BW267" s="2029"/>
      <c r="BX267" s="2029"/>
      <c r="BY267" s="2029"/>
      <c r="BZ267" s="2032"/>
      <c r="CA267" s="1974">
        <f t="shared" ref="CA267:CK282" si="175">CA23</f>
        <v>0</v>
      </c>
      <c r="CB267" s="1974">
        <f t="shared" si="175"/>
        <v>0</v>
      </c>
      <c r="CC267" s="1974">
        <f t="shared" si="175"/>
        <v>0</v>
      </c>
      <c r="CD267" s="1974">
        <f t="shared" si="175"/>
        <v>0</v>
      </c>
      <c r="CE267" s="1974">
        <f t="shared" si="175"/>
        <v>1</v>
      </c>
      <c r="CF267" s="2033">
        <v>3.875846926218509E-2</v>
      </c>
      <c r="CG267" s="2026">
        <v>0</v>
      </c>
      <c r="CH267" s="2009">
        <f t="shared" si="175"/>
        <v>1</v>
      </c>
      <c r="CI267" s="2031">
        <f t="shared" si="175"/>
        <v>16.835977777777774</v>
      </c>
      <c r="CJ267" s="1974">
        <f t="shared" si="175"/>
        <v>0</v>
      </c>
      <c r="CK267" s="2031">
        <f t="shared" si="175"/>
        <v>-16.835977777777774</v>
      </c>
      <c r="CL267" s="2026">
        <v>1</v>
      </c>
      <c r="CM267" s="2026">
        <v>0.98677355318637949</v>
      </c>
      <c r="CN267" s="2026">
        <v>0.98677355318637949</v>
      </c>
      <c r="CO267" s="2026">
        <v>0.98677355318637949</v>
      </c>
      <c r="CP267" s="2035"/>
      <c r="CQ267" s="2036"/>
      <c r="CR267" s="2036"/>
      <c r="CS267" s="2036"/>
      <c r="CT267" s="2036"/>
      <c r="CU267" s="2036"/>
      <c r="CW267" s="1973">
        <v>0</v>
      </c>
      <c r="CX267" s="2037">
        <v>245.25012811259469</v>
      </c>
      <c r="CY267" s="2037">
        <v>245.25012811259469</v>
      </c>
      <c r="CZ267" s="2037">
        <v>245.25012811259469</v>
      </c>
      <c r="DA267" s="2037">
        <v>245.25012811259469</v>
      </c>
      <c r="DJ267" s="1976">
        <v>245.25012811259469</v>
      </c>
      <c r="DK267" s="1973">
        <v>245.25012811259469</v>
      </c>
      <c r="DL267" s="1973">
        <v>245.25012811259469</v>
      </c>
      <c r="DM267" s="1973">
        <v>245.25012811259469</v>
      </c>
      <c r="DO267" s="2047">
        <v>15</v>
      </c>
      <c r="DP267" s="2129">
        <v>1807.2102776975823</v>
      </c>
      <c r="DQ267" s="2130">
        <v>0</v>
      </c>
      <c r="DR267" s="2047">
        <v>0</v>
      </c>
      <c r="DS267" s="2046">
        <v>280.28586070010823</v>
      </c>
      <c r="DT267" s="2046">
        <v>280.28586070010823</v>
      </c>
      <c r="DU267" s="2046">
        <v>280.28586070010823</v>
      </c>
      <c r="DV267" s="2046">
        <v>280.28586070010823</v>
      </c>
      <c r="DW267" s="2046">
        <v>0</v>
      </c>
      <c r="DX267" s="2046">
        <v>0</v>
      </c>
      <c r="DY267" s="2046">
        <v>0</v>
      </c>
      <c r="DZ267" s="2046">
        <v>0</v>
      </c>
      <c r="EA267" s="2046">
        <v>189.73709076145795</v>
      </c>
      <c r="EB267" s="2046">
        <v>189.73709076145795</v>
      </c>
      <c r="EC267" s="2046">
        <v>189.73709076145795</v>
      </c>
      <c r="ED267" s="2046">
        <v>189.73709076145795</v>
      </c>
      <c r="EE267" s="2039">
        <f t="shared" si="168"/>
        <v>0</v>
      </c>
      <c r="EF267" s="2039">
        <f t="shared" si="168"/>
        <v>0</v>
      </c>
      <c r="EG267" s="2039">
        <f t="shared" si="168"/>
        <v>0</v>
      </c>
      <c r="EH267" s="2039">
        <f t="shared" si="167"/>
        <v>0</v>
      </c>
      <c r="EI267" s="2040">
        <f t="shared" si="165"/>
        <v>0</v>
      </c>
      <c r="EJ267" s="2040">
        <f t="shared" si="165"/>
        <v>0</v>
      </c>
      <c r="EK267" s="2040">
        <f t="shared" si="165"/>
        <v>0</v>
      </c>
      <c r="EL267" s="2040">
        <f t="shared" si="164"/>
        <v>0</v>
      </c>
      <c r="EM267" s="2040">
        <f t="shared" si="164"/>
        <v>0</v>
      </c>
      <c r="EN267" s="2040">
        <f t="shared" si="164"/>
        <v>0</v>
      </c>
      <c r="EO267" s="2040">
        <f t="shared" si="164"/>
        <v>0</v>
      </c>
      <c r="EP267" s="2040">
        <f t="shared" si="164"/>
        <v>0</v>
      </c>
      <c r="EQ267" s="2040">
        <f t="shared" si="164"/>
        <v>0</v>
      </c>
      <c r="ER267" s="2040">
        <f t="shared" si="137"/>
        <v>0</v>
      </c>
      <c r="ES267" s="2040">
        <f t="shared" si="137"/>
        <v>0</v>
      </c>
      <c r="ET267" s="2040">
        <f t="shared" si="137"/>
        <v>0</v>
      </c>
      <c r="EU267" s="2039">
        <f t="shared" si="169"/>
        <v>0</v>
      </c>
      <c r="EV267" s="2039">
        <f t="shared" si="170"/>
        <v>0</v>
      </c>
    </row>
    <row r="268" spans="1:152" x14ac:dyDescent="0.25">
      <c r="A268" s="2126" t="s">
        <v>2876</v>
      </c>
      <c r="B268" s="2093" t="str">
        <f t="shared" si="146"/>
        <v xml:space="preserve">BPL68 </v>
      </c>
      <c r="C268" s="1974">
        <f t="shared" si="173"/>
        <v>11</v>
      </c>
      <c r="D268" s="2028">
        <v>402.77418446313504</v>
      </c>
      <c r="E268" s="1974">
        <v>7.6724492832285066E-2</v>
      </c>
      <c r="F268" s="1974">
        <v>-5.2649053908958043</v>
      </c>
      <c r="G268" s="1974" t="s">
        <v>2997</v>
      </c>
      <c r="H268" s="1974" t="s">
        <v>2997</v>
      </c>
      <c r="I268" s="2026">
        <v>0.96199999999999997</v>
      </c>
      <c r="J268" s="2026">
        <v>0.96199999999999997</v>
      </c>
      <c r="K268" s="2026">
        <v>0.96199999999999997</v>
      </c>
      <c r="L268" s="2026">
        <v>0.96199999999999997</v>
      </c>
      <c r="M268" s="2027">
        <f t="shared" si="158"/>
        <v>387.46876545353592</v>
      </c>
      <c r="N268" s="2027">
        <f t="shared" si="158"/>
        <v>387.46876545353592</v>
      </c>
      <c r="O268" s="2027">
        <f t="shared" si="158"/>
        <v>387.46876545353592</v>
      </c>
      <c r="P268" s="2027">
        <f t="shared" si="158"/>
        <v>387.46876545353592</v>
      </c>
      <c r="Q268" s="2026">
        <v>0.96199999999999997</v>
      </c>
      <c r="R268" s="2026">
        <v>0.96199999999999997</v>
      </c>
      <c r="S268" s="2026">
        <v>0.96199999999999997</v>
      </c>
      <c r="T268" s="2026">
        <v>0.96199999999999997</v>
      </c>
      <c r="U268" s="2028">
        <f t="shared" si="159"/>
        <v>7.3808962104658232E-2</v>
      </c>
      <c r="V268" s="2028">
        <f t="shared" si="159"/>
        <v>7.3808962104658232E-2</v>
      </c>
      <c r="W268" s="2028">
        <f t="shared" si="159"/>
        <v>7.3808962104658232E-2</v>
      </c>
      <c r="X268" s="2028">
        <f t="shared" si="159"/>
        <v>7.3808962104658232E-2</v>
      </c>
      <c r="Y268" s="2026">
        <v>0.96199999999999997</v>
      </c>
      <c r="Z268" s="2026">
        <v>0.96199999999999997</v>
      </c>
      <c r="AA268" s="2026">
        <v>0.96199999999999997</v>
      </c>
      <c r="AB268" s="2026">
        <v>0.96199999999999997</v>
      </c>
      <c r="AC268" s="2027">
        <f t="shared" si="160"/>
        <v>-5.0648389860417637</v>
      </c>
      <c r="AD268" s="2027">
        <f t="shared" si="160"/>
        <v>-5.0648389860417637</v>
      </c>
      <c r="AE268" s="2027">
        <f t="shared" si="160"/>
        <v>-5.0648389860417637</v>
      </c>
      <c r="AF268" s="2027">
        <f t="shared" si="160"/>
        <v>-5.0648389860417637</v>
      </c>
      <c r="AG268" s="2027">
        <v>132</v>
      </c>
      <c r="AH268" s="2027">
        <v>139</v>
      </c>
      <c r="AI268" s="2027">
        <v>145</v>
      </c>
      <c r="AJ268" s="2027">
        <v>146</v>
      </c>
      <c r="AK268" s="2027">
        <f t="shared" si="148"/>
        <v>51145.87703986674</v>
      </c>
      <c r="AL268" s="2027">
        <f t="shared" si="149"/>
        <v>45301.968695090218</v>
      </c>
      <c r="AM268" s="2027">
        <f t="shared" si="149"/>
        <v>47257.449358187645</v>
      </c>
      <c r="AN268" s="2027">
        <f t="shared" si="149"/>
        <v>47583.362802037205</v>
      </c>
      <c r="AO268" s="2027">
        <f t="shared" si="161"/>
        <v>-668.55874615751281</v>
      </c>
      <c r="AP268" s="2027">
        <f t="shared" si="150"/>
        <v>-592.16947957796378</v>
      </c>
      <c r="AQ268" s="2027">
        <f t="shared" si="150"/>
        <v>-617.73075207773195</v>
      </c>
      <c r="AR268" s="2027">
        <f t="shared" si="150"/>
        <v>-621.99096416102668</v>
      </c>
      <c r="AS268" s="2124">
        <f>AS24*1.9</f>
        <v>20.519999999999996</v>
      </c>
      <c r="AT268" s="2029">
        <f t="shared" si="151"/>
        <v>20.519999999999996</v>
      </c>
      <c r="AU268" s="2029">
        <f t="shared" si="151"/>
        <v>20.519999999999996</v>
      </c>
      <c r="AV268" s="2029">
        <f t="shared" si="151"/>
        <v>20.519999999999996</v>
      </c>
      <c r="AW268" s="2124">
        <f t="shared" si="152"/>
        <v>0</v>
      </c>
      <c r="AX268" s="2029">
        <f t="shared" si="171"/>
        <v>0</v>
      </c>
      <c r="AY268" s="2029">
        <f t="shared" si="171"/>
        <v>0</v>
      </c>
      <c r="AZ268" s="2029">
        <f t="shared" si="171"/>
        <v>0</v>
      </c>
      <c r="BA268" s="2124">
        <f t="shared" ref="BA268:BD283" si="176">BA24</f>
        <v>12</v>
      </c>
      <c r="BB268" s="2029">
        <f t="shared" si="176"/>
        <v>12</v>
      </c>
      <c r="BC268" s="2029">
        <f t="shared" si="176"/>
        <v>12</v>
      </c>
      <c r="BD268" s="2029">
        <f t="shared" si="176"/>
        <v>12</v>
      </c>
      <c r="BE268" s="2030">
        <f t="shared" si="155"/>
        <v>2708.6399999999994</v>
      </c>
      <c r="BF268" s="2030">
        <f t="shared" si="155"/>
        <v>2852.2799999999993</v>
      </c>
      <c r="BG268" s="2030">
        <f t="shared" si="155"/>
        <v>2975.3999999999996</v>
      </c>
      <c r="BH268" s="2030">
        <f t="shared" si="155"/>
        <v>2995.9199999999996</v>
      </c>
      <c r="BI268" s="2030">
        <f t="shared" si="156"/>
        <v>0</v>
      </c>
      <c r="BJ268" s="2030">
        <f t="shared" si="156"/>
        <v>0</v>
      </c>
      <c r="BK268" s="2030">
        <f t="shared" si="156"/>
        <v>0</v>
      </c>
      <c r="BL268" s="2030">
        <f t="shared" si="156"/>
        <v>0</v>
      </c>
      <c r="BM268" s="2125"/>
      <c r="BN268" s="2125"/>
      <c r="BO268" s="2125"/>
      <c r="BP268" s="2125"/>
      <c r="BQ268" s="2125"/>
      <c r="BR268" s="2125"/>
      <c r="BS268" s="2125"/>
      <c r="BT268" s="2125"/>
      <c r="BU268" s="2029"/>
      <c r="BV268" s="2029"/>
      <c r="BW268" s="2029"/>
      <c r="BX268" s="2029"/>
      <c r="BY268" s="2029"/>
      <c r="BZ268" s="2032"/>
      <c r="CA268" s="1974">
        <f t="shared" si="175"/>
        <v>0</v>
      </c>
      <c r="CB268" s="1974">
        <f t="shared" si="175"/>
        <v>0</v>
      </c>
      <c r="CC268" s="1974">
        <f t="shared" si="175"/>
        <v>0</v>
      </c>
      <c r="CD268" s="1974">
        <f t="shared" si="175"/>
        <v>0</v>
      </c>
      <c r="CE268" s="1974">
        <f t="shared" si="175"/>
        <v>1</v>
      </c>
      <c r="CF268" s="2033">
        <v>2.1380699185720472E-4</v>
      </c>
      <c r="CG268" s="2026">
        <v>-2.4942618435513204E-4</v>
      </c>
      <c r="CH268" s="2009">
        <f t="shared" si="175"/>
        <v>0</v>
      </c>
      <c r="CI268" s="2031">
        <f t="shared" si="175"/>
        <v>0</v>
      </c>
      <c r="CJ268" s="1974">
        <f t="shared" si="175"/>
        <v>0</v>
      </c>
      <c r="CK268" s="2031">
        <f t="shared" si="175"/>
        <v>0</v>
      </c>
      <c r="CL268" s="2026">
        <v>1</v>
      </c>
      <c r="CM268" s="2026">
        <v>0.84113475177304964</v>
      </c>
      <c r="CN268" s="2026">
        <v>0.84113475177304964</v>
      </c>
      <c r="CO268" s="2026">
        <v>0.84113475177304964</v>
      </c>
      <c r="CP268" s="2035"/>
      <c r="CQ268" s="2036"/>
      <c r="CR268" s="2036"/>
      <c r="CS268" s="2036"/>
      <c r="CT268" s="2036"/>
      <c r="CU268" s="2036"/>
      <c r="CW268" s="1973">
        <v>0</v>
      </c>
      <c r="CX268" s="2037">
        <v>20.519999999999996</v>
      </c>
      <c r="CY268" s="2037">
        <v>20.519999999999996</v>
      </c>
      <c r="CZ268" s="2037">
        <v>20.519999999999996</v>
      </c>
      <c r="DA268" s="2037">
        <v>20.519999999999996</v>
      </c>
      <c r="DJ268" s="1976">
        <v>20.519999999999996</v>
      </c>
      <c r="DK268" s="1973">
        <v>20.519999999999996</v>
      </c>
      <c r="DL268" s="1973">
        <v>20.519999999999996</v>
      </c>
      <c r="DM268" s="1973">
        <v>20.519999999999996</v>
      </c>
      <c r="DO268" s="1974">
        <v>11</v>
      </c>
      <c r="DP268" s="2028">
        <v>402.77418446313504</v>
      </c>
      <c r="DQ268" s="1974">
        <v>7.6724492832285066E-2</v>
      </c>
      <c r="DR268" s="1974">
        <v>-5.2649053908958043</v>
      </c>
      <c r="DS268" s="2124">
        <v>20.519999999999996</v>
      </c>
      <c r="DT268" s="2029">
        <v>20.519999999999996</v>
      </c>
      <c r="DU268" s="2029">
        <v>20.519999999999996</v>
      </c>
      <c r="DV268" s="2029">
        <v>20.519999999999996</v>
      </c>
      <c r="DW268" s="2124">
        <v>0</v>
      </c>
      <c r="DX268" s="2029">
        <v>0</v>
      </c>
      <c r="DY268" s="2029">
        <v>0</v>
      </c>
      <c r="DZ268" s="2029">
        <v>0</v>
      </c>
      <c r="EA268" s="2124">
        <v>12</v>
      </c>
      <c r="EB268" s="2029">
        <v>12</v>
      </c>
      <c r="EC268" s="2029">
        <v>12</v>
      </c>
      <c r="ED268" s="2029">
        <v>12</v>
      </c>
      <c r="EE268" s="2039">
        <f t="shared" si="168"/>
        <v>0</v>
      </c>
      <c r="EF268" s="2039">
        <f t="shared" si="168"/>
        <v>0</v>
      </c>
      <c r="EG268" s="2039">
        <f t="shared" si="168"/>
        <v>0</v>
      </c>
      <c r="EH268" s="2039">
        <f t="shared" si="167"/>
        <v>0</v>
      </c>
      <c r="EI268" s="2040">
        <f t="shared" si="165"/>
        <v>0</v>
      </c>
      <c r="EJ268" s="2040">
        <f t="shared" si="165"/>
        <v>0</v>
      </c>
      <c r="EK268" s="2040">
        <f t="shared" si="165"/>
        <v>0</v>
      </c>
      <c r="EL268" s="2040">
        <f t="shared" si="164"/>
        <v>0</v>
      </c>
      <c r="EM268" s="2040">
        <f t="shared" si="164"/>
        <v>0</v>
      </c>
      <c r="EN268" s="2040">
        <f t="shared" si="164"/>
        <v>0</v>
      </c>
      <c r="EO268" s="2040">
        <f t="shared" si="164"/>
        <v>0</v>
      </c>
      <c r="EP268" s="2040">
        <f t="shared" si="164"/>
        <v>0</v>
      </c>
      <c r="EQ268" s="2040">
        <f t="shared" si="164"/>
        <v>0</v>
      </c>
      <c r="ER268" s="2040">
        <f t="shared" si="137"/>
        <v>0</v>
      </c>
      <c r="ES268" s="2040">
        <f t="shared" si="137"/>
        <v>0</v>
      </c>
      <c r="ET268" s="2040">
        <f t="shared" si="137"/>
        <v>0</v>
      </c>
      <c r="EU268" s="2039">
        <f t="shared" si="169"/>
        <v>0</v>
      </c>
      <c r="EV268" s="2039">
        <f t="shared" si="170"/>
        <v>0</v>
      </c>
    </row>
    <row r="269" spans="1:152" x14ac:dyDescent="0.25">
      <c r="A269" s="2126" t="s">
        <v>2878</v>
      </c>
      <c r="B269" s="2093" t="str">
        <f t="shared" si="146"/>
        <v>BPL93</v>
      </c>
      <c r="C269" s="1974">
        <f t="shared" si="173"/>
        <v>15</v>
      </c>
      <c r="D269" s="2028">
        <v>573.79834962481209</v>
      </c>
      <c r="E269" s="1974">
        <v>7.6551859795615587E-2</v>
      </c>
      <c r="F269" s="1974">
        <v>0</v>
      </c>
      <c r="G269" s="1974" t="s">
        <v>2997</v>
      </c>
      <c r="H269" s="1974" t="s">
        <v>2997</v>
      </c>
      <c r="I269" s="2026">
        <v>0.96199999999999997</v>
      </c>
      <c r="J269" s="2026">
        <v>0.96199999999999997</v>
      </c>
      <c r="K269" s="2026">
        <v>0.96199999999999997</v>
      </c>
      <c r="L269" s="2026">
        <v>0.96199999999999997</v>
      </c>
      <c r="M269" s="2027">
        <f t="shared" si="158"/>
        <v>551.99401233906917</v>
      </c>
      <c r="N269" s="2027">
        <f t="shared" si="158"/>
        <v>551.99401233906917</v>
      </c>
      <c r="O269" s="2027">
        <f t="shared" si="158"/>
        <v>551.99401233906917</v>
      </c>
      <c r="P269" s="2027">
        <f t="shared" si="158"/>
        <v>551.99401233906917</v>
      </c>
      <c r="Q269" s="2026">
        <v>0.96199999999999997</v>
      </c>
      <c r="R269" s="2026">
        <v>0.96199999999999997</v>
      </c>
      <c r="S269" s="2026">
        <v>0.96199999999999997</v>
      </c>
      <c r="T269" s="2026">
        <v>0.96199999999999997</v>
      </c>
      <c r="U269" s="2028">
        <f t="shared" si="159"/>
        <v>7.3642889123382196E-2</v>
      </c>
      <c r="V269" s="2028">
        <f t="shared" si="159"/>
        <v>7.3642889123382196E-2</v>
      </c>
      <c r="W269" s="2028">
        <f t="shared" si="159"/>
        <v>7.3642889123382196E-2</v>
      </c>
      <c r="X269" s="2028">
        <f t="shared" si="159"/>
        <v>7.3642889123382196E-2</v>
      </c>
      <c r="Y269" s="2026">
        <v>0.96199999999999997</v>
      </c>
      <c r="Z269" s="2026">
        <v>0.96199999999999997</v>
      </c>
      <c r="AA269" s="2026">
        <v>0.96199999999999997</v>
      </c>
      <c r="AB269" s="2026">
        <v>0.96199999999999997</v>
      </c>
      <c r="AC269" s="2027">
        <f t="shared" si="160"/>
        <v>0</v>
      </c>
      <c r="AD269" s="2027">
        <f t="shared" si="160"/>
        <v>0</v>
      </c>
      <c r="AE269" s="2027">
        <f t="shared" si="160"/>
        <v>0</v>
      </c>
      <c r="AF269" s="2027">
        <f t="shared" si="160"/>
        <v>0</v>
      </c>
      <c r="AG269" s="2027">
        <v>333</v>
      </c>
      <c r="AH269" s="2027">
        <v>285</v>
      </c>
      <c r="AI269" s="2027">
        <v>240</v>
      </c>
      <c r="AJ269" s="2027">
        <v>195</v>
      </c>
      <c r="AK269" s="2027">
        <f t="shared" si="148"/>
        <v>183814.00610891002</v>
      </c>
      <c r="AL269" s="2027">
        <f t="shared" si="149"/>
        <v>47195.488054990412</v>
      </c>
      <c r="AM269" s="2027">
        <f t="shared" si="149"/>
        <v>39743.568888412978</v>
      </c>
      <c r="AN269" s="2027">
        <f t="shared" si="149"/>
        <v>32291.649721835543</v>
      </c>
      <c r="AO269" s="2027">
        <f t="shared" si="161"/>
        <v>0</v>
      </c>
      <c r="AP269" s="2027">
        <f t="shared" si="150"/>
        <v>0</v>
      </c>
      <c r="AQ269" s="2027">
        <f t="shared" si="150"/>
        <v>0</v>
      </c>
      <c r="AR269" s="2027">
        <f t="shared" si="150"/>
        <v>0</v>
      </c>
      <c r="AS269" s="2124">
        <f>AS25*1.9</f>
        <v>60.42</v>
      </c>
      <c r="AT269" s="2029">
        <f t="shared" si="151"/>
        <v>60.42</v>
      </c>
      <c r="AU269" s="2029">
        <f t="shared" si="151"/>
        <v>60.42</v>
      </c>
      <c r="AV269" s="2029">
        <f t="shared" si="151"/>
        <v>60.42</v>
      </c>
      <c r="AW269" s="2124">
        <f t="shared" si="152"/>
        <v>0</v>
      </c>
      <c r="AX269" s="2029">
        <f t="shared" si="171"/>
        <v>0</v>
      </c>
      <c r="AY269" s="2029">
        <f t="shared" si="171"/>
        <v>0</v>
      </c>
      <c r="AZ269" s="2029">
        <f t="shared" si="171"/>
        <v>0</v>
      </c>
      <c r="BA269" s="2124">
        <f t="shared" si="176"/>
        <v>42</v>
      </c>
      <c r="BB269" s="2029">
        <f t="shared" si="176"/>
        <v>42</v>
      </c>
      <c r="BC269" s="2029">
        <f t="shared" si="176"/>
        <v>42</v>
      </c>
      <c r="BD269" s="2029">
        <f t="shared" si="176"/>
        <v>42</v>
      </c>
      <c r="BE269" s="2030">
        <f t="shared" si="155"/>
        <v>20119.86</v>
      </c>
      <c r="BF269" s="2030">
        <f t="shared" si="155"/>
        <v>17219.7</v>
      </c>
      <c r="BG269" s="2030">
        <f t="shared" si="155"/>
        <v>14500.800000000001</v>
      </c>
      <c r="BH269" s="2030">
        <f t="shared" si="155"/>
        <v>11781.9</v>
      </c>
      <c r="BI269" s="2030">
        <f t="shared" si="156"/>
        <v>0</v>
      </c>
      <c r="BJ269" s="2030">
        <f t="shared" si="156"/>
        <v>0</v>
      </c>
      <c r="BK269" s="2030">
        <f t="shared" si="156"/>
        <v>0</v>
      </c>
      <c r="BL269" s="2030">
        <f t="shared" si="156"/>
        <v>0</v>
      </c>
      <c r="BM269" s="2125"/>
      <c r="BN269" s="2125"/>
      <c r="BO269" s="2125"/>
      <c r="BP269" s="2125"/>
      <c r="BQ269" s="2125"/>
      <c r="BR269" s="2125"/>
      <c r="BS269" s="2125"/>
      <c r="BT269" s="2125"/>
      <c r="BU269" s="2029"/>
      <c r="BV269" s="2029"/>
      <c r="BW269" s="2029"/>
      <c r="BX269" s="2029"/>
      <c r="BY269" s="2029"/>
      <c r="BZ269" s="2032"/>
      <c r="CA269" s="1974">
        <f t="shared" si="175"/>
        <v>0</v>
      </c>
      <c r="CB269" s="1974">
        <f t="shared" si="175"/>
        <v>0</v>
      </c>
      <c r="CC269" s="1974">
        <f t="shared" si="175"/>
        <v>0</v>
      </c>
      <c r="CD269" s="1974">
        <f t="shared" si="175"/>
        <v>0</v>
      </c>
      <c r="CE269" s="1974">
        <f t="shared" si="175"/>
        <v>1</v>
      </c>
      <c r="CF269" s="2033">
        <v>7.6840445373014372E-4</v>
      </c>
      <c r="CG269" s="2026">
        <v>0</v>
      </c>
      <c r="CH269" s="2009">
        <f t="shared" si="175"/>
        <v>1</v>
      </c>
      <c r="CI269" s="2031">
        <f t="shared" si="175"/>
        <v>-0.13682777777777794</v>
      </c>
      <c r="CJ269" s="1974">
        <f t="shared" si="175"/>
        <v>0</v>
      </c>
      <c r="CK269" s="2031">
        <f t="shared" si="175"/>
        <v>0.13682777777777794</v>
      </c>
      <c r="CL269" s="2026">
        <v>1</v>
      </c>
      <c r="CM269" s="2026">
        <v>0.3</v>
      </c>
      <c r="CN269" s="2026">
        <v>0.3</v>
      </c>
      <c r="CO269" s="2026">
        <v>0.3</v>
      </c>
      <c r="CP269" s="2035"/>
      <c r="CQ269" s="2036"/>
      <c r="CR269" s="2036"/>
      <c r="CS269" s="2036"/>
      <c r="CT269" s="2036"/>
      <c r="CU269" s="2036"/>
      <c r="CW269" s="1973">
        <v>0</v>
      </c>
      <c r="CX269" s="2037">
        <v>60.42</v>
      </c>
      <c r="CY269" s="2037">
        <v>60.42</v>
      </c>
      <c r="CZ269" s="2037">
        <v>60.42</v>
      </c>
      <c r="DA269" s="2037">
        <v>60.42</v>
      </c>
      <c r="DJ269" s="1976">
        <v>60.42</v>
      </c>
      <c r="DK269" s="1973">
        <v>60.42</v>
      </c>
      <c r="DL269" s="1973">
        <v>60.42</v>
      </c>
      <c r="DM269" s="1973">
        <v>60.42</v>
      </c>
      <c r="DO269" s="1974">
        <v>15</v>
      </c>
      <c r="DP269" s="2028">
        <v>573.79834962481209</v>
      </c>
      <c r="DQ269" s="1974">
        <v>7.6551859795615587E-2</v>
      </c>
      <c r="DR269" s="1974">
        <v>0</v>
      </c>
      <c r="DS269" s="2124">
        <v>60.42</v>
      </c>
      <c r="DT269" s="2029">
        <v>60.42</v>
      </c>
      <c r="DU269" s="2029">
        <v>60.42</v>
      </c>
      <c r="DV269" s="2029">
        <v>60.42</v>
      </c>
      <c r="DW269" s="2124">
        <v>0</v>
      </c>
      <c r="DX269" s="2029">
        <v>0</v>
      </c>
      <c r="DY269" s="2029">
        <v>0</v>
      </c>
      <c r="DZ269" s="2029">
        <v>0</v>
      </c>
      <c r="EA269" s="2124">
        <v>42</v>
      </c>
      <c r="EB269" s="2029">
        <v>42</v>
      </c>
      <c r="EC269" s="2029">
        <v>42</v>
      </c>
      <c r="ED269" s="2029">
        <v>42</v>
      </c>
      <c r="EE269" s="2039">
        <f t="shared" si="168"/>
        <v>0</v>
      </c>
      <c r="EF269" s="2039">
        <f t="shared" si="168"/>
        <v>0</v>
      </c>
      <c r="EG269" s="2039">
        <f t="shared" si="168"/>
        <v>0</v>
      </c>
      <c r="EH269" s="2039">
        <f t="shared" si="167"/>
        <v>0</v>
      </c>
      <c r="EI269" s="2040">
        <f t="shared" si="165"/>
        <v>0</v>
      </c>
      <c r="EJ269" s="2040">
        <f t="shared" si="165"/>
        <v>0</v>
      </c>
      <c r="EK269" s="2040">
        <f t="shared" si="165"/>
        <v>0</v>
      </c>
      <c r="EL269" s="2040">
        <f t="shared" si="164"/>
        <v>0</v>
      </c>
      <c r="EM269" s="2040">
        <f t="shared" si="164"/>
        <v>0</v>
      </c>
      <c r="EN269" s="2040">
        <f t="shared" si="164"/>
        <v>0</v>
      </c>
      <c r="EO269" s="2040">
        <f t="shared" si="164"/>
        <v>0</v>
      </c>
      <c r="EP269" s="2040">
        <f t="shared" si="164"/>
        <v>0</v>
      </c>
      <c r="EQ269" s="2040">
        <f t="shared" si="164"/>
        <v>0</v>
      </c>
      <c r="ER269" s="2040">
        <f t="shared" si="137"/>
        <v>0</v>
      </c>
      <c r="ES269" s="2040">
        <f t="shared" si="137"/>
        <v>0</v>
      </c>
      <c r="ET269" s="2040">
        <f t="shared" si="137"/>
        <v>0</v>
      </c>
      <c r="EU269" s="2039">
        <f t="shared" si="169"/>
        <v>0</v>
      </c>
      <c r="EV269" s="2039">
        <f t="shared" si="170"/>
        <v>0</v>
      </c>
    </row>
    <row r="270" spans="1:152" x14ac:dyDescent="0.25">
      <c r="A270" s="2126" t="s">
        <v>97</v>
      </c>
      <c r="B270" s="2093" t="str">
        <f t="shared" si="146"/>
        <v>BPL94</v>
      </c>
      <c r="C270" s="1974">
        <f t="shared" si="173"/>
        <v>8</v>
      </c>
      <c r="D270" s="2028">
        <v>64.656789787826611</v>
      </c>
      <c r="E270" s="1974">
        <v>2.8952638804635875E-2</v>
      </c>
      <c r="F270" s="1974">
        <v>0</v>
      </c>
      <c r="G270" s="1974" t="s">
        <v>2997</v>
      </c>
      <c r="H270" s="1974" t="s">
        <v>2997</v>
      </c>
      <c r="I270" s="2026">
        <v>0.96199999999999997</v>
      </c>
      <c r="J270" s="2026">
        <v>0.96199999999999997</v>
      </c>
      <c r="K270" s="2026">
        <v>0.96199999999999997</v>
      </c>
      <c r="L270" s="2026">
        <v>0.96199999999999997</v>
      </c>
      <c r="M270" s="2027">
        <f t="shared" si="158"/>
        <v>62.199831775889194</v>
      </c>
      <c r="N270" s="2027">
        <f t="shared" si="158"/>
        <v>62.199831775889194</v>
      </c>
      <c r="O270" s="2027">
        <f t="shared" si="158"/>
        <v>62.199831775889194</v>
      </c>
      <c r="P270" s="2027">
        <f t="shared" si="158"/>
        <v>62.199831775889194</v>
      </c>
      <c r="Q270" s="2026">
        <v>0.96199999999999997</v>
      </c>
      <c r="R270" s="2026">
        <v>0.96199999999999997</v>
      </c>
      <c r="S270" s="2026">
        <v>0.96199999999999997</v>
      </c>
      <c r="T270" s="2026">
        <v>0.96199999999999997</v>
      </c>
      <c r="U270" s="2028">
        <f t="shared" si="159"/>
        <v>2.7852438530059712E-2</v>
      </c>
      <c r="V270" s="2028">
        <f t="shared" si="159"/>
        <v>2.7852438530059712E-2</v>
      </c>
      <c r="W270" s="2028">
        <f t="shared" si="159"/>
        <v>2.7852438530059712E-2</v>
      </c>
      <c r="X270" s="2028">
        <f t="shared" si="159"/>
        <v>2.7852438530059712E-2</v>
      </c>
      <c r="Y270" s="2026">
        <v>0.96199999999999997</v>
      </c>
      <c r="Z270" s="2026">
        <v>0.96199999999999997</v>
      </c>
      <c r="AA270" s="2026">
        <v>0.96199999999999997</v>
      </c>
      <c r="AB270" s="2026">
        <v>0.96199999999999997</v>
      </c>
      <c r="AC270" s="2027">
        <f t="shared" si="160"/>
        <v>0</v>
      </c>
      <c r="AD270" s="2027">
        <f t="shared" si="160"/>
        <v>0</v>
      </c>
      <c r="AE270" s="2027">
        <f t="shared" si="160"/>
        <v>0</v>
      </c>
      <c r="AF270" s="2027">
        <f t="shared" si="160"/>
        <v>0</v>
      </c>
      <c r="AG270" s="2027">
        <v>32</v>
      </c>
      <c r="AH270" s="2027">
        <v>34</v>
      </c>
      <c r="AI270" s="2027">
        <v>41</v>
      </c>
      <c r="AJ270" s="2027">
        <v>35</v>
      </c>
      <c r="AK270" s="2027">
        <f t="shared" si="148"/>
        <v>1990.3946168284542</v>
      </c>
      <c r="AL270" s="2027">
        <f t="shared" si="149"/>
        <v>2114.7942803802325</v>
      </c>
      <c r="AM270" s="2027">
        <f t="shared" si="149"/>
        <v>2550.1931028114568</v>
      </c>
      <c r="AN270" s="2027">
        <f t="shared" si="149"/>
        <v>2176.9941121561219</v>
      </c>
      <c r="AO270" s="2027">
        <f t="shared" si="161"/>
        <v>0</v>
      </c>
      <c r="AP270" s="2027">
        <f t="shared" si="150"/>
        <v>0</v>
      </c>
      <c r="AQ270" s="2027">
        <f t="shared" si="150"/>
        <v>0</v>
      </c>
      <c r="AR270" s="2027">
        <f t="shared" si="150"/>
        <v>0</v>
      </c>
      <c r="AS270" s="2124">
        <f>AS26*1.9</f>
        <v>22.799999999999997</v>
      </c>
      <c r="AT270" s="2029">
        <f t="shared" si="151"/>
        <v>22.799999999999997</v>
      </c>
      <c r="AU270" s="2029">
        <f t="shared" si="151"/>
        <v>22.799999999999997</v>
      </c>
      <c r="AV270" s="2029">
        <f t="shared" si="151"/>
        <v>22.799999999999997</v>
      </c>
      <c r="AW270" s="2124">
        <f t="shared" si="152"/>
        <v>0</v>
      </c>
      <c r="AX270" s="2029">
        <f t="shared" si="171"/>
        <v>0</v>
      </c>
      <c r="AY270" s="2029">
        <f t="shared" si="171"/>
        <v>0</v>
      </c>
      <c r="AZ270" s="2029">
        <f t="shared" si="171"/>
        <v>0</v>
      </c>
      <c r="BA270" s="2124">
        <f t="shared" si="176"/>
        <v>77.67</v>
      </c>
      <c r="BB270" s="2029">
        <f t="shared" si="176"/>
        <v>77.67</v>
      </c>
      <c r="BC270" s="2029">
        <f t="shared" si="176"/>
        <v>77.67</v>
      </c>
      <c r="BD270" s="2029">
        <f t="shared" si="176"/>
        <v>77.67</v>
      </c>
      <c r="BE270" s="2030">
        <f t="shared" si="155"/>
        <v>729.59999999999991</v>
      </c>
      <c r="BF270" s="2030">
        <f t="shared" si="155"/>
        <v>775.19999999999993</v>
      </c>
      <c r="BG270" s="2030">
        <f t="shared" si="155"/>
        <v>934.79999999999984</v>
      </c>
      <c r="BH270" s="2030">
        <f t="shared" si="155"/>
        <v>797.99999999999989</v>
      </c>
      <c r="BI270" s="2030">
        <f t="shared" si="156"/>
        <v>0</v>
      </c>
      <c r="BJ270" s="2030">
        <f t="shared" si="156"/>
        <v>0</v>
      </c>
      <c r="BK270" s="2030">
        <f t="shared" si="156"/>
        <v>0</v>
      </c>
      <c r="BL270" s="2030">
        <f t="shared" si="156"/>
        <v>0</v>
      </c>
      <c r="BM270" s="2125"/>
      <c r="BN270" s="2125"/>
      <c r="BO270" s="2125"/>
      <c r="BP270" s="2125"/>
      <c r="BQ270" s="2125"/>
      <c r="BR270" s="2125"/>
      <c r="BS270" s="2125"/>
      <c r="BT270" s="2125"/>
      <c r="BU270" s="2029"/>
      <c r="BV270" s="2029"/>
      <c r="BW270" s="2029"/>
      <c r="BX270" s="2029"/>
      <c r="BY270" s="2029"/>
      <c r="BZ270" s="2032"/>
      <c r="CA270" s="1974">
        <f t="shared" si="175"/>
        <v>0</v>
      </c>
      <c r="CB270" s="1974">
        <f t="shared" si="175"/>
        <v>0</v>
      </c>
      <c r="CC270" s="1974">
        <f t="shared" si="175"/>
        <v>0</v>
      </c>
      <c r="CD270" s="1974">
        <f t="shared" si="175"/>
        <v>0</v>
      </c>
      <c r="CE270" s="1974">
        <f t="shared" si="175"/>
        <v>0</v>
      </c>
      <c r="CF270" s="2033">
        <v>8.3205198593261665E-6</v>
      </c>
      <c r="CG270" s="2026">
        <v>0</v>
      </c>
      <c r="CH270" s="2009">
        <f t="shared" si="175"/>
        <v>0</v>
      </c>
      <c r="CI270" s="2031">
        <f t="shared" si="175"/>
        <v>0</v>
      </c>
      <c r="CJ270" s="1974">
        <f t="shared" si="175"/>
        <v>0</v>
      </c>
      <c r="CK270" s="2031">
        <f t="shared" si="175"/>
        <v>0</v>
      </c>
      <c r="CL270" s="2026">
        <v>1</v>
      </c>
      <c r="CM270" s="2026">
        <v>1</v>
      </c>
      <c r="CN270" s="2026">
        <v>1</v>
      </c>
      <c r="CO270" s="2026">
        <v>1</v>
      </c>
      <c r="CP270" s="2035"/>
      <c r="CQ270" s="2036"/>
      <c r="CR270" s="2036"/>
      <c r="CS270" s="2036"/>
      <c r="CT270" s="2036"/>
      <c r="CU270" s="2036"/>
      <c r="CW270" s="1973">
        <v>0</v>
      </c>
      <c r="CX270" s="2037">
        <v>22.799999999999997</v>
      </c>
      <c r="CY270" s="2037">
        <v>22.799999999999997</v>
      </c>
      <c r="CZ270" s="2037">
        <v>22.799999999999997</v>
      </c>
      <c r="DA270" s="2037">
        <v>22.799999999999997</v>
      </c>
      <c r="DJ270" s="1976">
        <v>22.799999999999997</v>
      </c>
      <c r="DK270" s="1973">
        <v>22.799999999999997</v>
      </c>
      <c r="DL270" s="1973">
        <v>22.799999999999997</v>
      </c>
      <c r="DM270" s="1973">
        <v>22.799999999999997</v>
      </c>
      <c r="DO270" s="1974">
        <v>8</v>
      </c>
      <c r="DP270" s="2028">
        <v>64.656789787826611</v>
      </c>
      <c r="DQ270" s="1974">
        <v>2.8952638804635875E-2</v>
      </c>
      <c r="DR270" s="1974">
        <v>0</v>
      </c>
      <c r="DS270" s="2124">
        <v>22.799999999999997</v>
      </c>
      <c r="DT270" s="2029">
        <v>22.799999999999997</v>
      </c>
      <c r="DU270" s="2029">
        <v>22.799999999999997</v>
      </c>
      <c r="DV270" s="2029">
        <v>22.799999999999997</v>
      </c>
      <c r="DW270" s="2124">
        <v>0</v>
      </c>
      <c r="DX270" s="2029">
        <v>0</v>
      </c>
      <c r="DY270" s="2029">
        <v>0</v>
      </c>
      <c r="DZ270" s="2029">
        <v>0</v>
      </c>
      <c r="EA270" s="2124">
        <v>77.67</v>
      </c>
      <c r="EB270" s="2029">
        <v>77.67</v>
      </c>
      <c r="EC270" s="2029">
        <v>77.67</v>
      </c>
      <c r="ED270" s="2029">
        <v>77.67</v>
      </c>
      <c r="EE270" s="2039">
        <f t="shared" si="168"/>
        <v>0</v>
      </c>
      <c r="EF270" s="2039">
        <f t="shared" si="168"/>
        <v>0</v>
      </c>
      <c r="EG270" s="2039">
        <f t="shared" si="168"/>
        <v>0</v>
      </c>
      <c r="EH270" s="2039">
        <f t="shared" si="167"/>
        <v>0</v>
      </c>
      <c r="EI270" s="2040">
        <f t="shared" si="165"/>
        <v>0</v>
      </c>
      <c r="EJ270" s="2040">
        <f t="shared" si="165"/>
        <v>0</v>
      </c>
      <c r="EK270" s="2040">
        <f t="shared" si="165"/>
        <v>0</v>
      </c>
      <c r="EL270" s="2040">
        <f t="shared" si="164"/>
        <v>0</v>
      </c>
      <c r="EM270" s="2040">
        <f t="shared" si="164"/>
        <v>0</v>
      </c>
      <c r="EN270" s="2040">
        <f t="shared" si="164"/>
        <v>0</v>
      </c>
      <c r="EO270" s="2040">
        <f t="shared" si="164"/>
        <v>0</v>
      </c>
      <c r="EP270" s="2040">
        <f t="shared" si="164"/>
        <v>0</v>
      </c>
      <c r="EQ270" s="2040">
        <f t="shared" si="164"/>
        <v>0</v>
      </c>
      <c r="ER270" s="2040">
        <f t="shared" si="137"/>
        <v>0</v>
      </c>
      <c r="ES270" s="2040">
        <f t="shared" si="137"/>
        <v>0</v>
      </c>
      <c r="ET270" s="2040">
        <f t="shared" si="137"/>
        <v>0</v>
      </c>
      <c r="EU270" s="2039">
        <f t="shared" si="169"/>
        <v>0</v>
      </c>
      <c r="EV270" s="2039">
        <f t="shared" si="170"/>
        <v>0</v>
      </c>
    </row>
    <row r="271" spans="1:152" x14ac:dyDescent="0.25">
      <c r="A271" s="2088"/>
      <c r="B271" s="2093" t="str">
        <f t="shared" si="146"/>
        <v/>
      </c>
      <c r="C271" s="1974">
        <f t="shared" si="173"/>
        <v>0</v>
      </c>
      <c r="D271" s="1974">
        <f t="shared" ref="D271:E271" si="177">D27*0.9</f>
        <v>0</v>
      </c>
      <c r="E271" s="1974">
        <f t="shared" si="177"/>
        <v>0</v>
      </c>
      <c r="F271" s="1974">
        <f t="shared" si="174"/>
        <v>0</v>
      </c>
      <c r="G271" s="1974" t="s">
        <v>2997</v>
      </c>
      <c r="H271" s="1974" t="s">
        <v>2997</v>
      </c>
      <c r="I271" s="2026">
        <v>0.96199999999999997</v>
      </c>
      <c r="J271" s="2026">
        <v>0.96199999999999997</v>
      </c>
      <c r="K271" s="2026">
        <v>0.96199999999999997</v>
      </c>
      <c r="L271" s="2026">
        <v>0.96199999999999997</v>
      </c>
      <c r="M271" s="2027">
        <f t="shared" si="158"/>
        <v>0</v>
      </c>
      <c r="N271" s="2027">
        <f t="shared" si="158"/>
        <v>0</v>
      </c>
      <c r="O271" s="2027">
        <f t="shared" si="158"/>
        <v>0</v>
      </c>
      <c r="P271" s="2027">
        <f t="shared" si="158"/>
        <v>0</v>
      </c>
      <c r="Q271" s="2026">
        <v>0.96199999999999997</v>
      </c>
      <c r="R271" s="2026">
        <v>0.96199999999999997</v>
      </c>
      <c r="S271" s="2026">
        <v>0.96199999999999997</v>
      </c>
      <c r="T271" s="2026">
        <v>0.96199999999999997</v>
      </c>
      <c r="U271" s="2028">
        <f t="shared" si="159"/>
        <v>0</v>
      </c>
      <c r="V271" s="2028">
        <f t="shared" si="159"/>
        <v>0</v>
      </c>
      <c r="W271" s="2028">
        <f t="shared" si="159"/>
        <v>0</v>
      </c>
      <c r="X271" s="2028">
        <f t="shared" si="159"/>
        <v>0</v>
      </c>
      <c r="Y271" s="2026">
        <v>0.96199999999999997</v>
      </c>
      <c r="Z271" s="2026">
        <v>0.96199999999999997</v>
      </c>
      <c r="AA271" s="2026">
        <v>0.96199999999999997</v>
      </c>
      <c r="AB271" s="2026">
        <v>0.96199999999999997</v>
      </c>
      <c r="AC271" s="2027">
        <f t="shared" si="160"/>
        <v>0</v>
      </c>
      <c r="AD271" s="2027">
        <f t="shared" si="160"/>
        <v>0</v>
      </c>
      <c r="AE271" s="2027">
        <f t="shared" si="160"/>
        <v>0</v>
      </c>
      <c r="AF271" s="2027">
        <f t="shared" si="160"/>
        <v>0</v>
      </c>
      <c r="AG271" s="2027">
        <v>0</v>
      </c>
      <c r="AH271" s="2027">
        <v>0</v>
      </c>
      <c r="AI271" s="2027">
        <v>0</v>
      </c>
      <c r="AJ271" s="2027">
        <v>0</v>
      </c>
      <c r="AK271" s="2027">
        <f t="shared" si="148"/>
        <v>0</v>
      </c>
      <c r="AL271" s="2027">
        <f t="shared" si="149"/>
        <v>0</v>
      </c>
      <c r="AM271" s="2027">
        <f t="shared" si="149"/>
        <v>0</v>
      </c>
      <c r="AN271" s="2027">
        <f t="shared" si="149"/>
        <v>0</v>
      </c>
      <c r="AO271" s="2027">
        <f t="shared" si="161"/>
        <v>0</v>
      </c>
      <c r="AP271" s="2027">
        <f t="shared" si="150"/>
        <v>0</v>
      </c>
      <c r="AQ271" s="2027">
        <f t="shared" si="150"/>
        <v>0</v>
      </c>
      <c r="AR271" s="2027">
        <f t="shared" si="150"/>
        <v>0</v>
      </c>
      <c r="AS271" s="2124">
        <f>AS27*1.5</f>
        <v>0</v>
      </c>
      <c r="AT271" s="2029">
        <f t="shared" si="151"/>
        <v>0</v>
      </c>
      <c r="AU271" s="2029">
        <f t="shared" si="151"/>
        <v>0</v>
      </c>
      <c r="AV271" s="2029">
        <f t="shared" si="151"/>
        <v>0</v>
      </c>
      <c r="AW271" s="2124">
        <f t="shared" si="152"/>
        <v>0</v>
      </c>
      <c r="AX271" s="2029">
        <f t="shared" si="171"/>
        <v>0</v>
      </c>
      <c r="AY271" s="2029">
        <f t="shared" si="171"/>
        <v>0</v>
      </c>
      <c r="AZ271" s="2029">
        <f t="shared" si="171"/>
        <v>0</v>
      </c>
      <c r="BA271" s="2124">
        <f t="shared" si="176"/>
        <v>0</v>
      </c>
      <c r="BB271" s="2029">
        <f t="shared" si="176"/>
        <v>0</v>
      </c>
      <c r="BC271" s="2029">
        <f t="shared" si="176"/>
        <v>0</v>
      </c>
      <c r="BD271" s="2029">
        <f t="shared" si="176"/>
        <v>0</v>
      </c>
      <c r="BE271" s="2030">
        <f t="shared" si="155"/>
        <v>0</v>
      </c>
      <c r="BF271" s="2030">
        <f t="shared" si="155"/>
        <v>0</v>
      </c>
      <c r="BG271" s="2030">
        <f t="shared" si="155"/>
        <v>0</v>
      </c>
      <c r="BH271" s="2030">
        <f t="shared" si="155"/>
        <v>0</v>
      </c>
      <c r="BI271" s="2030">
        <f t="shared" si="156"/>
        <v>0</v>
      </c>
      <c r="BJ271" s="2030">
        <f t="shared" si="156"/>
        <v>0</v>
      </c>
      <c r="BK271" s="2030">
        <f t="shared" si="156"/>
        <v>0</v>
      </c>
      <c r="BL271" s="2030">
        <f t="shared" si="156"/>
        <v>0</v>
      </c>
      <c r="BM271" s="2125"/>
      <c r="BN271" s="2125"/>
      <c r="BO271" s="2125"/>
      <c r="BP271" s="2125"/>
      <c r="BQ271" s="2125"/>
      <c r="BR271" s="2125"/>
      <c r="BS271" s="2125"/>
      <c r="BT271" s="2125"/>
      <c r="BU271" s="2029"/>
      <c r="BV271" s="2029"/>
      <c r="BW271" s="2029"/>
      <c r="BX271" s="2029"/>
      <c r="BY271" s="2029"/>
      <c r="BZ271" s="2032"/>
      <c r="CA271" s="1974">
        <f t="shared" si="175"/>
        <v>0</v>
      </c>
      <c r="CB271" s="1974">
        <f t="shared" si="175"/>
        <v>0</v>
      </c>
      <c r="CC271" s="1974">
        <f t="shared" si="175"/>
        <v>0</v>
      </c>
      <c r="CD271" s="1974">
        <f t="shared" si="175"/>
        <v>0</v>
      </c>
      <c r="CE271" s="1974">
        <f t="shared" si="175"/>
        <v>0</v>
      </c>
      <c r="CF271" s="2033">
        <v>0</v>
      </c>
      <c r="CG271" s="2026">
        <v>0</v>
      </c>
      <c r="CH271" s="2009">
        <f t="shared" si="175"/>
        <v>0</v>
      </c>
      <c r="CI271" s="2031">
        <f t="shared" si="175"/>
        <v>0</v>
      </c>
      <c r="CJ271" s="1974">
        <f t="shared" si="175"/>
        <v>0</v>
      </c>
      <c r="CK271" s="2031">
        <f t="shared" si="175"/>
        <v>0</v>
      </c>
      <c r="CL271" s="2026">
        <v>1</v>
      </c>
      <c r="CM271" s="2026">
        <v>1</v>
      </c>
      <c r="CN271" s="2026">
        <v>1</v>
      </c>
      <c r="CO271" s="2026">
        <v>1</v>
      </c>
      <c r="CP271" s="2035"/>
      <c r="CQ271" s="2036"/>
      <c r="CR271" s="2036"/>
      <c r="CS271" s="2036"/>
      <c r="CT271" s="2036"/>
      <c r="CU271" s="2036"/>
      <c r="CW271" s="1973">
        <v>0</v>
      </c>
      <c r="CX271" s="2037">
        <v>0</v>
      </c>
      <c r="CY271" s="2037">
        <v>0</v>
      </c>
      <c r="CZ271" s="2037">
        <v>0</v>
      </c>
      <c r="DA271" s="2037">
        <v>0</v>
      </c>
      <c r="DJ271" s="1976">
        <v>0</v>
      </c>
      <c r="DK271" s="1973">
        <v>0</v>
      </c>
      <c r="DL271" s="1973">
        <v>0</v>
      </c>
      <c r="DM271" s="1973">
        <v>0</v>
      </c>
      <c r="DO271" s="1974">
        <v>0</v>
      </c>
      <c r="DP271" s="1974">
        <v>0</v>
      </c>
      <c r="DQ271" s="1974">
        <v>0</v>
      </c>
      <c r="DR271" s="1974">
        <v>0</v>
      </c>
      <c r="DS271" s="2124">
        <v>0</v>
      </c>
      <c r="DT271" s="2029">
        <v>0</v>
      </c>
      <c r="DU271" s="2029">
        <v>0</v>
      </c>
      <c r="DV271" s="2029">
        <v>0</v>
      </c>
      <c r="DW271" s="2124">
        <v>0</v>
      </c>
      <c r="DX271" s="2029">
        <v>0</v>
      </c>
      <c r="DY271" s="2029">
        <v>0</v>
      </c>
      <c r="DZ271" s="2029">
        <v>0</v>
      </c>
      <c r="EA271" s="2124">
        <v>0</v>
      </c>
      <c r="EB271" s="2029">
        <v>0</v>
      </c>
      <c r="EC271" s="2029">
        <v>0</v>
      </c>
      <c r="ED271" s="2029">
        <v>0</v>
      </c>
      <c r="EE271" s="2039">
        <f t="shared" si="168"/>
        <v>0</v>
      </c>
      <c r="EF271" s="2039">
        <f t="shared" si="168"/>
        <v>0</v>
      </c>
      <c r="EG271" s="2039">
        <f t="shared" si="168"/>
        <v>0</v>
      </c>
      <c r="EH271" s="2039">
        <f t="shared" si="167"/>
        <v>0</v>
      </c>
      <c r="EI271" s="2040">
        <f t="shared" si="165"/>
        <v>0</v>
      </c>
      <c r="EJ271" s="2040">
        <f t="shared" si="165"/>
        <v>0</v>
      </c>
      <c r="EK271" s="2040">
        <f t="shared" si="165"/>
        <v>0</v>
      </c>
      <c r="EL271" s="2040">
        <f t="shared" si="164"/>
        <v>0</v>
      </c>
      <c r="EM271" s="2040">
        <f t="shared" si="164"/>
        <v>0</v>
      </c>
      <c r="EN271" s="2040">
        <f t="shared" si="164"/>
        <v>0</v>
      </c>
      <c r="EO271" s="2040">
        <f t="shared" si="164"/>
        <v>0</v>
      </c>
      <c r="EP271" s="2040">
        <f t="shared" si="164"/>
        <v>0</v>
      </c>
      <c r="EQ271" s="2040">
        <f t="shared" si="164"/>
        <v>0</v>
      </c>
      <c r="ER271" s="2040">
        <f t="shared" si="137"/>
        <v>0</v>
      </c>
      <c r="ES271" s="2040">
        <f t="shared" si="137"/>
        <v>0</v>
      </c>
      <c r="ET271" s="2040">
        <f t="shared" si="137"/>
        <v>0</v>
      </c>
      <c r="EU271" s="2039">
        <f t="shared" si="169"/>
        <v>0</v>
      </c>
      <c r="EV271" s="2039">
        <f t="shared" si="170"/>
        <v>0</v>
      </c>
    </row>
    <row r="272" spans="1:152" x14ac:dyDescent="0.25">
      <c r="A272" s="2126" t="s">
        <v>98</v>
      </c>
      <c r="B272" s="2093" t="str">
        <f t="shared" si="146"/>
        <v>BPL78</v>
      </c>
      <c r="C272" s="1974">
        <f t="shared" si="173"/>
        <v>5</v>
      </c>
      <c r="D272" s="1974">
        <v>216.20374685662037</v>
      </c>
      <c r="E272" s="1974">
        <v>2.307698187659115E-2</v>
      </c>
      <c r="F272" s="1974">
        <v>-3.3246040586220444</v>
      </c>
      <c r="G272" s="1974" t="s">
        <v>2997</v>
      </c>
      <c r="H272" s="1974" t="s">
        <v>2997</v>
      </c>
      <c r="I272" s="2026">
        <v>0.96199999999999997</v>
      </c>
      <c r="J272" s="2026">
        <v>0.96199999999999997</v>
      </c>
      <c r="K272" s="2026">
        <v>0.96199999999999997</v>
      </c>
      <c r="L272" s="2026">
        <v>0.96199999999999997</v>
      </c>
      <c r="M272" s="2027">
        <f t="shared" si="158"/>
        <v>207.9880044760688</v>
      </c>
      <c r="N272" s="2027">
        <f t="shared" si="158"/>
        <v>207.9880044760688</v>
      </c>
      <c r="O272" s="2027">
        <f t="shared" si="158"/>
        <v>207.9880044760688</v>
      </c>
      <c r="P272" s="2027">
        <f t="shared" si="158"/>
        <v>207.9880044760688</v>
      </c>
      <c r="Q272" s="2026">
        <v>0.96199999999999997</v>
      </c>
      <c r="R272" s="2026">
        <v>0.96199999999999997</v>
      </c>
      <c r="S272" s="2026">
        <v>0.96199999999999997</v>
      </c>
      <c r="T272" s="2026">
        <v>0.96199999999999997</v>
      </c>
      <c r="U272" s="2028">
        <f t="shared" si="159"/>
        <v>2.2200056565280686E-2</v>
      </c>
      <c r="V272" s="2028">
        <f t="shared" si="159"/>
        <v>2.2200056565280686E-2</v>
      </c>
      <c r="W272" s="2028">
        <f t="shared" si="159"/>
        <v>2.2200056565280686E-2</v>
      </c>
      <c r="X272" s="2028">
        <f t="shared" si="159"/>
        <v>2.2200056565280686E-2</v>
      </c>
      <c r="Y272" s="2026">
        <v>0.96199999999999997</v>
      </c>
      <c r="Z272" s="2026">
        <v>0.96199999999999997</v>
      </c>
      <c r="AA272" s="2026">
        <v>0.96199999999999997</v>
      </c>
      <c r="AB272" s="2026">
        <v>0.96199999999999997</v>
      </c>
      <c r="AC272" s="2027">
        <f t="shared" si="160"/>
        <v>-3.1982691043944067</v>
      </c>
      <c r="AD272" s="2027">
        <f t="shared" si="160"/>
        <v>-3.1982691043944067</v>
      </c>
      <c r="AE272" s="2027">
        <f t="shared" si="160"/>
        <v>-3.1982691043944067</v>
      </c>
      <c r="AF272" s="2027">
        <f t="shared" si="160"/>
        <v>-3.1982691043944067</v>
      </c>
      <c r="AG272" s="2027">
        <v>92</v>
      </c>
      <c r="AH272" s="2027">
        <v>88</v>
      </c>
      <c r="AI272" s="2027">
        <v>91</v>
      </c>
      <c r="AJ272" s="2027">
        <v>63</v>
      </c>
      <c r="AK272" s="2027">
        <f t="shared" si="148"/>
        <v>19134.896411798331</v>
      </c>
      <c r="AL272" s="2027">
        <f t="shared" si="149"/>
        <v>18302.944393894053</v>
      </c>
      <c r="AM272" s="2027">
        <f t="shared" si="149"/>
        <v>18926.908407322262</v>
      </c>
      <c r="AN272" s="2027">
        <f t="shared" si="149"/>
        <v>13103.244281992334</v>
      </c>
      <c r="AO272" s="2027">
        <f t="shared" si="161"/>
        <v>-294.24075760428542</v>
      </c>
      <c r="AP272" s="2027">
        <f t="shared" si="150"/>
        <v>-281.44768118670777</v>
      </c>
      <c r="AQ272" s="2027">
        <f t="shared" si="150"/>
        <v>-291.04248849989102</v>
      </c>
      <c r="AR272" s="2027">
        <f t="shared" si="150"/>
        <v>-201.49095357684763</v>
      </c>
      <c r="AS272" s="2124">
        <f>AS28*1.9</f>
        <v>38</v>
      </c>
      <c r="AT272" s="2029">
        <f t="shared" si="151"/>
        <v>38</v>
      </c>
      <c r="AU272" s="2029">
        <f t="shared" si="151"/>
        <v>38</v>
      </c>
      <c r="AV272" s="2029">
        <f t="shared" si="151"/>
        <v>38</v>
      </c>
      <c r="AW272" s="2124">
        <f t="shared" si="152"/>
        <v>0</v>
      </c>
      <c r="AX272" s="2029">
        <f t="shared" si="171"/>
        <v>0</v>
      </c>
      <c r="AY272" s="2029">
        <f t="shared" si="171"/>
        <v>0</v>
      </c>
      <c r="AZ272" s="2029">
        <f t="shared" si="171"/>
        <v>0</v>
      </c>
      <c r="BA272" s="2124">
        <f t="shared" si="176"/>
        <v>30</v>
      </c>
      <c r="BB272" s="2029">
        <f t="shared" si="176"/>
        <v>30</v>
      </c>
      <c r="BC272" s="2029">
        <f t="shared" si="176"/>
        <v>30</v>
      </c>
      <c r="BD272" s="2029">
        <f t="shared" si="176"/>
        <v>30</v>
      </c>
      <c r="BE272" s="2030">
        <f t="shared" si="155"/>
        <v>3496</v>
      </c>
      <c r="BF272" s="2030">
        <f t="shared" si="155"/>
        <v>3344</v>
      </c>
      <c r="BG272" s="2030">
        <f t="shared" si="155"/>
        <v>3458</v>
      </c>
      <c r="BH272" s="2030">
        <f t="shared" si="155"/>
        <v>2394</v>
      </c>
      <c r="BI272" s="2030">
        <f t="shared" si="156"/>
        <v>0</v>
      </c>
      <c r="BJ272" s="2030">
        <f t="shared" si="156"/>
        <v>0</v>
      </c>
      <c r="BK272" s="2030">
        <f t="shared" si="156"/>
        <v>0</v>
      </c>
      <c r="BL272" s="2030">
        <f t="shared" si="156"/>
        <v>0</v>
      </c>
      <c r="BM272" s="2125"/>
      <c r="BN272" s="2125"/>
      <c r="BO272" s="2125"/>
      <c r="BP272" s="2125"/>
      <c r="BQ272" s="2125"/>
      <c r="BR272" s="2125"/>
      <c r="BS272" s="2125"/>
      <c r="BT272" s="2125"/>
      <c r="BU272" s="2029"/>
      <c r="BV272" s="2029"/>
      <c r="BW272" s="2029"/>
      <c r="BX272" s="2029"/>
      <c r="BY272" s="2029"/>
      <c r="BZ272" s="2032"/>
      <c r="CA272" s="1974">
        <f t="shared" si="175"/>
        <v>0</v>
      </c>
      <c r="CB272" s="1974">
        <f t="shared" si="175"/>
        <v>0</v>
      </c>
      <c r="CC272" s="1974">
        <f t="shared" si="175"/>
        <v>0</v>
      </c>
      <c r="CD272" s="1974">
        <f t="shared" si="175"/>
        <v>0</v>
      </c>
      <c r="CE272" s="1974">
        <f t="shared" si="175"/>
        <v>0</v>
      </c>
      <c r="CF272" s="2033">
        <v>7.9990311596707365E-5</v>
      </c>
      <c r="CG272" s="2026">
        <v>-1.0977546830822428E-4</v>
      </c>
      <c r="CH272" s="2009">
        <f t="shared" si="175"/>
        <v>1</v>
      </c>
      <c r="CI272" s="2031">
        <f t="shared" si="175"/>
        <v>0</v>
      </c>
      <c r="CJ272" s="1974">
        <f t="shared" si="175"/>
        <v>-5.10948905109489</v>
      </c>
      <c r="CK272" s="2031">
        <f t="shared" si="175"/>
        <v>-5.10948905109489</v>
      </c>
      <c r="CL272" s="2026">
        <v>1</v>
      </c>
      <c r="CM272" s="2026">
        <v>1</v>
      </c>
      <c r="CN272" s="2026">
        <v>1</v>
      </c>
      <c r="CO272" s="2026">
        <v>1</v>
      </c>
      <c r="CP272" s="2035"/>
      <c r="CQ272" s="2036"/>
      <c r="CR272" s="2036"/>
      <c r="CS272" s="2036"/>
      <c r="CT272" s="2036"/>
      <c r="CU272" s="2036"/>
      <c r="CW272" s="1973">
        <v>0</v>
      </c>
      <c r="CX272" s="2037">
        <v>38</v>
      </c>
      <c r="CY272" s="2037">
        <v>38</v>
      </c>
      <c r="CZ272" s="2037">
        <v>38</v>
      </c>
      <c r="DA272" s="2037">
        <v>38</v>
      </c>
      <c r="DJ272" s="1976">
        <v>38</v>
      </c>
      <c r="DK272" s="1973">
        <v>38</v>
      </c>
      <c r="DL272" s="1973">
        <v>38</v>
      </c>
      <c r="DM272" s="1973">
        <v>38</v>
      </c>
      <c r="DO272" s="1974">
        <v>16</v>
      </c>
      <c r="DP272" s="1974">
        <v>216.20374685662037</v>
      </c>
      <c r="DQ272" s="1974">
        <v>2.307698187659115E-2</v>
      </c>
      <c r="DR272" s="1974">
        <v>-3.3246040586220444</v>
      </c>
      <c r="DS272" s="2124">
        <v>38</v>
      </c>
      <c r="DT272" s="2029">
        <v>38</v>
      </c>
      <c r="DU272" s="2029">
        <v>38</v>
      </c>
      <c r="DV272" s="2029">
        <v>38</v>
      </c>
      <c r="DW272" s="2124">
        <v>0</v>
      </c>
      <c r="DX272" s="2029">
        <v>0</v>
      </c>
      <c r="DY272" s="2029">
        <v>0</v>
      </c>
      <c r="DZ272" s="2029">
        <v>0</v>
      </c>
      <c r="EA272" s="2549">
        <v>32.5</v>
      </c>
      <c r="EB272" s="2549">
        <v>32.5</v>
      </c>
      <c r="EC272" s="2549">
        <v>32.5</v>
      </c>
      <c r="ED272" s="2549">
        <v>32.5</v>
      </c>
      <c r="EE272" s="2039">
        <f t="shared" si="168"/>
        <v>-11</v>
      </c>
      <c r="EF272" s="2039">
        <f t="shared" si="168"/>
        <v>0</v>
      </c>
      <c r="EG272" s="2039">
        <f t="shared" si="168"/>
        <v>0</v>
      </c>
      <c r="EH272" s="2039">
        <f t="shared" si="167"/>
        <v>0</v>
      </c>
      <c r="EI272" s="2040">
        <f t="shared" si="165"/>
        <v>0</v>
      </c>
      <c r="EJ272" s="2040">
        <f t="shared" si="165"/>
        <v>0</v>
      </c>
      <c r="EK272" s="2040">
        <f t="shared" si="165"/>
        <v>0</v>
      </c>
      <c r="EL272" s="2040">
        <f t="shared" si="164"/>
        <v>0</v>
      </c>
      <c r="EM272" s="2040">
        <f t="shared" si="164"/>
        <v>0</v>
      </c>
      <c r="EN272" s="2040">
        <f t="shared" si="164"/>
        <v>0</v>
      </c>
      <c r="EO272" s="2040">
        <f t="shared" si="164"/>
        <v>0</v>
      </c>
      <c r="EP272" s="2040">
        <f t="shared" si="164"/>
        <v>0</v>
      </c>
      <c r="EQ272" s="2040">
        <f t="shared" si="164"/>
        <v>-2.5</v>
      </c>
      <c r="ER272" s="2040">
        <f t="shared" si="137"/>
        <v>-2.5</v>
      </c>
      <c r="ES272" s="2040">
        <f t="shared" si="137"/>
        <v>-2.5</v>
      </c>
      <c r="ET272" s="2040">
        <f t="shared" si="137"/>
        <v>-2.5</v>
      </c>
      <c r="EU272" s="2039">
        <f t="shared" si="169"/>
        <v>-21</v>
      </c>
      <c r="EV272" s="2039">
        <f t="shared" si="170"/>
        <v>-11</v>
      </c>
    </row>
    <row r="273" spans="1:152" x14ac:dyDescent="0.25">
      <c r="A273" s="2126" t="s">
        <v>99</v>
      </c>
      <c r="B273" s="2093" t="str">
        <f t="shared" si="146"/>
        <v xml:space="preserve">BPL82 </v>
      </c>
      <c r="C273" s="1974">
        <f t="shared" si="173"/>
        <v>5</v>
      </c>
      <c r="D273" s="1974">
        <v>245.54224051147887</v>
      </c>
      <c r="E273" s="1974">
        <v>7.2381597011589693E-2</v>
      </c>
      <c r="F273" s="1974">
        <v>-2.483570128272278</v>
      </c>
      <c r="G273" s="1974" t="s">
        <v>2997</v>
      </c>
      <c r="H273" s="1974" t="s">
        <v>2997</v>
      </c>
      <c r="I273" s="2026">
        <v>0.96199999999999997</v>
      </c>
      <c r="J273" s="2026">
        <v>0.96199999999999997</v>
      </c>
      <c r="K273" s="2026">
        <v>0.96199999999999997</v>
      </c>
      <c r="L273" s="2026">
        <v>0.96199999999999997</v>
      </c>
      <c r="M273" s="2027">
        <f t="shared" si="158"/>
        <v>236.21163537204265</v>
      </c>
      <c r="N273" s="2027">
        <f t="shared" si="158"/>
        <v>236.21163537204265</v>
      </c>
      <c r="O273" s="2027">
        <f t="shared" si="158"/>
        <v>236.21163537204265</v>
      </c>
      <c r="P273" s="2027">
        <f t="shared" si="158"/>
        <v>236.21163537204265</v>
      </c>
      <c r="Q273" s="2026">
        <v>0.96199999999999997</v>
      </c>
      <c r="R273" s="2026">
        <v>0.96199999999999997</v>
      </c>
      <c r="S273" s="2026">
        <v>0.96199999999999997</v>
      </c>
      <c r="T273" s="2026">
        <v>0.96199999999999997</v>
      </c>
      <c r="U273" s="2028">
        <f t="shared" si="159"/>
        <v>6.9631096325149286E-2</v>
      </c>
      <c r="V273" s="2028">
        <f t="shared" si="159"/>
        <v>6.9631096325149286E-2</v>
      </c>
      <c r="W273" s="2028">
        <f t="shared" si="159"/>
        <v>6.9631096325149286E-2</v>
      </c>
      <c r="X273" s="2028">
        <f t="shared" si="159"/>
        <v>6.9631096325149286E-2</v>
      </c>
      <c r="Y273" s="2026">
        <v>0.96199999999999997</v>
      </c>
      <c r="Z273" s="2026">
        <v>0.96199999999999997</v>
      </c>
      <c r="AA273" s="2026">
        <v>0.96199999999999997</v>
      </c>
      <c r="AB273" s="2026">
        <v>0.96199999999999997</v>
      </c>
      <c r="AC273" s="2027">
        <f t="shared" si="160"/>
        <v>-2.3891944633979314</v>
      </c>
      <c r="AD273" s="2027">
        <f t="shared" si="160"/>
        <v>-2.3891944633979314</v>
      </c>
      <c r="AE273" s="2027">
        <f t="shared" si="160"/>
        <v>-2.3891944633979314</v>
      </c>
      <c r="AF273" s="2027">
        <f t="shared" si="160"/>
        <v>-2.3891944633979314</v>
      </c>
      <c r="AG273" s="2027">
        <v>19</v>
      </c>
      <c r="AH273" s="2027">
        <v>44</v>
      </c>
      <c r="AI273" s="2027">
        <v>46</v>
      </c>
      <c r="AJ273" s="2027">
        <v>36</v>
      </c>
      <c r="AK273" s="2027">
        <f t="shared" si="148"/>
        <v>4488.0210720688101</v>
      </c>
      <c r="AL273" s="2027">
        <f t="shared" si="149"/>
        <v>10393.311956369876</v>
      </c>
      <c r="AM273" s="2027">
        <f t="shared" si="149"/>
        <v>10865.735227113963</v>
      </c>
      <c r="AN273" s="2027">
        <f t="shared" si="149"/>
        <v>8503.618873393536</v>
      </c>
      <c r="AO273" s="2027">
        <f t="shared" si="161"/>
        <v>-45.3946948045607</v>
      </c>
      <c r="AP273" s="2027">
        <f t="shared" si="150"/>
        <v>-105.12455638950898</v>
      </c>
      <c r="AQ273" s="2027">
        <f t="shared" si="150"/>
        <v>-109.90294531630485</v>
      </c>
      <c r="AR273" s="2027">
        <f t="shared" si="150"/>
        <v>-86.01100068232553</v>
      </c>
      <c r="AS273" s="2124">
        <f>AS29*1.9</f>
        <v>19</v>
      </c>
      <c r="AT273" s="2029">
        <f t="shared" si="151"/>
        <v>19</v>
      </c>
      <c r="AU273" s="2029">
        <f t="shared" si="151"/>
        <v>19</v>
      </c>
      <c r="AV273" s="2029">
        <f t="shared" si="151"/>
        <v>19</v>
      </c>
      <c r="AW273" s="2124">
        <f t="shared" si="152"/>
        <v>0</v>
      </c>
      <c r="AX273" s="2029">
        <f t="shared" si="171"/>
        <v>0</v>
      </c>
      <c r="AY273" s="2029">
        <f t="shared" si="171"/>
        <v>0</v>
      </c>
      <c r="AZ273" s="2029">
        <f t="shared" si="171"/>
        <v>0</v>
      </c>
      <c r="BA273" s="2124">
        <f t="shared" si="176"/>
        <v>30</v>
      </c>
      <c r="BB273" s="2029">
        <f t="shared" si="176"/>
        <v>30</v>
      </c>
      <c r="BC273" s="2029">
        <f t="shared" si="176"/>
        <v>30</v>
      </c>
      <c r="BD273" s="2029">
        <f t="shared" si="176"/>
        <v>30</v>
      </c>
      <c r="BE273" s="2030">
        <f t="shared" si="155"/>
        <v>361</v>
      </c>
      <c r="BF273" s="2030">
        <f t="shared" si="155"/>
        <v>836</v>
      </c>
      <c r="BG273" s="2030">
        <f t="shared" si="155"/>
        <v>874</v>
      </c>
      <c r="BH273" s="2030">
        <f t="shared" si="155"/>
        <v>684</v>
      </c>
      <c r="BI273" s="2030">
        <f t="shared" si="156"/>
        <v>0</v>
      </c>
      <c r="BJ273" s="2030">
        <f t="shared" si="156"/>
        <v>0</v>
      </c>
      <c r="BK273" s="2030">
        <f t="shared" si="156"/>
        <v>0</v>
      </c>
      <c r="BL273" s="2030">
        <f t="shared" si="156"/>
        <v>0</v>
      </c>
      <c r="BM273" s="2125"/>
      <c r="BN273" s="2125"/>
      <c r="BO273" s="2125"/>
      <c r="BP273" s="2125"/>
      <c r="BQ273" s="2125"/>
      <c r="BR273" s="2125"/>
      <c r="BS273" s="2125"/>
      <c r="BT273" s="2125"/>
      <c r="BU273" s="2029"/>
      <c r="BV273" s="2029"/>
      <c r="BW273" s="2029"/>
      <c r="BX273" s="2029"/>
      <c r="BY273" s="2029"/>
      <c r="BZ273" s="2032"/>
      <c r="CA273" s="1974">
        <f t="shared" si="175"/>
        <v>0</v>
      </c>
      <c r="CB273" s="1974">
        <f t="shared" si="175"/>
        <v>0</v>
      </c>
      <c r="CC273" s="1974">
        <f t="shared" si="175"/>
        <v>0</v>
      </c>
      <c r="CD273" s="1974">
        <f t="shared" si="175"/>
        <v>0</v>
      </c>
      <c r="CE273" s="1974">
        <f t="shared" si="175"/>
        <v>0</v>
      </c>
      <c r="CF273" s="2033">
        <v>1.8761439637897338E-5</v>
      </c>
      <c r="CG273" s="2026">
        <v>-1.6935872247791511E-5</v>
      </c>
      <c r="CH273" s="2009">
        <f t="shared" si="175"/>
        <v>1</v>
      </c>
      <c r="CI273" s="2031">
        <f t="shared" si="175"/>
        <v>0</v>
      </c>
      <c r="CJ273" s="1974">
        <f t="shared" si="175"/>
        <v>-5.10948905109489</v>
      </c>
      <c r="CK273" s="2031">
        <f t="shared" si="175"/>
        <v>-5.10948905109489</v>
      </c>
      <c r="CL273" s="2026">
        <v>1</v>
      </c>
      <c r="CM273" s="2026">
        <v>1</v>
      </c>
      <c r="CN273" s="2026">
        <v>1</v>
      </c>
      <c r="CO273" s="2026">
        <v>1</v>
      </c>
      <c r="CP273" s="2035"/>
      <c r="CQ273" s="2036"/>
      <c r="CR273" s="2036"/>
      <c r="CS273" s="2036"/>
      <c r="CT273" s="2036"/>
      <c r="CU273" s="2036"/>
      <c r="CW273" s="1973">
        <v>0</v>
      </c>
      <c r="CX273" s="2037">
        <v>19</v>
      </c>
      <c r="CY273" s="2037">
        <v>19</v>
      </c>
      <c r="CZ273" s="2037">
        <v>19</v>
      </c>
      <c r="DA273" s="2037">
        <v>19</v>
      </c>
      <c r="DJ273" s="1976">
        <v>19</v>
      </c>
      <c r="DK273" s="1973">
        <v>19</v>
      </c>
      <c r="DL273" s="1973">
        <v>19</v>
      </c>
      <c r="DM273" s="1973">
        <v>19</v>
      </c>
      <c r="DO273" s="1974">
        <v>16</v>
      </c>
      <c r="DP273" s="1974">
        <v>245.54224051147887</v>
      </c>
      <c r="DQ273" s="1974">
        <v>7.2381597011589693E-2</v>
      </c>
      <c r="DR273" s="1974">
        <v>-2.483570128272278</v>
      </c>
      <c r="DS273" s="2124">
        <v>19</v>
      </c>
      <c r="DT273" s="2029">
        <v>19</v>
      </c>
      <c r="DU273" s="2029">
        <v>19</v>
      </c>
      <c r="DV273" s="2029">
        <v>19</v>
      </c>
      <c r="DW273" s="2124">
        <v>0</v>
      </c>
      <c r="DX273" s="2029">
        <v>0</v>
      </c>
      <c r="DY273" s="2029">
        <v>0</v>
      </c>
      <c r="DZ273" s="2029">
        <v>0</v>
      </c>
      <c r="EA273" s="2549">
        <v>32.5</v>
      </c>
      <c r="EB273" s="2549">
        <v>32.5</v>
      </c>
      <c r="EC273" s="2549">
        <v>32.5</v>
      </c>
      <c r="ED273" s="2549">
        <v>32.5</v>
      </c>
      <c r="EE273" s="2039">
        <f t="shared" si="168"/>
        <v>-11</v>
      </c>
      <c r="EF273" s="2039">
        <f t="shared" si="168"/>
        <v>0</v>
      </c>
      <c r="EG273" s="2039">
        <f t="shared" si="168"/>
        <v>0</v>
      </c>
      <c r="EH273" s="2039">
        <f t="shared" si="167"/>
        <v>0</v>
      </c>
      <c r="EI273" s="2040">
        <f t="shared" si="165"/>
        <v>0</v>
      </c>
      <c r="EJ273" s="2040">
        <f t="shared" si="165"/>
        <v>0</v>
      </c>
      <c r="EK273" s="2040">
        <f t="shared" si="165"/>
        <v>0</v>
      </c>
      <c r="EL273" s="2040">
        <f t="shared" si="164"/>
        <v>0</v>
      </c>
      <c r="EM273" s="2040">
        <f t="shared" si="164"/>
        <v>0</v>
      </c>
      <c r="EN273" s="2040">
        <f t="shared" si="164"/>
        <v>0</v>
      </c>
      <c r="EO273" s="2040">
        <f t="shared" si="164"/>
        <v>0</v>
      </c>
      <c r="EP273" s="2040">
        <f t="shared" si="164"/>
        <v>0</v>
      </c>
      <c r="EQ273" s="2040">
        <f t="shared" si="164"/>
        <v>-2.5</v>
      </c>
      <c r="ER273" s="2040">
        <f t="shared" si="137"/>
        <v>-2.5</v>
      </c>
      <c r="ES273" s="2040">
        <f t="shared" si="137"/>
        <v>-2.5</v>
      </c>
      <c r="ET273" s="2040">
        <f t="shared" si="137"/>
        <v>-2.5</v>
      </c>
      <c r="EU273" s="2039">
        <f t="shared" si="169"/>
        <v>-21</v>
      </c>
      <c r="EV273" s="2039">
        <f t="shared" si="170"/>
        <v>-11</v>
      </c>
    </row>
    <row r="274" spans="1:152" x14ac:dyDescent="0.25">
      <c r="A274" s="2126" t="s">
        <v>2883</v>
      </c>
      <c r="B274" s="2093" t="str">
        <f t="shared" si="146"/>
        <v>BPL67</v>
      </c>
      <c r="C274" s="1974">
        <v>15</v>
      </c>
      <c r="D274" s="2028">
        <v>731.41939327175078</v>
      </c>
      <c r="E274" s="2028">
        <v>0.11768470528346128</v>
      </c>
      <c r="F274" s="2028">
        <v>-14.762477502491528</v>
      </c>
      <c r="G274" s="1974" t="s">
        <v>2997</v>
      </c>
      <c r="H274" s="1974" t="s">
        <v>2997</v>
      </c>
      <c r="I274" s="2026">
        <v>0.96199999999999997</v>
      </c>
      <c r="J274" s="2026">
        <v>0.96199999999999997</v>
      </c>
      <c r="K274" s="2026">
        <v>0.96199999999999997</v>
      </c>
      <c r="L274" s="2026">
        <v>0.96199999999999997</v>
      </c>
      <c r="M274" s="2027">
        <f t="shared" si="158"/>
        <v>703.62545632742422</v>
      </c>
      <c r="N274" s="2027">
        <f t="shared" si="158"/>
        <v>703.62545632742422</v>
      </c>
      <c r="O274" s="2027">
        <f t="shared" si="158"/>
        <v>703.62545632742422</v>
      </c>
      <c r="P274" s="2027">
        <f t="shared" si="158"/>
        <v>703.62545632742422</v>
      </c>
      <c r="Q274" s="2026">
        <v>0.96199999999999997</v>
      </c>
      <c r="R274" s="2026">
        <v>0.96199999999999997</v>
      </c>
      <c r="S274" s="2026">
        <v>0.96199999999999997</v>
      </c>
      <c r="T274" s="2026">
        <v>0.96199999999999997</v>
      </c>
      <c r="U274" s="2028">
        <f t="shared" si="159"/>
        <v>0.11321268648268976</v>
      </c>
      <c r="V274" s="2028">
        <f t="shared" si="159"/>
        <v>0.11321268648268976</v>
      </c>
      <c r="W274" s="2028">
        <f t="shared" si="159"/>
        <v>0.11321268648268976</v>
      </c>
      <c r="X274" s="2028">
        <f t="shared" si="159"/>
        <v>0.11321268648268976</v>
      </c>
      <c r="Y274" s="2026">
        <v>0.96199999999999997</v>
      </c>
      <c r="Z274" s="2026">
        <v>0.96199999999999997</v>
      </c>
      <c r="AA274" s="2026">
        <v>0.96199999999999997</v>
      </c>
      <c r="AB274" s="2026">
        <v>0.96199999999999997</v>
      </c>
      <c r="AC274" s="2027">
        <f t="shared" si="160"/>
        <v>-14.201503357396849</v>
      </c>
      <c r="AD274" s="2027">
        <f t="shared" si="160"/>
        <v>-14.201503357396849</v>
      </c>
      <c r="AE274" s="2027">
        <f t="shared" si="160"/>
        <v>-14.201503357396849</v>
      </c>
      <c r="AF274" s="2027">
        <f t="shared" si="160"/>
        <v>-14.201503357396849</v>
      </c>
      <c r="AG274" s="2027">
        <v>17776</v>
      </c>
      <c r="AH274" s="2027">
        <v>17984</v>
      </c>
      <c r="AI274" s="2027">
        <v>18055</v>
      </c>
      <c r="AJ274" s="2027">
        <v>18014</v>
      </c>
      <c r="AK274" s="2027">
        <f t="shared" si="148"/>
        <v>12507646.111676292</v>
      </c>
      <c r="AL274" s="2027">
        <f t="shared" si="149"/>
        <v>11625230.683419688</v>
      </c>
      <c r="AM274" s="2027">
        <f t="shared" si="149"/>
        <v>11671126.556335768</v>
      </c>
      <c r="AN274" s="2027">
        <f t="shared" si="149"/>
        <v>11644623.305778595</v>
      </c>
      <c r="AO274" s="2027">
        <f t="shared" si="161"/>
        <v>-252445.92368108639</v>
      </c>
      <c r="AP274" s="2027">
        <f t="shared" si="150"/>
        <v>-234635.84368140326</v>
      </c>
      <c r="AQ274" s="2027">
        <f t="shared" si="150"/>
        <v>-235562.17513721841</v>
      </c>
      <c r="AR274" s="2027">
        <f t="shared" si="150"/>
        <v>-235027.25133878997</v>
      </c>
      <c r="AS274" s="2124">
        <v>157.69131348467863</v>
      </c>
      <c r="AT274" s="2029">
        <f t="shared" si="151"/>
        <v>157.69131348467863</v>
      </c>
      <c r="AU274" s="2029">
        <f t="shared" si="151"/>
        <v>157.69131348467863</v>
      </c>
      <c r="AV274" s="2029">
        <f t="shared" si="151"/>
        <v>157.69131348467863</v>
      </c>
      <c r="AW274" s="2124">
        <f t="shared" si="152"/>
        <v>0</v>
      </c>
      <c r="AX274" s="2029">
        <f t="shared" si="171"/>
        <v>0</v>
      </c>
      <c r="AY274" s="2029">
        <f t="shared" si="171"/>
        <v>0</v>
      </c>
      <c r="AZ274" s="2029">
        <f t="shared" si="171"/>
        <v>0</v>
      </c>
      <c r="BA274" s="2124">
        <v>266.94858891886281</v>
      </c>
      <c r="BB274" s="2029">
        <f>$BA274</f>
        <v>266.94858891886281</v>
      </c>
      <c r="BC274" s="2029">
        <f t="shared" ref="BC274:BD274" si="178">$BA274</f>
        <v>266.94858891886281</v>
      </c>
      <c r="BD274" s="2029">
        <f t="shared" si="178"/>
        <v>266.94858891886281</v>
      </c>
      <c r="BE274" s="2030">
        <f t="shared" si="155"/>
        <v>2803120.7885036473</v>
      </c>
      <c r="BF274" s="2030">
        <f t="shared" si="155"/>
        <v>2835920.5817084606</v>
      </c>
      <c r="BG274" s="2030">
        <f t="shared" si="155"/>
        <v>2847116.6649658727</v>
      </c>
      <c r="BH274" s="2030">
        <f t="shared" si="155"/>
        <v>2840651.3211130006</v>
      </c>
      <c r="BI274" s="2030">
        <f t="shared" si="156"/>
        <v>0</v>
      </c>
      <c r="BJ274" s="2030">
        <f t="shared" si="156"/>
        <v>0</v>
      </c>
      <c r="BK274" s="2030">
        <f t="shared" si="156"/>
        <v>0</v>
      </c>
      <c r="BL274" s="2030">
        <f t="shared" si="156"/>
        <v>0</v>
      </c>
      <c r="BM274" s="2125"/>
      <c r="BN274" s="2125"/>
      <c r="BO274" s="2125"/>
      <c r="BP274" s="2125"/>
      <c r="BQ274" s="2125"/>
      <c r="BR274" s="2125"/>
      <c r="BS274" s="2125"/>
      <c r="BT274" s="2125"/>
      <c r="BU274" s="2029"/>
      <c r="BV274" s="2029"/>
      <c r="BW274" s="2029"/>
      <c r="BX274" s="2029"/>
      <c r="BY274" s="2029"/>
      <c r="BZ274" s="2032"/>
      <c r="CA274" s="1974">
        <f t="shared" si="175"/>
        <v>0</v>
      </c>
      <c r="CB274" s="1974">
        <f t="shared" si="175"/>
        <v>0</v>
      </c>
      <c r="CC274" s="1974">
        <f t="shared" si="175"/>
        <v>0</v>
      </c>
      <c r="CD274" s="1974">
        <f t="shared" si="175"/>
        <v>0</v>
      </c>
      <c r="CE274" s="1974">
        <f t="shared" si="175"/>
        <v>1</v>
      </c>
      <c r="CF274" s="2033">
        <v>5.2286197050775834E-2</v>
      </c>
      <c r="CG274" s="2026">
        <v>-7.8620755426197619E-2</v>
      </c>
      <c r="CH274" s="2009">
        <f t="shared" si="175"/>
        <v>1</v>
      </c>
      <c r="CI274" s="2031">
        <f t="shared" si="175"/>
        <v>5.387533986928104</v>
      </c>
      <c r="CJ274" s="1974">
        <f t="shared" si="175"/>
        <v>0</v>
      </c>
      <c r="CK274" s="2031">
        <f t="shared" si="175"/>
        <v>-5.387533986928104</v>
      </c>
      <c r="CL274" s="2026">
        <v>1</v>
      </c>
      <c r="CM274" s="2026">
        <v>0.91870005481454409</v>
      </c>
      <c r="CN274" s="2026">
        <v>0.91870005481454409</v>
      </c>
      <c r="CO274" s="2026">
        <v>0.91870005481454409</v>
      </c>
      <c r="CP274" s="2035"/>
      <c r="CQ274" s="2036"/>
      <c r="CR274" s="2036"/>
      <c r="CS274" s="2036"/>
      <c r="CT274" s="2036"/>
      <c r="CU274" s="2036"/>
      <c r="CW274" s="1973">
        <v>0</v>
      </c>
      <c r="CX274" s="2037">
        <v>137.97751027115856</v>
      </c>
      <c r="CY274" s="2037">
        <v>137.97751027115856</v>
      </c>
      <c r="CZ274" s="2037">
        <v>137.97751027115856</v>
      </c>
      <c r="DA274" s="2037">
        <v>137.97751027115856</v>
      </c>
      <c r="DJ274" s="1976">
        <v>137.97751027115856</v>
      </c>
      <c r="DK274" s="1973">
        <v>137.97751027115856</v>
      </c>
      <c r="DL274" s="1973">
        <v>137.97751027115856</v>
      </c>
      <c r="DM274" s="1973">
        <v>137.97751027115856</v>
      </c>
      <c r="DO274" s="2047">
        <v>15</v>
      </c>
      <c r="DP274" s="2047">
        <v>731.41972555287646</v>
      </c>
      <c r="DQ274" s="2047">
        <v>0.12756038898084868</v>
      </c>
      <c r="DR274" s="2047">
        <v>-12.323260536976173</v>
      </c>
      <c r="DS274" s="2046">
        <v>157.68858316703836</v>
      </c>
      <c r="DT274" s="2046">
        <v>157.68858316703836</v>
      </c>
      <c r="DU274" s="2046">
        <v>157.68858316703836</v>
      </c>
      <c r="DV274" s="2046">
        <v>157.68858316703836</v>
      </c>
      <c r="DW274" s="2046">
        <v>0</v>
      </c>
      <c r="DX274" s="2046">
        <v>0</v>
      </c>
      <c r="DY274" s="2046">
        <v>0</v>
      </c>
      <c r="DZ274" s="2046">
        <v>0</v>
      </c>
      <c r="EA274" s="2046">
        <v>266.88716398638337</v>
      </c>
      <c r="EB274" s="2046">
        <v>266.88716398638337</v>
      </c>
      <c r="EC274" s="2046">
        <v>266.88716398638337</v>
      </c>
      <c r="ED274" s="2046">
        <v>266.88716398638337</v>
      </c>
      <c r="EE274" s="2039">
        <f t="shared" si="168"/>
        <v>0</v>
      </c>
      <c r="EF274" s="2039">
        <f t="shared" si="168"/>
        <v>-3.3228112567940116E-4</v>
      </c>
      <c r="EG274" s="2039">
        <f t="shared" si="168"/>
        <v>-9.875683697387394E-3</v>
      </c>
      <c r="EH274" s="2039">
        <f t="shared" si="167"/>
        <v>-2.4392169655153548</v>
      </c>
      <c r="EI274" s="2040">
        <f t="shared" si="165"/>
        <v>2.730317640271096E-3</v>
      </c>
      <c r="EJ274" s="2040">
        <f t="shared" si="165"/>
        <v>2.730317640271096E-3</v>
      </c>
      <c r="EK274" s="2040">
        <f t="shared" si="165"/>
        <v>2.730317640271096E-3</v>
      </c>
      <c r="EL274" s="2040">
        <f t="shared" si="164"/>
        <v>2.730317640271096E-3</v>
      </c>
      <c r="EM274" s="2040">
        <f t="shared" si="164"/>
        <v>0</v>
      </c>
      <c r="EN274" s="2040">
        <f t="shared" si="164"/>
        <v>0</v>
      </c>
      <c r="EO274" s="2040">
        <f t="shared" si="164"/>
        <v>0</v>
      </c>
      <c r="EP274" s="2040">
        <f t="shared" si="164"/>
        <v>0</v>
      </c>
      <c r="EQ274" s="2040">
        <f t="shared" si="164"/>
        <v>6.1424932479440031E-2</v>
      </c>
      <c r="ER274" s="2040">
        <f t="shared" si="137"/>
        <v>6.1424932479440031E-2</v>
      </c>
      <c r="ES274" s="2040">
        <f t="shared" si="137"/>
        <v>6.1424932479440031E-2</v>
      </c>
      <c r="ET274" s="2040">
        <f t="shared" si="137"/>
        <v>6.1424932479440031E-2</v>
      </c>
      <c r="EU274" s="2039">
        <f t="shared" si="169"/>
        <v>-2.192803929859577</v>
      </c>
      <c r="EV274" s="2039">
        <f t="shared" si="170"/>
        <v>-2.4494249303384215</v>
      </c>
    </row>
    <row r="275" spans="1:152" x14ac:dyDescent="0.25">
      <c r="A275" s="2088" t="s">
        <v>101</v>
      </c>
      <c r="B275" s="2093" t="str">
        <f t="shared" si="146"/>
        <v>BPC21</v>
      </c>
      <c r="C275" s="1974">
        <f t="shared" si="173"/>
        <v>3</v>
      </c>
      <c r="D275" s="1974">
        <f t="shared" si="173"/>
        <v>878</v>
      </c>
      <c r="E275" s="1974">
        <f t="shared" si="173"/>
        <v>0.39</v>
      </c>
      <c r="F275" s="1974">
        <f t="shared" si="174"/>
        <v>0</v>
      </c>
      <c r="G275" s="1974" t="s">
        <v>2997</v>
      </c>
      <c r="H275" s="1974" t="s">
        <v>2997</v>
      </c>
      <c r="I275" s="2026">
        <v>0.96199999999999997</v>
      </c>
      <c r="J275" s="2026">
        <v>0.96199999999999997</v>
      </c>
      <c r="K275" s="2026">
        <v>0.96199999999999997</v>
      </c>
      <c r="L275" s="2026">
        <v>0.96199999999999997</v>
      </c>
      <c r="M275" s="2027">
        <f t="shared" si="158"/>
        <v>844.63599999999997</v>
      </c>
      <c r="N275" s="2027">
        <f t="shared" si="158"/>
        <v>844.63599999999997</v>
      </c>
      <c r="O275" s="2027">
        <f t="shared" si="158"/>
        <v>844.63599999999997</v>
      </c>
      <c r="P275" s="2027">
        <f t="shared" si="158"/>
        <v>844.63599999999997</v>
      </c>
      <c r="Q275" s="2026">
        <v>0.96199999999999997</v>
      </c>
      <c r="R275" s="2026">
        <v>0.96199999999999997</v>
      </c>
      <c r="S275" s="2026">
        <v>0.96199999999999997</v>
      </c>
      <c r="T275" s="2026">
        <v>0.96199999999999997</v>
      </c>
      <c r="U275" s="2028">
        <f t="shared" si="159"/>
        <v>0.37518000000000001</v>
      </c>
      <c r="V275" s="2028">
        <f t="shared" si="159"/>
        <v>0.37518000000000001</v>
      </c>
      <c r="W275" s="2028">
        <f t="shared" si="159"/>
        <v>0.37518000000000001</v>
      </c>
      <c r="X275" s="2028">
        <f t="shared" si="159"/>
        <v>0.37518000000000001</v>
      </c>
      <c r="Y275" s="2026">
        <v>0.96199999999999997</v>
      </c>
      <c r="Z275" s="2026">
        <v>0.96199999999999997</v>
      </c>
      <c r="AA275" s="2026">
        <v>0.96199999999999997</v>
      </c>
      <c r="AB275" s="2026">
        <v>0.96199999999999997</v>
      </c>
      <c r="AC275" s="2027">
        <f t="shared" si="160"/>
        <v>0</v>
      </c>
      <c r="AD275" s="2027">
        <f t="shared" si="160"/>
        <v>0</v>
      </c>
      <c r="AE275" s="2027">
        <f t="shared" si="160"/>
        <v>0</v>
      </c>
      <c r="AF275" s="2027">
        <f t="shared" si="160"/>
        <v>0</v>
      </c>
      <c r="AG275" s="2027">
        <v>0</v>
      </c>
      <c r="AH275" s="2028"/>
      <c r="AI275" s="2028"/>
      <c r="AJ275" s="2028"/>
      <c r="AK275" s="2027">
        <f t="shared" si="148"/>
        <v>0</v>
      </c>
      <c r="AL275" s="2027">
        <f t="shared" si="149"/>
        <v>0</v>
      </c>
      <c r="AM275" s="2027">
        <f t="shared" si="149"/>
        <v>0</v>
      </c>
      <c r="AN275" s="2027">
        <f t="shared" si="149"/>
        <v>0</v>
      </c>
      <c r="AO275" s="2027">
        <f t="shared" si="161"/>
        <v>0</v>
      </c>
      <c r="AP275" s="2027">
        <f t="shared" si="150"/>
        <v>0</v>
      </c>
      <c r="AQ275" s="2027">
        <f t="shared" si="150"/>
        <v>0</v>
      </c>
      <c r="AR275" s="2027">
        <f t="shared" si="150"/>
        <v>0</v>
      </c>
      <c r="AS275" s="2124">
        <f t="shared" ref="AS275:AS283" si="179">AS31*1.5</f>
        <v>180</v>
      </c>
      <c r="AT275" s="2029">
        <f t="shared" si="151"/>
        <v>180</v>
      </c>
      <c r="AU275" s="2029">
        <f t="shared" si="151"/>
        <v>180</v>
      </c>
      <c r="AV275" s="2029">
        <f t="shared" si="151"/>
        <v>180</v>
      </c>
      <c r="AW275" s="2124">
        <f t="shared" si="152"/>
        <v>0</v>
      </c>
      <c r="AX275" s="2029">
        <f t="shared" si="171"/>
        <v>0</v>
      </c>
      <c r="AY275" s="2029">
        <f t="shared" si="171"/>
        <v>0</v>
      </c>
      <c r="AZ275" s="2029">
        <f t="shared" si="171"/>
        <v>0</v>
      </c>
      <c r="BA275" s="2124">
        <f t="shared" si="176"/>
        <v>140</v>
      </c>
      <c r="BB275" s="2029">
        <f t="shared" si="176"/>
        <v>140</v>
      </c>
      <c r="BC275" s="2029">
        <f t="shared" si="176"/>
        <v>140</v>
      </c>
      <c r="BD275" s="2029">
        <f t="shared" si="176"/>
        <v>140</v>
      </c>
      <c r="BE275" s="2030">
        <f t="shared" si="155"/>
        <v>0</v>
      </c>
      <c r="BF275" s="2030">
        <f t="shared" si="155"/>
        <v>0</v>
      </c>
      <c r="BG275" s="2030">
        <f t="shared" si="155"/>
        <v>0</v>
      </c>
      <c r="BH275" s="2030">
        <f t="shared" si="155"/>
        <v>0</v>
      </c>
      <c r="BI275" s="2030">
        <f t="shared" si="156"/>
        <v>0</v>
      </c>
      <c r="BJ275" s="2030">
        <f t="shared" si="156"/>
        <v>0</v>
      </c>
      <c r="BK275" s="2030">
        <f t="shared" si="156"/>
        <v>0</v>
      </c>
      <c r="BL275" s="2030">
        <f t="shared" si="156"/>
        <v>0</v>
      </c>
      <c r="BM275" s="2125"/>
      <c r="BN275" s="2125"/>
      <c r="BO275" s="2125"/>
      <c r="BP275" s="2125"/>
      <c r="BQ275" s="2125"/>
      <c r="BR275" s="2125"/>
      <c r="BS275" s="2125"/>
      <c r="BT275" s="2125"/>
      <c r="BU275" s="2029"/>
      <c r="BV275" s="2029"/>
      <c r="BW275" s="2029"/>
      <c r="BX275" s="2029"/>
      <c r="BY275" s="2029"/>
      <c r="BZ275" s="2032"/>
      <c r="CA275" s="1974">
        <f t="shared" si="175"/>
        <v>0</v>
      </c>
      <c r="CB275" s="1974">
        <f t="shared" si="175"/>
        <v>0</v>
      </c>
      <c r="CC275" s="1974">
        <f t="shared" si="175"/>
        <v>0</v>
      </c>
      <c r="CD275" s="1974">
        <f t="shared" si="175"/>
        <v>0</v>
      </c>
      <c r="CE275" s="1974">
        <f t="shared" si="175"/>
        <v>0</v>
      </c>
      <c r="CF275" s="2033">
        <v>0</v>
      </c>
      <c r="CG275" s="2026">
        <v>0</v>
      </c>
      <c r="CH275" s="2009">
        <f t="shared" si="175"/>
        <v>0</v>
      </c>
      <c r="CI275" s="2031">
        <f t="shared" si="175"/>
        <v>0</v>
      </c>
      <c r="CJ275" s="1974">
        <f t="shared" si="175"/>
        <v>0</v>
      </c>
      <c r="CK275" s="2031">
        <f t="shared" si="175"/>
        <v>0</v>
      </c>
      <c r="CL275" s="2026">
        <v>1</v>
      </c>
      <c r="CM275" s="2026">
        <v>1</v>
      </c>
      <c r="CN275" s="2026">
        <v>1</v>
      </c>
      <c r="CO275" s="2026">
        <v>1</v>
      </c>
      <c r="CP275" s="2035"/>
      <c r="CQ275" s="2036"/>
      <c r="CR275" s="2036"/>
      <c r="CS275" s="2036"/>
      <c r="CT275" s="2036"/>
      <c r="CU275" s="2036"/>
      <c r="CW275" s="1973">
        <v>0</v>
      </c>
      <c r="CX275" s="2037">
        <v>180</v>
      </c>
      <c r="CY275" s="2037">
        <v>180</v>
      </c>
      <c r="CZ275" s="2037">
        <v>180</v>
      </c>
      <c r="DA275" s="2037">
        <v>180</v>
      </c>
      <c r="DJ275" s="1976">
        <v>180</v>
      </c>
      <c r="DK275" s="1973">
        <v>180</v>
      </c>
      <c r="DL275" s="1973">
        <v>180</v>
      </c>
      <c r="DM275" s="1973">
        <v>180</v>
      </c>
      <c r="DO275" s="1974">
        <v>3</v>
      </c>
      <c r="DP275" s="1974">
        <v>878</v>
      </c>
      <c r="DQ275" s="1974">
        <v>0.39</v>
      </c>
      <c r="DR275" s="1974">
        <v>0</v>
      </c>
      <c r="DS275" s="2124">
        <v>180</v>
      </c>
      <c r="DT275" s="2029">
        <v>180</v>
      </c>
      <c r="DU275" s="2029">
        <v>180</v>
      </c>
      <c r="DV275" s="2029">
        <v>180</v>
      </c>
      <c r="DW275" s="2124">
        <v>0</v>
      </c>
      <c r="DX275" s="2029">
        <v>0</v>
      </c>
      <c r="DY275" s="2029">
        <v>0</v>
      </c>
      <c r="DZ275" s="2029">
        <v>0</v>
      </c>
      <c r="EA275" s="2124">
        <v>140</v>
      </c>
      <c r="EB275" s="2029">
        <v>140</v>
      </c>
      <c r="EC275" s="2029">
        <v>140</v>
      </c>
      <c r="ED275" s="2029">
        <v>140</v>
      </c>
      <c r="EE275" s="2039">
        <f t="shared" si="168"/>
        <v>0</v>
      </c>
      <c r="EF275" s="2039">
        <f t="shared" si="168"/>
        <v>0</v>
      </c>
      <c r="EG275" s="2039">
        <f t="shared" si="168"/>
        <v>0</v>
      </c>
      <c r="EH275" s="2039">
        <f t="shared" si="167"/>
        <v>0</v>
      </c>
      <c r="EI275" s="2040">
        <f t="shared" si="165"/>
        <v>0</v>
      </c>
      <c r="EJ275" s="2040">
        <f t="shared" si="165"/>
        <v>0</v>
      </c>
      <c r="EK275" s="2040">
        <f t="shared" si="165"/>
        <v>0</v>
      </c>
      <c r="EL275" s="2040">
        <f t="shared" si="164"/>
        <v>0</v>
      </c>
      <c r="EM275" s="2040">
        <f t="shared" si="164"/>
        <v>0</v>
      </c>
      <c r="EN275" s="2040">
        <f t="shared" si="164"/>
        <v>0</v>
      </c>
      <c r="EO275" s="2040">
        <f t="shared" si="164"/>
        <v>0</v>
      </c>
      <c r="EP275" s="2040">
        <f t="shared" si="164"/>
        <v>0</v>
      </c>
      <c r="EQ275" s="2040">
        <f t="shared" si="164"/>
        <v>0</v>
      </c>
      <c r="ER275" s="2040">
        <f t="shared" si="137"/>
        <v>0</v>
      </c>
      <c r="ES275" s="2040">
        <f t="shared" si="137"/>
        <v>0</v>
      </c>
      <c r="ET275" s="2040">
        <f t="shared" si="137"/>
        <v>0</v>
      </c>
      <c r="EU275" s="2039">
        <f t="shared" si="169"/>
        <v>0</v>
      </c>
      <c r="EV275" s="2039">
        <f t="shared" si="170"/>
        <v>0</v>
      </c>
    </row>
    <row r="276" spans="1:152" x14ac:dyDescent="0.25">
      <c r="A276" s="2088" t="s">
        <v>213</v>
      </c>
      <c r="B276" s="2093" t="str">
        <f t="shared" si="146"/>
        <v>BPC2</v>
      </c>
      <c r="C276" s="1974">
        <f t="shared" si="173"/>
        <v>15</v>
      </c>
      <c r="D276" s="1974">
        <f t="shared" si="173"/>
        <v>514.38</v>
      </c>
      <c r="E276" s="1974">
        <f t="shared" si="173"/>
        <v>0.5</v>
      </c>
      <c r="F276" s="1974">
        <f t="shared" si="174"/>
        <v>0</v>
      </c>
      <c r="G276" s="1974" t="s">
        <v>2997</v>
      </c>
      <c r="H276" s="1974" t="s">
        <v>2997</v>
      </c>
      <c r="I276" s="2026">
        <v>0.96199999999999997</v>
      </c>
      <c r="J276" s="2026">
        <v>0.96199999999999997</v>
      </c>
      <c r="K276" s="2026">
        <v>0.96199999999999997</v>
      </c>
      <c r="L276" s="2026">
        <v>0.96199999999999997</v>
      </c>
      <c r="M276" s="2027">
        <f t="shared" si="158"/>
        <v>494.83355999999998</v>
      </c>
      <c r="N276" s="2027">
        <f t="shared" si="158"/>
        <v>494.83355999999998</v>
      </c>
      <c r="O276" s="2027">
        <f t="shared" si="158"/>
        <v>494.83355999999998</v>
      </c>
      <c r="P276" s="2027">
        <f t="shared" si="158"/>
        <v>494.83355999999998</v>
      </c>
      <c r="Q276" s="2026">
        <v>0.96199999999999997</v>
      </c>
      <c r="R276" s="2026">
        <v>0.96199999999999997</v>
      </c>
      <c r="S276" s="2026">
        <v>0.96199999999999997</v>
      </c>
      <c r="T276" s="2026">
        <v>0.96199999999999997</v>
      </c>
      <c r="U276" s="2028">
        <f t="shared" si="159"/>
        <v>0.48099999999999998</v>
      </c>
      <c r="V276" s="2028">
        <f t="shared" si="159"/>
        <v>0.48099999999999998</v>
      </c>
      <c r="W276" s="2028">
        <f t="shared" si="159"/>
        <v>0.48099999999999998</v>
      </c>
      <c r="X276" s="2028">
        <f t="shared" si="159"/>
        <v>0.48099999999999998</v>
      </c>
      <c r="Y276" s="2026">
        <v>0.96199999999999997</v>
      </c>
      <c r="Z276" s="2026">
        <v>0.96199999999999997</v>
      </c>
      <c r="AA276" s="2026">
        <v>0.96199999999999997</v>
      </c>
      <c r="AB276" s="2026">
        <v>0.96199999999999997</v>
      </c>
      <c r="AC276" s="2027">
        <f t="shared" si="160"/>
        <v>0</v>
      </c>
      <c r="AD276" s="2027">
        <f t="shared" si="160"/>
        <v>0</v>
      </c>
      <c r="AE276" s="2027">
        <f t="shared" si="160"/>
        <v>0</v>
      </c>
      <c r="AF276" s="2027">
        <f t="shared" si="160"/>
        <v>0</v>
      </c>
      <c r="AG276" s="2027">
        <v>0</v>
      </c>
      <c r="AH276" s="2028"/>
      <c r="AI276" s="2028"/>
      <c r="AJ276" s="2028"/>
      <c r="AK276" s="2027">
        <f t="shared" si="148"/>
        <v>0</v>
      </c>
      <c r="AL276" s="2027">
        <f t="shared" si="149"/>
        <v>0</v>
      </c>
      <c r="AM276" s="2027">
        <f t="shared" si="149"/>
        <v>0</v>
      </c>
      <c r="AN276" s="2027">
        <f t="shared" si="149"/>
        <v>0</v>
      </c>
      <c r="AO276" s="2027">
        <f t="shared" si="161"/>
        <v>0</v>
      </c>
      <c r="AP276" s="2027">
        <f t="shared" si="150"/>
        <v>0</v>
      </c>
      <c r="AQ276" s="2027">
        <f t="shared" si="150"/>
        <v>0</v>
      </c>
      <c r="AR276" s="2027">
        <f t="shared" si="150"/>
        <v>0</v>
      </c>
      <c r="AS276" s="2124">
        <f t="shared" si="179"/>
        <v>75</v>
      </c>
      <c r="AT276" s="2029">
        <f t="shared" si="151"/>
        <v>75</v>
      </c>
      <c r="AU276" s="2029">
        <f t="shared" si="151"/>
        <v>75</v>
      </c>
      <c r="AV276" s="2029">
        <f t="shared" si="151"/>
        <v>75</v>
      </c>
      <c r="AW276" s="2124">
        <f t="shared" si="152"/>
        <v>0</v>
      </c>
      <c r="AX276" s="2029">
        <f t="shared" si="171"/>
        <v>0</v>
      </c>
      <c r="AY276" s="2029">
        <f t="shared" si="171"/>
        <v>0</v>
      </c>
      <c r="AZ276" s="2029">
        <f t="shared" si="171"/>
        <v>0</v>
      </c>
      <c r="BA276" s="2124">
        <f t="shared" si="176"/>
        <v>300</v>
      </c>
      <c r="BB276" s="2029">
        <f t="shared" si="176"/>
        <v>300</v>
      </c>
      <c r="BC276" s="2029">
        <f t="shared" si="176"/>
        <v>300</v>
      </c>
      <c r="BD276" s="2029">
        <f t="shared" si="176"/>
        <v>300</v>
      </c>
      <c r="BE276" s="2030">
        <f t="shared" si="155"/>
        <v>0</v>
      </c>
      <c r="BF276" s="2030">
        <f t="shared" si="155"/>
        <v>0</v>
      </c>
      <c r="BG276" s="2030">
        <f t="shared" si="155"/>
        <v>0</v>
      </c>
      <c r="BH276" s="2030">
        <f t="shared" si="155"/>
        <v>0</v>
      </c>
      <c r="BI276" s="2030">
        <f t="shared" si="156"/>
        <v>0</v>
      </c>
      <c r="BJ276" s="2030">
        <f t="shared" si="156"/>
        <v>0</v>
      </c>
      <c r="BK276" s="2030">
        <f t="shared" si="156"/>
        <v>0</v>
      </c>
      <c r="BL276" s="2030">
        <f t="shared" si="156"/>
        <v>0</v>
      </c>
      <c r="BM276" s="2125"/>
      <c r="BN276" s="2125"/>
      <c r="BO276" s="2125"/>
      <c r="BP276" s="2125"/>
      <c r="BQ276" s="2125"/>
      <c r="BR276" s="2125"/>
      <c r="BS276" s="2125"/>
      <c r="BT276" s="2125"/>
      <c r="BU276" s="2029"/>
      <c r="BV276" s="2029"/>
      <c r="BW276" s="2029"/>
      <c r="BX276" s="2029"/>
      <c r="BY276" s="2029"/>
      <c r="BZ276" s="2032"/>
      <c r="CA276" s="1974">
        <f t="shared" si="175"/>
        <v>0</v>
      </c>
      <c r="CB276" s="1974">
        <f t="shared" si="175"/>
        <v>0</v>
      </c>
      <c r="CC276" s="1974">
        <f t="shared" si="175"/>
        <v>0</v>
      </c>
      <c r="CD276" s="1974">
        <f t="shared" si="175"/>
        <v>0</v>
      </c>
      <c r="CE276" s="1974">
        <f t="shared" si="175"/>
        <v>0</v>
      </c>
      <c r="CF276" s="2033">
        <v>0</v>
      </c>
      <c r="CG276" s="2026">
        <v>0</v>
      </c>
      <c r="CH276" s="2009">
        <f t="shared" si="175"/>
        <v>0</v>
      </c>
      <c r="CI276" s="2031">
        <f t="shared" si="175"/>
        <v>0</v>
      </c>
      <c r="CJ276" s="1974">
        <f t="shared" si="175"/>
        <v>0</v>
      </c>
      <c r="CK276" s="2031">
        <f t="shared" si="175"/>
        <v>0</v>
      </c>
      <c r="CL276" s="2026">
        <v>1</v>
      </c>
      <c r="CM276" s="2026">
        <v>1</v>
      </c>
      <c r="CN276" s="2026">
        <v>1</v>
      </c>
      <c r="CO276" s="2026">
        <v>1</v>
      </c>
      <c r="CP276" s="2035"/>
      <c r="CQ276" s="2036"/>
      <c r="CR276" s="2036"/>
      <c r="CS276" s="2036"/>
      <c r="CT276" s="2036"/>
      <c r="CU276" s="2036"/>
      <c r="CW276" s="1973">
        <v>0</v>
      </c>
      <c r="CX276" s="2037">
        <v>75</v>
      </c>
      <c r="CY276" s="2037">
        <v>75</v>
      </c>
      <c r="CZ276" s="2037">
        <v>75</v>
      </c>
      <c r="DA276" s="2037">
        <v>75</v>
      </c>
      <c r="DJ276" s="1976">
        <v>75</v>
      </c>
      <c r="DK276" s="1973">
        <v>75</v>
      </c>
      <c r="DL276" s="1973">
        <v>75</v>
      </c>
      <c r="DM276" s="1973">
        <v>75</v>
      </c>
      <c r="DO276" s="1974">
        <v>15</v>
      </c>
      <c r="DP276" s="1974">
        <v>514.38</v>
      </c>
      <c r="DQ276" s="1974">
        <v>0.5</v>
      </c>
      <c r="DR276" s="1974">
        <v>0</v>
      </c>
      <c r="DS276" s="2124">
        <v>75</v>
      </c>
      <c r="DT276" s="2029">
        <v>75</v>
      </c>
      <c r="DU276" s="2029">
        <v>75</v>
      </c>
      <c r="DV276" s="2029">
        <v>75</v>
      </c>
      <c r="DW276" s="2124">
        <v>0</v>
      </c>
      <c r="DX276" s="2029">
        <v>0</v>
      </c>
      <c r="DY276" s="2029">
        <v>0</v>
      </c>
      <c r="DZ276" s="2029">
        <v>0</v>
      </c>
      <c r="EA276" s="2124">
        <v>300</v>
      </c>
      <c r="EB276" s="2029">
        <v>300</v>
      </c>
      <c r="EC276" s="2029">
        <v>300</v>
      </c>
      <c r="ED276" s="2029">
        <v>300</v>
      </c>
      <c r="EE276" s="2039">
        <f t="shared" si="168"/>
        <v>0</v>
      </c>
      <c r="EF276" s="2039">
        <f t="shared" si="168"/>
        <v>0</v>
      </c>
      <c r="EG276" s="2039">
        <f t="shared" si="168"/>
        <v>0</v>
      </c>
      <c r="EH276" s="2039">
        <f t="shared" si="167"/>
        <v>0</v>
      </c>
      <c r="EI276" s="2040">
        <f t="shared" si="165"/>
        <v>0</v>
      </c>
      <c r="EJ276" s="2040">
        <f t="shared" si="165"/>
        <v>0</v>
      </c>
      <c r="EK276" s="2040">
        <f t="shared" si="165"/>
        <v>0</v>
      </c>
      <c r="EL276" s="2040">
        <f t="shared" si="164"/>
        <v>0</v>
      </c>
      <c r="EM276" s="2040">
        <f t="shared" si="164"/>
        <v>0</v>
      </c>
      <c r="EN276" s="2040">
        <f t="shared" si="164"/>
        <v>0</v>
      </c>
      <c r="EO276" s="2040">
        <f t="shared" si="164"/>
        <v>0</v>
      </c>
      <c r="EP276" s="2040">
        <f t="shared" si="164"/>
        <v>0</v>
      </c>
      <c r="EQ276" s="2040">
        <f t="shared" si="164"/>
        <v>0</v>
      </c>
      <c r="ER276" s="2040">
        <f t="shared" si="137"/>
        <v>0</v>
      </c>
      <c r="ES276" s="2040">
        <f t="shared" si="137"/>
        <v>0</v>
      </c>
      <c r="ET276" s="2040">
        <f t="shared" si="137"/>
        <v>0</v>
      </c>
      <c r="EU276" s="2039">
        <f t="shared" si="169"/>
        <v>0</v>
      </c>
      <c r="EV276" s="2039">
        <f t="shared" si="170"/>
        <v>0</v>
      </c>
    </row>
    <row r="277" spans="1:152" x14ac:dyDescent="0.25">
      <c r="A277" s="2088" t="s">
        <v>214</v>
      </c>
      <c r="B277" s="2093" t="str">
        <f t="shared" si="146"/>
        <v>BPC4</v>
      </c>
      <c r="C277" s="1974">
        <f t="shared" si="173"/>
        <v>15</v>
      </c>
      <c r="D277" s="1974">
        <f t="shared" si="173"/>
        <v>744.5</v>
      </c>
      <c r="E277" s="1974">
        <f t="shared" si="173"/>
        <v>0.747</v>
      </c>
      <c r="F277" s="1974">
        <f t="shared" si="174"/>
        <v>0</v>
      </c>
      <c r="G277" s="1974" t="s">
        <v>2997</v>
      </c>
      <c r="H277" s="1974" t="s">
        <v>2997</v>
      </c>
      <c r="I277" s="2026">
        <v>0.96199999999999997</v>
      </c>
      <c r="J277" s="2026">
        <v>0.96199999999999997</v>
      </c>
      <c r="K277" s="2026">
        <v>0.96199999999999997</v>
      </c>
      <c r="L277" s="2026">
        <v>0.96199999999999997</v>
      </c>
      <c r="M277" s="2027">
        <f t="shared" si="158"/>
        <v>716.20899999999995</v>
      </c>
      <c r="N277" s="2027">
        <f t="shared" si="158"/>
        <v>716.20899999999995</v>
      </c>
      <c r="O277" s="2027">
        <f t="shared" si="158"/>
        <v>716.20899999999995</v>
      </c>
      <c r="P277" s="2027">
        <f t="shared" si="158"/>
        <v>716.20899999999995</v>
      </c>
      <c r="Q277" s="2026">
        <v>0.96199999999999997</v>
      </c>
      <c r="R277" s="2026">
        <v>0.96199999999999997</v>
      </c>
      <c r="S277" s="2026">
        <v>0.96199999999999997</v>
      </c>
      <c r="T277" s="2026">
        <v>0.96199999999999997</v>
      </c>
      <c r="U277" s="2028">
        <f t="shared" si="159"/>
        <v>0.71861399999999998</v>
      </c>
      <c r="V277" s="2028">
        <f t="shared" si="159"/>
        <v>0.71861399999999998</v>
      </c>
      <c r="W277" s="2028">
        <f t="shared" si="159"/>
        <v>0.71861399999999998</v>
      </c>
      <c r="X277" s="2028">
        <f t="shared" si="159"/>
        <v>0.71861399999999998</v>
      </c>
      <c r="Y277" s="2026">
        <v>0.96199999999999997</v>
      </c>
      <c r="Z277" s="2026">
        <v>0.96199999999999997</v>
      </c>
      <c r="AA277" s="2026">
        <v>0.96199999999999997</v>
      </c>
      <c r="AB277" s="2026">
        <v>0.96199999999999997</v>
      </c>
      <c r="AC277" s="2027">
        <f t="shared" si="160"/>
        <v>0</v>
      </c>
      <c r="AD277" s="2027">
        <f t="shared" si="160"/>
        <v>0</v>
      </c>
      <c r="AE277" s="2027">
        <f t="shared" si="160"/>
        <v>0</v>
      </c>
      <c r="AF277" s="2027">
        <f t="shared" si="160"/>
        <v>0</v>
      </c>
      <c r="AG277" s="2027">
        <v>0</v>
      </c>
      <c r="AH277" s="2028"/>
      <c r="AI277" s="2028"/>
      <c r="AJ277" s="2028"/>
      <c r="AK277" s="2027">
        <f t="shared" si="148"/>
        <v>0</v>
      </c>
      <c r="AL277" s="2027">
        <f t="shared" si="149"/>
        <v>0</v>
      </c>
      <c r="AM277" s="2027">
        <f t="shared" si="149"/>
        <v>0</v>
      </c>
      <c r="AN277" s="2027">
        <f t="shared" si="149"/>
        <v>0</v>
      </c>
      <c r="AO277" s="2027">
        <f t="shared" si="161"/>
        <v>0</v>
      </c>
      <c r="AP277" s="2027">
        <f t="shared" si="150"/>
        <v>0</v>
      </c>
      <c r="AQ277" s="2027">
        <f t="shared" si="150"/>
        <v>0</v>
      </c>
      <c r="AR277" s="2027">
        <f t="shared" si="150"/>
        <v>0</v>
      </c>
      <c r="AS277" s="2124">
        <f t="shared" si="179"/>
        <v>75</v>
      </c>
      <c r="AT277" s="2029">
        <f t="shared" si="151"/>
        <v>75</v>
      </c>
      <c r="AU277" s="2029">
        <f t="shared" si="151"/>
        <v>75</v>
      </c>
      <c r="AV277" s="2029">
        <f t="shared" si="151"/>
        <v>75</v>
      </c>
      <c r="AW277" s="2124">
        <f t="shared" si="152"/>
        <v>0</v>
      </c>
      <c r="AX277" s="2029">
        <f t="shared" si="171"/>
        <v>0</v>
      </c>
      <c r="AY277" s="2029">
        <f t="shared" si="171"/>
        <v>0</v>
      </c>
      <c r="AZ277" s="2029">
        <f t="shared" si="171"/>
        <v>0</v>
      </c>
      <c r="BA277" s="2124">
        <f t="shared" si="176"/>
        <v>1000</v>
      </c>
      <c r="BB277" s="2029">
        <f t="shared" si="176"/>
        <v>1000</v>
      </c>
      <c r="BC277" s="2029">
        <f t="shared" si="176"/>
        <v>1000</v>
      </c>
      <c r="BD277" s="2029">
        <f t="shared" si="176"/>
        <v>1000</v>
      </c>
      <c r="BE277" s="2030">
        <f t="shared" si="155"/>
        <v>0</v>
      </c>
      <c r="BF277" s="2030">
        <f t="shared" si="155"/>
        <v>0</v>
      </c>
      <c r="BG277" s="2030">
        <f t="shared" si="155"/>
        <v>0</v>
      </c>
      <c r="BH277" s="2030">
        <f t="shared" si="155"/>
        <v>0</v>
      </c>
      <c r="BI277" s="2030">
        <f t="shared" si="156"/>
        <v>0</v>
      </c>
      <c r="BJ277" s="2030">
        <f t="shared" si="156"/>
        <v>0</v>
      </c>
      <c r="BK277" s="2030">
        <f t="shared" si="156"/>
        <v>0</v>
      </c>
      <c r="BL277" s="2030">
        <f t="shared" si="156"/>
        <v>0</v>
      </c>
      <c r="BM277" s="2125"/>
      <c r="BN277" s="2125"/>
      <c r="BO277" s="2125"/>
      <c r="BP277" s="2125"/>
      <c r="BQ277" s="2125"/>
      <c r="BR277" s="2125"/>
      <c r="BS277" s="2125"/>
      <c r="BT277" s="2125"/>
      <c r="BU277" s="2029"/>
      <c r="BV277" s="2029"/>
      <c r="BW277" s="2029"/>
      <c r="BX277" s="2029"/>
      <c r="BY277" s="2029"/>
      <c r="BZ277" s="2032"/>
      <c r="CA277" s="1974">
        <f t="shared" si="175"/>
        <v>0</v>
      </c>
      <c r="CB277" s="1974">
        <f t="shared" si="175"/>
        <v>0</v>
      </c>
      <c r="CC277" s="1974">
        <f t="shared" si="175"/>
        <v>0</v>
      </c>
      <c r="CD277" s="1974">
        <f t="shared" si="175"/>
        <v>0</v>
      </c>
      <c r="CE277" s="1974">
        <f t="shared" si="175"/>
        <v>0</v>
      </c>
      <c r="CF277" s="2033">
        <v>0</v>
      </c>
      <c r="CG277" s="2026">
        <v>0</v>
      </c>
      <c r="CH277" s="2009">
        <f t="shared" si="175"/>
        <v>0</v>
      </c>
      <c r="CI277" s="2031">
        <f t="shared" si="175"/>
        <v>0</v>
      </c>
      <c r="CJ277" s="1974">
        <f t="shared" si="175"/>
        <v>0</v>
      </c>
      <c r="CK277" s="2031">
        <f t="shared" si="175"/>
        <v>0</v>
      </c>
      <c r="CL277" s="2026">
        <v>1</v>
      </c>
      <c r="CM277" s="2026">
        <v>1</v>
      </c>
      <c r="CN277" s="2026">
        <v>1</v>
      </c>
      <c r="CO277" s="2026">
        <v>1</v>
      </c>
      <c r="CP277" s="2035"/>
      <c r="CQ277" s="2036"/>
      <c r="CR277" s="2036"/>
      <c r="CS277" s="2036"/>
      <c r="CT277" s="2036"/>
      <c r="CU277" s="2036"/>
      <c r="CW277" s="1973">
        <v>0</v>
      </c>
      <c r="CX277" s="2037">
        <v>75</v>
      </c>
      <c r="CY277" s="2037">
        <v>75</v>
      </c>
      <c r="CZ277" s="2037">
        <v>75</v>
      </c>
      <c r="DA277" s="2037">
        <v>75</v>
      </c>
      <c r="DJ277" s="1976">
        <v>75</v>
      </c>
      <c r="DK277" s="1973">
        <v>75</v>
      </c>
      <c r="DL277" s="1973">
        <v>75</v>
      </c>
      <c r="DM277" s="1973">
        <v>75</v>
      </c>
      <c r="DO277" s="1974">
        <v>15</v>
      </c>
      <c r="DP277" s="1974">
        <v>744.5</v>
      </c>
      <c r="DQ277" s="1974">
        <v>0.747</v>
      </c>
      <c r="DR277" s="1974">
        <v>0</v>
      </c>
      <c r="DS277" s="2124">
        <v>75</v>
      </c>
      <c r="DT277" s="2029">
        <v>75</v>
      </c>
      <c r="DU277" s="2029">
        <v>75</v>
      </c>
      <c r="DV277" s="2029">
        <v>75</v>
      </c>
      <c r="DW277" s="2124">
        <v>0</v>
      </c>
      <c r="DX277" s="2029">
        <v>0</v>
      </c>
      <c r="DY277" s="2029">
        <v>0</v>
      </c>
      <c r="DZ277" s="2029">
        <v>0</v>
      </c>
      <c r="EA277" s="2124">
        <v>1000</v>
      </c>
      <c r="EB277" s="2029">
        <v>1000</v>
      </c>
      <c r="EC277" s="2029">
        <v>1000</v>
      </c>
      <c r="ED277" s="2029">
        <v>1000</v>
      </c>
      <c r="EE277" s="2039">
        <f t="shared" si="168"/>
        <v>0</v>
      </c>
      <c r="EF277" s="2039">
        <f t="shared" si="168"/>
        <v>0</v>
      </c>
      <c r="EG277" s="2039">
        <f t="shared" si="168"/>
        <v>0</v>
      </c>
      <c r="EH277" s="2039">
        <f t="shared" si="167"/>
        <v>0</v>
      </c>
      <c r="EI277" s="2040">
        <f t="shared" si="165"/>
        <v>0</v>
      </c>
      <c r="EJ277" s="2040">
        <f t="shared" si="165"/>
        <v>0</v>
      </c>
      <c r="EK277" s="2040">
        <f t="shared" si="165"/>
        <v>0</v>
      </c>
      <c r="EL277" s="2040">
        <f t="shared" si="164"/>
        <v>0</v>
      </c>
      <c r="EM277" s="2040">
        <f t="shared" si="164"/>
        <v>0</v>
      </c>
      <c r="EN277" s="2040">
        <f t="shared" si="164"/>
        <v>0</v>
      </c>
      <c r="EO277" s="2040">
        <f t="shared" si="164"/>
        <v>0</v>
      </c>
      <c r="EP277" s="2040">
        <f t="shared" si="164"/>
        <v>0</v>
      </c>
      <c r="EQ277" s="2040">
        <f t="shared" si="164"/>
        <v>0</v>
      </c>
      <c r="ER277" s="2040">
        <f t="shared" si="137"/>
        <v>0</v>
      </c>
      <c r="ES277" s="2040">
        <f t="shared" si="137"/>
        <v>0</v>
      </c>
      <c r="ET277" s="2040">
        <f t="shared" si="137"/>
        <v>0</v>
      </c>
      <c r="EU277" s="2039">
        <f t="shared" si="169"/>
        <v>0</v>
      </c>
      <c r="EV277" s="2039">
        <f t="shared" si="170"/>
        <v>0</v>
      </c>
    </row>
    <row r="278" spans="1:152" x14ac:dyDescent="0.25">
      <c r="A278" s="2088" t="s">
        <v>215</v>
      </c>
      <c r="B278" s="2093" t="str">
        <f t="shared" si="146"/>
        <v>BPC6</v>
      </c>
      <c r="C278" s="1974">
        <f t="shared" si="173"/>
        <v>15</v>
      </c>
      <c r="D278" s="1974">
        <f t="shared" si="173"/>
        <v>9363.2099999999991</v>
      </c>
      <c r="E278" s="1974">
        <f t="shared" si="173"/>
        <v>9.27</v>
      </c>
      <c r="F278" s="1974">
        <f t="shared" si="174"/>
        <v>0</v>
      </c>
      <c r="G278" s="1974" t="s">
        <v>2997</v>
      </c>
      <c r="H278" s="1974" t="s">
        <v>2997</v>
      </c>
      <c r="I278" s="2026">
        <v>0.96199999999999997</v>
      </c>
      <c r="J278" s="2026">
        <v>0.96199999999999997</v>
      </c>
      <c r="K278" s="2026">
        <v>0.96199999999999997</v>
      </c>
      <c r="L278" s="2026">
        <v>0.96199999999999997</v>
      </c>
      <c r="M278" s="2027">
        <f t="shared" si="158"/>
        <v>9007.4080199999989</v>
      </c>
      <c r="N278" s="2027">
        <f t="shared" si="158"/>
        <v>9007.4080199999989</v>
      </c>
      <c r="O278" s="2027">
        <f t="shared" si="158"/>
        <v>9007.4080199999989</v>
      </c>
      <c r="P278" s="2027">
        <f t="shared" si="158"/>
        <v>9007.4080199999989</v>
      </c>
      <c r="Q278" s="2026">
        <v>0.96199999999999997</v>
      </c>
      <c r="R278" s="2026">
        <v>0.96199999999999997</v>
      </c>
      <c r="S278" s="2026">
        <v>0.96199999999999997</v>
      </c>
      <c r="T278" s="2026">
        <v>0.96199999999999997</v>
      </c>
      <c r="U278" s="2028">
        <f t="shared" si="159"/>
        <v>8.9177399999999984</v>
      </c>
      <c r="V278" s="2028">
        <f t="shared" si="159"/>
        <v>8.9177399999999984</v>
      </c>
      <c r="W278" s="2028">
        <f t="shared" si="159"/>
        <v>8.9177399999999984</v>
      </c>
      <c r="X278" s="2028">
        <f t="shared" si="159"/>
        <v>8.9177399999999984</v>
      </c>
      <c r="Y278" s="2026">
        <v>0.96199999999999997</v>
      </c>
      <c r="Z278" s="2026">
        <v>0.96199999999999997</v>
      </c>
      <c r="AA278" s="2026">
        <v>0.96199999999999997</v>
      </c>
      <c r="AB278" s="2026">
        <v>0.96199999999999997</v>
      </c>
      <c r="AC278" s="2027">
        <f t="shared" si="160"/>
        <v>0</v>
      </c>
      <c r="AD278" s="2027">
        <f t="shared" si="160"/>
        <v>0</v>
      </c>
      <c r="AE278" s="2027">
        <f t="shared" si="160"/>
        <v>0</v>
      </c>
      <c r="AF278" s="2027">
        <f t="shared" si="160"/>
        <v>0</v>
      </c>
      <c r="AG278" s="2027">
        <v>0</v>
      </c>
      <c r="AH278" s="2028"/>
      <c r="AI278" s="2028"/>
      <c r="AJ278" s="2028"/>
      <c r="AK278" s="2027">
        <f t="shared" si="148"/>
        <v>0</v>
      </c>
      <c r="AL278" s="2027">
        <f t="shared" si="149"/>
        <v>0</v>
      </c>
      <c r="AM278" s="2027">
        <f t="shared" si="149"/>
        <v>0</v>
      </c>
      <c r="AN278" s="2027">
        <f t="shared" si="149"/>
        <v>0</v>
      </c>
      <c r="AO278" s="2027">
        <f t="shared" si="161"/>
        <v>0</v>
      </c>
      <c r="AP278" s="2027">
        <f t="shared" si="150"/>
        <v>0</v>
      </c>
      <c r="AQ278" s="2027">
        <f t="shared" si="150"/>
        <v>0</v>
      </c>
      <c r="AR278" s="2027">
        <f t="shared" si="150"/>
        <v>0</v>
      </c>
      <c r="AS278" s="2124">
        <f t="shared" si="179"/>
        <v>450</v>
      </c>
      <c r="AT278" s="2029">
        <f t="shared" si="151"/>
        <v>450</v>
      </c>
      <c r="AU278" s="2029">
        <f t="shared" si="151"/>
        <v>450</v>
      </c>
      <c r="AV278" s="2029">
        <f t="shared" si="151"/>
        <v>450</v>
      </c>
      <c r="AW278" s="2124">
        <f t="shared" si="152"/>
        <v>0</v>
      </c>
      <c r="AX278" s="2029">
        <f t="shared" si="171"/>
        <v>0</v>
      </c>
      <c r="AY278" s="2029">
        <f t="shared" si="171"/>
        <v>0</v>
      </c>
      <c r="AZ278" s="2029">
        <f t="shared" si="171"/>
        <v>0</v>
      </c>
      <c r="BA278" s="2124">
        <f t="shared" si="176"/>
        <v>4000</v>
      </c>
      <c r="BB278" s="2029">
        <f t="shared" si="176"/>
        <v>4000</v>
      </c>
      <c r="BC278" s="2029">
        <f t="shared" si="176"/>
        <v>4000</v>
      </c>
      <c r="BD278" s="2029">
        <f t="shared" si="176"/>
        <v>4000</v>
      </c>
      <c r="BE278" s="2030">
        <f t="shared" si="155"/>
        <v>0</v>
      </c>
      <c r="BF278" s="2030">
        <f t="shared" si="155"/>
        <v>0</v>
      </c>
      <c r="BG278" s="2030">
        <f t="shared" si="155"/>
        <v>0</v>
      </c>
      <c r="BH278" s="2030">
        <f t="shared" si="155"/>
        <v>0</v>
      </c>
      <c r="BI278" s="2030">
        <f t="shared" si="156"/>
        <v>0</v>
      </c>
      <c r="BJ278" s="2030">
        <f t="shared" si="156"/>
        <v>0</v>
      </c>
      <c r="BK278" s="2030">
        <f t="shared" si="156"/>
        <v>0</v>
      </c>
      <c r="BL278" s="2030">
        <f t="shared" si="156"/>
        <v>0</v>
      </c>
      <c r="BM278" s="2125"/>
      <c r="BN278" s="2125"/>
      <c r="BO278" s="2125"/>
      <c r="BP278" s="2125"/>
      <c r="BQ278" s="2125"/>
      <c r="BR278" s="2125"/>
      <c r="BS278" s="2125"/>
      <c r="BT278" s="2125"/>
      <c r="BU278" s="2029"/>
      <c r="BV278" s="2029"/>
      <c r="BW278" s="2029"/>
      <c r="BX278" s="2029"/>
      <c r="BY278" s="2029"/>
      <c r="BZ278" s="2032"/>
      <c r="CA278" s="1974">
        <f t="shared" si="175"/>
        <v>0</v>
      </c>
      <c r="CB278" s="1974">
        <f t="shared" si="175"/>
        <v>0</v>
      </c>
      <c r="CC278" s="1974">
        <f t="shared" si="175"/>
        <v>0</v>
      </c>
      <c r="CD278" s="1974">
        <f t="shared" si="175"/>
        <v>0</v>
      </c>
      <c r="CE278" s="1974">
        <f t="shared" si="175"/>
        <v>0</v>
      </c>
      <c r="CF278" s="2033">
        <v>0</v>
      </c>
      <c r="CG278" s="2026">
        <v>0</v>
      </c>
      <c r="CH278" s="2009">
        <f t="shared" si="175"/>
        <v>0</v>
      </c>
      <c r="CI278" s="2031">
        <f t="shared" si="175"/>
        <v>0</v>
      </c>
      <c r="CJ278" s="1974">
        <f t="shared" si="175"/>
        <v>0</v>
      </c>
      <c r="CK278" s="2031">
        <f t="shared" si="175"/>
        <v>0</v>
      </c>
      <c r="CL278" s="2026">
        <v>1</v>
      </c>
      <c r="CM278" s="2026">
        <v>1</v>
      </c>
      <c r="CN278" s="2026">
        <v>1</v>
      </c>
      <c r="CO278" s="2026">
        <v>1</v>
      </c>
      <c r="CP278" s="2035"/>
      <c r="CQ278" s="2036"/>
      <c r="CR278" s="2036"/>
      <c r="CS278" s="2036"/>
      <c r="CT278" s="2036"/>
      <c r="CU278" s="2036"/>
      <c r="CW278" s="1973">
        <v>0</v>
      </c>
      <c r="CX278" s="2037">
        <v>450</v>
      </c>
      <c r="CY278" s="2037">
        <v>450</v>
      </c>
      <c r="CZ278" s="2037">
        <v>450</v>
      </c>
      <c r="DA278" s="2037">
        <v>450</v>
      </c>
      <c r="DJ278" s="1976">
        <v>450</v>
      </c>
      <c r="DK278" s="1973">
        <v>450</v>
      </c>
      <c r="DL278" s="1973">
        <v>450</v>
      </c>
      <c r="DM278" s="1973">
        <v>450</v>
      </c>
      <c r="DO278" s="1974">
        <v>15</v>
      </c>
      <c r="DP278" s="1974">
        <v>9363.2099999999991</v>
      </c>
      <c r="DQ278" s="1974">
        <v>9.27</v>
      </c>
      <c r="DR278" s="1974">
        <v>0</v>
      </c>
      <c r="DS278" s="2124">
        <v>450</v>
      </c>
      <c r="DT278" s="2029">
        <v>450</v>
      </c>
      <c r="DU278" s="2029">
        <v>450</v>
      </c>
      <c r="DV278" s="2029">
        <v>450</v>
      </c>
      <c r="DW278" s="2124">
        <v>0</v>
      </c>
      <c r="DX278" s="2029">
        <v>0</v>
      </c>
      <c r="DY278" s="2029">
        <v>0</v>
      </c>
      <c r="DZ278" s="2029">
        <v>0</v>
      </c>
      <c r="EA278" s="2124">
        <v>4000</v>
      </c>
      <c r="EB278" s="2029">
        <v>4000</v>
      </c>
      <c r="EC278" s="2029">
        <v>4000</v>
      </c>
      <c r="ED278" s="2029">
        <v>4000</v>
      </c>
      <c r="EE278" s="2039">
        <f t="shared" si="168"/>
        <v>0</v>
      </c>
      <c r="EF278" s="2039">
        <f t="shared" si="168"/>
        <v>0</v>
      </c>
      <c r="EG278" s="2039">
        <f t="shared" si="168"/>
        <v>0</v>
      </c>
      <c r="EH278" s="2039">
        <f t="shared" si="167"/>
        <v>0</v>
      </c>
      <c r="EI278" s="2040">
        <f t="shared" si="165"/>
        <v>0</v>
      </c>
      <c r="EJ278" s="2040">
        <f t="shared" si="165"/>
        <v>0</v>
      </c>
      <c r="EK278" s="2040">
        <f t="shared" si="165"/>
        <v>0</v>
      </c>
      <c r="EL278" s="2040">
        <f t="shared" si="164"/>
        <v>0</v>
      </c>
      <c r="EM278" s="2040">
        <f t="shared" si="164"/>
        <v>0</v>
      </c>
      <c r="EN278" s="2040">
        <f t="shared" si="164"/>
        <v>0</v>
      </c>
      <c r="EO278" s="2040">
        <f t="shared" si="164"/>
        <v>0</v>
      </c>
      <c r="EP278" s="2040">
        <f t="shared" si="164"/>
        <v>0</v>
      </c>
      <c r="EQ278" s="2040">
        <f t="shared" si="164"/>
        <v>0</v>
      </c>
      <c r="ER278" s="2040">
        <f t="shared" si="137"/>
        <v>0</v>
      </c>
      <c r="ES278" s="2040">
        <f t="shared" si="137"/>
        <v>0</v>
      </c>
      <c r="ET278" s="2040">
        <f t="shared" si="137"/>
        <v>0</v>
      </c>
      <c r="EU278" s="2039">
        <f t="shared" si="169"/>
        <v>0</v>
      </c>
      <c r="EV278" s="2039">
        <f t="shared" si="170"/>
        <v>0</v>
      </c>
    </row>
    <row r="279" spans="1:152" x14ac:dyDescent="0.25">
      <c r="A279" s="2088" t="s">
        <v>216</v>
      </c>
      <c r="B279" s="2093" t="str">
        <f t="shared" si="146"/>
        <v>BPC8</v>
      </c>
      <c r="C279" s="1974">
        <f t="shared" si="173"/>
        <v>15</v>
      </c>
      <c r="D279" s="1974">
        <f t="shared" si="173"/>
        <v>15220.95</v>
      </c>
      <c r="E279" s="1974">
        <f t="shared" si="173"/>
        <v>15.56</v>
      </c>
      <c r="F279" s="1974">
        <f t="shared" si="174"/>
        <v>0</v>
      </c>
      <c r="G279" s="1974" t="s">
        <v>2997</v>
      </c>
      <c r="H279" s="1974" t="s">
        <v>2997</v>
      </c>
      <c r="I279" s="2026">
        <v>0.96199999999999997</v>
      </c>
      <c r="J279" s="2026">
        <v>0.96199999999999997</v>
      </c>
      <c r="K279" s="2026">
        <v>0.96199999999999997</v>
      </c>
      <c r="L279" s="2026">
        <v>0.96199999999999997</v>
      </c>
      <c r="M279" s="2027">
        <f t="shared" si="158"/>
        <v>14642.553900000001</v>
      </c>
      <c r="N279" s="2027">
        <f t="shared" si="158"/>
        <v>14642.553900000001</v>
      </c>
      <c r="O279" s="2027">
        <f t="shared" si="158"/>
        <v>14642.553900000001</v>
      </c>
      <c r="P279" s="2027">
        <f t="shared" si="158"/>
        <v>14642.553900000001</v>
      </c>
      <c r="Q279" s="2026">
        <v>0.96199999999999997</v>
      </c>
      <c r="R279" s="2026">
        <v>0.96199999999999997</v>
      </c>
      <c r="S279" s="2026">
        <v>0.96199999999999997</v>
      </c>
      <c r="T279" s="2026">
        <v>0.96199999999999997</v>
      </c>
      <c r="U279" s="2028">
        <f t="shared" si="159"/>
        <v>14.968719999999999</v>
      </c>
      <c r="V279" s="2028">
        <f t="shared" si="159"/>
        <v>14.968719999999999</v>
      </c>
      <c r="W279" s="2028">
        <f t="shared" si="159"/>
        <v>14.968719999999999</v>
      </c>
      <c r="X279" s="2028">
        <f t="shared" si="159"/>
        <v>14.968719999999999</v>
      </c>
      <c r="Y279" s="2026">
        <v>0.96199999999999997</v>
      </c>
      <c r="Z279" s="2026">
        <v>0.96199999999999997</v>
      </c>
      <c r="AA279" s="2026">
        <v>0.96199999999999997</v>
      </c>
      <c r="AB279" s="2026">
        <v>0.96199999999999997</v>
      </c>
      <c r="AC279" s="2027">
        <f t="shared" si="160"/>
        <v>0</v>
      </c>
      <c r="AD279" s="2027">
        <f t="shared" si="160"/>
        <v>0</v>
      </c>
      <c r="AE279" s="2027">
        <f t="shared" si="160"/>
        <v>0</v>
      </c>
      <c r="AF279" s="2027">
        <f t="shared" si="160"/>
        <v>0</v>
      </c>
      <c r="AG279" s="2027">
        <v>0</v>
      </c>
      <c r="AH279" s="2028"/>
      <c r="AI279" s="2028"/>
      <c r="AJ279" s="2028"/>
      <c r="AK279" s="2027">
        <f t="shared" si="148"/>
        <v>0</v>
      </c>
      <c r="AL279" s="2027">
        <f t="shared" si="149"/>
        <v>0</v>
      </c>
      <c r="AM279" s="2027">
        <f t="shared" si="149"/>
        <v>0</v>
      </c>
      <c r="AN279" s="2027">
        <f t="shared" si="149"/>
        <v>0</v>
      </c>
      <c r="AO279" s="2027">
        <f t="shared" si="161"/>
        <v>0</v>
      </c>
      <c r="AP279" s="2027">
        <f t="shared" si="150"/>
        <v>0</v>
      </c>
      <c r="AQ279" s="2027">
        <f t="shared" si="150"/>
        <v>0</v>
      </c>
      <c r="AR279" s="2027">
        <f t="shared" si="150"/>
        <v>0</v>
      </c>
      <c r="AS279" s="2124">
        <f t="shared" si="179"/>
        <v>750</v>
      </c>
      <c r="AT279" s="2029">
        <f t="shared" si="151"/>
        <v>750</v>
      </c>
      <c r="AU279" s="2029">
        <f t="shared" si="151"/>
        <v>750</v>
      </c>
      <c r="AV279" s="2029">
        <f t="shared" si="151"/>
        <v>750</v>
      </c>
      <c r="AW279" s="2124">
        <f t="shared" si="152"/>
        <v>0</v>
      </c>
      <c r="AX279" s="2029">
        <f t="shared" si="171"/>
        <v>0</v>
      </c>
      <c r="AY279" s="2029">
        <f t="shared" si="171"/>
        <v>0</v>
      </c>
      <c r="AZ279" s="2029">
        <f t="shared" si="171"/>
        <v>0</v>
      </c>
      <c r="BA279" s="2124">
        <f t="shared" si="176"/>
        <v>6500</v>
      </c>
      <c r="BB279" s="2029">
        <f t="shared" si="176"/>
        <v>6500</v>
      </c>
      <c r="BC279" s="2029">
        <f t="shared" si="176"/>
        <v>6500</v>
      </c>
      <c r="BD279" s="2029">
        <f t="shared" si="176"/>
        <v>6500</v>
      </c>
      <c r="BE279" s="2030">
        <f t="shared" si="155"/>
        <v>0</v>
      </c>
      <c r="BF279" s="2030">
        <f t="shared" si="155"/>
        <v>0</v>
      </c>
      <c r="BG279" s="2030">
        <f t="shared" si="155"/>
        <v>0</v>
      </c>
      <c r="BH279" s="2030">
        <f t="shared" si="155"/>
        <v>0</v>
      </c>
      <c r="BI279" s="2030">
        <f t="shared" si="156"/>
        <v>0</v>
      </c>
      <c r="BJ279" s="2030">
        <f t="shared" si="156"/>
        <v>0</v>
      </c>
      <c r="BK279" s="2030">
        <f t="shared" si="156"/>
        <v>0</v>
      </c>
      <c r="BL279" s="2030">
        <f t="shared" si="156"/>
        <v>0</v>
      </c>
      <c r="BM279" s="2125"/>
      <c r="BN279" s="2125"/>
      <c r="BO279" s="2125"/>
      <c r="BP279" s="2125"/>
      <c r="BQ279" s="2125"/>
      <c r="BR279" s="2125"/>
      <c r="BS279" s="2125"/>
      <c r="BT279" s="2125"/>
      <c r="BU279" s="2029"/>
      <c r="BV279" s="2029"/>
      <c r="BW279" s="2029"/>
      <c r="BX279" s="2029"/>
      <c r="BY279" s="2029"/>
      <c r="BZ279" s="2032"/>
      <c r="CA279" s="1974">
        <f t="shared" si="175"/>
        <v>0</v>
      </c>
      <c r="CB279" s="1974">
        <f t="shared" si="175"/>
        <v>0</v>
      </c>
      <c r="CC279" s="1974">
        <f t="shared" si="175"/>
        <v>0</v>
      </c>
      <c r="CD279" s="1974">
        <f t="shared" si="175"/>
        <v>0</v>
      </c>
      <c r="CE279" s="1974">
        <f t="shared" si="175"/>
        <v>0</v>
      </c>
      <c r="CF279" s="2033">
        <v>0</v>
      </c>
      <c r="CG279" s="2026">
        <v>0</v>
      </c>
      <c r="CH279" s="2009">
        <f t="shared" si="175"/>
        <v>0</v>
      </c>
      <c r="CI279" s="2031">
        <f t="shared" si="175"/>
        <v>0</v>
      </c>
      <c r="CJ279" s="1974">
        <f t="shared" si="175"/>
        <v>0</v>
      </c>
      <c r="CK279" s="2031">
        <f t="shared" si="175"/>
        <v>0</v>
      </c>
      <c r="CL279" s="2026">
        <v>1</v>
      </c>
      <c r="CM279" s="2026">
        <v>1</v>
      </c>
      <c r="CN279" s="2026">
        <v>1</v>
      </c>
      <c r="CO279" s="2026">
        <v>1</v>
      </c>
      <c r="CP279" s="2035"/>
      <c r="CQ279" s="2036"/>
      <c r="CR279" s="2036"/>
      <c r="CS279" s="2036"/>
      <c r="CT279" s="2036"/>
      <c r="CU279" s="2036"/>
      <c r="CW279" s="1973">
        <v>0</v>
      </c>
      <c r="CX279" s="2037">
        <v>750</v>
      </c>
      <c r="CY279" s="2037">
        <v>750</v>
      </c>
      <c r="CZ279" s="2037">
        <v>750</v>
      </c>
      <c r="DA279" s="2037">
        <v>750</v>
      </c>
      <c r="DJ279" s="1976">
        <v>750</v>
      </c>
      <c r="DK279" s="1973">
        <v>750</v>
      </c>
      <c r="DL279" s="1973">
        <v>750</v>
      </c>
      <c r="DM279" s="1973">
        <v>750</v>
      </c>
      <c r="DO279" s="1974">
        <v>15</v>
      </c>
      <c r="DP279" s="1974">
        <v>15220.95</v>
      </c>
      <c r="DQ279" s="1974">
        <v>15.56</v>
      </c>
      <c r="DR279" s="1974">
        <v>0</v>
      </c>
      <c r="DS279" s="2124">
        <v>750</v>
      </c>
      <c r="DT279" s="2029">
        <v>750</v>
      </c>
      <c r="DU279" s="2029">
        <v>750</v>
      </c>
      <c r="DV279" s="2029">
        <v>750</v>
      </c>
      <c r="DW279" s="2124">
        <v>0</v>
      </c>
      <c r="DX279" s="2029">
        <v>0</v>
      </c>
      <c r="DY279" s="2029">
        <v>0</v>
      </c>
      <c r="DZ279" s="2029">
        <v>0</v>
      </c>
      <c r="EA279" s="2124">
        <v>6500</v>
      </c>
      <c r="EB279" s="2029">
        <v>6500</v>
      </c>
      <c r="EC279" s="2029">
        <v>6500</v>
      </c>
      <c r="ED279" s="2029">
        <v>6500</v>
      </c>
      <c r="EE279" s="2039">
        <f t="shared" si="168"/>
        <v>0</v>
      </c>
      <c r="EF279" s="2039">
        <f t="shared" si="168"/>
        <v>0</v>
      </c>
      <c r="EG279" s="2039">
        <f t="shared" si="168"/>
        <v>0</v>
      </c>
      <c r="EH279" s="2039">
        <f t="shared" si="167"/>
        <v>0</v>
      </c>
      <c r="EI279" s="2040">
        <f t="shared" si="165"/>
        <v>0</v>
      </c>
      <c r="EJ279" s="2040">
        <f t="shared" si="165"/>
        <v>0</v>
      </c>
      <c r="EK279" s="2040">
        <f t="shared" si="165"/>
        <v>0</v>
      </c>
      <c r="EL279" s="2040">
        <f t="shared" si="164"/>
        <v>0</v>
      </c>
      <c r="EM279" s="2040">
        <f t="shared" si="164"/>
        <v>0</v>
      </c>
      <c r="EN279" s="2040">
        <f t="shared" si="164"/>
        <v>0</v>
      </c>
      <c r="EO279" s="2040">
        <f t="shared" si="164"/>
        <v>0</v>
      </c>
      <c r="EP279" s="2040">
        <f t="shared" si="164"/>
        <v>0</v>
      </c>
      <c r="EQ279" s="2040">
        <f t="shared" si="164"/>
        <v>0</v>
      </c>
      <c r="ER279" s="2040">
        <f t="shared" si="137"/>
        <v>0</v>
      </c>
      <c r="ES279" s="2040">
        <f t="shared" si="137"/>
        <v>0</v>
      </c>
      <c r="ET279" s="2040">
        <f t="shared" si="137"/>
        <v>0</v>
      </c>
      <c r="EU279" s="2039">
        <f t="shared" si="169"/>
        <v>0</v>
      </c>
      <c r="EV279" s="2039">
        <f t="shared" si="170"/>
        <v>0</v>
      </c>
    </row>
    <row r="280" spans="1:152" x14ac:dyDescent="0.25">
      <c r="A280" s="2088" t="s">
        <v>217</v>
      </c>
      <c r="B280" s="2093" t="str">
        <f t="shared" si="146"/>
        <v>BPC12</v>
      </c>
      <c r="C280" s="1974">
        <f t="shared" si="173"/>
        <v>23</v>
      </c>
      <c r="D280" s="1974">
        <f t="shared" si="173"/>
        <v>7993</v>
      </c>
      <c r="E280" s="1974">
        <f t="shared" si="173"/>
        <v>6.66</v>
      </c>
      <c r="F280" s="1974">
        <f t="shared" si="174"/>
        <v>0</v>
      </c>
      <c r="G280" s="1974" t="s">
        <v>2997</v>
      </c>
      <c r="H280" s="1974" t="s">
        <v>2997</v>
      </c>
      <c r="I280" s="2026">
        <v>0.96199999999999997</v>
      </c>
      <c r="J280" s="2026">
        <v>0.96199999999999997</v>
      </c>
      <c r="K280" s="2026">
        <v>0.96199999999999997</v>
      </c>
      <c r="L280" s="2026">
        <v>0.96199999999999997</v>
      </c>
      <c r="M280" s="2027">
        <f t="shared" si="158"/>
        <v>7689.2659999999996</v>
      </c>
      <c r="N280" s="2027">
        <f t="shared" si="158"/>
        <v>7689.2659999999996</v>
      </c>
      <c r="O280" s="2027">
        <f t="shared" si="158"/>
        <v>7689.2659999999996</v>
      </c>
      <c r="P280" s="2027">
        <f t="shared" si="158"/>
        <v>7689.2659999999996</v>
      </c>
      <c r="Q280" s="2026">
        <v>0.96199999999999997</v>
      </c>
      <c r="R280" s="2026">
        <v>0.96199999999999997</v>
      </c>
      <c r="S280" s="2026">
        <v>0.96199999999999997</v>
      </c>
      <c r="T280" s="2026">
        <v>0.96199999999999997</v>
      </c>
      <c r="U280" s="2028">
        <f t="shared" si="159"/>
        <v>6.4069199999999995</v>
      </c>
      <c r="V280" s="2028">
        <f t="shared" si="159"/>
        <v>6.4069199999999995</v>
      </c>
      <c r="W280" s="2028">
        <f t="shared" si="159"/>
        <v>6.4069199999999995</v>
      </c>
      <c r="X280" s="2028">
        <f t="shared" si="159"/>
        <v>6.4069199999999995</v>
      </c>
      <c r="Y280" s="2026">
        <v>0.96199999999999997</v>
      </c>
      <c r="Z280" s="2026">
        <v>0.96199999999999997</v>
      </c>
      <c r="AA280" s="2026">
        <v>0.96199999999999997</v>
      </c>
      <c r="AB280" s="2026">
        <v>0.96199999999999997</v>
      </c>
      <c r="AC280" s="2027">
        <f t="shared" si="160"/>
        <v>0</v>
      </c>
      <c r="AD280" s="2027">
        <f t="shared" si="160"/>
        <v>0</v>
      </c>
      <c r="AE280" s="2027">
        <f t="shared" si="160"/>
        <v>0</v>
      </c>
      <c r="AF280" s="2027">
        <f t="shared" si="160"/>
        <v>0</v>
      </c>
      <c r="AG280" s="2027">
        <v>0</v>
      </c>
      <c r="AH280" s="2028"/>
      <c r="AI280" s="2028"/>
      <c r="AJ280" s="2028"/>
      <c r="AK280" s="2027">
        <f t="shared" si="148"/>
        <v>0</v>
      </c>
      <c r="AL280" s="2027">
        <f t="shared" si="149"/>
        <v>0</v>
      </c>
      <c r="AM280" s="2027">
        <f t="shared" si="149"/>
        <v>0</v>
      </c>
      <c r="AN280" s="2027">
        <f t="shared" si="149"/>
        <v>0</v>
      </c>
      <c r="AO280" s="2027">
        <f t="shared" si="161"/>
        <v>0</v>
      </c>
      <c r="AP280" s="2027">
        <f t="shared" si="150"/>
        <v>0</v>
      </c>
      <c r="AQ280" s="2027">
        <f t="shared" si="150"/>
        <v>0</v>
      </c>
      <c r="AR280" s="2027">
        <f t="shared" si="150"/>
        <v>0</v>
      </c>
      <c r="AS280" s="2124">
        <f t="shared" si="179"/>
        <v>750</v>
      </c>
      <c r="AT280" s="2029">
        <f t="shared" si="151"/>
        <v>750</v>
      </c>
      <c r="AU280" s="2029">
        <f t="shared" si="151"/>
        <v>750</v>
      </c>
      <c r="AV280" s="2029">
        <f t="shared" si="151"/>
        <v>750</v>
      </c>
      <c r="AW280" s="2124">
        <f t="shared" si="152"/>
        <v>0</v>
      </c>
      <c r="AX280" s="2029">
        <f t="shared" si="171"/>
        <v>0</v>
      </c>
      <c r="AY280" s="2029">
        <f t="shared" si="171"/>
        <v>0</v>
      </c>
      <c r="AZ280" s="2029">
        <f t="shared" si="171"/>
        <v>0</v>
      </c>
      <c r="BA280" s="2124">
        <f t="shared" si="176"/>
        <v>9525</v>
      </c>
      <c r="BB280" s="2029">
        <f t="shared" si="176"/>
        <v>9525</v>
      </c>
      <c r="BC280" s="2029">
        <f t="shared" si="176"/>
        <v>9525</v>
      </c>
      <c r="BD280" s="2029">
        <f t="shared" si="176"/>
        <v>9525</v>
      </c>
      <c r="BE280" s="2030">
        <f t="shared" si="155"/>
        <v>0</v>
      </c>
      <c r="BF280" s="2030">
        <f t="shared" si="155"/>
        <v>0</v>
      </c>
      <c r="BG280" s="2030">
        <f t="shared" si="155"/>
        <v>0</v>
      </c>
      <c r="BH280" s="2030">
        <f t="shared" si="155"/>
        <v>0</v>
      </c>
      <c r="BI280" s="2030">
        <f t="shared" si="156"/>
        <v>0</v>
      </c>
      <c r="BJ280" s="2030">
        <f t="shared" si="156"/>
        <v>0</v>
      </c>
      <c r="BK280" s="2030">
        <f t="shared" si="156"/>
        <v>0</v>
      </c>
      <c r="BL280" s="2030">
        <f t="shared" si="156"/>
        <v>0</v>
      </c>
      <c r="BM280" s="2125"/>
      <c r="BN280" s="2125"/>
      <c r="BO280" s="2125"/>
      <c r="BP280" s="2125"/>
      <c r="BQ280" s="2125"/>
      <c r="BR280" s="2125"/>
      <c r="BS280" s="2125"/>
      <c r="BT280" s="2125"/>
      <c r="BU280" s="2029"/>
      <c r="BV280" s="2029"/>
      <c r="BW280" s="2029"/>
      <c r="BX280" s="2029"/>
      <c r="BY280" s="2029"/>
      <c r="BZ280" s="2032"/>
      <c r="CA280" s="1974">
        <f t="shared" si="175"/>
        <v>0</v>
      </c>
      <c r="CB280" s="1974">
        <f t="shared" si="175"/>
        <v>0</v>
      </c>
      <c r="CC280" s="1974">
        <f t="shared" si="175"/>
        <v>0</v>
      </c>
      <c r="CD280" s="1974">
        <f t="shared" si="175"/>
        <v>0</v>
      </c>
      <c r="CE280" s="1974">
        <f t="shared" si="175"/>
        <v>0</v>
      </c>
      <c r="CF280" s="2033">
        <v>0</v>
      </c>
      <c r="CG280" s="2026">
        <v>0</v>
      </c>
      <c r="CH280" s="2009">
        <f t="shared" si="175"/>
        <v>0</v>
      </c>
      <c r="CI280" s="2031">
        <f t="shared" si="175"/>
        <v>0</v>
      </c>
      <c r="CJ280" s="1974">
        <f t="shared" si="175"/>
        <v>0</v>
      </c>
      <c r="CK280" s="2031">
        <f t="shared" si="175"/>
        <v>0</v>
      </c>
      <c r="CL280" s="2026">
        <v>1</v>
      </c>
      <c r="CM280" s="2026">
        <v>1</v>
      </c>
      <c r="CN280" s="2026">
        <v>1</v>
      </c>
      <c r="CO280" s="2026">
        <v>1</v>
      </c>
      <c r="CP280" s="2035"/>
      <c r="CQ280" s="2036"/>
      <c r="CR280" s="2036"/>
      <c r="CS280" s="2036"/>
      <c r="CT280" s="2036"/>
      <c r="CU280" s="2036"/>
      <c r="CW280" s="1973">
        <v>0</v>
      </c>
      <c r="CX280" s="2037">
        <v>750</v>
      </c>
      <c r="CY280" s="2037">
        <v>750</v>
      </c>
      <c r="CZ280" s="2037">
        <v>750</v>
      </c>
      <c r="DA280" s="2037">
        <v>750</v>
      </c>
      <c r="DJ280" s="1976">
        <v>750</v>
      </c>
      <c r="DK280" s="1973">
        <v>750</v>
      </c>
      <c r="DL280" s="1973">
        <v>750</v>
      </c>
      <c r="DM280" s="1973">
        <v>750</v>
      </c>
      <c r="DO280" s="1974">
        <v>20</v>
      </c>
      <c r="DP280" s="1974">
        <v>7993</v>
      </c>
      <c r="DQ280" s="1974">
        <v>6.66</v>
      </c>
      <c r="DR280" s="1974">
        <v>0</v>
      </c>
      <c r="DS280" s="2124">
        <v>750</v>
      </c>
      <c r="DT280" s="2029">
        <v>750</v>
      </c>
      <c r="DU280" s="2029">
        <v>750</v>
      </c>
      <c r="DV280" s="2029">
        <v>750</v>
      </c>
      <c r="DW280" s="2124">
        <v>0</v>
      </c>
      <c r="DX280" s="2029">
        <v>0</v>
      </c>
      <c r="DY280" s="2029">
        <v>0</v>
      </c>
      <c r="DZ280" s="2029">
        <v>0</v>
      </c>
      <c r="EA280" s="2124">
        <v>9525</v>
      </c>
      <c r="EB280" s="2029">
        <v>9525</v>
      </c>
      <c r="EC280" s="2029">
        <v>9525</v>
      </c>
      <c r="ED280" s="2029">
        <v>9525</v>
      </c>
      <c r="EE280" s="2039">
        <f t="shared" si="168"/>
        <v>3</v>
      </c>
      <c r="EF280" s="2039">
        <f t="shared" si="168"/>
        <v>0</v>
      </c>
      <c r="EG280" s="2039">
        <f t="shared" si="168"/>
        <v>0</v>
      </c>
      <c r="EH280" s="2039">
        <f t="shared" si="167"/>
        <v>0</v>
      </c>
      <c r="EI280" s="2040">
        <f t="shared" si="165"/>
        <v>0</v>
      </c>
      <c r="EJ280" s="2040">
        <f t="shared" si="165"/>
        <v>0</v>
      </c>
      <c r="EK280" s="2040">
        <f t="shared" si="165"/>
        <v>0</v>
      </c>
      <c r="EL280" s="2040">
        <f t="shared" si="164"/>
        <v>0</v>
      </c>
      <c r="EM280" s="2040">
        <f t="shared" si="164"/>
        <v>0</v>
      </c>
      <c r="EN280" s="2040">
        <f t="shared" si="164"/>
        <v>0</v>
      </c>
      <c r="EO280" s="2040">
        <f t="shared" si="164"/>
        <v>0</v>
      </c>
      <c r="EP280" s="2040">
        <f t="shared" si="164"/>
        <v>0</v>
      </c>
      <c r="EQ280" s="2040">
        <f t="shared" si="164"/>
        <v>0</v>
      </c>
      <c r="ER280" s="2040">
        <f t="shared" si="137"/>
        <v>0</v>
      </c>
      <c r="ES280" s="2040">
        <f t="shared" si="137"/>
        <v>0</v>
      </c>
      <c r="ET280" s="2040">
        <f t="shared" si="137"/>
        <v>0</v>
      </c>
      <c r="EU280" s="2039">
        <f t="shared" si="169"/>
        <v>3</v>
      </c>
      <c r="EV280" s="2039">
        <f t="shared" si="170"/>
        <v>3</v>
      </c>
    </row>
    <row r="281" spans="1:152" x14ac:dyDescent="0.25">
      <c r="A281" s="2088" t="s">
        <v>218</v>
      </c>
      <c r="B281" s="2093" t="str">
        <f t="shared" si="146"/>
        <v>BPC25</v>
      </c>
      <c r="C281" s="1974">
        <f t="shared" si="173"/>
        <v>15</v>
      </c>
      <c r="D281" s="1974">
        <f t="shared" si="173"/>
        <v>2850.2260000000001</v>
      </c>
      <c r="E281" s="1974">
        <f t="shared" si="173"/>
        <v>2.84</v>
      </c>
      <c r="F281" s="1974">
        <f t="shared" si="174"/>
        <v>0</v>
      </c>
      <c r="G281" s="1974" t="s">
        <v>2997</v>
      </c>
      <c r="H281" s="1974" t="s">
        <v>2997</v>
      </c>
      <c r="I281" s="2026">
        <v>0.96199999999999997</v>
      </c>
      <c r="J281" s="2026">
        <v>0.96199999999999997</v>
      </c>
      <c r="K281" s="2026">
        <v>0.96199999999999997</v>
      </c>
      <c r="L281" s="2026">
        <v>0.96199999999999997</v>
      </c>
      <c r="M281" s="2027">
        <f t="shared" si="158"/>
        <v>2741.9174119999998</v>
      </c>
      <c r="N281" s="2027">
        <f t="shared" si="158"/>
        <v>2741.9174119999998</v>
      </c>
      <c r="O281" s="2027">
        <f t="shared" si="158"/>
        <v>2741.9174119999998</v>
      </c>
      <c r="P281" s="2027">
        <f t="shared" si="158"/>
        <v>2741.9174119999998</v>
      </c>
      <c r="Q281" s="2026">
        <v>0.96199999999999997</v>
      </c>
      <c r="R281" s="2026">
        <v>0.96199999999999997</v>
      </c>
      <c r="S281" s="2026">
        <v>0.96199999999999997</v>
      </c>
      <c r="T281" s="2026">
        <v>0.96199999999999997</v>
      </c>
      <c r="U281" s="2028">
        <f t="shared" si="159"/>
        <v>2.7320799999999998</v>
      </c>
      <c r="V281" s="2028">
        <f t="shared" si="159"/>
        <v>2.7320799999999998</v>
      </c>
      <c r="W281" s="2028">
        <f t="shared" si="159"/>
        <v>2.7320799999999998</v>
      </c>
      <c r="X281" s="2028">
        <f t="shared" si="159"/>
        <v>2.7320799999999998</v>
      </c>
      <c r="Y281" s="2026">
        <v>0.96199999999999997</v>
      </c>
      <c r="Z281" s="2026">
        <v>0.96199999999999997</v>
      </c>
      <c r="AA281" s="2026">
        <v>0.96199999999999997</v>
      </c>
      <c r="AB281" s="2026">
        <v>0.96199999999999997</v>
      </c>
      <c r="AC281" s="2027">
        <f t="shared" si="160"/>
        <v>0</v>
      </c>
      <c r="AD281" s="2027">
        <f t="shared" si="160"/>
        <v>0</v>
      </c>
      <c r="AE281" s="2027">
        <f t="shared" si="160"/>
        <v>0</v>
      </c>
      <c r="AF281" s="2027">
        <f t="shared" si="160"/>
        <v>0</v>
      </c>
      <c r="AG281" s="2027">
        <v>0</v>
      </c>
      <c r="AH281" s="2028"/>
      <c r="AI281" s="2028"/>
      <c r="AJ281" s="2028"/>
      <c r="AK281" s="2027">
        <f t="shared" si="148"/>
        <v>0</v>
      </c>
      <c r="AL281" s="2027">
        <f t="shared" si="149"/>
        <v>0</v>
      </c>
      <c r="AM281" s="2027">
        <f t="shared" si="149"/>
        <v>0</v>
      </c>
      <c r="AN281" s="2027">
        <f t="shared" si="149"/>
        <v>0</v>
      </c>
      <c r="AO281" s="2027">
        <f t="shared" si="161"/>
        <v>0</v>
      </c>
      <c r="AP281" s="2027">
        <f t="shared" si="150"/>
        <v>0</v>
      </c>
      <c r="AQ281" s="2027">
        <f t="shared" si="150"/>
        <v>0</v>
      </c>
      <c r="AR281" s="2027">
        <f t="shared" si="150"/>
        <v>0</v>
      </c>
      <c r="AS281" s="2124">
        <f t="shared" si="179"/>
        <v>225</v>
      </c>
      <c r="AT281" s="2029">
        <f t="shared" si="151"/>
        <v>225</v>
      </c>
      <c r="AU281" s="2029">
        <f t="shared" si="151"/>
        <v>225</v>
      </c>
      <c r="AV281" s="2029">
        <f t="shared" si="151"/>
        <v>225</v>
      </c>
      <c r="AW281" s="2124">
        <f t="shared" si="152"/>
        <v>0</v>
      </c>
      <c r="AX281" s="2029">
        <f t="shared" si="171"/>
        <v>0</v>
      </c>
      <c r="AY281" s="2029">
        <f t="shared" si="171"/>
        <v>0</v>
      </c>
      <c r="AZ281" s="2029">
        <f t="shared" si="171"/>
        <v>0</v>
      </c>
      <c r="BA281" s="2124">
        <f t="shared" si="176"/>
        <v>1563</v>
      </c>
      <c r="BB281" s="2029">
        <f t="shared" si="176"/>
        <v>1563</v>
      </c>
      <c r="BC281" s="2029">
        <f t="shared" si="176"/>
        <v>1563</v>
      </c>
      <c r="BD281" s="2029">
        <f t="shared" si="176"/>
        <v>1563</v>
      </c>
      <c r="BE281" s="2030">
        <f t="shared" si="155"/>
        <v>0</v>
      </c>
      <c r="BF281" s="2030">
        <f t="shared" si="155"/>
        <v>0</v>
      </c>
      <c r="BG281" s="2030">
        <f t="shared" si="155"/>
        <v>0</v>
      </c>
      <c r="BH281" s="2030">
        <f t="shared" si="155"/>
        <v>0</v>
      </c>
      <c r="BI281" s="2030">
        <f t="shared" si="156"/>
        <v>0</v>
      </c>
      <c r="BJ281" s="2030">
        <f t="shared" si="156"/>
        <v>0</v>
      </c>
      <c r="BK281" s="2030">
        <f t="shared" si="156"/>
        <v>0</v>
      </c>
      <c r="BL281" s="2030">
        <f t="shared" si="156"/>
        <v>0</v>
      </c>
      <c r="BM281" s="2125"/>
      <c r="BN281" s="2125"/>
      <c r="BO281" s="2125"/>
      <c r="BP281" s="2125"/>
      <c r="BQ281" s="2125"/>
      <c r="BR281" s="2125"/>
      <c r="BS281" s="2125"/>
      <c r="BT281" s="2125"/>
      <c r="BU281" s="2029"/>
      <c r="BV281" s="2029"/>
      <c r="BW281" s="2029"/>
      <c r="BX281" s="2029"/>
      <c r="BY281" s="2029"/>
      <c r="BZ281" s="2032"/>
      <c r="CA281" s="1974">
        <f t="shared" si="175"/>
        <v>0</v>
      </c>
      <c r="CB281" s="1974">
        <f t="shared" si="175"/>
        <v>0</v>
      </c>
      <c r="CC281" s="1974">
        <f t="shared" si="175"/>
        <v>0</v>
      </c>
      <c r="CD281" s="1974">
        <f t="shared" si="175"/>
        <v>0</v>
      </c>
      <c r="CE281" s="1974">
        <f t="shared" si="175"/>
        <v>0</v>
      </c>
      <c r="CF281" s="2033">
        <v>0</v>
      </c>
      <c r="CG281" s="2026">
        <v>0</v>
      </c>
      <c r="CH281" s="2009">
        <f t="shared" si="175"/>
        <v>0</v>
      </c>
      <c r="CI281" s="2031">
        <f t="shared" si="175"/>
        <v>0</v>
      </c>
      <c r="CJ281" s="1974">
        <f t="shared" si="175"/>
        <v>0</v>
      </c>
      <c r="CK281" s="2031">
        <f t="shared" si="175"/>
        <v>0</v>
      </c>
      <c r="CL281" s="2026">
        <v>1</v>
      </c>
      <c r="CM281" s="2026">
        <v>1</v>
      </c>
      <c r="CN281" s="2026">
        <v>1</v>
      </c>
      <c r="CO281" s="2026">
        <v>1</v>
      </c>
      <c r="CP281" s="2035"/>
      <c r="CQ281" s="2036"/>
      <c r="CR281" s="2036"/>
      <c r="CS281" s="2036"/>
      <c r="CT281" s="2036"/>
      <c r="CU281" s="2036"/>
      <c r="CW281" s="1973">
        <v>0</v>
      </c>
      <c r="CX281" s="2037">
        <v>225</v>
      </c>
      <c r="CY281" s="2037">
        <v>225</v>
      </c>
      <c r="CZ281" s="2037">
        <v>225</v>
      </c>
      <c r="DA281" s="2037">
        <v>225</v>
      </c>
      <c r="DJ281" s="1976">
        <v>225</v>
      </c>
      <c r="DK281" s="1973">
        <v>225</v>
      </c>
      <c r="DL281" s="1973">
        <v>225</v>
      </c>
      <c r="DM281" s="1973">
        <v>225</v>
      </c>
      <c r="DO281" s="1974">
        <v>15</v>
      </c>
      <c r="DP281" s="1974">
        <v>2850.2260000000001</v>
      </c>
      <c r="DQ281" s="1974">
        <v>2.84</v>
      </c>
      <c r="DR281" s="1974">
        <v>0</v>
      </c>
      <c r="DS281" s="2124">
        <v>225</v>
      </c>
      <c r="DT281" s="2029">
        <v>225</v>
      </c>
      <c r="DU281" s="2029">
        <v>225</v>
      </c>
      <c r="DV281" s="2029">
        <v>225</v>
      </c>
      <c r="DW281" s="2124">
        <v>0</v>
      </c>
      <c r="DX281" s="2029">
        <v>0</v>
      </c>
      <c r="DY281" s="2029">
        <v>0</v>
      </c>
      <c r="DZ281" s="2029">
        <v>0</v>
      </c>
      <c r="EA281" s="2124">
        <v>1563</v>
      </c>
      <c r="EB281" s="2029">
        <v>1563</v>
      </c>
      <c r="EC281" s="2029">
        <v>1563</v>
      </c>
      <c r="ED281" s="2029">
        <v>1563</v>
      </c>
      <c r="EE281" s="2039">
        <f t="shared" si="168"/>
        <v>0</v>
      </c>
      <c r="EF281" s="2039">
        <f t="shared" si="168"/>
        <v>0</v>
      </c>
      <c r="EG281" s="2039">
        <f t="shared" si="168"/>
        <v>0</v>
      </c>
      <c r="EH281" s="2039">
        <f t="shared" si="167"/>
        <v>0</v>
      </c>
      <c r="EI281" s="2040">
        <f t="shared" si="165"/>
        <v>0</v>
      </c>
      <c r="EJ281" s="2040">
        <f t="shared" si="165"/>
        <v>0</v>
      </c>
      <c r="EK281" s="2040">
        <f t="shared" si="165"/>
        <v>0</v>
      </c>
      <c r="EL281" s="2040">
        <f t="shared" si="164"/>
        <v>0</v>
      </c>
      <c r="EM281" s="2040">
        <f t="shared" si="164"/>
        <v>0</v>
      </c>
      <c r="EN281" s="2040">
        <f t="shared" si="164"/>
        <v>0</v>
      </c>
      <c r="EO281" s="2040">
        <f t="shared" si="164"/>
        <v>0</v>
      </c>
      <c r="EP281" s="2040">
        <f t="shared" si="164"/>
        <v>0</v>
      </c>
      <c r="EQ281" s="2040">
        <f t="shared" si="164"/>
        <v>0</v>
      </c>
      <c r="ER281" s="2040">
        <f t="shared" si="137"/>
        <v>0</v>
      </c>
      <c r="ES281" s="2040">
        <f t="shared" si="137"/>
        <v>0</v>
      </c>
      <c r="ET281" s="2040">
        <f t="shared" si="137"/>
        <v>0</v>
      </c>
      <c r="EU281" s="2039">
        <f t="shared" si="169"/>
        <v>0</v>
      </c>
      <c r="EV281" s="2039">
        <f t="shared" si="170"/>
        <v>0</v>
      </c>
    </row>
    <row r="282" spans="1:152" x14ac:dyDescent="0.25">
      <c r="A282" s="2088" t="s">
        <v>219</v>
      </c>
      <c r="B282" s="2093" t="str">
        <f t="shared" si="146"/>
        <v>BPC26</v>
      </c>
      <c r="C282" s="1974">
        <f t="shared" si="173"/>
        <v>23</v>
      </c>
      <c r="D282" s="1974">
        <f t="shared" si="173"/>
        <v>17532</v>
      </c>
      <c r="E282" s="1974">
        <f t="shared" si="173"/>
        <v>17.8</v>
      </c>
      <c r="F282" s="1974">
        <f t="shared" si="174"/>
        <v>0</v>
      </c>
      <c r="G282" s="1974" t="s">
        <v>2997</v>
      </c>
      <c r="H282" s="1974" t="s">
        <v>2997</v>
      </c>
      <c r="I282" s="2026">
        <v>0.96199999999999997</v>
      </c>
      <c r="J282" s="2026">
        <v>0.96199999999999997</v>
      </c>
      <c r="K282" s="2026">
        <v>0.96199999999999997</v>
      </c>
      <c r="L282" s="2026">
        <v>0.96199999999999997</v>
      </c>
      <c r="M282" s="2027">
        <f t="shared" si="158"/>
        <v>16865.784</v>
      </c>
      <c r="N282" s="2027">
        <f t="shared" si="158"/>
        <v>16865.784</v>
      </c>
      <c r="O282" s="2027">
        <f t="shared" si="158"/>
        <v>16865.784</v>
      </c>
      <c r="P282" s="2027">
        <f t="shared" si="158"/>
        <v>16865.784</v>
      </c>
      <c r="Q282" s="2026">
        <v>0.96199999999999997</v>
      </c>
      <c r="R282" s="2026">
        <v>0.96199999999999997</v>
      </c>
      <c r="S282" s="2026">
        <v>0.96199999999999997</v>
      </c>
      <c r="T282" s="2026">
        <v>0.96199999999999997</v>
      </c>
      <c r="U282" s="2028">
        <f t="shared" si="159"/>
        <v>17.1236</v>
      </c>
      <c r="V282" s="2028">
        <f t="shared" si="159"/>
        <v>17.1236</v>
      </c>
      <c r="W282" s="2028">
        <f t="shared" si="159"/>
        <v>17.1236</v>
      </c>
      <c r="X282" s="2028">
        <f t="shared" si="159"/>
        <v>17.1236</v>
      </c>
      <c r="Y282" s="2026">
        <v>0.96199999999999997</v>
      </c>
      <c r="Z282" s="2026">
        <v>0.96199999999999997</v>
      </c>
      <c r="AA282" s="2026">
        <v>0.96199999999999997</v>
      </c>
      <c r="AB282" s="2026">
        <v>0.96199999999999997</v>
      </c>
      <c r="AC282" s="2027">
        <f t="shared" si="160"/>
        <v>0</v>
      </c>
      <c r="AD282" s="2027">
        <f t="shared" si="160"/>
        <v>0</v>
      </c>
      <c r="AE282" s="2027">
        <f t="shared" si="160"/>
        <v>0</v>
      </c>
      <c r="AF282" s="2027">
        <f t="shared" si="160"/>
        <v>0</v>
      </c>
      <c r="AG282" s="2027">
        <v>0</v>
      </c>
      <c r="AH282" s="2028"/>
      <c r="AI282" s="2028"/>
      <c r="AJ282" s="2028"/>
      <c r="AK282" s="2027">
        <f t="shared" si="148"/>
        <v>0</v>
      </c>
      <c r="AL282" s="2027">
        <f t="shared" si="149"/>
        <v>0</v>
      </c>
      <c r="AM282" s="2027">
        <f t="shared" si="149"/>
        <v>0</v>
      </c>
      <c r="AN282" s="2027">
        <f t="shared" si="149"/>
        <v>0</v>
      </c>
      <c r="AO282" s="2027">
        <f t="shared" si="161"/>
        <v>0</v>
      </c>
      <c r="AP282" s="2027">
        <f t="shared" si="150"/>
        <v>0</v>
      </c>
      <c r="AQ282" s="2027">
        <f t="shared" si="150"/>
        <v>0</v>
      </c>
      <c r="AR282" s="2027">
        <f t="shared" si="150"/>
        <v>0</v>
      </c>
      <c r="AS282" s="2124">
        <f t="shared" si="179"/>
        <v>750</v>
      </c>
      <c r="AT282" s="2029">
        <f t="shared" si="151"/>
        <v>750</v>
      </c>
      <c r="AU282" s="2029">
        <f t="shared" si="151"/>
        <v>750</v>
      </c>
      <c r="AV282" s="2029">
        <f t="shared" si="151"/>
        <v>750</v>
      </c>
      <c r="AW282" s="2124">
        <f t="shared" si="152"/>
        <v>0</v>
      </c>
      <c r="AX282" s="2029">
        <f t="shared" si="171"/>
        <v>0</v>
      </c>
      <c r="AY282" s="2029">
        <f t="shared" si="171"/>
        <v>0</v>
      </c>
      <c r="AZ282" s="2029">
        <f t="shared" si="171"/>
        <v>0</v>
      </c>
      <c r="BA282" s="2124">
        <f t="shared" si="176"/>
        <v>25400</v>
      </c>
      <c r="BB282" s="2029">
        <f t="shared" si="176"/>
        <v>25400</v>
      </c>
      <c r="BC282" s="2029">
        <f t="shared" si="176"/>
        <v>25400</v>
      </c>
      <c r="BD282" s="2029">
        <f t="shared" si="176"/>
        <v>25400</v>
      </c>
      <c r="BE282" s="2030">
        <f t="shared" si="155"/>
        <v>0</v>
      </c>
      <c r="BF282" s="2030">
        <f t="shared" si="155"/>
        <v>0</v>
      </c>
      <c r="BG282" s="2030">
        <f t="shared" si="155"/>
        <v>0</v>
      </c>
      <c r="BH282" s="2030">
        <f t="shared" si="155"/>
        <v>0</v>
      </c>
      <c r="BI282" s="2030">
        <f t="shared" si="156"/>
        <v>0</v>
      </c>
      <c r="BJ282" s="2030">
        <f t="shared" si="156"/>
        <v>0</v>
      </c>
      <c r="BK282" s="2030">
        <f t="shared" si="156"/>
        <v>0</v>
      </c>
      <c r="BL282" s="2030">
        <f t="shared" si="156"/>
        <v>0</v>
      </c>
      <c r="BM282" s="2125"/>
      <c r="BN282" s="2125"/>
      <c r="BO282" s="2125"/>
      <c r="BP282" s="2125"/>
      <c r="BQ282" s="2125"/>
      <c r="BR282" s="2125"/>
      <c r="BS282" s="2125"/>
      <c r="BT282" s="2125"/>
      <c r="BU282" s="2029"/>
      <c r="BV282" s="2029"/>
      <c r="BW282" s="2029"/>
      <c r="BX282" s="2029"/>
      <c r="BY282" s="2029"/>
      <c r="BZ282" s="2032"/>
      <c r="CA282" s="1974">
        <f t="shared" si="175"/>
        <v>0</v>
      </c>
      <c r="CB282" s="1974">
        <f t="shared" si="175"/>
        <v>0</v>
      </c>
      <c r="CC282" s="1974">
        <f t="shared" si="175"/>
        <v>0</v>
      </c>
      <c r="CD282" s="1974">
        <f t="shared" si="175"/>
        <v>0</v>
      </c>
      <c r="CE282" s="1974">
        <f t="shared" si="175"/>
        <v>0</v>
      </c>
      <c r="CF282" s="2033">
        <v>0</v>
      </c>
      <c r="CG282" s="2026">
        <v>0</v>
      </c>
      <c r="CH282" s="2009">
        <f t="shared" si="175"/>
        <v>0</v>
      </c>
      <c r="CI282" s="2031">
        <f t="shared" si="175"/>
        <v>0</v>
      </c>
      <c r="CJ282" s="1974">
        <f t="shared" si="175"/>
        <v>0</v>
      </c>
      <c r="CK282" s="2031">
        <f t="shared" si="175"/>
        <v>0</v>
      </c>
      <c r="CL282" s="2026">
        <v>1</v>
      </c>
      <c r="CM282" s="2026">
        <v>1</v>
      </c>
      <c r="CN282" s="2026">
        <v>1</v>
      </c>
      <c r="CO282" s="2026">
        <v>1</v>
      </c>
      <c r="CP282" s="2035"/>
      <c r="CQ282" s="2036"/>
      <c r="CR282" s="2036"/>
      <c r="CS282" s="2036"/>
      <c r="CT282" s="2036"/>
      <c r="CU282" s="2036"/>
      <c r="CW282" s="1973">
        <v>0</v>
      </c>
      <c r="CX282" s="2037">
        <v>750</v>
      </c>
      <c r="CY282" s="2037">
        <v>750</v>
      </c>
      <c r="CZ282" s="2037">
        <v>750</v>
      </c>
      <c r="DA282" s="2037">
        <v>750</v>
      </c>
      <c r="DJ282" s="1976">
        <v>750</v>
      </c>
      <c r="DK282" s="1973">
        <v>750</v>
      </c>
      <c r="DL282" s="1973">
        <v>750</v>
      </c>
      <c r="DM282" s="1973">
        <v>750</v>
      </c>
      <c r="DO282" s="1974">
        <v>20</v>
      </c>
      <c r="DP282" s="1974">
        <v>17532</v>
      </c>
      <c r="DQ282" s="1974">
        <v>17.8</v>
      </c>
      <c r="DR282" s="1974">
        <v>0</v>
      </c>
      <c r="DS282" s="2124">
        <v>750</v>
      </c>
      <c r="DT282" s="2029">
        <v>750</v>
      </c>
      <c r="DU282" s="2029">
        <v>750</v>
      </c>
      <c r="DV282" s="2029">
        <v>750</v>
      </c>
      <c r="DW282" s="2124">
        <v>0</v>
      </c>
      <c r="DX282" s="2029">
        <v>0</v>
      </c>
      <c r="DY282" s="2029">
        <v>0</v>
      </c>
      <c r="DZ282" s="2029">
        <v>0</v>
      </c>
      <c r="EA282" s="2124">
        <v>25400</v>
      </c>
      <c r="EB282" s="2029">
        <v>25400</v>
      </c>
      <c r="EC282" s="2029">
        <v>25400</v>
      </c>
      <c r="ED282" s="2029">
        <v>25400</v>
      </c>
      <c r="EE282" s="2039">
        <f t="shared" si="168"/>
        <v>3</v>
      </c>
      <c r="EF282" s="2039">
        <f t="shared" si="168"/>
        <v>0</v>
      </c>
      <c r="EG282" s="2039">
        <f t="shared" si="168"/>
        <v>0</v>
      </c>
      <c r="EH282" s="2039">
        <f t="shared" si="167"/>
        <v>0</v>
      </c>
      <c r="EI282" s="2040">
        <f t="shared" si="165"/>
        <v>0</v>
      </c>
      <c r="EJ282" s="2040">
        <f t="shared" si="165"/>
        <v>0</v>
      </c>
      <c r="EK282" s="2040">
        <f t="shared" si="165"/>
        <v>0</v>
      </c>
      <c r="EL282" s="2040">
        <f t="shared" si="164"/>
        <v>0</v>
      </c>
      <c r="EM282" s="2040">
        <f t="shared" si="164"/>
        <v>0</v>
      </c>
      <c r="EN282" s="2040">
        <f t="shared" si="164"/>
        <v>0</v>
      </c>
      <c r="EO282" s="2040">
        <f t="shared" si="164"/>
        <v>0</v>
      </c>
      <c r="EP282" s="2040">
        <f t="shared" si="164"/>
        <v>0</v>
      </c>
      <c r="EQ282" s="2040">
        <f t="shared" si="164"/>
        <v>0</v>
      </c>
      <c r="ER282" s="2040">
        <f t="shared" si="137"/>
        <v>0</v>
      </c>
      <c r="ES282" s="2040">
        <f t="shared" si="137"/>
        <v>0</v>
      </c>
      <c r="ET282" s="2040">
        <f t="shared" si="137"/>
        <v>0</v>
      </c>
      <c r="EU282" s="2039">
        <f t="shared" si="169"/>
        <v>3</v>
      </c>
      <c r="EV282" s="2039">
        <f t="shared" si="170"/>
        <v>3</v>
      </c>
    </row>
    <row r="283" spans="1:152" x14ac:dyDescent="0.25">
      <c r="A283" s="2088" t="s">
        <v>220</v>
      </c>
      <c r="B283" s="2093" t="str">
        <f t="shared" si="146"/>
        <v>BPC27</v>
      </c>
      <c r="C283" s="1974">
        <f t="shared" ref="C283:E298" si="180">C39</f>
        <v>8</v>
      </c>
      <c r="D283" s="1974">
        <f t="shared" si="180"/>
        <v>179.18</v>
      </c>
      <c r="E283" s="1974">
        <f t="shared" si="180"/>
        <v>0.2</v>
      </c>
      <c r="F283" s="1974">
        <f t="shared" si="174"/>
        <v>0</v>
      </c>
      <c r="G283" s="1974" t="s">
        <v>2997</v>
      </c>
      <c r="H283" s="1974" t="s">
        <v>2997</v>
      </c>
      <c r="I283" s="2026">
        <v>0.96199999999999997</v>
      </c>
      <c r="J283" s="2026">
        <v>0.96199999999999997</v>
      </c>
      <c r="K283" s="2026">
        <v>0.96199999999999997</v>
      </c>
      <c r="L283" s="2026">
        <v>0.96199999999999997</v>
      </c>
      <c r="M283" s="2027">
        <f t="shared" si="158"/>
        <v>172.37116</v>
      </c>
      <c r="N283" s="2027">
        <f t="shared" si="158"/>
        <v>172.37116</v>
      </c>
      <c r="O283" s="2027">
        <f t="shared" si="158"/>
        <v>172.37116</v>
      </c>
      <c r="P283" s="2027">
        <f t="shared" si="158"/>
        <v>172.37116</v>
      </c>
      <c r="Q283" s="2026">
        <v>0.96199999999999997</v>
      </c>
      <c r="R283" s="2026">
        <v>0.96199999999999997</v>
      </c>
      <c r="S283" s="2026">
        <v>0.96199999999999997</v>
      </c>
      <c r="T283" s="2026">
        <v>0.96199999999999997</v>
      </c>
      <c r="U283" s="2028">
        <f t="shared" si="159"/>
        <v>0.19240000000000002</v>
      </c>
      <c r="V283" s="2028">
        <f t="shared" si="159"/>
        <v>0.19240000000000002</v>
      </c>
      <c r="W283" s="2028">
        <f t="shared" si="159"/>
        <v>0.19240000000000002</v>
      </c>
      <c r="X283" s="2028">
        <f t="shared" si="159"/>
        <v>0.19240000000000002</v>
      </c>
      <c r="Y283" s="2026">
        <v>0.96199999999999997</v>
      </c>
      <c r="Z283" s="2026">
        <v>0.96199999999999997</v>
      </c>
      <c r="AA283" s="2026">
        <v>0.96199999999999997</v>
      </c>
      <c r="AB283" s="2026">
        <v>0.96199999999999997</v>
      </c>
      <c r="AC283" s="2027">
        <f t="shared" si="160"/>
        <v>0</v>
      </c>
      <c r="AD283" s="2027">
        <f t="shared" si="160"/>
        <v>0</v>
      </c>
      <c r="AE283" s="2027">
        <f t="shared" si="160"/>
        <v>0</v>
      </c>
      <c r="AF283" s="2027">
        <f t="shared" si="160"/>
        <v>0</v>
      </c>
      <c r="AG283" s="2027">
        <v>0</v>
      </c>
      <c r="AH283" s="2028"/>
      <c r="AI283" s="2028"/>
      <c r="AJ283" s="2028"/>
      <c r="AK283" s="2027">
        <f t="shared" si="148"/>
        <v>0</v>
      </c>
      <c r="AL283" s="2027">
        <f t="shared" si="149"/>
        <v>0</v>
      </c>
      <c r="AM283" s="2027">
        <f t="shared" si="149"/>
        <v>0</v>
      </c>
      <c r="AN283" s="2027">
        <f t="shared" si="149"/>
        <v>0</v>
      </c>
      <c r="AO283" s="2027">
        <f t="shared" si="161"/>
        <v>0</v>
      </c>
      <c r="AP283" s="2027">
        <f t="shared" si="150"/>
        <v>0</v>
      </c>
      <c r="AQ283" s="2027">
        <f t="shared" si="150"/>
        <v>0</v>
      </c>
      <c r="AR283" s="2027">
        <f t="shared" si="150"/>
        <v>0</v>
      </c>
      <c r="AS283" s="2124">
        <f t="shared" si="179"/>
        <v>24.375</v>
      </c>
      <c r="AT283" s="2029">
        <f t="shared" si="151"/>
        <v>24.375</v>
      </c>
      <c r="AU283" s="2029">
        <f t="shared" si="151"/>
        <v>24.375</v>
      </c>
      <c r="AV283" s="2029">
        <f t="shared" si="151"/>
        <v>24.375</v>
      </c>
      <c r="AW283" s="2124">
        <f t="shared" si="152"/>
        <v>0</v>
      </c>
      <c r="AX283" s="2029">
        <f t="shared" si="171"/>
        <v>0</v>
      </c>
      <c r="AY283" s="2029">
        <f t="shared" si="171"/>
        <v>0</v>
      </c>
      <c r="AZ283" s="2029">
        <f t="shared" si="171"/>
        <v>0</v>
      </c>
      <c r="BA283" s="2124">
        <f t="shared" si="176"/>
        <v>84</v>
      </c>
      <c r="BB283" s="2029">
        <f t="shared" si="176"/>
        <v>84</v>
      </c>
      <c r="BC283" s="2029">
        <f t="shared" si="176"/>
        <v>84</v>
      </c>
      <c r="BD283" s="2029">
        <f t="shared" si="176"/>
        <v>84</v>
      </c>
      <c r="BE283" s="2030">
        <f t="shared" si="155"/>
        <v>0</v>
      </c>
      <c r="BF283" s="2030">
        <f t="shared" si="155"/>
        <v>0</v>
      </c>
      <c r="BG283" s="2030">
        <f t="shared" si="155"/>
        <v>0</v>
      </c>
      <c r="BH283" s="2030">
        <f t="shared" si="155"/>
        <v>0</v>
      </c>
      <c r="BI283" s="2030">
        <f t="shared" si="156"/>
        <v>0</v>
      </c>
      <c r="BJ283" s="2030">
        <f t="shared" si="156"/>
        <v>0</v>
      </c>
      <c r="BK283" s="2030">
        <f t="shared" si="156"/>
        <v>0</v>
      </c>
      <c r="BL283" s="2030">
        <f t="shared" si="156"/>
        <v>0</v>
      </c>
      <c r="BM283" s="2125"/>
      <c r="BN283" s="2125"/>
      <c r="BO283" s="2125"/>
      <c r="BP283" s="2125"/>
      <c r="BQ283" s="2125"/>
      <c r="BR283" s="2125"/>
      <c r="BS283" s="2125"/>
      <c r="BT283" s="2125"/>
      <c r="BU283" s="2029"/>
      <c r="BV283" s="2029"/>
      <c r="BW283" s="2029"/>
      <c r="BX283" s="2029"/>
      <c r="BY283" s="2029"/>
      <c r="BZ283" s="2032"/>
      <c r="CA283" s="1974">
        <f t="shared" ref="CA283:CK298" si="181">CA39</f>
        <v>0</v>
      </c>
      <c r="CB283" s="1974">
        <f t="shared" si="181"/>
        <v>0</v>
      </c>
      <c r="CC283" s="1974">
        <f t="shared" si="181"/>
        <v>0</v>
      </c>
      <c r="CD283" s="1974">
        <f t="shared" si="181"/>
        <v>0</v>
      </c>
      <c r="CE283" s="1974">
        <f t="shared" si="181"/>
        <v>0</v>
      </c>
      <c r="CF283" s="2033">
        <v>0</v>
      </c>
      <c r="CG283" s="2026">
        <v>0</v>
      </c>
      <c r="CH283" s="2009">
        <f t="shared" si="181"/>
        <v>0</v>
      </c>
      <c r="CI283" s="2031">
        <f t="shared" si="181"/>
        <v>0</v>
      </c>
      <c r="CJ283" s="1974">
        <f t="shared" si="181"/>
        <v>0</v>
      </c>
      <c r="CK283" s="2031">
        <f t="shared" si="181"/>
        <v>0</v>
      </c>
      <c r="CL283" s="2026">
        <v>1</v>
      </c>
      <c r="CM283" s="2026">
        <v>1</v>
      </c>
      <c r="CN283" s="2026">
        <v>1</v>
      </c>
      <c r="CO283" s="2026">
        <v>1</v>
      </c>
      <c r="CP283" s="2035"/>
      <c r="CQ283" s="2036"/>
      <c r="CR283" s="2036"/>
      <c r="CS283" s="2036"/>
      <c r="CT283" s="2036"/>
      <c r="CU283" s="2036"/>
      <c r="CW283" s="1973">
        <v>0</v>
      </c>
      <c r="CX283" s="2037">
        <v>24.375</v>
      </c>
      <c r="CY283" s="2037">
        <v>24.375</v>
      </c>
      <c r="CZ283" s="2037">
        <v>24.375</v>
      </c>
      <c r="DA283" s="2037">
        <v>24.375</v>
      </c>
      <c r="DJ283" s="1976">
        <v>24.375</v>
      </c>
      <c r="DK283" s="1973">
        <v>24.375</v>
      </c>
      <c r="DL283" s="1973">
        <v>24.375</v>
      </c>
      <c r="DM283" s="1973">
        <v>24.375</v>
      </c>
      <c r="DO283" s="1974">
        <v>15</v>
      </c>
      <c r="DP283" s="1974">
        <v>179.18</v>
      </c>
      <c r="DQ283" s="1974">
        <v>0.2</v>
      </c>
      <c r="DR283" s="1974">
        <v>0</v>
      </c>
      <c r="DS283" s="2124">
        <v>24.375</v>
      </c>
      <c r="DT283" s="2029">
        <v>24.375</v>
      </c>
      <c r="DU283" s="2029">
        <v>24.375</v>
      </c>
      <c r="DV283" s="2029">
        <v>24.375</v>
      </c>
      <c r="DW283" s="2124">
        <v>0</v>
      </c>
      <c r="DX283" s="2029">
        <v>0</v>
      </c>
      <c r="DY283" s="2029">
        <v>0</v>
      </c>
      <c r="DZ283" s="2029">
        <v>0</v>
      </c>
      <c r="EA283" s="2124">
        <v>84</v>
      </c>
      <c r="EB283" s="2029">
        <v>84</v>
      </c>
      <c r="EC283" s="2029">
        <v>84</v>
      </c>
      <c r="ED283" s="2029">
        <v>84</v>
      </c>
      <c r="EE283" s="2039">
        <f t="shared" si="168"/>
        <v>-7</v>
      </c>
      <c r="EF283" s="2039">
        <f t="shared" si="168"/>
        <v>0</v>
      </c>
      <c r="EG283" s="2039">
        <f t="shared" si="168"/>
        <v>0</v>
      </c>
      <c r="EH283" s="2039">
        <f t="shared" si="167"/>
        <v>0</v>
      </c>
      <c r="EI283" s="2040">
        <f t="shared" si="165"/>
        <v>0</v>
      </c>
      <c r="EJ283" s="2040">
        <f t="shared" si="165"/>
        <v>0</v>
      </c>
      <c r="EK283" s="2040">
        <f t="shared" si="165"/>
        <v>0</v>
      </c>
      <c r="EL283" s="2040">
        <f t="shared" si="164"/>
        <v>0</v>
      </c>
      <c r="EM283" s="2040">
        <f t="shared" si="164"/>
        <v>0</v>
      </c>
      <c r="EN283" s="2040">
        <f t="shared" si="164"/>
        <v>0</v>
      </c>
      <c r="EO283" s="2040">
        <f t="shared" si="164"/>
        <v>0</v>
      </c>
      <c r="EP283" s="2040">
        <f t="shared" si="164"/>
        <v>0</v>
      </c>
      <c r="EQ283" s="2040">
        <f t="shared" si="164"/>
        <v>0</v>
      </c>
      <c r="ER283" s="2040">
        <f t="shared" si="137"/>
        <v>0</v>
      </c>
      <c r="ES283" s="2040">
        <f t="shared" si="137"/>
        <v>0</v>
      </c>
      <c r="ET283" s="2040">
        <f t="shared" si="137"/>
        <v>0</v>
      </c>
      <c r="EU283" s="2039">
        <f t="shared" si="169"/>
        <v>-7</v>
      </c>
      <c r="EV283" s="2039">
        <f t="shared" si="170"/>
        <v>-7</v>
      </c>
    </row>
    <row r="284" spans="1:152" x14ac:dyDescent="0.25">
      <c r="A284" s="2126" t="s">
        <v>102</v>
      </c>
      <c r="B284" s="2093" t="str">
        <f t="shared" si="146"/>
        <v>BPC20</v>
      </c>
      <c r="C284" s="1974">
        <f t="shared" si="180"/>
        <v>15</v>
      </c>
      <c r="D284" s="2028">
        <f t="shared" si="180"/>
        <v>2479.8128019490832</v>
      </c>
      <c r="E284" s="2028">
        <f t="shared" si="180"/>
        <v>0</v>
      </c>
      <c r="F284" s="2027">
        <f t="shared" si="174"/>
        <v>0</v>
      </c>
      <c r="G284" s="1974" t="s">
        <v>2997</v>
      </c>
      <c r="H284" s="1974" t="s">
        <v>2997</v>
      </c>
      <c r="I284" s="2026">
        <v>0.96199999999999997</v>
      </c>
      <c r="J284" s="2026">
        <v>0.96199999999999997</v>
      </c>
      <c r="K284" s="2026">
        <v>0.96199999999999997</v>
      </c>
      <c r="L284" s="2026">
        <v>0.96199999999999997</v>
      </c>
      <c r="M284" s="2027">
        <f t="shared" si="158"/>
        <v>2385.579915475018</v>
      </c>
      <c r="N284" s="2027">
        <f t="shared" si="158"/>
        <v>2385.579915475018</v>
      </c>
      <c r="O284" s="2027">
        <f t="shared" si="158"/>
        <v>2385.579915475018</v>
      </c>
      <c r="P284" s="2027">
        <f t="shared" si="158"/>
        <v>2385.579915475018</v>
      </c>
      <c r="Q284" s="2026">
        <v>0.96199999999999997</v>
      </c>
      <c r="R284" s="2026">
        <v>0.96199999999999997</v>
      </c>
      <c r="S284" s="2026">
        <v>0.96199999999999997</v>
      </c>
      <c r="T284" s="2026">
        <v>0.96199999999999997</v>
      </c>
      <c r="U284" s="2028">
        <f t="shared" si="159"/>
        <v>0</v>
      </c>
      <c r="V284" s="2028">
        <f t="shared" si="159"/>
        <v>0</v>
      </c>
      <c r="W284" s="2028">
        <f t="shared" si="159"/>
        <v>0</v>
      </c>
      <c r="X284" s="2028">
        <f t="shared" si="159"/>
        <v>0</v>
      </c>
      <c r="Y284" s="2026">
        <v>0.96199999999999997</v>
      </c>
      <c r="Z284" s="2026">
        <v>0.96199999999999997</v>
      </c>
      <c r="AA284" s="2026">
        <v>0.96199999999999997</v>
      </c>
      <c r="AB284" s="2026">
        <v>0.96199999999999997</v>
      </c>
      <c r="AC284" s="2027">
        <f t="shared" si="160"/>
        <v>0</v>
      </c>
      <c r="AD284" s="2027">
        <f t="shared" si="160"/>
        <v>0</v>
      </c>
      <c r="AE284" s="2027">
        <f t="shared" si="160"/>
        <v>0</v>
      </c>
      <c r="AF284" s="2027">
        <f t="shared" si="160"/>
        <v>0</v>
      </c>
      <c r="AG284" s="2027">
        <v>220</v>
      </c>
      <c r="AH284" s="2027">
        <v>222</v>
      </c>
      <c r="AI284" s="2027">
        <v>223</v>
      </c>
      <c r="AJ284" s="2027">
        <v>225</v>
      </c>
      <c r="AK284" s="2027">
        <f t="shared" si="148"/>
        <v>524827.5814045039</v>
      </c>
      <c r="AL284" s="2027">
        <f t="shared" si="149"/>
        <v>529598.74123545398</v>
      </c>
      <c r="AM284" s="2027">
        <f t="shared" si="149"/>
        <v>531984.32115092897</v>
      </c>
      <c r="AN284" s="2027">
        <f t="shared" si="149"/>
        <v>536755.48098187905</v>
      </c>
      <c r="AO284" s="2027">
        <f t="shared" si="161"/>
        <v>0</v>
      </c>
      <c r="AP284" s="2027">
        <f t="shared" si="150"/>
        <v>0</v>
      </c>
      <c r="AQ284" s="2027">
        <f t="shared" si="150"/>
        <v>0</v>
      </c>
      <c r="AR284" s="2027">
        <f t="shared" si="150"/>
        <v>0</v>
      </c>
      <c r="AS284" s="2124">
        <v>180</v>
      </c>
      <c r="AT284" s="2029">
        <f t="shared" si="151"/>
        <v>180</v>
      </c>
      <c r="AU284" s="2029">
        <f t="shared" si="151"/>
        <v>180</v>
      </c>
      <c r="AV284" s="2029">
        <f t="shared" si="151"/>
        <v>180</v>
      </c>
      <c r="AW284" s="2124">
        <f t="shared" si="152"/>
        <v>0</v>
      </c>
      <c r="AX284" s="2029">
        <f t="shared" si="171"/>
        <v>0</v>
      </c>
      <c r="AY284" s="2029">
        <f t="shared" si="171"/>
        <v>0</v>
      </c>
      <c r="AZ284" s="2029">
        <f t="shared" si="171"/>
        <v>0</v>
      </c>
      <c r="BA284" s="2124">
        <v>195.08750000000001</v>
      </c>
      <c r="BB284" s="2029">
        <f>$BA284</f>
        <v>195.08750000000001</v>
      </c>
      <c r="BC284" s="2029">
        <f t="shared" ref="BC284:BD284" si="182">$BA284</f>
        <v>195.08750000000001</v>
      </c>
      <c r="BD284" s="2029">
        <f t="shared" si="182"/>
        <v>195.08750000000001</v>
      </c>
      <c r="BE284" s="2030">
        <f t="shared" si="155"/>
        <v>39600</v>
      </c>
      <c r="BF284" s="2030">
        <f t="shared" si="155"/>
        <v>39960</v>
      </c>
      <c r="BG284" s="2030">
        <f t="shared" si="155"/>
        <v>40140</v>
      </c>
      <c r="BH284" s="2030">
        <f t="shared" si="155"/>
        <v>40500</v>
      </c>
      <c r="BI284" s="2030">
        <f t="shared" si="156"/>
        <v>0</v>
      </c>
      <c r="BJ284" s="2030">
        <f t="shared" si="156"/>
        <v>0</v>
      </c>
      <c r="BK284" s="2030">
        <f t="shared" si="156"/>
        <v>0</v>
      </c>
      <c r="BL284" s="2030">
        <f t="shared" si="156"/>
        <v>0</v>
      </c>
      <c r="BM284" s="2125"/>
      <c r="BN284" s="2125"/>
      <c r="BO284" s="2125"/>
      <c r="BP284" s="2125"/>
      <c r="BQ284" s="2125"/>
      <c r="BR284" s="2125"/>
      <c r="BS284" s="2125"/>
      <c r="BT284" s="2125"/>
      <c r="BU284" s="2029"/>
      <c r="BV284" s="2029"/>
      <c r="BW284" s="2029"/>
      <c r="BX284" s="2029"/>
      <c r="BY284" s="2029"/>
      <c r="BZ284" s="2032"/>
      <c r="CA284" s="1974">
        <f t="shared" si="181"/>
        <v>0</v>
      </c>
      <c r="CB284" s="1974">
        <f t="shared" si="181"/>
        <v>0</v>
      </c>
      <c r="CC284" s="1974">
        <f t="shared" si="181"/>
        <v>0</v>
      </c>
      <c r="CD284" s="1974">
        <f t="shared" si="181"/>
        <v>0</v>
      </c>
      <c r="CE284" s="1974">
        <f t="shared" si="181"/>
        <v>0</v>
      </c>
      <c r="CF284" s="2033">
        <v>1.9777618095702222E-3</v>
      </c>
      <c r="CG284" s="2026">
        <v>0</v>
      </c>
      <c r="CH284" s="2009">
        <f t="shared" si="181"/>
        <v>0</v>
      </c>
      <c r="CI284" s="2031">
        <f t="shared" si="181"/>
        <v>0</v>
      </c>
      <c r="CJ284" s="1974">
        <f t="shared" si="181"/>
        <v>0</v>
      </c>
      <c r="CK284" s="2031">
        <f t="shared" si="181"/>
        <v>0</v>
      </c>
      <c r="CL284" s="2026">
        <v>1</v>
      </c>
      <c r="CM284" s="2026">
        <v>1</v>
      </c>
      <c r="CN284" s="2026">
        <v>1</v>
      </c>
      <c r="CO284" s="2026">
        <v>1</v>
      </c>
      <c r="CP284" s="2035"/>
      <c r="CQ284" s="2036"/>
      <c r="CR284" s="2036"/>
      <c r="CS284" s="2036"/>
      <c r="CT284" s="2036"/>
      <c r="CU284" s="2036"/>
      <c r="CW284" s="1973">
        <v>0</v>
      </c>
      <c r="CX284" s="2037">
        <v>180</v>
      </c>
      <c r="CY284" s="2037">
        <v>180</v>
      </c>
      <c r="CZ284" s="2037">
        <v>180</v>
      </c>
      <c r="DA284" s="2037">
        <v>180</v>
      </c>
      <c r="DJ284" s="1976">
        <v>180</v>
      </c>
      <c r="DK284" s="1973">
        <v>180</v>
      </c>
      <c r="DL284" s="1973">
        <v>180</v>
      </c>
      <c r="DM284" s="1973">
        <v>180</v>
      </c>
      <c r="DO284" s="2047">
        <v>15</v>
      </c>
      <c r="DP284" s="2047">
        <v>2479.8128019490832</v>
      </c>
      <c r="DQ284" s="2047">
        <v>0</v>
      </c>
      <c r="DR284" s="2047">
        <v>0</v>
      </c>
      <c r="DS284" s="2046">
        <v>180</v>
      </c>
      <c r="DT284" s="2046">
        <v>180</v>
      </c>
      <c r="DU284" s="2046">
        <v>180</v>
      </c>
      <c r="DV284" s="2046">
        <v>180</v>
      </c>
      <c r="DW284" s="2046">
        <v>0</v>
      </c>
      <c r="DX284" s="2046">
        <v>0</v>
      </c>
      <c r="DY284" s="2046">
        <v>0</v>
      </c>
      <c r="DZ284" s="2046">
        <v>0</v>
      </c>
      <c r="EA284" s="2046">
        <v>195.08750000000001</v>
      </c>
      <c r="EB284" s="2046">
        <v>195.08750000000001</v>
      </c>
      <c r="EC284" s="2046">
        <v>195.08750000000001</v>
      </c>
      <c r="ED284" s="2046">
        <v>195.08750000000001</v>
      </c>
      <c r="EE284" s="2039">
        <f t="shared" si="168"/>
        <v>0</v>
      </c>
      <c r="EF284" s="2039">
        <f t="shared" si="168"/>
        <v>0</v>
      </c>
      <c r="EG284" s="2039">
        <f t="shared" si="168"/>
        <v>0</v>
      </c>
      <c r="EH284" s="2039">
        <f t="shared" si="167"/>
        <v>0</v>
      </c>
      <c r="EI284" s="2040">
        <f t="shared" si="165"/>
        <v>0</v>
      </c>
      <c r="EJ284" s="2040">
        <f t="shared" si="165"/>
        <v>0</v>
      </c>
      <c r="EK284" s="2040">
        <f t="shared" si="165"/>
        <v>0</v>
      </c>
      <c r="EL284" s="2040">
        <f t="shared" si="164"/>
        <v>0</v>
      </c>
      <c r="EM284" s="2040">
        <f t="shared" si="164"/>
        <v>0</v>
      </c>
      <c r="EN284" s="2040">
        <f t="shared" si="164"/>
        <v>0</v>
      </c>
      <c r="EO284" s="2040">
        <f t="shared" si="164"/>
        <v>0</v>
      </c>
      <c r="EP284" s="2040">
        <f t="shared" si="164"/>
        <v>0</v>
      </c>
      <c r="EQ284" s="2040">
        <f t="shared" si="164"/>
        <v>0</v>
      </c>
      <c r="ER284" s="2040">
        <f t="shared" si="137"/>
        <v>0</v>
      </c>
      <c r="ES284" s="2040">
        <f t="shared" si="137"/>
        <v>0</v>
      </c>
      <c r="ET284" s="2040">
        <f t="shared" si="137"/>
        <v>0</v>
      </c>
      <c r="EU284" s="2039">
        <f t="shared" si="169"/>
        <v>0</v>
      </c>
      <c r="EV284" s="2039">
        <f t="shared" si="170"/>
        <v>0</v>
      </c>
    </row>
    <row r="285" spans="1:152" x14ac:dyDescent="0.25">
      <c r="A285" s="2088" t="s">
        <v>103</v>
      </c>
      <c r="B285" s="2093" t="str">
        <f t="shared" si="146"/>
        <v>BPWH1</v>
      </c>
      <c r="C285" s="1974">
        <f t="shared" si="180"/>
        <v>5</v>
      </c>
      <c r="D285" s="1974">
        <f t="shared" si="180"/>
        <v>5005.72</v>
      </c>
      <c r="E285" s="1974">
        <f t="shared" si="180"/>
        <v>0.56999999999999995</v>
      </c>
      <c r="F285" s="1974">
        <f t="shared" si="174"/>
        <v>0</v>
      </c>
      <c r="G285" s="1974" t="s">
        <v>2997</v>
      </c>
      <c r="H285" s="1974" t="s">
        <v>2997</v>
      </c>
      <c r="I285" s="2026">
        <v>0.96199999999999997</v>
      </c>
      <c r="J285" s="2026">
        <v>0.96199999999999997</v>
      </c>
      <c r="K285" s="2026">
        <v>0.96199999999999997</v>
      </c>
      <c r="L285" s="2026">
        <v>0.96199999999999997</v>
      </c>
      <c r="M285" s="2027">
        <f t="shared" si="158"/>
        <v>4815.5026399999997</v>
      </c>
      <c r="N285" s="2027">
        <f t="shared" si="158"/>
        <v>4815.5026399999997</v>
      </c>
      <c r="O285" s="2027">
        <f t="shared" si="158"/>
        <v>4815.5026399999997</v>
      </c>
      <c r="P285" s="2027">
        <f t="shared" si="158"/>
        <v>4815.5026399999997</v>
      </c>
      <c r="Q285" s="2026">
        <v>0.96199999999999997</v>
      </c>
      <c r="R285" s="2026">
        <v>0.96199999999999997</v>
      </c>
      <c r="S285" s="2026">
        <v>0.96199999999999997</v>
      </c>
      <c r="T285" s="2026">
        <v>0.96199999999999997</v>
      </c>
      <c r="U285" s="2028">
        <f t="shared" si="159"/>
        <v>0.54833999999999994</v>
      </c>
      <c r="V285" s="2028">
        <f t="shared" si="159"/>
        <v>0.54833999999999994</v>
      </c>
      <c r="W285" s="2028">
        <f t="shared" si="159"/>
        <v>0.54833999999999994</v>
      </c>
      <c r="X285" s="2028">
        <f t="shared" si="159"/>
        <v>0.54833999999999994</v>
      </c>
      <c r="Y285" s="2026">
        <v>0.96199999999999997</v>
      </c>
      <c r="Z285" s="2026">
        <v>0.96199999999999997</v>
      </c>
      <c r="AA285" s="2026">
        <v>0.96199999999999997</v>
      </c>
      <c r="AB285" s="2026">
        <v>0.96199999999999997</v>
      </c>
      <c r="AC285" s="2027">
        <f t="shared" si="160"/>
        <v>0</v>
      </c>
      <c r="AD285" s="2027">
        <f t="shared" si="160"/>
        <v>0</v>
      </c>
      <c r="AE285" s="2027">
        <f t="shared" si="160"/>
        <v>0</v>
      </c>
      <c r="AF285" s="2027">
        <f t="shared" si="160"/>
        <v>0</v>
      </c>
      <c r="AG285" s="2027">
        <v>0</v>
      </c>
      <c r="AH285" s="2027">
        <v>0</v>
      </c>
      <c r="AI285" s="2027">
        <v>0</v>
      </c>
      <c r="AJ285" s="2027">
        <v>0</v>
      </c>
      <c r="AK285" s="2027">
        <f t="shared" si="148"/>
        <v>0</v>
      </c>
      <c r="AL285" s="2027">
        <f t="shared" si="149"/>
        <v>0</v>
      </c>
      <c r="AM285" s="2027">
        <f t="shared" si="149"/>
        <v>0</v>
      </c>
      <c r="AN285" s="2027">
        <f t="shared" si="149"/>
        <v>0</v>
      </c>
      <c r="AO285" s="2027">
        <f t="shared" si="161"/>
        <v>0</v>
      </c>
      <c r="AP285" s="2027">
        <f t="shared" si="150"/>
        <v>0</v>
      </c>
      <c r="AQ285" s="2027">
        <f t="shared" si="150"/>
        <v>0</v>
      </c>
      <c r="AR285" s="2027">
        <f t="shared" si="150"/>
        <v>0</v>
      </c>
      <c r="AS285" s="2124">
        <f>AS41*1.5</f>
        <v>225</v>
      </c>
      <c r="AT285" s="2029">
        <f t="shared" si="151"/>
        <v>225</v>
      </c>
      <c r="AU285" s="2029">
        <f t="shared" si="151"/>
        <v>225</v>
      </c>
      <c r="AV285" s="2029">
        <f t="shared" si="151"/>
        <v>225</v>
      </c>
      <c r="AW285" s="2124">
        <f t="shared" si="152"/>
        <v>0</v>
      </c>
      <c r="AX285" s="2029">
        <f t="shared" si="171"/>
        <v>0</v>
      </c>
      <c r="AY285" s="2029">
        <f t="shared" si="171"/>
        <v>0</v>
      </c>
      <c r="AZ285" s="2029">
        <f t="shared" si="171"/>
        <v>0</v>
      </c>
      <c r="BA285" s="2124">
        <f t="shared" ref="BA285:BD300" si="183">BA41</f>
        <v>1350</v>
      </c>
      <c r="BB285" s="2029">
        <f t="shared" si="183"/>
        <v>1350</v>
      </c>
      <c r="BC285" s="2029">
        <f t="shared" si="183"/>
        <v>1350</v>
      </c>
      <c r="BD285" s="2029">
        <f t="shared" si="183"/>
        <v>1350</v>
      </c>
      <c r="BE285" s="2030">
        <f t="shared" si="155"/>
        <v>0</v>
      </c>
      <c r="BF285" s="2030">
        <f t="shared" si="155"/>
        <v>0</v>
      </c>
      <c r="BG285" s="2030">
        <f t="shared" si="155"/>
        <v>0</v>
      </c>
      <c r="BH285" s="2030">
        <f t="shared" si="155"/>
        <v>0</v>
      </c>
      <c r="BI285" s="2030">
        <f t="shared" si="156"/>
        <v>0</v>
      </c>
      <c r="BJ285" s="2030">
        <f t="shared" si="156"/>
        <v>0</v>
      </c>
      <c r="BK285" s="2030">
        <f t="shared" si="156"/>
        <v>0</v>
      </c>
      <c r="BL285" s="2030">
        <f t="shared" si="156"/>
        <v>0</v>
      </c>
      <c r="BM285" s="2125"/>
      <c r="BN285" s="2125"/>
      <c r="BO285" s="2125"/>
      <c r="BP285" s="2125"/>
      <c r="BQ285" s="2125"/>
      <c r="BR285" s="2125"/>
      <c r="BS285" s="2125"/>
      <c r="BT285" s="2125"/>
      <c r="BU285" s="2029"/>
      <c r="BV285" s="2029"/>
      <c r="BW285" s="2029"/>
      <c r="BX285" s="2029"/>
      <c r="BY285" s="2029"/>
      <c r="BZ285" s="2032"/>
      <c r="CA285" s="1974">
        <f t="shared" si="181"/>
        <v>0</v>
      </c>
      <c r="CB285" s="1974">
        <f t="shared" si="181"/>
        <v>0</v>
      </c>
      <c r="CC285" s="1974">
        <f t="shared" si="181"/>
        <v>0</v>
      </c>
      <c r="CD285" s="1974">
        <f t="shared" si="181"/>
        <v>0</v>
      </c>
      <c r="CE285" s="1974">
        <f t="shared" si="181"/>
        <v>0</v>
      </c>
      <c r="CF285" s="2033">
        <v>0</v>
      </c>
      <c r="CG285" s="2026">
        <v>0</v>
      </c>
      <c r="CH285" s="2009">
        <f t="shared" si="181"/>
        <v>0</v>
      </c>
      <c r="CI285" s="2031">
        <f t="shared" si="181"/>
        <v>0</v>
      </c>
      <c r="CJ285" s="1974">
        <f t="shared" si="181"/>
        <v>0</v>
      </c>
      <c r="CK285" s="2031">
        <f t="shared" si="181"/>
        <v>0</v>
      </c>
      <c r="CL285" s="2026">
        <v>1</v>
      </c>
      <c r="CM285" s="2026">
        <v>1</v>
      </c>
      <c r="CN285" s="2026">
        <v>1</v>
      </c>
      <c r="CO285" s="2026">
        <v>1</v>
      </c>
      <c r="CP285" s="2035"/>
      <c r="CQ285" s="2036"/>
      <c r="CR285" s="2036"/>
      <c r="CS285" s="2036"/>
      <c r="CT285" s="2036"/>
      <c r="CU285" s="2036"/>
      <c r="CW285" s="1973">
        <v>0</v>
      </c>
      <c r="CX285" s="2037">
        <v>225</v>
      </c>
      <c r="CY285" s="2037">
        <v>225</v>
      </c>
      <c r="CZ285" s="2037">
        <v>225</v>
      </c>
      <c r="DA285" s="2037">
        <v>225</v>
      </c>
      <c r="DJ285" s="1976">
        <v>225</v>
      </c>
      <c r="DK285" s="1973">
        <v>225</v>
      </c>
      <c r="DL285" s="1973">
        <v>225</v>
      </c>
      <c r="DM285" s="1973">
        <v>225</v>
      </c>
      <c r="DO285" s="1974">
        <v>5</v>
      </c>
      <c r="DP285" s="1974">
        <v>5005.72</v>
      </c>
      <c r="DQ285" s="1974">
        <v>0.56999999999999995</v>
      </c>
      <c r="DR285" s="1974">
        <v>0</v>
      </c>
      <c r="DS285" s="2124">
        <v>225</v>
      </c>
      <c r="DT285" s="2029">
        <v>225</v>
      </c>
      <c r="DU285" s="2029">
        <v>225</v>
      </c>
      <c r="DV285" s="2029">
        <v>225</v>
      </c>
      <c r="DW285" s="2124">
        <v>0</v>
      </c>
      <c r="DX285" s="2029">
        <v>0</v>
      </c>
      <c r="DY285" s="2029">
        <v>0</v>
      </c>
      <c r="DZ285" s="2029">
        <v>0</v>
      </c>
      <c r="EA285" s="2124">
        <v>1350</v>
      </c>
      <c r="EB285" s="2029">
        <v>1350</v>
      </c>
      <c r="EC285" s="2029">
        <v>1350</v>
      </c>
      <c r="ED285" s="2029">
        <v>1350</v>
      </c>
      <c r="EE285" s="2039">
        <f t="shared" si="168"/>
        <v>0</v>
      </c>
      <c r="EF285" s="2039">
        <f t="shared" si="168"/>
        <v>0</v>
      </c>
      <c r="EG285" s="2039">
        <f t="shared" si="168"/>
        <v>0</v>
      </c>
      <c r="EH285" s="2039">
        <f t="shared" si="167"/>
        <v>0</v>
      </c>
      <c r="EI285" s="2040">
        <f t="shared" si="165"/>
        <v>0</v>
      </c>
      <c r="EJ285" s="2040">
        <f t="shared" si="165"/>
        <v>0</v>
      </c>
      <c r="EK285" s="2040">
        <f t="shared" si="165"/>
        <v>0</v>
      </c>
      <c r="EL285" s="2040">
        <f t="shared" si="164"/>
        <v>0</v>
      </c>
      <c r="EM285" s="2040">
        <f t="shared" si="164"/>
        <v>0</v>
      </c>
      <c r="EN285" s="2040">
        <f t="shared" si="164"/>
        <v>0</v>
      </c>
      <c r="EO285" s="2040">
        <f t="shared" si="164"/>
        <v>0</v>
      </c>
      <c r="EP285" s="2040">
        <f t="shared" si="164"/>
        <v>0</v>
      </c>
      <c r="EQ285" s="2040">
        <f t="shared" si="164"/>
        <v>0</v>
      </c>
      <c r="ER285" s="2040">
        <f t="shared" si="137"/>
        <v>0</v>
      </c>
      <c r="ES285" s="2040">
        <f t="shared" si="137"/>
        <v>0</v>
      </c>
      <c r="ET285" s="2040">
        <f t="shared" si="137"/>
        <v>0</v>
      </c>
      <c r="EU285" s="2039">
        <f t="shared" si="169"/>
        <v>0</v>
      </c>
      <c r="EV285" s="2039">
        <f t="shared" si="170"/>
        <v>0</v>
      </c>
    </row>
    <row r="286" spans="1:152" x14ac:dyDescent="0.25">
      <c r="A286" s="2088" t="s">
        <v>104</v>
      </c>
      <c r="B286" s="2093" t="str">
        <f t="shared" si="146"/>
        <v>BPWH2</v>
      </c>
      <c r="C286" s="1974">
        <f t="shared" si="180"/>
        <v>5</v>
      </c>
      <c r="D286" s="1974">
        <f t="shared" si="180"/>
        <v>7925.1</v>
      </c>
      <c r="E286" s="1974">
        <f t="shared" si="180"/>
        <v>0.9</v>
      </c>
      <c r="F286" s="1974">
        <f t="shared" si="174"/>
        <v>0</v>
      </c>
      <c r="G286" s="1974" t="s">
        <v>2997</v>
      </c>
      <c r="H286" s="1974" t="s">
        <v>2997</v>
      </c>
      <c r="I286" s="2026">
        <v>0.96199999999999997</v>
      </c>
      <c r="J286" s="2026">
        <v>0.96199999999999997</v>
      </c>
      <c r="K286" s="2026">
        <v>0.96199999999999997</v>
      </c>
      <c r="L286" s="2026">
        <v>0.96199999999999997</v>
      </c>
      <c r="M286" s="2027">
        <f t="shared" si="158"/>
        <v>7623.9462000000003</v>
      </c>
      <c r="N286" s="2027">
        <f t="shared" si="158"/>
        <v>7623.9462000000003</v>
      </c>
      <c r="O286" s="2027">
        <f t="shared" si="158"/>
        <v>7623.9462000000003</v>
      </c>
      <c r="P286" s="2027">
        <f t="shared" si="158"/>
        <v>7623.9462000000003</v>
      </c>
      <c r="Q286" s="2026">
        <v>0.96199999999999997</v>
      </c>
      <c r="R286" s="2026">
        <v>0.96199999999999997</v>
      </c>
      <c r="S286" s="2026">
        <v>0.96199999999999997</v>
      </c>
      <c r="T286" s="2026">
        <v>0.96199999999999997</v>
      </c>
      <c r="U286" s="2028">
        <f t="shared" si="159"/>
        <v>0.86580000000000001</v>
      </c>
      <c r="V286" s="2028">
        <f t="shared" si="159"/>
        <v>0.86580000000000001</v>
      </c>
      <c r="W286" s="2028">
        <f t="shared" si="159"/>
        <v>0.86580000000000001</v>
      </c>
      <c r="X286" s="2028">
        <f t="shared" si="159"/>
        <v>0.86580000000000001</v>
      </c>
      <c r="Y286" s="2026">
        <v>0.96199999999999997</v>
      </c>
      <c r="Z286" s="2026">
        <v>0.96199999999999997</v>
      </c>
      <c r="AA286" s="2026">
        <v>0.96199999999999997</v>
      </c>
      <c r="AB286" s="2026">
        <v>0.96199999999999997</v>
      </c>
      <c r="AC286" s="2027">
        <f t="shared" si="160"/>
        <v>0</v>
      </c>
      <c r="AD286" s="2027">
        <f t="shared" si="160"/>
        <v>0</v>
      </c>
      <c r="AE286" s="2027">
        <f t="shared" si="160"/>
        <v>0</v>
      </c>
      <c r="AF286" s="2027">
        <f t="shared" si="160"/>
        <v>0</v>
      </c>
      <c r="AG286" s="2027">
        <v>0</v>
      </c>
      <c r="AH286" s="2027">
        <v>0</v>
      </c>
      <c r="AI286" s="2027">
        <v>0</v>
      </c>
      <c r="AJ286" s="2027">
        <v>0</v>
      </c>
      <c r="AK286" s="2027">
        <f t="shared" si="148"/>
        <v>0</v>
      </c>
      <c r="AL286" s="2027">
        <f t="shared" si="149"/>
        <v>0</v>
      </c>
      <c r="AM286" s="2027">
        <f t="shared" si="149"/>
        <v>0</v>
      </c>
      <c r="AN286" s="2027">
        <f t="shared" si="149"/>
        <v>0</v>
      </c>
      <c r="AO286" s="2027">
        <f t="shared" si="161"/>
        <v>0</v>
      </c>
      <c r="AP286" s="2027">
        <f t="shared" si="150"/>
        <v>0</v>
      </c>
      <c r="AQ286" s="2027">
        <f t="shared" si="150"/>
        <v>0</v>
      </c>
      <c r="AR286" s="2027">
        <f t="shared" si="150"/>
        <v>0</v>
      </c>
      <c r="AS286" s="2124">
        <f>AS42*1.5</f>
        <v>450</v>
      </c>
      <c r="AT286" s="2029">
        <f t="shared" si="151"/>
        <v>450</v>
      </c>
      <c r="AU286" s="2029">
        <f t="shared" si="151"/>
        <v>450</v>
      </c>
      <c r="AV286" s="2029">
        <f t="shared" si="151"/>
        <v>450</v>
      </c>
      <c r="AW286" s="2124">
        <f t="shared" si="152"/>
        <v>0</v>
      </c>
      <c r="AX286" s="2029">
        <f t="shared" si="171"/>
        <v>0</v>
      </c>
      <c r="AY286" s="2029">
        <f t="shared" si="171"/>
        <v>0</v>
      </c>
      <c r="AZ286" s="2029">
        <f t="shared" si="171"/>
        <v>0</v>
      </c>
      <c r="BA286" s="2124">
        <f t="shared" si="183"/>
        <v>1350</v>
      </c>
      <c r="BB286" s="2029">
        <f t="shared" si="183"/>
        <v>1350</v>
      </c>
      <c r="BC286" s="2029">
        <f t="shared" si="183"/>
        <v>1350</v>
      </c>
      <c r="BD286" s="2029">
        <f t="shared" si="183"/>
        <v>1350</v>
      </c>
      <c r="BE286" s="2030">
        <f t="shared" si="155"/>
        <v>0</v>
      </c>
      <c r="BF286" s="2030">
        <f t="shared" si="155"/>
        <v>0</v>
      </c>
      <c r="BG286" s="2030">
        <f t="shared" si="155"/>
        <v>0</v>
      </c>
      <c r="BH286" s="2030">
        <f t="shared" si="155"/>
        <v>0</v>
      </c>
      <c r="BI286" s="2030">
        <f t="shared" si="156"/>
        <v>0</v>
      </c>
      <c r="BJ286" s="2030">
        <f t="shared" si="156"/>
        <v>0</v>
      </c>
      <c r="BK286" s="2030">
        <f t="shared" si="156"/>
        <v>0</v>
      </c>
      <c r="BL286" s="2030">
        <f t="shared" si="156"/>
        <v>0</v>
      </c>
      <c r="BM286" s="2125"/>
      <c r="BN286" s="2125"/>
      <c r="BO286" s="2125"/>
      <c r="BP286" s="2125"/>
      <c r="BQ286" s="2125"/>
      <c r="BR286" s="2125"/>
      <c r="BS286" s="2125"/>
      <c r="BT286" s="2125"/>
      <c r="BU286" s="2029"/>
      <c r="BV286" s="2029"/>
      <c r="BW286" s="2029"/>
      <c r="BX286" s="2029"/>
      <c r="BY286" s="2029"/>
      <c r="BZ286" s="2032"/>
      <c r="CA286" s="1974">
        <f t="shared" si="181"/>
        <v>0</v>
      </c>
      <c r="CB286" s="1974">
        <f t="shared" si="181"/>
        <v>0</v>
      </c>
      <c r="CC286" s="1974">
        <f t="shared" si="181"/>
        <v>0</v>
      </c>
      <c r="CD286" s="1974">
        <f t="shared" si="181"/>
        <v>0</v>
      </c>
      <c r="CE286" s="1974">
        <f t="shared" si="181"/>
        <v>0</v>
      </c>
      <c r="CF286" s="2033">
        <v>0</v>
      </c>
      <c r="CG286" s="2026">
        <v>0</v>
      </c>
      <c r="CH286" s="2009">
        <f t="shared" si="181"/>
        <v>0</v>
      </c>
      <c r="CI286" s="2031">
        <f t="shared" si="181"/>
        <v>0</v>
      </c>
      <c r="CJ286" s="1974">
        <f t="shared" si="181"/>
        <v>0</v>
      </c>
      <c r="CK286" s="2031">
        <f t="shared" si="181"/>
        <v>0</v>
      </c>
      <c r="CL286" s="2026">
        <v>1</v>
      </c>
      <c r="CM286" s="2026">
        <v>1</v>
      </c>
      <c r="CN286" s="2026">
        <v>1</v>
      </c>
      <c r="CO286" s="2026">
        <v>1</v>
      </c>
      <c r="CP286" s="2035"/>
      <c r="CQ286" s="2036"/>
      <c r="CR286" s="2036"/>
      <c r="CS286" s="2036"/>
      <c r="CT286" s="2036"/>
      <c r="CU286" s="2036"/>
      <c r="CW286" s="1973">
        <v>0</v>
      </c>
      <c r="CX286" s="2037">
        <v>450</v>
      </c>
      <c r="CY286" s="2037">
        <v>450</v>
      </c>
      <c r="CZ286" s="2037">
        <v>450</v>
      </c>
      <c r="DA286" s="2037">
        <v>450</v>
      </c>
      <c r="DJ286" s="1976">
        <v>450</v>
      </c>
      <c r="DK286" s="1973">
        <v>450</v>
      </c>
      <c r="DL286" s="1973">
        <v>450</v>
      </c>
      <c r="DM286" s="1973">
        <v>450</v>
      </c>
      <c r="DO286" s="1974">
        <v>5</v>
      </c>
      <c r="DP286" s="1974">
        <v>7925.1</v>
      </c>
      <c r="DQ286" s="1974">
        <v>0.9</v>
      </c>
      <c r="DR286" s="1974">
        <v>0</v>
      </c>
      <c r="DS286" s="2124">
        <v>450</v>
      </c>
      <c r="DT286" s="2029">
        <v>450</v>
      </c>
      <c r="DU286" s="2029">
        <v>450</v>
      </c>
      <c r="DV286" s="2029">
        <v>450</v>
      </c>
      <c r="DW286" s="2124">
        <v>0</v>
      </c>
      <c r="DX286" s="2029">
        <v>0</v>
      </c>
      <c r="DY286" s="2029">
        <v>0</v>
      </c>
      <c r="DZ286" s="2029">
        <v>0</v>
      </c>
      <c r="EA286" s="2124">
        <v>1350</v>
      </c>
      <c r="EB286" s="2029">
        <v>1350</v>
      </c>
      <c r="EC286" s="2029">
        <v>1350</v>
      </c>
      <c r="ED286" s="2029">
        <v>1350</v>
      </c>
      <c r="EE286" s="2039">
        <f t="shared" si="168"/>
        <v>0</v>
      </c>
      <c r="EF286" s="2039">
        <f t="shared" si="168"/>
        <v>0</v>
      </c>
      <c r="EG286" s="2039">
        <f t="shared" si="168"/>
        <v>0</v>
      </c>
      <c r="EH286" s="2039">
        <f t="shared" si="167"/>
        <v>0</v>
      </c>
      <c r="EI286" s="2040">
        <f t="shared" si="165"/>
        <v>0</v>
      </c>
      <c r="EJ286" s="2040">
        <f t="shared" si="165"/>
        <v>0</v>
      </c>
      <c r="EK286" s="2040">
        <f t="shared" si="165"/>
        <v>0</v>
      </c>
      <c r="EL286" s="2040">
        <f t="shared" si="164"/>
        <v>0</v>
      </c>
      <c r="EM286" s="2040">
        <f t="shared" si="164"/>
        <v>0</v>
      </c>
      <c r="EN286" s="2040">
        <f t="shared" si="164"/>
        <v>0</v>
      </c>
      <c r="EO286" s="2040">
        <f t="shared" si="164"/>
        <v>0</v>
      </c>
      <c r="EP286" s="2040">
        <f t="shared" si="164"/>
        <v>0</v>
      </c>
      <c r="EQ286" s="2040">
        <f t="shared" si="164"/>
        <v>0</v>
      </c>
      <c r="ER286" s="2040">
        <f t="shared" si="137"/>
        <v>0</v>
      </c>
      <c r="ES286" s="2040">
        <f t="shared" si="137"/>
        <v>0</v>
      </c>
      <c r="ET286" s="2040">
        <f t="shared" si="137"/>
        <v>0</v>
      </c>
      <c r="EU286" s="2039">
        <f t="shared" si="169"/>
        <v>0</v>
      </c>
      <c r="EV286" s="2039">
        <f t="shared" si="170"/>
        <v>0</v>
      </c>
    </row>
    <row r="287" spans="1:152" x14ac:dyDescent="0.25">
      <c r="A287" s="2088" t="s">
        <v>221</v>
      </c>
      <c r="B287" s="2093" t="str">
        <f t="shared" si="146"/>
        <v>BPC30</v>
      </c>
      <c r="C287" s="1974">
        <f t="shared" si="180"/>
        <v>8</v>
      </c>
      <c r="D287" s="1974">
        <f t="shared" si="180"/>
        <v>358.62</v>
      </c>
      <c r="E287" s="1974">
        <f t="shared" si="180"/>
        <v>0.27</v>
      </c>
      <c r="F287" s="1974">
        <f t="shared" si="174"/>
        <v>0</v>
      </c>
      <c r="G287" s="1974" t="s">
        <v>2997</v>
      </c>
      <c r="H287" s="1974" t="s">
        <v>2997</v>
      </c>
      <c r="I287" s="2026">
        <v>0.96199999999999997</v>
      </c>
      <c r="J287" s="2026">
        <v>0.96199999999999997</v>
      </c>
      <c r="K287" s="2026">
        <v>0.96199999999999997</v>
      </c>
      <c r="L287" s="2026">
        <v>0.96199999999999997</v>
      </c>
      <c r="M287" s="2027">
        <f t="shared" si="158"/>
        <v>344.99243999999999</v>
      </c>
      <c r="N287" s="2027">
        <f t="shared" si="158"/>
        <v>344.99243999999999</v>
      </c>
      <c r="O287" s="2027">
        <f t="shared" si="158"/>
        <v>344.99243999999999</v>
      </c>
      <c r="P287" s="2027">
        <f t="shared" si="158"/>
        <v>344.99243999999999</v>
      </c>
      <c r="Q287" s="2026">
        <v>0.96199999999999997</v>
      </c>
      <c r="R287" s="2026">
        <v>0.96199999999999997</v>
      </c>
      <c r="S287" s="2026">
        <v>0.96199999999999997</v>
      </c>
      <c r="T287" s="2026">
        <v>0.96199999999999997</v>
      </c>
      <c r="U287" s="2028">
        <f t="shared" si="159"/>
        <v>0.25974000000000003</v>
      </c>
      <c r="V287" s="2028">
        <f t="shared" si="159"/>
        <v>0.25974000000000003</v>
      </c>
      <c r="W287" s="2028">
        <f t="shared" si="159"/>
        <v>0.25974000000000003</v>
      </c>
      <c r="X287" s="2028">
        <f t="shared" si="159"/>
        <v>0.25974000000000003</v>
      </c>
      <c r="Y287" s="2026">
        <v>0.96199999999999997</v>
      </c>
      <c r="Z287" s="2026">
        <v>0.96199999999999997</v>
      </c>
      <c r="AA287" s="2026">
        <v>0.96199999999999997</v>
      </c>
      <c r="AB287" s="2026">
        <v>0.96199999999999997</v>
      </c>
      <c r="AC287" s="2027">
        <f t="shared" si="160"/>
        <v>0</v>
      </c>
      <c r="AD287" s="2027">
        <f t="shared" si="160"/>
        <v>0</v>
      </c>
      <c r="AE287" s="2027">
        <f t="shared" si="160"/>
        <v>0</v>
      </c>
      <c r="AF287" s="2027">
        <f t="shared" si="160"/>
        <v>0</v>
      </c>
      <c r="AG287" s="2027">
        <v>0</v>
      </c>
      <c r="AH287" s="2027">
        <v>0</v>
      </c>
      <c r="AI287" s="2027">
        <v>0</v>
      </c>
      <c r="AJ287" s="2027">
        <v>0</v>
      </c>
      <c r="AK287" s="2027">
        <f t="shared" si="148"/>
        <v>0</v>
      </c>
      <c r="AL287" s="2027">
        <f t="shared" si="149"/>
        <v>0</v>
      </c>
      <c r="AM287" s="2027">
        <f t="shared" si="149"/>
        <v>0</v>
      </c>
      <c r="AN287" s="2027">
        <f t="shared" si="149"/>
        <v>0</v>
      </c>
      <c r="AO287" s="2027">
        <f t="shared" si="161"/>
        <v>0</v>
      </c>
      <c r="AP287" s="2027">
        <f t="shared" si="150"/>
        <v>0</v>
      </c>
      <c r="AQ287" s="2027">
        <f t="shared" si="150"/>
        <v>0</v>
      </c>
      <c r="AR287" s="2027">
        <f t="shared" si="150"/>
        <v>0</v>
      </c>
      <c r="AS287" s="2124">
        <f>AS43*1.5</f>
        <v>33</v>
      </c>
      <c r="AT287" s="2029">
        <f t="shared" si="151"/>
        <v>33</v>
      </c>
      <c r="AU287" s="2029">
        <f t="shared" si="151"/>
        <v>33</v>
      </c>
      <c r="AV287" s="2029">
        <f t="shared" si="151"/>
        <v>33</v>
      </c>
      <c r="AW287" s="2124">
        <f t="shared" si="152"/>
        <v>0</v>
      </c>
      <c r="AX287" s="2029">
        <f t="shared" si="171"/>
        <v>0</v>
      </c>
      <c r="AY287" s="2029">
        <f t="shared" si="171"/>
        <v>0</v>
      </c>
      <c r="AZ287" s="2029">
        <f t="shared" si="171"/>
        <v>0</v>
      </c>
      <c r="BA287" s="2124">
        <f t="shared" si="183"/>
        <v>84</v>
      </c>
      <c r="BB287" s="2029">
        <f t="shared" si="183"/>
        <v>84</v>
      </c>
      <c r="BC287" s="2029">
        <f t="shared" si="183"/>
        <v>84</v>
      </c>
      <c r="BD287" s="2029">
        <f t="shared" si="183"/>
        <v>84</v>
      </c>
      <c r="BE287" s="2030">
        <f t="shared" si="155"/>
        <v>0</v>
      </c>
      <c r="BF287" s="2030">
        <f t="shared" si="155"/>
        <v>0</v>
      </c>
      <c r="BG287" s="2030">
        <f t="shared" si="155"/>
        <v>0</v>
      </c>
      <c r="BH287" s="2030">
        <f t="shared" si="155"/>
        <v>0</v>
      </c>
      <c r="BI287" s="2030">
        <f t="shared" si="156"/>
        <v>0</v>
      </c>
      <c r="BJ287" s="2030">
        <f t="shared" si="156"/>
        <v>0</v>
      </c>
      <c r="BK287" s="2030">
        <f t="shared" si="156"/>
        <v>0</v>
      </c>
      <c r="BL287" s="2030">
        <f t="shared" si="156"/>
        <v>0</v>
      </c>
      <c r="BM287" s="2125"/>
      <c r="BN287" s="2125"/>
      <c r="BO287" s="2125"/>
      <c r="BP287" s="2125"/>
      <c r="BQ287" s="2125"/>
      <c r="BR287" s="2125"/>
      <c r="BS287" s="2125"/>
      <c r="BT287" s="2125"/>
      <c r="BU287" s="2029"/>
      <c r="BV287" s="2029"/>
      <c r="BW287" s="2029"/>
      <c r="BX287" s="2029"/>
      <c r="BY287" s="2029"/>
      <c r="BZ287" s="2032"/>
      <c r="CA287" s="1974">
        <f t="shared" si="181"/>
        <v>0</v>
      </c>
      <c r="CB287" s="1974">
        <f t="shared" si="181"/>
        <v>0</v>
      </c>
      <c r="CC287" s="1974">
        <f t="shared" si="181"/>
        <v>0</v>
      </c>
      <c r="CD287" s="1974">
        <f t="shared" si="181"/>
        <v>0</v>
      </c>
      <c r="CE287" s="1974">
        <f t="shared" si="181"/>
        <v>0</v>
      </c>
      <c r="CF287" s="2033">
        <v>0</v>
      </c>
      <c r="CG287" s="2026">
        <v>0</v>
      </c>
      <c r="CH287" s="2009">
        <f t="shared" si="181"/>
        <v>0</v>
      </c>
      <c r="CI287" s="2031">
        <f t="shared" si="181"/>
        <v>0</v>
      </c>
      <c r="CJ287" s="1974">
        <f t="shared" si="181"/>
        <v>0</v>
      </c>
      <c r="CK287" s="2031">
        <f t="shared" si="181"/>
        <v>0</v>
      </c>
      <c r="CL287" s="2026">
        <v>1</v>
      </c>
      <c r="CM287" s="2026">
        <v>1</v>
      </c>
      <c r="CN287" s="2026">
        <v>1</v>
      </c>
      <c r="CO287" s="2026">
        <v>1</v>
      </c>
      <c r="CP287" s="2035"/>
      <c r="CQ287" s="2036"/>
      <c r="CR287" s="2036"/>
      <c r="CS287" s="2036"/>
      <c r="CT287" s="2036"/>
      <c r="CU287" s="2036"/>
      <c r="CW287" s="1973">
        <v>0</v>
      </c>
      <c r="CX287" s="2037">
        <v>33</v>
      </c>
      <c r="CY287" s="2037">
        <v>33</v>
      </c>
      <c r="CZ287" s="2037">
        <v>33</v>
      </c>
      <c r="DA287" s="2037">
        <v>33</v>
      </c>
      <c r="DJ287" s="1976">
        <v>33</v>
      </c>
      <c r="DK287" s="1973">
        <v>33</v>
      </c>
      <c r="DL287" s="1973">
        <v>33</v>
      </c>
      <c r="DM287" s="1973">
        <v>33</v>
      </c>
      <c r="DO287" s="1974">
        <v>15</v>
      </c>
      <c r="DP287" s="1974">
        <v>358.62</v>
      </c>
      <c r="DQ287" s="1974">
        <v>0.27</v>
      </c>
      <c r="DR287" s="1974">
        <v>0</v>
      </c>
      <c r="DS287" s="2124">
        <v>33</v>
      </c>
      <c r="DT287" s="2029">
        <v>33</v>
      </c>
      <c r="DU287" s="2029">
        <v>33</v>
      </c>
      <c r="DV287" s="2029">
        <v>33</v>
      </c>
      <c r="DW287" s="2124">
        <v>0</v>
      </c>
      <c r="DX287" s="2029">
        <v>0</v>
      </c>
      <c r="DY287" s="2029">
        <v>0</v>
      </c>
      <c r="DZ287" s="2029">
        <v>0</v>
      </c>
      <c r="EA287" s="2124">
        <v>84</v>
      </c>
      <c r="EB287" s="2029">
        <v>84</v>
      </c>
      <c r="EC287" s="2029">
        <v>84</v>
      </c>
      <c r="ED287" s="2029">
        <v>84</v>
      </c>
      <c r="EE287" s="2039">
        <f t="shared" si="168"/>
        <v>-7</v>
      </c>
      <c r="EF287" s="2039">
        <f t="shared" si="168"/>
        <v>0</v>
      </c>
      <c r="EG287" s="2039">
        <f t="shared" si="168"/>
        <v>0</v>
      </c>
      <c r="EH287" s="2039">
        <f t="shared" si="167"/>
        <v>0</v>
      </c>
      <c r="EI287" s="2040">
        <f t="shared" si="165"/>
        <v>0</v>
      </c>
      <c r="EJ287" s="2040">
        <f t="shared" si="165"/>
        <v>0</v>
      </c>
      <c r="EK287" s="2040">
        <f t="shared" si="165"/>
        <v>0</v>
      </c>
      <c r="EL287" s="2040">
        <f t="shared" si="164"/>
        <v>0</v>
      </c>
      <c r="EM287" s="2040">
        <f t="shared" si="164"/>
        <v>0</v>
      </c>
      <c r="EN287" s="2040">
        <f t="shared" si="164"/>
        <v>0</v>
      </c>
      <c r="EO287" s="2040">
        <f t="shared" si="164"/>
        <v>0</v>
      </c>
      <c r="EP287" s="2040">
        <f t="shared" si="164"/>
        <v>0</v>
      </c>
      <c r="EQ287" s="2040">
        <f t="shared" si="164"/>
        <v>0</v>
      </c>
      <c r="ER287" s="2040">
        <f t="shared" si="137"/>
        <v>0</v>
      </c>
      <c r="ES287" s="2040">
        <f t="shared" si="137"/>
        <v>0</v>
      </c>
      <c r="ET287" s="2040">
        <f t="shared" si="137"/>
        <v>0</v>
      </c>
      <c r="EU287" s="2039">
        <f t="shared" si="169"/>
        <v>-7</v>
      </c>
      <c r="EV287" s="2039">
        <f t="shared" si="170"/>
        <v>-7</v>
      </c>
    </row>
    <row r="288" spans="1:152" x14ac:dyDescent="0.25">
      <c r="A288" s="2126" t="s">
        <v>222</v>
      </c>
      <c r="B288" s="2093" t="str">
        <f t="shared" si="146"/>
        <v>BPR9</v>
      </c>
      <c r="C288" s="1974">
        <f t="shared" si="180"/>
        <v>5</v>
      </c>
      <c r="D288" s="1974">
        <f t="shared" si="180"/>
        <v>1411.33</v>
      </c>
      <c r="E288" s="1974">
        <f t="shared" si="180"/>
        <v>0</v>
      </c>
      <c r="F288" s="1974">
        <f t="shared" si="174"/>
        <v>0</v>
      </c>
      <c r="G288" s="1974" t="s">
        <v>2997</v>
      </c>
      <c r="H288" s="1974" t="s">
        <v>2997</v>
      </c>
      <c r="I288" s="2026">
        <v>0.96199999999999997</v>
      </c>
      <c r="J288" s="2026">
        <v>0.96199999999999997</v>
      </c>
      <c r="K288" s="2026">
        <v>0.96199999999999997</v>
      </c>
      <c r="L288" s="2026">
        <v>0.96199999999999997</v>
      </c>
      <c r="M288" s="2027">
        <f t="shared" si="158"/>
        <v>1357.6994599999998</v>
      </c>
      <c r="N288" s="2027">
        <f t="shared" si="158"/>
        <v>1357.6994599999998</v>
      </c>
      <c r="O288" s="2027">
        <f t="shared" si="158"/>
        <v>1357.6994599999998</v>
      </c>
      <c r="P288" s="2027">
        <f t="shared" si="158"/>
        <v>1357.6994599999998</v>
      </c>
      <c r="Q288" s="2026">
        <v>0.96199999999999997</v>
      </c>
      <c r="R288" s="2026">
        <v>0.96199999999999997</v>
      </c>
      <c r="S288" s="2026">
        <v>0.96199999999999997</v>
      </c>
      <c r="T288" s="2026">
        <v>0.96199999999999997</v>
      </c>
      <c r="U288" s="2028">
        <f t="shared" si="159"/>
        <v>0</v>
      </c>
      <c r="V288" s="2028">
        <f t="shared" si="159"/>
        <v>0</v>
      </c>
      <c r="W288" s="2028">
        <f t="shared" si="159"/>
        <v>0</v>
      </c>
      <c r="X288" s="2028">
        <f t="shared" si="159"/>
        <v>0</v>
      </c>
      <c r="Y288" s="2026">
        <v>0.96199999999999997</v>
      </c>
      <c r="Z288" s="2026">
        <v>0.96199999999999997</v>
      </c>
      <c r="AA288" s="2026">
        <v>0.96199999999999997</v>
      </c>
      <c r="AB288" s="2026">
        <v>0.96199999999999997</v>
      </c>
      <c r="AC288" s="2027">
        <f t="shared" si="160"/>
        <v>0</v>
      </c>
      <c r="AD288" s="2027">
        <f t="shared" si="160"/>
        <v>0</v>
      </c>
      <c r="AE288" s="2027">
        <f t="shared" si="160"/>
        <v>0</v>
      </c>
      <c r="AF288" s="2027">
        <f t="shared" si="160"/>
        <v>0</v>
      </c>
      <c r="AG288" s="2027">
        <v>10</v>
      </c>
      <c r="AH288" s="2027">
        <v>11</v>
      </c>
      <c r="AI288" s="2027">
        <v>11</v>
      </c>
      <c r="AJ288" s="2027">
        <v>11</v>
      </c>
      <c r="AK288" s="2027">
        <f t="shared" si="148"/>
        <v>13576.994599999998</v>
      </c>
      <c r="AL288" s="2027">
        <f t="shared" si="149"/>
        <v>14934.694059999998</v>
      </c>
      <c r="AM288" s="2027">
        <f t="shared" si="149"/>
        <v>14934.694059999998</v>
      </c>
      <c r="AN288" s="2027">
        <f t="shared" si="149"/>
        <v>14934.694059999998</v>
      </c>
      <c r="AO288" s="2027">
        <f t="shared" si="161"/>
        <v>0</v>
      </c>
      <c r="AP288" s="2027">
        <f t="shared" si="150"/>
        <v>0</v>
      </c>
      <c r="AQ288" s="2027">
        <f t="shared" si="150"/>
        <v>0</v>
      </c>
      <c r="AR288" s="2027">
        <f t="shared" si="150"/>
        <v>0</v>
      </c>
      <c r="AS288" s="2124">
        <v>175</v>
      </c>
      <c r="AT288" s="2029">
        <f t="shared" si="151"/>
        <v>175</v>
      </c>
      <c r="AU288" s="2029">
        <f t="shared" si="151"/>
        <v>175</v>
      </c>
      <c r="AV288" s="2029">
        <f t="shared" si="151"/>
        <v>175</v>
      </c>
      <c r="AW288" s="2124">
        <f t="shared" si="152"/>
        <v>0</v>
      </c>
      <c r="AX288" s="2029">
        <f t="shared" si="171"/>
        <v>0</v>
      </c>
      <c r="AY288" s="2029">
        <f t="shared" si="171"/>
        <v>0</v>
      </c>
      <c r="AZ288" s="2029">
        <f t="shared" si="171"/>
        <v>0</v>
      </c>
      <c r="BA288" s="2124">
        <f t="shared" si="183"/>
        <v>180</v>
      </c>
      <c r="BB288" s="2029">
        <f t="shared" si="183"/>
        <v>180</v>
      </c>
      <c r="BC288" s="2029">
        <f t="shared" si="183"/>
        <v>180</v>
      </c>
      <c r="BD288" s="2029">
        <f t="shared" si="183"/>
        <v>180</v>
      </c>
      <c r="BE288" s="2030">
        <f t="shared" si="155"/>
        <v>1750</v>
      </c>
      <c r="BF288" s="2030">
        <f t="shared" si="155"/>
        <v>1925</v>
      </c>
      <c r="BG288" s="2030">
        <f t="shared" si="155"/>
        <v>1925</v>
      </c>
      <c r="BH288" s="2030">
        <f t="shared" si="155"/>
        <v>1925</v>
      </c>
      <c r="BI288" s="2030">
        <f t="shared" si="156"/>
        <v>0</v>
      </c>
      <c r="BJ288" s="2030">
        <f t="shared" si="156"/>
        <v>0</v>
      </c>
      <c r="BK288" s="2030">
        <f t="shared" si="156"/>
        <v>0</v>
      </c>
      <c r="BL288" s="2030">
        <f t="shared" si="156"/>
        <v>0</v>
      </c>
      <c r="BM288" s="2125"/>
      <c r="BN288" s="2125"/>
      <c r="BO288" s="2125"/>
      <c r="BP288" s="2125"/>
      <c r="BQ288" s="2125"/>
      <c r="BR288" s="2125"/>
      <c r="BS288" s="2125"/>
      <c r="BT288" s="2125"/>
      <c r="BU288" s="2029"/>
      <c r="BV288" s="2029"/>
      <c r="BW288" s="2029"/>
      <c r="BX288" s="2029"/>
      <c r="BY288" s="2029"/>
      <c r="BZ288" s="2032"/>
      <c r="CA288" s="1974">
        <f t="shared" si="181"/>
        <v>0</v>
      </c>
      <c r="CB288" s="1974">
        <f t="shared" si="181"/>
        <v>0</v>
      </c>
      <c r="CC288" s="1974">
        <f t="shared" si="181"/>
        <v>0</v>
      </c>
      <c r="CD288" s="1974">
        <f t="shared" si="181"/>
        <v>0</v>
      </c>
      <c r="CE288" s="1974">
        <f t="shared" si="181"/>
        <v>0</v>
      </c>
      <c r="CF288" s="2033">
        <v>5.6756410133016568E-5</v>
      </c>
      <c r="CG288" s="2026">
        <v>0</v>
      </c>
      <c r="CH288" s="2009">
        <f t="shared" si="181"/>
        <v>0</v>
      </c>
      <c r="CI288" s="2031">
        <f t="shared" si="181"/>
        <v>0</v>
      </c>
      <c r="CJ288" s="1974">
        <f t="shared" si="181"/>
        <v>0</v>
      </c>
      <c r="CK288" s="2031">
        <f t="shared" si="181"/>
        <v>0</v>
      </c>
      <c r="CL288" s="2026">
        <v>1</v>
      </c>
      <c r="CM288" s="2026">
        <v>1</v>
      </c>
      <c r="CN288" s="2026">
        <v>1</v>
      </c>
      <c r="CO288" s="2026">
        <v>1</v>
      </c>
      <c r="CP288" s="2035"/>
      <c r="CQ288" s="2036"/>
      <c r="CR288" s="2036"/>
      <c r="CS288" s="2036"/>
      <c r="CT288" s="2036"/>
      <c r="CU288" s="2036"/>
      <c r="CW288" s="1973">
        <v>0</v>
      </c>
      <c r="CX288" s="2037">
        <v>175</v>
      </c>
      <c r="CY288" s="2037">
        <v>175</v>
      </c>
      <c r="CZ288" s="2037">
        <v>175</v>
      </c>
      <c r="DA288" s="2037">
        <v>175</v>
      </c>
      <c r="DJ288" s="1976">
        <v>175</v>
      </c>
      <c r="DK288" s="1973">
        <v>175</v>
      </c>
      <c r="DL288" s="1973">
        <v>175</v>
      </c>
      <c r="DM288" s="1973">
        <v>175</v>
      </c>
      <c r="DO288" s="1974">
        <v>5</v>
      </c>
      <c r="DP288" s="1974">
        <v>1411.33</v>
      </c>
      <c r="DQ288" s="1974">
        <v>0</v>
      </c>
      <c r="DR288" s="1974">
        <v>0</v>
      </c>
      <c r="DS288" s="2124">
        <v>175</v>
      </c>
      <c r="DT288" s="2029">
        <v>175</v>
      </c>
      <c r="DU288" s="2029">
        <v>175</v>
      </c>
      <c r="DV288" s="2029">
        <v>175</v>
      </c>
      <c r="DW288" s="2124">
        <v>0</v>
      </c>
      <c r="DX288" s="2029">
        <v>0</v>
      </c>
      <c r="DY288" s="2029">
        <v>0</v>
      </c>
      <c r="DZ288" s="2029">
        <v>0</v>
      </c>
      <c r="EA288" s="2124">
        <v>180</v>
      </c>
      <c r="EB288" s="2029">
        <v>180</v>
      </c>
      <c r="EC288" s="2029">
        <v>180</v>
      </c>
      <c r="ED288" s="2029">
        <v>180</v>
      </c>
      <c r="EE288" s="2039">
        <f t="shared" si="168"/>
        <v>0</v>
      </c>
      <c r="EF288" s="2039">
        <f t="shared" si="168"/>
        <v>0</v>
      </c>
      <c r="EG288" s="2039">
        <f t="shared" si="168"/>
        <v>0</v>
      </c>
      <c r="EH288" s="2039">
        <f t="shared" si="167"/>
        <v>0</v>
      </c>
      <c r="EI288" s="2040">
        <f t="shared" si="165"/>
        <v>0</v>
      </c>
      <c r="EJ288" s="2040">
        <f t="shared" si="165"/>
        <v>0</v>
      </c>
      <c r="EK288" s="2040">
        <f t="shared" si="165"/>
        <v>0</v>
      </c>
      <c r="EL288" s="2040">
        <f t="shared" si="164"/>
        <v>0</v>
      </c>
      <c r="EM288" s="2040">
        <f t="shared" si="164"/>
        <v>0</v>
      </c>
      <c r="EN288" s="2040">
        <f t="shared" si="164"/>
        <v>0</v>
      </c>
      <c r="EO288" s="2040">
        <f t="shared" si="164"/>
        <v>0</v>
      </c>
      <c r="EP288" s="2040">
        <f t="shared" si="164"/>
        <v>0</v>
      </c>
      <c r="EQ288" s="2040">
        <f t="shared" si="164"/>
        <v>0</v>
      </c>
      <c r="ER288" s="2040">
        <f t="shared" si="137"/>
        <v>0</v>
      </c>
      <c r="ES288" s="2040">
        <f t="shared" si="137"/>
        <v>0</v>
      </c>
      <c r="ET288" s="2040">
        <f t="shared" si="137"/>
        <v>0</v>
      </c>
      <c r="EU288" s="2039">
        <f t="shared" si="169"/>
        <v>0</v>
      </c>
      <c r="EV288" s="2039">
        <f t="shared" si="170"/>
        <v>0</v>
      </c>
    </row>
    <row r="289" spans="1:152" x14ac:dyDescent="0.25">
      <c r="A289" s="2126" t="s">
        <v>223</v>
      </c>
      <c r="B289" s="2093" t="str">
        <f t="shared" si="146"/>
        <v>BPR10</v>
      </c>
      <c r="C289" s="1974">
        <f t="shared" si="180"/>
        <v>5</v>
      </c>
      <c r="D289" s="1974">
        <f t="shared" si="180"/>
        <v>342.75</v>
      </c>
      <c r="E289" s="1974">
        <f t="shared" si="180"/>
        <v>0</v>
      </c>
      <c r="F289" s="1974">
        <f t="shared" si="174"/>
        <v>0</v>
      </c>
      <c r="G289" s="1974" t="s">
        <v>2997</v>
      </c>
      <c r="H289" s="1974" t="s">
        <v>2997</v>
      </c>
      <c r="I289" s="2026">
        <v>0.96199999999999997</v>
      </c>
      <c r="J289" s="2026">
        <v>0.96199999999999997</v>
      </c>
      <c r="K289" s="2026">
        <v>0.96199999999999997</v>
      </c>
      <c r="L289" s="2026">
        <v>0.96199999999999997</v>
      </c>
      <c r="M289" s="2027">
        <f t="shared" si="158"/>
        <v>329.72550000000001</v>
      </c>
      <c r="N289" s="2027">
        <f t="shared" si="158"/>
        <v>329.72550000000001</v>
      </c>
      <c r="O289" s="2027">
        <f t="shared" si="158"/>
        <v>329.72550000000001</v>
      </c>
      <c r="P289" s="2027">
        <f t="shared" si="158"/>
        <v>329.72550000000001</v>
      </c>
      <c r="Q289" s="2026">
        <v>0.96199999999999997</v>
      </c>
      <c r="R289" s="2026">
        <v>0.96199999999999997</v>
      </c>
      <c r="S289" s="2026">
        <v>0.96199999999999997</v>
      </c>
      <c r="T289" s="2026">
        <v>0.96199999999999997</v>
      </c>
      <c r="U289" s="2028">
        <f t="shared" si="159"/>
        <v>0</v>
      </c>
      <c r="V289" s="2028">
        <f t="shared" si="159"/>
        <v>0</v>
      </c>
      <c r="W289" s="2028">
        <f t="shared" si="159"/>
        <v>0</v>
      </c>
      <c r="X289" s="2028">
        <f t="shared" si="159"/>
        <v>0</v>
      </c>
      <c r="Y289" s="2026">
        <v>0.96199999999999997</v>
      </c>
      <c r="Z289" s="2026">
        <v>0.96199999999999997</v>
      </c>
      <c r="AA289" s="2026">
        <v>0.96199999999999997</v>
      </c>
      <c r="AB289" s="2026">
        <v>0.96199999999999997</v>
      </c>
      <c r="AC289" s="2027">
        <f t="shared" si="160"/>
        <v>0</v>
      </c>
      <c r="AD289" s="2027">
        <f t="shared" si="160"/>
        <v>0</v>
      </c>
      <c r="AE289" s="2027">
        <f t="shared" si="160"/>
        <v>0</v>
      </c>
      <c r="AF289" s="2027">
        <f t="shared" si="160"/>
        <v>0</v>
      </c>
      <c r="AG289" s="2027">
        <v>6</v>
      </c>
      <c r="AH289" s="2027">
        <v>7</v>
      </c>
      <c r="AI289" s="2027">
        <v>7</v>
      </c>
      <c r="AJ289" s="2027">
        <v>7</v>
      </c>
      <c r="AK289" s="2027">
        <f t="shared" si="148"/>
        <v>1978.3530000000001</v>
      </c>
      <c r="AL289" s="2027">
        <f t="shared" si="149"/>
        <v>2308.0785000000001</v>
      </c>
      <c r="AM289" s="2027">
        <f t="shared" si="149"/>
        <v>2308.0785000000001</v>
      </c>
      <c r="AN289" s="2027">
        <f t="shared" si="149"/>
        <v>2308.0785000000001</v>
      </c>
      <c r="AO289" s="2027">
        <f t="shared" si="161"/>
        <v>0</v>
      </c>
      <c r="AP289" s="2027">
        <f t="shared" si="150"/>
        <v>0</v>
      </c>
      <c r="AQ289" s="2027">
        <f t="shared" si="150"/>
        <v>0</v>
      </c>
      <c r="AR289" s="2027">
        <f t="shared" si="150"/>
        <v>0</v>
      </c>
      <c r="AS289" s="2124">
        <v>75</v>
      </c>
      <c r="AT289" s="2029">
        <f t="shared" si="151"/>
        <v>75</v>
      </c>
      <c r="AU289" s="2029">
        <f t="shared" si="151"/>
        <v>75</v>
      </c>
      <c r="AV289" s="2029">
        <f t="shared" si="151"/>
        <v>75</v>
      </c>
      <c r="AW289" s="2124">
        <f t="shared" si="152"/>
        <v>0</v>
      </c>
      <c r="AX289" s="2029">
        <f t="shared" si="171"/>
        <v>0</v>
      </c>
      <c r="AY289" s="2029">
        <f t="shared" si="171"/>
        <v>0</v>
      </c>
      <c r="AZ289" s="2029">
        <f t="shared" si="171"/>
        <v>0</v>
      </c>
      <c r="BA289" s="2124">
        <f t="shared" si="183"/>
        <v>80</v>
      </c>
      <c r="BB289" s="2029">
        <f t="shared" si="183"/>
        <v>80</v>
      </c>
      <c r="BC289" s="2029">
        <f t="shared" si="183"/>
        <v>80</v>
      </c>
      <c r="BD289" s="2029">
        <f t="shared" si="183"/>
        <v>80</v>
      </c>
      <c r="BE289" s="2030">
        <f t="shared" si="155"/>
        <v>450</v>
      </c>
      <c r="BF289" s="2030">
        <f t="shared" si="155"/>
        <v>525</v>
      </c>
      <c r="BG289" s="2030">
        <f t="shared" si="155"/>
        <v>525</v>
      </c>
      <c r="BH289" s="2030">
        <f t="shared" si="155"/>
        <v>525</v>
      </c>
      <c r="BI289" s="2030">
        <f t="shared" si="156"/>
        <v>0</v>
      </c>
      <c r="BJ289" s="2030">
        <f t="shared" si="156"/>
        <v>0</v>
      </c>
      <c r="BK289" s="2030">
        <f t="shared" si="156"/>
        <v>0</v>
      </c>
      <c r="BL289" s="2030">
        <f t="shared" si="156"/>
        <v>0</v>
      </c>
      <c r="BM289" s="2125"/>
      <c r="BN289" s="2125"/>
      <c r="BO289" s="2125"/>
      <c r="BP289" s="2125"/>
      <c r="BQ289" s="2125"/>
      <c r="BR289" s="2125"/>
      <c r="BS289" s="2125"/>
      <c r="BT289" s="2125"/>
      <c r="BU289" s="2029"/>
      <c r="BV289" s="2029"/>
      <c r="BW289" s="2029"/>
      <c r="BX289" s="2029"/>
      <c r="BY289" s="2029"/>
      <c r="BZ289" s="2032"/>
      <c r="CA289" s="1974">
        <f t="shared" si="181"/>
        <v>0</v>
      </c>
      <c r="CB289" s="1974">
        <f t="shared" si="181"/>
        <v>0</v>
      </c>
      <c r="CC289" s="1974">
        <f t="shared" si="181"/>
        <v>0</v>
      </c>
      <c r="CD289" s="1974">
        <f t="shared" si="181"/>
        <v>0</v>
      </c>
      <c r="CE289" s="1974">
        <f t="shared" si="181"/>
        <v>0</v>
      </c>
      <c r="CF289" s="2033">
        <v>8.2701818453904188E-6</v>
      </c>
      <c r="CG289" s="2026">
        <v>0</v>
      </c>
      <c r="CH289" s="2009">
        <f t="shared" si="181"/>
        <v>0</v>
      </c>
      <c r="CI289" s="2031">
        <f t="shared" si="181"/>
        <v>0</v>
      </c>
      <c r="CJ289" s="1974">
        <f t="shared" si="181"/>
        <v>0</v>
      </c>
      <c r="CK289" s="2031">
        <f t="shared" si="181"/>
        <v>0</v>
      </c>
      <c r="CL289" s="2026">
        <v>1</v>
      </c>
      <c r="CM289" s="2026">
        <v>1</v>
      </c>
      <c r="CN289" s="2026">
        <v>1</v>
      </c>
      <c r="CO289" s="2026">
        <v>1</v>
      </c>
      <c r="CP289" s="2035"/>
      <c r="CQ289" s="2036"/>
      <c r="CR289" s="2036"/>
      <c r="CS289" s="2036"/>
      <c r="CT289" s="2036"/>
      <c r="CU289" s="2036"/>
      <c r="CW289" s="1973">
        <v>0</v>
      </c>
      <c r="CX289" s="2037">
        <v>75</v>
      </c>
      <c r="CY289" s="2037">
        <v>75</v>
      </c>
      <c r="CZ289" s="2037">
        <v>75</v>
      </c>
      <c r="DA289" s="2037">
        <v>75</v>
      </c>
      <c r="DJ289" s="1976">
        <v>75</v>
      </c>
      <c r="DK289" s="1973">
        <v>75</v>
      </c>
      <c r="DL289" s="1973">
        <v>75</v>
      </c>
      <c r="DM289" s="1973">
        <v>75</v>
      </c>
      <c r="DO289" s="1974">
        <v>5</v>
      </c>
      <c r="DP289" s="1974">
        <v>342.75</v>
      </c>
      <c r="DQ289" s="1974">
        <v>0</v>
      </c>
      <c r="DR289" s="1974">
        <v>0</v>
      </c>
      <c r="DS289" s="2124">
        <v>75</v>
      </c>
      <c r="DT289" s="2029">
        <v>75</v>
      </c>
      <c r="DU289" s="2029">
        <v>75</v>
      </c>
      <c r="DV289" s="2029">
        <v>75</v>
      </c>
      <c r="DW289" s="2124">
        <v>0</v>
      </c>
      <c r="DX289" s="2029">
        <v>0</v>
      </c>
      <c r="DY289" s="2029">
        <v>0</v>
      </c>
      <c r="DZ289" s="2029">
        <v>0</v>
      </c>
      <c r="EA289" s="2124">
        <v>80</v>
      </c>
      <c r="EB289" s="2029">
        <v>80</v>
      </c>
      <c r="EC289" s="2029">
        <v>80</v>
      </c>
      <c r="ED289" s="2029">
        <v>80</v>
      </c>
      <c r="EE289" s="2039">
        <f t="shared" si="168"/>
        <v>0</v>
      </c>
      <c r="EF289" s="2039">
        <f t="shared" si="168"/>
        <v>0</v>
      </c>
      <c r="EG289" s="2039">
        <f t="shared" si="168"/>
        <v>0</v>
      </c>
      <c r="EH289" s="2039">
        <f t="shared" si="167"/>
        <v>0</v>
      </c>
      <c r="EI289" s="2040">
        <f t="shared" si="165"/>
        <v>0</v>
      </c>
      <c r="EJ289" s="2040">
        <f t="shared" si="165"/>
        <v>0</v>
      </c>
      <c r="EK289" s="2040">
        <f t="shared" si="165"/>
        <v>0</v>
      </c>
      <c r="EL289" s="2040">
        <f t="shared" si="164"/>
        <v>0</v>
      </c>
      <c r="EM289" s="2040">
        <f t="shared" si="164"/>
        <v>0</v>
      </c>
      <c r="EN289" s="2040">
        <f t="shared" si="164"/>
        <v>0</v>
      </c>
      <c r="EO289" s="2040">
        <f t="shared" si="164"/>
        <v>0</v>
      </c>
      <c r="EP289" s="2040">
        <f t="shared" si="164"/>
        <v>0</v>
      </c>
      <c r="EQ289" s="2040">
        <f t="shared" si="164"/>
        <v>0</v>
      </c>
      <c r="ER289" s="2040">
        <f t="shared" si="164"/>
        <v>0</v>
      </c>
      <c r="ES289" s="2040">
        <f t="shared" si="164"/>
        <v>0</v>
      </c>
      <c r="ET289" s="2040">
        <f t="shared" si="164"/>
        <v>0</v>
      </c>
      <c r="EU289" s="2039">
        <f t="shared" si="169"/>
        <v>0</v>
      </c>
      <c r="EV289" s="2039">
        <f t="shared" si="170"/>
        <v>0</v>
      </c>
    </row>
    <row r="290" spans="1:152" x14ac:dyDescent="0.25">
      <c r="A290" s="2088" t="s">
        <v>106</v>
      </c>
      <c r="B290" s="2093" t="str">
        <f t="shared" si="146"/>
        <v>BPR7</v>
      </c>
      <c r="C290" s="1974">
        <f t="shared" si="180"/>
        <v>8</v>
      </c>
      <c r="D290" s="1974">
        <f t="shared" si="180"/>
        <v>1625</v>
      </c>
      <c r="E290" s="1974">
        <f t="shared" si="180"/>
        <v>0.223</v>
      </c>
      <c r="F290" s="1974">
        <f t="shared" si="174"/>
        <v>0</v>
      </c>
      <c r="G290" s="1974" t="s">
        <v>2997</v>
      </c>
      <c r="H290" s="1974" t="s">
        <v>2997</v>
      </c>
      <c r="I290" s="2026">
        <v>0.96199999999999997</v>
      </c>
      <c r="J290" s="2026">
        <v>0.96199999999999997</v>
      </c>
      <c r="K290" s="2026">
        <v>0.96199999999999997</v>
      </c>
      <c r="L290" s="2026">
        <v>0.96199999999999997</v>
      </c>
      <c r="M290" s="2027">
        <f t="shared" si="158"/>
        <v>1563.25</v>
      </c>
      <c r="N290" s="2027">
        <f t="shared" si="158"/>
        <v>1563.25</v>
      </c>
      <c r="O290" s="2027">
        <f t="shared" si="158"/>
        <v>1563.25</v>
      </c>
      <c r="P290" s="2027">
        <f t="shared" si="158"/>
        <v>1563.25</v>
      </c>
      <c r="Q290" s="2026">
        <v>0.96199999999999997</v>
      </c>
      <c r="R290" s="2026">
        <v>0.96199999999999997</v>
      </c>
      <c r="S290" s="2026">
        <v>0.96199999999999997</v>
      </c>
      <c r="T290" s="2026">
        <v>0.96199999999999997</v>
      </c>
      <c r="U290" s="2028">
        <f t="shared" si="159"/>
        <v>0.21452599999999999</v>
      </c>
      <c r="V290" s="2028">
        <f t="shared" si="159"/>
        <v>0.21452599999999999</v>
      </c>
      <c r="W290" s="2028">
        <f t="shared" si="159"/>
        <v>0.21452599999999999</v>
      </c>
      <c r="X290" s="2028">
        <f t="shared" si="159"/>
        <v>0.21452599999999999</v>
      </c>
      <c r="Y290" s="2026">
        <v>0.96199999999999997</v>
      </c>
      <c r="Z290" s="2026">
        <v>0.96199999999999997</v>
      </c>
      <c r="AA290" s="2026">
        <v>0.96199999999999997</v>
      </c>
      <c r="AB290" s="2026">
        <v>0.96199999999999997</v>
      </c>
      <c r="AC290" s="2027">
        <f t="shared" si="160"/>
        <v>0</v>
      </c>
      <c r="AD290" s="2027">
        <f t="shared" si="160"/>
        <v>0</v>
      </c>
      <c r="AE290" s="2027">
        <f t="shared" si="160"/>
        <v>0</v>
      </c>
      <c r="AF290" s="2027">
        <f t="shared" si="160"/>
        <v>0</v>
      </c>
      <c r="AG290" s="2027">
        <v>0</v>
      </c>
      <c r="AH290" s="2028"/>
      <c r="AI290" s="2028"/>
      <c r="AJ290" s="2028"/>
      <c r="AK290" s="2027">
        <f t="shared" si="148"/>
        <v>0</v>
      </c>
      <c r="AL290" s="2027">
        <f t="shared" si="149"/>
        <v>0</v>
      </c>
      <c r="AM290" s="2027">
        <f t="shared" si="149"/>
        <v>0</v>
      </c>
      <c r="AN290" s="2027">
        <f t="shared" si="149"/>
        <v>0</v>
      </c>
      <c r="AO290" s="2027">
        <f t="shared" si="161"/>
        <v>0</v>
      </c>
      <c r="AP290" s="2027">
        <f t="shared" si="150"/>
        <v>0</v>
      </c>
      <c r="AQ290" s="2027">
        <f t="shared" si="150"/>
        <v>0</v>
      </c>
      <c r="AR290" s="2027">
        <f t="shared" si="150"/>
        <v>0</v>
      </c>
      <c r="AS290" s="2124">
        <f t="shared" ref="AS290:AS318" si="184">AS46*1.5</f>
        <v>45</v>
      </c>
      <c r="AT290" s="2029">
        <f t="shared" si="151"/>
        <v>45</v>
      </c>
      <c r="AU290" s="2029">
        <f t="shared" si="151"/>
        <v>45</v>
      </c>
      <c r="AV290" s="2029">
        <f t="shared" si="151"/>
        <v>45</v>
      </c>
      <c r="AW290" s="2124">
        <f t="shared" si="152"/>
        <v>0</v>
      </c>
      <c r="AX290" s="2029">
        <f t="shared" si="171"/>
        <v>0</v>
      </c>
      <c r="AY290" s="2029">
        <f t="shared" si="171"/>
        <v>0</v>
      </c>
      <c r="AZ290" s="2029">
        <f t="shared" si="171"/>
        <v>0</v>
      </c>
      <c r="BA290" s="2124">
        <f t="shared" si="183"/>
        <v>157</v>
      </c>
      <c r="BB290" s="2029">
        <f t="shared" si="183"/>
        <v>157</v>
      </c>
      <c r="BC290" s="2029">
        <f t="shared" si="183"/>
        <v>157</v>
      </c>
      <c r="BD290" s="2029">
        <f t="shared" si="183"/>
        <v>157</v>
      </c>
      <c r="BE290" s="2030">
        <f t="shared" si="155"/>
        <v>0</v>
      </c>
      <c r="BF290" s="2030">
        <f t="shared" si="155"/>
        <v>0</v>
      </c>
      <c r="BG290" s="2030">
        <f t="shared" si="155"/>
        <v>0</v>
      </c>
      <c r="BH290" s="2030">
        <f t="shared" si="155"/>
        <v>0</v>
      </c>
      <c r="BI290" s="2030">
        <f t="shared" si="156"/>
        <v>0</v>
      </c>
      <c r="BJ290" s="2030">
        <f t="shared" si="156"/>
        <v>0</v>
      </c>
      <c r="BK290" s="2030">
        <f t="shared" si="156"/>
        <v>0</v>
      </c>
      <c r="BL290" s="2030">
        <f t="shared" si="156"/>
        <v>0</v>
      </c>
      <c r="BM290" s="2125"/>
      <c r="BN290" s="2125"/>
      <c r="BO290" s="2125"/>
      <c r="BP290" s="2125"/>
      <c r="BQ290" s="2125"/>
      <c r="BR290" s="2125"/>
      <c r="BS290" s="2125"/>
      <c r="BT290" s="2125"/>
      <c r="BU290" s="2029"/>
      <c r="BV290" s="2029"/>
      <c r="BW290" s="2029"/>
      <c r="BX290" s="2029"/>
      <c r="BY290" s="2029"/>
      <c r="BZ290" s="2032"/>
      <c r="CA290" s="1974">
        <f t="shared" si="181"/>
        <v>0</v>
      </c>
      <c r="CB290" s="1974">
        <f t="shared" si="181"/>
        <v>0</v>
      </c>
      <c r="CC290" s="1974">
        <f t="shared" si="181"/>
        <v>0</v>
      </c>
      <c r="CD290" s="1974">
        <f t="shared" si="181"/>
        <v>0</v>
      </c>
      <c r="CE290" s="1974">
        <f t="shared" si="181"/>
        <v>0</v>
      </c>
      <c r="CF290" s="2033">
        <v>0</v>
      </c>
      <c r="CG290" s="2026">
        <v>0</v>
      </c>
      <c r="CH290" s="2009">
        <f t="shared" si="181"/>
        <v>0</v>
      </c>
      <c r="CI290" s="2031">
        <f t="shared" si="181"/>
        <v>0</v>
      </c>
      <c r="CJ290" s="1974">
        <f t="shared" si="181"/>
        <v>0</v>
      </c>
      <c r="CK290" s="2031">
        <f t="shared" si="181"/>
        <v>0</v>
      </c>
      <c r="CL290" s="2026">
        <v>1</v>
      </c>
      <c r="CM290" s="2026">
        <v>1</v>
      </c>
      <c r="CN290" s="2026">
        <v>1</v>
      </c>
      <c r="CO290" s="2026">
        <v>1</v>
      </c>
      <c r="CP290" s="2035"/>
      <c r="CQ290" s="2036"/>
      <c r="CR290" s="2036"/>
      <c r="CS290" s="2036"/>
      <c r="CT290" s="2036"/>
      <c r="CU290" s="2036"/>
      <c r="CW290" s="1973">
        <v>0</v>
      </c>
      <c r="CX290" s="2037">
        <v>45</v>
      </c>
      <c r="CY290" s="2037">
        <v>45</v>
      </c>
      <c r="CZ290" s="2037">
        <v>45</v>
      </c>
      <c r="DA290" s="2037">
        <v>45</v>
      </c>
      <c r="DJ290" s="1976">
        <v>45</v>
      </c>
      <c r="DK290" s="1973">
        <v>45</v>
      </c>
      <c r="DL290" s="1973">
        <v>45</v>
      </c>
      <c r="DM290" s="1973">
        <v>45</v>
      </c>
      <c r="DO290" s="1974">
        <v>8</v>
      </c>
      <c r="DP290" s="1974">
        <v>1625</v>
      </c>
      <c r="DQ290" s="1974">
        <v>0.223</v>
      </c>
      <c r="DR290" s="1974">
        <v>0</v>
      </c>
      <c r="DS290" s="2124">
        <v>45</v>
      </c>
      <c r="DT290" s="2029">
        <v>45</v>
      </c>
      <c r="DU290" s="2029">
        <v>45</v>
      </c>
      <c r="DV290" s="2029">
        <v>45</v>
      </c>
      <c r="DW290" s="2124">
        <v>0</v>
      </c>
      <c r="DX290" s="2029">
        <v>0</v>
      </c>
      <c r="DY290" s="2029">
        <v>0</v>
      </c>
      <c r="DZ290" s="2029">
        <v>0</v>
      </c>
      <c r="EA290" s="2124">
        <v>157</v>
      </c>
      <c r="EB290" s="2029">
        <v>157</v>
      </c>
      <c r="EC290" s="2029">
        <v>157</v>
      </c>
      <c r="ED290" s="2029">
        <v>157</v>
      </c>
      <c r="EE290" s="2039">
        <f t="shared" si="168"/>
        <v>0</v>
      </c>
      <c r="EF290" s="2039">
        <f t="shared" si="168"/>
        <v>0</v>
      </c>
      <c r="EG290" s="2039">
        <f t="shared" si="168"/>
        <v>0</v>
      </c>
      <c r="EH290" s="2039">
        <f t="shared" si="167"/>
        <v>0</v>
      </c>
      <c r="EI290" s="2040">
        <f t="shared" si="165"/>
        <v>0</v>
      </c>
      <c r="EJ290" s="2040">
        <f t="shared" si="165"/>
        <v>0</v>
      </c>
      <c r="EK290" s="2040">
        <f t="shared" si="165"/>
        <v>0</v>
      </c>
      <c r="EL290" s="2040">
        <f t="shared" si="164"/>
        <v>0</v>
      </c>
      <c r="EM290" s="2040">
        <f t="shared" si="164"/>
        <v>0</v>
      </c>
      <c r="EN290" s="2040">
        <f t="shared" si="164"/>
        <v>0</v>
      </c>
      <c r="EO290" s="2040">
        <f t="shared" si="164"/>
        <v>0</v>
      </c>
      <c r="EP290" s="2040">
        <f t="shared" si="164"/>
        <v>0</v>
      </c>
      <c r="EQ290" s="2040">
        <f t="shared" si="164"/>
        <v>0</v>
      </c>
      <c r="ER290" s="2040">
        <f t="shared" si="164"/>
        <v>0</v>
      </c>
      <c r="ES290" s="2040">
        <f t="shared" si="164"/>
        <v>0</v>
      </c>
      <c r="ET290" s="2040">
        <f t="shared" si="164"/>
        <v>0</v>
      </c>
      <c r="EU290" s="2039">
        <f t="shared" si="169"/>
        <v>0</v>
      </c>
      <c r="EV290" s="2039">
        <f t="shared" si="170"/>
        <v>0</v>
      </c>
    </row>
    <row r="291" spans="1:152" x14ac:dyDescent="0.25">
      <c r="A291" s="2088" t="s">
        <v>107</v>
      </c>
      <c r="B291" s="2093" t="str">
        <f t="shared" si="146"/>
        <v>BPR13</v>
      </c>
      <c r="C291" s="1974">
        <f t="shared" si="180"/>
        <v>8</v>
      </c>
      <c r="D291" s="1974">
        <f t="shared" si="180"/>
        <v>1625</v>
      </c>
      <c r="E291" s="1974">
        <f t="shared" si="180"/>
        <v>0.22</v>
      </c>
      <c r="F291" s="1974">
        <f t="shared" si="174"/>
        <v>0</v>
      </c>
      <c r="G291" s="1974" t="s">
        <v>2997</v>
      </c>
      <c r="H291" s="1974" t="s">
        <v>2997</v>
      </c>
      <c r="I291" s="2026">
        <v>0.96199999999999997</v>
      </c>
      <c r="J291" s="2026">
        <v>0.96199999999999997</v>
      </c>
      <c r="K291" s="2026">
        <v>0.96199999999999997</v>
      </c>
      <c r="L291" s="2026">
        <v>0.96199999999999997</v>
      </c>
      <c r="M291" s="2027">
        <f t="shared" si="158"/>
        <v>1563.25</v>
      </c>
      <c r="N291" s="2027">
        <f t="shared" si="158"/>
        <v>1563.25</v>
      </c>
      <c r="O291" s="2027">
        <f t="shared" si="158"/>
        <v>1563.25</v>
      </c>
      <c r="P291" s="2027">
        <f t="shared" si="158"/>
        <v>1563.25</v>
      </c>
      <c r="Q291" s="2026">
        <v>0.96199999999999997</v>
      </c>
      <c r="R291" s="2026">
        <v>0.96199999999999997</v>
      </c>
      <c r="S291" s="2026">
        <v>0.96199999999999997</v>
      </c>
      <c r="T291" s="2026">
        <v>0.96199999999999997</v>
      </c>
      <c r="U291" s="2028">
        <f t="shared" si="159"/>
        <v>0.21163999999999999</v>
      </c>
      <c r="V291" s="2028">
        <f t="shared" si="159"/>
        <v>0.21163999999999999</v>
      </c>
      <c r="W291" s="2028">
        <f t="shared" si="159"/>
        <v>0.21163999999999999</v>
      </c>
      <c r="X291" s="2028">
        <f t="shared" si="159"/>
        <v>0.21163999999999999</v>
      </c>
      <c r="Y291" s="2026">
        <v>0.96199999999999997</v>
      </c>
      <c r="Z291" s="2026">
        <v>0.96199999999999997</v>
      </c>
      <c r="AA291" s="2026">
        <v>0.96199999999999997</v>
      </c>
      <c r="AB291" s="2026">
        <v>0.96199999999999997</v>
      </c>
      <c r="AC291" s="2027">
        <f t="shared" si="160"/>
        <v>0</v>
      </c>
      <c r="AD291" s="2027">
        <f t="shared" si="160"/>
        <v>0</v>
      </c>
      <c r="AE291" s="2027">
        <f t="shared" si="160"/>
        <v>0</v>
      </c>
      <c r="AF291" s="2027">
        <f t="shared" si="160"/>
        <v>0</v>
      </c>
      <c r="AG291" s="2027">
        <v>0</v>
      </c>
      <c r="AH291" s="2028"/>
      <c r="AI291" s="2028"/>
      <c r="AJ291" s="2028"/>
      <c r="AK291" s="2027">
        <f t="shared" si="148"/>
        <v>0</v>
      </c>
      <c r="AL291" s="2027">
        <f t="shared" si="149"/>
        <v>0</v>
      </c>
      <c r="AM291" s="2027">
        <f t="shared" si="149"/>
        <v>0</v>
      </c>
      <c r="AN291" s="2027">
        <f t="shared" si="149"/>
        <v>0</v>
      </c>
      <c r="AO291" s="2027">
        <f t="shared" si="161"/>
        <v>0</v>
      </c>
      <c r="AP291" s="2027">
        <f t="shared" si="150"/>
        <v>0</v>
      </c>
      <c r="AQ291" s="2027">
        <f t="shared" si="150"/>
        <v>0</v>
      </c>
      <c r="AR291" s="2027">
        <f t="shared" si="150"/>
        <v>0</v>
      </c>
      <c r="AS291" s="2124">
        <f t="shared" si="184"/>
        <v>45</v>
      </c>
      <c r="AT291" s="2029">
        <f t="shared" si="151"/>
        <v>45</v>
      </c>
      <c r="AU291" s="2029">
        <f t="shared" si="151"/>
        <v>45</v>
      </c>
      <c r="AV291" s="2029">
        <f t="shared" si="151"/>
        <v>45</v>
      </c>
      <c r="AW291" s="2124">
        <f t="shared" si="152"/>
        <v>0</v>
      </c>
      <c r="AX291" s="2029">
        <f t="shared" si="171"/>
        <v>0</v>
      </c>
      <c r="AY291" s="2029">
        <f t="shared" si="171"/>
        <v>0</v>
      </c>
      <c r="AZ291" s="2029">
        <f t="shared" si="171"/>
        <v>0</v>
      </c>
      <c r="BA291" s="2124">
        <f t="shared" si="183"/>
        <v>157</v>
      </c>
      <c r="BB291" s="2029">
        <f t="shared" si="183"/>
        <v>157</v>
      </c>
      <c r="BC291" s="2029">
        <f t="shared" si="183"/>
        <v>157</v>
      </c>
      <c r="BD291" s="2029">
        <f t="shared" si="183"/>
        <v>157</v>
      </c>
      <c r="BE291" s="2030">
        <f t="shared" si="155"/>
        <v>0</v>
      </c>
      <c r="BF291" s="2030">
        <f t="shared" si="155"/>
        <v>0</v>
      </c>
      <c r="BG291" s="2030">
        <f t="shared" si="155"/>
        <v>0</v>
      </c>
      <c r="BH291" s="2030">
        <f t="shared" si="155"/>
        <v>0</v>
      </c>
      <c r="BI291" s="2030">
        <f t="shared" si="156"/>
        <v>0</v>
      </c>
      <c r="BJ291" s="2030">
        <f t="shared" si="156"/>
        <v>0</v>
      </c>
      <c r="BK291" s="2030">
        <f t="shared" si="156"/>
        <v>0</v>
      </c>
      <c r="BL291" s="2030">
        <f t="shared" si="156"/>
        <v>0</v>
      </c>
      <c r="BM291" s="2125"/>
      <c r="BN291" s="2125"/>
      <c r="BO291" s="2125"/>
      <c r="BP291" s="2125"/>
      <c r="BQ291" s="2125"/>
      <c r="BR291" s="2125"/>
      <c r="BS291" s="2125"/>
      <c r="BT291" s="2125"/>
      <c r="BU291" s="2029"/>
      <c r="BV291" s="2029"/>
      <c r="BW291" s="2029"/>
      <c r="BX291" s="2029"/>
      <c r="BY291" s="2029"/>
      <c r="BZ291" s="2032"/>
      <c r="CA291" s="1974">
        <f t="shared" si="181"/>
        <v>0</v>
      </c>
      <c r="CB291" s="1974">
        <f t="shared" si="181"/>
        <v>0</v>
      </c>
      <c r="CC291" s="1974">
        <f t="shared" si="181"/>
        <v>0</v>
      </c>
      <c r="CD291" s="1974">
        <f t="shared" si="181"/>
        <v>0</v>
      </c>
      <c r="CE291" s="1974">
        <f t="shared" si="181"/>
        <v>0</v>
      </c>
      <c r="CF291" s="2033">
        <v>0</v>
      </c>
      <c r="CG291" s="2026">
        <v>0</v>
      </c>
      <c r="CH291" s="2009">
        <f t="shared" si="181"/>
        <v>0</v>
      </c>
      <c r="CI291" s="2031">
        <f t="shared" si="181"/>
        <v>0</v>
      </c>
      <c r="CJ291" s="1974">
        <f t="shared" si="181"/>
        <v>0</v>
      </c>
      <c r="CK291" s="2031">
        <f t="shared" si="181"/>
        <v>0</v>
      </c>
      <c r="CL291" s="2026">
        <v>1</v>
      </c>
      <c r="CM291" s="2026">
        <v>1</v>
      </c>
      <c r="CN291" s="2026">
        <v>1</v>
      </c>
      <c r="CO291" s="2026">
        <v>1</v>
      </c>
      <c r="CP291" s="2035"/>
      <c r="CQ291" s="2036"/>
      <c r="CR291" s="2036"/>
      <c r="CS291" s="2036"/>
      <c r="CT291" s="2036"/>
      <c r="CU291" s="2036"/>
      <c r="CW291" s="1973">
        <v>0</v>
      </c>
      <c r="CX291" s="2037">
        <v>45</v>
      </c>
      <c r="CY291" s="2037">
        <v>45</v>
      </c>
      <c r="CZ291" s="2037">
        <v>45</v>
      </c>
      <c r="DA291" s="2037">
        <v>45</v>
      </c>
      <c r="DJ291" s="1976">
        <v>45</v>
      </c>
      <c r="DK291" s="1973">
        <v>45</v>
      </c>
      <c r="DL291" s="1973">
        <v>45</v>
      </c>
      <c r="DM291" s="1973">
        <v>45</v>
      </c>
      <c r="DO291" s="1974">
        <v>8</v>
      </c>
      <c r="DP291" s="1974">
        <v>1625</v>
      </c>
      <c r="DQ291" s="1974">
        <v>0.22</v>
      </c>
      <c r="DR291" s="1974">
        <v>0</v>
      </c>
      <c r="DS291" s="2124">
        <v>45</v>
      </c>
      <c r="DT291" s="2029">
        <v>45</v>
      </c>
      <c r="DU291" s="2029">
        <v>45</v>
      </c>
      <c r="DV291" s="2029">
        <v>45</v>
      </c>
      <c r="DW291" s="2124">
        <v>0</v>
      </c>
      <c r="DX291" s="2029">
        <v>0</v>
      </c>
      <c r="DY291" s="2029">
        <v>0</v>
      </c>
      <c r="DZ291" s="2029">
        <v>0</v>
      </c>
      <c r="EA291" s="2124">
        <v>157</v>
      </c>
      <c r="EB291" s="2029">
        <v>157</v>
      </c>
      <c r="EC291" s="2029">
        <v>157</v>
      </c>
      <c r="ED291" s="2029">
        <v>157</v>
      </c>
      <c r="EE291" s="2039">
        <f t="shared" si="168"/>
        <v>0</v>
      </c>
      <c r="EF291" s="2039">
        <f t="shared" si="168"/>
        <v>0</v>
      </c>
      <c r="EG291" s="2039">
        <f t="shared" si="168"/>
        <v>0</v>
      </c>
      <c r="EH291" s="2039">
        <f t="shared" si="167"/>
        <v>0</v>
      </c>
      <c r="EI291" s="2040">
        <f t="shared" si="165"/>
        <v>0</v>
      </c>
      <c r="EJ291" s="2040">
        <f t="shared" si="165"/>
        <v>0</v>
      </c>
      <c r="EK291" s="2040">
        <f t="shared" si="165"/>
        <v>0</v>
      </c>
      <c r="EL291" s="2040">
        <f t="shared" si="164"/>
        <v>0</v>
      </c>
      <c r="EM291" s="2040">
        <f t="shared" si="164"/>
        <v>0</v>
      </c>
      <c r="EN291" s="2040">
        <f t="shared" si="164"/>
        <v>0</v>
      </c>
      <c r="EO291" s="2040">
        <f t="shared" si="164"/>
        <v>0</v>
      </c>
      <c r="EP291" s="2040">
        <f t="shared" si="164"/>
        <v>0</v>
      </c>
      <c r="EQ291" s="2040">
        <f t="shared" si="164"/>
        <v>0</v>
      </c>
      <c r="ER291" s="2040">
        <f t="shared" si="164"/>
        <v>0</v>
      </c>
      <c r="ES291" s="2040">
        <f t="shared" si="164"/>
        <v>0</v>
      </c>
      <c r="ET291" s="2040">
        <f t="shared" si="164"/>
        <v>0</v>
      </c>
      <c r="EU291" s="2039">
        <f t="shared" si="169"/>
        <v>0</v>
      </c>
      <c r="EV291" s="2039">
        <f t="shared" si="170"/>
        <v>0</v>
      </c>
    </row>
    <row r="292" spans="1:152" x14ac:dyDescent="0.25">
      <c r="A292" s="2088" t="s">
        <v>108</v>
      </c>
      <c r="B292" s="2093" t="str">
        <f t="shared" si="146"/>
        <v>BPR1</v>
      </c>
      <c r="C292" s="1974">
        <f t="shared" si="180"/>
        <v>6</v>
      </c>
      <c r="D292" s="1974">
        <f t="shared" si="180"/>
        <v>1698</v>
      </c>
      <c r="E292" s="1974">
        <f t="shared" si="180"/>
        <v>0.2</v>
      </c>
      <c r="F292" s="1974">
        <f t="shared" si="174"/>
        <v>0</v>
      </c>
      <c r="G292" s="1974" t="s">
        <v>2997</v>
      </c>
      <c r="H292" s="1974" t="s">
        <v>2997</v>
      </c>
      <c r="I292" s="2026">
        <v>0.96199999999999997</v>
      </c>
      <c r="J292" s="2026">
        <v>0.96199999999999997</v>
      </c>
      <c r="K292" s="2026">
        <v>0.96199999999999997</v>
      </c>
      <c r="L292" s="2026">
        <v>0.96199999999999997</v>
      </c>
      <c r="M292" s="2027">
        <f t="shared" si="158"/>
        <v>1633.4759999999999</v>
      </c>
      <c r="N292" s="2027">
        <f t="shared" si="158"/>
        <v>1633.4759999999999</v>
      </c>
      <c r="O292" s="2027">
        <f t="shared" si="158"/>
        <v>1633.4759999999999</v>
      </c>
      <c r="P292" s="2027">
        <f t="shared" si="158"/>
        <v>1633.4759999999999</v>
      </c>
      <c r="Q292" s="2026">
        <v>0.96199999999999997</v>
      </c>
      <c r="R292" s="2026">
        <v>0.96199999999999997</v>
      </c>
      <c r="S292" s="2026">
        <v>0.96199999999999997</v>
      </c>
      <c r="T292" s="2026">
        <v>0.96199999999999997</v>
      </c>
      <c r="U292" s="2028">
        <f t="shared" si="159"/>
        <v>0.19240000000000002</v>
      </c>
      <c r="V292" s="2028">
        <f t="shared" si="159"/>
        <v>0.19240000000000002</v>
      </c>
      <c r="W292" s="2028">
        <f t="shared" si="159"/>
        <v>0.19240000000000002</v>
      </c>
      <c r="X292" s="2028">
        <f t="shared" si="159"/>
        <v>0.19240000000000002</v>
      </c>
      <c r="Y292" s="2026">
        <v>0.96199999999999997</v>
      </c>
      <c r="Z292" s="2026">
        <v>0.96199999999999997</v>
      </c>
      <c r="AA292" s="2026">
        <v>0.96199999999999997</v>
      </c>
      <c r="AB292" s="2026">
        <v>0.96199999999999997</v>
      </c>
      <c r="AC292" s="2027">
        <f t="shared" si="160"/>
        <v>0</v>
      </c>
      <c r="AD292" s="2027">
        <f t="shared" si="160"/>
        <v>0</v>
      </c>
      <c r="AE292" s="2027">
        <f t="shared" si="160"/>
        <v>0</v>
      </c>
      <c r="AF292" s="2027">
        <f t="shared" si="160"/>
        <v>0</v>
      </c>
      <c r="AG292" s="2027">
        <v>0</v>
      </c>
      <c r="AH292" s="2028"/>
      <c r="AI292" s="2028"/>
      <c r="AJ292" s="2028"/>
      <c r="AK292" s="2027">
        <f t="shared" si="148"/>
        <v>0</v>
      </c>
      <c r="AL292" s="2027">
        <f t="shared" si="149"/>
        <v>0</v>
      </c>
      <c r="AM292" s="2027">
        <f t="shared" si="149"/>
        <v>0</v>
      </c>
      <c r="AN292" s="2027">
        <f t="shared" si="149"/>
        <v>0</v>
      </c>
      <c r="AO292" s="2027">
        <f t="shared" si="161"/>
        <v>0</v>
      </c>
      <c r="AP292" s="2027">
        <f t="shared" si="150"/>
        <v>0</v>
      </c>
      <c r="AQ292" s="2027">
        <f t="shared" si="150"/>
        <v>0</v>
      </c>
      <c r="AR292" s="2027">
        <f t="shared" si="150"/>
        <v>0</v>
      </c>
      <c r="AS292" s="2124">
        <f t="shared" si="184"/>
        <v>172.5</v>
      </c>
      <c r="AT292" s="2029">
        <f t="shared" si="151"/>
        <v>172.5</v>
      </c>
      <c r="AU292" s="2029">
        <f t="shared" si="151"/>
        <v>172.5</v>
      </c>
      <c r="AV292" s="2029">
        <f t="shared" si="151"/>
        <v>172.5</v>
      </c>
      <c r="AW292" s="2124">
        <f t="shared" si="152"/>
        <v>0</v>
      </c>
      <c r="AX292" s="2029">
        <f t="shared" si="171"/>
        <v>0</v>
      </c>
      <c r="AY292" s="2029">
        <f t="shared" si="171"/>
        <v>0</v>
      </c>
      <c r="AZ292" s="2029">
        <f t="shared" si="171"/>
        <v>0</v>
      </c>
      <c r="BA292" s="2124">
        <f t="shared" si="183"/>
        <v>286.16000000000003</v>
      </c>
      <c r="BB292" s="2029">
        <f t="shared" si="183"/>
        <v>286.16000000000003</v>
      </c>
      <c r="BC292" s="2029">
        <f t="shared" si="183"/>
        <v>286.16000000000003</v>
      </c>
      <c r="BD292" s="2029">
        <f t="shared" si="183"/>
        <v>286.16000000000003</v>
      </c>
      <c r="BE292" s="2030">
        <f t="shared" si="155"/>
        <v>0</v>
      </c>
      <c r="BF292" s="2030">
        <f t="shared" si="155"/>
        <v>0</v>
      </c>
      <c r="BG292" s="2030">
        <f t="shared" si="155"/>
        <v>0</v>
      </c>
      <c r="BH292" s="2030">
        <f t="shared" si="155"/>
        <v>0</v>
      </c>
      <c r="BI292" s="2030">
        <f t="shared" si="156"/>
        <v>0</v>
      </c>
      <c r="BJ292" s="2030">
        <f t="shared" si="156"/>
        <v>0</v>
      </c>
      <c r="BK292" s="2030">
        <f t="shared" si="156"/>
        <v>0</v>
      </c>
      <c r="BL292" s="2030">
        <f t="shared" si="156"/>
        <v>0</v>
      </c>
      <c r="BM292" s="2125"/>
      <c r="BN292" s="2125"/>
      <c r="BO292" s="2125"/>
      <c r="BP292" s="2125"/>
      <c r="BQ292" s="2125"/>
      <c r="BR292" s="2125"/>
      <c r="BS292" s="2125"/>
      <c r="BT292" s="2125"/>
      <c r="BU292" s="2029"/>
      <c r="BV292" s="2029"/>
      <c r="BW292" s="2029"/>
      <c r="BX292" s="2029"/>
      <c r="BY292" s="2029"/>
      <c r="BZ292" s="2032"/>
      <c r="CA292" s="1974">
        <f t="shared" si="181"/>
        <v>0</v>
      </c>
      <c r="CB292" s="1974">
        <f t="shared" si="181"/>
        <v>0</v>
      </c>
      <c r="CC292" s="1974">
        <f t="shared" si="181"/>
        <v>0</v>
      </c>
      <c r="CD292" s="1974">
        <f t="shared" si="181"/>
        <v>0</v>
      </c>
      <c r="CE292" s="1974">
        <f t="shared" si="181"/>
        <v>0</v>
      </c>
      <c r="CF292" s="2033">
        <v>0</v>
      </c>
      <c r="CG292" s="2026">
        <v>0</v>
      </c>
      <c r="CH292" s="2009">
        <f t="shared" si="181"/>
        <v>0</v>
      </c>
      <c r="CI292" s="2031">
        <f t="shared" si="181"/>
        <v>0</v>
      </c>
      <c r="CJ292" s="1974">
        <f t="shared" si="181"/>
        <v>0</v>
      </c>
      <c r="CK292" s="2031">
        <f t="shared" si="181"/>
        <v>0</v>
      </c>
      <c r="CL292" s="2026">
        <v>1</v>
      </c>
      <c r="CM292" s="2026">
        <v>1</v>
      </c>
      <c r="CN292" s="2026">
        <v>1</v>
      </c>
      <c r="CO292" s="2026">
        <v>1</v>
      </c>
      <c r="CP292" s="2035"/>
      <c r="CQ292" s="2036"/>
      <c r="CR292" s="2036"/>
      <c r="CS292" s="2036"/>
      <c r="CT292" s="2036"/>
      <c r="CU292" s="2036"/>
      <c r="CW292" s="1973">
        <v>0</v>
      </c>
      <c r="CX292" s="2037">
        <v>172.5</v>
      </c>
      <c r="CY292" s="2037">
        <v>172.5</v>
      </c>
      <c r="CZ292" s="2037">
        <v>172.5</v>
      </c>
      <c r="DA292" s="2037">
        <v>172.5</v>
      </c>
      <c r="DJ292" s="1976">
        <v>172.5</v>
      </c>
      <c r="DK292" s="1973">
        <v>172.5</v>
      </c>
      <c r="DL292" s="1973">
        <v>172.5</v>
      </c>
      <c r="DM292" s="1973">
        <v>172.5</v>
      </c>
      <c r="DO292" s="1974">
        <v>6</v>
      </c>
      <c r="DP292" s="1974">
        <v>1698</v>
      </c>
      <c r="DQ292" s="1974">
        <v>0.2</v>
      </c>
      <c r="DR292" s="1974">
        <v>0</v>
      </c>
      <c r="DS292" s="2124">
        <v>172.5</v>
      </c>
      <c r="DT292" s="2029">
        <v>172.5</v>
      </c>
      <c r="DU292" s="2029">
        <v>172.5</v>
      </c>
      <c r="DV292" s="2029">
        <v>172.5</v>
      </c>
      <c r="DW292" s="2124">
        <v>0</v>
      </c>
      <c r="DX292" s="2029">
        <v>0</v>
      </c>
      <c r="DY292" s="2029">
        <v>0</v>
      </c>
      <c r="DZ292" s="2029">
        <v>0</v>
      </c>
      <c r="EA292" s="2124">
        <v>286.16000000000003</v>
      </c>
      <c r="EB292" s="2029">
        <v>286.16000000000003</v>
      </c>
      <c r="EC292" s="2029">
        <v>286.16000000000003</v>
      </c>
      <c r="ED292" s="2029">
        <v>286.16000000000003</v>
      </c>
      <c r="EE292" s="2039">
        <f t="shared" si="168"/>
        <v>0</v>
      </c>
      <c r="EF292" s="2039">
        <f t="shared" si="168"/>
        <v>0</v>
      </c>
      <c r="EG292" s="2039">
        <f t="shared" si="168"/>
        <v>0</v>
      </c>
      <c r="EH292" s="2039">
        <f t="shared" si="167"/>
        <v>0</v>
      </c>
      <c r="EI292" s="2040">
        <f t="shared" si="165"/>
        <v>0</v>
      </c>
      <c r="EJ292" s="2040">
        <f t="shared" si="165"/>
        <v>0</v>
      </c>
      <c r="EK292" s="2040">
        <f t="shared" si="165"/>
        <v>0</v>
      </c>
      <c r="EL292" s="2040">
        <f t="shared" si="164"/>
        <v>0</v>
      </c>
      <c r="EM292" s="2040">
        <f t="shared" si="164"/>
        <v>0</v>
      </c>
      <c r="EN292" s="2040">
        <f t="shared" si="164"/>
        <v>0</v>
      </c>
      <c r="EO292" s="2040">
        <f t="shared" si="164"/>
        <v>0</v>
      </c>
      <c r="EP292" s="2040">
        <f t="shared" si="164"/>
        <v>0</v>
      </c>
      <c r="EQ292" s="2040">
        <f t="shared" si="164"/>
        <v>0</v>
      </c>
      <c r="ER292" s="2040">
        <f t="shared" si="164"/>
        <v>0</v>
      </c>
      <c r="ES292" s="2040">
        <f t="shared" si="164"/>
        <v>0</v>
      </c>
      <c r="ET292" s="2040">
        <f t="shared" si="164"/>
        <v>0</v>
      </c>
      <c r="EU292" s="2039">
        <f t="shared" si="169"/>
        <v>0</v>
      </c>
      <c r="EV292" s="2039">
        <f t="shared" si="170"/>
        <v>0</v>
      </c>
    </row>
    <row r="293" spans="1:152" x14ac:dyDescent="0.25">
      <c r="A293" s="2088"/>
      <c r="B293" s="2093" t="str">
        <f t="shared" si="146"/>
        <v/>
      </c>
      <c r="C293" s="1974">
        <f t="shared" si="180"/>
        <v>0</v>
      </c>
      <c r="D293" s="1974">
        <f t="shared" si="180"/>
        <v>0</v>
      </c>
      <c r="E293" s="1974">
        <f t="shared" si="180"/>
        <v>0</v>
      </c>
      <c r="F293" s="1974">
        <f t="shared" si="174"/>
        <v>0</v>
      </c>
      <c r="G293" s="1974" t="s">
        <v>2997</v>
      </c>
      <c r="H293" s="1974" t="s">
        <v>2997</v>
      </c>
      <c r="I293" s="2026">
        <v>0.96199999999999997</v>
      </c>
      <c r="J293" s="2026">
        <v>0.96199999999999997</v>
      </c>
      <c r="K293" s="2026">
        <v>0.96199999999999997</v>
      </c>
      <c r="L293" s="2026">
        <v>0.96199999999999997</v>
      </c>
      <c r="M293" s="2027">
        <f t="shared" si="158"/>
        <v>0</v>
      </c>
      <c r="N293" s="2027">
        <f t="shared" si="158"/>
        <v>0</v>
      </c>
      <c r="O293" s="2027">
        <f t="shared" si="158"/>
        <v>0</v>
      </c>
      <c r="P293" s="2027">
        <f t="shared" si="158"/>
        <v>0</v>
      </c>
      <c r="Q293" s="2026">
        <v>0.96199999999999997</v>
      </c>
      <c r="R293" s="2026">
        <v>0.96199999999999997</v>
      </c>
      <c r="S293" s="2026">
        <v>0.96199999999999997</v>
      </c>
      <c r="T293" s="2026">
        <v>0.96199999999999997</v>
      </c>
      <c r="U293" s="2028">
        <f t="shared" si="159"/>
        <v>0</v>
      </c>
      <c r="V293" s="2028">
        <f t="shared" si="159"/>
        <v>0</v>
      </c>
      <c r="W293" s="2028">
        <f t="shared" si="159"/>
        <v>0</v>
      </c>
      <c r="X293" s="2028">
        <f t="shared" si="159"/>
        <v>0</v>
      </c>
      <c r="Y293" s="2026">
        <v>0.96199999999999997</v>
      </c>
      <c r="Z293" s="2026">
        <v>0.96199999999999997</v>
      </c>
      <c r="AA293" s="2026">
        <v>0.96199999999999997</v>
      </c>
      <c r="AB293" s="2026">
        <v>0.96199999999999997</v>
      </c>
      <c r="AC293" s="2027">
        <f t="shared" si="160"/>
        <v>0</v>
      </c>
      <c r="AD293" s="2027">
        <f t="shared" si="160"/>
        <v>0</v>
      </c>
      <c r="AE293" s="2027">
        <f t="shared" si="160"/>
        <v>0</v>
      </c>
      <c r="AF293" s="2027">
        <f t="shared" si="160"/>
        <v>0</v>
      </c>
      <c r="AG293" s="2027">
        <v>0</v>
      </c>
      <c r="AH293" s="2028"/>
      <c r="AI293" s="2028"/>
      <c r="AJ293" s="2028"/>
      <c r="AK293" s="2027">
        <f t="shared" si="148"/>
        <v>0</v>
      </c>
      <c r="AL293" s="2027">
        <f t="shared" si="149"/>
        <v>0</v>
      </c>
      <c r="AM293" s="2027">
        <f t="shared" si="149"/>
        <v>0</v>
      </c>
      <c r="AN293" s="2027">
        <f t="shared" si="149"/>
        <v>0</v>
      </c>
      <c r="AO293" s="2027">
        <f t="shared" si="161"/>
        <v>0</v>
      </c>
      <c r="AP293" s="2027">
        <f t="shared" si="150"/>
        <v>0</v>
      </c>
      <c r="AQ293" s="2027">
        <f t="shared" si="150"/>
        <v>0</v>
      </c>
      <c r="AR293" s="2027">
        <f t="shared" si="150"/>
        <v>0</v>
      </c>
      <c r="AS293" s="2124">
        <f t="shared" si="184"/>
        <v>0</v>
      </c>
      <c r="AT293" s="2029">
        <f t="shared" si="151"/>
        <v>0</v>
      </c>
      <c r="AU293" s="2029">
        <f t="shared" si="151"/>
        <v>0</v>
      </c>
      <c r="AV293" s="2029">
        <f t="shared" si="151"/>
        <v>0</v>
      </c>
      <c r="AW293" s="2124">
        <f t="shared" si="152"/>
        <v>0</v>
      </c>
      <c r="AX293" s="2029">
        <f t="shared" si="171"/>
        <v>0</v>
      </c>
      <c r="AY293" s="2029">
        <f t="shared" si="171"/>
        <v>0</v>
      </c>
      <c r="AZ293" s="2029">
        <f t="shared" si="171"/>
        <v>0</v>
      </c>
      <c r="BA293" s="2124">
        <f t="shared" si="183"/>
        <v>0</v>
      </c>
      <c r="BB293" s="2029">
        <f t="shared" si="183"/>
        <v>0</v>
      </c>
      <c r="BC293" s="2029">
        <f t="shared" si="183"/>
        <v>0</v>
      </c>
      <c r="BD293" s="2029">
        <f t="shared" si="183"/>
        <v>0</v>
      </c>
      <c r="BE293" s="2030">
        <f t="shared" si="155"/>
        <v>0</v>
      </c>
      <c r="BF293" s="2030">
        <f t="shared" si="155"/>
        <v>0</v>
      </c>
      <c r="BG293" s="2030">
        <f t="shared" si="155"/>
        <v>0</v>
      </c>
      <c r="BH293" s="2030">
        <f t="shared" si="155"/>
        <v>0</v>
      </c>
      <c r="BI293" s="2030">
        <f t="shared" si="156"/>
        <v>0</v>
      </c>
      <c r="BJ293" s="2030">
        <f t="shared" si="156"/>
        <v>0</v>
      </c>
      <c r="BK293" s="2030">
        <f t="shared" si="156"/>
        <v>0</v>
      </c>
      <c r="BL293" s="2030">
        <f t="shared" si="156"/>
        <v>0</v>
      </c>
      <c r="BM293" s="2125"/>
      <c r="BN293" s="2125"/>
      <c r="BO293" s="2125"/>
      <c r="BP293" s="2125"/>
      <c r="BQ293" s="2125"/>
      <c r="BR293" s="2125"/>
      <c r="BS293" s="2125"/>
      <c r="BT293" s="2125"/>
      <c r="BU293" s="2029"/>
      <c r="BV293" s="2029"/>
      <c r="BW293" s="2029"/>
      <c r="BX293" s="2029"/>
      <c r="BY293" s="2029"/>
      <c r="BZ293" s="2032"/>
      <c r="CA293" s="1974">
        <f t="shared" si="181"/>
        <v>0</v>
      </c>
      <c r="CB293" s="1974">
        <f t="shared" si="181"/>
        <v>0</v>
      </c>
      <c r="CC293" s="1974">
        <f t="shared" si="181"/>
        <v>0</v>
      </c>
      <c r="CD293" s="1974">
        <f t="shared" si="181"/>
        <v>0</v>
      </c>
      <c r="CE293" s="1974">
        <f t="shared" si="181"/>
        <v>0</v>
      </c>
      <c r="CF293" s="2033">
        <v>0</v>
      </c>
      <c r="CG293" s="2026">
        <v>0</v>
      </c>
      <c r="CH293" s="2009">
        <f t="shared" si="181"/>
        <v>0</v>
      </c>
      <c r="CI293" s="2031">
        <f t="shared" si="181"/>
        <v>0</v>
      </c>
      <c r="CJ293" s="1974">
        <f t="shared" si="181"/>
        <v>0</v>
      </c>
      <c r="CK293" s="2031">
        <f t="shared" si="181"/>
        <v>0</v>
      </c>
      <c r="CL293" s="2026">
        <v>1</v>
      </c>
      <c r="CM293" s="2026">
        <v>1</v>
      </c>
      <c r="CN293" s="2026">
        <v>1</v>
      </c>
      <c r="CO293" s="2026">
        <v>1</v>
      </c>
      <c r="CP293" s="2035"/>
      <c r="CQ293" s="2036"/>
      <c r="CR293" s="2036"/>
      <c r="CS293" s="2036"/>
      <c r="CT293" s="2036"/>
      <c r="CU293" s="2036"/>
      <c r="CX293" s="2037">
        <v>0</v>
      </c>
      <c r="CY293" s="2037">
        <v>0</v>
      </c>
      <c r="CZ293" s="2037">
        <v>0</v>
      </c>
      <c r="DA293" s="2037">
        <v>0</v>
      </c>
      <c r="DJ293" s="1976">
        <v>0</v>
      </c>
      <c r="DK293" s="1973">
        <v>0</v>
      </c>
      <c r="DL293" s="1973">
        <v>0</v>
      </c>
      <c r="DM293" s="1973">
        <v>0</v>
      </c>
      <c r="DO293" s="1974">
        <v>0</v>
      </c>
      <c r="DP293" s="1974">
        <v>0</v>
      </c>
      <c r="DQ293" s="1974">
        <v>0</v>
      </c>
      <c r="DR293" s="1974">
        <v>0</v>
      </c>
      <c r="DS293" s="2124">
        <v>0</v>
      </c>
      <c r="DT293" s="2029">
        <v>0</v>
      </c>
      <c r="DU293" s="2029">
        <v>0</v>
      </c>
      <c r="DV293" s="2029">
        <v>0</v>
      </c>
      <c r="DW293" s="2124">
        <v>0</v>
      </c>
      <c r="DX293" s="2029">
        <v>0</v>
      </c>
      <c r="DY293" s="2029">
        <v>0</v>
      </c>
      <c r="DZ293" s="2029">
        <v>0</v>
      </c>
      <c r="EA293" s="2124">
        <v>0</v>
      </c>
      <c r="EB293" s="2029">
        <v>0</v>
      </c>
      <c r="EC293" s="2029">
        <v>0</v>
      </c>
      <c r="ED293" s="2029">
        <v>0</v>
      </c>
      <c r="EE293" s="2039">
        <f t="shared" si="168"/>
        <v>0</v>
      </c>
      <c r="EF293" s="2039">
        <f t="shared" si="168"/>
        <v>0</v>
      </c>
      <c r="EG293" s="2039">
        <f t="shared" si="168"/>
        <v>0</v>
      </c>
      <c r="EH293" s="2039">
        <f t="shared" si="167"/>
        <v>0</v>
      </c>
      <c r="EI293" s="2040">
        <f t="shared" si="165"/>
        <v>0</v>
      </c>
      <c r="EJ293" s="2040">
        <f t="shared" si="165"/>
        <v>0</v>
      </c>
      <c r="EK293" s="2040">
        <f t="shared" si="165"/>
        <v>0</v>
      </c>
      <c r="EL293" s="2040">
        <f t="shared" si="164"/>
        <v>0</v>
      </c>
      <c r="EM293" s="2040">
        <f t="shared" si="164"/>
        <v>0</v>
      </c>
      <c r="EN293" s="2040">
        <f t="shared" si="164"/>
        <v>0</v>
      </c>
      <c r="EO293" s="2040">
        <f t="shared" si="164"/>
        <v>0</v>
      </c>
      <c r="EP293" s="2040">
        <f t="shared" si="164"/>
        <v>0</v>
      </c>
      <c r="EQ293" s="2040">
        <f t="shared" si="164"/>
        <v>0</v>
      </c>
      <c r="ER293" s="2040">
        <f t="shared" si="164"/>
        <v>0</v>
      </c>
      <c r="ES293" s="2040">
        <f t="shared" si="164"/>
        <v>0</v>
      </c>
      <c r="ET293" s="2040">
        <f t="shared" si="164"/>
        <v>0</v>
      </c>
      <c r="EU293" s="2039">
        <f t="shared" si="169"/>
        <v>0</v>
      </c>
      <c r="EV293" s="2039">
        <f t="shared" si="170"/>
        <v>0</v>
      </c>
    </row>
    <row r="294" spans="1:152" x14ac:dyDescent="0.25">
      <c r="A294" s="2088" t="s">
        <v>109</v>
      </c>
      <c r="B294" s="2093" t="str">
        <f t="shared" si="146"/>
        <v>BPR31</v>
      </c>
      <c r="C294" s="1974">
        <f t="shared" si="180"/>
        <v>12</v>
      </c>
      <c r="D294" s="1974">
        <f t="shared" si="180"/>
        <v>3871.6500000000005</v>
      </c>
      <c r="E294" s="1974">
        <f t="shared" si="180"/>
        <v>0.41412511986301376</v>
      </c>
      <c r="F294" s="1974">
        <f t="shared" si="174"/>
        <v>0</v>
      </c>
      <c r="G294" s="1974" t="s">
        <v>2997</v>
      </c>
      <c r="H294" s="1974" t="s">
        <v>2997</v>
      </c>
      <c r="I294" s="2026">
        <v>0.96199999999999997</v>
      </c>
      <c r="J294" s="2026">
        <v>0.96199999999999997</v>
      </c>
      <c r="K294" s="2026">
        <v>0.96199999999999997</v>
      </c>
      <c r="L294" s="2026">
        <v>0.96199999999999997</v>
      </c>
      <c r="M294" s="2027">
        <f t="shared" si="158"/>
        <v>3724.5273000000002</v>
      </c>
      <c r="N294" s="2027">
        <f t="shared" si="158"/>
        <v>3724.5273000000002</v>
      </c>
      <c r="O294" s="2027">
        <f t="shared" si="158"/>
        <v>3724.5273000000002</v>
      </c>
      <c r="P294" s="2027">
        <f t="shared" si="158"/>
        <v>3724.5273000000002</v>
      </c>
      <c r="Q294" s="2026">
        <v>0.96199999999999997</v>
      </c>
      <c r="R294" s="2026">
        <v>0.96199999999999997</v>
      </c>
      <c r="S294" s="2026">
        <v>0.96199999999999997</v>
      </c>
      <c r="T294" s="2026">
        <v>0.96199999999999997</v>
      </c>
      <c r="U294" s="2028">
        <f t="shared" si="159"/>
        <v>0.39838836530821919</v>
      </c>
      <c r="V294" s="2028">
        <f t="shared" si="159"/>
        <v>0.39838836530821919</v>
      </c>
      <c r="W294" s="2028">
        <f t="shared" si="159"/>
        <v>0.39838836530821919</v>
      </c>
      <c r="X294" s="2028">
        <f t="shared" si="159"/>
        <v>0.39838836530821919</v>
      </c>
      <c r="Y294" s="2026">
        <v>0.96199999999999997</v>
      </c>
      <c r="Z294" s="2026">
        <v>0.96199999999999997</v>
      </c>
      <c r="AA294" s="2026">
        <v>0.96199999999999997</v>
      </c>
      <c r="AB294" s="2026">
        <v>0.96199999999999997</v>
      </c>
      <c r="AC294" s="2027">
        <f t="shared" si="160"/>
        <v>0</v>
      </c>
      <c r="AD294" s="2027">
        <f t="shared" si="160"/>
        <v>0</v>
      </c>
      <c r="AE294" s="2027">
        <f t="shared" si="160"/>
        <v>0</v>
      </c>
      <c r="AF294" s="2027">
        <f t="shared" si="160"/>
        <v>0</v>
      </c>
      <c r="AG294" s="2027">
        <v>0</v>
      </c>
      <c r="AH294" s="2028"/>
      <c r="AI294" s="2028"/>
      <c r="AJ294" s="2028"/>
      <c r="AK294" s="2027">
        <f t="shared" si="148"/>
        <v>0</v>
      </c>
      <c r="AL294" s="2027">
        <f t="shared" si="149"/>
        <v>0</v>
      </c>
      <c r="AM294" s="2027">
        <f t="shared" si="149"/>
        <v>0</v>
      </c>
      <c r="AN294" s="2027">
        <f t="shared" si="149"/>
        <v>0</v>
      </c>
      <c r="AO294" s="2027">
        <f t="shared" si="161"/>
        <v>0</v>
      </c>
      <c r="AP294" s="2027">
        <f t="shared" si="150"/>
        <v>0</v>
      </c>
      <c r="AQ294" s="2027">
        <f t="shared" si="150"/>
        <v>0</v>
      </c>
      <c r="AR294" s="2027">
        <f t="shared" si="150"/>
        <v>0</v>
      </c>
      <c r="AS294" s="2124">
        <f t="shared" si="184"/>
        <v>150</v>
      </c>
      <c r="AT294" s="2029">
        <f t="shared" si="151"/>
        <v>150</v>
      </c>
      <c r="AU294" s="2029">
        <f t="shared" si="151"/>
        <v>150</v>
      </c>
      <c r="AV294" s="2029">
        <f t="shared" si="151"/>
        <v>150</v>
      </c>
      <c r="AW294" s="2124">
        <f t="shared" si="152"/>
        <v>0</v>
      </c>
      <c r="AX294" s="2029">
        <f t="shared" si="171"/>
        <v>0</v>
      </c>
      <c r="AY294" s="2029">
        <f t="shared" si="171"/>
        <v>0</v>
      </c>
      <c r="AZ294" s="2029">
        <f t="shared" si="171"/>
        <v>0</v>
      </c>
      <c r="BA294" s="2124">
        <f t="shared" si="183"/>
        <v>166</v>
      </c>
      <c r="BB294" s="2029">
        <f t="shared" si="183"/>
        <v>166</v>
      </c>
      <c r="BC294" s="2029">
        <f t="shared" si="183"/>
        <v>166</v>
      </c>
      <c r="BD294" s="2029">
        <f t="shared" si="183"/>
        <v>166</v>
      </c>
      <c r="BE294" s="2030">
        <f t="shared" si="155"/>
        <v>0</v>
      </c>
      <c r="BF294" s="2030">
        <f t="shared" si="155"/>
        <v>0</v>
      </c>
      <c r="BG294" s="2030">
        <f t="shared" si="155"/>
        <v>0</v>
      </c>
      <c r="BH294" s="2030">
        <f t="shared" si="155"/>
        <v>0</v>
      </c>
      <c r="BI294" s="2030">
        <f t="shared" si="156"/>
        <v>0</v>
      </c>
      <c r="BJ294" s="2030">
        <f t="shared" si="156"/>
        <v>0</v>
      </c>
      <c r="BK294" s="2030">
        <f t="shared" si="156"/>
        <v>0</v>
      </c>
      <c r="BL294" s="2030">
        <f t="shared" si="156"/>
        <v>0</v>
      </c>
      <c r="BM294" s="2125"/>
      <c r="BN294" s="2125"/>
      <c r="BO294" s="2125"/>
      <c r="BP294" s="2125"/>
      <c r="BQ294" s="2125"/>
      <c r="BR294" s="2125"/>
      <c r="BS294" s="2125"/>
      <c r="BT294" s="2125"/>
      <c r="BU294" s="2029"/>
      <c r="BV294" s="2029"/>
      <c r="BW294" s="2029"/>
      <c r="BX294" s="2029"/>
      <c r="BY294" s="2029"/>
      <c r="BZ294" s="2032"/>
      <c r="CA294" s="1974">
        <f t="shared" si="181"/>
        <v>0</v>
      </c>
      <c r="CB294" s="1974">
        <f t="shared" si="181"/>
        <v>0</v>
      </c>
      <c r="CC294" s="1974">
        <f t="shared" si="181"/>
        <v>0</v>
      </c>
      <c r="CD294" s="1974">
        <f t="shared" si="181"/>
        <v>0</v>
      </c>
      <c r="CE294" s="1974">
        <f t="shared" si="181"/>
        <v>0</v>
      </c>
      <c r="CF294" s="2033">
        <v>0</v>
      </c>
      <c r="CG294" s="2026">
        <v>0</v>
      </c>
      <c r="CH294" s="2009">
        <f t="shared" si="181"/>
        <v>0</v>
      </c>
      <c r="CI294" s="2031">
        <f t="shared" si="181"/>
        <v>0</v>
      </c>
      <c r="CJ294" s="1974">
        <f t="shared" si="181"/>
        <v>0</v>
      </c>
      <c r="CK294" s="2031">
        <f t="shared" si="181"/>
        <v>0</v>
      </c>
      <c r="CL294" s="2026">
        <v>1</v>
      </c>
      <c r="CM294" s="2026">
        <v>1</v>
      </c>
      <c r="CN294" s="2026">
        <v>1</v>
      </c>
      <c r="CO294" s="2026">
        <v>1</v>
      </c>
      <c r="CP294" s="2035"/>
      <c r="CQ294" s="2036"/>
      <c r="CR294" s="2036"/>
      <c r="CS294" s="2036"/>
      <c r="CT294" s="2036"/>
      <c r="CU294" s="2036"/>
      <c r="CW294" s="1973">
        <v>0</v>
      </c>
      <c r="CX294" s="2037">
        <v>150</v>
      </c>
      <c r="CY294" s="2037">
        <v>150</v>
      </c>
      <c r="CZ294" s="2037">
        <v>150</v>
      </c>
      <c r="DA294" s="2037">
        <v>150</v>
      </c>
      <c r="DJ294" s="1976">
        <v>150</v>
      </c>
      <c r="DK294" s="1973">
        <v>150</v>
      </c>
      <c r="DL294" s="1973">
        <v>150</v>
      </c>
      <c r="DM294" s="1973">
        <v>150</v>
      </c>
      <c r="DO294" s="1974">
        <v>12</v>
      </c>
      <c r="DP294" s="1974">
        <v>3871.6500000000005</v>
      </c>
      <c r="DQ294" s="1974">
        <v>0.41412511986301376</v>
      </c>
      <c r="DR294" s="1974">
        <v>0</v>
      </c>
      <c r="DS294" s="2124">
        <v>150</v>
      </c>
      <c r="DT294" s="2029">
        <v>150</v>
      </c>
      <c r="DU294" s="2029">
        <v>150</v>
      </c>
      <c r="DV294" s="2029">
        <v>150</v>
      </c>
      <c r="DW294" s="2124">
        <v>0</v>
      </c>
      <c r="DX294" s="2029">
        <v>0</v>
      </c>
      <c r="DY294" s="2029">
        <v>0</v>
      </c>
      <c r="DZ294" s="2029">
        <v>0</v>
      </c>
      <c r="EA294" s="2124">
        <v>166</v>
      </c>
      <c r="EB294" s="2029">
        <v>166</v>
      </c>
      <c r="EC294" s="2029">
        <v>166</v>
      </c>
      <c r="ED294" s="2029">
        <v>166</v>
      </c>
      <c r="EE294" s="2039">
        <f t="shared" si="168"/>
        <v>0</v>
      </c>
      <c r="EF294" s="2039">
        <f t="shared" si="168"/>
        <v>0</v>
      </c>
      <c r="EG294" s="2039">
        <f t="shared" si="168"/>
        <v>0</v>
      </c>
      <c r="EH294" s="2039">
        <f t="shared" si="167"/>
        <v>0</v>
      </c>
      <c r="EI294" s="2040">
        <f t="shared" si="165"/>
        <v>0</v>
      </c>
      <c r="EJ294" s="2040">
        <f t="shared" si="165"/>
        <v>0</v>
      </c>
      <c r="EK294" s="2040">
        <f t="shared" si="165"/>
        <v>0</v>
      </c>
      <c r="EL294" s="2040">
        <f t="shared" si="164"/>
        <v>0</v>
      </c>
      <c r="EM294" s="2040">
        <f t="shared" si="164"/>
        <v>0</v>
      </c>
      <c r="EN294" s="2040">
        <f t="shared" si="164"/>
        <v>0</v>
      </c>
      <c r="EO294" s="2040">
        <f t="shared" si="164"/>
        <v>0</v>
      </c>
      <c r="EP294" s="2040">
        <f t="shared" si="164"/>
        <v>0</v>
      </c>
      <c r="EQ294" s="2040">
        <f t="shared" si="164"/>
        <v>0</v>
      </c>
      <c r="ER294" s="2040">
        <f t="shared" ref="ER294:ET357" si="185">BB294-EB294</f>
        <v>0</v>
      </c>
      <c r="ES294" s="2040">
        <f t="shared" si="185"/>
        <v>0</v>
      </c>
      <c r="ET294" s="2040">
        <f t="shared" si="185"/>
        <v>0</v>
      </c>
      <c r="EU294" s="2039">
        <f t="shared" si="169"/>
        <v>0</v>
      </c>
      <c r="EV294" s="2039">
        <f t="shared" si="170"/>
        <v>0</v>
      </c>
    </row>
    <row r="295" spans="1:152" x14ac:dyDescent="0.25">
      <c r="A295" s="2088" t="s">
        <v>110</v>
      </c>
      <c r="B295" s="2093" t="str">
        <f t="shared" si="146"/>
        <v>BPR32</v>
      </c>
      <c r="C295" s="1974">
        <f t="shared" si="180"/>
        <v>12</v>
      </c>
      <c r="D295" s="1974">
        <f t="shared" si="180"/>
        <v>7341.5250000000005</v>
      </c>
      <c r="E295" s="1974">
        <f t="shared" si="180"/>
        <v>0.78527499143835622</v>
      </c>
      <c r="F295" s="1974">
        <f t="shared" si="174"/>
        <v>0</v>
      </c>
      <c r="G295" s="1974" t="s">
        <v>2997</v>
      </c>
      <c r="H295" s="1974" t="s">
        <v>2997</v>
      </c>
      <c r="I295" s="2026">
        <v>0.96199999999999997</v>
      </c>
      <c r="J295" s="2026">
        <v>0.96199999999999997</v>
      </c>
      <c r="K295" s="2026">
        <v>0.96199999999999997</v>
      </c>
      <c r="L295" s="2026">
        <v>0.96199999999999997</v>
      </c>
      <c r="M295" s="2027">
        <f t="shared" si="158"/>
        <v>7062.5470500000001</v>
      </c>
      <c r="N295" s="2027">
        <f t="shared" si="158"/>
        <v>7062.5470500000001</v>
      </c>
      <c r="O295" s="2027">
        <f t="shared" si="158"/>
        <v>7062.5470500000001</v>
      </c>
      <c r="P295" s="2027">
        <f t="shared" si="158"/>
        <v>7062.5470500000001</v>
      </c>
      <c r="Q295" s="2026">
        <v>0.96199999999999997</v>
      </c>
      <c r="R295" s="2026">
        <v>0.96199999999999997</v>
      </c>
      <c r="S295" s="2026">
        <v>0.96199999999999997</v>
      </c>
      <c r="T295" s="2026">
        <v>0.96199999999999997</v>
      </c>
      <c r="U295" s="2028">
        <f t="shared" si="159"/>
        <v>0.75543454176369862</v>
      </c>
      <c r="V295" s="2028">
        <f t="shared" si="159"/>
        <v>0.75543454176369862</v>
      </c>
      <c r="W295" s="2028">
        <f t="shared" si="159"/>
        <v>0.75543454176369862</v>
      </c>
      <c r="X295" s="2028">
        <f t="shared" si="159"/>
        <v>0.75543454176369862</v>
      </c>
      <c r="Y295" s="2026">
        <v>0.96199999999999997</v>
      </c>
      <c r="Z295" s="2026">
        <v>0.96199999999999997</v>
      </c>
      <c r="AA295" s="2026">
        <v>0.96199999999999997</v>
      </c>
      <c r="AB295" s="2026">
        <v>0.96199999999999997</v>
      </c>
      <c r="AC295" s="2027">
        <f t="shared" si="160"/>
        <v>0</v>
      </c>
      <c r="AD295" s="2027">
        <f t="shared" si="160"/>
        <v>0</v>
      </c>
      <c r="AE295" s="2027">
        <f t="shared" si="160"/>
        <v>0</v>
      </c>
      <c r="AF295" s="2027">
        <f t="shared" si="160"/>
        <v>0</v>
      </c>
      <c r="AG295" s="2027">
        <v>0</v>
      </c>
      <c r="AH295" s="2028"/>
      <c r="AI295" s="2028"/>
      <c r="AJ295" s="2028"/>
      <c r="AK295" s="2027">
        <f t="shared" si="148"/>
        <v>0</v>
      </c>
      <c r="AL295" s="2027">
        <f t="shared" si="149"/>
        <v>0</v>
      </c>
      <c r="AM295" s="2027">
        <f t="shared" si="149"/>
        <v>0</v>
      </c>
      <c r="AN295" s="2027">
        <f t="shared" si="149"/>
        <v>0</v>
      </c>
      <c r="AO295" s="2027">
        <f t="shared" si="161"/>
        <v>0</v>
      </c>
      <c r="AP295" s="2027">
        <f t="shared" si="150"/>
        <v>0</v>
      </c>
      <c r="AQ295" s="2027">
        <f t="shared" si="150"/>
        <v>0</v>
      </c>
      <c r="AR295" s="2027">
        <f t="shared" si="150"/>
        <v>0</v>
      </c>
      <c r="AS295" s="2124">
        <f t="shared" si="184"/>
        <v>300</v>
      </c>
      <c r="AT295" s="2029">
        <f t="shared" si="151"/>
        <v>300</v>
      </c>
      <c r="AU295" s="2029">
        <f t="shared" si="151"/>
        <v>300</v>
      </c>
      <c r="AV295" s="2029">
        <f t="shared" si="151"/>
        <v>300</v>
      </c>
      <c r="AW295" s="2124">
        <f t="shared" si="152"/>
        <v>0</v>
      </c>
      <c r="AX295" s="2029">
        <f t="shared" si="171"/>
        <v>0</v>
      </c>
      <c r="AY295" s="2029">
        <f t="shared" si="171"/>
        <v>0</v>
      </c>
      <c r="AZ295" s="2029">
        <f t="shared" si="171"/>
        <v>0</v>
      </c>
      <c r="BA295" s="2124">
        <f t="shared" si="183"/>
        <v>407</v>
      </c>
      <c r="BB295" s="2029">
        <f t="shared" si="183"/>
        <v>407</v>
      </c>
      <c r="BC295" s="2029">
        <f t="shared" si="183"/>
        <v>407</v>
      </c>
      <c r="BD295" s="2029">
        <f t="shared" si="183"/>
        <v>407</v>
      </c>
      <c r="BE295" s="2030">
        <f t="shared" si="155"/>
        <v>0</v>
      </c>
      <c r="BF295" s="2030">
        <f t="shared" si="155"/>
        <v>0</v>
      </c>
      <c r="BG295" s="2030">
        <f t="shared" si="155"/>
        <v>0</v>
      </c>
      <c r="BH295" s="2030">
        <f t="shared" si="155"/>
        <v>0</v>
      </c>
      <c r="BI295" s="2030">
        <f t="shared" si="156"/>
        <v>0</v>
      </c>
      <c r="BJ295" s="2030">
        <f t="shared" si="156"/>
        <v>0</v>
      </c>
      <c r="BK295" s="2030">
        <f t="shared" si="156"/>
        <v>0</v>
      </c>
      <c r="BL295" s="2030">
        <f t="shared" si="156"/>
        <v>0</v>
      </c>
      <c r="BM295" s="2125"/>
      <c r="BN295" s="2125"/>
      <c r="BO295" s="2125"/>
      <c r="BP295" s="2125"/>
      <c r="BQ295" s="2125"/>
      <c r="BR295" s="2125"/>
      <c r="BS295" s="2125"/>
      <c r="BT295" s="2125"/>
      <c r="BU295" s="2029"/>
      <c r="BV295" s="2029"/>
      <c r="BW295" s="2029"/>
      <c r="BX295" s="2029"/>
      <c r="BY295" s="2029"/>
      <c r="BZ295" s="2032"/>
      <c r="CA295" s="1974">
        <f t="shared" si="181"/>
        <v>0</v>
      </c>
      <c r="CB295" s="1974">
        <f t="shared" si="181"/>
        <v>0</v>
      </c>
      <c r="CC295" s="1974">
        <f t="shared" si="181"/>
        <v>0</v>
      </c>
      <c r="CD295" s="1974">
        <f t="shared" si="181"/>
        <v>0</v>
      </c>
      <c r="CE295" s="1974">
        <f t="shared" si="181"/>
        <v>0</v>
      </c>
      <c r="CF295" s="2033">
        <v>0</v>
      </c>
      <c r="CG295" s="2026">
        <v>0</v>
      </c>
      <c r="CH295" s="2009">
        <f t="shared" si="181"/>
        <v>0</v>
      </c>
      <c r="CI295" s="2031">
        <f t="shared" si="181"/>
        <v>0</v>
      </c>
      <c r="CJ295" s="1974">
        <f t="shared" si="181"/>
        <v>0</v>
      </c>
      <c r="CK295" s="2031">
        <f t="shared" si="181"/>
        <v>0</v>
      </c>
      <c r="CL295" s="2026">
        <v>1</v>
      </c>
      <c r="CM295" s="2026">
        <v>1</v>
      </c>
      <c r="CN295" s="2026">
        <v>1</v>
      </c>
      <c r="CO295" s="2026">
        <v>1</v>
      </c>
      <c r="CP295" s="2035"/>
      <c r="CQ295" s="2036"/>
      <c r="CR295" s="2036"/>
      <c r="CS295" s="2036"/>
      <c r="CT295" s="2036"/>
      <c r="CU295" s="2036"/>
      <c r="CW295" s="1973">
        <v>0</v>
      </c>
      <c r="CX295" s="2037">
        <v>300</v>
      </c>
      <c r="CY295" s="2037">
        <v>300</v>
      </c>
      <c r="CZ295" s="2037">
        <v>300</v>
      </c>
      <c r="DA295" s="2037">
        <v>300</v>
      </c>
      <c r="DJ295" s="1976">
        <v>300</v>
      </c>
      <c r="DK295" s="1973">
        <v>300</v>
      </c>
      <c r="DL295" s="1973">
        <v>300</v>
      </c>
      <c r="DM295" s="1973">
        <v>300</v>
      </c>
      <c r="DO295" s="1974">
        <v>12</v>
      </c>
      <c r="DP295" s="1974">
        <v>7341.5250000000005</v>
      </c>
      <c r="DQ295" s="1974">
        <v>0.78527499143835622</v>
      </c>
      <c r="DR295" s="1974">
        <v>0</v>
      </c>
      <c r="DS295" s="2124">
        <v>300</v>
      </c>
      <c r="DT295" s="2029">
        <v>300</v>
      </c>
      <c r="DU295" s="2029">
        <v>300</v>
      </c>
      <c r="DV295" s="2029">
        <v>300</v>
      </c>
      <c r="DW295" s="2124">
        <v>0</v>
      </c>
      <c r="DX295" s="2029">
        <v>0</v>
      </c>
      <c r="DY295" s="2029">
        <v>0</v>
      </c>
      <c r="DZ295" s="2029">
        <v>0</v>
      </c>
      <c r="EA295" s="2124">
        <v>407</v>
      </c>
      <c r="EB295" s="2029">
        <v>407</v>
      </c>
      <c r="EC295" s="2029">
        <v>407</v>
      </c>
      <c r="ED295" s="2029">
        <v>407</v>
      </c>
      <c r="EE295" s="2039">
        <f t="shared" si="168"/>
        <v>0</v>
      </c>
      <c r="EF295" s="2039">
        <f t="shared" si="168"/>
        <v>0</v>
      </c>
      <c r="EG295" s="2039">
        <f t="shared" si="168"/>
        <v>0</v>
      </c>
      <c r="EH295" s="2039">
        <f t="shared" si="167"/>
        <v>0</v>
      </c>
      <c r="EI295" s="2040">
        <f t="shared" si="165"/>
        <v>0</v>
      </c>
      <c r="EJ295" s="2040">
        <f t="shared" si="165"/>
        <v>0</v>
      </c>
      <c r="EK295" s="2040">
        <f t="shared" si="165"/>
        <v>0</v>
      </c>
      <c r="EL295" s="2040">
        <f t="shared" si="165"/>
        <v>0</v>
      </c>
      <c r="EM295" s="2040">
        <f t="shared" si="165"/>
        <v>0</v>
      </c>
      <c r="EN295" s="2040">
        <f t="shared" si="165"/>
        <v>0</v>
      </c>
      <c r="EO295" s="2040">
        <f t="shared" si="165"/>
        <v>0</v>
      </c>
      <c r="EP295" s="2040">
        <f t="shared" si="165"/>
        <v>0</v>
      </c>
      <c r="EQ295" s="2040">
        <f t="shared" si="165"/>
        <v>0</v>
      </c>
      <c r="ER295" s="2040">
        <f t="shared" si="185"/>
        <v>0</v>
      </c>
      <c r="ES295" s="2040">
        <f t="shared" si="185"/>
        <v>0</v>
      </c>
      <c r="ET295" s="2040">
        <f t="shared" si="185"/>
        <v>0</v>
      </c>
      <c r="EU295" s="2039">
        <f t="shared" si="169"/>
        <v>0</v>
      </c>
      <c r="EV295" s="2039">
        <f t="shared" si="170"/>
        <v>0</v>
      </c>
    </row>
    <row r="296" spans="1:152" x14ac:dyDescent="0.25">
      <c r="A296" s="2088" t="s">
        <v>111</v>
      </c>
      <c r="B296" s="2093" t="str">
        <f t="shared" si="146"/>
        <v>BPR33</v>
      </c>
      <c r="C296" s="1974">
        <f t="shared" si="180"/>
        <v>10</v>
      </c>
      <c r="D296" s="1974">
        <f t="shared" si="180"/>
        <v>2709.2003718384003</v>
      </c>
      <c r="E296" s="1974">
        <f t="shared" si="180"/>
        <v>0</v>
      </c>
      <c r="F296" s="1974">
        <f t="shared" si="174"/>
        <v>0</v>
      </c>
      <c r="G296" s="1974" t="s">
        <v>2997</v>
      </c>
      <c r="H296" s="1974" t="s">
        <v>2997</v>
      </c>
      <c r="I296" s="2026">
        <v>0.96199999999999997</v>
      </c>
      <c r="J296" s="2026">
        <v>0.96199999999999997</v>
      </c>
      <c r="K296" s="2026">
        <v>0.96199999999999997</v>
      </c>
      <c r="L296" s="2026">
        <v>0.96199999999999997</v>
      </c>
      <c r="M296" s="2027">
        <f t="shared" si="158"/>
        <v>2606.2507577085412</v>
      </c>
      <c r="N296" s="2027">
        <f t="shared" si="158"/>
        <v>2606.2507577085412</v>
      </c>
      <c r="O296" s="2027">
        <f t="shared" si="158"/>
        <v>2606.2507577085412</v>
      </c>
      <c r="P296" s="2027">
        <f t="shared" si="158"/>
        <v>2606.2507577085412</v>
      </c>
      <c r="Q296" s="2026">
        <v>0.96199999999999997</v>
      </c>
      <c r="R296" s="2026">
        <v>0.96199999999999997</v>
      </c>
      <c r="S296" s="2026">
        <v>0.96199999999999997</v>
      </c>
      <c r="T296" s="2026">
        <v>0.96199999999999997</v>
      </c>
      <c r="U296" s="2028">
        <f t="shared" si="159"/>
        <v>0</v>
      </c>
      <c r="V296" s="2028">
        <f t="shared" si="159"/>
        <v>0</v>
      </c>
      <c r="W296" s="2028">
        <f t="shared" si="159"/>
        <v>0</v>
      </c>
      <c r="X296" s="2028">
        <f t="shared" si="159"/>
        <v>0</v>
      </c>
      <c r="Y296" s="2026">
        <v>0.96199999999999997</v>
      </c>
      <c r="Z296" s="2026">
        <v>0.96199999999999997</v>
      </c>
      <c r="AA296" s="2026">
        <v>0.96199999999999997</v>
      </c>
      <c r="AB296" s="2026">
        <v>0.96199999999999997</v>
      </c>
      <c r="AC296" s="2027">
        <f t="shared" si="160"/>
        <v>0</v>
      </c>
      <c r="AD296" s="2027">
        <f t="shared" si="160"/>
        <v>0</v>
      </c>
      <c r="AE296" s="2027">
        <f t="shared" si="160"/>
        <v>0</v>
      </c>
      <c r="AF296" s="2027">
        <f t="shared" si="160"/>
        <v>0</v>
      </c>
      <c r="AG296" s="2027">
        <v>0</v>
      </c>
      <c r="AH296" s="2028"/>
      <c r="AI296" s="2028"/>
      <c r="AJ296" s="2028"/>
      <c r="AK296" s="2027">
        <f t="shared" si="148"/>
        <v>0</v>
      </c>
      <c r="AL296" s="2027">
        <f t="shared" si="149"/>
        <v>0</v>
      </c>
      <c r="AM296" s="2027">
        <f t="shared" si="149"/>
        <v>0</v>
      </c>
      <c r="AN296" s="2027">
        <f t="shared" si="149"/>
        <v>0</v>
      </c>
      <c r="AO296" s="2027">
        <f t="shared" si="161"/>
        <v>0</v>
      </c>
      <c r="AP296" s="2027">
        <f t="shared" si="150"/>
        <v>0</v>
      </c>
      <c r="AQ296" s="2027">
        <f t="shared" si="150"/>
        <v>0</v>
      </c>
      <c r="AR296" s="2027">
        <f t="shared" si="150"/>
        <v>0</v>
      </c>
      <c r="AS296" s="2124">
        <f t="shared" si="184"/>
        <v>120</v>
      </c>
      <c r="AT296" s="2029">
        <f t="shared" si="151"/>
        <v>120</v>
      </c>
      <c r="AU296" s="2029">
        <f t="shared" si="151"/>
        <v>120</v>
      </c>
      <c r="AV296" s="2029">
        <f t="shared" si="151"/>
        <v>120</v>
      </c>
      <c r="AW296" s="2124">
        <f t="shared" si="152"/>
        <v>0</v>
      </c>
      <c r="AX296" s="2029">
        <f t="shared" si="171"/>
        <v>0</v>
      </c>
      <c r="AY296" s="2029">
        <f t="shared" si="171"/>
        <v>0</v>
      </c>
      <c r="AZ296" s="2029">
        <f t="shared" si="171"/>
        <v>0</v>
      </c>
      <c r="BA296" s="2124">
        <f t="shared" si="183"/>
        <v>250</v>
      </c>
      <c r="BB296" s="2029">
        <f t="shared" si="183"/>
        <v>250</v>
      </c>
      <c r="BC296" s="2029">
        <f t="shared" si="183"/>
        <v>250</v>
      </c>
      <c r="BD296" s="2029">
        <f t="shared" si="183"/>
        <v>250</v>
      </c>
      <c r="BE296" s="2030">
        <f t="shared" si="155"/>
        <v>0</v>
      </c>
      <c r="BF296" s="2030">
        <f t="shared" si="155"/>
        <v>0</v>
      </c>
      <c r="BG296" s="2030">
        <f t="shared" si="155"/>
        <v>0</v>
      </c>
      <c r="BH296" s="2030">
        <f t="shared" si="155"/>
        <v>0</v>
      </c>
      <c r="BI296" s="2030">
        <f t="shared" si="156"/>
        <v>0</v>
      </c>
      <c r="BJ296" s="2030">
        <f t="shared" si="156"/>
        <v>0</v>
      </c>
      <c r="BK296" s="2030">
        <f t="shared" si="156"/>
        <v>0</v>
      </c>
      <c r="BL296" s="2030">
        <f t="shared" si="156"/>
        <v>0</v>
      </c>
      <c r="BM296" s="2125"/>
      <c r="BN296" s="2125"/>
      <c r="BO296" s="2125"/>
      <c r="BP296" s="2125"/>
      <c r="BQ296" s="2125"/>
      <c r="BR296" s="2125"/>
      <c r="BS296" s="2125"/>
      <c r="BT296" s="2125"/>
      <c r="BU296" s="2029"/>
      <c r="BV296" s="2029"/>
      <c r="BW296" s="2029"/>
      <c r="BX296" s="2029"/>
      <c r="BY296" s="2029"/>
      <c r="BZ296" s="2032"/>
      <c r="CA296" s="1974">
        <f t="shared" si="181"/>
        <v>0</v>
      </c>
      <c r="CB296" s="1974">
        <f t="shared" si="181"/>
        <v>0</v>
      </c>
      <c r="CC296" s="1974">
        <f t="shared" si="181"/>
        <v>0</v>
      </c>
      <c r="CD296" s="1974">
        <f t="shared" si="181"/>
        <v>0</v>
      </c>
      <c r="CE296" s="1974">
        <f t="shared" si="181"/>
        <v>0</v>
      </c>
      <c r="CF296" s="2033">
        <v>0</v>
      </c>
      <c r="CG296" s="2026">
        <v>0</v>
      </c>
      <c r="CH296" s="2009">
        <f t="shared" si="181"/>
        <v>0</v>
      </c>
      <c r="CI296" s="2031">
        <f t="shared" si="181"/>
        <v>0</v>
      </c>
      <c r="CJ296" s="1974">
        <f t="shared" si="181"/>
        <v>0</v>
      </c>
      <c r="CK296" s="2031">
        <f t="shared" si="181"/>
        <v>0</v>
      </c>
      <c r="CL296" s="2026">
        <v>1</v>
      </c>
      <c r="CM296" s="2026">
        <v>1</v>
      </c>
      <c r="CN296" s="2026">
        <v>1</v>
      </c>
      <c r="CO296" s="2026">
        <v>1</v>
      </c>
      <c r="CP296" s="2035"/>
      <c r="CQ296" s="2036"/>
      <c r="CR296" s="2036"/>
      <c r="CS296" s="2036"/>
      <c r="CT296" s="2036"/>
      <c r="CU296" s="2036"/>
      <c r="CW296" s="1973">
        <v>0</v>
      </c>
      <c r="CX296" s="2037">
        <v>120</v>
      </c>
      <c r="CY296" s="2037">
        <v>120</v>
      </c>
      <c r="CZ296" s="2037">
        <v>120</v>
      </c>
      <c r="DA296" s="2037">
        <v>120</v>
      </c>
      <c r="DJ296" s="1976">
        <v>120</v>
      </c>
      <c r="DK296" s="1973">
        <v>120</v>
      </c>
      <c r="DL296" s="1973">
        <v>120</v>
      </c>
      <c r="DM296" s="1973">
        <v>120</v>
      </c>
      <c r="DO296" s="1974">
        <v>12</v>
      </c>
      <c r="DP296" s="1974">
        <v>2709.2003718384003</v>
      </c>
      <c r="DQ296" s="1974">
        <v>0</v>
      </c>
      <c r="DR296" s="1974">
        <v>0</v>
      </c>
      <c r="DS296" s="2124">
        <v>120</v>
      </c>
      <c r="DT296" s="2029">
        <v>120</v>
      </c>
      <c r="DU296" s="2029">
        <v>120</v>
      </c>
      <c r="DV296" s="2029">
        <v>120</v>
      </c>
      <c r="DW296" s="2124">
        <v>0</v>
      </c>
      <c r="DX296" s="2029">
        <v>0</v>
      </c>
      <c r="DY296" s="2029">
        <v>0</v>
      </c>
      <c r="DZ296" s="2029">
        <v>0</v>
      </c>
      <c r="EA296" s="2124">
        <v>250</v>
      </c>
      <c r="EB296" s="2029">
        <v>250</v>
      </c>
      <c r="EC296" s="2029">
        <v>250</v>
      </c>
      <c r="ED296" s="2029">
        <v>250</v>
      </c>
      <c r="EE296" s="2039">
        <f t="shared" si="168"/>
        <v>-2</v>
      </c>
      <c r="EF296" s="2039">
        <f t="shared" si="168"/>
        <v>0</v>
      </c>
      <c r="EG296" s="2039">
        <f t="shared" si="168"/>
        <v>0</v>
      </c>
      <c r="EH296" s="2039">
        <f t="shared" si="167"/>
        <v>0</v>
      </c>
      <c r="EI296" s="2040">
        <f t="shared" si="165"/>
        <v>0</v>
      </c>
      <c r="EJ296" s="2040">
        <f t="shared" si="165"/>
        <v>0</v>
      </c>
      <c r="EK296" s="2040">
        <f t="shared" si="165"/>
        <v>0</v>
      </c>
      <c r="EL296" s="2040">
        <f t="shared" si="165"/>
        <v>0</v>
      </c>
      <c r="EM296" s="2040">
        <f t="shared" si="165"/>
        <v>0</v>
      </c>
      <c r="EN296" s="2040">
        <f t="shared" si="165"/>
        <v>0</v>
      </c>
      <c r="EO296" s="2040">
        <f t="shared" si="165"/>
        <v>0</v>
      </c>
      <c r="EP296" s="2040">
        <f t="shared" si="165"/>
        <v>0</v>
      </c>
      <c r="EQ296" s="2040">
        <f t="shared" si="165"/>
        <v>0</v>
      </c>
      <c r="ER296" s="2040">
        <f t="shared" si="185"/>
        <v>0</v>
      </c>
      <c r="ES296" s="2040">
        <f t="shared" si="185"/>
        <v>0</v>
      </c>
      <c r="ET296" s="2040">
        <f t="shared" si="185"/>
        <v>0</v>
      </c>
      <c r="EU296" s="2039">
        <f t="shared" si="169"/>
        <v>-2</v>
      </c>
      <c r="EV296" s="2039">
        <f t="shared" si="170"/>
        <v>-2</v>
      </c>
    </row>
    <row r="297" spans="1:152" x14ac:dyDescent="0.25">
      <c r="A297" s="2088" t="s">
        <v>112</v>
      </c>
      <c r="B297" s="2093" t="str">
        <f t="shared" si="146"/>
        <v>BPR34</v>
      </c>
      <c r="C297" s="1974">
        <f t="shared" si="180"/>
        <v>10</v>
      </c>
      <c r="D297" s="1974">
        <f t="shared" si="180"/>
        <v>1278.1885859028002</v>
      </c>
      <c r="E297" s="1974">
        <f t="shared" si="180"/>
        <v>0</v>
      </c>
      <c r="F297" s="1974">
        <f t="shared" si="174"/>
        <v>0</v>
      </c>
      <c r="G297" s="1974" t="s">
        <v>2997</v>
      </c>
      <c r="H297" s="1974" t="s">
        <v>2997</v>
      </c>
      <c r="I297" s="2026">
        <v>0.96199999999999997</v>
      </c>
      <c r="J297" s="2026">
        <v>0.96199999999999997</v>
      </c>
      <c r="K297" s="2026">
        <v>0.96199999999999997</v>
      </c>
      <c r="L297" s="2026">
        <v>0.96199999999999997</v>
      </c>
      <c r="M297" s="2027">
        <f t="shared" si="158"/>
        <v>1229.6174196384939</v>
      </c>
      <c r="N297" s="2027">
        <f t="shared" si="158"/>
        <v>1229.6174196384939</v>
      </c>
      <c r="O297" s="2027">
        <f t="shared" si="158"/>
        <v>1229.6174196384939</v>
      </c>
      <c r="P297" s="2027">
        <f t="shared" si="158"/>
        <v>1229.6174196384939</v>
      </c>
      <c r="Q297" s="2026">
        <v>0.96199999999999997</v>
      </c>
      <c r="R297" s="2026">
        <v>0.96199999999999997</v>
      </c>
      <c r="S297" s="2026">
        <v>0.96199999999999997</v>
      </c>
      <c r="T297" s="2026">
        <v>0.96199999999999997</v>
      </c>
      <c r="U297" s="2028">
        <f t="shared" si="159"/>
        <v>0</v>
      </c>
      <c r="V297" s="2028">
        <f t="shared" si="159"/>
        <v>0</v>
      </c>
      <c r="W297" s="2028">
        <f t="shared" si="159"/>
        <v>0</v>
      </c>
      <c r="X297" s="2028">
        <f t="shared" si="159"/>
        <v>0</v>
      </c>
      <c r="Y297" s="2026">
        <v>0.96199999999999997</v>
      </c>
      <c r="Z297" s="2026">
        <v>0.96199999999999997</v>
      </c>
      <c r="AA297" s="2026">
        <v>0.96199999999999997</v>
      </c>
      <c r="AB297" s="2026">
        <v>0.96199999999999997</v>
      </c>
      <c r="AC297" s="2027">
        <f t="shared" si="160"/>
        <v>0</v>
      </c>
      <c r="AD297" s="2027">
        <f t="shared" si="160"/>
        <v>0</v>
      </c>
      <c r="AE297" s="2027">
        <f t="shared" si="160"/>
        <v>0</v>
      </c>
      <c r="AF297" s="2027">
        <f t="shared" si="160"/>
        <v>0</v>
      </c>
      <c r="AG297" s="2027">
        <v>0</v>
      </c>
      <c r="AH297" s="2028"/>
      <c r="AI297" s="2028"/>
      <c r="AJ297" s="2028"/>
      <c r="AK297" s="2027">
        <f t="shared" si="148"/>
        <v>0</v>
      </c>
      <c r="AL297" s="2027">
        <f t="shared" si="149"/>
        <v>0</v>
      </c>
      <c r="AM297" s="2027">
        <f t="shared" si="149"/>
        <v>0</v>
      </c>
      <c r="AN297" s="2027">
        <f t="shared" si="149"/>
        <v>0</v>
      </c>
      <c r="AO297" s="2027">
        <f t="shared" si="161"/>
        <v>0</v>
      </c>
      <c r="AP297" s="2027">
        <f t="shared" si="150"/>
        <v>0</v>
      </c>
      <c r="AQ297" s="2027">
        <f t="shared" si="150"/>
        <v>0</v>
      </c>
      <c r="AR297" s="2027">
        <f t="shared" si="150"/>
        <v>0</v>
      </c>
      <c r="AS297" s="2124">
        <f t="shared" si="184"/>
        <v>120</v>
      </c>
      <c r="AT297" s="2029">
        <f t="shared" si="151"/>
        <v>120</v>
      </c>
      <c r="AU297" s="2029">
        <f t="shared" si="151"/>
        <v>120</v>
      </c>
      <c r="AV297" s="2029">
        <f t="shared" si="151"/>
        <v>120</v>
      </c>
      <c r="AW297" s="2124">
        <f t="shared" si="152"/>
        <v>0</v>
      </c>
      <c r="AX297" s="2029">
        <f t="shared" si="171"/>
        <v>0</v>
      </c>
      <c r="AY297" s="2029">
        <f t="shared" si="171"/>
        <v>0</v>
      </c>
      <c r="AZ297" s="2029">
        <f t="shared" si="171"/>
        <v>0</v>
      </c>
      <c r="BA297" s="2124">
        <f t="shared" si="183"/>
        <v>250</v>
      </c>
      <c r="BB297" s="2029">
        <f t="shared" si="183"/>
        <v>250</v>
      </c>
      <c r="BC297" s="2029">
        <f t="shared" si="183"/>
        <v>250</v>
      </c>
      <c r="BD297" s="2029">
        <f t="shared" si="183"/>
        <v>250</v>
      </c>
      <c r="BE297" s="2030">
        <f t="shared" si="155"/>
        <v>0</v>
      </c>
      <c r="BF297" s="2030">
        <f t="shared" si="155"/>
        <v>0</v>
      </c>
      <c r="BG297" s="2030">
        <f t="shared" si="155"/>
        <v>0</v>
      </c>
      <c r="BH297" s="2030">
        <f t="shared" si="155"/>
        <v>0</v>
      </c>
      <c r="BI297" s="2030">
        <f t="shared" si="156"/>
        <v>0</v>
      </c>
      <c r="BJ297" s="2030">
        <f t="shared" si="156"/>
        <v>0</v>
      </c>
      <c r="BK297" s="2030">
        <f t="shared" si="156"/>
        <v>0</v>
      </c>
      <c r="BL297" s="2030">
        <f t="shared" si="156"/>
        <v>0</v>
      </c>
      <c r="BM297" s="2125"/>
      <c r="BN297" s="2125"/>
      <c r="BO297" s="2125"/>
      <c r="BP297" s="2125"/>
      <c r="BQ297" s="2125"/>
      <c r="BR297" s="2125"/>
      <c r="BS297" s="2125"/>
      <c r="BT297" s="2125"/>
      <c r="BU297" s="2029"/>
      <c r="BV297" s="2029"/>
      <c r="BW297" s="2029"/>
      <c r="BX297" s="2029"/>
      <c r="BY297" s="2029"/>
      <c r="BZ297" s="2032"/>
      <c r="CA297" s="1974">
        <f t="shared" si="181"/>
        <v>0</v>
      </c>
      <c r="CB297" s="1974">
        <f t="shared" si="181"/>
        <v>0</v>
      </c>
      <c r="CC297" s="1974">
        <f t="shared" si="181"/>
        <v>0</v>
      </c>
      <c r="CD297" s="1974">
        <f t="shared" si="181"/>
        <v>0</v>
      </c>
      <c r="CE297" s="1974">
        <f t="shared" si="181"/>
        <v>0</v>
      </c>
      <c r="CF297" s="2033">
        <v>0</v>
      </c>
      <c r="CG297" s="2026">
        <v>0</v>
      </c>
      <c r="CH297" s="2009">
        <f t="shared" si="181"/>
        <v>0</v>
      </c>
      <c r="CI297" s="2031">
        <f t="shared" si="181"/>
        <v>0</v>
      </c>
      <c r="CJ297" s="1974">
        <f t="shared" si="181"/>
        <v>0</v>
      </c>
      <c r="CK297" s="2031">
        <f t="shared" si="181"/>
        <v>0</v>
      </c>
      <c r="CL297" s="2026">
        <v>1</v>
      </c>
      <c r="CM297" s="2026">
        <v>1</v>
      </c>
      <c r="CN297" s="2026">
        <v>1</v>
      </c>
      <c r="CO297" s="2026">
        <v>1</v>
      </c>
      <c r="CP297" s="2035"/>
      <c r="CQ297" s="2036"/>
      <c r="CR297" s="2036"/>
      <c r="CS297" s="2036"/>
      <c r="CT297" s="2036"/>
      <c r="CU297" s="2036"/>
      <c r="CW297" s="1973">
        <v>0</v>
      </c>
      <c r="CX297" s="2037">
        <v>120</v>
      </c>
      <c r="CY297" s="2037">
        <v>120</v>
      </c>
      <c r="CZ297" s="2037">
        <v>120</v>
      </c>
      <c r="DA297" s="2037">
        <v>120</v>
      </c>
      <c r="DJ297" s="1976">
        <v>120</v>
      </c>
      <c r="DK297" s="1973">
        <v>120</v>
      </c>
      <c r="DL297" s="1973">
        <v>120</v>
      </c>
      <c r="DM297" s="1973">
        <v>120</v>
      </c>
      <c r="DO297" s="1974">
        <v>12</v>
      </c>
      <c r="DP297" s="1974">
        <v>1278.1885859028002</v>
      </c>
      <c r="DQ297" s="1974">
        <v>0</v>
      </c>
      <c r="DR297" s="1974">
        <v>0</v>
      </c>
      <c r="DS297" s="2124">
        <v>120</v>
      </c>
      <c r="DT297" s="2029">
        <v>120</v>
      </c>
      <c r="DU297" s="2029">
        <v>120</v>
      </c>
      <c r="DV297" s="2029">
        <v>120</v>
      </c>
      <c r="DW297" s="2124">
        <v>0</v>
      </c>
      <c r="DX297" s="2029">
        <v>0</v>
      </c>
      <c r="DY297" s="2029">
        <v>0</v>
      </c>
      <c r="DZ297" s="2029">
        <v>0</v>
      </c>
      <c r="EA297" s="2124">
        <v>250</v>
      </c>
      <c r="EB297" s="2029">
        <v>250</v>
      </c>
      <c r="EC297" s="2029">
        <v>250</v>
      </c>
      <c r="ED297" s="2029">
        <v>250</v>
      </c>
      <c r="EE297" s="2039">
        <f t="shared" si="168"/>
        <v>-2</v>
      </c>
      <c r="EF297" s="2039">
        <f t="shared" si="168"/>
        <v>0</v>
      </c>
      <c r="EG297" s="2039">
        <f t="shared" si="168"/>
        <v>0</v>
      </c>
      <c r="EH297" s="2039">
        <f t="shared" si="167"/>
        <v>0</v>
      </c>
      <c r="EI297" s="2040">
        <f t="shared" si="165"/>
        <v>0</v>
      </c>
      <c r="EJ297" s="2040">
        <f t="shared" si="165"/>
        <v>0</v>
      </c>
      <c r="EK297" s="2040">
        <f t="shared" si="165"/>
        <v>0</v>
      </c>
      <c r="EL297" s="2040">
        <f t="shared" si="165"/>
        <v>0</v>
      </c>
      <c r="EM297" s="2040">
        <f t="shared" si="165"/>
        <v>0</v>
      </c>
      <c r="EN297" s="2040">
        <f t="shared" si="165"/>
        <v>0</v>
      </c>
      <c r="EO297" s="2040">
        <f t="shared" si="165"/>
        <v>0</v>
      </c>
      <c r="EP297" s="2040">
        <f t="shared" si="165"/>
        <v>0</v>
      </c>
      <c r="EQ297" s="2040">
        <f t="shared" si="165"/>
        <v>0</v>
      </c>
      <c r="ER297" s="2040">
        <f t="shared" si="185"/>
        <v>0</v>
      </c>
      <c r="ES297" s="2040">
        <f t="shared" si="185"/>
        <v>0</v>
      </c>
      <c r="ET297" s="2040">
        <f t="shared" si="185"/>
        <v>0</v>
      </c>
      <c r="EU297" s="2039">
        <f t="shared" si="169"/>
        <v>-2</v>
      </c>
      <c r="EV297" s="2039">
        <f t="shared" si="170"/>
        <v>-2</v>
      </c>
    </row>
    <row r="298" spans="1:152" x14ac:dyDescent="0.25">
      <c r="A298" s="2088" t="s">
        <v>113</v>
      </c>
      <c r="B298" s="2093" t="str">
        <f t="shared" si="146"/>
        <v>BPR6</v>
      </c>
      <c r="C298" s="1974">
        <f t="shared" si="180"/>
        <v>15</v>
      </c>
      <c r="D298" s="1974">
        <f t="shared" si="180"/>
        <v>478</v>
      </c>
      <c r="E298" s="1974">
        <f t="shared" si="180"/>
        <v>0.06</v>
      </c>
      <c r="F298" s="1974">
        <f t="shared" si="174"/>
        <v>0</v>
      </c>
      <c r="G298" s="1974" t="s">
        <v>2997</v>
      </c>
      <c r="H298" s="1974" t="s">
        <v>2997</v>
      </c>
      <c r="I298" s="2026">
        <v>0.96199999999999997</v>
      </c>
      <c r="J298" s="2026">
        <v>0.96199999999999997</v>
      </c>
      <c r="K298" s="2026">
        <v>0.96199999999999997</v>
      </c>
      <c r="L298" s="2026">
        <v>0.96199999999999997</v>
      </c>
      <c r="M298" s="2027">
        <f t="shared" si="158"/>
        <v>459.83599999999996</v>
      </c>
      <c r="N298" s="2027">
        <f t="shared" si="158"/>
        <v>459.83599999999996</v>
      </c>
      <c r="O298" s="2027">
        <f t="shared" si="158"/>
        <v>459.83599999999996</v>
      </c>
      <c r="P298" s="2027">
        <f t="shared" si="158"/>
        <v>459.83599999999996</v>
      </c>
      <c r="Q298" s="2026">
        <v>0.96199999999999997</v>
      </c>
      <c r="R298" s="2026">
        <v>0.96199999999999997</v>
      </c>
      <c r="S298" s="2026">
        <v>0.96199999999999997</v>
      </c>
      <c r="T298" s="2026">
        <v>0.96199999999999997</v>
      </c>
      <c r="U298" s="2028">
        <f t="shared" si="159"/>
        <v>5.7719999999999994E-2</v>
      </c>
      <c r="V298" s="2028">
        <f t="shared" si="159"/>
        <v>5.7719999999999994E-2</v>
      </c>
      <c r="W298" s="2028">
        <f t="shared" si="159"/>
        <v>5.7719999999999994E-2</v>
      </c>
      <c r="X298" s="2028">
        <f t="shared" si="159"/>
        <v>5.7719999999999994E-2</v>
      </c>
      <c r="Y298" s="2026">
        <v>0.96199999999999997</v>
      </c>
      <c r="Z298" s="2026">
        <v>0.96199999999999997</v>
      </c>
      <c r="AA298" s="2026">
        <v>0.96199999999999997</v>
      </c>
      <c r="AB298" s="2026">
        <v>0.96199999999999997</v>
      </c>
      <c r="AC298" s="2027">
        <f t="shared" si="160"/>
        <v>0</v>
      </c>
      <c r="AD298" s="2027">
        <f t="shared" si="160"/>
        <v>0</v>
      </c>
      <c r="AE298" s="2027">
        <f t="shared" si="160"/>
        <v>0</v>
      </c>
      <c r="AF298" s="2027">
        <f t="shared" si="160"/>
        <v>0</v>
      </c>
      <c r="AG298" s="2027">
        <v>0</v>
      </c>
      <c r="AH298" s="2028"/>
      <c r="AI298" s="2028"/>
      <c r="AJ298" s="2028"/>
      <c r="AK298" s="2027">
        <f t="shared" si="148"/>
        <v>0</v>
      </c>
      <c r="AL298" s="2027">
        <f t="shared" si="149"/>
        <v>0</v>
      </c>
      <c r="AM298" s="2027">
        <f t="shared" si="149"/>
        <v>0</v>
      </c>
      <c r="AN298" s="2027">
        <f t="shared" si="149"/>
        <v>0</v>
      </c>
      <c r="AO298" s="2027">
        <f t="shared" si="161"/>
        <v>0</v>
      </c>
      <c r="AP298" s="2027">
        <f t="shared" si="150"/>
        <v>0</v>
      </c>
      <c r="AQ298" s="2027">
        <f t="shared" si="150"/>
        <v>0</v>
      </c>
      <c r="AR298" s="2027">
        <f t="shared" si="150"/>
        <v>0</v>
      </c>
      <c r="AS298" s="2124">
        <f t="shared" si="184"/>
        <v>90</v>
      </c>
      <c r="AT298" s="2029">
        <f t="shared" si="151"/>
        <v>90</v>
      </c>
      <c r="AU298" s="2029">
        <f t="shared" si="151"/>
        <v>90</v>
      </c>
      <c r="AV298" s="2029">
        <f t="shared" si="151"/>
        <v>90</v>
      </c>
      <c r="AW298" s="2124">
        <f t="shared" si="152"/>
        <v>0</v>
      </c>
      <c r="AX298" s="2029">
        <f t="shared" si="171"/>
        <v>0</v>
      </c>
      <c r="AY298" s="2029">
        <f t="shared" si="171"/>
        <v>0</v>
      </c>
      <c r="AZ298" s="2029">
        <f t="shared" si="171"/>
        <v>0</v>
      </c>
      <c r="BA298" s="2124">
        <f t="shared" si="183"/>
        <v>291</v>
      </c>
      <c r="BB298" s="2029">
        <f t="shared" si="183"/>
        <v>291</v>
      </c>
      <c r="BC298" s="2029">
        <f t="shared" si="183"/>
        <v>291</v>
      </c>
      <c r="BD298" s="2029">
        <f t="shared" si="183"/>
        <v>291</v>
      </c>
      <c r="BE298" s="2030">
        <f t="shared" si="155"/>
        <v>0</v>
      </c>
      <c r="BF298" s="2030">
        <f t="shared" si="155"/>
        <v>0</v>
      </c>
      <c r="BG298" s="2030">
        <f t="shared" si="155"/>
        <v>0</v>
      </c>
      <c r="BH298" s="2030">
        <f t="shared" si="155"/>
        <v>0</v>
      </c>
      <c r="BI298" s="2030">
        <f t="shared" si="156"/>
        <v>0</v>
      </c>
      <c r="BJ298" s="2030">
        <f t="shared" si="156"/>
        <v>0</v>
      </c>
      <c r="BK298" s="2030">
        <f t="shared" si="156"/>
        <v>0</v>
      </c>
      <c r="BL298" s="2030">
        <f t="shared" si="156"/>
        <v>0</v>
      </c>
      <c r="BM298" s="2125"/>
      <c r="BN298" s="2125"/>
      <c r="BO298" s="2125"/>
      <c r="BP298" s="2125"/>
      <c r="BQ298" s="2125"/>
      <c r="BR298" s="2125"/>
      <c r="BS298" s="2125"/>
      <c r="BT298" s="2125"/>
      <c r="BU298" s="2029"/>
      <c r="BV298" s="2029"/>
      <c r="BW298" s="2029"/>
      <c r="BX298" s="2029"/>
      <c r="BY298" s="2029"/>
      <c r="BZ298" s="2032"/>
      <c r="CA298" s="1974">
        <f t="shared" si="181"/>
        <v>0</v>
      </c>
      <c r="CB298" s="1974">
        <f t="shared" si="181"/>
        <v>0</v>
      </c>
      <c r="CC298" s="1974">
        <f t="shared" si="181"/>
        <v>0</v>
      </c>
      <c r="CD298" s="1974">
        <f t="shared" si="181"/>
        <v>0</v>
      </c>
      <c r="CE298" s="1974">
        <f t="shared" si="181"/>
        <v>0</v>
      </c>
      <c r="CF298" s="2033">
        <v>0</v>
      </c>
      <c r="CG298" s="2026">
        <v>0</v>
      </c>
      <c r="CH298" s="2009">
        <f t="shared" si="181"/>
        <v>0</v>
      </c>
      <c r="CI298" s="2031">
        <f t="shared" si="181"/>
        <v>0</v>
      </c>
      <c r="CJ298" s="1974">
        <f t="shared" si="181"/>
        <v>0</v>
      </c>
      <c r="CK298" s="2031">
        <f t="shared" si="181"/>
        <v>0</v>
      </c>
      <c r="CL298" s="2026">
        <v>1</v>
      </c>
      <c r="CM298" s="2026">
        <v>1</v>
      </c>
      <c r="CN298" s="2026">
        <v>1</v>
      </c>
      <c r="CO298" s="2026">
        <v>1</v>
      </c>
      <c r="CP298" s="2035"/>
      <c r="CQ298" s="2036"/>
      <c r="CR298" s="2036"/>
      <c r="CS298" s="2036"/>
      <c r="CT298" s="2036"/>
      <c r="CU298" s="2036"/>
      <c r="CW298" s="1973">
        <v>0</v>
      </c>
      <c r="CX298" s="2037">
        <v>90</v>
      </c>
      <c r="CY298" s="2037">
        <v>90</v>
      </c>
      <c r="CZ298" s="2037">
        <v>90</v>
      </c>
      <c r="DA298" s="2037">
        <v>90</v>
      </c>
      <c r="DJ298" s="1976">
        <v>90</v>
      </c>
      <c r="DK298" s="1973">
        <v>90</v>
      </c>
      <c r="DL298" s="1973">
        <v>90</v>
      </c>
      <c r="DM298" s="1973">
        <v>90</v>
      </c>
      <c r="DO298" s="1974">
        <v>16</v>
      </c>
      <c r="DP298" s="1974">
        <v>478</v>
      </c>
      <c r="DQ298" s="1974">
        <v>0.06</v>
      </c>
      <c r="DR298" s="1974">
        <v>0</v>
      </c>
      <c r="DS298" s="2124">
        <v>90</v>
      </c>
      <c r="DT298" s="2029">
        <v>90</v>
      </c>
      <c r="DU298" s="2029">
        <v>90</v>
      </c>
      <c r="DV298" s="2029">
        <v>90</v>
      </c>
      <c r="DW298" s="2124">
        <v>0</v>
      </c>
      <c r="DX298" s="2029">
        <v>0</v>
      </c>
      <c r="DY298" s="2029">
        <v>0</v>
      </c>
      <c r="DZ298" s="2029">
        <v>0</v>
      </c>
      <c r="EA298" s="2124">
        <v>291</v>
      </c>
      <c r="EB298" s="2029">
        <v>291</v>
      </c>
      <c r="EC298" s="2029">
        <v>291</v>
      </c>
      <c r="ED298" s="2029">
        <v>291</v>
      </c>
      <c r="EE298" s="2039">
        <f t="shared" si="168"/>
        <v>-1</v>
      </c>
      <c r="EF298" s="2039">
        <f t="shared" si="168"/>
        <v>0</v>
      </c>
      <c r="EG298" s="2039">
        <f t="shared" si="168"/>
        <v>0</v>
      </c>
      <c r="EH298" s="2039">
        <f t="shared" si="167"/>
        <v>0</v>
      </c>
      <c r="EI298" s="2040">
        <f t="shared" si="165"/>
        <v>0</v>
      </c>
      <c r="EJ298" s="2040">
        <f t="shared" si="165"/>
        <v>0</v>
      </c>
      <c r="EK298" s="2040">
        <f t="shared" si="165"/>
        <v>0</v>
      </c>
      <c r="EL298" s="2040">
        <f t="shared" si="165"/>
        <v>0</v>
      </c>
      <c r="EM298" s="2040">
        <f t="shared" si="165"/>
        <v>0</v>
      </c>
      <c r="EN298" s="2040">
        <f t="shared" si="165"/>
        <v>0</v>
      </c>
      <c r="EO298" s="2040">
        <f t="shared" si="165"/>
        <v>0</v>
      </c>
      <c r="EP298" s="2040">
        <f t="shared" si="165"/>
        <v>0</v>
      </c>
      <c r="EQ298" s="2040">
        <f t="shared" si="165"/>
        <v>0</v>
      </c>
      <c r="ER298" s="2040">
        <f t="shared" si="185"/>
        <v>0</v>
      </c>
      <c r="ES298" s="2040">
        <f t="shared" si="185"/>
        <v>0</v>
      </c>
      <c r="ET298" s="2040">
        <f t="shared" si="185"/>
        <v>0</v>
      </c>
      <c r="EU298" s="2039">
        <f t="shared" si="169"/>
        <v>-1</v>
      </c>
      <c r="EV298" s="2039">
        <f t="shared" si="170"/>
        <v>-1</v>
      </c>
    </row>
    <row r="299" spans="1:152" x14ac:dyDescent="0.25">
      <c r="A299" s="2088" t="s">
        <v>114</v>
      </c>
      <c r="B299" s="2093" t="str">
        <f t="shared" si="146"/>
        <v>BPR27</v>
      </c>
      <c r="C299" s="1974">
        <f t="shared" ref="C299:E314" si="186">C55</f>
        <v>12</v>
      </c>
      <c r="D299" s="1974">
        <f t="shared" si="186"/>
        <v>269.89999999999998</v>
      </c>
      <c r="E299" s="1974">
        <f t="shared" si="186"/>
        <v>0.03</v>
      </c>
      <c r="F299" s="1974">
        <f t="shared" si="174"/>
        <v>0</v>
      </c>
      <c r="G299" s="1974" t="s">
        <v>2997</v>
      </c>
      <c r="H299" s="1974" t="s">
        <v>2997</v>
      </c>
      <c r="I299" s="2026">
        <v>0.96199999999999997</v>
      </c>
      <c r="J299" s="2026">
        <v>0.96199999999999997</v>
      </c>
      <c r="K299" s="2026">
        <v>0.96199999999999997</v>
      </c>
      <c r="L299" s="2026">
        <v>0.96199999999999997</v>
      </c>
      <c r="M299" s="2027">
        <f t="shared" si="158"/>
        <v>259.64379999999994</v>
      </c>
      <c r="N299" s="2027">
        <f t="shared" si="158"/>
        <v>259.64379999999994</v>
      </c>
      <c r="O299" s="2027">
        <f t="shared" si="158"/>
        <v>259.64379999999994</v>
      </c>
      <c r="P299" s="2027">
        <f t="shared" si="158"/>
        <v>259.64379999999994</v>
      </c>
      <c r="Q299" s="2026">
        <v>0.96199999999999997</v>
      </c>
      <c r="R299" s="2026">
        <v>0.96199999999999997</v>
      </c>
      <c r="S299" s="2026">
        <v>0.96199999999999997</v>
      </c>
      <c r="T299" s="2026">
        <v>0.96199999999999997</v>
      </c>
      <c r="U299" s="2028">
        <f t="shared" si="159"/>
        <v>2.8859999999999997E-2</v>
      </c>
      <c r="V299" s="2028">
        <f t="shared" si="159"/>
        <v>2.8859999999999997E-2</v>
      </c>
      <c r="W299" s="2028">
        <f t="shared" si="159"/>
        <v>2.8859999999999997E-2</v>
      </c>
      <c r="X299" s="2028">
        <f t="shared" si="159"/>
        <v>2.8859999999999997E-2</v>
      </c>
      <c r="Y299" s="2026">
        <v>0.96199999999999997</v>
      </c>
      <c r="Z299" s="2026">
        <v>0.96199999999999997</v>
      </c>
      <c r="AA299" s="2026">
        <v>0.96199999999999997</v>
      </c>
      <c r="AB299" s="2026">
        <v>0.96199999999999997</v>
      </c>
      <c r="AC299" s="2027">
        <f t="shared" si="160"/>
        <v>0</v>
      </c>
      <c r="AD299" s="2027">
        <f t="shared" si="160"/>
        <v>0</v>
      </c>
      <c r="AE299" s="2027">
        <f t="shared" si="160"/>
        <v>0</v>
      </c>
      <c r="AF299" s="2027">
        <f t="shared" si="160"/>
        <v>0</v>
      </c>
      <c r="AG299" s="2027">
        <v>0</v>
      </c>
      <c r="AH299" s="2028"/>
      <c r="AI299" s="2028"/>
      <c r="AJ299" s="2028"/>
      <c r="AK299" s="2027">
        <f t="shared" si="148"/>
        <v>0</v>
      </c>
      <c r="AL299" s="2027">
        <f t="shared" si="149"/>
        <v>0</v>
      </c>
      <c r="AM299" s="2027">
        <f t="shared" si="149"/>
        <v>0</v>
      </c>
      <c r="AN299" s="2027">
        <f t="shared" si="149"/>
        <v>0</v>
      </c>
      <c r="AO299" s="2027">
        <f t="shared" si="161"/>
        <v>0</v>
      </c>
      <c r="AP299" s="2027">
        <f t="shared" si="150"/>
        <v>0</v>
      </c>
      <c r="AQ299" s="2027">
        <f t="shared" si="150"/>
        <v>0</v>
      </c>
      <c r="AR299" s="2027">
        <f t="shared" si="150"/>
        <v>0</v>
      </c>
      <c r="AS299" s="2124">
        <f t="shared" si="184"/>
        <v>52.5</v>
      </c>
      <c r="AT299" s="2029">
        <f t="shared" si="151"/>
        <v>52.5</v>
      </c>
      <c r="AU299" s="2029">
        <f t="shared" si="151"/>
        <v>52.5</v>
      </c>
      <c r="AV299" s="2029">
        <f t="shared" si="151"/>
        <v>52.5</v>
      </c>
      <c r="AW299" s="2124">
        <f t="shared" si="152"/>
        <v>0</v>
      </c>
      <c r="AX299" s="2029">
        <f t="shared" si="171"/>
        <v>0</v>
      </c>
      <c r="AY299" s="2029">
        <f t="shared" si="171"/>
        <v>0</v>
      </c>
      <c r="AZ299" s="2029">
        <f t="shared" si="171"/>
        <v>0</v>
      </c>
      <c r="BA299" s="2124">
        <f t="shared" si="183"/>
        <v>142</v>
      </c>
      <c r="BB299" s="2029">
        <f t="shared" si="183"/>
        <v>142</v>
      </c>
      <c r="BC299" s="2029">
        <f t="shared" si="183"/>
        <v>142</v>
      </c>
      <c r="BD299" s="2029">
        <f t="shared" si="183"/>
        <v>142</v>
      </c>
      <c r="BE299" s="2030">
        <f t="shared" si="155"/>
        <v>0</v>
      </c>
      <c r="BF299" s="2030">
        <f t="shared" si="155"/>
        <v>0</v>
      </c>
      <c r="BG299" s="2030">
        <f t="shared" si="155"/>
        <v>0</v>
      </c>
      <c r="BH299" s="2030">
        <f t="shared" si="155"/>
        <v>0</v>
      </c>
      <c r="BI299" s="2030">
        <f t="shared" si="156"/>
        <v>0</v>
      </c>
      <c r="BJ299" s="2030">
        <f t="shared" si="156"/>
        <v>0</v>
      </c>
      <c r="BK299" s="2030">
        <f t="shared" si="156"/>
        <v>0</v>
      </c>
      <c r="BL299" s="2030">
        <f t="shared" si="156"/>
        <v>0</v>
      </c>
      <c r="BM299" s="2125"/>
      <c r="BN299" s="2125"/>
      <c r="BO299" s="2125"/>
      <c r="BP299" s="2125"/>
      <c r="BQ299" s="2125"/>
      <c r="BR299" s="2125"/>
      <c r="BS299" s="2125"/>
      <c r="BT299" s="2125"/>
      <c r="BU299" s="2029"/>
      <c r="BV299" s="2029"/>
      <c r="BW299" s="2029"/>
      <c r="BX299" s="2029"/>
      <c r="BY299" s="2029"/>
      <c r="BZ299" s="2032"/>
      <c r="CA299" s="1974">
        <f t="shared" ref="CA299:CK314" si="187">CA55</f>
        <v>0</v>
      </c>
      <c r="CB299" s="1974">
        <f t="shared" si="187"/>
        <v>0</v>
      </c>
      <c r="CC299" s="1974">
        <f t="shared" si="187"/>
        <v>0</v>
      </c>
      <c r="CD299" s="1974">
        <f t="shared" si="187"/>
        <v>0</v>
      </c>
      <c r="CE299" s="1974">
        <f t="shared" si="187"/>
        <v>0</v>
      </c>
      <c r="CF299" s="2033">
        <v>0</v>
      </c>
      <c r="CG299" s="2026">
        <v>0</v>
      </c>
      <c r="CH299" s="2009">
        <f t="shared" si="187"/>
        <v>0</v>
      </c>
      <c r="CI299" s="2031">
        <f t="shared" si="187"/>
        <v>0</v>
      </c>
      <c r="CJ299" s="1974">
        <f t="shared" si="187"/>
        <v>0</v>
      </c>
      <c r="CK299" s="2031">
        <f t="shared" si="187"/>
        <v>0</v>
      </c>
      <c r="CL299" s="2026">
        <v>1</v>
      </c>
      <c r="CM299" s="2026">
        <v>1</v>
      </c>
      <c r="CN299" s="2026">
        <v>1</v>
      </c>
      <c r="CO299" s="2026">
        <v>1</v>
      </c>
      <c r="CP299" s="2035"/>
      <c r="CQ299" s="2036"/>
      <c r="CR299" s="2036"/>
      <c r="CS299" s="2036"/>
      <c r="CT299" s="2036"/>
      <c r="CU299" s="2036"/>
      <c r="CW299" s="1973">
        <v>0</v>
      </c>
      <c r="CX299" s="2037">
        <v>52.5</v>
      </c>
      <c r="CY299" s="2037">
        <v>52.5</v>
      </c>
      <c r="CZ299" s="2037">
        <v>52.5</v>
      </c>
      <c r="DA299" s="2037">
        <v>52.5</v>
      </c>
      <c r="DJ299" s="1976">
        <v>52.5</v>
      </c>
      <c r="DK299" s="1973">
        <v>52.5</v>
      </c>
      <c r="DL299" s="1973">
        <v>52.5</v>
      </c>
      <c r="DM299" s="1973">
        <v>52.5</v>
      </c>
      <c r="DO299" s="1974">
        <v>12</v>
      </c>
      <c r="DP299" s="1974">
        <v>269.89999999999998</v>
      </c>
      <c r="DQ299" s="1974">
        <v>0.03</v>
      </c>
      <c r="DR299" s="1974">
        <v>0</v>
      </c>
      <c r="DS299" s="2124">
        <v>52.5</v>
      </c>
      <c r="DT299" s="2029">
        <v>52.5</v>
      </c>
      <c r="DU299" s="2029">
        <v>52.5</v>
      </c>
      <c r="DV299" s="2029">
        <v>52.5</v>
      </c>
      <c r="DW299" s="2124">
        <v>0</v>
      </c>
      <c r="DX299" s="2029">
        <v>0</v>
      </c>
      <c r="DY299" s="2029">
        <v>0</v>
      </c>
      <c r="DZ299" s="2029">
        <v>0</v>
      </c>
      <c r="EA299" s="2124">
        <v>142</v>
      </c>
      <c r="EB299" s="2029">
        <v>142</v>
      </c>
      <c r="EC299" s="2029">
        <v>142</v>
      </c>
      <c r="ED299" s="2029">
        <v>142</v>
      </c>
      <c r="EE299" s="2039">
        <f t="shared" si="168"/>
        <v>0</v>
      </c>
      <c r="EF299" s="2039">
        <f t="shared" si="168"/>
        <v>0</v>
      </c>
      <c r="EG299" s="2039">
        <f t="shared" si="168"/>
        <v>0</v>
      </c>
      <c r="EH299" s="2039">
        <f t="shared" si="167"/>
        <v>0</v>
      </c>
      <c r="EI299" s="2040">
        <f t="shared" si="165"/>
        <v>0</v>
      </c>
      <c r="EJ299" s="2040">
        <f t="shared" si="165"/>
        <v>0</v>
      </c>
      <c r="EK299" s="2040">
        <f t="shared" si="165"/>
        <v>0</v>
      </c>
      <c r="EL299" s="2040">
        <f t="shared" si="165"/>
        <v>0</v>
      </c>
      <c r="EM299" s="2040">
        <f t="shared" si="165"/>
        <v>0</v>
      </c>
      <c r="EN299" s="2040">
        <f t="shared" si="165"/>
        <v>0</v>
      </c>
      <c r="EO299" s="2040">
        <f t="shared" si="165"/>
        <v>0</v>
      </c>
      <c r="EP299" s="2040">
        <f t="shared" si="165"/>
        <v>0</v>
      </c>
      <c r="EQ299" s="2040">
        <f t="shared" si="165"/>
        <v>0</v>
      </c>
      <c r="ER299" s="2040">
        <f t="shared" si="185"/>
        <v>0</v>
      </c>
      <c r="ES299" s="2040">
        <f t="shared" si="185"/>
        <v>0</v>
      </c>
      <c r="ET299" s="2040">
        <f t="shared" si="185"/>
        <v>0</v>
      </c>
      <c r="EU299" s="2039">
        <f t="shared" si="169"/>
        <v>0</v>
      </c>
      <c r="EV299" s="2039">
        <f t="shared" si="170"/>
        <v>0</v>
      </c>
    </row>
    <row r="300" spans="1:152" x14ac:dyDescent="0.25">
      <c r="A300" s="2088" t="s">
        <v>115</v>
      </c>
      <c r="B300" s="2093" t="str">
        <f t="shared" si="146"/>
        <v>BPR28</v>
      </c>
      <c r="C300" s="1974">
        <f t="shared" si="186"/>
        <v>12</v>
      </c>
      <c r="D300" s="1974">
        <f t="shared" si="186"/>
        <v>595.4</v>
      </c>
      <c r="E300" s="1974">
        <f t="shared" si="186"/>
        <v>0.06</v>
      </c>
      <c r="F300" s="1974">
        <f t="shared" si="174"/>
        <v>0</v>
      </c>
      <c r="G300" s="1974" t="s">
        <v>2997</v>
      </c>
      <c r="H300" s="1974" t="s">
        <v>2997</v>
      </c>
      <c r="I300" s="2026">
        <v>0.96199999999999997</v>
      </c>
      <c r="J300" s="2026">
        <v>0.96199999999999997</v>
      </c>
      <c r="K300" s="2026">
        <v>0.96199999999999997</v>
      </c>
      <c r="L300" s="2026">
        <v>0.96199999999999997</v>
      </c>
      <c r="M300" s="2027">
        <f t="shared" si="158"/>
        <v>572.77479999999991</v>
      </c>
      <c r="N300" s="2027">
        <f t="shared" si="158"/>
        <v>572.77479999999991</v>
      </c>
      <c r="O300" s="2027">
        <f t="shared" si="158"/>
        <v>572.77479999999991</v>
      </c>
      <c r="P300" s="2027">
        <f t="shared" si="158"/>
        <v>572.77479999999991</v>
      </c>
      <c r="Q300" s="2026">
        <v>0.96199999999999997</v>
      </c>
      <c r="R300" s="2026">
        <v>0.96199999999999997</v>
      </c>
      <c r="S300" s="2026">
        <v>0.96199999999999997</v>
      </c>
      <c r="T300" s="2026">
        <v>0.96199999999999997</v>
      </c>
      <c r="U300" s="2028">
        <f t="shared" si="159"/>
        <v>5.7719999999999994E-2</v>
      </c>
      <c r="V300" s="2028">
        <f t="shared" si="159"/>
        <v>5.7719999999999994E-2</v>
      </c>
      <c r="W300" s="2028">
        <f t="shared" si="159"/>
        <v>5.7719999999999994E-2</v>
      </c>
      <c r="X300" s="2028">
        <f t="shared" si="159"/>
        <v>5.7719999999999994E-2</v>
      </c>
      <c r="Y300" s="2026">
        <v>0.96199999999999997</v>
      </c>
      <c r="Z300" s="2026">
        <v>0.96199999999999997</v>
      </c>
      <c r="AA300" s="2026">
        <v>0.96199999999999997</v>
      </c>
      <c r="AB300" s="2026">
        <v>0.96199999999999997</v>
      </c>
      <c r="AC300" s="2027">
        <f t="shared" si="160"/>
        <v>0</v>
      </c>
      <c r="AD300" s="2027">
        <f t="shared" si="160"/>
        <v>0</v>
      </c>
      <c r="AE300" s="2027">
        <f t="shared" si="160"/>
        <v>0</v>
      </c>
      <c r="AF300" s="2027">
        <f t="shared" si="160"/>
        <v>0</v>
      </c>
      <c r="AG300" s="2027">
        <v>0</v>
      </c>
      <c r="AH300" s="2028"/>
      <c r="AI300" s="2028"/>
      <c r="AJ300" s="2028"/>
      <c r="AK300" s="2027">
        <f t="shared" si="148"/>
        <v>0</v>
      </c>
      <c r="AL300" s="2027">
        <f t="shared" si="149"/>
        <v>0</v>
      </c>
      <c r="AM300" s="2027">
        <f t="shared" si="149"/>
        <v>0</v>
      </c>
      <c r="AN300" s="2027">
        <f t="shared" si="149"/>
        <v>0</v>
      </c>
      <c r="AO300" s="2027">
        <f t="shared" si="161"/>
        <v>0</v>
      </c>
      <c r="AP300" s="2027">
        <f t="shared" si="150"/>
        <v>0</v>
      </c>
      <c r="AQ300" s="2027">
        <f t="shared" si="150"/>
        <v>0</v>
      </c>
      <c r="AR300" s="2027">
        <f t="shared" si="150"/>
        <v>0</v>
      </c>
      <c r="AS300" s="2124">
        <f t="shared" si="184"/>
        <v>75</v>
      </c>
      <c r="AT300" s="2029">
        <f t="shared" si="151"/>
        <v>75</v>
      </c>
      <c r="AU300" s="2029">
        <f t="shared" si="151"/>
        <v>75</v>
      </c>
      <c r="AV300" s="2029">
        <f t="shared" si="151"/>
        <v>75</v>
      </c>
      <c r="AW300" s="2124">
        <f t="shared" si="152"/>
        <v>0</v>
      </c>
      <c r="AX300" s="2029">
        <f t="shared" si="171"/>
        <v>0</v>
      </c>
      <c r="AY300" s="2029">
        <f t="shared" si="171"/>
        <v>0</v>
      </c>
      <c r="AZ300" s="2029">
        <f t="shared" si="171"/>
        <v>0</v>
      </c>
      <c r="BA300" s="2124">
        <f t="shared" si="183"/>
        <v>166</v>
      </c>
      <c r="BB300" s="2029">
        <f t="shared" si="183"/>
        <v>166</v>
      </c>
      <c r="BC300" s="2029">
        <f t="shared" si="183"/>
        <v>166</v>
      </c>
      <c r="BD300" s="2029">
        <f t="shared" si="183"/>
        <v>166</v>
      </c>
      <c r="BE300" s="2030">
        <f t="shared" si="155"/>
        <v>0</v>
      </c>
      <c r="BF300" s="2030">
        <f t="shared" si="155"/>
        <v>0</v>
      </c>
      <c r="BG300" s="2030">
        <f t="shared" si="155"/>
        <v>0</v>
      </c>
      <c r="BH300" s="2030">
        <f t="shared" si="155"/>
        <v>0</v>
      </c>
      <c r="BI300" s="2030">
        <f t="shared" si="156"/>
        <v>0</v>
      </c>
      <c r="BJ300" s="2030">
        <f t="shared" si="156"/>
        <v>0</v>
      </c>
      <c r="BK300" s="2030">
        <f t="shared" si="156"/>
        <v>0</v>
      </c>
      <c r="BL300" s="2030">
        <f t="shared" si="156"/>
        <v>0</v>
      </c>
      <c r="BM300" s="2125"/>
      <c r="BN300" s="2125"/>
      <c r="BO300" s="2125"/>
      <c r="BP300" s="2125"/>
      <c r="BQ300" s="2125"/>
      <c r="BR300" s="2125"/>
      <c r="BS300" s="2125"/>
      <c r="BT300" s="2125"/>
      <c r="BU300" s="2029"/>
      <c r="BV300" s="2029"/>
      <c r="BW300" s="2029"/>
      <c r="BX300" s="2029"/>
      <c r="BY300" s="2029"/>
      <c r="BZ300" s="2032"/>
      <c r="CA300" s="1974">
        <f t="shared" si="187"/>
        <v>0</v>
      </c>
      <c r="CB300" s="1974">
        <f t="shared" si="187"/>
        <v>0</v>
      </c>
      <c r="CC300" s="1974">
        <f t="shared" si="187"/>
        <v>0</v>
      </c>
      <c r="CD300" s="1974">
        <f t="shared" si="187"/>
        <v>0</v>
      </c>
      <c r="CE300" s="1974">
        <f t="shared" si="187"/>
        <v>0</v>
      </c>
      <c r="CF300" s="2033">
        <v>0</v>
      </c>
      <c r="CG300" s="2026">
        <v>0</v>
      </c>
      <c r="CH300" s="2009">
        <f t="shared" si="187"/>
        <v>0</v>
      </c>
      <c r="CI300" s="2031">
        <f t="shared" si="187"/>
        <v>0</v>
      </c>
      <c r="CJ300" s="1974">
        <f t="shared" si="187"/>
        <v>0</v>
      </c>
      <c r="CK300" s="2031">
        <f t="shared" si="187"/>
        <v>0</v>
      </c>
      <c r="CL300" s="2026">
        <v>1</v>
      </c>
      <c r="CM300" s="2026">
        <v>1</v>
      </c>
      <c r="CN300" s="2026">
        <v>1</v>
      </c>
      <c r="CO300" s="2026">
        <v>1</v>
      </c>
      <c r="CP300" s="2035"/>
      <c r="CQ300" s="2036"/>
      <c r="CR300" s="2036"/>
      <c r="CS300" s="2036"/>
      <c r="CT300" s="2036"/>
      <c r="CU300" s="2036"/>
      <c r="CW300" s="1973">
        <v>0</v>
      </c>
      <c r="CX300" s="2037">
        <v>75</v>
      </c>
      <c r="CY300" s="2037">
        <v>75</v>
      </c>
      <c r="CZ300" s="2037">
        <v>75</v>
      </c>
      <c r="DA300" s="2037">
        <v>75</v>
      </c>
      <c r="DJ300" s="1976">
        <v>75</v>
      </c>
      <c r="DK300" s="1973">
        <v>75</v>
      </c>
      <c r="DL300" s="1973">
        <v>75</v>
      </c>
      <c r="DM300" s="1973">
        <v>75</v>
      </c>
      <c r="DO300" s="1974">
        <v>12</v>
      </c>
      <c r="DP300" s="1974">
        <v>595.4</v>
      </c>
      <c r="DQ300" s="1974">
        <v>0.06</v>
      </c>
      <c r="DR300" s="1974">
        <v>0</v>
      </c>
      <c r="DS300" s="2124">
        <v>75</v>
      </c>
      <c r="DT300" s="2029">
        <v>75</v>
      </c>
      <c r="DU300" s="2029">
        <v>75</v>
      </c>
      <c r="DV300" s="2029">
        <v>75</v>
      </c>
      <c r="DW300" s="2124">
        <v>0</v>
      </c>
      <c r="DX300" s="2029">
        <v>0</v>
      </c>
      <c r="DY300" s="2029">
        <v>0</v>
      </c>
      <c r="DZ300" s="2029">
        <v>0</v>
      </c>
      <c r="EA300" s="2124">
        <v>166</v>
      </c>
      <c r="EB300" s="2029">
        <v>166</v>
      </c>
      <c r="EC300" s="2029">
        <v>166</v>
      </c>
      <c r="ED300" s="2029">
        <v>166</v>
      </c>
      <c r="EE300" s="2039">
        <f t="shared" si="168"/>
        <v>0</v>
      </c>
      <c r="EF300" s="2039">
        <f t="shared" si="168"/>
        <v>0</v>
      </c>
      <c r="EG300" s="2039">
        <f t="shared" si="168"/>
        <v>0</v>
      </c>
      <c r="EH300" s="2039">
        <f t="shared" si="167"/>
        <v>0</v>
      </c>
      <c r="EI300" s="2040">
        <f t="shared" si="165"/>
        <v>0</v>
      </c>
      <c r="EJ300" s="2040">
        <f t="shared" si="165"/>
        <v>0</v>
      </c>
      <c r="EK300" s="2040">
        <f t="shared" si="165"/>
        <v>0</v>
      </c>
      <c r="EL300" s="2040">
        <f t="shared" si="165"/>
        <v>0</v>
      </c>
      <c r="EM300" s="2040">
        <f t="shared" si="165"/>
        <v>0</v>
      </c>
      <c r="EN300" s="2040">
        <f t="shared" si="165"/>
        <v>0</v>
      </c>
      <c r="EO300" s="2040">
        <f t="shared" si="165"/>
        <v>0</v>
      </c>
      <c r="EP300" s="2040">
        <f t="shared" si="165"/>
        <v>0</v>
      </c>
      <c r="EQ300" s="2040">
        <f t="shared" si="165"/>
        <v>0</v>
      </c>
      <c r="ER300" s="2040">
        <f t="shared" si="185"/>
        <v>0</v>
      </c>
      <c r="ES300" s="2040">
        <f t="shared" si="185"/>
        <v>0</v>
      </c>
      <c r="ET300" s="2040">
        <f t="shared" si="185"/>
        <v>0</v>
      </c>
      <c r="EU300" s="2039">
        <f t="shared" si="169"/>
        <v>0</v>
      </c>
      <c r="EV300" s="2039">
        <f t="shared" si="170"/>
        <v>0</v>
      </c>
    </row>
    <row r="301" spans="1:152" x14ac:dyDescent="0.25">
      <c r="A301" s="2088" t="s">
        <v>116</v>
      </c>
      <c r="B301" s="2093" t="str">
        <f t="shared" si="146"/>
        <v>BPR29</v>
      </c>
      <c r="C301" s="1974">
        <f t="shared" si="186"/>
        <v>12</v>
      </c>
      <c r="D301" s="1974">
        <f t="shared" si="186"/>
        <v>958.4</v>
      </c>
      <c r="E301" s="1974">
        <f t="shared" si="186"/>
        <v>0.1</v>
      </c>
      <c r="F301" s="1974">
        <f t="shared" si="174"/>
        <v>0</v>
      </c>
      <c r="G301" s="1974" t="s">
        <v>2997</v>
      </c>
      <c r="H301" s="1974" t="s">
        <v>2997</v>
      </c>
      <c r="I301" s="2026">
        <v>0.96199999999999997</v>
      </c>
      <c r="J301" s="2026">
        <v>0.96199999999999997</v>
      </c>
      <c r="K301" s="2026">
        <v>0.96199999999999997</v>
      </c>
      <c r="L301" s="2026">
        <v>0.96199999999999997</v>
      </c>
      <c r="M301" s="2027">
        <f t="shared" si="158"/>
        <v>921.98079999999993</v>
      </c>
      <c r="N301" s="2027">
        <f t="shared" si="158"/>
        <v>921.98079999999993</v>
      </c>
      <c r="O301" s="2027">
        <f t="shared" si="158"/>
        <v>921.98079999999993</v>
      </c>
      <c r="P301" s="2027">
        <f t="shared" si="158"/>
        <v>921.98079999999993</v>
      </c>
      <c r="Q301" s="2026">
        <v>0.96199999999999997</v>
      </c>
      <c r="R301" s="2026">
        <v>0.96199999999999997</v>
      </c>
      <c r="S301" s="2026">
        <v>0.96199999999999997</v>
      </c>
      <c r="T301" s="2026">
        <v>0.96199999999999997</v>
      </c>
      <c r="U301" s="2028">
        <f t="shared" si="159"/>
        <v>9.6200000000000008E-2</v>
      </c>
      <c r="V301" s="2028">
        <f t="shared" si="159"/>
        <v>9.6200000000000008E-2</v>
      </c>
      <c r="W301" s="2028">
        <f t="shared" si="159"/>
        <v>9.6200000000000008E-2</v>
      </c>
      <c r="X301" s="2028">
        <f t="shared" si="159"/>
        <v>9.6200000000000008E-2</v>
      </c>
      <c r="Y301" s="2026">
        <v>0.96199999999999997</v>
      </c>
      <c r="Z301" s="2026">
        <v>0.96199999999999997</v>
      </c>
      <c r="AA301" s="2026">
        <v>0.96199999999999997</v>
      </c>
      <c r="AB301" s="2026">
        <v>0.96199999999999997</v>
      </c>
      <c r="AC301" s="2027">
        <f t="shared" si="160"/>
        <v>0</v>
      </c>
      <c r="AD301" s="2027">
        <f t="shared" si="160"/>
        <v>0</v>
      </c>
      <c r="AE301" s="2027">
        <f t="shared" si="160"/>
        <v>0</v>
      </c>
      <c r="AF301" s="2027">
        <f t="shared" si="160"/>
        <v>0</v>
      </c>
      <c r="AG301" s="2027">
        <v>0</v>
      </c>
      <c r="AH301" s="2028"/>
      <c r="AI301" s="2028"/>
      <c r="AJ301" s="2028"/>
      <c r="AK301" s="2027">
        <f t="shared" si="148"/>
        <v>0</v>
      </c>
      <c r="AL301" s="2027">
        <f t="shared" si="149"/>
        <v>0</v>
      </c>
      <c r="AM301" s="2027">
        <f t="shared" si="149"/>
        <v>0</v>
      </c>
      <c r="AN301" s="2027">
        <f t="shared" si="149"/>
        <v>0</v>
      </c>
      <c r="AO301" s="2027">
        <f t="shared" si="161"/>
        <v>0</v>
      </c>
      <c r="AP301" s="2027">
        <f t="shared" si="150"/>
        <v>0</v>
      </c>
      <c r="AQ301" s="2027">
        <f t="shared" si="150"/>
        <v>0</v>
      </c>
      <c r="AR301" s="2027">
        <f t="shared" si="150"/>
        <v>0</v>
      </c>
      <c r="AS301" s="2124">
        <f t="shared" si="184"/>
        <v>150</v>
      </c>
      <c r="AT301" s="2029">
        <f t="shared" si="151"/>
        <v>150</v>
      </c>
      <c r="AU301" s="2029">
        <f t="shared" si="151"/>
        <v>150</v>
      </c>
      <c r="AV301" s="2029">
        <f t="shared" si="151"/>
        <v>150</v>
      </c>
      <c r="AW301" s="2124">
        <f t="shared" si="152"/>
        <v>0</v>
      </c>
      <c r="AX301" s="2029">
        <f t="shared" si="171"/>
        <v>0</v>
      </c>
      <c r="AY301" s="2029">
        <f t="shared" si="171"/>
        <v>0</v>
      </c>
      <c r="AZ301" s="2029">
        <f t="shared" si="171"/>
        <v>0</v>
      </c>
      <c r="BA301" s="2124">
        <f t="shared" ref="BA301:BD316" si="188">BA57</f>
        <v>166</v>
      </c>
      <c r="BB301" s="2029">
        <f t="shared" si="188"/>
        <v>166</v>
      </c>
      <c r="BC301" s="2029">
        <f t="shared" si="188"/>
        <v>166</v>
      </c>
      <c r="BD301" s="2029">
        <f t="shared" si="188"/>
        <v>166</v>
      </c>
      <c r="BE301" s="2030">
        <f t="shared" si="155"/>
        <v>0</v>
      </c>
      <c r="BF301" s="2030">
        <f t="shared" si="155"/>
        <v>0</v>
      </c>
      <c r="BG301" s="2030">
        <f t="shared" si="155"/>
        <v>0</v>
      </c>
      <c r="BH301" s="2030">
        <f t="shared" si="155"/>
        <v>0</v>
      </c>
      <c r="BI301" s="2030">
        <f t="shared" si="156"/>
        <v>0</v>
      </c>
      <c r="BJ301" s="2030">
        <f t="shared" si="156"/>
        <v>0</v>
      </c>
      <c r="BK301" s="2030">
        <f t="shared" si="156"/>
        <v>0</v>
      </c>
      <c r="BL301" s="2030">
        <f t="shared" si="156"/>
        <v>0</v>
      </c>
      <c r="BM301" s="2125"/>
      <c r="BN301" s="2125"/>
      <c r="BO301" s="2125"/>
      <c r="BP301" s="2125"/>
      <c r="BQ301" s="2125"/>
      <c r="BR301" s="2125"/>
      <c r="BS301" s="2125"/>
      <c r="BT301" s="2125"/>
      <c r="BU301" s="2029"/>
      <c r="BV301" s="2029"/>
      <c r="BW301" s="2029"/>
      <c r="BX301" s="2029"/>
      <c r="BY301" s="2029"/>
      <c r="BZ301" s="2032"/>
      <c r="CA301" s="1974">
        <f t="shared" si="187"/>
        <v>0</v>
      </c>
      <c r="CB301" s="1974">
        <f t="shared" si="187"/>
        <v>0</v>
      </c>
      <c r="CC301" s="1974">
        <f t="shared" si="187"/>
        <v>0</v>
      </c>
      <c r="CD301" s="1974">
        <f t="shared" si="187"/>
        <v>0</v>
      </c>
      <c r="CE301" s="1974">
        <f t="shared" si="187"/>
        <v>0</v>
      </c>
      <c r="CF301" s="2033">
        <v>0</v>
      </c>
      <c r="CG301" s="2026">
        <v>0</v>
      </c>
      <c r="CH301" s="2009">
        <f t="shared" si="187"/>
        <v>0</v>
      </c>
      <c r="CI301" s="2031">
        <f t="shared" si="187"/>
        <v>0</v>
      </c>
      <c r="CJ301" s="1974">
        <f t="shared" si="187"/>
        <v>0</v>
      </c>
      <c r="CK301" s="2031">
        <f t="shared" si="187"/>
        <v>0</v>
      </c>
      <c r="CL301" s="2026">
        <v>1</v>
      </c>
      <c r="CM301" s="2026">
        <v>1</v>
      </c>
      <c r="CN301" s="2026">
        <v>1</v>
      </c>
      <c r="CO301" s="2026">
        <v>1</v>
      </c>
      <c r="CP301" s="2035"/>
      <c r="CQ301" s="2036"/>
      <c r="CR301" s="2036"/>
      <c r="CS301" s="2036"/>
      <c r="CT301" s="2036"/>
      <c r="CU301" s="2036"/>
      <c r="CW301" s="1973">
        <v>0</v>
      </c>
      <c r="CX301" s="2037">
        <v>150</v>
      </c>
      <c r="CY301" s="2037">
        <v>150</v>
      </c>
      <c r="CZ301" s="2037">
        <v>150</v>
      </c>
      <c r="DA301" s="2037">
        <v>150</v>
      </c>
      <c r="DJ301" s="1976">
        <v>150</v>
      </c>
      <c r="DK301" s="1973">
        <v>150</v>
      </c>
      <c r="DL301" s="1973">
        <v>150</v>
      </c>
      <c r="DM301" s="1973">
        <v>150</v>
      </c>
      <c r="DO301" s="1974">
        <v>12</v>
      </c>
      <c r="DP301" s="1974">
        <v>958.4</v>
      </c>
      <c r="DQ301" s="1974">
        <v>0.1</v>
      </c>
      <c r="DR301" s="1974">
        <v>0</v>
      </c>
      <c r="DS301" s="2124">
        <v>150</v>
      </c>
      <c r="DT301" s="2029">
        <v>150</v>
      </c>
      <c r="DU301" s="2029">
        <v>150</v>
      </c>
      <c r="DV301" s="2029">
        <v>150</v>
      </c>
      <c r="DW301" s="2124">
        <v>0</v>
      </c>
      <c r="DX301" s="2029">
        <v>0</v>
      </c>
      <c r="DY301" s="2029">
        <v>0</v>
      </c>
      <c r="DZ301" s="2029">
        <v>0</v>
      </c>
      <c r="EA301" s="2124">
        <v>166</v>
      </c>
      <c r="EB301" s="2029">
        <v>166</v>
      </c>
      <c r="EC301" s="2029">
        <v>166</v>
      </c>
      <c r="ED301" s="2029">
        <v>166</v>
      </c>
      <c r="EE301" s="2039">
        <f t="shared" si="168"/>
        <v>0</v>
      </c>
      <c r="EF301" s="2039">
        <f t="shared" si="168"/>
        <v>0</v>
      </c>
      <c r="EG301" s="2039">
        <f t="shared" si="168"/>
        <v>0</v>
      </c>
      <c r="EH301" s="2039">
        <f t="shared" si="167"/>
        <v>0</v>
      </c>
      <c r="EI301" s="2040">
        <f t="shared" si="165"/>
        <v>0</v>
      </c>
      <c r="EJ301" s="2040">
        <f t="shared" si="165"/>
        <v>0</v>
      </c>
      <c r="EK301" s="2040">
        <f t="shared" si="165"/>
        <v>0</v>
      </c>
      <c r="EL301" s="2040">
        <f t="shared" si="165"/>
        <v>0</v>
      </c>
      <c r="EM301" s="2040">
        <f t="shared" si="165"/>
        <v>0</v>
      </c>
      <c r="EN301" s="2040">
        <f t="shared" si="165"/>
        <v>0</v>
      </c>
      <c r="EO301" s="2040">
        <f t="shared" si="165"/>
        <v>0</v>
      </c>
      <c r="EP301" s="2040">
        <f t="shared" si="165"/>
        <v>0</v>
      </c>
      <c r="EQ301" s="2040">
        <f t="shared" si="165"/>
        <v>0</v>
      </c>
      <c r="ER301" s="2040">
        <f t="shared" si="185"/>
        <v>0</v>
      </c>
      <c r="ES301" s="2040">
        <f t="shared" si="185"/>
        <v>0</v>
      </c>
      <c r="ET301" s="2040">
        <f t="shared" si="185"/>
        <v>0</v>
      </c>
      <c r="EU301" s="2039">
        <f t="shared" si="169"/>
        <v>0</v>
      </c>
      <c r="EV301" s="2039">
        <f t="shared" si="170"/>
        <v>0</v>
      </c>
    </row>
    <row r="302" spans="1:152" x14ac:dyDescent="0.25">
      <c r="A302" s="2088" t="s">
        <v>117</v>
      </c>
      <c r="B302" s="2093" t="str">
        <f t="shared" si="146"/>
        <v>BPR30</v>
      </c>
      <c r="C302" s="1974">
        <f t="shared" si="186"/>
        <v>12</v>
      </c>
      <c r="D302" s="1974">
        <f t="shared" si="186"/>
        <v>2765.5</v>
      </c>
      <c r="E302" s="1974">
        <f t="shared" si="186"/>
        <v>0.3</v>
      </c>
      <c r="F302" s="1974">
        <f t="shared" si="174"/>
        <v>0</v>
      </c>
      <c r="G302" s="1974" t="s">
        <v>2997</v>
      </c>
      <c r="H302" s="1974" t="s">
        <v>2997</v>
      </c>
      <c r="I302" s="2026">
        <v>0.96199999999999997</v>
      </c>
      <c r="J302" s="2026">
        <v>0.96199999999999997</v>
      </c>
      <c r="K302" s="2026">
        <v>0.96199999999999997</v>
      </c>
      <c r="L302" s="2026">
        <v>0.96199999999999997</v>
      </c>
      <c r="M302" s="2027">
        <f t="shared" si="158"/>
        <v>2660.4110000000001</v>
      </c>
      <c r="N302" s="2027">
        <f t="shared" si="158"/>
        <v>2660.4110000000001</v>
      </c>
      <c r="O302" s="2027">
        <f t="shared" si="158"/>
        <v>2660.4110000000001</v>
      </c>
      <c r="P302" s="2027">
        <f t="shared" si="158"/>
        <v>2660.4110000000001</v>
      </c>
      <c r="Q302" s="2026">
        <v>0.96199999999999997</v>
      </c>
      <c r="R302" s="2026">
        <v>0.96199999999999997</v>
      </c>
      <c r="S302" s="2026">
        <v>0.96199999999999997</v>
      </c>
      <c r="T302" s="2026">
        <v>0.96199999999999997</v>
      </c>
      <c r="U302" s="2028">
        <f t="shared" si="159"/>
        <v>0.28859999999999997</v>
      </c>
      <c r="V302" s="2028">
        <f t="shared" si="159"/>
        <v>0.28859999999999997</v>
      </c>
      <c r="W302" s="2028">
        <f t="shared" si="159"/>
        <v>0.28859999999999997</v>
      </c>
      <c r="X302" s="2028">
        <f t="shared" si="159"/>
        <v>0.28859999999999997</v>
      </c>
      <c r="Y302" s="2026">
        <v>0.96199999999999997</v>
      </c>
      <c r="Z302" s="2026">
        <v>0.96199999999999997</v>
      </c>
      <c r="AA302" s="2026">
        <v>0.96199999999999997</v>
      </c>
      <c r="AB302" s="2026">
        <v>0.96199999999999997</v>
      </c>
      <c r="AC302" s="2027">
        <f t="shared" si="160"/>
        <v>0</v>
      </c>
      <c r="AD302" s="2027">
        <f t="shared" si="160"/>
        <v>0</v>
      </c>
      <c r="AE302" s="2027">
        <f t="shared" si="160"/>
        <v>0</v>
      </c>
      <c r="AF302" s="2027">
        <f t="shared" si="160"/>
        <v>0</v>
      </c>
      <c r="AG302" s="2027">
        <v>0</v>
      </c>
      <c r="AH302" s="2028"/>
      <c r="AI302" s="2028"/>
      <c r="AJ302" s="2028"/>
      <c r="AK302" s="2027">
        <f t="shared" si="148"/>
        <v>0</v>
      </c>
      <c r="AL302" s="2027">
        <f t="shared" si="149"/>
        <v>0</v>
      </c>
      <c r="AM302" s="2027">
        <f t="shared" si="149"/>
        <v>0</v>
      </c>
      <c r="AN302" s="2027">
        <f t="shared" si="149"/>
        <v>0</v>
      </c>
      <c r="AO302" s="2027">
        <f t="shared" si="161"/>
        <v>0</v>
      </c>
      <c r="AP302" s="2027">
        <f t="shared" si="150"/>
        <v>0</v>
      </c>
      <c r="AQ302" s="2027">
        <f t="shared" si="150"/>
        <v>0</v>
      </c>
      <c r="AR302" s="2027">
        <f t="shared" si="150"/>
        <v>0</v>
      </c>
      <c r="AS302" s="2124">
        <f t="shared" si="184"/>
        <v>300</v>
      </c>
      <c r="AT302" s="2029">
        <f t="shared" si="151"/>
        <v>300</v>
      </c>
      <c r="AU302" s="2029">
        <f t="shared" si="151"/>
        <v>300</v>
      </c>
      <c r="AV302" s="2029">
        <f t="shared" si="151"/>
        <v>300</v>
      </c>
      <c r="AW302" s="2124">
        <f t="shared" si="152"/>
        <v>0</v>
      </c>
      <c r="AX302" s="2029">
        <f t="shared" si="171"/>
        <v>0</v>
      </c>
      <c r="AY302" s="2029">
        <f t="shared" si="171"/>
        <v>0</v>
      </c>
      <c r="AZ302" s="2029">
        <f t="shared" si="171"/>
        <v>0</v>
      </c>
      <c r="BA302" s="2124">
        <f t="shared" si="188"/>
        <v>407</v>
      </c>
      <c r="BB302" s="2029">
        <f t="shared" si="188"/>
        <v>407</v>
      </c>
      <c r="BC302" s="2029">
        <f t="shared" si="188"/>
        <v>407</v>
      </c>
      <c r="BD302" s="2029">
        <f t="shared" si="188"/>
        <v>407</v>
      </c>
      <c r="BE302" s="2030">
        <f t="shared" si="155"/>
        <v>0</v>
      </c>
      <c r="BF302" s="2030">
        <f t="shared" si="155"/>
        <v>0</v>
      </c>
      <c r="BG302" s="2030">
        <f t="shared" si="155"/>
        <v>0</v>
      </c>
      <c r="BH302" s="2030">
        <f t="shared" si="155"/>
        <v>0</v>
      </c>
      <c r="BI302" s="2030">
        <f t="shared" si="156"/>
        <v>0</v>
      </c>
      <c r="BJ302" s="2030">
        <f t="shared" si="156"/>
        <v>0</v>
      </c>
      <c r="BK302" s="2030">
        <f t="shared" si="156"/>
        <v>0</v>
      </c>
      <c r="BL302" s="2030">
        <f t="shared" si="156"/>
        <v>0</v>
      </c>
      <c r="BM302" s="2125"/>
      <c r="BN302" s="2125"/>
      <c r="BO302" s="2125"/>
      <c r="BP302" s="2125"/>
      <c r="BQ302" s="2125"/>
      <c r="BR302" s="2125"/>
      <c r="BS302" s="2125"/>
      <c r="BT302" s="2125"/>
      <c r="BU302" s="2029"/>
      <c r="BV302" s="2029"/>
      <c r="BW302" s="2029"/>
      <c r="BX302" s="2029"/>
      <c r="BY302" s="2029"/>
      <c r="BZ302" s="2032"/>
      <c r="CA302" s="1974">
        <f t="shared" si="187"/>
        <v>0</v>
      </c>
      <c r="CB302" s="1974">
        <f t="shared" si="187"/>
        <v>0</v>
      </c>
      <c r="CC302" s="1974">
        <f t="shared" si="187"/>
        <v>0</v>
      </c>
      <c r="CD302" s="1974">
        <f t="shared" si="187"/>
        <v>0</v>
      </c>
      <c r="CE302" s="1974">
        <f t="shared" si="187"/>
        <v>0</v>
      </c>
      <c r="CF302" s="2033">
        <v>0</v>
      </c>
      <c r="CG302" s="2026">
        <v>0</v>
      </c>
      <c r="CH302" s="2009">
        <f t="shared" si="187"/>
        <v>0</v>
      </c>
      <c r="CI302" s="2031">
        <f t="shared" si="187"/>
        <v>0</v>
      </c>
      <c r="CJ302" s="1974">
        <f t="shared" si="187"/>
        <v>0</v>
      </c>
      <c r="CK302" s="2031">
        <f t="shared" si="187"/>
        <v>0</v>
      </c>
      <c r="CL302" s="2026">
        <v>1</v>
      </c>
      <c r="CM302" s="2026">
        <v>1</v>
      </c>
      <c r="CN302" s="2026">
        <v>1</v>
      </c>
      <c r="CO302" s="2026">
        <v>1</v>
      </c>
      <c r="CP302" s="2035"/>
      <c r="CQ302" s="2036"/>
      <c r="CR302" s="2036"/>
      <c r="CS302" s="2036"/>
      <c r="CT302" s="2036"/>
      <c r="CU302" s="2036"/>
      <c r="CW302" s="1973">
        <v>0</v>
      </c>
      <c r="CX302" s="2037">
        <v>300</v>
      </c>
      <c r="CY302" s="2037">
        <v>300</v>
      </c>
      <c r="CZ302" s="2037">
        <v>300</v>
      </c>
      <c r="DA302" s="2037">
        <v>300</v>
      </c>
      <c r="DJ302" s="1976">
        <v>300</v>
      </c>
      <c r="DK302" s="1973">
        <v>300</v>
      </c>
      <c r="DL302" s="1973">
        <v>300</v>
      </c>
      <c r="DM302" s="1973">
        <v>300</v>
      </c>
      <c r="DO302" s="1974">
        <v>12</v>
      </c>
      <c r="DP302" s="1974">
        <v>2765.5</v>
      </c>
      <c r="DQ302" s="1974">
        <v>0.3</v>
      </c>
      <c r="DR302" s="1974">
        <v>0</v>
      </c>
      <c r="DS302" s="2124">
        <v>300</v>
      </c>
      <c r="DT302" s="2029">
        <v>300</v>
      </c>
      <c r="DU302" s="2029">
        <v>300</v>
      </c>
      <c r="DV302" s="2029">
        <v>300</v>
      </c>
      <c r="DW302" s="2124">
        <v>0</v>
      </c>
      <c r="DX302" s="2029">
        <v>0</v>
      </c>
      <c r="DY302" s="2029">
        <v>0</v>
      </c>
      <c r="DZ302" s="2029">
        <v>0</v>
      </c>
      <c r="EA302" s="2124">
        <v>407</v>
      </c>
      <c r="EB302" s="2029">
        <v>407</v>
      </c>
      <c r="EC302" s="2029">
        <v>407</v>
      </c>
      <c r="ED302" s="2029">
        <v>407</v>
      </c>
      <c r="EE302" s="2039">
        <f t="shared" si="168"/>
        <v>0</v>
      </c>
      <c r="EF302" s="2039">
        <f t="shared" si="168"/>
        <v>0</v>
      </c>
      <c r="EG302" s="2039">
        <f t="shared" si="168"/>
        <v>0</v>
      </c>
      <c r="EH302" s="2039">
        <f t="shared" si="167"/>
        <v>0</v>
      </c>
      <c r="EI302" s="2040">
        <f t="shared" si="165"/>
        <v>0</v>
      </c>
      <c r="EJ302" s="2040">
        <f t="shared" si="165"/>
        <v>0</v>
      </c>
      <c r="EK302" s="2040">
        <f t="shared" si="165"/>
        <v>0</v>
      </c>
      <c r="EL302" s="2040">
        <f t="shared" si="165"/>
        <v>0</v>
      </c>
      <c r="EM302" s="2040">
        <f t="shared" si="165"/>
        <v>0</v>
      </c>
      <c r="EN302" s="2040">
        <f t="shared" si="165"/>
        <v>0</v>
      </c>
      <c r="EO302" s="2040">
        <f t="shared" si="165"/>
        <v>0</v>
      </c>
      <c r="EP302" s="2040">
        <f t="shared" si="165"/>
        <v>0</v>
      </c>
      <c r="EQ302" s="2040">
        <f t="shared" si="165"/>
        <v>0</v>
      </c>
      <c r="ER302" s="2040">
        <f t="shared" si="185"/>
        <v>0</v>
      </c>
      <c r="ES302" s="2040">
        <f t="shared" si="185"/>
        <v>0</v>
      </c>
      <c r="ET302" s="2040">
        <f t="shared" si="185"/>
        <v>0</v>
      </c>
      <c r="EU302" s="2039">
        <f t="shared" si="169"/>
        <v>0</v>
      </c>
      <c r="EV302" s="2039">
        <f t="shared" si="170"/>
        <v>0</v>
      </c>
    </row>
    <row r="303" spans="1:152" x14ac:dyDescent="0.25">
      <c r="A303" s="2088" t="s">
        <v>118</v>
      </c>
      <c r="B303" s="2093" t="str">
        <f t="shared" si="146"/>
        <v>BPR4</v>
      </c>
      <c r="C303" s="1974">
        <f t="shared" si="186"/>
        <v>15</v>
      </c>
      <c r="D303" s="1974">
        <f t="shared" si="186"/>
        <v>357.5</v>
      </c>
      <c r="E303" s="1974">
        <f t="shared" si="186"/>
        <v>0.04</v>
      </c>
      <c r="F303" s="1974">
        <f t="shared" si="174"/>
        <v>0</v>
      </c>
      <c r="G303" s="1974" t="s">
        <v>2997</v>
      </c>
      <c r="H303" s="1974" t="s">
        <v>2997</v>
      </c>
      <c r="I303" s="2026">
        <v>0.96199999999999997</v>
      </c>
      <c r="J303" s="2026">
        <v>0.96199999999999997</v>
      </c>
      <c r="K303" s="2026">
        <v>0.96199999999999997</v>
      </c>
      <c r="L303" s="2026">
        <v>0.96199999999999997</v>
      </c>
      <c r="M303" s="2027">
        <f t="shared" si="158"/>
        <v>343.91499999999996</v>
      </c>
      <c r="N303" s="2027">
        <f t="shared" si="158"/>
        <v>343.91499999999996</v>
      </c>
      <c r="O303" s="2027">
        <f t="shared" si="158"/>
        <v>343.91499999999996</v>
      </c>
      <c r="P303" s="2027">
        <f t="shared" si="158"/>
        <v>343.91499999999996</v>
      </c>
      <c r="Q303" s="2026">
        <v>0.96199999999999997</v>
      </c>
      <c r="R303" s="2026">
        <v>0.96199999999999997</v>
      </c>
      <c r="S303" s="2026">
        <v>0.96199999999999997</v>
      </c>
      <c r="T303" s="2026">
        <v>0.96199999999999997</v>
      </c>
      <c r="U303" s="2028">
        <f t="shared" si="159"/>
        <v>3.848E-2</v>
      </c>
      <c r="V303" s="2028">
        <f t="shared" si="159"/>
        <v>3.848E-2</v>
      </c>
      <c r="W303" s="2028">
        <f t="shared" si="159"/>
        <v>3.848E-2</v>
      </c>
      <c r="X303" s="2028">
        <f t="shared" si="159"/>
        <v>3.848E-2</v>
      </c>
      <c r="Y303" s="2026">
        <v>0.96199999999999997</v>
      </c>
      <c r="Z303" s="2026">
        <v>0.96199999999999997</v>
      </c>
      <c r="AA303" s="2026">
        <v>0.96199999999999997</v>
      </c>
      <c r="AB303" s="2026">
        <v>0.96199999999999997</v>
      </c>
      <c r="AC303" s="2027">
        <f t="shared" si="160"/>
        <v>0</v>
      </c>
      <c r="AD303" s="2027">
        <f t="shared" si="160"/>
        <v>0</v>
      </c>
      <c r="AE303" s="2027">
        <f t="shared" si="160"/>
        <v>0</v>
      </c>
      <c r="AF303" s="2027">
        <f t="shared" si="160"/>
        <v>0</v>
      </c>
      <c r="AG303" s="2027">
        <v>0</v>
      </c>
      <c r="AH303" s="2028"/>
      <c r="AI303" s="2028"/>
      <c r="AJ303" s="2028"/>
      <c r="AK303" s="2027">
        <f t="shared" si="148"/>
        <v>0</v>
      </c>
      <c r="AL303" s="2027">
        <f t="shared" si="149"/>
        <v>0</v>
      </c>
      <c r="AM303" s="2027">
        <f t="shared" si="149"/>
        <v>0</v>
      </c>
      <c r="AN303" s="2027">
        <f t="shared" si="149"/>
        <v>0</v>
      </c>
      <c r="AO303" s="2027">
        <f t="shared" si="161"/>
        <v>0</v>
      </c>
      <c r="AP303" s="2027">
        <f t="shared" si="150"/>
        <v>0</v>
      </c>
      <c r="AQ303" s="2027">
        <f t="shared" si="150"/>
        <v>0</v>
      </c>
      <c r="AR303" s="2027">
        <f t="shared" si="150"/>
        <v>0</v>
      </c>
      <c r="AS303" s="2124">
        <f t="shared" si="184"/>
        <v>37.5</v>
      </c>
      <c r="AT303" s="2029">
        <f t="shared" si="151"/>
        <v>37.5</v>
      </c>
      <c r="AU303" s="2029">
        <f t="shared" si="151"/>
        <v>37.5</v>
      </c>
      <c r="AV303" s="2029">
        <f t="shared" si="151"/>
        <v>37.5</v>
      </c>
      <c r="AW303" s="2124">
        <f t="shared" si="152"/>
        <v>0</v>
      </c>
      <c r="AX303" s="2029">
        <f t="shared" si="171"/>
        <v>0</v>
      </c>
      <c r="AY303" s="2029">
        <f t="shared" si="171"/>
        <v>0</v>
      </c>
      <c r="AZ303" s="2029">
        <f t="shared" si="171"/>
        <v>0</v>
      </c>
      <c r="BA303" s="2124">
        <f t="shared" si="188"/>
        <v>50</v>
      </c>
      <c r="BB303" s="2029">
        <f t="shared" si="188"/>
        <v>50</v>
      </c>
      <c r="BC303" s="2029">
        <f t="shared" si="188"/>
        <v>50</v>
      </c>
      <c r="BD303" s="2029">
        <f t="shared" si="188"/>
        <v>50</v>
      </c>
      <c r="BE303" s="2030">
        <f t="shared" si="155"/>
        <v>0</v>
      </c>
      <c r="BF303" s="2030">
        <f t="shared" si="155"/>
        <v>0</v>
      </c>
      <c r="BG303" s="2030">
        <f t="shared" si="155"/>
        <v>0</v>
      </c>
      <c r="BH303" s="2030">
        <f t="shared" si="155"/>
        <v>0</v>
      </c>
      <c r="BI303" s="2030">
        <f t="shared" si="156"/>
        <v>0</v>
      </c>
      <c r="BJ303" s="2030">
        <f t="shared" si="156"/>
        <v>0</v>
      </c>
      <c r="BK303" s="2030">
        <f t="shared" si="156"/>
        <v>0</v>
      </c>
      <c r="BL303" s="2030">
        <f t="shared" si="156"/>
        <v>0</v>
      </c>
      <c r="BM303" s="2125"/>
      <c r="BN303" s="2125"/>
      <c r="BO303" s="2125"/>
      <c r="BP303" s="2125"/>
      <c r="BQ303" s="2125"/>
      <c r="BR303" s="2125"/>
      <c r="BS303" s="2125"/>
      <c r="BT303" s="2125"/>
      <c r="BU303" s="2029"/>
      <c r="BV303" s="2029"/>
      <c r="BW303" s="2029"/>
      <c r="BX303" s="2029"/>
      <c r="BY303" s="2029"/>
      <c r="BZ303" s="2032"/>
      <c r="CA303" s="1974">
        <f t="shared" si="187"/>
        <v>0</v>
      </c>
      <c r="CB303" s="1974">
        <f t="shared" si="187"/>
        <v>0</v>
      </c>
      <c r="CC303" s="1974">
        <f t="shared" si="187"/>
        <v>0</v>
      </c>
      <c r="CD303" s="1974">
        <f t="shared" si="187"/>
        <v>0</v>
      </c>
      <c r="CE303" s="1974">
        <f t="shared" si="187"/>
        <v>0</v>
      </c>
      <c r="CF303" s="2033">
        <v>0</v>
      </c>
      <c r="CG303" s="2026">
        <v>0</v>
      </c>
      <c r="CH303" s="2009">
        <f t="shared" si="187"/>
        <v>0</v>
      </c>
      <c r="CI303" s="2031">
        <f t="shared" si="187"/>
        <v>0</v>
      </c>
      <c r="CJ303" s="1974">
        <f t="shared" si="187"/>
        <v>0</v>
      </c>
      <c r="CK303" s="2031">
        <f t="shared" si="187"/>
        <v>0</v>
      </c>
      <c r="CL303" s="2026">
        <v>1</v>
      </c>
      <c r="CM303" s="2026">
        <v>1</v>
      </c>
      <c r="CN303" s="2026">
        <v>1</v>
      </c>
      <c r="CO303" s="2026">
        <v>1</v>
      </c>
      <c r="CP303" s="2035"/>
      <c r="CQ303" s="2036"/>
      <c r="CR303" s="2036"/>
      <c r="CS303" s="2036"/>
      <c r="CT303" s="2036"/>
      <c r="CU303" s="2036"/>
      <c r="CW303" s="1973">
        <v>0</v>
      </c>
      <c r="CX303" s="2037">
        <v>37.5</v>
      </c>
      <c r="CY303" s="2037">
        <v>37.5</v>
      </c>
      <c r="CZ303" s="2037">
        <v>37.5</v>
      </c>
      <c r="DA303" s="2037">
        <v>37.5</v>
      </c>
      <c r="DJ303" s="1976">
        <v>37.5</v>
      </c>
      <c r="DK303" s="1973">
        <v>37.5</v>
      </c>
      <c r="DL303" s="1973">
        <v>37.5</v>
      </c>
      <c r="DM303" s="1973">
        <v>37.5</v>
      </c>
      <c r="DO303" s="1974">
        <v>15</v>
      </c>
      <c r="DP303" s="1974">
        <v>357.5</v>
      </c>
      <c r="DQ303" s="1974">
        <v>0.04</v>
      </c>
      <c r="DR303" s="1974">
        <v>0</v>
      </c>
      <c r="DS303" s="2124">
        <v>37.5</v>
      </c>
      <c r="DT303" s="2029">
        <v>37.5</v>
      </c>
      <c r="DU303" s="2029">
        <v>37.5</v>
      </c>
      <c r="DV303" s="2029">
        <v>37.5</v>
      </c>
      <c r="DW303" s="2124">
        <v>0</v>
      </c>
      <c r="DX303" s="2029">
        <v>0</v>
      </c>
      <c r="DY303" s="2029">
        <v>0</v>
      </c>
      <c r="DZ303" s="2029">
        <v>0</v>
      </c>
      <c r="EA303" s="2124">
        <v>50</v>
      </c>
      <c r="EB303" s="2029">
        <v>50</v>
      </c>
      <c r="EC303" s="2029">
        <v>50</v>
      </c>
      <c r="ED303" s="2029">
        <v>50</v>
      </c>
      <c r="EE303" s="2039">
        <f t="shared" si="168"/>
        <v>0</v>
      </c>
      <c r="EF303" s="2039">
        <f t="shared" si="168"/>
        <v>0</v>
      </c>
      <c r="EG303" s="2039">
        <f t="shared" si="168"/>
        <v>0</v>
      </c>
      <c r="EH303" s="2039">
        <f t="shared" si="167"/>
        <v>0</v>
      </c>
      <c r="EI303" s="2040">
        <f t="shared" si="165"/>
        <v>0</v>
      </c>
      <c r="EJ303" s="2040">
        <f t="shared" si="165"/>
        <v>0</v>
      </c>
      <c r="EK303" s="2040">
        <f t="shared" si="165"/>
        <v>0</v>
      </c>
      <c r="EL303" s="2040">
        <f t="shared" si="165"/>
        <v>0</v>
      </c>
      <c r="EM303" s="2040">
        <f t="shared" si="165"/>
        <v>0</v>
      </c>
      <c r="EN303" s="2040">
        <f t="shared" si="165"/>
        <v>0</v>
      </c>
      <c r="EO303" s="2040">
        <f t="shared" si="165"/>
        <v>0</v>
      </c>
      <c r="EP303" s="2040">
        <f t="shared" si="165"/>
        <v>0</v>
      </c>
      <c r="EQ303" s="2040">
        <f t="shared" si="165"/>
        <v>0</v>
      </c>
      <c r="ER303" s="2040">
        <f t="shared" si="185"/>
        <v>0</v>
      </c>
      <c r="ES303" s="2040">
        <f t="shared" si="185"/>
        <v>0</v>
      </c>
      <c r="ET303" s="2040">
        <f t="shared" si="185"/>
        <v>0</v>
      </c>
      <c r="EU303" s="2039">
        <f t="shared" si="169"/>
        <v>0</v>
      </c>
      <c r="EV303" s="2039">
        <f t="shared" si="170"/>
        <v>0</v>
      </c>
    </row>
    <row r="304" spans="1:152" x14ac:dyDescent="0.25">
      <c r="A304" s="2088" t="s">
        <v>119</v>
      </c>
      <c r="B304" s="2093" t="str">
        <f t="shared" si="146"/>
        <v>BPR19</v>
      </c>
      <c r="C304" s="1974">
        <f t="shared" si="186"/>
        <v>15</v>
      </c>
      <c r="D304" s="1974">
        <f t="shared" si="186"/>
        <v>577</v>
      </c>
      <c r="E304" s="1974">
        <f t="shared" si="186"/>
        <v>0.09</v>
      </c>
      <c r="F304" s="1974">
        <f t="shared" si="174"/>
        <v>0</v>
      </c>
      <c r="G304" s="1974" t="s">
        <v>2997</v>
      </c>
      <c r="H304" s="1974" t="s">
        <v>2997</v>
      </c>
      <c r="I304" s="2026">
        <v>0.96199999999999997</v>
      </c>
      <c r="J304" s="2026">
        <v>0.96199999999999997</v>
      </c>
      <c r="K304" s="2026">
        <v>0.96199999999999997</v>
      </c>
      <c r="L304" s="2026">
        <v>0.96199999999999997</v>
      </c>
      <c r="M304" s="2027">
        <f t="shared" si="158"/>
        <v>555.07399999999996</v>
      </c>
      <c r="N304" s="2027">
        <f t="shared" si="158"/>
        <v>555.07399999999996</v>
      </c>
      <c r="O304" s="2027">
        <f t="shared" si="158"/>
        <v>555.07399999999996</v>
      </c>
      <c r="P304" s="2027">
        <f t="shared" si="158"/>
        <v>555.07399999999996</v>
      </c>
      <c r="Q304" s="2026">
        <v>0.96199999999999997</v>
      </c>
      <c r="R304" s="2026">
        <v>0.96199999999999997</v>
      </c>
      <c r="S304" s="2026">
        <v>0.96199999999999997</v>
      </c>
      <c r="T304" s="2026">
        <v>0.96199999999999997</v>
      </c>
      <c r="U304" s="2028">
        <f t="shared" si="159"/>
        <v>8.657999999999999E-2</v>
      </c>
      <c r="V304" s="2028">
        <f t="shared" si="159"/>
        <v>8.657999999999999E-2</v>
      </c>
      <c r="W304" s="2028">
        <f t="shared" si="159"/>
        <v>8.657999999999999E-2</v>
      </c>
      <c r="X304" s="2028">
        <f t="shared" si="159"/>
        <v>8.657999999999999E-2</v>
      </c>
      <c r="Y304" s="2026">
        <v>0.96199999999999997</v>
      </c>
      <c r="Z304" s="2026">
        <v>0.96199999999999997</v>
      </c>
      <c r="AA304" s="2026">
        <v>0.96199999999999997</v>
      </c>
      <c r="AB304" s="2026">
        <v>0.96199999999999997</v>
      </c>
      <c r="AC304" s="2027">
        <f t="shared" si="160"/>
        <v>0</v>
      </c>
      <c r="AD304" s="2027">
        <f t="shared" si="160"/>
        <v>0</v>
      </c>
      <c r="AE304" s="2027">
        <f t="shared" si="160"/>
        <v>0</v>
      </c>
      <c r="AF304" s="2027">
        <f t="shared" si="160"/>
        <v>0</v>
      </c>
      <c r="AG304" s="2027">
        <v>0</v>
      </c>
      <c r="AH304" s="2028"/>
      <c r="AI304" s="2028"/>
      <c r="AJ304" s="2028"/>
      <c r="AK304" s="2027">
        <f t="shared" si="148"/>
        <v>0</v>
      </c>
      <c r="AL304" s="2027">
        <f t="shared" si="149"/>
        <v>0</v>
      </c>
      <c r="AM304" s="2027">
        <f t="shared" si="149"/>
        <v>0</v>
      </c>
      <c r="AN304" s="2027">
        <f t="shared" si="149"/>
        <v>0</v>
      </c>
      <c r="AO304" s="2027">
        <f t="shared" si="161"/>
        <v>0</v>
      </c>
      <c r="AP304" s="2027">
        <f t="shared" si="150"/>
        <v>0</v>
      </c>
      <c r="AQ304" s="2027">
        <f t="shared" si="150"/>
        <v>0</v>
      </c>
      <c r="AR304" s="2027">
        <f t="shared" si="150"/>
        <v>0</v>
      </c>
      <c r="AS304" s="2124">
        <f t="shared" si="184"/>
        <v>52.5</v>
      </c>
      <c r="AT304" s="2029">
        <f t="shared" si="151"/>
        <v>52.5</v>
      </c>
      <c r="AU304" s="2029">
        <f t="shared" si="151"/>
        <v>52.5</v>
      </c>
      <c r="AV304" s="2029">
        <f t="shared" si="151"/>
        <v>52.5</v>
      </c>
      <c r="AW304" s="2124">
        <f t="shared" si="152"/>
        <v>0</v>
      </c>
      <c r="AX304" s="2029">
        <f t="shared" si="171"/>
        <v>0</v>
      </c>
      <c r="AY304" s="2029">
        <f t="shared" si="171"/>
        <v>0</v>
      </c>
      <c r="AZ304" s="2029">
        <f t="shared" si="171"/>
        <v>0</v>
      </c>
      <c r="BA304" s="2124">
        <f t="shared" si="188"/>
        <v>50</v>
      </c>
      <c r="BB304" s="2029">
        <f t="shared" si="188"/>
        <v>50</v>
      </c>
      <c r="BC304" s="2029">
        <f t="shared" si="188"/>
        <v>50</v>
      </c>
      <c r="BD304" s="2029">
        <f t="shared" si="188"/>
        <v>50</v>
      </c>
      <c r="BE304" s="2030">
        <f t="shared" si="155"/>
        <v>0</v>
      </c>
      <c r="BF304" s="2030">
        <f t="shared" si="155"/>
        <v>0</v>
      </c>
      <c r="BG304" s="2030">
        <f t="shared" si="155"/>
        <v>0</v>
      </c>
      <c r="BH304" s="2030">
        <f t="shared" si="155"/>
        <v>0</v>
      </c>
      <c r="BI304" s="2030">
        <f t="shared" si="156"/>
        <v>0</v>
      </c>
      <c r="BJ304" s="2030">
        <f t="shared" si="156"/>
        <v>0</v>
      </c>
      <c r="BK304" s="2030">
        <f t="shared" si="156"/>
        <v>0</v>
      </c>
      <c r="BL304" s="2030">
        <f t="shared" si="156"/>
        <v>0</v>
      </c>
      <c r="BM304" s="2125"/>
      <c r="BN304" s="2125"/>
      <c r="BO304" s="2125"/>
      <c r="BP304" s="2125"/>
      <c r="BQ304" s="2125"/>
      <c r="BR304" s="2125"/>
      <c r="BS304" s="2125"/>
      <c r="BT304" s="2125"/>
      <c r="BU304" s="2029"/>
      <c r="BV304" s="2029"/>
      <c r="BW304" s="2029"/>
      <c r="BX304" s="2029"/>
      <c r="BY304" s="2029"/>
      <c r="BZ304" s="2032"/>
      <c r="CA304" s="1974">
        <f t="shared" si="187"/>
        <v>0</v>
      </c>
      <c r="CB304" s="1974">
        <f t="shared" si="187"/>
        <v>0</v>
      </c>
      <c r="CC304" s="1974">
        <f t="shared" si="187"/>
        <v>0</v>
      </c>
      <c r="CD304" s="1974">
        <f t="shared" si="187"/>
        <v>0</v>
      </c>
      <c r="CE304" s="1974">
        <f t="shared" si="187"/>
        <v>0</v>
      </c>
      <c r="CF304" s="2033">
        <v>0</v>
      </c>
      <c r="CG304" s="2026">
        <v>0</v>
      </c>
      <c r="CH304" s="2009">
        <f t="shared" si="187"/>
        <v>0</v>
      </c>
      <c r="CI304" s="2031">
        <f t="shared" si="187"/>
        <v>0</v>
      </c>
      <c r="CJ304" s="1974">
        <f t="shared" si="187"/>
        <v>0</v>
      </c>
      <c r="CK304" s="2031">
        <f t="shared" si="187"/>
        <v>0</v>
      </c>
      <c r="CL304" s="2026">
        <v>1</v>
      </c>
      <c r="CM304" s="2026">
        <v>1</v>
      </c>
      <c r="CN304" s="2026">
        <v>1</v>
      </c>
      <c r="CO304" s="2026">
        <v>1</v>
      </c>
      <c r="CP304" s="2035"/>
      <c r="CQ304" s="2036"/>
      <c r="CR304" s="2036"/>
      <c r="CS304" s="2036"/>
      <c r="CT304" s="2036"/>
      <c r="CU304" s="2036"/>
      <c r="CW304" s="1973">
        <v>0</v>
      </c>
      <c r="CX304" s="2037">
        <v>52.5</v>
      </c>
      <c r="CY304" s="2037">
        <v>52.5</v>
      </c>
      <c r="CZ304" s="2037">
        <v>52.5</v>
      </c>
      <c r="DA304" s="2037">
        <v>52.5</v>
      </c>
      <c r="DJ304" s="1976">
        <v>52.5</v>
      </c>
      <c r="DK304" s="1973">
        <v>52.5</v>
      </c>
      <c r="DL304" s="1973">
        <v>52.5</v>
      </c>
      <c r="DM304" s="1973">
        <v>52.5</v>
      </c>
      <c r="DO304" s="1974">
        <v>15</v>
      </c>
      <c r="DP304" s="1974">
        <v>577</v>
      </c>
      <c r="DQ304" s="1974">
        <v>0.09</v>
      </c>
      <c r="DR304" s="1974">
        <v>0</v>
      </c>
      <c r="DS304" s="2124">
        <v>52.5</v>
      </c>
      <c r="DT304" s="2029">
        <v>52.5</v>
      </c>
      <c r="DU304" s="2029">
        <v>52.5</v>
      </c>
      <c r="DV304" s="2029">
        <v>52.5</v>
      </c>
      <c r="DW304" s="2124">
        <v>0</v>
      </c>
      <c r="DX304" s="2029">
        <v>0</v>
      </c>
      <c r="DY304" s="2029">
        <v>0</v>
      </c>
      <c r="DZ304" s="2029">
        <v>0</v>
      </c>
      <c r="EA304" s="2124">
        <v>50</v>
      </c>
      <c r="EB304" s="2029">
        <v>50</v>
      </c>
      <c r="EC304" s="2029">
        <v>50</v>
      </c>
      <c r="ED304" s="2029">
        <v>50</v>
      </c>
      <c r="EE304" s="2039">
        <f t="shared" si="168"/>
        <v>0</v>
      </c>
      <c r="EF304" s="2039">
        <f t="shared" si="168"/>
        <v>0</v>
      </c>
      <c r="EG304" s="2039">
        <f t="shared" si="168"/>
        <v>0</v>
      </c>
      <c r="EH304" s="2039">
        <f t="shared" si="167"/>
        <v>0</v>
      </c>
      <c r="EI304" s="2040">
        <f t="shared" si="165"/>
        <v>0</v>
      </c>
      <c r="EJ304" s="2040">
        <f t="shared" si="165"/>
        <v>0</v>
      </c>
      <c r="EK304" s="2040">
        <f t="shared" si="165"/>
        <v>0</v>
      </c>
      <c r="EL304" s="2040">
        <f t="shared" si="165"/>
        <v>0</v>
      </c>
      <c r="EM304" s="2040">
        <f t="shared" si="165"/>
        <v>0</v>
      </c>
      <c r="EN304" s="2040">
        <f t="shared" si="165"/>
        <v>0</v>
      </c>
      <c r="EO304" s="2040">
        <f t="shared" si="165"/>
        <v>0</v>
      </c>
      <c r="EP304" s="2040">
        <f t="shared" si="165"/>
        <v>0</v>
      </c>
      <c r="EQ304" s="2040">
        <f t="shared" si="165"/>
        <v>0</v>
      </c>
      <c r="ER304" s="2040">
        <f t="shared" si="185"/>
        <v>0</v>
      </c>
      <c r="ES304" s="2040">
        <f t="shared" si="185"/>
        <v>0</v>
      </c>
      <c r="ET304" s="2040">
        <f t="shared" si="185"/>
        <v>0</v>
      </c>
      <c r="EU304" s="2039">
        <f t="shared" si="169"/>
        <v>0</v>
      </c>
      <c r="EV304" s="2039">
        <f t="shared" si="170"/>
        <v>0</v>
      </c>
    </row>
    <row r="305" spans="1:152" x14ac:dyDescent="0.25">
      <c r="A305" s="2088" t="s">
        <v>120</v>
      </c>
      <c r="B305" s="2093" t="str">
        <f t="shared" si="146"/>
        <v>BPR5</v>
      </c>
      <c r="C305" s="1974">
        <f t="shared" si="186"/>
        <v>15</v>
      </c>
      <c r="D305" s="1974">
        <f t="shared" si="186"/>
        <v>343</v>
      </c>
      <c r="E305" s="1974">
        <f t="shared" si="186"/>
        <v>0.03</v>
      </c>
      <c r="F305" s="1974">
        <f t="shared" si="174"/>
        <v>0</v>
      </c>
      <c r="G305" s="1974" t="s">
        <v>2997</v>
      </c>
      <c r="H305" s="1974" t="s">
        <v>2997</v>
      </c>
      <c r="I305" s="2026">
        <v>0.96199999999999997</v>
      </c>
      <c r="J305" s="2026">
        <v>0.96199999999999997</v>
      </c>
      <c r="K305" s="2026">
        <v>0.96199999999999997</v>
      </c>
      <c r="L305" s="2026">
        <v>0.96199999999999997</v>
      </c>
      <c r="M305" s="2027">
        <f t="shared" si="158"/>
        <v>329.96600000000001</v>
      </c>
      <c r="N305" s="2027">
        <f t="shared" si="158"/>
        <v>329.96600000000001</v>
      </c>
      <c r="O305" s="2027">
        <f t="shared" si="158"/>
        <v>329.96600000000001</v>
      </c>
      <c r="P305" s="2027">
        <f t="shared" si="158"/>
        <v>329.96600000000001</v>
      </c>
      <c r="Q305" s="2026">
        <v>0.96199999999999997</v>
      </c>
      <c r="R305" s="2026">
        <v>0.96199999999999997</v>
      </c>
      <c r="S305" s="2026">
        <v>0.96199999999999997</v>
      </c>
      <c r="T305" s="2026">
        <v>0.96199999999999997</v>
      </c>
      <c r="U305" s="2028">
        <f t="shared" si="159"/>
        <v>2.8859999999999997E-2</v>
      </c>
      <c r="V305" s="2028">
        <f t="shared" si="159"/>
        <v>2.8859999999999997E-2</v>
      </c>
      <c r="W305" s="2028">
        <f t="shared" si="159"/>
        <v>2.8859999999999997E-2</v>
      </c>
      <c r="X305" s="2028">
        <f t="shared" si="159"/>
        <v>2.8859999999999997E-2</v>
      </c>
      <c r="Y305" s="2026">
        <v>0.96199999999999997</v>
      </c>
      <c r="Z305" s="2026">
        <v>0.96199999999999997</v>
      </c>
      <c r="AA305" s="2026">
        <v>0.96199999999999997</v>
      </c>
      <c r="AB305" s="2026">
        <v>0.96199999999999997</v>
      </c>
      <c r="AC305" s="2027">
        <f t="shared" si="160"/>
        <v>0</v>
      </c>
      <c r="AD305" s="2027">
        <f t="shared" si="160"/>
        <v>0</v>
      </c>
      <c r="AE305" s="2027">
        <f t="shared" si="160"/>
        <v>0</v>
      </c>
      <c r="AF305" s="2027">
        <f t="shared" si="160"/>
        <v>0</v>
      </c>
      <c r="AG305" s="2027">
        <v>0</v>
      </c>
      <c r="AH305" s="2028"/>
      <c r="AI305" s="2028"/>
      <c r="AJ305" s="2028"/>
      <c r="AK305" s="2027">
        <f t="shared" si="148"/>
        <v>0</v>
      </c>
      <c r="AL305" s="2027">
        <f t="shared" si="149"/>
        <v>0</v>
      </c>
      <c r="AM305" s="2027">
        <f t="shared" si="149"/>
        <v>0</v>
      </c>
      <c r="AN305" s="2027">
        <f t="shared" si="149"/>
        <v>0</v>
      </c>
      <c r="AO305" s="2027">
        <f t="shared" si="161"/>
        <v>0</v>
      </c>
      <c r="AP305" s="2027">
        <f t="shared" si="150"/>
        <v>0</v>
      </c>
      <c r="AQ305" s="2027">
        <f t="shared" si="150"/>
        <v>0</v>
      </c>
      <c r="AR305" s="2027">
        <f t="shared" si="150"/>
        <v>0</v>
      </c>
      <c r="AS305" s="2124">
        <f t="shared" si="184"/>
        <v>37.5</v>
      </c>
      <c r="AT305" s="2029">
        <f t="shared" si="151"/>
        <v>37.5</v>
      </c>
      <c r="AU305" s="2029">
        <f t="shared" si="151"/>
        <v>37.5</v>
      </c>
      <c r="AV305" s="2029">
        <f t="shared" si="151"/>
        <v>37.5</v>
      </c>
      <c r="AW305" s="2124">
        <f t="shared" si="152"/>
        <v>0</v>
      </c>
      <c r="AX305" s="2029">
        <f t="shared" si="171"/>
        <v>0</v>
      </c>
      <c r="AY305" s="2029">
        <f t="shared" si="171"/>
        <v>0</v>
      </c>
      <c r="AZ305" s="2029">
        <f t="shared" si="171"/>
        <v>0</v>
      </c>
      <c r="BA305" s="2124">
        <f t="shared" si="188"/>
        <v>50</v>
      </c>
      <c r="BB305" s="2029">
        <f t="shared" si="188"/>
        <v>50</v>
      </c>
      <c r="BC305" s="2029">
        <f t="shared" si="188"/>
        <v>50</v>
      </c>
      <c r="BD305" s="2029">
        <f t="shared" si="188"/>
        <v>50</v>
      </c>
      <c r="BE305" s="2030">
        <f t="shared" si="155"/>
        <v>0</v>
      </c>
      <c r="BF305" s="2030">
        <f t="shared" si="155"/>
        <v>0</v>
      </c>
      <c r="BG305" s="2030">
        <f t="shared" si="155"/>
        <v>0</v>
      </c>
      <c r="BH305" s="2030">
        <f t="shared" si="155"/>
        <v>0</v>
      </c>
      <c r="BI305" s="2030">
        <f t="shared" si="156"/>
        <v>0</v>
      </c>
      <c r="BJ305" s="2030">
        <f t="shared" si="156"/>
        <v>0</v>
      </c>
      <c r="BK305" s="2030">
        <f t="shared" si="156"/>
        <v>0</v>
      </c>
      <c r="BL305" s="2030">
        <f t="shared" si="156"/>
        <v>0</v>
      </c>
      <c r="BM305" s="2125"/>
      <c r="BN305" s="2125"/>
      <c r="BO305" s="2125"/>
      <c r="BP305" s="2125"/>
      <c r="BQ305" s="2125"/>
      <c r="BR305" s="2125"/>
      <c r="BS305" s="2125"/>
      <c r="BT305" s="2125"/>
      <c r="BU305" s="2029"/>
      <c r="BV305" s="2029"/>
      <c r="BW305" s="2029"/>
      <c r="BX305" s="2029"/>
      <c r="BY305" s="2029"/>
      <c r="BZ305" s="2032"/>
      <c r="CA305" s="1974">
        <f t="shared" si="187"/>
        <v>0</v>
      </c>
      <c r="CB305" s="1974">
        <f t="shared" si="187"/>
        <v>0</v>
      </c>
      <c r="CC305" s="1974">
        <f t="shared" si="187"/>
        <v>0</v>
      </c>
      <c r="CD305" s="1974">
        <f t="shared" si="187"/>
        <v>0</v>
      </c>
      <c r="CE305" s="1974">
        <f t="shared" si="187"/>
        <v>0</v>
      </c>
      <c r="CF305" s="2033">
        <v>0</v>
      </c>
      <c r="CG305" s="2026">
        <v>0</v>
      </c>
      <c r="CH305" s="2009">
        <f t="shared" si="187"/>
        <v>0</v>
      </c>
      <c r="CI305" s="2031">
        <f t="shared" si="187"/>
        <v>0</v>
      </c>
      <c r="CJ305" s="1974">
        <f t="shared" si="187"/>
        <v>0</v>
      </c>
      <c r="CK305" s="2031">
        <f t="shared" si="187"/>
        <v>0</v>
      </c>
      <c r="CL305" s="2026">
        <v>1</v>
      </c>
      <c r="CM305" s="2026">
        <v>1</v>
      </c>
      <c r="CN305" s="2026">
        <v>1</v>
      </c>
      <c r="CO305" s="2026">
        <v>1</v>
      </c>
      <c r="CP305" s="2035"/>
      <c r="CQ305" s="2036"/>
      <c r="CR305" s="2036"/>
      <c r="CS305" s="2036"/>
      <c r="CT305" s="2036"/>
      <c r="CU305" s="2036"/>
      <c r="CW305" s="1973">
        <v>0</v>
      </c>
      <c r="CX305" s="2037">
        <v>37.5</v>
      </c>
      <c r="CY305" s="2037">
        <v>37.5</v>
      </c>
      <c r="CZ305" s="2037">
        <v>37.5</v>
      </c>
      <c r="DA305" s="2037">
        <v>37.5</v>
      </c>
      <c r="DJ305" s="1976">
        <v>37.5</v>
      </c>
      <c r="DK305" s="1973">
        <v>37.5</v>
      </c>
      <c r="DL305" s="1973">
        <v>37.5</v>
      </c>
      <c r="DM305" s="1973">
        <v>37.5</v>
      </c>
      <c r="DO305" s="1974">
        <v>15</v>
      </c>
      <c r="DP305" s="1974">
        <v>343</v>
      </c>
      <c r="DQ305" s="1974">
        <v>0.03</v>
      </c>
      <c r="DR305" s="1974">
        <v>0</v>
      </c>
      <c r="DS305" s="2124">
        <v>37.5</v>
      </c>
      <c r="DT305" s="2029">
        <v>37.5</v>
      </c>
      <c r="DU305" s="2029">
        <v>37.5</v>
      </c>
      <c r="DV305" s="2029">
        <v>37.5</v>
      </c>
      <c r="DW305" s="2124">
        <v>0</v>
      </c>
      <c r="DX305" s="2029">
        <v>0</v>
      </c>
      <c r="DY305" s="2029">
        <v>0</v>
      </c>
      <c r="DZ305" s="2029">
        <v>0</v>
      </c>
      <c r="EA305" s="2124">
        <v>50</v>
      </c>
      <c r="EB305" s="2029">
        <v>50</v>
      </c>
      <c r="EC305" s="2029">
        <v>50</v>
      </c>
      <c r="ED305" s="2029">
        <v>50</v>
      </c>
      <c r="EE305" s="2039">
        <f t="shared" si="168"/>
        <v>0</v>
      </c>
      <c r="EF305" s="2039">
        <f t="shared" si="168"/>
        <v>0</v>
      </c>
      <c r="EG305" s="2039">
        <f t="shared" si="168"/>
        <v>0</v>
      </c>
      <c r="EH305" s="2039">
        <f t="shared" si="167"/>
        <v>0</v>
      </c>
      <c r="EI305" s="2040">
        <f t="shared" si="165"/>
        <v>0</v>
      </c>
      <c r="EJ305" s="2040">
        <f t="shared" si="165"/>
        <v>0</v>
      </c>
      <c r="EK305" s="2040">
        <f t="shared" si="165"/>
        <v>0</v>
      </c>
      <c r="EL305" s="2040">
        <f t="shared" si="165"/>
        <v>0</v>
      </c>
      <c r="EM305" s="2040">
        <f t="shared" si="165"/>
        <v>0</v>
      </c>
      <c r="EN305" s="2040">
        <f t="shared" si="165"/>
        <v>0</v>
      </c>
      <c r="EO305" s="2040">
        <f t="shared" si="165"/>
        <v>0</v>
      </c>
      <c r="EP305" s="2040">
        <f t="shared" si="165"/>
        <v>0</v>
      </c>
      <c r="EQ305" s="2040">
        <f t="shared" si="165"/>
        <v>0</v>
      </c>
      <c r="ER305" s="2040">
        <f t="shared" si="185"/>
        <v>0</v>
      </c>
      <c r="ES305" s="2040">
        <f t="shared" si="185"/>
        <v>0</v>
      </c>
      <c r="ET305" s="2040">
        <f t="shared" si="185"/>
        <v>0</v>
      </c>
      <c r="EU305" s="2039">
        <f t="shared" si="169"/>
        <v>0</v>
      </c>
      <c r="EV305" s="2039">
        <f t="shared" si="170"/>
        <v>0</v>
      </c>
    </row>
    <row r="306" spans="1:152" x14ac:dyDescent="0.25">
      <c r="A306" s="2088" t="s">
        <v>121</v>
      </c>
      <c r="B306" s="2093" t="str">
        <f t="shared" si="146"/>
        <v>BPR18</v>
      </c>
      <c r="C306" s="1974">
        <f t="shared" si="186"/>
        <v>15</v>
      </c>
      <c r="D306" s="1974">
        <f t="shared" si="186"/>
        <v>516.5</v>
      </c>
      <c r="E306" s="1974">
        <f t="shared" si="186"/>
        <v>0.04</v>
      </c>
      <c r="F306" s="1974">
        <f t="shared" si="174"/>
        <v>0</v>
      </c>
      <c r="G306" s="1974" t="s">
        <v>2997</v>
      </c>
      <c r="H306" s="1974" t="s">
        <v>2997</v>
      </c>
      <c r="I306" s="2026">
        <v>0.96199999999999997</v>
      </c>
      <c r="J306" s="2026">
        <v>0.96199999999999997</v>
      </c>
      <c r="K306" s="2026">
        <v>0.96199999999999997</v>
      </c>
      <c r="L306" s="2026">
        <v>0.96199999999999997</v>
      </c>
      <c r="M306" s="2027">
        <f t="shared" si="158"/>
        <v>496.87299999999999</v>
      </c>
      <c r="N306" s="2027">
        <f t="shared" si="158"/>
        <v>496.87299999999999</v>
      </c>
      <c r="O306" s="2027">
        <f t="shared" si="158"/>
        <v>496.87299999999999</v>
      </c>
      <c r="P306" s="2027">
        <f t="shared" si="158"/>
        <v>496.87299999999999</v>
      </c>
      <c r="Q306" s="2026">
        <v>0.96199999999999997</v>
      </c>
      <c r="R306" s="2026">
        <v>0.96199999999999997</v>
      </c>
      <c r="S306" s="2026">
        <v>0.96199999999999997</v>
      </c>
      <c r="T306" s="2026">
        <v>0.96199999999999997</v>
      </c>
      <c r="U306" s="2028">
        <f t="shared" si="159"/>
        <v>3.848E-2</v>
      </c>
      <c r="V306" s="2028">
        <f t="shared" si="159"/>
        <v>3.848E-2</v>
      </c>
      <c r="W306" s="2028">
        <f t="shared" si="159"/>
        <v>3.848E-2</v>
      </c>
      <c r="X306" s="2028">
        <f t="shared" si="159"/>
        <v>3.848E-2</v>
      </c>
      <c r="Y306" s="2026">
        <v>0.96199999999999997</v>
      </c>
      <c r="Z306" s="2026">
        <v>0.96199999999999997</v>
      </c>
      <c r="AA306" s="2026">
        <v>0.96199999999999997</v>
      </c>
      <c r="AB306" s="2026">
        <v>0.96199999999999997</v>
      </c>
      <c r="AC306" s="2027">
        <f t="shared" si="160"/>
        <v>0</v>
      </c>
      <c r="AD306" s="2027">
        <f t="shared" si="160"/>
        <v>0</v>
      </c>
      <c r="AE306" s="2027">
        <f t="shared" si="160"/>
        <v>0</v>
      </c>
      <c r="AF306" s="2027">
        <f t="shared" si="160"/>
        <v>0</v>
      </c>
      <c r="AG306" s="2027">
        <v>0</v>
      </c>
      <c r="AH306" s="2028"/>
      <c r="AI306" s="2028"/>
      <c r="AJ306" s="2028"/>
      <c r="AK306" s="2027">
        <f t="shared" si="148"/>
        <v>0</v>
      </c>
      <c r="AL306" s="2027">
        <f t="shared" si="149"/>
        <v>0</v>
      </c>
      <c r="AM306" s="2027">
        <f t="shared" si="149"/>
        <v>0</v>
      </c>
      <c r="AN306" s="2027">
        <f t="shared" si="149"/>
        <v>0</v>
      </c>
      <c r="AO306" s="2027">
        <f t="shared" si="161"/>
        <v>0</v>
      </c>
      <c r="AP306" s="2027">
        <f t="shared" si="150"/>
        <v>0</v>
      </c>
      <c r="AQ306" s="2027">
        <f t="shared" si="150"/>
        <v>0</v>
      </c>
      <c r="AR306" s="2027">
        <f t="shared" si="150"/>
        <v>0</v>
      </c>
      <c r="AS306" s="2124">
        <f t="shared" si="184"/>
        <v>52.5</v>
      </c>
      <c r="AT306" s="2029">
        <f t="shared" si="151"/>
        <v>52.5</v>
      </c>
      <c r="AU306" s="2029">
        <f t="shared" si="151"/>
        <v>52.5</v>
      </c>
      <c r="AV306" s="2029">
        <f t="shared" si="151"/>
        <v>52.5</v>
      </c>
      <c r="AW306" s="2124">
        <f t="shared" si="152"/>
        <v>0</v>
      </c>
      <c r="AX306" s="2029">
        <f t="shared" si="171"/>
        <v>0</v>
      </c>
      <c r="AY306" s="2029">
        <f t="shared" si="171"/>
        <v>0</v>
      </c>
      <c r="AZ306" s="2029">
        <f t="shared" si="171"/>
        <v>0</v>
      </c>
      <c r="BA306" s="2124">
        <f t="shared" si="188"/>
        <v>50</v>
      </c>
      <c r="BB306" s="2029">
        <f t="shared" si="188"/>
        <v>50</v>
      </c>
      <c r="BC306" s="2029">
        <f t="shared" si="188"/>
        <v>50</v>
      </c>
      <c r="BD306" s="2029">
        <f t="shared" si="188"/>
        <v>50</v>
      </c>
      <c r="BE306" s="2030">
        <f t="shared" si="155"/>
        <v>0</v>
      </c>
      <c r="BF306" s="2030">
        <f t="shared" si="155"/>
        <v>0</v>
      </c>
      <c r="BG306" s="2030">
        <f t="shared" si="155"/>
        <v>0</v>
      </c>
      <c r="BH306" s="2030">
        <f t="shared" si="155"/>
        <v>0</v>
      </c>
      <c r="BI306" s="2030">
        <f t="shared" si="156"/>
        <v>0</v>
      </c>
      <c r="BJ306" s="2030">
        <f t="shared" si="156"/>
        <v>0</v>
      </c>
      <c r="BK306" s="2030">
        <f t="shared" si="156"/>
        <v>0</v>
      </c>
      <c r="BL306" s="2030">
        <f t="shared" si="156"/>
        <v>0</v>
      </c>
      <c r="BM306" s="2125"/>
      <c r="BN306" s="2125"/>
      <c r="BO306" s="2125"/>
      <c r="BP306" s="2125"/>
      <c r="BQ306" s="2125"/>
      <c r="BR306" s="2125"/>
      <c r="BS306" s="2125"/>
      <c r="BT306" s="2125"/>
      <c r="BU306" s="2029"/>
      <c r="BV306" s="2029"/>
      <c r="BW306" s="2029"/>
      <c r="BX306" s="2029"/>
      <c r="BY306" s="2029"/>
      <c r="BZ306" s="2032"/>
      <c r="CA306" s="1974">
        <f t="shared" si="187"/>
        <v>0</v>
      </c>
      <c r="CB306" s="1974">
        <f t="shared" si="187"/>
        <v>0</v>
      </c>
      <c r="CC306" s="1974">
        <f t="shared" si="187"/>
        <v>0</v>
      </c>
      <c r="CD306" s="1974">
        <f t="shared" si="187"/>
        <v>0</v>
      </c>
      <c r="CE306" s="1974">
        <f t="shared" si="187"/>
        <v>0</v>
      </c>
      <c r="CF306" s="2033">
        <v>0</v>
      </c>
      <c r="CG306" s="2026">
        <v>0</v>
      </c>
      <c r="CH306" s="2009">
        <f t="shared" si="187"/>
        <v>0</v>
      </c>
      <c r="CI306" s="2031">
        <f t="shared" si="187"/>
        <v>0</v>
      </c>
      <c r="CJ306" s="1974">
        <f t="shared" si="187"/>
        <v>0</v>
      </c>
      <c r="CK306" s="2031">
        <f t="shared" si="187"/>
        <v>0</v>
      </c>
      <c r="CL306" s="2026">
        <v>1</v>
      </c>
      <c r="CM306" s="2026">
        <v>1</v>
      </c>
      <c r="CN306" s="2026">
        <v>1</v>
      </c>
      <c r="CO306" s="2026">
        <v>1</v>
      </c>
      <c r="CP306" s="2035"/>
      <c r="CQ306" s="2036"/>
      <c r="CR306" s="2036"/>
      <c r="CS306" s="2036"/>
      <c r="CT306" s="2036"/>
      <c r="CU306" s="2036"/>
      <c r="CW306" s="1973">
        <v>0</v>
      </c>
      <c r="CX306" s="2037">
        <v>52.5</v>
      </c>
      <c r="CY306" s="2037">
        <v>52.5</v>
      </c>
      <c r="CZ306" s="2037">
        <v>52.5</v>
      </c>
      <c r="DA306" s="2037">
        <v>52.5</v>
      </c>
      <c r="DJ306" s="1976">
        <v>52.5</v>
      </c>
      <c r="DK306" s="1973">
        <v>52.5</v>
      </c>
      <c r="DL306" s="1973">
        <v>52.5</v>
      </c>
      <c r="DM306" s="1973">
        <v>52.5</v>
      </c>
      <c r="DO306" s="1974">
        <v>15</v>
      </c>
      <c r="DP306" s="1974">
        <v>516.5</v>
      </c>
      <c r="DQ306" s="1974">
        <v>0.04</v>
      </c>
      <c r="DR306" s="1974">
        <v>0</v>
      </c>
      <c r="DS306" s="2124">
        <v>52.5</v>
      </c>
      <c r="DT306" s="2029">
        <v>52.5</v>
      </c>
      <c r="DU306" s="2029">
        <v>52.5</v>
      </c>
      <c r="DV306" s="2029">
        <v>52.5</v>
      </c>
      <c r="DW306" s="2124">
        <v>0</v>
      </c>
      <c r="DX306" s="2029">
        <v>0</v>
      </c>
      <c r="DY306" s="2029">
        <v>0</v>
      </c>
      <c r="DZ306" s="2029">
        <v>0</v>
      </c>
      <c r="EA306" s="2124">
        <v>50</v>
      </c>
      <c r="EB306" s="2029">
        <v>50</v>
      </c>
      <c r="EC306" s="2029">
        <v>50</v>
      </c>
      <c r="ED306" s="2029">
        <v>50</v>
      </c>
      <c r="EE306" s="2039">
        <f t="shared" si="168"/>
        <v>0</v>
      </c>
      <c r="EF306" s="2039">
        <f t="shared" si="168"/>
        <v>0</v>
      </c>
      <c r="EG306" s="2039">
        <f t="shared" si="168"/>
        <v>0</v>
      </c>
      <c r="EH306" s="2039">
        <f t="shared" si="167"/>
        <v>0</v>
      </c>
      <c r="EI306" s="2040">
        <f t="shared" si="165"/>
        <v>0</v>
      </c>
      <c r="EJ306" s="2040">
        <f t="shared" si="165"/>
        <v>0</v>
      </c>
      <c r="EK306" s="2040">
        <f t="shared" si="165"/>
        <v>0</v>
      </c>
      <c r="EL306" s="2040">
        <f t="shared" si="165"/>
        <v>0</v>
      </c>
      <c r="EM306" s="2040">
        <f t="shared" si="165"/>
        <v>0</v>
      </c>
      <c r="EN306" s="2040">
        <f t="shared" si="165"/>
        <v>0</v>
      </c>
      <c r="EO306" s="2040">
        <f t="shared" si="165"/>
        <v>0</v>
      </c>
      <c r="EP306" s="2040">
        <f t="shared" si="165"/>
        <v>0</v>
      </c>
      <c r="EQ306" s="2040">
        <f t="shared" si="165"/>
        <v>0</v>
      </c>
      <c r="ER306" s="2040">
        <f t="shared" si="185"/>
        <v>0</v>
      </c>
      <c r="ES306" s="2040">
        <f t="shared" si="185"/>
        <v>0</v>
      </c>
      <c r="ET306" s="2040">
        <f t="shared" si="185"/>
        <v>0</v>
      </c>
      <c r="EU306" s="2039">
        <f t="shared" si="169"/>
        <v>0</v>
      </c>
      <c r="EV306" s="2039">
        <f t="shared" si="170"/>
        <v>0</v>
      </c>
    </row>
    <row r="307" spans="1:152" x14ac:dyDescent="0.25">
      <c r="A307" s="2088" t="s">
        <v>122</v>
      </c>
      <c r="B307" s="2093" t="str">
        <f t="shared" si="146"/>
        <v>BPA1</v>
      </c>
      <c r="C307" s="1974">
        <f t="shared" si="186"/>
        <v>7</v>
      </c>
      <c r="D307" s="1974">
        <f t="shared" si="186"/>
        <v>372.14</v>
      </c>
      <c r="E307" s="1974">
        <f t="shared" si="186"/>
        <v>0.12</v>
      </c>
      <c r="F307" s="1974">
        <f t="shared" si="174"/>
        <v>0</v>
      </c>
      <c r="G307" s="1974" t="s">
        <v>2997</v>
      </c>
      <c r="H307" s="1974" t="s">
        <v>2997</v>
      </c>
      <c r="I307" s="2026">
        <v>0.96199999999999997</v>
      </c>
      <c r="J307" s="2026">
        <v>0.96199999999999997</v>
      </c>
      <c r="K307" s="2026">
        <v>0.96199999999999997</v>
      </c>
      <c r="L307" s="2026">
        <v>0.96199999999999997</v>
      </c>
      <c r="M307" s="2027">
        <f t="shared" si="158"/>
        <v>357.99867999999998</v>
      </c>
      <c r="N307" s="2027">
        <f t="shared" si="158"/>
        <v>357.99867999999998</v>
      </c>
      <c r="O307" s="2027">
        <f t="shared" si="158"/>
        <v>357.99867999999998</v>
      </c>
      <c r="P307" s="2027">
        <f t="shared" si="158"/>
        <v>357.99867999999998</v>
      </c>
      <c r="Q307" s="2026">
        <v>0.96199999999999997</v>
      </c>
      <c r="R307" s="2026">
        <v>0.96199999999999997</v>
      </c>
      <c r="S307" s="2026">
        <v>0.96199999999999997</v>
      </c>
      <c r="T307" s="2026">
        <v>0.96199999999999997</v>
      </c>
      <c r="U307" s="2028">
        <f t="shared" si="159"/>
        <v>0.11543999999999999</v>
      </c>
      <c r="V307" s="2028">
        <f t="shared" si="159"/>
        <v>0.11543999999999999</v>
      </c>
      <c r="W307" s="2028">
        <f t="shared" si="159"/>
        <v>0.11543999999999999</v>
      </c>
      <c r="X307" s="2028">
        <f t="shared" si="159"/>
        <v>0.11543999999999999</v>
      </c>
      <c r="Y307" s="2026">
        <v>0.96199999999999997</v>
      </c>
      <c r="Z307" s="2026">
        <v>0.96199999999999997</v>
      </c>
      <c r="AA307" s="2026">
        <v>0.96199999999999997</v>
      </c>
      <c r="AB307" s="2026">
        <v>0.96199999999999997</v>
      </c>
      <c r="AC307" s="2027">
        <f t="shared" si="160"/>
        <v>0</v>
      </c>
      <c r="AD307" s="2027">
        <f t="shared" si="160"/>
        <v>0</v>
      </c>
      <c r="AE307" s="2027">
        <f t="shared" si="160"/>
        <v>0</v>
      </c>
      <c r="AF307" s="2027">
        <f t="shared" si="160"/>
        <v>0</v>
      </c>
      <c r="AG307" s="2027">
        <v>0</v>
      </c>
      <c r="AH307" s="2028"/>
      <c r="AI307" s="2028"/>
      <c r="AJ307" s="2028"/>
      <c r="AK307" s="2027">
        <f t="shared" si="148"/>
        <v>0</v>
      </c>
      <c r="AL307" s="2027">
        <f t="shared" si="149"/>
        <v>0</v>
      </c>
      <c r="AM307" s="2027">
        <f t="shared" si="149"/>
        <v>0</v>
      </c>
      <c r="AN307" s="2027">
        <f t="shared" si="149"/>
        <v>0</v>
      </c>
      <c r="AO307" s="2027">
        <f t="shared" si="161"/>
        <v>0</v>
      </c>
      <c r="AP307" s="2027">
        <f t="shared" si="150"/>
        <v>0</v>
      </c>
      <c r="AQ307" s="2027">
        <f t="shared" si="150"/>
        <v>0</v>
      </c>
      <c r="AR307" s="2027">
        <f t="shared" si="150"/>
        <v>0</v>
      </c>
      <c r="AS307" s="2124">
        <f t="shared" si="184"/>
        <v>37.5</v>
      </c>
      <c r="AT307" s="2029">
        <f t="shared" si="151"/>
        <v>37.5</v>
      </c>
      <c r="AU307" s="2029">
        <f t="shared" si="151"/>
        <v>37.5</v>
      </c>
      <c r="AV307" s="2029">
        <f t="shared" si="151"/>
        <v>37.5</v>
      </c>
      <c r="AW307" s="2124">
        <f t="shared" si="152"/>
        <v>0</v>
      </c>
      <c r="AX307" s="2029">
        <f t="shared" si="171"/>
        <v>0</v>
      </c>
      <c r="AY307" s="2029">
        <f t="shared" si="171"/>
        <v>0</v>
      </c>
      <c r="AZ307" s="2029">
        <f t="shared" si="171"/>
        <v>0</v>
      </c>
      <c r="BA307" s="2124">
        <f t="shared" si="188"/>
        <v>150</v>
      </c>
      <c r="BB307" s="2029">
        <f t="shared" si="188"/>
        <v>150</v>
      </c>
      <c r="BC307" s="2029">
        <f t="shared" si="188"/>
        <v>150</v>
      </c>
      <c r="BD307" s="2029">
        <f t="shared" si="188"/>
        <v>150</v>
      </c>
      <c r="BE307" s="2030">
        <f t="shared" si="155"/>
        <v>0</v>
      </c>
      <c r="BF307" s="2030">
        <f t="shared" si="155"/>
        <v>0</v>
      </c>
      <c r="BG307" s="2030">
        <f t="shared" si="155"/>
        <v>0</v>
      </c>
      <c r="BH307" s="2030">
        <f t="shared" si="155"/>
        <v>0</v>
      </c>
      <c r="BI307" s="2030">
        <f t="shared" si="156"/>
        <v>0</v>
      </c>
      <c r="BJ307" s="2030">
        <f t="shared" si="156"/>
        <v>0</v>
      </c>
      <c r="BK307" s="2030">
        <f t="shared" si="156"/>
        <v>0</v>
      </c>
      <c r="BL307" s="2030">
        <f t="shared" si="156"/>
        <v>0</v>
      </c>
      <c r="BM307" s="2125"/>
      <c r="BN307" s="2125"/>
      <c r="BO307" s="2125"/>
      <c r="BP307" s="2125"/>
      <c r="BQ307" s="2125"/>
      <c r="BR307" s="2125"/>
      <c r="BS307" s="2125"/>
      <c r="BT307" s="2125"/>
      <c r="BU307" s="2029"/>
      <c r="BV307" s="2029"/>
      <c r="BW307" s="2029"/>
      <c r="BX307" s="2029"/>
      <c r="BY307" s="2029"/>
      <c r="BZ307" s="2032"/>
      <c r="CA307" s="1974">
        <f t="shared" si="187"/>
        <v>0</v>
      </c>
      <c r="CB307" s="1974">
        <f t="shared" si="187"/>
        <v>0</v>
      </c>
      <c r="CC307" s="1974">
        <f t="shared" si="187"/>
        <v>0</v>
      </c>
      <c r="CD307" s="1974">
        <f t="shared" si="187"/>
        <v>0</v>
      </c>
      <c r="CE307" s="1974">
        <f t="shared" si="187"/>
        <v>0</v>
      </c>
      <c r="CF307" s="2033">
        <v>0</v>
      </c>
      <c r="CG307" s="2026">
        <v>0</v>
      </c>
      <c r="CH307" s="2009">
        <f t="shared" si="187"/>
        <v>0</v>
      </c>
      <c r="CI307" s="2031">
        <f t="shared" si="187"/>
        <v>0</v>
      </c>
      <c r="CJ307" s="1974">
        <f t="shared" si="187"/>
        <v>0</v>
      </c>
      <c r="CK307" s="2031">
        <f t="shared" si="187"/>
        <v>0</v>
      </c>
      <c r="CL307" s="2026">
        <v>1</v>
      </c>
      <c r="CM307" s="2026">
        <v>1</v>
      </c>
      <c r="CN307" s="2026">
        <v>1</v>
      </c>
      <c r="CO307" s="2026">
        <v>1</v>
      </c>
      <c r="CP307" s="2035"/>
      <c r="CQ307" s="2036"/>
      <c r="CR307" s="2036"/>
      <c r="CS307" s="2036"/>
      <c r="CT307" s="2036"/>
      <c r="CU307" s="2036"/>
      <c r="CW307" s="1973">
        <v>0</v>
      </c>
      <c r="CX307" s="2037">
        <v>37.5</v>
      </c>
      <c r="CY307" s="2037">
        <v>37.5</v>
      </c>
      <c r="CZ307" s="2037">
        <v>37.5</v>
      </c>
      <c r="DA307" s="2037">
        <v>37.5</v>
      </c>
      <c r="DJ307" s="1976">
        <v>37.5</v>
      </c>
      <c r="DK307" s="1973">
        <v>37.5</v>
      </c>
      <c r="DL307" s="1973">
        <v>37.5</v>
      </c>
      <c r="DM307" s="1973">
        <v>37.5</v>
      </c>
      <c r="DO307" s="1974">
        <v>7</v>
      </c>
      <c r="DP307" s="1974">
        <v>372.14</v>
      </c>
      <c r="DQ307" s="1974">
        <v>0.12</v>
      </c>
      <c r="DR307" s="1974">
        <v>0</v>
      </c>
      <c r="DS307" s="2124">
        <v>37.5</v>
      </c>
      <c r="DT307" s="2029">
        <v>37.5</v>
      </c>
      <c r="DU307" s="2029">
        <v>37.5</v>
      </c>
      <c r="DV307" s="2029">
        <v>37.5</v>
      </c>
      <c r="DW307" s="2124">
        <v>0</v>
      </c>
      <c r="DX307" s="2029">
        <v>0</v>
      </c>
      <c r="DY307" s="2029">
        <v>0</v>
      </c>
      <c r="DZ307" s="2029">
        <v>0</v>
      </c>
      <c r="EA307" s="2124">
        <v>150</v>
      </c>
      <c r="EB307" s="2029">
        <v>150</v>
      </c>
      <c r="EC307" s="2029">
        <v>150</v>
      </c>
      <c r="ED307" s="2029">
        <v>150</v>
      </c>
      <c r="EE307" s="2039">
        <f t="shared" si="168"/>
        <v>0</v>
      </c>
      <c r="EF307" s="2039">
        <f t="shared" si="168"/>
        <v>0</v>
      </c>
      <c r="EG307" s="2039">
        <f t="shared" si="168"/>
        <v>0</v>
      </c>
      <c r="EH307" s="2039">
        <f t="shared" si="167"/>
        <v>0</v>
      </c>
      <c r="EI307" s="2040">
        <f t="shared" si="165"/>
        <v>0</v>
      </c>
      <c r="EJ307" s="2040">
        <f t="shared" si="165"/>
        <v>0</v>
      </c>
      <c r="EK307" s="2040">
        <f t="shared" si="165"/>
        <v>0</v>
      </c>
      <c r="EL307" s="2040">
        <f t="shared" si="165"/>
        <v>0</v>
      </c>
      <c r="EM307" s="2040">
        <f t="shared" si="165"/>
        <v>0</v>
      </c>
      <c r="EN307" s="2040">
        <f t="shared" si="165"/>
        <v>0</v>
      </c>
      <c r="EO307" s="2040">
        <f t="shared" si="165"/>
        <v>0</v>
      </c>
      <c r="EP307" s="2040">
        <f t="shared" si="165"/>
        <v>0</v>
      </c>
      <c r="EQ307" s="2040">
        <f t="shared" si="165"/>
        <v>0</v>
      </c>
      <c r="ER307" s="2040">
        <f t="shared" si="185"/>
        <v>0</v>
      </c>
      <c r="ES307" s="2040">
        <f t="shared" si="185"/>
        <v>0</v>
      </c>
      <c r="ET307" s="2040">
        <f t="shared" si="185"/>
        <v>0</v>
      </c>
      <c r="EU307" s="2039">
        <f t="shared" si="169"/>
        <v>0</v>
      </c>
      <c r="EV307" s="2039">
        <f t="shared" si="170"/>
        <v>0</v>
      </c>
    </row>
    <row r="308" spans="1:152" x14ac:dyDescent="0.25">
      <c r="A308" s="2088" t="s">
        <v>123</v>
      </c>
      <c r="B308" s="2093" t="str">
        <f t="shared" si="146"/>
        <v>BPA2</v>
      </c>
      <c r="C308" s="1974">
        <f t="shared" si="186"/>
        <v>7</v>
      </c>
      <c r="D308" s="1974">
        <f t="shared" si="186"/>
        <v>625.23</v>
      </c>
      <c r="E308" s="1974">
        <f t="shared" si="186"/>
        <v>0.2</v>
      </c>
      <c r="F308" s="1974">
        <f t="shared" si="174"/>
        <v>0</v>
      </c>
      <c r="G308" s="1974" t="s">
        <v>2997</v>
      </c>
      <c r="H308" s="1974" t="s">
        <v>2997</v>
      </c>
      <c r="I308" s="2026">
        <v>0.96199999999999997</v>
      </c>
      <c r="J308" s="2026">
        <v>0.96199999999999997</v>
      </c>
      <c r="K308" s="2026">
        <v>0.96199999999999997</v>
      </c>
      <c r="L308" s="2026">
        <v>0.96199999999999997</v>
      </c>
      <c r="M308" s="2027">
        <f t="shared" si="158"/>
        <v>601.47126000000003</v>
      </c>
      <c r="N308" s="2027">
        <f t="shared" si="158"/>
        <v>601.47126000000003</v>
      </c>
      <c r="O308" s="2027">
        <f t="shared" si="158"/>
        <v>601.47126000000003</v>
      </c>
      <c r="P308" s="2027">
        <f t="shared" si="158"/>
        <v>601.47126000000003</v>
      </c>
      <c r="Q308" s="2026">
        <v>0.96199999999999997</v>
      </c>
      <c r="R308" s="2026">
        <v>0.96199999999999997</v>
      </c>
      <c r="S308" s="2026">
        <v>0.96199999999999997</v>
      </c>
      <c r="T308" s="2026">
        <v>0.96199999999999997</v>
      </c>
      <c r="U308" s="2028">
        <f t="shared" si="159"/>
        <v>0.19240000000000002</v>
      </c>
      <c r="V308" s="2028">
        <f t="shared" si="159"/>
        <v>0.19240000000000002</v>
      </c>
      <c r="W308" s="2028">
        <f t="shared" si="159"/>
        <v>0.19240000000000002</v>
      </c>
      <c r="X308" s="2028">
        <f t="shared" si="159"/>
        <v>0.19240000000000002</v>
      </c>
      <c r="Y308" s="2026">
        <v>0.96199999999999997</v>
      </c>
      <c r="Z308" s="2026">
        <v>0.96199999999999997</v>
      </c>
      <c r="AA308" s="2026">
        <v>0.96199999999999997</v>
      </c>
      <c r="AB308" s="2026">
        <v>0.96199999999999997</v>
      </c>
      <c r="AC308" s="2027">
        <f t="shared" si="160"/>
        <v>0</v>
      </c>
      <c r="AD308" s="2027">
        <f t="shared" si="160"/>
        <v>0</v>
      </c>
      <c r="AE308" s="2027">
        <f t="shared" si="160"/>
        <v>0</v>
      </c>
      <c r="AF308" s="2027">
        <f t="shared" si="160"/>
        <v>0</v>
      </c>
      <c r="AG308" s="2027">
        <v>0</v>
      </c>
      <c r="AH308" s="2028"/>
      <c r="AI308" s="2028"/>
      <c r="AJ308" s="2028"/>
      <c r="AK308" s="2027">
        <f t="shared" si="148"/>
        <v>0</v>
      </c>
      <c r="AL308" s="2027">
        <f t="shared" si="149"/>
        <v>0</v>
      </c>
      <c r="AM308" s="2027">
        <f t="shared" si="149"/>
        <v>0</v>
      </c>
      <c r="AN308" s="2027">
        <f t="shared" si="149"/>
        <v>0</v>
      </c>
      <c r="AO308" s="2027">
        <f t="shared" si="161"/>
        <v>0</v>
      </c>
      <c r="AP308" s="2027">
        <f t="shared" si="150"/>
        <v>0</v>
      </c>
      <c r="AQ308" s="2027">
        <f t="shared" si="150"/>
        <v>0</v>
      </c>
      <c r="AR308" s="2027">
        <f t="shared" si="150"/>
        <v>0</v>
      </c>
      <c r="AS308" s="2124">
        <f t="shared" si="184"/>
        <v>75</v>
      </c>
      <c r="AT308" s="2029">
        <f t="shared" si="151"/>
        <v>75</v>
      </c>
      <c r="AU308" s="2029">
        <f t="shared" si="151"/>
        <v>75</v>
      </c>
      <c r="AV308" s="2029">
        <f t="shared" si="151"/>
        <v>75</v>
      </c>
      <c r="AW308" s="2124">
        <f t="shared" si="152"/>
        <v>0</v>
      </c>
      <c r="AX308" s="2029">
        <f t="shared" si="171"/>
        <v>0</v>
      </c>
      <c r="AY308" s="2029">
        <f t="shared" si="171"/>
        <v>0</v>
      </c>
      <c r="AZ308" s="2029">
        <f t="shared" si="171"/>
        <v>0</v>
      </c>
      <c r="BA308" s="2124">
        <f t="shared" si="188"/>
        <v>150</v>
      </c>
      <c r="BB308" s="2029">
        <f t="shared" si="188"/>
        <v>150</v>
      </c>
      <c r="BC308" s="2029">
        <f t="shared" si="188"/>
        <v>150</v>
      </c>
      <c r="BD308" s="2029">
        <f t="shared" si="188"/>
        <v>150</v>
      </c>
      <c r="BE308" s="2030">
        <f t="shared" si="155"/>
        <v>0</v>
      </c>
      <c r="BF308" s="2030">
        <f t="shared" si="155"/>
        <v>0</v>
      </c>
      <c r="BG308" s="2030">
        <f t="shared" si="155"/>
        <v>0</v>
      </c>
      <c r="BH308" s="2030">
        <f t="shared" si="155"/>
        <v>0</v>
      </c>
      <c r="BI308" s="2030">
        <f t="shared" si="156"/>
        <v>0</v>
      </c>
      <c r="BJ308" s="2030">
        <f t="shared" si="156"/>
        <v>0</v>
      </c>
      <c r="BK308" s="2030">
        <f t="shared" si="156"/>
        <v>0</v>
      </c>
      <c r="BL308" s="2030">
        <f t="shared" si="156"/>
        <v>0</v>
      </c>
      <c r="BM308" s="2125"/>
      <c r="BN308" s="2125"/>
      <c r="BO308" s="2125"/>
      <c r="BP308" s="2125"/>
      <c r="BQ308" s="2125"/>
      <c r="BR308" s="2125"/>
      <c r="BS308" s="2125"/>
      <c r="BT308" s="2125"/>
      <c r="BU308" s="2029"/>
      <c r="BV308" s="2029"/>
      <c r="BW308" s="2029"/>
      <c r="BX308" s="2029"/>
      <c r="BY308" s="2029"/>
      <c r="BZ308" s="2032"/>
      <c r="CA308" s="1974">
        <f t="shared" si="187"/>
        <v>0</v>
      </c>
      <c r="CB308" s="1974">
        <f t="shared" si="187"/>
        <v>0</v>
      </c>
      <c r="CC308" s="1974">
        <f t="shared" si="187"/>
        <v>0</v>
      </c>
      <c r="CD308" s="1974">
        <f t="shared" si="187"/>
        <v>0</v>
      </c>
      <c r="CE308" s="1974">
        <f t="shared" si="187"/>
        <v>0</v>
      </c>
      <c r="CF308" s="2033">
        <v>0</v>
      </c>
      <c r="CG308" s="2026">
        <v>0</v>
      </c>
      <c r="CH308" s="2009">
        <f t="shared" si="187"/>
        <v>0</v>
      </c>
      <c r="CI308" s="2031">
        <f t="shared" si="187"/>
        <v>0</v>
      </c>
      <c r="CJ308" s="1974">
        <f t="shared" si="187"/>
        <v>0</v>
      </c>
      <c r="CK308" s="2031">
        <f t="shared" si="187"/>
        <v>0</v>
      </c>
      <c r="CL308" s="2026">
        <v>1</v>
      </c>
      <c r="CM308" s="2026">
        <v>1</v>
      </c>
      <c r="CN308" s="2026">
        <v>1</v>
      </c>
      <c r="CO308" s="2026">
        <v>1</v>
      </c>
      <c r="CP308" s="2035"/>
      <c r="CQ308" s="2036"/>
      <c r="CR308" s="2036"/>
      <c r="CS308" s="2036"/>
      <c r="CT308" s="2036"/>
      <c r="CU308" s="2036"/>
      <c r="CW308" s="1973">
        <v>0</v>
      </c>
      <c r="CX308" s="2037">
        <v>75</v>
      </c>
      <c r="CY308" s="2037">
        <v>75</v>
      </c>
      <c r="CZ308" s="2037">
        <v>75</v>
      </c>
      <c r="DA308" s="2037">
        <v>75</v>
      </c>
      <c r="DJ308" s="1976">
        <v>75</v>
      </c>
      <c r="DK308" s="1973">
        <v>75</v>
      </c>
      <c r="DL308" s="1973">
        <v>75</v>
      </c>
      <c r="DM308" s="1973">
        <v>75</v>
      </c>
      <c r="DO308" s="1974">
        <v>7</v>
      </c>
      <c r="DP308" s="1974">
        <v>625.23</v>
      </c>
      <c r="DQ308" s="1974">
        <v>0.2</v>
      </c>
      <c r="DR308" s="1974">
        <v>0</v>
      </c>
      <c r="DS308" s="2124">
        <v>75</v>
      </c>
      <c r="DT308" s="2029">
        <v>75</v>
      </c>
      <c r="DU308" s="2029">
        <v>75</v>
      </c>
      <c r="DV308" s="2029">
        <v>75</v>
      </c>
      <c r="DW308" s="2124">
        <v>0</v>
      </c>
      <c r="DX308" s="2029">
        <v>0</v>
      </c>
      <c r="DY308" s="2029">
        <v>0</v>
      </c>
      <c r="DZ308" s="2029">
        <v>0</v>
      </c>
      <c r="EA308" s="2124">
        <v>150</v>
      </c>
      <c r="EB308" s="2029">
        <v>150</v>
      </c>
      <c r="EC308" s="2029">
        <v>150</v>
      </c>
      <c r="ED308" s="2029">
        <v>150</v>
      </c>
      <c r="EE308" s="2039">
        <f t="shared" si="168"/>
        <v>0</v>
      </c>
      <c r="EF308" s="2039">
        <f t="shared" si="168"/>
        <v>0</v>
      </c>
      <c r="EG308" s="2039">
        <f t="shared" si="168"/>
        <v>0</v>
      </c>
      <c r="EH308" s="2039">
        <f t="shared" si="167"/>
        <v>0</v>
      </c>
      <c r="EI308" s="2040">
        <f t="shared" si="165"/>
        <v>0</v>
      </c>
      <c r="EJ308" s="2040">
        <f t="shared" si="165"/>
        <v>0</v>
      </c>
      <c r="EK308" s="2040">
        <f t="shared" si="165"/>
        <v>0</v>
      </c>
      <c r="EL308" s="2040">
        <f t="shared" si="165"/>
        <v>0</v>
      </c>
      <c r="EM308" s="2040">
        <f t="shared" si="165"/>
        <v>0</v>
      </c>
      <c r="EN308" s="2040">
        <f t="shared" si="165"/>
        <v>0</v>
      </c>
      <c r="EO308" s="2040">
        <f t="shared" si="165"/>
        <v>0</v>
      </c>
      <c r="EP308" s="2040">
        <f t="shared" si="165"/>
        <v>0</v>
      </c>
      <c r="EQ308" s="2040">
        <f t="shared" si="165"/>
        <v>0</v>
      </c>
      <c r="ER308" s="2040">
        <f t="shared" si="185"/>
        <v>0</v>
      </c>
      <c r="ES308" s="2040">
        <f t="shared" si="185"/>
        <v>0</v>
      </c>
      <c r="ET308" s="2040">
        <f t="shared" si="185"/>
        <v>0</v>
      </c>
      <c r="EU308" s="2039">
        <f t="shared" si="169"/>
        <v>0</v>
      </c>
      <c r="EV308" s="2039">
        <f t="shared" si="170"/>
        <v>0</v>
      </c>
    </row>
    <row r="309" spans="1:152" x14ac:dyDescent="0.25">
      <c r="A309" s="2088" t="s">
        <v>124</v>
      </c>
      <c r="B309" s="2093" t="str">
        <f t="shared" si="146"/>
        <v>BPA3</v>
      </c>
      <c r="C309" s="1974">
        <f t="shared" si="186"/>
        <v>7</v>
      </c>
      <c r="D309" s="1974">
        <f t="shared" si="186"/>
        <v>1122.3599999999999</v>
      </c>
      <c r="E309" s="1974">
        <f t="shared" si="186"/>
        <v>0.36</v>
      </c>
      <c r="F309" s="1974">
        <f t="shared" si="174"/>
        <v>0</v>
      </c>
      <c r="G309" s="1974" t="s">
        <v>2997</v>
      </c>
      <c r="H309" s="1974" t="s">
        <v>2997</v>
      </c>
      <c r="I309" s="2026">
        <v>0.96199999999999997</v>
      </c>
      <c r="J309" s="2026">
        <v>0.96199999999999997</v>
      </c>
      <c r="K309" s="2026">
        <v>0.96199999999999997</v>
      </c>
      <c r="L309" s="2026">
        <v>0.96199999999999997</v>
      </c>
      <c r="M309" s="2027">
        <f t="shared" si="158"/>
        <v>1079.7103199999999</v>
      </c>
      <c r="N309" s="2027">
        <f t="shared" si="158"/>
        <v>1079.7103199999999</v>
      </c>
      <c r="O309" s="2027">
        <f t="shared" si="158"/>
        <v>1079.7103199999999</v>
      </c>
      <c r="P309" s="2027">
        <f t="shared" si="158"/>
        <v>1079.7103199999999</v>
      </c>
      <c r="Q309" s="2026">
        <v>0.96199999999999997</v>
      </c>
      <c r="R309" s="2026">
        <v>0.96199999999999997</v>
      </c>
      <c r="S309" s="2026">
        <v>0.96199999999999997</v>
      </c>
      <c r="T309" s="2026">
        <v>0.96199999999999997</v>
      </c>
      <c r="U309" s="2028">
        <f t="shared" si="159"/>
        <v>0.34631999999999996</v>
      </c>
      <c r="V309" s="2028">
        <f t="shared" si="159"/>
        <v>0.34631999999999996</v>
      </c>
      <c r="W309" s="2028">
        <f t="shared" si="159"/>
        <v>0.34631999999999996</v>
      </c>
      <c r="X309" s="2028">
        <f t="shared" si="159"/>
        <v>0.34631999999999996</v>
      </c>
      <c r="Y309" s="2026">
        <v>0.96199999999999997</v>
      </c>
      <c r="Z309" s="2026">
        <v>0.96199999999999997</v>
      </c>
      <c r="AA309" s="2026">
        <v>0.96199999999999997</v>
      </c>
      <c r="AB309" s="2026">
        <v>0.96199999999999997</v>
      </c>
      <c r="AC309" s="2027">
        <f t="shared" si="160"/>
        <v>0</v>
      </c>
      <c r="AD309" s="2027">
        <f t="shared" si="160"/>
        <v>0</v>
      </c>
      <c r="AE309" s="2027">
        <f t="shared" si="160"/>
        <v>0</v>
      </c>
      <c r="AF309" s="2027">
        <f t="shared" si="160"/>
        <v>0</v>
      </c>
      <c r="AG309" s="2027">
        <v>0</v>
      </c>
      <c r="AH309" s="2028"/>
      <c r="AI309" s="2028"/>
      <c r="AJ309" s="2028"/>
      <c r="AK309" s="2027">
        <f t="shared" si="148"/>
        <v>0</v>
      </c>
      <c r="AL309" s="2027">
        <f t="shared" si="149"/>
        <v>0</v>
      </c>
      <c r="AM309" s="2027">
        <f t="shared" si="149"/>
        <v>0</v>
      </c>
      <c r="AN309" s="2027">
        <f t="shared" si="149"/>
        <v>0</v>
      </c>
      <c r="AO309" s="2027">
        <f t="shared" si="161"/>
        <v>0</v>
      </c>
      <c r="AP309" s="2027">
        <f t="shared" si="150"/>
        <v>0</v>
      </c>
      <c r="AQ309" s="2027">
        <f t="shared" si="150"/>
        <v>0</v>
      </c>
      <c r="AR309" s="2027">
        <f t="shared" si="150"/>
        <v>0</v>
      </c>
      <c r="AS309" s="2124">
        <f t="shared" si="184"/>
        <v>150</v>
      </c>
      <c r="AT309" s="2029">
        <f t="shared" si="151"/>
        <v>150</v>
      </c>
      <c r="AU309" s="2029">
        <f t="shared" si="151"/>
        <v>150</v>
      </c>
      <c r="AV309" s="2029">
        <f t="shared" si="151"/>
        <v>150</v>
      </c>
      <c r="AW309" s="2124">
        <f t="shared" si="152"/>
        <v>0</v>
      </c>
      <c r="AX309" s="2029">
        <f t="shared" si="171"/>
        <v>0</v>
      </c>
      <c r="AY309" s="2029">
        <f t="shared" si="171"/>
        <v>0</v>
      </c>
      <c r="AZ309" s="2029">
        <f t="shared" si="171"/>
        <v>0</v>
      </c>
      <c r="BA309" s="2124">
        <f t="shared" si="188"/>
        <v>150</v>
      </c>
      <c r="BB309" s="2029">
        <f t="shared" si="188"/>
        <v>150</v>
      </c>
      <c r="BC309" s="2029">
        <f t="shared" si="188"/>
        <v>150</v>
      </c>
      <c r="BD309" s="2029">
        <f t="shared" si="188"/>
        <v>150</v>
      </c>
      <c r="BE309" s="2030">
        <f t="shared" si="155"/>
        <v>0</v>
      </c>
      <c r="BF309" s="2030">
        <f t="shared" si="155"/>
        <v>0</v>
      </c>
      <c r="BG309" s="2030">
        <f t="shared" si="155"/>
        <v>0</v>
      </c>
      <c r="BH309" s="2030">
        <f t="shared" si="155"/>
        <v>0</v>
      </c>
      <c r="BI309" s="2030">
        <f t="shared" si="156"/>
        <v>0</v>
      </c>
      <c r="BJ309" s="2030">
        <f t="shared" si="156"/>
        <v>0</v>
      </c>
      <c r="BK309" s="2030">
        <f t="shared" si="156"/>
        <v>0</v>
      </c>
      <c r="BL309" s="2030">
        <f t="shared" si="156"/>
        <v>0</v>
      </c>
      <c r="BM309" s="2125"/>
      <c r="BN309" s="2125"/>
      <c r="BO309" s="2125"/>
      <c r="BP309" s="2125"/>
      <c r="BQ309" s="2125"/>
      <c r="BR309" s="2125"/>
      <c r="BS309" s="2125"/>
      <c r="BT309" s="2125"/>
      <c r="BU309" s="2029"/>
      <c r="BV309" s="2029"/>
      <c r="BW309" s="2029"/>
      <c r="BX309" s="2029"/>
      <c r="BY309" s="2029"/>
      <c r="BZ309" s="2032"/>
      <c r="CA309" s="1974">
        <f t="shared" si="187"/>
        <v>0</v>
      </c>
      <c r="CB309" s="1974">
        <f t="shared" si="187"/>
        <v>0</v>
      </c>
      <c r="CC309" s="1974">
        <f t="shared" si="187"/>
        <v>0</v>
      </c>
      <c r="CD309" s="1974">
        <f t="shared" si="187"/>
        <v>0</v>
      </c>
      <c r="CE309" s="1974">
        <f t="shared" si="187"/>
        <v>0</v>
      </c>
      <c r="CF309" s="2033">
        <v>0</v>
      </c>
      <c r="CG309" s="2026">
        <v>0</v>
      </c>
      <c r="CH309" s="2009">
        <f t="shared" si="187"/>
        <v>0</v>
      </c>
      <c r="CI309" s="2031">
        <f t="shared" si="187"/>
        <v>0</v>
      </c>
      <c r="CJ309" s="1974">
        <f t="shared" si="187"/>
        <v>0</v>
      </c>
      <c r="CK309" s="2031">
        <f t="shared" si="187"/>
        <v>0</v>
      </c>
      <c r="CL309" s="2026">
        <v>1</v>
      </c>
      <c r="CM309" s="2026">
        <v>1</v>
      </c>
      <c r="CN309" s="2026">
        <v>1</v>
      </c>
      <c r="CO309" s="2026">
        <v>1</v>
      </c>
      <c r="CP309" s="2035"/>
      <c r="CQ309" s="2036"/>
      <c r="CR309" s="2036"/>
      <c r="CS309" s="2036"/>
      <c r="CT309" s="2036"/>
      <c r="CU309" s="2036"/>
      <c r="CW309" s="1973">
        <v>0</v>
      </c>
      <c r="CX309" s="2037">
        <v>150</v>
      </c>
      <c r="CY309" s="2037">
        <v>150</v>
      </c>
      <c r="CZ309" s="2037">
        <v>150</v>
      </c>
      <c r="DA309" s="2037">
        <v>150</v>
      </c>
      <c r="DJ309" s="1976">
        <v>150</v>
      </c>
      <c r="DK309" s="1973">
        <v>150</v>
      </c>
      <c r="DL309" s="1973">
        <v>150</v>
      </c>
      <c r="DM309" s="1973">
        <v>150</v>
      </c>
      <c r="DO309" s="1974">
        <v>7</v>
      </c>
      <c r="DP309" s="1974">
        <v>1122.3599999999999</v>
      </c>
      <c r="DQ309" s="1974">
        <v>0.36</v>
      </c>
      <c r="DR309" s="1974">
        <v>0</v>
      </c>
      <c r="DS309" s="2124">
        <v>150</v>
      </c>
      <c r="DT309" s="2029">
        <v>150</v>
      </c>
      <c r="DU309" s="2029">
        <v>150</v>
      </c>
      <c r="DV309" s="2029">
        <v>150</v>
      </c>
      <c r="DW309" s="2124">
        <v>0</v>
      </c>
      <c r="DX309" s="2029">
        <v>0</v>
      </c>
      <c r="DY309" s="2029">
        <v>0</v>
      </c>
      <c r="DZ309" s="2029">
        <v>0</v>
      </c>
      <c r="EA309" s="2124">
        <v>150</v>
      </c>
      <c r="EB309" s="2029">
        <v>150</v>
      </c>
      <c r="EC309" s="2029">
        <v>150</v>
      </c>
      <c r="ED309" s="2029">
        <v>150</v>
      </c>
      <c r="EE309" s="2039">
        <f t="shared" si="168"/>
        <v>0</v>
      </c>
      <c r="EF309" s="2039">
        <f t="shared" si="168"/>
        <v>0</v>
      </c>
      <c r="EG309" s="2039">
        <f t="shared" si="168"/>
        <v>0</v>
      </c>
      <c r="EH309" s="2039">
        <f t="shared" si="167"/>
        <v>0</v>
      </c>
      <c r="EI309" s="2040">
        <f t="shared" si="165"/>
        <v>0</v>
      </c>
      <c r="EJ309" s="2040">
        <f t="shared" si="165"/>
        <v>0</v>
      </c>
      <c r="EK309" s="2040">
        <f t="shared" si="165"/>
        <v>0</v>
      </c>
      <c r="EL309" s="2040">
        <f t="shared" si="165"/>
        <v>0</v>
      </c>
      <c r="EM309" s="2040">
        <f t="shared" si="165"/>
        <v>0</v>
      </c>
      <c r="EN309" s="2040">
        <f t="shared" si="165"/>
        <v>0</v>
      </c>
      <c r="EO309" s="2040">
        <f t="shared" si="165"/>
        <v>0</v>
      </c>
      <c r="EP309" s="2040">
        <f t="shared" si="165"/>
        <v>0</v>
      </c>
      <c r="EQ309" s="2040">
        <f t="shared" si="165"/>
        <v>0</v>
      </c>
      <c r="ER309" s="2040">
        <f t="shared" si="185"/>
        <v>0</v>
      </c>
      <c r="ES309" s="2040">
        <f t="shared" si="185"/>
        <v>0</v>
      </c>
      <c r="ET309" s="2040">
        <f t="shared" si="185"/>
        <v>0</v>
      </c>
      <c r="EU309" s="2039">
        <f t="shared" si="169"/>
        <v>0</v>
      </c>
      <c r="EV309" s="2039">
        <f t="shared" si="170"/>
        <v>0</v>
      </c>
    </row>
    <row r="310" spans="1:152" x14ac:dyDescent="0.25">
      <c r="A310" s="2088" t="s">
        <v>125</v>
      </c>
      <c r="B310" s="2093" t="str">
        <f t="shared" si="146"/>
        <v>BPA4</v>
      </c>
      <c r="C310" s="1974">
        <f t="shared" si="186"/>
        <v>7</v>
      </c>
      <c r="D310" s="1974">
        <f t="shared" si="186"/>
        <v>372.14</v>
      </c>
      <c r="E310" s="1974">
        <f t="shared" si="186"/>
        <v>0.12</v>
      </c>
      <c r="F310" s="1974">
        <f t="shared" si="174"/>
        <v>0</v>
      </c>
      <c r="G310" s="1974" t="s">
        <v>2997</v>
      </c>
      <c r="H310" s="1974" t="s">
        <v>2997</v>
      </c>
      <c r="I310" s="2026">
        <v>0.96199999999999997</v>
      </c>
      <c r="J310" s="2026">
        <v>0.96199999999999997</v>
      </c>
      <c r="K310" s="2026">
        <v>0.96199999999999997</v>
      </c>
      <c r="L310" s="2026">
        <v>0.96199999999999997</v>
      </c>
      <c r="M310" s="2027">
        <f t="shared" si="158"/>
        <v>357.99867999999998</v>
      </c>
      <c r="N310" s="2027">
        <f t="shared" si="158"/>
        <v>357.99867999999998</v>
      </c>
      <c r="O310" s="2027">
        <f t="shared" si="158"/>
        <v>357.99867999999998</v>
      </c>
      <c r="P310" s="2027">
        <f t="shared" si="158"/>
        <v>357.99867999999998</v>
      </c>
      <c r="Q310" s="2026">
        <v>0.96199999999999997</v>
      </c>
      <c r="R310" s="2026">
        <v>0.96199999999999997</v>
      </c>
      <c r="S310" s="2026">
        <v>0.96199999999999997</v>
      </c>
      <c r="T310" s="2026">
        <v>0.96199999999999997</v>
      </c>
      <c r="U310" s="2028">
        <f t="shared" si="159"/>
        <v>0.11543999999999999</v>
      </c>
      <c r="V310" s="2028">
        <f t="shared" si="159"/>
        <v>0.11543999999999999</v>
      </c>
      <c r="W310" s="2028">
        <f t="shared" si="159"/>
        <v>0.11543999999999999</v>
      </c>
      <c r="X310" s="2028">
        <f t="shared" si="159"/>
        <v>0.11543999999999999</v>
      </c>
      <c r="Y310" s="2026">
        <v>0.96199999999999997</v>
      </c>
      <c r="Z310" s="2026">
        <v>0.96199999999999997</v>
      </c>
      <c r="AA310" s="2026">
        <v>0.96199999999999997</v>
      </c>
      <c r="AB310" s="2026">
        <v>0.96199999999999997</v>
      </c>
      <c r="AC310" s="2027">
        <f t="shared" si="160"/>
        <v>0</v>
      </c>
      <c r="AD310" s="2027">
        <f t="shared" si="160"/>
        <v>0</v>
      </c>
      <c r="AE310" s="2027">
        <f t="shared" si="160"/>
        <v>0</v>
      </c>
      <c r="AF310" s="2027">
        <f t="shared" si="160"/>
        <v>0</v>
      </c>
      <c r="AG310" s="2027">
        <v>0</v>
      </c>
      <c r="AH310" s="2028"/>
      <c r="AI310" s="2028"/>
      <c r="AJ310" s="2028"/>
      <c r="AK310" s="2027">
        <f t="shared" si="148"/>
        <v>0</v>
      </c>
      <c r="AL310" s="2027">
        <f t="shared" si="149"/>
        <v>0</v>
      </c>
      <c r="AM310" s="2027">
        <f t="shared" si="149"/>
        <v>0</v>
      </c>
      <c r="AN310" s="2027">
        <f t="shared" si="149"/>
        <v>0</v>
      </c>
      <c r="AO310" s="2027">
        <f t="shared" si="161"/>
        <v>0</v>
      </c>
      <c r="AP310" s="2027">
        <f t="shared" si="150"/>
        <v>0</v>
      </c>
      <c r="AQ310" s="2027">
        <f t="shared" si="150"/>
        <v>0</v>
      </c>
      <c r="AR310" s="2027">
        <f t="shared" si="150"/>
        <v>0</v>
      </c>
      <c r="AS310" s="2124">
        <f t="shared" si="184"/>
        <v>37.5</v>
      </c>
      <c r="AT310" s="2029">
        <f t="shared" si="151"/>
        <v>37.5</v>
      </c>
      <c r="AU310" s="2029">
        <f t="shared" si="151"/>
        <v>37.5</v>
      </c>
      <c r="AV310" s="2029">
        <f t="shared" si="151"/>
        <v>37.5</v>
      </c>
      <c r="AW310" s="2124">
        <f t="shared" si="152"/>
        <v>0</v>
      </c>
      <c r="AX310" s="2029">
        <f t="shared" si="171"/>
        <v>0</v>
      </c>
      <c r="AY310" s="2029">
        <f t="shared" si="171"/>
        <v>0</v>
      </c>
      <c r="AZ310" s="2029">
        <f t="shared" si="171"/>
        <v>0</v>
      </c>
      <c r="BA310" s="2124">
        <f t="shared" si="188"/>
        <v>150</v>
      </c>
      <c r="BB310" s="2029">
        <f t="shared" si="188"/>
        <v>150</v>
      </c>
      <c r="BC310" s="2029">
        <f t="shared" si="188"/>
        <v>150</v>
      </c>
      <c r="BD310" s="2029">
        <f t="shared" si="188"/>
        <v>150</v>
      </c>
      <c r="BE310" s="2030">
        <f t="shared" si="155"/>
        <v>0</v>
      </c>
      <c r="BF310" s="2030">
        <f t="shared" si="155"/>
        <v>0</v>
      </c>
      <c r="BG310" s="2030">
        <f t="shared" si="155"/>
        <v>0</v>
      </c>
      <c r="BH310" s="2030">
        <f t="shared" si="155"/>
        <v>0</v>
      </c>
      <c r="BI310" s="2030">
        <f t="shared" si="156"/>
        <v>0</v>
      </c>
      <c r="BJ310" s="2030">
        <f t="shared" si="156"/>
        <v>0</v>
      </c>
      <c r="BK310" s="2030">
        <f t="shared" si="156"/>
        <v>0</v>
      </c>
      <c r="BL310" s="2030">
        <f t="shared" si="156"/>
        <v>0</v>
      </c>
      <c r="BM310" s="2125"/>
      <c r="BN310" s="2125"/>
      <c r="BO310" s="2125"/>
      <c r="BP310" s="2125"/>
      <c r="BQ310" s="2125"/>
      <c r="BR310" s="2125"/>
      <c r="BS310" s="2125"/>
      <c r="BT310" s="2125"/>
      <c r="BU310" s="2029"/>
      <c r="BV310" s="2029"/>
      <c r="BW310" s="2029"/>
      <c r="BX310" s="2029"/>
      <c r="BY310" s="2029"/>
      <c r="BZ310" s="2032"/>
      <c r="CA310" s="1974">
        <f t="shared" si="187"/>
        <v>0</v>
      </c>
      <c r="CB310" s="1974">
        <f t="shared" si="187"/>
        <v>0</v>
      </c>
      <c r="CC310" s="1974">
        <f t="shared" si="187"/>
        <v>0</v>
      </c>
      <c r="CD310" s="1974">
        <f t="shared" si="187"/>
        <v>0</v>
      </c>
      <c r="CE310" s="1974">
        <f t="shared" si="187"/>
        <v>0</v>
      </c>
      <c r="CF310" s="2033">
        <v>0</v>
      </c>
      <c r="CG310" s="2026">
        <v>0</v>
      </c>
      <c r="CH310" s="2009">
        <f t="shared" si="187"/>
        <v>0</v>
      </c>
      <c r="CI310" s="2031">
        <f t="shared" si="187"/>
        <v>0</v>
      </c>
      <c r="CJ310" s="1974">
        <f t="shared" si="187"/>
        <v>0</v>
      </c>
      <c r="CK310" s="2031">
        <f t="shared" si="187"/>
        <v>0</v>
      </c>
      <c r="CL310" s="2026">
        <v>1</v>
      </c>
      <c r="CM310" s="2026">
        <v>1</v>
      </c>
      <c r="CN310" s="2026">
        <v>1</v>
      </c>
      <c r="CO310" s="2026">
        <v>1</v>
      </c>
      <c r="CP310" s="2035"/>
      <c r="CQ310" s="2036"/>
      <c r="CR310" s="2036"/>
      <c r="CS310" s="2036"/>
      <c r="CT310" s="2036"/>
      <c r="CU310" s="2036"/>
      <c r="CW310" s="1973">
        <v>0</v>
      </c>
      <c r="CX310" s="2037">
        <v>37.5</v>
      </c>
      <c r="CY310" s="2037">
        <v>37.5</v>
      </c>
      <c r="CZ310" s="2037">
        <v>37.5</v>
      </c>
      <c r="DA310" s="2037">
        <v>37.5</v>
      </c>
      <c r="DJ310" s="1976">
        <v>37.5</v>
      </c>
      <c r="DK310" s="1973">
        <v>37.5</v>
      </c>
      <c r="DL310" s="1973">
        <v>37.5</v>
      </c>
      <c r="DM310" s="1973">
        <v>37.5</v>
      </c>
      <c r="DO310" s="1974">
        <v>7</v>
      </c>
      <c r="DP310" s="1974">
        <v>372.14</v>
      </c>
      <c r="DQ310" s="1974">
        <v>0.12</v>
      </c>
      <c r="DR310" s="1974">
        <v>0</v>
      </c>
      <c r="DS310" s="2124">
        <v>37.5</v>
      </c>
      <c r="DT310" s="2029">
        <v>37.5</v>
      </c>
      <c r="DU310" s="2029">
        <v>37.5</v>
      </c>
      <c r="DV310" s="2029">
        <v>37.5</v>
      </c>
      <c r="DW310" s="2124">
        <v>0</v>
      </c>
      <c r="DX310" s="2029">
        <v>0</v>
      </c>
      <c r="DY310" s="2029">
        <v>0</v>
      </c>
      <c r="DZ310" s="2029">
        <v>0</v>
      </c>
      <c r="EA310" s="2124">
        <v>150</v>
      </c>
      <c r="EB310" s="2029">
        <v>150</v>
      </c>
      <c r="EC310" s="2029">
        <v>150</v>
      </c>
      <c r="ED310" s="2029">
        <v>150</v>
      </c>
      <c r="EE310" s="2039">
        <f t="shared" si="168"/>
        <v>0</v>
      </c>
      <c r="EF310" s="2039">
        <f t="shared" si="168"/>
        <v>0</v>
      </c>
      <c r="EG310" s="2039">
        <f t="shared" si="168"/>
        <v>0</v>
      </c>
      <c r="EH310" s="2039">
        <f t="shared" si="167"/>
        <v>0</v>
      </c>
      <c r="EI310" s="2040">
        <f t="shared" si="165"/>
        <v>0</v>
      </c>
      <c r="EJ310" s="2040">
        <f t="shared" si="165"/>
        <v>0</v>
      </c>
      <c r="EK310" s="2040">
        <f t="shared" si="165"/>
        <v>0</v>
      </c>
      <c r="EL310" s="2040">
        <f t="shared" ref="EL310:EQ352" si="189">AV310-DV310</f>
        <v>0</v>
      </c>
      <c r="EM310" s="2040">
        <f t="shared" si="189"/>
        <v>0</v>
      </c>
      <c r="EN310" s="2040">
        <f t="shared" si="189"/>
        <v>0</v>
      </c>
      <c r="EO310" s="2040">
        <f t="shared" si="189"/>
        <v>0</v>
      </c>
      <c r="EP310" s="2040">
        <f t="shared" si="189"/>
        <v>0</v>
      </c>
      <c r="EQ310" s="2040">
        <f t="shared" si="189"/>
        <v>0</v>
      </c>
      <c r="ER310" s="2040">
        <f t="shared" si="185"/>
        <v>0</v>
      </c>
      <c r="ES310" s="2040">
        <f t="shared" si="185"/>
        <v>0</v>
      </c>
      <c r="ET310" s="2040">
        <f t="shared" si="185"/>
        <v>0</v>
      </c>
      <c r="EU310" s="2039">
        <f t="shared" si="169"/>
        <v>0</v>
      </c>
      <c r="EV310" s="2039">
        <f t="shared" si="170"/>
        <v>0</v>
      </c>
    </row>
    <row r="311" spans="1:152" x14ac:dyDescent="0.25">
      <c r="A311" s="2088" t="s">
        <v>126</v>
      </c>
      <c r="B311" s="2093" t="str">
        <f t="shared" si="146"/>
        <v>BPA5</v>
      </c>
      <c r="C311" s="1974">
        <f t="shared" si="186"/>
        <v>7</v>
      </c>
      <c r="D311" s="1974">
        <f t="shared" si="186"/>
        <v>625.23</v>
      </c>
      <c r="E311" s="1974">
        <f t="shared" si="186"/>
        <v>0.2</v>
      </c>
      <c r="F311" s="1974">
        <f t="shared" si="174"/>
        <v>0</v>
      </c>
      <c r="G311" s="1974" t="s">
        <v>2997</v>
      </c>
      <c r="H311" s="1974" t="s">
        <v>2997</v>
      </c>
      <c r="I311" s="2026">
        <v>0.96199999999999997</v>
      </c>
      <c r="J311" s="2026">
        <v>0.96199999999999997</v>
      </c>
      <c r="K311" s="2026">
        <v>0.96199999999999997</v>
      </c>
      <c r="L311" s="2026">
        <v>0.96199999999999997</v>
      </c>
      <c r="M311" s="2027">
        <f t="shared" si="158"/>
        <v>601.47126000000003</v>
      </c>
      <c r="N311" s="2027">
        <f t="shared" si="158"/>
        <v>601.47126000000003</v>
      </c>
      <c r="O311" s="2027">
        <f t="shared" si="158"/>
        <v>601.47126000000003</v>
      </c>
      <c r="P311" s="2027">
        <f t="shared" si="158"/>
        <v>601.47126000000003</v>
      </c>
      <c r="Q311" s="2026">
        <v>0.96199999999999997</v>
      </c>
      <c r="R311" s="2026">
        <v>0.96199999999999997</v>
      </c>
      <c r="S311" s="2026">
        <v>0.96199999999999997</v>
      </c>
      <c r="T311" s="2026">
        <v>0.96199999999999997</v>
      </c>
      <c r="U311" s="2028">
        <f t="shared" si="159"/>
        <v>0.19240000000000002</v>
      </c>
      <c r="V311" s="2028">
        <f t="shared" si="159"/>
        <v>0.19240000000000002</v>
      </c>
      <c r="W311" s="2028">
        <f t="shared" si="159"/>
        <v>0.19240000000000002</v>
      </c>
      <c r="X311" s="2028">
        <f t="shared" si="159"/>
        <v>0.19240000000000002</v>
      </c>
      <c r="Y311" s="2026">
        <v>0.96199999999999997</v>
      </c>
      <c r="Z311" s="2026">
        <v>0.96199999999999997</v>
      </c>
      <c r="AA311" s="2026">
        <v>0.96199999999999997</v>
      </c>
      <c r="AB311" s="2026">
        <v>0.96199999999999997</v>
      </c>
      <c r="AC311" s="2027">
        <f t="shared" si="160"/>
        <v>0</v>
      </c>
      <c r="AD311" s="2027">
        <f t="shared" si="160"/>
        <v>0</v>
      </c>
      <c r="AE311" s="2027">
        <f t="shared" si="160"/>
        <v>0</v>
      </c>
      <c r="AF311" s="2027">
        <f t="shared" si="160"/>
        <v>0</v>
      </c>
      <c r="AG311" s="2027">
        <v>0</v>
      </c>
      <c r="AH311" s="2028"/>
      <c r="AI311" s="2028"/>
      <c r="AJ311" s="2028"/>
      <c r="AK311" s="2027">
        <f t="shared" si="148"/>
        <v>0</v>
      </c>
      <c r="AL311" s="2027">
        <f t="shared" si="149"/>
        <v>0</v>
      </c>
      <c r="AM311" s="2027">
        <f t="shared" si="149"/>
        <v>0</v>
      </c>
      <c r="AN311" s="2027">
        <f t="shared" si="149"/>
        <v>0</v>
      </c>
      <c r="AO311" s="2027">
        <f t="shared" si="161"/>
        <v>0</v>
      </c>
      <c r="AP311" s="2027">
        <f t="shared" si="150"/>
        <v>0</v>
      </c>
      <c r="AQ311" s="2027">
        <f t="shared" si="150"/>
        <v>0</v>
      </c>
      <c r="AR311" s="2027">
        <f t="shared" si="150"/>
        <v>0</v>
      </c>
      <c r="AS311" s="2124">
        <f t="shared" si="184"/>
        <v>75</v>
      </c>
      <c r="AT311" s="2029">
        <f t="shared" si="151"/>
        <v>75</v>
      </c>
      <c r="AU311" s="2029">
        <f t="shared" si="151"/>
        <v>75</v>
      </c>
      <c r="AV311" s="2029">
        <f t="shared" si="151"/>
        <v>75</v>
      </c>
      <c r="AW311" s="2124">
        <f t="shared" si="152"/>
        <v>0</v>
      </c>
      <c r="AX311" s="2029">
        <f t="shared" si="171"/>
        <v>0</v>
      </c>
      <c r="AY311" s="2029">
        <f t="shared" si="171"/>
        <v>0</v>
      </c>
      <c r="AZ311" s="2029">
        <f t="shared" si="171"/>
        <v>0</v>
      </c>
      <c r="BA311" s="2124">
        <f t="shared" si="188"/>
        <v>150</v>
      </c>
      <c r="BB311" s="2029">
        <f t="shared" si="188"/>
        <v>150</v>
      </c>
      <c r="BC311" s="2029">
        <f t="shared" si="188"/>
        <v>150</v>
      </c>
      <c r="BD311" s="2029">
        <f t="shared" si="188"/>
        <v>150</v>
      </c>
      <c r="BE311" s="2030">
        <f t="shared" si="155"/>
        <v>0</v>
      </c>
      <c r="BF311" s="2030">
        <f t="shared" si="155"/>
        <v>0</v>
      </c>
      <c r="BG311" s="2030">
        <f t="shared" si="155"/>
        <v>0</v>
      </c>
      <c r="BH311" s="2030">
        <f t="shared" si="155"/>
        <v>0</v>
      </c>
      <c r="BI311" s="2030">
        <f t="shared" si="156"/>
        <v>0</v>
      </c>
      <c r="BJ311" s="2030">
        <f t="shared" si="156"/>
        <v>0</v>
      </c>
      <c r="BK311" s="2030">
        <f t="shared" si="156"/>
        <v>0</v>
      </c>
      <c r="BL311" s="2030">
        <f t="shared" si="156"/>
        <v>0</v>
      </c>
      <c r="BM311" s="2125"/>
      <c r="BN311" s="2125"/>
      <c r="BO311" s="2125"/>
      <c r="BP311" s="2125"/>
      <c r="BQ311" s="2125"/>
      <c r="BR311" s="2125"/>
      <c r="BS311" s="2125"/>
      <c r="BT311" s="2125"/>
      <c r="BU311" s="2029"/>
      <c r="BV311" s="2029"/>
      <c r="BW311" s="2029"/>
      <c r="BX311" s="2029"/>
      <c r="BY311" s="2029"/>
      <c r="BZ311" s="2032"/>
      <c r="CA311" s="1974">
        <f t="shared" si="187"/>
        <v>0</v>
      </c>
      <c r="CB311" s="1974">
        <f t="shared" si="187"/>
        <v>0</v>
      </c>
      <c r="CC311" s="1974">
        <f t="shared" si="187"/>
        <v>0</v>
      </c>
      <c r="CD311" s="1974">
        <f t="shared" si="187"/>
        <v>0</v>
      </c>
      <c r="CE311" s="1974">
        <f t="shared" si="187"/>
        <v>0</v>
      </c>
      <c r="CF311" s="2033">
        <v>0</v>
      </c>
      <c r="CG311" s="2026">
        <v>0</v>
      </c>
      <c r="CH311" s="2009">
        <f t="shared" si="187"/>
        <v>0</v>
      </c>
      <c r="CI311" s="2031">
        <f t="shared" si="187"/>
        <v>0</v>
      </c>
      <c r="CJ311" s="1974">
        <f t="shared" si="187"/>
        <v>0</v>
      </c>
      <c r="CK311" s="2031">
        <f t="shared" si="187"/>
        <v>0</v>
      </c>
      <c r="CL311" s="2026">
        <v>1</v>
      </c>
      <c r="CM311" s="2026">
        <v>1</v>
      </c>
      <c r="CN311" s="2026">
        <v>1</v>
      </c>
      <c r="CO311" s="2026">
        <v>1</v>
      </c>
      <c r="CP311" s="2035"/>
      <c r="CQ311" s="2036"/>
      <c r="CR311" s="2036"/>
      <c r="CS311" s="2036"/>
      <c r="CT311" s="2036"/>
      <c r="CU311" s="2036"/>
      <c r="CW311" s="1973">
        <v>0</v>
      </c>
      <c r="CX311" s="2037">
        <v>75</v>
      </c>
      <c r="CY311" s="2037">
        <v>75</v>
      </c>
      <c r="CZ311" s="2037">
        <v>75</v>
      </c>
      <c r="DA311" s="2037">
        <v>75</v>
      </c>
      <c r="DJ311" s="1976">
        <v>75</v>
      </c>
      <c r="DK311" s="1973">
        <v>75</v>
      </c>
      <c r="DL311" s="1973">
        <v>75</v>
      </c>
      <c r="DM311" s="1973">
        <v>75</v>
      </c>
      <c r="DO311" s="1974">
        <v>7</v>
      </c>
      <c r="DP311" s="1974">
        <v>625.23</v>
      </c>
      <c r="DQ311" s="1974">
        <v>0.2</v>
      </c>
      <c r="DR311" s="1974">
        <v>0</v>
      </c>
      <c r="DS311" s="2124">
        <v>75</v>
      </c>
      <c r="DT311" s="2029">
        <v>75</v>
      </c>
      <c r="DU311" s="2029">
        <v>75</v>
      </c>
      <c r="DV311" s="2029">
        <v>75</v>
      </c>
      <c r="DW311" s="2124">
        <v>0</v>
      </c>
      <c r="DX311" s="2029">
        <v>0</v>
      </c>
      <c r="DY311" s="2029">
        <v>0</v>
      </c>
      <c r="DZ311" s="2029">
        <v>0</v>
      </c>
      <c r="EA311" s="2124">
        <v>150</v>
      </c>
      <c r="EB311" s="2029">
        <v>150</v>
      </c>
      <c r="EC311" s="2029">
        <v>150</v>
      </c>
      <c r="ED311" s="2029">
        <v>150</v>
      </c>
      <c r="EE311" s="2039">
        <f t="shared" si="168"/>
        <v>0</v>
      </c>
      <c r="EF311" s="2039">
        <f t="shared" si="168"/>
        <v>0</v>
      </c>
      <c r="EG311" s="2039">
        <f t="shared" si="168"/>
        <v>0</v>
      </c>
      <c r="EH311" s="2039">
        <f t="shared" si="167"/>
        <v>0</v>
      </c>
      <c r="EI311" s="2040">
        <f t="shared" ref="EI311:EN374" si="190">AS311-DS311</f>
        <v>0</v>
      </c>
      <c r="EJ311" s="2040">
        <f t="shared" si="190"/>
        <v>0</v>
      </c>
      <c r="EK311" s="2040">
        <f t="shared" si="190"/>
        <v>0</v>
      </c>
      <c r="EL311" s="2040">
        <f t="shared" si="189"/>
        <v>0</v>
      </c>
      <c r="EM311" s="2040">
        <f t="shared" si="189"/>
        <v>0</v>
      </c>
      <c r="EN311" s="2040">
        <f t="shared" si="189"/>
        <v>0</v>
      </c>
      <c r="EO311" s="2040">
        <f t="shared" si="189"/>
        <v>0</v>
      </c>
      <c r="EP311" s="2040">
        <f t="shared" si="189"/>
        <v>0</v>
      </c>
      <c r="EQ311" s="2040">
        <f t="shared" si="189"/>
        <v>0</v>
      </c>
      <c r="ER311" s="2040">
        <f t="shared" si="185"/>
        <v>0</v>
      </c>
      <c r="ES311" s="2040">
        <f t="shared" si="185"/>
        <v>0</v>
      </c>
      <c r="ET311" s="2040">
        <f t="shared" si="185"/>
        <v>0</v>
      </c>
      <c r="EU311" s="2039">
        <f t="shared" si="169"/>
        <v>0</v>
      </c>
      <c r="EV311" s="2039">
        <f t="shared" si="170"/>
        <v>0</v>
      </c>
    </row>
    <row r="312" spans="1:152" x14ac:dyDescent="0.25">
      <c r="A312" s="2088" t="s">
        <v>127</v>
      </c>
      <c r="B312" s="2093" t="str">
        <f t="shared" si="146"/>
        <v>BPA6</v>
      </c>
      <c r="C312" s="1974">
        <f t="shared" si="186"/>
        <v>7</v>
      </c>
      <c r="D312" s="1974">
        <f t="shared" si="186"/>
        <v>1122.3599999999999</v>
      </c>
      <c r="E312" s="1974">
        <f t="shared" si="186"/>
        <v>0.36</v>
      </c>
      <c r="F312" s="1974">
        <f t="shared" si="174"/>
        <v>0</v>
      </c>
      <c r="G312" s="1974" t="s">
        <v>2997</v>
      </c>
      <c r="H312" s="1974" t="s">
        <v>2997</v>
      </c>
      <c r="I312" s="2026">
        <v>0.96199999999999997</v>
      </c>
      <c r="J312" s="2026">
        <v>0.96199999999999997</v>
      </c>
      <c r="K312" s="2026">
        <v>0.96199999999999997</v>
      </c>
      <c r="L312" s="2026">
        <v>0.96199999999999997</v>
      </c>
      <c r="M312" s="2027">
        <f t="shared" si="158"/>
        <v>1079.7103199999999</v>
      </c>
      <c r="N312" s="2027">
        <f t="shared" si="158"/>
        <v>1079.7103199999999</v>
      </c>
      <c r="O312" s="2027">
        <f t="shared" si="158"/>
        <v>1079.7103199999999</v>
      </c>
      <c r="P312" s="2027">
        <f t="shared" si="158"/>
        <v>1079.7103199999999</v>
      </c>
      <c r="Q312" s="2026">
        <v>0.96199999999999997</v>
      </c>
      <c r="R312" s="2026">
        <v>0.96199999999999997</v>
      </c>
      <c r="S312" s="2026">
        <v>0.96199999999999997</v>
      </c>
      <c r="T312" s="2026">
        <v>0.96199999999999997</v>
      </c>
      <c r="U312" s="2028">
        <f t="shared" si="159"/>
        <v>0.34631999999999996</v>
      </c>
      <c r="V312" s="2028">
        <f t="shared" si="159"/>
        <v>0.34631999999999996</v>
      </c>
      <c r="W312" s="2028">
        <f t="shared" si="159"/>
        <v>0.34631999999999996</v>
      </c>
      <c r="X312" s="2028">
        <f t="shared" si="159"/>
        <v>0.34631999999999996</v>
      </c>
      <c r="Y312" s="2026">
        <v>0.96199999999999997</v>
      </c>
      <c r="Z312" s="2026">
        <v>0.96199999999999997</v>
      </c>
      <c r="AA312" s="2026">
        <v>0.96199999999999997</v>
      </c>
      <c r="AB312" s="2026">
        <v>0.96199999999999997</v>
      </c>
      <c r="AC312" s="2027">
        <f t="shared" si="160"/>
        <v>0</v>
      </c>
      <c r="AD312" s="2027">
        <f t="shared" si="160"/>
        <v>0</v>
      </c>
      <c r="AE312" s="2027">
        <f t="shared" si="160"/>
        <v>0</v>
      </c>
      <c r="AF312" s="2027">
        <f t="shared" si="160"/>
        <v>0</v>
      </c>
      <c r="AG312" s="2027">
        <v>0</v>
      </c>
      <c r="AH312" s="2028"/>
      <c r="AI312" s="2028"/>
      <c r="AJ312" s="2028"/>
      <c r="AK312" s="2027">
        <f t="shared" si="148"/>
        <v>0</v>
      </c>
      <c r="AL312" s="2027">
        <f t="shared" si="149"/>
        <v>0</v>
      </c>
      <c r="AM312" s="2027">
        <f t="shared" si="149"/>
        <v>0</v>
      </c>
      <c r="AN312" s="2027">
        <f t="shared" si="149"/>
        <v>0</v>
      </c>
      <c r="AO312" s="2027">
        <f t="shared" si="161"/>
        <v>0</v>
      </c>
      <c r="AP312" s="2027">
        <f t="shared" si="150"/>
        <v>0</v>
      </c>
      <c r="AQ312" s="2027">
        <f t="shared" si="150"/>
        <v>0</v>
      </c>
      <c r="AR312" s="2027">
        <f t="shared" si="150"/>
        <v>0</v>
      </c>
      <c r="AS312" s="2124">
        <f t="shared" si="184"/>
        <v>150</v>
      </c>
      <c r="AT312" s="2029">
        <f t="shared" si="151"/>
        <v>150</v>
      </c>
      <c r="AU312" s="2029">
        <f t="shared" si="151"/>
        <v>150</v>
      </c>
      <c r="AV312" s="2029">
        <f t="shared" si="151"/>
        <v>150</v>
      </c>
      <c r="AW312" s="2124">
        <f t="shared" si="152"/>
        <v>0</v>
      </c>
      <c r="AX312" s="2029">
        <f t="shared" si="171"/>
        <v>0</v>
      </c>
      <c r="AY312" s="2029">
        <f t="shared" si="171"/>
        <v>0</v>
      </c>
      <c r="AZ312" s="2029">
        <f t="shared" si="171"/>
        <v>0</v>
      </c>
      <c r="BA312" s="2124">
        <f t="shared" si="188"/>
        <v>150</v>
      </c>
      <c r="BB312" s="2029">
        <f t="shared" si="188"/>
        <v>150</v>
      </c>
      <c r="BC312" s="2029">
        <f t="shared" si="188"/>
        <v>150</v>
      </c>
      <c r="BD312" s="2029">
        <f t="shared" si="188"/>
        <v>150</v>
      </c>
      <c r="BE312" s="2030">
        <f t="shared" si="155"/>
        <v>0</v>
      </c>
      <c r="BF312" s="2030">
        <f t="shared" si="155"/>
        <v>0</v>
      </c>
      <c r="BG312" s="2030">
        <f t="shared" si="155"/>
        <v>0</v>
      </c>
      <c r="BH312" s="2030">
        <f t="shared" si="155"/>
        <v>0</v>
      </c>
      <c r="BI312" s="2030">
        <f t="shared" si="156"/>
        <v>0</v>
      </c>
      <c r="BJ312" s="2030">
        <f t="shared" si="156"/>
        <v>0</v>
      </c>
      <c r="BK312" s="2030">
        <f t="shared" si="156"/>
        <v>0</v>
      </c>
      <c r="BL312" s="2030">
        <f t="shared" si="156"/>
        <v>0</v>
      </c>
      <c r="BM312" s="2125"/>
      <c r="BN312" s="2125"/>
      <c r="BO312" s="2125"/>
      <c r="BP312" s="2125"/>
      <c r="BQ312" s="2125"/>
      <c r="BR312" s="2125"/>
      <c r="BS312" s="2125"/>
      <c r="BT312" s="2125"/>
      <c r="BU312" s="2029"/>
      <c r="BV312" s="2029"/>
      <c r="BW312" s="2029"/>
      <c r="BX312" s="2029"/>
      <c r="BY312" s="2029"/>
      <c r="BZ312" s="2032"/>
      <c r="CA312" s="1974">
        <f t="shared" si="187"/>
        <v>0</v>
      </c>
      <c r="CB312" s="1974">
        <f t="shared" si="187"/>
        <v>0</v>
      </c>
      <c r="CC312" s="1974">
        <f t="shared" si="187"/>
        <v>0</v>
      </c>
      <c r="CD312" s="1974">
        <f t="shared" si="187"/>
        <v>0</v>
      </c>
      <c r="CE312" s="1974">
        <f t="shared" si="187"/>
        <v>0</v>
      </c>
      <c r="CF312" s="2033">
        <v>0</v>
      </c>
      <c r="CG312" s="2026">
        <v>0</v>
      </c>
      <c r="CH312" s="2009">
        <f t="shared" si="187"/>
        <v>0</v>
      </c>
      <c r="CI312" s="2031">
        <f t="shared" si="187"/>
        <v>0</v>
      </c>
      <c r="CJ312" s="1974">
        <f t="shared" si="187"/>
        <v>0</v>
      </c>
      <c r="CK312" s="2031">
        <f t="shared" si="187"/>
        <v>0</v>
      </c>
      <c r="CL312" s="2026">
        <v>1</v>
      </c>
      <c r="CM312" s="2026">
        <v>1</v>
      </c>
      <c r="CN312" s="2026">
        <v>1</v>
      </c>
      <c r="CO312" s="2026">
        <v>1</v>
      </c>
      <c r="CP312" s="2035"/>
      <c r="CQ312" s="2036"/>
      <c r="CR312" s="2036"/>
      <c r="CS312" s="2036"/>
      <c r="CT312" s="2036"/>
      <c r="CU312" s="2036"/>
      <c r="CW312" s="1973">
        <v>0</v>
      </c>
      <c r="CX312" s="2037">
        <v>150</v>
      </c>
      <c r="CY312" s="2037">
        <v>150</v>
      </c>
      <c r="CZ312" s="2037">
        <v>150</v>
      </c>
      <c r="DA312" s="2037">
        <v>150</v>
      </c>
      <c r="DJ312" s="1976">
        <v>150</v>
      </c>
      <c r="DK312" s="1973">
        <v>150</v>
      </c>
      <c r="DL312" s="1973">
        <v>150</v>
      </c>
      <c r="DM312" s="1973">
        <v>150</v>
      </c>
      <c r="DO312" s="1974">
        <v>7</v>
      </c>
      <c r="DP312" s="1974">
        <v>1122.3599999999999</v>
      </c>
      <c r="DQ312" s="1974">
        <v>0.36</v>
      </c>
      <c r="DR312" s="1974">
        <v>0</v>
      </c>
      <c r="DS312" s="2124">
        <v>150</v>
      </c>
      <c r="DT312" s="2029">
        <v>150</v>
      </c>
      <c r="DU312" s="2029">
        <v>150</v>
      </c>
      <c r="DV312" s="2029">
        <v>150</v>
      </c>
      <c r="DW312" s="2124">
        <v>0</v>
      </c>
      <c r="DX312" s="2029">
        <v>0</v>
      </c>
      <c r="DY312" s="2029">
        <v>0</v>
      </c>
      <c r="DZ312" s="2029">
        <v>0</v>
      </c>
      <c r="EA312" s="2124">
        <v>150</v>
      </c>
      <c r="EB312" s="2029">
        <v>150</v>
      </c>
      <c r="EC312" s="2029">
        <v>150</v>
      </c>
      <c r="ED312" s="2029">
        <v>150</v>
      </c>
      <c r="EE312" s="2039">
        <f t="shared" si="168"/>
        <v>0</v>
      </c>
      <c r="EF312" s="2039">
        <f t="shared" si="168"/>
        <v>0</v>
      </c>
      <c r="EG312" s="2039">
        <f t="shared" si="168"/>
        <v>0</v>
      </c>
      <c r="EH312" s="2039">
        <f t="shared" si="167"/>
        <v>0</v>
      </c>
      <c r="EI312" s="2040">
        <f t="shared" si="190"/>
        <v>0</v>
      </c>
      <c r="EJ312" s="2040">
        <f t="shared" si="190"/>
        <v>0</v>
      </c>
      <c r="EK312" s="2040">
        <f t="shared" si="190"/>
        <v>0</v>
      </c>
      <c r="EL312" s="2040">
        <f t="shared" si="189"/>
        <v>0</v>
      </c>
      <c r="EM312" s="2040">
        <f t="shared" si="189"/>
        <v>0</v>
      </c>
      <c r="EN312" s="2040">
        <f t="shared" si="189"/>
        <v>0</v>
      </c>
      <c r="EO312" s="2040">
        <f t="shared" si="189"/>
        <v>0</v>
      </c>
      <c r="EP312" s="2040">
        <f t="shared" si="189"/>
        <v>0</v>
      </c>
      <c r="EQ312" s="2040">
        <f t="shared" si="189"/>
        <v>0</v>
      </c>
      <c r="ER312" s="2040">
        <f t="shared" si="185"/>
        <v>0</v>
      </c>
      <c r="ES312" s="2040">
        <f t="shared" si="185"/>
        <v>0</v>
      </c>
      <c r="ET312" s="2040">
        <f t="shared" si="185"/>
        <v>0</v>
      </c>
      <c r="EU312" s="2039">
        <f t="shared" si="169"/>
        <v>0</v>
      </c>
      <c r="EV312" s="2039">
        <f t="shared" si="170"/>
        <v>0</v>
      </c>
    </row>
    <row r="313" spans="1:152" x14ac:dyDescent="0.25">
      <c r="A313" s="2088" t="s">
        <v>224</v>
      </c>
      <c r="B313" s="2093" t="str">
        <f t="shared" si="146"/>
        <v>BPA7</v>
      </c>
      <c r="C313" s="1974">
        <f t="shared" si="186"/>
        <v>10</v>
      </c>
      <c r="D313" s="1974">
        <f t="shared" si="186"/>
        <v>10018.219999999999</v>
      </c>
      <c r="E313" s="1974">
        <f t="shared" si="186"/>
        <v>3.6679999999999997</v>
      </c>
      <c r="F313" s="1974">
        <f t="shared" si="174"/>
        <v>0</v>
      </c>
      <c r="G313" s="1974" t="s">
        <v>2997</v>
      </c>
      <c r="H313" s="1974" t="s">
        <v>2997</v>
      </c>
      <c r="I313" s="2026">
        <v>0.96199999999999997</v>
      </c>
      <c r="J313" s="2026">
        <v>0.96199999999999997</v>
      </c>
      <c r="K313" s="2026">
        <v>0.96199999999999997</v>
      </c>
      <c r="L313" s="2026">
        <v>0.96199999999999997</v>
      </c>
      <c r="M313" s="2027">
        <f t="shared" si="158"/>
        <v>9637.5276399999984</v>
      </c>
      <c r="N313" s="2027">
        <f t="shared" si="158"/>
        <v>9637.5276399999984</v>
      </c>
      <c r="O313" s="2027">
        <f t="shared" si="158"/>
        <v>9637.5276399999984</v>
      </c>
      <c r="P313" s="2027">
        <f t="shared" si="158"/>
        <v>9637.5276399999984</v>
      </c>
      <c r="Q313" s="2026">
        <v>0.96199999999999997</v>
      </c>
      <c r="R313" s="2026">
        <v>0.96199999999999997</v>
      </c>
      <c r="S313" s="2026">
        <v>0.96199999999999997</v>
      </c>
      <c r="T313" s="2026">
        <v>0.96199999999999997</v>
      </c>
      <c r="U313" s="2028">
        <f t="shared" si="159"/>
        <v>3.5286159999999995</v>
      </c>
      <c r="V313" s="2028">
        <f t="shared" si="159"/>
        <v>3.5286159999999995</v>
      </c>
      <c r="W313" s="2028">
        <f t="shared" si="159"/>
        <v>3.5286159999999995</v>
      </c>
      <c r="X313" s="2028">
        <f t="shared" si="159"/>
        <v>3.5286159999999995</v>
      </c>
      <c r="Y313" s="2026">
        <v>0.96199999999999997</v>
      </c>
      <c r="Z313" s="2026">
        <v>0.96199999999999997</v>
      </c>
      <c r="AA313" s="2026">
        <v>0.96199999999999997</v>
      </c>
      <c r="AB313" s="2026">
        <v>0.96199999999999997</v>
      </c>
      <c r="AC313" s="2027">
        <f t="shared" si="160"/>
        <v>0</v>
      </c>
      <c r="AD313" s="2027">
        <f t="shared" si="160"/>
        <v>0</v>
      </c>
      <c r="AE313" s="2027">
        <f t="shared" si="160"/>
        <v>0</v>
      </c>
      <c r="AF313" s="2027">
        <f t="shared" si="160"/>
        <v>0</v>
      </c>
      <c r="AG313" s="2027">
        <v>0</v>
      </c>
      <c r="AH313" s="2028"/>
      <c r="AI313" s="2028"/>
      <c r="AJ313" s="2028"/>
      <c r="AK313" s="2027">
        <f t="shared" si="148"/>
        <v>0</v>
      </c>
      <c r="AL313" s="2027">
        <f t="shared" si="149"/>
        <v>0</v>
      </c>
      <c r="AM313" s="2027">
        <f t="shared" si="149"/>
        <v>0</v>
      </c>
      <c r="AN313" s="2027">
        <f t="shared" si="149"/>
        <v>0</v>
      </c>
      <c r="AO313" s="2027">
        <f t="shared" si="161"/>
        <v>0</v>
      </c>
      <c r="AP313" s="2027">
        <f t="shared" si="150"/>
        <v>0</v>
      </c>
      <c r="AQ313" s="2027">
        <f t="shared" si="150"/>
        <v>0</v>
      </c>
      <c r="AR313" s="2027">
        <f t="shared" si="150"/>
        <v>0</v>
      </c>
      <c r="AS313" s="2124">
        <f t="shared" si="184"/>
        <v>1500</v>
      </c>
      <c r="AT313" s="2029">
        <f t="shared" si="151"/>
        <v>1500</v>
      </c>
      <c r="AU313" s="2029">
        <f t="shared" si="151"/>
        <v>1500</v>
      </c>
      <c r="AV313" s="2029">
        <f t="shared" si="151"/>
        <v>1500</v>
      </c>
      <c r="AW313" s="2124">
        <f t="shared" si="152"/>
        <v>0</v>
      </c>
      <c r="AX313" s="2029">
        <f t="shared" si="171"/>
        <v>0</v>
      </c>
      <c r="AY313" s="2029">
        <f t="shared" si="171"/>
        <v>0</v>
      </c>
      <c r="AZ313" s="2029">
        <f t="shared" si="171"/>
        <v>0</v>
      </c>
      <c r="BA313" s="2124">
        <f t="shared" si="188"/>
        <v>4185</v>
      </c>
      <c r="BB313" s="2029">
        <f t="shared" si="188"/>
        <v>4185</v>
      </c>
      <c r="BC313" s="2029">
        <f t="shared" si="188"/>
        <v>4185</v>
      </c>
      <c r="BD313" s="2029">
        <f t="shared" si="188"/>
        <v>4185</v>
      </c>
      <c r="BE313" s="2030">
        <f t="shared" si="155"/>
        <v>0</v>
      </c>
      <c r="BF313" s="2030">
        <f t="shared" si="155"/>
        <v>0</v>
      </c>
      <c r="BG313" s="2030">
        <f t="shared" si="155"/>
        <v>0</v>
      </c>
      <c r="BH313" s="2030">
        <f t="shared" ref="BH313:BH376" si="191">AV313*AJ313</f>
        <v>0</v>
      </c>
      <c r="BI313" s="2030">
        <f t="shared" si="156"/>
        <v>0</v>
      </c>
      <c r="BJ313" s="2030">
        <f t="shared" si="156"/>
        <v>0</v>
      </c>
      <c r="BK313" s="2030">
        <f t="shared" si="156"/>
        <v>0</v>
      </c>
      <c r="BL313" s="2030">
        <f t="shared" ref="BL313:BL376" si="192">AZ313*AJ313</f>
        <v>0</v>
      </c>
      <c r="BM313" s="2125"/>
      <c r="BN313" s="2125"/>
      <c r="BO313" s="2125"/>
      <c r="BP313" s="2125"/>
      <c r="BQ313" s="2125"/>
      <c r="BR313" s="2125"/>
      <c r="BS313" s="2125"/>
      <c r="BT313" s="2125"/>
      <c r="BU313" s="2029"/>
      <c r="BV313" s="2029"/>
      <c r="BW313" s="2029"/>
      <c r="BX313" s="2029"/>
      <c r="BY313" s="2029"/>
      <c r="BZ313" s="2032"/>
      <c r="CA313" s="1974">
        <f t="shared" si="187"/>
        <v>0</v>
      </c>
      <c r="CB313" s="1974">
        <f t="shared" si="187"/>
        <v>0</v>
      </c>
      <c r="CC313" s="1974">
        <f t="shared" si="187"/>
        <v>0</v>
      </c>
      <c r="CD313" s="1974">
        <f t="shared" si="187"/>
        <v>0</v>
      </c>
      <c r="CE313" s="1974">
        <f t="shared" si="187"/>
        <v>0</v>
      </c>
      <c r="CF313" s="2033">
        <v>0</v>
      </c>
      <c r="CG313" s="2026">
        <v>0</v>
      </c>
      <c r="CH313" s="2009">
        <f t="shared" si="187"/>
        <v>0</v>
      </c>
      <c r="CI313" s="2031">
        <f t="shared" si="187"/>
        <v>0</v>
      </c>
      <c r="CJ313" s="1974">
        <f t="shared" si="187"/>
        <v>0</v>
      </c>
      <c r="CK313" s="2031">
        <f t="shared" si="187"/>
        <v>0</v>
      </c>
      <c r="CL313" s="2026">
        <v>1</v>
      </c>
      <c r="CM313" s="2026">
        <v>1</v>
      </c>
      <c r="CN313" s="2026">
        <v>1</v>
      </c>
      <c r="CO313" s="2026">
        <v>1</v>
      </c>
      <c r="CP313" s="2035"/>
      <c r="CQ313" s="2036"/>
      <c r="CR313" s="2036"/>
      <c r="CS313" s="2036"/>
      <c r="CT313" s="2036"/>
      <c r="CU313" s="2036"/>
      <c r="CW313" s="1973">
        <v>0</v>
      </c>
      <c r="CX313" s="2037">
        <v>1500</v>
      </c>
      <c r="CY313" s="2037">
        <v>1500</v>
      </c>
      <c r="CZ313" s="2037">
        <v>1500</v>
      </c>
      <c r="DA313" s="2037">
        <v>1500</v>
      </c>
      <c r="DJ313" s="1976">
        <v>1500</v>
      </c>
      <c r="DK313" s="1973">
        <v>1500</v>
      </c>
      <c r="DL313" s="1973">
        <v>1500</v>
      </c>
      <c r="DM313" s="1973">
        <v>1500</v>
      </c>
      <c r="DO313" s="1974">
        <v>10</v>
      </c>
      <c r="DP313" s="1974">
        <v>10018.219999999999</v>
      </c>
      <c r="DQ313" s="1974">
        <v>3.6679999999999997</v>
      </c>
      <c r="DR313" s="1974">
        <v>0</v>
      </c>
      <c r="DS313" s="2124">
        <v>1500</v>
      </c>
      <c r="DT313" s="2029">
        <v>1500</v>
      </c>
      <c r="DU313" s="2029">
        <v>1500</v>
      </c>
      <c r="DV313" s="2029">
        <v>1500</v>
      </c>
      <c r="DW313" s="2124">
        <v>0</v>
      </c>
      <c r="DX313" s="2029">
        <v>0</v>
      </c>
      <c r="DY313" s="2029">
        <v>0</v>
      </c>
      <c r="DZ313" s="2029">
        <v>0</v>
      </c>
      <c r="EA313" s="2124">
        <v>4185</v>
      </c>
      <c r="EB313" s="2029">
        <v>4185</v>
      </c>
      <c r="EC313" s="2029">
        <v>4185</v>
      </c>
      <c r="ED313" s="2029">
        <v>4185</v>
      </c>
      <c r="EE313" s="2039">
        <f t="shared" si="168"/>
        <v>0</v>
      </c>
      <c r="EF313" s="2039">
        <f t="shared" si="168"/>
        <v>0</v>
      </c>
      <c r="EG313" s="2039">
        <f t="shared" si="168"/>
        <v>0</v>
      </c>
      <c r="EH313" s="2039">
        <f t="shared" si="167"/>
        <v>0</v>
      </c>
      <c r="EI313" s="2040">
        <f t="shared" si="190"/>
        <v>0</v>
      </c>
      <c r="EJ313" s="2040">
        <f t="shared" si="190"/>
        <v>0</v>
      </c>
      <c r="EK313" s="2040">
        <f t="shared" si="190"/>
        <v>0</v>
      </c>
      <c r="EL313" s="2040">
        <f t="shared" si="189"/>
        <v>0</v>
      </c>
      <c r="EM313" s="2040">
        <f t="shared" si="189"/>
        <v>0</v>
      </c>
      <c r="EN313" s="2040">
        <f t="shared" si="189"/>
        <v>0</v>
      </c>
      <c r="EO313" s="2040">
        <f t="shared" si="189"/>
        <v>0</v>
      </c>
      <c r="EP313" s="2040">
        <f t="shared" si="189"/>
        <v>0</v>
      </c>
      <c r="EQ313" s="2040">
        <f t="shared" si="189"/>
        <v>0</v>
      </c>
      <c r="ER313" s="2040">
        <f t="shared" si="185"/>
        <v>0</v>
      </c>
      <c r="ES313" s="2040">
        <f t="shared" si="185"/>
        <v>0</v>
      </c>
      <c r="ET313" s="2040">
        <f t="shared" si="185"/>
        <v>0</v>
      </c>
      <c r="EU313" s="2039">
        <f t="shared" si="169"/>
        <v>0</v>
      </c>
      <c r="EV313" s="2039">
        <f t="shared" si="170"/>
        <v>0</v>
      </c>
    </row>
    <row r="314" spans="1:152" x14ac:dyDescent="0.25">
      <c r="A314" s="2088" t="s">
        <v>225</v>
      </c>
      <c r="B314" s="2093" t="str">
        <f t="shared" ref="B314:B377" si="193">IF(B70="","",B70)</f>
        <v>BPA8</v>
      </c>
      <c r="C314" s="1974">
        <f t="shared" si="186"/>
        <v>3</v>
      </c>
      <c r="D314" s="1974">
        <f t="shared" si="186"/>
        <v>664</v>
      </c>
      <c r="E314" s="1974">
        <f t="shared" si="186"/>
        <v>0</v>
      </c>
      <c r="F314" s="1974">
        <f t="shared" si="174"/>
        <v>0</v>
      </c>
      <c r="G314" s="1974" t="s">
        <v>2997</v>
      </c>
      <c r="H314" s="1974" t="s">
        <v>2997</v>
      </c>
      <c r="I314" s="2026">
        <v>0.96199999999999997</v>
      </c>
      <c r="J314" s="2026">
        <v>0.96199999999999997</v>
      </c>
      <c r="K314" s="2026">
        <v>0.96199999999999997</v>
      </c>
      <c r="L314" s="2026">
        <v>0.96199999999999997</v>
      </c>
      <c r="M314" s="2027">
        <f t="shared" si="158"/>
        <v>638.76800000000003</v>
      </c>
      <c r="N314" s="2027">
        <f t="shared" si="158"/>
        <v>638.76800000000003</v>
      </c>
      <c r="O314" s="2027">
        <f t="shared" si="158"/>
        <v>638.76800000000003</v>
      </c>
      <c r="P314" s="2027">
        <f t="shared" ref="P314:P377" si="194">$D314*L314</f>
        <v>638.76800000000003</v>
      </c>
      <c r="Q314" s="2026">
        <v>0.96199999999999997</v>
      </c>
      <c r="R314" s="2026">
        <v>0.96199999999999997</v>
      </c>
      <c r="S314" s="2026">
        <v>0.96199999999999997</v>
      </c>
      <c r="T314" s="2026">
        <v>0.96199999999999997</v>
      </c>
      <c r="U314" s="2028">
        <f t="shared" si="159"/>
        <v>0</v>
      </c>
      <c r="V314" s="2028">
        <f t="shared" si="159"/>
        <v>0</v>
      </c>
      <c r="W314" s="2028">
        <f t="shared" si="159"/>
        <v>0</v>
      </c>
      <c r="X314" s="2028">
        <f t="shared" ref="X314:X377" si="195">$E314*T314</f>
        <v>0</v>
      </c>
      <c r="Y314" s="2026">
        <v>0.96199999999999997</v>
      </c>
      <c r="Z314" s="2026">
        <v>0.96199999999999997</v>
      </c>
      <c r="AA314" s="2026">
        <v>0.96199999999999997</v>
      </c>
      <c r="AB314" s="2026">
        <v>0.96199999999999997</v>
      </c>
      <c r="AC314" s="2027">
        <f t="shared" si="160"/>
        <v>0</v>
      </c>
      <c r="AD314" s="2027">
        <f t="shared" si="160"/>
        <v>0</v>
      </c>
      <c r="AE314" s="2027">
        <f t="shared" si="160"/>
        <v>0</v>
      </c>
      <c r="AF314" s="2027">
        <f t="shared" ref="AF314:AF377" si="196">$F314*AB314</f>
        <v>0</v>
      </c>
      <c r="AG314" s="2027">
        <v>0</v>
      </c>
      <c r="AH314" s="2028"/>
      <c r="AI314" s="2028"/>
      <c r="AJ314" s="2028"/>
      <c r="AK314" s="2027">
        <f t="shared" ref="AK314:AK377" si="197">AG314*M314</f>
        <v>0</v>
      </c>
      <c r="AL314" s="2027">
        <f t="shared" ref="AL314:AN377" si="198">AH314*N314*CM314</f>
        <v>0</v>
      </c>
      <c r="AM314" s="2027">
        <f t="shared" si="198"/>
        <v>0</v>
      </c>
      <c r="AN314" s="2027">
        <f t="shared" si="198"/>
        <v>0</v>
      </c>
      <c r="AO314" s="2027">
        <f t="shared" si="161"/>
        <v>0</v>
      </c>
      <c r="AP314" s="2027">
        <f t="shared" ref="AP314:AR377" si="199">AH314*AD314*CM314</f>
        <v>0</v>
      </c>
      <c r="AQ314" s="2027">
        <f t="shared" si="199"/>
        <v>0</v>
      </c>
      <c r="AR314" s="2027">
        <f t="shared" si="199"/>
        <v>0</v>
      </c>
      <c r="AS314" s="2124">
        <f t="shared" si="184"/>
        <v>15</v>
      </c>
      <c r="AT314" s="2029">
        <f t="shared" ref="AT314:AV377" si="200">$AS314</f>
        <v>15</v>
      </c>
      <c r="AU314" s="2029">
        <f t="shared" si="200"/>
        <v>15</v>
      </c>
      <c r="AV314" s="2029">
        <f t="shared" si="200"/>
        <v>15</v>
      </c>
      <c r="AW314" s="2124">
        <f t="shared" ref="AW314:AW343" si="201">AW70*1.3</f>
        <v>0</v>
      </c>
      <c r="AX314" s="2029">
        <f t="shared" si="171"/>
        <v>0</v>
      </c>
      <c r="AY314" s="2029">
        <f t="shared" si="171"/>
        <v>0</v>
      </c>
      <c r="AZ314" s="2029">
        <f t="shared" si="171"/>
        <v>0</v>
      </c>
      <c r="BA314" s="2124">
        <f t="shared" si="188"/>
        <v>10.19</v>
      </c>
      <c r="BB314" s="2029">
        <f t="shared" si="188"/>
        <v>10.19</v>
      </c>
      <c r="BC314" s="2029">
        <f t="shared" si="188"/>
        <v>10.19</v>
      </c>
      <c r="BD314" s="2029">
        <f t="shared" si="188"/>
        <v>10.19</v>
      </c>
      <c r="BE314" s="2030">
        <f t="shared" ref="BE314:BH377" si="202">AS314*AG314</f>
        <v>0</v>
      </c>
      <c r="BF314" s="2030">
        <f t="shared" si="202"/>
        <v>0</v>
      </c>
      <c r="BG314" s="2030">
        <f t="shared" si="202"/>
        <v>0</v>
      </c>
      <c r="BH314" s="2030">
        <f t="shared" si="191"/>
        <v>0</v>
      </c>
      <c r="BI314" s="2030">
        <f t="shared" ref="BI314:BL377" si="203">AW314*AG314</f>
        <v>0</v>
      </c>
      <c r="BJ314" s="2030">
        <f t="shared" si="203"/>
        <v>0</v>
      </c>
      <c r="BK314" s="2030">
        <f t="shared" si="203"/>
        <v>0</v>
      </c>
      <c r="BL314" s="2030">
        <f t="shared" si="192"/>
        <v>0</v>
      </c>
      <c r="BM314" s="2125"/>
      <c r="BN314" s="2125"/>
      <c r="BO314" s="2125"/>
      <c r="BP314" s="2125"/>
      <c r="BQ314" s="2125"/>
      <c r="BR314" s="2125"/>
      <c r="BS314" s="2125"/>
      <c r="BT314" s="2125"/>
      <c r="BU314" s="2029"/>
      <c r="BV314" s="2029"/>
      <c r="BW314" s="2029"/>
      <c r="BX314" s="2029"/>
      <c r="BY314" s="2029"/>
      <c r="BZ314" s="2032"/>
      <c r="CA314" s="1974">
        <f t="shared" si="187"/>
        <v>0</v>
      </c>
      <c r="CB314" s="1974">
        <f t="shared" si="187"/>
        <v>0</v>
      </c>
      <c r="CC314" s="1974">
        <f t="shared" si="187"/>
        <v>0</v>
      </c>
      <c r="CD314" s="1974">
        <f t="shared" si="187"/>
        <v>0</v>
      </c>
      <c r="CE314" s="1974">
        <f t="shared" si="187"/>
        <v>0</v>
      </c>
      <c r="CF314" s="2033">
        <v>0</v>
      </c>
      <c r="CG314" s="2026">
        <v>0</v>
      </c>
      <c r="CH314" s="2009">
        <f t="shared" si="187"/>
        <v>0</v>
      </c>
      <c r="CI314" s="2031">
        <f t="shared" si="187"/>
        <v>0</v>
      </c>
      <c r="CJ314" s="1974">
        <f t="shared" si="187"/>
        <v>0</v>
      </c>
      <c r="CK314" s="2031">
        <f t="shared" si="187"/>
        <v>0</v>
      </c>
      <c r="CL314" s="2026">
        <v>1</v>
      </c>
      <c r="CM314" s="2026">
        <v>1</v>
      </c>
      <c r="CN314" s="2026">
        <v>1</v>
      </c>
      <c r="CO314" s="2026">
        <v>1</v>
      </c>
      <c r="CP314" s="2035"/>
      <c r="CQ314" s="2036"/>
      <c r="CR314" s="2036"/>
      <c r="CS314" s="2036"/>
      <c r="CT314" s="2036"/>
      <c r="CU314" s="2036"/>
      <c r="CW314" s="1973">
        <v>0</v>
      </c>
      <c r="CX314" s="2037">
        <v>15</v>
      </c>
      <c r="CY314" s="2037">
        <v>15</v>
      </c>
      <c r="CZ314" s="2037">
        <v>15</v>
      </c>
      <c r="DA314" s="2037">
        <v>15</v>
      </c>
      <c r="DJ314" s="1976">
        <v>15</v>
      </c>
      <c r="DK314" s="1973">
        <v>15</v>
      </c>
      <c r="DL314" s="1973">
        <v>15</v>
      </c>
      <c r="DM314" s="1973">
        <v>15</v>
      </c>
      <c r="DO314" s="1974">
        <v>3</v>
      </c>
      <c r="DP314" s="1974">
        <v>664</v>
      </c>
      <c r="DQ314" s="1974">
        <v>0</v>
      </c>
      <c r="DR314" s="1974">
        <v>0</v>
      </c>
      <c r="DS314" s="2124">
        <v>15</v>
      </c>
      <c r="DT314" s="2029">
        <v>15</v>
      </c>
      <c r="DU314" s="2029">
        <v>15</v>
      </c>
      <c r="DV314" s="2029">
        <v>15</v>
      </c>
      <c r="DW314" s="2124">
        <v>0</v>
      </c>
      <c r="DX314" s="2029">
        <v>0</v>
      </c>
      <c r="DY314" s="2029">
        <v>0</v>
      </c>
      <c r="DZ314" s="2029">
        <v>0</v>
      </c>
      <c r="EA314" s="2124">
        <v>10.19</v>
      </c>
      <c r="EB314" s="2029">
        <v>10.19</v>
      </c>
      <c r="EC314" s="2029">
        <v>10.19</v>
      </c>
      <c r="ED314" s="2029">
        <v>10.19</v>
      </c>
      <c r="EE314" s="2039">
        <f t="shared" si="168"/>
        <v>0</v>
      </c>
      <c r="EF314" s="2039">
        <f t="shared" si="168"/>
        <v>0</v>
      </c>
      <c r="EG314" s="2039">
        <f t="shared" si="168"/>
        <v>0</v>
      </c>
      <c r="EH314" s="2039">
        <f t="shared" si="167"/>
        <v>0</v>
      </c>
      <c r="EI314" s="2040">
        <f t="shared" si="190"/>
        <v>0</v>
      </c>
      <c r="EJ314" s="2040">
        <f t="shared" si="190"/>
        <v>0</v>
      </c>
      <c r="EK314" s="2040">
        <f t="shared" si="190"/>
        <v>0</v>
      </c>
      <c r="EL314" s="2040">
        <f t="shared" si="189"/>
        <v>0</v>
      </c>
      <c r="EM314" s="2040">
        <f t="shared" si="189"/>
        <v>0</v>
      </c>
      <c r="EN314" s="2040">
        <f t="shared" si="189"/>
        <v>0</v>
      </c>
      <c r="EO314" s="2040">
        <f t="shared" si="189"/>
        <v>0</v>
      </c>
      <c r="EP314" s="2040">
        <f t="shared" si="189"/>
        <v>0</v>
      </c>
      <c r="EQ314" s="2040">
        <f t="shared" si="189"/>
        <v>0</v>
      </c>
      <c r="ER314" s="2040">
        <f t="shared" si="185"/>
        <v>0</v>
      </c>
      <c r="ES314" s="2040">
        <f t="shared" si="185"/>
        <v>0</v>
      </c>
      <c r="ET314" s="2040">
        <f t="shared" si="185"/>
        <v>0</v>
      </c>
      <c r="EU314" s="2039">
        <f t="shared" si="169"/>
        <v>0</v>
      </c>
      <c r="EV314" s="2039">
        <f t="shared" si="170"/>
        <v>0</v>
      </c>
    </row>
    <row r="315" spans="1:152" x14ac:dyDescent="0.25">
      <c r="A315" s="2088" t="s">
        <v>226</v>
      </c>
      <c r="B315" s="2093" t="str">
        <f t="shared" si="193"/>
        <v>BPA9</v>
      </c>
      <c r="C315" s="1974">
        <f t="shared" ref="C315:E330" si="204">C71</f>
        <v>10</v>
      </c>
      <c r="D315" s="1974">
        <f t="shared" si="204"/>
        <v>1592.85</v>
      </c>
      <c r="E315" s="1974">
        <f t="shared" si="204"/>
        <v>0.53</v>
      </c>
      <c r="F315" s="1974">
        <f t="shared" si="174"/>
        <v>0</v>
      </c>
      <c r="G315" s="1974" t="s">
        <v>2997</v>
      </c>
      <c r="H315" s="1974" t="s">
        <v>2997</v>
      </c>
      <c r="I315" s="2026">
        <v>0.96199999999999997</v>
      </c>
      <c r="J315" s="2026">
        <v>0.96199999999999997</v>
      </c>
      <c r="K315" s="2026">
        <v>0.96199999999999997</v>
      </c>
      <c r="L315" s="2026">
        <v>0.96199999999999997</v>
      </c>
      <c r="M315" s="2027">
        <f t="shared" ref="M315:P378" si="205">$D315*I315</f>
        <v>1532.3217</v>
      </c>
      <c r="N315" s="2027">
        <f t="shared" si="205"/>
        <v>1532.3217</v>
      </c>
      <c r="O315" s="2027">
        <f t="shared" si="205"/>
        <v>1532.3217</v>
      </c>
      <c r="P315" s="2027">
        <f t="shared" si="194"/>
        <v>1532.3217</v>
      </c>
      <c r="Q315" s="2026">
        <v>0.96199999999999997</v>
      </c>
      <c r="R315" s="2026">
        <v>0.96199999999999997</v>
      </c>
      <c r="S315" s="2026">
        <v>0.96199999999999997</v>
      </c>
      <c r="T315" s="2026">
        <v>0.96199999999999997</v>
      </c>
      <c r="U315" s="2028">
        <f t="shared" ref="U315:X378" si="206">$E315*Q315</f>
        <v>0.50985999999999998</v>
      </c>
      <c r="V315" s="2028">
        <f t="shared" si="206"/>
        <v>0.50985999999999998</v>
      </c>
      <c r="W315" s="2028">
        <f t="shared" si="206"/>
        <v>0.50985999999999998</v>
      </c>
      <c r="X315" s="2028">
        <f t="shared" si="195"/>
        <v>0.50985999999999998</v>
      </c>
      <c r="Y315" s="2026">
        <v>0.96199999999999997</v>
      </c>
      <c r="Z315" s="2026">
        <v>0.96199999999999997</v>
      </c>
      <c r="AA315" s="2026">
        <v>0.96199999999999997</v>
      </c>
      <c r="AB315" s="2026">
        <v>0.96199999999999997</v>
      </c>
      <c r="AC315" s="2027">
        <f t="shared" ref="AC315:AF378" si="207">$F315*Y315</f>
        <v>0</v>
      </c>
      <c r="AD315" s="2027">
        <f t="shared" si="207"/>
        <v>0</v>
      </c>
      <c r="AE315" s="2027">
        <f t="shared" si="207"/>
        <v>0</v>
      </c>
      <c r="AF315" s="2027">
        <f t="shared" si="196"/>
        <v>0</v>
      </c>
      <c r="AG315" s="2027">
        <v>0</v>
      </c>
      <c r="AH315" s="2028"/>
      <c r="AI315" s="2028"/>
      <c r="AJ315" s="2028"/>
      <c r="AK315" s="2027">
        <f t="shared" si="197"/>
        <v>0</v>
      </c>
      <c r="AL315" s="2027">
        <f t="shared" si="198"/>
        <v>0</v>
      </c>
      <c r="AM315" s="2027">
        <f t="shared" si="198"/>
        <v>0</v>
      </c>
      <c r="AN315" s="2027">
        <f t="shared" si="198"/>
        <v>0</v>
      </c>
      <c r="AO315" s="2027">
        <f t="shared" ref="AO315:AO378" si="208">AG315*AC315</f>
        <v>0</v>
      </c>
      <c r="AP315" s="2027">
        <f t="shared" si="199"/>
        <v>0</v>
      </c>
      <c r="AQ315" s="2027">
        <f t="shared" si="199"/>
        <v>0</v>
      </c>
      <c r="AR315" s="2027">
        <f t="shared" si="199"/>
        <v>0</v>
      </c>
      <c r="AS315" s="2124">
        <f t="shared" si="184"/>
        <v>112.5</v>
      </c>
      <c r="AT315" s="2029">
        <f t="shared" si="200"/>
        <v>112.5</v>
      </c>
      <c r="AU315" s="2029">
        <f t="shared" si="200"/>
        <v>112.5</v>
      </c>
      <c r="AV315" s="2029">
        <f t="shared" si="200"/>
        <v>112.5</v>
      </c>
      <c r="AW315" s="2124">
        <f t="shared" si="201"/>
        <v>0</v>
      </c>
      <c r="AX315" s="2029">
        <f t="shared" si="171"/>
        <v>0</v>
      </c>
      <c r="AY315" s="2029">
        <f t="shared" si="171"/>
        <v>0</v>
      </c>
      <c r="AZ315" s="2029">
        <f t="shared" si="171"/>
        <v>0</v>
      </c>
      <c r="BA315" s="2124">
        <f t="shared" si="188"/>
        <v>788</v>
      </c>
      <c r="BB315" s="2029">
        <f t="shared" si="188"/>
        <v>788</v>
      </c>
      <c r="BC315" s="2029">
        <f t="shared" si="188"/>
        <v>788</v>
      </c>
      <c r="BD315" s="2029">
        <f t="shared" si="188"/>
        <v>788</v>
      </c>
      <c r="BE315" s="2030">
        <f t="shared" si="202"/>
        <v>0</v>
      </c>
      <c r="BF315" s="2030">
        <f t="shared" si="202"/>
        <v>0</v>
      </c>
      <c r="BG315" s="2030">
        <f t="shared" si="202"/>
        <v>0</v>
      </c>
      <c r="BH315" s="2030">
        <f t="shared" si="191"/>
        <v>0</v>
      </c>
      <c r="BI315" s="2030">
        <f t="shared" si="203"/>
        <v>0</v>
      </c>
      <c r="BJ315" s="2030">
        <f t="shared" si="203"/>
        <v>0</v>
      </c>
      <c r="BK315" s="2030">
        <f t="shared" si="203"/>
        <v>0</v>
      </c>
      <c r="BL315" s="2030">
        <f t="shared" si="192"/>
        <v>0</v>
      </c>
      <c r="BM315" s="2125"/>
      <c r="BN315" s="2125"/>
      <c r="BO315" s="2125"/>
      <c r="BP315" s="2125"/>
      <c r="BQ315" s="2125"/>
      <c r="BR315" s="2125"/>
      <c r="BS315" s="2125"/>
      <c r="BT315" s="2125"/>
      <c r="BU315" s="2029"/>
      <c r="BV315" s="2029"/>
      <c r="BW315" s="2029"/>
      <c r="BX315" s="2029"/>
      <c r="BY315" s="2029"/>
      <c r="BZ315" s="2032"/>
      <c r="CA315" s="1974">
        <f t="shared" ref="CA315:CK330" si="209">CA71</f>
        <v>0</v>
      </c>
      <c r="CB315" s="1974">
        <f t="shared" si="209"/>
        <v>0</v>
      </c>
      <c r="CC315" s="1974">
        <f t="shared" si="209"/>
        <v>0</v>
      </c>
      <c r="CD315" s="1974">
        <f t="shared" si="209"/>
        <v>0</v>
      </c>
      <c r="CE315" s="1974">
        <f t="shared" si="209"/>
        <v>0</v>
      </c>
      <c r="CF315" s="2033">
        <v>0</v>
      </c>
      <c r="CG315" s="2026">
        <v>0</v>
      </c>
      <c r="CH315" s="2009">
        <f t="shared" si="209"/>
        <v>0</v>
      </c>
      <c r="CI315" s="2031">
        <f t="shared" si="209"/>
        <v>0</v>
      </c>
      <c r="CJ315" s="1974">
        <f t="shared" si="209"/>
        <v>0</v>
      </c>
      <c r="CK315" s="2031">
        <f t="shared" si="209"/>
        <v>0</v>
      </c>
      <c r="CL315" s="2026">
        <v>1</v>
      </c>
      <c r="CM315" s="2026">
        <v>1</v>
      </c>
      <c r="CN315" s="2026">
        <v>1</v>
      </c>
      <c r="CO315" s="2026">
        <v>1</v>
      </c>
      <c r="CP315" s="2035"/>
      <c r="CQ315" s="2036"/>
      <c r="CR315" s="2036"/>
      <c r="CS315" s="2036"/>
      <c r="CT315" s="2036"/>
      <c r="CU315" s="2036"/>
      <c r="CW315" s="1973">
        <v>0</v>
      </c>
      <c r="CX315" s="2037">
        <v>112.5</v>
      </c>
      <c r="CY315" s="2037">
        <v>112.5</v>
      </c>
      <c r="CZ315" s="2037">
        <v>112.5</v>
      </c>
      <c r="DA315" s="2037">
        <v>112.5</v>
      </c>
      <c r="DJ315" s="1976">
        <v>112.5</v>
      </c>
      <c r="DK315" s="1973">
        <v>112.5</v>
      </c>
      <c r="DL315" s="1973">
        <v>112.5</v>
      </c>
      <c r="DM315" s="1973">
        <v>112.5</v>
      </c>
      <c r="DO315" s="1974">
        <v>10</v>
      </c>
      <c r="DP315" s="1974">
        <v>1592.85</v>
      </c>
      <c r="DQ315" s="1974">
        <v>0.53</v>
      </c>
      <c r="DR315" s="1974">
        <v>0</v>
      </c>
      <c r="DS315" s="2124">
        <v>112.5</v>
      </c>
      <c r="DT315" s="2029">
        <v>112.5</v>
      </c>
      <c r="DU315" s="2029">
        <v>112.5</v>
      </c>
      <c r="DV315" s="2029">
        <v>112.5</v>
      </c>
      <c r="DW315" s="2124">
        <v>0</v>
      </c>
      <c r="DX315" s="2029">
        <v>0</v>
      </c>
      <c r="DY315" s="2029">
        <v>0</v>
      </c>
      <c r="DZ315" s="2029">
        <v>0</v>
      </c>
      <c r="EA315" s="2124">
        <v>788</v>
      </c>
      <c r="EB315" s="2029">
        <v>788</v>
      </c>
      <c r="EC315" s="2029">
        <v>788</v>
      </c>
      <c r="ED315" s="2029">
        <v>788</v>
      </c>
      <c r="EE315" s="2039">
        <f t="shared" si="168"/>
        <v>0</v>
      </c>
      <c r="EF315" s="2039">
        <f t="shared" si="168"/>
        <v>0</v>
      </c>
      <c r="EG315" s="2039">
        <f t="shared" si="168"/>
        <v>0</v>
      </c>
      <c r="EH315" s="2039">
        <f t="shared" si="167"/>
        <v>0</v>
      </c>
      <c r="EI315" s="2040">
        <f t="shared" si="190"/>
        <v>0</v>
      </c>
      <c r="EJ315" s="2040">
        <f t="shared" si="190"/>
        <v>0</v>
      </c>
      <c r="EK315" s="2040">
        <f t="shared" si="190"/>
        <v>0</v>
      </c>
      <c r="EL315" s="2040">
        <f t="shared" si="189"/>
        <v>0</v>
      </c>
      <c r="EM315" s="2040">
        <f t="shared" si="189"/>
        <v>0</v>
      </c>
      <c r="EN315" s="2040">
        <f t="shared" si="189"/>
        <v>0</v>
      </c>
      <c r="EO315" s="2040">
        <f t="shared" si="189"/>
        <v>0</v>
      </c>
      <c r="EP315" s="2040">
        <f t="shared" si="189"/>
        <v>0</v>
      </c>
      <c r="EQ315" s="2040">
        <f t="shared" si="189"/>
        <v>0</v>
      </c>
      <c r="ER315" s="2040">
        <f t="shared" si="185"/>
        <v>0</v>
      </c>
      <c r="ES315" s="2040">
        <f t="shared" si="185"/>
        <v>0</v>
      </c>
      <c r="ET315" s="2040">
        <f t="shared" si="185"/>
        <v>0</v>
      </c>
      <c r="EU315" s="2039">
        <f t="shared" si="169"/>
        <v>0</v>
      </c>
      <c r="EV315" s="2039">
        <f t="shared" si="170"/>
        <v>0</v>
      </c>
    </row>
    <row r="316" spans="1:152" x14ac:dyDescent="0.25">
      <c r="A316" s="2088" t="s">
        <v>227</v>
      </c>
      <c r="B316" s="2093" t="str">
        <f t="shared" si="193"/>
        <v>BPA10</v>
      </c>
      <c r="C316" s="1974">
        <f t="shared" si="204"/>
        <v>10</v>
      </c>
      <c r="D316" s="1974">
        <f t="shared" si="204"/>
        <v>3337.4</v>
      </c>
      <c r="E316" s="1974">
        <f t="shared" si="204"/>
        <v>0.83</v>
      </c>
      <c r="F316" s="1974">
        <f t="shared" si="174"/>
        <v>0</v>
      </c>
      <c r="G316" s="1974" t="s">
        <v>2997</v>
      </c>
      <c r="H316" s="1974" t="s">
        <v>2997</v>
      </c>
      <c r="I316" s="2026">
        <v>0.96199999999999997</v>
      </c>
      <c r="J316" s="2026">
        <v>0.96199999999999997</v>
      </c>
      <c r="K316" s="2026">
        <v>0.96199999999999997</v>
      </c>
      <c r="L316" s="2026">
        <v>0.96199999999999997</v>
      </c>
      <c r="M316" s="2027">
        <f t="shared" si="205"/>
        <v>3210.5787999999998</v>
      </c>
      <c r="N316" s="2027">
        <f t="shared" si="205"/>
        <v>3210.5787999999998</v>
      </c>
      <c r="O316" s="2027">
        <f t="shared" si="205"/>
        <v>3210.5787999999998</v>
      </c>
      <c r="P316" s="2027">
        <f t="shared" si="194"/>
        <v>3210.5787999999998</v>
      </c>
      <c r="Q316" s="2026">
        <v>0.96199999999999997</v>
      </c>
      <c r="R316" s="2026">
        <v>0.96199999999999997</v>
      </c>
      <c r="S316" s="2026">
        <v>0.96199999999999997</v>
      </c>
      <c r="T316" s="2026">
        <v>0.96199999999999997</v>
      </c>
      <c r="U316" s="2028">
        <f t="shared" si="206"/>
        <v>0.79845999999999995</v>
      </c>
      <c r="V316" s="2028">
        <f t="shared" si="206"/>
        <v>0.79845999999999995</v>
      </c>
      <c r="W316" s="2028">
        <f t="shared" si="206"/>
        <v>0.79845999999999995</v>
      </c>
      <c r="X316" s="2028">
        <f t="shared" si="195"/>
        <v>0.79845999999999995</v>
      </c>
      <c r="Y316" s="2026">
        <v>0.96199999999999997</v>
      </c>
      <c r="Z316" s="2026">
        <v>0.96199999999999997</v>
      </c>
      <c r="AA316" s="2026">
        <v>0.96199999999999997</v>
      </c>
      <c r="AB316" s="2026">
        <v>0.96199999999999997</v>
      </c>
      <c r="AC316" s="2027">
        <f t="shared" si="207"/>
        <v>0</v>
      </c>
      <c r="AD316" s="2027">
        <f t="shared" si="207"/>
        <v>0</v>
      </c>
      <c r="AE316" s="2027">
        <f t="shared" si="207"/>
        <v>0</v>
      </c>
      <c r="AF316" s="2027">
        <f t="shared" si="196"/>
        <v>0</v>
      </c>
      <c r="AG316" s="2027">
        <v>0</v>
      </c>
      <c r="AH316" s="2028"/>
      <c r="AI316" s="2028"/>
      <c r="AJ316" s="2028"/>
      <c r="AK316" s="2027">
        <f t="shared" si="197"/>
        <v>0</v>
      </c>
      <c r="AL316" s="2027">
        <f t="shared" si="198"/>
        <v>0</v>
      </c>
      <c r="AM316" s="2027">
        <f t="shared" si="198"/>
        <v>0</v>
      </c>
      <c r="AN316" s="2027">
        <f t="shared" si="198"/>
        <v>0</v>
      </c>
      <c r="AO316" s="2027">
        <f t="shared" si="208"/>
        <v>0</v>
      </c>
      <c r="AP316" s="2027">
        <f t="shared" si="199"/>
        <v>0</v>
      </c>
      <c r="AQ316" s="2027">
        <f t="shared" si="199"/>
        <v>0</v>
      </c>
      <c r="AR316" s="2027">
        <f t="shared" si="199"/>
        <v>0</v>
      </c>
      <c r="AS316" s="2124">
        <f t="shared" si="184"/>
        <v>150</v>
      </c>
      <c r="AT316" s="2029">
        <f t="shared" si="200"/>
        <v>150</v>
      </c>
      <c r="AU316" s="2029">
        <f t="shared" si="200"/>
        <v>150</v>
      </c>
      <c r="AV316" s="2029">
        <f t="shared" si="200"/>
        <v>150</v>
      </c>
      <c r="AW316" s="2124">
        <f t="shared" si="201"/>
        <v>0</v>
      </c>
      <c r="AX316" s="2029">
        <f t="shared" si="171"/>
        <v>0</v>
      </c>
      <c r="AY316" s="2029">
        <f t="shared" si="171"/>
        <v>0</v>
      </c>
      <c r="AZ316" s="2029">
        <f t="shared" si="171"/>
        <v>0</v>
      </c>
      <c r="BA316" s="2124">
        <f t="shared" si="188"/>
        <v>1450</v>
      </c>
      <c r="BB316" s="2029">
        <f t="shared" si="188"/>
        <v>1450</v>
      </c>
      <c r="BC316" s="2029">
        <f t="shared" si="188"/>
        <v>1450</v>
      </c>
      <c r="BD316" s="2029">
        <f t="shared" si="188"/>
        <v>1450</v>
      </c>
      <c r="BE316" s="2030">
        <f t="shared" si="202"/>
        <v>0</v>
      </c>
      <c r="BF316" s="2030">
        <f t="shared" si="202"/>
        <v>0</v>
      </c>
      <c r="BG316" s="2030">
        <f t="shared" si="202"/>
        <v>0</v>
      </c>
      <c r="BH316" s="2030">
        <f t="shared" si="191"/>
        <v>0</v>
      </c>
      <c r="BI316" s="2030">
        <f t="shared" si="203"/>
        <v>0</v>
      </c>
      <c r="BJ316" s="2030">
        <f t="shared" si="203"/>
        <v>0</v>
      </c>
      <c r="BK316" s="2030">
        <f t="shared" si="203"/>
        <v>0</v>
      </c>
      <c r="BL316" s="2030">
        <f t="shared" si="192"/>
        <v>0</v>
      </c>
      <c r="BM316" s="2125"/>
      <c r="BN316" s="2125"/>
      <c r="BO316" s="2125"/>
      <c r="BP316" s="2125"/>
      <c r="BQ316" s="2125"/>
      <c r="BR316" s="2125"/>
      <c r="BS316" s="2125"/>
      <c r="BT316" s="2125"/>
      <c r="BU316" s="2029"/>
      <c r="BV316" s="2029"/>
      <c r="BW316" s="2029"/>
      <c r="BX316" s="2029"/>
      <c r="BY316" s="2029"/>
      <c r="BZ316" s="2032"/>
      <c r="CA316" s="1974">
        <f t="shared" si="209"/>
        <v>0</v>
      </c>
      <c r="CB316" s="1974">
        <f t="shared" si="209"/>
        <v>0</v>
      </c>
      <c r="CC316" s="1974">
        <f t="shared" si="209"/>
        <v>0</v>
      </c>
      <c r="CD316" s="1974">
        <f t="shared" si="209"/>
        <v>0</v>
      </c>
      <c r="CE316" s="1974">
        <f t="shared" si="209"/>
        <v>0</v>
      </c>
      <c r="CF316" s="2033">
        <v>0</v>
      </c>
      <c r="CG316" s="2026">
        <v>0</v>
      </c>
      <c r="CH316" s="2009">
        <f t="shared" si="209"/>
        <v>0</v>
      </c>
      <c r="CI316" s="2031">
        <f t="shared" si="209"/>
        <v>0</v>
      </c>
      <c r="CJ316" s="1974">
        <f t="shared" si="209"/>
        <v>0</v>
      </c>
      <c r="CK316" s="2031">
        <f t="shared" si="209"/>
        <v>0</v>
      </c>
      <c r="CL316" s="2026">
        <v>1</v>
      </c>
      <c r="CM316" s="2026">
        <v>1</v>
      </c>
      <c r="CN316" s="2026">
        <v>1</v>
      </c>
      <c r="CO316" s="2026">
        <v>1</v>
      </c>
      <c r="CP316" s="2035"/>
      <c r="CQ316" s="2036"/>
      <c r="CR316" s="2036"/>
      <c r="CS316" s="2036"/>
      <c r="CT316" s="2036"/>
      <c r="CU316" s="2036"/>
      <c r="CW316" s="1973">
        <v>0</v>
      </c>
      <c r="CX316" s="2037">
        <v>150</v>
      </c>
      <c r="CY316" s="2037">
        <v>150</v>
      </c>
      <c r="CZ316" s="2037">
        <v>150</v>
      </c>
      <c r="DA316" s="2037">
        <v>150</v>
      </c>
      <c r="DJ316" s="1976">
        <v>150</v>
      </c>
      <c r="DK316" s="1973">
        <v>150</v>
      </c>
      <c r="DL316" s="1973">
        <v>150</v>
      </c>
      <c r="DM316" s="1973">
        <v>150</v>
      </c>
      <c r="DO316" s="1974">
        <v>10</v>
      </c>
      <c r="DP316" s="1974">
        <v>3337.4</v>
      </c>
      <c r="DQ316" s="1974">
        <v>0.83</v>
      </c>
      <c r="DR316" s="1974">
        <v>0</v>
      </c>
      <c r="DS316" s="2124">
        <v>150</v>
      </c>
      <c r="DT316" s="2029">
        <v>150</v>
      </c>
      <c r="DU316" s="2029">
        <v>150</v>
      </c>
      <c r="DV316" s="2029">
        <v>150</v>
      </c>
      <c r="DW316" s="2124">
        <v>0</v>
      </c>
      <c r="DX316" s="2029">
        <v>0</v>
      </c>
      <c r="DY316" s="2029">
        <v>0</v>
      </c>
      <c r="DZ316" s="2029">
        <v>0</v>
      </c>
      <c r="EA316" s="2124">
        <v>1450</v>
      </c>
      <c r="EB316" s="2029">
        <v>1450</v>
      </c>
      <c r="EC316" s="2029">
        <v>1450</v>
      </c>
      <c r="ED316" s="2029">
        <v>1450</v>
      </c>
      <c r="EE316" s="2039">
        <f t="shared" si="168"/>
        <v>0</v>
      </c>
      <c r="EF316" s="2039">
        <f t="shared" si="168"/>
        <v>0</v>
      </c>
      <c r="EG316" s="2039">
        <f t="shared" si="168"/>
        <v>0</v>
      </c>
      <c r="EH316" s="2039">
        <f t="shared" si="167"/>
        <v>0</v>
      </c>
      <c r="EI316" s="2040">
        <f t="shared" si="190"/>
        <v>0</v>
      </c>
      <c r="EJ316" s="2040">
        <f t="shared" si="190"/>
        <v>0</v>
      </c>
      <c r="EK316" s="2040">
        <f t="shared" si="190"/>
        <v>0</v>
      </c>
      <c r="EL316" s="2040">
        <f t="shared" si="189"/>
        <v>0</v>
      </c>
      <c r="EM316" s="2040">
        <f t="shared" si="189"/>
        <v>0</v>
      </c>
      <c r="EN316" s="2040">
        <f t="shared" si="189"/>
        <v>0</v>
      </c>
      <c r="EO316" s="2040">
        <f t="shared" si="189"/>
        <v>0</v>
      </c>
      <c r="EP316" s="2040">
        <f t="shared" si="189"/>
        <v>0</v>
      </c>
      <c r="EQ316" s="2040">
        <f t="shared" si="189"/>
        <v>0</v>
      </c>
      <c r="ER316" s="2040">
        <f t="shared" si="185"/>
        <v>0</v>
      </c>
      <c r="ES316" s="2040">
        <f t="shared" si="185"/>
        <v>0</v>
      </c>
      <c r="ET316" s="2040">
        <f t="shared" si="185"/>
        <v>0</v>
      </c>
      <c r="EU316" s="2039">
        <f t="shared" si="169"/>
        <v>0</v>
      </c>
      <c r="EV316" s="2039">
        <f t="shared" si="170"/>
        <v>0</v>
      </c>
    </row>
    <row r="317" spans="1:152" x14ac:dyDescent="0.25">
      <c r="A317" s="2088" t="s">
        <v>228</v>
      </c>
      <c r="B317" s="2093" t="str">
        <f t="shared" si="193"/>
        <v>BPLD1</v>
      </c>
      <c r="C317" s="1974">
        <f t="shared" si="204"/>
        <v>15</v>
      </c>
      <c r="D317" s="1974">
        <f t="shared" si="204"/>
        <v>232.36866171003717</v>
      </c>
      <c r="E317" s="1974">
        <f t="shared" si="204"/>
        <v>8.6900000000000005E-2</v>
      </c>
      <c r="F317" s="1974">
        <f t="shared" si="174"/>
        <v>0</v>
      </c>
      <c r="G317" s="1974" t="s">
        <v>2997</v>
      </c>
      <c r="H317" s="1974" t="s">
        <v>2997</v>
      </c>
      <c r="I317" s="2026">
        <v>0.96199999999999997</v>
      </c>
      <c r="J317" s="2026">
        <v>0.96199999999999997</v>
      </c>
      <c r="K317" s="2026">
        <v>0.96199999999999997</v>
      </c>
      <c r="L317" s="2026">
        <v>0.96199999999999997</v>
      </c>
      <c r="M317" s="2027">
        <f t="shared" si="205"/>
        <v>223.53865256505574</v>
      </c>
      <c r="N317" s="2027">
        <f t="shared" si="205"/>
        <v>223.53865256505574</v>
      </c>
      <c r="O317" s="2027">
        <f t="shared" si="205"/>
        <v>223.53865256505574</v>
      </c>
      <c r="P317" s="2027">
        <f t="shared" si="194"/>
        <v>223.53865256505574</v>
      </c>
      <c r="Q317" s="2026">
        <v>0.96199999999999997</v>
      </c>
      <c r="R317" s="2026">
        <v>0.96199999999999997</v>
      </c>
      <c r="S317" s="2026">
        <v>0.96199999999999997</v>
      </c>
      <c r="T317" s="2026">
        <v>0.96199999999999997</v>
      </c>
      <c r="U317" s="2028">
        <f t="shared" si="206"/>
        <v>8.35978E-2</v>
      </c>
      <c r="V317" s="2028">
        <f t="shared" si="206"/>
        <v>8.35978E-2</v>
      </c>
      <c r="W317" s="2028">
        <f t="shared" si="206"/>
        <v>8.35978E-2</v>
      </c>
      <c r="X317" s="2028">
        <f t="shared" si="195"/>
        <v>8.35978E-2</v>
      </c>
      <c r="Y317" s="2026">
        <v>0.96199999999999997</v>
      </c>
      <c r="Z317" s="2026">
        <v>0.96199999999999997</v>
      </c>
      <c r="AA317" s="2026">
        <v>0.96199999999999997</v>
      </c>
      <c r="AB317" s="2026">
        <v>0.96199999999999997</v>
      </c>
      <c r="AC317" s="2027">
        <f t="shared" si="207"/>
        <v>0</v>
      </c>
      <c r="AD317" s="2027">
        <f t="shared" si="207"/>
        <v>0</v>
      </c>
      <c r="AE317" s="2027">
        <f t="shared" si="207"/>
        <v>0</v>
      </c>
      <c r="AF317" s="2027">
        <f t="shared" si="196"/>
        <v>0</v>
      </c>
      <c r="AG317" s="2027">
        <v>0</v>
      </c>
      <c r="AH317" s="2028"/>
      <c r="AI317" s="2028"/>
      <c r="AJ317" s="2028"/>
      <c r="AK317" s="2027">
        <f t="shared" si="197"/>
        <v>0</v>
      </c>
      <c r="AL317" s="2027">
        <f t="shared" si="198"/>
        <v>0</v>
      </c>
      <c r="AM317" s="2027">
        <f t="shared" si="198"/>
        <v>0</v>
      </c>
      <c r="AN317" s="2027">
        <f t="shared" si="198"/>
        <v>0</v>
      </c>
      <c r="AO317" s="2027">
        <f t="shared" si="208"/>
        <v>0</v>
      </c>
      <c r="AP317" s="2027">
        <f t="shared" si="199"/>
        <v>0</v>
      </c>
      <c r="AQ317" s="2027">
        <f t="shared" si="199"/>
        <v>0</v>
      </c>
      <c r="AR317" s="2027">
        <f t="shared" si="199"/>
        <v>0</v>
      </c>
      <c r="AS317" s="2124">
        <f t="shared" si="184"/>
        <v>120</v>
      </c>
      <c r="AT317" s="2029">
        <f t="shared" si="200"/>
        <v>120</v>
      </c>
      <c r="AU317" s="2029">
        <f t="shared" si="200"/>
        <v>120</v>
      </c>
      <c r="AV317" s="2029">
        <f t="shared" si="200"/>
        <v>120</v>
      </c>
      <c r="AW317" s="2124">
        <f t="shared" si="201"/>
        <v>0</v>
      </c>
      <c r="AX317" s="2029">
        <f t="shared" si="171"/>
        <v>0</v>
      </c>
      <c r="AY317" s="2029">
        <f t="shared" si="171"/>
        <v>0</v>
      </c>
      <c r="AZ317" s="2029">
        <f t="shared" si="171"/>
        <v>0</v>
      </c>
      <c r="BA317" s="2124">
        <f t="shared" ref="BA317:BD332" si="210">BA73</f>
        <v>260</v>
      </c>
      <c r="BB317" s="2029">
        <f t="shared" si="210"/>
        <v>260</v>
      </c>
      <c r="BC317" s="2029">
        <f t="shared" si="210"/>
        <v>260</v>
      </c>
      <c r="BD317" s="2029">
        <f t="shared" si="210"/>
        <v>260</v>
      </c>
      <c r="BE317" s="2030">
        <f t="shared" si="202"/>
        <v>0</v>
      </c>
      <c r="BF317" s="2030">
        <f t="shared" si="202"/>
        <v>0</v>
      </c>
      <c r="BG317" s="2030">
        <f t="shared" si="202"/>
        <v>0</v>
      </c>
      <c r="BH317" s="2030">
        <f t="shared" si="191"/>
        <v>0</v>
      </c>
      <c r="BI317" s="2030">
        <f t="shared" si="203"/>
        <v>0</v>
      </c>
      <c r="BJ317" s="2030">
        <f t="shared" si="203"/>
        <v>0</v>
      </c>
      <c r="BK317" s="2030">
        <f t="shared" si="203"/>
        <v>0</v>
      </c>
      <c r="BL317" s="2030">
        <f t="shared" si="192"/>
        <v>0</v>
      </c>
      <c r="BM317" s="2125"/>
      <c r="BN317" s="2125"/>
      <c r="BO317" s="2125"/>
      <c r="BP317" s="2125"/>
      <c r="BQ317" s="2125"/>
      <c r="BR317" s="2125"/>
      <c r="BS317" s="2125"/>
      <c r="BT317" s="2125"/>
      <c r="BU317" s="2029"/>
      <c r="BV317" s="2029"/>
      <c r="BW317" s="2029"/>
      <c r="BX317" s="2029"/>
      <c r="BY317" s="2029"/>
      <c r="BZ317" s="2032"/>
      <c r="CA317" s="1974">
        <f t="shared" si="209"/>
        <v>0</v>
      </c>
      <c r="CB317" s="1974">
        <f t="shared" si="209"/>
        <v>0</v>
      </c>
      <c r="CC317" s="1974">
        <f t="shared" si="209"/>
        <v>0</v>
      </c>
      <c r="CD317" s="1974">
        <f t="shared" si="209"/>
        <v>0</v>
      </c>
      <c r="CE317" s="1974">
        <f t="shared" si="209"/>
        <v>0</v>
      </c>
      <c r="CF317" s="2033">
        <v>0</v>
      </c>
      <c r="CG317" s="2026">
        <v>0</v>
      </c>
      <c r="CH317" s="2009">
        <f t="shared" si="209"/>
        <v>0</v>
      </c>
      <c r="CI317" s="2031">
        <f t="shared" si="209"/>
        <v>0</v>
      </c>
      <c r="CJ317" s="1974">
        <f t="shared" si="209"/>
        <v>0</v>
      </c>
      <c r="CK317" s="2031">
        <f t="shared" si="209"/>
        <v>0</v>
      </c>
      <c r="CL317" s="2026">
        <v>1</v>
      </c>
      <c r="CM317" s="2026">
        <v>1</v>
      </c>
      <c r="CN317" s="2026">
        <v>1</v>
      </c>
      <c r="CO317" s="2026">
        <v>1</v>
      </c>
      <c r="CP317" s="2035"/>
      <c r="CQ317" s="2036"/>
      <c r="CR317" s="2036"/>
      <c r="CS317" s="2036"/>
      <c r="CT317" s="2036"/>
      <c r="CU317" s="2036"/>
      <c r="CW317" s="1973">
        <v>0</v>
      </c>
      <c r="CX317" s="2037">
        <v>120</v>
      </c>
      <c r="CY317" s="2037">
        <v>120</v>
      </c>
      <c r="CZ317" s="2037">
        <v>120</v>
      </c>
      <c r="DA317" s="2037">
        <v>120</v>
      </c>
      <c r="DJ317" s="1976">
        <v>120</v>
      </c>
      <c r="DK317" s="1973">
        <v>120</v>
      </c>
      <c r="DL317" s="1973">
        <v>120</v>
      </c>
      <c r="DM317" s="1973">
        <v>120</v>
      </c>
      <c r="DO317" s="1974">
        <v>15</v>
      </c>
      <c r="DP317" s="1974">
        <v>232.36866171003717</v>
      </c>
      <c r="DQ317" s="1974">
        <v>8.6900000000000005E-2</v>
      </c>
      <c r="DR317" s="1974">
        <v>0</v>
      </c>
      <c r="DS317" s="2124">
        <v>120</v>
      </c>
      <c r="DT317" s="2029">
        <v>120</v>
      </c>
      <c r="DU317" s="2029">
        <v>120</v>
      </c>
      <c r="DV317" s="2029">
        <v>120</v>
      </c>
      <c r="DW317" s="2124">
        <v>0</v>
      </c>
      <c r="DX317" s="2029">
        <v>0</v>
      </c>
      <c r="DY317" s="2029">
        <v>0</v>
      </c>
      <c r="DZ317" s="2029">
        <v>0</v>
      </c>
      <c r="EA317" s="2124">
        <v>260</v>
      </c>
      <c r="EB317" s="2029">
        <v>260</v>
      </c>
      <c r="EC317" s="2029">
        <v>260</v>
      </c>
      <c r="ED317" s="2029">
        <v>260</v>
      </c>
      <c r="EE317" s="2039">
        <f t="shared" si="168"/>
        <v>0</v>
      </c>
      <c r="EF317" s="2039">
        <f t="shared" si="168"/>
        <v>0</v>
      </c>
      <c r="EG317" s="2039">
        <f t="shared" si="168"/>
        <v>0</v>
      </c>
      <c r="EH317" s="2039">
        <f t="shared" si="167"/>
        <v>0</v>
      </c>
      <c r="EI317" s="2040">
        <f t="shared" si="190"/>
        <v>0</v>
      </c>
      <c r="EJ317" s="2040">
        <f t="shared" si="190"/>
        <v>0</v>
      </c>
      <c r="EK317" s="2040">
        <f t="shared" si="190"/>
        <v>0</v>
      </c>
      <c r="EL317" s="2040">
        <f t="shared" si="189"/>
        <v>0</v>
      </c>
      <c r="EM317" s="2040">
        <f t="shared" si="189"/>
        <v>0</v>
      </c>
      <c r="EN317" s="2040">
        <f t="shared" si="189"/>
        <v>0</v>
      </c>
      <c r="EO317" s="2040">
        <f t="shared" si="189"/>
        <v>0</v>
      </c>
      <c r="EP317" s="2040">
        <f t="shared" si="189"/>
        <v>0</v>
      </c>
      <c r="EQ317" s="2040">
        <f t="shared" si="189"/>
        <v>0</v>
      </c>
      <c r="ER317" s="2040">
        <f t="shared" si="185"/>
        <v>0</v>
      </c>
      <c r="ES317" s="2040">
        <f t="shared" si="185"/>
        <v>0</v>
      </c>
      <c r="ET317" s="2040">
        <f t="shared" si="185"/>
        <v>0</v>
      </c>
      <c r="EU317" s="2039">
        <f t="shared" si="169"/>
        <v>0</v>
      </c>
      <c r="EV317" s="2039">
        <f t="shared" si="170"/>
        <v>0</v>
      </c>
    </row>
    <row r="318" spans="1:152" x14ac:dyDescent="0.25">
      <c r="A318" s="2088" t="s">
        <v>229</v>
      </c>
      <c r="B318" s="2093" t="str">
        <f t="shared" si="193"/>
        <v>BPLD2</v>
      </c>
      <c r="C318" s="1974">
        <f t="shared" si="204"/>
        <v>15</v>
      </c>
      <c r="D318" s="1974">
        <f t="shared" si="204"/>
        <v>1076.5</v>
      </c>
      <c r="E318" s="1974">
        <f t="shared" si="204"/>
        <v>0.84</v>
      </c>
      <c r="F318" s="1974">
        <f t="shared" si="174"/>
        <v>0</v>
      </c>
      <c r="G318" s="1974" t="s">
        <v>2997</v>
      </c>
      <c r="H318" s="1974" t="s">
        <v>2997</v>
      </c>
      <c r="I318" s="2026">
        <v>0.96199999999999997</v>
      </c>
      <c r="J318" s="2026">
        <v>0.96199999999999997</v>
      </c>
      <c r="K318" s="2026">
        <v>0.96199999999999997</v>
      </c>
      <c r="L318" s="2026">
        <v>0.96199999999999997</v>
      </c>
      <c r="M318" s="2027">
        <f t="shared" si="205"/>
        <v>1035.5930000000001</v>
      </c>
      <c r="N318" s="2027">
        <f t="shared" si="205"/>
        <v>1035.5930000000001</v>
      </c>
      <c r="O318" s="2027">
        <f t="shared" si="205"/>
        <v>1035.5930000000001</v>
      </c>
      <c r="P318" s="2027">
        <f t="shared" si="194"/>
        <v>1035.5930000000001</v>
      </c>
      <c r="Q318" s="2026">
        <v>0.96199999999999997</v>
      </c>
      <c r="R318" s="2026">
        <v>0.96199999999999997</v>
      </c>
      <c r="S318" s="2026">
        <v>0.96199999999999997</v>
      </c>
      <c r="T318" s="2026">
        <v>0.96199999999999997</v>
      </c>
      <c r="U318" s="2028">
        <f t="shared" si="206"/>
        <v>0.80807999999999991</v>
      </c>
      <c r="V318" s="2028">
        <f t="shared" si="206"/>
        <v>0.80807999999999991</v>
      </c>
      <c r="W318" s="2028">
        <f t="shared" si="206"/>
        <v>0.80807999999999991</v>
      </c>
      <c r="X318" s="2028">
        <f t="shared" si="195"/>
        <v>0.80807999999999991</v>
      </c>
      <c r="Y318" s="2026">
        <v>0.96199999999999997</v>
      </c>
      <c r="Z318" s="2026">
        <v>0.96199999999999997</v>
      </c>
      <c r="AA318" s="2026">
        <v>0.96199999999999997</v>
      </c>
      <c r="AB318" s="2026">
        <v>0.96199999999999997</v>
      </c>
      <c r="AC318" s="2027">
        <f t="shared" si="207"/>
        <v>0</v>
      </c>
      <c r="AD318" s="2027">
        <f t="shared" si="207"/>
        <v>0</v>
      </c>
      <c r="AE318" s="2027">
        <f t="shared" si="207"/>
        <v>0</v>
      </c>
      <c r="AF318" s="2027">
        <f t="shared" si="196"/>
        <v>0</v>
      </c>
      <c r="AG318" s="2027">
        <v>0</v>
      </c>
      <c r="AH318" s="2028"/>
      <c r="AI318" s="2028"/>
      <c r="AJ318" s="2028"/>
      <c r="AK318" s="2027">
        <f t="shared" si="197"/>
        <v>0</v>
      </c>
      <c r="AL318" s="2027">
        <f t="shared" si="198"/>
        <v>0</v>
      </c>
      <c r="AM318" s="2027">
        <f t="shared" si="198"/>
        <v>0</v>
      </c>
      <c r="AN318" s="2027">
        <f t="shared" si="198"/>
        <v>0</v>
      </c>
      <c r="AO318" s="2027">
        <f t="shared" si="208"/>
        <v>0</v>
      </c>
      <c r="AP318" s="2027">
        <f t="shared" si="199"/>
        <v>0</v>
      </c>
      <c r="AQ318" s="2027">
        <f t="shared" si="199"/>
        <v>0</v>
      </c>
      <c r="AR318" s="2027">
        <f t="shared" si="199"/>
        <v>0</v>
      </c>
      <c r="AS318" s="2124">
        <f t="shared" si="184"/>
        <v>75</v>
      </c>
      <c r="AT318" s="2029">
        <f t="shared" si="200"/>
        <v>75</v>
      </c>
      <c r="AU318" s="2029">
        <f t="shared" si="200"/>
        <v>75</v>
      </c>
      <c r="AV318" s="2029">
        <f t="shared" si="200"/>
        <v>75</v>
      </c>
      <c r="AW318" s="2124">
        <f t="shared" si="201"/>
        <v>0</v>
      </c>
      <c r="AX318" s="2029">
        <f t="shared" si="171"/>
        <v>0</v>
      </c>
      <c r="AY318" s="2029">
        <f t="shared" si="171"/>
        <v>0</v>
      </c>
      <c r="AZ318" s="2029">
        <f t="shared" si="171"/>
        <v>0</v>
      </c>
      <c r="BA318" s="2124">
        <f t="shared" si="210"/>
        <v>260</v>
      </c>
      <c r="BB318" s="2029">
        <f t="shared" si="210"/>
        <v>260</v>
      </c>
      <c r="BC318" s="2029">
        <f t="shared" si="210"/>
        <v>260</v>
      </c>
      <c r="BD318" s="2029">
        <f t="shared" si="210"/>
        <v>260</v>
      </c>
      <c r="BE318" s="2030">
        <f t="shared" si="202"/>
        <v>0</v>
      </c>
      <c r="BF318" s="2030">
        <f t="shared" si="202"/>
        <v>0</v>
      </c>
      <c r="BG318" s="2030">
        <f t="shared" si="202"/>
        <v>0</v>
      </c>
      <c r="BH318" s="2030">
        <f t="shared" si="191"/>
        <v>0</v>
      </c>
      <c r="BI318" s="2030">
        <f t="shared" si="203"/>
        <v>0</v>
      </c>
      <c r="BJ318" s="2030">
        <f t="shared" si="203"/>
        <v>0</v>
      </c>
      <c r="BK318" s="2030">
        <f t="shared" si="203"/>
        <v>0</v>
      </c>
      <c r="BL318" s="2030">
        <f t="shared" si="192"/>
        <v>0</v>
      </c>
      <c r="BM318" s="2125"/>
      <c r="BN318" s="2125"/>
      <c r="BO318" s="2125"/>
      <c r="BP318" s="2125"/>
      <c r="BQ318" s="2125"/>
      <c r="BR318" s="2125"/>
      <c r="BS318" s="2125"/>
      <c r="BT318" s="2125"/>
      <c r="BU318" s="2029"/>
      <c r="BV318" s="2029"/>
      <c r="BW318" s="2029"/>
      <c r="BX318" s="2029"/>
      <c r="BY318" s="2029"/>
      <c r="BZ318" s="2032"/>
      <c r="CA318" s="1974">
        <f t="shared" si="209"/>
        <v>0</v>
      </c>
      <c r="CB318" s="1974">
        <f t="shared" si="209"/>
        <v>0</v>
      </c>
      <c r="CC318" s="1974">
        <f t="shared" si="209"/>
        <v>0</v>
      </c>
      <c r="CD318" s="1974">
        <f t="shared" si="209"/>
        <v>0</v>
      </c>
      <c r="CE318" s="1974">
        <f t="shared" si="209"/>
        <v>0</v>
      </c>
      <c r="CF318" s="2033">
        <v>0</v>
      </c>
      <c r="CG318" s="2026">
        <v>0</v>
      </c>
      <c r="CH318" s="2009">
        <f t="shared" si="209"/>
        <v>0</v>
      </c>
      <c r="CI318" s="2031">
        <f t="shared" si="209"/>
        <v>0</v>
      </c>
      <c r="CJ318" s="1974">
        <f t="shared" si="209"/>
        <v>0</v>
      </c>
      <c r="CK318" s="2031">
        <f t="shared" si="209"/>
        <v>0</v>
      </c>
      <c r="CL318" s="2026">
        <v>1</v>
      </c>
      <c r="CM318" s="2026">
        <v>1</v>
      </c>
      <c r="CN318" s="2026">
        <v>1</v>
      </c>
      <c r="CO318" s="2026">
        <v>1</v>
      </c>
      <c r="CP318" s="2035"/>
      <c r="CQ318" s="2036"/>
      <c r="CR318" s="2036"/>
      <c r="CS318" s="2036"/>
      <c r="CT318" s="2036"/>
      <c r="CU318" s="2036"/>
      <c r="CW318" s="1973">
        <v>0</v>
      </c>
      <c r="CX318" s="2037">
        <v>75</v>
      </c>
      <c r="CY318" s="2037">
        <v>75</v>
      </c>
      <c r="CZ318" s="2037">
        <v>75</v>
      </c>
      <c r="DA318" s="2037">
        <v>75</v>
      </c>
      <c r="DJ318" s="1976">
        <v>75</v>
      </c>
      <c r="DK318" s="1973">
        <v>75</v>
      </c>
      <c r="DL318" s="1973">
        <v>75</v>
      </c>
      <c r="DM318" s="1973">
        <v>75</v>
      </c>
      <c r="DO318" s="1974">
        <v>15</v>
      </c>
      <c r="DP318" s="1974">
        <v>1076.5</v>
      </c>
      <c r="DQ318" s="1974">
        <v>0.84</v>
      </c>
      <c r="DR318" s="1974">
        <v>0</v>
      </c>
      <c r="DS318" s="2124">
        <v>75</v>
      </c>
      <c r="DT318" s="2029">
        <v>75</v>
      </c>
      <c r="DU318" s="2029">
        <v>75</v>
      </c>
      <c r="DV318" s="2029">
        <v>75</v>
      </c>
      <c r="DW318" s="2124">
        <v>0</v>
      </c>
      <c r="DX318" s="2029">
        <v>0</v>
      </c>
      <c r="DY318" s="2029">
        <v>0</v>
      </c>
      <c r="DZ318" s="2029">
        <v>0</v>
      </c>
      <c r="EA318" s="2124">
        <v>260</v>
      </c>
      <c r="EB318" s="2029">
        <v>260</v>
      </c>
      <c r="EC318" s="2029">
        <v>260</v>
      </c>
      <c r="ED318" s="2029">
        <v>260</v>
      </c>
      <c r="EE318" s="2039">
        <f t="shared" si="168"/>
        <v>0</v>
      </c>
      <c r="EF318" s="2039">
        <f t="shared" si="168"/>
        <v>0</v>
      </c>
      <c r="EG318" s="2039">
        <f t="shared" si="168"/>
        <v>0</v>
      </c>
      <c r="EH318" s="2039">
        <f t="shared" si="167"/>
        <v>0</v>
      </c>
      <c r="EI318" s="2040">
        <f t="shared" si="190"/>
        <v>0</v>
      </c>
      <c r="EJ318" s="2040">
        <f t="shared" si="190"/>
        <v>0</v>
      </c>
      <c r="EK318" s="2040">
        <f t="shared" si="190"/>
        <v>0</v>
      </c>
      <c r="EL318" s="2040">
        <f t="shared" si="189"/>
        <v>0</v>
      </c>
      <c r="EM318" s="2040">
        <f t="shared" si="189"/>
        <v>0</v>
      </c>
      <c r="EN318" s="2040">
        <f t="shared" si="189"/>
        <v>0</v>
      </c>
      <c r="EO318" s="2040">
        <f t="shared" si="189"/>
        <v>0</v>
      </c>
      <c r="EP318" s="2040">
        <f t="shared" si="189"/>
        <v>0</v>
      </c>
      <c r="EQ318" s="2040">
        <f t="shared" si="189"/>
        <v>0</v>
      </c>
      <c r="ER318" s="2040">
        <f t="shared" si="185"/>
        <v>0</v>
      </c>
      <c r="ES318" s="2040">
        <f t="shared" si="185"/>
        <v>0</v>
      </c>
      <c r="ET318" s="2040">
        <f t="shared" si="185"/>
        <v>0</v>
      </c>
      <c r="EU318" s="2039">
        <f t="shared" si="169"/>
        <v>0</v>
      </c>
      <c r="EV318" s="2039">
        <f t="shared" si="170"/>
        <v>0</v>
      </c>
    </row>
    <row r="319" spans="1:152" x14ac:dyDescent="0.25">
      <c r="A319" s="2132" t="s">
        <v>128</v>
      </c>
      <c r="B319" s="2093" t="str">
        <f t="shared" si="193"/>
        <v>BPC31</v>
      </c>
      <c r="C319" s="1974">
        <f t="shared" si="204"/>
        <v>15</v>
      </c>
      <c r="D319" s="2028">
        <f t="shared" si="204"/>
        <v>699.67851672345012</v>
      </c>
      <c r="E319" s="2028">
        <f t="shared" si="204"/>
        <v>0.17336011546413563</v>
      </c>
      <c r="F319" s="2028">
        <f t="shared" si="174"/>
        <v>0</v>
      </c>
      <c r="G319" s="1974" t="s">
        <v>2997</v>
      </c>
      <c r="H319" s="1974" t="s">
        <v>2997</v>
      </c>
      <c r="I319" s="2026">
        <v>0.96199999999999997</v>
      </c>
      <c r="J319" s="2026">
        <v>0.96199999999999997</v>
      </c>
      <c r="K319" s="2026">
        <v>0.96199999999999997</v>
      </c>
      <c r="L319" s="2026">
        <v>0.96199999999999997</v>
      </c>
      <c r="M319" s="2027">
        <f t="shared" si="205"/>
        <v>673.09073308795894</v>
      </c>
      <c r="N319" s="2027">
        <f t="shared" si="205"/>
        <v>673.09073308795894</v>
      </c>
      <c r="O319" s="2027">
        <f t="shared" si="205"/>
        <v>673.09073308795894</v>
      </c>
      <c r="P319" s="2027">
        <f t="shared" si="194"/>
        <v>673.09073308795894</v>
      </c>
      <c r="Q319" s="2026">
        <v>0.96199999999999997</v>
      </c>
      <c r="R319" s="2026">
        <v>0.96199999999999997</v>
      </c>
      <c r="S319" s="2026">
        <v>0.96199999999999997</v>
      </c>
      <c r="T319" s="2026">
        <v>0.96199999999999997</v>
      </c>
      <c r="U319" s="2028">
        <f t="shared" si="206"/>
        <v>0.16677243107649847</v>
      </c>
      <c r="V319" s="2028">
        <f t="shared" si="206"/>
        <v>0.16677243107649847</v>
      </c>
      <c r="W319" s="2028">
        <f t="shared" si="206"/>
        <v>0.16677243107649847</v>
      </c>
      <c r="X319" s="2028">
        <f t="shared" si="195"/>
        <v>0.16677243107649847</v>
      </c>
      <c r="Y319" s="2026">
        <v>0.96199999999999997</v>
      </c>
      <c r="Z319" s="2026">
        <v>0.96199999999999997</v>
      </c>
      <c r="AA319" s="2026">
        <v>0.96199999999999997</v>
      </c>
      <c r="AB319" s="2026">
        <v>0.96199999999999997</v>
      </c>
      <c r="AC319" s="2027">
        <f t="shared" si="207"/>
        <v>0</v>
      </c>
      <c r="AD319" s="2027">
        <f t="shared" si="207"/>
        <v>0</v>
      </c>
      <c r="AE319" s="2027">
        <f t="shared" si="207"/>
        <v>0</v>
      </c>
      <c r="AF319" s="2027">
        <f t="shared" si="196"/>
        <v>0</v>
      </c>
      <c r="AG319" s="2027">
        <v>394</v>
      </c>
      <c r="AH319" s="2027">
        <v>398</v>
      </c>
      <c r="AI319" s="2027">
        <v>401</v>
      </c>
      <c r="AJ319" s="2027">
        <v>403</v>
      </c>
      <c r="AK319" s="2027">
        <f t="shared" si="197"/>
        <v>265197.74883665581</v>
      </c>
      <c r="AL319" s="2027">
        <f t="shared" si="198"/>
        <v>267890.11176900764</v>
      </c>
      <c r="AM319" s="2027">
        <f t="shared" si="198"/>
        <v>269909.38396827155</v>
      </c>
      <c r="AN319" s="2027">
        <f t="shared" si="198"/>
        <v>271255.56543444743</v>
      </c>
      <c r="AO319" s="2027">
        <f t="shared" si="208"/>
        <v>0</v>
      </c>
      <c r="AP319" s="2027">
        <f t="shared" si="199"/>
        <v>0</v>
      </c>
      <c r="AQ319" s="2027">
        <f t="shared" si="199"/>
        <v>0</v>
      </c>
      <c r="AR319" s="2027">
        <f t="shared" si="199"/>
        <v>0</v>
      </c>
      <c r="AS319" s="2124">
        <v>180</v>
      </c>
      <c r="AT319" s="2029">
        <f t="shared" si="200"/>
        <v>180</v>
      </c>
      <c r="AU319" s="2029">
        <f t="shared" si="200"/>
        <v>180</v>
      </c>
      <c r="AV319" s="2029">
        <f t="shared" si="200"/>
        <v>180</v>
      </c>
      <c r="AW319" s="2124">
        <f t="shared" si="201"/>
        <v>0</v>
      </c>
      <c r="AX319" s="2029">
        <f t="shared" si="171"/>
        <v>0</v>
      </c>
      <c r="AY319" s="2029">
        <f t="shared" si="171"/>
        <v>0</v>
      </c>
      <c r="AZ319" s="2029">
        <f t="shared" si="171"/>
        <v>0</v>
      </c>
      <c r="BA319" s="2124">
        <f t="shared" si="210"/>
        <v>195.14678713050651</v>
      </c>
      <c r="BB319" s="2029">
        <f>$BA319</f>
        <v>195.14678713050651</v>
      </c>
      <c r="BC319" s="2029">
        <f t="shared" ref="BC319:BD319" si="211">$BA319</f>
        <v>195.14678713050651</v>
      </c>
      <c r="BD319" s="2029">
        <f t="shared" si="211"/>
        <v>195.14678713050651</v>
      </c>
      <c r="BE319" s="2030">
        <f t="shared" si="202"/>
        <v>70920</v>
      </c>
      <c r="BF319" s="2030">
        <f t="shared" si="202"/>
        <v>71640</v>
      </c>
      <c r="BG319" s="2030">
        <f t="shared" si="202"/>
        <v>72180</v>
      </c>
      <c r="BH319" s="2030">
        <f t="shared" si="191"/>
        <v>72540</v>
      </c>
      <c r="BI319" s="2030">
        <f t="shared" si="203"/>
        <v>0</v>
      </c>
      <c r="BJ319" s="2030">
        <f t="shared" si="203"/>
        <v>0</v>
      </c>
      <c r="BK319" s="2030">
        <f t="shared" si="203"/>
        <v>0</v>
      </c>
      <c r="BL319" s="2030">
        <f t="shared" si="192"/>
        <v>0</v>
      </c>
      <c r="BM319" s="2125"/>
      <c r="BN319" s="2125"/>
      <c r="BO319" s="2125"/>
      <c r="BP319" s="2125"/>
      <c r="BQ319" s="2125"/>
      <c r="BR319" s="2125"/>
      <c r="BS319" s="2125"/>
      <c r="BT319" s="2125"/>
      <c r="BU319" s="2029"/>
      <c r="BV319" s="2029"/>
      <c r="BW319" s="2029"/>
      <c r="BX319" s="2029"/>
      <c r="BY319" s="2029"/>
      <c r="BZ319" s="2032"/>
      <c r="CA319" s="1974">
        <f t="shared" si="209"/>
        <v>0</v>
      </c>
      <c r="CB319" s="1974">
        <f t="shared" si="209"/>
        <v>0</v>
      </c>
      <c r="CC319" s="1974">
        <f t="shared" si="209"/>
        <v>0</v>
      </c>
      <c r="CD319" s="1974">
        <f t="shared" si="209"/>
        <v>0</v>
      </c>
      <c r="CE319" s="1974">
        <f t="shared" si="209"/>
        <v>0</v>
      </c>
      <c r="CF319" s="2033">
        <v>1.1738950349565621E-3</v>
      </c>
      <c r="CG319" s="2026">
        <v>0</v>
      </c>
      <c r="CH319" s="2009">
        <f t="shared" si="209"/>
        <v>0</v>
      </c>
      <c r="CI319" s="2031">
        <f t="shared" si="209"/>
        <v>0</v>
      </c>
      <c r="CJ319" s="1974">
        <f t="shared" si="209"/>
        <v>0</v>
      </c>
      <c r="CK319" s="2031">
        <f t="shared" si="209"/>
        <v>0</v>
      </c>
      <c r="CL319" s="2026">
        <v>1</v>
      </c>
      <c r="CM319" s="2026">
        <v>1</v>
      </c>
      <c r="CN319" s="2026">
        <v>1</v>
      </c>
      <c r="CO319" s="2026">
        <v>1</v>
      </c>
      <c r="CP319" s="2035"/>
      <c r="CQ319" s="2036"/>
      <c r="CR319" s="2036"/>
      <c r="CS319" s="2036"/>
      <c r="CT319" s="2036"/>
      <c r="CU319" s="2036"/>
      <c r="CW319" s="1973">
        <v>0</v>
      </c>
      <c r="CX319" s="2037">
        <v>180</v>
      </c>
      <c r="CY319" s="2037">
        <v>180</v>
      </c>
      <c r="CZ319" s="2037">
        <v>180</v>
      </c>
      <c r="DA319" s="2037">
        <v>180</v>
      </c>
      <c r="DJ319" s="1976">
        <v>180</v>
      </c>
      <c r="DK319" s="1973">
        <v>180</v>
      </c>
      <c r="DL319" s="1973">
        <v>180</v>
      </c>
      <c r="DM319" s="1973">
        <v>180</v>
      </c>
      <c r="DO319" s="2047">
        <v>15</v>
      </c>
      <c r="DP319" s="2047">
        <v>699.67851672345012</v>
      </c>
      <c r="DQ319" s="2047">
        <v>0.17336011546413563</v>
      </c>
      <c r="DR319" s="2047">
        <v>0</v>
      </c>
      <c r="DS319" s="2046">
        <v>180</v>
      </c>
      <c r="DT319" s="2046">
        <v>180</v>
      </c>
      <c r="DU319" s="2046">
        <v>180</v>
      </c>
      <c r="DV319" s="2046">
        <v>180</v>
      </c>
      <c r="DW319" s="2046">
        <v>0</v>
      </c>
      <c r="DX319" s="2046">
        <v>0</v>
      </c>
      <c r="DY319" s="2046">
        <v>0</v>
      </c>
      <c r="DZ319" s="2046">
        <v>0</v>
      </c>
      <c r="EA319" s="2046">
        <v>195.14678713050651</v>
      </c>
      <c r="EB319" s="2046">
        <v>195.14678713050651</v>
      </c>
      <c r="EC319" s="2046">
        <v>195.14678713050651</v>
      </c>
      <c r="ED319" s="2046">
        <v>195.14678713050651</v>
      </c>
      <c r="EE319" s="2039">
        <f t="shared" si="168"/>
        <v>0</v>
      </c>
      <c r="EF319" s="2039">
        <f t="shared" si="168"/>
        <v>0</v>
      </c>
      <c r="EG319" s="2039">
        <f t="shared" si="168"/>
        <v>0</v>
      </c>
      <c r="EH319" s="2039">
        <f t="shared" si="167"/>
        <v>0</v>
      </c>
      <c r="EI319" s="2040">
        <f t="shared" si="190"/>
        <v>0</v>
      </c>
      <c r="EJ319" s="2040">
        <f t="shared" si="190"/>
        <v>0</v>
      </c>
      <c r="EK319" s="2040">
        <f t="shared" si="190"/>
        <v>0</v>
      </c>
      <c r="EL319" s="2040">
        <f t="shared" si="189"/>
        <v>0</v>
      </c>
      <c r="EM319" s="2040">
        <f t="shared" si="189"/>
        <v>0</v>
      </c>
      <c r="EN319" s="2040">
        <f t="shared" si="189"/>
        <v>0</v>
      </c>
      <c r="EO319" s="2040">
        <f t="shared" si="189"/>
        <v>0</v>
      </c>
      <c r="EP319" s="2040">
        <f t="shared" si="189"/>
        <v>0</v>
      </c>
      <c r="EQ319" s="2040">
        <f t="shared" si="189"/>
        <v>0</v>
      </c>
      <c r="ER319" s="2040">
        <f t="shared" si="185"/>
        <v>0</v>
      </c>
      <c r="ES319" s="2040">
        <f t="shared" si="185"/>
        <v>0</v>
      </c>
      <c r="ET319" s="2040">
        <f t="shared" si="185"/>
        <v>0</v>
      </c>
      <c r="EU319" s="2039">
        <f t="shared" si="169"/>
        <v>0</v>
      </c>
      <c r="EV319" s="2039">
        <f t="shared" si="170"/>
        <v>0</v>
      </c>
    </row>
    <row r="320" spans="1:152" x14ac:dyDescent="0.25">
      <c r="A320" s="2088" t="s">
        <v>230</v>
      </c>
      <c r="B320" s="2093" t="str">
        <f t="shared" si="193"/>
        <v>HVAC/Motor Midstream Pilot</v>
      </c>
      <c r="C320" s="1974">
        <f t="shared" si="204"/>
        <v>0</v>
      </c>
      <c r="D320" s="1974">
        <f t="shared" si="204"/>
        <v>0</v>
      </c>
      <c r="E320" s="1974">
        <f t="shared" si="204"/>
        <v>0</v>
      </c>
      <c r="F320" s="1974">
        <f t="shared" si="174"/>
        <v>0</v>
      </c>
      <c r="G320" s="1974" t="s">
        <v>2997</v>
      </c>
      <c r="H320" s="1974" t="s">
        <v>2997</v>
      </c>
      <c r="I320" s="2026">
        <v>0.96199999999999997</v>
      </c>
      <c r="J320" s="2026">
        <v>0.96199999999999997</v>
      </c>
      <c r="K320" s="2026">
        <v>0.96199999999999997</v>
      </c>
      <c r="L320" s="2026">
        <v>0.96199999999999997</v>
      </c>
      <c r="M320" s="2027">
        <f t="shared" si="205"/>
        <v>0</v>
      </c>
      <c r="N320" s="2027">
        <f t="shared" si="205"/>
        <v>0</v>
      </c>
      <c r="O320" s="2027">
        <f t="shared" si="205"/>
        <v>0</v>
      </c>
      <c r="P320" s="2027">
        <f t="shared" si="194"/>
        <v>0</v>
      </c>
      <c r="Q320" s="2026">
        <v>0.96199999999999997</v>
      </c>
      <c r="R320" s="2026">
        <v>0.96199999999999997</v>
      </c>
      <c r="S320" s="2026">
        <v>0.96199999999999997</v>
      </c>
      <c r="T320" s="2026">
        <v>0.96199999999999997</v>
      </c>
      <c r="U320" s="2028">
        <f t="shared" si="206"/>
        <v>0</v>
      </c>
      <c r="V320" s="2028">
        <f t="shared" si="206"/>
        <v>0</v>
      </c>
      <c r="W320" s="2028">
        <f t="shared" si="206"/>
        <v>0</v>
      </c>
      <c r="X320" s="2028">
        <f t="shared" si="195"/>
        <v>0</v>
      </c>
      <c r="Y320" s="2026">
        <v>0.96199999999999997</v>
      </c>
      <c r="Z320" s="2026">
        <v>0.96199999999999997</v>
      </c>
      <c r="AA320" s="2026">
        <v>0.96199999999999997</v>
      </c>
      <c r="AB320" s="2026">
        <v>0.96199999999999997</v>
      </c>
      <c r="AC320" s="2027">
        <f t="shared" si="207"/>
        <v>0</v>
      </c>
      <c r="AD320" s="2027">
        <f t="shared" si="207"/>
        <v>0</v>
      </c>
      <c r="AE320" s="2027">
        <f t="shared" si="207"/>
        <v>0</v>
      </c>
      <c r="AF320" s="2027">
        <f t="shared" si="196"/>
        <v>0</v>
      </c>
      <c r="AG320" s="2027">
        <v>0</v>
      </c>
      <c r="AH320" s="2028"/>
      <c r="AI320" s="2028"/>
      <c r="AJ320" s="2028"/>
      <c r="AK320" s="2027">
        <f t="shared" si="197"/>
        <v>0</v>
      </c>
      <c r="AL320" s="2027">
        <f t="shared" si="198"/>
        <v>0</v>
      </c>
      <c r="AM320" s="2027">
        <f t="shared" si="198"/>
        <v>0</v>
      </c>
      <c r="AN320" s="2027">
        <f t="shared" si="198"/>
        <v>0</v>
      </c>
      <c r="AO320" s="2027">
        <f t="shared" si="208"/>
        <v>0</v>
      </c>
      <c r="AP320" s="2027">
        <f t="shared" si="199"/>
        <v>0</v>
      </c>
      <c r="AQ320" s="2027">
        <f t="shared" si="199"/>
        <v>0</v>
      </c>
      <c r="AR320" s="2027">
        <f t="shared" si="199"/>
        <v>0</v>
      </c>
      <c r="AS320" s="2124">
        <f t="shared" ref="AS320:AS342" si="212">AS76*1.5</f>
        <v>0</v>
      </c>
      <c r="AT320" s="2029">
        <f t="shared" si="200"/>
        <v>0</v>
      </c>
      <c r="AU320" s="2029">
        <f t="shared" si="200"/>
        <v>0</v>
      </c>
      <c r="AV320" s="2029">
        <f t="shared" si="200"/>
        <v>0</v>
      </c>
      <c r="AW320" s="2124">
        <f t="shared" si="201"/>
        <v>0</v>
      </c>
      <c r="AX320" s="2029">
        <f t="shared" si="171"/>
        <v>0</v>
      </c>
      <c r="AY320" s="2029">
        <f t="shared" si="171"/>
        <v>0</v>
      </c>
      <c r="AZ320" s="2029">
        <f t="shared" si="171"/>
        <v>0</v>
      </c>
      <c r="BA320" s="2124">
        <f t="shared" si="210"/>
        <v>0</v>
      </c>
      <c r="BB320" s="2029">
        <f t="shared" si="210"/>
        <v>0</v>
      </c>
      <c r="BC320" s="2029">
        <f t="shared" si="210"/>
        <v>0</v>
      </c>
      <c r="BD320" s="2029">
        <f t="shared" si="210"/>
        <v>0</v>
      </c>
      <c r="BE320" s="2030">
        <f t="shared" si="202"/>
        <v>0</v>
      </c>
      <c r="BF320" s="2030">
        <f t="shared" si="202"/>
        <v>0</v>
      </c>
      <c r="BG320" s="2030">
        <f t="shared" si="202"/>
        <v>0</v>
      </c>
      <c r="BH320" s="2030">
        <f t="shared" si="191"/>
        <v>0</v>
      </c>
      <c r="BI320" s="2030">
        <f t="shared" si="203"/>
        <v>0</v>
      </c>
      <c r="BJ320" s="2030">
        <f t="shared" si="203"/>
        <v>0</v>
      </c>
      <c r="BK320" s="2030">
        <f t="shared" si="203"/>
        <v>0</v>
      </c>
      <c r="BL320" s="2030">
        <f t="shared" si="192"/>
        <v>0</v>
      </c>
      <c r="BM320" s="2125"/>
      <c r="BN320" s="2125"/>
      <c r="BO320" s="2125"/>
      <c r="BP320" s="2125"/>
      <c r="BQ320" s="2125"/>
      <c r="BR320" s="2125"/>
      <c r="BS320" s="2125"/>
      <c r="BT320" s="2125"/>
      <c r="BU320" s="2029"/>
      <c r="BV320" s="2029"/>
      <c r="BW320" s="2029"/>
      <c r="BX320" s="2029"/>
      <c r="BY320" s="2029"/>
      <c r="BZ320" s="2032"/>
      <c r="CA320" s="1974">
        <f t="shared" si="209"/>
        <v>0</v>
      </c>
      <c r="CB320" s="1974">
        <f t="shared" si="209"/>
        <v>0</v>
      </c>
      <c r="CC320" s="1974">
        <f t="shared" si="209"/>
        <v>0</v>
      </c>
      <c r="CD320" s="1974">
        <f t="shared" si="209"/>
        <v>0</v>
      </c>
      <c r="CE320" s="1974">
        <f t="shared" si="209"/>
        <v>0</v>
      </c>
      <c r="CF320" s="2033">
        <v>0</v>
      </c>
      <c r="CG320" s="2026">
        <v>0</v>
      </c>
      <c r="CH320" s="2009">
        <f t="shared" si="209"/>
        <v>1</v>
      </c>
      <c r="CI320" s="2031">
        <f t="shared" si="209"/>
        <v>0</v>
      </c>
      <c r="CJ320" s="1974">
        <f t="shared" si="209"/>
        <v>100</v>
      </c>
      <c r="CK320" s="2031">
        <f t="shared" si="209"/>
        <v>100</v>
      </c>
      <c r="CL320" s="2026">
        <v>1</v>
      </c>
      <c r="CM320" s="2026">
        <v>1</v>
      </c>
      <c r="CN320" s="2026">
        <v>1</v>
      </c>
      <c r="CO320" s="2026">
        <v>1</v>
      </c>
      <c r="CP320" s="2035"/>
      <c r="CQ320" s="2036"/>
      <c r="CR320" s="2036"/>
      <c r="CS320" s="2036"/>
      <c r="CT320" s="2036"/>
      <c r="CU320" s="2036"/>
      <c r="CW320" s="1973">
        <v>0</v>
      </c>
      <c r="CX320" s="2037">
        <v>0</v>
      </c>
      <c r="CY320" s="2037">
        <v>0</v>
      </c>
      <c r="CZ320" s="2037">
        <v>0</v>
      </c>
      <c r="DA320" s="2037">
        <v>0</v>
      </c>
      <c r="DJ320" s="1976">
        <v>0</v>
      </c>
      <c r="DK320" s="1973">
        <v>0</v>
      </c>
      <c r="DL320" s="1973">
        <v>0</v>
      </c>
      <c r="DM320" s="1973">
        <v>0</v>
      </c>
      <c r="DO320" s="1974">
        <v>0</v>
      </c>
      <c r="DP320" s="1974">
        <v>0</v>
      </c>
      <c r="DQ320" s="1974">
        <v>0</v>
      </c>
      <c r="DR320" s="1974">
        <v>0</v>
      </c>
      <c r="DS320" s="2124">
        <v>0</v>
      </c>
      <c r="DT320" s="2029">
        <v>0</v>
      </c>
      <c r="DU320" s="2029">
        <v>0</v>
      </c>
      <c r="DV320" s="2029">
        <v>0</v>
      </c>
      <c r="DW320" s="2124">
        <v>0</v>
      </c>
      <c r="DX320" s="2029">
        <v>0</v>
      </c>
      <c r="DY320" s="2029">
        <v>0</v>
      </c>
      <c r="DZ320" s="2029">
        <v>0</v>
      </c>
      <c r="EA320" s="2124">
        <v>0</v>
      </c>
      <c r="EB320" s="2029">
        <v>0</v>
      </c>
      <c r="EC320" s="2029">
        <v>0</v>
      </c>
      <c r="ED320" s="2029">
        <v>0</v>
      </c>
      <c r="EE320" s="2039">
        <f t="shared" si="168"/>
        <v>0</v>
      </c>
      <c r="EF320" s="2039">
        <f t="shared" si="168"/>
        <v>0</v>
      </c>
      <c r="EG320" s="2039">
        <f t="shared" si="168"/>
        <v>0</v>
      </c>
      <c r="EH320" s="2039">
        <f t="shared" si="167"/>
        <v>0</v>
      </c>
      <c r="EI320" s="2040">
        <f t="shared" si="190"/>
        <v>0</v>
      </c>
      <c r="EJ320" s="2040">
        <f t="shared" si="190"/>
        <v>0</v>
      </c>
      <c r="EK320" s="2040">
        <f t="shared" si="190"/>
        <v>0</v>
      </c>
      <c r="EL320" s="2040">
        <f t="shared" si="189"/>
        <v>0</v>
      </c>
      <c r="EM320" s="2040">
        <f t="shared" si="189"/>
        <v>0</v>
      </c>
      <c r="EN320" s="2040">
        <f t="shared" si="189"/>
        <v>0</v>
      </c>
      <c r="EO320" s="2040">
        <f t="shared" si="189"/>
        <v>0</v>
      </c>
      <c r="EP320" s="2040">
        <f t="shared" si="189"/>
        <v>0</v>
      </c>
      <c r="EQ320" s="2040">
        <f t="shared" si="189"/>
        <v>0</v>
      </c>
      <c r="ER320" s="2040">
        <f t="shared" si="185"/>
        <v>0</v>
      </c>
      <c r="ES320" s="2040">
        <f t="shared" si="185"/>
        <v>0</v>
      </c>
      <c r="ET320" s="2040">
        <f t="shared" si="185"/>
        <v>0</v>
      </c>
      <c r="EU320" s="2039">
        <f t="shared" si="169"/>
        <v>0</v>
      </c>
      <c r="EV320" s="2039">
        <f t="shared" si="170"/>
        <v>0</v>
      </c>
    </row>
    <row r="321" spans="1:152" x14ac:dyDescent="0.25">
      <c r="A321" s="2088" t="s">
        <v>231</v>
      </c>
      <c r="B321" s="2093" t="str">
        <f t="shared" si="193"/>
        <v>HVAC/Motor Midstream Pilot</v>
      </c>
      <c r="C321" s="1974">
        <f t="shared" si="204"/>
        <v>0</v>
      </c>
      <c r="D321" s="1974">
        <f t="shared" si="204"/>
        <v>0</v>
      </c>
      <c r="E321" s="1974">
        <f t="shared" si="204"/>
        <v>0</v>
      </c>
      <c r="F321" s="1974">
        <f t="shared" si="174"/>
        <v>0</v>
      </c>
      <c r="G321" s="1974" t="s">
        <v>2997</v>
      </c>
      <c r="H321" s="1974" t="s">
        <v>2997</v>
      </c>
      <c r="I321" s="2026">
        <v>0.96199999999999997</v>
      </c>
      <c r="J321" s="2026">
        <v>0.96199999999999997</v>
      </c>
      <c r="K321" s="2026">
        <v>0.96199999999999997</v>
      </c>
      <c r="L321" s="2026">
        <v>0.96199999999999997</v>
      </c>
      <c r="M321" s="2027">
        <f t="shared" si="205"/>
        <v>0</v>
      </c>
      <c r="N321" s="2027">
        <f t="shared" si="205"/>
        <v>0</v>
      </c>
      <c r="O321" s="2027">
        <f t="shared" si="205"/>
        <v>0</v>
      </c>
      <c r="P321" s="2027">
        <f t="shared" si="194"/>
        <v>0</v>
      </c>
      <c r="Q321" s="2026">
        <v>0.96199999999999997</v>
      </c>
      <c r="R321" s="2026">
        <v>0.96199999999999997</v>
      </c>
      <c r="S321" s="2026">
        <v>0.96199999999999997</v>
      </c>
      <c r="T321" s="2026">
        <v>0.96199999999999997</v>
      </c>
      <c r="U321" s="2028">
        <f t="shared" si="206"/>
        <v>0</v>
      </c>
      <c r="V321" s="2028">
        <f t="shared" si="206"/>
        <v>0</v>
      </c>
      <c r="W321" s="2028">
        <f t="shared" si="206"/>
        <v>0</v>
      </c>
      <c r="X321" s="2028">
        <f t="shared" si="195"/>
        <v>0</v>
      </c>
      <c r="Y321" s="2026">
        <v>0.96199999999999997</v>
      </c>
      <c r="Z321" s="2026">
        <v>0.96199999999999997</v>
      </c>
      <c r="AA321" s="2026">
        <v>0.96199999999999997</v>
      </c>
      <c r="AB321" s="2026">
        <v>0.96199999999999997</v>
      </c>
      <c r="AC321" s="2027">
        <f t="shared" si="207"/>
        <v>0</v>
      </c>
      <c r="AD321" s="2027">
        <f t="shared" si="207"/>
        <v>0</v>
      </c>
      <c r="AE321" s="2027">
        <f t="shared" si="207"/>
        <v>0</v>
      </c>
      <c r="AF321" s="2027">
        <f t="shared" si="196"/>
        <v>0</v>
      </c>
      <c r="AG321" s="2027">
        <v>0</v>
      </c>
      <c r="AH321" s="2028"/>
      <c r="AI321" s="2028"/>
      <c r="AJ321" s="2028"/>
      <c r="AK321" s="2027">
        <f t="shared" si="197"/>
        <v>0</v>
      </c>
      <c r="AL321" s="2027">
        <f t="shared" si="198"/>
        <v>0</v>
      </c>
      <c r="AM321" s="2027">
        <f t="shared" si="198"/>
        <v>0</v>
      </c>
      <c r="AN321" s="2027">
        <f t="shared" si="198"/>
        <v>0</v>
      </c>
      <c r="AO321" s="2027">
        <f t="shared" si="208"/>
        <v>0</v>
      </c>
      <c r="AP321" s="2027">
        <f t="shared" si="199"/>
        <v>0</v>
      </c>
      <c r="AQ321" s="2027">
        <f t="shared" si="199"/>
        <v>0</v>
      </c>
      <c r="AR321" s="2027">
        <f t="shared" si="199"/>
        <v>0</v>
      </c>
      <c r="AS321" s="2124">
        <f t="shared" si="212"/>
        <v>0</v>
      </c>
      <c r="AT321" s="2029">
        <f t="shared" si="200"/>
        <v>0</v>
      </c>
      <c r="AU321" s="2029">
        <f t="shared" si="200"/>
        <v>0</v>
      </c>
      <c r="AV321" s="2029">
        <f t="shared" si="200"/>
        <v>0</v>
      </c>
      <c r="AW321" s="2124">
        <f t="shared" si="201"/>
        <v>0</v>
      </c>
      <c r="AX321" s="2029">
        <f t="shared" si="171"/>
        <v>0</v>
      </c>
      <c r="AY321" s="2029">
        <f t="shared" si="171"/>
        <v>0</v>
      </c>
      <c r="AZ321" s="2029">
        <f t="shared" si="171"/>
        <v>0</v>
      </c>
      <c r="BA321" s="2124">
        <f t="shared" si="210"/>
        <v>0</v>
      </c>
      <c r="BB321" s="2029">
        <f t="shared" si="210"/>
        <v>0</v>
      </c>
      <c r="BC321" s="2029">
        <f t="shared" si="210"/>
        <v>0</v>
      </c>
      <c r="BD321" s="2029">
        <f t="shared" si="210"/>
        <v>0</v>
      </c>
      <c r="BE321" s="2030">
        <f t="shared" si="202"/>
        <v>0</v>
      </c>
      <c r="BF321" s="2030">
        <f t="shared" si="202"/>
        <v>0</v>
      </c>
      <c r="BG321" s="2030">
        <f t="shared" si="202"/>
        <v>0</v>
      </c>
      <c r="BH321" s="2030">
        <f t="shared" si="191"/>
        <v>0</v>
      </c>
      <c r="BI321" s="2030">
        <f t="shared" si="203"/>
        <v>0</v>
      </c>
      <c r="BJ321" s="2030">
        <f t="shared" si="203"/>
        <v>0</v>
      </c>
      <c r="BK321" s="2030">
        <f t="shared" si="203"/>
        <v>0</v>
      </c>
      <c r="BL321" s="2030">
        <f t="shared" si="192"/>
        <v>0</v>
      </c>
      <c r="BM321" s="2125"/>
      <c r="BN321" s="2125"/>
      <c r="BO321" s="2125"/>
      <c r="BP321" s="2125"/>
      <c r="BQ321" s="2125"/>
      <c r="BR321" s="2125"/>
      <c r="BS321" s="2125"/>
      <c r="BT321" s="2125"/>
      <c r="BU321" s="2029"/>
      <c r="BV321" s="2029"/>
      <c r="BW321" s="2029"/>
      <c r="BX321" s="2029"/>
      <c r="BY321" s="2029"/>
      <c r="BZ321" s="2032"/>
      <c r="CA321" s="1974">
        <f t="shared" si="209"/>
        <v>0</v>
      </c>
      <c r="CB321" s="1974">
        <f t="shared" si="209"/>
        <v>0</v>
      </c>
      <c r="CC321" s="1974">
        <f t="shared" si="209"/>
        <v>0</v>
      </c>
      <c r="CD321" s="1974">
        <f t="shared" si="209"/>
        <v>0</v>
      </c>
      <c r="CE321" s="1974">
        <f t="shared" si="209"/>
        <v>0</v>
      </c>
      <c r="CF321" s="2033">
        <v>0</v>
      </c>
      <c r="CG321" s="2026">
        <v>0</v>
      </c>
      <c r="CH321" s="2009">
        <f t="shared" si="209"/>
        <v>0</v>
      </c>
      <c r="CI321" s="2031">
        <f t="shared" si="209"/>
        <v>0</v>
      </c>
      <c r="CJ321" s="1974">
        <f t="shared" si="209"/>
        <v>0</v>
      </c>
      <c r="CK321" s="2031">
        <f t="shared" si="209"/>
        <v>0</v>
      </c>
      <c r="CL321" s="2026">
        <v>1</v>
      </c>
      <c r="CM321" s="2026">
        <v>1</v>
      </c>
      <c r="CN321" s="2026">
        <v>1</v>
      </c>
      <c r="CO321" s="2026">
        <v>1</v>
      </c>
      <c r="CP321" s="2035"/>
      <c r="CQ321" s="2036"/>
      <c r="CR321" s="2036"/>
      <c r="CS321" s="2036"/>
      <c r="CT321" s="2036"/>
      <c r="CU321" s="2036"/>
      <c r="CW321" s="1973">
        <v>0</v>
      </c>
      <c r="CX321" s="2037">
        <v>0</v>
      </c>
      <c r="CY321" s="2037">
        <v>0</v>
      </c>
      <c r="CZ321" s="2037">
        <v>0</v>
      </c>
      <c r="DA321" s="2037">
        <v>0</v>
      </c>
      <c r="DJ321" s="1976">
        <v>0</v>
      </c>
      <c r="DK321" s="1973">
        <v>0</v>
      </c>
      <c r="DL321" s="1973">
        <v>0</v>
      </c>
      <c r="DM321" s="1973">
        <v>0</v>
      </c>
      <c r="DO321" s="1974">
        <v>0</v>
      </c>
      <c r="DP321" s="1974">
        <v>0</v>
      </c>
      <c r="DQ321" s="1974">
        <v>0</v>
      </c>
      <c r="DR321" s="1974">
        <v>0</v>
      </c>
      <c r="DS321" s="2124">
        <v>0</v>
      </c>
      <c r="DT321" s="2029">
        <v>0</v>
      </c>
      <c r="DU321" s="2029">
        <v>0</v>
      </c>
      <c r="DV321" s="2029">
        <v>0</v>
      </c>
      <c r="DW321" s="2124">
        <v>0</v>
      </c>
      <c r="DX321" s="2029">
        <v>0</v>
      </c>
      <c r="DY321" s="2029">
        <v>0</v>
      </c>
      <c r="DZ321" s="2029">
        <v>0</v>
      </c>
      <c r="EA321" s="2124">
        <v>0</v>
      </c>
      <c r="EB321" s="2029">
        <v>0</v>
      </c>
      <c r="EC321" s="2029">
        <v>0</v>
      </c>
      <c r="ED321" s="2029">
        <v>0</v>
      </c>
      <c r="EE321" s="2039">
        <f t="shared" si="168"/>
        <v>0</v>
      </c>
      <c r="EF321" s="2039">
        <f t="shared" si="168"/>
        <v>0</v>
      </c>
      <c r="EG321" s="2039">
        <f t="shared" si="168"/>
        <v>0</v>
      </c>
      <c r="EH321" s="2039">
        <f t="shared" si="167"/>
        <v>0</v>
      </c>
      <c r="EI321" s="2040">
        <f t="shared" si="190"/>
        <v>0</v>
      </c>
      <c r="EJ321" s="2040">
        <f t="shared" si="190"/>
        <v>0</v>
      </c>
      <c r="EK321" s="2040">
        <f t="shared" si="190"/>
        <v>0</v>
      </c>
      <c r="EL321" s="2040">
        <f t="shared" si="189"/>
        <v>0</v>
      </c>
      <c r="EM321" s="2040">
        <f t="shared" si="189"/>
        <v>0</v>
      </c>
      <c r="EN321" s="2040">
        <f t="shared" si="189"/>
        <v>0</v>
      </c>
      <c r="EO321" s="2040">
        <f t="shared" si="189"/>
        <v>0</v>
      </c>
      <c r="EP321" s="2040">
        <f t="shared" si="189"/>
        <v>0</v>
      </c>
      <c r="EQ321" s="2040">
        <f t="shared" si="189"/>
        <v>0</v>
      </c>
      <c r="ER321" s="2040">
        <f t="shared" si="185"/>
        <v>0</v>
      </c>
      <c r="ES321" s="2040">
        <f t="shared" si="185"/>
        <v>0</v>
      </c>
      <c r="ET321" s="2040">
        <f t="shared" si="185"/>
        <v>0</v>
      </c>
      <c r="EU321" s="2039">
        <f t="shared" si="169"/>
        <v>0</v>
      </c>
      <c r="EV321" s="2039">
        <f t="shared" si="170"/>
        <v>0</v>
      </c>
    </row>
    <row r="322" spans="1:152" x14ac:dyDescent="0.25">
      <c r="A322" s="2088"/>
      <c r="B322" s="2093" t="str">
        <f t="shared" si="193"/>
        <v>HVAC/Motor Midstream Pilot</v>
      </c>
      <c r="C322" s="1974">
        <f t="shared" si="204"/>
        <v>0</v>
      </c>
      <c r="D322" s="1974">
        <f t="shared" si="204"/>
        <v>0</v>
      </c>
      <c r="E322" s="1974">
        <f t="shared" si="204"/>
        <v>0</v>
      </c>
      <c r="F322" s="1974">
        <f t="shared" si="174"/>
        <v>0</v>
      </c>
      <c r="G322" s="1974" t="s">
        <v>2997</v>
      </c>
      <c r="H322" s="1974" t="s">
        <v>2997</v>
      </c>
      <c r="I322" s="2026">
        <v>0.96199999999999997</v>
      </c>
      <c r="J322" s="2026">
        <v>0.96199999999999997</v>
      </c>
      <c r="K322" s="2026">
        <v>0.96199999999999997</v>
      </c>
      <c r="L322" s="2026">
        <v>0.96199999999999997</v>
      </c>
      <c r="M322" s="2027">
        <f t="shared" si="205"/>
        <v>0</v>
      </c>
      <c r="N322" s="2027">
        <f t="shared" si="205"/>
        <v>0</v>
      </c>
      <c r="O322" s="2027">
        <f t="shared" si="205"/>
        <v>0</v>
      </c>
      <c r="P322" s="2027">
        <f t="shared" si="194"/>
        <v>0</v>
      </c>
      <c r="Q322" s="2026">
        <v>0.96199999999999997</v>
      </c>
      <c r="R322" s="2026">
        <v>0.96199999999999997</v>
      </c>
      <c r="S322" s="2026">
        <v>0.96199999999999997</v>
      </c>
      <c r="T322" s="2026">
        <v>0.96199999999999997</v>
      </c>
      <c r="U322" s="2028">
        <f t="shared" si="206"/>
        <v>0</v>
      </c>
      <c r="V322" s="2028">
        <f t="shared" si="206"/>
        <v>0</v>
      </c>
      <c r="W322" s="2028">
        <f t="shared" si="206"/>
        <v>0</v>
      </c>
      <c r="X322" s="2028">
        <f t="shared" si="195"/>
        <v>0</v>
      </c>
      <c r="Y322" s="2026">
        <v>0.96199999999999997</v>
      </c>
      <c r="Z322" s="2026">
        <v>0.96199999999999997</v>
      </c>
      <c r="AA322" s="2026">
        <v>0.96199999999999997</v>
      </c>
      <c r="AB322" s="2026">
        <v>0.96199999999999997</v>
      </c>
      <c r="AC322" s="2027">
        <f t="shared" si="207"/>
        <v>0</v>
      </c>
      <c r="AD322" s="2027">
        <f t="shared" si="207"/>
        <v>0</v>
      </c>
      <c r="AE322" s="2027">
        <f t="shared" si="207"/>
        <v>0</v>
      </c>
      <c r="AF322" s="2027">
        <f t="shared" si="196"/>
        <v>0</v>
      </c>
      <c r="AG322" s="2027"/>
      <c r="AH322" s="2028"/>
      <c r="AI322" s="2028"/>
      <c r="AJ322" s="2028"/>
      <c r="AK322" s="2027">
        <f t="shared" si="197"/>
        <v>0</v>
      </c>
      <c r="AL322" s="2027">
        <f t="shared" si="198"/>
        <v>0</v>
      </c>
      <c r="AM322" s="2027">
        <f t="shared" si="198"/>
        <v>0</v>
      </c>
      <c r="AN322" s="2027">
        <f t="shared" si="198"/>
        <v>0</v>
      </c>
      <c r="AO322" s="2027">
        <f t="shared" si="208"/>
        <v>0</v>
      </c>
      <c r="AP322" s="2027">
        <f t="shared" si="199"/>
        <v>0</v>
      </c>
      <c r="AQ322" s="2027">
        <f t="shared" si="199"/>
        <v>0</v>
      </c>
      <c r="AR322" s="2027">
        <f t="shared" si="199"/>
        <v>0</v>
      </c>
      <c r="AS322" s="2124">
        <f t="shared" si="212"/>
        <v>0</v>
      </c>
      <c r="AT322" s="2029">
        <f t="shared" si="200"/>
        <v>0</v>
      </c>
      <c r="AU322" s="2029">
        <f t="shared" si="200"/>
        <v>0</v>
      </c>
      <c r="AV322" s="2029">
        <f t="shared" si="200"/>
        <v>0</v>
      </c>
      <c r="AW322" s="2124">
        <f t="shared" si="201"/>
        <v>0</v>
      </c>
      <c r="AX322" s="2029">
        <f t="shared" si="171"/>
        <v>0</v>
      </c>
      <c r="AY322" s="2029">
        <f t="shared" si="171"/>
        <v>0</v>
      </c>
      <c r="AZ322" s="2029">
        <f t="shared" si="171"/>
        <v>0</v>
      </c>
      <c r="BA322" s="2124">
        <f t="shared" si="210"/>
        <v>0</v>
      </c>
      <c r="BB322" s="2029">
        <f t="shared" si="210"/>
        <v>0</v>
      </c>
      <c r="BC322" s="2029">
        <f t="shared" si="210"/>
        <v>0</v>
      </c>
      <c r="BD322" s="2029">
        <f t="shared" si="210"/>
        <v>0</v>
      </c>
      <c r="BE322" s="2030">
        <f t="shared" si="202"/>
        <v>0</v>
      </c>
      <c r="BF322" s="2030">
        <f t="shared" si="202"/>
        <v>0</v>
      </c>
      <c r="BG322" s="2030">
        <f t="shared" si="202"/>
        <v>0</v>
      </c>
      <c r="BH322" s="2030">
        <f t="shared" si="191"/>
        <v>0</v>
      </c>
      <c r="BI322" s="2030">
        <f t="shared" si="203"/>
        <v>0</v>
      </c>
      <c r="BJ322" s="2030">
        <f t="shared" si="203"/>
        <v>0</v>
      </c>
      <c r="BK322" s="2030">
        <f t="shared" si="203"/>
        <v>0</v>
      </c>
      <c r="BL322" s="2030">
        <f t="shared" si="192"/>
        <v>0</v>
      </c>
      <c r="BM322" s="2125"/>
      <c r="BN322" s="2125"/>
      <c r="BO322" s="2125"/>
      <c r="BP322" s="2125"/>
      <c r="BQ322" s="2125"/>
      <c r="BR322" s="2125"/>
      <c r="BS322" s="2125"/>
      <c r="BT322" s="2125"/>
      <c r="BU322" s="2029"/>
      <c r="BV322" s="2029"/>
      <c r="BW322" s="2029"/>
      <c r="BX322" s="2029"/>
      <c r="BY322" s="2029"/>
      <c r="BZ322" s="2032"/>
      <c r="CA322" s="1974">
        <f t="shared" si="209"/>
        <v>0</v>
      </c>
      <c r="CB322" s="1974">
        <f t="shared" si="209"/>
        <v>0</v>
      </c>
      <c r="CC322" s="1974">
        <f t="shared" si="209"/>
        <v>0</v>
      </c>
      <c r="CD322" s="1974">
        <f t="shared" si="209"/>
        <v>0</v>
      </c>
      <c r="CE322" s="1974">
        <f t="shared" si="209"/>
        <v>0</v>
      </c>
      <c r="CF322" s="2033">
        <v>0</v>
      </c>
      <c r="CG322" s="2026">
        <v>0</v>
      </c>
      <c r="CH322" s="2009">
        <f t="shared" si="209"/>
        <v>0</v>
      </c>
      <c r="CI322" s="2031">
        <f t="shared" si="209"/>
        <v>0</v>
      </c>
      <c r="CJ322" s="1974">
        <f t="shared" si="209"/>
        <v>0</v>
      </c>
      <c r="CK322" s="2031">
        <f t="shared" si="209"/>
        <v>0</v>
      </c>
      <c r="CL322" s="2026">
        <v>1</v>
      </c>
      <c r="CM322" s="2026">
        <v>1</v>
      </c>
      <c r="CN322" s="2026">
        <v>1</v>
      </c>
      <c r="CO322" s="2026">
        <v>1</v>
      </c>
      <c r="CP322" s="2035"/>
      <c r="CQ322" s="2036"/>
      <c r="CR322" s="2036"/>
      <c r="CS322" s="2036"/>
      <c r="CT322" s="2036"/>
      <c r="CU322" s="2036"/>
      <c r="CW322" s="1973">
        <v>0</v>
      </c>
      <c r="CX322" s="2037">
        <v>0</v>
      </c>
      <c r="CY322" s="2037">
        <v>0</v>
      </c>
      <c r="CZ322" s="2037">
        <v>0</v>
      </c>
      <c r="DA322" s="2037">
        <v>0</v>
      </c>
      <c r="DJ322" s="1976">
        <v>0</v>
      </c>
      <c r="DK322" s="1973">
        <v>0</v>
      </c>
      <c r="DL322" s="1973">
        <v>0</v>
      </c>
      <c r="DM322" s="1973">
        <v>0</v>
      </c>
      <c r="DO322" s="1974">
        <v>0</v>
      </c>
      <c r="DP322" s="1974">
        <v>0</v>
      </c>
      <c r="DQ322" s="1974">
        <v>0</v>
      </c>
      <c r="DR322" s="1974">
        <v>0</v>
      </c>
      <c r="DS322" s="2124">
        <v>0</v>
      </c>
      <c r="DT322" s="2029">
        <v>0</v>
      </c>
      <c r="DU322" s="2029">
        <v>0</v>
      </c>
      <c r="DV322" s="2029">
        <v>0</v>
      </c>
      <c r="DW322" s="2124">
        <v>0</v>
      </c>
      <c r="DX322" s="2029">
        <v>0</v>
      </c>
      <c r="DY322" s="2029">
        <v>0</v>
      </c>
      <c r="DZ322" s="2029">
        <v>0</v>
      </c>
      <c r="EA322" s="2124">
        <v>0</v>
      </c>
      <c r="EB322" s="2029">
        <v>0</v>
      </c>
      <c r="EC322" s="2029">
        <v>0</v>
      </c>
      <c r="ED322" s="2029">
        <v>0</v>
      </c>
      <c r="EE322" s="2039">
        <f t="shared" si="168"/>
        <v>0</v>
      </c>
      <c r="EF322" s="2039">
        <f t="shared" si="168"/>
        <v>0</v>
      </c>
      <c r="EG322" s="2039">
        <f t="shared" si="168"/>
        <v>0</v>
      </c>
      <c r="EH322" s="2039">
        <f t="shared" si="167"/>
        <v>0</v>
      </c>
      <c r="EI322" s="2040">
        <f t="shared" si="190"/>
        <v>0</v>
      </c>
      <c r="EJ322" s="2040">
        <f t="shared" si="190"/>
        <v>0</v>
      </c>
      <c r="EK322" s="2040">
        <f t="shared" si="190"/>
        <v>0</v>
      </c>
      <c r="EL322" s="2040">
        <f t="shared" si="189"/>
        <v>0</v>
      </c>
      <c r="EM322" s="2040">
        <f t="shared" si="189"/>
        <v>0</v>
      </c>
      <c r="EN322" s="2040">
        <f t="shared" si="189"/>
        <v>0</v>
      </c>
      <c r="EO322" s="2040">
        <f t="shared" si="189"/>
        <v>0</v>
      </c>
      <c r="EP322" s="2040">
        <f t="shared" si="189"/>
        <v>0</v>
      </c>
      <c r="EQ322" s="2040">
        <f t="shared" si="189"/>
        <v>0</v>
      </c>
      <c r="ER322" s="2040">
        <f t="shared" si="185"/>
        <v>0</v>
      </c>
      <c r="ES322" s="2040">
        <f t="shared" si="185"/>
        <v>0</v>
      </c>
      <c r="ET322" s="2040">
        <f t="shared" si="185"/>
        <v>0</v>
      </c>
      <c r="EU322" s="2039">
        <f t="shared" si="169"/>
        <v>0</v>
      </c>
      <c r="EV322" s="2039">
        <f t="shared" si="170"/>
        <v>0</v>
      </c>
    </row>
    <row r="323" spans="1:152" x14ac:dyDescent="0.25">
      <c r="A323" s="2088"/>
      <c r="B323" s="2093" t="str">
        <f t="shared" si="193"/>
        <v/>
      </c>
      <c r="C323" s="1974">
        <f t="shared" si="204"/>
        <v>0</v>
      </c>
      <c r="D323" s="1974">
        <f t="shared" si="204"/>
        <v>0</v>
      </c>
      <c r="E323" s="1974">
        <f t="shared" si="204"/>
        <v>0</v>
      </c>
      <c r="F323" s="1974">
        <f t="shared" si="174"/>
        <v>0</v>
      </c>
      <c r="G323" s="1974" t="s">
        <v>2997</v>
      </c>
      <c r="H323" s="1974" t="s">
        <v>2997</v>
      </c>
      <c r="I323" s="2026">
        <v>0.96199999999999997</v>
      </c>
      <c r="J323" s="2026">
        <v>0.96199999999999997</v>
      </c>
      <c r="K323" s="2026">
        <v>0.96199999999999997</v>
      </c>
      <c r="L323" s="2026">
        <v>0.96199999999999997</v>
      </c>
      <c r="M323" s="2027">
        <f t="shared" si="205"/>
        <v>0</v>
      </c>
      <c r="N323" s="2027">
        <f t="shared" si="205"/>
        <v>0</v>
      </c>
      <c r="O323" s="2027">
        <f t="shared" si="205"/>
        <v>0</v>
      </c>
      <c r="P323" s="2027">
        <f t="shared" si="194"/>
        <v>0</v>
      </c>
      <c r="Q323" s="2026">
        <v>0.96199999999999997</v>
      </c>
      <c r="R323" s="2026">
        <v>0.96199999999999997</v>
      </c>
      <c r="S323" s="2026">
        <v>0.96199999999999997</v>
      </c>
      <c r="T323" s="2026">
        <v>0.96199999999999997</v>
      </c>
      <c r="U323" s="2028">
        <f t="shared" si="206"/>
        <v>0</v>
      </c>
      <c r="V323" s="2028">
        <f t="shared" si="206"/>
        <v>0</v>
      </c>
      <c r="W323" s="2028">
        <f t="shared" si="206"/>
        <v>0</v>
      </c>
      <c r="X323" s="2028">
        <f t="shared" si="195"/>
        <v>0</v>
      </c>
      <c r="Y323" s="2026">
        <v>0.96199999999999997</v>
      </c>
      <c r="Z323" s="2026">
        <v>0.96199999999999997</v>
      </c>
      <c r="AA323" s="2026">
        <v>0.96199999999999997</v>
      </c>
      <c r="AB323" s="2026">
        <v>0.96199999999999997</v>
      </c>
      <c r="AC323" s="2027">
        <f t="shared" si="207"/>
        <v>0</v>
      </c>
      <c r="AD323" s="2027">
        <f t="shared" si="207"/>
        <v>0</v>
      </c>
      <c r="AE323" s="2027">
        <f t="shared" si="207"/>
        <v>0</v>
      </c>
      <c r="AF323" s="2027">
        <f t="shared" si="196"/>
        <v>0</v>
      </c>
      <c r="AG323" s="2027"/>
      <c r="AH323" s="2028"/>
      <c r="AI323" s="2028"/>
      <c r="AJ323" s="2028"/>
      <c r="AK323" s="2027">
        <f t="shared" si="197"/>
        <v>0</v>
      </c>
      <c r="AL323" s="2027">
        <f t="shared" si="198"/>
        <v>0</v>
      </c>
      <c r="AM323" s="2027">
        <f t="shared" si="198"/>
        <v>0</v>
      </c>
      <c r="AN323" s="2027">
        <f t="shared" si="198"/>
        <v>0</v>
      </c>
      <c r="AO323" s="2027">
        <f t="shared" si="208"/>
        <v>0</v>
      </c>
      <c r="AP323" s="2027">
        <f t="shared" si="199"/>
        <v>0</v>
      </c>
      <c r="AQ323" s="2027">
        <f t="shared" si="199"/>
        <v>0</v>
      </c>
      <c r="AR323" s="2027">
        <f t="shared" si="199"/>
        <v>0</v>
      </c>
      <c r="AS323" s="2124">
        <f t="shared" si="212"/>
        <v>0</v>
      </c>
      <c r="AT323" s="2029">
        <f t="shared" si="200"/>
        <v>0</v>
      </c>
      <c r="AU323" s="2029">
        <f t="shared" si="200"/>
        <v>0</v>
      </c>
      <c r="AV323" s="2029">
        <f t="shared" si="200"/>
        <v>0</v>
      </c>
      <c r="AW323" s="2124">
        <f t="shared" si="201"/>
        <v>0</v>
      </c>
      <c r="AX323" s="2029">
        <f t="shared" si="171"/>
        <v>0</v>
      </c>
      <c r="AY323" s="2029">
        <f t="shared" si="171"/>
        <v>0</v>
      </c>
      <c r="AZ323" s="2029">
        <f t="shared" si="171"/>
        <v>0</v>
      </c>
      <c r="BA323" s="2124">
        <f t="shared" si="210"/>
        <v>0</v>
      </c>
      <c r="BB323" s="2029">
        <f t="shared" si="210"/>
        <v>0</v>
      </c>
      <c r="BC323" s="2029">
        <f t="shared" si="210"/>
        <v>0</v>
      </c>
      <c r="BD323" s="2029">
        <f t="shared" si="210"/>
        <v>0</v>
      </c>
      <c r="BE323" s="2030">
        <f t="shared" si="202"/>
        <v>0</v>
      </c>
      <c r="BF323" s="2030">
        <f t="shared" si="202"/>
        <v>0</v>
      </c>
      <c r="BG323" s="2030">
        <f t="shared" si="202"/>
        <v>0</v>
      </c>
      <c r="BH323" s="2030">
        <f t="shared" si="191"/>
        <v>0</v>
      </c>
      <c r="BI323" s="2030">
        <f t="shared" si="203"/>
        <v>0</v>
      </c>
      <c r="BJ323" s="2030">
        <f t="shared" si="203"/>
        <v>0</v>
      </c>
      <c r="BK323" s="2030">
        <f t="shared" si="203"/>
        <v>0</v>
      </c>
      <c r="BL323" s="2030">
        <f t="shared" si="192"/>
        <v>0</v>
      </c>
      <c r="BM323" s="2125"/>
      <c r="BN323" s="2125"/>
      <c r="BO323" s="2125"/>
      <c r="BP323" s="2125"/>
      <c r="BQ323" s="2125"/>
      <c r="BR323" s="2125"/>
      <c r="BS323" s="2125"/>
      <c r="BT323" s="2125"/>
      <c r="BU323" s="2029"/>
      <c r="BV323" s="2029"/>
      <c r="BW323" s="2029"/>
      <c r="BX323" s="2029"/>
      <c r="BY323" s="2029"/>
      <c r="BZ323" s="2032"/>
      <c r="CA323" s="1974">
        <f t="shared" si="209"/>
        <v>0</v>
      </c>
      <c r="CB323" s="1974">
        <f t="shared" si="209"/>
        <v>0</v>
      </c>
      <c r="CC323" s="1974">
        <f t="shared" si="209"/>
        <v>0</v>
      </c>
      <c r="CD323" s="1974">
        <f t="shared" si="209"/>
        <v>0</v>
      </c>
      <c r="CE323" s="1974">
        <f t="shared" si="209"/>
        <v>0</v>
      </c>
      <c r="CF323" s="2033">
        <v>0</v>
      </c>
      <c r="CG323" s="2026">
        <v>0</v>
      </c>
      <c r="CH323" s="2009">
        <f t="shared" si="209"/>
        <v>0</v>
      </c>
      <c r="CI323" s="2031">
        <f t="shared" si="209"/>
        <v>0</v>
      </c>
      <c r="CJ323" s="1974">
        <f t="shared" si="209"/>
        <v>0</v>
      </c>
      <c r="CK323" s="2031">
        <f t="shared" si="209"/>
        <v>0</v>
      </c>
      <c r="CL323" s="2026">
        <v>1</v>
      </c>
      <c r="CM323" s="2026">
        <v>1</v>
      </c>
      <c r="CN323" s="2026">
        <v>1</v>
      </c>
      <c r="CO323" s="2026">
        <v>1</v>
      </c>
      <c r="CP323" s="2035"/>
      <c r="CQ323" s="2036"/>
      <c r="CR323" s="2036"/>
      <c r="CS323" s="2036"/>
      <c r="CT323" s="2036"/>
      <c r="CU323" s="2036"/>
      <c r="CW323" s="1973">
        <v>0</v>
      </c>
      <c r="CX323" s="2037">
        <v>0</v>
      </c>
      <c r="CY323" s="2037">
        <v>0</v>
      </c>
      <c r="CZ323" s="2037">
        <v>0</v>
      </c>
      <c r="DA323" s="2037">
        <v>0</v>
      </c>
      <c r="DJ323" s="1976">
        <v>0</v>
      </c>
      <c r="DK323" s="1973">
        <v>0</v>
      </c>
      <c r="DL323" s="1973">
        <v>0</v>
      </c>
      <c r="DM323" s="1973">
        <v>0</v>
      </c>
      <c r="DO323" s="1974">
        <v>0</v>
      </c>
      <c r="DP323" s="1974">
        <v>0</v>
      </c>
      <c r="DQ323" s="1974">
        <v>0</v>
      </c>
      <c r="DR323" s="1974">
        <v>0</v>
      </c>
      <c r="DS323" s="2124">
        <v>0</v>
      </c>
      <c r="DT323" s="2029">
        <v>0</v>
      </c>
      <c r="DU323" s="2029">
        <v>0</v>
      </c>
      <c r="DV323" s="2029">
        <v>0</v>
      </c>
      <c r="DW323" s="2124">
        <v>0</v>
      </c>
      <c r="DX323" s="2029">
        <v>0</v>
      </c>
      <c r="DY323" s="2029">
        <v>0</v>
      </c>
      <c r="DZ323" s="2029">
        <v>0</v>
      </c>
      <c r="EA323" s="2124">
        <v>0</v>
      </c>
      <c r="EB323" s="2029">
        <v>0</v>
      </c>
      <c r="EC323" s="2029">
        <v>0</v>
      </c>
      <c r="ED323" s="2029">
        <v>0</v>
      </c>
      <c r="EE323" s="2039">
        <f t="shared" si="168"/>
        <v>0</v>
      </c>
      <c r="EF323" s="2039">
        <f t="shared" si="168"/>
        <v>0</v>
      </c>
      <c r="EG323" s="2039">
        <f t="shared" si="168"/>
        <v>0</v>
      </c>
      <c r="EH323" s="2039">
        <f t="shared" si="167"/>
        <v>0</v>
      </c>
      <c r="EI323" s="2040">
        <f t="shared" si="190"/>
        <v>0</v>
      </c>
      <c r="EJ323" s="2040">
        <f t="shared" si="190"/>
        <v>0</v>
      </c>
      <c r="EK323" s="2040">
        <f t="shared" si="190"/>
        <v>0</v>
      </c>
      <c r="EL323" s="2040">
        <f t="shared" si="189"/>
        <v>0</v>
      </c>
      <c r="EM323" s="2040">
        <f t="shared" si="189"/>
        <v>0</v>
      </c>
      <c r="EN323" s="2040">
        <f t="shared" si="189"/>
        <v>0</v>
      </c>
      <c r="EO323" s="2040">
        <f t="shared" si="189"/>
        <v>0</v>
      </c>
      <c r="EP323" s="2040">
        <f t="shared" si="189"/>
        <v>0</v>
      </c>
      <c r="EQ323" s="2040">
        <f t="shared" si="189"/>
        <v>0</v>
      </c>
      <c r="ER323" s="2040">
        <f t="shared" si="185"/>
        <v>0</v>
      </c>
      <c r="ES323" s="2040">
        <f t="shared" si="185"/>
        <v>0</v>
      </c>
      <c r="ET323" s="2040">
        <f t="shared" si="185"/>
        <v>0</v>
      </c>
      <c r="EU323" s="2039">
        <f t="shared" si="169"/>
        <v>0</v>
      </c>
      <c r="EV323" s="2039">
        <f t="shared" si="170"/>
        <v>0</v>
      </c>
    </row>
    <row r="324" spans="1:152" x14ac:dyDescent="0.25">
      <c r="A324" s="2088"/>
      <c r="B324" s="2093" t="str">
        <f t="shared" si="193"/>
        <v/>
      </c>
      <c r="C324" s="1974">
        <f t="shared" si="204"/>
        <v>0</v>
      </c>
      <c r="D324" s="1974">
        <f t="shared" si="204"/>
        <v>0</v>
      </c>
      <c r="E324" s="1974">
        <f t="shared" si="204"/>
        <v>0</v>
      </c>
      <c r="F324" s="1974">
        <f t="shared" si="174"/>
        <v>0</v>
      </c>
      <c r="G324" s="1974" t="s">
        <v>2997</v>
      </c>
      <c r="H324" s="1974" t="s">
        <v>2997</v>
      </c>
      <c r="I324" s="2026">
        <v>0.96199999999999997</v>
      </c>
      <c r="J324" s="2026">
        <v>0.96199999999999997</v>
      </c>
      <c r="K324" s="2026">
        <v>0.96199999999999997</v>
      </c>
      <c r="L324" s="2026">
        <v>0.96199999999999997</v>
      </c>
      <c r="M324" s="2027">
        <f t="shared" si="205"/>
        <v>0</v>
      </c>
      <c r="N324" s="2027">
        <f t="shared" si="205"/>
        <v>0</v>
      </c>
      <c r="O324" s="2027">
        <f t="shared" si="205"/>
        <v>0</v>
      </c>
      <c r="P324" s="2027">
        <f t="shared" si="194"/>
        <v>0</v>
      </c>
      <c r="Q324" s="2026">
        <v>0.96199999999999997</v>
      </c>
      <c r="R324" s="2026">
        <v>0.96199999999999997</v>
      </c>
      <c r="S324" s="2026">
        <v>0.96199999999999997</v>
      </c>
      <c r="T324" s="2026">
        <v>0.96199999999999997</v>
      </c>
      <c r="U324" s="2028">
        <f t="shared" si="206"/>
        <v>0</v>
      </c>
      <c r="V324" s="2028">
        <f t="shared" si="206"/>
        <v>0</v>
      </c>
      <c r="W324" s="2028">
        <f t="shared" si="206"/>
        <v>0</v>
      </c>
      <c r="X324" s="2028">
        <f t="shared" si="195"/>
        <v>0</v>
      </c>
      <c r="Y324" s="2026">
        <v>0.96199999999999997</v>
      </c>
      <c r="Z324" s="2026">
        <v>0.96199999999999997</v>
      </c>
      <c r="AA324" s="2026">
        <v>0.96199999999999997</v>
      </c>
      <c r="AB324" s="2026">
        <v>0.96199999999999997</v>
      </c>
      <c r="AC324" s="2027">
        <f t="shared" si="207"/>
        <v>0</v>
      </c>
      <c r="AD324" s="2027">
        <f t="shared" si="207"/>
        <v>0</v>
      </c>
      <c r="AE324" s="2027">
        <f t="shared" si="207"/>
        <v>0</v>
      </c>
      <c r="AF324" s="2027">
        <f t="shared" si="196"/>
        <v>0</v>
      </c>
      <c r="AG324" s="2027"/>
      <c r="AH324" s="2028"/>
      <c r="AI324" s="2028"/>
      <c r="AJ324" s="2028"/>
      <c r="AK324" s="2027">
        <f t="shared" si="197"/>
        <v>0</v>
      </c>
      <c r="AL324" s="2027">
        <f t="shared" si="198"/>
        <v>0</v>
      </c>
      <c r="AM324" s="2027">
        <f t="shared" si="198"/>
        <v>0</v>
      </c>
      <c r="AN324" s="2027">
        <f t="shared" si="198"/>
        <v>0</v>
      </c>
      <c r="AO324" s="2027">
        <f t="shared" si="208"/>
        <v>0</v>
      </c>
      <c r="AP324" s="2027">
        <f t="shared" si="199"/>
        <v>0</v>
      </c>
      <c r="AQ324" s="2027">
        <f t="shared" si="199"/>
        <v>0</v>
      </c>
      <c r="AR324" s="2027">
        <f t="shared" si="199"/>
        <v>0</v>
      </c>
      <c r="AS324" s="2124">
        <f t="shared" si="212"/>
        <v>0</v>
      </c>
      <c r="AT324" s="2029">
        <f t="shared" si="200"/>
        <v>0</v>
      </c>
      <c r="AU324" s="2029">
        <f t="shared" si="200"/>
        <v>0</v>
      </c>
      <c r="AV324" s="2029">
        <f t="shared" si="200"/>
        <v>0</v>
      </c>
      <c r="AW324" s="2124">
        <f t="shared" si="201"/>
        <v>0</v>
      </c>
      <c r="AX324" s="2029">
        <f t="shared" si="171"/>
        <v>0</v>
      </c>
      <c r="AY324" s="2029">
        <f t="shared" si="171"/>
        <v>0</v>
      </c>
      <c r="AZ324" s="2029">
        <f t="shared" si="171"/>
        <v>0</v>
      </c>
      <c r="BA324" s="2124">
        <f t="shared" si="210"/>
        <v>0</v>
      </c>
      <c r="BB324" s="2029">
        <f t="shared" si="210"/>
        <v>0</v>
      </c>
      <c r="BC324" s="2029">
        <f t="shared" si="210"/>
        <v>0</v>
      </c>
      <c r="BD324" s="2029">
        <f t="shared" si="210"/>
        <v>0</v>
      </c>
      <c r="BE324" s="2030">
        <f t="shared" si="202"/>
        <v>0</v>
      </c>
      <c r="BF324" s="2030">
        <f t="shared" si="202"/>
        <v>0</v>
      </c>
      <c r="BG324" s="2030">
        <f t="shared" si="202"/>
        <v>0</v>
      </c>
      <c r="BH324" s="2030">
        <f t="shared" si="191"/>
        <v>0</v>
      </c>
      <c r="BI324" s="2030">
        <f t="shared" si="203"/>
        <v>0</v>
      </c>
      <c r="BJ324" s="2030">
        <f t="shared" si="203"/>
        <v>0</v>
      </c>
      <c r="BK324" s="2030">
        <f t="shared" si="203"/>
        <v>0</v>
      </c>
      <c r="BL324" s="2030">
        <f t="shared" si="192"/>
        <v>0</v>
      </c>
      <c r="BM324" s="2125"/>
      <c r="BN324" s="2125"/>
      <c r="BO324" s="2125"/>
      <c r="BP324" s="2125"/>
      <c r="BQ324" s="2125"/>
      <c r="BR324" s="2125"/>
      <c r="BS324" s="2125"/>
      <c r="BT324" s="2125"/>
      <c r="BU324" s="2029"/>
      <c r="BV324" s="2029"/>
      <c r="BW324" s="2029"/>
      <c r="BX324" s="2029"/>
      <c r="BY324" s="2029"/>
      <c r="BZ324" s="2032"/>
      <c r="CA324" s="1974">
        <f t="shared" si="209"/>
        <v>0</v>
      </c>
      <c r="CB324" s="1974">
        <f t="shared" si="209"/>
        <v>0</v>
      </c>
      <c r="CC324" s="1974">
        <f t="shared" si="209"/>
        <v>0</v>
      </c>
      <c r="CD324" s="1974">
        <f t="shared" si="209"/>
        <v>0</v>
      </c>
      <c r="CE324" s="1974">
        <f t="shared" si="209"/>
        <v>0</v>
      </c>
      <c r="CF324" s="2033">
        <v>0</v>
      </c>
      <c r="CG324" s="2026">
        <v>0</v>
      </c>
      <c r="CH324" s="2009">
        <f t="shared" si="209"/>
        <v>0</v>
      </c>
      <c r="CI324" s="2031">
        <f t="shared" si="209"/>
        <v>0</v>
      </c>
      <c r="CJ324" s="1974">
        <f t="shared" si="209"/>
        <v>0</v>
      </c>
      <c r="CK324" s="2031">
        <f t="shared" si="209"/>
        <v>0</v>
      </c>
      <c r="CL324" s="2026">
        <v>1</v>
      </c>
      <c r="CM324" s="2026">
        <v>1</v>
      </c>
      <c r="CN324" s="2026">
        <v>1</v>
      </c>
      <c r="CO324" s="2026">
        <v>1</v>
      </c>
      <c r="CP324" s="2035"/>
      <c r="CQ324" s="2036"/>
      <c r="CR324" s="2036"/>
      <c r="CS324" s="2036"/>
      <c r="CT324" s="2036"/>
      <c r="CU324" s="2036"/>
      <c r="CW324" s="1973">
        <v>0</v>
      </c>
      <c r="CX324" s="2037">
        <v>0</v>
      </c>
      <c r="CY324" s="2037">
        <v>0</v>
      </c>
      <c r="CZ324" s="2037">
        <v>0</v>
      </c>
      <c r="DA324" s="2037">
        <v>0</v>
      </c>
      <c r="DJ324" s="1976">
        <v>0</v>
      </c>
      <c r="DK324" s="1973">
        <v>0</v>
      </c>
      <c r="DL324" s="1973">
        <v>0</v>
      </c>
      <c r="DM324" s="1973">
        <v>0</v>
      </c>
      <c r="DO324" s="1974">
        <v>0</v>
      </c>
      <c r="DP324" s="1974">
        <v>0</v>
      </c>
      <c r="DQ324" s="1974">
        <v>0</v>
      </c>
      <c r="DR324" s="1974">
        <v>0</v>
      </c>
      <c r="DS324" s="2124">
        <v>0</v>
      </c>
      <c r="DT324" s="2029">
        <v>0</v>
      </c>
      <c r="DU324" s="2029">
        <v>0</v>
      </c>
      <c r="DV324" s="2029">
        <v>0</v>
      </c>
      <c r="DW324" s="2124">
        <v>0</v>
      </c>
      <c r="DX324" s="2029">
        <v>0</v>
      </c>
      <c r="DY324" s="2029">
        <v>0</v>
      </c>
      <c r="DZ324" s="2029">
        <v>0</v>
      </c>
      <c r="EA324" s="2124">
        <v>0</v>
      </c>
      <c r="EB324" s="2029">
        <v>0</v>
      </c>
      <c r="EC324" s="2029">
        <v>0</v>
      </c>
      <c r="ED324" s="2029">
        <v>0</v>
      </c>
      <c r="EE324" s="2039">
        <f t="shared" si="168"/>
        <v>0</v>
      </c>
      <c r="EF324" s="2039">
        <f t="shared" si="168"/>
        <v>0</v>
      </c>
      <c r="EG324" s="2039">
        <f t="shared" si="168"/>
        <v>0</v>
      </c>
      <c r="EH324" s="2039">
        <f t="shared" si="167"/>
        <v>0</v>
      </c>
      <c r="EI324" s="2040">
        <f t="shared" si="190"/>
        <v>0</v>
      </c>
      <c r="EJ324" s="2040">
        <f t="shared" si="190"/>
        <v>0</v>
      </c>
      <c r="EK324" s="2040">
        <f t="shared" si="190"/>
        <v>0</v>
      </c>
      <c r="EL324" s="2040">
        <f t="shared" si="189"/>
        <v>0</v>
      </c>
      <c r="EM324" s="2040">
        <f t="shared" si="189"/>
        <v>0</v>
      </c>
      <c r="EN324" s="2040">
        <f t="shared" si="189"/>
        <v>0</v>
      </c>
      <c r="EO324" s="2040">
        <f t="shared" si="189"/>
        <v>0</v>
      </c>
      <c r="EP324" s="2040">
        <f t="shared" si="189"/>
        <v>0</v>
      </c>
      <c r="EQ324" s="2040">
        <f t="shared" si="189"/>
        <v>0</v>
      </c>
      <c r="ER324" s="2040">
        <f t="shared" si="185"/>
        <v>0</v>
      </c>
      <c r="ES324" s="2040">
        <f t="shared" si="185"/>
        <v>0</v>
      </c>
      <c r="ET324" s="2040">
        <f t="shared" si="185"/>
        <v>0</v>
      </c>
      <c r="EU324" s="2039">
        <f t="shared" si="169"/>
        <v>0</v>
      </c>
      <c r="EV324" s="2039">
        <f t="shared" si="170"/>
        <v>0</v>
      </c>
    </row>
    <row r="325" spans="1:152" x14ac:dyDescent="0.25">
      <c r="A325" s="2088"/>
      <c r="B325" s="2093" t="str">
        <f t="shared" si="193"/>
        <v/>
      </c>
      <c r="C325" s="1974">
        <f t="shared" si="204"/>
        <v>0</v>
      </c>
      <c r="D325" s="1974">
        <f t="shared" si="204"/>
        <v>0</v>
      </c>
      <c r="E325" s="1974">
        <f t="shared" si="204"/>
        <v>0</v>
      </c>
      <c r="F325" s="1974">
        <f t="shared" si="174"/>
        <v>0</v>
      </c>
      <c r="G325" s="1974" t="s">
        <v>2997</v>
      </c>
      <c r="H325" s="1974" t="s">
        <v>2997</v>
      </c>
      <c r="I325" s="2026">
        <v>0.96199999999999997</v>
      </c>
      <c r="J325" s="2026">
        <v>0.96199999999999997</v>
      </c>
      <c r="K325" s="2026">
        <v>0.96199999999999997</v>
      </c>
      <c r="L325" s="2026">
        <v>0.96199999999999997</v>
      </c>
      <c r="M325" s="2027">
        <f t="shared" si="205"/>
        <v>0</v>
      </c>
      <c r="N325" s="2027">
        <f t="shared" si="205"/>
        <v>0</v>
      </c>
      <c r="O325" s="2027">
        <f t="shared" si="205"/>
        <v>0</v>
      </c>
      <c r="P325" s="2027">
        <f t="shared" si="194"/>
        <v>0</v>
      </c>
      <c r="Q325" s="2026">
        <v>0.96199999999999997</v>
      </c>
      <c r="R325" s="2026">
        <v>0.96199999999999997</v>
      </c>
      <c r="S325" s="2026">
        <v>0.96199999999999997</v>
      </c>
      <c r="T325" s="2026">
        <v>0.96199999999999997</v>
      </c>
      <c r="U325" s="2028">
        <f t="shared" si="206"/>
        <v>0</v>
      </c>
      <c r="V325" s="2028">
        <f t="shared" si="206"/>
        <v>0</v>
      </c>
      <c r="W325" s="2028">
        <f t="shared" si="206"/>
        <v>0</v>
      </c>
      <c r="X325" s="2028">
        <f t="shared" si="195"/>
        <v>0</v>
      </c>
      <c r="Y325" s="2026">
        <v>0.96199999999999997</v>
      </c>
      <c r="Z325" s="2026">
        <v>0.96199999999999997</v>
      </c>
      <c r="AA325" s="2026">
        <v>0.96199999999999997</v>
      </c>
      <c r="AB325" s="2026">
        <v>0.96199999999999997</v>
      </c>
      <c r="AC325" s="2027">
        <f t="shared" si="207"/>
        <v>0</v>
      </c>
      <c r="AD325" s="2027">
        <f t="shared" si="207"/>
        <v>0</v>
      </c>
      <c r="AE325" s="2027">
        <f t="shared" si="207"/>
        <v>0</v>
      </c>
      <c r="AF325" s="2027">
        <f t="shared" si="196"/>
        <v>0</v>
      </c>
      <c r="AG325" s="2027"/>
      <c r="AH325" s="2028"/>
      <c r="AI325" s="2028"/>
      <c r="AJ325" s="2028"/>
      <c r="AK325" s="2027">
        <f t="shared" si="197"/>
        <v>0</v>
      </c>
      <c r="AL325" s="2027">
        <f t="shared" si="198"/>
        <v>0</v>
      </c>
      <c r="AM325" s="2027">
        <f t="shared" si="198"/>
        <v>0</v>
      </c>
      <c r="AN325" s="2027">
        <f t="shared" si="198"/>
        <v>0</v>
      </c>
      <c r="AO325" s="2027">
        <f t="shared" si="208"/>
        <v>0</v>
      </c>
      <c r="AP325" s="2027">
        <f t="shared" si="199"/>
        <v>0</v>
      </c>
      <c r="AQ325" s="2027">
        <f t="shared" si="199"/>
        <v>0</v>
      </c>
      <c r="AR325" s="2027">
        <f t="shared" si="199"/>
        <v>0</v>
      </c>
      <c r="AS325" s="2124">
        <f t="shared" si="212"/>
        <v>0</v>
      </c>
      <c r="AT325" s="2029">
        <f t="shared" si="200"/>
        <v>0</v>
      </c>
      <c r="AU325" s="2029">
        <f t="shared" si="200"/>
        <v>0</v>
      </c>
      <c r="AV325" s="2029">
        <f t="shared" si="200"/>
        <v>0</v>
      </c>
      <c r="AW325" s="2124">
        <f t="shared" si="201"/>
        <v>0</v>
      </c>
      <c r="AX325" s="2029">
        <f t="shared" si="171"/>
        <v>0</v>
      </c>
      <c r="AY325" s="2029">
        <f t="shared" si="171"/>
        <v>0</v>
      </c>
      <c r="AZ325" s="2029">
        <f t="shared" si="171"/>
        <v>0</v>
      </c>
      <c r="BA325" s="2124">
        <f t="shared" si="210"/>
        <v>0</v>
      </c>
      <c r="BB325" s="2029">
        <f t="shared" si="210"/>
        <v>0</v>
      </c>
      <c r="BC325" s="2029">
        <f t="shared" si="210"/>
        <v>0</v>
      </c>
      <c r="BD325" s="2029">
        <f t="shared" si="210"/>
        <v>0</v>
      </c>
      <c r="BE325" s="2030">
        <f t="shared" si="202"/>
        <v>0</v>
      </c>
      <c r="BF325" s="2030">
        <f t="shared" si="202"/>
        <v>0</v>
      </c>
      <c r="BG325" s="2030">
        <f t="shared" si="202"/>
        <v>0</v>
      </c>
      <c r="BH325" s="2030">
        <f t="shared" si="191"/>
        <v>0</v>
      </c>
      <c r="BI325" s="2030">
        <f t="shared" si="203"/>
        <v>0</v>
      </c>
      <c r="BJ325" s="2030">
        <f t="shared" si="203"/>
        <v>0</v>
      </c>
      <c r="BK325" s="2030">
        <f t="shared" si="203"/>
        <v>0</v>
      </c>
      <c r="BL325" s="2030">
        <f t="shared" si="192"/>
        <v>0</v>
      </c>
      <c r="BM325" s="2125"/>
      <c r="BN325" s="2125"/>
      <c r="BO325" s="2125"/>
      <c r="BP325" s="2125"/>
      <c r="BQ325" s="2125"/>
      <c r="BR325" s="2125"/>
      <c r="BS325" s="2125"/>
      <c r="BT325" s="2125"/>
      <c r="BU325" s="2029"/>
      <c r="BV325" s="2029"/>
      <c r="BW325" s="2029"/>
      <c r="BX325" s="2029"/>
      <c r="BY325" s="2029"/>
      <c r="BZ325" s="2032"/>
      <c r="CA325" s="1974">
        <f t="shared" si="209"/>
        <v>0</v>
      </c>
      <c r="CB325" s="1974">
        <f t="shared" si="209"/>
        <v>0</v>
      </c>
      <c r="CC325" s="1974">
        <f t="shared" si="209"/>
        <v>0</v>
      </c>
      <c r="CD325" s="1974">
        <f t="shared" si="209"/>
        <v>0</v>
      </c>
      <c r="CE325" s="1974">
        <f t="shared" si="209"/>
        <v>0</v>
      </c>
      <c r="CF325" s="2033">
        <v>0</v>
      </c>
      <c r="CG325" s="2026">
        <v>0</v>
      </c>
      <c r="CH325" s="2009">
        <f t="shared" si="209"/>
        <v>0</v>
      </c>
      <c r="CI325" s="2031">
        <f t="shared" si="209"/>
        <v>0</v>
      </c>
      <c r="CJ325" s="1974">
        <f t="shared" si="209"/>
        <v>0</v>
      </c>
      <c r="CK325" s="2031">
        <f t="shared" si="209"/>
        <v>0</v>
      </c>
      <c r="CL325" s="2026">
        <v>1</v>
      </c>
      <c r="CM325" s="2026">
        <v>1</v>
      </c>
      <c r="CN325" s="2026">
        <v>1</v>
      </c>
      <c r="CO325" s="2026">
        <v>1</v>
      </c>
      <c r="CP325" s="2035"/>
      <c r="CQ325" s="2036"/>
      <c r="CR325" s="2036"/>
      <c r="CS325" s="2036"/>
      <c r="CT325" s="2036"/>
      <c r="CU325" s="2036"/>
      <c r="CW325" s="1973">
        <v>0</v>
      </c>
      <c r="CX325" s="2037">
        <v>0</v>
      </c>
      <c r="CY325" s="2037">
        <v>0</v>
      </c>
      <c r="CZ325" s="2037">
        <v>0</v>
      </c>
      <c r="DA325" s="2037">
        <v>0</v>
      </c>
      <c r="DJ325" s="1976">
        <v>0</v>
      </c>
      <c r="DK325" s="1973">
        <v>0</v>
      </c>
      <c r="DL325" s="1973">
        <v>0</v>
      </c>
      <c r="DM325" s="1973">
        <v>0</v>
      </c>
      <c r="DO325" s="1974">
        <v>0</v>
      </c>
      <c r="DP325" s="1974">
        <v>0</v>
      </c>
      <c r="DQ325" s="1974">
        <v>0</v>
      </c>
      <c r="DR325" s="1974">
        <v>0</v>
      </c>
      <c r="DS325" s="2124">
        <v>0</v>
      </c>
      <c r="DT325" s="2029">
        <v>0</v>
      </c>
      <c r="DU325" s="2029">
        <v>0</v>
      </c>
      <c r="DV325" s="2029">
        <v>0</v>
      </c>
      <c r="DW325" s="2124">
        <v>0</v>
      </c>
      <c r="DX325" s="2029">
        <v>0</v>
      </c>
      <c r="DY325" s="2029">
        <v>0</v>
      </c>
      <c r="DZ325" s="2029">
        <v>0</v>
      </c>
      <c r="EA325" s="2124">
        <v>0</v>
      </c>
      <c r="EB325" s="2029">
        <v>0</v>
      </c>
      <c r="EC325" s="2029">
        <v>0</v>
      </c>
      <c r="ED325" s="2029">
        <v>0</v>
      </c>
      <c r="EE325" s="2039">
        <f t="shared" si="168"/>
        <v>0</v>
      </c>
      <c r="EF325" s="2039">
        <f t="shared" si="168"/>
        <v>0</v>
      </c>
      <c r="EG325" s="2039">
        <f t="shared" si="168"/>
        <v>0</v>
      </c>
      <c r="EH325" s="2039">
        <f t="shared" si="167"/>
        <v>0</v>
      </c>
      <c r="EI325" s="2040">
        <f t="shared" si="190"/>
        <v>0</v>
      </c>
      <c r="EJ325" s="2040">
        <f t="shared" si="190"/>
        <v>0</v>
      </c>
      <c r="EK325" s="2040">
        <f t="shared" si="190"/>
        <v>0</v>
      </c>
      <c r="EL325" s="2040">
        <f t="shared" si="189"/>
        <v>0</v>
      </c>
      <c r="EM325" s="2040">
        <f t="shared" si="189"/>
        <v>0</v>
      </c>
      <c r="EN325" s="2040">
        <f t="shared" si="189"/>
        <v>0</v>
      </c>
      <c r="EO325" s="2040">
        <f t="shared" si="189"/>
        <v>0</v>
      </c>
      <c r="EP325" s="2040">
        <f t="shared" si="189"/>
        <v>0</v>
      </c>
      <c r="EQ325" s="2040">
        <f t="shared" si="189"/>
        <v>0</v>
      </c>
      <c r="ER325" s="2040">
        <f t="shared" si="185"/>
        <v>0</v>
      </c>
      <c r="ES325" s="2040">
        <f t="shared" si="185"/>
        <v>0</v>
      </c>
      <c r="ET325" s="2040">
        <f t="shared" si="185"/>
        <v>0</v>
      </c>
      <c r="EU325" s="2039">
        <f t="shared" si="169"/>
        <v>0</v>
      </c>
      <c r="EV325" s="2039">
        <f t="shared" si="170"/>
        <v>0</v>
      </c>
    </row>
    <row r="326" spans="1:152" x14ac:dyDescent="0.25">
      <c r="A326" s="2088" t="s">
        <v>232</v>
      </c>
      <c r="B326" s="2093" t="str">
        <f t="shared" si="193"/>
        <v>BPCK1</v>
      </c>
      <c r="C326" s="1974">
        <f t="shared" si="204"/>
        <v>12</v>
      </c>
      <c r="D326" s="1974">
        <f t="shared" si="204"/>
        <v>14521.3</v>
      </c>
      <c r="E326" s="1974">
        <f t="shared" si="204"/>
        <v>2.52</v>
      </c>
      <c r="F326" s="1974">
        <f t="shared" si="174"/>
        <v>0</v>
      </c>
      <c r="G326" s="1974" t="s">
        <v>2997</v>
      </c>
      <c r="H326" s="1974" t="s">
        <v>2997</v>
      </c>
      <c r="I326" s="2026">
        <v>0.96199999999999997</v>
      </c>
      <c r="J326" s="2026">
        <v>0.96199999999999997</v>
      </c>
      <c r="K326" s="2026">
        <v>0.96199999999999997</v>
      </c>
      <c r="L326" s="2026">
        <v>0.96199999999999997</v>
      </c>
      <c r="M326" s="2027">
        <f t="shared" si="205"/>
        <v>13969.490599999999</v>
      </c>
      <c r="N326" s="2027">
        <f t="shared" si="205"/>
        <v>13969.490599999999</v>
      </c>
      <c r="O326" s="2027">
        <f t="shared" si="205"/>
        <v>13969.490599999999</v>
      </c>
      <c r="P326" s="2027">
        <f t="shared" si="194"/>
        <v>13969.490599999999</v>
      </c>
      <c r="Q326" s="2026">
        <v>0.96199999999999997</v>
      </c>
      <c r="R326" s="2026">
        <v>0.96199999999999997</v>
      </c>
      <c r="S326" s="2026">
        <v>0.96199999999999997</v>
      </c>
      <c r="T326" s="2026">
        <v>0.96199999999999997</v>
      </c>
      <c r="U326" s="2028">
        <f t="shared" si="206"/>
        <v>2.4242399999999997</v>
      </c>
      <c r="V326" s="2028">
        <f t="shared" si="206"/>
        <v>2.4242399999999997</v>
      </c>
      <c r="W326" s="2028">
        <f t="shared" si="206"/>
        <v>2.4242399999999997</v>
      </c>
      <c r="X326" s="2028">
        <f t="shared" si="195"/>
        <v>2.4242399999999997</v>
      </c>
      <c r="Y326" s="2026">
        <v>0.96199999999999997</v>
      </c>
      <c r="Z326" s="2026">
        <v>0.96199999999999997</v>
      </c>
      <c r="AA326" s="2026">
        <v>0.96199999999999997</v>
      </c>
      <c r="AB326" s="2026">
        <v>0.96199999999999997</v>
      </c>
      <c r="AC326" s="2027">
        <f t="shared" si="207"/>
        <v>0</v>
      </c>
      <c r="AD326" s="2027">
        <f t="shared" si="207"/>
        <v>0</v>
      </c>
      <c r="AE326" s="2027">
        <f t="shared" si="207"/>
        <v>0</v>
      </c>
      <c r="AF326" s="2027">
        <f t="shared" si="196"/>
        <v>0</v>
      </c>
      <c r="AG326" s="2027">
        <v>0</v>
      </c>
      <c r="AH326" s="2028"/>
      <c r="AI326" s="2028"/>
      <c r="AJ326" s="2028"/>
      <c r="AK326" s="2027">
        <f t="shared" si="197"/>
        <v>0</v>
      </c>
      <c r="AL326" s="2027">
        <f t="shared" si="198"/>
        <v>0</v>
      </c>
      <c r="AM326" s="2027">
        <f t="shared" si="198"/>
        <v>0</v>
      </c>
      <c r="AN326" s="2027">
        <f t="shared" si="198"/>
        <v>0</v>
      </c>
      <c r="AO326" s="2027">
        <f t="shared" si="208"/>
        <v>0</v>
      </c>
      <c r="AP326" s="2027">
        <f t="shared" si="199"/>
        <v>0</v>
      </c>
      <c r="AQ326" s="2027">
        <f t="shared" si="199"/>
        <v>0</v>
      </c>
      <c r="AR326" s="2027">
        <f t="shared" si="199"/>
        <v>0</v>
      </c>
      <c r="AS326" s="2124">
        <f t="shared" si="212"/>
        <v>525</v>
      </c>
      <c r="AT326" s="2029">
        <f t="shared" si="200"/>
        <v>525</v>
      </c>
      <c r="AU326" s="2029">
        <f t="shared" si="200"/>
        <v>525</v>
      </c>
      <c r="AV326" s="2029">
        <f t="shared" si="200"/>
        <v>525</v>
      </c>
      <c r="AW326" s="2124">
        <f t="shared" si="201"/>
        <v>0</v>
      </c>
      <c r="AX326" s="2029">
        <f t="shared" si="171"/>
        <v>0</v>
      </c>
      <c r="AY326" s="2029">
        <f t="shared" si="171"/>
        <v>0</v>
      </c>
      <c r="AZ326" s="2029">
        <f t="shared" si="171"/>
        <v>0</v>
      </c>
      <c r="BA326" s="2124">
        <f t="shared" si="210"/>
        <v>2490</v>
      </c>
      <c r="BB326" s="2029">
        <f t="shared" si="210"/>
        <v>2490</v>
      </c>
      <c r="BC326" s="2029">
        <f t="shared" si="210"/>
        <v>2490</v>
      </c>
      <c r="BD326" s="2029">
        <f t="shared" si="210"/>
        <v>2490</v>
      </c>
      <c r="BE326" s="2030">
        <f t="shared" si="202"/>
        <v>0</v>
      </c>
      <c r="BF326" s="2030">
        <f t="shared" si="202"/>
        <v>0</v>
      </c>
      <c r="BG326" s="2030">
        <f t="shared" si="202"/>
        <v>0</v>
      </c>
      <c r="BH326" s="2030">
        <f t="shared" si="191"/>
        <v>0</v>
      </c>
      <c r="BI326" s="2030">
        <f t="shared" si="203"/>
        <v>0</v>
      </c>
      <c r="BJ326" s="2030">
        <f t="shared" si="203"/>
        <v>0</v>
      </c>
      <c r="BK326" s="2030">
        <f t="shared" si="203"/>
        <v>0</v>
      </c>
      <c r="BL326" s="2030">
        <f t="shared" si="192"/>
        <v>0</v>
      </c>
      <c r="BM326" s="2125"/>
      <c r="BN326" s="2125"/>
      <c r="BO326" s="2125"/>
      <c r="BP326" s="2125"/>
      <c r="BQ326" s="2125"/>
      <c r="BR326" s="2125"/>
      <c r="BS326" s="2125"/>
      <c r="BT326" s="2125"/>
      <c r="BU326" s="2029"/>
      <c r="BV326" s="2029"/>
      <c r="BW326" s="2029"/>
      <c r="BX326" s="2029"/>
      <c r="BY326" s="2029"/>
      <c r="BZ326" s="2032"/>
      <c r="CA326" s="1974">
        <f t="shared" si="209"/>
        <v>76703</v>
      </c>
      <c r="CB326" s="1974">
        <f t="shared" si="209"/>
        <v>0</v>
      </c>
      <c r="CC326" s="1974">
        <f t="shared" si="209"/>
        <v>0</v>
      </c>
      <c r="CD326" s="1974">
        <f t="shared" si="209"/>
        <v>0</v>
      </c>
      <c r="CE326" s="1974">
        <f t="shared" si="209"/>
        <v>0</v>
      </c>
      <c r="CF326" s="2033">
        <v>0</v>
      </c>
      <c r="CG326" s="2026">
        <v>0</v>
      </c>
      <c r="CH326" s="2009">
        <f t="shared" si="209"/>
        <v>0</v>
      </c>
      <c r="CI326" s="2031">
        <f t="shared" si="209"/>
        <v>0</v>
      </c>
      <c r="CJ326" s="1974">
        <f t="shared" si="209"/>
        <v>0</v>
      </c>
      <c r="CK326" s="2031">
        <f t="shared" si="209"/>
        <v>0</v>
      </c>
      <c r="CL326" s="2026">
        <v>1</v>
      </c>
      <c r="CM326" s="2026">
        <v>1</v>
      </c>
      <c r="CN326" s="2026">
        <v>1</v>
      </c>
      <c r="CO326" s="2026">
        <v>1</v>
      </c>
      <c r="CP326" s="2035"/>
      <c r="CQ326" s="2036"/>
      <c r="CR326" s="2036"/>
      <c r="CS326" s="2036"/>
      <c r="CT326" s="2036"/>
      <c r="CU326" s="2036"/>
      <c r="CW326" s="1973">
        <v>0</v>
      </c>
      <c r="CX326" s="2037">
        <v>525</v>
      </c>
      <c r="CY326" s="2037">
        <v>525</v>
      </c>
      <c r="CZ326" s="2037">
        <v>525</v>
      </c>
      <c r="DA326" s="2037">
        <v>525</v>
      </c>
      <c r="DJ326" s="1976">
        <v>525</v>
      </c>
      <c r="DK326" s="1973">
        <v>525</v>
      </c>
      <c r="DL326" s="1973">
        <v>525</v>
      </c>
      <c r="DM326" s="1973">
        <v>525</v>
      </c>
      <c r="DO326" s="1974">
        <v>12</v>
      </c>
      <c r="DP326" s="1974">
        <v>14521.3</v>
      </c>
      <c r="DQ326" s="1974">
        <v>2.52</v>
      </c>
      <c r="DR326" s="1974">
        <v>0</v>
      </c>
      <c r="DS326" s="2124">
        <v>525</v>
      </c>
      <c r="DT326" s="2029">
        <v>525</v>
      </c>
      <c r="DU326" s="2029">
        <v>525</v>
      </c>
      <c r="DV326" s="2029">
        <v>525</v>
      </c>
      <c r="DW326" s="2124">
        <v>0</v>
      </c>
      <c r="DX326" s="2029">
        <v>0</v>
      </c>
      <c r="DY326" s="2029">
        <v>0</v>
      </c>
      <c r="DZ326" s="2029">
        <v>0</v>
      </c>
      <c r="EA326" s="2124">
        <v>2490</v>
      </c>
      <c r="EB326" s="2029">
        <v>2490</v>
      </c>
      <c r="EC326" s="2029">
        <v>2490</v>
      </c>
      <c r="ED326" s="2029">
        <v>2490</v>
      </c>
      <c r="EE326" s="2039">
        <f t="shared" si="168"/>
        <v>0</v>
      </c>
      <c r="EF326" s="2039">
        <f t="shared" si="168"/>
        <v>0</v>
      </c>
      <c r="EG326" s="2039">
        <f t="shared" si="168"/>
        <v>0</v>
      </c>
      <c r="EH326" s="2039">
        <f t="shared" si="168"/>
        <v>0</v>
      </c>
      <c r="EI326" s="2040">
        <f t="shared" si="190"/>
        <v>0</v>
      </c>
      <c r="EJ326" s="2040">
        <f t="shared" si="190"/>
        <v>0</v>
      </c>
      <c r="EK326" s="2040">
        <f t="shared" si="190"/>
        <v>0</v>
      </c>
      <c r="EL326" s="2040">
        <f t="shared" si="189"/>
        <v>0</v>
      </c>
      <c r="EM326" s="2040">
        <f t="shared" si="189"/>
        <v>0</v>
      </c>
      <c r="EN326" s="2040">
        <f t="shared" si="189"/>
        <v>0</v>
      </c>
      <c r="EO326" s="2040">
        <f t="shared" si="189"/>
        <v>0</v>
      </c>
      <c r="EP326" s="2040">
        <f t="shared" si="189"/>
        <v>0</v>
      </c>
      <c r="EQ326" s="2040">
        <f t="shared" si="189"/>
        <v>0</v>
      </c>
      <c r="ER326" s="2040">
        <f t="shared" si="185"/>
        <v>0</v>
      </c>
      <c r="ES326" s="2040">
        <f t="shared" si="185"/>
        <v>0</v>
      </c>
      <c r="ET326" s="2040">
        <f t="shared" si="185"/>
        <v>0</v>
      </c>
      <c r="EU326" s="2039">
        <f t="shared" si="169"/>
        <v>0</v>
      </c>
      <c r="EV326" s="2039">
        <f t="shared" si="170"/>
        <v>0</v>
      </c>
    </row>
    <row r="327" spans="1:152" x14ac:dyDescent="0.25">
      <c r="A327" s="2088" t="s">
        <v>130</v>
      </c>
      <c r="B327" s="2093" t="str">
        <f t="shared" si="193"/>
        <v>BPCK2</v>
      </c>
      <c r="C327" s="1974">
        <f t="shared" si="204"/>
        <v>12</v>
      </c>
      <c r="D327" s="1974">
        <f t="shared" si="204"/>
        <v>16929.41</v>
      </c>
      <c r="E327" s="1974">
        <f t="shared" si="204"/>
        <v>2.94</v>
      </c>
      <c r="F327" s="1974">
        <f t="shared" si="174"/>
        <v>0</v>
      </c>
      <c r="G327" s="1974" t="s">
        <v>2997</v>
      </c>
      <c r="H327" s="1974" t="s">
        <v>2997</v>
      </c>
      <c r="I327" s="2026">
        <v>0.96199999999999997</v>
      </c>
      <c r="J327" s="2026">
        <v>0.96199999999999997</v>
      </c>
      <c r="K327" s="2026">
        <v>0.96199999999999997</v>
      </c>
      <c r="L327" s="2026">
        <v>0.96199999999999997</v>
      </c>
      <c r="M327" s="2027">
        <f t="shared" si="205"/>
        <v>16286.092419999999</v>
      </c>
      <c r="N327" s="2027">
        <f t="shared" si="205"/>
        <v>16286.092419999999</v>
      </c>
      <c r="O327" s="2027">
        <f t="shared" si="205"/>
        <v>16286.092419999999</v>
      </c>
      <c r="P327" s="2027">
        <f t="shared" si="194"/>
        <v>16286.092419999999</v>
      </c>
      <c r="Q327" s="2026">
        <v>0.96199999999999997</v>
      </c>
      <c r="R327" s="2026">
        <v>0.96199999999999997</v>
      </c>
      <c r="S327" s="2026">
        <v>0.96199999999999997</v>
      </c>
      <c r="T327" s="2026">
        <v>0.96199999999999997</v>
      </c>
      <c r="U327" s="2028">
        <f t="shared" si="206"/>
        <v>2.8282799999999999</v>
      </c>
      <c r="V327" s="2028">
        <f t="shared" si="206"/>
        <v>2.8282799999999999</v>
      </c>
      <c r="W327" s="2028">
        <f t="shared" si="206"/>
        <v>2.8282799999999999</v>
      </c>
      <c r="X327" s="2028">
        <f t="shared" si="195"/>
        <v>2.8282799999999999</v>
      </c>
      <c r="Y327" s="2026">
        <v>0.96199999999999997</v>
      </c>
      <c r="Z327" s="2026">
        <v>0.96199999999999997</v>
      </c>
      <c r="AA327" s="2026">
        <v>0.96199999999999997</v>
      </c>
      <c r="AB327" s="2026">
        <v>0.96199999999999997</v>
      </c>
      <c r="AC327" s="2027">
        <f t="shared" si="207"/>
        <v>0</v>
      </c>
      <c r="AD327" s="2027">
        <f t="shared" si="207"/>
        <v>0</v>
      </c>
      <c r="AE327" s="2027">
        <f t="shared" si="207"/>
        <v>0</v>
      </c>
      <c r="AF327" s="2027">
        <f t="shared" si="196"/>
        <v>0</v>
      </c>
      <c r="AG327" s="2027">
        <v>0</v>
      </c>
      <c r="AH327" s="2028"/>
      <c r="AI327" s="2028"/>
      <c r="AJ327" s="2028"/>
      <c r="AK327" s="2027">
        <f t="shared" si="197"/>
        <v>0</v>
      </c>
      <c r="AL327" s="2027">
        <f t="shared" si="198"/>
        <v>0</v>
      </c>
      <c r="AM327" s="2027">
        <f t="shared" si="198"/>
        <v>0</v>
      </c>
      <c r="AN327" s="2027">
        <f t="shared" si="198"/>
        <v>0</v>
      </c>
      <c r="AO327" s="2027">
        <f t="shared" si="208"/>
        <v>0</v>
      </c>
      <c r="AP327" s="2027">
        <f t="shared" si="199"/>
        <v>0</v>
      </c>
      <c r="AQ327" s="2027">
        <f t="shared" si="199"/>
        <v>0</v>
      </c>
      <c r="AR327" s="2027">
        <f t="shared" si="199"/>
        <v>0</v>
      </c>
      <c r="AS327" s="2124">
        <f t="shared" si="212"/>
        <v>600</v>
      </c>
      <c r="AT327" s="2029">
        <f t="shared" si="200"/>
        <v>600</v>
      </c>
      <c r="AU327" s="2029">
        <f t="shared" si="200"/>
        <v>600</v>
      </c>
      <c r="AV327" s="2029">
        <f t="shared" si="200"/>
        <v>600</v>
      </c>
      <c r="AW327" s="2124">
        <f t="shared" si="201"/>
        <v>0</v>
      </c>
      <c r="AX327" s="2029">
        <f t="shared" si="171"/>
        <v>0</v>
      </c>
      <c r="AY327" s="2029">
        <f t="shared" si="171"/>
        <v>0</v>
      </c>
      <c r="AZ327" s="2029">
        <f t="shared" si="171"/>
        <v>0</v>
      </c>
      <c r="BA327" s="2124">
        <f t="shared" si="210"/>
        <v>2490</v>
      </c>
      <c r="BB327" s="2029">
        <f t="shared" si="210"/>
        <v>2490</v>
      </c>
      <c r="BC327" s="2029">
        <f t="shared" si="210"/>
        <v>2490</v>
      </c>
      <c r="BD327" s="2029">
        <f t="shared" si="210"/>
        <v>2490</v>
      </c>
      <c r="BE327" s="2030">
        <f t="shared" si="202"/>
        <v>0</v>
      </c>
      <c r="BF327" s="2030">
        <f t="shared" si="202"/>
        <v>0</v>
      </c>
      <c r="BG327" s="2030">
        <f t="shared" si="202"/>
        <v>0</v>
      </c>
      <c r="BH327" s="2030">
        <f t="shared" si="191"/>
        <v>0</v>
      </c>
      <c r="BI327" s="2030">
        <f t="shared" si="203"/>
        <v>0</v>
      </c>
      <c r="BJ327" s="2030">
        <f t="shared" si="203"/>
        <v>0</v>
      </c>
      <c r="BK327" s="2030">
        <f t="shared" si="203"/>
        <v>0</v>
      </c>
      <c r="BL327" s="2030">
        <f t="shared" si="192"/>
        <v>0</v>
      </c>
      <c r="BM327" s="2125"/>
      <c r="BN327" s="2125"/>
      <c r="BO327" s="2125"/>
      <c r="BP327" s="2125"/>
      <c r="BQ327" s="2125"/>
      <c r="BR327" s="2125"/>
      <c r="BS327" s="2125"/>
      <c r="BT327" s="2125"/>
      <c r="BU327" s="2029"/>
      <c r="BV327" s="2029"/>
      <c r="BW327" s="2029"/>
      <c r="BX327" s="2029"/>
      <c r="BY327" s="2029"/>
      <c r="BZ327" s="2032"/>
      <c r="CA327" s="1974">
        <f t="shared" si="209"/>
        <v>76703</v>
      </c>
      <c r="CB327" s="1974">
        <f t="shared" si="209"/>
        <v>0</v>
      </c>
      <c r="CC327" s="1974">
        <f t="shared" si="209"/>
        <v>0</v>
      </c>
      <c r="CD327" s="1974">
        <f t="shared" si="209"/>
        <v>0</v>
      </c>
      <c r="CE327" s="1974">
        <f t="shared" si="209"/>
        <v>0</v>
      </c>
      <c r="CF327" s="2033">
        <v>0</v>
      </c>
      <c r="CG327" s="2026">
        <v>0</v>
      </c>
      <c r="CH327" s="2009">
        <f t="shared" si="209"/>
        <v>0</v>
      </c>
      <c r="CI327" s="2031">
        <f t="shared" si="209"/>
        <v>0</v>
      </c>
      <c r="CJ327" s="1974">
        <f t="shared" si="209"/>
        <v>0</v>
      </c>
      <c r="CK327" s="2031">
        <f t="shared" si="209"/>
        <v>0</v>
      </c>
      <c r="CL327" s="2026">
        <v>1</v>
      </c>
      <c r="CM327" s="2026">
        <v>1</v>
      </c>
      <c r="CN327" s="2026">
        <v>1</v>
      </c>
      <c r="CO327" s="2026">
        <v>1</v>
      </c>
      <c r="CP327" s="2035"/>
      <c r="CQ327" s="2036"/>
      <c r="CR327" s="2036"/>
      <c r="CS327" s="2036"/>
      <c r="CT327" s="2036"/>
      <c r="CU327" s="2036"/>
      <c r="CW327" s="1973">
        <v>0</v>
      </c>
      <c r="CX327" s="2037">
        <v>600</v>
      </c>
      <c r="CY327" s="2037">
        <v>600</v>
      </c>
      <c r="CZ327" s="2037">
        <v>600</v>
      </c>
      <c r="DA327" s="2037">
        <v>600</v>
      </c>
      <c r="DJ327" s="1976">
        <v>600</v>
      </c>
      <c r="DK327" s="1973">
        <v>600</v>
      </c>
      <c r="DL327" s="1973">
        <v>600</v>
      </c>
      <c r="DM327" s="1973">
        <v>600</v>
      </c>
      <c r="DO327" s="1974">
        <v>12</v>
      </c>
      <c r="DP327" s="1974">
        <v>16929.41</v>
      </c>
      <c r="DQ327" s="1974">
        <v>2.94</v>
      </c>
      <c r="DR327" s="1974">
        <v>0</v>
      </c>
      <c r="DS327" s="2124">
        <v>600</v>
      </c>
      <c r="DT327" s="2029">
        <v>600</v>
      </c>
      <c r="DU327" s="2029">
        <v>600</v>
      </c>
      <c r="DV327" s="2029">
        <v>600</v>
      </c>
      <c r="DW327" s="2124">
        <v>0</v>
      </c>
      <c r="DX327" s="2029">
        <v>0</v>
      </c>
      <c r="DY327" s="2029">
        <v>0</v>
      </c>
      <c r="DZ327" s="2029">
        <v>0</v>
      </c>
      <c r="EA327" s="2124">
        <v>2490</v>
      </c>
      <c r="EB327" s="2029">
        <v>2490</v>
      </c>
      <c r="EC327" s="2029">
        <v>2490</v>
      </c>
      <c r="ED327" s="2029">
        <v>2490</v>
      </c>
      <c r="EE327" s="2039">
        <f t="shared" ref="EE327:EH390" si="213">C327-DO327</f>
        <v>0</v>
      </c>
      <c r="EF327" s="2039">
        <f t="shared" si="213"/>
        <v>0</v>
      </c>
      <c r="EG327" s="2039">
        <f t="shared" si="213"/>
        <v>0</v>
      </c>
      <c r="EH327" s="2039">
        <f t="shared" si="213"/>
        <v>0</v>
      </c>
      <c r="EI327" s="2040">
        <f t="shared" si="190"/>
        <v>0</v>
      </c>
      <c r="EJ327" s="2040">
        <f t="shared" si="190"/>
        <v>0</v>
      </c>
      <c r="EK327" s="2040">
        <f t="shared" si="190"/>
        <v>0</v>
      </c>
      <c r="EL327" s="2040">
        <f t="shared" si="189"/>
        <v>0</v>
      </c>
      <c r="EM327" s="2040">
        <f t="shared" si="189"/>
        <v>0</v>
      </c>
      <c r="EN327" s="2040">
        <f t="shared" si="189"/>
        <v>0</v>
      </c>
      <c r="EO327" s="2040">
        <f t="shared" si="189"/>
        <v>0</v>
      </c>
      <c r="EP327" s="2040">
        <f t="shared" si="189"/>
        <v>0</v>
      </c>
      <c r="EQ327" s="2040">
        <f t="shared" si="189"/>
        <v>0</v>
      </c>
      <c r="ER327" s="2040">
        <f t="shared" si="185"/>
        <v>0</v>
      </c>
      <c r="ES327" s="2040">
        <f t="shared" si="185"/>
        <v>0</v>
      </c>
      <c r="ET327" s="2040">
        <f t="shared" si="185"/>
        <v>0</v>
      </c>
      <c r="EU327" s="2039">
        <f t="shared" ref="EU327:EU390" si="214">SUM(EE327:ET327)</f>
        <v>0</v>
      </c>
      <c r="EV327" s="2039">
        <f t="shared" ref="EV327:EV390" si="215">SUM(EE327:EH327)</f>
        <v>0</v>
      </c>
    </row>
    <row r="328" spans="1:152" x14ac:dyDescent="0.25">
      <c r="A328" s="2088" t="s">
        <v>233</v>
      </c>
      <c r="B328" s="2093" t="str">
        <f t="shared" si="193"/>
        <v>BPCK3</v>
      </c>
      <c r="C328" s="1974">
        <f t="shared" si="204"/>
        <v>12</v>
      </c>
      <c r="D328" s="1974">
        <f t="shared" si="204"/>
        <v>25206.89</v>
      </c>
      <c r="E328" s="1974">
        <f t="shared" si="204"/>
        <v>4.38</v>
      </c>
      <c r="F328" s="1974">
        <f t="shared" si="174"/>
        <v>0</v>
      </c>
      <c r="G328" s="1974" t="s">
        <v>2997</v>
      </c>
      <c r="H328" s="1974" t="s">
        <v>2997</v>
      </c>
      <c r="I328" s="2026">
        <v>0.96199999999999997</v>
      </c>
      <c r="J328" s="2026">
        <v>0.96199999999999997</v>
      </c>
      <c r="K328" s="2026">
        <v>0.96199999999999997</v>
      </c>
      <c r="L328" s="2026">
        <v>0.96199999999999997</v>
      </c>
      <c r="M328" s="2027">
        <f t="shared" si="205"/>
        <v>24249.028179999998</v>
      </c>
      <c r="N328" s="2027">
        <f t="shared" si="205"/>
        <v>24249.028179999998</v>
      </c>
      <c r="O328" s="2027">
        <f t="shared" si="205"/>
        <v>24249.028179999998</v>
      </c>
      <c r="P328" s="2027">
        <f t="shared" si="194"/>
        <v>24249.028179999998</v>
      </c>
      <c r="Q328" s="2026">
        <v>0.96199999999999997</v>
      </c>
      <c r="R328" s="2026">
        <v>0.96199999999999997</v>
      </c>
      <c r="S328" s="2026">
        <v>0.96199999999999997</v>
      </c>
      <c r="T328" s="2026">
        <v>0.96199999999999997</v>
      </c>
      <c r="U328" s="2028">
        <f t="shared" si="206"/>
        <v>4.2135599999999993</v>
      </c>
      <c r="V328" s="2028">
        <f t="shared" si="206"/>
        <v>4.2135599999999993</v>
      </c>
      <c r="W328" s="2028">
        <f t="shared" si="206"/>
        <v>4.2135599999999993</v>
      </c>
      <c r="X328" s="2028">
        <f t="shared" si="195"/>
        <v>4.2135599999999993</v>
      </c>
      <c r="Y328" s="2026">
        <v>0.96199999999999997</v>
      </c>
      <c r="Z328" s="2026">
        <v>0.96199999999999997</v>
      </c>
      <c r="AA328" s="2026">
        <v>0.96199999999999997</v>
      </c>
      <c r="AB328" s="2026">
        <v>0.96199999999999997</v>
      </c>
      <c r="AC328" s="2027">
        <f t="shared" si="207"/>
        <v>0</v>
      </c>
      <c r="AD328" s="2027">
        <f t="shared" si="207"/>
        <v>0</v>
      </c>
      <c r="AE328" s="2027">
        <f t="shared" si="207"/>
        <v>0</v>
      </c>
      <c r="AF328" s="2027">
        <f t="shared" si="196"/>
        <v>0</v>
      </c>
      <c r="AG328" s="2027">
        <v>0</v>
      </c>
      <c r="AH328" s="2028"/>
      <c r="AI328" s="2028"/>
      <c r="AJ328" s="2028"/>
      <c r="AK328" s="2027">
        <f t="shared" si="197"/>
        <v>0</v>
      </c>
      <c r="AL328" s="2027">
        <f t="shared" si="198"/>
        <v>0</v>
      </c>
      <c r="AM328" s="2027">
        <f t="shared" si="198"/>
        <v>0</v>
      </c>
      <c r="AN328" s="2027">
        <f t="shared" si="198"/>
        <v>0</v>
      </c>
      <c r="AO328" s="2027">
        <f t="shared" si="208"/>
        <v>0</v>
      </c>
      <c r="AP328" s="2027">
        <f t="shared" si="199"/>
        <v>0</v>
      </c>
      <c r="AQ328" s="2027">
        <f t="shared" si="199"/>
        <v>0</v>
      </c>
      <c r="AR328" s="2027">
        <f t="shared" si="199"/>
        <v>0</v>
      </c>
      <c r="AS328" s="2124">
        <f t="shared" si="212"/>
        <v>675</v>
      </c>
      <c r="AT328" s="2029">
        <f t="shared" si="200"/>
        <v>675</v>
      </c>
      <c r="AU328" s="2029">
        <f t="shared" si="200"/>
        <v>675</v>
      </c>
      <c r="AV328" s="2029">
        <f t="shared" si="200"/>
        <v>675</v>
      </c>
      <c r="AW328" s="2124">
        <f t="shared" si="201"/>
        <v>0</v>
      </c>
      <c r="AX328" s="2029">
        <f t="shared" si="171"/>
        <v>0</v>
      </c>
      <c r="AY328" s="2029">
        <f t="shared" si="171"/>
        <v>0</v>
      </c>
      <c r="AZ328" s="2029">
        <f t="shared" si="171"/>
        <v>0</v>
      </c>
      <c r="BA328" s="2124">
        <f t="shared" si="210"/>
        <v>2490</v>
      </c>
      <c r="BB328" s="2029">
        <f t="shared" si="210"/>
        <v>2490</v>
      </c>
      <c r="BC328" s="2029">
        <f t="shared" si="210"/>
        <v>2490</v>
      </c>
      <c r="BD328" s="2029">
        <f t="shared" si="210"/>
        <v>2490</v>
      </c>
      <c r="BE328" s="2030">
        <f t="shared" si="202"/>
        <v>0</v>
      </c>
      <c r="BF328" s="2030">
        <f t="shared" si="202"/>
        <v>0</v>
      </c>
      <c r="BG328" s="2030">
        <f t="shared" si="202"/>
        <v>0</v>
      </c>
      <c r="BH328" s="2030">
        <f t="shared" si="191"/>
        <v>0</v>
      </c>
      <c r="BI328" s="2030">
        <f t="shared" si="203"/>
        <v>0</v>
      </c>
      <c r="BJ328" s="2030">
        <f t="shared" si="203"/>
        <v>0</v>
      </c>
      <c r="BK328" s="2030">
        <f t="shared" si="203"/>
        <v>0</v>
      </c>
      <c r="BL328" s="2030">
        <f t="shared" si="192"/>
        <v>0</v>
      </c>
      <c r="BM328" s="2125"/>
      <c r="BN328" s="2125"/>
      <c r="BO328" s="2125"/>
      <c r="BP328" s="2125"/>
      <c r="BQ328" s="2125"/>
      <c r="BR328" s="2125"/>
      <c r="BS328" s="2125"/>
      <c r="BT328" s="2125"/>
      <c r="BU328" s="2029"/>
      <c r="BV328" s="2029"/>
      <c r="BW328" s="2029"/>
      <c r="BX328" s="2029"/>
      <c r="BY328" s="2029"/>
      <c r="BZ328" s="2032"/>
      <c r="CA328" s="1974">
        <f t="shared" si="209"/>
        <v>76703</v>
      </c>
      <c r="CB328" s="1974">
        <f t="shared" si="209"/>
        <v>0</v>
      </c>
      <c r="CC328" s="1974">
        <f t="shared" si="209"/>
        <v>0</v>
      </c>
      <c r="CD328" s="1974">
        <f t="shared" si="209"/>
        <v>0</v>
      </c>
      <c r="CE328" s="1974">
        <f t="shared" si="209"/>
        <v>0</v>
      </c>
      <c r="CF328" s="2033">
        <v>0</v>
      </c>
      <c r="CG328" s="2026">
        <v>0</v>
      </c>
      <c r="CH328" s="2009">
        <f t="shared" si="209"/>
        <v>0</v>
      </c>
      <c r="CI328" s="2031">
        <f t="shared" si="209"/>
        <v>0</v>
      </c>
      <c r="CJ328" s="1974">
        <f t="shared" si="209"/>
        <v>0</v>
      </c>
      <c r="CK328" s="2031">
        <f t="shared" si="209"/>
        <v>0</v>
      </c>
      <c r="CL328" s="2026">
        <v>1</v>
      </c>
      <c r="CM328" s="2026">
        <v>1</v>
      </c>
      <c r="CN328" s="2026">
        <v>1</v>
      </c>
      <c r="CO328" s="2026">
        <v>1</v>
      </c>
      <c r="CP328" s="2035"/>
      <c r="CQ328" s="2036"/>
      <c r="CR328" s="2036"/>
      <c r="CS328" s="2036"/>
      <c r="CT328" s="2036"/>
      <c r="CU328" s="2036"/>
      <c r="CW328" s="1973">
        <v>0</v>
      </c>
      <c r="CX328" s="2037">
        <v>675</v>
      </c>
      <c r="CY328" s="2037">
        <v>675</v>
      </c>
      <c r="CZ328" s="2037">
        <v>675</v>
      </c>
      <c r="DA328" s="2037">
        <v>675</v>
      </c>
      <c r="DJ328" s="1976">
        <v>675</v>
      </c>
      <c r="DK328" s="1973">
        <v>675</v>
      </c>
      <c r="DL328" s="1973">
        <v>675</v>
      </c>
      <c r="DM328" s="1973">
        <v>675</v>
      </c>
      <c r="DO328" s="1974">
        <v>12</v>
      </c>
      <c r="DP328" s="1974">
        <v>25206.89</v>
      </c>
      <c r="DQ328" s="1974">
        <v>4.38</v>
      </c>
      <c r="DR328" s="1974">
        <v>0</v>
      </c>
      <c r="DS328" s="2124">
        <v>675</v>
      </c>
      <c r="DT328" s="2029">
        <v>675</v>
      </c>
      <c r="DU328" s="2029">
        <v>675</v>
      </c>
      <c r="DV328" s="2029">
        <v>675</v>
      </c>
      <c r="DW328" s="2124">
        <v>0</v>
      </c>
      <c r="DX328" s="2029">
        <v>0</v>
      </c>
      <c r="DY328" s="2029">
        <v>0</v>
      </c>
      <c r="DZ328" s="2029">
        <v>0</v>
      </c>
      <c r="EA328" s="2124">
        <v>2490</v>
      </c>
      <c r="EB328" s="2029">
        <v>2490</v>
      </c>
      <c r="EC328" s="2029">
        <v>2490</v>
      </c>
      <c r="ED328" s="2029">
        <v>2490</v>
      </c>
      <c r="EE328" s="2039">
        <f t="shared" si="213"/>
        <v>0</v>
      </c>
      <c r="EF328" s="2039">
        <f t="shared" si="213"/>
        <v>0</v>
      </c>
      <c r="EG328" s="2039">
        <f t="shared" si="213"/>
        <v>0</v>
      </c>
      <c r="EH328" s="2039">
        <f t="shared" si="213"/>
        <v>0</v>
      </c>
      <c r="EI328" s="2040">
        <f t="shared" si="190"/>
        <v>0</v>
      </c>
      <c r="EJ328" s="2040">
        <f t="shared" si="190"/>
        <v>0</v>
      </c>
      <c r="EK328" s="2040">
        <f t="shared" si="190"/>
        <v>0</v>
      </c>
      <c r="EL328" s="2040">
        <f t="shared" si="189"/>
        <v>0</v>
      </c>
      <c r="EM328" s="2040">
        <f t="shared" si="189"/>
        <v>0</v>
      </c>
      <c r="EN328" s="2040">
        <f t="shared" si="189"/>
        <v>0</v>
      </c>
      <c r="EO328" s="2040">
        <f t="shared" si="189"/>
        <v>0</v>
      </c>
      <c r="EP328" s="2040">
        <f t="shared" si="189"/>
        <v>0</v>
      </c>
      <c r="EQ328" s="2040">
        <f t="shared" si="189"/>
        <v>0</v>
      </c>
      <c r="ER328" s="2040">
        <f t="shared" si="185"/>
        <v>0</v>
      </c>
      <c r="ES328" s="2040">
        <f t="shared" si="185"/>
        <v>0</v>
      </c>
      <c r="ET328" s="2040">
        <f t="shared" si="185"/>
        <v>0</v>
      </c>
      <c r="EU328" s="2039">
        <f t="shared" si="214"/>
        <v>0</v>
      </c>
      <c r="EV328" s="2039">
        <f t="shared" si="215"/>
        <v>0</v>
      </c>
    </row>
    <row r="329" spans="1:152" x14ac:dyDescent="0.25">
      <c r="A329" s="2088" t="s">
        <v>234</v>
      </c>
      <c r="B329" s="2093" t="str">
        <f t="shared" si="193"/>
        <v>BPCK4</v>
      </c>
      <c r="C329" s="1974">
        <f t="shared" si="204"/>
        <v>12</v>
      </c>
      <c r="D329" s="1974">
        <f t="shared" si="204"/>
        <v>26089.03</v>
      </c>
      <c r="E329" s="1974">
        <f t="shared" si="204"/>
        <v>4.54</v>
      </c>
      <c r="F329" s="1974">
        <f t="shared" si="174"/>
        <v>0</v>
      </c>
      <c r="G329" s="1974" t="s">
        <v>2997</v>
      </c>
      <c r="H329" s="1974" t="s">
        <v>2997</v>
      </c>
      <c r="I329" s="2026">
        <v>0.96199999999999997</v>
      </c>
      <c r="J329" s="2026">
        <v>0.96199999999999997</v>
      </c>
      <c r="K329" s="2026">
        <v>0.96199999999999997</v>
      </c>
      <c r="L329" s="2026">
        <v>0.96199999999999997</v>
      </c>
      <c r="M329" s="2027">
        <f t="shared" si="205"/>
        <v>25097.646859999997</v>
      </c>
      <c r="N329" s="2027">
        <f t="shared" si="205"/>
        <v>25097.646859999997</v>
      </c>
      <c r="O329" s="2027">
        <f t="shared" si="205"/>
        <v>25097.646859999997</v>
      </c>
      <c r="P329" s="2027">
        <f t="shared" si="194"/>
        <v>25097.646859999997</v>
      </c>
      <c r="Q329" s="2026">
        <v>0.96199999999999997</v>
      </c>
      <c r="R329" s="2026">
        <v>0.96199999999999997</v>
      </c>
      <c r="S329" s="2026">
        <v>0.96199999999999997</v>
      </c>
      <c r="T329" s="2026">
        <v>0.96199999999999997</v>
      </c>
      <c r="U329" s="2028">
        <f t="shared" si="206"/>
        <v>4.3674799999999996</v>
      </c>
      <c r="V329" s="2028">
        <f t="shared" si="206"/>
        <v>4.3674799999999996</v>
      </c>
      <c r="W329" s="2028">
        <f t="shared" si="206"/>
        <v>4.3674799999999996</v>
      </c>
      <c r="X329" s="2028">
        <f t="shared" si="195"/>
        <v>4.3674799999999996</v>
      </c>
      <c r="Y329" s="2026">
        <v>0.96199999999999997</v>
      </c>
      <c r="Z329" s="2026">
        <v>0.96199999999999997</v>
      </c>
      <c r="AA329" s="2026">
        <v>0.96199999999999997</v>
      </c>
      <c r="AB329" s="2026">
        <v>0.96199999999999997</v>
      </c>
      <c r="AC329" s="2027">
        <f t="shared" si="207"/>
        <v>0</v>
      </c>
      <c r="AD329" s="2027">
        <f t="shared" si="207"/>
        <v>0</v>
      </c>
      <c r="AE329" s="2027">
        <f t="shared" si="207"/>
        <v>0</v>
      </c>
      <c r="AF329" s="2027">
        <f t="shared" si="196"/>
        <v>0</v>
      </c>
      <c r="AG329" s="2027">
        <v>0</v>
      </c>
      <c r="AH329" s="2028"/>
      <c r="AI329" s="2028"/>
      <c r="AJ329" s="2028"/>
      <c r="AK329" s="2027">
        <f t="shared" si="197"/>
        <v>0</v>
      </c>
      <c r="AL329" s="2027">
        <f t="shared" si="198"/>
        <v>0</v>
      </c>
      <c r="AM329" s="2027">
        <f t="shared" si="198"/>
        <v>0</v>
      </c>
      <c r="AN329" s="2027">
        <f t="shared" si="198"/>
        <v>0</v>
      </c>
      <c r="AO329" s="2027">
        <f t="shared" si="208"/>
        <v>0</v>
      </c>
      <c r="AP329" s="2027">
        <f t="shared" si="199"/>
        <v>0</v>
      </c>
      <c r="AQ329" s="2027">
        <f t="shared" si="199"/>
        <v>0</v>
      </c>
      <c r="AR329" s="2027">
        <f t="shared" si="199"/>
        <v>0</v>
      </c>
      <c r="AS329" s="2124">
        <f t="shared" si="212"/>
        <v>750</v>
      </c>
      <c r="AT329" s="2029">
        <f t="shared" si="200"/>
        <v>750</v>
      </c>
      <c r="AU329" s="2029">
        <f t="shared" si="200"/>
        <v>750</v>
      </c>
      <c r="AV329" s="2029">
        <f t="shared" si="200"/>
        <v>750</v>
      </c>
      <c r="AW329" s="2124">
        <f t="shared" si="201"/>
        <v>0</v>
      </c>
      <c r="AX329" s="2029">
        <f t="shared" si="171"/>
        <v>0</v>
      </c>
      <c r="AY329" s="2029">
        <f t="shared" si="171"/>
        <v>0</v>
      </c>
      <c r="AZ329" s="2029">
        <f t="shared" si="171"/>
        <v>0</v>
      </c>
      <c r="BA329" s="2124">
        <f t="shared" si="210"/>
        <v>2490</v>
      </c>
      <c r="BB329" s="2029">
        <f t="shared" si="210"/>
        <v>2490</v>
      </c>
      <c r="BC329" s="2029">
        <f t="shared" si="210"/>
        <v>2490</v>
      </c>
      <c r="BD329" s="2029">
        <f t="shared" si="210"/>
        <v>2490</v>
      </c>
      <c r="BE329" s="2030">
        <f t="shared" si="202"/>
        <v>0</v>
      </c>
      <c r="BF329" s="2030">
        <f t="shared" si="202"/>
        <v>0</v>
      </c>
      <c r="BG329" s="2030">
        <f t="shared" si="202"/>
        <v>0</v>
      </c>
      <c r="BH329" s="2030">
        <f t="shared" si="191"/>
        <v>0</v>
      </c>
      <c r="BI329" s="2030">
        <f t="shared" si="203"/>
        <v>0</v>
      </c>
      <c r="BJ329" s="2030">
        <f t="shared" si="203"/>
        <v>0</v>
      </c>
      <c r="BK329" s="2030">
        <f t="shared" si="203"/>
        <v>0</v>
      </c>
      <c r="BL329" s="2030">
        <f t="shared" si="192"/>
        <v>0</v>
      </c>
      <c r="BM329" s="2125"/>
      <c r="BN329" s="2125"/>
      <c r="BO329" s="2125"/>
      <c r="BP329" s="2125"/>
      <c r="BQ329" s="2125"/>
      <c r="BR329" s="2125"/>
      <c r="BS329" s="2125"/>
      <c r="BT329" s="2125"/>
      <c r="BU329" s="2029"/>
      <c r="BV329" s="2029"/>
      <c r="BW329" s="2029"/>
      <c r="BX329" s="2029"/>
      <c r="BY329" s="2029"/>
      <c r="BZ329" s="2032"/>
      <c r="CA329" s="1974">
        <f t="shared" si="209"/>
        <v>76703</v>
      </c>
      <c r="CB329" s="1974">
        <f t="shared" si="209"/>
        <v>0</v>
      </c>
      <c r="CC329" s="1974">
        <f t="shared" si="209"/>
        <v>0</v>
      </c>
      <c r="CD329" s="1974">
        <f t="shared" si="209"/>
        <v>0</v>
      </c>
      <c r="CE329" s="1974">
        <f t="shared" si="209"/>
        <v>0</v>
      </c>
      <c r="CF329" s="2033">
        <v>0</v>
      </c>
      <c r="CG329" s="2026">
        <v>0</v>
      </c>
      <c r="CH329" s="2009">
        <f t="shared" si="209"/>
        <v>0</v>
      </c>
      <c r="CI329" s="2031">
        <f t="shared" si="209"/>
        <v>0</v>
      </c>
      <c r="CJ329" s="1974">
        <f t="shared" si="209"/>
        <v>0</v>
      </c>
      <c r="CK329" s="2031">
        <f t="shared" si="209"/>
        <v>0</v>
      </c>
      <c r="CL329" s="2026">
        <v>1</v>
      </c>
      <c r="CM329" s="2026">
        <v>1</v>
      </c>
      <c r="CN329" s="2026">
        <v>1</v>
      </c>
      <c r="CO329" s="2026">
        <v>1</v>
      </c>
      <c r="CP329" s="2035"/>
      <c r="CQ329" s="2036"/>
      <c r="CR329" s="2036"/>
      <c r="CS329" s="2036"/>
      <c r="CT329" s="2036"/>
      <c r="CU329" s="2036"/>
      <c r="CW329" s="1973">
        <v>0</v>
      </c>
      <c r="CX329" s="2037">
        <v>750</v>
      </c>
      <c r="CY329" s="2037">
        <v>750</v>
      </c>
      <c r="CZ329" s="2037">
        <v>750</v>
      </c>
      <c r="DA329" s="2037">
        <v>750</v>
      </c>
      <c r="DJ329" s="1976">
        <v>750</v>
      </c>
      <c r="DK329" s="1973">
        <v>750</v>
      </c>
      <c r="DL329" s="1973">
        <v>750</v>
      </c>
      <c r="DM329" s="1973">
        <v>750</v>
      </c>
      <c r="DO329" s="1974">
        <v>12</v>
      </c>
      <c r="DP329" s="1974">
        <v>26089.03</v>
      </c>
      <c r="DQ329" s="1974">
        <v>4.54</v>
      </c>
      <c r="DR329" s="1974">
        <v>0</v>
      </c>
      <c r="DS329" s="2124">
        <v>750</v>
      </c>
      <c r="DT329" s="2029">
        <v>750</v>
      </c>
      <c r="DU329" s="2029">
        <v>750</v>
      </c>
      <c r="DV329" s="2029">
        <v>750</v>
      </c>
      <c r="DW329" s="2124">
        <v>0</v>
      </c>
      <c r="DX329" s="2029">
        <v>0</v>
      </c>
      <c r="DY329" s="2029">
        <v>0</v>
      </c>
      <c r="DZ329" s="2029">
        <v>0</v>
      </c>
      <c r="EA329" s="2124">
        <v>2490</v>
      </c>
      <c r="EB329" s="2029">
        <v>2490</v>
      </c>
      <c r="EC329" s="2029">
        <v>2490</v>
      </c>
      <c r="ED329" s="2029">
        <v>2490</v>
      </c>
      <c r="EE329" s="2039">
        <f t="shared" si="213"/>
        <v>0</v>
      </c>
      <c r="EF329" s="2039">
        <f t="shared" si="213"/>
        <v>0</v>
      </c>
      <c r="EG329" s="2039">
        <f t="shared" si="213"/>
        <v>0</v>
      </c>
      <c r="EH329" s="2039">
        <f t="shared" si="213"/>
        <v>0</v>
      </c>
      <c r="EI329" s="2040">
        <f t="shared" si="190"/>
        <v>0</v>
      </c>
      <c r="EJ329" s="2040">
        <f t="shared" si="190"/>
        <v>0</v>
      </c>
      <c r="EK329" s="2040">
        <f t="shared" si="190"/>
        <v>0</v>
      </c>
      <c r="EL329" s="2040">
        <f t="shared" si="189"/>
        <v>0</v>
      </c>
      <c r="EM329" s="2040">
        <f t="shared" si="189"/>
        <v>0</v>
      </c>
      <c r="EN329" s="2040">
        <f t="shared" si="189"/>
        <v>0</v>
      </c>
      <c r="EO329" s="2040">
        <f t="shared" si="189"/>
        <v>0</v>
      </c>
      <c r="EP329" s="2040">
        <f t="shared" si="189"/>
        <v>0</v>
      </c>
      <c r="EQ329" s="2040">
        <f t="shared" si="189"/>
        <v>0</v>
      </c>
      <c r="ER329" s="2040">
        <f t="shared" si="185"/>
        <v>0</v>
      </c>
      <c r="ES329" s="2040">
        <f t="shared" si="185"/>
        <v>0</v>
      </c>
      <c r="ET329" s="2040">
        <f t="shared" si="185"/>
        <v>0</v>
      </c>
      <c r="EU329" s="2039">
        <f t="shared" si="214"/>
        <v>0</v>
      </c>
      <c r="EV329" s="2039">
        <f t="shared" si="215"/>
        <v>0</v>
      </c>
    </row>
    <row r="330" spans="1:152" x14ac:dyDescent="0.25">
      <c r="A330" s="2088" t="s">
        <v>131</v>
      </c>
      <c r="B330" s="2093" t="str">
        <f t="shared" si="193"/>
        <v>BPCK5</v>
      </c>
      <c r="C330" s="1974">
        <f t="shared" si="204"/>
        <v>12</v>
      </c>
      <c r="D330" s="1974">
        <f t="shared" si="204"/>
        <v>2628</v>
      </c>
      <c r="E330" s="1974">
        <f t="shared" si="204"/>
        <v>1.2</v>
      </c>
      <c r="F330" s="1974">
        <f t="shared" si="174"/>
        <v>0</v>
      </c>
      <c r="G330" s="1974" t="s">
        <v>2997</v>
      </c>
      <c r="H330" s="1974" t="s">
        <v>2997</v>
      </c>
      <c r="I330" s="2026">
        <v>0.96199999999999997</v>
      </c>
      <c r="J330" s="2026">
        <v>0.96199999999999997</v>
      </c>
      <c r="K330" s="2026">
        <v>0.96199999999999997</v>
      </c>
      <c r="L330" s="2026">
        <v>0.96199999999999997</v>
      </c>
      <c r="M330" s="2027">
        <f t="shared" si="205"/>
        <v>2528.136</v>
      </c>
      <c r="N330" s="2027">
        <f t="shared" si="205"/>
        <v>2528.136</v>
      </c>
      <c r="O330" s="2027">
        <f t="shared" si="205"/>
        <v>2528.136</v>
      </c>
      <c r="P330" s="2027">
        <f t="shared" si="194"/>
        <v>2528.136</v>
      </c>
      <c r="Q330" s="2026">
        <v>0.96199999999999997</v>
      </c>
      <c r="R330" s="2026">
        <v>0.96199999999999997</v>
      </c>
      <c r="S330" s="2026">
        <v>0.96199999999999997</v>
      </c>
      <c r="T330" s="2026">
        <v>0.96199999999999997</v>
      </c>
      <c r="U330" s="2028">
        <f t="shared" si="206"/>
        <v>1.1543999999999999</v>
      </c>
      <c r="V330" s="2028">
        <f t="shared" si="206"/>
        <v>1.1543999999999999</v>
      </c>
      <c r="W330" s="2028">
        <f t="shared" si="206"/>
        <v>1.1543999999999999</v>
      </c>
      <c r="X330" s="2028">
        <f t="shared" si="195"/>
        <v>1.1543999999999999</v>
      </c>
      <c r="Y330" s="2026">
        <v>0.96199999999999997</v>
      </c>
      <c r="Z330" s="2026">
        <v>0.96199999999999997</v>
      </c>
      <c r="AA330" s="2026">
        <v>0.96199999999999997</v>
      </c>
      <c r="AB330" s="2026">
        <v>0.96199999999999997</v>
      </c>
      <c r="AC330" s="2027">
        <f t="shared" si="207"/>
        <v>0</v>
      </c>
      <c r="AD330" s="2027">
        <f t="shared" si="207"/>
        <v>0</v>
      </c>
      <c r="AE330" s="2027">
        <f t="shared" si="207"/>
        <v>0</v>
      </c>
      <c r="AF330" s="2027">
        <f t="shared" si="196"/>
        <v>0</v>
      </c>
      <c r="AG330" s="2027">
        <v>0</v>
      </c>
      <c r="AH330" s="2028"/>
      <c r="AI330" s="2028"/>
      <c r="AJ330" s="2028"/>
      <c r="AK330" s="2027">
        <f t="shared" si="197"/>
        <v>0</v>
      </c>
      <c r="AL330" s="2027">
        <f t="shared" si="198"/>
        <v>0</v>
      </c>
      <c r="AM330" s="2027">
        <f t="shared" si="198"/>
        <v>0</v>
      </c>
      <c r="AN330" s="2027">
        <f t="shared" si="198"/>
        <v>0</v>
      </c>
      <c r="AO330" s="2027">
        <f t="shared" si="208"/>
        <v>0</v>
      </c>
      <c r="AP330" s="2027">
        <f t="shared" si="199"/>
        <v>0</v>
      </c>
      <c r="AQ330" s="2027">
        <f t="shared" si="199"/>
        <v>0</v>
      </c>
      <c r="AR330" s="2027">
        <f t="shared" si="199"/>
        <v>0</v>
      </c>
      <c r="AS330" s="2124">
        <f t="shared" si="212"/>
        <v>750</v>
      </c>
      <c r="AT330" s="2029">
        <f t="shared" si="200"/>
        <v>750</v>
      </c>
      <c r="AU330" s="2029">
        <f t="shared" si="200"/>
        <v>750</v>
      </c>
      <c r="AV330" s="2029">
        <f t="shared" si="200"/>
        <v>750</v>
      </c>
      <c r="AW330" s="2124">
        <f t="shared" si="201"/>
        <v>0</v>
      </c>
      <c r="AX330" s="2029">
        <f t="shared" ref="AX330:AZ393" si="216">$AW330</f>
        <v>0</v>
      </c>
      <c r="AY330" s="2029">
        <f t="shared" si="216"/>
        <v>0</v>
      </c>
      <c r="AZ330" s="2029">
        <f t="shared" si="216"/>
        <v>0</v>
      </c>
      <c r="BA330" s="2124">
        <f t="shared" si="210"/>
        <v>1500</v>
      </c>
      <c r="BB330" s="2029">
        <f t="shared" si="210"/>
        <v>1500</v>
      </c>
      <c r="BC330" s="2029">
        <f t="shared" si="210"/>
        <v>1500</v>
      </c>
      <c r="BD330" s="2029">
        <f t="shared" si="210"/>
        <v>1500</v>
      </c>
      <c r="BE330" s="2030">
        <f t="shared" si="202"/>
        <v>0</v>
      </c>
      <c r="BF330" s="2030">
        <f t="shared" si="202"/>
        <v>0</v>
      </c>
      <c r="BG330" s="2030">
        <f t="shared" si="202"/>
        <v>0</v>
      </c>
      <c r="BH330" s="2030">
        <f t="shared" si="191"/>
        <v>0</v>
      </c>
      <c r="BI330" s="2030">
        <f t="shared" si="203"/>
        <v>0</v>
      </c>
      <c r="BJ330" s="2030">
        <f t="shared" si="203"/>
        <v>0</v>
      </c>
      <c r="BK330" s="2030">
        <f t="shared" si="203"/>
        <v>0</v>
      </c>
      <c r="BL330" s="2030">
        <f t="shared" si="192"/>
        <v>0</v>
      </c>
      <c r="BM330" s="2125"/>
      <c r="BN330" s="2125"/>
      <c r="BO330" s="2125"/>
      <c r="BP330" s="2125"/>
      <c r="BQ330" s="2125"/>
      <c r="BR330" s="2125"/>
      <c r="BS330" s="2125"/>
      <c r="BT330" s="2125"/>
      <c r="BU330" s="2029"/>
      <c r="BV330" s="2029"/>
      <c r="BW330" s="2029"/>
      <c r="BX330" s="2029"/>
      <c r="BY330" s="2029"/>
      <c r="BZ330" s="2032"/>
      <c r="CA330" s="1974">
        <f t="shared" si="209"/>
        <v>0</v>
      </c>
      <c r="CB330" s="1974">
        <f t="shared" si="209"/>
        <v>0</v>
      </c>
      <c r="CC330" s="1974">
        <f t="shared" si="209"/>
        <v>0</v>
      </c>
      <c r="CD330" s="1974">
        <f t="shared" si="209"/>
        <v>0</v>
      </c>
      <c r="CE330" s="1974">
        <f t="shared" si="209"/>
        <v>0</v>
      </c>
      <c r="CF330" s="2033">
        <v>0</v>
      </c>
      <c r="CG330" s="2026">
        <v>0</v>
      </c>
      <c r="CH330" s="2009">
        <f t="shared" si="209"/>
        <v>0</v>
      </c>
      <c r="CI330" s="2031">
        <f t="shared" si="209"/>
        <v>0</v>
      </c>
      <c r="CJ330" s="1974">
        <f t="shared" si="209"/>
        <v>0</v>
      </c>
      <c r="CK330" s="2031">
        <f t="shared" si="209"/>
        <v>0</v>
      </c>
      <c r="CL330" s="2026">
        <v>1</v>
      </c>
      <c r="CM330" s="2026">
        <v>1</v>
      </c>
      <c r="CN330" s="2026">
        <v>1</v>
      </c>
      <c r="CO330" s="2026">
        <v>1</v>
      </c>
      <c r="CP330" s="2035"/>
      <c r="CQ330" s="2036"/>
      <c r="CR330" s="2036"/>
      <c r="CS330" s="2036"/>
      <c r="CT330" s="2036"/>
      <c r="CU330" s="2036"/>
      <c r="CW330" s="1973">
        <v>0</v>
      </c>
      <c r="CX330" s="2037">
        <v>750</v>
      </c>
      <c r="CY330" s="2037">
        <v>750</v>
      </c>
      <c r="CZ330" s="2037">
        <v>750</v>
      </c>
      <c r="DA330" s="2037">
        <v>750</v>
      </c>
      <c r="DJ330" s="1976">
        <v>750</v>
      </c>
      <c r="DK330" s="1973">
        <v>750</v>
      </c>
      <c r="DL330" s="1973">
        <v>750</v>
      </c>
      <c r="DM330" s="1973">
        <v>750</v>
      </c>
      <c r="DO330" s="1974">
        <v>12</v>
      </c>
      <c r="DP330" s="1974">
        <v>2628</v>
      </c>
      <c r="DQ330" s="1974">
        <v>1.2</v>
      </c>
      <c r="DR330" s="1974">
        <v>0</v>
      </c>
      <c r="DS330" s="2124">
        <v>750</v>
      </c>
      <c r="DT330" s="2029">
        <v>750</v>
      </c>
      <c r="DU330" s="2029">
        <v>750</v>
      </c>
      <c r="DV330" s="2029">
        <v>750</v>
      </c>
      <c r="DW330" s="2124">
        <v>0</v>
      </c>
      <c r="DX330" s="2029">
        <v>0</v>
      </c>
      <c r="DY330" s="2029">
        <v>0</v>
      </c>
      <c r="DZ330" s="2029">
        <v>0</v>
      </c>
      <c r="EA330" s="2124">
        <v>1500</v>
      </c>
      <c r="EB330" s="2029">
        <v>1500</v>
      </c>
      <c r="EC330" s="2029">
        <v>1500</v>
      </c>
      <c r="ED330" s="2029">
        <v>1500</v>
      </c>
      <c r="EE330" s="2039">
        <f t="shared" si="213"/>
        <v>0</v>
      </c>
      <c r="EF330" s="2039">
        <f t="shared" si="213"/>
        <v>0</v>
      </c>
      <c r="EG330" s="2039">
        <f t="shared" si="213"/>
        <v>0</v>
      </c>
      <c r="EH330" s="2039">
        <f t="shared" si="213"/>
        <v>0</v>
      </c>
      <c r="EI330" s="2040">
        <f t="shared" si="190"/>
        <v>0</v>
      </c>
      <c r="EJ330" s="2040">
        <f t="shared" si="190"/>
        <v>0</v>
      </c>
      <c r="EK330" s="2040">
        <f t="shared" si="190"/>
        <v>0</v>
      </c>
      <c r="EL330" s="2040">
        <f t="shared" si="189"/>
        <v>0</v>
      </c>
      <c r="EM330" s="2040">
        <f t="shared" si="189"/>
        <v>0</v>
      </c>
      <c r="EN330" s="2040">
        <f t="shared" si="189"/>
        <v>0</v>
      </c>
      <c r="EO330" s="2040">
        <f t="shared" si="189"/>
        <v>0</v>
      </c>
      <c r="EP330" s="2040">
        <f t="shared" si="189"/>
        <v>0</v>
      </c>
      <c r="EQ330" s="2040">
        <f t="shared" si="189"/>
        <v>0</v>
      </c>
      <c r="ER330" s="2040">
        <f t="shared" si="185"/>
        <v>0</v>
      </c>
      <c r="ES330" s="2040">
        <f t="shared" si="185"/>
        <v>0</v>
      </c>
      <c r="ET330" s="2040">
        <f t="shared" si="185"/>
        <v>0</v>
      </c>
      <c r="EU330" s="2039">
        <f t="shared" si="214"/>
        <v>0</v>
      </c>
      <c r="EV330" s="2039">
        <f t="shared" si="215"/>
        <v>0</v>
      </c>
    </row>
    <row r="331" spans="1:152" x14ac:dyDescent="0.25">
      <c r="A331" s="2088" t="s">
        <v>132</v>
      </c>
      <c r="B331" s="2093" t="str">
        <f t="shared" si="193"/>
        <v>BPCK6</v>
      </c>
      <c r="C331" s="1974">
        <f t="shared" ref="C331:F345" si="217">C87</f>
        <v>12</v>
      </c>
      <c r="D331" s="1974">
        <f t="shared" si="217"/>
        <v>3942</v>
      </c>
      <c r="E331" s="1974">
        <f t="shared" si="217"/>
        <v>1.8</v>
      </c>
      <c r="F331" s="1974">
        <f t="shared" si="217"/>
        <v>0</v>
      </c>
      <c r="G331" s="1974" t="s">
        <v>2997</v>
      </c>
      <c r="H331" s="1974" t="s">
        <v>2997</v>
      </c>
      <c r="I331" s="2026">
        <v>0.96199999999999997</v>
      </c>
      <c r="J331" s="2026">
        <v>0.96199999999999997</v>
      </c>
      <c r="K331" s="2026">
        <v>0.96199999999999997</v>
      </c>
      <c r="L331" s="2026">
        <v>0.96199999999999997</v>
      </c>
      <c r="M331" s="2027">
        <f t="shared" si="205"/>
        <v>3792.2039999999997</v>
      </c>
      <c r="N331" s="2027">
        <f t="shared" si="205"/>
        <v>3792.2039999999997</v>
      </c>
      <c r="O331" s="2027">
        <f t="shared" si="205"/>
        <v>3792.2039999999997</v>
      </c>
      <c r="P331" s="2027">
        <f t="shared" si="194"/>
        <v>3792.2039999999997</v>
      </c>
      <c r="Q331" s="2026">
        <v>0.96199999999999997</v>
      </c>
      <c r="R331" s="2026">
        <v>0.96199999999999997</v>
      </c>
      <c r="S331" s="2026">
        <v>0.96199999999999997</v>
      </c>
      <c r="T331" s="2026">
        <v>0.96199999999999997</v>
      </c>
      <c r="U331" s="2028">
        <f t="shared" si="206"/>
        <v>1.7316</v>
      </c>
      <c r="V331" s="2028">
        <f t="shared" si="206"/>
        <v>1.7316</v>
      </c>
      <c r="W331" s="2028">
        <f t="shared" si="206"/>
        <v>1.7316</v>
      </c>
      <c r="X331" s="2028">
        <f t="shared" si="195"/>
        <v>1.7316</v>
      </c>
      <c r="Y331" s="2026">
        <v>0.96199999999999997</v>
      </c>
      <c r="Z331" s="2026">
        <v>0.96199999999999997</v>
      </c>
      <c r="AA331" s="2026">
        <v>0.96199999999999997</v>
      </c>
      <c r="AB331" s="2026">
        <v>0.96199999999999997</v>
      </c>
      <c r="AC331" s="2027">
        <f t="shared" si="207"/>
        <v>0</v>
      </c>
      <c r="AD331" s="2027">
        <f t="shared" si="207"/>
        <v>0</v>
      </c>
      <c r="AE331" s="2027">
        <f t="shared" si="207"/>
        <v>0</v>
      </c>
      <c r="AF331" s="2027">
        <f t="shared" si="196"/>
        <v>0</v>
      </c>
      <c r="AG331" s="2027">
        <v>0</v>
      </c>
      <c r="AH331" s="2028"/>
      <c r="AI331" s="2028"/>
      <c r="AJ331" s="2028"/>
      <c r="AK331" s="2027">
        <f t="shared" si="197"/>
        <v>0</v>
      </c>
      <c r="AL331" s="2027">
        <f t="shared" si="198"/>
        <v>0</v>
      </c>
      <c r="AM331" s="2027">
        <f t="shared" si="198"/>
        <v>0</v>
      </c>
      <c r="AN331" s="2027">
        <f t="shared" si="198"/>
        <v>0</v>
      </c>
      <c r="AO331" s="2027">
        <f t="shared" si="208"/>
        <v>0</v>
      </c>
      <c r="AP331" s="2027">
        <f t="shared" si="199"/>
        <v>0</v>
      </c>
      <c r="AQ331" s="2027">
        <f t="shared" si="199"/>
        <v>0</v>
      </c>
      <c r="AR331" s="2027">
        <f t="shared" si="199"/>
        <v>0</v>
      </c>
      <c r="AS331" s="2124">
        <f t="shared" si="212"/>
        <v>1125</v>
      </c>
      <c r="AT331" s="2029">
        <f t="shared" si="200"/>
        <v>1125</v>
      </c>
      <c r="AU331" s="2029">
        <f t="shared" si="200"/>
        <v>1125</v>
      </c>
      <c r="AV331" s="2029">
        <f t="shared" si="200"/>
        <v>1125</v>
      </c>
      <c r="AW331" s="2124">
        <f t="shared" si="201"/>
        <v>0</v>
      </c>
      <c r="AX331" s="2029">
        <f t="shared" si="216"/>
        <v>0</v>
      </c>
      <c r="AY331" s="2029">
        <f t="shared" si="216"/>
        <v>0</v>
      </c>
      <c r="AZ331" s="2029">
        <f t="shared" si="216"/>
        <v>0</v>
      </c>
      <c r="BA331" s="2124">
        <f t="shared" si="210"/>
        <v>1800</v>
      </c>
      <c r="BB331" s="2029">
        <f t="shared" si="210"/>
        <v>1800</v>
      </c>
      <c r="BC331" s="2029">
        <f t="shared" si="210"/>
        <v>1800</v>
      </c>
      <c r="BD331" s="2029">
        <f t="shared" si="210"/>
        <v>1800</v>
      </c>
      <c r="BE331" s="2030">
        <f t="shared" si="202"/>
        <v>0</v>
      </c>
      <c r="BF331" s="2030">
        <f t="shared" si="202"/>
        <v>0</v>
      </c>
      <c r="BG331" s="2030">
        <f t="shared" si="202"/>
        <v>0</v>
      </c>
      <c r="BH331" s="2030">
        <f t="shared" si="191"/>
        <v>0</v>
      </c>
      <c r="BI331" s="2030">
        <f t="shared" si="203"/>
        <v>0</v>
      </c>
      <c r="BJ331" s="2030">
        <f t="shared" si="203"/>
        <v>0</v>
      </c>
      <c r="BK331" s="2030">
        <f t="shared" si="203"/>
        <v>0</v>
      </c>
      <c r="BL331" s="2030">
        <f t="shared" si="192"/>
        <v>0</v>
      </c>
      <c r="BM331" s="2125"/>
      <c r="BN331" s="2125"/>
      <c r="BO331" s="2125"/>
      <c r="BP331" s="2125"/>
      <c r="BQ331" s="2125"/>
      <c r="BR331" s="2125"/>
      <c r="BS331" s="2125"/>
      <c r="BT331" s="2125"/>
      <c r="BU331" s="2029"/>
      <c r="BV331" s="2029"/>
      <c r="BW331" s="2029"/>
      <c r="BX331" s="2029"/>
      <c r="BY331" s="2029"/>
      <c r="BZ331" s="2032"/>
      <c r="CA331" s="1974">
        <f t="shared" ref="CA331:CK346" si="218">CA87</f>
        <v>0</v>
      </c>
      <c r="CB331" s="1974">
        <f t="shared" si="218"/>
        <v>0</v>
      </c>
      <c r="CC331" s="1974">
        <f t="shared" si="218"/>
        <v>0</v>
      </c>
      <c r="CD331" s="1974">
        <f t="shared" si="218"/>
        <v>0</v>
      </c>
      <c r="CE331" s="1974">
        <f t="shared" si="218"/>
        <v>0</v>
      </c>
      <c r="CF331" s="2033">
        <v>0</v>
      </c>
      <c r="CG331" s="2026">
        <v>0</v>
      </c>
      <c r="CH331" s="2009">
        <f t="shared" si="218"/>
        <v>0</v>
      </c>
      <c r="CI331" s="2031">
        <f t="shared" si="218"/>
        <v>0</v>
      </c>
      <c r="CJ331" s="1974">
        <f t="shared" si="218"/>
        <v>0</v>
      </c>
      <c r="CK331" s="2031">
        <f t="shared" si="218"/>
        <v>0</v>
      </c>
      <c r="CL331" s="2026">
        <v>1</v>
      </c>
      <c r="CM331" s="2026">
        <v>1</v>
      </c>
      <c r="CN331" s="2026">
        <v>1</v>
      </c>
      <c r="CO331" s="2026">
        <v>1</v>
      </c>
      <c r="CP331" s="2035"/>
      <c r="CQ331" s="2036"/>
      <c r="CR331" s="2036"/>
      <c r="CS331" s="2036"/>
      <c r="CT331" s="2036"/>
      <c r="CU331" s="2036"/>
      <c r="CW331" s="1973">
        <v>0</v>
      </c>
      <c r="CX331" s="2037">
        <v>1125</v>
      </c>
      <c r="CY331" s="2037">
        <v>1125</v>
      </c>
      <c r="CZ331" s="2037">
        <v>1125</v>
      </c>
      <c r="DA331" s="2037">
        <v>1125</v>
      </c>
      <c r="DJ331" s="1976">
        <v>1125</v>
      </c>
      <c r="DK331" s="1973">
        <v>1125</v>
      </c>
      <c r="DL331" s="1973">
        <v>1125</v>
      </c>
      <c r="DM331" s="1973">
        <v>1125</v>
      </c>
      <c r="DO331" s="1974">
        <v>12</v>
      </c>
      <c r="DP331" s="1974">
        <v>3942</v>
      </c>
      <c r="DQ331" s="1974">
        <v>1.8</v>
      </c>
      <c r="DR331" s="1974">
        <v>0</v>
      </c>
      <c r="DS331" s="2124">
        <v>1125</v>
      </c>
      <c r="DT331" s="2029">
        <v>1125</v>
      </c>
      <c r="DU331" s="2029">
        <v>1125</v>
      </c>
      <c r="DV331" s="2029">
        <v>1125</v>
      </c>
      <c r="DW331" s="2124">
        <v>0</v>
      </c>
      <c r="DX331" s="2029">
        <v>0</v>
      </c>
      <c r="DY331" s="2029">
        <v>0</v>
      </c>
      <c r="DZ331" s="2029">
        <v>0</v>
      </c>
      <c r="EA331" s="2124">
        <v>1800</v>
      </c>
      <c r="EB331" s="2029">
        <v>1800</v>
      </c>
      <c r="EC331" s="2029">
        <v>1800</v>
      </c>
      <c r="ED331" s="2029">
        <v>1800</v>
      </c>
      <c r="EE331" s="2039">
        <f t="shared" si="213"/>
        <v>0</v>
      </c>
      <c r="EF331" s="2039">
        <f t="shared" si="213"/>
        <v>0</v>
      </c>
      <c r="EG331" s="2039">
        <f t="shared" si="213"/>
        <v>0</v>
      </c>
      <c r="EH331" s="2039">
        <f t="shared" si="213"/>
        <v>0</v>
      </c>
      <c r="EI331" s="2040">
        <f t="shared" si="190"/>
        <v>0</v>
      </c>
      <c r="EJ331" s="2040">
        <f t="shared" si="190"/>
        <v>0</v>
      </c>
      <c r="EK331" s="2040">
        <f t="shared" si="190"/>
        <v>0</v>
      </c>
      <c r="EL331" s="2040">
        <f t="shared" si="189"/>
        <v>0</v>
      </c>
      <c r="EM331" s="2040">
        <f t="shared" si="189"/>
        <v>0</v>
      </c>
      <c r="EN331" s="2040">
        <f t="shared" si="189"/>
        <v>0</v>
      </c>
      <c r="EO331" s="2040">
        <f t="shared" si="189"/>
        <v>0</v>
      </c>
      <c r="EP331" s="2040">
        <f t="shared" si="189"/>
        <v>0</v>
      </c>
      <c r="EQ331" s="2040">
        <f t="shared" si="189"/>
        <v>0</v>
      </c>
      <c r="ER331" s="2040">
        <f t="shared" si="185"/>
        <v>0</v>
      </c>
      <c r="ES331" s="2040">
        <f t="shared" si="185"/>
        <v>0</v>
      </c>
      <c r="ET331" s="2040">
        <f t="shared" si="185"/>
        <v>0</v>
      </c>
      <c r="EU331" s="2039">
        <f t="shared" si="214"/>
        <v>0</v>
      </c>
      <c r="EV331" s="2039">
        <f t="shared" si="215"/>
        <v>0</v>
      </c>
    </row>
    <row r="332" spans="1:152" x14ac:dyDescent="0.25">
      <c r="A332" s="2088" t="s">
        <v>133</v>
      </c>
      <c r="B332" s="2093" t="str">
        <f t="shared" si="193"/>
        <v>BPCK7</v>
      </c>
      <c r="C332" s="1974">
        <f t="shared" si="217"/>
        <v>12</v>
      </c>
      <c r="D332" s="1974">
        <f t="shared" si="217"/>
        <v>9308</v>
      </c>
      <c r="E332" s="1974">
        <f t="shared" si="217"/>
        <v>4.25</v>
      </c>
      <c r="F332" s="1974">
        <f t="shared" si="217"/>
        <v>0</v>
      </c>
      <c r="G332" s="1974" t="s">
        <v>2997</v>
      </c>
      <c r="H332" s="1974" t="s">
        <v>2997</v>
      </c>
      <c r="I332" s="2026">
        <v>0.96199999999999997</v>
      </c>
      <c r="J332" s="2026">
        <v>0.96199999999999997</v>
      </c>
      <c r="K332" s="2026">
        <v>0.96199999999999997</v>
      </c>
      <c r="L332" s="2026">
        <v>0.96199999999999997</v>
      </c>
      <c r="M332" s="2027">
        <f t="shared" si="205"/>
        <v>8954.2960000000003</v>
      </c>
      <c r="N332" s="2027">
        <f t="shared" si="205"/>
        <v>8954.2960000000003</v>
      </c>
      <c r="O332" s="2027">
        <f t="shared" si="205"/>
        <v>8954.2960000000003</v>
      </c>
      <c r="P332" s="2027">
        <f t="shared" si="194"/>
        <v>8954.2960000000003</v>
      </c>
      <c r="Q332" s="2026">
        <v>0.96199999999999997</v>
      </c>
      <c r="R332" s="2026">
        <v>0.96199999999999997</v>
      </c>
      <c r="S332" s="2026">
        <v>0.96199999999999997</v>
      </c>
      <c r="T332" s="2026">
        <v>0.96199999999999997</v>
      </c>
      <c r="U332" s="2028">
        <f t="shared" si="206"/>
        <v>4.0884999999999998</v>
      </c>
      <c r="V332" s="2028">
        <f t="shared" si="206"/>
        <v>4.0884999999999998</v>
      </c>
      <c r="W332" s="2028">
        <f t="shared" si="206"/>
        <v>4.0884999999999998</v>
      </c>
      <c r="X332" s="2028">
        <f t="shared" si="195"/>
        <v>4.0884999999999998</v>
      </c>
      <c r="Y332" s="2026">
        <v>0.96199999999999997</v>
      </c>
      <c r="Z332" s="2026">
        <v>0.96199999999999997</v>
      </c>
      <c r="AA332" s="2026">
        <v>0.96199999999999997</v>
      </c>
      <c r="AB332" s="2026">
        <v>0.96199999999999997</v>
      </c>
      <c r="AC332" s="2027">
        <f t="shared" si="207"/>
        <v>0</v>
      </c>
      <c r="AD332" s="2027">
        <f t="shared" si="207"/>
        <v>0</v>
      </c>
      <c r="AE332" s="2027">
        <f t="shared" si="207"/>
        <v>0</v>
      </c>
      <c r="AF332" s="2027">
        <f t="shared" si="196"/>
        <v>0</v>
      </c>
      <c r="AG332" s="2027">
        <v>0</v>
      </c>
      <c r="AH332" s="2028"/>
      <c r="AI332" s="2028"/>
      <c r="AJ332" s="2028"/>
      <c r="AK332" s="2027">
        <f t="shared" si="197"/>
        <v>0</v>
      </c>
      <c r="AL332" s="2027">
        <f t="shared" si="198"/>
        <v>0</v>
      </c>
      <c r="AM332" s="2027">
        <f t="shared" si="198"/>
        <v>0</v>
      </c>
      <c r="AN332" s="2027">
        <f t="shared" si="198"/>
        <v>0</v>
      </c>
      <c r="AO332" s="2027">
        <f t="shared" si="208"/>
        <v>0</v>
      </c>
      <c r="AP332" s="2027">
        <f t="shared" si="199"/>
        <v>0</v>
      </c>
      <c r="AQ332" s="2027">
        <f t="shared" si="199"/>
        <v>0</v>
      </c>
      <c r="AR332" s="2027">
        <f t="shared" si="199"/>
        <v>0</v>
      </c>
      <c r="AS332" s="2124">
        <f t="shared" si="212"/>
        <v>1500</v>
      </c>
      <c r="AT332" s="2029">
        <f t="shared" si="200"/>
        <v>1500</v>
      </c>
      <c r="AU332" s="2029">
        <f t="shared" si="200"/>
        <v>1500</v>
      </c>
      <c r="AV332" s="2029">
        <f t="shared" si="200"/>
        <v>1500</v>
      </c>
      <c r="AW332" s="2124">
        <f t="shared" si="201"/>
        <v>0</v>
      </c>
      <c r="AX332" s="2029">
        <f t="shared" si="216"/>
        <v>0</v>
      </c>
      <c r="AY332" s="2029">
        <f t="shared" si="216"/>
        <v>0</v>
      </c>
      <c r="AZ332" s="2029">
        <f t="shared" si="216"/>
        <v>0</v>
      </c>
      <c r="BA332" s="2124">
        <f t="shared" si="210"/>
        <v>1200</v>
      </c>
      <c r="BB332" s="2029">
        <f t="shared" si="210"/>
        <v>1200</v>
      </c>
      <c r="BC332" s="2029">
        <f t="shared" si="210"/>
        <v>1200</v>
      </c>
      <c r="BD332" s="2029">
        <f t="shared" si="210"/>
        <v>1200</v>
      </c>
      <c r="BE332" s="2030">
        <f t="shared" si="202"/>
        <v>0</v>
      </c>
      <c r="BF332" s="2030">
        <f t="shared" si="202"/>
        <v>0</v>
      </c>
      <c r="BG332" s="2030">
        <f t="shared" si="202"/>
        <v>0</v>
      </c>
      <c r="BH332" s="2030">
        <f t="shared" si="191"/>
        <v>0</v>
      </c>
      <c r="BI332" s="2030">
        <f t="shared" si="203"/>
        <v>0</v>
      </c>
      <c r="BJ332" s="2030">
        <f t="shared" si="203"/>
        <v>0</v>
      </c>
      <c r="BK332" s="2030">
        <f t="shared" si="203"/>
        <v>0</v>
      </c>
      <c r="BL332" s="2030">
        <f t="shared" si="192"/>
        <v>0</v>
      </c>
      <c r="BM332" s="2125"/>
      <c r="BN332" s="2125"/>
      <c r="BO332" s="2125"/>
      <c r="BP332" s="2125"/>
      <c r="BQ332" s="2125"/>
      <c r="BR332" s="2125"/>
      <c r="BS332" s="2125"/>
      <c r="BT332" s="2125"/>
      <c r="BU332" s="2029"/>
      <c r="BV332" s="2029"/>
      <c r="BW332" s="2029"/>
      <c r="BX332" s="2029"/>
      <c r="BY332" s="2029"/>
      <c r="BZ332" s="2032"/>
      <c r="CA332" s="1974">
        <f t="shared" si="218"/>
        <v>0</v>
      </c>
      <c r="CB332" s="1974">
        <f t="shared" si="218"/>
        <v>0</v>
      </c>
      <c r="CC332" s="1974">
        <f t="shared" si="218"/>
        <v>0</v>
      </c>
      <c r="CD332" s="1974">
        <f t="shared" si="218"/>
        <v>0</v>
      </c>
      <c r="CE332" s="1974">
        <f t="shared" si="218"/>
        <v>0</v>
      </c>
      <c r="CF332" s="2033">
        <v>0</v>
      </c>
      <c r="CG332" s="2026">
        <v>0</v>
      </c>
      <c r="CH332" s="2009">
        <f t="shared" si="218"/>
        <v>0</v>
      </c>
      <c r="CI332" s="2031">
        <f t="shared" si="218"/>
        <v>0</v>
      </c>
      <c r="CJ332" s="1974">
        <f t="shared" si="218"/>
        <v>0</v>
      </c>
      <c r="CK332" s="2031">
        <f t="shared" si="218"/>
        <v>0</v>
      </c>
      <c r="CL332" s="2026">
        <v>1</v>
      </c>
      <c r="CM332" s="2026">
        <v>1</v>
      </c>
      <c r="CN332" s="2026">
        <v>1</v>
      </c>
      <c r="CO332" s="2026">
        <v>1</v>
      </c>
      <c r="CP332" s="2035"/>
      <c r="CQ332" s="2036"/>
      <c r="CR332" s="2036"/>
      <c r="CS332" s="2036"/>
      <c r="CT332" s="2036"/>
      <c r="CU332" s="2036"/>
      <c r="CW332" s="1973">
        <v>0</v>
      </c>
      <c r="CX332" s="2037">
        <v>1500</v>
      </c>
      <c r="CY332" s="2037">
        <v>1500</v>
      </c>
      <c r="CZ332" s="2037">
        <v>1500</v>
      </c>
      <c r="DA332" s="2037">
        <v>1500</v>
      </c>
      <c r="DJ332" s="1976">
        <v>1500</v>
      </c>
      <c r="DK332" s="1973">
        <v>1500</v>
      </c>
      <c r="DL332" s="1973">
        <v>1500</v>
      </c>
      <c r="DM332" s="1973">
        <v>1500</v>
      </c>
      <c r="DO332" s="1974">
        <v>12</v>
      </c>
      <c r="DP332" s="1974">
        <v>9308</v>
      </c>
      <c r="DQ332" s="1974">
        <v>4.25</v>
      </c>
      <c r="DR332" s="1974">
        <v>0</v>
      </c>
      <c r="DS332" s="2124">
        <v>1500</v>
      </c>
      <c r="DT332" s="2029">
        <v>1500</v>
      </c>
      <c r="DU332" s="2029">
        <v>1500</v>
      </c>
      <c r="DV332" s="2029">
        <v>1500</v>
      </c>
      <c r="DW332" s="2124">
        <v>0</v>
      </c>
      <c r="DX332" s="2029">
        <v>0</v>
      </c>
      <c r="DY332" s="2029">
        <v>0</v>
      </c>
      <c r="DZ332" s="2029">
        <v>0</v>
      </c>
      <c r="EA332" s="2124">
        <v>1200</v>
      </c>
      <c r="EB332" s="2029">
        <v>1200</v>
      </c>
      <c r="EC332" s="2029">
        <v>1200</v>
      </c>
      <c r="ED332" s="2029">
        <v>1200</v>
      </c>
      <c r="EE332" s="2039">
        <f t="shared" si="213"/>
        <v>0</v>
      </c>
      <c r="EF332" s="2039">
        <f t="shared" si="213"/>
        <v>0</v>
      </c>
      <c r="EG332" s="2039">
        <f t="shared" si="213"/>
        <v>0</v>
      </c>
      <c r="EH332" s="2039">
        <f t="shared" si="213"/>
        <v>0</v>
      </c>
      <c r="EI332" s="2040">
        <f t="shared" si="190"/>
        <v>0</v>
      </c>
      <c r="EJ332" s="2040">
        <f t="shared" si="190"/>
        <v>0</v>
      </c>
      <c r="EK332" s="2040">
        <f t="shared" si="190"/>
        <v>0</v>
      </c>
      <c r="EL332" s="2040">
        <f t="shared" si="189"/>
        <v>0</v>
      </c>
      <c r="EM332" s="2040">
        <f t="shared" si="189"/>
        <v>0</v>
      </c>
      <c r="EN332" s="2040">
        <f t="shared" si="189"/>
        <v>0</v>
      </c>
      <c r="EO332" s="2040">
        <f t="shared" si="189"/>
        <v>0</v>
      </c>
      <c r="EP332" s="2040">
        <f t="shared" si="189"/>
        <v>0</v>
      </c>
      <c r="EQ332" s="2040">
        <f t="shared" si="189"/>
        <v>0</v>
      </c>
      <c r="ER332" s="2040">
        <f t="shared" si="185"/>
        <v>0</v>
      </c>
      <c r="ES332" s="2040">
        <f t="shared" si="185"/>
        <v>0</v>
      </c>
      <c r="ET332" s="2040">
        <f t="shared" si="185"/>
        <v>0</v>
      </c>
      <c r="EU332" s="2039">
        <f t="shared" si="214"/>
        <v>0</v>
      </c>
      <c r="EV332" s="2039">
        <f t="shared" si="215"/>
        <v>0</v>
      </c>
    </row>
    <row r="333" spans="1:152" x14ac:dyDescent="0.25">
      <c r="A333" s="2088" t="s">
        <v>134</v>
      </c>
      <c r="B333" s="2093" t="str">
        <f t="shared" si="193"/>
        <v>BPCK8</v>
      </c>
      <c r="C333" s="1974">
        <f t="shared" si="217"/>
        <v>12</v>
      </c>
      <c r="D333" s="1974">
        <f t="shared" si="217"/>
        <v>2597</v>
      </c>
      <c r="E333" s="1974">
        <f t="shared" si="217"/>
        <v>0.22</v>
      </c>
      <c r="F333" s="1974">
        <f t="shared" si="217"/>
        <v>0</v>
      </c>
      <c r="G333" s="1974" t="s">
        <v>2997</v>
      </c>
      <c r="H333" s="1974" t="s">
        <v>2997</v>
      </c>
      <c r="I333" s="2026">
        <v>0.96199999999999997</v>
      </c>
      <c r="J333" s="2026">
        <v>0.96199999999999997</v>
      </c>
      <c r="K333" s="2026">
        <v>0.96199999999999997</v>
      </c>
      <c r="L333" s="2026">
        <v>0.96199999999999997</v>
      </c>
      <c r="M333" s="2027">
        <f t="shared" si="205"/>
        <v>2498.3139999999999</v>
      </c>
      <c r="N333" s="2027">
        <f t="shared" si="205"/>
        <v>2498.3139999999999</v>
      </c>
      <c r="O333" s="2027">
        <f t="shared" si="205"/>
        <v>2498.3139999999999</v>
      </c>
      <c r="P333" s="2027">
        <f t="shared" si="194"/>
        <v>2498.3139999999999</v>
      </c>
      <c r="Q333" s="2026">
        <v>0.96199999999999997</v>
      </c>
      <c r="R333" s="2026">
        <v>0.96199999999999997</v>
      </c>
      <c r="S333" s="2026">
        <v>0.96199999999999997</v>
      </c>
      <c r="T333" s="2026">
        <v>0.96199999999999997</v>
      </c>
      <c r="U333" s="2028">
        <f t="shared" si="206"/>
        <v>0.21163999999999999</v>
      </c>
      <c r="V333" s="2028">
        <f t="shared" si="206"/>
        <v>0.21163999999999999</v>
      </c>
      <c r="W333" s="2028">
        <f t="shared" si="206"/>
        <v>0.21163999999999999</v>
      </c>
      <c r="X333" s="2028">
        <f t="shared" si="195"/>
        <v>0.21163999999999999</v>
      </c>
      <c r="Y333" s="2026">
        <v>0.96199999999999997</v>
      </c>
      <c r="Z333" s="2026">
        <v>0.96199999999999997</v>
      </c>
      <c r="AA333" s="2026">
        <v>0.96199999999999997</v>
      </c>
      <c r="AB333" s="2026">
        <v>0.96199999999999997</v>
      </c>
      <c r="AC333" s="2027">
        <f t="shared" si="207"/>
        <v>0</v>
      </c>
      <c r="AD333" s="2027">
        <f t="shared" si="207"/>
        <v>0</v>
      </c>
      <c r="AE333" s="2027">
        <f t="shared" si="207"/>
        <v>0</v>
      </c>
      <c r="AF333" s="2027">
        <f t="shared" si="196"/>
        <v>0</v>
      </c>
      <c r="AG333" s="2027">
        <v>0</v>
      </c>
      <c r="AH333" s="2028"/>
      <c r="AI333" s="2028"/>
      <c r="AJ333" s="2028"/>
      <c r="AK333" s="2027">
        <f t="shared" si="197"/>
        <v>0</v>
      </c>
      <c r="AL333" s="2027">
        <f t="shared" si="198"/>
        <v>0</v>
      </c>
      <c r="AM333" s="2027">
        <f t="shared" si="198"/>
        <v>0</v>
      </c>
      <c r="AN333" s="2027">
        <f t="shared" si="198"/>
        <v>0</v>
      </c>
      <c r="AO333" s="2027">
        <f t="shared" si="208"/>
        <v>0</v>
      </c>
      <c r="AP333" s="2027">
        <f t="shared" si="199"/>
        <v>0</v>
      </c>
      <c r="AQ333" s="2027">
        <f t="shared" si="199"/>
        <v>0</v>
      </c>
      <c r="AR333" s="2027">
        <f t="shared" si="199"/>
        <v>0</v>
      </c>
      <c r="AS333" s="2124">
        <f t="shared" si="212"/>
        <v>180</v>
      </c>
      <c r="AT333" s="2029">
        <f t="shared" si="200"/>
        <v>180</v>
      </c>
      <c r="AU333" s="2029">
        <f t="shared" si="200"/>
        <v>180</v>
      </c>
      <c r="AV333" s="2029">
        <f t="shared" si="200"/>
        <v>180</v>
      </c>
      <c r="AW333" s="2124">
        <f t="shared" si="201"/>
        <v>0</v>
      </c>
      <c r="AX333" s="2029">
        <f t="shared" si="216"/>
        <v>0</v>
      </c>
      <c r="AY333" s="2029">
        <f t="shared" si="216"/>
        <v>0</v>
      </c>
      <c r="AZ333" s="2029">
        <f t="shared" si="216"/>
        <v>0</v>
      </c>
      <c r="BA333" s="2124">
        <f t="shared" ref="BA333:BD348" si="219">BA89</f>
        <v>0</v>
      </c>
      <c r="BB333" s="2029">
        <f t="shared" si="219"/>
        <v>0</v>
      </c>
      <c r="BC333" s="2029">
        <f t="shared" si="219"/>
        <v>0</v>
      </c>
      <c r="BD333" s="2029">
        <f t="shared" si="219"/>
        <v>0</v>
      </c>
      <c r="BE333" s="2030">
        <f t="shared" si="202"/>
        <v>0</v>
      </c>
      <c r="BF333" s="2030">
        <f t="shared" si="202"/>
        <v>0</v>
      </c>
      <c r="BG333" s="2030">
        <f t="shared" si="202"/>
        <v>0</v>
      </c>
      <c r="BH333" s="2030">
        <f t="shared" si="191"/>
        <v>0</v>
      </c>
      <c r="BI333" s="2030">
        <f t="shared" si="203"/>
        <v>0</v>
      </c>
      <c r="BJ333" s="2030">
        <f t="shared" si="203"/>
        <v>0</v>
      </c>
      <c r="BK333" s="2030">
        <f t="shared" si="203"/>
        <v>0</v>
      </c>
      <c r="BL333" s="2030">
        <f t="shared" si="192"/>
        <v>0</v>
      </c>
      <c r="BM333" s="2125"/>
      <c r="BN333" s="2125"/>
      <c r="BO333" s="2125"/>
      <c r="BP333" s="2125"/>
      <c r="BQ333" s="2125"/>
      <c r="BR333" s="2125"/>
      <c r="BS333" s="2125"/>
      <c r="BT333" s="2125"/>
      <c r="BU333" s="2029"/>
      <c r="BV333" s="2029"/>
      <c r="BW333" s="2029"/>
      <c r="BX333" s="2029"/>
      <c r="BY333" s="2029"/>
      <c r="BZ333" s="2032"/>
      <c r="CA333" s="1974">
        <f t="shared" si="218"/>
        <v>0</v>
      </c>
      <c r="CB333" s="1974">
        <f t="shared" si="218"/>
        <v>0</v>
      </c>
      <c r="CC333" s="1974">
        <f t="shared" si="218"/>
        <v>0</v>
      </c>
      <c r="CD333" s="1974">
        <f t="shared" si="218"/>
        <v>0</v>
      </c>
      <c r="CE333" s="1974">
        <f t="shared" si="218"/>
        <v>0</v>
      </c>
      <c r="CF333" s="2033">
        <v>0</v>
      </c>
      <c r="CG333" s="2026">
        <v>0</v>
      </c>
      <c r="CH333" s="2009">
        <f t="shared" si="218"/>
        <v>0</v>
      </c>
      <c r="CI333" s="2031">
        <f t="shared" si="218"/>
        <v>0</v>
      </c>
      <c r="CJ333" s="1974">
        <f t="shared" si="218"/>
        <v>0</v>
      </c>
      <c r="CK333" s="2031">
        <f t="shared" si="218"/>
        <v>0</v>
      </c>
      <c r="CL333" s="2026">
        <v>1</v>
      </c>
      <c r="CM333" s="2026">
        <v>1</v>
      </c>
      <c r="CN333" s="2026">
        <v>1</v>
      </c>
      <c r="CO333" s="2026">
        <v>1</v>
      </c>
      <c r="CP333" s="2035"/>
      <c r="CQ333" s="2036"/>
      <c r="CR333" s="2036"/>
      <c r="CS333" s="2036"/>
      <c r="CT333" s="2036"/>
      <c r="CU333" s="2036"/>
      <c r="CW333" s="1973">
        <v>0</v>
      </c>
      <c r="CX333" s="2037">
        <v>180</v>
      </c>
      <c r="CY333" s="2037">
        <v>180</v>
      </c>
      <c r="CZ333" s="2037">
        <v>180</v>
      </c>
      <c r="DA333" s="2037">
        <v>180</v>
      </c>
      <c r="DJ333" s="1976">
        <v>180</v>
      </c>
      <c r="DK333" s="1973">
        <v>180</v>
      </c>
      <c r="DL333" s="1973">
        <v>180</v>
      </c>
      <c r="DM333" s="1973">
        <v>180</v>
      </c>
      <c r="DO333" s="1974">
        <v>12</v>
      </c>
      <c r="DP333" s="1974">
        <v>2597</v>
      </c>
      <c r="DQ333" s="1974">
        <v>0.22</v>
      </c>
      <c r="DR333" s="1974">
        <v>0</v>
      </c>
      <c r="DS333" s="2124">
        <v>180</v>
      </c>
      <c r="DT333" s="2029">
        <v>180</v>
      </c>
      <c r="DU333" s="2029">
        <v>180</v>
      </c>
      <c r="DV333" s="2029">
        <v>180</v>
      </c>
      <c r="DW333" s="2124">
        <v>0</v>
      </c>
      <c r="DX333" s="2029">
        <v>0</v>
      </c>
      <c r="DY333" s="2029">
        <v>0</v>
      </c>
      <c r="DZ333" s="2029">
        <v>0</v>
      </c>
      <c r="EA333" s="2124">
        <v>0</v>
      </c>
      <c r="EB333" s="2029">
        <v>0</v>
      </c>
      <c r="EC333" s="2029">
        <v>0</v>
      </c>
      <c r="ED333" s="2029">
        <v>0</v>
      </c>
      <c r="EE333" s="2039">
        <f t="shared" si="213"/>
        <v>0</v>
      </c>
      <c r="EF333" s="2039">
        <f t="shared" si="213"/>
        <v>0</v>
      </c>
      <c r="EG333" s="2039">
        <f t="shared" si="213"/>
        <v>0</v>
      </c>
      <c r="EH333" s="2039">
        <f t="shared" si="213"/>
        <v>0</v>
      </c>
      <c r="EI333" s="2040">
        <f t="shared" si="190"/>
        <v>0</v>
      </c>
      <c r="EJ333" s="2040">
        <f t="shared" si="190"/>
        <v>0</v>
      </c>
      <c r="EK333" s="2040">
        <f t="shared" si="190"/>
        <v>0</v>
      </c>
      <c r="EL333" s="2040">
        <f t="shared" si="189"/>
        <v>0</v>
      </c>
      <c r="EM333" s="2040">
        <f t="shared" si="189"/>
        <v>0</v>
      </c>
      <c r="EN333" s="2040">
        <f t="shared" si="189"/>
        <v>0</v>
      </c>
      <c r="EO333" s="2040">
        <f t="shared" si="189"/>
        <v>0</v>
      </c>
      <c r="EP333" s="2040">
        <f t="shared" si="189"/>
        <v>0</v>
      </c>
      <c r="EQ333" s="2040">
        <f t="shared" si="189"/>
        <v>0</v>
      </c>
      <c r="ER333" s="2040">
        <f t="shared" si="185"/>
        <v>0</v>
      </c>
      <c r="ES333" s="2040">
        <f t="shared" si="185"/>
        <v>0</v>
      </c>
      <c r="ET333" s="2040">
        <f t="shared" si="185"/>
        <v>0</v>
      </c>
      <c r="EU333" s="2039">
        <f t="shared" si="214"/>
        <v>0</v>
      </c>
      <c r="EV333" s="2039">
        <f t="shared" si="215"/>
        <v>0</v>
      </c>
    </row>
    <row r="334" spans="1:152" x14ac:dyDescent="0.25">
      <c r="A334" s="2088" t="s">
        <v>135</v>
      </c>
      <c r="B334" s="2093" t="str">
        <f t="shared" si="193"/>
        <v>BPCK13</v>
      </c>
      <c r="C334" s="1974">
        <f t="shared" si="217"/>
        <v>15</v>
      </c>
      <c r="D334" s="1974">
        <f t="shared" si="217"/>
        <v>4339.74</v>
      </c>
      <c r="E334" s="1974">
        <f t="shared" si="217"/>
        <v>0.66</v>
      </c>
      <c r="F334" s="1974">
        <f t="shared" si="217"/>
        <v>279</v>
      </c>
      <c r="G334" s="1974" t="s">
        <v>2997</v>
      </c>
      <c r="H334" s="1974" t="s">
        <v>2997</v>
      </c>
      <c r="I334" s="2026">
        <v>0.96199999999999997</v>
      </c>
      <c r="J334" s="2026">
        <v>0.96199999999999997</v>
      </c>
      <c r="K334" s="2026">
        <v>0.96199999999999997</v>
      </c>
      <c r="L334" s="2026">
        <v>0.96199999999999997</v>
      </c>
      <c r="M334" s="2027">
        <f t="shared" si="205"/>
        <v>4174.8298799999993</v>
      </c>
      <c r="N334" s="2027">
        <f t="shared" si="205"/>
        <v>4174.8298799999993</v>
      </c>
      <c r="O334" s="2027">
        <f t="shared" si="205"/>
        <v>4174.8298799999993</v>
      </c>
      <c r="P334" s="2027">
        <f t="shared" si="194"/>
        <v>4174.8298799999993</v>
      </c>
      <c r="Q334" s="2026">
        <v>0.96199999999999997</v>
      </c>
      <c r="R334" s="2026">
        <v>0.96199999999999997</v>
      </c>
      <c r="S334" s="2026">
        <v>0.96199999999999997</v>
      </c>
      <c r="T334" s="2026">
        <v>0.96199999999999997</v>
      </c>
      <c r="U334" s="2028">
        <f t="shared" si="206"/>
        <v>0.63492000000000004</v>
      </c>
      <c r="V334" s="2028">
        <f t="shared" si="206"/>
        <v>0.63492000000000004</v>
      </c>
      <c r="W334" s="2028">
        <f t="shared" si="206"/>
        <v>0.63492000000000004</v>
      </c>
      <c r="X334" s="2028">
        <f t="shared" si="195"/>
        <v>0.63492000000000004</v>
      </c>
      <c r="Y334" s="2026">
        <v>0.96199999999999997</v>
      </c>
      <c r="Z334" s="2026">
        <v>0.96199999999999997</v>
      </c>
      <c r="AA334" s="2026">
        <v>0.96199999999999997</v>
      </c>
      <c r="AB334" s="2026">
        <v>0.96199999999999997</v>
      </c>
      <c r="AC334" s="2027">
        <f t="shared" si="207"/>
        <v>268.39799999999997</v>
      </c>
      <c r="AD334" s="2027">
        <f t="shared" si="207"/>
        <v>268.39799999999997</v>
      </c>
      <c r="AE334" s="2027">
        <f t="shared" si="207"/>
        <v>268.39799999999997</v>
      </c>
      <c r="AF334" s="2027">
        <f t="shared" si="196"/>
        <v>268.39799999999997</v>
      </c>
      <c r="AG334" s="2027">
        <v>0</v>
      </c>
      <c r="AH334" s="2028"/>
      <c r="AI334" s="2028"/>
      <c r="AJ334" s="2028"/>
      <c r="AK334" s="2027">
        <f t="shared" si="197"/>
        <v>0</v>
      </c>
      <c r="AL334" s="2027">
        <f t="shared" si="198"/>
        <v>0</v>
      </c>
      <c r="AM334" s="2027">
        <f t="shared" si="198"/>
        <v>0</v>
      </c>
      <c r="AN334" s="2027">
        <f t="shared" si="198"/>
        <v>0</v>
      </c>
      <c r="AO334" s="2027">
        <f t="shared" si="208"/>
        <v>0</v>
      </c>
      <c r="AP334" s="2027">
        <f t="shared" si="199"/>
        <v>0</v>
      </c>
      <c r="AQ334" s="2027">
        <f t="shared" si="199"/>
        <v>0</v>
      </c>
      <c r="AR334" s="2027">
        <f t="shared" si="199"/>
        <v>0</v>
      </c>
      <c r="AS334" s="2124">
        <f t="shared" si="212"/>
        <v>747.25</v>
      </c>
      <c r="AT334" s="2029">
        <f t="shared" si="200"/>
        <v>747.25</v>
      </c>
      <c r="AU334" s="2029">
        <f t="shared" si="200"/>
        <v>747.25</v>
      </c>
      <c r="AV334" s="2029">
        <f t="shared" si="200"/>
        <v>747.25</v>
      </c>
      <c r="AW334" s="2124">
        <f t="shared" si="201"/>
        <v>414.05000000000007</v>
      </c>
      <c r="AX334" s="2029">
        <f t="shared" si="216"/>
        <v>414.05000000000007</v>
      </c>
      <c r="AY334" s="2029">
        <f t="shared" si="216"/>
        <v>414.05000000000007</v>
      </c>
      <c r="AZ334" s="2029">
        <f t="shared" si="216"/>
        <v>414.05000000000007</v>
      </c>
      <c r="BA334" s="2124">
        <f t="shared" si="219"/>
        <v>1124</v>
      </c>
      <c r="BB334" s="2029">
        <f t="shared" si="219"/>
        <v>1124</v>
      </c>
      <c r="BC334" s="2029">
        <f t="shared" si="219"/>
        <v>1124</v>
      </c>
      <c r="BD334" s="2029">
        <f t="shared" si="219"/>
        <v>1124</v>
      </c>
      <c r="BE334" s="2030">
        <f t="shared" si="202"/>
        <v>0</v>
      </c>
      <c r="BF334" s="2030">
        <f t="shared" si="202"/>
        <v>0</v>
      </c>
      <c r="BG334" s="2030">
        <f t="shared" si="202"/>
        <v>0</v>
      </c>
      <c r="BH334" s="2030">
        <f t="shared" si="191"/>
        <v>0</v>
      </c>
      <c r="BI334" s="2030">
        <f t="shared" si="203"/>
        <v>0</v>
      </c>
      <c r="BJ334" s="2030">
        <f t="shared" si="203"/>
        <v>0</v>
      </c>
      <c r="BK334" s="2030">
        <f t="shared" si="203"/>
        <v>0</v>
      </c>
      <c r="BL334" s="2030">
        <f t="shared" si="192"/>
        <v>0</v>
      </c>
      <c r="BM334" s="2125"/>
      <c r="BN334" s="2125"/>
      <c r="BO334" s="2125"/>
      <c r="BP334" s="2125"/>
      <c r="BQ334" s="2125"/>
      <c r="BR334" s="2125"/>
      <c r="BS334" s="2125"/>
      <c r="BT334" s="2125"/>
      <c r="BU334" s="2029"/>
      <c r="BV334" s="2029"/>
      <c r="BW334" s="2029"/>
      <c r="BX334" s="2029"/>
      <c r="BY334" s="2029"/>
      <c r="BZ334" s="2032"/>
      <c r="CA334" s="1974">
        <f t="shared" si="218"/>
        <v>35711</v>
      </c>
      <c r="CB334" s="1974">
        <f t="shared" si="218"/>
        <v>0</v>
      </c>
      <c r="CC334" s="1974">
        <f t="shared" si="218"/>
        <v>0</v>
      </c>
      <c r="CD334" s="1974">
        <f t="shared" si="218"/>
        <v>0</v>
      </c>
      <c r="CE334" s="1974">
        <f t="shared" si="218"/>
        <v>0</v>
      </c>
      <c r="CF334" s="2033">
        <v>0</v>
      </c>
      <c r="CG334" s="2026">
        <v>0</v>
      </c>
      <c r="CH334" s="2009">
        <f t="shared" si="218"/>
        <v>0</v>
      </c>
      <c r="CI334" s="2031">
        <f t="shared" si="218"/>
        <v>0</v>
      </c>
      <c r="CJ334" s="1974">
        <f t="shared" si="218"/>
        <v>0</v>
      </c>
      <c r="CK334" s="2031">
        <f t="shared" si="218"/>
        <v>0</v>
      </c>
      <c r="CL334" s="2026">
        <v>1</v>
      </c>
      <c r="CM334" s="2026">
        <v>1</v>
      </c>
      <c r="CN334" s="2026">
        <v>1</v>
      </c>
      <c r="CO334" s="2026">
        <v>1</v>
      </c>
      <c r="CP334" s="2035"/>
      <c r="CQ334" s="2036"/>
      <c r="CR334" s="2036"/>
      <c r="CS334" s="2036"/>
      <c r="CT334" s="2036"/>
      <c r="CU334" s="2036"/>
      <c r="CW334" s="1973">
        <v>0</v>
      </c>
      <c r="CX334" s="2037">
        <v>1208.3333333333333</v>
      </c>
      <c r="CY334" s="2037">
        <v>1208.3333333333333</v>
      </c>
      <c r="CZ334" s="2037">
        <v>1208.3333333333333</v>
      </c>
      <c r="DA334" s="2037">
        <v>1208.3333333333333</v>
      </c>
      <c r="DJ334" s="1976">
        <v>1100</v>
      </c>
      <c r="DK334" s="1973">
        <v>1100</v>
      </c>
      <c r="DL334" s="1973">
        <v>1100</v>
      </c>
      <c r="DM334" s="1973">
        <v>1100</v>
      </c>
      <c r="DO334" s="1974">
        <v>15</v>
      </c>
      <c r="DP334" s="1974">
        <v>4339.74</v>
      </c>
      <c r="DQ334" s="1974">
        <v>0.66</v>
      </c>
      <c r="DR334" s="1974">
        <v>279</v>
      </c>
      <c r="DS334" s="2124">
        <v>747.25</v>
      </c>
      <c r="DT334" s="2029">
        <v>747.25</v>
      </c>
      <c r="DU334" s="2029">
        <v>747.25</v>
      </c>
      <c r="DV334" s="2029">
        <v>747.25</v>
      </c>
      <c r="DW334" s="2124">
        <v>414.05000000000007</v>
      </c>
      <c r="DX334" s="2029">
        <v>414.05000000000007</v>
      </c>
      <c r="DY334" s="2029">
        <v>414.05000000000007</v>
      </c>
      <c r="DZ334" s="2029">
        <v>414.05000000000007</v>
      </c>
      <c r="EA334" s="2124">
        <v>1124</v>
      </c>
      <c r="EB334" s="2029">
        <v>1124</v>
      </c>
      <c r="EC334" s="2029">
        <v>1124</v>
      </c>
      <c r="ED334" s="2029">
        <v>1124</v>
      </c>
      <c r="EE334" s="2039">
        <f t="shared" si="213"/>
        <v>0</v>
      </c>
      <c r="EF334" s="2039">
        <f t="shared" si="213"/>
        <v>0</v>
      </c>
      <c r="EG334" s="2039">
        <f t="shared" si="213"/>
        <v>0</v>
      </c>
      <c r="EH334" s="2039">
        <f t="shared" si="213"/>
        <v>0</v>
      </c>
      <c r="EI334" s="2040">
        <f t="shared" si="190"/>
        <v>0</v>
      </c>
      <c r="EJ334" s="2040">
        <f t="shared" si="190"/>
        <v>0</v>
      </c>
      <c r="EK334" s="2040">
        <f t="shared" si="190"/>
        <v>0</v>
      </c>
      <c r="EL334" s="2040">
        <f t="shared" si="189"/>
        <v>0</v>
      </c>
      <c r="EM334" s="2040">
        <f t="shared" si="189"/>
        <v>0</v>
      </c>
      <c r="EN334" s="2040">
        <f t="shared" si="189"/>
        <v>0</v>
      </c>
      <c r="EO334" s="2040">
        <f t="shared" si="189"/>
        <v>0</v>
      </c>
      <c r="EP334" s="2040">
        <f t="shared" si="189"/>
        <v>0</v>
      </c>
      <c r="EQ334" s="2040">
        <f t="shared" si="189"/>
        <v>0</v>
      </c>
      <c r="ER334" s="2040">
        <f t="shared" si="185"/>
        <v>0</v>
      </c>
      <c r="ES334" s="2040">
        <f t="shared" si="185"/>
        <v>0</v>
      </c>
      <c r="ET334" s="2040">
        <f t="shared" si="185"/>
        <v>0</v>
      </c>
      <c r="EU334" s="2039">
        <f t="shared" si="214"/>
        <v>0</v>
      </c>
      <c r="EV334" s="2039">
        <f t="shared" si="215"/>
        <v>0</v>
      </c>
    </row>
    <row r="335" spans="1:152" x14ac:dyDescent="0.25">
      <c r="A335" s="2088" t="s">
        <v>136</v>
      </c>
      <c r="B335" s="2093" t="str">
        <f t="shared" si="193"/>
        <v>BPR11</v>
      </c>
      <c r="C335" s="1974">
        <f t="shared" si="217"/>
        <v>4</v>
      </c>
      <c r="D335" s="1974">
        <f t="shared" si="217"/>
        <v>5220</v>
      </c>
      <c r="E335" s="1974">
        <f t="shared" si="217"/>
        <v>0</v>
      </c>
      <c r="F335" s="1974">
        <f t="shared" si="217"/>
        <v>0</v>
      </c>
      <c r="G335" s="1974" t="s">
        <v>2997</v>
      </c>
      <c r="H335" s="1974" t="s">
        <v>2997</v>
      </c>
      <c r="I335" s="2026">
        <v>0.96199999999999997</v>
      </c>
      <c r="J335" s="2026">
        <v>0.96199999999999997</v>
      </c>
      <c r="K335" s="2026">
        <v>0.96199999999999997</v>
      </c>
      <c r="L335" s="2026">
        <v>0.96199999999999997</v>
      </c>
      <c r="M335" s="2027">
        <f t="shared" si="205"/>
        <v>5021.6399999999994</v>
      </c>
      <c r="N335" s="2027">
        <f t="shared" si="205"/>
        <v>5021.6399999999994</v>
      </c>
      <c r="O335" s="2027">
        <f t="shared" si="205"/>
        <v>5021.6399999999994</v>
      </c>
      <c r="P335" s="2027">
        <f t="shared" si="194"/>
        <v>5021.6399999999994</v>
      </c>
      <c r="Q335" s="2026">
        <v>0.96199999999999997</v>
      </c>
      <c r="R335" s="2026">
        <v>0.96199999999999997</v>
      </c>
      <c r="S335" s="2026">
        <v>0.96199999999999997</v>
      </c>
      <c r="T335" s="2026">
        <v>0.96199999999999997</v>
      </c>
      <c r="U335" s="2028">
        <f t="shared" si="206"/>
        <v>0</v>
      </c>
      <c r="V335" s="2028">
        <f t="shared" si="206"/>
        <v>0</v>
      </c>
      <c r="W335" s="2028">
        <f t="shared" si="206"/>
        <v>0</v>
      </c>
      <c r="X335" s="2028">
        <f t="shared" si="195"/>
        <v>0</v>
      </c>
      <c r="Y335" s="2026">
        <v>0.96199999999999997</v>
      </c>
      <c r="Z335" s="2026">
        <v>0.96199999999999997</v>
      </c>
      <c r="AA335" s="2026">
        <v>0.96199999999999997</v>
      </c>
      <c r="AB335" s="2026">
        <v>0.96199999999999997</v>
      </c>
      <c r="AC335" s="2027">
        <f t="shared" si="207"/>
        <v>0</v>
      </c>
      <c r="AD335" s="2027">
        <f t="shared" si="207"/>
        <v>0</v>
      </c>
      <c r="AE335" s="2027">
        <f t="shared" si="207"/>
        <v>0</v>
      </c>
      <c r="AF335" s="2027">
        <f t="shared" si="196"/>
        <v>0</v>
      </c>
      <c r="AG335" s="2027">
        <v>0</v>
      </c>
      <c r="AH335" s="2027">
        <v>0</v>
      </c>
      <c r="AI335" s="2027">
        <v>0</v>
      </c>
      <c r="AJ335" s="2027">
        <v>0</v>
      </c>
      <c r="AK335" s="2027">
        <f t="shared" si="197"/>
        <v>0</v>
      </c>
      <c r="AL335" s="2027">
        <f t="shared" si="198"/>
        <v>0</v>
      </c>
      <c r="AM335" s="2027">
        <f t="shared" si="198"/>
        <v>0</v>
      </c>
      <c r="AN335" s="2027">
        <f t="shared" si="198"/>
        <v>0</v>
      </c>
      <c r="AO335" s="2027">
        <f t="shared" si="208"/>
        <v>0</v>
      </c>
      <c r="AP335" s="2027">
        <f t="shared" si="199"/>
        <v>0</v>
      </c>
      <c r="AQ335" s="2027">
        <f t="shared" si="199"/>
        <v>0</v>
      </c>
      <c r="AR335" s="2027">
        <f t="shared" si="199"/>
        <v>0</v>
      </c>
      <c r="AS335" s="2124">
        <f t="shared" si="212"/>
        <v>300</v>
      </c>
      <c r="AT335" s="2029">
        <f t="shared" si="200"/>
        <v>300</v>
      </c>
      <c r="AU335" s="2029">
        <f t="shared" si="200"/>
        <v>300</v>
      </c>
      <c r="AV335" s="2029">
        <f t="shared" si="200"/>
        <v>300</v>
      </c>
      <c r="AW335" s="2124">
        <f t="shared" si="201"/>
        <v>0</v>
      </c>
      <c r="AX335" s="2029">
        <f t="shared" si="216"/>
        <v>0</v>
      </c>
      <c r="AY335" s="2029">
        <f t="shared" si="216"/>
        <v>0</v>
      </c>
      <c r="AZ335" s="2029">
        <f t="shared" si="216"/>
        <v>0</v>
      </c>
      <c r="BA335" s="2124">
        <f t="shared" si="219"/>
        <v>140</v>
      </c>
      <c r="BB335" s="2029">
        <f t="shared" si="219"/>
        <v>140</v>
      </c>
      <c r="BC335" s="2029">
        <f t="shared" si="219"/>
        <v>140</v>
      </c>
      <c r="BD335" s="2029">
        <f t="shared" si="219"/>
        <v>140</v>
      </c>
      <c r="BE335" s="2030">
        <f t="shared" si="202"/>
        <v>0</v>
      </c>
      <c r="BF335" s="2030">
        <f t="shared" si="202"/>
        <v>0</v>
      </c>
      <c r="BG335" s="2030">
        <f t="shared" si="202"/>
        <v>0</v>
      </c>
      <c r="BH335" s="2030">
        <f t="shared" si="191"/>
        <v>0</v>
      </c>
      <c r="BI335" s="2030">
        <f t="shared" si="203"/>
        <v>0</v>
      </c>
      <c r="BJ335" s="2030">
        <f t="shared" si="203"/>
        <v>0</v>
      </c>
      <c r="BK335" s="2030">
        <f t="shared" si="203"/>
        <v>0</v>
      </c>
      <c r="BL335" s="2030">
        <f t="shared" si="192"/>
        <v>0</v>
      </c>
      <c r="BM335" s="2125"/>
      <c r="BN335" s="2125"/>
      <c r="BO335" s="2125"/>
      <c r="BP335" s="2125"/>
      <c r="BQ335" s="2125"/>
      <c r="BR335" s="2125"/>
      <c r="BS335" s="2125"/>
      <c r="BT335" s="2125"/>
      <c r="BU335" s="2029"/>
      <c r="BV335" s="2029"/>
      <c r="BW335" s="2029"/>
      <c r="BX335" s="2029"/>
      <c r="BY335" s="2029"/>
      <c r="BZ335" s="2032"/>
      <c r="CA335" s="1974">
        <f t="shared" si="218"/>
        <v>0</v>
      </c>
      <c r="CB335" s="1974">
        <f t="shared" si="218"/>
        <v>0</v>
      </c>
      <c r="CC335" s="1974">
        <f t="shared" si="218"/>
        <v>0</v>
      </c>
      <c r="CD335" s="1974">
        <f t="shared" si="218"/>
        <v>0</v>
      </c>
      <c r="CE335" s="1974">
        <f t="shared" si="218"/>
        <v>0</v>
      </c>
      <c r="CF335" s="2033">
        <v>0</v>
      </c>
      <c r="CG335" s="2026">
        <v>0</v>
      </c>
      <c r="CH335" s="2009">
        <f t="shared" si="218"/>
        <v>0</v>
      </c>
      <c r="CI335" s="2031">
        <f t="shared" si="218"/>
        <v>0</v>
      </c>
      <c r="CJ335" s="1974">
        <f t="shared" si="218"/>
        <v>0</v>
      </c>
      <c r="CK335" s="2031">
        <f t="shared" si="218"/>
        <v>0</v>
      </c>
      <c r="CL335" s="2026">
        <v>1</v>
      </c>
      <c r="CM335" s="2026">
        <v>1</v>
      </c>
      <c r="CN335" s="2026">
        <v>1</v>
      </c>
      <c r="CO335" s="2026">
        <v>1</v>
      </c>
      <c r="CP335" s="2035"/>
      <c r="CQ335" s="2036"/>
      <c r="CR335" s="2036"/>
      <c r="CS335" s="2036"/>
      <c r="CT335" s="2036"/>
      <c r="CU335" s="2036"/>
      <c r="CW335" s="1973">
        <v>0</v>
      </c>
      <c r="CX335" s="2037">
        <v>300</v>
      </c>
      <c r="CY335" s="2037">
        <v>300</v>
      </c>
      <c r="CZ335" s="2037">
        <v>300</v>
      </c>
      <c r="DA335" s="2037">
        <v>300</v>
      </c>
      <c r="DJ335" s="1976">
        <v>300</v>
      </c>
      <c r="DK335" s="1973">
        <v>300</v>
      </c>
      <c r="DL335" s="1973">
        <v>300</v>
      </c>
      <c r="DM335" s="1973">
        <v>300</v>
      </c>
      <c r="DO335" s="1974">
        <v>4</v>
      </c>
      <c r="DP335" s="1974">
        <v>5220</v>
      </c>
      <c r="DQ335" s="1974">
        <v>0</v>
      </c>
      <c r="DR335" s="1974">
        <v>0</v>
      </c>
      <c r="DS335" s="2124">
        <v>300</v>
      </c>
      <c r="DT335" s="2029">
        <v>300</v>
      </c>
      <c r="DU335" s="2029">
        <v>300</v>
      </c>
      <c r="DV335" s="2029">
        <v>300</v>
      </c>
      <c r="DW335" s="2124">
        <v>0</v>
      </c>
      <c r="DX335" s="2029">
        <v>0</v>
      </c>
      <c r="DY335" s="2029">
        <v>0</v>
      </c>
      <c r="DZ335" s="2029">
        <v>0</v>
      </c>
      <c r="EA335" s="2124">
        <v>140</v>
      </c>
      <c r="EB335" s="2029">
        <v>140</v>
      </c>
      <c r="EC335" s="2029">
        <v>140</v>
      </c>
      <c r="ED335" s="2029">
        <v>140</v>
      </c>
      <c r="EE335" s="2039">
        <f t="shared" si="213"/>
        <v>0</v>
      </c>
      <c r="EF335" s="2039">
        <f t="shared" si="213"/>
        <v>0</v>
      </c>
      <c r="EG335" s="2039">
        <f t="shared" si="213"/>
        <v>0</v>
      </c>
      <c r="EH335" s="2039">
        <f t="shared" si="213"/>
        <v>0</v>
      </c>
      <c r="EI335" s="2040">
        <f t="shared" si="190"/>
        <v>0</v>
      </c>
      <c r="EJ335" s="2040">
        <f t="shared" si="190"/>
        <v>0</v>
      </c>
      <c r="EK335" s="2040">
        <f t="shared" si="190"/>
        <v>0</v>
      </c>
      <c r="EL335" s="2040">
        <f t="shared" si="189"/>
        <v>0</v>
      </c>
      <c r="EM335" s="2040">
        <f t="shared" si="189"/>
        <v>0</v>
      </c>
      <c r="EN335" s="2040">
        <f t="shared" si="189"/>
        <v>0</v>
      </c>
      <c r="EO335" s="2040">
        <f t="shared" si="189"/>
        <v>0</v>
      </c>
      <c r="EP335" s="2040">
        <f t="shared" si="189"/>
        <v>0</v>
      </c>
      <c r="EQ335" s="2040">
        <f t="shared" si="189"/>
        <v>0</v>
      </c>
      <c r="ER335" s="2040">
        <f t="shared" si="185"/>
        <v>0</v>
      </c>
      <c r="ES335" s="2040">
        <f t="shared" si="185"/>
        <v>0</v>
      </c>
      <c r="ET335" s="2040">
        <f t="shared" si="185"/>
        <v>0</v>
      </c>
      <c r="EU335" s="2039">
        <f t="shared" si="214"/>
        <v>0</v>
      </c>
      <c r="EV335" s="2039">
        <f t="shared" si="215"/>
        <v>0</v>
      </c>
    </row>
    <row r="336" spans="1:152" x14ac:dyDescent="0.25">
      <c r="A336" s="2088" t="s">
        <v>137</v>
      </c>
      <c r="B336" s="2093" t="str">
        <f t="shared" si="193"/>
        <v>BPM1</v>
      </c>
      <c r="C336" s="1974">
        <f t="shared" si="217"/>
        <v>13</v>
      </c>
      <c r="D336" s="1974">
        <f t="shared" si="217"/>
        <v>11337</v>
      </c>
      <c r="E336" s="1974">
        <f t="shared" si="217"/>
        <v>1.1200000000000001</v>
      </c>
      <c r="F336" s="1974">
        <f t="shared" si="217"/>
        <v>0</v>
      </c>
      <c r="G336" s="1974" t="s">
        <v>2997</v>
      </c>
      <c r="H336" s="1974" t="s">
        <v>2997</v>
      </c>
      <c r="I336" s="2026">
        <v>0.96199999999999997</v>
      </c>
      <c r="J336" s="2026">
        <v>0.96199999999999997</v>
      </c>
      <c r="K336" s="2026">
        <v>0.96199999999999997</v>
      </c>
      <c r="L336" s="2026">
        <v>0.96199999999999997</v>
      </c>
      <c r="M336" s="2027">
        <f t="shared" si="205"/>
        <v>10906.194</v>
      </c>
      <c r="N336" s="2027">
        <f t="shared" si="205"/>
        <v>10906.194</v>
      </c>
      <c r="O336" s="2027">
        <f t="shared" si="205"/>
        <v>10906.194</v>
      </c>
      <c r="P336" s="2027">
        <f t="shared" si="194"/>
        <v>10906.194</v>
      </c>
      <c r="Q336" s="2026">
        <v>0.96199999999999997</v>
      </c>
      <c r="R336" s="2026">
        <v>0.96199999999999997</v>
      </c>
      <c r="S336" s="2026">
        <v>0.96199999999999997</v>
      </c>
      <c r="T336" s="2026">
        <v>0.96199999999999997</v>
      </c>
      <c r="U336" s="2028">
        <f t="shared" si="206"/>
        <v>1.0774400000000002</v>
      </c>
      <c r="V336" s="2028">
        <f t="shared" si="206"/>
        <v>1.0774400000000002</v>
      </c>
      <c r="W336" s="2028">
        <f t="shared" si="206"/>
        <v>1.0774400000000002</v>
      </c>
      <c r="X336" s="2028">
        <f t="shared" si="195"/>
        <v>1.0774400000000002</v>
      </c>
      <c r="Y336" s="2026">
        <v>0.96199999999999997</v>
      </c>
      <c r="Z336" s="2026">
        <v>0.96199999999999997</v>
      </c>
      <c r="AA336" s="2026">
        <v>0.96199999999999997</v>
      </c>
      <c r="AB336" s="2026">
        <v>0.96199999999999997</v>
      </c>
      <c r="AC336" s="2027">
        <f t="shared" si="207"/>
        <v>0</v>
      </c>
      <c r="AD336" s="2027">
        <f t="shared" si="207"/>
        <v>0</v>
      </c>
      <c r="AE336" s="2027">
        <f t="shared" si="207"/>
        <v>0</v>
      </c>
      <c r="AF336" s="2027">
        <f t="shared" si="196"/>
        <v>0</v>
      </c>
      <c r="AG336" s="2027">
        <v>0</v>
      </c>
      <c r="AH336" s="2028"/>
      <c r="AI336" s="2028"/>
      <c r="AJ336" s="2028"/>
      <c r="AK336" s="2027">
        <f t="shared" si="197"/>
        <v>0</v>
      </c>
      <c r="AL336" s="2027">
        <f t="shared" si="198"/>
        <v>0</v>
      </c>
      <c r="AM336" s="2027">
        <f t="shared" si="198"/>
        <v>0</v>
      </c>
      <c r="AN336" s="2027">
        <f t="shared" si="198"/>
        <v>0</v>
      </c>
      <c r="AO336" s="2027">
        <f t="shared" si="208"/>
        <v>0</v>
      </c>
      <c r="AP336" s="2027">
        <f t="shared" si="199"/>
        <v>0</v>
      </c>
      <c r="AQ336" s="2027">
        <f t="shared" si="199"/>
        <v>0</v>
      </c>
      <c r="AR336" s="2027">
        <f t="shared" si="199"/>
        <v>0</v>
      </c>
      <c r="AS336" s="2124">
        <f t="shared" si="212"/>
        <v>1575</v>
      </c>
      <c r="AT336" s="2029">
        <f t="shared" si="200"/>
        <v>1575</v>
      </c>
      <c r="AU336" s="2029">
        <f t="shared" si="200"/>
        <v>1575</v>
      </c>
      <c r="AV336" s="2029">
        <f t="shared" si="200"/>
        <v>1575</v>
      </c>
      <c r="AW336" s="2124">
        <f t="shared" si="201"/>
        <v>0</v>
      </c>
      <c r="AX336" s="2029">
        <f t="shared" si="216"/>
        <v>0</v>
      </c>
      <c r="AY336" s="2029">
        <f t="shared" si="216"/>
        <v>0</v>
      </c>
      <c r="AZ336" s="2029">
        <f t="shared" si="216"/>
        <v>0</v>
      </c>
      <c r="BA336" s="2124">
        <f t="shared" si="219"/>
        <v>2085.4</v>
      </c>
      <c r="BB336" s="2029">
        <f t="shared" si="219"/>
        <v>2085.4</v>
      </c>
      <c r="BC336" s="2029">
        <f t="shared" si="219"/>
        <v>2085.4</v>
      </c>
      <c r="BD336" s="2029">
        <f t="shared" si="219"/>
        <v>2085.4</v>
      </c>
      <c r="BE336" s="2030">
        <f t="shared" si="202"/>
        <v>0</v>
      </c>
      <c r="BF336" s="2030">
        <f t="shared" si="202"/>
        <v>0</v>
      </c>
      <c r="BG336" s="2030">
        <f t="shared" si="202"/>
        <v>0</v>
      </c>
      <c r="BH336" s="2030">
        <f t="shared" si="191"/>
        <v>0</v>
      </c>
      <c r="BI336" s="2030">
        <f t="shared" si="203"/>
        <v>0</v>
      </c>
      <c r="BJ336" s="2030">
        <f t="shared" si="203"/>
        <v>0</v>
      </c>
      <c r="BK336" s="2030">
        <f t="shared" si="203"/>
        <v>0</v>
      </c>
      <c r="BL336" s="2030">
        <f t="shared" si="192"/>
        <v>0</v>
      </c>
      <c r="BM336" s="2125"/>
      <c r="BN336" s="2125"/>
      <c r="BO336" s="2125"/>
      <c r="BP336" s="2125"/>
      <c r="BQ336" s="2125"/>
      <c r="BR336" s="2125"/>
      <c r="BS336" s="2125"/>
      <c r="BT336" s="2125"/>
      <c r="BU336" s="2029"/>
      <c r="BV336" s="2029"/>
      <c r="BW336" s="2029"/>
      <c r="BX336" s="2029"/>
      <c r="BY336" s="2029"/>
      <c r="BZ336" s="2032"/>
      <c r="CA336" s="1974">
        <f t="shared" si="218"/>
        <v>0</v>
      </c>
      <c r="CB336" s="1974">
        <f t="shared" si="218"/>
        <v>0</v>
      </c>
      <c r="CC336" s="1974">
        <f t="shared" si="218"/>
        <v>0</v>
      </c>
      <c r="CD336" s="1974">
        <f t="shared" si="218"/>
        <v>0</v>
      </c>
      <c r="CE336" s="1974">
        <f t="shared" si="218"/>
        <v>0</v>
      </c>
      <c r="CF336" s="2033">
        <v>0</v>
      </c>
      <c r="CG336" s="2026">
        <v>0</v>
      </c>
      <c r="CH336" s="2009">
        <f t="shared" si="218"/>
        <v>0</v>
      </c>
      <c r="CI336" s="2031">
        <f t="shared" si="218"/>
        <v>0</v>
      </c>
      <c r="CJ336" s="1974">
        <f t="shared" si="218"/>
        <v>0</v>
      </c>
      <c r="CK336" s="2031">
        <f t="shared" si="218"/>
        <v>0</v>
      </c>
      <c r="CL336" s="2026">
        <v>1</v>
      </c>
      <c r="CM336" s="2026">
        <v>1</v>
      </c>
      <c r="CN336" s="2026">
        <v>1</v>
      </c>
      <c r="CO336" s="2026">
        <v>1</v>
      </c>
      <c r="CP336" s="2035"/>
      <c r="CQ336" s="2036"/>
      <c r="CR336" s="2036"/>
      <c r="CS336" s="2036"/>
      <c r="CT336" s="2036"/>
      <c r="CU336" s="2036"/>
      <c r="CW336" s="1973">
        <v>0</v>
      </c>
      <c r="CX336" s="2037">
        <v>1575</v>
      </c>
      <c r="CY336" s="2037">
        <v>1575</v>
      </c>
      <c r="CZ336" s="2037">
        <v>1575</v>
      </c>
      <c r="DA336" s="2037">
        <v>1575</v>
      </c>
      <c r="DJ336" s="1976">
        <v>1575</v>
      </c>
      <c r="DK336" s="1973">
        <v>1575</v>
      </c>
      <c r="DL336" s="1973">
        <v>1575</v>
      </c>
      <c r="DM336" s="1973">
        <v>1575</v>
      </c>
      <c r="DO336" s="1974">
        <v>15</v>
      </c>
      <c r="DP336" s="1974">
        <v>11337</v>
      </c>
      <c r="DQ336" s="1974">
        <v>1.1200000000000001</v>
      </c>
      <c r="DR336" s="1974">
        <v>0</v>
      </c>
      <c r="DS336" s="2124">
        <v>1575</v>
      </c>
      <c r="DT336" s="2029">
        <v>1575</v>
      </c>
      <c r="DU336" s="2029">
        <v>1575</v>
      </c>
      <c r="DV336" s="2029">
        <v>1575</v>
      </c>
      <c r="DW336" s="2124">
        <v>0</v>
      </c>
      <c r="DX336" s="2029">
        <v>0</v>
      </c>
      <c r="DY336" s="2029">
        <v>0</v>
      </c>
      <c r="DZ336" s="2029">
        <v>0</v>
      </c>
      <c r="EA336" s="2124">
        <v>2085.4</v>
      </c>
      <c r="EB336" s="2029">
        <v>2085.4</v>
      </c>
      <c r="EC336" s="2029">
        <v>2085.4</v>
      </c>
      <c r="ED336" s="2029">
        <v>2085.4</v>
      </c>
      <c r="EE336" s="2039">
        <f t="shared" si="213"/>
        <v>-2</v>
      </c>
      <c r="EF336" s="2039">
        <f t="shared" si="213"/>
        <v>0</v>
      </c>
      <c r="EG336" s="2039">
        <f t="shared" si="213"/>
        <v>0</v>
      </c>
      <c r="EH336" s="2039">
        <f t="shared" si="213"/>
        <v>0</v>
      </c>
      <c r="EI336" s="2040">
        <f t="shared" si="190"/>
        <v>0</v>
      </c>
      <c r="EJ336" s="2040">
        <f t="shared" si="190"/>
        <v>0</v>
      </c>
      <c r="EK336" s="2040">
        <f t="shared" si="190"/>
        <v>0</v>
      </c>
      <c r="EL336" s="2040">
        <f t="shared" si="189"/>
        <v>0</v>
      </c>
      <c r="EM336" s="2040">
        <f t="shared" si="189"/>
        <v>0</v>
      </c>
      <c r="EN336" s="2040">
        <f t="shared" si="189"/>
        <v>0</v>
      </c>
      <c r="EO336" s="2040">
        <f t="shared" si="189"/>
        <v>0</v>
      </c>
      <c r="EP336" s="2040">
        <f t="shared" si="189"/>
        <v>0</v>
      </c>
      <c r="EQ336" s="2040">
        <f t="shared" si="189"/>
        <v>0</v>
      </c>
      <c r="ER336" s="2040">
        <f t="shared" si="185"/>
        <v>0</v>
      </c>
      <c r="ES336" s="2040">
        <f t="shared" si="185"/>
        <v>0</v>
      </c>
      <c r="ET336" s="2040">
        <f t="shared" si="185"/>
        <v>0</v>
      </c>
      <c r="EU336" s="2039">
        <f t="shared" si="214"/>
        <v>-2</v>
      </c>
      <c r="EV336" s="2039">
        <f t="shared" si="215"/>
        <v>-2</v>
      </c>
    </row>
    <row r="337" spans="1:152" x14ac:dyDescent="0.25">
      <c r="A337" s="2088" t="s">
        <v>235</v>
      </c>
      <c r="B337" s="2093" t="str">
        <f t="shared" si="193"/>
        <v/>
      </c>
      <c r="C337" s="1974">
        <f t="shared" si="217"/>
        <v>0</v>
      </c>
      <c r="D337" s="1974">
        <f t="shared" si="217"/>
        <v>0</v>
      </c>
      <c r="E337" s="1974">
        <f t="shared" si="217"/>
        <v>0</v>
      </c>
      <c r="F337" s="1974">
        <f t="shared" si="217"/>
        <v>0</v>
      </c>
      <c r="G337" s="1974" t="s">
        <v>2997</v>
      </c>
      <c r="H337" s="1974" t="s">
        <v>2997</v>
      </c>
      <c r="I337" s="2026">
        <v>0.96199999999999997</v>
      </c>
      <c r="J337" s="2026">
        <v>0.96199999999999997</v>
      </c>
      <c r="K337" s="2026">
        <v>0.96199999999999997</v>
      </c>
      <c r="L337" s="2026">
        <v>0.96199999999999997</v>
      </c>
      <c r="M337" s="2027">
        <f t="shared" si="205"/>
        <v>0</v>
      </c>
      <c r="N337" s="2027">
        <f t="shared" si="205"/>
        <v>0</v>
      </c>
      <c r="O337" s="2027">
        <f t="shared" si="205"/>
        <v>0</v>
      </c>
      <c r="P337" s="2027">
        <f t="shared" si="194"/>
        <v>0</v>
      </c>
      <c r="Q337" s="2026">
        <v>0.96199999999999997</v>
      </c>
      <c r="R337" s="2026">
        <v>0.96199999999999997</v>
      </c>
      <c r="S337" s="2026">
        <v>0.96199999999999997</v>
      </c>
      <c r="T337" s="2026">
        <v>0.96199999999999997</v>
      </c>
      <c r="U337" s="2028">
        <f t="shared" si="206"/>
        <v>0</v>
      </c>
      <c r="V337" s="2028">
        <f t="shared" si="206"/>
        <v>0</v>
      </c>
      <c r="W337" s="2028">
        <f t="shared" si="206"/>
        <v>0</v>
      </c>
      <c r="X337" s="2028">
        <f t="shared" si="195"/>
        <v>0</v>
      </c>
      <c r="Y337" s="2026">
        <v>0.96199999999999997</v>
      </c>
      <c r="Z337" s="2026">
        <v>0.96199999999999997</v>
      </c>
      <c r="AA337" s="2026">
        <v>0.96199999999999997</v>
      </c>
      <c r="AB337" s="2026">
        <v>0.96199999999999997</v>
      </c>
      <c r="AC337" s="2027">
        <f t="shared" si="207"/>
        <v>0</v>
      </c>
      <c r="AD337" s="2027">
        <f t="shared" si="207"/>
        <v>0</v>
      </c>
      <c r="AE337" s="2027">
        <f t="shared" si="207"/>
        <v>0</v>
      </c>
      <c r="AF337" s="2027">
        <f t="shared" si="196"/>
        <v>0</v>
      </c>
      <c r="AG337" s="2027">
        <v>0</v>
      </c>
      <c r="AH337" s="2028"/>
      <c r="AI337" s="2028"/>
      <c r="AJ337" s="2028"/>
      <c r="AK337" s="2027">
        <f t="shared" si="197"/>
        <v>0</v>
      </c>
      <c r="AL337" s="2027">
        <f t="shared" si="198"/>
        <v>0</v>
      </c>
      <c r="AM337" s="2027">
        <f t="shared" si="198"/>
        <v>0</v>
      </c>
      <c r="AN337" s="2027">
        <f t="shared" si="198"/>
        <v>0</v>
      </c>
      <c r="AO337" s="2027">
        <f t="shared" si="208"/>
        <v>0</v>
      </c>
      <c r="AP337" s="2027">
        <f t="shared" si="199"/>
        <v>0</v>
      </c>
      <c r="AQ337" s="2027">
        <f t="shared" si="199"/>
        <v>0</v>
      </c>
      <c r="AR337" s="2027">
        <f t="shared" si="199"/>
        <v>0</v>
      </c>
      <c r="AS337" s="2124">
        <f t="shared" si="212"/>
        <v>22500</v>
      </c>
      <c r="AT337" s="2029">
        <f t="shared" si="200"/>
        <v>22500</v>
      </c>
      <c r="AU337" s="2029">
        <f t="shared" si="200"/>
        <v>22500</v>
      </c>
      <c r="AV337" s="2029">
        <f t="shared" si="200"/>
        <v>22500</v>
      </c>
      <c r="AW337" s="2124">
        <f t="shared" si="201"/>
        <v>19500</v>
      </c>
      <c r="AX337" s="2029">
        <f t="shared" si="216"/>
        <v>19500</v>
      </c>
      <c r="AY337" s="2029">
        <f t="shared" si="216"/>
        <v>19500</v>
      </c>
      <c r="AZ337" s="2029">
        <f t="shared" si="216"/>
        <v>19500</v>
      </c>
      <c r="BA337" s="2124">
        <f t="shared" si="219"/>
        <v>0</v>
      </c>
      <c r="BB337" s="2029">
        <f t="shared" si="219"/>
        <v>0</v>
      </c>
      <c r="BC337" s="2029">
        <f t="shared" si="219"/>
        <v>0</v>
      </c>
      <c r="BD337" s="2029">
        <f t="shared" si="219"/>
        <v>0</v>
      </c>
      <c r="BE337" s="2030">
        <f t="shared" si="202"/>
        <v>0</v>
      </c>
      <c r="BF337" s="2030">
        <f t="shared" si="202"/>
        <v>0</v>
      </c>
      <c r="BG337" s="2030">
        <f t="shared" si="202"/>
        <v>0</v>
      </c>
      <c r="BH337" s="2030">
        <f t="shared" si="191"/>
        <v>0</v>
      </c>
      <c r="BI337" s="2030">
        <f t="shared" si="203"/>
        <v>0</v>
      </c>
      <c r="BJ337" s="2030">
        <f t="shared" si="203"/>
        <v>0</v>
      </c>
      <c r="BK337" s="2030">
        <f t="shared" si="203"/>
        <v>0</v>
      </c>
      <c r="BL337" s="2030">
        <f t="shared" si="192"/>
        <v>0</v>
      </c>
      <c r="BM337" s="2125"/>
      <c r="BN337" s="2125"/>
      <c r="BO337" s="2125"/>
      <c r="BP337" s="2125"/>
      <c r="BQ337" s="2125"/>
      <c r="BR337" s="2125"/>
      <c r="BS337" s="2125"/>
      <c r="BT337" s="2125"/>
      <c r="BU337" s="2029"/>
      <c r="BV337" s="2029"/>
      <c r="BW337" s="2029"/>
      <c r="BX337" s="2029"/>
      <c r="BY337" s="2029"/>
      <c r="BZ337" s="2032"/>
      <c r="CA337" s="1974">
        <f t="shared" si="218"/>
        <v>0</v>
      </c>
      <c r="CB337" s="1974">
        <f t="shared" si="218"/>
        <v>0</v>
      </c>
      <c r="CC337" s="1974">
        <f t="shared" si="218"/>
        <v>0</v>
      </c>
      <c r="CD337" s="1974">
        <f t="shared" si="218"/>
        <v>0</v>
      </c>
      <c r="CE337" s="1974">
        <f t="shared" si="218"/>
        <v>0</v>
      </c>
      <c r="CF337" s="2033">
        <v>0</v>
      </c>
      <c r="CG337" s="2026">
        <v>0</v>
      </c>
      <c r="CH337" s="2009">
        <f t="shared" si="218"/>
        <v>0</v>
      </c>
      <c r="CI337" s="2031">
        <f t="shared" si="218"/>
        <v>0</v>
      </c>
      <c r="CJ337" s="1974">
        <f t="shared" si="218"/>
        <v>0</v>
      </c>
      <c r="CK337" s="2031">
        <f t="shared" si="218"/>
        <v>0</v>
      </c>
      <c r="CL337" s="2026">
        <v>1</v>
      </c>
      <c r="CM337" s="2026">
        <v>1</v>
      </c>
      <c r="CN337" s="2026">
        <v>1</v>
      </c>
      <c r="CO337" s="2026">
        <v>1</v>
      </c>
      <c r="CP337" s="2035"/>
      <c r="CQ337" s="2036"/>
      <c r="CR337" s="2036"/>
      <c r="CS337" s="2036"/>
      <c r="CT337" s="2036"/>
      <c r="CU337" s="2036"/>
      <c r="CW337" s="1973">
        <v>0</v>
      </c>
      <c r="CX337" s="2037">
        <v>42000</v>
      </c>
      <c r="CY337" s="2037">
        <v>42000</v>
      </c>
      <c r="CZ337" s="2037">
        <v>42000</v>
      </c>
      <c r="DA337" s="2037">
        <v>42000</v>
      </c>
      <c r="DJ337" s="1976">
        <v>22500</v>
      </c>
      <c r="DK337" s="1973">
        <v>22500</v>
      </c>
      <c r="DL337" s="1973">
        <v>22500</v>
      </c>
      <c r="DM337" s="1973">
        <v>22500</v>
      </c>
      <c r="DO337" s="1974">
        <v>0</v>
      </c>
      <c r="DP337" s="1974">
        <v>0</v>
      </c>
      <c r="DQ337" s="1974">
        <v>0</v>
      </c>
      <c r="DR337" s="1974">
        <v>0</v>
      </c>
      <c r="DS337" s="2124">
        <v>22500</v>
      </c>
      <c r="DT337" s="2029">
        <v>22500</v>
      </c>
      <c r="DU337" s="2029">
        <v>22500</v>
      </c>
      <c r="DV337" s="2029">
        <v>22500</v>
      </c>
      <c r="DW337" s="2124">
        <v>19500</v>
      </c>
      <c r="DX337" s="2029">
        <v>19500</v>
      </c>
      <c r="DY337" s="2029">
        <v>19500</v>
      </c>
      <c r="DZ337" s="2029">
        <v>19500</v>
      </c>
      <c r="EA337" s="2124">
        <v>0</v>
      </c>
      <c r="EB337" s="2029">
        <v>0</v>
      </c>
      <c r="EC337" s="2029">
        <v>0</v>
      </c>
      <c r="ED337" s="2029">
        <v>0</v>
      </c>
      <c r="EE337" s="2039">
        <f t="shared" si="213"/>
        <v>0</v>
      </c>
      <c r="EF337" s="2039">
        <f t="shared" si="213"/>
        <v>0</v>
      </c>
      <c r="EG337" s="2039">
        <f t="shared" si="213"/>
        <v>0</v>
      </c>
      <c r="EH337" s="2039">
        <f t="shared" si="213"/>
        <v>0</v>
      </c>
      <c r="EI337" s="2040">
        <f t="shared" si="190"/>
        <v>0</v>
      </c>
      <c r="EJ337" s="2040">
        <f t="shared" si="190"/>
        <v>0</v>
      </c>
      <c r="EK337" s="2040">
        <f t="shared" si="190"/>
        <v>0</v>
      </c>
      <c r="EL337" s="2040">
        <f t="shared" si="189"/>
        <v>0</v>
      </c>
      <c r="EM337" s="2040">
        <f t="shared" si="189"/>
        <v>0</v>
      </c>
      <c r="EN337" s="2040">
        <f t="shared" si="189"/>
        <v>0</v>
      </c>
      <c r="EO337" s="2040">
        <f t="shared" si="189"/>
        <v>0</v>
      </c>
      <c r="EP337" s="2040">
        <f t="shared" si="189"/>
        <v>0</v>
      </c>
      <c r="EQ337" s="2040">
        <f t="shared" si="189"/>
        <v>0</v>
      </c>
      <c r="ER337" s="2040">
        <f t="shared" si="185"/>
        <v>0</v>
      </c>
      <c r="ES337" s="2040">
        <f t="shared" si="185"/>
        <v>0</v>
      </c>
      <c r="ET337" s="2040">
        <f t="shared" si="185"/>
        <v>0</v>
      </c>
      <c r="EU337" s="2039">
        <f t="shared" si="214"/>
        <v>0</v>
      </c>
      <c r="EV337" s="2039">
        <f t="shared" si="215"/>
        <v>0</v>
      </c>
    </row>
    <row r="338" spans="1:152" x14ac:dyDescent="0.25">
      <c r="A338" s="2088" t="s">
        <v>236</v>
      </c>
      <c r="B338" s="2093" t="str">
        <f t="shared" si="193"/>
        <v>Pilot with Residential?</v>
      </c>
      <c r="C338" s="1974">
        <f t="shared" si="217"/>
        <v>0</v>
      </c>
      <c r="D338" s="1974">
        <f t="shared" si="217"/>
        <v>0</v>
      </c>
      <c r="E338" s="1974">
        <f t="shared" si="217"/>
        <v>0</v>
      </c>
      <c r="F338" s="1974">
        <f t="shared" si="217"/>
        <v>0</v>
      </c>
      <c r="G338" s="1974" t="s">
        <v>2997</v>
      </c>
      <c r="H338" s="1974" t="s">
        <v>2997</v>
      </c>
      <c r="I338" s="2026">
        <v>0.96199999999999997</v>
      </c>
      <c r="J338" s="2026">
        <v>0.96199999999999997</v>
      </c>
      <c r="K338" s="2026">
        <v>0.96199999999999997</v>
      </c>
      <c r="L338" s="2026">
        <v>0.96199999999999997</v>
      </c>
      <c r="M338" s="2027">
        <f t="shared" si="205"/>
        <v>0</v>
      </c>
      <c r="N338" s="2027">
        <f t="shared" si="205"/>
        <v>0</v>
      </c>
      <c r="O338" s="2027">
        <f t="shared" si="205"/>
        <v>0</v>
      </c>
      <c r="P338" s="2027">
        <f t="shared" si="194"/>
        <v>0</v>
      </c>
      <c r="Q338" s="2026">
        <v>0.96199999999999997</v>
      </c>
      <c r="R338" s="2026">
        <v>0.96199999999999997</v>
      </c>
      <c r="S338" s="2026">
        <v>0.96199999999999997</v>
      </c>
      <c r="T338" s="2026">
        <v>0.96199999999999997</v>
      </c>
      <c r="U338" s="2028">
        <f t="shared" si="206"/>
        <v>0</v>
      </c>
      <c r="V338" s="2028">
        <f t="shared" si="206"/>
        <v>0</v>
      </c>
      <c r="W338" s="2028">
        <f t="shared" si="206"/>
        <v>0</v>
      </c>
      <c r="X338" s="2028">
        <f t="shared" si="195"/>
        <v>0</v>
      </c>
      <c r="Y338" s="2026">
        <v>0.96199999999999997</v>
      </c>
      <c r="Z338" s="2026">
        <v>0.96199999999999997</v>
      </c>
      <c r="AA338" s="2026">
        <v>0.96199999999999997</v>
      </c>
      <c r="AB338" s="2026">
        <v>0.96199999999999997</v>
      </c>
      <c r="AC338" s="2027">
        <f t="shared" si="207"/>
        <v>0</v>
      </c>
      <c r="AD338" s="2027">
        <f t="shared" si="207"/>
        <v>0</v>
      </c>
      <c r="AE338" s="2027">
        <f t="shared" si="207"/>
        <v>0</v>
      </c>
      <c r="AF338" s="2027">
        <f t="shared" si="196"/>
        <v>0</v>
      </c>
      <c r="AG338" s="2027">
        <v>0</v>
      </c>
      <c r="AH338" s="2028"/>
      <c r="AI338" s="2028"/>
      <c r="AJ338" s="2028"/>
      <c r="AK338" s="2027">
        <f t="shared" si="197"/>
        <v>0</v>
      </c>
      <c r="AL338" s="2027">
        <f t="shared" si="198"/>
        <v>0</v>
      </c>
      <c r="AM338" s="2027">
        <f t="shared" si="198"/>
        <v>0</v>
      </c>
      <c r="AN338" s="2027">
        <f t="shared" si="198"/>
        <v>0</v>
      </c>
      <c r="AO338" s="2027">
        <f t="shared" si="208"/>
        <v>0</v>
      </c>
      <c r="AP338" s="2027">
        <f t="shared" si="199"/>
        <v>0</v>
      </c>
      <c r="AQ338" s="2027">
        <f t="shared" si="199"/>
        <v>0</v>
      </c>
      <c r="AR338" s="2027">
        <f t="shared" si="199"/>
        <v>0</v>
      </c>
      <c r="AS338" s="2124">
        <f t="shared" si="212"/>
        <v>22500</v>
      </c>
      <c r="AT338" s="2029">
        <f t="shared" si="200"/>
        <v>22500</v>
      </c>
      <c r="AU338" s="2029">
        <f t="shared" si="200"/>
        <v>22500</v>
      </c>
      <c r="AV338" s="2029">
        <f t="shared" si="200"/>
        <v>22500</v>
      </c>
      <c r="AW338" s="2124">
        <f t="shared" si="201"/>
        <v>19500</v>
      </c>
      <c r="AX338" s="2029">
        <f t="shared" si="216"/>
        <v>19500</v>
      </c>
      <c r="AY338" s="2029">
        <f t="shared" si="216"/>
        <v>19500</v>
      </c>
      <c r="AZ338" s="2029">
        <f t="shared" si="216"/>
        <v>19500</v>
      </c>
      <c r="BA338" s="2124">
        <f t="shared" si="219"/>
        <v>0</v>
      </c>
      <c r="BB338" s="2029">
        <f t="shared" si="219"/>
        <v>0</v>
      </c>
      <c r="BC338" s="2029">
        <f t="shared" si="219"/>
        <v>0</v>
      </c>
      <c r="BD338" s="2029">
        <f t="shared" si="219"/>
        <v>0</v>
      </c>
      <c r="BE338" s="2030">
        <f t="shared" si="202"/>
        <v>0</v>
      </c>
      <c r="BF338" s="2030">
        <f t="shared" si="202"/>
        <v>0</v>
      </c>
      <c r="BG338" s="2030">
        <f t="shared" si="202"/>
        <v>0</v>
      </c>
      <c r="BH338" s="2030">
        <f t="shared" si="191"/>
        <v>0</v>
      </c>
      <c r="BI338" s="2030">
        <f t="shared" si="203"/>
        <v>0</v>
      </c>
      <c r="BJ338" s="2030">
        <f t="shared" si="203"/>
        <v>0</v>
      </c>
      <c r="BK338" s="2030">
        <f t="shared" si="203"/>
        <v>0</v>
      </c>
      <c r="BL338" s="2030">
        <f t="shared" si="192"/>
        <v>0</v>
      </c>
      <c r="BM338" s="2125"/>
      <c r="BN338" s="2125"/>
      <c r="BO338" s="2125"/>
      <c r="BP338" s="2125"/>
      <c r="BQ338" s="2125"/>
      <c r="BR338" s="2125"/>
      <c r="BS338" s="2125"/>
      <c r="BT338" s="2125"/>
      <c r="BU338" s="2029"/>
      <c r="BV338" s="2029"/>
      <c r="BW338" s="2029"/>
      <c r="BX338" s="2029"/>
      <c r="BY338" s="2029"/>
      <c r="BZ338" s="2032"/>
      <c r="CA338" s="1974">
        <f t="shared" si="218"/>
        <v>0</v>
      </c>
      <c r="CB338" s="1974">
        <f t="shared" si="218"/>
        <v>0</v>
      </c>
      <c r="CC338" s="1974">
        <f t="shared" si="218"/>
        <v>0</v>
      </c>
      <c r="CD338" s="1974">
        <f t="shared" si="218"/>
        <v>0</v>
      </c>
      <c r="CE338" s="1974">
        <f t="shared" si="218"/>
        <v>0</v>
      </c>
      <c r="CF338" s="2033">
        <v>0</v>
      </c>
      <c r="CG338" s="2026">
        <v>0</v>
      </c>
      <c r="CH338" s="2009">
        <f t="shared" si="218"/>
        <v>0</v>
      </c>
      <c r="CI338" s="2031">
        <f t="shared" si="218"/>
        <v>0</v>
      </c>
      <c r="CJ338" s="1974">
        <f t="shared" si="218"/>
        <v>0</v>
      </c>
      <c r="CK338" s="2031">
        <f t="shared" si="218"/>
        <v>0</v>
      </c>
      <c r="CL338" s="2026">
        <v>1</v>
      </c>
      <c r="CM338" s="2026">
        <v>1</v>
      </c>
      <c r="CN338" s="2026">
        <v>1</v>
      </c>
      <c r="CO338" s="2026">
        <v>1</v>
      </c>
      <c r="CP338" s="2035"/>
      <c r="CQ338" s="2036"/>
      <c r="CR338" s="2036"/>
      <c r="CS338" s="2036"/>
      <c r="CT338" s="2036"/>
      <c r="CU338" s="2036"/>
      <c r="CW338" s="1973">
        <v>0</v>
      </c>
      <c r="CX338" s="2037">
        <v>42000</v>
      </c>
      <c r="CY338" s="2037">
        <v>42000</v>
      </c>
      <c r="CZ338" s="2037">
        <v>42000</v>
      </c>
      <c r="DA338" s="2037">
        <v>42000</v>
      </c>
      <c r="DJ338" s="1976">
        <v>22500</v>
      </c>
      <c r="DK338" s="1973">
        <v>22500</v>
      </c>
      <c r="DL338" s="1973">
        <v>22500</v>
      </c>
      <c r="DM338" s="1973">
        <v>22500</v>
      </c>
      <c r="DO338" s="1974">
        <v>0</v>
      </c>
      <c r="DP338" s="1974">
        <v>0</v>
      </c>
      <c r="DQ338" s="1974">
        <v>0</v>
      </c>
      <c r="DR338" s="1974">
        <v>0</v>
      </c>
      <c r="DS338" s="2124">
        <v>22500</v>
      </c>
      <c r="DT338" s="2029">
        <v>22500</v>
      </c>
      <c r="DU338" s="2029">
        <v>22500</v>
      </c>
      <c r="DV338" s="2029">
        <v>22500</v>
      </c>
      <c r="DW338" s="2124">
        <v>19500</v>
      </c>
      <c r="DX338" s="2029">
        <v>19500</v>
      </c>
      <c r="DY338" s="2029">
        <v>19500</v>
      </c>
      <c r="DZ338" s="2029">
        <v>19500</v>
      </c>
      <c r="EA338" s="2124">
        <v>0</v>
      </c>
      <c r="EB338" s="2029">
        <v>0</v>
      </c>
      <c r="EC338" s="2029">
        <v>0</v>
      </c>
      <c r="ED338" s="2029">
        <v>0</v>
      </c>
      <c r="EE338" s="2039">
        <f t="shared" si="213"/>
        <v>0</v>
      </c>
      <c r="EF338" s="2039">
        <f t="shared" si="213"/>
        <v>0</v>
      </c>
      <c r="EG338" s="2039">
        <f t="shared" si="213"/>
        <v>0</v>
      </c>
      <c r="EH338" s="2039">
        <f t="shared" si="213"/>
        <v>0</v>
      </c>
      <c r="EI338" s="2040">
        <f t="shared" si="190"/>
        <v>0</v>
      </c>
      <c r="EJ338" s="2040">
        <f t="shared" si="190"/>
        <v>0</v>
      </c>
      <c r="EK338" s="2040">
        <f t="shared" si="190"/>
        <v>0</v>
      </c>
      <c r="EL338" s="2040">
        <f t="shared" si="189"/>
        <v>0</v>
      </c>
      <c r="EM338" s="2040">
        <f t="shared" si="189"/>
        <v>0</v>
      </c>
      <c r="EN338" s="2040">
        <f t="shared" si="189"/>
        <v>0</v>
      </c>
      <c r="EO338" s="2040">
        <f t="shared" si="189"/>
        <v>0</v>
      </c>
      <c r="EP338" s="2040">
        <f t="shared" si="189"/>
        <v>0</v>
      </c>
      <c r="EQ338" s="2040">
        <f t="shared" si="189"/>
        <v>0</v>
      </c>
      <c r="ER338" s="2040">
        <f t="shared" si="185"/>
        <v>0</v>
      </c>
      <c r="ES338" s="2040">
        <f t="shared" si="185"/>
        <v>0</v>
      </c>
      <c r="ET338" s="2040">
        <f t="shared" si="185"/>
        <v>0</v>
      </c>
      <c r="EU338" s="2039">
        <f t="shared" si="214"/>
        <v>0</v>
      </c>
      <c r="EV338" s="2039">
        <f t="shared" si="215"/>
        <v>0</v>
      </c>
    </row>
    <row r="339" spans="1:152" x14ac:dyDescent="0.25">
      <c r="A339" s="2088" t="s">
        <v>237</v>
      </c>
      <c r="B339" s="2093" t="str">
        <f t="shared" si="193"/>
        <v>HVAC/Motor Midstream Pilot</v>
      </c>
      <c r="C339" s="1974">
        <f t="shared" si="217"/>
        <v>0</v>
      </c>
      <c r="D339" s="1974">
        <f t="shared" si="217"/>
        <v>0</v>
      </c>
      <c r="E339" s="1974">
        <f t="shared" si="217"/>
        <v>0</v>
      </c>
      <c r="F339" s="1974">
        <f t="shared" si="217"/>
        <v>0</v>
      </c>
      <c r="G339" s="1974" t="s">
        <v>2997</v>
      </c>
      <c r="H339" s="1974" t="s">
        <v>2997</v>
      </c>
      <c r="I339" s="2026">
        <v>0.96199999999999997</v>
      </c>
      <c r="J339" s="2026">
        <v>0.96199999999999997</v>
      </c>
      <c r="K339" s="2026">
        <v>0.96199999999999997</v>
      </c>
      <c r="L339" s="2026">
        <v>0.96199999999999997</v>
      </c>
      <c r="M339" s="2027">
        <f t="shared" si="205"/>
        <v>0</v>
      </c>
      <c r="N339" s="2027">
        <f t="shared" si="205"/>
        <v>0</v>
      </c>
      <c r="O339" s="2027">
        <f t="shared" si="205"/>
        <v>0</v>
      </c>
      <c r="P339" s="2027">
        <f t="shared" si="194"/>
        <v>0</v>
      </c>
      <c r="Q339" s="2026">
        <v>0.96199999999999997</v>
      </c>
      <c r="R339" s="2026">
        <v>0.96199999999999997</v>
      </c>
      <c r="S339" s="2026">
        <v>0.96199999999999997</v>
      </c>
      <c r="T339" s="2026">
        <v>0.96199999999999997</v>
      </c>
      <c r="U339" s="2028">
        <f t="shared" si="206"/>
        <v>0</v>
      </c>
      <c r="V339" s="2028">
        <f t="shared" si="206"/>
        <v>0</v>
      </c>
      <c r="W339" s="2028">
        <f t="shared" si="206"/>
        <v>0</v>
      </c>
      <c r="X339" s="2028">
        <f t="shared" si="195"/>
        <v>0</v>
      </c>
      <c r="Y339" s="2026">
        <v>0.96199999999999997</v>
      </c>
      <c r="Z339" s="2026">
        <v>0.96199999999999997</v>
      </c>
      <c r="AA339" s="2026">
        <v>0.96199999999999997</v>
      </c>
      <c r="AB339" s="2026">
        <v>0.96199999999999997</v>
      </c>
      <c r="AC339" s="2027">
        <f t="shared" si="207"/>
        <v>0</v>
      </c>
      <c r="AD339" s="2027">
        <f t="shared" si="207"/>
        <v>0</v>
      </c>
      <c r="AE339" s="2027">
        <f t="shared" si="207"/>
        <v>0</v>
      </c>
      <c r="AF339" s="2027">
        <f t="shared" si="196"/>
        <v>0</v>
      </c>
      <c r="AG339" s="2027">
        <v>0</v>
      </c>
      <c r="AH339" s="2028"/>
      <c r="AI339" s="2028"/>
      <c r="AJ339" s="2028"/>
      <c r="AK339" s="2027">
        <f t="shared" si="197"/>
        <v>0</v>
      </c>
      <c r="AL339" s="2027">
        <f t="shared" si="198"/>
        <v>0</v>
      </c>
      <c r="AM339" s="2027">
        <f t="shared" si="198"/>
        <v>0</v>
      </c>
      <c r="AN339" s="2027">
        <f t="shared" si="198"/>
        <v>0</v>
      </c>
      <c r="AO339" s="2027">
        <f t="shared" si="208"/>
        <v>0</v>
      </c>
      <c r="AP339" s="2027">
        <f t="shared" si="199"/>
        <v>0</v>
      </c>
      <c r="AQ339" s="2027">
        <f t="shared" si="199"/>
        <v>0</v>
      </c>
      <c r="AR339" s="2027">
        <f t="shared" si="199"/>
        <v>0</v>
      </c>
      <c r="AS339" s="2124">
        <f t="shared" si="212"/>
        <v>0</v>
      </c>
      <c r="AT339" s="2029">
        <f t="shared" si="200"/>
        <v>0</v>
      </c>
      <c r="AU339" s="2029">
        <f t="shared" si="200"/>
        <v>0</v>
      </c>
      <c r="AV339" s="2029">
        <f t="shared" si="200"/>
        <v>0</v>
      </c>
      <c r="AW339" s="2124">
        <f t="shared" si="201"/>
        <v>0</v>
      </c>
      <c r="AX339" s="2029">
        <f t="shared" si="216"/>
        <v>0</v>
      </c>
      <c r="AY339" s="2029">
        <f t="shared" si="216"/>
        <v>0</v>
      </c>
      <c r="AZ339" s="2029">
        <f t="shared" si="216"/>
        <v>0</v>
      </c>
      <c r="BA339" s="2124">
        <f t="shared" si="219"/>
        <v>0</v>
      </c>
      <c r="BB339" s="2029">
        <f t="shared" si="219"/>
        <v>0</v>
      </c>
      <c r="BC339" s="2029">
        <f t="shared" si="219"/>
        <v>0</v>
      </c>
      <c r="BD339" s="2029">
        <f t="shared" si="219"/>
        <v>0</v>
      </c>
      <c r="BE339" s="2030">
        <f t="shared" si="202"/>
        <v>0</v>
      </c>
      <c r="BF339" s="2030">
        <f t="shared" si="202"/>
        <v>0</v>
      </c>
      <c r="BG339" s="2030">
        <f t="shared" si="202"/>
        <v>0</v>
      </c>
      <c r="BH339" s="2030">
        <f t="shared" si="191"/>
        <v>0</v>
      </c>
      <c r="BI339" s="2030">
        <f t="shared" si="203"/>
        <v>0</v>
      </c>
      <c r="BJ339" s="2030">
        <f t="shared" si="203"/>
        <v>0</v>
      </c>
      <c r="BK339" s="2030">
        <f t="shared" si="203"/>
        <v>0</v>
      </c>
      <c r="BL339" s="2030">
        <f t="shared" si="192"/>
        <v>0</v>
      </c>
      <c r="BM339" s="2125"/>
      <c r="BN339" s="2125"/>
      <c r="BO339" s="2125"/>
      <c r="BP339" s="2125"/>
      <c r="BQ339" s="2125"/>
      <c r="BR339" s="2125"/>
      <c r="BS339" s="2125"/>
      <c r="BT339" s="2125"/>
      <c r="BU339" s="2029"/>
      <c r="BV339" s="2029"/>
      <c r="BW339" s="2029"/>
      <c r="BX339" s="2029"/>
      <c r="BY339" s="2029"/>
      <c r="BZ339" s="2032"/>
      <c r="CA339" s="1974">
        <f t="shared" si="218"/>
        <v>0</v>
      </c>
      <c r="CB339" s="1974">
        <f t="shared" si="218"/>
        <v>0</v>
      </c>
      <c r="CC339" s="1974">
        <f t="shared" si="218"/>
        <v>0</v>
      </c>
      <c r="CD339" s="1974">
        <f t="shared" si="218"/>
        <v>0</v>
      </c>
      <c r="CE339" s="1974">
        <f t="shared" si="218"/>
        <v>0</v>
      </c>
      <c r="CF339" s="2033">
        <v>0</v>
      </c>
      <c r="CG339" s="2026">
        <v>0</v>
      </c>
      <c r="CH339" s="2009">
        <f t="shared" si="218"/>
        <v>0</v>
      </c>
      <c r="CI339" s="2031">
        <f t="shared" si="218"/>
        <v>0</v>
      </c>
      <c r="CJ339" s="1974">
        <f t="shared" si="218"/>
        <v>0</v>
      </c>
      <c r="CK339" s="2031">
        <f t="shared" si="218"/>
        <v>0</v>
      </c>
      <c r="CL339" s="2026">
        <v>1</v>
      </c>
      <c r="CM339" s="2026">
        <v>1</v>
      </c>
      <c r="CN339" s="2026">
        <v>1</v>
      </c>
      <c r="CO339" s="2026">
        <v>1</v>
      </c>
      <c r="CP339" s="2035"/>
      <c r="CQ339" s="2036"/>
      <c r="CR339" s="2036"/>
      <c r="CS339" s="2036"/>
      <c r="CT339" s="2036"/>
      <c r="CU339" s="2036"/>
      <c r="CW339" s="1973">
        <v>0</v>
      </c>
      <c r="CX339" s="2037">
        <v>0</v>
      </c>
      <c r="CY339" s="2037">
        <v>0</v>
      </c>
      <c r="CZ339" s="2037">
        <v>0</v>
      </c>
      <c r="DA339" s="2037">
        <v>0</v>
      </c>
      <c r="DJ339" s="1976">
        <v>0</v>
      </c>
      <c r="DK339" s="1973">
        <v>0</v>
      </c>
      <c r="DL339" s="1973">
        <v>0</v>
      </c>
      <c r="DM339" s="1973">
        <v>0</v>
      </c>
      <c r="DO339" s="1974">
        <v>0</v>
      </c>
      <c r="DP339" s="1974">
        <v>0</v>
      </c>
      <c r="DQ339" s="1974">
        <v>0</v>
      </c>
      <c r="DR339" s="1974">
        <v>0</v>
      </c>
      <c r="DS339" s="2124">
        <v>0</v>
      </c>
      <c r="DT339" s="2029">
        <v>0</v>
      </c>
      <c r="DU339" s="2029">
        <v>0</v>
      </c>
      <c r="DV339" s="2029">
        <v>0</v>
      </c>
      <c r="DW339" s="2124">
        <v>0</v>
      </c>
      <c r="DX339" s="2029">
        <v>0</v>
      </c>
      <c r="DY339" s="2029">
        <v>0</v>
      </c>
      <c r="DZ339" s="2029">
        <v>0</v>
      </c>
      <c r="EA339" s="2124">
        <v>0</v>
      </c>
      <c r="EB339" s="2029">
        <v>0</v>
      </c>
      <c r="EC339" s="2029">
        <v>0</v>
      </c>
      <c r="ED339" s="2029">
        <v>0</v>
      </c>
      <c r="EE339" s="2039">
        <f t="shared" si="213"/>
        <v>0</v>
      </c>
      <c r="EF339" s="2039">
        <f t="shared" si="213"/>
        <v>0</v>
      </c>
      <c r="EG339" s="2039">
        <f t="shared" si="213"/>
        <v>0</v>
      </c>
      <c r="EH339" s="2039">
        <f t="shared" si="213"/>
        <v>0</v>
      </c>
      <c r="EI339" s="2040">
        <f t="shared" si="190"/>
        <v>0</v>
      </c>
      <c r="EJ339" s="2040">
        <f t="shared" si="190"/>
        <v>0</v>
      </c>
      <c r="EK339" s="2040">
        <f t="shared" si="190"/>
        <v>0</v>
      </c>
      <c r="EL339" s="2040">
        <f t="shared" si="189"/>
        <v>0</v>
      </c>
      <c r="EM339" s="2040">
        <f t="shared" si="189"/>
        <v>0</v>
      </c>
      <c r="EN339" s="2040">
        <f t="shared" si="189"/>
        <v>0</v>
      </c>
      <c r="EO339" s="2040">
        <f t="shared" si="189"/>
        <v>0</v>
      </c>
      <c r="EP339" s="2040">
        <f t="shared" si="189"/>
        <v>0</v>
      </c>
      <c r="EQ339" s="2040">
        <f t="shared" si="189"/>
        <v>0</v>
      </c>
      <c r="ER339" s="2040">
        <f t="shared" si="185"/>
        <v>0</v>
      </c>
      <c r="ES339" s="2040">
        <f t="shared" si="185"/>
        <v>0</v>
      </c>
      <c r="ET339" s="2040">
        <f t="shared" si="185"/>
        <v>0</v>
      </c>
      <c r="EU339" s="2039">
        <f t="shared" si="214"/>
        <v>0</v>
      </c>
      <c r="EV339" s="2039">
        <f t="shared" si="215"/>
        <v>0</v>
      </c>
    </row>
    <row r="340" spans="1:152" x14ac:dyDescent="0.25">
      <c r="A340" s="2088" t="s">
        <v>238</v>
      </c>
      <c r="B340" s="2093" t="str">
        <f t="shared" si="193"/>
        <v>HVAC/Motor Midstream Pilot</v>
      </c>
      <c r="C340" s="1974">
        <f t="shared" si="217"/>
        <v>0</v>
      </c>
      <c r="D340" s="1974">
        <f t="shared" si="217"/>
        <v>0</v>
      </c>
      <c r="E340" s="1974">
        <f t="shared" si="217"/>
        <v>0</v>
      </c>
      <c r="F340" s="1974">
        <f t="shared" si="217"/>
        <v>0</v>
      </c>
      <c r="G340" s="1974" t="s">
        <v>2997</v>
      </c>
      <c r="H340" s="1974" t="s">
        <v>2997</v>
      </c>
      <c r="I340" s="2026">
        <v>0.96199999999999997</v>
      </c>
      <c r="J340" s="2026">
        <v>0.96199999999999997</v>
      </c>
      <c r="K340" s="2026">
        <v>0.96199999999999997</v>
      </c>
      <c r="L340" s="2026">
        <v>0.96199999999999997</v>
      </c>
      <c r="M340" s="2027">
        <f t="shared" si="205"/>
        <v>0</v>
      </c>
      <c r="N340" s="2027">
        <f t="shared" si="205"/>
        <v>0</v>
      </c>
      <c r="O340" s="2027">
        <f t="shared" si="205"/>
        <v>0</v>
      </c>
      <c r="P340" s="2027">
        <f t="shared" si="194"/>
        <v>0</v>
      </c>
      <c r="Q340" s="2026">
        <v>0.96199999999999997</v>
      </c>
      <c r="R340" s="2026">
        <v>0.96199999999999997</v>
      </c>
      <c r="S340" s="2026">
        <v>0.96199999999999997</v>
      </c>
      <c r="T340" s="2026">
        <v>0.96199999999999997</v>
      </c>
      <c r="U340" s="2028">
        <f t="shared" si="206"/>
        <v>0</v>
      </c>
      <c r="V340" s="2028">
        <f t="shared" si="206"/>
        <v>0</v>
      </c>
      <c r="W340" s="2028">
        <f t="shared" si="206"/>
        <v>0</v>
      </c>
      <c r="X340" s="2028">
        <f t="shared" si="195"/>
        <v>0</v>
      </c>
      <c r="Y340" s="2026">
        <v>0.96199999999999997</v>
      </c>
      <c r="Z340" s="2026">
        <v>0.96199999999999997</v>
      </c>
      <c r="AA340" s="2026">
        <v>0.96199999999999997</v>
      </c>
      <c r="AB340" s="2026">
        <v>0.96199999999999997</v>
      </c>
      <c r="AC340" s="2027">
        <f t="shared" si="207"/>
        <v>0</v>
      </c>
      <c r="AD340" s="2027">
        <f t="shared" si="207"/>
        <v>0</v>
      </c>
      <c r="AE340" s="2027">
        <f t="shared" si="207"/>
        <v>0</v>
      </c>
      <c r="AF340" s="2027">
        <f t="shared" si="196"/>
        <v>0</v>
      </c>
      <c r="AG340" s="2027">
        <v>0</v>
      </c>
      <c r="AH340" s="2028"/>
      <c r="AI340" s="2028"/>
      <c r="AJ340" s="2028"/>
      <c r="AK340" s="2027">
        <f t="shared" si="197"/>
        <v>0</v>
      </c>
      <c r="AL340" s="2027">
        <f t="shared" si="198"/>
        <v>0</v>
      </c>
      <c r="AM340" s="2027">
        <f t="shared" si="198"/>
        <v>0</v>
      </c>
      <c r="AN340" s="2027">
        <f t="shared" si="198"/>
        <v>0</v>
      </c>
      <c r="AO340" s="2027">
        <f t="shared" si="208"/>
        <v>0</v>
      </c>
      <c r="AP340" s="2027">
        <f t="shared" si="199"/>
        <v>0</v>
      </c>
      <c r="AQ340" s="2027">
        <f t="shared" si="199"/>
        <v>0</v>
      </c>
      <c r="AR340" s="2027">
        <f t="shared" si="199"/>
        <v>0</v>
      </c>
      <c r="AS340" s="2124">
        <f t="shared" si="212"/>
        <v>0</v>
      </c>
      <c r="AT340" s="2029">
        <f t="shared" si="200"/>
        <v>0</v>
      </c>
      <c r="AU340" s="2029">
        <f t="shared" si="200"/>
        <v>0</v>
      </c>
      <c r="AV340" s="2029">
        <f t="shared" si="200"/>
        <v>0</v>
      </c>
      <c r="AW340" s="2124">
        <f t="shared" si="201"/>
        <v>0</v>
      </c>
      <c r="AX340" s="2029">
        <f t="shared" si="216"/>
        <v>0</v>
      </c>
      <c r="AY340" s="2029">
        <f t="shared" si="216"/>
        <v>0</v>
      </c>
      <c r="AZ340" s="2029">
        <f t="shared" si="216"/>
        <v>0</v>
      </c>
      <c r="BA340" s="2124">
        <f t="shared" si="219"/>
        <v>0</v>
      </c>
      <c r="BB340" s="2029">
        <f t="shared" si="219"/>
        <v>0</v>
      </c>
      <c r="BC340" s="2029">
        <f t="shared" si="219"/>
        <v>0</v>
      </c>
      <c r="BD340" s="2029">
        <f t="shared" si="219"/>
        <v>0</v>
      </c>
      <c r="BE340" s="2030">
        <f t="shared" si="202"/>
        <v>0</v>
      </c>
      <c r="BF340" s="2030">
        <f t="shared" si="202"/>
        <v>0</v>
      </c>
      <c r="BG340" s="2030">
        <f t="shared" si="202"/>
        <v>0</v>
      </c>
      <c r="BH340" s="2030">
        <f t="shared" si="191"/>
        <v>0</v>
      </c>
      <c r="BI340" s="2030">
        <f t="shared" si="203"/>
        <v>0</v>
      </c>
      <c r="BJ340" s="2030">
        <f t="shared" si="203"/>
        <v>0</v>
      </c>
      <c r="BK340" s="2030">
        <f t="shared" si="203"/>
        <v>0</v>
      </c>
      <c r="BL340" s="2030">
        <f t="shared" si="192"/>
        <v>0</v>
      </c>
      <c r="BM340" s="2125"/>
      <c r="BN340" s="2125"/>
      <c r="BO340" s="2125"/>
      <c r="BP340" s="2125"/>
      <c r="BQ340" s="2125"/>
      <c r="BR340" s="2125"/>
      <c r="BS340" s="2125"/>
      <c r="BT340" s="2125"/>
      <c r="BU340" s="2029"/>
      <c r="BV340" s="2029"/>
      <c r="BW340" s="2029"/>
      <c r="BX340" s="2029"/>
      <c r="BY340" s="2029"/>
      <c r="BZ340" s="2032"/>
      <c r="CA340" s="1974">
        <f t="shared" si="218"/>
        <v>0</v>
      </c>
      <c r="CB340" s="1974">
        <f t="shared" si="218"/>
        <v>0</v>
      </c>
      <c r="CC340" s="1974">
        <f t="shared" si="218"/>
        <v>0</v>
      </c>
      <c r="CD340" s="1974">
        <f t="shared" si="218"/>
        <v>0</v>
      </c>
      <c r="CE340" s="1974">
        <f t="shared" si="218"/>
        <v>0</v>
      </c>
      <c r="CF340" s="2033">
        <v>0</v>
      </c>
      <c r="CG340" s="2026">
        <v>0</v>
      </c>
      <c r="CH340" s="2009">
        <f t="shared" si="218"/>
        <v>0</v>
      </c>
      <c r="CI340" s="2031">
        <f t="shared" si="218"/>
        <v>0</v>
      </c>
      <c r="CJ340" s="1974">
        <f t="shared" si="218"/>
        <v>0</v>
      </c>
      <c r="CK340" s="2031">
        <f t="shared" si="218"/>
        <v>0</v>
      </c>
      <c r="CL340" s="2026">
        <v>1</v>
      </c>
      <c r="CM340" s="2026">
        <v>1</v>
      </c>
      <c r="CN340" s="2026">
        <v>1</v>
      </c>
      <c r="CO340" s="2026">
        <v>1</v>
      </c>
      <c r="CP340" s="2035"/>
      <c r="CQ340" s="2036"/>
      <c r="CR340" s="2036"/>
      <c r="CS340" s="2036"/>
      <c r="CT340" s="2036"/>
      <c r="CU340" s="2036"/>
      <c r="CW340" s="1973">
        <v>0</v>
      </c>
      <c r="CX340" s="2037">
        <v>0</v>
      </c>
      <c r="CY340" s="2037">
        <v>0</v>
      </c>
      <c r="CZ340" s="2037">
        <v>0</v>
      </c>
      <c r="DA340" s="2037">
        <v>0</v>
      </c>
      <c r="DJ340" s="1976">
        <v>0</v>
      </c>
      <c r="DK340" s="1973">
        <v>0</v>
      </c>
      <c r="DL340" s="1973">
        <v>0</v>
      </c>
      <c r="DM340" s="1973">
        <v>0</v>
      </c>
      <c r="DO340" s="1974">
        <v>0</v>
      </c>
      <c r="DP340" s="1974">
        <v>0</v>
      </c>
      <c r="DQ340" s="1974">
        <v>0</v>
      </c>
      <c r="DR340" s="1974">
        <v>0</v>
      </c>
      <c r="DS340" s="2124">
        <v>0</v>
      </c>
      <c r="DT340" s="2029">
        <v>0</v>
      </c>
      <c r="DU340" s="2029">
        <v>0</v>
      </c>
      <c r="DV340" s="2029">
        <v>0</v>
      </c>
      <c r="DW340" s="2124">
        <v>0</v>
      </c>
      <c r="DX340" s="2029">
        <v>0</v>
      </c>
      <c r="DY340" s="2029">
        <v>0</v>
      </c>
      <c r="DZ340" s="2029">
        <v>0</v>
      </c>
      <c r="EA340" s="2124">
        <v>0</v>
      </c>
      <c r="EB340" s="2029">
        <v>0</v>
      </c>
      <c r="EC340" s="2029">
        <v>0</v>
      </c>
      <c r="ED340" s="2029">
        <v>0</v>
      </c>
      <c r="EE340" s="2039">
        <f t="shared" si="213"/>
        <v>0</v>
      </c>
      <c r="EF340" s="2039">
        <f t="shared" si="213"/>
        <v>0</v>
      </c>
      <c r="EG340" s="2039">
        <f t="shared" si="213"/>
        <v>0</v>
      </c>
      <c r="EH340" s="2039">
        <f t="shared" si="213"/>
        <v>0</v>
      </c>
      <c r="EI340" s="2040">
        <f t="shared" si="190"/>
        <v>0</v>
      </c>
      <c r="EJ340" s="2040">
        <f t="shared" si="190"/>
        <v>0</v>
      </c>
      <c r="EK340" s="2040">
        <f t="shared" si="190"/>
        <v>0</v>
      </c>
      <c r="EL340" s="2040">
        <f t="shared" si="189"/>
        <v>0</v>
      </c>
      <c r="EM340" s="2040">
        <f t="shared" si="189"/>
        <v>0</v>
      </c>
      <c r="EN340" s="2040">
        <f t="shared" si="189"/>
        <v>0</v>
      </c>
      <c r="EO340" s="2040">
        <f t="shared" si="189"/>
        <v>0</v>
      </c>
      <c r="EP340" s="2040">
        <f t="shared" si="189"/>
        <v>0</v>
      </c>
      <c r="EQ340" s="2040">
        <f t="shared" si="189"/>
        <v>0</v>
      </c>
      <c r="ER340" s="2040">
        <f t="shared" si="185"/>
        <v>0</v>
      </c>
      <c r="ES340" s="2040">
        <f t="shared" si="185"/>
        <v>0</v>
      </c>
      <c r="ET340" s="2040">
        <f t="shared" si="185"/>
        <v>0</v>
      </c>
      <c r="EU340" s="2039">
        <f t="shared" si="214"/>
        <v>0</v>
      </c>
      <c r="EV340" s="2039">
        <f t="shared" si="215"/>
        <v>0</v>
      </c>
    </row>
    <row r="341" spans="1:152" x14ac:dyDescent="0.25">
      <c r="A341" s="2088" t="s">
        <v>239</v>
      </c>
      <c r="B341" s="2093" t="str">
        <f t="shared" si="193"/>
        <v>HVAC/Motor Midstream Pilot</v>
      </c>
      <c r="C341" s="1974">
        <f t="shared" si="217"/>
        <v>0</v>
      </c>
      <c r="D341" s="1974">
        <f t="shared" si="217"/>
        <v>0</v>
      </c>
      <c r="E341" s="1974">
        <f t="shared" si="217"/>
        <v>0</v>
      </c>
      <c r="F341" s="1974">
        <f t="shared" si="217"/>
        <v>0</v>
      </c>
      <c r="G341" s="1974" t="s">
        <v>2997</v>
      </c>
      <c r="H341" s="1974" t="s">
        <v>2997</v>
      </c>
      <c r="I341" s="2026">
        <v>0.96199999999999997</v>
      </c>
      <c r="J341" s="2026">
        <v>0.96199999999999997</v>
      </c>
      <c r="K341" s="2026">
        <v>0.96199999999999997</v>
      </c>
      <c r="L341" s="2026">
        <v>0.96199999999999997</v>
      </c>
      <c r="M341" s="2027">
        <f t="shared" si="205"/>
        <v>0</v>
      </c>
      <c r="N341" s="2027">
        <f t="shared" si="205"/>
        <v>0</v>
      </c>
      <c r="O341" s="2027">
        <f t="shared" si="205"/>
        <v>0</v>
      </c>
      <c r="P341" s="2027">
        <f t="shared" si="194"/>
        <v>0</v>
      </c>
      <c r="Q341" s="2026">
        <v>0.96199999999999997</v>
      </c>
      <c r="R341" s="2026">
        <v>0.96199999999999997</v>
      </c>
      <c r="S341" s="2026">
        <v>0.96199999999999997</v>
      </c>
      <c r="T341" s="2026">
        <v>0.96199999999999997</v>
      </c>
      <c r="U341" s="2028">
        <f t="shared" si="206"/>
        <v>0</v>
      </c>
      <c r="V341" s="2028">
        <f t="shared" si="206"/>
        <v>0</v>
      </c>
      <c r="W341" s="2028">
        <f t="shared" si="206"/>
        <v>0</v>
      </c>
      <c r="X341" s="2028">
        <f t="shared" si="195"/>
        <v>0</v>
      </c>
      <c r="Y341" s="2026">
        <v>0.96199999999999997</v>
      </c>
      <c r="Z341" s="2026">
        <v>0.96199999999999997</v>
      </c>
      <c r="AA341" s="2026">
        <v>0.96199999999999997</v>
      </c>
      <c r="AB341" s="2026">
        <v>0.96199999999999997</v>
      </c>
      <c r="AC341" s="2027">
        <f t="shared" si="207"/>
        <v>0</v>
      </c>
      <c r="AD341" s="2027">
        <f t="shared" si="207"/>
        <v>0</v>
      </c>
      <c r="AE341" s="2027">
        <f t="shared" si="207"/>
        <v>0</v>
      </c>
      <c r="AF341" s="2027">
        <f t="shared" si="196"/>
        <v>0</v>
      </c>
      <c r="AG341" s="2027">
        <v>0</v>
      </c>
      <c r="AH341" s="2028"/>
      <c r="AI341" s="2028"/>
      <c r="AJ341" s="2028"/>
      <c r="AK341" s="2027">
        <f t="shared" si="197"/>
        <v>0</v>
      </c>
      <c r="AL341" s="2027">
        <f t="shared" si="198"/>
        <v>0</v>
      </c>
      <c r="AM341" s="2027">
        <f t="shared" si="198"/>
        <v>0</v>
      </c>
      <c r="AN341" s="2027">
        <f t="shared" si="198"/>
        <v>0</v>
      </c>
      <c r="AO341" s="2027">
        <f t="shared" si="208"/>
        <v>0</v>
      </c>
      <c r="AP341" s="2027">
        <f t="shared" si="199"/>
        <v>0</v>
      </c>
      <c r="AQ341" s="2027">
        <f t="shared" si="199"/>
        <v>0</v>
      </c>
      <c r="AR341" s="2027">
        <f t="shared" si="199"/>
        <v>0</v>
      </c>
      <c r="AS341" s="2124">
        <f t="shared" si="212"/>
        <v>0</v>
      </c>
      <c r="AT341" s="2029">
        <f t="shared" si="200"/>
        <v>0</v>
      </c>
      <c r="AU341" s="2029">
        <f t="shared" si="200"/>
        <v>0</v>
      </c>
      <c r="AV341" s="2029">
        <f t="shared" si="200"/>
        <v>0</v>
      </c>
      <c r="AW341" s="2124">
        <f t="shared" si="201"/>
        <v>0</v>
      </c>
      <c r="AX341" s="2029">
        <f t="shared" si="216"/>
        <v>0</v>
      </c>
      <c r="AY341" s="2029">
        <f t="shared" si="216"/>
        <v>0</v>
      </c>
      <c r="AZ341" s="2029">
        <f t="shared" si="216"/>
        <v>0</v>
      </c>
      <c r="BA341" s="2124">
        <f t="shared" si="219"/>
        <v>0</v>
      </c>
      <c r="BB341" s="2029">
        <f t="shared" si="219"/>
        <v>0</v>
      </c>
      <c r="BC341" s="2029">
        <f t="shared" si="219"/>
        <v>0</v>
      </c>
      <c r="BD341" s="2029">
        <f t="shared" si="219"/>
        <v>0</v>
      </c>
      <c r="BE341" s="2030">
        <f t="shared" si="202"/>
        <v>0</v>
      </c>
      <c r="BF341" s="2030">
        <f t="shared" si="202"/>
        <v>0</v>
      </c>
      <c r="BG341" s="2030">
        <f t="shared" si="202"/>
        <v>0</v>
      </c>
      <c r="BH341" s="2030">
        <f t="shared" si="191"/>
        <v>0</v>
      </c>
      <c r="BI341" s="2030">
        <f t="shared" si="203"/>
        <v>0</v>
      </c>
      <c r="BJ341" s="2030">
        <f t="shared" si="203"/>
        <v>0</v>
      </c>
      <c r="BK341" s="2030">
        <f t="shared" si="203"/>
        <v>0</v>
      </c>
      <c r="BL341" s="2030">
        <f t="shared" si="192"/>
        <v>0</v>
      </c>
      <c r="BM341" s="2125"/>
      <c r="BN341" s="2125"/>
      <c r="BO341" s="2125"/>
      <c r="BP341" s="2125"/>
      <c r="BQ341" s="2125"/>
      <c r="BR341" s="2125"/>
      <c r="BS341" s="2125"/>
      <c r="BT341" s="2125"/>
      <c r="BU341" s="2029"/>
      <c r="BV341" s="2029"/>
      <c r="BW341" s="2029"/>
      <c r="BX341" s="2029"/>
      <c r="BY341" s="2029"/>
      <c r="BZ341" s="2032"/>
      <c r="CA341" s="1974">
        <f t="shared" si="218"/>
        <v>0</v>
      </c>
      <c r="CB341" s="1974">
        <f t="shared" si="218"/>
        <v>0</v>
      </c>
      <c r="CC341" s="1974">
        <f t="shared" si="218"/>
        <v>0</v>
      </c>
      <c r="CD341" s="1974">
        <f t="shared" si="218"/>
        <v>0</v>
      </c>
      <c r="CE341" s="1974">
        <f t="shared" si="218"/>
        <v>0</v>
      </c>
      <c r="CF341" s="2033">
        <v>0</v>
      </c>
      <c r="CG341" s="2026">
        <v>0</v>
      </c>
      <c r="CH341" s="2009">
        <f t="shared" si="218"/>
        <v>0</v>
      </c>
      <c r="CI341" s="2031">
        <f t="shared" si="218"/>
        <v>0</v>
      </c>
      <c r="CJ341" s="1974">
        <f t="shared" si="218"/>
        <v>0</v>
      </c>
      <c r="CK341" s="2031">
        <f t="shared" si="218"/>
        <v>0</v>
      </c>
      <c r="CL341" s="2026">
        <v>1</v>
      </c>
      <c r="CM341" s="2026">
        <v>1</v>
      </c>
      <c r="CN341" s="2026">
        <v>1</v>
      </c>
      <c r="CO341" s="2026">
        <v>1</v>
      </c>
      <c r="CP341" s="2035"/>
      <c r="CQ341" s="2036"/>
      <c r="CR341" s="2036"/>
      <c r="CS341" s="2036"/>
      <c r="CT341" s="2036"/>
      <c r="CU341" s="2036"/>
      <c r="CW341" s="1973">
        <v>0</v>
      </c>
      <c r="CX341" s="2037">
        <v>0</v>
      </c>
      <c r="CY341" s="2037">
        <v>0</v>
      </c>
      <c r="CZ341" s="2037">
        <v>0</v>
      </c>
      <c r="DA341" s="2037">
        <v>0</v>
      </c>
      <c r="DJ341" s="1976">
        <v>0</v>
      </c>
      <c r="DK341" s="1973">
        <v>0</v>
      </c>
      <c r="DL341" s="1973">
        <v>0</v>
      </c>
      <c r="DM341" s="1973">
        <v>0</v>
      </c>
      <c r="DO341" s="1974">
        <v>0</v>
      </c>
      <c r="DP341" s="1974">
        <v>0</v>
      </c>
      <c r="DQ341" s="1974">
        <v>0</v>
      </c>
      <c r="DR341" s="1974">
        <v>0</v>
      </c>
      <c r="DS341" s="2124">
        <v>0</v>
      </c>
      <c r="DT341" s="2029">
        <v>0</v>
      </c>
      <c r="DU341" s="2029">
        <v>0</v>
      </c>
      <c r="DV341" s="2029">
        <v>0</v>
      </c>
      <c r="DW341" s="2124">
        <v>0</v>
      </c>
      <c r="DX341" s="2029">
        <v>0</v>
      </c>
      <c r="DY341" s="2029">
        <v>0</v>
      </c>
      <c r="DZ341" s="2029">
        <v>0</v>
      </c>
      <c r="EA341" s="2124">
        <v>0</v>
      </c>
      <c r="EB341" s="2029">
        <v>0</v>
      </c>
      <c r="EC341" s="2029">
        <v>0</v>
      </c>
      <c r="ED341" s="2029">
        <v>0</v>
      </c>
      <c r="EE341" s="2039">
        <f t="shared" si="213"/>
        <v>0</v>
      </c>
      <c r="EF341" s="2039">
        <f t="shared" si="213"/>
        <v>0</v>
      </c>
      <c r="EG341" s="2039">
        <f t="shared" si="213"/>
        <v>0</v>
      </c>
      <c r="EH341" s="2039">
        <f t="shared" si="213"/>
        <v>0</v>
      </c>
      <c r="EI341" s="2040">
        <f t="shared" si="190"/>
        <v>0</v>
      </c>
      <c r="EJ341" s="2040">
        <f t="shared" si="190"/>
        <v>0</v>
      </c>
      <c r="EK341" s="2040">
        <f t="shared" si="190"/>
        <v>0</v>
      </c>
      <c r="EL341" s="2040">
        <f t="shared" si="189"/>
        <v>0</v>
      </c>
      <c r="EM341" s="2040">
        <f t="shared" si="189"/>
        <v>0</v>
      </c>
      <c r="EN341" s="2040">
        <f t="shared" si="189"/>
        <v>0</v>
      </c>
      <c r="EO341" s="2040">
        <f t="shared" si="189"/>
        <v>0</v>
      </c>
      <c r="EP341" s="2040">
        <f t="shared" si="189"/>
        <v>0</v>
      </c>
      <c r="EQ341" s="2040">
        <f t="shared" si="189"/>
        <v>0</v>
      </c>
      <c r="ER341" s="2040">
        <f t="shared" si="185"/>
        <v>0</v>
      </c>
      <c r="ES341" s="2040">
        <f t="shared" si="185"/>
        <v>0</v>
      </c>
      <c r="ET341" s="2040">
        <f t="shared" si="185"/>
        <v>0</v>
      </c>
      <c r="EU341" s="2039">
        <f t="shared" si="214"/>
        <v>0</v>
      </c>
      <c r="EV341" s="2039">
        <f t="shared" si="215"/>
        <v>0</v>
      </c>
    </row>
    <row r="342" spans="1:152" x14ac:dyDescent="0.25">
      <c r="A342" s="2088" t="s">
        <v>240</v>
      </c>
      <c r="B342" s="2093" t="str">
        <f t="shared" si="193"/>
        <v>HVAC/Motor Midstream Pilot</v>
      </c>
      <c r="C342" s="1974">
        <f t="shared" si="217"/>
        <v>0</v>
      </c>
      <c r="D342" s="1974">
        <f t="shared" si="217"/>
        <v>0</v>
      </c>
      <c r="E342" s="1974">
        <f t="shared" si="217"/>
        <v>0</v>
      </c>
      <c r="F342" s="1974">
        <f t="shared" si="217"/>
        <v>0</v>
      </c>
      <c r="G342" s="1974" t="s">
        <v>2997</v>
      </c>
      <c r="H342" s="1974" t="s">
        <v>2997</v>
      </c>
      <c r="I342" s="2026">
        <v>0.96199999999999997</v>
      </c>
      <c r="J342" s="2026">
        <v>0.96199999999999997</v>
      </c>
      <c r="K342" s="2026">
        <v>0.96199999999999997</v>
      </c>
      <c r="L342" s="2026">
        <v>0.96199999999999997</v>
      </c>
      <c r="M342" s="2027">
        <f t="shared" si="205"/>
        <v>0</v>
      </c>
      <c r="N342" s="2027">
        <f t="shared" si="205"/>
        <v>0</v>
      </c>
      <c r="O342" s="2027">
        <f t="shared" si="205"/>
        <v>0</v>
      </c>
      <c r="P342" s="2027">
        <f t="shared" si="194"/>
        <v>0</v>
      </c>
      <c r="Q342" s="2026">
        <v>0.96199999999999997</v>
      </c>
      <c r="R342" s="2026">
        <v>0.96199999999999997</v>
      </c>
      <c r="S342" s="2026">
        <v>0.96199999999999997</v>
      </c>
      <c r="T342" s="2026">
        <v>0.96199999999999997</v>
      </c>
      <c r="U342" s="2028">
        <f t="shared" si="206"/>
        <v>0</v>
      </c>
      <c r="V342" s="2028">
        <f t="shared" si="206"/>
        <v>0</v>
      </c>
      <c r="W342" s="2028">
        <f t="shared" si="206"/>
        <v>0</v>
      </c>
      <c r="X342" s="2028">
        <f t="shared" si="195"/>
        <v>0</v>
      </c>
      <c r="Y342" s="2026">
        <v>0.96199999999999997</v>
      </c>
      <c r="Z342" s="2026">
        <v>0.96199999999999997</v>
      </c>
      <c r="AA342" s="2026">
        <v>0.96199999999999997</v>
      </c>
      <c r="AB342" s="2026">
        <v>0.96199999999999997</v>
      </c>
      <c r="AC342" s="2027">
        <f t="shared" si="207"/>
        <v>0</v>
      </c>
      <c r="AD342" s="2027">
        <f t="shared" si="207"/>
        <v>0</v>
      </c>
      <c r="AE342" s="2027">
        <f t="shared" si="207"/>
        <v>0</v>
      </c>
      <c r="AF342" s="2027">
        <f t="shared" si="196"/>
        <v>0</v>
      </c>
      <c r="AG342" s="2027">
        <v>0</v>
      </c>
      <c r="AH342" s="2028"/>
      <c r="AI342" s="2028"/>
      <c r="AJ342" s="2028"/>
      <c r="AK342" s="2027">
        <f t="shared" si="197"/>
        <v>0</v>
      </c>
      <c r="AL342" s="2027">
        <f t="shared" si="198"/>
        <v>0</v>
      </c>
      <c r="AM342" s="2027">
        <f t="shared" si="198"/>
        <v>0</v>
      </c>
      <c r="AN342" s="2027">
        <f t="shared" si="198"/>
        <v>0</v>
      </c>
      <c r="AO342" s="2027">
        <f t="shared" si="208"/>
        <v>0</v>
      </c>
      <c r="AP342" s="2027">
        <f t="shared" si="199"/>
        <v>0</v>
      </c>
      <c r="AQ342" s="2027">
        <f t="shared" si="199"/>
        <v>0</v>
      </c>
      <c r="AR342" s="2027">
        <f t="shared" si="199"/>
        <v>0</v>
      </c>
      <c r="AS342" s="2124">
        <f t="shared" si="212"/>
        <v>0</v>
      </c>
      <c r="AT342" s="2029">
        <f t="shared" si="200"/>
        <v>0</v>
      </c>
      <c r="AU342" s="2029">
        <f t="shared" si="200"/>
        <v>0</v>
      </c>
      <c r="AV342" s="2029">
        <f t="shared" si="200"/>
        <v>0</v>
      </c>
      <c r="AW342" s="2124">
        <f t="shared" si="201"/>
        <v>0</v>
      </c>
      <c r="AX342" s="2029">
        <f t="shared" si="216"/>
        <v>0</v>
      </c>
      <c r="AY342" s="2029">
        <f t="shared" si="216"/>
        <v>0</v>
      </c>
      <c r="AZ342" s="2029">
        <f t="shared" si="216"/>
        <v>0</v>
      </c>
      <c r="BA342" s="2124">
        <f t="shared" si="219"/>
        <v>0</v>
      </c>
      <c r="BB342" s="2029">
        <f t="shared" si="219"/>
        <v>0</v>
      </c>
      <c r="BC342" s="2029">
        <f t="shared" si="219"/>
        <v>0</v>
      </c>
      <c r="BD342" s="2029">
        <f t="shared" si="219"/>
        <v>0</v>
      </c>
      <c r="BE342" s="2030">
        <f t="shared" si="202"/>
        <v>0</v>
      </c>
      <c r="BF342" s="2030">
        <f t="shared" si="202"/>
        <v>0</v>
      </c>
      <c r="BG342" s="2030">
        <f t="shared" si="202"/>
        <v>0</v>
      </c>
      <c r="BH342" s="2030">
        <f t="shared" si="191"/>
        <v>0</v>
      </c>
      <c r="BI342" s="2030">
        <f t="shared" si="203"/>
        <v>0</v>
      </c>
      <c r="BJ342" s="2030">
        <f t="shared" si="203"/>
        <v>0</v>
      </c>
      <c r="BK342" s="2030">
        <f t="shared" si="203"/>
        <v>0</v>
      </c>
      <c r="BL342" s="2030">
        <f t="shared" si="192"/>
        <v>0</v>
      </c>
      <c r="BM342" s="2125"/>
      <c r="BN342" s="2125"/>
      <c r="BO342" s="2125"/>
      <c r="BP342" s="2125"/>
      <c r="BQ342" s="2125"/>
      <c r="BR342" s="2125"/>
      <c r="BS342" s="2125"/>
      <c r="BT342" s="2125"/>
      <c r="BU342" s="2029"/>
      <c r="BV342" s="2029"/>
      <c r="BW342" s="2029"/>
      <c r="BX342" s="2029"/>
      <c r="BY342" s="2029"/>
      <c r="BZ342" s="2032"/>
      <c r="CA342" s="1974">
        <f t="shared" si="218"/>
        <v>0</v>
      </c>
      <c r="CB342" s="1974">
        <f t="shared" si="218"/>
        <v>0</v>
      </c>
      <c r="CC342" s="1974">
        <f t="shared" si="218"/>
        <v>0</v>
      </c>
      <c r="CD342" s="1974">
        <f t="shared" si="218"/>
        <v>0</v>
      </c>
      <c r="CE342" s="1974">
        <f t="shared" si="218"/>
        <v>0</v>
      </c>
      <c r="CF342" s="2033">
        <v>0</v>
      </c>
      <c r="CG342" s="2026">
        <v>0</v>
      </c>
      <c r="CH342" s="2009">
        <f t="shared" si="218"/>
        <v>0</v>
      </c>
      <c r="CI342" s="2031">
        <f t="shared" si="218"/>
        <v>0</v>
      </c>
      <c r="CJ342" s="1974">
        <f t="shared" si="218"/>
        <v>0</v>
      </c>
      <c r="CK342" s="2031">
        <f t="shared" si="218"/>
        <v>0</v>
      </c>
      <c r="CL342" s="2026">
        <v>1</v>
      </c>
      <c r="CM342" s="2026">
        <v>1</v>
      </c>
      <c r="CN342" s="2026">
        <v>1</v>
      </c>
      <c r="CO342" s="2026">
        <v>1</v>
      </c>
      <c r="CP342" s="2035"/>
      <c r="CQ342" s="2036"/>
      <c r="CR342" s="2036"/>
      <c r="CS342" s="2036"/>
      <c r="CT342" s="2036"/>
      <c r="CU342" s="2036"/>
      <c r="CW342" s="1973">
        <v>0</v>
      </c>
      <c r="CX342" s="2037">
        <v>0</v>
      </c>
      <c r="CY342" s="2037">
        <v>0</v>
      </c>
      <c r="CZ342" s="2037">
        <v>0</v>
      </c>
      <c r="DA342" s="2037">
        <v>0</v>
      </c>
      <c r="DJ342" s="1976">
        <v>0</v>
      </c>
      <c r="DK342" s="1973">
        <v>0</v>
      </c>
      <c r="DL342" s="1973">
        <v>0</v>
      </c>
      <c r="DM342" s="1973">
        <v>0</v>
      </c>
      <c r="DO342" s="1974">
        <v>0</v>
      </c>
      <c r="DP342" s="1974">
        <v>0</v>
      </c>
      <c r="DQ342" s="1974">
        <v>0</v>
      </c>
      <c r="DR342" s="1974">
        <v>0</v>
      </c>
      <c r="DS342" s="2124">
        <v>0</v>
      </c>
      <c r="DT342" s="2029">
        <v>0</v>
      </c>
      <c r="DU342" s="2029">
        <v>0</v>
      </c>
      <c r="DV342" s="2029">
        <v>0</v>
      </c>
      <c r="DW342" s="2124">
        <v>0</v>
      </c>
      <c r="DX342" s="2029">
        <v>0</v>
      </c>
      <c r="DY342" s="2029">
        <v>0</v>
      </c>
      <c r="DZ342" s="2029">
        <v>0</v>
      </c>
      <c r="EA342" s="2124">
        <v>0</v>
      </c>
      <c r="EB342" s="2029">
        <v>0</v>
      </c>
      <c r="EC342" s="2029">
        <v>0</v>
      </c>
      <c r="ED342" s="2029">
        <v>0</v>
      </c>
      <c r="EE342" s="2039">
        <f t="shared" si="213"/>
        <v>0</v>
      </c>
      <c r="EF342" s="2039">
        <f t="shared" si="213"/>
        <v>0</v>
      </c>
      <c r="EG342" s="2039">
        <f t="shared" si="213"/>
        <v>0</v>
      </c>
      <c r="EH342" s="2039">
        <f t="shared" si="213"/>
        <v>0</v>
      </c>
      <c r="EI342" s="2040">
        <f t="shared" si="190"/>
        <v>0</v>
      </c>
      <c r="EJ342" s="2040">
        <f t="shared" si="190"/>
        <v>0</v>
      </c>
      <c r="EK342" s="2040">
        <f t="shared" si="190"/>
        <v>0</v>
      </c>
      <c r="EL342" s="2040">
        <f t="shared" si="189"/>
        <v>0</v>
      </c>
      <c r="EM342" s="2040">
        <f t="shared" si="189"/>
        <v>0</v>
      </c>
      <c r="EN342" s="2040">
        <f t="shared" si="189"/>
        <v>0</v>
      </c>
      <c r="EO342" s="2040">
        <f t="shared" si="189"/>
        <v>0</v>
      </c>
      <c r="EP342" s="2040">
        <f t="shared" si="189"/>
        <v>0</v>
      </c>
      <c r="EQ342" s="2040">
        <f t="shared" si="189"/>
        <v>0</v>
      </c>
      <c r="ER342" s="2040">
        <f t="shared" si="185"/>
        <v>0</v>
      </c>
      <c r="ES342" s="2040">
        <f t="shared" si="185"/>
        <v>0</v>
      </c>
      <c r="ET342" s="2040">
        <f t="shared" si="185"/>
        <v>0</v>
      </c>
      <c r="EU342" s="2039">
        <f t="shared" si="214"/>
        <v>0</v>
      </c>
      <c r="EV342" s="2039">
        <f t="shared" si="215"/>
        <v>0</v>
      </c>
    </row>
    <row r="343" spans="1:152" x14ac:dyDescent="0.25">
      <c r="A343" s="2088" t="s">
        <v>138</v>
      </c>
      <c r="B343" s="2093" t="str">
        <f t="shared" si="193"/>
        <v/>
      </c>
      <c r="C343" s="1974">
        <f t="shared" si="217"/>
        <v>5</v>
      </c>
      <c r="D343" s="1974">
        <f t="shared" si="217"/>
        <v>4154.43</v>
      </c>
      <c r="E343" s="1974">
        <f t="shared" si="217"/>
        <v>0</v>
      </c>
      <c r="F343" s="1974">
        <f t="shared" si="217"/>
        <v>0</v>
      </c>
      <c r="G343" s="1974" t="s">
        <v>2997</v>
      </c>
      <c r="H343" s="1974" t="s">
        <v>2997</v>
      </c>
      <c r="I343" s="2026">
        <v>0.96199999999999997</v>
      </c>
      <c r="J343" s="2026">
        <v>0.96199999999999997</v>
      </c>
      <c r="K343" s="2026">
        <v>0.96199999999999997</v>
      </c>
      <c r="L343" s="2026">
        <v>0.96199999999999997</v>
      </c>
      <c r="M343" s="2027">
        <f t="shared" si="205"/>
        <v>3996.5616600000003</v>
      </c>
      <c r="N343" s="2027">
        <f t="shared" si="205"/>
        <v>3996.5616600000003</v>
      </c>
      <c r="O343" s="2027">
        <f t="shared" si="205"/>
        <v>3996.5616600000003</v>
      </c>
      <c r="P343" s="2027">
        <f t="shared" si="194"/>
        <v>3996.5616600000003</v>
      </c>
      <c r="Q343" s="2026">
        <v>0.96199999999999997</v>
      </c>
      <c r="R343" s="2026">
        <v>0.96199999999999997</v>
      </c>
      <c r="S343" s="2026">
        <v>0.96199999999999997</v>
      </c>
      <c r="T343" s="2026">
        <v>0.96199999999999997</v>
      </c>
      <c r="U343" s="2028">
        <f t="shared" si="206"/>
        <v>0</v>
      </c>
      <c r="V343" s="2028">
        <f t="shared" si="206"/>
        <v>0</v>
      </c>
      <c r="W343" s="2028">
        <f t="shared" si="206"/>
        <v>0</v>
      </c>
      <c r="X343" s="2028">
        <f t="shared" si="195"/>
        <v>0</v>
      </c>
      <c r="Y343" s="2026">
        <v>0.96199999999999997</v>
      </c>
      <c r="Z343" s="2026">
        <v>0.96199999999999997</v>
      </c>
      <c r="AA343" s="2026">
        <v>0.96199999999999997</v>
      </c>
      <c r="AB343" s="2026">
        <v>0.96199999999999997</v>
      </c>
      <c r="AC343" s="2027">
        <f t="shared" si="207"/>
        <v>0</v>
      </c>
      <c r="AD343" s="2027">
        <f t="shared" si="207"/>
        <v>0</v>
      </c>
      <c r="AE343" s="2027">
        <f t="shared" si="207"/>
        <v>0</v>
      </c>
      <c r="AF343" s="2027">
        <f t="shared" si="196"/>
        <v>0</v>
      </c>
      <c r="AG343" s="2027">
        <v>0</v>
      </c>
      <c r="AH343" s="2027"/>
      <c r="AI343" s="2027"/>
      <c r="AJ343" s="2027"/>
      <c r="AK343" s="2027">
        <f t="shared" si="197"/>
        <v>0</v>
      </c>
      <c r="AL343" s="2027">
        <f t="shared" si="198"/>
        <v>0</v>
      </c>
      <c r="AM343" s="2027">
        <f t="shared" si="198"/>
        <v>0</v>
      </c>
      <c r="AN343" s="2027">
        <f t="shared" si="198"/>
        <v>0</v>
      </c>
      <c r="AO343" s="2027">
        <f t="shared" si="208"/>
        <v>0</v>
      </c>
      <c r="AP343" s="2027">
        <f t="shared" si="199"/>
        <v>0</v>
      </c>
      <c r="AQ343" s="2027">
        <f t="shared" si="199"/>
        <v>0</v>
      </c>
      <c r="AR343" s="2027">
        <f t="shared" si="199"/>
        <v>0</v>
      </c>
      <c r="AS343" s="2124">
        <v>100</v>
      </c>
      <c r="AT343" s="2029">
        <f t="shared" si="200"/>
        <v>100</v>
      </c>
      <c r="AU343" s="2029">
        <f t="shared" si="200"/>
        <v>100</v>
      </c>
      <c r="AV343" s="2029">
        <f t="shared" si="200"/>
        <v>100</v>
      </c>
      <c r="AW343" s="2124">
        <f t="shared" si="201"/>
        <v>0</v>
      </c>
      <c r="AX343" s="2029">
        <f t="shared" si="216"/>
        <v>0</v>
      </c>
      <c r="AY343" s="2029">
        <f t="shared" si="216"/>
        <v>0</v>
      </c>
      <c r="AZ343" s="2029">
        <f t="shared" si="216"/>
        <v>0</v>
      </c>
      <c r="BA343" s="2124">
        <f t="shared" si="219"/>
        <v>100</v>
      </c>
      <c r="BB343" s="2029">
        <f t="shared" si="219"/>
        <v>100</v>
      </c>
      <c r="BC343" s="2029">
        <f t="shared" si="219"/>
        <v>100</v>
      </c>
      <c r="BD343" s="2029">
        <f t="shared" si="219"/>
        <v>100</v>
      </c>
      <c r="BE343" s="2030">
        <f t="shared" si="202"/>
        <v>0</v>
      </c>
      <c r="BF343" s="2030">
        <f t="shared" si="202"/>
        <v>0</v>
      </c>
      <c r="BG343" s="2030">
        <f t="shared" si="202"/>
        <v>0</v>
      </c>
      <c r="BH343" s="2030">
        <f t="shared" si="191"/>
        <v>0</v>
      </c>
      <c r="BI343" s="2030">
        <f t="shared" si="203"/>
        <v>0</v>
      </c>
      <c r="BJ343" s="2030">
        <f t="shared" si="203"/>
        <v>0</v>
      </c>
      <c r="BK343" s="2030">
        <f t="shared" si="203"/>
        <v>0</v>
      </c>
      <c r="BL343" s="2030">
        <f t="shared" si="192"/>
        <v>0</v>
      </c>
      <c r="BM343" s="2125"/>
      <c r="BN343" s="2125"/>
      <c r="BO343" s="2125"/>
      <c r="BP343" s="2125"/>
      <c r="BQ343" s="2125"/>
      <c r="BR343" s="2125"/>
      <c r="BS343" s="2125"/>
      <c r="BT343" s="2125"/>
      <c r="BU343" s="2029"/>
      <c r="BV343" s="2029"/>
      <c r="BW343" s="2029"/>
      <c r="BX343" s="2029"/>
      <c r="BY343" s="2029"/>
      <c r="BZ343" s="2032"/>
      <c r="CA343" s="1974">
        <f t="shared" si="218"/>
        <v>23587</v>
      </c>
      <c r="CB343" s="1974">
        <f t="shared" si="218"/>
        <v>0</v>
      </c>
      <c r="CC343" s="1974">
        <f t="shared" si="218"/>
        <v>0</v>
      </c>
      <c r="CD343" s="1974">
        <f t="shared" si="218"/>
        <v>0</v>
      </c>
      <c r="CE343" s="1974">
        <f t="shared" si="218"/>
        <v>0</v>
      </c>
      <c r="CF343" s="2033">
        <v>0</v>
      </c>
      <c r="CG343" s="2026">
        <v>0</v>
      </c>
      <c r="CH343" s="2009">
        <f t="shared" si="218"/>
        <v>0</v>
      </c>
      <c r="CI343" s="2031">
        <f t="shared" si="218"/>
        <v>0</v>
      </c>
      <c r="CJ343" s="1974">
        <f t="shared" si="218"/>
        <v>0</v>
      </c>
      <c r="CK343" s="2031">
        <f t="shared" si="218"/>
        <v>0</v>
      </c>
      <c r="CL343" s="2026">
        <v>1</v>
      </c>
      <c r="CM343" s="2026">
        <v>1</v>
      </c>
      <c r="CN343" s="2026">
        <v>1</v>
      </c>
      <c r="CO343" s="2026">
        <v>1</v>
      </c>
      <c r="CP343" s="2035"/>
      <c r="CQ343" s="2036"/>
      <c r="CR343" s="2036"/>
      <c r="CS343" s="2036"/>
      <c r="CT343" s="2036"/>
      <c r="CU343" s="2036"/>
      <c r="CW343" s="1973">
        <v>0</v>
      </c>
      <c r="CX343" s="2037">
        <v>100</v>
      </c>
      <c r="CY343" s="2037">
        <v>100</v>
      </c>
      <c r="CZ343" s="2037">
        <v>100</v>
      </c>
      <c r="DA343" s="2037">
        <v>100</v>
      </c>
      <c r="DJ343" s="1976">
        <v>100</v>
      </c>
      <c r="DK343" s="1973">
        <v>100</v>
      </c>
      <c r="DL343" s="1973">
        <v>100</v>
      </c>
      <c r="DM343" s="1973">
        <v>100</v>
      </c>
      <c r="DO343" s="1974">
        <v>5</v>
      </c>
      <c r="DP343" s="1974">
        <v>4154.43</v>
      </c>
      <c r="DQ343" s="1974">
        <v>0</v>
      </c>
      <c r="DR343" s="1974">
        <v>0</v>
      </c>
      <c r="DS343" s="2124">
        <v>100</v>
      </c>
      <c r="DT343" s="2029">
        <v>100</v>
      </c>
      <c r="DU343" s="2029">
        <v>100</v>
      </c>
      <c r="DV343" s="2029">
        <v>100</v>
      </c>
      <c r="DW343" s="2124">
        <v>0</v>
      </c>
      <c r="DX343" s="2029">
        <v>0</v>
      </c>
      <c r="DY343" s="2029">
        <v>0</v>
      </c>
      <c r="DZ343" s="2029">
        <v>0</v>
      </c>
      <c r="EA343" s="2124">
        <v>100</v>
      </c>
      <c r="EB343" s="2029">
        <v>100</v>
      </c>
      <c r="EC343" s="2029">
        <v>100</v>
      </c>
      <c r="ED343" s="2029">
        <v>100</v>
      </c>
      <c r="EE343" s="2039">
        <f t="shared" si="213"/>
        <v>0</v>
      </c>
      <c r="EF343" s="2039">
        <f t="shared" si="213"/>
        <v>0</v>
      </c>
      <c r="EG343" s="2039">
        <f t="shared" si="213"/>
        <v>0</v>
      </c>
      <c r="EH343" s="2039">
        <f t="shared" si="213"/>
        <v>0</v>
      </c>
      <c r="EI343" s="2040">
        <f t="shared" si="190"/>
        <v>0</v>
      </c>
      <c r="EJ343" s="2040">
        <f t="shared" si="190"/>
        <v>0</v>
      </c>
      <c r="EK343" s="2040">
        <f t="shared" si="190"/>
        <v>0</v>
      </c>
      <c r="EL343" s="2040">
        <f t="shared" si="189"/>
        <v>0</v>
      </c>
      <c r="EM343" s="2040">
        <f t="shared" si="189"/>
        <v>0</v>
      </c>
      <c r="EN343" s="2040">
        <f t="shared" si="189"/>
        <v>0</v>
      </c>
      <c r="EO343" s="2040">
        <f t="shared" si="189"/>
        <v>0</v>
      </c>
      <c r="EP343" s="2040">
        <f t="shared" si="189"/>
        <v>0</v>
      </c>
      <c r="EQ343" s="2040">
        <f t="shared" si="189"/>
        <v>0</v>
      </c>
      <c r="ER343" s="2040">
        <f t="shared" si="185"/>
        <v>0</v>
      </c>
      <c r="ES343" s="2040">
        <f t="shared" si="185"/>
        <v>0</v>
      </c>
      <c r="ET343" s="2040">
        <f t="shared" si="185"/>
        <v>0</v>
      </c>
      <c r="EU343" s="2039">
        <f t="shared" si="214"/>
        <v>0</v>
      </c>
      <c r="EV343" s="2039">
        <f t="shared" si="215"/>
        <v>0</v>
      </c>
    </row>
    <row r="344" spans="1:152" x14ac:dyDescent="0.25">
      <c r="A344" s="2088" t="s">
        <v>139</v>
      </c>
      <c r="B344" s="2093" t="str">
        <f t="shared" si="193"/>
        <v/>
      </c>
      <c r="C344" s="1974">
        <f t="shared" si="217"/>
        <v>5</v>
      </c>
      <c r="D344" s="1974">
        <f t="shared" si="217"/>
        <v>0</v>
      </c>
      <c r="E344" s="1974">
        <f t="shared" si="217"/>
        <v>0</v>
      </c>
      <c r="F344" s="1974">
        <f t="shared" si="217"/>
        <v>172</v>
      </c>
      <c r="G344" s="1974" t="s">
        <v>2997</v>
      </c>
      <c r="H344" s="1974" t="s">
        <v>2997</v>
      </c>
      <c r="I344" s="2026">
        <v>0.96199999999999997</v>
      </c>
      <c r="J344" s="2026">
        <v>0.96199999999999997</v>
      </c>
      <c r="K344" s="2026">
        <v>0.96199999999999997</v>
      </c>
      <c r="L344" s="2026">
        <v>0.96199999999999997</v>
      </c>
      <c r="M344" s="2027">
        <f t="shared" si="205"/>
        <v>0</v>
      </c>
      <c r="N344" s="2027">
        <f t="shared" si="205"/>
        <v>0</v>
      </c>
      <c r="O344" s="2027">
        <f t="shared" si="205"/>
        <v>0</v>
      </c>
      <c r="P344" s="2027">
        <f t="shared" si="194"/>
        <v>0</v>
      </c>
      <c r="Q344" s="2026">
        <v>0.96199999999999997</v>
      </c>
      <c r="R344" s="2026">
        <v>0.96199999999999997</v>
      </c>
      <c r="S344" s="2026">
        <v>0.96199999999999997</v>
      </c>
      <c r="T344" s="2026">
        <v>0.96199999999999997</v>
      </c>
      <c r="U344" s="2028">
        <f t="shared" si="206"/>
        <v>0</v>
      </c>
      <c r="V344" s="2028">
        <f t="shared" si="206"/>
        <v>0</v>
      </c>
      <c r="W344" s="2028">
        <f t="shared" si="206"/>
        <v>0</v>
      </c>
      <c r="X344" s="2028">
        <f t="shared" si="195"/>
        <v>0</v>
      </c>
      <c r="Y344" s="2026">
        <v>0.96199999999999997</v>
      </c>
      <c r="Z344" s="2026">
        <v>0.96199999999999997</v>
      </c>
      <c r="AA344" s="2026">
        <v>0.96199999999999997</v>
      </c>
      <c r="AB344" s="2026">
        <v>0.96199999999999997</v>
      </c>
      <c r="AC344" s="2027">
        <f t="shared" si="207"/>
        <v>165.464</v>
      </c>
      <c r="AD344" s="2027">
        <f t="shared" si="207"/>
        <v>165.464</v>
      </c>
      <c r="AE344" s="2027">
        <f t="shared" si="207"/>
        <v>165.464</v>
      </c>
      <c r="AF344" s="2027">
        <f t="shared" si="196"/>
        <v>165.464</v>
      </c>
      <c r="AG344" s="2027">
        <v>0</v>
      </c>
      <c r="AH344" s="2027"/>
      <c r="AI344" s="2027"/>
      <c r="AJ344" s="2027"/>
      <c r="AK344" s="2027">
        <f t="shared" si="197"/>
        <v>0</v>
      </c>
      <c r="AL344" s="2027">
        <f t="shared" si="198"/>
        <v>0</v>
      </c>
      <c r="AM344" s="2027">
        <f t="shared" si="198"/>
        <v>0</v>
      </c>
      <c r="AN344" s="2027">
        <f t="shared" si="198"/>
        <v>0</v>
      </c>
      <c r="AO344" s="2027">
        <f t="shared" si="208"/>
        <v>0</v>
      </c>
      <c r="AP344" s="2027">
        <f t="shared" si="199"/>
        <v>0</v>
      </c>
      <c r="AQ344" s="2027">
        <f t="shared" si="199"/>
        <v>0</v>
      </c>
      <c r="AR344" s="2027">
        <f t="shared" si="199"/>
        <v>0</v>
      </c>
      <c r="AS344" s="2124">
        <f t="shared" ref="AS344:AS360" si="220">AS100*1.5</f>
        <v>0</v>
      </c>
      <c r="AT344" s="2029">
        <f t="shared" si="200"/>
        <v>0</v>
      </c>
      <c r="AU344" s="2029">
        <f t="shared" si="200"/>
        <v>0</v>
      </c>
      <c r="AV344" s="2029">
        <f t="shared" si="200"/>
        <v>0</v>
      </c>
      <c r="AW344" s="2124">
        <v>100</v>
      </c>
      <c r="AX344" s="2029">
        <f t="shared" si="216"/>
        <v>100</v>
      </c>
      <c r="AY344" s="2029">
        <f t="shared" si="216"/>
        <v>100</v>
      </c>
      <c r="AZ344" s="2029">
        <f t="shared" si="216"/>
        <v>100</v>
      </c>
      <c r="BA344" s="2124">
        <f t="shared" si="219"/>
        <v>100</v>
      </c>
      <c r="BB344" s="2029">
        <f t="shared" si="219"/>
        <v>100</v>
      </c>
      <c r="BC344" s="2029">
        <f t="shared" si="219"/>
        <v>100</v>
      </c>
      <c r="BD344" s="2029">
        <f t="shared" si="219"/>
        <v>100</v>
      </c>
      <c r="BE344" s="2030">
        <f t="shared" si="202"/>
        <v>0</v>
      </c>
      <c r="BF344" s="2030">
        <f t="shared" si="202"/>
        <v>0</v>
      </c>
      <c r="BG344" s="2030">
        <f t="shared" si="202"/>
        <v>0</v>
      </c>
      <c r="BH344" s="2030">
        <f t="shared" si="191"/>
        <v>0</v>
      </c>
      <c r="BI344" s="2030">
        <f t="shared" si="203"/>
        <v>0</v>
      </c>
      <c r="BJ344" s="2030">
        <f t="shared" si="203"/>
        <v>0</v>
      </c>
      <c r="BK344" s="2030">
        <f t="shared" si="203"/>
        <v>0</v>
      </c>
      <c r="BL344" s="2030">
        <f t="shared" si="192"/>
        <v>0</v>
      </c>
      <c r="BM344" s="2125"/>
      <c r="BN344" s="2125"/>
      <c r="BO344" s="2125"/>
      <c r="BP344" s="2125"/>
      <c r="BQ344" s="2125"/>
      <c r="BR344" s="2125"/>
      <c r="BS344" s="2125"/>
      <c r="BT344" s="2125"/>
      <c r="BU344" s="2029"/>
      <c r="BV344" s="2029"/>
      <c r="BW344" s="2029"/>
      <c r="BX344" s="2029"/>
      <c r="BY344" s="2029"/>
      <c r="BZ344" s="2032"/>
      <c r="CA344" s="1974">
        <f t="shared" si="218"/>
        <v>23587</v>
      </c>
      <c r="CB344" s="1974">
        <f t="shared" si="218"/>
        <v>0</v>
      </c>
      <c r="CC344" s="1974">
        <f t="shared" si="218"/>
        <v>0</v>
      </c>
      <c r="CD344" s="1974">
        <f t="shared" si="218"/>
        <v>0</v>
      </c>
      <c r="CE344" s="1974">
        <f t="shared" si="218"/>
        <v>0</v>
      </c>
      <c r="CF344" s="2033">
        <v>0</v>
      </c>
      <c r="CG344" s="2026">
        <v>0</v>
      </c>
      <c r="CH344" s="2009">
        <f t="shared" si="218"/>
        <v>0</v>
      </c>
      <c r="CI344" s="2031">
        <f t="shared" si="218"/>
        <v>0</v>
      </c>
      <c r="CJ344" s="1974">
        <f t="shared" si="218"/>
        <v>0</v>
      </c>
      <c r="CK344" s="2031">
        <f t="shared" si="218"/>
        <v>0</v>
      </c>
      <c r="CL344" s="2026">
        <v>1</v>
      </c>
      <c r="CM344" s="2026">
        <v>1</v>
      </c>
      <c r="CN344" s="2026">
        <v>1</v>
      </c>
      <c r="CO344" s="2026">
        <v>1</v>
      </c>
      <c r="CP344" s="2035"/>
      <c r="CQ344" s="2036"/>
      <c r="CR344" s="2036"/>
      <c r="CS344" s="2036"/>
      <c r="CT344" s="2036"/>
      <c r="CU344" s="2036"/>
      <c r="CW344" s="1973">
        <v>0</v>
      </c>
      <c r="CX344" s="2037">
        <v>100</v>
      </c>
      <c r="CY344" s="2037">
        <v>100</v>
      </c>
      <c r="CZ344" s="2037">
        <v>100</v>
      </c>
      <c r="DA344" s="2037">
        <v>100</v>
      </c>
      <c r="DJ344" s="1976">
        <v>0</v>
      </c>
      <c r="DK344" s="1973">
        <v>0</v>
      </c>
      <c r="DL344" s="1973">
        <v>0</v>
      </c>
      <c r="DM344" s="1973">
        <v>0</v>
      </c>
      <c r="DO344" s="1974">
        <v>5</v>
      </c>
      <c r="DP344" s="1974">
        <v>0</v>
      </c>
      <c r="DQ344" s="1974">
        <v>0</v>
      </c>
      <c r="DR344" s="1974">
        <v>172</v>
      </c>
      <c r="DS344" s="2124">
        <v>0</v>
      </c>
      <c r="DT344" s="2029">
        <v>0</v>
      </c>
      <c r="DU344" s="2029">
        <v>0</v>
      </c>
      <c r="DV344" s="2029">
        <v>0</v>
      </c>
      <c r="DW344" s="2124">
        <v>100</v>
      </c>
      <c r="DX344" s="2029">
        <v>100</v>
      </c>
      <c r="DY344" s="2029">
        <v>100</v>
      </c>
      <c r="DZ344" s="2029">
        <v>100</v>
      </c>
      <c r="EA344" s="2124">
        <v>100</v>
      </c>
      <c r="EB344" s="2029">
        <v>100</v>
      </c>
      <c r="EC344" s="2029">
        <v>100</v>
      </c>
      <c r="ED344" s="2029">
        <v>100</v>
      </c>
      <c r="EE344" s="2039">
        <f t="shared" si="213"/>
        <v>0</v>
      </c>
      <c r="EF344" s="2039">
        <f t="shared" si="213"/>
        <v>0</v>
      </c>
      <c r="EG344" s="2039">
        <f t="shared" si="213"/>
        <v>0</v>
      </c>
      <c r="EH344" s="2039">
        <f t="shared" si="213"/>
        <v>0</v>
      </c>
      <c r="EI344" s="2040">
        <f t="shared" si="190"/>
        <v>0</v>
      </c>
      <c r="EJ344" s="2040">
        <f t="shared" si="190"/>
        <v>0</v>
      </c>
      <c r="EK344" s="2040">
        <f t="shared" si="190"/>
        <v>0</v>
      </c>
      <c r="EL344" s="2040">
        <f t="shared" si="189"/>
        <v>0</v>
      </c>
      <c r="EM344" s="2040">
        <f t="shared" si="189"/>
        <v>0</v>
      </c>
      <c r="EN344" s="2040">
        <f t="shared" si="189"/>
        <v>0</v>
      </c>
      <c r="EO344" s="2040">
        <f t="shared" si="189"/>
        <v>0</v>
      </c>
      <c r="EP344" s="2040">
        <f t="shared" si="189"/>
        <v>0</v>
      </c>
      <c r="EQ344" s="2040">
        <f t="shared" si="189"/>
        <v>0</v>
      </c>
      <c r="ER344" s="2040">
        <f t="shared" si="185"/>
        <v>0</v>
      </c>
      <c r="ES344" s="2040">
        <f t="shared" si="185"/>
        <v>0</v>
      </c>
      <c r="ET344" s="2040">
        <f t="shared" si="185"/>
        <v>0</v>
      </c>
      <c r="EU344" s="2039">
        <f t="shared" si="214"/>
        <v>0</v>
      </c>
      <c r="EV344" s="2039">
        <f t="shared" si="215"/>
        <v>0</v>
      </c>
    </row>
    <row r="345" spans="1:152" x14ac:dyDescent="0.25">
      <c r="A345" s="2088" t="s">
        <v>140</v>
      </c>
      <c r="B345" s="2093" t="str">
        <f t="shared" si="193"/>
        <v>BPH8</v>
      </c>
      <c r="C345" s="1974">
        <f t="shared" si="217"/>
        <v>16.5</v>
      </c>
      <c r="D345" s="1974">
        <f t="shared" si="217"/>
        <v>703.4542114695339</v>
      </c>
      <c r="E345" s="1974">
        <f t="shared" si="217"/>
        <v>0.13878620061450539</v>
      </c>
      <c r="F345" s="1974">
        <f t="shared" si="217"/>
        <v>542.52473385463566</v>
      </c>
      <c r="G345" s="1974" t="s">
        <v>2997</v>
      </c>
      <c r="H345" s="1974" t="s">
        <v>2997</v>
      </c>
      <c r="I345" s="2026">
        <v>0.96199999999999997</v>
      </c>
      <c r="J345" s="2026">
        <v>0.96199999999999997</v>
      </c>
      <c r="K345" s="2026">
        <v>0.96199999999999997</v>
      </c>
      <c r="L345" s="2026">
        <v>0.96199999999999997</v>
      </c>
      <c r="M345" s="2027">
        <f t="shared" si="205"/>
        <v>676.72295143369161</v>
      </c>
      <c r="N345" s="2027">
        <f t="shared" si="205"/>
        <v>676.72295143369161</v>
      </c>
      <c r="O345" s="2027">
        <f t="shared" si="205"/>
        <v>676.72295143369161</v>
      </c>
      <c r="P345" s="2027">
        <f t="shared" si="194"/>
        <v>676.72295143369161</v>
      </c>
      <c r="Q345" s="2026">
        <v>0.96199999999999997</v>
      </c>
      <c r="R345" s="2026">
        <v>0.96199999999999997</v>
      </c>
      <c r="S345" s="2026">
        <v>0.96199999999999997</v>
      </c>
      <c r="T345" s="2026">
        <v>0.96199999999999997</v>
      </c>
      <c r="U345" s="2028">
        <f t="shared" si="206"/>
        <v>0.13351232499115417</v>
      </c>
      <c r="V345" s="2028">
        <f t="shared" si="206"/>
        <v>0.13351232499115417</v>
      </c>
      <c r="W345" s="2028">
        <f t="shared" si="206"/>
        <v>0.13351232499115417</v>
      </c>
      <c r="X345" s="2028">
        <f t="shared" si="195"/>
        <v>0.13351232499115417</v>
      </c>
      <c r="Y345" s="2026">
        <v>0.96199999999999997</v>
      </c>
      <c r="Z345" s="2026">
        <v>0.96199999999999997</v>
      </c>
      <c r="AA345" s="2026">
        <v>0.96199999999999997</v>
      </c>
      <c r="AB345" s="2026">
        <v>0.96199999999999997</v>
      </c>
      <c r="AC345" s="2027">
        <f t="shared" si="207"/>
        <v>521.90879396815944</v>
      </c>
      <c r="AD345" s="2027">
        <f t="shared" si="207"/>
        <v>521.90879396815944</v>
      </c>
      <c r="AE345" s="2027">
        <f t="shared" si="207"/>
        <v>521.90879396815944</v>
      </c>
      <c r="AF345" s="2027">
        <f t="shared" si="196"/>
        <v>521.90879396815944</v>
      </c>
      <c r="AG345" s="2027">
        <v>0</v>
      </c>
      <c r="AH345" s="2028"/>
      <c r="AI345" s="2028"/>
      <c r="AJ345" s="2028"/>
      <c r="AK345" s="2027">
        <f t="shared" si="197"/>
        <v>0</v>
      </c>
      <c r="AL345" s="2027">
        <f t="shared" si="198"/>
        <v>0</v>
      </c>
      <c r="AM345" s="2027">
        <f t="shared" si="198"/>
        <v>0</v>
      </c>
      <c r="AN345" s="2027">
        <f t="shared" si="198"/>
        <v>0</v>
      </c>
      <c r="AO345" s="2027">
        <f t="shared" si="208"/>
        <v>0</v>
      </c>
      <c r="AP345" s="2027">
        <f t="shared" si="199"/>
        <v>0</v>
      </c>
      <c r="AQ345" s="2027">
        <f t="shared" si="199"/>
        <v>0</v>
      </c>
      <c r="AR345" s="2027">
        <f t="shared" si="199"/>
        <v>0</v>
      </c>
      <c r="AS345" s="2124">
        <f t="shared" si="220"/>
        <v>264</v>
      </c>
      <c r="AT345" s="2029">
        <f t="shared" si="200"/>
        <v>264</v>
      </c>
      <c r="AU345" s="2029">
        <f t="shared" si="200"/>
        <v>264</v>
      </c>
      <c r="AV345" s="2029">
        <f t="shared" si="200"/>
        <v>264</v>
      </c>
      <c r="AW345" s="2124">
        <f>AW101*1.3</f>
        <v>1851.2</v>
      </c>
      <c r="AX345" s="2029">
        <f t="shared" si="216"/>
        <v>1851.2</v>
      </c>
      <c r="AY345" s="2029">
        <f t="shared" si="216"/>
        <v>1851.2</v>
      </c>
      <c r="AZ345" s="2029">
        <f t="shared" si="216"/>
        <v>1851.2</v>
      </c>
      <c r="BA345" s="2124">
        <f t="shared" si="219"/>
        <v>1685.0046656590621</v>
      </c>
      <c r="BB345" s="2029">
        <f t="shared" si="219"/>
        <v>1685.0046656590621</v>
      </c>
      <c r="BC345" s="2029">
        <f t="shared" si="219"/>
        <v>1685.0046656590621</v>
      </c>
      <c r="BD345" s="2029">
        <f t="shared" si="219"/>
        <v>1685.0046656590621</v>
      </c>
      <c r="BE345" s="2030">
        <f t="shared" si="202"/>
        <v>0</v>
      </c>
      <c r="BF345" s="2030">
        <f t="shared" si="202"/>
        <v>0</v>
      </c>
      <c r="BG345" s="2030">
        <f t="shared" si="202"/>
        <v>0</v>
      </c>
      <c r="BH345" s="2030">
        <f t="shared" si="191"/>
        <v>0</v>
      </c>
      <c r="BI345" s="2030">
        <f t="shared" si="203"/>
        <v>0</v>
      </c>
      <c r="BJ345" s="2030">
        <f t="shared" si="203"/>
        <v>0</v>
      </c>
      <c r="BK345" s="2030">
        <f t="shared" si="203"/>
        <v>0</v>
      </c>
      <c r="BL345" s="2030">
        <f t="shared" si="192"/>
        <v>0</v>
      </c>
      <c r="BM345" s="2125"/>
      <c r="BN345" s="2125"/>
      <c r="BO345" s="2125"/>
      <c r="BP345" s="2125"/>
      <c r="BQ345" s="2125"/>
      <c r="BR345" s="2125"/>
      <c r="BS345" s="2125"/>
      <c r="BT345" s="2125"/>
      <c r="BU345" s="2029"/>
      <c r="BV345" s="2029"/>
      <c r="BW345" s="2029"/>
      <c r="BX345" s="2029"/>
      <c r="BY345" s="2029"/>
      <c r="BZ345" s="2032"/>
      <c r="CA345" s="1974">
        <f t="shared" si="218"/>
        <v>0</v>
      </c>
      <c r="CB345" s="1974" t="str">
        <f t="shared" si="218"/>
        <v>Savings reduced</v>
      </c>
      <c r="CC345" s="1974" t="str">
        <f t="shared" si="218"/>
        <v>5.5 years out</v>
      </c>
      <c r="CD345" s="1974">
        <f t="shared" si="218"/>
        <v>63.48</v>
      </c>
      <c r="CE345" s="1974">
        <f t="shared" si="218"/>
        <v>1</v>
      </c>
      <c r="CF345" s="2033">
        <v>0</v>
      </c>
      <c r="CG345" s="2026">
        <v>0</v>
      </c>
      <c r="CH345" s="2009">
        <f t="shared" si="218"/>
        <v>0</v>
      </c>
      <c r="CI345" s="2031">
        <f t="shared" si="218"/>
        <v>0</v>
      </c>
      <c r="CJ345" s="1974">
        <f t="shared" si="218"/>
        <v>0</v>
      </c>
      <c r="CK345" s="2031">
        <f t="shared" si="218"/>
        <v>0</v>
      </c>
      <c r="CL345" s="2026">
        <v>1</v>
      </c>
      <c r="CM345" s="2026">
        <v>1</v>
      </c>
      <c r="CN345" s="2026">
        <v>1</v>
      </c>
      <c r="CO345" s="2026">
        <v>1</v>
      </c>
      <c r="CP345" s="2035"/>
      <c r="CQ345" s="2036"/>
      <c r="CR345" s="2036"/>
      <c r="CS345" s="2036"/>
      <c r="CT345" s="2036"/>
      <c r="CU345" s="2036"/>
      <c r="CW345" s="1973">
        <v>0</v>
      </c>
      <c r="CX345" s="2037">
        <v>2080</v>
      </c>
      <c r="CY345" s="2037">
        <v>2080</v>
      </c>
      <c r="CZ345" s="2037">
        <v>2080</v>
      </c>
      <c r="DA345" s="2037">
        <v>2080</v>
      </c>
      <c r="DJ345" s="1976">
        <v>0</v>
      </c>
      <c r="DK345" s="1973">
        <v>0</v>
      </c>
      <c r="DL345" s="1973">
        <v>0</v>
      </c>
      <c r="DM345" s="1973">
        <v>0</v>
      </c>
      <c r="DO345" s="2047">
        <v>16.5</v>
      </c>
      <c r="DP345" s="2047">
        <v>703.4542114695339</v>
      </c>
      <c r="DQ345" s="2047">
        <v>0.13878620061450539</v>
      </c>
      <c r="DR345" s="2047">
        <v>542.52473385463566</v>
      </c>
      <c r="DS345" s="2046">
        <v>264</v>
      </c>
      <c r="DT345" s="2046">
        <v>264</v>
      </c>
      <c r="DU345" s="2046">
        <v>264</v>
      </c>
      <c r="DV345" s="2046">
        <v>264</v>
      </c>
      <c r="DW345" s="2046">
        <v>1851.2</v>
      </c>
      <c r="DX345" s="2046">
        <v>1851.2</v>
      </c>
      <c r="DY345" s="2046">
        <v>1851.2</v>
      </c>
      <c r="DZ345" s="2046">
        <v>1851.2</v>
      </c>
      <c r="EA345" s="2046">
        <v>1685.0046656590621</v>
      </c>
      <c r="EB345" s="2046">
        <v>1685.0046656590621</v>
      </c>
      <c r="EC345" s="2046">
        <v>1685.0046656590621</v>
      </c>
      <c r="ED345" s="2046">
        <v>1685.0046656590621</v>
      </c>
      <c r="EE345" s="2039">
        <f t="shared" si="213"/>
        <v>0</v>
      </c>
      <c r="EF345" s="2039">
        <f t="shared" si="213"/>
        <v>0</v>
      </c>
      <c r="EG345" s="2039">
        <f t="shared" si="213"/>
        <v>0</v>
      </c>
      <c r="EH345" s="2039">
        <f t="shared" si="213"/>
        <v>0</v>
      </c>
      <c r="EI345" s="2040">
        <f t="shared" si="190"/>
        <v>0</v>
      </c>
      <c r="EJ345" s="2040">
        <f t="shared" si="190"/>
        <v>0</v>
      </c>
      <c r="EK345" s="2040">
        <f t="shared" si="190"/>
        <v>0</v>
      </c>
      <c r="EL345" s="2040">
        <f t="shared" si="189"/>
        <v>0</v>
      </c>
      <c r="EM345" s="2040">
        <f t="shared" si="189"/>
        <v>0</v>
      </c>
      <c r="EN345" s="2040">
        <f t="shared" si="189"/>
        <v>0</v>
      </c>
      <c r="EO345" s="2040">
        <f t="shared" si="189"/>
        <v>0</v>
      </c>
      <c r="EP345" s="2040">
        <f t="shared" si="189"/>
        <v>0</v>
      </c>
      <c r="EQ345" s="2040">
        <f t="shared" si="189"/>
        <v>0</v>
      </c>
      <c r="ER345" s="2040">
        <f t="shared" si="185"/>
        <v>0</v>
      </c>
      <c r="ES345" s="2040">
        <f t="shared" si="185"/>
        <v>0</v>
      </c>
      <c r="ET345" s="2040">
        <f t="shared" si="185"/>
        <v>0</v>
      </c>
      <c r="EU345" s="2039">
        <f t="shared" si="214"/>
        <v>0</v>
      </c>
      <c r="EV345" s="2039">
        <f t="shared" si="215"/>
        <v>0</v>
      </c>
    </row>
    <row r="346" spans="1:152" x14ac:dyDescent="0.25">
      <c r="A346" s="2126" t="s">
        <v>141</v>
      </c>
      <c r="B346" s="1974" t="str">
        <f t="shared" si="193"/>
        <v>BPH9</v>
      </c>
      <c r="C346" s="1974">
        <v>20</v>
      </c>
      <c r="D346" s="1974">
        <v>0</v>
      </c>
      <c r="E346" s="1974">
        <v>0</v>
      </c>
      <c r="F346" s="1974">
        <v>1337.7267780000002</v>
      </c>
      <c r="G346" s="1974" t="s">
        <v>2997</v>
      </c>
      <c r="H346" s="1974" t="s">
        <v>2997</v>
      </c>
      <c r="I346" s="2026">
        <v>0.96199999999999997</v>
      </c>
      <c r="J346" s="2026">
        <v>0.96199999999999997</v>
      </c>
      <c r="K346" s="2026">
        <v>0.96199999999999997</v>
      </c>
      <c r="L346" s="2026">
        <v>0.96199999999999997</v>
      </c>
      <c r="M346" s="2027">
        <f t="shared" si="205"/>
        <v>0</v>
      </c>
      <c r="N346" s="2027">
        <f t="shared" si="205"/>
        <v>0</v>
      </c>
      <c r="O346" s="2027">
        <f t="shared" si="205"/>
        <v>0</v>
      </c>
      <c r="P346" s="2027">
        <f t="shared" si="194"/>
        <v>0</v>
      </c>
      <c r="Q346" s="2026">
        <v>0.96199999999999997</v>
      </c>
      <c r="R346" s="2026">
        <v>0.96199999999999997</v>
      </c>
      <c r="S346" s="2026">
        <v>0.96199999999999997</v>
      </c>
      <c r="T346" s="2026">
        <v>0.96199999999999997</v>
      </c>
      <c r="U346" s="2028">
        <f t="shared" si="206"/>
        <v>0</v>
      </c>
      <c r="V346" s="2028">
        <f t="shared" si="206"/>
        <v>0</v>
      </c>
      <c r="W346" s="2028">
        <f t="shared" si="206"/>
        <v>0</v>
      </c>
      <c r="X346" s="2028">
        <f t="shared" si="195"/>
        <v>0</v>
      </c>
      <c r="Y346" s="2026">
        <v>0.96199999999999997</v>
      </c>
      <c r="Z346" s="2026">
        <v>0.96199999999999997</v>
      </c>
      <c r="AA346" s="2026">
        <v>0.96199999999999997</v>
      </c>
      <c r="AB346" s="2026">
        <v>0.96199999999999997</v>
      </c>
      <c r="AC346" s="2027">
        <f t="shared" si="207"/>
        <v>1286.8931604360002</v>
      </c>
      <c r="AD346" s="2027">
        <f t="shared" si="207"/>
        <v>1286.8931604360002</v>
      </c>
      <c r="AE346" s="2027">
        <f t="shared" si="207"/>
        <v>1286.8931604360002</v>
      </c>
      <c r="AF346" s="2027">
        <f t="shared" si="196"/>
        <v>1286.8931604360002</v>
      </c>
      <c r="AG346" s="2027">
        <v>27</v>
      </c>
      <c r="AH346" s="2027">
        <v>24</v>
      </c>
      <c r="AI346" s="2027">
        <v>24</v>
      </c>
      <c r="AJ346" s="2027">
        <v>20</v>
      </c>
      <c r="AK346" s="2027">
        <f t="shared" si="197"/>
        <v>0</v>
      </c>
      <c r="AL346" s="2027">
        <f t="shared" si="198"/>
        <v>0</v>
      </c>
      <c r="AM346" s="2027">
        <f t="shared" si="198"/>
        <v>0</v>
      </c>
      <c r="AN346" s="2027">
        <f t="shared" si="198"/>
        <v>0</v>
      </c>
      <c r="AO346" s="2027">
        <f t="shared" si="208"/>
        <v>34746.115331772009</v>
      </c>
      <c r="AP346" s="2027">
        <f t="shared" si="199"/>
        <v>30885.435850464004</v>
      </c>
      <c r="AQ346" s="2027">
        <f t="shared" si="199"/>
        <v>30885.435850464004</v>
      </c>
      <c r="AR346" s="2027">
        <f t="shared" si="199"/>
        <v>25737.863208720006</v>
      </c>
      <c r="AS346" s="2029">
        <f t="shared" si="220"/>
        <v>0</v>
      </c>
      <c r="AT346" s="2029">
        <f t="shared" si="200"/>
        <v>0</v>
      </c>
      <c r="AU346" s="2029">
        <f t="shared" si="200"/>
        <v>0</v>
      </c>
      <c r="AV346" s="2029">
        <f t="shared" si="200"/>
        <v>0</v>
      </c>
      <c r="AW346" s="2029">
        <v>1200.009</v>
      </c>
      <c r="AX346" s="2029">
        <f t="shared" si="216"/>
        <v>1200.009</v>
      </c>
      <c r="AY346" s="2029">
        <f t="shared" si="216"/>
        <v>1200.009</v>
      </c>
      <c r="AZ346" s="2029">
        <f t="shared" si="216"/>
        <v>1200.009</v>
      </c>
      <c r="BA346" s="2029">
        <v>621</v>
      </c>
      <c r="BB346" s="2029">
        <f>$BA346</f>
        <v>621</v>
      </c>
      <c r="BC346" s="2029">
        <f t="shared" ref="BC346:BD346" si="221">$BA346</f>
        <v>621</v>
      </c>
      <c r="BD346" s="2029">
        <f t="shared" si="221"/>
        <v>621</v>
      </c>
      <c r="BE346" s="2030">
        <f t="shared" si="202"/>
        <v>0</v>
      </c>
      <c r="BF346" s="2030">
        <f t="shared" si="202"/>
        <v>0</v>
      </c>
      <c r="BG346" s="2030">
        <f t="shared" si="202"/>
        <v>0</v>
      </c>
      <c r="BH346" s="2030">
        <f t="shared" si="191"/>
        <v>0</v>
      </c>
      <c r="BI346" s="2030">
        <f t="shared" si="203"/>
        <v>32400.243000000002</v>
      </c>
      <c r="BJ346" s="2030">
        <f t="shared" si="203"/>
        <v>28800.216</v>
      </c>
      <c r="BK346" s="2030">
        <f t="shared" si="203"/>
        <v>28800.216</v>
      </c>
      <c r="BL346" s="2030">
        <f t="shared" si="192"/>
        <v>24000.18</v>
      </c>
      <c r="BM346" s="2125"/>
      <c r="BN346" s="2125"/>
      <c r="BO346" s="2125"/>
      <c r="BP346" s="2125"/>
      <c r="BQ346" s="2125"/>
      <c r="BR346" s="2125"/>
      <c r="BS346" s="2125"/>
      <c r="BT346" s="2125"/>
      <c r="BU346" s="2029"/>
      <c r="BV346" s="2029"/>
      <c r="BW346" s="2029"/>
      <c r="BX346" s="2029"/>
      <c r="BY346" s="2029"/>
      <c r="BZ346" s="2032"/>
      <c r="CA346" s="1974">
        <f t="shared" si="218"/>
        <v>0</v>
      </c>
      <c r="CB346" s="1974">
        <f t="shared" si="218"/>
        <v>0</v>
      </c>
      <c r="CC346" s="1974">
        <f t="shared" si="218"/>
        <v>0</v>
      </c>
      <c r="CD346" s="1974">
        <f t="shared" si="218"/>
        <v>0</v>
      </c>
      <c r="CE346" s="1974">
        <f t="shared" si="218"/>
        <v>0</v>
      </c>
      <c r="CF346" s="2033">
        <v>0</v>
      </c>
      <c r="CG346" s="2026">
        <v>1.314017030898159E-2</v>
      </c>
      <c r="CH346" s="2009">
        <f t="shared" si="218"/>
        <v>0</v>
      </c>
      <c r="CI346" s="2031">
        <f t="shared" si="218"/>
        <v>0</v>
      </c>
      <c r="CJ346" s="1974">
        <f t="shared" si="218"/>
        <v>0</v>
      </c>
      <c r="CK346" s="2031">
        <f t="shared" si="218"/>
        <v>0</v>
      </c>
      <c r="CL346" s="2026">
        <v>1</v>
      </c>
      <c r="CM346" s="2026">
        <v>1</v>
      </c>
      <c r="CN346" s="2026">
        <v>1</v>
      </c>
      <c r="CO346" s="2026">
        <v>1</v>
      </c>
      <c r="CP346" s="2035"/>
      <c r="CQ346" s="2036"/>
      <c r="CR346" s="2036"/>
      <c r="CS346" s="2036"/>
      <c r="CT346" s="2036"/>
      <c r="CU346" s="2036"/>
      <c r="CW346" s="1973">
        <v>0</v>
      </c>
      <c r="CX346" s="2037">
        <v>960</v>
      </c>
      <c r="CY346" s="2037">
        <v>960</v>
      </c>
      <c r="CZ346" s="2037">
        <v>960</v>
      </c>
      <c r="DA346" s="2037">
        <v>960</v>
      </c>
      <c r="DJ346" s="1976">
        <v>0</v>
      </c>
      <c r="DK346" s="1973">
        <v>0</v>
      </c>
      <c r="DL346" s="1973">
        <v>0</v>
      </c>
      <c r="DM346" s="1973">
        <v>0</v>
      </c>
      <c r="DO346" s="2047">
        <v>20</v>
      </c>
      <c r="DP346" s="2047">
        <v>0</v>
      </c>
      <c r="DQ346" s="2047">
        <v>0</v>
      </c>
      <c r="DR346" s="2047">
        <v>1337.7267780000002</v>
      </c>
      <c r="DS346" s="2046">
        <v>0</v>
      </c>
      <c r="DT346" s="2046">
        <v>0</v>
      </c>
      <c r="DU346" s="2046">
        <v>0</v>
      </c>
      <c r="DV346" s="2046">
        <v>0</v>
      </c>
      <c r="DW346" s="2046">
        <v>1200.009</v>
      </c>
      <c r="DX346" s="2046">
        <v>1200.009</v>
      </c>
      <c r="DY346" s="2046">
        <v>1200.009</v>
      </c>
      <c r="DZ346" s="2046">
        <v>1200.009</v>
      </c>
      <c r="EA346" s="2046">
        <v>621</v>
      </c>
      <c r="EB346" s="2046">
        <v>621</v>
      </c>
      <c r="EC346" s="2046">
        <v>621</v>
      </c>
      <c r="ED346" s="2046">
        <v>621</v>
      </c>
      <c r="EE346" s="2039">
        <f t="shared" si="213"/>
        <v>0</v>
      </c>
      <c r="EF346" s="2039">
        <f t="shared" si="213"/>
        <v>0</v>
      </c>
      <c r="EG346" s="2039">
        <f t="shared" si="213"/>
        <v>0</v>
      </c>
      <c r="EH346" s="2039">
        <f t="shared" si="213"/>
        <v>0</v>
      </c>
      <c r="EI346" s="2040">
        <f t="shared" si="190"/>
        <v>0</v>
      </c>
      <c r="EJ346" s="2040">
        <f t="shared" si="190"/>
        <v>0</v>
      </c>
      <c r="EK346" s="2040">
        <f t="shared" si="190"/>
        <v>0</v>
      </c>
      <c r="EL346" s="2040">
        <f t="shared" si="189"/>
        <v>0</v>
      </c>
      <c r="EM346" s="2040">
        <f t="shared" si="189"/>
        <v>0</v>
      </c>
      <c r="EN346" s="2040">
        <f t="shared" si="189"/>
        <v>0</v>
      </c>
      <c r="EO346" s="2040">
        <f t="shared" si="189"/>
        <v>0</v>
      </c>
      <c r="EP346" s="2040">
        <f t="shared" si="189"/>
        <v>0</v>
      </c>
      <c r="EQ346" s="2040">
        <f t="shared" si="189"/>
        <v>0</v>
      </c>
      <c r="ER346" s="2040">
        <f t="shared" si="185"/>
        <v>0</v>
      </c>
      <c r="ES346" s="2040">
        <f t="shared" si="185"/>
        <v>0</v>
      </c>
      <c r="ET346" s="2040">
        <f t="shared" si="185"/>
        <v>0</v>
      </c>
      <c r="EU346" s="2039">
        <f t="shared" si="214"/>
        <v>0</v>
      </c>
      <c r="EV346" s="2039">
        <f t="shared" si="215"/>
        <v>0</v>
      </c>
    </row>
    <row r="347" spans="1:152" x14ac:dyDescent="0.25">
      <c r="A347" s="2088" t="s">
        <v>142</v>
      </c>
      <c r="B347" s="2093" t="str">
        <f t="shared" si="193"/>
        <v/>
      </c>
      <c r="C347" s="1974">
        <f t="shared" ref="C347:F362" si="222">C103</f>
        <v>12</v>
      </c>
      <c r="D347" s="1974">
        <f t="shared" si="222"/>
        <v>0</v>
      </c>
      <c r="E347" s="1974">
        <f t="shared" si="222"/>
        <v>0</v>
      </c>
      <c r="F347" s="1974">
        <f t="shared" si="222"/>
        <v>451</v>
      </c>
      <c r="G347" s="1974" t="s">
        <v>2997</v>
      </c>
      <c r="H347" s="1974" t="s">
        <v>2997</v>
      </c>
      <c r="I347" s="2026">
        <v>0.96199999999999997</v>
      </c>
      <c r="J347" s="2026">
        <v>0.96199999999999997</v>
      </c>
      <c r="K347" s="2026">
        <v>0.96199999999999997</v>
      </c>
      <c r="L347" s="2026">
        <v>0.96199999999999997</v>
      </c>
      <c r="M347" s="2027">
        <f t="shared" si="205"/>
        <v>0</v>
      </c>
      <c r="N347" s="2027">
        <f t="shared" si="205"/>
        <v>0</v>
      </c>
      <c r="O347" s="2027">
        <f t="shared" si="205"/>
        <v>0</v>
      </c>
      <c r="P347" s="2027">
        <f t="shared" si="194"/>
        <v>0</v>
      </c>
      <c r="Q347" s="2026">
        <v>0.96199999999999997</v>
      </c>
      <c r="R347" s="2026">
        <v>0.96199999999999997</v>
      </c>
      <c r="S347" s="2026">
        <v>0.96199999999999997</v>
      </c>
      <c r="T347" s="2026">
        <v>0.96199999999999997</v>
      </c>
      <c r="U347" s="2028">
        <f t="shared" si="206"/>
        <v>0</v>
      </c>
      <c r="V347" s="2028">
        <f t="shared" si="206"/>
        <v>0</v>
      </c>
      <c r="W347" s="2028">
        <f t="shared" si="206"/>
        <v>0</v>
      </c>
      <c r="X347" s="2028">
        <f t="shared" si="195"/>
        <v>0</v>
      </c>
      <c r="Y347" s="2026">
        <v>0.96199999999999997</v>
      </c>
      <c r="Z347" s="2026">
        <v>0.96199999999999997</v>
      </c>
      <c r="AA347" s="2026">
        <v>0.96199999999999997</v>
      </c>
      <c r="AB347" s="2026">
        <v>0.96199999999999997</v>
      </c>
      <c r="AC347" s="2027">
        <f t="shared" si="207"/>
        <v>433.86199999999997</v>
      </c>
      <c r="AD347" s="2027">
        <f t="shared" si="207"/>
        <v>433.86199999999997</v>
      </c>
      <c r="AE347" s="2027">
        <f t="shared" si="207"/>
        <v>433.86199999999997</v>
      </c>
      <c r="AF347" s="2027">
        <f t="shared" si="196"/>
        <v>433.86199999999997</v>
      </c>
      <c r="AG347" s="2027">
        <v>0</v>
      </c>
      <c r="AH347" s="2028"/>
      <c r="AI347" s="2028"/>
      <c r="AJ347" s="2028"/>
      <c r="AK347" s="2027">
        <f t="shared" si="197"/>
        <v>0</v>
      </c>
      <c r="AL347" s="2027">
        <f t="shared" si="198"/>
        <v>0</v>
      </c>
      <c r="AM347" s="2027">
        <f t="shared" si="198"/>
        <v>0</v>
      </c>
      <c r="AN347" s="2027">
        <f t="shared" si="198"/>
        <v>0</v>
      </c>
      <c r="AO347" s="2027">
        <f t="shared" si="208"/>
        <v>0</v>
      </c>
      <c r="AP347" s="2027">
        <f t="shared" si="199"/>
        <v>0</v>
      </c>
      <c r="AQ347" s="2027">
        <f t="shared" si="199"/>
        <v>0</v>
      </c>
      <c r="AR347" s="2027">
        <f t="shared" si="199"/>
        <v>0</v>
      </c>
      <c r="AS347" s="2124">
        <f t="shared" si="220"/>
        <v>0</v>
      </c>
      <c r="AT347" s="2029">
        <f t="shared" si="200"/>
        <v>0</v>
      </c>
      <c r="AU347" s="2029">
        <f t="shared" si="200"/>
        <v>0</v>
      </c>
      <c r="AV347" s="2029">
        <f t="shared" si="200"/>
        <v>0</v>
      </c>
      <c r="AW347" s="2124">
        <f t="shared" ref="AW347:AW360" si="223">AW103*1.3</f>
        <v>1560</v>
      </c>
      <c r="AX347" s="2029">
        <f t="shared" si="216"/>
        <v>1560</v>
      </c>
      <c r="AY347" s="2029">
        <f t="shared" si="216"/>
        <v>1560</v>
      </c>
      <c r="AZ347" s="2029">
        <f t="shared" si="216"/>
        <v>1560</v>
      </c>
      <c r="BA347" s="2124">
        <f t="shared" si="219"/>
        <v>1716</v>
      </c>
      <c r="BB347" s="2029">
        <f t="shared" si="219"/>
        <v>1716</v>
      </c>
      <c r="BC347" s="2029">
        <f t="shared" si="219"/>
        <v>1716</v>
      </c>
      <c r="BD347" s="2029">
        <f t="shared" si="219"/>
        <v>1716</v>
      </c>
      <c r="BE347" s="2030">
        <f t="shared" si="202"/>
        <v>0</v>
      </c>
      <c r="BF347" s="2030">
        <f t="shared" si="202"/>
        <v>0</v>
      </c>
      <c r="BG347" s="2030">
        <f t="shared" si="202"/>
        <v>0</v>
      </c>
      <c r="BH347" s="2030">
        <f t="shared" si="191"/>
        <v>0</v>
      </c>
      <c r="BI347" s="2030">
        <f t="shared" si="203"/>
        <v>0</v>
      </c>
      <c r="BJ347" s="2030">
        <f t="shared" si="203"/>
        <v>0</v>
      </c>
      <c r="BK347" s="2030">
        <f t="shared" si="203"/>
        <v>0</v>
      </c>
      <c r="BL347" s="2030">
        <f t="shared" si="192"/>
        <v>0</v>
      </c>
      <c r="BM347" s="2125"/>
      <c r="BN347" s="2125"/>
      <c r="BO347" s="2125"/>
      <c r="BP347" s="2125"/>
      <c r="BQ347" s="2125"/>
      <c r="BR347" s="2125"/>
      <c r="BS347" s="2125"/>
      <c r="BT347" s="2125"/>
      <c r="BU347" s="2029"/>
      <c r="BV347" s="2029"/>
      <c r="BW347" s="2029"/>
      <c r="BX347" s="2029"/>
      <c r="BY347" s="2029"/>
      <c r="BZ347" s="2032"/>
      <c r="CA347" s="1974">
        <f t="shared" ref="CA347:CK362" si="224">CA103</f>
        <v>0</v>
      </c>
      <c r="CB347" s="1974">
        <f t="shared" si="224"/>
        <v>0</v>
      </c>
      <c r="CC347" s="1974">
        <f t="shared" si="224"/>
        <v>0</v>
      </c>
      <c r="CD347" s="1974">
        <f t="shared" si="224"/>
        <v>0</v>
      </c>
      <c r="CE347" s="1974">
        <f t="shared" si="224"/>
        <v>0</v>
      </c>
      <c r="CF347" s="2033">
        <v>0</v>
      </c>
      <c r="CG347" s="2026">
        <v>0</v>
      </c>
      <c r="CH347" s="2009">
        <f t="shared" si="224"/>
        <v>0</v>
      </c>
      <c r="CI347" s="2031">
        <f t="shared" si="224"/>
        <v>0</v>
      </c>
      <c r="CJ347" s="1974">
        <f t="shared" si="224"/>
        <v>0</v>
      </c>
      <c r="CK347" s="2031">
        <f t="shared" si="224"/>
        <v>0</v>
      </c>
      <c r="CL347" s="2026">
        <v>1</v>
      </c>
      <c r="CM347" s="2026">
        <v>1</v>
      </c>
      <c r="CN347" s="2026">
        <v>1</v>
      </c>
      <c r="CO347" s="2026">
        <v>1</v>
      </c>
      <c r="CP347" s="2035"/>
      <c r="CQ347" s="2036"/>
      <c r="CR347" s="2036"/>
      <c r="CS347" s="2036"/>
      <c r="CT347" s="2036"/>
      <c r="CU347" s="2036"/>
      <c r="CW347" s="1973">
        <v>0</v>
      </c>
      <c r="CX347" s="2037">
        <v>1560</v>
      </c>
      <c r="CY347" s="2037">
        <v>1560</v>
      </c>
      <c r="CZ347" s="2037">
        <v>1560</v>
      </c>
      <c r="DA347" s="2037">
        <v>1560</v>
      </c>
      <c r="DJ347" s="1976">
        <v>0</v>
      </c>
      <c r="DK347" s="1973">
        <v>0</v>
      </c>
      <c r="DL347" s="1973">
        <v>0</v>
      </c>
      <c r="DM347" s="1973">
        <v>0</v>
      </c>
      <c r="DO347" s="1974">
        <v>12</v>
      </c>
      <c r="DP347" s="1974">
        <v>0</v>
      </c>
      <c r="DQ347" s="1974">
        <v>0</v>
      </c>
      <c r="DR347" s="1974">
        <v>451</v>
      </c>
      <c r="DS347" s="2124">
        <v>0</v>
      </c>
      <c r="DT347" s="2029">
        <v>0</v>
      </c>
      <c r="DU347" s="2029">
        <v>0</v>
      </c>
      <c r="DV347" s="2029">
        <v>0</v>
      </c>
      <c r="DW347" s="2124">
        <v>1560</v>
      </c>
      <c r="DX347" s="2029">
        <v>1560</v>
      </c>
      <c r="DY347" s="2029">
        <v>1560</v>
      </c>
      <c r="DZ347" s="2029">
        <v>1560</v>
      </c>
      <c r="EA347" s="2124">
        <v>1716</v>
      </c>
      <c r="EB347" s="2029">
        <v>1716</v>
      </c>
      <c r="EC347" s="2029">
        <v>1716</v>
      </c>
      <c r="ED347" s="2029">
        <v>1716</v>
      </c>
      <c r="EE347" s="2039">
        <f t="shared" si="213"/>
        <v>0</v>
      </c>
      <c r="EF347" s="2039">
        <f t="shared" si="213"/>
        <v>0</v>
      </c>
      <c r="EG347" s="2039">
        <f t="shared" si="213"/>
        <v>0</v>
      </c>
      <c r="EH347" s="2039">
        <f t="shared" si="213"/>
        <v>0</v>
      </c>
      <c r="EI347" s="2040">
        <f t="shared" si="190"/>
        <v>0</v>
      </c>
      <c r="EJ347" s="2040">
        <f t="shared" si="190"/>
        <v>0</v>
      </c>
      <c r="EK347" s="2040">
        <f t="shared" si="190"/>
        <v>0</v>
      </c>
      <c r="EL347" s="2040">
        <f t="shared" si="189"/>
        <v>0</v>
      </c>
      <c r="EM347" s="2040">
        <f t="shared" si="189"/>
        <v>0</v>
      </c>
      <c r="EN347" s="2040">
        <f t="shared" si="189"/>
        <v>0</v>
      </c>
      <c r="EO347" s="2040">
        <f t="shared" si="189"/>
        <v>0</v>
      </c>
      <c r="EP347" s="2040">
        <f t="shared" si="189"/>
        <v>0</v>
      </c>
      <c r="EQ347" s="2040">
        <f t="shared" si="189"/>
        <v>0</v>
      </c>
      <c r="ER347" s="2040">
        <f t="shared" si="185"/>
        <v>0</v>
      </c>
      <c r="ES347" s="2040">
        <f t="shared" si="185"/>
        <v>0</v>
      </c>
      <c r="ET347" s="2040">
        <f t="shared" si="185"/>
        <v>0</v>
      </c>
      <c r="EU347" s="2039">
        <f t="shared" si="214"/>
        <v>0</v>
      </c>
      <c r="EV347" s="2039">
        <f t="shared" si="215"/>
        <v>0</v>
      </c>
    </row>
    <row r="348" spans="1:152" x14ac:dyDescent="0.25">
      <c r="A348" s="2088" t="s">
        <v>143</v>
      </c>
      <c r="B348" s="2093" t="str">
        <f t="shared" si="193"/>
        <v/>
      </c>
      <c r="C348" s="1974">
        <f t="shared" si="222"/>
        <v>12</v>
      </c>
      <c r="D348" s="1974">
        <f t="shared" si="222"/>
        <v>0</v>
      </c>
      <c r="E348" s="1974">
        <f t="shared" si="222"/>
        <v>0</v>
      </c>
      <c r="F348" s="1974">
        <f t="shared" si="222"/>
        <v>266</v>
      </c>
      <c r="G348" s="1974" t="s">
        <v>2997</v>
      </c>
      <c r="H348" s="1974" t="s">
        <v>2997</v>
      </c>
      <c r="I348" s="2026">
        <v>0.96199999999999997</v>
      </c>
      <c r="J348" s="2026">
        <v>0.96199999999999997</v>
      </c>
      <c r="K348" s="2026">
        <v>0.96199999999999997</v>
      </c>
      <c r="L348" s="2026">
        <v>0.96199999999999997</v>
      </c>
      <c r="M348" s="2027">
        <f t="shared" si="205"/>
        <v>0</v>
      </c>
      <c r="N348" s="2027">
        <f t="shared" si="205"/>
        <v>0</v>
      </c>
      <c r="O348" s="2027">
        <f t="shared" si="205"/>
        <v>0</v>
      </c>
      <c r="P348" s="2027">
        <f t="shared" si="194"/>
        <v>0</v>
      </c>
      <c r="Q348" s="2026">
        <v>0.96199999999999997</v>
      </c>
      <c r="R348" s="2026">
        <v>0.96199999999999997</v>
      </c>
      <c r="S348" s="2026">
        <v>0.96199999999999997</v>
      </c>
      <c r="T348" s="2026">
        <v>0.96199999999999997</v>
      </c>
      <c r="U348" s="2028">
        <f t="shared" si="206"/>
        <v>0</v>
      </c>
      <c r="V348" s="2028">
        <f t="shared" si="206"/>
        <v>0</v>
      </c>
      <c r="W348" s="2028">
        <f t="shared" si="206"/>
        <v>0</v>
      </c>
      <c r="X348" s="2028">
        <f t="shared" si="195"/>
        <v>0</v>
      </c>
      <c r="Y348" s="2026">
        <v>0.96199999999999997</v>
      </c>
      <c r="Z348" s="2026">
        <v>0.96199999999999997</v>
      </c>
      <c r="AA348" s="2026">
        <v>0.96199999999999997</v>
      </c>
      <c r="AB348" s="2026">
        <v>0.96199999999999997</v>
      </c>
      <c r="AC348" s="2027">
        <f t="shared" si="207"/>
        <v>255.892</v>
      </c>
      <c r="AD348" s="2027">
        <f t="shared" si="207"/>
        <v>255.892</v>
      </c>
      <c r="AE348" s="2027">
        <f t="shared" si="207"/>
        <v>255.892</v>
      </c>
      <c r="AF348" s="2027">
        <f t="shared" si="196"/>
        <v>255.892</v>
      </c>
      <c r="AG348" s="2027">
        <v>0</v>
      </c>
      <c r="AH348" s="2028"/>
      <c r="AI348" s="2028"/>
      <c r="AJ348" s="2028"/>
      <c r="AK348" s="2027">
        <f t="shared" si="197"/>
        <v>0</v>
      </c>
      <c r="AL348" s="2027">
        <f t="shared" si="198"/>
        <v>0</v>
      </c>
      <c r="AM348" s="2027">
        <f t="shared" si="198"/>
        <v>0</v>
      </c>
      <c r="AN348" s="2027">
        <f t="shared" si="198"/>
        <v>0</v>
      </c>
      <c r="AO348" s="2027">
        <f t="shared" si="208"/>
        <v>0</v>
      </c>
      <c r="AP348" s="2027">
        <f t="shared" si="199"/>
        <v>0</v>
      </c>
      <c r="AQ348" s="2027">
        <f t="shared" si="199"/>
        <v>0</v>
      </c>
      <c r="AR348" s="2027">
        <f t="shared" si="199"/>
        <v>0</v>
      </c>
      <c r="AS348" s="2124">
        <f t="shared" si="220"/>
        <v>0</v>
      </c>
      <c r="AT348" s="2029">
        <f t="shared" si="200"/>
        <v>0</v>
      </c>
      <c r="AU348" s="2029">
        <f t="shared" si="200"/>
        <v>0</v>
      </c>
      <c r="AV348" s="2029">
        <f t="shared" si="200"/>
        <v>0</v>
      </c>
      <c r="AW348" s="2124">
        <f t="shared" si="223"/>
        <v>390</v>
      </c>
      <c r="AX348" s="2029">
        <f t="shared" si="216"/>
        <v>390</v>
      </c>
      <c r="AY348" s="2029">
        <f t="shared" si="216"/>
        <v>390</v>
      </c>
      <c r="AZ348" s="2029">
        <f t="shared" si="216"/>
        <v>390</v>
      </c>
      <c r="BA348" s="2124">
        <f t="shared" si="219"/>
        <v>676</v>
      </c>
      <c r="BB348" s="2029">
        <f t="shared" si="219"/>
        <v>676</v>
      </c>
      <c r="BC348" s="2029">
        <f t="shared" si="219"/>
        <v>676</v>
      </c>
      <c r="BD348" s="2029">
        <f t="shared" si="219"/>
        <v>676</v>
      </c>
      <c r="BE348" s="2030">
        <f t="shared" si="202"/>
        <v>0</v>
      </c>
      <c r="BF348" s="2030">
        <f t="shared" si="202"/>
        <v>0</v>
      </c>
      <c r="BG348" s="2030">
        <f t="shared" si="202"/>
        <v>0</v>
      </c>
      <c r="BH348" s="2030">
        <f t="shared" si="191"/>
        <v>0</v>
      </c>
      <c r="BI348" s="2030">
        <f t="shared" si="203"/>
        <v>0</v>
      </c>
      <c r="BJ348" s="2030">
        <f t="shared" si="203"/>
        <v>0</v>
      </c>
      <c r="BK348" s="2030">
        <f t="shared" si="203"/>
        <v>0</v>
      </c>
      <c r="BL348" s="2030">
        <f t="shared" si="192"/>
        <v>0</v>
      </c>
      <c r="BM348" s="2125"/>
      <c r="BN348" s="2125"/>
      <c r="BO348" s="2125"/>
      <c r="BP348" s="2125"/>
      <c r="BQ348" s="2125"/>
      <c r="BR348" s="2125"/>
      <c r="BS348" s="2125"/>
      <c r="BT348" s="2125"/>
      <c r="BU348" s="2029"/>
      <c r="BV348" s="2029"/>
      <c r="BW348" s="2029"/>
      <c r="BX348" s="2029"/>
      <c r="BY348" s="2029"/>
      <c r="BZ348" s="2032"/>
      <c r="CA348" s="1974">
        <f t="shared" si="224"/>
        <v>0</v>
      </c>
      <c r="CB348" s="1974">
        <f t="shared" si="224"/>
        <v>0</v>
      </c>
      <c r="CC348" s="1974">
        <f t="shared" si="224"/>
        <v>0</v>
      </c>
      <c r="CD348" s="1974">
        <f t="shared" si="224"/>
        <v>0</v>
      </c>
      <c r="CE348" s="1974">
        <f t="shared" si="224"/>
        <v>0</v>
      </c>
      <c r="CF348" s="2033">
        <v>0</v>
      </c>
      <c r="CG348" s="2026">
        <v>0</v>
      </c>
      <c r="CH348" s="2009">
        <f t="shared" si="224"/>
        <v>0</v>
      </c>
      <c r="CI348" s="2031">
        <f t="shared" si="224"/>
        <v>0</v>
      </c>
      <c r="CJ348" s="1974">
        <f t="shared" si="224"/>
        <v>0</v>
      </c>
      <c r="CK348" s="2031">
        <f t="shared" si="224"/>
        <v>0</v>
      </c>
      <c r="CL348" s="2026">
        <v>1</v>
      </c>
      <c r="CM348" s="2026">
        <v>1</v>
      </c>
      <c r="CN348" s="2026">
        <v>1</v>
      </c>
      <c r="CO348" s="2026">
        <v>1</v>
      </c>
      <c r="CP348" s="2035"/>
      <c r="CQ348" s="2036"/>
      <c r="CR348" s="2036"/>
      <c r="CS348" s="2036"/>
      <c r="CT348" s="2036"/>
      <c r="CU348" s="2036"/>
      <c r="CW348" s="1973">
        <v>0</v>
      </c>
      <c r="CX348" s="2037">
        <v>390</v>
      </c>
      <c r="CY348" s="2037">
        <v>390</v>
      </c>
      <c r="CZ348" s="2037">
        <v>390</v>
      </c>
      <c r="DA348" s="2037">
        <v>390</v>
      </c>
      <c r="DJ348" s="1976">
        <v>0</v>
      </c>
      <c r="DK348" s="1973">
        <v>0</v>
      </c>
      <c r="DL348" s="1973">
        <v>0</v>
      </c>
      <c r="DM348" s="1973">
        <v>0</v>
      </c>
      <c r="DO348" s="1974">
        <v>12</v>
      </c>
      <c r="DP348" s="1974">
        <v>0</v>
      </c>
      <c r="DQ348" s="1974">
        <v>0</v>
      </c>
      <c r="DR348" s="1974">
        <v>266</v>
      </c>
      <c r="DS348" s="2124">
        <v>0</v>
      </c>
      <c r="DT348" s="2029">
        <v>0</v>
      </c>
      <c r="DU348" s="2029">
        <v>0</v>
      </c>
      <c r="DV348" s="2029">
        <v>0</v>
      </c>
      <c r="DW348" s="2124">
        <v>390</v>
      </c>
      <c r="DX348" s="2029">
        <v>390</v>
      </c>
      <c r="DY348" s="2029">
        <v>390</v>
      </c>
      <c r="DZ348" s="2029">
        <v>390</v>
      </c>
      <c r="EA348" s="2124">
        <v>676</v>
      </c>
      <c r="EB348" s="2029">
        <v>676</v>
      </c>
      <c r="EC348" s="2029">
        <v>676</v>
      </c>
      <c r="ED348" s="2029">
        <v>676</v>
      </c>
      <c r="EE348" s="2039">
        <f t="shared" si="213"/>
        <v>0</v>
      </c>
      <c r="EF348" s="2039">
        <f t="shared" si="213"/>
        <v>0</v>
      </c>
      <c r="EG348" s="2039">
        <f t="shared" si="213"/>
        <v>0</v>
      </c>
      <c r="EH348" s="2039">
        <f t="shared" si="213"/>
        <v>0</v>
      </c>
      <c r="EI348" s="2040">
        <f t="shared" si="190"/>
        <v>0</v>
      </c>
      <c r="EJ348" s="2040">
        <f t="shared" si="190"/>
        <v>0</v>
      </c>
      <c r="EK348" s="2040">
        <f t="shared" si="190"/>
        <v>0</v>
      </c>
      <c r="EL348" s="2040">
        <f t="shared" si="189"/>
        <v>0</v>
      </c>
      <c r="EM348" s="2040">
        <f t="shared" si="189"/>
        <v>0</v>
      </c>
      <c r="EN348" s="2040">
        <f t="shared" si="189"/>
        <v>0</v>
      </c>
      <c r="EO348" s="2040">
        <f t="shared" si="189"/>
        <v>0</v>
      </c>
      <c r="EP348" s="2040">
        <f t="shared" si="189"/>
        <v>0</v>
      </c>
      <c r="EQ348" s="2040">
        <f t="shared" si="189"/>
        <v>0</v>
      </c>
      <c r="ER348" s="2040">
        <f t="shared" si="185"/>
        <v>0</v>
      </c>
      <c r="ES348" s="2040">
        <f t="shared" si="185"/>
        <v>0</v>
      </c>
      <c r="ET348" s="2040">
        <f t="shared" si="185"/>
        <v>0</v>
      </c>
      <c r="EU348" s="2039">
        <f t="shared" si="214"/>
        <v>0</v>
      </c>
      <c r="EV348" s="2039">
        <f t="shared" si="215"/>
        <v>0</v>
      </c>
    </row>
    <row r="349" spans="1:152" x14ac:dyDescent="0.25">
      <c r="A349" s="2088" t="s">
        <v>144</v>
      </c>
      <c r="B349" s="2093" t="str">
        <f t="shared" si="193"/>
        <v/>
      </c>
      <c r="C349" s="1974">
        <f t="shared" si="222"/>
        <v>6</v>
      </c>
      <c r="D349" s="1974">
        <f t="shared" si="222"/>
        <v>0</v>
      </c>
      <c r="E349" s="1974">
        <f t="shared" si="222"/>
        <v>0</v>
      </c>
      <c r="F349" s="1974">
        <f t="shared" si="222"/>
        <v>587.29999999999995</v>
      </c>
      <c r="G349" s="1974" t="s">
        <v>2997</v>
      </c>
      <c r="H349" s="1974" t="s">
        <v>2997</v>
      </c>
      <c r="I349" s="2026">
        <v>0.96199999999999997</v>
      </c>
      <c r="J349" s="2026">
        <v>0.96199999999999997</v>
      </c>
      <c r="K349" s="2026">
        <v>0.96199999999999997</v>
      </c>
      <c r="L349" s="2026">
        <v>0.96199999999999997</v>
      </c>
      <c r="M349" s="2027">
        <f t="shared" si="205"/>
        <v>0</v>
      </c>
      <c r="N349" s="2027">
        <f t="shared" si="205"/>
        <v>0</v>
      </c>
      <c r="O349" s="2027">
        <f t="shared" si="205"/>
        <v>0</v>
      </c>
      <c r="P349" s="2027">
        <f t="shared" si="194"/>
        <v>0</v>
      </c>
      <c r="Q349" s="2026">
        <v>0.96199999999999997</v>
      </c>
      <c r="R349" s="2026">
        <v>0.96199999999999997</v>
      </c>
      <c r="S349" s="2026">
        <v>0.96199999999999997</v>
      </c>
      <c r="T349" s="2026">
        <v>0.96199999999999997</v>
      </c>
      <c r="U349" s="2028">
        <f t="shared" si="206"/>
        <v>0</v>
      </c>
      <c r="V349" s="2028">
        <f t="shared" si="206"/>
        <v>0</v>
      </c>
      <c r="W349" s="2028">
        <f t="shared" si="206"/>
        <v>0</v>
      </c>
      <c r="X349" s="2028">
        <f t="shared" si="195"/>
        <v>0</v>
      </c>
      <c r="Y349" s="2026">
        <v>0.96199999999999997</v>
      </c>
      <c r="Z349" s="2026">
        <v>0.96199999999999997</v>
      </c>
      <c r="AA349" s="2026">
        <v>0.96199999999999997</v>
      </c>
      <c r="AB349" s="2026">
        <v>0.96199999999999997</v>
      </c>
      <c r="AC349" s="2027">
        <f t="shared" si="207"/>
        <v>564.98259999999993</v>
      </c>
      <c r="AD349" s="2027">
        <f t="shared" si="207"/>
        <v>564.98259999999993</v>
      </c>
      <c r="AE349" s="2027">
        <f t="shared" si="207"/>
        <v>564.98259999999993</v>
      </c>
      <c r="AF349" s="2027">
        <f t="shared" si="196"/>
        <v>564.98259999999993</v>
      </c>
      <c r="AG349" s="2027">
        <v>0</v>
      </c>
      <c r="AH349" s="2028"/>
      <c r="AI349" s="2028"/>
      <c r="AJ349" s="2028"/>
      <c r="AK349" s="2027">
        <f t="shared" si="197"/>
        <v>0</v>
      </c>
      <c r="AL349" s="2027">
        <f t="shared" si="198"/>
        <v>0</v>
      </c>
      <c r="AM349" s="2027">
        <f t="shared" si="198"/>
        <v>0</v>
      </c>
      <c r="AN349" s="2027">
        <f t="shared" si="198"/>
        <v>0</v>
      </c>
      <c r="AO349" s="2027">
        <f t="shared" si="208"/>
        <v>0</v>
      </c>
      <c r="AP349" s="2027">
        <f t="shared" si="199"/>
        <v>0</v>
      </c>
      <c r="AQ349" s="2027">
        <f t="shared" si="199"/>
        <v>0</v>
      </c>
      <c r="AR349" s="2027">
        <f t="shared" si="199"/>
        <v>0</v>
      </c>
      <c r="AS349" s="2124">
        <f t="shared" si="220"/>
        <v>0</v>
      </c>
      <c r="AT349" s="2029">
        <f t="shared" si="200"/>
        <v>0</v>
      </c>
      <c r="AU349" s="2029">
        <f t="shared" si="200"/>
        <v>0</v>
      </c>
      <c r="AV349" s="2029">
        <f t="shared" si="200"/>
        <v>0</v>
      </c>
      <c r="AW349" s="2124">
        <f t="shared" si="223"/>
        <v>520</v>
      </c>
      <c r="AX349" s="2029">
        <f t="shared" si="216"/>
        <v>520</v>
      </c>
      <c r="AY349" s="2029">
        <f t="shared" si="216"/>
        <v>520</v>
      </c>
      <c r="AZ349" s="2029">
        <f t="shared" si="216"/>
        <v>520</v>
      </c>
      <c r="BA349" s="2124">
        <f t="shared" ref="BA349:BD364" si="225">BA105</f>
        <v>550</v>
      </c>
      <c r="BB349" s="2029">
        <f t="shared" si="225"/>
        <v>550</v>
      </c>
      <c r="BC349" s="2029">
        <f t="shared" si="225"/>
        <v>550</v>
      </c>
      <c r="BD349" s="2029">
        <f t="shared" si="225"/>
        <v>550</v>
      </c>
      <c r="BE349" s="2030">
        <f t="shared" si="202"/>
        <v>0</v>
      </c>
      <c r="BF349" s="2030">
        <f t="shared" si="202"/>
        <v>0</v>
      </c>
      <c r="BG349" s="2030">
        <f t="shared" si="202"/>
        <v>0</v>
      </c>
      <c r="BH349" s="2030">
        <f t="shared" si="191"/>
        <v>0</v>
      </c>
      <c r="BI349" s="2030">
        <f t="shared" si="203"/>
        <v>0</v>
      </c>
      <c r="BJ349" s="2030">
        <f t="shared" si="203"/>
        <v>0</v>
      </c>
      <c r="BK349" s="2030">
        <f t="shared" si="203"/>
        <v>0</v>
      </c>
      <c r="BL349" s="2030">
        <f t="shared" si="192"/>
        <v>0</v>
      </c>
      <c r="BM349" s="2125"/>
      <c r="BN349" s="2125"/>
      <c r="BO349" s="2125"/>
      <c r="BP349" s="2125"/>
      <c r="BQ349" s="2125"/>
      <c r="BR349" s="2125"/>
      <c r="BS349" s="2125"/>
      <c r="BT349" s="2125"/>
      <c r="BU349" s="2029"/>
      <c r="BV349" s="2029"/>
      <c r="BW349" s="2029"/>
      <c r="BX349" s="2029"/>
      <c r="BY349" s="2029"/>
      <c r="BZ349" s="2032"/>
      <c r="CA349" s="1974">
        <f t="shared" si="224"/>
        <v>3438</v>
      </c>
      <c r="CB349" s="1974">
        <f t="shared" si="224"/>
        <v>0</v>
      </c>
      <c r="CC349" s="1974">
        <f t="shared" si="224"/>
        <v>0</v>
      </c>
      <c r="CD349" s="1974">
        <f t="shared" si="224"/>
        <v>0</v>
      </c>
      <c r="CE349" s="1974">
        <f t="shared" si="224"/>
        <v>0</v>
      </c>
      <c r="CF349" s="2033">
        <v>0</v>
      </c>
      <c r="CG349" s="2026">
        <v>0</v>
      </c>
      <c r="CH349" s="2009">
        <f t="shared" si="224"/>
        <v>0</v>
      </c>
      <c r="CI349" s="2031">
        <f t="shared" si="224"/>
        <v>0</v>
      </c>
      <c r="CJ349" s="1974">
        <f t="shared" si="224"/>
        <v>0</v>
      </c>
      <c r="CK349" s="2031">
        <f t="shared" si="224"/>
        <v>0</v>
      </c>
      <c r="CL349" s="2026">
        <v>1</v>
      </c>
      <c r="CM349" s="2026">
        <v>1</v>
      </c>
      <c r="CN349" s="2026">
        <v>1</v>
      </c>
      <c r="CO349" s="2026">
        <v>1</v>
      </c>
      <c r="CP349" s="2035"/>
      <c r="CQ349" s="2036"/>
      <c r="CR349" s="2036"/>
      <c r="CS349" s="2036"/>
      <c r="CT349" s="2036"/>
      <c r="CU349" s="2036"/>
      <c r="CW349" s="1973">
        <v>0</v>
      </c>
      <c r="CX349" s="2037">
        <v>520</v>
      </c>
      <c r="CY349" s="2037">
        <v>520</v>
      </c>
      <c r="CZ349" s="2037">
        <v>520</v>
      </c>
      <c r="DA349" s="2037">
        <v>520</v>
      </c>
      <c r="DJ349" s="1976">
        <v>0</v>
      </c>
      <c r="DK349" s="1973">
        <v>0</v>
      </c>
      <c r="DL349" s="1973">
        <v>0</v>
      </c>
      <c r="DM349" s="1973">
        <v>0</v>
      </c>
      <c r="DO349" s="1974">
        <v>6</v>
      </c>
      <c r="DP349" s="1974">
        <v>0</v>
      </c>
      <c r="DQ349" s="1974">
        <v>0</v>
      </c>
      <c r="DR349" s="1974">
        <v>587.29999999999995</v>
      </c>
      <c r="DS349" s="2124">
        <v>0</v>
      </c>
      <c r="DT349" s="2029">
        <v>0</v>
      </c>
      <c r="DU349" s="2029">
        <v>0</v>
      </c>
      <c r="DV349" s="2029">
        <v>0</v>
      </c>
      <c r="DW349" s="2124">
        <v>520</v>
      </c>
      <c r="DX349" s="2029">
        <v>520</v>
      </c>
      <c r="DY349" s="2029">
        <v>520</v>
      </c>
      <c r="DZ349" s="2029">
        <v>520</v>
      </c>
      <c r="EA349" s="2124">
        <v>550</v>
      </c>
      <c r="EB349" s="2029">
        <v>550</v>
      </c>
      <c r="EC349" s="2029">
        <v>550</v>
      </c>
      <c r="ED349" s="2029">
        <v>550</v>
      </c>
      <c r="EE349" s="2039">
        <f t="shared" si="213"/>
        <v>0</v>
      </c>
      <c r="EF349" s="2039">
        <f t="shared" si="213"/>
        <v>0</v>
      </c>
      <c r="EG349" s="2039">
        <f t="shared" si="213"/>
        <v>0</v>
      </c>
      <c r="EH349" s="2039">
        <f t="shared" si="213"/>
        <v>0</v>
      </c>
      <c r="EI349" s="2040">
        <f t="shared" si="190"/>
        <v>0</v>
      </c>
      <c r="EJ349" s="2040">
        <f t="shared" si="190"/>
        <v>0</v>
      </c>
      <c r="EK349" s="2040">
        <f t="shared" si="190"/>
        <v>0</v>
      </c>
      <c r="EL349" s="2040">
        <f t="shared" si="189"/>
        <v>0</v>
      </c>
      <c r="EM349" s="2040">
        <f t="shared" si="189"/>
        <v>0</v>
      </c>
      <c r="EN349" s="2040">
        <f t="shared" si="189"/>
        <v>0</v>
      </c>
      <c r="EO349" s="2040">
        <f t="shared" si="189"/>
        <v>0</v>
      </c>
      <c r="EP349" s="2040">
        <f t="shared" si="189"/>
        <v>0</v>
      </c>
      <c r="EQ349" s="2040">
        <f t="shared" si="189"/>
        <v>0</v>
      </c>
      <c r="ER349" s="2040">
        <f t="shared" si="185"/>
        <v>0</v>
      </c>
      <c r="ES349" s="2040">
        <f t="shared" si="185"/>
        <v>0</v>
      </c>
      <c r="ET349" s="2040">
        <f t="shared" si="185"/>
        <v>0</v>
      </c>
      <c r="EU349" s="2039">
        <f t="shared" si="214"/>
        <v>0</v>
      </c>
      <c r="EV349" s="2039">
        <f t="shared" si="215"/>
        <v>0</v>
      </c>
    </row>
    <row r="350" spans="1:152" x14ac:dyDescent="0.25">
      <c r="A350" s="2088" t="s">
        <v>145</v>
      </c>
      <c r="B350" s="2093" t="str">
        <f t="shared" si="193"/>
        <v/>
      </c>
      <c r="C350" s="1974">
        <f t="shared" si="222"/>
        <v>13</v>
      </c>
      <c r="D350" s="1974">
        <f t="shared" si="222"/>
        <v>13160.16</v>
      </c>
      <c r="E350" s="1974">
        <f t="shared" si="222"/>
        <v>3.1640000000000001</v>
      </c>
      <c r="F350" s="1974">
        <f t="shared" si="222"/>
        <v>0</v>
      </c>
      <c r="G350" s="1974" t="s">
        <v>2997</v>
      </c>
      <c r="H350" s="1974" t="s">
        <v>2997</v>
      </c>
      <c r="I350" s="2026">
        <v>0.96199999999999997</v>
      </c>
      <c r="J350" s="2026">
        <v>0.96199999999999997</v>
      </c>
      <c r="K350" s="2026">
        <v>0.96199999999999997</v>
      </c>
      <c r="L350" s="2026">
        <v>0.96199999999999997</v>
      </c>
      <c r="M350" s="2027">
        <f t="shared" si="205"/>
        <v>12660.073919999999</v>
      </c>
      <c r="N350" s="2027">
        <f t="shared" si="205"/>
        <v>12660.073919999999</v>
      </c>
      <c r="O350" s="2027">
        <f t="shared" si="205"/>
        <v>12660.073919999999</v>
      </c>
      <c r="P350" s="2027">
        <f t="shared" si="194"/>
        <v>12660.073919999999</v>
      </c>
      <c r="Q350" s="2026">
        <v>0.96199999999999997</v>
      </c>
      <c r="R350" s="2026">
        <v>0.96199999999999997</v>
      </c>
      <c r="S350" s="2026">
        <v>0.96199999999999997</v>
      </c>
      <c r="T350" s="2026">
        <v>0.96199999999999997</v>
      </c>
      <c r="U350" s="2028">
        <f t="shared" si="206"/>
        <v>3.043768</v>
      </c>
      <c r="V350" s="2028">
        <f t="shared" si="206"/>
        <v>3.043768</v>
      </c>
      <c r="W350" s="2028">
        <f t="shared" si="206"/>
        <v>3.043768</v>
      </c>
      <c r="X350" s="2028">
        <f t="shared" si="195"/>
        <v>3.043768</v>
      </c>
      <c r="Y350" s="2026">
        <v>0.96199999999999997</v>
      </c>
      <c r="Z350" s="2026">
        <v>0.96199999999999997</v>
      </c>
      <c r="AA350" s="2026">
        <v>0.96199999999999997</v>
      </c>
      <c r="AB350" s="2026">
        <v>0.96199999999999997</v>
      </c>
      <c r="AC350" s="2027">
        <f t="shared" si="207"/>
        <v>0</v>
      </c>
      <c r="AD350" s="2027">
        <f t="shared" si="207"/>
        <v>0</v>
      </c>
      <c r="AE350" s="2027">
        <f t="shared" si="207"/>
        <v>0</v>
      </c>
      <c r="AF350" s="2027">
        <f t="shared" si="196"/>
        <v>0</v>
      </c>
      <c r="AG350" s="2027">
        <v>0</v>
      </c>
      <c r="AH350" s="2028"/>
      <c r="AI350" s="2028"/>
      <c r="AJ350" s="2028"/>
      <c r="AK350" s="2027">
        <f t="shared" si="197"/>
        <v>0</v>
      </c>
      <c r="AL350" s="2027">
        <f t="shared" si="198"/>
        <v>0</v>
      </c>
      <c r="AM350" s="2027">
        <f t="shared" si="198"/>
        <v>0</v>
      </c>
      <c r="AN350" s="2027">
        <f t="shared" si="198"/>
        <v>0</v>
      </c>
      <c r="AO350" s="2027">
        <f t="shared" si="208"/>
        <v>0</v>
      </c>
      <c r="AP350" s="2027">
        <f t="shared" si="199"/>
        <v>0</v>
      </c>
      <c r="AQ350" s="2027">
        <f t="shared" si="199"/>
        <v>0</v>
      </c>
      <c r="AR350" s="2027">
        <f t="shared" si="199"/>
        <v>0</v>
      </c>
      <c r="AS350" s="2124">
        <f t="shared" si="220"/>
        <v>1800</v>
      </c>
      <c r="AT350" s="2029">
        <f t="shared" si="200"/>
        <v>1800</v>
      </c>
      <c r="AU350" s="2029">
        <f t="shared" si="200"/>
        <v>1800</v>
      </c>
      <c r="AV350" s="2029">
        <f t="shared" si="200"/>
        <v>1800</v>
      </c>
      <c r="AW350" s="2124">
        <f t="shared" si="223"/>
        <v>0</v>
      </c>
      <c r="AX350" s="2029">
        <f t="shared" si="216"/>
        <v>0</v>
      </c>
      <c r="AY350" s="2029">
        <f t="shared" si="216"/>
        <v>0</v>
      </c>
      <c r="AZ350" s="2029">
        <f t="shared" si="216"/>
        <v>0</v>
      </c>
      <c r="BA350" s="2124">
        <f t="shared" si="225"/>
        <v>3986</v>
      </c>
      <c r="BB350" s="2029">
        <f t="shared" si="225"/>
        <v>3986</v>
      </c>
      <c r="BC350" s="2029">
        <f t="shared" si="225"/>
        <v>3986</v>
      </c>
      <c r="BD350" s="2029">
        <f t="shared" si="225"/>
        <v>3986</v>
      </c>
      <c r="BE350" s="2030">
        <f t="shared" si="202"/>
        <v>0</v>
      </c>
      <c r="BF350" s="2030">
        <f t="shared" si="202"/>
        <v>0</v>
      </c>
      <c r="BG350" s="2030">
        <f t="shared" si="202"/>
        <v>0</v>
      </c>
      <c r="BH350" s="2030">
        <f t="shared" si="191"/>
        <v>0</v>
      </c>
      <c r="BI350" s="2030">
        <f t="shared" si="203"/>
        <v>0</v>
      </c>
      <c r="BJ350" s="2030">
        <f t="shared" si="203"/>
        <v>0</v>
      </c>
      <c r="BK350" s="2030">
        <f t="shared" si="203"/>
        <v>0</v>
      </c>
      <c r="BL350" s="2030">
        <f t="shared" si="192"/>
        <v>0</v>
      </c>
      <c r="BM350" s="2125"/>
      <c r="BN350" s="2125"/>
      <c r="BO350" s="2125"/>
      <c r="BP350" s="2125"/>
      <c r="BQ350" s="2125"/>
      <c r="BR350" s="2125"/>
      <c r="BS350" s="2125"/>
      <c r="BT350" s="2125"/>
      <c r="BU350" s="2029"/>
      <c r="BV350" s="2029"/>
      <c r="BW350" s="2029"/>
      <c r="BX350" s="2029"/>
      <c r="BY350" s="2029"/>
      <c r="BZ350" s="2032"/>
      <c r="CA350" s="1974">
        <f t="shared" si="224"/>
        <v>0</v>
      </c>
      <c r="CB350" s="1974">
        <f t="shared" si="224"/>
        <v>0</v>
      </c>
      <c r="CC350" s="1974">
        <f t="shared" si="224"/>
        <v>0</v>
      </c>
      <c r="CD350" s="1974">
        <f t="shared" si="224"/>
        <v>0</v>
      </c>
      <c r="CE350" s="1974">
        <f t="shared" si="224"/>
        <v>0</v>
      </c>
      <c r="CF350" s="2033">
        <v>0</v>
      </c>
      <c r="CG350" s="2026">
        <v>0</v>
      </c>
      <c r="CH350" s="2009">
        <f t="shared" si="224"/>
        <v>0</v>
      </c>
      <c r="CI350" s="2031">
        <f t="shared" si="224"/>
        <v>0</v>
      </c>
      <c r="CJ350" s="1974">
        <f t="shared" si="224"/>
        <v>0</v>
      </c>
      <c r="CK350" s="2031">
        <f t="shared" si="224"/>
        <v>0</v>
      </c>
      <c r="CL350" s="2026">
        <v>1</v>
      </c>
      <c r="CM350" s="2026">
        <v>1</v>
      </c>
      <c r="CN350" s="2026">
        <v>1</v>
      </c>
      <c r="CO350" s="2026">
        <v>1</v>
      </c>
      <c r="CP350" s="2035"/>
      <c r="CQ350" s="2036"/>
      <c r="CR350" s="2036"/>
      <c r="CS350" s="2036"/>
      <c r="CT350" s="2036"/>
      <c r="CU350" s="2036"/>
      <c r="CW350" s="1973">
        <v>0</v>
      </c>
      <c r="CX350" s="2037">
        <v>1800</v>
      </c>
      <c r="CY350" s="2037">
        <v>1800</v>
      </c>
      <c r="CZ350" s="2037">
        <v>1800</v>
      </c>
      <c r="DA350" s="2037">
        <v>1800</v>
      </c>
      <c r="DJ350" s="1976">
        <v>1800</v>
      </c>
      <c r="DK350" s="1973">
        <v>1800</v>
      </c>
      <c r="DL350" s="1973">
        <v>1800</v>
      </c>
      <c r="DM350" s="1973">
        <v>1800</v>
      </c>
      <c r="DO350" s="1974">
        <v>10</v>
      </c>
      <c r="DP350" s="1974">
        <v>13160.16</v>
      </c>
      <c r="DQ350" s="1974">
        <v>3.1640000000000001</v>
      </c>
      <c r="DR350" s="1974">
        <v>0</v>
      </c>
      <c r="DS350" s="2124">
        <v>1800</v>
      </c>
      <c r="DT350" s="2029">
        <v>1800</v>
      </c>
      <c r="DU350" s="2029">
        <v>1800</v>
      </c>
      <c r="DV350" s="2029">
        <v>1800</v>
      </c>
      <c r="DW350" s="2124">
        <v>0</v>
      </c>
      <c r="DX350" s="2029">
        <v>0</v>
      </c>
      <c r="DY350" s="2029">
        <v>0</v>
      </c>
      <c r="DZ350" s="2029">
        <v>0</v>
      </c>
      <c r="EA350" s="2124">
        <v>3986</v>
      </c>
      <c r="EB350" s="2029">
        <v>3986</v>
      </c>
      <c r="EC350" s="2029">
        <v>3986</v>
      </c>
      <c r="ED350" s="2029">
        <v>3986</v>
      </c>
      <c r="EE350" s="2039">
        <f t="shared" si="213"/>
        <v>3</v>
      </c>
      <c r="EF350" s="2039">
        <f t="shared" si="213"/>
        <v>0</v>
      </c>
      <c r="EG350" s="2039">
        <f t="shared" si="213"/>
        <v>0</v>
      </c>
      <c r="EH350" s="2039">
        <f t="shared" si="213"/>
        <v>0</v>
      </c>
      <c r="EI350" s="2040">
        <f t="shared" si="190"/>
        <v>0</v>
      </c>
      <c r="EJ350" s="2040">
        <f t="shared" si="190"/>
        <v>0</v>
      </c>
      <c r="EK350" s="2040">
        <f t="shared" si="190"/>
        <v>0</v>
      </c>
      <c r="EL350" s="2040">
        <f t="shared" si="189"/>
        <v>0</v>
      </c>
      <c r="EM350" s="2040">
        <f t="shared" si="189"/>
        <v>0</v>
      </c>
      <c r="EN350" s="2040">
        <f t="shared" si="189"/>
        <v>0</v>
      </c>
      <c r="EO350" s="2040">
        <f t="shared" si="189"/>
        <v>0</v>
      </c>
      <c r="EP350" s="2040">
        <f t="shared" si="189"/>
        <v>0</v>
      </c>
      <c r="EQ350" s="2040">
        <f t="shared" si="189"/>
        <v>0</v>
      </c>
      <c r="ER350" s="2040">
        <f t="shared" si="185"/>
        <v>0</v>
      </c>
      <c r="ES350" s="2040">
        <f t="shared" si="185"/>
        <v>0</v>
      </c>
      <c r="ET350" s="2040">
        <f t="shared" si="185"/>
        <v>0</v>
      </c>
      <c r="EU350" s="2039">
        <f t="shared" si="214"/>
        <v>3</v>
      </c>
      <c r="EV350" s="2039">
        <f t="shared" si="215"/>
        <v>3</v>
      </c>
    </row>
    <row r="351" spans="1:152" x14ac:dyDescent="0.25">
      <c r="A351" s="2088" t="s">
        <v>147</v>
      </c>
      <c r="B351" s="2093" t="str">
        <f t="shared" si="193"/>
        <v/>
      </c>
      <c r="C351" s="1974">
        <f t="shared" si="222"/>
        <v>5</v>
      </c>
      <c r="D351" s="1974">
        <f t="shared" si="222"/>
        <v>2700</v>
      </c>
      <c r="E351" s="1974">
        <f t="shared" si="222"/>
        <v>0.5</v>
      </c>
      <c r="F351" s="1974">
        <f t="shared" si="222"/>
        <v>0</v>
      </c>
      <c r="G351" s="1974" t="s">
        <v>2997</v>
      </c>
      <c r="H351" s="1974" t="s">
        <v>2997</v>
      </c>
      <c r="I351" s="2026">
        <v>0.96199999999999997</v>
      </c>
      <c r="J351" s="2026">
        <v>0.96199999999999997</v>
      </c>
      <c r="K351" s="2026">
        <v>0.96199999999999997</v>
      </c>
      <c r="L351" s="2026">
        <v>0.96199999999999997</v>
      </c>
      <c r="M351" s="2027">
        <f t="shared" si="205"/>
        <v>2597.4</v>
      </c>
      <c r="N351" s="2027">
        <f t="shared" si="205"/>
        <v>2597.4</v>
      </c>
      <c r="O351" s="2027">
        <f t="shared" si="205"/>
        <v>2597.4</v>
      </c>
      <c r="P351" s="2027">
        <f t="shared" si="194"/>
        <v>2597.4</v>
      </c>
      <c r="Q351" s="2026">
        <v>0.96199999999999997</v>
      </c>
      <c r="R351" s="2026">
        <v>0.96199999999999997</v>
      </c>
      <c r="S351" s="2026">
        <v>0.96199999999999997</v>
      </c>
      <c r="T351" s="2026">
        <v>0.96199999999999997</v>
      </c>
      <c r="U351" s="2028">
        <f t="shared" si="206"/>
        <v>0.48099999999999998</v>
      </c>
      <c r="V351" s="2028">
        <f t="shared" si="206"/>
        <v>0.48099999999999998</v>
      </c>
      <c r="W351" s="2028">
        <f t="shared" si="206"/>
        <v>0.48099999999999998</v>
      </c>
      <c r="X351" s="2028">
        <f t="shared" si="195"/>
        <v>0.48099999999999998</v>
      </c>
      <c r="Y351" s="2026">
        <v>0.96199999999999997</v>
      </c>
      <c r="Z351" s="2026">
        <v>0.96199999999999997</v>
      </c>
      <c r="AA351" s="2026">
        <v>0.96199999999999997</v>
      </c>
      <c r="AB351" s="2026">
        <v>0.96199999999999997</v>
      </c>
      <c r="AC351" s="2027">
        <f t="shared" si="207"/>
        <v>0</v>
      </c>
      <c r="AD351" s="2027">
        <f t="shared" si="207"/>
        <v>0</v>
      </c>
      <c r="AE351" s="2027">
        <f t="shared" si="207"/>
        <v>0</v>
      </c>
      <c r="AF351" s="2027">
        <f t="shared" si="196"/>
        <v>0</v>
      </c>
      <c r="AG351" s="2027">
        <v>0</v>
      </c>
      <c r="AH351" s="2028"/>
      <c r="AI351" s="2028"/>
      <c r="AJ351" s="2028"/>
      <c r="AK351" s="2027">
        <f t="shared" si="197"/>
        <v>0</v>
      </c>
      <c r="AL351" s="2027">
        <f t="shared" si="198"/>
        <v>0</v>
      </c>
      <c r="AM351" s="2027">
        <f t="shared" si="198"/>
        <v>0</v>
      </c>
      <c r="AN351" s="2027">
        <f t="shared" si="198"/>
        <v>0</v>
      </c>
      <c r="AO351" s="2027">
        <f t="shared" si="208"/>
        <v>0</v>
      </c>
      <c r="AP351" s="2027">
        <f t="shared" si="199"/>
        <v>0</v>
      </c>
      <c r="AQ351" s="2027">
        <f t="shared" si="199"/>
        <v>0</v>
      </c>
      <c r="AR351" s="2027">
        <f t="shared" si="199"/>
        <v>0</v>
      </c>
      <c r="AS351" s="2124">
        <f t="shared" si="220"/>
        <v>90</v>
      </c>
      <c r="AT351" s="2029">
        <f t="shared" si="200"/>
        <v>90</v>
      </c>
      <c r="AU351" s="2029">
        <f t="shared" si="200"/>
        <v>90</v>
      </c>
      <c r="AV351" s="2029">
        <f t="shared" si="200"/>
        <v>90</v>
      </c>
      <c r="AW351" s="2124">
        <f t="shared" si="223"/>
        <v>0</v>
      </c>
      <c r="AX351" s="2029">
        <f t="shared" si="216"/>
        <v>0</v>
      </c>
      <c r="AY351" s="2029">
        <f t="shared" si="216"/>
        <v>0</v>
      </c>
      <c r="AZ351" s="2029">
        <f t="shared" si="216"/>
        <v>0</v>
      </c>
      <c r="BA351" s="2124">
        <f t="shared" si="225"/>
        <v>72</v>
      </c>
      <c r="BB351" s="2029">
        <f t="shared" si="225"/>
        <v>72</v>
      </c>
      <c r="BC351" s="2029">
        <f t="shared" si="225"/>
        <v>72</v>
      </c>
      <c r="BD351" s="2029">
        <f t="shared" si="225"/>
        <v>72</v>
      </c>
      <c r="BE351" s="2030">
        <f t="shared" si="202"/>
        <v>0</v>
      </c>
      <c r="BF351" s="2030">
        <f t="shared" si="202"/>
        <v>0</v>
      </c>
      <c r="BG351" s="2030">
        <f t="shared" si="202"/>
        <v>0</v>
      </c>
      <c r="BH351" s="2030">
        <f t="shared" si="191"/>
        <v>0</v>
      </c>
      <c r="BI351" s="2030">
        <f t="shared" si="203"/>
        <v>0</v>
      </c>
      <c r="BJ351" s="2030">
        <f t="shared" si="203"/>
        <v>0</v>
      </c>
      <c r="BK351" s="2030">
        <f t="shared" si="203"/>
        <v>0</v>
      </c>
      <c r="BL351" s="2030">
        <f t="shared" si="192"/>
        <v>0</v>
      </c>
      <c r="BM351" s="2125"/>
      <c r="BN351" s="2125"/>
      <c r="BO351" s="2125"/>
      <c r="BP351" s="2125"/>
      <c r="BQ351" s="2125"/>
      <c r="BR351" s="2125"/>
      <c r="BS351" s="2125"/>
      <c r="BT351" s="2125"/>
      <c r="BU351" s="2029"/>
      <c r="BV351" s="2029"/>
      <c r="BW351" s="2029"/>
      <c r="BX351" s="2029"/>
      <c r="BY351" s="2029"/>
      <c r="BZ351" s="2032"/>
      <c r="CA351" s="1974">
        <f t="shared" si="224"/>
        <v>0</v>
      </c>
      <c r="CB351" s="1974">
        <f t="shared" si="224"/>
        <v>0</v>
      </c>
      <c r="CC351" s="1974">
        <f t="shared" si="224"/>
        <v>0</v>
      </c>
      <c r="CD351" s="1974">
        <f t="shared" si="224"/>
        <v>0</v>
      </c>
      <c r="CE351" s="1974">
        <f t="shared" si="224"/>
        <v>0</v>
      </c>
      <c r="CF351" s="2033">
        <v>0</v>
      </c>
      <c r="CG351" s="2026">
        <v>0</v>
      </c>
      <c r="CH351" s="2009">
        <f t="shared" si="224"/>
        <v>0</v>
      </c>
      <c r="CI351" s="2031">
        <f t="shared" si="224"/>
        <v>0</v>
      </c>
      <c r="CJ351" s="1974">
        <f t="shared" si="224"/>
        <v>0</v>
      </c>
      <c r="CK351" s="2031">
        <f t="shared" si="224"/>
        <v>0</v>
      </c>
      <c r="CL351" s="2026">
        <v>1</v>
      </c>
      <c r="CM351" s="2026">
        <v>1</v>
      </c>
      <c r="CN351" s="2026">
        <v>1</v>
      </c>
      <c r="CO351" s="2026">
        <v>1</v>
      </c>
      <c r="CP351" s="2035"/>
      <c r="CQ351" s="2036"/>
      <c r="CR351" s="2036"/>
      <c r="CS351" s="2036"/>
      <c r="CT351" s="2036"/>
      <c r="CU351" s="2036"/>
      <c r="CW351" s="1973">
        <v>0</v>
      </c>
      <c r="CX351" s="2037">
        <v>90</v>
      </c>
      <c r="CY351" s="2037">
        <v>90</v>
      </c>
      <c r="CZ351" s="2037">
        <v>90</v>
      </c>
      <c r="DA351" s="2037">
        <v>90</v>
      </c>
      <c r="DJ351" s="1976">
        <v>90</v>
      </c>
      <c r="DK351" s="1973">
        <v>90</v>
      </c>
      <c r="DL351" s="1973">
        <v>90</v>
      </c>
      <c r="DM351" s="1973">
        <v>90</v>
      </c>
      <c r="DO351" s="1974">
        <v>5</v>
      </c>
      <c r="DP351" s="1974">
        <v>2700</v>
      </c>
      <c r="DQ351" s="1974">
        <v>0.5</v>
      </c>
      <c r="DR351" s="1974">
        <v>0</v>
      </c>
      <c r="DS351" s="2124">
        <v>90</v>
      </c>
      <c r="DT351" s="2029">
        <v>90</v>
      </c>
      <c r="DU351" s="2029">
        <v>90</v>
      </c>
      <c r="DV351" s="2029">
        <v>90</v>
      </c>
      <c r="DW351" s="2124">
        <v>0</v>
      </c>
      <c r="DX351" s="2029">
        <v>0</v>
      </c>
      <c r="DY351" s="2029">
        <v>0</v>
      </c>
      <c r="DZ351" s="2029">
        <v>0</v>
      </c>
      <c r="EA351" s="2124">
        <v>72</v>
      </c>
      <c r="EB351" s="2029">
        <v>72</v>
      </c>
      <c r="EC351" s="2029">
        <v>72</v>
      </c>
      <c r="ED351" s="2029">
        <v>72</v>
      </c>
      <c r="EE351" s="2039">
        <f t="shared" si="213"/>
        <v>0</v>
      </c>
      <c r="EF351" s="2039">
        <f t="shared" si="213"/>
        <v>0</v>
      </c>
      <c r="EG351" s="2039">
        <f t="shared" si="213"/>
        <v>0</v>
      </c>
      <c r="EH351" s="2039">
        <f t="shared" si="213"/>
        <v>0</v>
      </c>
      <c r="EI351" s="2040">
        <f t="shared" si="190"/>
        <v>0</v>
      </c>
      <c r="EJ351" s="2040">
        <f t="shared" si="190"/>
        <v>0</v>
      </c>
      <c r="EK351" s="2040">
        <f t="shared" si="190"/>
        <v>0</v>
      </c>
      <c r="EL351" s="2040">
        <f t="shared" si="189"/>
        <v>0</v>
      </c>
      <c r="EM351" s="2040">
        <f t="shared" si="189"/>
        <v>0</v>
      </c>
      <c r="EN351" s="2040">
        <f t="shared" si="189"/>
        <v>0</v>
      </c>
      <c r="EO351" s="2040">
        <f t="shared" si="189"/>
        <v>0</v>
      </c>
      <c r="EP351" s="2040">
        <f t="shared" si="189"/>
        <v>0</v>
      </c>
      <c r="EQ351" s="2040">
        <f t="shared" si="189"/>
        <v>0</v>
      </c>
      <c r="ER351" s="2040">
        <f t="shared" si="185"/>
        <v>0</v>
      </c>
      <c r="ES351" s="2040">
        <f t="shared" si="185"/>
        <v>0</v>
      </c>
      <c r="ET351" s="2040">
        <f t="shared" si="185"/>
        <v>0</v>
      </c>
      <c r="EU351" s="2039">
        <f t="shared" si="214"/>
        <v>0</v>
      </c>
      <c r="EV351" s="2039">
        <f t="shared" si="215"/>
        <v>0</v>
      </c>
    </row>
    <row r="352" spans="1:152" x14ac:dyDescent="0.25">
      <c r="A352" s="2088" t="s">
        <v>149</v>
      </c>
      <c r="B352" s="2093" t="str">
        <f t="shared" si="193"/>
        <v/>
      </c>
      <c r="C352" s="1974">
        <f t="shared" si="222"/>
        <v>10</v>
      </c>
      <c r="D352" s="1974">
        <f t="shared" si="222"/>
        <v>0</v>
      </c>
      <c r="E352" s="1974">
        <f t="shared" si="222"/>
        <v>0</v>
      </c>
      <c r="F352" s="1974">
        <f t="shared" si="222"/>
        <v>1089</v>
      </c>
      <c r="G352" s="1974" t="s">
        <v>2997</v>
      </c>
      <c r="H352" s="1974" t="s">
        <v>2997</v>
      </c>
      <c r="I352" s="2026">
        <v>0.96199999999999997</v>
      </c>
      <c r="J352" s="2026">
        <v>0.96199999999999997</v>
      </c>
      <c r="K352" s="2026">
        <v>0.96199999999999997</v>
      </c>
      <c r="L352" s="2026">
        <v>0.96199999999999997</v>
      </c>
      <c r="M352" s="2027">
        <f t="shared" si="205"/>
        <v>0</v>
      </c>
      <c r="N352" s="2027">
        <f t="shared" si="205"/>
        <v>0</v>
      </c>
      <c r="O352" s="2027">
        <f t="shared" si="205"/>
        <v>0</v>
      </c>
      <c r="P352" s="2027">
        <f t="shared" si="194"/>
        <v>0</v>
      </c>
      <c r="Q352" s="2026">
        <v>0.96199999999999997</v>
      </c>
      <c r="R352" s="2026">
        <v>0.96199999999999997</v>
      </c>
      <c r="S352" s="2026">
        <v>0.96199999999999997</v>
      </c>
      <c r="T352" s="2026">
        <v>0.96199999999999997</v>
      </c>
      <c r="U352" s="2028">
        <f t="shared" si="206"/>
        <v>0</v>
      </c>
      <c r="V352" s="2028">
        <f t="shared" si="206"/>
        <v>0</v>
      </c>
      <c r="W352" s="2028">
        <f t="shared" si="206"/>
        <v>0</v>
      </c>
      <c r="X352" s="2028">
        <f t="shared" si="195"/>
        <v>0</v>
      </c>
      <c r="Y352" s="2026">
        <v>0.96199999999999997</v>
      </c>
      <c r="Z352" s="2026">
        <v>0.96199999999999997</v>
      </c>
      <c r="AA352" s="2026">
        <v>0.96199999999999997</v>
      </c>
      <c r="AB352" s="2026">
        <v>0.96199999999999997</v>
      </c>
      <c r="AC352" s="2027">
        <f t="shared" si="207"/>
        <v>1047.6179999999999</v>
      </c>
      <c r="AD352" s="2027">
        <f t="shared" si="207"/>
        <v>1047.6179999999999</v>
      </c>
      <c r="AE352" s="2027">
        <f t="shared" si="207"/>
        <v>1047.6179999999999</v>
      </c>
      <c r="AF352" s="2027">
        <f t="shared" si="196"/>
        <v>1047.6179999999999</v>
      </c>
      <c r="AG352" s="2027">
        <v>0</v>
      </c>
      <c r="AH352" s="2028"/>
      <c r="AI352" s="2028"/>
      <c r="AJ352" s="2028"/>
      <c r="AK352" s="2027">
        <f t="shared" si="197"/>
        <v>0</v>
      </c>
      <c r="AL352" s="2027">
        <f t="shared" si="198"/>
        <v>0</v>
      </c>
      <c r="AM352" s="2027">
        <f t="shared" si="198"/>
        <v>0</v>
      </c>
      <c r="AN352" s="2027">
        <f t="shared" si="198"/>
        <v>0</v>
      </c>
      <c r="AO352" s="2027">
        <f t="shared" si="208"/>
        <v>0</v>
      </c>
      <c r="AP352" s="2027">
        <f t="shared" si="199"/>
        <v>0</v>
      </c>
      <c r="AQ352" s="2027">
        <f t="shared" si="199"/>
        <v>0</v>
      </c>
      <c r="AR352" s="2027">
        <f t="shared" si="199"/>
        <v>0</v>
      </c>
      <c r="AS352" s="2124">
        <f t="shared" si="220"/>
        <v>0</v>
      </c>
      <c r="AT352" s="2029">
        <f t="shared" si="200"/>
        <v>0</v>
      </c>
      <c r="AU352" s="2029">
        <f t="shared" si="200"/>
        <v>0</v>
      </c>
      <c r="AV352" s="2029">
        <f t="shared" si="200"/>
        <v>0</v>
      </c>
      <c r="AW352" s="2124">
        <f t="shared" si="223"/>
        <v>3900</v>
      </c>
      <c r="AX352" s="2029">
        <f t="shared" si="216"/>
        <v>3900</v>
      </c>
      <c r="AY352" s="2029">
        <f t="shared" si="216"/>
        <v>3900</v>
      </c>
      <c r="AZ352" s="2029">
        <f t="shared" si="216"/>
        <v>3900</v>
      </c>
      <c r="BA352" s="2124">
        <f t="shared" si="225"/>
        <v>5900</v>
      </c>
      <c r="BB352" s="2029">
        <f t="shared" si="225"/>
        <v>5900</v>
      </c>
      <c r="BC352" s="2029">
        <f t="shared" si="225"/>
        <v>5900</v>
      </c>
      <c r="BD352" s="2029">
        <f t="shared" si="225"/>
        <v>5900</v>
      </c>
      <c r="BE352" s="2030">
        <f t="shared" si="202"/>
        <v>0</v>
      </c>
      <c r="BF352" s="2030">
        <f t="shared" si="202"/>
        <v>0</v>
      </c>
      <c r="BG352" s="2030">
        <f t="shared" si="202"/>
        <v>0</v>
      </c>
      <c r="BH352" s="2030">
        <f t="shared" si="191"/>
        <v>0</v>
      </c>
      <c r="BI352" s="2030">
        <f t="shared" si="203"/>
        <v>0</v>
      </c>
      <c r="BJ352" s="2030">
        <f t="shared" si="203"/>
        <v>0</v>
      </c>
      <c r="BK352" s="2030">
        <f t="shared" si="203"/>
        <v>0</v>
      </c>
      <c r="BL352" s="2030">
        <f t="shared" si="192"/>
        <v>0</v>
      </c>
      <c r="BM352" s="2125"/>
      <c r="BN352" s="2125"/>
      <c r="BO352" s="2125"/>
      <c r="BP352" s="2125"/>
      <c r="BQ352" s="2125"/>
      <c r="BR352" s="2125"/>
      <c r="BS352" s="2125"/>
      <c r="BT352" s="2125"/>
      <c r="BU352" s="2029"/>
      <c r="BV352" s="2029"/>
      <c r="BW352" s="2029"/>
      <c r="BX352" s="2029"/>
      <c r="BY352" s="2029"/>
      <c r="BZ352" s="2032"/>
      <c r="CA352" s="1974">
        <f t="shared" si="224"/>
        <v>0</v>
      </c>
      <c r="CB352" s="1974">
        <f t="shared" si="224"/>
        <v>0</v>
      </c>
      <c r="CC352" s="1974">
        <f t="shared" si="224"/>
        <v>0</v>
      </c>
      <c r="CD352" s="1974">
        <f t="shared" si="224"/>
        <v>0</v>
      </c>
      <c r="CE352" s="1974">
        <f t="shared" si="224"/>
        <v>0</v>
      </c>
      <c r="CF352" s="2033">
        <v>0</v>
      </c>
      <c r="CG352" s="2026">
        <v>0</v>
      </c>
      <c r="CH352" s="2009">
        <f t="shared" si="224"/>
        <v>0</v>
      </c>
      <c r="CI352" s="2031">
        <f t="shared" si="224"/>
        <v>0</v>
      </c>
      <c r="CJ352" s="1974">
        <f t="shared" si="224"/>
        <v>0</v>
      </c>
      <c r="CK352" s="2031">
        <f t="shared" si="224"/>
        <v>0</v>
      </c>
      <c r="CL352" s="2026">
        <v>1</v>
      </c>
      <c r="CM352" s="2026">
        <v>1</v>
      </c>
      <c r="CN352" s="2026">
        <v>1</v>
      </c>
      <c r="CO352" s="2026">
        <v>1</v>
      </c>
      <c r="CP352" s="2035"/>
      <c r="CQ352" s="2036"/>
      <c r="CR352" s="2036"/>
      <c r="CS352" s="2036"/>
      <c r="CT352" s="2036"/>
      <c r="CU352" s="2036"/>
      <c r="CW352" s="1973">
        <v>0</v>
      </c>
      <c r="CX352" s="2037">
        <v>3900</v>
      </c>
      <c r="CY352" s="2037">
        <v>3900</v>
      </c>
      <c r="CZ352" s="2037">
        <v>3900</v>
      </c>
      <c r="DA352" s="2037">
        <v>3900</v>
      </c>
      <c r="DJ352" s="1976">
        <v>0</v>
      </c>
      <c r="DK352" s="1973">
        <v>0</v>
      </c>
      <c r="DL352" s="1973">
        <v>0</v>
      </c>
      <c r="DM352" s="1973">
        <v>0</v>
      </c>
      <c r="DO352" s="1974">
        <v>10</v>
      </c>
      <c r="DP352" s="1974">
        <v>0</v>
      </c>
      <c r="DQ352" s="1974">
        <v>0</v>
      </c>
      <c r="DR352" s="1974">
        <v>1089</v>
      </c>
      <c r="DS352" s="2124">
        <v>0</v>
      </c>
      <c r="DT352" s="2029">
        <v>0</v>
      </c>
      <c r="DU352" s="2029">
        <v>0</v>
      </c>
      <c r="DV352" s="2029">
        <v>0</v>
      </c>
      <c r="DW352" s="2124">
        <v>3900</v>
      </c>
      <c r="DX352" s="2029">
        <v>3900</v>
      </c>
      <c r="DY352" s="2029">
        <v>3900</v>
      </c>
      <c r="DZ352" s="2029">
        <v>3900</v>
      </c>
      <c r="EA352" s="2124">
        <v>5900</v>
      </c>
      <c r="EB352" s="2029">
        <v>5900</v>
      </c>
      <c r="EC352" s="2029">
        <v>5900</v>
      </c>
      <c r="ED352" s="2029">
        <v>5900</v>
      </c>
      <c r="EE352" s="2039">
        <f t="shared" si="213"/>
        <v>0</v>
      </c>
      <c r="EF352" s="2039">
        <f t="shared" si="213"/>
        <v>0</v>
      </c>
      <c r="EG352" s="2039">
        <f t="shared" si="213"/>
        <v>0</v>
      </c>
      <c r="EH352" s="2039">
        <f t="shared" si="213"/>
        <v>0</v>
      </c>
      <c r="EI352" s="2040">
        <f t="shared" si="190"/>
        <v>0</v>
      </c>
      <c r="EJ352" s="2040">
        <f t="shared" si="190"/>
        <v>0</v>
      </c>
      <c r="EK352" s="2040">
        <f t="shared" si="190"/>
        <v>0</v>
      </c>
      <c r="EL352" s="2040">
        <f t="shared" si="189"/>
        <v>0</v>
      </c>
      <c r="EM352" s="2040">
        <f t="shared" si="189"/>
        <v>0</v>
      </c>
      <c r="EN352" s="2040">
        <f t="shared" si="189"/>
        <v>0</v>
      </c>
      <c r="EO352" s="2040">
        <f t="shared" ref="EO352:ET397" si="226">AY352-DY352</f>
        <v>0</v>
      </c>
      <c r="EP352" s="2040">
        <f t="shared" si="226"/>
        <v>0</v>
      </c>
      <c r="EQ352" s="2040">
        <f t="shared" si="226"/>
        <v>0</v>
      </c>
      <c r="ER352" s="2040">
        <f t="shared" si="185"/>
        <v>0</v>
      </c>
      <c r="ES352" s="2040">
        <f t="shared" si="185"/>
        <v>0</v>
      </c>
      <c r="ET352" s="2040">
        <f t="shared" si="185"/>
        <v>0</v>
      </c>
      <c r="EU352" s="2039">
        <f t="shared" si="214"/>
        <v>0</v>
      </c>
      <c r="EV352" s="2039">
        <f t="shared" si="215"/>
        <v>0</v>
      </c>
    </row>
    <row r="353" spans="1:152" x14ac:dyDescent="0.25">
      <c r="A353" s="2088" t="s">
        <v>150</v>
      </c>
      <c r="B353" s="2093" t="str">
        <f t="shared" si="193"/>
        <v/>
      </c>
      <c r="C353" s="1974">
        <f t="shared" si="222"/>
        <v>12</v>
      </c>
      <c r="D353" s="1974">
        <f t="shared" si="222"/>
        <v>0</v>
      </c>
      <c r="E353" s="1974">
        <f t="shared" si="222"/>
        <v>0</v>
      </c>
      <c r="F353" s="1974">
        <f t="shared" si="222"/>
        <v>239</v>
      </c>
      <c r="G353" s="1974" t="s">
        <v>2997</v>
      </c>
      <c r="H353" s="1974" t="s">
        <v>2997</v>
      </c>
      <c r="I353" s="2026">
        <v>0.96199999999999997</v>
      </c>
      <c r="J353" s="2026">
        <v>0.96199999999999997</v>
      </c>
      <c r="K353" s="2026">
        <v>0.96199999999999997</v>
      </c>
      <c r="L353" s="2026">
        <v>0.96199999999999997</v>
      </c>
      <c r="M353" s="2027">
        <f t="shared" si="205"/>
        <v>0</v>
      </c>
      <c r="N353" s="2027">
        <f t="shared" si="205"/>
        <v>0</v>
      </c>
      <c r="O353" s="2027">
        <f t="shared" si="205"/>
        <v>0</v>
      </c>
      <c r="P353" s="2027">
        <f t="shared" si="194"/>
        <v>0</v>
      </c>
      <c r="Q353" s="2026">
        <v>0.96199999999999997</v>
      </c>
      <c r="R353" s="2026">
        <v>0.96199999999999997</v>
      </c>
      <c r="S353" s="2026">
        <v>0.96199999999999997</v>
      </c>
      <c r="T353" s="2026">
        <v>0.96199999999999997</v>
      </c>
      <c r="U353" s="2028">
        <f t="shared" si="206"/>
        <v>0</v>
      </c>
      <c r="V353" s="2028">
        <f t="shared" si="206"/>
        <v>0</v>
      </c>
      <c r="W353" s="2028">
        <f t="shared" si="206"/>
        <v>0</v>
      </c>
      <c r="X353" s="2028">
        <f t="shared" si="195"/>
        <v>0</v>
      </c>
      <c r="Y353" s="2026">
        <v>0.96199999999999997</v>
      </c>
      <c r="Z353" s="2026">
        <v>0.96199999999999997</v>
      </c>
      <c r="AA353" s="2026">
        <v>0.96199999999999997</v>
      </c>
      <c r="AB353" s="2026">
        <v>0.96199999999999997</v>
      </c>
      <c r="AC353" s="2027">
        <f t="shared" si="207"/>
        <v>229.91799999999998</v>
      </c>
      <c r="AD353" s="2027">
        <f t="shared" si="207"/>
        <v>229.91799999999998</v>
      </c>
      <c r="AE353" s="2027">
        <f t="shared" si="207"/>
        <v>229.91799999999998</v>
      </c>
      <c r="AF353" s="2027">
        <f t="shared" si="196"/>
        <v>229.91799999999998</v>
      </c>
      <c r="AG353" s="2027">
        <v>0</v>
      </c>
      <c r="AH353" s="2028"/>
      <c r="AI353" s="2028"/>
      <c r="AJ353" s="2028"/>
      <c r="AK353" s="2027">
        <f t="shared" si="197"/>
        <v>0</v>
      </c>
      <c r="AL353" s="2027">
        <f t="shared" si="198"/>
        <v>0</v>
      </c>
      <c r="AM353" s="2027">
        <f t="shared" si="198"/>
        <v>0</v>
      </c>
      <c r="AN353" s="2027">
        <f t="shared" si="198"/>
        <v>0</v>
      </c>
      <c r="AO353" s="2027">
        <f t="shared" si="208"/>
        <v>0</v>
      </c>
      <c r="AP353" s="2027">
        <f t="shared" si="199"/>
        <v>0</v>
      </c>
      <c r="AQ353" s="2027">
        <f t="shared" si="199"/>
        <v>0</v>
      </c>
      <c r="AR353" s="2027">
        <f t="shared" si="199"/>
        <v>0</v>
      </c>
      <c r="AS353" s="2124">
        <f t="shared" si="220"/>
        <v>0</v>
      </c>
      <c r="AT353" s="2029">
        <f t="shared" si="200"/>
        <v>0</v>
      </c>
      <c r="AU353" s="2029">
        <f t="shared" si="200"/>
        <v>0</v>
      </c>
      <c r="AV353" s="2029">
        <f t="shared" si="200"/>
        <v>0</v>
      </c>
      <c r="AW353" s="2124">
        <f t="shared" si="223"/>
        <v>975</v>
      </c>
      <c r="AX353" s="2029">
        <f t="shared" si="216"/>
        <v>975</v>
      </c>
      <c r="AY353" s="2029">
        <f t="shared" si="216"/>
        <v>975</v>
      </c>
      <c r="AZ353" s="2029">
        <f t="shared" si="216"/>
        <v>975</v>
      </c>
      <c r="BA353" s="2124">
        <f t="shared" si="225"/>
        <v>1000</v>
      </c>
      <c r="BB353" s="2029">
        <f t="shared" si="225"/>
        <v>1000</v>
      </c>
      <c r="BC353" s="2029">
        <f t="shared" si="225"/>
        <v>1000</v>
      </c>
      <c r="BD353" s="2029">
        <f t="shared" si="225"/>
        <v>1000</v>
      </c>
      <c r="BE353" s="2030">
        <f t="shared" si="202"/>
        <v>0</v>
      </c>
      <c r="BF353" s="2030">
        <f t="shared" si="202"/>
        <v>0</v>
      </c>
      <c r="BG353" s="2030">
        <f t="shared" si="202"/>
        <v>0</v>
      </c>
      <c r="BH353" s="2030">
        <f t="shared" si="191"/>
        <v>0</v>
      </c>
      <c r="BI353" s="2030">
        <f t="shared" si="203"/>
        <v>0</v>
      </c>
      <c r="BJ353" s="2030">
        <f t="shared" si="203"/>
        <v>0</v>
      </c>
      <c r="BK353" s="2030">
        <f t="shared" si="203"/>
        <v>0</v>
      </c>
      <c r="BL353" s="2030">
        <f t="shared" si="192"/>
        <v>0</v>
      </c>
      <c r="BM353" s="2125"/>
      <c r="BN353" s="2125"/>
      <c r="BO353" s="2125"/>
      <c r="BP353" s="2125"/>
      <c r="BQ353" s="2125"/>
      <c r="BR353" s="2125"/>
      <c r="BS353" s="2125"/>
      <c r="BT353" s="2125"/>
      <c r="BU353" s="2029"/>
      <c r="BV353" s="2029"/>
      <c r="BW353" s="2029"/>
      <c r="BX353" s="2029"/>
      <c r="BY353" s="2029"/>
      <c r="BZ353" s="2032"/>
      <c r="CA353" s="1974">
        <f t="shared" si="224"/>
        <v>0</v>
      </c>
      <c r="CB353" s="1974">
        <f t="shared" si="224"/>
        <v>0</v>
      </c>
      <c r="CC353" s="1974">
        <f t="shared" si="224"/>
        <v>0</v>
      </c>
      <c r="CD353" s="1974">
        <f t="shared" si="224"/>
        <v>0</v>
      </c>
      <c r="CE353" s="1974">
        <f t="shared" si="224"/>
        <v>0</v>
      </c>
      <c r="CF353" s="2033">
        <v>0</v>
      </c>
      <c r="CG353" s="2026">
        <v>0</v>
      </c>
      <c r="CH353" s="2009">
        <f t="shared" si="224"/>
        <v>0</v>
      </c>
      <c r="CI353" s="2031">
        <f t="shared" si="224"/>
        <v>0</v>
      </c>
      <c r="CJ353" s="1974">
        <f t="shared" si="224"/>
        <v>0</v>
      </c>
      <c r="CK353" s="2031">
        <f t="shared" si="224"/>
        <v>0</v>
      </c>
      <c r="CL353" s="2026">
        <v>1</v>
      </c>
      <c r="CM353" s="2026">
        <v>1</v>
      </c>
      <c r="CN353" s="2026">
        <v>1</v>
      </c>
      <c r="CO353" s="2026">
        <v>1</v>
      </c>
      <c r="CP353" s="2035"/>
      <c r="CQ353" s="2036"/>
      <c r="CR353" s="2036"/>
      <c r="CS353" s="2036"/>
      <c r="CT353" s="2036"/>
      <c r="CU353" s="2036"/>
      <c r="CW353" s="1973">
        <v>0</v>
      </c>
      <c r="CX353" s="2037">
        <v>975</v>
      </c>
      <c r="CY353" s="2037">
        <v>975</v>
      </c>
      <c r="CZ353" s="2037">
        <v>975</v>
      </c>
      <c r="DA353" s="2037">
        <v>975</v>
      </c>
      <c r="DJ353" s="1976">
        <v>0</v>
      </c>
      <c r="DK353" s="1973">
        <v>0</v>
      </c>
      <c r="DL353" s="1973">
        <v>0</v>
      </c>
      <c r="DM353" s="1973">
        <v>0</v>
      </c>
      <c r="DO353" s="1974">
        <v>12</v>
      </c>
      <c r="DP353" s="1974">
        <v>0</v>
      </c>
      <c r="DQ353" s="1974">
        <v>0</v>
      </c>
      <c r="DR353" s="1974">
        <v>239</v>
      </c>
      <c r="DS353" s="2124">
        <v>0</v>
      </c>
      <c r="DT353" s="2029">
        <v>0</v>
      </c>
      <c r="DU353" s="2029">
        <v>0</v>
      </c>
      <c r="DV353" s="2029">
        <v>0</v>
      </c>
      <c r="DW353" s="2124">
        <v>975</v>
      </c>
      <c r="DX353" s="2029">
        <v>975</v>
      </c>
      <c r="DY353" s="2029">
        <v>975</v>
      </c>
      <c r="DZ353" s="2029">
        <v>975</v>
      </c>
      <c r="EA353" s="2124">
        <v>1000</v>
      </c>
      <c r="EB353" s="2029">
        <v>1000</v>
      </c>
      <c r="EC353" s="2029">
        <v>1000</v>
      </c>
      <c r="ED353" s="2029">
        <v>1000</v>
      </c>
      <c r="EE353" s="2039">
        <f t="shared" si="213"/>
        <v>0</v>
      </c>
      <c r="EF353" s="2039">
        <f t="shared" si="213"/>
        <v>0</v>
      </c>
      <c r="EG353" s="2039">
        <f t="shared" si="213"/>
        <v>0</v>
      </c>
      <c r="EH353" s="2039">
        <f t="shared" si="213"/>
        <v>0</v>
      </c>
      <c r="EI353" s="2040">
        <f t="shared" si="190"/>
        <v>0</v>
      </c>
      <c r="EJ353" s="2040">
        <f t="shared" si="190"/>
        <v>0</v>
      </c>
      <c r="EK353" s="2040">
        <f t="shared" si="190"/>
        <v>0</v>
      </c>
      <c r="EL353" s="2040">
        <f t="shared" si="190"/>
        <v>0</v>
      </c>
      <c r="EM353" s="2040">
        <f t="shared" si="190"/>
        <v>0</v>
      </c>
      <c r="EN353" s="2040">
        <f t="shared" si="190"/>
        <v>0</v>
      </c>
      <c r="EO353" s="2040">
        <f t="shared" si="226"/>
        <v>0</v>
      </c>
      <c r="EP353" s="2040">
        <f t="shared" si="226"/>
        <v>0</v>
      </c>
      <c r="EQ353" s="2040">
        <f t="shared" si="226"/>
        <v>0</v>
      </c>
      <c r="ER353" s="2040">
        <f t="shared" si="185"/>
        <v>0</v>
      </c>
      <c r="ES353" s="2040">
        <f t="shared" si="185"/>
        <v>0</v>
      </c>
      <c r="ET353" s="2040">
        <f t="shared" si="185"/>
        <v>0</v>
      </c>
      <c r="EU353" s="2039">
        <f t="shared" si="214"/>
        <v>0</v>
      </c>
      <c r="EV353" s="2039">
        <f t="shared" si="215"/>
        <v>0</v>
      </c>
    </row>
    <row r="354" spans="1:152" x14ac:dyDescent="0.25">
      <c r="A354" s="2088" t="s">
        <v>151</v>
      </c>
      <c r="B354" s="2093" t="str">
        <f t="shared" si="193"/>
        <v/>
      </c>
      <c r="C354" s="1974">
        <f t="shared" si="222"/>
        <v>12</v>
      </c>
      <c r="D354" s="1974">
        <f t="shared" si="222"/>
        <v>0</v>
      </c>
      <c r="E354" s="1974">
        <f t="shared" si="222"/>
        <v>0</v>
      </c>
      <c r="F354" s="1974">
        <f t="shared" si="222"/>
        <v>661</v>
      </c>
      <c r="G354" s="1974" t="s">
        <v>2997</v>
      </c>
      <c r="H354" s="1974" t="s">
        <v>2997</v>
      </c>
      <c r="I354" s="2026">
        <v>0.96199999999999997</v>
      </c>
      <c r="J354" s="2026">
        <v>0.96199999999999997</v>
      </c>
      <c r="K354" s="2026">
        <v>0.96199999999999997</v>
      </c>
      <c r="L354" s="2026">
        <v>0.96199999999999997</v>
      </c>
      <c r="M354" s="2027">
        <f t="shared" si="205"/>
        <v>0</v>
      </c>
      <c r="N354" s="2027">
        <f t="shared" si="205"/>
        <v>0</v>
      </c>
      <c r="O354" s="2027">
        <f t="shared" si="205"/>
        <v>0</v>
      </c>
      <c r="P354" s="2027">
        <f t="shared" si="194"/>
        <v>0</v>
      </c>
      <c r="Q354" s="2026">
        <v>0.96199999999999997</v>
      </c>
      <c r="R354" s="2026">
        <v>0.96199999999999997</v>
      </c>
      <c r="S354" s="2026">
        <v>0.96199999999999997</v>
      </c>
      <c r="T354" s="2026">
        <v>0.96199999999999997</v>
      </c>
      <c r="U354" s="2028">
        <f t="shared" si="206"/>
        <v>0</v>
      </c>
      <c r="V354" s="2028">
        <f t="shared" si="206"/>
        <v>0</v>
      </c>
      <c r="W354" s="2028">
        <f t="shared" si="206"/>
        <v>0</v>
      </c>
      <c r="X354" s="2028">
        <f t="shared" si="195"/>
        <v>0</v>
      </c>
      <c r="Y354" s="2026">
        <v>0.96199999999999997</v>
      </c>
      <c r="Z354" s="2026">
        <v>0.96199999999999997</v>
      </c>
      <c r="AA354" s="2026">
        <v>0.96199999999999997</v>
      </c>
      <c r="AB354" s="2026">
        <v>0.96199999999999997</v>
      </c>
      <c r="AC354" s="2027">
        <f t="shared" si="207"/>
        <v>635.88199999999995</v>
      </c>
      <c r="AD354" s="2027">
        <f t="shared" si="207"/>
        <v>635.88199999999995</v>
      </c>
      <c r="AE354" s="2027">
        <f t="shared" si="207"/>
        <v>635.88199999999995</v>
      </c>
      <c r="AF354" s="2027">
        <f t="shared" si="196"/>
        <v>635.88199999999995</v>
      </c>
      <c r="AG354" s="2027">
        <v>0</v>
      </c>
      <c r="AH354" s="2028"/>
      <c r="AI354" s="2028"/>
      <c r="AJ354" s="2028"/>
      <c r="AK354" s="2027">
        <f t="shared" si="197"/>
        <v>0</v>
      </c>
      <c r="AL354" s="2027">
        <f t="shared" si="198"/>
        <v>0</v>
      </c>
      <c r="AM354" s="2027">
        <f t="shared" si="198"/>
        <v>0</v>
      </c>
      <c r="AN354" s="2027">
        <f t="shared" si="198"/>
        <v>0</v>
      </c>
      <c r="AO354" s="2027">
        <f t="shared" si="208"/>
        <v>0</v>
      </c>
      <c r="AP354" s="2027">
        <f t="shared" si="199"/>
        <v>0</v>
      </c>
      <c r="AQ354" s="2027">
        <f t="shared" si="199"/>
        <v>0</v>
      </c>
      <c r="AR354" s="2027">
        <f t="shared" si="199"/>
        <v>0</v>
      </c>
      <c r="AS354" s="2124">
        <f t="shared" si="220"/>
        <v>0</v>
      </c>
      <c r="AT354" s="2029">
        <f t="shared" si="200"/>
        <v>0</v>
      </c>
      <c r="AU354" s="2029">
        <f t="shared" si="200"/>
        <v>0</v>
      </c>
      <c r="AV354" s="2029">
        <f t="shared" si="200"/>
        <v>0</v>
      </c>
      <c r="AW354" s="2124">
        <f t="shared" si="223"/>
        <v>1950</v>
      </c>
      <c r="AX354" s="2029">
        <f t="shared" si="216"/>
        <v>1950</v>
      </c>
      <c r="AY354" s="2029">
        <f t="shared" si="216"/>
        <v>1950</v>
      </c>
      <c r="AZ354" s="2029">
        <f t="shared" si="216"/>
        <v>1950</v>
      </c>
      <c r="BA354" s="2124">
        <f t="shared" si="225"/>
        <v>2200</v>
      </c>
      <c r="BB354" s="2029">
        <f t="shared" si="225"/>
        <v>2200</v>
      </c>
      <c r="BC354" s="2029">
        <f t="shared" si="225"/>
        <v>2200</v>
      </c>
      <c r="BD354" s="2029">
        <f t="shared" si="225"/>
        <v>2200</v>
      </c>
      <c r="BE354" s="2030">
        <f t="shared" si="202"/>
        <v>0</v>
      </c>
      <c r="BF354" s="2030">
        <f t="shared" si="202"/>
        <v>0</v>
      </c>
      <c r="BG354" s="2030">
        <f t="shared" si="202"/>
        <v>0</v>
      </c>
      <c r="BH354" s="2030">
        <f t="shared" si="191"/>
        <v>0</v>
      </c>
      <c r="BI354" s="2030">
        <f t="shared" si="203"/>
        <v>0</v>
      </c>
      <c r="BJ354" s="2030">
        <f t="shared" si="203"/>
        <v>0</v>
      </c>
      <c r="BK354" s="2030">
        <f t="shared" si="203"/>
        <v>0</v>
      </c>
      <c r="BL354" s="2030">
        <f t="shared" si="192"/>
        <v>0</v>
      </c>
      <c r="BM354" s="2125"/>
      <c r="BN354" s="2125"/>
      <c r="BO354" s="2125"/>
      <c r="BP354" s="2125"/>
      <c r="BQ354" s="2125"/>
      <c r="BR354" s="2125"/>
      <c r="BS354" s="2125"/>
      <c r="BT354" s="2125"/>
      <c r="BU354" s="2029"/>
      <c r="BV354" s="2029"/>
      <c r="BW354" s="2029"/>
      <c r="BX354" s="2029"/>
      <c r="BY354" s="2029"/>
      <c r="BZ354" s="2032"/>
      <c r="CA354" s="1974">
        <f t="shared" si="224"/>
        <v>0</v>
      </c>
      <c r="CB354" s="1974">
        <f t="shared" si="224"/>
        <v>0</v>
      </c>
      <c r="CC354" s="1974">
        <f t="shared" si="224"/>
        <v>0</v>
      </c>
      <c r="CD354" s="1974">
        <f t="shared" si="224"/>
        <v>0</v>
      </c>
      <c r="CE354" s="1974">
        <f t="shared" si="224"/>
        <v>0</v>
      </c>
      <c r="CF354" s="2033">
        <v>0</v>
      </c>
      <c r="CG354" s="2026">
        <v>0</v>
      </c>
      <c r="CH354" s="2009">
        <f t="shared" si="224"/>
        <v>0</v>
      </c>
      <c r="CI354" s="2031">
        <f t="shared" si="224"/>
        <v>0</v>
      </c>
      <c r="CJ354" s="1974">
        <f t="shared" si="224"/>
        <v>0</v>
      </c>
      <c r="CK354" s="2031">
        <f t="shared" si="224"/>
        <v>0</v>
      </c>
      <c r="CL354" s="2026">
        <v>1</v>
      </c>
      <c r="CM354" s="2026">
        <v>1</v>
      </c>
      <c r="CN354" s="2026">
        <v>1</v>
      </c>
      <c r="CO354" s="2026">
        <v>1</v>
      </c>
      <c r="CP354" s="2035"/>
      <c r="CQ354" s="2036"/>
      <c r="CR354" s="2036"/>
      <c r="CS354" s="2036"/>
      <c r="CT354" s="2036"/>
      <c r="CU354" s="2036"/>
      <c r="CW354" s="1973">
        <v>0</v>
      </c>
      <c r="CX354" s="2037">
        <v>1950</v>
      </c>
      <c r="CY354" s="2037">
        <v>1950</v>
      </c>
      <c r="CZ354" s="2037">
        <v>1950</v>
      </c>
      <c r="DA354" s="2037">
        <v>1950</v>
      </c>
      <c r="DJ354" s="1976">
        <v>0</v>
      </c>
      <c r="DK354" s="1973">
        <v>0</v>
      </c>
      <c r="DL354" s="1973">
        <v>0</v>
      </c>
      <c r="DM354" s="1973">
        <v>0</v>
      </c>
      <c r="DO354" s="1974">
        <v>12</v>
      </c>
      <c r="DP354" s="1974">
        <v>0</v>
      </c>
      <c r="DQ354" s="1974">
        <v>0</v>
      </c>
      <c r="DR354" s="1974">
        <v>661</v>
      </c>
      <c r="DS354" s="2124">
        <v>0</v>
      </c>
      <c r="DT354" s="2029">
        <v>0</v>
      </c>
      <c r="DU354" s="2029">
        <v>0</v>
      </c>
      <c r="DV354" s="2029">
        <v>0</v>
      </c>
      <c r="DW354" s="2124">
        <v>1950</v>
      </c>
      <c r="DX354" s="2029">
        <v>1950</v>
      </c>
      <c r="DY354" s="2029">
        <v>1950</v>
      </c>
      <c r="DZ354" s="2029">
        <v>1950</v>
      </c>
      <c r="EA354" s="2124">
        <v>2200</v>
      </c>
      <c r="EB354" s="2029">
        <v>2200</v>
      </c>
      <c r="EC354" s="2029">
        <v>2200</v>
      </c>
      <c r="ED354" s="2029">
        <v>2200</v>
      </c>
      <c r="EE354" s="2039">
        <f t="shared" si="213"/>
        <v>0</v>
      </c>
      <c r="EF354" s="2039">
        <f t="shared" si="213"/>
        <v>0</v>
      </c>
      <c r="EG354" s="2039">
        <f t="shared" si="213"/>
        <v>0</v>
      </c>
      <c r="EH354" s="2039">
        <f t="shared" si="213"/>
        <v>0</v>
      </c>
      <c r="EI354" s="2040">
        <f t="shared" si="190"/>
        <v>0</v>
      </c>
      <c r="EJ354" s="2040">
        <f t="shared" si="190"/>
        <v>0</v>
      </c>
      <c r="EK354" s="2040">
        <f t="shared" si="190"/>
        <v>0</v>
      </c>
      <c r="EL354" s="2040">
        <f t="shared" si="190"/>
        <v>0</v>
      </c>
      <c r="EM354" s="2040">
        <f t="shared" si="190"/>
        <v>0</v>
      </c>
      <c r="EN354" s="2040">
        <f t="shared" si="190"/>
        <v>0</v>
      </c>
      <c r="EO354" s="2040">
        <f t="shared" si="226"/>
        <v>0</v>
      </c>
      <c r="EP354" s="2040">
        <f t="shared" si="226"/>
        <v>0</v>
      </c>
      <c r="EQ354" s="2040">
        <f t="shared" si="226"/>
        <v>0</v>
      </c>
      <c r="ER354" s="2040">
        <f t="shared" si="185"/>
        <v>0</v>
      </c>
      <c r="ES354" s="2040">
        <f t="shared" si="185"/>
        <v>0</v>
      </c>
      <c r="ET354" s="2040">
        <f t="shared" si="185"/>
        <v>0</v>
      </c>
      <c r="EU354" s="2039">
        <f t="shared" si="214"/>
        <v>0</v>
      </c>
      <c r="EV354" s="2039">
        <f t="shared" si="215"/>
        <v>0</v>
      </c>
    </row>
    <row r="355" spans="1:152" x14ac:dyDescent="0.25">
      <c r="A355" s="2088" t="s">
        <v>152</v>
      </c>
      <c r="B355" s="2093" t="str">
        <f t="shared" si="193"/>
        <v/>
      </c>
      <c r="C355" s="1974">
        <f t="shared" si="222"/>
        <v>12</v>
      </c>
      <c r="D355" s="1974">
        <f t="shared" si="222"/>
        <v>0</v>
      </c>
      <c r="E355" s="1974">
        <f t="shared" si="222"/>
        <v>0</v>
      </c>
      <c r="F355" s="1974">
        <f t="shared" si="222"/>
        <v>554</v>
      </c>
      <c r="G355" s="1974" t="s">
        <v>2997</v>
      </c>
      <c r="H355" s="1974" t="s">
        <v>2997</v>
      </c>
      <c r="I355" s="2026">
        <v>0.96199999999999997</v>
      </c>
      <c r="J355" s="2026">
        <v>0.96199999999999997</v>
      </c>
      <c r="K355" s="2026">
        <v>0.96199999999999997</v>
      </c>
      <c r="L355" s="2026">
        <v>0.96199999999999997</v>
      </c>
      <c r="M355" s="2027">
        <f t="shared" si="205"/>
        <v>0</v>
      </c>
      <c r="N355" s="2027">
        <f t="shared" si="205"/>
        <v>0</v>
      </c>
      <c r="O355" s="2027">
        <f t="shared" si="205"/>
        <v>0</v>
      </c>
      <c r="P355" s="2027">
        <f t="shared" si="194"/>
        <v>0</v>
      </c>
      <c r="Q355" s="2026">
        <v>0.96199999999999997</v>
      </c>
      <c r="R355" s="2026">
        <v>0.96199999999999997</v>
      </c>
      <c r="S355" s="2026">
        <v>0.96199999999999997</v>
      </c>
      <c r="T355" s="2026">
        <v>0.96199999999999997</v>
      </c>
      <c r="U355" s="2028">
        <f t="shared" si="206"/>
        <v>0</v>
      </c>
      <c r="V355" s="2028">
        <f t="shared" si="206"/>
        <v>0</v>
      </c>
      <c r="W355" s="2028">
        <f t="shared" si="206"/>
        <v>0</v>
      </c>
      <c r="X355" s="2028">
        <f t="shared" si="195"/>
        <v>0</v>
      </c>
      <c r="Y355" s="2026">
        <v>0.96199999999999997</v>
      </c>
      <c r="Z355" s="2026">
        <v>0.96199999999999997</v>
      </c>
      <c r="AA355" s="2026">
        <v>0.96199999999999997</v>
      </c>
      <c r="AB355" s="2026">
        <v>0.96199999999999997</v>
      </c>
      <c r="AC355" s="2027">
        <f t="shared" si="207"/>
        <v>532.94799999999998</v>
      </c>
      <c r="AD355" s="2027">
        <f t="shared" si="207"/>
        <v>532.94799999999998</v>
      </c>
      <c r="AE355" s="2027">
        <f t="shared" si="207"/>
        <v>532.94799999999998</v>
      </c>
      <c r="AF355" s="2027">
        <f t="shared" si="196"/>
        <v>532.94799999999998</v>
      </c>
      <c r="AG355" s="2027">
        <v>0</v>
      </c>
      <c r="AH355" s="2028"/>
      <c r="AI355" s="2028"/>
      <c r="AJ355" s="2028"/>
      <c r="AK355" s="2027">
        <f t="shared" si="197"/>
        <v>0</v>
      </c>
      <c r="AL355" s="2027">
        <f t="shared" si="198"/>
        <v>0</v>
      </c>
      <c r="AM355" s="2027">
        <f t="shared" si="198"/>
        <v>0</v>
      </c>
      <c r="AN355" s="2027">
        <f t="shared" si="198"/>
        <v>0</v>
      </c>
      <c r="AO355" s="2027">
        <f t="shared" si="208"/>
        <v>0</v>
      </c>
      <c r="AP355" s="2027">
        <f t="shared" si="199"/>
        <v>0</v>
      </c>
      <c r="AQ355" s="2027">
        <f t="shared" si="199"/>
        <v>0</v>
      </c>
      <c r="AR355" s="2027">
        <f t="shared" si="199"/>
        <v>0</v>
      </c>
      <c r="AS355" s="2124">
        <f t="shared" si="220"/>
        <v>0</v>
      </c>
      <c r="AT355" s="2029">
        <f t="shared" si="200"/>
        <v>0</v>
      </c>
      <c r="AU355" s="2029">
        <f t="shared" si="200"/>
        <v>0</v>
      </c>
      <c r="AV355" s="2029">
        <f t="shared" si="200"/>
        <v>0</v>
      </c>
      <c r="AW355" s="2124">
        <f t="shared" si="223"/>
        <v>2600</v>
      </c>
      <c r="AX355" s="2029">
        <f t="shared" si="216"/>
        <v>2600</v>
      </c>
      <c r="AY355" s="2029">
        <f t="shared" si="216"/>
        <v>2600</v>
      </c>
      <c r="AZ355" s="2029">
        <f t="shared" si="216"/>
        <v>2600</v>
      </c>
      <c r="BA355" s="2124">
        <f t="shared" si="225"/>
        <v>2700</v>
      </c>
      <c r="BB355" s="2029">
        <f t="shared" si="225"/>
        <v>2700</v>
      </c>
      <c r="BC355" s="2029">
        <f t="shared" si="225"/>
        <v>2700</v>
      </c>
      <c r="BD355" s="2029">
        <f t="shared" si="225"/>
        <v>2700</v>
      </c>
      <c r="BE355" s="2030">
        <f t="shared" si="202"/>
        <v>0</v>
      </c>
      <c r="BF355" s="2030">
        <f t="shared" si="202"/>
        <v>0</v>
      </c>
      <c r="BG355" s="2030">
        <f t="shared" si="202"/>
        <v>0</v>
      </c>
      <c r="BH355" s="2030">
        <f t="shared" si="191"/>
        <v>0</v>
      </c>
      <c r="BI355" s="2030">
        <f t="shared" si="203"/>
        <v>0</v>
      </c>
      <c r="BJ355" s="2030">
        <f t="shared" si="203"/>
        <v>0</v>
      </c>
      <c r="BK355" s="2030">
        <f t="shared" si="203"/>
        <v>0</v>
      </c>
      <c r="BL355" s="2030">
        <f t="shared" si="192"/>
        <v>0</v>
      </c>
      <c r="BM355" s="2125"/>
      <c r="BN355" s="2125"/>
      <c r="BO355" s="2125"/>
      <c r="BP355" s="2125"/>
      <c r="BQ355" s="2125"/>
      <c r="BR355" s="2125"/>
      <c r="BS355" s="2125"/>
      <c r="BT355" s="2125"/>
      <c r="BU355" s="2029"/>
      <c r="BV355" s="2029"/>
      <c r="BW355" s="2029"/>
      <c r="BX355" s="2029"/>
      <c r="BY355" s="2029"/>
      <c r="BZ355" s="2032"/>
      <c r="CA355" s="1974">
        <f t="shared" si="224"/>
        <v>0</v>
      </c>
      <c r="CB355" s="1974">
        <f t="shared" si="224"/>
        <v>0</v>
      </c>
      <c r="CC355" s="1974">
        <f t="shared" si="224"/>
        <v>0</v>
      </c>
      <c r="CD355" s="1974">
        <f t="shared" si="224"/>
        <v>0</v>
      </c>
      <c r="CE355" s="1974">
        <f t="shared" si="224"/>
        <v>0</v>
      </c>
      <c r="CF355" s="2033">
        <v>0</v>
      </c>
      <c r="CG355" s="2026">
        <v>0</v>
      </c>
      <c r="CH355" s="2009">
        <f t="shared" si="224"/>
        <v>0</v>
      </c>
      <c r="CI355" s="2031">
        <f t="shared" si="224"/>
        <v>0</v>
      </c>
      <c r="CJ355" s="1974">
        <f t="shared" si="224"/>
        <v>0</v>
      </c>
      <c r="CK355" s="2031">
        <f t="shared" si="224"/>
        <v>0</v>
      </c>
      <c r="CL355" s="2026">
        <v>1</v>
      </c>
      <c r="CM355" s="2026">
        <v>1</v>
      </c>
      <c r="CN355" s="2026">
        <v>1</v>
      </c>
      <c r="CO355" s="2026">
        <v>1</v>
      </c>
      <c r="CP355" s="2035"/>
      <c r="CQ355" s="2036"/>
      <c r="CR355" s="2036"/>
      <c r="CS355" s="2036"/>
      <c r="CT355" s="2036"/>
      <c r="CU355" s="2036"/>
      <c r="CW355" s="1973">
        <v>0</v>
      </c>
      <c r="CX355" s="2037">
        <v>2600</v>
      </c>
      <c r="CY355" s="2037">
        <v>2600</v>
      </c>
      <c r="CZ355" s="2037">
        <v>2600</v>
      </c>
      <c r="DA355" s="2037">
        <v>2600</v>
      </c>
      <c r="DJ355" s="1976">
        <v>0</v>
      </c>
      <c r="DK355" s="1973">
        <v>0</v>
      </c>
      <c r="DL355" s="1973">
        <v>0</v>
      </c>
      <c r="DM355" s="1973">
        <v>0</v>
      </c>
      <c r="DO355" s="1974">
        <v>12</v>
      </c>
      <c r="DP355" s="1974">
        <v>0</v>
      </c>
      <c r="DQ355" s="1974">
        <v>0</v>
      </c>
      <c r="DR355" s="1974">
        <v>554</v>
      </c>
      <c r="DS355" s="2124">
        <v>0</v>
      </c>
      <c r="DT355" s="2029">
        <v>0</v>
      </c>
      <c r="DU355" s="2029">
        <v>0</v>
      </c>
      <c r="DV355" s="2029">
        <v>0</v>
      </c>
      <c r="DW355" s="2124">
        <v>2600</v>
      </c>
      <c r="DX355" s="2029">
        <v>2600</v>
      </c>
      <c r="DY355" s="2029">
        <v>2600</v>
      </c>
      <c r="DZ355" s="2029">
        <v>2600</v>
      </c>
      <c r="EA355" s="2124">
        <v>2700</v>
      </c>
      <c r="EB355" s="2029">
        <v>2700</v>
      </c>
      <c r="EC355" s="2029">
        <v>2700</v>
      </c>
      <c r="ED355" s="2029">
        <v>2700</v>
      </c>
      <c r="EE355" s="2039">
        <f t="shared" si="213"/>
        <v>0</v>
      </c>
      <c r="EF355" s="2039">
        <f t="shared" si="213"/>
        <v>0</v>
      </c>
      <c r="EG355" s="2039">
        <f t="shared" si="213"/>
        <v>0</v>
      </c>
      <c r="EH355" s="2039">
        <f t="shared" si="213"/>
        <v>0</v>
      </c>
      <c r="EI355" s="2040">
        <f t="shared" si="190"/>
        <v>0</v>
      </c>
      <c r="EJ355" s="2040">
        <f t="shared" si="190"/>
        <v>0</v>
      </c>
      <c r="EK355" s="2040">
        <f t="shared" si="190"/>
        <v>0</v>
      </c>
      <c r="EL355" s="2040">
        <f t="shared" si="190"/>
        <v>0</v>
      </c>
      <c r="EM355" s="2040">
        <f t="shared" si="190"/>
        <v>0</v>
      </c>
      <c r="EN355" s="2040">
        <f t="shared" si="190"/>
        <v>0</v>
      </c>
      <c r="EO355" s="2040">
        <f t="shared" si="226"/>
        <v>0</v>
      </c>
      <c r="EP355" s="2040">
        <f t="shared" si="226"/>
        <v>0</v>
      </c>
      <c r="EQ355" s="2040">
        <f t="shared" si="226"/>
        <v>0</v>
      </c>
      <c r="ER355" s="2040">
        <f t="shared" si="185"/>
        <v>0</v>
      </c>
      <c r="ES355" s="2040">
        <f t="shared" si="185"/>
        <v>0</v>
      </c>
      <c r="ET355" s="2040">
        <f t="shared" si="185"/>
        <v>0</v>
      </c>
      <c r="EU355" s="2039">
        <f t="shared" si="214"/>
        <v>0</v>
      </c>
      <c r="EV355" s="2039">
        <f t="shared" si="215"/>
        <v>0</v>
      </c>
    </row>
    <row r="356" spans="1:152" x14ac:dyDescent="0.25">
      <c r="A356" s="2088" t="s">
        <v>153</v>
      </c>
      <c r="B356" s="2093" t="str">
        <f t="shared" si="193"/>
        <v/>
      </c>
      <c r="C356" s="1974">
        <f t="shared" si="222"/>
        <v>12</v>
      </c>
      <c r="D356" s="1974">
        <f t="shared" si="222"/>
        <v>0</v>
      </c>
      <c r="E356" s="1974">
        <f t="shared" si="222"/>
        <v>0</v>
      </c>
      <c r="F356" s="1974">
        <f t="shared" si="222"/>
        <v>1380</v>
      </c>
      <c r="G356" s="1974" t="s">
        <v>2997</v>
      </c>
      <c r="H356" s="1974" t="s">
        <v>2997</v>
      </c>
      <c r="I356" s="2026">
        <v>0.96199999999999997</v>
      </c>
      <c r="J356" s="2026">
        <v>0.96199999999999997</v>
      </c>
      <c r="K356" s="2026">
        <v>0.96199999999999997</v>
      </c>
      <c r="L356" s="2026">
        <v>0.96199999999999997</v>
      </c>
      <c r="M356" s="2027">
        <f t="shared" si="205"/>
        <v>0</v>
      </c>
      <c r="N356" s="2027">
        <f t="shared" si="205"/>
        <v>0</v>
      </c>
      <c r="O356" s="2027">
        <f t="shared" si="205"/>
        <v>0</v>
      </c>
      <c r="P356" s="2027">
        <f t="shared" si="194"/>
        <v>0</v>
      </c>
      <c r="Q356" s="2026">
        <v>0.96199999999999997</v>
      </c>
      <c r="R356" s="2026">
        <v>0.96199999999999997</v>
      </c>
      <c r="S356" s="2026">
        <v>0.96199999999999997</v>
      </c>
      <c r="T356" s="2026">
        <v>0.96199999999999997</v>
      </c>
      <c r="U356" s="2028">
        <f t="shared" si="206"/>
        <v>0</v>
      </c>
      <c r="V356" s="2028">
        <f t="shared" si="206"/>
        <v>0</v>
      </c>
      <c r="W356" s="2028">
        <f t="shared" si="206"/>
        <v>0</v>
      </c>
      <c r="X356" s="2028">
        <f t="shared" si="195"/>
        <v>0</v>
      </c>
      <c r="Y356" s="2026">
        <v>0.96199999999999997</v>
      </c>
      <c r="Z356" s="2026">
        <v>0.96199999999999997</v>
      </c>
      <c r="AA356" s="2026">
        <v>0.96199999999999997</v>
      </c>
      <c r="AB356" s="2026">
        <v>0.96199999999999997</v>
      </c>
      <c r="AC356" s="2027">
        <f t="shared" si="207"/>
        <v>1327.56</v>
      </c>
      <c r="AD356" s="2027">
        <f t="shared" si="207"/>
        <v>1327.56</v>
      </c>
      <c r="AE356" s="2027">
        <f t="shared" si="207"/>
        <v>1327.56</v>
      </c>
      <c r="AF356" s="2027">
        <f t="shared" si="196"/>
        <v>1327.56</v>
      </c>
      <c r="AG356" s="2027">
        <v>0</v>
      </c>
      <c r="AH356" s="2028"/>
      <c r="AI356" s="2028"/>
      <c r="AJ356" s="2028"/>
      <c r="AK356" s="2027">
        <f t="shared" si="197"/>
        <v>0</v>
      </c>
      <c r="AL356" s="2027">
        <f t="shared" si="198"/>
        <v>0</v>
      </c>
      <c r="AM356" s="2027">
        <f t="shared" si="198"/>
        <v>0</v>
      </c>
      <c r="AN356" s="2027">
        <f t="shared" si="198"/>
        <v>0</v>
      </c>
      <c r="AO356" s="2027">
        <f t="shared" si="208"/>
        <v>0</v>
      </c>
      <c r="AP356" s="2027">
        <f t="shared" si="199"/>
        <v>0</v>
      </c>
      <c r="AQ356" s="2027">
        <f t="shared" si="199"/>
        <v>0</v>
      </c>
      <c r="AR356" s="2027">
        <f t="shared" si="199"/>
        <v>0</v>
      </c>
      <c r="AS356" s="2124">
        <f t="shared" si="220"/>
        <v>0</v>
      </c>
      <c r="AT356" s="2029">
        <f t="shared" si="200"/>
        <v>0</v>
      </c>
      <c r="AU356" s="2029">
        <f t="shared" si="200"/>
        <v>0</v>
      </c>
      <c r="AV356" s="2029">
        <f t="shared" si="200"/>
        <v>0</v>
      </c>
      <c r="AW356" s="2124">
        <f t="shared" si="223"/>
        <v>1300</v>
      </c>
      <c r="AX356" s="2029">
        <f t="shared" si="216"/>
        <v>1300</v>
      </c>
      <c r="AY356" s="2029">
        <f t="shared" si="216"/>
        <v>1300</v>
      </c>
      <c r="AZ356" s="2029">
        <f t="shared" si="216"/>
        <v>1300</v>
      </c>
      <c r="BA356" s="2124">
        <f t="shared" si="225"/>
        <v>2400</v>
      </c>
      <c r="BB356" s="2029">
        <f t="shared" si="225"/>
        <v>2400</v>
      </c>
      <c r="BC356" s="2029">
        <f t="shared" si="225"/>
        <v>2400</v>
      </c>
      <c r="BD356" s="2029">
        <f t="shared" si="225"/>
        <v>2400</v>
      </c>
      <c r="BE356" s="2030">
        <f t="shared" si="202"/>
        <v>0</v>
      </c>
      <c r="BF356" s="2030">
        <f t="shared" si="202"/>
        <v>0</v>
      </c>
      <c r="BG356" s="2030">
        <f t="shared" si="202"/>
        <v>0</v>
      </c>
      <c r="BH356" s="2030">
        <f t="shared" si="191"/>
        <v>0</v>
      </c>
      <c r="BI356" s="2030">
        <f t="shared" si="203"/>
        <v>0</v>
      </c>
      <c r="BJ356" s="2030">
        <f t="shared" si="203"/>
        <v>0</v>
      </c>
      <c r="BK356" s="2030">
        <f t="shared" si="203"/>
        <v>0</v>
      </c>
      <c r="BL356" s="2030">
        <f t="shared" si="192"/>
        <v>0</v>
      </c>
      <c r="BM356" s="2125"/>
      <c r="BN356" s="2125"/>
      <c r="BO356" s="2125"/>
      <c r="BP356" s="2125"/>
      <c r="BQ356" s="2125"/>
      <c r="BR356" s="2125"/>
      <c r="BS356" s="2125"/>
      <c r="BT356" s="2125"/>
      <c r="BU356" s="2029"/>
      <c r="BV356" s="2029"/>
      <c r="BW356" s="2029"/>
      <c r="BX356" s="2029"/>
      <c r="BY356" s="2029"/>
      <c r="BZ356" s="2032"/>
      <c r="CA356" s="1974">
        <f t="shared" si="224"/>
        <v>0</v>
      </c>
      <c r="CB356" s="1974">
        <f t="shared" si="224"/>
        <v>0</v>
      </c>
      <c r="CC356" s="1974">
        <f t="shared" si="224"/>
        <v>0</v>
      </c>
      <c r="CD356" s="1974">
        <f t="shared" si="224"/>
        <v>0</v>
      </c>
      <c r="CE356" s="1974">
        <f t="shared" si="224"/>
        <v>0</v>
      </c>
      <c r="CF356" s="2033">
        <v>0</v>
      </c>
      <c r="CG356" s="2026">
        <v>0</v>
      </c>
      <c r="CH356" s="2009">
        <f t="shared" si="224"/>
        <v>0</v>
      </c>
      <c r="CI356" s="2031">
        <f t="shared" si="224"/>
        <v>0</v>
      </c>
      <c r="CJ356" s="1974">
        <f t="shared" si="224"/>
        <v>0</v>
      </c>
      <c r="CK356" s="2031">
        <f t="shared" si="224"/>
        <v>0</v>
      </c>
      <c r="CL356" s="2026">
        <v>1</v>
      </c>
      <c r="CM356" s="2026">
        <v>1</v>
      </c>
      <c r="CN356" s="2026">
        <v>1</v>
      </c>
      <c r="CO356" s="2026">
        <v>1</v>
      </c>
      <c r="CP356" s="2035"/>
      <c r="CQ356" s="2036"/>
      <c r="CR356" s="2036"/>
      <c r="CS356" s="2036"/>
      <c r="CT356" s="2036"/>
      <c r="CU356" s="2036"/>
      <c r="CW356" s="1973">
        <v>0</v>
      </c>
      <c r="CX356" s="2037">
        <v>1300</v>
      </c>
      <c r="CY356" s="2037">
        <v>1300</v>
      </c>
      <c r="CZ356" s="2037">
        <v>1300</v>
      </c>
      <c r="DA356" s="2037">
        <v>1300</v>
      </c>
      <c r="DJ356" s="1976">
        <v>0</v>
      </c>
      <c r="DK356" s="1973">
        <v>0</v>
      </c>
      <c r="DL356" s="1973">
        <v>0</v>
      </c>
      <c r="DM356" s="1973">
        <v>0</v>
      </c>
      <c r="DO356" s="1974">
        <v>12</v>
      </c>
      <c r="DP356" s="1974">
        <v>0</v>
      </c>
      <c r="DQ356" s="1974">
        <v>0</v>
      </c>
      <c r="DR356" s="1974">
        <v>1380</v>
      </c>
      <c r="DS356" s="2124">
        <v>0</v>
      </c>
      <c r="DT356" s="2029">
        <v>0</v>
      </c>
      <c r="DU356" s="2029">
        <v>0</v>
      </c>
      <c r="DV356" s="2029">
        <v>0</v>
      </c>
      <c r="DW356" s="2124">
        <v>1300</v>
      </c>
      <c r="DX356" s="2029">
        <v>1300</v>
      </c>
      <c r="DY356" s="2029">
        <v>1300</v>
      </c>
      <c r="DZ356" s="2029">
        <v>1300</v>
      </c>
      <c r="EA356" s="2124">
        <v>2400</v>
      </c>
      <c r="EB356" s="2029">
        <v>2400</v>
      </c>
      <c r="EC356" s="2029">
        <v>2400</v>
      </c>
      <c r="ED356" s="2029">
        <v>2400</v>
      </c>
      <c r="EE356" s="2039">
        <f t="shared" si="213"/>
        <v>0</v>
      </c>
      <c r="EF356" s="2039">
        <f t="shared" si="213"/>
        <v>0</v>
      </c>
      <c r="EG356" s="2039">
        <f t="shared" si="213"/>
        <v>0</v>
      </c>
      <c r="EH356" s="2039">
        <f t="shared" si="213"/>
        <v>0</v>
      </c>
      <c r="EI356" s="2040">
        <f t="shared" si="190"/>
        <v>0</v>
      </c>
      <c r="EJ356" s="2040">
        <f t="shared" si="190"/>
        <v>0</v>
      </c>
      <c r="EK356" s="2040">
        <f t="shared" si="190"/>
        <v>0</v>
      </c>
      <c r="EL356" s="2040">
        <f t="shared" si="190"/>
        <v>0</v>
      </c>
      <c r="EM356" s="2040">
        <f t="shared" si="190"/>
        <v>0</v>
      </c>
      <c r="EN356" s="2040">
        <f t="shared" si="190"/>
        <v>0</v>
      </c>
      <c r="EO356" s="2040">
        <f t="shared" si="226"/>
        <v>0</v>
      </c>
      <c r="EP356" s="2040">
        <f t="shared" si="226"/>
        <v>0</v>
      </c>
      <c r="EQ356" s="2040">
        <f t="shared" si="226"/>
        <v>0</v>
      </c>
      <c r="ER356" s="2040">
        <f t="shared" si="185"/>
        <v>0</v>
      </c>
      <c r="ES356" s="2040">
        <f t="shared" si="185"/>
        <v>0</v>
      </c>
      <c r="ET356" s="2040">
        <f t="shared" si="185"/>
        <v>0</v>
      </c>
      <c r="EU356" s="2039">
        <f t="shared" si="214"/>
        <v>0</v>
      </c>
      <c r="EV356" s="2039">
        <f t="shared" si="215"/>
        <v>0</v>
      </c>
    </row>
    <row r="357" spans="1:152" x14ac:dyDescent="0.25">
      <c r="A357" s="2088" t="s">
        <v>154</v>
      </c>
      <c r="B357" s="2093" t="str">
        <f t="shared" si="193"/>
        <v/>
      </c>
      <c r="C357" s="1974">
        <f t="shared" si="222"/>
        <v>12</v>
      </c>
      <c r="D357" s="1974">
        <f t="shared" si="222"/>
        <v>0</v>
      </c>
      <c r="E357" s="1974">
        <f t="shared" si="222"/>
        <v>0</v>
      </c>
      <c r="F357" s="1974">
        <f t="shared" si="222"/>
        <v>2064</v>
      </c>
      <c r="G357" s="1974" t="s">
        <v>2997</v>
      </c>
      <c r="H357" s="1974" t="s">
        <v>2997</v>
      </c>
      <c r="I357" s="2026">
        <v>0.96199999999999997</v>
      </c>
      <c r="J357" s="2026">
        <v>0.96199999999999997</v>
      </c>
      <c r="K357" s="2026">
        <v>0.96199999999999997</v>
      </c>
      <c r="L357" s="2026">
        <v>0.96199999999999997</v>
      </c>
      <c r="M357" s="2027">
        <f t="shared" si="205"/>
        <v>0</v>
      </c>
      <c r="N357" s="2027">
        <f t="shared" si="205"/>
        <v>0</v>
      </c>
      <c r="O357" s="2027">
        <f t="shared" si="205"/>
        <v>0</v>
      </c>
      <c r="P357" s="2027">
        <f t="shared" si="194"/>
        <v>0</v>
      </c>
      <c r="Q357" s="2026">
        <v>0.96199999999999997</v>
      </c>
      <c r="R357" s="2026">
        <v>0.96199999999999997</v>
      </c>
      <c r="S357" s="2026">
        <v>0.96199999999999997</v>
      </c>
      <c r="T357" s="2026">
        <v>0.96199999999999997</v>
      </c>
      <c r="U357" s="2028">
        <f t="shared" si="206"/>
        <v>0</v>
      </c>
      <c r="V357" s="2028">
        <f t="shared" si="206"/>
        <v>0</v>
      </c>
      <c r="W357" s="2028">
        <f t="shared" si="206"/>
        <v>0</v>
      </c>
      <c r="X357" s="2028">
        <f t="shared" si="195"/>
        <v>0</v>
      </c>
      <c r="Y357" s="2026">
        <v>0.96199999999999997</v>
      </c>
      <c r="Z357" s="2026">
        <v>0.96199999999999997</v>
      </c>
      <c r="AA357" s="2026">
        <v>0.96199999999999997</v>
      </c>
      <c r="AB357" s="2026">
        <v>0.96199999999999997</v>
      </c>
      <c r="AC357" s="2027">
        <f t="shared" si="207"/>
        <v>1985.568</v>
      </c>
      <c r="AD357" s="2027">
        <f t="shared" si="207"/>
        <v>1985.568</v>
      </c>
      <c r="AE357" s="2027">
        <f t="shared" si="207"/>
        <v>1985.568</v>
      </c>
      <c r="AF357" s="2027">
        <f t="shared" si="196"/>
        <v>1985.568</v>
      </c>
      <c r="AG357" s="2027">
        <v>0</v>
      </c>
      <c r="AH357" s="2028"/>
      <c r="AI357" s="2028"/>
      <c r="AJ357" s="2028"/>
      <c r="AK357" s="2027">
        <f t="shared" si="197"/>
        <v>0</v>
      </c>
      <c r="AL357" s="2027">
        <f t="shared" si="198"/>
        <v>0</v>
      </c>
      <c r="AM357" s="2027">
        <f t="shared" si="198"/>
        <v>0</v>
      </c>
      <c r="AN357" s="2027">
        <f t="shared" si="198"/>
        <v>0</v>
      </c>
      <c r="AO357" s="2027">
        <f t="shared" si="208"/>
        <v>0</v>
      </c>
      <c r="AP357" s="2027">
        <f t="shared" si="199"/>
        <v>0</v>
      </c>
      <c r="AQ357" s="2027">
        <f t="shared" si="199"/>
        <v>0</v>
      </c>
      <c r="AR357" s="2027">
        <f t="shared" si="199"/>
        <v>0</v>
      </c>
      <c r="AS357" s="2124">
        <f t="shared" si="220"/>
        <v>0</v>
      </c>
      <c r="AT357" s="2029">
        <f t="shared" si="200"/>
        <v>0</v>
      </c>
      <c r="AU357" s="2029">
        <f t="shared" si="200"/>
        <v>0</v>
      </c>
      <c r="AV357" s="2029">
        <f t="shared" si="200"/>
        <v>0</v>
      </c>
      <c r="AW357" s="2124">
        <f t="shared" si="223"/>
        <v>3250</v>
      </c>
      <c r="AX357" s="2029">
        <f t="shared" si="216"/>
        <v>3250</v>
      </c>
      <c r="AY357" s="2029">
        <f t="shared" si="216"/>
        <v>3250</v>
      </c>
      <c r="AZ357" s="2029">
        <f t="shared" si="216"/>
        <v>3250</v>
      </c>
      <c r="BA357" s="2124">
        <f t="shared" si="225"/>
        <v>8646</v>
      </c>
      <c r="BB357" s="2029">
        <f t="shared" si="225"/>
        <v>8646</v>
      </c>
      <c r="BC357" s="2029">
        <f t="shared" si="225"/>
        <v>8646</v>
      </c>
      <c r="BD357" s="2029">
        <f t="shared" si="225"/>
        <v>8646</v>
      </c>
      <c r="BE357" s="2030">
        <f t="shared" si="202"/>
        <v>0</v>
      </c>
      <c r="BF357" s="2030">
        <f t="shared" si="202"/>
        <v>0</v>
      </c>
      <c r="BG357" s="2030">
        <f t="shared" si="202"/>
        <v>0</v>
      </c>
      <c r="BH357" s="2030">
        <f t="shared" si="191"/>
        <v>0</v>
      </c>
      <c r="BI357" s="2030">
        <f t="shared" si="203"/>
        <v>0</v>
      </c>
      <c r="BJ357" s="2030">
        <f t="shared" si="203"/>
        <v>0</v>
      </c>
      <c r="BK357" s="2030">
        <f t="shared" si="203"/>
        <v>0</v>
      </c>
      <c r="BL357" s="2030">
        <f t="shared" si="192"/>
        <v>0</v>
      </c>
      <c r="BM357" s="2125"/>
      <c r="BN357" s="2125"/>
      <c r="BO357" s="2125"/>
      <c r="BP357" s="2125"/>
      <c r="BQ357" s="2125"/>
      <c r="BR357" s="2125"/>
      <c r="BS357" s="2125"/>
      <c r="BT357" s="2125"/>
      <c r="BU357" s="2029"/>
      <c r="BV357" s="2029"/>
      <c r="BW357" s="2029"/>
      <c r="BX357" s="2029"/>
      <c r="BY357" s="2029"/>
      <c r="BZ357" s="2032"/>
      <c r="CA357" s="1974">
        <f t="shared" si="224"/>
        <v>0</v>
      </c>
      <c r="CB357" s="1974">
        <f t="shared" si="224"/>
        <v>0</v>
      </c>
      <c r="CC357" s="1974">
        <f t="shared" si="224"/>
        <v>0</v>
      </c>
      <c r="CD357" s="1974">
        <f t="shared" si="224"/>
        <v>0</v>
      </c>
      <c r="CE357" s="1974">
        <f t="shared" si="224"/>
        <v>0</v>
      </c>
      <c r="CF357" s="2033">
        <v>0</v>
      </c>
      <c r="CG357" s="2026">
        <v>0</v>
      </c>
      <c r="CH357" s="2009">
        <f t="shared" si="224"/>
        <v>0</v>
      </c>
      <c r="CI357" s="2031">
        <f t="shared" si="224"/>
        <v>0</v>
      </c>
      <c r="CJ357" s="1974">
        <f t="shared" si="224"/>
        <v>0</v>
      </c>
      <c r="CK357" s="2031">
        <f t="shared" si="224"/>
        <v>0</v>
      </c>
      <c r="CL357" s="2026">
        <v>1</v>
      </c>
      <c r="CM357" s="2026">
        <v>1</v>
      </c>
      <c r="CN357" s="2026">
        <v>1</v>
      </c>
      <c r="CO357" s="2026">
        <v>1</v>
      </c>
      <c r="CP357" s="2035"/>
      <c r="CQ357" s="2036"/>
      <c r="CR357" s="2036"/>
      <c r="CS357" s="2036"/>
      <c r="CT357" s="2036"/>
      <c r="CU357" s="2036"/>
      <c r="CW357" s="1973">
        <v>0</v>
      </c>
      <c r="CX357" s="2037">
        <v>3250</v>
      </c>
      <c r="CY357" s="2037">
        <v>3250</v>
      </c>
      <c r="CZ357" s="2037">
        <v>3250</v>
      </c>
      <c r="DA357" s="2037">
        <v>3250</v>
      </c>
      <c r="DJ357" s="1976">
        <v>0</v>
      </c>
      <c r="DK357" s="1973">
        <v>0</v>
      </c>
      <c r="DL357" s="1973">
        <v>0</v>
      </c>
      <c r="DM357" s="1973">
        <v>0</v>
      </c>
      <c r="DO357" s="1974">
        <v>12</v>
      </c>
      <c r="DP357" s="1974">
        <v>0</v>
      </c>
      <c r="DQ357" s="1974">
        <v>0</v>
      </c>
      <c r="DR357" s="1974">
        <v>2064</v>
      </c>
      <c r="DS357" s="2124">
        <v>0</v>
      </c>
      <c r="DT357" s="2029">
        <v>0</v>
      </c>
      <c r="DU357" s="2029">
        <v>0</v>
      </c>
      <c r="DV357" s="2029">
        <v>0</v>
      </c>
      <c r="DW357" s="2124">
        <v>3250</v>
      </c>
      <c r="DX357" s="2029">
        <v>3250</v>
      </c>
      <c r="DY357" s="2029">
        <v>3250</v>
      </c>
      <c r="DZ357" s="2029">
        <v>3250</v>
      </c>
      <c r="EA357" s="2124">
        <v>8646</v>
      </c>
      <c r="EB357" s="2029">
        <v>8646</v>
      </c>
      <c r="EC357" s="2029">
        <v>8646</v>
      </c>
      <c r="ED357" s="2029">
        <v>8646</v>
      </c>
      <c r="EE357" s="2039">
        <f t="shared" si="213"/>
        <v>0</v>
      </c>
      <c r="EF357" s="2039">
        <f t="shared" si="213"/>
        <v>0</v>
      </c>
      <c r="EG357" s="2039">
        <f t="shared" si="213"/>
        <v>0</v>
      </c>
      <c r="EH357" s="2039">
        <f t="shared" si="213"/>
        <v>0</v>
      </c>
      <c r="EI357" s="2040">
        <f t="shared" si="190"/>
        <v>0</v>
      </c>
      <c r="EJ357" s="2040">
        <f t="shared" si="190"/>
        <v>0</v>
      </c>
      <c r="EK357" s="2040">
        <f t="shared" si="190"/>
        <v>0</v>
      </c>
      <c r="EL357" s="2040">
        <f t="shared" si="190"/>
        <v>0</v>
      </c>
      <c r="EM357" s="2040">
        <f t="shared" si="190"/>
        <v>0</v>
      </c>
      <c r="EN357" s="2040">
        <f t="shared" si="190"/>
        <v>0</v>
      </c>
      <c r="EO357" s="2040">
        <f t="shared" si="226"/>
        <v>0</v>
      </c>
      <c r="EP357" s="2040">
        <f t="shared" si="226"/>
        <v>0</v>
      </c>
      <c r="EQ357" s="2040">
        <f t="shared" si="226"/>
        <v>0</v>
      </c>
      <c r="ER357" s="2040">
        <f t="shared" si="185"/>
        <v>0</v>
      </c>
      <c r="ES357" s="2040">
        <f t="shared" si="185"/>
        <v>0</v>
      </c>
      <c r="ET357" s="2040">
        <f t="shared" si="185"/>
        <v>0</v>
      </c>
      <c r="EU357" s="2039">
        <f t="shared" si="214"/>
        <v>0</v>
      </c>
      <c r="EV357" s="2039">
        <f t="shared" si="215"/>
        <v>0</v>
      </c>
    </row>
    <row r="358" spans="1:152" x14ac:dyDescent="0.25">
      <c r="A358" s="2126" t="s">
        <v>155</v>
      </c>
      <c r="B358" s="1974" t="str">
        <f t="shared" si="193"/>
        <v/>
      </c>
      <c r="C358" s="1974">
        <v>10</v>
      </c>
      <c r="D358" s="2027">
        <v>696.26666666666665</v>
      </c>
      <c r="E358" s="2028">
        <v>0</v>
      </c>
      <c r="F358" s="2028">
        <v>4026.8310515999997</v>
      </c>
      <c r="G358" s="1974" t="s">
        <v>2997</v>
      </c>
      <c r="H358" s="1974" t="s">
        <v>2997</v>
      </c>
      <c r="I358" s="2026">
        <v>0.96199999999999997</v>
      </c>
      <c r="J358" s="2026">
        <v>0.96199999999999997</v>
      </c>
      <c r="K358" s="2026">
        <v>0.96199999999999997</v>
      </c>
      <c r="L358" s="2026">
        <v>0.96199999999999997</v>
      </c>
      <c r="M358" s="2027">
        <f t="shared" si="205"/>
        <v>669.80853333333334</v>
      </c>
      <c r="N358" s="2027">
        <f t="shared" si="205"/>
        <v>669.80853333333334</v>
      </c>
      <c r="O358" s="2027">
        <f t="shared" si="205"/>
        <v>669.80853333333334</v>
      </c>
      <c r="P358" s="2027">
        <f t="shared" si="194"/>
        <v>669.80853333333334</v>
      </c>
      <c r="Q358" s="2026">
        <v>0.96199999999999997</v>
      </c>
      <c r="R358" s="2026">
        <v>0.96199999999999997</v>
      </c>
      <c r="S358" s="2026">
        <v>0.96199999999999997</v>
      </c>
      <c r="T358" s="2026">
        <v>0.96199999999999997</v>
      </c>
      <c r="U358" s="2028">
        <f t="shared" si="206"/>
        <v>0</v>
      </c>
      <c r="V358" s="2028">
        <f t="shared" si="206"/>
        <v>0</v>
      </c>
      <c r="W358" s="2028">
        <f t="shared" si="206"/>
        <v>0</v>
      </c>
      <c r="X358" s="2028">
        <f t="shared" si="195"/>
        <v>0</v>
      </c>
      <c r="Y358" s="2026">
        <v>0.96199999999999997</v>
      </c>
      <c r="Z358" s="2026">
        <v>0.96199999999999997</v>
      </c>
      <c r="AA358" s="2026">
        <v>0.96199999999999997</v>
      </c>
      <c r="AB358" s="2026">
        <v>0.96199999999999997</v>
      </c>
      <c r="AC358" s="2027">
        <f t="shared" si="207"/>
        <v>3873.8114716391997</v>
      </c>
      <c r="AD358" s="2027">
        <f t="shared" si="207"/>
        <v>3873.8114716391997</v>
      </c>
      <c r="AE358" s="2027">
        <f t="shared" si="207"/>
        <v>3873.8114716391997</v>
      </c>
      <c r="AF358" s="2027">
        <f t="shared" si="196"/>
        <v>3873.8114716391997</v>
      </c>
      <c r="AG358" s="2027">
        <v>0</v>
      </c>
      <c r="AH358" s="2028"/>
      <c r="AI358" s="2028"/>
      <c r="AJ358" s="2028"/>
      <c r="AK358" s="2027">
        <f t="shared" si="197"/>
        <v>0</v>
      </c>
      <c r="AL358" s="2027">
        <f t="shared" si="198"/>
        <v>0</v>
      </c>
      <c r="AM358" s="2027">
        <f t="shared" si="198"/>
        <v>0</v>
      </c>
      <c r="AN358" s="2027">
        <f t="shared" si="198"/>
        <v>0</v>
      </c>
      <c r="AO358" s="2027">
        <f t="shared" si="208"/>
        <v>0</v>
      </c>
      <c r="AP358" s="2027">
        <f t="shared" si="199"/>
        <v>0</v>
      </c>
      <c r="AQ358" s="2027">
        <f t="shared" si="199"/>
        <v>0</v>
      </c>
      <c r="AR358" s="2027">
        <f t="shared" si="199"/>
        <v>0</v>
      </c>
      <c r="AS358" s="2029">
        <v>182</v>
      </c>
      <c r="AT358" s="2029">
        <f t="shared" si="200"/>
        <v>182</v>
      </c>
      <c r="AU358" s="2029">
        <f t="shared" si="200"/>
        <v>182</v>
      </c>
      <c r="AV358" s="2029">
        <f t="shared" si="200"/>
        <v>182</v>
      </c>
      <c r="AW358" s="2029">
        <v>18018</v>
      </c>
      <c r="AX358" s="2029">
        <f t="shared" si="216"/>
        <v>18018</v>
      </c>
      <c r="AY358" s="2029">
        <f t="shared" si="216"/>
        <v>18018</v>
      </c>
      <c r="AZ358" s="2029">
        <f t="shared" si="216"/>
        <v>18018</v>
      </c>
      <c r="BA358" s="2029">
        <v>19960</v>
      </c>
      <c r="BB358" s="2029">
        <f t="shared" si="225"/>
        <v>19960</v>
      </c>
      <c r="BC358" s="2029">
        <f t="shared" si="225"/>
        <v>19960</v>
      </c>
      <c r="BD358" s="2029">
        <f t="shared" si="225"/>
        <v>19960</v>
      </c>
      <c r="BE358" s="2030">
        <f t="shared" si="202"/>
        <v>0</v>
      </c>
      <c r="BF358" s="2030">
        <f t="shared" si="202"/>
        <v>0</v>
      </c>
      <c r="BG358" s="2030">
        <f t="shared" si="202"/>
        <v>0</v>
      </c>
      <c r="BH358" s="2030">
        <f t="shared" si="191"/>
        <v>0</v>
      </c>
      <c r="BI358" s="2030">
        <f t="shared" si="203"/>
        <v>0</v>
      </c>
      <c r="BJ358" s="2030">
        <f t="shared" si="203"/>
        <v>0</v>
      </c>
      <c r="BK358" s="2030">
        <f t="shared" si="203"/>
        <v>0</v>
      </c>
      <c r="BL358" s="2030">
        <f t="shared" si="192"/>
        <v>0</v>
      </c>
      <c r="BM358" s="2125"/>
      <c r="BN358" s="2125"/>
      <c r="BO358" s="2125"/>
      <c r="BP358" s="2125"/>
      <c r="BQ358" s="2125"/>
      <c r="BR358" s="2125"/>
      <c r="BS358" s="2125"/>
      <c r="BT358" s="2125"/>
      <c r="BU358" s="2029"/>
      <c r="BV358" s="2029"/>
      <c r="BW358" s="2029"/>
      <c r="BX358" s="2029"/>
      <c r="BY358" s="2029"/>
      <c r="BZ358" s="2032"/>
      <c r="CA358" s="1974">
        <f t="shared" si="224"/>
        <v>464946</v>
      </c>
      <c r="CB358" s="1974">
        <f t="shared" si="224"/>
        <v>0</v>
      </c>
      <c r="CC358" s="1974">
        <f t="shared" si="224"/>
        <v>0</v>
      </c>
      <c r="CD358" s="1974">
        <f t="shared" si="224"/>
        <v>0</v>
      </c>
      <c r="CE358" s="1974">
        <f t="shared" si="224"/>
        <v>0</v>
      </c>
      <c r="CF358" s="2033">
        <v>0</v>
      </c>
      <c r="CG358" s="2026">
        <v>0</v>
      </c>
      <c r="CH358" s="2009">
        <f t="shared" si="224"/>
        <v>1</v>
      </c>
      <c r="CI358" s="2031">
        <f t="shared" si="224"/>
        <v>0</v>
      </c>
      <c r="CJ358" s="1974">
        <f t="shared" si="224"/>
        <v>200.96020000000001</v>
      </c>
      <c r="CK358" s="2031">
        <f t="shared" si="224"/>
        <v>200.96020000000001</v>
      </c>
      <c r="CL358" s="2026">
        <v>1</v>
      </c>
      <c r="CM358" s="2026">
        <v>1</v>
      </c>
      <c r="CN358" s="2026">
        <v>1</v>
      </c>
      <c r="CO358" s="2026">
        <v>1</v>
      </c>
      <c r="CP358" s="2035"/>
      <c r="CQ358" s="2036"/>
      <c r="CR358" s="2036"/>
      <c r="CS358" s="2036"/>
      <c r="CT358" s="2036"/>
      <c r="CU358" s="2036"/>
      <c r="CW358" s="1973">
        <v>0</v>
      </c>
      <c r="CX358" s="2037">
        <v>18200</v>
      </c>
      <c r="CY358" s="2037">
        <v>18200</v>
      </c>
      <c r="CZ358" s="2037">
        <v>18200</v>
      </c>
      <c r="DA358" s="2037">
        <v>18200</v>
      </c>
      <c r="DB358" s="2051">
        <v>0.01</v>
      </c>
      <c r="DC358" s="2051">
        <v>0.01</v>
      </c>
      <c r="DD358" s="2051">
        <v>0.01</v>
      </c>
      <c r="DE358" s="2051">
        <v>0.01</v>
      </c>
      <c r="DF358" s="2037">
        <f>DB358*CX358</f>
        <v>182</v>
      </c>
      <c r="DG358" s="2037">
        <f>DC358*CY358</f>
        <v>182</v>
      </c>
      <c r="DH358" s="2037">
        <f>DD358*CZ358</f>
        <v>182</v>
      </c>
      <c r="DI358" s="2037">
        <f>DE358*DA358</f>
        <v>182</v>
      </c>
      <c r="DJ358" s="1976">
        <v>0</v>
      </c>
      <c r="DK358" s="1973">
        <v>0</v>
      </c>
      <c r="DL358" s="1973">
        <v>0</v>
      </c>
      <c r="DM358" s="1973">
        <v>0</v>
      </c>
      <c r="DO358" s="2047">
        <v>10</v>
      </c>
      <c r="DP358" s="2047">
        <v>696.26666666666665</v>
      </c>
      <c r="DQ358" s="2047">
        <v>0</v>
      </c>
      <c r="DR358" s="2047">
        <v>4026.8310515999997</v>
      </c>
      <c r="DS358" s="2046">
        <v>182</v>
      </c>
      <c r="DT358" s="2046">
        <v>182</v>
      </c>
      <c r="DU358" s="2046">
        <v>182</v>
      </c>
      <c r="DV358" s="2046">
        <v>182</v>
      </c>
      <c r="DW358" s="2133">
        <v>18018</v>
      </c>
      <c r="DX358" s="2133">
        <v>18018</v>
      </c>
      <c r="DY358" s="2133">
        <v>18018</v>
      </c>
      <c r="DZ358" s="2133">
        <v>18018</v>
      </c>
      <c r="EA358" s="2133">
        <v>19960</v>
      </c>
      <c r="EB358" s="2133">
        <v>19960</v>
      </c>
      <c r="EC358" s="2133">
        <v>19960</v>
      </c>
      <c r="ED358" s="2133">
        <v>19960</v>
      </c>
      <c r="EE358" s="2039">
        <f t="shared" si="213"/>
        <v>0</v>
      </c>
      <c r="EF358" s="2039">
        <f t="shared" si="213"/>
        <v>0</v>
      </c>
      <c r="EG358" s="2039">
        <f t="shared" si="213"/>
        <v>0</v>
      </c>
      <c r="EH358" s="2039">
        <f t="shared" si="213"/>
        <v>0</v>
      </c>
      <c r="EI358" s="2040">
        <f t="shared" si="190"/>
        <v>0</v>
      </c>
      <c r="EJ358" s="2040">
        <f t="shared" si="190"/>
        <v>0</v>
      </c>
      <c r="EK358" s="2040">
        <f t="shared" si="190"/>
        <v>0</v>
      </c>
      <c r="EL358" s="2040">
        <f t="shared" si="190"/>
        <v>0</v>
      </c>
      <c r="EM358" s="2134">
        <f t="shared" si="190"/>
        <v>0</v>
      </c>
      <c r="EN358" s="2134">
        <f t="shared" si="190"/>
        <v>0</v>
      </c>
      <c r="EO358" s="2134">
        <f t="shared" si="226"/>
        <v>0</v>
      </c>
      <c r="EP358" s="2134">
        <f t="shared" si="226"/>
        <v>0</v>
      </c>
      <c r="EQ358" s="2040">
        <f t="shared" si="226"/>
        <v>0</v>
      </c>
      <c r="ER358" s="2040">
        <f t="shared" si="226"/>
        <v>0</v>
      </c>
      <c r="ES358" s="2040">
        <f t="shared" si="226"/>
        <v>0</v>
      </c>
      <c r="ET358" s="2040">
        <f t="shared" si="226"/>
        <v>0</v>
      </c>
      <c r="EU358" s="2039">
        <f t="shared" si="214"/>
        <v>0</v>
      </c>
      <c r="EV358" s="2039">
        <f t="shared" si="215"/>
        <v>0</v>
      </c>
    </row>
    <row r="359" spans="1:152" x14ac:dyDescent="0.25">
      <c r="A359" s="2088" t="s">
        <v>156</v>
      </c>
      <c r="B359" s="2093" t="str">
        <f t="shared" si="193"/>
        <v/>
      </c>
      <c r="C359" s="1974">
        <f t="shared" si="222"/>
        <v>15</v>
      </c>
      <c r="D359" s="1974">
        <f t="shared" si="222"/>
        <v>6269.87</v>
      </c>
      <c r="E359" s="1974">
        <f t="shared" si="222"/>
        <v>0</v>
      </c>
      <c r="F359" s="1974">
        <f t="shared" si="222"/>
        <v>0</v>
      </c>
      <c r="G359" s="1974" t="s">
        <v>2997</v>
      </c>
      <c r="H359" s="1974" t="s">
        <v>2997</v>
      </c>
      <c r="I359" s="2026">
        <v>0.96199999999999997</v>
      </c>
      <c r="J359" s="2026">
        <v>0.96199999999999997</v>
      </c>
      <c r="K359" s="2026">
        <v>0.96199999999999997</v>
      </c>
      <c r="L359" s="2026">
        <v>0.96199999999999997</v>
      </c>
      <c r="M359" s="2027">
        <f t="shared" si="205"/>
        <v>6031.6149399999995</v>
      </c>
      <c r="N359" s="2027">
        <f t="shared" si="205"/>
        <v>6031.6149399999995</v>
      </c>
      <c r="O359" s="2027">
        <f t="shared" si="205"/>
        <v>6031.6149399999995</v>
      </c>
      <c r="P359" s="2027">
        <f t="shared" si="194"/>
        <v>6031.6149399999995</v>
      </c>
      <c r="Q359" s="2026">
        <v>0.96199999999999997</v>
      </c>
      <c r="R359" s="2026">
        <v>0.96199999999999997</v>
      </c>
      <c r="S359" s="2026">
        <v>0.96199999999999997</v>
      </c>
      <c r="T359" s="2026">
        <v>0.96199999999999997</v>
      </c>
      <c r="U359" s="2028">
        <f t="shared" si="206"/>
        <v>0</v>
      </c>
      <c r="V359" s="2028">
        <f t="shared" si="206"/>
        <v>0</v>
      </c>
      <c r="W359" s="2028">
        <f t="shared" si="206"/>
        <v>0</v>
      </c>
      <c r="X359" s="2028">
        <f t="shared" si="195"/>
        <v>0</v>
      </c>
      <c r="Y359" s="2026">
        <v>0.96199999999999997</v>
      </c>
      <c r="Z359" s="2026">
        <v>0.96199999999999997</v>
      </c>
      <c r="AA359" s="2026">
        <v>0.96199999999999997</v>
      </c>
      <c r="AB359" s="2026">
        <v>0.96199999999999997</v>
      </c>
      <c r="AC359" s="2027">
        <f t="shared" si="207"/>
        <v>0</v>
      </c>
      <c r="AD359" s="2027">
        <f t="shared" si="207"/>
        <v>0</v>
      </c>
      <c r="AE359" s="2027">
        <f t="shared" si="207"/>
        <v>0</v>
      </c>
      <c r="AF359" s="2027">
        <f t="shared" si="196"/>
        <v>0</v>
      </c>
      <c r="AG359" s="2027">
        <v>0</v>
      </c>
      <c r="AH359" s="2028"/>
      <c r="AI359" s="2028"/>
      <c r="AJ359" s="2028"/>
      <c r="AK359" s="2027">
        <f t="shared" si="197"/>
        <v>0</v>
      </c>
      <c r="AL359" s="2027">
        <f t="shared" si="198"/>
        <v>0</v>
      </c>
      <c r="AM359" s="2027">
        <f t="shared" si="198"/>
        <v>0</v>
      </c>
      <c r="AN359" s="2027">
        <f t="shared" si="198"/>
        <v>0</v>
      </c>
      <c r="AO359" s="2027">
        <f t="shared" si="208"/>
        <v>0</v>
      </c>
      <c r="AP359" s="2027">
        <f t="shared" si="199"/>
        <v>0</v>
      </c>
      <c r="AQ359" s="2027">
        <f t="shared" si="199"/>
        <v>0</v>
      </c>
      <c r="AR359" s="2027">
        <f t="shared" si="199"/>
        <v>0</v>
      </c>
      <c r="AS359" s="2124">
        <f t="shared" si="220"/>
        <v>600</v>
      </c>
      <c r="AT359" s="2029">
        <f t="shared" si="200"/>
        <v>600</v>
      </c>
      <c r="AU359" s="2029">
        <f t="shared" si="200"/>
        <v>600</v>
      </c>
      <c r="AV359" s="2029">
        <f t="shared" si="200"/>
        <v>600</v>
      </c>
      <c r="AW359" s="2124">
        <f t="shared" si="223"/>
        <v>0</v>
      </c>
      <c r="AX359" s="2029">
        <f t="shared" si="216"/>
        <v>0</v>
      </c>
      <c r="AY359" s="2029">
        <f t="shared" si="216"/>
        <v>0</v>
      </c>
      <c r="AZ359" s="2029">
        <f t="shared" si="216"/>
        <v>0</v>
      </c>
      <c r="BA359" s="2124">
        <f t="shared" si="225"/>
        <v>2558</v>
      </c>
      <c r="BB359" s="2029">
        <f t="shared" si="225"/>
        <v>2558</v>
      </c>
      <c r="BC359" s="2029">
        <f t="shared" si="225"/>
        <v>2558</v>
      </c>
      <c r="BD359" s="2029">
        <f t="shared" si="225"/>
        <v>2558</v>
      </c>
      <c r="BE359" s="2030">
        <f t="shared" si="202"/>
        <v>0</v>
      </c>
      <c r="BF359" s="2030">
        <f t="shared" si="202"/>
        <v>0</v>
      </c>
      <c r="BG359" s="2030">
        <f t="shared" si="202"/>
        <v>0</v>
      </c>
      <c r="BH359" s="2030">
        <f t="shared" si="191"/>
        <v>0</v>
      </c>
      <c r="BI359" s="2030">
        <f t="shared" si="203"/>
        <v>0</v>
      </c>
      <c r="BJ359" s="2030">
        <f t="shared" si="203"/>
        <v>0</v>
      </c>
      <c r="BK359" s="2030">
        <f t="shared" si="203"/>
        <v>0</v>
      </c>
      <c r="BL359" s="2030">
        <f t="shared" si="192"/>
        <v>0</v>
      </c>
      <c r="BM359" s="2125"/>
      <c r="BN359" s="2125"/>
      <c r="BO359" s="2125"/>
      <c r="BP359" s="2125"/>
      <c r="BQ359" s="2125"/>
      <c r="BR359" s="2125"/>
      <c r="BS359" s="2125"/>
      <c r="BT359" s="2125"/>
      <c r="BU359" s="2029"/>
      <c r="BV359" s="2029"/>
      <c r="BW359" s="2029"/>
      <c r="BX359" s="2029"/>
      <c r="BY359" s="2029"/>
      <c r="BZ359" s="2032"/>
      <c r="CA359" s="1974">
        <f t="shared" si="224"/>
        <v>0</v>
      </c>
      <c r="CB359" s="1974">
        <f t="shared" si="224"/>
        <v>0</v>
      </c>
      <c r="CC359" s="1974">
        <f t="shared" si="224"/>
        <v>0</v>
      </c>
      <c r="CD359" s="1974">
        <f t="shared" si="224"/>
        <v>0</v>
      </c>
      <c r="CE359" s="1974">
        <f t="shared" si="224"/>
        <v>0</v>
      </c>
      <c r="CF359" s="2033">
        <v>0</v>
      </c>
      <c r="CG359" s="2026">
        <v>0</v>
      </c>
      <c r="CH359" s="2009">
        <f t="shared" si="224"/>
        <v>0</v>
      </c>
      <c r="CI359" s="2031">
        <f t="shared" si="224"/>
        <v>0</v>
      </c>
      <c r="CJ359" s="1974">
        <f t="shared" si="224"/>
        <v>0</v>
      </c>
      <c r="CK359" s="2031">
        <f t="shared" si="224"/>
        <v>0</v>
      </c>
      <c r="CL359" s="2026">
        <v>1</v>
      </c>
      <c r="CM359" s="2026">
        <v>1</v>
      </c>
      <c r="CN359" s="2026">
        <v>1</v>
      </c>
      <c r="CO359" s="2026">
        <v>1</v>
      </c>
      <c r="CP359" s="2035"/>
      <c r="CQ359" s="2036"/>
      <c r="CR359" s="2036"/>
      <c r="CS359" s="2036"/>
      <c r="CT359" s="2036"/>
      <c r="CU359" s="2036"/>
      <c r="CW359" s="1973">
        <v>0</v>
      </c>
      <c r="CX359" s="2037">
        <v>600</v>
      </c>
      <c r="CY359" s="2037">
        <v>600</v>
      </c>
      <c r="CZ359" s="2037">
        <v>600</v>
      </c>
      <c r="DA359" s="2037">
        <v>600</v>
      </c>
      <c r="DJ359" s="1976">
        <v>600</v>
      </c>
      <c r="DK359" s="1973">
        <v>600</v>
      </c>
      <c r="DL359" s="1973">
        <v>600</v>
      </c>
      <c r="DM359" s="1973">
        <v>600</v>
      </c>
      <c r="DO359" s="1974">
        <v>15</v>
      </c>
      <c r="DP359" s="1974">
        <v>6269.87</v>
      </c>
      <c r="DQ359" s="1974">
        <v>0</v>
      </c>
      <c r="DR359" s="1974">
        <v>0</v>
      </c>
      <c r="DS359" s="2124">
        <v>600</v>
      </c>
      <c r="DT359" s="2029">
        <v>600</v>
      </c>
      <c r="DU359" s="2029">
        <v>600</v>
      </c>
      <c r="DV359" s="2029">
        <v>600</v>
      </c>
      <c r="DW359" s="2124">
        <v>0</v>
      </c>
      <c r="DX359" s="2029">
        <v>0</v>
      </c>
      <c r="DY359" s="2029">
        <v>0</v>
      </c>
      <c r="DZ359" s="2029">
        <v>0</v>
      </c>
      <c r="EA359" s="2124">
        <v>2558</v>
      </c>
      <c r="EB359" s="2029">
        <v>2558</v>
      </c>
      <c r="EC359" s="2029">
        <v>2558</v>
      </c>
      <c r="ED359" s="2029">
        <v>2558</v>
      </c>
      <c r="EE359" s="2039">
        <f t="shared" si="213"/>
        <v>0</v>
      </c>
      <c r="EF359" s="2039">
        <f t="shared" si="213"/>
        <v>0</v>
      </c>
      <c r="EG359" s="2039">
        <f t="shared" si="213"/>
        <v>0</v>
      </c>
      <c r="EH359" s="2039">
        <f t="shared" si="213"/>
        <v>0</v>
      </c>
      <c r="EI359" s="2040">
        <f t="shared" si="190"/>
        <v>0</v>
      </c>
      <c r="EJ359" s="2040">
        <f t="shared" si="190"/>
        <v>0</v>
      </c>
      <c r="EK359" s="2040">
        <f t="shared" si="190"/>
        <v>0</v>
      </c>
      <c r="EL359" s="2040">
        <f t="shared" si="190"/>
        <v>0</v>
      </c>
      <c r="EM359" s="2040">
        <f t="shared" si="190"/>
        <v>0</v>
      </c>
      <c r="EN359" s="2040">
        <f t="shared" si="190"/>
        <v>0</v>
      </c>
      <c r="EO359" s="2040">
        <f t="shared" si="226"/>
        <v>0</v>
      </c>
      <c r="EP359" s="2040">
        <f t="shared" si="226"/>
        <v>0</v>
      </c>
      <c r="EQ359" s="2040">
        <f t="shared" si="226"/>
        <v>0</v>
      </c>
      <c r="ER359" s="2040">
        <f t="shared" si="226"/>
        <v>0</v>
      </c>
      <c r="ES359" s="2040">
        <f t="shared" si="226"/>
        <v>0</v>
      </c>
      <c r="ET359" s="2040">
        <f t="shared" si="226"/>
        <v>0</v>
      </c>
      <c r="EU359" s="2039">
        <f t="shared" si="214"/>
        <v>0</v>
      </c>
      <c r="EV359" s="2039">
        <f t="shared" si="215"/>
        <v>0</v>
      </c>
    </row>
    <row r="360" spans="1:152" x14ac:dyDescent="0.25">
      <c r="A360" s="2088" t="s">
        <v>157</v>
      </c>
      <c r="B360" s="2093" t="str">
        <f t="shared" si="193"/>
        <v/>
      </c>
      <c r="C360" s="1974">
        <f t="shared" si="222"/>
        <v>10</v>
      </c>
      <c r="D360" s="1974">
        <f t="shared" si="222"/>
        <v>1969.66</v>
      </c>
      <c r="E360" s="1974">
        <f t="shared" si="222"/>
        <v>0.30499999999999999</v>
      </c>
      <c r="F360" s="1974">
        <f t="shared" si="222"/>
        <v>0</v>
      </c>
      <c r="G360" s="1974" t="s">
        <v>2997</v>
      </c>
      <c r="H360" s="1974" t="s">
        <v>2997</v>
      </c>
      <c r="I360" s="2026">
        <v>0.96199999999999997</v>
      </c>
      <c r="J360" s="2026">
        <v>0.96199999999999997</v>
      </c>
      <c r="K360" s="2026">
        <v>0.96199999999999997</v>
      </c>
      <c r="L360" s="2026">
        <v>0.96199999999999997</v>
      </c>
      <c r="M360" s="2027">
        <f t="shared" si="205"/>
        <v>1894.8129200000001</v>
      </c>
      <c r="N360" s="2027">
        <f t="shared" si="205"/>
        <v>1894.8129200000001</v>
      </c>
      <c r="O360" s="2027">
        <f t="shared" si="205"/>
        <v>1894.8129200000001</v>
      </c>
      <c r="P360" s="2027">
        <f t="shared" si="194"/>
        <v>1894.8129200000001</v>
      </c>
      <c r="Q360" s="2026">
        <v>0.96199999999999997</v>
      </c>
      <c r="R360" s="2026">
        <v>0.96199999999999997</v>
      </c>
      <c r="S360" s="2026">
        <v>0.96199999999999997</v>
      </c>
      <c r="T360" s="2026">
        <v>0.96199999999999997</v>
      </c>
      <c r="U360" s="2028">
        <f t="shared" si="206"/>
        <v>0.29341</v>
      </c>
      <c r="V360" s="2028">
        <f t="shared" si="206"/>
        <v>0.29341</v>
      </c>
      <c r="W360" s="2028">
        <f t="shared" si="206"/>
        <v>0.29341</v>
      </c>
      <c r="X360" s="2028">
        <f t="shared" si="195"/>
        <v>0.29341</v>
      </c>
      <c r="Y360" s="2026">
        <v>0.96199999999999997</v>
      </c>
      <c r="Z360" s="2026">
        <v>0.96199999999999997</v>
      </c>
      <c r="AA360" s="2026">
        <v>0.96199999999999997</v>
      </c>
      <c r="AB360" s="2026">
        <v>0.96199999999999997</v>
      </c>
      <c r="AC360" s="2027">
        <f t="shared" si="207"/>
        <v>0</v>
      </c>
      <c r="AD360" s="2027">
        <f t="shared" si="207"/>
        <v>0</v>
      </c>
      <c r="AE360" s="2027">
        <f t="shared" si="207"/>
        <v>0</v>
      </c>
      <c r="AF360" s="2027">
        <f t="shared" si="196"/>
        <v>0</v>
      </c>
      <c r="AG360" s="2027">
        <v>0</v>
      </c>
      <c r="AH360" s="2028"/>
      <c r="AI360" s="2028"/>
      <c r="AJ360" s="2028"/>
      <c r="AK360" s="2027">
        <f t="shared" si="197"/>
        <v>0</v>
      </c>
      <c r="AL360" s="2027">
        <f t="shared" si="198"/>
        <v>0</v>
      </c>
      <c r="AM360" s="2027">
        <f t="shared" si="198"/>
        <v>0</v>
      </c>
      <c r="AN360" s="2027">
        <f t="shared" si="198"/>
        <v>0</v>
      </c>
      <c r="AO360" s="2027">
        <f t="shared" si="208"/>
        <v>0</v>
      </c>
      <c r="AP360" s="2027">
        <f t="shared" si="199"/>
        <v>0</v>
      </c>
      <c r="AQ360" s="2027">
        <f t="shared" si="199"/>
        <v>0</v>
      </c>
      <c r="AR360" s="2027">
        <f t="shared" si="199"/>
        <v>0</v>
      </c>
      <c r="AS360" s="2124">
        <f t="shared" si="220"/>
        <v>180</v>
      </c>
      <c r="AT360" s="2029">
        <f t="shared" si="200"/>
        <v>180</v>
      </c>
      <c r="AU360" s="2029">
        <f t="shared" si="200"/>
        <v>180</v>
      </c>
      <c r="AV360" s="2029">
        <f t="shared" si="200"/>
        <v>180</v>
      </c>
      <c r="AW360" s="2124">
        <f t="shared" si="223"/>
        <v>0</v>
      </c>
      <c r="AX360" s="2029">
        <f t="shared" si="216"/>
        <v>0</v>
      </c>
      <c r="AY360" s="2029">
        <f t="shared" si="216"/>
        <v>0</v>
      </c>
      <c r="AZ360" s="2029">
        <f t="shared" si="216"/>
        <v>0</v>
      </c>
      <c r="BA360" s="2124">
        <f t="shared" si="225"/>
        <v>700</v>
      </c>
      <c r="BB360" s="2029">
        <f t="shared" si="225"/>
        <v>700</v>
      </c>
      <c r="BC360" s="2029">
        <f t="shared" si="225"/>
        <v>700</v>
      </c>
      <c r="BD360" s="2029">
        <f t="shared" si="225"/>
        <v>700</v>
      </c>
      <c r="BE360" s="2030">
        <f t="shared" si="202"/>
        <v>0</v>
      </c>
      <c r="BF360" s="2030">
        <f t="shared" si="202"/>
        <v>0</v>
      </c>
      <c r="BG360" s="2030">
        <f t="shared" si="202"/>
        <v>0</v>
      </c>
      <c r="BH360" s="2030">
        <f t="shared" si="191"/>
        <v>0</v>
      </c>
      <c r="BI360" s="2030">
        <f t="shared" si="203"/>
        <v>0</v>
      </c>
      <c r="BJ360" s="2030">
        <f t="shared" si="203"/>
        <v>0</v>
      </c>
      <c r="BK360" s="2030">
        <f t="shared" si="203"/>
        <v>0</v>
      </c>
      <c r="BL360" s="2030">
        <f t="shared" si="192"/>
        <v>0</v>
      </c>
      <c r="BM360" s="2125"/>
      <c r="BN360" s="2125"/>
      <c r="BO360" s="2125"/>
      <c r="BP360" s="2125"/>
      <c r="BQ360" s="2125"/>
      <c r="BR360" s="2125"/>
      <c r="BS360" s="2125"/>
      <c r="BT360" s="2125"/>
      <c r="BU360" s="2029"/>
      <c r="BV360" s="2029"/>
      <c r="BW360" s="2029"/>
      <c r="BX360" s="2029"/>
      <c r="BY360" s="2029"/>
      <c r="BZ360" s="2032"/>
      <c r="CA360" s="1974">
        <f t="shared" si="224"/>
        <v>0</v>
      </c>
      <c r="CB360" s="1974">
        <f t="shared" si="224"/>
        <v>0</v>
      </c>
      <c r="CC360" s="1974">
        <f t="shared" si="224"/>
        <v>0</v>
      </c>
      <c r="CD360" s="1974">
        <f t="shared" si="224"/>
        <v>0</v>
      </c>
      <c r="CE360" s="1974">
        <f t="shared" si="224"/>
        <v>0</v>
      </c>
      <c r="CF360" s="2033">
        <v>0</v>
      </c>
      <c r="CG360" s="2026">
        <v>0</v>
      </c>
      <c r="CH360" s="2009">
        <f t="shared" si="224"/>
        <v>0</v>
      </c>
      <c r="CI360" s="2031">
        <f t="shared" si="224"/>
        <v>0</v>
      </c>
      <c r="CJ360" s="1974">
        <f t="shared" si="224"/>
        <v>0</v>
      </c>
      <c r="CK360" s="2031">
        <f t="shared" si="224"/>
        <v>0</v>
      </c>
      <c r="CL360" s="2026">
        <v>1</v>
      </c>
      <c r="CM360" s="2026">
        <v>1</v>
      </c>
      <c r="CN360" s="2026">
        <v>1</v>
      </c>
      <c r="CO360" s="2026">
        <v>1</v>
      </c>
      <c r="CP360" s="2035"/>
      <c r="CQ360" s="2036"/>
      <c r="CR360" s="2036"/>
      <c r="CS360" s="2036"/>
      <c r="CT360" s="2036"/>
      <c r="CU360" s="2036"/>
      <c r="CW360" s="1973">
        <v>0</v>
      </c>
      <c r="CX360" s="2037">
        <v>180</v>
      </c>
      <c r="CY360" s="2037">
        <v>180</v>
      </c>
      <c r="CZ360" s="2037">
        <v>180</v>
      </c>
      <c r="DA360" s="2037">
        <v>180</v>
      </c>
      <c r="DJ360" s="1976">
        <v>180</v>
      </c>
      <c r="DK360" s="1973">
        <v>180</v>
      </c>
      <c r="DL360" s="1973">
        <v>180</v>
      </c>
      <c r="DM360" s="1973">
        <v>180</v>
      </c>
      <c r="DO360" s="1974">
        <v>10</v>
      </c>
      <c r="DP360" s="1974">
        <v>1969.66</v>
      </c>
      <c r="DQ360" s="1974">
        <v>0.30499999999999999</v>
      </c>
      <c r="DR360" s="1974">
        <v>0</v>
      </c>
      <c r="DS360" s="2124">
        <v>180</v>
      </c>
      <c r="DT360" s="2029">
        <v>180</v>
      </c>
      <c r="DU360" s="2029">
        <v>180</v>
      </c>
      <c r="DV360" s="2029">
        <v>180</v>
      </c>
      <c r="DW360" s="2124">
        <v>0</v>
      </c>
      <c r="DX360" s="2029">
        <v>0</v>
      </c>
      <c r="DY360" s="2029">
        <v>0</v>
      </c>
      <c r="DZ360" s="2029">
        <v>0</v>
      </c>
      <c r="EA360" s="2124">
        <v>700</v>
      </c>
      <c r="EB360" s="2029">
        <v>700</v>
      </c>
      <c r="EC360" s="2029">
        <v>700</v>
      </c>
      <c r="ED360" s="2029">
        <v>700</v>
      </c>
      <c r="EE360" s="2039">
        <f t="shared" si="213"/>
        <v>0</v>
      </c>
      <c r="EF360" s="2039">
        <f t="shared" si="213"/>
        <v>0</v>
      </c>
      <c r="EG360" s="2039">
        <f t="shared" si="213"/>
        <v>0</v>
      </c>
      <c r="EH360" s="2039">
        <f t="shared" si="213"/>
        <v>0</v>
      </c>
      <c r="EI360" s="2040">
        <f t="shared" si="190"/>
        <v>0</v>
      </c>
      <c r="EJ360" s="2040">
        <f t="shared" si="190"/>
        <v>0</v>
      </c>
      <c r="EK360" s="2040">
        <f t="shared" si="190"/>
        <v>0</v>
      </c>
      <c r="EL360" s="2040">
        <f t="shared" si="190"/>
        <v>0</v>
      </c>
      <c r="EM360" s="2040">
        <f t="shared" si="190"/>
        <v>0</v>
      </c>
      <c r="EN360" s="2040">
        <f t="shared" si="190"/>
        <v>0</v>
      </c>
      <c r="EO360" s="2040">
        <f t="shared" si="226"/>
        <v>0</v>
      </c>
      <c r="EP360" s="2040">
        <f t="shared" si="226"/>
        <v>0</v>
      </c>
      <c r="EQ360" s="2040">
        <f t="shared" si="226"/>
        <v>0</v>
      </c>
      <c r="ER360" s="2040">
        <f t="shared" si="226"/>
        <v>0</v>
      </c>
      <c r="ES360" s="2040">
        <f t="shared" si="226"/>
        <v>0</v>
      </c>
      <c r="ET360" s="2040">
        <f t="shared" si="226"/>
        <v>0</v>
      </c>
      <c r="EU360" s="2039">
        <f t="shared" si="214"/>
        <v>0</v>
      </c>
      <c r="EV360" s="2039">
        <f t="shared" si="215"/>
        <v>0</v>
      </c>
    </row>
    <row r="361" spans="1:152" x14ac:dyDescent="0.25">
      <c r="A361" s="2126" t="s">
        <v>158</v>
      </c>
      <c r="B361" s="1974" t="str">
        <f t="shared" si="193"/>
        <v>BPCK21</v>
      </c>
      <c r="C361" s="1974">
        <v>15</v>
      </c>
      <c r="D361" s="2028">
        <v>4966</v>
      </c>
      <c r="E361" s="2028">
        <v>0.67999999999999994</v>
      </c>
      <c r="F361" s="2028">
        <v>5505.34375</v>
      </c>
      <c r="G361" s="1974" t="s">
        <v>2997</v>
      </c>
      <c r="H361" s="1974" t="s">
        <v>2997</v>
      </c>
      <c r="I361" s="2026">
        <v>0.96199999999999997</v>
      </c>
      <c r="J361" s="2026">
        <v>0.96199999999999997</v>
      </c>
      <c r="K361" s="2026">
        <v>0.96199999999999997</v>
      </c>
      <c r="L361" s="2026">
        <v>0.96199999999999997</v>
      </c>
      <c r="M361" s="2027">
        <f t="shared" si="205"/>
        <v>4777.2919999999995</v>
      </c>
      <c r="N361" s="2027">
        <f t="shared" si="205"/>
        <v>4777.2919999999995</v>
      </c>
      <c r="O361" s="2027">
        <f t="shared" si="205"/>
        <v>4777.2919999999995</v>
      </c>
      <c r="P361" s="2027">
        <f t="shared" si="194"/>
        <v>4777.2919999999995</v>
      </c>
      <c r="Q361" s="2026">
        <v>0.96199999999999997</v>
      </c>
      <c r="R361" s="2026">
        <v>0.96199999999999997</v>
      </c>
      <c r="S361" s="2026">
        <v>0.96199999999999997</v>
      </c>
      <c r="T361" s="2026">
        <v>0.96199999999999997</v>
      </c>
      <c r="U361" s="2028">
        <f t="shared" si="206"/>
        <v>0.65415999999999996</v>
      </c>
      <c r="V361" s="2028">
        <f t="shared" si="206"/>
        <v>0.65415999999999996</v>
      </c>
      <c r="W361" s="2028">
        <f t="shared" si="206"/>
        <v>0.65415999999999996</v>
      </c>
      <c r="X361" s="2028">
        <f t="shared" si="195"/>
        <v>0.65415999999999996</v>
      </c>
      <c r="Y361" s="2026">
        <v>0.96199999999999997</v>
      </c>
      <c r="Z361" s="2026">
        <v>0.96199999999999997</v>
      </c>
      <c r="AA361" s="2026">
        <v>0.96199999999999997</v>
      </c>
      <c r="AB361" s="2026">
        <v>0.96199999999999997</v>
      </c>
      <c r="AC361" s="2027">
        <f t="shared" si="207"/>
        <v>5296.1406875000002</v>
      </c>
      <c r="AD361" s="2027">
        <f t="shared" si="207"/>
        <v>5296.1406875000002</v>
      </c>
      <c r="AE361" s="2027">
        <f t="shared" si="207"/>
        <v>5296.1406875000002</v>
      </c>
      <c r="AF361" s="2027">
        <f t="shared" si="196"/>
        <v>5296.1406875000002</v>
      </c>
      <c r="AG361" s="2027">
        <v>23</v>
      </c>
      <c r="AH361" s="2027">
        <v>19</v>
      </c>
      <c r="AI361" s="2027">
        <v>16</v>
      </c>
      <c r="AJ361" s="2027">
        <v>14</v>
      </c>
      <c r="AK361" s="2027">
        <f>AG361*M361*CL361</f>
        <v>109877.71599999999</v>
      </c>
      <c r="AL361" s="2027">
        <f t="shared" si="198"/>
        <v>90768.547999999995</v>
      </c>
      <c r="AM361" s="2027">
        <f t="shared" si="198"/>
        <v>76436.671999999991</v>
      </c>
      <c r="AN361" s="2027">
        <f t="shared" si="198"/>
        <v>66882.087999999989</v>
      </c>
      <c r="AO361" s="2027">
        <f t="shared" si="208"/>
        <v>121811.2358125</v>
      </c>
      <c r="AP361" s="2027">
        <f t="shared" si="199"/>
        <v>100626.67306250001</v>
      </c>
      <c r="AQ361" s="2027">
        <f t="shared" si="199"/>
        <v>84738.251000000004</v>
      </c>
      <c r="AR361" s="2027">
        <f t="shared" si="199"/>
        <v>74145.969624999998</v>
      </c>
      <c r="AS361" s="2029">
        <f>DF361</f>
        <v>382.5</v>
      </c>
      <c r="AT361" s="2029">
        <f t="shared" si="200"/>
        <v>382.5</v>
      </c>
      <c r="AU361" s="2029">
        <f t="shared" si="200"/>
        <v>382.5</v>
      </c>
      <c r="AV361" s="2029">
        <f t="shared" si="200"/>
        <v>382.5</v>
      </c>
      <c r="AW361" s="2029">
        <f>CX361-AS361</f>
        <v>5992.5</v>
      </c>
      <c r="AX361" s="2029">
        <f t="shared" si="216"/>
        <v>5992.5</v>
      </c>
      <c r="AY361" s="2029">
        <f t="shared" si="216"/>
        <v>5992.5</v>
      </c>
      <c r="AZ361" s="2029">
        <f t="shared" si="216"/>
        <v>5992.5</v>
      </c>
      <c r="BA361" s="2029">
        <f t="shared" si="225"/>
        <v>1988</v>
      </c>
      <c r="BB361" s="2029">
        <f t="shared" si="225"/>
        <v>1988</v>
      </c>
      <c r="BC361" s="2029">
        <f t="shared" si="225"/>
        <v>1988</v>
      </c>
      <c r="BD361" s="2029">
        <f t="shared" si="225"/>
        <v>1988</v>
      </c>
      <c r="BE361" s="2030">
        <f t="shared" si="202"/>
        <v>8797.5</v>
      </c>
      <c r="BF361" s="2030">
        <f t="shared" si="202"/>
        <v>7267.5</v>
      </c>
      <c r="BG361" s="2030">
        <f t="shared" si="202"/>
        <v>6120</v>
      </c>
      <c r="BH361" s="2030">
        <f t="shared" si="191"/>
        <v>5355</v>
      </c>
      <c r="BI361" s="2030">
        <f t="shared" si="203"/>
        <v>137827.5</v>
      </c>
      <c r="BJ361" s="2030">
        <f t="shared" si="203"/>
        <v>113857.5</v>
      </c>
      <c r="BK361" s="2030">
        <f t="shared" si="203"/>
        <v>95880</v>
      </c>
      <c r="BL361" s="2030">
        <f t="shared" si="192"/>
        <v>83895</v>
      </c>
      <c r="BM361" s="2125"/>
      <c r="BN361" s="2125"/>
      <c r="BO361" s="2125"/>
      <c r="BP361" s="2125"/>
      <c r="BQ361" s="2125"/>
      <c r="BR361" s="2125"/>
      <c r="BS361" s="2125"/>
      <c r="BT361" s="2125"/>
      <c r="BU361" s="2029"/>
      <c r="BV361" s="2029"/>
      <c r="BW361" s="2029"/>
      <c r="BX361" s="2029"/>
      <c r="BY361" s="2029"/>
      <c r="BZ361" s="2032"/>
      <c r="CA361" s="1974">
        <f t="shared" si="224"/>
        <v>0</v>
      </c>
      <c r="CB361" s="1974">
        <f t="shared" si="224"/>
        <v>0</v>
      </c>
      <c r="CC361" s="1974">
        <f t="shared" si="224"/>
        <v>0</v>
      </c>
      <c r="CD361" s="1974">
        <f t="shared" si="224"/>
        <v>0</v>
      </c>
      <c r="CE361" s="1974">
        <f t="shared" si="224"/>
        <v>0</v>
      </c>
      <c r="CF361" s="2033">
        <v>4.149286761214163E-4</v>
      </c>
      <c r="CG361" s="2026">
        <v>6.4574726037879365E-2</v>
      </c>
      <c r="CH361" s="2009">
        <f t="shared" si="224"/>
        <v>0</v>
      </c>
      <c r="CI361" s="2031">
        <f t="shared" si="224"/>
        <v>0</v>
      </c>
      <c r="CJ361" s="1974">
        <f t="shared" si="224"/>
        <v>0</v>
      </c>
      <c r="CK361" s="2031">
        <f t="shared" si="224"/>
        <v>0</v>
      </c>
      <c r="CL361" s="2026">
        <v>1</v>
      </c>
      <c r="CM361" s="2026">
        <v>1</v>
      </c>
      <c r="CN361" s="2026">
        <v>1</v>
      </c>
      <c r="CO361" s="2026">
        <v>1</v>
      </c>
      <c r="CP361" s="2035"/>
      <c r="CQ361" s="2036"/>
      <c r="CR361" s="2036"/>
      <c r="CS361" s="2036"/>
      <c r="CT361" s="2036"/>
      <c r="CU361" s="2036"/>
      <c r="CW361" s="1973">
        <v>0</v>
      </c>
      <c r="CX361" s="2037">
        <v>6375</v>
      </c>
      <c r="CY361" s="2037">
        <f>$CX361</f>
        <v>6375</v>
      </c>
      <c r="CZ361" s="2037">
        <f t="shared" ref="CZ361:DA361" si="227">$CX361</f>
        <v>6375</v>
      </c>
      <c r="DA361" s="2037">
        <f t="shared" si="227"/>
        <v>6375</v>
      </c>
      <c r="DB361" s="2051">
        <v>0.06</v>
      </c>
      <c r="DC361" s="2051">
        <v>0.06</v>
      </c>
      <c r="DD361" s="2051">
        <v>0.06</v>
      </c>
      <c r="DE361" s="2051">
        <v>0.06</v>
      </c>
      <c r="DF361" s="2037">
        <f>DB361*CX361</f>
        <v>382.5</v>
      </c>
      <c r="DG361" s="2037">
        <f>DC361*CY361</f>
        <v>382.5</v>
      </c>
      <c r="DH361" s="2037">
        <f>DD361*CZ361</f>
        <v>382.5</v>
      </c>
      <c r="DI361" s="2037">
        <f>DE361*DA361</f>
        <v>382.5</v>
      </c>
      <c r="DJ361" s="1976">
        <v>637.5</v>
      </c>
      <c r="DK361" s="1973">
        <v>637.5</v>
      </c>
      <c r="DL361" s="1973">
        <v>637.5</v>
      </c>
      <c r="DM361" s="1973">
        <v>637.5</v>
      </c>
      <c r="DO361" s="1974">
        <v>15</v>
      </c>
      <c r="DP361" s="1974">
        <v>4966</v>
      </c>
      <c r="DQ361" s="1974">
        <v>0.67999999999999994</v>
      </c>
      <c r="DR361" s="1974">
        <v>5505.34375</v>
      </c>
      <c r="DS361" s="2029">
        <v>382.5</v>
      </c>
      <c r="DT361" s="2029">
        <v>382.5</v>
      </c>
      <c r="DU361" s="2029">
        <v>382.5</v>
      </c>
      <c r="DV361" s="2029">
        <v>382.5</v>
      </c>
      <c r="DW361" s="2029">
        <v>5992.5</v>
      </c>
      <c r="DX361" s="2029">
        <v>5992.5</v>
      </c>
      <c r="DY361" s="2029">
        <v>5992.5</v>
      </c>
      <c r="DZ361" s="2029">
        <v>5992.5</v>
      </c>
      <c r="EA361" s="2029">
        <v>1988</v>
      </c>
      <c r="EB361" s="2029">
        <v>1988</v>
      </c>
      <c r="EC361" s="2029">
        <v>1988</v>
      </c>
      <c r="ED361" s="2029">
        <v>1988</v>
      </c>
      <c r="EE361" s="2039">
        <f t="shared" si="213"/>
        <v>0</v>
      </c>
      <c r="EF361" s="2039">
        <f t="shared" si="213"/>
        <v>0</v>
      </c>
      <c r="EG361" s="2039">
        <f t="shared" si="213"/>
        <v>0</v>
      </c>
      <c r="EH361" s="2039">
        <f t="shared" si="213"/>
        <v>0</v>
      </c>
      <c r="EI361" s="2040">
        <f t="shared" si="190"/>
        <v>0</v>
      </c>
      <c r="EJ361" s="2040">
        <f t="shared" si="190"/>
        <v>0</v>
      </c>
      <c r="EK361" s="2040">
        <f t="shared" si="190"/>
        <v>0</v>
      </c>
      <c r="EL361" s="2040">
        <f t="shared" si="190"/>
        <v>0</v>
      </c>
      <c r="EM361" s="2040">
        <f t="shared" si="190"/>
        <v>0</v>
      </c>
      <c r="EN361" s="2040">
        <f t="shared" si="190"/>
        <v>0</v>
      </c>
      <c r="EO361" s="2040">
        <f t="shared" si="226"/>
        <v>0</v>
      </c>
      <c r="EP361" s="2040">
        <f t="shared" si="226"/>
        <v>0</v>
      </c>
      <c r="EQ361" s="2040">
        <f t="shared" si="226"/>
        <v>0</v>
      </c>
      <c r="ER361" s="2040">
        <f t="shared" si="226"/>
        <v>0</v>
      </c>
      <c r="ES361" s="2040">
        <f t="shared" si="226"/>
        <v>0</v>
      </c>
      <c r="ET361" s="2040">
        <f t="shared" si="226"/>
        <v>0</v>
      </c>
      <c r="EU361" s="2039">
        <f t="shared" si="214"/>
        <v>0</v>
      </c>
      <c r="EV361" s="2039">
        <f t="shared" si="215"/>
        <v>0</v>
      </c>
    </row>
    <row r="362" spans="1:152" x14ac:dyDescent="0.25">
      <c r="A362" s="2088" t="s">
        <v>159</v>
      </c>
      <c r="B362" s="2093" t="str">
        <f t="shared" si="193"/>
        <v/>
      </c>
      <c r="C362" s="1974">
        <f t="shared" si="222"/>
        <v>15</v>
      </c>
      <c r="D362" s="1974">
        <f t="shared" si="222"/>
        <v>167.00986740139751</v>
      </c>
      <c r="E362" s="1974">
        <f t="shared" si="222"/>
        <v>3.6658771183834489E-2</v>
      </c>
      <c r="F362" s="1974">
        <f t="shared" si="222"/>
        <v>-2.5484437443116437</v>
      </c>
      <c r="G362" s="1974" t="s">
        <v>2997</v>
      </c>
      <c r="H362" s="1974" t="s">
        <v>2997</v>
      </c>
      <c r="I362" s="2026">
        <v>0.96199999999999997</v>
      </c>
      <c r="J362" s="2026">
        <v>0.96199999999999997</v>
      </c>
      <c r="K362" s="2026">
        <v>0.96199999999999997</v>
      </c>
      <c r="L362" s="2026">
        <v>0.96199999999999997</v>
      </c>
      <c r="M362" s="2027">
        <f t="shared" si="205"/>
        <v>160.66349244014441</v>
      </c>
      <c r="N362" s="2027">
        <f t="shared" si="205"/>
        <v>160.66349244014441</v>
      </c>
      <c r="O362" s="2027">
        <f t="shared" si="205"/>
        <v>160.66349244014441</v>
      </c>
      <c r="P362" s="2027">
        <f t="shared" si="194"/>
        <v>160.66349244014441</v>
      </c>
      <c r="Q362" s="2026">
        <v>0.96199999999999997</v>
      </c>
      <c r="R362" s="2026">
        <v>0.96199999999999997</v>
      </c>
      <c r="S362" s="2026">
        <v>0.96199999999999997</v>
      </c>
      <c r="T362" s="2026">
        <v>0.96199999999999997</v>
      </c>
      <c r="U362" s="2028">
        <f t="shared" si="206"/>
        <v>3.5265737878848777E-2</v>
      </c>
      <c r="V362" s="2028">
        <f t="shared" si="206"/>
        <v>3.5265737878848777E-2</v>
      </c>
      <c r="W362" s="2028">
        <f t="shared" si="206"/>
        <v>3.5265737878848777E-2</v>
      </c>
      <c r="X362" s="2028">
        <f t="shared" si="195"/>
        <v>3.5265737878848777E-2</v>
      </c>
      <c r="Y362" s="2026">
        <v>0.96199999999999997</v>
      </c>
      <c r="Z362" s="2026">
        <v>0.96199999999999997</v>
      </c>
      <c r="AA362" s="2026">
        <v>0.96199999999999997</v>
      </c>
      <c r="AB362" s="2026">
        <v>0.96199999999999997</v>
      </c>
      <c r="AC362" s="2027">
        <f t="shared" si="207"/>
        <v>-2.4516028820278013</v>
      </c>
      <c r="AD362" s="2027">
        <f t="shared" si="207"/>
        <v>-2.4516028820278013</v>
      </c>
      <c r="AE362" s="2027">
        <f t="shared" si="207"/>
        <v>-2.4516028820278013</v>
      </c>
      <c r="AF362" s="2027">
        <f t="shared" si="196"/>
        <v>-2.4516028820278013</v>
      </c>
      <c r="AG362" s="2027">
        <v>0</v>
      </c>
      <c r="AH362" s="2028"/>
      <c r="AI362" s="2028"/>
      <c r="AJ362" s="2028"/>
      <c r="AK362" s="2027">
        <f t="shared" si="197"/>
        <v>0</v>
      </c>
      <c r="AL362" s="2027">
        <f t="shared" si="198"/>
        <v>0</v>
      </c>
      <c r="AM362" s="2027">
        <f t="shared" si="198"/>
        <v>0</v>
      </c>
      <c r="AN362" s="2027">
        <f t="shared" si="198"/>
        <v>0</v>
      </c>
      <c r="AO362" s="2027">
        <f t="shared" si="208"/>
        <v>0</v>
      </c>
      <c r="AP362" s="2027">
        <f t="shared" si="199"/>
        <v>0</v>
      </c>
      <c r="AQ362" s="2027">
        <f t="shared" si="199"/>
        <v>0</v>
      </c>
      <c r="AR362" s="2027">
        <f t="shared" si="199"/>
        <v>0</v>
      </c>
      <c r="AS362" s="2124">
        <f>AS118*1.5</f>
        <v>12.492187500000037</v>
      </c>
      <c r="AT362" s="2029">
        <f t="shared" si="200"/>
        <v>12.492187500000037</v>
      </c>
      <c r="AU362" s="2029">
        <f t="shared" si="200"/>
        <v>12.492187500000037</v>
      </c>
      <c r="AV362" s="2029">
        <f t="shared" si="200"/>
        <v>12.492187500000037</v>
      </c>
      <c r="AW362" s="2124">
        <f t="shared" ref="AW362:AW370" si="228">AW118*1.3</f>
        <v>0</v>
      </c>
      <c r="AX362" s="2029">
        <f t="shared" si="216"/>
        <v>0</v>
      </c>
      <c r="AY362" s="2029">
        <f t="shared" si="216"/>
        <v>0</v>
      </c>
      <c r="AZ362" s="2029">
        <f t="shared" si="216"/>
        <v>0</v>
      </c>
      <c r="BA362" s="2124">
        <f t="shared" si="225"/>
        <v>57.5</v>
      </c>
      <c r="BB362" s="2029">
        <f t="shared" si="225"/>
        <v>57.5</v>
      </c>
      <c r="BC362" s="2029">
        <f t="shared" si="225"/>
        <v>57.5</v>
      </c>
      <c r="BD362" s="2029">
        <f t="shared" si="225"/>
        <v>57.5</v>
      </c>
      <c r="BE362" s="2030">
        <f t="shared" si="202"/>
        <v>0</v>
      </c>
      <c r="BF362" s="2030">
        <f t="shared" si="202"/>
        <v>0</v>
      </c>
      <c r="BG362" s="2030">
        <f t="shared" si="202"/>
        <v>0</v>
      </c>
      <c r="BH362" s="2030">
        <f t="shared" si="191"/>
        <v>0</v>
      </c>
      <c r="BI362" s="2030">
        <f t="shared" si="203"/>
        <v>0</v>
      </c>
      <c r="BJ362" s="2030">
        <f t="shared" si="203"/>
        <v>0</v>
      </c>
      <c r="BK362" s="2030">
        <f t="shared" si="203"/>
        <v>0</v>
      </c>
      <c r="BL362" s="2030">
        <f t="shared" si="192"/>
        <v>0</v>
      </c>
      <c r="BM362" s="2125"/>
      <c r="BN362" s="2125"/>
      <c r="BO362" s="2125"/>
      <c r="BP362" s="2125"/>
      <c r="BQ362" s="2125"/>
      <c r="BR362" s="2125"/>
      <c r="BS362" s="2125"/>
      <c r="BT362" s="2125"/>
      <c r="BU362" s="2029"/>
      <c r="BV362" s="2029"/>
      <c r="BW362" s="2029"/>
      <c r="BX362" s="2029"/>
      <c r="BY362" s="2029"/>
      <c r="BZ362" s="2032"/>
      <c r="CA362" s="1974">
        <f t="shared" si="224"/>
        <v>0</v>
      </c>
      <c r="CB362" s="1974">
        <f t="shared" si="224"/>
        <v>0</v>
      </c>
      <c r="CC362" s="1974">
        <f t="shared" si="224"/>
        <v>0</v>
      </c>
      <c r="CD362" s="1974">
        <f t="shared" si="224"/>
        <v>0</v>
      </c>
      <c r="CE362" s="1974">
        <f t="shared" si="224"/>
        <v>1</v>
      </c>
      <c r="CF362" s="2033">
        <v>0</v>
      </c>
      <c r="CG362" s="2026">
        <v>0</v>
      </c>
      <c r="CH362" s="2009">
        <f t="shared" si="224"/>
        <v>1</v>
      </c>
      <c r="CI362" s="2031">
        <f t="shared" si="224"/>
        <v>0.67827777777777754</v>
      </c>
      <c r="CJ362" s="1974">
        <f t="shared" si="224"/>
        <v>0</v>
      </c>
      <c r="CK362" s="2031">
        <f t="shared" si="224"/>
        <v>-0.67827777777777754</v>
      </c>
      <c r="CL362" s="2026">
        <v>1</v>
      </c>
      <c r="CM362" s="2026">
        <v>0.3</v>
      </c>
      <c r="CN362" s="2026">
        <v>0.3</v>
      </c>
      <c r="CO362" s="2026">
        <v>0.3</v>
      </c>
      <c r="CP362" s="2035"/>
      <c r="CQ362" s="2036"/>
      <c r="CR362" s="2036"/>
      <c r="CS362" s="2036"/>
      <c r="CT362" s="2036"/>
      <c r="CU362" s="2036"/>
      <c r="CW362" s="1973">
        <v>0</v>
      </c>
      <c r="CX362" s="2037">
        <v>12.492187500000037</v>
      </c>
      <c r="CY362" s="2037">
        <v>12.492187500000037</v>
      </c>
      <c r="CZ362" s="2037">
        <v>12.492187500000037</v>
      </c>
      <c r="DA362" s="2037">
        <v>12.492187500000037</v>
      </c>
      <c r="DJ362" s="1976">
        <v>12.492187500000037</v>
      </c>
      <c r="DK362" s="1973">
        <v>12.492187500000037</v>
      </c>
      <c r="DL362" s="1973">
        <v>12.492187500000037</v>
      </c>
      <c r="DM362" s="1973">
        <v>12.492187500000037</v>
      </c>
      <c r="DO362" s="1974">
        <v>15</v>
      </c>
      <c r="DP362" s="1974">
        <v>167.00986740139751</v>
      </c>
      <c r="DQ362" s="1974">
        <v>3.6658771183834489E-2</v>
      </c>
      <c r="DR362" s="1974">
        <v>-2.5484437443116437</v>
      </c>
      <c r="DS362" s="2124">
        <v>12.492187500000037</v>
      </c>
      <c r="DT362" s="2029">
        <v>12.492187500000037</v>
      </c>
      <c r="DU362" s="2029">
        <v>12.492187500000037</v>
      </c>
      <c r="DV362" s="2029">
        <v>12.492187500000037</v>
      </c>
      <c r="DW362" s="2124">
        <v>0</v>
      </c>
      <c r="DX362" s="2029">
        <v>0</v>
      </c>
      <c r="DY362" s="2029">
        <v>0</v>
      </c>
      <c r="DZ362" s="2029">
        <v>0</v>
      </c>
      <c r="EA362" s="2124">
        <v>57.5</v>
      </c>
      <c r="EB362" s="2029">
        <v>57.5</v>
      </c>
      <c r="EC362" s="2029">
        <v>57.5</v>
      </c>
      <c r="ED362" s="2029">
        <v>57.5</v>
      </c>
      <c r="EE362" s="2039">
        <f t="shared" si="213"/>
        <v>0</v>
      </c>
      <c r="EF362" s="2039">
        <f t="shared" si="213"/>
        <v>0</v>
      </c>
      <c r="EG362" s="2039">
        <f t="shared" si="213"/>
        <v>0</v>
      </c>
      <c r="EH362" s="2039">
        <f t="shared" si="213"/>
        <v>0</v>
      </c>
      <c r="EI362" s="2040">
        <f t="shared" si="190"/>
        <v>0</v>
      </c>
      <c r="EJ362" s="2040">
        <f t="shared" si="190"/>
        <v>0</v>
      </c>
      <c r="EK362" s="2040">
        <f t="shared" si="190"/>
        <v>0</v>
      </c>
      <c r="EL362" s="2040">
        <f t="shared" si="190"/>
        <v>0</v>
      </c>
      <c r="EM362" s="2040">
        <f t="shared" si="190"/>
        <v>0</v>
      </c>
      <c r="EN362" s="2040">
        <f t="shared" si="190"/>
        <v>0</v>
      </c>
      <c r="EO362" s="2040">
        <f t="shared" si="226"/>
        <v>0</v>
      </c>
      <c r="EP362" s="2040">
        <f t="shared" si="226"/>
        <v>0</v>
      </c>
      <c r="EQ362" s="2040">
        <f t="shared" si="226"/>
        <v>0</v>
      </c>
      <c r="ER362" s="2040">
        <f t="shared" si="226"/>
        <v>0</v>
      </c>
      <c r="ES362" s="2040">
        <f t="shared" si="226"/>
        <v>0</v>
      </c>
      <c r="ET362" s="2040">
        <f t="shared" si="226"/>
        <v>0</v>
      </c>
      <c r="EU362" s="2039">
        <f t="shared" si="214"/>
        <v>0</v>
      </c>
      <c r="EV362" s="2039">
        <f t="shared" si="215"/>
        <v>0</v>
      </c>
    </row>
    <row r="363" spans="1:152" x14ac:dyDescent="0.25">
      <c r="A363" s="2126" t="s">
        <v>160</v>
      </c>
      <c r="B363" s="2093" t="str">
        <f t="shared" si="193"/>
        <v/>
      </c>
      <c r="C363" s="1974">
        <f t="shared" ref="C363:F378" si="229">C119</f>
        <v>8</v>
      </c>
      <c r="D363" s="1974">
        <f t="shared" si="229"/>
        <v>1104</v>
      </c>
      <c r="E363" s="1974">
        <f t="shared" si="229"/>
        <v>0.182</v>
      </c>
      <c r="F363" s="1974">
        <f t="shared" si="229"/>
        <v>-19.39</v>
      </c>
      <c r="G363" s="1974" t="s">
        <v>2997</v>
      </c>
      <c r="H363" s="1974" t="s">
        <v>2997</v>
      </c>
      <c r="I363" s="2026">
        <v>0.96199999999999997</v>
      </c>
      <c r="J363" s="2026">
        <v>0.96199999999999997</v>
      </c>
      <c r="K363" s="2026">
        <v>0.96199999999999997</v>
      </c>
      <c r="L363" s="2026">
        <v>0.96199999999999997</v>
      </c>
      <c r="M363" s="2027">
        <f t="shared" si="205"/>
        <v>1062.048</v>
      </c>
      <c r="N363" s="2027">
        <f t="shared" si="205"/>
        <v>1062.048</v>
      </c>
      <c r="O363" s="2027">
        <f t="shared" si="205"/>
        <v>1062.048</v>
      </c>
      <c r="P363" s="2027">
        <f t="shared" si="194"/>
        <v>1062.048</v>
      </c>
      <c r="Q363" s="2026">
        <v>0.96199999999999997</v>
      </c>
      <c r="R363" s="2026">
        <v>0.96199999999999997</v>
      </c>
      <c r="S363" s="2026">
        <v>0.96199999999999997</v>
      </c>
      <c r="T363" s="2026">
        <v>0.96199999999999997</v>
      </c>
      <c r="U363" s="2028">
        <f t="shared" si="206"/>
        <v>0.17508399999999999</v>
      </c>
      <c r="V363" s="2028">
        <f t="shared" si="206"/>
        <v>0.17508399999999999</v>
      </c>
      <c r="W363" s="2028">
        <f t="shared" si="206"/>
        <v>0.17508399999999999</v>
      </c>
      <c r="X363" s="2028">
        <f t="shared" si="195"/>
        <v>0.17508399999999999</v>
      </c>
      <c r="Y363" s="2026">
        <v>0.96199999999999997</v>
      </c>
      <c r="Z363" s="2026">
        <v>0.96199999999999997</v>
      </c>
      <c r="AA363" s="2026">
        <v>0.96199999999999997</v>
      </c>
      <c r="AB363" s="2026">
        <v>0.96199999999999997</v>
      </c>
      <c r="AC363" s="2027">
        <f t="shared" si="207"/>
        <v>-18.653179999999999</v>
      </c>
      <c r="AD363" s="2027">
        <f t="shared" si="207"/>
        <v>-18.653179999999999</v>
      </c>
      <c r="AE363" s="2027">
        <f t="shared" si="207"/>
        <v>-18.653179999999999</v>
      </c>
      <c r="AF363" s="2027">
        <f t="shared" si="196"/>
        <v>-18.653179999999999</v>
      </c>
      <c r="AG363" s="2027">
        <v>36</v>
      </c>
      <c r="AH363" s="2027">
        <v>54</v>
      </c>
      <c r="AI363" s="2027">
        <v>63</v>
      </c>
      <c r="AJ363" s="2027">
        <v>73</v>
      </c>
      <c r="AK363" s="2027">
        <f t="shared" si="197"/>
        <v>38233.728000000003</v>
      </c>
      <c r="AL363" s="2027">
        <f t="shared" si="198"/>
        <v>57350.591999999997</v>
      </c>
      <c r="AM363" s="2027">
        <f t="shared" si="198"/>
        <v>66909.024000000005</v>
      </c>
      <c r="AN363" s="2027">
        <f t="shared" si="198"/>
        <v>77529.504000000001</v>
      </c>
      <c r="AO363" s="2027">
        <f t="shared" si="208"/>
        <v>-671.51447999999993</v>
      </c>
      <c r="AP363" s="2027">
        <f t="shared" si="199"/>
        <v>-1007.27172</v>
      </c>
      <c r="AQ363" s="2027">
        <f t="shared" si="199"/>
        <v>-1175.1503399999999</v>
      </c>
      <c r="AR363" s="2027">
        <f t="shared" si="199"/>
        <v>-1361.6821399999999</v>
      </c>
      <c r="AS363" s="2124">
        <v>274</v>
      </c>
      <c r="AT363" s="2029">
        <f t="shared" si="200"/>
        <v>274</v>
      </c>
      <c r="AU363" s="2029">
        <f t="shared" si="200"/>
        <v>274</v>
      </c>
      <c r="AV363" s="2029">
        <f t="shared" si="200"/>
        <v>274</v>
      </c>
      <c r="AW363" s="2124">
        <f t="shared" si="228"/>
        <v>0</v>
      </c>
      <c r="AX363" s="2029">
        <f t="shared" si="216"/>
        <v>0</v>
      </c>
      <c r="AY363" s="2029">
        <f t="shared" si="216"/>
        <v>0</v>
      </c>
      <c r="AZ363" s="2029">
        <f t="shared" si="216"/>
        <v>0</v>
      </c>
      <c r="BA363" s="2124">
        <f t="shared" si="225"/>
        <v>274</v>
      </c>
      <c r="BB363" s="2029">
        <f t="shared" si="225"/>
        <v>274</v>
      </c>
      <c r="BC363" s="2029">
        <f t="shared" si="225"/>
        <v>274</v>
      </c>
      <c r="BD363" s="2029">
        <f t="shared" si="225"/>
        <v>274</v>
      </c>
      <c r="BE363" s="2030">
        <f t="shared" si="202"/>
        <v>9864</v>
      </c>
      <c r="BF363" s="2030">
        <f t="shared" si="202"/>
        <v>14796</v>
      </c>
      <c r="BG363" s="2030">
        <f t="shared" si="202"/>
        <v>17262</v>
      </c>
      <c r="BH363" s="2030">
        <f t="shared" si="191"/>
        <v>20002</v>
      </c>
      <c r="BI363" s="2030">
        <f t="shared" si="203"/>
        <v>0</v>
      </c>
      <c r="BJ363" s="2030">
        <f t="shared" si="203"/>
        <v>0</v>
      </c>
      <c r="BK363" s="2030">
        <f t="shared" si="203"/>
        <v>0</v>
      </c>
      <c r="BL363" s="2030">
        <f t="shared" si="192"/>
        <v>0</v>
      </c>
      <c r="BM363" s="2125"/>
      <c r="BN363" s="2125"/>
      <c r="BO363" s="2125"/>
      <c r="BP363" s="2125"/>
      <c r="BQ363" s="2125"/>
      <c r="BR363" s="2125"/>
      <c r="BS363" s="2125"/>
      <c r="BT363" s="2125"/>
      <c r="BU363" s="2029"/>
      <c r="BV363" s="2029"/>
      <c r="BW363" s="2029"/>
      <c r="BX363" s="2029"/>
      <c r="BY363" s="2029"/>
      <c r="BZ363" s="2032"/>
      <c r="CA363" s="1974">
        <f t="shared" ref="CA363:CK378" si="230">CA119</f>
        <v>0</v>
      </c>
      <c r="CB363" s="1974">
        <f t="shared" si="230"/>
        <v>0</v>
      </c>
      <c r="CC363" s="1974">
        <f t="shared" si="230"/>
        <v>0</v>
      </c>
      <c r="CD363" s="1974">
        <f t="shared" si="230"/>
        <v>0</v>
      </c>
      <c r="CE363" s="1974">
        <f t="shared" si="230"/>
        <v>0</v>
      </c>
      <c r="CF363" s="2033">
        <v>1.5982986008421921E-4</v>
      </c>
      <c r="CG363" s="2026">
        <v>-2.5052891080742679E-4</v>
      </c>
      <c r="CH363" s="2009">
        <f t="shared" si="230"/>
        <v>0</v>
      </c>
      <c r="CI363" s="2031">
        <f t="shared" si="230"/>
        <v>0</v>
      </c>
      <c r="CJ363" s="1974">
        <f t="shared" si="230"/>
        <v>0</v>
      </c>
      <c r="CK363" s="2031">
        <f t="shared" si="230"/>
        <v>0</v>
      </c>
      <c r="CL363" s="2026">
        <v>1</v>
      </c>
      <c r="CM363" s="2026">
        <v>1</v>
      </c>
      <c r="CN363" s="2026">
        <v>1</v>
      </c>
      <c r="CO363" s="2026">
        <v>1</v>
      </c>
      <c r="CP363" s="2035"/>
      <c r="CQ363" s="2036"/>
      <c r="CR363" s="2036"/>
      <c r="CS363" s="2036"/>
      <c r="CT363" s="2036"/>
      <c r="CU363" s="2036"/>
      <c r="CW363" s="1973">
        <v>0</v>
      </c>
      <c r="CX363" s="2037">
        <v>274</v>
      </c>
      <c r="CY363" s="2037">
        <v>274</v>
      </c>
      <c r="CZ363" s="2037">
        <v>274</v>
      </c>
      <c r="DA363" s="2037">
        <v>274</v>
      </c>
      <c r="DJ363" s="1976">
        <v>274</v>
      </c>
      <c r="DK363" s="1973">
        <v>274</v>
      </c>
      <c r="DL363" s="1973">
        <v>274</v>
      </c>
      <c r="DM363" s="1973">
        <v>274</v>
      </c>
      <c r="DO363" s="1974">
        <v>8</v>
      </c>
      <c r="DP363" s="1974">
        <v>1104</v>
      </c>
      <c r="DQ363" s="1974">
        <v>0.182</v>
      </c>
      <c r="DR363" s="1974">
        <v>-19.39</v>
      </c>
      <c r="DS363" s="2124">
        <v>274</v>
      </c>
      <c r="DT363" s="2029">
        <v>274</v>
      </c>
      <c r="DU363" s="2029">
        <v>274</v>
      </c>
      <c r="DV363" s="2029">
        <v>274</v>
      </c>
      <c r="DW363" s="2124">
        <v>0</v>
      </c>
      <c r="DX363" s="2029">
        <v>0</v>
      </c>
      <c r="DY363" s="2029">
        <v>0</v>
      </c>
      <c r="DZ363" s="2029">
        <v>0</v>
      </c>
      <c r="EA363" s="2124">
        <v>274</v>
      </c>
      <c r="EB363" s="2029">
        <v>274</v>
      </c>
      <c r="EC363" s="2029">
        <v>274</v>
      </c>
      <c r="ED363" s="2029">
        <v>274</v>
      </c>
      <c r="EE363" s="2039">
        <f t="shared" si="213"/>
        <v>0</v>
      </c>
      <c r="EF363" s="2039">
        <f t="shared" si="213"/>
        <v>0</v>
      </c>
      <c r="EG363" s="2039">
        <f t="shared" si="213"/>
        <v>0</v>
      </c>
      <c r="EH363" s="2039">
        <f t="shared" si="213"/>
        <v>0</v>
      </c>
      <c r="EI363" s="2040">
        <f t="shared" si="190"/>
        <v>0</v>
      </c>
      <c r="EJ363" s="2040">
        <f t="shared" si="190"/>
        <v>0</v>
      </c>
      <c r="EK363" s="2040">
        <f t="shared" si="190"/>
        <v>0</v>
      </c>
      <c r="EL363" s="2040">
        <f t="shared" si="190"/>
        <v>0</v>
      </c>
      <c r="EM363" s="2040">
        <f t="shared" si="190"/>
        <v>0</v>
      </c>
      <c r="EN363" s="2040">
        <f t="shared" si="190"/>
        <v>0</v>
      </c>
      <c r="EO363" s="2040">
        <f t="shared" si="226"/>
        <v>0</v>
      </c>
      <c r="EP363" s="2040">
        <f t="shared" si="226"/>
        <v>0</v>
      </c>
      <c r="EQ363" s="2040">
        <f t="shared" si="226"/>
        <v>0</v>
      </c>
      <c r="ER363" s="2040">
        <f t="shared" si="226"/>
        <v>0</v>
      </c>
      <c r="ES363" s="2040">
        <f t="shared" si="226"/>
        <v>0</v>
      </c>
      <c r="ET363" s="2040">
        <f t="shared" si="226"/>
        <v>0</v>
      </c>
      <c r="EU363" s="2039">
        <f t="shared" si="214"/>
        <v>0</v>
      </c>
      <c r="EV363" s="2039">
        <f t="shared" si="215"/>
        <v>0</v>
      </c>
    </row>
    <row r="364" spans="1:152" x14ac:dyDescent="0.25">
      <c r="A364" s="2088" t="s">
        <v>161</v>
      </c>
      <c r="B364" s="2093" t="str">
        <f t="shared" si="193"/>
        <v/>
      </c>
      <c r="C364" s="1974">
        <f t="shared" si="229"/>
        <v>14</v>
      </c>
      <c r="D364" s="1974">
        <f t="shared" si="229"/>
        <v>1310</v>
      </c>
      <c r="E364" s="1974">
        <f t="shared" si="229"/>
        <v>0</v>
      </c>
      <c r="F364" s="1974">
        <f t="shared" si="229"/>
        <v>0</v>
      </c>
      <c r="G364" s="1974" t="s">
        <v>2997</v>
      </c>
      <c r="H364" s="1974" t="s">
        <v>2997</v>
      </c>
      <c r="I364" s="2026">
        <v>0.96199999999999997</v>
      </c>
      <c r="J364" s="2026">
        <v>0.96199999999999997</v>
      </c>
      <c r="K364" s="2026">
        <v>0.96199999999999997</v>
      </c>
      <c r="L364" s="2026">
        <v>0.96199999999999997</v>
      </c>
      <c r="M364" s="2027">
        <f t="shared" si="205"/>
        <v>1260.22</v>
      </c>
      <c r="N364" s="2027">
        <f t="shared" si="205"/>
        <v>1260.22</v>
      </c>
      <c r="O364" s="2027">
        <f t="shared" si="205"/>
        <v>1260.22</v>
      </c>
      <c r="P364" s="2027">
        <f t="shared" si="194"/>
        <v>1260.22</v>
      </c>
      <c r="Q364" s="2026">
        <v>0.96199999999999997</v>
      </c>
      <c r="R364" s="2026">
        <v>0.96199999999999997</v>
      </c>
      <c r="S364" s="2026">
        <v>0.96199999999999997</v>
      </c>
      <c r="T364" s="2026">
        <v>0.96199999999999997</v>
      </c>
      <c r="U364" s="2028">
        <f t="shared" si="206"/>
        <v>0</v>
      </c>
      <c r="V364" s="2028">
        <f t="shared" si="206"/>
        <v>0</v>
      </c>
      <c r="W364" s="2028">
        <f t="shared" si="206"/>
        <v>0</v>
      </c>
      <c r="X364" s="2028">
        <f t="shared" si="195"/>
        <v>0</v>
      </c>
      <c r="Y364" s="2026">
        <v>0.96199999999999997</v>
      </c>
      <c r="Z364" s="2026">
        <v>0.96199999999999997</v>
      </c>
      <c r="AA364" s="2026">
        <v>0.96199999999999997</v>
      </c>
      <c r="AB364" s="2026">
        <v>0.96199999999999997</v>
      </c>
      <c r="AC364" s="2027">
        <f t="shared" si="207"/>
        <v>0</v>
      </c>
      <c r="AD364" s="2027">
        <f t="shared" si="207"/>
        <v>0</v>
      </c>
      <c r="AE364" s="2027">
        <f t="shared" si="207"/>
        <v>0</v>
      </c>
      <c r="AF364" s="2027">
        <f t="shared" si="196"/>
        <v>0</v>
      </c>
      <c r="AG364" s="2027">
        <v>0</v>
      </c>
      <c r="AH364" s="2028">
        <v>0</v>
      </c>
      <c r="AI364" s="2028">
        <v>0</v>
      </c>
      <c r="AJ364" s="2028">
        <v>0</v>
      </c>
      <c r="AK364" s="2027">
        <f t="shared" si="197"/>
        <v>0</v>
      </c>
      <c r="AL364" s="2027">
        <f t="shared" si="198"/>
        <v>0</v>
      </c>
      <c r="AM364" s="2027">
        <f t="shared" si="198"/>
        <v>0</v>
      </c>
      <c r="AN364" s="2027">
        <f t="shared" si="198"/>
        <v>0</v>
      </c>
      <c r="AO364" s="2027">
        <f t="shared" si="208"/>
        <v>0</v>
      </c>
      <c r="AP364" s="2027">
        <f t="shared" si="199"/>
        <v>0</v>
      </c>
      <c r="AQ364" s="2027">
        <f t="shared" si="199"/>
        <v>0</v>
      </c>
      <c r="AR364" s="2027">
        <f t="shared" si="199"/>
        <v>0</v>
      </c>
      <c r="AS364" s="2124">
        <f>AS120*1.5</f>
        <v>150</v>
      </c>
      <c r="AT364" s="2029">
        <f t="shared" si="200"/>
        <v>150</v>
      </c>
      <c r="AU364" s="2029">
        <f t="shared" si="200"/>
        <v>150</v>
      </c>
      <c r="AV364" s="2029">
        <f t="shared" si="200"/>
        <v>150</v>
      </c>
      <c r="AW364" s="2124">
        <f t="shared" si="228"/>
        <v>0</v>
      </c>
      <c r="AX364" s="2029">
        <f t="shared" si="216"/>
        <v>0</v>
      </c>
      <c r="AY364" s="2029">
        <f t="shared" si="216"/>
        <v>0</v>
      </c>
      <c r="AZ364" s="2029">
        <f t="shared" si="216"/>
        <v>0</v>
      </c>
      <c r="BA364" s="2124">
        <f t="shared" si="225"/>
        <v>500</v>
      </c>
      <c r="BB364" s="2029">
        <f t="shared" si="225"/>
        <v>500</v>
      </c>
      <c r="BC364" s="2029">
        <f t="shared" si="225"/>
        <v>500</v>
      </c>
      <c r="BD364" s="2029">
        <f t="shared" si="225"/>
        <v>500</v>
      </c>
      <c r="BE364" s="2030">
        <f t="shared" si="202"/>
        <v>0</v>
      </c>
      <c r="BF364" s="2030">
        <f t="shared" si="202"/>
        <v>0</v>
      </c>
      <c r="BG364" s="2030">
        <f t="shared" si="202"/>
        <v>0</v>
      </c>
      <c r="BH364" s="2030">
        <f t="shared" si="191"/>
        <v>0</v>
      </c>
      <c r="BI364" s="2030">
        <f t="shared" si="203"/>
        <v>0</v>
      </c>
      <c r="BJ364" s="2030">
        <f t="shared" si="203"/>
        <v>0</v>
      </c>
      <c r="BK364" s="2030">
        <f t="shared" si="203"/>
        <v>0</v>
      </c>
      <c r="BL364" s="2030">
        <f t="shared" si="192"/>
        <v>0</v>
      </c>
      <c r="BM364" s="2125"/>
      <c r="BN364" s="2125"/>
      <c r="BO364" s="2125"/>
      <c r="BP364" s="2125"/>
      <c r="BQ364" s="2125"/>
      <c r="BR364" s="2125"/>
      <c r="BS364" s="2125"/>
      <c r="BT364" s="2125"/>
      <c r="BU364" s="2029"/>
      <c r="BV364" s="2029"/>
      <c r="BW364" s="2029"/>
      <c r="BX364" s="2029"/>
      <c r="BY364" s="2029"/>
      <c r="BZ364" s="2032"/>
      <c r="CA364" s="1974">
        <f t="shared" si="230"/>
        <v>0</v>
      </c>
      <c r="CB364" s="1974">
        <f t="shared" si="230"/>
        <v>0</v>
      </c>
      <c r="CC364" s="1974">
        <f t="shared" si="230"/>
        <v>0</v>
      </c>
      <c r="CD364" s="1974">
        <f t="shared" si="230"/>
        <v>0</v>
      </c>
      <c r="CE364" s="1974">
        <f t="shared" si="230"/>
        <v>0</v>
      </c>
      <c r="CF364" s="2033">
        <v>0</v>
      </c>
      <c r="CG364" s="2026">
        <v>0</v>
      </c>
      <c r="CH364" s="2009">
        <f t="shared" si="230"/>
        <v>0</v>
      </c>
      <c r="CI364" s="2031">
        <f t="shared" si="230"/>
        <v>0</v>
      </c>
      <c r="CJ364" s="1974">
        <f t="shared" si="230"/>
        <v>0</v>
      </c>
      <c r="CK364" s="2031">
        <f t="shared" si="230"/>
        <v>0</v>
      </c>
      <c r="CL364" s="2026">
        <v>1</v>
      </c>
      <c r="CM364" s="2026">
        <v>1</v>
      </c>
      <c r="CN364" s="2026">
        <v>1</v>
      </c>
      <c r="CO364" s="2026">
        <v>1</v>
      </c>
      <c r="CP364" s="2035"/>
      <c r="CQ364" s="2036"/>
      <c r="CR364" s="2036"/>
      <c r="CS364" s="2036"/>
      <c r="CT364" s="2036"/>
      <c r="CU364" s="2036"/>
      <c r="CW364" s="1973">
        <v>0</v>
      </c>
      <c r="CX364" s="2037">
        <v>150</v>
      </c>
      <c r="CY364" s="2037">
        <v>150</v>
      </c>
      <c r="CZ364" s="2037">
        <v>150</v>
      </c>
      <c r="DA364" s="2037">
        <v>150</v>
      </c>
      <c r="DJ364" s="1976">
        <v>150</v>
      </c>
      <c r="DK364" s="1973">
        <v>150</v>
      </c>
      <c r="DL364" s="1973">
        <v>150</v>
      </c>
      <c r="DM364" s="1973">
        <v>150</v>
      </c>
      <c r="DO364" s="1974">
        <v>14</v>
      </c>
      <c r="DP364" s="1974">
        <v>1310</v>
      </c>
      <c r="DQ364" s="1974">
        <v>0</v>
      </c>
      <c r="DR364" s="1974">
        <v>0</v>
      </c>
      <c r="DS364" s="2124">
        <v>150</v>
      </c>
      <c r="DT364" s="2029">
        <v>150</v>
      </c>
      <c r="DU364" s="2029">
        <v>150</v>
      </c>
      <c r="DV364" s="2029">
        <v>150</v>
      </c>
      <c r="DW364" s="2124">
        <v>0</v>
      </c>
      <c r="DX364" s="2029">
        <v>0</v>
      </c>
      <c r="DY364" s="2029">
        <v>0</v>
      </c>
      <c r="DZ364" s="2029">
        <v>0</v>
      </c>
      <c r="EA364" s="2124">
        <v>500</v>
      </c>
      <c r="EB364" s="2029">
        <v>500</v>
      </c>
      <c r="EC364" s="2029">
        <v>500</v>
      </c>
      <c r="ED364" s="2029">
        <v>500</v>
      </c>
      <c r="EE364" s="2039">
        <f t="shared" si="213"/>
        <v>0</v>
      </c>
      <c r="EF364" s="2039">
        <f t="shared" si="213"/>
        <v>0</v>
      </c>
      <c r="EG364" s="2039">
        <f t="shared" si="213"/>
        <v>0</v>
      </c>
      <c r="EH364" s="2039">
        <f t="shared" si="213"/>
        <v>0</v>
      </c>
      <c r="EI364" s="2040">
        <f t="shared" si="190"/>
        <v>0</v>
      </c>
      <c r="EJ364" s="2040">
        <f t="shared" si="190"/>
        <v>0</v>
      </c>
      <c r="EK364" s="2040">
        <f t="shared" si="190"/>
        <v>0</v>
      </c>
      <c r="EL364" s="2040">
        <f t="shared" si="190"/>
        <v>0</v>
      </c>
      <c r="EM364" s="2040">
        <f t="shared" si="190"/>
        <v>0</v>
      </c>
      <c r="EN364" s="2040">
        <f t="shared" si="190"/>
        <v>0</v>
      </c>
      <c r="EO364" s="2040">
        <f t="shared" si="226"/>
        <v>0</v>
      </c>
      <c r="EP364" s="2040">
        <f t="shared" si="226"/>
        <v>0</v>
      </c>
      <c r="EQ364" s="2040">
        <f t="shared" si="226"/>
        <v>0</v>
      </c>
      <c r="ER364" s="2040">
        <f t="shared" si="226"/>
        <v>0</v>
      </c>
      <c r="ES364" s="2040">
        <f t="shared" si="226"/>
        <v>0</v>
      </c>
      <c r="ET364" s="2040">
        <f t="shared" si="226"/>
        <v>0</v>
      </c>
      <c r="EU364" s="2039">
        <f t="shared" si="214"/>
        <v>0</v>
      </c>
      <c r="EV364" s="2039">
        <f t="shared" si="215"/>
        <v>0</v>
      </c>
    </row>
    <row r="365" spans="1:152" x14ac:dyDescent="0.25">
      <c r="A365" s="2088" t="s">
        <v>162</v>
      </c>
      <c r="B365" s="2093" t="str">
        <f t="shared" si="193"/>
        <v/>
      </c>
      <c r="C365" s="1974">
        <f t="shared" si="229"/>
        <v>10</v>
      </c>
      <c r="D365" s="1974">
        <f t="shared" si="229"/>
        <v>613.20000000000005</v>
      </c>
      <c r="E365" s="1974">
        <f t="shared" si="229"/>
        <v>0.05</v>
      </c>
      <c r="F365" s="1974">
        <f t="shared" si="229"/>
        <v>-9.6</v>
      </c>
      <c r="G365" s="1974" t="s">
        <v>2997</v>
      </c>
      <c r="H365" s="1974" t="s">
        <v>2997</v>
      </c>
      <c r="I365" s="2026">
        <v>0.96199999999999997</v>
      </c>
      <c r="J365" s="2026">
        <v>0.96199999999999997</v>
      </c>
      <c r="K365" s="2026">
        <v>0.96199999999999997</v>
      </c>
      <c r="L365" s="2026">
        <v>0.96199999999999997</v>
      </c>
      <c r="M365" s="2027">
        <f t="shared" si="205"/>
        <v>589.89840000000004</v>
      </c>
      <c r="N365" s="2027">
        <f t="shared" si="205"/>
        <v>589.89840000000004</v>
      </c>
      <c r="O365" s="2027">
        <f t="shared" si="205"/>
        <v>589.89840000000004</v>
      </c>
      <c r="P365" s="2027">
        <f t="shared" si="194"/>
        <v>589.89840000000004</v>
      </c>
      <c r="Q365" s="2026">
        <v>0.96199999999999997</v>
      </c>
      <c r="R365" s="2026">
        <v>0.96199999999999997</v>
      </c>
      <c r="S365" s="2026">
        <v>0.96199999999999997</v>
      </c>
      <c r="T365" s="2026">
        <v>0.96199999999999997</v>
      </c>
      <c r="U365" s="2028">
        <f t="shared" si="206"/>
        <v>4.8100000000000004E-2</v>
      </c>
      <c r="V365" s="2028">
        <f t="shared" si="206"/>
        <v>4.8100000000000004E-2</v>
      </c>
      <c r="W365" s="2028">
        <f t="shared" si="206"/>
        <v>4.8100000000000004E-2</v>
      </c>
      <c r="X365" s="2028">
        <f t="shared" si="195"/>
        <v>4.8100000000000004E-2</v>
      </c>
      <c r="Y365" s="2026">
        <v>0.96199999999999997</v>
      </c>
      <c r="Z365" s="2026">
        <v>0.96199999999999997</v>
      </c>
      <c r="AA365" s="2026">
        <v>0.96199999999999997</v>
      </c>
      <c r="AB365" s="2026">
        <v>0.96199999999999997</v>
      </c>
      <c r="AC365" s="2027">
        <f t="shared" si="207"/>
        <v>-9.235199999999999</v>
      </c>
      <c r="AD365" s="2027">
        <f t="shared" si="207"/>
        <v>-9.235199999999999</v>
      </c>
      <c r="AE365" s="2027">
        <f t="shared" si="207"/>
        <v>-9.235199999999999</v>
      </c>
      <c r="AF365" s="2027">
        <f t="shared" si="196"/>
        <v>-9.235199999999999</v>
      </c>
      <c r="AG365" s="2027">
        <v>0</v>
      </c>
      <c r="AH365" s="2028">
        <v>0</v>
      </c>
      <c r="AI365" s="2028">
        <v>0</v>
      </c>
      <c r="AJ365" s="2028">
        <v>0</v>
      </c>
      <c r="AK365" s="2027">
        <f t="shared" si="197"/>
        <v>0</v>
      </c>
      <c r="AL365" s="2027">
        <f t="shared" si="198"/>
        <v>0</v>
      </c>
      <c r="AM365" s="2027">
        <f t="shared" si="198"/>
        <v>0</v>
      </c>
      <c r="AN365" s="2027">
        <f t="shared" si="198"/>
        <v>0</v>
      </c>
      <c r="AO365" s="2027">
        <f t="shared" si="208"/>
        <v>0</v>
      </c>
      <c r="AP365" s="2027">
        <f t="shared" si="199"/>
        <v>0</v>
      </c>
      <c r="AQ365" s="2027">
        <f t="shared" si="199"/>
        <v>0</v>
      </c>
      <c r="AR365" s="2027">
        <f t="shared" si="199"/>
        <v>0</v>
      </c>
      <c r="AS365" s="2124">
        <f>AS121*1.5</f>
        <v>90</v>
      </c>
      <c r="AT365" s="2029">
        <f t="shared" si="200"/>
        <v>90</v>
      </c>
      <c r="AU365" s="2029">
        <f t="shared" si="200"/>
        <v>90</v>
      </c>
      <c r="AV365" s="2029">
        <f t="shared" si="200"/>
        <v>90</v>
      </c>
      <c r="AW365" s="2124">
        <f t="shared" si="228"/>
        <v>0</v>
      </c>
      <c r="AX365" s="2029">
        <f t="shared" si="216"/>
        <v>0</v>
      </c>
      <c r="AY365" s="2029">
        <f t="shared" si="216"/>
        <v>0</v>
      </c>
      <c r="AZ365" s="2029">
        <f t="shared" si="216"/>
        <v>0</v>
      </c>
      <c r="BA365" s="2124">
        <f t="shared" ref="BA365:BD379" si="231">BA121</f>
        <v>117</v>
      </c>
      <c r="BB365" s="2029">
        <f t="shared" si="231"/>
        <v>117</v>
      </c>
      <c r="BC365" s="2029">
        <f t="shared" si="231"/>
        <v>117</v>
      </c>
      <c r="BD365" s="2029">
        <f t="shared" si="231"/>
        <v>117</v>
      </c>
      <c r="BE365" s="2030">
        <f t="shared" si="202"/>
        <v>0</v>
      </c>
      <c r="BF365" s="2030">
        <f t="shared" si="202"/>
        <v>0</v>
      </c>
      <c r="BG365" s="2030">
        <f t="shared" si="202"/>
        <v>0</v>
      </c>
      <c r="BH365" s="2030">
        <f t="shared" si="191"/>
        <v>0</v>
      </c>
      <c r="BI365" s="2030">
        <f t="shared" si="203"/>
        <v>0</v>
      </c>
      <c r="BJ365" s="2030">
        <f t="shared" si="203"/>
        <v>0</v>
      </c>
      <c r="BK365" s="2030">
        <f t="shared" si="203"/>
        <v>0</v>
      </c>
      <c r="BL365" s="2030">
        <f t="shared" si="192"/>
        <v>0</v>
      </c>
      <c r="BM365" s="2125"/>
      <c r="BN365" s="2125"/>
      <c r="BO365" s="2125"/>
      <c r="BP365" s="2125"/>
      <c r="BQ365" s="2125"/>
      <c r="BR365" s="2125"/>
      <c r="BS365" s="2125"/>
      <c r="BT365" s="2125"/>
      <c r="BU365" s="2029"/>
      <c r="BV365" s="2029"/>
      <c r="BW365" s="2029"/>
      <c r="BX365" s="2029"/>
      <c r="BY365" s="2029"/>
      <c r="BZ365" s="2032"/>
      <c r="CA365" s="1974">
        <f t="shared" si="230"/>
        <v>0</v>
      </c>
      <c r="CB365" s="1974">
        <f t="shared" si="230"/>
        <v>0</v>
      </c>
      <c r="CC365" s="1974">
        <f t="shared" si="230"/>
        <v>0</v>
      </c>
      <c r="CD365" s="1974">
        <f t="shared" si="230"/>
        <v>0</v>
      </c>
      <c r="CE365" s="1974">
        <f t="shared" si="230"/>
        <v>0</v>
      </c>
      <c r="CF365" s="2033">
        <v>0</v>
      </c>
      <c r="CG365" s="2026">
        <v>0</v>
      </c>
      <c r="CH365" s="2009">
        <f t="shared" si="230"/>
        <v>0</v>
      </c>
      <c r="CI365" s="2031">
        <f t="shared" si="230"/>
        <v>0</v>
      </c>
      <c r="CJ365" s="1974">
        <f t="shared" si="230"/>
        <v>0</v>
      </c>
      <c r="CK365" s="2031">
        <f t="shared" si="230"/>
        <v>0</v>
      </c>
      <c r="CL365" s="2026">
        <v>1</v>
      </c>
      <c r="CM365" s="2026">
        <v>1</v>
      </c>
      <c r="CN365" s="2026">
        <v>1</v>
      </c>
      <c r="CO365" s="2026">
        <v>1</v>
      </c>
      <c r="CP365" s="2035"/>
      <c r="CQ365" s="2036"/>
      <c r="CR365" s="2036"/>
      <c r="CS365" s="2036"/>
      <c r="CT365" s="2036"/>
      <c r="CU365" s="2036"/>
      <c r="CW365" s="1973">
        <v>0</v>
      </c>
      <c r="CX365" s="2037">
        <v>90</v>
      </c>
      <c r="CY365" s="2037">
        <v>90</v>
      </c>
      <c r="CZ365" s="2037">
        <v>90</v>
      </c>
      <c r="DA365" s="2037">
        <v>90</v>
      </c>
      <c r="DJ365" s="1976">
        <v>90</v>
      </c>
      <c r="DK365" s="1973">
        <v>90</v>
      </c>
      <c r="DL365" s="1973">
        <v>90</v>
      </c>
      <c r="DM365" s="1973">
        <v>90</v>
      </c>
      <c r="DO365" s="1974">
        <v>10</v>
      </c>
      <c r="DP365" s="1974">
        <v>613.20000000000005</v>
      </c>
      <c r="DQ365" s="1974">
        <v>0.05</v>
      </c>
      <c r="DR365" s="1974">
        <v>-9.6</v>
      </c>
      <c r="DS365" s="2124">
        <v>90</v>
      </c>
      <c r="DT365" s="2029">
        <v>90</v>
      </c>
      <c r="DU365" s="2029">
        <v>90</v>
      </c>
      <c r="DV365" s="2029">
        <v>90</v>
      </c>
      <c r="DW365" s="2124">
        <v>0</v>
      </c>
      <c r="DX365" s="2029">
        <v>0</v>
      </c>
      <c r="DY365" s="2029">
        <v>0</v>
      </c>
      <c r="DZ365" s="2029">
        <v>0</v>
      </c>
      <c r="EA365" s="2124">
        <v>117</v>
      </c>
      <c r="EB365" s="2029">
        <v>117</v>
      </c>
      <c r="EC365" s="2029">
        <v>117</v>
      </c>
      <c r="ED365" s="2029">
        <v>117</v>
      </c>
      <c r="EE365" s="2039">
        <f t="shared" si="213"/>
        <v>0</v>
      </c>
      <c r="EF365" s="2039">
        <f t="shared" si="213"/>
        <v>0</v>
      </c>
      <c r="EG365" s="2039">
        <f t="shared" si="213"/>
        <v>0</v>
      </c>
      <c r="EH365" s="2039">
        <f t="shared" si="213"/>
        <v>0</v>
      </c>
      <c r="EI365" s="2040">
        <f t="shared" si="190"/>
        <v>0</v>
      </c>
      <c r="EJ365" s="2040">
        <f t="shared" si="190"/>
        <v>0</v>
      </c>
      <c r="EK365" s="2040">
        <f t="shared" si="190"/>
        <v>0</v>
      </c>
      <c r="EL365" s="2040">
        <f t="shared" si="190"/>
        <v>0</v>
      </c>
      <c r="EM365" s="2040">
        <f t="shared" si="190"/>
        <v>0</v>
      </c>
      <c r="EN365" s="2040">
        <f t="shared" si="190"/>
        <v>0</v>
      </c>
      <c r="EO365" s="2040">
        <f t="shared" si="226"/>
        <v>0</v>
      </c>
      <c r="EP365" s="2040">
        <f t="shared" si="226"/>
        <v>0</v>
      </c>
      <c r="EQ365" s="2040">
        <f t="shared" si="226"/>
        <v>0</v>
      </c>
      <c r="ER365" s="2040">
        <f t="shared" si="226"/>
        <v>0</v>
      </c>
      <c r="ES365" s="2040">
        <f t="shared" si="226"/>
        <v>0</v>
      </c>
      <c r="ET365" s="2040">
        <f t="shared" si="226"/>
        <v>0</v>
      </c>
      <c r="EU365" s="2039">
        <f t="shared" si="214"/>
        <v>0</v>
      </c>
      <c r="EV365" s="2039">
        <f t="shared" si="215"/>
        <v>0</v>
      </c>
    </row>
    <row r="366" spans="1:152" x14ac:dyDescent="0.25">
      <c r="A366" s="2088" t="s">
        <v>241</v>
      </c>
      <c r="B366" s="2093" t="str">
        <f t="shared" si="193"/>
        <v/>
      </c>
      <c r="C366" s="1974">
        <f t="shared" si="229"/>
        <v>15</v>
      </c>
      <c r="D366" s="1974">
        <f t="shared" si="229"/>
        <v>0</v>
      </c>
      <c r="E366" s="1974">
        <f t="shared" si="229"/>
        <v>0</v>
      </c>
      <c r="F366" s="1974">
        <f t="shared" si="229"/>
        <v>5.1875000000000004E-2</v>
      </c>
      <c r="G366" s="1974" t="s">
        <v>2997</v>
      </c>
      <c r="H366" s="1974" t="s">
        <v>2997</v>
      </c>
      <c r="I366" s="2026">
        <v>0.96199999999999997</v>
      </c>
      <c r="J366" s="2026">
        <v>0.96199999999999997</v>
      </c>
      <c r="K366" s="2026">
        <v>0.96199999999999997</v>
      </c>
      <c r="L366" s="2026">
        <v>0.96199999999999997</v>
      </c>
      <c r="M366" s="2027">
        <f t="shared" si="205"/>
        <v>0</v>
      </c>
      <c r="N366" s="2027">
        <f t="shared" si="205"/>
        <v>0</v>
      </c>
      <c r="O366" s="2027">
        <f t="shared" si="205"/>
        <v>0</v>
      </c>
      <c r="P366" s="2027">
        <f t="shared" si="194"/>
        <v>0</v>
      </c>
      <c r="Q366" s="2026">
        <v>0.96199999999999997</v>
      </c>
      <c r="R366" s="2026">
        <v>0.96199999999999997</v>
      </c>
      <c r="S366" s="2026">
        <v>0.96199999999999997</v>
      </c>
      <c r="T366" s="2026">
        <v>0.96199999999999997</v>
      </c>
      <c r="U366" s="2028">
        <f t="shared" si="206"/>
        <v>0</v>
      </c>
      <c r="V366" s="2028">
        <f t="shared" si="206"/>
        <v>0</v>
      </c>
      <c r="W366" s="2028">
        <f t="shared" si="206"/>
        <v>0</v>
      </c>
      <c r="X366" s="2028">
        <f t="shared" si="195"/>
        <v>0</v>
      </c>
      <c r="Y366" s="2026">
        <v>0.96199999999999997</v>
      </c>
      <c r="Z366" s="2026">
        <v>0.96199999999999997</v>
      </c>
      <c r="AA366" s="2026">
        <v>0.96199999999999997</v>
      </c>
      <c r="AB366" s="2026">
        <v>0.96199999999999997</v>
      </c>
      <c r="AC366" s="2027">
        <f t="shared" si="207"/>
        <v>4.9903750000000004E-2</v>
      </c>
      <c r="AD366" s="2027">
        <f t="shared" si="207"/>
        <v>4.9903750000000004E-2</v>
      </c>
      <c r="AE366" s="2027">
        <f t="shared" si="207"/>
        <v>4.9903750000000004E-2</v>
      </c>
      <c r="AF366" s="2027">
        <f t="shared" si="196"/>
        <v>4.9903750000000004E-2</v>
      </c>
      <c r="AG366" s="2027">
        <v>0</v>
      </c>
      <c r="AH366" s="2028">
        <v>0</v>
      </c>
      <c r="AI366" s="2028">
        <v>0</v>
      </c>
      <c r="AJ366" s="2028">
        <v>0</v>
      </c>
      <c r="AK366" s="2027">
        <f t="shared" si="197"/>
        <v>0</v>
      </c>
      <c r="AL366" s="2027">
        <f t="shared" si="198"/>
        <v>0</v>
      </c>
      <c r="AM366" s="2027">
        <f t="shared" si="198"/>
        <v>0</v>
      </c>
      <c r="AN366" s="2027">
        <f t="shared" si="198"/>
        <v>0</v>
      </c>
      <c r="AO366" s="2027">
        <f t="shared" si="208"/>
        <v>0</v>
      </c>
      <c r="AP366" s="2027">
        <f t="shared" si="199"/>
        <v>0</v>
      </c>
      <c r="AQ366" s="2027">
        <f t="shared" si="199"/>
        <v>0</v>
      </c>
      <c r="AR366" s="2027">
        <f t="shared" si="199"/>
        <v>0</v>
      </c>
      <c r="AS366" s="2124">
        <f>AS122*1.5</f>
        <v>0</v>
      </c>
      <c r="AT366" s="2029">
        <f t="shared" si="200"/>
        <v>0</v>
      </c>
      <c r="AU366" s="2029">
        <f t="shared" si="200"/>
        <v>0</v>
      </c>
      <c r="AV366" s="2029">
        <f t="shared" si="200"/>
        <v>0</v>
      </c>
      <c r="AW366" s="2124">
        <f t="shared" si="228"/>
        <v>5.2</v>
      </c>
      <c r="AX366" s="2029">
        <f t="shared" si="216"/>
        <v>5.2</v>
      </c>
      <c r="AY366" s="2029">
        <f t="shared" si="216"/>
        <v>5.2</v>
      </c>
      <c r="AZ366" s="2029">
        <f t="shared" si="216"/>
        <v>5.2</v>
      </c>
      <c r="BA366" s="2124">
        <f t="shared" si="231"/>
        <v>6</v>
      </c>
      <c r="BB366" s="2029">
        <f t="shared" si="231"/>
        <v>6</v>
      </c>
      <c r="BC366" s="2029">
        <f t="shared" si="231"/>
        <v>6</v>
      </c>
      <c r="BD366" s="2029">
        <f t="shared" si="231"/>
        <v>6</v>
      </c>
      <c r="BE366" s="2030">
        <f t="shared" si="202"/>
        <v>0</v>
      </c>
      <c r="BF366" s="2030">
        <f t="shared" si="202"/>
        <v>0</v>
      </c>
      <c r="BG366" s="2030">
        <f t="shared" si="202"/>
        <v>0</v>
      </c>
      <c r="BH366" s="2030">
        <f t="shared" si="191"/>
        <v>0</v>
      </c>
      <c r="BI366" s="2030">
        <f t="shared" si="203"/>
        <v>0</v>
      </c>
      <c r="BJ366" s="2030">
        <f t="shared" si="203"/>
        <v>0</v>
      </c>
      <c r="BK366" s="2030">
        <f t="shared" si="203"/>
        <v>0</v>
      </c>
      <c r="BL366" s="2030">
        <f t="shared" si="192"/>
        <v>0</v>
      </c>
      <c r="BM366" s="2125"/>
      <c r="BN366" s="2125"/>
      <c r="BO366" s="2125"/>
      <c r="BP366" s="2125"/>
      <c r="BQ366" s="2125"/>
      <c r="BR366" s="2125"/>
      <c r="BS366" s="2125"/>
      <c r="BT366" s="2125"/>
      <c r="BU366" s="2029"/>
      <c r="BV366" s="2029"/>
      <c r="BW366" s="2029"/>
      <c r="BX366" s="2029"/>
      <c r="BY366" s="2029"/>
      <c r="BZ366" s="2032"/>
      <c r="CA366" s="1974">
        <f t="shared" si="230"/>
        <v>0</v>
      </c>
      <c r="CB366" s="1974">
        <f t="shared" si="230"/>
        <v>0</v>
      </c>
      <c r="CC366" s="1974">
        <f t="shared" si="230"/>
        <v>0</v>
      </c>
      <c r="CD366" s="1974">
        <f t="shared" si="230"/>
        <v>0</v>
      </c>
      <c r="CE366" s="1974">
        <f t="shared" si="230"/>
        <v>0</v>
      </c>
      <c r="CF366" s="2033">
        <v>0</v>
      </c>
      <c r="CG366" s="2026">
        <v>0</v>
      </c>
      <c r="CH366" s="2009">
        <f t="shared" si="230"/>
        <v>0</v>
      </c>
      <c r="CI366" s="2031">
        <f t="shared" si="230"/>
        <v>0</v>
      </c>
      <c r="CJ366" s="1974">
        <f t="shared" si="230"/>
        <v>0</v>
      </c>
      <c r="CK366" s="2031">
        <f t="shared" si="230"/>
        <v>0</v>
      </c>
      <c r="CL366" s="2026">
        <v>1</v>
      </c>
      <c r="CM366" s="2026">
        <v>1</v>
      </c>
      <c r="CN366" s="2026">
        <v>1</v>
      </c>
      <c r="CO366" s="2026">
        <v>1</v>
      </c>
      <c r="CP366" s="2035"/>
      <c r="CQ366" s="2036"/>
      <c r="CR366" s="2036"/>
      <c r="CS366" s="2036"/>
      <c r="CT366" s="2036"/>
      <c r="CU366" s="2036"/>
      <c r="CW366" s="1973">
        <v>0</v>
      </c>
      <c r="CX366" s="2037">
        <v>5.2</v>
      </c>
      <c r="CY366" s="2037">
        <v>5.2</v>
      </c>
      <c r="CZ366" s="2037">
        <v>5.2</v>
      </c>
      <c r="DA366" s="2037">
        <v>5.2</v>
      </c>
      <c r="DJ366" s="1976">
        <v>0</v>
      </c>
      <c r="DK366" s="1973">
        <v>0</v>
      </c>
      <c r="DL366" s="1973">
        <v>0</v>
      </c>
      <c r="DM366" s="1973">
        <v>0</v>
      </c>
      <c r="DO366" s="1974">
        <v>15</v>
      </c>
      <c r="DP366" s="1974">
        <v>0</v>
      </c>
      <c r="DQ366" s="1974">
        <v>0</v>
      </c>
      <c r="DR366" s="1974">
        <v>5.1875000000000004E-2</v>
      </c>
      <c r="DS366" s="2124">
        <v>0</v>
      </c>
      <c r="DT366" s="2029">
        <v>0</v>
      </c>
      <c r="DU366" s="2029">
        <v>0</v>
      </c>
      <c r="DV366" s="2029">
        <v>0</v>
      </c>
      <c r="DW366" s="2124">
        <v>5.2</v>
      </c>
      <c r="DX366" s="2029">
        <v>5.2</v>
      </c>
      <c r="DY366" s="2029">
        <v>5.2</v>
      </c>
      <c r="DZ366" s="2029">
        <v>5.2</v>
      </c>
      <c r="EA366" s="2124">
        <v>6</v>
      </c>
      <c r="EB366" s="2029">
        <v>6</v>
      </c>
      <c r="EC366" s="2029">
        <v>6</v>
      </c>
      <c r="ED366" s="2029">
        <v>6</v>
      </c>
      <c r="EE366" s="2039">
        <f t="shared" si="213"/>
        <v>0</v>
      </c>
      <c r="EF366" s="2039">
        <f t="shared" si="213"/>
        <v>0</v>
      </c>
      <c r="EG366" s="2039">
        <f t="shared" si="213"/>
        <v>0</v>
      </c>
      <c r="EH366" s="2039">
        <f t="shared" si="213"/>
        <v>0</v>
      </c>
      <c r="EI366" s="2040">
        <f t="shared" si="190"/>
        <v>0</v>
      </c>
      <c r="EJ366" s="2040">
        <f t="shared" si="190"/>
        <v>0</v>
      </c>
      <c r="EK366" s="2040">
        <f t="shared" si="190"/>
        <v>0</v>
      </c>
      <c r="EL366" s="2040">
        <f t="shared" si="190"/>
        <v>0</v>
      </c>
      <c r="EM366" s="2040">
        <f t="shared" si="190"/>
        <v>0</v>
      </c>
      <c r="EN366" s="2040">
        <f t="shared" si="190"/>
        <v>0</v>
      </c>
      <c r="EO366" s="2040">
        <f t="shared" si="226"/>
        <v>0</v>
      </c>
      <c r="EP366" s="2040">
        <f t="shared" si="226"/>
        <v>0</v>
      </c>
      <c r="EQ366" s="2040">
        <f t="shared" si="226"/>
        <v>0</v>
      </c>
      <c r="ER366" s="2040">
        <f t="shared" si="226"/>
        <v>0</v>
      </c>
      <c r="ES366" s="2040">
        <f t="shared" si="226"/>
        <v>0</v>
      </c>
      <c r="ET366" s="2040">
        <f t="shared" si="226"/>
        <v>0</v>
      </c>
      <c r="EU366" s="2039">
        <f t="shared" si="214"/>
        <v>0</v>
      </c>
      <c r="EV366" s="2039">
        <f t="shared" si="215"/>
        <v>0</v>
      </c>
    </row>
    <row r="367" spans="1:152" x14ac:dyDescent="0.25">
      <c r="A367" s="2126" t="s">
        <v>163</v>
      </c>
      <c r="B367" s="2093" t="str">
        <f t="shared" si="193"/>
        <v/>
      </c>
      <c r="C367" s="1974">
        <f t="shared" si="229"/>
        <v>6.6</v>
      </c>
      <c r="D367" s="1974">
        <f t="shared" si="229"/>
        <v>265.27999999999997</v>
      </c>
      <c r="E367" s="1974">
        <f t="shared" si="229"/>
        <v>0.06</v>
      </c>
      <c r="F367" s="1974">
        <f t="shared" si="229"/>
        <v>0</v>
      </c>
      <c r="G367" s="1974" t="s">
        <v>2997</v>
      </c>
      <c r="H367" s="1974" t="s">
        <v>2997</v>
      </c>
      <c r="I367" s="2026">
        <v>0.96199999999999997</v>
      </c>
      <c r="J367" s="2026">
        <v>0.96199999999999997</v>
      </c>
      <c r="K367" s="2026">
        <v>0.96199999999999997</v>
      </c>
      <c r="L367" s="2026">
        <v>0.96199999999999997</v>
      </c>
      <c r="M367" s="2027">
        <f t="shared" si="205"/>
        <v>255.19935999999996</v>
      </c>
      <c r="N367" s="2027">
        <f t="shared" si="205"/>
        <v>255.19935999999996</v>
      </c>
      <c r="O367" s="2027">
        <f t="shared" si="205"/>
        <v>255.19935999999996</v>
      </c>
      <c r="P367" s="2027">
        <f t="shared" si="194"/>
        <v>255.19935999999996</v>
      </c>
      <c r="Q367" s="2026">
        <v>0.96199999999999997</v>
      </c>
      <c r="R367" s="2026">
        <v>0.96199999999999997</v>
      </c>
      <c r="S367" s="2026">
        <v>0.96199999999999997</v>
      </c>
      <c r="T367" s="2026">
        <v>0.96199999999999997</v>
      </c>
      <c r="U367" s="2028">
        <f t="shared" si="206"/>
        <v>5.7719999999999994E-2</v>
      </c>
      <c r="V367" s="2028">
        <f t="shared" si="206"/>
        <v>5.7719999999999994E-2</v>
      </c>
      <c r="W367" s="2028">
        <f t="shared" si="206"/>
        <v>5.7719999999999994E-2</v>
      </c>
      <c r="X367" s="2028">
        <f t="shared" si="195"/>
        <v>5.7719999999999994E-2</v>
      </c>
      <c r="Y367" s="2026">
        <v>0.96199999999999997</v>
      </c>
      <c r="Z367" s="2026">
        <v>0.96199999999999997</v>
      </c>
      <c r="AA367" s="2026">
        <v>0.96199999999999997</v>
      </c>
      <c r="AB367" s="2026">
        <v>0.96199999999999997</v>
      </c>
      <c r="AC367" s="2027">
        <f t="shared" si="207"/>
        <v>0</v>
      </c>
      <c r="AD367" s="2027">
        <f t="shared" si="207"/>
        <v>0</v>
      </c>
      <c r="AE367" s="2027">
        <f t="shared" si="207"/>
        <v>0</v>
      </c>
      <c r="AF367" s="2027">
        <f t="shared" si="196"/>
        <v>0</v>
      </c>
      <c r="AG367" s="2027">
        <v>71</v>
      </c>
      <c r="AH367" s="2027">
        <v>72</v>
      </c>
      <c r="AI367" s="2027">
        <v>72</v>
      </c>
      <c r="AJ367" s="2027">
        <v>73</v>
      </c>
      <c r="AK367" s="2027">
        <f t="shared" si="197"/>
        <v>18119.154559999995</v>
      </c>
      <c r="AL367" s="2027">
        <f t="shared" si="198"/>
        <v>18374.353919999998</v>
      </c>
      <c r="AM367" s="2027">
        <f t="shared" si="198"/>
        <v>18374.353919999998</v>
      </c>
      <c r="AN367" s="2027">
        <f t="shared" si="198"/>
        <v>18629.553279999996</v>
      </c>
      <c r="AO367" s="2027">
        <f t="shared" si="208"/>
        <v>0</v>
      </c>
      <c r="AP367" s="2027">
        <f t="shared" si="199"/>
        <v>0</v>
      </c>
      <c r="AQ367" s="2027">
        <f t="shared" si="199"/>
        <v>0</v>
      </c>
      <c r="AR367" s="2027">
        <f t="shared" si="199"/>
        <v>0</v>
      </c>
      <c r="AS367" s="2124">
        <v>38</v>
      </c>
      <c r="AT367" s="2029">
        <f t="shared" si="200"/>
        <v>38</v>
      </c>
      <c r="AU367" s="2029">
        <f t="shared" si="200"/>
        <v>38</v>
      </c>
      <c r="AV367" s="2029">
        <f t="shared" si="200"/>
        <v>38</v>
      </c>
      <c r="AW367" s="2124">
        <f t="shared" si="228"/>
        <v>0</v>
      </c>
      <c r="AX367" s="2029">
        <f t="shared" si="216"/>
        <v>0</v>
      </c>
      <c r="AY367" s="2029">
        <f t="shared" si="216"/>
        <v>0</v>
      </c>
      <c r="AZ367" s="2029">
        <f t="shared" si="216"/>
        <v>0</v>
      </c>
      <c r="BA367" s="2124">
        <f t="shared" si="231"/>
        <v>17.5</v>
      </c>
      <c r="BB367" s="2029">
        <f t="shared" si="231"/>
        <v>17.5</v>
      </c>
      <c r="BC367" s="2029">
        <f t="shared" si="231"/>
        <v>17.5</v>
      </c>
      <c r="BD367" s="2029">
        <f t="shared" si="231"/>
        <v>17.5</v>
      </c>
      <c r="BE367" s="2030">
        <f t="shared" si="202"/>
        <v>2698</v>
      </c>
      <c r="BF367" s="2030">
        <f t="shared" si="202"/>
        <v>2736</v>
      </c>
      <c r="BG367" s="2030">
        <f t="shared" si="202"/>
        <v>2736</v>
      </c>
      <c r="BH367" s="2030">
        <f t="shared" si="191"/>
        <v>2774</v>
      </c>
      <c r="BI367" s="2030">
        <f t="shared" si="203"/>
        <v>0</v>
      </c>
      <c r="BJ367" s="2030">
        <f t="shared" si="203"/>
        <v>0</v>
      </c>
      <c r="BK367" s="2030">
        <f t="shared" si="203"/>
        <v>0</v>
      </c>
      <c r="BL367" s="2030">
        <f t="shared" si="192"/>
        <v>0</v>
      </c>
      <c r="BM367" s="2125"/>
      <c r="BN367" s="2125"/>
      <c r="BO367" s="2125"/>
      <c r="BP367" s="2125"/>
      <c r="BQ367" s="2125"/>
      <c r="BR367" s="2125"/>
      <c r="BS367" s="2125"/>
      <c r="BT367" s="2125"/>
      <c r="BU367" s="2029"/>
      <c r="BV367" s="2029"/>
      <c r="BW367" s="2029"/>
      <c r="BX367" s="2029"/>
      <c r="BY367" s="2029"/>
      <c r="BZ367" s="2032"/>
      <c r="CA367" s="1974">
        <f t="shared" si="230"/>
        <v>0</v>
      </c>
      <c r="CB367" s="1974">
        <f t="shared" si="230"/>
        <v>0</v>
      </c>
      <c r="CC367" s="1974">
        <f t="shared" si="230"/>
        <v>0</v>
      </c>
      <c r="CD367" s="1974">
        <f t="shared" si="230"/>
        <v>0</v>
      </c>
      <c r="CE367" s="1974">
        <f t="shared" si="230"/>
        <v>0</v>
      </c>
      <c r="CF367" s="2033">
        <v>7.5744168556337004E-5</v>
      </c>
      <c r="CG367" s="2026">
        <v>0</v>
      </c>
      <c r="CH367" s="2009">
        <f t="shared" si="230"/>
        <v>0</v>
      </c>
      <c r="CI367" s="2031">
        <f t="shared" si="230"/>
        <v>0</v>
      </c>
      <c r="CJ367" s="1974">
        <f t="shared" si="230"/>
        <v>0</v>
      </c>
      <c r="CK367" s="2031">
        <f t="shared" si="230"/>
        <v>0</v>
      </c>
      <c r="CL367" s="2026">
        <v>1</v>
      </c>
      <c r="CM367" s="2026">
        <v>1</v>
      </c>
      <c r="CN367" s="2026">
        <v>1</v>
      </c>
      <c r="CO367" s="2026">
        <v>1</v>
      </c>
      <c r="CP367" s="2035"/>
      <c r="CQ367" s="2036"/>
      <c r="CR367" s="2036"/>
      <c r="CS367" s="2036"/>
      <c r="CT367" s="2036"/>
      <c r="CU367" s="2036"/>
      <c r="CW367" s="1973">
        <v>3</v>
      </c>
      <c r="CX367" s="2037">
        <v>38</v>
      </c>
      <c r="CY367" s="2037">
        <v>38</v>
      </c>
      <c r="CZ367" s="2037">
        <v>38</v>
      </c>
      <c r="DA367" s="2037">
        <v>38</v>
      </c>
      <c r="DJ367" s="1976">
        <v>38</v>
      </c>
      <c r="DK367" s="1973">
        <v>38</v>
      </c>
      <c r="DL367" s="1973">
        <v>38</v>
      </c>
      <c r="DM367" s="1973">
        <v>38</v>
      </c>
      <c r="DO367" s="1974">
        <v>6.6</v>
      </c>
      <c r="DP367" s="1974">
        <v>265.27999999999997</v>
      </c>
      <c r="DQ367" s="1974">
        <v>0.06</v>
      </c>
      <c r="DR367" s="1974">
        <v>0</v>
      </c>
      <c r="DS367" s="2124">
        <v>38</v>
      </c>
      <c r="DT367" s="2029">
        <v>38</v>
      </c>
      <c r="DU367" s="2029">
        <v>38</v>
      </c>
      <c r="DV367" s="2029">
        <v>38</v>
      </c>
      <c r="DW367" s="2124">
        <v>0</v>
      </c>
      <c r="DX367" s="2029">
        <v>0</v>
      </c>
      <c r="DY367" s="2029">
        <v>0</v>
      </c>
      <c r="DZ367" s="2029">
        <v>0</v>
      </c>
      <c r="EA367" s="2124">
        <v>17.5</v>
      </c>
      <c r="EB367" s="2029">
        <v>17.5</v>
      </c>
      <c r="EC367" s="2029">
        <v>17.5</v>
      </c>
      <c r="ED367" s="2029">
        <v>17.5</v>
      </c>
      <c r="EE367" s="2039">
        <f t="shared" si="213"/>
        <v>0</v>
      </c>
      <c r="EF367" s="2039">
        <f t="shared" si="213"/>
        <v>0</v>
      </c>
      <c r="EG367" s="2039">
        <f t="shared" si="213"/>
        <v>0</v>
      </c>
      <c r="EH367" s="2039">
        <f t="shared" si="213"/>
        <v>0</v>
      </c>
      <c r="EI367" s="2040">
        <f t="shared" si="190"/>
        <v>0</v>
      </c>
      <c r="EJ367" s="2040">
        <f t="shared" si="190"/>
        <v>0</v>
      </c>
      <c r="EK367" s="2040">
        <f t="shared" si="190"/>
        <v>0</v>
      </c>
      <c r="EL367" s="2040">
        <f t="shared" si="190"/>
        <v>0</v>
      </c>
      <c r="EM367" s="2040">
        <f t="shared" si="190"/>
        <v>0</v>
      </c>
      <c r="EN367" s="2040">
        <f t="shared" si="190"/>
        <v>0</v>
      </c>
      <c r="EO367" s="2040">
        <f t="shared" si="226"/>
        <v>0</v>
      </c>
      <c r="EP367" s="2040">
        <f t="shared" si="226"/>
        <v>0</v>
      </c>
      <c r="EQ367" s="2040">
        <f t="shared" si="226"/>
        <v>0</v>
      </c>
      <c r="ER367" s="2040">
        <f t="shared" si="226"/>
        <v>0</v>
      </c>
      <c r="ES367" s="2040">
        <f t="shared" si="226"/>
        <v>0</v>
      </c>
      <c r="ET367" s="2040">
        <f t="shared" si="226"/>
        <v>0</v>
      </c>
      <c r="EU367" s="2039">
        <f t="shared" si="214"/>
        <v>0</v>
      </c>
      <c r="EV367" s="2039">
        <f t="shared" si="215"/>
        <v>0</v>
      </c>
    </row>
    <row r="368" spans="1:152" x14ac:dyDescent="0.25">
      <c r="A368" s="2088" t="s">
        <v>164</v>
      </c>
      <c r="B368" s="2093" t="str">
        <f t="shared" si="193"/>
        <v/>
      </c>
      <c r="C368" s="1974">
        <f t="shared" si="229"/>
        <v>15</v>
      </c>
      <c r="D368" s="1974">
        <f t="shared" si="229"/>
        <v>448.9</v>
      </c>
      <c r="E368" s="1974">
        <f t="shared" si="229"/>
        <v>0.216</v>
      </c>
      <c r="F368" s="1974">
        <f t="shared" si="229"/>
        <v>0</v>
      </c>
      <c r="G368" s="1974" t="s">
        <v>2997</v>
      </c>
      <c r="H368" s="1974" t="s">
        <v>2997</v>
      </c>
      <c r="I368" s="2026">
        <v>0.96199999999999997</v>
      </c>
      <c r="J368" s="2026">
        <v>0.96199999999999997</v>
      </c>
      <c r="K368" s="2026">
        <v>0.96199999999999997</v>
      </c>
      <c r="L368" s="2026">
        <v>0.96199999999999997</v>
      </c>
      <c r="M368" s="2027">
        <f t="shared" si="205"/>
        <v>431.84179999999998</v>
      </c>
      <c r="N368" s="2027">
        <f t="shared" si="205"/>
        <v>431.84179999999998</v>
      </c>
      <c r="O368" s="2027">
        <f t="shared" si="205"/>
        <v>431.84179999999998</v>
      </c>
      <c r="P368" s="2027">
        <f t="shared" si="194"/>
        <v>431.84179999999998</v>
      </c>
      <c r="Q368" s="2026">
        <v>0.96199999999999997</v>
      </c>
      <c r="R368" s="2026">
        <v>0.96199999999999997</v>
      </c>
      <c r="S368" s="2026">
        <v>0.96199999999999997</v>
      </c>
      <c r="T368" s="2026">
        <v>0.96199999999999997</v>
      </c>
      <c r="U368" s="2028">
        <f t="shared" si="206"/>
        <v>0.20779199999999998</v>
      </c>
      <c r="V368" s="2028">
        <f t="shared" si="206"/>
        <v>0.20779199999999998</v>
      </c>
      <c r="W368" s="2028">
        <f t="shared" si="206"/>
        <v>0.20779199999999998</v>
      </c>
      <c r="X368" s="2028">
        <f t="shared" si="195"/>
        <v>0.20779199999999998</v>
      </c>
      <c r="Y368" s="2026">
        <v>0.96199999999999997</v>
      </c>
      <c r="Z368" s="2026">
        <v>0.96199999999999997</v>
      </c>
      <c r="AA368" s="2026">
        <v>0.96199999999999997</v>
      </c>
      <c r="AB368" s="2026">
        <v>0.96199999999999997</v>
      </c>
      <c r="AC368" s="2027">
        <f t="shared" si="207"/>
        <v>0</v>
      </c>
      <c r="AD368" s="2027">
        <f t="shared" si="207"/>
        <v>0</v>
      </c>
      <c r="AE368" s="2027">
        <f t="shared" si="207"/>
        <v>0</v>
      </c>
      <c r="AF368" s="2027">
        <f t="shared" si="196"/>
        <v>0</v>
      </c>
      <c r="AG368" s="2027">
        <v>0</v>
      </c>
      <c r="AH368" s="2028"/>
      <c r="AI368" s="2028"/>
      <c r="AJ368" s="2028"/>
      <c r="AK368" s="2027">
        <f t="shared" si="197"/>
        <v>0</v>
      </c>
      <c r="AL368" s="2027">
        <f t="shared" si="198"/>
        <v>0</v>
      </c>
      <c r="AM368" s="2027">
        <f t="shared" si="198"/>
        <v>0</v>
      </c>
      <c r="AN368" s="2027">
        <f t="shared" si="198"/>
        <v>0</v>
      </c>
      <c r="AO368" s="2027">
        <f t="shared" si="208"/>
        <v>0</v>
      </c>
      <c r="AP368" s="2027">
        <f t="shared" si="199"/>
        <v>0</v>
      </c>
      <c r="AQ368" s="2027">
        <f t="shared" si="199"/>
        <v>0</v>
      </c>
      <c r="AR368" s="2027">
        <f t="shared" si="199"/>
        <v>0</v>
      </c>
      <c r="AS368" s="2124">
        <f>AS124*1.5</f>
        <v>60</v>
      </c>
      <c r="AT368" s="2029">
        <f t="shared" si="200"/>
        <v>60</v>
      </c>
      <c r="AU368" s="2029">
        <f t="shared" si="200"/>
        <v>60</v>
      </c>
      <c r="AV368" s="2029">
        <f t="shared" si="200"/>
        <v>60</v>
      </c>
      <c r="AW368" s="2124">
        <f t="shared" si="228"/>
        <v>0</v>
      </c>
      <c r="AX368" s="2029">
        <f t="shared" si="216"/>
        <v>0</v>
      </c>
      <c r="AY368" s="2029">
        <f t="shared" si="216"/>
        <v>0</v>
      </c>
      <c r="AZ368" s="2029">
        <f t="shared" si="216"/>
        <v>0</v>
      </c>
      <c r="BA368" s="2124">
        <f t="shared" si="231"/>
        <v>60.4</v>
      </c>
      <c r="BB368" s="2029">
        <f t="shared" si="231"/>
        <v>60.4</v>
      </c>
      <c r="BC368" s="2029">
        <f t="shared" si="231"/>
        <v>60.4</v>
      </c>
      <c r="BD368" s="2029">
        <f t="shared" si="231"/>
        <v>60.4</v>
      </c>
      <c r="BE368" s="2030">
        <f t="shared" si="202"/>
        <v>0</v>
      </c>
      <c r="BF368" s="2030">
        <f t="shared" si="202"/>
        <v>0</v>
      </c>
      <c r="BG368" s="2030">
        <f t="shared" si="202"/>
        <v>0</v>
      </c>
      <c r="BH368" s="2030">
        <f t="shared" si="191"/>
        <v>0</v>
      </c>
      <c r="BI368" s="2030">
        <f t="shared" si="203"/>
        <v>0</v>
      </c>
      <c r="BJ368" s="2030">
        <f t="shared" si="203"/>
        <v>0</v>
      </c>
      <c r="BK368" s="2030">
        <f t="shared" si="203"/>
        <v>0</v>
      </c>
      <c r="BL368" s="2030">
        <f t="shared" si="192"/>
        <v>0</v>
      </c>
      <c r="BM368" s="2125"/>
      <c r="BN368" s="2125"/>
      <c r="BO368" s="2125"/>
      <c r="BP368" s="2125"/>
      <c r="BQ368" s="2125"/>
      <c r="BR368" s="2125"/>
      <c r="BS368" s="2125"/>
      <c r="BT368" s="2125"/>
      <c r="BU368" s="2029"/>
      <c r="BV368" s="2029"/>
      <c r="BW368" s="2029"/>
      <c r="BX368" s="2029"/>
      <c r="BY368" s="2029"/>
      <c r="BZ368" s="2032"/>
      <c r="CA368" s="1974">
        <f t="shared" si="230"/>
        <v>0</v>
      </c>
      <c r="CB368" s="1974">
        <f t="shared" si="230"/>
        <v>0</v>
      </c>
      <c r="CC368" s="1974">
        <f t="shared" si="230"/>
        <v>0</v>
      </c>
      <c r="CD368" s="1974">
        <f t="shared" si="230"/>
        <v>0</v>
      </c>
      <c r="CE368" s="1974">
        <f t="shared" si="230"/>
        <v>0</v>
      </c>
      <c r="CF368" s="2033">
        <v>0</v>
      </c>
      <c r="CG368" s="2026">
        <v>0</v>
      </c>
      <c r="CH368" s="2009">
        <f t="shared" si="230"/>
        <v>0</v>
      </c>
      <c r="CI368" s="2031">
        <f t="shared" si="230"/>
        <v>0</v>
      </c>
      <c r="CJ368" s="1974">
        <f t="shared" si="230"/>
        <v>0</v>
      </c>
      <c r="CK368" s="2031">
        <f t="shared" si="230"/>
        <v>0</v>
      </c>
      <c r="CL368" s="2026">
        <v>1</v>
      </c>
      <c r="CM368" s="2026">
        <v>1</v>
      </c>
      <c r="CN368" s="2026">
        <v>1</v>
      </c>
      <c r="CO368" s="2026">
        <v>1</v>
      </c>
      <c r="CP368" s="2035"/>
      <c r="CQ368" s="2036"/>
      <c r="CR368" s="2036"/>
      <c r="CS368" s="2036"/>
      <c r="CT368" s="2036"/>
      <c r="CU368" s="2036"/>
      <c r="CW368" s="1973">
        <v>0</v>
      </c>
      <c r="CX368" s="2037">
        <v>60</v>
      </c>
      <c r="CY368" s="2037">
        <v>60</v>
      </c>
      <c r="CZ368" s="2037">
        <v>60</v>
      </c>
      <c r="DA368" s="2037">
        <v>60</v>
      </c>
      <c r="DJ368" s="1976">
        <v>60</v>
      </c>
      <c r="DK368" s="1973">
        <v>60</v>
      </c>
      <c r="DL368" s="1973">
        <v>60</v>
      </c>
      <c r="DM368" s="1973">
        <v>60</v>
      </c>
      <c r="DO368" s="1974">
        <v>15</v>
      </c>
      <c r="DP368" s="1974">
        <v>448.9</v>
      </c>
      <c r="DQ368" s="1974">
        <v>0.216</v>
      </c>
      <c r="DR368" s="1974">
        <v>0</v>
      </c>
      <c r="DS368" s="2124">
        <v>60</v>
      </c>
      <c r="DT368" s="2029">
        <v>60</v>
      </c>
      <c r="DU368" s="2029">
        <v>60</v>
      </c>
      <c r="DV368" s="2029">
        <v>60</v>
      </c>
      <c r="DW368" s="2124">
        <v>0</v>
      </c>
      <c r="DX368" s="2029">
        <v>0</v>
      </c>
      <c r="DY368" s="2029">
        <v>0</v>
      </c>
      <c r="DZ368" s="2029">
        <v>0</v>
      </c>
      <c r="EA368" s="2124">
        <v>60.4</v>
      </c>
      <c r="EB368" s="2029">
        <v>60.4</v>
      </c>
      <c r="EC368" s="2029">
        <v>60.4</v>
      </c>
      <c r="ED368" s="2029">
        <v>60.4</v>
      </c>
      <c r="EE368" s="2039">
        <f t="shared" si="213"/>
        <v>0</v>
      </c>
      <c r="EF368" s="2039">
        <f t="shared" si="213"/>
        <v>0</v>
      </c>
      <c r="EG368" s="2039">
        <f t="shared" si="213"/>
        <v>0</v>
      </c>
      <c r="EH368" s="2039">
        <f t="shared" si="213"/>
        <v>0</v>
      </c>
      <c r="EI368" s="2040">
        <f t="shared" si="190"/>
        <v>0</v>
      </c>
      <c r="EJ368" s="2040">
        <f t="shared" si="190"/>
        <v>0</v>
      </c>
      <c r="EK368" s="2040">
        <f t="shared" si="190"/>
        <v>0</v>
      </c>
      <c r="EL368" s="2040">
        <f t="shared" si="190"/>
        <v>0</v>
      </c>
      <c r="EM368" s="2040">
        <f t="shared" si="190"/>
        <v>0</v>
      </c>
      <c r="EN368" s="2040">
        <f t="shared" si="190"/>
        <v>0</v>
      </c>
      <c r="EO368" s="2040">
        <f t="shared" si="226"/>
        <v>0</v>
      </c>
      <c r="EP368" s="2040">
        <f t="shared" si="226"/>
        <v>0</v>
      </c>
      <c r="EQ368" s="2040">
        <f t="shared" si="226"/>
        <v>0</v>
      </c>
      <c r="ER368" s="2040">
        <f t="shared" si="226"/>
        <v>0</v>
      </c>
      <c r="ES368" s="2040">
        <f t="shared" si="226"/>
        <v>0</v>
      </c>
      <c r="ET368" s="2040">
        <f t="shared" si="226"/>
        <v>0</v>
      </c>
      <c r="EU368" s="2039">
        <f t="shared" si="214"/>
        <v>0</v>
      </c>
      <c r="EV368" s="2039">
        <f t="shared" si="215"/>
        <v>0</v>
      </c>
    </row>
    <row r="369" spans="1:152" x14ac:dyDescent="0.25">
      <c r="A369" s="2088" t="s">
        <v>165</v>
      </c>
      <c r="B369" s="2093" t="str">
        <f t="shared" si="193"/>
        <v>BPCK23</v>
      </c>
      <c r="C369" s="1974">
        <f t="shared" si="229"/>
        <v>12</v>
      </c>
      <c r="D369" s="1974">
        <f t="shared" si="229"/>
        <v>2200</v>
      </c>
      <c r="E369" s="1974">
        <f t="shared" si="229"/>
        <v>0.4</v>
      </c>
      <c r="F369" s="1974">
        <f t="shared" si="229"/>
        <v>0</v>
      </c>
      <c r="G369" s="1974" t="s">
        <v>2997</v>
      </c>
      <c r="H369" s="1974" t="s">
        <v>2997</v>
      </c>
      <c r="I369" s="2026">
        <v>0.96199999999999997</v>
      </c>
      <c r="J369" s="2026">
        <v>0.96199999999999997</v>
      </c>
      <c r="K369" s="2026">
        <v>0.96199999999999997</v>
      </c>
      <c r="L369" s="2026">
        <v>0.96199999999999997</v>
      </c>
      <c r="M369" s="2027">
        <f t="shared" si="205"/>
        <v>2116.4</v>
      </c>
      <c r="N369" s="2027">
        <f t="shared" si="205"/>
        <v>2116.4</v>
      </c>
      <c r="O369" s="2027">
        <f t="shared" si="205"/>
        <v>2116.4</v>
      </c>
      <c r="P369" s="2027">
        <f t="shared" si="194"/>
        <v>2116.4</v>
      </c>
      <c r="Q369" s="2026">
        <v>0.96199999999999997</v>
      </c>
      <c r="R369" s="2026">
        <v>0.96199999999999997</v>
      </c>
      <c r="S369" s="2026">
        <v>0.96199999999999997</v>
      </c>
      <c r="T369" s="2026">
        <v>0.96199999999999997</v>
      </c>
      <c r="U369" s="2028">
        <f t="shared" si="206"/>
        <v>0.38480000000000003</v>
      </c>
      <c r="V369" s="2028">
        <f t="shared" si="206"/>
        <v>0.38480000000000003</v>
      </c>
      <c r="W369" s="2028">
        <f t="shared" si="206"/>
        <v>0.38480000000000003</v>
      </c>
      <c r="X369" s="2028">
        <f t="shared" si="195"/>
        <v>0.38480000000000003</v>
      </c>
      <c r="Y369" s="2026">
        <v>0.96199999999999997</v>
      </c>
      <c r="Z369" s="2026">
        <v>0.96199999999999997</v>
      </c>
      <c r="AA369" s="2026">
        <v>0.96199999999999997</v>
      </c>
      <c r="AB369" s="2026">
        <v>0.96199999999999997</v>
      </c>
      <c r="AC369" s="2027">
        <f t="shared" si="207"/>
        <v>0</v>
      </c>
      <c r="AD369" s="2027">
        <f t="shared" si="207"/>
        <v>0</v>
      </c>
      <c r="AE369" s="2027">
        <f t="shared" si="207"/>
        <v>0</v>
      </c>
      <c r="AF369" s="2027">
        <f t="shared" si="196"/>
        <v>0</v>
      </c>
      <c r="AG369" s="2027">
        <v>0</v>
      </c>
      <c r="AH369" s="2028"/>
      <c r="AI369" s="2028"/>
      <c r="AJ369" s="2028"/>
      <c r="AK369" s="2027">
        <f t="shared" si="197"/>
        <v>0</v>
      </c>
      <c r="AL369" s="2027">
        <f t="shared" si="198"/>
        <v>0</v>
      </c>
      <c r="AM369" s="2027">
        <f t="shared" si="198"/>
        <v>0</v>
      </c>
      <c r="AN369" s="2027">
        <f t="shared" si="198"/>
        <v>0</v>
      </c>
      <c r="AO369" s="2027">
        <f t="shared" si="208"/>
        <v>0</v>
      </c>
      <c r="AP369" s="2027">
        <f t="shared" si="199"/>
        <v>0</v>
      </c>
      <c r="AQ369" s="2027">
        <f t="shared" si="199"/>
        <v>0</v>
      </c>
      <c r="AR369" s="2027">
        <f t="shared" si="199"/>
        <v>0</v>
      </c>
      <c r="AS369" s="2124">
        <f>AS125*1.5</f>
        <v>450</v>
      </c>
      <c r="AT369" s="2029">
        <f t="shared" si="200"/>
        <v>450</v>
      </c>
      <c r="AU369" s="2029">
        <f t="shared" si="200"/>
        <v>450</v>
      </c>
      <c r="AV369" s="2029">
        <f t="shared" si="200"/>
        <v>450</v>
      </c>
      <c r="AW369" s="2124">
        <f t="shared" si="228"/>
        <v>0</v>
      </c>
      <c r="AX369" s="2029">
        <f t="shared" si="216"/>
        <v>0</v>
      </c>
      <c r="AY369" s="2029">
        <f t="shared" si="216"/>
        <v>0</v>
      </c>
      <c r="AZ369" s="2029">
        <f t="shared" si="216"/>
        <v>0</v>
      </c>
      <c r="BA369" s="2124">
        <f t="shared" si="231"/>
        <v>900</v>
      </c>
      <c r="BB369" s="2029">
        <f t="shared" si="231"/>
        <v>900</v>
      </c>
      <c r="BC369" s="2029">
        <f t="shared" si="231"/>
        <v>900</v>
      </c>
      <c r="BD369" s="2029">
        <f t="shared" si="231"/>
        <v>900</v>
      </c>
      <c r="BE369" s="2030">
        <f t="shared" si="202"/>
        <v>0</v>
      </c>
      <c r="BF369" s="2030">
        <f t="shared" si="202"/>
        <v>0</v>
      </c>
      <c r="BG369" s="2030">
        <f t="shared" si="202"/>
        <v>0</v>
      </c>
      <c r="BH369" s="2030">
        <f t="shared" si="191"/>
        <v>0</v>
      </c>
      <c r="BI369" s="2030">
        <f t="shared" si="203"/>
        <v>0</v>
      </c>
      <c r="BJ369" s="2030">
        <f t="shared" si="203"/>
        <v>0</v>
      </c>
      <c r="BK369" s="2030">
        <f t="shared" si="203"/>
        <v>0</v>
      </c>
      <c r="BL369" s="2030">
        <f t="shared" si="192"/>
        <v>0</v>
      </c>
      <c r="BM369" s="2125"/>
      <c r="BN369" s="2125"/>
      <c r="BO369" s="2125"/>
      <c r="BP369" s="2125"/>
      <c r="BQ369" s="2125"/>
      <c r="BR369" s="2125"/>
      <c r="BS369" s="2125"/>
      <c r="BT369" s="2125"/>
      <c r="BU369" s="2029"/>
      <c r="BV369" s="2029"/>
      <c r="BW369" s="2029"/>
      <c r="BX369" s="2029"/>
      <c r="BY369" s="2029"/>
      <c r="BZ369" s="2032"/>
      <c r="CA369" s="1974">
        <f t="shared" si="230"/>
        <v>0</v>
      </c>
      <c r="CB369" s="1974">
        <f t="shared" si="230"/>
        <v>0</v>
      </c>
      <c r="CC369" s="1974">
        <f t="shared" si="230"/>
        <v>0</v>
      </c>
      <c r="CD369" s="1974">
        <f t="shared" si="230"/>
        <v>0</v>
      </c>
      <c r="CE369" s="1974">
        <f t="shared" si="230"/>
        <v>0</v>
      </c>
      <c r="CF369" s="2033">
        <v>0</v>
      </c>
      <c r="CG369" s="2026">
        <v>0</v>
      </c>
      <c r="CH369" s="2009">
        <f t="shared" si="230"/>
        <v>0</v>
      </c>
      <c r="CI369" s="2031">
        <f t="shared" si="230"/>
        <v>0</v>
      </c>
      <c r="CJ369" s="1974">
        <f t="shared" si="230"/>
        <v>0</v>
      </c>
      <c r="CK369" s="2031">
        <f t="shared" si="230"/>
        <v>0</v>
      </c>
      <c r="CL369" s="2026">
        <v>1</v>
      </c>
      <c r="CM369" s="2026">
        <v>1</v>
      </c>
      <c r="CN369" s="2026">
        <v>1</v>
      </c>
      <c r="CO369" s="2026">
        <v>1</v>
      </c>
      <c r="CP369" s="2035"/>
      <c r="CQ369" s="2036"/>
      <c r="CR369" s="2036"/>
      <c r="CS369" s="2036"/>
      <c r="CT369" s="2036"/>
      <c r="CU369" s="2036"/>
      <c r="CW369" s="1973">
        <v>0</v>
      </c>
      <c r="CX369" s="2037">
        <v>450</v>
      </c>
      <c r="CY369" s="2037">
        <v>450</v>
      </c>
      <c r="CZ369" s="2037">
        <v>450</v>
      </c>
      <c r="DA369" s="2037">
        <v>450</v>
      </c>
      <c r="DJ369" s="1976">
        <v>450</v>
      </c>
      <c r="DK369" s="1973">
        <v>450</v>
      </c>
      <c r="DL369" s="1973">
        <v>450</v>
      </c>
      <c r="DM369" s="1973">
        <v>450</v>
      </c>
      <c r="DO369" s="1974">
        <v>12</v>
      </c>
      <c r="DP369" s="1974">
        <v>2200</v>
      </c>
      <c r="DQ369" s="1974">
        <v>0.4</v>
      </c>
      <c r="DR369" s="1974">
        <v>0</v>
      </c>
      <c r="DS369" s="2124">
        <v>450</v>
      </c>
      <c r="DT369" s="2029">
        <v>450</v>
      </c>
      <c r="DU369" s="2029">
        <v>450</v>
      </c>
      <c r="DV369" s="2029">
        <v>450</v>
      </c>
      <c r="DW369" s="2124">
        <v>0</v>
      </c>
      <c r="DX369" s="2029">
        <v>0</v>
      </c>
      <c r="DY369" s="2029">
        <v>0</v>
      </c>
      <c r="DZ369" s="2029">
        <v>0</v>
      </c>
      <c r="EA369" s="2124">
        <v>900</v>
      </c>
      <c r="EB369" s="2029">
        <v>900</v>
      </c>
      <c r="EC369" s="2029">
        <v>900</v>
      </c>
      <c r="ED369" s="2029">
        <v>900</v>
      </c>
      <c r="EE369" s="2039">
        <f t="shared" si="213"/>
        <v>0</v>
      </c>
      <c r="EF369" s="2039">
        <f t="shared" si="213"/>
        <v>0</v>
      </c>
      <c r="EG369" s="2039">
        <f t="shared" si="213"/>
        <v>0</v>
      </c>
      <c r="EH369" s="2039">
        <f t="shared" si="213"/>
        <v>0</v>
      </c>
      <c r="EI369" s="2040">
        <f t="shared" si="190"/>
        <v>0</v>
      </c>
      <c r="EJ369" s="2040">
        <f t="shared" si="190"/>
        <v>0</v>
      </c>
      <c r="EK369" s="2040">
        <f t="shared" si="190"/>
        <v>0</v>
      </c>
      <c r="EL369" s="2040">
        <f t="shared" si="190"/>
        <v>0</v>
      </c>
      <c r="EM369" s="2040">
        <f t="shared" si="190"/>
        <v>0</v>
      </c>
      <c r="EN369" s="2040">
        <f t="shared" si="190"/>
        <v>0</v>
      </c>
      <c r="EO369" s="2040">
        <f t="shared" si="226"/>
        <v>0</v>
      </c>
      <c r="EP369" s="2040">
        <f t="shared" si="226"/>
        <v>0</v>
      </c>
      <c r="EQ369" s="2040">
        <f t="shared" si="226"/>
        <v>0</v>
      </c>
      <c r="ER369" s="2040">
        <f t="shared" si="226"/>
        <v>0</v>
      </c>
      <c r="ES369" s="2040">
        <f t="shared" si="226"/>
        <v>0</v>
      </c>
      <c r="ET369" s="2040">
        <f t="shared" si="226"/>
        <v>0</v>
      </c>
      <c r="EU369" s="2039">
        <f t="shared" si="214"/>
        <v>0</v>
      </c>
      <c r="EV369" s="2039">
        <f t="shared" si="215"/>
        <v>0</v>
      </c>
    </row>
    <row r="370" spans="1:152" x14ac:dyDescent="0.25">
      <c r="A370" s="2088" t="s">
        <v>166</v>
      </c>
      <c r="B370" s="2093" t="str">
        <f t="shared" si="193"/>
        <v/>
      </c>
      <c r="C370" s="1974">
        <f t="shared" si="229"/>
        <v>8</v>
      </c>
      <c r="D370" s="1974">
        <f t="shared" si="229"/>
        <v>312.76</v>
      </c>
      <c r="E370" s="1974">
        <f t="shared" si="229"/>
        <v>2.76E-2</v>
      </c>
      <c r="F370" s="1974">
        <f t="shared" si="229"/>
        <v>0</v>
      </c>
      <c r="G370" s="1974" t="s">
        <v>2997</v>
      </c>
      <c r="H370" s="1974" t="s">
        <v>2997</v>
      </c>
      <c r="I370" s="2026">
        <v>0.96199999999999997</v>
      </c>
      <c r="J370" s="2026">
        <v>0.96199999999999997</v>
      </c>
      <c r="K370" s="2026">
        <v>0.96199999999999997</v>
      </c>
      <c r="L370" s="2026">
        <v>0.96199999999999997</v>
      </c>
      <c r="M370" s="2027">
        <f t="shared" si="205"/>
        <v>300.87511999999998</v>
      </c>
      <c r="N370" s="2027">
        <f t="shared" si="205"/>
        <v>300.87511999999998</v>
      </c>
      <c r="O370" s="2027">
        <f t="shared" si="205"/>
        <v>300.87511999999998</v>
      </c>
      <c r="P370" s="2027">
        <f t="shared" si="194"/>
        <v>300.87511999999998</v>
      </c>
      <c r="Q370" s="2026">
        <v>0.96199999999999997</v>
      </c>
      <c r="R370" s="2026">
        <v>0.96199999999999997</v>
      </c>
      <c r="S370" s="2026">
        <v>0.96199999999999997</v>
      </c>
      <c r="T370" s="2026">
        <v>0.96199999999999997</v>
      </c>
      <c r="U370" s="2028">
        <f t="shared" si="206"/>
        <v>2.6551199999999997E-2</v>
      </c>
      <c r="V370" s="2028">
        <f t="shared" si="206"/>
        <v>2.6551199999999997E-2</v>
      </c>
      <c r="W370" s="2028">
        <f t="shared" si="206"/>
        <v>2.6551199999999997E-2</v>
      </c>
      <c r="X370" s="2028">
        <f t="shared" si="195"/>
        <v>2.6551199999999997E-2</v>
      </c>
      <c r="Y370" s="2026">
        <v>0.96199999999999997</v>
      </c>
      <c r="Z370" s="2026">
        <v>0.96199999999999997</v>
      </c>
      <c r="AA370" s="2026">
        <v>0.96199999999999997</v>
      </c>
      <c r="AB370" s="2026">
        <v>0.96199999999999997</v>
      </c>
      <c r="AC370" s="2027">
        <f t="shared" si="207"/>
        <v>0</v>
      </c>
      <c r="AD370" s="2027">
        <f t="shared" si="207"/>
        <v>0</v>
      </c>
      <c r="AE370" s="2027">
        <f t="shared" si="207"/>
        <v>0</v>
      </c>
      <c r="AF370" s="2027">
        <f t="shared" si="196"/>
        <v>0</v>
      </c>
      <c r="AG370" s="2027">
        <v>0</v>
      </c>
      <c r="AH370" s="2028"/>
      <c r="AI370" s="2028"/>
      <c r="AJ370" s="2028"/>
      <c r="AK370" s="2027">
        <f t="shared" si="197"/>
        <v>0</v>
      </c>
      <c r="AL370" s="2027">
        <f t="shared" si="198"/>
        <v>0</v>
      </c>
      <c r="AM370" s="2027">
        <f t="shared" si="198"/>
        <v>0</v>
      </c>
      <c r="AN370" s="2027">
        <f t="shared" si="198"/>
        <v>0</v>
      </c>
      <c r="AO370" s="2027">
        <f t="shared" si="208"/>
        <v>0</v>
      </c>
      <c r="AP370" s="2027">
        <f t="shared" si="199"/>
        <v>0</v>
      </c>
      <c r="AQ370" s="2027">
        <f t="shared" si="199"/>
        <v>0</v>
      </c>
      <c r="AR370" s="2027">
        <f t="shared" si="199"/>
        <v>0</v>
      </c>
      <c r="AS370" s="2124">
        <f>AS126*1.5</f>
        <v>37.5</v>
      </c>
      <c r="AT370" s="2029">
        <f t="shared" si="200"/>
        <v>37.5</v>
      </c>
      <c r="AU370" s="2029">
        <f t="shared" si="200"/>
        <v>37.5</v>
      </c>
      <c r="AV370" s="2029">
        <f t="shared" si="200"/>
        <v>37.5</v>
      </c>
      <c r="AW370" s="2124">
        <f t="shared" si="228"/>
        <v>0</v>
      </c>
      <c r="AX370" s="2029">
        <f t="shared" si="216"/>
        <v>0</v>
      </c>
      <c r="AY370" s="2029">
        <f t="shared" si="216"/>
        <v>0</v>
      </c>
      <c r="AZ370" s="2029">
        <f t="shared" si="216"/>
        <v>0</v>
      </c>
      <c r="BA370" s="2124">
        <f t="shared" si="231"/>
        <v>110</v>
      </c>
      <c r="BB370" s="2029">
        <f t="shared" si="231"/>
        <v>110</v>
      </c>
      <c r="BC370" s="2029">
        <f t="shared" si="231"/>
        <v>110</v>
      </c>
      <c r="BD370" s="2029">
        <f t="shared" si="231"/>
        <v>110</v>
      </c>
      <c r="BE370" s="2030">
        <f t="shared" si="202"/>
        <v>0</v>
      </c>
      <c r="BF370" s="2030">
        <f t="shared" si="202"/>
        <v>0</v>
      </c>
      <c r="BG370" s="2030">
        <f t="shared" si="202"/>
        <v>0</v>
      </c>
      <c r="BH370" s="2030">
        <f t="shared" si="191"/>
        <v>0</v>
      </c>
      <c r="BI370" s="2030">
        <f t="shared" si="203"/>
        <v>0</v>
      </c>
      <c r="BJ370" s="2030">
        <f t="shared" si="203"/>
        <v>0</v>
      </c>
      <c r="BK370" s="2030">
        <f t="shared" si="203"/>
        <v>0</v>
      </c>
      <c r="BL370" s="2030">
        <f t="shared" si="192"/>
        <v>0</v>
      </c>
      <c r="BM370" s="2125"/>
      <c r="BN370" s="2125"/>
      <c r="BO370" s="2125"/>
      <c r="BP370" s="2125"/>
      <c r="BQ370" s="2125"/>
      <c r="BR370" s="2125"/>
      <c r="BS370" s="2125"/>
      <c r="BT370" s="2125"/>
      <c r="BU370" s="2029"/>
      <c r="BV370" s="2029"/>
      <c r="BW370" s="2029"/>
      <c r="BX370" s="2029"/>
      <c r="BY370" s="2029"/>
      <c r="BZ370" s="2032"/>
      <c r="CA370" s="1974">
        <f t="shared" si="230"/>
        <v>0</v>
      </c>
      <c r="CB370" s="1974">
        <f t="shared" si="230"/>
        <v>0</v>
      </c>
      <c r="CC370" s="1974">
        <f t="shared" si="230"/>
        <v>0</v>
      </c>
      <c r="CD370" s="1974">
        <f t="shared" si="230"/>
        <v>0</v>
      </c>
      <c r="CE370" s="1974">
        <f t="shared" si="230"/>
        <v>0</v>
      </c>
      <c r="CF370" s="2033">
        <v>0</v>
      </c>
      <c r="CG370" s="2026">
        <v>0</v>
      </c>
      <c r="CH370" s="2009">
        <f t="shared" si="230"/>
        <v>0</v>
      </c>
      <c r="CI370" s="2031">
        <f t="shared" si="230"/>
        <v>0</v>
      </c>
      <c r="CJ370" s="1974">
        <f t="shared" si="230"/>
        <v>0</v>
      </c>
      <c r="CK370" s="2031">
        <f t="shared" si="230"/>
        <v>0</v>
      </c>
      <c r="CL370" s="2026">
        <v>1</v>
      </c>
      <c r="CM370" s="2026">
        <v>1</v>
      </c>
      <c r="CN370" s="2026">
        <v>1</v>
      </c>
      <c r="CO370" s="2026">
        <v>1</v>
      </c>
      <c r="CP370" s="2035"/>
      <c r="CQ370" s="2036"/>
      <c r="CR370" s="2036"/>
      <c r="CS370" s="2036"/>
      <c r="CT370" s="2036"/>
      <c r="CU370" s="2036"/>
      <c r="CW370" s="1973">
        <v>0</v>
      </c>
      <c r="CX370" s="2037">
        <v>37.5</v>
      </c>
      <c r="CY370" s="2037">
        <v>37.5</v>
      </c>
      <c r="CZ370" s="2037">
        <v>37.5</v>
      </c>
      <c r="DA370" s="2037">
        <v>37.5</v>
      </c>
      <c r="DJ370" s="1976">
        <v>37.5</v>
      </c>
      <c r="DK370" s="1973">
        <v>37.5</v>
      </c>
      <c r="DL370" s="1973">
        <v>37.5</v>
      </c>
      <c r="DM370" s="1973">
        <v>37.5</v>
      </c>
      <c r="DO370" s="1974">
        <v>10</v>
      </c>
      <c r="DP370" s="1974">
        <v>312.76</v>
      </c>
      <c r="DQ370" s="1974">
        <v>2.76E-2</v>
      </c>
      <c r="DR370" s="1974">
        <v>0</v>
      </c>
      <c r="DS370" s="2124">
        <v>37.5</v>
      </c>
      <c r="DT370" s="2029">
        <v>37.5</v>
      </c>
      <c r="DU370" s="2029">
        <v>37.5</v>
      </c>
      <c r="DV370" s="2029">
        <v>37.5</v>
      </c>
      <c r="DW370" s="2124">
        <v>0</v>
      </c>
      <c r="DX370" s="2029">
        <v>0</v>
      </c>
      <c r="DY370" s="2029">
        <v>0</v>
      </c>
      <c r="DZ370" s="2029">
        <v>0</v>
      </c>
      <c r="EA370" s="2124">
        <v>110</v>
      </c>
      <c r="EB370" s="2029">
        <v>110</v>
      </c>
      <c r="EC370" s="2029">
        <v>110</v>
      </c>
      <c r="ED370" s="2029">
        <v>110</v>
      </c>
      <c r="EE370" s="2039">
        <f t="shared" si="213"/>
        <v>-2</v>
      </c>
      <c r="EF370" s="2039">
        <f t="shared" si="213"/>
        <v>0</v>
      </c>
      <c r="EG370" s="2039">
        <f t="shared" si="213"/>
        <v>0</v>
      </c>
      <c r="EH370" s="2039">
        <f t="shared" si="213"/>
        <v>0</v>
      </c>
      <c r="EI370" s="2040">
        <f t="shared" si="190"/>
        <v>0</v>
      </c>
      <c r="EJ370" s="2040">
        <f t="shared" si="190"/>
        <v>0</v>
      </c>
      <c r="EK370" s="2040">
        <f t="shared" si="190"/>
        <v>0</v>
      </c>
      <c r="EL370" s="2040">
        <f t="shared" si="190"/>
        <v>0</v>
      </c>
      <c r="EM370" s="2040">
        <f t="shared" si="190"/>
        <v>0</v>
      </c>
      <c r="EN370" s="2040">
        <f t="shared" si="190"/>
        <v>0</v>
      </c>
      <c r="EO370" s="2040">
        <f t="shared" si="226"/>
        <v>0</v>
      </c>
      <c r="EP370" s="2040">
        <f t="shared" si="226"/>
        <v>0</v>
      </c>
      <c r="EQ370" s="2040">
        <f t="shared" si="226"/>
        <v>0</v>
      </c>
      <c r="ER370" s="2040">
        <f t="shared" si="226"/>
        <v>0</v>
      </c>
      <c r="ES370" s="2040">
        <f t="shared" si="226"/>
        <v>0</v>
      </c>
      <c r="ET370" s="2040">
        <f t="shared" si="226"/>
        <v>0</v>
      </c>
      <c r="EU370" s="2039">
        <f t="shared" si="214"/>
        <v>-2</v>
      </c>
      <c r="EV370" s="2039">
        <f t="shared" si="215"/>
        <v>-2</v>
      </c>
    </row>
    <row r="371" spans="1:152" x14ac:dyDescent="0.25">
      <c r="A371" s="2126" t="s">
        <v>167</v>
      </c>
      <c r="B371" s="1974" t="str">
        <f t="shared" si="193"/>
        <v/>
      </c>
      <c r="C371" s="1974">
        <f t="shared" si="229"/>
        <v>8</v>
      </c>
      <c r="D371" s="1974">
        <f t="shared" si="229"/>
        <v>4726</v>
      </c>
      <c r="E371" s="1974">
        <f t="shared" si="229"/>
        <v>0</v>
      </c>
      <c r="F371" s="1974">
        <f t="shared" si="229"/>
        <v>73.599999999999994</v>
      </c>
      <c r="G371" s="1974" t="s">
        <v>2997</v>
      </c>
      <c r="H371" s="1974" t="s">
        <v>2997</v>
      </c>
      <c r="I371" s="2026">
        <v>0.96199999999999997</v>
      </c>
      <c r="J371" s="2026">
        <v>0.96199999999999997</v>
      </c>
      <c r="K371" s="2026">
        <v>0.96199999999999997</v>
      </c>
      <c r="L371" s="2026">
        <v>0.96199999999999997</v>
      </c>
      <c r="M371" s="2027">
        <f t="shared" si="205"/>
        <v>4546.4120000000003</v>
      </c>
      <c r="N371" s="2027">
        <f t="shared" si="205"/>
        <v>4546.4120000000003</v>
      </c>
      <c r="O371" s="2027">
        <f t="shared" si="205"/>
        <v>4546.4120000000003</v>
      </c>
      <c r="P371" s="2027">
        <f t="shared" si="194"/>
        <v>4546.4120000000003</v>
      </c>
      <c r="Q371" s="2026">
        <v>0.96199999999999997</v>
      </c>
      <c r="R371" s="2026">
        <v>0.96199999999999997</v>
      </c>
      <c r="S371" s="2026">
        <v>0.96199999999999997</v>
      </c>
      <c r="T371" s="2026">
        <v>0.96199999999999997</v>
      </c>
      <c r="U371" s="2028">
        <f t="shared" si="206"/>
        <v>0</v>
      </c>
      <c r="V371" s="2028">
        <f t="shared" si="206"/>
        <v>0</v>
      </c>
      <c r="W371" s="2028">
        <f t="shared" si="206"/>
        <v>0</v>
      </c>
      <c r="X371" s="2028">
        <f t="shared" si="195"/>
        <v>0</v>
      </c>
      <c r="Y371" s="2026">
        <v>0.96199999999999997</v>
      </c>
      <c r="Z371" s="2026">
        <v>0.96199999999999997</v>
      </c>
      <c r="AA371" s="2026">
        <v>0.96199999999999997</v>
      </c>
      <c r="AB371" s="2026">
        <v>0.96199999999999997</v>
      </c>
      <c r="AC371" s="2027">
        <f t="shared" si="207"/>
        <v>70.80319999999999</v>
      </c>
      <c r="AD371" s="2027">
        <f t="shared" si="207"/>
        <v>70.80319999999999</v>
      </c>
      <c r="AE371" s="2027">
        <f t="shared" si="207"/>
        <v>70.80319999999999</v>
      </c>
      <c r="AF371" s="2027">
        <f t="shared" si="196"/>
        <v>70.80319999999999</v>
      </c>
      <c r="AG371" s="2027">
        <v>34</v>
      </c>
      <c r="AH371" s="2027">
        <v>1</v>
      </c>
      <c r="AI371" s="2027">
        <v>1</v>
      </c>
      <c r="AJ371" s="2027">
        <v>1</v>
      </c>
      <c r="AK371" s="2027">
        <f t="shared" si="197"/>
        <v>154578.008</v>
      </c>
      <c r="AL371" s="2027">
        <f t="shared" si="198"/>
        <v>4546.4120000000003</v>
      </c>
      <c r="AM371" s="2027">
        <f t="shared" si="198"/>
        <v>4546.4120000000003</v>
      </c>
      <c r="AN371" s="2027">
        <f t="shared" si="198"/>
        <v>4546.4120000000003</v>
      </c>
      <c r="AO371" s="2027">
        <f t="shared" si="208"/>
        <v>2407.3087999999998</v>
      </c>
      <c r="AP371" s="2027">
        <f t="shared" si="199"/>
        <v>70.80319999999999</v>
      </c>
      <c r="AQ371" s="2027">
        <f t="shared" si="199"/>
        <v>70.80319999999999</v>
      </c>
      <c r="AR371" s="2027">
        <f t="shared" si="199"/>
        <v>70.80319999999999</v>
      </c>
      <c r="AS371" s="2029">
        <f>DF371</f>
        <v>153.85</v>
      </c>
      <c r="AT371" s="2029">
        <f t="shared" si="200"/>
        <v>153.85</v>
      </c>
      <c r="AU371" s="2029">
        <f t="shared" si="200"/>
        <v>153.85</v>
      </c>
      <c r="AV371" s="2029">
        <f t="shared" si="200"/>
        <v>153.85</v>
      </c>
      <c r="AW371" s="2029">
        <f>CX371-AS371</f>
        <v>27.150000000000006</v>
      </c>
      <c r="AX371" s="2029">
        <f t="shared" si="216"/>
        <v>27.150000000000006</v>
      </c>
      <c r="AY371" s="2029">
        <f t="shared" si="216"/>
        <v>27.150000000000006</v>
      </c>
      <c r="AZ371" s="2029">
        <f t="shared" si="216"/>
        <v>27.150000000000006</v>
      </c>
      <c r="BA371" s="2029">
        <f t="shared" si="231"/>
        <v>181</v>
      </c>
      <c r="BB371" s="2029">
        <f t="shared" si="231"/>
        <v>181</v>
      </c>
      <c r="BC371" s="2029">
        <f t="shared" si="231"/>
        <v>181</v>
      </c>
      <c r="BD371" s="2029">
        <f t="shared" si="231"/>
        <v>181</v>
      </c>
      <c r="BE371" s="2030">
        <f t="shared" si="202"/>
        <v>5230.8999999999996</v>
      </c>
      <c r="BF371" s="2030">
        <f t="shared" si="202"/>
        <v>153.85</v>
      </c>
      <c r="BG371" s="2030">
        <f t="shared" si="202"/>
        <v>153.85</v>
      </c>
      <c r="BH371" s="2030">
        <f t="shared" si="191"/>
        <v>153.85</v>
      </c>
      <c r="BI371" s="2030">
        <f t="shared" si="203"/>
        <v>923.10000000000014</v>
      </c>
      <c r="BJ371" s="2030">
        <f t="shared" si="203"/>
        <v>27.150000000000006</v>
      </c>
      <c r="BK371" s="2030">
        <f t="shared" si="203"/>
        <v>27.150000000000006</v>
      </c>
      <c r="BL371" s="2030">
        <f t="shared" si="192"/>
        <v>27.150000000000006</v>
      </c>
      <c r="BM371" s="2125"/>
      <c r="BN371" s="2125"/>
      <c r="BO371" s="2125"/>
      <c r="BP371" s="2125"/>
      <c r="BQ371" s="2125"/>
      <c r="BR371" s="2125"/>
      <c r="BS371" s="2125"/>
      <c r="BT371" s="2125"/>
      <c r="BU371" s="2029"/>
      <c r="BV371" s="2029"/>
      <c r="BW371" s="2029"/>
      <c r="BX371" s="2029"/>
      <c r="BY371" s="2029"/>
      <c r="BZ371" s="2032"/>
      <c r="CA371" s="1974">
        <f t="shared" si="230"/>
        <v>0</v>
      </c>
      <c r="CB371" s="1974">
        <f t="shared" si="230"/>
        <v>0</v>
      </c>
      <c r="CC371" s="1974">
        <f t="shared" si="230"/>
        <v>0</v>
      </c>
      <c r="CD371" s="1974">
        <f t="shared" si="230"/>
        <v>0</v>
      </c>
      <c r="CE371" s="1974">
        <f t="shared" si="230"/>
        <v>0</v>
      </c>
      <c r="CF371" s="2033">
        <v>6.4618813500837049E-4</v>
      </c>
      <c r="CG371" s="2026">
        <v>8.9811980173701332E-4</v>
      </c>
      <c r="CH371" s="2009">
        <f t="shared" si="230"/>
        <v>0</v>
      </c>
      <c r="CI371" s="2031">
        <f t="shared" si="230"/>
        <v>0</v>
      </c>
      <c r="CJ371" s="1974">
        <f t="shared" si="230"/>
        <v>0</v>
      </c>
      <c r="CK371" s="2031">
        <f t="shared" si="230"/>
        <v>0</v>
      </c>
      <c r="CL371" s="2026">
        <v>1</v>
      </c>
      <c r="CM371" s="2026">
        <v>1</v>
      </c>
      <c r="CN371" s="2026">
        <v>1</v>
      </c>
      <c r="CO371" s="2026">
        <v>1</v>
      </c>
      <c r="CP371" s="2035"/>
      <c r="CQ371" s="2036"/>
      <c r="CR371" s="2036"/>
      <c r="CS371" s="2036"/>
      <c r="CT371" s="2036"/>
      <c r="CU371" s="2036"/>
      <c r="CW371" s="1973">
        <v>0</v>
      </c>
      <c r="CX371" s="2037">
        <v>181</v>
      </c>
      <c r="CY371" s="2037">
        <v>181</v>
      </c>
      <c r="CZ371" s="2037">
        <v>181</v>
      </c>
      <c r="DA371" s="2037">
        <v>181</v>
      </c>
      <c r="DB371" s="2051">
        <v>0.85</v>
      </c>
      <c r="DC371" s="2051">
        <v>0.85</v>
      </c>
      <c r="DD371" s="2051">
        <v>0.85</v>
      </c>
      <c r="DE371" s="2051">
        <v>0.85</v>
      </c>
      <c r="DF371" s="2037">
        <f>DB371*CX371</f>
        <v>153.85</v>
      </c>
      <c r="DG371" s="2037">
        <f>DC371*CY371</f>
        <v>153.85</v>
      </c>
      <c r="DH371" s="2037">
        <f>DD371*CZ371</f>
        <v>153.85</v>
      </c>
      <c r="DI371" s="2037">
        <f>DE371*DA371</f>
        <v>153.85</v>
      </c>
      <c r="DJ371" s="1976">
        <v>90.5</v>
      </c>
      <c r="DK371" s="1973">
        <v>90.5</v>
      </c>
      <c r="DL371" s="1973">
        <v>90.5</v>
      </c>
      <c r="DM371" s="1973">
        <v>90.5</v>
      </c>
      <c r="DO371" s="1974">
        <v>4</v>
      </c>
      <c r="DP371" s="1974">
        <v>4726</v>
      </c>
      <c r="DQ371" s="1974">
        <v>0</v>
      </c>
      <c r="DR371" s="1974">
        <v>73.599999999999994</v>
      </c>
      <c r="DS371" s="2029">
        <v>153.85</v>
      </c>
      <c r="DT371" s="2029">
        <v>153.85</v>
      </c>
      <c r="DU371" s="2029">
        <v>153.85</v>
      </c>
      <c r="DV371" s="2029">
        <v>153.85</v>
      </c>
      <c r="DW371" s="2029">
        <v>27.150000000000006</v>
      </c>
      <c r="DX371" s="2029">
        <v>27.150000000000006</v>
      </c>
      <c r="DY371" s="2029">
        <v>27.150000000000006</v>
      </c>
      <c r="DZ371" s="2029">
        <v>27.150000000000006</v>
      </c>
      <c r="EA371" s="2029">
        <v>181</v>
      </c>
      <c r="EB371" s="2029">
        <v>181</v>
      </c>
      <c r="EC371" s="2029">
        <v>181</v>
      </c>
      <c r="ED371" s="2029">
        <v>181</v>
      </c>
      <c r="EE371" s="2039">
        <f t="shared" si="213"/>
        <v>4</v>
      </c>
      <c r="EF371" s="2039">
        <f t="shared" si="213"/>
        <v>0</v>
      </c>
      <c r="EG371" s="2039">
        <f t="shared" si="213"/>
        <v>0</v>
      </c>
      <c r="EH371" s="2039">
        <f t="shared" si="213"/>
        <v>0</v>
      </c>
      <c r="EI371" s="2040">
        <f t="shared" si="190"/>
        <v>0</v>
      </c>
      <c r="EJ371" s="2040">
        <f t="shared" si="190"/>
        <v>0</v>
      </c>
      <c r="EK371" s="2040">
        <f t="shared" si="190"/>
        <v>0</v>
      </c>
      <c r="EL371" s="2040">
        <f t="shared" si="190"/>
        <v>0</v>
      </c>
      <c r="EM371" s="2040">
        <f t="shared" si="190"/>
        <v>0</v>
      </c>
      <c r="EN371" s="2040">
        <f t="shared" si="190"/>
        <v>0</v>
      </c>
      <c r="EO371" s="2040">
        <f t="shared" si="226"/>
        <v>0</v>
      </c>
      <c r="EP371" s="2040">
        <f t="shared" si="226"/>
        <v>0</v>
      </c>
      <c r="EQ371" s="2040">
        <f t="shared" si="226"/>
        <v>0</v>
      </c>
      <c r="ER371" s="2040">
        <f t="shared" si="226"/>
        <v>0</v>
      </c>
      <c r="ES371" s="2040">
        <f t="shared" si="226"/>
        <v>0</v>
      </c>
      <c r="ET371" s="2040">
        <f t="shared" si="226"/>
        <v>0</v>
      </c>
      <c r="EU371" s="2039">
        <f t="shared" si="214"/>
        <v>4</v>
      </c>
      <c r="EV371" s="2039">
        <f t="shared" si="215"/>
        <v>4</v>
      </c>
    </row>
    <row r="372" spans="1:152" x14ac:dyDescent="0.25">
      <c r="A372" s="2088" t="s">
        <v>242</v>
      </c>
      <c r="B372" s="2093" t="str">
        <f t="shared" si="193"/>
        <v/>
      </c>
      <c r="C372" s="1974">
        <f t="shared" si="229"/>
        <v>15</v>
      </c>
      <c r="D372" s="1974">
        <f t="shared" si="229"/>
        <v>0</v>
      </c>
      <c r="E372" s="1974">
        <f t="shared" si="229"/>
        <v>0</v>
      </c>
      <c r="F372" s="1974">
        <f t="shared" si="229"/>
        <v>10</v>
      </c>
      <c r="G372" s="1974" t="s">
        <v>2997</v>
      </c>
      <c r="H372" s="1974" t="s">
        <v>2997</v>
      </c>
      <c r="I372" s="2026">
        <v>0.96199999999999997</v>
      </c>
      <c r="J372" s="2026">
        <v>0.96199999999999997</v>
      </c>
      <c r="K372" s="2026">
        <v>0.96199999999999997</v>
      </c>
      <c r="L372" s="2026">
        <v>0.96199999999999997</v>
      </c>
      <c r="M372" s="2027">
        <f t="shared" si="205"/>
        <v>0</v>
      </c>
      <c r="N372" s="2027">
        <f t="shared" si="205"/>
        <v>0</v>
      </c>
      <c r="O372" s="2027">
        <f t="shared" si="205"/>
        <v>0</v>
      </c>
      <c r="P372" s="2027">
        <f t="shared" si="194"/>
        <v>0</v>
      </c>
      <c r="Q372" s="2026">
        <v>0.96199999999999997</v>
      </c>
      <c r="R372" s="2026">
        <v>0.96199999999999997</v>
      </c>
      <c r="S372" s="2026">
        <v>0.96199999999999997</v>
      </c>
      <c r="T372" s="2026">
        <v>0.96199999999999997</v>
      </c>
      <c r="U372" s="2028">
        <f t="shared" si="206"/>
        <v>0</v>
      </c>
      <c r="V372" s="2028">
        <f t="shared" si="206"/>
        <v>0</v>
      </c>
      <c r="W372" s="2028">
        <f t="shared" si="206"/>
        <v>0</v>
      </c>
      <c r="X372" s="2028">
        <f t="shared" si="195"/>
        <v>0</v>
      </c>
      <c r="Y372" s="2026">
        <v>0.96199999999999997</v>
      </c>
      <c r="Z372" s="2026">
        <v>0.96199999999999997</v>
      </c>
      <c r="AA372" s="2026">
        <v>0.96199999999999997</v>
      </c>
      <c r="AB372" s="2026">
        <v>0.96199999999999997</v>
      </c>
      <c r="AC372" s="2027">
        <f t="shared" si="207"/>
        <v>9.6199999999999992</v>
      </c>
      <c r="AD372" s="2027">
        <f t="shared" si="207"/>
        <v>9.6199999999999992</v>
      </c>
      <c r="AE372" s="2027">
        <f t="shared" si="207"/>
        <v>9.6199999999999992</v>
      </c>
      <c r="AF372" s="2027">
        <f t="shared" si="196"/>
        <v>9.6199999999999992</v>
      </c>
      <c r="AG372" s="2027">
        <v>0</v>
      </c>
      <c r="AH372" s="2028"/>
      <c r="AI372" s="2028"/>
      <c r="AJ372" s="2028"/>
      <c r="AK372" s="2027">
        <f t="shared" si="197"/>
        <v>0</v>
      </c>
      <c r="AL372" s="2027">
        <f t="shared" si="198"/>
        <v>0</v>
      </c>
      <c r="AM372" s="2027">
        <f t="shared" si="198"/>
        <v>0</v>
      </c>
      <c r="AN372" s="2027">
        <f t="shared" si="198"/>
        <v>0</v>
      </c>
      <c r="AO372" s="2027">
        <f t="shared" si="208"/>
        <v>0</v>
      </c>
      <c r="AP372" s="2027">
        <f t="shared" si="199"/>
        <v>0</v>
      </c>
      <c r="AQ372" s="2027">
        <f t="shared" si="199"/>
        <v>0</v>
      </c>
      <c r="AR372" s="2027">
        <f t="shared" si="199"/>
        <v>0</v>
      </c>
      <c r="AS372" s="2124">
        <f>AS128*1.5</f>
        <v>0</v>
      </c>
      <c r="AT372" s="2029">
        <f t="shared" si="200"/>
        <v>0</v>
      </c>
      <c r="AU372" s="2029">
        <f t="shared" si="200"/>
        <v>0</v>
      </c>
      <c r="AV372" s="2029">
        <f t="shared" si="200"/>
        <v>0</v>
      </c>
      <c r="AW372" s="2124">
        <f>AW128*1.3</f>
        <v>13</v>
      </c>
      <c r="AX372" s="2029">
        <f t="shared" si="216"/>
        <v>13</v>
      </c>
      <c r="AY372" s="2029">
        <f t="shared" si="216"/>
        <v>13</v>
      </c>
      <c r="AZ372" s="2029">
        <f t="shared" si="216"/>
        <v>13</v>
      </c>
      <c r="BA372" s="2124">
        <f t="shared" si="231"/>
        <v>30</v>
      </c>
      <c r="BB372" s="2029">
        <f t="shared" si="231"/>
        <v>30</v>
      </c>
      <c r="BC372" s="2029">
        <f t="shared" si="231"/>
        <v>30</v>
      </c>
      <c r="BD372" s="2029">
        <f t="shared" si="231"/>
        <v>30</v>
      </c>
      <c r="BE372" s="2030">
        <f t="shared" si="202"/>
        <v>0</v>
      </c>
      <c r="BF372" s="2030">
        <f t="shared" si="202"/>
        <v>0</v>
      </c>
      <c r="BG372" s="2030">
        <f t="shared" si="202"/>
        <v>0</v>
      </c>
      <c r="BH372" s="2030">
        <f t="shared" si="191"/>
        <v>0</v>
      </c>
      <c r="BI372" s="2030">
        <f t="shared" si="203"/>
        <v>0</v>
      </c>
      <c r="BJ372" s="2030">
        <f t="shared" si="203"/>
        <v>0</v>
      </c>
      <c r="BK372" s="2030">
        <f t="shared" si="203"/>
        <v>0</v>
      </c>
      <c r="BL372" s="2030">
        <f t="shared" si="192"/>
        <v>0</v>
      </c>
      <c r="BM372" s="2125"/>
      <c r="BN372" s="2125"/>
      <c r="BO372" s="2125"/>
      <c r="BP372" s="2125"/>
      <c r="BQ372" s="2125"/>
      <c r="BR372" s="2125"/>
      <c r="BS372" s="2125"/>
      <c r="BT372" s="2125"/>
      <c r="BU372" s="2029"/>
      <c r="BV372" s="2029"/>
      <c r="BW372" s="2029"/>
      <c r="BX372" s="2029"/>
      <c r="BY372" s="2029"/>
      <c r="BZ372" s="2032"/>
      <c r="CA372" s="1974">
        <f t="shared" si="230"/>
        <v>0</v>
      </c>
      <c r="CB372" s="1974">
        <f t="shared" si="230"/>
        <v>0</v>
      </c>
      <c r="CC372" s="1974">
        <f t="shared" si="230"/>
        <v>0</v>
      </c>
      <c r="CD372" s="1974">
        <f t="shared" si="230"/>
        <v>0</v>
      </c>
      <c r="CE372" s="1974">
        <f t="shared" si="230"/>
        <v>0</v>
      </c>
      <c r="CF372" s="2033">
        <v>0</v>
      </c>
      <c r="CG372" s="2026">
        <v>0</v>
      </c>
      <c r="CH372" s="2009">
        <f t="shared" si="230"/>
        <v>0</v>
      </c>
      <c r="CI372" s="2031">
        <f t="shared" si="230"/>
        <v>0</v>
      </c>
      <c r="CJ372" s="1974">
        <f t="shared" si="230"/>
        <v>0</v>
      </c>
      <c r="CK372" s="2031">
        <f t="shared" si="230"/>
        <v>0</v>
      </c>
      <c r="CL372" s="2026">
        <v>1</v>
      </c>
      <c r="CM372" s="2026">
        <v>1</v>
      </c>
      <c r="CN372" s="2026">
        <v>1</v>
      </c>
      <c r="CO372" s="2026">
        <v>1</v>
      </c>
      <c r="CP372" s="2035"/>
      <c r="CQ372" s="2036"/>
      <c r="CR372" s="2036"/>
      <c r="CS372" s="2036"/>
      <c r="CT372" s="2036"/>
      <c r="CU372" s="2036"/>
      <c r="CW372" s="1973">
        <v>0</v>
      </c>
      <c r="CX372" s="2037">
        <v>13</v>
      </c>
      <c r="CY372" s="2037">
        <v>13</v>
      </c>
      <c r="CZ372" s="2037">
        <v>13</v>
      </c>
      <c r="DA372" s="2037">
        <v>13</v>
      </c>
      <c r="DJ372" s="1976">
        <v>0</v>
      </c>
      <c r="DK372" s="1973">
        <v>0</v>
      </c>
      <c r="DL372" s="1973">
        <v>0</v>
      </c>
      <c r="DM372" s="1973">
        <v>0</v>
      </c>
      <c r="DO372" s="1974">
        <v>15</v>
      </c>
      <c r="DP372" s="1974">
        <v>0</v>
      </c>
      <c r="DQ372" s="1974">
        <v>0</v>
      </c>
      <c r="DR372" s="1974">
        <v>10</v>
      </c>
      <c r="DS372" s="2124">
        <v>0</v>
      </c>
      <c r="DT372" s="2029">
        <v>0</v>
      </c>
      <c r="DU372" s="2029">
        <v>0</v>
      </c>
      <c r="DV372" s="2029">
        <v>0</v>
      </c>
      <c r="DW372" s="2124">
        <v>13</v>
      </c>
      <c r="DX372" s="2029">
        <v>13</v>
      </c>
      <c r="DY372" s="2029">
        <v>13</v>
      </c>
      <c r="DZ372" s="2029">
        <v>13</v>
      </c>
      <c r="EA372" s="2124">
        <v>30</v>
      </c>
      <c r="EB372" s="2029">
        <v>30</v>
      </c>
      <c r="EC372" s="2029">
        <v>30</v>
      </c>
      <c r="ED372" s="2029">
        <v>30</v>
      </c>
      <c r="EE372" s="2039">
        <f t="shared" si="213"/>
        <v>0</v>
      </c>
      <c r="EF372" s="2039">
        <f t="shared" si="213"/>
        <v>0</v>
      </c>
      <c r="EG372" s="2039">
        <f t="shared" si="213"/>
        <v>0</v>
      </c>
      <c r="EH372" s="2039">
        <f t="shared" si="213"/>
        <v>0</v>
      </c>
      <c r="EI372" s="2040">
        <f t="shared" si="190"/>
        <v>0</v>
      </c>
      <c r="EJ372" s="2040">
        <f t="shared" si="190"/>
        <v>0</v>
      </c>
      <c r="EK372" s="2040">
        <f t="shared" si="190"/>
        <v>0</v>
      </c>
      <c r="EL372" s="2040">
        <f t="shared" si="190"/>
        <v>0</v>
      </c>
      <c r="EM372" s="2040">
        <f t="shared" si="190"/>
        <v>0</v>
      </c>
      <c r="EN372" s="2040">
        <f t="shared" si="190"/>
        <v>0</v>
      </c>
      <c r="EO372" s="2040">
        <f t="shared" si="226"/>
        <v>0</v>
      </c>
      <c r="EP372" s="2040">
        <f t="shared" si="226"/>
        <v>0</v>
      </c>
      <c r="EQ372" s="2040">
        <f t="shared" si="226"/>
        <v>0</v>
      </c>
      <c r="ER372" s="2040">
        <f t="shared" si="226"/>
        <v>0</v>
      </c>
      <c r="ES372" s="2040">
        <f t="shared" si="226"/>
        <v>0</v>
      </c>
      <c r="ET372" s="2040">
        <f t="shared" si="226"/>
        <v>0</v>
      </c>
      <c r="EU372" s="2039">
        <f t="shared" si="214"/>
        <v>0</v>
      </c>
      <c r="EV372" s="2039">
        <f t="shared" si="215"/>
        <v>0</v>
      </c>
    </row>
    <row r="373" spans="1:152" x14ac:dyDescent="0.25">
      <c r="A373" s="2088" t="s">
        <v>243</v>
      </c>
      <c r="B373" s="2093" t="str">
        <f t="shared" si="193"/>
        <v/>
      </c>
      <c r="C373" s="1974">
        <f t="shared" si="229"/>
        <v>15</v>
      </c>
      <c r="D373" s="1974">
        <f t="shared" si="229"/>
        <v>651</v>
      </c>
      <c r="E373" s="1974">
        <f t="shared" si="229"/>
        <v>0</v>
      </c>
      <c r="F373" s="1974">
        <f t="shared" si="229"/>
        <v>559</v>
      </c>
      <c r="G373" s="1974" t="s">
        <v>2997</v>
      </c>
      <c r="H373" s="1974" t="s">
        <v>2997</v>
      </c>
      <c r="I373" s="2026">
        <v>0.96199999999999997</v>
      </c>
      <c r="J373" s="2026">
        <v>0.96199999999999997</v>
      </c>
      <c r="K373" s="2026">
        <v>0.96199999999999997</v>
      </c>
      <c r="L373" s="2026">
        <v>0.96199999999999997</v>
      </c>
      <c r="M373" s="2027">
        <f t="shared" si="205"/>
        <v>626.26199999999994</v>
      </c>
      <c r="N373" s="2027">
        <f t="shared" si="205"/>
        <v>626.26199999999994</v>
      </c>
      <c r="O373" s="2027">
        <f t="shared" si="205"/>
        <v>626.26199999999994</v>
      </c>
      <c r="P373" s="2027">
        <f t="shared" si="194"/>
        <v>626.26199999999994</v>
      </c>
      <c r="Q373" s="2026">
        <v>0.96199999999999997</v>
      </c>
      <c r="R373" s="2026">
        <v>0.96199999999999997</v>
      </c>
      <c r="S373" s="2026">
        <v>0.96199999999999997</v>
      </c>
      <c r="T373" s="2026">
        <v>0.96199999999999997</v>
      </c>
      <c r="U373" s="2028">
        <f t="shared" si="206"/>
        <v>0</v>
      </c>
      <c r="V373" s="2028">
        <f t="shared" si="206"/>
        <v>0</v>
      </c>
      <c r="W373" s="2028">
        <f t="shared" si="206"/>
        <v>0</v>
      </c>
      <c r="X373" s="2028">
        <f t="shared" si="195"/>
        <v>0</v>
      </c>
      <c r="Y373" s="2026">
        <v>0.96199999999999997</v>
      </c>
      <c r="Z373" s="2026">
        <v>0.96199999999999997</v>
      </c>
      <c r="AA373" s="2026">
        <v>0.96199999999999997</v>
      </c>
      <c r="AB373" s="2026">
        <v>0.96199999999999997</v>
      </c>
      <c r="AC373" s="2027">
        <f t="shared" si="207"/>
        <v>537.75799999999992</v>
      </c>
      <c r="AD373" s="2027">
        <f t="shared" si="207"/>
        <v>537.75799999999992</v>
      </c>
      <c r="AE373" s="2027">
        <f t="shared" si="207"/>
        <v>537.75799999999992</v>
      </c>
      <c r="AF373" s="2027">
        <f t="shared" si="196"/>
        <v>537.75799999999992</v>
      </c>
      <c r="AG373" s="2027">
        <v>0</v>
      </c>
      <c r="AH373" s="2028"/>
      <c r="AI373" s="2028"/>
      <c r="AJ373" s="2028"/>
      <c r="AK373" s="2027">
        <f t="shared" si="197"/>
        <v>0</v>
      </c>
      <c r="AL373" s="2027">
        <f t="shared" si="198"/>
        <v>0</v>
      </c>
      <c r="AM373" s="2027">
        <f t="shared" si="198"/>
        <v>0</v>
      </c>
      <c r="AN373" s="2027">
        <f t="shared" si="198"/>
        <v>0</v>
      </c>
      <c r="AO373" s="2027">
        <f t="shared" si="208"/>
        <v>0</v>
      </c>
      <c r="AP373" s="2027">
        <f t="shared" si="199"/>
        <v>0</v>
      </c>
      <c r="AQ373" s="2027">
        <f t="shared" si="199"/>
        <v>0</v>
      </c>
      <c r="AR373" s="2027">
        <f t="shared" si="199"/>
        <v>0</v>
      </c>
      <c r="AS373" s="2124">
        <f>AS129*1.5</f>
        <v>60</v>
      </c>
      <c r="AT373" s="2029">
        <f t="shared" si="200"/>
        <v>60</v>
      </c>
      <c r="AU373" s="2029">
        <f t="shared" si="200"/>
        <v>60</v>
      </c>
      <c r="AV373" s="2029">
        <f t="shared" si="200"/>
        <v>60</v>
      </c>
      <c r="AW373" s="2124">
        <f>AW129*1.3</f>
        <v>598</v>
      </c>
      <c r="AX373" s="2029">
        <f t="shared" si="216"/>
        <v>598</v>
      </c>
      <c r="AY373" s="2029">
        <f t="shared" si="216"/>
        <v>598</v>
      </c>
      <c r="AZ373" s="2029">
        <f t="shared" si="216"/>
        <v>598</v>
      </c>
      <c r="BA373" s="2124">
        <f t="shared" si="231"/>
        <v>1200</v>
      </c>
      <c r="BB373" s="2029">
        <f t="shared" si="231"/>
        <v>1200</v>
      </c>
      <c r="BC373" s="2029">
        <f t="shared" si="231"/>
        <v>1200</v>
      </c>
      <c r="BD373" s="2029">
        <f t="shared" si="231"/>
        <v>1200</v>
      </c>
      <c r="BE373" s="2030">
        <f t="shared" si="202"/>
        <v>0</v>
      </c>
      <c r="BF373" s="2030">
        <f t="shared" si="202"/>
        <v>0</v>
      </c>
      <c r="BG373" s="2030">
        <f t="shared" si="202"/>
        <v>0</v>
      </c>
      <c r="BH373" s="2030">
        <f t="shared" si="191"/>
        <v>0</v>
      </c>
      <c r="BI373" s="2030">
        <f t="shared" si="203"/>
        <v>0</v>
      </c>
      <c r="BJ373" s="2030">
        <f t="shared" si="203"/>
        <v>0</v>
      </c>
      <c r="BK373" s="2030">
        <f t="shared" si="203"/>
        <v>0</v>
      </c>
      <c r="BL373" s="2030">
        <f t="shared" si="192"/>
        <v>0</v>
      </c>
      <c r="BM373" s="2125"/>
      <c r="BN373" s="2125"/>
      <c r="BO373" s="2125"/>
      <c r="BP373" s="2125"/>
      <c r="BQ373" s="2125"/>
      <c r="BR373" s="2125"/>
      <c r="BS373" s="2125"/>
      <c r="BT373" s="2125"/>
      <c r="BU373" s="2029"/>
      <c r="BV373" s="2029"/>
      <c r="BW373" s="2029"/>
      <c r="BX373" s="2029"/>
      <c r="BY373" s="2029"/>
      <c r="BZ373" s="2032"/>
      <c r="CA373" s="1974">
        <f t="shared" si="230"/>
        <v>0</v>
      </c>
      <c r="CB373" s="1974">
        <f t="shared" si="230"/>
        <v>0</v>
      </c>
      <c r="CC373" s="1974">
        <f t="shared" si="230"/>
        <v>0</v>
      </c>
      <c r="CD373" s="1974">
        <f t="shared" si="230"/>
        <v>0</v>
      </c>
      <c r="CE373" s="1974">
        <f t="shared" si="230"/>
        <v>0</v>
      </c>
      <c r="CF373" s="2033">
        <v>0</v>
      </c>
      <c r="CG373" s="2026">
        <v>0</v>
      </c>
      <c r="CH373" s="2009">
        <f t="shared" si="230"/>
        <v>0</v>
      </c>
      <c r="CI373" s="2031">
        <f t="shared" si="230"/>
        <v>0</v>
      </c>
      <c r="CJ373" s="1974">
        <f t="shared" si="230"/>
        <v>0</v>
      </c>
      <c r="CK373" s="2031">
        <f t="shared" si="230"/>
        <v>0</v>
      </c>
      <c r="CL373" s="2026">
        <v>1</v>
      </c>
      <c r="CM373" s="2026">
        <v>1</v>
      </c>
      <c r="CN373" s="2026">
        <v>1</v>
      </c>
      <c r="CO373" s="2026">
        <v>1</v>
      </c>
      <c r="CP373" s="2035"/>
      <c r="CQ373" s="2036"/>
      <c r="CR373" s="2036"/>
      <c r="CS373" s="2036"/>
      <c r="CT373" s="2036"/>
      <c r="CU373" s="2036"/>
      <c r="CW373" s="1973">
        <v>0</v>
      </c>
      <c r="CX373" s="2037">
        <v>650</v>
      </c>
      <c r="CY373" s="2037">
        <v>650</v>
      </c>
      <c r="CZ373" s="2037">
        <v>650</v>
      </c>
      <c r="DA373" s="2037">
        <v>650</v>
      </c>
      <c r="DJ373" s="1976">
        <v>0</v>
      </c>
      <c r="DK373" s="1973">
        <v>0</v>
      </c>
      <c r="DL373" s="1973">
        <v>0</v>
      </c>
      <c r="DM373" s="1973">
        <v>0</v>
      </c>
      <c r="DO373" s="1974">
        <v>15</v>
      </c>
      <c r="DP373" s="1974">
        <v>651</v>
      </c>
      <c r="DQ373" s="1974">
        <v>0</v>
      </c>
      <c r="DR373" s="1974">
        <v>559</v>
      </c>
      <c r="DS373" s="2124">
        <v>60</v>
      </c>
      <c r="DT373" s="2029">
        <v>60</v>
      </c>
      <c r="DU373" s="2029">
        <v>60</v>
      </c>
      <c r="DV373" s="2029">
        <v>60</v>
      </c>
      <c r="DW373" s="2124">
        <v>598</v>
      </c>
      <c r="DX373" s="2029">
        <v>598</v>
      </c>
      <c r="DY373" s="2029">
        <v>598</v>
      </c>
      <c r="DZ373" s="2029">
        <v>598</v>
      </c>
      <c r="EA373" s="2124">
        <v>1200</v>
      </c>
      <c r="EB373" s="2029">
        <v>1200</v>
      </c>
      <c r="EC373" s="2029">
        <v>1200</v>
      </c>
      <c r="ED373" s="2029">
        <v>1200</v>
      </c>
      <c r="EE373" s="2039">
        <f t="shared" si="213"/>
        <v>0</v>
      </c>
      <c r="EF373" s="2039">
        <f t="shared" si="213"/>
        <v>0</v>
      </c>
      <c r="EG373" s="2039">
        <f t="shared" si="213"/>
        <v>0</v>
      </c>
      <c r="EH373" s="2039">
        <f t="shared" si="213"/>
        <v>0</v>
      </c>
      <c r="EI373" s="2040">
        <f t="shared" si="190"/>
        <v>0</v>
      </c>
      <c r="EJ373" s="2040">
        <f t="shared" si="190"/>
        <v>0</v>
      </c>
      <c r="EK373" s="2040">
        <f t="shared" si="190"/>
        <v>0</v>
      </c>
      <c r="EL373" s="2040">
        <f t="shared" si="190"/>
        <v>0</v>
      </c>
      <c r="EM373" s="2040">
        <f t="shared" si="190"/>
        <v>0</v>
      </c>
      <c r="EN373" s="2040">
        <f t="shared" si="190"/>
        <v>0</v>
      </c>
      <c r="EO373" s="2040">
        <f t="shared" si="226"/>
        <v>0</v>
      </c>
      <c r="EP373" s="2040">
        <f t="shared" si="226"/>
        <v>0</v>
      </c>
      <c r="EQ373" s="2040">
        <f t="shared" si="226"/>
        <v>0</v>
      </c>
      <c r="ER373" s="2040">
        <f t="shared" si="226"/>
        <v>0</v>
      </c>
      <c r="ES373" s="2040">
        <f t="shared" si="226"/>
        <v>0</v>
      </c>
      <c r="ET373" s="2040">
        <f t="shared" si="226"/>
        <v>0</v>
      </c>
      <c r="EU373" s="2039">
        <f t="shared" si="214"/>
        <v>0</v>
      </c>
      <c r="EV373" s="2039">
        <f t="shared" si="215"/>
        <v>0</v>
      </c>
    </row>
    <row r="374" spans="1:152" x14ac:dyDescent="0.25">
      <c r="A374" s="2126" t="s">
        <v>168</v>
      </c>
      <c r="B374" s="1974" t="str">
        <f t="shared" si="193"/>
        <v/>
      </c>
      <c r="C374" s="1974">
        <f t="shared" si="229"/>
        <v>10</v>
      </c>
      <c r="D374" s="1974">
        <f t="shared" si="229"/>
        <v>4468</v>
      </c>
      <c r="E374" s="1974">
        <f t="shared" si="229"/>
        <v>0</v>
      </c>
      <c r="F374" s="1974">
        <f t="shared" si="229"/>
        <v>623</v>
      </c>
      <c r="G374" s="1974" t="s">
        <v>2997</v>
      </c>
      <c r="H374" s="1974" t="s">
        <v>2997</v>
      </c>
      <c r="I374" s="2026">
        <v>0.96199999999999997</v>
      </c>
      <c r="J374" s="2026">
        <v>0.96199999999999997</v>
      </c>
      <c r="K374" s="2026">
        <v>0.96199999999999997</v>
      </c>
      <c r="L374" s="2026">
        <v>0.96199999999999997</v>
      </c>
      <c r="M374" s="2027">
        <f t="shared" si="205"/>
        <v>4298.2159999999994</v>
      </c>
      <c r="N374" s="2027">
        <f t="shared" si="205"/>
        <v>4298.2159999999994</v>
      </c>
      <c r="O374" s="2027">
        <f t="shared" si="205"/>
        <v>4298.2159999999994</v>
      </c>
      <c r="P374" s="2027">
        <f t="shared" si="194"/>
        <v>4298.2159999999994</v>
      </c>
      <c r="Q374" s="2026">
        <v>0.96199999999999997</v>
      </c>
      <c r="R374" s="2026">
        <v>0.96199999999999997</v>
      </c>
      <c r="S374" s="2026">
        <v>0.96199999999999997</v>
      </c>
      <c r="T374" s="2026">
        <v>0.96199999999999997</v>
      </c>
      <c r="U374" s="2028">
        <f t="shared" si="206"/>
        <v>0</v>
      </c>
      <c r="V374" s="2028">
        <f t="shared" si="206"/>
        <v>0</v>
      </c>
      <c r="W374" s="2028">
        <f t="shared" si="206"/>
        <v>0</v>
      </c>
      <c r="X374" s="2028">
        <f t="shared" si="195"/>
        <v>0</v>
      </c>
      <c r="Y374" s="2026">
        <v>0.96199999999999997</v>
      </c>
      <c r="Z374" s="2026">
        <v>0.96199999999999997</v>
      </c>
      <c r="AA374" s="2026">
        <v>0.96199999999999997</v>
      </c>
      <c r="AB374" s="2026">
        <v>0.96199999999999997</v>
      </c>
      <c r="AC374" s="2027">
        <f t="shared" si="207"/>
        <v>599.32600000000002</v>
      </c>
      <c r="AD374" s="2027">
        <f t="shared" si="207"/>
        <v>599.32600000000002</v>
      </c>
      <c r="AE374" s="2027">
        <f t="shared" si="207"/>
        <v>599.32600000000002</v>
      </c>
      <c r="AF374" s="2027">
        <f t="shared" si="196"/>
        <v>599.32600000000002</v>
      </c>
      <c r="AG374" s="2027">
        <v>40</v>
      </c>
      <c r="AH374" s="2027">
        <v>37</v>
      </c>
      <c r="AI374" s="2027">
        <v>44</v>
      </c>
      <c r="AJ374" s="2027">
        <v>37</v>
      </c>
      <c r="AK374" s="2027">
        <f t="shared" si="197"/>
        <v>171928.63999999998</v>
      </c>
      <c r="AL374" s="2027">
        <f t="shared" si="198"/>
        <v>159033.99199999997</v>
      </c>
      <c r="AM374" s="2027">
        <f t="shared" si="198"/>
        <v>189121.50399999999</v>
      </c>
      <c r="AN374" s="2027">
        <f t="shared" si="198"/>
        <v>159033.99199999997</v>
      </c>
      <c r="AO374" s="2027">
        <f t="shared" si="208"/>
        <v>23973.040000000001</v>
      </c>
      <c r="AP374" s="2027">
        <f t="shared" si="199"/>
        <v>22175.062000000002</v>
      </c>
      <c r="AQ374" s="2027">
        <f t="shared" si="199"/>
        <v>26370.344000000001</v>
      </c>
      <c r="AR374" s="2027">
        <f t="shared" si="199"/>
        <v>22175.062000000002</v>
      </c>
      <c r="AS374" s="2029">
        <f>DF374</f>
        <v>1540</v>
      </c>
      <c r="AT374" s="2029">
        <f t="shared" si="200"/>
        <v>1540</v>
      </c>
      <c r="AU374" s="2029">
        <f t="shared" si="200"/>
        <v>1540</v>
      </c>
      <c r="AV374" s="2029">
        <f t="shared" si="200"/>
        <v>1540</v>
      </c>
      <c r="AW374" s="2029">
        <f>CX374-AS374</f>
        <v>2860</v>
      </c>
      <c r="AX374" s="2029">
        <f t="shared" si="216"/>
        <v>2860</v>
      </c>
      <c r="AY374" s="2029">
        <f t="shared" si="216"/>
        <v>2860</v>
      </c>
      <c r="AZ374" s="2029">
        <f t="shared" si="216"/>
        <v>2860</v>
      </c>
      <c r="BA374" s="2029">
        <f t="shared" si="231"/>
        <v>1500</v>
      </c>
      <c r="BB374" s="2029">
        <f t="shared" si="231"/>
        <v>1500</v>
      </c>
      <c r="BC374" s="2029">
        <f t="shared" si="231"/>
        <v>1500</v>
      </c>
      <c r="BD374" s="2029">
        <f t="shared" si="231"/>
        <v>1500</v>
      </c>
      <c r="BE374" s="2030">
        <f t="shared" si="202"/>
        <v>61600</v>
      </c>
      <c r="BF374" s="2030">
        <f t="shared" si="202"/>
        <v>56980</v>
      </c>
      <c r="BG374" s="2030">
        <f t="shared" si="202"/>
        <v>67760</v>
      </c>
      <c r="BH374" s="2030">
        <f t="shared" si="191"/>
        <v>56980</v>
      </c>
      <c r="BI374" s="2030">
        <f t="shared" si="203"/>
        <v>114400</v>
      </c>
      <c r="BJ374" s="2030">
        <f t="shared" si="203"/>
        <v>105820</v>
      </c>
      <c r="BK374" s="2030">
        <f t="shared" si="203"/>
        <v>125840</v>
      </c>
      <c r="BL374" s="2030">
        <f t="shared" si="192"/>
        <v>105820</v>
      </c>
      <c r="BM374" s="2125"/>
      <c r="BN374" s="2125"/>
      <c r="BO374" s="2125"/>
      <c r="BP374" s="2125"/>
      <c r="BQ374" s="2125"/>
      <c r="BR374" s="2125"/>
      <c r="BS374" s="2125"/>
      <c r="BT374" s="2125"/>
      <c r="BU374" s="2029"/>
      <c r="BV374" s="2029"/>
      <c r="BW374" s="2029"/>
      <c r="BX374" s="2029"/>
      <c r="BY374" s="2029"/>
      <c r="BZ374" s="2032"/>
      <c r="CA374" s="1974">
        <f t="shared" si="230"/>
        <v>0</v>
      </c>
      <c r="CB374" s="1974">
        <f t="shared" si="230"/>
        <v>0</v>
      </c>
      <c r="CC374" s="1974">
        <f t="shared" si="230"/>
        <v>0</v>
      </c>
      <c r="CD374" s="1974">
        <f t="shared" si="230"/>
        <v>0</v>
      </c>
      <c r="CE374" s="1974">
        <f t="shared" si="230"/>
        <v>0</v>
      </c>
      <c r="CF374" s="2033">
        <v>7.1871962042702425E-4</v>
      </c>
      <c r="CG374" s="2026">
        <v>8.9438720665306806E-3</v>
      </c>
      <c r="CH374" s="2009">
        <f t="shared" si="230"/>
        <v>0</v>
      </c>
      <c r="CI374" s="2031">
        <f t="shared" si="230"/>
        <v>0</v>
      </c>
      <c r="CJ374" s="1974">
        <f t="shared" si="230"/>
        <v>0</v>
      </c>
      <c r="CK374" s="2031">
        <f t="shared" si="230"/>
        <v>0</v>
      </c>
      <c r="CL374" s="2026">
        <v>1</v>
      </c>
      <c r="CM374" s="2026">
        <v>1</v>
      </c>
      <c r="CN374" s="2026">
        <v>1</v>
      </c>
      <c r="CO374" s="2026">
        <v>1</v>
      </c>
      <c r="CP374" s="2035"/>
      <c r="CQ374" s="2036"/>
      <c r="CR374" s="2036"/>
      <c r="CS374" s="2036"/>
      <c r="CT374" s="2036"/>
      <c r="CU374" s="2036"/>
      <c r="CW374" s="1973">
        <v>0</v>
      </c>
      <c r="CX374" s="2037">
        <v>4400</v>
      </c>
      <c r="CY374" s="2037">
        <v>4400</v>
      </c>
      <c r="CZ374" s="2037">
        <v>4400</v>
      </c>
      <c r="DA374" s="2037">
        <v>4400</v>
      </c>
      <c r="DB374" s="2051">
        <v>0.35</v>
      </c>
      <c r="DC374" s="2051">
        <v>0.35</v>
      </c>
      <c r="DD374" s="2051">
        <v>0.35</v>
      </c>
      <c r="DE374" s="2051">
        <v>0.35</v>
      </c>
      <c r="DF374" s="2037">
        <f>DB374*CX374</f>
        <v>1540</v>
      </c>
      <c r="DG374" s="2037">
        <f>DC374*CY374</f>
        <v>1540</v>
      </c>
      <c r="DH374" s="2037">
        <f>DD374*CZ374</f>
        <v>1540</v>
      </c>
      <c r="DI374" s="2037">
        <f>DE374*DA374</f>
        <v>1540</v>
      </c>
      <c r="DJ374" s="1976">
        <v>2200</v>
      </c>
      <c r="DK374" s="1973">
        <v>2200</v>
      </c>
      <c r="DL374" s="1973">
        <v>2200</v>
      </c>
      <c r="DM374" s="1973">
        <v>2200</v>
      </c>
      <c r="DO374" s="1974">
        <v>10</v>
      </c>
      <c r="DP374" s="1974">
        <v>4468</v>
      </c>
      <c r="DQ374" s="1974">
        <v>0</v>
      </c>
      <c r="DR374" s="1974">
        <v>623</v>
      </c>
      <c r="DS374" s="2029">
        <v>1540</v>
      </c>
      <c r="DT374" s="2029">
        <v>1540</v>
      </c>
      <c r="DU374" s="2029">
        <v>1540</v>
      </c>
      <c r="DV374" s="2029">
        <v>1540</v>
      </c>
      <c r="DW374" s="2029">
        <v>2860</v>
      </c>
      <c r="DX374" s="2029">
        <v>2860</v>
      </c>
      <c r="DY374" s="2029">
        <v>2860</v>
      </c>
      <c r="DZ374" s="2029">
        <v>2860</v>
      </c>
      <c r="EA374" s="2029">
        <v>1500</v>
      </c>
      <c r="EB374" s="2029">
        <v>1500</v>
      </c>
      <c r="EC374" s="2029">
        <v>1500</v>
      </c>
      <c r="ED374" s="2029">
        <v>1500</v>
      </c>
      <c r="EE374" s="2039">
        <f t="shared" si="213"/>
        <v>0</v>
      </c>
      <c r="EF374" s="2039">
        <f t="shared" si="213"/>
        <v>0</v>
      </c>
      <c r="EG374" s="2039">
        <f t="shared" si="213"/>
        <v>0</v>
      </c>
      <c r="EH374" s="2039">
        <f t="shared" si="213"/>
        <v>0</v>
      </c>
      <c r="EI374" s="2040">
        <f t="shared" si="190"/>
        <v>0</v>
      </c>
      <c r="EJ374" s="2040">
        <f t="shared" si="190"/>
        <v>0</v>
      </c>
      <c r="EK374" s="2040">
        <f t="shared" si="190"/>
        <v>0</v>
      </c>
      <c r="EL374" s="2040">
        <f t="shared" ref="EL374:EQ428" si="232">AV374-DV374</f>
        <v>0</v>
      </c>
      <c r="EM374" s="2040">
        <f t="shared" si="232"/>
        <v>0</v>
      </c>
      <c r="EN374" s="2040">
        <f t="shared" si="232"/>
        <v>0</v>
      </c>
      <c r="EO374" s="2040">
        <f t="shared" si="226"/>
        <v>0</v>
      </c>
      <c r="EP374" s="2040">
        <f t="shared" si="226"/>
        <v>0</v>
      </c>
      <c r="EQ374" s="2040">
        <f t="shared" si="226"/>
        <v>0</v>
      </c>
      <c r="ER374" s="2040">
        <f t="shared" si="226"/>
        <v>0</v>
      </c>
      <c r="ES374" s="2040">
        <f t="shared" si="226"/>
        <v>0</v>
      </c>
      <c r="ET374" s="2040">
        <f t="shared" si="226"/>
        <v>0</v>
      </c>
      <c r="EU374" s="2039">
        <f t="shared" si="214"/>
        <v>0</v>
      </c>
      <c r="EV374" s="2039">
        <f t="shared" si="215"/>
        <v>0</v>
      </c>
    </row>
    <row r="375" spans="1:152" x14ac:dyDescent="0.25">
      <c r="A375" s="2088" t="s">
        <v>169</v>
      </c>
      <c r="B375" s="2093" t="str">
        <f t="shared" si="193"/>
        <v/>
      </c>
      <c r="C375" s="1974">
        <f t="shared" si="229"/>
        <v>4</v>
      </c>
      <c r="D375" s="1974">
        <f t="shared" si="229"/>
        <v>124</v>
      </c>
      <c r="E375" s="1974">
        <f t="shared" si="229"/>
        <v>0</v>
      </c>
      <c r="F375" s="1974">
        <f t="shared" si="229"/>
        <v>0</v>
      </c>
      <c r="G375" s="1974" t="s">
        <v>2997</v>
      </c>
      <c r="H375" s="1974" t="s">
        <v>2997</v>
      </c>
      <c r="I375" s="2026">
        <v>0.96199999999999997</v>
      </c>
      <c r="J375" s="2026">
        <v>0.96199999999999997</v>
      </c>
      <c r="K375" s="2026">
        <v>0.96199999999999997</v>
      </c>
      <c r="L375" s="2026">
        <v>0.96199999999999997</v>
      </c>
      <c r="M375" s="2027">
        <f t="shared" si="205"/>
        <v>119.288</v>
      </c>
      <c r="N375" s="2027">
        <f t="shared" si="205"/>
        <v>119.288</v>
      </c>
      <c r="O375" s="2027">
        <f t="shared" si="205"/>
        <v>119.288</v>
      </c>
      <c r="P375" s="2027">
        <f t="shared" si="194"/>
        <v>119.288</v>
      </c>
      <c r="Q375" s="2026">
        <v>0.96199999999999997</v>
      </c>
      <c r="R375" s="2026">
        <v>0.96199999999999997</v>
      </c>
      <c r="S375" s="2026">
        <v>0.96199999999999997</v>
      </c>
      <c r="T375" s="2026">
        <v>0.96199999999999997</v>
      </c>
      <c r="U375" s="2028">
        <f t="shared" si="206"/>
        <v>0</v>
      </c>
      <c r="V375" s="2028">
        <f t="shared" si="206"/>
        <v>0</v>
      </c>
      <c r="W375" s="2028">
        <f t="shared" si="206"/>
        <v>0</v>
      </c>
      <c r="X375" s="2028">
        <f t="shared" si="195"/>
        <v>0</v>
      </c>
      <c r="Y375" s="2026">
        <v>0.96199999999999997</v>
      </c>
      <c r="Z375" s="2026">
        <v>0.96199999999999997</v>
      </c>
      <c r="AA375" s="2026">
        <v>0.96199999999999997</v>
      </c>
      <c r="AB375" s="2026">
        <v>0.96199999999999997</v>
      </c>
      <c r="AC375" s="2027">
        <f t="shared" si="207"/>
        <v>0</v>
      </c>
      <c r="AD375" s="2027">
        <f t="shared" si="207"/>
        <v>0</v>
      </c>
      <c r="AE375" s="2027">
        <f t="shared" si="207"/>
        <v>0</v>
      </c>
      <c r="AF375" s="2027">
        <f t="shared" si="196"/>
        <v>0</v>
      </c>
      <c r="AG375" s="2027">
        <v>0</v>
      </c>
      <c r="AH375" s="2028"/>
      <c r="AI375" s="2028"/>
      <c r="AJ375" s="2028"/>
      <c r="AK375" s="2027">
        <f t="shared" si="197"/>
        <v>0</v>
      </c>
      <c r="AL375" s="2027">
        <f t="shared" si="198"/>
        <v>0</v>
      </c>
      <c r="AM375" s="2027">
        <f t="shared" si="198"/>
        <v>0</v>
      </c>
      <c r="AN375" s="2027">
        <f t="shared" si="198"/>
        <v>0</v>
      </c>
      <c r="AO375" s="2027">
        <f t="shared" si="208"/>
        <v>0</v>
      </c>
      <c r="AP375" s="2027">
        <f t="shared" si="199"/>
        <v>0</v>
      </c>
      <c r="AQ375" s="2027">
        <f t="shared" si="199"/>
        <v>0</v>
      </c>
      <c r="AR375" s="2027">
        <f t="shared" si="199"/>
        <v>0</v>
      </c>
      <c r="AS375" s="2124">
        <f>AS131*1.5</f>
        <v>15</v>
      </c>
      <c r="AT375" s="2029">
        <f t="shared" si="200"/>
        <v>15</v>
      </c>
      <c r="AU375" s="2029">
        <f t="shared" si="200"/>
        <v>15</v>
      </c>
      <c r="AV375" s="2029">
        <f t="shared" si="200"/>
        <v>15</v>
      </c>
      <c r="AW375" s="2124">
        <f>AW131*1.3</f>
        <v>0</v>
      </c>
      <c r="AX375" s="2029">
        <f t="shared" si="216"/>
        <v>0</v>
      </c>
      <c r="AY375" s="2029">
        <f t="shared" si="216"/>
        <v>0</v>
      </c>
      <c r="AZ375" s="2029">
        <f t="shared" si="216"/>
        <v>0</v>
      </c>
      <c r="BA375" s="2124">
        <f t="shared" si="231"/>
        <v>9</v>
      </c>
      <c r="BB375" s="2029">
        <f t="shared" si="231"/>
        <v>9</v>
      </c>
      <c r="BC375" s="2029">
        <f t="shared" si="231"/>
        <v>9</v>
      </c>
      <c r="BD375" s="2029">
        <f t="shared" si="231"/>
        <v>9</v>
      </c>
      <c r="BE375" s="2030">
        <f t="shared" si="202"/>
        <v>0</v>
      </c>
      <c r="BF375" s="2030">
        <f t="shared" si="202"/>
        <v>0</v>
      </c>
      <c r="BG375" s="2030">
        <f t="shared" si="202"/>
        <v>0</v>
      </c>
      <c r="BH375" s="2030">
        <f t="shared" si="191"/>
        <v>0</v>
      </c>
      <c r="BI375" s="2030">
        <f t="shared" si="203"/>
        <v>0</v>
      </c>
      <c r="BJ375" s="2030">
        <f t="shared" si="203"/>
        <v>0</v>
      </c>
      <c r="BK375" s="2030">
        <f t="shared" si="203"/>
        <v>0</v>
      </c>
      <c r="BL375" s="2030">
        <f t="shared" si="192"/>
        <v>0</v>
      </c>
      <c r="BM375" s="2125"/>
      <c r="BN375" s="2125"/>
      <c r="BO375" s="2125"/>
      <c r="BP375" s="2125"/>
      <c r="BQ375" s="2125"/>
      <c r="BR375" s="2125"/>
      <c r="BS375" s="2125"/>
      <c r="BT375" s="2125"/>
      <c r="BU375" s="2029"/>
      <c r="BV375" s="2029"/>
      <c r="BW375" s="2029"/>
      <c r="BX375" s="2029"/>
      <c r="BY375" s="2029"/>
      <c r="BZ375" s="2032"/>
      <c r="CA375" s="1974">
        <f t="shared" si="230"/>
        <v>0</v>
      </c>
      <c r="CB375" s="1974">
        <f t="shared" si="230"/>
        <v>0</v>
      </c>
      <c r="CC375" s="1974">
        <f t="shared" si="230"/>
        <v>0</v>
      </c>
      <c r="CD375" s="1974">
        <f t="shared" si="230"/>
        <v>0</v>
      </c>
      <c r="CE375" s="1974">
        <f t="shared" si="230"/>
        <v>0</v>
      </c>
      <c r="CF375" s="2033">
        <v>0</v>
      </c>
      <c r="CG375" s="2026">
        <v>0</v>
      </c>
      <c r="CH375" s="2009">
        <f t="shared" si="230"/>
        <v>0</v>
      </c>
      <c r="CI375" s="2031">
        <f t="shared" si="230"/>
        <v>0</v>
      </c>
      <c r="CJ375" s="1974">
        <f t="shared" si="230"/>
        <v>0</v>
      </c>
      <c r="CK375" s="2031">
        <f t="shared" si="230"/>
        <v>0</v>
      </c>
      <c r="CL375" s="2026">
        <v>1</v>
      </c>
      <c r="CM375" s="2026">
        <v>1</v>
      </c>
      <c r="CN375" s="2026">
        <v>1</v>
      </c>
      <c r="CO375" s="2026">
        <v>1</v>
      </c>
      <c r="CP375" s="2035"/>
      <c r="CQ375" s="2036"/>
      <c r="CR375" s="2036"/>
      <c r="CS375" s="2036"/>
      <c r="CT375" s="2036"/>
      <c r="CU375" s="2036"/>
      <c r="CW375" s="1973">
        <v>0</v>
      </c>
      <c r="CX375" s="2037">
        <v>15</v>
      </c>
      <c r="CY375" s="2037">
        <v>15</v>
      </c>
      <c r="CZ375" s="2037">
        <v>15</v>
      </c>
      <c r="DA375" s="2037">
        <v>15</v>
      </c>
      <c r="DJ375" s="1976">
        <v>15</v>
      </c>
      <c r="DK375" s="1973">
        <v>15</v>
      </c>
      <c r="DL375" s="1973">
        <v>15</v>
      </c>
      <c r="DM375" s="1973">
        <v>15</v>
      </c>
      <c r="DO375" s="1974">
        <v>4</v>
      </c>
      <c r="DP375" s="1974">
        <v>124</v>
      </c>
      <c r="DQ375" s="1974">
        <v>0</v>
      </c>
      <c r="DR375" s="1974">
        <v>0</v>
      </c>
      <c r="DS375" s="2124">
        <v>15</v>
      </c>
      <c r="DT375" s="2029">
        <v>15</v>
      </c>
      <c r="DU375" s="2029">
        <v>15</v>
      </c>
      <c r="DV375" s="2029">
        <v>15</v>
      </c>
      <c r="DW375" s="2124">
        <v>0</v>
      </c>
      <c r="DX375" s="2029">
        <v>0</v>
      </c>
      <c r="DY375" s="2029">
        <v>0</v>
      </c>
      <c r="DZ375" s="2029">
        <v>0</v>
      </c>
      <c r="EA375" s="2124">
        <v>9</v>
      </c>
      <c r="EB375" s="2029">
        <v>9</v>
      </c>
      <c r="EC375" s="2029">
        <v>9</v>
      </c>
      <c r="ED375" s="2029">
        <v>9</v>
      </c>
      <c r="EE375" s="2039">
        <f t="shared" si="213"/>
        <v>0</v>
      </c>
      <c r="EF375" s="2039">
        <f t="shared" si="213"/>
        <v>0</v>
      </c>
      <c r="EG375" s="2039">
        <f t="shared" si="213"/>
        <v>0</v>
      </c>
      <c r="EH375" s="2039">
        <f t="shared" si="213"/>
        <v>0</v>
      </c>
      <c r="EI375" s="2040">
        <f t="shared" ref="EI375:EN438" si="233">AS375-DS375</f>
        <v>0</v>
      </c>
      <c r="EJ375" s="2040">
        <f t="shared" si="233"/>
        <v>0</v>
      </c>
      <c r="EK375" s="2040">
        <f t="shared" si="233"/>
        <v>0</v>
      </c>
      <c r="EL375" s="2040">
        <f t="shared" si="232"/>
        <v>0</v>
      </c>
      <c r="EM375" s="2040">
        <f t="shared" si="232"/>
        <v>0</v>
      </c>
      <c r="EN375" s="2040">
        <f t="shared" si="232"/>
        <v>0</v>
      </c>
      <c r="EO375" s="2040">
        <f t="shared" si="226"/>
        <v>0</v>
      </c>
      <c r="EP375" s="2040">
        <f t="shared" si="226"/>
        <v>0</v>
      </c>
      <c r="EQ375" s="2040">
        <f t="shared" si="226"/>
        <v>0</v>
      </c>
      <c r="ER375" s="2040">
        <f t="shared" si="226"/>
        <v>0</v>
      </c>
      <c r="ES375" s="2040">
        <f t="shared" si="226"/>
        <v>0</v>
      </c>
      <c r="ET375" s="2040">
        <f t="shared" si="226"/>
        <v>0</v>
      </c>
      <c r="EU375" s="2039">
        <f t="shared" si="214"/>
        <v>0</v>
      </c>
      <c r="EV375" s="2039">
        <f t="shared" si="215"/>
        <v>0</v>
      </c>
    </row>
    <row r="376" spans="1:152" x14ac:dyDescent="0.25">
      <c r="A376" s="2088" t="s">
        <v>170</v>
      </c>
      <c r="B376" s="2093" t="str">
        <f t="shared" si="193"/>
        <v/>
      </c>
      <c r="C376" s="1974">
        <f t="shared" si="229"/>
        <v>5</v>
      </c>
      <c r="D376" s="1974">
        <f t="shared" si="229"/>
        <v>200</v>
      </c>
      <c r="E376" s="1974">
        <f t="shared" si="229"/>
        <v>0</v>
      </c>
      <c r="F376" s="1974">
        <f t="shared" si="229"/>
        <v>0</v>
      </c>
      <c r="G376" s="1974" t="s">
        <v>2997</v>
      </c>
      <c r="H376" s="1974" t="s">
        <v>2997</v>
      </c>
      <c r="I376" s="2026">
        <v>0.96199999999999997</v>
      </c>
      <c r="J376" s="2026">
        <v>0.96199999999999997</v>
      </c>
      <c r="K376" s="2026">
        <v>0.96199999999999997</v>
      </c>
      <c r="L376" s="2026">
        <v>0.96199999999999997</v>
      </c>
      <c r="M376" s="2027">
        <f t="shared" si="205"/>
        <v>192.4</v>
      </c>
      <c r="N376" s="2027">
        <f t="shared" si="205"/>
        <v>192.4</v>
      </c>
      <c r="O376" s="2027">
        <f t="shared" si="205"/>
        <v>192.4</v>
      </c>
      <c r="P376" s="2027">
        <f t="shared" si="194"/>
        <v>192.4</v>
      </c>
      <c r="Q376" s="2026">
        <v>0.96199999999999997</v>
      </c>
      <c r="R376" s="2026">
        <v>0.96199999999999997</v>
      </c>
      <c r="S376" s="2026">
        <v>0.96199999999999997</v>
      </c>
      <c r="T376" s="2026">
        <v>0.96199999999999997</v>
      </c>
      <c r="U376" s="2028">
        <f t="shared" si="206"/>
        <v>0</v>
      </c>
      <c r="V376" s="2028">
        <f t="shared" si="206"/>
        <v>0</v>
      </c>
      <c r="W376" s="2028">
        <f t="shared" si="206"/>
        <v>0</v>
      </c>
      <c r="X376" s="2028">
        <f t="shared" si="195"/>
        <v>0</v>
      </c>
      <c r="Y376" s="2026">
        <v>0.96199999999999997</v>
      </c>
      <c r="Z376" s="2026">
        <v>0.96199999999999997</v>
      </c>
      <c r="AA376" s="2026">
        <v>0.96199999999999997</v>
      </c>
      <c r="AB376" s="2026">
        <v>0.96199999999999997</v>
      </c>
      <c r="AC376" s="2027">
        <f t="shared" si="207"/>
        <v>0</v>
      </c>
      <c r="AD376" s="2027">
        <f t="shared" si="207"/>
        <v>0</v>
      </c>
      <c r="AE376" s="2027">
        <f t="shared" si="207"/>
        <v>0</v>
      </c>
      <c r="AF376" s="2027">
        <f t="shared" si="196"/>
        <v>0</v>
      </c>
      <c r="AG376" s="2027">
        <v>0</v>
      </c>
      <c r="AH376" s="2028"/>
      <c r="AI376" s="2028"/>
      <c r="AJ376" s="2028"/>
      <c r="AK376" s="2027">
        <f t="shared" si="197"/>
        <v>0</v>
      </c>
      <c r="AL376" s="2027">
        <f t="shared" si="198"/>
        <v>0</v>
      </c>
      <c r="AM376" s="2027">
        <f t="shared" si="198"/>
        <v>0</v>
      </c>
      <c r="AN376" s="2027">
        <f t="shared" si="198"/>
        <v>0</v>
      </c>
      <c r="AO376" s="2027">
        <f t="shared" si="208"/>
        <v>0</v>
      </c>
      <c r="AP376" s="2027">
        <f t="shared" si="199"/>
        <v>0</v>
      </c>
      <c r="AQ376" s="2027">
        <f t="shared" si="199"/>
        <v>0</v>
      </c>
      <c r="AR376" s="2027">
        <f t="shared" si="199"/>
        <v>0</v>
      </c>
      <c r="AS376" s="2124">
        <f>AS132*1.5</f>
        <v>15</v>
      </c>
      <c r="AT376" s="2029">
        <f t="shared" si="200"/>
        <v>15</v>
      </c>
      <c r="AU376" s="2029">
        <f t="shared" si="200"/>
        <v>15</v>
      </c>
      <c r="AV376" s="2029">
        <f t="shared" si="200"/>
        <v>15</v>
      </c>
      <c r="AW376" s="2124">
        <f>AW132*1.3</f>
        <v>0</v>
      </c>
      <c r="AX376" s="2029">
        <f t="shared" si="216"/>
        <v>0</v>
      </c>
      <c r="AY376" s="2029">
        <f t="shared" si="216"/>
        <v>0</v>
      </c>
      <c r="AZ376" s="2029">
        <f t="shared" si="216"/>
        <v>0</v>
      </c>
      <c r="BA376" s="2124">
        <f t="shared" si="231"/>
        <v>29</v>
      </c>
      <c r="BB376" s="2029">
        <f t="shared" si="231"/>
        <v>29</v>
      </c>
      <c r="BC376" s="2029">
        <f t="shared" si="231"/>
        <v>29</v>
      </c>
      <c r="BD376" s="2029">
        <f t="shared" si="231"/>
        <v>29</v>
      </c>
      <c r="BE376" s="2030">
        <f t="shared" si="202"/>
        <v>0</v>
      </c>
      <c r="BF376" s="2030">
        <f t="shared" si="202"/>
        <v>0</v>
      </c>
      <c r="BG376" s="2030">
        <f t="shared" si="202"/>
        <v>0</v>
      </c>
      <c r="BH376" s="2030">
        <f t="shared" si="191"/>
        <v>0</v>
      </c>
      <c r="BI376" s="2030">
        <f t="shared" si="203"/>
        <v>0</v>
      </c>
      <c r="BJ376" s="2030">
        <f t="shared" si="203"/>
        <v>0</v>
      </c>
      <c r="BK376" s="2030">
        <f t="shared" si="203"/>
        <v>0</v>
      </c>
      <c r="BL376" s="2030">
        <f t="shared" si="192"/>
        <v>0</v>
      </c>
      <c r="BM376" s="2125"/>
      <c r="BN376" s="2125"/>
      <c r="BO376" s="2125"/>
      <c r="BP376" s="2125"/>
      <c r="BQ376" s="2125"/>
      <c r="BR376" s="2125"/>
      <c r="BS376" s="2125"/>
      <c r="BT376" s="2125"/>
      <c r="BU376" s="2029"/>
      <c r="BV376" s="2029"/>
      <c r="BW376" s="2029"/>
      <c r="BX376" s="2029"/>
      <c r="BY376" s="2029"/>
      <c r="BZ376" s="2032"/>
      <c r="CA376" s="1974">
        <f t="shared" si="230"/>
        <v>0</v>
      </c>
      <c r="CB376" s="1974">
        <f t="shared" si="230"/>
        <v>0</v>
      </c>
      <c r="CC376" s="1974">
        <f t="shared" si="230"/>
        <v>0</v>
      </c>
      <c r="CD376" s="1974">
        <f t="shared" si="230"/>
        <v>0</v>
      </c>
      <c r="CE376" s="1974">
        <f t="shared" si="230"/>
        <v>0</v>
      </c>
      <c r="CF376" s="2033">
        <v>0</v>
      </c>
      <c r="CG376" s="2026">
        <v>0</v>
      </c>
      <c r="CH376" s="2009">
        <f t="shared" si="230"/>
        <v>1</v>
      </c>
      <c r="CI376" s="2031">
        <f t="shared" si="230"/>
        <v>0</v>
      </c>
      <c r="CJ376" s="1974">
        <f t="shared" si="230"/>
        <v>2</v>
      </c>
      <c r="CK376" s="2031">
        <f t="shared" si="230"/>
        <v>2</v>
      </c>
      <c r="CL376" s="2026">
        <v>1</v>
      </c>
      <c r="CM376" s="2026">
        <v>1</v>
      </c>
      <c r="CN376" s="2026">
        <v>1</v>
      </c>
      <c r="CO376" s="2026">
        <v>1</v>
      </c>
      <c r="CP376" s="2035"/>
      <c r="CQ376" s="2036"/>
      <c r="CR376" s="2036"/>
      <c r="CS376" s="2036"/>
      <c r="CT376" s="2036"/>
      <c r="CU376" s="2036"/>
      <c r="CW376" s="1973">
        <v>0</v>
      </c>
      <c r="CX376" s="2037">
        <v>15</v>
      </c>
      <c r="CY376" s="2037">
        <v>15</v>
      </c>
      <c r="CZ376" s="2037">
        <v>15</v>
      </c>
      <c r="DA376" s="2037">
        <v>15</v>
      </c>
      <c r="DJ376" s="1976">
        <v>15</v>
      </c>
      <c r="DK376" s="1973">
        <v>15</v>
      </c>
      <c r="DL376" s="1973">
        <v>15</v>
      </c>
      <c r="DM376" s="1973">
        <v>15</v>
      </c>
      <c r="DO376" s="1974">
        <v>5</v>
      </c>
      <c r="DP376" s="1974">
        <v>200</v>
      </c>
      <c r="DQ376" s="1974">
        <v>0</v>
      </c>
      <c r="DR376" s="1974">
        <v>0</v>
      </c>
      <c r="DS376" s="2124">
        <v>15</v>
      </c>
      <c r="DT376" s="2029">
        <v>15</v>
      </c>
      <c r="DU376" s="2029">
        <v>15</v>
      </c>
      <c r="DV376" s="2029">
        <v>15</v>
      </c>
      <c r="DW376" s="2124">
        <v>0</v>
      </c>
      <c r="DX376" s="2029">
        <v>0</v>
      </c>
      <c r="DY376" s="2029">
        <v>0</v>
      </c>
      <c r="DZ376" s="2029">
        <v>0</v>
      </c>
      <c r="EA376" s="2124">
        <v>29</v>
      </c>
      <c r="EB376" s="2029">
        <v>29</v>
      </c>
      <c r="EC376" s="2029">
        <v>29</v>
      </c>
      <c r="ED376" s="2029">
        <v>29</v>
      </c>
      <c r="EE376" s="2039">
        <f t="shared" si="213"/>
        <v>0</v>
      </c>
      <c r="EF376" s="2039">
        <f t="shared" si="213"/>
        <v>0</v>
      </c>
      <c r="EG376" s="2039">
        <f t="shared" si="213"/>
        <v>0</v>
      </c>
      <c r="EH376" s="2039">
        <f t="shared" si="213"/>
        <v>0</v>
      </c>
      <c r="EI376" s="2040">
        <f t="shared" si="233"/>
        <v>0</v>
      </c>
      <c r="EJ376" s="2040">
        <f t="shared" si="233"/>
        <v>0</v>
      </c>
      <c r="EK376" s="2040">
        <f t="shared" si="233"/>
        <v>0</v>
      </c>
      <c r="EL376" s="2040">
        <f t="shared" si="232"/>
        <v>0</v>
      </c>
      <c r="EM376" s="2040">
        <f t="shared" si="232"/>
        <v>0</v>
      </c>
      <c r="EN376" s="2040">
        <f t="shared" si="232"/>
        <v>0</v>
      </c>
      <c r="EO376" s="2040">
        <f t="shared" si="226"/>
        <v>0</v>
      </c>
      <c r="EP376" s="2040">
        <f t="shared" si="226"/>
        <v>0</v>
      </c>
      <c r="EQ376" s="2040">
        <f t="shared" si="226"/>
        <v>0</v>
      </c>
      <c r="ER376" s="2040">
        <f t="shared" si="226"/>
        <v>0</v>
      </c>
      <c r="ES376" s="2040">
        <f t="shared" si="226"/>
        <v>0</v>
      </c>
      <c r="ET376" s="2040">
        <f t="shared" si="226"/>
        <v>0</v>
      </c>
      <c r="EU376" s="2039">
        <f t="shared" si="214"/>
        <v>0</v>
      </c>
      <c r="EV376" s="2039">
        <f t="shared" si="215"/>
        <v>0</v>
      </c>
    </row>
    <row r="377" spans="1:152" x14ac:dyDescent="0.25">
      <c r="A377" s="2088" t="s">
        <v>171</v>
      </c>
      <c r="B377" s="2093" t="str">
        <f t="shared" si="193"/>
        <v/>
      </c>
      <c r="C377" s="1974">
        <f t="shared" si="229"/>
        <v>6.4</v>
      </c>
      <c r="D377" s="1974">
        <f t="shared" si="229"/>
        <v>18.478182004249195</v>
      </c>
      <c r="E377" s="1974">
        <f t="shared" si="229"/>
        <v>3.6662845075411819E-3</v>
      </c>
      <c r="F377" s="1974">
        <f t="shared" si="229"/>
        <v>-0.31568684654610324</v>
      </c>
      <c r="G377" s="1974" t="s">
        <v>2997</v>
      </c>
      <c r="H377" s="1974" t="s">
        <v>2997</v>
      </c>
      <c r="I377" s="2026">
        <v>0.96199999999999997</v>
      </c>
      <c r="J377" s="2026">
        <v>0.96199999999999997</v>
      </c>
      <c r="K377" s="2026">
        <v>0.96199999999999997</v>
      </c>
      <c r="L377" s="2026">
        <v>0.96199999999999997</v>
      </c>
      <c r="M377" s="2027">
        <f t="shared" si="205"/>
        <v>17.776011088087724</v>
      </c>
      <c r="N377" s="2027">
        <f t="shared" si="205"/>
        <v>17.776011088087724</v>
      </c>
      <c r="O377" s="2027">
        <f t="shared" si="205"/>
        <v>17.776011088087724</v>
      </c>
      <c r="P377" s="2027">
        <f t="shared" si="194"/>
        <v>17.776011088087724</v>
      </c>
      <c r="Q377" s="2026">
        <v>0.96199999999999997</v>
      </c>
      <c r="R377" s="2026">
        <v>0.96199999999999997</v>
      </c>
      <c r="S377" s="2026">
        <v>0.96199999999999997</v>
      </c>
      <c r="T377" s="2026">
        <v>0.96199999999999997</v>
      </c>
      <c r="U377" s="2028">
        <f t="shared" si="206"/>
        <v>3.5269656962546169E-3</v>
      </c>
      <c r="V377" s="2028">
        <f t="shared" si="206"/>
        <v>3.5269656962546169E-3</v>
      </c>
      <c r="W377" s="2028">
        <f t="shared" si="206"/>
        <v>3.5269656962546169E-3</v>
      </c>
      <c r="X377" s="2028">
        <f t="shared" si="195"/>
        <v>3.5269656962546169E-3</v>
      </c>
      <c r="Y377" s="2026">
        <v>0.96199999999999997</v>
      </c>
      <c r="Z377" s="2026">
        <v>0.96199999999999997</v>
      </c>
      <c r="AA377" s="2026">
        <v>0.96199999999999997</v>
      </c>
      <c r="AB377" s="2026">
        <v>0.96199999999999997</v>
      </c>
      <c r="AC377" s="2027">
        <f t="shared" si="207"/>
        <v>-0.30369074637735133</v>
      </c>
      <c r="AD377" s="2027">
        <f t="shared" si="207"/>
        <v>-0.30369074637735133</v>
      </c>
      <c r="AE377" s="2027">
        <f t="shared" si="207"/>
        <v>-0.30369074637735133</v>
      </c>
      <c r="AF377" s="2027">
        <f t="shared" si="196"/>
        <v>-0.30369074637735133</v>
      </c>
      <c r="AG377" s="2027">
        <v>0</v>
      </c>
      <c r="AH377" s="2028"/>
      <c r="AI377" s="2028"/>
      <c r="AJ377" s="2028"/>
      <c r="AK377" s="2027">
        <f t="shared" si="197"/>
        <v>0</v>
      </c>
      <c r="AL377" s="2027">
        <f t="shared" si="198"/>
        <v>0</v>
      </c>
      <c r="AM377" s="2027">
        <f t="shared" si="198"/>
        <v>0</v>
      </c>
      <c r="AN377" s="2027">
        <f t="shared" si="198"/>
        <v>0</v>
      </c>
      <c r="AO377" s="2027">
        <f t="shared" si="208"/>
        <v>0</v>
      </c>
      <c r="AP377" s="2027">
        <f t="shared" si="199"/>
        <v>0</v>
      </c>
      <c r="AQ377" s="2027">
        <f t="shared" si="199"/>
        <v>0</v>
      </c>
      <c r="AR377" s="2027">
        <f t="shared" si="199"/>
        <v>0</v>
      </c>
      <c r="AS377" s="2124">
        <f>AS133*1.5</f>
        <v>1.5</v>
      </c>
      <c r="AT377" s="2029">
        <f t="shared" si="200"/>
        <v>1.5</v>
      </c>
      <c r="AU377" s="2029">
        <f t="shared" si="200"/>
        <v>1.5</v>
      </c>
      <c r="AV377" s="2029">
        <f t="shared" si="200"/>
        <v>1.5</v>
      </c>
      <c r="AW377" s="2124">
        <f>AW133*1.3</f>
        <v>0</v>
      </c>
      <c r="AX377" s="2029">
        <f t="shared" si="216"/>
        <v>0</v>
      </c>
      <c r="AY377" s="2029">
        <f t="shared" si="216"/>
        <v>0</v>
      </c>
      <c r="AZ377" s="2029">
        <f t="shared" si="216"/>
        <v>0</v>
      </c>
      <c r="BA377" s="2124">
        <f t="shared" si="231"/>
        <v>2</v>
      </c>
      <c r="BB377" s="2029">
        <f t="shared" si="231"/>
        <v>2</v>
      </c>
      <c r="BC377" s="2029">
        <f t="shared" si="231"/>
        <v>2</v>
      </c>
      <c r="BD377" s="2029">
        <f t="shared" si="231"/>
        <v>2</v>
      </c>
      <c r="BE377" s="2030">
        <f t="shared" si="202"/>
        <v>0</v>
      </c>
      <c r="BF377" s="2030">
        <f t="shared" si="202"/>
        <v>0</v>
      </c>
      <c r="BG377" s="2030">
        <f t="shared" si="202"/>
        <v>0</v>
      </c>
      <c r="BH377" s="2030">
        <f t="shared" si="202"/>
        <v>0</v>
      </c>
      <c r="BI377" s="2030">
        <f t="shared" si="203"/>
        <v>0</v>
      </c>
      <c r="BJ377" s="2030">
        <f t="shared" si="203"/>
        <v>0</v>
      </c>
      <c r="BK377" s="2030">
        <f t="shared" si="203"/>
        <v>0</v>
      </c>
      <c r="BL377" s="2030">
        <f t="shared" si="203"/>
        <v>0</v>
      </c>
      <c r="BM377" s="2125"/>
      <c r="BN377" s="2125"/>
      <c r="BO377" s="2125"/>
      <c r="BP377" s="2125"/>
      <c r="BQ377" s="2125"/>
      <c r="BR377" s="2125"/>
      <c r="BS377" s="2125"/>
      <c r="BT377" s="2125"/>
      <c r="BU377" s="2029"/>
      <c r="BV377" s="2029"/>
      <c r="BW377" s="2029"/>
      <c r="BX377" s="2029"/>
      <c r="BY377" s="2029"/>
      <c r="BZ377" s="2032"/>
      <c r="CA377" s="1974">
        <f t="shared" si="230"/>
        <v>0</v>
      </c>
      <c r="CB377" s="1974">
        <f t="shared" si="230"/>
        <v>0</v>
      </c>
      <c r="CC377" s="1974">
        <f t="shared" si="230"/>
        <v>0</v>
      </c>
      <c r="CD377" s="1974">
        <f t="shared" si="230"/>
        <v>0</v>
      </c>
      <c r="CE377" s="1974">
        <f t="shared" si="230"/>
        <v>0</v>
      </c>
      <c r="CF377" s="2033">
        <v>0</v>
      </c>
      <c r="CG377" s="2026">
        <v>0</v>
      </c>
      <c r="CH377" s="2009">
        <f t="shared" si="230"/>
        <v>1</v>
      </c>
      <c r="CI377" s="2031">
        <f t="shared" si="230"/>
        <v>1.0682031250000001</v>
      </c>
      <c r="CJ377" s="1974">
        <f t="shared" si="230"/>
        <v>0</v>
      </c>
      <c r="CK377" s="2031">
        <f t="shared" si="230"/>
        <v>-1.0682031250000001</v>
      </c>
      <c r="CL377" s="2026">
        <v>1</v>
      </c>
      <c r="CM377" s="2026">
        <v>1</v>
      </c>
      <c r="CN377" s="2026">
        <v>1</v>
      </c>
      <c r="CO377" s="2026">
        <v>1</v>
      </c>
      <c r="CP377" s="2035"/>
      <c r="CQ377" s="2036"/>
      <c r="CR377" s="2036"/>
      <c r="CS377" s="2036"/>
      <c r="CT377" s="2036"/>
      <c r="CU377" s="2036"/>
      <c r="CW377" s="1973">
        <v>0</v>
      </c>
      <c r="CX377" s="2037">
        <v>1.5</v>
      </c>
      <c r="CY377" s="2037">
        <v>1.5</v>
      </c>
      <c r="CZ377" s="2037">
        <v>1.5</v>
      </c>
      <c r="DA377" s="2037">
        <v>1.5</v>
      </c>
      <c r="DJ377" s="1976">
        <v>1.5</v>
      </c>
      <c r="DK377" s="1973">
        <v>1.5</v>
      </c>
      <c r="DL377" s="1973">
        <v>1.5</v>
      </c>
      <c r="DM377" s="1973">
        <v>1.5</v>
      </c>
      <c r="DO377" s="1974">
        <v>6.4</v>
      </c>
      <c r="DP377" s="1974">
        <v>18.478182004249195</v>
      </c>
      <c r="DQ377" s="1974">
        <v>3.6662845075411819E-3</v>
      </c>
      <c r="DR377" s="1974">
        <v>-0.31568684654610324</v>
      </c>
      <c r="DS377" s="2124">
        <v>1.5</v>
      </c>
      <c r="DT377" s="2029">
        <v>1.5</v>
      </c>
      <c r="DU377" s="2029">
        <v>1.5</v>
      </c>
      <c r="DV377" s="2029">
        <v>1.5</v>
      </c>
      <c r="DW377" s="2124">
        <v>0</v>
      </c>
      <c r="DX377" s="2029">
        <v>0</v>
      </c>
      <c r="DY377" s="2029">
        <v>0</v>
      </c>
      <c r="DZ377" s="2029">
        <v>0</v>
      </c>
      <c r="EA377" s="2124">
        <v>2</v>
      </c>
      <c r="EB377" s="2029">
        <v>2</v>
      </c>
      <c r="EC377" s="2029">
        <v>2</v>
      </c>
      <c r="ED377" s="2029">
        <v>2</v>
      </c>
      <c r="EE377" s="2039">
        <f t="shared" si="213"/>
        <v>0</v>
      </c>
      <c r="EF377" s="2039">
        <f t="shared" si="213"/>
        <v>0</v>
      </c>
      <c r="EG377" s="2039">
        <f t="shared" si="213"/>
        <v>0</v>
      </c>
      <c r="EH377" s="2039">
        <f t="shared" si="213"/>
        <v>0</v>
      </c>
      <c r="EI377" s="2040">
        <f t="shared" si="233"/>
        <v>0</v>
      </c>
      <c r="EJ377" s="2040">
        <f t="shared" si="233"/>
        <v>0</v>
      </c>
      <c r="EK377" s="2040">
        <f t="shared" si="233"/>
        <v>0</v>
      </c>
      <c r="EL377" s="2040">
        <f t="shared" si="232"/>
        <v>0</v>
      </c>
      <c r="EM377" s="2040">
        <f t="shared" si="232"/>
        <v>0</v>
      </c>
      <c r="EN377" s="2040">
        <f t="shared" si="232"/>
        <v>0</v>
      </c>
      <c r="EO377" s="2040">
        <f t="shared" si="226"/>
        <v>0</v>
      </c>
      <c r="EP377" s="2040">
        <f t="shared" si="226"/>
        <v>0</v>
      </c>
      <c r="EQ377" s="2040">
        <f t="shared" si="226"/>
        <v>0</v>
      </c>
      <c r="ER377" s="2040">
        <f t="shared" si="226"/>
        <v>0</v>
      </c>
      <c r="ES377" s="2040">
        <f t="shared" si="226"/>
        <v>0</v>
      </c>
      <c r="ET377" s="2040">
        <f t="shared" si="226"/>
        <v>0</v>
      </c>
      <c r="EU377" s="2039">
        <f t="shared" si="214"/>
        <v>0</v>
      </c>
      <c r="EV377" s="2039">
        <f t="shared" si="215"/>
        <v>0</v>
      </c>
    </row>
    <row r="378" spans="1:152" x14ac:dyDescent="0.25">
      <c r="A378" s="2088" t="s">
        <v>172</v>
      </c>
      <c r="B378" s="2093" t="str">
        <f t="shared" ref="B378:B441" si="234">IF(B134="","",B134)</f>
        <v/>
      </c>
      <c r="C378" s="1974">
        <f t="shared" si="229"/>
        <v>6.4</v>
      </c>
      <c r="D378" s="1974">
        <f t="shared" si="229"/>
        <v>21.991008069072514</v>
      </c>
      <c r="E378" s="1974">
        <f t="shared" si="229"/>
        <v>4.3632697291493983E-3</v>
      </c>
      <c r="F378" s="1974">
        <f t="shared" si="229"/>
        <v>-0.38562087317472998</v>
      </c>
      <c r="G378" s="1974" t="s">
        <v>2997</v>
      </c>
      <c r="H378" s="1974" t="s">
        <v>2997</v>
      </c>
      <c r="I378" s="2026">
        <v>0.96199999999999997</v>
      </c>
      <c r="J378" s="2026">
        <v>0.96199999999999997</v>
      </c>
      <c r="K378" s="2026">
        <v>0.96199999999999997</v>
      </c>
      <c r="L378" s="2026">
        <v>0.96199999999999997</v>
      </c>
      <c r="M378" s="2027">
        <f t="shared" si="205"/>
        <v>21.155349762447756</v>
      </c>
      <c r="N378" s="2027">
        <f t="shared" si="205"/>
        <v>21.155349762447756</v>
      </c>
      <c r="O378" s="2027">
        <f t="shared" si="205"/>
        <v>21.155349762447756</v>
      </c>
      <c r="P378" s="2027">
        <f t="shared" si="205"/>
        <v>21.155349762447756</v>
      </c>
      <c r="Q378" s="2026">
        <v>0.96199999999999997</v>
      </c>
      <c r="R378" s="2026">
        <v>0.96199999999999997</v>
      </c>
      <c r="S378" s="2026">
        <v>0.96199999999999997</v>
      </c>
      <c r="T378" s="2026">
        <v>0.96199999999999997</v>
      </c>
      <c r="U378" s="2028">
        <f t="shared" si="206"/>
        <v>4.1974654794417207E-3</v>
      </c>
      <c r="V378" s="2028">
        <f t="shared" si="206"/>
        <v>4.1974654794417207E-3</v>
      </c>
      <c r="W378" s="2028">
        <f t="shared" si="206"/>
        <v>4.1974654794417207E-3</v>
      </c>
      <c r="X378" s="2028">
        <f t="shared" si="206"/>
        <v>4.1974654794417207E-3</v>
      </c>
      <c r="Y378" s="2026">
        <v>0.96199999999999997</v>
      </c>
      <c r="Z378" s="2026">
        <v>0.96199999999999997</v>
      </c>
      <c r="AA378" s="2026">
        <v>0.96199999999999997</v>
      </c>
      <c r="AB378" s="2026">
        <v>0.96199999999999997</v>
      </c>
      <c r="AC378" s="2027">
        <f t="shared" si="207"/>
        <v>-0.37096727999409024</v>
      </c>
      <c r="AD378" s="2027">
        <f t="shared" si="207"/>
        <v>-0.37096727999409024</v>
      </c>
      <c r="AE378" s="2027">
        <f t="shared" si="207"/>
        <v>-0.37096727999409024</v>
      </c>
      <c r="AF378" s="2027">
        <f t="shared" si="207"/>
        <v>-0.37096727999409024</v>
      </c>
      <c r="AG378" s="2027">
        <v>0</v>
      </c>
      <c r="AH378" s="2028"/>
      <c r="AI378" s="2028"/>
      <c r="AJ378" s="2028"/>
      <c r="AK378" s="2027">
        <f t="shared" ref="AK378" si="235">AG378*M378</f>
        <v>0</v>
      </c>
      <c r="AL378" s="2027">
        <f t="shared" ref="AL378:AN441" si="236">AH378*N378*CM378</f>
        <v>0</v>
      </c>
      <c r="AM378" s="2027">
        <f t="shared" si="236"/>
        <v>0</v>
      </c>
      <c r="AN378" s="2027">
        <f t="shared" si="236"/>
        <v>0</v>
      </c>
      <c r="AO378" s="2027">
        <f t="shared" si="208"/>
        <v>0</v>
      </c>
      <c r="AP378" s="2027">
        <f t="shared" ref="AP378:AR441" si="237">AH378*AD378*CM378</f>
        <v>0</v>
      </c>
      <c r="AQ378" s="2027">
        <f t="shared" si="237"/>
        <v>0</v>
      </c>
      <c r="AR378" s="2027">
        <f t="shared" si="237"/>
        <v>0</v>
      </c>
      <c r="AS378" s="2124">
        <f>AS134*1.5</f>
        <v>1.5</v>
      </c>
      <c r="AT378" s="2029">
        <f t="shared" ref="AT378:AV441" si="238">$AS378</f>
        <v>1.5</v>
      </c>
      <c r="AU378" s="2029">
        <f t="shared" si="238"/>
        <v>1.5</v>
      </c>
      <c r="AV378" s="2029">
        <f t="shared" si="238"/>
        <v>1.5</v>
      </c>
      <c r="AW378" s="2124">
        <f>AW134*1.3</f>
        <v>0</v>
      </c>
      <c r="AX378" s="2029">
        <f t="shared" si="216"/>
        <v>0</v>
      </c>
      <c r="AY378" s="2029">
        <f t="shared" si="216"/>
        <v>0</v>
      </c>
      <c r="AZ378" s="2029">
        <f t="shared" si="216"/>
        <v>0</v>
      </c>
      <c r="BA378" s="2124">
        <f t="shared" si="231"/>
        <v>2</v>
      </c>
      <c r="BB378" s="2029">
        <f t="shared" si="231"/>
        <v>2</v>
      </c>
      <c r="BC378" s="2029">
        <f t="shared" si="231"/>
        <v>2</v>
      </c>
      <c r="BD378" s="2029">
        <f t="shared" si="231"/>
        <v>2</v>
      </c>
      <c r="BE378" s="2030">
        <f t="shared" ref="BE378:BH441" si="239">AS378*AG378</f>
        <v>0</v>
      </c>
      <c r="BF378" s="2030">
        <f t="shared" si="239"/>
        <v>0</v>
      </c>
      <c r="BG378" s="2030">
        <f t="shared" si="239"/>
        <v>0</v>
      </c>
      <c r="BH378" s="2030">
        <f t="shared" si="239"/>
        <v>0</v>
      </c>
      <c r="BI378" s="2030">
        <f t="shared" ref="BI378:BL441" si="240">AW378*AG378</f>
        <v>0</v>
      </c>
      <c r="BJ378" s="2030">
        <f t="shared" si="240"/>
        <v>0</v>
      </c>
      <c r="BK378" s="2030">
        <f t="shared" si="240"/>
        <v>0</v>
      </c>
      <c r="BL378" s="2030">
        <f t="shared" si="240"/>
        <v>0</v>
      </c>
      <c r="BM378" s="2125"/>
      <c r="BN378" s="2125"/>
      <c r="BO378" s="2125"/>
      <c r="BP378" s="2125"/>
      <c r="BQ378" s="2125"/>
      <c r="BR378" s="2125"/>
      <c r="BS378" s="2125"/>
      <c r="BT378" s="2125"/>
      <c r="BU378" s="2029"/>
      <c r="BV378" s="2029"/>
      <c r="BW378" s="2029"/>
      <c r="BX378" s="2029"/>
      <c r="BY378" s="2029"/>
      <c r="BZ378" s="2032"/>
      <c r="CA378" s="1974">
        <f t="shared" si="230"/>
        <v>0</v>
      </c>
      <c r="CB378" s="1974">
        <f t="shared" si="230"/>
        <v>0</v>
      </c>
      <c r="CC378" s="1974">
        <f t="shared" si="230"/>
        <v>0</v>
      </c>
      <c r="CD378" s="1974">
        <f t="shared" si="230"/>
        <v>0</v>
      </c>
      <c r="CE378" s="1974">
        <f t="shared" si="230"/>
        <v>0</v>
      </c>
      <c r="CF378" s="2033">
        <v>0</v>
      </c>
      <c r="CG378" s="2026">
        <v>0</v>
      </c>
      <c r="CH378" s="2009">
        <f t="shared" si="230"/>
        <v>1</v>
      </c>
      <c r="CI378" s="2031">
        <f t="shared" si="230"/>
        <v>0</v>
      </c>
      <c r="CJ378" s="1974">
        <f t="shared" si="230"/>
        <v>0</v>
      </c>
      <c r="CK378" s="2031">
        <f t="shared" si="230"/>
        <v>0</v>
      </c>
      <c r="CL378" s="2026">
        <v>1</v>
      </c>
      <c r="CM378" s="2026">
        <v>1</v>
      </c>
      <c r="CN378" s="2026">
        <v>1</v>
      </c>
      <c r="CO378" s="2026">
        <v>1</v>
      </c>
      <c r="CP378" s="2035"/>
      <c r="CQ378" s="2036"/>
      <c r="CR378" s="2036"/>
      <c r="CS378" s="2036"/>
      <c r="CT378" s="2036"/>
      <c r="CU378" s="2036"/>
      <c r="CW378" s="1973">
        <v>0</v>
      </c>
      <c r="CX378" s="2037">
        <v>1.5</v>
      </c>
      <c r="CY378" s="2037">
        <v>1.5</v>
      </c>
      <c r="CZ378" s="2037">
        <v>1.5</v>
      </c>
      <c r="DA378" s="2037">
        <v>1.5</v>
      </c>
      <c r="DJ378" s="1976">
        <v>1.5</v>
      </c>
      <c r="DK378" s="1973">
        <v>1.5</v>
      </c>
      <c r="DL378" s="1973">
        <v>1.5</v>
      </c>
      <c r="DM378" s="1973">
        <v>1.5</v>
      </c>
      <c r="DO378" s="1974">
        <v>6.4</v>
      </c>
      <c r="DP378" s="1974">
        <v>21.991008069072514</v>
      </c>
      <c r="DQ378" s="1974">
        <v>4.3632697291493983E-3</v>
      </c>
      <c r="DR378" s="1974">
        <v>-0.38562087317472998</v>
      </c>
      <c r="DS378" s="2124">
        <v>1.5</v>
      </c>
      <c r="DT378" s="2029">
        <v>1.5</v>
      </c>
      <c r="DU378" s="2029">
        <v>1.5</v>
      </c>
      <c r="DV378" s="2029">
        <v>1.5</v>
      </c>
      <c r="DW378" s="2124">
        <v>0</v>
      </c>
      <c r="DX378" s="2029">
        <v>0</v>
      </c>
      <c r="DY378" s="2029">
        <v>0</v>
      </c>
      <c r="DZ378" s="2029">
        <v>0</v>
      </c>
      <c r="EA378" s="2124">
        <v>2</v>
      </c>
      <c r="EB378" s="2029">
        <v>2</v>
      </c>
      <c r="EC378" s="2029">
        <v>2</v>
      </c>
      <c r="ED378" s="2029">
        <v>2</v>
      </c>
      <c r="EE378" s="2039">
        <f t="shared" si="213"/>
        <v>0</v>
      </c>
      <c r="EF378" s="2039">
        <f t="shared" si="213"/>
        <v>0</v>
      </c>
      <c r="EG378" s="2039">
        <f t="shared" si="213"/>
        <v>0</v>
      </c>
      <c r="EH378" s="2039">
        <f t="shared" si="213"/>
        <v>0</v>
      </c>
      <c r="EI378" s="2040">
        <f t="shared" si="233"/>
        <v>0</v>
      </c>
      <c r="EJ378" s="2040">
        <f t="shared" si="233"/>
        <v>0</v>
      </c>
      <c r="EK378" s="2040">
        <f t="shared" si="233"/>
        <v>0</v>
      </c>
      <c r="EL378" s="2040">
        <f t="shared" si="232"/>
        <v>0</v>
      </c>
      <c r="EM378" s="2040">
        <f t="shared" si="232"/>
        <v>0</v>
      </c>
      <c r="EN378" s="2040">
        <f t="shared" si="232"/>
        <v>0</v>
      </c>
      <c r="EO378" s="2040">
        <f t="shared" si="226"/>
        <v>0</v>
      </c>
      <c r="EP378" s="2040">
        <f t="shared" si="226"/>
        <v>0</v>
      </c>
      <c r="EQ378" s="2040">
        <f t="shared" si="226"/>
        <v>0</v>
      </c>
      <c r="ER378" s="2040">
        <f t="shared" si="226"/>
        <v>0</v>
      </c>
      <c r="ES378" s="2040">
        <f t="shared" si="226"/>
        <v>0</v>
      </c>
      <c r="ET378" s="2040">
        <f t="shared" si="226"/>
        <v>0</v>
      </c>
      <c r="EU378" s="2039">
        <f t="shared" si="214"/>
        <v>0</v>
      </c>
      <c r="EV378" s="2039">
        <f t="shared" si="215"/>
        <v>0</v>
      </c>
    </row>
    <row r="379" spans="1:152" x14ac:dyDescent="0.25">
      <c r="A379" s="2088"/>
      <c r="B379" s="2093" t="str">
        <f t="shared" si="234"/>
        <v/>
      </c>
      <c r="C379" s="1974">
        <f t="shared" ref="C379:F394" si="241">C135</f>
        <v>0</v>
      </c>
      <c r="D379" s="1974">
        <f t="shared" si="241"/>
        <v>0</v>
      </c>
      <c r="E379" s="1974">
        <f t="shared" si="241"/>
        <v>0</v>
      </c>
      <c r="F379" s="1974">
        <f t="shared" si="241"/>
        <v>0</v>
      </c>
      <c r="G379" s="1974" t="s">
        <v>2997</v>
      </c>
      <c r="H379" s="1974" t="s">
        <v>2997</v>
      </c>
      <c r="I379" s="2026">
        <v>0.96199999999999997</v>
      </c>
      <c r="J379" s="2026">
        <v>0.96199999999999997</v>
      </c>
      <c r="K379" s="2026">
        <v>0.96199999999999997</v>
      </c>
      <c r="L379" s="2026">
        <v>0.96199999999999997</v>
      </c>
      <c r="M379" s="2027">
        <f t="shared" ref="M379:P442" si="242">$D379*I379</f>
        <v>0</v>
      </c>
      <c r="N379" s="2027">
        <f t="shared" si="242"/>
        <v>0</v>
      </c>
      <c r="O379" s="2027">
        <f t="shared" si="242"/>
        <v>0</v>
      </c>
      <c r="P379" s="2027">
        <f t="shared" si="242"/>
        <v>0</v>
      </c>
      <c r="Q379" s="2026">
        <v>0.96199999999999997</v>
      </c>
      <c r="R379" s="2026">
        <v>0.96199999999999997</v>
      </c>
      <c r="S379" s="2026">
        <v>0.96199999999999997</v>
      </c>
      <c r="T379" s="2026">
        <v>0.96199999999999997</v>
      </c>
      <c r="U379" s="2028">
        <f t="shared" ref="U379:X442" si="243">$E379*Q379</f>
        <v>0</v>
      </c>
      <c r="V379" s="2028">
        <f t="shared" si="243"/>
        <v>0</v>
      </c>
      <c r="W379" s="2028">
        <f t="shared" si="243"/>
        <v>0</v>
      </c>
      <c r="X379" s="2028">
        <f t="shared" si="243"/>
        <v>0</v>
      </c>
      <c r="Y379" s="2026">
        <v>0.96199999999999997</v>
      </c>
      <c r="Z379" s="2026">
        <v>0.96199999999999997</v>
      </c>
      <c r="AA379" s="2026">
        <v>0.96199999999999997</v>
      </c>
      <c r="AB379" s="2026">
        <v>0.96199999999999997</v>
      </c>
      <c r="AC379" s="2027">
        <f t="shared" ref="AC379:AF442" si="244">$F379*Y379</f>
        <v>0</v>
      </c>
      <c r="AD379" s="2027">
        <f t="shared" si="244"/>
        <v>0</v>
      </c>
      <c r="AE379" s="2027">
        <f t="shared" si="244"/>
        <v>0</v>
      </c>
      <c r="AF379" s="2027">
        <f t="shared" si="244"/>
        <v>0</v>
      </c>
      <c r="AG379" s="2027"/>
      <c r="AH379" s="2028"/>
      <c r="AI379" s="2028"/>
      <c r="AJ379" s="2028"/>
      <c r="AK379" s="2027">
        <f>AG379*M379</f>
        <v>0</v>
      </c>
      <c r="AL379" s="2027">
        <f t="shared" si="236"/>
        <v>0</v>
      </c>
      <c r="AM379" s="2027">
        <f t="shared" si="236"/>
        <v>0</v>
      </c>
      <c r="AN379" s="2027">
        <f t="shared" si="236"/>
        <v>0</v>
      </c>
      <c r="AO379" s="2027">
        <f t="shared" ref="AO379:AO442" si="245">AG379*AC379</f>
        <v>0</v>
      </c>
      <c r="AP379" s="2027">
        <f t="shared" si="237"/>
        <v>0</v>
      </c>
      <c r="AQ379" s="2027">
        <f t="shared" si="237"/>
        <v>0</v>
      </c>
      <c r="AR379" s="2027">
        <f t="shared" si="237"/>
        <v>0</v>
      </c>
      <c r="AS379" s="2124">
        <f>AS135*1.5</f>
        <v>0</v>
      </c>
      <c r="AT379" s="2029">
        <f t="shared" si="238"/>
        <v>0</v>
      </c>
      <c r="AU379" s="2029">
        <f t="shared" si="238"/>
        <v>0</v>
      </c>
      <c r="AV379" s="2029">
        <f t="shared" si="238"/>
        <v>0</v>
      </c>
      <c r="AW379" s="2124">
        <f>AW135*1.3</f>
        <v>0</v>
      </c>
      <c r="AX379" s="2029">
        <f t="shared" si="216"/>
        <v>0</v>
      </c>
      <c r="AY379" s="2029">
        <f t="shared" si="216"/>
        <v>0</v>
      </c>
      <c r="AZ379" s="2029">
        <f t="shared" si="216"/>
        <v>0</v>
      </c>
      <c r="BA379" s="2124">
        <f t="shared" si="231"/>
        <v>0</v>
      </c>
      <c r="BB379" s="2029">
        <f t="shared" si="231"/>
        <v>0</v>
      </c>
      <c r="BC379" s="2029">
        <f t="shared" si="231"/>
        <v>0</v>
      </c>
      <c r="BD379" s="2029">
        <f t="shared" si="231"/>
        <v>0</v>
      </c>
      <c r="BE379" s="2030">
        <f t="shared" si="239"/>
        <v>0</v>
      </c>
      <c r="BF379" s="2030">
        <f t="shared" si="239"/>
        <v>0</v>
      </c>
      <c r="BG379" s="2030">
        <f t="shared" si="239"/>
        <v>0</v>
      </c>
      <c r="BH379" s="2030">
        <f t="shared" si="239"/>
        <v>0</v>
      </c>
      <c r="BI379" s="2030">
        <f t="shared" si="240"/>
        <v>0</v>
      </c>
      <c r="BJ379" s="2030">
        <f t="shared" si="240"/>
        <v>0</v>
      </c>
      <c r="BK379" s="2030">
        <f t="shared" si="240"/>
        <v>0</v>
      </c>
      <c r="BL379" s="2030">
        <f t="shared" si="240"/>
        <v>0</v>
      </c>
      <c r="BM379" s="2125"/>
      <c r="BN379" s="2125"/>
      <c r="BO379" s="2125"/>
      <c r="BP379" s="2125"/>
      <c r="BQ379" s="2125"/>
      <c r="BR379" s="2125"/>
      <c r="BS379" s="2125"/>
      <c r="BT379" s="2125"/>
      <c r="BU379" s="2029"/>
      <c r="BV379" s="2029"/>
      <c r="BW379" s="2029"/>
      <c r="BX379" s="2029"/>
      <c r="BY379" s="2029"/>
      <c r="BZ379" s="2032"/>
      <c r="CA379" s="1974">
        <f t="shared" ref="CA379:CK394" si="246">CA135</f>
        <v>0</v>
      </c>
      <c r="CB379" s="1974">
        <f t="shared" si="246"/>
        <v>0</v>
      </c>
      <c r="CC379" s="1974">
        <f t="shared" si="246"/>
        <v>0</v>
      </c>
      <c r="CD379" s="1974">
        <f t="shared" si="246"/>
        <v>0</v>
      </c>
      <c r="CE379" s="1974">
        <f t="shared" si="246"/>
        <v>0</v>
      </c>
      <c r="CF379" s="2033">
        <v>0</v>
      </c>
      <c r="CG379" s="2026">
        <v>0</v>
      </c>
      <c r="CH379" s="2009">
        <f t="shared" si="246"/>
        <v>0</v>
      </c>
      <c r="CI379" s="2031">
        <f t="shared" si="246"/>
        <v>0</v>
      </c>
      <c r="CJ379" s="1974">
        <f t="shared" si="246"/>
        <v>0</v>
      </c>
      <c r="CK379" s="2031">
        <f t="shared" si="246"/>
        <v>0</v>
      </c>
      <c r="CL379" s="2026">
        <v>1</v>
      </c>
      <c r="CM379" s="2026">
        <v>1</v>
      </c>
      <c r="CN379" s="2026">
        <v>1</v>
      </c>
      <c r="CO379" s="2026">
        <v>1</v>
      </c>
      <c r="CP379" s="2035"/>
      <c r="CQ379" s="2036"/>
      <c r="CR379" s="2036"/>
      <c r="CS379" s="2036"/>
      <c r="CT379" s="2036"/>
      <c r="CU379" s="2036"/>
      <c r="CW379" s="1973">
        <v>0</v>
      </c>
      <c r="CX379" s="2037">
        <v>0</v>
      </c>
      <c r="CY379" s="2037">
        <v>0</v>
      </c>
      <c r="CZ379" s="2037">
        <v>0</v>
      </c>
      <c r="DA379" s="2037">
        <v>0</v>
      </c>
      <c r="DJ379" s="1976">
        <v>0</v>
      </c>
      <c r="DK379" s="1973">
        <v>0</v>
      </c>
      <c r="DL379" s="1973">
        <v>0</v>
      </c>
      <c r="DM379" s="1973">
        <v>0</v>
      </c>
      <c r="DO379" s="1974">
        <v>0</v>
      </c>
      <c r="DP379" s="1974">
        <v>0</v>
      </c>
      <c r="DQ379" s="1974">
        <v>0</v>
      </c>
      <c r="DR379" s="1974">
        <v>0</v>
      </c>
      <c r="DS379" s="2124">
        <v>0</v>
      </c>
      <c r="DT379" s="2029">
        <v>0</v>
      </c>
      <c r="DU379" s="2029">
        <v>0</v>
      </c>
      <c r="DV379" s="2029">
        <v>0</v>
      </c>
      <c r="DW379" s="2124">
        <v>0</v>
      </c>
      <c r="DX379" s="2029">
        <v>0</v>
      </c>
      <c r="DY379" s="2029">
        <v>0</v>
      </c>
      <c r="DZ379" s="2029">
        <v>0</v>
      </c>
      <c r="EA379" s="2124">
        <v>0</v>
      </c>
      <c r="EB379" s="2029">
        <v>0</v>
      </c>
      <c r="EC379" s="2029">
        <v>0</v>
      </c>
      <c r="ED379" s="2029">
        <v>0</v>
      </c>
      <c r="EE379" s="2039">
        <f t="shared" si="213"/>
        <v>0</v>
      </c>
      <c r="EF379" s="2039">
        <f t="shared" si="213"/>
        <v>0</v>
      </c>
      <c r="EG379" s="2039">
        <f t="shared" si="213"/>
        <v>0</v>
      </c>
      <c r="EH379" s="2039">
        <f t="shared" si="213"/>
        <v>0</v>
      </c>
      <c r="EI379" s="2040">
        <f t="shared" si="233"/>
        <v>0</v>
      </c>
      <c r="EJ379" s="2040">
        <f t="shared" si="233"/>
        <v>0</v>
      </c>
      <c r="EK379" s="2040">
        <f t="shared" si="233"/>
        <v>0</v>
      </c>
      <c r="EL379" s="2040">
        <f t="shared" si="232"/>
        <v>0</v>
      </c>
      <c r="EM379" s="2040">
        <f t="shared" si="232"/>
        <v>0</v>
      </c>
      <c r="EN379" s="2040">
        <f t="shared" si="232"/>
        <v>0</v>
      </c>
      <c r="EO379" s="2040">
        <f t="shared" si="226"/>
        <v>0</v>
      </c>
      <c r="EP379" s="2040">
        <f t="shared" si="226"/>
        <v>0</v>
      </c>
      <c r="EQ379" s="2040">
        <f t="shared" si="226"/>
        <v>0</v>
      </c>
      <c r="ER379" s="2040">
        <f t="shared" si="226"/>
        <v>0</v>
      </c>
      <c r="ES379" s="2040">
        <f t="shared" si="226"/>
        <v>0</v>
      </c>
      <c r="ET379" s="2040">
        <f t="shared" si="226"/>
        <v>0</v>
      </c>
      <c r="EU379" s="2039">
        <f t="shared" si="214"/>
        <v>0</v>
      </c>
      <c r="EV379" s="2039">
        <f t="shared" si="215"/>
        <v>0</v>
      </c>
    </row>
    <row r="380" spans="1:152" x14ac:dyDescent="0.25">
      <c r="A380" s="2126" t="s">
        <v>1016</v>
      </c>
      <c r="B380" s="2093" t="str">
        <f t="shared" si="234"/>
        <v/>
      </c>
      <c r="C380" s="1974">
        <v>10</v>
      </c>
      <c r="D380" s="2028">
        <v>20.576568549600005</v>
      </c>
      <c r="E380" s="2028">
        <v>6.7886315422358541E-3</v>
      </c>
      <c r="F380" s="2028">
        <v>5.3588189352600013</v>
      </c>
      <c r="G380" s="1974" t="s">
        <v>2997</v>
      </c>
      <c r="H380" s="1974" t="s">
        <v>2997</v>
      </c>
      <c r="I380" s="2026">
        <v>0.96199999999999997</v>
      </c>
      <c r="J380" s="2026">
        <v>0.96199999999999997</v>
      </c>
      <c r="K380" s="2026">
        <v>0.96199999999999997</v>
      </c>
      <c r="L380" s="2026">
        <v>0.96199999999999997</v>
      </c>
      <c r="M380" s="2027">
        <f t="shared" si="242"/>
        <v>19.794658944715202</v>
      </c>
      <c r="N380" s="2027">
        <f t="shared" si="242"/>
        <v>19.794658944715202</v>
      </c>
      <c r="O380" s="2027">
        <f t="shared" si="242"/>
        <v>19.794658944715202</v>
      </c>
      <c r="P380" s="2027">
        <f t="shared" si="242"/>
        <v>19.794658944715202</v>
      </c>
      <c r="Q380" s="2026">
        <v>0.96199999999999997</v>
      </c>
      <c r="R380" s="2026">
        <v>0.96199999999999997</v>
      </c>
      <c r="S380" s="2026">
        <v>0.96199999999999997</v>
      </c>
      <c r="T380" s="2026">
        <v>0.96199999999999997</v>
      </c>
      <c r="U380" s="2028">
        <f t="shared" si="243"/>
        <v>6.5306635436308911E-3</v>
      </c>
      <c r="V380" s="2028">
        <f t="shared" si="243"/>
        <v>6.5306635436308911E-3</v>
      </c>
      <c r="W380" s="2028">
        <f t="shared" si="243"/>
        <v>6.5306635436308911E-3</v>
      </c>
      <c r="X380" s="2028">
        <f t="shared" si="243"/>
        <v>6.5306635436308911E-3</v>
      </c>
      <c r="Y380" s="2026">
        <v>0.96199999999999997</v>
      </c>
      <c r="Z380" s="2026">
        <v>0.96199999999999997</v>
      </c>
      <c r="AA380" s="2026">
        <v>0.96199999999999997</v>
      </c>
      <c r="AB380" s="2026">
        <v>0.96199999999999997</v>
      </c>
      <c r="AC380" s="2027">
        <f t="shared" si="244"/>
        <v>5.1551838157201209</v>
      </c>
      <c r="AD380" s="2027">
        <f t="shared" si="244"/>
        <v>5.1551838157201209</v>
      </c>
      <c r="AE380" s="2027">
        <f t="shared" si="244"/>
        <v>5.1551838157201209</v>
      </c>
      <c r="AF380" s="2027">
        <f t="shared" si="244"/>
        <v>5.1551838157201209</v>
      </c>
      <c r="AG380" s="2027">
        <v>382</v>
      </c>
      <c r="AH380" s="2028">
        <v>232</v>
      </c>
      <c r="AI380" s="2028">
        <v>300</v>
      </c>
      <c r="AJ380" s="2028">
        <v>300</v>
      </c>
      <c r="AK380" s="2027">
        <f>AG380*M380</f>
        <v>7561.5597168812074</v>
      </c>
      <c r="AL380" s="2027">
        <f t="shared" si="236"/>
        <v>4592.3608751739266</v>
      </c>
      <c r="AM380" s="2027">
        <f t="shared" si="236"/>
        <v>5938.3976834145606</v>
      </c>
      <c r="AN380" s="2027">
        <f t="shared" si="236"/>
        <v>5938.3976834145606</v>
      </c>
      <c r="AO380" s="2027">
        <f t="shared" si="245"/>
        <v>1969.2802176050861</v>
      </c>
      <c r="AP380" s="2027">
        <f t="shared" si="237"/>
        <v>1196.0026452470681</v>
      </c>
      <c r="AQ380" s="2027">
        <f t="shared" si="237"/>
        <v>1546.5551447160362</v>
      </c>
      <c r="AR380" s="2027">
        <f t="shared" si="237"/>
        <v>1546.5551447160362</v>
      </c>
      <c r="AS380" s="2124">
        <v>3.456</v>
      </c>
      <c r="AT380" s="2029">
        <f t="shared" si="238"/>
        <v>3.456</v>
      </c>
      <c r="AU380" s="2029">
        <f t="shared" si="238"/>
        <v>3.456</v>
      </c>
      <c r="AV380" s="2029">
        <f t="shared" si="238"/>
        <v>3.456</v>
      </c>
      <c r="AW380" s="2124">
        <v>18.143999999999998</v>
      </c>
      <c r="AX380" s="2029">
        <f t="shared" si="216"/>
        <v>18.143999999999998</v>
      </c>
      <c r="AY380" s="2029">
        <f t="shared" si="216"/>
        <v>18.143999999999998</v>
      </c>
      <c r="AZ380" s="2029">
        <f t="shared" si="216"/>
        <v>18.143999999999998</v>
      </c>
      <c r="BA380" s="2124">
        <v>12</v>
      </c>
      <c r="BB380" s="2029">
        <f>$BA380</f>
        <v>12</v>
      </c>
      <c r="BC380" s="2029">
        <f t="shared" ref="BC380:BD381" si="247">$BA380</f>
        <v>12</v>
      </c>
      <c r="BD380" s="2029">
        <f t="shared" si="247"/>
        <v>12</v>
      </c>
      <c r="BE380" s="2030">
        <f t="shared" si="239"/>
        <v>1320.192</v>
      </c>
      <c r="BF380" s="2030">
        <f t="shared" si="239"/>
        <v>801.79200000000003</v>
      </c>
      <c r="BG380" s="2030">
        <f t="shared" si="239"/>
        <v>1036.8</v>
      </c>
      <c r="BH380" s="2030">
        <f t="shared" si="239"/>
        <v>1036.8</v>
      </c>
      <c r="BI380" s="2030">
        <f t="shared" si="240"/>
        <v>6931.0079999999998</v>
      </c>
      <c r="BJ380" s="2030">
        <f t="shared" si="240"/>
        <v>4209.4079999999994</v>
      </c>
      <c r="BK380" s="2030">
        <f t="shared" si="240"/>
        <v>5443.2</v>
      </c>
      <c r="BL380" s="2030">
        <f t="shared" si="240"/>
        <v>5443.2</v>
      </c>
      <c r="BM380" s="2125"/>
      <c r="BN380" s="2125"/>
      <c r="BO380" s="2125"/>
      <c r="BP380" s="2125"/>
      <c r="BQ380" s="2125"/>
      <c r="BR380" s="2125"/>
      <c r="BS380" s="2125"/>
      <c r="BT380" s="2125"/>
      <c r="BU380" s="2029"/>
      <c r="BV380" s="2029"/>
      <c r="BW380" s="2029"/>
      <c r="BX380" s="2029"/>
      <c r="BY380" s="2029"/>
      <c r="BZ380" s="2032"/>
      <c r="CA380" s="1974">
        <f t="shared" si="246"/>
        <v>1012.626405</v>
      </c>
      <c r="CB380" s="1974">
        <f t="shared" si="246"/>
        <v>0</v>
      </c>
      <c r="CC380" s="1974">
        <f t="shared" si="246"/>
        <v>0</v>
      </c>
      <c r="CD380" s="1974">
        <f t="shared" si="246"/>
        <v>0</v>
      </c>
      <c r="CE380" s="1974">
        <f t="shared" si="246"/>
        <v>0</v>
      </c>
      <c r="CF380" s="2033">
        <v>3.1609866334969781E-5</v>
      </c>
      <c r="CG380" s="2026">
        <v>7.346999099575852E-4</v>
      </c>
      <c r="CH380" s="2009">
        <f t="shared" si="246"/>
        <v>0</v>
      </c>
      <c r="CI380" s="2031">
        <f t="shared" si="246"/>
        <v>0</v>
      </c>
      <c r="CJ380" s="1974">
        <f t="shared" si="246"/>
        <v>0</v>
      </c>
      <c r="CK380" s="2031">
        <f t="shared" si="246"/>
        <v>0</v>
      </c>
      <c r="CL380" s="2026">
        <v>1</v>
      </c>
      <c r="CM380" s="2026">
        <v>1</v>
      </c>
      <c r="CN380" s="2026">
        <v>1</v>
      </c>
      <c r="CO380" s="2026">
        <v>1</v>
      </c>
      <c r="CP380" s="2035"/>
      <c r="CQ380" s="2036"/>
      <c r="CR380" s="2036"/>
      <c r="CS380" s="2036"/>
      <c r="CT380" s="2036"/>
      <c r="CU380" s="2036"/>
      <c r="CW380" s="1973">
        <v>0</v>
      </c>
      <c r="CX380" s="2037">
        <v>21.6</v>
      </c>
      <c r="CY380" s="2037">
        <v>21.6</v>
      </c>
      <c r="CZ380" s="2037">
        <v>21.6</v>
      </c>
      <c r="DA380" s="2037">
        <v>21.6</v>
      </c>
      <c r="DJ380" s="1976">
        <v>3.456</v>
      </c>
      <c r="DK380" s="1973">
        <v>3.456</v>
      </c>
      <c r="DL380" s="1973">
        <v>3.456</v>
      </c>
      <c r="DM380" s="1973">
        <v>3.456</v>
      </c>
      <c r="DO380" s="2047">
        <v>10</v>
      </c>
      <c r="DP380" s="2047">
        <v>20.576568549600005</v>
      </c>
      <c r="DQ380" s="2047">
        <v>6.7886315422358541E-3</v>
      </c>
      <c r="DR380" s="2047">
        <v>5.3588189352600013</v>
      </c>
      <c r="DS380" s="2046">
        <v>3.456</v>
      </c>
      <c r="DT380" s="2046">
        <v>3.456</v>
      </c>
      <c r="DU380" s="2046">
        <v>3.456</v>
      </c>
      <c r="DV380" s="2046">
        <v>3.456</v>
      </c>
      <c r="DW380" s="2046">
        <v>18.144000000000002</v>
      </c>
      <c r="DX380" s="2046">
        <v>18.144000000000002</v>
      </c>
      <c r="DY380" s="2046">
        <v>18.144000000000002</v>
      </c>
      <c r="DZ380" s="2046">
        <v>18.144000000000002</v>
      </c>
      <c r="EA380" s="2046">
        <v>12</v>
      </c>
      <c r="EB380" s="2046">
        <v>12</v>
      </c>
      <c r="EC380" s="2046">
        <v>12</v>
      </c>
      <c r="ED380" s="2046">
        <v>12</v>
      </c>
      <c r="EE380" s="2039">
        <f t="shared" si="213"/>
        <v>0</v>
      </c>
      <c r="EF380" s="2039">
        <f t="shared" si="213"/>
        <v>0</v>
      </c>
      <c r="EG380" s="2039">
        <f t="shared" si="213"/>
        <v>0</v>
      </c>
      <c r="EH380" s="2039">
        <f t="shared" si="213"/>
        <v>0</v>
      </c>
      <c r="EI380" s="2040">
        <f t="shared" si="233"/>
        <v>0</v>
      </c>
      <c r="EJ380" s="2040">
        <f t="shared" si="233"/>
        <v>0</v>
      </c>
      <c r="EK380" s="2040">
        <f t="shared" si="233"/>
        <v>0</v>
      </c>
      <c r="EL380" s="2040">
        <f t="shared" si="232"/>
        <v>0</v>
      </c>
      <c r="EM380" s="2040">
        <f t="shared" si="232"/>
        <v>0</v>
      </c>
      <c r="EN380" s="2040">
        <f t="shared" si="232"/>
        <v>0</v>
      </c>
      <c r="EO380" s="2040">
        <f t="shared" si="226"/>
        <v>0</v>
      </c>
      <c r="EP380" s="2040">
        <f t="shared" si="226"/>
        <v>0</v>
      </c>
      <c r="EQ380" s="2040">
        <f t="shared" si="226"/>
        <v>0</v>
      </c>
      <c r="ER380" s="2040">
        <f t="shared" si="226"/>
        <v>0</v>
      </c>
      <c r="ES380" s="2040">
        <f t="shared" si="226"/>
        <v>0</v>
      </c>
      <c r="ET380" s="2040">
        <f t="shared" si="226"/>
        <v>0</v>
      </c>
      <c r="EU380" s="2039">
        <f t="shared" si="214"/>
        <v>0</v>
      </c>
      <c r="EV380" s="2039">
        <f t="shared" si="215"/>
        <v>0</v>
      </c>
    </row>
    <row r="381" spans="1:152" x14ac:dyDescent="0.25">
      <c r="A381" s="2126" t="s">
        <v>2998</v>
      </c>
      <c r="B381" s="1974" t="str">
        <f t="shared" si="234"/>
        <v/>
      </c>
      <c r="C381" s="1974">
        <f t="shared" si="241"/>
        <v>15</v>
      </c>
      <c r="D381" s="1974">
        <f t="shared" si="241"/>
        <v>42.69534774200001</v>
      </c>
      <c r="E381" s="1974">
        <f t="shared" si="241"/>
        <v>9.1439273599999999E-3</v>
      </c>
      <c r="F381" s="1974">
        <f t="shared" si="241"/>
        <v>-0.86174096360000019</v>
      </c>
      <c r="G381" s="1974" t="s">
        <v>2997</v>
      </c>
      <c r="H381" s="1974" t="s">
        <v>2997</v>
      </c>
      <c r="I381" s="2026">
        <v>0.96199999999999997</v>
      </c>
      <c r="J381" s="2026">
        <v>0.96199999999999997</v>
      </c>
      <c r="K381" s="2026">
        <v>0.96199999999999997</v>
      </c>
      <c r="L381" s="2026">
        <v>0.96199999999999997</v>
      </c>
      <c r="M381" s="2027">
        <f t="shared" si="242"/>
        <v>41.072924527804005</v>
      </c>
      <c r="N381" s="2027">
        <f t="shared" si="242"/>
        <v>41.072924527804005</v>
      </c>
      <c r="O381" s="2027">
        <f t="shared" si="242"/>
        <v>41.072924527804005</v>
      </c>
      <c r="P381" s="2027">
        <f t="shared" si="242"/>
        <v>41.072924527804005</v>
      </c>
      <c r="Q381" s="2026">
        <v>0.96199999999999997</v>
      </c>
      <c r="R381" s="2026">
        <v>0.96199999999999997</v>
      </c>
      <c r="S381" s="2026">
        <v>0.96199999999999997</v>
      </c>
      <c r="T381" s="2026">
        <v>0.96199999999999997</v>
      </c>
      <c r="U381" s="2028">
        <f t="shared" si="243"/>
        <v>8.7964581203199988E-3</v>
      </c>
      <c r="V381" s="2028">
        <f t="shared" si="243"/>
        <v>8.7964581203199988E-3</v>
      </c>
      <c r="W381" s="2028">
        <f t="shared" si="243"/>
        <v>8.7964581203199988E-3</v>
      </c>
      <c r="X381" s="2028">
        <f t="shared" si="243"/>
        <v>8.7964581203199988E-3</v>
      </c>
      <c r="Y381" s="2026">
        <v>0.96199999999999997</v>
      </c>
      <c r="Z381" s="2026">
        <v>0.96199999999999997</v>
      </c>
      <c r="AA381" s="2026">
        <v>0.96199999999999997</v>
      </c>
      <c r="AB381" s="2026">
        <v>0.96199999999999997</v>
      </c>
      <c r="AC381" s="2027">
        <f t="shared" si="244"/>
        <v>-0.82899480698320016</v>
      </c>
      <c r="AD381" s="2027">
        <f t="shared" si="244"/>
        <v>-0.82899480698320016</v>
      </c>
      <c r="AE381" s="2027">
        <f t="shared" si="244"/>
        <v>-0.82899480698320016</v>
      </c>
      <c r="AF381" s="2027">
        <f t="shared" si="244"/>
        <v>-0.82899480698320016</v>
      </c>
      <c r="AG381" s="2027">
        <v>158000</v>
      </c>
      <c r="AH381" s="2027">
        <v>160000</v>
      </c>
      <c r="AI381" s="2027">
        <v>162000</v>
      </c>
      <c r="AJ381" s="2027">
        <v>162000</v>
      </c>
      <c r="AK381" s="2027">
        <f>AG381*M381</f>
        <v>6489522.0753930332</v>
      </c>
      <c r="AL381" s="2027">
        <f t="shared" si="236"/>
        <v>5848784.452759291</v>
      </c>
      <c r="AM381" s="2027">
        <f t="shared" si="236"/>
        <v>5921894.2584187817</v>
      </c>
      <c r="AN381" s="2027">
        <f t="shared" si="236"/>
        <v>5921894.2584187817</v>
      </c>
      <c r="AO381" s="2027">
        <f t="shared" si="245"/>
        <v>-130981.17950334563</v>
      </c>
      <c r="AP381" s="2027">
        <f t="shared" si="237"/>
        <v>-118048.86051440772</v>
      </c>
      <c r="AQ381" s="2027">
        <f t="shared" si="237"/>
        <v>-119524.47127083781</v>
      </c>
      <c r="AR381" s="2027">
        <f t="shared" si="237"/>
        <v>-119524.47127083781</v>
      </c>
      <c r="AS381" s="2029">
        <v>12</v>
      </c>
      <c r="AT381" s="2029">
        <v>11</v>
      </c>
      <c r="AU381" s="2029">
        <v>10</v>
      </c>
      <c r="AV381" s="2029">
        <v>10</v>
      </c>
      <c r="AW381" s="2029">
        <f t="shared" ref="AW381:AW398" si="248">AW137*1.3</f>
        <v>0</v>
      </c>
      <c r="AX381" s="2029">
        <f t="shared" si="216"/>
        <v>0</v>
      </c>
      <c r="AY381" s="2029">
        <f t="shared" si="216"/>
        <v>0</v>
      </c>
      <c r="AZ381" s="2029">
        <f t="shared" si="216"/>
        <v>0</v>
      </c>
      <c r="BA381" s="2029">
        <f t="shared" ref="BA381:BD396" si="249">BA137</f>
        <v>4.1099999999999994</v>
      </c>
      <c r="BB381" s="2029">
        <f>$BA381</f>
        <v>4.1099999999999994</v>
      </c>
      <c r="BC381" s="2029">
        <f t="shared" si="247"/>
        <v>4.1099999999999994</v>
      </c>
      <c r="BD381" s="2029">
        <f t="shared" si="247"/>
        <v>4.1099999999999994</v>
      </c>
      <c r="BE381" s="2030">
        <f t="shared" si="239"/>
        <v>1896000</v>
      </c>
      <c r="BF381" s="2030">
        <f t="shared" si="239"/>
        <v>1760000</v>
      </c>
      <c r="BG381" s="2030">
        <f t="shared" si="239"/>
        <v>1620000</v>
      </c>
      <c r="BH381" s="2030">
        <f t="shared" si="239"/>
        <v>1620000</v>
      </c>
      <c r="BI381" s="2030">
        <f t="shared" si="240"/>
        <v>0</v>
      </c>
      <c r="BJ381" s="2030">
        <f t="shared" si="240"/>
        <v>0</v>
      </c>
      <c r="BK381" s="2030">
        <f t="shared" si="240"/>
        <v>0</v>
      </c>
      <c r="BL381" s="2030">
        <f t="shared" si="240"/>
        <v>0</v>
      </c>
      <c r="BM381" s="2125"/>
      <c r="BN381" s="2125"/>
      <c r="BO381" s="2125"/>
      <c r="BP381" s="2125"/>
      <c r="BQ381" s="2125"/>
      <c r="BR381" s="2125"/>
      <c r="BS381" s="2125"/>
      <c r="BT381" s="2125"/>
      <c r="BU381" s="2029"/>
      <c r="BV381" s="2029"/>
      <c r="BW381" s="2029"/>
      <c r="BX381" s="2029"/>
      <c r="BY381" s="2029"/>
      <c r="BZ381" s="2032"/>
      <c r="CA381" s="1974">
        <f t="shared" si="246"/>
        <v>0</v>
      </c>
      <c r="CB381" s="1974">
        <f t="shared" si="246"/>
        <v>0</v>
      </c>
      <c r="CC381" s="1974">
        <f t="shared" si="246"/>
        <v>0</v>
      </c>
      <c r="CD381" s="1974">
        <f t="shared" si="246"/>
        <v>0</v>
      </c>
      <c r="CE381" s="1974">
        <f t="shared" si="246"/>
        <v>1</v>
      </c>
      <c r="CF381" s="2033">
        <v>2.7128387933384897E-2</v>
      </c>
      <c r="CG381" s="2026">
        <v>-4.8866514743278855E-2</v>
      </c>
      <c r="CH381" s="2009">
        <f t="shared" si="246"/>
        <v>1</v>
      </c>
      <c r="CI381" s="2031">
        <f t="shared" si="246"/>
        <v>1.176912501648</v>
      </c>
      <c r="CJ381" s="1974">
        <f t="shared" si="246"/>
        <v>0</v>
      </c>
      <c r="CK381" s="2031">
        <f t="shared" si="246"/>
        <v>-1.176912501648</v>
      </c>
      <c r="CL381" s="2026">
        <v>1</v>
      </c>
      <c r="CM381" s="2026">
        <v>0.89</v>
      </c>
      <c r="CN381" s="2026">
        <v>0.89</v>
      </c>
      <c r="CO381" s="2026">
        <v>0.89</v>
      </c>
      <c r="CP381" s="2035"/>
      <c r="CQ381" s="2036"/>
      <c r="CR381" s="2036"/>
      <c r="CS381" s="2036"/>
      <c r="CT381" s="2036"/>
      <c r="CU381" s="2036"/>
      <c r="CW381" s="1973">
        <v>1</v>
      </c>
      <c r="CX381" s="2037">
        <v>12</v>
      </c>
      <c r="CY381" s="2037">
        <v>11</v>
      </c>
      <c r="CZ381" s="2037">
        <v>10</v>
      </c>
      <c r="DA381" s="2037">
        <v>10</v>
      </c>
      <c r="DJ381" s="1976">
        <v>12</v>
      </c>
      <c r="DK381" s="1973">
        <v>11</v>
      </c>
      <c r="DL381" s="1973">
        <v>10</v>
      </c>
      <c r="DM381" s="1973">
        <v>10</v>
      </c>
      <c r="DO381" s="1974">
        <v>15</v>
      </c>
      <c r="DP381" s="1974">
        <v>42.69534774200001</v>
      </c>
      <c r="DQ381" s="1974">
        <v>9.1439273599999999E-3</v>
      </c>
      <c r="DR381" s="1974">
        <v>-0.86174096360000019</v>
      </c>
      <c r="DS381" s="2029">
        <v>12</v>
      </c>
      <c r="DT381" s="2029">
        <v>11</v>
      </c>
      <c r="DU381" s="2029">
        <v>10</v>
      </c>
      <c r="DV381" s="2029">
        <v>10</v>
      </c>
      <c r="DW381" s="2029">
        <v>0</v>
      </c>
      <c r="DX381" s="2029">
        <v>0</v>
      </c>
      <c r="DY381" s="2029">
        <v>0</v>
      </c>
      <c r="DZ381" s="2029">
        <v>0</v>
      </c>
      <c r="EA381" s="2029">
        <v>4.1099999999999994</v>
      </c>
      <c r="EB381" s="2029">
        <v>4.1099999999999994</v>
      </c>
      <c r="EC381" s="2029">
        <v>4.1099999999999994</v>
      </c>
      <c r="ED381" s="2029">
        <v>4.1099999999999994</v>
      </c>
      <c r="EE381" s="2039">
        <f t="shared" si="213"/>
        <v>0</v>
      </c>
      <c r="EF381" s="2039">
        <f t="shared" si="213"/>
        <v>0</v>
      </c>
      <c r="EG381" s="2039">
        <f t="shared" si="213"/>
        <v>0</v>
      </c>
      <c r="EH381" s="2039">
        <f t="shared" si="213"/>
        <v>0</v>
      </c>
      <c r="EI381" s="2040">
        <f t="shared" si="233"/>
        <v>0</v>
      </c>
      <c r="EJ381" s="2040">
        <f t="shared" si="233"/>
        <v>0</v>
      </c>
      <c r="EK381" s="2040">
        <f t="shared" si="233"/>
        <v>0</v>
      </c>
      <c r="EL381" s="2040">
        <f t="shared" si="232"/>
        <v>0</v>
      </c>
      <c r="EM381" s="2040">
        <f t="shared" si="232"/>
        <v>0</v>
      </c>
      <c r="EN381" s="2040">
        <f t="shared" si="232"/>
        <v>0</v>
      </c>
      <c r="EO381" s="2040">
        <f t="shared" si="226"/>
        <v>0</v>
      </c>
      <c r="EP381" s="2040">
        <f t="shared" si="226"/>
        <v>0</v>
      </c>
      <c r="EQ381" s="2040">
        <f t="shared" si="226"/>
        <v>0</v>
      </c>
      <c r="ER381" s="2040">
        <f t="shared" si="226"/>
        <v>0</v>
      </c>
      <c r="ES381" s="2040">
        <f t="shared" si="226"/>
        <v>0</v>
      </c>
      <c r="ET381" s="2040">
        <f t="shared" si="226"/>
        <v>0</v>
      </c>
      <c r="EU381" s="2039">
        <f t="shared" si="214"/>
        <v>0</v>
      </c>
      <c r="EV381" s="2039">
        <f t="shared" si="215"/>
        <v>0</v>
      </c>
    </row>
    <row r="382" spans="1:152" x14ac:dyDescent="0.25">
      <c r="A382" s="2126" t="s">
        <v>173</v>
      </c>
      <c r="B382" s="1974" t="str">
        <f t="shared" si="234"/>
        <v/>
      </c>
      <c r="C382" s="1974">
        <f t="shared" si="241"/>
        <v>10.197838058331634</v>
      </c>
      <c r="D382" s="1974">
        <f t="shared" si="241"/>
        <v>511.38289999999995</v>
      </c>
      <c r="E382" s="1974">
        <f t="shared" si="241"/>
        <v>0</v>
      </c>
      <c r="F382" s="1974">
        <f t="shared" si="241"/>
        <v>0</v>
      </c>
      <c r="G382" s="1974" t="s">
        <v>2997</v>
      </c>
      <c r="H382" s="1974" t="s">
        <v>2997</v>
      </c>
      <c r="I382" s="2026">
        <v>0.96199999999999997</v>
      </c>
      <c r="J382" s="2026">
        <v>0.96199999999999997</v>
      </c>
      <c r="K382" s="2026">
        <v>0.96199999999999997</v>
      </c>
      <c r="L382" s="2026">
        <v>0.96199999999999997</v>
      </c>
      <c r="M382" s="2027">
        <f t="shared" si="242"/>
        <v>491.95034979999991</v>
      </c>
      <c r="N382" s="2027">
        <f t="shared" si="242"/>
        <v>491.95034979999991</v>
      </c>
      <c r="O382" s="2027">
        <f t="shared" si="242"/>
        <v>491.95034979999991</v>
      </c>
      <c r="P382" s="2027">
        <f t="shared" si="242"/>
        <v>491.95034979999991</v>
      </c>
      <c r="Q382" s="2026">
        <v>0.96199999999999997</v>
      </c>
      <c r="R382" s="2026">
        <v>0.96199999999999997</v>
      </c>
      <c r="S382" s="2026">
        <v>0.96199999999999997</v>
      </c>
      <c r="T382" s="2026">
        <v>0.96199999999999997</v>
      </c>
      <c r="U382" s="2028">
        <f t="shared" si="243"/>
        <v>0</v>
      </c>
      <c r="V382" s="2028">
        <f t="shared" si="243"/>
        <v>0</v>
      </c>
      <c r="W382" s="2028">
        <f t="shared" si="243"/>
        <v>0</v>
      </c>
      <c r="X382" s="2028">
        <f t="shared" si="243"/>
        <v>0</v>
      </c>
      <c r="Y382" s="2026">
        <v>0.96199999999999997</v>
      </c>
      <c r="Z382" s="2026">
        <v>0.96199999999999997</v>
      </c>
      <c r="AA382" s="2026">
        <v>0.96199999999999997</v>
      </c>
      <c r="AB382" s="2026">
        <v>0.96199999999999997</v>
      </c>
      <c r="AC382" s="2027">
        <f t="shared" si="244"/>
        <v>0</v>
      </c>
      <c r="AD382" s="2027">
        <f t="shared" si="244"/>
        <v>0</v>
      </c>
      <c r="AE382" s="2027">
        <f t="shared" si="244"/>
        <v>0</v>
      </c>
      <c r="AF382" s="2027">
        <f t="shared" si="244"/>
        <v>0</v>
      </c>
      <c r="AG382" s="2027">
        <v>0</v>
      </c>
      <c r="AH382" s="2027">
        <v>0</v>
      </c>
      <c r="AI382" s="2027">
        <v>0</v>
      </c>
      <c r="AJ382" s="2027">
        <v>0</v>
      </c>
      <c r="AK382" s="2027">
        <f t="shared" ref="AK382:AK445" si="250">AG382*M382</f>
        <v>0</v>
      </c>
      <c r="AL382" s="2027">
        <f t="shared" si="236"/>
        <v>0</v>
      </c>
      <c r="AM382" s="2027">
        <f t="shared" si="236"/>
        <v>0</v>
      </c>
      <c r="AN382" s="2027">
        <f t="shared" si="236"/>
        <v>0</v>
      </c>
      <c r="AO382" s="2027">
        <f t="shared" si="245"/>
        <v>0</v>
      </c>
      <c r="AP382" s="2027">
        <f t="shared" si="237"/>
        <v>0</v>
      </c>
      <c r="AQ382" s="2027">
        <f t="shared" si="237"/>
        <v>0</v>
      </c>
      <c r="AR382" s="2027">
        <f t="shared" si="237"/>
        <v>0</v>
      </c>
      <c r="AS382" s="2029">
        <f>AS138*2.3</f>
        <v>92</v>
      </c>
      <c r="AT382" s="2029">
        <f t="shared" si="238"/>
        <v>92</v>
      </c>
      <c r="AU382" s="2029">
        <f t="shared" si="238"/>
        <v>92</v>
      </c>
      <c r="AV382" s="2029">
        <f t="shared" si="238"/>
        <v>92</v>
      </c>
      <c r="AW382" s="2029">
        <f t="shared" si="248"/>
        <v>0</v>
      </c>
      <c r="AX382" s="2029">
        <f t="shared" si="216"/>
        <v>0</v>
      </c>
      <c r="AY382" s="2029">
        <f t="shared" si="216"/>
        <v>0</v>
      </c>
      <c r="AZ382" s="2029">
        <f t="shared" si="216"/>
        <v>0</v>
      </c>
      <c r="BA382" s="2029">
        <f t="shared" si="249"/>
        <v>143.75</v>
      </c>
      <c r="BB382" s="2029">
        <f t="shared" si="249"/>
        <v>143.75</v>
      </c>
      <c r="BC382" s="2029">
        <f t="shared" si="249"/>
        <v>143.75</v>
      </c>
      <c r="BD382" s="2029">
        <f t="shared" si="249"/>
        <v>143.75</v>
      </c>
      <c r="BE382" s="2030">
        <f t="shared" si="239"/>
        <v>0</v>
      </c>
      <c r="BF382" s="2030">
        <f t="shared" si="239"/>
        <v>0</v>
      </c>
      <c r="BG382" s="2030">
        <f t="shared" si="239"/>
        <v>0</v>
      </c>
      <c r="BH382" s="2030">
        <f t="shared" si="239"/>
        <v>0</v>
      </c>
      <c r="BI382" s="2030">
        <f t="shared" si="240"/>
        <v>0</v>
      </c>
      <c r="BJ382" s="2030">
        <f t="shared" si="240"/>
        <v>0</v>
      </c>
      <c r="BK382" s="2030">
        <f t="shared" si="240"/>
        <v>0</v>
      </c>
      <c r="BL382" s="2030">
        <f t="shared" si="240"/>
        <v>0</v>
      </c>
      <c r="BM382" s="2125"/>
      <c r="BN382" s="2125"/>
      <c r="BO382" s="2125"/>
      <c r="BP382" s="2125"/>
      <c r="BQ382" s="2125"/>
      <c r="BR382" s="2125"/>
      <c r="BS382" s="2125"/>
      <c r="BT382" s="2125"/>
      <c r="BU382" s="2029"/>
      <c r="BV382" s="2029"/>
      <c r="BW382" s="2029"/>
      <c r="BX382" s="2029"/>
      <c r="BY382" s="2029"/>
      <c r="BZ382" s="2032"/>
      <c r="CA382" s="1974">
        <f t="shared" si="246"/>
        <v>0</v>
      </c>
      <c r="CB382" s="1974">
        <f t="shared" si="246"/>
        <v>0</v>
      </c>
      <c r="CC382" s="1974">
        <f t="shared" si="246"/>
        <v>0</v>
      </c>
      <c r="CD382" s="1974">
        <f t="shared" si="246"/>
        <v>0</v>
      </c>
      <c r="CE382" s="1974">
        <f t="shared" si="246"/>
        <v>0</v>
      </c>
      <c r="CF382" s="2033">
        <v>0</v>
      </c>
      <c r="CG382" s="2026">
        <v>0</v>
      </c>
      <c r="CH382" s="2009">
        <f t="shared" si="246"/>
        <v>1</v>
      </c>
      <c r="CI382" s="2031">
        <f t="shared" si="246"/>
        <v>24.764039713333329</v>
      </c>
      <c r="CJ382" s="1974">
        <f t="shared" si="246"/>
        <v>0</v>
      </c>
      <c r="CK382" s="2031">
        <f t="shared" si="246"/>
        <v>-24.764039713333329</v>
      </c>
      <c r="CL382" s="2026">
        <v>1</v>
      </c>
      <c r="CM382" s="2026">
        <v>1</v>
      </c>
      <c r="CN382" s="2026">
        <v>1</v>
      </c>
      <c r="CO382" s="2026">
        <v>1</v>
      </c>
      <c r="CP382" s="2035"/>
      <c r="CQ382" s="2036"/>
      <c r="CR382" s="2036"/>
      <c r="CS382" s="2036"/>
      <c r="CT382" s="2036"/>
      <c r="CU382" s="2036"/>
      <c r="CW382" s="1973">
        <v>1</v>
      </c>
      <c r="CX382" s="2037">
        <v>92</v>
      </c>
      <c r="CY382" s="2037">
        <v>92</v>
      </c>
      <c r="CZ382" s="2037">
        <v>92</v>
      </c>
      <c r="DA382" s="2037">
        <v>92</v>
      </c>
      <c r="DJ382" s="1976">
        <v>92</v>
      </c>
      <c r="DK382" s="1973">
        <v>92</v>
      </c>
      <c r="DL382" s="1973">
        <v>92</v>
      </c>
      <c r="DM382" s="1973">
        <v>92</v>
      </c>
      <c r="DO382" s="1974">
        <v>10.197838058331634</v>
      </c>
      <c r="DP382" s="1974">
        <v>511.38289999999995</v>
      </c>
      <c r="DQ382" s="1974">
        <v>0</v>
      </c>
      <c r="DR382" s="1974">
        <v>0</v>
      </c>
      <c r="DS382" s="2029">
        <v>92</v>
      </c>
      <c r="DT382" s="2029">
        <v>92</v>
      </c>
      <c r="DU382" s="2029">
        <v>92</v>
      </c>
      <c r="DV382" s="2029">
        <v>92</v>
      </c>
      <c r="DW382" s="2029">
        <v>0</v>
      </c>
      <c r="DX382" s="2029">
        <v>0</v>
      </c>
      <c r="DY382" s="2029">
        <v>0</v>
      </c>
      <c r="DZ382" s="2029">
        <v>0</v>
      </c>
      <c r="EA382" s="2029">
        <v>143.75</v>
      </c>
      <c r="EB382" s="2029">
        <v>143.75</v>
      </c>
      <c r="EC382" s="2029">
        <v>143.75</v>
      </c>
      <c r="ED382" s="2029">
        <v>143.75</v>
      </c>
      <c r="EE382" s="2039">
        <f t="shared" si="213"/>
        <v>0</v>
      </c>
      <c r="EF382" s="2039">
        <f t="shared" si="213"/>
        <v>0</v>
      </c>
      <c r="EG382" s="2039">
        <f t="shared" si="213"/>
        <v>0</v>
      </c>
      <c r="EH382" s="2039">
        <f t="shared" si="213"/>
        <v>0</v>
      </c>
      <c r="EI382" s="2040">
        <f t="shared" si="233"/>
        <v>0</v>
      </c>
      <c r="EJ382" s="2040">
        <f t="shared" si="233"/>
        <v>0</v>
      </c>
      <c r="EK382" s="2040">
        <f t="shared" si="233"/>
        <v>0</v>
      </c>
      <c r="EL382" s="2040">
        <f t="shared" si="232"/>
        <v>0</v>
      </c>
      <c r="EM382" s="2040">
        <f t="shared" si="232"/>
        <v>0</v>
      </c>
      <c r="EN382" s="2040">
        <f t="shared" si="232"/>
        <v>0</v>
      </c>
      <c r="EO382" s="2040">
        <f t="shared" si="226"/>
        <v>0</v>
      </c>
      <c r="EP382" s="2040">
        <f t="shared" si="226"/>
        <v>0</v>
      </c>
      <c r="EQ382" s="2040">
        <f t="shared" si="226"/>
        <v>0</v>
      </c>
      <c r="ER382" s="2040">
        <f t="shared" si="226"/>
        <v>0</v>
      </c>
      <c r="ES382" s="2040">
        <f t="shared" si="226"/>
        <v>0</v>
      </c>
      <c r="ET382" s="2040">
        <f t="shared" si="226"/>
        <v>0</v>
      </c>
      <c r="EU382" s="2039">
        <f t="shared" si="214"/>
        <v>0</v>
      </c>
      <c r="EV382" s="2039">
        <f t="shared" si="215"/>
        <v>0</v>
      </c>
    </row>
    <row r="383" spans="1:152" x14ac:dyDescent="0.25">
      <c r="A383" s="2088" t="s">
        <v>244</v>
      </c>
      <c r="B383" s="2093" t="str">
        <f t="shared" si="234"/>
        <v/>
      </c>
      <c r="C383" s="1974">
        <f t="shared" si="241"/>
        <v>12.8</v>
      </c>
      <c r="D383" s="1974">
        <f t="shared" si="241"/>
        <v>1445.31</v>
      </c>
      <c r="E383" s="1974">
        <f t="shared" si="241"/>
        <v>4.7999999999999996E-3</v>
      </c>
      <c r="F383" s="1974">
        <f t="shared" si="241"/>
        <v>0</v>
      </c>
      <c r="G383" s="1974" t="s">
        <v>2997</v>
      </c>
      <c r="H383" s="1974" t="s">
        <v>2997</v>
      </c>
      <c r="I383" s="2026">
        <v>0.96199999999999997</v>
      </c>
      <c r="J383" s="2026">
        <v>0.96199999999999997</v>
      </c>
      <c r="K383" s="2026">
        <v>0.96199999999999997</v>
      </c>
      <c r="L383" s="2026">
        <v>0.96199999999999997</v>
      </c>
      <c r="M383" s="2027">
        <f t="shared" si="242"/>
        <v>1390.3882199999998</v>
      </c>
      <c r="N383" s="2027">
        <f t="shared" si="242"/>
        <v>1390.3882199999998</v>
      </c>
      <c r="O383" s="2027">
        <f t="shared" si="242"/>
        <v>1390.3882199999998</v>
      </c>
      <c r="P383" s="2027">
        <f t="shared" si="242"/>
        <v>1390.3882199999998</v>
      </c>
      <c r="Q383" s="2026">
        <v>0.96199999999999997</v>
      </c>
      <c r="R383" s="2026">
        <v>0.96199999999999997</v>
      </c>
      <c r="S383" s="2026">
        <v>0.96199999999999997</v>
      </c>
      <c r="T383" s="2026">
        <v>0.96199999999999997</v>
      </c>
      <c r="U383" s="2028">
        <f t="shared" si="243"/>
        <v>4.6175999999999995E-3</v>
      </c>
      <c r="V383" s="2028">
        <f t="shared" si="243"/>
        <v>4.6175999999999995E-3</v>
      </c>
      <c r="W383" s="2028">
        <f t="shared" si="243"/>
        <v>4.6175999999999995E-3</v>
      </c>
      <c r="X383" s="2028">
        <f t="shared" si="243"/>
        <v>4.6175999999999995E-3</v>
      </c>
      <c r="Y383" s="2026">
        <v>0.96199999999999997</v>
      </c>
      <c r="Z383" s="2026">
        <v>0.96199999999999997</v>
      </c>
      <c r="AA383" s="2026">
        <v>0.96199999999999997</v>
      </c>
      <c r="AB383" s="2026">
        <v>0.96199999999999997</v>
      </c>
      <c r="AC383" s="2027">
        <f t="shared" si="244"/>
        <v>0</v>
      </c>
      <c r="AD383" s="2027">
        <f t="shared" si="244"/>
        <v>0</v>
      </c>
      <c r="AE383" s="2027">
        <f t="shared" si="244"/>
        <v>0</v>
      </c>
      <c r="AF383" s="2027">
        <f t="shared" si="244"/>
        <v>0</v>
      </c>
      <c r="AG383" s="2027">
        <v>0</v>
      </c>
      <c r="AH383" s="2028"/>
      <c r="AI383" s="2028"/>
      <c r="AJ383" s="2028"/>
      <c r="AK383" s="2027">
        <f t="shared" si="250"/>
        <v>0</v>
      </c>
      <c r="AL383" s="2027">
        <f t="shared" si="236"/>
        <v>0</v>
      </c>
      <c r="AM383" s="2027">
        <f t="shared" si="236"/>
        <v>0</v>
      </c>
      <c r="AN383" s="2027">
        <f t="shared" si="236"/>
        <v>0</v>
      </c>
      <c r="AO383" s="2027">
        <f t="shared" si="245"/>
        <v>0</v>
      </c>
      <c r="AP383" s="2027">
        <f t="shared" si="237"/>
        <v>0</v>
      </c>
      <c r="AQ383" s="2027">
        <f t="shared" si="237"/>
        <v>0</v>
      </c>
      <c r="AR383" s="2027">
        <f t="shared" si="237"/>
        <v>0</v>
      </c>
      <c r="AS383" s="2124">
        <f t="shared" ref="AS383:AS390" si="251">AS139*1.5</f>
        <v>156.35999999999999</v>
      </c>
      <c r="AT383" s="2029">
        <f t="shared" si="238"/>
        <v>156.35999999999999</v>
      </c>
      <c r="AU383" s="2029">
        <f t="shared" si="238"/>
        <v>156.35999999999999</v>
      </c>
      <c r="AV383" s="2029">
        <f t="shared" si="238"/>
        <v>156.35999999999999</v>
      </c>
      <c r="AW383" s="2124">
        <f t="shared" si="248"/>
        <v>0</v>
      </c>
      <c r="AX383" s="2029">
        <f t="shared" si="216"/>
        <v>0</v>
      </c>
      <c r="AY383" s="2029">
        <f t="shared" si="216"/>
        <v>0</v>
      </c>
      <c r="AZ383" s="2029">
        <f t="shared" si="216"/>
        <v>0</v>
      </c>
      <c r="BA383" s="2124">
        <f t="shared" si="249"/>
        <v>408.28</v>
      </c>
      <c r="BB383" s="2029">
        <f t="shared" si="249"/>
        <v>408.28</v>
      </c>
      <c r="BC383" s="2029">
        <f t="shared" si="249"/>
        <v>408.28</v>
      </c>
      <c r="BD383" s="2029">
        <f t="shared" si="249"/>
        <v>408.28</v>
      </c>
      <c r="BE383" s="2030">
        <f t="shared" si="239"/>
        <v>0</v>
      </c>
      <c r="BF383" s="2030">
        <f t="shared" si="239"/>
        <v>0</v>
      </c>
      <c r="BG383" s="2030">
        <f t="shared" si="239"/>
        <v>0</v>
      </c>
      <c r="BH383" s="2030">
        <f t="shared" si="239"/>
        <v>0</v>
      </c>
      <c r="BI383" s="2030">
        <f t="shared" si="240"/>
        <v>0</v>
      </c>
      <c r="BJ383" s="2030">
        <f t="shared" si="240"/>
        <v>0</v>
      </c>
      <c r="BK383" s="2030">
        <f t="shared" si="240"/>
        <v>0</v>
      </c>
      <c r="BL383" s="2030">
        <f t="shared" si="240"/>
        <v>0</v>
      </c>
      <c r="BM383" s="2125"/>
      <c r="BN383" s="2125"/>
      <c r="BO383" s="2125"/>
      <c r="BP383" s="2125"/>
      <c r="BQ383" s="2125"/>
      <c r="BR383" s="2125"/>
      <c r="BS383" s="2125"/>
      <c r="BT383" s="2125"/>
      <c r="BU383" s="2029"/>
      <c r="BV383" s="2029"/>
      <c r="BW383" s="2029"/>
      <c r="BX383" s="2029"/>
      <c r="BY383" s="2029"/>
      <c r="BZ383" s="2032"/>
      <c r="CA383" s="1974">
        <f t="shared" si="246"/>
        <v>0</v>
      </c>
      <c r="CB383" s="1974">
        <f t="shared" si="246"/>
        <v>0</v>
      </c>
      <c r="CC383" s="1974">
        <f t="shared" si="246"/>
        <v>0</v>
      </c>
      <c r="CD383" s="1974">
        <f t="shared" si="246"/>
        <v>0</v>
      </c>
      <c r="CE383" s="1974">
        <f t="shared" si="246"/>
        <v>0</v>
      </c>
      <c r="CF383" s="2033">
        <v>0</v>
      </c>
      <c r="CG383" s="2026">
        <v>0</v>
      </c>
      <c r="CH383" s="2009">
        <f t="shared" si="246"/>
        <v>1</v>
      </c>
      <c r="CI383" s="2031">
        <f t="shared" si="246"/>
        <v>19.729661458333329</v>
      </c>
      <c r="CJ383" s="1974">
        <f t="shared" si="246"/>
        <v>0</v>
      </c>
      <c r="CK383" s="2031">
        <f t="shared" si="246"/>
        <v>-19.729661458333329</v>
      </c>
      <c r="CL383" s="2026">
        <v>1</v>
      </c>
      <c r="CM383" s="2026">
        <v>1</v>
      </c>
      <c r="CN383" s="2026">
        <v>1</v>
      </c>
      <c r="CO383" s="2026">
        <v>1</v>
      </c>
      <c r="CP383" s="2035"/>
      <c r="CQ383" s="2036"/>
      <c r="CR383" s="2036"/>
      <c r="CS383" s="2036"/>
      <c r="CT383" s="2036"/>
      <c r="CU383" s="2036"/>
      <c r="CW383" s="1973">
        <v>0</v>
      </c>
      <c r="CX383" s="2037">
        <v>156.35999999999999</v>
      </c>
      <c r="CY383" s="2037">
        <v>156.35999999999999</v>
      </c>
      <c r="CZ383" s="2037">
        <v>156.35999999999999</v>
      </c>
      <c r="DA383" s="2037">
        <v>156.35999999999999</v>
      </c>
      <c r="DJ383" s="1976">
        <v>156.35999999999999</v>
      </c>
      <c r="DK383" s="1973">
        <v>156.35999999999999</v>
      </c>
      <c r="DL383" s="1973">
        <v>156.35999999999999</v>
      </c>
      <c r="DM383" s="1973">
        <v>156.35999999999999</v>
      </c>
      <c r="DO383" s="1974">
        <v>12.8</v>
      </c>
      <c r="DP383" s="1974">
        <v>1445.31</v>
      </c>
      <c r="DQ383" s="1974">
        <v>4.7999999999999996E-3</v>
      </c>
      <c r="DR383" s="1974">
        <v>0</v>
      </c>
      <c r="DS383" s="2124">
        <v>156.35999999999999</v>
      </c>
      <c r="DT383" s="2029">
        <v>156.35999999999999</v>
      </c>
      <c r="DU383" s="2029">
        <v>156.35999999999999</v>
      </c>
      <c r="DV383" s="2029">
        <v>156.35999999999999</v>
      </c>
      <c r="DW383" s="2124">
        <v>0</v>
      </c>
      <c r="DX383" s="2029">
        <v>0</v>
      </c>
      <c r="DY383" s="2029">
        <v>0</v>
      </c>
      <c r="DZ383" s="2029">
        <v>0</v>
      </c>
      <c r="EA383" s="2124">
        <v>408.28</v>
      </c>
      <c r="EB383" s="2029">
        <v>408.28</v>
      </c>
      <c r="EC383" s="2029">
        <v>408.28</v>
      </c>
      <c r="ED383" s="2029">
        <v>408.28</v>
      </c>
      <c r="EE383" s="2039">
        <f t="shared" si="213"/>
        <v>0</v>
      </c>
      <c r="EF383" s="2039">
        <f t="shared" si="213"/>
        <v>0</v>
      </c>
      <c r="EG383" s="2039">
        <f t="shared" si="213"/>
        <v>0</v>
      </c>
      <c r="EH383" s="2039">
        <f t="shared" si="213"/>
        <v>0</v>
      </c>
      <c r="EI383" s="2040">
        <f t="shared" si="233"/>
        <v>0</v>
      </c>
      <c r="EJ383" s="2040">
        <f t="shared" si="233"/>
        <v>0</v>
      </c>
      <c r="EK383" s="2040">
        <f t="shared" si="233"/>
        <v>0</v>
      </c>
      <c r="EL383" s="2040">
        <f t="shared" si="232"/>
        <v>0</v>
      </c>
      <c r="EM383" s="2040">
        <f t="shared" si="232"/>
        <v>0</v>
      </c>
      <c r="EN383" s="2040">
        <f t="shared" si="232"/>
        <v>0</v>
      </c>
      <c r="EO383" s="2040">
        <f t="shared" si="226"/>
        <v>0</v>
      </c>
      <c r="EP383" s="2040">
        <f t="shared" si="226"/>
        <v>0</v>
      </c>
      <c r="EQ383" s="2040">
        <f t="shared" si="226"/>
        <v>0</v>
      </c>
      <c r="ER383" s="2040">
        <f t="shared" si="226"/>
        <v>0</v>
      </c>
      <c r="ES383" s="2040">
        <f t="shared" si="226"/>
        <v>0</v>
      </c>
      <c r="ET383" s="2040">
        <f t="shared" si="226"/>
        <v>0</v>
      </c>
      <c r="EU383" s="2039">
        <f t="shared" si="214"/>
        <v>0</v>
      </c>
      <c r="EV383" s="2039">
        <f t="shared" si="215"/>
        <v>0</v>
      </c>
    </row>
    <row r="384" spans="1:152" x14ac:dyDescent="0.25">
      <c r="A384" s="2088" t="s">
        <v>245</v>
      </c>
      <c r="B384" s="2093" t="str">
        <f t="shared" si="234"/>
        <v/>
      </c>
      <c r="C384" s="1974">
        <f t="shared" si="241"/>
        <v>12.8</v>
      </c>
      <c r="D384" s="1974">
        <f t="shared" si="241"/>
        <v>2107.0500000000002</v>
      </c>
      <c r="E384" s="1974">
        <f t="shared" si="241"/>
        <v>4.4999999999999997E-3</v>
      </c>
      <c r="F384" s="1974">
        <f t="shared" si="241"/>
        <v>0</v>
      </c>
      <c r="G384" s="1974" t="s">
        <v>2997</v>
      </c>
      <c r="H384" s="1974" t="s">
        <v>2997</v>
      </c>
      <c r="I384" s="2026">
        <v>0.96199999999999997</v>
      </c>
      <c r="J384" s="2026">
        <v>0.96199999999999997</v>
      </c>
      <c r="K384" s="2026">
        <v>0.96199999999999997</v>
      </c>
      <c r="L384" s="2026">
        <v>0.96199999999999997</v>
      </c>
      <c r="M384" s="2027">
        <f t="shared" si="242"/>
        <v>2026.9821000000002</v>
      </c>
      <c r="N384" s="2027">
        <f t="shared" si="242"/>
        <v>2026.9821000000002</v>
      </c>
      <c r="O384" s="2027">
        <f t="shared" si="242"/>
        <v>2026.9821000000002</v>
      </c>
      <c r="P384" s="2027">
        <f t="shared" si="242"/>
        <v>2026.9821000000002</v>
      </c>
      <c r="Q384" s="2026">
        <v>0.96199999999999997</v>
      </c>
      <c r="R384" s="2026">
        <v>0.96199999999999997</v>
      </c>
      <c r="S384" s="2026">
        <v>0.96199999999999997</v>
      </c>
      <c r="T384" s="2026">
        <v>0.96199999999999997</v>
      </c>
      <c r="U384" s="2028">
        <f t="shared" si="243"/>
        <v>4.3289999999999995E-3</v>
      </c>
      <c r="V384" s="2028">
        <f t="shared" si="243"/>
        <v>4.3289999999999995E-3</v>
      </c>
      <c r="W384" s="2028">
        <f t="shared" si="243"/>
        <v>4.3289999999999995E-3</v>
      </c>
      <c r="X384" s="2028">
        <f t="shared" si="243"/>
        <v>4.3289999999999995E-3</v>
      </c>
      <c r="Y384" s="2026">
        <v>0.96199999999999997</v>
      </c>
      <c r="Z384" s="2026">
        <v>0.96199999999999997</v>
      </c>
      <c r="AA384" s="2026">
        <v>0.96199999999999997</v>
      </c>
      <c r="AB384" s="2026">
        <v>0.96199999999999997</v>
      </c>
      <c r="AC384" s="2027">
        <f t="shared" si="244"/>
        <v>0</v>
      </c>
      <c r="AD384" s="2027">
        <f t="shared" si="244"/>
        <v>0</v>
      </c>
      <c r="AE384" s="2027">
        <f t="shared" si="244"/>
        <v>0</v>
      </c>
      <c r="AF384" s="2027">
        <f t="shared" si="244"/>
        <v>0</v>
      </c>
      <c r="AG384" s="2027">
        <v>0</v>
      </c>
      <c r="AH384" s="2028"/>
      <c r="AI384" s="2028"/>
      <c r="AJ384" s="2028"/>
      <c r="AK384" s="2027">
        <f t="shared" si="250"/>
        <v>0</v>
      </c>
      <c r="AL384" s="2027">
        <f t="shared" si="236"/>
        <v>0</v>
      </c>
      <c r="AM384" s="2027">
        <f t="shared" si="236"/>
        <v>0</v>
      </c>
      <c r="AN384" s="2027">
        <f t="shared" si="236"/>
        <v>0</v>
      </c>
      <c r="AO384" s="2027">
        <f t="shared" si="245"/>
        <v>0</v>
      </c>
      <c r="AP384" s="2027">
        <f t="shared" si="237"/>
        <v>0</v>
      </c>
      <c r="AQ384" s="2027">
        <f t="shared" si="237"/>
        <v>0</v>
      </c>
      <c r="AR384" s="2027">
        <f t="shared" si="237"/>
        <v>0</v>
      </c>
      <c r="AS384" s="2124">
        <f t="shared" si="251"/>
        <v>226.86</v>
      </c>
      <c r="AT384" s="2029">
        <f t="shared" si="238"/>
        <v>226.86</v>
      </c>
      <c r="AU384" s="2029">
        <f t="shared" si="238"/>
        <v>226.86</v>
      </c>
      <c r="AV384" s="2029">
        <f t="shared" si="238"/>
        <v>226.86</v>
      </c>
      <c r="AW384" s="2124">
        <f t="shared" si="248"/>
        <v>0</v>
      </c>
      <c r="AX384" s="2029">
        <f t="shared" si="216"/>
        <v>0</v>
      </c>
      <c r="AY384" s="2029">
        <f t="shared" si="216"/>
        <v>0</v>
      </c>
      <c r="AZ384" s="2029">
        <f t="shared" si="216"/>
        <v>0</v>
      </c>
      <c r="BA384" s="2124">
        <f t="shared" si="249"/>
        <v>629.05999999999995</v>
      </c>
      <c r="BB384" s="2029">
        <f t="shared" si="249"/>
        <v>629.05999999999995</v>
      </c>
      <c r="BC384" s="2029">
        <f t="shared" si="249"/>
        <v>629.05999999999995</v>
      </c>
      <c r="BD384" s="2029">
        <f t="shared" si="249"/>
        <v>629.05999999999995</v>
      </c>
      <c r="BE384" s="2030">
        <f t="shared" si="239"/>
        <v>0</v>
      </c>
      <c r="BF384" s="2030">
        <f t="shared" si="239"/>
        <v>0</v>
      </c>
      <c r="BG384" s="2030">
        <f t="shared" si="239"/>
        <v>0</v>
      </c>
      <c r="BH384" s="2030">
        <f t="shared" si="239"/>
        <v>0</v>
      </c>
      <c r="BI384" s="2030">
        <f t="shared" si="240"/>
        <v>0</v>
      </c>
      <c r="BJ384" s="2030">
        <f t="shared" si="240"/>
        <v>0</v>
      </c>
      <c r="BK384" s="2030">
        <f t="shared" si="240"/>
        <v>0</v>
      </c>
      <c r="BL384" s="2030">
        <f t="shared" si="240"/>
        <v>0</v>
      </c>
      <c r="BM384" s="2125"/>
      <c r="BN384" s="2125"/>
      <c r="BO384" s="2125"/>
      <c r="BP384" s="2125"/>
      <c r="BQ384" s="2125"/>
      <c r="BR384" s="2125"/>
      <c r="BS384" s="2125"/>
      <c r="BT384" s="2125"/>
      <c r="BU384" s="2029"/>
      <c r="BV384" s="2029"/>
      <c r="BW384" s="2029"/>
      <c r="BX384" s="2029"/>
      <c r="BY384" s="2029"/>
      <c r="BZ384" s="2032"/>
      <c r="CA384" s="1974">
        <f t="shared" si="246"/>
        <v>0</v>
      </c>
      <c r="CB384" s="1974">
        <f t="shared" si="246"/>
        <v>0</v>
      </c>
      <c r="CC384" s="1974">
        <f t="shared" si="246"/>
        <v>0</v>
      </c>
      <c r="CD384" s="1974">
        <f t="shared" si="246"/>
        <v>0</v>
      </c>
      <c r="CE384" s="1974">
        <f t="shared" si="246"/>
        <v>0</v>
      </c>
      <c r="CF384" s="2033">
        <v>0</v>
      </c>
      <c r="CG384" s="2026">
        <v>0</v>
      </c>
      <c r="CH384" s="2009">
        <f t="shared" si="246"/>
        <v>1</v>
      </c>
      <c r="CI384" s="2031">
        <f t="shared" si="246"/>
        <v>19.729661458333329</v>
      </c>
      <c r="CJ384" s="1974">
        <f t="shared" si="246"/>
        <v>0</v>
      </c>
      <c r="CK384" s="2031">
        <f t="shared" si="246"/>
        <v>-19.729661458333329</v>
      </c>
      <c r="CL384" s="2026">
        <v>1</v>
      </c>
      <c r="CM384" s="2026">
        <v>1</v>
      </c>
      <c r="CN384" s="2026">
        <v>1</v>
      </c>
      <c r="CO384" s="2026">
        <v>1</v>
      </c>
      <c r="CP384" s="2035"/>
      <c r="CQ384" s="2036"/>
      <c r="CR384" s="2036"/>
      <c r="CS384" s="2036"/>
      <c r="CT384" s="2036"/>
      <c r="CU384" s="2036"/>
      <c r="CW384" s="1973">
        <v>0</v>
      </c>
      <c r="CX384" s="2037">
        <v>226.86</v>
      </c>
      <c r="CY384" s="2037">
        <v>226.86</v>
      </c>
      <c r="CZ384" s="2037">
        <v>226.86</v>
      </c>
      <c r="DA384" s="2037">
        <v>226.86</v>
      </c>
      <c r="DJ384" s="1976">
        <v>226.86</v>
      </c>
      <c r="DK384" s="1973">
        <v>226.86</v>
      </c>
      <c r="DL384" s="1973">
        <v>226.86</v>
      </c>
      <c r="DM384" s="1973">
        <v>226.86</v>
      </c>
      <c r="DO384" s="1974">
        <v>12.8</v>
      </c>
      <c r="DP384" s="1974">
        <v>2107.0500000000002</v>
      </c>
      <c r="DQ384" s="1974">
        <v>4.4999999999999997E-3</v>
      </c>
      <c r="DR384" s="1974">
        <v>0</v>
      </c>
      <c r="DS384" s="2124">
        <v>226.86</v>
      </c>
      <c r="DT384" s="2029">
        <v>226.86</v>
      </c>
      <c r="DU384" s="2029">
        <v>226.86</v>
      </c>
      <c r="DV384" s="2029">
        <v>226.86</v>
      </c>
      <c r="DW384" s="2124">
        <v>0</v>
      </c>
      <c r="DX384" s="2029">
        <v>0</v>
      </c>
      <c r="DY384" s="2029">
        <v>0</v>
      </c>
      <c r="DZ384" s="2029">
        <v>0</v>
      </c>
      <c r="EA384" s="2124">
        <v>629.05999999999995</v>
      </c>
      <c r="EB384" s="2029">
        <v>629.05999999999995</v>
      </c>
      <c r="EC384" s="2029">
        <v>629.05999999999995</v>
      </c>
      <c r="ED384" s="2029">
        <v>629.05999999999995</v>
      </c>
      <c r="EE384" s="2039">
        <f t="shared" si="213"/>
        <v>0</v>
      </c>
      <c r="EF384" s="2039">
        <f t="shared" si="213"/>
        <v>0</v>
      </c>
      <c r="EG384" s="2039">
        <f t="shared" si="213"/>
        <v>0</v>
      </c>
      <c r="EH384" s="2039">
        <f t="shared" si="213"/>
        <v>0</v>
      </c>
      <c r="EI384" s="2040">
        <f t="shared" si="233"/>
        <v>0</v>
      </c>
      <c r="EJ384" s="2040">
        <f t="shared" si="233"/>
        <v>0</v>
      </c>
      <c r="EK384" s="2040">
        <f t="shared" si="233"/>
        <v>0</v>
      </c>
      <c r="EL384" s="2040">
        <f t="shared" si="232"/>
        <v>0</v>
      </c>
      <c r="EM384" s="2040">
        <f t="shared" si="232"/>
        <v>0</v>
      </c>
      <c r="EN384" s="2040">
        <f t="shared" si="232"/>
        <v>0</v>
      </c>
      <c r="EO384" s="2040">
        <f t="shared" si="226"/>
        <v>0</v>
      </c>
      <c r="EP384" s="2040">
        <f t="shared" si="226"/>
        <v>0</v>
      </c>
      <c r="EQ384" s="2040">
        <f t="shared" si="226"/>
        <v>0</v>
      </c>
      <c r="ER384" s="2040">
        <f t="shared" si="226"/>
        <v>0</v>
      </c>
      <c r="ES384" s="2040">
        <f t="shared" si="226"/>
        <v>0</v>
      </c>
      <c r="ET384" s="2040">
        <f t="shared" si="226"/>
        <v>0</v>
      </c>
      <c r="EU384" s="2039">
        <f t="shared" si="214"/>
        <v>0</v>
      </c>
      <c r="EV384" s="2039">
        <f t="shared" si="215"/>
        <v>0</v>
      </c>
    </row>
    <row r="385" spans="1:152" x14ac:dyDescent="0.25">
      <c r="A385" s="2088" t="s">
        <v>246</v>
      </c>
      <c r="B385" s="2093" t="str">
        <f t="shared" si="234"/>
        <v/>
      </c>
      <c r="C385" s="1974">
        <f t="shared" si="241"/>
        <v>12.8</v>
      </c>
      <c r="D385" s="1974">
        <f t="shared" si="241"/>
        <v>3814.19</v>
      </c>
      <c r="E385" s="1974">
        <f t="shared" si="241"/>
        <v>0</v>
      </c>
      <c r="F385" s="1974">
        <f t="shared" si="241"/>
        <v>0</v>
      </c>
      <c r="G385" s="1974" t="s">
        <v>2997</v>
      </c>
      <c r="H385" s="1974" t="s">
        <v>2997</v>
      </c>
      <c r="I385" s="2026">
        <v>0.96199999999999997</v>
      </c>
      <c r="J385" s="2026">
        <v>0.96199999999999997</v>
      </c>
      <c r="K385" s="2026">
        <v>0.96199999999999997</v>
      </c>
      <c r="L385" s="2026">
        <v>0.96199999999999997</v>
      </c>
      <c r="M385" s="2027">
        <f t="shared" si="242"/>
        <v>3669.2507799999998</v>
      </c>
      <c r="N385" s="2027">
        <f t="shared" si="242"/>
        <v>3669.2507799999998</v>
      </c>
      <c r="O385" s="2027">
        <f t="shared" si="242"/>
        <v>3669.2507799999998</v>
      </c>
      <c r="P385" s="2027">
        <f t="shared" si="242"/>
        <v>3669.2507799999998</v>
      </c>
      <c r="Q385" s="2026">
        <v>0.96199999999999997</v>
      </c>
      <c r="R385" s="2026">
        <v>0.96199999999999997</v>
      </c>
      <c r="S385" s="2026">
        <v>0.96199999999999997</v>
      </c>
      <c r="T385" s="2026">
        <v>0.96199999999999997</v>
      </c>
      <c r="U385" s="2028">
        <f t="shared" si="243"/>
        <v>0</v>
      </c>
      <c r="V385" s="2028">
        <f t="shared" si="243"/>
        <v>0</v>
      </c>
      <c r="W385" s="2028">
        <f t="shared" si="243"/>
        <v>0</v>
      </c>
      <c r="X385" s="2028">
        <f t="shared" si="243"/>
        <v>0</v>
      </c>
      <c r="Y385" s="2026">
        <v>0.96199999999999997</v>
      </c>
      <c r="Z385" s="2026">
        <v>0.96199999999999997</v>
      </c>
      <c r="AA385" s="2026">
        <v>0.96199999999999997</v>
      </c>
      <c r="AB385" s="2026">
        <v>0.96199999999999997</v>
      </c>
      <c r="AC385" s="2027">
        <f t="shared" si="244"/>
        <v>0</v>
      </c>
      <c r="AD385" s="2027">
        <f t="shared" si="244"/>
        <v>0</v>
      </c>
      <c r="AE385" s="2027">
        <f t="shared" si="244"/>
        <v>0</v>
      </c>
      <c r="AF385" s="2027">
        <f t="shared" si="244"/>
        <v>0</v>
      </c>
      <c r="AG385" s="2027">
        <v>0</v>
      </c>
      <c r="AH385" s="2028"/>
      <c r="AI385" s="2028"/>
      <c r="AJ385" s="2028"/>
      <c r="AK385" s="2027">
        <f t="shared" si="250"/>
        <v>0</v>
      </c>
      <c r="AL385" s="2027">
        <f t="shared" si="236"/>
        <v>0</v>
      </c>
      <c r="AM385" s="2027">
        <f t="shared" si="236"/>
        <v>0</v>
      </c>
      <c r="AN385" s="2027">
        <f t="shared" si="236"/>
        <v>0</v>
      </c>
      <c r="AO385" s="2027">
        <f t="shared" si="245"/>
        <v>0</v>
      </c>
      <c r="AP385" s="2027">
        <f t="shared" si="237"/>
        <v>0</v>
      </c>
      <c r="AQ385" s="2027">
        <f t="shared" si="237"/>
        <v>0</v>
      </c>
      <c r="AR385" s="2027">
        <f t="shared" si="237"/>
        <v>0</v>
      </c>
      <c r="AS385" s="2124">
        <f t="shared" si="251"/>
        <v>409.79999999999995</v>
      </c>
      <c r="AT385" s="2029">
        <f t="shared" si="238"/>
        <v>409.79999999999995</v>
      </c>
      <c r="AU385" s="2029">
        <f t="shared" si="238"/>
        <v>409.79999999999995</v>
      </c>
      <c r="AV385" s="2029">
        <f t="shared" si="238"/>
        <v>409.79999999999995</v>
      </c>
      <c r="AW385" s="2124">
        <f t="shared" si="248"/>
        <v>0</v>
      </c>
      <c r="AX385" s="2029">
        <f t="shared" si="216"/>
        <v>0</v>
      </c>
      <c r="AY385" s="2029">
        <f t="shared" si="216"/>
        <v>0</v>
      </c>
      <c r="AZ385" s="2029">
        <f t="shared" si="216"/>
        <v>0</v>
      </c>
      <c r="BA385" s="2124">
        <f t="shared" si="249"/>
        <v>841.24</v>
      </c>
      <c r="BB385" s="2029">
        <f t="shared" si="249"/>
        <v>841.24</v>
      </c>
      <c r="BC385" s="2029">
        <f t="shared" si="249"/>
        <v>841.24</v>
      </c>
      <c r="BD385" s="2029">
        <f t="shared" si="249"/>
        <v>841.24</v>
      </c>
      <c r="BE385" s="2030">
        <f t="shared" si="239"/>
        <v>0</v>
      </c>
      <c r="BF385" s="2030">
        <f t="shared" si="239"/>
        <v>0</v>
      </c>
      <c r="BG385" s="2030">
        <f t="shared" si="239"/>
        <v>0</v>
      </c>
      <c r="BH385" s="2030">
        <f t="shared" si="239"/>
        <v>0</v>
      </c>
      <c r="BI385" s="2030">
        <f t="shared" si="240"/>
        <v>0</v>
      </c>
      <c r="BJ385" s="2030">
        <f t="shared" si="240"/>
        <v>0</v>
      </c>
      <c r="BK385" s="2030">
        <f t="shared" si="240"/>
        <v>0</v>
      </c>
      <c r="BL385" s="2030">
        <f t="shared" si="240"/>
        <v>0</v>
      </c>
      <c r="BM385" s="2125"/>
      <c r="BN385" s="2125"/>
      <c r="BO385" s="2125"/>
      <c r="BP385" s="2125"/>
      <c r="BQ385" s="2125"/>
      <c r="BR385" s="2125"/>
      <c r="BS385" s="2125"/>
      <c r="BT385" s="2125"/>
      <c r="BU385" s="2029"/>
      <c r="BV385" s="2029"/>
      <c r="BW385" s="2029"/>
      <c r="BX385" s="2029"/>
      <c r="BY385" s="2029"/>
      <c r="BZ385" s="2032"/>
      <c r="CA385" s="1974">
        <f t="shared" si="246"/>
        <v>0</v>
      </c>
      <c r="CB385" s="1974">
        <f t="shared" si="246"/>
        <v>0</v>
      </c>
      <c r="CC385" s="1974">
        <f t="shared" si="246"/>
        <v>0</v>
      </c>
      <c r="CD385" s="1974">
        <f t="shared" si="246"/>
        <v>0</v>
      </c>
      <c r="CE385" s="1974">
        <f t="shared" si="246"/>
        <v>0</v>
      </c>
      <c r="CF385" s="2033">
        <v>0</v>
      </c>
      <c r="CG385" s="2026">
        <v>0</v>
      </c>
      <c r="CH385" s="2009">
        <f t="shared" si="246"/>
        <v>1</v>
      </c>
      <c r="CI385" s="2031">
        <f t="shared" si="246"/>
        <v>19.729661458333329</v>
      </c>
      <c r="CJ385" s="1974">
        <f t="shared" si="246"/>
        <v>0</v>
      </c>
      <c r="CK385" s="2031">
        <f t="shared" si="246"/>
        <v>-19.729661458333329</v>
      </c>
      <c r="CL385" s="2026">
        <v>1</v>
      </c>
      <c r="CM385" s="2026">
        <v>1</v>
      </c>
      <c r="CN385" s="2026">
        <v>1</v>
      </c>
      <c r="CO385" s="2026">
        <v>1</v>
      </c>
      <c r="CP385" s="2035"/>
      <c r="CQ385" s="2036"/>
      <c r="CR385" s="2036"/>
      <c r="CS385" s="2036"/>
      <c r="CT385" s="2036"/>
      <c r="CU385" s="2036"/>
      <c r="CW385" s="1973">
        <v>0</v>
      </c>
      <c r="CX385" s="2037">
        <v>409.79999999999995</v>
      </c>
      <c r="CY385" s="2037">
        <v>409.79999999999995</v>
      </c>
      <c r="CZ385" s="2037">
        <v>409.79999999999995</v>
      </c>
      <c r="DA385" s="2037">
        <v>409.79999999999995</v>
      </c>
      <c r="DJ385" s="1976">
        <v>409.79999999999995</v>
      </c>
      <c r="DK385" s="1973">
        <v>409.79999999999995</v>
      </c>
      <c r="DL385" s="1973">
        <v>409.79999999999995</v>
      </c>
      <c r="DM385" s="1973">
        <v>409.79999999999995</v>
      </c>
      <c r="DO385" s="1974">
        <v>12.8</v>
      </c>
      <c r="DP385" s="1974">
        <v>3814.19</v>
      </c>
      <c r="DQ385" s="1974">
        <v>0</v>
      </c>
      <c r="DR385" s="1974">
        <v>0</v>
      </c>
      <c r="DS385" s="2124">
        <v>409.79999999999995</v>
      </c>
      <c r="DT385" s="2029">
        <v>409.79999999999995</v>
      </c>
      <c r="DU385" s="2029">
        <v>409.79999999999995</v>
      </c>
      <c r="DV385" s="2029">
        <v>409.79999999999995</v>
      </c>
      <c r="DW385" s="2124">
        <v>0</v>
      </c>
      <c r="DX385" s="2029">
        <v>0</v>
      </c>
      <c r="DY385" s="2029">
        <v>0</v>
      </c>
      <c r="DZ385" s="2029">
        <v>0</v>
      </c>
      <c r="EA385" s="2124">
        <v>841.24</v>
      </c>
      <c r="EB385" s="2029">
        <v>841.24</v>
      </c>
      <c r="EC385" s="2029">
        <v>841.24</v>
      </c>
      <c r="ED385" s="2029">
        <v>841.24</v>
      </c>
      <c r="EE385" s="2039">
        <f t="shared" si="213"/>
        <v>0</v>
      </c>
      <c r="EF385" s="2039">
        <f t="shared" si="213"/>
        <v>0</v>
      </c>
      <c r="EG385" s="2039">
        <f t="shared" si="213"/>
        <v>0</v>
      </c>
      <c r="EH385" s="2039">
        <f t="shared" si="213"/>
        <v>0</v>
      </c>
      <c r="EI385" s="2040">
        <f t="shared" si="233"/>
        <v>0</v>
      </c>
      <c r="EJ385" s="2040">
        <f t="shared" si="233"/>
        <v>0</v>
      </c>
      <c r="EK385" s="2040">
        <f t="shared" si="233"/>
        <v>0</v>
      </c>
      <c r="EL385" s="2040">
        <f t="shared" si="232"/>
        <v>0</v>
      </c>
      <c r="EM385" s="2040">
        <f t="shared" si="232"/>
        <v>0</v>
      </c>
      <c r="EN385" s="2040">
        <f t="shared" si="232"/>
        <v>0</v>
      </c>
      <c r="EO385" s="2040">
        <f t="shared" si="226"/>
        <v>0</v>
      </c>
      <c r="EP385" s="2040">
        <f t="shared" si="226"/>
        <v>0</v>
      </c>
      <c r="EQ385" s="2040">
        <f t="shared" si="226"/>
        <v>0</v>
      </c>
      <c r="ER385" s="2040">
        <f t="shared" si="226"/>
        <v>0</v>
      </c>
      <c r="ES385" s="2040">
        <f t="shared" si="226"/>
        <v>0</v>
      </c>
      <c r="ET385" s="2040">
        <f t="shared" si="226"/>
        <v>0</v>
      </c>
      <c r="EU385" s="2039">
        <f t="shared" si="214"/>
        <v>0</v>
      </c>
      <c r="EV385" s="2039">
        <f t="shared" si="215"/>
        <v>0</v>
      </c>
    </row>
    <row r="386" spans="1:152" x14ac:dyDescent="0.25">
      <c r="A386" s="2088" t="s">
        <v>247</v>
      </c>
      <c r="B386" s="2093" t="str">
        <f t="shared" si="234"/>
        <v/>
      </c>
      <c r="C386" s="1974">
        <f t="shared" si="241"/>
        <v>12.8</v>
      </c>
      <c r="D386" s="1974">
        <f t="shared" si="241"/>
        <v>1091.81</v>
      </c>
      <c r="E386" s="1974">
        <f t="shared" si="241"/>
        <v>3.7000000000000002E-3</v>
      </c>
      <c r="F386" s="1974">
        <f t="shared" si="241"/>
        <v>0</v>
      </c>
      <c r="G386" s="1974" t="s">
        <v>2997</v>
      </c>
      <c r="H386" s="1974" t="s">
        <v>2997</v>
      </c>
      <c r="I386" s="2026">
        <v>0.96199999999999997</v>
      </c>
      <c r="J386" s="2026">
        <v>0.96199999999999997</v>
      </c>
      <c r="K386" s="2026">
        <v>0.96199999999999997</v>
      </c>
      <c r="L386" s="2026">
        <v>0.96199999999999997</v>
      </c>
      <c r="M386" s="2027">
        <f t="shared" si="242"/>
        <v>1050.3212199999998</v>
      </c>
      <c r="N386" s="2027">
        <f t="shared" si="242"/>
        <v>1050.3212199999998</v>
      </c>
      <c r="O386" s="2027">
        <f t="shared" si="242"/>
        <v>1050.3212199999998</v>
      </c>
      <c r="P386" s="2027">
        <f t="shared" si="242"/>
        <v>1050.3212199999998</v>
      </c>
      <c r="Q386" s="2026">
        <v>0.96199999999999997</v>
      </c>
      <c r="R386" s="2026">
        <v>0.96199999999999997</v>
      </c>
      <c r="S386" s="2026">
        <v>0.96199999999999997</v>
      </c>
      <c r="T386" s="2026">
        <v>0.96199999999999997</v>
      </c>
      <c r="U386" s="2028">
        <f t="shared" si="243"/>
        <v>3.5593999999999999E-3</v>
      </c>
      <c r="V386" s="2028">
        <f t="shared" si="243"/>
        <v>3.5593999999999999E-3</v>
      </c>
      <c r="W386" s="2028">
        <f t="shared" si="243"/>
        <v>3.5593999999999999E-3</v>
      </c>
      <c r="X386" s="2028">
        <f t="shared" si="243"/>
        <v>3.5593999999999999E-3</v>
      </c>
      <c r="Y386" s="2026">
        <v>0.96199999999999997</v>
      </c>
      <c r="Z386" s="2026">
        <v>0.96199999999999997</v>
      </c>
      <c r="AA386" s="2026">
        <v>0.96199999999999997</v>
      </c>
      <c r="AB386" s="2026">
        <v>0.96199999999999997</v>
      </c>
      <c r="AC386" s="2027">
        <f t="shared" si="244"/>
        <v>0</v>
      </c>
      <c r="AD386" s="2027">
        <f t="shared" si="244"/>
        <v>0</v>
      </c>
      <c r="AE386" s="2027">
        <f t="shared" si="244"/>
        <v>0</v>
      </c>
      <c r="AF386" s="2027">
        <f t="shared" si="244"/>
        <v>0</v>
      </c>
      <c r="AG386" s="2027">
        <v>0</v>
      </c>
      <c r="AH386" s="2028"/>
      <c r="AI386" s="2028"/>
      <c r="AJ386" s="2028"/>
      <c r="AK386" s="2027">
        <f t="shared" si="250"/>
        <v>0</v>
      </c>
      <c r="AL386" s="2027">
        <f t="shared" si="236"/>
        <v>0</v>
      </c>
      <c r="AM386" s="2027">
        <f t="shared" si="236"/>
        <v>0</v>
      </c>
      <c r="AN386" s="2027">
        <f t="shared" si="236"/>
        <v>0</v>
      </c>
      <c r="AO386" s="2027">
        <f t="shared" si="245"/>
        <v>0</v>
      </c>
      <c r="AP386" s="2027">
        <f t="shared" si="237"/>
        <v>0</v>
      </c>
      <c r="AQ386" s="2027">
        <f t="shared" si="237"/>
        <v>0</v>
      </c>
      <c r="AR386" s="2027">
        <f t="shared" si="237"/>
        <v>0</v>
      </c>
      <c r="AS386" s="2124">
        <f t="shared" si="251"/>
        <v>119.10000000000001</v>
      </c>
      <c r="AT386" s="2029">
        <f t="shared" si="238"/>
        <v>119.10000000000001</v>
      </c>
      <c r="AU386" s="2029">
        <f t="shared" si="238"/>
        <v>119.10000000000001</v>
      </c>
      <c r="AV386" s="2029">
        <f t="shared" si="238"/>
        <v>119.10000000000001</v>
      </c>
      <c r="AW386" s="2124">
        <f t="shared" si="248"/>
        <v>0</v>
      </c>
      <c r="AX386" s="2029">
        <f t="shared" si="216"/>
        <v>0</v>
      </c>
      <c r="AY386" s="2029">
        <f t="shared" si="216"/>
        <v>0</v>
      </c>
      <c r="AZ386" s="2029">
        <f t="shared" si="216"/>
        <v>0</v>
      </c>
      <c r="BA386" s="2124">
        <f t="shared" si="249"/>
        <v>365.21</v>
      </c>
      <c r="BB386" s="2029">
        <f t="shared" si="249"/>
        <v>365.21</v>
      </c>
      <c r="BC386" s="2029">
        <f t="shared" si="249"/>
        <v>365.21</v>
      </c>
      <c r="BD386" s="2029">
        <f t="shared" si="249"/>
        <v>365.21</v>
      </c>
      <c r="BE386" s="2030">
        <f t="shared" si="239"/>
        <v>0</v>
      </c>
      <c r="BF386" s="2030">
        <f t="shared" si="239"/>
        <v>0</v>
      </c>
      <c r="BG386" s="2030">
        <f t="shared" si="239"/>
        <v>0</v>
      </c>
      <c r="BH386" s="2030">
        <f t="shared" si="239"/>
        <v>0</v>
      </c>
      <c r="BI386" s="2030">
        <f t="shared" si="240"/>
        <v>0</v>
      </c>
      <c r="BJ386" s="2030">
        <f t="shared" si="240"/>
        <v>0</v>
      </c>
      <c r="BK386" s="2030">
        <f t="shared" si="240"/>
        <v>0</v>
      </c>
      <c r="BL386" s="2030">
        <f t="shared" si="240"/>
        <v>0</v>
      </c>
      <c r="BM386" s="2125"/>
      <c r="BN386" s="2125"/>
      <c r="BO386" s="2125"/>
      <c r="BP386" s="2125"/>
      <c r="BQ386" s="2125"/>
      <c r="BR386" s="2125"/>
      <c r="BS386" s="2125"/>
      <c r="BT386" s="2125"/>
      <c r="BU386" s="2029"/>
      <c r="BV386" s="2029"/>
      <c r="BW386" s="2029"/>
      <c r="BX386" s="2029"/>
      <c r="BY386" s="2029"/>
      <c r="BZ386" s="2032"/>
      <c r="CA386" s="1974">
        <f t="shared" si="246"/>
        <v>0</v>
      </c>
      <c r="CB386" s="1974">
        <f t="shared" si="246"/>
        <v>0</v>
      </c>
      <c r="CC386" s="1974">
        <f t="shared" si="246"/>
        <v>0</v>
      </c>
      <c r="CD386" s="1974">
        <f t="shared" si="246"/>
        <v>0</v>
      </c>
      <c r="CE386" s="1974">
        <f t="shared" si="246"/>
        <v>0</v>
      </c>
      <c r="CF386" s="2033">
        <v>0</v>
      </c>
      <c r="CG386" s="2026">
        <v>0</v>
      </c>
      <c r="CH386" s="2009">
        <f t="shared" si="246"/>
        <v>1</v>
      </c>
      <c r="CI386" s="2031">
        <f t="shared" si="246"/>
        <v>19.729661458333329</v>
      </c>
      <c r="CJ386" s="1974">
        <f t="shared" si="246"/>
        <v>0</v>
      </c>
      <c r="CK386" s="2031">
        <f t="shared" si="246"/>
        <v>-19.729661458333329</v>
      </c>
      <c r="CL386" s="2026">
        <v>1</v>
      </c>
      <c r="CM386" s="2026">
        <v>1</v>
      </c>
      <c r="CN386" s="2026">
        <v>1</v>
      </c>
      <c r="CO386" s="2026">
        <v>1</v>
      </c>
      <c r="CP386" s="2035"/>
      <c r="CQ386" s="2036"/>
      <c r="CR386" s="2036"/>
      <c r="CS386" s="2036"/>
      <c r="CT386" s="2036"/>
      <c r="CU386" s="2036"/>
      <c r="CW386" s="1973">
        <v>0</v>
      </c>
      <c r="CX386" s="2037">
        <v>119.10000000000001</v>
      </c>
      <c r="CY386" s="2037">
        <v>119.10000000000001</v>
      </c>
      <c r="CZ386" s="2037">
        <v>119.10000000000001</v>
      </c>
      <c r="DA386" s="2037">
        <v>119.10000000000001</v>
      </c>
      <c r="DJ386" s="1976">
        <v>119.10000000000001</v>
      </c>
      <c r="DK386" s="1973">
        <v>119.10000000000001</v>
      </c>
      <c r="DL386" s="1973">
        <v>119.10000000000001</v>
      </c>
      <c r="DM386" s="1973">
        <v>119.10000000000001</v>
      </c>
      <c r="DO386" s="1974">
        <v>12.8</v>
      </c>
      <c r="DP386" s="1974">
        <v>1091.81</v>
      </c>
      <c r="DQ386" s="1974">
        <v>3.7000000000000002E-3</v>
      </c>
      <c r="DR386" s="1974">
        <v>0</v>
      </c>
      <c r="DS386" s="2124">
        <v>119.10000000000001</v>
      </c>
      <c r="DT386" s="2029">
        <v>119.10000000000001</v>
      </c>
      <c r="DU386" s="2029">
        <v>119.10000000000001</v>
      </c>
      <c r="DV386" s="2029">
        <v>119.10000000000001</v>
      </c>
      <c r="DW386" s="2124">
        <v>0</v>
      </c>
      <c r="DX386" s="2029">
        <v>0</v>
      </c>
      <c r="DY386" s="2029">
        <v>0</v>
      </c>
      <c r="DZ386" s="2029">
        <v>0</v>
      </c>
      <c r="EA386" s="2124">
        <v>365.21</v>
      </c>
      <c r="EB386" s="2029">
        <v>365.21</v>
      </c>
      <c r="EC386" s="2029">
        <v>365.21</v>
      </c>
      <c r="ED386" s="2029">
        <v>365.21</v>
      </c>
      <c r="EE386" s="2039">
        <f t="shared" si="213"/>
        <v>0</v>
      </c>
      <c r="EF386" s="2039">
        <f t="shared" si="213"/>
        <v>0</v>
      </c>
      <c r="EG386" s="2039">
        <f t="shared" si="213"/>
        <v>0</v>
      </c>
      <c r="EH386" s="2039">
        <f t="shared" si="213"/>
        <v>0</v>
      </c>
      <c r="EI386" s="2040">
        <f t="shared" si="233"/>
        <v>0</v>
      </c>
      <c r="EJ386" s="2040">
        <f t="shared" si="233"/>
        <v>0</v>
      </c>
      <c r="EK386" s="2040">
        <f t="shared" si="233"/>
        <v>0</v>
      </c>
      <c r="EL386" s="2040">
        <f t="shared" si="232"/>
        <v>0</v>
      </c>
      <c r="EM386" s="2040">
        <f t="shared" si="232"/>
        <v>0</v>
      </c>
      <c r="EN386" s="2040">
        <f t="shared" si="232"/>
        <v>0</v>
      </c>
      <c r="EO386" s="2040">
        <f t="shared" si="226"/>
        <v>0</v>
      </c>
      <c r="EP386" s="2040">
        <f t="shared" si="226"/>
        <v>0</v>
      </c>
      <c r="EQ386" s="2040">
        <f t="shared" si="226"/>
        <v>0</v>
      </c>
      <c r="ER386" s="2040">
        <f t="shared" si="226"/>
        <v>0</v>
      </c>
      <c r="ES386" s="2040">
        <f t="shared" si="226"/>
        <v>0</v>
      </c>
      <c r="ET386" s="2040">
        <f t="shared" si="226"/>
        <v>0</v>
      </c>
      <c r="EU386" s="2039">
        <f t="shared" si="214"/>
        <v>0</v>
      </c>
      <c r="EV386" s="2039">
        <f t="shared" si="215"/>
        <v>0</v>
      </c>
    </row>
    <row r="387" spans="1:152" x14ac:dyDescent="0.25">
      <c r="A387" s="2088" t="s">
        <v>248</v>
      </c>
      <c r="B387" s="2093" t="str">
        <f t="shared" si="234"/>
        <v/>
      </c>
      <c r="C387" s="1974">
        <f t="shared" si="241"/>
        <v>14.2</v>
      </c>
      <c r="D387" s="1974">
        <f t="shared" si="241"/>
        <v>345.7151356212263</v>
      </c>
      <c r="E387" s="1974">
        <f t="shared" si="241"/>
        <v>6.8267605170546919E-2</v>
      </c>
      <c r="F387" s="1974">
        <f t="shared" si="241"/>
        <v>-3.951361934218987</v>
      </c>
      <c r="G387" s="1974" t="s">
        <v>2997</v>
      </c>
      <c r="H387" s="1974" t="s">
        <v>2997</v>
      </c>
      <c r="I387" s="2026">
        <v>0.96199999999999997</v>
      </c>
      <c r="J387" s="2026">
        <v>0.96199999999999997</v>
      </c>
      <c r="K387" s="2026">
        <v>0.96199999999999997</v>
      </c>
      <c r="L387" s="2026">
        <v>0.96199999999999997</v>
      </c>
      <c r="M387" s="2027">
        <f t="shared" si="242"/>
        <v>332.57796046761968</v>
      </c>
      <c r="N387" s="2027">
        <f t="shared" si="242"/>
        <v>332.57796046761968</v>
      </c>
      <c r="O387" s="2027">
        <f t="shared" si="242"/>
        <v>332.57796046761968</v>
      </c>
      <c r="P387" s="2027">
        <f t="shared" si="242"/>
        <v>332.57796046761968</v>
      </c>
      <c r="Q387" s="2026">
        <v>0.96199999999999997</v>
      </c>
      <c r="R387" s="2026">
        <v>0.96199999999999997</v>
      </c>
      <c r="S387" s="2026">
        <v>0.96199999999999997</v>
      </c>
      <c r="T387" s="2026">
        <v>0.96199999999999997</v>
      </c>
      <c r="U387" s="2028">
        <f t="shared" si="243"/>
        <v>6.5673436174066138E-2</v>
      </c>
      <c r="V387" s="2028">
        <f t="shared" si="243"/>
        <v>6.5673436174066138E-2</v>
      </c>
      <c r="W387" s="2028">
        <f t="shared" si="243"/>
        <v>6.5673436174066138E-2</v>
      </c>
      <c r="X387" s="2028">
        <f t="shared" si="243"/>
        <v>6.5673436174066138E-2</v>
      </c>
      <c r="Y387" s="2026">
        <v>0.96199999999999997</v>
      </c>
      <c r="Z387" s="2026">
        <v>0.96199999999999997</v>
      </c>
      <c r="AA387" s="2026">
        <v>0.96199999999999997</v>
      </c>
      <c r="AB387" s="2026">
        <v>0.96199999999999997</v>
      </c>
      <c r="AC387" s="2027">
        <f t="shared" si="244"/>
        <v>-3.8012101807186651</v>
      </c>
      <c r="AD387" s="2027">
        <f t="shared" si="244"/>
        <v>-3.8012101807186651</v>
      </c>
      <c r="AE387" s="2027">
        <f t="shared" si="244"/>
        <v>-3.8012101807186651</v>
      </c>
      <c r="AF387" s="2027">
        <f t="shared" si="244"/>
        <v>-3.8012101807186651</v>
      </c>
      <c r="AG387" s="2027">
        <v>0</v>
      </c>
      <c r="AH387" s="2028"/>
      <c r="AI387" s="2028"/>
      <c r="AJ387" s="2028"/>
      <c r="AK387" s="2027">
        <f t="shared" si="250"/>
        <v>0</v>
      </c>
      <c r="AL387" s="2027">
        <f t="shared" si="236"/>
        <v>0</v>
      </c>
      <c r="AM387" s="2027">
        <f t="shared" si="236"/>
        <v>0</v>
      </c>
      <c r="AN387" s="2027">
        <f t="shared" si="236"/>
        <v>0</v>
      </c>
      <c r="AO387" s="2027">
        <f t="shared" si="245"/>
        <v>0</v>
      </c>
      <c r="AP387" s="2027">
        <f t="shared" si="237"/>
        <v>0</v>
      </c>
      <c r="AQ387" s="2027">
        <f t="shared" si="237"/>
        <v>0</v>
      </c>
      <c r="AR387" s="2027">
        <f t="shared" si="237"/>
        <v>0</v>
      </c>
      <c r="AS387" s="2124">
        <f t="shared" si="251"/>
        <v>48.649500000000003</v>
      </c>
      <c r="AT387" s="2029">
        <f t="shared" si="238"/>
        <v>48.649500000000003</v>
      </c>
      <c r="AU387" s="2029">
        <f t="shared" si="238"/>
        <v>48.649500000000003</v>
      </c>
      <c r="AV387" s="2029">
        <f t="shared" si="238"/>
        <v>48.649500000000003</v>
      </c>
      <c r="AW387" s="2124">
        <f t="shared" si="248"/>
        <v>0</v>
      </c>
      <c r="AX387" s="2029">
        <f t="shared" si="216"/>
        <v>0</v>
      </c>
      <c r="AY387" s="2029">
        <f t="shared" si="216"/>
        <v>0</v>
      </c>
      <c r="AZ387" s="2029">
        <f t="shared" si="216"/>
        <v>0</v>
      </c>
      <c r="BA387" s="2124">
        <f t="shared" si="249"/>
        <v>232.07400000000001</v>
      </c>
      <c r="BB387" s="2029">
        <f t="shared" si="249"/>
        <v>232.07400000000001</v>
      </c>
      <c r="BC387" s="2029">
        <f t="shared" si="249"/>
        <v>232.07400000000001</v>
      </c>
      <c r="BD387" s="2029">
        <f t="shared" si="249"/>
        <v>232.07400000000001</v>
      </c>
      <c r="BE387" s="2030">
        <f t="shared" si="239"/>
        <v>0</v>
      </c>
      <c r="BF387" s="2030">
        <f t="shared" si="239"/>
        <v>0</v>
      </c>
      <c r="BG387" s="2030">
        <f t="shared" si="239"/>
        <v>0</v>
      </c>
      <c r="BH387" s="2030">
        <f t="shared" si="239"/>
        <v>0</v>
      </c>
      <c r="BI387" s="2030">
        <f t="shared" si="240"/>
        <v>0</v>
      </c>
      <c r="BJ387" s="2030">
        <f t="shared" si="240"/>
        <v>0</v>
      </c>
      <c r="BK387" s="2030">
        <f t="shared" si="240"/>
        <v>0</v>
      </c>
      <c r="BL387" s="2030">
        <f t="shared" si="240"/>
        <v>0</v>
      </c>
      <c r="BM387" s="2125"/>
      <c r="BN387" s="2125"/>
      <c r="BO387" s="2125"/>
      <c r="BP387" s="2125"/>
      <c r="BQ387" s="2125"/>
      <c r="BR387" s="2125"/>
      <c r="BS387" s="2125"/>
      <c r="BT387" s="2125"/>
      <c r="BU387" s="2029"/>
      <c r="BV387" s="2029"/>
      <c r="BW387" s="2029"/>
      <c r="BX387" s="2029"/>
      <c r="BY387" s="2029"/>
      <c r="BZ387" s="2032"/>
      <c r="CA387" s="1974">
        <f t="shared" si="246"/>
        <v>0</v>
      </c>
      <c r="CB387" s="1974">
        <f t="shared" si="246"/>
        <v>0</v>
      </c>
      <c r="CC387" s="1974">
        <f t="shared" si="246"/>
        <v>0</v>
      </c>
      <c r="CD387" s="1974">
        <f t="shared" si="246"/>
        <v>0</v>
      </c>
      <c r="CE387" s="1974">
        <f t="shared" si="246"/>
        <v>1</v>
      </c>
      <c r="CF387" s="2033">
        <v>0</v>
      </c>
      <c r="CG387" s="2026">
        <v>0</v>
      </c>
      <c r="CH387" s="2009">
        <f t="shared" si="246"/>
        <v>1</v>
      </c>
      <c r="CI387" s="2031">
        <f t="shared" si="246"/>
        <v>-4.9454877412623895E-2</v>
      </c>
      <c r="CJ387" s="1974">
        <f t="shared" si="246"/>
        <v>0</v>
      </c>
      <c r="CK387" s="2031">
        <f t="shared" si="246"/>
        <v>4.9454877412623895E-2</v>
      </c>
      <c r="CL387" s="2026">
        <v>1</v>
      </c>
      <c r="CM387" s="2026">
        <v>0.86266901151105424</v>
      </c>
      <c r="CN387" s="2026">
        <v>0.86266901151105424</v>
      </c>
      <c r="CO387" s="2026">
        <v>0.86266901151105424</v>
      </c>
      <c r="CP387" s="2035"/>
      <c r="CQ387" s="2036"/>
      <c r="CR387" s="2036"/>
      <c r="CS387" s="2036"/>
      <c r="CT387" s="2036"/>
      <c r="CU387" s="2036"/>
      <c r="CW387" s="1973">
        <v>0</v>
      </c>
      <c r="CX387" s="2037">
        <v>48.649500000000003</v>
      </c>
      <c r="CY387" s="2037">
        <v>48.649500000000003</v>
      </c>
      <c r="CZ387" s="2037">
        <v>48.649500000000003</v>
      </c>
      <c r="DA387" s="2037">
        <v>48.649500000000003</v>
      </c>
      <c r="DJ387" s="1976">
        <v>48.649500000000003</v>
      </c>
      <c r="DK387" s="1973">
        <v>48.649500000000003</v>
      </c>
      <c r="DL387" s="1973">
        <v>48.649500000000003</v>
      </c>
      <c r="DM387" s="1973">
        <v>48.649500000000003</v>
      </c>
      <c r="DO387" s="1974">
        <v>14.2</v>
      </c>
      <c r="DP387" s="1974">
        <v>345.7151356212263</v>
      </c>
      <c r="DQ387" s="1974">
        <v>6.8267605170546919E-2</v>
      </c>
      <c r="DR387" s="1974">
        <v>-3.951361934218987</v>
      </c>
      <c r="DS387" s="2124">
        <v>48.649500000000003</v>
      </c>
      <c r="DT387" s="2029">
        <v>48.649500000000003</v>
      </c>
      <c r="DU387" s="2029">
        <v>48.649500000000003</v>
      </c>
      <c r="DV387" s="2029">
        <v>48.649500000000003</v>
      </c>
      <c r="DW387" s="2124">
        <v>0</v>
      </c>
      <c r="DX387" s="2029">
        <v>0</v>
      </c>
      <c r="DY387" s="2029">
        <v>0</v>
      </c>
      <c r="DZ387" s="2029">
        <v>0</v>
      </c>
      <c r="EA387" s="2124">
        <v>232.07400000000001</v>
      </c>
      <c r="EB387" s="2029">
        <v>232.07400000000001</v>
      </c>
      <c r="EC387" s="2029">
        <v>232.07400000000001</v>
      </c>
      <c r="ED387" s="2029">
        <v>232.07400000000001</v>
      </c>
      <c r="EE387" s="2039">
        <f t="shared" si="213"/>
        <v>0</v>
      </c>
      <c r="EF387" s="2039">
        <f t="shared" si="213"/>
        <v>0</v>
      </c>
      <c r="EG387" s="2039">
        <f t="shared" si="213"/>
        <v>0</v>
      </c>
      <c r="EH387" s="2039">
        <f t="shared" si="213"/>
        <v>0</v>
      </c>
      <c r="EI387" s="2040">
        <f t="shared" si="233"/>
        <v>0</v>
      </c>
      <c r="EJ387" s="2040">
        <f t="shared" si="233"/>
        <v>0</v>
      </c>
      <c r="EK387" s="2040">
        <f t="shared" si="233"/>
        <v>0</v>
      </c>
      <c r="EL387" s="2040">
        <f t="shared" si="232"/>
        <v>0</v>
      </c>
      <c r="EM387" s="2040">
        <f t="shared" si="232"/>
        <v>0</v>
      </c>
      <c r="EN387" s="2040">
        <f t="shared" si="232"/>
        <v>0</v>
      </c>
      <c r="EO387" s="2040">
        <f t="shared" si="226"/>
        <v>0</v>
      </c>
      <c r="EP387" s="2040">
        <f t="shared" si="226"/>
        <v>0</v>
      </c>
      <c r="EQ387" s="2040">
        <f t="shared" si="226"/>
        <v>0</v>
      </c>
      <c r="ER387" s="2040">
        <f t="shared" si="226"/>
        <v>0</v>
      </c>
      <c r="ES387" s="2040">
        <f t="shared" si="226"/>
        <v>0</v>
      </c>
      <c r="ET387" s="2040">
        <f t="shared" si="226"/>
        <v>0</v>
      </c>
      <c r="EU387" s="2039">
        <f t="shared" si="214"/>
        <v>0</v>
      </c>
      <c r="EV387" s="2039">
        <f t="shared" si="215"/>
        <v>0</v>
      </c>
    </row>
    <row r="388" spans="1:152" x14ac:dyDescent="0.25">
      <c r="A388" s="2088" t="s">
        <v>249</v>
      </c>
      <c r="B388" s="2093" t="str">
        <f t="shared" si="234"/>
        <v/>
      </c>
      <c r="C388" s="1974">
        <f t="shared" si="241"/>
        <v>14.2</v>
      </c>
      <c r="D388" s="1974">
        <f t="shared" si="241"/>
        <v>307.36439473597659</v>
      </c>
      <c r="E388" s="1974">
        <f t="shared" si="241"/>
        <v>6.2218576864295917E-2</v>
      </c>
      <c r="F388" s="1974">
        <f t="shared" si="241"/>
        <v>-3.7360152128356967</v>
      </c>
      <c r="G388" s="1974" t="s">
        <v>2997</v>
      </c>
      <c r="H388" s="1974" t="s">
        <v>2997</v>
      </c>
      <c r="I388" s="2026">
        <v>0.96199999999999997</v>
      </c>
      <c r="J388" s="2026">
        <v>0.96199999999999997</v>
      </c>
      <c r="K388" s="2026">
        <v>0.96199999999999997</v>
      </c>
      <c r="L388" s="2026">
        <v>0.96199999999999997</v>
      </c>
      <c r="M388" s="2027">
        <f t="shared" si="242"/>
        <v>295.68454773600945</v>
      </c>
      <c r="N388" s="2027">
        <f t="shared" si="242"/>
        <v>295.68454773600945</v>
      </c>
      <c r="O388" s="2027">
        <f t="shared" si="242"/>
        <v>295.68454773600945</v>
      </c>
      <c r="P388" s="2027">
        <f t="shared" si="242"/>
        <v>295.68454773600945</v>
      </c>
      <c r="Q388" s="2026">
        <v>0.96199999999999997</v>
      </c>
      <c r="R388" s="2026">
        <v>0.96199999999999997</v>
      </c>
      <c r="S388" s="2026">
        <v>0.96199999999999997</v>
      </c>
      <c r="T388" s="2026">
        <v>0.96199999999999997</v>
      </c>
      <c r="U388" s="2028">
        <f t="shared" si="243"/>
        <v>5.9854270943452671E-2</v>
      </c>
      <c r="V388" s="2028">
        <f t="shared" si="243"/>
        <v>5.9854270943452671E-2</v>
      </c>
      <c r="W388" s="2028">
        <f t="shared" si="243"/>
        <v>5.9854270943452671E-2</v>
      </c>
      <c r="X388" s="2028">
        <f t="shared" si="243"/>
        <v>5.9854270943452671E-2</v>
      </c>
      <c r="Y388" s="2026">
        <v>0.96199999999999997</v>
      </c>
      <c r="Z388" s="2026">
        <v>0.96199999999999997</v>
      </c>
      <c r="AA388" s="2026">
        <v>0.96199999999999997</v>
      </c>
      <c r="AB388" s="2026">
        <v>0.96199999999999997</v>
      </c>
      <c r="AC388" s="2027">
        <f t="shared" si="244"/>
        <v>-3.5940466347479401</v>
      </c>
      <c r="AD388" s="2027">
        <f t="shared" si="244"/>
        <v>-3.5940466347479401</v>
      </c>
      <c r="AE388" s="2027">
        <f t="shared" si="244"/>
        <v>-3.5940466347479401</v>
      </c>
      <c r="AF388" s="2027">
        <f t="shared" si="244"/>
        <v>-3.5940466347479401</v>
      </c>
      <c r="AG388" s="2027">
        <v>0</v>
      </c>
      <c r="AH388" s="2028"/>
      <c r="AI388" s="2028"/>
      <c r="AJ388" s="2028"/>
      <c r="AK388" s="2027">
        <f t="shared" si="250"/>
        <v>0</v>
      </c>
      <c r="AL388" s="2027">
        <f t="shared" si="236"/>
        <v>0</v>
      </c>
      <c r="AM388" s="2027">
        <f t="shared" si="236"/>
        <v>0</v>
      </c>
      <c r="AN388" s="2027">
        <f t="shared" si="236"/>
        <v>0</v>
      </c>
      <c r="AO388" s="2027">
        <f t="shared" si="245"/>
        <v>0</v>
      </c>
      <c r="AP388" s="2027">
        <f t="shared" si="237"/>
        <v>0</v>
      </c>
      <c r="AQ388" s="2027">
        <f t="shared" si="237"/>
        <v>0</v>
      </c>
      <c r="AR388" s="2027">
        <f t="shared" si="237"/>
        <v>0</v>
      </c>
      <c r="AS388" s="2124">
        <f t="shared" si="251"/>
        <v>36.244500000000002</v>
      </c>
      <c r="AT388" s="2029">
        <f t="shared" si="238"/>
        <v>36.244500000000002</v>
      </c>
      <c r="AU388" s="2029">
        <f t="shared" si="238"/>
        <v>36.244500000000002</v>
      </c>
      <c r="AV388" s="2029">
        <f t="shared" si="238"/>
        <v>36.244500000000002</v>
      </c>
      <c r="AW388" s="2124">
        <f t="shared" si="248"/>
        <v>0</v>
      </c>
      <c r="AX388" s="2029">
        <f t="shared" si="216"/>
        <v>0</v>
      </c>
      <c r="AY388" s="2029">
        <f t="shared" si="216"/>
        <v>0</v>
      </c>
      <c r="AZ388" s="2029">
        <f t="shared" si="216"/>
        <v>0</v>
      </c>
      <c r="BA388" s="2124">
        <f t="shared" si="249"/>
        <v>167.61</v>
      </c>
      <c r="BB388" s="2029">
        <f t="shared" si="249"/>
        <v>167.61</v>
      </c>
      <c r="BC388" s="2029">
        <f t="shared" si="249"/>
        <v>167.61</v>
      </c>
      <c r="BD388" s="2029">
        <f t="shared" si="249"/>
        <v>167.61</v>
      </c>
      <c r="BE388" s="2030">
        <f t="shared" si="239"/>
        <v>0</v>
      </c>
      <c r="BF388" s="2030">
        <f t="shared" si="239"/>
        <v>0</v>
      </c>
      <c r="BG388" s="2030">
        <f t="shared" si="239"/>
        <v>0</v>
      </c>
      <c r="BH388" s="2030">
        <f t="shared" si="239"/>
        <v>0</v>
      </c>
      <c r="BI388" s="2030">
        <f t="shared" si="240"/>
        <v>0</v>
      </c>
      <c r="BJ388" s="2030">
        <f t="shared" si="240"/>
        <v>0</v>
      </c>
      <c r="BK388" s="2030">
        <f t="shared" si="240"/>
        <v>0</v>
      </c>
      <c r="BL388" s="2030">
        <f t="shared" si="240"/>
        <v>0</v>
      </c>
      <c r="BM388" s="2125"/>
      <c r="BN388" s="2125"/>
      <c r="BO388" s="2125"/>
      <c r="BP388" s="2125"/>
      <c r="BQ388" s="2125"/>
      <c r="BR388" s="2125"/>
      <c r="BS388" s="2125"/>
      <c r="BT388" s="2125"/>
      <c r="BU388" s="2029"/>
      <c r="BV388" s="2029"/>
      <c r="BW388" s="2029"/>
      <c r="BX388" s="2029"/>
      <c r="BY388" s="2029"/>
      <c r="BZ388" s="2032"/>
      <c r="CA388" s="1974">
        <f t="shared" si="246"/>
        <v>0</v>
      </c>
      <c r="CB388" s="1974">
        <f t="shared" si="246"/>
        <v>0</v>
      </c>
      <c r="CC388" s="1974">
        <f t="shared" si="246"/>
        <v>0</v>
      </c>
      <c r="CD388" s="1974">
        <f t="shared" si="246"/>
        <v>0</v>
      </c>
      <c r="CE388" s="1974">
        <f t="shared" si="246"/>
        <v>1</v>
      </c>
      <c r="CF388" s="2033">
        <v>0</v>
      </c>
      <c r="CG388" s="2026">
        <v>0</v>
      </c>
      <c r="CH388" s="2009">
        <f t="shared" si="246"/>
        <v>1</v>
      </c>
      <c r="CI388" s="2031">
        <f t="shared" si="246"/>
        <v>0.9336502347417841</v>
      </c>
      <c r="CJ388" s="1974">
        <f t="shared" si="246"/>
        <v>0</v>
      </c>
      <c r="CK388" s="2031">
        <f t="shared" si="246"/>
        <v>-0.9336502347417841</v>
      </c>
      <c r="CL388" s="2026">
        <v>1</v>
      </c>
      <c r="CM388" s="2026">
        <v>1</v>
      </c>
      <c r="CN388" s="2026">
        <v>1</v>
      </c>
      <c r="CO388" s="2026">
        <v>1</v>
      </c>
      <c r="CP388" s="2035"/>
      <c r="CQ388" s="2036"/>
      <c r="CR388" s="2036"/>
      <c r="CS388" s="2036"/>
      <c r="CT388" s="2036"/>
      <c r="CU388" s="2036"/>
      <c r="CW388" s="1973">
        <v>0</v>
      </c>
      <c r="CX388" s="2037">
        <v>36.244500000000002</v>
      </c>
      <c r="CY388" s="2037">
        <v>36.244500000000002</v>
      </c>
      <c r="CZ388" s="2037">
        <v>36.244500000000002</v>
      </c>
      <c r="DA388" s="2037">
        <v>36.244500000000002</v>
      </c>
      <c r="DJ388" s="1976">
        <v>36.244500000000002</v>
      </c>
      <c r="DK388" s="1973">
        <v>36.244500000000002</v>
      </c>
      <c r="DL388" s="1973">
        <v>36.244500000000002</v>
      </c>
      <c r="DM388" s="1973">
        <v>36.244500000000002</v>
      </c>
      <c r="DO388" s="1974">
        <v>14.2</v>
      </c>
      <c r="DP388" s="1974">
        <v>307.36439473597659</v>
      </c>
      <c r="DQ388" s="1974">
        <v>6.2218576864295917E-2</v>
      </c>
      <c r="DR388" s="1974">
        <v>-3.7360152128356967</v>
      </c>
      <c r="DS388" s="2124">
        <v>36.244500000000002</v>
      </c>
      <c r="DT388" s="2029">
        <v>36.244500000000002</v>
      </c>
      <c r="DU388" s="2029">
        <v>36.244500000000002</v>
      </c>
      <c r="DV388" s="2029">
        <v>36.244500000000002</v>
      </c>
      <c r="DW388" s="2124">
        <v>0</v>
      </c>
      <c r="DX388" s="2029">
        <v>0</v>
      </c>
      <c r="DY388" s="2029">
        <v>0</v>
      </c>
      <c r="DZ388" s="2029">
        <v>0</v>
      </c>
      <c r="EA388" s="2124">
        <v>167.61</v>
      </c>
      <c r="EB388" s="2029">
        <v>167.61</v>
      </c>
      <c r="EC388" s="2029">
        <v>167.61</v>
      </c>
      <c r="ED388" s="2029">
        <v>167.61</v>
      </c>
      <c r="EE388" s="2039">
        <f t="shared" si="213"/>
        <v>0</v>
      </c>
      <c r="EF388" s="2039">
        <f t="shared" si="213"/>
        <v>0</v>
      </c>
      <c r="EG388" s="2039">
        <f t="shared" si="213"/>
        <v>0</v>
      </c>
      <c r="EH388" s="2039">
        <f t="shared" si="213"/>
        <v>0</v>
      </c>
      <c r="EI388" s="2040">
        <f t="shared" si="233"/>
        <v>0</v>
      </c>
      <c r="EJ388" s="2040">
        <f t="shared" si="233"/>
        <v>0</v>
      </c>
      <c r="EK388" s="2040">
        <f t="shared" si="233"/>
        <v>0</v>
      </c>
      <c r="EL388" s="2040">
        <f t="shared" si="232"/>
        <v>0</v>
      </c>
      <c r="EM388" s="2040">
        <f t="shared" si="232"/>
        <v>0</v>
      </c>
      <c r="EN388" s="2040">
        <f t="shared" si="232"/>
        <v>0</v>
      </c>
      <c r="EO388" s="2040">
        <f t="shared" si="226"/>
        <v>0</v>
      </c>
      <c r="EP388" s="2040">
        <f t="shared" si="226"/>
        <v>0</v>
      </c>
      <c r="EQ388" s="2040">
        <f t="shared" si="226"/>
        <v>0</v>
      </c>
      <c r="ER388" s="2040">
        <f t="shared" si="226"/>
        <v>0</v>
      </c>
      <c r="ES388" s="2040">
        <f t="shared" si="226"/>
        <v>0</v>
      </c>
      <c r="ET388" s="2040">
        <f t="shared" si="226"/>
        <v>0</v>
      </c>
      <c r="EU388" s="2039">
        <f t="shared" si="214"/>
        <v>0</v>
      </c>
      <c r="EV388" s="2039">
        <f t="shared" si="215"/>
        <v>0</v>
      </c>
    </row>
    <row r="389" spans="1:152" x14ac:dyDescent="0.25">
      <c r="A389" s="2088" t="s">
        <v>250</v>
      </c>
      <c r="B389" s="2093" t="str">
        <f t="shared" si="234"/>
        <v/>
      </c>
      <c r="C389" s="1974">
        <f t="shared" si="241"/>
        <v>14.2</v>
      </c>
      <c r="D389" s="1974">
        <f t="shared" si="241"/>
        <v>1379.4595533315332</v>
      </c>
      <c r="E389" s="1974">
        <f t="shared" si="241"/>
        <v>0.29035335870004769</v>
      </c>
      <c r="F389" s="1974">
        <f t="shared" si="241"/>
        <v>-9.7413985327404902</v>
      </c>
      <c r="G389" s="1974" t="s">
        <v>2997</v>
      </c>
      <c r="H389" s="1974" t="s">
        <v>2997</v>
      </c>
      <c r="I389" s="2026">
        <v>0.96199999999999997</v>
      </c>
      <c r="J389" s="2026">
        <v>0.96199999999999997</v>
      </c>
      <c r="K389" s="2026">
        <v>0.96199999999999997</v>
      </c>
      <c r="L389" s="2026">
        <v>0.96199999999999997</v>
      </c>
      <c r="M389" s="2027">
        <f t="shared" si="242"/>
        <v>1327.0400903049349</v>
      </c>
      <c r="N389" s="2027">
        <f t="shared" si="242"/>
        <v>1327.0400903049349</v>
      </c>
      <c r="O389" s="2027">
        <f t="shared" si="242"/>
        <v>1327.0400903049349</v>
      </c>
      <c r="P389" s="2027">
        <f t="shared" si="242"/>
        <v>1327.0400903049349</v>
      </c>
      <c r="Q389" s="2026">
        <v>0.96199999999999997</v>
      </c>
      <c r="R389" s="2026">
        <v>0.96199999999999997</v>
      </c>
      <c r="S389" s="2026">
        <v>0.96199999999999997</v>
      </c>
      <c r="T389" s="2026">
        <v>0.96199999999999997</v>
      </c>
      <c r="U389" s="2028">
        <f t="shared" si="243"/>
        <v>0.27931993106944586</v>
      </c>
      <c r="V389" s="2028">
        <f t="shared" si="243"/>
        <v>0.27931993106944586</v>
      </c>
      <c r="W389" s="2028">
        <f t="shared" si="243"/>
        <v>0.27931993106944586</v>
      </c>
      <c r="X389" s="2028">
        <f t="shared" si="243"/>
        <v>0.27931993106944586</v>
      </c>
      <c r="Y389" s="2026">
        <v>0.96199999999999997</v>
      </c>
      <c r="Z389" s="2026">
        <v>0.96199999999999997</v>
      </c>
      <c r="AA389" s="2026">
        <v>0.96199999999999997</v>
      </c>
      <c r="AB389" s="2026">
        <v>0.96199999999999997</v>
      </c>
      <c r="AC389" s="2027">
        <f t="shared" si="244"/>
        <v>-9.3712253884963506</v>
      </c>
      <c r="AD389" s="2027">
        <f t="shared" si="244"/>
        <v>-9.3712253884963506</v>
      </c>
      <c r="AE389" s="2027">
        <f t="shared" si="244"/>
        <v>-9.3712253884963506</v>
      </c>
      <c r="AF389" s="2027">
        <f t="shared" si="244"/>
        <v>-9.3712253884963506</v>
      </c>
      <c r="AG389" s="2027">
        <v>0</v>
      </c>
      <c r="AH389" s="2028"/>
      <c r="AI389" s="2028"/>
      <c r="AJ389" s="2028"/>
      <c r="AK389" s="2027">
        <f t="shared" si="250"/>
        <v>0</v>
      </c>
      <c r="AL389" s="2027">
        <f t="shared" si="236"/>
        <v>0</v>
      </c>
      <c r="AM389" s="2027">
        <f t="shared" si="236"/>
        <v>0</v>
      </c>
      <c r="AN389" s="2027">
        <f t="shared" si="236"/>
        <v>0</v>
      </c>
      <c r="AO389" s="2027">
        <f t="shared" si="245"/>
        <v>0</v>
      </c>
      <c r="AP389" s="2027">
        <f t="shared" si="237"/>
        <v>0</v>
      </c>
      <c r="AQ389" s="2027">
        <f t="shared" si="237"/>
        <v>0</v>
      </c>
      <c r="AR389" s="2027">
        <f t="shared" si="237"/>
        <v>0</v>
      </c>
      <c r="AS389" s="2124">
        <f t="shared" si="251"/>
        <v>197.06849999999997</v>
      </c>
      <c r="AT389" s="2029">
        <f t="shared" si="238"/>
        <v>197.06849999999997</v>
      </c>
      <c r="AU389" s="2029">
        <f t="shared" si="238"/>
        <v>197.06849999999997</v>
      </c>
      <c r="AV389" s="2029">
        <f t="shared" si="238"/>
        <v>197.06849999999997</v>
      </c>
      <c r="AW389" s="2124">
        <f t="shared" si="248"/>
        <v>0</v>
      </c>
      <c r="AX389" s="2029">
        <f t="shared" si="216"/>
        <v>0</v>
      </c>
      <c r="AY389" s="2029">
        <f t="shared" si="216"/>
        <v>0</v>
      </c>
      <c r="AZ389" s="2029">
        <f t="shared" si="216"/>
        <v>0</v>
      </c>
      <c r="BA389" s="2124">
        <f t="shared" si="249"/>
        <v>920.31600000000003</v>
      </c>
      <c r="BB389" s="2029">
        <f t="shared" si="249"/>
        <v>920.31600000000003</v>
      </c>
      <c r="BC389" s="2029">
        <f t="shared" si="249"/>
        <v>920.31600000000003</v>
      </c>
      <c r="BD389" s="2029">
        <f t="shared" si="249"/>
        <v>920.31600000000003</v>
      </c>
      <c r="BE389" s="2030">
        <f t="shared" si="239"/>
        <v>0</v>
      </c>
      <c r="BF389" s="2030">
        <f t="shared" si="239"/>
        <v>0</v>
      </c>
      <c r="BG389" s="2030">
        <f t="shared" si="239"/>
        <v>0</v>
      </c>
      <c r="BH389" s="2030">
        <f t="shared" si="239"/>
        <v>0</v>
      </c>
      <c r="BI389" s="2030">
        <f t="shared" si="240"/>
        <v>0</v>
      </c>
      <c r="BJ389" s="2030">
        <f t="shared" si="240"/>
        <v>0</v>
      </c>
      <c r="BK389" s="2030">
        <f t="shared" si="240"/>
        <v>0</v>
      </c>
      <c r="BL389" s="2030">
        <f t="shared" si="240"/>
        <v>0</v>
      </c>
      <c r="BM389" s="2125"/>
      <c r="BN389" s="2125"/>
      <c r="BO389" s="2125"/>
      <c r="BP389" s="2125"/>
      <c r="BQ389" s="2125"/>
      <c r="BR389" s="2125"/>
      <c r="BS389" s="2125"/>
      <c r="BT389" s="2125"/>
      <c r="BU389" s="2029"/>
      <c r="BV389" s="2029"/>
      <c r="BW389" s="2029"/>
      <c r="BX389" s="2029"/>
      <c r="BY389" s="2029"/>
      <c r="BZ389" s="2032"/>
      <c r="CA389" s="1974">
        <f t="shared" si="246"/>
        <v>0</v>
      </c>
      <c r="CB389" s="1974">
        <f t="shared" si="246"/>
        <v>0</v>
      </c>
      <c r="CC389" s="1974">
        <f t="shared" si="246"/>
        <v>0</v>
      </c>
      <c r="CD389" s="1974">
        <f t="shared" si="246"/>
        <v>0</v>
      </c>
      <c r="CE389" s="1974">
        <f t="shared" si="246"/>
        <v>1</v>
      </c>
      <c r="CF389" s="2033">
        <v>0</v>
      </c>
      <c r="CG389" s="2026">
        <v>0</v>
      </c>
      <c r="CH389" s="2009">
        <f t="shared" si="246"/>
        <v>1</v>
      </c>
      <c r="CI389" s="2031">
        <f t="shared" si="246"/>
        <v>25.473227699530515</v>
      </c>
      <c r="CJ389" s="1974">
        <f t="shared" si="246"/>
        <v>0</v>
      </c>
      <c r="CK389" s="2031">
        <f t="shared" si="246"/>
        <v>-25.473227699530515</v>
      </c>
      <c r="CL389" s="2026">
        <v>1</v>
      </c>
      <c r="CM389" s="2026">
        <v>0.98677355318637949</v>
      </c>
      <c r="CN389" s="2026">
        <v>0.98677355318637949</v>
      </c>
      <c r="CO389" s="2026">
        <v>0.98677355318637949</v>
      </c>
      <c r="CP389" s="2035"/>
      <c r="CQ389" s="2036"/>
      <c r="CR389" s="2036"/>
      <c r="CS389" s="2036"/>
      <c r="CT389" s="2036"/>
      <c r="CU389" s="2036"/>
      <c r="CW389" s="1973">
        <v>0</v>
      </c>
      <c r="CX389" s="2037">
        <v>197.06849999999997</v>
      </c>
      <c r="CY389" s="2037">
        <v>197.06849999999997</v>
      </c>
      <c r="CZ389" s="2037">
        <v>197.06849999999997</v>
      </c>
      <c r="DA389" s="2037">
        <v>197.06849999999997</v>
      </c>
      <c r="DJ389" s="1976">
        <v>197.06849999999997</v>
      </c>
      <c r="DK389" s="1973">
        <v>197.06849999999997</v>
      </c>
      <c r="DL389" s="1973">
        <v>197.06849999999997</v>
      </c>
      <c r="DM389" s="1973">
        <v>197.06849999999997</v>
      </c>
      <c r="DO389" s="1974">
        <v>14.2</v>
      </c>
      <c r="DP389" s="1974">
        <v>1379.4595533315332</v>
      </c>
      <c r="DQ389" s="1974">
        <v>0.29035335870004769</v>
      </c>
      <c r="DR389" s="1974">
        <v>-9.7413985327404902</v>
      </c>
      <c r="DS389" s="2124">
        <v>197.06849999999997</v>
      </c>
      <c r="DT389" s="2029">
        <v>197.06849999999997</v>
      </c>
      <c r="DU389" s="2029">
        <v>197.06849999999997</v>
      </c>
      <c r="DV389" s="2029">
        <v>197.06849999999997</v>
      </c>
      <c r="DW389" s="2124">
        <v>0</v>
      </c>
      <c r="DX389" s="2029">
        <v>0</v>
      </c>
      <c r="DY389" s="2029">
        <v>0</v>
      </c>
      <c r="DZ389" s="2029">
        <v>0</v>
      </c>
      <c r="EA389" s="2124">
        <v>920.31600000000003</v>
      </c>
      <c r="EB389" s="2029">
        <v>920.31600000000003</v>
      </c>
      <c r="EC389" s="2029">
        <v>920.31600000000003</v>
      </c>
      <c r="ED389" s="2029">
        <v>920.31600000000003</v>
      </c>
      <c r="EE389" s="2039">
        <f t="shared" si="213"/>
        <v>0</v>
      </c>
      <c r="EF389" s="2039">
        <f t="shared" si="213"/>
        <v>0</v>
      </c>
      <c r="EG389" s="2039">
        <f t="shared" si="213"/>
        <v>0</v>
      </c>
      <c r="EH389" s="2039">
        <f t="shared" si="213"/>
        <v>0</v>
      </c>
      <c r="EI389" s="2040">
        <f t="shared" si="233"/>
        <v>0</v>
      </c>
      <c r="EJ389" s="2040">
        <f t="shared" si="233"/>
        <v>0</v>
      </c>
      <c r="EK389" s="2040">
        <f t="shared" si="233"/>
        <v>0</v>
      </c>
      <c r="EL389" s="2040">
        <f t="shared" si="232"/>
        <v>0</v>
      </c>
      <c r="EM389" s="2040">
        <f t="shared" si="232"/>
        <v>0</v>
      </c>
      <c r="EN389" s="2040">
        <f t="shared" si="232"/>
        <v>0</v>
      </c>
      <c r="EO389" s="2040">
        <f t="shared" si="226"/>
        <v>0</v>
      </c>
      <c r="EP389" s="2040">
        <f t="shared" si="226"/>
        <v>0</v>
      </c>
      <c r="EQ389" s="2040">
        <f t="shared" si="226"/>
        <v>0</v>
      </c>
      <c r="ER389" s="2040">
        <f t="shared" si="226"/>
        <v>0</v>
      </c>
      <c r="ES389" s="2040">
        <f t="shared" si="226"/>
        <v>0</v>
      </c>
      <c r="ET389" s="2040">
        <f t="shared" si="226"/>
        <v>0</v>
      </c>
      <c r="EU389" s="2039">
        <f t="shared" si="214"/>
        <v>0</v>
      </c>
      <c r="EV389" s="2039">
        <f t="shared" si="215"/>
        <v>0</v>
      </c>
    </row>
    <row r="390" spans="1:152" x14ac:dyDescent="0.25">
      <c r="A390" s="2088" t="s">
        <v>251</v>
      </c>
      <c r="B390" s="2093" t="str">
        <f t="shared" si="234"/>
        <v/>
      </c>
      <c r="C390" s="1974">
        <f t="shared" si="241"/>
        <v>14.2</v>
      </c>
      <c r="D390" s="1974">
        <f t="shared" si="241"/>
        <v>718.72636357268686</v>
      </c>
      <c r="E390" s="1974">
        <f t="shared" si="241"/>
        <v>0.15036156075538182</v>
      </c>
      <c r="F390" s="1974">
        <f t="shared" si="241"/>
        <v>-9.5646854424359287</v>
      </c>
      <c r="G390" s="1974" t="s">
        <v>2997</v>
      </c>
      <c r="H390" s="1974" t="s">
        <v>2997</v>
      </c>
      <c r="I390" s="2026">
        <v>0.96199999999999997</v>
      </c>
      <c r="J390" s="2026">
        <v>0.96199999999999997</v>
      </c>
      <c r="K390" s="2026">
        <v>0.96199999999999997</v>
      </c>
      <c r="L390" s="2026">
        <v>0.96199999999999997</v>
      </c>
      <c r="M390" s="2027">
        <f t="shared" si="242"/>
        <v>691.41476175692469</v>
      </c>
      <c r="N390" s="2027">
        <f t="shared" si="242"/>
        <v>691.41476175692469</v>
      </c>
      <c r="O390" s="2027">
        <f t="shared" si="242"/>
        <v>691.41476175692469</v>
      </c>
      <c r="P390" s="2027">
        <f t="shared" si="242"/>
        <v>691.41476175692469</v>
      </c>
      <c r="Q390" s="2026">
        <v>0.96199999999999997</v>
      </c>
      <c r="R390" s="2026">
        <v>0.96199999999999997</v>
      </c>
      <c r="S390" s="2026">
        <v>0.96199999999999997</v>
      </c>
      <c r="T390" s="2026">
        <v>0.96199999999999997</v>
      </c>
      <c r="U390" s="2028">
        <f t="shared" si="243"/>
        <v>0.14464782144667732</v>
      </c>
      <c r="V390" s="2028">
        <f t="shared" si="243"/>
        <v>0.14464782144667732</v>
      </c>
      <c r="W390" s="2028">
        <f t="shared" si="243"/>
        <v>0.14464782144667732</v>
      </c>
      <c r="X390" s="2028">
        <f t="shared" si="243"/>
        <v>0.14464782144667732</v>
      </c>
      <c r="Y390" s="2026">
        <v>0.96199999999999997</v>
      </c>
      <c r="Z390" s="2026">
        <v>0.96199999999999997</v>
      </c>
      <c r="AA390" s="2026">
        <v>0.96199999999999997</v>
      </c>
      <c r="AB390" s="2026">
        <v>0.96199999999999997</v>
      </c>
      <c r="AC390" s="2027">
        <f t="shared" si="244"/>
        <v>-9.2012273956233628</v>
      </c>
      <c r="AD390" s="2027">
        <f t="shared" si="244"/>
        <v>-9.2012273956233628</v>
      </c>
      <c r="AE390" s="2027">
        <f t="shared" si="244"/>
        <v>-9.2012273956233628</v>
      </c>
      <c r="AF390" s="2027">
        <f t="shared" si="244"/>
        <v>-9.2012273956233628</v>
      </c>
      <c r="AG390" s="2027">
        <v>0</v>
      </c>
      <c r="AH390" s="2028"/>
      <c r="AI390" s="2028"/>
      <c r="AJ390" s="2028"/>
      <c r="AK390" s="2027">
        <f t="shared" si="250"/>
        <v>0</v>
      </c>
      <c r="AL390" s="2027">
        <f t="shared" si="236"/>
        <v>0</v>
      </c>
      <c r="AM390" s="2027">
        <f t="shared" si="236"/>
        <v>0</v>
      </c>
      <c r="AN390" s="2027">
        <f t="shared" si="236"/>
        <v>0</v>
      </c>
      <c r="AO390" s="2027">
        <f t="shared" si="245"/>
        <v>0</v>
      </c>
      <c r="AP390" s="2027">
        <f t="shared" si="237"/>
        <v>0</v>
      </c>
      <c r="AQ390" s="2027">
        <f t="shared" si="237"/>
        <v>0</v>
      </c>
      <c r="AR390" s="2027">
        <f t="shared" si="237"/>
        <v>0</v>
      </c>
      <c r="AS390" s="2124">
        <f t="shared" si="251"/>
        <v>92.709000000000003</v>
      </c>
      <c r="AT390" s="2029">
        <f t="shared" si="238"/>
        <v>92.709000000000003</v>
      </c>
      <c r="AU390" s="2029">
        <f t="shared" si="238"/>
        <v>92.709000000000003</v>
      </c>
      <c r="AV390" s="2029">
        <f t="shared" si="238"/>
        <v>92.709000000000003</v>
      </c>
      <c r="AW390" s="2124">
        <f t="shared" si="248"/>
        <v>0</v>
      </c>
      <c r="AX390" s="2029">
        <f t="shared" si="216"/>
        <v>0</v>
      </c>
      <c r="AY390" s="2029">
        <f t="shared" si="216"/>
        <v>0</v>
      </c>
      <c r="AZ390" s="2029">
        <f t="shared" si="216"/>
        <v>0</v>
      </c>
      <c r="BA390" s="2124">
        <f t="shared" si="249"/>
        <v>196.78800000000001</v>
      </c>
      <c r="BB390" s="2029">
        <f t="shared" si="249"/>
        <v>196.78800000000001</v>
      </c>
      <c r="BC390" s="2029">
        <f t="shared" si="249"/>
        <v>196.78800000000001</v>
      </c>
      <c r="BD390" s="2029">
        <f t="shared" si="249"/>
        <v>196.78800000000001</v>
      </c>
      <c r="BE390" s="2030">
        <f t="shared" si="239"/>
        <v>0</v>
      </c>
      <c r="BF390" s="2030">
        <f t="shared" si="239"/>
        <v>0</v>
      </c>
      <c r="BG390" s="2030">
        <f t="shared" si="239"/>
        <v>0</v>
      </c>
      <c r="BH390" s="2030">
        <f t="shared" si="239"/>
        <v>0</v>
      </c>
      <c r="BI390" s="2030">
        <f t="shared" si="240"/>
        <v>0</v>
      </c>
      <c r="BJ390" s="2030">
        <f t="shared" si="240"/>
        <v>0</v>
      </c>
      <c r="BK390" s="2030">
        <f t="shared" si="240"/>
        <v>0</v>
      </c>
      <c r="BL390" s="2030">
        <f t="shared" si="240"/>
        <v>0</v>
      </c>
      <c r="BM390" s="2125"/>
      <c r="BN390" s="2125"/>
      <c r="BO390" s="2125"/>
      <c r="BP390" s="2125"/>
      <c r="BQ390" s="2125"/>
      <c r="BR390" s="2125"/>
      <c r="BS390" s="2125"/>
      <c r="BT390" s="2125"/>
      <c r="BU390" s="2029"/>
      <c r="BV390" s="2029"/>
      <c r="BW390" s="2029"/>
      <c r="BX390" s="2029"/>
      <c r="BY390" s="2029"/>
      <c r="BZ390" s="2032"/>
      <c r="CA390" s="1974">
        <f t="shared" si="246"/>
        <v>0</v>
      </c>
      <c r="CB390" s="1974">
        <f t="shared" si="246"/>
        <v>0</v>
      </c>
      <c r="CC390" s="1974">
        <f t="shared" si="246"/>
        <v>0</v>
      </c>
      <c r="CD390" s="1974">
        <f t="shared" si="246"/>
        <v>0</v>
      </c>
      <c r="CE390" s="1974">
        <f t="shared" si="246"/>
        <v>0</v>
      </c>
      <c r="CF390" s="2033">
        <v>0</v>
      </c>
      <c r="CG390" s="2026">
        <v>0</v>
      </c>
      <c r="CH390" s="2009">
        <f t="shared" si="246"/>
        <v>1</v>
      </c>
      <c r="CI390" s="2031">
        <f t="shared" si="246"/>
        <v>12.86830985915493</v>
      </c>
      <c r="CJ390" s="1974">
        <f t="shared" si="246"/>
        <v>0</v>
      </c>
      <c r="CK390" s="2031">
        <f t="shared" si="246"/>
        <v>-12.86830985915493</v>
      </c>
      <c r="CL390" s="2026">
        <v>1</v>
      </c>
      <c r="CM390" s="2026">
        <v>1</v>
      </c>
      <c r="CN390" s="2026">
        <v>1</v>
      </c>
      <c r="CO390" s="2026">
        <v>1</v>
      </c>
      <c r="CP390" s="2035"/>
      <c r="CQ390" s="2036"/>
      <c r="CR390" s="2036"/>
      <c r="CS390" s="2036"/>
      <c r="CT390" s="2036"/>
      <c r="CU390" s="2036"/>
      <c r="CW390" s="1973">
        <v>0</v>
      </c>
      <c r="CX390" s="2037">
        <v>92.709000000000003</v>
      </c>
      <c r="CY390" s="2037">
        <v>92.709000000000003</v>
      </c>
      <c r="CZ390" s="2037">
        <v>92.709000000000003</v>
      </c>
      <c r="DA390" s="2037">
        <v>92.709000000000003</v>
      </c>
      <c r="DJ390" s="1976">
        <v>92.709000000000003</v>
      </c>
      <c r="DK390" s="1973">
        <v>92.709000000000003</v>
      </c>
      <c r="DL390" s="1973">
        <v>92.709000000000003</v>
      </c>
      <c r="DM390" s="1973">
        <v>92.709000000000003</v>
      </c>
      <c r="DO390" s="1974">
        <v>14.2</v>
      </c>
      <c r="DP390" s="1974">
        <v>718.72636357268686</v>
      </c>
      <c r="DQ390" s="1974">
        <v>0.15036156075538182</v>
      </c>
      <c r="DR390" s="1974">
        <v>-9.5646854424359287</v>
      </c>
      <c r="DS390" s="2124">
        <v>92.709000000000003</v>
      </c>
      <c r="DT390" s="2029">
        <v>92.709000000000003</v>
      </c>
      <c r="DU390" s="2029">
        <v>92.709000000000003</v>
      </c>
      <c r="DV390" s="2029">
        <v>92.709000000000003</v>
      </c>
      <c r="DW390" s="2124">
        <v>0</v>
      </c>
      <c r="DX390" s="2029">
        <v>0</v>
      </c>
      <c r="DY390" s="2029">
        <v>0</v>
      </c>
      <c r="DZ390" s="2029">
        <v>0</v>
      </c>
      <c r="EA390" s="2124">
        <v>196.78800000000001</v>
      </c>
      <c r="EB390" s="2029">
        <v>196.78800000000001</v>
      </c>
      <c r="EC390" s="2029">
        <v>196.78800000000001</v>
      </c>
      <c r="ED390" s="2029">
        <v>196.78800000000001</v>
      </c>
      <c r="EE390" s="2039">
        <f t="shared" si="213"/>
        <v>0</v>
      </c>
      <c r="EF390" s="2039">
        <f t="shared" si="213"/>
        <v>0</v>
      </c>
      <c r="EG390" s="2039">
        <f t="shared" si="213"/>
        <v>0</v>
      </c>
      <c r="EH390" s="2039">
        <f t="shared" ref="EH390:EH453" si="252">F390-DR390</f>
        <v>0</v>
      </c>
      <c r="EI390" s="2040">
        <f t="shared" si="233"/>
        <v>0</v>
      </c>
      <c r="EJ390" s="2040">
        <f t="shared" si="233"/>
        <v>0</v>
      </c>
      <c r="EK390" s="2040">
        <f t="shared" si="233"/>
        <v>0</v>
      </c>
      <c r="EL390" s="2040">
        <f t="shared" si="232"/>
        <v>0</v>
      </c>
      <c r="EM390" s="2040">
        <f t="shared" si="232"/>
        <v>0</v>
      </c>
      <c r="EN390" s="2040">
        <f t="shared" si="232"/>
        <v>0</v>
      </c>
      <c r="EO390" s="2040">
        <f t="shared" si="226"/>
        <v>0</v>
      </c>
      <c r="EP390" s="2040">
        <f t="shared" si="226"/>
        <v>0</v>
      </c>
      <c r="EQ390" s="2040">
        <f t="shared" si="226"/>
        <v>0</v>
      </c>
      <c r="ER390" s="2040">
        <f t="shared" si="226"/>
        <v>0</v>
      </c>
      <c r="ES390" s="2040">
        <f t="shared" si="226"/>
        <v>0</v>
      </c>
      <c r="ET390" s="2040">
        <f t="shared" si="226"/>
        <v>0</v>
      </c>
      <c r="EU390" s="2039">
        <f t="shared" si="214"/>
        <v>0</v>
      </c>
      <c r="EV390" s="2039">
        <f t="shared" si="215"/>
        <v>0</v>
      </c>
    </row>
    <row r="391" spans="1:152" x14ac:dyDescent="0.25">
      <c r="A391" s="2126" t="s">
        <v>2999</v>
      </c>
      <c r="B391" s="1974" t="str">
        <f t="shared" si="234"/>
        <v/>
      </c>
      <c r="C391" s="1974">
        <f t="shared" si="241"/>
        <v>15</v>
      </c>
      <c r="D391" s="1974">
        <f t="shared" si="241"/>
        <v>89.722072000000011</v>
      </c>
      <c r="E391" s="1974">
        <f t="shared" si="241"/>
        <v>1.41994336E-2</v>
      </c>
      <c r="F391" s="1974">
        <f t="shared" si="241"/>
        <v>-0.98694279200000035</v>
      </c>
      <c r="G391" s="1974" t="s">
        <v>2997</v>
      </c>
      <c r="H391" s="1974" t="s">
        <v>2997</v>
      </c>
      <c r="I391" s="2026">
        <v>0.96199999999999997</v>
      </c>
      <c r="J391" s="2026">
        <v>0.96199999999999997</v>
      </c>
      <c r="K391" s="2026">
        <v>0.96199999999999997</v>
      </c>
      <c r="L391" s="2026">
        <v>0.96199999999999997</v>
      </c>
      <c r="M391" s="2027">
        <f t="shared" si="242"/>
        <v>86.312633264000013</v>
      </c>
      <c r="N391" s="2027">
        <f t="shared" si="242"/>
        <v>86.312633264000013</v>
      </c>
      <c r="O391" s="2027">
        <f t="shared" si="242"/>
        <v>86.312633264000013</v>
      </c>
      <c r="P391" s="2027">
        <f t="shared" si="242"/>
        <v>86.312633264000013</v>
      </c>
      <c r="Q391" s="2026">
        <v>0.96199999999999997</v>
      </c>
      <c r="R391" s="2026">
        <v>0.96199999999999997</v>
      </c>
      <c r="S391" s="2026">
        <v>0.96199999999999997</v>
      </c>
      <c r="T391" s="2026">
        <v>0.96199999999999997</v>
      </c>
      <c r="U391" s="2028">
        <f t="shared" si="243"/>
        <v>1.3659855123199999E-2</v>
      </c>
      <c r="V391" s="2028">
        <f t="shared" si="243"/>
        <v>1.3659855123199999E-2</v>
      </c>
      <c r="W391" s="2028">
        <f t="shared" si="243"/>
        <v>1.3659855123199999E-2</v>
      </c>
      <c r="X391" s="2028">
        <f t="shared" si="243"/>
        <v>1.3659855123199999E-2</v>
      </c>
      <c r="Y391" s="2026">
        <v>0.96199999999999997</v>
      </c>
      <c r="Z391" s="2026">
        <v>0.96199999999999997</v>
      </c>
      <c r="AA391" s="2026">
        <v>0.96199999999999997</v>
      </c>
      <c r="AB391" s="2026">
        <v>0.96199999999999997</v>
      </c>
      <c r="AC391" s="2027">
        <f t="shared" si="244"/>
        <v>-0.94943896590400034</v>
      </c>
      <c r="AD391" s="2027">
        <f t="shared" si="244"/>
        <v>-0.94943896590400034</v>
      </c>
      <c r="AE391" s="2027">
        <f t="shared" si="244"/>
        <v>-0.94943896590400034</v>
      </c>
      <c r="AF391" s="2027">
        <f t="shared" si="244"/>
        <v>-0.94943896590400034</v>
      </c>
      <c r="AG391" s="2027">
        <v>9960</v>
      </c>
      <c r="AH391" s="2027">
        <v>11089</v>
      </c>
      <c r="AI391" s="2027">
        <v>11736</v>
      </c>
      <c r="AJ391" s="2027">
        <v>12000</v>
      </c>
      <c r="AK391" s="2027">
        <f t="shared" si="250"/>
        <v>859673.82730944012</v>
      </c>
      <c r="AL391" s="2027">
        <f t="shared" si="236"/>
        <v>957120.79026449611</v>
      </c>
      <c r="AM391" s="2027">
        <f t="shared" si="236"/>
        <v>1012965.0639863041</v>
      </c>
      <c r="AN391" s="2027">
        <f t="shared" si="236"/>
        <v>1035751.5991680002</v>
      </c>
      <c r="AO391" s="2027">
        <f t="shared" si="245"/>
        <v>-9456.4121004038443</v>
      </c>
      <c r="AP391" s="2027">
        <f t="shared" si="237"/>
        <v>-10528.328692909459</v>
      </c>
      <c r="AQ391" s="2027">
        <f t="shared" si="237"/>
        <v>-11142.615703849347</v>
      </c>
      <c r="AR391" s="2027">
        <f t="shared" si="237"/>
        <v>-11393.267590848003</v>
      </c>
      <c r="AS391" s="2029">
        <v>28</v>
      </c>
      <c r="AT391" s="2029">
        <f>AS391</f>
        <v>28</v>
      </c>
      <c r="AU391" s="2029">
        <f>AU147+20</f>
        <v>25</v>
      </c>
      <c r="AV391" s="2029">
        <f>AV147+20</f>
        <v>24</v>
      </c>
      <c r="AW391" s="2029">
        <f t="shared" si="248"/>
        <v>0</v>
      </c>
      <c r="AX391" s="2029">
        <f t="shared" si="216"/>
        <v>0</v>
      </c>
      <c r="AY391" s="2029">
        <f t="shared" si="216"/>
        <v>0</v>
      </c>
      <c r="AZ391" s="2029">
        <f t="shared" si="216"/>
        <v>0</v>
      </c>
      <c r="BA391" s="2029">
        <f t="shared" si="249"/>
        <v>12.330000000000002</v>
      </c>
      <c r="BB391" s="2029">
        <f>BA391</f>
        <v>12.330000000000002</v>
      </c>
      <c r="BC391" s="2029">
        <f t="shared" si="249"/>
        <v>9.8640000000000025</v>
      </c>
      <c r="BD391" s="2029">
        <f t="shared" si="249"/>
        <v>6.9048000000000016</v>
      </c>
      <c r="BE391" s="2030">
        <f t="shared" si="239"/>
        <v>278880</v>
      </c>
      <c r="BF391" s="2030">
        <f t="shared" si="239"/>
        <v>310492</v>
      </c>
      <c r="BG391" s="2030">
        <f t="shared" si="239"/>
        <v>293400</v>
      </c>
      <c r="BH391" s="2030">
        <f t="shared" si="239"/>
        <v>288000</v>
      </c>
      <c r="BI391" s="2030">
        <f t="shared" si="240"/>
        <v>0</v>
      </c>
      <c r="BJ391" s="2030">
        <f t="shared" si="240"/>
        <v>0</v>
      </c>
      <c r="BK391" s="2030">
        <f t="shared" si="240"/>
        <v>0</v>
      </c>
      <c r="BL391" s="2030">
        <f t="shared" si="240"/>
        <v>0</v>
      </c>
      <c r="BM391" s="2125"/>
      <c r="BN391" s="2125"/>
      <c r="BO391" s="2125"/>
      <c r="BP391" s="2125"/>
      <c r="BQ391" s="2125"/>
      <c r="BR391" s="2125"/>
      <c r="BS391" s="2125"/>
      <c r="BT391" s="2125"/>
      <c r="BU391" s="2029"/>
      <c r="BV391" s="2029"/>
      <c r="BW391" s="2029"/>
      <c r="BX391" s="2029"/>
      <c r="BY391" s="2029"/>
      <c r="BZ391" s="2032"/>
      <c r="CA391" s="1974">
        <f t="shared" si="246"/>
        <v>0</v>
      </c>
      <c r="CB391" s="1974">
        <f t="shared" si="246"/>
        <v>0</v>
      </c>
      <c r="CC391" s="1974">
        <f t="shared" si="246"/>
        <v>0</v>
      </c>
      <c r="CD391" s="1974">
        <f t="shared" si="246"/>
        <v>0</v>
      </c>
      <c r="CE391" s="1974">
        <f t="shared" si="246"/>
        <v>0</v>
      </c>
      <c r="CF391" s="2033">
        <v>3.5937261346037988E-3</v>
      </c>
      <c r="CG391" s="2026">
        <v>-3.5280022906733839E-3</v>
      </c>
      <c r="CH391" s="2009">
        <f t="shared" si="246"/>
        <v>1</v>
      </c>
      <c r="CI391" s="2031">
        <f t="shared" si="246"/>
        <v>0.99282231904761908</v>
      </c>
      <c r="CJ391" s="1974">
        <f t="shared" si="246"/>
        <v>0</v>
      </c>
      <c r="CK391" s="2031">
        <f t="shared" si="246"/>
        <v>-0.99282231904761908</v>
      </c>
      <c r="CL391" s="2026">
        <v>1</v>
      </c>
      <c r="CM391" s="2026">
        <v>1</v>
      </c>
      <c r="CN391" s="2026">
        <v>1</v>
      </c>
      <c r="CO391" s="2026">
        <v>1</v>
      </c>
      <c r="CP391" s="2035"/>
      <c r="CQ391" s="2036"/>
      <c r="CR391" s="2036"/>
      <c r="CS391" s="2036"/>
      <c r="CT391" s="2036"/>
      <c r="CU391" s="2036"/>
      <c r="CW391" s="1973">
        <v>1</v>
      </c>
      <c r="CX391" s="2037">
        <v>27</v>
      </c>
      <c r="CY391" s="2037">
        <v>27</v>
      </c>
      <c r="CZ391" s="2037">
        <v>25</v>
      </c>
      <c r="DA391" s="2037">
        <v>24</v>
      </c>
      <c r="DJ391" s="1976">
        <v>27</v>
      </c>
      <c r="DK391" s="1973">
        <v>27</v>
      </c>
      <c r="DL391" s="1973">
        <v>25</v>
      </c>
      <c r="DM391" s="1973">
        <v>24</v>
      </c>
      <c r="DO391" s="2047">
        <v>15</v>
      </c>
      <c r="DP391" s="2047">
        <v>89.722072000000011</v>
      </c>
      <c r="DQ391" s="2047">
        <v>1.41994336E-2</v>
      </c>
      <c r="DR391" s="2047">
        <v>-0.98694279200000035</v>
      </c>
      <c r="DS391" s="2046">
        <v>28</v>
      </c>
      <c r="DT391" s="2046">
        <v>28</v>
      </c>
      <c r="DU391" s="2046">
        <v>25</v>
      </c>
      <c r="DV391" s="2046">
        <v>24</v>
      </c>
      <c r="DW391" s="2046">
        <v>0</v>
      </c>
      <c r="DX391" s="2046">
        <v>0</v>
      </c>
      <c r="DY391" s="2046">
        <v>0</v>
      </c>
      <c r="DZ391" s="2046">
        <v>0</v>
      </c>
      <c r="EA391" s="2046">
        <v>12.330000000000002</v>
      </c>
      <c r="EB391" s="2046">
        <v>12.330000000000002</v>
      </c>
      <c r="EC391" s="2046">
        <v>9.8640000000000025</v>
      </c>
      <c r="ED391" s="2046">
        <v>6.9048000000000016</v>
      </c>
      <c r="EE391" s="2039">
        <f t="shared" ref="EE391:EH454" si="253">C391-DO391</f>
        <v>0</v>
      </c>
      <c r="EF391" s="2039">
        <f t="shared" si="253"/>
        <v>0</v>
      </c>
      <c r="EG391" s="2039">
        <f t="shared" si="253"/>
        <v>0</v>
      </c>
      <c r="EH391" s="2039">
        <f t="shared" si="252"/>
        <v>0</v>
      </c>
      <c r="EI391" s="2040">
        <f t="shared" si="233"/>
        <v>0</v>
      </c>
      <c r="EJ391" s="2040">
        <f t="shared" si="233"/>
        <v>0</v>
      </c>
      <c r="EK391" s="2040">
        <f t="shared" si="233"/>
        <v>0</v>
      </c>
      <c r="EL391" s="2040">
        <f t="shared" si="232"/>
        <v>0</v>
      </c>
      <c r="EM391" s="2040">
        <f t="shared" si="232"/>
        <v>0</v>
      </c>
      <c r="EN391" s="2040">
        <f t="shared" si="232"/>
        <v>0</v>
      </c>
      <c r="EO391" s="2040">
        <f t="shared" si="226"/>
        <v>0</v>
      </c>
      <c r="EP391" s="2040">
        <f t="shared" si="226"/>
        <v>0</v>
      </c>
      <c r="EQ391" s="2040">
        <f t="shared" si="226"/>
        <v>0</v>
      </c>
      <c r="ER391" s="2040">
        <f t="shared" si="226"/>
        <v>0</v>
      </c>
      <c r="ES391" s="2040">
        <f t="shared" si="226"/>
        <v>0</v>
      </c>
      <c r="ET391" s="2040">
        <f t="shared" si="226"/>
        <v>0</v>
      </c>
      <c r="EU391" s="2039">
        <f t="shared" ref="EU391:EU454" si="254">SUM(EE391:ET391)</f>
        <v>0</v>
      </c>
      <c r="EV391" s="2039">
        <f t="shared" ref="EV391:EV454" si="255">SUM(EE391:EH391)</f>
        <v>0</v>
      </c>
    </row>
    <row r="392" spans="1:152" x14ac:dyDescent="0.25">
      <c r="A392" s="2088" t="s">
        <v>252</v>
      </c>
      <c r="B392" s="2093" t="str">
        <f t="shared" si="234"/>
        <v/>
      </c>
      <c r="C392" s="1974">
        <f t="shared" si="241"/>
        <v>10</v>
      </c>
      <c r="D392" s="1974">
        <f t="shared" si="241"/>
        <v>-1522.2395734687498</v>
      </c>
      <c r="E392" s="1974">
        <f t="shared" si="241"/>
        <v>0</v>
      </c>
      <c r="F392" s="1974">
        <f t="shared" si="241"/>
        <v>472.27012500000001</v>
      </c>
      <c r="G392" s="1974" t="s">
        <v>2997</v>
      </c>
      <c r="H392" s="1974" t="s">
        <v>2997</v>
      </c>
      <c r="I392" s="2026">
        <v>0.96199999999999997</v>
      </c>
      <c r="J392" s="2026">
        <v>0.96199999999999997</v>
      </c>
      <c r="K392" s="2026">
        <v>0.96199999999999997</v>
      </c>
      <c r="L392" s="2026">
        <v>0.96199999999999997</v>
      </c>
      <c r="M392" s="2027">
        <f t="shared" si="242"/>
        <v>-1464.3944696769372</v>
      </c>
      <c r="N392" s="2027">
        <f t="shared" si="242"/>
        <v>-1464.3944696769372</v>
      </c>
      <c r="O392" s="2027">
        <f t="shared" si="242"/>
        <v>-1464.3944696769372</v>
      </c>
      <c r="P392" s="2027">
        <f t="shared" si="242"/>
        <v>-1464.3944696769372</v>
      </c>
      <c r="Q392" s="2026">
        <v>0.96199999999999997</v>
      </c>
      <c r="R392" s="2026">
        <v>0.96199999999999997</v>
      </c>
      <c r="S392" s="2026">
        <v>0.96199999999999997</v>
      </c>
      <c r="T392" s="2026">
        <v>0.96199999999999997</v>
      </c>
      <c r="U392" s="2028">
        <f t="shared" si="243"/>
        <v>0</v>
      </c>
      <c r="V392" s="2028">
        <f t="shared" si="243"/>
        <v>0</v>
      </c>
      <c r="W392" s="2028">
        <f t="shared" si="243"/>
        <v>0</v>
      </c>
      <c r="X392" s="2028">
        <f t="shared" si="243"/>
        <v>0</v>
      </c>
      <c r="Y392" s="2026">
        <v>0.96199999999999997</v>
      </c>
      <c r="Z392" s="2026">
        <v>0.96199999999999997</v>
      </c>
      <c r="AA392" s="2026">
        <v>0.96199999999999997</v>
      </c>
      <c r="AB392" s="2026">
        <v>0.96199999999999997</v>
      </c>
      <c r="AC392" s="2027">
        <f t="shared" si="244"/>
        <v>454.32386025</v>
      </c>
      <c r="AD392" s="2027">
        <f t="shared" si="244"/>
        <v>454.32386025</v>
      </c>
      <c r="AE392" s="2027">
        <f t="shared" si="244"/>
        <v>454.32386025</v>
      </c>
      <c r="AF392" s="2027">
        <f t="shared" si="244"/>
        <v>454.32386025</v>
      </c>
      <c r="AG392" s="2027">
        <v>0</v>
      </c>
      <c r="AH392" s="2028"/>
      <c r="AI392" s="2028"/>
      <c r="AJ392" s="2028"/>
      <c r="AK392" s="2027">
        <f t="shared" si="250"/>
        <v>0</v>
      </c>
      <c r="AL392" s="2027">
        <f t="shared" si="236"/>
        <v>0</v>
      </c>
      <c r="AM392" s="2027">
        <f t="shared" si="236"/>
        <v>0</v>
      </c>
      <c r="AN392" s="2027">
        <f t="shared" si="236"/>
        <v>0</v>
      </c>
      <c r="AO392" s="2027">
        <f t="shared" si="245"/>
        <v>0</v>
      </c>
      <c r="AP392" s="2027">
        <f t="shared" si="237"/>
        <v>0</v>
      </c>
      <c r="AQ392" s="2027">
        <f t="shared" si="237"/>
        <v>0</v>
      </c>
      <c r="AR392" s="2027">
        <f t="shared" si="237"/>
        <v>0</v>
      </c>
      <c r="AS392" s="2124">
        <f t="shared" ref="AS392:AS398" si="256">AS148*1.5</f>
        <v>0</v>
      </c>
      <c r="AT392" s="2029">
        <f t="shared" si="238"/>
        <v>0</v>
      </c>
      <c r="AU392" s="2029">
        <f t="shared" si="238"/>
        <v>0</v>
      </c>
      <c r="AV392" s="2029">
        <f t="shared" si="238"/>
        <v>0</v>
      </c>
      <c r="AW392" s="2124">
        <f t="shared" si="248"/>
        <v>1300</v>
      </c>
      <c r="AX392" s="2029">
        <f t="shared" si="216"/>
        <v>1300</v>
      </c>
      <c r="AY392" s="2029">
        <f t="shared" si="216"/>
        <v>1300</v>
      </c>
      <c r="AZ392" s="2029">
        <f t="shared" si="216"/>
        <v>1300</v>
      </c>
      <c r="BA392" s="2124">
        <f t="shared" si="249"/>
        <v>8600</v>
      </c>
      <c r="BB392" s="2029">
        <f t="shared" si="249"/>
        <v>8600</v>
      </c>
      <c r="BC392" s="2029">
        <f t="shared" si="249"/>
        <v>8600</v>
      </c>
      <c r="BD392" s="2029">
        <f t="shared" si="249"/>
        <v>8600</v>
      </c>
      <c r="BE392" s="2030">
        <f t="shared" si="239"/>
        <v>0</v>
      </c>
      <c r="BF392" s="2030">
        <f t="shared" si="239"/>
        <v>0</v>
      </c>
      <c r="BG392" s="2030">
        <f t="shared" si="239"/>
        <v>0</v>
      </c>
      <c r="BH392" s="2030">
        <f t="shared" si="239"/>
        <v>0</v>
      </c>
      <c r="BI392" s="2030">
        <f t="shared" si="240"/>
        <v>0</v>
      </c>
      <c r="BJ392" s="2030">
        <f t="shared" si="240"/>
        <v>0</v>
      </c>
      <c r="BK392" s="2030">
        <f t="shared" si="240"/>
        <v>0</v>
      </c>
      <c r="BL392" s="2030">
        <f t="shared" si="240"/>
        <v>0</v>
      </c>
      <c r="BM392" s="2125"/>
      <c r="BN392" s="2125"/>
      <c r="BO392" s="2125"/>
      <c r="BP392" s="2125"/>
      <c r="BQ392" s="2125"/>
      <c r="BR392" s="2125"/>
      <c r="BS392" s="2125"/>
      <c r="BT392" s="2125"/>
      <c r="BU392" s="2029"/>
      <c r="BV392" s="2029"/>
      <c r="BW392" s="2029"/>
      <c r="BX392" s="2029"/>
      <c r="BY392" s="2029"/>
      <c r="BZ392" s="2032"/>
      <c r="CA392" s="1974">
        <f t="shared" si="246"/>
        <v>0</v>
      </c>
      <c r="CB392" s="1974">
        <f t="shared" si="246"/>
        <v>0</v>
      </c>
      <c r="CC392" s="1974">
        <f t="shared" si="246"/>
        <v>0</v>
      </c>
      <c r="CD392" s="1974">
        <f t="shared" si="246"/>
        <v>0</v>
      </c>
      <c r="CE392" s="1974">
        <f t="shared" si="246"/>
        <v>0</v>
      </c>
      <c r="CF392" s="2033">
        <v>0</v>
      </c>
      <c r="CG392" s="2026">
        <v>0</v>
      </c>
      <c r="CH392" s="2009">
        <f t="shared" si="246"/>
        <v>0</v>
      </c>
      <c r="CI392" s="2031">
        <f t="shared" si="246"/>
        <v>0</v>
      </c>
      <c r="CJ392" s="1974">
        <f t="shared" si="246"/>
        <v>0</v>
      </c>
      <c r="CK392" s="2031">
        <f t="shared" si="246"/>
        <v>0</v>
      </c>
      <c r="CL392" s="2026">
        <v>1</v>
      </c>
      <c r="CM392" s="2026">
        <v>1</v>
      </c>
      <c r="CN392" s="2026">
        <v>1</v>
      </c>
      <c r="CO392" s="2026">
        <v>1</v>
      </c>
      <c r="CP392" s="2035"/>
      <c r="CQ392" s="2036"/>
      <c r="CR392" s="2036"/>
      <c r="CS392" s="2036"/>
      <c r="CT392" s="2036"/>
      <c r="CU392" s="2036"/>
      <c r="CW392" s="1973">
        <v>0</v>
      </c>
      <c r="CX392" s="2037">
        <v>1300</v>
      </c>
      <c r="CY392" s="2037">
        <v>1300</v>
      </c>
      <c r="CZ392" s="2037">
        <v>1300</v>
      </c>
      <c r="DA392" s="2037">
        <v>1300</v>
      </c>
      <c r="DJ392" s="1976">
        <v>0</v>
      </c>
      <c r="DK392" s="1973">
        <v>0</v>
      </c>
      <c r="DL392" s="1973">
        <v>0</v>
      </c>
      <c r="DM392" s="1973">
        <v>0</v>
      </c>
      <c r="DO392" s="1974">
        <v>10</v>
      </c>
      <c r="DP392" s="1974">
        <v>-1522.2395734687498</v>
      </c>
      <c r="DQ392" s="1974">
        <v>0</v>
      </c>
      <c r="DR392" s="1974">
        <v>472.27012500000001</v>
      </c>
      <c r="DS392" s="2124">
        <v>0</v>
      </c>
      <c r="DT392" s="2029">
        <v>0</v>
      </c>
      <c r="DU392" s="2029">
        <v>0</v>
      </c>
      <c r="DV392" s="2029">
        <v>0</v>
      </c>
      <c r="DW392" s="2124">
        <v>1300</v>
      </c>
      <c r="DX392" s="2029">
        <v>1300</v>
      </c>
      <c r="DY392" s="2029">
        <v>1300</v>
      </c>
      <c r="DZ392" s="2029">
        <v>1300</v>
      </c>
      <c r="EA392" s="2124">
        <v>8600</v>
      </c>
      <c r="EB392" s="2029">
        <v>8600</v>
      </c>
      <c r="EC392" s="2029">
        <v>8600</v>
      </c>
      <c r="ED392" s="2029">
        <v>8600</v>
      </c>
      <c r="EE392" s="2039">
        <f t="shared" si="253"/>
        <v>0</v>
      </c>
      <c r="EF392" s="2039">
        <f t="shared" si="253"/>
        <v>0</v>
      </c>
      <c r="EG392" s="2039">
        <f t="shared" si="253"/>
        <v>0</v>
      </c>
      <c r="EH392" s="2039">
        <f t="shared" si="252"/>
        <v>0</v>
      </c>
      <c r="EI392" s="2040">
        <f t="shared" si="233"/>
        <v>0</v>
      </c>
      <c r="EJ392" s="2040">
        <f t="shared" si="233"/>
        <v>0</v>
      </c>
      <c r="EK392" s="2040">
        <f t="shared" si="233"/>
        <v>0</v>
      </c>
      <c r="EL392" s="2040">
        <f t="shared" si="232"/>
        <v>0</v>
      </c>
      <c r="EM392" s="2040">
        <f t="shared" si="232"/>
        <v>0</v>
      </c>
      <c r="EN392" s="2040">
        <f t="shared" si="232"/>
        <v>0</v>
      </c>
      <c r="EO392" s="2040">
        <f t="shared" si="226"/>
        <v>0</v>
      </c>
      <c r="EP392" s="2040">
        <f t="shared" si="226"/>
        <v>0</v>
      </c>
      <c r="EQ392" s="2040">
        <f t="shared" si="226"/>
        <v>0</v>
      </c>
      <c r="ER392" s="2040">
        <f t="shared" si="226"/>
        <v>0</v>
      </c>
      <c r="ES392" s="2040">
        <f t="shared" si="226"/>
        <v>0</v>
      </c>
      <c r="ET392" s="2040">
        <f t="shared" si="226"/>
        <v>0</v>
      </c>
      <c r="EU392" s="2039">
        <f t="shared" si="254"/>
        <v>0</v>
      </c>
      <c r="EV392" s="2039">
        <f t="shared" si="255"/>
        <v>0</v>
      </c>
    </row>
    <row r="393" spans="1:152" x14ac:dyDescent="0.25">
      <c r="A393" s="2088" t="s">
        <v>253</v>
      </c>
      <c r="B393" s="2093" t="str">
        <f t="shared" si="234"/>
        <v/>
      </c>
      <c r="C393" s="1974">
        <f t="shared" si="241"/>
        <v>10</v>
      </c>
      <c r="D393" s="1974">
        <f t="shared" si="241"/>
        <v>-888.10068703124989</v>
      </c>
      <c r="E393" s="1974">
        <f t="shared" si="241"/>
        <v>0</v>
      </c>
      <c r="F393" s="1974">
        <f t="shared" si="241"/>
        <v>624.99187500000005</v>
      </c>
      <c r="G393" s="1974" t="s">
        <v>2997</v>
      </c>
      <c r="H393" s="1974" t="s">
        <v>2997</v>
      </c>
      <c r="I393" s="2026">
        <v>0.96199999999999997</v>
      </c>
      <c r="J393" s="2026">
        <v>0.96199999999999997</v>
      </c>
      <c r="K393" s="2026">
        <v>0.96199999999999997</v>
      </c>
      <c r="L393" s="2026">
        <v>0.96199999999999997</v>
      </c>
      <c r="M393" s="2027">
        <f t="shared" si="242"/>
        <v>-854.35286092406238</v>
      </c>
      <c r="N393" s="2027">
        <f t="shared" si="242"/>
        <v>-854.35286092406238</v>
      </c>
      <c r="O393" s="2027">
        <f t="shared" si="242"/>
        <v>-854.35286092406238</v>
      </c>
      <c r="P393" s="2027">
        <f t="shared" si="242"/>
        <v>-854.35286092406238</v>
      </c>
      <c r="Q393" s="2026">
        <v>0.96199999999999997</v>
      </c>
      <c r="R393" s="2026">
        <v>0.96199999999999997</v>
      </c>
      <c r="S393" s="2026">
        <v>0.96199999999999997</v>
      </c>
      <c r="T393" s="2026">
        <v>0.96199999999999997</v>
      </c>
      <c r="U393" s="2028">
        <f t="shared" si="243"/>
        <v>0</v>
      </c>
      <c r="V393" s="2028">
        <f t="shared" si="243"/>
        <v>0</v>
      </c>
      <c r="W393" s="2028">
        <f t="shared" si="243"/>
        <v>0</v>
      </c>
      <c r="X393" s="2028">
        <f t="shared" si="243"/>
        <v>0</v>
      </c>
      <c r="Y393" s="2026">
        <v>0.96199999999999997</v>
      </c>
      <c r="Z393" s="2026">
        <v>0.96199999999999997</v>
      </c>
      <c r="AA393" s="2026">
        <v>0.96199999999999997</v>
      </c>
      <c r="AB393" s="2026">
        <v>0.96199999999999997</v>
      </c>
      <c r="AC393" s="2027">
        <f t="shared" si="244"/>
        <v>601.24218374999998</v>
      </c>
      <c r="AD393" s="2027">
        <f t="shared" si="244"/>
        <v>601.24218374999998</v>
      </c>
      <c r="AE393" s="2027">
        <f t="shared" si="244"/>
        <v>601.24218374999998</v>
      </c>
      <c r="AF393" s="2027">
        <f t="shared" si="244"/>
        <v>601.24218374999998</v>
      </c>
      <c r="AG393" s="2027">
        <v>0</v>
      </c>
      <c r="AH393" s="2028"/>
      <c r="AI393" s="2028"/>
      <c r="AJ393" s="2028"/>
      <c r="AK393" s="2027">
        <f t="shared" si="250"/>
        <v>0</v>
      </c>
      <c r="AL393" s="2027">
        <f t="shared" si="236"/>
        <v>0</v>
      </c>
      <c r="AM393" s="2027">
        <f t="shared" si="236"/>
        <v>0</v>
      </c>
      <c r="AN393" s="2027">
        <f t="shared" si="236"/>
        <v>0</v>
      </c>
      <c r="AO393" s="2027">
        <f t="shared" si="245"/>
        <v>0</v>
      </c>
      <c r="AP393" s="2027">
        <f t="shared" si="237"/>
        <v>0</v>
      </c>
      <c r="AQ393" s="2027">
        <f t="shared" si="237"/>
        <v>0</v>
      </c>
      <c r="AR393" s="2027">
        <f t="shared" si="237"/>
        <v>0</v>
      </c>
      <c r="AS393" s="2124">
        <f t="shared" si="256"/>
        <v>0</v>
      </c>
      <c r="AT393" s="2029">
        <f t="shared" si="238"/>
        <v>0</v>
      </c>
      <c r="AU393" s="2029">
        <f t="shared" si="238"/>
        <v>0</v>
      </c>
      <c r="AV393" s="2029">
        <f t="shared" si="238"/>
        <v>0</v>
      </c>
      <c r="AW393" s="2124">
        <f t="shared" si="248"/>
        <v>1300</v>
      </c>
      <c r="AX393" s="2029">
        <f t="shared" si="216"/>
        <v>1300</v>
      </c>
      <c r="AY393" s="2029">
        <f t="shared" si="216"/>
        <v>1300</v>
      </c>
      <c r="AZ393" s="2029">
        <f t="shared" si="216"/>
        <v>1300</v>
      </c>
      <c r="BA393" s="2124">
        <f t="shared" si="249"/>
        <v>8650</v>
      </c>
      <c r="BB393" s="2029">
        <f t="shared" si="249"/>
        <v>8650</v>
      </c>
      <c r="BC393" s="2029">
        <f t="shared" si="249"/>
        <v>8650</v>
      </c>
      <c r="BD393" s="2029">
        <f t="shared" si="249"/>
        <v>8650</v>
      </c>
      <c r="BE393" s="2030">
        <f t="shared" si="239"/>
        <v>0</v>
      </c>
      <c r="BF393" s="2030">
        <f t="shared" si="239"/>
        <v>0</v>
      </c>
      <c r="BG393" s="2030">
        <f t="shared" si="239"/>
        <v>0</v>
      </c>
      <c r="BH393" s="2030">
        <f t="shared" si="239"/>
        <v>0</v>
      </c>
      <c r="BI393" s="2030">
        <f t="shared" si="240"/>
        <v>0</v>
      </c>
      <c r="BJ393" s="2030">
        <f t="shared" si="240"/>
        <v>0</v>
      </c>
      <c r="BK393" s="2030">
        <f t="shared" si="240"/>
        <v>0</v>
      </c>
      <c r="BL393" s="2030">
        <f t="shared" si="240"/>
        <v>0</v>
      </c>
      <c r="BM393" s="2125"/>
      <c r="BN393" s="2125"/>
      <c r="BO393" s="2125"/>
      <c r="BP393" s="2125"/>
      <c r="BQ393" s="2125"/>
      <c r="BR393" s="2125"/>
      <c r="BS393" s="2125"/>
      <c r="BT393" s="2125"/>
      <c r="BU393" s="2029"/>
      <c r="BV393" s="2029"/>
      <c r="BW393" s="2029"/>
      <c r="BX393" s="2029"/>
      <c r="BY393" s="2029"/>
      <c r="BZ393" s="2032"/>
      <c r="CA393" s="1974">
        <f t="shared" si="246"/>
        <v>0</v>
      </c>
      <c r="CB393" s="1974">
        <f t="shared" si="246"/>
        <v>0</v>
      </c>
      <c r="CC393" s="1974">
        <f t="shared" si="246"/>
        <v>0</v>
      </c>
      <c r="CD393" s="1974">
        <f t="shared" si="246"/>
        <v>0</v>
      </c>
      <c r="CE393" s="1974">
        <f t="shared" si="246"/>
        <v>0</v>
      </c>
      <c r="CF393" s="2033">
        <v>0</v>
      </c>
      <c r="CG393" s="2026">
        <v>0</v>
      </c>
      <c r="CH393" s="2009">
        <f t="shared" si="246"/>
        <v>0</v>
      </c>
      <c r="CI393" s="2031">
        <f t="shared" si="246"/>
        <v>0</v>
      </c>
      <c r="CJ393" s="1974">
        <f t="shared" si="246"/>
        <v>0</v>
      </c>
      <c r="CK393" s="2031">
        <f t="shared" si="246"/>
        <v>0</v>
      </c>
      <c r="CL393" s="2026">
        <v>1</v>
      </c>
      <c r="CM393" s="2026">
        <v>1</v>
      </c>
      <c r="CN393" s="2026">
        <v>1</v>
      </c>
      <c r="CO393" s="2026">
        <v>1</v>
      </c>
      <c r="CP393" s="2035"/>
      <c r="CQ393" s="2036"/>
      <c r="CR393" s="2036"/>
      <c r="CS393" s="2036"/>
      <c r="CT393" s="2036"/>
      <c r="CU393" s="2036"/>
      <c r="CW393" s="1973">
        <v>0</v>
      </c>
      <c r="CX393" s="2037">
        <v>1300</v>
      </c>
      <c r="CY393" s="2037">
        <v>1300</v>
      </c>
      <c r="CZ393" s="2037">
        <v>1300</v>
      </c>
      <c r="DA393" s="2037">
        <v>1300</v>
      </c>
      <c r="DJ393" s="1976">
        <v>0</v>
      </c>
      <c r="DK393" s="1973">
        <v>0</v>
      </c>
      <c r="DL393" s="1973">
        <v>0</v>
      </c>
      <c r="DM393" s="1973">
        <v>0</v>
      </c>
      <c r="DO393" s="1974">
        <v>10</v>
      </c>
      <c r="DP393" s="1974">
        <v>-888.10068703124989</v>
      </c>
      <c r="DQ393" s="1974">
        <v>0</v>
      </c>
      <c r="DR393" s="1974">
        <v>624.99187500000005</v>
      </c>
      <c r="DS393" s="2124">
        <v>0</v>
      </c>
      <c r="DT393" s="2029">
        <v>0</v>
      </c>
      <c r="DU393" s="2029">
        <v>0</v>
      </c>
      <c r="DV393" s="2029">
        <v>0</v>
      </c>
      <c r="DW393" s="2124">
        <v>1300</v>
      </c>
      <c r="DX393" s="2029">
        <v>1300</v>
      </c>
      <c r="DY393" s="2029">
        <v>1300</v>
      </c>
      <c r="DZ393" s="2029">
        <v>1300</v>
      </c>
      <c r="EA393" s="2124">
        <v>8650</v>
      </c>
      <c r="EB393" s="2029">
        <v>8650</v>
      </c>
      <c r="EC393" s="2029">
        <v>8650</v>
      </c>
      <c r="ED393" s="2029">
        <v>8650</v>
      </c>
      <c r="EE393" s="2039">
        <f t="shared" si="253"/>
        <v>0</v>
      </c>
      <c r="EF393" s="2039">
        <f t="shared" si="253"/>
        <v>0</v>
      </c>
      <c r="EG393" s="2039">
        <f t="shared" si="253"/>
        <v>0</v>
      </c>
      <c r="EH393" s="2039">
        <f t="shared" si="252"/>
        <v>0</v>
      </c>
      <c r="EI393" s="2040">
        <f t="shared" si="233"/>
        <v>0</v>
      </c>
      <c r="EJ393" s="2040">
        <f t="shared" si="233"/>
        <v>0</v>
      </c>
      <c r="EK393" s="2040">
        <f t="shared" si="233"/>
        <v>0</v>
      </c>
      <c r="EL393" s="2040">
        <f t="shared" si="232"/>
        <v>0</v>
      </c>
      <c r="EM393" s="2040">
        <f t="shared" si="232"/>
        <v>0</v>
      </c>
      <c r="EN393" s="2040">
        <f t="shared" si="232"/>
        <v>0</v>
      </c>
      <c r="EO393" s="2040">
        <f t="shared" si="226"/>
        <v>0</v>
      </c>
      <c r="EP393" s="2040">
        <f t="shared" si="226"/>
        <v>0</v>
      </c>
      <c r="EQ393" s="2040">
        <f t="shared" si="226"/>
        <v>0</v>
      </c>
      <c r="ER393" s="2040">
        <f t="shared" si="226"/>
        <v>0</v>
      </c>
      <c r="ES393" s="2040">
        <f t="shared" si="226"/>
        <v>0</v>
      </c>
      <c r="ET393" s="2040">
        <f t="shared" si="226"/>
        <v>0</v>
      </c>
      <c r="EU393" s="2039">
        <f t="shared" si="254"/>
        <v>0</v>
      </c>
      <c r="EV393" s="2039">
        <f t="shared" si="255"/>
        <v>0</v>
      </c>
    </row>
    <row r="394" spans="1:152" x14ac:dyDescent="0.25">
      <c r="A394" s="2088" t="s">
        <v>254</v>
      </c>
      <c r="B394" s="2093" t="str">
        <f t="shared" si="234"/>
        <v/>
      </c>
      <c r="C394" s="1974">
        <f t="shared" si="241"/>
        <v>10</v>
      </c>
      <c r="D394" s="1974">
        <f t="shared" si="241"/>
        <v>-502.36652362500001</v>
      </c>
      <c r="E394" s="1974">
        <f t="shared" si="241"/>
        <v>0</v>
      </c>
      <c r="F394" s="1974">
        <f t="shared" si="241"/>
        <v>717.88950000000011</v>
      </c>
      <c r="G394" s="1974" t="s">
        <v>2997</v>
      </c>
      <c r="H394" s="1974" t="s">
        <v>2997</v>
      </c>
      <c r="I394" s="2026">
        <v>0.96199999999999997</v>
      </c>
      <c r="J394" s="2026">
        <v>0.96199999999999997</v>
      </c>
      <c r="K394" s="2026">
        <v>0.96199999999999997</v>
      </c>
      <c r="L394" s="2026">
        <v>0.96199999999999997</v>
      </c>
      <c r="M394" s="2027">
        <f t="shared" si="242"/>
        <v>-483.27659572724997</v>
      </c>
      <c r="N394" s="2027">
        <f t="shared" si="242"/>
        <v>-483.27659572724997</v>
      </c>
      <c r="O394" s="2027">
        <f t="shared" si="242"/>
        <v>-483.27659572724997</v>
      </c>
      <c r="P394" s="2027">
        <f t="shared" si="242"/>
        <v>-483.27659572724997</v>
      </c>
      <c r="Q394" s="2026">
        <v>0.96199999999999997</v>
      </c>
      <c r="R394" s="2026">
        <v>0.96199999999999997</v>
      </c>
      <c r="S394" s="2026">
        <v>0.96199999999999997</v>
      </c>
      <c r="T394" s="2026">
        <v>0.96199999999999997</v>
      </c>
      <c r="U394" s="2028">
        <f t="shared" si="243"/>
        <v>0</v>
      </c>
      <c r="V394" s="2028">
        <f t="shared" si="243"/>
        <v>0</v>
      </c>
      <c r="W394" s="2028">
        <f t="shared" si="243"/>
        <v>0</v>
      </c>
      <c r="X394" s="2028">
        <f t="shared" si="243"/>
        <v>0</v>
      </c>
      <c r="Y394" s="2026">
        <v>0.96199999999999997</v>
      </c>
      <c r="Z394" s="2026">
        <v>0.96199999999999997</v>
      </c>
      <c r="AA394" s="2026">
        <v>0.96199999999999997</v>
      </c>
      <c r="AB394" s="2026">
        <v>0.96199999999999997</v>
      </c>
      <c r="AC394" s="2027">
        <f t="shared" si="244"/>
        <v>690.60969900000009</v>
      </c>
      <c r="AD394" s="2027">
        <f t="shared" si="244"/>
        <v>690.60969900000009</v>
      </c>
      <c r="AE394" s="2027">
        <f t="shared" si="244"/>
        <v>690.60969900000009</v>
      </c>
      <c r="AF394" s="2027">
        <f t="shared" si="244"/>
        <v>690.60969900000009</v>
      </c>
      <c r="AG394" s="2027">
        <v>0</v>
      </c>
      <c r="AH394" s="2028"/>
      <c r="AI394" s="2028"/>
      <c r="AJ394" s="2028"/>
      <c r="AK394" s="2027">
        <f t="shared" si="250"/>
        <v>0</v>
      </c>
      <c r="AL394" s="2027">
        <f t="shared" si="236"/>
        <v>0</v>
      </c>
      <c r="AM394" s="2027">
        <f t="shared" si="236"/>
        <v>0</v>
      </c>
      <c r="AN394" s="2027">
        <f t="shared" si="236"/>
        <v>0</v>
      </c>
      <c r="AO394" s="2027">
        <f t="shared" si="245"/>
        <v>0</v>
      </c>
      <c r="AP394" s="2027">
        <f t="shared" si="237"/>
        <v>0</v>
      </c>
      <c r="AQ394" s="2027">
        <f t="shared" si="237"/>
        <v>0</v>
      </c>
      <c r="AR394" s="2027">
        <f t="shared" si="237"/>
        <v>0</v>
      </c>
      <c r="AS394" s="2124">
        <f t="shared" si="256"/>
        <v>0</v>
      </c>
      <c r="AT394" s="2029">
        <f t="shared" si="238"/>
        <v>0</v>
      </c>
      <c r="AU394" s="2029">
        <f t="shared" si="238"/>
        <v>0</v>
      </c>
      <c r="AV394" s="2029">
        <f t="shared" si="238"/>
        <v>0</v>
      </c>
      <c r="AW394" s="2124">
        <f t="shared" si="248"/>
        <v>1300</v>
      </c>
      <c r="AX394" s="2029">
        <f t="shared" ref="AX394:AZ448" si="257">$AW394</f>
        <v>1300</v>
      </c>
      <c r="AY394" s="2029">
        <f t="shared" si="257"/>
        <v>1300</v>
      </c>
      <c r="AZ394" s="2029">
        <f t="shared" si="257"/>
        <v>1300</v>
      </c>
      <c r="BA394" s="2124">
        <f t="shared" si="249"/>
        <v>8700</v>
      </c>
      <c r="BB394" s="2029">
        <f t="shared" si="249"/>
        <v>8700</v>
      </c>
      <c r="BC394" s="2029">
        <f t="shared" si="249"/>
        <v>8700</v>
      </c>
      <c r="BD394" s="2029">
        <f t="shared" si="249"/>
        <v>8700</v>
      </c>
      <c r="BE394" s="2030">
        <f t="shared" si="239"/>
        <v>0</v>
      </c>
      <c r="BF394" s="2030">
        <f t="shared" si="239"/>
        <v>0</v>
      </c>
      <c r="BG394" s="2030">
        <f t="shared" si="239"/>
        <v>0</v>
      </c>
      <c r="BH394" s="2030">
        <f t="shared" si="239"/>
        <v>0</v>
      </c>
      <c r="BI394" s="2030">
        <f t="shared" si="240"/>
        <v>0</v>
      </c>
      <c r="BJ394" s="2030">
        <f t="shared" si="240"/>
        <v>0</v>
      </c>
      <c r="BK394" s="2030">
        <f t="shared" si="240"/>
        <v>0</v>
      </c>
      <c r="BL394" s="2030">
        <f t="shared" si="240"/>
        <v>0</v>
      </c>
      <c r="BM394" s="2125"/>
      <c r="BN394" s="2125"/>
      <c r="BO394" s="2125"/>
      <c r="BP394" s="2125"/>
      <c r="BQ394" s="2125"/>
      <c r="BR394" s="2125"/>
      <c r="BS394" s="2125"/>
      <c r="BT394" s="2125"/>
      <c r="BU394" s="2029"/>
      <c r="BV394" s="2029"/>
      <c r="BW394" s="2029"/>
      <c r="BX394" s="2029"/>
      <c r="BY394" s="2029"/>
      <c r="BZ394" s="2032"/>
      <c r="CA394" s="1974">
        <f t="shared" si="246"/>
        <v>0</v>
      </c>
      <c r="CB394" s="1974">
        <f t="shared" si="246"/>
        <v>0</v>
      </c>
      <c r="CC394" s="1974">
        <f t="shared" si="246"/>
        <v>0</v>
      </c>
      <c r="CD394" s="1974">
        <f t="shared" si="246"/>
        <v>0</v>
      </c>
      <c r="CE394" s="1974">
        <f t="shared" si="246"/>
        <v>0</v>
      </c>
      <c r="CF394" s="2033">
        <v>0</v>
      </c>
      <c r="CG394" s="2026">
        <v>0</v>
      </c>
      <c r="CH394" s="2009">
        <f t="shared" si="246"/>
        <v>0</v>
      </c>
      <c r="CI394" s="2031">
        <f t="shared" si="246"/>
        <v>0</v>
      </c>
      <c r="CJ394" s="1974">
        <f t="shared" si="246"/>
        <v>0</v>
      </c>
      <c r="CK394" s="2031">
        <f t="shared" si="246"/>
        <v>0</v>
      </c>
      <c r="CL394" s="2026">
        <v>1</v>
      </c>
      <c r="CM394" s="2026">
        <v>1</v>
      </c>
      <c r="CN394" s="2026">
        <v>1</v>
      </c>
      <c r="CO394" s="2026">
        <v>1</v>
      </c>
      <c r="CP394" s="2035"/>
      <c r="CQ394" s="2036"/>
      <c r="CR394" s="2036"/>
      <c r="CS394" s="2036"/>
      <c r="CT394" s="2036"/>
      <c r="CU394" s="2036"/>
      <c r="CW394" s="1973">
        <v>0</v>
      </c>
      <c r="CX394" s="2037">
        <v>1300</v>
      </c>
      <c r="CY394" s="2037">
        <v>1300</v>
      </c>
      <c r="CZ394" s="2037">
        <v>1300</v>
      </c>
      <c r="DA394" s="2037">
        <v>1300</v>
      </c>
      <c r="DJ394" s="1976">
        <v>0</v>
      </c>
      <c r="DK394" s="1973">
        <v>0</v>
      </c>
      <c r="DL394" s="1973">
        <v>0</v>
      </c>
      <c r="DM394" s="1973">
        <v>0</v>
      </c>
      <c r="DO394" s="1974">
        <v>10</v>
      </c>
      <c r="DP394" s="1974">
        <v>-502.36652362500001</v>
      </c>
      <c r="DQ394" s="1974">
        <v>0</v>
      </c>
      <c r="DR394" s="1974">
        <v>717.88950000000011</v>
      </c>
      <c r="DS394" s="2124">
        <v>0</v>
      </c>
      <c r="DT394" s="2029">
        <v>0</v>
      </c>
      <c r="DU394" s="2029">
        <v>0</v>
      </c>
      <c r="DV394" s="2029">
        <v>0</v>
      </c>
      <c r="DW394" s="2124">
        <v>1300</v>
      </c>
      <c r="DX394" s="2029">
        <v>1300</v>
      </c>
      <c r="DY394" s="2029">
        <v>1300</v>
      </c>
      <c r="DZ394" s="2029">
        <v>1300</v>
      </c>
      <c r="EA394" s="2124">
        <v>8700</v>
      </c>
      <c r="EB394" s="2029">
        <v>8700</v>
      </c>
      <c r="EC394" s="2029">
        <v>8700</v>
      </c>
      <c r="ED394" s="2029">
        <v>8700</v>
      </c>
      <c r="EE394" s="2039">
        <f t="shared" si="253"/>
        <v>0</v>
      </c>
      <c r="EF394" s="2039">
        <f t="shared" si="253"/>
        <v>0</v>
      </c>
      <c r="EG394" s="2039">
        <f t="shared" si="253"/>
        <v>0</v>
      </c>
      <c r="EH394" s="2039">
        <f t="shared" si="252"/>
        <v>0</v>
      </c>
      <c r="EI394" s="2040">
        <f t="shared" si="233"/>
        <v>0</v>
      </c>
      <c r="EJ394" s="2040">
        <f t="shared" si="233"/>
        <v>0</v>
      </c>
      <c r="EK394" s="2040">
        <f t="shared" si="233"/>
        <v>0</v>
      </c>
      <c r="EL394" s="2040">
        <f t="shared" si="232"/>
        <v>0</v>
      </c>
      <c r="EM394" s="2040">
        <f t="shared" si="232"/>
        <v>0</v>
      </c>
      <c r="EN394" s="2040">
        <f t="shared" si="232"/>
        <v>0</v>
      </c>
      <c r="EO394" s="2040">
        <f t="shared" si="226"/>
        <v>0</v>
      </c>
      <c r="EP394" s="2040">
        <f t="shared" si="226"/>
        <v>0</v>
      </c>
      <c r="EQ394" s="2040">
        <f t="shared" si="226"/>
        <v>0</v>
      </c>
      <c r="ER394" s="2040">
        <f t="shared" si="226"/>
        <v>0</v>
      </c>
      <c r="ES394" s="2040">
        <f t="shared" si="226"/>
        <v>0</v>
      </c>
      <c r="ET394" s="2040">
        <f t="shared" si="226"/>
        <v>0</v>
      </c>
      <c r="EU394" s="2039">
        <f t="shared" si="254"/>
        <v>0</v>
      </c>
      <c r="EV394" s="2039">
        <f t="shared" si="255"/>
        <v>0</v>
      </c>
    </row>
    <row r="395" spans="1:152" x14ac:dyDescent="0.25">
      <c r="A395" s="2088" t="s">
        <v>255</v>
      </c>
      <c r="B395" s="2093" t="str">
        <f t="shared" si="234"/>
        <v/>
      </c>
      <c r="C395" s="1974">
        <f t="shared" ref="C395:F410" si="258">C151</f>
        <v>10</v>
      </c>
      <c r="D395" s="1974">
        <f t="shared" si="258"/>
        <v>20.697080156250195</v>
      </c>
      <c r="E395" s="1974">
        <f t="shared" si="258"/>
        <v>0</v>
      </c>
      <c r="F395" s="1974">
        <f t="shared" si="258"/>
        <v>843.86062500000014</v>
      </c>
      <c r="G395" s="1974" t="s">
        <v>2997</v>
      </c>
      <c r="H395" s="1974" t="s">
        <v>2997</v>
      </c>
      <c r="I395" s="2026">
        <v>0.96199999999999997</v>
      </c>
      <c r="J395" s="2026">
        <v>0.96199999999999997</v>
      </c>
      <c r="K395" s="2026">
        <v>0.96199999999999997</v>
      </c>
      <c r="L395" s="2026">
        <v>0.96199999999999997</v>
      </c>
      <c r="M395" s="2027">
        <f t="shared" si="242"/>
        <v>19.910591110312687</v>
      </c>
      <c r="N395" s="2027">
        <f t="shared" si="242"/>
        <v>19.910591110312687</v>
      </c>
      <c r="O395" s="2027">
        <f t="shared" si="242"/>
        <v>19.910591110312687</v>
      </c>
      <c r="P395" s="2027">
        <f t="shared" si="242"/>
        <v>19.910591110312687</v>
      </c>
      <c r="Q395" s="2026">
        <v>0.96199999999999997</v>
      </c>
      <c r="R395" s="2026">
        <v>0.96199999999999997</v>
      </c>
      <c r="S395" s="2026">
        <v>0.96199999999999997</v>
      </c>
      <c r="T395" s="2026">
        <v>0.96199999999999997</v>
      </c>
      <c r="U395" s="2028">
        <f t="shared" si="243"/>
        <v>0</v>
      </c>
      <c r="V395" s="2028">
        <f t="shared" si="243"/>
        <v>0</v>
      </c>
      <c r="W395" s="2028">
        <f t="shared" si="243"/>
        <v>0</v>
      </c>
      <c r="X395" s="2028">
        <f t="shared" si="243"/>
        <v>0</v>
      </c>
      <c r="Y395" s="2026">
        <v>0.96199999999999997</v>
      </c>
      <c r="Z395" s="2026">
        <v>0.96199999999999997</v>
      </c>
      <c r="AA395" s="2026">
        <v>0.96199999999999997</v>
      </c>
      <c r="AB395" s="2026">
        <v>0.96199999999999997</v>
      </c>
      <c r="AC395" s="2027">
        <f t="shared" si="244"/>
        <v>811.79392125000015</v>
      </c>
      <c r="AD395" s="2027">
        <f t="shared" si="244"/>
        <v>811.79392125000015</v>
      </c>
      <c r="AE395" s="2027">
        <f t="shared" si="244"/>
        <v>811.79392125000015</v>
      </c>
      <c r="AF395" s="2027">
        <f t="shared" si="244"/>
        <v>811.79392125000015</v>
      </c>
      <c r="AG395" s="2027">
        <v>0</v>
      </c>
      <c r="AH395" s="2028"/>
      <c r="AI395" s="2028"/>
      <c r="AJ395" s="2028"/>
      <c r="AK395" s="2027">
        <f t="shared" si="250"/>
        <v>0</v>
      </c>
      <c r="AL395" s="2027">
        <f t="shared" si="236"/>
        <v>0</v>
      </c>
      <c r="AM395" s="2027">
        <f t="shared" si="236"/>
        <v>0</v>
      </c>
      <c r="AN395" s="2027">
        <f t="shared" si="236"/>
        <v>0</v>
      </c>
      <c r="AO395" s="2027">
        <f t="shared" si="245"/>
        <v>0</v>
      </c>
      <c r="AP395" s="2027">
        <f t="shared" si="237"/>
        <v>0</v>
      </c>
      <c r="AQ395" s="2027">
        <f t="shared" si="237"/>
        <v>0</v>
      </c>
      <c r="AR395" s="2027">
        <f t="shared" si="237"/>
        <v>0</v>
      </c>
      <c r="AS395" s="2124">
        <f t="shared" si="256"/>
        <v>0</v>
      </c>
      <c r="AT395" s="2029">
        <f t="shared" si="238"/>
        <v>0</v>
      </c>
      <c r="AU395" s="2029">
        <f t="shared" si="238"/>
        <v>0</v>
      </c>
      <c r="AV395" s="2029">
        <f t="shared" si="238"/>
        <v>0</v>
      </c>
      <c r="AW395" s="2124">
        <f t="shared" si="248"/>
        <v>1300</v>
      </c>
      <c r="AX395" s="2029">
        <f t="shared" si="257"/>
        <v>1300</v>
      </c>
      <c r="AY395" s="2029">
        <f t="shared" si="257"/>
        <v>1300</v>
      </c>
      <c r="AZ395" s="2029">
        <f t="shared" si="257"/>
        <v>1300</v>
      </c>
      <c r="BA395" s="2124">
        <f t="shared" si="249"/>
        <v>8750</v>
      </c>
      <c r="BB395" s="2029">
        <f t="shared" si="249"/>
        <v>8750</v>
      </c>
      <c r="BC395" s="2029">
        <f t="shared" si="249"/>
        <v>8750</v>
      </c>
      <c r="BD395" s="2029">
        <f t="shared" si="249"/>
        <v>8750</v>
      </c>
      <c r="BE395" s="2030">
        <f t="shared" si="239"/>
        <v>0</v>
      </c>
      <c r="BF395" s="2030">
        <f t="shared" si="239"/>
        <v>0</v>
      </c>
      <c r="BG395" s="2030">
        <f t="shared" si="239"/>
        <v>0</v>
      </c>
      <c r="BH395" s="2030">
        <f t="shared" si="239"/>
        <v>0</v>
      </c>
      <c r="BI395" s="2030">
        <f t="shared" si="240"/>
        <v>0</v>
      </c>
      <c r="BJ395" s="2030">
        <f t="shared" si="240"/>
        <v>0</v>
      </c>
      <c r="BK395" s="2030">
        <f t="shared" si="240"/>
        <v>0</v>
      </c>
      <c r="BL395" s="2030">
        <f t="shared" si="240"/>
        <v>0</v>
      </c>
      <c r="BM395" s="2125"/>
      <c r="BN395" s="2125"/>
      <c r="BO395" s="2125"/>
      <c r="BP395" s="2125"/>
      <c r="BQ395" s="2125"/>
      <c r="BR395" s="2125"/>
      <c r="BS395" s="2125"/>
      <c r="BT395" s="2125"/>
      <c r="BU395" s="2029"/>
      <c r="BV395" s="2029"/>
      <c r="BW395" s="2029"/>
      <c r="BX395" s="2029"/>
      <c r="BY395" s="2029"/>
      <c r="BZ395" s="2032"/>
      <c r="CA395" s="1974">
        <f t="shared" ref="CA395:CK410" si="259">CA151</f>
        <v>0</v>
      </c>
      <c r="CB395" s="1974">
        <f t="shared" si="259"/>
        <v>0</v>
      </c>
      <c r="CC395" s="1974">
        <f t="shared" si="259"/>
        <v>0</v>
      </c>
      <c r="CD395" s="1974">
        <f t="shared" si="259"/>
        <v>0</v>
      </c>
      <c r="CE395" s="1974">
        <f t="shared" si="259"/>
        <v>0</v>
      </c>
      <c r="CF395" s="2033">
        <v>0</v>
      </c>
      <c r="CG395" s="2026">
        <v>0</v>
      </c>
      <c r="CH395" s="2009">
        <f t="shared" si="259"/>
        <v>0</v>
      </c>
      <c r="CI395" s="2031">
        <f t="shared" si="259"/>
        <v>0</v>
      </c>
      <c r="CJ395" s="1974">
        <f t="shared" si="259"/>
        <v>0</v>
      </c>
      <c r="CK395" s="2031">
        <f t="shared" si="259"/>
        <v>0</v>
      </c>
      <c r="CL395" s="2026">
        <v>1</v>
      </c>
      <c r="CM395" s="2026">
        <v>1</v>
      </c>
      <c r="CN395" s="2026">
        <v>1</v>
      </c>
      <c r="CO395" s="2026">
        <v>1</v>
      </c>
      <c r="CP395" s="2035"/>
      <c r="CQ395" s="2036"/>
      <c r="CR395" s="2036"/>
      <c r="CS395" s="2036"/>
      <c r="CT395" s="2036"/>
      <c r="CU395" s="2036"/>
      <c r="CW395" s="1973">
        <v>0</v>
      </c>
      <c r="CX395" s="2037">
        <v>1300</v>
      </c>
      <c r="CY395" s="2037">
        <v>1300</v>
      </c>
      <c r="CZ395" s="2037">
        <v>1300</v>
      </c>
      <c r="DA395" s="2037">
        <v>1300</v>
      </c>
      <c r="DJ395" s="1976">
        <v>0</v>
      </c>
      <c r="DK395" s="1973">
        <v>0</v>
      </c>
      <c r="DL395" s="1973">
        <v>0</v>
      </c>
      <c r="DM395" s="1973">
        <v>0</v>
      </c>
      <c r="DO395" s="1974">
        <v>10</v>
      </c>
      <c r="DP395" s="1974">
        <v>20.697080156250195</v>
      </c>
      <c r="DQ395" s="1974">
        <v>0</v>
      </c>
      <c r="DR395" s="1974">
        <v>843.86062500000014</v>
      </c>
      <c r="DS395" s="2124">
        <v>0</v>
      </c>
      <c r="DT395" s="2029">
        <v>0</v>
      </c>
      <c r="DU395" s="2029">
        <v>0</v>
      </c>
      <c r="DV395" s="2029">
        <v>0</v>
      </c>
      <c r="DW395" s="2124">
        <v>1300</v>
      </c>
      <c r="DX395" s="2029">
        <v>1300</v>
      </c>
      <c r="DY395" s="2029">
        <v>1300</v>
      </c>
      <c r="DZ395" s="2029">
        <v>1300</v>
      </c>
      <c r="EA395" s="2124">
        <v>8750</v>
      </c>
      <c r="EB395" s="2029">
        <v>8750</v>
      </c>
      <c r="EC395" s="2029">
        <v>8750</v>
      </c>
      <c r="ED395" s="2029">
        <v>8750</v>
      </c>
      <c r="EE395" s="2039">
        <f t="shared" si="253"/>
        <v>0</v>
      </c>
      <c r="EF395" s="2039">
        <f t="shared" si="253"/>
        <v>0</v>
      </c>
      <c r="EG395" s="2039">
        <f t="shared" si="253"/>
        <v>0</v>
      </c>
      <c r="EH395" s="2039">
        <f t="shared" si="252"/>
        <v>0</v>
      </c>
      <c r="EI395" s="2040">
        <f t="shared" si="233"/>
        <v>0</v>
      </c>
      <c r="EJ395" s="2040">
        <f t="shared" si="233"/>
        <v>0</v>
      </c>
      <c r="EK395" s="2040">
        <f t="shared" si="233"/>
        <v>0</v>
      </c>
      <c r="EL395" s="2040">
        <f t="shared" si="232"/>
        <v>0</v>
      </c>
      <c r="EM395" s="2040">
        <f t="shared" si="232"/>
        <v>0</v>
      </c>
      <c r="EN395" s="2040">
        <f t="shared" si="232"/>
        <v>0</v>
      </c>
      <c r="EO395" s="2040">
        <f t="shared" si="226"/>
        <v>0</v>
      </c>
      <c r="EP395" s="2040">
        <f t="shared" si="226"/>
        <v>0</v>
      </c>
      <c r="EQ395" s="2040">
        <f t="shared" si="226"/>
        <v>0</v>
      </c>
      <c r="ER395" s="2040">
        <f t="shared" si="226"/>
        <v>0</v>
      </c>
      <c r="ES395" s="2040">
        <f t="shared" si="226"/>
        <v>0</v>
      </c>
      <c r="ET395" s="2040">
        <f t="shared" si="226"/>
        <v>0</v>
      </c>
      <c r="EU395" s="2039">
        <f t="shared" si="254"/>
        <v>0</v>
      </c>
      <c r="EV395" s="2039">
        <f t="shared" si="255"/>
        <v>0</v>
      </c>
    </row>
    <row r="396" spans="1:152" x14ac:dyDescent="0.25">
      <c r="A396" s="2088" t="s">
        <v>256</v>
      </c>
      <c r="B396" s="2093" t="str">
        <f t="shared" si="234"/>
        <v/>
      </c>
      <c r="C396" s="1974">
        <f t="shared" si="258"/>
        <v>10</v>
      </c>
      <c r="D396" s="1974">
        <f t="shared" si="258"/>
        <v>654.83596659374984</v>
      </c>
      <c r="E396" s="1974">
        <f t="shared" si="258"/>
        <v>0</v>
      </c>
      <c r="F396" s="1974">
        <f t="shared" si="258"/>
        <v>996.58237499999996</v>
      </c>
      <c r="G396" s="1974" t="s">
        <v>2997</v>
      </c>
      <c r="H396" s="1974" t="s">
        <v>2997</v>
      </c>
      <c r="I396" s="2026">
        <v>0.96199999999999997</v>
      </c>
      <c r="J396" s="2026">
        <v>0.96199999999999997</v>
      </c>
      <c r="K396" s="2026">
        <v>0.96199999999999997</v>
      </c>
      <c r="L396" s="2026">
        <v>0.96199999999999997</v>
      </c>
      <c r="M396" s="2027">
        <f t="shared" si="242"/>
        <v>629.95219986318727</v>
      </c>
      <c r="N396" s="2027">
        <f t="shared" si="242"/>
        <v>629.95219986318727</v>
      </c>
      <c r="O396" s="2027">
        <f t="shared" si="242"/>
        <v>629.95219986318727</v>
      </c>
      <c r="P396" s="2027">
        <f t="shared" si="242"/>
        <v>629.95219986318727</v>
      </c>
      <c r="Q396" s="2026">
        <v>0.96199999999999997</v>
      </c>
      <c r="R396" s="2026">
        <v>0.96199999999999997</v>
      </c>
      <c r="S396" s="2026">
        <v>0.96199999999999997</v>
      </c>
      <c r="T396" s="2026">
        <v>0.96199999999999997</v>
      </c>
      <c r="U396" s="2028">
        <f t="shared" si="243"/>
        <v>0</v>
      </c>
      <c r="V396" s="2028">
        <f t="shared" si="243"/>
        <v>0</v>
      </c>
      <c r="W396" s="2028">
        <f t="shared" si="243"/>
        <v>0</v>
      </c>
      <c r="X396" s="2028">
        <f t="shared" si="243"/>
        <v>0</v>
      </c>
      <c r="Y396" s="2026">
        <v>0.96199999999999997</v>
      </c>
      <c r="Z396" s="2026">
        <v>0.96199999999999997</v>
      </c>
      <c r="AA396" s="2026">
        <v>0.96199999999999997</v>
      </c>
      <c r="AB396" s="2026">
        <v>0.96199999999999997</v>
      </c>
      <c r="AC396" s="2027">
        <f t="shared" si="244"/>
        <v>958.71224474999997</v>
      </c>
      <c r="AD396" s="2027">
        <f t="shared" si="244"/>
        <v>958.71224474999997</v>
      </c>
      <c r="AE396" s="2027">
        <f t="shared" si="244"/>
        <v>958.71224474999997</v>
      </c>
      <c r="AF396" s="2027">
        <f t="shared" si="244"/>
        <v>958.71224474999997</v>
      </c>
      <c r="AG396" s="2027">
        <v>0</v>
      </c>
      <c r="AH396" s="2028"/>
      <c r="AI396" s="2028"/>
      <c r="AJ396" s="2028"/>
      <c r="AK396" s="2027">
        <f t="shared" si="250"/>
        <v>0</v>
      </c>
      <c r="AL396" s="2027">
        <f t="shared" si="236"/>
        <v>0</v>
      </c>
      <c r="AM396" s="2027">
        <f t="shared" si="236"/>
        <v>0</v>
      </c>
      <c r="AN396" s="2027">
        <f t="shared" si="236"/>
        <v>0</v>
      </c>
      <c r="AO396" s="2027">
        <f t="shared" si="245"/>
        <v>0</v>
      </c>
      <c r="AP396" s="2027">
        <f t="shared" si="237"/>
        <v>0</v>
      </c>
      <c r="AQ396" s="2027">
        <f t="shared" si="237"/>
        <v>0</v>
      </c>
      <c r="AR396" s="2027">
        <f t="shared" si="237"/>
        <v>0</v>
      </c>
      <c r="AS396" s="2124">
        <f t="shared" si="256"/>
        <v>90</v>
      </c>
      <c r="AT396" s="2029">
        <f t="shared" si="238"/>
        <v>90</v>
      </c>
      <c r="AU396" s="2029">
        <f t="shared" si="238"/>
        <v>90</v>
      </c>
      <c r="AV396" s="2029">
        <f t="shared" si="238"/>
        <v>90</v>
      </c>
      <c r="AW396" s="2124">
        <f t="shared" si="248"/>
        <v>1222</v>
      </c>
      <c r="AX396" s="2029">
        <f t="shared" si="257"/>
        <v>1222</v>
      </c>
      <c r="AY396" s="2029">
        <f t="shared" si="257"/>
        <v>1222</v>
      </c>
      <c r="AZ396" s="2029">
        <f t="shared" si="257"/>
        <v>1222</v>
      </c>
      <c r="BA396" s="2124">
        <f t="shared" si="249"/>
        <v>8800</v>
      </c>
      <c r="BB396" s="2029">
        <f t="shared" si="249"/>
        <v>8800</v>
      </c>
      <c r="BC396" s="2029">
        <f t="shared" si="249"/>
        <v>8800</v>
      </c>
      <c r="BD396" s="2029">
        <f t="shared" si="249"/>
        <v>8800</v>
      </c>
      <c r="BE396" s="2030">
        <f t="shared" si="239"/>
        <v>0</v>
      </c>
      <c r="BF396" s="2030">
        <f t="shared" si="239"/>
        <v>0</v>
      </c>
      <c r="BG396" s="2030">
        <f t="shared" si="239"/>
        <v>0</v>
      </c>
      <c r="BH396" s="2030">
        <f t="shared" si="239"/>
        <v>0</v>
      </c>
      <c r="BI396" s="2030">
        <f t="shared" si="240"/>
        <v>0</v>
      </c>
      <c r="BJ396" s="2030">
        <f t="shared" si="240"/>
        <v>0</v>
      </c>
      <c r="BK396" s="2030">
        <f t="shared" si="240"/>
        <v>0</v>
      </c>
      <c r="BL396" s="2030">
        <f t="shared" si="240"/>
        <v>0</v>
      </c>
      <c r="BM396" s="2125"/>
      <c r="BN396" s="2125"/>
      <c r="BO396" s="2125"/>
      <c r="BP396" s="2125"/>
      <c r="BQ396" s="2125"/>
      <c r="BR396" s="2125"/>
      <c r="BS396" s="2125"/>
      <c r="BT396" s="2125"/>
      <c r="BU396" s="2029"/>
      <c r="BV396" s="2029"/>
      <c r="BW396" s="2029"/>
      <c r="BX396" s="2029"/>
      <c r="BY396" s="2029"/>
      <c r="BZ396" s="2032"/>
      <c r="CA396" s="1974">
        <f t="shared" si="259"/>
        <v>0</v>
      </c>
      <c r="CB396" s="1974">
        <f t="shared" si="259"/>
        <v>0</v>
      </c>
      <c r="CC396" s="1974">
        <f t="shared" si="259"/>
        <v>0</v>
      </c>
      <c r="CD396" s="1974">
        <f t="shared" si="259"/>
        <v>0</v>
      </c>
      <c r="CE396" s="1974">
        <f t="shared" si="259"/>
        <v>0</v>
      </c>
      <c r="CF396" s="2033">
        <v>0</v>
      </c>
      <c r="CG396" s="2026">
        <v>0</v>
      </c>
      <c r="CH396" s="2009">
        <f t="shared" si="259"/>
        <v>0</v>
      </c>
      <c r="CI396" s="2031">
        <f t="shared" si="259"/>
        <v>0</v>
      </c>
      <c r="CJ396" s="1974">
        <f t="shared" si="259"/>
        <v>0</v>
      </c>
      <c r="CK396" s="2031">
        <f t="shared" si="259"/>
        <v>0</v>
      </c>
      <c r="CL396" s="2026">
        <v>1</v>
      </c>
      <c r="CM396" s="2026">
        <v>1</v>
      </c>
      <c r="CN396" s="2026">
        <v>1</v>
      </c>
      <c r="CO396" s="2026">
        <v>1</v>
      </c>
      <c r="CP396" s="2035"/>
      <c r="CQ396" s="2036"/>
      <c r="CR396" s="2036"/>
      <c r="CS396" s="2036"/>
      <c r="CT396" s="2036"/>
      <c r="CU396" s="2036"/>
      <c r="CW396" s="1973">
        <v>0</v>
      </c>
      <c r="CX396" s="2037">
        <v>1300</v>
      </c>
      <c r="CY396" s="2037">
        <v>1300</v>
      </c>
      <c r="CZ396" s="2037">
        <v>1300</v>
      </c>
      <c r="DA396" s="2037">
        <v>1300</v>
      </c>
      <c r="DJ396" s="1976">
        <v>0</v>
      </c>
      <c r="DK396" s="1973">
        <v>0</v>
      </c>
      <c r="DL396" s="1973">
        <v>0</v>
      </c>
      <c r="DM396" s="1973">
        <v>0</v>
      </c>
      <c r="DO396" s="1974">
        <v>10</v>
      </c>
      <c r="DP396" s="1974">
        <v>654.83596659374984</v>
      </c>
      <c r="DQ396" s="1974">
        <v>0</v>
      </c>
      <c r="DR396" s="1974">
        <v>996.58237499999996</v>
      </c>
      <c r="DS396" s="2124">
        <v>90</v>
      </c>
      <c r="DT396" s="2029">
        <v>90</v>
      </c>
      <c r="DU396" s="2029">
        <v>90</v>
      </c>
      <c r="DV396" s="2029">
        <v>90</v>
      </c>
      <c r="DW396" s="2124">
        <v>1222</v>
      </c>
      <c r="DX396" s="2029">
        <v>1222</v>
      </c>
      <c r="DY396" s="2029">
        <v>1222</v>
      </c>
      <c r="DZ396" s="2029">
        <v>1222</v>
      </c>
      <c r="EA396" s="2124">
        <v>8800</v>
      </c>
      <c r="EB396" s="2029">
        <v>8800</v>
      </c>
      <c r="EC396" s="2029">
        <v>8800</v>
      </c>
      <c r="ED396" s="2029">
        <v>8800</v>
      </c>
      <c r="EE396" s="2039">
        <f t="shared" si="253"/>
        <v>0</v>
      </c>
      <c r="EF396" s="2039">
        <f t="shared" si="253"/>
        <v>0</v>
      </c>
      <c r="EG396" s="2039">
        <f t="shared" si="253"/>
        <v>0</v>
      </c>
      <c r="EH396" s="2039">
        <f t="shared" si="252"/>
        <v>0</v>
      </c>
      <c r="EI396" s="2040">
        <f t="shared" si="233"/>
        <v>0</v>
      </c>
      <c r="EJ396" s="2040">
        <f t="shared" si="233"/>
        <v>0</v>
      </c>
      <c r="EK396" s="2040">
        <f t="shared" si="233"/>
        <v>0</v>
      </c>
      <c r="EL396" s="2040">
        <f t="shared" si="232"/>
        <v>0</v>
      </c>
      <c r="EM396" s="2040">
        <f t="shared" si="232"/>
        <v>0</v>
      </c>
      <c r="EN396" s="2040">
        <f t="shared" si="232"/>
        <v>0</v>
      </c>
      <c r="EO396" s="2040">
        <f t="shared" si="226"/>
        <v>0</v>
      </c>
      <c r="EP396" s="2040">
        <f t="shared" si="226"/>
        <v>0</v>
      </c>
      <c r="EQ396" s="2040">
        <f t="shared" si="226"/>
        <v>0</v>
      </c>
      <c r="ER396" s="2040">
        <f t="shared" si="226"/>
        <v>0</v>
      </c>
      <c r="ES396" s="2040">
        <f t="shared" si="226"/>
        <v>0</v>
      </c>
      <c r="ET396" s="2040">
        <f t="shared" si="226"/>
        <v>0</v>
      </c>
      <c r="EU396" s="2039">
        <f t="shared" si="254"/>
        <v>0</v>
      </c>
      <c r="EV396" s="2039">
        <f t="shared" si="255"/>
        <v>0</v>
      </c>
    </row>
    <row r="397" spans="1:152" x14ac:dyDescent="0.25">
      <c r="A397" s="2088" t="s">
        <v>257</v>
      </c>
      <c r="B397" s="2093" t="str">
        <f t="shared" si="234"/>
        <v/>
      </c>
      <c r="C397" s="1974">
        <f t="shared" si="258"/>
        <v>10</v>
      </c>
      <c r="D397" s="1974">
        <f t="shared" si="258"/>
        <v>1040.5701300000001</v>
      </c>
      <c r="E397" s="1974">
        <f t="shared" si="258"/>
        <v>0</v>
      </c>
      <c r="F397" s="1974">
        <f t="shared" si="258"/>
        <v>1089.48</v>
      </c>
      <c r="G397" s="1974" t="s">
        <v>2997</v>
      </c>
      <c r="H397" s="1974" t="s">
        <v>2997</v>
      </c>
      <c r="I397" s="2026">
        <v>0.96199999999999997</v>
      </c>
      <c r="J397" s="2026">
        <v>0.96199999999999997</v>
      </c>
      <c r="K397" s="2026">
        <v>0.96199999999999997</v>
      </c>
      <c r="L397" s="2026">
        <v>0.96199999999999997</v>
      </c>
      <c r="M397" s="2027">
        <f t="shared" si="242"/>
        <v>1001.02846506</v>
      </c>
      <c r="N397" s="2027">
        <f t="shared" si="242"/>
        <v>1001.02846506</v>
      </c>
      <c r="O397" s="2027">
        <f t="shared" si="242"/>
        <v>1001.02846506</v>
      </c>
      <c r="P397" s="2027">
        <f t="shared" si="242"/>
        <v>1001.02846506</v>
      </c>
      <c r="Q397" s="2026">
        <v>0.96199999999999997</v>
      </c>
      <c r="R397" s="2026">
        <v>0.96199999999999997</v>
      </c>
      <c r="S397" s="2026">
        <v>0.96199999999999997</v>
      </c>
      <c r="T397" s="2026">
        <v>0.96199999999999997</v>
      </c>
      <c r="U397" s="2028">
        <f t="shared" si="243"/>
        <v>0</v>
      </c>
      <c r="V397" s="2028">
        <f t="shared" si="243"/>
        <v>0</v>
      </c>
      <c r="W397" s="2028">
        <f t="shared" si="243"/>
        <v>0</v>
      </c>
      <c r="X397" s="2028">
        <f t="shared" si="243"/>
        <v>0</v>
      </c>
      <c r="Y397" s="2026">
        <v>0.96199999999999997</v>
      </c>
      <c r="Z397" s="2026">
        <v>0.96199999999999997</v>
      </c>
      <c r="AA397" s="2026">
        <v>0.96199999999999997</v>
      </c>
      <c r="AB397" s="2026">
        <v>0.96199999999999997</v>
      </c>
      <c r="AC397" s="2027">
        <f t="shared" si="244"/>
        <v>1048.0797600000001</v>
      </c>
      <c r="AD397" s="2027">
        <f t="shared" si="244"/>
        <v>1048.0797600000001</v>
      </c>
      <c r="AE397" s="2027">
        <f t="shared" si="244"/>
        <v>1048.0797600000001</v>
      </c>
      <c r="AF397" s="2027">
        <f t="shared" si="244"/>
        <v>1048.0797600000001</v>
      </c>
      <c r="AG397" s="2027">
        <v>0</v>
      </c>
      <c r="AH397" s="2028"/>
      <c r="AI397" s="2028"/>
      <c r="AJ397" s="2028"/>
      <c r="AK397" s="2027">
        <f t="shared" si="250"/>
        <v>0</v>
      </c>
      <c r="AL397" s="2027">
        <f t="shared" si="236"/>
        <v>0</v>
      </c>
      <c r="AM397" s="2027">
        <f t="shared" si="236"/>
        <v>0</v>
      </c>
      <c r="AN397" s="2027">
        <f t="shared" si="236"/>
        <v>0</v>
      </c>
      <c r="AO397" s="2027">
        <f t="shared" si="245"/>
        <v>0</v>
      </c>
      <c r="AP397" s="2027">
        <f t="shared" si="237"/>
        <v>0</v>
      </c>
      <c r="AQ397" s="2027">
        <f t="shared" si="237"/>
        <v>0</v>
      </c>
      <c r="AR397" s="2027">
        <f t="shared" si="237"/>
        <v>0</v>
      </c>
      <c r="AS397" s="2124">
        <f t="shared" si="256"/>
        <v>120</v>
      </c>
      <c r="AT397" s="2029">
        <f t="shared" si="238"/>
        <v>120</v>
      </c>
      <c r="AU397" s="2029">
        <f t="shared" si="238"/>
        <v>120</v>
      </c>
      <c r="AV397" s="2029">
        <f t="shared" si="238"/>
        <v>120</v>
      </c>
      <c r="AW397" s="2124">
        <f t="shared" si="248"/>
        <v>1196</v>
      </c>
      <c r="AX397" s="2029">
        <f t="shared" si="257"/>
        <v>1196</v>
      </c>
      <c r="AY397" s="2029">
        <f t="shared" si="257"/>
        <v>1196</v>
      </c>
      <c r="AZ397" s="2029">
        <f t="shared" si="257"/>
        <v>1196</v>
      </c>
      <c r="BA397" s="2124">
        <f t="shared" ref="BA397:BD412" si="260">BA153</f>
        <v>8850</v>
      </c>
      <c r="BB397" s="2029">
        <f t="shared" si="260"/>
        <v>8850</v>
      </c>
      <c r="BC397" s="2029">
        <f t="shared" si="260"/>
        <v>8850</v>
      </c>
      <c r="BD397" s="2029">
        <f t="shared" si="260"/>
        <v>8850</v>
      </c>
      <c r="BE397" s="2030">
        <f t="shared" si="239"/>
        <v>0</v>
      </c>
      <c r="BF397" s="2030">
        <f t="shared" si="239"/>
        <v>0</v>
      </c>
      <c r="BG397" s="2030">
        <f t="shared" si="239"/>
        <v>0</v>
      </c>
      <c r="BH397" s="2030">
        <f t="shared" si="239"/>
        <v>0</v>
      </c>
      <c r="BI397" s="2030">
        <f t="shared" si="240"/>
        <v>0</v>
      </c>
      <c r="BJ397" s="2030">
        <f t="shared" si="240"/>
        <v>0</v>
      </c>
      <c r="BK397" s="2030">
        <f t="shared" si="240"/>
        <v>0</v>
      </c>
      <c r="BL397" s="2030">
        <f t="shared" si="240"/>
        <v>0</v>
      </c>
      <c r="BM397" s="2125"/>
      <c r="BN397" s="2125"/>
      <c r="BO397" s="2125"/>
      <c r="BP397" s="2125"/>
      <c r="BQ397" s="2125"/>
      <c r="BR397" s="2125"/>
      <c r="BS397" s="2125"/>
      <c r="BT397" s="2125"/>
      <c r="BU397" s="2029"/>
      <c r="BV397" s="2029"/>
      <c r="BW397" s="2029"/>
      <c r="BX397" s="2029"/>
      <c r="BY397" s="2029"/>
      <c r="BZ397" s="2032"/>
      <c r="CA397" s="1974">
        <f t="shared" si="259"/>
        <v>0</v>
      </c>
      <c r="CB397" s="1974">
        <f t="shared" si="259"/>
        <v>0</v>
      </c>
      <c r="CC397" s="1974">
        <f t="shared" si="259"/>
        <v>0</v>
      </c>
      <c r="CD397" s="1974">
        <f t="shared" si="259"/>
        <v>0</v>
      </c>
      <c r="CE397" s="1974">
        <f t="shared" si="259"/>
        <v>0</v>
      </c>
      <c r="CF397" s="2033">
        <v>0</v>
      </c>
      <c r="CG397" s="2026">
        <v>0</v>
      </c>
      <c r="CH397" s="2009">
        <f t="shared" si="259"/>
        <v>0</v>
      </c>
      <c r="CI397" s="2031">
        <f t="shared" si="259"/>
        <v>0</v>
      </c>
      <c r="CJ397" s="1974">
        <f t="shared" si="259"/>
        <v>0</v>
      </c>
      <c r="CK397" s="2031">
        <f t="shared" si="259"/>
        <v>0</v>
      </c>
      <c r="CL397" s="2026">
        <v>1</v>
      </c>
      <c r="CM397" s="2026">
        <v>1</v>
      </c>
      <c r="CN397" s="2026">
        <v>1</v>
      </c>
      <c r="CO397" s="2026">
        <v>1</v>
      </c>
      <c r="CP397" s="2035"/>
      <c r="CQ397" s="2036"/>
      <c r="CR397" s="2036"/>
      <c r="CS397" s="2036"/>
      <c r="CT397" s="2036"/>
      <c r="CU397" s="2036"/>
      <c r="CW397" s="1973">
        <v>0</v>
      </c>
      <c r="CX397" s="2037">
        <v>1300</v>
      </c>
      <c r="CY397" s="2037">
        <v>1300</v>
      </c>
      <c r="CZ397" s="2037">
        <v>1300</v>
      </c>
      <c r="DA397" s="2037">
        <v>1300</v>
      </c>
      <c r="DJ397" s="1976">
        <v>0</v>
      </c>
      <c r="DK397" s="1973">
        <v>0</v>
      </c>
      <c r="DL397" s="1973">
        <v>0</v>
      </c>
      <c r="DM397" s="1973">
        <v>0</v>
      </c>
      <c r="DO397" s="1974">
        <v>10</v>
      </c>
      <c r="DP397" s="1974">
        <v>1040.5701300000001</v>
      </c>
      <c r="DQ397" s="1974">
        <v>0</v>
      </c>
      <c r="DR397" s="1974">
        <v>1089.48</v>
      </c>
      <c r="DS397" s="2124">
        <v>120</v>
      </c>
      <c r="DT397" s="2029">
        <v>120</v>
      </c>
      <c r="DU397" s="2029">
        <v>120</v>
      </c>
      <c r="DV397" s="2029">
        <v>120</v>
      </c>
      <c r="DW397" s="2124">
        <v>1196</v>
      </c>
      <c r="DX397" s="2029">
        <v>1196</v>
      </c>
      <c r="DY397" s="2029">
        <v>1196</v>
      </c>
      <c r="DZ397" s="2029">
        <v>1196</v>
      </c>
      <c r="EA397" s="2124">
        <v>8850</v>
      </c>
      <c r="EB397" s="2029">
        <v>8850</v>
      </c>
      <c r="EC397" s="2029">
        <v>8850</v>
      </c>
      <c r="ED397" s="2029">
        <v>8850</v>
      </c>
      <c r="EE397" s="2039">
        <f t="shared" si="253"/>
        <v>0</v>
      </c>
      <c r="EF397" s="2039">
        <f t="shared" si="253"/>
        <v>0</v>
      </c>
      <c r="EG397" s="2039">
        <f t="shared" si="253"/>
        <v>0</v>
      </c>
      <c r="EH397" s="2039">
        <f t="shared" si="252"/>
        <v>0</v>
      </c>
      <c r="EI397" s="2040">
        <f t="shared" si="233"/>
        <v>0</v>
      </c>
      <c r="EJ397" s="2040">
        <f t="shared" si="233"/>
        <v>0</v>
      </c>
      <c r="EK397" s="2040">
        <f t="shared" si="233"/>
        <v>0</v>
      </c>
      <c r="EL397" s="2040">
        <f t="shared" si="232"/>
        <v>0</v>
      </c>
      <c r="EM397" s="2040">
        <f t="shared" si="232"/>
        <v>0</v>
      </c>
      <c r="EN397" s="2040">
        <f t="shared" si="232"/>
        <v>0</v>
      </c>
      <c r="EO397" s="2040">
        <f t="shared" si="226"/>
        <v>0</v>
      </c>
      <c r="EP397" s="2040">
        <f t="shared" si="226"/>
        <v>0</v>
      </c>
      <c r="EQ397" s="2040">
        <f t="shared" si="226"/>
        <v>0</v>
      </c>
      <c r="ER397" s="2040">
        <f t="shared" ref="ER397:ET460" si="261">BB397-EB397</f>
        <v>0</v>
      </c>
      <c r="ES397" s="2040">
        <f t="shared" si="261"/>
        <v>0</v>
      </c>
      <c r="ET397" s="2040">
        <f t="shared" si="261"/>
        <v>0</v>
      </c>
      <c r="EU397" s="2039">
        <f t="shared" si="254"/>
        <v>0</v>
      </c>
      <c r="EV397" s="2039">
        <f t="shared" si="255"/>
        <v>0</v>
      </c>
    </row>
    <row r="398" spans="1:152" x14ac:dyDescent="0.25">
      <c r="A398" s="2088" t="s">
        <v>174</v>
      </c>
      <c r="B398" s="2093" t="str">
        <f t="shared" si="234"/>
        <v>BPST6</v>
      </c>
      <c r="C398" s="1974">
        <f t="shared" si="258"/>
        <v>6</v>
      </c>
      <c r="D398" s="1974">
        <f t="shared" si="258"/>
        <v>0</v>
      </c>
      <c r="E398" s="1974">
        <f t="shared" si="258"/>
        <v>0</v>
      </c>
      <c r="F398" s="1974">
        <f t="shared" si="258"/>
        <v>208.55999999999997</v>
      </c>
      <c r="G398" s="1974" t="s">
        <v>2997</v>
      </c>
      <c r="H398" s="1974" t="s">
        <v>2997</v>
      </c>
      <c r="I398" s="2026">
        <v>0.96199999999999997</v>
      </c>
      <c r="J398" s="2026">
        <v>0.96199999999999997</v>
      </c>
      <c r="K398" s="2026">
        <v>0.96199999999999997</v>
      </c>
      <c r="L398" s="2026">
        <v>0.96199999999999997</v>
      </c>
      <c r="M398" s="2027">
        <f t="shared" si="242"/>
        <v>0</v>
      </c>
      <c r="N398" s="2027">
        <f t="shared" si="242"/>
        <v>0</v>
      </c>
      <c r="O398" s="2027">
        <f t="shared" si="242"/>
        <v>0</v>
      </c>
      <c r="P398" s="2027">
        <f t="shared" si="242"/>
        <v>0</v>
      </c>
      <c r="Q398" s="2026">
        <v>0.96199999999999997</v>
      </c>
      <c r="R398" s="2026">
        <v>0.96199999999999997</v>
      </c>
      <c r="S398" s="2026">
        <v>0.96199999999999997</v>
      </c>
      <c r="T398" s="2026">
        <v>0.96199999999999997</v>
      </c>
      <c r="U398" s="2028">
        <f t="shared" si="243"/>
        <v>0</v>
      </c>
      <c r="V398" s="2028">
        <f t="shared" si="243"/>
        <v>0</v>
      </c>
      <c r="W398" s="2028">
        <f t="shared" si="243"/>
        <v>0</v>
      </c>
      <c r="X398" s="2028">
        <f t="shared" si="243"/>
        <v>0</v>
      </c>
      <c r="Y398" s="2026">
        <v>0.96199999999999997</v>
      </c>
      <c r="Z398" s="2026">
        <v>0.96199999999999997</v>
      </c>
      <c r="AA398" s="2026">
        <v>0.96199999999999997</v>
      </c>
      <c r="AB398" s="2026">
        <v>0.96199999999999997</v>
      </c>
      <c r="AC398" s="2027">
        <f t="shared" si="244"/>
        <v>200.63471999999996</v>
      </c>
      <c r="AD398" s="2027">
        <f t="shared" si="244"/>
        <v>200.63471999999996</v>
      </c>
      <c r="AE398" s="2027">
        <f t="shared" si="244"/>
        <v>200.63471999999996</v>
      </c>
      <c r="AF398" s="2027">
        <f t="shared" si="244"/>
        <v>200.63471999999996</v>
      </c>
      <c r="AG398" s="2027">
        <v>0</v>
      </c>
      <c r="AH398" s="2028"/>
      <c r="AI398" s="2028"/>
      <c r="AJ398" s="2028"/>
      <c r="AK398" s="2027">
        <f t="shared" si="250"/>
        <v>0</v>
      </c>
      <c r="AL398" s="2027">
        <f t="shared" si="236"/>
        <v>0</v>
      </c>
      <c r="AM398" s="2027">
        <f t="shared" si="236"/>
        <v>0</v>
      </c>
      <c r="AN398" s="2027">
        <f t="shared" si="236"/>
        <v>0</v>
      </c>
      <c r="AO398" s="2027">
        <f t="shared" si="245"/>
        <v>0</v>
      </c>
      <c r="AP398" s="2027">
        <f t="shared" si="237"/>
        <v>0</v>
      </c>
      <c r="AQ398" s="2027">
        <f t="shared" si="237"/>
        <v>0</v>
      </c>
      <c r="AR398" s="2027">
        <f t="shared" si="237"/>
        <v>0</v>
      </c>
      <c r="AS398" s="2124">
        <f t="shared" si="256"/>
        <v>0</v>
      </c>
      <c r="AT398" s="2029">
        <f t="shared" si="238"/>
        <v>0</v>
      </c>
      <c r="AU398" s="2029">
        <f t="shared" si="238"/>
        <v>0</v>
      </c>
      <c r="AV398" s="2029">
        <f t="shared" si="238"/>
        <v>0</v>
      </c>
      <c r="AW398" s="2124">
        <f t="shared" si="248"/>
        <v>780</v>
      </c>
      <c r="AX398" s="2029">
        <f t="shared" si="257"/>
        <v>780</v>
      </c>
      <c r="AY398" s="2029">
        <f t="shared" si="257"/>
        <v>780</v>
      </c>
      <c r="AZ398" s="2029">
        <f t="shared" si="257"/>
        <v>780</v>
      </c>
      <c r="BA398" s="2124">
        <f t="shared" si="260"/>
        <v>1200</v>
      </c>
      <c r="BB398" s="2029">
        <f t="shared" si="260"/>
        <v>1200</v>
      </c>
      <c r="BC398" s="2029">
        <f t="shared" si="260"/>
        <v>1200</v>
      </c>
      <c r="BD398" s="2029">
        <f t="shared" si="260"/>
        <v>1200</v>
      </c>
      <c r="BE398" s="2030">
        <f t="shared" si="239"/>
        <v>0</v>
      </c>
      <c r="BF398" s="2030">
        <f t="shared" si="239"/>
        <v>0</v>
      </c>
      <c r="BG398" s="2030">
        <f t="shared" si="239"/>
        <v>0</v>
      </c>
      <c r="BH398" s="2030">
        <f t="shared" si="239"/>
        <v>0</v>
      </c>
      <c r="BI398" s="2030">
        <f t="shared" si="240"/>
        <v>0</v>
      </c>
      <c r="BJ398" s="2030">
        <f t="shared" si="240"/>
        <v>0</v>
      </c>
      <c r="BK398" s="2030">
        <f t="shared" si="240"/>
        <v>0</v>
      </c>
      <c r="BL398" s="2030">
        <f t="shared" si="240"/>
        <v>0</v>
      </c>
      <c r="BM398" s="2125"/>
      <c r="BN398" s="2125"/>
      <c r="BO398" s="2125"/>
      <c r="BP398" s="2125"/>
      <c r="BQ398" s="2125"/>
      <c r="BR398" s="2125"/>
      <c r="BS398" s="2125"/>
      <c r="BT398" s="2125"/>
      <c r="BU398" s="2029"/>
      <c r="BV398" s="2029"/>
      <c r="BW398" s="2029"/>
      <c r="BX398" s="2029"/>
      <c r="BY398" s="2029"/>
      <c r="BZ398" s="2032"/>
      <c r="CA398" s="1974">
        <f t="shared" si="259"/>
        <v>0</v>
      </c>
      <c r="CB398" s="1974">
        <f t="shared" si="259"/>
        <v>0</v>
      </c>
      <c r="CC398" s="1974">
        <f t="shared" si="259"/>
        <v>0</v>
      </c>
      <c r="CD398" s="1974">
        <f t="shared" si="259"/>
        <v>0</v>
      </c>
      <c r="CE398" s="1974">
        <f t="shared" si="259"/>
        <v>0</v>
      </c>
      <c r="CF398" s="2033">
        <v>0</v>
      </c>
      <c r="CG398" s="2026">
        <v>0</v>
      </c>
      <c r="CH398" s="2009">
        <f t="shared" si="259"/>
        <v>0</v>
      </c>
      <c r="CI398" s="2031">
        <f t="shared" si="259"/>
        <v>0</v>
      </c>
      <c r="CJ398" s="1974">
        <f t="shared" si="259"/>
        <v>0</v>
      </c>
      <c r="CK398" s="2031">
        <f t="shared" si="259"/>
        <v>0</v>
      </c>
      <c r="CL398" s="2026">
        <v>1</v>
      </c>
      <c r="CM398" s="2026">
        <v>1</v>
      </c>
      <c r="CN398" s="2026">
        <v>1</v>
      </c>
      <c r="CO398" s="2026">
        <v>1</v>
      </c>
      <c r="CP398" s="2035"/>
      <c r="CQ398" s="2036"/>
      <c r="CR398" s="2036"/>
      <c r="CS398" s="2036"/>
      <c r="CT398" s="2036"/>
      <c r="CU398" s="2036"/>
      <c r="CW398" s="1973">
        <v>0</v>
      </c>
      <c r="CX398" s="2037">
        <v>780</v>
      </c>
      <c r="CY398" s="2037">
        <v>780</v>
      </c>
      <c r="CZ398" s="2037">
        <v>780</v>
      </c>
      <c r="DA398" s="2037">
        <v>780</v>
      </c>
      <c r="DJ398" s="1976">
        <v>0</v>
      </c>
      <c r="DK398" s="1973">
        <v>0</v>
      </c>
      <c r="DL398" s="1973">
        <v>0</v>
      </c>
      <c r="DM398" s="1973">
        <v>0</v>
      </c>
      <c r="DO398" s="1974">
        <v>6</v>
      </c>
      <c r="DP398" s="1974">
        <v>0</v>
      </c>
      <c r="DQ398" s="1974">
        <v>0</v>
      </c>
      <c r="DR398" s="1974">
        <v>208.55999999999997</v>
      </c>
      <c r="DS398" s="2124">
        <v>0</v>
      </c>
      <c r="DT398" s="2029">
        <v>0</v>
      </c>
      <c r="DU398" s="2029">
        <v>0</v>
      </c>
      <c r="DV398" s="2029">
        <v>0</v>
      </c>
      <c r="DW398" s="2124">
        <v>780</v>
      </c>
      <c r="DX398" s="2029">
        <v>780</v>
      </c>
      <c r="DY398" s="2029">
        <v>780</v>
      </c>
      <c r="DZ398" s="2029">
        <v>780</v>
      </c>
      <c r="EA398" s="2124">
        <v>1200</v>
      </c>
      <c r="EB398" s="2029">
        <v>1200</v>
      </c>
      <c r="EC398" s="2029">
        <v>1200</v>
      </c>
      <c r="ED398" s="2029">
        <v>1200</v>
      </c>
      <c r="EE398" s="2039">
        <f t="shared" si="253"/>
        <v>0</v>
      </c>
      <c r="EF398" s="2039">
        <f t="shared" si="253"/>
        <v>0</v>
      </c>
      <c r="EG398" s="2039">
        <f t="shared" si="253"/>
        <v>0</v>
      </c>
      <c r="EH398" s="2039">
        <f t="shared" si="252"/>
        <v>0</v>
      </c>
      <c r="EI398" s="2040">
        <f t="shared" si="233"/>
        <v>0</v>
      </c>
      <c r="EJ398" s="2040">
        <f t="shared" si="233"/>
        <v>0</v>
      </c>
      <c r="EK398" s="2040">
        <f t="shared" si="233"/>
        <v>0</v>
      </c>
      <c r="EL398" s="2040">
        <f t="shared" si="232"/>
        <v>0</v>
      </c>
      <c r="EM398" s="2040">
        <f t="shared" si="232"/>
        <v>0</v>
      </c>
      <c r="EN398" s="2040">
        <f t="shared" si="232"/>
        <v>0</v>
      </c>
      <c r="EO398" s="2040">
        <f t="shared" si="232"/>
        <v>0</v>
      </c>
      <c r="EP398" s="2040">
        <f t="shared" si="232"/>
        <v>0</v>
      </c>
      <c r="EQ398" s="2040">
        <f t="shared" si="232"/>
        <v>0</v>
      </c>
      <c r="ER398" s="2040">
        <f t="shared" si="261"/>
        <v>0</v>
      </c>
      <c r="ES398" s="2040">
        <f t="shared" si="261"/>
        <v>0</v>
      </c>
      <c r="ET398" s="2040">
        <f t="shared" si="261"/>
        <v>0</v>
      </c>
      <c r="EU398" s="2039">
        <f t="shared" si="254"/>
        <v>0</v>
      </c>
      <c r="EV398" s="2039">
        <f t="shared" si="255"/>
        <v>0</v>
      </c>
    </row>
    <row r="399" spans="1:152" x14ac:dyDescent="0.25">
      <c r="A399" s="2135" t="s">
        <v>1019</v>
      </c>
      <c r="B399" s="1974" t="str">
        <f t="shared" si="234"/>
        <v>BPAR1</v>
      </c>
      <c r="C399" s="1974">
        <f t="shared" si="258"/>
        <v>9</v>
      </c>
      <c r="D399" s="1974">
        <f t="shared" si="258"/>
        <v>27.187769531356203</v>
      </c>
      <c r="E399" s="1974">
        <f t="shared" si="258"/>
        <v>4.6993183364750354E-3</v>
      </c>
      <c r="F399" s="1974">
        <f t="shared" si="258"/>
        <v>5.4316370902687714</v>
      </c>
      <c r="G399" s="1974" t="s">
        <v>2997</v>
      </c>
      <c r="H399" s="1974" t="s">
        <v>2997</v>
      </c>
      <c r="I399" s="2026">
        <v>0.96199999999999997</v>
      </c>
      <c r="J399" s="2026">
        <v>0.96199999999999997</v>
      </c>
      <c r="K399" s="2026">
        <v>0.96199999999999997</v>
      </c>
      <c r="L399" s="2026">
        <v>0.96199999999999997</v>
      </c>
      <c r="M399" s="2027">
        <f t="shared" si="242"/>
        <v>26.154634289164665</v>
      </c>
      <c r="N399" s="2027">
        <f t="shared" si="242"/>
        <v>26.154634289164665</v>
      </c>
      <c r="O399" s="2027">
        <f t="shared" si="242"/>
        <v>26.154634289164665</v>
      </c>
      <c r="P399" s="2027">
        <f t="shared" si="242"/>
        <v>26.154634289164665</v>
      </c>
      <c r="Q399" s="2026">
        <v>0.96199999999999997</v>
      </c>
      <c r="R399" s="2026">
        <v>0.96199999999999997</v>
      </c>
      <c r="S399" s="2026">
        <v>0.96199999999999997</v>
      </c>
      <c r="T399" s="2026">
        <v>0.96199999999999997</v>
      </c>
      <c r="U399" s="2028">
        <f t="shared" si="243"/>
        <v>4.5207442396889841E-3</v>
      </c>
      <c r="V399" s="2028">
        <f t="shared" si="243"/>
        <v>4.5207442396889841E-3</v>
      </c>
      <c r="W399" s="2028">
        <f t="shared" si="243"/>
        <v>4.5207442396889841E-3</v>
      </c>
      <c r="X399" s="2028">
        <f t="shared" si="243"/>
        <v>4.5207442396889841E-3</v>
      </c>
      <c r="Y399" s="2026">
        <v>0.96199999999999997</v>
      </c>
      <c r="Z399" s="2026">
        <v>0.96199999999999997</v>
      </c>
      <c r="AA399" s="2026">
        <v>0.96199999999999997</v>
      </c>
      <c r="AB399" s="2026">
        <v>0.96199999999999997</v>
      </c>
      <c r="AC399" s="2027">
        <f t="shared" si="244"/>
        <v>5.225234880838558</v>
      </c>
      <c r="AD399" s="2027">
        <f t="shared" si="244"/>
        <v>5.225234880838558</v>
      </c>
      <c r="AE399" s="2027">
        <f t="shared" si="244"/>
        <v>5.225234880838558</v>
      </c>
      <c r="AF399" s="2027">
        <f t="shared" si="244"/>
        <v>5.225234880838558</v>
      </c>
      <c r="AG399" s="2027">
        <v>620</v>
      </c>
      <c r="AH399" s="2027">
        <v>450</v>
      </c>
      <c r="AI399" s="2027">
        <v>526</v>
      </c>
      <c r="AJ399" s="2027">
        <v>518</v>
      </c>
      <c r="AK399" s="2027">
        <f t="shared" si="250"/>
        <v>16215.873259282092</v>
      </c>
      <c r="AL399" s="2027">
        <f t="shared" si="236"/>
        <v>11769.5854301241</v>
      </c>
      <c r="AM399" s="2027">
        <f t="shared" si="236"/>
        <v>13757.337636100614</v>
      </c>
      <c r="AN399" s="2027">
        <f t="shared" si="236"/>
        <v>13548.100561787296</v>
      </c>
      <c r="AO399" s="2027">
        <f t="shared" si="245"/>
        <v>3239.645626119906</v>
      </c>
      <c r="AP399" s="2027">
        <f t="shared" si="237"/>
        <v>2351.3556963773513</v>
      </c>
      <c r="AQ399" s="2027">
        <f t="shared" si="237"/>
        <v>2748.4735473210817</v>
      </c>
      <c r="AR399" s="2027">
        <f t="shared" si="237"/>
        <v>2706.6716682743731</v>
      </c>
      <c r="AS399" s="2029">
        <v>3.600000000000001</v>
      </c>
      <c r="AT399" s="2029">
        <f t="shared" si="238"/>
        <v>3.600000000000001</v>
      </c>
      <c r="AU399" s="2029">
        <f t="shared" si="238"/>
        <v>3.600000000000001</v>
      </c>
      <c r="AV399" s="2029">
        <f t="shared" si="238"/>
        <v>3.600000000000001</v>
      </c>
      <c r="AW399" s="2029">
        <v>14.400000000000004</v>
      </c>
      <c r="AX399" s="2029">
        <f t="shared" si="257"/>
        <v>14.400000000000004</v>
      </c>
      <c r="AY399" s="2029">
        <f t="shared" si="257"/>
        <v>14.400000000000004</v>
      </c>
      <c r="AZ399" s="2029">
        <f t="shared" si="257"/>
        <v>14.400000000000004</v>
      </c>
      <c r="BA399" s="2048">
        <v>8</v>
      </c>
      <c r="BB399" s="2029">
        <f t="shared" si="260"/>
        <v>8</v>
      </c>
      <c r="BC399" s="2029">
        <f t="shared" si="260"/>
        <v>8</v>
      </c>
      <c r="BD399" s="2029">
        <f t="shared" si="260"/>
        <v>8</v>
      </c>
      <c r="BE399" s="2030">
        <f t="shared" si="239"/>
        <v>2232.0000000000005</v>
      </c>
      <c r="BF399" s="2030">
        <f t="shared" si="239"/>
        <v>1620.0000000000005</v>
      </c>
      <c r="BG399" s="2030">
        <f t="shared" si="239"/>
        <v>1893.6000000000006</v>
      </c>
      <c r="BH399" s="2030">
        <f t="shared" si="239"/>
        <v>1864.8000000000004</v>
      </c>
      <c r="BI399" s="2030">
        <f t="shared" si="240"/>
        <v>8928.0000000000018</v>
      </c>
      <c r="BJ399" s="2030">
        <f t="shared" si="240"/>
        <v>6480.0000000000018</v>
      </c>
      <c r="BK399" s="2030">
        <f t="shared" si="240"/>
        <v>7574.4000000000024</v>
      </c>
      <c r="BL399" s="2030">
        <f t="shared" si="240"/>
        <v>7459.2000000000016</v>
      </c>
      <c r="BM399" s="2125"/>
      <c r="BN399" s="2125"/>
      <c r="BO399" s="2125"/>
      <c r="BP399" s="2125"/>
      <c r="BQ399" s="2125"/>
      <c r="BR399" s="2125"/>
      <c r="BS399" s="2125"/>
      <c r="BT399" s="2125"/>
      <c r="BU399" s="2029"/>
      <c r="BV399" s="2029"/>
      <c r="BW399" s="2029"/>
      <c r="BX399" s="2029"/>
      <c r="BY399" s="2029"/>
      <c r="BZ399" s="2032"/>
      <c r="CA399" s="1974">
        <f t="shared" si="259"/>
        <v>1479.2040006178568</v>
      </c>
      <c r="CB399" s="1974">
        <f t="shared" si="259"/>
        <v>0</v>
      </c>
      <c r="CC399" s="1974">
        <f t="shared" si="259"/>
        <v>0</v>
      </c>
      <c r="CD399" s="1974">
        <f t="shared" si="259"/>
        <v>0</v>
      </c>
      <c r="CE399" s="1974">
        <f t="shared" si="259"/>
        <v>0</v>
      </c>
      <c r="CF399" s="2033">
        <v>9.2618269732408934E-5</v>
      </c>
      <c r="CG399" s="2026">
        <v>1.6513724090381828E-3</v>
      </c>
      <c r="CH399" s="2009">
        <f t="shared" si="259"/>
        <v>0</v>
      </c>
      <c r="CI399" s="2031">
        <f t="shared" si="259"/>
        <v>0</v>
      </c>
      <c r="CJ399" s="1974">
        <f t="shared" si="259"/>
        <v>0</v>
      </c>
      <c r="CK399" s="2031">
        <f t="shared" si="259"/>
        <v>0</v>
      </c>
      <c r="CL399" s="2026">
        <v>1</v>
      </c>
      <c r="CM399" s="2026">
        <v>1</v>
      </c>
      <c r="CN399" s="2026">
        <v>1</v>
      </c>
      <c r="CO399" s="2026">
        <v>1</v>
      </c>
      <c r="CP399" s="2035"/>
      <c r="CQ399" s="2036"/>
      <c r="CR399" s="2036"/>
      <c r="CS399" s="2036"/>
      <c r="CT399" s="2036"/>
      <c r="CU399" s="2036"/>
      <c r="CW399" s="1973">
        <v>0</v>
      </c>
      <c r="CX399" s="2037">
        <v>12.000000000000007</v>
      </c>
      <c r="CY399" s="2037">
        <v>12.000000000000007</v>
      </c>
      <c r="CZ399" s="2037">
        <v>12.000000000000007</v>
      </c>
      <c r="DA399" s="2037">
        <v>12.000000000000007</v>
      </c>
      <c r="DJ399" s="1976">
        <v>2.4000000000000012</v>
      </c>
      <c r="DK399" s="1973">
        <v>2.4000000000000012</v>
      </c>
      <c r="DL399" s="1973">
        <v>2.4000000000000012</v>
      </c>
      <c r="DM399" s="1973">
        <v>2.4000000000000012</v>
      </c>
      <c r="DO399" s="2047">
        <v>9</v>
      </c>
      <c r="DP399" s="2047">
        <v>27.187769531356203</v>
      </c>
      <c r="DQ399" s="2047">
        <v>4.6993183364750354E-3</v>
      </c>
      <c r="DR399" s="2047">
        <v>5.4316370902687714</v>
      </c>
      <c r="DS399" s="2046">
        <v>3.6000000000000019</v>
      </c>
      <c r="DT399" s="2046">
        <v>3.6000000000000019</v>
      </c>
      <c r="DU399" s="2046">
        <v>3.6000000000000019</v>
      </c>
      <c r="DV399" s="2046">
        <v>3.6000000000000019</v>
      </c>
      <c r="DW399" s="2046">
        <v>14.400000000000007</v>
      </c>
      <c r="DX399" s="2046">
        <v>14.400000000000007</v>
      </c>
      <c r="DY399" s="2046">
        <v>14.400000000000007</v>
      </c>
      <c r="DZ399" s="2046">
        <v>14.400000000000007</v>
      </c>
      <c r="EA399" s="2046">
        <v>8</v>
      </c>
      <c r="EB399" s="2046">
        <v>8</v>
      </c>
      <c r="EC399" s="2046">
        <v>8</v>
      </c>
      <c r="ED399" s="2046">
        <v>8</v>
      </c>
      <c r="EE399" s="2039">
        <f t="shared" si="253"/>
        <v>0</v>
      </c>
      <c r="EF399" s="2039">
        <f t="shared" si="253"/>
        <v>0</v>
      </c>
      <c r="EG399" s="2039">
        <f t="shared" si="253"/>
        <v>0</v>
      </c>
      <c r="EH399" s="2039">
        <f t="shared" si="252"/>
        <v>0</v>
      </c>
      <c r="EI399" s="2040">
        <f t="shared" si="233"/>
        <v>0</v>
      </c>
      <c r="EJ399" s="2040">
        <f t="shared" si="233"/>
        <v>0</v>
      </c>
      <c r="EK399" s="2040">
        <f t="shared" si="233"/>
        <v>0</v>
      </c>
      <c r="EL399" s="2040">
        <f t="shared" si="232"/>
        <v>0</v>
      </c>
      <c r="EM399" s="2040">
        <f t="shared" si="232"/>
        <v>0</v>
      </c>
      <c r="EN399" s="2040">
        <f t="shared" si="232"/>
        <v>0</v>
      </c>
      <c r="EO399" s="2040">
        <f t="shared" si="232"/>
        <v>0</v>
      </c>
      <c r="EP399" s="2040">
        <f t="shared" si="232"/>
        <v>0</v>
      </c>
      <c r="EQ399" s="2040">
        <f t="shared" si="232"/>
        <v>0</v>
      </c>
      <c r="ER399" s="2040">
        <f t="shared" si="261"/>
        <v>0</v>
      </c>
      <c r="ES399" s="2040">
        <f t="shared" si="261"/>
        <v>0</v>
      </c>
      <c r="ET399" s="2040">
        <f t="shared" si="261"/>
        <v>0</v>
      </c>
      <c r="EU399" s="2039">
        <f t="shared" si="254"/>
        <v>0</v>
      </c>
      <c r="EV399" s="2039">
        <f t="shared" si="255"/>
        <v>0</v>
      </c>
    </row>
    <row r="400" spans="1:152" x14ac:dyDescent="0.25">
      <c r="A400" s="2135" t="s">
        <v>1020</v>
      </c>
      <c r="B400" s="2093" t="str">
        <f t="shared" si="234"/>
        <v>BPAR1 (LFR)</v>
      </c>
      <c r="C400" s="1974">
        <f t="shared" si="258"/>
        <v>9</v>
      </c>
      <c r="D400" s="1974">
        <f t="shared" si="258"/>
        <v>37.488220600065439</v>
      </c>
      <c r="E400" s="1974">
        <f t="shared" si="258"/>
        <v>6.4797181050298865E-3</v>
      </c>
      <c r="F400" s="1974">
        <f t="shared" si="258"/>
        <v>7.4894856389249336</v>
      </c>
      <c r="G400" s="1974" t="s">
        <v>2997</v>
      </c>
      <c r="H400" s="1974" t="s">
        <v>2997</v>
      </c>
      <c r="I400" s="2026">
        <v>0.96199999999999997</v>
      </c>
      <c r="J400" s="2026">
        <v>0.96199999999999997</v>
      </c>
      <c r="K400" s="2026">
        <v>0.96199999999999997</v>
      </c>
      <c r="L400" s="2026">
        <v>0.96199999999999997</v>
      </c>
      <c r="M400" s="2027">
        <f t="shared" si="242"/>
        <v>36.063668217262951</v>
      </c>
      <c r="N400" s="2027">
        <f t="shared" si="242"/>
        <v>36.063668217262951</v>
      </c>
      <c r="O400" s="2027">
        <f t="shared" si="242"/>
        <v>36.063668217262951</v>
      </c>
      <c r="P400" s="2027">
        <f t="shared" si="242"/>
        <v>36.063668217262951</v>
      </c>
      <c r="Q400" s="2026">
        <v>0.96199999999999997</v>
      </c>
      <c r="R400" s="2026">
        <v>0.96199999999999997</v>
      </c>
      <c r="S400" s="2026">
        <v>0.96199999999999997</v>
      </c>
      <c r="T400" s="2026">
        <v>0.96199999999999997</v>
      </c>
      <c r="U400" s="2028">
        <f t="shared" si="243"/>
        <v>6.2334888170387506E-3</v>
      </c>
      <c r="V400" s="2028">
        <f t="shared" si="243"/>
        <v>6.2334888170387506E-3</v>
      </c>
      <c r="W400" s="2028">
        <f t="shared" si="243"/>
        <v>6.2334888170387506E-3</v>
      </c>
      <c r="X400" s="2028">
        <f t="shared" si="243"/>
        <v>6.2334888170387506E-3</v>
      </c>
      <c r="Y400" s="2026">
        <v>0.96199999999999997</v>
      </c>
      <c r="Z400" s="2026">
        <v>0.96199999999999997</v>
      </c>
      <c r="AA400" s="2026">
        <v>0.96199999999999997</v>
      </c>
      <c r="AB400" s="2026">
        <v>0.96199999999999997</v>
      </c>
      <c r="AC400" s="2027">
        <f t="shared" si="244"/>
        <v>7.2048851846457858</v>
      </c>
      <c r="AD400" s="2027">
        <f t="shared" si="244"/>
        <v>7.2048851846457858</v>
      </c>
      <c r="AE400" s="2027">
        <f t="shared" si="244"/>
        <v>7.2048851846457858</v>
      </c>
      <c r="AF400" s="2027">
        <f t="shared" si="244"/>
        <v>7.2048851846457858</v>
      </c>
      <c r="AG400" s="2027">
        <v>620</v>
      </c>
      <c r="AH400" s="2027">
        <v>450</v>
      </c>
      <c r="AI400" s="2027">
        <v>526</v>
      </c>
      <c r="AJ400" s="2027">
        <v>518</v>
      </c>
      <c r="AK400" s="2027">
        <f t="shared" si="250"/>
        <v>22359.474294703028</v>
      </c>
      <c r="AL400" s="2027">
        <f t="shared" si="236"/>
        <v>16228.650697768328</v>
      </c>
      <c r="AM400" s="2027">
        <f t="shared" si="236"/>
        <v>18969.489482280311</v>
      </c>
      <c r="AN400" s="2027">
        <f t="shared" si="236"/>
        <v>18680.98013654221</v>
      </c>
      <c r="AO400" s="2027">
        <f t="shared" si="245"/>
        <v>4467.0288144803872</v>
      </c>
      <c r="AP400" s="2027">
        <f t="shared" si="237"/>
        <v>3242.1983330906037</v>
      </c>
      <c r="AQ400" s="2027">
        <f t="shared" si="237"/>
        <v>3789.7696071236833</v>
      </c>
      <c r="AR400" s="2027">
        <f t="shared" si="237"/>
        <v>3732.1305256465171</v>
      </c>
      <c r="AS400" s="2124">
        <v>4.8000000000000025</v>
      </c>
      <c r="AT400" s="2029">
        <f t="shared" si="238"/>
        <v>4.8000000000000025</v>
      </c>
      <c r="AU400" s="2029">
        <f t="shared" si="238"/>
        <v>4.8000000000000025</v>
      </c>
      <c r="AV400" s="2029">
        <f t="shared" si="238"/>
        <v>4.8000000000000025</v>
      </c>
      <c r="AW400" s="2124">
        <v>19.20000000000001</v>
      </c>
      <c r="AX400" s="2029">
        <f t="shared" si="257"/>
        <v>19.20000000000001</v>
      </c>
      <c r="AY400" s="2029">
        <f t="shared" si="257"/>
        <v>19.20000000000001</v>
      </c>
      <c r="AZ400" s="2029">
        <f t="shared" si="257"/>
        <v>19.20000000000001</v>
      </c>
      <c r="BA400" s="2124">
        <v>14.27</v>
      </c>
      <c r="BB400" s="2029">
        <f>$BA400</f>
        <v>14.27</v>
      </c>
      <c r="BC400" s="2029">
        <f t="shared" ref="BC400:BD400" si="262">$BA400</f>
        <v>14.27</v>
      </c>
      <c r="BD400" s="2029">
        <f t="shared" si="262"/>
        <v>14.27</v>
      </c>
      <c r="BE400" s="2030">
        <f t="shared" si="239"/>
        <v>2976.0000000000014</v>
      </c>
      <c r="BF400" s="2030">
        <f t="shared" si="239"/>
        <v>2160.0000000000009</v>
      </c>
      <c r="BG400" s="2030">
        <f t="shared" si="239"/>
        <v>2524.8000000000011</v>
      </c>
      <c r="BH400" s="2030">
        <f t="shared" si="239"/>
        <v>2486.4000000000015</v>
      </c>
      <c r="BI400" s="2030">
        <f t="shared" si="240"/>
        <v>11904.000000000005</v>
      </c>
      <c r="BJ400" s="2030">
        <f t="shared" si="240"/>
        <v>8640.0000000000036</v>
      </c>
      <c r="BK400" s="2030">
        <f t="shared" si="240"/>
        <v>10099.200000000004</v>
      </c>
      <c r="BL400" s="2030">
        <f t="shared" si="240"/>
        <v>9945.6000000000058</v>
      </c>
      <c r="BM400" s="2125"/>
      <c r="BN400" s="2125"/>
      <c r="BO400" s="2125"/>
      <c r="BP400" s="2125"/>
      <c r="BQ400" s="2125"/>
      <c r="BR400" s="2125"/>
      <c r="BS400" s="2125"/>
      <c r="BT400" s="2125"/>
      <c r="BU400" s="2029"/>
      <c r="BV400" s="2029"/>
      <c r="BW400" s="2029"/>
      <c r="BX400" s="2029"/>
      <c r="BY400" s="2029"/>
      <c r="BZ400" s="2032"/>
      <c r="CA400" s="1974">
        <f t="shared" si="259"/>
        <v>1479.2040006178568</v>
      </c>
      <c r="CB400" s="1974">
        <f t="shared" si="259"/>
        <v>0</v>
      </c>
      <c r="CC400" s="1974">
        <f t="shared" si="259"/>
        <v>0</v>
      </c>
      <c r="CD400" s="1974">
        <f t="shared" si="259"/>
        <v>0</v>
      </c>
      <c r="CE400" s="1974">
        <f t="shared" si="259"/>
        <v>0</v>
      </c>
      <c r="CF400" s="2033">
        <v>9.2618269732408934E-5</v>
      </c>
      <c r="CG400" s="2026">
        <v>1.6513724090381828E-3</v>
      </c>
      <c r="CH400" s="2009">
        <f t="shared" si="259"/>
        <v>0</v>
      </c>
      <c r="CI400" s="2031">
        <f t="shared" si="259"/>
        <v>0</v>
      </c>
      <c r="CJ400" s="1974">
        <f t="shared" si="259"/>
        <v>0</v>
      </c>
      <c r="CK400" s="2031">
        <f t="shared" si="259"/>
        <v>0</v>
      </c>
      <c r="CL400" s="2026">
        <v>1</v>
      </c>
      <c r="CM400" s="2026">
        <v>1</v>
      </c>
      <c r="CN400" s="2026">
        <v>1</v>
      </c>
      <c r="CO400" s="2026">
        <v>1</v>
      </c>
      <c r="CP400" s="2035"/>
      <c r="CQ400" s="2036"/>
      <c r="CR400" s="2036"/>
      <c r="CS400" s="2036"/>
      <c r="CT400" s="2036"/>
      <c r="CU400" s="2036"/>
      <c r="CW400" s="1973">
        <v>0</v>
      </c>
      <c r="CX400" s="2037">
        <v>24.000000000000014</v>
      </c>
      <c r="CY400" s="2037">
        <v>24.000000000000014</v>
      </c>
      <c r="CZ400" s="2037">
        <v>24.000000000000014</v>
      </c>
      <c r="DA400" s="2037">
        <v>24.000000000000014</v>
      </c>
      <c r="DJ400" s="1976">
        <v>4.8000000000000025</v>
      </c>
      <c r="DK400" s="1973">
        <v>4.8000000000000025</v>
      </c>
      <c r="DL400" s="1973">
        <v>4.8000000000000025</v>
      </c>
      <c r="DM400" s="1973">
        <v>4.8000000000000025</v>
      </c>
      <c r="DO400" s="2047">
        <v>9</v>
      </c>
      <c r="DP400" s="2047">
        <v>37.488220600065439</v>
      </c>
      <c r="DQ400" s="2047">
        <v>6.4797181050298865E-3</v>
      </c>
      <c r="DR400" s="2047">
        <v>7.4894856389249336</v>
      </c>
      <c r="DS400" s="2046">
        <v>4.8000000000000025</v>
      </c>
      <c r="DT400" s="2046">
        <v>4.8000000000000025</v>
      </c>
      <c r="DU400" s="2046">
        <v>4.8000000000000025</v>
      </c>
      <c r="DV400" s="2046">
        <v>4.8000000000000025</v>
      </c>
      <c r="DW400" s="2046">
        <v>19.20000000000001</v>
      </c>
      <c r="DX400" s="2046">
        <v>19.20000000000001</v>
      </c>
      <c r="DY400" s="2046">
        <v>19.20000000000001</v>
      </c>
      <c r="DZ400" s="2046">
        <v>19.20000000000001</v>
      </c>
      <c r="EA400" s="2046">
        <v>14.27</v>
      </c>
      <c r="EB400" s="2046">
        <v>14.27</v>
      </c>
      <c r="EC400" s="2046">
        <v>14.27</v>
      </c>
      <c r="ED400" s="2046">
        <v>14.27</v>
      </c>
      <c r="EE400" s="2039">
        <f t="shared" si="253"/>
        <v>0</v>
      </c>
      <c r="EF400" s="2039">
        <f t="shared" si="253"/>
        <v>0</v>
      </c>
      <c r="EG400" s="2039">
        <f t="shared" si="253"/>
        <v>0</v>
      </c>
      <c r="EH400" s="2039">
        <f t="shared" si="252"/>
        <v>0</v>
      </c>
      <c r="EI400" s="2040">
        <f t="shared" si="233"/>
        <v>0</v>
      </c>
      <c r="EJ400" s="2040">
        <f t="shared" si="233"/>
        <v>0</v>
      </c>
      <c r="EK400" s="2040">
        <f t="shared" si="233"/>
        <v>0</v>
      </c>
      <c r="EL400" s="2040">
        <f t="shared" si="232"/>
        <v>0</v>
      </c>
      <c r="EM400" s="2040">
        <f t="shared" si="232"/>
        <v>0</v>
      </c>
      <c r="EN400" s="2040">
        <f t="shared" si="232"/>
        <v>0</v>
      </c>
      <c r="EO400" s="2040">
        <f t="shared" si="232"/>
        <v>0</v>
      </c>
      <c r="EP400" s="2040">
        <f t="shared" si="232"/>
        <v>0</v>
      </c>
      <c r="EQ400" s="2040">
        <f t="shared" si="232"/>
        <v>0</v>
      </c>
      <c r="ER400" s="2040">
        <f t="shared" si="261"/>
        <v>0</v>
      </c>
      <c r="ES400" s="2040">
        <f t="shared" si="261"/>
        <v>0</v>
      </c>
      <c r="ET400" s="2040">
        <f t="shared" si="261"/>
        <v>0</v>
      </c>
      <c r="EU400" s="2039">
        <f t="shared" si="254"/>
        <v>0</v>
      </c>
      <c r="EV400" s="2039">
        <f t="shared" si="255"/>
        <v>0</v>
      </c>
    </row>
    <row r="401" spans="1:152" x14ac:dyDescent="0.25">
      <c r="A401" s="2088" t="s">
        <v>175</v>
      </c>
      <c r="B401" s="2093" t="str">
        <f t="shared" si="234"/>
        <v/>
      </c>
      <c r="C401" s="1974">
        <f t="shared" si="258"/>
        <v>8</v>
      </c>
      <c r="D401" s="1974">
        <f t="shared" si="258"/>
        <v>4384.6000000000004</v>
      </c>
      <c r="E401" s="1974">
        <f t="shared" si="258"/>
        <v>0.14000000000000001</v>
      </c>
      <c r="F401" s="1974">
        <f t="shared" si="258"/>
        <v>-46.1</v>
      </c>
      <c r="G401" s="1974" t="s">
        <v>2997</v>
      </c>
      <c r="H401" s="1974" t="s">
        <v>2997</v>
      </c>
      <c r="I401" s="2026">
        <v>0.96199999999999997</v>
      </c>
      <c r="J401" s="2026">
        <v>0.96199999999999997</v>
      </c>
      <c r="K401" s="2026">
        <v>0.96199999999999997</v>
      </c>
      <c r="L401" s="2026">
        <v>0.96199999999999997</v>
      </c>
      <c r="M401" s="2027">
        <f t="shared" si="242"/>
        <v>4217.9852000000001</v>
      </c>
      <c r="N401" s="2027">
        <f t="shared" si="242"/>
        <v>4217.9852000000001</v>
      </c>
      <c r="O401" s="2027">
        <f t="shared" si="242"/>
        <v>4217.9852000000001</v>
      </c>
      <c r="P401" s="2027">
        <f t="shared" si="242"/>
        <v>4217.9852000000001</v>
      </c>
      <c r="Q401" s="2026">
        <v>0.96199999999999997</v>
      </c>
      <c r="R401" s="2026">
        <v>0.96199999999999997</v>
      </c>
      <c r="S401" s="2026">
        <v>0.96199999999999997</v>
      </c>
      <c r="T401" s="2026">
        <v>0.96199999999999997</v>
      </c>
      <c r="U401" s="2028">
        <f t="shared" si="243"/>
        <v>0.13468000000000002</v>
      </c>
      <c r="V401" s="2028">
        <f t="shared" si="243"/>
        <v>0.13468000000000002</v>
      </c>
      <c r="W401" s="2028">
        <f t="shared" si="243"/>
        <v>0.13468000000000002</v>
      </c>
      <c r="X401" s="2028">
        <f t="shared" si="243"/>
        <v>0.13468000000000002</v>
      </c>
      <c r="Y401" s="2026">
        <v>0.96199999999999997</v>
      </c>
      <c r="Z401" s="2026">
        <v>0.96199999999999997</v>
      </c>
      <c r="AA401" s="2026">
        <v>0.96199999999999997</v>
      </c>
      <c r="AB401" s="2026">
        <v>0.96199999999999997</v>
      </c>
      <c r="AC401" s="2027">
        <f t="shared" si="244"/>
        <v>-44.348199999999999</v>
      </c>
      <c r="AD401" s="2027">
        <f t="shared" si="244"/>
        <v>-44.348199999999999</v>
      </c>
      <c r="AE401" s="2027">
        <f t="shared" si="244"/>
        <v>-44.348199999999999</v>
      </c>
      <c r="AF401" s="2027">
        <f t="shared" si="244"/>
        <v>-44.348199999999999</v>
      </c>
      <c r="AG401" s="2027">
        <v>0</v>
      </c>
      <c r="AH401" s="2028"/>
      <c r="AI401" s="2028"/>
      <c r="AJ401" s="2028"/>
      <c r="AK401" s="2027">
        <f t="shared" si="250"/>
        <v>0</v>
      </c>
      <c r="AL401" s="2027">
        <f t="shared" si="236"/>
        <v>0</v>
      </c>
      <c r="AM401" s="2027">
        <f t="shared" si="236"/>
        <v>0</v>
      </c>
      <c r="AN401" s="2027">
        <f t="shared" si="236"/>
        <v>0</v>
      </c>
      <c r="AO401" s="2027">
        <f t="shared" si="245"/>
        <v>0</v>
      </c>
      <c r="AP401" s="2027">
        <f t="shared" si="237"/>
        <v>0</v>
      </c>
      <c r="AQ401" s="2027">
        <f t="shared" si="237"/>
        <v>0</v>
      </c>
      <c r="AR401" s="2027">
        <f t="shared" si="237"/>
        <v>0</v>
      </c>
      <c r="AS401" s="2124">
        <f>AS157*1.5</f>
        <v>150</v>
      </c>
      <c r="AT401" s="2029">
        <f t="shared" si="238"/>
        <v>150</v>
      </c>
      <c r="AU401" s="2029">
        <f t="shared" si="238"/>
        <v>150</v>
      </c>
      <c r="AV401" s="2029">
        <f t="shared" si="238"/>
        <v>150</v>
      </c>
      <c r="AW401" s="2124">
        <f>AW157*1.3</f>
        <v>0</v>
      </c>
      <c r="AX401" s="2029">
        <f t="shared" si="257"/>
        <v>0</v>
      </c>
      <c r="AY401" s="2029">
        <f t="shared" si="257"/>
        <v>0</v>
      </c>
      <c r="AZ401" s="2029">
        <f t="shared" si="257"/>
        <v>0</v>
      </c>
      <c r="BA401" s="2124">
        <f t="shared" si="260"/>
        <v>274</v>
      </c>
      <c r="BB401" s="2029">
        <f t="shared" si="260"/>
        <v>274</v>
      </c>
      <c r="BC401" s="2029">
        <f t="shared" si="260"/>
        <v>274</v>
      </c>
      <c r="BD401" s="2029">
        <f t="shared" si="260"/>
        <v>274</v>
      </c>
      <c r="BE401" s="2030">
        <f t="shared" si="239"/>
        <v>0</v>
      </c>
      <c r="BF401" s="2030">
        <f t="shared" si="239"/>
        <v>0</v>
      </c>
      <c r="BG401" s="2030">
        <f t="shared" si="239"/>
        <v>0</v>
      </c>
      <c r="BH401" s="2030">
        <f t="shared" si="239"/>
        <v>0</v>
      </c>
      <c r="BI401" s="2030">
        <f t="shared" si="240"/>
        <v>0</v>
      </c>
      <c r="BJ401" s="2030">
        <f t="shared" si="240"/>
        <v>0</v>
      </c>
      <c r="BK401" s="2030">
        <f t="shared" si="240"/>
        <v>0</v>
      </c>
      <c r="BL401" s="2030">
        <f t="shared" si="240"/>
        <v>0</v>
      </c>
      <c r="BM401" s="2125"/>
      <c r="BN401" s="2125"/>
      <c r="BO401" s="2125"/>
      <c r="BP401" s="2125"/>
      <c r="BQ401" s="2125"/>
      <c r="BR401" s="2125"/>
      <c r="BS401" s="2125"/>
      <c r="BT401" s="2125"/>
      <c r="BU401" s="2029"/>
      <c r="BV401" s="2029"/>
      <c r="BW401" s="2029"/>
      <c r="BX401" s="2029"/>
      <c r="BY401" s="2029"/>
      <c r="BZ401" s="2032"/>
      <c r="CA401" s="1974">
        <f t="shared" si="259"/>
        <v>0</v>
      </c>
      <c r="CB401" s="1974">
        <f t="shared" si="259"/>
        <v>0</v>
      </c>
      <c r="CC401" s="1974">
        <f t="shared" si="259"/>
        <v>0</v>
      </c>
      <c r="CD401" s="1974">
        <f t="shared" si="259"/>
        <v>0</v>
      </c>
      <c r="CE401" s="1974">
        <f t="shared" si="259"/>
        <v>0</v>
      </c>
      <c r="CF401" s="2033">
        <v>0</v>
      </c>
      <c r="CG401" s="2026">
        <v>0</v>
      </c>
      <c r="CH401" s="2009">
        <f t="shared" si="259"/>
        <v>0</v>
      </c>
      <c r="CI401" s="2031">
        <f t="shared" si="259"/>
        <v>0</v>
      </c>
      <c r="CJ401" s="1974">
        <f t="shared" si="259"/>
        <v>0</v>
      </c>
      <c r="CK401" s="2031">
        <f t="shared" si="259"/>
        <v>0</v>
      </c>
      <c r="CL401" s="2026">
        <v>1</v>
      </c>
      <c r="CM401" s="2026">
        <v>1</v>
      </c>
      <c r="CN401" s="2026">
        <v>1</v>
      </c>
      <c r="CO401" s="2026">
        <v>1</v>
      </c>
      <c r="CP401" s="2035"/>
      <c r="CQ401" s="2036"/>
      <c r="CR401" s="2036"/>
      <c r="CS401" s="2036"/>
      <c r="CT401" s="2036"/>
      <c r="CU401" s="2036"/>
      <c r="CW401" s="1973">
        <v>0</v>
      </c>
      <c r="CX401" s="2037">
        <v>150</v>
      </c>
      <c r="CY401" s="2037">
        <v>150</v>
      </c>
      <c r="CZ401" s="2037">
        <v>150</v>
      </c>
      <c r="DA401" s="2037">
        <v>150</v>
      </c>
      <c r="DJ401" s="1976">
        <v>150</v>
      </c>
      <c r="DK401" s="1973">
        <v>150</v>
      </c>
      <c r="DL401" s="1973">
        <v>150</v>
      </c>
      <c r="DM401" s="1973">
        <v>150</v>
      </c>
      <c r="DO401" s="1974">
        <v>8</v>
      </c>
      <c r="DP401" s="1974">
        <v>4384.6000000000004</v>
      </c>
      <c r="DQ401" s="1974">
        <v>0.14000000000000001</v>
      </c>
      <c r="DR401" s="1974">
        <v>-46.1</v>
      </c>
      <c r="DS401" s="2124">
        <v>150</v>
      </c>
      <c r="DT401" s="2029">
        <v>150</v>
      </c>
      <c r="DU401" s="2029">
        <v>150</v>
      </c>
      <c r="DV401" s="2029">
        <v>150</v>
      </c>
      <c r="DW401" s="2124">
        <v>0</v>
      </c>
      <c r="DX401" s="2029">
        <v>0</v>
      </c>
      <c r="DY401" s="2029">
        <v>0</v>
      </c>
      <c r="DZ401" s="2029">
        <v>0</v>
      </c>
      <c r="EA401" s="2124">
        <v>274</v>
      </c>
      <c r="EB401" s="2029">
        <v>274</v>
      </c>
      <c r="EC401" s="2029">
        <v>274</v>
      </c>
      <c r="ED401" s="2029">
        <v>274</v>
      </c>
      <c r="EE401" s="2039">
        <f t="shared" si="253"/>
        <v>0</v>
      </c>
      <c r="EF401" s="2039">
        <f t="shared" si="253"/>
        <v>0</v>
      </c>
      <c r="EG401" s="2039">
        <f t="shared" si="253"/>
        <v>0</v>
      </c>
      <c r="EH401" s="2039">
        <f t="shared" si="252"/>
        <v>0</v>
      </c>
      <c r="EI401" s="2040">
        <f t="shared" si="233"/>
        <v>0</v>
      </c>
      <c r="EJ401" s="2040">
        <f t="shared" si="233"/>
        <v>0</v>
      </c>
      <c r="EK401" s="2040">
        <f t="shared" si="233"/>
        <v>0</v>
      </c>
      <c r="EL401" s="2040">
        <f t="shared" si="232"/>
        <v>0</v>
      </c>
      <c r="EM401" s="2040">
        <f t="shared" si="232"/>
        <v>0</v>
      </c>
      <c r="EN401" s="2040">
        <f t="shared" si="232"/>
        <v>0</v>
      </c>
      <c r="EO401" s="2040">
        <f t="shared" si="232"/>
        <v>0</v>
      </c>
      <c r="EP401" s="2040">
        <f t="shared" si="232"/>
        <v>0</v>
      </c>
      <c r="EQ401" s="2040">
        <f t="shared" si="232"/>
        <v>0</v>
      </c>
      <c r="ER401" s="2040">
        <f t="shared" si="261"/>
        <v>0</v>
      </c>
      <c r="ES401" s="2040">
        <f t="shared" si="261"/>
        <v>0</v>
      </c>
      <c r="ET401" s="2040">
        <f t="shared" si="261"/>
        <v>0</v>
      </c>
      <c r="EU401" s="2039">
        <f t="shared" si="254"/>
        <v>0</v>
      </c>
      <c r="EV401" s="2039">
        <f t="shared" si="255"/>
        <v>0</v>
      </c>
    </row>
    <row r="402" spans="1:152" x14ac:dyDescent="0.25">
      <c r="A402" s="2126" t="s">
        <v>2957</v>
      </c>
      <c r="B402" s="1974" t="str">
        <f t="shared" si="234"/>
        <v/>
      </c>
      <c r="C402" s="1974">
        <f t="shared" si="258"/>
        <v>10</v>
      </c>
      <c r="D402" s="1974">
        <f t="shared" si="258"/>
        <v>621</v>
      </c>
      <c r="E402" s="1974">
        <f t="shared" si="258"/>
        <v>5.7634999999999999E-2</v>
      </c>
      <c r="F402" s="1974">
        <f t="shared" si="258"/>
        <v>61.482900000000001</v>
      </c>
      <c r="G402" s="1974" t="s">
        <v>2997</v>
      </c>
      <c r="H402" s="1974" t="s">
        <v>2997</v>
      </c>
      <c r="I402" s="2026">
        <v>0.96199999999999997</v>
      </c>
      <c r="J402" s="2026">
        <v>0.96199999999999997</v>
      </c>
      <c r="K402" s="2026">
        <v>0.96199999999999997</v>
      </c>
      <c r="L402" s="2026">
        <v>0.96199999999999997</v>
      </c>
      <c r="M402" s="2027">
        <f t="shared" si="242"/>
        <v>597.40199999999993</v>
      </c>
      <c r="N402" s="2027">
        <f t="shared" si="242"/>
        <v>597.40199999999993</v>
      </c>
      <c r="O402" s="2027">
        <f t="shared" si="242"/>
        <v>597.40199999999993</v>
      </c>
      <c r="P402" s="2027">
        <f t="shared" si="242"/>
        <v>597.40199999999993</v>
      </c>
      <c r="Q402" s="2026">
        <v>0.96199999999999997</v>
      </c>
      <c r="R402" s="2026">
        <v>0.96199999999999997</v>
      </c>
      <c r="S402" s="2026">
        <v>0.96199999999999997</v>
      </c>
      <c r="T402" s="2026">
        <v>0.96199999999999997</v>
      </c>
      <c r="U402" s="2028">
        <f t="shared" si="243"/>
        <v>5.544487E-2</v>
      </c>
      <c r="V402" s="2028">
        <f t="shared" si="243"/>
        <v>5.544487E-2</v>
      </c>
      <c r="W402" s="2028">
        <f t="shared" si="243"/>
        <v>5.544487E-2</v>
      </c>
      <c r="X402" s="2028">
        <f t="shared" si="243"/>
        <v>5.544487E-2</v>
      </c>
      <c r="Y402" s="2026">
        <v>0.96199999999999997</v>
      </c>
      <c r="Z402" s="2026">
        <v>0.96199999999999997</v>
      </c>
      <c r="AA402" s="2026">
        <v>0.96199999999999997</v>
      </c>
      <c r="AB402" s="2026">
        <v>0.96199999999999997</v>
      </c>
      <c r="AC402" s="2027">
        <f t="shared" si="244"/>
        <v>59.146549799999995</v>
      </c>
      <c r="AD402" s="2027">
        <f t="shared" si="244"/>
        <v>59.146549799999995</v>
      </c>
      <c r="AE402" s="2027">
        <f t="shared" si="244"/>
        <v>59.146549799999995</v>
      </c>
      <c r="AF402" s="2027">
        <f t="shared" si="244"/>
        <v>59.146549799999995</v>
      </c>
      <c r="AG402" s="2027">
        <v>75</v>
      </c>
      <c r="AH402" s="2027">
        <v>75</v>
      </c>
      <c r="AI402" s="2027">
        <v>75</v>
      </c>
      <c r="AJ402" s="2027">
        <v>70</v>
      </c>
      <c r="AK402" s="2027">
        <f t="shared" si="250"/>
        <v>44805.149999999994</v>
      </c>
      <c r="AL402" s="2027">
        <f t="shared" si="236"/>
        <v>44805.149999999994</v>
      </c>
      <c r="AM402" s="2027">
        <f t="shared" si="236"/>
        <v>44805.149999999994</v>
      </c>
      <c r="AN402" s="2027">
        <f t="shared" si="236"/>
        <v>41818.139999999992</v>
      </c>
      <c r="AO402" s="2027">
        <f t="shared" si="245"/>
        <v>4435.9912349999995</v>
      </c>
      <c r="AP402" s="2027">
        <f t="shared" si="237"/>
        <v>4435.9912349999995</v>
      </c>
      <c r="AQ402" s="2027">
        <f t="shared" si="237"/>
        <v>4435.9912349999995</v>
      </c>
      <c r="AR402" s="2027">
        <f t="shared" si="237"/>
        <v>4140.2584859999997</v>
      </c>
      <c r="AS402" s="2029">
        <f>DF402</f>
        <v>107.10000000000001</v>
      </c>
      <c r="AT402" s="2029">
        <f>DG402</f>
        <v>68.599999999999994</v>
      </c>
      <c r="AU402" s="2029">
        <f>$AT402</f>
        <v>68.599999999999994</v>
      </c>
      <c r="AV402" s="2029">
        <f>$AT402</f>
        <v>68.599999999999994</v>
      </c>
      <c r="AW402" s="2029">
        <f>CX402-AS402</f>
        <v>102.89999999999999</v>
      </c>
      <c r="AX402" s="2029">
        <f>CY402-DG402</f>
        <v>71.400000000000006</v>
      </c>
      <c r="AY402" s="2029">
        <f>$AX402</f>
        <v>71.400000000000006</v>
      </c>
      <c r="AZ402" s="2029">
        <f>$AX402</f>
        <v>71.400000000000006</v>
      </c>
      <c r="BA402" s="2029">
        <f t="shared" si="260"/>
        <v>175</v>
      </c>
      <c r="BB402" s="2029">
        <f t="shared" si="260"/>
        <v>175</v>
      </c>
      <c r="BC402" s="2029">
        <f t="shared" si="260"/>
        <v>175</v>
      </c>
      <c r="BD402" s="2029">
        <f t="shared" si="260"/>
        <v>175</v>
      </c>
      <c r="BE402" s="2030">
        <f t="shared" si="239"/>
        <v>8032.5000000000009</v>
      </c>
      <c r="BF402" s="2030">
        <f t="shared" si="239"/>
        <v>5145</v>
      </c>
      <c r="BG402" s="2030">
        <f t="shared" si="239"/>
        <v>5145</v>
      </c>
      <c r="BH402" s="2030">
        <f t="shared" si="239"/>
        <v>4802</v>
      </c>
      <c r="BI402" s="2030">
        <f t="shared" si="240"/>
        <v>7717.4999999999991</v>
      </c>
      <c r="BJ402" s="2030">
        <f t="shared" si="240"/>
        <v>5355</v>
      </c>
      <c r="BK402" s="2030">
        <f t="shared" si="240"/>
        <v>5355</v>
      </c>
      <c r="BL402" s="2030">
        <f t="shared" si="240"/>
        <v>4998</v>
      </c>
      <c r="BM402" s="2125"/>
      <c r="BN402" s="2125"/>
      <c r="BO402" s="2125"/>
      <c r="BP402" s="2125"/>
      <c r="BQ402" s="2125"/>
      <c r="BR402" s="2125"/>
      <c r="BS402" s="2125"/>
      <c r="BT402" s="2125"/>
      <c r="BU402" s="2029"/>
      <c r="BV402" s="2029"/>
      <c r="BW402" s="2029"/>
      <c r="BX402" s="2029"/>
      <c r="BY402" s="2029"/>
      <c r="BZ402" s="2032"/>
      <c r="CA402" s="1974">
        <f t="shared" si="259"/>
        <v>0</v>
      </c>
      <c r="CB402" s="1974">
        <f t="shared" si="259"/>
        <v>0</v>
      </c>
      <c r="CC402" s="1974">
        <f t="shared" si="259"/>
        <v>0</v>
      </c>
      <c r="CD402" s="1974">
        <f t="shared" si="259"/>
        <v>0</v>
      </c>
      <c r="CE402" s="1974">
        <f t="shared" si="259"/>
        <v>0</v>
      </c>
      <c r="CF402" s="2033">
        <v>1.8730061728619435E-4</v>
      </c>
      <c r="CG402" s="2026">
        <v>1.6549815164906673E-3</v>
      </c>
      <c r="CH402" s="2009">
        <f t="shared" si="259"/>
        <v>0</v>
      </c>
      <c r="CI402" s="2031">
        <f t="shared" si="259"/>
        <v>0</v>
      </c>
      <c r="CJ402" s="1974">
        <f t="shared" si="259"/>
        <v>0</v>
      </c>
      <c r="CK402" s="2031">
        <f t="shared" si="259"/>
        <v>0</v>
      </c>
      <c r="CL402" s="2026">
        <v>1</v>
      </c>
      <c r="CM402" s="2026">
        <v>1</v>
      </c>
      <c r="CN402" s="2026">
        <v>1</v>
      </c>
      <c r="CO402" s="2026">
        <v>1</v>
      </c>
      <c r="CP402" s="2035"/>
      <c r="CQ402" s="2036"/>
      <c r="CR402" s="2036"/>
      <c r="CS402" s="2036"/>
      <c r="CT402" s="2036"/>
      <c r="CU402" s="2036"/>
      <c r="CW402" s="1973">
        <v>0</v>
      </c>
      <c r="CX402" s="2037">
        <v>210</v>
      </c>
      <c r="CY402" s="2037">
        <v>140</v>
      </c>
      <c r="CZ402" s="2037">
        <v>140</v>
      </c>
      <c r="DA402" s="2037">
        <v>140</v>
      </c>
      <c r="DB402" s="2051">
        <v>0.51</v>
      </c>
      <c r="DC402" s="2062">
        <v>0.49</v>
      </c>
      <c r="DD402" s="2062">
        <v>0.49</v>
      </c>
      <c r="DE402" s="2062">
        <v>0.49</v>
      </c>
      <c r="DF402" s="2037">
        <f>DB402*CX402</f>
        <v>107.10000000000001</v>
      </c>
      <c r="DG402" s="2037">
        <f>DC402*CY402</f>
        <v>68.599999999999994</v>
      </c>
      <c r="DH402" s="2037">
        <f>DD402*CZ402</f>
        <v>68.599999999999994</v>
      </c>
      <c r="DI402" s="2037">
        <f>DE402*DA402</f>
        <v>68.599999999999994</v>
      </c>
      <c r="DJ402" s="1976">
        <v>105</v>
      </c>
      <c r="DK402" s="1973">
        <v>70</v>
      </c>
      <c r="DL402" s="1973">
        <v>70</v>
      </c>
      <c r="DM402" s="1973">
        <v>70</v>
      </c>
      <c r="DO402" s="1974">
        <v>10</v>
      </c>
      <c r="DP402" s="1974">
        <v>621</v>
      </c>
      <c r="DQ402" s="1974">
        <v>5.7634999999999999E-2</v>
      </c>
      <c r="DR402" s="1974">
        <v>61.482900000000001</v>
      </c>
      <c r="DS402" s="2029">
        <v>107.10000000000001</v>
      </c>
      <c r="DT402" s="2029">
        <v>68.599999999999994</v>
      </c>
      <c r="DU402" s="2029">
        <v>68.599999999999994</v>
      </c>
      <c r="DV402" s="2029">
        <v>68.599999999999994</v>
      </c>
      <c r="DW402" s="2029">
        <v>102.89999999999999</v>
      </c>
      <c r="DX402" s="2029">
        <v>71.400000000000006</v>
      </c>
      <c r="DY402" s="2029">
        <v>71.400000000000006</v>
      </c>
      <c r="DZ402" s="2029">
        <v>71.400000000000006</v>
      </c>
      <c r="EA402" s="2029">
        <v>175</v>
      </c>
      <c r="EB402" s="2029">
        <v>175</v>
      </c>
      <c r="EC402" s="2029">
        <v>175</v>
      </c>
      <c r="ED402" s="2029">
        <v>175</v>
      </c>
      <c r="EE402" s="2039">
        <f t="shared" si="253"/>
        <v>0</v>
      </c>
      <c r="EF402" s="2039">
        <f t="shared" si="253"/>
        <v>0</v>
      </c>
      <c r="EG402" s="2039">
        <f t="shared" si="253"/>
        <v>0</v>
      </c>
      <c r="EH402" s="2039">
        <f t="shared" si="252"/>
        <v>0</v>
      </c>
      <c r="EI402" s="2040">
        <f t="shared" si="233"/>
        <v>0</v>
      </c>
      <c r="EJ402" s="2040">
        <f t="shared" si="233"/>
        <v>0</v>
      </c>
      <c r="EK402" s="2040">
        <f t="shared" si="233"/>
        <v>0</v>
      </c>
      <c r="EL402" s="2040">
        <f t="shared" si="232"/>
        <v>0</v>
      </c>
      <c r="EM402" s="2040">
        <f t="shared" si="232"/>
        <v>0</v>
      </c>
      <c r="EN402" s="2040">
        <f t="shared" si="232"/>
        <v>0</v>
      </c>
      <c r="EO402" s="2040">
        <f t="shared" si="232"/>
        <v>0</v>
      </c>
      <c r="EP402" s="2040">
        <f t="shared" si="232"/>
        <v>0</v>
      </c>
      <c r="EQ402" s="2040">
        <f t="shared" si="232"/>
        <v>0</v>
      </c>
      <c r="ER402" s="2040">
        <f t="shared" si="261"/>
        <v>0</v>
      </c>
      <c r="ES402" s="2040">
        <f t="shared" si="261"/>
        <v>0</v>
      </c>
      <c r="ET402" s="2040">
        <f t="shared" si="261"/>
        <v>0</v>
      </c>
      <c r="EU402" s="2039">
        <f t="shared" si="254"/>
        <v>0</v>
      </c>
      <c r="EV402" s="2039">
        <f t="shared" si="255"/>
        <v>0</v>
      </c>
    </row>
    <row r="403" spans="1:152" x14ac:dyDescent="0.25">
      <c r="A403" s="2088" t="s">
        <v>176</v>
      </c>
      <c r="B403" s="2093" t="str">
        <f t="shared" si="234"/>
        <v/>
      </c>
      <c r="C403" s="1974">
        <f t="shared" si="258"/>
        <v>15</v>
      </c>
      <c r="D403" s="1974">
        <f t="shared" si="258"/>
        <v>0</v>
      </c>
      <c r="E403" s="1974">
        <f t="shared" si="258"/>
        <v>0</v>
      </c>
      <c r="F403" s="1974">
        <f t="shared" si="258"/>
        <v>1.6</v>
      </c>
      <c r="G403" s="1974" t="s">
        <v>2997</v>
      </c>
      <c r="H403" s="1974" t="s">
        <v>2997</v>
      </c>
      <c r="I403" s="2026">
        <v>0.96199999999999997</v>
      </c>
      <c r="J403" s="2026">
        <v>0.96199999999999997</v>
      </c>
      <c r="K403" s="2026">
        <v>0.96199999999999997</v>
      </c>
      <c r="L403" s="2026">
        <v>0.96199999999999997</v>
      </c>
      <c r="M403" s="2027">
        <f t="shared" si="242"/>
        <v>0</v>
      </c>
      <c r="N403" s="2027">
        <f t="shared" si="242"/>
        <v>0</v>
      </c>
      <c r="O403" s="2027">
        <f t="shared" si="242"/>
        <v>0</v>
      </c>
      <c r="P403" s="2027">
        <f t="shared" si="242"/>
        <v>0</v>
      </c>
      <c r="Q403" s="2026">
        <v>0.96199999999999997</v>
      </c>
      <c r="R403" s="2026">
        <v>0.96199999999999997</v>
      </c>
      <c r="S403" s="2026">
        <v>0.96199999999999997</v>
      </c>
      <c r="T403" s="2026">
        <v>0.96199999999999997</v>
      </c>
      <c r="U403" s="2028">
        <f t="shared" si="243"/>
        <v>0</v>
      </c>
      <c r="V403" s="2028">
        <f t="shared" si="243"/>
        <v>0</v>
      </c>
      <c r="W403" s="2028">
        <f t="shared" si="243"/>
        <v>0</v>
      </c>
      <c r="X403" s="2028">
        <f t="shared" si="243"/>
        <v>0</v>
      </c>
      <c r="Y403" s="2026">
        <v>0.96199999999999997</v>
      </c>
      <c r="Z403" s="2026">
        <v>0.96199999999999997</v>
      </c>
      <c r="AA403" s="2026">
        <v>0.96199999999999997</v>
      </c>
      <c r="AB403" s="2026">
        <v>0.96199999999999997</v>
      </c>
      <c r="AC403" s="2027">
        <f t="shared" si="244"/>
        <v>1.5392000000000001</v>
      </c>
      <c r="AD403" s="2027">
        <f t="shared" si="244"/>
        <v>1.5392000000000001</v>
      </c>
      <c r="AE403" s="2027">
        <f t="shared" si="244"/>
        <v>1.5392000000000001</v>
      </c>
      <c r="AF403" s="2027">
        <f t="shared" si="244"/>
        <v>1.5392000000000001</v>
      </c>
      <c r="AG403" s="2027">
        <v>0</v>
      </c>
      <c r="AH403" s="2028"/>
      <c r="AI403" s="2028"/>
      <c r="AJ403" s="2028"/>
      <c r="AK403" s="2027">
        <f t="shared" si="250"/>
        <v>0</v>
      </c>
      <c r="AL403" s="2027">
        <f t="shared" si="236"/>
        <v>0</v>
      </c>
      <c r="AM403" s="2027">
        <f t="shared" si="236"/>
        <v>0</v>
      </c>
      <c r="AN403" s="2027">
        <f t="shared" si="236"/>
        <v>0</v>
      </c>
      <c r="AO403" s="2027">
        <f t="shared" si="245"/>
        <v>0</v>
      </c>
      <c r="AP403" s="2027">
        <f t="shared" si="237"/>
        <v>0</v>
      </c>
      <c r="AQ403" s="2027">
        <f t="shared" si="237"/>
        <v>0</v>
      </c>
      <c r="AR403" s="2027">
        <f t="shared" si="237"/>
        <v>0</v>
      </c>
      <c r="AS403" s="2124">
        <f t="shared" ref="AS403:AS413" si="263">AS159*1.5</f>
        <v>0</v>
      </c>
      <c r="AT403" s="2029">
        <f t="shared" si="238"/>
        <v>0</v>
      </c>
      <c r="AU403" s="2029">
        <f t="shared" si="238"/>
        <v>0</v>
      </c>
      <c r="AV403" s="2029">
        <f t="shared" si="238"/>
        <v>0</v>
      </c>
      <c r="AW403" s="2124">
        <f t="shared" ref="AW403:AW442" si="264">AW159*1.3</f>
        <v>1.3</v>
      </c>
      <c r="AX403" s="2029">
        <f t="shared" si="257"/>
        <v>1.3</v>
      </c>
      <c r="AY403" s="2029">
        <f t="shared" si="257"/>
        <v>1.3</v>
      </c>
      <c r="AZ403" s="2029">
        <f t="shared" si="257"/>
        <v>1.3</v>
      </c>
      <c r="BA403" s="2124">
        <f t="shared" si="260"/>
        <v>13.97</v>
      </c>
      <c r="BB403" s="2029">
        <f t="shared" si="260"/>
        <v>13.97</v>
      </c>
      <c r="BC403" s="2029">
        <f t="shared" si="260"/>
        <v>13.97</v>
      </c>
      <c r="BD403" s="2029">
        <f t="shared" si="260"/>
        <v>13.97</v>
      </c>
      <c r="BE403" s="2030">
        <f t="shared" si="239"/>
        <v>0</v>
      </c>
      <c r="BF403" s="2030">
        <f t="shared" si="239"/>
        <v>0</v>
      </c>
      <c r="BG403" s="2030">
        <f t="shared" si="239"/>
        <v>0</v>
      </c>
      <c r="BH403" s="2030">
        <f t="shared" si="239"/>
        <v>0</v>
      </c>
      <c r="BI403" s="2030">
        <f t="shared" si="240"/>
        <v>0</v>
      </c>
      <c r="BJ403" s="2030">
        <f t="shared" si="240"/>
        <v>0</v>
      </c>
      <c r="BK403" s="2030">
        <f t="shared" si="240"/>
        <v>0</v>
      </c>
      <c r="BL403" s="2030">
        <f t="shared" si="240"/>
        <v>0</v>
      </c>
      <c r="BM403" s="2125"/>
      <c r="BN403" s="2125"/>
      <c r="BO403" s="2125"/>
      <c r="BP403" s="2125"/>
      <c r="BQ403" s="2125"/>
      <c r="BR403" s="2125"/>
      <c r="BS403" s="2125"/>
      <c r="BT403" s="2125"/>
      <c r="BU403" s="2029"/>
      <c r="BV403" s="2029"/>
      <c r="BW403" s="2029"/>
      <c r="BX403" s="2029"/>
      <c r="BY403" s="2029"/>
      <c r="BZ403" s="2032"/>
      <c r="CA403" s="1974">
        <f t="shared" si="259"/>
        <v>0</v>
      </c>
      <c r="CB403" s="1974">
        <f t="shared" si="259"/>
        <v>0</v>
      </c>
      <c r="CC403" s="1974">
        <f t="shared" si="259"/>
        <v>0</v>
      </c>
      <c r="CD403" s="1974">
        <f t="shared" si="259"/>
        <v>0</v>
      </c>
      <c r="CE403" s="1974">
        <f t="shared" si="259"/>
        <v>0</v>
      </c>
      <c r="CF403" s="2033">
        <v>0</v>
      </c>
      <c r="CG403" s="2026">
        <v>0</v>
      </c>
      <c r="CH403" s="2009">
        <f t="shared" si="259"/>
        <v>0</v>
      </c>
      <c r="CI403" s="2031">
        <f t="shared" si="259"/>
        <v>0</v>
      </c>
      <c r="CJ403" s="1974">
        <f t="shared" si="259"/>
        <v>0</v>
      </c>
      <c r="CK403" s="2031">
        <f t="shared" si="259"/>
        <v>0</v>
      </c>
      <c r="CL403" s="2026">
        <v>1</v>
      </c>
      <c r="CM403" s="2026">
        <v>1</v>
      </c>
      <c r="CN403" s="2026">
        <v>1</v>
      </c>
      <c r="CO403" s="2026">
        <v>1</v>
      </c>
      <c r="CP403" s="2035"/>
      <c r="CQ403" s="2036"/>
      <c r="CR403" s="2036"/>
      <c r="CS403" s="2036"/>
      <c r="CT403" s="2036"/>
      <c r="CU403" s="2036"/>
      <c r="CW403" s="1973">
        <v>0</v>
      </c>
      <c r="CX403" s="2037">
        <v>1.3</v>
      </c>
      <c r="CY403" s="2037">
        <v>1.3</v>
      </c>
      <c r="CZ403" s="2037">
        <v>1.3</v>
      </c>
      <c r="DA403" s="2037">
        <v>1.3</v>
      </c>
      <c r="DJ403" s="1976">
        <v>0</v>
      </c>
      <c r="DK403" s="1973">
        <v>0</v>
      </c>
      <c r="DL403" s="1973">
        <v>0</v>
      </c>
      <c r="DM403" s="1973">
        <v>0</v>
      </c>
      <c r="DO403" s="1974">
        <v>15</v>
      </c>
      <c r="DP403" s="1974">
        <v>0</v>
      </c>
      <c r="DQ403" s="1974">
        <v>0</v>
      </c>
      <c r="DR403" s="1974">
        <v>1.6</v>
      </c>
      <c r="DS403" s="2124">
        <v>0</v>
      </c>
      <c r="DT403" s="2029">
        <v>0</v>
      </c>
      <c r="DU403" s="2029">
        <v>0</v>
      </c>
      <c r="DV403" s="2029">
        <v>0</v>
      </c>
      <c r="DW403" s="2124">
        <v>1.3</v>
      </c>
      <c r="DX403" s="2029">
        <v>1.3</v>
      </c>
      <c r="DY403" s="2029">
        <v>1.3</v>
      </c>
      <c r="DZ403" s="2029">
        <v>1.3</v>
      </c>
      <c r="EA403" s="2124">
        <v>13.97</v>
      </c>
      <c r="EB403" s="2029">
        <v>13.97</v>
      </c>
      <c r="EC403" s="2029">
        <v>13.97</v>
      </c>
      <c r="ED403" s="2029">
        <v>13.97</v>
      </c>
      <c r="EE403" s="2039">
        <f t="shared" si="253"/>
        <v>0</v>
      </c>
      <c r="EF403" s="2039">
        <f t="shared" si="253"/>
        <v>0</v>
      </c>
      <c r="EG403" s="2039">
        <f t="shared" si="253"/>
        <v>0</v>
      </c>
      <c r="EH403" s="2039">
        <f t="shared" si="252"/>
        <v>0</v>
      </c>
      <c r="EI403" s="2040">
        <f t="shared" si="233"/>
        <v>0</v>
      </c>
      <c r="EJ403" s="2040">
        <f t="shared" si="233"/>
        <v>0</v>
      </c>
      <c r="EK403" s="2040">
        <f t="shared" si="233"/>
        <v>0</v>
      </c>
      <c r="EL403" s="2040">
        <f t="shared" si="232"/>
        <v>0</v>
      </c>
      <c r="EM403" s="2040">
        <f t="shared" si="232"/>
        <v>0</v>
      </c>
      <c r="EN403" s="2040">
        <f t="shared" si="232"/>
        <v>0</v>
      </c>
      <c r="EO403" s="2040">
        <f t="shared" si="232"/>
        <v>0</v>
      </c>
      <c r="EP403" s="2040">
        <f t="shared" si="232"/>
        <v>0</v>
      </c>
      <c r="EQ403" s="2040">
        <f t="shared" si="232"/>
        <v>0</v>
      </c>
      <c r="ER403" s="2040">
        <f t="shared" si="261"/>
        <v>0</v>
      </c>
      <c r="ES403" s="2040">
        <f t="shared" si="261"/>
        <v>0</v>
      </c>
      <c r="ET403" s="2040">
        <f t="shared" si="261"/>
        <v>0</v>
      </c>
      <c r="EU403" s="2039">
        <f t="shared" si="254"/>
        <v>0</v>
      </c>
      <c r="EV403" s="2039">
        <f t="shared" si="255"/>
        <v>0</v>
      </c>
    </row>
    <row r="404" spans="1:152" x14ac:dyDescent="0.25">
      <c r="A404" s="2088" t="s">
        <v>258</v>
      </c>
      <c r="B404" s="2093" t="str">
        <f t="shared" si="234"/>
        <v/>
      </c>
      <c r="C404" s="1974">
        <f t="shared" si="258"/>
        <v>15</v>
      </c>
      <c r="D404" s="1974">
        <f t="shared" si="258"/>
        <v>0</v>
      </c>
      <c r="E404" s="1974">
        <f t="shared" si="258"/>
        <v>0</v>
      </c>
      <c r="F404" s="1974">
        <f t="shared" si="258"/>
        <v>0.12</v>
      </c>
      <c r="G404" s="1974" t="s">
        <v>2997</v>
      </c>
      <c r="H404" s="1974" t="s">
        <v>2997</v>
      </c>
      <c r="I404" s="2026">
        <v>0.96199999999999997</v>
      </c>
      <c r="J404" s="2026">
        <v>0.96199999999999997</v>
      </c>
      <c r="K404" s="2026">
        <v>0.96199999999999997</v>
      </c>
      <c r="L404" s="2026">
        <v>0.96199999999999997</v>
      </c>
      <c r="M404" s="2027">
        <f t="shared" si="242"/>
        <v>0</v>
      </c>
      <c r="N404" s="2027">
        <f t="shared" si="242"/>
        <v>0</v>
      </c>
      <c r="O404" s="2027">
        <f t="shared" si="242"/>
        <v>0</v>
      </c>
      <c r="P404" s="2027">
        <f t="shared" si="242"/>
        <v>0</v>
      </c>
      <c r="Q404" s="2026">
        <v>0.96199999999999997</v>
      </c>
      <c r="R404" s="2026">
        <v>0.96199999999999997</v>
      </c>
      <c r="S404" s="2026">
        <v>0.96199999999999997</v>
      </c>
      <c r="T404" s="2026">
        <v>0.96199999999999997</v>
      </c>
      <c r="U404" s="2028">
        <f t="shared" si="243"/>
        <v>0</v>
      </c>
      <c r="V404" s="2028">
        <f t="shared" si="243"/>
        <v>0</v>
      </c>
      <c r="W404" s="2028">
        <f t="shared" si="243"/>
        <v>0</v>
      </c>
      <c r="X404" s="2028">
        <f t="shared" si="243"/>
        <v>0</v>
      </c>
      <c r="Y404" s="2026">
        <v>0.96199999999999997</v>
      </c>
      <c r="Z404" s="2026">
        <v>0.96199999999999997</v>
      </c>
      <c r="AA404" s="2026">
        <v>0.96199999999999997</v>
      </c>
      <c r="AB404" s="2026">
        <v>0.96199999999999997</v>
      </c>
      <c r="AC404" s="2027">
        <f t="shared" si="244"/>
        <v>0.11543999999999999</v>
      </c>
      <c r="AD404" s="2027">
        <f t="shared" si="244"/>
        <v>0.11543999999999999</v>
      </c>
      <c r="AE404" s="2027">
        <f t="shared" si="244"/>
        <v>0.11543999999999999</v>
      </c>
      <c r="AF404" s="2027">
        <f t="shared" si="244"/>
        <v>0.11543999999999999</v>
      </c>
      <c r="AG404" s="2027">
        <v>0</v>
      </c>
      <c r="AH404" s="2028"/>
      <c r="AI404" s="2028"/>
      <c r="AJ404" s="2028"/>
      <c r="AK404" s="2027">
        <f t="shared" si="250"/>
        <v>0</v>
      </c>
      <c r="AL404" s="2027">
        <f t="shared" si="236"/>
        <v>0</v>
      </c>
      <c r="AM404" s="2027">
        <f t="shared" si="236"/>
        <v>0</v>
      </c>
      <c r="AN404" s="2027">
        <f t="shared" si="236"/>
        <v>0</v>
      </c>
      <c r="AO404" s="2027">
        <f t="shared" si="245"/>
        <v>0</v>
      </c>
      <c r="AP404" s="2027">
        <f t="shared" si="237"/>
        <v>0</v>
      </c>
      <c r="AQ404" s="2027">
        <f t="shared" si="237"/>
        <v>0</v>
      </c>
      <c r="AR404" s="2027">
        <f t="shared" si="237"/>
        <v>0</v>
      </c>
      <c r="AS404" s="2124">
        <f t="shared" si="263"/>
        <v>0</v>
      </c>
      <c r="AT404" s="2029">
        <f t="shared" si="238"/>
        <v>0</v>
      </c>
      <c r="AU404" s="2029">
        <f t="shared" si="238"/>
        <v>0</v>
      </c>
      <c r="AV404" s="2029">
        <f t="shared" si="238"/>
        <v>0</v>
      </c>
      <c r="AW404" s="2124">
        <f t="shared" si="264"/>
        <v>0.13</v>
      </c>
      <c r="AX404" s="2029">
        <f t="shared" si="257"/>
        <v>0.13</v>
      </c>
      <c r="AY404" s="2029">
        <f t="shared" si="257"/>
        <v>0.13</v>
      </c>
      <c r="AZ404" s="2029">
        <f t="shared" si="257"/>
        <v>0.13</v>
      </c>
      <c r="BA404" s="2124">
        <f t="shared" si="260"/>
        <v>4.1500000000000004</v>
      </c>
      <c r="BB404" s="2029">
        <f t="shared" si="260"/>
        <v>4.1500000000000004</v>
      </c>
      <c r="BC404" s="2029">
        <f t="shared" si="260"/>
        <v>4.1500000000000004</v>
      </c>
      <c r="BD404" s="2029">
        <f t="shared" si="260"/>
        <v>4.1500000000000004</v>
      </c>
      <c r="BE404" s="2030">
        <f t="shared" si="239"/>
        <v>0</v>
      </c>
      <c r="BF404" s="2030">
        <f t="shared" si="239"/>
        <v>0</v>
      </c>
      <c r="BG404" s="2030">
        <f t="shared" si="239"/>
        <v>0</v>
      </c>
      <c r="BH404" s="2030">
        <f t="shared" si="239"/>
        <v>0</v>
      </c>
      <c r="BI404" s="2030">
        <f t="shared" si="240"/>
        <v>0</v>
      </c>
      <c r="BJ404" s="2030">
        <f t="shared" si="240"/>
        <v>0</v>
      </c>
      <c r="BK404" s="2030">
        <f t="shared" si="240"/>
        <v>0</v>
      </c>
      <c r="BL404" s="2030">
        <f t="shared" si="240"/>
        <v>0</v>
      </c>
      <c r="BM404" s="2125"/>
      <c r="BN404" s="2125"/>
      <c r="BO404" s="2125"/>
      <c r="BP404" s="2125"/>
      <c r="BQ404" s="2125"/>
      <c r="BR404" s="2125"/>
      <c r="BS404" s="2125"/>
      <c r="BT404" s="2125"/>
      <c r="BU404" s="2029"/>
      <c r="BV404" s="2029"/>
      <c r="BW404" s="2029"/>
      <c r="BX404" s="2029"/>
      <c r="BY404" s="2029"/>
      <c r="BZ404" s="2032"/>
      <c r="CA404" s="1974">
        <f t="shared" si="259"/>
        <v>0</v>
      </c>
      <c r="CB404" s="1974">
        <f t="shared" si="259"/>
        <v>0</v>
      </c>
      <c r="CC404" s="1974">
        <f t="shared" si="259"/>
        <v>0</v>
      </c>
      <c r="CD404" s="1974">
        <f t="shared" si="259"/>
        <v>0</v>
      </c>
      <c r="CE404" s="1974">
        <f t="shared" si="259"/>
        <v>0</v>
      </c>
      <c r="CF404" s="2033">
        <v>0</v>
      </c>
      <c r="CG404" s="2026">
        <v>0</v>
      </c>
      <c r="CH404" s="2009">
        <f t="shared" si="259"/>
        <v>0</v>
      </c>
      <c r="CI404" s="2031">
        <f t="shared" si="259"/>
        <v>0</v>
      </c>
      <c r="CJ404" s="1974">
        <f t="shared" si="259"/>
        <v>0</v>
      </c>
      <c r="CK404" s="2031">
        <f t="shared" si="259"/>
        <v>0</v>
      </c>
      <c r="CL404" s="2026">
        <v>1</v>
      </c>
      <c r="CM404" s="2026">
        <v>1</v>
      </c>
      <c r="CN404" s="2026">
        <v>1</v>
      </c>
      <c r="CO404" s="2026">
        <v>1</v>
      </c>
      <c r="CP404" s="2035"/>
      <c r="CQ404" s="2036"/>
      <c r="CR404" s="2036"/>
      <c r="CS404" s="2036"/>
      <c r="CT404" s="2036"/>
      <c r="CU404" s="2036"/>
      <c r="CW404" s="1973">
        <v>0</v>
      </c>
      <c r="CX404" s="2037">
        <v>0.13</v>
      </c>
      <c r="CY404" s="2037">
        <v>0.13</v>
      </c>
      <c r="CZ404" s="2037">
        <v>0.13</v>
      </c>
      <c r="DA404" s="2037">
        <v>0.13</v>
      </c>
      <c r="DJ404" s="1976">
        <v>0</v>
      </c>
      <c r="DK404" s="1973">
        <v>0</v>
      </c>
      <c r="DL404" s="1973">
        <v>0</v>
      </c>
      <c r="DM404" s="1973">
        <v>0</v>
      </c>
      <c r="DO404" s="1974">
        <v>15</v>
      </c>
      <c r="DP404" s="1974">
        <v>0</v>
      </c>
      <c r="DQ404" s="1974">
        <v>0</v>
      </c>
      <c r="DR404" s="1974">
        <v>0.12</v>
      </c>
      <c r="DS404" s="2124">
        <v>0</v>
      </c>
      <c r="DT404" s="2029">
        <v>0</v>
      </c>
      <c r="DU404" s="2029">
        <v>0</v>
      </c>
      <c r="DV404" s="2029">
        <v>0</v>
      </c>
      <c r="DW404" s="2124">
        <v>0.13</v>
      </c>
      <c r="DX404" s="2029">
        <v>0.13</v>
      </c>
      <c r="DY404" s="2029">
        <v>0.13</v>
      </c>
      <c r="DZ404" s="2029">
        <v>0.13</v>
      </c>
      <c r="EA404" s="2124">
        <v>4.1500000000000004</v>
      </c>
      <c r="EB404" s="2029">
        <v>4.1500000000000004</v>
      </c>
      <c r="EC404" s="2029">
        <v>4.1500000000000004</v>
      </c>
      <c r="ED404" s="2029">
        <v>4.1500000000000004</v>
      </c>
      <c r="EE404" s="2039">
        <f t="shared" si="253"/>
        <v>0</v>
      </c>
      <c r="EF404" s="2039">
        <f t="shared" si="253"/>
        <v>0</v>
      </c>
      <c r="EG404" s="2039">
        <f t="shared" si="253"/>
        <v>0</v>
      </c>
      <c r="EH404" s="2039">
        <f t="shared" si="252"/>
        <v>0</v>
      </c>
      <c r="EI404" s="2040">
        <f t="shared" si="233"/>
        <v>0</v>
      </c>
      <c r="EJ404" s="2040">
        <f t="shared" si="233"/>
        <v>0</v>
      </c>
      <c r="EK404" s="2040">
        <f t="shared" si="233"/>
        <v>0</v>
      </c>
      <c r="EL404" s="2040">
        <f t="shared" si="232"/>
        <v>0</v>
      </c>
      <c r="EM404" s="2040">
        <f t="shared" si="232"/>
        <v>0</v>
      </c>
      <c r="EN404" s="2040">
        <f t="shared" si="232"/>
        <v>0</v>
      </c>
      <c r="EO404" s="2040">
        <f t="shared" si="232"/>
        <v>0</v>
      </c>
      <c r="EP404" s="2040">
        <f t="shared" si="232"/>
        <v>0</v>
      </c>
      <c r="EQ404" s="2040">
        <f t="shared" si="232"/>
        <v>0</v>
      </c>
      <c r="ER404" s="2040">
        <f t="shared" si="261"/>
        <v>0</v>
      </c>
      <c r="ES404" s="2040">
        <f t="shared" si="261"/>
        <v>0</v>
      </c>
      <c r="ET404" s="2040">
        <f t="shared" si="261"/>
        <v>0</v>
      </c>
      <c r="EU404" s="2039">
        <f t="shared" si="254"/>
        <v>0</v>
      </c>
      <c r="EV404" s="2039">
        <f t="shared" si="255"/>
        <v>0</v>
      </c>
    </row>
    <row r="405" spans="1:152" x14ac:dyDescent="0.25">
      <c r="A405" s="2088" t="s">
        <v>177</v>
      </c>
      <c r="B405" s="2093" t="str">
        <f t="shared" si="234"/>
        <v/>
      </c>
      <c r="C405" s="1974">
        <f t="shared" si="258"/>
        <v>15</v>
      </c>
      <c r="D405" s="1974">
        <f t="shared" si="258"/>
        <v>110019</v>
      </c>
      <c r="E405" s="1974">
        <f t="shared" si="258"/>
        <v>11.2379</v>
      </c>
      <c r="F405" s="1974">
        <f t="shared" si="258"/>
        <v>0</v>
      </c>
      <c r="G405" s="1974" t="s">
        <v>2997</v>
      </c>
      <c r="H405" s="1974" t="s">
        <v>2997</v>
      </c>
      <c r="I405" s="2026">
        <v>0.96199999999999997</v>
      </c>
      <c r="J405" s="2026">
        <v>0.96199999999999997</v>
      </c>
      <c r="K405" s="2026">
        <v>0.96199999999999997</v>
      </c>
      <c r="L405" s="2026">
        <v>0.96199999999999997</v>
      </c>
      <c r="M405" s="2027">
        <f t="shared" si="242"/>
        <v>105838.27799999999</v>
      </c>
      <c r="N405" s="2027">
        <f t="shared" si="242"/>
        <v>105838.27799999999</v>
      </c>
      <c r="O405" s="2027">
        <f t="shared" si="242"/>
        <v>105838.27799999999</v>
      </c>
      <c r="P405" s="2027">
        <f t="shared" si="242"/>
        <v>105838.27799999999</v>
      </c>
      <c r="Q405" s="2026">
        <v>0.96199999999999997</v>
      </c>
      <c r="R405" s="2026">
        <v>0.96199999999999997</v>
      </c>
      <c r="S405" s="2026">
        <v>0.96199999999999997</v>
      </c>
      <c r="T405" s="2026">
        <v>0.96199999999999997</v>
      </c>
      <c r="U405" s="2028">
        <f t="shared" si="243"/>
        <v>10.810859799999999</v>
      </c>
      <c r="V405" s="2028">
        <f t="shared" si="243"/>
        <v>10.810859799999999</v>
      </c>
      <c r="W405" s="2028">
        <f t="shared" si="243"/>
        <v>10.810859799999999</v>
      </c>
      <c r="X405" s="2028">
        <f t="shared" si="243"/>
        <v>10.810859799999999</v>
      </c>
      <c r="Y405" s="2026">
        <v>0.96199999999999997</v>
      </c>
      <c r="Z405" s="2026">
        <v>0.96199999999999997</v>
      </c>
      <c r="AA405" s="2026">
        <v>0.96199999999999997</v>
      </c>
      <c r="AB405" s="2026">
        <v>0.96199999999999997</v>
      </c>
      <c r="AC405" s="2027">
        <f t="shared" si="244"/>
        <v>0</v>
      </c>
      <c r="AD405" s="2027">
        <f t="shared" si="244"/>
        <v>0</v>
      </c>
      <c r="AE405" s="2027">
        <f t="shared" si="244"/>
        <v>0</v>
      </c>
      <c r="AF405" s="2027">
        <f t="shared" si="244"/>
        <v>0</v>
      </c>
      <c r="AG405" s="2027">
        <v>0</v>
      </c>
      <c r="AH405" s="2028"/>
      <c r="AI405" s="2028"/>
      <c r="AJ405" s="2028"/>
      <c r="AK405" s="2027">
        <f t="shared" si="250"/>
        <v>0</v>
      </c>
      <c r="AL405" s="2027">
        <f t="shared" si="236"/>
        <v>0</v>
      </c>
      <c r="AM405" s="2027">
        <f t="shared" si="236"/>
        <v>0</v>
      </c>
      <c r="AN405" s="2027">
        <f t="shared" si="236"/>
        <v>0</v>
      </c>
      <c r="AO405" s="2027">
        <f t="shared" si="245"/>
        <v>0</v>
      </c>
      <c r="AP405" s="2027">
        <f t="shared" si="237"/>
        <v>0</v>
      </c>
      <c r="AQ405" s="2027">
        <f t="shared" si="237"/>
        <v>0</v>
      </c>
      <c r="AR405" s="2027">
        <f t="shared" si="237"/>
        <v>0</v>
      </c>
      <c r="AS405" s="2124">
        <f t="shared" si="263"/>
        <v>1500</v>
      </c>
      <c r="AT405" s="2029">
        <f t="shared" si="238"/>
        <v>1500</v>
      </c>
      <c r="AU405" s="2029">
        <f t="shared" si="238"/>
        <v>1500</v>
      </c>
      <c r="AV405" s="2029">
        <f t="shared" si="238"/>
        <v>1500</v>
      </c>
      <c r="AW405" s="2124">
        <f t="shared" si="264"/>
        <v>0</v>
      </c>
      <c r="AX405" s="2029">
        <f t="shared" si="257"/>
        <v>0</v>
      </c>
      <c r="AY405" s="2029">
        <f t="shared" si="257"/>
        <v>0</v>
      </c>
      <c r="AZ405" s="2029">
        <f t="shared" si="257"/>
        <v>0</v>
      </c>
      <c r="BA405" s="2124">
        <f t="shared" si="260"/>
        <v>10200</v>
      </c>
      <c r="BB405" s="2029">
        <f t="shared" si="260"/>
        <v>10200</v>
      </c>
      <c r="BC405" s="2029">
        <f t="shared" si="260"/>
        <v>10200</v>
      </c>
      <c r="BD405" s="2029">
        <f t="shared" si="260"/>
        <v>10200</v>
      </c>
      <c r="BE405" s="2030">
        <f t="shared" si="239"/>
        <v>0</v>
      </c>
      <c r="BF405" s="2030">
        <f t="shared" si="239"/>
        <v>0</v>
      </c>
      <c r="BG405" s="2030">
        <f t="shared" si="239"/>
        <v>0</v>
      </c>
      <c r="BH405" s="2030">
        <f t="shared" si="239"/>
        <v>0</v>
      </c>
      <c r="BI405" s="2030">
        <f t="shared" si="240"/>
        <v>0</v>
      </c>
      <c r="BJ405" s="2030">
        <f t="shared" si="240"/>
        <v>0</v>
      </c>
      <c r="BK405" s="2030">
        <f t="shared" si="240"/>
        <v>0</v>
      </c>
      <c r="BL405" s="2030">
        <f t="shared" si="240"/>
        <v>0</v>
      </c>
      <c r="BM405" s="2125"/>
      <c r="BN405" s="2125"/>
      <c r="BO405" s="2125"/>
      <c r="BP405" s="2125"/>
      <c r="BQ405" s="2125"/>
      <c r="BR405" s="2125"/>
      <c r="BS405" s="2125"/>
      <c r="BT405" s="2125"/>
      <c r="BU405" s="2029"/>
      <c r="BV405" s="2029"/>
      <c r="BW405" s="2029"/>
      <c r="BX405" s="2029"/>
      <c r="BY405" s="2029"/>
      <c r="BZ405" s="2032"/>
      <c r="CA405" s="1974">
        <f t="shared" si="259"/>
        <v>0</v>
      </c>
      <c r="CB405" s="1974">
        <f t="shared" si="259"/>
        <v>0</v>
      </c>
      <c r="CC405" s="1974">
        <f t="shared" si="259"/>
        <v>0</v>
      </c>
      <c r="CD405" s="1974">
        <f t="shared" si="259"/>
        <v>0</v>
      </c>
      <c r="CE405" s="1974">
        <f t="shared" si="259"/>
        <v>0</v>
      </c>
      <c r="CF405" s="2033">
        <v>0</v>
      </c>
      <c r="CG405" s="2026">
        <v>0</v>
      </c>
      <c r="CH405" s="2009">
        <f t="shared" si="259"/>
        <v>0</v>
      </c>
      <c r="CI405" s="2031">
        <f t="shared" si="259"/>
        <v>0</v>
      </c>
      <c r="CJ405" s="1974">
        <f t="shared" si="259"/>
        <v>0</v>
      </c>
      <c r="CK405" s="2031">
        <f t="shared" si="259"/>
        <v>0</v>
      </c>
      <c r="CL405" s="2026">
        <v>1</v>
      </c>
      <c r="CM405" s="2026">
        <v>1</v>
      </c>
      <c r="CN405" s="2026">
        <v>1</v>
      </c>
      <c r="CO405" s="2026">
        <v>1</v>
      </c>
      <c r="CP405" s="2035"/>
      <c r="CQ405" s="2036"/>
      <c r="CR405" s="2036"/>
      <c r="CS405" s="2036"/>
      <c r="CT405" s="2036"/>
      <c r="CU405" s="2036"/>
      <c r="CW405" s="1973">
        <v>0</v>
      </c>
      <c r="CX405" s="2037">
        <v>1500</v>
      </c>
      <c r="CY405" s="2037">
        <v>1500</v>
      </c>
      <c r="CZ405" s="2037">
        <v>1500</v>
      </c>
      <c r="DA405" s="2037">
        <v>1500</v>
      </c>
      <c r="DJ405" s="1976">
        <v>1500</v>
      </c>
      <c r="DK405" s="1973">
        <v>1500</v>
      </c>
      <c r="DL405" s="1973">
        <v>1500</v>
      </c>
      <c r="DM405" s="1973">
        <v>1500</v>
      </c>
      <c r="DO405" s="1974">
        <v>15</v>
      </c>
      <c r="DP405" s="1974">
        <v>110019</v>
      </c>
      <c r="DQ405" s="1974">
        <v>11.2379</v>
      </c>
      <c r="DR405" s="1974">
        <v>0</v>
      </c>
      <c r="DS405" s="2124">
        <v>1500</v>
      </c>
      <c r="DT405" s="2029">
        <v>1500</v>
      </c>
      <c r="DU405" s="2029">
        <v>1500</v>
      </c>
      <c r="DV405" s="2029">
        <v>1500</v>
      </c>
      <c r="DW405" s="2124">
        <v>0</v>
      </c>
      <c r="DX405" s="2029">
        <v>0</v>
      </c>
      <c r="DY405" s="2029">
        <v>0</v>
      </c>
      <c r="DZ405" s="2029">
        <v>0</v>
      </c>
      <c r="EA405" s="2124">
        <v>10200</v>
      </c>
      <c r="EB405" s="2029">
        <v>10200</v>
      </c>
      <c r="EC405" s="2029">
        <v>10200</v>
      </c>
      <c r="ED405" s="2029">
        <v>10200</v>
      </c>
      <c r="EE405" s="2039">
        <f t="shared" si="253"/>
        <v>0</v>
      </c>
      <c r="EF405" s="2039">
        <f t="shared" si="253"/>
        <v>0</v>
      </c>
      <c r="EG405" s="2039">
        <f t="shared" si="253"/>
        <v>0</v>
      </c>
      <c r="EH405" s="2039">
        <f t="shared" si="252"/>
        <v>0</v>
      </c>
      <c r="EI405" s="2040">
        <f t="shared" si="233"/>
        <v>0</v>
      </c>
      <c r="EJ405" s="2040">
        <f t="shared" si="233"/>
        <v>0</v>
      </c>
      <c r="EK405" s="2040">
        <f t="shared" si="233"/>
        <v>0</v>
      </c>
      <c r="EL405" s="2040">
        <f t="shared" si="232"/>
        <v>0</v>
      </c>
      <c r="EM405" s="2040">
        <f t="shared" si="232"/>
        <v>0</v>
      </c>
      <c r="EN405" s="2040">
        <f t="shared" si="232"/>
        <v>0</v>
      </c>
      <c r="EO405" s="2040">
        <f t="shared" si="232"/>
        <v>0</v>
      </c>
      <c r="EP405" s="2040">
        <f t="shared" si="232"/>
        <v>0</v>
      </c>
      <c r="EQ405" s="2040">
        <f t="shared" si="232"/>
        <v>0</v>
      </c>
      <c r="ER405" s="2040">
        <f t="shared" si="261"/>
        <v>0</v>
      </c>
      <c r="ES405" s="2040">
        <f t="shared" si="261"/>
        <v>0</v>
      </c>
      <c r="ET405" s="2040">
        <f t="shared" si="261"/>
        <v>0</v>
      </c>
      <c r="EU405" s="2039">
        <f t="shared" si="254"/>
        <v>0</v>
      </c>
      <c r="EV405" s="2039">
        <f t="shared" si="255"/>
        <v>0</v>
      </c>
    </row>
    <row r="406" spans="1:152" x14ac:dyDescent="0.25">
      <c r="A406" s="2088" t="s">
        <v>178</v>
      </c>
      <c r="B406" s="2093" t="str">
        <f t="shared" si="234"/>
        <v/>
      </c>
      <c r="C406" s="1974">
        <f t="shared" si="258"/>
        <v>13</v>
      </c>
      <c r="D406" s="1974">
        <f t="shared" si="258"/>
        <v>6.83</v>
      </c>
      <c r="E406" s="1974">
        <f t="shared" si="258"/>
        <v>1.137E-3</v>
      </c>
      <c r="F406" s="1974">
        <f t="shared" si="258"/>
        <v>0</v>
      </c>
      <c r="G406" s="1974" t="s">
        <v>2997</v>
      </c>
      <c r="H406" s="1974" t="s">
        <v>2997</v>
      </c>
      <c r="I406" s="2026">
        <v>0.96199999999999997</v>
      </c>
      <c r="J406" s="2026">
        <v>0.96199999999999997</v>
      </c>
      <c r="K406" s="2026">
        <v>0.96199999999999997</v>
      </c>
      <c r="L406" s="2026">
        <v>0.96199999999999997</v>
      </c>
      <c r="M406" s="2027">
        <f t="shared" si="242"/>
        <v>6.5704599999999997</v>
      </c>
      <c r="N406" s="2027">
        <f t="shared" si="242"/>
        <v>6.5704599999999997</v>
      </c>
      <c r="O406" s="2027">
        <f t="shared" si="242"/>
        <v>6.5704599999999997</v>
      </c>
      <c r="P406" s="2027">
        <f t="shared" si="242"/>
        <v>6.5704599999999997</v>
      </c>
      <c r="Q406" s="2026">
        <v>0.96199999999999997</v>
      </c>
      <c r="R406" s="2026">
        <v>0.96199999999999997</v>
      </c>
      <c r="S406" s="2026">
        <v>0.96199999999999997</v>
      </c>
      <c r="T406" s="2026">
        <v>0.96199999999999997</v>
      </c>
      <c r="U406" s="2028">
        <f t="shared" si="243"/>
        <v>1.0937939999999999E-3</v>
      </c>
      <c r="V406" s="2028">
        <f t="shared" si="243"/>
        <v>1.0937939999999999E-3</v>
      </c>
      <c r="W406" s="2028">
        <f t="shared" si="243"/>
        <v>1.0937939999999999E-3</v>
      </c>
      <c r="X406" s="2028">
        <f t="shared" si="243"/>
        <v>1.0937939999999999E-3</v>
      </c>
      <c r="Y406" s="2026">
        <v>0.96199999999999997</v>
      </c>
      <c r="Z406" s="2026">
        <v>0.96199999999999997</v>
      </c>
      <c r="AA406" s="2026">
        <v>0.96199999999999997</v>
      </c>
      <c r="AB406" s="2026">
        <v>0.96199999999999997</v>
      </c>
      <c r="AC406" s="2027">
        <f t="shared" si="244"/>
        <v>0</v>
      </c>
      <c r="AD406" s="2027">
        <f t="shared" si="244"/>
        <v>0</v>
      </c>
      <c r="AE406" s="2027">
        <f t="shared" si="244"/>
        <v>0</v>
      </c>
      <c r="AF406" s="2027">
        <f t="shared" si="244"/>
        <v>0</v>
      </c>
      <c r="AG406" s="2027">
        <v>0</v>
      </c>
      <c r="AH406" s="2028"/>
      <c r="AI406" s="2028"/>
      <c r="AJ406" s="2028"/>
      <c r="AK406" s="2027">
        <f t="shared" si="250"/>
        <v>0</v>
      </c>
      <c r="AL406" s="2027">
        <f t="shared" si="236"/>
        <v>0</v>
      </c>
      <c r="AM406" s="2027">
        <f t="shared" si="236"/>
        <v>0</v>
      </c>
      <c r="AN406" s="2027">
        <f t="shared" si="236"/>
        <v>0</v>
      </c>
      <c r="AO406" s="2027">
        <f t="shared" si="245"/>
        <v>0</v>
      </c>
      <c r="AP406" s="2027">
        <f t="shared" si="237"/>
        <v>0</v>
      </c>
      <c r="AQ406" s="2027">
        <f t="shared" si="237"/>
        <v>0</v>
      </c>
      <c r="AR406" s="2027">
        <f t="shared" si="237"/>
        <v>0</v>
      </c>
      <c r="AS406" s="2124">
        <f t="shared" si="263"/>
        <v>4.5</v>
      </c>
      <c r="AT406" s="2029">
        <f t="shared" si="238"/>
        <v>4.5</v>
      </c>
      <c r="AU406" s="2029">
        <f t="shared" si="238"/>
        <v>4.5</v>
      </c>
      <c r="AV406" s="2029">
        <f t="shared" si="238"/>
        <v>4.5</v>
      </c>
      <c r="AW406" s="2124">
        <f t="shared" si="264"/>
        <v>0</v>
      </c>
      <c r="AX406" s="2029">
        <f t="shared" si="257"/>
        <v>0</v>
      </c>
      <c r="AY406" s="2029">
        <f t="shared" si="257"/>
        <v>0</v>
      </c>
      <c r="AZ406" s="2029">
        <f t="shared" si="257"/>
        <v>0</v>
      </c>
      <c r="BA406" s="2124">
        <f t="shared" si="260"/>
        <v>6</v>
      </c>
      <c r="BB406" s="2029">
        <f t="shared" si="260"/>
        <v>6</v>
      </c>
      <c r="BC406" s="2029">
        <f t="shared" si="260"/>
        <v>6</v>
      </c>
      <c r="BD406" s="2029">
        <f t="shared" si="260"/>
        <v>6</v>
      </c>
      <c r="BE406" s="2030">
        <f t="shared" si="239"/>
        <v>0</v>
      </c>
      <c r="BF406" s="2030">
        <f t="shared" si="239"/>
        <v>0</v>
      </c>
      <c r="BG406" s="2030">
        <f t="shared" si="239"/>
        <v>0</v>
      </c>
      <c r="BH406" s="2030">
        <f t="shared" si="239"/>
        <v>0</v>
      </c>
      <c r="BI406" s="2030">
        <f t="shared" si="240"/>
        <v>0</v>
      </c>
      <c r="BJ406" s="2030">
        <f t="shared" si="240"/>
        <v>0</v>
      </c>
      <c r="BK406" s="2030">
        <f t="shared" si="240"/>
        <v>0</v>
      </c>
      <c r="BL406" s="2030">
        <f t="shared" si="240"/>
        <v>0</v>
      </c>
      <c r="BM406" s="2125"/>
      <c r="BN406" s="2125"/>
      <c r="BO406" s="2125"/>
      <c r="BP406" s="2125"/>
      <c r="BQ406" s="2125"/>
      <c r="BR406" s="2125"/>
      <c r="BS406" s="2125"/>
      <c r="BT406" s="2125"/>
      <c r="BU406" s="2029"/>
      <c r="BV406" s="2029"/>
      <c r="BW406" s="2029"/>
      <c r="BX406" s="2029"/>
      <c r="BY406" s="2029"/>
      <c r="BZ406" s="2032"/>
      <c r="CA406" s="1974">
        <f t="shared" si="259"/>
        <v>0</v>
      </c>
      <c r="CB406" s="1974">
        <f t="shared" si="259"/>
        <v>0</v>
      </c>
      <c r="CC406" s="1974">
        <f t="shared" si="259"/>
        <v>0</v>
      </c>
      <c r="CD406" s="1974">
        <f t="shared" si="259"/>
        <v>0</v>
      </c>
      <c r="CE406" s="1974">
        <f t="shared" si="259"/>
        <v>0</v>
      </c>
      <c r="CF406" s="2033">
        <v>0</v>
      </c>
      <c r="CG406" s="2026">
        <v>0</v>
      </c>
      <c r="CH406" s="2009">
        <f t="shared" si="259"/>
        <v>0</v>
      </c>
      <c r="CI406" s="2031">
        <f t="shared" si="259"/>
        <v>0</v>
      </c>
      <c r="CJ406" s="1974">
        <f t="shared" si="259"/>
        <v>0</v>
      </c>
      <c r="CK406" s="2031">
        <f t="shared" si="259"/>
        <v>0</v>
      </c>
      <c r="CL406" s="2026">
        <v>1</v>
      </c>
      <c r="CM406" s="2026">
        <v>1</v>
      </c>
      <c r="CN406" s="2026">
        <v>1</v>
      </c>
      <c r="CO406" s="2026">
        <v>1</v>
      </c>
      <c r="CP406" s="2035"/>
      <c r="CQ406" s="2036"/>
      <c r="CR406" s="2036"/>
      <c r="CS406" s="2036"/>
      <c r="CT406" s="2036"/>
      <c r="CU406" s="2036"/>
      <c r="CW406" s="1973">
        <v>0</v>
      </c>
      <c r="CX406" s="2037">
        <v>4.5</v>
      </c>
      <c r="CY406" s="2037">
        <v>4.5</v>
      </c>
      <c r="CZ406" s="2037">
        <v>4.5</v>
      </c>
      <c r="DA406" s="2037">
        <v>4.5</v>
      </c>
      <c r="DJ406" s="1976">
        <v>4.5</v>
      </c>
      <c r="DK406" s="1973">
        <v>4.5</v>
      </c>
      <c r="DL406" s="1973">
        <v>4.5</v>
      </c>
      <c r="DM406" s="1973">
        <v>4.5</v>
      </c>
      <c r="DO406" s="1974">
        <v>10</v>
      </c>
      <c r="DP406" s="1974">
        <v>6.83</v>
      </c>
      <c r="DQ406" s="1974">
        <v>1.137E-3</v>
      </c>
      <c r="DR406" s="1974">
        <v>0</v>
      </c>
      <c r="DS406" s="2124">
        <v>4.5</v>
      </c>
      <c r="DT406" s="2029">
        <v>4.5</v>
      </c>
      <c r="DU406" s="2029">
        <v>4.5</v>
      </c>
      <c r="DV406" s="2029">
        <v>4.5</v>
      </c>
      <c r="DW406" s="2124">
        <v>0</v>
      </c>
      <c r="DX406" s="2029">
        <v>0</v>
      </c>
      <c r="DY406" s="2029">
        <v>0</v>
      </c>
      <c r="DZ406" s="2029">
        <v>0</v>
      </c>
      <c r="EA406" s="2124">
        <v>6</v>
      </c>
      <c r="EB406" s="2029">
        <v>6</v>
      </c>
      <c r="EC406" s="2029">
        <v>6</v>
      </c>
      <c r="ED406" s="2029">
        <v>6</v>
      </c>
      <c r="EE406" s="2039">
        <f t="shared" si="253"/>
        <v>3</v>
      </c>
      <c r="EF406" s="2039">
        <f t="shared" si="253"/>
        <v>0</v>
      </c>
      <c r="EG406" s="2039">
        <f t="shared" si="253"/>
        <v>0</v>
      </c>
      <c r="EH406" s="2039">
        <f t="shared" si="252"/>
        <v>0</v>
      </c>
      <c r="EI406" s="2040">
        <f t="shared" si="233"/>
        <v>0</v>
      </c>
      <c r="EJ406" s="2040">
        <f t="shared" si="233"/>
        <v>0</v>
      </c>
      <c r="EK406" s="2040">
        <f t="shared" si="233"/>
        <v>0</v>
      </c>
      <c r="EL406" s="2040">
        <f t="shared" si="232"/>
        <v>0</v>
      </c>
      <c r="EM406" s="2040">
        <f t="shared" si="232"/>
        <v>0</v>
      </c>
      <c r="EN406" s="2040">
        <f t="shared" si="232"/>
        <v>0</v>
      </c>
      <c r="EO406" s="2040">
        <f t="shared" si="232"/>
        <v>0</v>
      </c>
      <c r="EP406" s="2040">
        <f t="shared" si="232"/>
        <v>0</v>
      </c>
      <c r="EQ406" s="2040">
        <f t="shared" si="232"/>
        <v>0</v>
      </c>
      <c r="ER406" s="2040">
        <f t="shared" si="261"/>
        <v>0</v>
      </c>
      <c r="ES406" s="2040">
        <f t="shared" si="261"/>
        <v>0</v>
      </c>
      <c r="ET406" s="2040">
        <f t="shared" si="261"/>
        <v>0</v>
      </c>
      <c r="EU406" s="2039">
        <f t="shared" si="254"/>
        <v>3</v>
      </c>
      <c r="EV406" s="2039">
        <f t="shared" si="255"/>
        <v>3</v>
      </c>
    </row>
    <row r="407" spans="1:152" x14ac:dyDescent="0.25">
      <c r="A407" s="2088" t="s">
        <v>179</v>
      </c>
      <c r="B407" s="2093" t="str">
        <f t="shared" si="234"/>
        <v/>
      </c>
      <c r="C407" s="1974">
        <f t="shared" si="258"/>
        <v>12</v>
      </c>
      <c r="D407" s="1974">
        <f t="shared" si="258"/>
        <v>6368</v>
      </c>
      <c r="E407" s="1974">
        <f t="shared" si="258"/>
        <v>0.74</v>
      </c>
      <c r="F407" s="1974">
        <f t="shared" si="258"/>
        <v>0</v>
      </c>
      <c r="G407" s="1974" t="s">
        <v>2997</v>
      </c>
      <c r="H407" s="1974" t="s">
        <v>2997</v>
      </c>
      <c r="I407" s="2026">
        <v>0.96199999999999997</v>
      </c>
      <c r="J407" s="2026">
        <v>0.96199999999999997</v>
      </c>
      <c r="K407" s="2026">
        <v>0.96199999999999997</v>
      </c>
      <c r="L407" s="2026">
        <v>0.96199999999999997</v>
      </c>
      <c r="M407" s="2027">
        <f t="shared" si="242"/>
        <v>6126.0159999999996</v>
      </c>
      <c r="N407" s="2027">
        <f t="shared" si="242"/>
        <v>6126.0159999999996</v>
      </c>
      <c r="O407" s="2027">
        <f t="shared" si="242"/>
        <v>6126.0159999999996</v>
      </c>
      <c r="P407" s="2027">
        <f t="shared" si="242"/>
        <v>6126.0159999999996</v>
      </c>
      <c r="Q407" s="2026">
        <v>0.96199999999999997</v>
      </c>
      <c r="R407" s="2026">
        <v>0.96199999999999997</v>
      </c>
      <c r="S407" s="2026">
        <v>0.96199999999999997</v>
      </c>
      <c r="T407" s="2026">
        <v>0.96199999999999997</v>
      </c>
      <c r="U407" s="2028">
        <f t="shared" si="243"/>
        <v>0.71187999999999996</v>
      </c>
      <c r="V407" s="2028">
        <f t="shared" si="243"/>
        <v>0.71187999999999996</v>
      </c>
      <c r="W407" s="2028">
        <f t="shared" si="243"/>
        <v>0.71187999999999996</v>
      </c>
      <c r="X407" s="2028">
        <f t="shared" si="243"/>
        <v>0.71187999999999996</v>
      </c>
      <c r="Y407" s="2026">
        <v>0.96199999999999997</v>
      </c>
      <c r="Z407" s="2026">
        <v>0.96199999999999997</v>
      </c>
      <c r="AA407" s="2026">
        <v>0.96199999999999997</v>
      </c>
      <c r="AB407" s="2026">
        <v>0.96199999999999997</v>
      </c>
      <c r="AC407" s="2027">
        <f t="shared" si="244"/>
        <v>0</v>
      </c>
      <c r="AD407" s="2027">
        <f t="shared" si="244"/>
        <v>0</v>
      </c>
      <c r="AE407" s="2027">
        <f t="shared" si="244"/>
        <v>0</v>
      </c>
      <c r="AF407" s="2027">
        <f t="shared" si="244"/>
        <v>0</v>
      </c>
      <c r="AG407" s="2027">
        <v>0</v>
      </c>
      <c r="AH407" s="2028"/>
      <c r="AI407" s="2028"/>
      <c r="AJ407" s="2028"/>
      <c r="AK407" s="2027">
        <f t="shared" si="250"/>
        <v>0</v>
      </c>
      <c r="AL407" s="2027">
        <f t="shared" si="236"/>
        <v>0</v>
      </c>
      <c r="AM407" s="2027">
        <f t="shared" si="236"/>
        <v>0</v>
      </c>
      <c r="AN407" s="2027">
        <f t="shared" si="236"/>
        <v>0</v>
      </c>
      <c r="AO407" s="2027">
        <f t="shared" si="245"/>
        <v>0</v>
      </c>
      <c r="AP407" s="2027">
        <f t="shared" si="237"/>
        <v>0</v>
      </c>
      <c r="AQ407" s="2027">
        <f t="shared" si="237"/>
        <v>0</v>
      </c>
      <c r="AR407" s="2027">
        <f t="shared" si="237"/>
        <v>0</v>
      </c>
      <c r="AS407" s="2124">
        <f t="shared" si="263"/>
        <v>450</v>
      </c>
      <c r="AT407" s="2029">
        <f t="shared" si="238"/>
        <v>450</v>
      </c>
      <c r="AU407" s="2029">
        <f t="shared" si="238"/>
        <v>450</v>
      </c>
      <c r="AV407" s="2029">
        <f t="shared" si="238"/>
        <v>450</v>
      </c>
      <c r="AW407" s="2124">
        <f t="shared" si="264"/>
        <v>0</v>
      </c>
      <c r="AX407" s="2029">
        <f t="shared" si="257"/>
        <v>0</v>
      </c>
      <c r="AY407" s="2029">
        <f t="shared" si="257"/>
        <v>0</v>
      </c>
      <c r="AZ407" s="2029">
        <f t="shared" si="257"/>
        <v>0</v>
      </c>
      <c r="BA407" s="2124">
        <f t="shared" si="260"/>
        <v>1000</v>
      </c>
      <c r="BB407" s="2029">
        <f t="shared" si="260"/>
        <v>1000</v>
      </c>
      <c r="BC407" s="2029">
        <f t="shared" si="260"/>
        <v>1000</v>
      </c>
      <c r="BD407" s="2029">
        <f t="shared" si="260"/>
        <v>1000</v>
      </c>
      <c r="BE407" s="2030">
        <f t="shared" si="239"/>
        <v>0</v>
      </c>
      <c r="BF407" s="2030">
        <f t="shared" si="239"/>
        <v>0</v>
      </c>
      <c r="BG407" s="2030">
        <f t="shared" si="239"/>
        <v>0</v>
      </c>
      <c r="BH407" s="2030">
        <f t="shared" si="239"/>
        <v>0</v>
      </c>
      <c r="BI407" s="2030">
        <f t="shared" si="240"/>
        <v>0</v>
      </c>
      <c r="BJ407" s="2030">
        <f t="shared" si="240"/>
        <v>0</v>
      </c>
      <c r="BK407" s="2030">
        <f t="shared" si="240"/>
        <v>0</v>
      </c>
      <c r="BL407" s="2030">
        <f t="shared" si="240"/>
        <v>0</v>
      </c>
      <c r="BM407" s="2125"/>
      <c r="BN407" s="2125"/>
      <c r="BO407" s="2125"/>
      <c r="BP407" s="2125"/>
      <c r="BQ407" s="2125"/>
      <c r="BR407" s="2125"/>
      <c r="BS407" s="2125"/>
      <c r="BT407" s="2125"/>
      <c r="BU407" s="2029"/>
      <c r="BV407" s="2029"/>
      <c r="BW407" s="2029"/>
      <c r="BX407" s="2029"/>
      <c r="BY407" s="2029"/>
      <c r="BZ407" s="2032"/>
      <c r="CA407" s="1974">
        <f t="shared" si="259"/>
        <v>0</v>
      </c>
      <c r="CB407" s="1974">
        <f t="shared" si="259"/>
        <v>0</v>
      </c>
      <c r="CC407" s="1974">
        <f t="shared" si="259"/>
        <v>0</v>
      </c>
      <c r="CD407" s="1974">
        <f t="shared" si="259"/>
        <v>0</v>
      </c>
      <c r="CE407" s="1974">
        <f t="shared" si="259"/>
        <v>0</v>
      </c>
      <c r="CF407" s="2033">
        <v>0</v>
      </c>
      <c r="CG407" s="2026">
        <v>0</v>
      </c>
      <c r="CH407" s="2009">
        <f t="shared" si="259"/>
        <v>0</v>
      </c>
      <c r="CI407" s="2031">
        <f t="shared" si="259"/>
        <v>0</v>
      </c>
      <c r="CJ407" s="1974">
        <f t="shared" si="259"/>
        <v>0</v>
      </c>
      <c r="CK407" s="2031">
        <f t="shared" si="259"/>
        <v>0</v>
      </c>
      <c r="CL407" s="2026">
        <v>1</v>
      </c>
      <c r="CM407" s="2026">
        <v>1</v>
      </c>
      <c r="CN407" s="2026">
        <v>1</v>
      </c>
      <c r="CO407" s="2026">
        <v>1</v>
      </c>
      <c r="CP407" s="2035"/>
      <c r="CQ407" s="2036"/>
      <c r="CR407" s="2036"/>
      <c r="CS407" s="2036"/>
      <c r="CT407" s="2036"/>
      <c r="CU407" s="2036"/>
      <c r="CW407" s="1973">
        <v>0</v>
      </c>
      <c r="CX407" s="2037">
        <v>450</v>
      </c>
      <c r="CY407" s="2037">
        <v>450</v>
      </c>
      <c r="CZ407" s="2037">
        <v>450</v>
      </c>
      <c r="DA407" s="2037">
        <v>450</v>
      </c>
      <c r="DJ407" s="1976">
        <v>450</v>
      </c>
      <c r="DK407" s="1973">
        <v>450</v>
      </c>
      <c r="DL407" s="1973">
        <v>450</v>
      </c>
      <c r="DM407" s="1973">
        <v>450</v>
      </c>
      <c r="DO407" s="1974">
        <v>12</v>
      </c>
      <c r="DP407" s="1974">
        <v>6368</v>
      </c>
      <c r="DQ407" s="1974">
        <v>0.74</v>
      </c>
      <c r="DR407" s="1974">
        <v>0</v>
      </c>
      <c r="DS407" s="2124">
        <v>450</v>
      </c>
      <c r="DT407" s="2029">
        <v>450</v>
      </c>
      <c r="DU407" s="2029">
        <v>450</v>
      </c>
      <c r="DV407" s="2029">
        <v>450</v>
      </c>
      <c r="DW407" s="2124">
        <v>0</v>
      </c>
      <c r="DX407" s="2029">
        <v>0</v>
      </c>
      <c r="DY407" s="2029">
        <v>0</v>
      </c>
      <c r="DZ407" s="2029">
        <v>0</v>
      </c>
      <c r="EA407" s="2124">
        <v>1000</v>
      </c>
      <c r="EB407" s="2029">
        <v>1000</v>
      </c>
      <c r="EC407" s="2029">
        <v>1000</v>
      </c>
      <c r="ED407" s="2029">
        <v>1000</v>
      </c>
      <c r="EE407" s="2039">
        <f t="shared" si="253"/>
        <v>0</v>
      </c>
      <c r="EF407" s="2039">
        <f t="shared" si="253"/>
        <v>0</v>
      </c>
      <c r="EG407" s="2039">
        <f t="shared" si="253"/>
        <v>0</v>
      </c>
      <c r="EH407" s="2039">
        <f t="shared" si="252"/>
        <v>0</v>
      </c>
      <c r="EI407" s="2040">
        <f t="shared" si="233"/>
        <v>0</v>
      </c>
      <c r="EJ407" s="2040">
        <f t="shared" si="233"/>
        <v>0</v>
      </c>
      <c r="EK407" s="2040">
        <f t="shared" si="233"/>
        <v>0</v>
      </c>
      <c r="EL407" s="2040">
        <f t="shared" si="232"/>
        <v>0</v>
      </c>
      <c r="EM407" s="2040">
        <f t="shared" si="232"/>
        <v>0</v>
      </c>
      <c r="EN407" s="2040">
        <f t="shared" si="232"/>
        <v>0</v>
      </c>
      <c r="EO407" s="2040">
        <f t="shared" si="232"/>
        <v>0</v>
      </c>
      <c r="EP407" s="2040">
        <f t="shared" si="232"/>
        <v>0</v>
      </c>
      <c r="EQ407" s="2040">
        <f t="shared" si="232"/>
        <v>0</v>
      </c>
      <c r="ER407" s="2040">
        <f t="shared" si="261"/>
        <v>0</v>
      </c>
      <c r="ES407" s="2040">
        <f t="shared" si="261"/>
        <v>0</v>
      </c>
      <c r="ET407" s="2040">
        <f t="shared" si="261"/>
        <v>0</v>
      </c>
      <c r="EU407" s="2039">
        <f t="shared" si="254"/>
        <v>0</v>
      </c>
      <c r="EV407" s="2039">
        <f t="shared" si="255"/>
        <v>0</v>
      </c>
    </row>
    <row r="408" spans="1:152" x14ac:dyDescent="0.25">
      <c r="A408" s="2088" t="s">
        <v>180</v>
      </c>
      <c r="B408" s="2093" t="str">
        <f t="shared" si="234"/>
        <v/>
      </c>
      <c r="C408" s="1974">
        <f t="shared" si="258"/>
        <v>15</v>
      </c>
      <c r="D408" s="1974">
        <f t="shared" si="258"/>
        <v>10563.4</v>
      </c>
      <c r="E408" s="1974">
        <f t="shared" si="258"/>
        <v>55.3</v>
      </c>
      <c r="F408" s="1974">
        <f t="shared" si="258"/>
        <v>632.79999999999995</v>
      </c>
      <c r="G408" s="1974" t="s">
        <v>2997</v>
      </c>
      <c r="H408" s="1974" t="s">
        <v>2997</v>
      </c>
      <c r="I408" s="2026">
        <v>0.96199999999999997</v>
      </c>
      <c r="J408" s="2026">
        <v>0.96199999999999997</v>
      </c>
      <c r="K408" s="2026">
        <v>0.96199999999999997</v>
      </c>
      <c r="L408" s="2026">
        <v>0.96199999999999997</v>
      </c>
      <c r="M408" s="2027">
        <f t="shared" si="242"/>
        <v>10161.9908</v>
      </c>
      <c r="N408" s="2027">
        <f t="shared" si="242"/>
        <v>10161.9908</v>
      </c>
      <c r="O408" s="2027">
        <f t="shared" si="242"/>
        <v>10161.9908</v>
      </c>
      <c r="P408" s="2027">
        <f t="shared" si="242"/>
        <v>10161.9908</v>
      </c>
      <c r="Q408" s="2026">
        <v>0.96199999999999997</v>
      </c>
      <c r="R408" s="2026">
        <v>0.96199999999999997</v>
      </c>
      <c r="S408" s="2026">
        <v>0.96199999999999997</v>
      </c>
      <c r="T408" s="2026">
        <v>0.96199999999999997</v>
      </c>
      <c r="U408" s="2028">
        <f t="shared" si="243"/>
        <v>53.198599999999992</v>
      </c>
      <c r="V408" s="2028">
        <f t="shared" si="243"/>
        <v>53.198599999999992</v>
      </c>
      <c r="W408" s="2028">
        <f t="shared" si="243"/>
        <v>53.198599999999992</v>
      </c>
      <c r="X408" s="2028">
        <f t="shared" si="243"/>
        <v>53.198599999999992</v>
      </c>
      <c r="Y408" s="2026">
        <v>0.96199999999999997</v>
      </c>
      <c r="Z408" s="2026">
        <v>0.96199999999999997</v>
      </c>
      <c r="AA408" s="2026">
        <v>0.96199999999999997</v>
      </c>
      <c r="AB408" s="2026">
        <v>0.96199999999999997</v>
      </c>
      <c r="AC408" s="2027">
        <f t="shared" si="244"/>
        <v>608.75359999999989</v>
      </c>
      <c r="AD408" s="2027">
        <f t="shared" si="244"/>
        <v>608.75359999999989</v>
      </c>
      <c r="AE408" s="2027">
        <f t="shared" si="244"/>
        <v>608.75359999999989</v>
      </c>
      <c r="AF408" s="2027">
        <f t="shared" si="244"/>
        <v>608.75359999999989</v>
      </c>
      <c r="AG408" s="2027">
        <v>0</v>
      </c>
      <c r="AH408" s="2028"/>
      <c r="AI408" s="2028"/>
      <c r="AJ408" s="2028"/>
      <c r="AK408" s="2027">
        <f t="shared" si="250"/>
        <v>0</v>
      </c>
      <c r="AL408" s="2027">
        <f t="shared" si="236"/>
        <v>0</v>
      </c>
      <c r="AM408" s="2027">
        <f t="shared" si="236"/>
        <v>0</v>
      </c>
      <c r="AN408" s="2027">
        <f t="shared" si="236"/>
        <v>0</v>
      </c>
      <c r="AO408" s="2027">
        <f t="shared" si="245"/>
        <v>0</v>
      </c>
      <c r="AP408" s="2027">
        <f t="shared" si="237"/>
        <v>0</v>
      </c>
      <c r="AQ408" s="2027">
        <f t="shared" si="237"/>
        <v>0</v>
      </c>
      <c r="AR408" s="2027">
        <f t="shared" si="237"/>
        <v>0</v>
      </c>
      <c r="AS408" s="2124">
        <f t="shared" si="263"/>
        <v>1152</v>
      </c>
      <c r="AT408" s="2029">
        <f t="shared" si="238"/>
        <v>1152</v>
      </c>
      <c r="AU408" s="2029">
        <f t="shared" si="238"/>
        <v>1152</v>
      </c>
      <c r="AV408" s="2029">
        <f t="shared" si="238"/>
        <v>1152</v>
      </c>
      <c r="AW408" s="2124">
        <f t="shared" si="264"/>
        <v>41.6</v>
      </c>
      <c r="AX408" s="2029">
        <f t="shared" si="257"/>
        <v>41.6</v>
      </c>
      <c r="AY408" s="2029">
        <f t="shared" si="257"/>
        <v>41.6</v>
      </c>
      <c r="AZ408" s="2029">
        <f t="shared" si="257"/>
        <v>41.6</v>
      </c>
      <c r="BA408" s="2124">
        <f t="shared" si="260"/>
        <v>9000</v>
      </c>
      <c r="BB408" s="2029">
        <f t="shared" si="260"/>
        <v>9000</v>
      </c>
      <c r="BC408" s="2029">
        <f t="shared" si="260"/>
        <v>9000</v>
      </c>
      <c r="BD408" s="2029">
        <f t="shared" si="260"/>
        <v>9000</v>
      </c>
      <c r="BE408" s="2030">
        <f t="shared" si="239"/>
        <v>0</v>
      </c>
      <c r="BF408" s="2030">
        <f t="shared" si="239"/>
        <v>0</v>
      </c>
      <c r="BG408" s="2030">
        <f t="shared" si="239"/>
        <v>0</v>
      </c>
      <c r="BH408" s="2030">
        <f t="shared" si="239"/>
        <v>0</v>
      </c>
      <c r="BI408" s="2030">
        <f t="shared" si="240"/>
        <v>0</v>
      </c>
      <c r="BJ408" s="2030">
        <f t="shared" si="240"/>
        <v>0</v>
      </c>
      <c r="BK408" s="2030">
        <f t="shared" si="240"/>
        <v>0</v>
      </c>
      <c r="BL408" s="2030">
        <f t="shared" si="240"/>
        <v>0</v>
      </c>
      <c r="BM408" s="2125"/>
      <c r="BN408" s="2125"/>
      <c r="BO408" s="2125"/>
      <c r="BP408" s="2125"/>
      <c r="BQ408" s="2125"/>
      <c r="BR408" s="2125"/>
      <c r="BS408" s="2125"/>
      <c r="BT408" s="2125"/>
      <c r="BU408" s="2029"/>
      <c r="BV408" s="2029"/>
      <c r="BW408" s="2029"/>
      <c r="BX408" s="2029"/>
      <c r="BY408" s="2029"/>
      <c r="BZ408" s="2032"/>
      <c r="CA408" s="1974">
        <f t="shared" si="259"/>
        <v>0</v>
      </c>
      <c r="CB408" s="1974">
        <f t="shared" si="259"/>
        <v>0</v>
      </c>
      <c r="CC408" s="1974">
        <f t="shared" si="259"/>
        <v>0</v>
      </c>
      <c r="CD408" s="1974">
        <f t="shared" si="259"/>
        <v>0</v>
      </c>
      <c r="CE408" s="1974">
        <f t="shared" si="259"/>
        <v>0</v>
      </c>
      <c r="CF408" s="2033">
        <v>0</v>
      </c>
      <c r="CG408" s="2026">
        <v>0</v>
      </c>
      <c r="CH408" s="2009">
        <f t="shared" si="259"/>
        <v>1</v>
      </c>
      <c r="CI408" s="2031">
        <f t="shared" si="259"/>
        <v>0</v>
      </c>
      <c r="CJ408" s="1974">
        <f t="shared" si="259"/>
        <v>150</v>
      </c>
      <c r="CK408" s="2031">
        <f t="shared" si="259"/>
        <v>150</v>
      </c>
      <c r="CL408" s="2026">
        <v>1</v>
      </c>
      <c r="CM408" s="2026">
        <v>1</v>
      </c>
      <c r="CN408" s="2026">
        <v>1</v>
      </c>
      <c r="CO408" s="2026">
        <v>1</v>
      </c>
      <c r="CP408" s="2035"/>
      <c r="CQ408" s="2036"/>
      <c r="CR408" s="2036"/>
      <c r="CS408" s="2036"/>
      <c r="CT408" s="2036"/>
      <c r="CU408" s="2036"/>
      <c r="CW408" s="1973">
        <v>0</v>
      </c>
      <c r="CX408" s="2037">
        <v>1120</v>
      </c>
      <c r="CY408" s="2037">
        <v>1120</v>
      </c>
      <c r="CZ408" s="2037">
        <v>1120</v>
      </c>
      <c r="DA408" s="2037">
        <v>1120</v>
      </c>
      <c r="DJ408" s="1976">
        <v>600</v>
      </c>
      <c r="DK408" s="1973">
        <v>600</v>
      </c>
      <c r="DL408" s="1973">
        <v>600</v>
      </c>
      <c r="DM408" s="1973">
        <v>600</v>
      </c>
      <c r="DO408" s="1974">
        <v>15</v>
      </c>
      <c r="DP408" s="1974">
        <v>10563.4</v>
      </c>
      <c r="DQ408" s="1974">
        <v>55.3</v>
      </c>
      <c r="DR408" s="1974">
        <v>632.79999999999995</v>
      </c>
      <c r="DS408" s="2124">
        <v>1152</v>
      </c>
      <c r="DT408" s="2029">
        <v>1152</v>
      </c>
      <c r="DU408" s="2029">
        <v>1152</v>
      </c>
      <c r="DV408" s="2029">
        <v>1152</v>
      </c>
      <c r="DW408" s="2124">
        <v>41.6</v>
      </c>
      <c r="DX408" s="2029">
        <v>41.6</v>
      </c>
      <c r="DY408" s="2029">
        <v>41.6</v>
      </c>
      <c r="DZ408" s="2029">
        <v>41.6</v>
      </c>
      <c r="EA408" s="2124">
        <v>9000</v>
      </c>
      <c r="EB408" s="2029">
        <v>9000</v>
      </c>
      <c r="EC408" s="2029">
        <v>9000</v>
      </c>
      <c r="ED408" s="2029">
        <v>9000</v>
      </c>
      <c r="EE408" s="2039">
        <f t="shared" si="253"/>
        <v>0</v>
      </c>
      <c r="EF408" s="2039">
        <f t="shared" si="253"/>
        <v>0</v>
      </c>
      <c r="EG408" s="2039">
        <f t="shared" si="253"/>
        <v>0</v>
      </c>
      <c r="EH408" s="2039">
        <f t="shared" si="252"/>
        <v>0</v>
      </c>
      <c r="EI408" s="2040">
        <f t="shared" si="233"/>
        <v>0</v>
      </c>
      <c r="EJ408" s="2040">
        <f t="shared" si="233"/>
        <v>0</v>
      </c>
      <c r="EK408" s="2040">
        <f t="shared" si="233"/>
        <v>0</v>
      </c>
      <c r="EL408" s="2040">
        <f t="shared" si="232"/>
        <v>0</v>
      </c>
      <c r="EM408" s="2040">
        <f t="shared" si="232"/>
        <v>0</v>
      </c>
      <c r="EN408" s="2040">
        <f t="shared" si="232"/>
        <v>0</v>
      </c>
      <c r="EO408" s="2040">
        <f t="shared" si="232"/>
        <v>0</v>
      </c>
      <c r="EP408" s="2040">
        <f t="shared" si="232"/>
        <v>0</v>
      </c>
      <c r="EQ408" s="2040">
        <f t="shared" si="232"/>
        <v>0</v>
      </c>
      <c r="ER408" s="2040">
        <f t="shared" si="261"/>
        <v>0</v>
      </c>
      <c r="ES408" s="2040">
        <f t="shared" si="261"/>
        <v>0</v>
      </c>
      <c r="ET408" s="2040">
        <f t="shared" si="261"/>
        <v>0</v>
      </c>
      <c r="EU408" s="2039">
        <f t="shared" si="254"/>
        <v>0</v>
      </c>
      <c r="EV408" s="2039">
        <f t="shared" si="255"/>
        <v>0</v>
      </c>
    </row>
    <row r="409" spans="1:152" x14ac:dyDescent="0.25">
      <c r="A409" s="2088" t="s">
        <v>259</v>
      </c>
      <c r="B409" s="2093" t="str">
        <f t="shared" si="234"/>
        <v/>
      </c>
      <c r="C409" s="1974">
        <f t="shared" si="258"/>
        <v>0</v>
      </c>
      <c r="D409" s="1974">
        <f t="shared" si="258"/>
        <v>0</v>
      </c>
      <c r="E409" s="1974">
        <f t="shared" si="258"/>
        <v>0</v>
      </c>
      <c r="F409" s="1974">
        <f t="shared" si="258"/>
        <v>0</v>
      </c>
      <c r="G409" s="1974" t="s">
        <v>2997</v>
      </c>
      <c r="H409" s="1974" t="s">
        <v>2997</v>
      </c>
      <c r="I409" s="2026">
        <v>0.96199999999999997</v>
      </c>
      <c r="J409" s="2026">
        <v>0.96199999999999997</v>
      </c>
      <c r="K409" s="2026">
        <v>0.96199999999999997</v>
      </c>
      <c r="L409" s="2026">
        <v>0.96199999999999997</v>
      </c>
      <c r="M409" s="2027">
        <f t="shared" si="242"/>
        <v>0</v>
      </c>
      <c r="N409" s="2027">
        <f t="shared" si="242"/>
        <v>0</v>
      </c>
      <c r="O409" s="2027">
        <f t="shared" si="242"/>
        <v>0</v>
      </c>
      <c r="P409" s="2027">
        <f t="shared" si="242"/>
        <v>0</v>
      </c>
      <c r="Q409" s="2026">
        <v>0.96199999999999997</v>
      </c>
      <c r="R409" s="2026">
        <v>0.96199999999999997</v>
      </c>
      <c r="S409" s="2026">
        <v>0.96199999999999997</v>
      </c>
      <c r="T409" s="2026">
        <v>0.96199999999999997</v>
      </c>
      <c r="U409" s="2028">
        <f t="shared" si="243"/>
        <v>0</v>
      </c>
      <c r="V409" s="2028">
        <f t="shared" si="243"/>
        <v>0</v>
      </c>
      <c r="W409" s="2028">
        <f t="shared" si="243"/>
        <v>0</v>
      </c>
      <c r="X409" s="2028">
        <f t="shared" si="243"/>
        <v>0</v>
      </c>
      <c r="Y409" s="2026">
        <v>0.96199999999999997</v>
      </c>
      <c r="Z409" s="2026">
        <v>0.96199999999999997</v>
      </c>
      <c r="AA409" s="2026">
        <v>0.96199999999999997</v>
      </c>
      <c r="AB409" s="2026">
        <v>0.96199999999999997</v>
      </c>
      <c r="AC409" s="2027">
        <f t="shared" si="244"/>
        <v>0</v>
      </c>
      <c r="AD409" s="2027">
        <f t="shared" si="244"/>
        <v>0</v>
      </c>
      <c r="AE409" s="2027">
        <f t="shared" si="244"/>
        <v>0</v>
      </c>
      <c r="AF409" s="2027">
        <f t="shared" si="244"/>
        <v>0</v>
      </c>
      <c r="AG409" s="2027">
        <v>0</v>
      </c>
      <c r="AH409" s="2028"/>
      <c r="AI409" s="2028"/>
      <c r="AJ409" s="2028"/>
      <c r="AK409" s="2027">
        <f t="shared" si="250"/>
        <v>0</v>
      </c>
      <c r="AL409" s="2027">
        <f t="shared" si="236"/>
        <v>0</v>
      </c>
      <c r="AM409" s="2027">
        <f t="shared" si="236"/>
        <v>0</v>
      </c>
      <c r="AN409" s="2027">
        <f t="shared" si="236"/>
        <v>0</v>
      </c>
      <c r="AO409" s="2027">
        <f t="shared" si="245"/>
        <v>0</v>
      </c>
      <c r="AP409" s="2027">
        <f t="shared" si="237"/>
        <v>0</v>
      </c>
      <c r="AQ409" s="2027">
        <f t="shared" si="237"/>
        <v>0</v>
      </c>
      <c r="AR409" s="2027">
        <f t="shared" si="237"/>
        <v>0</v>
      </c>
      <c r="AS409" s="2124">
        <f t="shared" si="263"/>
        <v>0</v>
      </c>
      <c r="AT409" s="2029">
        <f t="shared" si="238"/>
        <v>0</v>
      </c>
      <c r="AU409" s="2029">
        <f t="shared" si="238"/>
        <v>0</v>
      </c>
      <c r="AV409" s="2029">
        <f t="shared" si="238"/>
        <v>0</v>
      </c>
      <c r="AW409" s="2124">
        <f t="shared" si="264"/>
        <v>0</v>
      </c>
      <c r="AX409" s="2029">
        <f t="shared" si="257"/>
        <v>0</v>
      </c>
      <c r="AY409" s="2029">
        <f t="shared" si="257"/>
        <v>0</v>
      </c>
      <c r="AZ409" s="2029">
        <f t="shared" si="257"/>
        <v>0</v>
      </c>
      <c r="BA409" s="2124">
        <f t="shared" si="260"/>
        <v>0</v>
      </c>
      <c r="BB409" s="2029">
        <f t="shared" si="260"/>
        <v>0</v>
      </c>
      <c r="BC409" s="2029">
        <f t="shared" si="260"/>
        <v>0</v>
      </c>
      <c r="BD409" s="2029">
        <f t="shared" si="260"/>
        <v>0</v>
      </c>
      <c r="BE409" s="2030">
        <f t="shared" si="239"/>
        <v>0</v>
      </c>
      <c r="BF409" s="2030">
        <f t="shared" si="239"/>
        <v>0</v>
      </c>
      <c r="BG409" s="2030">
        <f t="shared" si="239"/>
        <v>0</v>
      </c>
      <c r="BH409" s="2030">
        <f t="shared" si="239"/>
        <v>0</v>
      </c>
      <c r="BI409" s="2030">
        <f t="shared" si="240"/>
        <v>0</v>
      </c>
      <c r="BJ409" s="2030">
        <f t="shared" si="240"/>
        <v>0</v>
      </c>
      <c r="BK409" s="2030">
        <f t="shared" si="240"/>
        <v>0</v>
      </c>
      <c r="BL409" s="2030">
        <f t="shared" si="240"/>
        <v>0</v>
      </c>
      <c r="BM409" s="2125"/>
      <c r="BN409" s="2125"/>
      <c r="BO409" s="2125"/>
      <c r="BP409" s="2125"/>
      <c r="BQ409" s="2125"/>
      <c r="BR409" s="2125"/>
      <c r="BS409" s="2125"/>
      <c r="BT409" s="2125"/>
      <c r="BU409" s="2029"/>
      <c r="BV409" s="2029"/>
      <c r="BW409" s="2029"/>
      <c r="BX409" s="2029"/>
      <c r="BY409" s="2029"/>
      <c r="BZ409" s="2032"/>
      <c r="CA409" s="1974">
        <f t="shared" si="259"/>
        <v>0</v>
      </c>
      <c r="CB409" s="1974">
        <f t="shared" si="259"/>
        <v>0</v>
      </c>
      <c r="CC409" s="1974">
        <f t="shared" si="259"/>
        <v>0</v>
      </c>
      <c r="CD409" s="1974">
        <f t="shared" si="259"/>
        <v>0</v>
      </c>
      <c r="CE409" s="1974">
        <f t="shared" si="259"/>
        <v>0</v>
      </c>
      <c r="CF409" s="2033">
        <v>0</v>
      </c>
      <c r="CG409" s="2026">
        <v>0</v>
      </c>
      <c r="CH409" s="2009">
        <f t="shared" si="259"/>
        <v>0</v>
      </c>
      <c r="CI409" s="2031">
        <f t="shared" si="259"/>
        <v>0</v>
      </c>
      <c r="CJ409" s="1974">
        <f t="shared" si="259"/>
        <v>0</v>
      </c>
      <c r="CK409" s="2031">
        <f t="shared" si="259"/>
        <v>0</v>
      </c>
      <c r="CL409" s="2026">
        <v>1</v>
      </c>
      <c r="CM409" s="2026">
        <v>1</v>
      </c>
      <c r="CN409" s="2026">
        <v>1</v>
      </c>
      <c r="CO409" s="2026">
        <v>1</v>
      </c>
      <c r="CP409" s="2035"/>
      <c r="CQ409" s="2036"/>
      <c r="CR409" s="2036"/>
      <c r="CS409" s="2036"/>
      <c r="CT409" s="2036"/>
      <c r="CU409" s="2036"/>
      <c r="CW409" s="1973">
        <v>0</v>
      </c>
      <c r="CX409" s="2037">
        <v>0</v>
      </c>
      <c r="CY409" s="2037">
        <v>0</v>
      </c>
      <c r="CZ409" s="2037">
        <v>0</v>
      </c>
      <c r="DA409" s="2037">
        <v>0</v>
      </c>
      <c r="DJ409" s="1976">
        <v>0</v>
      </c>
      <c r="DK409" s="1973">
        <v>0</v>
      </c>
      <c r="DL409" s="1973">
        <v>0</v>
      </c>
      <c r="DM409" s="1973">
        <v>0</v>
      </c>
      <c r="DO409" s="1974">
        <v>0</v>
      </c>
      <c r="DP409" s="1974">
        <v>0</v>
      </c>
      <c r="DQ409" s="1974">
        <v>0</v>
      </c>
      <c r="DR409" s="1974">
        <v>0</v>
      </c>
      <c r="DS409" s="2124">
        <v>0</v>
      </c>
      <c r="DT409" s="2029">
        <v>0</v>
      </c>
      <c r="DU409" s="2029">
        <v>0</v>
      </c>
      <c r="DV409" s="2029">
        <v>0</v>
      </c>
      <c r="DW409" s="2124">
        <v>0</v>
      </c>
      <c r="DX409" s="2029">
        <v>0</v>
      </c>
      <c r="DY409" s="2029">
        <v>0</v>
      </c>
      <c r="DZ409" s="2029">
        <v>0</v>
      </c>
      <c r="EA409" s="2124">
        <v>0</v>
      </c>
      <c r="EB409" s="2029">
        <v>0</v>
      </c>
      <c r="EC409" s="2029">
        <v>0</v>
      </c>
      <c r="ED409" s="2029">
        <v>0</v>
      </c>
      <c r="EE409" s="2039">
        <f t="shared" si="253"/>
        <v>0</v>
      </c>
      <c r="EF409" s="2039">
        <f t="shared" si="253"/>
        <v>0</v>
      </c>
      <c r="EG409" s="2039">
        <f t="shared" si="253"/>
        <v>0</v>
      </c>
      <c r="EH409" s="2039">
        <f t="shared" si="252"/>
        <v>0</v>
      </c>
      <c r="EI409" s="2040">
        <f t="shared" si="233"/>
        <v>0</v>
      </c>
      <c r="EJ409" s="2040">
        <f t="shared" si="233"/>
        <v>0</v>
      </c>
      <c r="EK409" s="2040">
        <f t="shared" si="233"/>
        <v>0</v>
      </c>
      <c r="EL409" s="2040">
        <f t="shared" si="232"/>
        <v>0</v>
      </c>
      <c r="EM409" s="2040">
        <f t="shared" si="232"/>
        <v>0</v>
      </c>
      <c r="EN409" s="2040">
        <f t="shared" si="232"/>
        <v>0</v>
      </c>
      <c r="EO409" s="2040">
        <f t="shared" si="232"/>
        <v>0</v>
      </c>
      <c r="EP409" s="2040">
        <f t="shared" si="232"/>
        <v>0</v>
      </c>
      <c r="EQ409" s="2040">
        <f t="shared" si="232"/>
        <v>0</v>
      </c>
      <c r="ER409" s="2040">
        <f t="shared" si="261"/>
        <v>0</v>
      </c>
      <c r="ES409" s="2040">
        <f t="shared" si="261"/>
        <v>0</v>
      </c>
      <c r="ET409" s="2040">
        <f t="shared" si="261"/>
        <v>0</v>
      </c>
      <c r="EU409" s="2039">
        <f t="shared" si="254"/>
        <v>0</v>
      </c>
      <c r="EV409" s="2039">
        <f t="shared" si="255"/>
        <v>0</v>
      </c>
    </row>
    <row r="410" spans="1:152" x14ac:dyDescent="0.25">
      <c r="A410" s="2088" t="s">
        <v>181</v>
      </c>
      <c r="B410" s="2093" t="str">
        <f t="shared" si="234"/>
        <v>BPH20</v>
      </c>
      <c r="C410" s="1974">
        <f t="shared" si="258"/>
        <v>15</v>
      </c>
      <c r="D410" s="1974">
        <f t="shared" si="258"/>
        <v>-1103.8355523767607</v>
      </c>
      <c r="E410" s="1974">
        <f t="shared" si="258"/>
        <v>-0.17697329812206575</v>
      </c>
      <c r="F410" s="1974" t="str">
        <f t="shared" si="258"/>
        <v xml:space="preserve">  </v>
      </c>
      <c r="G410" s="1974" t="s">
        <v>2997</v>
      </c>
      <c r="H410" s="1974" t="s">
        <v>2997</v>
      </c>
      <c r="I410" s="2026">
        <v>0.96199999999999997</v>
      </c>
      <c r="J410" s="2026">
        <v>0.96199999999999997</v>
      </c>
      <c r="K410" s="2026">
        <v>0.96199999999999997</v>
      </c>
      <c r="L410" s="2026">
        <v>0.96199999999999997</v>
      </c>
      <c r="M410" s="2027">
        <f t="shared" si="242"/>
        <v>-1061.8898013864437</v>
      </c>
      <c r="N410" s="2027">
        <f t="shared" si="242"/>
        <v>-1061.8898013864437</v>
      </c>
      <c r="O410" s="2027">
        <f t="shared" si="242"/>
        <v>-1061.8898013864437</v>
      </c>
      <c r="P410" s="2027">
        <f t="shared" si="242"/>
        <v>-1061.8898013864437</v>
      </c>
      <c r="Q410" s="2026">
        <v>0.96199999999999997</v>
      </c>
      <c r="R410" s="2026">
        <v>0.96199999999999997</v>
      </c>
      <c r="S410" s="2026">
        <v>0.96199999999999997</v>
      </c>
      <c r="T410" s="2026">
        <v>0.96199999999999997</v>
      </c>
      <c r="U410" s="2028">
        <f t="shared" si="243"/>
        <v>-0.17024831279342725</v>
      </c>
      <c r="V410" s="2028">
        <f t="shared" si="243"/>
        <v>-0.17024831279342725</v>
      </c>
      <c r="W410" s="2028">
        <f t="shared" si="243"/>
        <v>-0.17024831279342725</v>
      </c>
      <c r="X410" s="2028">
        <f t="shared" si="243"/>
        <v>-0.17024831279342725</v>
      </c>
      <c r="Y410" s="2026">
        <v>0.96199999999999997</v>
      </c>
      <c r="Z410" s="2026">
        <v>0.96199999999999997</v>
      </c>
      <c r="AA410" s="2026">
        <v>0.96199999999999997</v>
      </c>
      <c r="AB410" s="2026">
        <v>0.96199999999999997</v>
      </c>
      <c r="AC410" s="2027" t="e">
        <f t="shared" si="244"/>
        <v>#VALUE!</v>
      </c>
      <c r="AD410" s="2027" t="e">
        <f t="shared" si="244"/>
        <v>#VALUE!</v>
      </c>
      <c r="AE410" s="2027" t="e">
        <f t="shared" si="244"/>
        <v>#VALUE!</v>
      </c>
      <c r="AF410" s="2027" t="e">
        <f t="shared" si="244"/>
        <v>#VALUE!</v>
      </c>
      <c r="AG410" s="2027">
        <v>0</v>
      </c>
      <c r="AH410" s="2028"/>
      <c r="AI410" s="2028"/>
      <c r="AJ410" s="2028"/>
      <c r="AK410" s="2027">
        <f t="shared" si="250"/>
        <v>0</v>
      </c>
      <c r="AL410" s="2027">
        <f t="shared" si="236"/>
        <v>0</v>
      </c>
      <c r="AM410" s="2027">
        <f t="shared" si="236"/>
        <v>0</v>
      </c>
      <c r="AN410" s="2027">
        <f t="shared" si="236"/>
        <v>0</v>
      </c>
      <c r="AO410" s="2027" t="e">
        <f t="shared" si="245"/>
        <v>#VALUE!</v>
      </c>
      <c r="AP410" s="2027" t="e">
        <f t="shared" si="237"/>
        <v>#VALUE!</v>
      </c>
      <c r="AQ410" s="2027" t="e">
        <f t="shared" si="237"/>
        <v>#VALUE!</v>
      </c>
      <c r="AR410" s="2027" t="e">
        <f t="shared" si="237"/>
        <v>#VALUE!</v>
      </c>
      <c r="AS410" s="2124">
        <f t="shared" si="263"/>
        <v>0</v>
      </c>
      <c r="AT410" s="2029">
        <f t="shared" si="238"/>
        <v>0</v>
      </c>
      <c r="AU410" s="2029">
        <f t="shared" si="238"/>
        <v>0</v>
      </c>
      <c r="AV410" s="2029">
        <f t="shared" si="238"/>
        <v>0</v>
      </c>
      <c r="AW410" s="2124">
        <f t="shared" si="264"/>
        <v>3249.9965604166664</v>
      </c>
      <c r="AX410" s="2029">
        <f t="shared" si="257"/>
        <v>3249.9965604166664</v>
      </c>
      <c r="AY410" s="2029">
        <f t="shared" si="257"/>
        <v>3249.9965604166664</v>
      </c>
      <c r="AZ410" s="2029">
        <f t="shared" si="257"/>
        <v>3249.9965604166664</v>
      </c>
      <c r="BA410" s="2124">
        <f t="shared" si="260"/>
        <v>2179.2916666666665</v>
      </c>
      <c r="BB410" s="2029">
        <f t="shared" si="260"/>
        <v>2179.2916666666665</v>
      </c>
      <c r="BC410" s="2029">
        <f t="shared" si="260"/>
        <v>2179.2916666666665</v>
      </c>
      <c r="BD410" s="2029">
        <f t="shared" si="260"/>
        <v>2179.2916666666665</v>
      </c>
      <c r="BE410" s="2030">
        <f t="shared" si="239"/>
        <v>0</v>
      </c>
      <c r="BF410" s="2030">
        <f t="shared" si="239"/>
        <v>0</v>
      </c>
      <c r="BG410" s="2030">
        <f t="shared" si="239"/>
        <v>0</v>
      </c>
      <c r="BH410" s="2030">
        <f t="shared" si="239"/>
        <v>0</v>
      </c>
      <c r="BI410" s="2030">
        <f t="shared" si="240"/>
        <v>0</v>
      </c>
      <c r="BJ410" s="2030">
        <f t="shared" si="240"/>
        <v>0</v>
      </c>
      <c r="BK410" s="2030">
        <f t="shared" si="240"/>
        <v>0</v>
      </c>
      <c r="BL410" s="2030">
        <f t="shared" si="240"/>
        <v>0</v>
      </c>
      <c r="BM410" s="2125"/>
      <c r="BN410" s="2125"/>
      <c r="BO410" s="2125"/>
      <c r="BP410" s="2125"/>
      <c r="BQ410" s="2125"/>
      <c r="BR410" s="2125"/>
      <c r="BS410" s="2125"/>
      <c r="BT410" s="2125"/>
      <c r="BU410" s="2029"/>
      <c r="BV410" s="2029"/>
      <c r="BW410" s="2029"/>
      <c r="BX410" s="2029"/>
      <c r="BY410" s="2029"/>
      <c r="BZ410" s="2032"/>
      <c r="CA410" s="1974">
        <f t="shared" si="259"/>
        <v>0</v>
      </c>
      <c r="CB410" s="1974">
        <f t="shared" si="259"/>
        <v>0</v>
      </c>
      <c r="CC410" s="1974">
        <f t="shared" si="259"/>
        <v>0</v>
      </c>
      <c r="CD410" s="1974">
        <f t="shared" si="259"/>
        <v>0</v>
      </c>
      <c r="CE410" s="1974">
        <f t="shared" si="259"/>
        <v>0</v>
      </c>
      <c r="CF410" s="2033">
        <v>0</v>
      </c>
      <c r="CG410" s="2026">
        <v>0</v>
      </c>
      <c r="CH410" s="2009">
        <f t="shared" si="259"/>
        <v>1</v>
      </c>
      <c r="CI410" s="2031">
        <f t="shared" si="259"/>
        <v>0</v>
      </c>
      <c r="CJ410" s="1974">
        <f t="shared" si="259"/>
        <v>20.104166666666668</v>
      </c>
      <c r="CK410" s="2031">
        <f t="shared" si="259"/>
        <v>20.104166666666668</v>
      </c>
      <c r="CL410" s="2026">
        <v>1</v>
      </c>
      <c r="CM410" s="2026">
        <v>1</v>
      </c>
      <c r="CN410" s="2026">
        <v>1</v>
      </c>
      <c r="CO410" s="2026">
        <v>1</v>
      </c>
      <c r="CP410" s="2035"/>
      <c r="CQ410" s="2036"/>
      <c r="CR410" s="2036"/>
      <c r="CS410" s="2036"/>
      <c r="CT410" s="2036"/>
      <c r="CU410" s="2036"/>
      <c r="CW410" s="1973">
        <v>0</v>
      </c>
      <c r="CX410" s="2037">
        <v>3250</v>
      </c>
      <c r="CY410" s="2037">
        <v>3250</v>
      </c>
      <c r="CZ410" s="2037">
        <v>3250</v>
      </c>
      <c r="DA410" s="2037">
        <v>3250</v>
      </c>
      <c r="DJ410" s="1976">
        <v>0</v>
      </c>
      <c r="DK410" s="1973">
        <v>0</v>
      </c>
      <c r="DL410" s="1973">
        <v>0</v>
      </c>
      <c r="DM410" s="1973">
        <v>0</v>
      </c>
      <c r="DO410" s="1974">
        <v>15</v>
      </c>
      <c r="DP410" s="1974">
        <v>-1103.8355523767607</v>
      </c>
      <c r="DQ410" s="1974">
        <v>-0.17697329812206575</v>
      </c>
      <c r="DR410" s="1974">
        <v>1410.9147306857637</v>
      </c>
      <c r="DS410" s="2124">
        <v>0</v>
      </c>
      <c r="DT410" s="2029">
        <v>0</v>
      </c>
      <c r="DU410" s="2029">
        <v>0</v>
      </c>
      <c r="DV410" s="2029">
        <v>0</v>
      </c>
      <c r="DW410" s="2124">
        <v>3249.9965604166664</v>
      </c>
      <c r="DX410" s="2029">
        <v>3249.9965604166664</v>
      </c>
      <c r="DY410" s="2029">
        <v>3249.9965604166664</v>
      </c>
      <c r="DZ410" s="2029">
        <v>3249.9965604166664</v>
      </c>
      <c r="EA410" s="2124">
        <v>2179.2916666666665</v>
      </c>
      <c r="EB410" s="2029">
        <v>2179.2916666666665</v>
      </c>
      <c r="EC410" s="2029">
        <v>2179.2916666666665</v>
      </c>
      <c r="ED410" s="2029">
        <v>2179.2916666666665</v>
      </c>
      <c r="EE410" s="2039">
        <f t="shared" si="253"/>
        <v>0</v>
      </c>
      <c r="EF410" s="2039">
        <f t="shared" si="253"/>
        <v>0</v>
      </c>
      <c r="EG410" s="2039">
        <f t="shared" si="253"/>
        <v>0</v>
      </c>
      <c r="EH410" s="2039" t="e">
        <f t="shared" si="252"/>
        <v>#VALUE!</v>
      </c>
      <c r="EI410" s="2040">
        <f t="shared" si="233"/>
        <v>0</v>
      </c>
      <c r="EJ410" s="2040">
        <f t="shared" si="233"/>
        <v>0</v>
      </c>
      <c r="EK410" s="2040">
        <f t="shared" si="233"/>
        <v>0</v>
      </c>
      <c r="EL410" s="2040">
        <f t="shared" si="232"/>
        <v>0</v>
      </c>
      <c r="EM410" s="2040">
        <f t="shared" si="232"/>
        <v>0</v>
      </c>
      <c r="EN410" s="2040">
        <f t="shared" si="232"/>
        <v>0</v>
      </c>
      <c r="EO410" s="2040">
        <f t="shared" si="232"/>
        <v>0</v>
      </c>
      <c r="EP410" s="2040">
        <f t="shared" si="232"/>
        <v>0</v>
      </c>
      <c r="EQ410" s="2040">
        <f t="shared" si="232"/>
        <v>0</v>
      </c>
      <c r="ER410" s="2040">
        <f t="shared" si="261"/>
        <v>0</v>
      </c>
      <c r="ES410" s="2040">
        <f t="shared" si="261"/>
        <v>0</v>
      </c>
      <c r="ET410" s="2040">
        <f t="shared" si="261"/>
        <v>0</v>
      </c>
      <c r="EU410" s="2039" t="e">
        <f t="shared" si="254"/>
        <v>#VALUE!</v>
      </c>
      <c r="EV410" s="2039" t="e">
        <f t="shared" si="255"/>
        <v>#VALUE!</v>
      </c>
    </row>
    <row r="411" spans="1:152" x14ac:dyDescent="0.25">
      <c r="A411" s="2088" t="s">
        <v>182</v>
      </c>
      <c r="B411" s="2093" t="str">
        <f t="shared" si="234"/>
        <v>BPM10</v>
      </c>
      <c r="C411" s="1974">
        <f t="shared" ref="C411:F426" si="265">C167</f>
        <v>14</v>
      </c>
      <c r="D411" s="1974">
        <f t="shared" si="265"/>
        <v>0</v>
      </c>
      <c r="E411" s="1974">
        <f t="shared" si="265"/>
        <v>0</v>
      </c>
      <c r="F411" s="1974">
        <f t="shared" si="265"/>
        <v>405.14400000000001</v>
      </c>
      <c r="G411" s="1974" t="s">
        <v>2997</v>
      </c>
      <c r="H411" s="1974" t="s">
        <v>2997</v>
      </c>
      <c r="I411" s="2026">
        <v>0.96199999999999997</v>
      </c>
      <c r="J411" s="2026">
        <v>0.96199999999999997</v>
      </c>
      <c r="K411" s="2026">
        <v>0.96199999999999997</v>
      </c>
      <c r="L411" s="2026">
        <v>0.96199999999999997</v>
      </c>
      <c r="M411" s="2027">
        <f t="shared" si="242"/>
        <v>0</v>
      </c>
      <c r="N411" s="2027">
        <f t="shared" si="242"/>
        <v>0</v>
      </c>
      <c r="O411" s="2027">
        <f t="shared" si="242"/>
        <v>0</v>
      </c>
      <c r="P411" s="2027">
        <f t="shared" si="242"/>
        <v>0</v>
      </c>
      <c r="Q411" s="2026">
        <v>0.96199999999999997</v>
      </c>
      <c r="R411" s="2026">
        <v>0.96199999999999997</v>
      </c>
      <c r="S411" s="2026">
        <v>0.96199999999999997</v>
      </c>
      <c r="T411" s="2026">
        <v>0.96199999999999997</v>
      </c>
      <c r="U411" s="2028">
        <f t="shared" si="243"/>
        <v>0</v>
      </c>
      <c r="V411" s="2028">
        <f t="shared" si="243"/>
        <v>0</v>
      </c>
      <c r="W411" s="2028">
        <f t="shared" si="243"/>
        <v>0</v>
      </c>
      <c r="X411" s="2028">
        <f t="shared" si="243"/>
        <v>0</v>
      </c>
      <c r="Y411" s="2026">
        <v>0.96199999999999997</v>
      </c>
      <c r="Z411" s="2026">
        <v>0.96199999999999997</v>
      </c>
      <c r="AA411" s="2026">
        <v>0.96199999999999997</v>
      </c>
      <c r="AB411" s="2026">
        <v>0.96199999999999997</v>
      </c>
      <c r="AC411" s="2027">
        <f t="shared" si="244"/>
        <v>389.74852799999996</v>
      </c>
      <c r="AD411" s="2027">
        <f t="shared" si="244"/>
        <v>389.74852799999996</v>
      </c>
      <c r="AE411" s="2027">
        <f t="shared" si="244"/>
        <v>389.74852799999996</v>
      </c>
      <c r="AF411" s="2027">
        <f t="shared" si="244"/>
        <v>389.74852799999996</v>
      </c>
      <c r="AG411" s="2027">
        <v>0</v>
      </c>
      <c r="AH411" s="2028"/>
      <c r="AI411" s="2028"/>
      <c r="AJ411" s="2028"/>
      <c r="AK411" s="2027">
        <f t="shared" si="250"/>
        <v>0</v>
      </c>
      <c r="AL411" s="2027">
        <f t="shared" si="236"/>
        <v>0</v>
      </c>
      <c r="AM411" s="2027">
        <f t="shared" si="236"/>
        <v>0</v>
      </c>
      <c r="AN411" s="2027">
        <f t="shared" si="236"/>
        <v>0</v>
      </c>
      <c r="AO411" s="2027">
        <f t="shared" si="245"/>
        <v>0</v>
      </c>
      <c r="AP411" s="2027">
        <f t="shared" si="237"/>
        <v>0</v>
      </c>
      <c r="AQ411" s="2027">
        <f t="shared" si="237"/>
        <v>0</v>
      </c>
      <c r="AR411" s="2027">
        <f t="shared" si="237"/>
        <v>0</v>
      </c>
      <c r="AS411" s="2124">
        <f t="shared" si="263"/>
        <v>0</v>
      </c>
      <c r="AT411" s="2029">
        <f t="shared" si="238"/>
        <v>0</v>
      </c>
      <c r="AU411" s="2029">
        <f t="shared" si="238"/>
        <v>0</v>
      </c>
      <c r="AV411" s="2029">
        <f t="shared" si="238"/>
        <v>0</v>
      </c>
      <c r="AW411" s="2124">
        <f t="shared" si="264"/>
        <v>1267.5</v>
      </c>
      <c r="AX411" s="2029">
        <f t="shared" si="257"/>
        <v>1267.5</v>
      </c>
      <c r="AY411" s="2029">
        <f t="shared" si="257"/>
        <v>1267.5</v>
      </c>
      <c r="AZ411" s="2029">
        <f t="shared" si="257"/>
        <v>1267.5</v>
      </c>
      <c r="BA411" s="2124">
        <f t="shared" si="260"/>
        <v>700</v>
      </c>
      <c r="BB411" s="2029">
        <f t="shared" si="260"/>
        <v>700</v>
      </c>
      <c r="BC411" s="2029">
        <f t="shared" si="260"/>
        <v>700</v>
      </c>
      <c r="BD411" s="2029">
        <f t="shared" si="260"/>
        <v>700</v>
      </c>
      <c r="BE411" s="2030">
        <f t="shared" si="239"/>
        <v>0</v>
      </c>
      <c r="BF411" s="2030">
        <f t="shared" si="239"/>
        <v>0</v>
      </c>
      <c r="BG411" s="2030">
        <f t="shared" si="239"/>
        <v>0</v>
      </c>
      <c r="BH411" s="2030">
        <f t="shared" si="239"/>
        <v>0</v>
      </c>
      <c r="BI411" s="2030">
        <f t="shared" si="240"/>
        <v>0</v>
      </c>
      <c r="BJ411" s="2030">
        <f t="shared" si="240"/>
        <v>0</v>
      </c>
      <c r="BK411" s="2030">
        <f t="shared" si="240"/>
        <v>0</v>
      </c>
      <c r="BL411" s="2030">
        <f t="shared" si="240"/>
        <v>0</v>
      </c>
      <c r="BM411" s="2125"/>
      <c r="BN411" s="2125"/>
      <c r="BO411" s="2125"/>
      <c r="BP411" s="2125"/>
      <c r="BQ411" s="2125"/>
      <c r="BR411" s="2125"/>
      <c r="BS411" s="2125"/>
      <c r="BT411" s="2125"/>
      <c r="BU411" s="2029"/>
      <c r="BV411" s="2029"/>
      <c r="BW411" s="2029"/>
      <c r="BX411" s="2029"/>
      <c r="BY411" s="2029"/>
      <c r="BZ411" s="2032"/>
      <c r="CA411" s="1974">
        <f t="shared" ref="CA411:CK426" si="266">CA167</f>
        <v>0</v>
      </c>
      <c r="CB411" s="1974">
        <f t="shared" si="266"/>
        <v>0</v>
      </c>
      <c r="CC411" s="1974">
        <f t="shared" si="266"/>
        <v>0</v>
      </c>
      <c r="CD411" s="1974">
        <f t="shared" si="266"/>
        <v>0</v>
      </c>
      <c r="CE411" s="1974">
        <f t="shared" si="266"/>
        <v>0</v>
      </c>
      <c r="CF411" s="2033">
        <v>0</v>
      </c>
      <c r="CG411" s="2026">
        <v>0</v>
      </c>
      <c r="CH411" s="2009">
        <f t="shared" si="266"/>
        <v>0</v>
      </c>
      <c r="CI411" s="2031">
        <f t="shared" si="266"/>
        <v>0</v>
      </c>
      <c r="CJ411" s="1974">
        <f t="shared" si="266"/>
        <v>0</v>
      </c>
      <c r="CK411" s="2031">
        <f t="shared" si="266"/>
        <v>0</v>
      </c>
      <c r="CL411" s="2026">
        <v>1</v>
      </c>
      <c r="CM411" s="2026">
        <v>1</v>
      </c>
      <c r="CN411" s="2026">
        <v>1</v>
      </c>
      <c r="CO411" s="2026">
        <v>1</v>
      </c>
      <c r="CP411" s="2035"/>
      <c r="CQ411" s="2036"/>
      <c r="CR411" s="2036"/>
      <c r="CS411" s="2036"/>
      <c r="CT411" s="2036"/>
      <c r="CU411" s="2036"/>
      <c r="CW411" s="1973">
        <v>0</v>
      </c>
      <c r="CX411" s="2037">
        <v>845</v>
      </c>
      <c r="CY411" s="2037">
        <v>845</v>
      </c>
      <c r="CZ411" s="2037">
        <v>845</v>
      </c>
      <c r="DA411" s="2037">
        <v>845</v>
      </c>
      <c r="DJ411" s="1976">
        <v>0</v>
      </c>
      <c r="DK411" s="1973">
        <v>0</v>
      </c>
      <c r="DL411" s="1973">
        <v>0</v>
      </c>
      <c r="DM411" s="1973">
        <v>0</v>
      </c>
      <c r="DO411" s="1974">
        <v>14</v>
      </c>
      <c r="DP411" s="1974">
        <v>0</v>
      </c>
      <c r="DQ411" s="1974">
        <v>0</v>
      </c>
      <c r="DR411" s="1974">
        <v>405.14400000000001</v>
      </c>
      <c r="DS411" s="2124">
        <v>0</v>
      </c>
      <c r="DT411" s="2029">
        <v>0</v>
      </c>
      <c r="DU411" s="2029">
        <v>0</v>
      </c>
      <c r="DV411" s="2029">
        <v>0</v>
      </c>
      <c r="DW411" s="2124">
        <v>1267.5</v>
      </c>
      <c r="DX411" s="2029">
        <v>1267.5</v>
      </c>
      <c r="DY411" s="2029">
        <v>1267.5</v>
      </c>
      <c r="DZ411" s="2029">
        <v>1267.5</v>
      </c>
      <c r="EA411" s="2124">
        <v>700</v>
      </c>
      <c r="EB411" s="2029">
        <v>700</v>
      </c>
      <c r="EC411" s="2029">
        <v>700</v>
      </c>
      <c r="ED411" s="2029">
        <v>700</v>
      </c>
      <c r="EE411" s="2039">
        <f t="shared" si="253"/>
        <v>0</v>
      </c>
      <c r="EF411" s="2039">
        <f t="shared" si="253"/>
        <v>0</v>
      </c>
      <c r="EG411" s="2039">
        <f t="shared" si="253"/>
        <v>0</v>
      </c>
      <c r="EH411" s="2039">
        <f t="shared" si="252"/>
        <v>0</v>
      </c>
      <c r="EI411" s="2040">
        <f t="shared" si="233"/>
        <v>0</v>
      </c>
      <c r="EJ411" s="2040">
        <f t="shared" si="233"/>
        <v>0</v>
      </c>
      <c r="EK411" s="2040">
        <f t="shared" si="233"/>
        <v>0</v>
      </c>
      <c r="EL411" s="2040">
        <f t="shared" si="232"/>
        <v>0</v>
      </c>
      <c r="EM411" s="2040">
        <f t="shared" si="232"/>
        <v>0</v>
      </c>
      <c r="EN411" s="2040">
        <f t="shared" si="232"/>
        <v>0</v>
      </c>
      <c r="EO411" s="2040">
        <f t="shared" si="232"/>
        <v>0</v>
      </c>
      <c r="EP411" s="2040">
        <f t="shared" si="232"/>
        <v>0</v>
      </c>
      <c r="EQ411" s="2040">
        <f t="shared" si="232"/>
        <v>0</v>
      </c>
      <c r="ER411" s="2040">
        <f t="shared" si="261"/>
        <v>0</v>
      </c>
      <c r="ES411" s="2040">
        <f t="shared" si="261"/>
        <v>0</v>
      </c>
      <c r="ET411" s="2040">
        <f t="shared" si="261"/>
        <v>0</v>
      </c>
      <c r="EU411" s="2039">
        <f t="shared" si="254"/>
        <v>0</v>
      </c>
      <c r="EV411" s="2039">
        <f t="shared" si="255"/>
        <v>0</v>
      </c>
    </row>
    <row r="412" spans="1:152" x14ac:dyDescent="0.25">
      <c r="A412" s="2088" t="s">
        <v>260</v>
      </c>
      <c r="B412" s="2093" t="str">
        <f t="shared" si="234"/>
        <v/>
      </c>
      <c r="C412" s="1974">
        <f t="shared" si="265"/>
        <v>0</v>
      </c>
      <c r="D412" s="1974">
        <f t="shared" si="265"/>
        <v>0</v>
      </c>
      <c r="E412" s="1974">
        <f t="shared" si="265"/>
        <v>0</v>
      </c>
      <c r="F412" s="1974">
        <f t="shared" si="265"/>
        <v>0</v>
      </c>
      <c r="G412" s="1974" t="s">
        <v>2997</v>
      </c>
      <c r="H412" s="1974" t="s">
        <v>2997</v>
      </c>
      <c r="I412" s="2026">
        <v>0.96199999999999997</v>
      </c>
      <c r="J412" s="2026">
        <v>0.96199999999999997</v>
      </c>
      <c r="K412" s="2026">
        <v>0.96199999999999997</v>
      </c>
      <c r="L412" s="2026">
        <v>0.96199999999999997</v>
      </c>
      <c r="M412" s="2027">
        <f t="shared" si="242"/>
        <v>0</v>
      </c>
      <c r="N412" s="2027">
        <f t="shared" si="242"/>
        <v>0</v>
      </c>
      <c r="O412" s="2027">
        <f t="shared" si="242"/>
        <v>0</v>
      </c>
      <c r="P412" s="2027">
        <f t="shared" si="242"/>
        <v>0</v>
      </c>
      <c r="Q412" s="2026">
        <v>0.96199999999999997</v>
      </c>
      <c r="R412" s="2026">
        <v>0.96199999999999997</v>
      </c>
      <c r="S412" s="2026">
        <v>0.96199999999999997</v>
      </c>
      <c r="T412" s="2026">
        <v>0.96199999999999997</v>
      </c>
      <c r="U412" s="2028">
        <f t="shared" si="243"/>
        <v>0</v>
      </c>
      <c r="V412" s="2028">
        <f t="shared" si="243"/>
        <v>0</v>
      </c>
      <c r="W412" s="2028">
        <f t="shared" si="243"/>
        <v>0</v>
      </c>
      <c r="X412" s="2028">
        <f t="shared" si="243"/>
        <v>0</v>
      </c>
      <c r="Y412" s="2026">
        <v>0.96199999999999997</v>
      </c>
      <c r="Z412" s="2026">
        <v>0.96199999999999997</v>
      </c>
      <c r="AA412" s="2026">
        <v>0.96199999999999997</v>
      </c>
      <c r="AB412" s="2026">
        <v>0.96199999999999997</v>
      </c>
      <c r="AC412" s="2027">
        <f t="shared" si="244"/>
        <v>0</v>
      </c>
      <c r="AD412" s="2027">
        <f t="shared" si="244"/>
        <v>0</v>
      </c>
      <c r="AE412" s="2027">
        <f t="shared" si="244"/>
        <v>0</v>
      </c>
      <c r="AF412" s="2027">
        <f t="shared" si="244"/>
        <v>0</v>
      </c>
      <c r="AG412" s="2027">
        <v>0</v>
      </c>
      <c r="AH412" s="2028"/>
      <c r="AI412" s="2028"/>
      <c r="AJ412" s="2028"/>
      <c r="AK412" s="2027">
        <f t="shared" si="250"/>
        <v>0</v>
      </c>
      <c r="AL412" s="2027">
        <f t="shared" si="236"/>
        <v>0</v>
      </c>
      <c r="AM412" s="2027">
        <f t="shared" si="236"/>
        <v>0</v>
      </c>
      <c r="AN412" s="2027">
        <f t="shared" si="236"/>
        <v>0</v>
      </c>
      <c r="AO412" s="2027">
        <f t="shared" si="245"/>
        <v>0</v>
      </c>
      <c r="AP412" s="2027">
        <f t="shared" si="237"/>
        <v>0</v>
      </c>
      <c r="AQ412" s="2027">
        <f t="shared" si="237"/>
        <v>0</v>
      </c>
      <c r="AR412" s="2027">
        <f t="shared" si="237"/>
        <v>0</v>
      </c>
      <c r="AS412" s="2124">
        <f t="shared" si="263"/>
        <v>0</v>
      </c>
      <c r="AT412" s="2029">
        <f t="shared" si="238"/>
        <v>0</v>
      </c>
      <c r="AU412" s="2029">
        <f t="shared" si="238"/>
        <v>0</v>
      </c>
      <c r="AV412" s="2029">
        <f t="shared" si="238"/>
        <v>0</v>
      </c>
      <c r="AW412" s="2124">
        <f t="shared" si="264"/>
        <v>0</v>
      </c>
      <c r="AX412" s="2029">
        <f t="shared" si="257"/>
        <v>0</v>
      </c>
      <c r="AY412" s="2029">
        <f t="shared" si="257"/>
        <v>0</v>
      </c>
      <c r="AZ412" s="2029">
        <f t="shared" si="257"/>
        <v>0</v>
      </c>
      <c r="BA412" s="2124">
        <f t="shared" si="260"/>
        <v>0</v>
      </c>
      <c r="BB412" s="2029">
        <f t="shared" si="260"/>
        <v>0</v>
      </c>
      <c r="BC412" s="2029">
        <f t="shared" si="260"/>
        <v>0</v>
      </c>
      <c r="BD412" s="2029">
        <f t="shared" si="260"/>
        <v>0</v>
      </c>
      <c r="BE412" s="2030">
        <f t="shared" si="239"/>
        <v>0</v>
      </c>
      <c r="BF412" s="2030">
        <f t="shared" si="239"/>
        <v>0</v>
      </c>
      <c r="BG412" s="2030">
        <f t="shared" si="239"/>
        <v>0</v>
      </c>
      <c r="BH412" s="2030">
        <f t="shared" si="239"/>
        <v>0</v>
      </c>
      <c r="BI412" s="2030">
        <f t="shared" si="240"/>
        <v>0</v>
      </c>
      <c r="BJ412" s="2030">
        <f t="shared" si="240"/>
        <v>0</v>
      </c>
      <c r="BK412" s="2030">
        <f t="shared" si="240"/>
        <v>0</v>
      </c>
      <c r="BL412" s="2030">
        <f t="shared" si="240"/>
        <v>0</v>
      </c>
      <c r="BM412" s="2125"/>
      <c r="BN412" s="2125"/>
      <c r="BO412" s="2125"/>
      <c r="BP412" s="2125"/>
      <c r="BQ412" s="2125"/>
      <c r="BR412" s="2125"/>
      <c r="BS412" s="2125"/>
      <c r="BT412" s="2125"/>
      <c r="BU412" s="2029"/>
      <c r="BV412" s="2029"/>
      <c r="BW412" s="2029"/>
      <c r="BX412" s="2029"/>
      <c r="BY412" s="2029"/>
      <c r="BZ412" s="2032"/>
      <c r="CA412" s="1974">
        <f t="shared" si="266"/>
        <v>0</v>
      </c>
      <c r="CB412" s="1974">
        <f t="shared" si="266"/>
        <v>0</v>
      </c>
      <c r="CC412" s="1974">
        <f t="shared" si="266"/>
        <v>0</v>
      </c>
      <c r="CD412" s="1974">
        <f t="shared" si="266"/>
        <v>0</v>
      </c>
      <c r="CE412" s="1974">
        <f t="shared" si="266"/>
        <v>0</v>
      </c>
      <c r="CF412" s="2033">
        <v>0</v>
      </c>
      <c r="CG412" s="2026">
        <v>0</v>
      </c>
      <c r="CH412" s="2009">
        <f t="shared" si="266"/>
        <v>0</v>
      </c>
      <c r="CI412" s="2031">
        <f t="shared" si="266"/>
        <v>0</v>
      </c>
      <c r="CJ412" s="1974">
        <f t="shared" si="266"/>
        <v>0</v>
      </c>
      <c r="CK412" s="2031">
        <f t="shared" si="266"/>
        <v>0</v>
      </c>
      <c r="CL412" s="2026">
        <v>1</v>
      </c>
      <c r="CM412" s="2026">
        <v>1</v>
      </c>
      <c r="CN412" s="2026">
        <v>1</v>
      </c>
      <c r="CO412" s="2026">
        <v>1</v>
      </c>
      <c r="CP412" s="2035"/>
      <c r="CQ412" s="2036"/>
      <c r="CR412" s="2036"/>
      <c r="CS412" s="2036"/>
      <c r="CT412" s="2036"/>
      <c r="CU412" s="2036"/>
      <c r="CW412" s="1973">
        <v>0</v>
      </c>
      <c r="CX412" s="2037">
        <v>0</v>
      </c>
      <c r="CY412" s="2037">
        <v>0</v>
      </c>
      <c r="CZ412" s="2037">
        <v>0</v>
      </c>
      <c r="DA412" s="2037">
        <v>0</v>
      </c>
      <c r="DJ412" s="1976">
        <v>0</v>
      </c>
      <c r="DK412" s="1973">
        <v>0</v>
      </c>
      <c r="DL412" s="1973">
        <v>0</v>
      </c>
      <c r="DM412" s="1973">
        <v>0</v>
      </c>
      <c r="DO412" s="1974">
        <v>0</v>
      </c>
      <c r="DP412" s="1974">
        <v>0</v>
      </c>
      <c r="DQ412" s="1974">
        <v>0</v>
      </c>
      <c r="DR412" s="1974">
        <v>0</v>
      </c>
      <c r="DS412" s="2124">
        <v>0</v>
      </c>
      <c r="DT412" s="2029">
        <v>0</v>
      </c>
      <c r="DU412" s="2029">
        <v>0</v>
      </c>
      <c r="DV412" s="2029">
        <v>0</v>
      </c>
      <c r="DW412" s="2124">
        <v>0</v>
      </c>
      <c r="DX412" s="2029">
        <v>0</v>
      </c>
      <c r="DY412" s="2029">
        <v>0</v>
      </c>
      <c r="DZ412" s="2029">
        <v>0</v>
      </c>
      <c r="EA412" s="2124">
        <v>0</v>
      </c>
      <c r="EB412" s="2029">
        <v>0</v>
      </c>
      <c r="EC412" s="2029">
        <v>0</v>
      </c>
      <c r="ED412" s="2029">
        <v>0</v>
      </c>
      <c r="EE412" s="2039">
        <f t="shared" si="253"/>
        <v>0</v>
      </c>
      <c r="EF412" s="2039">
        <f t="shared" si="253"/>
        <v>0</v>
      </c>
      <c r="EG412" s="2039">
        <f t="shared" si="253"/>
        <v>0</v>
      </c>
      <c r="EH412" s="2039">
        <f t="shared" si="252"/>
        <v>0</v>
      </c>
      <c r="EI412" s="2040">
        <f t="shared" si="233"/>
        <v>0</v>
      </c>
      <c r="EJ412" s="2040">
        <f t="shared" si="233"/>
        <v>0</v>
      </c>
      <c r="EK412" s="2040">
        <f t="shared" si="233"/>
        <v>0</v>
      </c>
      <c r="EL412" s="2040">
        <f t="shared" si="232"/>
        <v>0</v>
      </c>
      <c r="EM412" s="2040">
        <f t="shared" si="232"/>
        <v>0</v>
      </c>
      <c r="EN412" s="2040">
        <f t="shared" si="232"/>
        <v>0</v>
      </c>
      <c r="EO412" s="2040">
        <f t="shared" si="232"/>
        <v>0</v>
      </c>
      <c r="EP412" s="2040">
        <f t="shared" si="232"/>
        <v>0</v>
      </c>
      <c r="EQ412" s="2040">
        <f t="shared" si="232"/>
        <v>0</v>
      </c>
      <c r="ER412" s="2040">
        <f t="shared" si="261"/>
        <v>0</v>
      </c>
      <c r="ES412" s="2040">
        <f t="shared" si="261"/>
        <v>0</v>
      </c>
      <c r="ET412" s="2040">
        <f t="shared" si="261"/>
        <v>0</v>
      </c>
      <c r="EU412" s="2039">
        <f t="shared" si="254"/>
        <v>0</v>
      </c>
      <c r="EV412" s="2039">
        <f t="shared" si="255"/>
        <v>0</v>
      </c>
    </row>
    <row r="413" spans="1:152" x14ac:dyDescent="0.25">
      <c r="A413" s="2088" t="s">
        <v>261</v>
      </c>
      <c r="B413" s="2093" t="str">
        <f t="shared" si="234"/>
        <v/>
      </c>
      <c r="C413" s="1974">
        <f t="shared" si="265"/>
        <v>0</v>
      </c>
      <c r="D413" s="1974">
        <f t="shared" si="265"/>
        <v>0</v>
      </c>
      <c r="E413" s="1974">
        <f t="shared" si="265"/>
        <v>0</v>
      </c>
      <c r="F413" s="1974">
        <f t="shared" si="265"/>
        <v>0</v>
      </c>
      <c r="G413" s="1974" t="s">
        <v>2997</v>
      </c>
      <c r="H413" s="1974" t="s">
        <v>2997</v>
      </c>
      <c r="I413" s="2026">
        <v>0.96199999999999997</v>
      </c>
      <c r="J413" s="2026">
        <v>0.96199999999999997</v>
      </c>
      <c r="K413" s="2026">
        <v>0.96199999999999997</v>
      </c>
      <c r="L413" s="2026">
        <v>0.96199999999999997</v>
      </c>
      <c r="M413" s="2027">
        <f t="shared" si="242"/>
        <v>0</v>
      </c>
      <c r="N413" s="2027">
        <f t="shared" si="242"/>
        <v>0</v>
      </c>
      <c r="O413" s="2027">
        <f t="shared" si="242"/>
        <v>0</v>
      </c>
      <c r="P413" s="2027">
        <f t="shared" si="242"/>
        <v>0</v>
      </c>
      <c r="Q413" s="2026">
        <v>0.96199999999999997</v>
      </c>
      <c r="R413" s="2026">
        <v>0.96199999999999997</v>
      </c>
      <c r="S413" s="2026">
        <v>0.96199999999999997</v>
      </c>
      <c r="T413" s="2026">
        <v>0.96199999999999997</v>
      </c>
      <c r="U413" s="2028">
        <f t="shared" si="243"/>
        <v>0</v>
      </c>
      <c r="V413" s="2028">
        <f t="shared" si="243"/>
        <v>0</v>
      </c>
      <c r="W413" s="2028">
        <f t="shared" si="243"/>
        <v>0</v>
      </c>
      <c r="X413" s="2028">
        <f t="shared" si="243"/>
        <v>0</v>
      </c>
      <c r="Y413" s="2026">
        <v>0.96199999999999997</v>
      </c>
      <c r="Z413" s="2026">
        <v>0.96199999999999997</v>
      </c>
      <c r="AA413" s="2026">
        <v>0.96199999999999997</v>
      </c>
      <c r="AB413" s="2026">
        <v>0.96199999999999997</v>
      </c>
      <c r="AC413" s="2027">
        <f t="shared" si="244"/>
        <v>0</v>
      </c>
      <c r="AD413" s="2027">
        <f t="shared" si="244"/>
        <v>0</v>
      </c>
      <c r="AE413" s="2027">
        <f t="shared" si="244"/>
        <v>0</v>
      </c>
      <c r="AF413" s="2027">
        <f t="shared" si="244"/>
        <v>0</v>
      </c>
      <c r="AG413" s="2027">
        <v>0</v>
      </c>
      <c r="AH413" s="2028"/>
      <c r="AI413" s="2028"/>
      <c r="AJ413" s="2028"/>
      <c r="AK413" s="2027">
        <f t="shared" si="250"/>
        <v>0</v>
      </c>
      <c r="AL413" s="2027">
        <f t="shared" si="236"/>
        <v>0</v>
      </c>
      <c r="AM413" s="2027">
        <f t="shared" si="236"/>
        <v>0</v>
      </c>
      <c r="AN413" s="2027">
        <f t="shared" si="236"/>
        <v>0</v>
      </c>
      <c r="AO413" s="2027">
        <f t="shared" si="245"/>
        <v>0</v>
      </c>
      <c r="AP413" s="2027">
        <f t="shared" si="237"/>
        <v>0</v>
      </c>
      <c r="AQ413" s="2027">
        <f t="shared" si="237"/>
        <v>0</v>
      </c>
      <c r="AR413" s="2027">
        <f t="shared" si="237"/>
        <v>0</v>
      </c>
      <c r="AS413" s="2124">
        <f t="shared" si="263"/>
        <v>0</v>
      </c>
      <c r="AT413" s="2029">
        <f t="shared" si="238"/>
        <v>0</v>
      </c>
      <c r="AU413" s="2029">
        <f t="shared" si="238"/>
        <v>0</v>
      </c>
      <c r="AV413" s="2029">
        <f t="shared" si="238"/>
        <v>0</v>
      </c>
      <c r="AW413" s="2124">
        <f t="shared" si="264"/>
        <v>0</v>
      </c>
      <c r="AX413" s="2029">
        <f t="shared" si="257"/>
        <v>0</v>
      </c>
      <c r="AY413" s="2029">
        <f t="shared" si="257"/>
        <v>0</v>
      </c>
      <c r="AZ413" s="2029">
        <f t="shared" si="257"/>
        <v>0</v>
      </c>
      <c r="BA413" s="2124">
        <f t="shared" ref="BA413:BD428" si="267">BA169</f>
        <v>0</v>
      </c>
      <c r="BB413" s="2029">
        <f t="shared" si="267"/>
        <v>0</v>
      </c>
      <c r="BC413" s="2029">
        <f t="shared" si="267"/>
        <v>0</v>
      </c>
      <c r="BD413" s="2029">
        <f t="shared" si="267"/>
        <v>0</v>
      </c>
      <c r="BE413" s="2030">
        <f t="shared" si="239"/>
        <v>0</v>
      </c>
      <c r="BF413" s="2030">
        <f t="shared" si="239"/>
        <v>0</v>
      </c>
      <c r="BG413" s="2030">
        <f t="shared" si="239"/>
        <v>0</v>
      </c>
      <c r="BH413" s="2030">
        <f t="shared" si="239"/>
        <v>0</v>
      </c>
      <c r="BI413" s="2030">
        <f t="shared" si="240"/>
        <v>0</v>
      </c>
      <c r="BJ413" s="2030">
        <f t="shared" si="240"/>
        <v>0</v>
      </c>
      <c r="BK413" s="2030">
        <f t="shared" si="240"/>
        <v>0</v>
      </c>
      <c r="BL413" s="2030">
        <f t="shared" si="240"/>
        <v>0</v>
      </c>
      <c r="BM413" s="2125"/>
      <c r="BN413" s="2125"/>
      <c r="BO413" s="2125"/>
      <c r="BP413" s="2125"/>
      <c r="BQ413" s="2125"/>
      <c r="BR413" s="2125"/>
      <c r="BS413" s="2125"/>
      <c r="BT413" s="2125"/>
      <c r="BU413" s="2029"/>
      <c r="BV413" s="2029"/>
      <c r="BW413" s="2029"/>
      <c r="BX413" s="2029"/>
      <c r="BY413" s="2029"/>
      <c r="BZ413" s="2032"/>
      <c r="CA413" s="1974">
        <f t="shared" si="266"/>
        <v>0</v>
      </c>
      <c r="CB413" s="1974">
        <f t="shared" si="266"/>
        <v>0</v>
      </c>
      <c r="CC413" s="1974">
        <f t="shared" si="266"/>
        <v>0</v>
      </c>
      <c r="CD413" s="1974">
        <f t="shared" si="266"/>
        <v>0</v>
      </c>
      <c r="CE413" s="1974">
        <f t="shared" si="266"/>
        <v>0</v>
      </c>
      <c r="CF413" s="2033">
        <v>0</v>
      </c>
      <c r="CG413" s="2026">
        <v>0</v>
      </c>
      <c r="CH413" s="2009">
        <f t="shared" si="266"/>
        <v>0</v>
      </c>
      <c r="CI413" s="2031">
        <f t="shared" si="266"/>
        <v>0</v>
      </c>
      <c r="CJ413" s="1974">
        <f t="shared" si="266"/>
        <v>0</v>
      </c>
      <c r="CK413" s="2031">
        <f t="shared" si="266"/>
        <v>0</v>
      </c>
      <c r="CL413" s="2026">
        <v>1</v>
      </c>
      <c r="CM413" s="2026">
        <v>1</v>
      </c>
      <c r="CN413" s="2026">
        <v>1</v>
      </c>
      <c r="CO413" s="2026">
        <v>1</v>
      </c>
      <c r="CP413" s="2035"/>
      <c r="CQ413" s="2036"/>
      <c r="CR413" s="2036"/>
      <c r="CS413" s="2036"/>
      <c r="CT413" s="2036"/>
      <c r="CU413" s="2036"/>
      <c r="CW413" s="1973">
        <v>0</v>
      </c>
      <c r="CX413" s="2037">
        <v>0</v>
      </c>
      <c r="CY413" s="2037">
        <v>0</v>
      </c>
      <c r="CZ413" s="2037">
        <v>0</v>
      </c>
      <c r="DA413" s="2037">
        <v>0</v>
      </c>
      <c r="DJ413" s="1976">
        <v>0</v>
      </c>
      <c r="DK413" s="1973">
        <v>0</v>
      </c>
      <c r="DL413" s="1973">
        <v>0</v>
      </c>
      <c r="DM413" s="1973">
        <v>0</v>
      </c>
      <c r="DO413" s="1974">
        <v>0</v>
      </c>
      <c r="DP413" s="1974">
        <v>0</v>
      </c>
      <c r="DQ413" s="1974">
        <v>0</v>
      </c>
      <c r="DR413" s="1974">
        <v>0</v>
      </c>
      <c r="DS413" s="2124">
        <v>0</v>
      </c>
      <c r="DT413" s="2029">
        <v>0</v>
      </c>
      <c r="DU413" s="2029">
        <v>0</v>
      </c>
      <c r="DV413" s="2029">
        <v>0</v>
      </c>
      <c r="DW413" s="2124">
        <v>0</v>
      </c>
      <c r="DX413" s="2029">
        <v>0</v>
      </c>
      <c r="DY413" s="2029">
        <v>0</v>
      </c>
      <c r="DZ413" s="2029">
        <v>0</v>
      </c>
      <c r="EA413" s="2124">
        <v>0</v>
      </c>
      <c r="EB413" s="2029">
        <v>0</v>
      </c>
      <c r="EC413" s="2029">
        <v>0</v>
      </c>
      <c r="ED413" s="2029">
        <v>0</v>
      </c>
      <c r="EE413" s="2039">
        <f t="shared" si="253"/>
        <v>0</v>
      </c>
      <c r="EF413" s="2039">
        <f t="shared" si="253"/>
        <v>0</v>
      </c>
      <c r="EG413" s="2039">
        <f t="shared" si="253"/>
        <v>0</v>
      </c>
      <c r="EH413" s="2039">
        <f t="shared" si="252"/>
        <v>0</v>
      </c>
      <c r="EI413" s="2040">
        <f t="shared" si="233"/>
        <v>0</v>
      </c>
      <c r="EJ413" s="2040">
        <f t="shared" si="233"/>
        <v>0</v>
      </c>
      <c r="EK413" s="2040">
        <f t="shared" si="233"/>
        <v>0</v>
      </c>
      <c r="EL413" s="2040">
        <f t="shared" si="232"/>
        <v>0</v>
      </c>
      <c r="EM413" s="2040">
        <f t="shared" si="232"/>
        <v>0</v>
      </c>
      <c r="EN413" s="2040">
        <f t="shared" si="232"/>
        <v>0</v>
      </c>
      <c r="EO413" s="2040">
        <f t="shared" si="232"/>
        <v>0</v>
      </c>
      <c r="EP413" s="2040">
        <f t="shared" si="232"/>
        <v>0</v>
      </c>
      <c r="EQ413" s="2040">
        <f t="shared" si="232"/>
        <v>0</v>
      </c>
      <c r="ER413" s="2040">
        <f t="shared" si="261"/>
        <v>0</v>
      </c>
      <c r="ES413" s="2040">
        <f t="shared" si="261"/>
        <v>0</v>
      </c>
      <c r="ET413" s="2040">
        <f t="shared" si="261"/>
        <v>0</v>
      </c>
      <c r="EU413" s="2039">
        <f t="shared" si="254"/>
        <v>0</v>
      </c>
      <c r="EV413" s="2039">
        <f t="shared" si="255"/>
        <v>0</v>
      </c>
    </row>
    <row r="414" spans="1:152" x14ac:dyDescent="0.25">
      <c r="A414" s="2126" t="s">
        <v>262</v>
      </c>
      <c r="B414" s="2093" t="str">
        <f t="shared" si="234"/>
        <v/>
      </c>
      <c r="C414" s="1974">
        <f t="shared" si="265"/>
        <v>15</v>
      </c>
      <c r="D414" s="1974">
        <f t="shared" si="265"/>
        <v>101.616</v>
      </c>
      <c r="E414" s="1974">
        <f t="shared" si="265"/>
        <v>1.1599999999999999E-2</v>
      </c>
      <c r="F414" s="1974">
        <f t="shared" si="265"/>
        <v>0</v>
      </c>
      <c r="G414" s="1974" t="s">
        <v>2997</v>
      </c>
      <c r="H414" s="1974" t="s">
        <v>2997</v>
      </c>
      <c r="I414" s="2026">
        <v>0.96199999999999997</v>
      </c>
      <c r="J414" s="2026">
        <v>0.96199999999999997</v>
      </c>
      <c r="K414" s="2026">
        <v>0.96199999999999997</v>
      </c>
      <c r="L414" s="2026">
        <v>0.96199999999999997</v>
      </c>
      <c r="M414" s="2027">
        <f t="shared" si="242"/>
        <v>97.754592000000002</v>
      </c>
      <c r="N414" s="2027">
        <f t="shared" si="242"/>
        <v>97.754592000000002</v>
      </c>
      <c r="O414" s="2027">
        <f t="shared" si="242"/>
        <v>97.754592000000002</v>
      </c>
      <c r="P414" s="2027">
        <f t="shared" si="242"/>
        <v>97.754592000000002</v>
      </c>
      <c r="Q414" s="2026">
        <v>0.96199999999999997</v>
      </c>
      <c r="R414" s="2026">
        <v>0.96199999999999997</v>
      </c>
      <c r="S414" s="2026">
        <v>0.96199999999999997</v>
      </c>
      <c r="T414" s="2026">
        <v>0.96199999999999997</v>
      </c>
      <c r="U414" s="2028">
        <f t="shared" si="243"/>
        <v>1.1159199999999999E-2</v>
      </c>
      <c r="V414" s="2028">
        <f t="shared" si="243"/>
        <v>1.1159199999999999E-2</v>
      </c>
      <c r="W414" s="2028">
        <f t="shared" si="243"/>
        <v>1.1159199999999999E-2</v>
      </c>
      <c r="X414" s="2028">
        <f t="shared" si="243"/>
        <v>1.1159199999999999E-2</v>
      </c>
      <c r="Y414" s="2026">
        <v>0.96199999999999997</v>
      </c>
      <c r="Z414" s="2026">
        <v>0.96199999999999997</v>
      </c>
      <c r="AA414" s="2026">
        <v>0.96199999999999997</v>
      </c>
      <c r="AB414" s="2026">
        <v>0.96199999999999997</v>
      </c>
      <c r="AC414" s="2027">
        <f t="shared" si="244"/>
        <v>0</v>
      </c>
      <c r="AD414" s="2027">
        <f t="shared" si="244"/>
        <v>0</v>
      </c>
      <c r="AE414" s="2027">
        <f t="shared" si="244"/>
        <v>0</v>
      </c>
      <c r="AF414" s="2027">
        <f t="shared" si="244"/>
        <v>0</v>
      </c>
      <c r="AG414" s="2027">
        <v>18</v>
      </c>
      <c r="AH414" s="2027">
        <v>18</v>
      </c>
      <c r="AI414" s="2027">
        <v>28</v>
      </c>
      <c r="AJ414" s="2027">
        <v>19</v>
      </c>
      <c r="AK414" s="2027">
        <f t="shared" si="250"/>
        <v>1759.582656</v>
      </c>
      <c r="AL414" s="2027">
        <f t="shared" si="236"/>
        <v>1759.582656</v>
      </c>
      <c r="AM414" s="2027">
        <f t="shared" si="236"/>
        <v>2737.1285760000001</v>
      </c>
      <c r="AN414" s="2027">
        <f t="shared" si="236"/>
        <v>1857.337248</v>
      </c>
      <c r="AO414" s="2027">
        <f t="shared" si="245"/>
        <v>0</v>
      </c>
      <c r="AP414" s="2027">
        <f t="shared" si="237"/>
        <v>0</v>
      </c>
      <c r="AQ414" s="2027">
        <f t="shared" si="237"/>
        <v>0</v>
      </c>
      <c r="AR414" s="2027">
        <f t="shared" si="237"/>
        <v>0</v>
      </c>
      <c r="AS414" s="2124">
        <v>250</v>
      </c>
      <c r="AT414" s="2029">
        <f t="shared" si="238"/>
        <v>250</v>
      </c>
      <c r="AU414" s="2029">
        <f t="shared" si="238"/>
        <v>250</v>
      </c>
      <c r="AV414" s="2029">
        <f t="shared" si="238"/>
        <v>250</v>
      </c>
      <c r="AW414" s="2124">
        <f t="shared" si="264"/>
        <v>0</v>
      </c>
      <c r="AX414" s="2029">
        <f t="shared" si="257"/>
        <v>0</v>
      </c>
      <c r="AY414" s="2029">
        <f t="shared" si="257"/>
        <v>0</v>
      </c>
      <c r="AZ414" s="2029">
        <f t="shared" si="257"/>
        <v>0</v>
      </c>
      <c r="BA414" s="2124">
        <f t="shared" si="267"/>
        <v>224</v>
      </c>
      <c r="BB414" s="2029">
        <f t="shared" si="267"/>
        <v>224</v>
      </c>
      <c r="BC414" s="2029">
        <f t="shared" si="267"/>
        <v>224</v>
      </c>
      <c r="BD414" s="2029">
        <f t="shared" si="267"/>
        <v>224</v>
      </c>
      <c r="BE414" s="2030">
        <f t="shared" si="239"/>
        <v>4500</v>
      </c>
      <c r="BF414" s="2030">
        <f t="shared" si="239"/>
        <v>4500</v>
      </c>
      <c r="BG414" s="2030">
        <f t="shared" si="239"/>
        <v>7000</v>
      </c>
      <c r="BH414" s="2030">
        <f t="shared" si="239"/>
        <v>4750</v>
      </c>
      <c r="BI414" s="2030">
        <f t="shared" si="240"/>
        <v>0</v>
      </c>
      <c r="BJ414" s="2030">
        <f t="shared" si="240"/>
        <v>0</v>
      </c>
      <c r="BK414" s="2030">
        <f t="shared" si="240"/>
        <v>0</v>
      </c>
      <c r="BL414" s="2030">
        <f t="shared" si="240"/>
        <v>0</v>
      </c>
      <c r="BM414" s="2125"/>
      <c r="BN414" s="2125"/>
      <c r="BO414" s="2125"/>
      <c r="BP414" s="2125"/>
      <c r="BQ414" s="2125"/>
      <c r="BR414" s="2125"/>
      <c r="BS414" s="2125"/>
      <c r="BT414" s="2125"/>
      <c r="BU414" s="2029"/>
      <c r="BV414" s="2029"/>
      <c r="BW414" s="2029"/>
      <c r="BX414" s="2029"/>
      <c r="BY414" s="2029"/>
      <c r="BZ414" s="2032"/>
      <c r="CA414" s="1974">
        <f t="shared" si="266"/>
        <v>0</v>
      </c>
      <c r="CB414" s="1974">
        <f t="shared" si="266"/>
        <v>0</v>
      </c>
      <c r="CC414" s="1974">
        <f t="shared" si="266"/>
        <v>0</v>
      </c>
      <c r="CD414" s="1974">
        <f t="shared" si="266"/>
        <v>0</v>
      </c>
      <c r="CE414" s="1974">
        <f t="shared" si="266"/>
        <v>0</v>
      </c>
      <c r="CF414" s="2033">
        <v>7.3556481260498274E-6</v>
      </c>
      <c r="CG414" s="2026">
        <v>0</v>
      </c>
      <c r="CH414" s="2009">
        <f t="shared" si="266"/>
        <v>0</v>
      </c>
      <c r="CI414" s="2031">
        <f t="shared" si="266"/>
        <v>0</v>
      </c>
      <c r="CJ414" s="1974">
        <f t="shared" si="266"/>
        <v>0</v>
      </c>
      <c r="CK414" s="2031">
        <f t="shared" si="266"/>
        <v>0</v>
      </c>
      <c r="CL414" s="2026">
        <v>1</v>
      </c>
      <c r="CM414" s="2026">
        <v>1</v>
      </c>
      <c r="CN414" s="2026">
        <v>1</v>
      </c>
      <c r="CO414" s="2026">
        <v>1</v>
      </c>
      <c r="CP414" s="2035"/>
      <c r="CQ414" s="2036"/>
      <c r="CR414" s="2036"/>
      <c r="CS414" s="2036"/>
      <c r="CT414" s="2036"/>
      <c r="CU414" s="2036"/>
      <c r="CW414" s="1973">
        <v>0</v>
      </c>
      <c r="CX414" s="2037">
        <v>250</v>
      </c>
      <c r="CY414" s="2037">
        <v>250</v>
      </c>
      <c r="CZ414" s="2037">
        <v>250</v>
      </c>
      <c r="DA414" s="2037">
        <v>250</v>
      </c>
      <c r="DJ414" s="1976">
        <v>250</v>
      </c>
      <c r="DK414" s="1973">
        <v>250</v>
      </c>
      <c r="DL414" s="1973">
        <v>250</v>
      </c>
      <c r="DM414" s="1973">
        <v>250</v>
      </c>
      <c r="DO414" s="1974">
        <v>15</v>
      </c>
      <c r="DP414" s="1974">
        <v>101.616</v>
      </c>
      <c r="DQ414" s="1974">
        <v>1.1599999999999999E-2</v>
      </c>
      <c r="DR414" s="1974">
        <v>0</v>
      </c>
      <c r="DS414" s="2124">
        <v>250</v>
      </c>
      <c r="DT414" s="2029">
        <v>250</v>
      </c>
      <c r="DU414" s="2029">
        <v>250</v>
      </c>
      <c r="DV414" s="2029">
        <v>250</v>
      </c>
      <c r="DW414" s="2124">
        <v>0</v>
      </c>
      <c r="DX414" s="2029">
        <v>0</v>
      </c>
      <c r="DY414" s="2029">
        <v>0</v>
      </c>
      <c r="DZ414" s="2029">
        <v>0</v>
      </c>
      <c r="EA414" s="2124">
        <v>224</v>
      </c>
      <c r="EB414" s="2029">
        <v>224</v>
      </c>
      <c r="EC414" s="2029">
        <v>224</v>
      </c>
      <c r="ED414" s="2029">
        <v>224</v>
      </c>
      <c r="EE414" s="2039">
        <f t="shared" si="253"/>
        <v>0</v>
      </c>
      <c r="EF414" s="2039">
        <f t="shared" si="253"/>
        <v>0</v>
      </c>
      <c r="EG414" s="2039">
        <f t="shared" si="253"/>
        <v>0</v>
      </c>
      <c r="EH414" s="2039">
        <f t="shared" si="252"/>
        <v>0</v>
      </c>
      <c r="EI414" s="2040">
        <f t="shared" si="233"/>
        <v>0</v>
      </c>
      <c r="EJ414" s="2040">
        <f t="shared" si="233"/>
        <v>0</v>
      </c>
      <c r="EK414" s="2040">
        <f t="shared" si="233"/>
        <v>0</v>
      </c>
      <c r="EL414" s="2040">
        <f t="shared" si="232"/>
        <v>0</v>
      </c>
      <c r="EM414" s="2040">
        <f t="shared" si="232"/>
        <v>0</v>
      </c>
      <c r="EN414" s="2040">
        <f t="shared" si="232"/>
        <v>0</v>
      </c>
      <c r="EO414" s="2040">
        <f t="shared" si="232"/>
        <v>0</v>
      </c>
      <c r="EP414" s="2040">
        <f t="shared" si="232"/>
        <v>0</v>
      </c>
      <c r="EQ414" s="2040">
        <f t="shared" si="232"/>
        <v>0</v>
      </c>
      <c r="ER414" s="2040">
        <f t="shared" si="261"/>
        <v>0</v>
      </c>
      <c r="ES414" s="2040">
        <f t="shared" si="261"/>
        <v>0</v>
      </c>
      <c r="ET414" s="2040">
        <f t="shared" si="261"/>
        <v>0</v>
      </c>
      <c r="EU414" s="2039">
        <f t="shared" si="254"/>
        <v>0</v>
      </c>
      <c r="EV414" s="2039">
        <f t="shared" si="255"/>
        <v>0</v>
      </c>
    </row>
    <row r="415" spans="1:152" x14ac:dyDescent="0.25">
      <c r="A415" s="2088" t="s">
        <v>263</v>
      </c>
      <c r="B415" s="2093" t="str">
        <f t="shared" si="234"/>
        <v/>
      </c>
      <c r="C415" s="1974">
        <f t="shared" si="265"/>
        <v>0</v>
      </c>
      <c r="D415" s="1974">
        <f t="shared" si="265"/>
        <v>0</v>
      </c>
      <c r="E415" s="1974">
        <f t="shared" si="265"/>
        <v>0</v>
      </c>
      <c r="F415" s="1974">
        <f t="shared" si="265"/>
        <v>0</v>
      </c>
      <c r="G415" s="1974" t="s">
        <v>2997</v>
      </c>
      <c r="H415" s="1974" t="s">
        <v>2997</v>
      </c>
      <c r="I415" s="2026">
        <v>0.96199999999999997</v>
      </c>
      <c r="J415" s="2026">
        <v>0.96199999999999997</v>
      </c>
      <c r="K415" s="2026">
        <v>0.96199999999999997</v>
      </c>
      <c r="L415" s="2026">
        <v>0.96199999999999997</v>
      </c>
      <c r="M415" s="2027">
        <f t="shared" si="242"/>
        <v>0</v>
      </c>
      <c r="N415" s="2027">
        <f t="shared" si="242"/>
        <v>0</v>
      </c>
      <c r="O415" s="2027">
        <f t="shared" si="242"/>
        <v>0</v>
      </c>
      <c r="P415" s="2027">
        <f t="shared" si="242"/>
        <v>0</v>
      </c>
      <c r="Q415" s="2026">
        <v>0.96199999999999997</v>
      </c>
      <c r="R415" s="2026">
        <v>0.96199999999999997</v>
      </c>
      <c r="S415" s="2026">
        <v>0.96199999999999997</v>
      </c>
      <c r="T415" s="2026">
        <v>0.96199999999999997</v>
      </c>
      <c r="U415" s="2028">
        <f t="shared" si="243"/>
        <v>0</v>
      </c>
      <c r="V415" s="2028">
        <f t="shared" si="243"/>
        <v>0</v>
      </c>
      <c r="W415" s="2028">
        <f t="shared" si="243"/>
        <v>0</v>
      </c>
      <c r="X415" s="2028">
        <f t="shared" si="243"/>
        <v>0</v>
      </c>
      <c r="Y415" s="2026">
        <v>0.96199999999999997</v>
      </c>
      <c r="Z415" s="2026">
        <v>0.96199999999999997</v>
      </c>
      <c r="AA415" s="2026">
        <v>0.96199999999999997</v>
      </c>
      <c r="AB415" s="2026">
        <v>0.96199999999999997</v>
      </c>
      <c r="AC415" s="2027">
        <f t="shared" si="244"/>
        <v>0</v>
      </c>
      <c r="AD415" s="2027">
        <f t="shared" si="244"/>
        <v>0</v>
      </c>
      <c r="AE415" s="2027">
        <f t="shared" si="244"/>
        <v>0</v>
      </c>
      <c r="AF415" s="2027">
        <f t="shared" si="244"/>
        <v>0</v>
      </c>
      <c r="AG415" s="2027">
        <v>0</v>
      </c>
      <c r="AH415" s="2028"/>
      <c r="AI415" s="2028"/>
      <c r="AJ415" s="2028"/>
      <c r="AK415" s="2027">
        <f t="shared" si="250"/>
        <v>0</v>
      </c>
      <c r="AL415" s="2027">
        <f t="shared" si="236"/>
        <v>0</v>
      </c>
      <c r="AM415" s="2027">
        <f t="shared" si="236"/>
        <v>0</v>
      </c>
      <c r="AN415" s="2027">
        <f t="shared" si="236"/>
        <v>0</v>
      </c>
      <c r="AO415" s="2027">
        <f t="shared" si="245"/>
        <v>0</v>
      </c>
      <c r="AP415" s="2027">
        <f t="shared" si="237"/>
        <v>0</v>
      </c>
      <c r="AQ415" s="2027">
        <f t="shared" si="237"/>
        <v>0</v>
      </c>
      <c r="AR415" s="2027">
        <f t="shared" si="237"/>
        <v>0</v>
      </c>
      <c r="AS415" s="2124">
        <f t="shared" ref="AS415:AS442" si="268">AS171*1.5</f>
        <v>0</v>
      </c>
      <c r="AT415" s="2029">
        <f t="shared" si="238"/>
        <v>0</v>
      </c>
      <c r="AU415" s="2029">
        <f t="shared" si="238"/>
        <v>0</v>
      </c>
      <c r="AV415" s="2029">
        <f t="shared" si="238"/>
        <v>0</v>
      </c>
      <c r="AW415" s="2124">
        <f t="shared" si="264"/>
        <v>0</v>
      </c>
      <c r="AX415" s="2029">
        <f t="shared" si="257"/>
        <v>0</v>
      </c>
      <c r="AY415" s="2029">
        <f t="shared" si="257"/>
        <v>0</v>
      </c>
      <c r="AZ415" s="2029">
        <f t="shared" si="257"/>
        <v>0</v>
      </c>
      <c r="BA415" s="2124">
        <f t="shared" si="267"/>
        <v>0</v>
      </c>
      <c r="BB415" s="2029">
        <f t="shared" si="267"/>
        <v>0</v>
      </c>
      <c r="BC415" s="2029">
        <f t="shared" si="267"/>
        <v>0</v>
      </c>
      <c r="BD415" s="2029">
        <f t="shared" si="267"/>
        <v>0</v>
      </c>
      <c r="BE415" s="2030">
        <f t="shared" si="239"/>
        <v>0</v>
      </c>
      <c r="BF415" s="2030">
        <f t="shared" si="239"/>
        <v>0</v>
      </c>
      <c r="BG415" s="2030">
        <f t="shared" si="239"/>
        <v>0</v>
      </c>
      <c r="BH415" s="2030">
        <f t="shared" si="239"/>
        <v>0</v>
      </c>
      <c r="BI415" s="2030">
        <f t="shared" si="240"/>
        <v>0</v>
      </c>
      <c r="BJ415" s="2030">
        <f t="shared" si="240"/>
        <v>0</v>
      </c>
      <c r="BK415" s="2030">
        <f t="shared" si="240"/>
        <v>0</v>
      </c>
      <c r="BL415" s="2030">
        <f t="shared" si="240"/>
        <v>0</v>
      </c>
      <c r="BM415" s="2125"/>
      <c r="BN415" s="2125"/>
      <c r="BO415" s="2125"/>
      <c r="BP415" s="2125"/>
      <c r="BQ415" s="2125"/>
      <c r="BR415" s="2125"/>
      <c r="BS415" s="2125"/>
      <c r="BT415" s="2125"/>
      <c r="BU415" s="2029"/>
      <c r="BV415" s="2029"/>
      <c r="BW415" s="2029"/>
      <c r="BX415" s="2029"/>
      <c r="BY415" s="2029"/>
      <c r="BZ415" s="2032"/>
      <c r="CA415" s="1974">
        <f t="shared" si="266"/>
        <v>0</v>
      </c>
      <c r="CB415" s="1974">
        <f t="shared" si="266"/>
        <v>0</v>
      </c>
      <c r="CC415" s="1974">
        <f t="shared" si="266"/>
        <v>0</v>
      </c>
      <c r="CD415" s="1974">
        <f t="shared" si="266"/>
        <v>0</v>
      </c>
      <c r="CE415" s="1974">
        <f t="shared" si="266"/>
        <v>0</v>
      </c>
      <c r="CF415" s="2033">
        <v>0</v>
      </c>
      <c r="CG415" s="2026">
        <v>0</v>
      </c>
      <c r="CH415" s="2009">
        <f t="shared" si="266"/>
        <v>0</v>
      </c>
      <c r="CI415" s="2031">
        <f t="shared" si="266"/>
        <v>0</v>
      </c>
      <c r="CJ415" s="1974">
        <f t="shared" si="266"/>
        <v>0</v>
      </c>
      <c r="CK415" s="2031">
        <f t="shared" si="266"/>
        <v>0</v>
      </c>
      <c r="CL415" s="2026">
        <v>1</v>
      </c>
      <c r="CM415" s="2026">
        <v>1</v>
      </c>
      <c r="CN415" s="2026">
        <v>1</v>
      </c>
      <c r="CO415" s="2026">
        <v>1</v>
      </c>
      <c r="CP415" s="2035"/>
      <c r="CQ415" s="2036"/>
      <c r="CR415" s="2036"/>
      <c r="CS415" s="2036"/>
      <c r="CT415" s="2036"/>
      <c r="CU415" s="2036"/>
      <c r="CW415" s="1973">
        <v>0</v>
      </c>
      <c r="CX415" s="2037">
        <v>0</v>
      </c>
      <c r="CY415" s="2037">
        <v>0</v>
      </c>
      <c r="CZ415" s="2037">
        <v>0</v>
      </c>
      <c r="DA415" s="2037">
        <v>0</v>
      </c>
      <c r="DJ415" s="1976">
        <v>0</v>
      </c>
      <c r="DK415" s="1973">
        <v>0</v>
      </c>
      <c r="DL415" s="1973">
        <v>0</v>
      </c>
      <c r="DM415" s="1973">
        <v>0</v>
      </c>
      <c r="DO415" s="1974">
        <v>0</v>
      </c>
      <c r="DP415" s="1974">
        <v>0</v>
      </c>
      <c r="DQ415" s="1974">
        <v>0</v>
      </c>
      <c r="DR415" s="1974">
        <v>0</v>
      </c>
      <c r="DS415" s="2124">
        <v>0</v>
      </c>
      <c r="DT415" s="2029">
        <v>0</v>
      </c>
      <c r="DU415" s="2029">
        <v>0</v>
      </c>
      <c r="DV415" s="2029">
        <v>0</v>
      </c>
      <c r="DW415" s="2124">
        <v>0</v>
      </c>
      <c r="DX415" s="2029">
        <v>0</v>
      </c>
      <c r="DY415" s="2029">
        <v>0</v>
      </c>
      <c r="DZ415" s="2029">
        <v>0</v>
      </c>
      <c r="EA415" s="2124">
        <v>0</v>
      </c>
      <c r="EB415" s="2029">
        <v>0</v>
      </c>
      <c r="EC415" s="2029">
        <v>0</v>
      </c>
      <c r="ED415" s="2029">
        <v>0</v>
      </c>
      <c r="EE415" s="2039">
        <f t="shared" si="253"/>
        <v>0</v>
      </c>
      <c r="EF415" s="2039">
        <f t="shared" si="253"/>
        <v>0</v>
      </c>
      <c r="EG415" s="2039">
        <f t="shared" si="253"/>
        <v>0</v>
      </c>
      <c r="EH415" s="2039">
        <f t="shared" si="252"/>
        <v>0</v>
      </c>
      <c r="EI415" s="2040">
        <f t="shared" si="233"/>
        <v>0</v>
      </c>
      <c r="EJ415" s="2040">
        <f t="shared" si="233"/>
        <v>0</v>
      </c>
      <c r="EK415" s="2040">
        <f t="shared" si="233"/>
        <v>0</v>
      </c>
      <c r="EL415" s="2040">
        <f t="shared" si="232"/>
        <v>0</v>
      </c>
      <c r="EM415" s="2040">
        <f t="shared" si="232"/>
        <v>0</v>
      </c>
      <c r="EN415" s="2040">
        <f t="shared" si="232"/>
        <v>0</v>
      </c>
      <c r="EO415" s="2040">
        <f t="shared" si="232"/>
        <v>0</v>
      </c>
      <c r="EP415" s="2040">
        <f t="shared" si="232"/>
        <v>0</v>
      </c>
      <c r="EQ415" s="2040">
        <f t="shared" si="232"/>
        <v>0</v>
      </c>
      <c r="ER415" s="2040">
        <f t="shared" si="261"/>
        <v>0</v>
      </c>
      <c r="ES415" s="2040">
        <f t="shared" si="261"/>
        <v>0</v>
      </c>
      <c r="ET415" s="2040">
        <f t="shared" si="261"/>
        <v>0</v>
      </c>
      <c r="EU415" s="2039">
        <f t="shared" si="254"/>
        <v>0</v>
      </c>
      <c r="EV415" s="2039">
        <f t="shared" si="255"/>
        <v>0</v>
      </c>
    </row>
    <row r="416" spans="1:152" x14ac:dyDescent="0.25">
      <c r="A416" s="2088" t="s">
        <v>264</v>
      </c>
      <c r="B416" s="2093" t="str">
        <f t="shared" si="234"/>
        <v/>
      </c>
      <c r="C416" s="1974">
        <f t="shared" si="265"/>
        <v>0</v>
      </c>
      <c r="D416" s="1974">
        <f t="shared" si="265"/>
        <v>0</v>
      </c>
      <c r="E416" s="1974">
        <f t="shared" si="265"/>
        <v>0</v>
      </c>
      <c r="F416" s="1974">
        <f t="shared" si="265"/>
        <v>0</v>
      </c>
      <c r="G416" s="1974" t="s">
        <v>2997</v>
      </c>
      <c r="H416" s="1974" t="s">
        <v>2997</v>
      </c>
      <c r="I416" s="2026">
        <v>0.96199999999999997</v>
      </c>
      <c r="J416" s="2026">
        <v>0.96199999999999997</v>
      </c>
      <c r="K416" s="2026">
        <v>0.96199999999999997</v>
      </c>
      <c r="L416" s="2026">
        <v>0.96199999999999997</v>
      </c>
      <c r="M416" s="2027">
        <f t="shared" si="242"/>
        <v>0</v>
      </c>
      <c r="N416" s="2027">
        <f t="shared" si="242"/>
        <v>0</v>
      </c>
      <c r="O416" s="2027">
        <f t="shared" si="242"/>
        <v>0</v>
      </c>
      <c r="P416" s="2027">
        <f t="shared" si="242"/>
        <v>0</v>
      </c>
      <c r="Q416" s="2026">
        <v>0.96199999999999997</v>
      </c>
      <c r="R416" s="2026">
        <v>0.96199999999999997</v>
      </c>
      <c r="S416" s="2026">
        <v>0.96199999999999997</v>
      </c>
      <c r="T416" s="2026">
        <v>0.96199999999999997</v>
      </c>
      <c r="U416" s="2028">
        <f t="shared" si="243"/>
        <v>0</v>
      </c>
      <c r="V416" s="2028">
        <f t="shared" si="243"/>
        <v>0</v>
      </c>
      <c r="W416" s="2028">
        <f t="shared" si="243"/>
        <v>0</v>
      </c>
      <c r="X416" s="2028">
        <f t="shared" si="243"/>
        <v>0</v>
      </c>
      <c r="Y416" s="2026">
        <v>0.96199999999999997</v>
      </c>
      <c r="Z416" s="2026">
        <v>0.96199999999999997</v>
      </c>
      <c r="AA416" s="2026">
        <v>0.96199999999999997</v>
      </c>
      <c r="AB416" s="2026">
        <v>0.96199999999999997</v>
      </c>
      <c r="AC416" s="2027">
        <f t="shared" si="244"/>
        <v>0</v>
      </c>
      <c r="AD416" s="2027">
        <f t="shared" si="244"/>
        <v>0</v>
      </c>
      <c r="AE416" s="2027">
        <f t="shared" si="244"/>
        <v>0</v>
      </c>
      <c r="AF416" s="2027">
        <f t="shared" si="244"/>
        <v>0</v>
      </c>
      <c r="AG416" s="2027">
        <v>0</v>
      </c>
      <c r="AH416" s="2028"/>
      <c r="AI416" s="2028"/>
      <c r="AJ416" s="2028"/>
      <c r="AK416" s="2027">
        <f t="shared" si="250"/>
        <v>0</v>
      </c>
      <c r="AL416" s="2027">
        <f t="shared" si="236"/>
        <v>0</v>
      </c>
      <c r="AM416" s="2027">
        <f t="shared" si="236"/>
        <v>0</v>
      </c>
      <c r="AN416" s="2027">
        <f t="shared" si="236"/>
        <v>0</v>
      </c>
      <c r="AO416" s="2027">
        <f t="shared" si="245"/>
        <v>0</v>
      </c>
      <c r="AP416" s="2027">
        <f t="shared" si="237"/>
        <v>0</v>
      </c>
      <c r="AQ416" s="2027">
        <f t="shared" si="237"/>
        <v>0</v>
      </c>
      <c r="AR416" s="2027">
        <f t="shared" si="237"/>
        <v>0</v>
      </c>
      <c r="AS416" s="2124">
        <f t="shared" si="268"/>
        <v>750</v>
      </c>
      <c r="AT416" s="2029">
        <f t="shared" si="238"/>
        <v>750</v>
      </c>
      <c r="AU416" s="2029">
        <f t="shared" si="238"/>
        <v>750</v>
      </c>
      <c r="AV416" s="2029">
        <f t="shared" si="238"/>
        <v>750</v>
      </c>
      <c r="AW416" s="2124">
        <f t="shared" si="264"/>
        <v>0</v>
      </c>
      <c r="AX416" s="2029">
        <f t="shared" si="257"/>
        <v>0</v>
      </c>
      <c r="AY416" s="2029">
        <f t="shared" si="257"/>
        <v>0</v>
      </c>
      <c r="AZ416" s="2029">
        <f t="shared" si="257"/>
        <v>0</v>
      </c>
      <c r="BA416" s="2124">
        <f t="shared" si="267"/>
        <v>0</v>
      </c>
      <c r="BB416" s="2029">
        <f t="shared" si="267"/>
        <v>0</v>
      </c>
      <c r="BC416" s="2029">
        <f t="shared" si="267"/>
        <v>0</v>
      </c>
      <c r="BD416" s="2029">
        <f t="shared" si="267"/>
        <v>0</v>
      </c>
      <c r="BE416" s="2030">
        <f t="shared" si="239"/>
        <v>0</v>
      </c>
      <c r="BF416" s="2030">
        <f t="shared" si="239"/>
        <v>0</v>
      </c>
      <c r="BG416" s="2030">
        <f t="shared" si="239"/>
        <v>0</v>
      </c>
      <c r="BH416" s="2030">
        <f t="shared" si="239"/>
        <v>0</v>
      </c>
      <c r="BI416" s="2030">
        <f t="shared" si="240"/>
        <v>0</v>
      </c>
      <c r="BJ416" s="2030">
        <f t="shared" si="240"/>
        <v>0</v>
      </c>
      <c r="BK416" s="2030">
        <f t="shared" si="240"/>
        <v>0</v>
      </c>
      <c r="BL416" s="2030">
        <f t="shared" si="240"/>
        <v>0</v>
      </c>
      <c r="BM416" s="2125"/>
      <c r="BN416" s="2125"/>
      <c r="BO416" s="2125"/>
      <c r="BP416" s="2125"/>
      <c r="BQ416" s="2125"/>
      <c r="BR416" s="2125"/>
      <c r="BS416" s="2125"/>
      <c r="BT416" s="2125"/>
      <c r="BU416" s="2029"/>
      <c r="BV416" s="2029"/>
      <c r="BW416" s="2029"/>
      <c r="BX416" s="2029"/>
      <c r="BY416" s="2029"/>
      <c r="BZ416" s="2032"/>
      <c r="CA416" s="1974">
        <f t="shared" si="266"/>
        <v>0</v>
      </c>
      <c r="CB416" s="1974">
        <f t="shared" si="266"/>
        <v>0</v>
      </c>
      <c r="CC416" s="1974">
        <f t="shared" si="266"/>
        <v>0</v>
      </c>
      <c r="CD416" s="1974">
        <f t="shared" si="266"/>
        <v>0</v>
      </c>
      <c r="CE416" s="1974">
        <f t="shared" si="266"/>
        <v>0</v>
      </c>
      <c r="CF416" s="2033">
        <v>0</v>
      </c>
      <c r="CG416" s="2026">
        <v>0</v>
      </c>
      <c r="CH416" s="2009">
        <f t="shared" si="266"/>
        <v>0</v>
      </c>
      <c r="CI416" s="2031">
        <f t="shared" si="266"/>
        <v>0</v>
      </c>
      <c r="CJ416" s="1974">
        <f t="shared" si="266"/>
        <v>0</v>
      </c>
      <c r="CK416" s="2031">
        <f t="shared" si="266"/>
        <v>0</v>
      </c>
      <c r="CL416" s="2026">
        <v>1</v>
      </c>
      <c r="CM416" s="2026">
        <v>1</v>
      </c>
      <c r="CN416" s="2026">
        <v>1</v>
      </c>
      <c r="CO416" s="2026">
        <v>1</v>
      </c>
      <c r="CP416" s="2035"/>
      <c r="CQ416" s="2036"/>
      <c r="CR416" s="2036"/>
      <c r="CS416" s="2036"/>
      <c r="CT416" s="2036"/>
      <c r="CU416" s="2036"/>
      <c r="CW416" s="1973">
        <v>0</v>
      </c>
      <c r="CX416" s="2037">
        <v>750</v>
      </c>
      <c r="CY416" s="2037">
        <v>750</v>
      </c>
      <c r="CZ416" s="2037">
        <v>750</v>
      </c>
      <c r="DA416" s="2037">
        <v>750</v>
      </c>
      <c r="DJ416" s="1976">
        <v>750</v>
      </c>
      <c r="DK416" s="1973">
        <v>750</v>
      </c>
      <c r="DL416" s="1973">
        <v>750</v>
      </c>
      <c r="DM416" s="1973">
        <v>750</v>
      </c>
      <c r="DO416" s="1974">
        <v>0</v>
      </c>
      <c r="DP416" s="1974">
        <v>0</v>
      </c>
      <c r="DQ416" s="1974">
        <v>0</v>
      </c>
      <c r="DR416" s="1974">
        <v>0</v>
      </c>
      <c r="DS416" s="2124">
        <v>750</v>
      </c>
      <c r="DT416" s="2029">
        <v>750</v>
      </c>
      <c r="DU416" s="2029">
        <v>750</v>
      </c>
      <c r="DV416" s="2029">
        <v>750</v>
      </c>
      <c r="DW416" s="2124">
        <v>0</v>
      </c>
      <c r="DX416" s="2029">
        <v>0</v>
      </c>
      <c r="DY416" s="2029">
        <v>0</v>
      </c>
      <c r="DZ416" s="2029">
        <v>0</v>
      </c>
      <c r="EA416" s="2124">
        <v>0</v>
      </c>
      <c r="EB416" s="2029">
        <v>0</v>
      </c>
      <c r="EC416" s="2029">
        <v>0</v>
      </c>
      <c r="ED416" s="2029">
        <v>0</v>
      </c>
      <c r="EE416" s="2039">
        <f t="shared" si="253"/>
        <v>0</v>
      </c>
      <c r="EF416" s="2039">
        <f t="shared" si="253"/>
        <v>0</v>
      </c>
      <c r="EG416" s="2039">
        <f t="shared" si="253"/>
        <v>0</v>
      </c>
      <c r="EH416" s="2039">
        <f t="shared" si="252"/>
        <v>0</v>
      </c>
      <c r="EI416" s="2040">
        <f t="shared" si="233"/>
        <v>0</v>
      </c>
      <c r="EJ416" s="2040">
        <f t="shared" si="233"/>
        <v>0</v>
      </c>
      <c r="EK416" s="2040">
        <f t="shared" si="233"/>
        <v>0</v>
      </c>
      <c r="EL416" s="2040">
        <f t="shared" si="232"/>
        <v>0</v>
      </c>
      <c r="EM416" s="2040">
        <f t="shared" si="232"/>
        <v>0</v>
      </c>
      <c r="EN416" s="2040">
        <f t="shared" si="232"/>
        <v>0</v>
      </c>
      <c r="EO416" s="2040">
        <f t="shared" si="232"/>
        <v>0</v>
      </c>
      <c r="EP416" s="2040">
        <f t="shared" si="232"/>
        <v>0</v>
      </c>
      <c r="EQ416" s="2040">
        <f t="shared" si="232"/>
        <v>0</v>
      </c>
      <c r="ER416" s="2040">
        <f t="shared" si="261"/>
        <v>0</v>
      </c>
      <c r="ES416" s="2040">
        <f t="shared" si="261"/>
        <v>0</v>
      </c>
      <c r="ET416" s="2040">
        <f t="shared" si="261"/>
        <v>0</v>
      </c>
      <c r="EU416" s="2039">
        <f t="shared" si="254"/>
        <v>0</v>
      </c>
      <c r="EV416" s="2039">
        <f t="shared" si="255"/>
        <v>0</v>
      </c>
    </row>
    <row r="417" spans="1:152" x14ac:dyDescent="0.25">
      <c r="A417" s="2088" t="s">
        <v>183</v>
      </c>
      <c r="B417" s="1974" t="str">
        <f t="shared" si="234"/>
        <v/>
      </c>
      <c r="C417" s="1974">
        <f t="shared" si="265"/>
        <v>15</v>
      </c>
      <c r="D417" s="1974">
        <f t="shared" si="265"/>
        <v>9003.1426966292202</v>
      </c>
      <c r="E417" s="1974">
        <f t="shared" si="265"/>
        <v>0.23703852327447691</v>
      </c>
      <c r="F417" s="1974">
        <f t="shared" si="265"/>
        <v>0</v>
      </c>
      <c r="G417" s="1974" t="s">
        <v>2997</v>
      </c>
      <c r="H417" s="1974" t="s">
        <v>2997</v>
      </c>
      <c r="I417" s="2026">
        <v>0.96199999999999997</v>
      </c>
      <c r="J417" s="2026">
        <v>0.96199999999999997</v>
      </c>
      <c r="K417" s="2026">
        <v>0.96199999999999997</v>
      </c>
      <c r="L417" s="2026">
        <v>0.96199999999999997</v>
      </c>
      <c r="M417" s="2027">
        <f t="shared" si="242"/>
        <v>8661.0232741573091</v>
      </c>
      <c r="N417" s="2027">
        <f t="shared" si="242"/>
        <v>8661.0232741573091</v>
      </c>
      <c r="O417" s="2027">
        <f t="shared" si="242"/>
        <v>8661.0232741573091</v>
      </c>
      <c r="P417" s="2027">
        <f t="shared" si="242"/>
        <v>8661.0232741573091</v>
      </c>
      <c r="Q417" s="2026">
        <v>0.96199999999999997</v>
      </c>
      <c r="R417" s="2026">
        <v>0.96199999999999997</v>
      </c>
      <c r="S417" s="2026">
        <v>0.96199999999999997</v>
      </c>
      <c r="T417" s="2026">
        <v>0.96199999999999997</v>
      </c>
      <c r="U417" s="2028">
        <f t="shared" si="243"/>
        <v>0.22803105939004678</v>
      </c>
      <c r="V417" s="2028">
        <f t="shared" si="243"/>
        <v>0.22803105939004678</v>
      </c>
      <c r="W417" s="2028">
        <f t="shared" si="243"/>
        <v>0.22803105939004678</v>
      </c>
      <c r="X417" s="2028">
        <f t="shared" si="243"/>
        <v>0.22803105939004678</v>
      </c>
      <c r="Y417" s="2026">
        <v>0.96199999999999997</v>
      </c>
      <c r="Z417" s="2026">
        <v>0.96199999999999997</v>
      </c>
      <c r="AA417" s="2026">
        <v>0.96199999999999997</v>
      </c>
      <c r="AB417" s="2026">
        <v>0.96199999999999997</v>
      </c>
      <c r="AC417" s="2027">
        <f t="shared" si="244"/>
        <v>0</v>
      </c>
      <c r="AD417" s="2027">
        <f t="shared" si="244"/>
        <v>0</v>
      </c>
      <c r="AE417" s="2027">
        <f t="shared" si="244"/>
        <v>0</v>
      </c>
      <c r="AF417" s="2027">
        <f t="shared" si="244"/>
        <v>0</v>
      </c>
      <c r="AG417" s="2027">
        <v>9</v>
      </c>
      <c r="AH417" s="2028">
        <v>9</v>
      </c>
      <c r="AI417" s="2028">
        <v>10</v>
      </c>
      <c r="AJ417" s="2028">
        <v>10</v>
      </c>
      <c r="AK417" s="2027">
        <f t="shared" si="250"/>
        <v>77949.209467415785</v>
      </c>
      <c r="AL417" s="2027">
        <f t="shared" si="236"/>
        <v>77949.209467415785</v>
      </c>
      <c r="AM417" s="2027">
        <f t="shared" si="236"/>
        <v>86610.232741573098</v>
      </c>
      <c r="AN417" s="2027">
        <f t="shared" si="236"/>
        <v>86610.232741573098</v>
      </c>
      <c r="AO417" s="2027">
        <f t="shared" si="245"/>
        <v>0</v>
      </c>
      <c r="AP417" s="2027">
        <f t="shared" si="237"/>
        <v>0</v>
      </c>
      <c r="AQ417" s="2027">
        <f t="shared" si="237"/>
        <v>0</v>
      </c>
      <c r="AR417" s="2027">
        <f t="shared" si="237"/>
        <v>0</v>
      </c>
      <c r="AS417" s="2029">
        <f t="shared" si="268"/>
        <v>562.5</v>
      </c>
      <c r="AT417" s="2029">
        <f t="shared" si="238"/>
        <v>562.5</v>
      </c>
      <c r="AU417" s="2029">
        <f t="shared" si="238"/>
        <v>562.5</v>
      </c>
      <c r="AV417" s="2029">
        <f t="shared" si="238"/>
        <v>562.5</v>
      </c>
      <c r="AW417" s="2029">
        <f t="shared" si="264"/>
        <v>0</v>
      </c>
      <c r="AX417" s="2029">
        <f t="shared" si="257"/>
        <v>0</v>
      </c>
      <c r="AY417" s="2029">
        <f t="shared" si="257"/>
        <v>0</v>
      </c>
      <c r="AZ417" s="2029">
        <f t="shared" si="257"/>
        <v>0</v>
      </c>
      <c r="BA417" s="2029">
        <f t="shared" si="267"/>
        <v>400</v>
      </c>
      <c r="BB417" s="2029">
        <f t="shared" si="267"/>
        <v>400</v>
      </c>
      <c r="BC417" s="2029">
        <f t="shared" si="267"/>
        <v>400</v>
      </c>
      <c r="BD417" s="2029">
        <f t="shared" si="267"/>
        <v>400</v>
      </c>
      <c r="BE417" s="2030">
        <f t="shared" si="239"/>
        <v>5062.5</v>
      </c>
      <c r="BF417" s="2030">
        <f t="shared" si="239"/>
        <v>5062.5</v>
      </c>
      <c r="BG417" s="2030">
        <f t="shared" si="239"/>
        <v>5625</v>
      </c>
      <c r="BH417" s="2030">
        <f t="shared" si="239"/>
        <v>5625</v>
      </c>
      <c r="BI417" s="2030">
        <f t="shared" si="240"/>
        <v>0</v>
      </c>
      <c r="BJ417" s="2030">
        <f t="shared" si="240"/>
        <v>0</v>
      </c>
      <c r="BK417" s="2030">
        <f t="shared" si="240"/>
        <v>0</v>
      </c>
      <c r="BL417" s="2030">
        <f t="shared" si="240"/>
        <v>0</v>
      </c>
      <c r="BM417" s="2125"/>
      <c r="BN417" s="2125"/>
      <c r="BO417" s="2125"/>
      <c r="BP417" s="2125"/>
      <c r="BQ417" s="2125"/>
      <c r="BR417" s="2125"/>
      <c r="BS417" s="2125"/>
      <c r="BT417" s="2125"/>
      <c r="BU417" s="2029"/>
      <c r="BV417" s="2029"/>
      <c r="BW417" s="2029"/>
      <c r="BX417" s="2029"/>
      <c r="BY417" s="2029"/>
      <c r="BZ417" s="2032"/>
      <c r="CA417" s="1974">
        <f t="shared" si="266"/>
        <v>0</v>
      </c>
      <c r="CB417" s="1974">
        <f t="shared" si="266"/>
        <v>0</v>
      </c>
      <c r="CC417" s="1974">
        <f t="shared" si="266"/>
        <v>0</v>
      </c>
      <c r="CD417" s="1974">
        <f t="shared" si="266"/>
        <v>0</v>
      </c>
      <c r="CE417" s="1974">
        <f t="shared" si="266"/>
        <v>0</v>
      </c>
      <c r="CF417" s="2033">
        <v>3.258539487138832E-4</v>
      </c>
      <c r="CG417" s="2026">
        <v>0</v>
      </c>
      <c r="CH417" s="2009">
        <f t="shared" si="266"/>
        <v>0</v>
      </c>
      <c r="CI417" s="2031">
        <f t="shared" si="266"/>
        <v>0</v>
      </c>
      <c r="CJ417" s="1974">
        <f t="shared" si="266"/>
        <v>0</v>
      </c>
      <c r="CK417" s="2031">
        <f t="shared" si="266"/>
        <v>0</v>
      </c>
      <c r="CL417" s="2026">
        <v>1</v>
      </c>
      <c r="CM417" s="2026">
        <v>1</v>
      </c>
      <c r="CN417" s="2026">
        <v>1</v>
      </c>
      <c r="CO417" s="2026">
        <v>1</v>
      </c>
      <c r="CP417" s="2035"/>
      <c r="CQ417" s="2036"/>
      <c r="CR417" s="2036"/>
      <c r="CS417" s="2036"/>
      <c r="CT417" s="2036"/>
      <c r="CU417" s="2036"/>
      <c r="CW417" s="1973">
        <v>0</v>
      </c>
      <c r="CX417" s="2037">
        <v>562.5</v>
      </c>
      <c r="CY417" s="2037">
        <v>562.5</v>
      </c>
      <c r="CZ417" s="2037">
        <v>562.5</v>
      </c>
      <c r="DA417" s="2037">
        <v>562.5</v>
      </c>
      <c r="DJ417" s="1976">
        <v>562.5</v>
      </c>
      <c r="DK417" s="1973">
        <v>562.5</v>
      </c>
      <c r="DL417" s="1973">
        <v>562.5</v>
      </c>
      <c r="DM417" s="1973">
        <v>562.5</v>
      </c>
      <c r="DO417" s="1974">
        <v>15</v>
      </c>
      <c r="DP417" s="1974">
        <v>9003.1426966292202</v>
      </c>
      <c r="DQ417" s="1974">
        <v>0.23703852327447691</v>
      </c>
      <c r="DR417" s="1974">
        <v>0</v>
      </c>
      <c r="DS417" s="2029">
        <v>562.5</v>
      </c>
      <c r="DT417" s="2029">
        <v>562.5</v>
      </c>
      <c r="DU417" s="2029">
        <v>562.5</v>
      </c>
      <c r="DV417" s="2029">
        <v>562.5</v>
      </c>
      <c r="DW417" s="2029">
        <v>0</v>
      </c>
      <c r="DX417" s="2029">
        <v>0</v>
      </c>
      <c r="DY417" s="2029">
        <v>0</v>
      </c>
      <c r="DZ417" s="2029">
        <v>0</v>
      </c>
      <c r="EA417" s="2029">
        <v>400</v>
      </c>
      <c r="EB417" s="2029">
        <v>400</v>
      </c>
      <c r="EC417" s="2029">
        <v>400</v>
      </c>
      <c r="ED417" s="2029">
        <v>400</v>
      </c>
      <c r="EE417" s="2039">
        <f t="shared" si="253"/>
        <v>0</v>
      </c>
      <c r="EF417" s="2039">
        <f t="shared" si="253"/>
        <v>0</v>
      </c>
      <c r="EG417" s="2039">
        <f t="shared" si="253"/>
        <v>0</v>
      </c>
      <c r="EH417" s="2039">
        <f t="shared" si="252"/>
        <v>0</v>
      </c>
      <c r="EI417" s="2040">
        <f t="shared" si="233"/>
        <v>0</v>
      </c>
      <c r="EJ417" s="2040">
        <f t="shared" si="233"/>
        <v>0</v>
      </c>
      <c r="EK417" s="2040">
        <f t="shared" si="233"/>
        <v>0</v>
      </c>
      <c r="EL417" s="2040">
        <f t="shared" si="232"/>
        <v>0</v>
      </c>
      <c r="EM417" s="2040">
        <f t="shared" si="232"/>
        <v>0</v>
      </c>
      <c r="EN417" s="2040">
        <f t="shared" si="232"/>
        <v>0</v>
      </c>
      <c r="EO417" s="2040">
        <f t="shared" si="232"/>
        <v>0</v>
      </c>
      <c r="EP417" s="2040">
        <f t="shared" si="232"/>
        <v>0</v>
      </c>
      <c r="EQ417" s="2040">
        <f t="shared" si="232"/>
        <v>0</v>
      </c>
      <c r="ER417" s="2040">
        <f t="shared" si="261"/>
        <v>0</v>
      </c>
      <c r="ES417" s="2040">
        <f t="shared" si="261"/>
        <v>0</v>
      </c>
      <c r="ET417" s="2040">
        <f t="shared" si="261"/>
        <v>0</v>
      </c>
      <c r="EU417" s="2039">
        <f t="shared" si="254"/>
        <v>0</v>
      </c>
      <c r="EV417" s="2039">
        <f t="shared" si="255"/>
        <v>0</v>
      </c>
    </row>
    <row r="418" spans="1:152" x14ac:dyDescent="0.25">
      <c r="A418" s="2088" t="s">
        <v>184</v>
      </c>
      <c r="B418" s="2093" t="str">
        <f t="shared" si="234"/>
        <v>Online store</v>
      </c>
      <c r="C418" s="1974">
        <f t="shared" si="265"/>
        <v>8</v>
      </c>
      <c r="D418" s="1974">
        <f t="shared" si="265"/>
        <v>269.60365200000001</v>
      </c>
      <c r="E418" s="1974">
        <f t="shared" si="265"/>
        <v>0.21154800000000001</v>
      </c>
      <c r="F418" s="1974">
        <f t="shared" si="265"/>
        <v>-5.4415415999999999</v>
      </c>
      <c r="G418" s="1974" t="s">
        <v>2997</v>
      </c>
      <c r="H418" s="1974" t="s">
        <v>2997</v>
      </c>
      <c r="I418" s="2026">
        <v>0.96199999999999997</v>
      </c>
      <c r="J418" s="2026">
        <v>0.96199999999999997</v>
      </c>
      <c r="K418" s="2026">
        <v>0.96199999999999997</v>
      </c>
      <c r="L418" s="2026">
        <v>0.96199999999999997</v>
      </c>
      <c r="M418" s="2027">
        <f t="shared" si="242"/>
        <v>259.35871322399998</v>
      </c>
      <c r="N418" s="2027">
        <f t="shared" si="242"/>
        <v>259.35871322399998</v>
      </c>
      <c r="O418" s="2027">
        <f t="shared" si="242"/>
        <v>259.35871322399998</v>
      </c>
      <c r="P418" s="2027">
        <f t="shared" si="242"/>
        <v>259.35871322399998</v>
      </c>
      <c r="Q418" s="2026">
        <v>0.96199999999999997</v>
      </c>
      <c r="R418" s="2026">
        <v>0.96199999999999997</v>
      </c>
      <c r="S418" s="2026">
        <v>0.96199999999999997</v>
      </c>
      <c r="T418" s="2026">
        <v>0.96199999999999997</v>
      </c>
      <c r="U418" s="2028">
        <f t="shared" si="243"/>
        <v>0.20350917600000001</v>
      </c>
      <c r="V418" s="2028">
        <f t="shared" si="243"/>
        <v>0.20350917600000001</v>
      </c>
      <c r="W418" s="2028">
        <f t="shared" si="243"/>
        <v>0.20350917600000001</v>
      </c>
      <c r="X418" s="2028">
        <f t="shared" si="243"/>
        <v>0.20350917600000001</v>
      </c>
      <c r="Y418" s="2026">
        <v>0.96199999999999997</v>
      </c>
      <c r="Z418" s="2026">
        <v>0.96199999999999997</v>
      </c>
      <c r="AA418" s="2026">
        <v>0.96199999999999997</v>
      </c>
      <c r="AB418" s="2026">
        <v>0.96199999999999997</v>
      </c>
      <c r="AC418" s="2027">
        <f t="shared" si="244"/>
        <v>-5.2347630191999999</v>
      </c>
      <c r="AD418" s="2027">
        <f t="shared" si="244"/>
        <v>-5.2347630191999999</v>
      </c>
      <c r="AE418" s="2027">
        <f t="shared" si="244"/>
        <v>-5.2347630191999999</v>
      </c>
      <c r="AF418" s="2027">
        <f t="shared" si="244"/>
        <v>-5.2347630191999999</v>
      </c>
      <c r="AG418" s="2027">
        <v>0</v>
      </c>
      <c r="AH418" s="2028"/>
      <c r="AI418" s="2028"/>
      <c r="AJ418" s="2028"/>
      <c r="AK418" s="2027">
        <f t="shared" si="250"/>
        <v>0</v>
      </c>
      <c r="AL418" s="2027">
        <f t="shared" si="236"/>
        <v>0</v>
      </c>
      <c r="AM418" s="2027">
        <f t="shared" si="236"/>
        <v>0</v>
      </c>
      <c r="AN418" s="2027">
        <f t="shared" si="236"/>
        <v>0</v>
      </c>
      <c r="AO418" s="2027">
        <f t="shared" si="245"/>
        <v>0</v>
      </c>
      <c r="AP418" s="2027">
        <f t="shared" si="237"/>
        <v>0</v>
      </c>
      <c r="AQ418" s="2027">
        <f t="shared" si="237"/>
        <v>0</v>
      </c>
      <c r="AR418" s="2027">
        <f t="shared" si="237"/>
        <v>0</v>
      </c>
      <c r="AS418" s="2124">
        <f t="shared" si="268"/>
        <v>37.5</v>
      </c>
      <c r="AT418" s="2029">
        <f t="shared" si="238"/>
        <v>37.5</v>
      </c>
      <c r="AU418" s="2029">
        <f t="shared" si="238"/>
        <v>37.5</v>
      </c>
      <c r="AV418" s="2029">
        <f t="shared" si="238"/>
        <v>37.5</v>
      </c>
      <c r="AW418" s="2124">
        <f t="shared" si="264"/>
        <v>0</v>
      </c>
      <c r="AX418" s="2029">
        <f t="shared" si="257"/>
        <v>0</v>
      </c>
      <c r="AY418" s="2029">
        <f t="shared" si="257"/>
        <v>0</v>
      </c>
      <c r="AZ418" s="2029">
        <f t="shared" si="257"/>
        <v>0</v>
      </c>
      <c r="BA418" s="2124">
        <f t="shared" si="267"/>
        <v>51</v>
      </c>
      <c r="BB418" s="2029">
        <f t="shared" si="267"/>
        <v>51</v>
      </c>
      <c r="BC418" s="2029">
        <f t="shared" si="267"/>
        <v>51</v>
      </c>
      <c r="BD418" s="2029">
        <f t="shared" si="267"/>
        <v>51</v>
      </c>
      <c r="BE418" s="2030">
        <f t="shared" si="239"/>
        <v>0</v>
      </c>
      <c r="BF418" s="2030">
        <f t="shared" si="239"/>
        <v>0</v>
      </c>
      <c r="BG418" s="2030">
        <f t="shared" si="239"/>
        <v>0</v>
      </c>
      <c r="BH418" s="2030">
        <f t="shared" si="239"/>
        <v>0</v>
      </c>
      <c r="BI418" s="2030">
        <f t="shared" si="240"/>
        <v>0</v>
      </c>
      <c r="BJ418" s="2030">
        <f t="shared" si="240"/>
        <v>0</v>
      </c>
      <c r="BK418" s="2030">
        <f t="shared" si="240"/>
        <v>0</v>
      </c>
      <c r="BL418" s="2030">
        <f t="shared" si="240"/>
        <v>0</v>
      </c>
      <c r="BM418" s="2125"/>
      <c r="BN418" s="2125"/>
      <c r="BO418" s="2125"/>
      <c r="BP418" s="2125"/>
      <c r="BQ418" s="2125"/>
      <c r="BR418" s="2125"/>
      <c r="BS418" s="2125"/>
      <c r="BT418" s="2125"/>
      <c r="BU418" s="2029"/>
      <c r="BV418" s="2029"/>
      <c r="BW418" s="2029"/>
      <c r="BX418" s="2029"/>
      <c r="BY418" s="2029"/>
      <c r="BZ418" s="2032"/>
      <c r="CA418" s="1974">
        <f t="shared" si="266"/>
        <v>0</v>
      </c>
      <c r="CB418" s="1974">
        <f t="shared" si="266"/>
        <v>0</v>
      </c>
      <c r="CC418" s="1974">
        <f t="shared" si="266"/>
        <v>0</v>
      </c>
      <c r="CD418" s="1974">
        <f t="shared" si="266"/>
        <v>0</v>
      </c>
      <c r="CE418" s="1974">
        <f t="shared" si="266"/>
        <v>0</v>
      </c>
      <c r="CF418" s="2033">
        <v>0</v>
      </c>
      <c r="CG418" s="2026">
        <v>0</v>
      </c>
      <c r="CH418" s="2009">
        <f t="shared" si="266"/>
        <v>0</v>
      </c>
      <c r="CI418" s="2031">
        <f t="shared" si="266"/>
        <v>0</v>
      </c>
      <c r="CJ418" s="1974">
        <f t="shared" si="266"/>
        <v>0</v>
      </c>
      <c r="CK418" s="2031">
        <f t="shared" si="266"/>
        <v>0</v>
      </c>
      <c r="CL418" s="2026">
        <v>1</v>
      </c>
      <c r="CM418" s="2026">
        <v>1</v>
      </c>
      <c r="CN418" s="2026">
        <v>1</v>
      </c>
      <c r="CO418" s="2026">
        <v>1</v>
      </c>
      <c r="CP418" s="2035"/>
      <c r="CQ418" s="2036"/>
      <c r="CR418" s="2036"/>
      <c r="CS418" s="2036"/>
      <c r="CT418" s="2036"/>
      <c r="CU418" s="2036"/>
      <c r="CW418" s="1973">
        <v>0</v>
      </c>
      <c r="CX418" s="2037">
        <v>37.5</v>
      </c>
      <c r="CY418" s="2037">
        <v>37.5</v>
      </c>
      <c r="CZ418" s="2037">
        <v>37.5</v>
      </c>
      <c r="DA418" s="2037">
        <v>37.5</v>
      </c>
      <c r="DJ418" s="1976">
        <v>37.5</v>
      </c>
      <c r="DK418" s="1973">
        <v>37.5</v>
      </c>
      <c r="DL418" s="1973">
        <v>37.5</v>
      </c>
      <c r="DM418" s="1973">
        <v>37.5</v>
      </c>
      <c r="DO418" s="1974">
        <v>8</v>
      </c>
      <c r="DP418" s="1974">
        <v>269.60365200000001</v>
      </c>
      <c r="DQ418" s="1974">
        <v>0.21154800000000001</v>
      </c>
      <c r="DR418" s="1974">
        <v>-5.4415415999999999</v>
      </c>
      <c r="DS418" s="2124">
        <v>37.5</v>
      </c>
      <c r="DT418" s="2029">
        <v>37.5</v>
      </c>
      <c r="DU418" s="2029">
        <v>37.5</v>
      </c>
      <c r="DV418" s="2029">
        <v>37.5</v>
      </c>
      <c r="DW418" s="2124">
        <v>0</v>
      </c>
      <c r="DX418" s="2029">
        <v>0</v>
      </c>
      <c r="DY418" s="2029">
        <v>0</v>
      </c>
      <c r="DZ418" s="2029">
        <v>0</v>
      </c>
      <c r="EA418" s="2124">
        <v>51</v>
      </c>
      <c r="EB418" s="2029">
        <v>51</v>
      </c>
      <c r="EC418" s="2029">
        <v>51</v>
      </c>
      <c r="ED418" s="2029">
        <v>51</v>
      </c>
      <c r="EE418" s="2039">
        <f t="shared" si="253"/>
        <v>0</v>
      </c>
      <c r="EF418" s="2039">
        <f t="shared" si="253"/>
        <v>0</v>
      </c>
      <c r="EG418" s="2039">
        <f t="shared" si="253"/>
        <v>0</v>
      </c>
      <c r="EH418" s="2039">
        <f t="shared" si="252"/>
        <v>0</v>
      </c>
      <c r="EI418" s="2040">
        <f t="shared" si="233"/>
        <v>0</v>
      </c>
      <c r="EJ418" s="2040">
        <f t="shared" si="233"/>
        <v>0</v>
      </c>
      <c r="EK418" s="2040">
        <f t="shared" si="233"/>
        <v>0</v>
      </c>
      <c r="EL418" s="2040">
        <f t="shared" si="232"/>
        <v>0</v>
      </c>
      <c r="EM418" s="2040">
        <f t="shared" si="232"/>
        <v>0</v>
      </c>
      <c r="EN418" s="2040">
        <f t="shared" si="232"/>
        <v>0</v>
      </c>
      <c r="EO418" s="2040">
        <f t="shared" si="232"/>
        <v>0</v>
      </c>
      <c r="EP418" s="2040">
        <f t="shared" si="232"/>
        <v>0</v>
      </c>
      <c r="EQ418" s="2040">
        <f t="shared" si="232"/>
        <v>0</v>
      </c>
      <c r="ER418" s="2040">
        <f t="shared" si="261"/>
        <v>0</v>
      </c>
      <c r="ES418" s="2040">
        <f t="shared" si="261"/>
        <v>0</v>
      </c>
      <c r="ET418" s="2040">
        <f t="shared" si="261"/>
        <v>0</v>
      </c>
      <c r="EU418" s="2039">
        <f t="shared" si="254"/>
        <v>0</v>
      </c>
      <c r="EV418" s="2039">
        <f t="shared" si="255"/>
        <v>0</v>
      </c>
    </row>
    <row r="419" spans="1:152" x14ac:dyDescent="0.25">
      <c r="A419" s="2088" t="s">
        <v>185</v>
      </c>
      <c r="B419" s="2093" t="str">
        <f t="shared" si="234"/>
        <v>Online store</v>
      </c>
      <c r="C419" s="1974">
        <f t="shared" si="265"/>
        <v>5</v>
      </c>
      <c r="D419" s="1974">
        <f t="shared" si="265"/>
        <v>1613</v>
      </c>
      <c r="E419" s="1974">
        <f t="shared" si="265"/>
        <v>0.4</v>
      </c>
      <c r="F419" s="1974">
        <f t="shared" si="265"/>
        <v>0</v>
      </c>
      <c r="G419" s="1974" t="s">
        <v>2997</v>
      </c>
      <c r="H419" s="1974" t="s">
        <v>2997</v>
      </c>
      <c r="I419" s="2026">
        <v>0.96199999999999997</v>
      </c>
      <c r="J419" s="2026">
        <v>0.96199999999999997</v>
      </c>
      <c r="K419" s="2026">
        <v>0.96199999999999997</v>
      </c>
      <c r="L419" s="2026">
        <v>0.96199999999999997</v>
      </c>
      <c r="M419" s="2027">
        <f t="shared" si="242"/>
        <v>1551.7059999999999</v>
      </c>
      <c r="N419" s="2027">
        <f t="shared" si="242"/>
        <v>1551.7059999999999</v>
      </c>
      <c r="O419" s="2027">
        <f t="shared" si="242"/>
        <v>1551.7059999999999</v>
      </c>
      <c r="P419" s="2027">
        <f t="shared" si="242"/>
        <v>1551.7059999999999</v>
      </c>
      <c r="Q419" s="2026">
        <v>0.96199999999999997</v>
      </c>
      <c r="R419" s="2026">
        <v>0.96199999999999997</v>
      </c>
      <c r="S419" s="2026">
        <v>0.96199999999999997</v>
      </c>
      <c r="T419" s="2026">
        <v>0.96199999999999997</v>
      </c>
      <c r="U419" s="2028">
        <f t="shared" si="243"/>
        <v>0.38480000000000003</v>
      </c>
      <c r="V419" s="2028">
        <f t="shared" si="243"/>
        <v>0.38480000000000003</v>
      </c>
      <c r="W419" s="2028">
        <f t="shared" si="243"/>
        <v>0.38480000000000003</v>
      </c>
      <c r="X419" s="2028">
        <f t="shared" si="243"/>
        <v>0.38480000000000003</v>
      </c>
      <c r="Y419" s="2026">
        <v>0.96199999999999997</v>
      </c>
      <c r="Z419" s="2026">
        <v>0.96199999999999997</v>
      </c>
      <c r="AA419" s="2026">
        <v>0.96199999999999997</v>
      </c>
      <c r="AB419" s="2026">
        <v>0.96199999999999997</v>
      </c>
      <c r="AC419" s="2027">
        <f t="shared" si="244"/>
        <v>0</v>
      </c>
      <c r="AD419" s="2027">
        <f t="shared" si="244"/>
        <v>0</v>
      </c>
      <c r="AE419" s="2027">
        <f t="shared" si="244"/>
        <v>0</v>
      </c>
      <c r="AF419" s="2027">
        <f t="shared" si="244"/>
        <v>0</v>
      </c>
      <c r="AG419" s="2027">
        <v>0</v>
      </c>
      <c r="AH419" s="2028"/>
      <c r="AI419" s="2028"/>
      <c r="AJ419" s="2028"/>
      <c r="AK419" s="2027">
        <f t="shared" si="250"/>
        <v>0</v>
      </c>
      <c r="AL419" s="2027">
        <f t="shared" si="236"/>
        <v>0</v>
      </c>
      <c r="AM419" s="2027">
        <f t="shared" si="236"/>
        <v>0</v>
      </c>
      <c r="AN419" s="2027">
        <f t="shared" si="236"/>
        <v>0</v>
      </c>
      <c r="AO419" s="2027">
        <f t="shared" si="245"/>
        <v>0</v>
      </c>
      <c r="AP419" s="2027">
        <f t="shared" si="237"/>
        <v>0</v>
      </c>
      <c r="AQ419" s="2027">
        <f t="shared" si="237"/>
        <v>0</v>
      </c>
      <c r="AR419" s="2027">
        <f t="shared" si="237"/>
        <v>0</v>
      </c>
      <c r="AS419" s="2124">
        <f t="shared" si="268"/>
        <v>150</v>
      </c>
      <c r="AT419" s="2029">
        <f t="shared" si="238"/>
        <v>150</v>
      </c>
      <c r="AU419" s="2029">
        <f t="shared" si="238"/>
        <v>150</v>
      </c>
      <c r="AV419" s="2029">
        <f t="shared" si="238"/>
        <v>150</v>
      </c>
      <c r="AW419" s="2124">
        <f t="shared" si="264"/>
        <v>0</v>
      </c>
      <c r="AX419" s="2029">
        <f t="shared" si="257"/>
        <v>0</v>
      </c>
      <c r="AY419" s="2029">
        <f t="shared" si="257"/>
        <v>0</v>
      </c>
      <c r="AZ419" s="2029">
        <f t="shared" si="257"/>
        <v>0</v>
      </c>
      <c r="BA419" s="2124">
        <f t="shared" si="267"/>
        <v>180</v>
      </c>
      <c r="BB419" s="2029">
        <f t="shared" si="267"/>
        <v>180</v>
      </c>
      <c r="BC419" s="2029">
        <f t="shared" si="267"/>
        <v>180</v>
      </c>
      <c r="BD419" s="2029">
        <f t="shared" si="267"/>
        <v>180</v>
      </c>
      <c r="BE419" s="2030">
        <f t="shared" si="239"/>
        <v>0</v>
      </c>
      <c r="BF419" s="2030">
        <f t="shared" si="239"/>
        <v>0</v>
      </c>
      <c r="BG419" s="2030">
        <f t="shared" si="239"/>
        <v>0</v>
      </c>
      <c r="BH419" s="2030">
        <f t="shared" si="239"/>
        <v>0</v>
      </c>
      <c r="BI419" s="2030">
        <f t="shared" si="240"/>
        <v>0</v>
      </c>
      <c r="BJ419" s="2030">
        <f t="shared" si="240"/>
        <v>0</v>
      </c>
      <c r="BK419" s="2030">
        <f t="shared" si="240"/>
        <v>0</v>
      </c>
      <c r="BL419" s="2030">
        <f t="shared" si="240"/>
        <v>0</v>
      </c>
      <c r="BM419" s="2125"/>
      <c r="BN419" s="2125"/>
      <c r="BO419" s="2125"/>
      <c r="BP419" s="2125"/>
      <c r="BQ419" s="2125"/>
      <c r="BR419" s="2125"/>
      <c r="BS419" s="2125"/>
      <c r="BT419" s="2125"/>
      <c r="BU419" s="2029"/>
      <c r="BV419" s="2029"/>
      <c r="BW419" s="2029"/>
      <c r="BX419" s="2029"/>
      <c r="BY419" s="2029"/>
      <c r="BZ419" s="2032"/>
      <c r="CA419" s="1974">
        <f t="shared" si="266"/>
        <v>0</v>
      </c>
      <c r="CB419" s="1974">
        <f t="shared" si="266"/>
        <v>0</v>
      </c>
      <c r="CC419" s="1974">
        <f t="shared" si="266"/>
        <v>0</v>
      </c>
      <c r="CD419" s="1974">
        <f t="shared" si="266"/>
        <v>0</v>
      </c>
      <c r="CE419" s="1974">
        <f t="shared" si="266"/>
        <v>0</v>
      </c>
      <c r="CF419" s="2033">
        <v>0</v>
      </c>
      <c r="CG419" s="2026">
        <v>0</v>
      </c>
      <c r="CH419" s="2009">
        <f t="shared" si="266"/>
        <v>0</v>
      </c>
      <c r="CI419" s="2031">
        <f t="shared" si="266"/>
        <v>0</v>
      </c>
      <c r="CJ419" s="1974">
        <f t="shared" si="266"/>
        <v>0</v>
      </c>
      <c r="CK419" s="2031">
        <f t="shared" si="266"/>
        <v>0</v>
      </c>
      <c r="CL419" s="2026">
        <v>1</v>
      </c>
      <c r="CM419" s="2026">
        <v>1</v>
      </c>
      <c r="CN419" s="2026">
        <v>1</v>
      </c>
      <c r="CO419" s="2026">
        <v>1</v>
      </c>
      <c r="CP419" s="2035"/>
      <c r="CQ419" s="2036"/>
      <c r="CR419" s="2036"/>
      <c r="CS419" s="2036"/>
      <c r="CT419" s="2036"/>
      <c r="CU419" s="2036"/>
      <c r="CW419" s="1973">
        <v>0</v>
      </c>
      <c r="CX419" s="2037">
        <v>150</v>
      </c>
      <c r="CY419" s="2037">
        <v>150</v>
      </c>
      <c r="CZ419" s="2037">
        <v>150</v>
      </c>
      <c r="DA419" s="2037">
        <v>150</v>
      </c>
      <c r="DJ419" s="1976">
        <v>150</v>
      </c>
      <c r="DK419" s="1973">
        <v>150</v>
      </c>
      <c r="DL419" s="1973">
        <v>150</v>
      </c>
      <c r="DM419" s="1973">
        <v>150</v>
      </c>
      <c r="DO419" s="1974">
        <v>5</v>
      </c>
      <c r="DP419" s="1974">
        <v>1613</v>
      </c>
      <c r="DQ419" s="1974">
        <v>0.4</v>
      </c>
      <c r="DR419" s="1974">
        <v>0</v>
      </c>
      <c r="DS419" s="2124">
        <v>150</v>
      </c>
      <c r="DT419" s="2029">
        <v>150</v>
      </c>
      <c r="DU419" s="2029">
        <v>150</v>
      </c>
      <c r="DV419" s="2029">
        <v>150</v>
      </c>
      <c r="DW419" s="2124">
        <v>0</v>
      </c>
      <c r="DX419" s="2029">
        <v>0</v>
      </c>
      <c r="DY419" s="2029">
        <v>0</v>
      </c>
      <c r="DZ419" s="2029">
        <v>0</v>
      </c>
      <c r="EA419" s="2124">
        <v>180</v>
      </c>
      <c r="EB419" s="2029">
        <v>180</v>
      </c>
      <c r="EC419" s="2029">
        <v>180</v>
      </c>
      <c r="ED419" s="2029">
        <v>180</v>
      </c>
      <c r="EE419" s="2039">
        <f t="shared" si="253"/>
        <v>0</v>
      </c>
      <c r="EF419" s="2039">
        <f t="shared" si="253"/>
        <v>0</v>
      </c>
      <c r="EG419" s="2039">
        <f t="shared" si="253"/>
        <v>0</v>
      </c>
      <c r="EH419" s="2039">
        <f t="shared" si="252"/>
        <v>0</v>
      </c>
      <c r="EI419" s="2040">
        <f t="shared" si="233"/>
        <v>0</v>
      </c>
      <c r="EJ419" s="2040">
        <f t="shared" si="233"/>
        <v>0</v>
      </c>
      <c r="EK419" s="2040">
        <f t="shared" si="233"/>
        <v>0</v>
      </c>
      <c r="EL419" s="2040">
        <f t="shared" si="232"/>
        <v>0</v>
      </c>
      <c r="EM419" s="2040">
        <f t="shared" si="232"/>
        <v>0</v>
      </c>
      <c r="EN419" s="2040">
        <f t="shared" si="232"/>
        <v>0</v>
      </c>
      <c r="EO419" s="2040">
        <f t="shared" si="232"/>
        <v>0</v>
      </c>
      <c r="EP419" s="2040">
        <f t="shared" si="232"/>
        <v>0</v>
      </c>
      <c r="EQ419" s="2040">
        <f t="shared" si="232"/>
        <v>0</v>
      </c>
      <c r="ER419" s="2040">
        <f t="shared" si="261"/>
        <v>0</v>
      </c>
      <c r="ES419" s="2040">
        <f t="shared" si="261"/>
        <v>0</v>
      </c>
      <c r="ET419" s="2040">
        <f t="shared" si="261"/>
        <v>0</v>
      </c>
      <c r="EU419" s="2039">
        <f t="shared" si="254"/>
        <v>0</v>
      </c>
      <c r="EV419" s="2039">
        <f t="shared" si="255"/>
        <v>0</v>
      </c>
    </row>
    <row r="420" spans="1:152" x14ac:dyDescent="0.25">
      <c r="A420" s="2088" t="s">
        <v>186</v>
      </c>
      <c r="B420" s="2093" t="str">
        <f t="shared" si="234"/>
        <v>Online store</v>
      </c>
      <c r="C420" s="1974">
        <f t="shared" si="265"/>
        <v>5</v>
      </c>
      <c r="D420" s="1974">
        <f t="shared" si="265"/>
        <v>1613</v>
      </c>
      <c r="E420" s="1974">
        <f t="shared" si="265"/>
        <v>0.4</v>
      </c>
      <c r="F420" s="1974">
        <f t="shared" si="265"/>
        <v>0</v>
      </c>
      <c r="G420" s="1974" t="s">
        <v>2997</v>
      </c>
      <c r="H420" s="1974" t="s">
        <v>2997</v>
      </c>
      <c r="I420" s="2026">
        <v>0.96199999999999997</v>
      </c>
      <c r="J420" s="2026">
        <v>0.96199999999999997</v>
      </c>
      <c r="K420" s="2026">
        <v>0.96199999999999997</v>
      </c>
      <c r="L420" s="2026">
        <v>0.96199999999999997</v>
      </c>
      <c r="M420" s="2027">
        <f t="shared" si="242"/>
        <v>1551.7059999999999</v>
      </c>
      <c r="N420" s="2027">
        <f t="shared" si="242"/>
        <v>1551.7059999999999</v>
      </c>
      <c r="O420" s="2027">
        <f t="shared" si="242"/>
        <v>1551.7059999999999</v>
      </c>
      <c r="P420" s="2027">
        <f t="shared" si="242"/>
        <v>1551.7059999999999</v>
      </c>
      <c r="Q420" s="2026">
        <v>0.96199999999999997</v>
      </c>
      <c r="R420" s="2026">
        <v>0.96199999999999997</v>
      </c>
      <c r="S420" s="2026">
        <v>0.96199999999999997</v>
      </c>
      <c r="T420" s="2026">
        <v>0.96199999999999997</v>
      </c>
      <c r="U420" s="2028">
        <f t="shared" si="243"/>
        <v>0.38480000000000003</v>
      </c>
      <c r="V420" s="2028">
        <f t="shared" si="243"/>
        <v>0.38480000000000003</v>
      </c>
      <c r="W420" s="2028">
        <f t="shared" si="243"/>
        <v>0.38480000000000003</v>
      </c>
      <c r="X420" s="2028">
        <f t="shared" si="243"/>
        <v>0.38480000000000003</v>
      </c>
      <c r="Y420" s="2026">
        <v>0.96199999999999997</v>
      </c>
      <c r="Z420" s="2026">
        <v>0.96199999999999997</v>
      </c>
      <c r="AA420" s="2026">
        <v>0.96199999999999997</v>
      </c>
      <c r="AB420" s="2026">
        <v>0.96199999999999997</v>
      </c>
      <c r="AC420" s="2027">
        <f t="shared" si="244"/>
        <v>0</v>
      </c>
      <c r="AD420" s="2027">
        <f t="shared" si="244"/>
        <v>0</v>
      </c>
      <c r="AE420" s="2027">
        <f t="shared" si="244"/>
        <v>0</v>
      </c>
      <c r="AF420" s="2027">
        <f t="shared" si="244"/>
        <v>0</v>
      </c>
      <c r="AG420" s="2027">
        <v>0</v>
      </c>
      <c r="AH420" s="2028"/>
      <c r="AI420" s="2028"/>
      <c r="AJ420" s="2028"/>
      <c r="AK420" s="2027">
        <f t="shared" si="250"/>
        <v>0</v>
      </c>
      <c r="AL420" s="2027">
        <f t="shared" si="236"/>
        <v>0</v>
      </c>
      <c r="AM420" s="2027">
        <f t="shared" si="236"/>
        <v>0</v>
      </c>
      <c r="AN420" s="2027">
        <f t="shared" si="236"/>
        <v>0</v>
      </c>
      <c r="AO420" s="2027">
        <f t="shared" si="245"/>
        <v>0</v>
      </c>
      <c r="AP420" s="2027">
        <f t="shared" si="237"/>
        <v>0</v>
      </c>
      <c r="AQ420" s="2027">
        <f t="shared" si="237"/>
        <v>0</v>
      </c>
      <c r="AR420" s="2027">
        <f t="shared" si="237"/>
        <v>0</v>
      </c>
      <c r="AS420" s="2124">
        <f t="shared" si="268"/>
        <v>150</v>
      </c>
      <c r="AT420" s="2029">
        <f t="shared" si="238"/>
        <v>150</v>
      </c>
      <c r="AU420" s="2029">
        <f t="shared" si="238"/>
        <v>150</v>
      </c>
      <c r="AV420" s="2029">
        <f t="shared" si="238"/>
        <v>150</v>
      </c>
      <c r="AW420" s="2124">
        <f t="shared" si="264"/>
        <v>0</v>
      </c>
      <c r="AX420" s="2029">
        <f t="shared" si="257"/>
        <v>0</v>
      </c>
      <c r="AY420" s="2029">
        <f t="shared" si="257"/>
        <v>0</v>
      </c>
      <c r="AZ420" s="2029">
        <f t="shared" si="257"/>
        <v>0</v>
      </c>
      <c r="BA420" s="2124">
        <f t="shared" si="267"/>
        <v>180</v>
      </c>
      <c r="BB420" s="2029">
        <f t="shared" si="267"/>
        <v>180</v>
      </c>
      <c r="BC420" s="2029">
        <f t="shared" si="267"/>
        <v>180</v>
      </c>
      <c r="BD420" s="2029">
        <f t="shared" si="267"/>
        <v>180</v>
      </c>
      <c r="BE420" s="2030">
        <f t="shared" si="239"/>
        <v>0</v>
      </c>
      <c r="BF420" s="2030">
        <f t="shared" si="239"/>
        <v>0</v>
      </c>
      <c r="BG420" s="2030">
        <f t="shared" si="239"/>
        <v>0</v>
      </c>
      <c r="BH420" s="2030">
        <f t="shared" si="239"/>
        <v>0</v>
      </c>
      <c r="BI420" s="2030">
        <f t="shared" si="240"/>
        <v>0</v>
      </c>
      <c r="BJ420" s="2030">
        <f t="shared" si="240"/>
        <v>0</v>
      </c>
      <c r="BK420" s="2030">
        <f t="shared" si="240"/>
        <v>0</v>
      </c>
      <c r="BL420" s="2030">
        <f t="shared" si="240"/>
        <v>0</v>
      </c>
      <c r="BM420" s="2125"/>
      <c r="BN420" s="2125"/>
      <c r="BO420" s="2125"/>
      <c r="BP420" s="2125"/>
      <c r="BQ420" s="2125"/>
      <c r="BR420" s="2125"/>
      <c r="BS420" s="2125"/>
      <c r="BT420" s="2125"/>
      <c r="BU420" s="2029"/>
      <c r="BV420" s="2029"/>
      <c r="BW420" s="2029"/>
      <c r="BX420" s="2029"/>
      <c r="BY420" s="2029"/>
      <c r="BZ420" s="2032"/>
      <c r="CA420" s="1974">
        <f t="shared" si="266"/>
        <v>0</v>
      </c>
      <c r="CB420" s="1974">
        <f t="shared" si="266"/>
        <v>0</v>
      </c>
      <c r="CC420" s="1974">
        <f t="shared" si="266"/>
        <v>0</v>
      </c>
      <c r="CD420" s="1974">
        <f t="shared" si="266"/>
        <v>0</v>
      </c>
      <c r="CE420" s="1974">
        <f t="shared" si="266"/>
        <v>0</v>
      </c>
      <c r="CF420" s="2033">
        <v>0</v>
      </c>
      <c r="CG420" s="2026">
        <v>0</v>
      </c>
      <c r="CH420" s="2009">
        <f t="shared" si="266"/>
        <v>0</v>
      </c>
      <c r="CI420" s="2031">
        <f t="shared" si="266"/>
        <v>0</v>
      </c>
      <c r="CJ420" s="1974">
        <f t="shared" si="266"/>
        <v>0</v>
      </c>
      <c r="CK420" s="2031">
        <f t="shared" si="266"/>
        <v>0</v>
      </c>
      <c r="CL420" s="2026">
        <v>1</v>
      </c>
      <c r="CM420" s="2026">
        <v>1</v>
      </c>
      <c r="CN420" s="2026">
        <v>1</v>
      </c>
      <c r="CO420" s="2026">
        <v>1</v>
      </c>
      <c r="CP420" s="2035"/>
      <c r="CQ420" s="2036"/>
      <c r="CR420" s="2036"/>
      <c r="CS420" s="2036"/>
      <c r="CT420" s="2036"/>
      <c r="CU420" s="2036"/>
      <c r="CW420" s="1973">
        <v>0</v>
      </c>
      <c r="CX420" s="2037">
        <v>150</v>
      </c>
      <c r="CY420" s="2037">
        <v>150</v>
      </c>
      <c r="CZ420" s="2037">
        <v>150</v>
      </c>
      <c r="DA420" s="2037">
        <v>150</v>
      </c>
      <c r="DJ420" s="1976">
        <v>150</v>
      </c>
      <c r="DK420" s="1973">
        <v>150</v>
      </c>
      <c r="DL420" s="1973">
        <v>150</v>
      </c>
      <c r="DM420" s="1973">
        <v>150</v>
      </c>
      <c r="DO420" s="1974">
        <v>5</v>
      </c>
      <c r="DP420" s="1974">
        <v>1613</v>
      </c>
      <c r="DQ420" s="1974">
        <v>0.4</v>
      </c>
      <c r="DR420" s="1974">
        <v>0</v>
      </c>
      <c r="DS420" s="2124">
        <v>150</v>
      </c>
      <c r="DT420" s="2029">
        <v>150</v>
      </c>
      <c r="DU420" s="2029">
        <v>150</v>
      </c>
      <c r="DV420" s="2029">
        <v>150</v>
      </c>
      <c r="DW420" s="2124">
        <v>0</v>
      </c>
      <c r="DX420" s="2029">
        <v>0</v>
      </c>
      <c r="DY420" s="2029">
        <v>0</v>
      </c>
      <c r="DZ420" s="2029">
        <v>0</v>
      </c>
      <c r="EA420" s="2124">
        <v>180</v>
      </c>
      <c r="EB420" s="2029">
        <v>180</v>
      </c>
      <c r="EC420" s="2029">
        <v>180</v>
      </c>
      <c r="ED420" s="2029">
        <v>180</v>
      </c>
      <c r="EE420" s="2039">
        <f t="shared" si="253"/>
        <v>0</v>
      </c>
      <c r="EF420" s="2039">
        <f t="shared" si="253"/>
        <v>0</v>
      </c>
      <c r="EG420" s="2039">
        <f t="shared" si="253"/>
        <v>0</v>
      </c>
      <c r="EH420" s="2039">
        <f t="shared" si="252"/>
        <v>0</v>
      </c>
      <c r="EI420" s="2040">
        <f t="shared" si="233"/>
        <v>0</v>
      </c>
      <c r="EJ420" s="2040">
        <f t="shared" si="233"/>
        <v>0</v>
      </c>
      <c r="EK420" s="2040">
        <f t="shared" si="233"/>
        <v>0</v>
      </c>
      <c r="EL420" s="2040">
        <f t="shared" si="232"/>
        <v>0</v>
      </c>
      <c r="EM420" s="2040">
        <f t="shared" si="232"/>
        <v>0</v>
      </c>
      <c r="EN420" s="2040">
        <f t="shared" si="232"/>
        <v>0</v>
      </c>
      <c r="EO420" s="2040">
        <f t="shared" si="232"/>
        <v>0</v>
      </c>
      <c r="EP420" s="2040">
        <f t="shared" si="232"/>
        <v>0</v>
      </c>
      <c r="EQ420" s="2040">
        <f t="shared" si="232"/>
        <v>0</v>
      </c>
      <c r="ER420" s="2040">
        <f t="shared" si="261"/>
        <v>0</v>
      </c>
      <c r="ES420" s="2040">
        <f t="shared" si="261"/>
        <v>0</v>
      </c>
      <c r="ET420" s="2040">
        <f t="shared" si="261"/>
        <v>0</v>
      </c>
      <c r="EU420" s="2039">
        <f t="shared" si="254"/>
        <v>0</v>
      </c>
      <c r="EV420" s="2039">
        <f t="shared" si="255"/>
        <v>0</v>
      </c>
    </row>
    <row r="421" spans="1:152" x14ac:dyDescent="0.25">
      <c r="A421" s="2088" t="s">
        <v>187</v>
      </c>
      <c r="B421" s="2093" t="str">
        <f t="shared" si="234"/>
        <v>Online store</v>
      </c>
      <c r="C421" s="1974">
        <f t="shared" si="265"/>
        <v>5</v>
      </c>
      <c r="D421" s="1974">
        <f t="shared" si="265"/>
        <v>1613</v>
      </c>
      <c r="E421" s="1974">
        <f t="shared" si="265"/>
        <v>0.4</v>
      </c>
      <c r="F421" s="1974">
        <f t="shared" si="265"/>
        <v>0</v>
      </c>
      <c r="G421" s="1974" t="s">
        <v>2997</v>
      </c>
      <c r="H421" s="1974" t="s">
        <v>2997</v>
      </c>
      <c r="I421" s="2026">
        <v>0.96199999999999997</v>
      </c>
      <c r="J421" s="2026">
        <v>0.96199999999999997</v>
      </c>
      <c r="K421" s="2026">
        <v>0.96199999999999997</v>
      </c>
      <c r="L421" s="2026">
        <v>0.96199999999999997</v>
      </c>
      <c r="M421" s="2027">
        <f t="shared" si="242"/>
        <v>1551.7059999999999</v>
      </c>
      <c r="N421" s="2027">
        <f t="shared" si="242"/>
        <v>1551.7059999999999</v>
      </c>
      <c r="O421" s="2027">
        <f t="shared" si="242"/>
        <v>1551.7059999999999</v>
      </c>
      <c r="P421" s="2027">
        <f t="shared" si="242"/>
        <v>1551.7059999999999</v>
      </c>
      <c r="Q421" s="2026">
        <v>0.96199999999999997</v>
      </c>
      <c r="R421" s="2026">
        <v>0.96199999999999997</v>
      </c>
      <c r="S421" s="2026">
        <v>0.96199999999999997</v>
      </c>
      <c r="T421" s="2026">
        <v>0.96199999999999997</v>
      </c>
      <c r="U421" s="2028">
        <f t="shared" si="243"/>
        <v>0.38480000000000003</v>
      </c>
      <c r="V421" s="2028">
        <f t="shared" si="243"/>
        <v>0.38480000000000003</v>
      </c>
      <c r="W421" s="2028">
        <f t="shared" si="243"/>
        <v>0.38480000000000003</v>
      </c>
      <c r="X421" s="2028">
        <f t="shared" si="243"/>
        <v>0.38480000000000003</v>
      </c>
      <c r="Y421" s="2026">
        <v>0.96199999999999997</v>
      </c>
      <c r="Z421" s="2026">
        <v>0.96199999999999997</v>
      </c>
      <c r="AA421" s="2026">
        <v>0.96199999999999997</v>
      </c>
      <c r="AB421" s="2026">
        <v>0.96199999999999997</v>
      </c>
      <c r="AC421" s="2027">
        <f t="shared" si="244"/>
        <v>0</v>
      </c>
      <c r="AD421" s="2027">
        <f t="shared" si="244"/>
        <v>0</v>
      </c>
      <c r="AE421" s="2027">
        <f t="shared" si="244"/>
        <v>0</v>
      </c>
      <c r="AF421" s="2027">
        <f t="shared" si="244"/>
        <v>0</v>
      </c>
      <c r="AG421" s="2027">
        <v>0</v>
      </c>
      <c r="AH421" s="2028"/>
      <c r="AI421" s="2028"/>
      <c r="AJ421" s="2028"/>
      <c r="AK421" s="2027">
        <f t="shared" si="250"/>
        <v>0</v>
      </c>
      <c r="AL421" s="2027">
        <f t="shared" si="236"/>
        <v>0</v>
      </c>
      <c r="AM421" s="2027">
        <f t="shared" si="236"/>
        <v>0</v>
      </c>
      <c r="AN421" s="2027">
        <f t="shared" si="236"/>
        <v>0</v>
      </c>
      <c r="AO421" s="2027">
        <f t="shared" si="245"/>
        <v>0</v>
      </c>
      <c r="AP421" s="2027">
        <f t="shared" si="237"/>
        <v>0</v>
      </c>
      <c r="AQ421" s="2027">
        <f t="shared" si="237"/>
        <v>0</v>
      </c>
      <c r="AR421" s="2027">
        <f t="shared" si="237"/>
        <v>0</v>
      </c>
      <c r="AS421" s="2124">
        <f t="shared" si="268"/>
        <v>150</v>
      </c>
      <c r="AT421" s="2029">
        <f t="shared" si="238"/>
        <v>150</v>
      </c>
      <c r="AU421" s="2029">
        <f t="shared" si="238"/>
        <v>150</v>
      </c>
      <c r="AV421" s="2029">
        <f t="shared" si="238"/>
        <v>150</v>
      </c>
      <c r="AW421" s="2124">
        <f t="shared" si="264"/>
        <v>0</v>
      </c>
      <c r="AX421" s="2029">
        <f t="shared" si="257"/>
        <v>0</v>
      </c>
      <c r="AY421" s="2029">
        <f t="shared" si="257"/>
        <v>0</v>
      </c>
      <c r="AZ421" s="2029">
        <f t="shared" si="257"/>
        <v>0</v>
      </c>
      <c r="BA421" s="2124">
        <f t="shared" si="267"/>
        <v>180</v>
      </c>
      <c r="BB421" s="2029">
        <f t="shared" si="267"/>
        <v>180</v>
      </c>
      <c r="BC421" s="2029">
        <f t="shared" si="267"/>
        <v>180</v>
      </c>
      <c r="BD421" s="2029">
        <f t="shared" si="267"/>
        <v>180</v>
      </c>
      <c r="BE421" s="2030">
        <f t="shared" si="239"/>
        <v>0</v>
      </c>
      <c r="BF421" s="2030">
        <f t="shared" si="239"/>
        <v>0</v>
      </c>
      <c r="BG421" s="2030">
        <f t="shared" si="239"/>
        <v>0</v>
      </c>
      <c r="BH421" s="2030">
        <f t="shared" si="239"/>
        <v>0</v>
      </c>
      <c r="BI421" s="2030">
        <f t="shared" si="240"/>
        <v>0</v>
      </c>
      <c r="BJ421" s="2030">
        <f t="shared" si="240"/>
        <v>0</v>
      </c>
      <c r="BK421" s="2030">
        <f t="shared" si="240"/>
        <v>0</v>
      </c>
      <c r="BL421" s="2030">
        <f t="shared" si="240"/>
        <v>0</v>
      </c>
      <c r="BM421" s="2125"/>
      <c r="BN421" s="2125"/>
      <c r="BO421" s="2125"/>
      <c r="BP421" s="2125"/>
      <c r="BQ421" s="2125"/>
      <c r="BR421" s="2125"/>
      <c r="BS421" s="2125"/>
      <c r="BT421" s="2125"/>
      <c r="BU421" s="2029"/>
      <c r="BV421" s="2029"/>
      <c r="BW421" s="2029"/>
      <c r="BX421" s="2029"/>
      <c r="BY421" s="2029"/>
      <c r="BZ421" s="2032"/>
      <c r="CA421" s="1974">
        <f t="shared" si="266"/>
        <v>0</v>
      </c>
      <c r="CB421" s="1974">
        <f t="shared" si="266"/>
        <v>0</v>
      </c>
      <c r="CC421" s="1974">
        <f t="shared" si="266"/>
        <v>0</v>
      </c>
      <c r="CD421" s="1974">
        <f t="shared" si="266"/>
        <v>0</v>
      </c>
      <c r="CE421" s="1974">
        <f t="shared" si="266"/>
        <v>0</v>
      </c>
      <c r="CF421" s="2033">
        <v>0</v>
      </c>
      <c r="CG421" s="2026">
        <v>0</v>
      </c>
      <c r="CH421" s="2009">
        <f t="shared" si="266"/>
        <v>0</v>
      </c>
      <c r="CI421" s="2031">
        <f t="shared" si="266"/>
        <v>0</v>
      </c>
      <c r="CJ421" s="1974">
        <f t="shared" si="266"/>
        <v>0</v>
      </c>
      <c r="CK421" s="2031">
        <f t="shared" si="266"/>
        <v>0</v>
      </c>
      <c r="CL421" s="2026">
        <v>1</v>
      </c>
      <c r="CM421" s="2026">
        <v>1</v>
      </c>
      <c r="CN421" s="2026">
        <v>1</v>
      </c>
      <c r="CO421" s="2026">
        <v>1</v>
      </c>
      <c r="CP421" s="2035"/>
      <c r="CQ421" s="2036"/>
      <c r="CR421" s="2036"/>
      <c r="CS421" s="2036"/>
      <c r="CT421" s="2036"/>
      <c r="CU421" s="2036"/>
      <c r="CW421" s="1973">
        <v>0</v>
      </c>
      <c r="CX421" s="2037">
        <v>150</v>
      </c>
      <c r="CY421" s="2037">
        <v>150</v>
      </c>
      <c r="CZ421" s="2037">
        <v>150</v>
      </c>
      <c r="DA421" s="2037">
        <v>150</v>
      </c>
      <c r="DJ421" s="1976">
        <v>150</v>
      </c>
      <c r="DK421" s="1973">
        <v>150</v>
      </c>
      <c r="DL421" s="1973">
        <v>150</v>
      </c>
      <c r="DM421" s="1973">
        <v>150</v>
      </c>
      <c r="DO421" s="1974">
        <v>5</v>
      </c>
      <c r="DP421" s="1974">
        <v>1613</v>
      </c>
      <c r="DQ421" s="1974">
        <v>0.4</v>
      </c>
      <c r="DR421" s="1974">
        <v>0</v>
      </c>
      <c r="DS421" s="2124">
        <v>150</v>
      </c>
      <c r="DT421" s="2029">
        <v>150</v>
      </c>
      <c r="DU421" s="2029">
        <v>150</v>
      </c>
      <c r="DV421" s="2029">
        <v>150</v>
      </c>
      <c r="DW421" s="2124">
        <v>0</v>
      </c>
      <c r="DX421" s="2029">
        <v>0</v>
      </c>
      <c r="DY421" s="2029">
        <v>0</v>
      </c>
      <c r="DZ421" s="2029">
        <v>0</v>
      </c>
      <c r="EA421" s="2124">
        <v>180</v>
      </c>
      <c r="EB421" s="2029">
        <v>180</v>
      </c>
      <c r="EC421" s="2029">
        <v>180</v>
      </c>
      <c r="ED421" s="2029">
        <v>180</v>
      </c>
      <c r="EE421" s="2039">
        <f t="shared" si="253"/>
        <v>0</v>
      </c>
      <c r="EF421" s="2039">
        <f t="shared" si="253"/>
        <v>0</v>
      </c>
      <c r="EG421" s="2039">
        <f t="shared" si="253"/>
        <v>0</v>
      </c>
      <c r="EH421" s="2039">
        <f t="shared" si="252"/>
        <v>0</v>
      </c>
      <c r="EI421" s="2040">
        <f t="shared" si="233"/>
        <v>0</v>
      </c>
      <c r="EJ421" s="2040">
        <f t="shared" si="233"/>
        <v>0</v>
      </c>
      <c r="EK421" s="2040">
        <f t="shared" si="233"/>
        <v>0</v>
      </c>
      <c r="EL421" s="2040">
        <f t="shared" si="232"/>
        <v>0</v>
      </c>
      <c r="EM421" s="2040">
        <f t="shared" si="232"/>
        <v>0</v>
      </c>
      <c r="EN421" s="2040">
        <f t="shared" si="232"/>
        <v>0</v>
      </c>
      <c r="EO421" s="2040">
        <f t="shared" si="232"/>
        <v>0</v>
      </c>
      <c r="EP421" s="2040">
        <f t="shared" si="232"/>
        <v>0</v>
      </c>
      <c r="EQ421" s="2040">
        <f t="shared" si="232"/>
        <v>0</v>
      </c>
      <c r="ER421" s="2040">
        <f t="shared" si="261"/>
        <v>0</v>
      </c>
      <c r="ES421" s="2040">
        <f t="shared" si="261"/>
        <v>0</v>
      </c>
      <c r="ET421" s="2040">
        <f t="shared" si="261"/>
        <v>0</v>
      </c>
      <c r="EU421" s="2039">
        <f t="shared" si="254"/>
        <v>0</v>
      </c>
      <c r="EV421" s="2039">
        <f t="shared" si="255"/>
        <v>0</v>
      </c>
    </row>
    <row r="422" spans="1:152" x14ac:dyDescent="0.25">
      <c r="A422" s="2088" t="s">
        <v>188</v>
      </c>
      <c r="B422" s="2093" t="str">
        <f t="shared" si="234"/>
        <v>Online store</v>
      </c>
      <c r="C422" s="1974">
        <f t="shared" si="265"/>
        <v>5</v>
      </c>
      <c r="D422" s="1974">
        <f t="shared" si="265"/>
        <v>1613</v>
      </c>
      <c r="E422" s="1974">
        <f t="shared" si="265"/>
        <v>0.4</v>
      </c>
      <c r="F422" s="1974">
        <f t="shared" si="265"/>
        <v>0</v>
      </c>
      <c r="G422" s="1974" t="s">
        <v>2997</v>
      </c>
      <c r="H422" s="1974" t="s">
        <v>2997</v>
      </c>
      <c r="I422" s="2026">
        <v>0.96199999999999997</v>
      </c>
      <c r="J422" s="2026">
        <v>0.96199999999999997</v>
      </c>
      <c r="K422" s="2026">
        <v>0.96199999999999997</v>
      </c>
      <c r="L422" s="2026">
        <v>0.96199999999999997</v>
      </c>
      <c r="M422" s="2027">
        <f t="shared" si="242"/>
        <v>1551.7059999999999</v>
      </c>
      <c r="N422" s="2027">
        <f t="shared" si="242"/>
        <v>1551.7059999999999</v>
      </c>
      <c r="O422" s="2027">
        <f t="shared" si="242"/>
        <v>1551.7059999999999</v>
      </c>
      <c r="P422" s="2027">
        <f t="shared" si="242"/>
        <v>1551.7059999999999</v>
      </c>
      <c r="Q422" s="2026">
        <v>0.96199999999999997</v>
      </c>
      <c r="R422" s="2026">
        <v>0.96199999999999997</v>
      </c>
      <c r="S422" s="2026">
        <v>0.96199999999999997</v>
      </c>
      <c r="T422" s="2026">
        <v>0.96199999999999997</v>
      </c>
      <c r="U422" s="2028">
        <f t="shared" si="243"/>
        <v>0.38480000000000003</v>
      </c>
      <c r="V422" s="2028">
        <f t="shared" si="243"/>
        <v>0.38480000000000003</v>
      </c>
      <c r="W422" s="2028">
        <f t="shared" si="243"/>
        <v>0.38480000000000003</v>
      </c>
      <c r="X422" s="2028">
        <f t="shared" si="243"/>
        <v>0.38480000000000003</v>
      </c>
      <c r="Y422" s="2026">
        <v>0.96199999999999997</v>
      </c>
      <c r="Z422" s="2026">
        <v>0.96199999999999997</v>
      </c>
      <c r="AA422" s="2026">
        <v>0.96199999999999997</v>
      </c>
      <c r="AB422" s="2026">
        <v>0.96199999999999997</v>
      </c>
      <c r="AC422" s="2027">
        <f t="shared" si="244"/>
        <v>0</v>
      </c>
      <c r="AD422" s="2027">
        <f t="shared" si="244"/>
        <v>0</v>
      </c>
      <c r="AE422" s="2027">
        <f t="shared" si="244"/>
        <v>0</v>
      </c>
      <c r="AF422" s="2027">
        <f t="shared" si="244"/>
        <v>0</v>
      </c>
      <c r="AG422" s="2027">
        <v>0</v>
      </c>
      <c r="AH422" s="2028"/>
      <c r="AI422" s="2028"/>
      <c r="AJ422" s="2028"/>
      <c r="AK422" s="2027">
        <f t="shared" si="250"/>
        <v>0</v>
      </c>
      <c r="AL422" s="2027">
        <f t="shared" si="236"/>
        <v>0</v>
      </c>
      <c r="AM422" s="2027">
        <f t="shared" si="236"/>
        <v>0</v>
      </c>
      <c r="AN422" s="2027">
        <f t="shared" si="236"/>
        <v>0</v>
      </c>
      <c r="AO422" s="2027">
        <f t="shared" si="245"/>
        <v>0</v>
      </c>
      <c r="AP422" s="2027">
        <f t="shared" si="237"/>
        <v>0</v>
      </c>
      <c r="AQ422" s="2027">
        <f t="shared" si="237"/>
        <v>0</v>
      </c>
      <c r="AR422" s="2027">
        <f t="shared" si="237"/>
        <v>0</v>
      </c>
      <c r="AS422" s="2124">
        <f t="shared" si="268"/>
        <v>150</v>
      </c>
      <c r="AT422" s="2029">
        <f t="shared" si="238"/>
        <v>150</v>
      </c>
      <c r="AU422" s="2029">
        <f t="shared" si="238"/>
        <v>150</v>
      </c>
      <c r="AV422" s="2029">
        <f t="shared" si="238"/>
        <v>150</v>
      </c>
      <c r="AW422" s="2124">
        <f t="shared" si="264"/>
        <v>0</v>
      </c>
      <c r="AX422" s="2029">
        <f t="shared" si="257"/>
        <v>0</v>
      </c>
      <c r="AY422" s="2029">
        <f t="shared" si="257"/>
        <v>0</v>
      </c>
      <c r="AZ422" s="2029">
        <f t="shared" si="257"/>
        <v>0</v>
      </c>
      <c r="BA422" s="2124">
        <f t="shared" si="267"/>
        <v>180</v>
      </c>
      <c r="BB422" s="2029">
        <f t="shared" si="267"/>
        <v>180</v>
      </c>
      <c r="BC422" s="2029">
        <f t="shared" si="267"/>
        <v>180</v>
      </c>
      <c r="BD422" s="2029">
        <f t="shared" si="267"/>
        <v>180</v>
      </c>
      <c r="BE422" s="2030">
        <f t="shared" si="239"/>
        <v>0</v>
      </c>
      <c r="BF422" s="2030">
        <f t="shared" si="239"/>
        <v>0</v>
      </c>
      <c r="BG422" s="2030">
        <f t="shared" si="239"/>
        <v>0</v>
      </c>
      <c r="BH422" s="2030">
        <f t="shared" si="239"/>
        <v>0</v>
      </c>
      <c r="BI422" s="2030">
        <f t="shared" si="240"/>
        <v>0</v>
      </c>
      <c r="BJ422" s="2030">
        <f t="shared" si="240"/>
        <v>0</v>
      </c>
      <c r="BK422" s="2030">
        <f t="shared" si="240"/>
        <v>0</v>
      </c>
      <c r="BL422" s="2030">
        <f t="shared" si="240"/>
        <v>0</v>
      </c>
      <c r="BM422" s="2125"/>
      <c r="BN422" s="2125"/>
      <c r="BO422" s="2125"/>
      <c r="BP422" s="2125"/>
      <c r="BQ422" s="2125"/>
      <c r="BR422" s="2125"/>
      <c r="BS422" s="2125"/>
      <c r="BT422" s="2125"/>
      <c r="BU422" s="2029"/>
      <c r="BV422" s="2029"/>
      <c r="BW422" s="2029"/>
      <c r="BX422" s="2029"/>
      <c r="BY422" s="2029"/>
      <c r="BZ422" s="2032"/>
      <c r="CA422" s="1974">
        <f t="shared" si="266"/>
        <v>0</v>
      </c>
      <c r="CB422" s="1974">
        <f t="shared" si="266"/>
        <v>0</v>
      </c>
      <c r="CC422" s="1974">
        <f t="shared" si="266"/>
        <v>0</v>
      </c>
      <c r="CD422" s="1974">
        <f t="shared" si="266"/>
        <v>0</v>
      </c>
      <c r="CE422" s="1974">
        <f t="shared" si="266"/>
        <v>0</v>
      </c>
      <c r="CF422" s="2033">
        <v>0</v>
      </c>
      <c r="CG422" s="2026">
        <v>0</v>
      </c>
      <c r="CH422" s="2009">
        <f t="shared" si="266"/>
        <v>0</v>
      </c>
      <c r="CI422" s="2031">
        <f t="shared" si="266"/>
        <v>0</v>
      </c>
      <c r="CJ422" s="1974">
        <f t="shared" si="266"/>
        <v>0</v>
      </c>
      <c r="CK422" s="2031">
        <f t="shared" si="266"/>
        <v>0</v>
      </c>
      <c r="CL422" s="2026">
        <v>1</v>
      </c>
      <c r="CM422" s="2026">
        <v>1</v>
      </c>
      <c r="CN422" s="2026">
        <v>1</v>
      </c>
      <c r="CO422" s="2026">
        <v>1</v>
      </c>
      <c r="CP422" s="2035"/>
      <c r="CQ422" s="2036"/>
      <c r="CR422" s="2036"/>
      <c r="CS422" s="2036"/>
      <c r="CT422" s="2036"/>
      <c r="CU422" s="2036"/>
      <c r="CW422" s="1973">
        <v>0</v>
      </c>
      <c r="CX422" s="2037">
        <v>150</v>
      </c>
      <c r="CY422" s="2037">
        <v>150</v>
      </c>
      <c r="CZ422" s="2037">
        <v>150</v>
      </c>
      <c r="DA422" s="2037">
        <v>150</v>
      </c>
      <c r="DJ422" s="1976">
        <v>150</v>
      </c>
      <c r="DK422" s="1973">
        <v>150</v>
      </c>
      <c r="DL422" s="1973">
        <v>150</v>
      </c>
      <c r="DM422" s="1973">
        <v>150</v>
      </c>
      <c r="DO422" s="1974">
        <v>5</v>
      </c>
      <c r="DP422" s="1974">
        <v>1613</v>
      </c>
      <c r="DQ422" s="1974">
        <v>0.4</v>
      </c>
      <c r="DR422" s="1974">
        <v>0</v>
      </c>
      <c r="DS422" s="2124">
        <v>150</v>
      </c>
      <c r="DT422" s="2029">
        <v>150</v>
      </c>
      <c r="DU422" s="2029">
        <v>150</v>
      </c>
      <c r="DV422" s="2029">
        <v>150</v>
      </c>
      <c r="DW422" s="2124">
        <v>0</v>
      </c>
      <c r="DX422" s="2029">
        <v>0</v>
      </c>
      <c r="DY422" s="2029">
        <v>0</v>
      </c>
      <c r="DZ422" s="2029">
        <v>0</v>
      </c>
      <c r="EA422" s="2124">
        <v>180</v>
      </c>
      <c r="EB422" s="2029">
        <v>180</v>
      </c>
      <c r="EC422" s="2029">
        <v>180</v>
      </c>
      <c r="ED422" s="2029">
        <v>180</v>
      </c>
      <c r="EE422" s="2039">
        <f t="shared" si="253"/>
        <v>0</v>
      </c>
      <c r="EF422" s="2039">
        <f t="shared" si="253"/>
        <v>0</v>
      </c>
      <c r="EG422" s="2039">
        <f t="shared" si="253"/>
        <v>0</v>
      </c>
      <c r="EH422" s="2039">
        <f t="shared" si="252"/>
        <v>0</v>
      </c>
      <c r="EI422" s="2040">
        <f t="shared" si="233"/>
        <v>0</v>
      </c>
      <c r="EJ422" s="2040">
        <f t="shared" si="233"/>
        <v>0</v>
      </c>
      <c r="EK422" s="2040">
        <f t="shared" si="233"/>
        <v>0</v>
      </c>
      <c r="EL422" s="2040">
        <f t="shared" si="232"/>
        <v>0</v>
      </c>
      <c r="EM422" s="2040">
        <f t="shared" si="232"/>
        <v>0</v>
      </c>
      <c r="EN422" s="2040">
        <f t="shared" si="232"/>
        <v>0</v>
      </c>
      <c r="EO422" s="2040">
        <f t="shared" si="232"/>
        <v>0</v>
      </c>
      <c r="EP422" s="2040">
        <f t="shared" si="232"/>
        <v>0</v>
      </c>
      <c r="EQ422" s="2040">
        <f t="shared" si="232"/>
        <v>0</v>
      </c>
      <c r="ER422" s="2040">
        <f t="shared" si="261"/>
        <v>0</v>
      </c>
      <c r="ES422" s="2040">
        <f t="shared" si="261"/>
        <v>0</v>
      </c>
      <c r="ET422" s="2040">
        <f t="shared" si="261"/>
        <v>0</v>
      </c>
      <c r="EU422" s="2039">
        <f t="shared" si="254"/>
        <v>0</v>
      </c>
      <c r="EV422" s="2039">
        <f t="shared" si="255"/>
        <v>0</v>
      </c>
    </row>
    <row r="423" spans="1:152" x14ac:dyDescent="0.25">
      <c r="A423" s="2088" t="s">
        <v>189</v>
      </c>
      <c r="B423" s="2093" t="str">
        <f t="shared" si="234"/>
        <v>Online store</v>
      </c>
      <c r="C423" s="1974">
        <f t="shared" si="265"/>
        <v>5</v>
      </c>
      <c r="D423" s="1974">
        <f t="shared" si="265"/>
        <v>387</v>
      </c>
      <c r="E423" s="1974">
        <f t="shared" si="265"/>
        <v>0.1</v>
      </c>
      <c r="F423" s="1974">
        <f t="shared" si="265"/>
        <v>0</v>
      </c>
      <c r="G423" s="1974" t="s">
        <v>2997</v>
      </c>
      <c r="H423" s="1974" t="s">
        <v>2997</v>
      </c>
      <c r="I423" s="2026">
        <v>0.96199999999999997</v>
      </c>
      <c r="J423" s="2026">
        <v>0.96199999999999997</v>
      </c>
      <c r="K423" s="2026">
        <v>0.96199999999999997</v>
      </c>
      <c r="L423" s="2026">
        <v>0.96199999999999997</v>
      </c>
      <c r="M423" s="2027">
        <f t="shared" si="242"/>
        <v>372.29399999999998</v>
      </c>
      <c r="N423" s="2027">
        <f t="shared" si="242"/>
        <v>372.29399999999998</v>
      </c>
      <c r="O423" s="2027">
        <f t="shared" si="242"/>
        <v>372.29399999999998</v>
      </c>
      <c r="P423" s="2027">
        <f t="shared" si="242"/>
        <v>372.29399999999998</v>
      </c>
      <c r="Q423" s="2026">
        <v>0.96199999999999997</v>
      </c>
      <c r="R423" s="2026">
        <v>0.96199999999999997</v>
      </c>
      <c r="S423" s="2026">
        <v>0.96199999999999997</v>
      </c>
      <c r="T423" s="2026">
        <v>0.96199999999999997</v>
      </c>
      <c r="U423" s="2028">
        <f t="shared" si="243"/>
        <v>9.6200000000000008E-2</v>
      </c>
      <c r="V423" s="2028">
        <f t="shared" si="243"/>
        <v>9.6200000000000008E-2</v>
      </c>
      <c r="W423" s="2028">
        <f t="shared" si="243"/>
        <v>9.6200000000000008E-2</v>
      </c>
      <c r="X423" s="2028">
        <f t="shared" si="243"/>
        <v>9.6200000000000008E-2</v>
      </c>
      <c r="Y423" s="2026">
        <v>0.96199999999999997</v>
      </c>
      <c r="Z423" s="2026">
        <v>0.96199999999999997</v>
      </c>
      <c r="AA423" s="2026">
        <v>0.96199999999999997</v>
      </c>
      <c r="AB423" s="2026">
        <v>0.96199999999999997</v>
      </c>
      <c r="AC423" s="2027">
        <f t="shared" si="244"/>
        <v>0</v>
      </c>
      <c r="AD423" s="2027">
        <f t="shared" si="244"/>
        <v>0</v>
      </c>
      <c r="AE423" s="2027">
        <f t="shared" si="244"/>
        <v>0</v>
      </c>
      <c r="AF423" s="2027">
        <f t="shared" si="244"/>
        <v>0</v>
      </c>
      <c r="AG423" s="2027">
        <v>0</v>
      </c>
      <c r="AH423" s="2028"/>
      <c r="AI423" s="2028"/>
      <c r="AJ423" s="2028"/>
      <c r="AK423" s="2027">
        <f t="shared" si="250"/>
        <v>0</v>
      </c>
      <c r="AL423" s="2027">
        <f t="shared" si="236"/>
        <v>0</v>
      </c>
      <c r="AM423" s="2027">
        <f t="shared" si="236"/>
        <v>0</v>
      </c>
      <c r="AN423" s="2027">
        <f t="shared" si="236"/>
        <v>0</v>
      </c>
      <c r="AO423" s="2027">
        <f t="shared" si="245"/>
        <v>0</v>
      </c>
      <c r="AP423" s="2027">
        <f t="shared" si="237"/>
        <v>0</v>
      </c>
      <c r="AQ423" s="2027">
        <f t="shared" si="237"/>
        <v>0</v>
      </c>
      <c r="AR423" s="2027">
        <f t="shared" si="237"/>
        <v>0</v>
      </c>
      <c r="AS423" s="2124">
        <f t="shared" si="268"/>
        <v>45</v>
      </c>
      <c r="AT423" s="2029">
        <f t="shared" si="238"/>
        <v>45</v>
      </c>
      <c r="AU423" s="2029">
        <f t="shared" si="238"/>
        <v>45</v>
      </c>
      <c r="AV423" s="2029">
        <f t="shared" si="238"/>
        <v>45</v>
      </c>
      <c r="AW423" s="2124">
        <f t="shared" si="264"/>
        <v>0</v>
      </c>
      <c r="AX423" s="2029">
        <f t="shared" si="257"/>
        <v>0</v>
      </c>
      <c r="AY423" s="2029">
        <f t="shared" si="257"/>
        <v>0</v>
      </c>
      <c r="AZ423" s="2029">
        <f t="shared" si="257"/>
        <v>0</v>
      </c>
      <c r="BA423" s="2124">
        <f t="shared" si="267"/>
        <v>80</v>
      </c>
      <c r="BB423" s="2029">
        <f t="shared" si="267"/>
        <v>80</v>
      </c>
      <c r="BC423" s="2029">
        <f t="shared" si="267"/>
        <v>80</v>
      </c>
      <c r="BD423" s="2029">
        <f t="shared" si="267"/>
        <v>80</v>
      </c>
      <c r="BE423" s="2030">
        <f t="shared" si="239"/>
        <v>0</v>
      </c>
      <c r="BF423" s="2030">
        <f t="shared" si="239"/>
        <v>0</v>
      </c>
      <c r="BG423" s="2030">
        <f t="shared" si="239"/>
        <v>0</v>
      </c>
      <c r="BH423" s="2030">
        <f t="shared" si="239"/>
        <v>0</v>
      </c>
      <c r="BI423" s="2030">
        <f t="shared" si="240"/>
        <v>0</v>
      </c>
      <c r="BJ423" s="2030">
        <f t="shared" si="240"/>
        <v>0</v>
      </c>
      <c r="BK423" s="2030">
        <f t="shared" si="240"/>
        <v>0</v>
      </c>
      <c r="BL423" s="2030">
        <f t="shared" si="240"/>
        <v>0</v>
      </c>
      <c r="BM423" s="2125"/>
      <c r="BN423" s="2125"/>
      <c r="BO423" s="2125"/>
      <c r="BP423" s="2125"/>
      <c r="BQ423" s="2125"/>
      <c r="BR423" s="2125"/>
      <c r="BS423" s="2125"/>
      <c r="BT423" s="2125"/>
      <c r="BU423" s="2029"/>
      <c r="BV423" s="2029"/>
      <c r="BW423" s="2029"/>
      <c r="BX423" s="2029"/>
      <c r="BY423" s="2029"/>
      <c r="BZ423" s="2032"/>
      <c r="CA423" s="1974">
        <f t="shared" si="266"/>
        <v>0</v>
      </c>
      <c r="CB423" s="1974">
        <f t="shared" si="266"/>
        <v>0</v>
      </c>
      <c r="CC423" s="1974">
        <f t="shared" si="266"/>
        <v>0</v>
      </c>
      <c r="CD423" s="1974">
        <f t="shared" si="266"/>
        <v>0</v>
      </c>
      <c r="CE423" s="1974">
        <f t="shared" si="266"/>
        <v>0</v>
      </c>
      <c r="CF423" s="2033">
        <v>0</v>
      </c>
      <c r="CG423" s="2026">
        <v>0</v>
      </c>
      <c r="CH423" s="2009">
        <f t="shared" si="266"/>
        <v>0</v>
      </c>
      <c r="CI423" s="2031">
        <f t="shared" si="266"/>
        <v>0</v>
      </c>
      <c r="CJ423" s="1974">
        <f t="shared" si="266"/>
        <v>0</v>
      </c>
      <c r="CK423" s="2031">
        <f t="shared" si="266"/>
        <v>0</v>
      </c>
      <c r="CL423" s="2026">
        <v>1</v>
      </c>
      <c r="CM423" s="2026">
        <v>1</v>
      </c>
      <c r="CN423" s="2026">
        <v>1</v>
      </c>
      <c r="CO423" s="2026">
        <v>1</v>
      </c>
      <c r="CP423" s="2035"/>
      <c r="CQ423" s="2036"/>
      <c r="CR423" s="2036"/>
      <c r="CS423" s="2036"/>
      <c r="CT423" s="2036"/>
      <c r="CU423" s="2036"/>
      <c r="CW423" s="1973">
        <v>0</v>
      </c>
      <c r="CX423" s="2037">
        <v>45</v>
      </c>
      <c r="CY423" s="2037">
        <v>45</v>
      </c>
      <c r="CZ423" s="2037">
        <v>45</v>
      </c>
      <c r="DA423" s="2037">
        <v>45</v>
      </c>
      <c r="DJ423" s="1976">
        <v>45</v>
      </c>
      <c r="DK423" s="1973">
        <v>45</v>
      </c>
      <c r="DL423" s="1973">
        <v>45</v>
      </c>
      <c r="DM423" s="1973">
        <v>45</v>
      </c>
      <c r="DO423" s="1974">
        <v>5</v>
      </c>
      <c r="DP423" s="1974">
        <v>387</v>
      </c>
      <c r="DQ423" s="1974">
        <v>0.1</v>
      </c>
      <c r="DR423" s="1974">
        <v>0</v>
      </c>
      <c r="DS423" s="2124">
        <v>45</v>
      </c>
      <c r="DT423" s="2029">
        <v>45</v>
      </c>
      <c r="DU423" s="2029">
        <v>45</v>
      </c>
      <c r="DV423" s="2029">
        <v>45</v>
      </c>
      <c r="DW423" s="2124">
        <v>0</v>
      </c>
      <c r="DX423" s="2029">
        <v>0</v>
      </c>
      <c r="DY423" s="2029">
        <v>0</v>
      </c>
      <c r="DZ423" s="2029">
        <v>0</v>
      </c>
      <c r="EA423" s="2124">
        <v>80</v>
      </c>
      <c r="EB423" s="2029">
        <v>80</v>
      </c>
      <c r="EC423" s="2029">
        <v>80</v>
      </c>
      <c r="ED423" s="2029">
        <v>80</v>
      </c>
      <c r="EE423" s="2039">
        <f t="shared" si="253"/>
        <v>0</v>
      </c>
      <c r="EF423" s="2039">
        <f t="shared" si="253"/>
        <v>0</v>
      </c>
      <c r="EG423" s="2039">
        <f t="shared" si="253"/>
        <v>0</v>
      </c>
      <c r="EH423" s="2039">
        <f t="shared" si="252"/>
        <v>0</v>
      </c>
      <c r="EI423" s="2040">
        <f t="shared" si="233"/>
        <v>0</v>
      </c>
      <c r="EJ423" s="2040">
        <f t="shared" si="233"/>
        <v>0</v>
      </c>
      <c r="EK423" s="2040">
        <f t="shared" si="233"/>
        <v>0</v>
      </c>
      <c r="EL423" s="2040">
        <f t="shared" si="232"/>
        <v>0</v>
      </c>
      <c r="EM423" s="2040">
        <f t="shared" si="232"/>
        <v>0</v>
      </c>
      <c r="EN423" s="2040">
        <f t="shared" si="232"/>
        <v>0</v>
      </c>
      <c r="EO423" s="2040">
        <f t="shared" si="232"/>
        <v>0</v>
      </c>
      <c r="EP423" s="2040">
        <f t="shared" si="232"/>
        <v>0</v>
      </c>
      <c r="EQ423" s="2040">
        <f t="shared" si="232"/>
        <v>0</v>
      </c>
      <c r="ER423" s="2040">
        <f t="shared" si="261"/>
        <v>0</v>
      </c>
      <c r="ES423" s="2040">
        <f t="shared" si="261"/>
        <v>0</v>
      </c>
      <c r="ET423" s="2040">
        <f t="shared" si="261"/>
        <v>0</v>
      </c>
      <c r="EU423" s="2039">
        <f t="shared" si="254"/>
        <v>0</v>
      </c>
      <c r="EV423" s="2039">
        <f t="shared" si="255"/>
        <v>0</v>
      </c>
    </row>
    <row r="424" spans="1:152" x14ac:dyDescent="0.25">
      <c r="A424" s="2088" t="s">
        <v>190</v>
      </c>
      <c r="B424" s="2093" t="str">
        <f t="shared" si="234"/>
        <v>Online store</v>
      </c>
      <c r="C424" s="1974">
        <f t="shared" si="265"/>
        <v>5</v>
      </c>
      <c r="D424" s="1974">
        <f t="shared" si="265"/>
        <v>387</v>
      </c>
      <c r="E424" s="1974">
        <f t="shared" si="265"/>
        <v>0.1</v>
      </c>
      <c r="F424" s="1974">
        <f t="shared" si="265"/>
        <v>0</v>
      </c>
      <c r="G424" s="1974" t="s">
        <v>2997</v>
      </c>
      <c r="H424" s="1974" t="s">
        <v>2997</v>
      </c>
      <c r="I424" s="2026">
        <v>0.96199999999999997</v>
      </c>
      <c r="J424" s="2026">
        <v>0.96199999999999997</v>
      </c>
      <c r="K424" s="2026">
        <v>0.96199999999999997</v>
      </c>
      <c r="L424" s="2026">
        <v>0.96199999999999997</v>
      </c>
      <c r="M424" s="2027">
        <f t="shared" si="242"/>
        <v>372.29399999999998</v>
      </c>
      <c r="N424" s="2027">
        <f t="shared" si="242"/>
        <v>372.29399999999998</v>
      </c>
      <c r="O424" s="2027">
        <f t="shared" si="242"/>
        <v>372.29399999999998</v>
      </c>
      <c r="P424" s="2027">
        <f t="shared" si="242"/>
        <v>372.29399999999998</v>
      </c>
      <c r="Q424" s="2026">
        <v>0.96199999999999997</v>
      </c>
      <c r="R424" s="2026">
        <v>0.96199999999999997</v>
      </c>
      <c r="S424" s="2026">
        <v>0.96199999999999997</v>
      </c>
      <c r="T424" s="2026">
        <v>0.96199999999999997</v>
      </c>
      <c r="U424" s="2028">
        <f t="shared" si="243"/>
        <v>9.6200000000000008E-2</v>
      </c>
      <c r="V424" s="2028">
        <f t="shared" si="243"/>
        <v>9.6200000000000008E-2</v>
      </c>
      <c r="W424" s="2028">
        <f t="shared" si="243"/>
        <v>9.6200000000000008E-2</v>
      </c>
      <c r="X424" s="2028">
        <f t="shared" si="243"/>
        <v>9.6200000000000008E-2</v>
      </c>
      <c r="Y424" s="2026">
        <v>0.96199999999999997</v>
      </c>
      <c r="Z424" s="2026">
        <v>0.96199999999999997</v>
      </c>
      <c r="AA424" s="2026">
        <v>0.96199999999999997</v>
      </c>
      <c r="AB424" s="2026">
        <v>0.96199999999999997</v>
      </c>
      <c r="AC424" s="2027">
        <f t="shared" si="244"/>
        <v>0</v>
      </c>
      <c r="AD424" s="2027">
        <f t="shared" si="244"/>
        <v>0</v>
      </c>
      <c r="AE424" s="2027">
        <f t="shared" si="244"/>
        <v>0</v>
      </c>
      <c r="AF424" s="2027">
        <f t="shared" si="244"/>
        <v>0</v>
      </c>
      <c r="AG424" s="2027">
        <v>0</v>
      </c>
      <c r="AH424" s="2028"/>
      <c r="AI424" s="2028"/>
      <c r="AJ424" s="2028"/>
      <c r="AK424" s="2027">
        <f t="shared" si="250"/>
        <v>0</v>
      </c>
      <c r="AL424" s="2027">
        <f t="shared" si="236"/>
        <v>0</v>
      </c>
      <c r="AM424" s="2027">
        <f t="shared" si="236"/>
        <v>0</v>
      </c>
      <c r="AN424" s="2027">
        <f t="shared" si="236"/>
        <v>0</v>
      </c>
      <c r="AO424" s="2027">
        <f t="shared" si="245"/>
        <v>0</v>
      </c>
      <c r="AP424" s="2027">
        <f t="shared" si="237"/>
        <v>0</v>
      </c>
      <c r="AQ424" s="2027">
        <f t="shared" si="237"/>
        <v>0</v>
      </c>
      <c r="AR424" s="2027">
        <f t="shared" si="237"/>
        <v>0</v>
      </c>
      <c r="AS424" s="2124">
        <f t="shared" si="268"/>
        <v>45</v>
      </c>
      <c r="AT424" s="2029">
        <f t="shared" si="238"/>
        <v>45</v>
      </c>
      <c r="AU424" s="2029">
        <f t="shared" si="238"/>
        <v>45</v>
      </c>
      <c r="AV424" s="2029">
        <f t="shared" si="238"/>
        <v>45</v>
      </c>
      <c r="AW424" s="2124">
        <f t="shared" si="264"/>
        <v>0</v>
      </c>
      <c r="AX424" s="2029">
        <f t="shared" si="257"/>
        <v>0</v>
      </c>
      <c r="AY424" s="2029">
        <f t="shared" si="257"/>
        <v>0</v>
      </c>
      <c r="AZ424" s="2029">
        <f t="shared" si="257"/>
        <v>0</v>
      </c>
      <c r="BA424" s="2124">
        <f t="shared" si="267"/>
        <v>80</v>
      </c>
      <c r="BB424" s="2029">
        <f t="shared" si="267"/>
        <v>80</v>
      </c>
      <c r="BC424" s="2029">
        <f t="shared" si="267"/>
        <v>80</v>
      </c>
      <c r="BD424" s="2029">
        <f t="shared" si="267"/>
        <v>80</v>
      </c>
      <c r="BE424" s="2030">
        <f t="shared" si="239"/>
        <v>0</v>
      </c>
      <c r="BF424" s="2030">
        <f t="shared" si="239"/>
        <v>0</v>
      </c>
      <c r="BG424" s="2030">
        <f t="shared" si="239"/>
        <v>0</v>
      </c>
      <c r="BH424" s="2030">
        <f t="shared" si="239"/>
        <v>0</v>
      </c>
      <c r="BI424" s="2030">
        <f t="shared" si="240"/>
        <v>0</v>
      </c>
      <c r="BJ424" s="2030">
        <f t="shared" si="240"/>
        <v>0</v>
      </c>
      <c r="BK424" s="2030">
        <f t="shared" si="240"/>
        <v>0</v>
      </c>
      <c r="BL424" s="2030">
        <f t="shared" si="240"/>
        <v>0</v>
      </c>
      <c r="BM424" s="2125"/>
      <c r="BN424" s="2125"/>
      <c r="BO424" s="2125"/>
      <c r="BP424" s="2125"/>
      <c r="BQ424" s="2125"/>
      <c r="BR424" s="2125"/>
      <c r="BS424" s="2125"/>
      <c r="BT424" s="2125"/>
      <c r="BU424" s="2029"/>
      <c r="BV424" s="2029"/>
      <c r="BW424" s="2029"/>
      <c r="BX424" s="2029"/>
      <c r="BY424" s="2029"/>
      <c r="BZ424" s="2032"/>
      <c r="CA424" s="1974">
        <f t="shared" si="266"/>
        <v>0</v>
      </c>
      <c r="CB424" s="1974">
        <f t="shared" si="266"/>
        <v>0</v>
      </c>
      <c r="CC424" s="1974">
        <f t="shared" si="266"/>
        <v>0</v>
      </c>
      <c r="CD424" s="1974">
        <f t="shared" si="266"/>
        <v>0</v>
      </c>
      <c r="CE424" s="1974">
        <f t="shared" si="266"/>
        <v>0</v>
      </c>
      <c r="CF424" s="2033">
        <v>0</v>
      </c>
      <c r="CG424" s="2026">
        <v>0</v>
      </c>
      <c r="CH424" s="2009">
        <f t="shared" si="266"/>
        <v>0</v>
      </c>
      <c r="CI424" s="2031">
        <f t="shared" si="266"/>
        <v>0</v>
      </c>
      <c r="CJ424" s="1974">
        <f t="shared" si="266"/>
        <v>0</v>
      </c>
      <c r="CK424" s="2031">
        <f t="shared" si="266"/>
        <v>0</v>
      </c>
      <c r="CL424" s="2026">
        <v>1</v>
      </c>
      <c r="CM424" s="2026">
        <v>1</v>
      </c>
      <c r="CN424" s="2026">
        <v>1</v>
      </c>
      <c r="CO424" s="2026">
        <v>1</v>
      </c>
      <c r="CP424" s="2035"/>
      <c r="CQ424" s="2036"/>
      <c r="CR424" s="2036"/>
      <c r="CS424" s="2036"/>
      <c r="CT424" s="2036"/>
      <c r="CU424" s="2036"/>
      <c r="CW424" s="1973">
        <v>0</v>
      </c>
      <c r="CX424" s="2037">
        <v>45</v>
      </c>
      <c r="CY424" s="2037">
        <v>45</v>
      </c>
      <c r="CZ424" s="2037">
        <v>45</v>
      </c>
      <c r="DA424" s="2037">
        <v>45</v>
      </c>
      <c r="DJ424" s="1976">
        <v>45</v>
      </c>
      <c r="DK424" s="1973">
        <v>45</v>
      </c>
      <c r="DL424" s="1973">
        <v>45</v>
      </c>
      <c r="DM424" s="1973">
        <v>45</v>
      </c>
      <c r="DO424" s="1974">
        <v>5</v>
      </c>
      <c r="DP424" s="1974">
        <v>387</v>
      </c>
      <c r="DQ424" s="1974">
        <v>0.1</v>
      </c>
      <c r="DR424" s="1974">
        <v>0</v>
      </c>
      <c r="DS424" s="2124">
        <v>45</v>
      </c>
      <c r="DT424" s="2029">
        <v>45</v>
      </c>
      <c r="DU424" s="2029">
        <v>45</v>
      </c>
      <c r="DV424" s="2029">
        <v>45</v>
      </c>
      <c r="DW424" s="2124">
        <v>0</v>
      </c>
      <c r="DX424" s="2029">
        <v>0</v>
      </c>
      <c r="DY424" s="2029">
        <v>0</v>
      </c>
      <c r="DZ424" s="2029">
        <v>0</v>
      </c>
      <c r="EA424" s="2124">
        <v>80</v>
      </c>
      <c r="EB424" s="2029">
        <v>80</v>
      </c>
      <c r="EC424" s="2029">
        <v>80</v>
      </c>
      <c r="ED424" s="2029">
        <v>80</v>
      </c>
      <c r="EE424" s="2039">
        <f t="shared" si="253"/>
        <v>0</v>
      </c>
      <c r="EF424" s="2039">
        <f t="shared" si="253"/>
        <v>0</v>
      </c>
      <c r="EG424" s="2039">
        <f t="shared" si="253"/>
        <v>0</v>
      </c>
      <c r="EH424" s="2039">
        <f t="shared" si="252"/>
        <v>0</v>
      </c>
      <c r="EI424" s="2040">
        <f t="shared" si="233"/>
        <v>0</v>
      </c>
      <c r="EJ424" s="2040">
        <f t="shared" si="233"/>
        <v>0</v>
      </c>
      <c r="EK424" s="2040">
        <f t="shared" si="233"/>
        <v>0</v>
      </c>
      <c r="EL424" s="2040">
        <f t="shared" si="232"/>
        <v>0</v>
      </c>
      <c r="EM424" s="2040">
        <f t="shared" si="232"/>
        <v>0</v>
      </c>
      <c r="EN424" s="2040">
        <f t="shared" si="232"/>
        <v>0</v>
      </c>
      <c r="EO424" s="2040">
        <f t="shared" si="232"/>
        <v>0</v>
      </c>
      <c r="EP424" s="2040">
        <f t="shared" si="232"/>
        <v>0</v>
      </c>
      <c r="EQ424" s="2040">
        <f t="shared" si="232"/>
        <v>0</v>
      </c>
      <c r="ER424" s="2040">
        <f t="shared" si="261"/>
        <v>0</v>
      </c>
      <c r="ES424" s="2040">
        <f t="shared" si="261"/>
        <v>0</v>
      </c>
      <c r="ET424" s="2040">
        <f t="shared" si="261"/>
        <v>0</v>
      </c>
      <c r="EU424" s="2039">
        <f t="shared" si="254"/>
        <v>0</v>
      </c>
      <c r="EV424" s="2039">
        <f t="shared" si="255"/>
        <v>0</v>
      </c>
    </row>
    <row r="425" spans="1:152" x14ac:dyDescent="0.25">
      <c r="A425" s="2088" t="s">
        <v>191</v>
      </c>
      <c r="B425" s="2093" t="str">
        <f t="shared" si="234"/>
        <v>Online store</v>
      </c>
      <c r="C425" s="1974">
        <f t="shared" si="265"/>
        <v>5</v>
      </c>
      <c r="D425" s="1974">
        <f t="shared" si="265"/>
        <v>387</v>
      </c>
      <c r="E425" s="1974">
        <f t="shared" si="265"/>
        <v>0.1</v>
      </c>
      <c r="F425" s="1974">
        <f t="shared" si="265"/>
        <v>0</v>
      </c>
      <c r="G425" s="1974" t="s">
        <v>2997</v>
      </c>
      <c r="H425" s="1974" t="s">
        <v>2997</v>
      </c>
      <c r="I425" s="2026">
        <v>0.96199999999999997</v>
      </c>
      <c r="J425" s="2026">
        <v>0.96199999999999997</v>
      </c>
      <c r="K425" s="2026">
        <v>0.96199999999999997</v>
      </c>
      <c r="L425" s="2026">
        <v>0.96199999999999997</v>
      </c>
      <c r="M425" s="2027">
        <f t="shared" si="242"/>
        <v>372.29399999999998</v>
      </c>
      <c r="N425" s="2027">
        <f t="shared" si="242"/>
        <v>372.29399999999998</v>
      </c>
      <c r="O425" s="2027">
        <f t="shared" si="242"/>
        <v>372.29399999999998</v>
      </c>
      <c r="P425" s="2027">
        <f t="shared" si="242"/>
        <v>372.29399999999998</v>
      </c>
      <c r="Q425" s="2026">
        <v>0.96199999999999997</v>
      </c>
      <c r="R425" s="2026">
        <v>0.96199999999999997</v>
      </c>
      <c r="S425" s="2026">
        <v>0.96199999999999997</v>
      </c>
      <c r="T425" s="2026">
        <v>0.96199999999999997</v>
      </c>
      <c r="U425" s="2028">
        <f t="shared" si="243"/>
        <v>9.6200000000000008E-2</v>
      </c>
      <c r="V425" s="2028">
        <f t="shared" si="243"/>
        <v>9.6200000000000008E-2</v>
      </c>
      <c r="W425" s="2028">
        <f t="shared" si="243"/>
        <v>9.6200000000000008E-2</v>
      </c>
      <c r="X425" s="2028">
        <f t="shared" si="243"/>
        <v>9.6200000000000008E-2</v>
      </c>
      <c r="Y425" s="2026">
        <v>0.96199999999999997</v>
      </c>
      <c r="Z425" s="2026">
        <v>0.96199999999999997</v>
      </c>
      <c r="AA425" s="2026">
        <v>0.96199999999999997</v>
      </c>
      <c r="AB425" s="2026">
        <v>0.96199999999999997</v>
      </c>
      <c r="AC425" s="2027">
        <f t="shared" si="244"/>
        <v>0</v>
      </c>
      <c r="AD425" s="2027">
        <f t="shared" si="244"/>
        <v>0</v>
      </c>
      <c r="AE425" s="2027">
        <f t="shared" si="244"/>
        <v>0</v>
      </c>
      <c r="AF425" s="2027">
        <f t="shared" si="244"/>
        <v>0</v>
      </c>
      <c r="AG425" s="2027">
        <v>0</v>
      </c>
      <c r="AH425" s="2028"/>
      <c r="AI425" s="2028"/>
      <c r="AJ425" s="2028"/>
      <c r="AK425" s="2027">
        <f t="shared" si="250"/>
        <v>0</v>
      </c>
      <c r="AL425" s="2027">
        <f t="shared" si="236"/>
        <v>0</v>
      </c>
      <c r="AM425" s="2027">
        <f t="shared" si="236"/>
        <v>0</v>
      </c>
      <c r="AN425" s="2027">
        <f t="shared" si="236"/>
        <v>0</v>
      </c>
      <c r="AO425" s="2027">
        <f t="shared" si="245"/>
        <v>0</v>
      </c>
      <c r="AP425" s="2027">
        <f t="shared" si="237"/>
        <v>0</v>
      </c>
      <c r="AQ425" s="2027">
        <f t="shared" si="237"/>
        <v>0</v>
      </c>
      <c r="AR425" s="2027">
        <f t="shared" si="237"/>
        <v>0</v>
      </c>
      <c r="AS425" s="2124">
        <f t="shared" si="268"/>
        <v>45</v>
      </c>
      <c r="AT425" s="2029">
        <f t="shared" si="238"/>
        <v>45</v>
      </c>
      <c r="AU425" s="2029">
        <f t="shared" si="238"/>
        <v>45</v>
      </c>
      <c r="AV425" s="2029">
        <f t="shared" si="238"/>
        <v>45</v>
      </c>
      <c r="AW425" s="2124">
        <f t="shared" si="264"/>
        <v>0</v>
      </c>
      <c r="AX425" s="2029">
        <f t="shared" si="257"/>
        <v>0</v>
      </c>
      <c r="AY425" s="2029">
        <f t="shared" si="257"/>
        <v>0</v>
      </c>
      <c r="AZ425" s="2029">
        <f t="shared" si="257"/>
        <v>0</v>
      </c>
      <c r="BA425" s="2124">
        <f t="shared" si="267"/>
        <v>80</v>
      </c>
      <c r="BB425" s="2029">
        <f t="shared" si="267"/>
        <v>80</v>
      </c>
      <c r="BC425" s="2029">
        <f t="shared" si="267"/>
        <v>80</v>
      </c>
      <c r="BD425" s="2029">
        <f t="shared" si="267"/>
        <v>80</v>
      </c>
      <c r="BE425" s="2030">
        <f t="shared" si="239"/>
        <v>0</v>
      </c>
      <c r="BF425" s="2030">
        <f t="shared" si="239"/>
        <v>0</v>
      </c>
      <c r="BG425" s="2030">
        <f t="shared" si="239"/>
        <v>0</v>
      </c>
      <c r="BH425" s="2030">
        <f t="shared" si="239"/>
        <v>0</v>
      </c>
      <c r="BI425" s="2030">
        <f t="shared" si="240"/>
        <v>0</v>
      </c>
      <c r="BJ425" s="2030">
        <f t="shared" si="240"/>
        <v>0</v>
      </c>
      <c r="BK425" s="2030">
        <f t="shared" si="240"/>
        <v>0</v>
      </c>
      <c r="BL425" s="2030">
        <f t="shared" si="240"/>
        <v>0</v>
      </c>
      <c r="BM425" s="2125"/>
      <c r="BN425" s="2125"/>
      <c r="BO425" s="2125"/>
      <c r="BP425" s="2125"/>
      <c r="BQ425" s="2125"/>
      <c r="BR425" s="2125"/>
      <c r="BS425" s="2125"/>
      <c r="BT425" s="2125"/>
      <c r="BU425" s="2029"/>
      <c r="BV425" s="2029"/>
      <c r="BW425" s="2029"/>
      <c r="BX425" s="2029"/>
      <c r="BY425" s="2029"/>
      <c r="BZ425" s="2032"/>
      <c r="CA425" s="1974">
        <f t="shared" si="266"/>
        <v>0</v>
      </c>
      <c r="CB425" s="1974">
        <f t="shared" si="266"/>
        <v>0</v>
      </c>
      <c r="CC425" s="1974">
        <f t="shared" si="266"/>
        <v>0</v>
      </c>
      <c r="CD425" s="1974">
        <f t="shared" si="266"/>
        <v>0</v>
      </c>
      <c r="CE425" s="1974">
        <f t="shared" si="266"/>
        <v>0</v>
      </c>
      <c r="CF425" s="2033">
        <v>0</v>
      </c>
      <c r="CG425" s="2026">
        <v>0</v>
      </c>
      <c r="CH425" s="2009">
        <f t="shared" si="266"/>
        <v>0</v>
      </c>
      <c r="CI425" s="2031">
        <f t="shared" si="266"/>
        <v>0</v>
      </c>
      <c r="CJ425" s="1974">
        <f t="shared" si="266"/>
        <v>0</v>
      </c>
      <c r="CK425" s="2031">
        <f t="shared" si="266"/>
        <v>0</v>
      </c>
      <c r="CL425" s="2026">
        <v>1</v>
      </c>
      <c r="CM425" s="2026">
        <v>1</v>
      </c>
      <c r="CN425" s="2026">
        <v>1</v>
      </c>
      <c r="CO425" s="2026">
        <v>1</v>
      </c>
      <c r="CP425" s="2035"/>
      <c r="CQ425" s="2036"/>
      <c r="CR425" s="2036"/>
      <c r="CS425" s="2036"/>
      <c r="CT425" s="2036"/>
      <c r="CU425" s="2036"/>
      <c r="CW425" s="1973">
        <v>0</v>
      </c>
      <c r="CX425" s="2037">
        <v>45</v>
      </c>
      <c r="CY425" s="2037">
        <v>45</v>
      </c>
      <c r="CZ425" s="2037">
        <v>45</v>
      </c>
      <c r="DA425" s="2037">
        <v>45</v>
      </c>
      <c r="DJ425" s="1976">
        <v>45</v>
      </c>
      <c r="DK425" s="1973">
        <v>45</v>
      </c>
      <c r="DL425" s="1973">
        <v>45</v>
      </c>
      <c r="DM425" s="1973">
        <v>45</v>
      </c>
      <c r="DO425" s="1974">
        <v>5</v>
      </c>
      <c r="DP425" s="1974">
        <v>387</v>
      </c>
      <c r="DQ425" s="1974">
        <v>0.1</v>
      </c>
      <c r="DR425" s="1974">
        <v>0</v>
      </c>
      <c r="DS425" s="2124">
        <v>45</v>
      </c>
      <c r="DT425" s="2029">
        <v>45</v>
      </c>
      <c r="DU425" s="2029">
        <v>45</v>
      </c>
      <c r="DV425" s="2029">
        <v>45</v>
      </c>
      <c r="DW425" s="2124">
        <v>0</v>
      </c>
      <c r="DX425" s="2029">
        <v>0</v>
      </c>
      <c r="DY425" s="2029">
        <v>0</v>
      </c>
      <c r="DZ425" s="2029">
        <v>0</v>
      </c>
      <c r="EA425" s="2124">
        <v>80</v>
      </c>
      <c r="EB425" s="2029">
        <v>80</v>
      </c>
      <c r="EC425" s="2029">
        <v>80</v>
      </c>
      <c r="ED425" s="2029">
        <v>80</v>
      </c>
      <c r="EE425" s="2039">
        <f t="shared" si="253"/>
        <v>0</v>
      </c>
      <c r="EF425" s="2039">
        <f t="shared" si="253"/>
        <v>0</v>
      </c>
      <c r="EG425" s="2039">
        <f t="shared" si="253"/>
        <v>0</v>
      </c>
      <c r="EH425" s="2039">
        <f t="shared" si="252"/>
        <v>0</v>
      </c>
      <c r="EI425" s="2040">
        <f t="shared" si="233"/>
        <v>0</v>
      </c>
      <c r="EJ425" s="2040">
        <f t="shared" si="233"/>
        <v>0</v>
      </c>
      <c r="EK425" s="2040">
        <f t="shared" si="233"/>
        <v>0</v>
      </c>
      <c r="EL425" s="2040">
        <f t="shared" si="232"/>
        <v>0</v>
      </c>
      <c r="EM425" s="2040">
        <f t="shared" si="232"/>
        <v>0</v>
      </c>
      <c r="EN425" s="2040">
        <f t="shared" si="232"/>
        <v>0</v>
      </c>
      <c r="EO425" s="2040">
        <f t="shared" si="232"/>
        <v>0</v>
      </c>
      <c r="EP425" s="2040">
        <f t="shared" si="232"/>
        <v>0</v>
      </c>
      <c r="EQ425" s="2040">
        <f t="shared" si="232"/>
        <v>0</v>
      </c>
      <c r="ER425" s="2040">
        <f t="shared" si="261"/>
        <v>0</v>
      </c>
      <c r="ES425" s="2040">
        <f t="shared" si="261"/>
        <v>0</v>
      </c>
      <c r="ET425" s="2040">
        <f t="shared" si="261"/>
        <v>0</v>
      </c>
      <c r="EU425" s="2039">
        <f t="shared" si="254"/>
        <v>0</v>
      </c>
      <c r="EV425" s="2039">
        <f t="shared" si="255"/>
        <v>0</v>
      </c>
    </row>
    <row r="426" spans="1:152" x14ac:dyDescent="0.25">
      <c r="A426" s="2088" t="s">
        <v>192</v>
      </c>
      <c r="B426" s="2093" t="str">
        <f t="shared" si="234"/>
        <v>Online store</v>
      </c>
      <c r="C426" s="1974">
        <f t="shared" si="265"/>
        <v>5</v>
      </c>
      <c r="D426" s="1974">
        <f t="shared" si="265"/>
        <v>387</v>
      </c>
      <c r="E426" s="1974">
        <f t="shared" si="265"/>
        <v>0.1</v>
      </c>
      <c r="F426" s="1974">
        <f t="shared" si="265"/>
        <v>0</v>
      </c>
      <c r="G426" s="1974" t="s">
        <v>2997</v>
      </c>
      <c r="H426" s="1974" t="s">
        <v>2997</v>
      </c>
      <c r="I426" s="2026">
        <v>0.96199999999999997</v>
      </c>
      <c r="J426" s="2026">
        <v>0.96199999999999997</v>
      </c>
      <c r="K426" s="2026">
        <v>0.96199999999999997</v>
      </c>
      <c r="L426" s="2026">
        <v>0.96199999999999997</v>
      </c>
      <c r="M426" s="2027">
        <f t="shared" si="242"/>
        <v>372.29399999999998</v>
      </c>
      <c r="N426" s="2027">
        <f t="shared" si="242"/>
        <v>372.29399999999998</v>
      </c>
      <c r="O426" s="2027">
        <f t="shared" si="242"/>
        <v>372.29399999999998</v>
      </c>
      <c r="P426" s="2027">
        <f t="shared" si="242"/>
        <v>372.29399999999998</v>
      </c>
      <c r="Q426" s="2026">
        <v>0.96199999999999997</v>
      </c>
      <c r="R426" s="2026">
        <v>0.96199999999999997</v>
      </c>
      <c r="S426" s="2026">
        <v>0.96199999999999997</v>
      </c>
      <c r="T426" s="2026">
        <v>0.96199999999999997</v>
      </c>
      <c r="U426" s="2028">
        <f t="shared" si="243"/>
        <v>9.6200000000000008E-2</v>
      </c>
      <c r="V426" s="2028">
        <f t="shared" si="243"/>
        <v>9.6200000000000008E-2</v>
      </c>
      <c r="W426" s="2028">
        <f t="shared" si="243"/>
        <v>9.6200000000000008E-2</v>
      </c>
      <c r="X426" s="2028">
        <f t="shared" si="243"/>
        <v>9.6200000000000008E-2</v>
      </c>
      <c r="Y426" s="2026">
        <v>0.96199999999999997</v>
      </c>
      <c r="Z426" s="2026">
        <v>0.96199999999999997</v>
      </c>
      <c r="AA426" s="2026">
        <v>0.96199999999999997</v>
      </c>
      <c r="AB426" s="2026">
        <v>0.96199999999999997</v>
      </c>
      <c r="AC426" s="2027">
        <f t="shared" si="244"/>
        <v>0</v>
      </c>
      <c r="AD426" s="2027">
        <f t="shared" si="244"/>
        <v>0</v>
      </c>
      <c r="AE426" s="2027">
        <f t="shared" si="244"/>
        <v>0</v>
      </c>
      <c r="AF426" s="2027">
        <f t="shared" si="244"/>
        <v>0</v>
      </c>
      <c r="AG426" s="2027">
        <v>0</v>
      </c>
      <c r="AH426" s="2028"/>
      <c r="AI426" s="2028"/>
      <c r="AJ426" s="2028"/>
      <c r="AK426" s="2027">
        <f t="shared" si="250"/>
        <v>0</v>
      </c>
      <c r="AL426" s="2027">
        <f t="shared" si="236"/>
        <v>0</v>
      </c>
      <c r="AM426" s="2027">
        <f t="shared" si="236"/>
        <v>0</v>
      </c>
      <c r="AN426" s="2027">
        <f t="shared" si="236"/>
        <v>0</v>
      </c>
      <c r="AO426" s="2027">
        <f t="shared" si="245"/>
        <v>0</v>
      </c>
      <c r="AP426" s="2027">
        <f t="shared" si="237"/>
        <v>0</v>
      </c>
      <c r="AQ426" s="2027">
        <f t="shared" si="237"/>
        <v>0</v>
      </c>
      <c r="AR426" s="2027">
        <f t="shared" si="237"/>
        <v>0</v>
      </c>
      <c r="AS426" s="2124">
        <f t="shared" si="268"/>
        <v>45</v>
      </c>
      <c r="AT426" s="2029">
        <f t="shared" si="238"/>
        <v>45</v>
      </c>
      <c r="AU426" s="2029">
        <f t="shared" si="238"/>
        <v>45</v>
      </c>
      <c r="AV426" s="2029">
        <f t="shared" si="238"/>
        <v>45</v>
      </c>
      <c r="AW426" s="2124">
        <f t="shared" si="264"/>
        <v>0</v>
      </c>
      <c r="AX426" s="2029">
        <f t="shared" si="257"/>
        <v>0</v>
      </c>
      <c r="AY426" s="2029">
        <f t="shared" si="257"/>
        <v>0</v>
      </c>
      <c r="AZ426" s="2029">
        <f t="shared" si="257"/>
        <v>0</v>
      </c>
      <c r="BA426" s="2124">
        <f t="shared" si="267"/>
        <v>80</v>
      </c>
      <c r="BB426" s="2029">
        <f t="shared" si="267"/>
        <v>80</v>
      </c>
      <c r="BC426" s="2029">
        <f t="shared" si="267"/>
        <v>80</v>
      </c>
      <c r="BD426" s="2029">
        <f t="shared" si="267"/>
        <v>80</v>
      </c>
      <c r="BE426" s="2030">
        <f t="shared" si="239"/>
        <v>0</v>
      </c>
      <c r="BF426" s="2030">
        <f t="shared" si="239"/>
        <v>0</v>
      </c>
      <c r="BG426" s="2030">
        <f t="shared" si="239"/>
        <v>0</v>
      </c>
      <c r="BH426" s="2030">
        <f t="shared" si="239"/>
        <v>0</v>
      </c>
      <c r="BI426" s="2030">
        <f t="shared" si="240"/>
        <v>0</v>
      </c>
      <c r="BJ426" s="2030">
        <f t="shared" si="240"/>
        <v>0</v>
      </c>
      <c r="BK426" s="2030">
        <f t="shared" si="240"/>
        <v>0</v>
      </c>
      <c r="BL426" s="2030">
        <f t="shared" si="240"/>
        <v>0</v>
      </c>
      <c r="BM426" s="2125"/>
      <c r="BN426" s="2125"/>
      <c r="BO426" s="2125"/>
      <c r="BP426" s="2125"/>
      <c r="BQ426" s="2125"/>
      <c r="BR426" s="2125"/>
      <c r="BS426" s="2125"/>
      <c r="BT426" s="2125"/>
      <c r="BU426" s="2029"/>
      <c r="BV426" s="2029"/>
      <c r="BW426" s="2029"/>
      <c r="BX426" s="2029"/>
      <c r="BY426" s="2029"/>
      <c r="BZ426" s="2032"/>
      <c r="CA426" s="1974">
        <f t="shared" si="266"/>
        <v>0</v>
      </c>
      <c r="CB426" s="1974">
        <f t="shared" si="266"/>
        <v>0</v>
      </c>
      <c r="CC426" s="1974">
        <f t="shared" si="266"/>
        <v>0</v>
      </c>
      <c r="CD426" s="1974">
        <f t="shared" si="266"/>
        <v>0</v>
      </c>
      <c r="CE426" s="1974">
        <f t="shared" si="266"/>
        <v>0</v>
      </c>
      <c r="CF426" s="2033">
        <v>0</v>
      </c>
      <c r="CG426" s="2026">
        <v>0</v>
      </c>
      <c r="CH426" s="2009">
        <f t="shared" si="266"/>
        <v>0</v>
      </c>
      <c r="CI426" s="2031">
        <f t="shared" si="266"/>
        <v>0</v>
      </c>
      <c r="CJ426" s="1974">
        <f t="shared" si="266"/>
        <v>0</v>
      </c>
      <c r="CK426" s="2031">
        <f t="shared" si="266"/>
        <v>0</v>
      </c>
      <c r="CL426" s="2026">
        <v>1</v>
      </c>
      <c r="CM426" s="2026">
        <v>1</v>
      </c>
      <c r="CN426" s="2026">
        <v>1</v>
      </c>
      <c r="CO426" s="2026">
        <v>1</v>
      </c>
      <c r="CP426" s="2035"/>
      <c r="CQ426" s="2036"/>
      <c r="CR426" s="2036"/>
      <c r="CS426" s="2036"/>
      <c r="CT426" s="2036"/>
      <c r="CU426" s="2036"/>
      <c r="CW426" s="1973">
        <v>0</v>
      </c>
      <c r="CX426" s="2037">
        <v>45</v>
      </c>
      <c r="CY426" s="2037">
        <v>45</v>
      </c>
      <c r="CZ426" s="2037">
        <v>45</v>
      </c>
      <c r="DA426" s="2037">
        <v>45</v>
      </c>
      <c r="DJ426" s="1976">
        <v>45</v>
      </c>
      <c r="DK426" s="1973">
        <v>45</v>
      </c>
      <c r="DL426" s="1973">
        <v>45</v>
      </c>
      <c r="DM426" s="1973">
        <v>45</v>
      </c>
      <c r="DO426" s="1974">
        <v>5</v>
      </c>
      <c r="DP426" s="1974">
        <v>387</v>
      </c>
      <c r="DQ426" s="1974">
        <v>0.1</v>
      </c>
      <c r="DR426" s="1974">
        <v>0</v>
      </c>
      <c r="DS426" s="2124">
        <v>45</v>
      </c>
      <c r="DT426" s="2029">
        <v>45</v>
      </c>
      <c r="DU426" s="2029">
        <v>45</v>
      </c>
      <c r="DV426" s="2029">
        <v>45</v>
      </c>
      <c r="DW426" s="2124">
        <v>0</v>
      </c>
      <c r="DX426" s="2029">
        <v>0</v>
      </c>
      <c r="DY426" s="2029">
        <v>0</v>
      </c>
      <c r="DZ426" s="2029">
        <v>0</v>
      </c>
      <c r="EA426" s="2124">
        <v>80</v>
      </c>
      <c r="EB426" s="2029">
        <v>80</v>
      </c>
      <c r="EC426" s="2029">
        <v>80</v>
      </c>
      <c r="ED426" s="2029">
        <v>80</v>
      </c>
      <c r="EE426" s="2039">
        <f t="shared" si="253"/>
        <v>0</v>
      </c>
      <c r="EF426" s="2039">
        <f t="shared" si="253"/>
        <v>0</v>
      </c>
      <c r="EG426" s="2039">
        <f t="shared" si="253"/>
        <v>0</v>
      </c>
      <c r="EH426" s="2039">
        <f t="shared" si="252"/>
        <v>0</v>
      </c>
      <c r="EI426" s="2040">
        <f t="shared" si="233"/>
        <v>0</v>
      </c>
      <c r="EJ426" s="2040">
        <f t="shared" si="233"/>
        <v>0</v>
      </c>
      <c r="EK426" s="2040">
        <f t="shared" si="233"/>
        <v>0</v>
      </c>
      <c r="EL426" s="2040">
        <f t="shared" si="232"/>
        <v>0</v>
      </c>
      <c r="EM426" s="2040">
        <f t="shared" si="232"/>
        <v>0</v>
      </c>
      <c r="EN426" s="2040">
        <f t="shared" si="232"/>
        <v>0</v>
      </c>
      <c r="EO426" s="2040">
        <f t="shared" si="232"/>
        <v>0</v>
      </c>
      <c r="EP426" s="2040">
        <f t="shared" si="232"/>
        <v>0</v>
      </c>
      <c r="EQ426" s="2040">
        <f t="shared" si="232"/>
        <v>0</v>
      </c>
      <c r="ER426" s="2040">
        <f t="shared" si="261"/>
        <v>0</v>
      </c>
      <c r="ES426" s="2040">
        <f t="shared" si="261"/>
        <v>0</v>
      </c>
      <c r="ET426" s="2040">
        <f t="shared" si="261"/>
        <v>0</v>
      </c>
      <c r="EU426" s="2039">
        <f t="shared" si="254"/>
        <v>0</v>
      </c>
      <c r="EV426" s="2039">
        <f t="shared" si="255"/>
        <v>0</v>
      </c>
    </row>
    <row r="427" spans="1:152" x14ac:dyDescent="0.25">
      <c r="A427" s="2088" t="s">
        <v>193</v>
      </c>
      <c r="B427" s="2093" t="str">
        <f t="shared" si="234"/>
        <v>BPH1</v>
      </c>
      <c r="C427" s="1974">
        <f t="shared" ref="C427:F442" si="269">C183</f>
        <v>3</v>
      </c>
      <c r="D427" s="1974">
        <f t="shared" si="269"/>
        <v>0</v>
      </c>
      <c r="E427" s="1974">
        <f t="shared" si="269"/>
        <v>0</v>
      </c>
      <c r="F427" s="1974">
        <f t="shared" si="269"/>
        <v>1596.992328311999</v>
      </c>
      <c r="G427" s="1974" t="s">
        <v>2997</v>
      </c>
      <c r="H427" s="1974" t="s">
        <v>2997</v>
      </c>
      <c r="I427" s="2026">
        <v>0.96199999999999997</v>
      </c>
      <c r="J427" s="2026">
        <v>0.96199999999999997</v>
      </c>
      <c r="K427" s="2026">
        <v>0.96199999999999997</v>
      </c>
      <c r="L427" s="2026">
        <v>0.96199999999999997</v>
      </c>
      <c r="M427" s="2027">
        <f t="shared" si="242"/>
        <v>0</v>
      </c>
      <c r="N427" s="2027">
        <f t="shared" si="242"/>
        <v>0</v>
      </c>
      <c r="O427" s="2027">
        <f t="shared" si="242"/>
        <v>0</v>
      </c>
      <c r="P427" s="2027">
        <f t="shared" si="242"/>
        <v>0</v>
      </c>
      <c r="Q427" s="2026">
        <v>0.96199999999999997</v>
      </c>
      <c r="R427" s="2026">
        <v>0.96199999999999997</v>
      </c>
      <c r="S427" s="2026">
        <v>0.96199999999999997</v>
      </c>
      <c r="T427" s="2026">
        <v>0.96199999999999997</v>
      </c>
      <c r="U427" s="2028">
        <f t="shared" si="243"/>
        <v>0</v>
      </c>
      <c r="V427" s="2028">
        <f t="shared" si="243"/>
        <v>0</v>
      </c>
      <c r="W427" s="2028">
        <f t="shared" si="243"/>
        <v>0</v>
      </c>
      <c r="X427" s="2028">
        <f t="shared" si="243"/>
        <v>0</v>
      </c>
      <c r="Y427" s="2026">
        <v>0.96199999999999997</v>
      </c>
      <c r="Z427" s="2026">
        <v>0.96199999999999997</v>
      </c>
      <c r="AA427" s="2026">
        <v>0.96199999999999997</v>
      </c>
      <c r="AB427" s="2026">
        <v>0.96199999999999997</v>
      </c>
      <c r="AC427" s="2027">
        <f t="shared" si="244"/>
        <v>1536.306619836143</v>
      </c>
      <c r="AD427" s="2027">
        <f t="shared" si="244"/>
        <v>1536.306619836143</v>
      </c>
      <c r="AE427" s="2027">
        <f t="shared" si="244"/>
        <v>1536.306619836143</v>
      </c>
      <c r="AF427" s="2027">
        <f t="shared" si="244"/>
        <v>1536.306619836143</v>
      </c>
      <c r="AG427" s="2027">
        <v>0</v>
      </c>
      <c r="AH427" s="2027">
        <v>0</v>
      </c>
      <c r="AI427" s="2027">
        <v>0</v>
      </c>
      <c r="AJ427" s="2027">
        <v>0</v>
      </c>
      <c r="AK427" s="2027">
        <f t="shared" si="250"/>
        <v>0</v>
      </c>
      <c r="AL427" s="2027">
        <f t="shared" si="236"/>
        <v>0</v>
      </c>
      <c r="AM427" s="2027">
        <f t="shared" si="236"/>
        <v>0</v>
      </c>
      <c r="AN427" s="2027">
        <f t="shared" si="236"/>
        <v>0</v>
      </c>
      <c r="AO427" s="2027">
        <f t="shared" si="245"/>
        <v>0</v>
      </c>
      <c r="AP427" s="2027">
        <f t="shared" si="237"/>
        <v>0</v>
      </c>
      <c r="AQ427" s="2027">
        <f t="shared" si="237"/>
        <v>0</v>
      </c>
      <c r="AR427" s="2027">
        <f t="shared" si="237"/>
        <v>0</v>
      </c>
      <c r="AS427" s="2124">
        <f t="shared" si="268"/>
        <v>0</v>
      </c>
      <c r="AT427" s="2029">
        <f t="shared" si="238"/>
        <v>0</v>
      </c>
      <c r="AU427" s="2029">
        <f t="shared" si="238"/>
        <v>0</v>
      </c>
      <c r="AV427" s="2029">
        <f t="shared" si="238"/>
        <v>0</v>
      </c>
      <c r="AW427" s="2124">
        <f t="shared" si="264"/>
        <v>1135.962</v>
      </c>
      <c r="AX427" s="2029">
        <f t="shared" si="257"/>
        <v>1135.962</v>
      </c>
      <c r="AY427" s="2029">
        <f t="shared" si="257"/>
        <v>1135.962</v>
      </c>
      <c r="AZ427" s="2029">
        <f t="shared" si="257"/>
        <v>1135.962</v>
      </c>
      <c r="BA427" s="2124">
        <f t="shared" si="267"/>
        <v>604.39003846153832</v>
      </c>
      <c r="BB427" s="2029">
        <f t="shared" si="267"/>
        <v>604.39003846153832</v>
      </c>
      <c r="BC427" s="2029">
        <f t="shared" si="267"/>
        <v>604.39003846153832</v>
      </c>
      <c r="BD427" s="2029">
        <f t="shared" si="267"/>
        <v>604.39003846153832</v>
      </c>
      <c r="BE427" s="2030">
        <f t="shared" si="239"/>
        <v>0</v>
      </c>
      <c r="BF427" s="2030">
        <f t="shared" si="239"/>
        <v>0</v>
      </c>
      <c r="BG427" s="2030">
        <f t="shared" si="239"/>
        <v>0</v>
      </c>
      <c r="BH427" s="2030">
        <f t="shared" si="239"/>
        <v>0</v>
      </c>
      <c r="BI427" s="2030">
        <f t="shared" si="240"/>
        <v>0</v>
      </c>
      <c r="BJ427" s="2030">
        <f t="shared" si="240"/>
        <v>0</v>
      </c>
      <c r="BK427" s="2030">
        <f t="shared" si="240"/>
        <v>0</v>
      </c>
      <c r="BL427" s="2030">
        <f t="shared" si="240"/>
        <v>0</v>
      </c>
      <c r="BM427" s="2125"/>
      <c r="BN427" s="2125"/>
      <c r="BO427" s="2125"/>
      <c r="BP427" s="2125"/>
      <c r="BQ427" s="2125"/>
      <c r="BR427" s="2125"/>
      <c r="BS427" s="2125"/>
      <c r="BT427" s="2125"/>
      <c r="BU427" s="2029"/>
      <c r="BV427" s="2029"/>
      <c r="BW427" s="2029"/>
      <c r="BX427" s="2029"/>
      <c r="BY427" s="2029"/>
      <c r="BZ427" s="2032"/>
      <c r="CA427" s="1974">
        <f t="shared" ref="CA427:CK442" si="270">CA183</f>
        <v>0</v>
      </c>
      <c r="CB427" s="1974">
        <f t="shared" si="270"/>
        <v>0</v>
      </c>
      <c r="CC427" s="1974">
        <f t="shared" si="270"/>
        <v>0</v>
      </c>
      <c r="CD427" s="1974">
        <f t="shared" si="270"/>
        <v>0</v>
      </c>
      <c r="CE427" s="1974">
        <f t="shared" si="270"/>
        <v>0</v>
      </c>
      <c r="CF427" s="2033">
        <v>0</v>
      </c>
      <c r="CG427" s="2026">
        <v>0</v>
      </c>
      <c r="CH427" s="2009">
        <f t="shared" si="270"/>
        <v>0</v>
      </c>
      <c r="CI427" s="2031">
        <f t="shared" si="270"/>
        <v>0</v>
      </c>
      <c r="CJ427" s="1974">
        <f t="shared" si="270"/>
        <v>0</v>
      </c>
      <c r="CK427" s="2031">
        <f t="shared" si="270"/>
        <v>0</v>
      </c>
      <c r="CL427" s="2026">
        <v>1</v>
      </c>
      <c r="CM427" s="2026">
        <v>1</v>
      </c>
      <c r="CN427" s="2026">
        <v>1</v>
      </c>
      <c r="CO427" s="2026">
        <v>1</v>
      </c>
      <c r="CP427" s="2035"/>
      <c r="CQ427" s="2036"/>
      <c r="CR427" s="2036"/>
      <c r="CS427" s="2036"/>
      <c r="CT427" s="2036"/>
      <c r="CU427" s="2036"/>
      <c r="CW427" s="1973">
        <v>0</v>
      </c>
      <c r="CX427" s="2037">
        <v>1135.962</v>
      </c>
      <c r="CY427" s="2037">
        <v>1135.962</v>
      </c>
      <c r="CZ427" s="2037">
        <v>1135.962</v>
      </c>
      <c r="DA427" s="2037">
        <v>1135.962</v>
      </c>
      <c r="DJ427" s="1976">
        <v>0</v>
      </c>
      <c r="DK427" s="1973">
        <v>0</v>
      </c>
      <c r="DL427" s="1973">
        <v>0</v>
      </c>
      <c r="DM427" s="1973">
        <v>0</v>
      </c>
      <c r="DO427" s="1974">
        <v>3</v>
      </c>
      <c r="DP427" s="1974">
        <v>0</v>
      </c>
      <c r="DQ427" s="1974">
        <v>0</v>
      </c>
      <c r="DR427" s="1974">
        <v>1596.992328311999</v>
      </c>
      <c r="DS427" s="2124">
        <v>0</v>
      </c>
      <c r="DT427" s="2029">
        <v>0</v>
      </c>
      <c r="DU427" s="2029">
        <v>0</v>
      </c>
      <c r="DV427" s="2029">
        <v>0</v>
      </c>
      <c r="DW427" s="2124">
        <v>1135.962</v>
      </c>
      <c r="DX427" s="2029">
        <v>1135.962</v>
      </c>
      <c r="DY427" s="2029">
        <v>1135.962</v>
      </c>
      <c r="DZ427" s="2029">
        <v>1135.962</v>
      </c>
      <c r="EA427" s="2124">
        <v>604.39003846153832</v>
      </c>
      <c r="EB427" s="2029">
        <v>604.39003846153832</v>
      </c>
      <c r="EC427" s="2029">
        <v>604.39003846153832</v>
      </c>
      <c r="ED427" s="2029">
        <v>604.39003846153832</v>
      </c>
      <c r="EE427" s="2039">
        <f t="shared" si="253"/>
        <v>0</v>
      </c>
      <c r="EF427" s="2039">
        <f t="shared" si="253"/>
        <v>0</v>
      </c>
      <c r="EG427" s="2039">
        <f t="shared" si="253"/>
        <v>0</v>
      </c>
      <c r="EH427" s="2039">
        <f t="shared" si="252"/>
        <v>0</v>
      </c>
      <c r="EI427" s="2040">
        <f t="shared" si="233"/>
        <v>0</v>
      </c>
      <c r="EJ427" s="2040">
        <f t="shared" si="233"/>
        <v>0</v>
      </c>
      <c r="EK427" s="2040">
        <f t="shared" si="233"/>
        <v>0</v>
      </c>
      <c r="EL427" s="2040">
        <f t="shared" si="232"/>
        <v>0</v>
      </c>
      <c r="EM427" s="2040">
        <f t="shared" si="232"/>
        <v>0</v>
      </c>
      <c r="EN427" s="2040">
        <f t="shared" si="232"/>
        <v>0</v>
      </c>
      <c r="EO427" s="2040">
        <f t="shared" si="232"/>
        <v>0</v>
      </c>
      <c r="EP427" s="2040">
        <f t="shared" si="232"/>
        <v>0</v>
      </c>
      <c r="EQ427" s="2040">
        <f t="shared" si="232"/>
        <v>0</v>
      </c>
      <c r="ER427" s="2040">
        <f t="shared" si="261"/>
        <v>0</v>
      </c>
      <c r="ES427" s="2040">
        <f t="shared" si="261"/>
        <v>0</v>
      </c>
      <c r="ET427" s="2040">
        <f t="shared" si="261"/>
        <v>0</v>
      </c>
      <c r="EU427" s="2039">
        <f t="shared" si="254"/>
        <v>0</v>
      </c>
      <c r="EV427" s="2039">
        <f t="shared" si="255"/>
        <v>0</v>
      </c>
    </row>
    <row r="428" spans="1:152" x14ac:dyDescent="0.25">
      <c r="A428" s="2088" t="s">
        <v>265</v>
      </c>
      <c r="B428" s="2093" t="str">
        <f t="shared" si="234"/>
        <v>BPH3</v>
      </c>
      <c r="C428" s="1974">
        <f t="shared" si="269"/>
        <v>20</v>
      </c>
      <c r="D428" s="1974">
        <f t="shared" si="269"/>
        <v>0</v>
      </c>
      <c r="E428" s="1974">
        <f t="shared" si="269"/>
        <v>0</v>
      </c>
      <c r="F428" s="1974">
        <f t="shared" si="269"/>
        <v>358.38875000000002</v>
      </c>
      <c r="G428" s="1974" t="s">
        <v>2997</v>
      </c>
      <c r="H428" s="1974" t="s">
        <v>2997</v>
      </c>
      <c r="I428" s="2026">
        <v>0.96199999999999997</v>
      </c>
      <c r="J428" s="2026">
        <v>0.96199999999999997</v>
      </c>
      <c r="K428" s="2026">
        <v>0.96199999999999997</v>
      </c>
      <c r="L428" s="2026">
        <v>0.96199999999999997</v>
      </c>
      <c r="M428" s="2027">
        <f t="shared" si="242"/>
        <v>0</v>
      </c>
      <c r="N428" s="2027">
        <f t="shared" si="242"/>
        <v>0</v>
      </c>
      <c r="O428" s="2027">
        <f t="shared" si="242"/>
        <v>0</v>
      </c>
      <c r="P428" s="2027">
        <f t="shared" si="242"/>
        <v>0</v>
      </c>
      <c r="Q428" s="2026">
        <v>0.96199999999999997</v>
      </c>
      <c r="R428" s="2026">
        <v>0.96199999999999997</v>
      </c>
      <c r="S428" s="2026">
        <v>0.96199999999999997</v>
      </c>
      <c r="T428" s="2026">
        <v>0.96199999999999997</v>
      </c>
      <c r="U428" s="2028">
        <f t="shared" si="243"/>
        <v>0</v>
      </c>
      <c r="V428" s="2028">
        <f t="shared" si="243"/>
        <v>0</v>
      </c>
      <c r="W428" s="2028">
        <f t="shared" si="243"/>
        <v>0</v>
      </c>
      <c r="X428" s="2028">
        <f t="shared" si="243"/>
        <v>0</v>
      </c>
      <c r="Y428" s="2026">
        <v>0.96199999999999997</v>
      </c>
      <c r="Z428" s="2026">
        <v>0.96199999999999997</v>
      </c>
      <c r="AA428" s="2026">
        <v>0.96199999999999997</v>
      </c>
      <c r="AB428" s="2026">
        <v>0.96199999999999997</v>
      </c>
      <c r="AC428" s="2027">
        <f t="shared" si="244"/>
        <v>344.76997749999998</v>
      </c>
      <c r="AD428" s="2027">
        <f t="shared" si="244"/>
        <v>344.76997749999998</v>
      </c>
      <c r="AE428" s="2027">
        <f t="shared" si="244"/>
        <v>344.76997749999998</v>
      </c>
      <c r="AF428" s="2027">
        <f t="shared" si="244"/>
        <v>344.76997749999998</v>
      </c>
      <c r="AG428" s="2027">
        <v>0</v>
      </c>
      <c r="AH428" s="2028"/>
      <c r="AI428" s="2028"/>
      <c r="AJ428" s="2028"/>
      <c r="AK428" s="2027">
        <f t="shared" si="250"/>
        <v>0</v>
      </c>
      <c r="AL428" s="2027">
        <f t="shared" si="236"/>
        <v>0</v>
      </c>
      <c r="AM428" s="2027">
        <f t="shared" si="236"/>
        <v>0</v>
      </c>
      <c r="AN428" s="2027">
        <f t="shared" si="236"/>
        <v>0</v>
      </c>
      <c r="AO428" s="2027">
        <f t="shared" si="245"/>
        <v>0</v>
      </c>
      <c r="AP428" s="2027">
        <f t="shared" si="237"/>
        <v>0</v>
      </c>
      <c r="AQ428" s="2027">
        <f t="shared" si="237"/>
        <v>0</v>
      </c>
      <c r="AR428" s="2027">
        <f t="shared" si="237"/>
        <v>0</v>
      </c>
      <c r="AS428" s="2124">
        <f t="shared" si="268"/>
        <v>0</v>
      </c>
      <c r="AT428" s="2029">
        <f t="shared" si="238"/>
        <v>0</v>
      </c>
      <c r="AU428" s="2029">
        <f t="shared" si="238"/>
        <v>0</v>
      </c>
      <c r="AV428" s="2029">
        <f t="shared" si="238"/>
        <v>0</v>
      </c>
      <c r="AW428" s="2124">
        <f t="shared" si="264"/>
        <v>663</v>
      </c>
      <c r="AX428" s="2029">
        <f t="shared" si="257"/>
        <v>663</v>
      </c>
      <c r="AY428" s="2029">
        <f t="shared" si="257"/>
        <v>663</v>
      </c>
      <c r="AZ428" s="2029">
        <f t="shared" si="257"/>
        <v>663</v>
      </c>
      <c r="BA428" s="2124">
        <f t="shared" si="267"/>
        <v>1470</v>
      </c>
      <c r="BB428" s="2029">
        <f t="shared" si="267"/>
        <v>1470</v>
      </c>
      <c r="BC428" s="2029">
        <f t="shared" si="267"/>
        <v>1470</v>
      </c>
      <c r="BD428" s="2029">
        <f t="shared" si="267"/>
        <v>1470</v>
      </c>
      <c r="BE428" s="2030">
        <f t="shared" si="239"/>
        <v>0</v>
      </c>
      <c r="BF428" s="2030">
        <f t="shared" si="239"/>
        <v>0</v>
      </c>
      <c r="BG428" s="2030">
        <f t="shared" si="239"/>
        <v>0</v>
      </c>
      <c r="BH428" s="2030">
        <f t="shared" si="239"/>
        <v>0</v>
      </c>
      <c r="BI428" s="2030">
        <f t="shared" si="240"/>
        <v>0</v>
      </c>
      <c r="BJ428" s="2030">
        <f t="shared" si="240"/>
        <v>0</v>
      </c>
      <c r="BK428" s="2030">
        <f t="shared" si="240"/>
        <v>0</v>
      </c>
      <c r="BL428" s="2030">
        <f t="shared" si="240"/>
        <v>0</v>
      </c>
      <c r="BM428" s="2125"/>
      <c r="BN428" s="2125"/>
      <c r="BO428" s="2125"/>
      <c r="BP428" s="2125"/>
      <c r="BQ428" s="2125"/>
      <c r="BR428" s="2125"/>
      <c r="BS428" s="2125"/>
      <c r="BT428" s="2125"/>
      <c r="BU428" s="2029"/>
      <c r="BV428" s="2029"/>
      <c r="BW428" s="2029"/>
      <c r="BX428" s="2029"/>
      <c r="BY428" s="2029"/>
      <c r="BZ428" s="2032"/>
      <c r="CA428" s="1974">
        <f t="shared" si="270"/>
        <v>0</v>
      </c>
      <c r="CB428" s="1974">
        <f t="shared" si="270"/>
        <v>0</v>
      </c>
      <c r="CC428" s="1974">
        <f t="shared" si="270"/>
        <v>0</v>
      </c>
      <c r="CD428" s="1974">
        <f t="shared" si="270"/>
        <v>0</v>
      </c>
      <c r="CE428" s="1974">
        <f t="shared" si="270"/>
        <v>0</v>
      </c>
      <c r="CF428" s="2033">
        <v>0</v>
      </c>
      <c r="CG428" s="2026">
        <v>0</v>
      </c>
      <c r="CH428" s="2009">
        <f t="shared" si="270"/>
        <v>0</v>
      </c>
      <c r="CI428" s="2031">
        <f t="shared" si="270"/>
        <v>0</v>
      </c>
      <c r="CJ428" s="1974">
        <f t="shared" si="270"/>
        <v>0</v>
      </c>
      <c r="CK428" s="2031">
        <f t="shared" si="270"/>
        <v>0</v>
      </c>
      <c r="CL428" s="2026">
        <v>1</v>
      </c>
      <c r="CM428" s="2026">
        <v>1</v>
      </c>
      <c r="CN428" s="2026">
        <v>1</v>
      </c>
      <c r="CO428" s="2026">
        <v>1</v>
      </c>
      <c r="CP428" s="2035"/>
      <c r="CQ428" s="2036"/>
      <c r="CR428" s="2036"/>
      <c r="CS428" s="2036"/>
      <c r="CT428" s="2036"/>
      <c r="CU428" s="2036"/>
      <c r="CW428" s="1973">
        <v>0</v>
      </c>
      <c r="CX428" s="2037">
        <v>663</v>
      </c>
      <c r="CY428" s="2037">
        <v>663</v>
      </c>
      <c r="CZ428" s="2037">
        <v>663</v>
      </c>
      <c r="DA428" s="2037">
        <v>663</v>
      </c>
      <c r="DJ428" s="1976">
        <v>0</v>
      </c>
      <c r="DK428" s="1973">
        <v>0</v>
      </c>
      <c r="DL428" s="1973">
        <v>0</v>
      </c>
      <c r="DM428" s="1973">
        <v>0</v>
      </c>
      <c r="DO428" s="1974">
        <v>20</v>
      </c>
      <c r="DP428" s="1974">
        <v>0</v>
      </c>
      <c r="DQ428" s="1974">
        <v>0</v>
      </c>
      <c r="DR428" s="1974">
        <v>358.38875000000002</v>
      </c>
      <c r="DS428" s="2124">
        <v>0</v>
      </c>
      <c r="DT428" s="2029">
        <v>0</v>
      </c>
      <c r="DU428" s="2029">
        <v>0</v>
      </c>
      <c r="DV428" s="2029">
        <v>0</v>
      </c>
      <c r="DW428" s="2124">
        <v>663</v>
      </c>
      <c r="DX428" s="2029">
        <v>663</v>
      </c>
      <c r="DY428" s="2029">
        <v>663</v>
      </c>
      <c r="DZ428" s="2029">
        <v>663</v>
      </c>
      <c r="EA428" s="2124">
        <v>1470</v>
      </c>
      <c r="EB428" s="2029">
        <v>1470</v>
      </c>
      <c r="EC428" s="2029">
        <v>1470</v>
      </c>
      <c r="ED428" s="2029">
        <v>1470</v>
      </c>
      <c r="EE428" s="2039">
        <f t="shared" si="253"/>
        <v>0</v>
      </c>
      <c r="EF428" s="2039">
        <f t="shared" si="253"/>
        <v>0</v>
      </c>
      <c r="EG428" s="2039">
        <f t="shared" si="253"/>
        <v>0</v>
      </c>
      <c r="EH428" s="2039">
        <f t="shared" si="252"/>
        <v>0</v>
      </c>
      <c r="EI428" s="2040">
        <f t="shared" si="233"/>
        <v>0</v>
      </c>
      <c r="EJ428" s="2040">
        <f t="shared" si="233"/>
        <v>0</v>
      </c>
      <c r="EK428" s="2040">
        <f t="shared" si="233"/>
        <v>0</v>
      </c>
      <c r="EL428" s="2040">
        <f t="shared" si="232"/>
        <v>0</v>
      </c>
      <c r="EM428" s="2040">
        <f t="shared" si="232"/>
        <v>0</v>
      </c>
      <c r="EN428" s="2040">
        <f t="shared" si="232"/>
        <v>0</v>
      </c>
      <c r="EO428" s="2040">
        <f t="shared" ref="EO428:ET486" si="271">AY428-DY428</f>
        <v>0</v>
      </c>
      <c r="EP428" s="2040">
        <f t="shared" si="271"/>
        <v>0</v>
      </c>
      <c r="EQ428" s="2040">
        <f t="shared" si="271"/>
        <v>0</v>
      </c>
      <c r="ER428" s="2040">
        <f t="shared" si="261"/>
        <v>0</v>
      </c>
      <c r="ES428" s="2040">
        <f t="shared" si="261"/>
        <v>0</v>
      </c>
      <c r="ET428" s="2040">
        <f t="shared" si="261"/>
        <v>0</v>
      </c>
      <c r="EU428" s="2039">
        <f t="shared" si="254"/>
        <v>0</v>
      </c>
      <c r="EV428" s="2039">
        <f t="shared" si="255"/>
        <v>0</v>
      </c>
    </row>
    <row r="429" spans="1:152" x14ac:dyDescent="0.25">
      <c r="A429" s="2088" t="s">
        <v>194</v>
      </c>
      <c r="B429" s="2093" t="str">
        <f t="shared" si="234"/>
        <v>BPH4</v>
      </c>
      <c r="C429" s="1974">
        <f t="shared" si="269"/>
        <v>20</v>
      </c>
      <c r="D429" s="1974">
        <f t="shared" si="269"/>
        <v>0</v>
      </c>
      <c r="E429" s="1974">
        <f t="shared" si="269"/>
        <v>0</v>
      </c>
      <c r="F429" s="1974">
        <f t="shared" si="269"/>
        <v>1071.5740261700303</v>
      </c>
      <c r="G429" s="1974" t="s">
        <v>2997</v>
      </c>
      <c r="H429" s="1974" t="s">
        <v>2997</v>
      </c>
      <c r="I429" s="2026">
        <v>0.96199999999999997</v>
      </c>
      <c r="J429" s="2026">
        <v>0.96199999999999997</v>
      </c>
      <c r="K429" s="2026">
        <v>0.96199999999999997</v>
      </c>
      <c r="L429" s="2026">
        <v>0.96199999999999997</v>
      </c>
      <c r="M429" s="2027">
        <f t="shared" si="242"/>
        <v>0</v>
      </c>
      <c r="N429" s="2027">
        <f t="shared" si="242"/>
        <v>0</v>
      </c>
      <c r="O429" s="2027">
        <f t="shared" si="242"/>
        <v>0</v>
      </c>
      <c r="P429" s="2027">
        <f t="shared" si="242"/>
        <v>0</v>
      </c>
      <c r="Q429" s="2026">
        <v>0.96199999999999997</v>
      </c>
      <c r="R429" s="2026">
        <v>0.96199999999999997</v>
      </c>
      <c r="S429" s="2026">
        <v>0.96199999999999997</v>
      </c>
      <c r="T429" s="2026">
        <v>0.96199999999999997</v>
      </c>
      <c r="U429" s="2028">
        <f t="shared" si="243"/>
        <v>0</v>
      </c>
      <c r="V429" s="2028">
        <f t="shared" si="243"/>
        <v>0</v>
      </c>
      <c r="W429" s="2028">
        <f t="shared" si="243"/>
        <v>0</v>
      </c>
      <c r="X429" s="2028">
        <f t="shared" si="243"/>
        <v>0</v>
      </c>
      <c r="Y429" s="2026">
        <v>0.96199999999999997</v>
      </c>
      <c r="Z429" s="2026">
        <v>0.96199999999999997</v>
      </c>
      <c r="AA429" s="2026">
        <v>0.96199999999999997</v>
      </c>
      <c r="AB429" s="2026">
        <v>0.96199999999999997</v>
      </c>
      <c r="AC429" s="2027">
        <f t="shared" si="244"/>
        <v>1030.8542131755692</v>
      </c>
      <c r="AD429" s="2027">
        <f t="shared" si="244"/>
        <v>1030.8542131755692</v>
      </c>
      <c r="AE429" s="2027">
        <f t="shared" si="244"/>
        <v>1030.8542131755692</v>
      </c>
      <c r="AF429" s="2027">
        <f t="shared" si="244"/>
        <v>1030.8542131755692</v>
      </c>
      <c r="AG429" s="2027">
        <v>0</v>
      </c>
      <c r="AH429" s="2028"/>
      <c r="AI429" s="2028"/>
      <c r="AJ429" s="2028"/>
      <c r="AK429" s="2027">
        <f t="shared" si="250"/>
        <v>0</v>
      </c>
      <c r="AL429" s="2027">
        <f t="shared" si="236"/>
        <v>0</v>
      </c>
      <c r="AM429" s="2027">
        <f t="shared" si="236"/>
        <v>0</v>
      </c>
      <c r="AN429" s="2027">
        <f t="shared" si="236"/>
        <v>0</v>
      </c>
      <c r="AO429" s="2027">
        <f t="shared" si="245"/>
        <v>0</v>
      </c>
      <c r="AP429" s="2027">
        <f t="shared" si="237"/>
        <v>0</v>
      </c>
      <c r="AQ429" s="2027">
        <f t="shared" si="237"/>
        <v>0</v>
      </c>
      <c r="AR429" s="2027">
        <f t="shared" si="237"/>
        <v>0</v>
      </c>
      <c r="AS429" s="2124">
        <f t="shared" si="268"/>
        <v>0</v>
      </c>
      <c r="AT429" s="2029">
        <f t="shared" si="238"/>
        <v>0</v>
      </c>
      <c r="AU429" s="2029">
        <f t="shared" si="238"/>
        <v>0</v>
      </c>
      <c r="AV429" s="2029">
        <f t="shared" si="238"/>
        <v>0</v>
      </c>
      <c r="AW429" s="2124">
        <f t="shared" si="264"/>
        <v>2969.6078431372553</v>
      </c>
      <c r="AX429" s="2029">
        <f t="shared" si="257"/>
        <v>2969.6078431372553</v>
      </c>
      <c r="AY429" s="2029">
        <f t="shared" si="257"/>
        <v>2969.6078431372553</v>
      </c>
      <c r="AZ429" s="2029">
        <f t="shared" si="257"/>
        <v>2969.6078431372553</v>
      </c>
      <c r="BA429" s="2124">
        <f t="shared" ref="BA429:BD441" si="272">BA185</f>
        <v>2799.4117647058824</v>
      </c>
      <c r="BB429" s="2029">
        <f t="shared" si="272"/>
        <v>2799.4117647058824</v>
      </c>
      <c r="BC429" s="2029">
        <f t="shared" si="272"/>
        <v>2799.4117647058824</v>
      </c>
      <c r="BD429" s="2029">
        <f t="shared" si="272"/>
        <v>2799.4117647058824</v>
      </c>
      <c r="BE429" s="2030">
        <f t="shared" si="239"/>
        <v>0</v>
      </c>
      <c r="BF429" s="2030">
        <f t="shared" si="239"/>
        <v>0</v>
      </c>
      <c r="BG429" s="2030">
        <f t="shared" si="239"/>
        <v>0</v>
      </c>
      <c r="BH429" s="2030">
        <f t="shared" si="239"/>
        <v>0</v>
      </c>
      <c r="BI429" s="2030">
        <f t="shared" si="240"/>
        <v>0</v>
      </c>
      <c r="BJ429" s="2030">
        <f t="shared" si="240"/>
        <v>0</v>
      </c>
      <c r="BK429" s="2030">
        <f t="shared" si="240"/>
        <v>0</v>
      </c>
      <c r="BL429" s="2030">
        <f t="shared" si="240"/>
        <v>0</v>
      </c>
      <c r="BM429" s="2125"/>
      <c r="BN429" s="2125"/>
      <c r="BO429" s="2125"/>
      <c r="BP429" s="2125"/>
      <c r="BQ429" s="2125"/>
      <c r="BR429" s="2125"/>
      <c r="BS429" s="2125"/>
      <c r="BT429" s="2125"/>
      <c r="BU429" s="2029"/>
      <c r="BV429" s="2029"/>
      <c r="BW429" s="2029"/>
      <c r="BX429" s="2029"/>
      <c r="BY429" s="2029"/>
      <c r="BZ429" s="2032"/>
      <c r="CA429" s="1974">
        <f t="shared" si="270"/>
        <v>0</v>
      </c>
      <c r="CB429" s="1974">
        <f t="shared" si="270"/>
        <v>0</v>
      </c>
      <c r="CC429" s="1974">
        <f t="shared" si="270"/>
        <v>0</v>
      </c>
      <c r="CD429" s="1974">
        <f t="shared" si="270"/>
        <v>0</v>
      </c>
      <c r="CE429" s="1974">
        <f t="shared" si="270"/>
        <v>0</v>
      </c>
      <c r="CF429" s="2033">
        <v>0</v>
      </c>
      <c r="CG429" s="2026">
        <v>0</v>
      </c>
      <c r="CH429" s="2009">
        <f t="shared" si="270"/>
        <v>0</v>
      </c>
      <c r="CI429" s="2031">
        <f t="shared" si="270"/>
        <v>0</v>
      </c>
      <c r="CJ429" s="1974">
        <f t="shared" si="270"/>
        <v>0</v>
      </c>
      <c r="CK429" s="2031">
        <f t="shared" si="270"/>
        <v>0</v>
      </c>
      <c r="CL429" s="2026">
        <v>1</v>
      </c>
      <c r="CM429" s="2026">
        <v>1</v>
      </c>
      <c r="CN429" s="2026">
        <v>1</v>
      </c>
      <c r="CO429" s="2026">
        <v>1</v>
      </c>
      <c r="CP429" s="2035"/>
      <c r="CQ429" s="2036"/>
      <c r="CR429" s="2036"/>
      <c r="CS429" s="2036"/>
      <c r="CT429" s="2036"/>
      <c r="CU429" s="2036"/>
      <c r="CW429" s="1973">
        <v>0</v>
      </c>
      <c r="CX429" s="2037">
        <v>2860</v>
      </c>
      <c r="CY429" s="2037">
        <v>2860</v>
      </c>
      <c r="CZ429" s="2037">
        <v>2860</v>
      </c>
      <c r="DA429" s="2037">
        <v>2860</v>
      </c>
      <c r="DJ429" s="1976">
        <v>0</v>
      </c>
      <c r="DK429" s="1973">
        <v>0</v>
      </c>
      <c r="DL429" s="1973">
        <v>0</v>
      </c>
      <c r="DM429" s="1973">
        <v>0</v>
      </c>
      <c r="DO429" s="1974">
        <v>20</v>
      </c>
      <c r="DP429" s="1974">
        <v>0</v>
      </c>
      <c r="DQ429" s="1974">
        <v>0</v>
      </c>
      <c r="DR429" s="1974">
        <v>1071.5740261700303</v>
      </c>
      <c r="DS429" s="2124">
        <v>0</v>
      </c>
      <c r="DT429" s="2029">
        <v>0</v>
      </c>
      <c r="DU429" s="2029">
        <v>0</v>
      </c>
      <c r="DV429" s="2029">
        <v>0</v>
      </c>
      <c r="DW429" s="2124">
        <v>2969.6078431372553</v>
      </c>
      <c r="DX429" s="2029">
        <v>2969.6078431372553</v>
      </c>
      <c r="DY429" s="2029">
        <v>2969.6078431372553</v>
      </c>
      <c r="DZ429" s="2029">
        <v>2969.6078431372553</v>
      </c>
      <c r="EA429" s="2124">
        <v>2799.4117647058824</v>
      </c>
      <c r="EB429" s="2029">
        <v>2799.4117647058824</v>
      </c>
      <c r="EC429" s="2029">
        <v>2799.4117647058824</v>
      </c>
      <c r="ED429" s="2029">
        <v>2799.4117647058824</v>
      </c>
      <c r="EE429" s="2039">
        <f t="shared" si="253"/>
        <v>0</v>
      </c>
      <c r="EF429" s="2039">
        <f t="shared" si="253"/>
        <v>0</v>
      </c>
      <c r="EG429" s="2039">
        <f t="shared" si="253"/>
        <v>0</v>
      </c>
      <c r="EH429" s="2039">
        <f t="shared" si="252"/>
        <v>0</v>
      </c>
      <c r="EI429" s="2040">
        <f t="shared" si="233"/>
        <v>0</v>
      </c>
      <c r="EJ429" s="2040">
        <f t="shared" si="233"/>
        <v>0</v>
      </c>
      <c r="EK429" s="2040">
        <f t="shared" si="233"/>
        <v>0</v>
      </c>
      <c r="EL429" s="2040">
        <f t="shared" si="233"/>
        <v>0</v>
      </c>
      <c r="EM429" s="2040">
        <f t="shared" si="233"/>
        <v>0</v>
      </c>
      <c r="EN429" s="2040">
        <f t="shared" si="233"/>
        <v>0</v>
      </c>
      <c r="EO429" s="2040">
        <f t="shared" si="271"/>
        <v>0</v>
      </c>
      <c r="EP429" s="2040">
        <f t="shared" si="271"/>
        <v>0</v>
      </c>
      <c r="EQ429" s="2040">
        <f t="shared" si="271"/>
        <v>0</v>
      </c>
      <c r="ER429" s="2040">
        <f t="shared" si="261"/>
        <v>0</v>
      </c>
      <c r="ES429" s="2040">
        <f t="shared" si="261"/>
        <v>0</v>
      </c>
      <c r="ET429" s="2040">
        <f t="shared" si="261"/>
        <v>0</v>
      </c>
      <c r="EU429" s="2039">
        <f t="shared" si="254"/>
        <v>0</v>
      </c>
      <c r="EV429" s="2039">
        <f t="shared" si="255"/>
        <v>0</v>
      </c>
    </row>
    <row r="430" spans="1:152" x14ac:dyDescent="0.25">
      <c r="A430" s="2088" t="s">
        <v>266</v>
      </c>
      <c r="B430" s="2093" t="str">
        <f t="shared" si="234"/>
        <v>BPH6</v>
      </c>
      <c r="C430" s="1974">
        <f t="shared" si="269"/>
        <v>16.5</v>
      </c>
      <c r="D430" s="1974">
        <f t="shared" si="269"/>
        <v>710</v>
      </c>
      <c r="E430" s="1974">
        <f t="shared" si="269"/>
        <v>3.8899999999999997E-2</v>
      </c>
      <c r="F430" s="1974">
        <f t="shared" si="269"/>
        <v>182.6</v>
      </c>
      <c r="G430" s="1974" t="s">
        <v>2997</v>
      </c>
      <c r="H430" s="1974" t="s">
        <v>2997</v>
      </c>
      <c r="I430" s="2026">
        <v>0.96199999999999997</v>
      </c>
      <c r="J430" s="2026">
        <v>0.96199999999999997</v>
      </c>
      <c r="K430" s="2026">
        <v>0.96199999999999997</v>
      </c>
      <c r="L430" s="2026">
        <v>0.96199999999999997</v>
      </c>
      <c r="M430" s="2027">
        <f t="shared" si="242"/>
        <v>683.02</v>
      </c>
      <c r="N430" s="2027">
        <f t="shared" si="242"/>
        <v>683.02</v>
      </c>
      <c r="O430" s="2027">
        <f t="shared" si="242"/>
        <v>683.02</v>
      </c>
      <c r="P430" s="2027">
        <f t="shared" si="242"/>
        <v>683.02</v>
      </c>
      <c r="Q430" s="2026">
        <v>0.96199999999999997</v>
      </c>
      <c r="R430" s="2026">
        <v>0.96199999999999997</v>
      </c>
      <c r="S430" s="2026">
        <v>0.96199999999999997</v>
      </c>
      <c r="T430" s="2026">
        <v>0.96199999999999997</v>
      </c>
      <c r="U430" s="2028">
        <f t="shared" si="243"/>
        <v>3.7421799999999998E-2</v>
      </c>
      <c r="V430" s="2028">
        <f t="shared" si="243"/>
        <v>3.7421799999999998E-2</v>
      </c>
      <c r="W430" s="2028">
        <f t="shared" si="243"/>
        <v>3.7421799999999998E-2</v>
      </c>
      <c r="X430" s="2028">
        <f t="shared" si="243"/>
        <v>3.7421799999999998E-2</v>
      </c>
      <c r="Y430" s="2026">
        <v>0.96199999999999997</v>
      </c>
      <c r="Z430" s="2026">
        <v>0.96199999999999997</v>
      </c>
      <c r="AA430" s="2026">
        <v>0.96199999999999997</v>
      </c>
      <c r="AB430" s="2026">
        <v>0.96199999999999997</v>
      </c>
      <c r="AC430" s="2027">
        <f t="shared" si="244"/>
        <v>175.66119999999998</v>
      </c>
      <c r="AD430" s="2027">
        <f t="shared" si="244"/>
        <v>175.66119999999998</v>
      </c>
      <c r="AE430" s="2027">
        <f t="shared" si="244"/>
        <v>175.66119999999998</v>
      </c>
      <c r="AF430" s="2027">
        <f t="shared" si="244"/>
        <v>175.66119999999998</v>
      </c>
      <c r="AG430" s="2027">
        <v>0</v>
      </c>
      <c r="AH430" s="2028"/>
      <c r="AI430" s="2028"/>
      <c r="AJ430" s="2028"/>
      <c r="AK430" s="2027">
        <f t="shared" si="250"/>
        <v>0</v>
      </c>
      <c r="AL430" s="2027">
        <f t="shared" si="236"/>
        <v>0</v>
      </c>
      <c r="AM430" s="2027">
        <f t="shared" si="236"/>
        <v>0</v>
      </c>
      <c r="AN430" s="2027">
        <f t="shared" si="236"/>
        <v>0</v>
      </c>
      <c r="AO430" s="2027">
        <f t="shared" si="245"/>
        <v>0</v>
      </c>
      <c r="AP430" s="2027">
        <f t="shared" si="237"/>
        <v>0</v>
      </c>
      <c r="AQ430" s="2027">
        <f t="shared" si="237"/>
        <v>0</v>
      </c>
      <c r="AR430" s="2027">
        <f t="shared" si="237"/>
        <v>0</v>
      </c>
      <c r="AS430" s="2124">
        <f t="shared" si="268"/>
        <v>0</v>
      </c>
      <c r="AT430" s="2029">
        <f t="shared" si="238"/>
        <v>0</v>
      </c>
      <c r="AU430" s="2029">
        <f t="shared" si="238"/>
        <v>0</v>
      </c>
      <c r="AV430" s="2029">
        <f t="shared" si="238"/>
        <v>0</v>
      </c>
      <c r="AW430" s="2124">
        <f t="shared" si="264"/>
        <v>325</v>
      </c>
      <c r="AX430" s="2029">
        <f t="shared" si="257"/>
        <v>325</v>
      </c>
      <c r="AY430" s="2029">
        <f t="shared" si="257"/>
        <v>325</v>
      </c>
      <c r="AZ430" s="2029">
        <f t="shared" si="257"/>
        <v>325</v>
      </c>
      <c r="BA430" s="2124">
        <f t="shared" si="272"/>
        <v>802</v>
      </c>
      <c r="BB430" s="2029">
        <f t="shared" si="272"/>
        <v>802</v>
      </c>
      <c r="BC430" s="2029">
        <f t="shared" si="272"/>
        <v>802</v>
      </c>
      <c r="BD430" s="2029">
        <f t="shared" si="272"/>
        <v>802</v>
      </c>
      <c r="BE430" s="2030">
        <f t="shared" si="239"/>
        <v>0</v>
      </c>
      <c r="BF430" s="2030">
        <f t="shared" si="239"/>
        <v>0</v>
      </c>
      <c r="BG430" s="2030">
        <f t="shared" si="239"/>
        <v>0</v>
      </c>
      <c r="BH430" s="2030">
        <f t="shared" si="239"/>
        <v>0</v>
      </c>
      <c r="BI430" s="2030">
        <f t="shared" si="240"/>
        <v>0</v>
      </c>
      <c r="BJ430" s="2030">
        <f t="shared" si="240"/>
        <v>0</v>
      </c>
      <c r="BK430" s="2030">
        <f t="shared" si="240"/>
        <v>0</v>
      </c>
      <c r="BL430" s="2030">
        <f t="shared" si="240"/>
        <v>0</v>
      </c>
      <c r="BM430" s="2125"/>
      <c r="BN430" s="2125"/>
      <c r="BO430" s="2125"/>
      <c r="BP430" s="2125"/>
      <c r="BQ430" s="2125"/>
      <c r="BR430" s="2125"/>
      <c r="BS430" s="2125"/>
      <c r="BT430" s="2125"/>
      <c r="BU430" s="2029"/>
      <c r="BV430" s="2029"/>
      <c r="BW430" s="2029"/>
      <c r="BX430" s="2029"/>
      <c r="BY430" s="2029"/>
      <c r="BZ430" s="2032"/>
      <c r="CA430" s="1974">
        <f t="shared" si="270"/>
        <v>0</v>
      </c>
      <c r="CB430" s="1974">
        <f t="shared" si="270"/>
        <v>0</v>
      </c>
      <c r="CC430" s="1974">
        <f t="shared" si="270"/>
        <v>0</v>
      </c>
      <c r="CD430" s="1974">
        <f t="shared" si="270"/>
        <v>0</v>
      </c>
      <c r="CE430" s="1974">
        <f t="shared" si="270"/>
        <v>0</v>
      </c>
      <c r="CF430" s="2033">
        <v>0</v>
      </c>
      <c r="CG430" s="2026">
        <v>0</v>
      </c>
      <c r="CH430" s="2009">
        <f t="shared" si="270"/>
        <v>0</v>
      </c>
      <c r="CI430" s="2031">
        <f t="shared" si="270"/>
        <v>0</v>
      </c>
      <c r="CJ430" s="1974">
        <f t="shared" si="270"/>
        <v>0</v>
      </c>
      <c r="CK430" s="2031">
        <f t="shared" si="270"/>
        <v>0</v>
      </c>
      <c r="CL430" s="2026">
        <v>1</v>
      </c>
      <c r="CM430" s="2026">
        <v>1</v>
      </c>
      <c r="CN430" s="2026">
        <v>1</v>
      </c>
      <c r="CO430" s="2026">
        <v>1</v>
      </c>
      <c r="CP430" s="2035"/>
      <c r="CQ430" s="2036"/>
      <c r="CR430" s="2036"/>
      <c r="CS430" s="2036"/>
      <c r="CT430" s="2036"/>
      <c r="CU430" s="2036"/>
      <c r="CW430" s="1973">
        <v>0</v>
      </c>
      <c r="CX430" s="2037">
        <v>325</v>
      </c>
      <c r="CY430" s="2037">
        <v>325</v>
      </c>
      <c r="CZ430" s="2037">
        <v>325</v>
      </c>
      <c r="DA430" s="2037">
        <v>325</v>
      </c>
      <c r="DJ430" s="1976">
        <v>0</v>
      </c>
      <c r="DK430" s="1973">
        <v>0</v>
      </c>
      <c r="DL430" s="1973">
        <v>0</v>
      </c>
      <c r="DM430" s="1973">
        <v>0</v>
      </c>
      <c r="DO430" s="1974">
        <v>16.5</v>
      </c>
      <c r="DP430" s="1974">
        <v>710</v>
      </c>
      <c r="DQ430" s="1974">
        <v>3.8899999999999997E-2</v>
      </c>
      <c r="DR430" s="1974">
        <v>182.6</v>
      </c>
      <c r="DS430" s="2124">
        <v>0</v>
      </c>
      <c r="DT430" s="2029">
        <v>0</v>
      </c>
      <c r="DU430" s="2029">
        <v>0</v>
      </c>
      <c r="DV430" s="2029">
        <v>0</v>
      </c>
      <c r="DW430" s="2124">
        <v>325</v>
      </c>
      <c r="DX430" s="2029">
        <v>325</v>
      </c>
      <c r="DY430" s="2029">
        <v>325</v>
      </c>
      <c r="DZ430" s="2029">
        <v>325</v>
      </c>
      <c r="EA430" s="2124">
        <v>802</v>
      </c>
      <c r="EB430" s="2029">
        <v>802</v>
      </c>
      <c r="EC430" s="2029">
        <v>802</v>
      </c>
      <c r="ED430" s="2029">
        <v>802</v>
      </c>
      <c r="EE430" s="2039">
        <f t="shared" si="253"/>
        <v>0</v>
      </c>
      <c r="EF430" s="2039">
        <f t="shared" si="253"/>
        <v>0</v>
      </c>
      <c r="EG430" s="2039">
        <f t="shared" si="253"/>
        <v>0</v>
      </c>
      <c r="EH430" s="2039">
        <f t="shared" si="252"/>
        <v>0</v>
      </c>
      <c r="EI430" s="2040">
        <f t="shared" si="233"/>
        <v>0</v>
      </c>
      <c r="EJ430" s="2040">
        <f t="shared" si="233"/>
        <v>0</v>
      </c>
      <c r="EK430" s="2040">
        <f t="shared" si="233"/>
        <v>0</v>
      </c>
      <c r="EL430" s="2040">
        <f t="shared" si="233"/>
        <v>0</v>
      </c>
      <c r="EM430" s="2040">
        <f t="shared" si="233"/>
        <v>0</v>
      </c>
      <c r="EN430" s="2040">
        <f t="shared" si="233"/>
        <v>0</v>
      </c>
      <c r="EO430" s="2040">
        <f t="shared" si="271"/>
        <v>0</v>
      </c>
      <c r="EP430" s="2040">
        <f t="shared" si="271"/>
        <v>0</v>
      </c>
      <c r="EQ430" s="2040">
        <f t="shared" si="271"/>
        <v>0</v>
      </c>
      <c r="ER430" s="2040">
        <f t="shared" si="261"/>
        <v>0</v>
      </c>
      <c r="ES430" s="2040">
        <f t="shared" si="261"/>
        <v>0</v>
      </c>
      <c r="ET430" s="2040">
        <f t="shared" si="261"/>
        <v>0</v>
      </c>
      <c r="EU430" s="2039">
        <f t="shared" si="254"/>
        <v>0</v>
      </c>
      <c r="EV430" s="2039">
        <f t="shared" si="255"/>
        <v>0</v>
      </c>
    </row>
    <row r="431" spans="1:152" x14ac:dyDescent="0.25">
      <c r="A431" s="2088" t="s">
        <v>195</v>
      </c>
      <c r="B431" s="2093" t="str">
        <f t="shared" si="234"/>
        <v>BPH7</v>
      </c>
      <c r="C431" s="1974">
        <f t="shared" si="269"/>
        <v>16.5</v>
      </c>
      <c r="D431" s="1974">
        <f t="shared" si="269"/>
        <v>705.91923714759537</v>
      </c>
      <c r="E431" s="1974">
        <f t="shared" si="269"/>
        <v>0.11911992211259753</v>
      </c>
      <c r="F431" s="1974">
        <f t="shared" si="269"/>
        <v>228.88895164555328</v>
      </c>
      <c r="G431" s="1974" t="s">
        <v>2997</v>
      </c>
      <c r="H431" s="1974" t="s">
        <v>2997</v>
      </c>
      <c r="I431" s="2026">
        <v>0.96199999999999997</v>
      </c>
      <c r="J431" s="2026">
        <v>0.96199999999999997</v>
      </c>
      <c r="K431" s="2026">
        <v>0.96199999999999997</v>
      </c>
      <c r="L431" s="2026">
        <v>0.96199999999999997</v>
      </c>
      <c r="M431" s="2027">
        <f t="shared" si="242"/>
        <v>679.0943061359867</v>
      </c>
      <c r="N431" s="2027">
        <f t="shared" si="242"/>
        <v>679.0943061359867</v>
      </c>
      <c r="O431" s="2027">
        <f t="shared" si="242"/>
        <v>679.0943061359867</v>
      </c>
      <c r="P431" s="2027">
        <f t="shared" si="242"/>
        <v>679.0943061359867</v>
      </c>
      <c r="Q431" s="2026">
        <v>0.96199999999999997</v>
      </c>
      <c r="R431" s="2026">
        <v>0.96199999999999997</v>
      </c>
      <c r="S431" s="2026">
        <v>0.96199999999999997</v>
      </c>
      <c r="T431" s="2026">
        <v>0.96199999999999997</v>
      </c>
      <c r="U431" s="2028">
        <f t="shared" si="243"/>
        <v>0.11459336507231882</v>
      </c>
      <c r="V431" s="2028">
        <f t="shared" si="243"/>
        <v>0.11459336507231882</v>
      </c>
      <c r="W431" s="2028">
        <f t="shared" si="243"/>
        <v>0.11459336507231882</v>
      </c>
      <c r="X431" s="2028">
        <f t="shared" si="243"/>
        <v>0.11459336507231882</v>
      </c>
      <c r="Y431" s="2026">
        <v>0.96199999999999997</v>
      </c>
      <c r="Z431" s="2026">
        <v>0.96199999999999997</v>
      </c>
      <c r="AA431" s="2026">
        <v>0.96199999999999997</v>
      </c>
      <c r="AB431" s="2026">
        <v>0.96199999999999997</v>
      </c>
      <c r="AC431" s="2027">
        <f t="shared" si="244"/>
        <v>220.19117148302223</v>
      </c>
      <c r="AD431" s="2027">
        <f t="shared" si="244"/>
        <v>220.19117148302223</v>
      </c>
      <c r="AE431" s="2027">
        <f t="shared" si="244"/>
        <v>220.19117148302223</v>
      </c>
      <c r="AF431" s="2027">
        <f t="shared" si="244"/>
        <v>220.19117148302223</v>
      </c>
      <c r="AG431" s="2027">
        <v>0</v>
      </c>
      <c r="AH431" s="2028"/>
      <c r="AI431" s="2028"/>
      <c r="AJ431" s="2028"/>
      <c r="AK431" s="2027">
        <f t="shared" si="250"/>
        <v>0</v>
      </c>
      <c r="AL431" s="2027">
        <f t="shared" si="236"/>
        <v>0</v>
      </c>
      <c r="AM431" s="2027">
        <f t="shared" si="236"/>
        <v>0</v>
      </c>
      <c r="AN431" s="2027">
        <f t="shared" si="236"/>
        <v>0</v>
      </c>
      <c r="AO431" s="2027">
        <f t="shared" si="245"/>
        <v>0</v>
      </c>
      <c r="AP431" s="2027">
        <f t="shared" si="237"/>
        <v>0</v>
      </c>
      <c r="AQ431" s="2027">
        <f t="shared" si="237"/>
        <v>0</v>
      </c>
      <c r="AR431" s="2027">
        <f t="shared" si="237"/>
        <v>0</v>
      </c>
      <c r="AS431" s="2124">
        <f t="shared" si="268"/>
        <v>330</v>
      </c>
      <c r="AT431" s="2029">
        <f t="shared" si="238"/>
        <v>330</v>
      </c>
      <c r="AU431" s="2029">
        <f t="shared" si="238"/>
        <v>330</v>
      </c>
      <c r="AV431" s="2029">
        <f t="shared" si="238"/>
        <v>330</v>
      </c>
      <c r="AW431" s="2124">
        <f t="shared" si="264"/>
        <v>1014</v>
      </c>
      <c r="AX431" s="2029">
        <f t="shared" si="257"/>
        <v>1014</v>
      </c>
      <c r="AY431" s="2029">
        <f t="shared" si="257"/>
        <v>1014</v>
      </c>
      <c r="AZ431" s="2029">
        <f t="shared" si="257"/>
        <v>1014</v>
      </c>
      <c r="BA431" s="2124">
        <f t="shared" si="272"/>
        <v>1275</v>
      </c>
      <c r="BB431" s="2029">
        <f t="shared" si="272"/>
        <v>1275</v>
      </c>
      <c r="BC431" s="2029">
        <f t="shared" si="272"/>
        <v>1275</v>
      </c>
      <c r="BD431" s="2029">
        <f t="shared" si="272"/>
        <v>1275</v>
      </c>
      <c r="BE431" s="2030">
        <f t="shared" si="239"/>
        <v>0</v>
      </c>
      <c r="BF431" s="2030">
        <f t="shared" si="239"/>
        <v>0</v>
      </c>
      <c r="BG431" s="2030">
        <f t="shared" si="239"/>
        <v>0</v>
      </c>
      <c r="BH431" s="2030">
        <f t="shared" si="239"/>
        <v>0</v>
      </c>
      <c r="BI431" s="2030">
        <f t="shared" si="240"/>
        <v>0</v>
      </c>
      <c r="BJ431" s="2030">
        <f t="shared" si="240"/>
        <v>0</v>
      </c>
      <c r="BK431" s="2030">
        <f t="shared" si="240"/>
        <v>0</v>
      </c>
      <c r="BL431" s="2030">
        <f t="shared" si="240"/>
        <v>0</v>
      </c>
      <c r="BM431" s="2125"/>
      <c r="BN431" s="2125"/>
      <c r="BO431" s="2125"/>
      <c r="BP431" s="2125"/>
      <c r="BQ431" s="2125"/>
      <c r="BR431" s="2125"/>
      <c r="BS431" s="2125"/>
      <c r="BT431" s="2125"/>
      <c r="BU431" s="2029"/>
      <c r="BV431" s="2029"/>
      <c r="BW431" s="2029"/>
      <c r="BX431" s="2029"/>
      <c r="BY431" s="2029"/>
      <c r="BZ431" s="2032"/>
      <c r="CA431" s="1974">
        <f t="shared" si="270"/>
        <v>0</v>
      </c>
      <c r="CB431" s="1974">
        <f t="shared" si="270"/>
        <v>0</v>
      </c>
      <c r="CC431" s="1974">
        <f t="shared" si="270"/>
        <v>0</v>
      </c>
      <c r="CD431" s="1974">
        <f t="shared" si="270"/>
        <v>0</v>
      </c>
      <c r="CE431" s="1974">
        <f t="shared" si="270"/>
        <v>0</v>
      </c>
      <c r="CF431" s="2033">
        <v>0</v>
      </c>
      <c r="CG431" s="2026">
        <v>0</v>
      </c>
      <c r="CH431" s="2009">
        <f t="shared" si="270"/>
        <v>0</v>
      </c>
      <c r="CI431" s="2031">
        <f t="shared" si="270"/>
        <v>0</v>
      </c>
      <c r="CJ431" s="1974">
        <f t="shared" si="270"/>
        <v>0</v>
      </c>
      <c r="CK431" s="2031">
        <f t="shared" si="270"/>
        <v>0</v>
      </c>
      <c r="CL431" s="2026">
        <v>1</v>
      </c>
      <c r="CM431" s="2026">
        <v>1</v>
      </c>
      <c r="CN431" s="2026">
        <v>1</v>
      </c>
      <c r="CO431" s="2026">
        <v>1</v>
      </c>
      <c r="CP431" s="2035"/>
      <c r="CQ431" s="2036"/>
      <c r="CR431" s="2036"/>
      <c r="CS431" s="2036"/>
      <c r="CT431" s="2036"/>
      <c r="CU431" s="2036"/>
      <c r="CW431" s="1973">
        <v>0</v>
      </c>
      <c r="CX431" s="2037">
        <v>1300</v>
      </c>
      <c r="CY431" s="2037">
        <v>1300</v>
      </c>
      <c r="CZ431" s="2037">
        <v>1300</v>
      </c>
      <c r="DA431" s="2037">
        <v>1300</v>
      </c>
      <c r="DJ431" s="1976">
        <v>0</v>
      </c>
      <c r="DK431" s="1973">
        <v>0</v>
      </c>
      <c r="DL431" s="1973">
        <v>0</v>
      </c>
      <c r="DM431" s="1973">
        <v>0</v>
      </c>
      <c r="DO431" s="1974">
        <v>16.5</v>
      </c>
      <c r="DP431" s="1974">
        <v>705.91923714759537</v>
      </c>
      <c r="DQ431" s="1974">
        <v>0.11911992211259753</v>
      </c>
      <c r="DR431" s="1974">
        <v>228.88895164555328</v>
      </c>
      <c r="DS431" s="2124">
        <v>330</v>
      </c>
      <c r="DT431" s="2029">
        <v>330</v>
      </c>
      <c r="DU431" s="2029">
        <v>330</v>
      </c>
      <c r="DV431" s="2029">
        <v>330</v>
      </c>
      <c r="DW431" s="2124">
        <v>1014</v>
      </c>
      <c r="DX431" s="2029">
        <v>1014</v>
      </c>
      <c r="DY431" s="2029">
        <v>1014</v>
      </c>
      <c r="DZ431" s="2029">
        <v>1014</v>
      </c>
      <c r="EA431" s="2124">
        <v>1275</v>
      </c>
      <c r="EB431" s="2029">
        <v>1275</v>
      </c>
      <c r="EC431" s="2029">
        <v>1275</v>
      </c>
      <c r="ED431" s="2029">
        <v>1275</v>
      </c>
      <c r="EE431" s="2039">
        <f t="shared" si="253"/>
        <v>0</v>
      </c>
      <c r="EF431" s="2039">
        <f t="shared" si="253"/>
        <v>0</v>
      </c>
      <c r="EG431" s="2039">
        <f t="shared" si="253"/>
        <v>0</v>
      </c>
      <c r="EH431" s="2039">
        <f t="shared" si="252"/>
        <v>0</v>
      </c>
      <c r="EI431" s="2040">
        <f t="shared" si="233"/>
        <v>0</v>
      </c>
      <c r="EJ431" s="2040">
        <f t="shared" si="233"/>
        <v>0</v>
      </c>
      <c r="EK431" s="2040">
        <f t="shared" si="233"/>
        <v>0</v>
      </c>
      <c r="EL431" s="2040">
        <f t="shared" si="233"/>
        <v>0</v>
      </c>
      <c r="EM431" s="2040">
        <f t="shared" si="233"/>
        <v>0</v>
      </c>
      <c r="EN431" s="2040">
        <f t="shared" si="233"/>
        <v>0</v>
      </c>
      <c r="EO431" s="2040">
        <f t="shared" si="271"/>
        <v>0</v>
      </c>
      <c r="EP431" s="2040">
        <f t="shared" si="271"/>
        <v>0</v>
      </c>
      <c r="EQ431" s="2040">
        <f t="shared" si="271"/>
        <v>0</v>
      </c>
      <c r="ER431" s="2040">
        <f t="shared" si="261"/>
        <v>0</v>
      </c>
      <c r="ES431" s="2040">
        <f t="shared" si="261"/>
        <v>0</v>
      </c>
      <c r="ET431" s="2040">
        <f t="shared" si="261"/>
        <v>0</v>
      </c>
      <c r="EU431" s="2039">
        <f t="shared" si="254"/>
        <v>0</v>
      </c>
      <c r="EV431" s="2039">
        <f t="shared" si="255"/>
        <v>0</v>
      </c>
    </row>
    <row r="432" spans="1:152" x14ac:dyDescent="0.25">
      <c r="A432" s="2088" t="s">
        <v>196</v>
      </c>
      <c r="B432" s="2093" t="str">
        <f t="shared" si="234"/>
        <v>BPWH3</v>
      </c>
      <c r="C432" s="1974">
        <f t="shared" si="269"/>
        <v>20</v>
      </c>
      <c r="D432" s="1974">
        <f t="shared" si="269"/>
        <v>0</v>
      </c>
      <c r="E432" s="1974">
        <f t="shared" si="269"/>
        <v>0</v>
      </c>
      <c r="F432" s="1974">
        <f t="shared" si="269"/>
        <v>172.09</v>
      </c>
      <c r="G432" s="1974" t="s">
        <v>2997</v>
      </c>
      <c r="H432" s="1974" t="s">
        <v>2997</v>
      </c>
      <c r="I432" s="2026">
        <v>0.96199999999999997</v>
      </c>
      <c r="J432" s="2026">
        <v>0.96199999999999997</v>
      </c>
      <c r="K432" s="2026">
        <v>0.96199999999999997</v>
      </c>
      <c r="L432" s="2026">
        <v>0.96199999999999997</v>
      </c>
      <c r="M432" s="2027">
        <f t="shared" si="242"/>
        <v>0</v>
      </c>
      <c r="N432" s="2027">
        <f t="shared" si="242"/>
        <v>0</v>
      </c>
      <c r="O432" s="2027">
        <f t="shared" si="242"/>
        <v>0</v>
      </c>
      <c r="P432" s="2027">
        <f t="shared" si="242"/>
        <v>0</v>
      </c>
      <c r="Q432" s="2026">
        <v>0.96199999999999997</v>
      </c>
      <c r="R432" s="2026">
        <v>0.96199999999999997</v>
      </c>
      <c r="S432" s="2026">
        <v>0.96199999999999997</v>
      </c>
      <c r="T432" s="2026">
        <v>0.96199999999999997</v>
      </c>
      <c r="U432" s="2028">
        <f t="shared" si="243"/>
        <v>0</v>
      </c>
      <c r="V432" s="2028">
        <f t="shared" si="243"/>
        <v>0</v>
      </c>
      <c r="W432" s="2028">
        <f t="shared" si="243"/>
        <v>0</v>
      </c>
      <c r="X432" s="2028">
        <f t="shared" si="243"/>
        <v>0</v>
      </c>
      <c r="Y432" s="2026">
        <v>0.96199999999999997</v>
      </c>
      <c r="Z432" s="2026">
        <v>0.96199999999999997</v>
      </c>
      <c r="AA432" s="2026">
        <v>0.96199999999999997</v>
      </c>
      <c r="AB432" s="2026">
        <v>0.96199999999999997</v>
      </c>
      <c r="AC432" s="2027">
        <f t="shared" si="244"/>
        <v>165.55058</v>
      </c>
      <c r="AD432" s="2027">
        <f t="shared" si="244"/>
        <v>165.55058</v>
      </c>
      <c r="AE432" s="2027">
        <f t="shared" si="244"/>
        <v>165.55058</v>
      </c>
      <c r="AF432" s="2027">
        <f t="shared" si="244"/>
        <v>165.55058</v>
      </c>
      <c r="AG432" s="2027">
        <v>0</v>
      </c>
      <c r="AH432" s="2028"/>
      <c r="AI432" s="2028"/>
      <c r="AJ432" s="2028"/>
      <c r="AK432" s="2027">
        <f t="shared" si="250"/>
        <v>0</v>
      </c>
      <c r="AL432" s="2027">
        <f t="shared" si="236"/>
        <v>0</v>
      </c>
      <c r="AM432" s="2027">
        <f t="shared" si="236"/>
        <v>0</v>
      </c>
      <c r="AN432" s="2027">
        <f t="shared" si="236"/>
        <v>0</v>
      </c>
      <c r="AO432" s="2027">
        <f t="shared" si="245"/>
        <v>0</v>
      </c>
      <c r="AP432" s="2027">
        <f t="shared" si="237"/>
        <v>0</v>
      </c>
      <c r="AQ432" s="2027">
        <f t="shared" si="237"/>
        <v>0</v>
      </c>
      <c r="AR432" s="2027">
        <f t="shared" si="237"/>
        <v>0</v>
      </c>
      <c r="AS432" s="2124">
        <f t="shared" si="268"/>
        <v>0</v>
      </c>
      <c r="AT432" s="2029">
        <f t="shared" si="238"/>
        <v>0</v>
      </c>
      <c r="AU432" s="2029">
        <f t="shared" si="238"/>
        <v>0</v>
      </c>
      <c r="AV432" s="2029">
        <f t="shared" si="238"/>
        <v>0</v>
      </c>
      <c r="AW432" s="2124">
        <f t="shared" si="264"/>
        <v>650</v>
      </c>
      <c r="AX432" s="2029">
        <f t="shared" si="257"/>
        <v>650</v>
      </c>
      <c r="AY432" s="2029">
        <f t="shared" si="257"/>
        <v>650</v>
      </c>
      <c r="AZ432" s="2029">
        <f t="shared" si="257"/>
        <v>650</v>
      </c>
      <c r="BA432" s="2124">
        <f t="shared" si="272"/>
        <v>652.73</v>
      </c>
      <c r="BB432" s="2029">
        <f t="shared" si="272"/>
        <v>652.73</v>
      </c>
      <c r="BC432" s="2029">
        <f t="shared" si="272"/>
        <v>652.73</v>
      </c>
      <c r="BD432" s="2029">
        <f t="shared" si="272"/>
        <v>652.73</v>
      </c>
      <c r="BE432" s="2030">
        <f t="shared" si="239"/>
        <v>0</v>
      </c>
      <c r="BF432" s="2030">
        <f t="shared" si="239"/>
        <v>0</v>
      </c>
      <c r="BG432" s="2030">
        <f t="shared" si="239"/>
        <v>0</v>
      </c>
      <c r="BH432" s="2030">
        <f t="shared" si="239"/>
        <v>0</v>
      </c>
      <c r="BI432" s="2030">
        <f t="shared" si="240"/>
        <v>0</v>
      </c>
      <c r="BJ432" s="2030">
        <f t="shared" si="240"/>
        <v>0</v>
      </c>
      <c r="BK432" s="2030">
        <f t="shared" si="240"/>
        <v>0</v>
      </c>
      <c r="BL432" s="2030">
        <f t="shared" si="240"/>
        <v>0</v>
      </c>
      <c r="BM432" s="2125"/>
      <c r="BN432" s="2125"/>
      <c r="BO432" s="2125"/>
      <c r="BP432" s="2125"/>
      <c r="BQ432" s="2125"/>
      <c r="BR432" s="2125"/>
      <c r="BS432" s="2125"/>
      <c r="BT432" s="2125"/>
      <c r="BU432" s="2029"/>
      <c r="BV432" s="2029"/>
      <c r="BW432" s="2029"/>
      <c r="BX432" s="2029"/>
      <c r="BY432" s="2029"/>
      <c r="BZ432" s="2032"/>
      <c r="CA432" s="1974">
        <f t="shared" si="270"/>
        <v>0</v>
      </c>
      <c r="CB432" s="1974">
        <f t="shared" si="270"/>
        <v>0</v>
      </c>
      <c r="CC432" s="1974">
        <f t="shared" si="270"/>
        <v>0</v>
      </c>
      <c r="CD432" s="1974">
        <f t="shared" si="270"/>
        <v>0</v>
      </c>
      <c r="CE432" s="1974">
        <f t="shared" si="270"/>
        <v>0</v>
      </c>
      <c r="CF432" s="2033">
        <v>0</v>
      </c>
      <c r="CG432" s="2026">
        <v>0</v>
      </c>
      <c r="CH432" s="2009">
        <f t="shared" si="270"/>
        <v>1</v>
      </c>
      <c r="CI432" s="2031">
        <f t="shared" si="270"/>
        <v>0</v>
      </c>
      <c r="CJ432" s="1974">
        <f t="shared" si="270"/>
        <v>100</v>
      </c>
      <c r="CK432" s="2031">
        <f t="shared" si="270"/>
        <v>100</v>
      </c>
      <c r="CL432" s="2026">
        <v>1</v>
      </c>
      <c r="CM432" s="2026">
        <v>1</v>
      </c>
      <c r="CN432" s="2026">
        <v>1</v>
      </c>
      <c r="CO432" s="2026">
        <v>1</v>
      </c>
      <c r="CP432" s="2035"/>
      <c r="CQ432" s="2036"/>
      <c r="CR432" s="2036"/>
      <c r="CS432" s="2036"/>
      <c r="CT432" s="2036"/>
      <c r="CU432" s="2036"/>
      <c r="CW432" s="1973">
        <v>0</v>
      </c>
      <c r="CX432" s="2037">
        <v>650</v>
      </c>
      <c r="CY432" s="2037">
        <v>650</v>
      </c>
      <c r="CZ432" s="2037">
        <v>650</v>
      </c>
      <c r="DA432" s="2037">
        <v>650</v>
      </c>
      <c r="DJ432" s="1976">
        <v>0</v>
      </c>
      <c r="DK432" s="1973">
        <v>0</v>
      </c>
      <c r="DL432" s="1973">
        <v>0</v>
      </c>
      <c r="DM432" s="1973">
        <v>0</v>
      </c>
      <c r="DO432" s="1974">
        <v>20</v>
      </c>
      <c r="DP432" s="1974">
        <v>0</v>
      </c>
      <c r="DQ432" s="1974">
        <v>0</v>
      </c>
      <c r="DR432" s="1974">
        <v>172.09</v>
      </c>
      <c r="DS432" s="2124">
        <v>0</v>
      </c>
      <c r="DT432" s="2029">
        <v>0</v>
      </c>
      <c r="DU432" s="2029">
        <v>0</v>
      </c>
      <c r="DV432" s="2029">
        <v>0</v>
      </c>
      <c r="DW432" s="2124">
        <v>650</v>
      </c>
      <c r="DX432" s="2029">
        <v>650</v>
      </c>
      <c r="DY432" s="2029">
        <v>650</v>
      </c>
      <c r="DZ432" s="2029">
        <v>650</v>
      </c>
      <c r="EA432" s="2124">
        <v>652.73</v>
      </c>
      <c r="EB432" s="2029">
        <v>652.73</v>
      </c>
      <c r="EC432" s="2029">
        <v>652.73</v>
      </c>
      <c r="ED432" s="2029">
        <v>652.73</v>
      </c>
      <c r="EE432" s="2039">
        <f t="shared" si="253"/>
        <v>0</v>
      </c>
      <c r="EF432" s="2039">
        <f t="shared" si="253"/>
        <v>0</v>
      </c>
      <c r="EG432" s="2039">
        <f t="shared" si="253"/>
        <v>0</v>
      </c>
      <c r="EH432" s="2039">
        <f t="shared" si="252"/>
        <v>0</v>
      </c>
      <c r="EI432" s="2040">
        <f t="shared" si="233"/>
        <v>0</v>
      </c>
      <c r="EJ432" s="2040">
        <f t="shared" si="233"/>
        <v>0</v>
      </c>
      <c r="EK432" s="2040">
        <f t="shared" si="233"/>
        <v>0</v>
      </c>
      <c r="EL432" s="2040">
        <f t="shared" si="233"/>
        <v>0</v>
      </c>
      <c r="EM432" s="2040">
        <f t="shared" si="233"/>
        <v>0</v>
      </c>
      <c r="EN432" s="2040">
        <f t="shared" si="233"/>
        <v>0</v>
      </c>
      <c r="EO432" s="2040">
        <f t="shared" si="271"/>
        <v>0</v>
      </c>
      <c r="EP432" s="2040">
        <f t="shared" si="271"/>
        <v>0</v>
      </c>
      <c r="EQ432" s="2040">
        <f t="shared" si="271"/>
        <v>0</v>
      </c>
      <c r="ER432" s="2040">
        <f t="shared" si="261"/>
        <v>0</v>
      </c>
      <c r="ES432" s="2040">
        <f t="shared" si="261"/>
        <v>0</v>
      </c>
      <c r="ET432" s="2040">
        <f t="shared" si="261"/>
        <v>0</v>
      </c>
      <c r="EU432" s="2039">
        <f t="shared" si="254"/>
        <v>0</v>
      </c>
      <c r="EV432" s="2039">
        <f t="shared" si="255"/>
        <v>0</v>
      </c>
    </row>
    <row r="433" spans="1:152" x14ac:dyDescent="0.25">
      <c r="A433" s="2088" t="s">
        <v>197</v>
      </c>
      <c r="B433" s="2093" t="str">
        <f t="shared" si="234"/>
        <v>BPWH4</v>
      </c>
      <c r="C433" s="1974">
        <f t="shared" si="269"/>
        <v>15</v>
      </c>
      <c r="D433" s="1974">
        <f t="shared" si="269"/>
        <v>0</v>
      </c>
      <c r="E433" s="1974">
        <f t="shared" si="269"/>
        <v>0</v>
      </c>
      <c r="F433" s="1974">
        <f t="shared" si="269"/>
        <v>75.446948711455732</v>
      </c>
      <c r="G433" s="1974" t="s">
        <v>2997</v>
      </c>
      <c r="H433" s="1974" t="s">
        <v>2997</v>
      </c>
      <c r="I433" s="2026">
        <v>0.96199999999999997</v>
      </c>
      <c r="J433" s="2026">
        <v>0.96199999999999997</v>
      </c>
      <c r="K433" s="2026">
        <v>0.96199999999999997</v>
      </c>
      <c r="L433" s="2026">
        <v>0.96199999999999997</v>
      </c>
      <c r="M433" s="2027">
        <f t="shared" si="242"/>
        <v>0</v>
      </c>
      <c r="N433" s="2027">
        <f t="shared" si="242"/>
        <v>0</v>
      </c>
      <c r="O433" s="2027">
        <f t="shared" si="242"/>
        <v>0</v>
      </c>
      <c r="P433" s="2027">
        <f t="shared" si="242"/>
        <v>0</v>
      </c>
      <c r="Q433" s="2026">
        <v>0.96199999999999997</v>
      </c>
      <c r="R433" s="2026">
        <v>0.96199999999999997</v>
      </c>
      <c r="S433" s="2026">
        <v>0.96199999999999997</v>
      </c>
      <c r="T433" s="2026">
        <v>0.96199999999999997</v>
      </c>
      <c r="U433" s="2028">
        <f t="shared" si="243"/>
        <v>0</v>
      </c>
      <c r="V433" s="2028">
        <f t="shared" si="243"/>
        <v>0</v>
      </c>
      <c r="W433" s="2028">
        <f t="shared" si="243"/>
        <v>0</v>
      </c>
      <c r="X433" s="2028">
        <f t="shared" si="243"/>
        <v>0</v>
      </c>
      <c r="Y433" s="2026">
        <v>0.96199999999999997</v>
      </c>
      <c r="Z433" s="2026">
        <v>0.96199999999999997</v>
      </c>
      <c r="AA433" s="2026">
        <v>0.96199999999999997</v>
      </c>
      <c r="AB433" s="2026">
        <v>0.96199999999999997</v>
      </c>
      <c r="AC433" s="2027">
        <f t="shared" si="244"/>
        <v>72.579964660420416</v>
      </c>
      <c r="AD433" s="2027">
        <f t="shared" si="244"/>
        <v>72.579964660420416</v>
      </c>
      <c r="AE433" s="2027">
        <f t="shared" si="244"/>
        <v>72.579964660420416</v>
      </c>
      <c r="AF433" s="2027">
        <f t="shared" si="244"/>
        <v>72.579964660420416</v>
      </c>
      <c r="AG433" s="2027">
        <v>0</v>
      </c>
      <c r="AH433" s="2028"/>
      <c r="AI433" s="2028"/>
      <c r="AJ433" s="2028"/>
      <c r="AK433" s="2027">
        <f t="shared" si="250"/>
        <v>0</v>
      </c>
      <c r="AL433" s="2027">
        <f t="shared" si="236"/>
        <v>0</v>
      </c>
      <c r="AM433" s="2027">
        <f t="shared" si="236"/>
        <v>0</v>
      </c>
      <c r="AN433" s="2027">
        <f t="shared" si="236"/>
        <v>0</v>
      </c>
      <c r="AO433" s="2027">
        <f t="shared" si="245"/>
        <v>0</v>
      </c>
      <c r="AP433" s="2027">
        <f t="shared" si="237"/>
        <v>0</v>
      </c>
      <c r="AQ433" s="2027">
        <f t="shared" si="237"/>
        <v>0</v>
      </c>
      <c r="AR433" s="2027">
        <f t="shared" si="237"/>
        <v>0</v>
      </c>
      <c r="AS433" s="2124">
        <f t="shared" si="268"/>
        <v>0</v>
      </c>
      <c r="AT433" s="2029">
        <f t="shared" si="238"/>
        <v>0</v>
      </c>
      <c r="AU433" s="2029">
        <f t="shared" si="238"/>
        <v>0</v>
      </c>
      <c r="AV433" s="2029">
        <f t="shared" si="238"/>
        <v>0</v>
      </c>
      <c r="AW433" s="2124">
        <f t="shared" si="264"/>
        <v>910</v>
      </c>
      <c r="AX433" s="2029">
        <f t="shared" si="257"/>
        <v>910</v>
      </c>
      <c r="AY433" s="2029">
        <f t="shared" si="257"/>
        <v>910</v>
      </c>
      <c r="AZ433" s="2029">
        <f t="shared" si="257"/>
        <v>910</v>
      </c>
      <c r="BA433" s="2124">
        <f t="shared" si="272"/>
        <v>1135</v>
      </c>
      <c r="BB433" s="2029">
        <f t="shared" si="272"/>
        <v>1135</v>
      </c>
      <c r="BC433" s="2029">
        <f t="shared" si="272"/>
        <v>1135</v>
      </c>
      <c r="BD433" s="2029">
        <f t="shared" si="272"/>
        <v>1135</v>
      </c>
      <c r="BE433" s="2030">
        <f t="shared" si="239"/>
        <v>0</v>
      </c>
      <c r="BF433" s="2030">
        <f t="shared" si="239"/>
        <v>0</v>
      </c>
      <c r="BG433" s="2030">
        <f t="shared" si="239"/>
        <v>0</v>
      </c>
      <c r="BH433" s="2030">
        <f t="shared" si="239"/>
        <v>0</v>
      </c>
      <c r="BI433" s="2030">
        <f t="shared" si="240"/>
        <v>0</v>
      </c>
      <c r="BJ433" s="2030">
        <f t="shared" si="240"/>
        <v>0</v>
      </c>
      <c r="BK433" s="2030">
        <f t="shared" si="240"/>
        <v>0</v>
      </c>
      <c r="BL433" s="2030">
        <f t="shared" si="240"/>
        <v>0</v>
      </c>
      <c r="BM433" s="2125"/>
      <c r="BN433" s="2125"/>
      <c r="BO433" s="2125"/>
      <c r="BP433" s="2125"/>
      <c r="BQ433" s="2125"/>
      <c r="BR433" s="2125"/>
      <c r="BS433" s="2125"/>
      <c r="BT433" s="2125"/>
      <c r="BU433" s="2029"/>
      <c r="BV433" s="2029"/>
      <c r="BW433" s="2029"/>
      <c r="BX433" s="2029"/>
      <c r="BY433" s="2029"/>
      <c r="BZ433" s="2032"/>
      <c r="CA433" s="1974">
        <f t="shared" si="270"/>
        <v>0</v>
      </c>
      <c r="CB433" s="1974">
        <f t="shared" si="270"/>
        <v>0</v>
      </c>
      <c r="CC433" s="1974">
        <f t="shared" si="270"/>
        <v>0</v>
      </c>
      <c r="CD433" s="1974">
        <f t="shared" si="270"/>
        <v>0</v>
      </c>
      <c r="CE433" s="1974">
        <f t="shared" si="270"/>
        <v>0</v>
      </c>
      <c r="CF433" s="2033">
        <v>0</v>
      </c>
      <c r="CG433" s="2026">
        <v>0</v>
      </c>
      <c r="CH433" s="2009">
        <f t="shared" si="270"/>
        <v>0</v>
      </c>
      <c r="CI433" s="2031">
        <f t="shared" si="270"/>
        <v>0</v>
      </c>
      <c r="CJ433" s="1974">
        <f t="shared" si="270"/>
        <v>0</v>
      </c>
      <c r="CK433" s="2031">
        <f t="shared" si="270"/>
        <v>0</v>
      </c>
      <c r="CL433" s="2026">
        <v>1</v>
      </c>
      <c r="CM433" s="2026">
        <v>1</v>
      </c>
      <c r="CN433" s="2026">
        <v>1</v>
      </c>
      <c r="CO433" s="2026">
        <v>1</v>
      </c>
      <c r="CP433" s="2035"/>
      <c r="CQ433" s="2036"/>
      <c r="CR433" s="2036"/>
      <c r="CS433" s="2036"/>
      <c r="CT433" s="2036"/>
      <c r="CU433" s="2036"/>
      <c r="CW433" s="1973">
        <v>0</v>
      </c>
      <c r="CX433" s="2037">
        <v>910</v>
      </c>
      <c r="CY433" s="2037">
        <v>910</v>
      </c>
      <c r="CZ433" s="2037">
        <v>910</v>
      </c>
      <c r="DA433" s="2037">
        <v>910</v>
      </c>
      <c r="DJ433" s="1976">
        <v>0</v>
      </c>
      <c r="DK433" s="1973">
        <v>0</v>
      </c>
      <c r="DL433" s="1973">
        <v>0</v>
      </c>
      <c r="DM433" s="1973">
        <v>0</v>
      </c>
      <c r="DO433" s="1974">
        <v>15</v>
      </c>
      <c r="DP433" s="1974">
        <v>0</v>
      </c>
      <c r="DQ433" s="1974">
        <v>0</v>
      </c>
      <c r="DR433" s="1974">
        <v>75.446948711455732</v>
      </c>
      <c r="DS433" s="2124">
        <v>0</v>
      </c>
      <c r="DT433" s="2029">
        <v>0</v>
      </c>
      <c r="DU433" s="2029">
        <v>0</v>
      </c>
      <c r="DV433" s="2029">
        <v>0</v>
      </c>
      <c r="DW433" s="2124">
        <v>910</v>
      </c>
      <c r="DX433" s="2029">
        <v>910</v>
      </c>
      <c r="DY433" s="2029">
        <v>910</v>
      </c>
      <c r="DZ433" s="2029">
        <v>910</v>
      </c>
      <c r="EA433" s="2124">
        <v>1135</v>
      </c>
      <c r="EB433" s="2029">
        <v>1135</v>
      </c>
      <c r="EC433" s="2029">
        <v>1135</v>
      </c>
      <c r="ED433" s="2029">
        <v>1135</v>
      </c>
      <c r="EE433" s="2039">
        <f t="shared" si="253"/>
        <v>0</v>
      </c>
      <c r="EF433" s="2039">
        <f t="shared" si="253"/>
        <v>0</v>
      </c>
      <c r="EG433" s="2039">
        <f t="shared" si="253"/>
        <v>0</v>
      </c>
      <c r="EH433" s="2039">
        <f t="shared" si="252"/>
        <v>0</v>
      </c>
      <c r="EI433" s="2040">
        <f t="shared" si="233"/>
        <v>0</v>
      </c>
      <c r="EJ433" s="2040">
        <f t="shared" si="233"/>
        <v>0</v>
      </c>
      <c r="EK433" s="2040">
        <f t="shared" si="233"/>
        <v>0</v>
      </c>
      <c r="EL433" s="2040">
        <f t="shared" si="233"/>
        <v>0</v>
      </c>
      <c r="EM433" s="2040">
        <f t="shared" si="233"/>
        <v>0</v>
      </c>
      <c r="EN433" s="2040">
        <f t="shared" si="233"/>
        <v>0</v>
      </c>
      <c r="EO433" s="2040">
        <f t="shared" si="271"/>
        <v>0</v>
      </c>
      <c r="EP433" s="2040">
        <f t="shared" si="271"/>
        <v>0</v>
      </c>
      <c r="EQ433" s="2040">
        <f t="shared" si="271"/>
        <v>0</v>
      </c>
      <c r="ER433" s="2040">
        <f t="shared" si="261"/>
        <v>0</v>
      </c>
      <c r="ES433" s="2040">
        <f t="shared" si="261"/>
        <v>0</v>
      </c>
      <c r="ET433" s="2040">
        <f t="shared" si="261"/>
        <v>0</v>
      </c>
      <c r="EU433" s="2039">
        <f t="shared" si="254"/>
        <v>0</v>
      </c>
      <c r="EV433" s="2039">
        <f t="shared" si="255"/>
        <v>0</v>
      </c>
    </row>
    <row r="434" spans="1:152" x14ac:dyDescent="0.25">
      <c r="A434" s="2088" t="s">
        <v>198</v>
      </c>
      <c r="B434" s="2093" t="str">
        <f t="shared" si="234"/>
        <v>BPWH5</v>
      </c>
      <c r="C434" s="1974">
        <f t="shared" si="269"/>
        <v>15</v>
      </c>
      <c r="D434" s="1974">
        <f t="shared" si="269"/>
        <v>0</v>
      </c>
      <c r="E434" s="1974">
        <f t="shared" si="269"/>
        <v>0</v>
      </c>
      <c r="F434" s="1974">
        <f t="shared" si="269"/>
        <v>62.806322167483358</v>
      </c>
      <c r="G434" s="1974" t="s">
        <v>2997</v>
      </c>
      <c r="H434" s="1974" t="s">
        <v>2997</v>
      </c>
      <c r="I434" s="2026">
        <v>0.96199999999999997</v>
      </c>
      <c r="J434" s="2026">
        <v>0.96199999999999997</v>
      </c>
      <c r="K434" s="2026">
        <v>0.96199999999999997</v>
      </c>
      <c r="L434" s="2026">
        <v>0.96199999999999997</v>
      </c>
      <c r="M434" s="2027">
        <f t="shared" si="242"/>
        <v>0</v>
      </c>
      <c r="N434" s="2027">
        <f t="shared" si="242"/>
        <v>0</v>
      </c>
      <c r="O434" s="2027">
        <f t="shared" si="242"/>
        <v>0</v>
      </c>
      <c r="P434" s="2027">
        <f t="shared" si="242"/>
        <v>0</v>
      </c>
      <c r="Q434" s="2026">
        <v>0.96199999999999997</v>
      </c>
      <c r="R434" s="2026">
        <v>0.96199999999999997</v>
      </c>
      <c r="S434" s="2026">
        <v>0.96199999999999997</v>
      </c>
      <c r="T434" s="2026">
        <v>0.96199999999999997</v>
      </c>
      <c r="U434" s="2028">
        <f t="shared" si="243"/>
        <v>0</v>
      </c>
      <c r="V434" s="2028">
        <f t="shared" si="243"/>
        <v>0</v>
      </c>
      <c r="W434" s="2028">
        <f t="shared" si="243"/>
        <v>0</v>
      </c>
      <c r="X434" s="2028">
        <f t="shared" si="243"/>
        <v>0</v>
      </c>
      <c r="Y434" s="2026">
        <v>0.96199999999999997</v>
      </c>
      <c r="Z434" s="2026">
        <v>0.96199999999999997</v>
      </c>
      <c r="AA434" s="2026">
        <v>0.96199999999999997</v>
      </c>
      <c r="AB434" s="2026">
        <v>0.96199999999999997</v>
      </c>
      <c r="AC434" s="2027">
        <f t="shared" si="244"/>
        <v>60.419681925118986</v>
      </c>
      <c r="AD434" s="2027">
        <f t="shared" si="244"/>
        <v>60.419681925118986</v>
      </c>
      <c r="AE434" s="2027">
        <f t="shared" si="244"/>
        <v>60.419681925118986</v>
      </c>
      <c r="AF434" s="2027">
        <f t="shared" si="244"/>
        <v>60.419681925118986</v>
      </c>
      <c r="AG434" s="2027">
        <v>0</v>
      </c>
      <c r="AH434" s="2028"/>
      <c r="AI434" s="2028"/>
      <c r="AJ434" s="2028"/>
      <c r="AK434" s="2027">
        <f t="shared" si="250"/>
        <v>0</v>
      </c>
      <c r="AL434" s="2027">
        <f t="shared" si="236"/>
        <v>0</v>
      </c>
      <c r="AM434" s="2027">
        <f t="shared" si="236"/>
        <v>0</v>
      </c>
      <c r="AN434" s="2027">
        <f t="shared" si="236"/>
        <v>0</v>
      </c>
      <c r="AO434" s="2027">
        <f t="shared" si="245"/>
        <v>0</v>
      </c>
      <c r="AP434" s="2027">
        <f t="shared" si="237"/>
        <v>0</v>
      </c>
      <c r="AQ434" s="2027">
        <f t="shared" si="237"/>
        <v>0</v>
      </c>
      <c r="AR434" s="2027">
        <f t="shared" si="237"/>
        <v>0</v>
      </c>
      <c r="AS434" s="2124">
        <f t="shared" si="268"/>
        <v>0</v>
      </c>
      <c r="AT434" s="2029">
        <f t="shared" si="238"/>
        <v>0</v>
      </c>
      <c r="AU434" s="2029">
        <f t="shared" si="238"/>
        <v>0</v>
      </c>
      <c r="AV434" s="2029">
        <f t="shared" si="238"/>
        <v>0</v>
      </c>
      <c r="AW434" s="2124">
        <f t="shared" si="264"/>
        <v>780</v>
      </c>
      <c r="AX434" s="2029">
        <f t="shared" si="257"/>
        <v>780</v>
      </c>
      <c r="AY434" s="2029">
        <f t="shared" si="257"/>
        <v>780</v>
      </c>
      <c r="AZ434" s="2029">
        <f t="shared" si="257"/>
        <v>780</v>
      </c>
      <c r="BA434" s="2124">
        <f t="shared" si="272"/>
        <v>879</v>
      </c>
      <c r="BB434" s="2029">
        <f t="shared" si="272"/>
        <v>879</v>
      </c>
      <c r="BC434" s="2029">
        <f t="shared" si="272"/>
        <v>879</v>
      </c>
      <c r="BD434" s="2029">
        <f t="shared" si="272"/>
        <v>879</v>
      </c>
      <c r="BE434" s="2030">
        <f t="shared" si="239"/>
        <v>0</v>
      </c>
      <c r="BF434" s="2030">
        <f t="shared" si="239"/>
        <v>0</v>
      </c>
      <c r="BG434" s="2030">
        <f t="shared" si="239"/>
        <v>0</v>
      </c>
      <c r="BH434" s="2030">
        <f t="shared" si="239"/>
        <v>0</v>
      </c>
      <c r="BI434" s="2030">
        <f t="shared" si="240"/>
        <v>0</v>
      </c>
      <c r="BJ434" s="2030">
        <f t="shared" si="240"/>
        <v>0</v>
      </c>
      <c r="BK434" s="2030">
        <f t="shared" si="240"/>
        <v>0</v>
      </c>
      <c r="BL434" s="2030">
        <f t="shared" si="240"/>
        <v>0</v>
      </c>
      <c r="BM434" s="2125"/>
      <c r="BN434" s="2125"/>
      <c r="BO434" s="2125"/>
      <c r="BP434" s="2125"/>
      <c r="BQ434" s="2125"/>
      <c r="BR434" s="2125"/>
      <c r="BS434" s="2125"/>
      <c r="BT434" s="2125"/>
      <c r="BU434" s="2029"/>
      <c r="BV434" s="2029"/>
      <c r="BW434" s="2029"/>
      <c r="BX434" s="2029"/>
      <c r="BY434" s="2029"/>
      <c r="BZ434" s="2032"/>
      <c r="CA434" s="1974">
        <f t="shared" si="270"/>
        <v>0</v>
      </c>
      <c r="CB434" s="1974">
        <f t="shared" si="270"/>
        <v>0</v>
      </c>
      <c r="CC434" s="1974">
        <f t="shared" si="270"/>
        <v>0</v>
      </c>
      <c r="CD434" s="1974">
        <f t="shared" si="270"/>
        <v>0</v>
      </c>
      <c r="CE434" s="1974">
        <f t="shared" si="270"/>
        <v>0</v>
      </c>
      <c r="CF434" s="2033">
        <v>0</v>
      </c>
      <c r="CG434" s="2026">
        <v>0</v>
      </c>
      <c r="CH434" s="2009">
        <f t="shared" si="270"/>
        <v>0</v>
      </c>
      <c r="CI434" s="2031">
        <f t="shared" si="270"/>
        <v>0</v>
      </c>
      <c r="CJ434" s="1974">
        <f t="shared" si="270"/>
        <v>0</v>
      </c>
      <c r="CK434" s="2031">
        <f t="shared" si="270"/>
        <v>0</v>
      </c>
      <c r="CL434" s="2026">
        <v>1</v>
      </c>
      <c r="CM434" s="2026">
        <v>1</v>
      </c>
      <c r="CN434" s="2026">
        <v>1</v>
      </c>
      <c r="CO434" s="2026">
        <v>1</v>
      </c>
      <c r="CP434" s="2035"/>
      <c r="CQ434" s="2036"/>
      <c r="CR434" s="2036"/>
      <c r="CS434" s="2036"/>
      <c r="CT434" s="2036"/>
      <c r="CU434" s="2036"/>
      <c r="CW434" s="1973">
        <v>0</v>
      </c>
      <c r="CX434" s="2037">
        <v>780</v>
      </c>
      <c r="CY434" s="2037">
        <v>780</v>
      </c>
      <c r="CZ434" s="2037">
        <v>780</v>
      </c>
      <c r="DA434" s="2037">
        <v>780</v>
      </c>
      <c r="DJ434" s="1976">
        <v>0</v>
      </c>
      <c r="DK434" s="1973">
        <v>0</v>
      </c>
      <c r="DL434" s="1973">
        <v>0</v>
      </c>
      <c r="DM434" s="1973">
        <v>0</v>
      </c>
      <c r="DO434" s="1974">
        <v>15</v>
      </c>
      <c r="DP434" s="1974">
        <v>0</v>
      </c>
      <c r="DQ434" s="1974">
        <v>0</v>
      </c>
      <c r="DR434" s="1974">
        <v>62.806322167483358</v>
      </c>
      <c r="DS434" s="2124">
        <v>0</v>
      </c>
      <c r="DT434" s="2029">
        <v>0</v>
      </c>
      <c r="DU434" s="2029">
        <v>0</v>
      </c>
      <c r="DV434" s="2029">
        <v>0</v>
      </c>
      <c r="DW434" s="2124">
        <v>780</v>
      </c>
      <c r="DX434" s="2029">
        <v>780</v>
      </c>
      <c r="DY434" s="2029">
        <v>780</v>
      </c>
      <c r="DZ434" s="2029">
        <v>780</v>
      </c>
      <c r="EA434" s="2124">
        <v>879</v>
      </c>
      <c r="EB434" s="2029">
        <v>879</v>
      </c>
      <c r="EC434" s="2029">
        <v>879</v>
      </c>
      <c r="ED434" s="2029">
        <v>879</v>
      </c>
      <c r="EE434" s="2039">
        <f t="shared" si="253"/>
        <v>0</v>
      </c>
      <c r="EF434" s="2039">
        <f t="shared" si="253"/>
        <v>0</v>
      </c>
      <c r="EG434" s="2039">
        <f t="shared" si="253"/>
        <v>0</v>
      </c>
      <c r="EH434" s="2039">
        <f t="shared" si="252"/>
        <v>0</v>
      </c>
      <c r="EI434" s="2040">
        <f t="shared" si="233"/>
        <v>0</v>
      </c>
      <c r="EJ434" s="2040">
        <f t="shared" si="233"/>
        <v>0</v>
      </c>
      <c r="EK434" s="2040">
        <f t="shared" si="233"/>
        <v>0</v>
      </c>
      <c r="EL434" s="2040">
        <f t="shared" si="233"/>
        <v>0</v>
      </c>
      <c r="EM434" s="2040">
        <f t="shared" si="233"/>
        <v>0</v>
      </c>
      <c r="EN434" s="2040">
        <f t="shared" si="233"/>
        <v>0</v>
      </c>
      <c r="EO434" s="2040">
        <f t="shared" si="271"/>
        <v>0</v>
      </c>
      <c r="EP434" s="2040">
        <f t="shared" si="271"/>
        <v>0</v>
      </c>
      <c r="EQ434" s="2040">
        <f t="shared" si="271"/>
        <v>0</v>
      </c>
      <c r="ER434" s="2040">
        <f t="shared" si="261"/>
        <v>0</v>
      </c>
      <c r="ES434" s="2040">
        <f t="shared" si="261"/>
        <v>0</v>
      </c>
      <c r="ET434" s="2040">
        <f t="shared" si="261"/>
        <v>0</v>
      </c>
      <c r="EU434" s="2039">
        <f t="shared" si="254"/>
        <v>0</v>
      </c>
      <c r="EV434" s="2039">
        <f t="shared" si="255"/>
        <v>0</v>
      </c>
    </row>
    <row r="435" spans="1:152" x14ac:dyDescent="0.25">
      <c r="A435" s="2088" t="s">
        <v>199</v>
      </c>
      <c r="B435" s="2093" t="str">
        <f t="shared" si="234"/>
        <v>BPCK9</v>
      </c>
      <c r="C435" s="1974">
        <f t="shared" si="269"/>
        <v>12</v>
      </c>
      <c r="D435" s="1974">
        <f t="shared" si="269"/>
        <v>0</v>
      </c>
      <c r="E435" s="1974">
        <f t="shared" si="269"/>
        <v>0</v>
      </c>
      <c r="F435" s="1974">
        <f t="shared" si="269"/>
        <v>1321</v>
      </c>
      <c r="G435" s="1974" t="s">
        <v>2997</v>
      </c>
      <c r="H435" s="1974" t="s">
        <v>2997</v>
      </c>
      <c r="I435" s="2026">
        <v>0.96199999999999997</v>
      </c>
      <c r="J435" s="2026">
        <v>0.96199999999999997</v>
      </c>
      <c r="K435" s="2026">
        <v>0.96199999999999997</v>
      </c>
      <c r="L435" s="2026">
        <v>0.96199999999999997</v>
      </c>
      <c r="M435" s="2027">
        <f t="shared" si="242"/>
        <v>0</v>
      </c>
      <c r="N435" s="2027">
        <f t="shared" si="242"/>
        <v>0</v>
      </c>
      <c r="O435" s="2027">
        <f t="shared" si="242"/>
        <v>0</v>
      </c>
      <c r="P435" s="2027">
        <f t="shared" si="242"/>
        <v>0</v>
      </c>
      <c r="Q435" s="2026">
        <v>0.96199999999999997</v>
      </c>
      <c r="R435" s="2026">
        <v>0.96199999999999997</v>
      </c>
      <c r="S435" s="2026">
        <v>0.96199999999999997</v>
      </c>
      <c r="T435" s="2026">
        <v>0.96199999999999997</v>
      </c>
      <c r="U435" s="2028">
        <f t="shared" si="243"/>
        <v>0</v>
      </c>
      <c r="V435" s="2028">
        <f t="shared" si="243"/>
        <v>0</v>
      </c>
      <c r="W435" s="2028">
        <f t="shared" si="243"/>
        <v>0</v>
      </c>
      <c r="X435" s="2028">
        <f t="shared" si="243"/>
        <v>0</v>
      </c>
      <c r="Y435" s="2026">
        <v>0.96199999999999997</v>
      </c>
      <c r="Z435" s="2026">
        <v>0.96199999999999997</v>
      </c>
      <c r="AA435" s="2026">
        <v>0.96199999999999997</v>
      </c>
      <c r="AB435" s="2026">
        <v>0.96199999999999997</v>
      </c>
      <c r="AC435" s="2027">
        <f t="shared" si="244"/>
        <v>1270.8019999999999</v>
      </c>
      <c r="AD435" s="2027">
        <f t="shared" si="244"/>
        <v>1270.8019999999999</v>
      </c>
      <c r="AE435" s="2027">
        <f t="shared" si="244"/>
        <v>1270.8019999999999</v>
      </c>
      <c r="AF435" s="2027">
        <f t="shared" si="244"/>
        <v>1270.8019999999999</v>
      </c>
      <c r="AG435" s="2027">
        <v>0</v>
      </c>
      <c r="AH435" s="2028"/>
      <c r="AI435" s="2028"/>
      <c r="AJ435" s="2028"/>
      <c r="AK435" s="2027">
        <f t="shared" si="250"/>
        <v>0</v>
      </c>
      <c r="AL435" s="2027">
        <f t="shared" si="236"/>
        <v>0</v>
      </c>
      <c r="AM435" s="2027">
        <f t="shared" si="236"/>
        <v>0</v>
      </c>
      <c r="AN435" s="2027">
        <f t="shared" si="236"/>
        <v>0</v>
      </c>
      <c r="AO435" s="2027">
        <f t="shared" si="245"/>
        <v>0</v>
      </c>
      <c r="AP435" s="2027">
        <f t="shared" si="237"/>
        <v>0</v>
      </c>
      <c r="AQ435" s="2027">
        <f t="shared" si="237"/>
        <v>0</v>
      </c>
      <c r="AR435" s="2027">
        <f t="shared" si="237"/>
        <v>0</v>
      </c>
      <c r="AS435" s="2124">
        <f t="shared" si="268"/>
        <v>0</v>
      </c>
      <c r="AT435" s="2029">
        <f t="shared" si="238"/>
        <v>0</v>
      </c>
      <c r="AU435" s="2029">
        <f t="shared" si="238"/>
        <v>0</v>
      </c>
      <c r="AV435" s="2029">
        <f t="shared" si="238"/>
        <v>0</v>
      </c>
      <c r="AW435" s="2124">
        <f t="shared" si="264"/>
        <v>1300</v>
      </c>
      <c r="AX435" s="2029">
        <f t="shared" si="257"/>
        <v>1300</v>
      </c>
      <c r="AY435" s="2029">
        <f t="shared" si="257"/>
        <v>1300</v>
      </c>
      <c r="AZ435" s="2029">
        <f t="shared" si="257"/>
        <v>1300</v>
      </c>
      <c r="BA435" s="2124">
        <f t="shared" si="272"/>
        <v>998</v>
      </c>
      <c r="BB435" s="2029">
        <f t="shared" si="272"/>
        <v>998</v>
      </c>
      <c r="BC435" s="2029">
        <f t="shared" si="272"/>
        <v>998</v>
      </c>
      <c r="BD435" s="2029">
        <f t="shared" si="272"/>
        <v>998</v>
      </c>
      <c r="BE435" s="2030">
        <f t="shared" si="239"/>
        <v>0</v>
      </c>
      <c r="BF435" s="2030">
        <f t="shared" si="239"/>
        <v>0</v>
      </c>
      <c r="BG435" s="2030">
        <f t="shared" si="239"/>
        <v>0</v>
      </c>
      <c r="BH435" s="2030">
        <f t="shared" si="239"/>
        <v>0</v>
      </c>
      <c r="BI435" s="2030">
        <f t="shared" si="240"/>
        <v>0</v>
      </c>
      <c r="BJ435" s="2030">
        <f t="shared" si="240"/>
        <v>0</v>
      </c>
      <c r="BK435" s="2030">
        <f t="shared" si="240"/>
        <v>0</v>
      </c>
      <c r="BL435" s="2030">
        <f t="shared" si="240"/>
        <v>0</v>
      </c>
      <c r="BM435" s="2125"/>
      <c r="BN435" s="2125"/>
      <c r="BO435" s="2125"/>
      <c r="BP435" s="2125"/>
      <c r="BQ435" s="2125"/>
      <c r="BR435" s="2125"/>
      <c r="BS435" s="2125"/>
      <c r="BT435" s="2125"/>
      <c r="BU435" s="2029"/>
      <c r="BV435" s="2029"/>
      <c r="BW435" s="2029"/>
      <c r="BX435" s="2029"/>
      <c r="BY435" s="2029"/>
      <c r="BZ435" s="2032"/>
      <c r="CA435" s="1974">
        <f t="shared" si="270"/>
        <v>76703</v>
      </c>
      <c r="CB435" s="1974">
        <f t="shared" si="270"/>
        <v>0</v>
      </c>
      <c r="CC435" s="1974">
        <f t="shared" si="270"/>
        <v>0</v>
      </c>
      <c r="CD435" s="1974">
        <f t="shared" si="270"/>
        <v>0</v>
      </c>
      <c r="CE435" s="1974">
        <f t="shared" si="270"/>
        <v>0</v>
      </c>
      <c r="CF435" s="2033">
        <v>0</v>
      </c>
      <c r="CG435" s="2026">
        <v>0</v>
      </c>
      <c r="CH435" s="2009">
        <f t="shared" si="270"/>
        <v>0</v>
      </c>
      <c r="CI435" s="2031">
        <f t="shared" si="270"/>
        <v>0</v>
      </c>
      <c r="CJ435" s="1974">
        <f t="shared" si="270"/>
        <v>0</v>
      </c>
      <c r="CK435" s="2031">
        <f t="shared" si="270"/>
        <v>0</v>
      </c>
      <c r="CL435" s="2026">
        <v>1</v>
      </c>
      <c r="CM435" s="2026">
        <v>1</v>
      </c>
      <c r="CN435" s="2026">
        <v>1</v>
      </c>
      <c r="CO435" s="2026">
        <v>1</v>
      </c>
      <c r="CP435" s="2035"/>
      <c r="CQ435" s="2036"/>
      <c r="CR435" s="2036"/>
      <c r="CS435" s="2036"/>
      <c r="CT435" s="2036"/>
      <c r="CU435" s="2036"/>
      <c r="CW435" s="1973">
        <v>0</v>
      </c>
      <c r="CX435" s="2037">
        <v>1300</v>
      </c>
      <c r="CY435" s="2037">
        <v>1300</v>
      </c>
      <c r="CZ435" s="2037">
        <v>1300</v>
      </c>
      <c r="DA435" s="2037">
        <v>1300</v>
      </c>
      <c r="DJ435" s="1976">
        <v>0</v>
      </c>
      <c r="DK435" s="1973">
        <v>0</v>
      </c>
      <c r="DL435" s="1973">
        <v>0</v>
      </c>
      <c r="DM435" s="1973">
        <v>0</v>
      </c>
      <c r="DO435" s="1974">
        <v>12</v>
      </c>
      <c r="DP435" s="1974">
        <v>0</v>
      </c>
      <c r="DQ435" s="1974">
        <v>0</v>
      </c>
      <c r="DR435" s="1974">
        <v>1321</v>
      </c>
      <c r="DS435" s="2124">
        <v>0</v>
      </c>
      <c r="DT435" s="2029">
        <v>0</v>
      </c>
      <c r="DU435" s="2029">
        <v>0</v>
      </c>
      <c r="DV435" s="2029">
        <v>0</v>
      </c>
      <c r="DW435" s="2124">
        <v>1300</v>
      </c>
      <c r="DX435" s="2029">
        <v>1300</v>
      </c>
      <c r="DY435" s="2029">
        <v>1300</v>
      </c>
      <c r="DZ435" s="2029">
        <v>1300</v>
      </c>
      <c r="EA435" s="2124">
        <v>998</v>
      </c>
      <c r="EB435" s="2029">
        <v>998</v>
      </c>
      <c r="EC435" s="2029">
        <v>998</v>
      </c>
      <c r="ED435" s="2029">
        <v>998</v>
      </c>
      <c r="EE435" s="2039">
        <f t="shared" si="253"/>
        <v>0</v>
      </c>
      <c r="EF435" s="2039">
        <f t="shared" si="253"/>
        <v>0</v>
      </c>
      <c r="EG435" s="2039">
        <f t="shared" si="253"/>
        <v>0</v>
      </c>
      <c r="EH435" s="2039">
        <f t="shared" si="252"/>
        <v>0</v>
      </c>
      <c r="EI435" s="2040">
        <f t="shared" si="233"/>
        <v>0</v>
      </c>
      <c r="EJ435" s="2040">
        <f t="shared" si="233"/>
        <v>0</v>
      </c>
      <c r="EK435" s="2040">
        <f t="shared" si="233"/>
        <v>0</v>
      </c>
      <c r="EL435" s="2040">
        <f t="shared" si="233"/>
        <v>0</v>
      </c>
      <c r="EM435" s="2040">
        <f t="shared" si="233"/>
        <v>0</v>
      </c>
      <c r="EN435" s="2040">
        <f t="shared" si="233"/>
        <v>0</v>
      </c>
      <c r="EO435" s="2040">
        <f t="shared" si="271"/>
        <v>0</v>
      </c>
      <c r="EP435" s="2040">
        <f t="shared" si="271"/>
        <v>0</v>
      </c>
      <c r="EQ435" s="2040">
        <f t="shared" si="271"/>
        <v>0</v>
      </c>
      <c r="ER435" s="2040">
        <f t="shared" si="261"/>
        <v>0</v>
      </c>
      <c r="ES435" s="2040">
        <f t="shared" si="261"/>
        <v>0</v>
      </c>
      <c r="ET435" s="2040">
        <f t="shared" si="261"/>
        <v>0</v>
      </c>
      <c r="EU435" s="2039">
        <f t="shared" si="254"/>
        <v>0</v>
      </c>
      <c r="EV435" s="2039">
        <f t="shared" si="255"/>
        <v>0</v>
      </c>
    </row>
    <row r="436" spans="1:152" x14ac:dyDescent="0.25">
      <c r="A436" s="2088" t="s">
        <v>200</v>
      </c>
      <c r="B436" s="2093" t="str">
        <f t="shared" si="234"/>
        <v>BPCK10</v>
      </c>
      <c r="C436" s="1974">
        <f t="shared" si="269"/>
        <v>12</v>
      </c>
      <c r="D436" s="1974">
        <f t="shared" si="269"/>
        <v>0</v>
      </c>
      <c r="E436" s="1974">
        <f t="shared" si="269"/>
        <v>0</v>
      </c>
      <c r="F436" s="1974">
        <f t="shared" si="269"/>
        <v>1591</v>
      </c>
      <c r="G436" s="1974" t="s">
        <v>2997</v>
      </c>
      <c r="H436" s="1974" t="s">
        <v>2997</v>
      </c>
      <c r="I436" s="2026">
        <v>0.96199999999999997</v>
      </c>
      <c r="J436" s="2026">
        <v>0.96199999999999997</v>
      </c>
      <c r="K436" s="2026">
        <v>0.96199999999999997</v>
      </c>
      <c r="L436" s="2026">
        <v>0.96199999999999997</v>
      </c>
      <c r="M436" s="2027">
        <f t="shared" si="242"/>
        <v>0</v>
      </c>
      <c r="N436" s="2027">
        <f t="shared" si="242"/>
        <v>0</v>
      </c>
      <c r="O436" s="2027">
        <f t="shared" si="242"/>
        <v>0</v>
      </c>
      <c r="P436" s="2027">
        <f t="shared" si="242"/>
        <v>0</v>
      </c>
      <c r="Q436" s="2026">
        <v>0.96199999999999997</v>
      </c>
      <c r="R436" s="2026">
        <v>0.96199999999999997</v>
      </c>
      <c r="S436" s="2026">
        <v>0.96199999999999997</v>
      </c>
      <c r="T436" s="2026">
        <v>0.96199999999999997</v>
      </c>
      <c r="U436" s="2028">
        <f t="shared" si="243"/>
        <v>0</v>
      </c>
      <c r="V436" s="2028">
        <f t="shared" si="243"/>
        <v>0</v>
      </c>
      <c r="W436" s="2028">
        <f t="shared" si="243"/>
        <v>0</v>
      </c>
      <c r="X436" s="2028">
        <f t="shared" si="243"/>
        <v>0</v>
      </c>
      <c r="Y436" s="2026">
        <v>0.96199999999999997</v>
      </c>
      <c r="Z436" s="2026">
        <v>0.96199999999999997</v>
      </c>
      <c r="AA436" s="2026">
        <v>0.96199999999999997</v>
      </c>
      <c r="AB436" s="2026">
        <v>0.96199999999999997</v>
      </c>
      <c r="AC436" s="2027">
        <f t="shared" si="244"/>
        <v>1530.5419999999999</v>
      </c>
      <c r="AD436" s="2027">
        <f t="shared" si="244"/>
        <v>1530.5419999999999</v>
      </c>
      <c r="AE436" s="2027">
        <f t="shared" si="244"/>
        <v>1530.5419999999999</v>
      </c>
      <c r="AF436" s="2027">
        <f t="shared" si="244"/>
        <v>1530.5419999999999</v>
      </c>
      <c r="AG436" s="2027">
        <v>0</v>
      </c>
      <c r="AH436" s="2028"/>
      <c r="AI436" s="2028"/>
      <c r="AJ436" s="2028"/>
      <c r="AK436" s="2027">
        <f t="shared" si="250"/>
        <v>0</v>
      </c>
      <c r="AL436" s="2027">
        <f t="shared" si="236"/>
        <v>0</v>
      </c>
      <c r="AM436" s="2027">
        <f t="shared" si="236"/>
        <v>0</v>
      </c>
      <c r="AN436" s="2027">
        <f t="shared" si="236"/>
        <v>0</v>
      </c>
      <c r="AO436" s="2027">
        <f t="shared" si="245"/>
        <v>0</v>
      </c>
      <c r="AP436" s="2027">
        <f t="shared" si="237"/>
        <v>0</v>
      </c>
      <c r="AQ436" s="2027">
        <f t="shared" si="237"/>
        <v>0</v>
      </c>
      <c r="AR436" s="2027">
        <f t="shared" si="237"/>
        <v>0</v>
      </c>
      <c r="AS436" s="2124">
        <f t="shared" si="268"/>
        <v>0</v>
      </c>
      <c r="AT436" s="2029">
        <f t="shared" si="238"/>
        <v>0</v>
      </c>
      <c r="AU436" s="2029">
        <f t="shared" si="238"/>
        <v>0</v>
      </c>
      <c r="AV436" s="2029">
        <f t="shared" si="238"/>
        <v>0</v>
      </c>
      <c r="AW436" s="2124">
        <f t="shared" si="264"/>
        <v>1560</v>
      </c>
      <c r="AX436" s="2029">
        <f t="shared" si="257"/>
        <v>1560</v>
      </c>
      <c r="AY436" s="2029">
        <f t="shared" si="257"/>
        <v>1560</v>
      </c>
      <c r="AZ436" s="2029">
        <f t="shared" si="257"/>
        <v>1560</v>
      </c>
      <c r="BA436" s="2124">
        <f t="shared" si="272"/>
        <v>998</v>
      </c>
      <c r="BB436" s="2029">
        <f t="shared" si="272"/>
        <v>998</v>
      </c>
      <c r="BC436" s="2029">
        <f t="shared" si="272"/>
        <v>998</v>
      </c>
      <c r="BD436" s="2029">
        <f t="shared" si="272"/>
        <v>998</v>
      </c>
      <c r="BE436" s="2030">
        <f t="shared" si="239"/>
        <v>0</v>
      </c>
      <c r="BF436" s="2030">
        <f t="shared" si="239"/>
        <v>0</v>
      </c>
      <c r="BG436" s="2030">
        <f t="shared" si="239"/>
        <v>0</v>
      </c>
      <c r="BH436" s="2030">
        <f t="shared" si="239"/>
        <v>0</v>
      </c>
      <c r="BI436" s="2030">
        <f t="shared" si="240"/>
        <v>0</v>
      </c>
      <c r="BJ436" s="2030">
        <f t="shared" si="240"/>
        <v>0</v>
      </c>
      <c r="BK436" s="2030">
        <f t="shared" si="240"/>
        <v>0</v>
      </c>
      <c r="BL436" s="2030">
        <f t="shared" si="240"/>
        <v>0</v>
      </c>
      <c r="BM436" s="2125"/>
      <c r="BN436" s="2125"/>
      <c r="BO436" s="2125"/>
      <c r="BP436" s="2125"/>
      <c r="BQ436" s="2125"/>
      <c r="BR436" s="2125"/>
      <c r="BS436" s="2125"/>
      <c r="BT436" s="2125"/>
      <c r="BU436" s="2029"/>
      <c r="BV436" s="2029"/>
      <c r="BW436" s="2029"/>
      <c r="BX436" s="2029"/>
      <c r="BY436" s="2029"/>
      <c r="BZ436" s="2032"/>
      <c r="CA436" s="1974">
        <f t="shared" si="270"/>
        <v>76703</v>
      </c>
      <c r="CB436" s="1974">
        <f t="shared" si="270"/>
        <v>0</v>
      </c>
      <c r="CC436" s="1974">
        <f t="shared" si="270"/>
        <v>0</v>
      </c>
      <c r="CD436" s="1974">
        <f t="shared" si="270"/>
        <v>0</v>
      </c>
      <c r="CE436" s="1974">
        <f t="shared" si="270"/>
        <v>0</v>
      </c>
      <c r="CF436" s="2033">
        <v>0</v>
      </c>
      <c r="CG436" s="2026">
        <v>0</v>
      </c>
      <c r="CH436" s="2009">
        <f t="shared" si="270"/>
        <v>0</v>
      </c>
      <c r="CI436" s="2031">
        <f t="shared" si="270"/>
        <v>0</v>
      </c>
      <c r="CJ436" s="1974">
        <f t="shared" si="270"/>
        <v>0</v>
      </c>
      <c r="CK436" s="2031">
        <f t="shared" si="270"/>
        <v>0</v>
      </c>
      <c r="CL436" s="2026">
        <v>1</v>
      </c>
      <c r="CM436" s="2026">
        <v>1</v>
      </c>
      <c r="CN436" s="2026">
        <v>1</v>
      </c>
      <c r="CO436" s="2026">
        <v>1</v>
      </c>
      <c r="CP436" s="2035"/>
      <c r="CQ436" s="2036"/>
      <c r="CR436" s="2036"/>
      <c r="CS436" s="2036"/>
      <c r="CT436" s="2036"/>
      <c r="CU436" s="2036"/>
      <c r="CW436" s="1973">
        <v>0</v>
      </c>
      <c r="CX436" s="2037">
        <v>1560</v>
      </c>
      <c r="CY436" s="2037">
        <v>1560</v>
      </c>
      <c r="CZ436" s="2037">
        <v>1560</v>
      </c>
      <c r="DA436" s="2037">
        <v>1560</v>
      </c>
      <c r="DJ436" s="1976">
        <v>0</v>
      </c>
      <c r="DK436" s="1973">
        <v>0</v>
      </c>
      <c r="DL436" s="1973">
        <v>0</v>
      </c>
      <c r="DM436" s="1973">
        <v>0</v>
      </c>
      <c r="DO436" s="1974">
        <v>12</v>
      </c>
      <c r="DP436" s="1974">
        <v>0</v>
      </c>
      <c r="DQ436" s="1974">
        <v>0</v>
      </c>
      <c r="DR436" s="1974">
        <v>1591</v>
      </c>
      <c r="DS436" s="2124">
        <v>0</v>
      </c>
      <c r="DT436" s="2029">
        <v>0</v>
      </c>
      <c r="DU436" s="2029">
        <v>0</v>
      </c>
      <c r="DV436" s="2029">
        <v>0</v>
      </c>
      <c r="DW436" s="2124">
        <v>1560</v>
      </c>
      <c r="DX436" s="2029">
        <v>1560</v>
      </c>
      <c r="DY436" s="2029">
        <v>1560</v>
      </c>
      <c r="DZ436" s="2029">
        <v>1560</v>
      </c>
      <c r="EA436" s="2124">
        <v>998</v>
      </c>
      <c r="EB436" s="2029">
        <v>998</v>
      </c>
      <c r="EC436" s="2029">
        <v>998</v>
      </c>
      <c r="ED436" s="2029">
        <v>998</v>
      </c>
      <c r="EE436" s="2039">
        <f t="shared" si="253"/>
        <v>0</v>
      </c>
      <c r="EF436" s="2039">
        <f t="shared" si="253"/>
        <v>0</v>
      </c>
      <c r="EG436" s="2039">
        <f t="shared" si="253"/>
        <v>0</v>
      </c>
      <c r="EH436" s="2039">
        <f t="shared" si="252"/>
        <v>0</v>
      </c>
      <c r="EI436" s="2040">
        <f t="shared" si="233"/>
        <v>0</v>
      </c>
      <c r="EJ436" s="2040">
        <f t="shared" si="233"/>
        <v>0</v>
      </c>
      <c r="EK436" s="2040">
        <f t="shared" si="233"/>
        <v>0</v>
      </c>
      <c r="EL436" s="2040">
        <f t="shared" si="233"/>
        <v>0</v>
      </c>
      <c r="EM436" s="2040">
        <f t="shared" si="233"/>
        <v>0</v>
      </c>
      <c r="EN436" s="2040">
        <f t="shared" si="233"/>
        <v>0</v>
      </c>
      <c r="EO436" s="2040">
        <f t="shared" si="271"/>
        <v>0</v>
      </c>
      <c r="EP436" s="2040">
        <f t="shared" si="271"/>
        <v>0</v>
      </c>
      <c r="EQ436" s="2040">
        <f t="shared" si="271"/>
        <v>0</v>
      </c>
      <c r="ER436" s="2040">
        <f t="shared" si="261"/>
        <v>0</v>
      </c>
      <c r="ES436" s="2040">
        <f t="shared" si="261"/>
        <v>0</v>
      </c>
      <c r="ET436" s="2040">
        <f t="shared" si="261"/>
        <v>0</v>
      </c>
      <c r="EU436" s="2039">
        <f t="shared" si="254"/>
        <v>0</v>
      </c>
      <c r="EV436" s="2039">
        <f t="shared" si="255"/>
        <v>0</v>
      </c>
    </row>
    <row r="437" spans="1:152" x14ac:dyDescent="0.25">
      <c r="A437" s="2088" t="s">
        <v>201</v>
      </c>
      <c r="B437" s="2093" t="str">
        <f t="shared" si="234"/>
        <v>BPCK11</v>
      </c>
      <c r="C437" s="1974">
        <f t="shared" si="269"/>
        <v>12</v>
      </c>
      <c r="D437" s="1974">
        <f t="shared" si="269"/>
        <v>0</v>
      </c>
      <c r="E437" s="1974">
        <f t="shared" si="269"/>
        <v>0</v>
      </c>
      <c r="F437" s="1974">
        <f t="shared" si="269"/>
        <v>149</v>
      </c>
      <c r="G437" s="1974" t="s">
        <v>2997</v>
      </c>
      <c r="H437" s="1974" t="s">
        <v>2997</v>
      </c>
      <c r="I437" s="2026">
        <v>0.96199999999999997</v>
      </c>
      <c r="J437" s="2026">
        <v>0.96199999999999997</v>
      </c>
      <c r="K437" s="2026">
        <v>0.96199999999999997</v>
      </c>
      <c r="L437" s="2026">
        <v>0.96199999999999997</v>
      </c>
      <c r="M437" s="2027">
        <f t="shared" si="242"/>
        <v>0</v>
      </c>
      <c r="N437" s="2027">
        <f t="shared" si="242"/>
        <v>0</v>
      </c>
      <c r="O437" s="2027">
        <f t="shared" si="242"/>
        <v>0</v>
      </c>
      <c r="P437" s="2027">
        <f t="shared" si="242"/>
        <v>0</v>
      </c>
      <c r="Q437" s="2026">
        <v>0.96199999999999997</v>
      </c>
      <c r="R437" s="2026">
        <v>0.96199999999999997</v>
      </c>
      <c r="S437" s="2026">
        <v>0.96199999999999997</v>
      </c>
      <c r="T437" s="2026">
        <v>0.96199999999999997</v>
      </c>
      <c r="U437" s="2028">
        <f t="shared" si="243"/>
        <v>0</v>
      </c>
      <c r="V437" s="2028">
        <f t="shared" si="243"/>
        <v>0</v>
      </c>
      <c r="W437" s="2028">
        <f t="shared" si="243"/>
        <v>0</v>
      </c>
      <c r="X437" s="2028">
        <f t="shared" si="243"/>
        <v>0</v>
      </c>
      <c r="Y437" s="2026">
        <v>0.96199999999999997</v>
      </c>
      <c r="Z437" s="2026">
        <v>0.96199999999999997</v>
      </c>
      <c r="AA437" s="2026">
        <v>0.96199999999999997</v>
      </c>
      <c r="AB437" s="2026">
        <v>0.96199999999999997</v>
      </c>
      <c r="AC437" s="2027">
        <f t="shared" si="244"/>
        <v>143.33799999999999</v>
      </c>
      <c r="AD437" s="2027">
        <f t="shared" si="244"/>
        <v>143.33799999999999</v>
      </c>
      <c r="AE437" s="2027">
        <f t="shared" si="244"/>
        <v>143.33799999999999</v>
      </c>
      <c r="AF437" s="2027">
        <f t="shared" si="244"/>
        <v>143.33799999999999</v>
      </c>
      <c r="AG437" s="2027">
        <v>0</v>
      </c>
      <c r="AH437" s="2028"/>
      <c r="AI437" s="2028"/>
      <c r="AJ437" s="2028"/>
      <c r="AK437" s="2027">
        <f t="shared" si="250"/>
        <v>0</v>
      </c>
      <c r="AL437" s="2027">
        <f t="shared" si="236"/>
        <v>0</v>
      </c>
      <c r="AM437" s="2027">
        <f t="shared" si="236"/>
        <v>0</v>
      </c>
      <c r="AN437" s="2027">
        <f t="shared" si="236"/>
        <v>0</v>
      </c>
      <c r="AO437" s="2027">
        <f t="shared" si="245"/>
        <v>0</v>
      </c>
      <c r="AP437" s="2027">
        <f t="shared" si="237"/>
        <v>0</v>
      </c>
      <c r="AQ437" s="2027">
        <f t="shared" si="237"/>
        <v>0</v>
      </c>
      <c r="AR437" s="2027">
        <f t="shared" si="237"/>
        <v>0</v>
      </c>
      <c r="AS437" s="2124">
        <f t="shared" si="268"/>
        <v>0</v>
      </c>
      <c r="AT437" s="2029">
        <f t="shared" si="238"/>
        <v>0</v>
      </c>
      <c r="AU437" s="2029">
        <f t="shared" si="238"/>
        <v>0</v>
      </c>
      <c r="AV437" s="2029">
        <f t="shared" si="238"/>
        <v>0</v>
      </c>
      <c r="AW437" s="2124">
        <f t="shared" si="264"/>
        <v>260</v>
      </c>
      <c r="AX437" s="2029">
        <f t="shared" si="257"/>
        <v>260</v>
      </c>
      <c r="AY437" s="2029">
        <f t="shared" si="257"/>
        <v>260</v>
      </c>
      <c r="AZ437" s="2029">
        <f t="shared" si="257"/>
        <v>260</v>
      </c>
      <c r="BA437" s="2124">
        <f t="shared" si="272"/>
        <v>60</v>
      </c>
      <c r="BB437" s="2029">
        <f t="shared" si="272"/>
        <v>60</v>
      </c>
      <c r="BC437" s="2029">
        <f t="shared" si="272"/>
        <v>60</v>
      </c>
      <c r="BD437" s="2029">
        <f t="shared" si="272"/>
        <v>60</v>
      </c>
      <c r="BE437" s="2030">
        <f t="shared" si="239"/>
        <v>0</v>
      </c>
      <c r="BF437" s="2030">
        <f t="shared" si="239"/>
        <v>0</v>
      </c>
      <c r="BG437" s="2030">
        <f t="shared" si="239"/>
        <v>0</v>
      </c>
      <c r="BH437" s="2030">
        <f t="shared" si="239"/>
        <v>0</v>
      </c>
      <c r="BI437" s="2030">
        <f t="shared" si="240"/>
        <v>0</v>
      </c>
      <c r="BJ437" s="2030">
        <f t="shared" si="240"/>
        <v>0</v>
      </c>
      <c r="BK437" s="2030">
        <f t="shared" si="240"/>
        <v>0</v>
      </c>
      <c r="BL437" s="2030">
        <f t="shared" si="240"/>
        <v>0</v>
      </c>
      <c r="BM437" s="2125"/>
      <c r="BN437" s="2125"/>
      <c r="BO437" s="2125"/>
      <c r="BP437" s="2125"/>
      <c r="BQ437" s="2125"/>
      <c r="BR437" s="2125"/>
      <c r="BS437" s="2125"/>
      <c r="BT437" s="2125"/>
      <c r="BU437" s="2029"/>
      <c r="BV437" s="2029"/>
      <c r="BW437" s="2029"/>
      <c r="BX437" s="2029"/>
      <c r="BY437" s="2029"/>
      <c r="BZ437" s="2032"/>
      <c r="CA437" s="1974">
        <f t="shared" si="270"/>
        <v>0</v>
      </c>
      <c r="CB437" s="1974">
        <f t="shared" si="270"/>
        <v>0</v>
      </c>
      <c r="CC437" s="1974">
        <f t="shared" si="270"/>
        <v>0</v>
      </c>
      <c r="CD437" s="1974">
        <f t="shared" si="270"/>
        <v>0</v>
      </c>
      <c r="CE437" s="1974">
        <f t="shared" si="270"/>
        <v>0</v>
      </c>
      <c r="CF437" s="2033">
        <v>0</v>
      </c>
      <c r="CG437" s="2026">
        <v>0</v>
      </c>
      <c r="CH437" s="2009">
        <f t="shared" si="270"/>
        <v>0</v>
      </c>
      <c r="CI437" s="2031">
        <f t="shared" si="270"/>
        <v>0</v>
      </c>
      <c r="CJ437" s="1974">
        <f t="shared" si="270"/>
        <v>0</v>
      </c>
      <c r="CK437" s="2031">
        <f t="shared" si="270"/>
        <v>0</v>
      </c>
      <c r="CL437" s="2026">
        <v>1</v>
      </c>
      <c r="CM437" s="2026">
        <v>1</v>
      </c>
      <c r="CN437" s="2026">
        <v>1</v>
      </c>
      <c r="CO437" s="2026">
        <v>1</v>
      </c>
      <c r="CP437" s="2035"/>
      <c r="CQ437" s="2036"/>
      <c r="CR437" s="2036"/>
      <c r="CS437" s="2036"/>
      <c r="CT437" s="2036"/>
      <c r="CU437" s="2036"/>
      <c r="CW437" s="1973">
        <v>0</v>
      </c>
      <c r="CX437" s="2037">
        <v>260</v>
      </c>
      <c r="CY437" s="2037">
        <v>260</v>
      </c>
      <c r="CZ437" s="2037">
        <v>260</v>
      </c>
      <c r="DA437" s="2037">
        <v>260</v>
      </c>
      <c r="DJ437" s="1976">
        <v>0</v>
      </c>
      <c r="DK437" s="1973">
        <v>0</v>
      </c>
      <c r="DL437" s="1973">
        <v>0</v>
      </c>
      <c r="DM437" s="1973">
        <v>0</v>
      </c>
      <c r="DO437" s="1974">
        <v>12</v>
      </c>
      <c r="DP437" s="1974">
        <v>0</v>
      </c>
      <c r="DQ437" s="1974">
        <v>0</v>
      </c>
      <c r="DR437" s="1974">
        <v>149</v>
      </c>
      <c r="DS437" s="2124">
        <v>0</v>
      </c>
      <c r="DT437" s="2029">
        <v>0</v>
      </c>
      <c r="DU437" s="2029">
        <v>0</v>
      </c>
      <c r="DV437" s="2029">
        <v>0</v>
      </c>
      <c r="DW437" s="2124">
        <v>260</v>
      </c>
      <c r="DX437" s="2029">
        <v>260</v>
      </c>
      <c r="DY437" s="2029">
        <v>260</v>
      </c>
      <c r="DZ437" s="2029">
        <v>260</v>
      </c>
      <c r="EA437" s="2124">
        <v>60</v>
      </c>
      <c r="EB437" s="2029">
        <v>60</v>
      </c>
      <c r="EC437" s="2029">
        <v>60</v>
      </c>
      <c r="ED437" s="2029">
        <v>60</v>
      </c>
      <c r="EE437" s="2039">
        <f t="shared" si="253"/>
        <v>0</v>
      </c>
      <c r="EF437" s="2039">
        <f t="shared" si="253"/>
        <v>0</v>
      </c>
      <c r="EG437" s="2039">
        <f t="shared" si="253"/>
        <v>0</v>
      </c>
      <c r="EH437" s="2039">
        <f t="shared" si="252"/>
        <v>0</v>
      </c>
      <c r="EI437" s="2040">
        <f t="shared" si="233"/>
        <v>0</v>
      </c>
      <c r="EJ437" s="2040">
        <f t="shared" si="233"/>
        <v>0</v>
      </c>
      <c r="EK437" s="2040">
        <f t="shared" si="233"/>
        <v>0</v>
      </c>
      <c r="EL437" s="2040">
        <f t="shared" si="233"/>
        <v>0</v>
      </c>
      <c r="EM437" s="2040">
        <f t="shared" si="233"/>
        <v>0</v>
      </c>
      <c r="EN437" s="2040">
        <f t="shared" si="233"/>
        <v>0</v>
      </c>
      <c r="EO437" s="2040">
        <f t="shared" si="271"/>
        <v>0</v>
      </c>
      <c r="EP437" s="2040">
        <f t="shared" si="271"/>
        <v>0</v>
      </c>
      <c r="EQ437" s="2040">
        <f t="shared" si="271"/>
        <v>0</v>
      </c>
      <c r="ER437" s="2040">
        <f t="shared" si="261"/>
        <v>0</v>
      </c>
      <c r="ES437" s="2040">
        <f t="shared" si="261"/>
        <v>0</v>
      </c>
      <c r="ET437" s="2040">
        <f t="shared" si="261"/>
        <v>0</v>
      </c>
      <c r="EU437" s="2039">
        <f t="shared" si="254"/>
        <v>0</v>
      </c>
      <c r="EV437" s="2039">
        <f t="shared" si="255"/>
        <v>0</v>
      </c>
    </row>
    <row r="438" spans="1:152" x14ac:dyDescent="0.25">
      <c r="A438" s="2088" t="s">
        <v>202</v>
      </c>
      <c r="B438" s="2093" t="str">
        <f t="shared" si="234"/>
        <v>BPCK12</v>
      </c>
      <c r="C438" s="1974">
        <f t="shared" si="269"/>
        <v>15</v>
      </c>
      <c r="D438" s="1974">
        <f t="shared" si="269"/>
        <v>0</v>
      </c>
      <c r="E438" s="1974">
        <f t="shared" si="269"/>
        <v>0</v>
      </c>
      <c r="F438" s="1974">
        <f t="shared" si="269"/>
        <v>505.2346714285714</v>
      </c>
      <c r="G438" s="1974" t="s">
        <v>2997</v>
      </c>
      <c r="H438" s="1974" t="s">
        <v>2997</v>
      </c>
      <c r="I438" s="2026">
        <v>0.96199999999999997</v>
      </c>
      <c r="J438" s="2026">
        <v>0.96199999999999997</v>
      </c>
      <c r="K438" s="2026">
        <v>0.96199999999999997</v>
      </c>
      <c r="L438" s="2026">
        <v>0.96199999999999997</v>
      </c>
      <c r="M438" s="2027">
        <f t="shared" si="242"/>
        <v>0</v>
      </c>
      <c r="N438" s="2027">
        <f t="shared" si="242"/>
        <v>0</v>
      </c>
      <c r="O438" s="2027">
        <f t="shared" si="242"/>
        <v>0</v>
      </c>
      <c r="P438" s="2027">
        <f t="shared" si="242"/>
        <v>0</v>
      </c>
      <c r="Q438" s="2026">
        <v>0.96199999999999997</v>
      </c>
      <c r="R438" s="2026">
        <v>0.96199999999999997</v>
      </c>
      <c r="S438" s="2026">
        <v>0.96199999999999997</v>
      </c>
      <c r="T438" s="2026">
        <v>0.96199999999999997</v>
      </c>
      <c r="U438" s="2028">
        <f t="shared" si="243"/>
        <v>0</v>
      </c>
      <c r="V438" s="2028">
        <f t="shared" si="243"/>
        <v>0</v>
      </c>
      <c r="W438" s="2028">
        <f t="shared" si="243"/>
        <v>0</v>
      </c>
      <c r="X438" s="2028">
        <f t="shared" si="243"/>
        <v>0</v>
      </c>
      <c r="Y438" s="2026">
        <v>0.96199999999999997</v>
      </c>
      <c r="Z438" s="2026">
        <v>0.96199999999999997</v>
      </c>
      <c r="AA438" s="2026">
        <v>0.96199999999999997</v>
      </c>
      <c r="AB438" s="2026">
        <v>0.96199999999999997</v>
      </c>
      <c r="AC438" s="2027">
        <f t="shared" si="244"/>
        <v>486.03575391428569</v>
      </c>
      <c r="AD438" s="2027">
        <f t="shared" si="244"/>
        <v>486.03575391428569</v>
      </c>
      <c r="AE438" s="2027">
        <f t="shared" si="244"/>
        <v>486.03575391428569</v>
      </c>
      <c r="AF438" s="2027">
        <f t="shared" si="244"/>
        <v>486.03575391428569</v>
      </c>
      <c r="AG438" s="2027">
        <v>0</v>
      </c>
      <c r="AH438" s="2028"/>
      <c r="AI438" s="2028"/>
      <c r="AJ438" s="2028"/>
      <c r="AK438" s="2027">
        <f t="shared" si="250"/>
        <v>0</v>
      </c>
      <c r="AL438" s="2027">
        <f t="shared" si="236"/>
        <v>0</v>
      </c>
      <c r="AM438" s="2027">
        <f t="shared" si="236"/>
        <v>0</v>
      </c>
      <c r="AN438" s="2027">
        <f t="shared" si="236"/>
        <v>0</v>
      </c>
      <c r="AO438" s="2027">
        <f t="shared" si="245"/>
        <v>0</v>
      </c>
      <c r="AP438" s="2027">
        <f t="shared" si="237"/>
        <v>0</v>
      </c>
      <c r="AQ438" s="2027">
        <f t="shared" si="237"/>
        <v>0</v>
      </c>
      <c r="AR438" s="2027">
        <f t="shared" si="237"/>
        <v>0</v>
      </c>
      <c r="AS438" s="2124">
        <f t="shared" si="268"/>
        <v>0</v>
      </c>
      <c r="AT438" s="2029">
        <f t="shared" si="238"/>
        <v>0</v>
      </c>
      <c r="AU438" s="2029">
        <f t="shared" si="238"/>
        <v>0</v>
      </c>
      <c r="AV438" s="2029">
        <f t="shared" si="238"/>
        <v>0</v>
      </c>
      <c r="AW438" s="2124">
        <f t="shared" si="264"/>
        <v>1560</v>
      </c>
      <c r="AX438" s="2029">
        <f t="shared" si="257"/>
        <v>1560</v>
      </c>
      <c r="AY438" s="2029">
        <f t="shared" si="257"/>
        <v>1560</v>
      </c>
      <c r="AZ438" s="2029">
        <f t="shared" si="257"/>
        <v>1560</v>
      </c>
      <c r="BA438" s="2124">
        <f t="shared" si="272"/>
        <v>1200</v>
      </c>
      <c r="BB438" s="2029">
        <f t="shared" si="272"/>
        <v>1200</v>
      </c>
      <c r="BC438" s="2029">
        <f t="shared" si="272"/>
        <v>1200</v>
      </c>
      <c r="BD438" s="2029">
        <f t="shared" si="272"/>
        <v>1200</v>
      </c>
      <c r="BE438" s="2030">
        <f t="shared" si="239"/>
        <v>0</v>
      </c>
      <c r="BF438" s="2030">
        <f t="shared" si="239"/>
        <v>0</v>
      </c>
      <c r="BG438" s="2030">
        <f t="shared" si="239"/>
        <v>0</v>
      </c>
      <c r="BH438" s="2030">
        <f t="shared" si="239"/>
        <v>0</v>
      </c>
      <c r="BI438" s="2030">
        <f t="shared" si="240"/>
        <v>0</v>
      </c>
      <c r="BJ438" s="2030">
        <f t="shared" si="240"/>
        <v>0</v>
      </c>
      <c r="BK438" s="2030">
        <f t="shared" si="240"/>
        <v>0</v>
      </c>
      <c r="BL438" s="2030">
        <f t="shared" si="240"/>
        <v>0</v>
      </c>
      <c r="BM438" s="2125"/>
      <c r="BN438" s="2125"/>
      <c r="BO438" s="2125"/>
      <c r="BP438" s="2125"/>
      <c r="BQ438" s="2125"/>
      <c r="BR438" s="2125"/>
      <c r="BS438" s="2125"/>
      <c r="BT438" s="2125"/>
      <c r="BU438" s="2029"/>
      <c r="BV438" s="2029"/>
      <c r="BW438" s="2029"/>
      <c r="BX438" s="2029"/>
      <c r="BY438" s="2029"/>
      <c r="BZ438" s="2032"/>
      <c r="CA438" s="1974">
        <f t="shared" si="270"/>
        <v>0</v>
      </c>
      <c r="CB438" s="1974">
        <f t="shared" si="270"/>
        <v>0</v>
      </c>
      <c r="CC438" s="1974">
        <f t="shared" si="270"/>
        <v>0</v>
      </c>
      <c r="CD438" s="1974">
        <f t="shared" si="270"/>
        <v>0</v>
      </c>
      <c r="CE438" s="1974">
        <f t="shared" si="270"/>
        <v>0</v>
      </c>
      <c r="CF438" s="2033">
        <v>0</v>
      </c>
      <c r="CG438" s="2026">
        <v>0</v>
      </c>
      <c r="CH438" s="2009">
        <f t="shared" si="270"/>
        <v>0</v>
      </c>
      <c r="CI438" s="2031">
        <f t="shared" si="270"/>
        <v>0</v>
      </c>
      <c r="CJ438" s="1974">
        <f t="shared" si="270"/>
        <v>0</v>
      </c>
      <c r="CK438" s="2031">
        <f t="shared" si="270"/>
        <v>0</v>
      </c>
      <c r="CL438" s="2026">
        <v>1</v>
      </c>
      <c r="CM438" s="2026">
        <v>1</v>
      </c>
      <c r="CN438" s="2026">
        <v>1</v>
      </c>
      <c r="CO438" s="2026">
        <v>1</v>
      </c>
      <c r="CP438" s="2035"/>
      <c r="CQ438" s="2036"/>
      <c r="CR438" s="2036"/>
      <c r="CS438" s="2036"/>
      <c r="CT438" s="2036"/>
      <c r="CU438" s="2036"/>
      <c r="CW438" s="1973">
        <v>0</v>
      </c>
      <c r="CX438" s="2037">
        <v>1560</v>
      </c>
      <c r="CY438" s="2037">
        <v>1560</v>
      </c>
      <c r="CZ438" s="2037">
        <v>1560</v>
      </c>
      <c r="DA438" s="2037">
        <v>1560</v>
      </c>
      <c r="DJ438" s="1976">
        <v>0</v>
      </c>
      <c r="DK438" s="1973">
        <v>0</v>
      </c>
      <c r="DL438" s="1973">
        <v>0</v>
      </c>
      <c r="DM438" s="1973">
        <v>0</v>
      </c>
      <c r="DO438" s="1974">
        <v>15</v>
      </c>
      <c r="DP438" s="1974">
        <v>0</v>
      </c>
      <c r="DQ438" s="1974">
        <v>0</v>
      </c>
      <c r="DR438" s="1974">
        <v>505.2346714285714</v>
      </c>
      <c r="DS438" s="2124">
        <v>0</v>
      </c>
      <c r="DT438" s="2029">
        <v>0</v>
      </c>
      <c r="DU438" s="2029">
        <v>0</v>
      </c>
      <c r="DV438" s="2029">
        <v>0</v>
      </c>
      <c r="DW438" s="2124">
        <v>1560</v>
      </c>
      <c r="DX438" s="2029">
        <v>1560</v>
      </c>
      <c r="DY438" s="2029">
        <v>1560</v>
      </c>
      <c r="DZ438" s="2029">
        <v>1560</v>
      </c>
      <c r="EA438" s="2124">
        <v>1200</v>
      </c>
      <c r="EB438" s="2029">
        <v>1200</v>
      </c>
      <c r="EC438" s="2029">
        <v>1200</v>
      </c>
      <c r="ED438" s="2029">
        <v>1200</v>
      </c>
      <c r="EE438" s="2039">
        <f t="shared" si="253"/>
        <v>0</v>
      </c>
      <c r="EF438" s="2039">
        <f t="shared" si="253"/>
        <v>0</v>
      </c>
      <c r="EG438" s="2039">
        <f t="shared" si="253"/>
        <v>0</v>
      </c>
      <c r="EH438" s="2039">
        <f t="shared" si="252"/>
        <v>0</v>
      </c>
      <c r="EI438" s="2040">
        <f t="shared" si="233"/>
        <v>0</v>
      </c>
      <c r="EJ438" s="2040">
        <f t="shared" si="233"/>
        <v>0</v>
      </c>
      <c r="EK438" s="2040">
        <f t="shared" si="233"/>
        <v>0</v>
      </c>
      <c r="EL438" s="2040">
        <f t="shared" si="233"/>
        <v>0</v>
      </c>
      <c r="EM438" s="2040">
        <f t="shared" si="233"/>
        <v>0</v>
      </c>
      <c r="EN438" s="2040">
        <f t="shared" si="233"/>
        <v>0</v>
      </c>
      <c r="EO438" s="2040">
        <f t="shared" si="271"/>
        <v>0</v>
      </c>
      <c r="EP438" s="2040">
        <f t="shared" si="271"/>
        <v>0</v>
      </c>
      <c r="EQ438" s="2040">
        <f t="shared" si="271"/>
        <v>0</v>
      </c>
      <c r="ER438" s="2040">
        <f t="shared" si="261"/>
        <v>0</v>
      </c>
      <c r="ES438" s="2040">
        <f t="shared" si="261"/>
        <v>0</v>
      </c>
      <c r="ET438" s="2040">
        <f t="shared" si="261"/>
        <v>0</v>
      </c>
      <c r="EU438" s="2039">
        <f t="shared" si="254"/>
        <v>0</v>
      </c>
      <c r="EV438" s="2039">
        <f t="shared" si="255"/>
        <v>0</v>
      </c>
    </row>
    <row r="439" spans="1:152" x14ac:dyDescent="0.25">
      <c r="A439" s="2088" t="s">
        <v>203</v>
      </c>
      <c r="B439" s="2093" t="str">
        <f t="shared" si="234"/>
        <v>BPST1</v>
      </c>
      <c r="C439" s="1974">
        <f t="shared" si="269"/>
        <v>6</v>
      </c>
      <c r="D439" s="1974">
        <f t="shared" si="269"/>
        <v>0</v>
      </c>
      <c r="E439" s="1974">
        <f t="shared" si="269"/>
        <v>0</v>
      </c>
      <c r="F439" s="1974">
        <f t="shared" si="269"/>
        <v>0</v>
      </c>
      <c r="G439" s="1974" t="s">
        <v>2997</v>
      </c>
      <c r="H439" s="1974" t="s">
        <v>2997</v>
      </c>
      <c r="I439" s="2026">
        <v>0.96199999999999997</v>
      </c>
      <c r="J439" s="2026">
        <v>0.96199999999999997</v>
      </c>
      <c r="K439" s="2026">
        <v>0.96199999999999997</v>
      </c>
      <c r="L439" s="2026">
        <v>0.96199999999999997</v>
      </c>
      <c r="M439" s="2027">
        <f t="shared" si="242"/>
        <v>0</v>
      </c>
      <c r="N439" s="2027">
        <f t="shared" si="242"/>
        <v>0</v>
      </c>
      <c r="O439" s="2027">
        <f t="shared" si="242"/>
        <v>0</v>
      </c>
      <c r="P439" s="2027">
        <f t="shared" si="242"/>
        <v>0</v>
      </c>
      <c r="Q439" s="2026">
        <v>0.96199999999999997</v>
      </c>
      <c r="R439" s="2026">
        <v>0.96199999999999997</v>
      </c>
      <c r="S439" s="2026">
        <v>0.96199999999999997</v>
      </c>
      <c r="T439" s="2026">
        <v>0.96199999999999997</v>
      </c>
      <c r="U439" s="2028">
        <f t="shared" si="243"/>
        <v>0</v>
      </c>
      <c r="V439" s="2028">
        <f t="shared" si="243"/>
        <v>0</v>
      </c>
      <c r="W439" s="2028">
        <f t="shared" si="243"/>
        <v>0</v>
      </c>
      <c r="X439" s="2028">
        <f t="shared" si="243"/>
        <v>0</v>
      </c>
      <c r="Y439" s="2026">
        <v>0.96199999999999997</v>
      </c>
      <c r="Z439" s="2026">
        <v>0.96199999999999997</v>
      </c>
      <c r="AA439" s="2026">
        <v>0.96199999999999997</v>
      </c>
      <c r="AB439" s="2026">
        <v>0.96199999999999997</v>
      </c>
      <c r="AC439" s="2027">
        <f t="shared" si="244"/>
        <v>0</v>
      </c>
      <c r="AD439" s="2027">
        <f t="shared" si="244"/>
        <v>0</v>
      </c>
      <c r="AE439" s="2027">
        <f t="shared" si="244"/>
        <v>0</v>
      </c>
      <c r="AF439" s="2027">
        <f t="shared" si="244"/>
        <v>0</v>
      </c>
      <c r="AG439" s="2027">
        <v>0</v>
      </c>
      <c r="AH439" s="2028"/>
      <c r="AI439" s="2028"/>
      <c r="AJ439" s="2028"/>
      <c r="AK439" s="2027">
        <f t="shared" si="250"/>
        <v>0</v>
      </c>
      <c r="AL439" s="2027">
        <f t="shared" si="236"/>
        <v>0</v>
      </c>
      <c r="AM439" s="2027">
        <f t="shared" si="236"/>
        <v>0</v>
      </c>
      <c r="AN439" s="2027">
        <f t="shared" si="236"/>
        <v>0</v>
      </c>
      <c r="AO439" s="2027">
        <f t="shared" si="245"/>
        <v>0</v>
      </c>
      <c r="AP439" s="2027">
        <f t="shared" si="237"/>
        <v>0</v>
      </c>
      <c r="AQ439" s="2027">
        <f t="shared" si="237"/>
        <v>0</v>
      </c>
      <c r="AR439" s="2027">
        <f t="shared" si="237"/>
        <v>0</v>
      </c>
      <c r="AS439" s="2124">
        <f t="shared" si="268"/>
        <v>0</v>
      </c>
      <c r="AT439" s="2029">
        <f t="shared" si="238"/>
        <v>0</v>
      </c>
      <c r="AU439" s="2029">
        <f t="shared" si="238"/>
        <v>0</v>
      </c>
      <c r="AV439" s="2029">
        <f t="shared" si="238"/>
        <v>0</v>
      </c>
      <c r="AW439" s="2124">
        <f t="shared" si="264"/>
        <v>52</v>
      </c>
      <c r="AX439" s="2029">
        <f t="shared" si="257"/>
        <v>52</v>
      </c>
      <c r="AY439" s="2029">
        <f t="shared" si="257"/>
        <v>52</v>
      </c>
      <c r="AZ439" s="2029">
        <f t="shared" si="257"/>
        <v>52</v>
      </c>
      <c r="BA439" s="2124">
        <f t="shared" si="272"/>
        <v>20</v>
      </c>
      <c r="BB439" s="2029">
        <f t="shared" si="272"/>
        <v>20</v>
      </c>
      <c r="BC439" s="2029">
        <f t="shared" si="272"/>
        <v>20</v>
      </c>
      <c r="BD439" s="2029">
        <f t="shared" si="272"/>
        <v>20</v>
      </c>
      <c r="BE439" s="2030">
        <f t="shared" si="239"/>
        <v>0</v>
      </c>
      <c r="BF439" s="2030">
        <f t="shared" si="239"/>
        <v>0</v>
      </c>
      <c r="BG439" s="2030">
        <f t="shared" si="239"/>
        <v>0</v>
      </c>
      <c r="BH439" s="2030">
        <f t="shared" si="239"/>
        <v>0</v>
      </c>
      <c r="BI439" s="2030">
        <f t="shared" si="240"/>
        <v>0</v>
      </c>
      <c r="BJ439" s="2030">
        <f t="shared" si="240"/>
        <v>0</v>
      </c>
      <c r="BK439" s="2030">
        <f t="shared" si="240"/>
        <v>0</v>
      </c>
      <c r="BL439" s="2030">
        <f t="shared" si="240"/>
        <v>0</v>
      </c>
      <c r="BM439" s="2125"/>
      <c r="BN439" s="2125"/>
      <c r="BO439" s="2125"/>
      <c r="BP439" s="2125"/>
      <c r="BQ439" s="2125"/>
      <c r="BR439" s="2125"/>
      <c r="BS439" s="2125"/>
      <c r="BT439" s="2125"/>
      <c r="BU439" s="2029"/>
      <c r="BV439" s="2029"/>
      <c r="BW439" s="2029"/>
      <c r="BX439" s="2029"/>
      <c r="BY439" s="2029"/>
      <c r="BZ439" s="2032"/>
      <c r="CA439" s="1974">
        <f t="shared" si="270"/>
        <v>0</v>
      </c>
      <c r="CB439" s="1974">
        <f t="shared" si="270"/>
        <v>0</v>
      </c>
      <c r="CC439" s="1974">
        <f t="shared" si="270"/>
        <v>0</v>
      </c>
      <c r="CD439" s="1974">
        <f t="shared" si="270"/>
        <v>0</v>
      </c>
      <c r="CE439" s="1974">
        <f t="shared" si="270"/>
        <v>0</v>
      </c>
      <c r="CF439" s="2033">
        <v>0</v>
      </c>
      <c r="CG439" s="2026">
        <v>0</v>
      </c>
      <c r="CH439" s="2009">
        <f t="shared" si="270"/>
        <v>0</v>
      </c>
      <c r="CI439" s="2031">
        <f t="shared" si="270"/>
        <v>0</v>
      </c>
      <c r="CJ439" s="1974">
        <f t="shared" si="270"/>
        <v>0</v>
      </c>
      <c r="CK439" s="2031">
        <f t="shared" si="270"/>
        <v>0</v>
      </c>
      <c r="CL439" s="2026">
        <v>1</v>
      </c>
      <c r="CM439" s="2026">
        <v>1</v>
      </c>
      <c r="CN439" s="2026">
        <v>1</v>
      </c>
      <c r="CO439" s="2026">
        <v>1</v>
      </c>
      <c r="CP439" s="2035"/>
      <c r="CQ439" s="2036"/>
      <c r="CR439" s="2036"/>
      <c r="CS439" s="2036"/>
      <c r="CT439" s="2036"/>
      <c r="CU439" s="2036"/>
      <c r="CW439" s="1973">
        <v>0</v>
      </c>
      <c r="CX439" s="2037">
        <v>52</v>
      </c>
      <c r="CY439" s="2037">
        <v>52</v>
      </c>
      <c r="CZ439" s="2037">
        <v>52</v>
      </c>
      <c r="DA439" s="2037">
        <v>52</v>
      </c>
      <c r="DJ439" s="1976">
        <v>0</v>
      </c>
      <c r="DK439" s="1973">
        <v>0</v>
      </c>
      <c r="DL439" s="1973">
        <v>0</v>
      </c>
      <c r="DM439" s="1973">
        <v>0</v>
      </c>
      <c r="DO439" s="1974">
        <v>6</v>
      </c>
      <c r="DP439" s="1974">
        <v>0</v>
      </c>
      <c r="DQ439" s="1974">
        <v>0</v>
      </c>
      <c r="DR439" s="1974">
        <v>0</v>
      </c>
      <c r="DS439" s="2124">
        <v>0</v>
      </c>
      <c r="DT439" s="2029">
        <v>0</v>
      </c>
      <c r="DU439" s="2029">
        <v>0</v>
      </c>
      <c r="DV439" s="2029">
        <v>0</v>
      </c>
      <c r="DW439" s="2124">
        <v>52</v>
      </c>
      <c r="DX439" s="2029">
        <v>52</v>
      </c>
      <c r="DY439" s="2029">
        <v>52</v>
      </c>
      <c r="DZ439" s="2029">
        <v>52</v>
      </c>
      <c r="EA439" s="2124">
        <v>20</v>
      </c>
      <c r="EB439" s="2029">
        <v>20</v>
      </c>
      <c r="EC439" s="2029">
        <v>20</v>
      </c>
      <c r="ED439" s="2029">
        <v>20</v>
      </c>
      <c r="EE439" s="2039">
        <f t="shared" si="253"/>
        <v>0</v>
      </c>
      <c r="EF439" s="2039">
        <f t="shared" si="253"/>
        <v>0</v>
      </c>
      <c r="EG439" s="2039">
        <f t="shared" si="253"/>
        <v>0</v>
      </c>
      <c r="EH439" s="2039">
        <f t="shared" si="252"/>
        <v>0</v>
      </c>
      <c r="EI439" s="2040">
        <f t="shared" ref="EI439:EN481" si="273">AS439-DS439</f>
        <v>0</v>
      </c>
      <c r="EJ439" s="2040">
        <f t="shared" si="273"/>
        <v>0</v>
      </c>
      <c r="EK439" s="2040">
        <f t="shared" si="273"/>
        <v>0</v>
      </c>
      <c r="EL439" s="2040">
        <f t="shared" si="273"/>
        <v>0</v>
      </c>
      <c r="EM439" s="2040">
        <f t="shared" si="273"/>
        <v>0</v>
      </c>
      <c r="EN439" s="2040">
        <f t="shared" si="273"/>
        <v>0</v>
      </c>
      <c r="EO439" s="2040">
        <f t="shared" si="271"/>
        <v>0</v>
      </c>
      <c r="EP439" s="2040">
        <f t="shared" si="271"/>
        <v>0</v>
      </c>
      <c r="EQ439" s="2040">
        <f t="shared" si="271"/>
        <v>0</v>
      </c>
      <c r="ER439" s="2040">
        <f t="shared" si="261"/>
        <v>0</v>
      </c>
      <c r="ES439" s="2040">
        <f t="shared" si="261"/>
        <v>0</v>
      </c>
      <c r="ET439" s="2040">
        <f t="shared" si="261"/>
        <v>0</v>
      </c>
      <c r="EU439" s="2039">
        <f t="shared" si="254"/>
        <v>0</v>
      </c>
      <c r="EV439" s="2039">
        <f t="shared" si="255"/>
        <v>0</v>
      </c>
    </row>
    <row r="440" spans="1:152" x14ac:dyDescent="0.25">
      <c r="A440" s="2088" t="s">
        <v>204</v>
      </c>
      <c r="B440" s="2093" t="str">
        <f t="shared" si="234"/>
        <v>BPST2</v>
      </c>
      <c r="C440" s="1974">
        <f t="shared" si="269"/>
        <v>6</v>
      </c>
      <c r="D440" s="1974">
        <f t="shared" si="269"/>
        <v>0</v>
      </c>
      <c r="E440" s="1974">
        <f t="shared" si="269"/>
        <v>0</v>
      </c>
      <c r="F440" s="1974">
        <f t="shared" si="269"/>
        <v>297.65043171806178</v>
      </c>
      <c r="G440" s="1974" t="s">
        <v>2997</v>
      </c>
      <c r="H440" s="1974" t="s">
        <v>2997</v>
      </c>
      <c r="I440" s="2026">
        <v>0.96199999999999997</v>
      </c>
      <c r="J440" s="2026">
        <v>0.96199999999999997</v>
      </c>
      <c r="K440" s="2026">
        <v>0.96199999999999997</v>
      </c>
      <c r="L440" s="2026">
        <v>0.96199999999999997</v>
      </c>
      <c r="M440" s="2027">
        <f t="shared" si="242"/>
        <v>0</v>
      </c>
      <c r="N440" s="2027">
        <f t="shared" si="242"/>
        <v>0</v>
      </c>
      <c r="O440" s="2027">
        <f t="shared" si="242"/>
        <v>0</v>
      </c>
      <c r="P440" s="2027">
        <f t="shared" si="242"/>
        <v>0</v>
      </c>
      <c r="Q440" s="2026">
        <v>0.96199999999999997</v>
      </c>
      <c r="R440" s="2026">
        <v>0.96199999999999997</v>
      </c>
      <c r="S440" s="2026">
        <v>0.96199999999999997</v>
      </c>
      <c r="T440" s="2026">
        <v>0.96199999999999997</v>
      </c>
      <c r="U440" s="2028">
        <f t="shared" si="243"/>
        <v>0</v>
      </c>
      <c r="V440" s="2028">
        <f t="shared" si="243"/>
        <v>0</v>
      </c>
      <c r="W440" s="2028">
        <f t="shared" si="243"/>
        <v>0</v>
      </c>
      <c r="X440" s="2028">
        <f t="shared" si="243"/>
        <v>0</v>
      </c>
      <c r="Y440" s="2026">
        <v>0.96199999999999997</v>
      </c>
      <c r="Z440" s="2026">
        <v>0.96199999999999997</v>
      </c>
      <c r="AA440" s="2026">
        <v>0.96199999999999997</v>
      </c>
      <c r="AB440" s="2026">
        <v>0.96199999999999997</v>
      </c>
      <c r="AC440" s="2027">
        <f t="shared" si="244"/>
        <v>286.33971531277541</v>
      </c>
      <c r="AD440" s="2027">
        <f t="shared" si="244"/>
        <v>286.33971531277541</v>
      </c>
      <c r="AE440" s="2027">
        <f t="shared" si="244"/>
        <v>286.33971531277541</v>
      </c>
      <c r="AF440" s="2027">
        <f t="shared" si="244"/>
        <v>286.33971531277541</v>
      </c>
      <c r="AG440" s="2027">
        <v>0</v>
      </c>
      <c r="AH440" s="2028"/>
      <c r="AI440" s="2028"/>
      <c r="AJ440" s="2028"/>
      <c r="AK440" s="2027">
        <f t="shared" si="250"/>
        <v>0</v>
      </c>
      <c r="AL440" s="2027">
        <f t="shared" si="236"/>
        <v>0</v>
      </c>
      <c r="AM440" s="2027">
        <f t="shared" si="236"/>
        <v>0</v>
      </c>
      <c r="AN440" s="2027">
        <f t="shared" si="236"/>
        <v>0</v>
      </c>
      <c r="AO440" s="2027">
        <f t="shared" si="245"/>
        <v>0</v>
      </c>
      <c r="AP440" s="2027">
        <f t="shared" si="237"/>
        <v>0</v>
      </c>
      <c r="AQ440" s="2027">
        <f t="shared" si="237"/>
        <v>0</v>
      </c>
      <c r="AR440" s="2027">
        <f t="shared" si="237"/>
        <v>0</v>
      </c>
      <c r="AS440" s="2124">
        <f t="shared" si="268"/>
        <v>0</v>
      </c>
      <c r="AT440" s="2029">
        <f t="shared" si="238"/>
        <v>0</v>
      </c>
      <c r="AU440" s="2029">
        <f t="shared" si="238"/>
        <v>0</v>
      </c>
      <c r="AV440" s="2029">
        <f t="shared" si="238"/>
        <v>0</v>
      </c>
      <c r="AW440" s="2124">
        <f t="shared" si="264"/>
        <v>130</v>
      </c>
      <c r="AX440" s="2029">
        <f t="shared" si="257"/>
        <v>130</v>
      </c>
      <c r="AY440" s="2029">
        <f t="shared" si="257"/>
        <v>130</v>
      </c>
      <c r="AZ440" s="2029">
        <f t="shared" si="257"/>
        <v>130</v>
      </c>
      <c r="BA440" s="2124">
        <f t="shared" si="272"/>
        <v>77</v>
      </c>
      <c r="BB440" s="2029">
        <f t="shared" si="272"/>
        <v>77</v>
      </c>
      <c r="BC440" s="2029">
        <f t="shared" si="272"/>
        <v>77</v>
      </c>
      <c r="BD440" s="2029">
        <f t="shared" si="272"/>
        <v>77</v>
      </c>
      <c r="BE440" s="2030">
        <f t="shared" si="239"/>
        <v>0</v>
      </c>
      <c r="BF440" s="2030">
        <f t="shared" si="239"/>
        <v>0</v>
      </c>
      <c r="BG440" s="2030">
        <f t="shared" si="239"/>
        <v>0</v>
      </c>
      <c r="BH440" s="2030">
        <f t="shared" si="239"/>
        <v>0</v>
      </c>
      <c r="BI440" s="2030">
        <f t="shared" si="240"/>
        <v>0</v>
      </c>
      <c r="BJ440" s="2030">
        <f t="shared" si="240"/>
        <v>0</v>
      </c>
      <c r="BK440" s="2030">
        <f t="shared" si="240"/>
        <v>0</v>
      </c>
      <c r="BL440" s="2030">
        <f t="shared" si="240"/>
        <v>0</v>
      </c>
      <c r="BM440" s="2125"/>
      <c r="BN440" s="2125"/>
      <c r="BO440" s="2125"/>
      <c r="BP440" s="2125"/>
      <c r="BQ440" s="2125"/>
      <c r="BR440" s="2125"/>
      <c r="BS440" s="2125"/>
      <c r="BT440" s="2125"/>
      <c r="BU440" s="2029"/>
      <c r="BV440" s="2029"/>
      <c r="BW440" s="2029"/>
      <c r="BX440" s="2029"/>
      <c r="BY440" s="2029"/>
      <c r="BZ440" s="2032"/>
      <c r="CA440" s="1974">
        <f t="shared" si="270"/>
        <v>0</v>
      </c>
      <c r="CB440" s="1974">
        <f t="shared" si="270"/>
        <v>0</v>
      </c>
      <c r="CC440" s="1974">
        <f t="shared" si="270"/>
        <v>0</v>
      </c>
      <c r="CD440" s="1974">
        <f t="shared" si="270"/>
        <v>0</v>
      </c>
      <c r="CE440" s="1974">
        <f t="shared" si="270"/>
        <v>0</v>
      </c>
      <c r="CF440" s="2033">
        <v>0</v>
      </c>
      <c r="CG440" s="2026">
        <v>0</v>
      </c>
      <c r="CH440" s="2009">
        <f t="shared" si="270"/>
        <v>0</v>
      </c>
      <c r="CI440" s="2031">
        <f t="shared" si="270"/>
        <v>0</v>
      </c>
      <c r="CJ440" s="1974">
        <f t="shared" si="270"/>
        <v>0</v>
      </c>
      <c r="CK440" s="2031">
        <f t="shared" si="270"/>
        <v>0</v>
      </c>
      <c r="CL440" s="2026">
        <v>1</v>
      </c>
      <c r="CM440" s="2026">
        <v>1</v>
      </c>
      <c r="CN440" s="2026">
        <v>1</v>
      </c>
      <c r="CO440" s="2026">
        <v>1</v>
      </c>
      <c r="CP440" s="2035"/>
      <c r="CQ440" s="2036"/>
      <c r="CR440" s="2036"/>
      <c r="CS440" s="2036"/>
      <c r="CT440" s="2036"/>
      <c r="CU440" s="2036"/>
      <c r="CW440" s="1973">
        <v>0</v>
      </c>
      <c r="CX440" s="2037">
        <v>130</v>
      </c>
      <c r="CY440" s="2037">
        <v>130</v>
      </c>
      <c r="CZ440" s="2037">
        <v>130</v>
      </c>
      <c r="DA440" s="2037">
        <v>130</v>
      </c>
      <c r="DJ440" s="1976">
        <v>0</v>
      </c>
      <c r="DK440" s="1973">
        <v>0</v>
      </c>
      <c r="DL440" s="1973">
        <v>0</v>
      </c>
      <c r="DM440" s="1973">
        <v>0</v>
      </c>
      <c r="DO440" s="1974">
        <v>6</v>
      </c>
      <c r="DP440" s="1974">
        <v>0</v>
      </c>
      <c r="DQ440" s="1974">
        <v>0</v>
      </c>
      <c r="DR440" s="1974">
        <v>297.65043171806178</v>
      </c>
      <c r="DS440" s="2124">
        <v>0</v>
      </c>
      <c r="DT440" s="2029">
        <v>0</v>
      </c>
      <c r="DU440" s="2029">
        <v>0</v>
      </c>
      <c r="DV440" s="2029">
        <v>0</v>
      </c>
      <c r="DW440" s="2124">
        <v>130</v>
      </c>
      <c r="DX440" s="2029">
        <v>130</v>
      </c>
      <c r="DY440" s="2029">
        <v>130</v>
      </c>
      <c r="DZ440" s="2029">
        <v>130</v>
      </c>
      <c r="EA440" s="2124">
        <v>77</v>
      </c>
      <c r="EB440" s="2029">
        <v>77</v>
      </c>
      <c r="EC440" s="2029">
        <v>77</v>
      </c>
      <c r="ED440" s="2029">
        <v>77</v>
      </c>
      <c r="EE440" s="2039">
        <f t="shared" si="253"/>
        <v>0</v>
      </c>
      <c r="EF440" s="2039">
        <f t="shared" si="253"/>
        <v>0</v>
      </c>
      <c r="EG440" s="2039">
        <f t="shared" si="253"/>
        <v>0</v>
      </c>
      <c r="EH440" s="2039">
        <f t="shared" si="252"/>
        <v>0</v>
      </c>
      <c r="EI440" s="2040">
        <f t="shared" si="273"/>
        <v>0</v>
      </c>
      <c r="EJ440" s="2040">
        <f t="shared" si="273"/>
        <v>0</v>
      </c>
      <c r="EK440" s="2040">
        <f t="shared" si="273"/>
        <v>0</v>
      </c>
      <c r="EL440" s="2040">
        <f t="shared" si="273"/>
        <v>0</v>
      </c>
      <c r="EM440" s="2040">
        <f t="shared" si="273"/>
        <v>0</v>
      </c>
      <c r="EN440" s="2040">
        <f t="shared" si="273"/>
        <v>0</v>
      </c>
      <c r="EO440" s="2040">
        <f t="shared" si="271"/>
        <v>0</v>
      </c>
      <c r="EP440" s="2040">
        <f t="shared" si="271"/>
        <v>0</v>
      </c>
      <c r="EQ440" s="2040">
        <f t="shared" si="271"/>
        <v>0</v>
      </c>
      <c r="ER440" s="2040">
        <f t="shared" si="261"/>
        <v>0</v>
      </c>
      <c r="ES440" s="2040">
        <f t="shared" si="261"/>
        <v>0</v>
      </c>
      <c r="ET440" s="2040">
        <f t="shared" si="261"/>
        <v>0</v>
      </c>
      <c r="EU440" s="2039">
        <f t="shared" si="254"/>
        <v>0</v>
      </c>
      <c r="EV440" s="2039">
        <f t="shared" si="255"/>
        <v>0</v>
      </c>
    </row>
    <row r="441" spans="1:152" x14ac:dyDescent="0.25">
      <c r="A441" s="2088" t="s">
        <v>205</v>
      </c>
      <c r="B441" s="2093" t="str">
        <f t="shared" si="234"/>
        <v>BPST4</v>
      </c>
      <c r="C441" s="1974">
        <f t="shared" si="269"/>
        <v>6</v>
      </c>
      <c r="D441" s="1974">
        <f t="shared" si="269"/>
        <v>0</v>
      </c>
      <c r="E441" s="1974">
        <f t="shared" si="269"/>
        <v>0</v>
      </c>
      <c r="F441" s="1974">
        <f t="shared" si="269"/>
        <v>0</v>
      </c>
      <c r="G441" s="1974" t="s">
        <v>2997</v>
      </c>
      <c r="H441" s="1974" t="s">
        <v>2997</v>
      </c>
      <c r="I441" s="2026">
        <v>0.96199999999999997</v>
      </c>
      <c r="J441" s="2026">
        <v>0.96199999999999997</v>
      </c>
      <c r="K441" s="2026">
        <v>0.96199999999999997</v>
      </c>
      <c r="L441" s="2026">
        <v>0.96199999999999997</v>
      </c>
      <c r="M441" s="2027">
        <f t="shared" si="242"/>
        <v>0</v>
      </c>
      <c r="N441" s="2027">
        <f t="shared" si="242"/>
        <v>0</v>
      </c>
      <c r="O441" s="2027">
        <f t="shared" si="242"/>
        <v>0</v>
      </c>
      <c r="P441" s="2027">
        <f t="shared" si="242"/>
        <v>0</v>
      </c>
      <c r="Q441" s="2026">
        <v>0.96199999999999997</v>
      </c>
      <c r="R441" s="2026">
        <v>0.96199999999999997</v>
      </c>
      <c r="S441" s="2026">
        <v>0.96199999999999997</v>
      </c>
      <c r="T441" s="2026">
        <v>0.96199999999999997</v>
      </c>
      <c r="U441" s="2028">
        <f t="shared" si="243"/>
        <v>0</v>
      </c>
      <c r="V441" s="2028">
        <f t="shared" si="243"/>
        <v>0</v>
      </c>
      <c r="W441" s="2028">
        <f t="shared" si="243"/>
        <v>0</v>
      </c>
      <c r="X441" s="2028">
        <f t="shared" si="243"/>
        <v>0</v>
      </c>
      <c r="Y441" s="2026">
        <v>0.96199999999999997</v>
      </c>
      <c r="Z441" s="2026">
        <v>0.96199999999999997</v>
      </c>
      <c r="AA441" s="2026">
        <v>0.96199999999999997</v>
      </c>
      <c r="AB441" s="2026">
        <v>0.96199999999999997</v>
      </c>
      <c r="AC441" s="2027">
        <f t="shared" si="244"/>
        <v>0</v>
      </c>
      <c r="AD441" s="2027">
        <f t="shared" si="244"/>
        <v>0</v>
      </c>
      <c r="AE441" s="2027">
        <f t="shared" si="244"/>
        <v>0</v>
      </c>
      <c r="AF441" s="2027">
        <f t="shared" si="244"/>
        <v>0</v>
      </c>
      <c r="AG441" s="2027">
        <v>0</v>
      </c>
      <c r="AH441" s="2028"/>
      <c r="AI441" s="2028"/>
      <c r="AJ441" s="2028"/>
      <c r="AK441" s="2027">
        <f t="shared" si="250"/>
        <v>0</v>
      </c>
      <c r="AL441" s="2027">
        <f t="shared" si="236"/>
        <v>0</v>
      </c>
      <c r="AM441" s="2027">
        <f t="shared" si="236"/>
        <v>0</v>
      </c>
      <c r="AN441" s="2027">
        <f t="shared" si="236"/>
        <v>0</v>
      </c>
      <c r="AO441" s="2027">
        <f t="shared" si="245"/>
        <v>0</v>
      </c>
      <c r="AP441" s="2027">
        <f t="shared" si="237"/>
        <v>0</v>
      </c>
      <c r="AQ441" s="2027">
        <f t="shared" si="237"/>
        <v>0</v>
      </c>
      <c r="AR441" s="2027">
        <f t="shared" si="237"/>
        <v>0</v>
      </c>
      <c r="AS441" s="2124">
        <f t="shared" si="268"/>
        <v>0</v>
      </c>
      <c r="AT441" s="2029">
        <f t="shared" si="238"/>
        <v>0</v>
      </c>
      <c r="AU441" s="2029">
        <f t="shared" si="238"/>
        <v>0</v>
      </c>
      <c r="AV441" s="2029">
        <f t="shared" si="238"/>
        <v>0</v>
      </c>
      <c r="AW441" s="2124">
        <f t="shared" si="264"/>
        <v>60.502000000000002</v>
      </c>
      <c r="AX441" s="2029">
        <f t="shared" si="257"/>
        <v>60.502000000000002</v>
      </c>
      <c r="AY441" s="2029">
        <f t="shared" si="257"/>
        <v>60.502000000000002</v>
      </c>
      <c r="AZ441" s="2029">
        <f t="shared" si="257"/>
        <v>60.502000000000002</v>
      </c>
      <c r="BA441" s="2124">
        <f t="shared" si="272"/>
        <v>20</v>
      </c>
      <c r="BB441" s="2029">
        <f t="shared" si="272"/>
        <v>20</v>
      </c>
      <c r="BC441" s="2029">
        <f t="shared" si="272"/>
        <v>20</v>
      </c>
      <c r="BD441" s="2029">
        <f t="shared" si="272"/>
        <v>20</v>
      </c>
      <c r="BE441" s="2030">
        <f t="shared" si="239"/>
        <v>0</v>
      </c>
      <c r="BF441" s="2030">
        <f t="shared" si="239"/>
        <v>0</v>
      </c>
      <c r="BG441" s="2030">
        <f t="shared" si="239"/>
        <v>0</v>
      </c>
      <c r="BH441" s="2030">
        <f t="shared" ref="BH441:BH464" si="274">AV441*AJ441</f>
        <v>0</v>
      </c>
      <c r="BI441" s="2030">
        <f t="shared" si="240"/>
        <v>0</v>
      </c>
      <c r="BJ441" s="2030">
        <f t="shared" si="240"/>
        <v>0</v>
      </c>
      <c r="BK441" s="2030">
        <f t="shared" si="240"/>
        <v>0</v>
      </c>
      <c r="BL441" s="2030">
        <f t="shared" ref="BL441:BL464" si="275">AZ441*AJ441</f>
        <v>0</v>
      </c>
      <c r="BM441" s="2125"/>
      <c r="BN441" s="2125"/>
      <c r="BO441" s="2125"/>
      <c r="BP441" s="2125"/>
      <c r="BQ441" s="2125"/>
      <c r="BR441" s="2125"/>
      <c r="BS441" s="2125"/>
      <c r="BT441" s="2125"/>
      <c r="BU441" s="2029"/>
      <c r="BV441" s="2029"/>
      <c r="BW441" s="2029"/>
      <c r="BX441" s="2029"/>
      <c r="BY441" s="2029"/>
      <c r="BZ441" s="2032"/>
      <c r="CA441" s="1974">
        <f t="shared" si="270"/>
        <v>0</v>
      </c>
      <c r="CB441" s="1974">
        <f t="shared" si="270"/>
        <v>0</v>
      </c>
      <c r="CC441" s="1974">
        <f t="shared" si="270"/>
        <v>0</v>
      </c>
      <c r="CD441" s="1974">
        <f t="shared" si="270"/>
        <v>0</v>
      </c>
      <c r="CE441" s="1974">
        <f t="shared" si="270"/>
        <v>0</v>
      </c>
      <c r="CF441" s="2033">
        <v>0</v>
      </c>
      <c r="CG441" s="2026">
        <v>0</v>
      </c>
      <c r="CH441" s="2009">
        <f t="shared" si="270"/>
        <v>0</v>
      </c>
      <c r="CI441" s="2031">
        <f t="shared" si="270"/>
        <v>0</v>
      </c>
      <c r="CJ441" s="1974">
        <f t="shared" si="270"/>
        <v>0</v>
      </c>
      <c r="CK441" s="2031">
        <f t="shared" si="270"/>
        <v>0</v>
      </c>
      <c r="CL441" s="2026">
        <v>1</v>
      </c>
      <c r="CM441" s="2026">
        <v>1</v>
      </c>
      <c r="CN441" s="2026">
        <v>1</v>
      </c>
      <c r="CO441" s="2026">
        <v>1</v>
      </c>
      <c r="CP441" s="2035"/>
      <c r="CQ441" s="2036"/>
      <c r="CR441" s="2036"/>
      <c r="CS441" s="2036"/>
      <c r="CT441" s="2036"/>
      <c r="CU441" s="2036"/>
      <c r="CW441" s="1973">
        <v>0</v>
      </c>
      <c r="CX441" s="2037">
        <v>60.502000000000002</v>
      </c>
      <c r="CY441" s="2037">
        <v>60.502000000000002</v>
      </c>
      <c r="CZ441" s="2037">
        <v>60.502000000000002</v>
      </c>
      <c r="DA441" s="2037">
        <v>60.502000000000002</v>
      </c>
      <c r="DJ441" s="1976">
        <v>0</v>
      </c>
      <c r="DK441" s="1973">
        <v>0</v>
      </c>
      <c r="DL441" s="1973">
        <v>0</v>
      </c>
      <c r="DM441" s="1973">
        <v>0</v>
      </c>
      <c r="DO441" s="1974">
        <v>6</v>
      </c>
      <c r="DP441" s="1974">
        <v>0</v>
      </c>
      <c r="DQ441" s="1974">
        <v>0</v>
      </c>
      <c r="DR441" s="1974">
        <v>0</v>
      </c>
      <c r="DS441" s="2124">
        <v>0</v>
      </c>
      <c r="DT441" s="2029">
        <v>0</v>
      </c>
      <c r="DU441" s="2029">
        <v>0</v>
      </c>
      <c r="DV441" s="2029">
        <v>0</v>
      </c>
      <c r="DW441" s="2124">
        <v>60.502000000000002</v>
      </c>
      <c r="DX441" s="2029">
        <v>60.502000000000002</v>
      </c>
      <c r="DY441" s="2029">
        <v>60.502000000000002</v>
      </c>
      <c r="DZ441" s="2029">
        <v>60.502000000000002</v>
      </c>
      <c r="EA441" s="2124">
        <v>20</v>
      </c>
      <c r="EB441" s="2029">
        <v>20</v>
      </c>
      <c r="EC441" s="2029">
        <v>20</v>
      </c>
      <c r="ED441" s="2029">
        <v>20</v>
      </c>
      <c r="EE441" s="2039">
        <f t="shared" si="253"/>
        <v>0</v>
      </c>
      <c r="EF441" s="2039">
        <f t="shared" si="253"/>
        <v>0</v>
      </c>
      <c r="EG441" s="2039">
        <f t="shared" si="253"/>
        <v>0</v>
      </c>
      <c r="EH441" s="2039">
        <f t="shared" si="252"/>
        <v>0</v>
      </c>
      <c r="EI441" s="2040">
        <f t="shared" si="273"/>
        <v>0</v>
      </c>
      <c r="EJ441" s="2040">
        <f t="shared" si="273"/>
        <v>0</v>
      </c>
      <c r="EK441" s="2040">
        <f t="shared" si="273"/>
        <v>0</v>
      </c>
      <c r="EL441" s="2040">
        <f t="shared" si="273"/>
        <v>0</v>
      </c>
      <c r="EM441" s="2040">
        <f t="shared" si="273"/>
        <v>0</v>
      </c>
      <c r="EN441" s="2040">
        <f t="shared" si="273"/>
        <v>0</v>
      </c>
      <c r="EO441" s="2040">
        <f t="shared" si="271"/>
        <v>0</v>
      </c>
      <c r="EP441" s="2040">
        <f t="shared" si="271"/>
        <v>0</v>
      </c>
      <c r="EQ441" s="2040">
        <f t="shared" si="271"/>
        <v>0</v>
      </c>
      <c r="ER441" s="2040">
        <f t="shared" si="261"/>
        <v>0</v>
      </c>
      <c r="ES441" s="2040">
        <f t="shared" si="261"/>
        <v>0</v>
      </c>
      <c r="ET441" s="2040">
        <f t="shared" si="261"/>
        <v>0</v>
      </c>
      <c r="EU441" s="2039">
        <f t="shared" si="254"/>
        <v>0</v>
      </c>
      <c r="EV441" s="2039">
        <f t="shared" si="255"/>
        <v>0</v>
      </c>
    </row>
    <row r="442" spans="1:152" s="2138" customFormat="1" ht="12" thickBot="1" x14ac:dyDescent="0.3">
      <c r="A442" s="2136" t="s">
        <v>206</v>
      </c>
      <c r="B442" s="2137" t="str">
        <f>IF(B198="","",B198)</f>
        <v>BPST5</v>
      </c>
      <c r="C442" s="1974">
        <f>C198</f>
        <v>6</v>
      </c>
      <c r="D442" s="1974">
        <f t="shared" si="269"/>
        <v>0</v>
      </c>
      <c r="E442" s="1974">
        <f t="shared" si="269"/>
        <v>0</v>
      </c>
      <c r="F442" s="1974">
        <f>F198</f>
        <v>4382.0432722457281</v>
      </c>
      <c r="G442" s="1974" t="s">
        <v>2997</v>
      </c>
      <c r="H442" s="1974" t="s">
        <v>2997</v>
      </c>
      <c r="I442" s="2026">
        <v>0.96199999999999997</v>
      </c>
      <c r="J442" s="2026">
        <v>0.96199999999999997</v>
      </c>
      <c r="K442" s="2026">
        <v>0.96199999999999997</v>
      </c>
      <c r="L442" s="2026">
        <v>0.96199999999999997</v>
      </c>
      <c r="M442" s="2027">
        <f t="shared" si="242"/>
        <v>0</v>
      </c>
      <c r="N442" s="2027">
        <f t="shared" si="242"/>
        <v>0</v>
      </c>
      <c r="O442" s="2027">
        <f t="shared" si="242"/>
        <v>0</v>
      </c>
      <c r="P442" s="2027">
        <f t="shared" ref="P442" si="276">$D442*L442</f>
        <v>0</v>
      </c>
      <c r="Q442" s="2026">
        <v>0.96199999999999997</v>
      </c>
      <c r="R442" s="2026">
        <v>0.96199999999999997</v>
      </c>
      <c r="S442" s="2026">
        <v>0.96199999999999997</v>
      </c>
      <c r="T442" s="2026">
        <v>0.96199999999999997</v>
      </c>
      <c r="U442" s="2028">
        <f t="shared" si="243"/>
        <v>0</v>
      </c>
      <c r="V442" s="2028">
        <f t="shared" si="243"/>
        <v>0</v>
      </c>
      <c r="W442" s="2028">
        <f t="shared" si="243"/>
        <v>0</v>
      </c>
      <c r="X442" s="2028">
        <f t="shared" ref="X442" si="277">$E442*T442</f>
        <v>0</v>
      </c>
      <c r="Y442" s="2026">
        <v>0.96199999999999997</v>
      </c>
      <c r="Z442" s="2026">
        <v>0.96199999999999997</v>
      </c>
      <c r="AA442" s="2026">
        <v>0.96199999999999997</v>
      </c>
      <c r="AB442" s="2026">
        <v>0.96199999999999997</v>
      </c>
      <c r="AC442" s="2027">
        <f t="shared" si="244"/>
        <v>4215.5256279003906</v>
      </c>
      <c r="AD442" s="2027">
        <f t="shared" si="244"/>
        <v>4215.5256279003906</v>
      </c>
      <c r="AE442" s="2027">
        <f t="shared" si="244"/>
        <v>4215.5256279003906</v>
      </c>
      <c r="AF442" s="2027">
        <f t="shared" ref="AF442" si="278">$F442*AB442</f>
        <v>4215.5256279003906</v>
      </c>
      <c r="AG442" s="2027">
        <v>0</v>
      </c>
      <c r="AH442" s="2028"/>
      <c r="AI442" s="2028"/>
      <c r="AJ442" s="2028"/>
      <c r="AK442" s="2027">
        <f t="shared" si="250"/>
        <v>0</v>
      </c>
      <c r="AL442" s="2027">
        <f t="shared" ref="AL442:AN464" si="279">AH442*N442*CM442</f>
        <v>0</v>
      </c>
      <c r="AM442" s="2027">
        <f t="shared" si="279"/>
        <v>0</v>
      </c>
      <c r="AN442" s="2027">
        <f t="shared" si="279"/>
        <v>0</v>
      </c>
      <c r="AO442" s="2027">
        <f t="shared" si="245"/>
        <v>0</v>
      </c>
      <c r="AP442" s="2027">
        <f t="shared" ref="AP442:AR464" si="280">AH442*AD442*CM442</f>
        <v>0</v>
      </c>
      <c r="AQ442" s="2027">
        <f t="shared" si="280"/>
        <v>0</v>
      </c>
      <c r="AR442" s="2027">
        <f t="shared" si="280"/>
        <v>0</v>
      </c>
      <c r="AS442" s="2124">
        <f t="shared" si="268"/>
        <v>0</v>
      </c>
      <c r="AT442" s="2029">
        <f t="shared" ref="AT442:AV457" si="281">$AS442</f>
        <v>0</v>
      </c>
      <c r="AU442" s="2029">
        <f t="shared" si="281"/>
        <v>0</v>
      </c>
      <c r="AV442" s="2029">
        <f t="shared" si="281"/>
        <v>0</v>
      </c>
      <c r="AW442" s="2124">
        <f t="shared" si="264"/>
        <v>341.89580921052635</v>
      </c>
      <c r="AX442" s="2029">
        <f t="shared" si="257"/>
        <v>341.89580921052635</v>
      </c>
      <c r="AY442" s="2029">
        <f t="shared" si="257"/>
        <v>341.89580921052635</v>
      </c>
      <c r="AZ442" s="2029">
        <f t="shared" si="257"/>
        <v>341.89580921052635</v>
      </c>
      <c r="BA442" s="2124">
        <f>BA198</f>
        <v>275.3700657894737</v>
      </c>
      <c r="BB442" s="2029">
        <f>BB198</f>
        <v>275.3700657894737</v>
      </c>
      <c r="BC442" s="2029">
        <f>BC198</f>
        <v>275.3700657894737</v>
      </c>
      <c r="BD442" s="2029">
        <f>BD198</f>
        <v>275.3700657894737</v>
      </c>
      <c r="BE442" s="2030">
        <f t="shared" ref="BE442:BG457" si="282">AS442*AG442</f>
        <v>0</v>
      </c>
      <c r="BF442" s="2030">
        <f t="shared" si="282"/>
        <v>0</v>
      </c>
      <c r="BG442" s="2030">
        <f t="shared" si="282"/>
        <v>0</v>
      </c>
      <c r="BH442" s="2030">
        <f t="shared" si="274"/>
        <v>0</v>
      </c>
      <c r="BI442" s="2030">
        <f t="shared" ref="BI442:BK457" si="283">AW442*AG442</f>
        <v>0</v>
      </c>
      <c r="BJ442" s="2030">
        <f t="shared" si="283"/>
        <v>0</v>
      </c>
      <c r="BK442" s="2030">
        <f t="shared" si="283"/>
        <v>0</v>
      </c>
      <c r="BL442" s="2030">
        <f t="shared" si="275"/>
        <v>0</v>
      </c>
      <c r="BM442" s="2125"/>
      <c r="BN442" s="2125"/>
      <c r="BO442" s="2125"/>
      <c r="BP442" s="2125"/>
      <c r="BQ442" s="2125"/>
      <c r="BR442" s="2125"/>
      <c r="BS442" s="2125"/>
      <c r="BT442" s="2125"/>
      <c r="BU442" s="2029"/>
      <c r="BV442" s="2029"/>
      <c r="BW442" s="2029"/>
      <c r="BX442" s="2029"/>
      <c r="BY442" s="2029"/>
      <c r="BZ442" s="2032"/>
      <c r="CA442" s="1974">
        <f t="shared" si="270"/>
        <v>0</v>
      </c>
      <c r="CB442" s="1974">
        <f t="shared" si="270"/>
        <v>0</v>
      </c>
      <c r="CC442" s="1974">
        <f t="shared" si="270"/>
        <v>0</v>
      </c>
      <c r="CD442" s="1974">
        <f t="shared" si="270"/>
        <v>0</v>
      </c>
      <c r="CE442" s="1974">
        <f t="shared" si="270"/>
        <v>0</v>
      </c>
      <c r="CF442" s="2033">
        <v>0</v>
      </c>
      <c r="CG442" s="2026">
        <v>0</v>
      </c>
      <c r="CH442" s="2009">
        <f t="shared" si="270"/>
        <v>0</v>
      </c>
      <c r="CI442" s="2031">
        <f t="shared" si="270"/>
        <v>0</v>
      </c>
      <c r="CJ442" s="1974">
        <f t="shared" si="270"/>
        <v>0</v>
      </c>
      <c r="CK442" s="2031">
        <f t="shared" si="270"/>
        <v>0</v>
      </c>
      <c r="CL442" s="2026">
        <v>1</v>
      </c>
      <c r="CM442" s="2026">
        <v>1</v>
      </c>
      <c r="CN442" s="2026">
        <v>1</v>
      </c>
      <c r="CO442" s="2026">
        <v>1</v>
      </c>
      <c r="CP442" s="2035"/>
      <c r="CQ442" s="2036"/>
      <c r="CR442" s="2036"/>
      <c r="CS442" s="2036"/>
      <c r="CT442" s="2036"/>
      <c r="CU442" s="2036"/>
      <c r="CW442" s="2138">
        <v>0</v>
      </c>
      <c r="CX442" s="2037">
        <v>341.90000000000003</v>
      </c>
      <c r="CY442" s="2037">
        <v>341.90000000000003</v>
      </c>
      <c r="CZ442" s="2037">
        <v>341.90000000000003</v>
      </c>
      <c r="DA442" s="2037">
        <v>341.90000000000003</v>
      </c>
      <c r="DB442" s="2139"/>
      <c r="DF442" s="2139"/>
      <c r="DJ442" s="2139">
        <v>0</v>
      </c>
      <c r="DK442" s="2138">
        <v>0</v>
      </c>
      <c r="DL442" s="2138">
        <v>0</v>
      </c>
      <c r="DM442" s="2138">
        <v>0</v>
      </c>
      <c r="DN442" s="2140"/>
      <c r="DO442" s="1974">
        <v>6</v>
      </c>
      <c r="DP442" s="1974">
        <v>0</v>
      </c>
      <c r="DQ442" s="1974">
        <v>0</v>
      </c>
      <c r="DR442" s="1974">
        <v>4382.0432722457281</v>
      </c>
      <c r="DS442" s="2124">
        <v>0</v>
      </c>
      <c r="DT442" s="2029">
        <v>0</v>
      </c>
      <c r="DU442" s="2029">
        <v>0</v>
      </c>
      <c r="DV442" s="2029">
        <v>0</v>
      </c>
      <c r="DW442" s="2124">
        <v>341.90000000000003</v>
      </c>
      <c r="DX442" s="2029">
        <v>341.90000000000003</v>
      </c>
      <c r="DY442" s="2029">
        <v>341.90000000000003</v>
      </c>
      <c r="DZ442" s="2029">
        <v>341.90000000000003</v>
      </c>
      <c r="EA442" s="2124">
        <v>275.3700657894737</v>
      </c>
      <c r="EB442" s="2029">
        <v>275.3700657894737</v>
      </c>
      <c r="EC442" s="2029">
        <v>275.3700657894737</v>
      </c>
      <c r="ED442" s="2029">
        <v>275.3700657894737</v>
      </c>
      <c r="EE442" s="2039">
        <f t="shared" si="253"/>
        <v>0</v>
      </c>
      <c r="EF442" s="2039">
        <f t="shared" si="253"/>
        <v>0</v>
      </c>
      <c r="EG442" s="2039">
        <f t="shared" si="253"/>
        <v>0</v>
      </c>
      <c r="EH442" s="2039">
        <f t="shared" si="252"/>
        <v>0</v>
      </c>
      <c r="EI442" s="2040">
        <f t="shared" si="273"/>
        <v>0</v>
      </c>
      <c r="EJ442" s="2040">
        <f t="shared" si="273"/>
        <v>0</v>
      </c>
      <c r="EK442" s="2040">
        <f t="shared" si="273"/>
        <v>0</v>
      </c>
      <c r="EL442" s="2040">
        <f t="shared" si="273"/>
        <v>0</v>
      </c>
      <c r="EM442" s="2040">
        <f t="shared" si="273"/>
        <v>-4.1907894736823437E-3</v>
      </c>
      <c r="EN442" s="2040">
        <f t="shared" si="273"/>
        <v>-4.1907894736823437E-3</v>
      </c>
      <c r="EO442" s="2040">
        <f t="shared" si="271"/>
        <v>-4.1907894736823437E-3</v>
      </c>
      <c r="EP442" s="2040">
        <f t="shared" si="271"/>
        <v>-4.1907894736823437E-3</v>
      </c>
      <c r="EQ442" s="2040">
        <f t="shared" si="271"/>
        <v>0</v>
      </c>
      <c r="ER442" s="2040">
        <f t="shared" si="261"/>
        <v>0</v>
      </c>
      <c r="ES442" s="2040">
        <f t="shared" si="261"/>
        <v>0</v>
      </c>
      <c r="ET442" s="2040">
        <f t="shared" si="261"/>
        <v>0</v>
      </c>
      <c r="EU442" s="2039">
        <f t="shared" si="254"/>
        <v>-1.6763157894729375E-2</v>
      </c>
      <c r="EV442" s="2039">
        <f t="shared" si="255"/>
        <v>0</v>
      </c>
    </row>
    <row r="443" spans="1:152" x14ac:dyDescent="0.25">
      <c r="A443" s="2141" t="s">
        <v>207</v>
      </c>
      <c r="B443" s="2027"/>
      <c r="C443" s="2027">
        <f>C225</f>
        <v>10</v>
      </c>
      <c r="D443" s="2127">
        <f>D225</f>
        <v>330</v>
      </c>
      <c r="E443" s="2127">
        <f>E225</f>
        <v>0</v>
      </c>
      <c r="F443" s="2027">
        <f>F225</f>
        <v>0</v>
      </c>
      <c r="G443" s="1974" t="s">
        <v>2997</v>
      </c>
      <c r="H443" s="1974" t="s">
        <v>2997</v>
      </c>
      <c r="I443" s="2026">
        <v>0.96199999999999997</v>
      </c>
      <c r="J443" s="2026">
        <v>0.96199999999999997</v>
      </c>
      <c r="K443" s="2026">
        <v>0.96199999999999997</v>
      </c>
      <c r="L443" s="2026">
        <v>0.96199999999999997</v>
      </c>
      <c r="M443" s="2027">
        <f t="shared" ref="M443:P458" si="284">$D443*I443</f>
        <v>317.45999999999998</v>
      </c>
      <c r="N443" s="2027">
        <f t="shared" si="284"/>
        <v>317.45999999999998</v>
      </c>
      <c r="O443" s="2027">
        <f t="shared" si="284"/>
        <v>317.45999999999998</v>
      </c>
      <c r="P443" s="2027">
        <f>$D443*L443</f>
        <v>317.45999999999998</v>
      </c>
      <c r="Q443" s="2026">
        <v>0.96199999999999997</v>
      </c>
      <c r="R443" s="2026">
        <v>0.96199999999999997</v>
      </c>
      <c r="S443" s="2026">
        <v>0.96199999999999997</v>
      </c>
      <c r="T443" s="2026">
        <v>0.96199999999999997</v>
      </c>
      <c r="U443" s="2028">
        <f t="shared" ref="U443:X458" si="285">$E443*Q443</f>
        <v>0</v>
      </c>
      <c r="V443" s="2028">
        <f t="shared" si="285"/>
        <v>0</v>
      </c>
      <c r="W443" s="2028">
        <f t="shared" si="285"/>
        <v>0</v>
      </c>
      <c r="X443" s="2028">
        <f>$E443*T443</f>
        <v>0</v>
      </c>
      <c r="Y443" s="2026">
        <v>0.96199999999999997</v>
      </c>
      <c r="Z443" s="2026">
        <v>0.96199999999999997</v>
      </c>
      <c r="AA443" s="2026">
        <v>0.96199999999999997</v>
      </c>
      <c r="AB443" s="2026">
        <v>0.96199999999999997</v>
      </c>
      <c r="AC443" s="2027">
        <f t="shared" ref="AC443:AF458" si="286">$F443*Y443</f>
        <v>0</v>
      </c>
      <c r="AD443" s="2027">
        <f t="shared" si="286"/>
        <v>0</v>
      </c>
      <c r="AE443" s="2027">
        <f t="shared" si="286"/>
        <v>0</v>
      </c>
      <c r="AF443" s="2027">
        <f>$F443*AB443</f>
        <v>0</v>
      </c>
      <c r="AG443" s="2027">
        <v>4</v>
      </c>
      <c r="AH443" s="2027">
        <v>4</v>
      </c>
      <c r="AI443" s="2027">
        <v>8</v>
      </c>
      <c r="AJ443" s="2027">
        <v>4</v>
      </c>
      <c r="AK443" s="2027">
        <f t="shared" si="250"/>
        <v>1269.8399999999999</v>
      </c>
      <c r="AL443" s="2027">
        <f t="shared" si="279"/>
        <v>1269.8399999999999</v>
      </c>
      <c r="AM443" s="2027">
        <f t="shared" si="279"/>
        <v>2539.6799999999998</v>
      </c>
      <c r="AN443" s="2027">
        <f t="shared" si="279"/>
        <v>1269.8399999999999</v>
      </c>
      <c r="AO443" s="2027">
        <f>AG443*AC443</f>
        <v>0</v>
      </c>
      <c r="AP443" s="2027">
        <f t="shared" si="280"/>
        <v>0</v>
      </c>
      <c r="AQ443" s="2027">
        <f t="shared" si="280"/>
        <v>0</v>
      </c>
      <c r="AR443" s="2027">
        <f t="shared" si="280"/>
        <v>0</v>
      </c>
      <c r="AS443" s="2124">
        <v>300</v>
      </c>
      <c r="AT443" s="2029">
        <f t="shared" si="281"/>
        <v>300</v>
      </c>
      <c r="AU443" s="2029">
        <f t="shared" si="281"/>
        <v>300</v>
      </c>
      <c r="AV443" s="2029">
        <f t="shared" si="281"/>
        <v>300</v>
      </c>
      <c r="AW443" s="2124">
        <f>AW225*1.3</f>
        <v>0</v>
      </c>
      <c r="AX443" s="2029">
        <f t="shared" si="257"/>
        <v>0</v>
      </c>
      <c r="AY443" s="2029">
        <f t="shared" si="257"/>
        <v>0</v>
      </c>
      <c r="AZ443" s="2029">
        <f t="shared" si="257"/>
        <v>0</v>
      </c>
      <c r="BA443" s="2124">
        <f t="shared" ref="BA443:BD458" si="287">BA225</f>
        <v>300</v>
      </c>
      <c r="BB443" s="2029">
        <f t="shared" si="287"/>
        <v>300</v>
      </c>
      <c r="BC443" s="2029">
        <f t="shared" si="287"/>
        <v>300</v>
      </c>
      <c r="BD443" s="2029">
        <f t="shared" si="287"/>
        <v>300</v>
      </c>
      <c r="BE443" s="2030">
        <f t="shared" si="282"/>
        <v>1200</v>
      </c>
      <c r="BF443" s="2030">
        <f t="shared" si="282"/>
        <v>1200</v>
      </c>
      <c r="BG443" s="2030">
        <f t="shared" si="282"/>
        <v>2400</v>
      </c>
      <c r="BH443" s="2030">
        <f t="shared" si="274"/>
        <v>1200</v>
      </c>
      <c r="BI443" s="2030">
        <f t="shared" si="283"/>
        <v>0</v>
      </c>
      <c r="BJ443" s="2030">
        <f t="shared" si="283"/>
        <v>0</v>
      </c>
      <c r="BK443" s="2030">
        <f t="shared" si="283"/>
        <v>0</v>
      </c>
      <c r="BL443" s="2030">
        <f t="shared" si="275"/>
        <v>0</v>
      </c>
      <c r="BM443" s="2125"/>
      <c r="BN443" s="2125"/>
      <c r="BO443" s="2125"/>
      <c r="BP443" s="2125"/>
      <c r="BQ443" s="2125"/>
      <c r="BR443" s="2125"/>
      <c r="BS443" s="2125"/>
      <c r="BT443" s="2125"/>
      <c r="BU443" s="2029"/>
      <c r="BV443" s="2029"/>
      <c r="BW443" s="2029"/>
      <c r="BX443" s="2029"/>
      <c r="BY443" s="2029"/>
      <c r="BZ443" s="2032"/>
      <c r="CA443" s="1974">
        <f t="shared" ref="CA443:CK458" si="288">CA225</f>
        <v>0</v>
      </c>
      <c r="CB443" s="1974">
        <f t="shared" si="288"/>
        <v>0</v>
      </c>
      <c r="CC443" s="1974">
        <f t="shared" si="288"/>
        <v>0</v>
      </c>
      <c r="CD443" s="1974">
        <f t="shared" si="288"/>
        <v>0</v>
      </c>
      <c r="CE443" s="1974">
        <f t="shared" si="288"/>
        <v>0</v>
      </c>
      <c r="CF443" s="2033">
        <v>5.308358879608729E-6</v>
      </c>
      <c r="CG443" s="2026">
        <v>0</v>
      </c>
      <c r="CH443" s="2009">
        <f t="shared" si="288"/>
        <v>0</v>
      </c>
      <c r="CI443" s="2031">
        <f t="shared" si="288"/>
        <v>0</v>
      </c>
      <c r="CJ443" s="1974">
        <f t="shared" si="288"/>
        <v>0</v>
      </c>
      <c r="CK443" s="2031">
        <f t="shared" si="288"/>
        <v>0</v>
      </c>
      <c r="CL443" s="2026">
        <v>1</v>
      </c>
      <c r="CM443" s="2026">
        <v>1</v>
      </c>
      <c r="CN443" s="2026">
        <v>1</v>
      </c>
      <c r="CO443" s="2026">
        <v>1</v>
      </c>
      <c r="CP443" s="2035"/>
      <c r="CQ443" s="2036"/>
      <c r="CR443" s="2036"/>
      <c r="CS443" s="2036"/>
      <c r="CT443" s="2036"/>
      <c r="CU443" s="2036"/>
      <c r="CW443" s="1973">
        <v>0</v>
      </c>
      <c r="CX443" s="2037">
        <v>300</v>
      </c>
      <c r="CY443" s="2037">
        <v>300</v>
      </c>
      <c r="CZ443" s="2037">
        <v>300</v>
      </c>
      <c r="DA443" s="2037">
        <v>300</v>
      </c>
      <c r="DJ443" s="1976">
        <v>300</v>
      </c>
      <c r="DK443" s="1973">
        <v>300</v>
      </c>
      <c r="DL443" s="1973">
        <v>300</v>
      </c>
      <c r="DM443" s="1973">
        <v>300</v>
      </c>
      <c r="DO443" s="2027">
        <v>10</v>
      </c>
      <c r="DP443" s="2127">
        <v>330</v>
      </c>
      <c r="DQ443" s="2127">
        <v>0</v>
      </c>
      <c r="DR443" s="2027">
        <v>0</v>
      </c>
      <c r="DS443" s="2124">
        <v>300</v>
      </c>
      <c r="DT443" s="2029">
        <v>300</v>
      </c>
      <c r="DU443" s="2029">
        <v>300</v>
      </c>
      <c r="DV443" s="2029">
        <v>300</v>
      </c>
      <c r="DW443" s="2124">
        <v>0</v>
      </c>
      <c r="DX443" s="2029">
        <v>0</v>
      </c>
      <c r="DY443" s="2029">
        <v>0</v>
      </c>
      <c r="DZ443" s="2029">
        <v>0</v>
      </c>
      <c r="EA443" s="2124">
        <v>300</v>
      </c>
      <c r="EB443" s="2029">
        <v>300</v>
      </c>
      <c r="EC443" s="2029">
        <v>300</v>
      </c>
      <c r="ED443" s="2029">
        <v>300</v>
      </c>
      <c r="EE443" s="2039">
        <f t="shared" si="253"/>
        <v>0</v>
      </c>
      <c r="EF443" s="2039">
        <f t="shared" si="253"/>
        <v>0</v>
      </c>
      <c r="EG443" s="2039">
        <f t="shared" si="253"/>
        <v>0</v>
      </c>
      <c r="EH443" s="2039">
        <f t="shared" si="252"/>
        <v>0</v>
      </c>
      <c r="EI443" s="2040">
        <f t="shared" si="273"/>
        <v>0</v>
      </c>
      <c r="EJ443" s="2040">
        <f t="shared" si="273"/>
        <v>0</v>
      </c>
      <c r="EK443" s="2040">
        <f t="shared" si="273"/>
        <v>0</v>
      </c>
      <c r="EL443" s="2040">
        <f t="shared" si="273"/>
        <v>0</v>
      </c>
      <c r="EM443" s="2040">
        <f t="shared" si="273"/>
        <v>0</v>
      </c>
      <c r="EN443" s="2040">
        <f t="shared" si="273"/>
        <v>0</v>
      </c>
      <c r="EO443" s="2040">
        <f t="shared" si="271"/>
        <v>0</v>
      </c>
      <c r="EP443" s="2040">
        <f t="shared" si="271"/>
        <v>0</v>
      </c>
      <c r="EQ443" s="2040">
        <f t="shared" si="271"/>
        <v>0</v>
      </c>
      <c r="ER443" s="2040">
        <f t="shared" si="261"/>
        <v>0</v>
      </c>
      <c r="ES443" s="2040">
        <f t="shared" si="261"/>
        <v>0</v>
      </c>
      <c r="ET443" s="2040">
        <f t="shared" si="261"/>
        <v>0</v>
      </c>
      <c r="EU443" s="2039">
        <f t="shared" si="254"/>
        <v>0</v>
      </c>
      <c r="EV443" s="2039">
        <f t="shared" si="255"/>
        <v>0</v>
      </c>
    </row>
    <row r="444" spans="1:152" x14ac:dyDescent="0.25">
      <c r="A444" s="2142" t="s">
        <v>272</v>
      </c>
      <c r="B444" s="2027"/>
      <c r="C444" s="2027">
        <f t="shared" ref="C444:F459" si="289">C226</f>
        <v>0</v>
      </c>
      <c r="D444" s="2127">
        <f t="shared" si="289"/>
        <v>0</v>
      </c>
      <c r="E444" s="2127">
        <f t="shared" si="289"/>
        <v>0</v>
      </c>
      <c r="F444" s="2027">
        <f t="shared" si="289"/>
        <v>0</v>
      </c>
      <c r="G444" s="1974" t="s">
        <v>2997</v>
      </c>
      <c r="H444" s="1974" t="s">
        <v>2997</v>
      </c>
      <c r="I444" s="2026">
        <v>0.96199999999999997</v>
      </c>
      <c r="J444" s="2026">
        <v>0.96199999999999997</v>
      </c>
      <c r="K444" s="2026">
        <v>0.96199999999999997</v>
      </c>
      <c r="L444" s="2026">
        <v>0.96199999999999997</v>
      </c>
      <c r="M444" s="2027">
        <f t="shared" si="284"/>
        <v>0</v>
      </c>
      <c r="N444" s="2027">
        <f t="shared" si="284"/>
        <v>0</v>
      </c>
      <c r="O444" s="2027">
        <f t="shared" si="284"/>
        <v>0</v>
      </c>
      <c r="P444" s="2027">
        <f>$D444*L444</f>
        <v>0</v>
      </c>
      <c r="Q444" s="2026">
        <v>0.96199999999999997</v>
      </c>
      <c r="R444" s="2026">
        <v>0.96199999999999997</v>
      </c>
      <c r="S444" s="2026">
        <v>0.96199999999999997</v>
      </c>
      <c r="T444" s="2026">
        <v>0.96199999999999997</v>
      </c>
      <c r="U444" s="2028">
        <f t="shared" si="285"/>
        <v>0</v>
      </c>
      <c r="V444" s="2028">
        <f t="shared" si="285"/>
        <v>0</v>
      </c>
      <c r="W444" s="2028">
        <f t="shared" si="285"/>
        <v>0</v>
      </c>
      <c r="X444" s="2028">
        <f>$E444*T444</f>
        <v>0</v>
      </c>
      <c r="Y444" s="2026">
        <v>0.96199999999999997</v>
      </c>
      <c r="Z444" s="2026">
        <v>0.96199999999999997</v>
      </c>
      <c r="AA444" s="2026">
        <v>0.96199999999999997</v>
      </c>
      <c r="AB444" s="2026">
        <v>0.96199999999999997</v>
      </c>
      <c r="AC444" s="2027">
        <f t="shared" si="286"/>
        <v>0</v>
      </c>
      <c r="AD444" s="2027">
        <f t="shared" si="286"/>
        <v>0</v>
      </c>
      <c r="AE444" s="2027">
        <f t="shared" si="286"/>
        <v>0</v>
      </c>
      <c r="AF444" s="2027">
        <f>$F444*AB444</f>
        <v>0</v>
      </c>
      <c r="AG444" s="2027">
        <v>0</v>
      </c>
      <c r="AH444" s="2028"/>
      <c r="AI444" s="2028"/>
      <c r="AJ444" s="2028"/>
      <c r="AK444" s="2027">
        <f t="shared" si="250"/>
        <v>0</v>
      </c>
      <c r="AL444" s="2027">
        <f t="shared" si="279"/>
        <v>0</v>
      </c>
      <c r="AM444" s="2027">
        <f t="shared" si="279"/>
        <v>0</v>
      </c>
      <c r="AN444" s="2027">
        <f t="shared" si="279"/>
        <v>0</v>
      </c>
      <c r="AO444" s="2027">
        <f>AG444*AC444</f>
        <v>0</v>
      </c>
      <c r="AP444" s="2027">
        <f t="shared" si="280"/>
        <v>0</v>
      </c>
      <c r="AQ444" s="2027">
        <f t="shared" si="280"/>
        <v>0</v>
      </c>
      <c r="AR444" s="2027">
        <f t="shared" si="280"/>
        <v>0</v>
      </c>
      <c r="AS444" s="2124">
        <f>AS226*1.5</f>
        <v>0</v>
      </c>
      <c r="AT444" s="2029">
        <f t="shared" si="281"/>
        <v>0</v>
      </c>
      <c r="AU444" s="2029">
        <f t="shared" si="281"/>
        <v>0</v>
      </c>
      <c r="AV444" s="2029">
        <f t="shared" si="281"/>
        <v>0</v>
      </c>
      <c r="AW444" s="2124">
        <f>AW226*1.3</f>
        <v>0</v>
      </c>
      <c r="AX444" s="2029">
        <f t="shared" si="257"/>
        <v>0</v>
      </c>
      <c r="AY444" s="2029">
        <f t="shared" si="257"/>
        <v>0</v>
      </c>
      <c r="AZ444" s="2029">
        <f t="shared" si="257"/>
        <v>0</v>
      </c>
      <c r="BA444" s="2124">
        <f t="shared" si="287"/>
        <v>0</v>
      </c>
      <c r="BB444" s="2029">
        <f t="shared" si="287"/>
        <v>0</v>
      </c>
      <c r="BC444" s="2029">
        <f t="shared" si="287"/>
        <v>0</v>
      </c>
      <c r="BD444" s="2029">
        <f t="shared" si="287"/>
        <v>0</v>
      </c>
      <c r="BE444" s="2030">
        <f t="shared" si="282"/>
        <v>0</v>
      </c>
      <c r="BF444" s="2030">
        <f t="shared" si="282"/>
        <v>0</v>
      </c>
      <c r="BG444" s="2030">
        <f t="shared" si="282"/>
        <v>0</v>
      </c>
      <c r="BH444" s="2030">
        <f t="shared" si="274"/>
        <v>0</v>
      </c>
      <c r="BI444" s="2030">
        <f t="shared" si="283"/>
        <v>0</v>
      </c>
      <c r="BJ444" s="2030">
        <f t="shared" si="283"/>
        <v>0</v>
      </c>
      <c r="BK444" s="2030">
        <f t="shared" si="283"/>
        <v>0</v>
      </c>
      <c r="BL444" s="2030">
        <f t="shared" si="275"/>
        <v>0</v>
      </c>
      <c r="BM444" s="2125"/>
      <c r="BN444" s="2125"/>
      <c r="BO444" s="2125"/>
      <c r="BP444" s="2125"/>
      <c r="BQ444" s="2125"/>
      <c r="BR444" s="2125"/>
      <c r="BS444" s="2125"/>
      <c r="BT444" s="2125"/>
      <c r="BU444" s="2029"/>
      <c r="BV444" s="2029"/>
      <c r="BW444" s="2029"/>
      <c r="BX444" s="2029"/>
      <c r="BY444" s="2029"/>
      <c r="BZ444" s="2032"/>
      <c r="CA444" s="1974">
        <f t="shared" si="288"/>
        <v>0</v>
      </c>
      <c r="CB444" s="1974">
        <f t="shared" si="288"/>
        <v>0</v>
      </c>
      <c r="CC444" s="1974">
        <f t="shared" si="288"/>
        <v>0</v>
      </c>
      <c r="CD444" s="1974">
        <f t="shared" si="288"/>
        <v>0</v>
      </c>
      <c r="CE444" s="1974">
        <f t="shared" si="288"/>
        <v>0</v>
      </c>
      <c r="CF444" s="2033">
        <v>0</v>
      </c>
      <c r="CG444" s="2026">
        <v>0</v>
      </c>
      <c r="CH444" s="2009">
        <f t="shared" si="288"/>
        <v>0</v>
      </c>
      <c r="CI444" s="2031">
        <f t="shared" si="288"/>
        <v>0</v>
      </c>
      <c r="CJ444" s="1974">
        <f t="shared" si="288"/>
        <v>0</v>
      </c>
      <c r="CK444" s="2031">
        <f t="shared" si="288"/>
        <v>0</v>
      </c>
      <c r="CL444" s="2026">
        <v>1</v>
      </c>
      <c r="CM444" s="2026">
        <v>1</v>
      </c>
      <c r="CN444" s="2026">
        <v>1</v>
      </c>
      <c r="CO444" s="2026">
        <v>1</v>
      </c>
      <c r="CP444" s="2035"/>
      <c r="CQ444" s="2036"/>
      <c r="CR444" s="2036"/>
      <c r="CS444" s="2036"/>
      <c r="CT444" s="2036"/>
      <c r="CU444" s="2036"/>
      <c r="CW444" s="1973">
        <v>0</v>
      </c>
      <c r="CX444" s="2037">
        <v>0</v>
      </c>
      <c r="CY444" s="2037">
        <v>0</v>
      </c>
      <c r="CZ444" s="2037">
        <v>0</v>
      </c>
      <c r="DA444" s="2037">
        <v>0</v>
      </c>
      <c r="DJ444" s="1976">
        <v>0</v>
      </c>
      <c r="DK444" s="1973">
        <v>0</v>
      </c>
      <c r="DL444" s="1973">
        <v>0</v>
      </c>
      <c r="DM444" s="1973">
        <v>0</v>
      </c>
      <c r="DO444" s="2027">
        <v>0</v>
      </c>
      <c r="DP444" s="2127">
        <v>0</v>
      </c>
      <c r="DQ444" s="2127">
        <v>0</v>
      </c>
      <c r="DR444" s="2027">
        <v>0</v>
      </c>
      <c r="DS444" s="2124">
        <v>0</v>
      </c>
      <c r="DT444" s="2029">
        <v>0</v>
      </c>
      <c r="DU444" s="2029">
        <v>0</v>
      </c>
      <c r="DV444" s="2029">
        <v>0</v>
      </c>
      <c r="DW444" s="2124">
        <v>0</v>
      </c>
      <c r="DX444" s="2029">
        <v>0</v>
      </c>
      <c r="DY444" s="2029">
        <v>0</v>
      </c>
      <c r="DZ444" s="2029">
        <v>0</v>
      </c>
      <c r="EA444" s="2124">
        <v>0</v>
      </c>
      <c r="EB444" s="2029">
        <v>0</v>
      </c>
      <c r="EC444" s="2029">
        <v>0</v>
      </c>
      <c r="ED444" s="2029">
        <v>0</v>
      </c>
      <c r="EE444" s="2039">
        <f t="shared" si="253"/>
        <v>0</v>
      </c>
      <c r="EF444" s="2039">
        <f t="shared" si="253"/>
        <v>0</v>
      </c>
      <c r="EG444" s="2039">
        <f t="shared" si="253"/>
        <v>0</v>
      </c>
      <c r="EH444" s="2039">
        <f t="shared" si="252"/>
        <v>0</v>
      </c>
      <c r="EI444" s="2040">
        <f t="shared" si="273"/>
        <v>0</v>
      </c>
      <c r="EJ444" s="2040">
        <f t="shared" si="273"/>
        <v>0</v>
      </c>
      <c r="EK444" s="2040">
        <f t="shared" si="273"/>
        <v>0</v>
      </c>
      <c r="EL444" s="2040">
        <f t="shared" si="273"/>
        <v>0</v>
      </c>
      <c r="EM444" s="2040">
        <f t="shared" si="273"/>
        <v>0</v>
      </c>
      <c r="EN444" s="2040">
        <f t="shared" si="273"/>
        <v>0</v>
      </c>
      <c r="EO444" s="2040">
        <f t="shared" si="271"/>
        <v>0</v>
      </c>
      <c r="EP444" s="2040">
        <f t="shared" si="271"/>
        <v>0</v>
      </c>
      <c r="EQ444" s="2040">
        <f t="shared" si="271"/>
        <v>0</v>
      </c>
      <c r="ER444" s="2040">
        <f t="shared" si="261"/>
        <v>0</v>
      </c>
      <c r="ES444" s="2040">
        <f t="shared" si="261"/>
        <v>0</v>
      </c>
      <c r="ET444" s="2040">
        <f t="shared" si="261"/>
        <v>0</v>
      </c>
      <c r="EU444" s="2039">
        <f t="shared" si="254"/>
        <v>0</v>
      </c>
      <c r="EV444" s="2039">
        <f t="shared" si="255"/>
        <v>0</v>
      </c>
    </row>
    <row r="445" spans="1:152" x14ac:dyDescent="0.25">
      <c r="A445" s="2142" t="s">
        <v>208</v>
      </c>
      <c r="B445" s="2027"/>
      <c r="C445" s="2027">
        <f t="shared" si="289"/>
        <v>18</v>
      </c>
      <c r="D445" s="2127">
        <f t="shared" si="289"/>
        <v>4596</v>
      </c>
      <c r="E445" s="2127">
        <f t="shared" si="289"/>
        <v>1.4</v>
      </c>
      <c r="F445" s="2027">
        <f t="shared" si="289"/>
        <v>0</v>
      </c>
      <c r="G445" s="1974" t="s">
        <v>2997</v>
      </c>
      <c r="H445" s="1974" t="s">
        <v>2997</v>
      </c>
      <c r="I445" s="2026">
        <v>0.96199999999999997</v>
      </c>
      <c r="J445" s="2026">
        <v>0.96199999999999997</v>
      </c>
      <c r="K445" s="2026">
        <v>0.96199999999999997</v>
      </c>
      <c r="L445" s="2026">
        <v>0.96199999999999997</v>
      </c>
      <c r="M445" s="2027">
        <f t="shared" si="284"/>
        <v>4421.3519999999999</v>
      </c>
      <c r="N445" s="2027">
        <f t="shared" si="284"/>
        <v>4421.3519999999999</v>
      </c>
      <c r="O445" s="2027">
        <f t="shared" si="284"/>
        <v>4421.3519999999999</v>
      </c>
      <c r="P445" s="2027">
        <f>$D445*L445</f>
        <v>4421.3519999999999</v>
      </c>
      <c r="Q445" s="2026">
        <v>0.96199999999999997</v>
      </c>
      <c r="R445" s="2026">
        <v>0.96199999999999997</v>
      </c>
      <c r="S445" s="2026">
        <v>0.96199999999999997</v>
      </c>
      <c r="T445" s="2026">
        <v>0.96199999999999997</v>
      </c>
      <c r="U445" s="2028">
        <f t="shared" si="285"/>
        <v>1.3467999999999998</v>
      </c>
      <c r="V445" s="2028">
        <f t="shared" si="285"/>
        <v>1.3467999999999998</v>
      </c>
      <c r="W445" s="2028">
        <f t="shared" si="285"/>
        <v>1.3467999999999998</v>
      </c>
      <c r="X445" s="2028">
        <f>$E445*T445</f>
        <v>1.3467999999999998</v>
      </c>
      <c r="Y445" s="2026">
        <v>0.96199999999999997</v>
      </c>
      <c r="Z445" s="2026">
        <v>0.96199999999999997</v>
      </c>
      <c r="AA445" s="2026">
        <v>0.96199999999999997</v>
      </c>
      <c r="AB445" s="2026">
        <v>0.96199999999999997</v>
      </c>
      <c r="AC445" s="2027">
        <f t="shared" si="286"/>
        <v>0</v>
      </c>
      <c r="AD445" s="2027">
        <f t="shared" si="286"/>
        <v>0</v>
      </c>
      <c r="AE445" s="2027">
        <f t="shared" si="286"/>
        <v>0</v>
      </c>
      <c r="AF445" s="2027">
        <f>$F445*AB445</f>
        <v>0</v>
      </c>
      <c r="AG445" s="2027">
        <v>0</v>
      </c>
      <c r="AH445" s="2028"/>
      <c r="AI445" s="2028"/>
      <c r="AJ445" s="2028"/>
      <c r="AK445" s="2027">
        <f t="shared" si="250"/>
        <v>0</v>
      </c>
      <c r="AL445" s="2027">
        <f t="shared" si="279"/>
        <v>0</v>
      </c>
      <c r="AM445" s="2027">
        <f t="shared" si="279"/>
        <v>0</v>
      </c>
      <c r="AN445" s="2027">
        <f t="shared" si="279"/>
        <v>0</v>
      </c>
      <c r="AO445" s="2027">
        <f>AG445*AC445</f>
        <v>0</v>
      </c>
      <c r="AP445" s="2027">
        <f t="shared" si="280"/>
        <v>0</v>
      </c>
      <c r="AQ445" s="2027">
        <f t="shared" si="280"/>
        <v>0</v>
      </c>
      <c r="AR445" s="2027">
        <f t="shared" si="280"/>
        <v>0</v>
      </c>
      <c r="AS445" s="2029">
        <f t="shared" ref="AS445:AS464" si="290">AS227*1.5</f>
        <v>1050</v>
      </c>
      <c r="AT445" s="2029">
        <f t="shared" si="281"/>
        <v>1050</v>
      </c>
      <c r="AU445" s="2029">
        <f t="shared" si="281"/>
        <v>1050</v>
      </c>
      <c r="AV445" s="2029">
        <f t="shared" si="281"/>
        <v>1050</v>
      </c>
      <c r="AW445" s="2029">
        <f t="shared" ref="AW445:AW464" si="291">AW227*1.3</f>
        <v>0</v>
      </c>
      <c r="AX445" s="2029">
        <f t="shared" si="257"/>
        <v>0</v>
      </c>
      <c r="AY445" s="2029">
        <f t="shared" si="257"/>
        <v>0</v>
      </c>
      <c r="AZ445" s="2029">
        <f t="shared" si="257"/>
        <v>0</v>
      </c>
      <c r="BA445" s="2029">
        <f t="shared" si="287"/>
        <v>3750</v>
      </c>
      <c r="BB445" s="2029">
        <f t="shared" si="287"/>
        <v>3750</v>
      </c>
      <c r="BC445" s="2029">
        <f t="shared" si="287"/>
        <v>3750</v>
      </c>
      <c r="BD445" s="2029">
        <f t="shared" si="287"/>
        <v>3750</v>
      </c>
      <c r="BE445" s="2030">
        <f t="shared" si="282"/>
        <v>0</v>
      </c>
      <c r="BF445" s="2030">
        <f t="shared" si="282"/>
        <v>0</v>
      </c>
      <c r="BG445" s="2030">
        <f t="shared" si="282"/>
        <v>0</v>
      </c>
      <c r="BH445" s="2030">
        <f t="shared" si="274"/>
        <v>0</v>
      </c>
      <c r="BI445" s="2030">
        <f t="shared" si="283"/>
        <v>0</v>
      </c>
      <c r="BJ445" s="2030">
        <f t="shared" si="283"/>
        <v>0</v>
      </c>
      <c r="BK445" s="2030">
        <f t="shared" si="283"/>
        <v>0</v>
      </c>
      <c r="BL445" s="2030">
        <f t="shared" si="275"/>
        <v>0</v>
      </c>
      <c r="BM445" s="2125"/>
      <c r="BN445" s="2125"/>
      <c r="BO445" s="2125"/>
      <c r="BP445" s="2125"/>
      <c r="BQ445" s="2125"/>
      <c r="BR445" s="2125"/>
      <c r="BS445" s="2125"/>
      <c r="BT445" s="2125"/>
      <c r="BU445" s="2029"/>
      <c r="BV445" s="2029"/>
      <c r="BW445" s="2029"/>
      <c r="BX445" s="2029"/>
      <c r="BY445" s="2029"/>
      <c r="BZ445" s="2032"/>
      <c r="CA445" s="1974">
        <f t="shared" si="288"/>
        <v>0</v>
      </c>
      <c r="CB445" s="1974">
        <f t="shared" si="288"/>
        <v>0</v>
      </c>
      <c r="CC445" s="1974">
        <f t="shared" si="288"/>
        <v>0</v>
      </c>
      <c r="CD445" s="1974">
        <f t="shared" si="288"/>
        <v>0</v>
      </c>
      <c r="CE445" s="1974">
        <f t="shared" si="288"/>
        <v>0</v>
      </c>
      <c r="CF445" s="2033">
        <v>0</v>
      </c>
      <c r="CG445" s="2026">
        <v>0</v>
      </c>
      <c r="CH445" s="2009">
        <f t="shared" si="288"/>
        <v>0</v>
      </c>
      <c r="CI445" s="2031">
        <f t="shared" si="288"/>
        <v>0</v>
      </c>
      <c r="CJ445" s="1974">
        <f t="shared" si="288"/>
        <v>0</v>
      </c>
      <c r="CK445" s="2031">
        <f t="shared" si="288"/>
        <v>0</v>
      </c>
      <c r="CL445" s="2026">
        <v>1</v>
      </c>
      <c r="CM445" s="2026">
        <v>1</v>
      </c>
      <c r="CN445" s="2026">
        <v>1</v>
      </c>
      <c r="CO445" s="2026">
        <v>1</v>
      </c>
      <c r="CP445" s="2035"/>
      <c r="CQ445" s="2036"/>
      <c r="CR445" s="2036"/>
      <c r="CS445" s="2036"/>
      <c r="CT445" s="2036"/>
      <c r="CU445" s="2036"/>
      <c r="CW445" s="1973">
        <v>0</v>
      </c>
      <c r="CX445" s="2037">
        <v>1050</v>
      </c>
      <c r="CY445" s="2037">
        <v>1050</v>
      </c>
      <c r="CZ445" s="2037">
        <v>1050</v>
      </c>
      <c r="DA445" s="2037">
        <v>1050</v>
      </c>
      <c r="DJ445" s="1976">
        <v>1050</v>
      </c>
      <c r="DK445" s="1973">
        <v>1050</v>
      </c>
      <c r="DL445" s="1973">
        <v>1050</v>
      </c>
      <c r="DM445" s="1973">
        <v>1050</v>
      </c>
      <c r="DO445" s="2027">
        <v>18</v>
      </c>
      <c r="DP445" s="2127">
        <v>4596</v>
      </c>
      <c r="DQ445" s="2127">
        <v>1.4</v>
      </c>
      <c r="DR445" s="2027">
        <v>0</v>
      </c>
      <c r="DS445" s="2029">
        <v>1050</v>
      </c>
      <c r="DT445" s="2029">
        <v>1050</v>
      </c>
      <c r="DU445" s="2029">
        <v>1050</v>
      </c>
      <c r="DV445" s="2029">
        <v>1050</v>
      </c>
      <c r="DW445" s="2029">
        <v>0</v>
      </c>
      <c r="DX445" s="2029">
        <v>0</v>
      </c>
      <c r="DY445" s="2029">
        <v>0</v>
      </c>
      <c r="DZ445" s="2029">
        <v>0</v>
      </c>
      <c r="EA445" s="2029">
        <v>3750</v>
      </c>
      <c r="EB445" s="2029">
        <v>3750</v>
      </c>
      <c r="EC445" s="2029">
        <v>3750</v>
      </c>
      <c r="ED445" s="2029">
        <v>3750</v>
      </c>
      <c r="EE445" s="2039">
        <f t="shared" si="253"/>
        <v>0</v>
      </c>
      <c r="EF445" s="2039">
        <f t="shared" si="253"/>
        <v>0</v>
      </c>
      <c r="EG445" s="2039">
        <f t="shared" si="253"/>
        <v>0</v>
      </c>
      <c r="EH445" s="2039">
        <f t="shared" si="252"/>
        <v>0</v>
      </c>
      <c r="EI445" s="2040">
        <f t="shared" si="273"/>
        <v>0</v>
      </c>
      <c r="EJ445" s="2040">
        <f t="shared" si="273"/>
        <v>0</v>
      </c>
      <c r="EK445" s="2040">
        <f t="shared" si="273"/>
        <v>0</v>
      </c>
      <c r="EL445" s="2040">
        <f t="shared" si="273"/>
        <v>0</v>
      </c>
      <c r="EM445" s="2040">
        <f t="shared" si="273"/>
        <v>0</v>
      </c>
      <c r="EN445" s="2040">
        <f t="shared" si="273"/>
        <v>0</v>
      </c>
      <c r="EO445" s="2040">
        <f t="shared" si="271"/>
        <v>0</v>
      </c>
      <c r="EP445" s="2040">
        <f t="shared" si="271"/>
        <v>0</v>
      </c>
      <c r="EQ445" s="2040">
        <f t="shared" si="271"/>
        <v>0</v>
      </c>
      <c r="ER445" s="2040">
        <f t="shared" si="261"/>
        <v>0</v>
      </c>
      <c r="ES445" s="2040">
        <f t="shared" si="261"/>
        <v>0</v>
      </c>
      <c r="ET445" s="2040">
        <f t="shared" si="261"/>
        <v>0</v>
      </c>
      <c r="EU445" s="2039">
        <f t="shared" si="254"/>
        <v>0</v>
      </c>
      <c r="EV445" s="2039">
        <f t="shared" si="255"/>
        <v>0</v>
      </c>
    </row>
    <row r="446" spans="1:152" x14ac:dyDescent="0.25">
      <c r="A446" s="2142" t="s">
        <v>1035</v>
      </c>
      <c r="B446" s="2027"/>
      <c r="C446" s="2027">
        <f t="shared" si="289"/>
        <v>0</v>
      </c>
      <c r="D446" s="2127">
        <f t="shared" si="289"/>
        <v>0</v>
      </c>
      <c r="E446" s="2127">
        <f t="shared" si="289"/>
        <v>0</v>
      </c>
      <c r="F446" s="2027">
        <f t="shared" si="289"/>
        <v>0</v>
      </c>
      <c r="G446" s="1974" t="s">
        <v>2997</v>
      </c>
      <c r="H446" s="1974" t="s">
        <v>2997</v>
      </c>
      <c r="I446" s="2026">
        <v>0.96199999999999997</v>
      </c>
      <c r="J446" s="2026">
        <v>0.96199999999999997</v>
      </c>
      <c r="K446" s="2026">
        <v>0.96199999999999997</v>
      </c>
      <c r="L446" s="2026">
        <v>0.96199999999999997</v>
      </c>
      <c r="M446" s="2027">
        <f t="shared" si="284"/>
        <v>0</v>
      </c>
      <c r="N446" s="2027">
        <f t="shared" si="284"/>
        <v>0</v>
      </c>
      <c r="O446" s="2027">
        <f t="shared" si="284"/>
        <v>0</v>
      </c>
      <c r="P446" s="2027">
        <f>$D446*L446</f>
        <v>0</v>
      </c>
      <c r="Q446" s="2026">
        <v>0.96199999999999997</v>
      </c>
      <c r="R446" s="2026">
        <v>0.96199999999999997</v>
      </c>
      <c r="S446" s="2026">
        <v>0.96199999999999997</v>
      </c>
      <c r="T446" s="2026">
        <v>0.96199999999999997</v>
      </c>
      <c r="U446" s="2028">
        <f t="shared" si="285"/>
        <v>0</v>
      </c>
      <c r="V446" s="2028">
        <f t="shared" si="285"/>
        <v>0</v>
      </c>
      <c r="W446" s="2028">
        <f t="shared" si="285"/>
        <v>0</v>
      </c>
      <c r="X446" s="2028">
        <f>$E446*T446</f>
        <v>0</v>
      </c>
      <c r="Y446" s="2026">
        <v>0.96199999999999997</v>
      </c>
      <c r="Z446" s="2026">
        <v>0.96199999999999997</v>
      </c>
      <c r="AA446" s="2026">
        <v>0.96199999999999997</v>
      </c>
      <c r="AB446" s="2026">
        <v>0.96199999999999997</v>
      </c>
      <c r="AC446" s="2027">
        <f t="shared" si="286"/>
        <v>0</v>
      </c>
      <c r="AD446" s="2027">
        <f t="shared" si="286"/>
        <v>0</v>
      </c>
      <c r="AE446" s="2027">
        <f t="shared" si="286"/>
        <v>0</v>
      </c>
      <c r="AF446" s="2027">
        <f>$F446*AB446</f>
        <v>0</v>
      </c>
      <c r="AG446" s="2027">
        <v>0</v>
      </c>
      <c r="AH446" s="2028"/>
      <c r="AI446" s="2028"/>
      <c r="AJ446" s="2028"/>
      <c r="AK446" s="2027">
        <f>AG446*M446</f>
        <v>0</v>
      </c>
      <c r="AL446" s="2027">
        <f t="shared" si="279"/>
        <v>0</v>
      </c>
      <c r="AM446" s="2027">
        <f t="shared" si="279"/>
        <v>0</v>
      </c>
      <c r="AN446" s="2027">
        <f t="shared" si="279"/>
        <v>0</v>
      </c>
      <c r="AO446" s="2027">
        <f>AG446*AC446</f>
        <v>0</v>
      </c>
      <c r="AP446" s="2027">
        <f t="shared" si="280"/>
        <v>0</v>
      </c>
      <c r="AQ446" s="2027">
        <f t="shared" si="280"/>
        <v>0</v>
      </c>
      <c r="AR446" s="2027">
        <f t="shared" si="280"/>
        <v>0</v>
      </c>
      <c r="AS446" s="2124">
        <f t="shared" si="290"/>
        <v>0</v>
      </c>
      <c r="AT446" s="2029">
        <f t="shared" si="281"/>
        <v>0</v>
      </c>
      <c r="AU446" s="2029">
        <f t="shared" si="281"/>
        <v>0</v>
      </c>
      <c r="AV446" s="2029">
        <f t="shared" si="281"/>
        <v>0</v>
      </c>
      <c r="AW446" s="2124">
        <f t="shared" si="291"/>
        <v>0</v>
      </c>
      <c r="AX446" s="2029">
        <f t="shared" si="257"/>
        <v>0</v>
      </c>
      <c r="AY446" s="2029">
        <f t="shared" si="257"/>
        <v>0</v>
      </c>
      <c r="AZ446" s="2029">
        <f t="shared" si="257"/>
        <v>0</v>
      </c>
      <c r="BA446" s="2124">
        <f t="shared" si="287"/>
        <v>0</v>
      </c>
      <c r="BB446" s="2029">
        <f t="shared" si="287"/>
        <v>0</v>
      </c>
      <c r="BC446" s="2029">
        <f t="shared" si="287"/>
        <v>0</v>
      </c>
      <c r="BD446" s="2029">
        <f t="shared" si="287"/>
        <v>0</v>
      </c>
      <c r="BE446" s="2030">
        <f t="shared" si="282"/>
        <v>0</v>
      </c>
      <c r="BF446" s="2030">
        <f t="shared" si="282"/>
        <v>0</v>
      </c>
      <c r="BG446" s="2030">
        <f t="shared" si="282"/>
        <v>0</v>
      </c>
      <c r="BH446" s="2030">
        <f t="shared" si="274"/>
        <v>0</v>
      </c>
      <c r="BI446" s="2030">
        <f t="shared" si="283"/>
        <v>0</v>
      </c>
      <c r="BJ446" s="2030">
        <f t="shared" si="283"/>
        <v>0</v>
      </c>
      <c r="BK446" s="2030">
        <f t="shared" si="283"/>
        <v>0</v>
      </c>
      <c r="BL446" s="2030">
        <f t="shared" si="275"/>
        <v>0</v>
      </c>
      <c r="BM446" s="2125"/>
      <c r="BN446" s="2125"/>
      <c r="BO446" s="2125"/>
      <c r="BP446" s="2125"/>
      <c r="BQ446" s="2125"/>
      <c r="BR446" s="2125"/>
      <c r="BS446" s="2125"/>
      <c r="BT446" s="2125"/>
      <c r="BU446" s="2029"/>
      <c r="BV446" s="2029"/>
      <c r="BW446" s="2029"/>
      <c r="BX446" s="2029"/>
      <c r="BY446" s="2029"/>
      <c r="BZ446" s="2032"/>
      <c r="CA446" s="1974">
        <f t="shared" si="288"/>
        <v>0</v>
      </c>
      <c r="CB446" s="1974">
        <f t="shared" si="288"/>
        <v>0</v>
      </c>
      <c r="CC446" s="1974">
        <f t="shared" si="288"/>
        <v>0</v>
      </c>
      <c r="CD446" s="1974">
        <f t="shared" si="288"/>
        <v>0</v>
      </c>
      <c r="CE446" s="1974">
        <f t="shared" si="288"/>
        <v>0</v>
      </c>
      <c r="CF446" s="2033">
        <v>0</v>
      </c>
      <c r="CG446" s="2026">
        <v>0</v>
      </c>
      <c r="CH446" s="2009">
        <f t="shared" si="288"/>
        <v>0</v>
      </c>
      <c r="CI446" s="2031">
        <f t="shared" si="288"/>
        <v>0</v>
      </c>
      <c r="CJ446" s="1974">
        <f t="shared" si="288"/>
        <v>0</v>
      </c>
      <c r="CK446" s="2031">
        <f t="shared" si="288"/>
        <v>0</v>
      </c>
      <c r="CL446" s="2026">
        <v>0</v>
      </c>
      <c r="CM446" s="2026">
        <v>0</v>
      </c>
      <c r="CN446" s="2026">
        <v>0</v>
      </c>
      <c r="CO446" s="2026">
        <v>1</v>
      </c>
      <c r="CP446" s="2035"/>
      <c r="CQ446" s="2036"/>
      <c r="CR446" s="2036"/>
      <c r="CS446" s="2036"/>
      <c r="CT446" s="2036"/>
      <c r="CU446" s="2036"/>
      <c r="CW446" s="1973">
        <v>0</v>
      </c>
      <c r="CX446" s="2037">
        <v>0</v>
      </c>
      <c r="CY446" s="2037">
        <v>0</v>
      </c>
      <c r="CZ446" s="2037">
        <v>0</v>
      </c>
      <c r="DA446" s="2037">
        <v>0</v>
      </c>
      <c r="DJ446" s="1976">
        <v>0</v>
      </c>
      <c r="DK446" s="1973">
        <v>0</v>
      </c>
      <c r="DL446" s="1973">
        <v>0</v>
      </c>
      <c r="DM446" s="1973">
        <v>0</v>
      </c>
      <c r="DO446" s="2027">
        <v>0</v>
      </c>
      <c r="DP446" s="2127">
        <v>0</v>
      </c>
      <c r="DQ446" s="2127">
        <v>0</v>
      </c>
      <c r="DR446" s="2027">
        <v>0</v>
      </c>
      <c r="DS446" s="2124">
        <v>0</v>
      </c>
      <c r="DT446" s="2029">
        <v>0</v>
      </c>
      <c r="DU446" s="2029">
        <v>0</v>
      </c>
      <c r="DV446" s="2029">
        <v>0</v>
      </c>
      <c r="DW446" s="2124">
        <v>0</v>
      </c>
      <c r="DX446" s="2029">
        <v>0</v>
      </c>
      <c r="DY446" s="2029">
        <v>0</v>
      </c>
      <c r="DZ446" s="2029">
        <v>0</v>
      </c>
      <c r="EA446" s="2124">
        <v>0</v>
      </c>
      <c r="EB446" s="2029">
        <v>0</v>
      </c>
      <c r="EC446" s="2029">
        <v>0</v>
      </c>
      <c r="ED446" s="2029">
        <v>0</v>
      </c>
      <c r="EE446" s="2039">
        <f t="shared" si="253"/>
        <v>0</v>
      </c>
      <c r="EF446" s="2039">
        <f t="shared" si="253"/>
        <v>0</v>
      </c>
      <c r="EG446" s="2039">
        <f t="shared" si="253"/>
        <v>0</v>
      </c>
      <c r="EH446" s="2039">
        <f t="shared" si="252"/>
        <v>0</v>
      </c>
      <c r="EI446" s="2040">
        <f t="shared" si="273"/>
        <v>0</v>
      </c>
      <c r="EJ446" s="2040">
        <f t="shared" si="273"/>
        <v>0</v>
      </c>
      <c r="EK446" s="2040">
        <f t="shared" si="273"/>
        <v>0</v>
      </c>
      <c r="EL446" s="2040">
        <f t="shared" si="273"/>
        <v>0</v>
      </c>
      <c r="EM446" s="2040">
        <f t="shared" si="273"/>
        <v>0</v>
      </c>
      <c r="EN446" s="2040">
        <f t="shared" si="273"/>
        <v>0</v>
      </c>
      <c r="EO446" s="2040">
        <f t="shared" si="271"/>
        <v>0</v>
      </c>
      <c r="EP446" s="2040">
        <f t="shared" si="271"/>
        <v>0</v>
      </c>
      <c r="EQ446" s="2040">
        <f t="shared" si="271"/>
        <v>0</v>
      </c>
      <c r="ER446" s="2040">
        <f t="shared" si="261"/>
        <v>0</v>
      </c>
      <c r="ES446" s="2040">
        <f t="shared" si="261"/>
        <v>0</v>
      </c>
      <c r="ET446" s="2040">
        <f t="shared" si="261"/>
        <v>0</v>
      </c>
      <c r="EU446" s="2039">
        <f t="shared" si="254"/>
        <v>0</v>
      </c>
      <c r="EV446" s="2039">
        <f t="shared" si="255"/>
        <v>0</v>
      </c>
    </row>
    <row r="447" spans="1:152" x14ac:dyDescent="0.25">
      <c r="A447" s="2141" t="s">
        <v>2995</v>
      </c>
      <c r="B447" s="2027"/>
      <c r="C447" s="2027">
        <v>15</v>
      </c>
      <c r="D447" s="2127">
        <v>27.794957926000002</v>
      </c>
      <c r="E447" s="2127">
        <v>5.9527580800000012E-3</v>
      </c>
      <c r="F447" s="2027">
        <v>-0.56099915080000007</v>
      </c>
      <c r="G447" s="1974" t="s">
        <v>2997</v>
      </c>
      <c r="H447" s="1974" t="s">
        <v>2997</v>
      </c>
      <c r="I447" s="2026">
        <v>0.96199999999999997</v>
      </c>
      <c r="J447" s="2026">
        <v>0.96199999999999997</v>
      </c>
      <c r="K447" s="2026">
        <v>0.96199999999999997</v>
      </c>
      <c r="L447" s="2026">
        <v>0.96199999999999997</v>
      </c>
      <c r="M447" s="2027">
        <f t="shared" si="284"/>
        <v>26.738749524812</v>
      </c>
      <c r="N447" s="2027">
        <f t="shared" si="284"/>
        <v>26.738749524812</v>
      </c>
      <c r="O447" s="2027">
        <f t="shared" si="284"/>
        <v>26.738749524812</v>
      </c>
      <c r="P447" s="2027">
        <f>$D447*L447</f>
        <v>26.738749524812</v>
      </c>
      <c r="Q447" s="2026">
        <v>0.96199999999999997</v>
      </c>
      <c r="R447" s="2026">
        <v>0.96199999999999997</v>
      </c>
      <c r="S447" s="2026">
        <v>0.96199999999999997</v>
      </c>
      <c r="T447" s="2026">
        <v>0.96199999999999997</v>
      </c>
      <c r="U447" s="2028">
        <f t="shared" si="285"/>
        <v>5.7265532729600006E-3</v>
      </c>
      <c r="V447" s="2028">
        <f t="shared" si="285"/>
        <v>5.7265532729600006E-3</v>
      </c>
      <c r="W447" s="2028">
        <f t="shared" si="285"/>
        <v>5.7265532729600006E-3</v>
      </c>
      <c r="X447" s="2028">
        <f>$E447*T447</f>
        <v>5.7265532729600006E-3</v>
      </c>
      <c r="Y447" s="2026">
        <v>0.96199999999999997</v>
      </c>
      <c r="Z447" s="2026">
        <v>0.96199999999999997</v>
      </c>
      <c r="AA447" s="2026">
        <v>0.96199999999999997</v>
      </c>
      <c r="AB447" s="2026">
        <v>0.96199999999999997</v>
      </c>
      <c r="AC447" s="2027">
        <f t="shared" si="286"/>
        <v>-0.5396811830696</v>
      </c>
      <c r="AD447" s="2027">
        <f t="shared" si="286"/>
        <v>-0.5396811830696</v>
      </c>
      <c r="AE447" s="2027">
        <f t="shared" si="286"/>
        <v>-0.5396811830696</v>
      </c>
      <c r="AF447" s="2027">
        <f>$F447*AB447</f>
        <v>-0.5396811830696</v>
      </c>
      <c r="AG447" s="2027">
        <v>900</v>
      </c>
      <c r="AH447" s="2028">
        <v>950</v>
      </c>
      <c r="AI447" s="2028">
        <v>1000</v>
      </c>
      <c r="AJ447" s="2028">
        <v>1050</v>
      </c>
      <c r="AK447" s="2027">
        <f>AG447*M447</f>
        <v>24064.874572330802</v>
      </c>
      <c r="AL447" s="2027">
        <f t="shared" si="279"/>
        <v>19051.359036428548</v>
      </c>
      <c r="AM447" s="2027">
        <f t="shared" si="279"/>
        <v>20054.062143609</v>
      </c>
      <c r="AN447" s="2027">
        <f t="shared" si="279"/>
        <v>21056.765250789449</v>
      </c>
      <c r="AO447" s="2027">
        <f>AG447*AC447</f>
        <v>-485.71306476263999</v>
      </c>
      <c r="AP447" s="2027">
        <f t="shared" si="280"/>
        <v>-384.52284293708999</v>
      </c>
      <c r="AQ447" s="2027">
        <f t="shared" si="280"/>
        <v>-404.76088730219999</v>
      </c>
      <c r="AR447" s="2027">
        <f t="shared" si="280"/>
        <v>-424.99893166730999</v>
      </c>
      <c r="AS447" s="2029">
        <v>9</v>
      </c>
      <c r="AT447" s="2029">
        <v>8.5</v>
      </c>
      <c r="AU447" s="2029">
        <v>8</v>
      </c>
      <c r="AV447" s="2029">
        <v>8</v>
      </c>
      <c r="AW447" s="2029">
        <f t="shared" si="291"/>
        <v>0</v>
      </c>
      <c r="AX447" s="2029">
        <f t="shared" si="257"/>
        <v>0</v>
      </c>
      <c r="AY447" s="2029">
        <f t="shared" si="257"/>
        <v>0</v>
      </c>
      <c r="AZ447" s="2029">
        <f t="shared" si="257"/>
        <v>0</v>
      </c>
      <c r="BA447" s="2029">
        <v>1.2999999999999989</v>
      </c>
      <c r="BB447" s="2029">
        <f>$BA447</f>
        <v>1.2999999999999989</v>
      </c>
      <c r="BC447" s="2029">
        <f t="shared" ref="BC447:BD447" si="292">$BA447</f>
        <v>1.2999999999999989</v>
      </c>
      <c r="BD447" s="2029">
        <f t="shared" si="292"/>
        <v>1.2999999999999989</v>
      </c>
      <c r="BE447" s="2030">
        <f t="shared" si="282"/>
        <v>8100</v>
      </c>
      <c r="BF447" s="2030">
        <f t="shared" si="282"/>
        <v>8075</v>
      </c>
      <c r="BG447" s="2030">
        <f t="shared" si="282"/>
        <v>8000</v>
      </c>
      <c r="BH447" s="2030">
        <f t="shared" si="274"/>
        <v>8400</v>
      </c>
      <c r="BI447" s="2030">
        <f t="shared" si="283"/>
        <v>0</v>
      </c>
      <c r="BJ447" s="2030">
        <f t="shared" si="283"/>
        <v>0</v>
      </c>
      <c r="BK447" s="2030">
        <f t="shared" si="283"/>
        <v>0</v>
      </c>
      <c r="BL447" s="2030">
        <f t="shared" si="275"/>
        <v>0</v>
      </c>
      <c r="BM447" s="2125"/>
      <c r="BN447" s="2125"/>
      <c r="BO447" s="2125"/>
      <c r="BP447" s="2125"/>
      <c r="BQ447" s="2125"/>
      <c r="BR447" s="2125"/>
      <c r="BS447" s="2125"/>
      <c r="BT447" s="2125"/>
      <c r="BU447" s="2029"/>
      <c r="BV447" s="2029"/>
      <c r="BW447" s="2029"/>
      <c r="BX447" s="2029"/>
      <c r="BY447" s="2029"/>
      <c r="BZ447" s="2032"/>
      <c r="CA447" s="1974">
        <f t="shared" si="288"/>
        <v>0</v>
      </c>
      <c r="CB447" s="1974">
        <f t="shared" si="288"/>
        <v>0</v>
      </c>
      <c r="CC447" s="1974">
        <f t="shared" si="288"/>
        <v>0</v>
      </c>
      <c r="CD447" s="1974">
        <f t="shared" si="288"/>
        <v>0</v>
      </c>
      <c r="CE447" s="1974">
        <f t="shared" si="288"/>
        <v>1</v>
      </c>
      <c r="CF447" s="2033">
        <v>1.0059928071465896E-4</v>
      </c>
      <c r="CG447" s="2026">
        <v>-1.8121003895540919E-4</v>
      </c>
      <c r="CH447" s="2009">
        <f t="shared" si="288"/>
        <v>1</v>
      </c>
      <c r="CI447" s="2031">
        <f t="shared" si="288"/>
        <v>1.1461222222222223</v>
      </c>
      <c r="CJ447" s="1974">
        <f t="shared" si="288"/>
        <v>0</v>
      </c>
      <c r="CK447" s="2031">
        <f t="shared" si="288"/>
        <v>-1.1461222222222223</v>
      </c>
      <c r="CL447" s="2026">
        <v>1</v>
      </c>
      <c r="CM447" s="2026">
        <v>0.75</v>
      </c>
      <c r="CN447" s="2026">
        <v>0.75</v>
      </c>
      <c r="CO447" s="2026">
        <v>0.75</v>
      </c>
      <c r="CP447" s="2035"/>
      <c r="CQ447" s="2036"/>
      <c r="CR447" s="2036"/>
      <c r="CS447" s="2036"/>
      <c r="CT447" s="2036"/>
      <c r="CU447" s="2036"/>
      <c r="CW447" s="1973">
        <v>1</v>
      </c>
      <c r="CX447" s="2037">
        <v>9</v>
      </c>
      <c r="CY447" s="2037">
        <v>8.5</v>
      </c>
      <c r="CZ447" s="2037">
        <v>8</v>
      </c>
      <c r="DA447" s="2037">
        <v>8</v>
      </c>
      <c r="DJ447" s="1976">
        <v>9</v>
      </c>
      <c r="DK447" s="1973">
        <v>8.5</v>
      </c>
      <c r="DL447" s="1973">
        <v>8</v>
      </c>
      <c r="DM447" s="1973">
        <v>8</v>
      </c>
      <c r="DO447" s="2027">
        <v>15</v>
      </c>
      <c r="DP447" s="2127">
        <v>27.794957926000002</v>
      </c>
      <c r="DQ447" s="2127">
        <v>5.9527580800000012E-3</v>
      </c>
      <c r="DR447" s="2027">
        <v>-0.56099915080000007</v>
      </c>
      <c r="DS447" s="2029">
        <v>9</v>
      </c>
      <c r="DT447" s="2029">
        <v>8.5</v>
      </c>
      <c r="DU447" s="2029">
        <v>8</v>
      </c>
      <c r="DV447" s="2029">
        <v>8</v>
      </c>
      <c r="DW447" s="2029">
        <v>0</v>
      </c>
      <c r="DX447" s="2029">
        <v>0</v>
      </c>
      <c r="DY447" s="2029">
        <v>0</v>
      </c>
      <c r="DZ447" s="2029">
        <v>0</v>
      </c>
      <c r="EA447" s="2029">
        <v>1.2999999999999989</v>
      </c>
      <c r="EB447" s="2029">
        <v>1.2999999999999989</v>
      </c>
      <c r="EC447" s="2029">
        <v>1.2999999999999989</v>
      </c>
      <c r="ED447" s="2029">
        <v>1.2999999999999989</v>
      </c>
      <c r="EE447" s="2039">
        <f t="shared" si="253"/>
        <v>0</v>
      </c>
      <c r="EF447" s="2039">
        <f t="shared" si="253"/>
        <v>0</v>
      </c>
      <c r="EG447" s="2039">
        <f t="shared" si="253"/>
        <v>0</v>
      </c>
      <c r="EH447" s="2039">
        <f t="shared" si="252"/>
        <v>0</v>
      </c>
      <c r="EI447" s="2040">
        <f t="shared" si="273"/>
        <v>0</v>
      </c>
      <c r="EJ447" s="2040">
        <f t="shared" si="273"/>
        <v>0</v>
      </c>
      <c r="EK447" s="2040">
        <f t="shared" si="273"/>
        <v>0</v>
      </c>
      <c r="EL447" s="2040">
        <f t="shared" si="273"/>
        <v>0</v>
      </c>
      <c r="EM447" s="2040">
        <f t="shared" si="273"/>
        <v>0</v>
      </c>
      <c r="EN447" s="2040">
        <f t="shared" si="273"/>
        <v>0</v>
      </c>
      <c r="EO447" s="2040">
        <f t="shared" si="271"/>
        <v>0</v>
      </c>
      <c r="EP447" s="2040">
        <f t="shared" si="271"/>
        <v>0</v>
      </c>
      <c r="EQ447" s="2040">
        <f t="shared" si="271"/>
        <v>0</v>
      </c>
      <c r="ER447" s="2040">
        <f t="shared" si="261"/>
        <v>0</v>
      </c>
      <c r="ES447" s="2040">
        <f t="shared" si="261"/>
        <v>0</v>
      </c>
      <c r="ET447" s="2040">
        <f t="shared" si="261"/>
        <v>0</v>
      </c>
      <c r="EU447" s="2039">
        <f t="shared" si="254"/>
        <v>0</v>
      </c>
      <c r="EV447" s="2039">
        <f t="shared" si="255"/>
        <v>0</v>
      </c>
    </row>
    <row r="448" spans="1:152" x14ac:dyDescent="0.25">
      <c r="A448" s="2142" t="s">
        <v>1037</v>
      </c>
      <c r="B448" s="2027"/>
      <c r="C448" s="2027">
        <f t="shared" si="289"/>
        <v>0</v>
      </c>
      <c r="D448" s="2127">
        <f t="shared" si="289"/>
        <v>0</v>
      </c>
      <c r="E448" s="2127">
        <f t="shared" si="289"/>
        <v>0</v>
      </c>
      <c r="F448" s="2027">
        <f t="shared" si="289"/>
        <v>0</v>
      </c>
      <c r="G448" s="1974" t="s">
        <v>2997</v>
      </c>
      <c r="H448" s="1974" t="s">
        <v>2997</v>
      </c>
      <c r="I448" s="2026">
        <v>0.96199999999999997</v>
      </c>
      <c r="J448" s="2026">
        <v>0.96199999999999997</v>
      </c>
      <c r="K448" s="2026">
        <v>0.96199999999999997</v>
      </c>
      <c r="L448" s="2026">
        <v>0.96199999999999997</v>
      </c>
      <c r="M448" s="2027">
        <f t="shared" si="284"/>
        <v>0</v>
      </c>
      <c r="N448" s="2027">
        <f t="shared" si="284"/>
        <v>0</v>
      </c>
      <c r="O448" s="2027">
        <f t="shared" si="284"/>
        <v>0</v>
      </c>
      <c r="P448" s="2027">
        <f t="shared" si="284"/>
        <v>0</v>
      </c>
      <c r="Q448" s="2026">
        <v>0.96199999999999997</v>
      </c>
      <c r="R448" s="2026">
        <v>0.96199999999999997</v>
      </c>
      <c r="S448" s="2026">
        <v>0.96199999999999997</v>
      </c>
      <c r="T448" s="2026">
        <v>0.96199999999999997</v>
      </c>
      <c r="U448" s="2028">
        <f t="shared" si="285"/>
        <v>0</v>
      </c>
      <c r="V448" s="2028">
        <f t="shared" si="285"/>
        <v>0</v>
      </c>
      <c r="W448" s="2028">
        <f t="shared" si="285"/>
        <v>0</v>
      </c>
      <c r="X448" s="2028">
        <f t="shared" si="285"/>
        <v>0</v>
      </c>
      <c r="Y448" s="2026">
        <v>0.96199999999999997</v>
      </c>
      <c r="Z448" s="2026">
        <v>0.96199999999999997</v>
      </c>
      <c r="AA448" s="2026">
        <v>0.96199999999999997</v>
      </c>
      <c r="AB448" s="2026">
        <v>0.96199999999999997</v>
      </c>
      <c r="AC448" s="2027">
        <f t="shared" si="286"/>
        <v>0</v>
      </c>
      <c r="AD448" s="2027">
        <f t="shared" si="286"/>
        <v>0</v>
      </c>
      <c r="AE448" s="2027">
        <f t="shared" si="286"/>
        <v>0</v>
      </c>
      <c r="AF448" s="2027">
        <f t="shared" si="286"/>
        <v>0</v>
      </c>
      <c r="AG448" s="2027">
        <v>0</v>
      </c>
      <c r="AH448" s="2028"/>
      <c r="AI448" s="2028"/>
      <c r="AJ448" s="2028"/>
      <c r="AK448" s="2027">
        <f t="shared" ref="AK448:AK464" si="293">AG448*M448</f>
        <v>0</v>
      </c>
      <c r="AL448" s="2027">
        <f t="shared" si="279"/>
        <v>0</v>
      </c>
      <c r="AM448" s="2027">
        <f t="shared" si="279"/>
        <v>0</v>
      </c>
      <c r="AN448" s="2027">
        <f t="shared" si="279"/>
        <v>0</v>
      </c>
      <c r="AO448" s="2027">
        <f t="shared" ref="AO448:AO464" si="294">AG448*AC448</f>
        <v>0</v>
      </c>
      <c r="AP448" s="2027">
        <f t="shared" si="280"/>
        <v>0</v>
      </c>
      <c r="AQ448" s="2027">
        <f t="shared" si="280"/>
        <v>0</v>
      </c>
      <c r="AR448" s="2027">
        <f t="shared" si="280"/>
        <v>0</v>
      </c>
      <c r="AS448" s="2124">
        <f t="shared" si="290"/>
        <v>0</v>
      </c>
      <c r="AT448" s="2029">
        <f t="shared" si="281"/>
        <v>0</v>
      </c>
      <c r="AU448" s="2029">
        <f t="shared" si="281"/>
        <v>0</v>
      </c>
      <c r="AV448" s="2029">
        <f t="shared" si="281"/>
        <v>0</v>
      </c>
      <c r="AW448" s="2124">
        <f t="shared" si="291"/>
        <v>0</v>
      </c>
      <c r="AX448" s="2029">
        <f t="shared" si="257"/>
        <v>0</v>
      </c>
      <c r="AY448" s="2029">
        <f t="shared" si="257"/>
        <v>0</v>
      </c>
      <c r="AZ448" s="2029">
        <f t="shared" si="257"/>
        <v>0</v>
      </c>
      <c r="BA448" s="2124">
        <f t="shared" si="287"/>
        <v>0</v>
      </c>
      <c r="BB448" s="2029">
        <f t="shared" si="287"/>
        <v>0</v>
      </c>
      <c r="BC448" s="2029">
        <f t="shared" si="287"/>
        <v>0</v>
      </c>
      <c r="BD448" s="2029">
        <f t="shared" si="287"/>
        <v>0</v>
      </c>
      <c r="BE448" s="2030">
        <f t="shared" si="282"/>
        <v>0</v>
      </c>
      <c r="BF448" s="2030">
        <f t="shared" si="282"/>
        <v>0</v>
      </c>
      <c r="BG448" s="2030">
        <f t="shared" si="282"/>
        <v>0</v>
      </c>
      <c r="BH448" s="2030">
        <f t="shared" si="274"/>
        <v>0</v>
      </c>
      <c r="BI448" s="2030">
        <f t="shared" si="283"/>
        <v>0</v>
      </c>
      <c r="BJ448" s="2030">
        <f t="shared" si="283"/>
        <v>0</v>
      </c>
      <c r="BK448" s="2030">
        <f t="shared" si="283"/>
        <v>0</v>
      </c>
      <c r="BL448" s="2030">
        <f t="shared" si="275"/>
        <v>0</v>
      </c>
      <c r="BM448" s="2125"/>
      <c r="BN448" s="2125"/>
      <c r="BO448" s="2125"/>
      <c r="BP448" s="2125"/>
      <c r="BQ448" s="2125"/>
      <c r="BR448" s="2125"/>
      <c r="BS448" s="2125"/>
      <c r="BT448" s="2125"/>
      <c r="BU448" s="2029"/>
      <c r="BV448" s="2029"/>
      <c r="BW448" s="2029"/>
      <c r="BX448" s="2029"/>
      <c r="BY448" s="2029"/>
      <c r="BZ448" s="2032"/>
      <c r="CA448" s="1974">
        <f t="shared" si="288"/>
        <v>0</v>
      </c>
      <c r="CB448" s="1974">
        <f t="shared" si="288"/>
        <v>0</v>
      </c>
      <c r="CC448" s="1974">
        <f t="shared" si="288"/>
        <v>0</v>
      </c>
      <c r="CD448" s="1974">
        <f t="shared" si="288"/>
        <v>0</v>
      </c>
      <c r="CE448" s="1974">
        <f t="shared" si="288"/>
        <v>0</v>
      </c>
      <c r="CF448" s="2033">
        <v>0</v>
      </c>
      <c r="CG448" s="2026">
        <v>0</v>
      </c>
      <c r="CH448" s="2009">
        <f t="shared" si="288"/>
        <v>0</v>
      </c>
      <c r="CI448" s="2031">
        <f t="shared" si="288"/>
        <v>0</v>
      </c>
      <c r="CJ448" s="1974">
        <f t="shared" si="288"/>
        <v>0</v>
      </c>
      <c r="CK448" s="2031">
        <f t="shared" si="288"/>
        <v>0</v>
      </c>
      <c r="CL448" s="2026">
        <v>0</v>
      </c>
      <c r="CM448" s="2026">
        <v>0</v>
      </c>
      <c r="CN448" s="2026">
        <v>0</v>
      </c>
      <c r="CO448" s="2026">
        <v>0</v>
      </c>
      <c r="CP448" s="2035"/>
      <c r="CQ448" s="2036"/>
      <c r="CR448" s="2036"/>
      <c r="CS448" s="2036"/>
      <c r="CT448" s="2036"/>
      <c r="CU448" s="2036"/>
      <c r="CW448" s="1973">
        <v>0</v>
      </c>
      <c r="CX448" s="2037">
        <v>0</v>
      </c>
      <c r="CY448" s="2037">
        <v>0</v>
      </c>
      <c r="CZ448" s="2037">
        <v>0</v>
      </c>
      <c r="DA448" s="2037">
        <v>0</v>
      </c>
      <c r="DJ448" s="1976">
        <v>0</v>
      </c>
      <c r="DK448" s="1973">
        <v>0</v>
      </c>
      <c r="DL448" s="1973">
        <v>0</v>
      </c>
      <c r="DM448" s="1973">
        <v>0</v>
      </c>
      <c r="DO448" s="2027">
        <v>0</v>
      </c>
      <c r="DP448" s="2127">
        <v>0</v>
      </c>
      <c r="DQ448" s="2127">
        <v>0</v>
      </c>
      <c r="DR448" s="2027">
        <v>0</v>
      </c>
      <c r="DS448" s="2124">
        <v>0</v>
      </c>
      <c r="DT448" s="2029">
        <v>0</v>
      </c>
      <c r="DU448" s="2029">
        <v>0</v>
      </c>
      <c r="DV448" s="2029">
        <v>0</v>
      </c>
      <c r="DW448" s="2124">
        <v>0</v>
      </c>
      <c r="DX448" s="2029">
        <v>0</v>
      </c>
      <c r="DY448" s="2029">
        <v>0</v>
      </c>
      <c r="DZ448" s="2029">
        <v>0</v>
      </c>
      <c r="EA448" s="2124">
        <v>0</v>
      </c>
      <c r="EB448" s="2029">
        <v>0</v>
      </c>
      <c r="EC448" s="2029">
        <v>0</v>
      </c>
      <c r="ED448" s="2029">
        <v>0</v>
      </c>
      <c r="EE448" s="2039">
        <f t="shared" si="253"/>
        <v>0</v>
      </c>
      <c r="EF448" s="2039">
        <f t="shared" si="253"/>
        <v>0</v>
      </c>
      <c r="EG448" s="2039">
        <f t="shared" si="253"/>
        <v>0</v>
      </c>
      <c r="EH448" s="2039">
        <f t="shared" si="252"/>
        <v>0</v>
      </c>
      <c r="EI448" s="2040">
        <f t="shared" si="273"/>
        <v>0</v>
      </c>
      <c r="EJ448" s="2040">
        <f t="shared" si="273"/>
        <v>0</v>
      </c>
      <c r="EK448" s="2040">
        <f t="shared" si="273"/>
        <v>0</v>
      </c>
      <c r="EL448" s="2040">
        <f t="shared" si="273"/>
        <v>0</v>
      </c>
      <c r="EM448" s="2040">
        <f t="shared" si="273"/>
        <v>0</v>
      </c>
      <c r="EN448" s="2040">
        <f t="shared" si="273"/>
        <v>0</v>
      </c>
      <c r="EO448" s="2040">
        <f t="shared" si="271"/>
        <v>0</v>
      </c>
      <c r="EP448" s="2040">
        <f t="shared" si="271"/>
        <v>0</v>
      </c>
      <c r="EQ448" s="2040">
        <f t="shared" si="271"/>
        <v>0</v>
      </c>
      <c r="ER448" s="2040">
        <f t="shared" si="261"/>
        <v>0</v>
      </c>
      <c r="ES448" s="2040">
        <f t="shared" si="261"/>
        <v>0</v>
      </c>
      <c r="ET448" s="2040">
        <f t="shared" si="261"/>
        <v>0</v>
      </c>
      <c r="EU448" s="2039">
        <f t="shared" si="254"/>
        <v>0</v>
      </c>
      <c r="EV448" s="2039">
        <f t="shared" si="255"/>
        <v>0</v>
      </c>
    </row>
    <row r="449" spans="1:152" x14ac:dyDescent="0.25">
      <c r="A449" s="2142" t="s">
        <v>1038</v>
      </c>
      <c r="B449" s="2027"/>
      <c r="C449" s="2027">
        <f t="shared" si="289"/>
        <v>0</v>
      </c>
      <c r="D449" s="2127">
        <f t="shared" si="289"/>
        <v>0</v>
      </c>
      <c r="E449" s="2127">
        <f t="shared" si="289"/>
        <v>0</v>
      </c>
      <c r="F449" s="2027">
        <f t="shared" si="289"/>
        <v>0</v>
      </c>
      <c r="G449" s="1974" t="s">
        <v>2997</v>
      </c>
      <c r="H449" s="1974" t="s">
        <v>2997</v>
      </c>
      <c r="I449" s="2026">
        <v>0.96199999999999997</v>
      </c>
      <c r="J449" s="2026">
        <v>0.96199999999999997</v>
      </c>
      <c r="K449" s="2026">
        <v>0.96199999999999997</v>
      </c>
      <c r="L449" s="2026">
        <v>0.96199999999999997</v>
      </c>
      <c r="M449" s="2027">
        <f t="shared" si="284"/>
        <v>0</v>
      </c>
      <c r="N449" s="2027">
        <f t="shared" si="284"/>
        <v>0</v>
      </c>
      <c r="O449" s="2027">
        <f t="shared" si="284"/>
        <v>0</v>
      </c>
      <c r="P449" s="2027">
        <f t="shared" si="284"/>
        <v>0</v>
      </c>
      <c r="Q449" s="2026">
        <v>0.96199999999999997</v>
      </c>
      <c r="R449" s="2026">
        <v>0.96199999999999997</v>
      </c>
      <c r="S449" s="2026">
        <v>0.96199999999999997</v>
      </c>
      <c r="T449" s="2026">
        <v>0.96199999999999997</v>
      </c>
      <c r="U449" s="2028">
        <f t="shared" si="285"/>
        <v>0</v>
      </c>
      <c r="V449" s="2028">
        <f t="shared" si="285"/>
        <v>0</v>
      </c>
      <c r="W449" s="2028">
        <f t="shared" si="285"/>
        <v>0</v>
      </c>
      <c r="X449" s="2028">
        <f t="shared" si="285"/>
        <v>0</v>
      </c>
      <c r="Y449" s="2026">
        <v>0.96199999999999997</v>
      </c>
      <c r="Z449" s="2026">
        <v>0.96199999999999997</v>
      </c>
      <c r="AA449" s="2026">
        <v>0.96199999999999997</v>
      </c>
      <c r="AB449" s="2026">
        <v>0.96199999999999997</v>
      </c>
      <c r="AC449" s="2027">
        <f t="shared" si="286"/>
        <v>0</v>
      </c>
      <c r="AD449" s="2027">
        <f t="shared" si="286"/>
        <v>0</v>
      </c>
      <c r="AE449" s="2027">
        <f t="shared" si="286"/>
        <v>0</v>
      </c>
      <c r="AF449" s="2027">
        <f t="shared" si="286"/>
        <v>0</v>
      </c>
      <c r="AG449" s="2027">
        <v>0</v>
      </c>
      <c r="AH449" s="2028"/>
      <c r="AI449" s="2028"/>
      <c r="AJ449" s="2028"/>
      <c r="AK449" s="2027">
        <f t="shared" si="293"/>
        <v>0</v>
      </c>
      <c r="AL449" s="2027">
        <f t="shared" si="279"/>
        <v>0</v>
      </c>
      <c r="AM449" s="2027">
        <f t="shared" si="279"/>
        <v>0</v>
      </c>
      <c r="AN449" s="2027">
        <f t="shared" si="279"/>
        <v>0</v>
      </c>
      <c r="AO449" s="2027">
        <f t="shared" si="294"/>
        <v>0</v>
      </c>
      <c r="AP449" s="2027">
        <f t="shared" si="280"/>
        <v>0</v>
      </c>
      <c r="AQ449" s="2027">
        <f t="shared" si="280"/>
        <v>0</v>
      </c>
      <c r="AR449" s="2027">
        <f t="shared" si="280"/>
        <v>0</v>
      </c>
      <c r="AS449" s="2124">
        <f t="shared" si="290"/>
        <v>0</v>
      </c>
      <c r="AT449" s="2029">
        <f t="shared" si="281"/>
        <v>0</v>
      </c>
      <c r="AU449" s="2029">
        <f t="shared" si="281"/>
        <v>0</v>
      </c>
      <c r="AV449" s="2029">
        <f t="shared" si="281"/>
        <v>0</v>
      </c>
      <c r="AW449" s="2124">
        <f t="shared" si="291"/>
        <v>0</v>
      </c>
      <c r="AX449" s="2029">
        <f t="shared" ref="AX449:AZ464" si="295">$AW449</f>
        <v>0</v>
      </c>
      <c r="AY449" s="2029">
        <f t="shared" si="295"/>
        <v>0</v>
      </c>
      <c r="AZ449" s="2029">
        <f t="shared" si="295"/>
        <v>0</v>
      </c>
      <c r="BA449" s="2124">
        <f t="shared" si="287"/>
        <v>0</v>
      </c>
      <c r="BB449" s="2029">
        <f t="shared" si="287"/>
        <v>0</v>
      </c>
      <c r="BC449" s="2029">
        <f t="shared" si="287"/>
        <v>0</v>
      </c>
      <c r="BD449" s="2029">
        <f t="shared" si="287"/>
        <v>0</v>
      </c>
      <c r="BE449" s="2030">
        <f t="shared" si="282"/>
        <v>0</v>
      </c>
      <c r="BF449" s="2030">
        <f t="shared" si="282"/>
        <v>0</v>
      </c>
      <c r="BG449" s="2030">
        <f t="shared" si="282"/>
        <v>0</v>
      </c>
      <c r="BH449" s="2030">
        <f t="shared" si="274"/>
        <v>0</v>
      </c>
      <c r="BI449" s="2030">
        <f t="shared" si="283"/>
        <v>0</v>
      </c>
      <c r="BJ449" s="2030">
        <f t="shared" si="283"/>
        <v>0</v>
      </c>
      <c r="BK449" s="2030">
        <f t="shared" si="283"/>
        <v>0</v>
      </c>
      <c r="BL449" s="2030">
        <f t="shared" si="275"/>
        <v>0</v>
      </c>
      <c r="BM449" s="2125"/>
      <c r="BN449" s="2125"/>
      <c r="BO449" s="2125"/>
      <c r="BP449" s="2125"/>
      <c r="BQ449" s="2125"/>
      <c r="BR449" s="2125"/>
      <c r="BS449" s="2125"/>
      <c r="BT449" s="2125"/>
      <c r="BU449" s="2029"/>
      <c r="BV449" s="2029"/>
      <c r="BW449" s="2029"/>
      <c r="BX449" s="2029"/>
      <c r="BY449" s="2029"/>
      <c r="BZ449" s="2032"/>
      <c r="CA449" s="1974">
        <f t="shared" si="288"/>
        <v>0</v>
      </c>
      <c r="CB449" s="1974">
        <f t="shared" si="288"/>
        <v>0</v>
      </c>
      <c r="CC449" s="1974">
        <f t="shared" si="288"/>
        <v>0</v>
      </c>
      <c r="CD449" s="1974">
        <f t="shared" si="288"/>
        <v>0</v>
      </c>
      <c r="CE449" s="1974">
        <f t="shared" si="288"/>
        <v>0</v>
      </c>
      <c r="CF449" s="2033">
        <v>0</v>
      </c>
      <c r="CG449" s="2026">
        <v>0</v>
      </c>
      <c r="CH449" s="2009">
        <f t="shared" si="288"/>
        <v>0</v>
      </c>
      <c r="CI449" s="2031">
        <f t="shared" si="288"/>
        <v>0</v>
      </c>
      <c r="CJ449" s="1974">
        <f t="shared" si="288"/>
        <v>0</v>
      </c>
      <c r="CK449" s="2031">
        <f t="shared" si="288"/>
        <v>0</v>
      </c>
      <c r="CL449" s="2026">
        <v>0</v>
      </c>
      <c r="CM449" s="2026">
        <v>0</v>
      </c>
      <c r="CN449" s="2026">
        <v>0</v>
      </c>
      <c r="CO449" s="2026">
        <v>0</v>
      </c>
      <c r="CP449" s="2035"/>
      <c r="CQ449" s="2036"/>
      <c r="CR449" s="2036"/>
      <c r="CS449" s="2036"/>
      <c r="CT449" s="2036"/>
      <c r="CU449" s="2036"/>
      <c r="CW449" s="1973">
        <v>0</v>
      </c>
      <c r="CX449" s="2037">
        <v>0</v>
      </c>
      <c r="CY449" s="2037">
        <v>0</v>
      </c>
      <c r="CZ449" s="2037">
        <v>0</v>
      </c>
      <c r="DA449" s="2037">
        <v>0</v>
      </c>
      <c r="DJ449" s="1976">
        <v>0</v>
      </c>
      <c r="DK449" s="1973">
        <v>0</v>
      </c>
      <c r="DL449" s="1973">
        <v>0</v>
      </c>
      <c r="DM449" s="1973">
        <v>0</v>
      </c>
      <c r="DO449" s="2027">
        <v>0</v>
      </c>
      <c r="DP449" s="2127">
        <v>0</v>
      </c>
      <c r="DQ449" s="2127">
        <v>0</v>
      </c>
      <c r="DR449" s="2027">
        <v>0</v>
      </c>
      <c r="DS449" s="2124">
        <v>0</v>
      </c>
      <c r="DT449" s="2029">
        <v>0</v>
      </c>
      <c r="DU449" s="2029">
        <v>0</v>
      </c>
      <c r="DV449" s="2029">
        <v>0</v>
      </c>
      <c r="DW449" s="2124">
        <v>0</v>
      </c>
      <c r="DX449" s="2029">
        <v>0</v>
      </c>
      <c r="DY449" s="2029">
        <v>0</v>
      </c>
      <c r="DZ449" s="2029">
        <v>0</v>
      </c>
      <c r="EA449" s="2124">
        <v>0</v>
      </c>
      <c r="EB449" s="2029">
        <v>0</v>
      </c>
      <c r="EC449" s="2029">
        <v>0</v>
      </c>
      <c r="ED449" s="2029">
        <v>0</v>
      </c>
      <c r="EE449" s="2039">
        <f t="shared" si="253"/>
        <v>0</v>
      </c>
      <c r="EF449" s="2039">
        <f t="shared" si="253"/>
        <v>0</v>
      </c>
      <c r="EG449" s="2039">
        <f t="shared" si="253"/>
        <v>0</v>
      </c>
      <c r="EH449" s="2039">
        <f t="shared" si="252"/>
        <v>0</v>
      </c>
      <c r="EI449" s="2040">
        <f t="shared" si="273"/>
        <v>0</v>
      </c>
      <c r="EJ449" s="2040">
        <f t="shared" si="273"/>
        <v>0</v>
      </c>
      <c r="EK449" s="2040">
        <f t="shared" si="273"/>
        <v>0</v>
      </c>
      <c r="EL449" s="2040">
        <f t="shared" si="273"/>
        <v>0</v>
      </c>
      <c r="EM449" s="2040">
        <f t="shared" si="273"/>
        <v>0</v>
      </c>
      <c r="EN449" s="2040">
        <f t="shared" si="273"/>
        <v>0</v>
      </c>
      <c r="EO449" s="2040">
        <f t="shared" si="271"/>
        <v>0</v>
      </c>
      <c r="EP449" s="2040">
        <f t="shared" si="271"/>
        <v>0</v>
      </c>
      <c r="EQ449" s="2040">
        <f t="shared" si="271"/>
        <v>0</v>
      </c>
      <c r="ER449" s="2040">
        <f t="shared" si="261"/>
        <v>0</v>
      </c>
      <c r="ES449" s="2040">
        <f t="shared" si="261"/>
        <v>0</v>
      </c>
      <c r="ET449" s="2040">
        <f t="shared" si="261"/>
        <v>0</v>
      </c>
      <c r="EU449" s="2039">
        <f t="shared" si="254"/>
        <v>0</v>
      </c>
      <c r="EV449" s="2039">
        <f t="shared" si="255"/>
        <v>0</v>
      </c>
    </row>
    <row r="450" spans="1:152" x14ac:dyDescent="0.25">
      <c r="A450" s="2142" t="s">
        <v>1039</v>
      </c>
      <c r="B450" s="2027"/>
      <c r="C450" s="2027">
        <f t="shared" si="289"/>
        <v>0</v>
      </c>
      <c r="D450" s="2127">
        <f t="shared" si="289"/>
        <v>0</v>
      </c>
      <c r="E450" s="2127">
        <f t="shared" si="289"/>
        <v>0</v>
      </c>
      <c r="F450" s="2027">
        <f t="shared" si="289"/>
        <v>0</v>
      </c>
      <c r="G450" s="1974" t="s">
        <v>2997</v>
      </c>
      <c r="H450" s="1974" t="s">
        <v>2997</v>
      </c>
      <c r="I450" s="2026">
        <v>0.96199999999999997</v>
      </c>
      <c r="J450" s="2026">
        <v>0.96199999999999997</v>
      </c>
      <c r="K450" s="2026">
        <v>0.96199999999999997</v>
      </c>
      <c r="L450" s="2026">
        <v>0.96199999999999997</v>
      </c>
      <c r="M450" s="2027">
        <f t="shared" si="284"/>
        <v>0</v>
      </c>
      <c r="N450" s="2027">
        <f t="shared" si="284"/>
        <v>0</v>
      </c>
      <c r="O450" s="2027">
        <f t="shared" si="284"/>
        <v>0</v>
      </c>
      <c r="P450" s="2027">
        <f t="shared" si="284"/>
        <v>0</v>
      </c>
      <c r="Q450" s="2026">
        <v>0.96199999999999997</v>
      </c>
      <c r="R450" s="2026">
        <v>0.96199999999999997</v>
      </c>
      <c r="S450" s="2026">
        <v>0.96199999999999997</v>
      </c>
      <c r="T450" s="2026">
        <v>0.96199999999999997</v>
      </c>
      <c r="U450" s="2028">
        <f t="shared" si="285"/>
        <v>0</v>
      </c>
      <c r="V450" s="2028">
        <f t="shared" si="285"/>
        <v>0</v>
      </c>
      <c r="W450" s="2028">
        <f t="shared" si="285"/>
        <v>0</v>
      </c>
      <c r="X450" s="2028">
        <f t="shared" si="285"/>
        <v>0</v>
      </c>
      <c r="Y450" s="2026">
        <v>0.96199999999999997</v>
      </c>
      <c r="Z450" s="2026">
        <v>0.96199999999999997</v>
      </c>
      <c r="AA450" s="2026">
        <v>0.96199999999999997</v>
      </c>
      <c r="AB450" s="2026">
        <v>0.96199999999999997</v>
      </c>
      <c r="AC450" s="2027">
        <f t="shared" si="286"/>
        <v>0</v>
      </c>
      <c r="AD450" s="2027">
        <f t="shared" si="286"/>
        <v>0</v>
      </c>
      <c r="AE450" s="2027">
        <f t="shared" si="286"/>
        <v>0</v>
      </c>
      <c r="AF450" s="2027">
        <f t="shared" si="286"/>
        <v>0</v>
      </c>
      <c r="AG450" s="2027">
        <v>0</v>
      </c>
      <c r="AH450" s="2028"/>
      <c r="AI450" s="2028"/>
      <c r="AJ450" s="2028"/>
      <c r="AK450" s="2027">
        <f t="shared" si="293"/>
        <v>0</v>
      </c>
      <c r="AL450" s="2027">
        <f t="shared" si="279"/>
        <v>0</v>
      </c>
      <c r="AM450" s="2027">
        <f t="shared" si="279"/>
        <v>0</v>
      </c>
      <c r="AN450" s="2027">
        <f t="shared" si="279"/>
        <v>0</v>
      </c>
      <c r="AO450" s="2027">
        <f t="shared" si="294"/>
        <v>0</v>
      </c>
      <c r="AP450" s="2027">
        <f t="shared" si="280"/>
        <v>0</v>
      </c>
      <c r="AQ450" s="2027">
        <f t="shared" si="280"/>
        <v>0</v>
      </c>
      <c r="AR450" s="2027">
        <f t="shared" si="280"/>
        <v>0</v>
      </c>
      <c r="AS450" s="2124">
        <f t="shared" si="290"/>
        <v>0</v>
      </c>
      <c r="AT450" s="2029">
        <f t="shared" si="281"/>
        <v>0</v>
      </c>
      <c r="AU450" s="2029">
        <f t="shared" si="281"/>
        <v>0</v>
      </c>
      <c r="AV450" s="2029">
        <f t="shared" si="281"/>
        <v>0</v>
      </c>
      <c r="AW450" s="2124">
        <f t="shared" si="291"/>
        <v>0</v>
      </c>
      <c r="AX450" s="2029">
        <f t="shared" si="295"/>
        <v>0</v>
      </c>
      <c r="AY450" s="2029">
        <f t="shared" si="295"/>
        <v>0</v>
      </c>
      <c r="AZ450" s="2029">
        <f t="shared" si="295"/>
        <v>0</v>
      </c>
      <c r="BA450" s="2124">
        <f t="shared" si="287"/>
        <v>0</v>
      </c>
      <c r="BB450" s="2029">
        <f t="shared" si="287"/>
        <v>0</v>
      </c>
      <c r="BC450" s="2029">
        <f t="shared" si="287"/>
        <v>0</v>
      </c>
      <c r="BD450" s="2029">
        <f t="shared" si="287"/>
        <v>0</v>
      </c>
      <c r="BE450" s="2030">
        <f t="shared" si="282"/>
        <v>0</v>
      </c>
      <c r="BF450" s="2030">
        <f t="shared" si="282"/>
        <v>0</v>
      </c>
      <c r="BG450" s="2030">
        <f t="shared" si="282"/>
        <v>0</v>
      </c>
      <c r="BH450" s="2030">
        <f t="shared" si="274"/>
        <v>0</v>
      </c>
      <c r="BI450" s="2030">
        <f t="shared" si="283"/>
        <v>0</v>
      </c>
      <c r="BJ450" s="2030">
        <f t="shared" si="283"/>
        <v>0</v>
      </c>
      <c r="BK450" s="2030">
        <f t="shared" si="283"/>
        <v>0</v>
      </c>
      <c r="BL450" s="2030">
        <f t="shared" si="275"/>
        <v>0</v>
      </c>
      <c r="BM450" s="2125"/>
      <c r="BN450" s="2125"/>
      <c r="BO450" s="2125"/>
      <c r="BP450" s="2125"/>
      <c r="BQ450" s="2125"/>
      <c r="BR450" s="2125"/>
      <c r="BS450" s="2125"/>
      <c r="BT450" s="2125"/>
      <c r="BU450" s="2029"/>
      <c r="BV450" s="2029"/>
      <c r="BW450" s="2029"/>
      <c r="BX450" s="2029"/>
      <c r="BY450" s="2029"/>
      <c r="BZ450" s="2032"/>
      <c r="CA450" s="1974">
        <f t="shared" si="288"/>
        <v>0</v>
      </c>
      <c r="CB450" s="1974">
        <f t="shared" si="288"/>
        <v>0</v>
      </c>
      <c r="CC450" s="1974">
        <f t="shared" si="288"/>
        <v>0</v>
      </c>
      <c r="CD450" s="1974">
        <f t="shared" si="288"/>
        <v>0</v>
      </c>
      <c r="CE450" s="1974">
        <f t="shared" si="288"/>
        <v>0</v>
      </c>
      <c r="CF450" s="2033">
        <v>0</v>
      </c>
      <c r="CG450" s="2026">
        <v>0</v>
      </c>
      <c r="CH450" s="2009">
        <f t="shared" si="288"/>
        <v>0</v>
      </c>
      <c r="CI450" s="2031">
        <f t="shared" si="288"/>
        <v>0</v>
      </c>
      <c r="CJ450" s="1974">
        <f t="shared" si="288"/>
        <v>0</v>
      </c>
      <c r="CK450" s="2031">
        <f t="shared" si="288"/>
        <v>0</v>
      </c>
      <c r="CL450" s="2026">
        <v>0</v>
      </c>
      <c r="CM450" s="2026">
        <v>0</v>
      </c>
      <c r="CN450" s="2026">
        <v>0</v>
      </c>
      <c r="CO450" s="2026">
        <v>0</v>
      </c>
      <c r="CP450" s="2035"/>
      <c r="CQ450" s="2036"/>
      <c r="CR450" s="2036"/>
      <c r="CS450" s="2036"/>
      <c r="CT450" s="2036"/>
      <c r="CU450" s="2036"/>
      <c r="CW450" s="1973">
        <v>0</v>
      </c>
      <c r="CX450" s="2037">
        <v>0</v>
      </c>
      <c r="CY450" s="2037">
        <v>0</v>
      </c>
      <c r="CZ450" s="2037">
        <v>0</v>
      </c>
      <c r="DA450" s="2037">
        <v>0</v>
      </c>
      <c r="DJ450" s="1976">
        <v>0</v>
      </c>
      <c r="DK450" s="1973">
        <v>0</v>
      </c>
      <c r="DL450" s="1973">
        <v>0</v>
      </c>
      <c r="DM450" s="1973">
        <v>0</v>
      </c>
      <c r="DO450" s="2027">
        <v>0</v>
      </c>
      <c r="DP450" s="2127">
        <v>0</v>
      </c>
      <c r="DQ450" s="2127">
        <v>0</v>
      </c>
      <c r="DR450" s="2027">
        <v>0</v>
      </c>
      <c r="DS450" s="2124">
        <v>0</v>
      </c>
      <c r="DT450" s="2029">
        <v>0</v>
      </c>
      <c r="DU450" s="2029">
        <v>0</v>
      </c>
      <c r="DV450" s="2029">
        <v>0</v>
      </c>
      <c r="DW450" s="2124">
        <v>0</v>
      </c>
      <c r="DX450" s="2029">
        <v>0</v>
      </c>
      <c r="DY450" s="2029">
        <v>0</v>
      </c>
      <c r="DZ450" s="2029">
        <v>0</v>
      </c>
      <c r="EA450" s="2124">
        <v>0</v>
      </c>
      <c r="EB450" s="2029">
        <v>0</v>
      </c>
      <c r="EC450" s="2029">
        <v>0</v>
      </c>
      <c r="ED450" s="2029">
        <v>0</v>
      </c>
      <c r="EE450" s="2039">
        <f t="shared" si="253"/>
        <v>0</v>
      </c>
      <c r="EF450" s="2039">
        <f t="shared" si="253"/>
        <v>0</v>
      </c>
      <c r="EG450" s="2039">
        <f t="shared" si="253"/>
        <v>0</v>
      </c>
      <c r="EH450" s="2039">
        <f t="shared" si="252"/>
        <v>0</v>
      </c>
      <c r="EI450" s="2040">
        <f t="shared" si="273"/>
        <v>0</v>
      </c>
      <c r="EJ450" s="2040">
        <f t="shared" si="273"/>
        <v>0</v>
      </c>
      <c r="EK450" s="2040">
        <f t="shared" si="273"/>
        <v>0</v>
      </c>
      <c r="EL450" s="2040">
        <f t="shared" si="273"/>
        <v>0</v>
      </c>
      <c r="EM450" s="2040">
        <f t="shared" si="273"/>
        <v>0</v>
      </c>
      <c r="EN450" s="2040">
        <f t="shared" si="273"/>
        <v>0</v>
      </c>
      <c r="EO450" s="2040">
        <f t="shared" si="271"/>
        <v>0</v>
      </c>
      <c r="EP450" s="2040">
        <f t="shared" si="271"/>
        <v>0</v>
      </c>
      <c r="EQ450" s="2040">
        <f t="shared" si="271"/>
        <v>0</v>
      </c>
      <c r="ER450" s="2040">
        <f t="shared" si="261"/>
        <v>0</v>
      </c>
      <c r="ES450" s="2040">
        <f t="shared" si="261"/>
        <v>0</v>
      </c>
      <c r="ET450" s="2040">
        <f t="shared" si="261"/>
        <v>0</v>
      </c>
      <c r="EU450" s="2039">
        <f t="shared" si="254"/>
        <v>0</v>
      </c>
      <c r="EV450" s="2039">
        <f t="shared" si="255"/>
        <v>0</v>
      </c>
    </row>
    <row r="451" spans="1:152" x14ac:dyDescent="0.25">
      <c r="A451" s="2142" t="s">
        <v>1040</v>
      </c>
      <c r="B451" s="2027"/>
      <c r="C451" s="2027">
        <f t="shared" si="289"/>
        <v>0</v>
      </c>
      <c r="D451" s="2127">
        <f t="shared" si="289"/>
        <v>0</v>
      </c>
      <c r="E451" s="2127">
        <f t="shared" si="289"/>
        <v>0</v>
      </c>
      <c r="F451" s="2027">
        <f t="shared" si="289"/>
        <v>0</v>
      </c>
      <c r="G451" s="1974" t="s">
        <v>2997</v>
      </c>
      <c r="H451" s="1974" t="s">
        <v>2997</v>
      </c>
      <c r="I451" s="2026">
        <v>0.96199999999999997</v>
      </c>
      <c r="J451" s="2026">
        <v>0.96199999999999997</v>
      </c>
      <c r="K451" s="2026">
        <v>0.96199999999999997</v>
      </c>
      <c r="L451" s="2026">
        <v>0.96199999999999997</v>
      </c>
      <c r="M451" s="2027">
        <f t="shared" si="284"/>
        <v>0</v>
      </c>
      <c r="N451" s="2027">
        <f t="shared" si="284"/>
        <v>0</v>
      </c>
      <c r="O451" s="2027">
        <f t="shared" si="284"/>
        <v>0</v>
      </c>
      <c r="P451" s="2027">
        <f t="shared" si="284"/>
        <v>0</v>
      </c>
      <c r="Q451" s="2026">
        <v>0.96199999999999997</v>
      </c>
      <c r="R451" s="2026">
        <v>0.96199999999999997</v>
      </c>
      <c r="S451" s="2026">
        <v>0.96199999999999997</v>
      </c>
      <c r="T451" s="2026">
        <v>0.96199999999999997</v>
      </c>
      <c r="U451" s="2028">
        <f t="shared" si="285"/>
        <v>0</v>
      </c>
      <c r="V451" s="2028">
        <f t="shared" si="285"/>
        <v>0</v>
      </c>
      <c r="W451" s="2028">
        <f t="shared" si="285"/>
        <v>0</v>
      </c>
      <c r="X451" s="2028">
        <f t="shared" si="285"/>
        <v>0</v>
      </c>
      <c r="Y451" s="2026">
        <v>0.96199999999999997</v>
      </c>
      <c r="Z451" s="2026">
        <v>0.96199999999999997</v>
      </c>
      <c r="AA451" s="2026">
        <v>0.96199999999999997</v>
      </c>
      <c r="AB451" s="2026">
        <v>0.96199999999999997</v>
      </c>
      <c r="AC451" s="2027">
        <f t="shared" si="286"/>
        <v>0</v>
      </c>
      <c r="AD451" s="2027">
        <f t="shared" si="286"/>
        <v>0</v>
      </c>
      <c r="AE451" s="2027">
        <f t="shared" si="286"/>
        <v>0</v>
      </c>
      <c r="AF451" s="2027">
        <f t="shared" si="286"/>
        <v>0</v>
      </c>
      <c r="AG451" s="2027">
        <v>0</v>
      </c>
      <c r="AH451" s="2028"/>
      <c r="AI451" s="2028"/>
      <c r="AJ451" s="2028"/>
      <c r="AK451" s="2027">
        <f t="shared" si="293"/>
        <v>0</v>
      </c>
      <c r="AL451" s="2027">
        <f t="shared" si="279"/>
        <v>0</v>
      </c>
      <c r="AM451" s="2027">
        <f t="shared" si="279"/>
        <v>0</v>
      </c>
      <c r="AN451" s="2027">
        <f t="shared" si="279"/>
        <v>0</v>
      </c>
      <c r="AO451" s="2027">
        <f t="shared" si="294"/>
        <v>0</v>
      </c>
      <c r="AP451" s="2027">
        <f t="shared" si="280"/>
        <v>0</v>
      </c>
      <c r="AQ451" s="2027">
        <f t="shared" si="280"/>
        <v>0</v>
      </c>
      <c r="AR451" s="2027">
        <f t="shared" si="280"/>
        <v>0</v>
      </c>
      <c r="AS451" s="2124">
        <f t="shared" si="290"/>
        <v>0</v>
      </c>
      <c r="AT451" s="2029">
        <f t="shared" si="281"/>
        <v>0</v>
      </c>
      <c r="AU451" s="2029">
        <f t="shared" si="281"/>
        <v>0</v>
      </c>
      <c r="AV451" s="2029">
        <f t="shared" si="281"/>
        <v>0</v>
      </c>
      <c r="AW451" s="2124">
        <f t="shared" si="291"/>
        <v>0</v>
      </c>
      <c r="AX451" s="2029">
        <f t="shared" si="295"/>
        <v>0</v>
      </c>
      <c r="AY451" s="2029">
        <f t="shared" si="295"/>
        <v>0</v>
      </c>
      <c r="AZ451" s="2029">
        <f t="shared" si="295"/>
        <v>0</v>
      </c>
      <c r="BA451" s="2124">
        <f t="shared" si="287"/>
        <v>0</v>
      </c>
      <c r="BB451" s="2029">
        <f t="shared" si="287"/>
        <v>0</v>
      </c>
      <c r="BC451" s="2029">
        <f t="shared" si="287"/>
        <v>0</v>
      </c>
      <c r="BD451" s="2029">
        <f t="shared" si="287"/>
        <v>0</v>
      </c>
      <c r="BE451" s="2030">
        <f t="shared" si="282"/>
        <v>0</v>
      </c>
      <c r="BF451" s="2030">
        <f t="shared" si="282"/>
        <v>0</v>
      </c>
      <c r="BG451" s="2030">
        <f t="shared" si="282"/>
        <v>0</v>
      </c>
      <c r="BH451" s="2030">
        <f t="shared" si="274"/>
        <v>0</v>
      </c>
      <c r="BI451" s="2030">
        <f t="shared" si="283"/>
        <v>0</v>
      </c>
      <c r="BJ451" s="2030">
        <f t="shared" si="283"/>
        <v>0</v>
      </c>
      <c r="BK451" s="2030">
        <f t="shared" si="283"/>
        <v>0</v>
      </c>
      <c r="BL451" s="2030">
        <f t="shared" si="275"/>
        <v>0</v>
      </c>
      <c r="BM451" s="2125"/>
      <c r="BN451" s="2125"/>
      <c r="BO451" s="2125"/>
      <c r="BP451" s="2125"/>
      <c r="BQ451" s="2125"/>
      <c r="BR451" s="2125"/>
      <c r="BS451" s="2125"/>
      <c r="BT451" s="2125"/>
      <c r="BU451" s="2029"/>
      <c r="BV451" s="2029"/>
      <c r="BW451" s="2029"/>
      <c r="BX451" s="2029"/>
      <c r="BY451" s="2029"/>
      <c r="BZ451" s="2032"/>
      <c r="CA451" s="1974">
        <f t="shared" si="288"/>
        <v>0</v>
      </c>
      <c r="CB451" s="1974">
        <f t="shared" si="288"/>
        <v>0</v>
      </c>
      <c r="CC451" s="1974">
        <f t="shared" si="288"/>
        <v>0</v>
      </c>
      <c r="CD451" s="1974">
        <f t="shared" si="288"/>
        <v>0</v>
      </c>
      <c r="CE451" s="1974">
        <f t="shared" si="288"/>
        <v>0</v>
      </c>
      <c r="CF451" s="2033">
        <v>0</v>
      </c>
      <c r="CG451" s="2026">
        <v>0</v>
      </c>
      <c r="CH451" s="2009">
        <f t="shared" si="288"/>
        <v>0</v>
      </c>
      <c r="CI451" s="2031">
        <f t="shared" si="288"/>
        <v>0</v>
      </c>
      <c r="CJ451" s="1974">
        <f t="shared" si="288"/>
        <v>0</v>
      </c>
      <c r="CK451" s="2031">
        <f t="shared" si="288"/>
        <v>0</v>
      </c>
      <c r="CL451" s="2026">
        <v>0</v>
      </c>
      <c r="CM451" s="2026">
        <v>0</v>
      </c>
      <c r="CN451" s="2026">
        <v>0</v>
      </c>
      <c r="CO451" s="2026">
        <v>0</v>
      </c>
      <c r="CP451" s="2035"/>
      <c r="CQ451" s="2036"/>
      <c r="CR451" s="2036"/>
      <c r="CS451" s="2036"/>
      <c r="CT451" s="2036"/>
      <c r="CU451" s="2036"/>
      <c r="CW451" s="1973">
        <v>0</v>
      </c>
      <c r="CX451" s="2037">
        <v>0</v>
      </c>
      <c r="CY451" s="2037">
        <v>0</v>
      </c>
      <c r="CZ451" s="2037">
        <v>0</v>
      </c>
      <c r="DA451" s="2037">
        <v>0</v>
      </c>
      <c r="DJ451" s="1976">
        <v>0</v>
      </c>
      <c r="DK451" s="1973">
        <v>0</v>
      </c>
      <c r="DL451" s="1973">
        <v>0</v>
      </c>
      <c r="DM451" s="1973">
        <v>0</v>
      </c>
      <c r="DO451" s="2027">
        <v>0</v>
      </c>
      <c r="DP451" s="2127">
        <v>0</v>
      </c>
      <c r="DQ451" s="2127">
        <v>0</v>
      </c>
      <c r="DR451" s="2027">
        <v>0</v>
      </c>
      <c r="DS451" s="2124">
        <v>0</v>
      </c>
      <c r="DT451" s="2029">
        <v>0</v>
      </c>
      <c r="DU451" s="2029">
        <v>0</v>
      </c>
      <c r="DV451" s="2029">
        <v>0</v>
      </c>
      <c r="DW451" s="2124">
        <v>0</v>
      </c>
      <c r="DX451" s="2029">
        <v>0</v>
      </c>
      <c r="DY451" s="2029">
        <v>0</v>
      </c>
      <c r="DZ451" s="2029">
        <v>0</v>
      </c>
      <c r="EA451" s="2124">
        <v>0</v>
      </c>
      <c r="EB451" s="2029">
        <v>0</v>
      </c>
      <c r="EC451" s="2029">
        <v>0</v>
      </c>
      <c r="ED451" s="2029">
        <v>0</v>
      </c>
      <c r="EE451" s="2039">
        <f t="shared" si="253"/>
        <v>0</v>
      </c>
      <c r="EF451" s="2039">
        <f t="shared" si="253"/>
        <v>0</v>
      </c>
      <c r="EG451" s="2039">
        <f t="shared" si="253"/>
        <v>0</v>
      </c>
      <c r="EH451" s="2039">
        <f t="shared" si="252"/>
        <v>0</v>
      </c>
      <c r="EI451" s="2040">
        <f t="shared" si="273"/>
        <v>0</v>
      </c>
      <c r="EJ451" s="2040">
        <f t="shared" si="273"/>
        <v>0</v>
      </c>
      <c r="EK451" s="2040">
        <f t="shared" si="273"/>
        <v>0</v>
      </c>
      <c r="EL451" s="2040">
        <f t="shared" si="273"/>
        <v>0</v>
      </c>
      <c r="EM451" s="2040">
        <f t="shared" si="273"/>
        <v>0</v>
      </c>
      <c r="EN451" s="2040">
        <f t="shared" si="273"/>
        <v>0</v>
      </c>
      <c r="EO451" s="2040">
        <f t="shared" si="271"/>
        <v>0</v>
      </c>
      <c r="EP451" s="2040">
        <f t="shared" si="271"/>
        <v>0</v>
      </c>
      <c r="EQ451" s="2040">
        <f t="shared" si="271"/>
        <v>0</v>
      </c>
      <c r="ER451" s="2040">
        <f t="shared" si="261"/>
        <v>0</v>
      </c>
      <c r="ES451" s="2040">
        <f t="shared" si="261"/>
        <v>0</v>
      </c>
      <c r="ET451" s="2040">
        <f t="shared" si="261"/>
        <v>0</v>
      </c>
      <c r="EU451" s="2039">
        <f t="shared" si="254"/>
        <v>0</v>
      </c>
      <c r="EV451" s="2039">
        <f t="shared" si="255"/>
        <v>0</v>
      </c>
    </row>
    <row r="452" spans="1:152" x14ac:dyDescent="0.25">
      <c r="A452" s="2142" t="s">
        <v>1041</v>
      </c>
      <c r="B452" s="2027"/>
      <c r="C452" s="2027">
        <f t="shared" si="289"/>
        <v>0</v>
      </c>
      <c r="D452" s="2127">
        <f t="shared" si="289"/>
        <v>0</v>
      </c>
      <c r="E452" s="2127">
        <f t="shared" si="289"/>
        <v>0</v>
      </c>
      <c r="F452" s="2027">
        <f t="shared" si="289"/>
        <v>0</v>
      </c>
      <c r="G452" s="1974" t="s">
        <v>2997</v>
      </c>
      <c r="H452" s="1974" t="s">
        <v>2997</v>
      </c>
      <c r="I452" s="2026">
        <v>0.96199999999999997</v>
      </c>
      <c r="J452" s="2026">
        <v>0.96199999999999997</v>
      </c>
      <c r="K452" s="2026">
        <v>0.96199999999999997</v>
      </c>
      <c r="L452" s="2026">
        <v>0.96199999999999997</v>
      </c>
      <c r="M452" s="2027">
        <f t="shared" si="284"/>
        <v>0</v>
      </c>
      <c r="N452" s="2027">
        <f t="shared" si="284"/>
        <v>0</v>
      </c>
      <c r="O452" s="2027">
        <f t="shared" si="284"/>
        <v>0</v>
      </c>
      <c r="P452" s="2027">
        <f t="shared" si="284"/>
        <v>0</v>
      </c>
      <c r="Q452" s="2026">
        <v>0.96199999999999997</v>
      </c>
      <c r="R452" s="2026">
        <v>0.96199999999999997</v>
      </c>
      <c r="S452" s="2026">
        <v>0.96199999999999997</v>
      </c>
      <c r="T452" s="2026">
        <v>0.96199999999999997</v>
      </c>
      <c r="U452" s="2028">
        <f t="shared" si="285"/>
        <v>0</v>
      </c>
      <c r="V452" s="2028">
        <f t="shared" si="285"/>
        <v>0</v>
      </c>
      <c r="W452" s="2028">
        <f t="shared" si="285"/>
        <v>0</v>
      </c>
      <c r="X452" s="2028">
        <f t="shared" si="285"/>
        <v>0</v>
      </c>
      <c r="Y452" s="2026">
        <v>0.96199999999999997</v>
      </c>
      <c r="Z452" s="2026">
        <v>0.96199999999999997</v>
      </c>
      <c r="AA452" s="2026">
        <v>0.96199999999999997</v>
      </c>
      <c r="AB452" s="2026">
        <v>0.96199999999999997</v>
      </c>
      <c r="AC452" s="2027">
        <f t="shared" si="286"/>
        <v>0</v>
      </c>
      <c r="AD452" s="2027">
        <f t="shared" si="286"/>
        <v>0</v>
      </c>
      <c r="AE452" s="2027">
        <f t="shared" si="286"/>
        <v>0</v>
      </c>
      <c r="AF452" s="2027">
        <f t="shared" si="286"/>
        <v>0</v>
      </c>
      <c r="AG452" s="2027">
        <v>0</v>
      </c>
      <c r="AH452" s="2028"/>
      <c r="AI452" s="2028"/>
      <c r="AJ452" s="2028"/>
      <c r="AK452" s="2027">
        <f t="shared" si="293"/>
        <v>0</v>
      </c>
      <c r="AL452" s="2027">
        <f t="shared" si="279"/>
        <v>0</v>
      </c>
      <c r="AM452" s="2027">
        <f t="shared" si="279"/>
        <v>0</v>
      </c>
      <c r="AN452" s="2027">
        <f t="shared" si="279"/>
        <v>0</v>
      </c>
      <c r="AO452" s="2027">
        <f t="shared" si="294"/>
        <v>0</v>
      </c>
      <c r="AP452" s="2027">
        <f t="shared" si="280"/>
        <v>0</v>
      </c>
      <c r="AQ452" s="2027">
        <f t="shared" si="280"/>
        <v>0</v>
      </c>
      <c r="AR452" s="2027">
        <f t="shared" si="280"/>
        <v>0</v>
      </c>
      <c r="AS452" s="2124">
        <f t="shared" si="290"/>
        <v>0</v>
      </c>
      <c r="AT452" s="2029">
        <f t="shared" si="281"/>
        <v>0</v>
      </c>
      <c r="AU452" s="2029">
        <f t="shared" si="281"/>
        <v>0</v>
      </c>
      <c r="AV452" s="2029">
        <f t="shared" si="281"/>
        <v>0</v>
      </c>
      <c r="AW452" s="2124">
        <f t="shared" si="291"/>
        <v>0</v>
      </c>
      <c r="AX452" s="2029">
        <f t="shared" si="295"/>
        <v>0</v>
      </c>
      <c r="AY452" s="2029">
        <f t="shared" si="295"/>
        <v>0</v>
      </c>
      <c r="AZ452" s="2029">
        <f t="shared" si="295"/>
        <v>0</v>
      </c>
      <c r="BA452" s="2124">
        <f t="shared" si="287"/>
        <v>0</v>
      </c>
      <c r="BB452" s="2029">
        <f t="shared" si="287"/>
        <v>0</v>
      </c>
      <c r="BC452" s="2029">
        <f t="shared" si="287"/>
        <v>0</v>
      </c>
      <c r="BD452" s="2029">
        <f t="shared" si="287"/>
        <v>0</v>
      </c>
      <c r="BE452" s="2030">
        <f t="shared" si="282"/>
        <v>0</v>
      </c>
      <c r="BF452" s="2030">
        <f t="shared" si="282"/>
        <v>0</v>
      </c>
      <c r="BG452" s="2030">
        <f t="shared" si="282"/>
        <v>0</v>
      </c>
      <c r="BH452" s="2030">
        <f t="shared" si="274"/>
        <v>0</v>
      </c>
      <c r="BI452" s="2030">
        <f t="shared" si="283"/>
        <v>0</v>
      </c>
      <c r="BJ452" s="2030">
        <f t="shared" si="283"/>
        <v>0</v>
      </c>
      <c r="BK452" s="2030">
        <f t="shared" si="283"/>
        <v>0</v>
      </c>
      <c r="BL452" s="2030">
        <f t="shared" si="275"/>
        <v>0</v>
      </c>
      <c r="BM452" s="2125"/>
      <c r="BN452" s="2125"/>
      <c r="BO452" s="2125"/>
      <c r="BP452" s="2125"/>
      <c r="BQ452" s="2125"/>
      <c r="BR452" s="2125"/>
      <c r="BS452" s="2125"/>
      <c r="BT452" s="2125"/>
      <c r="BU452" s="2029"/>
      <c r="BV452" s="2029"/>
      <c r="BW452" s="2029"/>
      <c r="BX452" s="2029"/>
      <c r="BY452" s="2029"/>
      <c r="BZ452" s="2032"/>
      <c r="CA452" s="1974">
        <f t="shared" si="288"/>
        <v>0</v>
      </c>
      <c r="CB452" s="1974">
        <f t="shared" si="288"/>
        <v>0</v>
      </c>
      <c r="CC452" s="1974">
        <f t="shared" si="288"/>
        <v>0</v>
      </c>
      <c r="CD452" s="1974">
        <f t="shared" si="288"/>
        <v>0</v>
      </c>
      <c r="CE452" s="1974">
        <f t="shared" si="288"/>
        <v>0</v>
      </c>
      <c r="CF452" s="2033">
        <v>0</v>
      </c>
      <c r="CG452" s="2026">
        <v>0</v>
      </c>
      <c r="CH452" s="2009">
        <f t="shared" si="288"/>
        <v>0</v>
      </c>
      <c r="CI452" s="2031">
        <f t="shared" si="288"/>
        <v>0</v>
      </c>
      <c r="CJ452" s="1974">
        <f t="shared" si="288"/>
        <v>0</v>
      </c>
      <c r="CK452" s="2031">
        <f t="shared" si="288"/>
        <v>0</v>
      </c>
      <c r="CL452" s="2026">
        <v>0</v>
      </c>
      <c r="CM452" s="2026">
        <v>0</v>
      </c>
      <c r="CN452" s="2026">
        <v>0</v>
      </c>
      <c r="CO452" s="2026">
        <v>0</v>
      </c>
      <c r="CP452" s="2035"/>
      <c r="CQ452" s="2036"/>
      <c r="CR452" s="2036"/>
      <c r="CS452" s="2036"/>
      <c r="CT452" s="2036"/>
      <c r="CU452" s="2036"/>
      <c r="CW452" s="1973">
        <v>0</v>
      </c>
      <c r="CX452" s="2037">
        <v>0</v>
      </c>
      <c r="CY452" s="2037">
        <v>0</v>
      </c>
      <c r="CZ452" s="2037">
        <v>0</v>
      </c>
      <c r="DA452" s="2037">
        <v>0</v>
      </c>
      <c r="DJ452" s="1976">
        <v>0</v>
      </c>
      <c r="DK452" s="1973">
        <v>0</v>
      </c>
      <c r="DL452" s="1973">
        <v>0</v>
      </c>
      <c r="DM452" s="1973">
        <v>0</v>
      </c>
      <c r="DO452" s="2027">
        <v>0</v>
      </c>
      <c r="DP452" s="2127">
        <v>0</v>
      </c>
      <c r="DQ452" s="2127">
        <v>0</v>
      </c>
      <c r="DR452" s="2027">
        <v>0</v>
      </c>
      <c r="DS452" s="2124">
        <v>0</v>
      </c>
      <c r="DT452" s="2029">
        <v>0</v>
      </c>
      <c r="DU452" s="2029">
        <v>0</v>
      </c>
      <c r="DV452" s="2029">
        <v>0</v>
      </c>
      <c r="DW452" s="2124">
        <v>0</v>
      </c>
      <c r="DX452" s="2029">
        <v>0</v>
      </c>
      <c r="DY452" s="2029">
        <v>0</v>
      </c>
      <c r="DZ452" s="2029">
        <v>0</v>
      </c>
      <c r="EA452" s="2124">
        <v>0</v>
      </c>
      <c r="EB452" s="2029">
        <v>0</v>
      </c>
      <c r="EC452" s="2029">
        <v>0</v>
      </c>
      <c r="ED452" s="2029">
        <v>0</v>
      </c>
      <c r="EE452" s="2039">
        <f t="shared" si="253"/>
        <v>0</v>
      </c>
      <c r="EF452" s="2039">
        <f t="shared" si="253"/>
        <v>0</v>
      </c>
      <c r="EG452" s="2039">
        <f t="shared" si="253"/>
        <v>0</v>
      </c>
      <c r="EH452" s="2039">
        <f t="shared" si="252"/>
        <v>0</v>
      </c>
      <c r="EI452" s="2040">
        <f t="shared" si="273"/>
        <v>0</v>
      </c>
      <c r="EJ452" s="2040">
        <f t="shared" si="273"/>
        <v>0</v>
      </c>
      <c r="EK452" s="2040">
        <f t="shared" si="273"/>
        <v>0</v>
      </c>
      <c r="EL452" s="2040">
        <f t="shared" si="273"/>
        <v>0</v>
      </c>
      <c r="EM452" s="2040">
        <f t="shared" si="273"/>
        <v>0</v>
      </c>
      <c r="EN452" s="2040">
        <f t="shared" si="273"/>
        <v>0</v>
      </c>
      <c r="EO452" s="2040">
        <f t="shared" si="271"/>
        <v>0</v>
      </c>
      <c r="EP452" s="2040">
        <f t="shared" si="271"/>
        <v>0</v>
      </c>
      <c r="EQ452" s="2040">
        <f t="shared" si="271"/>
        <v>0</v>
      </c>
      <c r="ER452" s="2040">
        <f t="shared" si="261"/>
        <v>0</v>
      </c>
      <c r="ES452" s="2040">
        <f t="shared" si="261"/>
        <v>0</v>
      </c>
      <c r="ET452" s="2040">
        <f t="shared" si="261"/>
        <v>0</v>
      </c>
      <c r="EU452" s="2039">
        <f t="shared" si="254"/>
        <v>0</v>
      </c>
      <c r="EV452" s="2039">
        <f t="shared" si="255"/>
        <v>0</v>
      </c>
    </row>
    <row r="453" spans="1:152" x14ac:dyDescent="0.25">
      <c r="A453" s="2142" t="s">
        <v>1042</v>
      </c>
      <c r="B453" s="2027"/>
      <c r="C453" s="2027">
        <f t="shared" si="289"/>
        <v>0</v>
      </c>
      <c r="D453" s="2127">
        <f t="shared" si="289"/>
        <v>0</v>
      </c>
      <c r="E453" s="2127">
        <f t="shared" si="289"/>
        <v>0</v>
      </c>
      <c r="F453" s="2027">
        <f t="shared" si="289"/>
        <v>0</v>
      </c>
      <c r="G453" s="1974" t="s">
        <v>2997</v>
      </c>
      <c r="H453" s="1974" t="s">
        <v>2997</v>
      </c>
      <c r="I453" s="2026">
        <v>0.96199999999999997</v>
      </c>
      <c r="J453" s="2026">
        <v>0.96199999999999997</v>
      </c>
      <c r="K453" s="2026">
        <v>0.96199999999999997</v>
      </c>
      <c r="L453" s="2026">
        <v>0.96199999999999997</v>
      </c>
      <c r="M453" s="2027">
        <f t="shared" si="284"/>
        <v>0</v>
      </c>
      <c r="N453" s="2027">
        <f t="shared" si="284"/>
        <v>0</v>
      </c>
      <c r="O453" s="2027">
        <f t="shared" si="284"/>
        <v>0</v>
      </c>
      <c r="P453" s="2027">
        <f t="shared" si="284"/>
        <v>0</v>
      </c>
      <c r="Q453" s="2026">
        <v>0.96199999999999997</v>
      </c>
      <c r="R453" s="2026">
        <v>0.96199999999999997</v>
      </c>
      <c r="S453" s="2026">
        <v>0.96199999999999997</v>
      </c>
      <c r="T453" s="2026">
        <v>0.96199999999999997</v>
      </c>
      <c r="U453" s="2028">
        <f t="shared" si="285"/>
        <v>0</v>
      </c>
      <c r="V453" s="2028">
        <f t="shared" si="285"/>
        <v>0</v>
      </c>
      <c r="W453" s="2028">
        <f t="shared" si="285"/>
        <v>0</v>
      </c>
      <c r="X453" s="2028">
        <f t="shared" si="285"/>
        <v>0</v>
      </c>
      <c r="Y453" s="2026">
        <v>0.96199999999999997</v>
      </c>
      <c r="Z453" s="2026">
        <v>0.96199999999999997</v>
      </c>
      <c r="AA453" s="2026">
        <v>0.96199999999999997</v>
      </c>
      <c r="AB453" s="2026">
        <v>0.96199999999999997</v>
      </c>
      <c r="AC453" s="2027">
        <f t="shared" si="286"/>
        <v>0</v>
      </c>
      <c r="AD453" s="2027">
        <f t="shared" si="286"/>
        <v>0</v>
      </c>
      <c r="AE453" s="2027">
        <f t="shared" si="286"/>
        <v>0</v>
      </c>
      <c r="AF453" s="2027">
        <f t="shared" si="286"/>
        <v>0</v>
      </c>
      <c r="AG453" s="2027">
        <v>0</v>
      </c>
      <c r="AH453" s="2028"/>
      <c r="AI453" s="2028"/>
      <c r="AJ453" s="2028"/>
      <c r="AK453" s="2027">
        <f t="shared" si="293"/>
        <v>0</v>
      </c>
      <c r="AL453" s="2027">
        <f t="shared" si="279"/>
        <v>0</v>
      </c>
      <c r="AM453" s="2027">
        <f t="shared" si="279"/>
        <v>0</v>
      </c>
      <c r="AN453" s="2027">
        <f t="shared" si="279"/>
        <v>0</v>
      </c>
      <c r="AO453" s="2027">
        <f t="shared" si="294"/>
        <v>0</v>
      </c>
      <c r="AP453" s="2027">
        <f t="shared" si="280"/>
        <v>0</v>
      </c>
      <c r="AQ453" s="2027">
        <f t="shared" si="280"/>
        <v>0</v>
      </c>
      <c r="AR453" s="2027">
        <f t="shared" si="280"/>
        <v>0</v>
      </c>
      <c r="AS453" s="2124">
        <f t="shared" si="290"/>
        <v>0</v>
      </c>
      <c r="AT453" s="2029">
        <f t="shared" si="281"/>
        <v>0</v>
      </c>
      <c r="AU453" s="2029">
        <f t="shared" si="281"/>
        <v>0</v>
      </c>
      <c r="AV453" s="2029">
        <f t="shared" si="281"/>
        <v>0</v>
      </c>
      <c r="AW453" s="2124">
        <f t="shared" si="291"/>
        <v>0</v>
      </c>
      <c r="AX453" s="2029">
        <f t="shared" si="295"/>
        <v>0</v>
      </c>
      <c r="AY453" s="2029">
        <f t="shared" si="295"/>
        <v>0</v>
      </c>
      <c r="AZ453" s="2029">
        <f t="shared" si="295"/>
        <v>0</v>
      </c>
      <c r="BA453" s="2124">
        <f t="shared" si="287"/>
        <v>0</v>
      </c>
      <c r="BB453" s="2029">
        <f t="shared" si="287"/>
        <v>0</v>
      </c>
      <c r="BC453" s="2029">
        <f t="shared" si="287"/>
        <v>0</v>
      </c>
      <c r="BD453" s="2029">
        <f t="shared" si="287"/>
        <v>0</v>
      </c>
      <c r="BE453" s="2030">
        <f t="shared" si="282"/>
        <v>0</v>
      </c>
      <c r="BF453" s="2030">
        <f t="shared" si="282"/>
        <v>0</v>
      </c>
      <c r="BG453" s="2030">
        <f t="shared" si="282"/>
        <v>0</v>
      </c>
      <c r="BH453" s="2030">
        <f t="shared" si="274"/>
        <v>0</v>
      </c>
      <c r="BI453" s="2030">
        <f t="shared" si="283"/>
        <v>0</v>
      </c>
      <c r="BJ453" s="2030">
        <f t="shared" si="283"/>
        <v>0</v>
      </c>
      <c r="BK453" s="2030">
        <f t="shared" si="283"/>
        <v>0</v>
      </c>
      <c r="BL453" s="2030">
        <f t="shared" si="275"/>
        <v>0</v>
      </c>
      <c r="BM453" s="2125"/>
      <c r="BN453" s="2125"/>
      <c r="BO453" s="2125"/>
      <c r="BP453" s="2125"/>
      <c r="BQ453" s="2125"/>
      <c r="BR453" s="2125"/>
      <c r="BS453" s="2125"/>
      <c r="BT453" s="2125"/>
      <c r="BU453" s="2029"/>
      <c r="BV453" s="2029"/>
      <c r="BW453" s="2029"/>
      <c r="BX453" s="2029"/>
      <c r="BY453" s="2029"/>
      <c r="BZ453" s="2032"/>
      <c r="CA453" s="1974">
        <f t="shared" si="288"/>
        <v>0</v>
      </c>
      <c r="CB453" s="1974">
        <f t="shared" si="288"/>
        <v>0</v>
      </c>
      <c r="CC453" s="1974">
        <f t="shared" si="288"/>
        <v>0</v>
      </c>
      <c r="CD453" s="1974">
        <f t="shared" si="288"/>
        <v>0</v>
      </c>
      <c r="CE453" s="1974">
        <f t="shared" si="288"/>
        <v>0</v>
      </c>
      <c r="CF453" s="2033">
        <v>0</v>
      </c>
      <c r="CG453" s="2026">
        <v>0</v>
      </c>
      <c r="CH453" s="2009">
        <f t="shared" si="288"/>
        <v>0</v>
      </c>
      <c r="CI453" s="2031">
        <f t="shared" si="288"/>
        <v>0</v>
      </c>
      <c r="CJ453" s="1974">
        <f t="shared" si="288"/>
        <v>0</v>
      </c>
      <c r="CK453" s="2031">
        <f t="shared" si="288"/>
        <v>0</v>
      </c>
      <c r="CL453" s="2026">
        <v>0</v>
      </c>
      <c r="CM453" s="2026">
        <v>0</v>
      </c>
      <c r="CN453" s="2026">
        <v>0</v>
      </c>
      <c r="CO453" s="2026">
        <v>0</v>
      </c>
      <c r="CP453" s="2035"/>
      <c r="CQ453" s="2036"/>
      <c r="CR453" s="2036"/>
      <c r="CS453" s="2036"/>
      <c r="CT453" s="2036"/>
      <c r="CU453" s="2036"/>
      <c r="CW453" s="1973">
        <v>0</v>
      </c>
      <c r="CX453" s="2037">
        <v>0</v>
      </c>
      <c r="CY453" s="2037">
        <v>0</v>
      </c>
      <c r="CZ453" s="2037">
        <v>0</v>
      </c>
      <c r="DA453" s="2037">
        <v>0</v>
      </c>
      <c r="DJ453" s="1976">
        <v>0</v>
      </c>
      <c r="DK453" s="1973">
        <v>0</v>
      </c>
      <c r="DL453" s="1973">
        <v>0</v>
      </c>
      <c r="DM453" s="1973">
        <v>0</v>
      </c>
      <c r="DO453" s="2027">
        <v>0</v>
      </c>
      <c r="DP453" s="2127">
        <v>0</v>
      </c>
      <c r="DQ453" s="2127">
        <v>0</v>
      </c>
      <c r="DR453" s="2027">
        <v>0</v>
      </c>
      <c r="DS453" s="2124">
        <v>0</v>
      </c>
      <c r="DT453" s="2029">
        <v>0</v>
      </c>
      <c r="DU453" s="2029">
        <v>0</v>
      </c>
      <c r="DV453" s="2029">
        <v>0</v>
      </c>
      <c r="DW453" s="2124">
        <v>0</v>
      </c>
      <c r="DX453" s="2029">
        <v>0</v>
      </c>
      <c r="DY453" s="2029">
        <v>0</v>
      </c>
      <c r="DZ453" s="2029">
        <v>0</v>
      </c>
      <c r="EA453" s="2124">
        <v>0</v>
      </c>
      <c r="EB453" s="2029">
        <v>0</v>
      </c>
      <c r="EC453" s="2029">
        <v>0</v>
      </c>
      <c r="ED453" s="2029">
        <v>0</v>
      </c>
      <c r="EE453" s="2039">
        <f t="shared" si="253"/>
        <v>0</v>
      </c>
      <c r="EF453" s="2039">
        <f t="shared" si="253"/>
        <v>0</v>
      </c>
      <c r="EG453" s="2039">
        <f t="shared" si="253"/>
        <v>0</v>
      </c>
      <c r="EH453" s="2039">
        <f t="shared" si="252"/>
        <v>0</v>
      </c>
      <c r="EI453" s="2040">
        <f t="shared" si="273"/>
        <v>0</v>
      </c>
      <c r="EJ453" s="2040">
        <f t="shared" si="273"/>
        <v>0</v>
      </c>
      <c r="EK453" s="2040">
        <f t="shared" si="273"/>
        <v>0</v>
      </c>
      <c r="EL453" s="2040">
        <f t="shared" si="273"/>
        <v>0</v>
      </c>
      <c r="EM453" s="2040">
        <f t="shared" si="273"/>
        <v>0</v>
      </c>
      <c r="EN453" s="2040">
        <f t="shared" si="273"/>
        <v>0</v>
      </c>
      <c r="EO453" s="2040">
        <f t="shared" si="271"/>
        <v>0</v>
      </c>
      <c r="EP453" s="2040">
        <f t="shared" si="271"/>
        <v>0</v>
      </c>
      <c r="EQ453" s="2040">
        <f t="shared" si="271"/>
        <v>0</v>
      </c>
      <c r="ER453" s="2040">
        <f t="shared" si="261"/>
        <v>0</v>
      </c>
      <c r="ES453" s="2040">
        <f t="shared" si="261"/>
        <v>0</v>
      </c>
      <c r="ET453" s="2040">
        <f t="shared" si="261"/>
        <v>0</v>
      </c>
      <c r="EU453" s="2039">
        <f t="shared" si="254"/>
        <v>0</v>
      </c>
      <c r="EV453" s="2039">
        <f t="shared" si="255"/>
        <v>0</v>
      </c>
    </row>
    <row r="454" spans="1:152" x14ac:dyDescent="0.25">
      <c r="A454" s="2142" t="s">
        <v>1043</v>
      </c>
      <c r="B454" s="2027"/>
      <c r="C454" s="2027">
        <f t="shared" si="289"/>
        <v>0</v>
      </c>
      <c r="D454" s="2127">
        <f t="shared" si="289"/>
        <v>0</v>
      </c>
      <c r="E454" s="2127">
        <f t="shared" si="289"/>
        <v>0</v>
      </c>
      <c r="F454" s="2027">
        <f t="shared" si="289"/>
        <v>0</v>
      </c>
      <c r="G454" s="1974" t="s">
        <v>2997</v>
      </c>
      <c r="H454" s="1974" t="s">
        <v>2997</v>
      </c>
      <c r="I454" s="2026">
        <v>0.96199999999999997</v>
      </c>
      <c r="J454" s="2026">
        <v>0.96199999999999997</v>
      </c>
      <c r="K454" s="2026">
        <v>0.96199999999999997</v>
      </c>
      <c r="L454" s="2026">
        <v>0.96199999999999997</v>
      </c>
      <c r="M454" s="2027">
        <f t="shared" si="284"/>
        <v>0</v>
      </c>
      <c r="N454" s="2027">
        <f t="shared" si="284"/>
        <v>0</v>
      </c>
      <c r="O454" s="2027">
        <f t="shared" si="284"/>
        <v>0</v>
      </c>
      <c r="P454" s="2027">
        <f t="shared" si="284"/>
        <v>0</v>
      </c>
      <c r="Q454" s="2026">
        <v>0.96199999999999997</v>
      </c>
      <c r="R454" s="2026">
        <v>0.96199999999999997</v>
      </c>
      <c r="S454" s="2026">
        <v>0.96199999999999997</v>
      </c>
      <c r="T454" s="2026">
        <v>0.96199999999999997</v>
      </c>
      <c r="U454" s="2028">
        <f t="shared" si="285"/>
        <v>0</v>
      </c>
      <c r="V454" s="2028">
        <f t="shared" si="285"/>
        <v>0</v>
      </c>
      <c r="W454" s="2028">
        <f t="shared" si="285"/>
        <v>0</v>
      </c>
      <c r="X454" s="2028">
        <f t="shared" si="285"/>
        <v>0</v>
      </c>
      <c r="Y454" s="2026">
        <v>0.96199999999999997</v>
      </c>
      <c r="Z454" s="2026">
        <v>0.96199999999999997</v>
      </c>
      <c r="AA454" s="2026">
        <v>0.96199999999999997</v>
      </c>
      <c r="AB454" s="2026">
        <v>0.96199999999999997</v>
      </c>
      <c r="AC454" s="2027">
        <f t="shared" si="286"/>
        <v>0</v>
      </c>
      <c r="AD454" s="2027">
        <f t="shared" si="286"/>
        <v>0</v>
      </c>
      <c r="AE454" s="2027">
        <f t="shared" si="286"/>
        <v>0</v>
      </c>
      <c r="AF454" s="2027">
        <f t="shared" si="286"/>
        <v>0</v>
      </c>
      <c r="AG454" s="2027">
        <v>0</v>
      </c>
      <c r="AH454" s="2028"/>
      <c r="AI454" s="2028"/>
      <c r="AJ454" s="2028"/>
      <c r="AK454" s="2027">
        <f t="shared" si="293"/>
        <v>0</v>
      </c>
      <c r="AL454" s="2027">
        <f t="shared" si="279"/>
        <v>0</v>
      </c>
      <c r="AM454" s="2027">
        <f t="shared" si="279"/>
        <v>0</v>
      </c>
      <c r="AN454" s="2027">
        <f t="shared" si="279"/>
        <v>0</v>
      </c>
      <c r="AO454" s="2027">
        <f t="shared" si="294"/>
        <v>0</v>
      </c>
      <c r="AP454" s="2027">
        <f t="shared" si="280"/>
        <v>0</v>
      </c>
      <c r="AQ454" s="2027">
        <f t="shared" si="280"/>
        <v>0</v>
      </c>
      <c r="AR454" s="2027">
        <f t="shared" si="280"/>
        <v>0</v>
      </c>
      <c r="AS454" s="2124">
        <f t="shared" si="290"/>
        <v>0</v>
      </c>
      <c r="AT454" s="2029">
        <f t="shared" si="281"/>
        <v>0</v>
      </c>
      <c r="AU454" s="2029">
        <f t="shared" si="281"/>
        <v>0</v>
      </c>
      <c r="AV454" s="2029">
        <f t="shared" si="281"/>
        <v>0</v>
      </c>
      <c r="AW454" s="2124">
        <f t="shared" si="291"/>
        <v>0</v>
      </c>
      <c r="AX454" s="2029">
        <f t="shared" si="295"/>
        <v>0</v>
      </c>
      <c r="AY454" s="2029">
        <f t="shared" si="295"/>
        <v>0</v>
      </c>
      <c r="AZ454" s="2029">
        <f t="shared" si="295"/>
        <v>0</v>
      </c>
      <c r="BA454" s="2124">
        <f t="shared" si="287"/>
        <v>0</v>
      </c>
      <c r="BB454" s="2029">
        <f t="shared" si="287"/>
        <v>0</v>
      </c>
      <c r="BC454" s="2029">
        <f t="shared" si="287"/>
        <v>0</v>
      </c>
      <c r="BD454" s="2029">
        <f t="shared" si="287"/>
        <v>0</v>
      </c>
      <c r="BE454" s="2030">
        <f t="shared" si="282"/>
        <v>0</v>
      </c>
      <c r="BF454" s="2030">
        <f t="shared" si="282"/>
        <v>0</v>
      </c>
      <c r="BG454" s="2030">
        <f t="shared" si="282"/>
        <v>0</v>
      </c>
      <c r="BH454" s="2030">
        <f t="shared" si="274"/>
        <v>0</v>
      </c>
      <c r="BI454" s="2030">
        <f t="shared" si="283"/>
        <v>0</v>
      </c>
      <c r="BJ454" s="2030">
        <f t="shared" si="283"/>
        <v>0</v>
      </c>
      <c r="BK454" s="2030">
        <f t="shared" si="283"/>
        <v>0</v>
      </c>
      <c r="BL454" s="2030">
        <f t="shared" si="275"/>
        <v>0</v>
      </c>
      <c r="BM454" s="2125"/>
      <c r="BN454" s="2125"/>
      <c r="BO454" s="2125"/>
      <c r="BP454" s="2125"/>
      <c r="BQ454" s="2125"/>
      <c r="BR454" s="2125"/>
      <c r="BS454" s="2125"/>
      <c r="BT454" s="2125"/>
      <c r="BU454" s="2029"/>
      <c r="BV454" s="2029"/>
      <c r="BW454" s="2029"/>
      <c r="BX454" s="2029"/>
      <c r="BY454" s="2029"/>
      <c r="BZ454" s="2032"/>
      <c r="CA454" s="1974">
        <f t="shared" si="288"/>
        <v>0</v>
      </c>
      <c r="CB454" s="1974">
        <f t="shared" si="288"/>
        <v>0</v>
      </c>
      <c r="CC454" s="1974">
        <f t="shared" si="288"/>
        <v>0</v>
      </c>
      <c r="CD454" s="1974">
        <f t="shared" si="288"/>
        <v>0</v>
      </c>
      <c r="CE454" s="1974">
        <f t="shared" si="288"/>
        <v>0</v>
      </c>
      <c r="CF454" s="2033">
        <v>0</v>
      </c>
      <c r="CG454" s="2026">
        <v>0</v>
      </c>
      <c r="CH454" s="2009">
        <f t="shared" si="288"/>
        <v>0</v>
      </c>
      <c r="CI454" s="2031">
        <f t="shared" si="288"/>
        <v>0</v>
      </c>
      <c r="CJ454" s="1974">
        <f t="shared" si="288"/>
        <v>0</v>
      </c>
      <c r="CK454" s="2031">
        <f t="shared" si="288"/>
        <v>0</v>
      </c>
      <c r="CL454" s="2026">
        <v>0</v>
      </c>
      <c r="CM454" s="2026">
        <v>0</v>
      </c>
      <c r="CN454" s="2026">
        <v>0</v>
      </c>
      <c r="CO454" s="2026">
        <v>0</v>
      </c>
      <c r="CP454" s="2035"/>
      <c r="CQ454" s="2036"/>
      <c r="CR454" s="2036"/>
      <c r="CS454" s="2036"/>
      <c r="CT454" s="2036"/>
      <c r="CU454" s="2036"/>
      <c r="CW454" s="1973">
        <v>0</v>
      </c>
      <c r="CX454" s="2037">
        <v>0</v>
      </c>
      <c r="CY454" s="2037">
        <v>0</v>
      </c>
      <c r="CZ454" s="2037">
        <v>0</v>
      </c>
      <c r="DA454" s="2037">
        <v>0</v>
      </c>
      <c r="DJ454" s="1976">
        <v>0</v>
      </c>
      <c r="DK454" s="1973">
        <v>0</v>
      </c>
      <c r="DL454" s="1973">
        <v>0</v>
      </c>
      <c r="DM454" s="1973">
        <v>0</v>
      </c>
      <c r="DO454" s="2027">
        <v>0</v>
      </c>
      <c r="DP454" s="2127">
        <v>0</v>
      </c>
      <c r="DQ454" s="2127">
        <v>0</v>
      </c>
      <c r="DR454" s="2027">
        <v>0</v>
      </c>
      <c r="DS454" s="2124">
        <v>0</v>
      </c>
      <c r="DT454" s="2029">
        <v>0</v>
      </c>
      <c r="DU454" s="2029">
        <v>0</v>
      </c>
      <c r="DV454" s="2029">
        <v>0</v>
      </c>
      <c r="DW454" s="2124">
        <v>0</v>
      </c>
      <c r="DX454" s="2029">
        <v>0</v>
      </c>
      <c r="DY454" s="2029">
        <v>0</v>
      </c>
      <c r="DZ454" s="2029">
        <v>0</v>
      </c>
      <c r="EA454" s="2124">
        <v>0</v>
      </c>
      <c r="EB454" s="2029">
        <v>0</v>
      </c>
      <c r="EC454" s="2029">
        <v>0</v>
      </c>
      <c r="ED454" s="2029">
        <v>0</v>
      </c>
      <c r="EE454" s="2039">
        <f t="shared" si="253"/>
        <v>0</v>
      </c>
      <c r="EF454" s="2039">
        <f t="shared" si="253"/>
        <v>0</v>
      </c>
      <c r="EG454" s="2039">
        <f t="shared" si="253"/>
        <v>0</v>
      </c>
      <c r="EH454" s="2039">
        <f t="shared" si="253"/>
        <v>0</v>
      </c>
      <c r="EI454" s="2040">
        <f t="shared" si="273"/>
        <v>0</v>
      </c>
      <c r="EJ454" s="2040">
        <f t="shared" si="273"/>
        <v>0</v>
      </c>
      <c r="EK454" s="2040">
        <f t="shared" si="273"/>
        <v>0</v>
      </c>
      <c r="EL454" s="2040">
        <f t="shared" si="273"/>
        <v>0</v>
      </c>
      <c r="EM454" s="2040">
        <f t="shared" si="273"/>
        <v>0</v>
      </c>
      <c r="EN454" s="2040">
        <f t="shared" si="273"/>
        <v>0</v>
      </c>
      <c r="EO454" s="2040">
        <f t="shared" si="271"/>
        <v>0</v>
      </c>
      <c r="EP454" s="2040">
        <f t="shared" si="271"/>
        <v>0</v>
      </c>
      <c r="EQ454" s="2040">
        <f t="shared" si="271"/>
        <v>0</v>
      </c>
      <c r="ER454" s="2040">
        <f t="shared" si="261"/>
        <v>0</v>
      </c>
      <c r="ES454" s="2040">
        <f t="shared" si="261"/>
        <v>0</v>
      </c>
      <c r="ET454" s="2040">
        <f t="shared" si="261"/>
        <v>0</v>
      </c>
      <c r="EU454" s="2039">
        <f t="shared" si="254"/>
        <v>0</v>
      </c>
      <c r="EV454" s="2039">
        <f t="shared" si="255"/>
        <v>0</v>
      </c>
    </row>
    <row r="455" spans="1:152" x14ac:dyDescent="0.25">
      <c r="A455" s="2142" t="s">
        <v>1044</v>
      </c>
      <c r="B455" s="2027"/>
      <c r="C455" s="2027">
        <f t="shared" si="289"/>
        <v>0</v>
      </c>
      <c r="D455" s="2127">
        <f t="shared" si="289"/>
        <v>0</v>
      </c>
      <c r="E455" s="2127">
        <f t="shared" si="289"/>
        <v>0</v>
      </c>
      <c r="F455" s="2027">
        <f t="shared" si="289"/>
        <v>0</v>
      </c>
      <c r="G455" s="1974" t="s">
        <v>2997</v>
      </c>
      <c r="H455" s="1974" t="s">
        <v>2997</v>
      </c>
      <c r="I455" s="2026">
        <v>0.96199999999999997</v>
      </c>
      <c r="J455" s="2026">
        <v>0.96199999999999997</v>
      </c>
      <c r="K455" s="2026">
        <v>0.96199999999999997</v>
      </c>
      <c r="L455" s="2026">
        <v>0.96199999999999997</v>
      </c>
      <c r="M455" s="2027">
        <f t="shared" si="284"/>
        <v>0</v>
      </c>
      <c r="N455" s="2027">
        <f t="shared" si="284"/>
        <v>0</v>
      </c>
      <c r="O455" s="2027">
        <f t="shared" si="284"/>
        <v>0</v>
      </c>
      <c r="P455" s="2027">
        <f t="shared" si="284"/>
        <v>0</v>
      </c>
      <c r="Q455" s="2026">
        <v>0.96199999999999997</v>
      </c>
      <c r="R455" s="2026">
        <v>0.96199999999999997</v>
      </c>
      <c r="S455" s="2026">
        <v>0.96199999999999997</v>
      </c>
      <c r="T455" s="2026">
        <v>0.96199999999999997</v>
      </c>
      <c r="U455" s="2028">
        <f t="shared" si="285"/>
        <v>0</v>
      </c>
      <c r="V455" s="2028">
        <f t="shared" si="285"/>
        <v>0</v>
      </c>
      <c r="W455" s="2028">
        <f t="shared" si="285"/>
        <v>0</v>
      </c>
      <c r="X455" s="2028">
        <f t="shared" si="285"/>
        <v>0</v>
      </c>
      <c r="Y455" s="2026">
        <v>0.96199999999999997</v>
      </c>
      <c r="Z455" s="2026">
        <v>0.96199999999999997</v>
      </c>
      <c r="AA455" s="2026">
        <v>0.96199999999999997</v>
      </c>
      <c r="AB455" s="2026">
        <v>0.96199999999999997</v>
      </c>
      <c r="AC455" s="2027">
        <f t="shared" si="286"/>
        <v>0</v>
      </c>
      <c r="AD455" s="2027">
        <f t="shared" si="286"/>
        <v>0</v>
      </c>
      <c r="AE455" s="2027">
        <f t="shared" si="286"/>
        <v>0</v>
      </c>
      <c r="AF455" s="2027">
        <f t="shared" si="286"/>
        <v>0</v>
      </c>
      <c r="AG455" s="2027">
        <v>0</v>
      </c>
      <c r="AH455" s="2028"/>
      <c r="AI455" s="2028"/>
      <c r="AJ455" s="2028"/>
      <c r="AK455" s="2027">
        <f t="shared" si="293"/>
        <v>0</v>
      </c>
      <c r="AL455" s="2027">
        <f t="shared" si="279"/>
        <v>0</v>
      </c>
      <c r="AM455" s="2027">
        <f t="shared" si="279"/>
        <v>0</v>
      </c>
      <c r="AN455" s="2027">
        <f t="shared" si="279"/>
        <v>0</v>
      </c>
      <c r="AO455" s="2027">
        <f t="shared" si="294"/>
        <v>0</v>
      </c>
      <c r="AP455" s="2027">
        <f t="shared" si="280"/>
        <v>0</v>
      </c>
      <c r="AQ455" s="2027">
        <f t="shared" si="280"/>
        <v>0</v>
      </c>
      <c r="AR455" s="2027">
        <f t="shared" si="280"/>
        <v>0</v>
      </c>
      <c r="AS455" s="2124">
        <f t="shared" si="290"/>
        <v>0</v>
      </c>
      <c r="AT455" s="2029">
        <f t="shared" si="281"/>
        <v>0</v>
      </c>
      <c r="AU455" s="2029">
        <f t="shared" si="281"/>
        <v>0</v>
      </c>
      <c r="AV455" s="2029">
        <f t="shared" si="281"/>
        <v>0</v>
      </c>
      <c r="AW455" s="2124">
        <f t="shared" si="291"/>
        <v>0</v>
      </c>
      <c r="AX455" s="2029">
        <f t="shared" si="295"/>
        <v>0</v>
      </c>
      <c r="AY455" s="2029">
        <f t="shared" si="295"/>
        <v>0</v>
      </c>
      <c r="AZ455" s="2029">
        <f t="shared" si="295"/>
        <v>0</v>
      </c>
      <c r="BA455" s="2124">
        <f t="shared" si="287"/>
        <v>0</v>
      </c>
      <c r="BB455" s="2029">
        <f t="shared" si="287"/>
        <v>0</v>
      </c>
      <c r="BC455" s="2029">
        <f t="shared" si="287"/>
        <v>0</v>
      </c>
      <c r="BD455" s="2029">
        <f t="shared" si="287"/>
        <v>0</v>
      </c>
      <c r="BE455" s="2030">
        <f t="shared" si="282"/>
        <v>0</v>
      </c>
      <c r="BF455" s="2030">
        <f t="shared" si="282"/>
        <v>0</v>
      </c>
      <c r="BG455" s="2030">
        <f t="shared" si="282"/>
        <v>0</v>
      </c>
      <c r="BH455" s="2030">
        <f t="shared" si="274"/>
        <v>0</v>
      </c>
      <c r="BI455" s="2030">
        <f t="shared" si="283"/>
        <v>0</v>
      </c>
      <c r="BJ455" s="2030">
        <f t="shared" si="283"/>
        <v>0</v>
      </c>
      <c r="BK455" s="2030">
        <f t="shared" si="283"/>
        <v>0</v>
      </c>
      <c r="BL455" s="2030">
        <f t="shared" si="275"/>
        <v>0</v>
      </c>
      <c r="BM455" s="2125"/>
      <c r="BN455" s="2125"/>
      <c r="BO455" s="2125"/>
      <c r="BP455" s="2125"/>
      <c r="BQ455" s="2125"/>
      <c r="BR455" s="2125"/>
      <c r="BS455" s="2125"/>
      <c r="BT455" s="2125"/>
      <c r="BU455" s="2029"/>
      <c r="BV455" s="2029"/>
      <c r="BW455" s="2029"/>
      <c r="BX455" s="2029"/>
      <c r="BY455" s="2029"/>
      <c r="BZ455" s="2032"/>
      <c r="CA455" s="1974">
        <f t="shared" si="288"/>
        <v>0</v>
      </c>
      <c r="CB455" s="1974">
        <f t="shared" si="288"/>
        <v>0</v>
      </c>
      <c r="CC455" s="1974">
        <f t="shared" si="288"/>
        <v>0</v>
      </c>
      <c r="CD455" s="1974">
        <f t="shared" si="288"/>
        <v>0</v>
      </c>
      <c r="CE455" s="1974">
        <f t="shared" si="288"/>
        <v>0</v>
      </c>
      <c r="CF455" s="2033">
        <v>0</v>
      </c>
      <c r="CG455" s="2026">
        <v>0</v>
      </c>
      <c r="CH455" s="2009">
        <f t="shared" si="288"/>
        <v>0</v>
      </c>
      <c r="CI455" s="2031">
        <f t="shared" si="288"/>
        <v>0</v>
      </c>
      <c r="CJ455" s="1974">
        <f t="shared" si="288"/>
        <v>0</v>
      </c>
      <c r="CK455" s="2031">
        <f t="shared" si="288"/>
        <v>0</v>
      </c>
      <c r="CL455" s="2026">
        <v>0</v>
      </c>
      <c r="CM455" s="2026">
        <v>0</v>
      </c>
      <c r="CN455" s="2026">
        <v>0</v>
      </c>
      <c r="CO455" s="2026">
        <v>0</v>
      </c>
      <c r="CP455" s="2035"/>
      <c r="CQ455" s="2036"/>
      <c r="CR455" s="2036"/>
      <c r="CS455" s="2036"/>
      <c r="CT455" s="2036"/>
      <c r="CU455" s="2036"/>
      <c r="CW455" s="1973">
        <v>0</v>
      </c>
      <c r="CX455" s="2037">
        <v>0</v>
      </c>
      <c r="CY455" s="2037">
        <v>0</v>
      </c>
      <c r="CZ455" s="2037">
        <v>0</v>
      </c>
      <c r="DA455" s="2037">
        <v>0</v>
      </c>
      <c r="DJ455" s="1976">
        <v>0</v>
      </c>
      <c r="DK455" s="1973">
        <v>0</v>
      </c>
      <c r="DL455" s="1973">
        <v>0</v>
      </c>
      <c r="DM455" s="1973">
        <v>0</v>
      </c>
      <c r="DO455" s="2027">
        <v>0</v>
      </c>
      <c r="DP455" s="2127">
        <v>0</v>
      </c>
      <c r="DQ455" s="2127">
        <v>0</v>
      </c>
      <c r="DR455" s="2027">
        <v>0</v>
      </c>
      <c r="DS455" s="2124">
        <v>0</v>
      </c>
      <c r="DT455" s="2029">
        <v>0</v>
      </c>
      <c r="DU455" s="2029">
        <v>0</v>
      </c>
      <c r="DV455" s="2029">
        <v>0</v>
      </c>
      <c r="DW455" s="2124">
        <v>0</v>
      </c>
      <c r="DX455" s="2029">
        <v>0</v>
      </c>
      <c r="DY455" s="2029">
        <v>0</v>
      </c>
      <c r="DZ455" s="2029">
        <v>0</v>
      </c>
      <c r="EA455" s="2124">
        <v>0</v>
      </c>
      <c r="EB455" s="2029">
        <v>0</v>
      </c>
      <c r="EC455" s="2029">
        <v>0</v>
      </c>
      <c r="ED455" s="2029">
        <v>0</v>
      </c>
      <c r="EE455" s="2039">
        <f t="shared" ref="EE455:EH518" si="296">C455-DO455</f>
        <v>0</v>
      </c>
      <c r="EF455" s="2039">
        <f t="shared" si="296"/>
        <v>0</v>
      </c>
      <c r="EG455" s="2039">
        <f t="shared" si="296"/>
        <v>0</v>
      </c>
      <c r="EH455" s="2039">
        <f t="shared" si="296"/>
        <v>0</v>
      </c>
      <c r="EI455" s="2040">
        <f t="shared" si="273"/>
        <v>0</v>
      </c>
      <c r="EJ455" s="2040">
        <f t="shared" si="273"/>
        <v>0</v>
      </c>
      <c r="EK455" s="2040">
        <f t="shared" si="273"/>
        <v>0</v>
      </c>
      <c r="EL455" s="2040">
        <f t="shared" si="273"/>
        <v>0</v>
      </c>
      <c r="EM455" s="2040">
        <f t="shared" si="273"/>
        <v>0</v>
      </c>
      <c r="EN455" s="2040">
        <f t="shared" si="273"/>
        <v>0</v>
      </c>
      <c r="EO455" s="2040">
        <f t="shared" si="271"/>
        <v>0</v>
      </c>
      <c r="EP455" s="2040">
        <f t="shared" si="271"/>
        <v>0</v>
      </c>
      <c r="EQ455" s="2040">
        <f t="shared" si="271"/>
        <v>0</v>
      </c>
      <c r="ER455" s="2040">
        <f t="shared" si="261"/>
        <v>0</v>
      </c>
      <c r="ES455" s="2040">
        <f t="shared" si="261"/>
        <v>0</v>
      </c>
      <c r="ET455" s="2040">
        <f t="shared" si="261"/>
        <v>0</v>
      </c>
      <c r="EU455" s="2039">
        <f t="shared" ref="EU455:EU518" si="297">SUM(EE455:ET455)</f>
        <v>0</v>
      </c>
      <c r="EV455" s="2039">
        <f t="shared" ref="EV455:EV518" si="298">SUM(EE455:EH455)</f>
        <v>0</v>
      </c>
    </row>
    <row r="456" spans="1:152" x14ac:dyDescent="0.25">
      <c r="A456" s="2142" t="s">
        <v>1045</v>
      </c>
      <c r="B456" s="2027"/>
      <c r="C456" s="2027">
        <f t="shared" si="289"/>
        <v>0</v>
      </c>
      <c r="D456" s="2127">
        <f t="shared" si="289"/>
        <v>0</v>
      </c>
      <c r="E456" s="2127">
        <f t="shared" si="289"/>
        <v>0</v>
      </c>
      <c r="F456" s="2027">
        <f t="shared" si="289"/>
        <v>0</v>
      </c>
      <c r="G456" s="1974" t="s">
        <v>2997</v>
      </c>
      <c r="H456" s="1974" t="s">
        <v>2997</v>
      </c>
      <c r="I456" s="2026">
        <v>0.96199999999999997</v>
      </c>
      <c r="J456" s="2026">
        <v>0.96199999999999997</v>
      </c>
      <c r="K456" s="2026">
        <v>0.96199999999999997</v>
      </c>
      <c r="L456" s="2026">
        <v>0.96199999999999997</v>
      </c>
      <c r="M456" s="2027">
        <f t="shared" si="284"/>
        <v>0</v>
      </c>
      <c r="N456" s="2027">
        <f t="shared" si="284"/>
        <v>0</v>
      </c>
      <c r="O456" s="2027">
        <f t="shared" si="284"/>
        <v>0</v>
      </c>
      <c r="P456" s="2027">
        <f t="shared" si="284"/>
        <v>0</v>
      </c>
      <c r="Q456" s="2026">
        <v>0.96199999999999997</v>
      </c>
      <c r="R456" s="2026">
        <v>0.96199999999999997</v>
      </c>
      <c r="S456" s="2026">
        <v>0.96199999999999997</v>
      </c>
      <c r="T456" s="2026">
        <v>0.96199999999999997</v>
      </c>
      <c r="U456" s="2028">
        <f t="shared" si="285"/>
        <v>0</v>
      </c>
      <c r="V456" s="2028">
        <f t="shared" si="285"/>
        <v>0</v>
      </c>
      <c r="W456" s="2028">
        <f t="shared" si="285"/>
        <v>0</v>
      </c>
      <c r="X456" s="2028">
        <f t="shared" si="285"/>
        <v>0</v>
      </c>
      <c r="Y456" s="2026">
        <v>0.96199999999999997</v>
      </c>
      <c r="Z456" s="2026">
        <v>0.96199999999999997</v>
      </c>
      <c r="AA456" s="2026">
        <v>0.96199999999999997</v>
      </c>
      <c r="AB456" s="2026">
        <v>0.96199999999999997</v>
      </c>
      <c r="AC456" s="2027">
        <f t="shared" si="286"/>
        <v>0</v>
      </c>
      <c r="AD456" s="2027">
        <f t="shared" si="286"/>
        <v>0</v>
      </c>
      <c r="AE456" s="2027">
        <f t="shared" si="286"/>
        <v>0</v>
      </c>
      <c r="AF456" s="2027">
        <f t="shared" si="286"/>
        <v>0</v>
      </c>
      <c r="AG456" s="2027">
        <v>0</v>
      </c>
      <c r="AH456" s="2028"/>
      <c r="AI456" s="2028"/>
      <c r="AJ456" s="2028"/>
      <c r="AK456" s="2027">
        <f t="shared" si="293"/>
        <v>0</v>
      </c>
      <c r="AL456" s="2027">
        <f t="shared" si="279"/>
        <v>0</v>
      </c>
      <c r="AM456" s="2027">
        <f t="shared" si="279"/>
        <v>0</v>
      </c>
      <c r="AN456" s="2027">
        <f t="shared" si="279"/>
        <v>0</v>
      </c>
      <c r="AO456" s="2027">
        <f t="shared" si="294"/>
        <v>0</v>
      </c>
      <c r="AP456" s="2027">
        <f t="shared" si="280"/>
        <v>0</v>
      </c>
      <c r="AQ456" s="2027">
        <f t="shared" si="280"/>
        <v>0</v>
      </c>
      <c r="AR456" s="2027">
        <f t="shared" si="280"/>
        <v>0</v>
      </c>
      <c r="AS456" s="2124">
        <f t="shared" si="290"/>
        <v>0</v>
      </c>
      <c r="AT456" s="2029">
        <f t="shared" si="281"/>
        <v>0</v>
      </c>
      <c r="AU456" s="2029">
        <f t="shared" si="281"/>
        <v>0</v>
      </c>
      <c r="AV456" s="2029">
        <f t="shared" si="281"/>
        <v>0</v>
      </c>
      <c r="AW456" s="2124">
        <f t="shared" si="291"/>
        <v>0</v>
      </c>
      <c r="AX456" s="2029">
        <f t="shared" si="295"/>
        <v>0</v>
      </c>
      <c r="AY456" s="2029">
        <f t="shared" si="295"/>
        <v>0</v>
      </c>
      <c r="AZ456" s="2029">
        <f t="shared" si="295"/>
        <v>0</v>
      </c>
      <c r="BA456" s="2124">
        <f t="shared" si="287"/>
        <v>0</v>
      </c>
      <c r="BB456" s="2029">
        <f t="shared" si="287"/>
        <v>0</v>
      </c>
      <c r="BC456" s="2029">
        <f t="shared" si="287"/>
        <v>0</v>
      </c>
      <c r="BD456" s="2029">
        <f t="shared" si="287"/>
        <v>0</v>
      </c>
      <c r="BE456" s="2030">
        <f t="shared" si="282"/>
        <v>0</v>
      </c>
      <c r="BF456" s="2030">
        <f t="shared" si="282"/>
        <v>0</v>
      </c>
      <c r="BG456" s="2030">
        <f t="shared" si="282"/>
        <v>0</v>
      </c>
      <c r="BH456" s="2030">
        <f t="shared" si="274"/>
        <v>0</v>
      </c>
      <c r="BI456" s="2030">
        <f t="shared" si="283"/>
        <v>0</v>
      </c>
      <c r="BJ456" s="2030">
        <f t="shared" si="283"/>
        <v>0</v>
      </c>
      <c r="BK456" s="2030">
        <f t="shared" si="283"/>
        <v>0</v>
      </c>
      <c r="BL456" s="2030">
        <f t="shared" si="275"/>
        <v>0</v>
      </c>
      <c r="BM456" s="2125"/>
      <c r="BN456" s="2125"/>
      <c r="BO456" s="2125"/>
      <c r="BP456" s="2125"/>
      <c r="BQ456" s="2125"/>
      <c r="BR456" s="2125"/>
      <c r="BS456" s="2125"/>
      <c r="BT456" s="2125"/>
      <c r="BU456" s="2029"/>
      <c r="BV456" s="2029"/>
      <c r="BW456" s="2029"/>
      <c r="BX456" s="2029"/>
      <c r="BY456" s="2029"/>
      <c r="BZ456" s="2032"/>
      <c r="CA456" s="1974">
        <f t="shared" si="288"/>
        <v>0</v>
      </c>
      <c r="CB456" s="1974">
        <f t="shared" si="288"/>
        <v>0</v>
      </c>
      <c r="CC456" s="1974">
        <f t="shared" si="288"/>
        <v>0</v>
      </c>
      <c r="CD456" s="1974">
        <f t="shared" si="288"/>
        <v>0</v>
      </c>
      <c r="CE456" s="1974">
        <f t="shared" si="288"/>
        <v>0</v>
      </c>
      <c r="CF456" s="2033">
        <v>0</v>
      </c>
      <c r="CG456" s="2026">
        <v>0</v>
      </c>
      <c r="CH456" s="2009">
        <f t="shared" si="288"/>
        <v>0</v>
      </c>
      <c r="CI456" s="2031">
        <f t="shared" si="288"/>
        <v>0</v>
      </c>
      <c r="CJ456" s="1974">
        <f t="shared" si="288"/>
        <v>0</v>
      </c>
      <c r="CK456" s="2031">
        <f t="shared" si="288"/>
        <v>0</v>
      </c>
      <c r="CL456" s="2026">
        <v>0</v>
      </c>
      <c r="CM456" s="2026">
        <v>0</v>
      </c>
      <c r="CN456" s="2026">
        <v>0</v>
      </c>
      <c r="CO456" s="2026">
        <v>0</v>
      </c>
      <c r="CP456" s="2035"/>
      <c r="CQ456" s="2036"/>
      <c r="CR456" s="2036"/>
      <c r="CS456" s="2036"/>
      <c r="CT456" s="2036"/>
      <c r="CU456" s="2036"/>
      <c r="CW456" s="1973">
        <v>0</v>
      </c>
      <c r="CX456" s="2037">
        <v>0</v>
      </c>
      <c r="CY456" s="2037">
        <v>0</v>
      </c>
      <c r="CZ456" s="2037">
        <v>0</v>
      </c>
      <c r="DA456" s="2037">
        <v>0</v>
      </c>
      <c r="DJ456" s="1976">
        <v>0</v>
      </c>
      <c r="DK456" s="1973">
        <v>0</v>
      </c>
      <c r="DL456" s="1973">
        <v>0</v>
      </c>
      <c r="DM456" s="1973">
        <v>0</v>
      </c>
      <c r="DO456" s="2027">
        <v>0</v>
      </c>
      <c r="DP456" s="2127">
        <v>0</v>
      </c>
      <c r="DQ456" s="2127">
        <v>0</v>
      </c>
      <c r="DR456" s="2027">
        <v>0</v>
      </c>
      <c r="DS456" s="2124">
        <v>0</v>
      </c>
      <c r="DT456" s="2029">
        <v>0</v>
      </c>
      <c r="DU456" s="2029">
        <v>0</v>
      </c>
      <c r="DV456" s="2029">
        <v>0</v>
      </c>
      <c r="DW456" s="2124">
        <v>0</v>
      </c>
      <c r="DX456" s="2029">
        <v>0</v>
      </c>
      <c r="DY456" s="2029">
        <v>0</v>
      </c>
      <c r="DZ456" s="2029">
        <v>0</v>
      </c>
      <c r="EA456" s="2124">
        <v>0</v>
      </c>
      <c r="EB456" s="2029">
        <v>0</v>
      </c>
      <c r="EC456" s="2029">
        <v>0</v>
      </c>
      <c r="ED456" s="2029">
        <v>0</v>
      </c>
      <c r="EE456" s="2039">
        <f t="shared" si="296"/>
        <v>0</v>
      </c>
      <c r="EF456" s="2039">
        <f t="shared" si="296"/>
        <v>0</v>
      </c>
      <c r="EG456" s="2039">
        <f t="shared" si="296"/>
        <v>0</v>
      </c>
      <c r="EH456" s="2039">
        <f t="shared" si="296"/>
        <v>0</v>
      </c>
      <c r="EI456" s="2040">
        <f t="shared" si="273"/>
        <v>0</v>
      </c>
      <c r="EJ456" s="2040">
        <f t="shared" si="273"/>
        <v>0</v>
      </c>
      <c r="EK456" s="2040">
        <f t="shared" si="273"/>
        <v>0</v>
      </c>
      <c r="EL456" s="2040">
        <f t="shared" si="273"/>
        <v>0</v>
      </c>
      <c r="EM456" s="2040">
        <f t="shared" si="273"/>
        <v>0</v>
      </c>
      <c r="EN456" s="2040">
        <f t="shared" si="273"/>
        <v>0</v>
      </c>
      <c r="EO456" s="2040">
        <f t="shared" si="271"/>
        <v>0</v>
      </c>
      <c r="EP456" s="2040">
        <f t="shared" si="271"/>
        <v>0</v>
      </c>
      <c r="EQ456" s="2040">
        <f t="shared" si="271"/>
        <v>0</v>
      </c>
      <c r="ER456" s="2040">
        <f t="shared" si="261"/>
        <v>0</v>
      </c>
      <c r="ES456" s="2040">
        <f t="shared" si="261"/>
        <v>0</v>
      </c>
      <c r="ET456" s="2040">
        <f t="shared" si="261"/>
        <v>0</v>
      </c>
      <c r="EU456" s="2039">
        <f t="shared" si="297"/>
        <v>0</v>
      </c>
      <c r="EV456" s="2039">
        <f t="shared" si="298"/>
        <v>0</v>
      </c>
    </row>
    <row r="457" spans="1:152" x14ac:dyDescent="0.25">
      <c r="A457" s="2142" t="s">
        <v>1046</v>
      </c>
      <c r="B457" s="2027"/>
      <c r="C457" s="2027">
        <f t="shared" si="289"/>
        <v>0</v>
      </c>
      <c r="D457" s="2127">
        <f t="shared" si="289"/>
        <v>0</v>
      </c>
      <c r="E457" s="2127">
        <f t="shared" si="289"/>
        <v>0</v>
      </c>
      <c r="F457" s="2027">
        <f t="shared" si="289"/>
        <v>0</v>
      </c>
      <c r="G457" s="1974" t="s">
        <v>2997</v>
      </c>
      <c r="H457" s="1974" t="s">
        <v>2997</v>
      </c>
      <c r="I457" s="2026">
        <v>0.96199999999999997</v>
      </c>
      <c r="J457" s="2026">
        <v>0.96199999999999997</v>
      </c>
      <c r="K457" s="2026">
        <v>0.96199999999999997</v>
      </c>
      <c r="L457" s="2026">
        <v>0.96199999999999997</v>
      </c>
      <c r="M457" s="2027">
        <f t="shared" si="284"/>
        <v>0</v>
      </c>
      <c r="N457" s="2027">
        <f t="shared" si="284"/>
        <v>0</v>
      </c>
      <c r="O457" s="2027">
        <f t="shared" si="284"/>
        <v>0</v>
      </c>
      <c r="P457" s="2027">
        <f t="shared" si="284"/>
        <v>0</v>
      </c>
      <c r="Q457" s="2026">
        <v>0.96199999999999997</v>
      </c>
      <c r="R457" s="2026">
        <v>0.96199999999999997</v>
      </c>
      <c r="S457" s="2026">
        <v>0.96199999999999997</v>
      </c>
      <c r="T457" s="2026">
        <v>0.96199999999999997</v>
      </c>
      <c r="U457" s="2028">
        <f t="shared" si="285"/>
        <v>0</v>
      </c>
      <c r="V457" s="2028">
        <f t="shared" si="285"/>
        <v>0</v>
      </c>
      <c r="W457" s="2028">
        <f t="shared" si="285"/>
        <v>0</v>
      </c>
      <c r="X457" s="2028">
        <f t="shared" si="285"/>
        <v>0</v>
      </c>
      <c r="Y457" s="2026">
        <v>0.96199999999999997</v>
      </c>
      <c r="Z457" s="2026">
        <v>0.96199999999999997</v>
      </c>
      <c r="AA457" s="2026">
        <v>0.96199999999999997</v>
      </c>
      <c r="AB457" s="2026">
        <v>0.96199999999999997</v>
      </c>
      <c r="AC457" s="2027">
        <f t="shared" si="286"/>
        <v>0</v>
      </c>
      <c r="AD457" s="2027">
        <f t="shared" si="286"/>
        <v>0</v>
      </c>
      <c r="AE457" s="2027">
        <f t="shared" si="286"/>
        <v>0</v>
      </c>
      <c r="AF457" s="2027">
        <f t="shared" si="286"/>
        <v>0</v>
      </c>
      <c r="AG457" s="2027">
        <v>0</v>
      </c>
      <c r="AH457" s="2028"/>
      <c r="AI457" s="2028"/>
      <c r="AJ457" s="2028"/>
      <c r="AK457" s="2027">
        <f t="shared" si="293"/>
        <v>0</v>
      </c>
      <c r="AL457" s="2027">
        <f t="shared" si="279"/>
        <v>0</v>
      </c>
      <c r="AM457" s="2027">
        <f t="shared" si="279"/>
        <v>0</v>
      </c>
      <c r="AN457" s="2027">
        <f t="shared" si="279"/>
        <v>0</v>
      </c>
      <c r="AO457" s="2027">
        <f t="shared" si="294"/>
        <v>0</v>
      </c>
      <c r="AP457" s="2027">
        <f t="shared" si="280"/>
        <v>0</v>
      </c>
      <c r="AQ457" s="2027">
        <f t="shared" si="280"/>
        <v>0</v>
      </c>
      <c r="AR457" s="2027">
        <f t="shared" si="280"/>
        <v>0</v>
      </c>
      <c r="AS457" s="2124">
        <f t="shared" si="290"/>
        <v>0</v>
      </c>
      <c r="AT457" s="2029">
        <f t="shared" si="281"/>
        <v>0</v>
      </c>
      <c r="AU457" s="2029">
        <f t="shared" si="281"/>
        <v>0</v>
      </c>
      <c r="AV457" s="2029">
        <f t="shared" si="281"/>
        <v>0</v>
      </c>
      <c r="AW457" s="2124">
        <f t="shared" si="291"/>
        <v>0</v>
      </c>
      <c r="AX457" s="2029">
        <f t="shared" si="295"/>
        <v>0</v>
      </c>
      <c r="AY457" s="2029">
        <f t="shared" si="295"/>
        <v>0</v>
      </c>
      <c r="AZ457" s="2029">
        <f t="shared" si="295"/>
        <v>0</v>
      </c>
      <c r="BA457" s="2124">
        <f t="shared" si="287"/>
        <v>0</v>
      </c>
      <c r="BB457" s="2029">
        <f t="shared" si="287"/>
        <v>0</v>
      </c>
      <c r="BC457" s="2029">
        <f t="shared" si="287"/>
        <v>0</v>
      </c>
      <c r="BD457" s="2029">
        <f t="shared" si="287"/>
        <v>0</v>
      </c>
      <c r="BE457" s="2030">
        <f t="shared" si="282"/>
        <v>0</v>
      </c>
      <c r="BF457" s="2030">
        <f t="shared" si="282"/>
        <v>0</v>
      </c>
      <c r="BG457" s="2030">
        <f t="shared" si="282"/>
        <v>0</v>
      </c>
      <c r="BH457" s="2030">
        <f t="shared" si="274"/>
        <v>0</v>
      </c>
      <c r="BI457" s="2030">
        <f t="shared" si="283"/>
        <v>0</v>
      </c>
      <c r="BJ457" s="2030">
        <f t="shared" si="283"/>
        <v>0</v>
      </c>
      <c r="BK457" s="2030">
        <f t="shared" si="283"/>
        <v>0</v>
      </c>
      <c r="BL457" s="2030">
        <f t="shared" si="275"/>
        <v>0</v>
      </c>
      <c r="BM457" s="2125"/>
      <c r="BN457" s="2125"/>
      <c r="BO457" s="2125"/>
      <c r="BP457" s="2125"/>
      <c r="BQ457" s="2125"/>
      <c r="BR457" s="2125"/>
      <c r="BS457" s="2125"/>
      <c r="BT457" s="2125"/>
      <c r="BU457" s="2029"/>
      <c r="BV457" s="2029"/>
      <c r="BW457" s="2029"/>
      <c r="BX457" s="2029"/>
      <c r="BY457" s="2029"/>
      <c r="BZ457" s="2032"/>
      <c r="CA457" s="1974">
        <f t="shared" si="288"/>
        <v>0</v>
      </c>
      <c r="CB457" s="1974">
        <f t="shared" si="288"/>
        <v>0</v>
      </c>
      <c r="CC457" s="1974">
        <f t="shared" si="288"/>
        <v>0</v>
      </c>
      <c r="CD457" s="1974">
        <f t="shared" si="288"/>
        <v>0</v>
      </c>
      <c r="CE457" s="1974">
        <f t="shared" si="288"/>
        <v>0</v>
      </c>
      <c r="CF457" s="2033">
        <v>0</v>
      </c>
      <c r="CG457" s="2026">
        <v>0</v>
      </c>
      <c r="CH457" s="2009">
        <f t="shared" si="288"/>
        <v>0</v>
      </c>
      <c r="CI457" s="2031">
        <f t="shared" si="288"/>
        <v>0</v>
      </c>
      <c r="CJ457" s="1974">
        <f t="shared" si="288"/>
        <v>0</v>
      </c>
      <c r="CK457" s="2031">
        <f t="shared" si="288"/>
        <v>0</v>
      </c>
      <c r="CL457" s="2026">
        <v>0</v>
      </c>
      <c r="CM457" s="2026">
        <v>0</v>
      </c>
      <c r="CN457" s="2026">
        <v>0</v>
      </c>
      <c r="CO457" s="2026">
        <v>0</v>
      </c>
      <c r="CP457" s="2035"/>
      <c r="CQ457" s="2036"/>
      <c r="CR457" s="2036"/>
      <c r="CS457" s="2036"/>
      <c r="CT457" s="2036"/>
      <c r="CU457" s="2036"/>
      <c r="CW457" s="1973">
        <v>0</v>
      </c>
      <c r="CX457" s="2037">
        <v>0</v>
      </c>
      <c r="CY457" s="2037">
        <v>0</v>
      </c>
      <c r="CZ457" s="2037">
        <v>0</v>
      </c>
      <c r="DA457" s="2037">
        <v>0</v>
      </c>
      <c r="DJ457" s="1976">
        <v>0</v>
      </c>
      <c r="DK457" s="1973">
        <v>0</v>
      </c>
      <c r="DL457" s="1973">
        <v>0</v>
      </c>
      <c r="DM457" s="1973">
        <v>0</v>
      </c>
      <c r="DO457" s="2027">
        <v>0</v>
      </c>
      <c r="DP457" s="2127">
        <v>0</v>
      </c>
      <c r="DQ457" s="2127">
        <v>0</v>
      </c>
      <c r="DR457" s="2027">
        <v>0</v>
      </c>
      <c r="DS457" s="2124">
        <v>0</v>
      </c>
      <c r="DT457" s="2029">
        <v>0</v>
      </c>
      <c r="DU457" s="2029">
        <v>0</v>
      </c>
      <c r="DV457" s="2029">
        <v>0</v>
      </c>
      <c r="DW457" s="2124">
        <v>0</v>
      </c>
      <c r="DX457" s="2029">
        <v>0</v>
      </c>
      <c r="DY457" s="2029">
        <v>0</v>
      </c>
      <c r="DZ457" s="2029">
        <v>0</v>
      </c>
      <c r="EA457" s="2124">
        <v>0</v>
      </c>
      <c r="EB457" s="2029">
        <v>0</v>
      </c>
      <c r="EC457" s="2029">
        <v>0</v>
      </c>
      <c r="ED457" s="2029">
        <v>0</v>
      </c>
      <c r="EE457" s="2039">
        <f t="shared" si="296"/>
        <v>0</v>
      </c>
      <c r="EF457" s="2039">
        <f t="shared" si="296"/>
        <v>0</v>
      </c>
      <c r="EG457" s="2039">
        <f t="shared" si="296"/>
        <v>0</v>
      </c>
      <c r="EH457" s="2039">
        <f t="shared" si="296"/>
        <v>0</v>
      </c>
      <c r="EI457" s="2040">
        <f t="shared" si="273"/>
        <v>0</v>
      </c>
      <c r="EJ457" s="2040">
        <f t="shared" si="273"/>
        <v>0</v>
      </c>
      <c r="EK457" s="2040">
        <f t="shared" si="273"/>
        <v>0</v>
      </c>
      <c r="EL457" s="2040">
        <f t="shared" si="273"/>
        <v>0</v>
      </c>
      <c r="EM457" s="2040">
        <f t="shared" si="273"/>
        <v>0</v>
      </c>
      <c r="EN457" s="2040">
        <f t="shared" si="273"/>
        <v>0</v>
      </c>
      <c r="EO457" s="2040">
        <f t="shared" si="271"/>
        <v>0</v>
      </c>
      <c r="EP457" s="2040">
        <f t="shared" si="271"/>
        <v>0</v>
      </c>
      <c r="EQ457" s="2040">
        <f t="shared" si="271"/>
        <v>0</v>
      </c>
      <c r="ER457" s="2040">
        <f t="shared" si="261"/>
        <v>0</v>
      </c>
      <c r="ES457" s="2040">
        <f t="shared" si="261"/>
        <v>0</v>
      </c>
      <c r="ET457" s="2040">
        <f t="shared" si="261"/>
        <v>0</v>
      </c>
      <c r="EU457" s="2039">
        <f t="shared" si="297"/>
        <v>0</v>
      </c>
      <c r="EV457" s="2039">
        <f t="shared" si="298"/>
        <v>0</v>
      </c>
    </row>
    <row r="458" spans="1:152" x14ac:dyDescent="0.25">
      <c r="A458" s="2142" t="s">
        <v>1047</v>
      </c>
      <c r="B458" s="2027"/>
      <c r="C458" s="2027">
        <f t="shared" si="289"/>
        <v>0</v>
      </c>
      <c r="D458" s="2127">
        <f t="shared" si="289"/>
        <v>0</v>
      </c>
      <c r="E458" s="2127">
        <f t="shared" si="289"/>
        <v>0</v>
      </c>
      <c r="F458" s="2027">
        <f t="shared" si="289"/>
        <v>0</v>
      </c>
      <c r="G458" s="1974" t="s">
        <v>2997</v>
      </c>
      <c r="H458" s="1974" t="s">
        <v>2997</v>
      </c>
      <c r="I458" s="2026">
        <v>0.96199999999999997</v>
      </c>
      <c r="J458" s="2026">
        <v>0.96199999999999997</v>
      </c>
      <c r="K458" s="2026">
        <v>0.96199999999999997</v>
      </c>
      <c r="L458" s="2026">
        <v>0.96199999999999997</v>
      </c>
      <c r="M458" s="2027">
        <f t="shared" si="284"/>
        <v>0</v>
      </c>
      <c r="N458" s="2027">
        <f t="shared" si="284"/>
        <v>0</v>
      </c>
      <c r="O458" s="2027">
        <f t="shared" si="284"/>
        <v>0</v>
      </c>
      <c r="P458" s="2027">
        <f t="shared" si="284"/>
        <v>0</v>
      </c>
      <c r="Q458" s="2026">
        <v>0.96199999999999997</v>
      </c>
      <c r="R458" s="2026">
        <v>0.96199999999999997</v>
      </c>
      <c r="S458" s="2026">
        <v>0.96199999999999997</v>
      </c>
      <c r="T458" s="2026">
        <v>0.96199999999999997</v>
      </c>
      <c r="U458" s="2028">
        <f t="shared" si="285"/>
        <v>0</v>
      </c>
      <c r="V458" s="2028">
        <f t="shared" si="285"/>
        <v>0</v>
      </c>
      <c r="W458" s="2028">
        <f t="shared" si="285"/>
        <v>0</v>
      </c>
      <c r="X458" s="2028">
        <f t="shared" si="285"/>
        <v>0</v>
      </c>
      <c r="Y458" s="2026">
        <v>0.96199999999999997</v>
      </c>
      <c r="Z458" s="2026">
        <v>0.96199999999999997</v>
      </c>
      <c r="AA458" s="2026">
        <v>0.96199999999999997</v>
      </c>
      <c r="AB458" s="2026">
        <v>0.96199999999999997</v>
      </c>
      <c r="AC458" s="2027">
        <f t="shared" si="286"/>
        <v>0</v>
      </c>
      <c r="AD458" s="2027">
        <f t="shared" si="286"/>
        <v>0</v>
      </c>
      <c r="AE458" s="2027">
        <f t="shared" si="286"/>
        <v>0</v>
      </c>
      <c r="AF458" s="2027">
        <f t="shared" si="286"/>
        <v>0</v>
      </c>
      <c r="AG458" s="2027">
        <v>0</v>
      </c>
      <c r="AH458" s="2028"/>
      <c r="AI458" s="2028"/>
      <c r="AJ458" s="2028"/>
      <c r="AK458" s="2027">
        <f t="shared" si="293"/>
        <v>0</v>
      </c>
      <c r="AL458" s="2027">
        <f t="shared" si="279"/>
        <v>0</v>
      </c>
      <c r="AM458" s="2027">
        <f t="shared" si="279"/>
        <v>0</v>
      </c>
      <c r="AN458" s="2027">
        <f t="shared" si="279"/>
        <v>0</v>
      </c>
      <c r="AO458" s="2027">
        <f t="shared" si="294"/>
        <v>0</v>
      </c>
      <c r="AP458" s="2027">
        <f t="shared" si="280"/>
        <v>0</v>
      </c>
      <c r="AQ458" s="2027">
        <f t="shared" si="280"/>
        <v>0</v>
      </c>
      <c r="AR458" s="2027">
        <f t="shared" si="280"/>
        <v>0</v>
      </c>
      <c r="AS458" s="2124">
        <f t="shared" si="290"/>
        <v>0</v>
      </c>
      <c r="AT458" s="2029">
        <f t="shared" ref="AT458:AV464" si="299">$AS458</f>
        <v>0</v>
      </c>
      <c r="AU458" s="2029">
        <f t="shared" si="299"/>
        <v>0</v>
      </c>
      <c r="AV458" s="2029">
        <f t="shared" si="299"/>
        <v>0</v>
      </c>
      <c r="AW458" s="2124">
        <f t="shared" si="291"/>
        <v>0</v>
      </c>
      <c r="AX458" s="2029">
        <f t="shared" si="295"/>
        <v>0</v>
      </c>
      <c r="AY458" s="2029">
        <f t="shared" si="295"/>
        <v>0</v>
      </c>
      <c r="AZ458" s="2029">
        <f t="shared" si="295"/>
        <v>0</v>
      </c>
      <c r="BA458" s="2124">
        <f t="shared" si="287"/>
        <v>0</v>
      </c>
      <c r="BB458" s="2029">
        <f t="shared" si="287"/>
        <v>0</v>
      </c>
      <c r="BC458" s="2029">
        <f t="shared" si="287"/>
        <v>0</v>
      </c>
      <c r="BD458" s="2029">
        <f t="shared" si="287"/>
        <v>0</v>
      </c>
      <c r="BE458" s="2030">
        <f t="shared" ref="BE458:BG464" si="300">AS458*AG458</f>
        <v>0</v>
      </c>
      <c r="BF458" s="2030">
        <f t="shared" si="300"/>
        <v>0</v>
      </c>
      <c r="BG458" s="2030">
        <f t="shared" si="300"/>
        <v>0</v>
      </c>
      <c r="BH458" s="2030">
        <f t="shared" si="274"/>
        <v>0</v>
      </c>
      <c r="BI458" s="2030">
        <f t="shared" ref="BI458:BK464" si="301">AW458*AG458</f>
        <v>0</v>
      </c>
      <c r="BJ458" s="2030">
        <f t="shared" si="301"/>
        <v>0</v>
      </c>
      <c r="BK458" s="2030">
        <f t="shared" si="301"/>
        <v>0</v>
      </c>
      <c r="BL458" s="2030">
        <f t="shared" si="275"/>
        <v>0</v>
      </c>
      <c r="BM458" s="2125"/>
      <c r="BN458" s="2125"/>
      <c r="BO458" s="2125"/>
      <c r="BP458" s="2125"/>
      <c r="BQ458" s="2125"/>
      <c r="BR458" s="2125"/>
      <c r="BS458" s="2125"/>
      <c r="BT458" s="2125"/>
      <c r="BU458" s="2029"/>
      <c r="BV458" s="2029"/>
      <c r="BW458" s="2029"/>
      <c r="BX458" s="2029"/>
      <c r="BY458" s="2029"/>
      <c r="BZ458" s="2032"/>
      <c r="CA458" s="1974">
        <f t="shared" si="288"/>
        <v>0</v>
      </c>
      <c r="CB458" s="1974">
        <f t="shared" si="288"/>
        <v>0</v>
      </c>
      <c r="CC458" s="1974">
        <f t="shared" si="288"/>
        <v>0</v>
      </c>
      <c r="CD458" s="1974">
        <f t="shared" si="288"/>
        <v>0</v>
      </c>
      <c r="CE458" s="1974">
        <f t="shared" si="288"/>
        <v>0</v>
      </c>
      <c r="CF458" s="2033">
        <v>0</v>
      </c>
      <c r="CG458" s="2026">
        <v>0</v>
      </c>
      <c r="CH458" s="2009">
        <f t="shared" si="288"/>
        <v>0</v>
      </c>
      <c r="CI458" s="2031">
        <f t="shared" si="288"/>
        <v>0</v>
      </c>
      <c r="CJ458" s="1974">
        <f t="shared" si="288"/>
        <v>0</v>
      </c>
      <c r="CK458" s="2031">
        <f t="shared" si="288"/>
        <v>0</v>
      </c>
      <c r="CL458" s="2026">
        <v>0</v>
      </c>
      <c r="CM458" s="2026">
        <v>0</v>
      </c>
      <c r="CN458" s="2026">
        <v>0</v>
      </c>
      <c r="CO458" s="2026">
        <v>0</v>
      </c>
      <c r="CP458" s="2035"/>
      <c r="CQ458" s="2036"/>
      <c r="CR458" s="2036"/>
      <c r="CS458" s="2036"/>
      <c r="CT458" s="2036"/>
      <c r="CU458" s="2036"/>
      <c r="CW458" s="1973">
        <v>0</v>
      </c>
      <c r="CX458" s="2037">
        <v>0</v>
      </c>
      <c r="CY458" s="2037">
        <v>0</v>
      </c>
      <c r="CZ458" s="2037">
        <v>0</v>
      </c>
      <c r="DA458" s="2037">
        <v>0</v>
      </c>
      <c r="DJ458" s="1976">
        <v>0</v>
      </c>
      <c r="DK458" s="1973">
        <v>0</v>
      </c>
      <c r="DL458" s="1973">
        <v>0</v>
      </c>
      <c r="DM458" s="1973">
        <v>0</v>
      </c>
      <c r="DO458" s="2027">
        <v>0</v>
      </c>
      <c r="DP458" s="2127">
        <v>0</v>
      </c>
      <c r="DQ458" s="2127">
        <v>0</v>
      </c>
      <c r="DR458" s="2027">
        <v>0</v>
      </c>
      <c r="DS458" s="2124">
        <v>0</v>
      </c>
      <c r="DT458" s="2029">
        <v>0</v>
      </c>
      <c r="DU458" s="2029">
        <v>0</v>
      </c>
      <c r="DV458" s="2029">
        <v>0</v>
      </c>
      <c r="DW458" s="2124">
        <v>0</v>
      </c>
      <c r="DX458" s="2029">
        <v>0</v>
      </c>
      <c r="DY458" s="2029">
        <v>0</v>
      </c>
      <c r="DZ458" s="2029">
        <v>0</v>
      </c>
      <c r="EA458" s="2124">
        <v>0</v>
      </c>
      <c r="EB458" s="2029">
        <v>0</v>
      </c>
      <c r="EC458" s="2029">
        <v>0</v>
      </c>
      <c r="ED458" s="2029">
        <v>0</v>
      </c>
      <c r="EE458" s="2039">
        <f t="shared" si="296"/>
        <v>0</v>
      </c>
      <c r="EF458" s="2039">
        <f t="shared" si="296"/>
        <v>0</v>
      </c>
      <c r="EG458" s="2039">
        <f t="shared" si="296"/>
        <v>0</v>
      </c>
      <c r="EH458" s="2039">
        <f t="shared" si="296"/>
        <v>0</v>
      </c>
      <c r="EI458" s="2040">
        <f t="shared" si="273"/>
        <v>0</v>
      </c>
      <c r="EJ458" s="2040">
        <f t="shared" si="273"/>
        <v>0</v>
      </c>
      <c r="EK458" s="2040">
        <f t="shared" si="273"/>
        <v>0</v>
      </c>
      <c r="EL458" s="2040">
        <f t="shared" si="273"/>
        <v>0</v>
      </c>
      <c r="EM458" s="2040">
        <f t="shared" si="273"/>
        <v>0</v>
      </c>
      <c r="EN458" s="2040">
        <f t="shared" si="273"/>
        <v>0</v>
      </c>
      <c r="EO458" s="2040">
        <f t="shared" si="271"/>
        <v>0</v>
      </c>
      <c r="EP458" s="2040">
        <f t="shared" si="271"/>
        <v>0</v>
      </c>
      <c r="EQ458" s="2040">
        <f t="shared" si="271"/>
        <v>0</v>
      </c>
      <c r="ER458" s="2040">
        <f t="shared" si="261"/>
        <v>0</v>
      </c>
      <c r="ES458" s="2040">
        <f t="shared" si="261"/>
        <v>0</v>
      </c>
      <c r="ET458" s="2040">
        <f t="shared" si="261"/>
        <v>0</v>
      </c>
      <c r="EU458" s="2039">
        <f t="shared" si="297"/>
        <v>0</v>
      </c>
      <c r="EV458" s="2039">
        <f t="shared" si="298"/>
        <v>0</v>
      </c>
    </row>
    <row r="459" spans="1:152" x14ac:dyDescent="0.25">
      <c r="A459" s="2142" t="s">
        <v>1048</v>
      </c>
      <c r="B459" s="2027"/>
      <c r="C459" s="2027">
        <f t="shared" si="289"/>
        <v>0</v>
      </c>
      <c r="D459" s="2127">
        <f t="shared" si="289"/>
        <v>0</v>
      </c>
      <c r="E459" s="2127">
        <f t="shared" si="289"/>
        <v>0</v>
      </c>
      <c r="F459" s="2027">
        <f t="shared" si="289"/>
        <v>0</v>
      </c>
      <c r="G459" s="1974" t="s">
        <v>2997</v>
      </c>
      <c r="H459" s="1974" t="s">
        <v>2997</v>
      </c>
      <c r="I459" s="2026">
        <v>0.96199999999999997</v>
      </c>
      <c r="J459" s="2026">
        <v>0.96199999999999997</v>
      </c>
      <c r="K459" s="2026">
        <v>0.96199999999999997</v>
      </c>
      <c r="L459" s="2026">
        <v>0.96199999999999997</v>
      </c>
      <c r="M459" s="2027">
        <f t="shared" ref="M459:P464" si="302">$D459*I459</f>
        <v>0</v>
      </c>
      <c r="N459" s="2027">
        <f t="shared" si="302"/>
        <v>0</v>
      </c>
      <c r="O459" s="2027">
        <f t="shared" si="302"/>
        <v>0</v>
      </c>
      <c r="P459" s="2027">
        <f t="shared" si="302"/>
        <v>0</v>
      </c>
      <c r="Q459" s="2026">
        <v>0.96199999999999997</v>
      </c>
      <c r="R459" s="2026">
        <v>0.96199999999999997</v>
      </c>
      <c r="S459" s="2026">
        <v>0.96199999999999997</v>
      </c>
      <c r="T459" s="2026">
        <v>0.96199999999999997</v>
      </c>
      <c r="U459" s="2028">
        <f t="shared" ref="U459:X464" si="303">$E459*Q459</f>
        <v>0</v>
      </c>
      <c r="V459" s="2028">
        <f t="shared" si="303"/>
        <v>0</v>
      </c>
      <c r="W459" s="2028">
        <f t="shared" si="303"/>
        <v>0</v>
      </c>
      <c r="X459" s="2028">
        <f t="shared" si="303"/>
        <v>0</v>
      </c>
      <c r="Y459" s="2026">
        <v>0.96199999999999997</v>
      </c>
      <c r="Z459" s="2026">
        <v>0.96199999999999997</v>
      </c>
      <c r="AA459" s="2026">
        <v>0.96199999999999997</v>
      </c>
      <c r="AB459" s="2026">
        <v>0.96199999999999997</v>
      </c>
      <c r="AC459" s="2027">
        <f t="shared" ref="AC459:AF464" si="304">$F459*Y459</f>
        <v>0</v>
      </c>
      <c r="AD459" s="2027">
        <f t="shared" si="304"/>
        <v>0</v>
      </c>
      <c r="AE459" s="2027">
        <f t="shared" si="304"/>
        <v>0</v>
      </c>
      <c r="AF459" s="2027">
        <f t="shared" si="304"/>
        <v>0</v>
      </c>
      <c r="AG459" s="2027">
        <v>0</v>
      </c>
      <c r="AH459" s="2028"/>
      <c r="AI459" s="2028"/>
      <c r="AJ459" s="2028"/>
      <c r="AK459" s="2027">
        <f t="shared" si="293"/>
        <v>0</v>
      </c>
      <c r="AL459" s="2027">
        <f t="shared" si="279"/>
        <v>0</v>
      </c>
      <c r="AM459" s="2027">
        <f t="shared" si="279"/>
        <v>0</v>
      </c>
      <c r="AN459" s="2027">
        <f t="shared" si="279"/>
        <v>0</v>
      </c>
      <c r="AO459" s="2027">
        <f t="shared" si="294"/>
        <v>0</v>
      </c>
      <c r="AP459" s="2027">
        <f t="shared" si="280"/>
        <v>0</v>
      </c>
      <c r="AQ459" s="2027">
        <f t="shared" si="280"/>
        <v>0</v>
      </c>
      <c r="AR459" s="2027">
        <f t="shared" si="280"/>
        <v>0</v>
      </c>
      <c r="AS459" s="2124">
        <f t="shared" si="290"/>
        <v>0</v>
      </c>
      <c r="AT459" s="2029">
        <f t="shared" si="299"/>
        <v>0</v>
      </c>
      <c r="AU459" s="2029">
        <f t="shared" si="299"/>
        <v>0</v>
      </c>
      <c r="AV459" s="2029">
        <f t="shared" si="299"/>
        <v>0</v>
      </c>
      <c r="AW459" s="2124">
        <f t="shared" si="291"/>
        <v>0</v>
      </c>
      <c r="AX459" s="2029">
        <f t="shared" si="295"/>
        <v>0</v>
      </c>
      <c r="AY459" s="2029">
        <f t="shared" si="295"/>
        <v>0</v>
      </c>
      <c r="AZ459" s="2029">
        <f t="shared" si="295"/>
        <v>0</v>
      </c>
      <c r="BA459" s="2124">
        <f t="shared" ref="BA459:BD464" si="305">BA241</f>
        <v>0</v>
      </c>
      <c r="BB459" s="2029">
        <f t="shared" si="305"/>
        <v>0</v>
      </c>
      <c r="BC459" s="2029">
        <f t="shared" si="305"/>
        <v>0</v>
      </c>
      <c r="BD459" s="2029">
        <f t="shared" si="305"/>
        <v>0</v>
      </c>
      <c r="BE459" s="2030">
        <f t="shared" si="300"/>
        <v>0</v>
      </c>
      <c r="BF459" s="2030">
        <f t="shared" si="300"/>
        <v>0</v>
      </c>
      <c r="BG459" s="2030">
        <f t="shared" si="300"/>
        <v>0</v>
      </c>
      <c r="BH459" s="2030">
        <f t="shared" si="274"/>
        <v>0</v>
      </c>
      <c r="BI459" s="2030">
        <f t="shared" si="301"/>
        <v>0</v>
      </c>
      <c r="BJ459" s="2030">
        <f t="shared" si="301"/>
        <v>0</v>
      </c>
      <c r="BK459" s="2030">
        <f t="shared" si="301"/>
        <v>0</v>
      </c>
      <c r="BL459" s="2030">
        <f t="shared" si="275"/>
        <v>0</v>
      </c>
      <c r="BM459" s="2125"/>
      <c r="BN459" s="2125"/>
      <c r="BO459" s="2125"/>
      <c r="BP459" s="2125"/>
      <c r="BQ459" s="2125"/>
      <c r="BR459" s="2125"/>
      <c r="BS459" s="2125"/>
      <c r="BT459" s="2125"/>
      <c r="BU459" s="2029"/>
      <c r="BV459" s="2029"/>
      <c r="BW459" s="2029"/>
      <c r="BX459" s="2029"/>
      <c r="BY459" s="2029"/>
      <c r="BZ459" s="2032"/>
      <c r="CA459" s="1974">
        <f t="shared" ref="CA459:CE464" si="306">CA241</f>
        <v>0</v>
      </c>
      <c r="CB459" s="1974">
        <f t="shared" si="306"/>
        <v>0</v>
      </c>
      <c r="CC459" s="1974">
        <f t="shared" si="306"/>
        <v>0</v>
      </c>
      <c r="CD459" s="1974">
        <f t="shared" si="306"/>
        <v>0</v>
      </c>
      <c r="CE459" s="1974">
        <f t="shared" si="306"/>
        <v>0</v>
      </c>
      <c r="CF459" s="2033">
        <v>0</v>
      </c>
      <c r="CG459" s="2026">
        <v>0</v>
      </c>
      <c r="CH459" s="2009">
        <f t="shared" ref="CH459:CK464" si="307">CH241</f>
        <v>0</v>
      </c>
      <c r="CI459" s="2031">
        <f t="shared" si="307"/>
        <v>0</v>
      </c>
      <c r="CJ459" s="1974">
        <f t="shared" si="307"/>
        <v>0</v>
      </c>
      <c r="CK459" s="2031">
        <f t="shared" si="307"/>
        <v>0</v>
      </c>
      <c r="CL459" s="2026">
        <v>0</v>
      </c>
      <c r="CM459" s="2026">
        <v>0</v>
      </c>
      <c r="CN459" s="2026">
        <v>0</v>
      </c>
      <c r="CO459" s="2026">
        <v>0</v>
      </c>
      <c r="CP459" s="2035"/>
      <c r="CQ459" s="2036"/>
      <c r="CR459" s="2036"/>
      <c r="CS459" s="2036"/>
      <c r="CT459" s="2036"/>
      <c r="CU459" s="2036"/>
      <c r="CW459" s="1973">
        <v>0</v>
      </c>
      <c r="CX459" s="2037">
        <v>0</v>
      </c>
      <c r="CY459" s="2037">
        <v>0</v>
      </c>
      <c r="CZ459" s="2037">
        <v>0</v>
      </c>
      <c r="DA459" s="2037">
        <v>0</v>
      </c>
      <c r="DJ459" s="1976">
        <v>0</v>
      </c>
      <c r="DK459" s="1973">
        <v>0</v>
      </c>
      <c r="DL459" s="1973">
        <v>0</v>
      </c>
      <c r="DM459" s="1973">
        <v>0</v>
      </c>
      <c r="DO459" s="2027">
        <v>0</v>
      </c>
      <c r="DP459" s="2127">
        <v>0</v>
      </c>
      <c r="DQ459" s="2127">
        <v>0</v>
      </c>
      <c r="DR459" s="2027">
        <v>0</v>
      </c>
      <c r="DS459" s="2124">
        <v>0</v>
      </c>
      <c r="DT459" s="2029">
        <v>0</v>
      </c>
      <c r="DU459" s="2029">
        <v>0</v>
      </c>
      <c r="DV459" s="2029">
        <v>0</v>
      </c>
      <c r="DW459" s="2124">
        <v>0</v>
      </c>
      <c r="DX459" s="2029">
        <v>0</v>
      </c>
      <c r="DY459" s="2029">
        <v>0</v>
      </c>
      <c r="DZ459" s="2029">
        <v>0</v>
      </c>
      <c r="EA459" s="2124">
        <v>0</v>
      </c>
      <c r="EB459" s="2029">
        <v>0</v>
      </c>
      <c r="EC459" s="2029">
        <v>0</v>
      </c>
      <c r="ED459" s="2029">
        <v>0</v>
      </c>
      <c r="EE459" s="2039">
        <f t="shared" si="296"/>
        <v>0</v>
      </c>
      <c r="EF459" s="2039">
        <f t="shared" si="296"/>
        <v>0</v>
      </c>
      <c r="EG459" s="2039">
        <f t="shared" si="296"/>
        <v>0</v>
      </c>
      <c r="EH459" s="2039">
        <f t="shared" si="296"/>
        <v>0</v>
      </c>
      <c r="EI459" s="2040">
        <f t="shared" si="273"/>
        <v>0</v>
      </c>
      <c r="EJ459" s="2040">
        <f t="shared" si="273"/>
        <v>0</v>
      </c>
      <c r="EK459" s="2040">
        <f t="shared" si="273"/>
        <v>0</v>
      </c>
      <c r="EL459" s="2040">
        <f t="shared" si="273"/>
        <v>0</v>
      </c>
      <c r="EM459" s="2040">
        <f t="shared" si="273"/>
        <v>0</v>
      </c>
      <c r="EN459" s="2040">
        <f t="shared" si="273"/>
        <v>0</v>
      </c>
      <c r="EO459" s="2040">
        <f t="shared" si="271"/>
        <v>0</v>
      </c>
      <c r="EP459" s="2040">
        <f t="shared" si="271"/>
        <v>0</v>
      </c>
      <c r="EQ459" s="2040">
        <f t="shared" si="271"/>
        <v>0</v>
      </c>
      <c r="ER459" s="2040">
        <f t="shared" si="261"/>
        <v>0</v>
      </c>
      <c r="ES459" s="2040">
        <f t="shared" si="261"/>
        <v>0</v>
      </c>
      <c r="ET459" s="2040">
        <f t="shared" si="261"/>
        <v>0</v>
      </c>
      <c r="EU459" s="2039">
        <f t="shared" si="297"/>
        <v>0</v>
      </c>
      <c r="EV459" s="2039">
        <f t="shared" si="298"/>
        <v>0</v>
      </c>
    </row>
    <row r="460" spans="1:152" x14ac:dyDescent="0.25">
      <c r="A460" s="2142" t="s">
        <v>1049</v>
      </c>
      <c r="B460" s="2027"/>
      <c r="C460" s="2027">
        <f t="shared" ref="C460:F464" si="308">C242</f>
        <v>0</v>
      </c>
      <c r="D460" s="2127">
        <f t="shared" si="308"/>
        <v>0</v>
      </c>
      <c r="E460" s="2127">
        <f t="shared" si="308"/>
        <v>0</v>
      </c>
      <c r="F460" s="2027">
        <f t="shared" si="308"/>
        <v>0</v>
      </c>
      <c r="G460" s="1974" t="s">
        <v>2997</v>
      </c>
      <c r="H460" s="1974" t="s">
        <v>2997</v>
      </c>
      <c r="I460" s="2026">
        <v>0.96199999999999997</v>
      </c>
      <c r="J460" s="2026">
        <v>0.96199999999999997</v>
      </c>
      <c r="K460" s="2026">
        <v>0.96199999999999997</v>
      </c>
      <c r="L460" s="2026">
        <v>0.96199999999999997</v>
      </c>
      <c r="M460" s="2027">
        <f t="shared" si="302"/>
        <v>0</v>
      </c>
      <c r="N460" s="2027">
        <f t="shared" si="302"/>
        <v>0</v>
      </c>
      <c r="O460" s="2027">
        <f t="shared" si="302"/>
        <v>0</v>
      </c>
      <c r="P460" s="2027">
        <f t="shared" si="302"/>
        <v>0</v>
      </c>
      <c r="Q460" s="2026">
        <v>0.96199999999999997</v>
      </c>
      <c r="R460" s="2026">
        <v>0.96199999999999997</v>
      </c>
      <c r="S460" s="2026">
        <v>0.96199999999999997</v>
      </c>
      <c r="T460" s="2026">
        <v>0.96199999999999997</v>
      </c>
      <c r="U460" s="2028">
        <f t="shared" si="303"/>
        <v>0</v>
      </c>
      <c r="V460" s="2028">
        <f t="shared" si="303"/>
        <v>0</v>
      </c>
      <c r="W460" s="2028">
        <f t="shared" si="303"/>
        <v>0</v>
      </c>
      <c r="X460" s="2028">
        <f t="shared" si="303"/>
        <v>0</v>
      </c>
      <c r="Y460" s="2026">
        <v>0.96199999999999997</v>
      </c>
      <c r="Z460" s="2026">
        <v>0.96199999999999997</v>
      </c>
      <c r="AA460" s="2026">
        <v>0.96199999999999997</v>
      </c>
      <c r="AB460" s="2026">
        <v>0.96199999999999997</v>
      </c>
      <c r="AC460" s="2027">
        <f t="shared" si="304"/>
        <v>0</v>
      </c>
      <c r="AD460" s="2027">
        <f t="shared" si="304"/>
        <v>0</v>
      </c>
      <c r="AE460" s="2027">
        <f t="shared" si="304"/>
        <v>0</v>
      </c>
      <c r="AF460" s="2027">
        <f t="shared" si="304"/>
        <v>0</v>
      </c>
      <c r="AG460" s="2027">
        <v>0</v>
      </c>
      <c r="AH460" s="2028"/>
      <c r="AI460" s="2028"/>
      <c r="AJ460" s="2028"/>
      <c r="AK460" s="2027">
        <f t="shared" si="293"/>
        <v>0</v>
      </c>
      <c r="AL460" s="2027">
        <f t="shared" si="279"/>
        <v>0</v>
      </c>
      <c r="AM460" s="2027">
        <f t="shared" si="279"/>
        <v>0</v>
      </c>
      <c r="AN460" s="2027">
        <f t="shared" si="279"/>
        <v>0</v>
      </c>
      <c r="AO460" s="2027">
        <f t="shared" si="294"/>
        <v>0</v>
      </c>
      <c r="AP460" s="2027">
        <f t="shared" si="280"/>
        <v>0</v>
      </c>
      <c r="AQ460" s="2027">
        <f t="shared" si="280"/>
        <v>0</v>
      </c>
      <c r="AR460" s="2027">
        <f t="shared" si="280"/>
        <v>0</v>
      </c>
      <c r="AS460" s="2124">
        <f t="shared" si="290"/>
        <v>0</v>
      </c>
      <c r="AT460" s="2029">
        <f t="shared" si="299"/>
        <v>0</v>
      </c>
      <c r="AU460" s="2029">
        <f t="shared" si="299"/>
        <v>0</v>
      </c>
      <c r="AV460" s="2029">
        <f t="shared" si="299"/>
        <v>0</v>
      </c>
      <c r="AW460" s="2124">
        <f t="shared" si="291"/>
        <v>0</v>
      </c>
      <c r="AX460" s="2029">
        <f t="shared" si="295"/>
        <v>0</v>
      </c>
      <c r="AY460" s="2029">
        <f t="shared" si="295"/>
        <v>0</v>
      </c>
      <c r="AZ460" s="2029">
        <f t="shared" si="295"/>
        <v>0</v>
      </c>
      <c r="BA460" s="2124">
        <f t="shared" si="305"/>
        <v>0</v>
      </c>
      <c r="BB460" s="2029">
        <f t="shared" si="305"/>
        <v>0</v>
      </c>
      <c r="BC460" s="2029">
        <f t="shared" si="305"/>
        <v>0</v>
      </c>
      <c r="BD460" s="2029">
        <f t="shared" si="305"/>
        <v>0</v>
      </c>
      <c r="BE460" s="2030">
        <f t="shared" si="300"/>
        <v>0</v>
      </c>
      <c r="BF460" s="2030">
        <f t="shared" si="300"/>
        <v>0</v>
      </c>
      <c r="BG460" s="2030">
        <f t="shared" si="300"/>
        <v>0</v>
      </c>
      <c r="BH460" s="2030">
        <f t="shared" si="274"/>
        <v>0</v>
      </c>
      <c r="BI460" s="2030">
        <f t="shared" si="301"/>
        <v>0</v>
      </c>
      <c r="BJ460" s="2030">
        <f t="shared" si="301"/>
        <v>0</v>
      </c>
      <c r="BK460" s="2030">
        <f t="shared" si="301"/>
        <v>0</v>
      </c>
      <c r="BL460" s="2030">
        <f t="shared" si="275"/>
        <v>0</v>
      </c>
      <c r="BM460" s="2125"/>
      <c r="BN460" s="2125"/>
      <c r="BO460" s="2125"/>
      <c r="BP460" s="2125"/>
      <c r="BQ460" s="2125"/>
      <c r="BR460" s="2125"/>
      <c r="BS460" s="2125"/>
      <c r="BT460" s="2125"/>
      <c r="BU460" s="2029"/>
      <c r="BV460" s="2029"/>
      <c r="BW460" s="2029"/>
      <c r="BX460" s="2029"/>
      <c r="BY460" s="2029"/>
      <c r="BZ460" s="2032"/>
      <c r="CA460" s="1974">
        <f t="shared" si="306"/>
        <v>0</v>
      </c>
      <c r="CB460" s="1974">
        <f t="shared" si="306"/>
        <v>0</v>
      </c>
      <c r="CC460" s="1974">
        <f t="shared" si="306"/>
        <v>0</v>
      </c>
      <c r="CD460" s="1974">
        <f t="shared" si="306"/>
        <v>0</v>
      </c>
      <c r="CE460" s="1974">
        <f t="shared" si="306"/>
        <v>0</v>
      </c>
      <c r="CF460" s="2033">
        <v>0</v>
      </c>
      <c r="CG460" s="2026">
        <v>0</v>
      </c>
      <c r="CH460" s="2009">
        <f t="shared" si="307"/>
        <v>0</v>
      </c>
      <c r="CI460" s="2031">
        <f t="shared" si="307"/>
        <v>0</v>
      </c>
      <c r="CJ460" s="1974">
        <f t="shared" si="307"/>
        <v>0</v>
      </c>
      <c r="CK460" s="2031">
        <f t="shared" si="307"/>
        <v>0</v>
      </c>
      <c r="CL460" s="2026">
        <v>0</v>
      </c>
      <c r="CM460" s="2026">
        <v>0</v>
      </c>
      <c r="CN460" s="2026">
        <v>0</v>
      </c>
      <c r="CO460" s="2026">
        <v>0</v>
      </c>
      <c r="CP460" s="2035"/>
      <c r="CQ460" s="2036"/>
      <c r="CR460" s="2036"/>
      <c r="CS460" s="2036"/>
      <c r="CT460" s="2036"/>
      <c r="CU460" s="2036"/>
      <c r="CW460" s="1973">
        <v>0</v>
      </c>
      <c r="CX460" s="2037">
        <v>0</v>
      </c>
      <c r="CY460" s="2037">
        <v>0</v>
      </c>
      <c r="CZ460" s="2037">
        <v>0</v>
      </c>
      <c r="DA460" s="2037">
        <v>0</v>
      </c>
      <c r="DJ460" s="1976">
        <v>0</v>
      </c>
      <c r="DK460" s="1973">
        <v>0</v>
      </c>
      <c r="DL460" s="1973">
        <v>0</v>
      </c>
      <c r="DM460" s="1973">
        <v>0</v>
      </c>
      <c r="DO460" s="2027">
        <v>0</v>
      </c>
      <c r="DP460" s="2127">
        <v>0</v>
      </c>
      <c r="DQ460" s="2127">
        <v>0</v>
      </c>
      <c r="DR460" s="2027">
        <v>0</v>
      </c>
      <c r="DS460" s="2124">
        <v>0</v>
      </c>
      <c r="DT460" s="2029">
        <v>0</v>
      </c>
      <c r="DU460" s="2029">
        <v>0</v>
      </c>
      <c r="DV460" s="2029">
        <v>0</v>
      </c>
      <c r="DW460" s="2124">
        <v>0</v>
      </c>
      <c r="DX460" s="2029">
        <v>0</v>
      </c>
      <c r="DY460" s="2029">
        <v>0</v>
      </c>
      <c r="DZ460" s="2029">
        <v>0</v>
      </c>
      <c r="EA460" s="2124">
        <v>0</v>
      </c>
      <c r="EB460" s="2029">
        <v>0</v>
      </c>
      <c r="EC460" s="2029">
        <v>0</v>
      </c>
      <c r="ED460" s="2029">
        <v>0</v>
      </c>
      <c r="EE460" s="2039">
        <f t="shared" si="296"/>
        <v>0</v>
      </c>
      <c r="EF460" s="2039">
        <f t="shared" si="296"/>
        <v>0</v>
      </c>
      <c r="EG460" s="2039">
        <f t="shared" si="296"/>
        <v>0</v>
      </c>
      <c r="EH460" s="2039">
        <f t="shared" si="296"/>
        <v>0</v>
      </c>
      <c r="EI460" s="2040">
        <f t="shared" si="273"/>
        <v>0</v>
      </c>
      <c r="EJ460" s="2040">
        <f t="shared" si="273"/>
        <v>0</v>
      </c>
      <c r="EK460" s="2040">
        <f t="shared" si="273"/>
        <v>0</v>
      </c>
      <c r="EL460" s="2040">
        <f t="shared" si="273"/>
        <v>0</v>
      </c>
      <c r="EM460" s="2040">
        <f t="shared" si="273"/>
        <v>0</v>
      </c>
      <c r="EN460" s="2040">
        <f t="shared" si="273"/>
        <v>0</v>
      </c>
      <c r="EO460" s="2040">
        <f t="shared" si="271"/>
        <v>0</v>
      </c>
      <c r="EP460" s="2040">
        <f t="shared" si="271"/>
        <v>0</v>
      </c>
      <c r="EQ460" s="2040">
        <f t="shared" si="271"/>
        <v>0</v>
      </c>
      <c r="ER460" s="2040">
        <f t="shared" si="261"/>
        <v>0</v>
      </c>
      <c r="ES460" s="2040">
        <f t="shared" si="261"/>
        <v>0</v>
      </c>
      <c r="ET460" s="2040">
        <f t="shared" si="261"/>
        <v>0</v>
      </c>
      <c r="EU460" s="2039">
        <f t="shared" si="297"/>
        <v>0</v>
      </c>
      <c r="EV460" s="2039">
        <f t="shared" si="298"/>
        <v>0</v>
      </c>
    </row>
    <row r="461" spans="1:152" x14ac:dyDescent="0.25">
      <c r="A461" s="2142" t="s">
        <v>1050</v>
      </c>
      <c r="B461" s="2027"/>
      <c r="C461" s="2027">
        <f t="shared" si="308"/>
        <v>0</v>
      </c>
      <c r="D461" s="2127">
        <f t="shared" si="308"/>
        <v>0</v>
      </c>
      <c r="E461" s="2127">
        <f t="shared" si="308"/>
        <v>0</v>
      </c>
      <c r="F461" s="2027">
        <f t="shared" si="308"/>
        <v>0</v>
      </c>
      <c r="G461" s="1974" t="s">
        <v>2997</v>
      </c>
      <c r="H461" s="1974" t="s">
        <v>2997</v>
      </c>
      <c r="I461" s="2026">
        <v>0.96199999999999997</v>
      </c>
      <c r="J461" s="2026">
        <v>0.96199999999999997</v>
      </c>
      <c r="K461" s="2026">
        <v>0.96199999999999997</v>
      </c>
      <c r="L461" s="2026">
        <v>0.96199999999999997</v>
      </c>
      <c r="M461" s="2027">
        <f t="shared" si="302"/>
        <v>0</v>
      </c>
      <c r="N461" s="2027">
        <f t="shared" si="302"/>
        <v>0</v>
      </c>
      <c r="O461" s="2027">
        <f t="shared" si="302"/>
        <v>0</v>
      </c>
      <c r="P461" s="2027">
        <f t="shared" si="302"/>
        <v>0</v>
      </c>
      <c r="Q461" s="2026">
        <v>0.96199999999999997</v>
      </c>
      <c r="R461" s="2026">
        <v>0.96199999999999997</v>
      </c>
      <c r="S461" s="2026">
        <v>0.96199999999999997</v>
      </c>
      <c r="T461" s="2026">
        <v>0.96199999999999997</v>
      </c>
      <c r="U461" s="2028">
        <f t="shared" si="303"/>
        <v>0</v>
      </c>
      <c r="V461" s="2028">
        <f t="shared" si="303"/>
        <v>0</v>
      </c>
      <c r="W461" s="2028">
        <f t="shared" si="303"/>
        <v>0</v>
      </c>
      <c r="X461" s="2028">
        <f t="shared" si="303"/>
        <v>0</v>
      </c>
      <c r="Y461" s="2026">
        <v>0.96199999999999997</v>
      </c>
      <c r="Z461" s="2026">
        <v>0.96199999999999997</v>
      </c>
      <c r="AA461" s="2026">
        <v>0.96199999999999997</v>
      </c>
      <c r="AB461" s="2026">
        <v>0.96199999999999997</v>
      </c>
      <c r="AC461" s="2027">
        <f t="shared" si="304"/>
        <v>0</v>
      </c>
      <c r="AD461" s="2027">
        <f t="shared" si="304"/>
        <v>0</v>
      </c>
      <c r="AE461" s="2027">
        <f t="shared" si="304"/>
        <v>0</v>
      </c>
      <c r="AF461" s="2027">
        <f t="shared" si="304"/>
        <v>0</v>
      </c>
      <c r="AG461" s="2027">
        <v>0</v>
      </c>
      <c r="AH461" s="2028"/>
      <c r="AI461" s="2028"/>
      <c r="AJ461" s="2028"/>
      <c r="AK461" s="2027">
        <f t="shared" si="293"/>
        <v>0</v>
      </c>
      <c r="AL461" s="2027">
        <f t="shared" si="279"/>
        <v>0</v>
      </c>
      <c r="AM461" s="2027">
        <f t="shared" si="279"/>
        <v>0</v>
      </c>
      <c r="AN461" s="2027">
        <f t="shared" si="279"/>
        <v>0</v>
      </c>
      <c r="AO461" s="2027">
        <f t="shared" si="294"/>
        <v>0</v>
      </c>
      <c r="AP461" s="2027">
        <f t="shared" si="280"/>
        <v>0</v>
      </c>
      <c r="AQ461" s="2027">
        <f t="shared" si="280"/>
        <v>0</v>
      </c>
      <c r="AR461" s="2027">
        <f t="shared" si="280"/>
        <v>0</v>
      </c>
      <c r="AS461" s="2124">
        <f t="shared" si="290"/>
        <v>0</v>
      </c>
      <c r="AT461" s="2029">
        <f t="shared" si="299"/>
        <v>0</v>
      </c>
      <c r="AU461" s="2029">
        <f t="shared" si="299"/>
        <v>0</v>
      </c>
      <c r="AV461" s="2029">
        <f t="shared" si="299"/>
        <v>0</v>
      </c>
      <c r="AW461" s="2124">
        <f t="shared" si="291"/>
        <v>0</v>
      </c>
      <c r="AX461" s="2029">
        <f t="shared" si="295"/>
        <v>0</v>
      </c>
      <c r="AY461" s="2029">
        <f t="shared" si="295"/>
        <v>0</v>
      </c>
      <c r="AZ461" s="2029">
        <f t="shared" si="295"/>
        <v>0</v>
      </c>
      <c r="BA461" s="2124">
        <f t="shared" si="305"/>
        <v>0</v>
      </c>
      <c r="BB461" s="2029">
        <f t="shared" si="305"/>
        <v>0</v>
      </c>
      <c r="BC461" s="2029">
        <f t="shared" si="305"/>
        <v>0</v>
      </c>
      <c r="BD461" s="2029">
        <f t="shared" si="305"/>
        <v>0</v>
      </c>
      <c r="BE461" s="2030">
        <f t="shared" si="300"/>
        <v>0</v>
      </c>
      <c r="BF461" s="2030">
        <f t="shared" si="300"/>
        <v>0</v>
      </c>
      <c r="BG461" s="2030">
        <f t="shared" si="300"/>
        <v>0</v>
      </c>
      <c r="BH461" s="2030">
        <f t="shared" si="274"/>
        <v>0</v>
      </c>
      <c r="BI461" s="2030">
        <f t="shared" si="301"/>
        <v>0</v>
      </c>
      <c r="BJ461" s="2030">
        <f t="shared" si="301"/>
        <v>0</v>
      </c>
      <c r="BK461" s="2030">
        <f t="shared" si="301"/>
        <v>0</v>
      </c>
      <c r="BL461" s="2030">
        <f t="shared" si="275"/>
        <v>0</v>
      </c>
      <c r="BM461" s="2125"/>
      <c r="BN461" s="2125"/>
      <c r="BO461" s="2125"/>
      <c r="BP461" s="2125"/>
      <c r="BQ461" s="2125"/>
      <c r="BR461" s="2125"/>
      <c r="BS461" s="2125"/>
      <c r="BT461" s="2125"/>
      <c r="BU461" s="2029"/>
      <c r="BV461" s="2029"/>
      <c r="BW461" s="2029"/>
      <c r="BX461" s="2029"/>
      <c r="BY461" s="2029"/>
      <c r="BZ461" s="2032"/>
      <c r="CA461" s="1974">
        <f t="shared" si="306"/>
        <v>0</v>
      </c>
      <c r="CB461" s="1974">
        <f t="shared" si="306"/>
        <v>0</v>
      </c>
      <c r="CC461" s="1974">
        <f t="shared" si="306"/>
        <v>0</v>
      </c>
      <c r="CD461" s="1974">
        <f t="shared" si="306"/>
        <v>0</v>
      </c>
      <c r="CE461" s="1974">
        <f t="shared" si="306"/>
        <v>0</v>
      </c>
      <c r="CF461" s="2033">
        <v>0</v>
      </c>
      <c r="CG461" s="2026">
        <v>0</v>
      </c>
      <c r="CH461" s="2009">
        <f t="shared" si="307"/>
        <v>0</v>
      </c>
      <c r="CI461" s="2031">
        <f t="shared" si="307"/>
        <v>0</v>
      </c>
      <c r="CJ461" s="1974">
        <f t="shared" si="307"/>
        <v>0</v>
      </c>
      <c r="CK461" s="2031">
        <f t="shared" si="307"/>
        <v>0</v>
      </c>
      <c r="CL461" s="2026">
        <v>0</v>
      </c>
      <c r="CM461" s="2026">
        <v>0</v>
      </c>
      <c r="CN461" s="2026">
        <v>0</v>
      </c>
      <c r="CO461" s="2026">
        <v>0</v>
      </c>
      <c r="CP461" s="2035"/>
      <c r="CQ461" s="2036"/>
      <c r="CR461" s="2036"/>
      <c r="CS461" s="2036"/>
      <c r="CT461" s="2036"/>
      <c r="CU461" s="2036"/>
      <c r="CW461" s="1973">
        <v>0</v>
      </c>
      <c r="CX461" s="2037">
        <v>0</v>
      </c>
      <c r="CY461" s="2037">
        <v>0</v>
      </c>
      <c r="CZ461" s="2037">
        <v>0</v>
      </c>
      <c r="DA461" s="2037">
        <v>0</v>
      </c>
      <c r="DJ461" s="1976">
        <v>0</v>
      </c>
      <c r="DK461" s="1973">
        <v>0</v>
      </c>
      <c r="DL461" s="1973">
        <v>0</v>
      </c>
      <c r="DM461" s="1973">
        <v>0</v>
      </c>
      <c r="DO461" s="2027">
        <v>0</v>
      </c>
      <c r="DP461" s="2127">
        <v>0</v>
      </c>
      <c r="DQ461" s="2127">
        <v>0</v>
      </c>
      <c r="DR461" s="2027">
        <v>0</v>
      </c>
      <c r="DS461" s="2124">
        <v>0</v>
      </c>
      <c r="DT461" s="2029">
        <v>0</v>
      </c>
      <c r="DU461" s="2029">
        <v>0</v>
      </c>
      <c r="DV461" s="2029">
        <v>0</v>
      </c>
      <c r="DW461" s="2124">
        <v>0</v>
      </c>
      <c r="DX461" s="2029">
        <v>0</v>
      </c>
      <c r="DY461" s="2029">
        <v>0</v>
      </c>
      <c r="DZ461" s="2029">
        <v>0</v>
      </c>
      <c r="EA461" s="2124">
        <v>0</v>
      </c>
      <c r="EB461" s="2029">
        <v>0</v>
      </c>
      <c r="EC461" s="2029">
        <v>0</v>
      </c>
      <c r="ED461" s="2029">
        <v>0</v>
      </c>
      <c r="EE461" s="2039">
        <f t="shared" si="296"/>
        <v>0</v>
      </c>
      <c r="EF461" s="2039">
        <f t="shared" si="296"/>
        <v>0</v>
      </c>
      <c r="EG461" s="2039">
        <f t="shared" si="296"/>
        <v>0</v>
      </c>
      <c r="EH461" s="2039">
        <f t="shared" si="296"/>
        <v>0</v>
      </c>
      <c r="EI461" s="2040">
        <f t="shared" si="273"/>
        <v>0</v>
      </c>
      <c r="EJ461" s="2040">
        <f t="shared" si="273"/>
        <v>0</v>
      </c>
      <c r="EK461" s="2040">
        <f t="shared" si="273"/>
        <v>0</v>
      </c>
      <c r="EL461" s="2040">
        <f t="shared" si="273"/>
        <v>0</v>
      </c>
      <c r="EM461" s="2040">
        <f t="shared" si="273"/>
        <v>0</v>
      </c>
      <c r="EN461" s="2040">
        <f t="shared" si="273"/>
        <v>0</v>
      </c>
      <c r="EO461" s="2040">
        <f t="shared" si="271"/>
        <v>0</v>
      </c>
      <c r="EP461" s="2040">
        <f t="shared" si="271"/>
        <v>0</v>
      </c>
      <c r="EQ461" s="2040">
        <f t="shared" si="271"/>
        <v>0</v>
      </c>
      <c r="ER461" s="2040">
        <f t="shared" si="271"/>
        <v>0</v>
      </c>
      <c r="ES461" s="2040">
        <f t="shared" si="271"/>
        <v>0</v>
      </c>
      <c r="ET461" s="2040">
        <f t="shared" si="271"/>
        <v>0</v>
      </c>
      <c r="EU461" s="2039">
        <f t="shared" si="297"/>
        <v>0</v>
      </c>
      <c r="EV461" s="2039">
        <f t="shared" si="298"/>
        <v>0</v>
      </c>
    </row>
    <row r="462" spans="1:152" x14ac:dyDescent="0.25">
      <c r="A462" s="2142" t="s">
        <v>1051</v>
      </c>
      <c r="B462" s="2027"/>
      <c r="C462" s="2027">
        <f t="shared" si="308"/>
        <v>0</v>
      </c>
      <c r="D462" s="2127">
        <f t="shared" si="308"/>
        <v>0</v>
      </c>
      <c r="E462" s="2127">
        <f t="shared" si="308"/>
        <v>0</v>
      </c>
      <c r="F462" s="2027">
        <f t="shared" si="308"/>
        <v>0</v>
      </c>
      <c r="G462" s="1974" t="s">
        <v>2997</v>
      </c>
      <c r="H462" s="1974" t="s">
        <v>2997</v>
      </c>
      <c r="I462" s="2026">
        <v>0.96199999999999997</v>
      </c>
      <c r="J462" s="2026">
        <v>0.96199999999999997</v>
      </c>
      <c r="K462" s="2026">
        <v>0.96199999999999997</v>
      </c>
      <c r="L462" s="2026">
        <v>0.96199999999999997</v>
      </c>
      <c r="M462" s="2027">
        <f t="shared" si="302"/>
        <v>0</v>
      </c>
      <c r="N462" s="2027">
        <f t="shared" si="302"/>
        <v>0</v>
      </c>
      <c r="O462" s="2027">
        <f t="shared" si="302"/>
        <v>0</v>
      </c>
      <c r="P462" s="2027">
        <f t="shared" si="302"/>
        <v>0</v>
      </c>
      <c r="Q462" s="2026">
        <v>0.96199999999999997</v>
      </c>
      <c r="R462" s="2026">
        <v>0.96199999999999997</v>
      </c>
      <c r="S462" s="2026">
        <v>0.96199999999999997</v>
      </c>
      <c r="T462" s="2026">
        <v>0.96199999999999997</v>
      </c>
      <c r="U462" s="2028">
        <f t="shared" si="303"/>
        <v>0</v>
      </c>
      <c r="V462" s="2028">
        <f t="shared" si="303"/>
        <v>0</v>
      </c>
      <c r="W462" s="2028">
        <f t="shared" si="303"/>
        <v>0</v>
      </c>
      <c r="X462" s="2028">
        <f t="shared" si="303"/>
        <v>0</v>
      </c>
      <c r="Y462" s="2026">
        <v>0.96199999999999997</v>
      </c>
      <c r="Z462" s="2026">
        <v>0.96199999999999997</v>
      </c>
      <c r="AA462" s="2026">
        <v>0.96199999999999997</v>
      </c>
      <c r="AB462" s="2026">
        <v>0.96199999999999997</v>
      </c>
      <c r="AC462" s="2027">
        <f t="shared" si="304"/>
        <v>0</v>
      </c>
      <c r="AD462" s="2027">
        <f t="shared" si="304"/>
        <v>0</v>
      </c>
      <c r="AE462" s="2027">
        <f t="shared" si="304"/>
        <v>0</v>
      </c>
      <c r="AF462" s="2027">
        <f t="shared" si="304"/>
        <v>0</v>
      </c>
      <c r="AG462" s="2027">
        <v>0</v>
      </c>
      <c r="AH462" s="2028"/>
      <c r="AI462" s="2028"/>
      <c r="AJ462" s="2028"/>
      <c r="AK462" s="2027">
        <f t="shared" si="293"/>
        <v>0</v>
      </c>
      <c r="AL462" s="2027">
        <f t="shared" si="279"/>
        <v>0</v>
      </c>
      <c r="AM462" s="2027">
        <f t="shared" si="279"/>
        <v>0</v>
      </c>
      <c r="AN462" s="2027">
        <f t="shared" si="279"/>
        <v>0</v>
      </c>
      <c r="AO462" s="2027">
        <f t="shared" si="294"/>
        <v>0</v>
      </c>
      <c r="AP462" s="2027">
        <f t="shared" si="280"/>
        <v>0</v>
      </c>
      <c r="AQ462" s="2027">
        <f t="shared" si="280"/>
        <v>0</v>
      </c>
      <c r="AR462" s="2027">
        <f t="shared" si="280"/>
        <v>0</v>
      </c>
      <c r="AS462" s="2124">
        <f t="shared" si="290"/>
        <v>0</v>
      </c>
      <c r="AT462" s="2029">
        <f t="shared" si="299"/>
        <v>0</v>
      </c>
      <c r="AU462" s="2029">
        <f t="shared" si="299"/>
        <v>0</v>
      </c>
      <c r="AV462" s="2029">
        <f t="shared" si="299"/>
        <v>0</v>
      </c>
      <c r="AW462" s="2124">
        <f t="shared" si="291"/>
        <v>0</v>
      </c>
      <c r="AX462" s="2029">
        <f t="shared" si="295"/>
        <v>0</v>
      </c>
      <c r="AY462" s="2029">
        <f t="shared" si="295"/>
        <v>0</v>
      </c>
      <c r="AZ462" s="2029">
        <f t="shared" si="295"/>
        <v>0</v>
      </c>
      <c r="BA462" s="2124">
        <f t="shared" si="305"/>
        <v>0</v>
      </c>
      <c r="BB462" s="2029">
        <f t="shared" si="305"/>
        <v>0</v>
      </c>
      <c r="BC462" s="2029">
        <f t="shared" si="305"/>
        <v>0</v>
      </c>
      <c r="BD462" s="2029">
        <f t="shared" si="305"/>
        <v>0</v>
      </c>
      <c r="BE462" s="2030">
        <f t="shared" si="300"/>
        <v>0</v>
      </c>
      <c r="BF462" s="2030">
        <f t="shared" si="300"/>
        <v>0</v>
      </c>
      <c r="BG462" s="2030">
        <f t="shared" si="300"/>
        <v>0</v>
      </c>
      <c r="BH462" s="2030">
        <f t="shared" si="274"/>
        <v>0</v>
      </c>
      <c r="BI462" s="2030">
        <f t="shared" si="301"/>
        <v>0</v>
      </c>
      <c r="BJ462" s="2030">
        <f t="shared" si="301"/>
        <v>0</v>
      </c>
      <c r="BK462" s="2030">
        <f t="shared" si="301"/>
        <v>0</v>
      </c>
      <c r="BL462" s="2030">
        <f t="shared" si="275"/>
        <v>0</v>
      </c>
      <c r="BM462" s="2125"/>
      <c r="BN462" s="2125"/>
      <c r="BO462" s="2125"/>
      <c r="BP462" s="2125"/>
      <c r="BQ462" s="2125"/>
      <c r="BR462" s="2125"/>
      <c r="BS462" s="2125"/>
      <c r="BT462" s="2125"/>
      <c r="BU462" s="2029"/>
      <c r="BV462" s="2029"/>
      <c r="BW462" s="2029"/>
      <c r="BX462" s="2029"/>
      <c r="BY462" s="2029"/>
      <c r="BZ462" s="2032"/>
      <c r="CA462" s="1974">
        <f t="shared" si="306"/>
        <v>0</v>
      </c>
      <c r="CB462" s="1974">
        <f t="shared" si="306"/>
        <v>0</v>
      </c>
      <c r="CC462" s="1974">
        <f t="shared" si="306"/>
        <v>0</v>
      </c>
      <c r="CD462" s="1974">
        <f t="shared" si="306"/>
        <v>0</v>
      </c>
      <c r="CE462" s="1974">
        <f t="shared" si="306"/>
        <v>0</v>
      </c>
      <c r="CF462" s="2033">
        <v>0</v>
      </c>
      <c r="CG462" s="2026">
        <v>0</v>
      </c>
      <c r="CH462" s="2009">
        <f t="shared" si="307"/>
        <v>0</v>
      </c>
      <c r="CI462" s="2031">
        <f t="shared" si="307"/>
        <v>0</v>
      </c>
      <c r="CJ462" s="1974">
        <f t="shared" si="307"/>
        <v>0</v>
      </c>
      <c r="CK462" s="2031">
        <f t="shared" si="307"/>
        <v>0</v>
      </c>
      <c r="CL462" s="2026">
        <v>0</v>
      </c>
      <c r="CM462" s="2026">
        <v>0</v>
      </c>
      <c r="CN462" s="2026">
        <v>0</v>
      </c>
      <c r="CO462" s="2026">
        <v>0</v>
      </c>
      <c r="CP462" s="2035"/>
      <c r="CQ462" s="2036"/>
      <c r="CR462" s="2036"/>
      <c r="CS462" s="2036"/>
      <c r="CT462" s="2036"/>
      <c r="CU462" s="2036"/>
      <c r="CW462" s="1973">
        <v>0</v>
      </c>
      <c r="CX462" s="2037">
        <v>0</v>
      </c>
      <c r="CY462" s="2037">
        <v>0</v>
      </c>
      <c r="CZ462" s="2037">
        <v>0</v>
      </c>
      <c r="DA462" s="2037">
        <v>0</v>
      </c>
      <c r="DJ462" s="1976">
        <v>0</v>
      </c>
      <c r="DK462" s="1973">
        <v>0</v>
      </c>
      <c r="DL462" s="1973">
        <v>0</v>
      </c>
      <c r="DM462" s="1973">
        <v>0</v>
      </c>
      <c r="DO462" s="2027">
        <v>0</v>
      </c>
      <c r="DP462" s="2127">
        <v>0</v>
      </c>
      <c r="DQ462" s="2127">
        <v>0</v>
      </c>
      <c r="DR462" s="2027">
        <v>0</v>
      </c>
      <c r="DS462" s="2124">
        <v>0</v>
      </c>
      <c r="DT462" s="2029">
        <v>0</v>
      </c>
      <c r="DU462" s="2029">
        <v>0</v>
      </c>
      <c r="DV462" s="2029">
        <v>0</v>
      </c>
      <c r="DW462" s="2124">
        <v>0</v>
      </c>
      <c r="DX462" s="2029">
        <v>0</v>
      </c>
      <c r="DY462" s="2029">
        <v>0</v>
      </c>
      <c r="DZ462" s="2029">
        <v>0</v>
      </c>
      <c r="EA462" s="2124">
        <v>0</v>
      </c>
      <c r="EB462" s="2029">
        <v>0</v>
      </c>
      <c r="EC462" s="2029">
        <v>0</v>
      </c>
      <c r="ED462" s="2029">
        <v>0</v>
      </c>
      <c r="EE462" s="2039">
        <f t="shared" si="296"/>
        <v>0</v>
      </c>
      <c r="EF462" s="2039">
        <f t="shared" si="296"/>
        <v>0</v>
      </c>
      <c r="EG462" s="2039">
        <f t="shared" si="296"/>
        <v>0</v>
      </c>
      <c r="EH462" s="2039">
        <f t="shared" si="296"/>
        <v>0</v>
      </c>
      <c r="EI462" s="2040">
        <f t="shared" si="273"/>
        <v>0</v>
      </c>
      <c r="EJ462" s="2040">
        <f t="shared" si="273"/>
        <v>0</v>
      </c>
      <c r="EK462" s="2040">
        <f t="shared" si="273"/>
        <v>0</v>
      </c>
      <c r="EL462" s="2040">
        <f t="shared" si="273"/>
        <v>0</v>
      </c>
      <c r="EM462" s="2040">
        <f t="shared" si="273"/>
        <v>0</v>
      </c>
      <c r="EN462" s="2040">
        <f t="shared" si="273"/>
        <v>0</v>
      </c>
      <c r="EO462" s="2040">
        <f t="shared" si="271"/>
        <v>0</v>
      </c>
      <c r="EP462" s="2040">
        <f t="shared" si="271"/>
        <v>0</v>
      </c>
      <c r="EQ462" s="2040">
        <f t="shared" si="271"/>
        <v>0</v>
      </c>
      <c r="ER462" s="2040">
        <f t="shared" si="271"/>
        <v>0</v>
      </c>
      <c r="ES462" s="2040">
        <f t="shared" si="271"/>
        <v>0</v>
      </c>
      <c r="ET462" s="2040">
        <f t="shared" si="271"/>
        <v>0</v>
      </c>
      <c r="EU462" s="2039">
        <f t="shared" si="297"/>
        <v>0</v>
      </c>
      <c r="EV462" s="2039">
        <f t="shared" si="298"/>
        <v>0</v>
      </c>
    </row>
    <row r="463" spans="1:152" x14ac:dyDescent="0.25">
      <c r="A463" s="2142" t="s">
        <v>209</v>
      </c>
      <c r="B463" s="2027"/>
      <c r="C463" s="2027">
        <f t="shared" si="308"/>
        <v>12</v>
      </c>
      <c r="D463" s="2127">
        <f t="shared" si="308"/>
        <v>0</v>
      </c>
      <c r="E463" s="2127">
        <f t="shared" si="308"/>
        <v>0</v>
      </c>
      <c r="F463" s="2027">
        <f t="shared" si="308"/>
        <v>257</v>
      </c>
      <c r="G463" s="1974" t="s">
        <v>2997</v>
      </c>
      <c r="H463" s="1974" t="s">
        <v>2997</v>
      </c>
      <c r="I463" s="2026">
        <v>0.96199999999999997</v>
      </c>
      <c r="J463" s="2026">
        <v>0.96199999999999997</v>
      </c>
      <c r="K463" s="2026">
        <v>0.96199999999999997</v>
      </c>
      <c r="L463" s="2026">
        <v>0.96199999999999997</v>
      </c>
      <c r="M463" s="2027">
        <f t="shared" si="302"/>
        <v>0</v>
      </c>
      <c r="N463" s="2027">
        <f t="shared" si="302"/>
        <v>0</v>
      </c>
      <c r="O463" s="2027">
        <f t="shared" si="302"/>
        <v>0</v>
      </c>
      <c r="P463" s="2027">
        <f t="shared" si="302"/>
        <v>0</v>
      </c>
      <c r="Q463" s="2026">
        <v>0.96199999999999997</v>
      </c>
      <c r="R463" s="2026">
        <v>0.96199999999999997</v>
      </c>
      <c r="S463" s="2026">
        <v>0.96199999999999997</v>
      </c>
      <c r="T463" s="2026">
        <v>0.96199999999999997</v>
      </c>
      <c r="U463" s="2028">
        <f t="shared" si="303"/>
        <v>0</v>
      </c>
      <c r="V463" s="2028">
        <f t="shared" si="303"/>
        <v>0</v>
      </c>
      <c r="W463" s="2028">
        <f t="shared" si="303"/>
        <v>0</v>
      </c>
      <c r="X463" s="2028">
        <f t="shared" si="303"/>
        <v>0</v>
      </c>
      <c r="Y463" s="2026">
        <v>0.96199999999999997</v>
      </c>
      <c r="Z463" s="2026">
        <v>0.96199999999999997</v>
      </c>
      <c r="AA463" s="2026">
        <v>0.96199999999999997</v>
      </c>
      <c r="AB463" s="2026">
        <v>0.96199999999999997</v>
      </c>
      <c r="AC463" s="2027">
        <f t="shared" si="304"/>
        <v>247.23399999999998</v>
      </c>
      <c r="AD463" s="2027">
        <f t="shared" si="304"/>
        <v>247.23399999999998</v>
      </c>
      <c r="AE463" s="2027">
        <f t="shared" si="304"/>
        <v>247.23399999999998</v>
      </c>
      <c r="AF463" s="2027">
        <f t="shared" si="304"/>
        <v>247.23399999999998</v>
      </c>
      <c r="AG463" s="2027">
        <v>0</v>
      </c>
      <c r="AH463" s="2028"/>
      <c r="AI463" s="2028"/>
      <c r="AJ463" s="2028"/>
      <c r="AK463" s="2027">
        <f t="shared" si="293"/>
        <v>0</v>
      </c>
      <c r="AL463" s="2027">
        <f t="shared" si="279"/>
        <v>0</v>
      </c>
      <c r="AM463" s="2027">
        <f t="shared" si="279"/>
        <v>0</v>
      </c>
      <c r="AN463" s="2027">
        <f t="shared" si="279"/>
        <v>0</v>
      </c>
      <c r="AO463" s="2027">
        <f t="shared" si="294"/>
        <v>0</v>
      </c>
      <c r="AP463" s="2027">
        <f t="shared" si="280"/>
        <v>0</v>
      </c>
      <c r="AQ463" s="2027">
        <f t="shared" si="280"/>
        <v>0</v>
      </c>
      <c r="AR463" s="2027">
        <f t="shared" si="280"/>
        <v>0</v>
      </c>
      <c r="AS463" s="2124">
        <f t="shared" si="290"/>
        <v>0</v>
      </c>
      <c r="AT463" s="2029">
        <f t="shared" si="299"/>
        <v>0</v>
      </c>
      <c r="AU463" s="2029">
        <f t="shared" si="299"/>
        <v>0</v>
      </c>
      <c r="AV463" s="2029">
        <f t="shared" si="299"/>
        <v>0</v>
      </c>
      <c r="AW463" s="2124">
        <f t="shared" si="291"/>
        <v>780</v>
      </c>
      <c r="AX463" s="2029">
        <f t="shared" si="295"/>
        <v>780</v>
      </c>
      <c r="AY463" s="2029">
        <f t="shared" si="295"/>
        <v>780</v>
      </c>
      <c r="AZ463" s="2029">
        <f t="shared" si="295"/>
        <v>780</v>
      </c>
      <c r="BA463" s="2124">
        <f t="shared" si="305"/>
        <v>1000</v>
      </c>
      <c r="BB463" s="2029">
        <f t="shared" si="305"/>
        <v>1000</v>
      </c>
      <c r="BC463" s="2029">
        <f t="shared" si="305"/>
        <v>1000</v>
      </c>
      <c r="BD463" s="2029">
        <f t="shared" si="305"/>
        <v>1000</v>
      </c>
      <c r="BE463" s="2030">
        <f t="shared" si="300"/>
        <v>0</v>
      </c>
      <c r="BF463" s="2030">
        <f t="shared" si="300"/>
        <v>0</v>
      </c>
      <c r="BG463" s="2030">
        <f t="shared" si="300"/>
        <v>0</v>
      </c>
      <c r="BH463" s="2030">
        <f t="shared" si="274"/>
        <v>0</v>
      </c>
      <c r="BI463" s="2030">
        <f t="shared" si="301"/>
        <v>0</v>
      </c>
      <c r="BJ463" s="2030">
        <f t="shared" si="301"/>
        <v>0</v>
      </c>
      <c r="BK463" s="2030">
        <f t="shared" si="301"/>
        <v>0</v>
      </c>
      <c r="BL463" s="2030">
        <f t="shared" si="275"/>
        <v>0</v>
      </c>
      <c r="BM463" s="2125"/>
      <c r="BN463" s="2125"/>
      <c r="BO463" s="2125"/>
      <c r="BP463" s="2125"/>
      <c r="BQ463" s="2125"/>
      <c r="BR463" s="2125"/>
      <c r="BS463" s="2125"/>
      <c r="BT463" s="2125"/>
      <c r="BU463" s="2029"/>
      <c r="BV463" s="2029"/>
      <c r="BW463" s="2029"/>
      <c r="BX463" s="2029"/>
      <c r="BY463" s="2029"/>
      <c r="BZ463" s="2032"/>
      <c r="CA463" s="1974">
        <f t="shared" si="306"/>
        <v>0</v>
      </c>
      <c r="CB463" s="1974">
        <f t="shared" si="306"/>
        <v>0</v>
      </c>
      <c r="CC463" s="1974">
        <f t="shared" si="306"/>
        <v>0</v>
      </c>
      <c r="CD463" s="1974">
        <f t="shared" si="306"/>
        <v>0</v>
      </c>
      <c r="CE463" s="1974">
        <f t="shared" si="306"/>
        <v>0</v>
      </c>
      <c r="CF463" s="2033">
        <v>0</v>
      </c>
      <c r="CG463" s="2026">
        <v>0</v>
      </c>
      <c r="CH463" s="2009">
        <f t="shared" si="307"/>
        <v>0</v>
      </c>
      <c r="CI463" s="2031">
        <f t="shared" si="307"/>
        <v>0</v>
      </c>
      <c r="CJ463" s="1974">
        <f t="shared" si="307"/>
        <v>0</v>
      </c>
      <c r="CK463" s="2031">
        <f t="shared" si="307"/>
        <v>0</v>
      </c>
      <c r="CL463" s="2026">
        <v>1</v>
      </c>
      <c r="CM463" s="2026">
        <v>1</v>
      </c>
      <c r="CN463" s="2026">
        <v>1</v>
      </c>
      <c r="CO463" s="2026">
        <v>1</v>
      </c>
      <c r="CP463" s="2035"/>
      <c r="CQ463" s="2036"/>
      <c r="CR463" s="2036"/>
      <c r="CS463" s="2036"/>
      <c r="CT463" s="2036"/>
      <c r="CU463" s="2036"/>
      <c r="CW463" s="1973">
        <v>0</v>
      </c>
      <c r="CX463" s="2037">
        <v>780</v>
      </c>
      <c r="CY463" s="2037">
        <v>780</v>
      </c>
      <c r="CZ463" s="2037">
        <v>780</v>
      </c>
      <c r="DA463" s="2037">
        <v>780</v>
      </c>
      <c r="DJ463" s="1976">
        <v>0</v>
      </c>
      <c r="DK463" s="1973">
        <v>0</v>
      </c>
      <c r="DL463" s="1973">
        <v>0</v>
      </c>
      <c r="DM463" s="1973">
        <v>0</v>
      </c>
      <c r="DO463" s="2027">
        <v>12</v>
      </c>
      <c r="DP463" s="2127">
        <v>0</v>
      </c>
      <c r="DQ463" s="2127">
        <v>0</v>
      </c>
      <c r="DR463" s="2027">
        <v>257</v>
      </c>
      <c r="DS463" s="2124">
        <v>0</v>
      </c>
      <c r="DT463" s="2029">
        <v>0</v>
      </c>
      <c r="DU463" s="2029">
        <v>0</v>
      </c>
      <c r="DV463" s="2029">
        <v>0</v>
      </c>
      <c r="DW463" s="2124">
        <v>780</v>
      </c>
      <c r="DX463" s="2029">
        <v>780</v>
      </c>
      <c r="DY463" s="2029">
        <v>780</v>
      </c>
      <c r="DZ463" s="2029">
        <v>780</v>
      </c>
      <c r="EA463" s="2124">
        <v>1000</v>
      </c>
      <c r="EB463" s="2029">
        <v>1000</v>
      </c>
      <c r="EC463" s="2029">
        <v>1000</v>
      </c>
      <c r="ED463" s="2029">
        <v>1000</v>
      </c>
      <c r="EE463" s="2039">
        <f t="shared" si="296"/>
        <v>0</v>
      </c>
      <c r="EF463" s="2039">
        <f t="shared" si="296"/>
        <v>0</v>
      </c>
      <c r="EG463" s="2039">
        <f t="shared" si="296"/>
        <v>0</v>
      </c>
      <c r="EH463" s="2039">
        <f t="shared" si="296"/>
        <v>0</v>
      </c>
      <c r="EI463" s="2040">
        <f t="shared" si="273"/>
        <v>0</v>
      </c>
      <c r="EJ463" s="2040">
        <f t="shared" si="273"/>
        <v>0</v>
      </c>
      <c r="EK463" s="2040">
        <f t="shared" si="273"/>
        <v>0</v>
      </c>
      <c r="EL463" s="2040">
        <f t="shared" si="273"/>
        <v>0</v>
      </c>
      <c r="EM463" s="2040">
        <f t="shared" si="273"/>
        <v>0</v>
      </c>
      <c r="EN463" s="2040">
        <f t="shared" si="273"/>
        <v>0</v>
      </c>
      <c r="EO463" s="2040">
        <f t="shared" si="271"/>
        <v>0</v>
      </c>
      <c r="EP463" s="2040">
        <f t="shared" si="271"/>
        <v>0</v>
      </c>
      <c r="EQ463" s="2040">
        <f t="shared" si="271"/>
        <v>0</v>
      </c>
      <c r="ER463" s="2040">
        <f t="shared" si="271"/>
        <v>0</v>
      </c>
      <c r="ES463" s="2040">
        <f t="shared" si="271"/>
        <v>0</v>
      </c>
      <c r="ET463" s="2040">
        <f t="shared" si="271"/>
        <v>0</v>
      </c>
      <c r="EU463" s="2039">
        <f t="shared" si="297"/>
        <v>0</v>
      </c>
      <c r="EV463" s="2039">
        <f t="shared" si="298"/>
        <v>0</v>
      </c>
    </row>
    <row r="464" spans="1:152" x14ac:dyDescent="0.25">
      <c r="A464" s="2142" t="str">
        <f>A246</f>
        <v>Heat Pump Water Heaters</v>
      </c>
      <c r="B464" s="2027"/>
      <c r="C464" s="2027">
        <f t="shared" si="308"/>
        <v>0</v>
      </c>
      <c r="D464" s="2127">
        <f t="shared" si="308"/>
        <v>0</v>
      </c>
      <c r="E464" s="2127">
        <f t="shared" si="308"/>
        <v>0</v>
      </c>
      <c r="F464" s="2027">
        <f t="shared" si="308"/>
        <v>0</v>
      </c>
      <c r="G464" s="1974" t="s">
        <v>2997</v>
      </c>
      <c r="H464" s="1974" t="s">
        <v>2997</v>
      </c>
      <c r="I464" s="2026">
        <v>0.96199999999999997</v>
      </c>
      <c r="J464" s="2026">
        <v>0.96199999999999997</v>
      </c>
      <c r="K464" s="2026">
        <v>0.96199999999999997</v>
      </c>
      <c r="L464" s="2026">
        <v>0.96199999999999997</v>
      </c>
      <c r="M464" s="2027">
        <f t="shared" si="302"/>
        <v>0</v>
      </c>
      <c r="N464" s="2027">
        <f t="shared" si="302"/>
        <v>0</v>
      </c>
      <c r="O464" s="2027">
        <f t="shared" si="302"/>
        <v>0</v>
      </c>
      <c r="P464" s="2027">
        <f t="shared" si="302"/>
        <v>0</v>
      </c>
      <c r="Q464" s="2026">
        <v>0.96199999999999997</v>
      </c>
      <c r="R464" s="2026">
        <v>0.96199999999999997</v>
      </c>
      <c r="S464" s="2026">
        <v>0.96199999999999997</v>
      </c>
      <c r="T464" s="2026">
        <v>0.96199999999999997</v>
      </c>
      <c r="U464" s="2028">
        <f t="shared" si="303"/>
        <v>0</v>
      </c>
      <c r="V464" s="2028">
        <f t="shared" si="303"/>
        <v>0</v>
      </c>
      <c r="W464" s="2028">
        <f t="shared" si="303"/>
        <v>0</v>
      </c>
      <c r="X464" s="2028">
        <f t="shared" si="303"/>
        <v>0</v>
      </c>
      <c r="Y464" s="2026">
        <v>0.96199999999999997</v>
      </c>
      <c r="Z464" s="2026">
        <v>0.96199999999999997</v>
      </c>
      <c r="AA464" s="2026">
        <v>0.96199999999999997</v>
      </c>
      <c r="AB464" s="2026">
        <v>0.96199999999999997</v>
      </c>
      <c r="AC464" s="2027">
        <f t="shared" si="304"/>
        <v>0</v>
      </c>
      <c r="AD464" s="2027">
        <f t="shared" si="304"/>
        <v>0</v>
      </c>
      <c r="AE464" s="2027">
        <f t="shared" si="304"/>
        <v>0</v>
      </c>
      <c r="AF464" s="2027">
        <f t="shared" si="304"/>
        <v>0</v>
      </c>
      <c r="AG464" s="2027">
        <v>0</v>
      </c>
      <c r="AH464" s="2028"/>
      <c r="AI464" s="2028"/>
      <c r="AJ464" s="2028"/>
      <c r="AK464" s="2027">
        <f t="shared" si="293"/>
        <v>0</v>
      </c>
      <c r="AL464" s="2027">
        <f t="shared" si="279"/>
        <v>0</v>
      </c>
      <c r="AM464" s="2027">
        <f t="shared" si="279"/>
        <v>0</v>
      </c>
      <c r="AN464" s="2027">
        <f t="shared" si="279"/>
        <v>0</v>
      </c>
      <c r="AO464" s="2027">
        <f t="shared" si="294"/>
        <v>0</v>
      </c>
      <c r="AP464" s="2027">
        <f t="shared" si="280"/>
        <v>0</v>
      </c>
      <c r="AQ464" s="2027">
        <f t="shared" si="280"/>
        <v>0</v>
      </c>
      <c r="AR464" s="2027">
        <f t="shared" si="280"/>
        <v>0</v>
      </c>
      <c r="AS464" s="2124">
        <f t="shared" si="290"/>
        <v>0</v>
      </c>
      <c r="AT464" s="2029">
        <f t="shared" si="299"/>
        <v>0</v>
      </c>
      <c r="AU464" s="2029">
        <f t="shared" si="299"/>
        <v>0</v>
      </c>
      <c r="AV464" s="2029">
        <f t="shared" si="299"/>
        <v>0</v>
      </c>
      <c r="AW464" s="2124">
        <f t="shared" si="291"/>
        <v>0</v>
      </c>
      <c r="AX464" s="2029">
        <f t="shared" si="295"/>
        <v>0</v>
      </c>
      <c r="AY464" s="2029">
        <f t="shared" si="295"/>
        <v>0</v>
      </c>
      <c r="AZ464" s="2029">
        <f t="shared" si="295"/>
        <v>0</v>
      </c>
      <c r="BA464" s="2124">
        <f t="shared" si="305"/>
        <v>0</v>
      </c>
      <c r="BB464" s="2029">
        <f t="shared" si="305"/>
        <v>0</v>
      </c>
      <c r="BC464" s="2029">
        <f t="shared" si="305"/>
        <v>0</v>
      </c>
      <c r="BD464" s="2029">
        <f t="shared" si="305"/>
        <v>0</v>
      </c>
      <c r="BE464" s="2030">
        <f t="shared" si="300"/>
        <v>0</v>
      </c>
      <c r="BF464" s="2030">
        <f t="shared" si="300"/>
        <v>0</v>
      </c>
      <c r="BG464" s="2030">
        <f t="shared" si="300"/>
        <v>0</v>
      </c>
      <c r="BH464" s="2030">
        <f t="shared" si="274"/>
        <v>0</v>
      </c>
      <c r="BI464" s="2030">
        <f t="shared" si="301"/>
        <v>0</v>
      </c>
      <c r="BJ464" s="2030">
        <f t="shared" si="301"/>
        <v>0</v>
      </c>
      <c r="BK464" s="2030">
        <f t="shared" si="301"/>
        <v>0</v>
      </c>
      <c r="BL464" s="2030">
        <f t="shared" si="275"/>
        <v>0</v>
      </c>
      <c r="BM464" s="2125"/>
      <c r="BN464" s="2125"/>
      <c r="BO464" s="2125"/>
      <c r="BP464" s="2125"/>
      <c r="BQ464" s="2125"/>
      <c r="BR464" s="2125"/>
      <c r="BS464" s="2125"/>
      <c r="BT464" s="2125"/>
      <c r="BU464" s="2029"/>
      <c r="BV464" s="2029"/>
      <c r="BW464" s="2029"/>
      <c r="BX464" s="2029"/>
      <c r="BY464" s="2029"/>
      <c r="BZ464" s="2032"/>
      <c r="CA464" s="1974">
        <f t="shared" si="306"/>
        <v>0</v>
      </c>
      <c r="CB464" s="1974">
        <f t="shared" si="306"/>
        <v>0</v>
      </c>
      <c r="CC464" s="1974">
        <f t="shared" si="306"/>
        <v>0</v>
      </c>
      <c r="CD464" s="1974">
        <f t="shared" si="306"/>
        <v>0</v>
      </c>
      <c r="CE464" s="1974">
        <f t="shared" si="306"/>
        <v>1</v>
      </c>
      <c r="CF464" s="2033">
        <v>0</v>
      </c>
      <c r="CG464" s="2026">
        <v>0</v>
      </c>
      <c r="CH464" s="2009">
        <f t="shared" si="307"/>
        <v>0</v>
      </c>
      <c r="CI464" s="2031">
        <f t="shared" si="307"/>
        <v>0</v>
      </c>
      <c r="CJ464" s="1974">
        <f t="shared" si="307"/>
        <v>0</v>
      </c>
      <c r="CK464" s="2031">
        <f t="shared" si="307"/>
        <v>0</v>
      </c>
      <c r="CL464" s="2026">
        <v>1</v>
      </c>
      <c r="CM464" s="2026">
        <v>1</v>
      </c>
      <c r="CN464" s="2026">
        <v>1</v>
      </c>
      <c r="CO464" s="2026">
        <v>1</v>
      </c>
      <c r="CP464" s="2035"/>
      <c r="CQ464" s="2036"/>
      <c r="CR464" s="2036"/>
      <c r="CS464" s="2036"/>
      <c r="CT464" s="2036"/>
      <c r="CU464" s="2036"/>
      <c r="CW464" s="1973">
        <v>0</v>
      </c>
      <c r="CX464" s="2037">
        <v>0</v>
      </c>
      <c r="CY464" s="2037">
        <v>0</v>
      </c>
      <c r="CZ464" s="2037">
        <v>0</v>
      </c>
      <c r="DA464" s="2037">
        <v>0</v>
      </c>
      <c r="DJ464" s="1976">
        <v>0</v>
      </c>
      <c r="DK464" s="1973">
        <v>0</v>
      </c>
      <c r="DL464" s="1973">
        <v>0</v>
      </c>
      <c r="DM464" s="1973">
        <v>0</v>
      </c>
      <c r="DO464" s="2027">
        <v>0</v>
      </c>
      <c r="DP464" s="2127">
        <v>0</v>
      </c>
      <c r="DQ464" s="2127">
        <v>0</v>
      </c>
      <c r="DR464" s="2027">
        <v>0</v>
      </c>
      <c r="DS464" s="2124">
        <v>0</v>
      </c>
      <c r="DT464" s="2029">
        <v>0</v>
      </c>
      <c r="DU464" s="2029">
        <v>0</v>
      </c>
      <c r="DV464" s="2029">
        <v>0</v>
      </c>
      <c r="DW464" s="2124">
        <v>0</v>
      </c>
      <c r="DX464" s="2029">
        <v>0</v>
      </c>
      <c r="DY464" s="2029">
        <v>0</v>
      </c>
      <c r="DZ464" s="2029">
        <v>0</v>
      </c>
      <c r="EA464" s="2124">
        <v>0</v>
      </c>
      <c r="EB464" s="2029">
        <v>0</v>
      </c>
      <c r="EC464" s="2029">
        <v>0</v>
      </c>
      <c r="ED464" s="2029">
        <v>0</v>
      </c>
      <c r="EE464" s="2039">
        <f t="shared" si="296"/>
        <v>0</v>
      </c>
      <c r="EF464" s="2039">
        <f t="shared" si="296"/>
        <v>0</v>
      </c>
      <c r="EG464" s="2039">
        <f t="shared" si="296"/>
        <v>0</v>
      </c>
      <c r="EH464" s="2039">
        <f t="shared" si="296"/>
        <v>0</v>
      </c>
      <c r="EI464" s="2040">
        <f t="shared" si="273"/>
        <v>0</v>
      </c>
      <c r="EJ464" s="2040">
        <f t="shared" si="273"/>
        <v>0</v>
      </c>
      <c r="EK464" s="2040">
        <f t="shared" si="273"/>
        <v>0</v>
      </c>
      <c r="EL464" s="2040">
        <f t="shared" si="273"/>
        <v>0</v>
      </c>
      <c r="EM464" s="2040">
        <f t="shared" si="273"/>
        <v>0</v>
      </c>
      <c r="EN464" s="2040">
        <f t="shared" si="273"/>
        <v>0</v>
      </c>
      <c r="EO464" s="2040">
        <f t="shared" si="271"/>
        <v>0</v>
      </c>
      <c r="EP464" s="2040">
        <f t="shared" si="271"/>
        <v>0</v>
      </c>
      <c r="EQ464" s="2040">
        <f t="shared" si="271"/>
        <v>0</v>
      </c>
      <c r="ER464" s="2040">
        <f t="shared" si="271"/>
        <v>0</v>
      </c>
      <c r="ES464" s="2040">
        <f t="shared" si="271"/>
        <v>0</v>
      </c>
      <c r="ET464" s="2040">
        <f t="shared" si="271"/>
        <v>0</v>
      </c>
      <c r="EU464" s="2039">
        <f t="shared" si="297"/>
        <v>0</v>
      </c>
      <c r="EV464" s="2039">
        <f t="shared" si="298"/>
        <v>0</v>
      </c>
    </row>
    <row r="465" spans="1:152" ht="14.5" x14ac:dyDescent="0.35">
      <c r="CF465" s="600"/>
      <c r="CG465" s="600"/>
      <c r="DO465" s="1970"/>
      <c r="DP465" s="1970"/>
      <c r="DQ465" s="1971"/>
      <c r="DR465" s="1970"/>
      <c r="EE465" s="2039">
        <f t="shared" si="296"/>
        <v>0</v>
      </c>
      <c r="EF465" s="2039">
        <f t="shared" si="296"/>
        <v>0</v>
      </c>
      <c r="EG465" s="2039">
        <f t="shared" si="296"/>
        <v>0</v>
      </c>
      <c r="EH465" s="2039">
        <f t="shared" si="296"/>
        <v>0</v>
      </c>
      <c r="EI465" s="2040">
        <f t="shared" si="273"/>
        <v>0</v>
      </c>
      <c r="EJ465" s="2040">
        <f t="shared" si="273"/>
        <v>0</v>
      </c>
      <c r="EK465" s="2040">
        <f t="shared" si="273"/>
        <v>0</v>
      </c>
      <c r="EL465" s="2040">
        <f t="shared" si="273"/>
        <v>0</v>
      </c>
      <c r="EM465" s="2040">
        <f t="shared" si="273"/>
        <v>0</v>
      </c>
      <c r="EN465" s="2040">
        <f t="shared" si="273"/>
        <v>0</v>
      </c>
      <c r="EO465" s="2040">
        <f t="shared" si="271"/>
        <v>0</v>
      </c>
      <c r="EP465" s="2040">
        <f t="shared" si="271"/>
        <v>0</v>
      </c>
      <c r="EQ465" s="2040">
        <f t="shared" si="271"/>
        <v>0</v>
      </c>
      <c r="ER465" s="2040">
        <f t="shared" si="271"/>
        <v>0</v>
      </c>
      <c r="ES465" s="2040">
        <f t="shared" si="271"/>
        <v>0</v>
      </c>
      <c r="ET465" s="2040">
        <f t="shared" si="271"/>
        <v>0</v>
      </c>
      <c r="EU465" s="2039">
        <f t="shared" si="297"/>
        <v>0</v>
      </c>
      <c r="EV465" s="2039">
        <f t="shared" si="298"/>
        <v>0</v>
      </c>
    </row>
    <row r="466" spans="1:152" s="2018" customFormat="1" x14ac:dyDescent="0.25">
      <c r="A466" s="2122" t="s">
        <v>3000</v>
      </c>
      <c r="B466" s="2019"/>
      <c r="C466" s="2019"/>
      <c r="D466" s="2019"/>
      <c r="E466" s="2019"/>
      <c r="F466" s="2019"/>
      <c r="G466" s="2019"/>
      <c r="H466" s="2019"/>
      <c r="I466" s="2019"/>
      <c r="J466" s="2019"/>
      <c r="K466" s="2019"/>
      <c r="L466" s="2019"/>
      <c r="M466" s="2019"/>
      <c r="N466" s="2019"/>
      <c r="O466" s="2019"/>
      <c r="P466" s="2019"/>
      <c r="Q466" s="2019"/>
      <c r="R466" s="2019"/>
      <c r="S466" s="2019"/>
      <c r="T466" s="2020"/>
      <c r="U466" s="2020"/>
      <c r="V466" s="2020"/>
      <c r="W466" s="2020"/>
      <c r="X466" s="2020"/>
      <c r="Y466" s="2020"/>
      <c r="Z466" s="2020"/>
      <c r="AA466" s="2020"/>
      <c r="AB466" s="2020"/>
      <c r="AC466" s="2020"/>
      <c r="AD466" s="2020"/>
      <c r="AE466" s="2020"/>
      <c r="AF466" s="2020"/>
      <c r="AG466" s="2020"/>
      <c r="AH466" s="2020"/>
      <c r="AI466" s="2020"/>
      <c r="AJ466" s="2020"/>
      <c r="AK466" s="2072">
        <f>SUMIF(AK467:AK681,"&gt;0")</f>
        <v>15183756.170243016</v>
      </c>
      <c r="AL466" s="2072">
        <f t="shared" ref="AL466:AR466" si="309">SUMIF(AL467:AL681,"&gt;0")</f>
        <v>14141941.136634775</v>
      </c>
      <c r="AM466" s="2072">
        <f t="shared" si="309"/>
        <v>13737922.645597618</v>
      </c>
      <c r="AN466" s="2072">
        <f t="shared" si="309"/>
        <v>13635123.232351152</v>
      </c>
      <c r="AO466" s="2072">
        <f t="shared" si="309"/>
        <v>300156.19986117055</v>
      </c>
      <c r="AP466" s="2072">
        <f t="shared" si="309"/>
        <v>274613.96671713766</v>
      </c>
      <c r="AQ466" s="2072">
        <f t="shared" si="309"/>
        <v>272920.12539275014</v>
      </c>
      <c r="AR466" s="2072">
        <f t="shared" si="309"/>
        <v>274507.78576824378</v>
      </c>
      <c r="BE466" s="2019">
        <f t="shared" ref="BE466:BL466" si="310">SUM(BE467:BE681)</f>
        <v>3147298.9077547286</v>
      </c>
      <c r="BF466" s="2019">
        <f t="shared" si="310"/>
        <v>3059643.2247573598</v>
      </c>
      <c r="BG466" s="2019">
        <f t="shared" si="310"/>
        <v>3053881.6533814319</v>
      </c>
      <c r="BH466" s="2019">
        <f t="shared" si="310"/>
        <v>3045272.7933643418</v>
      </c>
      <c r="BI466" s="2019">
        <f t="shared" si="310"/>
        <v>559393.39959069679</v>
      </c>
      <c r="BJ466" s="2019">
        <f t="shared" si="310"/>
        <v>512244.16584971629</v>
      </c>
      <c r="BK466" s="2019">
        <f t="shared" si="310"/>
        <v>514481.10385638289</v>
      </c>
      <c r="BL466" s="2019">
        <f t="shared" si="310"/>
        <v>511619.69062721625</v>
      </c>
      <c r="BM466" s="2019"/>
      <c r="BN466" s="2019"/>
      <c r="BO466" s="2019"/>
      <c r="BP466" s="2019"/>
      <c r="BQ466" s="2019"/>
      <c r="BR466" s="2019"/>
      <c r="BS466" s="2019"/>
      <c r="BT466" s="2019"/>
      <c r="BU466" s="2019"/>
      <c r="BV466" s="2019"/>
      <c r="BW466" s="2019"/>
      <c r="BX466" s="2019"/>
      <c r="BY466" s="2019"/>
      <c r="BZ466" s="2019"/>
      <c r="CA466" s="2076"/>
      <c r="CB466" s="2076"/>
      <c r="CC466" s="2076"/>
      <c r="CD466" s="2076"/>
      <c r="CE466" s="2076"/>
      <c r="CF466" s="2076"/>
      <c r="CG466" s="2076"/>
      <c r="CH466" s="2079"/>
      <c r="CI466" s="2076"/>
      <c r="CJ466" s="2076"/>
      <c r="CK466" s="2076"/>
      <c r="CL466" s="2076"/>
      <c r="CM466" s="2076"/>
      <c r="CN466" s="2076"/>
      <c r="CO466" s="2076"/>
      <c r="CP466" s="2020"/>
      <c r="CQ466" s="2020"/>
      <c r="CR466" s="2020"/>
      <c r="CS466" s="2020"/>
      <c r="CT466" s="2020"/>
      <c r="CU466" s="2020"/>
      <c r="CX466" s="2083"/>
      <c r="DB466" s="2083"/>
      <c r="DF466" s="2083"/>
      <c r="DJ466" s="2083"/>
      <c r="DN466" s="1977"/>
      <c r="DO466" s="2019"/>
      <c r="DP466" s="2019"/>
      <c r="DQ466" s="2019"/>
      <c r="DR466" s="2019"/>
      <c r="EE466" s="2039">
        <f t="shared" si="296"/>
        <v>0</v>
      </c>
      <c r="EF466" s="2039">
        <f t="shared" si="296"/>
        <v>0</v>
      </c>
      <c r="EG466" s="2039">
        <f t="shared" si="296"/>
        <v>0</v>
      </c>
      <c r="EH466" s="2039">
        <f t="shared" si="296"/>
        <v>0</v>
      </c>
      <c r="EI466" s="2040">
        <f t="shared" si="273"/>
        <v>0</v>
      </c>
      <c r="EJ466" s="2040">
        <f t="shared" si="273"/>
        <v>0</v>
      </c>
      <c r="EK466" s="2040">
        <f t="shared" si="273"/>
        <v>0</v>
      </c>
      <c r="EL466" s="2040">
        <f t="shared" si="273"/>
        <v>0</v>
      </c>
      <c r="EM466" s="2040">
        <f t="shared" si="273"/>
        <v>0</v>
      </c>
      <c r="EN466" s="2040">
        <f t="shared" si="273"/>
        <v>0</v>
      </c>
      <c r="EO466" s="2040">
        <f t="shared" si="271"/>
        <v>0</v>
      </c>
      <c r="EP466" s="2040">
        <f t="shared" si="271"/>
        <v>0</v>
      </c>
      <c r="EQ466" s="2040">
        <f t="shared" si="271"/>
        <v>0</v>
      </c>
      <c r="ER466" s="2040">
        <f t="shared" si="271"/>
        <v>0</v>
      </c>
      <c r="ES466" s="2040">
        <f t="shared" si="271"/>
        <v>0</v>
      </c>
      <c r="ET466" s="2040">
        <f t="shared" si="271"/>
        <v>0</v>
      </c>
      <c r="EU466" s="2039">
        <f t="shared" si="297"/>
        <v>0</v>
      </c>
      <c r="EV466" s="2039">
        <f t="shared" si="298"/>
        <v>0</v>
      </c>
    </row>
    <row r="467" spans="1:152" x14ac:dyDescent="0.25">
      <c r="A467" s="2143" t="str">
        <f t="shared" ref="A467:B482" si="311">IF(A6="","",A6)</f>
        <v>Highbay Fixture Replacement Option</v>
      </c>
      <c r="B467" s="1974" t="str">
        <f t="shared" si="311"/>
        <v>BPL91</v>
      </c>
      <c r="C467" s="2027">
        <v>15</v>
      </c>
      <c r="D467" s="2144">
        <v>838.15258260681549</v>
      </c>
      <c r="E467" s="2145">
        <v>0.1678334580231462</v>
      </c>
      <c r="F467" s="2027">
        <v>-13.628093863694815</v>
      </c>
      <c r="G467" s="1974" t="s">
        <v>2988</v>
      </c>
      <c r="H467" s="1974" t="s">
        <v>2988</v>
      </c>
      <c r="I467" s="2026">
        <v>0.9</v>
      </c>
      <c r="J467" s="2026">
        <v>0.9</v>
      </c>
      <c r="K467" s="2026">
        <v>0.9</v>
      </c>
      <c r="L467" s="2026">
        <v>0.9</v>
      </c>
      <c r="M467" s="2027">
        <f>$D467*I467</f>
        <v>754.33732434613398</v>
      </c>
      <c r="N467" s="2027">
        <f>$D467*J467</f>
        <v>754.33732434613398</v>
      </c>
      <c r="O467" s="2027">
        <f>$D467*K467</f>
        <v>754.33732434613398</v>
      </c>
      <c r="P467" s="2027">
        <f>$D467*L467</f>
        <v>754.33732434613398</v>
      </c>
      <c r="Q467" s="2026">
        <v>0.9</v>
      </c>
      <c r="R467" s="2026">
        <v>0.9</v>
      </c>
      <c r="S467" s="2026">
        <v>0.9</v>
      </c>
      <c r="T467" s="2026">
        <v>0.9</v>
      </c>
      <c r="U467" s="2028">
        <f>$E467*Q467</f>
        <v>0.15105011222083159</v>
      </c>
      <c r="V467" s="2028">
        <f>$E467*R467</f>
        <v>0.15105011222083159</v>
      </c>
      <c r="W467" s="2028">
        <f>$E467*S467</f>
        <v>0.15105011222083159</v>
      </c>
      <c r="X467" s="2028">
        <f>$E467*T467</f>
        <v>0.15105011222083159</v>
      </c>
      <c r="Y467" s="2026">
        <v>0.9</v>
      </c>
      <c r="Z467" s="2026">
        <v>0.9</v>
      </c>
      <c r="AA467" s="2026">
        <v>0.9</v>
      </c>
      <c r="AB467" s="2026">
        <v>0.9</v>
      </c>
      <c r="AC467" s="2027">
        <f>$F467*Y467</f>
        <v>-12.265284477325334</v>
      </c>
      <c r="AD467" s="2027">
        <f>$F467*Z467</f>
        <v>-12.265284477325334</v>
      </c>
      <c r="AE467" s="2027">
        <f>$F467*AA467</f>
        <v>-12.265284477325334</v>
      </c>
      <c r="AF467" s="2027">
        <f>$F467*AB467</f>
        <v>-12.265284477325334</v>
      </c>
      <c r="AG467" s="2027">
        <v>215</v>
      </c>
      <c r="AH467" s="2027">
        <v>215</v>
      </c>
      <c r="AI467" s="2027">
        <v>155</v>
      </c>
      <c r="AJ467" s="2027">
        <v>0</v>
      </c>
      <c r="AK467" s="2027">
        <f t="shared" ref="AK467:AK530" si="312">AG467*M467</f>
        <v>162182.52473441881</v>
      </c>
      <c r="AL467" s="2027">
        <f t="shared" ref="AL467:AN498" si="313">AH467*N467*CM467</f>
        <v>162182.52473441881</v>
      </c>
      <c r="AM467" s="2027">
        <f t="shared" si="313"/>
        <v>116922.28527365076</v>
      </c>
      <c r="AN467" s="2027">
        <f t="shared" si="313"/>
        <v>0</v>
      </c>
      <c r="AO467" s="2027">
        <f>AG467*AC467</f>
        <v>-2637.0361626249469</v>
      </c>
      <c r="AP467" s="2027">
        <f t="shared" ref="AP467:AR530" si="314">AH467*AD467*CM467</f>
        <v>-2637.0361626249469</v>
      </c>
      <c r="AQ467" s="2027">
        <f t="shared" si="314"/>
        <v>-1901.1190939854268</v>
      </c>
      <c r="AR467" s="2027">
        <f t="shared" si="314"/>
        <v>0</v>
      </c>
      <c r="AS467" s="2124">
        <v>105.28546935276468</v>
      </c>
      <c r="AT467" s="2029">
        <f t="shared" ref="AT467:AV530" si="315">$AS467</f>
        <v>105.28546935276468</v>
      </c>
      <c r="AU467" s="2029">
        <f t="shared" si="315"/>
        <v>105.28546935276468</v>
      </c>
      <c r="AV467" s="2029">
        <f t="shared" si="315"/>
        <v>105.28546935276468</v>
      </c>
      <c r="AW467" s="2124">
        <f t="shared" ref="AW467:AW530" si="316">AW6*1.5</f>
        <v>0</v>
      </c>
      <c r="AX467" s="2029">
        <f t="shared" ref="AX467:AZ482" si="317">$AW467</f>
        <v>0</v>
      </c>
      <c r="AY467" s="2029">
        <f t="shared" si="317"/>
        <v>0</v>
      </c>
      <c r="AZ467" s="2029">
        <f t="shared" si="317"/>
        <v>0</v>
      </c>
      <c r="BA467" s="2124">
        <v>206.25</v>
      </c>
      <c r="BB467" s="2029">
        <f>$BA467</f>
        <v>206.25</v>
      </c>
      <c r="BC467" s="2029">
        <f t="shared" ref="BC467:BD467" si="318">$BA467</f>
        <v>206.25</v>
      </c>
      <c r="BD467" s="2029">
        <f t="shared" si="318"/>
        <v>206.25</v>
      </c>
      <c r="BE467" s="2030">
        <f>AS467*AG467</f>
        <v>22636.375910844406</v>
      </c>
      <c r="BF467" s="2030">
        <f>AT467*AH467</f>
        <v>22636.375910844406</v>
      </c>
      <c r="BG467" s="2030">
        <f>AU467*AI467</f>
        <v>16319.247749678525</v>
      </c>
      <c r="BH467" s="2030">
        <f>AV467*AJ467</f>
        <v>0</v>
      </c>
      <c r="BI467" s="2030">
        <f>AW467*AG467</f>
        <v>0</v>
      </c>
      <c r="BJ467" s="2030">
        <f>AX467*AH467</f>
        <v>0</v>
      </c>
      <c r="BK467" s="2030">
        <f>AY467*AI467</f>
        <v>0</v>
      </c>
      <c r="BL467" s="2030">
        <f>AZ467*AJ467</f>
        <v>0</v>
      </c>
      <c r="BM467" s="2125"/>
      <c r="BN467" s="2125"/>
      <c r="BO467" s="2125"/>
      <c r="BP467" s="2125"/>
      <c r="BQ467" s="2125"/>
      <c r="BR467" s="2125"/>
      <c r="BS467" s="2125"/>
      <c r="BT467" s="2125"/>
      <c r="BU467" s="2029"/>
      <c r="BV467" s="2029"/>
      <c r="BW467" s="2029"/>
      <c r="BX467" s="2029"/>
      <c r="BY467" s="2029"/>
      <c r="BZ467" s="2032"/>
      <c r="CA467" s="1974">
        <f t="shared" ref="CA467:CE482" si="319">CA6</f>
        <v>0</v>
      </c>
      <c r="CB467" s="1974">
        <f t="shared" si="319"/>
        <v>0</v>
      </c>
      <c r="CC467" s="1974">
        <f t="shared" si="319"/>
        <v>0</v>
      </c>
      <c r="CD467" s="1974">
        <f t="shared" si="319"/>
        <v>0</v>
      </c>
      <c r="CE467" s="1974">
        <f t="shared" si="319"/>
        <v>0</v>
      </c>
      <c r="CF467" s="2033">
        <v>5.744816008228181E-4</v>
      </c>
      <c r="CG467" s="2026">
        <v>-1.2842175525712607E-3</v>
      </c>
      <c r="CH467" s="2009">
        <f t="shared" ref="CH467:CK482" si="320">CH6</f>
        <v>1</v>
      </c>
      <c r="CI467" s="2031">
        <f t="shared" si="320"/>
        <v>21.886333333333333</v>
      </c>
      <c r="CJ467" s="1974">
        <f t="shared" si="320"/>
        <v>0</v>
      </c>
      <c r="CK467" s="2031">
        <f t="shared" si="320"/>
        <v>-21.886333333333333</v>
      </c>
      <c r="CL467" s="2026">
        <v>1</v>
      </c>
      <c r="CM467" s="2026">
        <v>1</v>
      </c>
      <c r="CN467" s="2026">
        <v>1</v>
      </c>
      <c r="CO467" s="2026">
        <v>1</v>
      </c>
      <c r="CP467" s="2035"/>
      <c r="CQ467" s="2036"/>
      <c r="CR467" s="2036"/>
      <c r="CS467" s="2036"/>
      <c r="CT467" s="2036"/>
      <c r="CU467" s="2036"/>
      <c r="CV467" s="1973">
        <v>1</v>
      </c>
      <c r="CW467" s="1973">
        <v>0</v>
      </c>
      <c r="CX467" s="2037">
        <v>67.777499999999989</v>
      </c>
      <c r="CY467" s="2037">
        <v>67.777499999999989</v>
      </c>
      <c r="CZ467" s="2037">
        <v>67.777499999999989</v>
      </c>
      <c r="DA467" s="2037">
        <v>67.777499999999989</v>
      </c>
      <c r="DJ467" s="1976">
        <v>67.777499999999989</v>
      </c>
      <c r="DK467" s="1973">
        <v>67.777499999999989</v>
      </c>
      <c r="DL467" s="1973">
        <v>67.777499999999989</v>
      </c>
      <c r="DM467" s="1973">
        <v>67.777499999999989</v>
      </c>
      <c r="DO467" s="2146">
        <v>15</v>
      </c>
      <c r="DP467" s="2130">
        <v>838.15258260681549</v>
      </c>
      <c r="DQ467" s="2130">
        <v>0.1678334580231462</v>
      </c>
      <c r="DR467" s="2130">
        <v>-13.628093863694815</v>
      </c>
      <c r="DS467" s="2046">
        <v>105.28546935276468</v>
      </c>
      <c r="DT467" s="2046">
        <v>105.28546935276468</v>
      </c>
      <c r="DU467" s="2046">
        <v>105.28546935276468</v>
      </c>
      <c r="DV467" s="2046">
        <v>105.28546935276468</v>
      </c>
      <c r="DW467" s="2046">
        <v>0</v>
      </c>
      <c r="DX467" s="2046">
        <v>0</v>
      </c>
      <c r="DY467" s="2046">
        <v>0</v>
      </c>
      <c r="DZ467" s="2046">
        <v>0</v>
      </c>
      <c r="EA467" s="2046">
        <v>206.25</v>
      </c>
      <c r="EB467" s="2046">
        <v>206.25</v>
      </c>
      <c r="EC467" s="2046">
        <v>206.25</v>
      </c>
      <c r="ED467" s="2046">
        <v>206.25</v>
      </c>
      <c r="EE467" s="2039">
        <f t="shared" si="296"/>
        <v>0</v>
      </c>
      <c r="EF467" s="2039">
        <f t="shared" si="296"/>
        <v>0</v>
      </c>
      <c r="EG467" s="2039">
        <f t="shared" si="296"/>
        <v>0</v>
      </c>
      <c r="EH467" s="2039">
        <f t="shared" si="296"/>
        <v>0</v>
      </c>
      <c r="EI467" s="2040">
        <f t="shared" si="273"/>
        <v>0</v>
      </c>
      <c r="EJ467" s="2040">
        <f t="shared" si="273"/>
        <v>0</v>
      </c>
      <c r="EK467" s="2040">
        <f t="shared" si="273"/>
        <v>0</v>
      </c>
      <c r="EL467" s="2040">
        <f t="shared" si="273"/>
        <v>0</v>
      </c>
      <c r="EM467" s="2040">
        <f t="shared" si="273"/>
        <v>0</v>
      </c>
      <c r="EN467" s="2040">
        <f t="shared" si="273"/>
        <v>0</v>
      </c>
      <c r="EO467" s="2040">
        <f t="shared" si="271"/>
        <v>0</v>
      </c>
      <c r="EP467" s="2040">
        <f t="shared" si="271"/>
        <v>0</v>
      </c>
      <c r="EQ467" s="2040">
        <f t="shared" si="271"/>
        <v>0</v>
      </c>
      <c r="ER467" s="2040">
        <f t="shared" si="271"/>
        <v>0</v>
      </c>
      <c r="ES467" s="2040">
        <f t="shared" si="271"/>
        <v>0</v>
      </c>
      <c r="ET467" s="2040">
        <f t="shared" si="271"/>
        <v>0</v>
      </c>
      <c r="EU467" s="2039">
        <f t="shared" si="297"/>
        <v>0</v>
      </c>
      <c r="EV467" s="2039">
        <f t="shared" si="298"/>
        <v>0</v>
      </c>
    </row>
    <row r="468" spans="1:152" x14ac:dyDescent="0.25">
      <c r="A468" s="2143" t="str">
        <f t="shared" si="311"/>
        <v>T8 U-tube Lamps and Ballasts Replacing  T12 U-bend Lamps and Ballasts</v>
      </c>
      <c r="B468" s="1974" t="str">
        <f t="shared" si="311"/>
        <v xml:space="preserve">BPL40  </v>
      </c>
      <c r="C468" s="2027">
        <f t="shared" ref="C468:F492" si="321">C7</f>
        <v>15</v>
      </c>
      <c r="D468" s="2144">
        <v>86.114923649963799</v>
      </c>
      <c r="E468" s="2145">
        <v>1.5650509753839279E-2</v>
      </c>
      <c r="F468" s="2027">
        <v>-1.2241137551056831</v>
      </c>
      <c r="G468" s="1974" t="s">
        <v>2988</v>
      </c>
      <c r="H468" s="1974" t="s">
        <v>2988</v>
      </c>
      <c r="I468" s="2026">
        <v>0.9</v>
      </c>
      <c r="J468" s="2026">
        <v>0.9</v>
      </c>
      <c r="K468" s="2026">
        <v>0.9</v>
      </c>
      <c r="L468" s="2026">
        <v>0.9</v>
      </c>
      <c r="M468" s="2027">
        <f t="shared" ref="M468:P531" si="322">$D468*I468</f>
        <v>77.503431284967419</v>
      </c>
      <c r="N468" s="2027">
        <f t="shared" si="322"/>
        <v>77.503431284967419</v>
      </c>
      <c r="O468" s="2027">
        <f t="shared" si="322"/>
        <v>77.503431284967419</v>
      </c>
      <c r="P468" s="2027">
        <f t="shared" si="322"/>
        <v>77.503431284967419</v>
      </c>
      <c r="Q468" s="2026">
        <v>0.9</v>
      </c>
      <c r="R468" s="2026">
        <v>0.9</v>
      </c>
      <c r="S468" s="2026">
        <v>0.9</v>
      </c>
      <c r="T468" s="2026">
        <v>0.9</v>
      </c>
      <c r="U468" s="2028">
        <f t="shared" ref="U468:X531" si="323">$E468*Q468</f>
        <v>1.4085458778455351E-2</v>
      </c>
      <c r="V468" s="2028">
        <f t="shared" si="323"/>
        <v>1.4085458778455351E-2</v>
      </c>
      <c r="W468" s="2028">
        <f t="shared" si="323"/>
        <v>1.4085458778455351E-2</v>
      </c>
      <c r="X468" s="2028">
        <f t="shared" si="323"/>
        <v>1.4085458778455351E-2</v>
      </c>
      <c r="Y468" s="2026">
        <v>0.9</v>
      </c>
      <c r="Z468" s="2026">
        <v>0.9</v>
      </c>
      <c r="AA468" s="2026">
        <v>0.9</v>
      </c>
      <c r="AB468" s="2026">
        <v>0.9</v>
      </c>
      <c r="AC468" s="2027">
        <f t="shared" ref="AC468:AF531" si="324">$F468*Y468</f>
        <v>-1.1017023795951149</v>
      </c>
      <c r="AD468" s="2027">
        <f t="shared" si="324"/>
        <v>-1.1017023795951149</v>
      </c>
      <c r="AE468" s="2027">
        <f t="shared" si="324"/>
        <v>-1.1017023795951149</v>
      </c>
      <c r="AF468" s="2027">
        <f t="shared" si="324"/>
        <v>-1.1017023795951149</v>
      </c>
      <c r="AG468" s="2027">
        <v>6</v>
      </c>
      <c r="AH468" s="2027">
        <v>0</v>
      </c>
      <c r="AI468" s="2027">
        <v>0</v>
      </c>
      <c r="AJ468" s="2027">
        <v>0</v>
      </c>
      <c r="AK468" s="2027">
        <f t="shared" si="312"/>
        <v>465.02058770980454</v>
      </c>
      <c r="AL468" s="2027">
        <f t="shared" si="313"/>
        <v>0</v>
      </c>
      <c r="AM468" s="2027">
        <f t="shared" si="313"/>
        <v>0</v>
      </c>
      <c r="AN468" s="2027">
        <f t="shared" si="313"/>
        <v>0</v>
      </c>
      <c r="AO468" s="2027">
        <f t="shared" ref="AO468:AO531" si="325">AG468*AC468</f>
        <v>-6.6102142775706891</v>
      </c>
      <c r="AP468" s="2027">
        <f t="shared" si="314"/>
        <v>0</v>
      </c>
      <c r="AQ468" s="2027">
        <f t="shared" si="314"/>
        <v>0</v>
      </c>
      <c r="AR468" s="2027">
        <f t="shared" si="314"/>
        <v>0</v>
      </c>
      <c r="AS468" s="2124">
        <f t="shared" ref="AS468:AS490" si="326">AS7*1.4</f>
        <v>9.3239999999999981</v>
      </c>
      <c r="AT468" s="2029">
        <f t="shared" si="315"/>
        <v>9.3239999999999981</v>
      </c>
      <c r="AU468" s="2029">
        <f t="shared" si="315"/>
        <v>9.3239999999999981</v>
      </c>
      <c r="AV468" s="2029">
        <f t="shared" si="315"/>
        <v>9.3239999999999981</v>
      </c>
      <c r="AW468" s="2124">
        <f t="shared" si="316"/>
        <v>0</v>
      </c>
      <c r="AX468" s="2029">
        <f t="shared" si="317"/>
        <v>0</v>
      </c>
      <c r="AY468" s="2029">
        <f t="shared" si="317"/>
        <v>0</v>
      </c>
      <c r="AZ468" s="2029">
        <f t="shared" si="317"/>
        <v>0</v>
      </c>
      <c r="BA468" s="2124">
        <f t="shared" ref="BA468:BD480" si="327">BA7</f>
        <v>57.5</v>
      </c>
      <c r="BB468" s="2029">
        <f t="shared" si="327"/>
        <v>57.5</v>
      </c>
      <c r="BC468" s="2029">
        <f t="shared" si="327"/>
        <v>57.5</v>
      </c>
      <c r="BD468" s="2029">
        <f t="shared" si="327"/>
        <v>57.5</v>
      </c>
      <c r="BE468" s="2030">
        <f t="shared" ref="BE468:BH531" si="328">AS468*AG468</f>
        <v>55.943999999999988</v>
      </c>
      <c r="BF468" s="2030">
        <f t="shared" si="328"/>
        <v>0</v>
      </c>
      <c r="BG468" s="2030">
        <f t="shared" si="328"/>
        <v>0</v>
      </c>
      <c r="BH468" s="2030">
        <f t="shared" si="328"/>
        <v>0</v>
      </c>
      <c r="BI468" s="2030">
        <f t="shared" ref="BI468:BL531" si="329">AW468*AG468</f>
        <v>0</v>
      </c>
      <c r="BJ468" s="2030">
        <f t="shared" si="329"/>
        <v>0</v>
      </c>
      <c r="BK468" s="2030">
        <f t="shared" si="329"/>
        <v>0</v>
      </c>
      <c r="BL468" s="2030">
        <f t="shared" si="329"/>
        <v>0</v>
      </c>
      <c r="BM468" s="2125"/>
      <c r="BN468" s="2125"/>
      <c r="BO468" s="2125"/>
      <c r="BP468" s="2125"/>
      <c r="BQ468" s="2125"/>
      <c r="BR468" s="2125"/>
      <c r="BS468" s="2125"/>
      <c r="BT468" s="2125"/>
      <c r="BU468" s="2029"/>
      <c r="BV468" s="2029"/>
      <c r="BW468" s="2029"/>
      <c r="BX468" s="2029"/>
      <c r="BY468" s="2029"/>
      <c r="BZ468" s="2032"/>
      <c r="CA468" s="1974">
        <f t="shared" si="319"/>
        <v>0</v>
      </c>
      <c r="CB468" s="1974">
        <f t="shared" si="319"/>
        <v>0</v>
      </c>
      <c r="CC468" s="1974">
        <f t="shared" si="319"/>
        <v>0</v>
      </c>
      <c r="CD468" s="1974">
        <f t="shared" si="319"/>
        <v>0</v>
      </c>
      <c r="CE468" s="1974">
        <f t="shared" si="319"/>
        <v>1</v>
      </c>
      <c r="CF468" s="2033">
        <v>1.9439426746442153E-6</v>
      </c>
      <c r="CG468" s="2026">
        <v>-2.4661415836684362E-6</v>
      </c>
      <c r="CH468" s="2009">
        <f t="shared" si="320"/>
        <v>1</v>
      </c>
      <c r="CI468" s="2031">
        <f t="shared" si="320"/>
        <v>0.67827777777777754</v>
      </c>
      <c r="CJ468" s="1974">
        <f t="shared" si="320"/>
        <v>0</v>
      </c>
      <c r="CK468" s="2031">
        <f t="shared" si="320"/>
        <v>-0.67827777777777754</v>
      </c>
      <c r="CL468" s="2026">
        <v>1</v>
      </c>
      <c r="CM468" s="2026">
        <v>0.3</v>
      </c>
      <c r="CN468" s="2026">
        <v>0.3</v>
      </c>
      <c r="CO468" s="2026">
        <v>0.3</v>
      </c>
      <c r="CP468" s="2035"/>
      <c r="CQ468" s="2036"/>
      <c r="CR468" s="2036"/>
      <c r="CS468" s="2036"/>
      <c r="CT468" s="2036"/>
      <c r="CU468" s="2036"/>
      <c r="CV468" s="1973">
        <v>1</v>
      </c>
      <c r="CW468" s="1973">
        <v>0</v>
      </c>
      <c r="CX468" s="2037">
        <v>9.3239999999999981</v>
      </c>
      <c r="CY468" s="2037">
        <v>9.3239999999999981</v>
      </c>
      <c r="CZ468" s="2037">
        <v>9.3239999999999981</v>
      </c>
      <c r="DA468" s="2037">
        <v>9.3239999999999981</v>
      </c>
      <c r="DJ468" s="1976">
        <v>9.3239999999999981</v>
      </c>
      <c r="DK468" s="1973">
        <v>9.3239999999999981</v>
      </c>
      <c r="DL468" s="1973">
        <v>9.3239999999999981</v>
      </c>
      <c r="DM468" s="1973">
        <v>9.3239999999999981</v>
      </c>
      <c r="DO468" s="2027">
        <v>15</v>
      </c>
      <c r="DP468" s="2144">
        <v>86.114923649963785</v>
      </c>
      <c r="DQ468" s="2145">
        <v>1.5650509753839279E-2</v>
      </c>
      <c r="DR468" s="2027">
        <v>-1.2241137551056831</v>
      </c>
      <c r="DS468" s="2124">
        <v>9.3239999999999981</v>
      </c>
      <c r="DT468" s="2029">
        <v>9.3239999999999981</v>
      </c>
      <c r="DU468" s="2029">
        <v>9.3239999999999981</v>
      </c>
      <c r="DV468" s="2029">
        <v>9.3239999999999981</v>
      </c>
      <c r="DW468" s="2124">
        <v>0</v>
      </c>
      <c r="DX468" s="2029">
        <v>0</v>
      </c>
      <c r="DY468" s="2029">
        <v>0</v>
      </c>
      <c r="DZ468" s="2029">
        <v>0</v>
      </c>
      <c r="EA468" s="2124">
        <v>57.5</v>
      </c>
      <c r="EB468" s="2029">
        <v>57.5</v>
      </c>
      <c r="EC468" s="2029">
        <v>57.5</v>
      </c>
      <c r="ED468" s="2029">
        <v>57.5</v>
      </c>
      <c r="EE468" s="2039">
        <f t="shared" si="296"/>
        <v>0</v>
      </c>
      <c r="EF468" s="2039">
        <f t="shared" si="296"/>
        <v>0</v>
      </c>
      <c r="EG468" s="2039">
        <f t="shared" si="296"/>
        <v>0</v>
      </c>
      <c r="EH468" s="2039">
        <f t="shared" si="296"/>
        <v>0</v>
      </c>
      <c r="EI468" s="2040">
        <f t="shared" si="273"/>
        <v>0</v>
      </c>
      <c r="EJ468" s="2040">
        <f t="shared" si="273"/>
        <v>0</v>
      </c>
      <c r="EK468" s="2040">
        <f t="shared" si="273"/>
        <v>0</v>
      </c>
      <c r="EL468" s="2040">
        <f t="shared" si="273"/>
        <v>0</v>
      </c>
      <c r="EM468" s="2040">
        <f t="shared" si="273"/>
        <v>0</v>
      </c>
      <c r="EN468" s="2040">
        <f t="shared" si="273"/>
        <v>0</v>
      </c>
      <c r="EO468" s="2040">
        <f t="shared" si="271"/>
        <v>0</v>
      </c>
      <c r="EP468" s="2040">
        <f t="shared" si="271"/>
        <v>0</v>
      </c>
      <c r="EQ468" s="2040">
        <f t="shared" si="271"/>
        <v>0</v>
      </c>
      <c r="ER468" s="2040">
        <f t="shared" si="271"/>
        <v>0</v>
      </c>
      <c r="ES468" s="2040">
        <f t="shared" si="271"/>
        <v>0</v>
      </c>
      <c r="ET468" s="2040">
        <f t="shared" si="271"/>
        <v>0</v>
      </c>
      <c r="EU468" s="2039">
        <f t="shared" si="297"/>
        <v>0</v>
      </c>
      <c r="EV468" s="2039">
        <f t="shared" si="298"/>
        <v>0</v>
      </c>
    </row>
    <row r="469" spans="1:152" x14ac:dyDescent="0.25">
      <c r="A469" s="2143" t="str">
        <f t="shared" si="311"/>
        <v>New, high performance T8 (32W) lamps and ballasts replacing existing T12 lamps and ballasts</v>
      </c>
      <c r="B469" s="1974" t="str">
        <f t="shared" si="311"/>
        <v xml:space="preserve">BPL60  </v>
      </c>
      <c r="C469" s="2027">
        <f t="shared" si="321"/>
        <v>15</v>
      </c>
      <c r="D469" s="2144">
        <v>155.87587624130421</v>
      </c>
      <c r="E469" s="2145">
        <v>3.1842910385456197E-2</v>
      </c>
      <c r="F469" s="2027">
        <v>-3.3979249924155255</v>
      </c>
      <c r="G469" s="1974" t="s">
        <v>2988</v>
      </c>
      <c r="H469" s="1974" t="s">
        <v>2988</v>
      </c>
      <c r="I469" s="2026">
        <v>0.9</v>
      </c>
      <c r="J469" s="2026">
        <v>0.9</v>
      </c>
      <c r="K469" s="2026">
        <v>0.9</v>
      </c>
      <c r="L469" s="2026">
        <v>0.9</v>
      </c>
      <c r="M469" s="2027">
        <f t="shared" si="322"/>
        <v>140.28828861717381</v>
      </c>
      <c r="N469" s="2027">
        <f t="shared" si="322"/>
        <v>140.28828861717381</v>
      </c>
      <c r="O469" s="2027">
        <f t="shared" si="322"/>
        <v>140.28828861717381</v>
      </c>
      <c r="P469" s="2027">
        <f t="shared" si="322"/>
        <v>140.28828861717381</v>
      </c>
      <c r="Q469" s="2026">
        <v>0.9</v>
      </c>
      <c r="R469" s="2026">
        <v>0.9</v>
      </c>
      <c r="S469" s="2026">
        <v>0.9</v>
      </c>
      <c r="T469" s="2026">
        <v>0.9</v>
      </c>
      <c r="U469" s="2028">
        <f t="shared" si="323"/>
        <v>2.8658619346910576E-2</v>
      </c>
      <c r="V469" s="2028">
        <f t="shared" si="323"/>
        <v>2.8658619346910576E-2</v>
      </c>
      <c r="W469" s="2028">
        <f t="shared" si="323"/>
        <v>2.8658619346910576E-2</v>
      </c>
      <c r="X469" s="2028">
        <f t="shared" si="323"/>
        <v>2.8658619346910576E-2</v>
      </c>
      <c r="Y469" s="2026">
        <v>0.9</v>
      </c>
      <c r="Z469" s="2026">
        <v>0.9</v>
      </c>
      <c r="AA469" s="2026">
        <v>0.9</v>
      </c>
      <c r="AB469" s="2026">
        <v>0.9</v>
      </c>
      <c r="AC469" s="2027">
        <f t="shared" si="324"/>
        <v>-3.0581324931739728</v>
      </c>
      <c r="AD469" s="2027">
        <f t="shared" si="324"/>
        <v>-3.0581324931739728</v>
      </c>
      <c r="AE469" s="2027">
        <f t="shared" si="324"/>
        <v>-3.0581324931739728</v>
      </c>
      <c r="AF469" s="2027">
        <f t="shared" si="324"/>
        <v>-3.0581324931739728</v>
      </c>
      <c r="AG469" s="2027">
        <v>87</v>
      </c>
      <c r="AH469" s="2027">
        <v>0</v>
      </c>
      <c r="AI469" s="2027">
        <v>0</v>
      </c>
      <c r="AJ469" s="2027">
        <v>0</v>
      </c>
      <c r="AK469" s="2027">
        <f t="shared" si="312"/>
        <v>12205.081109694122</v>
      </c>
      <c r="AL469" s="2027">
        <f t="shared" si="313"/>
        <v>0</v>
      </c>
      <c r="AM469" s="2027">
        <f t="shared" si="313"/>
        <v>0</v>
      </c>
      <c r="AN469" s="2027">
        <f t="shared" si="313"/>
        <v>0</v>
      </c>
      <c r="AO469" s="2027">
        <f t="shared" si="325"/>
        <v>-266.05752690613565</v>
      </c>
      <c r="AP469" s="2027">
        <f t="shared" si="314"/>
        <v>0</v>
      </c>
      <c r="AQ469" s="2027">
        <f t="shared" si="314"/>
        <v>0</v>
      </c>
      <c r="AR469" s="2027">
        <f t="shared" si="314"/>
        <v>0</v>
      </c>
      <c r="AS469" s="2124">
        <f t="shared" si="326"/>
        <v>9.3239999999999981</v>
      </c>
      <c r="AT469" s="2029">
        <f t="shared" si="315"/>
        <v>9.3239999999999981</v>
      </c>
      <c r="AU469" s="2029">
        <f t="shared" si="315"/>
        <v>9.3239999999999981</v>
      </c>
      <c r="AV469" s="2029">
        <f t="shared" si="315"/>
        <v>9.3239999999999981</v>
      </c>
      <c r="AW469" s="2124">
        <f t="shared" si="316"/>
        <v>0</v>
      </c>
      <c r="AX469" s="2029">
        <f t="shared" si="317"/>
        <v>0</v>
      </c>
      <c r="AY469" s="2029">
        <f t="shared" si="317"/>
        <v>0</v>
      </c>
      <c r="AZ469" s="2029">
        <f t="shared" si="317"/>
        <v>0</v>
      </c>
      <c r="BA469" s="2124">
        <f t="shared" si="327"/>
        <v>57.5</v>
      </c>
      <c r="BB469" s="2029">
        <f t="shared" si="327"/>
        <v>57.5</v>
      </c>
      <c r="BC469" s="2029">
        <f t="shared" si="327"/>
        <v>57.5</v>
      </c>
      <c r="BD469" s="2029">
        <f t="shared" si="327"/>
        <v>57.5</v>
      </c>
      <c r="BE469" s="2030">
        <f t="shared" si="328"/>
        <v>811.18799999999987</v>
      </c>
      <c r="BF469" s="2030">
        <f t="shared" si="328"/>
        <v>0</v>
      </c>
      <c r="BG469" s="2030">
        <f t="shared" si="328"/>
        <v>0</v>
      </c>
      <c r="BH469" s="2030">
        <f t="shared" si="328"/>
        <v>0</v>
      </c>
      <c r="BI469" s="2030">
        <f t="shared" si="329"/>
        <v>0</v>
      </c>
      <c r="BJ469" s="2030">
        <f t="shared" si="329"/>
        <v>0</v>
      </c>
      <c r="BK469" s="2030">
        <f t="shared" si="329"/>
        <v>0</v>
      </c>
      <c r="BL469" s="2030">
        <f t="shared" si="329"/>
        <v>0</v>
      </c>
      <c r="BM469" s="2125"/>
      <c r="BN469" s="2125"/>
      <c r="BO469" s="2125"/>
      <c r="BP469" s="2125"/>
      <c r="BQ469" s="2125"/>
      <c r="BR469" s="2125"/>
      <c r="BS469" s="2125"/>
      <c r="BT469" s="2125"/>
      <c r="BU469" s="2029"/>
      <c r="BV469" s="2029"/>
      <c r="BW469" s="2029"/>
      <c r="BX469" s="2029"/>
      <c r="BY469" s="2029"/>
      <c r="BZ469" s="2032"/>
      <c r="CA469" s="1974">
        <f t="shared" si="319"/>
        <v>0</v>
      </c>
      <c r="CB469" s="1974">
        <f t="shared" si="319"/>
        <v>0</v>
      </c>
      <c r="CC469" s="1974">
        <f t="shared" si="319"/>
        <v>0</v>
      </c>
      <c r="CD469" s="1974">
        <f t="shared" si="319"/>
        <v>0</v>
      </c>
      <c r="CE469" s="1974">
        <f t="shared" si="319"/>
        <v>1</v>
      </c>
      <c r="CF469" s="2033">
        <v>5.1021349685778961E-5</v>
      </c>
      <c r="CG469" s="2026">
        <v>-9.9260856486537436E-5</v>
      </c>
      <c r="CH469" s="2009">
        <f t="shared" si="320"/>
        <v>1</v>
      </c>
      <c r="CI469" s="2031">
        <f t="shared" si="320"/>
        <v>0.67827777777777754</v>
      </c>
      <c r="CJ469" s="1974">
        <f t="shared" si="320"/>
        <v>0</v>
      </c>
      <c r="CK469" s="2031">
        <f t="shared" si="320"/>
        <v>-0.67827777777777754</v>
      </c>
      <c r="CL469" s="2026">
        <v>1</v>
      </c>
      <c r="CM469" s="2026">
        <v>0.32114942528735629</v>
      </c>
      <c r="CN469" s="2026">
        <v>0.32114942528735629</v>
      </c>
      <c r="CO469" s="2026">
        <v>0.32114942528735629</v>
      </c>
      <c r="CP469" s="2035"/>
      <c r="CQ469" s="2036"/>
      <c r="CR469" s="2036"/>
      <c r="CS469" s="2036"/>
      <c r="CT469" s="2036"/>
      <c r="CU469" s="2036"/>
      <c r="CV469" s="1973">
        <v>1</v>
      </c>
      <c r="CW469" s="1973">
        <v>0</v>
      </c>
      <c r="CX469" s="2037">
        <v>9.3239999999999981</v>
      </c>
      <c r="CY469" s="2037">
        <v>9.3239999999999981</v>
      </c>
      <c r="CZ469" s="2037">
        <v>9.3239999999999981</v>
      </c>
      <c r="DA469" s="2037">
        <v>9.3239999999999981</v>
      </c>
      <c r="DJ469" s="1976">
        <v>9.3239999999999981</v>
      </c>
      <c r="DK469" s="1973">
        <v>9.3239999999999981</v>
      </c>
      <c r="DL469" s="1973">
        <v>9.3239999999999981</v>
      </c>
      <c r="DM469" s="1973">
        <v>9.3239999999999981</v>
      </c>
      <c r="DO469" s="2027">
        <v>15</v>
      </c>
      <c r="DP469" s="2144">
        <v>155.87587624130421</v>
      </c>
      <c r="DQ469" s="2145">
        <v>3.1842910385456197E-2</v>
      </c>
      <c r="DR469" s="2027">
        <v>-3.3979249924155255</v>
      </c>
      <c r="DS469" s="2124">
        <v>9.3239999999999981</v>
      </c>
      <c r="DT469" s="2029">
        <v>9.3239999999999981</v>
      </c>
      <c r="DU469" s="2029">
        <v>9.3239999999999981</v>
      </c>
      <c r="DV469" s="2029">
        <v>9.3239999999999981</v>
      </c>
      <c r="DW469" s="2124">
        <v>0</v>
      </c>
      <c r="DX469" s="2029">
        <v>0</v>
      </c>
      <c r="DY469" s="2029">
        <v>0</v>
      </c>
      <c r="DZ469" s="2029">
        <v>0</v>
      </c>
      <c r="EA469" s="2124">
        <v>57.5</v>
      </c>
      <c r="EB469" s="2029">
        <v>57.5</v>
      </c>
      <c r="EC469" s="2029">
        <v>57.5</v>
      </c>
      <c r="ED469" s="2029">
        <v>57.5</v>
      </c>
      <c r="EE469" s="2039">
        <f t="shared" si="296"/>
        <v>0</v>
      </c>
      <c r="EF469" s="2039">
        <f t="shared" si="296"/>
        <v>0</v>
      </c>
      <c r="EG469" s="2039">
        <f t="shared" si="296"/>
        <v>0</v>
      </c>
      <c r="EH469" s="2039">
        <f t="shared" si="296"/>
        <v>0</v>
      </c>
      <c r="EI469" s="2040">
        <f t="shared" si="273"/>
        <v>0</v>
      </c>
      <c r="EJ469" s="2040">
        <f t="shared" si="273"/>
        <v>0</v>
      </c>
      <c r="EK469" s="2040">
        <f t="shared" si="273"/>
        <v>0</v>
      </c>
      <c r="EL469" s="2040">
        <f t="shared" si="273"/>
        <v>0</v>
      </c>
      <c r="EM469" s="2040">
        <f t="shared" si="273"/>
        <v>0</v>
      </c>
      <c r="EN469" s="2040">
        <f t="shared" si="273"/>
        <v>0</v>
      </c>
      <c r="EO469" s="2040">
        <f t="shared" si="271"/>
        <v>0</v>
      </c>
      <c r="EP469" s="2040">
        <f t="shared" si="271"/>
        <v>0</v>
      </c>
      <c r="EQ469" s="2040">
        <f t="shared" si="271"/>
        <v>0</v>
      </c>
      <c r="ER469" s="2040">
        <f t="shared" si="271"/>
        <v>0</v>
      </c>
      <c r="ES469" s="2040">
        <f t="shared" si="271"/>
        <v>0</v>
      </c>
      <c r="ET469" s="2040">
        <f t="shared" si="271"/>
        <v>0</v>
      </c>
      <c r="EU469" s="2039">
        <f t="shared" si="297"/>
        <v>0</v>
      </c>
      <c r="EV469" s="2039">
        <f t="shared" si="298"/>
        <v>0</v>
      </c>
    </row>
    <row r="470" spans="1:152" x14ac:dyDescent="0.25">
      <c r="A470" s="2143" t="str">
        <f t="shared" si="311"/>
        <v>Reduced wattage T8 (28W) lamps and ballasts replacing existing T12 lamps and ballasts</v>
      </c>
      <c r="B470" s="1974" t="str">
        <f t="shared" si="311"/>
        <v xml:space="preserve">BPL41 </v>
      </c>
      <c r="C470" s="2027">
        <f t="shared" si="321"/>
        <v>15</v>
      </c>
      <c r="D470" s="2144">
        <v>157.42805203348595</v>
      </c>
      <c r="E470" s="2145">
        <v>3.1434195269497256E-2</v>
      </c>
      <c r="F470" s="2027">
        <v>-3.2860315522710426</v>
      </c>
      <c r="G470" s="1974" t="s">
        <v>2988</v>
      </c>
      <c r="H470" s="1974" t="s">
        <v>2988</v>
      </c>
      <c r="I470" s="2026">
        <v>0.9</v>
      </c>
      <c r="J470" s="2026">
        <v>0.9</v>
      </c>
      <c r="K470" s="2026">
        <v>0.9</v>
      </c>
      <c r="L470" s="2026">
        <v>0.9</v>
      </c>
      <c r="M470" s="2027">
        <f t="shared" si="322"/>
        <v>141.68524683013737</v>
      </c>
      <c r="N470" s="2027">
        <f t="shared" si="322"/>
        <v>141.68524683013737</v>
      </c>
      <c r="O470" s="2027">
        <f t="shared" si="322"/>
        <v>141.68524683013737</v>
      </c>
      <c r="P470" s="2027">
        <f t="shared" si="322"/>
        <v>141.68524683013737</v>
      </c>
      <c r="Q470" s="2026">
        <v>0.9</v>
      </c>
      <c r="R470" s="2026">
        <v>0.9</v>
      </c>
      <c r="S470" s="2026">
        <v>0.9</v>
      </c>
      <c r="T470" s="2026">
        <v>0.9</v>
      </c>
      <c r="U470" s="2028">
        <f t="shared" si="323"/>
        <v>2.8290775742547531E-2</v>
      </c>
      <c r="V470" s="2028">
        <f t="shared" si="323"/>
        <v>2.8290775742547531E-2</v>
      </c>
      <c r="W470" s="2028">
        <f t="shared" si="323"/>
        <v>2.8290775742547531E-2</v>
      </c>
      <c r="X470" s="2028">
        <f t="shared" si="323"/>
        <v>2.8290775742547531E-2</v>
      </c>
      <c r="Y470" s="2026">
        <v>0.9</v>
      </c>
      <c r="Z470" s="2026">
        <v>0.9</v>
      </c>
      <c r="AA470" s="2026">
        <v>0.9</v>
      </c>
      <c r="AB470" s="2026">
        <v>0.9</v>
      </c>
      <c r="AC470" s="2027">
        <f t="shared" si="324"/>
        <v>-2.9574283970439383</v>
      </c>
      <c r="AD470" s="2027">
        <f t="shared" si="324"/>
        <v>-2.9574283970439383</v>
      </c>
      <c r="AE470" s="2027">
        <f t="shared" si="324"/>
        <v>-2.9574283970439383</v>
      </c>
      <c r="AF470" s="2027">
        <f t="shared" si="324"/>
        <v>-2.9574283970439383</v>
      </c>
      <c r="AG470" s="2027">
        <v>100</v>
      </c>
      <c r="AH470" s="2027">
        <v>0</v>
      </c>
      <c r="AI470" s="2027">
        <v>0</v>
      </c>
      <c r="AJ470" s="2027">
        <v>0</v>
      </c>
      <c r="AK470" s="2027">
        <f t="shared" si="312"/>
        <v>14168.524683013737</v>
      </c>
      <c r="AL470" s="2027">
        <f t="shared" si="313"/>
        <v>0</v>
      </c>
      <c r="AM470" s="2027">
        <f t="shared" si="313"/>
        <v>0</v>
      </c>
      <c r="AN470" s="2027">
        <f t="shared" si="313"/>
        <v>0</v>
      </c>
      <c r="AO470" s="2027">
        <f t="shared" si="325"/>
        <v>-295.74283970439382</v>
      </c>
      <c r="AP470" s="2027">
        <f t="shared" si="314"/>
        <v>0</v>
      </c>
      <c r="AQ470" s="2027">
        <f t="shared" si="314"/>
        <v>0</v>
      </c>
      <c r="AR470" s="2027">
        <f t="shared" si="314"/>
        <v>0</v>
      </c>
      <c r="AS470" s="2124">
        <f t="shared" si="326"/>
        <v>12.104399999999998</v>
      </c>
      <c r="AT470" s="2029">
        <f t="shared" si="315"/>
        <v>12.104399999999998</v>
      </c>
      <c r="AU470" s="2029">
        <f t="shared" si="315"/>
        <v>12.104399999999998</v>
      </c>
      <c r="AV470" s="2029">
        <f t="shared" si="315"/>
        <v>12.104399999999998</v>
      </c>
      <c r="AW470" s="2124">
        <f t="shared" si="316"/>
        <v>0</v>
      </c>
      <c r="AX470" s="2029">
        <f t="shared" si="317"/>
        <v>0</v>
      </c>
      <c r="AY470" s="2029">
        <f t="shared" si="317"/>
        <v>0</v>
      </c>
      <c r="AZ470" s="2029">
        <f t="shared" si="317"/>
        <v>0</v>
      </c>
      <c r="BA470" s="2124">
        <f t="shared" si="327"/>
        <v>57.5</v>
      </c>
      <c r="BB470" s="2029">
        <f t="shared" si="327"/>
        <v>57.5</v>
      </c>
      <c r="BC470" s="2029">
        <f t="shared" si="327"/>
        <v>57.5</v>
      </c>
      <c r="BD470" s="2029">
        <f t="shared" si="327"/>
        <v>57.5</v>
      </c>
      <c r="BE470" s="2030">
        <f t="shared" si="328"/>
        <v>1210.4399999999998</v>
      </c>
      <c r="BF470" s="2030">
        <f t="shared" si="328"/>
        <v>0</v>
      </c>
      <c r="BG470" s="2030">
        <f t="shared" si="328"/>
        <v>0</v>
      </c>
      <c r="BH470" s="2030">
        <f t="shared" si="328"/>
        <v>0</v>
      </c>
      <c r="BI470" s="2030">
        <f t="shared" si="329"/>
        <v>0</v>
      </c>
      <c r="BJ470" s="2030">
        <f t="shared" si="329"/>
        <v>0</v>
      </c>
      <c r="BK470" s="2030">
        <f t="shared" si="329"/>
        <v>0</v>
      </c>
      <c r="BL470" s="2030">
        <f t="shared" si="329"/>
        <v>0</v>
      </c>
      <c r="BM470" s="2125"/>
      <c r="BN470" s="2125"/>
      <c r="BO470" s="2125"/>
      <c r="BP470" s="2125"/>
      <c r="BQ470" s="2125"/>
      <c r="BR470" s="2125"/>
      <c r="BS470" s="2125"/>
      <c r="BT470" s="2125"/>
      <c r="BU470" s="2029"/>
      <c r="BV470" s="2029"/>
      <c r="BW470" s="2029"/>
      <c r="BX470" s="2029"/>
      <c r="BY470" s="2029"/>
      <c r="BZ470" s="2032"/>
      <c r="CA470" s="1974">
        <f t="shared" si="319"/>
        <v>0</v>
      </c>
      <c r="CB470" s="1974">
        <f t="shared" si="319"/>
        <v>0</v>
      </c>
      <c r="CC470" s="1974">
        <f t="shared" si="319"/>
        <v>0</v>
      </c>
      <c r="CD470" s="1974">
        <f t="shared" si="319"/>
        <v>0</v>
      </c>
      <c r="CE470" s="1974">
        <f t="shared" si="319"/>
        <v>1</v>
      </c>
      <c r="CF470" s="2033">
        <v>5.9229205106179855E-5</v>
      </c>
      <c r="CG470" s="2026">
        <v>-1.1033586574370995E-4</v>
      </c>
      <c r="CH470" s="2009">
        <f t="shared" si="320"/>
        <v>1</v>
      </c>
      <c r="CI470" s="2031">
        <f t="shared" si="320"/>
        <v>0.67827777777777754</v>
      </c>
      <c r="CJ470" s="1974">
        <f t="shared" si="320"/>
        <v>0</v>
      </c>
      <c r="CK470" s="2031">
        <f t="shared" si="320"/>
        <v>-0.67827777777777754</v>
      </c>
      <c r="CL470" s="2026">
        <v>1</v>
      </c>
      <c r="CM470" s="2026">
        <v>0.31805100441658357</v>
      </c>
      <c r="CN470" s="2026">
        <v>0.31805100441658357</v>
      </c>
      <c r="CO470" s="2026">
        <v>0.31805100441658357</v>
      </c>
      <c r="CP470" s="2035"/>
      <c r="CQ470" s="2036"/>
      <c r="CR470" s="2036"/>
      <c r="CS470" s="2036"/>
      <c r="CT470" s="2036"/>
      <c r="CU470" s="2036"/>
      <c r="CV470" s="1973">
        <v>1</v>
      </c>
      <c r="CW470" s="1973">
        <v>0</v>
      </c>
      <c r="CX470" s="2037">
        <v>12.104399999999998</v>
      </c>
      <c r="CY470" s="2037">
        <v>12.104399999999998</v>
      </c>
      <c r="CZ470" s="2037">
        <v>12.104399999999998</v>
      </c>
      <c r="DA470" s="2037">
        <v>12.104399999999998</v>
      </c>
      <c r="DJ470" s="1976">
        <v>12.104399999999998</v>
      </c>
      <c r="DK470" s="1973">
        <v>12.104399999999998</v>
      </c>
      <c r="DL470" s="1973">
        <v>12.104399999999998</v>
      </c>
      <c r="DM470" s="1973">
        <v>12.104399999999998</v>
      </c>
      <c r="DO470" s="2027">
        <v>15</v>
      </c>
      <c r="DP470" s="2144">
        <v>157.42805203348595</v>
      </c>
      <c r="DQ470" s="2145">
        <v>3.1434195269497256E-2</v>
      </c>
      <c r="DR470" s="2027">
        <v>-3.2860315522710426</v>
      </c>
      <c r="DS470" s="2124">
        <v>12.104399999999998</v>
      </c>
      <c r="DT470" s="2029">
        <v>12.104399999999998</v>
      </c>
      <c r="DU470" s="2029">
        <v>12.104399999999998</v>
      </c>
      <c r="DV470" s="2029">
        <v>12.104399999999998</v>
      </c>
      <c r="DW470" s="2124">
        <v>0</v>
      </c>
      <c r="DX470" s="2029">
        <v>0</v>
      </c>
      <c r="DY470" s="2029">
        <v>0</v>
      </c>
      <c r="DZ470" s="2029">
        <v>0</v>
      </c>
      <c r="EA470" s="2124">
        <v>57.5</v>
      </c>
      <c r="EB470" s="2029">
        <v>57.5</v>
      </c>
      <c r="EC470" s="2029">
        <v>57.5</v>
      </c>
      <c r="ED470" s="2029">
        <v>57.5</v>
      </c>
      <c r="EE470" s="2039">
        <f t="shared" si="296"/>
        <v>0</v>
      </c>
      <c r="EF470" s="2039">
        <f t="shared" si="296"/>
        <v>0</v>
      </c>
      <c r="EG470" s="2039">
        <f t="shared" si="296"/>
        <v>0</v>
      </c>
      <c r="EH470" s="2039">
        <f t="shared" si="296"/>
        <v>0</v>
      </c>
      <c r="EI470" s="2040">
        <f t="shared" si="273"/>
        <v>0</v>
      </c>
      <c r="EJ470" s="2040">
        <f t="shared" si="273"/>
        <v>0</v>
      </c>
      <c r="EK470" s="2040">
        <f t="shared" si="273"/>
        <v>0</v>
      </c>
      <c r="EL470" s="2040">
        <f t="shared" si="273"/>
        <v>0</v>
      </c>
      <c r="EM470" s="2040">
        <f t="shared" si="273"/>
        <v>0</v>
      </c>
      <c r="EN470" s="2040">
        <f t="shared" si="273"/>
        <v>0</v>
      </c>
      <c r="EO470" s="2040">
        <f t="shared" si="271"/>
        <v>0</v>
      </c>
      <c r="EP470" s="2040">
        <f t="shared" si="271"/>
        <v>0</v>
      </c>
      <c r="EQ470" s="2040">
        <f t="shared" si="271"/>
        <v>0</v>
      </c>
      <c r="ER470" s="2040">
        <f t="shared" si="271"/>
        <v>0</v>
      </c>
      <c r="ES470" s="2040">
        <f t="shared" si="271"/>
        <v>0</v>
      </c>
      <c r="ET470" s="2040">
        <f t="shared" si="271"/>
        <v>0</v>
      </c>
      <c r="EU470" s="2039">
        <f t="shared" si="297"/>
        <v>0</v>
      </c>
      <c r="EV470" s="2039">
        <f t="shared" si="298"/>
        <v>0</v>
      </c>
    </row>
    <row r="471" spans="1:152" x14ac:dyDescent="0.25">
      <c r="A471" s="2143" t="str">
        <f t="shared" si="311"/>
        <v>Ultra-low wattage T8 (25W) lamps and ballasts replacing existing T12 lamps and ballasts</v>
      </c>
      <c r="B471" s="1974" t="str">
        <f t="shared" si="311"/>
        <v xml:space="preserve">BPL42 </v>
      </c>
      <c r="C471" s="2027">
        <f t="shared" si="321"/>
        <v>15</v>
      </c>
      <c r="D471" s="2144">
        <v>223.83021550428805</v>
      </c>
      <c r="E471" s="2145">
        <v>3.5855263320402772E-2</v>
      </c>
      <c r="F471" s="2027">
        <v>-2.8886794006649192</v>
      </c>
      <c r="G471" s="1974" t="s">
        <v>2988</v>
      </c>
      <c r="H471" s="1974" t="s">
        <v>2988</v>
      </c>
      <c r="I471" s="2026">
        <v>0.9</v>
      </c>
      <c r="J471" s="2026">
        <v>0.9</v>
      </c>
      <c r="K471" s="2026">
        <v>0.9</v>
      </c>
      <c r="L471" s="2026">
        <v>0.9</v>
      </c>
      <c r="M471" s="2027">
        <f t="shared" si="322"/>
        <v>201.44719395385926</v>
      </c>
      <c r="N471" s="2027">
        <f t="shared" si="322"/>
        <v>201.44719395385926</v>
      </c>
      <c r="O471" s="2027">
        <f t="shared" si="322"/>
        <v>201.44719395385926</v>
      </c>
      <c r="P471" s="2027">
        <f t="shared" si="322"/>
        <v>201.44719395385926</v>
      </c>
      <c r="Q471" s="2026">
        <v>0.9</v>
      </c>
      <c r="R471" s="2026">
        <v>0.9</v>
      </c>
      <c r="S471" s="2026">
        <v>0.9</v>
      </c>
      <c r="T471" s="2026">
        <v>0.9</v>
      </c>
      <c r="U471" s="2028">
        <f t="shared" si="323"/>
        <v>3.2269736988362496E-2</v>
      </c>
      <c r="V471" s="2028">
        <f t="shared" si="323"/>
        <v>3.2269736988362496E-2</v>
      </c>
      <c r="W471" s="2028">
        <f t="shared" si="323"/>
        <v>3.2269736988362496E-2</v>
      </c>
      <c r="X471" s="2028">
        <f t="shared" si="323"/>
        <v>3.2269736988362496E-2</v>
      </c>
      <c r="Y471" s="2026">
        <v>0.9</v>
      </c>
      <c r="Z471" s="2026">
        <v>0.9</v>
      </c>
      <c r="AA471" s="2026">
        <v>0.9</v>
      </c>
      <c r="AB471" s="2026">
        <v>0.9</v>
      </c>
      <c r="AC471" s="2027">
        <f t="shared" si="324"/>
        <v>-2.5998114605984273</v>
      </c>
      <c r="AD471" s="2027">
        <f t="shared" si="324"/>
        <v>-2.5998114605984273</v>
      </c>
      <c r="AE471" s="2027">
        <f t="shared" si="324"/>
        <v>-2.5998114605984273</v>
      </c>
      <c r="AF471" s="2027">
        <f t="shared" si="324"/>
        <v>-2.5998114605984273</v>
      </c>
      <c r="AG471" s="2027">
        <v>16</v>
      </c>
      <c r="AH471" s="2027">
        <v>0</v>
      </c>
      <c r="AI471" s="2027">
        <v>0</v>
      </c>
      <c r="AJ471" s="2027">
        <v>0</v>
      </c>
      <c r="AK471" s="2027">
        <f t="shared" si="312"/>
        <v>3223.1551032617481</v>
      </c>
      <c r="AL471" s="2027">
        <f t="shared" si="313"/>
        <v>0</v>
      </c>
      <c r="AM471" s="2027">
        <f t="shared" si="313"/>
        <v>0</v>
      </c>
      <c r="AN471" s="2027">
        <f t="shared" si="313"/>
        <v>0</v>
      </c>
      <c r="AO471" s="2027">
        <f t="shared" si="325"/>
        <v>-41.596983369574836</v>
      </c>
      <c r="AP471" s="2027">
        <f t="shared" si="314"/>
        <v>0</v>
      </c>
      <c r="AQ471" s="2027">
        <f t="shared" si="314"/>
        <v>0</v>
      </c>
      <c r="AR471" s="2027">
        <f t="shared" si="314"/>
        <v>0</v>
      </c>
      <c r="AS471" s="2124">
        <f t="shared" si="326"/>
        <v>14.783999999999999</v>
      </c>
      <c r="AT471" s="2029">
        <f t="shared" si="315"/>
        <v>14.783999999999999</v>
      </c>
      <c r="AU471" s="2029">
        <f t="shared" si="315"/>
        <v>14.783999999999999</v>
      </c>
      <c r="AV471" s="2029">
        <f t="shared" si="315"/>
        <v>14.783999999999999</v>
      </c>
      <c r="AW471" s="2124">
        <f t="shared" si="316"/>
        <v>0</v>
      </c>
      <c r="AX471" s="2029">
        <f t="shared" si="317"/>
        <v>0</v>
      </c>
      <c r="AY471" s="2029">
        <f t="shared" si="317"/>
        <v>0</v>
      </c>
      <c r="AZ471" s="2029">
        <f t="shared" si="317"/>
        <v>0</v>
      </c>
      <c r="BA471" s="2124">
        <f t="shared" si="327"/>
        <v>57.5</v>
      </c>
      <c r="BB471" s="2029">
        <f t="shared" si="327"/>
        <v>57.5</v>
      </c>
      <c r="BC471" s="2029">
        <f t="shared" si="327"/>
        <v>57.5</v>
      </c>
      <c r="BD471" s="2029">
        <f t="shared" si="327"/>
        <v>57.5</v>
      </c>
      <c r="BE471" s="2030">
        <f t="shared" si="328"/>
        <v>236.54399999999998</v>
      </c>
      <c r="BF471" s="2030">
        <f t="shared" si="328"/>
        <v>0</v>
      </c>
      <c r="BG471" s="2030">
        <f t="shared" si="328"/>
        <v>0</v>
      </c>
      <c r="BH471" s="2030">
        <f t="shared" si="328"/>
        <v>0</v>
      </c>
      <c r="BI471" s="2030">
        <f t="shared" si="329"/>
        <v>0</v>
      </c>
      <c r="BJ471" s="2030">
        <f t="shared" si="329"/>
        <v>0</v>
      </c>
      <c r="BK471" s="2030">
        <f t="shared" si="329"/>
        <v>0</v>
      </c>
      <c r="BL471" s="2030">
        <f t="shared" si="329"/>
        <v>0</v>
      </c>
      <c r="BM471" s="2125"/>
      <c r="BN471" s="2125"/>
      <c r="BO471" s="2125"/>
      <c r="BP471" s="2125"/>
      <c r="BQ471" s="2125"/>
      <c r="BR471" s="2125"/>
      <c r="BS471" s="2125"/>
      <c r="BT471" s="2125"/>
      <c r="BU471" s="2029"/>
      <c r="BV471" s="2029"/>
      <c r="BW471" s="2029"/>
      <c r="BX471" s="2029"/>
      <c r="BY471" s="2029"/>
      <c r="BZ471" s="2032"/>
      <c r="CA471" s="1974">
        <f t="shared" si="319"/>
        <v>0</v>
      </c>
      <c r="CB471" s="1974">
        <f t="shared" si="319"/>
        <v>0</v>
      </c>
      <c r="CC471" s="1974">
        <f t="shared" si="319"/>
        <v>0</v>
      </c>
      <c r="CD471" s="1974">
        <f t="shared" si="319"/>
        <v>0</v>
      </c>
      <c r="CE471" s="1974">
        <f t="shared" si="319"/>
        <v>1</v>
      </c>
      <c r="CF471" s="2033">
        <v>1.347387388391899E-5</v>
      </c>
      <c r="CG471" s="2026">
        <v>-1.551902043341527E-5</v>
      </c>
      <c r="CH471" s="2009">
        <f t="shared" si="320"/>
        <v>1</v>
      </c>
      <c r="CI471" s="2031">
        <f t="shared" si="320"/>
        <v>0.67827777777777754</v>
      </c>
      <c r="CJ471" s="1974">
        <f t="shared" si="320"/>
        <v>0</v>
      </c>
      <c r="CK471" s="2031">
        <f t="shared" si="320"/>
        <v>-0.67827777777777754</v>
      </c>
      <c r="CL471" s="2026">
        <v>1</v>
      </c>
      <c r="CM471" s="2026">
        <v>0.3</v>
      </c>
      <c r="CN471" s="2026">
        <v>0.3</v>
      </c>
      <c r="CO471" s="2026">
        <v>0.3</v>
      </c>
      <c r="CP471" s="2035"/>
      <c r="CQ471" s="2036"/>
      <c r="CR471" s="2036"/>
      <c r="CS471" s="2036"/>
      <c r="CT471" s="2036"/>
      <c r="CU471" s="2036"/>
      <c r="CV471" s="1973">
        <v>1</v>
      </c>
      <c r="CW471" s="1973">
        <v>0</v>
      </c>
      <c r="CX471" s="2037">
        <v>14.783999999999999</v>
      </c>
      <c r="CY471" s="2037">
        <v>14.783999999999999</v>
      </c>
      <c r="CZ471" s="2037">
        <v>14.783999999999999</v>
      </c>
      <c r="DA471" s="2037">
        <v>14.783999999999999</v>
      </c>
      <c r="DJ471" s="1976">
        <v>14.783999999999999</v>
      </c>
      <c r="DK471" s="1973">
        <v>14.783999999999999</v>
      </c>
      <c r="DL471" s="1973">
        <v>14.783999999999999</v>
      </c>
      <c r="DM471" s="1973">
        <v>14.783999999999999</v>
      </c>
      <c r="DO471" s="2027">
        <v>15</v>
      </c>
      <c r="DP471" s="2144">
        <v>223.83021550428805</v>
      </c>
      <c r="DQ471" s="2145">
        <v>3.5855263320402772E-2</v>
      </c>
      <c r="DR471" s="2027">
        <v>-2.8886794006649192</v>
      </c>
      <c r="DS471" s="2124">
        <v>14.783999999999999</v>
      </c>
      <c r="DT471" s="2029">
        <v>14.783999999999999</v>
      </c>
      <c r="DU471" s="2029">
        <v>14.783999999999999</v>
      </c>
      <c r="DV471" s="2029">
        <v>14.783999999999999</v>
      </c>
      <c r="DW471" s="2124">
        <v>0</v>
      </c>
      <c r="DX471" s="2029">
        <v>0</v>
      </c>
      <c r="DY471" s="2029">
        <v>0</v>
      </c>
      <c r="DZ471" s="2029">
        <v>0</v>
      </c>
      <c r="EA471" s="2124">
        <v>57.5</v>
      </c>
      <c r="EB471" s="2029">
        <v>57.5</v>
      </c>
      <c r="EC471" s="2029">
        <v>57.5</v>
      </c>
      <c r="ED471" s="2029">
        <v>57.5</v>
      </c>
      <c r="EE471" s="2039">
        <f t="shared" si="296"/>
        <v>0</v>
      </c>
      <c r="EF471" s="2039">
        <f t="shared" si="296"/>
        <v>0</v>
      </c>
      <c r="EG471" s="2039">
        <f t="shared" si="296"/>
        <v>0</v>
      </c>
      <c r="EH471" s="2039">
        <f t="shared" si="296"/>
        <v>0</v>
      </c>
      <c r="EI471" s="2040">
        <f t="shared" si="273"/>
        <v>0</v>
      </c>
      <c r="EJ471" s="2040">
        <f t="shared" si="273"/>
        <v>0</v>
      </c>
      <c r="EK471" s="2040">
        <f t="shared" si="273"/>
        <v>0</v>
      </c>
      <c r="EL471" s="2040">
        <f t="shared" si="273"/>
        <v>0</v>
      </c>
      <c r="EM471" s="2040">
        <f t="shared" si="273"/>
        <v>0</v>
      </c>
      <c r="EN471" s="2040">
        <f t="shared" si="273"/>
        <v>0</v>
      </c>
      <c r="EO471" s="2040">
        <f t="shared" si="271"/>
        <v>0</v>
      </c>
      <c r="EP471" s="2040">
        <f t="shared" si="271"/>
        <v>0</v>
      </c>
      <c r="EQ471" s="2040">
        <f t="shared" si="271"/>
        <v>0</v>
      </c>
      <c r="ER471" s="2040">
        <f t="shared" si="271"/>
        <v>0</v>
      </c>
      <c r="ES471" s="2040">
        <f t="shared" si="271"/>
        <v>0</v>
      </c>
      <c r="ET471" s="2040">
        <f t="shared" si="271"/>
        <v>0</v>
      </c>
      <c r="EU471" s="2039">
        <f t="shared" si="297"/>
        <v>0</v>
      </c>
      <c r="EV471" s="2039">
        <f t="shared" si="298"/>
        <v>0</v>
      </c>
    </row>
    <row r="472" spans="1:152" x14ac:dyDescent="0.25">
      <c r="A472" s="2143" t="str">
        <f t="shared" si="311"/>
        <v>T5 or reduced wattage T8 relamp and reballast upgrading an existing 32W T8</v>
      </c>
      <c r="B472" s="1974" t="str">
        <f t="shared" si="311"/>
        <v xml:space="preserve">BPL44 </v>
      </c>
      <c r="C472" s="2027">
        <f t="shared" si="321"/>
        <v>15</v>
      </c>
      <c r="D472" s="2144">
        <v>54.266720902047183</v>
      </c>
      <c r="E472" s="2145">
        <v>1.0164417671374734E-2</v>
      </c>
      <c r="F472" s="2027">
        <v>-1.2747637537728052</v>
      </c>
      <c r="G472" s="1974" t="s">
        <v>2988</v>
      </c>
      <c r="H472" s="1974" t="s">
        <v>2988</v>
      </c>
      <c r="I472" s="2026">
        <v>0.9</v>
      </c>
      <c r="J472" s="2026">
        <v>0.9</v>
      </c>
      <c r="K472" s="2026">
        <v>0.9</v>
      </c>
      <c r="L472" s="2026">
        <v>0.9</v>
      </c>
      <c r="M472" s="2027">
        <f t="shared" si="322"/>
        <v>48.840048811842465</v>
      </c>
      <c r="N472" s="2027">
        <f t="shared" si="322"/>
        <v>48.840048811842465</v>
      </c>
      <c r="O472" s="2027">
        <f t="shared" si="322"/>
        <v>48.840048811842465</v>
      </c>
      <c r="P472" s="2027">
        <f t="shared" si="322"/>
        <v>48.840048811842465</v>
      </c>
      <c r="Q472" s="2026">
        <v>0.9</v>
      </c>
      <c r="R472" s="2026">
        <v>0.9</v>
      </c>
      <c r="S472" s="2026">
        <v>0.9</v>
      </c>
      <c r="T472" s="2026">
        <v>0.9</v>
      </c>
      <c r="U472" s="2028">
        <f t="shared" si="323"/>
        <v>9.1479759042372606E-3</v>
      </c>
      <c r="V472" s="2028">
        <f t="shared" si="323"/>
        <v>9.1479759042372606E-3</v>
      </c>
      <c r="W472" s="2028">
        <f t="shared" si="323"/>
        <v>9.1479759042372606E-3</v>
      </c>
      <c r="X472" s="2028">
        <f t="shared" si="323"/>
        <v>9.1479759042372606E-3</v>
      </c>
      <c r="Y472" s="2026">
        <v>0.9</v>
      </c>
      <c r="Z472" s="2026">
        <v>0.9</v>
      </c>
      <c r="AA472" s="2026">
        <v>0.9</v>
      </c>
      <c r="AB472" s="2026">
        <v>0.9</v>
      </c>
      <c r="AC472" s="2027">
        <f t="shared" si="324"/>
        <v>-1.1472873783955246</v>
      </c>
      <c r="AD472" s="2027">
        <f t="shared" si="324"/>
        <v>-1.1472873783955246</v>
      </c>
      <c r="AE472" s="2027">
        <f t="shared" si="324"/>
        <v>-1.1472873783955246</v>
      </c>
      <c r="AF472" s="2027">
        <f t="shared" si="324"/>
        <v>-1.1472873783955246</v>
      </c>
      <c r="AG472" s="2027">
        <v>88</v>
      </c>
      <c r="AH472" s="2027">
        <v>0</v>
      </c>
      <c r="AI472" s="2027">
        <v>0</v>
      </c>
      <c r="AJ472" s="2027">
        <v>0</v>
      </c>
      <c r="AK472" s="2027">
        <f t="shared" si="312"/>
        <v>4297.924295442137</v>
      </c>
      <c r="AL472" s="2027">
        <f t="shared" si="313"/>
        <v>0</v>
      </c>
      <c r="AM472" s="2027">
        <f t="shared" si="313"/>
        <v>0</v>
      </c>
      <c r="AN472" s="2027">
        <f t="shared" si="313"/>
        <v>0</v>
      </c>
      <c r="AO472" s="2027">
        <f t="shared" si="325"/>
        <v>-100.96128929880616</v>
      </c>
      <c r="AP472" s="2027">
        <f t="shared" si="314"/>
        <v>0</v>
      </c>
      <c r="AQ472" s="2027">
        <f t="shared" si="314"/>
        <v>0</v>
      </c>
      <c r="AR472" s="2027">
        <f t="shared" si="314"/>
        <v>0</v>
      </c>
      <c r="AS472" s="2124">
        <f t="shared" si="326"/>
        <v>7.4592000000000001</v>
      </c>
      <c r="AT472" s="2029">
        <f t="shared" si="315"/>
        <v>7.4592000000000001</v>
      </c>
      <c r="AU472" s="2029">
        <f t="shared" si="315"/>
        <v>7.4592000000000001</v>
      </c>
      <c r="AV472" s="2029">
        <f t="shared" si="315"/>
        <v>7.4592000000000001</v>
      </c>
      <c r="AW472" s="2124">
        <f t="shared" si="316"/>
        <v>0</v>
      </c>
      <c r="AX472" s="2029">
        <f t="shared" si="317"/>
        <v>0</v>
      </c>
      <c r="AY472" s="2029">
        <f t="shared" si="317"/>
        <v>0</v>
      </c>
      <c r="AZ472" s="2029">
        <f t="shared" si="317"/>
        <v>0</v>
      </c>
      <c r="BA472" s="2124">
        <f t="shared" si="327"/>
        <v>56.25</v>
      </c>
      <c r="BB472" s="2029">
        <f t="shared" si="327"/>
        <v>56.25</v>
      </c>
      <c r="BC472" s="2029">
        <f t="shared" si="327"/>
        <v>56.25</v>
      </c>
      <c r="BD472" s="2029">
        <f t="shared" si="327"/>
        <v>56.25</v>
      </c>
      <c r="BE472" s="2030">
        <f t="shared" si="328"/>
        <v>656.40959999999995</v>
      </c>
      <c r="BF472" s="2030">
        <f t="shared" si="328"/>
        <v>0</v>
      </c>
      <c r="BG472" s="2030">
        <f t="shared" si="328"/>
        <v>0</v>
      </c>
      <c r="BH472" s="2030">
        <f t="shared" si="328"/>
        <v>0</v>
      </c>
      <c r="BI472" s="2030">
        <f t="shared" si="329"/>
        <v>0</v>
      </c>
      <c r="BJ472" s="2030">
        <f t="shared" si="329"/>
        <v>0</v>
      </c>
      <c r="BK472" s="2030">
        <f t="shared" si="329"/>
        <v>0</v>
      </c>
      <c r="BL472" s="2030">
        <f t="shared" si="329"/>
        <v>0</v>
      </c>
      <c r="BM472" s="2125"/>
      <c r="BN472" s="2125"/>
      <c r="BO472" s="2125"/>
      <c r="BP472" s="2125"/>
      <c r="BQ472" s="2125"/>
      <c r="BR472" s="2125"/>
      <c r="BS472" s="2125"/>
      <c r="BT472" s="2125"/>
      <c r="BU472" s="2029"/>
      <c r="BV472" s="2029"/>
      <c r="BW472" s="2029"/>
      <c r="BX472" s="2029"/>
      <c r="BY472" s="2029"/>
      <c r="BZ472" s="2032"/>
      <c r="CA472" s="1974">
        <f t="shared" si="319"/>
        <v>0</v>
      </c>
      <c r="CB472" s="1974">
        <f t="shared" si="319"/>
        <v>0</v>
      </c>
      <c r="CC472" s="1974">
        <f t="shared" si="319"/>
        <v>0</v>
      </c>
      <c r="CD472" s="1974">
        <f t="shared" si="319"/>
        <v>0</v>
      </c>
      <c r="CE472" s="1974">
        <f t="shared" si="319"/>
        <v>0</v>
      </c>
      <c r="CF472" s="2033">
        <v>1.7966771087378221E-5</v>
      </c>
      <c r="CG472" s="2026">
        <v>-3.7666681203573484E-5</v>
      </c>
      <c r="CH472" s="2009">
        <f t="shared" si="320"/>
        <v>1</v>
      </c>
      <c r="CI472" s="2031">
        <f t="shared" si="320"/>
        <v>-1.1477222222222219</v>
      </c>
      <c r="CJ472" s="1974">
        <f t="shared" si="320"/>
        <v>0</v>
      </c>
      <c r="CK472" s="2031">
        <f t="shared" si="320"/>
        <v>1.1477222222222219</v>
      </c>
      <c r="CL472" s="2026">
        <v>1</v>
      </c>
      <c r="CM472" s="2026">
        <v>1</v>
      </c>
      <c r="CN472" s="2026">
        <v>1</v>
      </c>
      <c r="CO472" s="2026">
        <v>1</v>
      </c>
      <c r="CP472" s="2035"/>
      <c r="CQ472" s="2036"/>
      <c r="CR472" s="2036"/>
      <c r="CS472" s="2036"/>
      <c r="CT472" s="2036"/>
      <c r="CU472" s="2036"/>
      <c r="CV472" s="1973">
        <v>1</v>
      </c>
      <c r="CW472" s="1973">
        <v>0</v>
      </c>
      <c r="CX472" s="2037">
        <v>7.4592000000000001</v>
      </c>
      <c r="CY472" s="2037">
        <v>7.4592000000000001</v>
      </c>
      <c r="CZ472" s="2037">
        <v>7.4592000000000001</v>
      </c>
      <c r="DA472" s="2037">
        <v>7.4592000000000001</v>
      </c>
      <c r="DJ472" s="1976">
        <v>7.4592000000000001</v>
      </c>
      <c r="DK472" s="1973">
        <v>7.4592000000000001</v>
      </c>
      <c r="DL472" s="1973">
        <v>7.4592000000000001</v>
      </c>
      <c r="DM472" s="1973">
        <v>7.4592000000000001</v>
      </c>
      <c r="DO472" s="2027">
        <v>15</v>
      </c>
      <c r="DP472" s="2144">
        <v>54.266720902047183</v>
      </c>
      <c r="DQ472" s="2145">
        <v>1.0164417671374734E-2</v>
      </c>
      <c r="DR472" s="2027">
        <v>-1.2747637537728052</v>
      </c>
      <c r="DS472" s="2124">
        <v>7.4592000000000001</v>
      </c>
      <c r="DT472" s="2029">
        <v>7.4592000000000001</v>
      </c>
      <c r="DU472" s="2029">
        <v>7.4592000000000001</v>
      </c>
      <c r="DV472" s="2029">
        <v>7.4592000000000001</v>
      </c>
      <c r="DW472" s="2124">
        <v>0</v>
      </c>
      <c r="DX472" s="2029">
        <v>0</v>
      </c>
      <c r="DY472" s="2029">
        <v>0</v>
      </c>
      <c r="DZ472" s="2029">
        <v>0</v>
      </c>
      <c r="EA472" s="2124">
        <v>56.25</v>
      </c>
      <c r="EB472" s="2029">
        <v>56.25</v>
      </c>
      <c r="EC472" s="2029">
        <v>56.25</v>
      </c>
      <c r="ED472" s="2029">
        <v>56.25</v>
      </c>
      <c r="EE472" s="2039">
        <f t="shared" si="296"/>
        <v>0</v>
      </c>
      <c r="EF472" s="2039">
        <f t="shared" si="296"/>
        <v>0</v>
      </c>
      <c r="EG472" s="2039">
        <f t="shared" si="296"/>
        <v>0</v>
      </c>
      <c r="EH472" s="2039">
        <f t="shared" si="296"/>
        <v>0</v>
      </c>
      <c r="EI472" s="2040">
        <f t="shared" si="273"/>
        <v>0</v>
      </c>
      <c r="EJ472" s="2040">
        <f t="shared" si="273"/>
        <v>0</v>
      </c>
      <c r="EK472" s="2040">
        <f t="shared" si="273"/>
        <v>0</v>
      </c>
      <c r="EL472" s="2040">
        <f t="shared" si="273"/>
        <v>0</v>
      </c>
      <c r="EM472" s="2040">
        <f t="shared" si="273"/>
        <v>0</v>
      </c>
      <c r="EN472" s="2040">
        <f t="shared" si="273"/>
        <v>0</v>
      </c>
      <c r="EO472" s="2040">
        <f t="shared" si="271"/>
        <v>0</v>
      </c>
      <c r="EP472" s="2040">
        <f t="shared" si="271"/>
        <v>0</v>
      </c>
      <c r="EQ472" s="2040">
        <f t="shared" si="271"/>
        <v>0</v>
      </c>
      <c r="ER472" s="2040">
        <f t="shared" si="271"/>
        <v>0</v>
      </c>
      <c r="ES472" s="2040">
        <f t="shared" si="271"/>
        <v>0</v>
      </c>
      <c r="ET472" s="2040">
        <f t="shared" si="271"/>
        <v>0</v>
      </c>
      <c r="EU472" s="2039">
        <f t="shared" si="297"/>
        <v>0</v>
      </c>
      <c r="EV472" s="2039">
        <f t="shared" si="298"/>
        <v>0</v>
      </c>
    </row>
    <row r="473" spans="1:152" x14ac:dyDescent="0.25">
      <c r="A473" s="2143" t="str">
        <f t="shared" si="311"/>
        <v>2-foot T8 lamps (17W) and ballasts replacing 2-foot T12 lamps/ballasts OR replacing 4-foot T12 U-tube lamps/ballasts</v>
      </c>
      <c r="B473" s="1974" t="str">
        <f t="shared" si="311"/>
        <v xml:space="preserve">BPL66 </v>
      </c>
      <c r="C473" s="2027">
        <f t="shared" si="321"/>
        <v>15</v>
      </c>
      <c r="D473" s="2144">
        <v>172.49652076776721</v>
      </c>
      <c r="E473" s="2145">
        <v>3.2541272579253697E-2</v>
      </c>
      <c r="F473" s="2027">
        <v>-2.8002599595061124</v>
      </c>
      <c r="G473" s="1974" t="s">
        <v>2988</v>
      </c>
      <c r="H473" s="1974" t="s">
        <v>2988</v>
      </c>
      <c r="I473" s="2026">
        <v>0.9</v>
      </c>
      <c r="J473" s="2026">
        <v>0.9</v>
      </c>
      <c r="K473" s="2026">
        <v>0.9</v>
      </c>
      <c r="L473" s="2026">
        <v>0.9</v>
      </c>
      <c r="M473" s="2027">
        <f t="shared" si="322"/>
        <v>155.24686869099048</v>
      </c>
      <c r="N473" s="2027">
        <f t="shared" si="322"/>
        <v>155.24686869099048</v>
      </c>
      <c r="O473" s="2027">
        <f t="shared" si="322"/>
        <v>155.24686869099048</v>
      </c>
      <c r="P473" s="2027">
        <f t="shared" si="322"/>
        <v>155.24686869099048</v>
      </c>
      <c r="Q473" s="2026">
        <v>0.9</v>
      </c>
      <c r="R473" s="2026">
        <v>0.9</v>
      </c>
      <c r="S473" s="2026">
        <v>0.9</v>
      </c>
      <c r="T473" s="2026">
        <v>0.9</v>
      </c>
      <c r="U473" s="2028">
        <f t="shared" si="323"/>
        <v>2.9287145321328329E-2</v>
      </c>
      <c r="V473" s="2028">
        <f t="shared" si="323"/>
        <v>2.9287145321328329E-2</v>
      </c>
      <c r="W473" s="2028">
        <f t="shared" si="323"/>
        <v>2.9287145321328329E-2</v>
      </c>
      <c r="X473" s="2028">
        <f t="shared" si="323"/>
        <v>2.9287145321328329E-2</v>
      </c>
      <c r="Y473" s="2026">
        <v>0.9</v>
      </c>
      <c r="Z473" s="2026">
        <v>0.9</v>
      </c>
      <c r="AA473" s="2026">
        <v>0.9</v>
      </c>
      <c r="AB473" s="2026">
        <v>0.9</v>
      </c>
      <c r="AC473" s="2027">
        <f t="shared" si="324"/>
        <v>-2.5202339635555013</v>
      </c>
      <c r="AD473" s="2027">
        <f t="shared" si="324"/>
        <v>-2.5202339635555013</v>
      </c>
      <c r="AE473" s="2027">
        <f t="shared" si="324"/>
        <v>-2.5202339635555013</v>
      </c>
      <c r="AF473" s="2027">
        <f t="shared" si="324"/>
        <v>-2.5202339635555013</v>
      </c>
      <c r="AG473" s="2027">
        <v>2</v>
      </c>
      <c r="AH473" s="2027">
        <v>0</v>
      </c>
      <c r="AI473" s="2027">
        <v>0</v>
      </c>
      <c r="AJ473" s="2027">
        <v>0</v>
      </c>
      <c r="AK473" s="2027">
        <f t="shared" si="312"/>
        <v>310.49373738198096</v>
      </c>
      <c r="AL473" s="2027">
        <f t="shared" si="313"/>
        <v>0</v>
      </c>
      <c r="AM473" s="2027">
        <f t="shared" si="313"/>
        <v>0</v>
      </c>
      <c r="AN473" s="2027">
        <f t="shared" si="313"/>
        <v>0</v>
      </c>
      <c r="AO473" s="2027">
        <f t="shared" si="325"/>
        <v>-5.0404679271110027</v>
      </c>
      <c r="AP473" s="2027">
        <f t="shared" si="314"/>
        <v>0</v>
      </c>
      <c r="AQ473" s="2027">
        <f t="shared" si="314"/>
        <v>0</v>
      </c>
      <c r="AR473" s="2027">
        <f t="shared" si="314"/>
        <v>0</v>
      </c>
      <c r="AS473" s="2124">
        <f t="shared" si="326"/>
        <v>1.5749999999999995</v>
      </c>
      <c r="AT473" s="2029">
        <f t="shared" si="315"/>
        <v>1.5749999999999995</v>
      </c>
      <c r="AU473" s="2029">
        <f t="shared" si="315"/>
        <v>1.5749999999999995</v>
      </c>
      <c r="AV473" s="2029">
        <f t="shared" si="315"/>
        <v>1.5749999999999995</v>
      </c>
      <c r="AW473" s="2124">
        <f t="shared" si="316"/>
        <v>0</v>
      </c>
      <c r="AX473" s="2029">
        <f t="shared" si="317"/>
        <v>0</v>
      </c>
      <c r="AY473" s="2029">
        <f t="shared" si="317"/>
        <v>0</v>
      </c>
      <c r="AZ473" s="2029">
        <f t="shared" si="317"/>
        <v>0</v>
      </c>
      <c r="BA473" s="2124">
        <f t="shared" si="327"/>
        <v>57.5</v>
      </c>
      <c r="BB473" s="2029">
        <f t="shared" si="327"/>
        <v>57.5</v>
      </c>
      <c r="BC473" s="2029">
        <f t="shared" si="327"/>
        <v>57.5</v>
      </c>
      <c r="BD473" s="2029">
        <f t="shared" si="327"/>
        <v>57.5</v>
      </c>
      <c r="BE473" s="2030">
        <f t="shared" si="328"/>
        <v>3.149999999999999</v>
      </c>
      <c r="BF473" s="2030">
        <f t="shared" si="328"/>
        <v>0</v>
      </c>
      <c r="BG473" s="2030">
        <f t="shared" si="328"/>
        <v>0</v>
      </c>
      <c r="BH473" s="2030">
        <f t="shared" si="328"/>
        <v>0</v>
      </c>
      <c r="BI473" s="2030">
        <f t="shared" si="329"/>
        <v>0</v>
      </c>
      <c r="BJ473" s="2030">
        <f t="shared" si="329"/>
        <v>0</v>
      </c>
      <c r="BK473" s="2030">
        <f t="shared" si="329"/>
        <v>0</v>
      </c>
      <c r="BL473" s="2030">
        <f t="shared" si="329"/>
        <v>0</v>
      </c>
      <c r="BM473" s="2125"/>
      <c r="BN473" s="2125"/>
      <c r="BO473" s="2125"/>
      <c r="BP473" s="2125"/>
      <c r="BQ473" s="2125"/>
      <c r="BR473" s="2125"/>
      <c r="BS473" s="2125"/>
      <c r="BT473" s="2125"/>
      <c r="BU473" s="2029"/>
      <c r="BV473" s="2029"/>
      <c r="BW473" s="2029"/>
      <c r="BX473" s="2029"/>
      <c r="BY473" s="2029"/>
      <c r="BZ473" s="2032"/>
      <c r="CA473" s="1974">
        <f t="shared" si="319"/>
        <v>0</v>
      </c>
      <c r="CB473" s="1974">
        <f t="shared" si="319"/>
        <v>0</v>
      </c>
      <c r="CC473" s="1974">
        <f t="shared" si="319"/>
        <v>0</v>
      </c>
      <c r="CD473" s="1974">
        <f t="shared" si="319"/>
        <v>0</v>
      </c>
      <c r="CE473" s="1974">
        <f t="shared" si="319"/>
        <v>1</v>
      </c>
      <c r="CF473" s="2033">
        <v>1.2979683959353458E-6</v>
      </c>
      <c r="CG473" s="2026">
        <v>-1.8804999405804143E-6</v>
      </c>
      <c r="CH473" s="2009">
        <f t="shared" si="320"/>
        <v>1</v>
      </c>
      <c r="CI473" s="2031">
        <f t="shared" si="320"/>
        <v>0.67827777777777754</v>
      </c>
      <c r="CJ473" s="1974">
        <f t="shared" si="320"/>
        <v>0</v>
      </c>
      <c r="CK473" s="2031">
        <f t="shared" si="320"/>
        <v>-0.67827777777777754</v>
      </c>
      <c r="CL473" s="2026">
        <v>1</v>
      </c>
      <c r="CM473" s="2026">
        <v>0.45</v>
      </c>
      <c r="CN473" s="2026">
        <v>0.45</v>
      </c>
      <c r="CO473" s="2026">
        <v>0.45</v>
      </c>
      <c r="CP473" s="2035"/>
      <c r="CQ473" s="2036"/>
      <c r="CR473" s="2036"/>
      <c r="CS473" s="2036"/>
      <c r="CT473" s="2036"/>
      <c r="CU473" s="2036"/>
      <c r="CV473" s="1973">
        <v>1</v>
      </c>
      <c r="CW473" s="1973">
        <v>0</v>
      </c>
      <c r="CX473" s="2037">
        <v>1.5749999999999995</v>
      </c>
      <c r="CY473" s="2037">
        <v>1.5749999999999995</v>
      </c>
      <c r="CZ473" s="2037">
        <v>1.5749999999999995</v>
      </c>
      <c r="DA473" s="2037">
        <v>1.5749999999999995</v>
      </c>
      <c r="DJ473" s="1976">
        <v>1.5749999999999995</v>
      </c>
      <c r="DK473" s="1973">
        <v>1.5749999999999995</v>
      </c>
      <c r="DL473" s="1973">
        <v>1.5749999999999995</v>
      </c>
      <c r="DM473" s="1973">
        <v>1.5749999999999995</v>
      </c>
      <c r="DO473" s="2027">
        <v>15</v>
      </c>
      <c r="DP473" s="2144">
        <v>172.49652076776721</v>
      </c>
      <c r="DQ473" s="2145">
        <v>3.2541272579253697E-2</v>
      </c>
      <c r="DR473" s="2027">
        <v>-2.8002599595061124</v>
      </c>
      <c r="DS473" s="2124">
        <v>1.5749999999999995</v>
      </c>
      <c r="DT473" s="2029">
        <v>1.5749999999999995</v>
      </c>
      <c r="DU473" s="2029">
        <v>1.5749999999999995</v>
      </c>
      <c r="DV473" s="2029">
        <v>1.5749999999999995</v>
      </c>
      <c r="DW473" s="2124">
        <v>0</v>
      </c>
      <c r="DX473" s="2029">
        <v>0</v>
      </c>
      <c r="DY473" s="2029">
        <v>0</v>
      </c>
      <c r="DZ473" s="2029">
        <v>0</v>
      </c>
      <c r="EA473" s="2124">
        <v>57.5</v>
      </c>
      <c r="EB473" s="2029">
        <v>57.5</v>
      </c>
      <c r="EC473" s="2029">
        <v>57.5</v>
      </c>
      <c r="ED473" s="2029">
        <v>57.5</v>
      </c>
      <c r="EE473" s="2039">
        <f t="shared" si="296"/>
        <v>0</v>
      </c>
      <c r="EF473" s="2039">
        <f t="shared" si="296"/>
        <v>0</v>
      </c>
      <c r="EG473" s="2039">
        <f t="shared" si="296"/>
        <v>0</v>
      </c>
      <c r="EH473" s="2039">
        <f t="shared" si="296"/>
        <v>0</v>
      </c>
      <c r="EI473" s="2040">
        <f t="shared" si="273"/>
        <v>0</v>
      </c>
      <c r="EJ473" s="2040">
        <f t="shared" si="273"/>
        <v>0</v>
      </c>
      <c r="EK473" s="2040">
        <f t="shared" si="273"/>
        <v>0</v>
      </c>
      <c r="EL473" s="2040">
        <f t="shared" si="273"/>
        <v>0</v>
      </c>
      <c r="EM473" s="2040">
        <f t="shared" si="273"/>
        <v>0</v>
      </c>
      <c r="EN473" s="2040">
        <f t="shared" si="273"/>
        <v>0</v>
      </c>
      <c r="EO473" s="2040">
        <f t="shared" si="271"/>
        <v>0</v>
      </c>
      <c r="EP473" s="2040">
        <f t="shared" si="271"/>
        <v>0</v>
      </c>
      <c r="EQ473" s="2040">
        <f t="shared" si="271"/>
        <v>0</v>
      </c>
      <c r="ER473" s="2040">
        <f t="shared" si="271"/>
        <v>0</v>
      </c>
      <c r="ES473" s="2040">
        <f t="shared" si="271"/>
        <v>0</v>
      </c>
      <c r="ET473" s="2040">
        <f t="shared" si="271"/>
        <v>0</v>
      </c>
      <c r="EU473" s="2039">
        <f t="shared" si="297"/>
        <v>0</v>
      </c>
      <c r="EV473" s="2039">
        <f t="shared" si="298"/>
        <v>0</v>
      </c>
    </row>
    <row r="474" spans="1:152" x14ac:dyDescent="0.25">
      <c r="A474" s="2143" t="str">
        <f t="shared" si="311"/>
        <v>New high performance T8 fixture (with or without a reflector) replacing an existing T12 fixture</v>
      </c>
      <c r="B474" s="1974" t="str">
        <f t="shared" si="311"/>
        <v>BPL62</v>
      </c>
      <c r="C474" s="2027">
        <f t="shared" si="321"/>
        <v>15</v>
      </c>
      <c r="D474" s="2144">
        <v>208.22562949330643</v>
      </c>
      <c r="E474" s="2145">
        <v>4.3121396703483098E-2</v>
      </c>
      <c r="F474" s="2027">
        <v>-4.5766954392087689</v>
      </c>
      <c r="G474" s="1974" t="s">
        <v>2988</v>
      </c>
      <c r="H474" s="1974" t="s">
        <v>2988</v>
      </c>
      <c r="I474" s="2026">
        <v>0.9</v>
      </c>
      <c r="J474" s="2026">
        <v>0.9</v>
      </c>
      <c r="K474" s="2026">
        <v>0.9</v>
      </c>
      <c r="L474" s="2026">
        <v>0.9</v>
      </c>
      <c r="M474" s="2027">
        <f t="shared" si="322"/>
        <v>187.4030665439758</v>
      </c>
      <c r="N474" s="2027">
        <f t="shared" si="322"/>
        <v>187.4030665439758</v>
      </c>
      <c r="O474" s="2027">
        <f t="shared" si="322"/>
        <v>187.4030665439758</v>
      </c>
      <c r="P474" s="2027">
        <f t="shared" si="322"/>
        <v>187.4030665439758</v>
      </c>
      <c r="Q474" s="2026">
        <v>0.9</v>
      </c>
      <c r="R474" s="2026">
        <v>0.9</v>
      </c>
      <c r="S474" s="2026">
        <v>0.9</v>
      </c>
      <c r="T474" s="2026">
        <v>0.9</v>
      </c>
      <c r="U474" s="2028">
        <f t="shared" si="323"/>
        <v>3.8809257033134786E-2</v>
      </c>
      <c r="V474" s="2028">
        <f t="shared" si="323"/>
        <v>3.8809257033134786E-2</v>
      </c>
      <c r="W474" s="2028">
        <f t="shared" si="323"/>
        <v>3.8809257033134786E-2</v>
      </c>
      <c r="X474" s="2028">
        <f t="shared" si="323"/>
        <v>3.8809257033134786E-2</v>
      </c>
      <c r="Y474" s="2026">
        <v>0.9</v>
      </c>
      <c r="Z474" s="2026">
        <v>0.9</v>
      </c>
      <c r="AA474" s="2026">
        <v>0.9</v>
      </c>
      <c r="AB474" s="2026">
        <v>0.9</v>
      </c>
      <c r="AC474" s="2027">
        <f t="shared" si="324"/>
        <v>-4.1190258952878924</v>
      </c>
      <c r="AD474" s="2027">
        <f t="shared" si="324"/>
        <v>-4.1190258952878924</v>
      </c>
      <c r="AE474" s="2027">
        <f t="shared" si="324"/>
        <v>-4.1190258952878924</v>
      </c>
      <c r="AF474" s="2027">
        <f t="shared" si="324"/>
        <v>-4.1190258952878924</v>
      </c>
      <c r="AG474" s="2027">
        <v>35</v>
      </c>
      <c r="AH474" s="2027">
        <v>0</v>
      </c>
      <c r="AI474" s="2027">
        <v>0</v>
      </c>
      <c r="AJ474" s="2027">
        <v>0</v>
      </c>
      <c r="AK474" s="2027">
        <f t="shared" si="312"/>
        <v>6559.1073290391532</v>
      </c>
      <c r="AL474" s="2027">
        <f t="shared" si="313"/>
        <v>0</v>
      </c>
      <c r="AM474" s="2027">
        <f t="shared" si="313"/>
        <v>0</v>
      </c>
      <c r="AN474" s="2027">
        <f t="shared" si="313"/>
        <v>0</v>
      </c>
      <c r="AO474" s="2027">
        <f t="shared" si="325"/>
        <v>-144.16590633507624</v>
      </c>
      <c r="AP474" s="2027">
        <f t="shared" si="314"/>
        <v>0</v>
      </c>
      <c r="AQ474" s="2027">
        <f t="shared" si="314"/>
        <v>0</v>
      </c>
      <c r="AR474" s="2027">
        <f t="shared" si="314"/>
        <v>0</v>
      </c>
      <c r="AS474" s="2124">
        <f t="shared" si="326"/>
        <v>9.2749986</v>
      </c>
      <c r="AT474" s="2029">
        <f t="shared" si="315"/>
        <v>9.2749986</v>
      </c>
      <c r="AU474" s="2029">
        <f t="shared" si="315"/>
        <v>9.2749986</v>
      </c>
      <c r="AV474" s="2029">
        <f t="shared" si="315"/>
        <v>9.2749986</v>
      </c>
      <c r="AW474" s="2124">
        <f t="shared" si="316"/>
        <v>0</v>
      </c>
      <c r="AX474" s="2029">
        <f t="shared" si="317"/>
        <v>0</v>
      </c>
      <c r="AY474" s="2029">
        <f t="shared" si="317"/>
        <v>0</v>
      </c>
      <c r="AZ474" s="2029">
        <f t="shared" si="317"/>
        <v>0</v>
      </c>
      <c r="BA474" s="2124">
        <f t="shared" si="327"/>
        <v>57.5</v>
      </c>
      <c r="BB474" s="2029">
        <f t="shared" si="327"/>
        <v>57.5</v>
      </c>
      <c r="BC474" s="2029">
        <f t="shared" si="327"/>
        <v>57.5</v>
      </c>
      <c r="BD474" s="2029">
        <f t="shared" si="327"/>
        <v>57.5</v>
      </c>
      <c r="BE474" s="2030">
        <f t="shared" si="328"/>
        <v>324.62495100000001</v>
      </c>
      <c r="BF474" s="2030">
        <f t="shared" si="328"/>
        <v>0</v>
      </c>
      <c r="BG474" s="2030">
        <f t="shared" si="328"/>
        <v>0</v>
      </c>
      <c r="BH474" s="2030">
        <f t="shared" si="328"/>
        <v>0</v>
      </c>
      <c r="BI474" s="2030">
        <f t="shared" si="329"/>
        <v>0</v>
      </c>
      <c r="BJ474" s="2030">
        <f t="shared" si="329"/>
        <v>0</v>
      </c>
      <c r="BK474" s="2030">
        <f t="shared" si="329"/>
        <v>0</v>
      </c>
      <c r="BL474" s="2030">
        <f t="shared" si="329"/>
        <v>0</v>
      </c>
      <c r="BM474" s="2125"/>
      <c r="BN474" s="2125"/>
      <c r="BO474" s="2125"/>
      <c r="BP474" s="2125"/>
      <c r="BQ474" s="2125"/>
      <c r="BR474" s="2125"/>
      <c r="BS474" s="2125"/>
      <c r="BT474" s="2125"/>
      <c r="BU474" s="2029"/>
      <c r="BV474" s="2029"/>
      <c r="BW474" s="2029"/>
      <c r="BX474" s="2029"/>
      <c r="BY474" s="2029"/>
      <c r="BZ474" s="2032"/>
      <c r="CA474" s="1974">
        <f t="shared" si="319"/>
        <v>0</v>
      </c>
      <c r="CB474" s="1974">
        <f t="shared" si="319"/>
        <v>0</v>
      </c>
      <c r="CC474" s="1974">
        <f t="shared" si="319"/>
        <v>0</v>
      </c>
      <c r="CD474" s="1974">
        <f t="shared" si="319"/>
        <v>0</v>
      </c>
      <c r="CE474" s="1974">
        <f t="shared" si="319"/>
        <v>1</v>
      </c>
      <c r="CF474" s="2033">
        <v>2.7419277729801931E-5</v>
      </c>
      <c r="CG474" s="2026">
        <v>-5.3785478296301458E-5</v>
      </c>
      <c r="CH474" s="2009">
        <f t="shared" si="320"/>
        <v>1</v>
      </c>
      <c r="CI474" s="2031">
        <f t="shared" si="320"/>
        <v>0.67827777777777754</v>
      </c>
      <c r="CJ474" s="1974">
        <f t="shared" si="320"/>
        <v>0</v>
      </c>
      <c r="CK474" s="2031">
        <f t="shared" si="320"/>
        <v>-0.67827777777777754</v>
      </c>
      <c r="CL474" s="2026">
        <v>1</v>
      </c>
      <c r="CM474" s="2026">
        <v>0.33985765124555156</v>
      </c>
      <c r="CN474" s="2026">
        <v>0.33985765124555156</v>
      </c>
      <c r="CO474" s="2026">
        <v>0.33985765124555156</v>
      </c>
      <c r="CP474" s="2035"/>
      <c r="CQ474" s="2036"/>
      <c r="CR474" s="2036"/>
      <c r="CS474" s="2036"/>
      <c r="CT474" s="2036"/>
      <c r="CU474" s="2036"/>
      <c r="CV474" s="1973">
        <v>1</v>
      </c>
      <c r="CW474" s="1973">
        <v>0</v>
      </c>
      <c r="CX474" s="2037">
        <v>9.2749986</v>
      </c>
      <c r="CY474" s="2037">
        <v>9.2749986</v>
      </c>
      <c r="CZ474" s="2037">
        <v>9.2749986</v>
      </c>
      <c r="DA474" s="2037">
        <v>9.2749986</v>
      </c>
      <c r="DJ474" s="1976">
        <v>9.2749986</v>
      </c>
      <c r="DK474" s="1973">
        <v>9.2749986</v>
      </c>
      <c r="DL474" s="1973">
        <v>9.2749986</v>
      </c>
      <c r="DM474" s="1973">
        <v>9.2749986</v>
      </c>
      <c r="DO474" s="2027">
        <v>15</v>
      </c>
      <c r="DP474" s="2144">
        <v>208.22562949330643</v>
      </c>
      <c r="DQ474" s="2145">
        <v>4.3121396703483098E-2</v>
      </c>
      <c r="DR474" s="2027">
        <v>-4.5766954392087689</v>
      </c>
      <c r="DS474" s="2124">
        <v>9.2749986</v>
      </c>
      <c r="DT474" s="2029">
        <v>9.2749986</v>
      </c>
      <c r="DU474" s="2029">
        <v>9.2749986</v>
      </c>
      <c r="DV474" s="2029">
        <v>9.2749986</v>
      </c>
      <c r="DW474" s="2124">
        <v>0</v>
      </c>
      <c r="DX474" s="2029">
        <v>0</v>
      </c>
      <c r="DY474" s="2029">
        <v>0</v>
      </c>
      <c r="DZ474" s="2029">
        <v>0</v>
      </c>
      <c r="EA474" s="2124">
        <v>57.5</v>
      </c>
      <c r="EB474" s="2029">
        <v>57.5</v>
      </c>
      <c r="EC474" s="2029">
        <v>57.5</v>
      </c>
      <c r="ED474" s="2029">
        <v>57.5</v>
      </c>
      <c r="EE474" s="2039">
        <f t="shared" si="296"/>
        <v>0</v>
      </c>
      <c r="EF474" s="2039">
        <f t="shared" si="296"/>
        <v>0</v>
      </c>
      <c r="EG474" s="2039">
        <f t="shared" si="296"/>
        <v>0</v>
      </c>
      <c r="EH474" s="2039">
        <f t="shared" si="296"/>
        <v>0</v>
      </c>
      <c r="EI474" s="2040">
        <f t="shared" si="273"/>
        <v>0</v>
      </c>
      <c r="EJ474" s="2040">
        <f t="shared" si="273"/>
        <v>0</v>
      </c>
      <c r="EK474" s="2040">
        <f t="shared" si="273"/>
        <v>0</v>
      </c>
      <c r="EL474" s="2040">
        <f t="shared" si="273"/>
        <v>0</v>
      </c>
      <c r="EM474" s="2040">
        <f t="shared" si="273"/>
        <v>0</v>
      </c>
      <c r="EN474" s="2040">
        <f t="shared" si="273"/>
        <v>0</v>
      </c>
      <c r="EO474" s="2040">
        <f t="shared" si="271"/>
        <v>0</v>
      </c>
      <c r="EP474" s="2040">
        <f t="shared" si="271"/>
        <v>0</v>
      </c>
      <c r="EQ474" s="2040">
        <f t="shared" si="271"/>
        <v>0</v>
      </c>
      <c r="ER474" s="2040">
        <f t="shared" si="271"/>
        <v>0</v>
      </c>
      <c r="ES474" s="2040">
        <f t="shared" si="271"/>
        <v>0</v>
      </c>
      <c r="ET474" s="2040">
        <f t="shared" si="271"/>
        <v>0</v>
      </c>
      <c r="EU474" s="2039">
        <f t="shared" si="297"/>
        <v>0</v>
      </c>
      <c r="EV474" s="2039">
        <f t="shared" si="298"/>
        <v>0</v>
      </c>
    </row>
    <row r="475" spans="1:152" x14ac:dyDescent="0.25">
      <c r="A475" s="2143" t="str">
        <f t="shared" si="311"/>
        <v>New T5 fluorescent replacing an existing T12</v>
      </c>
      <c r="B475" s="1974" t="str">
        <f t="shared" si="311"/>
        <v xml:space="preserve">BPL43 </v>
      </c>
      <c r="C475" s="2027">
        <f t="shared" si="321"/>
        <v>15</v>
      </c>
      <c r="D475" s="2144">
        <v>439.1147088838627</v>
      </c>
      <c r="E475" s="2145">
        <v>7.9816451466530131E-2</v>
      </c>
      <c r="F475" s="2027">
        <v>-6.9807196028869232</v>
      </c>
      <c r="G475" s="1974" t="s">
        <v>2988</v>
      </c>
      <c r="H475" s="1974" t="s">
        <v>2988</v>
      </c>
      <c r="I475" s="2026">
        <v>0.9</v>
      </c>
      <c r="J475" s="2026">
        <v>0.9</v>
      </c>
      <c r="K475" s="2026">
        <v>0.9</v>
      </c>
      <c r="L475" s="2026">
        <v>0.9</v>
      </c>
      <c r="M475" s="2027">
        <f t="shared" si="322"/>
        <v>395.20323799547646</v>
      </c>
      <c r="N475" s="2027">
        <f t="shared" si="322"/>
        <v>395.20323799547646</v>
      </c>
      <c r="O475" s="2027">
        <f t="shared" si="322"/>
        <v>395.20323799547646</v>
      </c>
      <c r="P475" s="2027">
        <f t="shared" si="322"/>
        <v>395.20323799547646</v>
      </c>
      <c r="Q475" s="2026">
        <v>0.9</v>
      </c>
      <c r="R475" s="2026">
        <v>0.9</v>
      </c>
      <c r="S475" s="2026">
        <v>0.9</v>
      </c>
      <c r="T475" s="2026">
        <v>0.9</v>
      </c>
      <c r="U475" s="2028">
        <f t="shared" si="323"/>
        <v>7.1834806319877126E-2</v>
      </c>
      <c r="V475" s="2028">
        <f t="shared" si="323"/>
        <v>7.1834806319877126E-2</v>
      </c>
      <c r="W475" s="2028">
        <f t="shared" si="323"/>
        <v>7.1834806319877126E-2</v>
      </c>
      <c r="X475" s="2028">
        <f t="shared" si="323"/>
        <v>7.1834806319877126E-2</v>
      </c>
      <c r="Y475" s="2026">
        <v>0.9</v>
      </c>
      <c r="Z475" s="2026">
        <v>0.9</v>
      </c>
      <c r="AA475" s="2026">
        <v>0.9</v>
      </c>
      <c r="AB475" s="2026">
        <v>0.9</v>
      </c>
      <c r="AC475" s="2027">
        <f t="shared" si="324"/>
        <v>-6.2826476425982314</v>
      </c>
      <c r="AD475" s="2027">
        <f t="shared" si="324"/>
        <v>-6.2826476425982314</v>
      </c>
      <c r="AE475" s="2027">
        <f t="shared" si="324"/>
        <v>-6.2826476425982314</v>
      </c>
      <c r="AF475" s="2027">
        <f t="shared" si="324"/>
        <v>-6.2826476425982314</v>
      </c>
      <c r="AG475" s="2027">
        <v>8</v>
      </c>
      <c r="AH475" s="2027">
        <v>0</v>
      </c>
      <c r="AI475" s="2027">
        <v>0</v>
      </c>
      <c r="AJ475" s="2027">
        <v>0</v>
      </c>
      <c r="AK475" s="2027">
        <f t="shared" si="312"/>
        <v>3161.6259039638117</v>
      </c>
      <c r="AL475" s="2027">
        <f t="shared" si="313"/>
        <v>0</v>
      </c>
      <c r="AM475" s="2027">
        <f t="shared" si="313"/>
        <v>0</v>
      </c>
      <c r="AN475" s="2027">
        <f t="shared" si="313"/>
        <v>0</v>
      </c>
      <c r="AO475" s="2027">
        <f t="shared" si="325"/>
        <v>-50.261181140785851</v>
      </c>
      <c r="AP475" s="2027">
        <f t="shared" si="314"/>
        <v>0</v>
      </c>
      <c r="AQ475" s="2027">
        <f t="shared" si="314"/>
        <v>0</v>
      </c>
      <c r="AR475" s="2027">
        <f t="shared" si="314"/>
        <v>0</v>
      </c>
      <c r="AS475" s="2124">
        <f t="shared" si="326"/>
        <v>10.727499299999998</v>
      </c>
      <c r="AT475" s="2029">
        <f t="shared" si="315"/>
        <v>10.727499299999998</v>
      </c>
      <c r="AU475" s="2029">
        <f t="shared" si="315"/>
        <v>10.727499299999998</v>
      </c>
      <c r="AV475" s="2029">
        <f t="shared" si="315"/>
        <v>10.727499299999998</v>
      </c>
      <c r="AW475" s="2124">
        <f t="shared" si="316"/>
        <v>0</v>
      </c>
      <c r="AX475" s="2029">
        <f t="shared" si="317"/>
        <v>0</v>
      </c>
      <c r="AY475" s="2029">
        <f t="shared" si="317"/>
        <v>0</v>
      </c>
      <c r="AZ475" s="2029">
        <f t="shared" si="317"/>
        <v>0</v>
      </c>
      <c r="BA475" s="2124">
        <f t="shared" si="327"/>
        <v>55</v>
      </c>
      <c r="BB475" s="2029">
        <f t="shared" si="327"/>
        <v>55</v>
      </c>
      <c r="BC475" s="2029">
        <f t="shared" si="327"/>
        <v>55</v>
      </c>
      <c r="BD475" s="2029">
        <f t="shared" si="327"/>
        <v>55</v>
      </c>
      <c r="BE475" s="2030">
        <f t="shared" si="328"/>
        <v>85.819994399999985</v>
      </c>
      <c r="BF475" s="2030">
        <f t="shared" si="328"/>
        <v>0</v>
      </c>
      <c r="BG475" s="2030">
        <f t="shared" si="328"/>
        <v>0</v>
      </c>
      <c r="BH475" s="2030">
        <f t="shared" si="328"/>
        <v>0</v>
      </c>
      <c r="BI475" s="2030">
        <f t="shared" si="329"/>
        <v>0</v>
      </c>
      <c r="BJ475" s="2030">
        <f t="shared" si="329"/>
        <v>0</v>
      </c>
      <c r="BK475" s="2030">
        <f t="shared" si="329"/>
        <v>0</v>
      </c>
      <c r="BL475" s="2030">
        <f t="shared" si="329"/>
        <v>0</v>
      </c>
      <c r="BM475" s="2125"/>
      <c r="BN475" s="2125"/>
      <c r="BO475" s="2125"/>
      <c r="BP475" s="2125"/>
      <c r="BQ475" s="2125"/>
      <c r="BR475" s="2125"/>
      <c r="BS475" s="2125"/>
      <c r="BT475" s="2125"/>
      <c r="BU475" s="2029"/>
      <c r="BV475" s="2029"/>
      <c r="BW475" s="2029"/>
      <c r="BX475" s="2029"/>
      <c r="BY475" s="2029"/>
      <c r="BZ475" s="2032"/>
      <c r="CA475" s="1974">
        <f t="shared" si="319"/>
        <v>0</v>
      </c>
      <c r="CB475" s="1974">
        <f t="shared" si="319"/>
        <v>0</v>
      </c>
      <c r="CC475" s="1974">
        <f t="shared" si="319"/>
        <v>0</v>
      </c>
      <c r="CD475" s="1974">
        <f t="shared" si="319"/>
        <v>0</v>
      </c>
      <c r="CE475" s="1974">
        <f t="shared" si="319"/>
        <v>1</v>
      </c>
      <c r="CF475" s="2033">
        <v>1.3216661107940587E-5</v>
      </c>
      <c r="CG475" s="2026">
        <v>-1.875146306166899E-5</v>
      </c>
      <c r="CH475" s="2009">
        <f t="shared" si="320"/>
        <v>1</v>
      </c>
      <c r="CI475" s="2031">
        <f t="shared" si="320"/>
        <v>-2.5533333333333332</v>
      </c>
      <c r="CJ475" s="1974">
        <f t="shared" si="320"/>
        <v>0</v>
      </c>
      <c r="CK475" s="2031">
        <f t="shared" si="320"/>
        <v>2.5533333333333332</v>
      </c>
      <c r="CL475" s="2026">
        <v>1</v>
      </c>
      <c r="CM475" s="2026">
        <v>0.6123711340206186</v>
      </c>
      <c r="CN475" s="2026">
        <v>0.6123711340206186</v>
      </c>
      <c r="CO475" s="2026">
        <v>0.6123711340206186</v>
      </c>
      <c r="CP475" s="2035"/>
      <c r="CQ475" s="2036"/>
      <c r="CR475" s="2036"/>
      <c r="CS475" s="2036"/>
      <c r="CT475" s="2036"/>
      <c r="CU475" s="2036"/>
      <c r="CV475" s="1973">
        <v>1</v>
      </c>
      <c r="CW475" s="1973">
        <v>0</v>
      </c>
      <c r="CX475" s="2037">
        <v>10.727499299999998</v>
      </c>
      <c r="CY475" s="2037">
        <v>10.727499299999998</v>
      </c>
      <c r="CZ475" s="2037">
        <v>10.727499299999998</v>
      </c>
      <c r="DA475" s="2037">
        <v>10.727499299999998</v>
      </c>
      <c r="DJ475" s="1976">
        <v>10.727499299999998</v>
      </c>
      <c r="DK475" s="1973">
        <v>10.727499299999998</v>
      </c>
      <c r="DL475" s="1973">
        <v>10.727499299999998</v>
      </c>
      <c r="DM475" s="1973">
        <v>10.727499299999998</v>
      </c>
      <c r="DO475" s="2027">
        <v>15</v>
      </c>
      <c r="DP475" s="2144">
        <v>439.1147088838627</v>
      </c>
      <c r="DQ475" s="2145">
        <v>7.9816451466530131E-2</v>
      </c>
      <c r="DR475" s="2027">
        <v>-6.9807196028869232</v>
      </c>
      <c r="DS475" s="2124">
        <v>10.727499299999998</v>
      </c>
      <c r="DT475" s="2029">
        <v>10.727499299999998</v>
      </c>
      <c r="DU475" s="2029">
        <v>10.727499299999998</v>
      </c>
      <c r="DV475" s="2029">
        <v>10.727499299999998</v>
      </c>
      <c r="DW475" s="2124">
        <v>0</v>
      </c>
      <c r="DX475" s="2029">
        <v>0</v>
      </c>
      <c r="DY475" s="2029">
        <v>0</v>
      </c>
      <c r="DZ475" s="2029">
        <v>0</v>
      </c>
      <c r="EA475" s="2124">
        <v>55</v>
      </c>
      <c r="EB475" s="2029">
        <v>55</v>
      </c>
      <c r="EC475" s="2029">
        <v>55</v>
      </c>
      <c r="ED475" s="2029">
        <v>55</v>
      </c>
      <c r="EE475" s="2039">
        <f t="shared" si="296"/>
        <v>0</v>
      </c>
      <c r="EF475" s="2039">
        <f t="shared" si="296"/>
        <v>0</v>
      </c>
      <c r="EG475" s="2039">
        <f t="shared" si="296"/>
        <v>0</v>
      </c>
      <c r="EH475" s="2039">
        <f t="shared" si="296"/>
        <v>0</v>
      </c>
      <c r="EI475" s="2040">
        <f t="shared" si="273"/>
        <v>0</v>
      </c>
      <c r="EJ475" s="2040">
        <f t="shared" si="273"/>
        <v>0</v>
      </c>
      <c r="EK475" s="2040">
        <f t="shared" si="273"/>
        <v>0</v>
      </c>
      <c r="EL475" s="2040">
        <f t="shared" si="273"/>
        <v>0</v>
      </c>
      <c r="EM475" s="2040">
        <f t="shared" si="273"/>
        <v>0</v>
      </c>
      <c r="EN475" s="2040">
        <f t="shared" si="273"/>
        <v>0</v>
      </c>
      <c r="EO475" s="2040">
        <f t="shared" si="271"/>
        <v>0</v>
      </c>
      <c r="EP475" s="2040">
        <f t="shared" si="271"/>
        <v>0</v>
      </c>
      <c r="EQ475" s="2040">
        <f t="shared" si="271"/>
        <v>0</v>
      </c>
      <c r="ER475" s="2040">
        <f t="shared" si="271"/>
        <v>0</v>
      </c>
      <c r="ES475" s="2040">
        <f t="shared" si="271"/>
        <v>0</v>
      </c>
      <c r="ET475" s="2040">
        <f t="shared" si="271"/>
        <v>0</v>
      </c>
      <c r="EU475" s="2039">
        <f t="shared" si="297"/>
        <v>0</v>
      </c>
      <c r="EV475" s="2039">
        <f t="shared" si="298"/>
        <v>0</v>
      </c>
    </row>
    <row r="476" spans="1:152" x14ac:dyDescent="0.25">
      <c r="A476" s="2143" t="str">
        <f t="shared" si="311"/>
        <v>High efficiency T5 or T8 fluorescent fixtures replacing existing T12 recessed or surface mounted troffer (prismatic, parabolic, or semi-indirect fixture)</v>
      </c>
      <c r="B476" s="1974" t="str">
        <f t="shared" si="311"/>
        <v xml:space="preserve">BPL64  </v>
      </c>
      <c r="C476" s="2027">
        <f t="shared" si="321"/>
        <v>15</v>
      </c>
      <c r="D476" s="2144">
        <v>294.92441911098473</v>
      </c>
      <c r="E476" s="2145">
        <v>5.9785319096292269E-2</v>
      </c>
      <c r="F476" s="2027">
        <v>-6.3152950628887501</v>
      </c>
      <c r="G476" s="1974" t="s">
        <v>2988</v>
      </c>
      <c r="H476" s="1974" t="s">
        <v>2988</v>
      </c>
      <c r="I476" s="2026">
        <v>0.9</v>
      </c>
      <c r="J476" s="2026">
        <v>0.9</v>
      </c>
      <c r="K476" s="2026">
        <v>0.9</v>
      </c>
      <c r="L476" s="2026">
        <v>0.9</v>
      </c>
      <c r="M476" s="2027">
        <f t="shared" si="322"/>
        <v>265.43197719988626</v>
      </c>
      <c r="N476" s="2027">
        <f t="shared" si="322"/>
        <v>265.43197719988626</v>
      </c>
      <c r="O476" s="2027">
        <f t="shared" si="322"/>
        <v>265.43197719988626</v>
      </c>
      <c r="P476" s="2027">
        <f t="shared" si="322"/>
        <v>265.43197719988626</v>
      </c>
      <c r="Q476" s="2026">
        <v>0.9</v>
      </c>
      <c r="R476" s="2026">
        <v>0.9</v>
      </c>
      <c r="S476" s="2026">
        <v>0.9</v>
      </c>
      <c r="T476" s="2026">
        <v>0.9</v>
      </c>
      <c r="U476" s="2028">
        <f t="shared" si="323"/>
        <v>5.3806787186663041E-2</v>
      </c>
      <c r="V476" s="2028">
        <f t="shared" si="323"/>
        <v>5.3806787186663041E-2</v>
      </c>
      <c r="W476" s="2028">
        <f t="shared" si="323"/>
        <v>5.3806787186663041E-2</v>
      </c>
      <c r="X476" s="2028">
        <f t="shared" si="323"/>
        <v>5.3806787186663041E-2</v>
      </c>
      <c r="Y476" s="2026">
        <v>0.9</v>
      </c>
      <c r="Z476" s="2026">
        <v>0.9</v>
      </c>
      <c r="AA476" s="2026">
        <v>0.9</v>
      </c>
      <c r="AB476" s="2026">
        <v>0.9</v>
      </c>
      <c r="AC476" s="2027">
        <f t="shared" si="324"/>
        <v>-5.6837655565998748</v>
      </c>
      <c r="AD476" s="2027">
        <f t="shared" si="324"/>
        <v>-5.6837655565998748</v>
      </c>
      <c r="AE476" s="2027">
        <f t="shared" si="324"/>
        <v>-5.6837655565998748</v>
      </c>
      <c r="AF476" s="2027">
        <f t="shared" si="324"/>
        <v>-5.6837655565998748</v>
      </c>
      <c r="AG476" s="2027">
        <v>12</v>
      </c>
      <c r="AH476" s="2027">
        <v>0</v>
      </c>
      <c r="AI476" s="2027">
        <v>0</v>
      </c>
      <c r="AJ476" s="2027">
        <v>0</v>
      </c>
      <c r="AK476" s="2027">
        <f t="shared" si="312"/>
        <v>3185.1837263986354</v>
      </c>
      <c r="AL476" s="2027">
        <f t="shared" si="313"/>
        <v>0</v>
      </c>
      <c r="AM476" s="2027">
        <f t="shared" si="313"/>
        <v>0</v>
      </c>
      <c r="AN476" s="2027">
        <f t="shared" si="313"/>
        <v>0</v>
      </c>
      <c r="AO476" s="2027">
        <f t="shared" si="325"/>
        <v>-68.205186679198505</v>
      </c>
      <c r="AP476" s="2027">
        <f t="shared" si="314"/>
        <v>0</v>
      </c>
      <c r="AQ476" s="2027">
        <f t="shared" si="314"/>
        <v>0</v>
      </c>
      <c r="AR476" s="2027">
        <f t="shared" si="314"/>
        <v>0</v>
      </c>
      <c r="AS476" s="2124">
        <f t="shared" si="326"/>
        <v>7.6912499999999984</v>
      </c>
      <c r="AT476" s="2029">
        <f t="shared" si="315"/>
        <v>7.6912499999999984</v>
      </c>
      <c r="AU476" s="2029">
        <f t="shared" si="315"/>
        <v>7.6912499999999984</v>
      </c>
      <c r="AV476" s="2029">
        <f t="shared" si="315"/>
        <v>7.6912499999999984</v>
      </c>
      <c r="AW476" s="2124">
        <f t="shared" si="316"/>
        <v>0</v>
      </c>
      <c r="AX476" s="2029">
        <f t="shared" si="317"/>
        <v>0</v>
      </c>
      <c r="AY476" s="2029">
        <f t="shared" si="317"/>
        <v>0</v>
      </c>
      <c r="AZ476" s="2029">
        <f t="shared" si="317"/>
        <v>0</v>
      </c>
      <c r="BA476" s="2124">
        <f t="shared" si="327"/>
        <v>55</v>
      </c>
      <c r="BB476" s="2029">
        <f t="shared" si="327"/>
        <v>55</v>
      </c>
      <c r="BC476" s="2029">
        <f t="shared" si="327"/>
        <v>55</v>
      </c>
      <c r="BD476" s="2029">
        <f t="shared" si="327"/>
        <v>55</v>
      </c>
      <c r="BE476" s="2030">
        <f t="shared" si="328"/>
        <v>92.294999999999987</v>
      </c>
      <c r="BF476" s="2030">
        <f t="shared" si="328"/>
        <v>0</v>
      </c>
      <c r="BG476" s="2030">
        <f t="shared" si="328"/>
        <v>0</v>
      </c>
      <c r="BH476" s="2030">
        <f t="shared" si="328"/>
        <v>0</v>
      </c>
      <c r="BI476" s="2030">
        <f t="shared" si="329"/>
        <v>0</v>
      </c>
      <c r="BJ476" s="2030">
        <f t="shared" si="329"/>
        <v>0</v>
      </c>
      <c r="BK476" s="2030">
        <f t="shared" si="329"/>
        <v>0</v>
      </c>
      <c r="BL476" s="2030">
        <f t="shared" si="329"/>
        <v>0</v>
      </c>
      <c r="BM476" s="2125"/>
      <c r="BN476" s="2125"/>
      <c r="BO476" s="2125"/>
      <c r="BP476" s="2125"/>
      <c r="BQ476" s="2125"/>
      <c r="BR476" s="2125"/>
      <c r="BS476" s="2125"/>
      <c r="BT476" s="2125"/>
      <c r="BU476" s="2029"/>
      <c r="BV476" s="2029"/>
      <c r="BW476" s="2029"/>
      <c r="BX476" s="2029"/>
      <c r="BY476" s="2029"/>
      <c r="BZ476" s="2032"/>
      <c r="CA476" s="1974">
        <f t="shared" si="319"/>
        <v>0</v>
      </c>
      <c r="CB476" s="1974">
        <f t="shared" si="319"/>
        <v>0</v>
      </c>
      <c r="CC476" s="1974">
        <f t="shared" si="319"/>
        <v>0</v>
      </c>
      <c r="CD476" s="1974">
        <f t="shared" si="319"/>
        <v>0</v>
      </c>
      <c r="CE476" s="1974">
        <f t="shared" si="319"/>
        <v>1</v>
      </c>
      <c r="CF476" s="2033">
        <v>1.3315140739946306E-5</v>
      </c>
      <c r="CG476" s="2026">
        <v>-2.544602036006255E-5</v>
      </c>
      <c r="CH476" s="2009">
        <f t="shared" si="320"/>
        <v>1</v>
      </c>
      <c r="CI476" s="2031">
        <f t="shared" si="320"/>
        <v>0.67827777777777754</v>
      </c>
      <c r="CJ476" s="1974">
        <f t="shared" si="320"/>
        <v>0</v>
      </c>
      <c r="CK476" s="2031">
        <f t="shared" si="320"/>
        <v>-0.67827777777777754</v>
      </c>
      <c r="CL476" s="2026">
        <v>1</v>
      </c>
      <c r="CM476" s="2026">
        <v>0.45</v>
      </c>
      <c r="CN476" s="2026">
        <v>0.45</v>
      </c>
      <c r="CO476" s="2026">
        <v>0.45</v>
      </c>
      <c r="CP476" s="2035"/>
      <c r="CQ476" s="2036"/>
      <c r="CR476" s="2036"/>
      <c r="CS476" s="2036"/>
      <c r="CT476" s="2036"/>
      <c r="CU476" s="2036"/>
      <c r="CV476" s="1973">
        <v>1</v>
      </c>
      <c r="CW476" s="1973">
        <v>0</v>
      </c>
      <c r="CX476" s="2037">
        <v>7.6912499999999984</v>
      </c>
      <c r="CY476" s="2037">
        <v>7.6912499999999984</v>
      </c>
      <c r="CZ476" s="2037">
        <v>7.6912499999999984</v>
      </c>
      <c r="DA476" s="2037">
        <v>7.6912499999999984</v>
      </c>
      <c r="DJ476" s="1976">
        <v>7.6912499999999984</v>
      </c>
      <c r="DK476" s="1973">
        <v>7.6912499999999984</v>
      </c>
      <c r="DL476" s="1973">
        <v>7.6912499999999984</v>
      </c>
      <c r="DM476" s="1973">
        <v>7.6912499999999984</v>
      </c>
      <c r="DO476" s="2027">
        <v>15</v>
      </c>
      <c r="DP476" s="2144">
        <v>294.92441911098473</v>
      </c>
      <c r="DQ476" s="2145">
        <v>5.9785319096292269E-2</v>
      </c>
      <c r="DR476" s="2027">
        <v>-6.3152950628887501</v>
      </c>
      <c r="DS476" s="2124">
        <v>7.6912499999999984</v>
      </c>
      <c r="DT476" s="2029">
        <v>7.6912499999999984</v>
      </c>
      <c r="DU476" s="2029">
        <v>7.6912499999999984</v>
      </c>
      <c r="DV476" s="2029">
        <v>7.6912499999999984</v>
      </c>
      <c r="DW476" s="2124">
        <v>0</v>
      </c>
      <c r="DX476" s="2029">
        <v>0</v>
      </c>
      <c r="DY476" s="2029">
        <v>0</v>
      </c>
      <c r="DZ476" s="2029">
        <v>0</v>
      </c>
      <c r="EA476" s="2124">
        <v>55</v>
      </c>
      <c r="EB476" s="2029">
        <v>55</v>
      </c>
      <c r="EC476" s="2029">
        <v>55</v>
      </c>
      <c r="ED476" s="2029">
        <v>55</v>
      </c>
      <c r="EE476" s="2039">
        <f t="shared" si="296"/>
        <v>0</v>
      </c>
      <c r="EF476" s="2039">
        <f t="shared" si="296"/>
        <v>0</v>
      </c>
      <c r="EG476" s="2039">
        <f t="shared" si="296"/>
        <v>0</v>
      </c>
      <c r="EH476" s="2039">
        <f t="shared" si="296"/>
        <v>0</v>
      </c>
      <c r="EI476" s="2040">
        <f t="shared" si="273"/>
        <v>0</v>
      </c>
      <c r="EJ476" s="2040">
        <f t="shared" si="273"/>
        <v>0</v>
      </c>
      <c r="EK476" s="2040">
        <f t="shared" si="273"/>
        <v>0</v>
      </c>
      <c r="EL476" s="2040">
        <f t="shared" si="273"/>
        <v>0</v>
      </c>
      <c r="EM476" s="2040">
        <f t="shared" si="273"/>
        <v>0</v>
      </c>
      <c r="EN476" s="2040">
        <f t="shared" si="273"/>
        <v>0</v>
      </c>
      <c r="EO476" s="2040">
        <f t="shared" si="271"/>
        <v>0</v>
      </c>
      <c r="EP476" s="2040">
        <f t="shared" si="271"/>
        <v>0</v>
      </c>
      <c r="EQ476" s="2040">
        <f t="shared" si="271"/>
        <v>0</v>
      </c>
      <c r="ER476" s="2040">
        <f t="shared" si="271"/>
        <v>0</v>
      </c>
      <c r="ES476" s="2040">
        <f t="shared" si="271"/>
        <v>0</v>
      </c>
      <c r="ET476" s="2040">
        <f t="shared" si="271"/>
        <v>0</v>
      </c>
      <c r="EU476" s="2039">
        <f t="shared" si="297"/>
        <v>0</v>
      </c>
      <c r="EV476" s="2039">
        <f t="shared" si="298"/>
        <v>0</v>
      </c>
    </row>
    <row r="477" spans="1:152" x14ac:dyDescent="0.25">
      <c r="A477" s="2143" t="str">
        <f t="shared" si="311"/>
        <v>Fixture mounted occupancy sensor for fluorescent or LED systems</v>
      </c>
      <c r="B477" s="1974" t="str">
        <f t="shared" si="311"/>
        <v>BPL72</v>
      </c>
      <c r="C477" s="2027">
        <v>8</v>
      </c>
      <c r="D477" s="2171">
        <v>172.54176693792877</v>
      </c>
      <c r="E477" s="2145">
        <v>7.4955881089965537E-2</v>
      </c>
      <c r="F477" s="2027">
        <v>-6.4908360059701478</v>
      </c>
      <c r="G477" s="1974" t="s">
        <v>2988</v>
      </c>
      <c r="H477" s="1974" t="s">
        <v>2988</v>
      </c>
      <c r="I477" s="2026">
        <v>0.9</v>
      </c>
      <c r="J477" s="2026">
        <v>0.9</v>
      </c>
      <c r="K477" s="2026">
        <v>0.9</v>
      </c>
      <c r="L477" s="2026">
        <v>0.9</v>
      </c>
      <c r="M477" s="2027">
        <f t="shared" si="322"/>
        <v>155.28759024413588</v>
      </c>
      <c r="N477" s="2027">
        <f t="shared" si="322"/>
        <v>155.28759024413588</v>
      </c>
      <c r="O477" s="2027">
        <f t="shared" si="322"/>
        <v>155.28759024413588</v>
      </c>
      <c r="P477" s="2027">
        <f t="shared" si="322"/>
        <v>155.28759024413588</v>
      </c>
      <c r="Q477" s="2026">
        <v>0.9</v>
      </c>
      <c r="R477" s="2026">
        <v>0.9</v>
      </c>
      <c r="S477" s="2026">
        <v>0.9</v>
      </c>
      <c r="T477" s="2026">
        <v>0.9</v>
      </c>
      <c r="U477" s="2028">
        <f t="shared" si="323"/>
        <v>6.7460292980968992E-2</v>
      </c>
      <c r="V477" s="2028">
        <f t="shared" si="323"/>
        <v>6.7460292980968992E-2</v>
      </c>
      <c r="W477" s="2028">
        <f t="shared" si="323"/>
        <v>6.7460292980968992E-2</v>
      </c>
      <c r="X477" s="2028">
        <f t="shared" si="323"/>
        <v>6.7460292980968992E-2</v>
      </c>
      <c r="Y477" s="2026">
        <v>0.9</v>
      </c>
      <c r="Z477" s="2026">
        <v>0.9</v>
      </c>
      <c r="AA477" s="2026">
        <v>0.9</v>
      </c>
      <c r="AB477" s="2026">
        <v>0.9</v>
      </c>
      <c r="AC477" s="2027">
        <f t="shared" si="324"/>
        <v>-5.8417524053731329</v>
      </c>
      <c r="AD477" s="2027">
        <f t="shared" si="324"/>
        <v>-5.8417524053731329</v>
      </c>
      <c r="AE477" s="2027">
        <f t="shared" si="324"/>
        <v>-5.8417524053731329</v>
      </c>
      <c r="AF477" s="2027">
        <f t="shared" si="324"/>
        <v>-5.8417524053731329</v>
      </c>
      <c r="AG477" s="2027">
        <v>46</v>
      </c>
      <c r="AH477" s="2027">
        <v>49</v>
      </c>
      <c r="AI477" s="2027">
        <v>51</v>
      </c>
      <c r="AJ477" s="2027">
        <v>52</v>
      </c>
      <c r="AK477" s="2027">
        <f t="shared" si="312"/>
        <v>7143.2291512302509</v>
      </c>
      <c r="AL477" s="2027">
        <f t="shared" si="313"/>
        <v>7609.0919219626585</v>
      </c>
      <c r="AM477" s="2027">
        <f t="shared" si="313"/>
        <v>7919.6671024509305</v>
      </c>
      <c r="AN477" s="2027">
        <f t="shared" si="313"/>
        <v>8074.9546926950661</v>
      </c>
      <c r="AO477" s="2027">
        <f t="shared" si="325"/>
        <v>-268.72061064716411</v>
      </c>
      <c r="AP477" s="2027">
        <f t="shared" si="314"/>
        <v>-286.24586786328354</v>
      </c>
      <c r="AQ477" s="2027">
        <f t="shared" si="314"/>
        <v>-297.92937267402976</v>
      </c>
      <c r="AR477" s="2027">
        <f t="shared" si="314"/>
        <v>-303.77112507940291</v>
      </c>
      <c r="AS477" s="2124">
        <v>42</v>
      </c>
      <c r="AT477" s="2029">
        <f t="shared" si="315"/>
        <v>42</v>
      </c>
      <c r="AU477" s="2029">
        <f t="shared" si="315"/>
        <v>42</v>
      </c>
      <c r="AV477" s="2029">
        <f t="shared" si="315"/>
        <v>42</v>
      </c>
      <c r="AW477" s="2124">
        <f t="shared" si="316"/>
        <v>0</v>
      </c>
      <c r="AX477" s="2029">
        <f t="shared" si="317"/>
        <v>0</v>
      </c>
      <c r="AY477" s="2029">
        <f t="shared" si="317"/>
        <v>0</v>
      </c>
      <c r="AZ477" s="2029">
        <f t="shared" si="317"/>
        <v>0</v>
      </c>
      <c r="BA477" s="2128">
        <v>91.83</v>
      </c>
      <c r="BB477" s="2042">
        <f>$BA477</f>
        <v>91.83</v>
      </c>
      <c r="BC477" s="2042">
        <f t="shared" ref="BC477:BD477" si="330">$BA477</f>
        <v>91.83</v>
      </c>
      <c r="BD477" s="2042">
        <f t="shared" si="330"/>
        <v>91.83</v>
      </c>
      <c r="BE477" s="2030">
        <f t="shared" si="328"/>
        <v>1932</v>
      </c>
      <c r="BF477" s="2030">
        <f t="shared" si="328"/>
        <v>2058</v>
      </c>
      <c r="BG477" s="2030">
        <f t="shared" si="328"/>
        <v>2142</v>
      </c>
      <c r="BH477" s="2030">
        <f t="shared" si="328"/>
        <v>2184</v>
      </c>
      <c r="BI477" s="2030">
        <f t="shared" si="329"/>
        <v>0</v>
      </c>
      <c r="BJ477" s="2030">
        <f t="shared" si="329"/>
        <v>0</v>
      </c>
      <c r="BK477" s="2030">
        <f t="shared" si="329"/>
        <v>0</v>
      </c>
      <c r="BL477" s="2030">
        <f t="shared" si="329"/>
        <v>0</v>
      </c>
      <c r="BM477" s="2125"/>
      <c r="BN477" s="2125"/>
      <c r="BO477" s="2125"/>
      <c r="BP477" s="2125"/>
      <c r="BQ477" s="2125"/>
      <c r="BR477" s="2125"/>
      <c r="BS477" s="2125"/>
      <c r="BT477" s="2125"/>
      <c r="BU477" s="2029"/>
      <c r="BV477" s="2029"/>
      <c r="BW477" s="2029"/>
      <c r="BX477" s="2029"/>
      <c r="BY477" s="2029"/>
      <c r="BZ477" s="2032"/>
      <c r="CA477" s="1974">
        <f t="shared" si="319"/>
        <v>0</v>
      </c>
      <c r="CB477" s="1974">
        <f t="shared" si="319"/>
        <v>0</v>
      </c>
      <c r="CC477" s="1974">
        <f t="shared" si="319"/>
        <v>0</v>
      </c>
      <c r="CD477" s="1974">
        <f t="shared" si="319"/>
        <v>0</v>
      </c>
      <c r="CE477" s="1974">
        <f t="shared" si="319"/>
        <v>0</v>
      </c>
      <c r="CF477" s="2033">
        <v>1.9275614040801395E-5</v>
      </c>
      <c r="CG477" s="2026">
        <v>-4.960177437798896E-5</v>
      </c>
      <c r="CH477" s="2009">
        <f t="shared" si="320"/>
        <v>0</v>
      </c>
      <c r="CI477" s="2031">
        <f t="shared" si="320"/>
        <v>0</v>
      </c>
      <c r="CJ477" s="1974">
        <f t="shared" si="320"/>
        <v>0</v>
      </c>
      <c r="CK477" s="2031">
        <f t="shared" si="320"/>
        <v>0</v>
      </c>
      <c r="CL477" s="2026">
        <v>1</v>
      </c>
      <c r="CM477" s="2026">
        <v>1</v>
      </c>
      <c r="CN477" s="2026">
        <v>1</v>
      </c>
      <c r="CO477" s="2026">
        <v>1</v>
      </c>
      <c r="CP477" s="2035"/>
      <c r="CQ477" s="2036"/>
      <c r="CR477" s="2036"/>
      <c r="CS477" s="2036"/>
      <c r="CT477" s="2036"/>
      <c r="CU477" s="2036"/>
      <c r="CV477" s="1973">
        <v>1</v>
      </c>
      <c r="CW477" s="1973">
        <v>0</v>
      </c>
      <c r="CX477" s="2037">
        <v>42</v>
      </c>
      <c r="CY477" s="2037">
        <v>42</v>
      </c>
      <c r="CZ477" s="2037">
        <v>42</v>
      </c>
      <c r="DA477" s="2037">
        <v>42</v>
      </c>
      <c r="DJ477" s="1976">
        <v>42</v>
      </c>
      <c r="DK477" s="1973">
        <v>42</v>
      </c>
      <c r="DL477" s="1973">
        <v>42</v>
      </c>
      <c r="DM477" s="1973">
        <v>42</v>
      </c>
      <c r="DO477" s="2146">
        <v>8</v>
      </c>
      <c r="DP477" s="2147">
        <v>172.5419808861426</v>
      </c>
      <c r="DQ477" s="2148">
        <v>6.9337461094028913E-2</v>
      </c>
      <c r="DR477" s="2146">
        <v>-7.5406128429787227</v>
      </c>
      <c r="DS477" s="2046">
        <v>42</v>
      </c>
      <c r="DT477" s="2046">
        <v>42</v>
      </c>
      <c r="DU477" s="2046">
        <v>42</v>
      </c>
      <c r="DV477" s="2046">
        <v>42</v>
      </c>
      <c r="DW477" s="2046">
        <v>0</v>
      </c>
      <c r="DX477" s="2046">
        <v>0</v>
      </c>
      <c r="DY477" s="2046">
        <v>0</v>
      </c>
      <c r="DZ477" s="2046">
        <v>0</v>
      </c>
      <c r="EA477" s="2046">
        <v>91.83</v>
      </c>
      <c r="EB477" s="2046">
        <v>91.83</v>
      </c>
      <c r="EC477" s="2046">
        <v>91.83</v>
      </c>
      <c r="ED477" s="2046">
        <v>91.83</v>
      </c>
      <c r="EE477" s="2039">
        <f t="shared" si="296"/>
        <v>0</v>
      </c>
      <c r="EF477" s="2039">
        <f t="shared" si="296"/>
        <v>-2.1394821382614282E-4</v>
      </c>
      <c r="EG477" s="2039">
        <f t="shared" si="296"/>
        <v>5.6184199959366243E-3</v>
      </c>
      <c r="EH477" s="2039">
        <f t="shared" si="296"/>
        <v>1.0497768370085749</v>
      </c>
      <c r="EI477" s="2040">
        <f t="shared" si="273"/>
        <v>0</v>
      </c>
      <c r="EJ477" s="2040">
        <f t="shared" si="273"/>
        <v>0</v>
      </c>
      <c r="EK477" s="2040">
        <f t="shared" si="273"/>
        <v>0</v>
      </c>
      <c r="EL477" s="2040">
        <f t="shared" si="273"/>
        <v>0</v>
      </c>
      <c r="EM477" s="2040">
        <f t="shared" si="273"/>
        <v>0</v>
      </c>
      <c r="EN477" s="2040">
        <f t="shared" si="273"/>
        <v>0</v>
      </c>
      <c r="EO477" s="2040">
        <f t="shared" si="271"/>
        <v>0</v>
      </c>
      <c r="EP477" s="2040">
        <f t="shared" si="271"/>
        <v>0</v>
      </c>
      <c r="EQ477" s="2040">
        <f t="shared" si="271"/>
        <v>0</v>
      </c>
      <c r="ER477" s="2040">
        <f t="shared" si="271"/>
        <v>0</v>
      </c>
      <c r="ES477" s="2040">
        <f t="shared" si="271"/>
        <v>0</v>
      </c>
      <c r="ET477" s="2040">
        <f t="shared" si="271"/>
        <v>0</v>
      </c>
      <c r="EU477" s="2039">
        <f t="shared" si="297"/>
        <v>1.0551813087906854</v>
      </c>
      <c r="EV477" s="2039">
        <f t="shared" si="298"/>
        <v>1.0551813087906854</v>
      </c>
    </row>
    <row r="478" spans="1:152" x14ac:dyDescent="0.25">
      <c r="A478" s="2143" t="str">
        <f t="shared" si="311"/>
        <v>Remote mounted occupancy sensors using ultrasonic or passive infrared technology</v>
      </c>
      <c r="B478" s="1974" t="str">
        <f t="shared" si="311"/>
        <v>BPL73</v>
      </c>
      <c r="C478" s="2027">
        <f t="shared" si="321"/>
        <v>8</v>
      </c>
      <c r="D478" s="2144">
        <v>342.19058999999999</v>
      </c>
      <c r="E478" s="2145">
        <v>0.25101370000000001</v>
      </c>
      <c r="F478" s="2027">
        <v>-9.8665699999999994</v>
      </c>
      <c r="G478" s="1974" t="s">
        <v>2988</v>
      </c>
      <c r="H478" s="1974" t="s">
        <v>2988</v>
      </c>
      <c r="I478" s="2026">
        <v>0.9</v>
      </c>
      <c r="J478" s="2026">
        <v>0.9</v>
      </c>
      <c r="K478" s="2026">
        <v>0.9</v>
      </c>
      <c r="L478" s="2026">
        <v>0.9</v>
      </c>
      <c r="M478" s="2027">
        <f t="shared" si="322"/>
        <v>307.97153099999997</v>
      </c>
      <c r="N478" s="2027">
        <f t="shared" si="322"/>
        <v>307.97153099999997</v>
      </c>
      <c r="O478" s="2027">
        <f t="shared" si="322"/>
        <v>307.97153099999997</v>
      </c>
      <c r="P478" s="2027">
        <f t="shared" si="322"/>
        <v>307.97153099999997</v>
      </c>
      <c r="Q478" s="2026">
        <v>0.9</v>
      </c>
      <c r="R478" s="2026">
        <v>0.9</v>
      </c>
      <c r="S478" s="2026">
        <v>0.9</v>
      </c>
      <c r="T478" s="2026">
        <v>0.9</v>
      </c>
      <c r="U478" s="2028">
        <f t="shared" si="323"/>
        <v>0.22591233000000002</v>
      </c>
      <c r="V478" s="2028">
        <f t="shared" si="323"/>
        <v>0.22591233000000002</v>
      </c>
      <c r="W478" s="2028">
        <f t="shared" si="323"/>
        <v>0.22591233000000002</v>
      </c>
      <c r="X478" s="2028">
        <f t="shared" si="323"/>
        <v>0.22591233000000002</v>
      </c>
      <c r="Y478" s="2026">
        <v>0.9</v>
      </c>
      <c r="Z478" s="2026">
        <v>0.9</v>
      </c>
      <c r="AA478" s="2026">
        <v>0.9</v>
      </c>
      <c r="AB478" s="2026">
        <v>0.9</v>
      </c>
      <c r="AC478" s="2027">
        <f t="shared" si="324"/>
        <v>-8.8799130000000002</v>
      </c>
      <c r="AD478" s="2027">
        <f t="shared" si="324"/>
        <v>-8.8799130000000002</v>
      </c>
      <c r="AE478" s="2027">
        <f t="shared" si="324"/>
        <v>-8.8799130000000002</v>
      </c>
      <c r="AF478" s="2027">
        <f t="shared" si="324"/>
        <v>-8.8799130000000002</v>
      </c>
      <c r="AG478" s="2027">
        <v>32</v>
      </c>
      <c r="AH478" s="2027">
        <v>35</v>
      </c>
      <c r="AI478" s="2027">
        <v>36</v>
      </c>
      <c r="AJ478" s="2027">
        <v>37</v>
      </c>
      <c r="AK478" s="2027">
        <f t="shared" si="312"/>
        <v>9855.0889919999991</v>
      </c>
      <c r="AL478" s="2027">
        <f t="shared" si="313"/>
        <v>10779.003584999999</v>
      </c>
      <c r="AM478" s="2027">
        <f t="shared" si="313"/>
        <v>11086.975116</v>
      </c>
      <c r="AN478" s="2027">
        <f t="shared" si="313"/>
        <v>11394.946646999999</v>
      </c>
      <c r="AO478" s="2027">
        <f t="shared" si="325"/>
        <v>-284.15721600000001</v>
      </c>
      <c r="AP478" s="2027">
        <f t="shared" si="314"/>
        <v>-310.79695500000003</v>
      </c>
      <c r="AQ478" s="2027">
        <f t="shared" si="314"/>
        <v>-319.67686800000001</v>
      </c>
      <c r="AR478" s="2027">
        <f t="shared" si="314"/>
        <v>-328.556781</v>
      </c>
      <c r="AS478" s="2124">
        <f t="shared" si="326"/>
        <v>42</v>
      </c>
      <c r="AT478" s="2029">
        <f t="shared" si="315"/>
        <v>42</v>
      </c>
      <c r="AU478" s="2029">
        <f t="shared" si="315"/>
        <v>42</v>
      </c>
      <c r="AV478" s="2029">
        <f t="shared" si="315"/>
        <v>42</v>
      </c>
      <c r="AW478" s="2124">
        <f t="shared" si="316"/>
        <v>0</v>
      </c>
      <c r="AX478" s="2029">
        <f t="shared" si="317"/>
        <v>0</v>
      </c>
      <c r="AY478" s="2029">
        <f t="shared" si="317"/>
        <v>0</v>
      </c>
      <c r="AZ478" s="2029">
        <f t="shared" si="317"/>
        <v>0</v>
      </c>
      <c r="BA478" s="2124">
        <f t="shared" si="327"/>
        <v>102</v>
      </c>
      <c r="BB478" s="2029">
        <f t="shared" si="327"/>
        <v>102</v>
      </c>
      <c r="BC478" s="2029">
        <f t="shared" si="327"/>
        <v>102</v>
      </c>
      <c r="BD478" s="2029">
        <f t="shared" si="327"/>
        <v>102</v>
      </c>
      <c r="BE478" s="2030">
        <f t="shared" si="328"/>
        <v>1344</v>
      </c>
      <c r="BF478" s="2030">
        <f t="shared" si="328"/>
        <v>1470</v>
      </c>
      <c r="BG478" s="2030">
        <f t="shared" si="328"/>
        <v>1512</v>
      </c>
      <c r="BH478" s="2030">
        <f t="shared" si="328"/>
        <v>1554</v>
      </c>
      <c r="BI478" s="2030">
        <f t="shared" si="329"/>
        <v>0</v>
      </c>
      <c r="BJ478" s="2030">
        <f t="shared" si="329"/>
        <v>0</v>
      </c>
      <c r="BK478" s="2030">
        <f t="shared" si="329"/>
        <v>0</v>
      </c>
      <c r="BL478" s="2030">
        <f t="shared" si="329"/>
        <v>0</v>
      </c>
      <c r="BM478" s="2125"/>
      <c r="BN478" s="2125"/>
      <c r="BO478" s="2125"/>
      <c r="BP478" s="2125"/>
      <c r="BQ478" s="2125"/>
      <c r="BR478" s="2125"/>
      <c r="BS478" s="2125"/>
      <c r="BT478" s="2125"/>
      <c r="BU478" s="2029"/>
      <c r="BV478" s="2029"/>
      <c r="BW478" s="2029"/>
      <c r="BX478" s="2029"/>
      <c r="BY478" s="2029"/>
      <c r="BZ478" s="2032"/>
      <c r="CA478" s="1974">
        <f t="shared" si="319"/>
        <v>0</v>
      </c>
      <c r="CB478" s="1974">
        <f t="shared" si="319"/>
        <v>0</v>
      </c>
      <c r="CC478" s="1974">
        <f t="shared" si="319"/>
        <v>0</v>
      </c>
      <c r="CD478" s="1974">
        <f t="shared" si="319"/>
        <v>0</v>
      </c>
      <c r="CE478" s="1974">
        <f t="shared" si="319"/>
        <v>0</v>
      </c>
      <c r="CF478" s="2033">
        <v>4.1197591161104889E-5</v>
      </c>
      <c r="CG478" s="2026">
        <v>-1.0601349627270987E-4</v>
      </c>
      <c r="CH478" s="2009">
        <f t="shared" si="320"/>
        <v>0</v>
      </c>
      <c r="CI478" s="2031">
        <f t="shared" si="320"/>
        <v>0</v>
      </c>
      <c r="CJ478" s="1974">
        <f t="shared" si="320"/>
        <v>0</v>
      </c>
      <c r="CK478" s="2031">
        <f t="shared" si="320"/>
        <v>0</v>
      </c>
      <c r="CL478" s="2026">
        <v>1</v>
      </c>
      <c r="CM478" s="2026">
        <v>1</v>
      </c>
      <c r="CN478" s="2026">
        <v>1</v>
      </c>
      <c r="CO478" s="2026">
        <v>1</v>
      </c>
      <c r="CP478" s="2035"/>
      <c r="CQ478" s="2036"/>
      <c r="CR478" s="2036"/>
      <c r="CS478" s="2036"/>
      <c r="CT478" s="2036"/>
      <c r="CU478" s="2036"/>
      <c r="CV478" s="1973">
        <v>1</v>
      </c>
      <c r="CW478" s="1973">
        <v>0</v>
      </c>
      <c r="CX478" s="2037">
        <v>42</v>
      </c>
      <c r="CY478" s="2037">
        <v>42</v>
      </c>
      <c r="CZ478" s="2037">
        <v>42</v>
      </c>
      <c r="DA478" s="2037">
        <v>42</v>
      </c>
      <c r="DJ478" s="1976">
        <v>42</v>
      </c>
      <c r="DK478" s="1973">
        <v>42</v>
      </c>
      <c r="DL478" s="1973">
        <v>42</v>
      </c>
      <c r="DM478" s="1973">
        <v>42</v>
      </c>
      <c r="DO478" s="2027">
        <v>8</v>
      </c>
      <c r="DP478" s="2144">
        <v>342.19058999999999</v>
      </c>
      <c r="DQ478" s="2145">
        <v>0.25101370000000001</v>
      </c>
      <c r="DR478" s="2027">
        <v>-9.8665699999999994</v>
      </c>
      <c r="DS478" s="2124">
        <v>42</v>
      </c>
      <c r="DT478" s="2029">
        <v>42</v>
      </c>
      <c r="DU478" s="2029">
        <v>42</v>
      </c>
      <c r="DV478" s="2029">
        <v>42</v>
      </c>
      <c r="DW478" s="2124">
        <v>0</v>
      </c>
      <c r="DX478" s="2029">
        <v>0</v>
      </c>
      <c r="DY478" s="2029">
        <v>0</v>
      </c>
      <c r="DZ478" s="2029">
        <v>0</v>
      </c>
      <c r="EA478" s="2124">
        <v>102</v>
      </c>
      <c r="EB478" s="2029">
        <v>102</v>
      </c>
      <c r="EC478" s="2029">
        <v>102</v>
      </c>
      <c r="ED478" s="2029">
        <v>102</v>
      </c>
      <c r="EE478" s="2039">
        <f t="shared" si="296"/>
        <v>0</v>
      </c>
      <c r="EF478" s="2039">
        <f t="shared" si="296"/>
        <v>0</v>
      </c>
      <c r="EG478" s="2039">
        <f t="shared" si="296"/>
        <v>0</v>
      </c>
      <c r="EH478" s="2039">
        <f t="shared" si="296"/>
        <v>0</v>
      </c>
      <c r="EI478" s="2040">
        <f t="shared" si="273"/>
        <v>0</v>
      </c>
      <c r="EJ478" s="2040">
        <f t="shared" si="273"/>
        <v>0</v>
      </c>
      <c r="EK478" s="2040">
        <f t="shared" si="273"/>
        <v>0</v>
      </c>
      <c r="EL478" s="2040">
        <f t="shared" si="273"/>
        <v>0</v>
      </c>
      <c r="EM478" s="2040">
        <f t="shared" si="273"/>
        <v>0</v>
      </c>
      <c r="EN478" s="2040">
        <f t="shared" si="273"/>
        <v>0</v>
      </c>
      <c r="EO478" s="2040">
        <f t="shared" si="271"/>
        <v>0</v>
      </c>
      <c r="EP478" s="2040">
        <f t="shared" si="271"/>
        <v>0</v>
      </c>
      <c r="EQ478" s="2040">
        <f t="shared" si="271"/>
        <v>0</v>
      </c>
      <c r="ER478" s="2040">
        <f t="shared" si="271"/>
        <v>0</v>
      </c>
      <c r="ES478" s="2040">
        <f t="shared" si="271"/>
        <v>0</v>
      </c>
      <c r="ET478" s="2040">
        <f t="shared" si="271"/>
        <v>0</v>
      </c>
      <c r="EU478" s="2039">
        <f t="shared" si="297"/>
        <v>0</v>
      </c>
      <c r="EV478" s="2039">
        <f t="shared" si="298"/>
        <v>0</v>
      </c>
    </row>
    <row r="479" spans="1:152" x14ac:dyDescent="0.25">
      <c r="A479" s="2143" t="str">
        <f t="shared" si="311"/>
        <v>Wall switch plate mounted occupancy sensors using ultrasonic or passive infrared technology</v>
      </c>
      <c r="B479" s="1974" t="str">
        <f t="shared" si="311"/>
        <v>BPL74</v>
      </c>
      <c r="C479" s="2027">
        <f t="shared" si="321"/>
        <v>8</v>
      </c>
      <c r="D479" s="2144">
        <v>212.89099999999999</v>
      </c>
      <c r="E479" s="2145">
        <v>6.9999999999999993E-2</v>
      </c>
      <c r="F479" s="2027">
        <v>-4.42</v>
      </c>
      <c r="G479" s="1974" t="s">
        <v>2988</v>
      </c>
      <c r="H479" s="1974" t="s">
        <v>2988</v>
      </c>
      <c r="I479" s="2026">
        <v>0.9</v>
      </c>
      <c r="J479" s="2026">
        <v>0.9</v>
      </c>
      <c r="K479" s="2026">
        <v>0.9</v>
      </c>
      <c r="L479" s="2026">
        <v>0.9</v>
      </c>
      <c r="M479" s="2027">
        <f t="shared" si="322"/>
        <v>191.6019</v>
      </c>
      <c r="N479" s="2027">
        <f t="shared" si="322"/>
        <v>191.6019</v>
      </c>
      <c r="O479" s="2027">
        <f t="shared" si="322"/>
        <v>191.6019</v>
      </c>
      <c r="P479" s="2027">
        <f t="shared" si="322"/>
        <v>191.6019</v>
      </c>
      <c r="Q479" s="2026">
        <v>0.9</v>
      </c>
      <c r="R479" s="2026">
        <v>0.9</v>
      </c>
      <c r="S479" s="2026">
        <v>0.9</v>
      </c>
      <c r="T479" s="2026">
        <v>0.9</v>
      </c>
      <c r="U479" s="2028">
        <f t="shared" si="323"/>
        <v>6.3E-2</v>
      </c>
      <c r="V479" s="2028">
        <f t="shared" si="323"/>
        <v>6.3E-2</v>
      </c>
      <c r="W479" s="2028">
        <f t="shared" si="323"/>
        <v>6.3E-2</v>
      </c>
      <c r="X479" s="2028">
        <f t="shared" si="323"/>
        <v>6.3E-2</v>
      </c>
      <c r="Y479" s="2026">
        <v>0.9</v>
      </c>
      <c r="Z479" s="2026">
        <v>0.9</v>
      </c>
      <c r="AA479" s="2026">
        <v>0.9</v>
      </c>
      <c r="AB479" s="2026">
        <v>0.9</v>
      </c>
      <c r="AC479" s="2027">
        <f t="shared" si="324"/>
        <v>-3.9780000000000002</v>
      </c>
      <c r="AD479" s="2027">
        <f t="shared" si="324"/>
        <v>-3.9780000000000002</v>
      </c>
      <c r="AE479" s="2027">
        <f t="shared" si="324"/>
        <v>-3.9780000000000002</v>
      </c>
      <c r="AF479" s="2027">
        <f t="shared" si="324"/>
        <v>-3.9780000000000002</v>
      </c>
      <c r="AG479" s="2027">
        <v>45</v>
      </c>
      <c r="AH479" s="2027">
        <v>47</v>
      </c>
      <c r="AI479" s="2027">
        <v>49</v>
      </c>
      <c r="AJ479" s="2027">
        <v>50</v>
      </c>
      <c r="AK479" s="2027">
        <f t="shared" si="312"/>
        <v>8622.0854999999992</v>
      </c>
      <c r="AL479" s="2027">
        <f t="shared" si="313"/>
        <v>9005.2893000000004</v>
      </c>
      <c r="AM479" s="2027">
        <f t="shared" si="313"/>
        <v>9388.4930999999997</v>
      </c>
      <c r="AN479" s="2027">
        <f t="shared" si="313"/>
        <v>9580.0949999999993</v>
      </c>
      <c r="AO479" s="2027">
        <f t="shared" si="325"/>
        <v>-179.01000000000002</v>
      </c>
      <c r="AP479" s="2027">
        <f t="shared" si="314"/>
        <v>-186.96600000000001</v>
      </c>
      <c r="AQ479" s="2027">
        <f t="shared" si="314"/>
        <v>-194.922</v>
      </c>
      <c r="AR479" s="2027">
        <f t="shared" si="314"/>
        <v>-198.9</v>
      </c>
      <c r="AS479" s="2124">
        <f t="shared" si="326"/>
        <v>28</v>
      </c>
      <c r="AT479" s="2029">
        <f t="shared" si="315"/>
        <v>28</v>
      </c>
      <c r="AU479" s="2029">
        <f t="shared" si="315"/>
        <v>28</v>
      </c>
      <c r="AV479" s="2029">
        <f t="shared" si="315"/>
        <v>28</v>
      </c>
      <c r="AW479" s="2124">
        <f t="shared" si="316"/>
        <v>0</v>
      </c>
      <c r="AX479" s="2029">
        <f t="shared" si="317"/>
        <v>0</v>
      </c>
      <c r="AY479" s="2029">
        <f t="shared" si="317"/>
        <v>0</v>
      </c>
      <c r="AZ479" s="2029">
        <f t="shared" si="317"/>
        <v>0</v>
      </c>
      <c r="BA479" s="2124">
        <f t="shared" si="327"/>
        <v>61</v>
      </c>
      <c r="BB479" s="2029">
        <f t="shared" si="327"/>
        <v>61</v>
      </c>
      <c r="BC479" s="2029">
        <f t="shared" si="327"/>
        <v>61</v>
      </c>
      <c r="BD479" s="2029">
        <f t="shared" si="327"/>
        <v>61</v>
      </c>
      <c r="BE479" s="2030">
        <f t="shared" si="328"/>
        <v>1260</v>
      </c>
      <c r="BF479" s="2030">
        <f t="shared" si="328"/>
        <v>1316</v>
      </c>
      <c r="BG479" s="2030">
        <f t="shared" si="328"/>
        <v>1372</v>
      </c>
      <c r="BH479" s="2030">
        <f t="shared" si="328"/>
        <v>1400</v>
      </c>
      <c r="BI479" s="2030">
        <f t="shared" si="329"/>
        <v>0</v>
      </c>
      <c r="BJ479" s="2030">
        <f t="shared" si="329"/>
        <v>0</v>
      </c>
      <c r="BK479" s="2030">
        <f t="shared" si="329"/>
        <v>0</v>
      </c>
      <c r="BL479" s="2030">
        <f t="shared" si="329"/>
        <v>0</v>
      </c>
      <c r="BM479" s="2125"/>
      <c r="BN479" s="2125"/>
      <c r="BO479" s="2125"/>
      <c r="BP479" s="2125"/>
      <c r="BQ479" s="2125"/>
      <c r="BR479" s="2125"/>
      <c r="BS479" s="2125"/>
      <c r="BT479" s="2125"/>
      <c r="BU479" s="2029"/>
      <c r="BV479" s="2029"/>
      <c r="BW479" s="2029"/>
      <c r="BX479" s="2029"/>
      <c r="BY479" s="2029"/>
      <c r="BZ479" s="2032"/>
      <c r="CA479" s="1974">
        <f t="shared" si="319"/>
        <v>0</v>
      </c>
      <c r="CB479" s="1974">
        <f t="shared" si="319"/>
        <v>0</v>
      </c>
      <c r="CC479" s="1974">
        <f t="shared" si="319"/>
        <v>0</v>
      </c>
      <c r="CD479" s="1974">
        <f t="shared" si="319"/>
        <v>0</v>
      </c>
      <c r="CE479" s="1974">
        <f t="shared" si="319"/>
        <v>0</v>
      </c>
      <c r="CF479" s="2033">
        <v>3.6043221291399444E-5</v>
      </c>
      <c r="CG479" s="2026">
        <v>-6.6785127736392934E-5</v>
      </c>
      <c r="CH479" s="2009">
        <f t="shared" si="320"/>
        <v>0</v>
      </c>
      <c r="CI479" s="2031">
        <f t="shared" si="320"/>
        <v>0</v>
      </c>
      <c r="CJ479" s="1974">
        <f t="shared" si="320"/>
        <v>0</v>
      </c>
      <c r="CK479" s="2031">
        <f t="shared" si="320"/>
        <v>0</v>
      </c>
      <c r="CL479" s="2026">
        <v>1</v>
      </c>
      <c r="CM479" s="2026">
        <v>1</v>
      </c>
      <c r="CN479" s="2026">
        <v>1</v>
      </c>
      <c r="CO479" s="2026">
        <v>1</v>
      </c>
      <c r="CP479" s="2035"/>
      <c r="CQ479" s="2036"/>
      <c r="CR479" s="2036"/>
      <c r="CS479" s="2036"/>
      <c r="CT479" s="2036"/>
      <c r="CU479" s="2036"/>
      <c r="CV479" s="1973">
        <v>1</v>
      </c>
      <c r="CW479" s="1973">
        <v>0</v>
      </c>
      <c r="CX479" s="2037">
        <v>28</v>
      </c>
      <c r="CY479" s="2037">
        <v>28</v>
      </c>
      <c r="CZ479" s="2037">
        <v>28</v>
      </c>
      <c r="DA479" s="2037">
        <v>28</v>
      </c>
      <c r="DJ479" s="1976">
        <v>28</v>
      </c>
      <c r="DK479" s="1973">
        <v>28</v>
      </c>
      <c r="DL479" s="1973">
        <v>28</v>
      </c>
      <c r="DM479" s="1973">
        <v>28</v>
      </c>
      <c r="DO479" s="2027">
        <v>8</v>
      </c>
      <c r="DP479" s="2144">
        <v>212.89099999999999</v>
      </c>
      <c r="DQ479" s="2145">
        <v>6.9999999999999993E-2</v>
      </c>
      <c r="DR479" s="2027">
        <v>-4.42</v>
      </c>
      <c r="DS479" s="2124">
        <v>28</v>
      </c>
      <c r="DT479" s="2029">
        <v>28</v>
      </c>
      <c r="DU479" s="2029">
        <v>28</v>
      </c>
      <c r="DV479" s="2029">
        <v>28</v>
      </c>
      <c r="DW479" s="2124">
        <v>0</v>
      </c>
      <c r="DX479" s="2029">
        <v>0</v>
      </c>
      <c r="DY479" s="2029">
        <v>0</v>
      </c>
      <c r="DZ479" s="2029">
        <v>0</v>
      </c>
      <c r="EA479" s="2124">
        <v>61</v>
      </c>
      <c r="EB479" s="2029">
        <v>61</v>
      </c>
      <c r="EC479" s="2029">
        <v>61</v>
      </c>
      <c r="ED479" s="2029">
        <v>61</v>
      </c>
      <c r="EE479" s="2039">
        <f t="shared" si="296"/>
        <v>0</v>
      </c>
      <c r="EF479" s="2039">
        <f t="shared" si="296"/>
        <v>0</v>
      </c>
      <c r="EG479" s="2039">
        <f t="shared" si="296"/>
        <v>0</v>
      </c>
      <c r="EH479" s="2039">
        <f t="shared" si="296"/>
        <v>0</v>
      </c>
      <c r="EI479" s="2040">
        <f t="shared" si="273"/>
        <v>0</v>
      </c>
      <c r="EJ479" s="2040">
        <f t="shared" si="273"/>
        <v>0</v>
      </c>
      <c r="EK479" s="2040">
        <f t="shared" si="273"/>
        <v>0</v>
      </c>
      <c r="EL479" s="2040">
        <f t="shared" si="273"/>
        <v>0</v>
      </c>
      <c r="EM479" s="2040">
        <f t="shared" si="273"/>
        <v>0</v>
      </c>
      <c r="EN479" s="2040">
        <f t="shared" si="273"/>
        <v>0</v>
      </c>
      <c r="EO479" s="2040">
        <f t="shared" si="271"/>
        <v>0</v>
      </c>
      <c r="EP479" s="2040">
        <f t="shared" si="271"/>
        <v>0</v>
      </c>
      <c r="EQ479" s="2040">
        <f t="shared" si="271"/>
        <v>0</v>
      </c>
      <c r="ER479" s="2040">
        <f t="shared" si="271"/>
        <v>0</v>
      </c>
      <c r="ES479" s="2040">
        <f t="shared" si="271"/>
        <v>0</v>
      </c>
      <c r="ET479" s="2040">
        <f t="shared" si="271"/>
        <v>0</v>
      </c>
      <c r="EU479" s="2039">
        <f t="shared" si="297"/>
        <v>0</v>
      </c>
      <c r="EV479" s="2039">
        <f t="shared" si="298"/>
        <v>0</v>
      </c>
    </row>
    <row r="480" spans="1:152" x14ac:dyDescent="0.25">
      <c r="A480" s="2143" t="str">
        <f t="shared" si="311"/>
        <v>Low wattage occupancy sensors or daylight dimming controls</v>
      </c>
      <c r="B480" s="1974" t="str">
        <f t="shared" si="311"/>
        <v xml:space="preserve">BPL79 </v>
      </c>
      <c r="C480" s="2027">
        <f t="shared" si="321"/>
        <v>8</v>
      </c>
      <c r="D480" s="2144">
        <v>61.87624799999999</v>
      </c>
      <c r="E480" s="2145">
        <v>4.8551999999999998E-2</v>
      </c>
      <c r="F480" s="2027">
        <v>-1.7841100000000001</v>
      </c>
      <c r="G480" s="1974" t="s">
        <v>2988</v>
      </c>
      <c r="H480" s="1974" t="s">
        <v>2988</v>
      </c>
      <c r="I480" s="2026">
        <v>0.9</v>
      </c>
      <c r="J480" s="2026">
        <v>0.9</v>
      </c>
      <c r="K480" s="2026">
        <v>0.9</v>
      </c>
      <c r="L480" s="2026">
        <v>0.9</v>
      </c>
      <c r="M480" s="2027">
        <f t="shared" si="322"/>
        <v>55.688623199999995</v>
      </c>
      <c r="N480" s="2027">
        <f t="shared" si="322"/>
        <v>55.688623199999995</v>
      </c>
      <c r="O480" s="2027">
        <f t="shared" si="322"/>
        <v>55.688623199999995</v>
      </c>
      <c r="P480" s="2027">
        <f t="shared" si="322"/>
        <v>55.688623199999995</v>
      </c>
      <c r="Q480" s="2026">
        <v>0.9</v>
      </c>
      <c r="R480" s="2026">
        <v>0.9</v>
      </c>
      <c r="S480" s="2026">
        <v>0.9</v>
      </c>
      <c r="T480" s="2026">
        <v>0.9</v>
      </c>
      <c r="U480" s="2028">
        <f t="shared" si="323"/>
        <v>4.3696800000000001E-2</v>
      </c>
      <c r="V480" s="2028">
        <f t="shared" si="323"/>
        <v>4.3696800000000001E-2</v>
      </c>
      <c r="W480" s="2028">
        <f t="shared" si="323"/>
        <v>4.3696800000000001E-2</v>
      </c>
      <c r="X480" s="2028">
        <f t="shared" si="323"/>
        <v>4.3696800000000001E-2</v>
      </c>
      <c r="Y480" s="2026">
        <v>0.9</v>
      </c>
      <c r="Z480" s="2026">
        <v>0.9</v>
      </c>
      <c r="AA480" s="2026">
        <v>0.9</v>
      </c>
      <c r="AB480" s="2026">
        <v>0.9</v>
      </c>
      <c r="AC480" s="2027">
        <f t="shared" si="324"/>
        <v>-1.6056990000000002</v>
      </c>
      <c r="AD480" s="2027">
        <f t="shared" si="324"/>
        <v>-1.6056990000000002</v>
      </c>
      <c r="AE480" s="2027">
        <f t="shared" si="324"/>
        <v>-1.6056990000000002</v>
      </c>
      <c r="AF480" s="2027">
        <f t="shared" si="324"/>
        <v>-1.6056990000000002</v>
      </c>
      <c r="AG480" s="2027">
        <v>760</v>
      </c>
      <c r="AH480" s="2027">
        <v>967</v>
      </c>
      <c r="AI480" s="2027">
        <v>1005</v>
      </c>
      <c r="AJ480" s="2027">
        <v>1025</v>
      </c>
      <c r="AK480" s="2027">
        <f t="shared" si="312"/>
        <v>42323.353631999998</v>
      </c>
      <c r="AL480" s="2027">
        <f t="shared" si="313"/>
        <v>53850.898634399993</v>
      </c>
      <c r="AM480" s="2027">
        <f t="shared" si="313"/>
        <v>55967.066315999997</v>
      </c>
      <c r="AN480" s="2027">
        <f t="shared" si="313"/>
        <v>57080.838779999998</v>
      </c>
      <c r="AO480" s="2027">
        <f t="shared" si="325"/>
        <v>-1220.3312400000002</v>
      </c>
      <c r="AP480" s="2027">
        <f t="shared" si="314"/>
        <v>-1552.7109330000003</v>
      </c>
      <c r="AQ480" s="2027">
        <f t="shared" si="314"/>
        <v>-1613.7274950000003</v>
      </c>
      <c r="AR480" s="2027">
        <f t="shared" si="314"/>
        <v>-1645.8414750000002</v>
      </c>
      <c r="AS480" s="2124">
        <f t="shared" si="326"/>
        <v>35</v>
      </c>
      <c r="AT480" s="2029">
        <f t="shared" si="315"/>
        <v>35</v>
      </c>
      <c r="AU480" s="2029">
        <f t="shared" si="315"/>
        <v>35</v>
      </c>
      <c r="AV480" s="2029">
        <f t="shared" si="315"/>
        <v>35</v>
      </c>
      <c r="AW480" s="2124">
        <f t="shared" si="316"/>
        <v>0</v>
      </c>
      <c r="AX480" s="2029">
        <f t="shared" si="317"/>
        <v>0</v>
      </c>
      <c r="AY480" s="2029">
        <f t="shared" si="317"/>
        <v>0</v>
      </c>
      <c r="AZ480" s="2029">
        <f t="shared" si="317"/>
        <v>0</v>
      </c>
      <c r="BA480" s="2124">
        <f t="shared" si="327"/>
        <v>51</v>
      </c>
      <c r="BB480" s="2029">
        <f t="shared" si="327"/>
        <v>51</v>
      </c>
      <c r="BC480" s="2029">
        <f t="shared" si="327"/>
        <v>51</v>
      </c>
      <c r="BD480" s="2029">
        <f t="shared" si="327"/>
        <v>51</v>
      </c>
      <c r="BE480" s="2030">
        <f t="shared" si="328"/>
        <v>26600</v>
      </c>
      <c r="BF480" s="2030">
        <f t="shared" si="328"/>
        <v>33845</v>
      </c>
      <c r="BG480" s="2030">
        <f t="shared" si="328"/>
        <v>35175</v>
      </c>
      <c r="BH480" s="2030">
        <f t="shared" si="328"/>
        <v>35875</v>
      </c>
      <c r="BI480" s="2030">
        <f t="shared" si="329"/>
        <v>0</v>
      </c>
      <c r="BJ480" s="2030">
        <f t="shared" si="329"/>
        <v>0</v>
      </c>
      <c r="BK480" s="2030">
        <f t="shared" si="329"/>
        <v>0</v>
      </c>
      <c r="BL480" s="2030">
        <f t="shared" si="329"/>
        <v>0</v>
      </c>
      <c r="BM480" s="2125"/>
      <c r="BN480" s="2125"/>
      <c r="BO480" s="2125"/>
      <c r="BP480" s="2125"/>
      <c r="BQ480" s="2125"/>
      <c r="BR480" s="2125"/>
      <c r="BS480" s="2125"/>
      <c r="BT480" s="2125"/>
      <c r="BU480" s="2029"/>
      <c r="BV480" s="2029"/>
      <c r="BW480" s="2029"/>
      <c r="BX480" s="2029"/>
      <c r="BY480" s="2029"/>
      <c r="BZ480" s="2032"/>
      <c r="CA480" s="1974">
        <f t="shared" si="319"/>
        <v>0</v>
      </c>
      <c r="CB480" s="1974">
        <f t="shared" si="319"/>
        <v>0</v>
      </c>
      <c r="CC480" s="1974">
        <f t="shared" si="319"/>
        <v>0</v>
      </c>
      <c r="CD480" s="1974">
        <f t="shared" si="319"/>
        <v>0</v>
      </c>
      <c r="CE480" s="1974">
        <f t="shared" si="319"/>
        <v>0</v>
      </c>
      <c r="CF480" s="2033">
        <v>1.7692587260383005E-4</v>
      </c>
      <c r="CG480" s="2026">
        <v>-4.5528170350321649E-4</v>
      </c>
      <c r="CH480" s="2009">
        <f t="shared" si="320"/>
        <v>0</v>
      </c>
      <c r="CI480" s="2031">
        <f t="shared" si="320"/>
        <v>0</v>
      </c>
      <c r="CJ480" s="1974">
        <f t="shared" si="320"/>
        <v>0</v>
      </c>
      <c r="CK480" s="2031">
        <f t="shared" si="320"/>
        <v>0</v>
      </c>
      <c r="CL480" s="2026">
        <v>1</v>
      </c>
      <c r="CM480" s="2026">
        <v>1</v>
      </c>
      <c r="CN480" s="2026">
        <v>1</v>
      </c>
      <c r="CO480" s="2026">
        <v>1</v>
      </c>
      <c r="CP480" s="2035"/>
      <c r="CQ480" s="2036"/>
      <c r="CR480" s="2036"/>
      <c r="CS480" s="2036"/>
      <c r="CT480" s="2036"/>
      <c r="CU480" s="2036"/>
      <c r="CV480" s="1973">
        <v>1</v>
      </c>
      <c r="CW480" s="1973">
        <v>0</v>
      </c>
      <c r="CX480" s="2037">
        <v>21</v>
      </c>
      <c r="CY480" s="2037">
        <v>21</v>
      </c>
      <c r="CZ480" s="2037">
        <v>21</v>
      </c>
      <c r="DA480" s="2037">
        <v>21</v>
      </c>
      <c r="DJ480" s="1976">
        <v>21</v>
      </c>
      <c r="DK480" s="1973">
        <v>21</v>
      </c>
      <c r="DL480" s="1973">
        <v>21</v>
      </c>
      <c r="DM480" s="1973">
        <v>21</v>
      </c>
      <c r="DO480" s="2146">
        <v>8</v>
      </c>
      <c r="DP480" s="2147">
        <v>61.87624799999999</v>
      </c>
      <c r="DQ480" s="2148">
        <v>4.8551999999999998E-2</v>
      </c>
      <c r="DR480" s="2146">
        <v>-1.7841100000000001</v>
      </c>
      <c r="DS480" s="2046">
        <v>35</v>
      </c>
      <c r="DT480" s="2046">
        <v>35</v>
      </c>
      <c r="DU480" s="2046">
        <v>35</v>
      </c>
      <c r="DV480" s="2046">
        <v>35</v>
      </c>
      <c r="DW480" s="2046">
        <v>0</v>
      </c>
      <c r="DX480" s="2046">
        <v>0</v>
      </c>
      <c r="DY480" s="2046">
        <v>0</v>
      </c>
      <c r="DZ480" s="2046">
        <v>0</v>
      </c>
      <c r="EA480" s="2046">
        <v>51</v>
      </c>
      <c r="EB480" s="2046">
        <v>51</v>
      </c>
      <c r="EC480" s="2046">
        <v>51</v>
      </c>
      <c r="ED480" s="2046">
        <v>51</v>
      </c>
      <c r="EE480" s="2039">
        <f t="shared" si="296"/>
        <v>0</v>
      </c>
      <c r="EF480" s="2039">
        <f t="shared" si="296"/>
        <v>0</v>
      </c>
      <c r="EG480" s="2039">
        <f t="shared" si="296"/>
        <v>0</v>
      </c>
      <c r="EH480" s="2039">
        <f t="shared" si="296"/>
        <v>0</v>
      </c>
      <c r="EI480" s="2040">
        <f t="shared" si="273"/>
        <v>0</v>
      </c>
      <c r="EJ480" s="2040">
        <f t="shared" si="273"/>
        <v>0</v>
      </c>
      <c r="EK480" s="2040">
        <f t="shared" si="273"/>
        <v>0</v>
      </c>
      <c r="EL480" s="2040">
        <f t="shared" si="273"/>
        <v>0</v>
      </c>
      <c r="EM480" s="2040">
        <f t="shared" si="273"/>
        <v>0</v>
      </c>
      <c r="EN480" s="2040">
        <f t="shared" si="273"/>
        <v>0</v>
      </c>
      <c r="EO480" s="2040">
        <f t="shared" si="271"/>
        <v>0</v>
      </c>
      <c r="EP480" s="2040">
        <f t="shared" si="271"/>
        <v>0</v>
      </c>
      <c r="EQ480" s="2040">
        <f t="shared" si="271"/>
        <v>0</v>
      </c>
      <c r="ER480" s="2040">
        <f t="shared" si="271"/>
        <v>0</v>
      </c>
      <c r="ES480" s="2040">
        <f t="shared" si="271"/>
        <v>0</v>
      </c>
      <c r="ET480" s="2040">
        <f t="shared" si="271"/>
        <v>0</v>
      </c>
      <c r="EU480" s="2039">
        <f t="shared" si="297"/>
        <v>0</v>
      </c>
      <c r="EV480" s="2039">
        <f t="shared" si="298"/>
        <v>0</v>
      </c>
    </row>
    <row r="481" spans="1:152" x14ac:dyDescent="0.25">
      <c r="A481" s="2143" t="str">
        <f t="shared" si="311"/>
        <v>LED lamp</v>
      </c>
      <c r="B481" s="1974" t="str">
        <f t="shared" si="311"/>
        <v>BPL81</v>
      </c>
      <c r="C481" s="2027">
        <v>15</v>
      </c>
      <c r="D481" s="2171">
        <v>132.64364949904598</v>
      </c>
      <c r="E481" s="2145">
        <v>2.6460530662842971E-2</v>
      </c>
      <c r="F481" s="2027">
        <v>-2.6801434517075093</v>
      </c>
      <c r="G481" s="1974" t="s">
        <v>2988</v>
      </c>
      <c r="H481" s="1974" t="s">
        <v>2988</v>
      </c>
      <c r="I481" s="2026">
        <v>0.9</v>
      </c>
      <c r="J481" s="2026">
        <v>0.9</v>
      </c>
      <c r="K481" s="2026">
        <v>0.9</v>
      </c>
      <c r="L481" s="2026">
        <v>0.9</v>
      </c>
      <c r="M481" s="2027">
        <f t="shared" si="322"/>
        <v>119.37928454914139</v>
      </c>
      <c r="N481" s="2027">
        <f t="shared" si="322"/>
        <v>119.37928454914139</v>
      </c>
      <c r="O481" s="2027">
        <f t="shared" si="322"/>
        <v>119.37928454914139</v>
      </c>
      <c r="P481" s="2027">
        <f t="shared" si="322"/>
        <v>119.37928454914139</v>
      </c>
      <c r="Q481" s="2026">
        <v>0.9</v>
      </c>
      <c r="R481" s="2026">
        <v>0.9</v>
      </c>
      <c r="S481" s="2026">
        <v>0.9</v>
      </c>
      <c r="T481" s="2026">
        <v>0.9</v>
      </c>
      <c r="U481" s="2028">
        <f t="shared" si="323"/>
        <v>2.3814477596558675E-2</v>
      </c>
      <c r="V481" s="2028">
        <f t="shared" si="323"/>
        <v>2.3814477596558675E-2</v>
      </c>
      <c r="W481" s="2028">
        <f t="shared" si="323"/>
        <v>2.3814477596558675E-2</v>
      </c>
      <c r="X481" s="2028">
        <f t="shared" si="323"/>
        <v>2.3814477596558675E-2</v>
      </c>
      <c r="Y481" s="2026">
        <v>0.9</v>
      </c>
      <c r="Z481" s="2026">
        <v>0.9</v>
      </c>
      <c r="AA481" s="2026">
        <v>0.9</v>
      </c>
      <c r="AB481" s="2026">
        <v>0.9</v>
      </c>
      <c r="AC481" s="2027">
        <f t="shared" si="324"/>
        <v>-2.4121291065367583</v>
      </c>
      <c r="AD481" s="2027">
        <f t="shared" si="324"/>
        <v>-2.4121291065367583</v>
      </c>
      <c r="AE481" s="2027">
        <f t="shared" si="324"/>
        <v>-2.4121291065367583</v>
      </c>
      <c r="AF481" s="2027">
        <f t="shared" si="324"/>
        <v>-2.4121291065367583</v>
      </c>
      <c r="AG481" s="2027">
        <v>13332</v>
      </c>
      <c r="AH481" s="2027">
        <v>13488</v>
      </c>
      <c r="AI481" s="2027">
        <v>13541</v>
      </c>
      <c r="AJ481" s="2027">
        <v>13511</v>
      </c>
      <c r="AK481" s="2027">
        <f t="shared" si="312"/>
        <v>1591564.621609153</v>
      </c>
      <c r="AL481" s="2027">
        <f t="shared" si="313"/>
        <v>1610187.7899988191</v>
      </c>
      <c r="AM481" s="2027">
        <f t="shared" si="313"/>
        <v>760937.64647180401</v>
      </c>
      <c r="AN481" s="2027">
        <f t="shared" si="313"/>
        <v>759251.79392072547</v>
      </c>
      <c r="AO481" s="2027">
        <f t="shared" si="325"/>
        <v>-32158.505248348061</v>
      </c>
      <c r="AP481" s="2027">
        <f t="shared" si="314"/>
        <v>-32534.797388967796</v>
      </c>
      <c r="AQ481" s="2027">
        <f t="shared" si="314"/>
        <v>-15375.195556299868</v>
      </c>
      <c r="AR481" s="2027">
        <f t="shared" si="314"/>
        <v>-15341.131907626284</v>
      </c>
      <c r="AS481" s="2029">
        <v>4.4704485744867171</v>
      </c>
      <c r="AT481" s="2029">
        <f>AS481</f>
        <v>4.4704485744867171</v>
      </c>
      <c r="AU481" s="2029">
        <f>AU20*1.4</f>
        <v>3.1293140021407018</v>
      </c>
      <c r="AV481" s="2029">
        <f>AV20*1.4</f>
        <v>3.1293140021407018</v>
      </c>
      <c r="AW481" s="2029">
        <f t="shared" si="316"/>
        <v>0</v>
      </c>
      <c r="AX481" s="2029">
        <f t="shared" si="317"/>
        <v>0</v>
      </c>
      <c r="AY481" s="2029">
        <f t="shared" si="317"/>
        <v>0</v>
      </c>
      <c r="AZ481" s="2029">
        <f t="shared" si="317"/>
        <v>0</v>
      </c>
      <c r="BA481" s="2029">
        <v>1.7695299211832249</v>
      </c>
      <c r="BB481" s="2029">
        <f>$BA481</f>
        <v>1.7695299211832249</v>
      </c>
      <c r="BC481" s="2029">
        <f t="shared" ref="BC481:BD484" si="331">$BA481</f>
        <v>1.7695299211832249</v>
      </c>
      <c r="BD481" s="2029">
        <f t="shared" si="331"/>
        <v>1.7695299211832249</v>
      </c>
      <c r="BE481" s="2030">
        <f t="shared" si="328"/>
        <v>59600.020395056912</v>
      </c>
      <c r="BF481" s="2030">
        <f t="shared" si="328"/>
        <v>60297.410372676837</v>
      </c>
      <c r="BG481" s="2030">
        <f t="shared" si="328"/>
        <v>42374.040902987246</v>
      </c>
      <c r="BH481" s="2030">
        <f t="shared" si="328"/>
        <v>42280.161482923024</v>
      </c>
      <c r="BI481" s="2030">
        <f t="shared" si="329"/>
        <v>0</v>
      </c>
      <c r="BJ481" s="2030">
        <f t="shared" si="329"/>
        <v>0</v>
      </c>
      <c r="BK481" s="2030">
        <f t="shared" si="329"/>
        <v>0</v>
      </c>
      <c r="BL481" s="2030">
        <f t="shared" si="329"/>
        <v>0</v>
      </c>
      <c r="BM481" s="2125"/>
      <c r="BN481" s="2125"/>
      <c r="BO481" s="2125"/>
      <c r="BP481" s="2125"/>
      <c r="BQ481" s="2125"/>
      <c r="BR481" s="2125"/>
      <c r="BS481" s="2125"/>
      <c r="BT481" s="2125"/>
      <c r="BU481" s="2029"/>
      <c r="BV481" s="2029"/>
      <c r="BW481" s="2029"/>
      <c r="BX481" s="2029"/>
      <c r="BY481" s="2029"/>
      <c r="BZ481" s="2032"/>
      <c r="CA481" s="1974">
        <f t="shared" si="319"/>
        <v>0</v>
      </c>
      <c r="CB481" s="1974">
        <f t="shared" si="319"/>
        <v>0</v>
      </c>
      <c r="CC481" s="1974">
        <f t="shared" si="319"/>
        <v>0</v>
      </c>
      <c r="CD481" s="1974">
        <f t="shared" si="319"/>
        <v>0</v>
      </c>
      <c r="CE481" s="1974">
        <f t="shared" si="319"/>
        <v>1</v>
      </c>
      <c r="CF481" s="2033">
        <v>6.6532761541533217E-3</v>
      </c>
      <c r="CG481" s="2026">
        <v>-1.199770895940108E-2</v>
      </c>
      <c r="CH481" s="2009">
        <f t="shared" si="320"/>
        <v>1</v>
      </c>
      <c r="CI481" s="2031">
        <f t="shared" si="320"/>
        <v>0.20832982508570624</v>
      </c>
      <c r="CJ481" s="1974">
        <f t="shared" si="320"/>
        <v>0</v>
      </c>
      <c r="CK481" s="2031">
        <f t="shared" si="320"/>
        <v>-0.20832982508570624</v>
      </c>
      <c r="CL481" s="2026">
        <v>1</v>
      </c>
      <c r="CM481" s="2026">
        <v>1</v>
      </c>
      <c r="CN481" s="2026">
        <v>0.47072727272727272</v>
      </c>
      <c r="CO481" s="2026">
        <v>0.47072727272727272</v>
      </c>
      <c r="CP481" s="2035"/>
      <c r="CQ481" s="2036"/>
      <c r="CR481" s="2036"/>
      <c r="CS481" s="2036"/>
      <c r="CT481" s="2036"/>
      <c r="CU481" s="2036"/>
      <c r="CV481" s="1973">
        <v>1</v>
      </c>
      <c r="CW481" s="1973">
        <v>1</v>
      </c>
      <c r="CX481" s="2037">
        <v>4.4704485744867171</v>
      </c>
      <c r="CY481" s="2037">
        <v>4.4704485744867171</v>
      </c>
      <c r="CZ481" s="2037">
        <v>3.1293140021407018</v>
      </c>
      <c r="DA481" s="2037">
        <v>3.1293140021407018</v>
      </c>
      <c r="DJ481" s="1976">
        <v>4.4704485744867171</v>
      </c>
      <c r="DK481" s="1973">
        <v>4.4704485744867171</v>
      </c>
      <c r="DL481" s="1973">
        <v>3.1293140021407018</v>
      </c>
      <c r="DM481" s="1973">
        <v>3.1293140021407018</v>
      </c>
      <c r="DO481" s="2027">
        <v>15</v>
      </c>
      <c r="DP481" s="2144">
        <v>132.64364949904598</v>
      </c>
      <c r="DQ481" s="2145">
        <v>2.6460530662842971E-2</v>
      </c>
      <c r="DR481" s="2027">
        <v>-2.6801434517075093</v>
      </c>
      <c r="DS481" s="2029">
        <v>4.4704485744867171</v>
      </c>
      <c r="DT481" s="2029">
        <v>4.4704485744867171</v>
      </c>
      <c r="DU481" s="2029">
        <v>3.1293140021407018</v>
      </c>
      <c r="DV481" s="2029">
        <v>3.1293140021407018</v>
      </c>
      <c r="DW481" s="2029">
        <v>0</v>
      </c>
      <c r="DX481" s="2029">
        <v>0</v>
      </c>
      <c r="DY481" s="2029">
        <v>0</v>
      </c>
      <c r="DZ481" s="2029">
        <v>0</v>
      </c>
      <c r="EA481" s="2029">
        <v>1.7695299211832249</v>
      </c>
      <c r="EB481" s="2029">
        <v>1.7695299211832249</v>
      </c>
      <c r="EC481" s="2029">
        <v>1.7695299211832249</v>
      </c>
      <c r="ED481" s="2029">
        <v>1.7695299211832249</v>
      </c>
      <c r="EE481" s="2039">
        <f t="shared" si="296"/>
        <v>0</v>
      </c>
      <c r="EF481" s="2039">
        <f t="shared" si="296"/>
        <v>0</v>
      </c>
      <c r="EG481" s="2039">
        <f t="shared" si="296"/>
        <v>0</v>
      </c>
      <c r="EH481" s="2039">
        <f t="shared" si="296"/>
        <v>0</v>
      </c>
      <c r="EI481" s="2040">
        <f t="shared" si="273"/>
        <v>0</v>
      </c>
      <c r="EJ481" s="2040">
        <f t="shared" si="273"/>
        <v>0</v>
      </c>
      <c r="EK481" s="2040">
        <f t="shared" si="273"/>
        <v>0</v>
      </c>
      <c r="EL481" s="2040">
        <f t="shared" ref="EL481:ET513" si="332">AV481-DV481</f>
        <v>0</v>
      </c>
      <c r="EM481" s="2040">
        <f t="shared" si="332"/>
        <v>0</v>
      </c>
      <c r="EN481" s="2040">
        <f t="shared" si="332"/>
        <v>0</v>
      </c>
      <c r="EO481" s="2040">
        <f t="shared" si="271"/>
        <v>0</v>
      </c>
      <c r="EP481" s="2040">
        <f t="shared" si="271"/>
        <v>0</v>
      </c>
      <c r="EQ481" s="2040">
        <f t="shared" si="271"/>
        <v>0</v>
      </c>
      <c r="ER481" s="2040">
        <f t="shared" si="271"/>
        <v>0</v>
      </c>
      <c r="ES481" s="2040">
        <f t="shared" si="271"/>
        <v>0</v>
      </c>
      <c r="ET481" s="2040">
        <f t="shared" si="271"/>
        <v>0</v>
      </c>
      <c r="EU481" s="2039">
        <f t="shared" si="297"/>
        <v>0</v>
      </c>
      <c r="EV481" s="2039">
        <f t="shared" si="298"/>
        <v>0</v>
      </c>
    </row>
    <row r="482" spans="1:152" x14ac:dyDescent="0.25">
      <c r="A482" s="2143" t="str">
        <f t="shared" si="311"/>
        <v>LED recessed down fixture</v>
      </c>
      <c r="B482" s="1974" t="str">
        <f t="shared" si="311"/>
        <v>BPL84</v>
      </c>
      <c r="C482" s="2027">
        <v>15</v>
      </c>
      <c r="D482" s="2144">
        <v>105.162366586</v>
      </c>
      <c r="E482" s="2145">
        <v>2.252229088E-2</v>
      </c>
      <c r="F482" s="2027">
        <v>-2.1225431788</v>
      </c>
      <c r="G482" s="1974" t="s">
        <v>2988</v>
      </c>
      <c r="H482" s="1974" t="s">
        <v>2988</v>
      </c>
      <c r="I482" s="2026">
        <v>0.9</v>
      </c>
      <c r="J482" s="2026">
        <v>0.9</v>
      </c>
      <c r="K482" s="2026">
        <v>0.9</v>
      </c>
      <c r="L482" s="2026">
        <v>0.9</v>
      </c>
      <c r="M482" s="2027">
        <f t="shared" si="322"/>
        <v>94.646129927400011</v>
      </c>
      <c r="N482" s="2027">
        <f t="shared" si="322"/>
        <v>94.646129927400011</v>
      </c>
      <c r="O482" s="2027">
        <f t="shared" si="322"/>
        <v>94.646129927400011</v>
      </c>
      <c r="P482" s="2027">
        <f t="shared" si="322"/>
        <v>94.646129927400011</v>
      </c>
      <c r="Q482" s="2026">
        <v>0.9</v>
      </c>
      <c r="R482" s="2026">
        <v>0.9</v>
      </c>
      <c r="S482" s="2026">
        <v>0.9</v>
      </c>
      <c r="T482" s="2026">
        <v>0.9</v>
      </c>
      <c r="U482" s="2028">
        <f t="shared" si="323"/>
        <v>2.0270061791999999E-2</v>
      </c>
      <c r="V482" s="2028">
        <f t="shared" si="323"/>
        <v>2.0270061791999999E-2</v>
      </c>
      <c r="W482" s="2028">
        <f t="shared" si="323"/>
        <v>2.0270061791999999E-2</v>
      </c>
      <c r="X482" s="2028">
        <f t="shared" si="323"/>
        <v>2.0270061791999999E-2</v>
      </c>
      <c r="Y482" s="2026">
        <v>0.9</v>
      </c>
      <c r="Z482" s="2026">
        <v>0.9</v>
      </c>
      <c r="AA482" s="2026">
        <v>0.9</v>
      </c>
      <c r="AB482" s="2026">
        <v>0.9</v>
      </c>
      <c r="AC482" s="2027">
        <f t="shared" si="324"/>
        <v>-1.9102888609199999</v>
      </c>
      <c r="AD482" s="2027">
        <f t="shared" si="324"/>
        <v>-1.9102888609199999</v>
      </c>
      <c r="AE482" s="2027">
        <f t="shared" si="324"/>
        <v>-1.9102888609199999</v>
      </c>
      <c r="AF482" s="2027">
        <f t="shared" si="324"/>
        <v>-1.9102888609199999</v>
      </c>
      <c r="AG482" s="2027">
        <v>978</v>
      </c>
      <c r="AH482" s="2027">
        <v>990</v>
      </c>
      <c r="AI482" s="2027">
        <v>994</v>
      </c>
      <c r="AJ482" s="2027">
        <v>991</v>
      </c>
      <c r="AK482" s="2027">
        <f t="shared" si="312"/>
        <v>92563.915068997216</v>
      </c>
      <c r="AL482" s="2027">
        <f t="shared" si="313"/>
        <v>93699.668628126004</v>
      </c>
      <c r="AM482" s="2027">
        <f t="shared" si="313"/>
        <v>94078.25314783561</v>
      </c>
      <c r="AN482" s="2027">
        <f t="shared" si="313"/>
        <v>93794.314758053413</v>
      </c>
      <c r="AO482" s="2027">
        <f t="shared" si="325"/>
        <v>-1868.2625059797599</v>
      </c>
      <c r="AP482" s="2027">
        <f t="shared" si="314"/>
        <v>-1891.1859723108</v>
      </c>
      <c r="AQ482" s="2027">
        <f t="shared" si="314"/>
        <v>-1898.82712775448</v>
      </c>
      <c r="AR482" s="2027">
        <f t="shared" si="314"/>
        <v>-1893.09626117172</v>
      </c>
      <c r="AS482" s="2029">
        <v>8.4</v>
      </c>
      <c r="AT482" s="2029">
        <f t="shared" si="315"/>
        <v>8.4</v>
      </c>
      <c r="AU482" s="2029">
        <f t="shared" si="315"/>
        <v>8.4</v>
      </c>
      <c r="AV482" s="2029">
        <f t="shared" si="315"/>
        <v>8.4</v>
      </c>
      <c r="AW482" s="2029">
        <f t="shared" si="316"/>
        <v>0</v>
      </c>
      <c r="AX482" s="2029">
        <f t="shared" si="317"/>
        <v>0</v>
      </c>
      <c r="AY482" s="2029">
        <f t="shared" si="317"/>
        <v>0</v>
      </c>
      <c r="AZ482" s="2029">
        <f t="shared" si="317"/>
        <v>0</v>
      </c>
      <c r="BA482" s="2029">
        <v>54.99</v>
      </c>
      <c r="BB482" s="2029">
        <f>$BA482</f>
        <v>54.99</v>
      </c>
      <c r="BC482" s="2029">
        <f t="shared" si="331"/>
        <v>54.99</v>
      </c>
      <c r="BD482" s="2029">
        <f t="shared" si="331"/>
        <v>54.99</v>
      </c>
      <c r="BE482" s="2030">
        <f t="shared" si="328"/>
        <v>8215.2000000000007</v>
      </c>
      <c r="BF482" s="2030">
        <f t="shared" si="328"/>
        <v>8316</v>
      </c>
      <c r="BG482" s="2030">
        <f t="shared" si="328"/>
        <v>8349.6</v>
      </c>
      <c r="BH482" s="2030">
        <f t="shared" si="328"/>
        <v>8324.4</v>
      </c>
      <c r="BI482" s="2030">
        <f t="shared" si="329"/>
        <v>0</v>
      </c>
      <c r="BJ482" s="2030">
        <f t="shared" si="329"/>
        <v>0</v>
      </c>
      <c r="BK482" s="2030">
        <f t="shared" si="329"/>
        <v>0</v>
      </c>
      <c r="BL482" s="2030">
        <f t="shared" si="329"/>
        <v>0</v>
      </c>
      <c r="BM482" s="2125"/>
      <c r="BN482" s="2125"/>
      <c r="BO482" s="2125"/>
      <c r="BP482" s="2125"/>
      <c r="BQ482" s="2125"/>
      <c r="BR482" s="2125"/>
      <c r="BS482" s="2125"/>
      <c r="BT482" s="2125"/>
      <c r="BU482" s="2029"/>
      <c r="BV482" s="2029"/>
      <c r="BW482" s="2029"/>
      <c r="BX482" s="2029"/>
      <c r="BY482" s="2029"/>
      <c r="BZ482" s="2032"/>
      <c r="CA482" s="1974">
        <f t="shared" si="319"/>
        <v>0</v>
      </c>
      <c r="CB482" s="1974">
        <f t="shared" si="319"/>
        <v>0</v>
      </c>
      <c r="CC482" s="1974">
        <f t="shared" si="319"/>
        <v>0</v>
      </c>
      <c r="CD482" s="1974">
        <f t="shared" si="319"/>
        <v>0</v>
      </c>
      <c r="CE482" s="1974">
        <f t="shared" si="319"/>
        <v>0</v>
      </c>
      <c r="CF482" s="2033">
        <v>5.4105091120017147E-4</v>
      </c>
      <c r="CG482" s="2026">
        <v>-8.6622106083848055E-4</v>
      </c>
      <c r="CH482" s="2009">
        <f t="shared" si="320"/>
        <v>1</v>
      </c>
      <c r="CI482" s="2031">
        <f t="shared" si="320"/>
        <v>12.181999999999999</v>
      </c>
      <c r="CJ482" s="1974">
        <f t="shared" si="320"/>
        <v>0</v>
      </c>
      <c r="CK482" s="2031">
        <f t="shared" si="320"/>
        <v>-12.181999999999999</v>
      </c>
      <c r="CL482" s="2026">
        <v>1</v>
      </c>
      <c r="CM482" s="2026">
        <v>1</v>
      </c>
      <c r="CN482" s="2026">
        <v>1</v>
      </c>
      <c r="CO482" s="2026">
        <v>1</v>
      </c>
      <c r="CP482" s="2035"/>
      <c r="CQ482" s="2036"/>
      <c r="CR482" s="2036"/>
      <c r="CS482" s="2036"/>
      <c r="CT482" s="2036"/>
      <c r="CU482" s="2036"/>
      <c r="CV482" s="1973">
        <v>1</v>
      </c>
      <c r="CW482" s="1973">
        <v>1</v>
      </c>
      <c r="CX482" s="2037">
        <v>8.3999999999999986</v>
      </c>
      <c r="CY482" s="2037">
        <v>8.3999999999999986</v>
      </c>
      <c r="CZ482" s="2037">
        <v>8.3999999999999986</v>
      </c>
      <c r="DA482" s="2037">
        <v>8.3999999999999986</v>
      </c>
      <c r="DJ482" s="1976">
        <v>8.3999999999999986</v>
      </c>
      <c r="DK482" s="1973">
        <v>8.3999999999999986</v>
      </c>
      <c r="DL482" s="1973">
        <v>8.3999999999999986</v>
      </c>
      <c r="DM482" s="1973">
        <v>8.3999999999999986</v>
      </c>
      <c r="DO482" s="2146">
        <v>15</v>
      </c>
      <c r="DP482" s="2147">
        <v>105.162366586</v>
      </c>
      <c r="DQ482" s="2148">
        <v>2.2522290879999993E-2</v>
      </c>
      <c r="DR482" s="2146">
        <v>-2.1225431788</v>
      </c>
      <c r="DS482" s="2046">
        <v>8.3999999999999986</v>
      </c>
      <c r="DT482" s="2046">
        <v>8.3999999999999986</v>
      </c>
      <c r="DU482" s="2046">
        <v>8.3999999999999986</v>
      </c>
      <c r="DV482" s="2046">
        <v>8.3999999999999986</v>
      </c>
      <c r="DW482" s="2046">
        <v>0</v>
      </c>
      <c r="DX482" s="2046">
        <v>0</v>
      </c>
      <c r="DY482" s="2046">
        <v>0</v>
      </c>
      <c r="DZ482" s="2046">
        <v>0</v>
      </c>
      <c r="EA482" s="2046">
        <v>54.99</v>
      </c>
      <c r="EB482" s="2046">
        <v>54.99</v>
      </c>
      <c r="EC482" s="2046">
        <v>54.99</v>
      </c>
      <c r="ED482" s="2046">
        <v>54.99</v>
      </c>
      <c r="EE482" s="2039">
        <f t="shared" si="296"/>
        <v>0</v>
      </c>
      <c r="EF482" s="2039">
        <f t="shared" si="296"/>
        <v>0</v>
      </c>
      <c r="EG482" s="2039">
        <f t="shared" si="296"/>
        <v>0</v>
      </c>
      <c r="EH482" s="2039">
        <f t="shared" si="296"/>
        <v>0</v>
      </c>
      <c r="EI482" s="2040">
        <f t="shared" ref="EI482:EN540" si="333">AS482-DS482</f>
        <v>0</v>
      </c>
      <c r="EJ482" s="2040">
        <f t="shared" si="333"/>
        <v>0</v>
      </c>
      <c r="EK482" s="2040">
        <f t="shared" si="333"/>
        <v>0</v>
      </c>
      <c r="EL482" s="2040">
        <f t="shared" si="332"/>
        <v>0</v>
      </c>
      <c r="EM482" s="2040">
        <f t="shared" si="332"/>
        <v>0</v>
      </c>
      <c r="EN482" s="2040">
        <f t="shared" si="332"/>
        <v>0</v>
      </c>
      <c r="EO482" s="2040">
        <f t="shared" si="271"/>
        <v>0</v>
      </c>
      <c r="EP482" s="2040">
        <f t="shared" si="271"/>
        <v>0</v>
      </c>
      <c r="EQ482" s="2040">
        <f t="shared" si="271"/>
        <v>0</v>
      </c>
      <c r="ER482" s="2040">
        <f t="shared" si="271"/>
        <v>0</v>
      </c>
      <c r="ES482" s="2040">
        <f t="shared" si="271"/>
        <v>0</v>
      </c>
      <c r="ET482" s="2040">
        <f t="shared" si="271"/>
        <v>0</v>
      </c>
      <c r="EU482" s="2039">
        <f t="shared" si="297"/>
        <v>0</v>
      </c>
      <c r="EV482" s="2039">
        <f t="shared" si="298"/>
        <v>0</v>
      </c>
    </row>
    <row r="483" spans="1:152" x14ac:dyDescent="0.25">
      <c r="A483" s="2143" t="str">
        <f t="shared" ref="A483:B498" si="334">IF(A22="","",A22)</f>
        <v>Fixture mounted occupancy sensor for new LED systems</v>
      </c>
      <c r="B483" s="1974" t="str">
        <f t="shared" si="334"/>
        <v>BPL72B</v>
      </c>
      <c r="C483" s="2027">
        <v>8</v>
      </c>
      <c r="D483" s="2171">
        <v>79.341437259878504</v>
      </c>
      <c r="E483" s="2145">
        <v>6.3463034521312287E-2</v>
      </c>
      <c r="F483" s="2027">
        <v>-4.5360631771567448</v>
      </c>
      <c r="G483" s="1974" t="s">
        <v>2988</v>
      </c>
      <c r="H483" s="1974" t="s">
        <v>2988</v>
      </c>
      <c r="I483" s="2026">
        <v>0.9</v>
      </c>
      <c r="J483" s="2026">
        <v>0.9</v>
      </c>
      <c r="K483" s="2026">
        <v>0.9</v>
      </c>
      <c r="L483" s="2026">
        <v>0.9</v>
      </c>
      <c r="M483" s="2027">
        <f t="shared" si="322"/>
        <v>71.407293533890652</v>
      </c>
      <c r="N483" s="2027">
        <f t="shared" si="322"/>
        <v>71.407293533890652</v>
      </c>
      <c r="O483" s="2027">
        <f t="shared" si="322"/>
        <v>71.407293533890652</v>
      </c>
      <c r="P483" s="2027">
        <f t="shared" si="322"/>
        <v>71.407293533890652</v>
      </c>
      <c r="Q483" s="2026">
        <v>0.9</v>
      </c>
      <c r="R483" s="2026">
        <v>0.9</v>
      </c>
      <c r="S483" s="2026">
        <v>0.9</v>
      </c>
      <c r="T483" s="2026">
        <v>0.9</v>
      </c>
      <c r="U483" s="2028">
        <f t="shared" si="323"/>
        <v>5.7116731069181061E-2</v>
      </c>
      <c r="V483" s="2028">
        <f t="shared" si="323"/>
        <v>5.7116731069181061E-2</v>
      </c>
      <c r="W483" s="2028">
        <f t="shared" si="323"/>
        <v>5.7116731069181061E-2</v>
      </c>
      <c r="X483" s="2028">
        <f t="shared" si="323"/>
        <v>5.7116731069181061E-2</v>
      </c>
      <c r="Y483" s="2026">
        <v>0.9</v>
      </c>
      <c r="Z483" s="2026">
        <v>0.9</v>
      </c>
      <c r="AA483" s="2026">
        <v>0.9</v>
      </c>
      <c r="AB483" s="2026">
        <v>0.9</v>
      </c>
      <c r="AC483" s="2027">
        <f t="shared" si="324"/>
        <v>-4.0824568594410708</v>
      </c>
      <c r="AD483" s="2027">
        <f t="shared" si="324"/>
        <v>-4.0824568594410708</v>
      </c>
      <c r="AE483" s="2027">
        <f t="shared" si="324"/>
        <v>-4.0824568594410708</v>
      </c>
      <c r="AF483" s="2027">
        <f t="shared" si="324"/>
        <v>-4.0824568594410708</v>
      </c>
      <c r="AG483" s="2027">
        <v>1085</v>
      </c>
      <c r="AH483" s="2027">
        <v>1160</v>
      </c>
      <c r="AI483" s="2027">
        <v>1207</v>
      </c>
      <c r="AJ483" s="2027">
        <v>1229</v>
      </c>
      <c r="AK483" s="2027">
        <f t="shared" si="312"/>
        <v>77476.913484271354</v>
      </c>
      <c r="AL483" s="2027">
        <f t="shared" si="313"/>
        <v>82832.460499313151</v>
      </c>
      <c r="AM483" s="2027">
        <f t="shared" si="313"/>
        <v>86188.603295406021</v>
      </c>
      <c r="AN483" s="2027">
        <f t="shared" si="313"/>
        <v>87759.563753151611</v>
      </c>
      <c r="AO483" s="2027">
        <f t="shared" si="325"/>
        <v>-4429.4656924935616</v>
      </c>
      <c r="AP483" s="2027">
        <f t="shared" si="314"/>
        <v>-4735.6499569516418</v>
      </c>
      <c r="AQ483" s="2027">
        <f t="shared" si="314"/>
        <v>-4927.5254293453727</v>
      </c>
      <c r="AR483" s="2027">
        <f t="shared" si="314"/>
        <v>-5017.3394802530756</v>
      </c>
      <c r="AS483" s="2124">
        <v>42</v>
      </c>
      <c r="AT483" s="2029">
        <f t="shared" si="315"/>
        <v>42</v>
      </c>
      <c r="AU483" s="2029">
        <f t="shared" si="315"/>
        <v>42</v>
      </c>
      <c r="AV483" s="2029">
        <f t="shared" si="315"/>
        <v>42</v>
      </c>
      <c r="AW483" s="2124">
        <f t="shared" si="316"/>
        <v>0</v>
      </c>
      <c r="AX483" s="2029">
        <f t="shared" ref="AX483:AZ546" si="335">$AW483</f>
        <v>0</v>
      </c>
      <c r="AY483" s="2029">
        <f t="shared" si="335"/>
        <v>0</v>
      </c>
      <c r="AZ483" s="2029">
        <f t="shared" si="335"/>
        <v>0</v>
      </c>
      <c r="BA483" s="2131">
        <v>54</v>
      </c>
      <c r="BB483" s="2048">
        <f>$BA483</f>
        <v>54</v>
      </c>
      <c r="BC483" s="2048">
        <f t="shared" si="331"/>
        <v>54</v>
      </c>
      <c r="BD483" s="2048">
        <f t="shared" si="331"/>
        <v>54</v>
      </c>
      <c r="BE483" s="2030">
        <f t="shared" si="328"/>
        <v>45570</v>
      </c>
      <c r="BF483" s="2030">
        <f t="shared" si="328"/>
        <v>48720</v>
      </c>
      <c r="BG483" s="2030">
        <f t="shared" si="328"/>
        <v>50694</v>
      </c>
      <c r="BH483" s="2030">
        <f t="shared" si="328"/>
        <v>51618</v>
      </c>
      <c r="BI483" s="2030">
        <f t="shared" si="329"/>
        <v>0</v>
      </c>
      <c r="BJ483" s="2030">
        <f t="shared" si="329"/>
        <v>0</v>
      </c>
      <c r="BK483" s="2030">
        <f t="shared" si="329"/>
        <v>0</v>
      </c>
      <c r="BL483" s="2030">
        <f t="shared" si="329"/>
        <v>0</v>
      </c>
      <c r="BM483" s="2125"/>
      <c r="BN483" s="2125"/>
      <c r="BO483" s="2125"/>
      <c r="BP483" s="2125"/>
      <c r="BQ483" s="2125"/>
      <c r="BR483" s="2125"/>
      <c r="BS483" s="2125"/>
      <c r="BT483" s="2125"/>
      <c r="BU483" s="2029"/>
      <c r="BV483" s="2029"/>
      <c r="BW483" s="2029"/>
      <c r="BX483" s="2029"/>
      <c r="BY483" s="2029"/>
      <c r="BZ483" s="2032"/>
      <c r="CA483" s="1974">
        <f t="shared" ref="CA483:CE498" si="336">CA22</f>
        <v>0</v>
      </c>
      <c r="CB483" s="1974">
        <f t="shared" si="336"/>
        <v>0</v>
      </c>
      <c r="CC483" s="1974">
        <f t="shared" si="336"/>
        <v>0</v>
      </c>
      <c r="CD483" s="1974">
        <f t="shared" si="336"/>
        <v>0</v>
      </c>
      <c r="CE483" s="1974">
        <f t="shared" si="336"/>
        <v>0</v>
      </c>
      <c r="CF483" s="2033">
        <v>4.5465307031020683E-4</v>
      </c>
      <c r="CG483" s="2026">
        <v>-1.1699548956547394E-3</v>
      </c>
      <c r="CH483" s="2009">
        <f t="shared" ref="CH483:CK498" si="337">CH22</f>
        <v>0</v>
      </c>
      <c r="CI483" s="2031">
        <f t="shared" si="337"/>
        <v>0</v>
      </c>
      <c r="CJ483" s="1974">
        <f t="shared" si="337"/>
        <v>0</v>
      </c>
      <c r="CK483" s="2031">
        <f t="shared" si="337"/>
        <v>0</v>
      </c>
      <c r="CL483" s="2026">
        <v>1</v>
      </c>
      <c r="CM483" s="2026">
        <v>1</v>
      </c>
      <c r="CN483" s="2026">
        <v>1</v>
      </c>
      <c r="CO483" s="2026">
        <v>1</v>
      </c>
      <c r="CP483" s="2035"/>
      <c r="CQ483" s="2036"/>
      <c r="CR483" s="2036"/>
      <c r="CS483" s="2036"/>
      <c r="CT483" s="2036"/>
      <c r="CU483" s="2036"/>
      <c r="CV483" s="1973">
        <v>1</v>
      </c>
      <c r="CW483" s="1973">
        <v>0</v>
      </c>
      <c r="CX483" s="2037">
        <v>42</v>
      </c>
      <c r="CY483" s="2037">
        <v>42</v>
      </c>
      <c r="CZ483" s="2037">
        <v>42</v>
      </c>
      <c r="DA483" s="2037">
        <v>42</v>
      </c>
      <c r="DJ483" s="1976">
        <v>42</v>
      </c>
      <c r="DK483" s="1973">
        <v>42</v>
      </c>
      <c r="DL483" s="1973">
        <v>42</v>
      </c>
      <c r="DM483" s="1973">
        <v>42</v>
      </c>
      <c r="DO483" s="2146">
        <v>8</v>
      </c>
      <c r="DP483" s="2147">
        <v>79.343582401167112</v>
      </c>
      <c r="DQ483" s="2148">
        <v>5.9473999051849483E-2</v>
      </c>
      <c r="DR483" s="2146">
        <v>-6.6561899777531819</v>
      </c>
      <c r="DS483" s="2046">
        <v>42</v>
      </c>
      <c r="DT483" s="2046">
        <v>42</v>
      </c>
      <c r="DU483" s="2046">
        <v>42</v>
      </c>
      <c r="DV483" s="2046">
        <v>42</v>
      </c>
      <c r="DW483" s="2046">
        <v>0</v>
      </c>
      <c r="DX483" s="2046">
        <v>0</v>
      </c>
      <c r="DY483" s="2046">
        <v>0</v>
      </c>
      <c r="DZ483" s="2046">
        <v>0</v>
      </c>
      <c r="EA483" s="2046">
        <v>54</v>
      </c>
      <c r="EB483" s="2046">
        <v>54</v>
      </c>
      <c r="EC483" s="2046">
        <v>54</v>
      </c>
      <c r="ED483" s="2046">
        <v>54</v>
      </c>
      <c r="EE483" s="2039">
        <f t="shared" si="296"/>
        <v>0</v>
      </c>
      <c r="EF483" s="2039">
        <f t="shared" si="296"/>
        <v>-2.1451412886079879E-3</v>
      </c>
      <c r="EG483" s="2039">
        <f t="shared" si="296"/>
        <v>3.9890354694628039E-3</v>
      </c>
      <c r="EH483" s="2039">
        <f t="shared" si="296"/>
        <v>2.1201268005964371</v>
      </c>
      <c r="EI483" s="2040">
        <f t="shared" si="333"/>
        <v>0</v>
      </c>
      <c r="EJ483" s="2040">
        <f t="shared" si="333"/>
        <v>0</v>
      </c>
      <c r="EK483" s="2040">
        <f t="shared" si="333"/>
        <v>0</v>
      </c>
      <c r="EL483" s="2040">
        <f t="shared" si="332"/>
        <v>0</v>
      </c>
      <c r="EM483" s="2040">
        <f t="shared" si="332"/>
        <v>0</v>
      </c>
      <c r="EN483" s="2040">
        <f t="shared" si="332"/>
        <v>0</v>
      </c>
      <c r="EO483" s="2040">
        <f t="shared" si="271"/>
        <v>0</v>
      </c>
      <c r="EP483" s="2040">
        <f t="shared" si="271"/>
        <v>0</v>
      </c>
      <c r="EQ483" s="2040">
        <f t="shared" si="271"/>
        <v>0</v>
      </c>
      <c r="ER483" s="2040">
        <f t="shared" si="271"/>
        <v>0</v>
      </c>
      <c r="ES483" s="2040">
        <f t="shared" si="271"/>
        <v>0</v>
      </c>
      <c r="ET483" s="2040">
        <f t="shared" si="271"/>
        <v>0</v>
      </c>
      <c r="EU483" s="2039">
        <f t="shared" si="297"/>
        <v>2.1219706947772918</v>
      </c>
      <c r="EV483" s="2039">
        <f t="shared" si="298"/>
        <v>2.1219706947772918</v>
      </c>
    </row>
    <row r="484" spans="1:152" x14ac:dyDescent="0.25">
      <c r="A484" s="2143" t="str">
        <f t="shared" si="334"/>
        <v>Exterior Lighting</v>
      </c>
      <c r="B484" s="1974" t="str">
        <f t="shared" si="334"/>
        <v>BPL50 and Online Store</v>
      </c>
      <c r="C484" s="2027">
        <v>15</v>
      </c>
      <c r="D484" s="2171">
        <v>1807.2102776975823</v>
      </c>
      <c r="E484" s="2145">
        <v>0</v>
      </c>
      <c r="F484" s="2027">
        <v>0</v>
      </c>
      <c r="G484" s="1974" t="s">
        <v>2988</v>
      </c>
      <c r="H484" s="1974" t="s">
        <v>2988</v>
      </c>
      <c r="I484" s="2026">
        <v>0.9</v>
      </c>
      <c r="J484" s="2026">
        <v>0.9</v>
      </c>
      <c r="K484" s="2026">
        <v>0.9</v>
      </c>
      <c r="L484" s="2026">
        <v>0.9</v>
      </c>
      <c r="M484" s="2027">
        <f t="shared" si="322"/>
        <v>1626.4892499278242</v>
      </c>
      <c r="N484" s="2027">
        <f t="shared" si="322"/>
        <v>1626.4892499278242</v>
      </c>
      <c r="O484" s="2027">
        <f t="shared" si="322"/>
        <v>1626.4892499278242</v>
      </c>
      <c r="P484" s="2027">
        <f t="shared" si="322"/>
        <v>1626.4892499278242</v>
      </c>
      <c r="Q484" s="2026">
        <v>0.9</v>
      </c>
      <c r="R484" s="2026">
        <v>0.9</v>
      </c>
      <c r="S484" s="2026">
        <v>0.9</v>
      </c>
      <c r="T484" s="2026">
        <v>0.9</v>
      </c>
      <c r="U484" s="2028">
        <f t="shared" si="323"/>
        <v>0</v>
      </c>
      <c r="V484" s="2028">
        <f t="shared" si="323"/>
        <v>0</v>
      </c>
      <c r="W484" s="2028">
        <f t="shared" si="323"/>
        <v>0</v>
      </c>
      <c r="X484" s="2028">
        <f t="shared" si="323"/>
        <v>0</v>
      </c>
      <c r="Y484" s="2026">
        <v>0.9</v>
      </c>
      <c r="Z484" s="2026">
        <v>0.9</v>
      </c>
      <c r="AA484" s="2026">
        <v>0.9</v>
      </c>
      <c r="AB484" s="2026">
        <v>0.9</v>
      </c>
      <c r="AC484" s="2027">
        <f t="shared" si="324"/>
        <v>0</v>
      </c>
      <c r="AD484" s="2027">
        <f t="shared" si="324"/>
        <v>0</v>
      </c>
      <c r="AE484" s="2027">
        <f t="shared" si="324"/>
        <v>0</v>
      </c>
      <c r="AF484" s="2027">
        <f t="shared" si="324"/>
        <v>0</v>
      </c>
      <c r="AG484" s="2027">
        <v>889</v>
      </c>
      <c r="AH484" s="2027">
        <v>900</v>
      </c>
      <c r="AI484" s="2027">
        <v>903</v>
      </c>
      <c r="AJ484" s="2027">
        <v>901</v>
      </c>
      <c r="AK484" s="2027">
        <f t="shared" si="312"/>
        <v>1445948.9431858356</v>
      </c>
      <c r="AL484" s="2027">
        <f t="shared" si="313"/>
        <v>1444478.9187336555</v>
      </c>
      <c r="AM484" s="2027">
        <f t="shared" si="313"/>
        <v>1449293.8484627677</v>
      </c>
      <c r="AN484" s="2027">
        <f t="shared" si="313"/>
        <v>1446083.8953100261</v>
      </c>
      <c r="AO484" s="2027">
        <f t="shared" si="325"/>
        <v>0</v>
      </c>
      <c r="AP484" s="2027">
        <f t="shared" si="314"/>
        <v>0</v>
      </c>
      <c r="AQ484" s="2027">
        <f t="shared" si="314"/>
        <v>0</v>
      </c>
      <c r="AR484" s="2027">
        <f t="shared" si="314"/>
        <v>0</v>
      </c>
      <c r="AS484" s="2029">
        <v>206.52642367376401</v>
      </c>
      <c r="AT484" s="2029">
        <f t="shared" si="315"/>
        <v>206.52642367376401</v>
      </c>
      <c r="AU484" s="2029">
        <f t="shared" si="315"/>
        <v>206.52642367376401</v>
      </c>
      <c r="AV484" s="2029">
        <f t="shared" si="315"/>
        <v>206.52642367376401</v>
      </c>
      <c r="AW484" s="2029">
        <f t="shared" si="316"/>
        <v>0</v>
      </c>
      <c r="AX484" s="2029">
        <f t="shared" si="335"/>
        <v>0</v>
      </c>
      <c r="AY484" s="2029">
        <f t="shared" si="335"/>
        <v>0</v>
      </c>
      <c r="AZ484" s="2029">
        <f t="shared" si="335"/>
        <v>0</v>
      </c>
      <c r="BA484" s="2029">
        <v>189.73709076145795</v>
      </c>
      <c r="BB484" s="2029">
        <f>$BA484</f>
        <v>189.73709076145795</v>
      </c>
      <c r="BC484" s="2029">
        <f t="shared" si="331"/>
        <v>189.73709076145795</v>
      </c>
      <c r="BD484" s="2029">
        <f t="shared" si="331"/>
        <v>189.73709076145795</v>
      </c>
      <c r="BE484" s="2030">
        <f t="shared" si="328"/>
        <v>183601.99064597621</v>
      </c>
      <c r="BF484" s="2030">
        <f t="shared" si="328"/>
        <v>185873.78130638762</v>
      </c>
      <c r="BG484" s="2030">
        <f t="shared" si="328"/>
        <v>186493.36057740889</v>
      </c>
      <c r="BH484" s="2030">
        <f t="shared" si="328"/>
        <v>186080.30773006138</v>
      </c>
      <c r="BI484" s="2030">
        <f t="shared" si="329"/>
        <v>0</v>
      </c>
      <c r="BJ484" s="2030">
        <f t="shared" si="329"/>
        <v>0</v>
      </c>
      <c r="BK484" s="2030">
        <f t="shared" si="329"/>
        <v>0</v>
      </c>
      <c r="BL484" s="2030">
        <f t="shared" si="329"/>
        <v>0</v>
      </c>
      <c r="BM484" s="2125"/>
      <c r="BN484" s="2125"/>
      <c r="BO484" s="2125"/>
      <c r="BP484" s="2125"/>
      <c r="BQ484" s="2125"/>
      <c r="BR484" s="2125"/>
      <c r="BS484" s="2125"/>
      <c r="BT484" s="2125"/>
      <c r="BU484" s="2029"/>
      <c r="BV484" s="2029"/>
      <c r="BW484" s="2029"/>
      <c r="BX484" s="2029"/>
      <c r="BY484" s="2029"/>
      <c r="BZ484" s="2032"/>
      <c r="CA484" s="1974">
        <f t="shared" si="336"/>
        <v>0</v>
      </c>
      <c r="CB484" s="1974">
        <f t="shared" si="336"/>
        <v>0</v>
      </c>
      <c r="CC484" s="1974">
        <f t="shared" si="336"/>
        <v>0</v>
      </c>
      <c r="CD484" s="1974">
        <f t="shared" si="336"/>
        <v>0</v>
      </c>
      <c r="CE484" s="1974">
        <f t="shared" si="336"/>
        <v>1</v>
      </c>
      <c r="CF484" s="2033">
        <v>6.0445535752704184E-3</v>
      </c>
      <c r="CG484" s="2026">
        <v>0</v>
      </c>
      <c r="CH484" s="2009">
        <f t="shared" si="337"/>
        <v>1</v>
      </c>
      <c r="CI484" s="2031">
        <f t="shared" si="337"/>
        <v>16.835977777777774</v>
      </c>
      <c r="CJ484" s="1974">
        <f t="shared" si="337"/>
        <v>0</v>
      </c>
      <c r="CK484" s="2031">
        <f t="shared" si="337"/>
        <v>-16.835977777777774</v>
      </c>
      <c r="CL484" s="2026">
        <v>1</v>
      </c>
      <c r="CM484" s="2026">
        <v>0.98677355318637949</v>
      </c>
      <c r="CN484" s="2026">
        <v>0.98677355318637949</v>
      </c>
      <c r="CO484" s="2026">
        <v>0.98677355318637949</v>
      </c>
      <c r="CP484" s="2035"/>
      <c r="CQ484" s="2036"/>
      <c r="CR484" s="2036"/>
      <c r="CS484" s="2036"/>
      <c r="CT484" s="2036"/>
      <c r="CU484" s="2036"/>
      <c r="CV484" s="1973">
        <v>1</v>
      </c>
      <c r="CW484" s="1973">
        <v>0</v>
      </c>
      <c r="CX484" s="2037">
        <v>180.71062071454347</v>
      </c>
      <c r="CY484" s="2037">
        <v>180.71062071454347</v>
      </c>
      <c r="CZ484" s="2037">
        <v>180.71062071454347</v>
      </c>
      <c r="DA484" s="2037">
        <v>180.71062071454347</v>
      </c>
      <c r="DJ484" s="1976">
        <v>180.71062071454347</v>
      </c>
      <c r="DK484" s="1973">
        <v>180.71062071454347</v>
      </c>
      <c r="DL484" s="1973">
        <v>180.71062071454347</v>
      </c>
      <c r="DM484" s="1973">
        <v>180.71062071454347</v>
      </c>
      <c r="DO484" s="2146">
        <v>15</v>
      </c>
      <c r="DP484" s="2147">
        <v>1807.2102776975823</v>
      </c>
      <c r="DQ484" s="2148">
        <v>0</v>
      </c>
      <c r="DR484" s="2146">
        <v>0</v>
      </c>
      <c r="DS484" s="2046">
        <v>206.52642367376396</v>
      </c>
      <c r="DT484" s="2046">
        <v>206.52642367376396</v>
      </c>
      <c r="DU484" s="2046">
        <v>206.52642367376396</v>
      </c>
      <c r="DV484" s="2046">
        <v>206.52642367376396</v>
      </c>
      <c r="DW484" s="2046">
        <v>0</v>
      </c>
      <c r="DX484" s="2046">
        <v>0</v>
      </c>
      <c r="DY484" s="2046">
        <v>0</v>
      </c>
      <c r="DZ484" s="2046">
        <v>0</v>
      </c>
      <c r="EA484" s="2046">
        <v>189.73709076145795</v>
      </c>
      <c r="EB484" s="2046">
        <v>189.73709076145795</v>
      </c>
      <c r="EC484" s="2046">
        <v>189.73709076145795</v>
      </c>
      <c r="ED484" s="2046">
        <v>189.73709076145795</v>
      </c>
      <c r="EE484" s="2039">
        <f t="shared" si="296"/>
        <v>0</v>
      </c>
      <c r="EF484" s="2039">
        <f t="shared" si="296"/>
        <v>0</v>
      </c>
      <c r="EG484" s="2039">
        <f t="shared" si="296"/>
        <v>0</v>
      </c>
      <c r="EH484" s="2039">
        <f t="shared" si="296"/>
        <v>0</v>
      </c>
      <c r="EI484" s="2040">
        <f t="shared" si="333"/>
        <v>0</v>
      </c>
      <c r="EJ484" s="2040">
        <f t="shared" si="333"/>
        <v>0</v>
      </c>
      <c r="EK484" s="2040">
        <f t="shared" si="333"/>
        <v>0</v>
      </c>
      <c r="EL484" s="2040">
        <f t="shared" si="332"/>
        <v>0</v>
      </c>
      <c r="EM484" s="2040">
        <f t="shared" si="332"/>
        <v>0</v>
      </c>
      <c r="EN484" s="2040">
        <f t="shared" si="332"/>
        <v>0</v>
      </c>
      <c r="EO484" s="2040">
        <f t="shared" si="271"/>
        <v>0</v>
      </c>
      <c r="EP484" s="2040">
        <f t="shared" si="271"/>
        <v>0</v>
      </c>
      <c r="EQ484" s="2040">
        <f t="shared" si="271"/>
        <v>0</v>
      </c>
      <c r="ER484" s="2040">
        <f t="shared" si="271"/>
        <v>0</v>
      </c>
      <c r="ES484" s="2040">
        <f t="shared" si="271"/>
        <v>0</v>
      </c>
      <c r="ET484" s="2040">
        <f t="shared" si="271"/>
        <v>0</v>
      </c>
      <c r="EU484" s="2039">
        <f t="shared" si="297"/>
        <v>0</v>
      </c>
      <c r="EV484" s="2039">
        <f t="shared" si="298"/>
        <v>0</v>
      </c>
    </row>
    <row r="485" spans="1:152" x14ac:dyDescent="0.25">
      <c r="A485" s="2143" t="str">
        <f t="shared" si="334"/>
        <v>Permanent Fixture/Lamp Removal</v>
      </c>
      <c r="B485" s="1974" t="str">
        <f t="shared" si="334"/>
        <v xml:space="preserve">BPL68 </v>
      </c>
      <c r="C485" s="2027">
        <f t="shared" si="321"/>
        <v>11</v>
      </c>
      <c r="D485" s="2144">
        <v>313.26881013799391</v>
      </c>
      <c r="E485" s="2145">
        <v>5.9674605536221718E-2</v>
      </c>
      <c r="F485" s="2027">
        <v>-5.2649053908958043</v>
      </c>
      <c r="G485" s="1974" t="s">
        <v>2988</v>
      </c>
      <c r="H485" s="1974" t="s">
        <v>2988</v>
      </c>
      <c r="I485" s="2026">
        <v>0.9</v>
      </c>
      <c r="J485" s="2026">
        <v>0.9</v>
      </c>
      <c r="K485" s="2026">
        <v>0.9</v>
      </c>
      <c r="L485" s="2026">
        <v>0.9</v>
      </c>
      <c r="M485" s="2027">
        <f t="shared" si="322"/>
        <v>281.94192912419453</v>
      </c>
      <c r="N485" s="2027">
        <f t="shared" si="322"/>
        <v>281.94192912419453</v>
      </c>
      <c r="O485" s="2027">
        <f t="shared" si="322"/>
        <v>281.94192912419453</v>
      </c>
      <c r="P485" s="2027">
        <f t="shared" si="322"/>
        <v>281.94192912419453</v>
      </c>
      <c r="Q485" s="2026">
        <v>0.9</v>
      </c>
      <c r="R485" s="2026">
        <v>0.9</v>
      </c>
      <c r="S485" s="2026">
        <v>0.9</v>
      </c>
      <c r="T485" s="2026">
        <v>0.9</v>
      </c>
      <c r="U485" s="2028">
        <f t="shared" si="323"/>
        <v>5.3707144982599549E-2</v>
      </c>
      <c r="V485" s="2028">
        <f t="shared" si="323"/>
        <v>5.3707144982599549E-2</v>
      </c>
      <c r="W485" s="2028">
        <f t="shared" si="323"/>
        <v>5.3707144982599549E-2</v>
      </c>
      <c r="X485" s="2028">
        <f t="shared" si="323"/>
        <v>5.3707144982599549E-2</v>
      </c>
      <c r="Y485" s="2026">
        <v>0.9</v>
      </c>
      <c r="Z485" s="2026">
        <v>0.9</v>
      </c>
      <c r="AA485" s="2026">
        <v>0.9</v>
      </c>
      <c r="AB485" s="2026">
        <v>0.9</v>
      </c>
      <c r="AC485" s="2027">
        <f t="shared" si="324"/>
        <v>-4.7384148518062243</v>
      </c>
      <c r="AD485" s="2027">
        <f t="shared" si="324"/>
        <v>-4.7384148518062243</v>
      </c>
      <c r="AE485" s="2027">
        <f t="shared" si="324"/>
        <v>-4.7384148518062243</v>
      </c>
      <c r="AF485" s="2027">
        <f t="shared" si="324"/>
        <v>-4.7384148518062243</v>
      </c>
      <c r="AG485" s="2027">
        <v>36</v>
      </c>
      <c r="AH485" s="2027">
        <v>38</v>
      </c>
      <c r="AI485" s="2027">
        <v>39</v>
      </c>
      <c r="AJ485" s="2027">
        <v>40</v>
      </c>
      <c r="AK485" s="2027">
        <f t="shared" si="312"/>
        <v>10149.909448471004</v>
      </c>
      <c r="AL485" s="2027">
        <f t="shared" si="313"/>
        <v>9011.7438735951764</v>
      </c>
      <c r="AM485" s="2027">
        <f t="shared" si="313"/>
        <v>9248.8950281634716</v>
      </c>
      <c r="AN485" s="2027">
        <f t="shared" si="313"/>
        <v>9486.0461827317649</v>
      </c>
      <c r="AO485" s="2027">
        <f t="shared" si="325"/>
        <v>-170.58293466502408</v>
      </c>
      <c r="AP485" s="2027">
        <f t="shared" si="314"/>
        <v>-151.45452520652691</v>
      </c>
      <c r="AQ485" s="2027">
        <f t="shared" si="314"/>
        <v>-155.44017060669867</v>
      </c>
      <c r="AR485" s="2027">
        <f t="shared" si="314"/>
        <v>-159.42581600687043</v>
      </c>
      <c r="AS485" s="2124">
        <f t="shared" si="326"/>
        <v>15.119999999999997</v>
      </c>
      <c r="AT485" s="2029">
        <f t="shared" si="315"/>
        <v>15.119999999999997</v>
      </c>
      <c r="AU485" s="2029">
        <f t="shared" si="315"/>
        <v>15.119999999999997</v>
      </c>
      <c r="AV485" s="2029">
        <f t="shared" si="315"/>
        <v>15.119999999999997</v>
      </c>
      <c r="AW485" s="2124">
        <f t="shared" si="316"/>
        <v>0</v>
      </c>
      <c r="AX485" s="2029">
        <f t="shared" si="335"/>
        <v>0</v>
      </c>
      <c r="AY485" s="2029">
        <f t="shared" si="335"/>
        <v>0</v>
      </c>
      <c r="AZ485" s="2029">
        <f t="shared" si="335"/>
        <v>0</v>
      </c>
      <c r="BA485" s="2124">
        <f t="shared" ref="BA485:BD500" si="338">BA24</f>
        <v>12</v>
      </c>
      <c r="BB485" s="2029">
        <f t="shared" si="338"/>
        <v>12</v>
      </c>
      <c r="BC485" s="2029">
        <f t="shared" si="338"/>
        <v>12</v>
      </c>
      <c r="BD485" s="2029">
        <f t="shared" si="338"/>
        <v>12</v>
      </c>
      <c r="BE485" s="2030">
        <f t="shared" si="328"/>
        <v>544.31999999999994</v>
      </c>
      <c r="BF485" s="2030">
        <f t="shared" si="328"/>
        <v>574.55999999999995</v>
      </c>
      <c r="BG485" s="2030">
        <f t="shared" si="328"/>
        <v>589.67999999999995</v>
      </c>
      <c r="BH485" s="2030">
        <f t="shared" si="328"/>
        <v>604.79999999999995</v>
      </c>
      <c r="BI485" s="2030">
        <f t="shared" si="329"/>
        <v>0</v>
      </c>
      <c r="BJ485" s="2030">
        <f t="shared" si="329"/>
        <v>0</v>
      </c>
      <c r="BK485" s="2030">
        <f t="shared" si="329"/>
        <v>0</v>
      </c>
      <c r="BL485" s="2030">
        <f t="shared" si="329"/>
        <v>0</v>
      </c>
      <c r="BM485" s="2125"/>
      <c r="BN485" s="2125"/>
      <c r="BO485" s="2125"/>
      <c r="BP485" s="2125"/>
      <c r="BQ485" s="2125"/>
      <c r="BR485" s="2125"/>
      <c r="BS485" s="2125"/>
      <c r="BT485" s="2125"/>
      <c r="BU485" s="2029"/>
      <c r="BV485" s="2029"/>
      <c r="BW485" s="2029"/>
      <c r="BX485" s="2029"/>
      <c r="BY485" s="2029"/>
      <c r="BZ485" s="2032"/>
      <c r="CA485" s="1974">
        <f t="shared" si="336"/>
        <v>0</v>
      </c>
      <c r="CB485" s="1974">
        <f t="shared" si="336"/>
        <v>0</v>
      </c>
      <c r="CC485" s="1974">
        <f t="shared" si="336"/>
        <v>0</v>
      </c>
      <c r="CD485" s="1974">
        <f t="shared" si="336"/>
        <v>0</v>
      </c>
      <c r="CE485" s="1974">
        <f t="shared" si="336"/>
        <v>1</v>
      </c>
      <c r="CF485" s="2033">
        <v>4.2430039964102244E-5</v>
      </c>
      <c r="CG485" s="2026">
        <v>-6.3641154579366528E-5</v>
      </c>
      <c r="CH485" s="2009">
        <f t="shared" si="337"/>
        <v>0</v>
      </c>
      <c r="CI485" s="2031">
        <f t="shared" si="337"/>
        <v>0</v>
      </c>
      <c r="CJ485" s="1974">
        <f t="shared" si="337"/>
        <v>0</v>
      </c>
      <c r="CK485" s="2031">
        <f t="shared" si="337"/>
        <v>0</v>
      </c>
      <c r="CL485" s="2026">
        <v>1</v>
      </c>
      <c r="CM485" s="2026">
        <v>0.84113475177304964</v>
      </c>
      <c r="CN485" s="2026">
        <v>0.84113475177304964</v>
      </c>
      <c r="CO485" s="2026">
        <v>0.84113475177304964</v>
      </c>
      <c r="CP485" s="2035"/>
      <c r="CQ485" s="2036"/>
      <c r="CR485" s="2036"/>
      <c r="CS485" s="2036"/>
      <c r="CT485" s="2036"/>
      <c r="CU485" s="2036"/>
      <c r="CV485" s="1973">
        <v>1</v>
      </c>
      <c r="CW485" s="1973">
        <v>0</v>
      </c>
      <c r="CX485" s="2037">
        <v>15.119999999999997</v>
      </c>
      <c r="CY485" s="2037">
        <v>15.119999999999997</v>
      </c>
      <c r="CZ485" s="2037">
        <v>15.119999999999997</v>
      </c>
      <c r="DA485" s="2037">
        <v>15.119999999999997</v>
      </c>
      <c r="DJ485" s="1976">
        <v>15.119999999999997</v>
      </c>
      <c r="DK485" s="1973">
        <v>15.119999999999997</v>
      </c>
      <c r="DL485" s="1973">
        <v>15.119999999999997</v>
      </c>
      <c r="DM485" s="1973">
        <v>15.119999999999997</v>
      </c>
      <c r="DO485" s="2027">
        <v>11</v>
      </c>
      <c r="DP485" s="2144">
        <v>313.26881013799391</v>
      </c>
      <c r="DQ485" s="2145">
        <v>5.9674605536221718E-2</v>
      </c>
      <c r="DR485" s="2027">
        <v>-5.2649053908958043</v>
      </c>
      <c r="DS485" s="2124">
        <v>15.119999999999997</v>
      </c>
      <c r="DT485" s="2029">
        <v>15.119999999999997</v>
      </c>
      <c r="DU485" s="2029">
        <v>15.119999999999997</v>
      </c>
      <c r="DV485" s="2029">
        <v>15.119999999999997</v>
      </c>
      <c r="DW485" s="2124">
        <v>0</v>
      </c>
      <c r="DX485" s="2029">
        <v>0</v>
      </c>
      <c r="DY485" s="2029">
        <v>0</v>
      </c>
      <c r="DZ485" s="2029">
        <v>0</v>
      </c>
      <c r="EA485" s="2124">
        <v>12</v>
      </c>
      <c r="EB485" s="2029">
        <v>12</v>
      </c>
      <c r="EC485" s="2029">
        <v>12</v>
      </c>
      <c r="ED485" s="2029">
        <v>12</v>
      </c>
      <c r="EE485" s="2039">
        <f t="shared" si="296"/>
        <v>0</v>
      </c>
      <c r="EF485" s="2039">
        <f t="shared" si="296"/>
        <v>0</v>
      </c>
      <c r="EG485" s="2039">
        <f t="shared" si="296"/>
        <v>0</v>
      </c>
      <c r="EH485" s="2039">
        <f t="shared" si="296"/>
        <v>0</v>
      </c>
      <c r="EI485" s="2040">
        <f t="shared" si="333"/>
        <v>0</v>
      </c>
      <c r="EJ485" s="2040">
        <f t="shared" si="333"/>
        <v>0</v>
      </c>
      <c r="EK485" s="2040">
        <f t="shared" si="333"/>
        <v>0</v>
      </c>
      <c r="EL485" s="2040">
        <f t="shared" si="332"/>
        <v>0</v>
      </c>
      <c r="EM485" s="2040">
        <f t="shared" si="332"/>
        <v>0</v>
      </c>
      <c r="EN485" s="2040">
        <f t="shared" si="332"/>
        <v>0</v>
      </c>
      <c r="EO485" s="2040">
        <f t="shared" si="271"/>
        <v>0</v>
      </c>
      <c r="EP485" s="2040">
        <f t="shared" si="271"/>
        <v>0</v>
      </c>
      <c r="EQ485" s="2040">
        <f t="shared" si="271"/>
        <v>0</v>
      </c>
      <c r="ER485" s="2040">
        <f t="shared" si="271"/>
        <v>0</v>
      </c>
      <c r="ES485" s="2040">
        <f t="shared" si="271"/>
        <v>0</v>
      </c>
      <c r="ET485" s="2040">
        <f t="shared" si="271"/>
        <v>0</v>
      </c>
      <c r="EU485" s="2039">
        <f t="shared" si="297"/>
        <v>0</v>
      </c>
      <c r="EV485" s="2039">
        <f t="shared" si="298"/>
        <v>0</v>
      </c>
    </row>
    <row r="486" spans="1:152" x14ac:dyDescent="0.25">
      <c r="A486" s="2149" t="str">
        <f t="shared" si="334"/>
        <v>Glass Door LED Cooler/Freezer Lighting</v>
      </c>
      <c r="B486" s="1974" t="str">
        <f t="shared" si="334"/>
        <v>BPL93</v>
      </c>
      <c r="C486" s="2027">
        <f t="shared" si="321"/>
        <v>15</v>
      </c>
      <c r="D486" s="2144">
        <v>446.28760526374271</v>
      </c>
      <c r="E486" s="2145">
        <v>5.9540335396589893E-2</v>
      </c>
      <c r="F486" s="2027">
        <v>0</v>
      </c>
      <c r="G486" s="1974" t="s">
        <v>2988</v>
      </c>
      <c r="H486" s="1974" t="s">
        <v>2988</v>
      </c>
      <c r="I486" s="2026">
        <v>0.9</v>
      </c>
      <c r="J486" s="2026">
        <v>0.9</v>
      </c>
      <c r="K486" s="2026">
        <v>0.9</v>
      </c>
      <c r="L486" s="2026">
        <v>0.9</v>
      </c>
      <c r="M486" s="2027">
        <f t="shared" si="322"/>
        <v>401.65884473736844</v>
      </c>
      <c r="N486" s="2027">
        <f t="shared" si="322"/>
        <v>401.65884473736844</v>
      </c>
      <c r="O486" s="2027">
        <f t="shared" si="322"/>
        <v>401.65884473736844</v>
      </c>
      <c r="P486" s="2027">
        <f t="shared" si="322"/>
        <v>401.65884473736844</v>
      </c>
      <c r="Q486" s="2026">
        <v>0.9</v>
      </c>
      <c r="R486" s="2026">
        <v>0.9</v>
      </c>
      <c r="S486" s="2026">
        <v>0.9</v>
      </c>
      <c r="T486" s="2026">
        <v>0.9</v>
      </c>
      <c r="U486" s="2028">
        <f t="shared" si="323"/>
        <v>5.3586301856930904E-2</v>
      </c>
      <c r="V486" s="2028">
        <f t="shared" si="323"/>
        <v>5.3586301856930904E-2</v>
      </c>
      <c r="W486" s="2028">
        <f t="shared" si="323"/>
        <v>5.3586301856930904E-2</v>
      </c>
      <c r="X486" s="2028">
        <f t="shared" si="323"/>
        <v>5.3586301856930904E-2</v>
      </c>
      <c r="Y486" s="2026">
        <v>0.9</v>
      </c>
      <c r="Z486" s="2026">
        <v>0.9</v>
      </c>
      <c r="AA486" s="2026">
        <v>0.9</v>
      </c>
      <c r="AB486" s="2026">
        <v>0.9</v>
      </c>
      <c r="AC486" s="2027">
        <f t="shared" si="324"/>
        <v>0</v>
      </c>
      <c r="AD486" s="2027">
        <f t="shared" si="324"/>
        <v>0</v>
      </c>
      <c r="AE486" s="2027">
        <f t="shared" si="324"/>
        <v>0</v>
      </c>
      <c r="AF486" s="2027">
        <f t="shared" si="324"/>
        <v>0</v>
      </c>
      <c r="AG486" s="2027">
        <v>0</v>
      </c>
      <c r="AH486" s="2027">
        <v>0</v>
      </c>
      <c r="AI486" s="2027">
        <v>0</v>
      </c>
      <c r="AJ486" s="2027">
        <v>0</v>
      </c>
      <c r="AK486" s="2027">
        <f t="shared" si="312"/>
        <v>0</v>
      </c>
      <c r="AL486" s="2027">
        <f t="shared" si="313"/>
        <v>0</v>
      </c>
      <c r="AM486" s="2027">
        <f t="shared" si="313"/>
        <v>0</v>
      </c>
      <c r="AN486" s="2027">
        <f t="shared" si="313"/>
        <v>0</v>
      </c>
      <c r="AO486" s="2027">
        <f t="shared" si="325"/>
        <v>0</v>
      </c>
      <c r="AP486" s="2027">
        <f t="shared" si="314"/>
        <v>0</v>
      </c>
      <c r="AQ486" s="2027">
        <f t="shared" si="314"/>
        <v>0</v>
      </c>
      <c r="AR486" s="2027">
        <f t="shared" si="314"/>
        <v>0</v>
      </c>
      <c r="AS486" s="2124">
        <f t="shared" si="326"/>
        <v>44.519999999999996</v>
      </c>
      <c r="AT486" s="2029">
        <f t="shared" si="315"/>
        <v>44.519999999999996</v>
      </c>
      <c r="AU486" s="2029">
        <f t="shared" si="315"/>
        <v>44.519999999999996</v>
      </c>
      <c r="AV486" s="2029">
        <f t="shared" si="315"/>
        <v>44.519999999999996</v>
      </c>
      <c r="AW486" s="2124">
        <f t="shared" si="316"/>
        <v>0</v>
      </c>
      <c r="AX486" s="2029">
        <f t="shared" si="335"/>
        <v>0</v>
      </c>
      <c r="AY486" s="2029">
        <f t="shared" si="335"/>
        <v>0</v>
      </c>
      <c r="AZ486" s="2029">
        <f t="shared" si="335"/>
        <v>0</v>
      </c>
      <c r="BA486" s="2124">
        <f t="shared" si="338"/>
        <v>42</v>
      </c>
      <c r="BB486" s="2029">
        <f t="shared" si="338"/>
        <v>42</v>
      </c>
      <c r="BC486" s="2029">
        <f t="shared" si="338"/>
        <v>42</v>
      </c>
      <c r="BD486" s="2029">
        <f t="shared" si="338"/>
        <v>42</v>
      </c>
      <c r="BE486" s="2030">
        <f t="shared" si="328"/>
        <v>0</v>
      </c>
      <c r="BF486" s="2030">
        <f t="shared" si="328"/>
        <v>0</v>
      </c>
      <c r="BG486" s="2030">
        <f t="shared" si="328"/>
        <v>0</v>
      </c>
      <c r="BH486" s="2030">
        <f t="shared" si="328"/>
        <v>0</v>
      </c>
      <c r="BI486" s="2030">
        <f t="shared" si="329"/>
        <v>0</v>
      </c>
      <c r="BJ486" s="2030">
        <f t="shared" si="329"/>
        <v>0</v>
      </c>
      <c r="BK486" s="2030">
        <f t="shared" si="329"/>
        <v>0</v>
      </c>
      <c r="BL486" s="2030">
        <f t="shared" si="329"/>
        <v>0</v>
      </c>
      <c r="BM486" s="2125"/>
      <c r="BN486" s="2125"/>
      <c r="BO486" s="2125"/>
      <c r="BP486" s="2125"/>
      <c r="BQ486" s="2125"/>
      <c r="BR486" s="2125"/>
      <c r="BS486" s="2125"/>
      <c r="BT486" s="2125"/>
      <c r="BU486" s="2029"/>
      <c r="BV486" s="2029"/>
      <c r="BW486" s="2029"/>
      <c r="BX486" s="2029"/>
      <c r="BY486" s="2029"/>
      <c r="BZ486" s="2032"/>
      <c r="CA486" s="1974">
        <f t="shared" si="336"/>
        <v>0</v>
      </c>
      <c r="CB486" s="1974">
        <f t="shared" si="336"/>
        <v>0</v>
      </c>
      <c r="CC486" s="1974">
        <f t="shared" si="336"/>
        <v>0</v>
      </c>
      <c r="CD486" s="1974">
        <f t="shared" si="336"/>
        <v>0</v>
      </c>
      <c r="CE486" s="1974">
        <f t="shared" si="336"/>
        <v>1</v>
      </c>
      <c r="CF486" s="2033">
        <v>0</v>
      </c>
      <c r="CG486" s="2026">
        <v>0</v>
      </c>
      <c r="CH486" s="2009">
        <f t="shared" si="337"/>
        <v>1</v>
      </c>
      <c r="CI486" s="2031">
        <f t="shared" si="337"/>
        <v>-0.13682777777777794</v>
      </c>
      <c r="CJ486" s="1974">
        <f t="shared" si="337"/>
        <v>0</v>
      </c>
      <c r="CK486" s="2031">
        <f t="shared" si="337"/>
        <v>0.13682777777777794</v>
      </c>
      <c r="CL486" s="2026">
        <v>1</v>
      </c>
      <c r="CM486" s="2026">
        <v>0.3</v>
      </c>
      <c r="CN486" s="2026">
        <v>0.3</v>
      </c>
      <c r="CO486" s="2026">
        <v>0.3</v>
      </c>
      <c r="CP486" s="2035"/>
      <c r="CQ486" s="2036"/>
      <c r="CR486" s="2036"/>
      <c r="CS486" s="2036"/>
      <c r="CT486" s="2036"/>
      <c r="CU486" s="2036"/>
      <c r="CV486" s="1973">
        <v>1</v>
      </c>
      <c r="CW486" s="1973">
        <v>0</v>
      </c>
      <c r="CX486" s="2037">
        <v>44.519999999999996</v>
      </c>
      <c r="CY486" s="2037">
        <v>44.519999999999996</v>
      </c>
      <c r="CZ486" s="2037">
        <v>44.519999999999996</v>
      </c>
      <c r="DA486" s="2037">
        <v>44.519999999999996</v>
      </c>
      <c r="DJ486" s="1976">
        <v>44.519999999999996</v>
      </c>
      <c r="DK486" s="1973">
        <v>44.519999999999996</v>
      </c>
      <c r="DL486" s="1973">
        <v>44.519999999999996</v>
      </c>
      <c r="DM486" s="1973">
        <v>44.519999999999996</v>
      </c>
      <c r="DO486" s="2027">
        <v>15</v>
      </c>
      <c r="DP486" s="2144">
        <v>446.28760526374271</v>
      </c>
      <c r="DQ486" s="2145">
        <v>5.9540335396589893E-2</v>
      </c>
      <c r="DR486" s="2027">
        <v>0</v>
      </c>
      <c r="DS486" s="2124">
        <v>44.519999999999996</v>
      </c>
      <c r="DT486" s="2029">
        <v>44.519999999999996</v>
      </c>
      <c r="DU486" s="2029">
        <v>44.519999999999996</v>
      </c>
      <c r="DV486" s="2029">
        <v>44.519999999999996</v>
      </c>
      <c r="DW486" s="2124">
        <v>0</v>
      </c>
      <c r="DX486" s="2029">
        <v>0</v>
      </c>
      <c r="DY486" s="2029">
        <v>0</v>
      </c>
      <c r="DZ486" s="2029">
        <v>0</v>
      </c>
      <c r="EA486" s="2124">
        <v>42</v>
      </c>
      <c r="EB486" s="2029">
        <v>42</v>
      </c>
      <c r="EC486" s="2029">
        <v>42</v>
      </c>
      <c r="ED486" s="2029">
        <v>42</v>
      </c>
      <c r="EE486" s="2039">
        <f t="shared" si="296"/>
        <v>0</v>
      </c>
      <c r="EF486" s="2039">
        <f t="shared" si="296"/>
        <v>0</v>
      </c>
      <c r="EG486" s="2039">
        <f t="shared" si="296"/>
        <v>0</v>
      </c>
      <c r="EH486" s="2039">
        <f t="shared" si="296"/>
        <v>0</v>
      </c>
      <c r="EI486" s="2040">
        <f t="shared" si="333"/>
        <v>0</v>
      </c>
      <c r="EJ486" s="2040">
        <f t="shared" si="333"/>
        <v>0</v>
      </c>
      <c r="EK486" s="2040">
        <f t="shared" si="333"/>
        <v>0</v>
      </c>
      <c r="EL486" s="2040">
        <f t="shared" si="332"/>
        <v>0</v>
      </c>
      <c r="EM486" s="2040">
        <f t="shared" si="332"/>
        <v>0</v>
      </c>
      <c r="EN486" s="2040">
        <f t="shared" si="332"/>
        <v>0</v>
      </c>
      <c r="EO486" s="2040">
        <f t="shared" si="271"/>
        <v>0</v>
      </c>
      <c r="EP486" s="2040">
        <f t="shared" si="271"/>
        <v>0</v>
      </c>
      <c r="EQ486" s="2040">
        <f t="shared" si="271"/>
        <v>0</v>
      </c>
      <c r="ER486" s="2040">
        <f t="shared" si="271"/>
        <v>0</v>
      </c>
      <c r="ES486" s="2040">
        <f t="shared" si="271"/>
        <v>0</v>
      </c>
      <c r="ET486" s="2040">
        <f t="shared" si="271"/>
        <v>0</v>
      </c>
      <c r="EU486" s="2039">
        <f t="shared" si="297"/>
        <v>0</v>
      </c>
      <c r="EV486" s="2039">
        <f t="shared" si="298"/>
        <v>0</v>
      </c>
    </row>
    <row r="487" spans="1:152" x14ac:dyDescent="0.25">
      <c r="A487" s="2149" t="str">
        <f t="shared" si="334"/>
        <v>Glass Door LED cooler/Freezer Lighting Controls/Sensors</v>
      </c>
      <c r="B487" s="1974" t="str">
        <f t="shared" si="334"/>
        <v>BPL94</v>
      </c>
      <c r="C487" s="2027">
        <f t="shared" si="321"/>
        <v>8</v>
      </c>
      <c r="D487" s="2144">
        <v>50.288614279420692</v>
      </c>
      <c r="E487" s="2145">
        <v>2.2518719070272343E-2</v>
      </c>
      <c r="F487" s="2027">
        <v>0</v>
      </c>
      <c r="G487" s="1974" t="s">
        <v>2988</v>
      </c>
      <c r="H487" s="1974" t="s">
        <v>2988</v>
      </c>
      <c r="I487" s="2026">
        <v>0.9</v>
      </c>
      <c r="J487" s="2026">
        <v>0.9</v>
      </c>
      <c r="K487" s="2026">
        <v>0.9</v>
      </c>
      <c r="L487" s="2026">
        <v>0.9</v>
      </c>
      <c r="M487" s="2027">
        <f t="shared" si="322"/>
        <v>45.259752851478623</v>
      </c>
      <c r="N487" s="2027">
        <f t="shared" si="322"/>
        <v>45.259752851478623</v>
      </c>
      <c r="O487" s="2027">
        <f t="shared" si="322"/>
        <v>45.259752851478623</v>
      </c>
      <c r="P487" s="2027">
        <f t="shared" si="322"/>
        <v>45.259752851478623</v>
      </c>
      <c r="Q487" s="2026">
        <v>0.9</v>
      </c>
      <c r="R487" s="2026">
        <v>0.9</v>
      </c>
      <c r="S487" s="2026">
        <v>0.9</v>
      </c>
      <c r="T487" s="2026">
        <v>0.9</v>
      </c>
      <c r="U487" s="2028">
        <f t="shared" si="323"/>
        <v>2.0266847163245109E-2</v>
      </c>
      <c r="V487" s="2028">
        <f t="shared" si="323"/>
        <v>2.0266847163245109E-2</v>
      </c>
      <c r="W487" s="2028">
        <f t="shared" si="323"/>
        <v>2.0266847163245109E-2</v>
      </c>
      <c r="X487" s="2028">
        <f t="shared" si="323"/>
        <v>2.0266847163245109E-2</v>
      </c>
      <c r="Y487" s="2026">
        <v>0.9</v>
      </c>
      <c r="Z487" s="2026">
        <v>0.9</v>
      </c>
      <c r="AA487" s="2026">
        <v>0.9</v>
      </c>
      <c r="AB487" s="2026">
        <v>0.9</v>
      </c>
      <c r="AC487" s="2027">
        <f t="shared" si="324"/>
        <v>0</v>
      </c>
      <c r="AD487" s="2027">
        <f t="shared" si="324"/>
        <v>0</v>
      </c>
      <c r="AE487" s="2027">
        <f t="shared" si="324"/>
        <v>0</v>
      </c>
      <c r="AF487" s="2027">
        <f t="shared" si="324"/>
        <v>0</v>
      </c>
      <c r="AG487" s="2027">
        <v>0</v>
      </c>
      <c r="AH487" s="2027">
        <v>0</v>
      </c>
      <c r="AI487" s="2027">
        <v>0</v>
      </c>
      <c r="AJ487" s="2027">
        <v>0</v>
      </c>
      <c r="AK487" s="2027">
        <f t="shared" si="312"/>
        <v>0</v>
      </c>
      <c r="AL487" s="2027">
        <f t="shared" si="313"/>
        <v>0</v>
      </c>
      <c r="AM487" s="2027">
        <f t="shared" si="313"/>
        <v>0</v>
      </c>
      <c r="AN487" s="2027">
        <f t="shared" si="313"/>
        <v>0</v>
      </c>
      <c r="AO487" s="2027">
        <f t="shared" si="325"/>
        <v>0</v>
      </c>
      <c r="AP487" s="2027">
        <f t="shared" si="314"/>
        <v>0</v>
      </c>
      <c r="AQ487" s="2027">
        <f t="shared" si="314"/>
        <v>0</v>
      </c>
      <c r="AR487" s="2027">
        <f t="shared" si="314"/>
        <v>0</v>
      </c>
      <c r="AS487" s="2124">
        <f t="shared" si="326"/>
        <v>16.799999999999997</v>
      </c>
      <c r="AT487" s="2029">
        <f t="shared" si="315"/>
        <v>16.799999999999997</v>
      </c>
      <c r="AU487" s="2029">
        <f t="shared" si="315"/>
        <v>16.799999999999997</v>
      </c>
      <c r="AV487" s="2029">
        <f t="shared" si="315"/>
        <v>16.799999999999997</v>
      </c>
      <c r="AW487" s="2124">
        <f t="shared" si="316"/>
        <v>0</v>
      </c>
      <c r="AX487" s="2029">
        <f t="shared" si="335"/>
        <v>0</v>
      </c>
      <c r="AY487" s="2029">
        <f t="shared" si="335"/>
        <v>0</v>
      </c>
      <c r="AZ487" s="2029">
        <f t="shared" si="335"/>
        <v>0</v>
      </c>
      <c r="BA487" s="2124">
        <f t="shared" si="338"/>
        <v>77.67</v>
      </c>
      <c r="BB487" s="2029">
        <f t="shared" si="338"/>
        <v>77.67</v>
      </c>
      <c r="BC487" s="2029">
        <f t="shared" si="338"/>
        <v>77.67</v>
      </c>
      <c r="BD487" s="2029">
        <f t="shared" si="338"/>
        <v>77.67</v>
      </c>
      <c r="BE487" s="2030">
        <f t="shared" si="328"/>
        <v>0</v>
      </c>
      <c r="BF487" s="2030">
        <f t="shared" si="328"/>
        <v>0</v>
      </c>
      <c r="BG487" s="2030">
        <f t="shared" si="328"/>
        <v>0</v>
      </c>
      <c r="BH487" s="2030">
        <f t="shared" si="328"/>
        <v>0</v>
      </c>
      <c r="BI487" s="2030">
        <f t="shared" si="329"/>
        <v>0</v>
      </c>
      <c r="BJ487" s="2030">
        <f t="shared" si="329"/>
        <v>0</v>
      </c>
      <c r="BK487" s="2030">
        <f t="shared" si="329"/>
        <v>0</v>
      </c>
      <c r="BL487" s="2030">
        <f t="shared" si="329"/>
        <v>0</v>
      </c>
      <c r="BM487" s="2125"/>
      <c r="BN487" s="2125"/>
      <c r="BO487" s="2125"/>
      <c r="BP487" s="2125"/>
      <c r="BQ487" s="2125"/>
      <c r="BR487" s="2125"/>
      <c r="BS487" s="2125"/>
      <c r="BT487" s="2125"/>
      <c r="BU487" s="2029"/>
      <c r="BV487" s="2029"/>
      <c r="BW487" s="2029"/>
      <c r="BX487" s="2029"/>
      <c r="BY487" s="2029"/>
      <c r="BZ487" s="2032"/>
      <c r="CA487" s="1974">
        <f t="shared" si="336"/>
        <v>0</v>
      </c>
      <c r="CB487" s="1974">
        <f t="shared" si="336"/>
        <v>0</v>
      </c>
      <c r="CC487" s="1974">
        <f t="shared" si="336"/>
        <v>0</v>
      </c>
      <c r="CD487" s="1974">
        <f t="shared" si="336"/>
        <v>0</v>
      </c>
      <c r="CE487" s="1974">
        <f t="shared" si="336"/>
        <v>0</v>
      </c>
      <c r="CF487" s="2033">
        <v>0</v>
      </c>
      <c r="CG487" s="2026">
        <v>0</v>
      </c>
      <c r="CH487" s="2009">
        <f t="shared" si="337"/>
        <v>0</v>
      </c>
      <c r="CI487" s="2031">
        <f t="shared" si="337"/>
        <v>0</v>
      </c>
      <c r="CJ487" s="1974">
        <f t="shared" si="337"/>
        <v>0</v>
      </c>
      <c r="CK487" s="2031">
        <f t="shared" si="337"/>
        <v>0</v>
      </c>
      <c r="CL487" s="2026">
        <v>1</v>
      </c>
      <c r="CM487" s="2026">
        <v>1</v>
      </c>
      <c r="CN487" s="2026">
        <v>1</v>
      </c>
      <c r="CO487" s="2026">
        <v>1</v>
      </c>
      <c r="CP487" s="2035"/>
      <c r="CQ487" s="2036"/>
      <c r="CR487" s="2036"/>
      <c r="CS487" s="2036"/>
      <c r="CT487" s="2036"/>
      <c r="CU487" s="2036"/>
      <c r="CV487" s="1973">
        <v>1</v>
      </c>
      <c r="CW487" s="1973">
        <v>0</v>
      </c>
      <c r="CX487" s="2037">
        <v>16.799999999999997</v>
      </c>
      <c r="CY487" s="2037">
        <v>16.799999999999997</v>
      </c>
      <c r="CZ487" s="2037">
        <v>16.799999999999997</v>
      </c>
      <c r="DA487" s="2037">
        <v>16.799999999999997</v>
      </c>
      <c r="DJ487" s="1976">
        <v>16.799999999999997</v>
      </c>
      <c r="DK487" s="1973">
        <v>16.799999999999997</v>
      </c>
      <c r="DL487" s="1973">
        <v>16.799999999999997</v>
      </c>
      <c r="DM487" s="1973">
        <v>16.799999999999997</v>
      </c>
      <c r="DO487" s="2027">
        <v>8</v>
      </c>
      <c r="DP487" s="2144">
        <v>50.288614279420692</v>
      </c>
      <c r="DQ487" s="2145">
        <v>2.2518719070272343E-2</v>
      </c>
      <c r="DR487" s="2027">
        <v>0</v>
      </c>
      <c r="DS487" s="2124">
        <v>16.799999999999997</v>
      </c>
      <c r="DT487" s="2029">
        <v>16.799999999999997</v>
      </c>
      <c r="DU487" s="2029">
        <v>16.799999999999997</v>
      </c>
      <c r="DV487" s="2029">
        <v>16.799999999999997</v>
      </c>
      <c r="DW487" s="2124">
        <v>0</v>
      </c>
      <c r="DX487" s="2029">
        <v>0</v>
      </c>
      <c r="DY487" s="2029">
        <v>0</v>
      </c>
      <c r="DZ487" s="2029">
        <v>0</v>
      </c>
      <c r="EA487" s="2124">
        <v>77.67</v>
      </c>
      <c r="EB487" s="2029">
        <v>77.67</v>
      </c>
      <c r="EC487" s="2029">
        <v>77.67</v>
      </c>
      <c r="ED487" s="2029">
        <v>77.67</v>
      </c>
      <c r="EE487" s="2039">
        <f t="shared" si="296"/>
        <v>0</v>
      </c>
      <c r="EF487" s="2039">
        <f t="shared" si="296"/>
        <v>0</v>
      </c>
      <c r="EG487" s="2039">
        <f t="shared" si="296"/>
        <v>0</v>
      </c>
      <c r="EH487" s="2039">
        <f t="shared" si="296"/>
        <v>0</v>
      </c>
      <c r="EI487" s="2040">
        <f t="shared" si="333"/>
        <v>0</v>
      </c>
      <c r="EJ487" s="2040">
        <f t="shared" si="333"/>
        <v>0</v>
      </c>
      <c r="EK487" s="2040">
        <f t="shared" si="333"/>
        <v>0</v>
      </c>
      <c r="EL487" s="2040">
        <f t="shared" si="332"/>
        <v>0</v>
      </c>
      <c r="EM487" s="2040">
        <f t="shared" si="332"/>
        <v>0</v>
      </c>
      <c r="EN487" s="2040">
        <f t="shared" si="332"/>
        <v>0</v>
      </c>
      <c r="EO487" s="2040">
        <f t="shared" si="332"/>
        <v>0</v>
      </c>
      <c r="EP487" s="2040">
        <f t="shared" si="332"/>
        <v>0</v>
      </c>
      <c r="EQ487" s="2040">
        <f t="shared" si="332"/>
        <v>0</v>
      </c>
      <c r="ER487" s="2040">
        <f t="shared" si="332"/>
        <v>0</v>
      </c>
      <c r="ES487" s="2040">
        <f t="shared" si="332"/>
        <v>0</v>
      </c>
      <c r="ET487" s="2040">
        <f t="shared" si="332"/>
        <v>0</v>
      </c>
      <c r="EU487" s="2039">
        <f t="shared" si="297"/>
        <v>0</v>
      </c>
      <c r="EV487" s="2039">
        <f t="shared" si="298"/>
        <v>0</v>
      </c>
    </row>
    <row r="488" spans="1:152" x14ac:dyDescent="0.25">
      <c r="A488" s="2149" t="str">
        <f t="shared" si="334"/>
        <v/>
      </c>
      <c r="B488" s="1974" t="str">
        <f t="shared" si="334"/>
        <v/>
      </c>
      <c r="C488" s="2027">
        <f t="shared" si="321"/>
        <v>0</v>
      </c>
      <c r="D488" s="2144">
        <v>0</v>
      </c>
      <c r="E488" s="2145">
        <v>0</v>
      </c>
      <c r="F488" s="2027">
        <v>0</v>
      </c>
      <c r="G488" s="1974" t="s">
        <v>2988</v>
      </c>
      <c r="H488" s="1974" t="s">
        <v>2988</v>
      </c>
      <c r="I488" s="2026">
        <v>0.9</v>
      </c>
      <c r="J488" s="2026">
        <v>0.9</v>
      </c>
      <c r="K488" s="2026">
        <v>0.9</v>
      </c>
      <c r="L488" s="2026">
        <v>0.9</v>
      </c>
      <c r="M488" s="2027">
        <f t="shared" si="322"/>
        <v>0</v>
      </c>
      <c r="N488" s="2027">
        <f t="shared" si="322"/>
        <v>0</v>
      </c>
      <c r="O488" s="2027">
        <f t="shared" si="322"/>
        <v>0</v>
      </c>
      <c r="P488" s="2027">
        <f t="shared" si="322"/>
        <v>0</v>
      </c>
      <c r="Q488" s="2026">
        <v>0.9</v>
      </c>
      <c r="R488" s="2026">
        <v>0.9</v>
      </c>
      <c r="S488" s="2026">
        <v>0.9</v>
      </c>
      <c r="T488" s="2026">
        <v>0.9</v>
      </c>
      <c r="U488" s="2028">
        <f t="shared" si="323"/>
        <v>0</v>
      </c>
      <c r="V488" s="2028">
        <f t="shared" si="323"/>
        <v>0</v>
      </c>
      <c r="W488" s="2028">
        <f t="shared" si="323"/>
        <v>0</v>
      </c>
      <c r="X488" s="2028">
        <f t="shared" si="323"/>
        <v>0</v>
      </c>
      <c r="Y488" s="2026">
        <v>0.9</v>
      </c>
      <c r="Z488" s="2026">
        <v>0.9</v>
      </c>
      <c r="AA488" s="2026">
        <v>0.9</v>
      </c>
      <c r="AB488" s="2026">
        <v>0.9</v>
      </c>
      <c r="AC488" s="2027">
        <f t="shared" si="324"/>
        <v>0</v>
      </c>
      <c r="AD488" s="2027">
        <f t="shared" si="324"/>
        <v>0</v>
      </c>
      <c r="AE488" s="2027">
        <f t="shared" si="324"/>
        <v>0</v>
      </c>
      <c r="AF488" s="2027">
        <f t="shared" si="324"/>
        <v>0</v>
      </c>
      <c r="AG488" s="2027">
        <v>0</v>
      </c>
      <c r="AH488" s="2027">
        <v>0</v>
      </c>
      <c r="AI488" s="2027">
        <v>0</v>
      </c>
      <c r="AJ488" s="2027">
        <v>0</v>
      </c>
      <c r="AK488" s="2027">
        <f t="shared" si="312"/>
        <v>0</v>
      </c>
      <c r="AL488" s="2027">
        <f t="shared" si="313"/>
        <v>0</v>
      </c>
      <c r="AM488" s="2027">
        <f t="shared" si="313"/>
        <v>0</v>
      </c>
      <c r="AN488" s="2027">
        <f t="shared" si="313"/>
        <v>0</v>
      </c>
      <c r="AO488" s="2027">
        <f t="shared" si="325"/>
        <v>0</v>
      </c>
      <c r="AP488" s="2027">
        <f t="shared" si="314"/>
        <v>0</v>
      </c>
      <c r="AQ488" s="2027">
        <f t="shared" si="314"/>
        <v>0</v>
      </c>
      <c r="AR488" s="2027">
        <f t="shared" si="314"/>
        <v>0</v>
      </c>
      <c r="AS488" s="2124">
        <f t="shared" si="326"/>
        <v>0</v>
      </c>
      <c r="AT488" s="2029">
        <f t="shared" si="315"/>
        <v>0</v>
      </c>
      <c r="AU488" s="2029">
        <f t="shared" si="315"/>
        <v>0</v>
      </c>
      <c r="AV488" s="2029">
        <f t="shared" si="315"/>
        <v>0</v>
      </c>
      <c r="AW488" s="2124">
        <f t="shared" si="316"/>
        <v>0</v>
      </c>
      <c r="AX488" s="2029">
        <f t="shared" si="335"/>
        <v>0</v>
      </c>
      <c r="AY488" s="2029">
        <f t="shared" si="335"/>
        <v>0</v>
      </c>
      <c r="AZ488" s="2029">
        <f t="shared" si="335"/>
        <v>0</v>
      </c>
      <c r="BA488" s="2124">
        <f t="shared" si="338"/>
        <v>0</v>
      </c>
      <c r="BB488" s="2029">
        <f t="shared" si="338"/>
        <v>0</v>
      </c>
      <c r="BC488" s="2029">
        <f t="shared" si="338"/>
        <v>0</v>
      </c>
      <c r="BD488" s="2029">
        <f t="shared" si="338"/>
        <v>0</v>
      </c>
      <c r="BE488" s="2030">
        <f t="shared" si="328"/>
        <v>0</v>
      </c>
      <c r="BF488" s="2030">
        <f t="shared" si="328"/>
        <v>0</v>
      </c>
      <c r="BG488" s="2030">
        <f t="shared" si="328"/>
        <v>0</v>
      </c>
      <c r="BH488" s="2030">
        <f t="shared" si="328"/>
        <v>0</v>
      </c>
      <c r="BI488" s="2030">
        <f t="shared" si="329"/>
        <v>0</v>
      </c>
      <c r="BJ488" s="2030">
        <f t="shared" si="329"/>
        <v>0</v>
      </c>
      <c r="BK488" s="2030">
        <f t="shared" si="329"/>
        <v>0</v>
      </c>
      <c r="BL488" s="2030">
        <f t="shared" si="329"/>
        <v>0</v>
      </c>
      <c r="BM488" s="2125"/>
      <c r="BN488" s="2125"/>
      <c r="BO488" s="2125"/>
      <c r="BP488" s="2125"/>
      <c r="BQ488" s="2125"/>
      <c r="BR488" s="2125"/>
      <c r="BS488" s="2125"/>
      <c r="BT488" s="2125"/>
      <c r="BU488" s="2029"/>
      <c r="BV488" s="2029"/>
      <c r="BW488" s="2029"/>
      <c r="BX488" s="2029"/>
      <c r="BY488" s="2029"/>
      <c r="BZ488" s="2032"/>
      <c r="CA488" s="1974">
        <f t="shared" si="336"/>
        <v>0</v>
      </c>
      <c r="CB488" s="1974">
        <f t="shared" si="336"/>
        <v>0</v>
      </c>
      <c r="CC488" s="1974">
        <f t="shared" si="336"/>
        <v>0</v>
      </c>
      <c r="CD488" s="1974">
        <f t="shared" si="336"/>
        <v>0</v>
      </c>
      <c r="CE488" s="1974">
        <f t="shared" si="336"/>
        <v>0</v>
      </c>
      <c r="CF488" s="2033">
        <v>0</v>
      </c>
      <c r="CG488" s="2026">
        <v>0</v>
      </c>
      <c r="CH488" s="2009">
        <f t="shared" si="337"/>
        <v>0</v>
      </c>
      <c r="CI488" s="2031">
        <f t="shared" si="337"/>
        <v>0</v>
      </c>
      <c r="CJ488" s="1974">
        <f t="shared" si="337"/>
        <v>0</v>
      </c>
      <c r="CK488" s="2031">
        <f t="shared" si="337"/>
        <v>0</v>
      </c>
      <c r="CL488" s="2026">
        <v>1</v>
      </c>
      <c r="CM488" s="2026">
        <v>1</v>
      </c>
      <c r="CN488" s="2026">
        <v>1</v>
      </c>
      <c r="CO488" s="2026">
        <v>1</v>
      </c>
      <c r="CP488" s="2035"/>
      <c r="CQ488" s="2036"/>
      <c r="CR488" s="2036"/>
      <c r="CS488" s="2036"/>
      <c r="CT488" s="2036"/>
      <c r="CU488" s="2036"/>
      <c r="CV488" s="1973">
        <v>1</v>
      </c>
      <c r="CX488" s="2037">
        <v>0</v>
      </c>
      <c r="CY488" s="2037">
        <v>0</v>
      </c>
      <c r="CZ488" s="2037">
        <v>0</v>
      </c>
      <c r="DA488" s="2037">
        <v>0</v>
      </c>
      <c r="DJ488" s="1976">
        <v>0</v>
      </c>
      <c r="DK488" s="1973">
        <v>0</v>
      </c>
      <c r="DL488" s="1973">
        <v>0</v>
      </c>
      <c r="DM488" s="1973">
        <v>0</v>
      </c>
      <c r="DO488" s="2027">
        <v>0</v>
      </c>
      <c r="DP488" s="2144">
        <v>0</v>
      </c>
      <c r="DQ488" s="2145">
        <v>0</v>
      </c>
      <c r="DR488" s="2027">
        <v>0</v>
      </c>
      <c r="DS488" s="2124">
        <v>0</v>
      </c>
      <c r="DT488" s="2029">
        <v>0</v>
      </c>
      <c r="DU488" s="2029">
        <v>0</v>
      </c>
      <c r="DV488" s="2029">
        <v>0</v>
      </c>
      <c r="DW488" s="2124">
        <v>0</v>
      </c>
      <c r="DX488" s="2029">
        <v>0</v>
      </c>
      <c r="DY488" s="2029">
        <v>0</v>
      </c>
      <c r="DZ488" s="2029">
        <v>0</v>
      </c>
      <c r="EA488" s="2124">
        <v>0</v>
      </c>
      <c r="EB488" s="2029">
        <v>0</v>
      </c>
      <c r="EC488" s="2029">
        <v>0</v>
      </c>
      <c r="ED488" s="2029">
        <v>0</v>
      </c>
      <c r="EE488" s="2039">
        <f t="shared" si="296"/>
        <v>0</v>
      </c>
      <c r="EF488" s="2039">
        <f t="shared" si="296"/>
        <v>0</v>
      </c>
      <c r="EG488" s="2039">
        <f t="shared" si="296"/>
        <v>0</v>
      </c>
      <c r="EH488" s="2039">
        <f t="shared" si="296"/>
        <v>0</v>
      </c>
      <c r="EI488" s="2040">
        <f t="shared" si="333"/>
        <v>0</v>
      </c>
      <c r="EJ488" s="2040">
        <f t="shared" si="333"/>
        <v>0</v>
      </c>
      <c r="EK488" s="2040">
        <f t="shared" si="333"/>
        <v>0</v>
      </c>
      <c r="EL488" s="2040">
        <f t="shared" si="332"/>
        <v>0</v>
      </c>
      <c r="EM488" s="2040">
        <f t="shared" si="332"/>
        <v>0</v>
      </c>
      <c r="EN488" s="2040">
        <f t="shared" si="332"/>
        <v>0</v>
      </c>
      <c r="EO488" s="2040">
        <f t="shared" si="332"/>
        <v>0</v>
      </c>
      <c r="EP488" s="2040">
        <f t="shared" si="332"/>
        <v>0</v>
      </c>
      <c r="EQ488" s="2040">
        <f t="shared" si="332"/>
        <v>0</v>
      </c>
      <c r="ER488" s="2040">
        <f t="shared" si="332"/>
        <v>0</v>
      </c>
      <c r="ES488" s="2040">
        <f t="shared" si="332"/>
        <v>0</v>
      </c>
      <c r="ET488" s="2040">
        <f t="shared" si="332"/>
        <v>0</v>
      </c>
      <c r="EU488" s="2039">
        <f t="shared" si="297"/>
        <v>0</v>
      </c>
      <c r="EV488" s="2039">
        <f t="shared" si="298"/>
        <v>0</v>
      </c>
    </row>
    <row r="489" spans="1:152" x14ac:dyDescent="0.25">
      <c r="A489" s="2143" t="str">
        <f t="shared" si="334"/>
        <v>LED, T-1 or electroluminescent exit sign</v>
      </c>
      <c r="B489" s="1974" t="str">
        <f t="shared" si="334"/>
        <v>BPL78</v>
      </c>
      <c r="C489" s="2027">
        <f t="shared" si="321"/>
        <v>5</v>
      </c>
      <c r="D489" s="2144">
        <v>168.15846977737141</v>
      </c>
      <c r="E489" s="2145">
        <v>1.7948763681793118E-2</v>
      </c>
      <c r="F489" s="2027">
        <v>-3.3246040586220444</v>
      </c>
      <c r="G489" s="1974" t="s">
        <v>2988</v>
      </c>
      <c r="H489" s="1974" t="s">
        <v>2988</v>
      </c>
      <c r="I489" s="2026">
        <v>0.9</v>
      </c>
      <c r="J489" s="2026">
        <v>0.9</v>
      </c>
      <c r="K489" s="2026">
        <v>0.9</v>
      </c>
      <c r="L489" s="2026">
        <v>0.9</v>
      </c>
      <c r="M489" s="2027">
        <f t="shared" si="322"/>
        <v>151.34262279963428</v>
      </c>
      <c r="N489" s="2027">
        <f t="shared" si="322"/>
        <v>151.34262279963428</v>
      </c>
      <c r="O489" s="2027">
        <f t="shared" si="322"/>
        <v>151.34262279963428</v>
      </c>
      <c r="P489" s="2027">
        <f t="shared" si="322"/>
        <v>151.34262279963428</v>
      </c>
      <c r="Q489" s="2026">
        <v>0.9</v>
      </c>
      <c r="R489" s="2026">
        <v>0.9</v>
      </c>
      <c r="S489" s="2026">
        <v>0.9</v>
      </c>
      <c r="T489" s="2026">
        <v>0.9</v>
      </c>
      <c r="U489" s="2028">
        <f t="shared" si="323"/>
        <v>1.6153887313613807E-2</v>
      </c>
      <c r="V489" s="2028">
        <f t="shared" si="323"/>
        <v>1.6153887313613807E-2</v>
      </c>
      <c r="W489" s="2028">
        <f t="shared" si="323"/>
        <v>1.6153887313613807E-2</v>
      </c>
      <c r="X489" s="2028">
        <f t="shared" si="323"/>
        <v>1.6153887313613807E-2</v>
      </c>
      <c r="Y489" s="2026">
        <v>0.9</v>
      </c>
      <c r="Z489" s="2026">
        <v>0.9</v>
      </c>
      <c r="AA489" s="2026">
        <v>0.9</v>
      </c>
      <c r="AB489" s="2026">
        <v>0.9</v>
      </c>
      <c r="AC489" s="2027">
        <f t="shared" si="324"/>
        <v>-2.99214365275984</v>
      </c>
      <c r="AD489" s="2027">
        <f t="shared" si="324"/>
        <v>-2.99214365275984</v>
      </c>
      <c r="AE489" s="2027">
        <f t="shared" si="324"/>
        <v>-2.99214365275984</v>
      </c>
      <c r="AF489" s="2027">
        <f t="shared" si="324"/>
        <v>-2.99214365275984</v>
      </c>
      <c r="AG489" s="2027">
        <v>36</v>
      </c>
      <c r="AH489" s="2027">
        <v>38</v>
      </c>
      <c r="AI489" s="2027">
        <v>30</v>
      </c>
      <c r="AJ489" s="2027">
        <v>20</v>
      </c>
      <c r="AK489" s="2027">
        <f t="shared" si="312"/>
        <v>5448.334420786834</v>
      </c>
      <c r="AL489" s="2027">
        <f t="shared" si="313"/>
        <v>5751.0196663861025</v>
      </c>
      <c r="AM489" s="2027">
        <f t="shared" si="313"/>
        <v>4540.2786839890287</v>
      </c>
      <c r="AN489" s="2027">
        <f t="shared" si="313"/>
        <v>3026.8524559926855</v>
      </c>
      <c r="AO489" s="2027">
        <f t="shared" si="325"/>
        <v>-107.71717149935424</v>
      </c>
      <c r="AP489" s="2027">
        <f t="shared" si="314"/>
        <v>-113.70145880487392</v>
      </c>
      <c r="AQ489" s="2027">
        <f t="shared" si="314"/>
        <v>-89.764309582795192</v>
      </c>
      <c r="AR489" s="2027">
        <f t="shared" si="314"/>
        <v>-59.842873055196797</v>
      </c>
      <c r="AS489" s="2124">
        <f t="shared" si="326"/>
        <v>28</v>
      </c>
      <c r="AT489" s="2029">
        <f t="shared" si="315"/>
        <v>28</v>
      </c>
      <c r="AU489" s="2029">
        <f t="shared" si="315"/>
        <v>28</v>
      </c>
      <c r="AV489" s="2029">
        <f t="shared" si="315"/>
        <v>28</v>
      </c>
      <c r="AW489" s="2124">
        <f t="shared" si="316"/>
        <v>0</v>
      </c>
      <c r="AX489" s="2029">
        <f t="shared" si="335"/>
        <v>0</v>
      </c>
      <c r="AY489" s="2029">
        <f t="shared" si="335"/>
        <v>0</v>
      </c>
      <c r="AZ489" s="2029">
        <f t="shared" si="335"/>
        <v>0</v>
      </c>
      <c r="BA489" s="2124">
        <f t="shared" si="338"/>
        <v>30</v>
      </c>
      <c r="BB489" s="2029">
        <f t="shared" si="338"/>
        <v>30</v>
      </c>
      <c r="BC489" s="2029">
        <f t="shared" si="338"/>
        <v>30</v>
      </c>
      <c r="BD489" s="2029">
        <f t="shared" si="338"/>
        <v>30</v>
      </c>
      <c r="BE489" s="2030">
        <f t="shared" si="328"/>
        <v>1008</v>
      </c>
      <c r="BF489" s="2030">
        <f t="shared" si="328"/>
        <v>1064</v>
      </c>
      <c r="BG489" s="2030">
        <f t="shared" si="328"/>
        <v>840</v>
      </c>
      <c r="BH489" s="2030">
        <f t="shared" si="328"/>
        <v>560</v>
      </c>
      <c r="BI489" s="2030">
        <f t="shared" si="329"/>
        <v>0</v>
      </c>
      <c r="BJ489" s="2030">
        <f t="shared" si="329"/>
        <v>0</v>
      </c>
      <c r="BK489" s="2030">
        <f t="shared" si="329"/>
        <v>0</v>
      </c>
      <c r="BL489" s="2030">
        <f t="shared" si="329"/>
        <v>0</v>
      </c>
      <c r="BM489" s="2125"/>
      <c r="BN489" s="2125"/>
      <c r="BO489" s="2125"/>
      <c r="BP489" s="2125"/>
      <c r="BQ489" s="2125"/>
      <c r="BR489" s="2125"/>
      <c r="BS489" s="2125"/>
      <c r="BT489" s="2125"/>
      <c r="BU489" s="2029"/>
      <c r="BV489" s="2029"/>
      <c r="BW489" s="2029"/>
      <c r="BX489" s="2029"/>
      <c r="BY489" s="2029"/>
      <c r="BZ489" s="2032"/>
      <c r="CA489" s="1974">
        <f t="shared" si="336"/>
        <v>0</v>
      </c>
      <c r="CB489" s="1974">
        <f t="shared" si="336"/>
        <v>0</v>
      </c>
      <c r="CC489" s="1974">
        <f t="shared" si="336"/>
        <v>0</v>
      </c>
      <c r="CD489" s="1974">
        <f t="shared" si="336"/>
        <v>0</v>
      </c>
      <c r="CE489" s="1974">
        <f t="shared" si="336"/>
        <v>0</v>
      </c>
      <c r="CF489" s="2033">
        <v>2.2775872867181435E-5</v>
      </c>
      <c r="CG489" s="2026">
        <v>-4.018716863855268E-5</v>
      </c>
      <c r="CH489" s="2009">
        <f t="shared" si="337"/>
        <v>1</v>
      </c>
      <c r="CI489" s="2031">
        <f t="shared" si="337"/>
        <v>0</v>
      </c>
      <c r="CJ489" s="1974">
        <f t="shared" si="337"/>
        <v>-5.10948905109489</v>
      </c>
      <c r="CK489" s="2031">
        <f t="shared" si="337"/>
        <v>-5.10948905109489</v>
      </c>
      <c r="CL489" s="2026">
        <v>1</v>
      </c>
      <c r="CM489" s="2026">
        <v>1</v>
      </c>
      <c r="CN489" s="2026">
        <v>1</v>
      </c>
      <c r="CO489" s="2026">
        <v>1</v>
      </c>
      <c r="CP489" s="2035"/>
      <c r="CQ489" s="2036"/>
      <c r="CR489" s="2036"/>
      <c r="CS489" s="2036"/>
      <c r="CT489" s="2036"/>
      <c r="CU489" s="2036"/>
      <c r="CV489" s="1973">
        <v>1</v>
      </c>
      <c r="CW489" s="1973">
        <v>0</v>
      </c>
      <c r="CX489" s="2037">
        <v>28</v>
      </c>
      <c r="CY489" s="2037">
        <v>28</v>
      </c>
      <c r="CZ489" s="2037">
        <v>28</v>
      </c>
      <c r="DA489" s="2037">
        <v>28</v>
      </c>
      <c r="DJ489" s="1976">
        <v>28</v>
      </c>
      <c r="DK489" s="1973">
        <v>28</v>
      </c>
      <c r="DL489" s="1973">
        <v>28</v>
      </c>
      <c r="DM489" s="1973">
        <v>28</v>
      </c>
      <c r="DO489" s="2027">
        <v>16</v>
      </c>
      <c r="DP489" s="2144">
        <v>168.15846977737141</v>
      </c>
      <c r="DQ489" s="2145">
        <v>1.7948763681793118E-2</v>
      </c>
      <c r="DR489" s="2027">
        <v>-3.3246040586220444</v>
      </c>
      <c r="DS489" s="2124">
        <v>28</v>
      </c>
      <c r="DT489" s="2029">
        <v>28</v>
      </c>
      <c r="DU489" s="2029">
        <v>28</v>
      </c>
      <c r="DV489" s="2029">
        <v>28</v>
      </c>
      <c r="DW489" s="2124">
        <v>0</v>
      </c>
      <c r="DX489" s="2029">
        <v>0</v>
      </c>
      <c r="DY489" s="2029">
        <v>0</v>
      </c>
      <c r="DZ489" s="2029">
        <v>0</v>
      </c>
      <c r="EA489" s="2124">
        <v>30</v>
      </c>
      <c r="EB489" s="2029">
        <v>30</v>
      </c>
      <c r="EC489" s="2029">
        <v>30</v>
      </c>
      <c r="ED489" s="2029">
        <v>30</v>
      </c>
      <c r="EE489" s="2039">
        <f t="shared" si="296"/>
        <v>-11</v>
      </c>
      <c r="EF489" s="2039">
        <f t="shared" si="296"/>
        <v>0</v>
      </c>
      <c r="EG489" s="2039">
        <f t="shared" si="296"/>
        <v>0</v>
      </c>
      <c r="EH489" s="2039">
        <f t="shared" si="296"/>
        <v>0</v>
      </c>
      <c r="EI489" s="2040">
        <f t="shared" si="333"/>
        <v>0</v>
      </c>
      <c r="EJ489" s="2040">
        <f t="shared" si="333"/>
        <v>0</v>
      </c>
      <c r="EK489" s="2040">
        <f t="shared" si="333"/>
        <v>0</v>
      </c>
      <c r="EL489" s="2040">
        <f t="shared" si="332"/>
        <v>0</v>
      </c>
      <c r="EM489" s="2040">
        <f t="shared" si="332"/>
        <v>0</v>
      </c>
      <c r="EN489" s="2040">
        <f t="shared" si="332"/>
        <v>0</v>
      </c>
      <c r="EO489" s="2040">
        <f t="shared" si="332"/>
        <v>0</v>
      </c>
      <c r="EP489" s="2040">
        <f t="shared" si="332"/>
        <v>0</v>
      </c>
      <c r="EQ489" s="2040">
        <f t="shared" si="332"/>
        <v>0</v>
      </c>
      <c r="ER489" s="2040">
        <f t="shared" si="332"/>
        <v>0</v>
      </c>
      <c r="ES489" s="2040">
        <f t="shared" si="332"/>
        <v>0</v>
      </c>
      <c r="ET489" s="2040">
        <f t="shared" si="332"/>
        <v>0</v>
      </c>
      <c r="EU489" s="2039">
        <f t="shared" si="297"/>
        <v>-11</v>
      </c>
      <c r="EV489" s="2039">
        <f t="shared" si="298"/>
        <v>-11</v>
      </c>
    </row>
    <row r="490" spans="1:152" x14ac:dyDescent="0.25">
      <c r="A490" s="2143" t="str">
        <f t="shared" si="334"/>
        <v>LED Exit Sign Retro-fit Kit 6W or less</v>
      </c>
      <c r="B490" s="1974" t="str">
        <f t="shared" si="334"/>
        <v xml:space="preserve">BPL82 </v>
      </c>
      <c r="C490" s="2027">
        <f t="shared" si="321"/>
        <v>5</v>
      </c>
      <c r="D490" s="2144">
        <v>190.97729817559465</v>
      </c>
      <c r="E490" s="2145">
        <v>5.6296797675680868E-2</v>
      </c>
      <c r="F490" s="2027">
        <v>-2.483570128272278</v>
      </c>
      <c r="G490" s="1974" t="s">
        <v>2988</v>
      </c>
      <c r="H490" s="1974" t="s">
        <v>2988</v>
      </c>
      <c r="I490" s="2026">
        <v>0.9</v>
      </c>
      <c r="J490" s="2026">
        <v>0.9</v>
      </c>
      <c r="K490" s="2026">
        <v>0.9</v>
      </c>
      <c r="L490" s="2026">
        <v>0.9</v>
      </c>
      <c r="M490" s="2027">
        <f t="shared" si="322"/>
        <v>171.87956835803519</v>
      </c>
      <c r="N490" s="2027">
        <f t="shared" si="322"/>
        <v>171.87956835803519</v>
      </c>
      <c r="O490" s="2027">
        <f t="shared" si="322"/>
        <v>171.87956835803519</v>
      </c>
      <c r="P490" s="2027">
        <f t="shared" si="322"/>
        <v>171.87956835803519</v>
      </c>
      <c r="Q490" s="2026">
        <v>0.9</v>
      </c>
      <c r="R490" s="2026">
        <v>0.9</v>
      </c>
      <c r="S490" s="2026">
        <v>0.9</v>
      </c>
      <c r="T490" s="2026">
        <v>0.9</v>
      </c>
      <c r="U490" s="2028">
        <f t="shared" si="323"/>
        <v>5.0667117908112784E-2</v>
      </c>
      <c r="V490" s="2028">
        <f t="shared" si="323"/>
        <v>5.0667117908112784E-2</v>
      </c>
      <c r="W490" s="2028">
        <f t="shared" si="323"/>
        <v>5.0667117908112784E-2</v>
      </c>
      <c r="X490" s="2028">
        <f t="shared" si="323"/>
        <v>5.0667117908112784E-2</v>
      </c>
      <c r="Y490" s="2026">
        <v>0.9</v>
      </c>
      <c r="Z490" s="2026">
        <v>0.9</v>
      </c>
      <c r="AA490" s="2026">
        <v>0.9</v>
      </c>
      <c r="AB490" s="2026">
        <v>0.9</v>
      </c>
      <c r="AC490" s="2027">
        <f t="shared" si="324"/>
        <v>-2.2352131154450503</v>
      </c>
      <c r="AD490" s="2027">
        <f t="shared" si="324"/>
        <v>-2.2352131154450503</v>
      </c>
      <c r="AE490" s="2027">
        <f t="shared" si="324"/>
        <v>-2.2352131154450503</v>
      </c>
      <c r="AF490" s="2027">
        <f t="shared" si="324"/>
        <v>-2.2352131154450503</v>
      </c>
      <c r="AG490" s="2027">
        <v>5</v>
      </c>
      <c r="AH490" s="2027">
        <v>5</v>
      </c>
      <c r="AI490" s="2027">
        <v>4</v>
      </c>
      <c r="AJ490" s="2027">
        <v>3</v>
      </c>
      <c r="AK490" s="2027">
        <f t="shared" si="312"/>
        <v>859.3978417901759</v>
      </c>
      <c r="AL490" s="2027">
        <f t="shared" si="313"/>
        <v>859.3978417901759</v>
      </c>
      <c r="AM490" s="2027">
        <f t="shared" si="313"/>
        <v>687.51827343214075</v>
      </c>
      <c r="AN490" s="2027">
        <f t="shared" si="313"/>
        <v>515.63870507410559</v>
      </c>
      <c r="AO490" s="2027">
        <f t="shared" si="325"/>
        <v>-11.176065577225252</v>
      </c>
      <c r="AP490" s="2027">
        <f t="shared" si="314"/>
        <v>-11.176065577225252</v>
      </c>
      <c r="AQ490" s="2027">
        <f t="shared" si="314"/>
        <v>-8.9408524617802012</v>
      </c>
      <c r="AR490" s="2027">
        <f t="shared" si="314"/>
        <v>-6.7056393463351505</v>
      </c>
      <c r="AS490" s="2124">
        <f t="shared" si="326"/>
        <v>14</v>
      </c>
      <c r="AT490" s="2029">
        <f t="shared" si="315"/>
        <v>14</v>
      </c>
      <c r="AU490" s="2029">
        <f t="shared" si="315"/>
        <v>14</v>
      </c>
      <c r="AV490" s="2029">
        <f t="shared" si="315"/>
        <v>14</v>
      </c>
      <c r="AW490" s="2124">
        <f t="shared" si="316"/>
        <v>0</v>
      </c>
      <c r="AX490" s="2029">
        <f t="shared" si="335"/>
        <v>0</v>
      </c>
      <c r="AY490" s="2029">
        <f t="shared" si="335"/>
        <v>0</v>
      </c>
      <c r="AZ490" s="2029">
        <f t="shared" si="335"/>
        <v>0</v>
      </c>
      <c r="BA490" s="2124">
        <f t="shared" si="338"/>
        <v>30</v>
      </c>
      <c r="BB490" s="2029">
        <f t="shared" si="338"/>
        <v>30</v>
      </c>
      <c r="BC490" s="2029">
        <f t="shared" si="338"/>
        <v>30</v>
      </c>
      <c r="BD490" s="2029">
        <f t="shared" si="338"/>
        <v>30</v>
      </c>
      <c r="BE490" s="2030">
        <f t="shared" si="328"/>
        <v>70</v>
      </c>
      <c r="BF490" s="2030">
        <f t="shared" si="328"/>
        <v>70</v>
      </c>
      <c r="BG490" s="2030">
        <f t="shared" si="328"/>
        <v>56</v>
      </c>
      <c r="BH490" s="2030">
        <f t="shared" si="328"/>
        <v>42</v>
      </c>
      <c r="BI490" s="2030">
        <f t="shared" si="329"/>
        <v>0</v>
      </c>
      <c r="BJ490" s="2030">
        <f t="shared" si="329"/>
        <v>0</v>
      </c>
      <c r="BK490" s="2030">
        <f t="shared" si="329"/>
        <v>0</v>
      </c>
      <c r="BL490" s="2030">
        <f t="shared" si="329"/>
        <v>0</v>
      </c>
      <c r="BM490" s="2125"/>
      <c r="BN490" s="2125"/>
      <c r="BO490" s="2125"/>
      <c r="BP490" s="2125"/>
      <c r="BQ490" s="2125"/>
      <c r="BR490" s="2125"/>
      <c r="BS490" s="2125"/>
      <c r="BT490" s="2125"/>
      <c r="BU490" s="2029"/>
      <c r="BV490" s="2029"/>
      <c r="BW490" s="2029"/>
      <c r="BX490" s="2029"/>
      <c r="BY490" s="2029"/>
      <c r="BZ490" s="2032"/>
      <c r="CA490" s="1974">
        <f t="shared" si="336"/>
        <v>0</v>
      </c>
      <c r="CB490" s="1974">
        <f t="shared" si="336"/>
        <v>0</v>
      </c>
      <c r="CC490" s="1974">
        <f t="shared" si="336"/>
        <v>0</v>
      </c>
      <c r="CD490" s="1974">
        <f t="shared" si="336"/>
        <v>0</v>
      </c>
      <c r="CE490" s="1974">
        <f t="shared" si="336"/>
        <v>0</v>
      </c>
      <c r="CF490" s="2033">
        <v>3.5925724221818955E-6</v>
      </c>
      <c r="CG490" s="2026">
        <v>-4.1695713488927563E-6</v>
      </c>
      <c r="CH490" s="2009">
        <f t="shared" si="337"/>
        <v>1</v>
      </c>
      <c r="CI490" s="2031">
        <f t="shared" si="337"/>
        <v>0</v>
      </c>
      <c r="CJ490" s="1974">
        <f t="shared" si="337"/>
        <v>-5.10948905109489</v>
      </c>
      <c r="CK490" s="2031">
        <f t="shared" si="337"/>
        <v>-5.10948905109489</v>
      </c>
      <c r="CL490" s="2026">
        <v>1</v>
      </c>
      <c r="CM490" s="2026">
        <v>1</v>
      </c>
      <c r="CN490" s="2026">
        <v>1</v>
      </c>
      <c r="CO490" s="2026">
        <v>1</v>
      </c>
      <c r="CP490" s="2035"/>
      <c r="CQ490" s="2036"/>
      <c r="CR490" s="2036"/>
      <c r="CS490" s="2036"/>
      <c r="CT490" s="2036"/>
      <c r="CU490" s="2036"/>
      <c r="CV490" s="1973">
        <v>1</v>
      </c>
      <c r="CW490" s="1973">
        <v>0</v>
      </c>
      <c r="CX490" s="2037">
        <v>14</v>
      </c>
      <c r="CY490" s="2037">
        <v>14</v>
      </c>
      <c r="CZ490" s="2037">
        <v>14</v>
      </c>
      <c r="DA490" s="2037">
        <v>14</v>
      </c>
      <c r="DJ490" s="1976">
        <v>14</v>
      </c>
      <c r="DK490" s="1973">
        <v>14</v>
      </c>
      <c r="DL490" s="1973">
        <v>14</v>
      </c>
      <c r="DM490" s="1973">
        <v>14</v>
      </c>
      <c r="DO490" s="2027">
        <v>16</v>
      </c>
      <c r="DP490" s="2144">
        <v>190.97729817559465</v>
      </c>
      <c r="DQ490" s="2145">
        <v>5.6296797675680868E-2</v>
      </c>
      <c r="DR490" s="2027">
        <v>-2.483570128272278</v>
      </c>
      <c r="DS490" s="2124">
        <v>14</v>
      </c>
      <c r="DT490" s="2029">
        <v>14</v>
      </c>
      <c r="DU490" s="2029">
        <v>14</v>
      </c>
      <c r="DV490" s="2029">
        <v>14</v>
      </c>
      <c r="DW490" s="2124">
        <v>0</v>
      </c>
      <c r="DX490" s="2029">
        <v>0</v>
      </c>
      <c r="DY490" s="2029">
        <v>0</v>
      </c>
      <c r="DZ490" s="2029">
        <v>0</v>
      </c>
      <c r="EA490" s="2124">
        <v>30</v>
      </c>
      <c r="EB490" s="2029">
        <v>30</v>
      </c>
      <c r="EC490" s="2029">
        <v>30</v>
      </c>
      <c r="ED490" s="2029">
        <v>30</v>
      </c>
      <c r="EE490" s="2039">
        <f t="shared" si="296"/>
        <v>-11</v>
      </c>
      <c r="EF490" s="2039">
        <f t="shared" si="296"/>
        <v>0</v>
      </c>
      <c r="EG490" s="2039">
        <f t="shared" si="296"/>
        <v>0</v>
      </c>
      <c r="EH490" s="2039">
        <f t="shared" si="296"/>
        <v>0</v>
      </c>
      <c r="EI490" s="2040">
        <f t="shared" si="333"/>
        <v>0</v>
      </c>
      <c r="EJ490" s="2040">
        <f t="shared" si="333"/>
        <v>0</v>
      </c>
      <c r="EK490" s="2040">
        <f t="shared" si="333"/>
        <v>0</v>
      </c>
      <c r="EL490" s="2040">
        <f t="shared" si="332"/>
        <v>0</v>
      </c>
      <c r="EM490" s="2040">
        <f t="shared" si="332"/>
        <v>0</v>
      </c>
      <c r="EN490" s="2040">
        <f t="shared" si="332"/>
        <v>0</v>
      </c>
      <c r="EO490" s="2040">
        <f t="shared" si="332"/>
        <v>0</v>
      </c>
      <c r="EP490" s="2040">
        <f t="shared" si="332"/>
        <v>0</v>
      </c>
      <c r="EQ490" s="2040">
        <f t="shared" si="332"/>
        <v>0</v>
      </c>
      <c r="ER490" s="2040">
        <f t="shared" si="332"/>
        <v>0</v>
      </c>
      <c r="ES490" s="2040">
        <f t="shared" si="332"/>
        <v>0</v>
      </c>
      <c r="ET490" s="2040">
        <f t="shared" si="332"/>
        <v>0</v>
      </c>
      <c r="EU490" s="2039">
        <f t="shared" si="297"/>
        <v>-11</v>
      </c>
      <c r="EV490" s="2039">
        <f t="shared" si="298"/>
        <v>-11</v>
      </c>
    </row>
    <row r="491" spans="1:152" x14ac:dyDescent="0.25">
      <c r="A491" s="2143" t="str">
        <f t="shared" si="334"/>
        <v>Interior LED Lamps and Fixtures</v>
      </c>
      <c r="B491" s="1974" t="str">
        <f t="shared" si="334"/>
        <v>BPL67</v>
      </c>
      <c r="C491" s="2027">
        <v>15</v>
      </c>
      <c r="D491" s="2171">
        <v>568.89044291661276</v>
      </c>
      <c r="E491" s="2145">
        <v>0.12253686602456365</v>
      </c>
      <c r="F491" s="2027">
        <v>-9.8921580323206211</v>
      </c>
      <c r="G491" s="1974" t="s">
        <v>2988</v>
      </c>
      <c r="H491" s="1974" t="s">
        <v>2988</v>
      </c>
      <c r="I491" s="2026">
        <v>0.9</v>
      </c>
      <c r="J491" s="2026">
        <v>0.9</v>
      </c>
      <c r="K491" s="2026">
        <v>0.9</v>
      </c>
      <c r="L491" s="2026">
        <v>0.9</v>
      </c>
      <c r="M491" s="2027">
        <f t="shared" si="322"/>
        <v>512.00139862495155</v>
      </c>
      <c r="N491" s="2027">
        <f t="shared" si="322"/>
        <v>512.00139862495155</v>
      </c>
      <c r="O491" s="2027">
        <f t="shared" si="322"/>
        <v>512.00139862495155</v>
      </c>
      <c r="P491" s="2027">
        <f t="shared" si="322"/>
        <v>512.00139862495155</v>
      </c>
      <c r="Q491" s="2026">
        <v>0.9</v>
      </c>
      <c r="R491" s="2026">
        <v>0.9</v>
      </c>
      <c r="S491" s="2026">
        <v>0.9</v>
      </c>
      <c r="T491" s="2026">
        <v>0.9</v>
      </c>
      <c r="U491" s="2028">
        <f t="shared" si="323"/>
        <v>0.11028317942210729</v>
      </c>
      <c r="V491" s="2028">
        <f t="shared" si="323"/>
        <v>0.11028317942210729</v>
      </c>
      <c r="W491" s="2028">
        <f t="shared" si="323"/>
        <v>0.11028317942210729</v>
      </c>
      <c r="X491" s="2028">
        <f t="shared" si="323"/>
        <v>0.11028317942210729</v>
      </c>
      <c r="Y491" s="2026">
        <v>0.9</v>
      </c>
      <c r="Z491" s="2026">
        <v>0.9</v>
      </c>
      <c r="AA491" s="2026">
        <v>0.9</v>
      </c>
      <c r="AB491" s="2026">
        <v>0.9</v>
      </c>
      <c r="AC491" s="2027">
        <f t="shared" si="324"/>
        <v>-8.9029422290885591</v>
      </c>
      <c r="AD491" s="2027">
        <f t="shared" si="324"/>
        <v>-8.9029422290885591</v>
      </c>
      <c r="AE491" s="2027">
        <f t="shared" si="324"/>
        <v>-8.9029422290885591</v>
      </c>
      <c r="AF491" s="2027">
        <f t="shared" si="324"/>
        <v>-8.9029422290885591</v>
      </c>
      <c r="AG491" s="2027">
        <v>13000</v>
      </c>
      <c r="AH491" s="2027">
        <v>13000</v>
      </c>
      <c r="AI491" s="2027">
        <v>14000</v>
      </c>
      <c r="AJ491" s="2027">
        <v>14000</v>
      </c>
      <c r="AK491" s="2027">
        <f t="shared" si="312"/>
        <v>6656018.1821243698</v>
      </c>
      <c r="AL491" s="2027">
        <f t="shared" si="313"/>
        <v>6114884.2687642602</v>
      </c>
      <c r="AM491" s="2027">
        <f t="shared" si="313"/>
        <v>6585259.9817461269</v>
      </c>
      <c r="AN491" s="2027">
        <f t="shared" si="313"/>
        <v>6585259.9817461269</v>
      </c>
      <c r="AO491" s="2027">
        <f t="shared" si="325"/>
        <v>-115738.24897815127</v>
      </c>
      <c r="AP491" s="2027">
        <f t="shared" si="314"/>
        <v>-106328.73568036692</v>
      </c>
      <c r="AQ491" s="2027">
        <f t="shared" si="314"/>
        <v>-114507.8691942413</v>
      </c>
      <c r="AR491" s="2027">
        <f t="shared" si="314"/>
        <v>-114507.8691942413</v>
      </c>
      <c r="AS491" s="2124">
        <v>110.37991040723982</v>
      </c>
      <c r="AT491" s="2029">
        <f t="shared" si="315"/>
        <v>110.37991040723982</v>
      </c>
      <c r="AU491" s="2029">
        <f t="shared" si="315"/>
        <v>110.37991040723982</v>
      </c>
      <c r="AV491" s="2029">
        <f t="shared" si="315"/>
        <v>110.37991040723982</v>
      </c>
      <c r="AW491" s="2124">
        <f t="shared" si="316"/>
        <v>0</v>
      </c>
      <c r="AX491" s="2029">
        <f t="shared" si="335"/>
        <v>0</v>
      </c>
      <c r="AY491" s="2029">
        <f t="shared" si="335"/>
        <v>0</v>
      </c>
      <c r="AZ491" s="2029">
        <f t="shared" si="335"/>
        <v>0</v>
      </c>
      <c r="BA491" s="2124">
        <v>266.88881706528764</v>
      </c>
      <c r="BB491" s="2029">
        <f>$BA491</f>
        <v>266.88881706528764</v>
      </c>
      <c r="BC491" s="2029">
        <f t="shared" ref="BC491:BD491" si="339">$BA491</f>
        <v>266.88881706528764</v>
      </c>
      <c r="BD491" s="2029">
        <f t="shared" si="339"/>
        <v>266.88881706528764</v>
      </c>
      <c r="BE491" s="2030">
        <f t="shared" si="328"/>
        <v>1434938.8352941177</v>
      </c>
      <c r="BF491" s="2030">
        <f t="shared" si="328"/>
        <v>1434938.8352941177</v>
      </c>
      <c r="BG491" s="2030">
        <f t="shared" si="328"/>
        <v>1545318.7457013575</v>
      </c>
      <c r="BH491" s="2030">
        <f t="shared" si="328"/>
        <v>1545318.7457013575</v>
      </c>
      <c r="BI491" s="2030">
        <f t="shared" si="329"/>
        <v>0</v>
      </c>
      <c r="BJ491" s="2030">
        <f t="shared" si="329"/>
        <v>0</v>
      </c>
      <c r="BK491" s="2030">
        <f t="shared" si="329"/>
        <v>0</v>
      </c>
      <c r="BL491" s="2030">
        <f t="shared" si="329"/>
        <v>0</v>
      </c>
      <c r="BM491" s="2125"/>
      <c r="BN491" s="2125"/>
      <c r="BO491" s="2125"/>
      <c r="BP491" s="2125"/>
      <c r="BQ491" s="2125"/>
      <c r="BR491" s="2125"/>
      <c r="BS491" s="2125"/>
      <c r="BT491" s="2125"/>
      <c r="BU491" s="2029"/>
      <c r="BV491" s="2029"/>
      <c r="BW491" s="2029"/>
      <c r="BX491" s="2029"/>
      <c r="BY491" s="2029"/>
      <c r="BZ491" s="2032"/>
      <c r="CA491" s="1974">
        <f t="shared" si="336"/>
        <v>0</v>
      </c>
      <c r="CB491" s="1974">
        <f t="shared" si="336"/>
        <v>0</v>
      </c>
      <c r="CC491" s="1974">
        <f t="shared" si="336"/>
        <v>0</v>
      </c>
      <c r="CD491" s="1974">
        <f t="shared" si="336"/>
        <v>0</v>
      </c>
      <c r="CE491" s="1974">
        <f t="shared" si="336"/>
        <v>1</v>
      </c>
      <c r="CF491" s="2033">
        <v>2.7823985221147769E-2</v>
      </c>
      <c r="CG491" s="2026">
        <v>-5.3791537849072139E-2</v>
      </c>
      <c r="CH491" s="2009">
        <f t="shared" si="337"/>
        <v>1</v>
      </c>
      <c r="CI491" s="2031">
        <f t="shared" si="337"/>
        <v>5.387533986928104</v>
      </c>
      <c r="CJ491" s="1974">
        <f t="shared" si="337"/>
        <v>0</v>
      </c>
      <c r="CK491" s="2031">
        <f t="shared" si="337"/>
        <v>-5.387533986928104</v>
      </c>
      <c r="CL491" s="2026">
        <v>1</v>
      </c>
      <c r="CM491" s="2026">
        <v>0.91870005481454409</v>
      </c>
      <c r="CN491" s="2026">
        <v>0.91870005481454409</v>
      </c>
      <c r="CO491" s="2026">
        <v>0.91870005481454409</v>
      </c>
      <c r="CP491" s="2035"/>
      <c r="CQ491" s="2036"/>
      <c r="CR491" s="2036"/>
      <c r="CS491" s="2036"/>
      <c r="CT491" s="2036"/>
      <c r="CU491" s="2036"/>
      <c r="CV491" s="1973">
        <v>1</v>
      </c>
      <c r="CW491" s="1973">
        <v>0</v>
      </c>
      <c r="CX491" s="2037">
        <v>96.584257189810984</v>
      </c>
      <c r="CY491" s="2037">
        <v>96.584257189810984</v>
      </c>
      <c r="CZ491" s="2037">
        <v>96.584257189810984</v>
      </c>
      <c r="DA491" s="2037">
        <v>96.584257189810984</v>
      </c>
      <c r="DJ491" s="1976">
        <v>96.584257189810984</v>
      </c>
      <c r="DK491" s="1973">
        <v>96.584257189810984</v>
      </c>
      <c r="DL491" s="1973">
        <v>96.584257189810984</v>
      </c>
      <c r="DM491" s="1973">
        <v>96.584257189810984</v>
      </c>
      <c r="DO491" s="2146">
        <v>15</v>
      </c>
      <c r="DP491" s="2147">
        <v>568.88200876334827</v>
      </c>
      <c r="DQ491" s="2148">
        <v>9.92136358739934E-2</v>
      </c>
      <c r="DR491" s="2146">
        <v>-12.323260536976173</v>
      </c>
      <c r="DS491" s="2046">
        <v>110.38200821692685</v>
      </c>
      <c r="DT491" s="2046">
        <v>110.38200821692685</v>
      </c>
      <c r="DU491" s="2046">
        <v>110.38200821692685</v>
      </c>
      <c r="DV491" s="2046">
        <v>110.38200821692685</v>
      </c>
      <c r="DW491" s="2046">
        <v>0</v>
      </c>
      <c r="DX491" s="2046">
        <v>0</v>
      </c>
      <c r="DY491" s="2046">
        <v>0</v>
      </c>
      <c r="DZ491" s="2046">
        <v>0</v>
      </c>
      <c r="EA491" s="2046">
        <v>266.88716398638337</v>
      </c>
      <c r="EB491" s="2046">
        <v>266.88716398638337</v>
      </c>
      <c r="EC491" s="2046">
        <v>266.88716398638337</v>
      </c>
      <c r="ED491" s="2046">
        <v>266.88716398638337</v>
      </c>
      <c r="EE491" s="2039">
        <f t="shared" si="296"/>
        <v>0</v>
      </c>
      <c r="EF491" s="2039">
        <f t="shared" si="296"/>
        <v>8.4341532644884865E-3</v>
      </c>
      <c r="EG491" s="2039">
        <f t="shared" si="296"/>
        <v>2.3323230150570251E-2</v>
      </c>
      <c r="EH491" s="2039">
        <f t="shared" si="296"/>
        <v>2.4311025046555521</v>
      </c>
      <c r="EI491" s="2040">
        <f t="shared" si="333"/>
        <v>-2.0978096870294394E-3</v>
      </c>
      <c r="EJ491" s="2040">
        <f t="shared" si="333"/>
        <v>-2.0978096870294394E-3</v>
      </c>
      <c r="EK491" s="2040">
        <f t="shared" si="333"/>
        <v>-2.0978096870294394E-3</v>
      </c>
      <c r="EL491" s="2040">
        <f t="shared" si="332"/>
        <v>-2.0978096870294394E-3</v>
      </c>
      <c r="EM491" s="2040">
        <f t="shared" si="332"/>
        <v>0</v>
      </c>
      <c r="EN491" s="2040">
        <f t="shared" si="332"/>
        <v>0</v>
      </c>
      <c r="EO491" s="2040">
        <f t="shared" si="332"/>
        <v>0</v>
      </c>
      <c r="EP491" s="2040">
        <f t="shared" si="332"/>
        <v>0</v>
      </c>
      <c r="EQ491" s="2040">
        <f t="shared" si="332"/>
        <v>1.653078904269023E-3</v>
      </c>
      <c r="ER491" s="2040">
        <f t="shared" si="332"/>
        <v>1.653078904269023E-3</v>
      </c>
      <c r="ES491" s="2040">
        <f t="shared" si="332"/>
        <v>1.653078904269023E-3</v>
      </c>
      <c r="ET491" s="2040">
        <f t="shared" si="332"/>
        <v>1.653078904269023E-3</v>
      </c>
      <c r="EU491" s="2039">
        <f t="shared" si="297"/>
        <v>2.4610809649395691</v>
      </c>
      <c r="EV491" s="2039">
        <f t="shared" si="298"/>
        <v>2.4628598880706107</v>
      </c>
    </row>
    <row r="492" spans="1:152" x14ac:dyDescent="0.25">
      <c r="A492" s="2150" t="str">
        <f t="shared" si="334"/>
        <v>Air Conditioner Tune-Up</v>
      </c>
      <c r="B492" s="1974" t="str">
        <f t="shared" si="334"/>
        <v>BPC21</v>
      </c>
      <c r="C492" s="2027">
        <f t="shared" si="321"/>
        <v>3</v>
      </c>
      <c r="D492" s="2144">
        <f t="shared" si="321"/>
        <v>878</v>
      </c>
      <c r="E492" s="2145">
        <f t="shared" si="321"/>
        <v>0.39</v>
      </c>
      <c r="F492" s="2027">
        <f t="shared" si="321"/>
        <v>0</v>
      </c>
      <c r="G492" s="1974" t="s">
        <v>2988</v>
      </c>
      <c r="H492" s="1974" t="s">
        <v>2988</v>
      </c>
      <c r="I492" s="2026">
        <v>0.9</v>
      </c>
      <c r="J492" s="2026">
        <v>0.9</v>
      </c>
      <c r="K492" s="2026">
        <v>0.9</v>
      </c>
      <c r="L492" s="2026">
        <v>0.9</v>
      </c>
      <c r="M492" s="2027">
        <f t="shared" si="322"/>
        <v>790.2</v>
      </c>
      <c r="N492" s="2027">
        <f t="shared" si="322"/>
        <v>790.2</v>
      </c>
      <c r="O492" s="2027">
        <f t="shared" si="322"/>
        <v>790.2</v>
      </c>
      <c r="P492" s="2027">
        <f t="shared" si="322"/>
        <v>790.2</v>
      </c>
      <c r="Q492" s="2026">
        <v>0.9</v>
      </c>
      <c r="R492" s="2026">
        <v>0.9</v>
      </c>
      <c r="S492" s="2026">
        <v>0.9</v>
      </c>
      <c r="T492" s="2026">
        <v>0.9</v>
      </c>
      <c r="U492" s="2028">
        <f t="shared" si="323"/>
        <v>0.35100000000000003</v>
      </c>
      <c r="V492" s="2028">
        <f t="shared" si="323"/>
        <v>0.35100000000000003</v>
      </c>
      <c r="W492" s="2028">
        <f t="shared" si="323"/>
        <v>0.35100000000000003</v>
      </c>
      <c r="X492" s="2028">
        <f t="shared" si="323"/>
        <v>0.35100000000000003</v>
      </c>
      <c r="Y492" s="2026">
        <v>0.9</v>
      </c>
      <c r="Z492" s="2026">
        <v>0.9</v>
      </c>
      <c r="AA492" s="2026">
        <v>0.9</v>
      </c>
      <c r="AB492" s="2026">
        <v>0.9</v>
      </c>
      <c r="AC492" s="2027">
        <f t="shared" si="324"/>
        <v>0</v>
      </c>
      <c r="AD492" s="2027">
        <f t="shared" si="324"/>
        <v>0</v>
      </c>
      <c r="AE492" s="2027">
        <f t="shared" si="324"/>
        <v>0</v>
      </c>
      <c r="AF492" s="2027">
        <f t="shared" si="324"/>
        <v>0</v>
      </c>
      <c r="AG492" s="2027">
        <v>9</v>
      </c>
      <c r="AH492" s="2028">
        <v>10</v>
      </c>
      <c r="AI492" s="2028">
        <v>10</v>
      </c>
      <c r="AJ492" s="2028">
        <v>10</v>
      </c>
      <c r="AK492" s="2027">
        <f t="shared" si="312"/>
        <v>7111.8</v>
      </c>
      <c r="AL492" s="2027">
        <f t="shared" si="313"/>
        <v>7902</v>
      </c>
      <c r="AM492" s="2027">
        <f t="shared" si="313"/>
        <v>7902</v>
      </c>
      <c r="AN492" s="2027">
        <f t="shared" si="313"/>
        <v>7902</v>
      </c>
      <c r="AO492" s="2027">
        <f t="shared" si="325"/>
        <v>0</v>
      </c>
      <c r="AP492" s="2027">
        <f t="shared" si="314"/>
        <v>0</v>
      </c>
      <c r="AQ492" s="2027">
        <f t="shared" si="314"/>
        <v>0</v>
      </c>
      <c r="AR492" s="2027">
        <f t="shared" si="314"/>
        <v>0</v>
      </c>
      <c r="AS492" s="2124">
        <f t="shared" ref="AS492:AS499" si="340">AS31*1</f>
        <v>120</v>
      </c>
      <c r="AT492" s="2029">
        <f t="shared" si="315"/>
        <v>120</v>
      </c>
      <c r="AU492" s="2029">
        <f t="shared" si="315"/>
        <v>120</v>
      </c>
      <c r="AV492" s="2029">
        <f t="shared" si="315"/>
        <v>120</v>
      </c>
      <c r="AW492" s="2124">
        <f t="shared" si="316"/>
        <v>0</v>
      </c>
      <c r="AX492" s="2029">
        <f t="shared" si="335"/>
        <v>0</v>
      </c>
      <c r="AY492" s="2029">
        <f t="shared" si="335"/>
        <v>0</v>
      </c>
      <c r="AZ492" s="2029">
        <f t="shared" si="335"/>
        <v>0</v>
      </c>
      <c r="BA492" s="2124">
        <f t="shared" si="338"/>
        <v>140</v>
      </c>
      <c r="BB492" s="2029">
        <f t="shared" si="338"/>
        <v>140</v>
      </c>
      <c r="BC492" s="2029">
        <f t="shared" si="338"/>
        <v>140</v>
      </c>
      <c r="BD492" s="2029">
        <f t="shared" si="338"/>
        <v>140</v>
      </c>
      <c r="BE492" s="2030">
        <f t="shared" si="328"/>
        <v>1080</v>
      </c>
      <c r="BF492" s="2030">
        <f t="shared" si="328"/>
        <v>1200</v>
      </c>
      <c r="BG492" s="2030">
        <f t="shared" si="328"/>
        <v>1200</v>
      </c>
      <c r="BH492" s="2030">
        <f t="shared" si="328"/>
        <v>1200</v>
      </c>
      <c r="BI492" s="2030">
        <f t="shared" si="329"/>
        <v>0</v>
      </c>
      <c r="BJ492" s="2030">
        <f t="shared" si="329"/>
        <v>0</v>
      </c>
      <c r="BK492" s="2030">
        <f t="shared" si="329"/>
        <v>0</v>
      </c>
      <c r="BL492" s="2030">
        <f t="shared" si="329"/>
        <v>0</v>
      </c>
      <c r="BM492" s="2125"/>
      <c r="BN492" s="2125"/>
      <c r="BO492" s="2125"/>
      <c r="BP492" s="2125"/>
      <c r="BQ492" s="2125"/>
      <c r="BR492" s="2125"/>
      <c r="BS492" s="2125"/>
      <c r="BT492" s="2125"/>
      <c r="BU492" s="2029"/>
      <c r="BV492" s="2029"/>
      <c r="BW492" s="2029"/>
      <c r="BX492" s="2029"/>
      <c r="BY492" s="2029"/>
      <c r="BZ492" s="2032"/>
      <c r="CA492" s="1974">
        <f t="shared" si="336"/>
        <v>0</v>
      </c>
      <c r="CB492" s="1974">
        <f t="shared" si="336"/>
        <v>0</v>
      </c>
      <c r="CC492" s="1974">
        <f t="shared" si="336"/>
        <v>0</v>
      </c>
      <c r="CD492" s="1974">
        <f t="shared" si="336"/>
        <v>0</v>
      </c>
      <c r="CE492" s="1974">
        <f t="shared" si="336"/>
        <v>0</v>
      </c>
      <c r="CF492" s="2033">
        <v>2.9729719240220312E-5</v>
      </c>
      <c r="CG492" s="2026">
        <v>0</v>
      </c>
      <c r="CH492" s="2009">
        <f t="shared" si="337"/>
        <v>0</v>
      </c>
      <c r="CI492" s="2031">
        <f t="shared" si="337"/>
        <v>0</v>
      </c>
      <c r="CJ492" s="1974">
        <f t="shared" si="337"/>
        <v>0</v>
      </c>
      <c r="CK492" s="2031">
        <f t="shared" si="337"/>
        <v>0</v>
      </c>
      <c r="CL492" s="2026">
        <v>1</v>
      </c>
      <c r="CM492" s="2026">
        <v>1</v>
      </c>
      <c r="CN492" s="2026">
        <v>1</v>
      </c>
      <c r="CO492" s="2026">
        <v>1</v>
      </c>
      <c r="CP492" s="2035"/>
      <c r="CQ492" s="2036"/>
      <c r="CR492" s="2036"/>
      <c r="CS492" s="2036"/>
      <c r="CT492" s="2036"/>
      <c r="CU492" s="2036"/>
      <c r="CV492" s="1973">
        <v>1</v>
      </c>
      <c r="CW492" s="1973">
        <v>0</v>
      </c>
      <c r="CX492" s="2037">
        <v>120</v>
      </c>
      <c r="CY492" s="2037">
        <v>120</v>
      </c>
      <c r="CZ492" s="2037">
        <v>120</v>
      </c>
      <c r="DA492" s="2037">
        <v>120</v>
      </c>
      <c r="DJ492" s="1976">
        <v>120</v>
      </c>
      <c r="DK492" s="1973">
        <v>120</v>
      </c>
      <c r="DL492" s="1973">
        <v>120</v>
      </c>
      <c r="DM492" s="1973">
        <v>120</v>
      </c>
      <c r="DO492" s="2027">
        <v>3</v>
      </c>
      <c r="DP492" s="2144">
        <v>878</v>
      </c>
      <c r="DQ492" s="2145">
        <v>0.39</v>
      </c>
      <c r="DR492" s="2027">
        <v>0</v>
      </c>
      <c r="DS492" s="2124">
        <v>120</v>
      </c>
      <c r="DT492" s="2029">
        <v>120</v>
      </c>
      <c r="DU492" s="2029">
        <v>120</v>
      </c>
      <c r="DV492" s="2029">
        <v>120</v>
      </c>
      <c r="DW492" s="2124">
        <v>0</v>
      </c>
      <c r="DX492" s="2029">
        <v>0</v>
      </c>
      <c r="DY492" s="2029">
        <v>0</v>
      </c>
      <c r="DZ492" s="2029">
        <v>0</v>
      </c>
      <c r="EA492" s="2124">
        <v>140</v>
      </c>
      <c r="EB492" s="2029">
        <v>140</v>
      </c>
      <c r="EC492" s="2029">
        <v>140</v>
      </c>
      <c r="ED492" s="2029">
        <v>140</v>
      </c>
      <c r="EE492" s="2039">
        <f t="shared" si="296"/>
        <v>0</v>
      </c>
      <c r="EF492" s="2039">
        <f t="shared" si="296"/>
        <v>0</v>
      </c>
      <c r="EG492" s="2039">
        <f t="shared" si="296"/>
        <v>0</v>
      </c>
      <c r="EH492" s="2039">
        <f t="shared" si="296"/>
        <v>0</v>
      </c>
      <c r="EI492" s="2040">
        <f t="shared" si="333"/>
        <v>0</v>
      </c>
      <c r="EJ492" s="2040">
        <f t="shared" si="333"/>
        <v>0</v>
      </c>
      <c r="EK492" s="2040">
        <f t="shared" si="333"/>
        <v>0</v>
      </c>
      <c r="EL492" s="2040">
        <f t="shared" si="332"/>
        <v>0</v>
      </c>
      <c r="EM492" s="2040">
        <f t="shared" si="332"/>
        <v>0</v>
      </c>
      <c r="EN492" s="2040">
        <f t="shared" si="332"/>
        <v>0</v>
      </c>
      <c r="EO492" s="2040">
        <f t="shared" si="332"/>
        <v>0</v>
      </c>
      <c r="EP492" s="2040">
        <f t="shared" si="332"/>
        <v>0</v>
      </c>
      <c r="EQ492" s="2040">
        <f t="shared" si="332"/>
        <v>0</v>
      </c>
      <c r="ER492" s="2040">
        <f t="shared" si="332"/>
        <v>0</v>
      </c>
      <c r="ES492" s="2040">
        <f t="shared" si="332"/>
        <v>0</v>
      </c>
      <c r="ET492" s="2040">
        <f t="shared" si="332"/>
        <v>0</v>
      </c>
      <c r="EU492" s="2039">
        <f t="shared" si="297"/>
        <v>0</v>
      </c>
      <c r="EV492" s="2039">
        <f t="shared" si="298"/>
        <v>0</v>
      </c>
    </row>
    <row r="493" spans="1:152" x14ac:dyDescent="0.25">
      <c r="A493" s="2150" t="str">
        <f t="shared" si="334"/>
        <v>Unitary and Split AC Systems and Air Source Heat Pumps (up to 65,000 Btuh input, minimum 15 SEER)</v>
      </c>
      <c r="B493" s="1974" t="str">
        <f t="shared" si="334"/>
        <v>BPC2</v>
      </c>
      <c r="C493" s="2027">
        <f t="shared" ref="C493:F508" si="341">C32</f>
        <v>15</v>
      </c>
      <c r="D493" s="2144">
        <f t="shared" si="341"/>
        <v>514.38</v>
      </c>
      <c r="E493" s="2145">
        <f t="shared" si="341"/>
        <v>0.5</v>
      </c>
      <c r="F493" s="2027">
        <f t="shared" si="341"/>
        <v>0</v>
      </c>
      <c r="G493" s="1974" t="s">
        <v>2988</v>
      </c>
      <c r="H493" s="1974" t="s">
        <v>2988</v>
      </c>
      <c r="I493" s="2026">
        <v>0.9</v>
      </c>
      <c r="J493" s="2026">
        <v>0.9</v>
      </c>
      <c r="K493" s="2026">
        <v>0.9</v>
      </c>
      <c r="L493" s="2026">
        <v>0.9</v>
      </c>
      <c r="M493" s="2027">
        <f t="shared" si="322"/>
        <v>462.94200000000001</v>
      </c>
      <c r="N493" s="2027">
        <f t="shared" si="322"/>
        <v>462.94200000000001</v>
      </c>
      <c r="O493" s="2027">
        <f t="shared" si="322"/>
        <v>462.94200000000001</v>
      </c>
      <c r="P493" s="2027">
        <f t="shared" si="322"/>
        <v>462.94200000000001</v>
      </c>
      <c r="Q493" s="2026">
        <v>0.9</v>
      </c>
      <c r="R493" s="2026">
        <v>0.9</v>
      </c>
      <c r="S493" s="2026">
        <v>0.9</v>
      </c>
      <c r="T493" s="2026">
        <v>0.9</v>
      </c>
      <c r="U493" s="2028">
        <f t="shared" si="323"/>
        <v>0.45</v>
      </c>
      <c r="V493" s="2028">
        <f t="shared" si="323"/>
        <v>0.45</v>
      </c>
      <c r="W493" s="2028">
        <f t="shared" si="323"/>
        <v>0.45</v>
      </c>
      <c r="X493" s="2028">
        <f t="shared" si="323"/>
        <v>0.45</v>
      </c>
      <c r="Y493" s="2026">
        <v>0.9</v>
      </c>
      <c r="Z493" s="2026">
        <v>0.9</v>
      </c>
      <c r="AA493" s="2026">
        <v>0.9</v>
      </c>
      <c r="AB493" s="2026">
        <v>0.9</v>
      </c>
      <c r="AC493" s="2027">
        <f t="shared" si="324"/>
        <v>0</v>
      </c>
      <c r="AD493" s="2027">
        <f t="shared" si="324"/>
        <v>0</v>
      </c>
      <c r="AE493" s="2027">
        <f t="shared" si="324"/>
        <v>0</v>
      </c>
      <c r="AF493" s="2027">
        <f t="shared" si="324"/>
        <v>0</v>
      </c>
      <c r="AG493" s="2027">
        <v>4</v>
      </c>
      <c r="AH493" s="2028">
        <v>5</v>
      </c>
      <c r="AI493" s="2028">
        <v>5</v>
      </c>
      <c r="AJ493" s="2028">
        <v>5</v>
      </c>
      <c r="AK493" s="2027">
        <f t="shared" si="312"/>
        <v>1851.768</v>
      </c>
      <c r="AL493" s="2027">
        <f t="shared" si="313"/>
        <v>2314.71</v>
      </c>
      <c r="AM493" s="2027">
        <f t="shared" si="313"/>
        <v>2314.71</v>
      </c>
      <c r="AN493" s="2027">
        <f t="shared" si="313"/>
        <v>2314.71</v>
      </c>
      <c r="AO493" s="2027">
        <f t="shared" si="325"/>
        <v>0</v>
      </c>
      <c r="AP493" s="2027">
        <f t="shared" si="314"/>
        <v>0</v>
      </c>
      <c r="AQ493" s="2027">
        <f t="shared" si="314"/>
        <v>0</v>
      </c>
      <c r="AR493" s="2027">
        <f t="shared" si="314"/>
        <v>0</v>
      </c>
      <c r="AS493" s="2124">
        <f t="shared" si="340"/>
        <v>50</v>
      </c>
      <c r="AT493" s="2029">
        <f t="shared" si="315"/>
        <v>50</v>
      </c>
      <c r="AU493" s="2029">
        <f t="shared" si="315"/>
        <v>50</v>
      </c>
      <c r="AV493" s="2029">
        <f t="shared" si="315"/>
        <v>50</v>
      </c>
      <c r="AW493" s="2124">
        <f t="shared" si="316"/>
        <v>0</v>
      </c>
      <c r="AX493" s="2029">
        <f t="shared" si="335"/>
        <v>0</v>
      </c>
      <c r="AY493" s="2029">
        <f t="shared" si="335"/>
        <v>0</v>
      </c>
      <c r="AZ493" s="2029">
        <f t="shared" si="335"/>
        <v>0</v>
      </c>
      <c r="BA493" s="2124">
        <f t="shared" si="338"/>
        <v>300</v>
      </c>
      <c r="BB493" s="2029">
        <f t="shared" si="338"/>
        <v>300</v>
      </c>
      <c r="BC493" s="2029">
        <f t="shared" si="338"/>
        <v>300</v>
      </c>
      <c r="BD493" s="2029">
        <f t="shared" si="338"/>
        <v>300</v>
      </c>
      <c r="BE493" s="2030">
        <f t="shared" si="328"/>
        <v>200</v>
      </c>
      <c r="BF493" s="2030">
        <f t="shared" si="328"/>
        <v>250</v>
      </c>
      <c r="BG493" s="2030">
        <f t="shared" si="328"/>
        <v>250</v>
      </c>
      <c r="BH493" s="2030">
        <f t="shared" si="328"/>
        <v>250</v>
      </c>
      <c r="BI493" s="2030">
        <f t="shared" si="329"/>
        <v>0</v>
      </c>
      <c r="BJ493" s="2030">
        <f t="shared" si="329"/>
        <v>0</v>
      </c>
      <c r="BK493" s="2030">
        <f t="shared" si="329"/>
        <v>0</v>
      </c>
      <c r="BL493" s="2030">
        <f t="shared" si="329"/>
        <v>0</v>
      </c>
      <c r="BM493" s="2125"/>
      <c r="BN493" s="2125"/>
      <c r="BO493" s="2125"/>
      <c r="BP493" s="2125"/>
      <c r="BQ493" s="2125"/>
      <c r="BR493" s="2125"/>
      <c r="BS493" s="2125"/>
      <c r="BT493" s="2125"/>
      <c r="BU493" s="2029"/>
      <c r="BV493" s="2029"/>
      <c r="BW493" s="2029"/>
      <c r="BX493" s="2029"/>
      <c r="BY493" s="2029"/>
      <c r="BZ493" s="2032"/>
      <c r="CA493" s="1974">
        <f t="shared" si="336"/>
        <v>0</v>
      </c>
      <c r="CB493" s="1974">
        <f t="shared" si="336"/>
        <v>0</v>
      </c>
      <c r="CC493" s="1974">
        <f t="shared" si="336"/>
        <v>0</v>
      </c>
      <c r="CD493" s="1974">
        <f t="shared" si="336"/>
        <v>0</v>
      </c>
      <c r="CE493" s="1974">
        <f t="shared" si="336"/>
        <v>0</v>
      </c>
      <c r="CF493" s="2033">
        <v>7.7410139118119584E-6</v>
      </c>
      <c r="CG493" s="2026">
        <v>0</v>
      </c>
      <c r="CH493" s="2009">
        <f t="shared" si="337"/>
        <v>0</v>
      </c>
      <c r="CI493" s="2031">
        <f t="shared" si="337"/>
        <v>0</v>
      </c>
      <c r="CJ493" s="1974">
        <f t="shared" si="337"/>
        <v>0</v>
      </c>
      <c r="CK493" s="2031">
        <f t="shared" si="337"/>
        <v>0</v>
      </c>
      <c r="CL493" s="2026">
        <v>1</v>
      </c>
      <c r="CM493" s="2026">
        <v>1</v>
      </c>
      <c r="CN493" s="2026">
        <v>1</v>
      </c>
      <c r="CO493" s="2026">
        <v>1</v>
      </c>
      <c r="CP493" s="2035"/>
      <c r="CQ493" s="2036"/>
      <c r="CR493" s="2036"/>
      <c r="CS493" s="2036"/>
      <c r="CT493" s="2036"/>
      <c r="CU493" s="2036"/>
      <c r="CV493" s="1973">
        <v>1</v>
      </c>
      <c r="CW493" s="1973">
        <v>3</v>
      </c>
      <c r="CX493" s="2037">
        <v>50</v>
      </c>
      <c r="CY493" s="2037">
        <v>50</v>
      </c>
      <c r="CZ493" s="2037">
        <v>50</v>
      </c>
      <c r="DA493" s="2037">
        <v>50</v>
      </c>
      <c r="DJ493" s="1976">
        <v>50</v>
      </c>
      <c r="DK493" s="1973">
        <v>50</v>
      </c>
      <c r="DL493" s="1973">
        <v>50</v>
      </c>
      <c r="DM493" s="1973">
        <v>50</v>
      </c>
      <c r="DO493" s="2027">
        <v>15</v>
      </c>
      <c r="DP493" s="2144">
        <v>514.38</v>
      </c>
      <c r="DQ493" s="2145">
        <v>0.5</v>
      </c>
      <c r="DR493" s="2027">
        <v>0</v>
      </c>
      <c r="DS493" s="2124">
        <v>50</v>
      </c>
      <c r="DT493" s="2029">
        <v>50</v>
      </c>
      <c r="DU493" s="2029">
        <v>50</v>
      </c>
      <c r="DV493" s="2029">
        <v>50</v>
      </c>
      <c r="DW493" s="2124">
        <v>0</v>
      </c>
      <c r="DX493" s="2029">
        <v>0</v>
      </c>
      <c r="DY493" s="2029">
        <v>0</v>
      </c>
      <c r="DZ493" s="2029">
        <v>0</v>
      </c>
      <c r="EA493" s="2124">
        <v>300</v>
      </c>
      <c r="EB493" s="2029">
        <v>300</v>
      </c>
      <c r="EC493" s="2029">
        <v>300</v>
      </c>
      <c r="ED493" s="2029">
        <v>300</v>
      </c>
      <c r="EE493" s="2039">
        <f t="shared" si="296"/>
        <v>0</v>
      </c>
      <c r="EF493" s="2039">
        <f t="shared" si="296"/>
        <v>0</v>
      </c>
      <c r="EG493" s="2039">
        <f t="shared" si="296"/>
        <v>0</v>
      </c>
      <c r="EH493" s="2039">
        <f t="shared" si="296"/>
        <v>0</v>
      </c>
      <c r="EI493" s="2040">
        <f t="shared" si="333"/>
        <v>0</v>
      </c>
      <c r="EJ493" s="2040">
        <f t="shared" si="333"/>
        <v>0</v>
      </c>
      <c r="EK493" s="2040">
        <f t="shared" si="333"/>
        <v>0</v>
      </c>
      <c r="EL493" s="2040">
        <f t="shared" si="332"/>
        <v>0</v>
      </c>
      <c r="EM493" s="2040">
        <f t="shared" si="332"/>
        <v>0</v>
      </c>
      <c r="EN493" s="2040">
        <f t="shared" si="332"/>
        <v>0</v>
      </c>
      <c r="EO493" s="2040">
        <f t="shared" si="332"/>
        <v>0</v>
      </c>
      <c r="EP493" s="2040">
        <f t="shared" si="332"/>
        <v>0</v>
      </c>
      <c r="EQ493" s="2040">
        <f t="shared" si="332"/>
        <v>0</v>
      </c>
      <c r="ER493" s="2040">
        <f t="shared" si="332"/>
        <v>0</v>
      </c>
      <c r="ES493" s="2040">
        <f t="shared" si="332"/>
        <v>0</v>
      </c>
      <c r="ET493" s="2040">
        <f t="shared" si="332"/>
        <v>0</v>
      </c>
      <c r="EU493" s="2039">
        <f t="shared" si="297"/>
        <v>0</v>
      </c>
      <c r="EV493" s="2039">
        <f t="shared" si="298"/>
        <v>0</v>
      </c>
    </row>
    <row r="494" spans="1:152" x14ac:dyDescent="0.25">
      <c r="A494" s="2150" t="str">
        <f t="shared" si="334"/>
        <v>Unitary and Split AC Systems and Air Source Heat Pumps (65,000 to 134,999 Btuh input, minimum 12 EER)</v>
      </c>
      <c r="B494" s="1974" t="str">
        <f t="shared" si="334"/>
        <v>BPC4</v>
      </c>
      <c r="C494" s="2027">
        <f t="shared" si="341"/>
        <v>15</v>
      </c>
      <c r="D494" s="2144">
        <f t="shared" si="341"/>
        <v>744.5</v>
      </c>
      <c r="E494" s="2145">
        <f t="shared" si="341"/>
        <v>0.747</v>
      </c>
      <c r="F494" s="2027">
        <f t="shared" si="341"/>
        <v>0</v>
      </c>
      <c r="G494" s="1974" t="s">
        <v>2988</v>
      </c>
      <c r="H494" s="1974" t="s">
        <v>2988</v>
      </c>
      <c r="I494" s="2026">
        <v>0.9</v>
      </c>
      <c r="J494" s="2026">
        <v>0.9</v>
      </c>
      <c r="K494" s="2026">
        <v>0.9</v>
      </c>
      <c r="L494" s="2026">
        <v>0.9</v>
      </c>
      <c r="M494" s="2027">
        <f t="shared" si="322"/>
        <v>670.05000000000007</v>
      </c>
      <c r="N494" s="2027">
        <f t="shared" si="322"/>
        <v>670.05000000000007</v>
      </c>
      <c r="O494" s="2027">
        <f t="shared" si="322"/>
        <v>670.05000000000007</v>
      </c>
      <c r="P494" s="2027">
        <f t="shared" si="322"/>
        <v>670.05000000000007</v>
      </c>
      <c r="Q494" s="2026">
        <v>0.9</v>
      </c>
      <c r="R494" s="2026">
        <v>0.9</v>
      </c>
      <c r="S494" s="2026">
        <v>0.9</v>
      </c>
      <c r="T494" s="2026">
        <v>0.9</v>
      </c>
      <c r="U494" s="2028">
        <f t="shared" si="323"/>
        <v>0.67230000000000001</v>
      </c>
      <c r="V494" s="2028">
        <f t="shared" si="323"/>
        <v>0.67230000000000001</v>
      </c>
      <c r="W494" s="2028">
        <f t="shared" si="323"/>
        <v>0.67230000000000001</v>
      </c>
      <c r="X494" s="2028">
        <f t="shared" si="323"/>
        <v>0.67230000000000001</v>
      </c>
      <c r="Y494" s="2026">
        <v>0.9</v>
      </c>
      <c r="Z494" s="2026">
        <v>0.9</v>
      </c>
      <c r="AA494" s="2026">
        <v>0.9</v>
      </c>
      <c r="AB494" s="2026">
        <v>0.9</v>
      </c>
      <c r="AC494" s="2027">
        <f t="shared" si="324"/>
        <v>0</v>
      </c>
      <c r="AD494" s="2027">
        <f t="shared" si="324"/>
        <v>0</v>
      </c>
      <c r="AE494" s="2027">
        <f t="shared" si="324"/>
        <v>0</v>
      </c>
      <c r="AF494" s="2027">
        <f t="shared" si="324"/>
        <v>0</v>
      </c>
      <c r="AG494" s="2027">
        <v>2</v>
      </c>
      <c r="AH494" s="2028">
        <v>3</v>
      </c>
      <c r="AI494" s="2028">
        <v>3</v>
      </c>
      <c r="AJ494" s="2028">
        <v>3</v>
      </c>
      <c r="AK494" s="2027">
        <f t="shared" si="312"/>
        <v>1340.1000000000001</v>
      </c>
      <c r="AL494" s="2027">
        <f t="shared" si="313"/>
        <v>2010.15</v>
      </c>
      <c r="AM494" s="2027">
        <f t="shared" si="313"/>
        <v>2010.15</v>
      </c>
      <c r="AN494" s="2027">
        <f t="shared" si="313"/>
        <v>2010.15</v>
      </c>
      <c r="AO494" s="2027">
        <f t="shared" si="325"/>
        <v>0</v>
      </c>
      <c r="AP494" s="2027">
        <f t="shared" si="314"/>
        <v>0</v>
      </c>
      <c r="AQ494" s="2027">
        <f t="shared" si="314"/>
        <v>0</v>
      </c>
      <c r="AR494" s="2027">
        <f t="shared" si="314"/>
        <v>0</v>
      </c>
      <c r="AS494" s="2124">
        <f t="shared" si="340"/>
        <v>50</v>
      </c>
      <c r="AT494" s="2029">
        <f t="shared" si="315"/>
        <v>50</v>
      </c>
      <c r="AU494" s="2029">
        <f t="shared" si="315"/>
        <v>50</v>
      </c>
      <c r="AV494" s="2029">
        <f t="shared" si="315"/>
        <v>50</v>
      </c>
      <c r="AW494" s="2124">
        <f t="shared" si="316"/>
        <v>0</v>
      </c>
      <c r="AX494" s="2029">
        <f t="shared" si="335"/>
        <v>0</v>
      </c>
      <c r="AY494" s="2029">
        <f t="shared" si="335"/>
        <v>0</v>
      </c>
      <c r="AZ494" s="2029">
        <f t="shared" si="335"/>
        <v>0</v>
      </c>
      <c r="BA494" s="2124">
        <f t="shared" si="338"/>
        <v>1000</v>
      </c>
      <c r="BB494" s="2029">
        <f t="shared" si="338"/>
        <v>1000</v>
      </c>
      <c r="BC494" s="2029">
        <f t="shared" si="338"/>
        <v>1000</v>
      </c>
      <c r="BD494" s="2029">
        <f t="shared" si="338"/>
        <v>1000</v>
      </c>
      <c r="BE494" s="2030">
        <f t="shared" si="328"/>
        <v>100</v>
      </c>
      <c r="BF494" s="2030">
        <f t="shared" si="328"/>
        <v>150</v>
      </c>
      <c r="BG494" s="2030">
        <f t="shared" si="328"/>
        <v>150</v>
      </c>
      <c r="BH494" s="2030">
        <f t="shared" si="328"/>
        <v>150</v>
      </c>
      <c r="BI494" s="2030">
        <f t="shared" si="329"/>
        <v>0</v>
      </c>
      <c r="BJ494" s="2030">
        <f t="shared" si="329"/>
        <v>0</v>
      </c>
      <c r="BK494" s="2030">
        <f t="shared" si="329"/>
        <v>0</v>
      </c>
      <c r="BL494" s="2030">
        <f t="shared" si="329"/>
        <v>0</v>
      </c>
      <c r="BM494" s="2125"/>
      <c r="BN494" s="2125"/>
      <c r="BO494" s="2125"/>
      <c r="BP494" s="2125"/>
      <c r="BQ494" s="2125"/>
      <c r="BR494" s="2125"/>
      <c r="BS494" s="2125"/>
      <c r="BT494" s="2125"/>
      <c r="BU494" s="2029"/>
      <c r="BV494" s="2029"/>
      <c r="BW494" s="2029"/>
      <c r="BX494" s="2029"/>
      <c r="BY494" s="2029"/>
      <c r="BZ494" s="2032"/>
      <c r="CA494" s="1974">
        <f t="shared" si="336"/>
        <v>0</v>
      </c>
      <c r="CB494" s="1974">
        <f t="shared" si="336"/>
        <v>0</v>
      </c>
      <c r="CC494" s="1974">
        <f t="shared" si="336"/>
        <v>0</v>
      </c>
      <c r="CD494" s="1974">
        <f t="shared" si="336"/>
        <v>0</v>
      </c>
      <c r="CE494" s="1974">
        <f t="shared" si="336"/>
        <v>0</v>
      </c>
      <c r="CF494" s="2033">
        <v>5.6020693430382245E-6</v>
      </c>
      <c r="CG494" s="2026">
        <v>0</v>
      </c>
      <c r="CH494" s="2009">
        <f t="shared" si="337"/>
        <v>0</v>
      </c>
      <c r="CI494" s="2031">
        <f t="shared" si="337"/>
        <v>0</v>
      </c>
      <c r="CJ494" s="1974">
        <f t="shared" si="337"/>
        <v>0</v>
      </c>
      <c r="CK494" s="2031">
        <f t="shared" si="337"/>
        <v>0</v>
      </c>
      <c r="CL494" s="2026">
        <v>1</v>
      </c>
      <c r="CM494" s="2026">
        <v>1</v>
      </c>
      <c r="CN494" s="2026">
        <v>1</v>
      </c>
      <c r="CO494" s="2026">
        <v>1</v>
      </c>
      <c r="CP494" s="2035"/>
      <c r="CQ494" s="2036"/>
      <c r="CR494" s="2036"/>
      <c r="CS494" s="2036"/>
      <c r="CT494" s="2036"/>
      <c r="CU494" s="2036"/>
      <c r="CV494" s="1973">
        <v>1</v>
      </c>
      <c r="CW494" s="1973">
        <v>3</v>
      </c>
      <c r="CX494" s="2037">
        <v>50</v>
      </c>
      <c r="CY494" s="2037">
        <v>50</v>
      </c>
      <c r="CZ494" s="2037">
        <v>50</v>
      </c>
      <c r="DA494" s="2037">
        <v>50</v>
      </c>
      <c r="DJ494" s="1976">
        <v>50</v>
      </c>
      <c r="DK494" s="1973">
        <v>50</v>
      </c>
      <c r="DL494" s="1973">
        <v>50</v>
      </c>
      <c r="DM494" s="1973">
        <v>50</v>
      </c>
      <c r="DO494" s="2027">
        <v>15</v>
      </c>
      <c r="DP494" s="2144">
        <v>744.5</v>
      </c>
      <c r="DQ494" s="2145">
        <v>0.747</v>
      </c>
      <c r="DR494" s="2027">
        <v>0</v>
      </c>
      <c r="DS494" s="2124">
        <v>50</v>
      </c>
      <c r="DT494" s="2029">
        <v>50</v>
      </c>
      <c r="DU494" s="2029">
        <v>50</v>
      </c>
      <c r="DV494" s="2029">
        <v>50</v>
      </c>
      <c r="DW494" s="2124">
        <v>0</v>
      </c>
      <c r="DX494" s="2029">
        <v>0</v>
      </c>
      <c r="DY494" s="2029">
        <v>0</v>
      </c>
      <c r="DZ494" s="2029">
        <v>0</v>
      </c>
      <c r="EA494" s="2124">
        <v>1000</v>
      </c>
      <c r="EB494" s="2029">
        <v>1000</v>
      </c>
      <c r="EC494" s="2029">
        <v>1000</v>
      </c>
      <c r="ED494" s="2029">
        <v>1000</v>
      </c>
      <c r="EE494" s="2039">
        <f t="shared" si="296"/>
        <v>0</v>
      </c>
      <c r="EF494" s="2039">
        <f t="shared" si="296"/>
        <v>0</v>
      </c>
      <c r="EG494" s="2039">
        <f t="shared" si="296"/>
        <v>0</v>
      </c>
      <c r="EH494" s="2039">
        <f t="shared" si="296"/>
        <v>0</v>
      </c>
      <c r="EI494" s="2040">
        <f t="shared" si="333"/>
        <v>0</v>
      </c>
      <c r="EJ494" s="2040">
        <f t="shared" si="333"/>
        <v>0</v>
      </c>
      <c r="EK494" s="2040">
        <f t="shared" si="333"/>
        <v>0</v>
      </c>
      <c r="EL494" s="2040">
        <f t="shared" si="332"/>
        <v>0</v>
      </c>
      <c r="EM494" s="2040">
        <f t="shared" si="332"/>
        <v>0</v>
      </c>
      <c r="EN494" s="2040">
        <f t="shared" si="332"/>
        <v>0</v>
      </c>
      <c r="EO494" s="2040">
        <f t="shared" si="332"/>
        <v>0</v>
      </c>
      <c r="EP494" s="2040">
        <f t="shared" si="332"/>
        <v>0</v>
      </c>
      <c r="EQ494" s="2040">
        <f t="shared" si="332"/>
        <v>0</v>
      </c>
      <c r="ER494" s="2040">
        <f t="shared" si="332"/>
        <v>0</v>
      </c>
      <c r="ES494" s="2040">
        <f t="shared" si="332"/>
        <v>0</v>
      </c>
      <c r="ET494" s="2040">
        <f t="shared" si="332"/>
        <v>0</v>
      </c>
      <c r="EU494" s="2039">
        <f t="shared" si="297"/>
        <v>0</v>
      </c>
      <c r="EV494" s="2039">
        <f t="shared" si="298"/>
        <v>0</v>
      </c>
    </row>
    <row r="495" spans="1:152" x14ac:dyDescent="0.25">
      <c r="A495" s="2150" t="str">
        <f t="shared" si="334"/>
        <v>Unitary and Split AC Systems and Air Source Heat Pumps (240,000 to 759,999 Btuh input, minimum 10.8 EER/12.0 IPLV)</v>
      </c>
      <c r="B495" s="1974" t="str">
        <f t="shared" si="334"/>
        <v>BPC6</v>
      </c>
      <c r="C495" s="2027">
        <f t="shared" si="341"/>
        <v>15</v>
      </c>
      <c r="D495" s="2144">
        <f t="shared" si="341"/>
        <v>9363.2099999999991</v>
      </c>
      <c r="E495" s="2145">
        <f t="shared" si="341"/>
        <v>9.27</v>
      </c>
      <c r="F495" s="2027">
        <f t="shared" si="341"/>
        <v>0</v>
      </c>
      <c r="G495" s="1974" t="s">
        <v>2988</v>
      </c>
      <c r="H495" s="1974" t="s">
        <v>2988</v>
      </c>
      <c r="I495" s="2026">
        <v>0.9</v>
      </c>
      <c r="J495" s="2026">
        <v>0.9</v>
      </c>
      <c r="K495" s="2026">
        <v>0.9</v>
      </c>
      <c r="L495" s="2026">
        <v>0.9</v>
      </c>
      <c r="M495" s="2027">
        <f t="shared" si="322"/>
        <v>8426.8889999999992</v>
      </c>
      <c r="N495" s="2027">
        <f t="shared" si="322"/>
        <v>8426.8889999999992</v>
      </c>
      <c r="O495" s="2027">
        <f t="shared" si="322"/>
        <v>8426.8889999999992</v>
      </c>
      <c r="P495" s="2027">
        <f t="shared" si="322"/>
        <v>8426.8889999999992</v>
      </c>
      <c r="Q495" s="2026">
        <v>0.9</v>
      </c>
      <c r="R495" s="2026">
        <v>0.9</v>
      </c>
      <c r="S495" s="2026">
        <v>0.9</v>
      </c>
      <c r="T495" s="2026">
        <v>0.9</v>
      </c>
      <c r="U495" s="2028">
        <f t="shared" si="323"/>
        <v>8.343</v>
      </c>
      <c r="V495" s="2028">
        <f t="shared" si="323"/>
        <v>8.343</v>
      </c>
      <c r="W495" s="2028">
        <f t="shared" si="323"/>
        <v>8.343</v>
      </c>
      <c r="X495" s="2028">
        <f t="shared" si="323"/>
        <v>8.343</v>
      </c>
      <c r="Y495" s="2026">
        <v>0.9</v>
      </c>
      <c r="Z495" s="2026">
        <v>0.9</v>
      </c>
      <c r="AA495" s="2026">
        <v>0.9</v>
      </c>
      <c r="AB495" s="2026">
        <v>0.9</v>
      </c>
      <c r="AC495" s="2027">
        <f t="shared" si="324"/>
        <v>0</v>
      </c>
      <c r="AD495" s="2027">
        <f t="shared" si="324"/>
        <v>0</v>
      </c>
      <c r="AE495" s="2027">
        <f t="shared" si="324"/>
        <v>0</v>
      </c>
      <c r="AF495" s="2027">
        <f t="shared" si="324"/>
        <v>0</v>
      </c>
      <c r="AG495" s="2027">
        <v>1</v>
      </c>
      <c r="AH495" s="2028">
        <v>2</v>
      </c>
      <c r="AI495" s="2028">
        <v>2</v>
      </c>
      <c r="AJ495" s="2028">
        <v>2</v>
      </c>
      <c r="AK495" s="2027">
        <f t="shared" si="312"/>
        <v>8426.8889999999992</v>
      </c>
      <c r="AL495" s="2027">
        <f t="shared" si="313"/>
        <v>16853.777999999998</v>
      </c>
      <c r="AM495" s="2027">
        <f t="shared" si="313"/>
        <v>16853.777999999998</v>
      </c>
      <c r="AN495" s="2027">
        <f t="shared" si="313"/>
        <v>16853.777999999998</v>
      </c>
      <c r="AO495" s="2027">
        <f t="shared" si="325"/>
        <v>0</v>
      </c>
      <c r="AP495" s="2027">
        <f t="shared" si="314"/>
        <v>0</v>
      </c>
      <c r="AQ495" s="2027">
        <f t="shared" si="314"/>
        <v>0</v>
      </c>
      <c r="AR495" s="2027">
        <f t="shared" si="314"/>
        <v>0</v>
      </c>
      <c r="AS495" s="2124">
        <f t="shared" si="340"/>
        <v>300</v>
      </c>
      <c r="AT495" s="2029">
        <f t="shared" si="315"/>
        <v>300</v>
      </c>
      <c r="AU495" s="2029">
        <f t="shared" si="315"/>
        <v>300</v>
      </c>
      <c r="AV495" s="2029">
        <f t="shared" si="315"/>
        <v>300</v>
      </c>
      <c r="AW495" s="2124">
        <f t="shared" si="316"/>
        <v>0</v>
      </c>
      <c r="AX495" s="2029">
        <f t="shared" si="335"/>
        <v>0</v>
      </c>
      <c r="AY495" s="2029">
        <f t="shared" si="335"/>
        <v>0</v>
      </c>
      <c r="AZ495" s="2029">
        <f t="shared" si="335"/>
        <v>0</v>
      </c>
      <c r="BA495" s="2124">
        <f t="shared" si="338"/>
        <v>4000</v>
      </c>
      <c r="BB495" s="2029">
        <f t="shared" si="338"/>
        <v>4000</v>
      </c>
      <c r="BC495" s="2029">
        <f t="shared" si="338"/>
        <v>4000</v>
      </c>
      <c r="BD495" s="2029">
        <f t="shared" si="338"/>
        <v>4000</v>
      </c>
      <c r="BE495" s="2030">
        <f t="shared" si="328"/>
        <v>300</v>
      </c>
      <c r="BF495" s="2030">
        <f t="shared" si="328"/>
        <v>600</v>
      </c>
      <c r="BG495" s="2030">
        <f t="shared" si="328"/>
        <v>600</v>
      </c>
      <c r="BH495" s="2030">
        <f t="shared" si="328"/>
        <v>600</v>
      </c>
      <c r="BI495" s="2030">
        <f t="shared" si="329"/>
        <v>0</v>
      </c>
      <c r="BJ495" s="2030">
        <f t="shared" si="329"/>
        <v>0</v>
      </c>
      <c r="BK495" s="2030">
        <f t="shared" si="329"/>
        <v>0</v>
      </c>
      <c r="BL495" s="2030">
        <f t="shared" si="329"/>
        <v>0</v>
      </c>
      <c r="BM495" s="2125"/>
      <c r="BN495" s="2125"/>
      <c r="BO495" s="2125"/>
      <c r="BP495" s="2125"/>
      <c r="BQ495" s="2125"/>
      <c r="BR495" s="2125"/>
      <c r="BS495" s="2125"/>
      <c r="BT495" s="2125"/>
      <c r="BU495" s="2029"/>
      <c r="BV495" s="2029"/>
      <c r="BW495" s="2029"/>
      <c r="BX495" s="2029"/>
      <c r="BY495" s="2029"/>
      <c r="BZ495" s="2032"/>
      <c r="CA495" s="1974">
        <f t="shared" si="336"/>
        <v>0</v>
      </c>
      <c r="CB495" s="1974">
        <f t="shared" si="336"/>
        <v>0</v>
      </c>
      <c r="CC495" s="1974">
        <f t="shared" si="336"/>
        <v>0</v>
      </c>
      <c r="CD495" s="1974">
        <f t="shared" si="336"/>
        <v>0</v>
      </c>
      <c r="CE495" s="1974">
        <f t="shared" si="336"/>
        <v>0</v>
      </c>
      <c r="CF495" s="2033">
        <v>3.5227234179603037E-5</v>
      </c>
      <c r="CG495" s="2026">
        <v>0</v>
      </c>
      <c r="CH495" s="2009">
        <f t="shared" si="337"/>
        <v>0</v>
      </c>
      <c r="CI495" s="2031">
        <f t="shared" si="337"/>
        <v>0</v>
      </c>
      <c r="CJ495" s="1974">
        <f t="shared" si="337"/>
        <v>0</v>
      </c>
      <c r="CK495" s="2031">
        <f t="shared" si="337"/>
        <v>0</v>
      </c>
      <c r="CL495" s="2026">
        <v>1</v>
      </c>
      <c r="CM495" s="2026">
        <v>1</v>
      </c>
      <c r="CN495" s="2026">
        <v>1</v>
      </c>
      <c r="CO495" s="2026">
        <v>1</v>
      </c>
      <c r="CP495" s="2035"/>
      <c r="CQ495" s="2036"/>
      <c r="CR495" s="2036"/>
      <c r="CS495" s="2036"/>
      <c r="CT495" s="2036"/>
      <c r="CU495" s="2036"/>
      <c r="CV495" s="1973">
        <v>1</v>
      </c>
      <c r="CW495" s="1973">
        <v>0</v>
      </c>
      <c r="CX495" s="2037">
        <v>300</v>
      </c>
      <c r="CY495" s="2037">
        <v>300</v>
      </c>
      <c r="CZ495" s="2037">
        <v>300</v>
      </c>
      <c r="DA495" s="2037">
        <v>300</v>
      </c>
      <c r="DJ495" s="1976">
        <v>300</v>
      </c>
      <c r="DK495" s="1973">
        <v>300</v>
      </c>
      <c r="DL495" s="1973">
        <v>300</v>
      </c>
      <c r="DM495" s="1973">
        <v>300</v>
      </c>
      <c r="DO495" s="2027">
        <v>15</v>
      </c>
      <c r="DP495" s="2144">
        <v>9363.2099999999991</v>
      </c>
      <c r="DQ495" s="2145">
        <v>9.27</v>
      </c>
      <c r="DR495" s="2027">
        <v>0</v>
      </c>
      <c r="DS495" s="2124">
        <v>300</v>
      </c>
      <c r="DT495" s="2029">
        <v>300</v>
      </c>
      <c r="DU495" s="2029">
        <v>300</v>
      </c>
      <c r="DV495" s="2029">
        <v>300</v>
      </c>
      <c r="DW495" s="2124">
        <v>0</v>
      </c>
      <c r="DX495" s="2029">
        <v>0</v>
      </c>
      <c r="DY495" s="2029">
        <v>0</v>
      </c>
      <c r="DZ495" s="2029">
        <v>0</v>
      </c>
      <c r="EA495" s="2124">
        <v>4000</v>
      </c>
      <c r="EB495" s="2029">
        <v>4000</v>
      </c>
      <c r="EC495" s="2029">
        <v>4000</v>
      </c>
      <c r="ED495" s="2029">
        <v>4000</v>
      </c>
      <c r="EE495" s="2039">
        <f t="shared" si="296"/>
        <v>0</v>
      </c>
      <c r="EF495" s="2039">
        <f t="shared" si="296"/>
        <v>0</v>
      </c>
      <c r="EG495" s="2039">
        <f t="shared" si="296"/>
        <v>0</v>
      </c>
      <c r="EH495" s="2039">
        <f t="shared" si="296"/>
        <v>0</v>
      </c>
      <c r="EI495" s="2040">
        <f t="shared" si="333"/>
        <v>0</v>
      </c>
      <c r="EJ495" s="2040">
        <f t="shared" si="333"/>
        <v>0</v>
      </c>
      <c r="EK495" s="2040">
        <f t="shared" si="333"/>
        <v>0</v>
      </c>
      <c r="EL495" s="2040">
        <f t="shared" si="332"/>
        <v>0</v>
      </c>
      <c r="EM495" s="2040">
        <f t="shared" si="332"/>
        <v>0</v>
      </c>
      <c r="EN495" s="2040">
        <f t="shared" si="332"/>
        <v>0</v>
      </c>
      <c r="EO495" s="2040">
        <f t="shared" si="332"/>
        <v>0</v>
      </c>
      <c r="EP495" s="2040">
        <f t="shared" si="332"/>
        <v>0</v>
      </c>
      <c r="EQ495" s="2040">
        <f t="shared" si="332"/>
        <v>0</v>
      </c>
      <c r="ER495" s="2040">
        <f t="shared" si="332"/>
        <v>0</v>
      </c>
      <c r="ES495" s="2040">
        <f t="shared" si="332"/>
        <v>0</v>
      </c>
      <c r="ET495" s="2040">
        <f t="shared" si="332"/>
        <v>0</v>
      </c>
      <c r="EU495" s="2039">
        <f t="shared" si="297"/>
        <v>0</v>
      </c>
      <c r="EV495" s="2039">
        <f t="shared" si="298"/>
        <v>0</v>
      </c>
    </row>
    <row r="496" spans="1:152" x14ac:dyDescent="0.25">
      <c r="A496" s="2150" t="str">
        <f t="shared" si="334"/>
        <v>Unitary and Split AC Systems and Air Source Heat Pumps (760,000 or more Btuh input, minimum 10.2 EER/11.0 IPLV)</v>
      </c>
      <c r="B496" s="1974" t="str">
        <f t="shared" si="334"/>
        <v>BPC8</v>
      </c>
      <c r="C496" s="2027">
        <f t="shared" si="341"/>
        <v>15</v>
      </c>
      <c r="D496" s="2144">
        <f t="shared" si="341"/>
        <v>15220.95</v>
      </c>
      <c r="E496" s="2145">
        <f t="shared" si="341"/>
        <v>15.56</v>
      </c>
      <c r="F496" s="2027">
        <f t="shared" si="341"/>
        <v>0</v>
      </c>
      <c r="G496" s="1974" t="s">
        <v>2988</v>
      </c>
      <c r="H496" s="1974" t="s">
        <v>2988</v>
      </c>
      <c r="I496" s="2026">
        <v>0.9</v>
      </c>
      <c r="J496" s="2026">
        <v>0.9</v>
      </c>
      <c r="K496" s="2026">
        <v>0.9</v>
      </c>
      <c r="L496" s="2026">
        <v>0.9</v>
      </c>
      <c r="M496" s="2027">
        <f t="shared" si="322"/>
        <v>13698.855000000001</v>
      </c>
      <c r="N496" s="2027">
        <f t="shared" si="322"/>
        <v>13698.855000000001</v>
      </c>
      <c r="O496" s="2027">
        <f t="shared" si="322"/>
        <v>13698.855000000001</v>
      </c>
      <c r="P496" s="2027">
        <f t="shared" si="322"/>
        <v>13698.855000000001</v>
      </c>
      <c r="Q496" s="2026">
        <v>0.9</v>
      </c>
      <c r="R496" s="2026">
        <v>0.9</v>
      </c>
      <c r="S496" s="2026">
        <v>0.9</v>
      </c>
      <c r="T496" s="2026">
        <v>0.9</v>
      </c>
      <c r="U496" s="2028">
        <f t="shared" si="323"/>
        <v>14.004000000000001</v>
      </c>
      <c r="V496" s="2028">
        <f t="shared" si="323"/>
        <v>14.004000000000001</v>
      </c>
      <c r="W496" s="2028">
        <f t="shared" si="323"/>
        <v>14.004000000000001</v>
      </c>
      <c r="X496" s="2028">
        <f t="shared" si="323"/>
        <v>14.004000000000001</v>
      </c>
      <c r="Y496" s="2026">
        <v>0.9</v>
      </c>
      <c r="Z496" s="2026">
        <v>0.9</v>
      </c>
      <c r="AA496" s="2026">
        <v>0.9</v>
      </c>
      <c r="AB496" s="2026">
        <v>0.9</v>
      </c>
      <c r="AC496" s="2027">
        <f t="shared" si="324"/>
        <v>0</v>
      </c>
      <c r="AD496" s="2027">
        <f t="shared" si="324"/>
        <v>0</v>
      </c>
      <c r="AE496" s="2027">
        <f t="shared" si="324"/>
        <v>0</v>
      </c>
      <c r="AF496" s="2027">
        <f t="shared" si="324"/>
        <v>0</v>
      </c>
      <c r="AG496" s="2027">
        <v>0</v>
      </c>
      <c r="AH496" s="2028"/>
      <c r="AI496" s="2028"/>
      <c r="AJ496" s="2028"/>
      <c r="AK496" s="2027">
        <f t="shared" si="312"/>
        <v>0</v>
      </c>
      <c r="AL496" s="2027">
        <f t="shared" si="313"/>
        <v>0</v>
      </c>
      <c r="AM496" s="2027">
        <f t="shared" si="313"/>
        <v>0</v>
      </c>
      <c r="AN496" s="2027">
        <f t="shared" si="313"/>
        <v>0</v>
      </c>
      <c r="AO496" s="2027">
        <f t="shared" si="325"/>
        <v>0</v>
      </c>
      <c r="AP496" s="2027">
        <f t="shared" si="314"/>
        <v>0</v>
      </c>
      <c r="AQ496" s="2027">
        <f t="shared" si="314"/>
        <v>0</v>
      </c>
      <c r="AR496" s="2027">
        <f t="shared" si="314"/>
        <v>0</v>
      </c>
      <c r="AS496" s="2124">
        <f t="shared" si="340"/>
        <v>500</v>
      </c>
      <c r="AT496" s="2029">
        <f t="shared" si="315"/>
        <v>500</v>
      </c>
      <c r="AU496" s="2029">
        <f t="shared" si="315"/>
        <v>500</v>
      </c>
      <c r="AV496" s="2029">
        <f t="shared" si="315"/>
        <v>500</v>
      </c>
      <c r="AW496" s="2124">
        <f t="shared" si="316"/>
        <v>0</v>
      </c>
      <c r="AX496" s="2029">
        <f t="shared" si="335"/>
        <v>0</v>
      </c>
      <c r="AY496" s="2029">
        <f t="shared" si="335"/>
        <v>0</v>
      </c>
      <c r="AZ496" s="2029">
        <f t="shared" si="335"/>
        <v>0</v>
      </c>
      <c r="BA496" s="2124">
        <f t="shared" si="338"/>
        <v>6500</v>
      </c>
      <c r="BB496" s="2029">
        <f t="shared" si="338"/>
        <v>6500</v>
      </c>
      <c r="BC496" s="2029">
        <f t="shared" si="338"/>
        <v>6500</v>
      </c>
      <c r="BD496" s="2029">
        <f t="shared" si="338"/>
        <v>6500</v>
      </c>
      <c r="BE496" s="2030">
        <f t="shared" si="328"/>
        <v>0</v>
      </c>
      <c r="BF496" s="2030">
        <f t="shared" si="328"/>
        <v>0</v>
      </c>
      <c r="BG496" s="2030">
        <f t="shared" si="328"/>
        <v>0</v>
      </c>
      <c r="BH496" s="2030">
        <f t="shared" si="328"/>
        <v>0</v>
      </c>
      <c r="BI496" s="2030">
        <f t="shared" si="329"/>
        <v>0</v>
      </c>
      <c r="BJ496" s="2030">
        <f t="shared" si="329"/>
        <v>0</v>
      </c>
      <c r="BK496" s="2030">
        <f t="shared" si="329"/>
        <v>0</v>
      </c>
      <c r="BL496" s="2030">
        <f t="shared" si="329"/>
        <v>0</v>
      </c>
      <c r="BM496" s="2125"/>
      <c r="BN496" s="2125"/>
      <c r="BO496" s="2125"/>
      <c r="BP496" s="2125"/>
      <c r="BQ496" s="2125"/>
      <c r="BR496" s="2125"/>
      <c r="BS496" s="2125"/>
      <c r="BT496" s="2125"/>
      <c r="BU496" s="2029"/>
      <c r="BV496" s="2029"/>
      <c r="BW496" s="2029"/>
      <c r="BX496" s="2029"/>
      <c r="BY496" s="2029"/>
      <c r="BZ496" s="2032"/>
      <c r="CA496" s="1974">
        <f t="shared" si="336"/>
        <v>0</v>
      </c>
      <c r="CB496" s="1974">
        <f t="shared" si="336"/>
        <v>0</v>
      </c>
      <c r="CC496" s="1974">
        <f t="shared" si="336"/>
        <v>0</v>
      </c>
      <c r="CD496" s="1974">
        <f t="shared" si="336"/>
        <v>0</v>
      </c>
      <c r="CE496" s="1974">
        <f t="shared" si="336"/>
        <v>0</v>
      </c>
      <c r="CF496" s="2033">
        <v>0</v>
      </c>
      <c r="CG496" s="2026">
        <v>0</v>
      </c>
      <c r="CH496" s="2009">
        <f t="shared" si="337"/>
        <v>0</v>
      </c>
      <c r="CI496" s="2031">
        <f t="shared" si="337"/>
        <v>0</v>
      </c>
      <c r="CJ496" s="1974">
        <f t="shared" si="337"/>
        <v>0</v>
      </c>
      <c r="CK496" s="2031">
        <f t="shared" si="337"/>
        <v>0</v>
      </c>
      <c r="CL496" s="2026">
        <v>1</v>
      </c>
      <c r="CM496" s="2026">
        <v>1</v>
      </c>
      <c r="CN496" s="2026">
        <v>1</v>
      </c>
      <c r="CO496" s="2026">
        <v>1</v>
      </c>
      <c r="CP496" s="2035"/>
      <c r="CQ496" s="2036"/>
      <c r="CR496" s="2036"/>
      <c r="CS496" s="2036"/>
      <c r="CT496" s="2036"/>
      <c r="CU496" s="2036"/>
      <c r="CV496" s="1973">
        <v>1</v>
      </c>
      <c r="CW496" s="1973">
        <v>0</v>
      </c>
      <c r="CX496" s="2037">
        <v>500</v>
      </c>
      <c r="CY496" s="2037">
        <v>500</v>
      </c>
      <c r="CZ496" s="2037">
        <v>500</v>
      </c>
      <c r="DA496" s="2037">
        <v>500</v>
      </c>
      <c r="DJ496" s="1976">
        <v>500</v>
      </c>
      <c r="DK496" s="1973">
        <v>500</v>
      </c>
      <c r="DL496" s="1973">
        <v>500</v>
      </c>
      <c r="DM496" s="1973">
        <v>500</v>
      </c>
      <c r="DO496" s="2027">
        <v>15</v>
      </c>
      <c r="DP496" s="2144">
        <v>15220.95</v>
      </c>
      <c r="DQ496" s="2145">
        <v>15.56</v>
      </c>
      <c r="DR496" s="2027">
        <v>0</v>
      </c>
      <c r="DS496" s="2124">
        <v>500</v>
      </c>
      <c r="DT496" s="2029">
        <v>500</v>
      </c>
      <c r="DU496" s="2029">
        <v>500</v>
      </c>
      <c r="DV496" s="2029">
        <v>500</v>
      </c>
      <c r="DW496" s="2124">
        <v>0</v>
      </c>
      <c r="DX496" s="2029">
        <v>0</v>
      </c>
      <c r="DY496" s="2029">
        <v>0</v>
      </c>
      <c r="DZ496" s="2029">
        <v>0</v>
      </c>
      <c r="EA496" s="2124">
        <v>6500</v>
      </c>
      <c r="EB496" s="2029">
        <v>6500</v>
      </c>
      <c r="EC496" s="2029">
        <v>6500</v>
      </c>
      <c r="ED496" s="2029">
        <v>6500</v>
      </c>
      <c r="EE496" s="2039">
        <f t="shared" si="296"/>
        <v>0</v>
      </c>
      <c r="EF496" s="2039">
        <f t="shared" si="296"/>
        <v>0</v>
      </c>
      <c r="EG496" s="2039">
        <f t="shared" si="296"/>
        <v>0</v>
      </c>
      <c r="EH496" s="2039">
        <f t="shared" si="296"/>
        <v>0</v>
      </c>
      <c r="EI496" s="2040">
        <f t="shared" si="333"/>
        <v>0</v>
      </c>
      <c r="EJ496" s="2040">
        <f t="shared" si="333"/>
        <v>0</v>
      </c>
      <c r="EK496" s="2040">
        <f t="shared" si="333"/>
        <v>0</v>
      </c>
      <c r="EL496" s="2040">
        <f t="shared" si="332"/>
        <v>0</v>
      </c>
      <c r="EM496" s="2040">
        <f t="shared" si="332"/>
        <v>0</v>
      </c>
      <c r="EN496" s="2040">
        <f t="shared" si="332"/>
        <v>0</v>
      </c>
      <c r="EO496" s="2040">
        <f t="shared" si="332"/>
        <v>0</v>
      </c>
      <c r="EP496" s="2040">
        <f t="shared" si="332"/>
        <v>0</v>
      </c>
      <c r="EQ496" s="2040">
        <f t="shared" si="332"/>
        <v>0</v>
      </c>
      <c r="ER496" s="2040">
        <f t="shared" si="332"/>
        <v>0</v>
      </c>
      <c r="ES496" s="2040">
        <f t="shared" si="332"/>
        <v>0</v>
      </c>
      <c r="ET496" s="2040">
        <f t="shared" si="332"/>
        <v>0</v>
      </c>
      <c r="EU496" s="2039">
        <f t="shared" si="297"/>
        <v>0</v>
      </c>
      <c r="EV496" s="2039">
        <f t="shared" si="298"/>
        <v>0</v>
      </c>
    </row>
    <row r="497" spans="1:152" x14ac:dyDescent="0.25">
      <c r="A497" s="2150" t="str">
        <f t="shared" si="334"/>
        <v>Air-Cooled Chillers (up to 150 tons)</v>
      </c>
      <c r="B497" s="1974" t="str">
        <f t="shared" si="334"/>
        <v>BPC12</v>
      </c>
      <c r="C497" s="2027">
        <f t="shared" si="341"/>
        <v>23</v>
      </c>
      <c r="D497" s="2144">
        <f t="shared" si="341"/>
        <v>7993</v>
      </c>
      <c r="E497" s="2145">
        <f t="shared" si="341"/>
        <v>6.66</v>
      </c>
      <c r="F497" s="2027">
        <f t="shared" si="341"/>
        <v>0</v>
      </c>
      <c r="G497" s="1974" t="s">
        <v>2988</v>
      </c>
      <c r="H497" s="1974" t="s">
        <v>2988</v>
      </c>
      <c r="I497" s="2026">
        <v>0.9</v>
      </c>
      <c r="J497" s="2026">
        <v>0.9</v>
      </c>
      <c r="K497" s="2026">
        <v>0.9</v>
      </c>
      <c r="L497" s="2026">
        <v>0.9</v>
      </c>
      <c r="M497" s="2027">
        <f t="shared" si="322"/>
        <v>7193.7</v>
      </c>
      <c r="N497" s="2027">
        <f t="shared" si="322"/>
        <v>7193.7</v>
      </c>
      <c r="O497" s="2027">
        <f t="shared" si="322"/>
        <v>7193.7</v>
      </c>
      <c r="P497" s="2027">
        <f t="shared" si="322"/>
        <v>7193.7</v>
      </c>
      <c r="Q497" s="2026">
        <v>0.9</v>
      </c>
      <c r="R497" s="2026">
        <v>0.9</v>
      </c>
      <c r="S497" s="2026">
        <v>0.9</v>
      </c>
      <c r="T497" s="2026">
        <v>0.9</v>
      </c>
      <c r="U497" s="2028">
        <f t="shared" si="323"/>
        <v>5.9940000000000007</v>
      </c>
      <c r="V497" s="2028">
        <f t="shared" si="323"/>
        <v>5.9940000000000007</v>
      </c>
      <c r="W497" s="2028">
        <f t="shared" si="323"/>
        <v>5.9940000000000007</v>
      </c>
      <c r="X497" s="2028">
        <f t="shared" si="323"/>
        <v>5.9940000000000007</v>
      </c>
      <c r="Y497" s="2026">
        <v>0.9</v>
      </c>
      <c r="Z497" s="2026">
        <v>0.9</v>
      </c>
      <c r="AA497" s="2026">
        <v>0.9</v>
      </c>
      <c r="AB497" s="2026">
        <v>0.9</v>
      </c>
      <c r="AC497" s="2027">
        <f t="shared" si="324"/>
        <v>0</v>
      </c>
      <c r="AD497" s="2027">
        <f t="shared" si="324"/>
        <v>0</v>
      </c>
      <c r="AE497" s="2027">
        <f t="shared" si="324"/>
        <v>0</v>
      </c>
      <c r="AF497" s="2027">
        <f t="shared" si="324"/>
        <v>0</v>
      </c>
      <c r="AG497" s="2027">
        <v>1</v>
      </c>
      <c r="AH497" s="2028">
        <v>2</v>
      </c>
      <c r="AI497" s="2028">
        <v>2</v>
      </c>
      <c r="AJ497" s="2028">
        <v>2</v>
      </c>
      <c r="AK497" s="2027">
        <f t="shared" si="312"/>
        <v>7193.7</v>
      </c>
      <c r="AL497" s="2027">
        <f t="shared" si="313"/>
        <v>14387.4</v>
      </c>
      <c r="AM497" s="2027">
        <f t="shared" si="313"/>
        <v>14387.4</v>
      </c>
      <c r="AN497" s="2027">
        <f t="shared" si="313"/>
        <v>14387.4</v>
      </c>
      <c r="AO497" s="2027">
        <f t="shared" si="325"/>
        <v>0</v>
      </c>
      <c r="AP497" s="2027">
        <f t="shared" si="314"/>
        <v>0</v>
      </c>
      <c r="AQ497" s="2027">
        <f t="shared" si="314"/>
        <v>0</v>
      </c>
      <c r="AR497" s="2027">
        <f t="shared" si="314"/>
        <v>0</v>
      </c>
      <c r="AS497" s="2124">
        <f t="shared" si="340"/>
        <v>500</v>
      </c>
      <c r="AT497" s="2029">
        <f t="shared" si="315"/>
        <v>500</v>
      </c>
      <c r="AU497" s="2029">
        <f t="shared" si="315"/>
        <v>500</v>
      </c>
      <c r="AV497" s="2029">
        <f t="shared" si="315"/>
        <v>500</v>
      </c>
      <c r="AW497" s="2124">
        <f t="shared" si="316"/>
        <v>0</v>
      </c>
      <c r="AX497" s="2029">
        <f t="shared" si="335"/>
        <v>0</v>
      </c>
      <c r="AY497" s="2029">
        <f t="shared" si="335"/>
        <v>0</v>
      </c>
      <c r="AZ497" s="2029">
        <f t="shared" si="335"/>
        <v>0</v>
      </c>
      <c r="BA497" s="2124">
        <f t="shared" si="338"/>
        <v>9525</v>
      </c>
      <c r="BB497" s="2029">
        <f t="shared" si="338"/>
        <v>9525</v>
      </c>
      <c r="BC497" s="2029">
        <f t="shared" si="338"/>
        <v>9525</v>
      </c>
      <c r="BD497" s="2029">
        <f t="shared" si="338"/>
        <v>9525</v>
      </c>
      <c r="BE497" s="2030">
        <f t="shared" si="328"/>
        <v>500</v>
      </c>
      <c r="BF497" s="2030">
        <f t="shared" si="328"/>
        <v>1000</v>
      </c>
      <c r="BG497" s="2030">
        <f t="shared" si="328"/>
        <v>1000</v>
      </c>
      <c r="BH497" s="2030">
        <f t="shared" si="328"/>
        <v>1000</v>
      </c>
      <c r="BI497" s="2030">
        <f t="shared" si="329"/>
        <v>0</v>
      </c>
      <c r="BJ497" s="2030">
        <f t="shared" si="329"/>
        <v>0</v>
      </c>
      <c r="BK497" s="2030">
        <f t="shared" si="329"/>
        <v>0</v>
      </c>
      <c r="BL497" s="2030">
        <f t="shared" si="329"/>
        <v>0</v>
      </c>
      <c r="BM497" s="2125"/>
      <c r="BN497" s="2125"/>
      <c r="BO497" s="2125"/>
      <c r="BP497" s="2125"/>
      <c r="BQ497" s="2125"/>
      <c r="BR497" s="2125"/>
      <c r="BS497" s="2125"/>
      <c r="BT497" s="2125"/>
      <c r="BU497" s="2029"/>
      <c r="BV497" s="2029"/>
      <c r="BW497" s="2029"/>
      <c r="BX497" s="2029"/>
      <c r="BY497" s="2029"/>
      <c r="BZ497" s="2032"/>
      <c r="CA497" s="1974">
        <f t="shared" si="336"/>
        <v>0</v>
      </c>
      <c r="CB497" s="1974">
        <f t="shared" si="336"/>
        <v>0</v>
      </c>
      <c r="CC497" s="1974">
        <f t="shared" si="336"/>
        <v>0</v>
      </c>
      <c r="CD497" s="1974">
        <f t="shared" si="336"/>
        <v>0</v>
      </c>
      <c r="CE497" s="1974">
        <f t="shared" si="336"/>
        <v>0</v>
      </c>
      <c r="CF497" s="2033">
        <v>3.0072088823978859E-5</v>
      </c>
      <c r="CG497" s="2026">
        <v>0</v>
      </c>
      <c r="CH497" s="2009">
        <f t="shared" si="337"/>
        <v>0</v>
      </c>
      <c r="CI497" s="2031">
        <f t="shared" si="337"/>
        <v>0</v>
      </c>
      <c r="CJ497" s="1974">
        <f t="shared" si="337"/>
        <v>0</v>
      </c>
      <c r="CK497" s="2031">
        <f t="shared" si="337"/>
        <v>0</v>
      </c>
      <c r="CL497" s="2026">
        <v>1</v>
      </c>
      <c r="CM497" s="2026">
        <v>1</v>
      </c>
      <c r="CN497" s="2026">
        <v>1</v>
      </c>
      <c r="CO497" s="2026">
        <v>1</v>
      </c>
      <c r="CP497" s="2035"/>
      <c r="CQ497" s="2036"/>
      <c r="CR497" s="2036"/>
      <c r="CS497" s="2036"/>
      <c r="CT497" s="2036"/>
      <c r="CU497" s="2036"/>
      <c r="CV497" s="1973">
        <v>1</v>
      </c>
      <c r="CW497" s="1973">
        <v>0</v>
      </c>
      <c r="CX497" s="2037">
        <v>500</v>
      </c>
      <c r="CY497" s="2037">
        <v>500</v>
      </c>
      <c r="CZ497" s="2037">
        <v>500</v>
      </c>
      <c r="DA497" s="2037">
        <v>500</v>
      </c>
      <c r="DJ497" s="1976">
        <v>500</v>
      </c>
      <c r="DK497" s="1973">
        <v>500</v>
      </c>
      <c r="DL497" s="1973">
        <v>500</v>
      </c>
      <c r="DM497" s="1973">
        <v>500</v>
      </c>
      <c r="DO497" s="2027">
        <v>20</v>
      </c>
      <c r="DP497" s="2144">
        <v>7993</v>
      </c>
      <c r="DQ497" s="2145">
        <v>6.66</v>
      </c>
      <c r="DR497" s="2027">
        <v>0</v>
      </c>
      <c r="DS497" s="2124">
        <v>500</v>
      </c>
      <c r="DT497" s="2029">
        <v>500</v>
      </c>
      <c r="DU497" s="2029">
        <v>500</v>
      </c>
      <c r="DV497" s="2029">
        <v>500</v>
      </c>
      <c r="DW497" s="2124">
        <v>0</v>
      </c>
      <c r="DX497" s="2029">
        <v>0</v>
      </c>
      <c r="DY497" s="2029">
        <v>0</v>
      </c>
      <c r="DZ497" s="2029">
        <v>0</v>
      </c>
      <c r="EA497" s="2124">
        <v>9525</v>
      </c>
      <c r="EB497" s="2029">
        <v>9525</v>
      </c>
      <c r="EC497" s="2029">
        <v>9525</v>
      </c>
      <c r="ED497" s="2029">
        <v>9525</v>
      </c>
      <c r="EE497" s="2039">
        <f t="shared" si="296"/>
        <v>3</v>
      </c>
      <c r="EF497" s="2039">
        <f t="shared" si="296"/>
        <v>0</v>
      </c>
      <c r="EG497" s="2039">
        <f t="shared" si="296"/>
        <v>0</v>
      </c>
      <c r="EH497" s="2039">
        <f t="shared" si="296"/>
        <v>0</v>
      </c>
      <c r="EI497" s="2040">
        <f t="shared" si="333"/>
        <v>0</v>
      </c>
      <c r="EJ497" s="2040">
        <f t="shared" si="333"/>
        <v>0</v>
      </c>
      <c r="EK497" s="2040">
        <f t="shared" si="333"/>
        <v>0</v>
      </c>
      <c r="EL497" s="2040">
        <f t="shared" si="332"/>
        <v>0</v>
      </c>
      <c r="EM497" s="2040">
        <f t="shared" si="332"/>
        <v>0</v>
      </c>
      <c r="EN497" s="2040">
        <f t="shared" si="332"/>
        <v>0</v>
      </c>
      <c r="EO497" s="2040">
        <f t="shared" si="332"/>
        <v>0</v>
      </c>
      <c r="EP497" s="2040">
        <f t="shared" si="332"/>
        <v>0</v>
      </c>
      <c r="EQ497" s="2040">
        <f t="shared" si="332"/>
        <v>0</v>
      </c>
      <c r="ER497" s="2040">
        <f t="shared" si="332"/>
        <v>0</v>
      </c>
      <c r="ES497" s="2040">
        <f t="shared" si="332"/>
        <v>0</v>
      </c>
      <c r="ET497" s="2040">
        <f t="shared" si="332"/>
        <v>0</v>
      </c>
      <c r="EU497" s="2039">
        <f t="shared" si="297"/>
        <v>3</v>
      </c>
      <c r="EV497" s="2039">
        <f t="shared" si="298"/>
        <v>3</v>
      </c>
    </row>
    <row r="498" spans="1:152" x14ac:dyDescent="0.25">
      <c r="A498" s="2150" t="str">
        <f t="shared" si="334"/>
        <v>Unitary and Split AC Systems and Air Source Heat Pumps 135,000 to 239,999 Btuh input, greater than 12.0 EER)</v>
      </c>
      <c r="B498" s="1974" t="str">
        <f t="shared" si="334"/>
        <v>BPC25</v>
      </c>
      <c r="C498" s="2027">
        <f t="shared" si="341"/>
        <v>15</v>
      </c>
      <c r="D498" s="2144">
        <f t="shared" si="341"/>
        <v>2850.2260000000001</v>
      </c>
      <c r="E498" s="2145">
        <f t="shared" si="341"/>
        <v>2.84</v>
      </c>
      <c r="F498" s="2027">
        <f t="shared" si="341"/>
        <v>0</v>
      </c>
      <c r="G498" s="1974" t="s">
        <v>2988</v>
      </c>
      <c r="H498" s="1974" t="s">
        <v>2988</v>
      </c>
      <c r="I498" s="2026">
        <v>0.9</v>
      </c>
      <c r="J498" s="2026">
        <v>0.9</v>
      </c>
      <c r="K498" s="2026">
        <v>0.9</v>
      </c>
      <c r="L498" s="2026">
        <v>0.9</v>
      </c>
      <c r="M498" s="2027">
        <f t="shared" si="322"/>
        <v>2565.2034000000003</v>
      </c>
      <c r="N498" s="2027">
        <f t="shared" si="322"/>
        <v>2565.2034000000003</v>
      </c>
      <c r="O498" s="2027">
        <f t="shared" si="322"/>
        <v>2565.2034000000003</v>
      </c>
      <c r="P498" s="2027">
        <f t="shared" si="322"/>
        <v>2565.2034000000003</v>
      </c>
      <c r="Q498" s="2026">
        <v>0.9</v>
      </c>
      <c r="R498" s="2026">
        <v>0.9</v>
      </c>
      <c r="S498" s="2026">
        <v>0.9</v>
      </c>
      <c r="T498" s="2026">
        <v>0.9</v>
      </c>
      <c r="U498" s="2028">
        <f t="shared" si="323"/>
        <v>2.556</v>
      </c>
      <c r="V498" s="2028">
        <f t="shared" si="323"/>
        <v>2.556</v>
      </c>
      <c r="W498" s="2028">
        <f t="shared" si="323"/>
        <v>2.556</v>
      </c>
      <c r="X498" s="2028">
        <f t="shared" si="323"/>
        <v>2.556</v>
      </c>
      <c r="Y498" s="2026">
        <v>0.9</v>
      </c>
      <c r="Z498" s="2026">
        <v>0.9</v>
      </c>
      <c r="AA498" s="2026">
        <v>0.9</v>
      </c>
      <c r="AB498" s="2026">
        <v>0.9</v>
      </c>
      <c r="AC498" s="2027">
        <f t="shared" si="324"/>
        <v>0</v>
      </c>
      <c r="AD498" s="2027">
        <f t="shared" si="324"/>
        <v>0</v>
      </c>
      <c r="AE498" s="2027">
        <f t="shared" si="324"/>
        <v>0</v>
      </c>
      <c r="AF498" s="2027">
        <f t="shared" si="324"/>
        <v>0</v>
      </c>
      <c r="AG498" s="2027">
        <v>1</v>
      </c>
      <c r="AH498" s="2028">
        <v>2</v>
      </c>
      <c r="AI498" s="2028">
        <v>2</v>
      </c>
      <c r="AJ498" s="2028">
        <v>2</v>
      </c>
      <c r="AK498" s="2027">
        <f t="shared" si="312"/>
        <v>2565.2034000000003</v>
      </c>
      <c r="AL498" s="2027">
        <f t="shared" si="313"/>
        <v>5130.4068000000007</v>
      </c>
      <c r="AM498" s="2027">
        <f t="shared" si="313"/>
        <v>5130.4068000000007</v>
      </c>
      <c r="AN498" s="2027">
        <f t="shared" si="313"/>
        <v>5130.4068000000007</v>
      </c>
      <c r="AO498" s="2027">
        <f t="shared" si="325"/>
        <v>0</v>
      </c>
      <c r="AP498" s="2027">
        <f t="shared" si="314"/>
        <v>0</v>
      </c>
      <c r="AQ498" s="2027">
        <f t="shared" si="314"/>
        <v>0</v>
      </c>
      <c r="AR498" s="2027">
        <f t="shared" si="314"/>
        <v>0</v>
      </c>
      <c r="AS498" s="2124">
        <f t="shared" si="340"/>
        <v>150</v>
      </c>
      <c r="AT498" s="2029">
        <f t="shared" si="315"/>
        <v>150</v>
      </c>
      <c r="AU498" s="2029">
        <f t="shared" si="315"/>
        <v>150</v>
      </c>
      <c r="AV498" s="2029">
        <f t="shared" si="315"/>
        <v>150</v>
      </c>
      <c r="AW498" s="2124">
        <f t="shared" si="316"/>
        <v>0</v>
      </c>
      <c r="AX498" s="2029">
        <f t="shared" si="335"/>
        <v>0</v>
      </c>
      <c r="AY498" s="2029">
        <f t="shared" si="335"/>
        <v>0</v>
      </c>
      <c r="AZ498" s="2029">
        <f t="shared" si="335"/>
        <v>0</v>
      </c>
      <c r="BA498" s="2124">
        <f t="shared" si="338"/>
        <v>1563</v>
      </c>
      <c r="BB498" s="2029">
        <f t="shared" si="338"/>
        <v>1563</v>
      </c>
      <c r="BC498" s="2029">
        <f t="shared" si="338"/>
        <v>1563</v>
      </c>
      <c r="BD498" s="2029">
        <f t="shared" si="338"/>
        <v>1563</v>
      </c>
      <c r="BE498" s="2030">
        <f t="shared" si="328"/>
        <v>150</v>
      </c>
      <c r="BF498" s="2030">
        <f t="shared" si="328"/>
        <v>300</v>
      </c>
      <c r="BG498" s="2030">
        <f t="shared" si="328"/>
        <v>300</v>
      </c>
      <c r="BH498" s="2030">
        <f t="shared" si="328"/>
        <v>300</v>
      </c>
      <c r="BI498" s="2030">
        <f t="shared" si="329"/>
        <v>0</v>
      </c>
      <c r="BJ498" s="2030">
        <f t="shared" si="329"/>
        <v>0</v>
      </c>
      <c r="BK498" s="2030">
        <f t="shared" si="329"/>
        <v>0</v>
      </c>
      <c r="BL498" s="2030">
        <f t="shared" si="329"/>
        <v>0</v>
      </c>
      <c r="BM498" s="2125"/>
      <c r="BN498" s="2125"/>
      <c r="BO498" s="2125"/>
      <c r="BP498" s="2125"/>
      <c r="BQ498" s="2125"/>
      <c r="BR498" s="2125"/>
      <c r="BS498" s="2125"/>
      <c r="BT498" s="2125"/>
      <c r="BU498" s="2029"/>
      <c r="BV498" s="2029"/>
      <c r="BW498" s="2029"/>
      <c r="BX498" s="2029"/>
      <c r="BY498" s="2029"/>
      <c r="BZ498" s="2032"/>
      <c r="CA498" s="1974">
        <f t="shared" si="336"/>
        <v>0</v>
      </c>
      <c r="CB498" s="1974">
        <f t="shared" si="336"/>
        <v>0</v>
      </c>
      <c r="CC498" s="1974">
        <f t="shared" si="336"/>
        <v>0</v>
      </c>
      <c r="CD498" s="1974">
        <f t="shared" si="336"/>
        <v>0</v>
      </c>
      <c r="CE498" s="1974">
        <f t="shared" si="336"/>
        <v>0</v>
      </c>
      <c r="CF498" s="2033">
        <v>1.0723414167448264E-5</v>
      </c>
      <c r="CG498" s="2026">
        <v>0</v>
      </c>
      <c r="CH498" s="2009">
        <f t="shared" si="337"/>
        <v>0</v>
      </c>
      <c r="CI498" s="2031">
        <f t="shared" si="337"/>
        <v>0</v>
      </c>
      <c r="CJ498" s="1974">
        <f t="shared" si="337"/>
        <v>0</v>
      </c>
      <c r="CK498" s="2031">
        <f t="shared" si="337"/>
        <v>0</v>
      </c>
      <c r="CL498" s="2026">
        <v>1</v>
      </c>
      <c r="CM498" s="2026">
        <v>1</v>
      </c>
      <c r="CN498" s="2026">
        <v>1</v>
      </c>
      <c r="CO498" s="2026">
        <v>1</v>
      </c>
      <c r="CP498" s="2035"/>
      <c r="CQ498" s="2036"/>
      <c r="CR498" s="2036"/>
      <c r="CS498" s="2036"/>
      <c r="CT498" s="2036"/>
      <c r="CU498" s="2036"/>
      <c r="CV498" s="1973">
        <v>1</v>
      </c>
      <c r="CW498" s="1973">
        <v>0</v>
      </c>
      <c r="CX498" s="2037">
        <v>150</v>
      </c>
      <c r="CY498" s="2037">
        <v>150</v>
      </c>
      <c r="CZ498" s="2037">
        <v>150</v>
      </c>
      <c r="DA498" s="2037">
        <v>150</v>
      </c>
      <c r="DJ498" s="1976">
        <v>150</v>
      </c>
      <c r="DK498" s="1973">
        <v>150</v>
      </c>
      <c r="DL498" s="1973">
        <v>150</v>
      </c>
      <c r="DM498" s="1973">
        <v>150</v>
      </c>
      <c r="DO498" s="2027">
        <v>15</v>
      </c>
      <c r="DP498" s="2144">
        <v>2850.2260000000001</v>
      </c>
      <c r="DQ498" s="2145">
        <v>2.84</v>
      </c>
      <c r="DR498" s="2027">
        <v>0</v>
      </c>
      <c r="DS498" s="2124">
        <v>150</v>
      </c>
      <c r="DT498" s="2029">
        <v>150</v>
      </c>
      <c r="DU498" s="2029">
        <v>150</v>
      </c>
      <c r="DV498" s="2029">
        <v>150</v>
      </c>
      <c r="DW498" s="2124">
        <v>0</v>
      </c>
      <c r="DX498" s="2029">
        <v>0</v>
      </c>
      <c r="DY498" s="2029">
        <v>0</v>
      </c>
      <c r="DZ498" s="2029">
        <v>0</v>
      </c>
      <c r="EA498" s="2124">
        <v>1563</v>
      </c>
      <c r="EB498" s="2029">
        <v>1563</v>
      </c>
      <c r="EC498" s="2029">
        <v>1563</v>
      </c>
      <c r="ED498" s="2029">
        <v>1563</v>
      </c>
      <c r="EE498" s="2039">
        <f t="shared" si="296"/>
        <v>0</v>
      </c>
      <c r="EF498" s="2039">
        <f t="shared" si="296"/>
        <v>0</v>
      </c>
      <c r="EG498" s="2039">
        <f t="shared" si="296"/>
        <v>0</v>
      </c>
      <c r="EH498" s="2039">
        <f t="shared" si="296"/>
        <v>0</v>
      </c>
      <c r="EI498" s="2040">
        <f t="shared" si="333"/>
        <v>0</v>
      </c>
      <c r="EJ498" s="2040">
        <f t="shared" si="333"/>
        <v>0</v>
      </c>
      <c r="EK498" s="2040">
        <f t="shared" si="333"/>
        <v>0</v>
      </c>
      <c r="EL498" s="2040">
        <f t="shared" si="332"/>
        <v>0</v>
      </c>
      <c r="EM498" s="2040">
        <f t="shared" si="332"/>
        <v>0</v>
      </c>
      <c r="EN498" s="2040">
        <f t="shared" si="332"/>
        <v>0</v>
      </c>
      <c r="EO498" s="2040">
        <f t="shared" si="332"/>
        <v>0</v>
      </c>
      <c r="EP498" s="2040">
        <f t="shared" si="332"/>
        <v>0</v>
      </c>
      <c r="EQ498" s="2040">
        <f t="shared" si="332"/>
        <v>0</v>
      </c>
      <c r="ER498" s="2040">
        <f t="shared" si="332"/>
        <v>0</v>
      </c>
      <c r="ES498" s="2040">
        <f t="shared" si="332"/>
        <v>0</v>
      </c>
      <c r="ET498" s="2040">
        <f t="shared" si="332"/>
        <v>0</v>
      </c>
      <c r="EU498" s="2039">
        <f t="shared" si="297"/>
        <v>0</v>
      </c>
      <c r="EV498" s="2039">
        <f t="shared" si="298"/>
        <v>0</v>
      </c>
    </row>
    <row r="499" spans="1:152" x14ac:dyDescent="0.25">
      <c r="A499" s="2150" t="str">
        <f t="shared" ref="A499:B514" si="342">IF(A38="","",A38)</f>
        <v>Air-Cooled Chillers (150 tons and larger)</v>
      </c>
      <c r="B499" s="1974" t="str">
        <f t="shared" si="342"/>
        <v>BPC26</v>
      </c>
      <c r="C499" s="2027">
        <f t="shared" si="341"/>
        <v>23</v>
      </c>
      <c r="D499" s="2144">
        <f t="shared" si="341"/>
        <v>17532</v>
      </c>
      <c r="E499" s="2145">
        <f t="shared" si="341"/>
        <v>17.8</v>
      </c>
      <c r="F499" s="2027">
        <f t="shared" si="341"/>
        <v>0</v>
      </c>
      <c r="G499" s="1974" t="s">
        <v>2988</v>
      </c>
      <c r="H499" s="1974" t="s">
        <v>2988</v>
      </c>
      <c r="I499" s="2026">
        <v>0.9</v>
      </c>
      <c r="J499" s="2026">
        <v>0.9</v>
      </c>
      <c r="K499" s="2026">
        <v>0.9</v>
      </c>
      <c r="L499" s="2026">
        <v>0.9</v>
      </c>
      <c r="M499" s="2027">
        <f t="shared" si="322"/>
        <v>15778.800000000001</v>
      </c>
      <c r="N499" s="2027">
        <f t="shared" si="322"/>
        <v>15778.800000000001</v>
      </c>
      <c r="O499" s="2027">
        <f t="shared" si="322"/>
        <v>15778.800000000001</v>
      </c>
      <c r="P499" s="2027">
        <f t="shared" si="322"/>
        <v>15778.800000000001</v>
      </c>
      <c r="Q499" s="2026">
        <v>0.9</v>
      </c>
      <c r="R499" s="2026">
        <v>0.9</v>
      </c>
      <c r="S499" s="2026">
        <v>0.9</v>
      </c>
      <c r="T499" s="2026">
        <v>0.9</v>
      </c>
      <c r="U499" s="2028">
        <f t="shared" si="323"/>
        <v>16.02</v>
      </c>
      <c r="V499" s="2028">
        <f t="shared" si="323"/>
        <v>16.02</v>
      </c>
      <c r="W499" s="2028">
        <f t="shared" si="323"/>
        <v>16.02</v>
      </c>
      <c r="X499" s="2028">
        <f t="shared" si="323"/>
        <v>16.02</v>
      </c>
      <c r="Y499" s="2026">
        <v>0.9</v>
      </c>
      <c r="Z499" s="2026">
        <v>0.9</v>
      </c>
      <c r="AA499" s="2026">
        <v>0.9</v>
      </c>
      <c r="AB499" s="2026">
        <v>0.9</v>
      </c>
      <c r="AC499" s="2027">
        <f t="shared" si="324"/>
        <v>0</v>
      </c>
      <c r="AD499" s="2027">
        <f t="shared" si="324"/>
        <v>0</v>
      </c>
      <c r="AE499" s="2027">
        <f t="shared" si="324"/>
        <v>0</v>
      </c>
      <c r="AF499" s="2027">
        <f t="shared" si="324"/>
        <v>0</v>
      </c>
      <c r="AG499" s="2027">
        <v>1</v>
      </c>
      <c r="AH499" s="2028">
        <v>2</v>
      </c>
      <c r="AI499" s="2028">
        <v>2</v>
      </c>
      <c r="AJ499" s="2028">
        <v>2</v>
      </c>
      <c r="AK499" s="2027">
        <f t="shared" si="312"/>
        <v>15778.800000000001</v>
      </c>
      <c r="AL499" s="2027">
        <f t="shared" ref="AL499:AN530" si="343">AH499*N499*CM499</f>
        <v>31557.600000000002</v>
      </c>
      <c r="AM499" s="2027">
        <f t="shared" si="343"/>
        <v>31557.600000000002</v>
      </c>
      <c r="AN499" s="2027">
        <f t="shared" si="343"/>
        <v>31557.600000000002</v>
      </c>
      <c r="AO499" s="2027">
        <f t="shared" si="325"/>
        <v>0</v>
      </c>
      <c r="AP499" s="2027">
        <f t="shared" si="314"/>
        <v>0</v>
      </c>
      <c r="AQ499" s="2027">
        <f t="shared" si="314"/>
        <v>0</v>
      </c>
      <c r="AR499" s="2027">
        <f t="shared" si="314"/>
        <v>0</v>
      </c>
      <c r="AS499" s="2124">
        <f t="shared" si="340"/>
        <v>500</v>
      </c>
      <c r="AT499" s="2029">
        <f t="shared" si="315"/>
        <v>500</v>
      </c>
      <c r="AU499" s="2029">
        <f t="shared" si="315"/>
        <v>500</v>
      </c>
      <c r="AV499" s="2029">
        <f t="shared" si="315"/>
        <v>500</v>
      </c>
      <c r="AW499" s="2124">
        <f t="shared" si="316"/>
        <v>0</v>
      </c>
      <c r="AX499" s="2029">
        <f t="shared" si="335"/>
        <v>0</v>
      </c>
      <c r="AY499" s="2029">
        <f t="shared" si="335"/>
        <v>0</v>
      </c>
      <c r="AZ499" s="2029">
        <f t="shared" si="335"/>
        <v>0</v>
      </c>
      <c r="BA499" s="2124">
        <f t="shared" si="338"/>
        <v>25400</v>
      </c>
      <c r="BB499" s="2029">
        <f t="shared" si="338"/>
        <v>25400</v>
      </c>
      <c r="BC499" s="2029">
        <f t="shared" si="338"/>
        <v>25400</v>
      </c>
      <c r="BD499" s="2029">
        <f t="shared" si="338"/>
        <v>25400</v>
      </c>
      <c r="BE499" s="2030">
        <f t="shared" si="328"/>
        <v>500</v>
      </c>
      <c r="BF499" s="2030">
        <f t="shared" si="328"/>
        <v>1000</v>
      </c>
      <c r="BG499" s="2030">
        <f t="shared" si="328"/>
        <v>1000</v>
      </c>
      <c r="BH499" s="2030">
        <f t="shared" si="328"/>
        <v>1000</v>
      </c>
      <c r="BI499" s="2030">
        <f t="shared" si="329"/>
        <v>0</v>
      </c>
      <c r="BJ499" s="2030">
        <f t="shared" si="329"/>
        <v>0</v>
      </c>
      <c r="BK499" s="2030">
        <f t="shared" si="329"/>
        <v>0</v>
      </c>
      <c r="BL499" s="2030">
        <f t="shared" si="329"/>
        <v>0</v>
      </c>
      <c r="BM499" s="2125"/>
      <c r="BN499" s="2125"/>
      <c r="BO499" s="2125"/>
      <c r="BP499" s="2125"/>
      <c r="BQ499" s="2125"/>
      <c r="BR499" s="2125"/>
      <c r="BS499" s="2125"/>
      <c r="BT499" s="2125"/>
      <c r="BU499" s="2029"/>
      <c r="BV499" s="2029"/>
      <c r="BW499" s="2029"/>
      <c r="BX499" s="2029"/>
      <c r="BY499" s="2029"/>
      <c r="BZ499" s="2032"/>
      <c r="CA499" s="1974">
        <f t="shared" ref="CA499:CE514" si="344">CA38</f>
        <v>0</v>
      </c>
      <c r="CB499" s="1974">
        <f t="shared" si="344"/>
        <v>0</v>
      </c>
      <c r="CC499" s="1974">
        <f t="shared" si="344"/>
        <v>0</v>
      </c>
      <c r="CD499" s="1974">
        <f t="shared" si="344"/>
        <v>0</v>
      </c>
      <c r="CE499" s="1974">
        <f t="shared" si="344"/>
        <v>0</v>
      </c>
      <c r="CF499" s="2033">
        <v>6.5960698268734824E-5</v>
      </c>
      <c r="CG499" s="2026">
        <v>0</v>
      </c>
      <c r="CH499" s="2009">
        <f t="shared" ref="CH499:CK514" si="345">CH38</f>
        <v>0</v>
      </c>
      <c r="CI499" s="2031">
        <f t="shared" si="345"/>
        <v>0</v>
      </c>
      <c r="CJ499" s="1974">
        <f t="shared" si="345"/>
        <v>0</v>
      </c>
      <c r="CK499" s="2031">
        <f t="shared" si="345"/>
        <v>0</v>
      </c>
      <c r="CL499" s="2026">
        <v>1</v>
      </c>
      <c r="CM499" s="2026">
        <v>1</v>
      </c>
      <c r="CN499" s="2026">
        <v>1</v>
      </c>
      <c r="CO499" s="2026">
        <v>1</v>
      </c>
      <c r="CP499" s="2035"/>
      <c r="CQ499" s="2036"/>
      <c r="CR499" s="2036"/>
      <c r="CS499" s="2036"/>
      <c r="CT499" s="2036"/>
      <c r="CU499" s="2036"/>
      <c r="CV499" s="1973">
        <v>1</v>
      </c>
      <c r="CW499" s="1973">
        <v>0</v>
      </c>
      <c r="CX499" s="2037">
        <v>500</v>
      </c>
      <c r="CY499" s="2037">
        <v>500</v>
      </c>
      <c r="CZ499" s="2037">
        <v>500</v>
      </c>
      <c r="DA499" s="2037">
        <v>500</v>
      </c>
      <c r="DJ499" s="1976">
        <v>500</v>
      </c>
      <c r="DK499" s="1973">
        <v>500</v>
      </c>
      <c r="DL499" s="1973">
        <v>500</v>
      </c>
      <c r="DM499" s="1973">
        <v>500</v>
      </c>
      <c r="DO499" s="2027">
        <v>20</v>
      </c>
      <c r="DP499" s="2144">
        <v>17532</v>
      </c>
      <c r="DQ499" s="2145">
        <v>17.8</v>
      </c>
      <c r="DR499" s="2027">
        <v>0</v>
      </c>
      <c r="DS499" s="2124">
        <v>500</v>
      </c>
      <c r="DT499" s="2029">
        <v>500</v>
      </c>
      <c r="DU499" s="2029">
        <v>500</v>
      </c>
      <c r="DV499" s="2029">
        <v>500</v>
      </c>
      <c r="DW499" s="2124">
        <v>0</v>
      </c>
      <c r="DX499" s="2029">
        <v>0</v>
      </c>
      <c r="DY499" s="2029">
        <v>0</v>
      </c>
      <c r="DZ499" s="2029">
        <v>0</v>
      </c>
      <c r="EA499" s="2124">
        <v>25400</v>
      </c>
      <c r="EB499" s="2029">
        <v>25400</v>
      </c>
      <c r="EC499" s="2029">
        <v>25400</v>
      </c>
      <c r="ED499" s="2029">
        <v>25400</v>
      </c>
      <c r="EE499" s="2039">
        <f t="shared" si="296"/>
        <v>3</v>
      </c>
      <c r="EF499" s="2039">
        <f t="shared" si="296"/>
        <v>0</v>
      </c>
      <c r="EG499" s="2039">
        <f t="shared" si="296"/>
        <v>0</v>
      </c>
      <c r="EH499" s="2039">
        <f t="shared" si="296"/>
        <v>0</v>
      </c>
      <c r="EI499" s="2040">
        <f t="shared" si="333"/>
        <v>0</v>
      </c>
      <c r="EJ499" s="2040">
        <f t="shared" si="333"/>
        <v>0</v>
      </c>
      <c r="EK499" s="2040">
        <f t="shared" si="333"/>
        <v>0</v>
      </c>
      <c r="EL499" s="2040">
        <f t="shared" si="332"/>
        <v>0</v>
      </c>
      <c r="EM499" s="2040">
        <f t="shared" si="332"/>
        <v>0</v>
      </c>
      <c r="EN499" s="2040">
        <f t="shared" si="332"/>
        <v>0</v>
      </c>
      <c r="EO499" s="2040">
        <f t="shared" si="332"/>
        <v>0</v>
      </c>
      <c r="EP499" s="2040">
        <f t="shared" si="332"/>
        <v>0</v>
      </c>
      <c r="EQ499" s="2040">
        <f t="shared" si="332"/>
        <v>0</v>
      </c>
      <c r="ER499" s="2040">
        <f t="shared" si="332"/>
        <v>0</v>
      </c>
      <c r="ES499" s="2040">
        <f t="shared" si="332"/>
        <v>0</v>
      </c>
      <c r="ET499" s="2040">
        <f t="shared" si="332"/>
        <v>0</v>
      </c>
      <c r="EU499" s="2039">
        <f t="shared" si="297"/>
        <v>3</v>
      </c>
      <c r="EV499" s="2039">
        <f t="shared" si="298"/>
        <v>3</v>
      </c>
    </row>
    <row r="500" spans="1:152" x14ac:dyDescent="0.25">
      <c r="A500" s="2149" t="str">
        <f t="shared" si="342"/>
        <v>PTAC/PTHP less than 65kBtuh input, new installation</v>
      </c>
      <c r="B500" s="1974" t="str">
        <f t="shared" si="342"/>
        <v>BPC27</v>
      </c>
      <c r="C500" s="2027">
        <f t="shared" si="341"/>
        <v>8</v>
      </c>
      <c r="D500" s="2144">
        <f t="shared" si="341"/>
        <v>179.18</v>
      </c>
      <c r="E500" s="2145">
        <f t="shared" si="341"/>
        <v>0.2</v>
      </c>
      <c r="F500" s="2027">
        <f t="shared" si="341"/>
        <v>0</v>
      </c>
      <c r="G500" s="1974" t="s">
        <v>2988</v>
      </c>
      <c r="H500" s="1974" t="s">
        <v>2988</v>
      </c>
      <c r="I500" s="2026">
        <v>0.9</v>
      </c>
      <c r="J500" s="2026">
        <v>0.9</v>
      </c>
      <c r="K500" s="2026">
        <v>0.9</v>
      </c>
      <c r="L500" s="2026">
        <v>0.9</v>
      </c>
      <c r="M500" s="2027">
        <f t="shared" si="322"/>
        <v>161.262</v>
      </c>
      <c r="N500" s="2027">
        <f t="shared" si="322"/>
        <v>161.262</v>
      </c>
      <c r="O500" s="2027">
        <f t="shared" si="322"/>
        <v>161.262</v>
      </c>
      <c r="P500" s="2027">
        <f t="shared" si="322"/>
        <v>161.262</v>
      </c>
      <c r="Q500" s="2026">
        <v>0.9</v>
      </c>
      <c r="R500" s="2026">
        <v>0.9</v>
      </c>
      <c r="S500" s="2026">
        <v>0.9</v>
      </c>
      <c r="T500" s="2026">
        <v>0.9</v>
      </c>
      <c r="U500" s="2028">
        <f t="shared" si="323"/>
        <v>0.18000000000000002</v>
      </c>
      <c r="V500" s="2028">
        <f t="shared" si="323"/>
        <v>0.18000000000000002</v>
      </c>
      <c r="W500" s="2028">
        <f t="shared" si="323"/>
        <v>0.18000000000000002</v>
      </c>
      <c r="X500" s="2028">
        <f t="shared" si="323"/>
        <v>0.18000000000000002</v>
      </c>
      <c r="Y500" s="2026">
        <v>0.9</v>
      </c>
      <c r="Z500" s="2026">
        <v>0.9</v>
      </c>
      <c r="AA500" s="2026">
        <v>0.9</v>
      </c>
      <c r="AB500" s="2026">
        <v>0.9</v>
      </c>
      <c r="AC500" s="2027">
        <f t="shared" si="324"/>
        <v>0</v>
      </c>
      <c r="AD500" s="2027">
        <f t="shared" si="324"/>
        <v>0</v>
      </c>
      <c r="AE500" s="2027">
        <f t="shared" si="324"/>
        <v>0</v>
      </c>
      <c r="AF500" s="2027">
        <f t="shared" si="324"/>
        <v>0</v>
      </c>
      <c r="AG500" s="2027">
        <v>0</v>
      </c>
      <c r="AH500" s="2028"/>
      <c r="AI500" s="2028"/>
      <c r="AJ500" s="2028"/>
      <c r="AK500" s="2027">
        <f t="shared" si="312"/>
        <v>0</v>
      </c>
      <c r="AL500" s="2027">
        <f t="shared" si="343"/>
        <v>0</v>
      </c>
      <c r="AM500" s="2027">
        <f t="shared" si="343"/>
        <v>0</v>
      </c>
      <c r="AN500" s="2027">
        <f t="shared" si="343"/>
        <v>0</v>
      </c>
      <c r="AO500" s="2027">
        <f t="shared" si="325"/>
        <v>0</v>
      </c>
      <c r="AP500" s="2027">
        <f t="shared" si="314"/>
        <v>0</v>
      </c>
      <c r="AQ500" s="2027">
        <f t="shared" si="314"/>
        <v>0</v>
      </c>
      <c r="AR500" s="2027">
        <f t="shared" si="314"/>
        <v>0</v>
      </c>
      <c r="AS500" s="2124">
        <f>AS39*1.5</f>
        <v>24.375</v>
      </c>
      <c r="AT500" s="2029">
        <f t="shared" si="315"/>
        <v>24.375</v>
      </c>
      <c r="AU500" s="2029">
        <f t="shared" si="315"/>
        <v>24.375</v>
      </c>
      <c r="AV500" s="2029">
        <f t="shared" si="315"/>
        <v>24.375</v>
      </c>
      <c r="AW500" s="2124">
        <f t="shared" si="316"/>
        <v>0</v>
      </c>
      <c r="AX500" s="2029">
        <f t="shared" si="335"/>
        <v>0</v>
      </c>
      <c r="AY500" s="2029">
        <f t="shared" si="335"/>
        <v>0</v>
      </c>
      <c r="AZ500" s="2029">
        <f t="shared" si="335"/>
        <v>0</v>
      </c>
      <c r="BA500" s="2124">
        <f t="shared" si="338"/>
        <v>84</v>
      </c>
      <c r="BB500" s="2029">
        <f t="shared" si="338"/>
        <v>84</v>
      </c>
      <c r="BC500" s="2029">
        <f t="shared" si="338"/>
        <v>84</v>
      </c>
      <c r="BD500" s="2029">
        <f t="shared" si="338"/>
        <v>84</v>
      </c>
      <c r="BE500" s="2030">
        <f t="shared" si="328"/>
        <v>0</v>
      </c>
      <c r="BF500" s="2030">
        <f t="shared" si="328"/>
        <v>0</v>
      </c>
      <c r="BG500" s="2030">
        <f t="shared" si="328"/>
        <v>0</v>
      </c>
      <c r="BH500" s="2030">
        <f t="shared" si="328"/>
        <v>0</v>
      </c>
      <c r="BI500" s="2030">
        <f t="shared" si="329"/>
        <v>0</v>
      </c>
      <c r="BJ500" s="2030">
        <f t="shared" si="329"/>
        <v>0</v>
      </c>
      <c r="BK500" s="2030">
        <f t="shared" si="329"/>
        <v>0</v>
      </c>
      <c r="BL500" s="2030">
        <f t="shared" si="329"/>
        <v>0</v>
      </c>
      <c r="BM500" s="2125"/>
      <c r="BN500" s="2125"/>
      <c r="BO500" s="2125"/>
      <c r="BP500" s="2125"/>
      <c r="BQ500" s="2125"/>
      <c r="BR500" s="2125"/>
      <c r="BS500" s="2125"/>
      <c r="BT500" s="2125"/>
      <c r="BU500" s="2029"/>
      <c r="BV500" s="2029"/>
      <c r="BW500" s="2029"/>
      <c r="BX500" s="2029"/>
      <c r="BY500" s="2029"/>
      <c r="BZ500" s="2032"/>
      <c r="CA500" s="1974">
        <f t="shared" si="344"/>
        <v>0</v>
      </c>
      <c r="CB500" s="1974">
        <f t="shared" si="344"/>
        <v>0</v>
      </c>
      <c r="CC500" s="1974">
        <f t="shared" si="344"/>
        <v>0</v>
      </c>
      <c r="CD500" s="1974">
        <f t="shared" si="344"/>
        <v>0</v>
      </c>
      <c r="CE500" s="1974">
        <f t="shared" si="344"/>
        <v>0</v>
      </c>
      <c r="CF500" s="2033">
        <v>0</v>
      </c>
      <c r="CG500" s="2026">
        <v>0</v>
      </c>
      <c r="CH500" s="2009">
        <f t="shared" si="345"/>
        <v>0</v>
      </c>
      <c r="CI500" s="2031">
        <f t="shared" si="345"/>
        <v>0</v>
      </c>
      <c r="CJ500" s="1974">
        <f t="shared" si="345"/>
        <v>0</v>
      </c>
      <c r="CK500" s="2031">
        <f t="shared" si="345"/>
        <v>0</v>
      </c>
      <c r="CL500" s="2026">
        <v>1</v>
      </c>
      <c r="CM500" s="2026">
        <v>1</v>
      </c>
      <c r="CN500" s="2026">
        <v>1</v>
      </c>
      <c r="CO500" s="2026">
        <v>1</v>
      </c>
      <c r="CP500" s="2035"/>
      <c r="CQ500" s="2036"/>
      <c r="CR500" s="2036"/>
      <c r="CS500" s="2036"/>
      <c r="CT500" s="2036"/>
      <c r="CU500" s="2036"/>
      <c r="CV500" s="1973">
        <v>1</v>
      </c>
      <c r="CW500" s="1973">
        <v>3</v>
      </c>
      <c r="CX500" s="2037">
        <v>24.375</v>
      </c>
      <c r="CY500" s="2037">
        <v>24.375</v>
      </c>
      <c r="CZ500" s="2037">
        <v>24.375</v>
      </c>
      <c r="DA500" s="2037">
        <v>24.375</v>
      </c>
      <c r="DJ500" s="1976">
        <v>24.375</v>
      </c>
      <c r="DK500" s="1973">
        <v>24.375</v>
      </c>
      <c r="DL500" s="1973">
        <v>24.375</v>
      </c>
      <c r="DM500" s="1973">
        <v>24.375</v>
      </c>
      <c r="DO500" s="2027">
        <v>15</v>
      </c>
      <c r="DP500" s="2144">
        <v>179.18</v>
      </c>
      <c r="DQ500" s="2145">
        <v>0.2</v>
      </c>
      <c r="DR500" s="2027">
        <v>0</v>
      </c>
      <c r="DS500" s="2124">
        <v>24.375</v>
      </c>
      <c r="DT500" s="2029">
        <v>24.375</v>
      </c>
      <c r="DU500" s="2029">
        <v>24.375</v>
      </c>
      <c r="DV500" s="2029">
        <v>24.375</v>
      </c>
      <c r="DW500" s="2124">
        <v>0</v>
      </c>
      <c r="DX500" s="2029">
        <v>0</v>
      </c>
      <c r="DY500" s="2029">
        <v>0</v>
      </c>
      <c r="DZ500" s="2029">
        <v>0</v>
      </c>
      <c r="EA500" s="2124">
        <v>84</v>
      </c>
      <c r="EB500" s="2029">
        <v>84</v>
      </c>
      <c r="EC500" s="2029">
        <v>84</v>
      </c>
      <c r="ED500" s="2029">
        <v>84</v>
      </c>
      <c r="EE500" s="2039">
        <f t="shared" si="296"/>
        <v>-7</v>
      </c>
      <c r="EF500" s="2039">
        <f t="shared" si="296"/>
        <v>0</v>
      </c>
      <c r="EG500" s="2039">
        <f t="shared" si="296"/>
        <v>0</v>
      </c>
      <c r="EH500" s="2039">
        <f t="shared" si="296"/>
        <v>0</v>
      </c>
      <c r="EI500" s="2040">
        <f t="shared" si="333"/>
        <v>0</v>
      </c>
      <c r="EJ500" s="2040">
        <f t="shared" si="333"/>
        <v>0</v>
      </c>
      <c r="EK500" s="2040">
        <f t="shared" si="333"/>
        <v>0</v>
      </c>
      <c r="EL500" s="2040">
        <f t="shared" si="332"/>
        <v>0</v>
      </c>
      <c r="EM500" s="2040">
        <f t="shared" si="332"/>
        <v>0</v>
      </c>
      <c r="EN500" s="2040">
        <f t="shared" si="332"/>
        <v>0</v>
      </c>
      <c r="EO500" s="2040">
        <f t="shared" si="332"/>
        <v>0</v>
      </c>
      <c r="EP500" s="2040">
        <f t="shared" si="332"/>
        <v>0</v>
      </c>
      <c r="EQ500" s="2040">
        <f t="shared" si="332"/>
        <v>0</v>
      </c>
      <c r="ER500" s="2040">
        <f t="shared" si="332"/>
        <v>0</v>
      </c>
      <c r="ES500" s="2040">
        <f t="shared" si="332"/>
        <v>0</v>
      </c>
      <c r="ET500" s="2040">
        <f t="shared" si="332"/>
        <v>0</v>
      </c>
      <c r="EU500" s="2039">
        <f t="shared" si="297"/>
        <v>-7</v>
      </c>
      <c r="EV500" s="2039">
        <f t="shared" si="298"/>
        <v>-7</v>
      </c>
    </row>
    <row r="501" spans="1:152" x14ac:dyDescent="0.25">
      <c r="A501" s="2143" t="str">
        <f t="shared" si="342"/>
        <v>Variable Frequency Drive on HVAC Motors – Supply or Return Fans</v>
      </c>
      <c r="B501" s="1974" t="str">
        <f t="shared" si="342"/>
        <v>BPC20</v>
      </c>
      <c r="C501" s="2027">
        <f t="shared" si="341"/>
        <v>15</v>
      </c>
      <c r="D501" s="2144">
        <f t="shared" si="341"/>
        <v>2479.8128019490832</v>
      </c>
      <c r="E501" s="2145">
        <f t="shared" si="341"/>
        <v>0</v>
      </c>
      <c r="F501" s="2027">
        <f t="shared" si="341"/>
        <v>0</v>
      </c>
      <c r="G501" s="1974" t="s">
        <v>2988</v>
      </c>
      <c r="H501" s="1974" t="s">
        <v>2988</v>
      </c>
      <c r="I501" s="2026">
        <v>0.9</v>
      </c>
      <c r="J501" s="2026">
        <v>0.9</v>
      </c>
      <c r="K501" s="2026">
        <v>0.9</v>
      </c>
      <c r="L501" s="2026">
        <v>0.9</v>
      </c>
      <c r="M501" s="2027">
        <f t="shared" si="322"/>
        <v>2231.8315217541749</v>
      </c>
      <c r="N501" s="2027">
        <f t="shared" si="322"/>
        <v>2231.8315217541749</v>
      </c>
      <c r="O501" s="2027">
        <f t="shared" si="322"/>
        <v>2231.8315217541749</v>
      </c>
      <c r="P501" s="2027">
        <f t="shared" si="322"/>
        <v>2231.8315217541749</v>
      </c>
      <c r="Q501" s="2026">
        <v>0.9</v>
      </c>
      <c r="R501" s="2026">
        <v>0.9</v>
      </c>
      <c r="S501" s="2026">
        <v>0.9</v>
      </c>
      <c r="T501" s="2026">
        <v>0.9</v>
      </c>
      <c r="U501" s="2028">
        <f t="shared" si="323"/>
        <v>0</v>
      </c>
      <c r="V501" s="2028">
        <f t="shared" si="323"/>
        <v>0</v>
      </c>
      <c r="W501" s="2028">
        <f t="shared" si="323"/>
        <v>0</v>
      </c>
      <c r="X501" s="2028">
        <f t="shared" si="323"/>
        <v>0</v>
      </c>
      <c r="Y501" s="2026">
        <v>0.9</v>
      </c>
      <c r="Z501" s="2026">
        <v>0.9</v>
      </c>
      <c r="AA501" s="2026">
        <v>0.9</v>
      </c>
      <c r="AB501" s="2026">
        <v>0.9</v>
      </c>
      <c r="AC501" s="2027">
        <f t="shared" si="324"/>
        <v>0</v>
      </c>
      <c r="AD501" s="2027">
        <f t="shared" si="324"/>
        <v>0</v>
      </c>
      <c r="AE501" s="2027">
        <f t="shared" si="324"/>
        <v>0</v>
      </c>
      <c r="AF501" s="2027">
        <f t="shared" si="324"/>
        <v>0</v>
      </c>
      <c r="AG501" s="2027">
        <v>36</v>
      </c>
      <c r="AH501" s="2027">
        <v>36</v>
      </c>
      <c r="AI501" s="2027">
        <v>37</v>
      </c>
      <c r="AJ501" s="2027">
        <v>37</v>
      </c>
      <c r="AK501" s="2027">
        <f t="shared" si="312"/>
        <v>80345.934783150296</v>
      </c>
      <c r="AL501" s="2027">
        <f t="shared" si="343"/>
        <v>80345.934783150296</v>
      </c>
      <c r="AM501" s="2027">
        <f t="shared" si="343"/>
        <v>82577.766304904479</v>
      </c>
      <c r="AN501" s="2027">
        <f t="shared" si="343"/>
        <v>82577.766304904479</v>
      </c>
      <c r="AO501" s="2027">
        <f t="shared" si="325"/>
        <v>0</v>
      </c>
      <c r="AP501" s="2027">
        <f t="shared" si="314"/>
        <v>0</v>
      </c>
      <c r="AQ501" s="2027">
        <f t="shared" si="314"/>
        <v>0</v>
      </c>
      <c r="AR501" s="2027">
        <f t="shared" si="314"/>
        <v>0</v>
      </c>
      <c r="AS501" s="2029">
        <v>140</v>
      </c>
      <c r="AT501" s="2029">
        <f t="shared" si="315"/>
        <v>140</v>
      </c>
      <c r="AU501" s="2029">
        <f t="shared" si="315"/>
        <v>140</v>
      </c>
      <c r="AV501" s="2029">
        <f t="shared" si="315"/>
        <v>140</v>
      </c>
      <c r="AW501" s="2029">
        <f t="shared" si="316"/>
        <v>0</v>
      </c>
      <c r="AX501" s="2029">
        <f t="shared" si="335"/>
        <v>0</v>
      </c>
      <c r="AY501" s="2029">
        <f t="shared" si="335"/>
        <v>0</v>
      </c>
      <c r="AZ501" s="2029">
        <f t="shared" si="335"/>
        <v>0</v>
      </c>
      <c r="BA501" s="2029">
        <v>195.08750000000001</v>
      </c>
      <c r="BB501" s="2029">
        <f>$BA501</f>
        <v>195.08750000000001</v>
      </c>
      <c r="BC501" s="2029">
        <f t="shared" ref="BC501:BD501" si="346">$BA501</f>
        <v>195.08750000000001</v>
      </c>
      <c r="BD501" s="2029">
        <f t="shared" si="346"/>
        <v>195.08750000000001</v>
      </c>
      <c r="BE501" s="2030">
        <f t="shared" si="328"/>
        <v>5040</v>
      </c>
      <c r="BF501" s="2030">
        <f t="shared" si="328"/>
        <v>5040</v>
      </c>
      <c r="BG501" s="2030">
        <f t="shared" si="328"/>
        <v>5180</v>
      </c>
      <c r="BH501" s="2030">
        <f t="shared" si="328"/>
        <v>5180</v>
      </c>
      <c r="BI501" s="2030">
        <f t="shared" si="329"/>
        <v>0</v>
      </c>
      <c r="BJ501" s="2030">
        <f t="shared" si="329"/>
        <v>0</v>
      </c>
      <c r="BK501" s="2030">
        <f t="shared" si="329"/>
        <v>0</v>
      </c>
      <c r="BL501" s="2030">
        <f t="shared" si="329"/>
        <v>0</v>
      </c>
      <c r="BM501" s="2125"/>
      <c r="BN501" s="2125"/>
      <c r="BO501" s="2125"/>
      <c r="BP501" s="2125"/>
      <c r="BQ501" s="2125"/>
      <c r="BR501" s="2125"/>
      <c r="BS501" s="2125"/>
      <c r="BT501" s="2125"/>
      <c r="BU501" s="2029"/>
      <c r="BV501" s="2029"/>
      <c r="BW501" s="2029"/>
      <c r="BX501" s="2029"/>
      <c r="BY501" s="2029"/>
      <c r="BZ501" s="2032"/>
      <c r="CA501" s="1974">
        <f t="shared" si="344"/>
        <v>0</v>
      </c>
      <c r="CB501" s="1974">
        <f t="shared" si="344"/>
        <v>0</v>
      </c>
      <c r="CC501" s="1974">
        <f t="shared" si="344"/>
        <v>0</v>
      </c>
      <c r="CD501" s="1974">
        <f t="shared" si="344"/>
        <v>0</v>
      </c>
      <c r="CE501" s="1974">
        <f t="shared" si="344"/>
        <v>0</v>
      </c>
      <c r="CF501" s="2033">
        <v>3.0277585820296353E-4</v>
      </c>
      <c r="CG501" s="2026">
        <v>0</v>
      </c>
      <c r="CH501" s="2009">
        <f t="shared" si="345"/>
        <v>0</v>
      </c>
      <c r="CI501" s="2031">
        <f t="shared" si="345"/>
        <v>0</v>
      </c>
      <c r="CJ501" s="1974">
        <f t="shared" si="345"/>
        <v>0</v>
      </c>
      <c r="CK501" s="2031">
        <f t="shared" si="345"/>
        <v>0</v>
      </c>
      <c r="CL501" s="2026">
        <v>1</v>
      </c>
      <c r="CM501" s="2026">
        <v>1</v>
      </c>
      <c r="CN501" s="2026">
        <v>1</v>
      </c>
      <c r="CO501" s="2026">
        <v>1</v>
      </c>
      <c r="CP501" s="2035"/>
      <c r="CQ501" s="2036"/>
      <c r="CR501" s="2036"/>
      <c r="CS501" s="2036"/>
      <c r="CT501" s="2036"/>
      <c r="CU501" s="2036"/>
      <c r="CV501" s="1973">
        <v>1</v>
      </c>
      <c r="CW501" s="1973">
        <v>0</v>
      </c>
      <c r="CX501" s="2037">
        <v>100</v>
      </c>
      <c r="CY501" s="2037">
        <v>100</v>
      </c>
      <c r="CZ501" s="2037">
        <v>100</v>
      </c>
      <c r="DA501" s="2037">
        <v>100</v>
      </c>
      <c r="DJ501" s="1976">
        <v>100</v>
      </c>
      <c r="DK501" s="1973">
        <v>100</v>
      </c>
      <c r="DL501" s="1973">
        <v>100</v>
      </c>
      <c r="DM501" s="1973">
        <v>100</v>
      </c>
      <c r="DN501" s="1973"/>
      <c r="DO501" s="2027">
        <v>15</v>
      </c>
      <c r="DP501" s="2144">
        <v>2479.8128019490832</v>
      </c>
      <c r="DQ501" s="2145">
        <v>0</v>
      </c>
      <c r="DR501" s="2027">
        <v>0</v>
      </c>
      <c r="DS501" s="2029">
        <v>140</v>
      </c>
      <c r="DT501" s="2029">
        <v>140</v>
      </c>
      <c r="DU501" s="2029">
        <v>140</v>
      </c>
      <c r="DV501" s="2029">
        <v>140</v>
      </c>
      <c r="DW501" s="2029">
        <v>0</v>
      </c>
      <c r="DX501" s="2029">
        <v>0</v>
      </c>
      <c r="DY501" s="2029">
        <v>0</v>
      </c>
      <c r="DZ501" s="2029">
        <v>0</v>
      </c>
      <c r="EA501" s="2029">
        <v>195.08750000000001</v>
      </c>
      <c r="EB501" s="2029">
        <v>195.08750000000001</v>
      </c>
      <c r="EC501" s="2029">
        <v>195.08750000000001</v>
      </c>
      <c r="ED501" s="2029">
        <v>195.08750000000001</v>
      </c>
      <c r="EE501" s="2039">
        <f t="shared" si="296"/>
        <v>0</v>
      </c>
      <c r="EF501" s="2039">
        <f t="shared" si="296"/>
        <v>0</v>
      </c>
      <c r="EG501" s="2039">
        <f t="shared" si="296"/>
        <v>0</v>
      </c>
      <c r="EH501" s="2039">
        <f t="shared" si="296"/>
        <v>0</v>
      </c>
      <c r="EI501" s="2040">
        <f t="shared" si="333"/>
        <v>0</v>
      </c>
      <c r="EJ501" s="2040">
        <f t="shared" si="333"/>
        <v>0</v>
      </c>
      <c r="EK501" s="2040">
        <f t="shared" si="333"/>
        <v>0</v>
      </c>
      <c r="EL501" s="2040">
        <f t="shared" si="332"/>
        <v>0</v>
      </c>
      <c r="EM501" s="2040">
        <f t="shared" si="332"/>
        <v>0</v>
      </c>
      <c r="EN501" s="2040">
        <f t="shared" si="332"/>
        <v>0</v>
      </c>
      <c r="EO501" s="2040">
        <f t="shared" si="332"/>
        <v>0</v>
      </c>
      <c r="EP501" s="2040">
        <f t="shared" si="332"/>
        <v>0</v>
      </c>
      <c r="EQ501" s="2040">
        <f t="shared" si="332"/>
        <v>0</v>
      </c>
      <c r="ER501" s="2040">
        <f t="shared" si="332"/>
        <v>0</v>
      </c>
      <c r="ES501" s="2040">
        <f t="shared" si="332"/>
        <v>0</v>
      </c>
      <c r="ET501" s="2040">
        <f t="shared" si="332"/>
        <v>0</v>
      </c>
      <c r="EU501" s="2039">
        <f t="shared" si="297"/>
        <v>0</v>
      </c>
      <c r="EV501" s="2039">
        <f t="shared" si="298"/>
        <v>0</v>
      </c>
    </row>
    <row r="502" spans="1:152" x14ac:dyDescent="0.25">
      <c r="A502" s="2150" t="str">
        <f t="shared" si="342"/>
        <v>High Efficiency Tanked Water Heater (electric)</v>
      </c>
      <c r="B502" s="1974" t="str">
        <f t="shared" si="342"/>
        <v>BPWH1</v>
      </c>
      <c r="C502" s="2027">
        <f t="shared" si="341"/>
        <v>5</v>
      </c>
      <c r="D502" s="2144">
        <f t="shared" si="341"/>
        <v>5005.72</v>
      </c>
      <c r="E502" s="2145">
        <f t="shared" si="341"/>
        <v>0.56999999999999995</v>
      </c>
      <c r="F502" s="2027">
        <f t="shared" si="341"/>
        <v>0</v>
      </c>
      <c r="G502" s="1974" t="s">
        <v>2988</v>
      </c>
      <c r="H502" s="1974" t="s">
        <v>2988</v>
      </c>
      <c r="I502" s="2026">
        <v>0.9</v>
      </c>
      <c r="J502" s="2026">
        <v>0.9</v>
      </c>
      <c r="K502" s="2026">
        <v>0.9</v>
      </c>
      <c r="L502" s="2026">
        <v>0.9</v>
      </c>
      <c r="M502" s="2027">
        <f t="shared" si="322"/>
        <v>4505.1480000000001</v>
      </c>
      <c r="N502" s="2027">
        <f t="shared" si="322"/>
        <v>4505.1480000000001</v>
      </c>
      <c r="O502" s="2027">
        <f t="shared" si="322"/>
        <v>4505.1480000000001</v>
      </c>
      <c r="P502" s="2027">
        <f t="shared" si="322"/>
        <v>4505.1480000000001</v>
      </c>
      <c r="Q502" s="2026">
        <v>0.9</v>
      </c>
      <c r="R502" s="2026">
        <v>0.9</v>
      </c>
      <c r="S502" s="2026">
        <v>0.9</v>
      </c>
      <c r="T502" s="2026">
        <v>0.9</v>
      </c>
      <c r="U502" s="2028">
        <f t="shared" si="323"/>
        <v>0.51300000000000001</v>
      </c>
      <c r="V502" s="2028">
        <f t="shared" si="323"/>
        <v>0.51300000000000001</v>
      </c>
      <c r="W502" s="2028">
        <f t="shared" si="323"/>
        <v>0.51300000000000001</v>
      </c>
      <c r="X502" s="2028">
        <f t="shared" si="323"/>
        <v>0.51300000000000001</v>
      </c>
      <c r="Y502" s="2026">
        <v>0.9</v>
      </c>
      <c r="Z502" s="2026">
        <v>0.9</v>
      </c>
      <c r="AA502" s="2026">
        <v>0.9</v>
      </c>
      <c r="AB502" s="2026">
        <v>0.9</v>
      </c>
      <c r="AC502" s="2027">
        <f t="shared" si="324"/>
        <v>0</v>
      </c>
      <c r="AD502" s="2027">
        <f t="shared" si="324"/>
        <v>0</v>
      </c>
      <c r="AE502" s="2027">
        <f t="shared" si="324"/>
        <v>0</v>
      </c>
      <c r="AF502" s="2027">
        <f t="shared" si="324"/>
        <v>0</v>
      </c>
      <c r="AG502" s="2027">
        <v>1</v>
      </c>
      <c r="AH502" s="2028">
        <v>1</v>
      </c>
      <c r="AI502" s="2028">
        <v>1</v>
      </c>
      <c r="AJ502" s="2028">
        <v>1</v>
      </c>
      <c r="AK502" s="2027">
        <f t="shared" si="312"/>
        <v>4505.1480000000001</v>
      </c>
      <c r="AL502" s="2027">
        <f t="shared" si="343"/>
        <v>4505.1480000000001</v>
      </c>
      <c r="AM502" s="2027">
        <f t="shared" si="343"/>
        <v>4505.1480000000001</v>
      </c>
      <c r="AN502" s="2027">
        <f t="shared" si="343"/>
        <v>4505.1480000000001</v>
      </c>
      <c r="AO502" s="2027">
        <f t="shared" si="325"/>
        <v>0</v>
      </c>
      <c r="AP502" s="2027">
        <f t="shared" si="314"/>
        <v>0</v>
      </c>
      <c r="AQ502" s="2027">
        <f t="shared" si="314"/>
        <v>0</v>
      </c>
      <c r="AR502" s="2027">
        <f t="shared" si="314"/>
        <v>0</v>
      </c>
      <c r="AS502" s="2124">
        <f>AS41*1</f>
        <v>150</v>
      </c>
      <c r="AT502" s="2029">
        <f t="shared" si="315"/>
        <v>150</v>
      </c>
      <c r="AU502" s="2029">
        <f t="shared" si="315"/>
        <v>150</v>
      </c>
      <c r="AV502" s="2029">
        <f t="shared" si="315"/>
        <v>150</v>
      </c>
      <c r="AW502" s="2124">
        <f t="shared" si="316"/>
        <v>0</v>
      </c>
      <c r="AX502" s="2029">
        <f t="shared" si="335"/>
        <v>0</v>
      </c>
      <c r="AY502" s="2029">
        <f t="shared" si="335"/>
        <v>0</v>
      </c>
      <c r="AZ502" s="2029">
        <f t="shared" si="335"/>
        <v>0</v>
      </c>
      <c r="BA502" s="2124">
        <f t="shared" ref="BA502:BD517" si="347">BA41</f>
        <v>1350</v>
      </c>
      <c r="BB502" s="2029">
        <f t="shared" si="347"/>
        <v>1350</v>
      </c>
      <c r="BC502" s="2029">
        <f t="shared" si="347"/>
        <v>1350</v>
      </c>
      <c r="BD502" s="2029">
        <f t="shared" si="347"/>
        <v>1350</v>
      </c>
      <c r="BE502" s="2030">
        <f t="shared" si="328"/>
        <v>150</v>
      </c>
      <c r="BF502" s="2030">
        <f t="shared" si="328"/>
        <v>150</v>
      </c>
      <c r="BG502" s="2030">
        <f t="shared" si="328"/>
        <v>150</v>
      </c>
      <c r="BH502" s="2030">
        <f t="shared" si="328"/>
        <v>150</v>
      </c>
      <c r="BI502" s="2030">
        <f t="shared" si="329"/>
        <v>0</v>
      </c>
      <c r="BJ502" s="2030">
        <f t="shared" si="329"/>
        <v>0</v>
      </c>
      <c r="BK502" s="2030">
        <f t="shared" si="329"/>
        <v>0</v>
      </c>
      <c r="BL502" s="2030">
        <f t="shared" si="329"/>
        <v>0</v>
      </c>
      <c r="BM502" s="2125"/>
      <c r="BN502" s="2125"/>
      <c r="BO502" s="2125"/>
      <c r="BP502" s="2125"/>
      <c r="BQ502" s="2125"/>
      <c r="BR502" s="2125"/>
      <c r="BS502" s="2125"/>
      <c r="BT502" s="2125"/>
      <c r="BU502" s="2029"/>
      <c r="BV502" s="2029"/>
      <c r="BW502" s="2029"/>
      <c r="BX502" s="2029"/>
      <c r="BY502" s="2029"/>
      <c r="BZ502" s="2032"/>
      <c r="CA502" s="1974">
        <f t="shared" si="344"/>
        <v>0</v>
      </c>
      <c r="CB502" s="1974">
        <f t="shared" si="344"/>
        <v>0</v>
      </c>
      <c r="CC502" s="1974">
        <f t="shared" si="344"/>
        <v>0</v>
      </c>
      <c r="CD502" s="1974">
        <f t="shared" si="344"/>
        <v>0</v>
      </c>
      <c r="CE502" s="1974">
        <f t="shared" si="344"/>
        <v>0</v>
      </c>
      <c r="CF502" s="2033">
        <v>1.8833035964965277E-5</v>
      </c>
      <c r="CG502" s="2026">
        <v>0</v>
      </c>
      <c r="CH502" s="2009">
        <f t="shared" si="345"/>
        <v>0</v>
      </c>
      <c r="CI502" s="2031">
        <f t="shared" si="345"/>
        <v>0</v>
      </c>
      <c r="CJ502" s="1974">
        <f t="shared" si="345"/>
        <v>0</v>
      </c>
      <c r="CK502" s="2031">
        <f t="shared" si="345"/>
        <v>0</v>
      </c>
      <c r="CL502" s="2026">
        <v>1</v>
      </c>
      <c r="CM502" s="2026">
        <v>1</v>
      </c>
      <c r="CN502" s="2026">
        <v>1</v>
      </c>
      <c r="CO502" s="2026">
        <v>1</v>
      </c>
      <c r="CP502" s="2035"/>
      <c r="CQ502" s="2036"/>
      <c r="CR502" s="2036"/>
      <c r="CS502" s="2036"/>
      <c r="CT502" s="2036"/>
      <c r="CU502" s="2036"/>
      <c r="CV502" s="1973">
        <v>1</v>
      </c>
      <c r="CW502" s="1973">
        <v>2</v>
      </c>
      <c r="CX502" s="2037">
        <v>150</v>
      </c>
      <c r="CY502" s="2037">
        <v>150</v>
      </c>
      <c r="CZ502" s="2037">
        <v>150</v>
      </c>
      <c r="DA502" s="2037">
        <v>150</v>
      </c>
      <c r="DJ502" s="1976">
        <v>150</v>
      </c>
      <c r="DK502" s="1973">
        <v>150</v>
      </c>
      <c r="DL502" s="1973">
        <v>150</v>
      </c>
      <c r="DM502" s="1973">
        <v>150</v>
      </c>
      <c r="DO502" s="2027">
        <v>5</v>
      </c>
      <c r="DP502" s="2144">
        <v>5005.72</v>
      </c>
      <c r="DQ502" s="2145">
        <v>0.56999999999999995</v>
      </c>
      <c r="DR502" s="2027">
        <v>0</v>
      </c>
      <c r="DS502" s="2124">
        <v>150</v>
      </c>
      <c r="DT502" s="2029">
        <v>150</v>
      </c>
      <c r="DU502" s="2029">
        <v>150</v>
      </c>
      <c r="DV502" s="2029">
        <v>150</v>
      </c>
      <c r="DW502" s="2124">
        <v>0</v>
      </c>
      <c r="DX502" s="2029">
        <v>0</v>
      </c>
      <c r="DY502" s="2029">
        <v>0</v>
      </c>
      <c r="DZ502" s="2029">
        <v>0</v>
      </c>
      <c r="EA502" s="2124">
        <v>1350</v>
      </c>
      <c r="EB502" s="2029">
        <v>1350</v>
      </c>
      <c r="EC502" s="2029">
        <v>1350</v>
      </c>
      <c r="ED502" s="2029">
        <v>1350</v>
      </c>
      <c r="EE502" s="2039">
        <f t="shared" si="296"/>
        <v>0</v>
      </c>
      <c r="EF502" s="2039">
        <f t="shared" si="296"/>
        <v>0</v>
      </c>
      <c r="EG502" s="2039">
        <f t="shared" si="296"/>
        <v>0</v>
      </c>
      <c r="EH502" s="2039">
        <f t="shared" si="296"/>
        <v>0</v>
      </c>
      <c r="EI502" s="2040">
        <f t="shared" si="333"/>
        <v>0</v>
      </c>
      <c r="EJ502" s="2040">
        <f t="shared" si="333"/>
        <v>0</v>
      </c>
      <c r="EK502" s="2040">
        <f t="shared" si="333"/>
        <v>0</v>
      </c>
      <c r="EL502" s="2040">
        <f t="shared" si="332"/>
        <v>0</v>
      </c>
      <c r="EM502" s="2040">
        <f t="shared" si="332"/>
        <v>0</v>
      </c>
      <c r="EN502" s="2040">
        <f t="shared" si="332"/>
        <v>0</v>
      </c>
      <c r="EO502" s="2040">
        <f t="shared" si="332"/>
        <v>0</v>
      </c>
      <c r="EP502" s="2040">
        <f t="shared" si="332"/>
        <v>0</v>
      </c>
      <c r="EQ502" s="2040">
        <f t="shared" si="332"/>
        <v>0</v>
      </c>
      <c r="ER502" s="2040">
        <f t="shared" si="332"/>
        <v>0</v>
      </c>
      <c r="ES502" s="2040">
        <f t="shared" si="332"/>
        <v>0</v>
      </c>
      <c r="ET502" s="2040">
        <f t="shared" si="332"/>
        <v>0</v>
      </c>
      <c r="EU502" s="2039">
        <f t="shared" si="297"/>
        <v>0</v>
      </c>
      <c r="EV502" s="2039">
        <f t="shared" si="298"/>
        <v>0</v>
      </c>
    </row>
    <row r="503" spans="1:152" x14ac:dyDescent="0.25">
      <c r="A503" s="2150" t="str">
        <f t="shared" si="342"/>
        <v>High Efficiency Tankless Water Heaters (electric)</v>
      </c>
      <c r="B503" s="1974" t="str">
        <f t="shared" si="342"/>
        <v>BPWH2</v>
      </c>
      <c r="C503" s="2027">
        <f t="shared" si="341"/>
        <v>5</v>
      </c>
      <c r="D503" s="2144">
        <f t="shared" si="341"/>
        <v>7925.1</v>
      </c>
      <c r="E503" s="2145">
        <f t="shared" si="341"/>
        <v>0.9</v>
      </c>
      <c r="F503" s="2027">
        <f t="shared" si="341"/>
        <v>0</v>
      </c>
      <c r="G503" s="1974" t="s">
        <v>2988</v>
      </c>
      <c r="H503" s="1974" t="s">
        <v>2988</v>
      </c>
      <c r="I503" s="2026">
        <v>0.9</v>
      </c>
      <c r="J503" s="2026">
        <v>0.9</v>
      </c>
      <c r="K503" s="2026">
        <v>0.9</v>
      </c>
      <c r="L503" s="2026">
        <v>0.9</v>
      </c>
      <c r="M503" s="2027">
        <f t="shared" si="322"/>
        <v>7132.59</v>
      </c>
      <c r="N503" s="2027">
        <f t="shared" si="322"/>
        <v>7132.59</v>
      </c>
      <c r="O503" s="2027">
        <f t="shared" si="322"/>
        <v>7132.59</v>
      </c>
      <c r="P503" s="2027">
        <f t="shared" si="322"/>
        <v>7132.59</v>
      </c>
      <c r="Q503" s="2026">
        <v>0.9</v>
      </c>
      <c r="R503" s="2026">
        <v>0.9</v>
      </c>
      <c r="S503" s="2026">
        <v>0.9</v>
      </c>
      <c r="T503" s="2026">
        <v>0.9</v>
      </c>
      <c r="U503" s="2028">
        <f t="shared" si="323"/>
        <v>0.81</v>
      </c>
      <c r="V503" s="2028">
        <f t="shared" si="323"/>
        <v>0.81</v>
      </c>
      <c r="W503" s="2028">
        <f t="shared" si="323"/>
        <v>0.81</v>
      </c>
      <c r="X503" s="2028">
        <f t="shared" si="323"/>
        <v>0.81</v>
      </c>
      <c r="Y503" s="2026">
        <v>0.9</v>
      </c>
      <c r="Z503" s="2026">
        <v>0.9</v>
      </c>
      <c r="AA503" s="2026">
        <v>0.9</v>
      </c>
      <c r="AB503" s="2026">
        <v>0.9</v>
      </c>
      <c r="AC503" s="2027">
        <f t="shared" si="324"/>
        <v>0</v>
      </c>
      <c r="AD503" s="2027">
        <f t="shared" si="324"/>
        <v>0</v>
      </c>
      <c r="AE503" s="2027">
        <f t="shared" si="324"/>
        <v>0</v>
      </c>
      <c r="AF503" s="2027">
        <f t="shared" si="324"/>
        <v>0</v>
      </c>
      <c r="AG503" s="2027">
        <v>0</v>
      </c>
      <c r="AH503" s="2028"/>
      <c r="AI503" s="2028">
        <v>1</v>
      </c>
      <c r="AJ503" s="2028"/>
      <c r="AK503" s="2027">
        <f t="shared" si="312"/>
        <v>0</v>
      </c>
      <c r="AL503" s="2027">
        <f t="shared" si="343"/>
        <v>0</v>
      </c>
      <c r="AM503" s="2027">
        <f t="shared" si="343"/>
        <v>7132.59</v>
      </c>
      <c r="AN503" s="2027">
        <f t="shared" si="343"/>
        <v>0</v>
      </c>
      <c r="AO503" s="2027">
        <f t="shared" si="325"/>
        <v>0</v>
      </c>
      <c r="AP503" s="2027">
        <f t="shared" si="314"/>
        <v>0</v>
      </c>
      <c r="AQ503" s="2027">
        <f t="shared" si="314"/>
        <v>0</v>
      </c>
      <c r="AR503" s="2027">
        <f t="shared" si="314"/>
        <v>0</v>
      </c>
      <c r="AS503" s="2124">
        <f>AS42*1</f>
        <v>300</v>
      </c>
      <c r="AT503" s="2029">
        <f t="shared" si="315"/>
        <v>300</v>
      </c>
      <c r="AU503" s="2029">
        <f t="shared" si="315"/>
        <v>300</v>
      </c>
      <c r="AV503" s="2029">
        <f t="shared" si="315"/>
        <v>300</v>
      </c>
      <c r="AW503" s="2124">
        <f t="shared" si="316"/>
        <v>0</v>
      </c>
      <c r="AX503" s="2029">
        <f t="shared" si="335"/>
        <v>0</v>
      </c>
      <c r="AY503" s="2029">
        <f t="shared" si="335"/>
        <v>0</v>
      </c>
      <c r="AZ503" s="2029">
        <f t="shared" si="335"/>
        <v>0</v>
      </c>
      <c r="BA503" s="2124">
        <f t="shared" si="347"/>
        <v>1350</v>
      </c>
      <c r="BB503" s="2029">
        <f t="shared" si="347"/>
        <v>1350</v>
      </c>
      <c r="BC503" s="2029">
        <f t="shared" si="347"/>
        <v>1350</v>
      </c>
      <c r="BD503" s="2029">
        <f t="shared" si="347"/>
        <v>1350</v>
      </c>
      <c r="BE503" s="2030">
        <f t="shared" si="328"/>
        <v>0</v>
      </c>
      <c r="BF503" s="2030">
        <f t="shared" si="328"/>
        <v>0</v>
      </c>
      <c r="BG503" s="2030">
        <f t="shared" si="328"/>
        <v>300</v>
      </c>
      <c r="BH503" s="2030">
        <f t="shared" si="328"/>
        <v>0</v>
      </c>
      <c r="BI503" s="2030">
        <f t="shared" si="329"/>
        <v>0</v>
      </c>
      <c r="BJ503" s="2030">
        <f t="shared" si="329"/>
        <v>0</v>
      </c>
      <c r="BK503" s="2030">
        <f t="shared" si="329"/>
        <v>0</v>
      </c>
      <c r="BL503" s="2030">
        <f t="shared" si="329"/>
        <v>0</v>
      </c>
      <c r="BM503" s="2125"/>
      <c r="BN503" s="2125"/>
      <c r="BO503" s="2125"/>
      <c r="BP503" s="2125"/>
      <c r="BQ503" s="2125"/>
      <c r="BR503" s="2125"/>
      <c r="BS503" s="2125"/>
      <c r="BT503" s="2125"/>
      <c r="BU503" s="2029"/>
      <c r="BV503" s="2029"/>
      <c r="BW503" s="2029"/>
      <c r="BX503" s="2029"/>
      <c r="BY503" s="2029"/>
      <c r="BZ503" s="2032"/>
      <c r="CA503" s="1974">
        <f t="shared" si="344"/>
        <v>0</v>
      </c>
      <c r="CB503" s="1974">
        <f t="shared" si="344"/>
        <v>0</v>
      </c>
      <c r="CC503" s="1974">
        <f t="shared" si="344"/>
        <v>0</v>
      </c>
      <c r="CD503" s="1974">
        <f t="shared" si="344"/>
        <v>0</v>
      </c>
      <c r="CE503" s="1974">
        <f t="shared" si="344"/>
        <v>0</v>
      </c>
      <c r="CF503" s="2033">
        <v>0</v>
      </c>
      <c r="CG503" s="2026">
        <v>0</v>
      </c>
      <c r="CH503" s="2009">
        <f t="shared" si="345"/>
        <v>0</v>
      </c>
      <c r="CI503" s="2031">
        <f t="shared" si="345"/>
        <v>0</v>
      </c>
      <c r="CJ503" s="1974">
        <f t="shared" si="345"/>
        <v>0</v>
      </c>
      <c r="CK503" s="2031">
        <f t="shared" si="345"/>
        <v>0</v>
      </c>
      <c r="CL503" s="2026">
        <v>1</v>
      </c>
      <c r="CM503" s="2026">
        <v>1</v>
      </c>
      <c r="CN503" s="2026">
        <v>1</v>
      </c>
      <c r="CO503" s="2026">
        <v>1</v>
      </c>
      <c r="CP503" s="2035"/>
      <c r="CQ503" s="2036"/>
      <c r="CR503" s="2036"/>
      <c r="CS503" s="2036"/>
      <c r="CT503" s="2036"/>
      <c r="CU503" s="2036"/>
      <c r="CV503" s="1973">
        <v>1</v>
      </c>
      <c r="CW503" s="1973">
        <v>2</v>
      </c>
      <c r="CX503" s="2037">
        <v>300</v>
      </c>
      <c r="CY503" s="2037">
        <v>300</v>
      </c>
      <c r="CZ503" s="2037">
        <v>300</v>
      </c>
      <c r="DA503" s="2037">
        <v>300</v>
      </c>
      <c r="DJ503" s="1976">
        <v>300</v>
      </c>
      <c r="DK503" s="1973">
        <v>300</v>
      </c>
      <c r="DL503" s="1973">
        <v>300</v>
      </c>
      <c r="DM503" s="1973">
        <v>300</v>
      </c>
      <c r="DO503" s="2027">
        <v>5</v>
      </c>
      <c r="DP503" s="2144">
        <v>7925.1</v>
      </c>
      <c r="DQ503" s="2145">
        <v>0.9</v>
      </c>
      <c r="DR503" s="2027">
        <v>0</v>
      </c>
      <c r="DS503" s="2124">
        <v>300</v>
      </c>
      <c r="DT503" s="2029">
        <v>300</v>
      </c>
      <c r="DU503" s="2029">
        <v>300</v>
      </c>
      <c r="DV503" s="2029">
        <v>300</v>
      </c>
      <c r="DW503" s="2124">
        <v>0</v>
      </c>
      <c r="DX503" s="2029">
        <v>0</v>
      </c>
      <c r="DY503" s="2029">
        <v>0</v>
      </c>
      <c r="DZ503" s="2029">
        <v>0</v>
      </c>
      <c r="EA503" s="2124">
        <v>1350</v>
      </c>
      <c r="EB503" s="2029">
        <v>1350</v>
      </c>
      <c r="EC503" s="2029">
        <v>1350</v>
      </c>
      <c r="ED503" s="2029">
        <v>1350</v>
      </c>
      <c r="EE503" s="2039">
        <f t="shared" si="296"/>
        <v>0</v>
      </c>
      <c r="EF503" s="2039">
        <f t="shared" si="296"/>
        <v>0</v>
      </c>
      <c r="EG503" s="2039">
        <f t="shared" si="296"/>
        <v>0</v>
      </c>
      <c r="EH503" s="2039">
        <f t="shared" si="296"/>
        <v>0</v>
      </c>
      <c r="EI503" s="2040">
        <f t="shared" si="333"/>
        <v>0</v>
      </c>
      <c r="EJ503" s="2040">
        <f t="shared" si="333"/>
        <v>0</v>
      </c>
      <c r="EK503" s="2040">
        <f t="shared" si="333"/>
        <v>0</v>
      </c>
      <c r="EL503" s="2040">
        <f t="shared" si="332"/>
        <v>0</v>
      </c>
      <c r="EM503" s="2040">
        <f t="shared" si="332"/>
        <v>0</v>
      </c>
      <c r="EN503" s="2040">
        <f t="shared" si="332"/>
        <v>0</v>
      </c>
      <c r="EO503" s="2040">
        <f t="shared" si="332"/>
        <v>0</v>
      </c>
      <c r="EP503" s="2040">
        <f t="shared" si="332"/>
        <v>0</v>
      </c>
      <c r="EQ503" s="2040">
        <f t="shared" si="332"/>
        <v>0</v>
      </c>
      <c r="ER503" s="2040">
        <f t="shared" si="332"/>
        <v>0</v>
      </c>
      <c r="ES503" s="2040">
        <f t="shared" si="332"/>
        <v>0</v>
      </c>
      <c r="ET503" s="2040">
        <f t="shared" si="332"/>
        <v>0</v>
      </c>
      <c r="EU503" s="2039">
        <f t="shared" si="297"/>
        <v>0</v>
      </c>
      <c r="EV503" s="2039">
        <f t="shared" si="298"/>
        <v>0</v>
      </c>
    </row>
    <row r="504" spans="1:152" x14ac:dyDescent="0.25">
      <c r="A504" s="2149" t="str">
        <f t="shared" si="342"/>
        <v>PTAC/PTHP less than 65,000 Btuh input, replacing an existing unit</v>
      </c>
      <c r="B504" s="1974" t="str">
        <f t="shared" si="342"/>
        <v>BPC30</v>
      </c>
      <c r="C504" s="2027">
        <f t="shared" si="341"/>
        <v>8</v>
      </c>
      <c r="D504" s="2144">
        <f t="shared" si="341"/>
        <v>358.62</v>
      </c>
      <c r="E504" s="2145">
        <f t="shared" si="341"/>
        <v>0.27</v>
      </c>
      <c r="F504" s="2027">
        <f t="shared" si="341"/>
        <v>0</v>
      </c>
      <c r="G504" s="1974" t="s">
        <v>2988</v>
      </c>
      <c r="H504" s="1974" t="s">
        <v>2988</v>
      </c>
      <c r="I504" s="2026">
        <v>0.9</v>
      </c>
      <c r="J504" s="2026">
        <v>0.9</v>
      </c>
      <c r="K504" s="2026">
        <v>0.9</v>
      </c>
      <c r="L504" s="2026">
        <v>0.9</v>
      </c>
      <c r="M504" s="2027">
        <f t="shared" si="322"/>
        <v>322.75800000000004</v>
      </c>
      <c r="N504" s="2027">
        <f t="shared" si="322"/>
        <v>322.75800000000004</v>
      </c>
      <c r="O504" s="2027">
        <f t="shared" si="322"/>
        <v>322.75800000000004</v>
      </c>
      <c r="P504" s="2027">
        <f t="shared" si="322"/>
        <v>322.75800000000004</v>
      </c>
      <c r="Q504" s="2026">
        <v>0.9</v>
      </c>
      <c r="R504" s="2026">
        <v>0.9</v>
      </c>
      <c r="S504" s="2026">
        <v>0.9</v>
      </c>
      <c r="T504" s="2026">
        <v>0.9</v>
      </c>
      <c r="U504" s="2028">
        <f t="shared" si="323"/>
        <v>0.24300000000000002</v>
      </c>
      <c r="V504" s="2028">
        <f t="shared" si="323"/>
        <v>0.24300000000000002</v>
      </c>
      <c r="W504" s="2028">
        <f t="shared" si="323"/>
        <v>0.24300000000000002</v>
      </c>
      <c r="X504" s="2028">
        <f t="shared" si="323"/>
        <v>0.24300000000000002</v>
      </c>
      <c r="Y504" s="2026">
        <v>0.9</v>
      </c>
      <c r="Z504" s="2026">
        <v>0.9</v>
      </c>
      <c r="AA504" s="2026">
        <v>0.9</v>
      </c>
      <c r="AB504" s="2026">
        <v>0.9</v>
      </c>
      <c r="AC504" s="2027">
        <f t="shared" si="324"/>
        <v>0</v>
      </c>
      <c r="AD504" s="2027">
        <f t="shared" si="324"/>
        <v>0</v>
      </c>
      <c r="AE504" s="2027">
        <f t="shared" si="324"/>
        <v>0</v>
      </c>
      <c r="AF504" s="2027">
        <f t="shared" si="324"/>
        <v>0</v>
      </c>
      <c r="AG504" s="2027">
        <v>0</v>
      </c>
      <c r="AH504" s="2028"/>
      <c r="AI504" s="2028"/>
      <c r="AJ504" s="2028"/>
      <c r="AK504" s="2027">
        <f t="shared" si="312"/>
        <v>0</v>
      </c>
      <c r="AL504" s="2027">
        <f t="shared" si="343"/>
        <v>0</v>
      </c>
      <c r="AM504" s="2027">
        <f t="shared" si="343"/>
        <v>0</v>
      </c>
      <c r="AN504" s="2027">
        <f t="shared" si="343"/>
        <v>0</v>
      </c>
      <c r="AO504" s="2027">
        <f t="shared" si="325"/>
        <v>0</v>
      </c>
      <c r="AP504" s="2027">
        <f t="shared" si="314"/>
        <v>0</v>
      </c>
      <c r="AQ504" s="2027">
        <f t="shared" si="314"/>
        <v>0</v>
      </c>
      <c r="AR504" s="2027">
        <f t="shared" si="314"/>
        <v>0</v>
      </c>
      <c r="AS504" s="2124">
        <f>AS43*1.5</f>
        <v>33</v>
      </c>
      <c r="AT504" s="2029">
        <f t="shared" si="315"/>
        <v>33</v>
      </c>
      <c r="AU504" s="2029">
        <f t="shared" si="315"/>
        <v>33</v>
      </c>
      <c r="AV504" s="2029">
        <f t="shared" si="315"/>
        <v>33</v>
      </c>
      <c r="AW504" s="2124">
        <f t="shared" si="316"/>
        <v>0</v>
      </c>
      <c r="AX504" s="2029">
        <f t="shared" si="335"/>
        <v>0</v>
      </c>
      <c r="AY504" s="2029">
        <f t="shared" si="335"/>
        <v>0</v>
      </c>
      <c r="AZ504" s="2029">
        <f t="shared" si="335"/>
        <v>0</v>
      </c>
      <c r="BA504" s="2124">
        <f t="shared" si="347"/>
        <v>84</v>
      </c>
      <c r="BB504" s="2029">
        <f t="shared" si="347"/>
        <v>84</v>
      </c>
      <c r="BC504" s="2029">
        <f t="shared" si="347"/>
        <v>84</v>
      </c>
      <c r="BD504" s="2029">
        <f t="shared" si="347"/>
        <v>84</v>
      </c>
      <c r="BE504" s="2030">
        <f t="shared" si="328"/>
        <v>0</v>
      </c>
      <c r="BF504" s="2030">
        <f t="shared" si="328"/>
        <v>0</v>
      </c>
      <c r="BG504" s="2030">
        <f t="shared" si="328"/>
        <v>0</v>
      </c>
      <c r="BH504" s="2030">
        <f t="shared" si="328"/>
        <v>0</v>
      </c>
      <c r="BI504" s="2030">
        <f t="shared" si="329"/>
        <v>0</v>
      </c>
      <c r="BJ504" s="2030">
        <f t="shared" si="329"/>
        <v>0</v>
      </c>
      <c r="BK504" s="2030">
        <f t="shared" si="329"/>
        <v>0</v>
      </c>
      <c r="BL504" s="2030">
        <f t="shared" si="329"/>
        <v>0</v>
      </c>
      <c r="BM504" s="2125"/>
      <c r="BN504" s="2125"/>
      <c r="BO504" s="2125"/>
      <c r="BP504" s="2125"/>
      <c r="BQ504" s="2125"/>
      <c r="BR504" s="2125"/>
      <c r="BS504" s="2125"/>
      <c r="BT504" s="2125"/>
      <c r="BU504" s="2029"/>
      <c r="BV504" s="2029"/>
      <c r="BW504" s="2029"/>
      <c r="BX504" s="2029"/>
      <c r="BY504" s="2029"/>
      <c r="BZ504" s="2032"/>
      <c r="CA504" s="1974">
        <f t="shared" si="344"/>
        <v>0</v>
      </c>
      <c r="CB504" s="1974">
        <f t="shared" si="344"/>
        <v>0</v>
      </c>
      <c r="CC504" s="1974">
        <f t="shared" si="344"/>
        <v>0</v>
      </c>
      <c r="CD504" s="1974">
        <f t="shared" si="344"/>
        <v>0</v>
      </c>
      <c r="CE504" s="1974">
        <f t="shared" si="344"/>
        <v>0</v>
      </c>
      <c r="CF504" s="2033">
        <v>0</v>
      </c>
      <c r="CG504" s="2026">
        <v>0</v>
      </c>
      <c r="CH504" s="2009">
        <f t="shared" si="345"/>
        <v>0</v>
      </c>
      <c r="CI504" s="2031">
        <f t="shared" si="345"/>
        <v>0</v>
      </c>
      <c r="CJ504" s="1974">
        <f t="shared" si="345"/>
        <v>0</v>
      </c>
      <c r="CK504" s="2031">
        <f t="shared" si="345"/>
        <v>0</v>
      </c>
      <c r="CL504" s="2026">
        <v>1</v>
      </c>
      <c r="CM504" s="2026">
        <v>1</v>
      </c>
      <c r="CN504" s="2026">
        <v>1</v>
      </c>
      <c r="CO504" s="2026">
        <v>1</v>
      </c>
      <c r="CP504" s="2035"/>
      <c r="CQ504" s="2036"/>
      <c r="CR504" s="2036"/>
      <c r="CS504" s="2036"/>
      <c r="CT504" s="2036"/>
      <c r="CU504" s="2036"/>
      <c r="CV504" s="1973">
        <v>1</v>
      </c>
      <c r="CW504" s="1973">
        <v>0</v>
      </c>
      <c r="CX504" s="2037">
        <v>33</v>
      </c>
      <c r="CY504" s="2037">
        <v>33</v>
      </c>
      <c r="CZ504" s="2037">
        <v>33</v>
      </c>
      <c r="DA504" s="2037">
        <v>33</v>
      </c>
      <c r="DJ504" s="1976">
        <v>33</v>
      </c>
      <c r="DK504" s="1973">
        <v>33</v>
      </c>
      <c r="DL504" s="1973">
        <v>33</v>
      </c>
      <c r="DM504" s="1973">
        <v>33</v>
      </c>
      <c r="DO504" s="2027">
        <v>15</v>
      </c>
      <c r="DP504" s="2144">
        <v>358.62</v>
      </c>
      <c r="DQ504" s="2145">
        <v>0.27</v>
      </c>
      <c r="DR504" s="2027">
        <v>0</v>
      </c>
      <c r="DS504" s="2124">
        <v>33</v>
      </c>
      <c r="DT504" s="2029">
        <v>33</v>
      </c>
      <c r="DU504" s="2029">
        <v>33</v>
      </c>
      <c r="DV504" s="2029">
        <v>33</v>
      </c>
      <c r="DW504" s="2124">
        <v>0</v>
      </c>
      <c r="DX504" s="2029">
        <v>0</v>
      </c>
      <c r="DY504" s="2029">
        <v>0</v>
      </c>
      <c r="DZ504" s="2029">
        <v>0</v>
      </c>
      <c r="EA504" s="2124">
        <v>84</v>
      </c>
      <c r="EB504" s="2029">
        <v>84</v>
      </c>
      <c r="EC504" s="2029">
        <v>84</v>
      </c>
      <c r="ED504" s="2029">
        <v>84</v>
      </c>
      <c r="EE504" s="2039">
        <f t="shared" si="296"/>
        <v>-7</v>
      </c>
      <c r="EF504" s="2039">
        <f t="shared" si="296"/>
        <v>0</v>
      </c>
      <c r="EG504" s="2039">
        <f t="shared" si="296"/>
        <v>0</v>
      </c>
      <c r="EH504" s="2039">
        <f t="shared" si="296"/>
        <v>0</v>
      </c>
      <c r="EI504" s="2040">
        <f t="shared" si="333"/>
        <v>0</v>
      </c>
      <c r="EJ504" s="2040">
        <f t="shared" si="333"/>
        <v>0</v>
      </c>
      <c r="EK504" s="2040">
        <f t="shared" si="333"/>
        <v>0</v>
      </c>
      <c r="EL504" s="2040">
        <f t="shared" si="332"/>
        <v>0</v>
      </c>
      <c r="EM504" s="2040">
        <f t="shared" si="332"/>
        <v>0</v>
      </c>
      <c r="EN504" s="2040">
        <f t="shared" si="332"/>
        <v>0</v>
      </c>
      <c r="EO504" s="2040">
        <f t="shared" si="332"/>
        <v>0</v>
      </c>
      <c r="EP504" s="2040">
        <f t="shared" si="332"/>
        <v>0</v>
      </c>
      <c r="EQ504" s="2040">
        <f t="shared" si="332"/>
        <v>0</v>
      </c>
      <c r="ER504" s="2040">
        <f t="shared" si="332"/>
        <v>0</v>
      </c>
      <c r="ES504" s="2040">
        <f t="shared" si="332"/>
        <v>0</v>
      </c>
      <c r="ET504" s="2040">
        <f t="shared" si="332"/>
        <v>0</v>
      </c>
      <c r="EU504" s="2039">
        <f t="shared" si="297"/>
        <v>-7</v>
      </c>
      <c r="EV504" s="2039">
        <f t="shared" si="298"/>
        <v>-7</v>
      </c>
    </row>
    <row r="505" spans="1:152" x14ac:dyDescent="0.25">
      <c r="A505" s="2150" t="str">
        <f t="shared" si="342"/>
        <v>Beverage Machine Control</v>
      </c>
      <c r="B505" s="1974" t="str">
        <f t="shared" si="342"/>
        <v>BPR9</v>
      </c>
      <c r="C505" s="2027">
        <f t="shared" si="341"/>
        <v>5</v>
      </c>
      <c r="D505" s="2144">
        <f t="shared" si="341"/>
        <v>1411.33</v>
      </c>
      <c r="E505" s="2145">
        <f t="shared" si="341"/>
        <v>0</v>
      </c>
      <c r="F505" s="2027">
        <f t="shared" si="341"/>
        <v>0</v>
      </c>
      <c r="G505" s="1974" t="s">
        <v>2988</v>
      </c>
      <c r="H505" s="1974" t="s">
        <v>2988</v>
      </c>
      <c r="I505" s="2026">
        <v>0.9</v>
      </c>
      <c r="J505" s="2026">
        <v>0.9</v>
      </c>
      <c r="K505" s="2026">
        <v>0.9</v>
      </c>
      <c r="L505" s="2026">
        <v>0.9</v>
      </c>
      <c r="M505" s="2027">
        <f t="shared" si="322"/>
        <v>1270.1969999999999</v>
      </c>
      <c r="N505" s="2027">
        <f t="shared" si="322"/>
        <v>1270.1969999999999</v>
      </c>
      <c r="O505" s="2027">
        <f t="shared" si="322"/>
        <v>1270.1969999999999</v>
      </c>
      <c r="P505" s="2027">
        <f t="shared" si="322"/>
        <v>1270.1969999999999</v>
      </c>
      <c r="Q505" s="2026">
        <v>0.9</v>
      </c>
      <c r="R505" s="2026">
        <v>0.9</v>
      </c>
      <c r="S505" s="2026">
        <v>0.9</v>
      </c>
      <c r="T505" s="2026">
        <v>0.9</v>
      </c>
      <c r="U505" s="2028">
        <f t="shared" si="323"/>
        <v>0</v>
      </c>
      <c r="V505" s="2028">
        <f t="shared" si="323"/>
        <v>0</v>
      </c>
      <c r="W505" s="2028">
        <f t="shared" si="323"/>
        <v>0</v>
      </c>
      <c r="X505" s="2028">
        <f t="shared" si="323"/>
        <v>0</v>
      </c>
      <c r="Y505" s="2026">
        <v>0.9</v>
      </c>
      <c r="Z505" s="2026">
        <v>0.9</v>
      </c>
      <c r="AA505" s="2026">
        <v>0.9</v>
      </c>
      <c r="AB505" s="2026">
        <v>0.9</v>
      </c>
      <c r="AC505" s="2027">
        <f t="shared" si="324"/>
        <v>0</v>
      </c>
      <c r="AD505" s="2027">
        <f t="shared" si="324"/>
        <v>0</v>
      </c>
      <c r="AE505" s="2027">
        <f t="shared" si="324"/>
        <v>0</v>
      </c>
      <c r="AF505" s="2027">
        <f t="shared" si="324"/>
        <v>0</v>
      </c>
      <c r="AG505" s="2027">
        <v>1</v>
      </c>
      <c r="AH505" s="2027">
        <v>1</v>
      </c>
      <c r="AI505" s="2027">
        <v>1</v>
      </c>
      <c r="AJ505" s="2027">
        <v>1</v>
      </c>
      <c r="AK505" s="2027">
        <f t="shared" si="312"/>
        <v>1270.1969999999999</v>
      </c>
      <c r="AL505" s="2027">
        <f t="shared" si="343"/>
        <v>1270.1969999999999</v>
      </c>
      <c r="AM505" s="2027">
        <f t="shared" si="343"/>
        <v>1270.1969999999999</v>
      </c>
      <c r="AN505" s="2027">
        <f t="shared" si="343"/>
        <v>1270.1969999999999</v>
      </c>
      <c r="AO505" s="2027">
        <f t="shared" si="325"/>
        <v>0</v>
      </c>
      <c r="AP505" s="2027">
        <f t="shared" si="314"/>
        <v>0</v>
      </c>
      <c r="AQ505" s="2027">
        <f t="shared" si="314"/>
        <v>0</v>
      </c>
      <c r="AR505" s="2027">
        <f t="shared" si="314"/>
        <v>0</v>
      </c>
      <c r="AS505" s="2124">
        <f>AS44*1</f>
        <v>150</v>
      </c>
      <c r="AT505" s="2029">
        <f t="shared" si="315"/>
        <v>150</v>
      </c>
      <c r="AU505" s="2029">
        <f t="shared" si="315"/>
        <v>150</v>
      </c>
      <c r="AV505" s="2029">
        <f t="shared" si="315"/>
        <v>150</v>
      </c>
      <c r="AW505" s="2124">
        <f t="shared" si="316"/>
        <v>0</v>
      </c>
      <c r="AX505" s="2029">
        <f t="shared" si="335"/>
        <v>0</v>
      </c>
      <c r="AY505" s="2029">
        <f t="shared" si="335"/>
        <v>0</v>
      </c>
      <c r="AZ505" s="2029">
        <f t="shared" si="335"/>
        <v>0</v>
      </c>
      <c r="BA505" s="2124">
        <f t="shared" si="347"/>
        <v>180</v>
      </c>
      <c r="BB505" s="2029">
        <f t="shared" si="347"/>
        <v>180</v>
      </c>
      <c r="BC505" s="2029">
        <f t="shared" si="347"/>
        <v>180</v>
      </c>
      <c r="BD505" s="2029">
        <f t="shared" si="347"/>
        <v>180</v>
      </c>
      <c r="BE505" s="2030">
        <f t="shared" si="328"/>
        <v>150</v>
      </c>
      <c r="BF505" s="2030">
        <f t="shared" si="328"/>
        <v>150</v>
      </c>
      <c r="BG505" s="2030">
        <f t="shared" si="328"/>
        <v>150</v>
      </c>
      <c r="BH505" s="2030">
        <f t="shared" si="328"/>
        <v>150</v>
      </c>
      <c r="BI505" s="2030">
        <f t="shared" si="329"/>
        <v>0</v>
      </c>
      <c r="BJ505" s="2030">
        <f t="shared" si="329"/>
        <v>0</v>
      </c>
      <c r="BK505" s="2030">
        <f t="shared" si="329"/>
        <v>0</v>
      </c>
      <c r="BL505" s="2030">
        <f t="shared" si="329"/>
        <v>0</v>
      </c>
      <c r="BM505" s="2125"/>
      <c r="BN505" s="2125"/>
      <c r="BO505" s="2125"/>
      <c r="BP505" s="2125"/>
      <c r="BQ505" s="2125"/>
      <c r="BR505" s="2125"/>
      <c r="BS505" s="2125"/>
      <c r="BT505" s="2125"/>
      <c r="BU505" s="2029"/>
      <c r="BV505" s="2029"/>
      <c r="BW505" s="2029"/>
      <c r="BX505" s="2029"/>
      <c r="BY505" s="2029"/>
      <c r="BZ505" s="2032"/>
      <c r="CA505" s="1974">
        <f t="shared" si="344"/>
        <v>0</v>
      </c>
      <c r="CB505" s="1974">
        <f t="shared" si="344"/>
        <v>0</v>
      </c>
      <c r="CC505" s="1974">
        <f t="shared" si="344"/>
        <v>0</v>
      </c>
      <c r="CD505" s="1974">
        <f t="shared" si="344"/>
        <v>0</v>
      </c>
      <c r="CE505" s="1974">
        <f t="shared" si="344"/>
        <v>0</v>
      </c>
      <c r="CF505" s="2033">
        <v>5.3098512598456253E-6</v>
      </c>
      <c r="CG505" s="2026">
        <v>0</v>
      </c>
      <c r="CH505" s="2009">
        <f t="shared" si="345"/>
        <v>0</v>
      </c>
      <c r="CI505" s="2031">
        <f t="shared" si="345"/>
        <v>0</v>
      </c>
      <c r="CJ505" s="1974">
        <f t="shared" si="345"/>
        <v>0</v>
      </c>
      <c r="CK505" s="2031">
        <f t="shared" si="345"/>
        <v>0</v>
      </c>
      <c r="CL505" s="2026">
        <v>1</v>
      </c>
      <c r="CM505" s="2026">
        <v>1</v>
      </c>
      <c r="CN505" s="2026">
        <v>1</v>
      </c>
      <c r="CO505" s="2026">
        <v>1</v>
      </c>
      <c r="CP505" s="2035"/>
      <c r="CQ505" s="2036"/>
      <c r="CR505" s="2036"/>
      <c r="CS505" s="2036"/>
      <c r="CT505" s="2036"/>
      <c r="CU505" s="2036"/>
      <c r="CV505" s="1973">
        <v>1</v>
      </c>
      <c r="CW505" s="1973">
        <v>0</v>
      </c>
      <c r="CX505" s="2037">
        <v>150</v>
      </c>
      <c r="CY505" s="2037">
        <v>150</v>
      </c>
      <c r="CZ505" s="2037">
        <v>150</v>
      </c>
      <c r="DA505" s="2037">
        <v>150</v>
      </c>
      <c r="DJ505" s="1976">
        <v>150</v>
      </c>
      <c r="DK505" s="1973">
        <v>150</v>
      </c>
      <c r="DL505" s="1973">
        <v>150</v>
      </c>
      <c r="DM505" s="1973">
        <v>150</v>
      </c>
      <c r="DO505" s="2027">
        <v>5</v>
      </c>
      <c r="DP505" s="2144">
        <v>1411.33</v>
      </c>
      <c r="DQ505" s="2145">
        <v>0</v>
      </c>
      <c r="DR505" s="2027">
        <v>0</v>
      </c>
      <c r="DS505" s="2124">
        <v>150</v>
      </c>
      <c r="DT505" s="2029">
        <v>150</v>
      </c>
      <c r="DU505" s="2029">
        <v>150</v>
      </c>
      <c r="DV505" s="2029">
        <v>150</v>
      </c>
      <c r="DW505" s="2124">
        <v>0</v>
      </c>
      <c r="DX505" s="2029">
        <v>0</v>
      </c>
      <c r="DY505" s="2029">
        <v>0</v>
      </c>
      <c r="DZ505" s="2029">
        <v>0</v>
      </c>
      <c r="EA505" s="2124">
        <v>180</v>
      </c>
      <c r="EB505" s="2029">
        <v>180</v>
      </c>
      <c r="EC505" s="2029">
        <v>180</v>
      </c>
      <c r="ED505" s="2029">
        <v>180</v>
      </c>
      <c r="EE505" s="2039">
        <f t="shared" si="296"/>
        <v>0</v>
      </c>
      <c r="EF505" s="2039">
        <f t="shared" si="296"/>
        <v>0</v>
      </c>
      <c r="EG505" s="2039">
        <f t="shared" si="296"/>
        <v>0</v>
      </c>
      <c r="EH505" s="2039">
        <f t="shared" si="296"/>
        <v>0</v>
      </c>
      <c r="EI505" s="2040">
        <f t="shared" si="333"/>
        <v>0</v>
      </c>
      <c r="EJ505" s="2040">
        <f t="shared" si="333"/>
        <v>0</v>
      </c>
      <c r="EK505" s="2040">
        <f t="shared" si="333"/>
        <v>0</v>
      </c>
      <c r="EL505" s="2040">
        <f t="shared" si="332"/>
        <v>0</v>
      </c>
      <c r="EM505" s="2040">
        <f t="shared" si="332"/>
        <v>0</v>
      </c>
      <c r="EN505" s="2040">
        <f t="shared" si="332"/>
        <v>0</v>
      </c>
      <c r="EO505" s="2040">
        <f t="shared" si="332"/>
        <v>0</v>
      </c>
      <c r="EP505" s="2040">
        <f t="shared" si="332"/>
        <v>0</v>
      </c>
      <c r="EQ505" s="2040">
        <f t="shared" si="332"/>
        <v>0</v>
      </c>
      <c r="ER505" s="2040">
        <f t="shared" si="332"/>
        <v>0</v>
      </c>
      <c r="ES505" s="2040">
        <f t="shared" si="332"/>
        <v>0</v>
      </c>
      <c r="ET505" s="2040">
        <f t="shared" si="332"/>
        <v>0</v>
      </c>
      <c r="EU505" s="2039">
        <f t="shared" si="297"/>
        <v>0</v>
      </c>
      <c r="EV505" s="2039">
        <f t="shared" si="298"/>
        <v>0</v>
      </c>
    </row>
    <row r="506" spans="1:152" x14ac:dyDescent="0.25">
      <c r="A506" s="2150" t="str">
        <f t="shared" si="342"/>
        <v>Snack Machine Control</v>
      </c>
      <c r="B506" s="1974" t="str">
        <f t="shared" si="342"/>
        <v>BPR10</v>
      </c>
      <c r="C506" s="2027">
        <f t="shared" si="341"/>
        <v>5</v>
      </c>
      <c r="D506" s="2144">
        <f t="shared" si="341"/>
        <v>342.75</v>
      </c>
      <c r="E506" s="2145">
        <f t="shared" si="341"/>
        <v>0</v>
      </c>
      <c r="F506" s="2027">
        <f t="shared" si="341"/>
        <v>0</v>
      </c>
      <c r="G506" s="1974" t="s">
        <v>2988</v>
      </c>
      <c r="H506" s="1974" t="s">
        <v>2988</v>
      </c>
      <c r="I506" s="2026">
        <v>0.9</v>
      </c>
      <c r="J506" s="2026">
        <v>0.9</v>
      </c>
      <c r="K506" s="2026">
        <v>0.9</v>
      </c>
      <c r="L506" s="2026">
        <v>0.9</v>
      </c>
      <c r="M506" s="2027">
        <f t="shared" si="322"/>
        <v>308.47500000000002</v>
      </c>
      <c r="N506" s="2027">
        <f t="shared" si="322"/>
        <v>308.47500000000002</v>
      </c>
      <c r="O506" s="2027">
        <f t="shared" si="322"/>
        <v>308.47500000000002</v>
      </c>
      <c r="P506" s="2027">
        <f t="shared" si="322"/>
        <v>308.47500000000002</v>
      </c>
      <c r="Q506" s="2026">
        <v>0.9</v>
      </c>
      <c r="R506" s="2026">
        <v>0.9</v>
      </c>
      <c r="S506" s="2026">
        <v>0.9</v>
      </c>
      <c r="T506" s="2026">
        <v>0.9</v>
      </c>
      <c r="U506" s="2028">
        <f t="shared" si="323"/>
        <v>0</v>
      </c>
      <c r="V506" s="2028">
        <f t="shared" si="323"/>
        <v>0</v>
      </c>
      <c r="W506" s="2028">
        <f t="shared" si="323"/>
        <v>0</v>
      </c>
      <c r="X506" s="2028">
        <f t="shared" si="323"/>
        <v>0</v>
      </c>
      <c r="Y506" s="2026">
        <v>0.9</v>
      </c>
      <c r="Z506" s="2026">
        <v>0.9</v>
      </c>
      <c r="AA506" s="2026">
        <v>0.9</v>
      </c>
      <c r="AB506" s="2026">
        <v>0.9</v>
      </c>
      <c r="AC506" s="2027">
        <f t="shared" si="324"/>
        <v>0</v>
      </c>
      <c r="AD506" s="2027">
        <f t="shared" si="324"/>
        <v>0</v>
      </c>
      <c r="AE506" s="2027">
        <f t="shared" si="324"/>
        <v>0</v>
      </c>
      <c r="AF506" s="2027">
        <f t="shared" si="324"/>
        <v>0</v>
      </c>
      <c r="AG506" s="2027">
        <v>1</v>
      </c>
      <c r="AH506" s="2027">
        <v>1</v>
      </c>
      <c r="AI506" s="2027">
        <v>1</v>
      </c>
      <c r="AJ506" s="2027">
        <v>1</v>
      </c>
      <c r="AK506" s="2027">
        <f t="shared" si="312"/>
        <v>308.47500000000002</v>
      </c>
      <c r="AL506" s="2027">
        <f t="shared" si="343"/>
        <v>308.47500000000002</v>
      </c>
      <c r="AM506" s="2027">
        <f t="shared" si="343"/>
        <v>308.47500000000002</v>
      </c>
      <c r="AN506" s="2027">
        <f t="shared" si="343"/>
        <v>308.47500000000002</v>
      </c>
      <c r="AO506" s="2027">
        <f t="shared" si="325"/>
        <v>0</v>
      </c>
      <c r="AP506" s="2027">
        <f t="shared" si="314"/>
        <v>0</v>
      </c>
      <c r="AQ506" s="2027">
        <f t="shared" si="314"/>
        <v>0</v>
      </c>
      <c r="AR506" s="2027">
        <f t="shared" si="314"/>
        <v>0</v>
      </c>
      <c r="AS506" s="2124">
        <f>AS45*1</f>
        <v>50</v>
      </c>
      <c r="AT506" s="2029">
        <f t="shared" si="315"/>
        <v>50</v>
      </c>
      <c r="AU506" s="2029">
        <f t="shared" si="315"/>
        <v>50</v>
      </c>
      <c r="AV506" s="2029">
        <f t="shared" si="315"/>
        <v>50</v>
      </c>
      <c r="AW506" s="2124">
        <f t="shared" si="316"/>
        <v>0</v>
      </c>
      <c r="AX506" s="2029">
        <f t="shared" si="335"/>
        <v>0</v>
      </c>
      <c r="AY506" s="2029">
        <f t="shared" si="335"/>
        <v>0</v>
      </c>
      <c r="AZ506" s="2029">
        <f t="shared" si="335"/>
        <v>0</v>
      </c>
      <c r="BA506" s="2124">
        <f t="shared" si="347"/>
        <v>80</v>
      </c>
      <c r="BB506" s="2029">
        <f t="shared" si="347"/>
        <v>80</v>
      </c>
      <c r="BC506" s="2029">
        <f t="shared" si="347"/>
        <v>80</v>
      </c>
      <c r="BD506" s="2029">
        <f t="shared" si="347"/>
        <v>80</v>
      </c>
      <c r="BE506" s="2030">
        <f t="shared" si="328"/>
        <v>50</v>
      </c>
      <c r="BF506" s="2030">
        <f t="shared" si="328"/>
        <v>50</v>
      </c>
      <c r="BG506" s="2030">
        <f t="shared" si="328"/>
        <v>50</v>
      </c>
      <c r="BH506" s="2030">
        <f t="shared" si="328"/>
        <v>50</v>
      </c>
      <c r="BI506" s="2030">
        <f t="shared" si="329"/>
        <v>0</v>
      </c>
      <c r="BJ506" s="2030">
        <f t="shared" si="329"/>
        <v>0</v>
      </c>
      <c r="BK506" s="2030">
        <f t="shared" si="329"/>
        <v>0</v>
      </c>
      <c r="BL506" s="2030">
        <f t="shared" si="329"/>
        <v>0</v>
      </c>
      <c r="BM506" s="2125"/>
      <c r="BN506" s="2125"/>
      <c r="BO506" s="2125"/>
      <c r="BP506" s="2125"/>
      <c r="BQ506" s="2125"/>
      <c r="BR506" s="2125"/>
      <c r="BS506" s="2125"/>
      <c r="BT506" s="2125"/>
      <c r="BU506" s="2029"/>
      <c r="BV506" s="2029"/>
      <c r="BW506" s="2029"/>
      <c r="BX506" s="2029"/>
      <c r="BY506" s="2029"/>
      <c r="BZ506" s="2032"/>
      <c r="CA506" s="1974">
        <f t="shared" si="344"/>
        <v>0</v>
      </c>
      <c r="CB506" s="1974">
        <f t="shared" si="344"/>
        <v>0</v>
      </c>
      <c r="CC506" s="1974">
        <f t="shared" si="344"/>
        <v>0</v>
      </c>
      <c r="CD506" s="1974">
        <f t="shared" si="344"/>
        <v>0</v>
      </c>
      <c r="CE506" s="1974">
        <f t="shared" si="344"/>
        <v>0</v>
      </c>
      <c r="CF506" s="2033">
        <v>1.2895293937718949E-6</v>
      </c>
      <c r="CG506" s="2026">
        <v>0</v>
      </c>
      <c r="CH506" s="2009">
        <f t="shared" si="345"/>
        <v>0</v>
      </c>
      <c r="CI506" s="2031">
        <f t="shared" si="345"/>
        <v>0</v>
      </c>
      <c r="CJ506" s="1974">
        <f t="shared" si="345"/>
        <v>0</v>
      </c>
      <c r="CK506" s="2031">
        <f t="shared" si="345"/>
        <v>0</v>
      </c>
      <c r="CL506" s="2026">
        <v>1</v>
      </c>
      <c r="CM506" s="2026">
        <v>1</v>
      </c>
      <c r="CN506" s="2026">
        <v>1</v>
      </c>
      <c r="CO506" s="2026">
        <v>1</v>
      </c>
      <c r="CP506" s="2035"/>
      <c r="CQ506" s="2036"/>
      <c r="CR506" s="2036"/>
      <c r="CS506" s="2036"/>
      <c r="CT506" s="2036"/>
      <c r="CU506" s="2036"/>
      <c r="CV506" s="1973">
        <v>1</v>
      </c>
      <c r="CW506" s="1973">
        <v>0</v>
      </c>
      <c r="CX506" s="2037">
        <v>50</v>
      </c>
      <c r="CY506" s="2037">
        <v>50</v>
      </c>
      <c r="CZ506" s="2037">
        <v>50</v>
      </c>
      <c r="DA506" s="2037">
        <v>50</v>
      </c>
      <c r="DJ506" s="1976">
        <v>50</v>
      </c>
      <c r="DK506" s="1973">
        <v>50</v>
      </c>
      <c r="DL506" s="1973">
        <v>50</v>
      </c>
      <c r="DM506" s="1973">
        <v>50</v>
      </c>
      <c r="DO506" s="2027">
        <v>5</v>
      </c>
      <c r="DP506" s="2144">
        <v>342.75</v>
      </c>
      <c r="DQ506" s="2145">
        <v>0</v>
      </c>
      <c r="DR506" s="2027">
        <v>0</v>
      </c>
      <c r="DS506" s="2124">
        <v>50</v>
      </c>
      <c r="DT506" s="2029">
        <v>50</v>
      </c>
      <c r="DU506" s="2029">
        <v>50</v>
      </c>
      <c r="DV506" s="2029">
        <v>50</v>
      </c>
      <c r="DW506" s="2124">
        <v>0</v>
      </c>
      <c r="DX506" s="2029">
        <v>0</v>
      </c>
      <c r="DY506" s="2029">
        <v>0</v>
      </c>
      <c r="DZ506" s="2029">
        <v>0</v>
      </c>
      <c r="EA506" s="2124">
        <v>80</v>
      </c>
      <c r="EB506" s="2029">
        <v>80</v>
      </c>
      <c r="EC506" s="2029">
        <v>80</v>
      </c>
      <c r="ED506" s="2029">
        <v>80</v>
      </c>
      <c r="EE506" s="2039">
        <f t="shared" si="296"/>
        <v>0</v>
      </c>
      <c r="EF506" s="2039">
        <f t="shared" si="296"/>
        <v>0</v>
      </c>
      <c r="EG506" s="2039">
        <f t="shared" si="296"/>
        <v>0</v>
      </c>
      <c r="EH506" s="2039">
        <f t="shared" si="296"/>
        <v>0</v>
      </c>
      <c r="EI506" s="2040">
        <f t="shared" si="333"/>
        <v>0</v>
      </c>
      <c r="EJ506" s="2040">
        <f t="shared" si="333"/>
        <v>0</v>
      </c>
      <c r="EK506" s="2040">
        <f t="shared" si="333"/>
        <v>0</v>
      </c>
      <c r="EL506" s="2040">
        <f t="shared" si="332"/>
        <v>0</v>
      </c>
      <c r="EM506" s="2040">
        <f t="shared" si="332"/>
        <v>0</v>
      </c>
      <c r="EN506" s="2040">
        <f t="shared" si="332"/>
        <v>0</v>
      </c>
      <c r="EO506" s="2040">
        <f t="shared" si="332"/>
        <v>0</v>
      </c>
      <c r="EP506" s="2040">
        <f t="shared" si="332"/>
        <v>0</v>
      </c>
      <c r="EQ506" s="2040">
        <f t="shared" si="332"/>
        <v>0</v>
      </c>
      <c r="ER506" s="2040">
        <f t="shared" si="332"/>
        <v>0</v>
      </c>
      <c r="ES506" s="2040">
        <f t="shared" si="332"/>
        <v>0</v>
      </c>
      <c r="ET506" s="2040">
        <f t="shared" si="332"/>
        <v>0</v>
      </c>
      <c r="EU506" s="2039">
        <f t="shared" si="297"/>
        <v>0</v>
      </c>
      <c r="EV506" s="2039">
        <f t="shared" si="298"/>
        <v>0</v>
      </c>
    </row>
    <row r="507" spans="1:152" x14ac:dyDescent="0.25">
      <c r="A507" s="2149" t="str">
        <f t="shared" si="342"/>
        <v>Automatic Door Closer for Walk-in Freezer/Cooler (back access door) or Walk-in Cooler Door, or Walk-in Freezer Door</v>
      </c>
      <c r="B507" s="1974" t="str">
        <f t="shared" si="342"/>
        <v>BPR7</v>
      </c>
      <c r="C507" s="2027">
        <f t="shared" si="341"/>
        <v>8</v>
      </c>
      <c r="D507" s="2144">
        <f t="shared" si="341"/>
        <v>1625</v>
      </c>
      <c r="E507" s="2145">
        <f t="shared" si="341"/>
        <v>0.223</v>
      </c>
      <c r="F507" s="2027">
        <f t="shared" si="341"/>
        <v>0</v>
      </c>
      <c r="G507" s="1974" t="s">
        <v>2988</v>
      </c>
      <c r="H507" s="1974" t="s">
        <v>2988</v>
      </c>
      <c r="I507" s="2026">
        <v>0.9</v>
      </c>
      <c r="J507" s="2026">
        <v>0.9</v>
      </c>
      <c r="K507" s="2026">
        <v>0.9</v>
      </c>
      <c r="L507" s="2026">
        <v>0.9</v>
      </c>
      <c r="M507" s="2027">
        <f t="shared" si="322"/>
        <v>1462.5</v>
      </c>
      <c r="N507" s="2027">
        <f t="shared" si="322"/>
        <v>1462.5</v>
      </c>
      <c r="O507" s="2027">
        <f t="shared" si="322"/>
        <v>1462.5</v>
      </c>
      <c r="P507" s="2027">
        <f t="shared" si="322"/>
        <v>1462.5</v>
      </c>
      <c r="Q507" s="2026">
        <v>0.9</v>
      </c>
      <c r="R507" s="2026">
        <v>0.9</v>
      </c>
      <c r="S507" s="2026">
        <v>0.9</v>
      </c>
      <c r="T507" s="2026">
        <v>0.9</v>
      </c>
      <c r="U507" s="2028">
        <f t="shared" si="323"/>
        <v>0.20070000000000002</v>
      </c>
      <c r="V507" s="2028">
        <f t="shared" si="323"/>
        <v>0.20070000000000002</v>
      </c>
      <c r="W507" s="2028">
        <f t="shared" si="323"/>
        <v>0.20070000000000002</v>
      </c>
      <c r="X507" s="2028">
        <f t="shared" si="323"/>
        <v>0.20070000000000002</v>
      </c>
      <c r="Y507" s="2026">
        <v>0.9</v>
      </c>
      <c r="Z507" s="2026">
        <v>0.9</v>
      </c>
      <c r="AA507" s="2026">
        <v>0.9</v>
      </c>
      <c r="AB507" s="2026">
        <v>0.9</v>
      </c>
      <c r="AC507" s="2027">
        <f t="shared" si="324"/>
        <v>0</v>
      </c>
      <c r="AD507" s="2027">
        <f t="shared" si="324"/>
        <v>0</v>
      </c>
      <c r="AE507" s="2027">
        <f t="shared" si="324"/>
        <v>0</v>
      </c>
      <c r="AF507" s="2027">
        <f t="shared" si="324"/>
        <v>0</v>
      </c>
      <c r="AG507" s="2027">
        <v>0</v>
      </c>
      <c r="AH507" s="2028"/>
      <c r="AI507" s="2028"/>
      <c r="AJ507" s="2028"/>
      <c r="AK507" s="2027">
        <f t="shared" si="312"/>
        <v>0</v>
      </c>
      <c r="AL507" s="2027">
        <f t="shared" si="343"/>
        <v>0</v>
      </c>
      <c r="AM507" s="2027">
        <f t="shared" si="343"/>
        <v>0</v>
      </c>
      <c r="AN507" s="2027">
        <f t="shared" si="343"/>
        <v>0</v>
      </c>
      <c r="AO507" s="2027">
        <f t="shared" si="325"/>
        <v>0</v>
      </c>
      <c r="AP507" s="2027">
        <f t="shared" si="314"/>
        <v>0</v>
      </c>
      <c r="AQ507" s="2027">
        <f t="shared" si="314"/>
        <v>0</v>
      </c>
      <c r="AR507" s="2027">
        <f t="shared" si="314"/>
        <v>0</v>
      </c>
      <c r="AS507" s="2124">
        <f t="shared" ref="AS507:AS514" si="348">AS46*1.5</f>
        <v>45</v>
      </c>
      <c r="AT507" s="2029">
        <f t="shared" si="315"/>
        <v>45</v>
      </c>
      <c r="AU507" s="2029">
        <f t="shared" si="315"/>
        <v>45</v>
      </c>
      <c r="AV507" s="2029">
        <f t="shared" si="315"/>
        <v>45</v>
      </c>
      <c r="AW507" s="2124">
        <f t="shared" si="316"/>
        <v>0</v>
      </c>
      <c r="AX507" s="2029">
        <f t="shared" si="335"/>
        <v>0</v>
      </c>
      <c r="AY507" s="2029">
        <f t="shared" si="335"/>
        <v>0</v>
      </c>
      <c r="AZ507" s="2029">
        <f t="shared" si="335"/>
        <v>0</v>
      </c>
      <c r="BA507" s="2124">
        <f t="shared" si="347"/>
        <v>157</v>
      </c>
      <c r="BB507" s="2029">
        <f t="shared" si="347"/>
        <v>157</v>
      </c>
      <c r="BC507" s="2029">
        <f t="shared" si="347"/>
        <v>157</v>
      </c>
      <c r="BD507" s="2029">
        <f t="shared" si="347"/>
        <v>157</v>
      </c>
      <c r="BE507" s="2030">
        <f t="shared" si="328"/>
        <v>0</v>
      </c>
      <c r="BF507" s="2030">
        <f t="shared" si="328"/>
        <v>0</v>
      </c>
      <c r="BG507" s="2030">
        <f t="shared" si="328"/>
        <v>0</v>
      </c>
      <c r="BH507" s="2030">
        <f t="shared" si="328"/>
        <v>0</v>
      </c>
      <c r="BI507" s="2030">
        <f t="shared" si="329"/>
        <v>0</v>
      </c>
      <c r="BJ507" s="2030">
        <f t="shared" si="329"/>
        <v>0</v>
      </c>
      <c r="BK507" s="2030">
        <f t="shared" si="329"/>
        <v>0</v>
      </c>
      <c r="BL507" s="2030">
        <f t="shared" si="329"/>
        <v>0</v>
      </c>
      <c r="BM507" s="2125"/>
      <c r="BN507" s="2125"/>
      <c r="BO507" s="2125"/>
      <c r="BP507" s="2125"/>
      <c r="BQ507" s="2125"/>
      <c r="BR507" s="2125"/>
      <c r="BS507" s="2125"/>
      <c r="BT507" s="2125"/>
      <c r="BU507" s="2029"/>
      <c r="BV507" s="2029"/>
      <c r="BW507" s="2029"/>
      <c r="BX507" s="2029"/>
      <c r="BY507" s="2029"/>
      <c r="BZ507" s="2032"/>
      <c r="CA507" s="1974">
        <f t="shared" si="344"/>
        <v>0</v>
      </c>
      <c r="CB507" s="1974">
        <f t="shared" si="344"/>
        <v>0</v>
      </c>
      <c r="CC507" s="1974">
        <f t="shared" si="344"/>
        <v>0</v>
      </c>
      <c r="CD507" s="1974">
        <f t="shared" si="344"/>
        <v>0</v>
      </c>
      <c r="CE507" s="1974">
        <f t="shared" si="344"/>
        <v>0</v>
      </c>
      <c r="CF507" s="2033">
        <v>0</v>
      </c>
      <c r="CG507" s="2026">
        <v>0</v>
      </c>
      <c r="CH507" s="2009">
        <f t="shared" si="345"/>
        <v>0</v>
      </c>
      <c r="CI507" s="2031">
        <f t="shared" si="345"/>
        <v>0</v>
      </c>
      <c r="CJ507" s="1974">
        <f t="shared" si="345"/>
        <v>0</v>
      </c>
      <c r="CK507" s="2031">
        <f t="shared" si="345"/>
        <v>0</v>
      </c>
      <c r="CL507" s="2026">
        <v>1</v>
      </c>
      <c r="CM507" s="2026">
        <v>1</v>
      </c>
      <c r="CN507" s="2026">
        <v>1</v>
      </c>
      <c r="CO507" s="2026">
        <v>1</v>
      </c>
      <c r="CP507" s="2035"/>
      <c r="CQ507" s="2036"/>
      <c r="CR507" s="2036"/>
      <c r="CS507" s="2036"/>
      <c r="CT507" s="2036"/>
      <c r="CU507" s="2036"/>
      <c r="CV507" s="1973">
        <v>1</v>
      </c>
      <c r="CW507" s="1973">
        <v>0</v>
      </c>
      <c r="CX507" s="2037">
        <v>45</v>
      </c>
      <c r="CY507" s="2037">
        <v>45</v>
      </c>
      <c r="CZ507" s="2037">
        <v>45</v>
      </c>
      <c r="DA507" s="2037">
        <v>45</v>
      </c>
      <c r="DJ507" s="1976">
        <v>45</v>
      </c>
      <c r="DK507" s="1973">
        <v>45</v>
      </c>
      <c r="DL507" s="1973">
        <v>45</v>
      </c>
      <c r="DM507" s="1973">
        <v>45</v>
      </c>
      <c r="DO507" s="2027">
        <v>8</v>
      </c>
      <c r="DP507" s="2144">
        <v>1625</v>
      </c>
      <c r="DQ507" s="2145">
        <v>0.223</v>
      </c>
      <c r="DR507" s="2027">
        <v>0</v>
      </c>
      <c r="DS507" s="2124">
        <v>45</v>
      </c>
      <c r="DT507" s="2029">
        <v>45</v>
      </c>
      <c r="DU507" s="2029">
        <v>45</v>
      </c>
      <c r="DV507" s="2029">
        <v>45</v>
      </c>
      <c r="DW507" s="2124">
        <v>0</v>
      </c>
      <c r="DX507" s="2029">
        <v>0</v>
      </c>
      <c r="DY507" s="2029">
        <v>0</v>
      </c>
      <c r="DZ507" s="2029">
        <v>0</v>
      </c>
      <c r="EA507" s="2124">
        <v>157</v>
      </c>
      <c r="EB507" s="2029">
        <v>157</v>
      </c>
      <c r="EC507" s="2029">
        <v>157</v>
      </c>
      <c r="ED507" s="2029">
        <v>157</v>
      </c>
      <c r="EE507" s="2039">
        <f t="shared" si="296"/>
        <v>0</v>
      </c>
      <c r="EF507" s="2039">
        <f t="shared" si="296"/>
        <v>0</v>
      </c>
      <c r="EG507" s="2039">
        <f t="shared" si="296"/>
        <v>0</v>
      </c>
      <c r="EH507" s="2039">
        <f t="shared" si="296"/>
        <v>0</v>
      </c>
      <c r="EI507" s="2040">
        <f t="shared" si="333"/>
        <v>0</v>
      </c>
      <c r="EJ507" s="2040">
        <f t="shared" si="333"/>
        <v>0</v>
      </c>
      <c r="EK507" s="2040">
        <f t="shared" si="333"/>
        <v>0</v>
      </c>
      <c r="EL507" s="2040">
        <f t="shared" si="332"/>
        <v>0</v>
      </c>
      <c r="EM507" s="2040">
        <f t="shared" si="332"/>
        <v>0</v>
      </c>
      <c r="EN507" s="2040">
        <f t="shared" si="332"/>
        <v>0</v>
      </c>
      <c r="EO507" s="2040">
        <f t="shared" si="332"/>
        <v>0</v>
      </c>
      <c r="EP507" s="2040">
        <f t="shared" si="332"/>
        <v>0</v>
      </c>
      <c r="EQ507" s="2040">
        <f t="shared" si="332"/>
        <v>0</v>
      </c>
      <c r="ER507" s="2040">
        <f t="shared" si="332"/>
        <v>0</v>
      </c>
      <c r="ES507" s="2040">
        <f t="shared" si="332"/>
        <v>0</v>
      </c>
      <c r="ET507" s="2040">
        <f t="shared" si="332"/>
        <v>0</v>
      </c>
      <c r="EU507" s="2039">
        <f t="shared" si="297"/>
        <v>0</v>
      </c>
      <c r="EV507" s="2039">
        <f t="shared" si="298"/>
        <v>0</v>
      </c>
    </row>
    <row r="508" spans="1:152" x14ac:dyDescent="0.25">
      <c r="A508" s="2149" t="str">
        <f t="shared" si="342"/>
        <v>Auto Closer for Display Case Door: Reach-in Cooler Door or Reach-in Freezer Door</v>
      </c>
      <c r="B508" s="1974" t="str">
        <f t="shared" si="342"/>
        <v>BPR13</v>
      </c>
      <c r="C508" s="2027">
        <f t="shared" si="341"/>
        <v>8</v>
      </c>
      <c r="D508" s="2144">
        <f t="shared" si="341"/>
        <v>1625</v>
      </c>
      <c r="E508" s="2145">
        <f t="shared" si="341"/>
        <v>0.22</v>
      </c>
      <c r="F508" s="2027">
        <f t="shared" si="341"/>
        <v>0</v>
      </c>
      <c r="G508" s="1974" t="s">
        <v>2988</v>
      </c>
      <c r="H508" s="1974" t="s">
        <v>2988</v>
      </c>
      <c r="I508" s="2026">
        <v>0.9</v>
      </c>
      <c r="J508" s="2026">
        <v>0.9</v>
      </c>
      <c r="K508" s="2026">
        <v>0.9</v>
      </c>
      <c r="L508" s="2026">
        <v>0.9</v>
      </c>
      <c r="M508" s="2027">
        <f t="shared" si="322"/>
        <v>1462.5</v>
      </c>
      <c r="N508" s="2027">
        <f t="shared" si="322"/>
        <v>1462.5</v>
      </c>
      <c r="O508" s="2027">
        <f t="shared" si="322"/>
        <v>1462.5</v>
      </c>
      <c r="P508" s="2027">
        <f t="shared" si="322"/>
        <v>1462.5</v>
      </c>
      <c r="Q508" s="2026">
        <v>0.9</v>
      </c>
      <c r="R508" s="2026">
        <v>0.9</v>
      </c>
      <c r="S508" s="2026">
        <v>0.9</v>
      </c>
      <c r="T508" s="2026">
        <v>0.9</v>
      </c>
      <c r="U508" s="2028">
        <f t="shared" si="323"/>
        <v>0.19800000000000001</v>
      </c>
      <c r="V508" s="2028">
        <f t="shared" si="323"/>
        <v>0.19800000000000001</v>
      </c>
      <c r="W508" s="2028">
        <f t="shared" si="323"/>
        <v>0.19800000000000001</v>
      </c>
      <c r="X508" s="2028">
        <f t="shared" si="323"/>
        <v>0.19800000000000001</v>
      </c>
      <c r="Y508" s="2026">
        <v>0.9</v>
      </c>
      <c r="Z508" s="2026">
        <v>0.9</v>
      </c>
      <c r="AA508" s="2026">
        <v>0.9</v>
      </c>
      <c r="AB508" s="2026">
        <v>0.9</v>
      </c>
      <c r="AC508" s="2027">
        <f t="shared" si="324"/>
        <v>0</v>
      </c>
      <c r="AD508" s="2027">
        <f t="shared" si="324"/>
        <v>0</v>
      </c>
      <c r="AE508" s="2027">
        <f t="shared" si="324"/>
        <v>0</v>
      </c>
      <c r="AF508" s="2027">
        <f t="shared" si="324"/>
        <v>0</v>
      </c>
      <c r="AG508" s="2027">
        <v>0</v>
      </c>
      <c r="AH508" s="2028"/>
      <c r="AI508" s="2028"/>
      <c r="AJ508" s="2028"/>
      <c r="AK508" s="2027">
        <f t="shared" si="312"/>
        <v>0</v>
      </c>
      <c r="AL508" s="2027">
        <f t="shared" si="343"/>
        <v>0</v>
      </c>
      <c r="AM508" s="2027">
        <f t="shared" si="343"/>
        <v>0</v>
      </c>
      <c r="AN508" s="2027">
        <f t="shared" si="343"/>
        <v>0</v>
      </c>
      <c r="AO508" s="2027">
        <f t="shared" si="325"/>
        <v>0</v>
      </c>
      <c r="AP508" s="2027">
        <f t="shared" si="314"/>
        <v>0</v>
      </c>
      <c r="AQ508" s="2027">
        <f t="shared" si="314"/>
        <v>0</v>
      </c>
      <c r="AR508" s="2027">
        <f t="shared" si="314"/>
        <v>0</v>
      </c>
      <c r="AS508" s="2124">
        <f t="shared" si="348"/>
        <v>45</v>
      </c>
      <c r="AT508" s="2029">
        <f t="shared" si="315"/>
        <v>45</v>
      </c>
      <c r="AU508" s="2029">
        <f t="shared" si="315"/>
        <v>45</v>
      </c>
      <c r="AV508" s="2029">
        <f t="shared" si="315"/>
        <v>45</v>
      </c>
      <c r="AW508" s="2124">
        <f t="shared" si="316"/>
        <v>0</v>
      </c>
      <c r="AX508" s="2029">
        <f t="shared" si="335"/>
        <v>0</v>
      </c>
      <c r="AY508" s="2029">
        <f t="shared" si="335"/>
        <v>0</v>
      </c>
      <c r="AZ508" s="2029">
        <f t="shared" si="335"/>
        <v>0</v>
      </c>
      <c r="BA508" s="2124">
        <f t="shared" si="347"/>
        <v>157</v>
      </c>
      <c r="BB508" s="2029">
        <f t="shared" si="347"/>
        <v>157</v>
      </c>
      <c r="BC508" s="2029">
        <f t="shared" si="347"/>
        <v>157</v>
      </c>
      <c r="BD508" s="2029">
        <f t="shared" si="347"/>
        <v>157</v>
      </c>
      <c r="BE508" s="2030">
        <f t="shared" si="328"/>
        <v>0</v>
      </c>
      <c r="BF508" s="2030">
        <f t="shared" si="328"/>
        <v>0</v>
      </c>
      <c r="BG508" s="2030">
        <f t="shared" si="328"/>
        <v>0</v>
      </c>
      <c r="BH508" s="2030">
        <f t="shared" si="328"/>
        <v>0</v>
      </c>
      <c r="BI508" s="2030">
        <f t="shared" si="329"/>
        <v>0</v>
      </c>
      <c r="BJ508" s="2030">
        <f t="shared" si="329"/>
        <v>0</v>
      </c>
      <c r="BK508" s="2030">
        <f t="shared" si="329"/>
        <v>0</v>
      </c>
      <c r="BL508" s="2030">
        <f t="shared" si="329"/>
        <v>0</v>
      </c>
      <c r="BM508" s="2125"/>
      <c r="BN508" s="2125"/>
      <c r="BO508" s="2125"/>
      <c r="BP508" s="2125"/>
      <c r="BQ508" s="2125"/>
      <c r="BR508" s="2125"/>
      <c r="BS508" s="2125"/>
      <c r="BT508" s="2125"/>
      <c r="BU508" s="2029"/>
      <c r="BV508" s="2029"/>
      <c r="BW508" s="2029"/>
      <c r="BX508" s="2029"/>
      <c r="BY508" s="2029"/>
      <c r="BZ508" s="2032"/>
      <c r="CA508" s="1974">
        <f t="shared" si="344"/>
        <v>0</v>
      </c>
      <c r="CB508" s="1974">
        <f t="shared" si="344"/>
        <v>0</v>
      </c>
      <c r="CC508" s="1974">
        <f t="shared" si="344"/>
        <v>0</v>
      </c>
      <c r="CD508" s="1974">
        <f t="shared" si="344"/>
        <v>0</v>
      </c>
      <c r="CE508" s="1974">
        <f t="shared" si="344"/>
        <v>0</v>
      </c>
      <c r="CF508" s="2033">
        <v>0</v>
      </c>
      <c r="CG508" s="2026">
        <v>0</v>
      </c>
      <c r="CH508" s="2009">
        <f t="shared" si="345"/>
        <v>0</v>
      </c>
      <c r="CI508" s="2031">
        <f t="shared" si="345"/>
        <v>0</v>
      </c>
      <c r="CJ508" s="1974">
        <f t="shared" si="345"/>
        <v>0</v>
      </c>
      <c r="CK508" s="2031">
        <f t="shared" si="345"/>
        <v>0</v>
      </c>
      <c r="CL508" s="2026">
        <v>1</v>
      </c>
      <c r="CM508" s="2026">
        <v>1</v>
      </c>
      <c r="CN508" s="2026">
        <v>1</v>
      </c>
      <c r="CO508" s="2026">
        <v>1</v>
      </c>
      <c r="CP508" s="2035"/>
      <c r="CQ508" s="2036"/>
      <c r="CR508" s="2036"/>
      <c r="CS508" s="2036"/>
      <c r="CT508" s="2036"/>
      <c r="CU508" s="2036"/>
      <c r="CV508" s="1973">
        <v>1</v>
      </c>
      <c r="CW508" s="1973">
        <v>0</v>
      </c>
      <c r="CX508" s="2037">
        <v>45</v>
      </c>
      <c r="CY508" s="2037">
        <v>45</v>
      </c>
      <c r="CZ508" s="2037">
        <v>45</v>
      </c>
      <c r="DA508" s="2037">
        <v>45</v>
      </c>
      <c r="DJ508" s="1976">
        <v>45</v>
      </c>
      <c r="DK508" s="1973">
        <v>45</v>
      </c>
      <c r="DL508" s="1973">
        <v>45</v>
      </c>
      <c r="DM508" s="1973">
        <v>45</v>
      </c>
      <c r="DO508" s="2027">
        <v>8</v>
      </c>
      <c r="DP508" s="2144">
        <v>1625</v>
      </c>
      <c r="DQ508" s="2145">
        <v>0.22</v>
      </c>
      <c r="DR508" s="2027">
        <v>0</v>
      </c>
      <c r="DS508" s="2124">
        <v>45</v>
      </c>
      <c r="DT508" s="2029">
        <v>45</v>
      </c>
      <c r="DU508" s="2029">
        <v>45</v>
      </c>
      <c r="DV508" s="2029">
        <v>45</v>
      </c>
      <c r="DW508" s="2124">
        <v>0</v>
      </c>
      <c r="DX508" s="2029">
        <v>0</v>
      </c>
      <c r="DY508" s="2029">
        <v>0</v>
      </c>
      <c r="DZ508" s="2029">
        <v>0</v>
      </c>
      <c r="EA508" s="2124">
        <v>157</v>
      </c>
      <c r="EB508" s="2029">
        <v>157</v>
      </c>
      <c r="EC508" s="2029">
        <v>157</v>
      </c>
      <c r="ED508" s="2029">
        <v>157</v>
      </c>
      <c r="EE508" s="2039">
        <f t="shared" si="296"/>
        <v>0</v>
      </c>
      <c r="EF508" s="2039">
        <f t="shared" si="296"/>
        <v>0</v>
      </c>
      <c r="EG508" s="2039">
        <f t="shared" si="296"/>
        <v>0</v>
      </c>
      <c r="EH508" s="2039">
        <f t="shared" si="296"/>
        <v>0</v>
      </c>
      <c r="EI508" s="2040">
        <f t="shared" si="333"/>
        <v>0</v>
      </c>
      <c r="EJ508" s="2040">
        <f t="shared" si="333"/>
        <v>0</v>
      </c>
      <c r="EK508" s="2040">
        <f t="shared" si="333"/>
        <v>0</v>
      </c>
      <c r="EL508" s="2040">
        <f t="shared" si="332"/>
        <v>0</v>
      </c>
      <c r="EM508" s="2040">
        <f t="shared" si="332"/>
        <v>0</v>
      </c>
      <c r="EN508" s="2040">
        <f t="shared" si="332"/>
        <v>0</v>
      </c>
      <c r="EO508" s="2040">
        <f t="shared" si="332"/>
        <v>0</v>
      </c>
      <c r="EP508" s="2040">
        <f t="shared" si="332"/>
        <v>0</v>
      </c>
      <c r="EQ508" s="2040">
        <f t="shared" si="332"/>
        <v>0</v>
      </c>
      <c r="ER508" s="2040">
        <f t="shared" si="332"/>
        <v>0</v>
      </c>
      <c r="ES508" s="2040">
        <f t="shared" si="332"/>
        <v>0</v>
      </c>
      <c r="ET508" s="2040">
        <f t="shared" si="332"/>
        <v>0</v>
      </c>
      <c r="EU508" s="2039">
        <f t="shared" si="297"/>
        <v>0</v>
      </c>
      <c r="EV508" s="2039">
        <f t="shared" si="298"/>
        <v>0</v>
      </c>
    </row>
    <row r="509" spans="1:152" x14ac:dyDescent="0.25">
      <c r="A509" s="2149" t="str">
        <f t="shared" si="342"/>
        <v>Strip Curtain on Walk-in Coolers or Freezers</v>
      </c>
      <c r="B509" s="1974" t="str">
        <f t="shared" si="342"/>
        <v>BPR1</v>
      </c>
      <c r="C509" s="2027">
        <f t="shared" ref="C509:F524" si="349">C48</f>
        <v>6</v>
      </c>
      <c r="D509" s="2144">
        <f t="shared" si="349"/>
        <v>1698</v>
      </c>
      <c r="E509" s="2145">
        <f t="shared" si="349"/>
        <v>0.2</v>
      </c>
      <c r="F509" s="2027">
        <f t="shared" si="349"/>
        <v>0</v>
      </c>
      <c r="G509" s="1974" t="s">
        <v>2988</v>
      </c>
      <c r="H509" s="1974" t="s">
        <v>2988</v>
      </c>
      <c r="I509" s="2026">
        <v>0.9</v>
      </c>
      <c r="J509" s="2026">
        <v>0.9</v>
      </c>
      <c r="K509" s="2026">
        <v>0.9</v>
      </c>
      <c r="L509" s="2026">
        <v>0.9</v>
      </c>
      <c r="M509" s="2027">
        <f t="shared" si="322"/>
        <v>1528.2</v>
      </c>
      <c r="N509" s="2027">
        <f t="shared" si="322"/>
        <v>1528.2</v>
      </c>
      <c r="O509" s="2027">
        <f t="shared" si="322"/>
        <v>1528.2</v>
      </c>
      <c r="P509" s="2027">
        <f t="shared" si="322"/>
        <v>1528.2</v>
      </c>
      <c r="Q509" s="2026">
        <v>0.9</v>
      </c>
      <c r="R509" s="2026">
        <v>0.9</v>
      </c>
      <c r="S509" s="2026">
        <v>0.9</v>
      </c>
      <c r="T509" s="2026">
        <v>0.9</v>
      </c>
      <c r="U509" s="2028">
        <f t="shared" si="323"/>
        <v>0.18000000000000002</v>
      </c>
      <c r="V509" s="2028">
        <f t="shared" si="323"/>
        <v>0.18000000000000002</v>
      </c>
      <c r="W509" s="2028">
        <f t="shared" si="323"/>
        <v>0.18000000000000002</v>
      </c>
      <c r="X509" s="2028">
        <f t="shared" si="323"/>
        <v>0.18000000000000002</v>
      </c>
      <c r="Y509" s="2026">
        <v>0.9</v>
      </c>
      <c r="Z509" s="2026">
        <v>0.9</v>
      </c>
      <c r="AA509" s="2026">
        <v>0.9</v>
      </c>
      <c r="AB509" s="2026">
        <v>0.9</v>
      </c>
      <c r="AC509" s="2027">
        <f t="shared" si="324"/>
        <v>0</v>
      </c>
      <c r="AD509" s="2027">
        <f t="shared" si="324"/>
        <v>0</v>
      </c>
      <c r="AE509" s="2027">
        <f t="shared" si="324"/>
        <v>0</v>
      </c>
      <c r="AF509" s="2027">
        <f t="shared" si="324"/>
        <v>0</v>
      </c>
      <c r="AG509" s="2027">
        <v>0</v>
      </c>
      <c r="AH509" s="2028"/>
      <c r="AI509" s="2028"/>
      <c r="AJ509" s="2028"/>
      <c r="AK509" s="2027">
        <f t="shared" si="312"/>
        <v>0</v>
      </c>
      <c r="AL509" s="2027">
        <f t="shared" si="343"/>
        <v>0</v>
      </c>
      <c r="AM509" s="2027">
        <f t="shared" si="343"/>
        <v>0</v>
      </c>
      <c r="AN509" s="2027">
        <f t="shared" si="343"/>
        <v>0</v>
      </c>
      <c r="AO509" s="2027">
        <f t="shared" si="325"/>
        <v>0</v>
      </c>
      <c r="AP509" s="2027">
        <f t="shared" si="314"/>
        <v>0</v>
      </c>
      <c r="AQ509" s="2027">
        <f t="shared" si="314"/>
        <v>0</v>
      </c>
      <c r="AR509" s="2027">
        <f t="shared" si="314"/>
        <v>0</v>
      </c>
      <c r="AS509" s="2124">
        <f t="shared" si="348"/>
        <v>172.5</v>
      </c>
      <c r="AT509" s="2029">
        <f t="shared" si="315"/>
        <v>172.5</v>
      </c>
      <c r="AU509" s="2029">
        <f t="shared" si="315"/>
        <v>172.5</v>
      </c>
      <c r="AV509" s="2029">
        <f t="shared" si="315"/>
        <v>172.5</v>
      </c>
      <c r="AW509" s="2124">
        <f t="shared" si="316"/>
        <v>0</v>
      </c>
      <c r="AX509" s="2029">
        <f t="shared" si="335"/>
        <v>0</v>
      </c>
      <c r="AY509" s="2029">
        <f t="shared" si="335"/>
        <v>0</v>
      </c>
      <c r="AZ509" s="2029">
        <f t="shared" si="335"/>
        <v>0</v>
      </c>
      <c r="BA509" s="2124">
        <f t="shared" si="347"/>
        <v>286.16000000000003</v>
      </c>
      <c r="BB509" s="2029">
        <f t="shared" si="347"/>
        <v>286.16000000000003</v>
      </c>
      <c r="BC509" s="2029">
        <f t="shared" si="347"/>
        <v>286.16000000000003</v>
      </c>
      <c r="BD509" s="2029">
        <f t="shared" si="347"/>
        <v>286.16000000000003</v>
      </c>
      <c r="BE509" s="2030">
        <f t="shared" si="328"/>
        <v>0</v>
      </c>
      <c r="BF509" s="2030">
        <f t="shared" si="328"/>
        <v>0</v>
      </c>
      <c r="BG509" s="2030">
        <f t="shared" si="328"/>
        <v>0</v>
      </c>
      <c r="BH509" s="2030">
        <f t="shared" si="328"/>
        <v>0</v>
      </c>
      <c r="BI509" s="2030">
        <f t="shared" si="329"/>
        <v>0</v>
      </c>
      <c r="BJ509" s="2030">
        <f t="shared" si="329"/>
        <v>0</v>
      </c>
      <c r="BK509" s="2030">
        <f t="shared" si="329"/>
        <v>0</v>
      </c>
      <c r="BL509" s="2030">
        <f t="shared" si="329"/>
        <v>0</v>
      </c>
      <c r="BM509" s="2125"/>
      <c r="BN509" s="2125"/>
      <c r="BO509" s="2125"/>
      <c r="BP509" s="2125"/>
      <c r="BQ509" s="2125"/>
      <c r="BR509" s="2125"/>
      <c r="BS509" s="2125"/>
      <c r="BT509" s="2125"/>
      <c r="BU509" s="2029"/>
      <c r="BV509" s="2029"/>
      <c r="BW509" s="2029"/>
      <c r="BX509" s="2029"/>
      <c r="BY509" s="2029"/>
      <c r="BZ509" s="2032"/>
      <c r="CA509" s="1974">
        <f t="shared" si="344"/>
        <v>0</v>
      </c>
      <c r="CB509" s="1974">
        <f t="shared" si="344"/>
        <v>0</v>
      </c>
      <c r="CC509" s="1974">
        <f t="shared" si="344"/>
        <v>0</v>
      </c>
      <c r="CD509" s="1974">
        <f t="shared" si="344"/>
        <v>0</v>
      </c>
      <c r="CE509" s="1974">
        <f t="shared" si="344"/>
        <v>0</v>
      </c>
      <c r="CF509" s="2033">
        <v>0</v>
      </c>
      <c r="CG509" s="2026">
        <v>0</v>
      </c>
      <c r="CH509" s="2009">
        <f t="shared" si="345"/>
        <v>0</v>
      </c>
      <c r="CI509" s="2031">
        <f t="shared" si="345"/>
        <v>0</v>
      </c>
      <c r="CJ509" s="1974">
        <f t="shared" si="345"/>
        <v>0</v>
      </c>
      <c r="CK509" s="2031">
        <f t="shared" si="345"/>
        <v>0</v>
      </c>
      <c r="CL509" s="2026">
        <v>1</v>
      </c>
      <c r="CM509" s="2026">
        <v>1</v>
      </c>
      <c r="CN509" s="2026">
        <v>1</v>
      </c>
      <c r="CO509" s="2026">
        <v>1</v>
      </c>
      <c r="CP509" s="2035"/>
      <c r="CQ509" s="2036"/>
      <c r="CR509" s="2036"/>
      <c r="CS509" s="2036"/>
      <c r="CT509" s="2036"/>
      <c r="CU509" s="2036"/>
      <c r="CV509" s="1973">
        <v>1</v>
      </c>
      <c r="CW509" s="1973">
        <v>0</v>
      </c>
      <c r="CX509" s="2037">
        <v>172.5</v>
      </c>
      <c r="CY509" s="2037">
        <v>172.5</v>
      </c>
      <c r="CZ509" s="2037">
        <v>172.5</v>
      </c>
      <c r="DA509" s="2037">
        <v>172.5</v>
      </c>
      <c r="DJ509" s="1976">
        <v>172.5</v>
      </c>
      <c r="DK509" s="1973">
        <v>172.5</v>
      </c>
      <c r="DL509" s="1973">
        <v>172.5</v>
      </c>
      <c r="DM509" s="1973">
        <v>172.5</v>
      </c>
      <c r="DO509" s="2027">
        <v>6</v>
      </c>
      <c r="DP509" s="2144">
        <v>1698</v>
      </c>
      <c r="DQ509" s="2145">
        <v>0.2</v>
      </c>
      <c r="DR509" s="2027">
        <v>0</v>
      </c>
      <c r="DS509" s="2124">
        <v>172.5</v>
      </c>
      <c r="DT509" s="2029">
        <v>172.5</v>
      </c>
      <c r="DU509" s="2029">
        <v>172.5</v>
      </c>
      <c r="DV509" s="2029">
        <v>172.5</v>
      </c>
      <c r="DW509" s="2124">
        <v>0</v>
      </c>
      <c r="DX509" s="2029">
        <v>0</v>
      </c>
      <c r="DY509" s="2029">
        <v>0</v>
      </c>
      <c r="DZ509" s="2029">
        <v>0</v>
      </c>
      <c r="EA509" s="2124">
        <v>286.16000000000003</v>
      </c>
      <c r="EB509" s="2029">
        <v>286.16000000000003</v>
      </c>
      <c r="EC509" s="2029">
        <v>286.16000000000003</v>
      </c>
      <c r="ED509" s="2029">
        <v>286.16000000000003</v>
      </c>
      <c r="EE509" s="2039">
        <f t="shared" si="296"/>
        <v>0</v>
      </c>
      <c r="EF509" s="2039">
        <f t="shared" si="296"/>
        <v>0</v>
      </c>
      <c r="EG509" s="2039">
        <f t="shared" si="296"/>
        <v>0</v>
      </c>
      <c r="EH509" s="2039">
        <f t="shared" si="296"/>
        <v>0</v>
      </c>
      <c r="EI509" s="2040">
        <f t="shared" si="333"/>
        <v>0</v>
      </c>
      <c r="EJ509" s="2040">
        <f t="shared" si="333"/>
        <v>0</v>
      </c>
      <c r="EK509" s="2040">
        <f t="shared" si="333"/>
        <v>0</v>
      </c>
      <c r="EL509" s="2040">
        <f t="shared" si="332"/>
        <v>0</v>
      </c>
      <c r="EM509" s="2040">
        <f t="shared" si="332"/>
        <v>0</v>
      </c>
      <c r="EN509" s="2040">
        <f t="shared" si="332"/>
        <v>0</v>
      </c>
      <c r="EO509" s="2040">
        <f t="shared" si="332"/>
        <v>0</v>
      </c>
      <c r="EP509" s="2040">
        <f t="shared" si="332"/>
        <v>0</v>
      </c>
      <c r="EQ509" s="2040">
        <f t="shared" si="332"/>
        <v>0</v>
      </c>
      <c r="ER509" s="2040">
        <f t="shared" si="332"/>
        <v>0</v>
      </c>
      <c r="ES509" s="2040">
        <f t="shared" si="332"/>
        <v>0</v>
      </c>
      <c r="ET509" s="2040">
        <f t="shared" si="332"/>
        <v>0</v>
      </c>
      <c r="EU509" s="2039">
        <f t="shared" si="297"/>
        <v>0</v>
      </c>
      <c r="EV509" s="2039">
        <f t="shared" si="298"/>
        <v>0</v>
      </c>
    </row>
    <row r="510" spans="1:152" x14ac:dyDescent="0.25">
      <c r="A510" s="2149" t="str">
        <f t="shared" si="342"/>
        <v/>
      </c>
      <c r="B510" s="1974" t="str">
        <f t="shared" si="342"/>
        <v/>
      </c>
      <c r="C510" s="2027">
        <f t="shared" si="349"/>
        <v>0</v>
      </c>
      <c r="D510" s="2144">
        <f t="shared" si="349"/>
        <v>0</v>
      </c>
      <c r="E510" s="2145">
        <f t="shared" si="349"/>
        <v>0</v>
      </c>
      <c r="F510" s="2027">
        <f t="shared" si="349"/>
        <v>0</v>
      </c>
      <c r="G510" s="1974" t="s">
        <v>2988</v>
      </c>
      <c r="H510" s="1974" t="s">
        <v>2988</v>
      </c>
      <c r="I510" s="2026">
        <v>0.9</v>
      </c>
      <c r="J510" s="2026">
        <v>0.9</v>
      </c>
      <c r="K510" s="2026">
        <v>0.9</v>
      </c>
      <c r="L510" s="2026">
        <v>0.9</v>
      </c>
      <c r="M510" s="2027">
        <f t="shared" si="322"/>
        <v>0</v>
      </c>
      <c r="N510" s="2027">
        <f t="shared" si="322"/>
        <v>0</v>
      </c>
      <c r="O510" s="2027">
        <f t="shared" si="322"/>
        <v>0</v>
      </c>
      <c r="P510" s="2027">
        <f t="shared" si="322"/>
        <v>0</v>
      </c>
      <c r="Q510" s="2026">
        <v>0.9</v>
      </c>
      <c r="R510" s="2026">
        <v>0.9</v>
      </c>
      <c r="S510" s="2026">
        <v>0.9</v>
      </c>
      <c r="T510" s="2026">
        <v>0.9</v>
      </c>
      <c r="U510" s="2028">
        <f t="shared" si="323"/>
        <v>0</v>
      </c>
      <c r="V510" s="2028">
        <f t="shared" si="323"/>
        <v>0</v>
      </c>
      <c r="W510" s="2028">
        <f t="shared" si="323"/>
        <v>0</v>
      </c>
      <c r="X510" s="2028">
        <f t="shared" si="323"/>
        <v>0</v>
      </c>
      <c r="Y510" s="2026">
        <v>0.9</v>
      </c>
      <c r="Z510" s="2026">
        <v>0.9</v>
      </c>
      <c r="AA510" s="2026">
        <v>0.9</v>
      </c>
      <c r="AB510" s="2026">
        <v>0.9</v>
      </c>
      <c r="AC510" s="2027">
        <f t="shared" si="324"/>
        <v>0</v>
      </c>
      <c r="AD510" s="2027">
        <f t="shared" si="324"/>
        <v>0</v>
      </c>
      <c r="AE510" s="2027">
        <f t="shared" si="324"/>
        <v>0</v>
      </c>
      <c r="AF510" s="2027">
        <f t="shared" si="324"/>
        <v>0</v>
      </c>
      <c r="AG510" s="2027">
        <v>0</v>
      </c>
      <c r="AH510" s="2028"/>
      <c r="AI510" s="2028"/>
      <c r="AJ510" s="2028"/>
      <c r="AK510" s="2027">
        <f t="shared" si="312"/>
        <v>0</v>
      </c>
      <c r="AL510" s="2027">
        <f t="shared" si="343"/>
        <v>0</v>
      </c>
      <c r="AM510" s="2027">
        <f t="shared" si="343"/>
        <v>0</v>
      </c>
      <c r="AN510" s="2027">
        <f t="shared" si="343"/>
        <v>0</v>
      </c>
      <c r="AO510" s="2027">
        <f t="shared" si="325"/>
        <v>0</v>
      </c>
      <c r="AP510" s="2027">
        <f t="shared" si="314"/>
        <v>0</v>
      </c>
      <c r="AQ510" s="2027">
        <f t="shared" si="314"/>
        <v>0</v>
      </c>
      <c r="AR510" s="2027">
        <f t="shared" si="314"/>
        <v>0</v>
      </c>
      <c r="AS510" s="2124">
        <f t="shared" si="348"/>
        <v>0</v>
      </c>
      <c r="AT510" s="2029">
        <f t="shared" si="315"/>
        <v>0</v>
      </c>
      <c r="AU510" s="2029">
        <f t="shared" si="315"/>
        <v>0</v>
      </c>
      <c r="AV510" s="2029">
        <f t="shared" si="315"/>
        <v>0</v>
      </c>
      <c r="AW510" s="2124">
        <f t="shared" si="316"/>
        <v>0</v>
      </c>
      <c r="AX510" s="2029">
        <f t="shared" si="335"/>
        <v>0</v>
      </c>
      <c r="AY510" s="2029">
        <f t="shared" si="335"/>
        <v>0</v>
      </c>
      <c r="AZ510" s="2029">
        <f t="shared" si="335"/>
        <v>0</v>
      </c>
      <c r="BA510" s="2124">
        <f t="shared" si="347"/>
        <v>0</v>
      </c>
      <c r="BB510" s="2029">
        <f t="shared" si="347"/>
        <v>0</v>
      </c>
      <c r="BC510" s="2029">
        <f t="shared" si="347"/>
        <v>0</v>
      </c>
      <c r="BD510" s="2029">
        <f t="shared" si="347"/>
        <v>0</v>
      </c>
      <c r="BE510" s="2030">
        <f t="shared" si="328"/>
        <v>0</v>
      </c>
      <c r="BF510" s="2030">
        <f t="shared" si="328"/>
        <v>0</v>
      </c>
      <c r="BG510" s="2030">
        <f t="shared" si="328"/>
        <v>0</v>
      </c>
      <c r="BH510" s="2030">
        <f t="shared" si="328"/>
        <v>0</v>
      </c>
      <c r="BI510" s="2030">
        <f t="shared" si="329"/>
        <v>0</v>
      </c>
      <c r="BJ510" s="2030">
        <f t="shared" si="329"/>
        <v>0</v>
      </c>
      <c r="BK510" s="2030">
        <f t="shared" si="329"/>
        <v>0</v>
      </c>
      <c r="BL510" s="2030">
        <f t="shared" si="329"/>
        <v>0</v>
      </c>
      <c r="BM510" s="2125"/>
      <c r="BN510" s="2125"/>
      <c r="BO510" s="2125"/>
      <c r="BP510" s="2125"/>
      <c r="BQ510" s="2125"/>
      <c r="BR510" s="2125"/>
      <c r="BS510" s="2125"/>
      <c r="BT510" s="2125"/>
      <c r="BU510" s="2029"/>
      <c r="BV510" s="2029"/>
      <c r="BW510" s="2029"/>
      <c r="BX510" s="2029"/>
      <c r="BY510" s="2029"/>
      <c r="BZ510" s="2032"/>
      <c r="CA510" s="1974">
        <f t="shared" si="344"/>
        <v>0</v>
      </c>
      <c r="CB510" s="1974">
        <f t="shared" si="344"/>
        <v>0</v>
      </c>
      <c r="CC510" s="1974">
        <f t="shared" si="344"/>
        <v>0</v>
      </c>
      <c r="CD510" s="1974">
        <f t="shared" si="344"/>
        <v>0</v>
      </c>
      <c r="CE510" s="1974">
        <f t="shared" si="344"/>
        <v>0</v>
      </c>
      <c r="CF510" s="2033">
        <v>0</v>
      </c>
      <c r="CG510" s="2026">
        <v>0</v>
      </c>
      <c r="CH510" s="2009">
        <f t="shared" si="345"/>
        <v>0</v>
      </c>
      <c r="CI510" s="2031">
        <f t="shared" si="345"/>
        <v>0</v>
      </c>
      <c r="CJ510" s="1974">
        <f t="shared" si="345"/>
        <v>0</v>
      </c>
      <c r="CK510" s="2031">
        <f t="shared" si="345"/>
        <v>0</v>
      </c>
      <c r="CL510" s="2026">
        <v>1</v>
      </c>
      <c r="CM510" s="2026">
        <v>1</v>
      </c>
      <c r="CN510" s="2026">
        <v>1</v>
      </c>
      <c r="CO510" s="2026">
        <v>1</v>
      </c>
      <c r="CP510" s="2035"/>
      <c r="CQ510" s="2036"/>
      <c r="CR510" s="2036"/>
      <c r="CS510" s="2036"/>
      <c r="CT510" s="2036"/>
      <c r="CU510" s="2036"/>
      <c r="CV510" s="1973">
        <v>1</v>
      </c>
      <c r="CW510" s="1973">
        <v>0</v>
      </c>
      <c r="CX510" s="2037">
        <v>0</v>
      </c>
      <c r="CY510" s="2037">
        <v>0</v>
      </c>
      <c r="CZ510" s="2037">
        <v>0</v>
      </c>
      <c r="DA510" s="2037">
        <v>0</v>
      </c>
      <c r="DJ510" s="1976">
        <v>0</v>
      </c>
      <c r="DK510" s="1973">
        <v>0</v>
      </c>
      <c r="DL510" s="1973">
        <v>0</v>
      </c>
      <c r="DM510" s="1973">
        <v>0</v>
      </c>
      <c r="DO510" s="2027">
        <v>0</v>
      </c>
      <c r="DP510" s="2144">
        <v>0</v>
      </c>
      <c r="DQ510" s="2145">
        <v>0</v>
      </c>
      <c r="DR510" s="2027">
        <v>0</v>
      </c>
      <c r="DS510" s="2124">
        <v>0</v>
      </c>
      <c r="DT510" s="2029">
        <v>0</v>
      </c>
      <c r="DU510" s="2029">
        <v>0</v>
      </c>
      <c r="DV510" s="2029">
        <v>0</v>
      </c>
      <c r="DW510" s="2124">
        <v>0</v>
      </c>
      <c r="DX510" s="2029">
        <v>0</v>
      </c>
      <c r="DY510" s="2029">
        <v>0</v>
      </c>
      <c r="DZ510" s="2029">
        <v>0</v>
      </c>
      <c r="EA510" s="2124">
        <v>0</v>
      </c>
      <c r="EB510" s="2029">
        <v>0</v>
      </c>
      <c r="EC510" s="2029">
        <v>0</v>
      </c>
      <c r="ED510" s="2029">
        <v>0</v>
      </c>
      <c r="EE510" s="2039">
        <f t="shared" si="296"/>
        <v>0</v>
      </c>
      <c r="EF510" s="2039">
        <f t="shared" si="296"/>
        <v>0</v>
      </c>
      <c r="EG510" s="2039">
        <f t="shared" si="296"/>
        <v>0</v>
      </c>
      <c r="EH510" s="2039">
        <f t="shared" si="296"/>
        <v>0</v>
      </c>
      <c r="EI510" s="2040">
        <f t="shared" si="333"/>
        <v>0</v>
      </c>
      <c r="EJ510" s="2040">
        <f t="shared" si="333"/>
        <v>0</v>
      </c>
      <c r="EK510" s="2040">
        <f t="shared" si="333"/>
        <v>0</v>
      </c>
      <c r="EL510" s="2040">
        <f t="shared" si="332"/>
        <v>0</v>
      </c>
      <c r="EM510" s="2040">
        <f t="shared" si="332"/>
        <v>0</v>
      </c>
      <c r="EN510" s="2040">
        <f t="shared" si="332"/>
        <v>0</v>
      </c>
      <c r="EO510" s="2040">
        <f t="shared" si="332"/>
        <v>0</v>
      </c>
      <c r="EP510" s="2040">
        <f t="shared" si="332"/>
        <v>0</v>
      </c>
      <c r="EQ510" s="2040">
        <f t="shared" si="332"/>
        <v>0</v>
      </c>
      <c r="ER510" s="2040">
        <f t="shared" si="332"/>
        <v>0</v>
      </c>
      <c r="ES510" s="2040">
        <f t="shared" si="332"/>
        <v>0</v>
      </c>
      <c r="ET510" s="2040">
        <f t="shared" si="332"/>
        <v>0</v>
      </c>
      <c r="EU510" s="2039">
        <f t="shared" si="297"/>
        <v>0</v>
      </c>
      <c r="EV510" s="2039">
        <f t="shared" si="298"/>
        <v>0</v>
      </c>
    </row>
    <row r="511" spans="1:152" x14ac:dyDescent="0.25">
      <c r="A511" s="2149" t="str">
        <f t="shared" si="342"/>
        <v>Glass Door Freezer (31-50 cu ft)</v>
      </c>
      <c r="B511" s="1974" t="str">
        <f t="shared" si="342"/>
        <v>BPR31</v>
      </c>
      <c r="C511" s="2027">
        <f t="shared" si="349"/>
        <v>12</v>
      </c>
      <c r="D511" s="2144">
        <f t="shared" si="349"/>
        <v>3871.6500000000005</v>
      </c>
      <c r="E511" s="2145">
        <f t="shared" si="349"/>
        <v>0.41412511986301376</v>
      </c>
      <c r="F511" s="2027">
        <f t="shared" si="349"/>
        <v>0</v>
      </c>
      <c r="G511" s="1974" t="s">
        <v>2988</v>
      </c>
      <c r="H511" s="1974" t="s">
        <v>2988</v>
      </c>
      <c r="I511" s="2026">
        <v>0.9</v>
      </c>
      <c r="J511" s="2026">
        <v>0.9</v>
      </c>
      <c r="K511" s="2026">
        <v>0.9</v>
      </c>
      <c r="L511" s="2026">
        <v>0.9</v>
      </c>
      <c r="M511" s="2027">
        <f t="shared" si="322"/>
        <v>3484.4850000000006</v>
      </c>
      <c r="N511" s="2027">
        <f t="shared" si="322"/>
        <v>3484.4850000000006</v>
      </c>
      <c r="O511" s="2027">
        <f t="shared" si="322"/>
        <v>3484.4850000000006</v>
      </c>
      <c r="P511" s="2027">
        <f t="shared" si="322"/>
        <v>3484.4850000000006</v>
      </c>
      <c r="Q511" s="2026">
        <v>0.9</v>
      </c>
      <c r="R511" s="2026">
        <v>0.9</v>
      </c>
      <c r="S511" s="2026">
        <v>0.9</v>
      </c>
      <c r="T511" s="2026">
        <v>0.9</v>
      </c>
      <c r="U511" s="2028">
        <f t="shared" si="323"/>
        <v>0.3727126078767124</v>
      </c>
      <c r="V511" s="2028">
        <f t="shared" si="323"/>
        <v>0.3727126078767124</v>
      </c>
      <c r="W511" s="2028">
        <f t="shared" si="323"/>
        <v>0.3727126078767124</v>
      </c>
      <c r="X511" s="2028">
        <f t="shared" si="323"/>
        <v>0.3727126078767124</v>
      </c>
      <c r="Y511" s="2026">
        <v>0.9</v>
      </c>
      <c r="Z511" s="2026">
        <v>0.9</v>
      </c>
      <c r="AA511" s="2026">
        <v>0.9</v>
      </c>
      <c r="AB511" s="2026">
        <v>0.9</v>
      </c>
      <c r="AC511" s="2027">
        <f t="shared" si="324"/>
        <v>0</v>
      </c>
      <c r="AD511" s="2027">
        <f t="shared" si="324"/>
        <v>0</v>
      </c>
      <c r="AE511" s="2027">
        <f t="shared" si="324"/>
        <v>0</v>
      </c>
      <c r="AF511" s="2027">
        <f t="shared" si="324"/>
        <v>0</v>
      </c>
      <c r="AG511" s="2027">
        <v>0</v>
      </c>
      <c r="AH511" s="2028"/>
      <c r="AI511" s="2028"/>
      <c r="AJ511" s="2028"/>
      <c r="AK511" s="2027">
        <f t="shared" si="312"/>
        <v>0</v>
      </c>
      <c r="AL511" s="2027">
        <f t="shared" si="343"/>
        <v>0</v>
      </c>
      <c r="AM511" s="2027">
        <f t="shared" si="343"/>
        <v>0</v>
      </c>
      <c r="AN511" s="2027">
        <f t="shared" si="343"/>
        <v>0</v>
      </c>
      <c r="AO511" s="2027">
        <f t="shared" si="325"/>
        <v>0</v>
      </c>
      <c r="AP511" s="2027">
        <f t="shared" si="314"/>
        <v>0</v>
      </c>
      <c r="AQ511" s="2027">
        <f t="shared" si="314"/>
        <v>0</v>
      </c>
      <c r="AR511" s="2027">
        <f t="shared" si="314"/>
        <v>0</v>
      </c>
      <c r="AS511" s="2124">
        <f t="shared" si="348"/>
        <v>150</v>
      </c>
      <c r="AT511" s="2029">
        <f t="shared" si="315"/>
        <v>150</v>
      </c>
      <c r="AU511" s="2029">
        <f t="shared" si="315"/>
        <v>150</v>
      </c>
      <c r="AV511" s="2029">
        <f t="shared" si="315"/>
        <v>150</v>
      </c>
      <c r="AW511" s="2124">
        <f t="shared" si="316"/>
        <v>0</v>
      </c>
      <c r="AX511" s="2029">
        <f t="shared" si="335"/>
        <v>0</v>
      </c>
      <c r="AY511" s="2029">
        <f t="shared" si="335"/>
        <v>0</v>
      </c>
      <c r="AZ511" s="2029">
        <f t="shared" si="335"/>
        <v>0</v>
      </c>
      <c r="BA511" s="2124">
        <f t="shared" si="347"/>
        <v>166</v>
      </c>
      <c r="BB511" s="2029">
        <f t="shared" si="347"/>
        <v>166</v>
      </c>
      <c r="BC511" s="2029">
        <f t="shared" si="347"/>
        <v>166</v>
      </c>
      <c r="BD511" s="2029">
        <f t="shared" si="347"/>
        <v>166</v>
      </c>
      <c r="BE511" s="2030">
        <f t="shared" si="328"/>
        <v>0</v>
      </c>
      <c r="BF511" s="2030">
        <f t="shared" si="328"/>
        <v>0</v>
      </c>
      <c r="BG511" s="2030">
        <f t="shared" si="328"/>
        <v>0</v>
      </c>
      <c r="BH511" s="2030">
        <f t="shared" si="328"/>
        <v>0</v>
      </c>
      <c r="BI511" s="2030">
        <f t="shared" si="329"/>
        <v>0</v>
      </c>
      <c r="BJ511" s="2030">
        <f t="shared" si="329"/>
        <v>0</v>
      </c>
      <c r="BK511" s="2030">
        <f t="shared" si="329"/>
        <v>0</v>
      </c>
      <c r="BL511" s="2030">
        <f t="shared" si="329"/>
        <v>0</v>
      </c>
      <c r="BM511" s="2125"/>
      <c r="BN511" s="2125"/>
      <c r="BO511" s="2125"/>
      <c r="BP511" s="2125"/>
      <c r="BQ511" s="2125"/>
      <c r="BR511" s="2125"/>
      <c r="BS511" s="2125"/>
      <c r="BT511" s="2125"/>
      <c r="BU511" s="2029"/>
      <c r="BV511" s="2029"/>
      <c r="BW511" s="2029"/>
      <c r="BX511" s="2029"/>
      <c r="BY511" s="2029"/>
      <c r="BZ511" s="2032"/>
      <c r="CA511" s="1974">
        <f t="shared" si="344"/>
        <v>0</v>
      </c>
      <c r="CB511" s="1974">
        <f t="shared" si="344"/>
        <v>0</v>
      </c>
      <c r="CC511" s="1974">
        <f t="shared" si="344"/>
        <v>0</v>
      </c>
      <c r="CD511" s="1974">
        <f t="shared" si="344"/>
        <v>0</v>
      </c>
      <c r="CE511" s="1974">
        <f t="shared" si="344"/>
        <v>0</v>
      </c>
      <c r="CF511" s="2033">
        <v>0</v>
      </c>
      <c r="CG511" s="2026">
        <v>0</v>
      </c>
      <c r="CH511" s="2009">
        <f t="shared" si="345"/>
        <v>0</v>
      </c>
      <c r="CI511" s="2031">
        <f t="shared" si="345"/>
        <v>0</v>
      </c>
      <c r="CJ511" s="1974">
        <f t="shared" si="345"/>
        <v>0</v>
      </c>
      <c r="CK511" s="2031">
        <f t="shared" si="345"/>
        <v>0</v>
      </c>
      <c r="CL511" s="2026">
        <v>1</v>
      </c>
      <c r="CM511" s="2026">
        <v>1</v>
      </c>
      <c r="CN511" s="2026">
        <v>1</v>
      </c>
      <c r="CO511" s="2026">
        <v>1</v>
      </c>
      <c r="CP511" s="2035"/>
      <c r="CQ511" s="2036"/>
      <c r="CR511" s="2036"/>
      <c r="CS511" s="2036"/>
      <c r="CT511" s="2036"/>
      <c r="CU511" s="2036"/>
      <c r="CV511" s="1973">
        <v>1</v>
      </c>
      <c r="CW511" s="1973">
        <v>0</v>
      </c>
      <c r="CX511" s="2037">
        <v>150</v>
      </c>
      <c r="CY511" s="2037">
        <v>150</v>
      </c>
      <c r="CZ511" s="2037">
        <v>150</v>
      </c>
      <c r="DA511" s="2037">
        <v>150</v>
      </c>
      <c r="DJ511" s="1976">
        <v>150</v>
      </c>
      <c r="DK511" s="1973">
        <v>150</v>
      </c>
      <c r="DL511" s="1973">
        <v>150</v>
      </c>
      <c r="DM511" s="1973">
        <v>150</v>
      </c>
      <c r="DO511" s="2027">
        <v>12</v>
      </c>
      <c r="DP511" s="2144">
        <v>3871.6500000000005</v>
      </c>
      <c r="DQ511" s="2145">
        <v>0.41412511986301376</v>
      </c>
      <c r="DR511" s="2027">
        <v>0</v>
      </c>
      <c r="DS511" s="2124">
        <v>150</v>
      </c>
      <c r="DT511" s="2029">
        <v>150</v>
      </c>
      <c r="DU511" s="2029">
        <v>150</v>
      </c>
      <c r="DV511" s="2029">
        <v>150</v>
      </c>
      <c r="DW511" s="2124">
        <v>0</v>
      </c>
      <c r="DX511" s="2029">
        <v>0</v>
      </c>
      <c r="DY511" s="2029">
        <v>0</v>
      </c>
      <c r="DZ511" s="2029">
        <v>0</v>
      </c>
      <c r="EA511" s="2124">
        <v>166</v>
      </c>
      <c r="EB511" s="2029">
        <v>166</v>
      </c>
      <c r="EC511" s="2029">
        <v>166</v>
      </c>
      <c r="ED511" s="2029">
        <v>166</v>
      </c>
      <c r="EE511" s="2039">
        <f t="shared" si="296"/>
        <v>0</v>
      </c>
      <c r="EF511" s="2039">
        <f t="shared" si="296"/>
        <v>0</v>
      </c>
      <c r="EG511" s="2039">
        <f t="shared" si="296"/>
        <v>0</v>
      </c>
      <c r="EH511" s="2039">
        <f t="shared" si="296"/>
        <v>0</v>
      </c>
      <c r="EI511" s="2040">
        <f t="shared" si="333"/>
        <v>0</v>
      </c>
      <c r="EJ511" s="2040">
        <f t="shared" si="333"/>
        <v>0</v>
      </c>
      <c r="EK511" s="2040">
        <f t="shared" si="333"/>
        <v>0</v>
      </c>
      <c r="EL511" s="2040">
        <f t="shared" si="332"/>
        <v>0</v>
      </c>
      <c r="EM511" s="2040">
        <f t="shared" si="332"/>
        <v>0</v>
      </c>
      <c r="EN511" s="2040">
        <f t="shared" si="332"/>
        <v>0</v>
      </c>
      <c r="EO511" s="2040">
        <f t="shared" si="332"/>
        <v>0</v>
      </c>
      <c r="EP511" s="2040">
        <f t="shared" si="332"/>
        <v>0</v>
      </c>
      <c r="EQ511" s="2040">
        <f t="shared" si="332"/>
        <v>0</v>
      </c>
      <c r="ER511" s="2040">
        <f t="shared" si="332"/>
        <v>0</v>
      </c>
      <c r="ES511" s="2040">
        <f t="shared" si="332"/>
        <v>0</v>
      </c>
      <c r="ET511" s="2040">
        <f t="shared" si="332"/>
        <v>0</v>
      </c>
      <c r="EU511" s="2039">
        <f t="shared" si="297"/>
        <v>0</v>
      </c>
      <c r="EV511" s="2039">
        <f t="shared" si="298"/>
        <v>0</v>
      </c>
    </row>
    <row r="512" spans="1:152" x14ac:dyDescent="0.25">
      <c r="A512" s="2149" t="str">
        <f t="shared" si="342"/>
        <v>Glass Door Freezer (51 cu ft or more)</v>
      </c>
      <c r="B512" s="1974" t="str">
        <f t="shared" si="342"/>
        <v>BPR32</v>
      </c>
      <c r="C512" s="2027">
        <f t="shared" si="349"/>
        <v>12</v>
      </c>
      <c r="D512" s="2144">
        <f t="shared" si="349"/>
        <v>7341.5250000000005</v>
      </c>
      <c r="E512" s="2145">
        <f t="shared" si="349"/>
        <v>0.78527499143835622</v>
      </c>
      <c r="F512" s="2027">
        <f t="shared" si="349"/>
        <v>0</v>
      </c>
      <c r="G512" s="1974" t="s">
        <v>2988</v>
      </c>
      <c r="H512" s="1974" t="s">
        <v>2988</v>
      </c>
      <c r="I512" s="2026">
        <v>0.9</v>
      </c>
      <c r="J512" s="2026">
        <v>0.9</v>
      </c>
      <c r="K512" s="2026">
        <v>0.9</v>
      </c>
      <c r="L512" s="2026">
        <v>0.9</v>
      </c>
      <c r="M512" s="2027">
        <f t="shared" si="322"/>
        <v>6607.3725000000004</v>
      </c>
      <c r="N512" s="2027">
        <f t="shared" si="322"/>
        <v>6607.3725000000004</v>
      </c>
      <c r="O512" s="2027">
        <f t="shared" si="322"/>
        <v>6607.3725000000004</v>
      </c>
      <c r="P512" s="2027">
        <f t="shared" si="322"/>
        <v>6607.3725000000004</v>
      </c>
      <c r="Q512" s="2026">
        <v>0.9</v>
      </c>
      <c r="R512" s="2026">
        <v>0.9</v>
      </c>
      <c r="S512" s="2026">
        <v>0.9</v>
      </c>
      <c r="T512" s="2026">
        <v>0.9</v>
      </c>
      <c r="U512" s="2028">
        <f t="shared" si="323"/>
        <v>0.70674749229452061</v>
      </c>
      <c r="V512" s="2028">
        <f t="shared" si="323"/>
        <v>0.70674749229452061</v>
      </c>
      <c r="W512" s="2028">
        <f t="shared" si="323"/>
        <v>0.70674749229452061</v>
      </c>
      <c r="X512" s="2028">
        <f t="shared" si="323"/>
        <v>0.70674749229452061</v>
      </c>
      <c r="Y512" s="2026">
        <v>0.9</v>
      </c>
      <c r="Z512" s="2026">
        <v>0.9</v>
      </c>
      <c r="AA512" s="2026">
        <v>0.9</v>
      </c>
      <c r="AB512" s="2026">
        <v>0.9</v>
      </c>
      <c r="AC512" s="2027">
        <f t="shared" si="324"/>
        <v>0</v>
      </c>
      <c r="AD512" s="2027">
        <f t="shared" si="324"/>
        <v>0</v>
      </c>
      <c r="AE512" s="2027">
        <f t="shared" si="324"/>
        <v>0</v>
      </c>
      <c r="AF512" s="2027">
        <f t="shared" si="324"/>
        <v>0</v>
      </c>
      <c r="AG512" s="2027">
        <v>0</v>
      </c>
      <c r="AH512" s="2028"/>
      <c r="AI512" s="2028"/>
      <c r="AJ512" s="2028"/>
      <c r="AK512" s="2027">
        <f t="shared" si="312"/>
        <v>0</v>
      </c>
      <c r="AL512" s="2027">
        <f t="shared" si="343"/>
        <v>0</v>
      </c>
      <c r="AM512" s="2027">
        <f t="shared" si="343"/>
        <v>0</v>
      </c>
      <c r="AN512" s="2027">
        <f t="shared" si="343"/>
        <v>0</v>
      </c>
      <c r="AO512" s="2027">
        <f t="shared" si="325"/>
        <v>0</v>
      </c>
      <c r="AP512" s="2027">
        <f t="shared" si="314"/>
        <v>0</v>
      </c>
      <c r="AQ512" s="2027">
        <f t="shared" si="314"/>
        <v>0</v>
      </c>
      <c r="AR512" s="2027">
        <f t="shared" si="314"/>
        <v>0</v>
      </c>
      <c r="AS512" s="2124">
        <f t="shared" si="348"/>
        <v>300</v>
      </c>
      <c r="AT512" s="2029">
        <f t="shared" si="315"/>
        <v>300</v>
      </c>
      <c r="AU512" s="2029">
        <f t="shared" si="315"/>
        <v>300</v>
      </c>
      <c r="AV512" s="2029">
        <f t="shared" si="315"/>
        <v>300</v>
      </c>
      <c r="AW512" s="2124">
        <f t="shared" si="316"/>
        <v>0</v>
      </c>
      <c r="AX512" s="2029">
        <f t="shared" si="335"/>
        <v>0</v>
      </c>
      <c r="AY512" s="2029">
        <f t="shared" si="335"/>
        <v>0</v>
      </c>
      <c r="AZ512" s="2029">
        <f t="shared" si="335"/>
        <v>0</v>
      </c>
      <c r="BA512" s="2124">
        <f t="shared" si="347"/>
        <v>407</v>
      </c>
      <c r="BB512" s="2029">
        <f t="shared" si="347"/>
        <v>407</v>
      </c>
      <c r="BC512" s="2029">
        <f t="shared" si="347"/>
        <v>407</v>
      </c>
      <c r="BD512" s="2029">
        <f t="shared" si="347"/>
        <v>407</v>
      </c>
      <c r="BE512" s="2030">
        <f t="shared" si="328"/>
        <v>0</v>
      </c>
      <c r="BF512" s="2030">
        <f t="shared" si="328"/>
        <v>0</v>
      </c>
      <c r="BG512" s="2030">
        <f t="shared" si="328"/>
        <v>0</v>
      </c>
      <c r="BH512" s="2030">
        <f t="shared" si="328"/>
        <v>0</v>
      </c>
      <c r="BI512" s="2030">
        <f t="shared" si="329"/>
        <v>0</v>
      </c>
      <c r="BJ512" s="2030">
        <f t="shared" si="329"/>
        <v>0</v>
      </c>
      <c r="BK512" s="2030">
        <f t="shared" si="329"/>
        <v>0</v>
      </c>
      <c r="BL512" s="2030">
        <f t="shared" si="329"/>
        <v>0</v>
      </c>
      <c r="BM512" s="2125"/>
      <c r="BN512" s="2125"/>
      <c r="BO512" s="2125"/>
      <c r="BP512" s="2125"/>
      <c r="BQ512" s="2125"/>
      <c r="BR512" s="2125"/>
      <c r="BS512" s="2125"/>
      <c r="BT512" s="2125"/>
      <c r="BU512" s="2029"/>
      <c r="BV512" s="2029"/>
      <c r="BW512" s="2029"/>
      <c r="BX512" s="2029"/>
      <c r="BY512" s="2029"/>
      <c r="BZ512" s="2032"/>
      <c r="CA512" s="1974">
        <f t="shared" si="344"/>
        <v>0</v>
      </c>
      <c r="CB512" s="1974">
        <f t="shared" si="344"/>
        <v>0</v>
      </c>
      <c r="CC512" s="1974">
        <f t="shared" si="344"/>
        <v>0</v>
      </c>
      <c r="CD512" s="1974">
        <f t="shared" si="344"/>
        <v>0</v>
      </c>
      <c r="CE512" s="1974">
        <f t="shared" si="344"/>
        <v>0</v>
      </c>
      <c r="CF512" s="2033">
        <v>0</v>
      </c>
      <c r="CG512" s="2026">
        <v>0</v>
      </c>
      <c r="CH512" s="2009">
        <f t="shared" si="345"/>
        <v>0</v>
      </c>
      <c r="CI512" s="2031">
        <f t="shared" si="345"/>
        <v>0</v>
      </c>
      <c r="CJ512" s="1974">
        <f t="shared" si="345"/>
        <v>0</v>
      </c>
      <c r="CK512" s="2031">
        <f t="shared" si="345"/>
        <v>0</v>
      </c>
      <c r="CL512" s="2026">
        <v>1</v>
      </c>
      <c r="CM512" s="2026">
        <v>1</v>
      </c>
      <c r="CN512" s="2026">
        <v>1</v>
      </c>
      <c r="CO512" s="2026">
        <v>1</v>
      </c>
      <c r="CP512" s="2035"/>
      <c r="CQ512" s="2036"/>
      <c r="CR512" s="2036"/>
      <c r="CS512" s="2036"/>
      <c r="CT512" s="2036"/>
      <c r="CU512" s="2036"/>
      <c r="CV512" s="1973">
        <v>1</v>
      </c>
      <c r="CW512" s="1973">
        <v>0</v>
      </c>
      <c r="CX512" s="2037">
        <v>300</v>
      </c>
      <c r="CY512" s="2037">
        <v>300</v>
      </c>
      <c r="CZ512" s="2037">
        <v>300</v>
      </c>
      <c r="DA512" s="2037">
        <v>300</v>
      </c>
      <c r="DJ512" s="1976">
        <v>300</v>
      </c>
      <c r="DK512" s="1973">
        <v>300</v>
      </c>
      <c r="DL512" s="1973">
        <v>300</v>
      </c>
      <c r="DM512" s="1973">
        <v>300</v>
      </c>
      <c r="DO512" s="2027">
        <v>12</v>
      </c>
      <c r="DP512" s="2144">
        <v>7341.5250000000005</v>
      </c>
      <c r="DQ512" s="2145">
        <v>0.78527499143835622</v>
      </c>
      <c r="DR512" s="2027">
        <v>0</v>
      </c>
      <c r="DS512" s="2124">
        <v>300</v>
      </c>
      <c r="DT512" s="2029">
        <v>300</v>
      </c>
      <c r="DU512" s="2029">
        <v>300</v>
      </c>
      <c r="DV512" s="2029">
        <v>300</v>
      </c>
      <c r="DW512" s="2124">
        <v>0</v>
      </c>
      <c r="DX512" s="2029">
        <v>0</v>
      </c>
      <c r="DY512" s="2029">
        <v>0</v>
      </c>
      <c r="DZ512" s="2029">
        <v>0</v>
      </c>
      <c r="EA512" s="2124">
        <v>407</v>
      </c>
      <c r="EB512" s="2029">
        <v>407</v>
      </c>
      <c r="EC512" s="2029">
        <v>407</v>
      </c>
      <c r="ED512" s="2029">
        <v>407</v>
      </c>
      <c r="EE512" s="2039">
        <f t="shared" si="296"/>
        <v>0</v>
      </c>
      <c r="EF512" s="2039">
        <f t="shared" si="296"/>
        <v>0</v>
      </c>
      <c r="EG512" s="2039">
        <f t="shared" si="296"/>
        <v>0</v>
      </c>
      <c r="EH512" s="2039">
        <f t="shared" si="296"/>
        <v>0</v>
      </c>
      <c r="EI512" s="2040">
        <f t="shared" si="333"/>
        <v>0</v>
      </c>
      <c r="EJ512" s="2040">
        <f t="shared" si="333"/>
        <v>0</v>
      </c>
      <c r="EK512" s="2040">
        <f t="shared" si="333"/>
        <v>0</v>
      </c>
      <c r="EL512" s="2040">
        <f t="shared" si="332"/>
        <v>0</v>
      </c>
      <c r="EM512" s="2040">
        <f t="shared" si="332"/>
        <v>0</v>
      </c>
      <c r="EN512" s="2040">
        <f t="shared" si="332"/>
        <v>0</v>
      </c>
      <c r="EO512" s="2040">
        <f t="shared" si="332"/>
        <v>0</v>
      </c>
      <c r="EP512" s="2040">
        <f t="shared" si="332"/>
        <v>0</v>
      </c>
      <c r="EQ512" s="2040">
        <f t="shared" si="332"/>
        <v>0</v>
      </c>
      <c r="ER512" s="2040">
        <f t="shared" si="332"/>
        <v>0</v>
      </c>
      <c r="ES512" s="2040">
        <f t="shared" si="332"/>
        <v>0</v>
      </c>
      <c r="ET512" s="2040">
        <f t="shared" si="332"/>
        <v>0</v>
      </c>
      <c r="EU512" s="2039">
        <f t="shared" si="297"/>
        <v>0</v>
      </c>
      <c r="EV512" s="2039">
        <f t="shared" si="298"/>
        <v>0</v>
      </c>
    </row>
    <row r="513" spans="1:152" x14ac:dyDescent="0.25">
      <c r="A513" s="2149" t="str">
        <f t="shared" si="342"/>
        <v>Anti Sweat Heater Control, Freezer</v>
      </c>
      <c r="B513" s="1974" t="str">
        <f t="shared" si="342"/>
        <v>BPR33</v>
      </c>
      <c r="C513" s="2027">
        <f t="shared" si="349"/>
        <v>10</v>
      </c>
      <c r="D513" s="2144">
        <f t="shared" si="349"/>
        <v>2709.2003718384003</v>
      </c>
      <c r="E513" s="2145">
        <f t="shared" si="349"/>
        <v>0</v>
      </c>
      <c r="F513" s="2027">
        <f t="shared" si="349"/>
        <v>0</v>
      </c>
      <c r="G513" s="1974" t="s">
        <v>2988</v>
      </c>
      <c r="H513" s="1974" t="s">
        <v>2988</v>
      </c>
      <c r="I513" s="2026">
        <v>0.9</v>
      </c>
      <c r="J513" s="2026">
        <v>0.9</v>
      </c>
      <c r="K513" s="2026">
        <v>0.9</v>
      </c>
      <c r="L513" s="2026">
        <v>0.9</v>
      </c>
      <c r="M513" s="2027">
        <f t="shared" si="322"/>
        <v>2438.2803346545602</v>
      </c>
      <c r="N513" s="2027">
        <f t="shared" si="322"/>
        <v>2438.2803346545602</v>
      </c>
      <c r="O513" s="2027">
        <f t="shared" si="322"/>
        <v>2438.2803346545602</v>
      </c>
      <c r="P513" s="2027">
        <f t="shared" si="322"/>
        <v>2438.2803346545602</v>
      </c>
      <c r="Q513" s="2026">
        <v>0.9</v>
      </c>
      <c r="R513" s="2026">
        <v>0.9</v>
      </c>
      <c r="S513" s="2026">
        <v>0.9</v>
      </c>
      <c r="T513" s="2026">
        <v>0.9</v>
      </c>
      <c r="U513" s="2028">
        <f t="shared" si="323"/>
        <v>0</v>
      </c>
      <c r="V513" s="2028">
        <f t="shared" si="323"/>
        <v>0</v>
      </c>
      <c r="W513" s="2028">
        <f t="shared" si="323"/>
        <v>0</v>
      </c>
      <c r="X513" s="2028">
        <f t="shared" si="323"/>
        <v>0</v>
      </c>
      <c r="Y513" s="2026">
        <v>0.9</v>
      </c>
      <c r="Z513" s="2026">
        <v>0.9</v>
      </c>
      <c r="AA513" s="2026">
        <v>0.9</v>
      </c>
      <c r="AB513" s="2026">
        <v>0.9</v>
      </c>
      <c r="AC513" s="2027">
        <f t="shared" si="324"/>
        <v>0</v>
      </c>
      <c r="AD513" s="2027">
        <f t="shared" si="324"/>
        <v>0</v>
      </c>
      <c r="AE513" s="2027">
        <f t="shared" si="324"/>
        <v>0</v>
      </c>
      <c r="AF513" s="2027">
        <f t="shared" si="324"/>
        <v>0</v>
      </c>
      <c r="AG513" s="2027">
        <v>0</v>
      </c>
      <c r="AH513" s="2028"/>
      <c r="AI513" s="2028"/>
      <c r="AJ513" s="2028"/>
      <c r="AK513" s="2027">
        <f t="shared" si="312"/>
        <v>0</v>
      </c>
      <c r="AL513" s="2027">
        <f t="shared" si="343"/>
        <v>0</v>
      </c>
      <c r="AM513" s="2027">
        <f t="shared" si="343"/>
        <v>0</v>
      </c>
      <c r="AN513" s="2027">
        <f t="shared" si="343"/>
        <v>0</v>
      </c>
      <c r="AO513" s="2027">
        <f t="shared" si="325"/>
        <v>0</v>
      </c>
      <c r="AP513" s="2027">
        <f t="shared" si="314"/>
        <v>0</v>
      </c>
      <c r="AQ513" s="2027">
        <f t="shared" si="314"/>
        <v>0</v>
      </c>
      <c r="AR513" s="2027">
        <f t="shared" si="314"/>
        <v>0</v>
      </c>
      <c r="AS513" s="2124">
        <f t="shared" si="348"/>
        <v>120</v>
      </c>
      <c r="AT513" s="2029">
        <f t="shared" si="315"/>
        <v>120</v>
      </c>
      <c r="AU513" s="2029">
        <f t="shared" si="315"/>
        <v>120</v>
      </c>
      <c r="AV513" s="2029">
        <f t="shared" si="315"/>
        <v>120</v>
      </c>
      <c r="AW513" s="2124">
        <f t="shared" si="316"/>
        <v>0</v>
      </c>
      <c r="AX513" s="2029">
        <f t="shared" si="335"/>
        <v>0</v>
      </c>
      <c r="AY513" s="2029">
        <f t="shared" si="335"/>
        <v>0</v>
      </c>
      <c r="AZ513" s="2029">
        <f t="shared" si="335"/>
        <v>0</v>
      </c>
      <c r="BA513" s="2124">
        <f t="shared" si="347"/>
        <v>250</v>
      </c>
      <c r="BB513" s="2029">
        <f t="shared" si="347"/>
        <v>250</v>
      </c>
      <c r="BC513" s="2029">
        <f t="shared" si="347"/>
        <v>250</v>
      </c>
      <c r="BD513" s="2029">
        <f t="shared" si="347"/>
        <v>250</v>
      </c>
      <c r="BE513" s="2030">
        <f t="shared" si="328"/>
        <v>0</v>
      </c>
      <c r="BF513" s="2030">
        <f t="shared" si="328"/>
        <v>0</v>
      </c>
      <c r="BG513" s="2030">
        <f t="shared" si="328"/>
        <v>0</v>
      </c>
      <c r="BH513" s="2030">
        <f t="shared" si="328"/>
        <v>0</v>
      </c>
      <c r="BI513" s="2030">
        <f t="shared" si="329"/>
        <v>0</v>
      </c>
      <c r="BJ513" s="2030">
        <f t="shared" si="329"/>
        <v>0</v>
      </c>
      <c r="BK513" s="2030">
        <f t="shared" si="329"/>
        <v>0</v>
      </c>
      <c r="BL513" s="2030">
        <f t="shared" si="329"/>
        <v>0</v>
      </c>
      <c r="BM513" s="2125"/>
      <c r="BN513" s="2125"/>
      <c r="BO513" s="2125"/>
      <c r="BP513" s="2125"/>
      <c r="BQ513" s="2125"/>
      <c r="BR513" s="2125"/>
      <c r="BS513" s="2125"/>
      <c r="BT513" s="2125"/>
      <c r="BU513" s="2029"/>
      <c r="BV513" s="2029"/>
      <c r="BW513" s="2029"/>
      <c r="BX513" s="2029"/>
      <c r="BY513" s="2029"/>
      <c r="BZ513" s="2032"/>
      <c r="CA513" s="1974">
        <f t="shared" si="344"/>
        <v>0</v>
      </c>
      <c r="CB513" s="1974">
        <f t="shared" si="344"/>
        <v>0</v>
      </c>
      <c r="CC513" s="1974">
        <f t="shared" si="344"/>
        <v>0</v>
      </c>
      <c r="CD513" s="1974">
        <f t="shared" si="344"/>
        <v>0</v>
      </c>
      <c r="CE513" s="1974">
        <f t="shared" si="344"/>
        <v>0</v>
      </c>
      <c r="CF513" s="2033">
        <v>0</v>
      </c>
      <c r="CG513" s="2026">
        <v>0</v>
      </c>
      <c r="CH513" s="2009">
        <f t="shared" si="345"/>
        <v>0</v>
      </c>
      <c r="CI513" s="2031">
        <f t="shared" si="345"/>
        <v>0</v>
      </c>
      <c r="CJ513" s="1974">
        <f t="shared" si="345"/>
        <v>0</v>
      </c>
      <c r="CK513" s="2031">
        <f t="shared" si="345"/>
        <v>0</v>
      </c>
      <c r="CL513" s="2026">
        <v>1</v>
      </c>
      <c r="CM513" s="2026">
        <v>1</v>
      </c>
      <c r="CN513" s="2026">
        <v>1</v>
      </c>
      <c r="CO513" s="2026">
        <v>1</v>
      </c>
      <c r="CP513" s="2035"/>
      <c r="CQ513" s="2036"/>
      <c r="CR513" s="2036"/>
      <c r="CS513" s="2036"/>
      <c r="CT513" s="2036"/>
      <c r="CU513" s="2036"/>
      <c r="CV513" s="1973">
        <v>1</v>
      </c>
      <c r="CW513" s="1973">
        <v>0</v>
      </c>
      <c r="CX513" s="2037">
        <v>120</v>
      </c>
      <c r="CY513" s="2037">
        <v>120</v>
      </c>
      <c r="CZ513" s="2037">
        <v>120</v>
      </c>
      <c r="DA513" s="2037">
        <v>120</v>
      </c>
      <c r="DJ513" s="1976">
        <v>120</v>
      </c>
      <c r="DK513" s="1973">
        <v>120</v>
      </c>
      <c r="DL513" s="1973">
        <v>120</v>
      </c>
      <c r="DM513" s="1973">
        <v>120</v>
      </c>
      <c r="DO513" s="2027">
        <v>12</v>
      </c>
      <c r="DP513" s="2144">
        <v>2709.2003718384003</v>
      </c>
      <c r="DQ513" s="2145">
        <v>0</v>
      </c>
      <c r="DR513" s="2027">
        <v>0</v>
      </c>
      <c r="DS513" s="2124">
        <v>120</v>
      </c>
      <c r="DT513" s="2029">
        <v>120</v>
      </c>
      <c r="DU513" s="2029">
        <v>120</v>
      </c>
      <c r="DV513" s="2029">
        <v>120</v>
      </c>
      <c r="DW513" s="2124">
        <v>0</v>
      </c>
      <c r="DX513" s="2029">
        <v>0</v>
      </c>
      <c r="DY513" s="2029">
        <v>0</v>
      </c>
      <c r="DZ513" s="2029">
        <v>0</v>
      </c>
      <c r="EA513" s="2124">
        <v>250</v>
      </c>
      <c r="EB513" s="2029">
        <v>250</v>
      </c>
      <c r="EC513" s="2029">
        <v>250</v>
      </c>
      <c r="ED513" s="2029">
        <v>250</v>
      </c>
      <c r="EE513" s="2039">
        <f t="shared" si="296"/>
        <v>-2</v>
      </c>
      <c r="EF513" s="2039">
        <f t="shared" si="296"/>
        <v>0</v>
      </c>
      <c r="EG513" s="2039">
        <f t="shared" si="296"/>
        <v>0</v>
      </c>
      <c r="EH513" s="2039">
        <f t="shared" si="296"/>
        <v>0</v>
      </c>
      <c r="EI513" s="2040">
        <f t="shared" si="333"/>
        <v>0</v>
      </c>
      <c r="EJ513" s="2040">
        <f t="shared" si="333"/>
        <v>0</v>
      </c>
      <c r="EK513" s="2040">
        <f t="shared" si="333"/>
        <v>0</v>
      </c>
      <c r="EL513" s="2040">
        <f t="shared" si="332"/>
        <v>0</v>
      </c>
      <c r="EM513" s="2040">
        <f t="shared" si="332"/>
        <v>0</v>
      </c>
      <c r="EN513" s="2040">
        <f t="shared" si="332"/>
        <v>0</v>
      </c>
      <c r="EO513" s="2040">
        <f t="shared" ref="EO513:ET555" si="350">AY513-DY513</f>
        <v>0</v>
      </c>
      <c r="EP513" s="2040">
        <f t="shared" si="350"/>
        <v>0</v>
      </c>
      <c r="EQ513" s="2040">
        <f t="shared" si="350"/>
        <v>0</v>
      </c>
      <c r="ER513" s="2040">
        <f t="shared" si="350"/>
        <v>0</v>
      </c>
      <c r="ES513" s="2040">
        <f t="shared" si="350"/>
        <v>0</v>
      </c>
      <c r="ET513" s="2040">
        <f t="shared" si="350"/>
        <v>0</v>
      </c>
      <c r="EU513" s="2039">
        <f t="shared" si="297"/>
        <v>-2</v>
      </c>
      <c r="EV513" s="2039">
        <f t="shared" si="298"/>
        <v>-2</v>
      </c>
    </row>
    <row r="514" spans="1:152" x14ac:dyDescent="0.25">
      <c r="A514" s="2149" t="str">
        <f t="shared" si="342"/>
        <v>Anti Sweat Heater Control, Cooler</v>
      </c>
      <c r="B514" s="1974" t="str">
        <f t="shared" si="342"/>
        <v>BPR34</v>
      </c>
      <c r="C514" s="2027">
        <f t="shared" si="349"/>
        <v>10</v>
      </c>
      <c r="D514" s="2144">
        <f t="shared" si="349"/>
        <v>1278.1885859028002</v>
      </c>
      <c r="E514" s="2145">
        <f t="shared" si="349"/>
        <v>0</v>
      </c>
      <c r="F514" s="2027">
        <f t="shared" si="349"/>
        <v>0</v>
      </c>
      <c r="G514" s="1974" t="s">
        <v>2988</v>
      </c>
      <c r="H514" s="1974" t="s">
        <v>2988</v>
      </c>
      <c r="I514" s="2026">
        <v>0.9</v>
      </c>
      <c r="J514" s="2026">
        <v>0.9</v>
      </c>
      <c r="K514" s="2026">
        <v>0.9</v>
      </c>
      <c r="L514" s="2026">
        <v>0.9</v>
      </c>
      <c r="M514" s="2027">
        <f t="shared" si="322"/>
        <v>1150.3697273125204</v>
      </c>
      <c r="N514" s="2027">
        <f t="shared" si="322"/>
        <v>1150.3697273125204</v>
      </c>
      <c r="O514" s="2027">
        <f t="shared" si="322"/>
        <v>1150.3697273125204</v>
      </c>
      <c r="P514" s="2027">
        <f t="shared" si="322"/>
        <v>1150.3697273125204</v>
      </c>
      <c r="Q514" s="2026">
        <v>0.9</v>
      </c>
      <c r="R514" s="2026">
        <v>0.9</v>
      </c>
      <c r="S514" s="2026">
        <v>0.9</v>
      </c>
      <c r="T514" s="2026">
        <v>0.9</v>
      </c>
      <c r="U514" s="2028">
        <f t="shared" si="323"/>
        <v>0</v>
      </c>
      <c r="V514" s="2028">
        <f t="shared" si="323"/>
        <v>0</v>
      </c>
      <c r="W514" s="2028">
        <f t="shared" si="323"/>
        <v>0</v>
      </c>
      <c r="X514" s="2028">
        <f t="shared" si="323"/>
        <v>0</v>
      </c>
      <c r="Y514" s="2026">
        <v>0.9</v>
      </c>
      <c r="Z514" s="2026">
        <v>0.9</v>
      </c>
      <c r="AA514" s="2026">
        <v>0.9</v>
      </c>
      <c r="AB514" s="2026">
        <v>0.9</v>
      </c>
      <c r="AC514" s="2027">
        <f t="shared" si="324"/>
        <v>0</v>
      </c>
      <c r="AD514" s="2027">
        <f t="shared" si="324"/>
        <v>0</v>
      </c>
      <c r="AE514" s="2027">
        <f t="shared" si="324"/>
        <v>0</v>
      </c>
      <c r="AF514" s="2027">
        <f t="shared" si="324"/>
        <v>0</v>
      </c>
      <c r="AG514" s="2027">
        <v>0</v>
      </c>
      <c r="AH514" s="2028"/>
      <c r="AI514" s="2028"/>
      <c r="AJ514" s="2028"/>
      <c r="AK514" s="2027">
        <f t="shared" si="312"/>
        <v>0</v>
      </c>
      <c r="AL514" s="2027">
        <f t="shared" si="343"/>
        <v>0</v>
      </c>
      <c r="AM514" s="2027">
        <f t="shared" si="343"/>
        <v>0</v>
      </c>
      <c r="AN514" s="2027">
        <f t="shared" si="343"/>
        <v>0</v>
      </c>
      <c r="AO514" s="2027">
        <f t="shared" si="325"/>
        <v>0</v>
      </c>
      <c r="AP514" s="2027">
        <f t="shared" si="314"/>
        <v>0</v>
      </c>
      <c r="AQ514" s="2027">
        <f t="shared" si="314"/>
        <v>0</v>
      </c>
      <c r="AR514" s="2027">
        <f t="shared" si="314"/>
        <v>0</v>
      </c>
      <c r="AS514" s="2124">
        <f t="shared" si="348"/>
        <v>120</v>
      </c>
      <c r="AT514" s="2029">
        <f t="shared" si="315"/>
        <v>120</v>
      </c>
      <c r="AU514" s="2029">
        <f t="shared" si="315"/>
        <v>120</v>
      </c>
      <c r="AV514" s="2029">
        <f t="shared" si="315"/>
        <v>120</v>
      </c>
      <c r="AW514" s="2124">
        <f t="shared" si="316"/>
        <v>0</v>
      </c>
      <c r="AX514" s="2029">
        <f t="shared" si="335"/>
        <v>0</v>
      </c>
      <c r="AY514" s="2029">
        <f t="shared" si="335"/>
        <v>0</v>
      </c>
      <c r="AZ514" s="2029">
        <f t="shared" si="335"/>
        <v>0</v>
      </c>
      <c r="BA514" s="2124">
        <f t="shared" si="347"/>
        <v>250</v>
      </c>
      <c r="BB514" s="2029">
        <f t="shared" si="347"/>
        <v>250</v>
      </c>
      <c r="BC514" s="2029">
        <f t="shared" si="347"/>
        <v>250</v>
      </c>
      <c r="BD514" s="2029">
        <f t="shared" si="347"/>
        <v>250</v>
      </c>
      <c r="BE514" s="2030">
        <f t="shared" si="328"/>
        <v>0</v>
      </c>
      <c r="BF514" s="2030">
        <f t="shared" si="328"/>
        <v>0</v>
      </c>
      <c r="BG514" s="2030">
        <f t="shared" si="328"/>
        <v>0</v>
      </c>
      <c r="BH514" s="2030">
        <f t="shared" si="328"/>
        <v>0</v>
      </c>
      <c r="BI514" s="2030">
        <f t="shared" si="329"/>
        <v>0</v>
      </c>
      <c r="BJ514" s="2030">
        <f t="shared" si="329"/>
        <v>0</v>
      </c>
      <c r="BK514" s="2030">
        <f t="shared" si="329"/>
        <v>0</v>
      </c>
      <c r="BL514" s="2030">
        <f t="shared" si="329"/>
        <v>0</v>
      </c>
      <c r="BM514" s="2125"/>
      <c r="BN514" s="2125"/>
      <c r="BO514" s="2125"/>
      <c r="BP514" s="2125"/>
      <c r="BQ514" s="2125"/>
      <c r="BR514" s="2125"/>
      <c r="BS514" s="2125"/>
      <c r="BT514" s="2125"/>
      <c r="BU514" s="2029"/>
      <c r="BV514" s="2029"/>
      <c r="BW514" s="2029"/>
      <c r="BX514" s="2029"/>
      <c r="BY514" s="2029"/>
      <c r="BZ514" s="2032"/>
      <c r="CA514" s="1974">
        <f t="shared" si="344"/>
        <v>0</v>
      </c>
      <c r="CB514" s="1974">
        <f t="shared" si="344"/>
        <v>0</v>
      </c>
      <c r="CC514" s="1974">
        <f t="shared" si="344"/>
        <v>0</v>
      </c>
      <c r="CD514" s="1974">
        <f t="shared" si="344"/>
        <v>0</v>
      </c>
      <c r="CE514" s="1974">
        <f t="shared" si="344"/>
        <v>0</v>
      </c>
      <c r="CF514" s="2033">
        <v>0</v>
      </c>
      <c r="CG514" s="2026">
        <v>0</v>
      </c>
      <c r="CH514" s="2009">
        <f t="shared" si="345"/>
        <v>0</v>
      </c>
      <c r="CI514" s="2031">
        <f t="shared" si="345"/>
        <v>0</v>
      </c>
      <c r="CJ514" s="1974">
        <f t="shared" si="345"/>
        <v>0</v>
      </c>
      <c r="CK514" s="2031">
        <f t="shared" si="345"/>
        <v>0</v>
      </c>
      <c r="CL514" s="2026">
        <v>1</v>
      </c>
      <c r="CM514" s="2026">
        <v>1</v>
      </c>
      <c r="CN514" s="2026">
        <v>1</v>
      </c>
      <c r="CO514" s="2026">
        <v>1</v>
      </c>
      <c r="CP514" s="2035"/>
      <c r="CQ514" s="2036"/>
      <c r="CR514" s="2036"/>
      <c r="CS514" s="2036"/>
      <c r="CT514" s="2036"/>
      <c r="CU514" s="2036"/>
      <c r="CV514" s="1973">
        <v>1</v>
      </c>
      <c r="CW514" s="1973">
        <v>0</v>
      </c>
      <c r="CX514" s="2037">
        <v>120</v>
      </c>
      <c r="CY514" s="2037">
        <v>120</v>
      </c>
      <c r="CZ514" s="2037">
        <v>120</v>
      </c>
      <c r="DA514" s="2037">
        <v>120</v>
      </c>
      <c r="DJ514" s="1976">
        <v>120</v>
      </c>
      <c r="DK514" s="1973">
        <v>120</v>
      </c>
      <c r="DL514" s="1973">
        <v>120</v>
      </c>
      <c r="DM514" s="1973">
        <v>120</v>
      </c>
      <c r="DO514" s="2027">
        <v>12</v>
      </c>
      <c r="DP514" s="2144">
        <v>1278.1885859028002</v>
      </c>
      <c r="DQ514" s="2145">
        <v>0</v>
      </c>
      <c r="DR514" s="2027">
        <v>0</v>
      </c>
      <c r="DS514" s="2124">
        <v>120</v>
      </c>
      <c r="DT514" s="2029">
        <v>120</v>
      </c>
      <c r="DU514" s="2029">
        <v>120</v>
      </c>
      <c r="DV514" s="2029">
        <v>120</v>
      </c>
      <c r="DW514" s="2124">
        <v>0</v>
      </c>
      <c r="DX514" s="2029">
        <v>0</v>
      </c>
      <c r="DY514" s="2029">
        <v>0</v>
      </c>
      <c r="DZ514" s="2029">
        <v>0</v>
      </c>
      <c r="EA514" s="2124">
        <v>250</v>
      </c>
      <c r="EB514" s="2029">
        <v>250</v>
      </c>
      <c r="EC514" s="2029">
        <v>250</v>
      </c>
      <c r="ED514" s="2029">
        <v>250</v>
      </c>
      <c r="EE514" s="2039">
        <f t="shared" si="296"/>
        <v>-2</v>
      </c>
      <c r="EF514" s="2039">
        <f t="shared" si="296"/>
        <v>0</v>
      </c>
      <c r="EG514" s="2039">
        <f t="shared" si="296"/>
        <v>0</v>
      </c>
      <c r="EH514" s="2039">
        <f t="shared" si="296"/>
        <v>0</v>
      </c>
      <c r="EI514" s="2040">
        <f t="shared" si="333"/>
        <v>0</v>
      </c>
      <c r="EJ514" s="2040">
        <f t="shared" si="333"/>
        <v>0</v>
      </c>
      <c r="EK514" s="2040">
        <f t="shared" si="333"/>
        <v>0</v>
      </c>
      <c r="EL514" s="2040">
        <f t="shared" si="333"/>
        <v>0</v>
      </c>
      <c r="EM514" s="2040">
        <f t="shared" si="333"/>
        <v>0</v>
      </c>
      <c r="EN514" s="2040">
        <f t="shared" si="333"/>
        <v>0</v>
      </c>
      <c r="EO514" s="2040">
        <f t="shared" si="350"/>
        <v>0</v>
      </c>
      <c r="EP514" s="2040">
        <f t="shared" si="350"/>
        <v>0</v>
      </c>
      <c r="EQ514" s="2040">
        <f t="shared" si="350"/>
        <v>0</v>
      </c>
      <c r="ER514" s="2040">
        <f t="shared" si="350"/>
        <v>0</v>
      </c>
      <c r="ES514" s="2040">
        <f t="shared" si="350"/>
        <v>0</v>
      </c>
      <c r="ET514" s="2040">
        <f t="shared" si="350"/>
        <v>0</v>
      </c>
      <c r="EU514" s="2039">
        <f t="shared" si="297"/>
        <v>-2</v>
      </c>
      <c r="EV514" s="2039">
        <f t="shared" si="298"/>
        <v>-2</v>
      </c>
    </row>
    <row r="515" spans="1:152" x14ac:dyDescent="0.25">
      <c r="A515" s="2150" t="str">
        <f t="shared" ref="A515:B530" si="351">IF(A54="","",A54)</f>
        <v>Evaporator Fan Controls</v>
      </c>
      <c r="B515" s="1974" t="str">
        <f t="shared" si="351"/>
        <v>BPR6</v>
      </c>
      <c r="C515" s="2027">
        <f t="shared" si="349"/>
        <v>15</v>
      </c>
      <c r="D515" s="2144">
        <f t="shared" si="349"/>
        <v>478</v>
      </c>
      <c r="E515" s="2145">
        <f t="shared" si="349"/>
        <v>0.06</v>
      </c>
      <c r="F515" s="2027">
        <f t="shared" si="349"/>
        <v>0</v>
      </c>
      <c r="G515" s="1974" t="s">
        <v>2988</v>
      </c>
      <c r="H515" s="1974" t="s">
        <v>2988</v>
      </c>
      <c r="I515" s="2026">
        <v>0.9</v>
      </c>
      <c r="J515" s="2026">
        <v>0.9</v>
      </c>
      <c r="K515" s="2026">
        <v>0.9</v>
      </c>
      <c r="L515" s="2026">
        <v>0.9</v>
      </c>
      <c r="M515" s="2027">
        <f t="shared" si="322"/>
        <v>430.2</v>
      </c>
      <c r="N515" s="2027">
        <f t="shared" si="322"/>
        <v>430.2</v>
      </c>
      <c r="O515" s="2027">
        <f t="shared" si="322"/>
        <v>430.2</v>
      </c>
      <c r="P515" s="2027">
        <f t="shared" si="322"/>
        <v>430.2</v>
      </c>
      <c r="Q515" s="2026">
        <v>0.9</v>
      </c>
      <c r="R515" s="2026">
        <v>0.9</v>
      </c>
      <c r="S515" s="2026">
        <v>0.9</v>
      </c>
      <c r="T515" s="2026">
        <v>0.9</v>
      </c>
      <c r="U515" s="2028">
        <f t="shared" si="323"/>
        <v>5.3999999999999999E-2</v>
      </c>
      <c r="V515" s="2028">
        <f t="shared" si="323"/>
        <v>5.3999999999999999E-2</v>
      </c>
      <c r="W515" s="2028">
        <f t="shared" si="323"/>
        <v>5.3999999999999999E-2</v>
      </c>
      <c r="X515" s="2028">
        <f t="shared" si="323"/>
        <v>5.3999999999999999E-2</v>
      </c>
      <c r="Y515" s="2026">
        <v>0.9</v>
      </c>
      <c r="Z515" s="2026">
        <v>0.9</v>
      </c>
      <c r="AA515" s="2026">
        <v>0.9</v>
      </c>
      <c r="AB515" s="2026">
        <v>0.9</v>
      </c>
      <c r="AC515" s="2027">
        <f t="shared" si="324"/>
        <v>0</v>
      </c>
      <c r="AD515" s="2027">
        <f t="shared" si="324"/>
        <v>0</v>
      </c>
      <c r="AE515" s="2027">
        <f t="shared" si="324"/>
        <v>0</v>
      </c>
      <c r="AF515" s="2027">
        <f t="shared" si="324"/>
        <v>0</v>
      </c>
      <c r="AG515" s="2027">
        <v>1</v>
      </c>
      <c r="AH515" s="2028">
        <v>1</v>
      </c>
      <c r="AI515" s="2028">
        <v>1</v>
      </c>
      <c r="AJ515" s="2028">
        <v>1</v>
      </c>
      <c r="AK515" s="2027">
        <f t="shared" si="312"/>
        <v>430.2</v>
      </c>
      <c r="AL515" s="2027">
        <f t="shared" si="343"/>
        <v>430.2</v>
      </c>
      <c r="AM515" s="2027">
        <f t="shared" si="343"/>
        <v>430.2</v>
      </c>
      <c r="AN515" s="2027">
        <f t="shared" si="343"/>
        <v>430.2</v>
      </c>
      <c r="AO515" s="2027">
        <f t="shared" si="325"/>
        <v>0</v>
      </c>
      <c r="AP515" s="2027">
        <f t="shared" si="314"/>
        <v>0</v>
      </c>
      <c r="AQ515" s="2027">
        <f t="shared" si="314"/>
        <v>0</v>
      </c>
      <c r="AR515" s="2027">
        <f t="shared" si="314"/>
        <v>0</v>
      </c>
      <c r="AS515" s="2124">
        <f>AS54*1</f>
        <v>60</v>
      </c>
      <c r="AT515" s="2029">
        <f t="shared" si="315"/>
        <v>60</v>
      </c>
      <c r="AU515" s="2029">
        <f t="shared" si="315"/>
        <v>60</v>
      </c>
      <c r="AV515" s="2029">
        <f t="shared" si="315"/>
        <v>60</v>
      </c>
      <c r="AW515" s="2124">
        <f t="shared" si="316"/>
        <v>0</v>
      </c>
      <c r="AX515" s="2029">
        <f t="shared" si="335"/>
        <v>0</v>
      </c>
      <c r="AY515" s="2029">
        <f t="shared" si="335"/>
        <v>0</v>
      </c>
      <c r="AZ515" s="2029">
        <f t="shared" si="335"/>
        <v>0</v>
      </c>
      <c r="BA515" s="2124">
        <f t="shared" si="347"/>
        <v>291</v>
      </c>
      <c r="BB515" s="2029">
        <f t="shared" si="347"/>
        <v>291</v>
      </c>
      <c r="BC515" s="2029">
        <f t="shared" si="347"/>
        <v>291</v>
      </c>
      <c r="BD515" s="2029">
        <f t="shared" si="347"/>
        <v>291</v>
      </c>
      <c r="BE515" s="2030">
        <f t="shared" si="328"/>
        <v>60</v>
      </c>
      <c r="BF515" s="2030">
        <f t="shared" si="328"/>
        <v>60</v>
      </c>
      <c r="BG515" s="2030">
        <f t="shared" si="328"/>
        <v>60</v>
      </c>
      <c r="BH515" s="2030">
        <f t="shared" si="328"/>
        <v>60</v>
      </c>
      <c r="BI515" s="2030">
        <f t="shared" si="329"/>
        <v>0</v>
      </c>
      <c r="BJ515" s="2030">
        <f t="shared" si="329"/>
        <v>0</v>
      </c>
      <c r="BK515" s="2030">
        <f t="shared" si="329"/>
        <v>0</v>
      </c>
      <c r="BL515" s="2030">
        <f t="shared" si="329"/>
        <v>0</v>
      </c>
      <c r="BM515" s="2125"/>
      <c r="BN515" s="2125"/>
      <c r="BO515" s="2125"/>
      <c r="BP515" s="2125"/>
      <c r="BQ515" s="2125"/>
      <c r="BR515" s="2125"/>
      <c r="BS515" s="2125"/>
      <c r="BT515" s="2125"/>
      <c r="BU515" s="2029"/>
      <c r="BV515" s="2029"/>
      <c r="BW515" s="2029"/>
      <c r="BX515" s="2029"/>
      <c r="BY515" s="2029"/>
      <c r="BZ515" s="2032"/>
      <c r="CA515" s="1974">
        <f t="shared" ref="CA515:CE530" si="352">CA54</f>
        <v>0</v>
      </c>
      <c r="CB515" s="1974">
        <f t="shared" si="352"/>
        <v>0</v>
      </c>
      <c r="CC515" s="1974">
        <f t="shared" si="352"/>
        <v>0</v>
      </c>
      <c r="CD515" s="1974">
        <f t="shared" si="352"/>
        <v>0</v>
      </c>
      <c r="CE515" s="1974">
        <f t="shared" si="352"/>
        <v>0</v>
      </c>
      <c r="CF515" s="2033">
        <v>1.7983808905119348E-6</v>
      </c>
      <c r="CG515" s="2026">
        <v>0</v>
      </c>
      <c r="CH515" s="2009">
        <f t="shared" ref="CH515:CK530" si="353">CH54</f>
        <v>0</v>
      </c>
      <c r="CI515" s="2031">
        <f t="shared" si="353"/>
        <v>0</v>
      </c>
      <c r="CJ515" s="1974">
        <f t="shared" si="353"/>
        <v>0</v>
      </c>
      <c r="CK515" s="2031">
        <f t="shared" si="353"/>
        <v>0</v>
      </c>
      <c r="CL515" s="2026">
        <v>1</v>
      </c>
      <c r="CM515" s="2026">
        <v>1</v>
      </c>
      <c r="CN515" s="2026">
        <v>1</v>
      </c>
      <c r="CO515" s="2026">
        <v>1</v>
      </c>
      <c r="CP515" s="2035"/>
      <c r="CQ515" s="2036"/>
      <c r="CR515" s="2036"/>
      <c r="CS515" s="2036"/>
      <c r="CT515" s="2036"/>
      <c r="CU515" s="2036"/>
      <c r="CV515" s="1973">
        <v>1</v>
      </c>
      <c r="CW515" s="1973">
        <v>0</v>
      </c>
      <c r="CX515" s="2037">
        <v>60</v>
      </c>
      <c r="CY515" s="2037">
        <v>60</v>
      </c>
      <c r="CZ515" s="2037">
        <v>60</v>
      </c>
      <c r="DA515" s="2037">
        <v>60</v>
      </c>
      <c r="DJ515" s="1976">
        <v>60</v>
      </c>
      <c r="DK515" s="1973">
        <v>60</v>
      </c>
      <c r="DL515" s="1973">
        <v>60</v>
      </c>
      <c r="DM515" s="1973">
        <v>60</v>
      </c>
      <c r="DO515" s="2027">
        <v>16</v>
      </c>
      <c r="DP515" s="2144">
        <v>478</v>
      </c>
      <c r="DQ515" s="2145">
        <v>0.06</v>
      </c>
      <c r="DR515" s="2027">
        <v>0</v>
      </c>
      <c r="DS515" s="2124">
        <v>60</v>
      </c>
      <c r="DT515" s="2029">
        <v>60</v>
      </c>
      <c r="DU515" s="2029">
        <v>60</v>
      </c>
      <c r="DV515" s="2029">
        <v>60</v>
      </c>
      <c r="DW515" s="2124">
        <v>0</v>
      </c>
      <c r="DX515" s="2029">
        <v>0</v>
      </c>
      <c r="DY515" s="2029">
        <v>0</v>
      </c>
      <c r="DZ515" s="2029">
        <v>0</v>
      </c>
      <c r="EA515" s="2124">
        <v>291</v>
      </c>
      <c r="EB515" s="2029">
        <v>291</v>
      </c>
      <c r="EC515" s="2029">
        <v>291</v>
      </c>
      <c r="ED515" s="2029">
        <v>291</v>
      </c>
      <c r="EE515" s="2039">
        <f t="shared" si="296"/>
        <v>-1</v>
      </c>
      <c r="EF515" s="2039">
        <f t="shared" si="296"/>
        <v>0</v>
      </c>
      <c r="EG515" s="2039">
        <f t="shared" si="296"/>
        <v>0</v>
      </c>
      <c r="EH515" s="2039">
        <f t="shared" si="296"/>
        <v>0</v>
      </c>
      <c r="EI515" s="2040">
        <f t="shared" si="333"/>
        <v>0</v>
      </c>
      <c r="EJ515" s="2040">
        <f t="shared" si="333"/>
        <v>0</v>
      </c>
      <c r="EK515" s="2040">
        <f t="shared" si="333"/>
        <v>0</v>
      </c>
      <c r="EL515" s="2040">
        <f t="shared" si="333"/>
        <v>0</v>
      </c>
      <c r="EM515" s="2040">
        <f t="shared" si="333"/>
        <v>0</v>
      </c>
      <c r="EN515" s="2040">
        <f t="shared" si="333"/>
        <v>0</v>
      </c>
      <c r="EO515" s="2040">
        <f t="shared" si="350"/>
        <v>0</v>
      </c>
      <c r="EP515" s="2040">
        <f t="shared" si="350"/>
        <v>0</v>
      </c>
      <c r="EQ515" s="2040">
        <f t="shared" si="350"/>
        <v>0</v>
      </c>
      <c r="ER515" s="2040">
        <f t="shared" si="350"/>
        <v>0</v>
      </c>
      <c r="ES515" s="2040">
        <f t="shared" si="350"/>
        <v>0</v>
      </c>
      <c r="ET515" s="2040">
        <f t="shared" si="350"/>
        <v>0</v>
      </c>
      <c r="EU515" s="2039">
        <f t="shared" si="297"/>
        <v>-1</v>
      </c>
      <c r="EV515" s="2039">
        <f t="shared" si="298"/>
        <v>-1</v>
      </c>
    </row>
    <row r="516" spans="1:152" x14ac:dyDescent="0.25">
      <c r="A516" s="2150" t="str">
        <f t="shared" si="351"/>
        <v>Solid Door Freezer (up to 15 cu ft)</v>
      </c>
      <c r="B516" s="1974" t="str">
        <f t="shared" si="351"/>
        <v>BPR27</v>
      </c>
      <c r="C516" s="2027">
        <f t="shared" si="349"/>
        <v>12</v>
      </c>
      <c r="D516" s="2144">
        <f t="shared" si="349"/>
        <v>269.89999999999998</v>
      </c>
      <c r="E516" s="2145">
        <f t="shared" si="349"/>
        <v>0.03</v>
      </c>
      <c r="F516" s="2027">
        <f t="shared" si="349"/>
        <v>0</v>
      </c>
      <c r="G516" s="1974" t="s">
        <v>2988</v>
      </c>
      <c r="H516" s="1974" t="s">
        <v>2988</v>
      </c>
      <c r="I516" s="2026">
        <v>0.9</v>
      </c>
      <c r="J516" s="2026">
        <v>0.9</v>
      </c>
      <c r="K516" s="2026">
        <v>0.9</v>
      </c>
      <c r="L516" s="2026">
        <v>0.9</v>
      </c>
      <c r="M516" s="2027">
        <f t="shared" si="322"/>
        <v>242.91</v>
      </c>
      <c r="N516" s="2027">
        <f t="shared" si="322"/>
        <v>242.91</v>
      </c>
      <c r="O516" s="2027">
        <f t="shared" si="322"/>
        <v>242.91</v>
      </c>
      <c r="P516" s="2027">
        <f t="shared" si="322"/>
        <v>242.91</v>
      </c>
      <c r="Q516" s="2026">
        <v>0.9</v>
      </c>
      <c r="R516" s="2026">
        <v>0.9</v>
      </c>
      <c r="S516" s="2026">
        <v>0.9</v>
      </c>
      <c r="T516" s="2026">
        <v>0.9</v>
      </c>
      <c r="U516" s="2028">
        <f t="shared" si="323"/>
        <v>2.7E-2</v>
      </c>
      <c r="V516" s="2028">
        <f t="shared" si="323"/>
        <v>2.7E-2</v>
      </c>
      <c r="W516" s="2028">
        <f t="shared" si="323"/>
        <v>2.7E-2</v>
      </c>
      <c r="X516" s="2028">
        <f t="shared" si="323"/>
        <v>2.7E-2</v>
      </c>
      <c r="Y516" s="2026">
        <v>0.9</v>
      </c>
      <c r="Z516" s="2026">
        <v>0.9</v>
      </c>
      <c r="AA516" s="2026">
        <v>0.9</v>
      </c>
      <c r="AB516" s="2026">
        <v>0.9</v>
      </c>
      <c r="AC516" s="2027">
        <f t="shared" si="324"/>
        <v>0</v>
      </c>
      <c r="AD516" s="2027">
        <f t="shared" si="324"/>
        <v>0</v>
      </c>
      <c r="AE516" s="2027">
        <f t="shared" si="324"/>
        <v>0</v>
      </c>
      <c r="AF516" s="2027">
        <f t="shared" si="324"/>
        <v>0</v>
      </c>
      <c r="AG516" s="2027">
        <v>1</v>
      </c>
      <c r="AH516" s="2028"/>
      <c r="AI516" s="2028"/>
      <c r="AJ516" s="2028"/>
      <c r="AK516" s="2027">
        <f t="shared" si="312"/>
        <v>242.91</v>
      </c>
      <c r="AL516" s="2027">
        <f t="shared" si="343"/>
        <v>0</v>
      </c>
      <c r="AM516" s="2027">
        <f t="shared" si="343"/>
        <v>0</v>
      </c>
      <c r="AN516" s="2027">
        <f t="shared" si="343"/>
        <v>0</v>
      </c>
      <c r="AO516" s="2027">
        <f t="shared" si="325"/>
        <v>0</v>
      </c>
      <c r="AP516" s="2027">
        <f t="shared" si="314"/>
        <v>0</v>
      </c>
      <c r="AQ516" s="2027">
        <f t="shared" si="314"/>
        <v>0</v>
      </c>
      <c r="AR516" s="2027">
        <f t="shared" si="314"/>
        <v>0</v>
      </c>
      <c r="AS516" s="2124">
        <f>AS55*1</f>
        <v>35</v>
      </c>
      <c r="AT516" s="2029">
        <f t="shared" si="315"/>
        <v>35</v>
      </c>
      <c r="AU516" s="2029">
        <f t="shared" si="315"/>
        <v>35</v>
      </c>
      <c r="AV516" s="2029">
        <f t="shared" si="315"/>
        <v>35</v>
      </c>
      <c r="AW516" s="2124">
        <f t="shared" si="316"/>
        <v>0</v>
      </c>
      <c r="AX516" s="2029">
        <f t="shared" si="335"/>
        <v>0</v>
      </c>
      <c r="AY516" s="2029">
        <f t="shared" si="335"/>
        <v>0</v>
      </c>
      <c r="AZ516" s="2029">
        <f t="shared" si="335"/>
        <v>0</v>
      </c>
      <c r="BA516" s="2124">
        <f t="shared" si="347"/>
        <v>142</v>
      </c>
      <c r="BB516" s="2029">
        <f t="shared" si="347"/>
        <v>142</v>
      </c>
      <c r="BC516" s="2029">
        <f t="shared" si="347"/>
        <v>142</v>
      </c>
      <c r="BD516" s="2029">
        <f t="shared" si="347"/>
        <v>142</v>
      </c>
      <c r="BE516" s="2030">
        <f t="shared" si="328"/>
        <v>35</v>
      </c>
      <c r="BF516" s="2030">
        <f t="shared" si="328"/>
        <v>0</v>
      </c>
      <c r="BG516" s="2030">
        <f t="shared" si="328"/>
        <v>0</v>
      </c>
      <c r="BH516" s="2030">
        <f t="shared" si="328"/>
        <v>0</v>
      </c>
      <c r="BI516" s="2030">
        <f t="shared" si="329"/>
        <v>0</v>
      </c>
      <c r="BJ516" s="2030">
        <f t="shared" si="329"/>
        <v>0</v>
      </c>
      <c r="BK516" s="2030">
        <f t="shared" si="329"/>
        <v>0</v>
      </c>
      <c r="BL516" s="2030">
        <f t="shared" si="329"/>
        <v>0</v>
      </c>
      <c r="BM516" s="2125"/>
      <c r="BN516" s="2125"/>
      <c r="BO516" s="2125"/>
      <c r="BP516" s="2125"/>
      <c r="BQ516" s="2125"/>
      <c r="BR516" s="2125"/>
      <c r="BS516" s="2125"/>
      <c r="BT516" s="2125"/>
      <c r="BU516" s="2029"/>
      <c r="BV516" s="2029"/>
      <c r="BW516" s="2029"/>
      <c r="BX516" s="2029"/>
      <c r="BY516" s="2029"/>
      <c r="BZ516" s="2032"/>
      <c r="CA516" s="1974">
        <f t="shared" si="352"/>
        <v>0</v>
      </c>
      <c r="CB516" s="1974">
        <f t="shared" si="352"/>
        <v>0</v>
      </c>
      <c r="CC516" s="1974">
        <f t="shared" si="352"/>
        <v>0</v>
      </c>
      <c r="CD516" s="1974">
        <f t="shared" si="352"/>
        <v>0</v>
      </c>
      <c r="CE516" s="1974">
        <f t="shared" si="352"/>
        <v>0</v>
      </c>
      <c r="CF516" s="2033">
        <v>1.0154456116091448E-6</v>
      </c>
      <c r="CG516" s="2026">
        <v>0</v>
      </c>
      <c r="CH516" s="2009">
        <f t="shared" si="353"/>
        <v>0</v>
      </c>
      <c r="CI516" s="2031">
        <f t="shared" si="353"/>
        <v>0</v>
      </c>
      <c r="CJ516" s="1974">
        <f t="shared" si="353"/>
        <v>0</v>
      </c>
      <c r="CK516" s="2031">
        <f t="shared" si="353"/>
        <v>0</v>
      </c>
      <c r="CL516" s="2026">
        <v>1</v>
      </c>
      <c r="CM516" s="2026">
        <v>1</v>
      </c>
      <c r="CN516" s="2026">
        <v>1</v>
      </c>
      <c r="CO516" s="2026">
        <v>1</v>
      </c>
      <c r="CP516" s="2035"/>
      <c r="CQ516" s="2036"/>
      <c r="CR516" s="2036"/>
      <c r="CS516" s="2036"/>
      <c r="CT516" s="2036"/>
      <c r="CU516" s="2036"/>
      <c r="CV516" s="1973">
        <v>1</v>
      </c>
      <c r="CW516" s="1973">
        <v>0</v>
      </c>
      <c r="CX516" s="2037">
        <v>35</v>
      </c>
      <c r="CY516" s="2037">
        <v>35</v>
      </c>
      <c r="CZ516" s="2037">
        <v>35</v>
      </c>
      <c r="DA516" s="2037">
        <v>35</v>
      </c>
      <c r="DJ516" s="1976">
        <v>35</v>
      </c>
      <c r="DK516" s="1973">
        <v>35</v>
      </c>
      <c r="DL516" s="1973">
        <v>35</v>
      </c>
      <c r="DM516" s="1973">
        <v>35</v>
      </c>
      <c r="DO516" s="2027">
        <v>12</v>
      </c>
      <c r="DP516" s="2144">
        <v>269.89999999999998</v>
      </c>
      <c r="DQ516" s="2145">
        <v>0.03</v>
      </c>
      <c r="DR516" s="2027">
        <v>0</v>
      </c>
      <c r="DS516" s="2124">
        <v>35</v>
      </c>
      <c r="DT516" s="2029">
        <v>35</v>
      </c>
      <c r="DU516" s="2029">
        <v>35</v>
      </c>
      <c r="DV516" s="2029">
        <v>35</v>
      </c>
      <c r="DW516" s="2124">
        <v>0</v>
      </c>
      <c r="DX516" s="2029">
        <v>0</v>
      </c>
      <c r="DY516" s="2029">
        <v>0</v>
      </c>
      <c r="DZ516" s="2029">
        <v>0</v>
      </c>
      <c r="EA516" s="2124">
        <v>142</v>
      </c>
      <c r="EB516" s="2029">
        <v>142</v>
      </c>
      <c r="EC516" s="2029">
        <v>142</v>
      </c>
      <c r="ED516" s="2029">
        <v>142</v>
      </c>
      <c r="EE516" s="2039">
        <f t="shared" si="296"/>
        <v>0</v>
      </c>
      <c r="EF516" s="2039">
        <f t="shared" si="296"/>
        <v>0</v>
      </c>
      <c r="EG516" s="2039">
        <f t="shared" si="296"/>
        <v>0</v>
      </c>
      <c r="EH516" s="2039">
        <f t="shared" si="296"/>
        <v>0</v>
      </c>
      <c r="EI516" s="2040">
        <f t="shared" si="333"/>
        <v>0</v>
      </c>
      <c r="EJ516" s="2040">
        <f t="shared" si="333"/>
        <v>0</v>
      </c>
      <c r="EK516" s="2040">
        <f t="shared" si="333"/>
        <v>0</v>
      </c>
      <c r="EL516" s="2040">
        <f t="shared" si="333"/>
        <v>0</v>
      </c>
      <c r="EM516" s="2040">
        <f t="shared" si="333"/>
        <v>0</v>
      </c>
      <c r="EN516" s="2040">
        <f t="shared" si="333"/>
        <v>0</v>
      </c>
      <c r="EO516" s="2040">
        <f t="shared" si="350"/>
        <v>0</v>
      </c>
      <c r="EP516" s="2040">
        <f t="shared" si="350"/>
        <v>0</v>
      </c>
      <c r="EQ516" s="2040">
        <f t="shared" si="350"/>
        <v>0</v>
      </c>
      <c r="ER516" s="2040">
        <f t="shared" si="350"/>
        <v>0</v>
      </c>
      <c r="ES516" s="2040">
        <f t="shared" si="350"/>
        <v>0</v>
      </c>
      <c r="ET516" s="2040">
        <f t="shared" si="350"/>
        <v>0</v>
      </c>
      <c r="EU516" s="2039">
        <f t="shared" si="297"/>
        <v>0</v>
      </c>
      <c r="EV516" s="2039">
        <f t="shared" si="298"/>
        <v>0</v>
      </c>
    </row>
    <row r="517" spans="1:152" x14ac:dyDescent="0.25">
      <c r="A517" s="2150" t="str">
        <f t="shared" si="351"/>
        <v>Solid Door Freezer (15-30 cu ft)</v>
      </c>
      <c r="B517" s="1974" t="str">
        <f t="shared" si="351"/>
        <v>BPR28</v>
      </c>
      <c r="C517" s="2027">
        <f t="shared" si="349"/>
        <v>12</v>
      </c>
      <c r="D517" s="2144">
        <f t="shared" si="349"/>
        <v>595.4</v>
      </c>
      <c r="E517" s="2145">
        <f t="shared" si="349"/>
        <v>0.06</v>
      </c>
      <c r="F517" s="2027">
        <f t="shared" si="349"/>
        <v>0</v>
      </c>
      <c r="G517" s="1974" t="s">
        <v>2988</v>
      </c>
      <c r="H517" s="1974" t="s">
        <v>2988</v>
      </c>
      <c r="I517" s="2026">
        <v>0.9</v>
      </c>
      <c r="J517" s="2026">
        <v>0.9</v>
      </c>
      <c r="K517" s="2026">
        <v>0.9</v>
      </c>
      <c r="L517" s="2026">
        <v>0.9</v>
      </c>
      <c r="M517" s="2027">
        <f t="shared" si="322"/>
        <v>535.86</v>
      </c>
      <c r="N517" s="2027">
        <f t="shared" si="322"/>
        <v>535.86</v>
      </c>
      <c r="O517" s="2027">
        <f t="shared" si="322"/>
        <v>535.86</v>
      </c>
      <c r="P517" s="2027">
        <f t="shared" si="322"/>
        <v>535.86</v>
      </c>
      <c r="Q517" s="2026">
        <v>0.9</v>
      </c>
      <c r="R517" s="2026">
        <v>0.9</v>
      </c>
      <c r="S517" s="2026">
        <v>0.9</v>
      </c>
      <c r="T517" s="2026">
        <v>0.9</v>
      </c>
      <c r="U517" s="2028">
        <f t="shared" si="323"/>
        <v>5.3999999999999999E-2</v>
      </c>
      <c r="V517" s="2028">
        <f t="shared" si="323"/>
        <v>5.3999999999999999E-2</v>
      </c>
      <c r="W517" s="2028">
        <f t="shared" si="323"/>
        <v>5.3999999999999999E-2</v>
      </c>
      <c r="X517" s="2028">
        <f t="shared" si="323"/>
        <v>5.3999999999999999E-2</v>
      </c>
      <c r="Y517" s="2026">
        <v>0.9</v>
      </c>
      <c r="Z517" s="2026">
        <v>0.9</v>
      </c>
      <c r="AA517" s="2026">
        <v>0.9</v>
      </c>
      <c r="AB517" s="2026">
        <v>0.9</v>
      </c>
      <c r="AC517" s="2027">
        <f t="shared" si="324"/>
        <v>0</v>
      </c>
      <c r="AD517" s="2027">
        <f t="shared" si="324"/>
        <v>0</v>
      </c>
      <c r="AE517" s="2027">
        <f t="shared" si="324"/>
        <v>0</v>
      </c>
      <c r="AF517" s="2027">
        <f t="shared" si="324"/>
        <v>0</v>
      </c>
      <c r="AG517" s="2027">
        <v>0</v>
      </c>
      <c r="AH517" s="2028"/>
      <c r="AI517" s="2028">
        <v>1</v>
      </c>
      <c r="AJ517" s="2028"/>
      <c r="AK517" s="2027">
        <f t="shared" si="312"/>
        <v>0</v>
      </c>
      <c r="AL517" s="2027">
        <f t="shared" si="343"/>
        <v>0</v>
      </c>
      <c r="AM517" s="2027">
        <f t="shared" si="343"/>
        <v>535.86</v>
      </c>
      <c r="AN517" s="2027">
        <f t="shared" si="343"/>
        <v>0</v>
      </c>
      <c r="AO517" s="2027">
        <f t="shared" si="325"/>
        <v>0</v>
      </c>
      <c r="AP517" s="2027">
        <f t="shared" si="314"/>
        <v>0</v>
      </c>
      <c r="AQ517" s="2027">
        <f t="shared" si="314"/>
        <v>0</v>
      </c>
      <c r="AR517" s="2027">
        <f t="shared" si="314"/>
        <v>0</v>
      </c>
      <c r="AS517" s="2124">
        <f>AS56*1</f>
        <v>50</v>
      </c>
      <c r="AT517" s="2029">
        <f t="shared" si="315"/>
        <v>50</v>
      </c>
      <c r="AU517" s="2029">
        <f t="shared" si="315"/>
        <v>50</v>
      </c>
      <c r="AV517" s="2029">
        <f t="shared" si="315"/>
        <v>50</v>
      </c>
      <c r="AW517" s="2124">
        <f t="shared" si="316"/>
        <v>0</v>
      </c>
      <c r="AX517" s="2029">
        <f t="shared" si="335"/>
        <v>0</v>
      </c>
      <c r="AY517" s="2029">
        <f t="shared" si="335"/>
        <v>0</v>
      </c>
      <c r="AZ517" s="2029">
        <f t="shared" si="335"/>
        <v>0</v>
      </c>
      <c r="BA517" s="2124">
        <f t="shared" si="347"/>
        <v>166</v>
      </c>
      <c r="BB517" s="2029">
        <f t="shared" si="347"/>
        <v>166</v>
      </c>
      <c r="BC517" s="2029">
        <f t="shared" si="347"/>
        <v>166</v>
      </c>
      <c r="BD517" s="2029">
        <f t="shared" si="347"/>
        <v>166</v>
      </c>
      <c r="BE517" s="2030">
        <f t="shared" si="328"/>
        <v>0</v>
      </c>
      <c r="BF517" s="2030">
        <f t="shared" si="328"/>
        <v>0</v>
      </c>
      <c r="BG517" s="2030">
        <f t="shared" si="328"/>
        <v>50</v>
      </c>
      <c r="BH517" s="2030">
        <f t="shared" si="328"/>
        <v>0</v>
      </c>
      <c r="BI517" s="2030">
        <f t="shared" si="329"/>
        <v>0</v>
      </c>
      <c r="BJ517" s="2030">
        <f t="shared" si="329"/>
        <v>0</v>
      </c>
      <c r="BK517" s="2030">
        <f t="shared" si="329"/>
        <v>0</v>
      </c>
      <c r="BL517" s="2030">
        <f t="shared" si="329"/>
        <v>0</v>
      </c>
      <c r="BM517" s="2125"/>
      <c r="BN517" s="2125"/>
      <c r="BO517" s="2125"/>
      <c r="BP517" s="2125"/>
      <c r="BQ517" s="2125"/>
      <c r="BR517" s="2125"/>
      <c r="BS517" s="2125"/>
      <c r="BT517" s="2125"/>
      <c r="BU517" s="2029"/>
      <c r="BV517" s="2029"/>
      <c r="BW517" s="2029"/>
      <c r="BX517" s="2029"/>
      <c r="BY517" s="2029"/>
      <c r="BZ517" s="2032"/>
      <c r="CA517" s="1974">
        <f t="shared" si="352"/>
        <v>0</v>
      </c>
      <c r="CB517" s="1974">
        <f t="shared" si="352"/>
        <v>0</v>
      </c>
      <c r="CC517" s="1974">
        <f t="shared" si="352"/>
        <v>0</v>
      </c>
      <c r="CD517" s="1974">
        <f t="shared" si="352"/>
        <v>0</v>
      </c>
      <c r="CE517" s="1974">
        <f t="shared" si="352"/>
        <v>0</v>
      </c>
      <c r="CF517" s="2033">
        <v>0</v>
      </c>
      <c r="CG517" s="2026">
        <v>0</v>
      </c>
      <c r="CH517" s="2009">
        <f t="shared" si="353"/>
        <v>0</v>
      </c>
      <c r="CI517" s="2031">
        <f t="shared" si="353"/>
        <v>0</v>
      </c>
      <c r="CJ517" s="1974">
        <f t="shared" si="353"/>
        <v>0</v>
      </c>
      <c r="CK517" s="2031">
        <f t="shared" si="353"/>
        <v>0</v>
      </c>
      <c r="CL517" s="2026">
        <v>1</v>
      </c>
      <c r="CM517" s="2026">
        <v>1</v>
      </c>
      <c r="CN517" s="2026">
        <v>1</v>
      </c>
      <c r="CO517" s="2026">
        <v>1</v>
      </c>
      <c r="CP517" s="2035"/>
      <c r="CQ517" s="2036"/>
      <c r="CR517" s="2036"/>
      <c r="CS517" s="2036"/>
      <c r="CT517" s="2036"/>
      <c r="CU517" s="2036"/>
      <c r="CV517" s="1973">
        <v>1</v>
      </c>
      <c r="CW517" s="1973">
        <v>0</v>
      </c>
      <c r="CX517" s="2037">
        <v>50</v>
      </c>
      <c r="CY517" s="2037">
        <v>50</v>
      </c>
      <c r="CZ517" s="2037">
        <v>50</v>
      </c>
      <c r="DA517" s="2037">
        <v>50</v>
      </c>
      <c r="DJ517" s="1976">
        <v>50</v>
      </c>
      <c r="DK517" s="1973">
        <v>50</v>
      </c>
      <c r="DL517" s="1973">
        <v>50</v>
      </c>
      <c r="DM517" s="1973">
        <v>50</v>
      </c>
      <c r="DO517" s="2027">
        <v>12</v>
      </c>
      <c r="DP517" s="2144">
        <v>595.4</v>
      </c>
      <c r="DQ517" s="2145">
        <v>0.06</v>
      </c>
      <c r="DR517" s="2027">
        <v>0</v>
      </c>
      <c r="DS517" s="2124">
        <v>50</v>
      </c>
      <c r="DT517" s="2029">
        <v>50</v>
      </c>
      <c r="DU517" s="2029">
        <v>50</v>
      </c>
      <c r="DV517" s="2029">
        <v>50</v>
      </c>
      <c r="DW517" s="2124">
        <v>0</v>
      </c>
      <c r="DX517" s="2029">
        <v>0</v>
      </c>
      <c r="DY517" s="2029">
        <v>0</v>
      </c>
      <c r="DZ517" s="2029">
        <v>0</v>
      </c>
      <c r="EA517" s="2124">
        <v>166</v>
      </c>
      <c r="EB517" s="2029">
        <v>166</v>
      </c>
      <c r="EC517" s="2029">
        <v>166</v>
      </c>
      <c r="ED517" s="2029">
        <v>166</v>
      </c>
      <c r="EE517" s="2039">
        <f t="shared" si="296"/>
        <v>0</v>
      </c>
      <c r="EF517" s="2039">
        <f t="shared" si="296"/>
        <v>0</v>
      </c>
      <c r="EG517" s="2039">
        <f t="shared" si="296"/>
        <v>0</v>
      </c>
      <c r="EH517" s="2039">
        <f t="shared" si="296"/>
        <v>0</v>
      </c>
      <c r="EI517" s="2040">
        <f t="shared" si="333"/>
        <v>0</v>
      </c>
      <c r="EJ517" s="2040">
        <f t="shared" si="333"/>
        <v>0</v>
      </c>
      <c r="EK517" s="2040">
        <f t="shared" si="333"/>
        <v>0</v>
      </c>
      <c r="EL517" s="2040">
        <f t="shared" si="333"/>
        <v>0</v>
      </c>
      <c r="EM517" s="2040">
        <f t="shared" si="333"/>
        <v>0</v>
      </c>
      <c r="EN517" s="2040">
        <f t="shared" si="333"/>
        <v>0</v>
      </c>
      <c r="EO517" s="2040">
        <f t="shared" si="350"/>
        <v>0</v>
      </c>
      <c r="EP517" s="2040">
        <f t="shared" si="350"/>
        <v>0</v>
      </c>
      <c r="EQ517" s="2040">
        <f t="shared" si="350"/>
        <v>0</v>
      </c>
      <c r="ER517" s="2040">
        <f t="shared" si="350"/>
        <v>0</v>
      </c>
      <c r="ES517" s="2040">
        <f t="shared" si="350"/>
        <v>0</v>
      </c>
      <c r="ET517" s="2040">
        <f t="shared" si="350"/>
        <v>0</v>
      </c>
      <c r="EU517" s="2039">
        <f t="shared" si="297"/>
        <v>0</v>
      </c>
      <c r="EV517" s="2039">
        <f t="shared" si="298"/>
        <v>0</v>
      </c>
    </row>
    <row r="518" spans="1:152" x14ac:dyDescent="0.25">
      <c r="A518" s="2150" t="str">
        <f t="shared" si="351"/>
        <v>Solid Door Freezer (31-50 cu ft)</v>
      </c>
      <c r="B518" s="1974" t="str">
        <f t="shared" si="351"/>
        <v>BPR29</v>
      </c>
      <c r="C518" s="2027">
        <f t="shared" si="349"/>
        <v>12</v>
      </c>
      <c r="D518" s="2144">
        <f t="shared" si="349"/>
        <v>958.4</v>
      </c>
      <c r="E518" s="2145">
        <f t="shared" si="349"/>
        <v>0.1</v>
      </c>
      <c r="F518" s="2027">
        <f t="shared" si="349"/>
        <v>0</v>
      </c>
      <c r="G518" s="1974" t="s">
        <v>2988</v>
      </c>
      <c r="H518" s="1974" t="s">
        <v>2988</v>
      </c>
      <c r="I518" s="2026">
        <v>0.9</v>
      </c>
      <c r="J518" s="2026">
        <v>0.9</v>
      </c>
      <c r="K518" s="2026">
        <v>0.9</v>
      </c>
      <c r="L518" s="2026">
        <v>0.9</v>
      </c>
      <c r="M518" s="2027">
        <f t="shared" si="322"/>
        <v>862.56</v>
      </c>
      <c r="N518" s="2027">
        <f t="shared" si="322"/>
        <v>862.56</v>
      </c>
      <c r="O518" s="2027">
        <f t="shared" si="322"/>
        <v>862.56</v>
      </c>
      <c r="P518" s="2027">
        <f t="shared" si="322"/>
        <v>862.56</v>
      </c>
      <c r="Q518" s="2026">
        <v>0.9</v>
      </c>
      <c r="R518" s="2026">
        <v>0.9</v>
      </c>
      <c r="S518" s="2026">
        <v>0.9</v>
      </c>
      <c r="T518" s="2026">
        <v>0.9</v>
      </c>
      <c r="U518" s="2028">
        <f t="shared" si="323"/>
        <v>9.0000000000000011E-2</v>
      </c>
      <c r="V518" s="2028">
        <f t="shared" si="323"/>
        <v>9.0000000000000011E-2</v>
      </c>
      <c r="W518" s="2028">
        <f t="shared" si="323"/>
        <v>9.0000000000000011E-2</v>
      </c>
      <c r="X518" s="2028">
        <f t="shared" si="323"/>
        <v>9.0000000000000011E-2</v>
      </c>
      <c r="Y518" s="2026">
        <v>0.9</v>
      </c>
      <c r="Z518" s="2026">
        <v>0.9</v>
      </c>
      <c r="AA518" s="2026">
        <v>0.9</v>
      </c>
      <c r="AB518" s="2026">
        <v>0.9</v>
      </c>
      <c r="AC518" s="2027">
        <f t="shared" si="324"/>
        <v>0</v>
      </c>
      <c r="AD518" s="2027">
        <f t="shared" si="324"/>
        <v>0</v>
      </c>
      <c r="AE518" s="2027">
        <f t="shared" si="324"/>
        <v>0</v>
      </c>
      <c r="AF518" s="2027">
        <f t="shared" si="324"/>
        <v>0</v>
      </c>
      <c r="AG518" s="2027">
        <v>0</v>
      </c>
      <c r="AH518" s="2028">
        <v>1</v>
      </c>
      <c r="AI518" s="2028"/>
      <c r="AJ518" s="2028">
        <v>1</v>
      </c>
      <c r="AK518" s="2027">
        <f t="shared" si="312"/>
        <v>0</v>
      </c>
      <c r="AL518" s="2027">
        <f t="shared" si="343"/>
        <v>862.56</v>
      </c>
      <c r="AM518" s="2027">
        <f t="shared" si="343"/>
        <v>0</v>
      </c>
      <c r="AN518" s="2027">
        <f t="shared" si="343"/>
        <v>862.56</v>
      </c>
      <c r="AO518" s="2027">
        <f t="shared" si="325"/>
        <v>0</v>
      </c>
      <c r="AP518" s="2027">
        <f t="shared" si="314"/>
        <v>0</v>
      </c>
      <c r="AQ518" s="2027">
        <f t="shared" si="314"/>
        <v>0</v>
      </c>
      <c r="AR518" s="2027">
        <f t="shared" si="314"/>
        <v>0</v>
      </c>
      <c r="AS518" s="2124">
        <f>AS57*1</f>
        <v>100</v>
      </c>
      <c r="AT518" s="2029">
        <f t="shared" si="315"/>
        <v>100</v>
      </c>
      <c r="AU518" s="2029">
        <f t="shared" si="315"/>
        <v>100</v>
      </c>
      <c r="AV518" s="2029">
        <f t="shared" si="315"/>
        <v>100</v>
      </c>
      <c r="AW518" s="2124">
        <f t="shared" si="316"/>
        <v>0</v>
      </c>
      <c r="AX518" s="2029">
        <f t="shared" si="335"/>
        <v>0</v>
      </c>
      <c r="AY518" s="2029">
        <f t="shared" si="335"/>
        <v>0</v>
      </c>
      <c r="AZ518" s="2029">
        <f t="shared" si="335"/>
        <v>0</v>
      </c>
      <c r="BA518" s="2124">
        <f t="shared" ref="BA518:BD533" si="354">BA57</f>
        <v>166</v>
      </c>
      <c r="BB518" s="2029">
        <f t="shared" si="354"/>
        <v>166</v>
      </c>
      <c r="BC518" s="2029">
        <f t="shared" si="354"/>
        <v>166</v>
      </c>
      <c r="BD518" s="2029">
        <f t="shared" si="354"/>
        <v>166</v>
      </c>
      <c r="BE518" s="2030">
        <f t="shared" si="328"/>
        <v>0</v>
      </c>
      <c r="BF518" s="2030">
        <f t="shared" si="328"/>
        <v>100</v>
      </c>
      <c r="BG518" s="2030">
        <f t="shared" si="328"/>
        <v>0</v>
      </c>
      <c r="BH518" s="2030">
        <f t="shared" si="328"/>
        <v>100</v>
      </c>
      <c r="BI518" s="2030">
        <f t="shared" si="329"/>
        <v>0</v>
      </c>
      <c r="BJ518" s="2030">
        <f t="shared" si="329"/>
        <v>0</v>
      </c>
      <c r="BK518" s="2030">
        <f t="shared" si="329"/>
        <v>0</v>
      </c>
      <c r="BL518" s="2030">
        <f t="shared" si="329"/>
        <v>0</v>
      </c>
      <c r="BM518" s="2125"/>
      <c r="BN518" s="2125"/>
      <c r="BO518" s="2125"/>
      <c r="BP518" s="2125"/>
      <c r="BQ518" s="2125"/>
      <c r="BR518" s="2125"/>
      <c r="BS518" s="2125"/>
      <c r="BT518" s="2125"/>
      <c r="BU518" s="2029"/>
      <c r="BV518" s="2029"/>
      <c r="BW518" s="2029"/>
      <c r="BX518" s="2029"/>
      <c r="BY518" s="2029"/>
      <c r="BZ518" s="2032"/>
      <c r="CA518" s="1974">
        <f t="shared" si="352"/>
        <v>0</v>
      </c>
      <c r="CB518" s="1974">
        <f t="shared" si="352"/>
        <v>0</v>
      </c>
      <c r="CC518" s="1974">
        <f t="shared" si="352"/>
        <v>0</v>
      </c>
      <c r="CD518" s="1974">
        <f t="shared" si="352"/>
        <v>0</v>
      </c>
      <c r="CE518" s="1974">
        <f t="shared" si="352"/>
        <v>0</v>
      </c>
      <c r="CF518" s="2033">
        <v>0</v>
      </c>
      <c r="CG518" s="2026">
        <v>0</v>
      </c>
      <c r="CH518" s="2009">
        <f t="shared" si="353"/>
        <v>0</v>
      </c>
      <c r="CI518" s="2031">
        <f t="shared" si="353"/>
        <v>0</v>
      </c>
      <c r="CJ518" s="1974">
        <f t="shared" si="353"/>
        <v>0</v>
      </c>
      <c r="CK518" s="2031">
        <f t="shared" si="353"/>
        <v>0</v>
      </c>
      <c r="CL518" s="2026">
        <v>1</v>
      </c>
      <c r="CM518" s="2026">
        <v>1</v>
      </c>
      <c r="CN518" s="2026">
        <v>1</v>
      </c>
      <c r="CO518" s="2026">
        <v>1</v>
      </c>
      <c r="CP518" s="2035"/>
      <c r="CQ518" s="2036"/>
      <c r="CR518" s="2036"/>
      <c r="CS518" s="2036"/>
      <c r="CT518" s="2036"/>
      <c r="CU518" s="2036"/>
      <c r="CV518" s="1973">
        <v>1</v>
      </c>
      <c r="CW518" s="1973">
        <v>0</v>
      </c>
      <c r="CX518" s="2037">
        <v>100</v>
      </c>
      <c r="CY518" s="2037">
        <v>100</v>
      </c>
      <c r="CZ518" s="2037">
        <v>100</v>
      </c>
      <c r="DA518" s="2037">
        <v>100</v>
      </c>
      <c r="DJ518" s="1976">
        <v>100</v>
      </c>
      <c r="DK518" s="1973">
        <v>100</v>
      </c>
      <c r="DL518" s="1973">
        <v>100</v>
      </c>
      <c r="DM518" s="1973">
        <v>100</v>
      </c>
      <c r="DO518" s="2027">
        <v>12</v>
      </c>
      <c r="DP518" s="2144">
        <v>958.4</v>
      </c>
      <c r="DQ518" s="2145">
        <v>0.1</v>
      </c>
      <c r="DR518" s="2027">
        <v>0</v>
      </c>
      <c r="DS518" s="2124">
        <v>100</v>
      </c>
      <c r="DT518" s="2029">
        <v>100</v>
      </c>
      <c r="DU518" s="2029">
        <v>100</v>
      </c>
      <c r="DV518" s="2029">
        <v>100</v>
      </c>
      <c r="DW518" s="2124">
        <v>0</v>
      </c>
      <c r="DX518" s="2029">
        <v>0</v>
      </c>
      <c r="DY518" s="2029">
        <v>0</v>
      </c>
      <c r="DZ518" s="2029">
        <v>0</v>
      </c>
      <c r="EA518" s="2124">
        <v>166</v>
      </c>
      <c r="EB518" s="2029">
        <v>166</v>
      </c>
      <c r="EC518" s="2029">
        <v>166</v>
      </c>
      <c r="ED518" s="2029">
        <v>166</v>
      </c>
      <c r="EE518" s="2039">
        <f t="shared" si="296"/>
        <v>0</v>
      </c>
      <c r="EF518" s="2039">
        <f t="shared" si="296"/>
        <v>0</v>
      </c>
      <c r="EG518" s="2039">
        <f t="shared" si="296"/>
        <v>0</v>
      </c>
      <c r="EH518" s="2039">
        <f t="shared" ref="EH518:EH581" si="355">F518-DR518</f>
        <v>0</v>
      </c>
      <c r="EI518" s="2040">
        <f t="shared" si="333"/>
        <v>0</v>
      </c>
      <c r="EJ518" s="2040">
        <f t="shared" si="333"/>
        <v>0</v>
      </c>
      <c r="EK518" s="2040">
        <f t="shared" si="333"/>
        <v>0</v>
      </c>
      <c r="EL518" s="2040">
        <f t="shared" si="333"/>
        <v>0</v>
      </c>
      <c r="EM518" s="2040">
        <f t="shared" si="333"/>
        <v>0</v>
      </c>
      <c r="EN518" s="2040">
        <f t="shared" si="333"/>
        <v>0</v>
      </c>
      <c r="EO518" s="2040">
        <f t="shared" si="350"/>
        <v>0</v>
      </c>
      <c r="EP518" s="2040">
        <f t="shared" si="350"/>
        <v>0</v>
      </c>
      <c r="EQ518" s="2040">
        <f t="shared" si="350"/>
        <v>0</v>
      </c>
      <c r="ER518" s="2040">
        <f t="shared" si="350"/>
        <v>0</v>
      </c>
      <c r="ES518" s="2040">
        <f t="shared" si="350"/>
        <v>0</v>
      </c>
      <c r="ET518" s="2040">
        <f t="shared" si="350"/>
        <v>0</v>
      </c>
      <c r="EU518" s="2039">
        <f t="shared" si="297"/>
        <v>0</v>
      </c>
      <c r="EV518" s="2039">
        <f t="shared" si="298"/>
        <v>0</v>
      </c>
    </row>
    <row r="519" spans="1:152" x14ac:dyDescent="0.25">
      <c r="A519" s="2150" t="str">
        <f t="shared" si="351"/>
        <v>Solid Door Freezer (51 cu ft or more)</v>
      </c>
      <c r="B519" s="1974" t="str">
        <f t="shared" si="351"/>
        <v>BPR30</v>
      </c>
      <c r="C519" s="2027">
        <f t="shared" si="349"/>
        <v>12</v>
      </c>
      <c r="D519" s="2144">
        <f t="shared" si="349"/>
        <v>2765.5</v>
      </c>
      <c r="E519" s="2145">
        <f t="shared" si="349"/>
        <v>0.3</v>
      </c>
      <c r="F519" s="2027">
        <f t="shared" si="349"/>
        <v>0</v>
      </c>
      <c r="G519" s="1974" t="s">
        <v>2988</v>
      </c>
      <c r="H519" s="1974" t="s">
        <v>2988</v>
      </c>
      <c r="I519" s="2026">
        <v>0.9</v>
      </c>
      <c r="J519" s="2026">
        <v>0.9</v>
      </c>
      <c r="K519" s="2026">
        <v>0.9</v>
      </c>
      <c r="L519" s="2026">
        <v>0.9</v>
      </c>
      <c r="M519" s="2027">
        <f t="shared" si="322"/>
        <v>2488.9500000000003</v>
      </c>
      <c r="N519" s="2027">
        <f t="shared" si="322"/>
        <v>2488.9500000000003</v>
      </c>
      <c r="O519" s="2027">
        <f t="shared" si="322"/>
        <v>2488.9500000000003</v>
      </c>
      <c r="P519" s="2027">
        <f t="shared" si="322"/>
        <v>2488.9500000000003</v>
      </c>
      <c r="Q519" s="2026">
        <v>0.9</v>
      </c>
      <c r="R519" s="2026">
        <v>0.9</v>
      </c>
      <c r="S519" s="2026">
        <v>0.9</v>
      </c>
      <c r="T519" s="2026">
        <v>0.9</v>
      </c>
      <c r="U519" s="2028">
        <f t="shared" si="323"/>
        <v>0.27</v>
      </c>
      <c r="V519" s="2028">
        <f t="shared" si="323"/>
        <v>0.27</v>
      </c>
      <c r="W519" s="2028">
        <f t="shared" si="323"/>
        <v>0.27</v>
      </c>
      <c r="X519" s="2028">
        <f t="shared" si="323"/>
        <v>0.27</v>
      </c>
      <c r="Y519" s="2026">
        <v>0.9</v>
      </c>
      <c r="Z519" s="2026">
        <v>0.9</v>
      </c>
      <c r="AA519" s="2026">
        <v>0.9</v>
      </c>
      <c r="AB519" s="2026">
        <v>0.9</v>
      </c>
      <c r="AC519" s="2027">
        <f t="shared" si="324"/>
        <v>0</v>
      </c>
      <c r="AD519" s="2027">
        <f t="shared" si="324"/>
        <v>0</v>
      </c>
      <c r="AE519" s="2027">
        <f t="shared" si="324"/>
        <v>0</v>
      </c>
      <c r="AF519" s="2027">
        <f t="shared" si="324"/>
        <v>0</v>
      </c>
      <c r="AG519" s="2027">
        <v>1</v>
      </c>
      <c r="AH519" s="2028"/>
      <c r="AI519" s="2028">
        <v>1</v>
      </c>
      <c r="AJ519" s="2028"/>
      <c r="AK519" s="2027">
        <f t="shared" si="312"/>
        <v>2488.9500000000003</v>
      </c>
      <c r="AL519" s="2027">
        <f t="shared" si="343"/>
        <v>0</v>
      </c>
      <c r="AM519" s="2027">
        <f t="shared" si="343"/>
        <v>2488.9500000000003</v>
      </c>
      <c r="AN519" s="2027">
        <f t="shared" si="343"/>
        <v>0</v>
      </c>
      <c r="AO519" s="2027">
        <f t="shared" si="325"/>
        <v>0</v>
      </c>
      <c r="AP519" s="2027">
        <f t="shared" si="314"/>
        <v>0</v>
      </c>
      <c r="AQ519" s="2027">
        <f t="shared" si="314"/>
        <v>0</v>
      </c>
      <c r="AR519" s="2027">
        <f t="shared" si="314"/>
        <v>0</v>
      </c>
      <c r="AS519" s="2124">
        <f>AS58*1</f>
        <v>200</v>
      </c>
      <c r="AT519" s="2029">
        <f t="shared" si="315"/>
        <v>200</v>
      </c>
      <c r="AU519" s="2029">
        <f t="shared" si="315"/>
        <v>200</v>
      </c>
      <c r="AV519" s="2029">
        <f t="shared" si="315"/>
        <v>200</v>
      </c>
      <c r="AW519" s="2124">
        <f t="shared" si="316"/>
        <v>0</v>
      </c>
      <c r="AX519" s="2029">
        <f t="shared" si="335"/>
        <v>0</v>
      </c>
      <c r="AY519" s="2029">
        <f t="shared" si="335"/>
        <v>0</v>
      </c>
      <c r="AZ519" s="2029">
        <f t="shared" si="335"/>
        <v>0</v>
      </c>
      <c r="BA519" s="2124">
        <f t="shared" si="354"/>
        <v>407</v>
      </c>
      <c r="BB519" s="2029">
        <f t="shared" si="354"/>
        <v>407</v>
      </c>
      <c r="BC519" s="2029">
        <f t="shared" si="354"/>
        <v>407</v>
      </c>
      <c r="BD519" s="2029">
        <f t="shared" si="354"/>
        <v>407</v>
      </c>
      <c r="BE519" s="2030">
        <f t="shared" si="328"/>
        <v>200</v>
      </c>
      <c r="BF519" s="2030">
        <f t="shared" si="328"/>
        <v>0</v>
      </c>
      <c r="BG519" s="2030">
        <f t="shared" si="328"/>
        <v>200</v>
      </c>
      <c r="BH519" s="2030">
        <f t="shared" si="328"/>
        <v>0</v>
      </c>
      <c r="BI519" s="2030">
        <f t="shared" si="329"/>
        <v>0</v>
      </c>
      <c r="BJ519" s="2030">
        <f t="shared" si="329"/>
        <v>0</v>
      </c>
      <c r="BK519" s="2030">
        <f t="shared" si="329"/>
        <v>0</v>
      </c>
      <c r="BL519" s="2030">
        <f t="shared" si="329"/>
        <v>0</v>
      </c>
      <c r="BM519" s="2125"/>
      <c r="BN519" s="2125"/>
      <c r="BO519" s="2125"/>
      <c r="BP519" s="2125"/>
      <c r="BQ519" s="2125"/>
      <c r="BR519" s="2125"/>
      <c r="BS519" s="2125"/>
      <c r="BT519" s="2125"/>
      <c r="BU519" s="2029"/>
      <c r="BV519" s="2029"/>
      <c r="BW519" s="2029"/>
      <c r="BX519" s="2029"/>
      <c r="BY519" s="2029"/>
      <c r="BZ519" s="2032"/>
      <c r="CA519" s="1974">
        <f t="shared" si="352"/>
        <v>0</v>
      </c>
      <c r="CB519" s="1974">
        <f t="shared" si="352"/>
        <v>0</v>
      </c>
      <c r="CC519" s="1974">
        <f t="shared" si="352"/>
        <v>0</v>
      </c>
      <c r="CD519" s="1974">
        <f t="shared" si="352"/>
        <v>0</v>
      </c>
      <c r="CE519" s="1974">
        <f t="shared" si="352"/>
        <v>0</v>
      </c>
      <c r="CF519" s="2033">
        <v>1.0404649273453465E-5</v>
      </c>
      <c r="CG519" s="2026">
        <v>0</v>
      </c>
      <c r="CH519" s="2009">
        <f t="shared" si="353"/>
        <v>0</v>
      </c>
      <c r="CI519" s="2031">
        <f t="shared" si="353"/>
        <v>0</v>
      </c>
      <c r="CJ519" s="1974">
        <f t="shared" si="353"/>
        <v>0</v>
      </c>
      <c r="CK519" s="2031">
        <f t="shared" si="353"/>
        <v>0</v>
      </c>
      <c r="CL519" s="2026">
        <v>1</v>
      </c>
      <c r="CM519" s="2026">
        <v>1</v>
      </c>
      <c r="CN519" s="2026">
        <v>1</v>
      </c>
      <c r="CO519" s="2026">
        <v>1</v>
      </c>
      <c r="CP519" s="2035"/>
      <c r="CQ519" s="2036"/>
      <c r="CR519" s="2036"/>
      <c r="CS519" s="2036"/>
      <c r="CT519" s="2036"/>
      <c r="CU519" s="2036"/>
      <c r="CV519" s="1973">
        <v>1</v>
      </c>
      <c r="CW519" s="1973">
        <v>0</v>
      </c>
      <c r="CX519" s="2037">
        <v>200</v>
      </c>
      <c r="CY519" s="2037">
        <v>200</v>
      </c>
      <c r="CZ519" s="2037">
        <v>200</v>
      </c>
      <c r="DA519" s="2037">
        <v>200</v>
      </c>
      <c r="DJ519" s="1976">
        <v>200</v>
      </c>
      <c r="DK519" s="1973">
        <v>200</v>
      </c>
      <c r="DL519" s="1973">
        <v>200</v>
      </c>
      <c r="DM519" s="1973">
        <v>200</v>
      </c>
      <c r="DO519" s="2027">
        <v>12</v>
      </c>
      <c r="DP519" s="2144">
        <v>2765.5</v>
      </c>
      <c r="DQ519" s="2145">
        <v>0.3</v>
      </c>
      <c r="DR519" s="2027">
        <v>0</v>
      </c>
      <c r="DS519" s="2124">
        <v>200</v>
      </c>
      <c r="DT519" s="2029">
        <v>200</v>
      </c>
      <c r="DU519" s="2029">
        <v>200</v>
      </c>
      <c r="DV519" s="2029">
        <v>200</v>
      </c>
      <c r="DW519" s="2124">
        <v>0</v>
      </c>
      <c r="DX519" s="2029">
        <v>0</v>
      </c>
      <c r="DY519" s="2029">
        <v>0</v>
      </c>
      <c r="DZ519" s="2029">
        <v>0</v>
      </c>
      <c r="EA519" s="2124">
        <v>407</v>
      </c>
      <c r="EB519" s="2029">
        <v>407</v>
      </c>
      <c r="EC519" s="2029">
        <v>407</v>
      </c>
      <c r="ED519" s="2029">
        <v>407</v>
      </c>
      <c r="EE519" s="2039">
        <f t="shared" ref="EE519:EH582" si="356">C519-DO519</f>
        <v>0</v>
      </c>
      <c r="EF519" s="2039">
        <f t="shared" si="356"/>
        <v>0</v>
      </c>
      <c r="EG519" s="2039">
        <f t="shared" si="356"/>
        <v>0</v>
      </c>
      <c r="EH519" s="2039">
        <f t="shared" si="355"/>
        <v>0</v>
      </c>
      <c r="EI519" s="2040">
        <f t="shared" si="333"/>
        <v>0</v>
      </c>
      <c r="EJ519" s="2040">
        <f t="shared" si="333"/>
        <v>0</v>
      </c>
      <c r="EK519" s="2040">
        <f t="shared" si="333"/>
        <v>0</v>
      </c>
      <c r="EL519" s="2040">
        <f t="shared" si="333"/>
        <v>0</v>
      </c>
      <c r="EM519" s="2040">
        <f t="shared" si="333"/>
        <v>0</v>
      </c>
      <c r="EN519" s="2040">
        <f t="shared" si="333"/>
        <v>0</v>
      </c>
      <c r="EO519" s="2040">
        <f t="shared" si="350"/>
        <v>0</v>
      </c>
      <c r="EP519" s="2040">
        <f t="shared" si="350"/>
        <v>0</v>
      </c>
      <c r="EQ519" s="2040">
        <f t="shared" si="350"/>
        <v>0</v>
      </c>
      <c r="ER519" s="2040">
        <f t="shared" si="350"/>
        <v>0</v>
      </c>
      <c r="ES519" s="2040">
        <f t="shared" si="350"/>
        <v>0</v>
      </c>
      <c r="ET519" s="2040">
        <f t="shared" si="350"/>
        <v>0</v>
      </c>
      <c r="EU519" s="2039">
        <f t="shared" ref="EU519:EU582" si="357">SUM(EE519:ET519)</f>
        <v>0</v>
      </c>
      <c r="EV519" s="2039">
        <f t="shared" ref="EV519:EV582" si="358">SUM(EE519:EH519)</f>
        <v>0</v>
      </c>
    </row>
    <row r="520" spans="1:152" x14ac:dyDescent="0.25">
      <c r="A520" s="2149" t="str">
        <f t="shared" si="351"/>
        <v>EC Motor for Walk-in Cooler</v>
      </c>
      <c r="B520" s="1974" t="str">
        <f t="shared" si="351"/>
        <v>BPR4</v>
      </c>
      <c r="C520" s="2027">
        <f t="shared" si="349"/>
        <v>15</v>
      </c>
      <c r="D520" s="2144">
        <f t="shared" si="349"/>
        <v>357.5</v>
      </c>
      <c r="E520" s="2145">
        <f t="shared" si="349"/>
        <v>0.04</v>
      </c>
      <c r="F520" s="2027">
        <f t="shared" si="349"/>
        <v>0</v>
      </c>
      <c r="G520" s="1974" t="s">
        <v>2988</v>
      </c>
      <c r="H520" s="1974" t="s">
        <v>2988</v>
      </c>
      <c r="I520" s="2026">
        <v>0.9</v>
      </c>
      <c r="J520" s="2026">
        <v>0.9</v>
      </c>
      <c r="K520" s="2026">
        <v>0.9</v>
      </c>
      <c r="L520" s="2026">
        <v>0.9</v>
      </c>
      <c r="M520" s="2027">
        <f t="shared" si="322"/>
        <v>321.75</v>
      </c>
      <c r="N520" s="2027">
        <f t="shared" si="322"/>
        <v>321.75</v>
      </c>
      <c r="O520" s="2027">
        <f t="shared" si="322"/>
        <v>321.75</v>
      </c>
      <c r="P520" s="2027">
        <f t="shared" si="322"/>
        <v>321.75</v>
      </c>
      <c r="Q520" s="2026">
        <v>0.9</v>
      </c>
      <c r="R520" s="2026">
        <v>0.9</v>
      </c>
      <c r="S520" s="2026">
        <v>0.9</v>
      </c>
      <c r="T520" s="2026">
        <v>0.9</v>
      </c>
      <c r="U520" s="2028">
        <f t="shared" si="323"/>
        <v>3.6000000000000004E-2</v>
      </c>
      <c r="V520" s="2028">
        <f t="shared" si="323"/>
        <v>3.6000000000000004E-2</v>
      </c>
      <c r="W520" s="2028">
        <f t="shared" si="323"/>
        <v>3.6000000000000004E-2</v>
      </c>
      <c r="X520" s="2028">
        <f t="shared" si="323"/>
        <v>3.6000000000000004E-2</v>
      </c>
      <c r="Y520" s="2026">
        <v>0.9</v>
      </c>
      <c r="Z520" s="2026">
        <v>0.9</v>
      </c>
      <c r="AA520" s="2026">
        <v>0.9</v>
      </c>
      <c r="AB520" s="2026">
        <v>0.9</v>
      </c>
      <c r="AC520" s="2027">
        <f t="shared" si="324"/>
        <v>0</v>
      </c>
      <c r="AD520" s="2027">
        <f t="shared" si="324"/>
        <v>0</v>
      </c>
      <c r="AE520" s="2027">
        <f t="shared" si="324"/>
        <v>0</v>
      </c>
      <c r="AF520" s="2027">
        <f t="shared" si="324"/>
        <v>0</v>
      </c>
      <c r="AG520" s="2027">
        <v>0</v>
      </c>
      <c r="AH520" s="2028"/>
      <c r="AI520" s="2028"/>
      <c r="AJ520" s="2028"/>
      <c r="AK520" s="2027">
        <f t="shared" si="312"/>
        <v>0</v>
      </c>
      <c r="AL520" s="2027">
        <f t="shared" si="343"/>
        <v>0</v>
      </c>
      <c r="AM520" s="2027">
        <f t="shared" si="343"/>
        <v>0</v>
      </c>
      <c r="AN520" s="2027">
        <f t="shared" si="343"/>
        <v>0</v>
      </c>
      <c r="AO520" s="2027">
        <f t="shared" si="325"/>
        <v>0</v>
      </c>
      <c r="AP520" s="2027">
        <f t="shared" si="314"/>
        <v>0</v>
      </c>
      <c r="AQ520" s="2027">
        <f t="shared" si="314"/>
        <v>0</v>
      </c>
      <c r="AR520" s="2027">
        <f t="shared" si="314"/>
        <v>0</v>
      </c>
      <c r="AS520" s="2124">
        <f t="shared" ref="AS520:AS535" si="359">AS59*1.5</f>
        <v>37.5</v>
      </c>
      <c r="AT520" s="2029">
        <f t="shared" si="315"/>
        <v>37.5</v>
      </c>
      <c r="AU520" s="2029">
        <f t="shared" si="315"/>
        <v>37.5</v>
      </c>
      <c r="AV520" s="2029">
        <f t="shared" si="315"/>
        <v>37.5</v>
      </c>
      <c r="AW520" s="2124">
        <f t="shared" si="316"/>
        <v>0</v>
      </c>
      <c r="AX520" s="2029">
        <f t="shared" si="335"/>
        <v>0</v>
      </c>
      <c r="AY520" s="2029">
        <f t="shared" si="335"/>
        <v>0</v>
      </c>
      <c r="AZ520" s="2029">
        <f t="shared" si="335"/>
        <v>0</v>
      </c>
      <c r="BA520" s="2124">
        <f t="shared" si="354"/>
        <v>50</v>
      </c>
      <c r="BB520" s="2029">
        <f t="shared" si="354"/>
        <v>50</v>
      </c>
      <c r="BC520" s="2029">
        <f t="shared" si="354"/>
        <v>50</v>
      </c>
      <c r="BD520" s="2029">
        <f t="shared" si="354"/>
        <v>50</v>
      </c>
      <c r="BE520" s="2030">
        <f t="shared" si="328"/>
        <v>0</v>
      </c>
      <c r="BF520" s="2030">
        <f t="shared" si="328"/>
        <v>0</v>
      </c>
      <c r="BG520" s="2030">
        <f t="shared" si="328"/>
        <v>0</v>
      </c>
      <c r="BH520" s="2030">
        <f t="shared" si="328"/>
        <v>0</v>
      </c>
      <c r="BI520" s="2030">
        <f t="shared" si="329"/>
        <v>0</v>
      </c>
      <c r="BJ520" s="2030">
        <f t="shared" si="329"/>
        <v>0</v>
      </c>
      <c r="BK520" s="2030">
        <f t="shared" si="329"/>
        <v>0</v>
      </c>
      <c r="BL520" s="2030">
        <f t="shared" si="329"/>
        <v>0</v>
      </c>
      <c r="BM520" s="2125"/>
      <c r="BN520" s="2125"/>
      <c r="BO520" s="2125"/>
      <c r="BP520" s="2125"/>
      <c r="BQ520" s="2125"/>
      <c r="BR520" s="2125"/>
      <c r="BS520" s="2125"/>
      <c r="BT520" s="2125"/>
      <c r="BU520" s="2029"/>
      <c r="BV520" s="2029"/>
      <c r="BW520" s="2029"/>
      <c r="BX520" s="2029"/>
      <c r="BY520" s="2029"/>
      <c r="BZ520" s="2032"/>
      <c r="CA520" s="1974">
        <f t="shared" si="352"/>
        <v>0</v>
      </c>
      <c r="CB520" s="1974">
        <f t="shared" si="352"/>
        <v>0</v>
      </c>
      <c r="CC520" s="1974">
        <f t="shared" si="352"/>
        <v>0</v>
      </c>
      <c r="CD520" s="1974">
        <f t="shared" si="352"/>
        <v>0</v>
      </c>
      <c r="CE520" s="1974">
        <f t="shared" si="352"/>
        <v>0</v>
      </c>
      <c r="CF520" s="2033">
        <v>0</v>
      </c>
      <c r="CG520" s="2026">
        <v>0</v>
      </c>
      <c r="CH520" s="2009">
        <f t="shared" si="353"/>
        <v>0</v>
      </c>
      <c r="CI520" s="2031">
        <f t="shared" si="353"/>
        <v>0</v>
      </c>
      <c r="CJ520" s="1974">
        <f t="shared" si="353"/>
        <v>0</v>
      </c>
      <c r="CK520" s="2031">
        <f t="shared" si="353"/>
        <v>0</v>
      </c>
      <c r="CL520" s="2026">
        <v>1</v>
      </c>
      <c r="CM520" s="2026">
        <v>1</v>
      </c>
      <c r="CN520" s="2026">
        <v>1</v>
      </c>
      <c r="CO520" s="2026">
        <v>1</v>
      </c>
      <c r="CP520" s="2035"/>
      <c r="CQ520" s="2036"/>
      <c r="CR520" s="2036"/>
      <c r="CS520" s="2036"/>
      <c r="CT520" s="2036"/>
      <c r="CU520" s="2036"/>
      <c r="CV520" s="1973">
        <v>1</v>
      </c>
      <c r="CW520" s="1973">
        <v>0</v>
      </c>
      <c r="CX520" s="2037">
        <v>37.5</v>
      </c>
      <c r="CY520" s="2037">
        <v>37.5</v>
      </c>
      <c r="CZ520" s="2037">
        <v>37.5</v>
      </c>
      <c r="DA520" s="2037">
        <v>37.5</v>
      </c>
      <c r="DJ520" s="1976">
        <v>37.5</v>
      </c>
      <c r="DK520" s="1973">
        <v>37.5</v>
      </c>
      <c r="DL520" s="1973">
        <v>37.5</v>
      </c>
      <c r="DM520" s="1973">
        <v>37.5</v>
      </c>
      <c r="DO520" s="2027">
        <v>15</v>
      </c>
      <c r="DP520" s="2144">
        <v>357.5</v>
      </c>
      <c r="DQ520" s="2145">
        <v>0.04</v>
      </c>
      <c r="DR520" s="2027">
        <v>0</v>
      </c>
      <c r="DS520" s="2124">
        <v>37.5</v>
      </c>
      <c r="DT520" s="2029">
        <v>37.5</v>
      </c>
      <c r="DU520" s="2029">
        <v>37.5</v>
      </c>
      <c r="DV520" s="2029">
        <v>37.5</v>
      </c>
      <c r="DW520" s="2124">
        <v>0</v>
      </c>
      <c r="DX520" s="2029">
        <v>0</v>
      </c>
      <c r="DY520" s="2029">
        <v>0</v>
      </c>
      <c r="DZ520" s="2029">
        <v>0</v>
      </c>
      <c r="EA520" s="2124">
        <v>50</v>
      </c>
      <c r="EB520" s="2029">
        <v>50</v>
      </c>
      <c r="EC520" s="2029">
        <v>50</v>
      </c>
      <c r="ED520" s="2029">
        <v>50</v>
      </c>
      <c r="EE520" s="2039">
        <f t="shared" si="356"/>
        <v>0</v>
      </c>
      <c r="EF520" s="2039">
        <f t="shared" si="356"/>
        <v>0</v>
      </c>
      <c r="EG520" s="2039">
        <f t="shared" si="356"/>
        <v>0</v>
      </c>
      <c r="EH520" s="2039">
        <f t="shared" si="355"/>
        <v>0</v>
      </c>
      <c r="EI520" s="2040">
        <f t="shared" si="333"/>
        <v>0</v>
      </c>
      <c r="EJ520" s="2040">
        <f t="shared" si="333"/>
        <v>0</v>
      </c>
      <c r="EK520" s="2040">
        <f t="shared" si="333"/>
        <v>0</v>
      </c>
      <c r="EL520" s="2040">
        <f t="shared" si="333"/>
        <v>0</v>
      </c>
      <c r="EM520" s="2040">
        <f t="shared" si="333"/>
        <v>0</v>
      </c>
      <c r="EN520" s="2040">
        <f t="shared" si="333"/>
        <v>0</v>
      </c>
      <c r="EO520" s="2040">
        <f t="shared" si="350"/>
        <v>0</v>
      </c>
      <c r="EP520" s="2040">
        <f t="shared" si="350"/>
        <v>0</v>
      </c>
      <c r="EQ520" s="2040">
        <f t="shared" si="350"/>
        <v>0</v>
      </c>
      <c r="ER520" s="2040">
        <f t="shared" si="350"/>
        <v>0</v>
      </c>
      <c r="ES520" s="2040">
        <f t="shared" si="350"/>
        <v>0</v>
      </c>
      <c r="ET520" s="2040">
        <f t="shared" si="350"/>
        <v>0</v>
      </c>
      <c r="EU520" s="2039">
        <f t="shared" si="357"/>
        <v>0</v>
      </c>
      <c r="EV520" s="2039">
        <f t="shared" si="358"/>
        <v>0</v>
      </c>
    </row>
    <row r="521" spans="1:152" x14ac:dyDescent="0.25">
      <c r="A521" s="2149" t="str">
        <f t="shared" si="351"/>
        <v>EC Motor for Walk-in Freezer</v>
      </c>
      <c r="B521" s="1974" t="str">
        <f t="shared" si="351"/>
        <v>BPR19</v>
      </c>
      <c r="C521" s="2027">
        <f t="shared" si="349"/>
        <v>15</v>
      </c>
      <c r="D521" s="2144">
        <f t="shared" si="349"/>
        <v>577</v>
      </c>
      <c r="E521" s="2145">
        <f t="shared" si="349"/>
        <v>0.09</v>
      </c>
      <c r="F521" s="2027">
        <f t="shared" si="349"/>
        <v>0</v>
      </c>
      <c r="G521" s="1974" t="s">
        <v>2988</v>
      </c>
      <c r="H521" s="1974" t="s">
        <v>2988</v>
      </c>
      <c r="I521" s="2026">
        <v>0.9</v>
      </c>
      <c r="J521" s="2026">
        <v>0.9</v>
      </c>
      <c r="K521" s="2026">
        <v>0.9</v>
      </c>
      <c r="L521" s="2026">
        <v>0.9</v>
      </c>
      <c r="M521" s="2027">
        <f t="shared" si="322"/>
        <v>519.30000000000007</v>
      </c>
      <c r="N521" s="2027">
        <f t="shared" si="322"/>
        <v>519.30000000000007</v>
      </c>
      <c r="O521" s="2027">
        <f t="shared" si="322"/>
        <v>519.30000000000007</v>
      </c>
      <c r="P521" s="2027">
        <f t="shared" si="322"/>
        <v>519.30000000000007</v>
      </c>
      <c r="Q521" s="2026">
        <v>0.9</v>
      </c>
      <c r="R521" s="2026">
        <v>0.9</v>
      </c>
      <c r="S521" s="2026">
        <v>0.9</v>
      </c>
      <c r="T521" s="2026">
        <v>0.9</v>
      </c>
      <c r="U521" s="2028">
        <f t="shared" si="323"/>
        <v>8.1000000000000003E-2</v>
      </c>
      <c r="V521" s="2028">
        <f t="shared" si="323"/>
        <v>8.1000000000000003E-2</v>
      </c>
      <c r="W521" s="2028">
        <f t="shared" si="323"/>
        <v>8.1000000000000003E-2</v>
      </c>
      <c r="X521" s="2028">
        <f t="shared" si="323"/>
        <v>8.1000000000000003E-2</v>
      </c>
      <c r="Y521" s="2026">
        <v>0.9</v>
      </c>
      <c r="Z521" s="2026">
        <v>0.9</v>
      </c>
      <c r="AA521" s="2026">
        <v>0.9</v>
      </c>
      <c r="AB521" s="2026">
        <v>0.9</v>
      </c>
      <c r="AC521" s="2027">
        <f t="shared" si="324"/>
        <v>0</v>
      </c>
      <c r="AD521" s="2027">
        <f t="shared" si="324"/>
        <v>0</v>
      </c>
      <c r="AE521" s="2027">
        <f t="shared" si="324"/>
        <v>0</v>
      </c>
      <c r="AF521" s="2027">
        <f t="shared" si="324"/>
        <v>0</v>
      </c>
      <c r="AG521" s="2027">
        <v>0</v>
      </c>
      <c r="AH521" s="2028"/>
      <c r="AI521" s="2028"/>
      <c r="AJ521" s="2028"/>
      <c r="AK521" s="2027">
        <f t="shared" si="312"/>
        <v>0</v>
      </c>
      <c r="AL521" s="2027">
        <f t="shared" si="343"/>
        <v>0</v>
      </c>
      <c r="AM521" s="2027">
        <f t="shared" si="343"/>
        <v>0</v>
      </c>
      <c r="AN521" s="2027">
        <f t="shared" si="343"/>
        <v>0</v>
      </c>
      <c r="AO521" s="2027">
        <f t="shared" si="325"/>
        <v>0</v>
      </c>
      <c r="AP521" s="2027">
        <f t="shared" si="314"/>
        <v>0</v>
      </c>
      <c r="AQ521" s="2027">
        <f t="shared" si="314"/>
        <v>0</v>
      </c>
      <c r="AR521" s="2027">
        <f t="shared" si="314"/>
        <v>0</v>
      </c>
      <c r="AS521" s="2124">
        <f t="shared" si="359"/>
        <v>52.5</v>
      </c>
      <c r="AT521" s="2029">
        <f t="shared" si="315"/>
        <v>52.5</v>
      </c>
      <c r="AU521" s="2029">
        <f t="shared" si="315"/>
        <v>52.5</v>
      </c>
      <c r="AV521" s="2029">
        <f t="shared" si="315"/>
        <v>52.5</v>
      </c>
      <c r="AW521" s="2124">
        <f t="shared" si="316"/>
        <v>0</v>
      </c>
      <c r="AX521" s="2029">
        <f t="shared" si="335"/>
        <v>0</v>
      </c>
      <c r="AY521" s="2029">
        <f t="shared" si="335"/>
        <v>0</v>
      </c>
      <c r="AZ521" s="2029">
        <f t="shared" si="335"/>
        <v>0</v>
      </c>
      <c r="BA521" s="2124">
        <f t="shared" si="354"/>
        <v>50</v>
      </c>
      <c r="BB521" s="2029">
        <f t="shared" si="354"/>
        <v>50</v>
      </c>
      <c r="BC521" s="2029">
        <f t="shared" si="354"/>
        <v>50</v>
      </c>
      <c r="BD521" s="2029">
        <f t="shared" si="354"/>
        <v>50</v>
      </c>
      <c r="BE521" s="2030">
        <f t="shared" si="328"/>
        <v>0</v>
      </c>
      <c r="BF521" s="2030">
        <f t="shared" si="328"/>
        <v>0</v>
      </c>
      <c r="BG521" s="2030">
        <f t="shared" si="328"/>
        <v>0</v>
      </c>
      <c r="BH521" s="2030">
        <f t="shared" si="328"/>
        <v>0</v>
      </c>
      <c r="BI521" s="2030">
        <f t="shared" si="329"/>
        <v>0</v>
      </c>
      <c r="BJ521" s="2030">
        <f t="shared" si="329"/>
        <v>0</v>
      </c>
      <c r="BK521" s="2030">
        <f t="shared" si="329"/>
        <v>0</v>
      </c>
      <c r="BL521" s="2030">
        <f t="shared" si="329"/>
        <v>0</v>
      </c>
      <c r="BM521" s="2125"/>
      <c r="BN521" s="2125"/>
      <c r="BO521" s="2125"/>
      <c r="BP521" s="2125"/>
      <c r="BQ521" s="2125"/>
      <c r="BR521" s="2125"/>
      <c r="BS521" s="2125"/>
      <c r="BT521" s="2125"/>
      <c r="BU521" s="2029"/>
      <c r="BV521" s="2029"/>
      <c r="BW521" s="2029"/>
      <c r="BX521" s="2029"/>
      <c r="BY521" s="2029"/>
      <c r="BZ521" s="2032"/>
      <c r="CA521" s="1974">
        <f t="shared" si="352"/>
        <v>0</v>
      </c>
      <c r="CB521" s="1974">
        <f t="shared" si="352"/>
        <v>0</v>
      </c>
      <c r="CC521" s="1974">
        <f t="shared" si="352"/>
        <v>0</v>
      </c>
      <c r="CD521" s="1974">
        <f t="shared" si="352"/>
        <v>0</v>
      </c>
      <c r="CE521" s="1974">
        <f t="shared" si="352"/>
        <v>0</v>
      </c>
      <c r="CF521" s="2033">
        <v>0</v>
      </c>
      <c r="CG521" s="2026">
        <v>0</v>
      </c>
      <c r="CH521" s="2009">
        <f t="shared" si="353"/>
        <v>0</v>
      </c>
      <c r="CI521" s="2031">
        <f t="shared" si="353"/>
        <v>0</v>
      </c>
      <c r="CJ521" s="1974">
        <f t="shared" si="353"/>
        <v>0</v>
      </c>
      <c r="CK521" s="2031">
        <f t="shared" si="353"/>
        <v>0</v>
      </c>
      <c r="CL521" s="2026">
        <v>1</v>
      </c>
      <c r="CM521" s="2026">
        <v>1</v>
      </c>
      <c r="CN521" s="2026">
        <v>1</v>
      </c>
      <c r="CO521" s="2026">
        <v>1</v>
      </c>
      <c r="CP521" s="2035"/>
      <c r="CQ521" s="2036"/>
      <c r="CR521" s="2036"/>
      <c r="CS521" s="2036"/>
      <c r="CT521" s="2036"/>
      <c r="CU521" s="2036"/>
      <c r="CV521" s="1973">
        <v>1</v>
      </c>
      <c r="CW521" s="1973">
        <v>0</v>
      </c>
      <c r="CX521" s="2037">
        <v>52.5</v>
      </c>
      <c r="CY521" s="2037">
        <v>52.5</v>
      </c>
      <c r="CZ521" s="2037">
        <v>52.5</v>
      </c>
      <c r="DA521" s="2037">
        <v>52.5</v>
      </c>
      <c r="DJ521" s="1976">
        <v>52.5</v>
      </c>
      <c r="DK521" s="1973">
        <v>52.5</v>
      </c>
      <c r="DL521" s="1973">
        <v>52.5</v>
      </c>
      <c r="DM521" s="1973">
        <v>52.5</v>
      </c>
      <c r="DO521" s="2027">
        <v>15</v>
      </c>
      <c r="DP521" s="2144">
        <v>577</v>
      </c>
      <c r="DQ521" s="2145">
        <v>0.09</v>
      </c>
      <c r="DR521" s="2027">
        <v>0</v>
      </c>
      <c r="DS521" s="2124">
        <v>52.5</v>
      </c>
      <c r="DT521" s="2029">
        <v>52.5</v>
      </c>
      <c r="DU521" s="2029">
        <v>52.5</v>
      </c>
      <c r="DV521" s="2029">
        <v>52.5</v>
      </c>
      <c r="DW521" s="2124">
        <v>0</v>
      </c>
      <c r="DX521" s="2029">
        <v>0</v>
      </c>
      <c r="DY521" s="2029">
        <v>0</v>
      </c>
      <c r="DZ521" s="2029">
        <v>0</v>
      </c>
      <c r="EA521" s="2124">
        <v>50</v>
      </c>
      <c r="EB521" s="2029">
        <v>50</v>
      </c>
      <c r="EC521" s="2029">
        <v>50</v>
      </c>
      <c r="ED521" s="2029">
        <v>50</v>
      </c>
      <c r="EE521" s="2039">
        <f t="shared" si="356"/>
        <v>0</v>
      </c>
      <c r="EF521" s="2039">
        <f t="shared" si="356"/>
        <v>0</v>
      </c>
      <c r="EG521" s="2039">
        <f t="shared" si="356"/>
        <v>0</v>
      </c>
      <c r="EH521" s="2039">
        <f t="shared" si="355"/>
        <v>0</v>
      </c>
      <c r="EI521" s="2040">
        <f t="shared" si="333"/>
        <v>0</v>
      </c>
      <c r="EJ521" s="2040">
        <f t="shared" si="333"/>
        <v>0</v>
      </c>
      <c r="EK521" s="2040">
        <f t="shared" si="333"/>
        <v>0</v>
      </c>
      <c r="EL521" s="2040">
        <f t="shared" si="333"/>
        <v>0</v>
      </c>
      <c r="EM521" s="2040">
        <f t="shared" si="333"/>
        <v>0</v>
      </c>
      <c r="EN521" s="2040">
        <f t="shared" si="333"/>
        <v>0</v>
      </c>
      <c r="EO521" s="2040">
        <f t="shared" si="350"/>
        <v>0</v>
      </c>
      <c r="EP521" s="2040">
        <f t="shared" si="350"/>
        <v>0</v>
      </c>
      <c r="EQ521" s="2040">
        <f t="shared" si="350"/>
        <v>0</v>
      </c>
      <c r="ER521" s="2040">
        <f t="shared" si="350"/>
        <v>0</v>
      </c>
      <c r="ES521" s="2040">
        <f t="shared" si="350"/>
        <v>0</v>
      </c>
      <c r="ET521" s="2040">
        <f t="shared" si="350"/>
        <v>0</v>
      </c>
      <c r="EU521" s="2039">
        <f t="shared" si="357"/>
        <v>0</v>
      </c>
      <c r="EV521" s="2039">
        <f t="shared" si="358"/>
        <v>0</v>
      </c>
    </row>
    <row r="522" spans="1:152" x14ac:dyDescent="0.25">
      <c r="A522" s="2149" t="str">
        <f t="shared" si="351"/>
        <v>EC Motor for Reach-In Cooler</v>
      </c>
      <c r="B522" s="1974" t="str">
        <f t="shared" si="351"/>
        <v>BPR5</v>
      </c>
      <c r="C522" s="2027">
        <f t="shared" si="349"/>
        <v>15</v>
      </c>
      <c r="D522" s="2144">
        <f t="shared" si="349"/>
        <v>343</v>
      </c>
      <c r="E522" s="2145">
        <f t="shared" si="349"/>
        <v>0.03</v>
      </c>
      <c r="F522" s="2027">
        <f t="shared" si="349"/>
        <v>0</v>
      </c>
      <c r="G522" s="1974" t="s">
        <v>2988</v>
      </c>
      <c r="H522" s="1974" t="s">
        <v>2988</v>
      </c>
      <c r="I522" s="2026">
        <v>0.9</v>
      </c>
      <c r="J522" s="2026">
        <v>0.9</v>
      </c>
      <c r="K522" s="2026">
        <v>0.9</v>
      </c>
      <c r="L522" s="2026">
        <v>0.9</v>
      </c>
      <c r="M522" s="2027">
        <f t="shared" si="322"/>
        <v>308.7</v>
      </c>
      <c r="N522" s="2027">
        <f t="shared" si="322"/>
        <v>308.7</v>
      </c>
      <c r="O522" s="2027">
        <f t="shared" si="322"/>
        <v>308.7</v>
      </c>
      <c r="P522" s="2027">
        <f t="shared" si="322"/>
        <v>308.7</v>
      </c>
      <c r="Q522" s="2026">
        <v>0.9</v>
      </c>
      <c r="R522" s="2026">
        <v>0.9</v>
      </c>
      <c r="S522" s="2026">
        <v>0.9</v>
      </c>
      <c r="T522" s="2026">
        <v>0.9</v>
      </c>
      <c r="U522" s="2028">
        <f t="shared" si="323"/>
        <v>2.7E-2</v>
      </c>
      <c r="V522" s="2028">
        <f t="shared" si="323"/>
        <v>2.7E-2</v>
      </c>
      <c r="W522" s="2028">
        <f t="shared" si="323"/>
        <v>2.7E-2</v>
      </c>
      <c r="X522" s="2028">
        <f t="shared" si="323"/>
        <v>2.7E-2</v>
      </c>
      <c r="Y522" s="2026">
        <v>0.9</v>
      </c>
      <c r="Z522" s="2026">
        <v>0.9</v>
      </c>
      <c r="AA522" s="2026">
        <v>0.9</v>
      </c>
      <c r="AB522" s="2026">
        <v>0.9</v>
      </c>
      <c r="AC522" s="2027">
        <f t="shared" si="324"/>
        <v>0</v>
      </c>
      <c r="AD522" s="2027">
        <f t="shared" si="324"/>
        <v>0</v>
      </c>
      <c r="AE522" s="2027">
        <f t="shared" si="324"/>
        <v>0</v>
      </c>
      <c r="AF522" s="2027">
        <f t="shared" si="324"/>
        <v>0</v>
      </c>
      <c r="AG522" s="2027">
        <v>0</v>
      </c>
      <c r="AH522" s="2028"/>
      <c r="AI522" s="2028"/>
      <c r="AJ522" s="2028"/>
      <c r="AK522" s="2027">
        <f t="shared" si="312"/>
        <v>0</v>
      </c>
      <c r="AL522" s="2027">
        <f t="shared" si="343"/>
        <v>0</v>
      </c>
      <c r="AM522" s="2027">
        <f t="shared" si="343"/>
        <v>0</v>
      </c>
      <c r="AN522" s="2027">
        <f t="shared" si="343"/>
        <v>0</v>
      </c>
      <c r="AO522" s="2027">
        <f t="shared" si="325"/>
        <v>0</v>
      </c>
      <c r="AP522" s="2027">
        <f t="shared" si="314"/>
        <v>0</v>
      </c>
      <c r="AQ522" s="2027">
        <f t="shared" si="314"/>
        <v>0</v>
      </c>
      <c r="AR522" s="2027">
        <f t="shared" si="314"/>
        <v>0</v>
      </c>
      <c r="AS522" s="2124">
        <f t="shared" si="359"/>
        <v>37.5</v>
      </c>
      <c r="AT522" s="2029">
        <f t="shared" si="315"/>
        <v>37.5</v>
      </c>
      <c r="AU522" s="2029">
        <f t="shared" si="315"/>
        <v>37.5</v>
      </c>
      <c r="AV522" s="2029">
        <f t="shared" si="315"/>
        <v>37.5</v>
      </c>
      <c r="AW522" s="2124">
        <f t="shared" si="316"/>
        <v>0</v>
      </c>
      <c r="AX522" s="2029">
        <f t="shared" si="335"/>
        <v>0</v>
      </c>
      <c r="AY522" s="2029">
        <f t="shared" si="335"/>
        <v>0</v>
      </c>
      <c r="AZ522" s="2029">
        <f t="shared" si="335"/>
        <v>0</v>
      </c>
      <c r="BA522" s="2124">
        <f t="shared" si="354"/>
        <v>50</v>
      </c>
      <c r="BB522" s="2029">
        <f t="shared" si="354"/>
        <v>50</v>
      </c>
      <c r="BC522" s="2029">
        <f t="shared" si="354"/>
        <v>50</v>
      </c>
      <c r="BD522" s="2029">
        <f t="shared" si="354"/>
        <v>50</v>
      </c>
      <c r="BE522" s="2030">
        <f t="shared" si="328"/>
        <v>0</v>
      </c>
      <c r="BF522" s="2030">
        <f t="shared" si="328"/>
        <v>0</v>
      </c>
      <c r="BG522" s="2030">
        <f t="shared" si="328"/>
        <v>0</v>
      </c>
      <c r="BH522" s="2030">
        <f t="shared" si="328"/>
        <v>0</v>
      </c>
      <c r="BI522" s="2030">
        <f t="shared" si="329"/>
        <v>0</v>
      </c>
      <c r="BJ522" s="2030">
        <f t="shared" si="329"/>
        <v>0</v>
      </c>
      <c r="BK522" s="2030">
        <f t="shared" si="329"/>
        <v>0</v>
      </c>
      <c r="BL522" s="2030">
        <f t="shared" si="329"/>
        <v>0</v>
      </c>
      <c r="BM522" s="2125"/>
      <c r="BN522" s="2125"/>
      <c r="BO522" s="2125"/>
      <c r="BP522" s="2125"/>
      <c r="BQ522" s="2125"/>
      <c r="BR522" s="2125"/>
      <c r="BS522" s="2125"/>
      <c r="BT522" s="2125"/>
      <c r="BU522" s="2029"/>
      <c r="BV522" s="2029"/>
      <c r="BW522" s="2029"/>
      <c r="BX522" s="2029"/>
      <c r="BY522" s="2029"/>
      <c r="BZ522" s="2032"/>
      <c r="CA522" s="1974">
        <f t="shared" si="352"/>
        <v>0</v>
      </c>
      <c r="CB522" s="1974">
        <f t="shared" si="352"/>
        <v>0</v>
      </c>
      <c r="CC522" s="1974">
        <f t="shared" si="352"/>
        <v>0</v>
      </c>
      <c r="CD522" s="1974">
        <f t="shared" si="352"/>
        <v>0</v>
      </c>
      <c r="CE522" s="1974">
        <f t="shared" si="352"/>
        <v>0</v>
      </c>
      <c r="CF522" s="2033">
        <v>0</v>
      </c>
      <c r="CG522" s="2026">
        <v>0</v>
      </c>
      <c r="CH522" s="2009">
        <f t="shared" si="353"/>
        <v>0</v>
      </c>
      <c r="CI522" s="2031">
        <f t="shared" si="353"/>
        <v>0</v>
      </c>
      <c r="CJ522" s="1974">
        <f t="shared" si="353"/>
        <v>0</v>
      </c>
      <c r="CK522" s="2031">
        <f t="shared" si="353"/>
        <v>0</v>
      </c>
      <c r="CL522" s="2026">
        <v>1</v>
      </c>
      <c r="CM522" s="2026">
        <v>1</v>
      </c>
      <c r="CN522" s="2026">
        <v>1</v>
      </c>
      <c r="CO522" s="2026">
        <v>1</v>
      </c>
      <c r="CP522" s="2035"/>
      <c r="CQ522" s="2036"/>
      <c r="CR522" s="2036"/>
      <c r="CS522" s="2036"/>
      <c r="CT522" s="2036"/>
      <c r="CU522" s="2036"/>
      <c r="CV522" s="1973">
        <v>1</v>
      </c>
      <c r="CW522" s="1973">
        <v>0</v>
      </c>
      <c r="CX522" s="2037">
        <v>37.5</v>
      </c>
      <c r="CY522" s="2037">
        <v>37.5</v>
      </c>
      <c r="CZ522" s="2037">
        <v>37.5</v>
      </c>
      <c r="DA522" s="2037">
        <v>37.5</v>
      </c>
      <c r="DJ522" s="1976">
        <v>37.5</v>
      </c>
      <c r="DK522" s="1973">
        <v>37.5</v>
      </c>
      <c r="DL522" s="1973">
        <v>37.5</v>
      </c>
      <c r="DM522" s="1973">
        <v>37.5</v>
      </c>
      <c r="DO522" s="2027">
        <v>15</v>
      </c>
      <c r="DP522" s="2144">
        <v>343</v>
      </c>
      <c r="DQ522" s="2145">
        <v>0.03</v>
      </c>
      <c r="DR522" s="2027">
        <v>0</v>
      </c>
      <c r="DS522" s="2124">
        <v>37.5</v>
      </c>
      <c r="DT522" s="2029">
        <v>37.5</v>
      </c>
      <c r="DU522" s="2029">
        <v>37.5</v>
      </c>
      <c r="DV522" s="2029">
        <v>37.5</v>
      </c>
      <c r="DW522" s="2124">
        <v>0</v>
      </c>
      <c r="DX522" s="2029">
        <v>0</v>
      </c>
      <c r="DY522" s="2029">
        <v>0</v>
      </c>
      <c r="DZ522" s="2029">
        <v>0</v>
      </c>
      <c r="EA522" s="2124">
        <v>50</v>
      </c>
      <c r="EB522" s="2029">
        <v>50</v>
      </c>
      <c r="EC522" s="2029">
        <v>50</v>
      </c>
      <c r="ED522" s="2029">
        <v>50</v>
      </c>
      <c r="EE522" s="2039">
        <f t="shared" si="356"/>
        <v>0</v>
      </c>
      <c r="EF522" s="2039">
        <f t="shared" si="356"/>
        <v>0</v>
      </c>
      <c r="EG522" s="2039">
        <f t="shared" si="356"/>
        <v>0</v>
      </c>
      <c r="EH522" s="2039">
        <f t="shared" si="355"/>
        <v>0</v>
      </c>
      <c r="EI522" s="2040">
        <f t="shared" si="333"/>
        <v>0</v>
      </c>
      <c r="EJ522" s="2040">
        <f t="shared" si="333"/>
        <v>0</v>
      </c>
      <c r="EK522" s="2040">
        <f t="shared" si="333"/>
        <v>0</v>
      </c>
      <c r="EL522" s="2040">
        <f t="shared" si="333"/>
        <v>0</v>
      </c>
      <c r="EM522" s="2040">
        <f t="shared" si="333"/>
        <v>0</v>
      </c>
      <c r="EN522" s="2040">
        <f t="shared" si="333"/>
        <v>0</v>
      </c>
      <c r="EO522" s="2040">
        <f t="shared" si="350"/>
        <v>0</v>
      </c>
      <c r="EP522" s="2040">
        <f t="shared" si="350"/>
        <v>0</v>
      </c>
      <c r="EQ522" s="2040">
        <f t="shared" si="350"/>
        <v>0</v>
      </c>
      <c r="ER522" s="2040">
        <f t="shared" si="350"/>
        <v>0</v>
      </c>
      <c r="ES522" s="2040">
        <f t="shared" si="350"/>
        <v>0</v>
      </c>
      <c r="ET522" s="2040">
        <f t="shared" si="350"/>
        <v>0</v>
      </c>
      <c r="EU522" s="2039">
        <f t="shared" si="357"/>
        <v>0</v>
      </c>
      <c r="EV522" s="2039">
        <f t="shared" si="358"/>
        <v>0</v>
      </c>
    </row>
    <row r="523" spans="1:152" x14ac:dyDescent="0.25">
      <c r="A523" s="2149" t="str">
        <f t="shared" si="351"/>
        <v>EC Motor for Reach-In Freezer</v>
      </c>
      <c r="B523" s="1974" t="str">
        <f t="shared" si="351"/>
        <v>BPR18</v>
      </c>
      <c r="C523" s="2027">
        <f t="shared" si="349"/>
        <v>15</v>
      </c>
      <c r="D523" s="2144">
        <f t="shared" si="349"/>
        <v>516.5</v>
      </c>
      <c r="E523" s="2145">
        <f t="shared" si="349"/>
        <v>0.04</v>
      </c>
      <c r="F523" s="2027">
        <f t="shared" si="349"/>
        <v>0</v>
      </c>
      <c r="G523" s="1974" t="s">
        <v>2988</v>
      </c>
      <c r="H523" s="1974" t="s">
        <v>2988</v>
      </c>
      <c r="I523" s="2026">
        <v>0.9</v>
      </c>
      <c r="J523" s="2026">
        <v>0.9</v>
      </c>
      <c r="K523" s="2026">
        <v>0.9</v>
      </c>
      <c r="L523" s="2026">
        <v>0.9</v>
      </c>
      <c r="M523" s="2027">
        <f t="shared" si="322"/>
        <v>464.85</v>
      </c>
      <c r="N523" s="2027">
        <f t="shared" si="322"/>
        <v>464.85</v>
      </c>
      <c r="O523" s="2027">
        <f t="shared" si="322"/>
        <v>464.85</v>
      </c>
      <c r="P523" s="2027">
        <f t="shared" si="322"/>
        <v>464.85</v>
      </c>
      <c r="Q523" s="2026">
        <v>0.9</v>
      </c>
      <c r="R523" s="2026">
        <v>0.9</v>
      </c>
      <c r="S523" s="2026">
        <v>0.9</v>
      </c>
      <c r="T523" s="2026">
        <v>0.9</v>
      </c>
      <c r="U523" s="2028">
        <f t="shared" si="323"/>
        <v>3.6000000000000004E-2</v>
      </c>
      <c r="V523" s="2028">
        <f t="shared" si="323"/>
        <v>3.6000000000000004E-2</v>
      </c>
      <c r="W523" s="2028">
        <f t="shared" si="323"/>
        <v>3.6000000000000004E-2</v>
      </c>
      <c r="X523" s="2028">
        <f t="shared" si="323"/>
        <v>3.6000000000000004E-2</v>
      </c>
      <c r="Y523" s="2026">
        <v>0.9</v>
      </c>
      <c r="Z523" s="2026">
        <v>0.9</v>
      </c>
      <c r="AA523" s="2026">
        <v>0.9</v>
      </c>
      <c r="AB523" s="2026">
        <v>0.9</v>
      </c>
      <c r="AC523" s="2027">
        <f t="shared" si="324"/>
        <v>0</v>
      </c>
      <c r="AD523" s="2027">
        <f t="shared" si="324"/>
        <v>0</v>
      </c>
      <c r="AE523" s="2027">
        <f t="shared" si="324"/>
        <v>0</v>
      </c>
      <c r="AF523" s="2027">
        <f t="shared" si="324"/>
        <v>0</v>
      </c>
      <c r="AG523" s="2027">
        <v>0</v>
      </c>
      <c r="AH523" s="2028"/>
      <c r="AI523" s="2028"/>
      <c r="AJ523" s="2028"/>
      <c r="AK523" s="2027">
        <f t="shared" si="312"/>
        <v>0</v>
      </c>
      <c r="AL523" s="2027">
        <f t="shared" si="343"/>
        <v>0</v>
      </c>
      <c r="AM523" s="2027">
        <f t="shared" si="343"/>
        <v>0</v>
      </c>
      <c r="AN523" s="2027">
        <f t="shared" si="343"/>
        <v>0</v>
      </c>
      <c r="AO523" s="2027">
        <f t="shared" si="325"/>
        <v>0</v>
      </c>
      <c r="AP523" s="2027">
        <f t="shared" si="314"/>
        <v>0</v>
      </c>
      <c r="AQ523" s="2027">
        <f t="shared" si="314"/>
        <v>0</v>
      </c>
      <c r="AR523" s="2027">
        <f t="shared" si="314"/>
        <v>0</v>
      </c>
      <c r="AS523" s="2124">
        <f t="shared" si="359"/>
        <v>52.5</v>
      </c>
      <c r="AT523" s="2029">
        <f t="shared" si="315"/>
        <v>52.5</v>
      </c>
      <c r="AU523" s="2029">
        <f t="shared" si="315"/>
        <v>52.5</v>
      </c>
      <c r="AV523" s="2029">
        <f t="shared" si="315"/>
        <v>52.5</v>
      </c>
      <c r="AW523" s="2124">
        <f t="shared" si="316"/>
        <v>0</v>
      </c>
      <c r="AX523" s="2029">
        <f t="shared" si="335"/>
        <v>0</v>
      </c>
      <c r="AY523" s="2029">
        <f t="shared" si="335"/>
        <v>0</v>
      </c>
      <c r="AZ523" s="2029">
        <f t="shared" si="335"/>
        <v>0</v>
      </c>
      <c r="BA523" s="2124">
        <f t="shared" si="354"/>
        <v>50</v>
      </c>
      <c r="BB523" s="2029">
        <f t="shared" si="354"/>
        <v>50</v>
      </c>
      <c r="BC523" s="2029">
        <f t="shared" si="354"/>
        <v>50</v>
      </c>
      <c r="BD523" s="2029">
        <f t="shared" si="354"/>
        <v>50</v>
      </c>
      <c r="BE523" s="2030">
        <f t="shared" si="328"/>
        <v>0</v>
      </c>
      <c r="BF523" s="2030">
        <f t="shared" si="328"/>
        <v>0</v>
      </c>
      <c r="BG523" s="2030">
        <f t="shared" si="328"/>
        <v>0</v>
      </c>
      <c r="BH523" s="2030">
        <f t="shared" si="328"/>
        <v>0</v>
      </c>
      <c r="BI523" s="2030">
        <f t="shared" si="329"/>
        <v>0</v>
      </c>
      <c r="BJ523" s="2030">
        <f t="shared" si="329"/>
        <v>0</v>
      </c>
      <c r="BK523" s="2030">
        <f t="shared" si="329"/>
        <v>0</v>
      </c>
      <c r="BL523" s="2030">
        <f t="shared" si="329"/>
        <v>0</v>
      </c>
      <c r="BM523" s="2125"/>
      <c r="BN523" s="2125"/>
      <c r="BO523" s="2125"/>
      <c r="BP523" s="2125"/>
      <c r="BQ523" s="2125"/>
      <c r="BR523" s="2125"/>
      <c r="BS523" s="2125"/>
      <c r="BT523" s="2125"/>
      <c r="BU523" s="2029"/>
      <c r="BV523" s="2029"/>
      <c r="BW523" s="2029"/>
      <c r="BX523" s="2029"/>
      <c r="BY523" s="2029"/>
      <c r="BZ523" s="2032"/>
      <c r="CA523" s="1974">
        <f t="shared" si="352"/>
        <v>0</v>
      </c>
      <c r="CB523" s="1974">
        <f t="shared" si="352"/>
        <v>0</v>
      </c>
      <c r="CC523" s="1974">
        <f t="shared" si="352"/>
        <v>0</v>
      </c>
      <c r="CD523" s="1974">
        <f t="shared" si="352"/>
        <v>0</v>
      </c>
      <c r="CE523" s="1974">
        <f t="shared" si="352"/>
        <v>0</v>
      </c>
      <c r="CF523" s="2033">
        <v>0</v>
      </c>
      <c r="CG523" s="2026">
        <v>0</v>
      </c>
      <c r="CH523" s="2009">
        <f t="shared" si="353"/>
        <v>0</v>
      </c>
      <c r="CI523" s="2031">
        <f t="shared" si="353"/>
        <v>0</v>
      </c>
      <c r="CJ523" s="1974">
        <f t="shared" si="353"/>
        <v>0</v>
      </c>
      <c r="CK523" s="2031">
        <f t="shared" si="353"/>
        <v>0</v>
      </c>
      <c r="CL523" s="2026">
        <v>1</v>
      </c>
      <c r="CM523" s="2026">
        <v>1</v>
      </c>
      <c r="CN523" s="2026">
        <v>1</v>
      </c>
      <c r="CO523" s="2026">
        <v>1</v>
      </c>
      <c r="CP523" s="2035"/>
      <c r="CQ523" s="2036"/>
      <c r="CR523" s="2036"/>
      <c r="CS523" s="2036"/>
      <c r="CT523" s="2036"/>
      <c r="CU523" s="2036"/>
      <c r="CV523" s="1973">
        <v>1</v>
      </c>
      <c r="CW523" s="1973">
        <v>0</v>
      </c>
      <c r="CX523" s="2037">
        <v>52.5</v>
      </c>
      <c r="CY523" s="2037">
        <v>52.5</v>
      </c>
      <c r="CZ523" s="2037">
        <v>52.5</v>
      </c>
      <c r="DA523" s="2037">
        <v>52.5</v>
      </c>
      <c r="DJ523" s="1976">
        <v>52.5</v>
      </c>
      <c r="DK523" s="1973">
        <v>52.5</v>
      </c>
      <c r="DL523" s="1973">
        <v>52.5</v>
      </c>
      <c r="DM523" s="1973">
        <v>52.5</v>
      </c>
      <c r="DO523" s="2027">
        <v>15</v>
      </c>
      <c r="DP523" s="2144">
        <v>516.5</v>
      </c>
      <c r="DQ523" s="2145">
        <v>0.04</v>
      </c>
      <c r="DR523" s="2027">
        <v>0</v>
      </c>
      <c r="DS523" s="2124">
        <v>52.5</v>
      </c>
      <c r="DT523" s="2029">
        <v>52.5</v>
      </c>
      <c r="DU523" s="2029">
        <v>52.5</v>
      </c>
      <c r="DV523" s="2029">
        <v>52.5</v>
      </c>
      <c r="DW523" s="2124">
        <v>0</v>
      </c>
      <c r="DX523" s="2029">
        <v>0</v>
      </c>
      <c r="DY523" s="2029">
        <v>0</v>
      </c>
      <c r="DZ523" s="2029">
        <v>0</v>
      </c>
      <c r="EA523" s="2124">
        <v>50</v>
      </c>
      <c r="EB523" s="2029">
        <v>50</v>
      </c>
      <c r="EC523" s="2029">
        <v>50</v>
      </c>
      <c r="ED523" s="2029">
        <v>50</v>
      </c>
      <c r="EE523" s="2039">
        <f t="shared" si="356"/>
        <v>0</v>
      </c>
      <c r="EF523" s="2039">
        <f t="shared" si="356"/>
        <v>0</v>
      </c>
      <c r="EG523" s="2039">
        <f t="shared" si="356"/>
        <v>0</v>
      </c>
      <c r="EH523" s="2039">
        <f t="shared" si="355"/>
        <v>0</v>
      </c>
      <c r="EI523" s="2040">
        <f t="shared" si="333"/>
        <v>0</v>
      </c>
      <c r="EJ523" s="2040">
        <f t="shared" si="333"/>
        <v>0</v>
      </c>
      <c r="EK523" s="2040">
        <f t="shared" si="333"/>
        <v>0</v>
      </c>
      <c r="EL523" s="2040">
        <f t="shared" si="333"/>
        <v>0</v>
      </c>
      <c r="EM523" s="2040">
        <f t="shared" si="333"/>
        <v>0</v>
      </c>
      <c r="EN523" s="2040">
        <f t="shared" si="333"/>
        <v>0</v>
      </c>
      <c r="EO523" s="2040">
        <f t="shared" si="350"/>
        <v>0</v>
      </c>
      <c r="EP523" s="2040">
        <f t="shared" si="350"/>
        <v>0</v>
      </c>
      <c r="EQ523" s="2040">
        <f t="shared" si="350"/>
        <v>0</v>
      </c>
      <c r="ER523" s="2040">
        <f t="shared" si="350"/>
        <v>0</v>
      </c>
      <c r="ES523" s="2040">
        <f t="shared" si="350"/>
        <v>0</v>
      </c>
      <c r="ET523" s="2040">
        <f t="shared" si="350"/>
        <v>0</v>
      </c>
      <c r="EU523" s="2039">
        <f t="shared" si="357"/>
        <v>0</v>
      </c>
      <c r="EV523" s="2039">
        <f t="shared" si="358"/>
        <v>0</v>
      </c>
    </row>
    <row r="524" spans="1:152" x14ac:dyDescent="0.25">
      <c r="A524" s="2149" t="str">
        <f t="shared" si="351"/>
        <v>High Efficiency High Speed Exhaust/Ventilation Fans (24-35 in diameter)</v>
      </c>
      <c r="B524" s="1974" t="str">
        <f t="shared" si="351"/>
        <v>BPA1</v>
      </c>
      <c r="C524" s="2027">
        <f t="shared" si="349"/>
        <v>7</v>
      </c>
      <c r="D524" s="2144">
        <f t="shared" si="349"/>
        <v>372.14</v>
      </c>
      <c r="E524" s="2145">
        <f t="shared" si="349"/>
        <v>0.12</v>
      </c>
      <c r="F524" s="2027">
        <f t="shared" si="349"/>
        <v>0</v>
      </c>
      <c r="G524" s="1974" t="s">
        <v>2988</v>
      </c>
      <c r="H524" s="1974" t="s">
        <v>2988</v>
      </c>
      <c r="I524" s="2026">
        <v>0.9</v>
      </c>
      <c r="J524" s="2026">
        <v>0.9</v>
      </c>
      <c r="K524" s="2026">
        <v>0.9</v>
      </c>
      <c r="L524" s="2026">
        <v>0.9</v>
      </c>
      <c r="M524" s="2027">
        <f t="shared" si="322"/>
        <v>334.92599999999999</v>
      </c>
      <c r="N524" s="2027">
        <f t="shared" si="322"/>
        <v>334.92599999999999</v>
      </c>
      <c r="O524" s="2027">
        <f t="shared" si="322"/>
        <v>334.92599999999999</v>
      </c>
      <c r="P524" s="2027">
        <f t="shared" si="322"/>
        <v>334.92599999999999</v>
      </c>
      <c r="Q524" s="2026">
        <v>0.9</v>
      </c>
      <c r="R524" s="2026">
        <v>0.9</v>
      </c>
      <c r="S524" s="2026">
        <v>0.9</v>
      </c>
      <c r="T524" s="2026">
        <v>0.9</v>
      </c>
      <c r="U524" s="2028">
        <f t="shared" si="323"/>
        <v>0.108</v>
      </c>
      <c r="V524" s="2028">
        <f t="shared" si="323"/>
        <v>0.108</v>
      </c>
      <c r="W524" s="2028">
        <f t="shared" si="323"/>
        <v>0.108</v>
      </c>
      <c r="X524" s="2028">
        <f t="shared" si="323"/>
        <v>0.108</v>
      </c>
      <c r="Y524" s="2026">
        <v>0.9</v>
      </c>
      <c r="Z524" s="2026">
        <v>0.9</v>
      </c>
      <c r="AA524" s="2026">
        <v>0.9</v>
      </c>
      <c r="AB524" s="2026">
        <v>0.9</v>
      </c>
      <c r="AC524" s="2027">
        <f t="shared" si="324"/>
        <v>0</v>
      </c>
      <c r="AD524" s="2027">
        <f t="shared" si="324"/>
        <v>0</v>
      </c>
      <c r="AE524" s="2027">
        <f t="shared" si="324"/>
        <v>0</v>
      </c>
      <c r="AF524" s="2027">
        <f t="shared" si="324"/>
        <v>0</v>
      </c>
      <c r="AG524" s="2027">
        <v>0</v>
      </c>
      <c r="AH524" s="2028"/>
      <c r="AI524" s="2028"/>
      <c r="AJ524" s="2028"/>
      <c r="AK524" s="2027">
        <f t="shared" si="312"/>
        <v>0</v>
      </c>
      <c r="AL524" s="2027">
        <f t="shared" si="343"/>
        <v>0</v>
      </c>
      <c r="AM524" s="2027">
        <f t="shared" si="343"/>
        <v>0</v>
      </c>
      <c r="AN524" s="2027">
        <f t="shared" si="343"/>
        <v>0</v>
      </c>
      <c r="AO524" s="2027">
        <f t="shared" si="325"/>
        <v>0</v>
      </c>
      <c r="AP524" s="2027">
        <f t="shared" si="314"/>
        <v>0</v>
      </c>
      <c r="AQ524" s="2027">
        <f t="shared" si="314"/>
        <v>0</v>
      </c>
      <c r="AR524" s="2027">
        <f t="shared" si="314"/>
        <v>0</v>
      </c>
      <c r="AS524" s="2124">
        <f t="shared" si="359"/>
        <v>37.5</v>
      </c>
      <c r="AT524" s="2029">
        <f t="shared" si="315"/>
        <v>37.5</v>
      </c>
      <c r="AU524" s="2029">
        <f t="shared" si="315"/>
        <v>37.5</v>
      </c>
      <c r="AV524" s="2029">
        <f t="shared" si="315"/>
        <v>37.5</v>
      </c>
      <c r="AW524" s="2124">
        <f t="shared" si="316"/>
        <v>0</v>
      </c>
      <c r="AX524" s="2029">
        <f t="shared" si="335"/>
        <v>0</v>
      </c>
      <c r="AY524" s="2029">
        <f t="shared" si="335"/>
        <v>0</v>
      </c>
      <c r="AZ524" s="2029">
        <f t="shared" si="335"/>
        <v>0</v>
      </c>
      <c r="BA524" s="2124">
        <f t="shared" si="354"/>
        <v>150</v>
      </c>
      <c r="BB524" s="2029">
        <f t="shared" si="354"/>
        <v>150</v>
      </c>
      <c r="BC524" s="2029">
        <f t="shared" si="354"/>
        <v>150</v>
      </c>
      <c r="BD524" s="2029">
        <f t="shared" si="354"/>
        <v>150</v>
      </c>
      <c r="BE524" s="2030">
        <f t="shared" si="328"/>
        <v>0</v>
      </c>
      <c r="BF524" s="2030">
        <f t="shared" si="328"/>
        <v>0</v>
      </c>
      <c r="BG524" s="2030">
        <f t="shared" si="328"/>
        <v>0</v>
      </c>
      <c r="BH524" s="2030">
        <f t="shared" si="328"/>
        <v>0</v>
      </c>
      <c r="BI524" s="2030">
        <f t="shared" si="329"/>
        <v>0</v>
      </c>
      <c r="BJ524" s="2030">
        <f t="shared" si="329"/>
        <v>0</v>
      </c>
      <c r="BK524" s="2030">
        <f t="shared" si="329"/>
        <v>0</v>
      </c>
      <c r="BL524" s="2030">
        <f t="shared" si="329"/>
        <v>0</v>
      </c>
      <c r="BM524" s="2125"/>
      <c r="BN524" s="2125"/>
      <c r="BO524" s="2125"/>
      <c r="BP524" s="2125"/>
      <c r="BQ524" s="2125"/>
      <c r="BR524" s="2125"/>
      <c r="BS524" s="2125"/>
      <c r="BT524" s="2125"/>
      <c r="BU524" s="2029"/>
      <c r="BV524" s="2029"/>
      <c r="BW524" s="2029"/>
      <c r="BX524" s="2029"/>
      <c r="BY524" s="2029"/>
      <c r="BZ524" s="2032"/>
      <c r="CA524" s="1974">
        <f t="shared" si="352"/>
        <v>0</v>
      </c>
      <c r="CB524" s="1974">
        <f t="shared" si="352"/>
        <v>0</v>
      </c>
      <c r="CC524" s="1974">
        <f t="shared" si="352"/>
        <v>0</v>
      </c>
      <c r="CD524" s="1974">
        <f t="shared" si="352"/>
        <v>0</v>
      </c>
      <c r="CE524" s="1974">
        <f t="shared" si="352"/>
        <v>0</v>
      </c>
      <c r="CF524" s="2033">
        <v>0</v>
      </c>
      <c r="CG524" s="2026">
        <v>0</v>
      </c>
      <c r="CH524" s="2009">
        <f t="shared" si="353"/>
        <v>0</v>
      </c>
      <c r="CI524" s="2031">
        <f t="shared" si="353"/>
        <v>0</v>
      </c>
      <c r="CJ524" s="1974">
        <f t="shared" si="353"/>
        <v>0</v>
      </c>
      <c r="CK524" s="2031">
        <f t="shared" si="353"/>
        <v>0</v>
      </c>
      <c r="CL524" s="2026">
        <v>1</v>
      </c>
      <c r="CM524" s="2026">
        <v>1</v>
      </c>
      <c r="CN524" s="2026">
        <v>1</v>
      </c>
      <c r="CO524" s="2026">
        <v>1</v>
      </c>
      <c r="CP524" s="2035"/>
      <c r="CQ524" s="2036"/>
      <c r="CR524" s="2036"/>
      <c r="CS524" s="2036"/>
      <c r="CT524" s="2036"/>
      <c r="CU524" s="2036"/>
      <c r="CV524" s="1973">
        <v>1</v>
      </c>
      <c r="CW524" s="1973">
        <v>0</v>
      </c>
      <c r="CX524" s="2037">
        <v>37.5</v>
      </c>
      <c r="CY524" s="2037">
        <v>37.5</v>
      </c>
      <c r="CZ524" s="2037">
        <v>37.5</v>
      </c>
      <c r="DA524" s="2037">
        <v>37.5</v>
      </c>
      <c r="DJ524" s="1976">
        <v>37.5</v>
      </c>
      <c r="DK524" s="1973">
        <v>37.5</v>
      </c>
      <c r="DL524" s="1973">
        <v>37.5</v>
      </c>
      <c r="DM524" s="1973">
        <v>37.5</v>
      </c>
      <c r="DO524" s="2027">
        <v>7</v>
      </c>
      <c r="DP524" s="2144">
        <v>372.14</v>
      </c>
      <c r="DQ524" s="2145">
        <v>0.12</v>
      </c>
      <c r="DR524" s="2027">
        <v>0</v>
      </c>
      <c r="DS524" s="2124">
        <v>37.5</v>
      </c>
      <c r="DT524" s="2029">
        <v>37.5</v>
      </c>
      <c r="DU524" s="2029">
        <v>37.5</v>
      </c>
      <c r="DV524" s="2029">
        <v>37.5</v>
      </c>
      <c r="DW524" s="2124">
        <v>0</v>
      </c>
      <c r="DX524" s="2029">
        <v>0</v>
      </c>
      <c r="DY524" s="2029">
        <v>0</v>
      </c>
      <c r="DZ524" s="2029">
        <v>0</v>
      </c>
      <c r="EA524" s="2124">
        <v>150</v>
      </c>
      <c r="EB524" s="2029">
        <v>150</v>
      </c>
      <c r="EC524" s="2029">
        <v>150</v>
      </c>
      <c r="ED524" s="2029">
        <v>150</v>
      </c>
      <c r="EE524" s="2039">
        <f t="shared" si="356"/>
        <v>0</v>
      </c>
      <c r="EF524" s="2039">
        <f t="shared" si="356"/>
        <v>0</v>
      </c>
      <c r="EG524" s="2039">
        <f t="shared" si="356"/>
        <v>0</v>
      </c>
      <c r="EH524" s="2039">
        <f t="shared" si="355"/>
        <v>0</v>
      </c>
      <c r="EI524" s="2040">
        <f t="shared" si="333"/>
        <v>0</v>
      </c>
      <c r="EJ524" s="2040">
        <f t="shared" si="333"/>
        <v>0</v>
      </c>
      <c r="EK524" s="2040">
        <f t="shared" si="333"/>
        <v>0</v>
      </c>
      <c r="EL524" s="2040">
        <f t="shared" si="333"/>
        <v>0</v>
      </c>
      <c r="EM524" s="2040">
        <f t="shared" si="333"/>
        <v>0</v>
      </c>
      <c r="EN524" s="2040">
        <f t="shared" si="333"/>
        <v>0</v>
      </c>
      <c r="EO524" s="2040">
        <f t="shared" si="350"/>
        <v>0</v>
      </c>
      <c r="EP524" s="2040">
        <f t="shared" si="350"/>
        <v>0</v>
      </c>
      <c r="EQ524" s="2040">
        <f t="shared" si="350"/>
        <v>0</v>
      </c>
      <c r="ER524" s="2040">
        <f t="shared" si="350"/>
        <v>0</v>
      </c>
      <c r="ES524" s="2040">
        <f t="shared" si="350"/>
        <v>0</v>
      </c>
      <c r="ET524" s="2040">
        <f t="shared" si="350"/>
        <v>0</v>
      </c>
      <c r="EU524" s="2039">
        <f t="shared" si="357"/>
        <v>0</v>
      </c>
      <c r="EV524" s="2039">
        <f t="shared" si="358"/>
        <v>0</v>
      </c>
    </row>
    <row r="525" spans="1:152" x14ac:dyDescent="0.25">
      <c r="A525" s="2149" t="str">
        <f t="shared" si="351"/>
        <v>High Efficiency High Speed Exhaust/Ventilation Fans (36-47 in diameter)</v>
      </c>
      <c r="B525" s="1974" t="str">
        <f t="shared" si="351"/>
        <v>BPA2</v>
      </c>
      <c r="C525" s="2027">
        <f t="shared" ref="C525:F540" si="360">C64</f>
        <v>7</v>
      </c>
      <c r="D525" s="2144">
        <f t="shared" si="360"/>
        <v>625.23</v>
      </c>
      <c r="E525" s="2145">
        <f t="shared" si="360"/>
        <v>0.2</v>
      </c>
      <c r="F525" s="2027">
        <f t="shared" si="360"/>
        <v>0</v>
      </c>
      <c r="G525" s="1974" t="s">
        <v>2988</v>
      </c>
      <c r="H525" s="1974" t="s">
        <v>2988</v>
      </c>
      <c r="I525" s="2026">
        <v>0.9</v>
      </c>
      <c r="J525" s="2026">
        <v>0.9</v>
      </c>
      <c r="K525" s="2026">
        <v>0.9</v>
      </c>
      <c r="L525" s="2026">
        <v>0.9</v>
      </c>
      <c r="M525" s="2027">
        <f t="shared" si="322"/>
        <v>562.70699999999999</v>
      </c>
      <c r="N525" s="2027">
        <f t="shared" si="322"/>
        <v>562.70699999999999</v>
      </c>
      <c r="O525" s="2027">
        <f t="shared" si="322"/>
        <v>562.70699999999999</v>
      </c>
      <c r="P525" s="2027">
        <f t="shared" si="322"/>
        <v>562.70699999999999</v>
      </c>
      <c r="Q525" s="2026">
        <v>0.9</v>
      </c>
      <c r="R525" s="2026">
        <v>0.9</v>
      </c>
      <c r="S525" s="2026">
        <v>0.9</v>
      </c>
      <c r="T525" s="2026">
        <v>0.9</v>
      </c>
      <c r="U525" s="2028">
        <f t="shared" si="323"/>
        <v>0.18000000000000002</v>
      </c>
      <c r="V525" s="2028">
        <f t="shared" si="323"/>
        <v>0.18000000000000002</v>
      </c>
      <c r="W525" s="2028">
        <f t="shared" si="323"/>
        <v>0.18000000000000002</v>
      </c>
      <c r="X525" s="2028">
        <f t="shared" si="323"/>
        <v>0.18000000000000002</v>
      </c>
      <c r="Y525" s="2026">
        <v>0.9</v>
      </c>
      <c r="Z525" s="2026">
        <v>0.9</v>
      </c>
      <c r="AA525" s="2026">
        <v>0.9</v>
      </c>
      <c r="AB525" s="2026">
        <v>0.9</v>
      </c>
      <c r="AC525" s="2027">
        <f t="shared" si="324"/>
        <v>0</v>
      </c>
      <c r="AD525" s="2027">
        <f t="shared" si="324"/>
        <v>0</v>
      </c>
      <c r="AE525" s="2027">
        <f t="shared" si="324"/>
        <v>0</v>
      </c>
      <c r="AF525" s="2027">
        <f t="shared" si="324"/>
        <v>0</v>
      </c>
      <c r="AG525" s="2027">
        <v>0</v>
      </c>
      <c r="AH525" s="2028"/>
      <c r="AI525" s="2028"/>
      <c r="AJ525" s="2028"/>
      <c r="AK525" s="2027">
        <f t="shared" si="312"/>
        <v>0</v>
      </c>
      <c r="AL525" s="2027">
        <f t="shared" si="343"/>
        <v>0</v>
      </c>
      <c r="AM525" s="2027">
        <f t="shared" si="343"/>
        <v>0</v>
      </c>
      <c r="AN525" s="2027">
        <f t="shared" si="343"/>
        <v>0</v>
      </c>
      <c r="AO525" s="2027">
        <f t="shared" si="325"/>
        <v>0</v>
      </c>
      <c r="AP525" s="2027">
        <f t="shared" si="314"/>
        <v>0</v>
      </c>
      <c r="AQ525" s="2027">
        <f t="shared" si="314"/>
        <v>0</v>
      </c>
      <c r="AR525" s="2027">
        <f t="shared" si="314"/>
        <v>0</v>
      </c>
      <c r="AS525" s="2124">
        <f t="shared" si="359"/>
        <v>75</v>
      </c>
      <c r="AT525" s="2029">
        <f t="shared" si="315"/>
        <v>75</v>
      </c>
      <c r="AU525" s="2029">
        <f t="shared" si="315"/>
        <v>75</v>
      </c>
      <c r="AV525" s="2029">
        <f t="shared" si="315"/>
        <v>75</v>
      </c>
      <c r="AW525" s="2124">
        <f t="shared" si="316"/>
        <v>0</v>
      </c>
      <c r="AX525" s="2029">
        <f t="shared" si="335"/>
        <v>0</v>
      </c>
      <c r="AY525" s="2029">
        <f t="shared" si="335"/>
        <v>0</v>
      </c>
      <c r="AZ525" s="2029">
        <f t="shared" si="335"/>
        <v>0</v>
      </c>
      <c r="BA525" s="2124">
        <f t="shared" si="354"/>
        <v>150</v>
      </c>
      <c r="BB525" s="2029">
        <f t="shared" si="354"/>
        <v>150</v>
      </c>
      <c r="BC525" s="2029">
        <f t="shared" si="354"/>
        <v>150</v>
      </c>
      <c r="BD525" s="2029">
        <f t="shared" si="354"/>
        <v>150</v>
      </c>
      <c r="BE525" s="2030">
        <f t="shared" si="328"/>
        <v>0</v>
      </c>
      <c r="BF525" s="2030">
        <f t="shared" si="328"/>
        <v>0</v>
      </c>
      <c r="BG525" s="2030">
        <f t="shared" si="328"/>
        <v>0</v>
      </c>
      <c r="BH525" s="2030">
        <f t="shared" si="328"/>
        <v>0</v>
      </c>
      <c r="BI525" s="2030">
        <f t="shared" si="329"/>
        <v>0</v>
      </c>
      <c r="BJ525" s="2030">
        <f t="shared" si="329"/>
        <v>0</v>
      </c>
      <c r="BK525" s="2030">
        <f t="shared" si="329"/>
        <v>0</v>
      </c>
      <c r="BL525" s="2030">
        <f t="shared" si="329"/>
        <v>0</v>
      </c>
      <c r="BM525" s="2125"/>
      <c r="BN525" s="2125"/>
      <c r="BO525" s="2125"/>
      <c r="BP525" s="2125"/>
      <c r="BQ525" s="2125"/>
      <c r="BR525" s="2125"/>
      <c r="BS525" s="2125"/>
      <c r="BT525" s="2125"/>
      <c r="BU525" s="2029"/>
      <c r="BV525" s="2029"/>
      <c r="BW525" s="2029"/>
      <c r="BX525" s="2029"/>
      <c r="BY525" s="2029"/>
      <c r="BZ525" s="2032"/>
      <c r="CA525" s="1974">
        <f t="shared" si="352"/>
        <v>0</v>
      </c>
      <c r="CB525" s="1974">
        <f t="shared" si="352"/>
        <v>0</v>
      </c>
      <c r="CC525" s="1974">
        <f t="shared" si="352"/>
        <v>0</v>
      </c>
      <c r="CD525" s="1974">
        <f t="shared" si="352"/>
        <v>0</v>
      </c>
      <c r="CE525" s="1974">
        <f t="shared" si="352"/>
        <v>0</v>
      </c>
      <c r="CF525" s="2033">
        <v>0</v>
      </c>
      <c r="CG525" s="2026">
        <v>0</v>
      </c>
      <c r="CH525" s="2009">
        <f t="shared" si="353"/>
        <v>0</v>
      </c>
      <c r="CI525" s="2031">
        <f t="shared" si="353"/>
        <v>0</v>
      </c>
      <c r="CJ525" s="1974">
        <f t="shared" si="353"/>
        <v>0</v>
      </c>
      <c r="CK525" s="2031">
        <f t="shared" si="353"/>
        <v>0</v>
      </c>
      <c r="CL525" s="2026">
        <v>1</v>
      </c>
      <c r="CM525" s="2026">
        <v>1</v>
      </c>
      <c r="CN525" s="2026">
        <v>1</v>
      </c>
      <c r="CO525" s="2026">
        <v>1</v>
      </c>
      <c r="CP525" s="2035"/>
      <c r="CQ525" s="2036"/>
      <c r="CR525" s="2036"/>
      <c r="CS525" s="2036"/>
      <c r="CT525" s="2036"/>
      <c r="CU525" s="2036"/>
      <c r="CV525" s="1973">
        <v>1</v>
      </c>
      <c r="CW525" s="1973">
        <v>0</v>
      </c>
      <c r="CX525" s="2037">
        <v>75</v>
      </c>
      <c r="CY525" s="2037">
        <v>75</v>
      </c>
      <c r="CZ525" s="2037">
        <v>75</v>
      </c>
      <c r="DA525" s="2037">
        <v>75</v>
      </c>
      <c r="DJ525" s="1976">
        <v>75</v>
      </c>
      <c r="DK525" s="1973">
        <v>75</v>
      </c>
      <c r="DL525" s="1973">
        <v>75</v>
      </c>
      <c r="DM525" s="1973">
        <v>75</v>
      </c>
      <c r="DO525" s="2027">
        <v>7</v>
      </c>
      <c r="DP525" s="2144">
        <v>625.23</v>
      </c>
      <c r="DQ525" s="2145">
        <v>0.2</v>
      </c>
      <c r="DR525" s="2027">
        <v>0</v>
      </c>
      <c r="DS525" s="2124">
        <v>75</v>
      </c>
      <c r="DT525" s="2029">
        <v>75</v>
      </c>
      <c r="DU525" s="2029">
        <v>75</v>
      </c>
      <c r="DV525" s="2029">
        <v>75</v>
      </c>
      <c r="DW525" s="2124">
        <v>0</v>
      </c>
      <c r="DX525" s="2029">
        <v>0</v>
      </c>
      <c r="DY525" s="2029">
        <v>0</v>
      </c>
      <c r="DZ525" s="2029">
        <v>0</v>
      </c>
      <c r="EA525" s="2124">
        <v>150</v>
      </c>
      <c r="EB525" s="2029">
        <v>150</v>
      </c>
      <c r="EC525" s="2029">
        <v>150</v>
      </c>
      <c r="ED525" s="2029">
        <v>150</v>
      </c>
      <c r="EE525" s="2039">
        <f t="shared" si="356"/>
        <v>0</v>
      </c>
      <c r="EF525" s="2039">
        <f t="shared" si="356"/>
        <v>0</v>
      </c>
      <c r="EG525" s="2039">
        <f t="shared" si="356"/>
        <v>0</v>
      </c>
      <c r="EH525" s="2039">
        <f t="shared" si="355"/>
        <v>0</v>
      </c>
      <c r="EI525" s="2040">
        <f t="shared" si="333"/>
        <v>0</v>
      </c>
      <c r="EJ525" s="2040">
        <f t="shared" si="333"/>
        <v>0</v>
      </c>
      <c r="EK525" s="2040">
        <f t="shared" si="333"/>
        <v>0</v>
      </c>
      <c r="EL525" s="2040">
        <f t="shared" si="333"/>
        <v>0</v>
      </c>
      <c r="EM525" s="2040">
        <f t="shared" si="333"/>
        <v>0</v>
      </c>
      <c r="EN525" s="2040">
        <f t="shared" si="333"/>
        <v>0</v>
      </c>
      <c r="EO525" s="2040">
        <f t="shared" si="350"/>
        <v>0</v>
      </c>
      <c r="EP525" s="2040">
        <f t="shared" si="350"/>
        <v>0</v>
      </c>
      <c r="EQ525" s="2040">
        <f t="shared" si="350"/>
        <v>0</v>
      </c>
      <c r="ER525" s="2040">
        <f t="shared" si="350"/>
        <v>0</v>
      </c>
      <c r="ES525" s="2040">
        <f t="shared" si="350"/>
        <v>0</v>
      </c>
      <c r="ET525" s="2040">
        <f t="shared" si="350"/>
        <v>0</v>
      </c>
      <c r="EU525" s="2039">
        <f t="shared" si="357"/>
        <v>0</v>
      </c>
      <c r="EV525" s="2039">
        <f t="shared" si="358"/>
        <v>0</v>
      </c>
    </row>
    <row r="526" spans="1:152" x14ac:dyDescent="0.25">
      <c r="A526" s="2149" t="str">
        <f t="shared" si="351"/>
        <v>High Efficiency High Speed Exhaust/Ventilation Fans (48-71 in diameter)</v>
      </c>
      <c r="B526" s="1974" t="str">
        <f t="shared" si="351"/>
        <v>BPA3</v>
      </c>
      <c r="C526" s="2027">
        <f t="shared" si="360"/>
        <v>7</v>
      </c>
      <c r="D526" s="2144">
        <f t="shared" si="360"/>
        <v>1122.3599999999999</v>
      </c>
      <c r="E526" s="2145">
        <f t="shared" si="360"/>
        <v>0.36</v>
      </c>
      <c r="F526" s="2027">
        <f t="shared" si="360"/>
        <v>0</v>
      </c>
      <c r="G526" s="1974" t="s">
        <v>2988</v>
      </c>
      <c r="H526" s="1974" t="s">
        <v>2988</v>
      </c>
      <c r="I526" s="2026">
        <v>0.9</v>
      </c>
      <c r="J526" s="2026">
        <v>0.9</v>
      </c>
      <c r="K526" s="2026">
        <v>0.9</v>
      </c>
      <c r="L526" s="2026">
        <v>0.9</v>
      </c>
      <c r="M526" s="2027">
        <f t="shared" si="322"/>
        <v>1010.1239999999999</v>
      </c>
      <c r="N526" s="2027">
        <f t="shared" si="322"/>
        <v>1010.1239999999999</v>
      </c>
      <c r="O526" s="2027">
        <f t="shared" si="322"/>
        <v>1010.1239999999999</v>
      </c>
      <c r="P526" s="2027">
        <f t="shared" si="322"/>
        <v>1010.1239999999999</v>
      </c>
      <c r="Q526" s="2026">
        <v>0.9</v>
      </c>
      <c r="R526" s="2026">
        <v>0.9</v>
      </c>
      <c r="S526" s="2026">
        <v>0.9</v>
      </c>
      <c r="T526" s="2026">
        <v>0.9</v>
      </c>
      <c r="U526" s="2028">
        <f t="shared" si="323"/>
        <v>0.32400000000000001</v>
      </c>
      <c r="V526" s="2028">
        <f t="shared" si="323"/>
        <v>0.32400000000000001</v>
      </c>
      <c r="W526" s="2028">
        <f t="shared" si="323"/>
        <v>0.32400000000000001</v>
      </c>
      <c r="X526" s="2028">
        <f t="shared" si="323"/>
        <v>0.32400000000000001</v>
      </c>
      <c r="Y526" s="2026">
        <v>0.9</v>
      </c>
      <c r="Z526" s="2026">
        <v>0.9</v>
      </c>
      <c r="AA526" s="2026">
        <v>0.9</v>
      </c>
      <c r="AB526" s="2026">
        <v>0.9</v>
      </c>
      <c r="AC526" s="2027">
        <f t="shared" si="324"/>
        <v>0</v>
      </c>
      <c r="AD526" s="2027">
        <f t="shared" si="324"/>
        <v>0</v>
      </c>
      <c r="AE526" s="2027">
        <f t="shared" si="324"/>
        <v>0</v>
      </c>
      <c r="AF526" s="2027">
        <f t="shared" si="324"/>
        <v>0</v>
      </c>
      <c r="AG526" s="2027">
        <v>0</v>
      </c>
      <c r="AH526" s="2028"/>
      <c r="AI526" s="2028"/>
      <c r="AJ526" s="2028"/>
      <c r="AK526" s="2027">
        <f t="shared" si="312"/>
        <v>0</v>
      </c>
      <c r="AL526" s="2027">
        <f t="shared" si="343"/>
        <v>0</v>
      </c>
      <c r="AM526" s="2027">
        <f t="shared" si="343"/>
        <v>0</v>
      </c>
      <c r="AN526" s="2027">
        <f t="shared" si="343"/>
        <v>0</v>
      </c>
      <c r="AO526" s="2027">
        <f t="shared" si="325"/>
        <v>0</v>
      </c>
      <c r="AP526" s="2027">
        <f t="shared" si="314"/>
        <v>0</v>
      </c>
      <c r="AQ526" s="2027">
        <f t="shared" si="314"/>
        <v>0</v>
      </c>
      <c r="AR526" s="2027">
        <f t="shared" si="314"/>
        <v>0</v>
      </c>
      <c r="AS526" s="2124">
        <f t="shared" si="359"/>
        <v>150</v>
      </c>
      <c r="AT526" s="2029">
        <f t="shared" si="315"/>
        <v>150</v>
      </c>
      <c r="AU526" s="2029">
        <f t="shared" si="315"/>
        <v>150</v>
      </c>
      <c r="AV526" s="2029">
        <f t="shared" si="315"/>
        <v>150</v>
      </c>
      <c r="AW526" s="2124">
        <f t="shared" si="316"/>
        <v>0</v>
      </c>
      <c r="AX526" s="2029">
        <f t="shared" si="335"/>
        <v>0</v>
      </c>
      <c r="AY526" s="2029">
        <f t="shared" si="335"/>
        <v>0</v>
      </c>
      <c r="AZ526" s="2029">
        <f t="shared" si="335"/>
        <v>0</v>
      </c>
      <c r="BA526" s="2124">
        <f t="shared" si="354"/>
        <v>150</v>
      </c>
      <c r="BB526" s="2029">
        <f t="shared" si="354"/>
        <v>150</v>
      </c>
      <c r="BC526" s="2029">
        <f t="shared" si="354"/>
        <v>150</v>
      </c>
      <c r="BD526" s="2029">
        <f t="shared" si="354"/>
        <v>150</v>
      </c>
      <c r="BE526" s="2030">
        <f t="shared" si="328"/>
        <v>0</v>
      </c>
      <c r="BF526" s="2030">
        <f t="shared" si="328"/>
        <v>0</v>
      </c>
      <c r="BG526" s="2030">
        <f t="shared" si="328"/>
        <v>0</v>
      </c>
      <c r="BH526" s="2030">
        <f t="shared" si="328"/>
        <v>0</v>
      </c>
      <c r="BI526" s="2030">
        <f t="shared" si="329"/>
        <v>0</v>
      </c>
      <c r="BJ526" s="2030">
        <f t="shared" si="329"/>
        <v>0</v>
      </c>
      <c r="BK526" s="2030">
        <f t="shared" si="329"/>
        <v>0</v>
      </c>
      <c r="BL526" s="2030">
        <f t="shared" si="329"/>
        <v>0</v>
      </c>
      <c r="BM526" s="2125"/>
      <c r="BN526" s="2125"/>
      <c r="BO526" s="2125"/>
      <c r="BP526" s="2125"/>
      <c r="BQ526" s="2125"/>
      <c r="BR526" s="2125"/>
      <c r="BS526" s="2125"/>
      <c r="BT526" s="2125"/>
      <c r="BU526" s="2029"/>
      <c r="BV526" s="2029"/>
      <c r="BW526" s="2029"/>
      <c r="BX526" s="2029"/>
      <c r="BY526" s="2029"/>
      <c r="BZ526" s="2032"/>
      <c r="CA526" s="1974">
        <f t="shared" si="352"/>
        <v>0</v>
      </c>
      <c r="CB526" s="1974">
        <f t="shared" si="352"/>
        <v>0</v>
      </c>
      <c r="CC526" s="1974">
        <f t="shared" si="352"/>
        <v>0</v>
      </c>
      <c r="CD526" s="1974">
        <f t="shared" si="352"/>
        <v>0</v>
      </c>
      <c r="CE526" s="1974">
        <f t="shared" si="352"/>
        <v>0</v>
      </c>
      <c r="CF526" s="2033">
        <v>0</v>
      </c>
      <c r="CG526" s="2026">
        <v>0</v>
      </c>
      <c r="CH526" s="2009">
        <f t="shared" si="353"/>
        <v>0</v>
      </c>
      <c r="CI526" s="2031">
        <f t="shared" si="353"/>
        <v>0</v>
      </c>
      <c r="CJ526" s="1974">
        <f t="shared" si="353"/>
        <v>0</v>
      </c>
      <c r="CK526" s="2031">
        <f t="shared" si="353"/>
        <v>0</v>
      </c>
      <c r="CL526" s="2026">
        <v>1</v>
      </c>
      <c r="CM526" s="2026">
        <v>1</v>
      </c>
      <c r="CN526" s="2026">
        <v>1</v>
      </c>
      <c r="CO526" s="2026">
        <v>1</v>
      </c>
      <c r="CP526" s="2035"/>
      <c r="CQ526" s="2036"/>
      <c r="CR526" s="2036"/>
      <c r="CS526" s="2036"/>
      <c r="CT526" s="2036"/>
      <c r="CU526" s="2036"/>
      <c r="CV526" s="1973">
        <v>1</v>
      </c>
      <c r="CW526" s="1973">
        <v>0</v>
      </c>
      <c r="CX526" s="2037">
        <v>150</v>
      </c>
      <c r="CY526" s="2037">
        <v>150</v>
      </c>
      <c r="CZ526" s="2037">
        <v>150</v>
      </c>
      <c r="DA526" s="2037">
        <v>150</v>
      </c>
      <c r="DJ526" s="1976">
        <v>150</v>
      </c>
      <c r="DK526" s="1973">
        <v>150</v>
      </c>
      <c r="DL526" s="1973">
        <v>150</v>
      </c>
      <c r="DM526" s="1973">
        <v>150</v>
      </c>
      <c r="DO526" s="2027">
        <v>7</v>
      </c>
      <c r="DP526" s="2144">
        <v>1122.3599999999999</v>
      </c>
      <c r="DQ526" s="2145">
        <v>0.36</v>
      </c>
      <c r="DR526" s="2027">
        <v>0</v>
      </c>
      <c r="DS526" s="2124">
        <v>150</v>
      </c>
      <c r="DT526" s="2029">
        <v>150</v>
      </c>
      <c r="DU526" s="2029">
        <v>150</v>
      </c>
      <c r="DV526" s="2029">
        <v>150</v>
      </c>
      <c r="DW526" s="2124">
        <v>0</v>
      </c>
      <c r="DX526" s="2029">
        <v>0</v>
      </c>
      <c r="DY526" s="2029">
        <v>0</v>
      </c>
      <c r="DZ526" s="2029">
        <v>0</v>
      </c>
      <c r="EA526" s="2124">
        <v>150</v>
      </c>
      <c r="EB526" s="2029">
        <v>150</v>
      </c>
      <c r="EC526" s="2029">
        <v>150</v>
      </c>
      <c r="ED526" s="2029">
        <v>150</v>
      </c>
      <c r="EE526" s="2039">
        <f t="shared" si="356"/>
        <v>0</v>
      </c>
      <c r="EF526" s="2039">
        <f t="shared" si="356"/>
        <v>0</v>
      </c>
      <c r="EG526" s="2039">
        <f t="shared" si="356"/>
        <v>0</v>
      </c>
      <c r="EH526" s="2039">
        <f t="shared" si="355"/>
        <v>0</v>
      </c>
      <c r="EI526" s="2040">
        <f t="shared" si="333"/>
        <v>0</v>
      </c>
      <c r="EJ526" s="2040">
        <f t="shared" si="333"/>
        <v>0</v>
      </c>
      <c r="EK526" s="2040">
        <f t="shared" si="333"/>
        <v>0</v>
      </c>
      <c r="EL526" s="2040">
        <f t="shared" si="333"/>
        <v>0</v>
      </c>
      <c r="EM526" s="2040">
        <f t="shared" si="333"/>
        <v>0</v>
      </c>
      <c r="EN526" s="2040">
        <f t="shared" si="333"/>
        <v>0</v>
      </c>
      <c r="EO526" s="2040">
        <f t="shared" si="350"/>
        <v>0</v>
      </c>
      <c r="EP526" s="2040">
        <f t="shared" si="350"/>
        <v>0</v>
      </c>
      <c r="EQ526" s="2040">
        <f t="shared" si="350"/>
        <v>0</v>
      </c>
      <c r="ER526" s="2040">
        <f t="shared" si="350"/>
        <v>0</v>
      </c>
      <c r="ES526" s="2040">
        <f t="shared" si="350"/>
        <v>0</v>
      </c>
      <c r="ET526" s="2040">
        <f t="shared" si="350"/>
        <v>0</v>
      </c>
      <c r="EU526" s="2039">
        <f t="shared" si="357"/>
        <v>0</v>
      </c>
      <c r="EV526" s="2039">
        <f t="shared" si="358"/>
        <v>0</v>
      </c>
    </row>
    <row r="527" spans="1:152" x14ac:dyDescent="0.25">
      <c r="A527" s="2149" t="str">
        <f t="shared" si="351"/>
        <v>High Efficiency Circulation Fans (24-35 in diameter)</v>
      </c>
      <c r="B527" s="1974" t="str">
        <f t="shared" si="351"/>
        <v>BPA4</v>
      </c>
      <c r="C527" s="2027">
        <f t="shared" si="360"/>
        <v>7</v>
      </c>
      <c r="D527" s="2144">
        <f t="shared" si="360"/>
        <v>372.14</v>
      </c>
      <c r="E527" s="2145">
        <f t="shared" si="360"/>
        <v>0.12</v>
      </c>
      <c r="F527" s="2027">
        <f t="shared" si="360"/>
        <v>0</v>
      </c>
      <c r="G527" s="1974" t="s">
        <v>2988</v>
      </c>
      <c r="H527" s="1974" t="s">
        <v>2988</v>
      </c>
      <c r="I527" s="2026">
        <v>0.9</v>
      </c>
      <c r="J527" s="2026">
        <v>0.9</v>
      </c>
      <c r="K527" s="2026">
        <v>0.9</v>
      </c>
      <c r="L527" s="2026">
        <v>0.9</v>
      </c>
      <c r="M527" s="2027">
        <f t="shared" si="322"/>
        <v>334.92599999999999</v>
      </c>
      <c r="N527" s="2027">
        <f t="shared" si="322"/>
        <v>334.92599999999999</v>
      </c>
      <c r="O527" s="2027">
        <f t="shared" si="322"/>
        <v>334.92599999999999</v>
      </c>
      <c r="P527" s="2027">
        <f t="shared" si="322"/>
        <v>334.92599999999999</v>
      </c>
      <c r="Q527" s="2026">
        <v>0.9</v>
      </c>
      <c r="R527" s="2026">
        <v>0.9</v>
      </c>
      <c r="S527" s="2026">
        <v>0.9</v>
      </c>
      <c r="T527" s="2026">
        <v>0.9</v>
      </c>
      <c r="U527" s="2028">
        <f t="shared" si="323"/>
        <v>0.108</v>
      </c>
      <c r="V527" s="2028">
        <f t="shared" si="323"/>
        <v>0.108</v>
      </c>
      <c r="W527" s="2028">
        <f t="shared" si="323"/>
        <v>0.108</v>
      </c>
      <c r="X527" s="2028">
        <f t="shared" si="323"/>
        <v>0.108</v>
      </c>
      <c r="Y527" s="2026">
        <v>0.9</v>
      </c>
      <c r="Z527" s="2026">
        <v>0.9</v>
      </c>
      <c r="AA527" s="2026">
        <v>0.9</v>
      </c>
      <c r="AB527" s="2026">
        <v>0.9</v>
      </c>
      <c r="AC527" s="2027">
        <f t="shared" si="324"/>
        <v>0</v>
      </c>
      <c r="AD527" s="2027">
        <f t="shared" si="324"/>
        <v>0</v>
      </c>
      <c r="AE527" s="2027">
        <f t="shared" si="324"/>
        <v>0</v>
      </c>
      <c r="AF527" s="2027">
        <f t="shared" si="324"/>
        <v>0</v>
      </c>
      <c r="AG527" s="2027">
        <v>0</v>
      </c>
      <c r="AH527" s="2028"/>
      <c r="AI527" s="2028"/>
      <c r="AJ527" s="2028"/>
      <c r="AK527" s="2027">
        <f t="shared" si="312"/>
        <v>0</v>
      </c>
      <c r="AL527" s="2027">
        <f t="shared" si="343"/>
        <v>0</v>
      </c>
      <c r="AM527" s="2027">
        <f t="shared" si="343"/>
        <v>0</v>
      </c>
      <c r="AN527" s="2027">
        <f t="shared" si="343"/>
        <v>0</v>
      </c>
      <c r="AO527" s="2027">
        <f t="shared" si="325"/>
        <v>0</v>
      </c>
      <c r="AP527" s="2027">
        <f t="shared" si="314"/>
        <v>0</v>
      </c>
      <c r="AQ527" s="2027">
        <f t="shared" si="314"/>
        <v>0</v>
      </c>
      <c r="AR527" s="2027">
        <f t="shared" si="314"/>
        <v>0</v>
      </c>
      <c r="AS527" s="2124">
        <f t="shared" si="359"/>
        <v>37.5</v>
      </c>
      <c r="AT527" s="2029">
        <f t="shared" si="315"/>
        <v>37.5</v>
      </c>
      <c r="AU527" s="2029">
        <f t="shared" si="315"/>
        <v>37.5</v>
      </c>
      <c r="AV527" s="2029">
        <f t="shared" si="315"/>
        <v>37.5</v>
      </c>
      <c r="AW527" s="2124">
        <f t="shared" si="316"/>
        <v>0</v>
      </c>
      <c r="AX527" s="2029">
        <f t="shared" si="335"/>
        <v>0</v>
      </c>
      <c r="AY527" s="2029">
        <f t="shared" si="335"/>
        <v>0</v>
      </c>
      <c r="AZ527" s="2029">
        <f t="shared" si="335"/>
        <v>0</v>
      </c>
      <c r="BA527" s="2124">
        <f t="shared" si="354"/>
        <v>150</v>
      </c>
      <c r="BB527" s="2029">
        <f t="shared" si="354"/>
        <v>150</v>
      </c>
      <c r="BC527" s="2029">
        <f t="shared" si="354"/>
        <v>150</v>
      </c>
      <c r="BD527" s="2029">
        <f t="shared" si="354"/>
        <v>150</v>
      </c>
      <c r="BE527" s="2030">
        <f t="shared" si="328"/>
        <v>0</v>
      </c>
      <c r="BF527" s="2030">
        <f t="shared" si="328"/>
        <v>0</v>
      </c>
      <c r="BG527" s="2030">
        <f t="shared" si="328"/>
        <v>0</v>
      </c>
      <c r="BH527" s="2030">
        <f t="shared" si="328"/>
        <v>0</v>
      </c>
      <c r="BI527" s="2030">
        <f t="shared" si="329"/>
        <v>0</v>
      </c>
      <c r="BJ527" s="2030">
        <f t="shared" si="329"/>
        <v>0</v>
      </c>
      <c r="BK527" s="2030">
        <f t="shared" si="329"/>
        <v>0</v>
      </c>
      <c r="BL527" s="2030">
        <f t="shared" si="329"/>
        <v>0</v>
      </c>
      <c r="BM527" s="2125"/>
      <c r="BN527" s="2125"/>
      <c r="BO527" s="2125"/>
      <c r="BP527" s="2125"/>
      <c r="BQ527" s="2125"/>
      <c r="BR527" s="2125"/>
      <c r="BS527" s="2125"/>
      <c r="BT527" s="2125"/>
      <c r="BU527" s="2029"/>
      <c r="BV527" s="2029"/>
      <c r="BW527" s="2029"/>
      <c r="BX527" s="2029"/>
      <c r="BY527" s="2029"/>
      <c r="BZ527" s="2032"/>
      <c r="CA527" s="1974">
        <f t="shared" si="352"/>
        <v>0</v>
      </c>
      <c r="CB527" s="1974">
        <f t="shared" si="352"/>
        <v>0</v>
      </c>
      <c r="CC527" s="1974">
        <f t="shared" si="352"/>
        <v>0</v>
      </c>
      <c r="CD527" s="1974">
        <f t="shared" si="352"/>
        <v>0</v>
      </c>
      <c r="CE527" s="1974">
        <f t="shared" si="352"/>
        <v>0</v>
      </c>
      <c r="CF527" s="2033">
        <v>0</v>
      </c>
      <c r="CG527" s="2026">
        <v>0</v>
      </c>
      <c r="CH527" s="2009">
        <f t="shared" si="353"/>
        <v>0</v>
      </c>
      <c r="CI527" s="2031">
        <f t="shared" si="353"/>
        <v>0</v>
      </c>
      <c r="CJ527" s="1974">
        <f t="shared" si="353"/>
        <v>0</v>
      </c>
      <c r="CK527" s="2031">
        <f t="shared" si="353"/>
        <v>0</v>
      </c>
      <c r="CL527" s="2026">
        <v>1</v>
      </c>
      <c r="CM527" s="2026">
        <v>1</v>
      </c>
      <c r="CN527" s="2026">
        <v>1</v>
      </c>
      <c r="CO527" s="2026">
        <v>1</v>
      </c>
      <c r="CP527" s="2035"/>
      <c r="CQ527" s="2036"/>
      <c r="CR527" s="2036"/>
      <c r="CS527" s="2036"/>
      <c r="CT527" s="2036"/>
      <c r="CU527" s="2036"/>
      <c r="CV527" s="1973">
        <v>1</v>
      </c>
      <c r="CW527" s="1973">
        <v>0</v>
      </c>
      <c r="CX527" s="2037">
        <v>37.5</v>
      </c>
      <c r="CY527" s="2037">
        <v>37.5</v>
      </c>
      <c r="CZ527" s="2037">
        <v>37.5</v>
      </c>
      <c r="DA527" s="2037">
        <v>37.5</v>
      </c>
      <c r="DJ527" s="1976">
        <v>37.5</v>
      </c>
      <c r="DK527" s="1973">
        <v>37.5</v>
      </c>
      <c r="DL527" s="1973">
        <v>37.5</v>
      </c>
      <c r="DM527" s="1973">
        <v>37.5</v>
      </c>
      <c r="DO527" s="2027">
        <v>7</v>
      </c>
      <c r="DP527" s="2144">
        <v>372.14</v>
      </c>
      <c r="DQ527" s="2145">
        <v>0.12</v>
      </c>
      <c r="DR527" s="2027">
        <v>0</v>
      </c>
      <c r="DS527" s="2124">
        <v>37.5</v>
      </c>
      <c r="DT527" s="2029">
        <v>37.5</v>
      </c>
      <c r="DU527" s="2029">
        <v>37.5</v>
      </c>
      <c r="DV527" s="2029">
        <v>37.5</v>
      </c>
      <c r="DW527" s="2124">
        <v>0</v>
      </c>
      <c r="DX527" s="2029">
        <v>0</v>
      </c>
      <c r="DY527" s="2029">
        <v>0</v>
      </c>
      <c r="DZ527" s="2029">
        <v>0</v>
      </c>
      <c r="EA527" s="2124">
        <v>150</v>
      </c>
      <c r="EB527" s="2029">
        <v>150</v>
      </c>
      <c r="EC527" s="2029">
        <v>150</v>
      </c>
      <c r="ED527" s="2029">
        <v>150</v>
      </c>
      <c r="EE527" s="2039">
        <f t="shared" si="356"/>
        <v>0</v>
      </c>
      <c r="EF527" s="2039">
        <f t="shared" si="356"/>
        <v>0</v>
      </c>
      <c r="EG527" s="2039">
        <f t="shared" si="356"/>
        <v>0</v>
      </c>
      <c r="EH527" s="2039">
        <f t="shared" si="355"/>
        <v>0</v>
      </c>
      <c r="EI527" s="2040">
        <f t="shared" si="333"/>
        <v>0</v>
      </c>
      <c r="EJ527" s="2040">
        <f t="shared" si="333"/>
        <v>0</v>
      </c>
      <c r="EK527" s="2040">
        <f t="shared" si="333"/>
        <v>0</v>
      </c>
      <c r="EL527" s="2040">
        <f t="shared" si="333"/>
        <v>0</v>
      </c>
      <c r="EM527" s="2040">
        <f t="shared" si="333"/>
        <v>0</v>
      </c>
      <c r="EN527" s="2040">
        <f t="shared" si="333"/>
        <v>0</v>
      </c>
      <c r="EO527" s="2040">
        <f t="shared" si="350"/>
        <v>0</v>
      </c>
      <c r="EP527" s="2040">
        <f t="shared" si="350"/>
        <v>0</v>
      </c>
      <c r="EQ527" s="2040">
        <f t="shared" si="350"/>
        <v>0</v>
      </c>
      <c r="ER527" s="2040">
        <f t="shared" si="350"/>
        <v>0</v>
      </c>
      <c r="ES527" s="2040">
        <f t="shared" si="350"/>
        <v>0</v>
      </c>
      <c r="ET527" s="2040">
        <f t="shared" si="350"/>
        <v>0</v>
      </c>
      <c r="EU527" s="2039">
        <f t="shared" si="357"/>
        <v>0</v>
      </c>
      <c r="EV527" s="2039">
        <f t="shared" si="358"/>
        <v>0</v>
      </c>
    </row>
    <row r="528" spans="1:152" x14ac:dyDescent="0.25">
      <c r="A528" s="2149" t="str">
        <f t="shared" si="351"/>
        <v>High Efficiency Circulation Fans (36-47 in diameter)</v>
      </c>
      <c r="B528" s="1974" t="str">
        <f t="shared" si="351"/>
        <v>BPA5</v>
      </c>
      <c r="C528" s="2027">
        <f t="shared" si="360"/>
        <v>7</v>
      </c>
      <c r="D528" s="2144">
        <f t="shared" si="360"/>
        <v>625.23</v>
      </c>
      <c r="E528" s="2145">
        <f t="shared" si="360"/>
        <v>0.2</v>
      </c>
      <c r="F528" s="2027">
        <f t="shared" si="360"/>
        <v>0</v>
      </c>
      <c r="G528" s="1974" t="s">
        <v>2988</v>
      </c>
      <c r="H528" s="1974" t="s">
        <v>2988</v>
      </c>
      <c r="I528" s="2026">
        <v>0.9</v>
      </c>
      <c r="J528" s="2026">
        <v>0.9</v>
      </c>
      <c r="K528" s="2026">
        <v>0.9</v>
      </c>
      <c r="L528" s="2026">
        <v>0.9</v>
      </c>
      <c r="M528" s="2027">
        <f t="shared" si="322"/>
        <v>562.70699999999999</v>
      </c>
      <c r="N528" s="2027">
        <f t="shared" si="322"/>
        <v>562.70699999999999</v>
      </c>
      <c r="O528" s="2027">
        <f t="shared" si="322"/>
        <v>562.70699999999999</v>
      </c>
      <c r="P528" s="2027">
        <f t="shared" si="322"/>
        <v>562.70699999999999</v>
      </c>
      <c r="Q528" s="2026">
        <v>0.9</v>
      </c>
      <c r="R528" s="2026">
        <v>0.9</v>
      </c>
      <c r="S528" s="2026">
        <v>0.9</v>
      </c>
      <c r="T528" s="2026">
        <v>0.9</v>
      </c>
      <c r="U528" s="2028">
        <f t="shared" si="323"/>
        <v>0.18000000000000002</v>
      </c>
      <c r="V528" s="2028">
        <f t="shared" si="323"/>
        <v>0.18000000000000002</v>
      </c>
      <c r="W528" s="2028">
        <f t="shared" si="323"/>
        <v>0.18000000000000002</v>
      </c>
      <c r="X528" s="2028">
        <f t="shared" si="323"/>
        <v>0.18000000000000002</v>
      </c>
      <c r="Y528" s="2026">
        <v>0.9</v>
      </c>
      <c r="Z528" s="2026">
        <v>0.9</v>
      </c>
      <c r="AA528" s="2026">
        <v>0.9</v>
      </c>
      <c r="AB528" s="2026">
        <v>0.9</v>
      </c>
      <c r="AC528" s="2027">
        <f t="shared" si="324"/>
        <v>0</v>
      </c>
      <c r="AD528" s="2027">
        <f t="shared" si="324"/>
        <v>0</v>
      </c>
      <c r="AE528" s="2027">
        <f t="shared" si="324"/>
        <v>0</v>
      </c>
      <c r="AF528" s="2027">
        <f t="shared" si="324"/>
        <v>0</v>
      </c>
      <c r="AG528" s="2027">
        <v>0</v>
      </c>
      <c r="AH528" s="2028"/>
      <c r="AI528" s="2028"/>
      <c r="AJ528" s="2028"/>
      <c r="AK528" s="2027">
        <f t="shared" si="312"/>
        <v>0</v>
      </c>
      <c r="AL528" s="2027">
        <f t="shared" si="343"/>
        <v>0</v>
      </c>
      <c r="AM528" s="2027">
        <f t="shared" si="343"/>
        <v>0</v>
      </c>
      <c r="AN528" s="2027">
        <f t="shared" si="343"/>
        <v>0</v>
      </c>
      <c r="AO528" s="2027">
        <f t="shared" si="325"/>
        <v>0</v>
      </c>
      <c r="AP528" s="2027">
        <f t="shared" si="314"/>
        <v>0</v>
      </c>
      <c r="AQ528" s="2027">
        <f t="shared" si="314"/>
        <v>0</v>
      </c>
      <c r="AR528" s="2027">
        <f t="shared" si="314"/>
        <v>0</v>
      </c>
      <c r="AS528" s="2124">
        <f t="shared" si="359"/>
        <v>75</v>
      </c>
      <c r="AT528" s="2029">
        <f t="shared" si="315"/>
        <v>75</v>
      </c>
      <c r="AU528" s="2029">
        <f t="shared" si="315"/>
        <v>75</v>
      </c>
      <c r="AV528" s="2029">
        <f t="shared" si="315"/>
        <v>75</v>
      </c>
      <c r="AW528" s="2124">
        <f t="shared" si="316"/>
        <v>0</v>
      </c>
      <c r="AX528" s="2029">
        <f t="shared" si="335"/>
        <v>0</v>
      </c>
      <c r="AY528" s="2029">
        <f t="shared" si="335"/>
        <v>0</v>
      </c>
      <c r="AZ528" s="2029">
        <f t="shared" si="335"/>
        <v>0</v>
      </c>
      <c r="BA528" s="2124">
        <f t="shared" si="354"/>
        <v>150</v>
      </c>
      <c r="BB528" s="2029">
        <f t="shared" si="354"/>
        <v>150</v>
      </c>
      <c r="BC528" s="2029">
        <f t="shared" si="354"/>
        <v>150</v>
      </c>
      <c r="BD528" s="2029">
        <f t="shared" si="354"/>
        <v>150</v>
      </c>
      <c r="BE528" s="2030">
        <f t="shared" si="328"/>
        <v>0</v>
      </c>
      <c r="BF528" s="2030">
        <f t="shared" si="328"/>
        <v>0</v>
      </c>
      <c r="BG528" s="2030">
        <f t="shared" si="328"/>
        <v>0</v>
      </c>
      <c r="BH528" s="2030">
        <f t="shared" si="328"/>
        <v>0</v>
      </c>
      <c r="BI528" s="2030">
        <f t="shared" si="329"/>
        <v>0</v>
      </c>
      <c r="BJ528" s="2030">
        <f t="shared" si="329"/>
        <v>0</v>
      </c>
      <c r="BK528" s="2030">
        <f t="shared" si="329"/>
        <v>0</v>
      </c>
      <c r="BL528" s="2030">
        <f t="shared" si="329"/>
        <v>0</v>
      </c>
      <c r="BM528" s="2125"/>
      <c r="BN528" s="2125"/>
      <c r="BO528" s="2125"/>
      <c r="BP528" s="2125"/>
      <c r="BQ528" s="2125"/>
      <c r="BR528" s="2125"/>
      <c r="BS528" s="2125"/>
      <c r="BT528" s="2125"/>
      <c r="BU528" s="2029"/>
      <c r="BV528" s="2029"/>
      <c r="BW528" s="2029"/>
      <c r="BX528" s="2029"/>
      <c r="BY528" s="2029"/>
      <c r="BZ528" s="2032"/>
      <c r="CA528" s="1974">
        <f t="shared" si="352"/>
        <v>0</v>
      </c>
      <c r="CB528" s="1974">
        <f t="shared" si="352"/>
        <v>0</v>
      </c>
      <c r="CC528" s="1974">
        <f t="shared" si="352"/>
        <v>0</v>
      </c>
      <c r="CD528" s="1974">
        <f t="shared" si="352"/>
        <v>0</v>
      </c>
      <c r="CE528" s="1974">
        <f t="shared" si="352"/>
        <v>0</v>
      </c>
      <c r="CF528" s="2033">
        <v>0</v>
      </c>
      <c r="CG528" s="2026">
        <v>0</v>
      </c>
      <c r="CH528" s="2009">
        <f t="shared" si="353"/>
        <v>0</v>
      </c>
      <c r="CI528" s="2031">
        <f t="shared" si="353"/>
        <v>0</v>
      </c>
      <c r="CJ528" s="1974">
        <f t="shared" si="353"/>
        <v>0</v>
      </c>
      <c r="CK528" s="2031">
        <f t="shared" si="353"/>
        <v>0</v>
      </c>
      <c r="CL528" s="2026">
        <v>1</v>
      </c>
      <c r="CM528" s="2026">
        <v>1</v>
      </c>
      <c r="CN528" s="2026">
        <v>1</v>
      </c>
      <c r="CO528" s="2026">
        <v>1</v>
      </c>
      <c r="CP528" s="2035"/>
      <c r="CQ528" s="2036"/>
      <c r="CR528" s="2036"/>
      <c r="CS528" s="2036"/>
      <c r="CT528" s="2036"/>
      <c r="CU528" s="2036"/>
      <c r="CV528" s="1973">
        <v>1</v>
      </c>
      <c r="CW528" s="1973">
        <v>0</v>
      </c>
      <c r="CX528" s="2037">
        <v>75</v>
      </c>
      <c r="CY528" s="2037">
        <v>75</v>
      </c>
      <c r="CZ528" s="2037">
        <v>75</v>
      </c>
      <c r="DA528" s="2037">
        <v>75</v>
      </c>
      <c r="DJ528" s="1976">
        <v>75</v>
      </c>
      <c r="DK528" s="1973">
        <v>75</v>
      </c>
      <c r="DL528" s="1973">
        <v>75</v>
      </c>
      <c r="DM528" s="1973">
        <v>75</v>
      </c>
      <c r="DO528" s="2027">
        <v>7</v>
      </c>
      <c r="DP528" s="2144">
        <v>625.23</v>
      </c>
      <c r="DQ528" s="2145">
        <v>0.2</v>
      </c>
      <c r="DR528" s="2027">
        <v>0</v>
      </c>
      <c r="DS528" s="2124">
        <v>75</v>
      </c>
      <c r="DT528" s="2029">
        <v>75</v>
      </c>
      <c r="DU528" s="2029">
        <v>75</v>
      </c>
      <c r="DV528" s="2029">
        <v>75</v>
      </c>
      <c r="DW528" s="2124">
        <v>0</v>
      </c>
      <c r="DX528" s="2029">
        <v>0</v>
      </c>
      <c r="DY528" s="2029">
        <v>0</v>
      </c>
      <c r="DZ528" s="2029">
        <v>0</v>
      </c>
      <c r="EA528" s="2124">
        <v>150</v>
      </c>
      <c r="EB528" s="2029">
        <v>150</v>
      </c>
      <c r="EC528" s="2029">
        <v>150</v>
      </c>
      <c r="ED528" s="2029">
        <v>150</v>
      </c>
      <c r="EE528" s="2039">
        <f t="shared" si="356"/>
        <v>0</v>
      </c>
      <c r="EF528" s="2039">
        <f t="shared" si="356"/>
        <v>0</v>
      </c>
      <c r="EG528" s="2039">
        <f t="shared" si="356"/>
        <v>0</v>
      </c>
      <c r="EH528" s="2039">
        <f t="shared" si="355"/>
        <v>0</v>
      </c>
      <c r="EI528" s="2040">
        <f t="shared" si="333"/>
        <v>0</v>
      </c>
      <c r="EJ528" s="2040">
        <f t="shared" si="333"/>
        <v>0</v>
      </c>
      <c r="EK528" s="2040">
        <f t="shared" si="333"/>
        <v>0</v>
      </c>
      <c r="EL528" s="2040">
        <f t="shared" si="333"/>
        <v>0</v>
      </c>
      <c r="EM528" s="2040">
        <f t="shared" si="333"/>
        <v>0</v>
      </c>
      <c r="EN528" s="2040">
        <f t="shared" si="333"/>
        <v>0</v>
      </c>
      <c r="EO528" s="2040">
        <f t="shared" si="350"/>
        <v>0</v>
      </c>
      <c r="EP528" s="2040">
        <f t="shared" si="350"/>
        <v>0</v>
      </c>
      <c r="EQ528" s="2040">
        <f t="shared" si="350"/>
        <v>0</v>
      </c>
      <c r="ER528" s="2040">
        <f t="shared" si="350"/>
        <v>0</v>
      </c>
      <c r="ES528" s="2040">
        <f t="shared" si="350"/>
        <v>0</v>
      </c>
      <c r="ET528" s="2040">
        <f t="shared" si="350"/>
        <v>0</v>
      </c>
      <c r="EU528" s="2039">
        <f t="shared" si="357"/>
        <v>0</v>
      </c>
      <c r="EV528" s="2039">
        <f t="shared" si="358"/>
        <v>0</v>
      </c>
    </row>
    <row r="529" spans="1:152" x14ac:dyDescent="0.25">
      <c r="A529" s="2149" t="str">
        <f t="shared" si="351"/>
        <v>High Efficiency Circulation Fans (48-71 in diameter)</v>
      </c>
      <c r="B529" s="1974" t="str">
        <f t="shared" si="351"/>
        <v>BPA6</v>
      </c>
      <c r="C529" s="2027">
        <f t="shared" si="360"/>
        <v>7</v>
      </c>
      <c r="D529" s="2144">
        <f t="shared" si="360"/>
        <v>1122.3599999999999</v>
      </c>
      <c r="E529" s="2145">
        <f t="shared" si="360"/>
        <v>0.36</v>
      </c>
      <c r="F529" s="2027">
        <f t="shared" si="360"/>
        <v>0</v>
      </c>
      <c r="G529" s="1974" t="s">
        <v>2988</v>
      </c>
      <c r="H529" s="1974" t="s">
        <v>2988</v>
      </c>
      <c r="I529" s="2026">
        <v>0.9</v>
      </c>
      <c r="J529" s="2026">
        <v>0.9</v>
      </c>
      <c r="K529" s="2026">
        <v>0.9</v>
      </c>
      <c r="L529" s="2026">
        <v>0.9</v>
      </c>
      <c r="M529" s="2027">
        <f t="shared" si="322"/>
        <v>1010.1239999999999</v>
      </c>
      <c r="N529" s="2027">
        <f t="shared" si="322"/>
        <v>1010.1239999999999</v>
      </c>
      <c r="O529" s="2027">
        <f t="shared" si="322"/>
        <v>1010.1239999999999</v>
      </c>
      <c r="P529" s="2027">
        <f t="shared" si="322"/>
        <v>1010.1239999999999</v>
      </c>
      <c r="Q529" s="2026">
        <v>0.9</v>
      </c>
      <c r="R529" s="2026">
        <v>0.9</v>
      </c>
      <c r="S529" s="2026">
        <v>0.9</v>
      </c>
      <c r="T529" s="2026">
        <v>0.9</v>
      </c>
      <c r="U529" s="2028">
        <f t="shared" si="323"/>
        <v>0.32400000000000001</v>
      </c>
      <c r="V529" s="2028">
        <f t="shared" si="323"/>
        <v>0.32400000000000001</v>
      </c>
      <c r="W529" s="2028">
        <f t="shared" si="323"/>
        <v>0.32400000000000001</v>
      </c>
      <c r="X529" s="2028">
        <f t="shared" si="323"/>
        <v>0.32400000000000001</v>
      </c>
      <c r="Y529" s="2026">
        <v>0.9</v>
      </c>
      <c r="Z529" s="2026">
        <v>0.9</v>
      </c>
      <c r="AA529" s="2026">
        <v>0.9</v>
      </c>
      <c r="AB529" s="2026">
        <v>0.9</v>
      </c>
      <c r="AC529" s="2027">
        <f t="shared" si="324"/>
        <v>0</v>
      </c>
      <c r="AD529" s="2027">
        <f t="shared" si="324"/>
        <v>0</v>
      </c>
      <c r="AE529" s="2027">
        <f t="shared" si="324"/>
        <v>0</v>
      </c>
      <c r="AF529" s="2027">
        <f t="shared" si="324"/>
        <v>0</v>
      </c>
      <c r="AG529" s="2027">
        <v>0</v>
      </c>
      <c r="AH529" s="2028"/>
      <c r="AI529" s="2028"/>
      <c r="AJ529" s="2028"/>
      <c r="AK529" s="2027">
        <f t="shared" si="312"/>
        <v>0</v>
      </c>
      <c r="AL529" s="2027">
        <f t="shared" si="343"/>
        <v>0</v>
      </c>
      <c r="AM529" s="2027">
        <f t="shared" si="343"/>
        <v>0</v>
      </c>
      <c r="AN529" s="2027">
        <f t="shared" si="343"/>
        <v>0</v>
      </c>
      <c r="AO529" s="2027">
        <f t="shared" si="325"/>
        <v>0</v>
      </c>
      <c r="AP529" s="2027">
        <f t="shared" si="314"/>
        <v>0</v>
      </c>
      <c r="AQ529" s="2027">
        <f t="shared" si="314"/>
        <v>0</v>
      </c>
      <c r="AR529" s="2027">
        <f t="shared" si="314"/>
        <v>0</v>
      </c>
      <c r="AS529" s="2124">
        <f t="shared" si="359"/>
        <v>150</v>
      </c>
      <c r="AT529" s="2029">
        <f t="shared" si="315"/>
        <v>150</v>
      </c>
      <c r="AU529" s="2029">
        <f t="shared" si="315"/>
        <v>150</v>
      </c>
      <c r="AV529" s="2029">
        <f t="shared" si="315"/>
        <v>150</v>
      </c>
      <c r="AW529" s="2124">
        <f t="shared" si="316"/>
        <v>0</v>
      </c>
      <c r="AX529" s="2029">
        <f t="shared" si="335"/>
        <v>0</v>
      </c>
      <c r="AY529" s="2029">
        <f t="shared" si="335"/>
        <v>0</v>
      </c>
      <c r="AZ529" s="2029">
        <f t="shared" si="335"/>
        <v>0</v>
      </c>
      <c r="BA529" s="2124">
        <f t="shared" si="354"/>
        <v>150</v>
      </c>
      <c r="BB529" s="2029">
        <f t="shared" si="354"/>
        <v>150</v>
      </c>
      <c r="BC529" s="2029">
        <f t="shared" si="354"/>
        <v>150</v>
      </c>
      <c r="BD529" s="2029">
        <f t="shared" si="354"/>
        <v>150</v>
      </c>
      <c r="BE529" s="2030">
        <f t="shared" si="328"/>
        <v>0</v>
      </c>
      <c r="BF529" s="2030">
        <f t="shared" si="328"/>
        <v>0</v>
      </c>
      <c r="BG529" s="2030">
        <f t="shared" si="328"/>
        <v>0</v>
      </c>
      <c r="BH529" s="2030">
        <f t="shared" si="328"/>
        <v>0</v>
      </c>
      <c r="BI529" s="2030">
        <f t="shared" si="329"/>
        <v>0</v>
      </c>
      <c r="BJ529" s="2030">
        <f t="shared" si="329"/>
        <v>0</v>
      </c>
      <c r="BK529" s="2030">
        <f t="shared" si="329"/>
        <v>0</v>
      </c>
      <c r="BL529" s="2030">
        <f t="shared" si="329"/>
        <v>0</v>
      </c>
      <c r="BM529" s="2125"/>
      <c r="BN529" s="2125"/>
      <c r="BO529" s="2125"/>
      <c r="BP529" s="2125"/>
      <c r="BQ529" s="2125"/>
      <c r="BR529" s="2125"/>
      <c r="BS529" s="2125"/>
      <c r="BT529" s="2125"/>
      <c r="BU529" s="2029"/>
      <c r="BV529" s="2029"/>
      <c r="BW529" s="2029"/>
      <c r="BX529" s="2029"/>
      <c r="BY529" s="2029"/>
      <c r="BZ529" s="2032"/>
      <c r="CA529" s="1974">
        <f t="shared" si="352"/>
        <v>0</v>
      </c>
      <c r="CB529" s="1974">
        <f t="shared" si="352"/>
        <v>0</v>
      </c>
      <c r="CC529" s="1974">
        <f t="shared" si="352"/>
        <v>0</v>
      </c>
      <c r="CD529" s="1974">
        <f t="shared" si="352"/>
        <v>0</v>
      </c>
      <c r="CE529" s="1974">
        <f t="shared" si="352"/>
        <v>0</v>
      </c>
      <c r="CF529" s="2033">
        <v>0</v>
      </c>
      <c r="CG529" s="2026">
        <v>0</v>
      </c>
      <c r="CH529" s="2009">
        <f t="shared" si="353"/>
        <v>0</v>
      </c>
      <c r="CI529" s="2031">
        <f t="shared" si="353"/>
        <v>0</v>
      </c>
      <c r="CJ529" s="1974">
        <f t="shared" si="353"/>
        <v>0</v>
      </c>
      <c r="CK529" s="2031">
        <f t="shared" si="353"/>
        <v>0</v>
      </c>
      <c r="CL529" s="2026">
        <v>1</v>
      </c>
      <c r="CM529" s="2026">
        <v>1</v>
      </c>
      <c r="CN529" s="2026">
        <v>1</v>
      </c>
      <c r="CO529" s="2026">
        <v>1</v>
      </c>
      <c r="CP529" s="2035"/>
      <c r="CQ529" s="2036"/>
      <c r="CR529" s="2036"/>
      <c r="CS529" s="2036"/>
      <c r="CT529" s="2036"/>
      <c r="CU529" s="2036"/>
      <c r="CV529" s="1973">
        <v>1</v>
      </c>
      <c r="CW529" s="1973">
        <v>0</v>
      </c>
      <c r="CX529" s="2037">
        <v>150</v>
      </c>
      <c r="CY529" s="2037">
        <v>150</v>
      </c>
      <c r="CZ529" s="2037">
        <v>150</v>
      </c>
      <c r="DA529" s="2037">
        <v>150</v>
      </c>
      <c r="DJ529" s="1976">
        <v>150</v>
      </c>
      <c r="DK529" s="1973">
        <v>150</v>
      </c>
      <c r="DL529" s="1973">
        <v>150</v>
      </c>
      <c r="DM529" s="1973">
        <v>150</v>
      </c>
      <c r="DO529" s="2027">
        <v>7</v>
      </c>
      <c r="DP529" s="2144">
        <v>1122.3599999999999</v>
      </c>
      <c r="DQ529" s="2145">
        <v>0.36</v>
      </c>
      <c r="DR529" s="2027">
        <v>0</v>
      </c>
      <c r="DS529" s="2124">
        <v>150</v>
      </c>
      <c r="DT529" s="2029">
        <v>150</v>
      </c>
      <c r="DU529" s="2029">
        <v>150</v>
      </c>
      <c r="DV529" s="2029">
        <v>150</v>
      </c>
      <c r="DW529" s="2124">
        <v>0</v>
      </c>
      <c r="DX529" s="2029">
        <v>0</v>
      </c>
      <c r="DY529" s="2029">
        <v>0</v>
      </c>
      <c r="DZ529" s="2029">
        <v>0</v>
      </c>
      <c r="EA529" s="2124">
        <v>150</v>
      </c>
      <c r="EB529" s="2029">
        <v>150</v>
      </c>
      <c r="EC529" s="2029">
        <v>150</v>
      </c>
      <c r="ED529" s="2029">
        <v>150</v>
      </c>
      <c r="EE529" s="2039">
        <f t="shared" si="356"/>
        <v>0</v>
      </c>
      <c r="EF529" s="2039">
        <f t="shared" si="356"/>
        <v>0</v>
      </c>
      <c r="EG529" s="2039">
        <f t="shared" si="356"/>
        <v>0</v>
      </c>
      <c r="EH529" s="2039">
        <f t="shared" si="355"/>
        <v>0</v>
      </c>
      <c r="EI529" s="2040">
        <f t="shared" si="333"/>
        <v>0</v>
      </c>
      <c r="EJ529" s="2040">
        <f t="shared" si="333"/>
        <v>0</v>
      </c>
      <c r="EK529" s="2040">
        <f t="shared" si="333"/>
        <v>0</v>
      </c>
      <c r="EL529" s="2040">
        <f t="shared" si="333"/>
        <v>0</v>
      </c>
      <c r="EM529" s="2040">
        <f t="shared" si="333"/>
        <v>0</v>
      </c>
      <c r="EN529" s="2040">
        <f t="shared" si="333"/>
        <v>0</v>
      </c>
      <c r="EO529" s="2040">
        <f t="shared" si="350"/>
        <v>0</v>
      </c>
      <c r="EP529" s="2040">
        <f t="shared" si="350"/>
        <v>0</v>
      </c>
      <c r="EQ529" s="2040">
        <f t="shared" si="350"/>
        <v>0</v>
      </c>
      <c r="ER529" s="2040">
        <f t="shared" si="350"/>
        <v>0</v>
      </c>
      <c r="ES529" s="2040">
        <f t="shared" si="350"/>
        <v>0</v>
      </c>
      <c r="ET529" s="2040">
        <f t="shared" si="350"/>
        <v>0</v>
      </c>
      <c r="EU529" s="2039">
        <f t="shared" si="357"/>
        <v>0</v>
      </c>
      <c r="EV529" s="2039">
        <f t="shared" si="358"/>
        <v>0</v>
      </c>
    </row>
    <row r="530" spans="1:152" x14ac:dyDescent="0.25">
      <c r="A530" s="2149" t="str">
        <f t="shared" si="351"/>
        <v>High Volume Low Speed (HVLS) Fans</v>
      </c>
      <c r="B530" s="1974" t="str">
        <f t="shared" si="351"/>
        <v>BPA7</v>
      </c>
      <c r="C530" s="2027">
        <f t="shared" si="360"/>
        <v>10</v>
      </c>
      <c r="D530" s="2144">
        <f t="shared" si="360"/>
        <v>10018.219999999999</v>
      </c>
      <c r="E530" s="2145">
        <f t="shared" si="360"/>
        <v>3.6679999999999997</v>
      </c>
      <c r="F530" s="2027">
        <f t="shared" si="360"/>
        <v>0</v>
      </c>
      <c r="G530" s="1974" t="s">
        <v>2988</v>
      </c>
      <c r="H530" s="1974" t="s">
        <v>2988</v>
      </c>
      <c r="I530" s="2026">
        <v>0.9</v>
      </c>
      <c r="J530" s="2026">
        <v>0.9</v>
      </c>
      <c r="K530" s="2026">
        <v>0.9</v>
      </c>
      <c r="L530" s="2026">
        <v>0.9</v>
      </c>
      <c r="M530" s="2027">
        <f t="shared" si="322"/>
        <v>9016.3979999999992</v>
      </c>
      <c r="N530" s="2027">
        <f t="shared" si="322"/>
        <v>9016.3979999999992</v>
      </c>
      <c r="O530" s="2027">
        <f t="shared" si="322"/>
        <v>9016.3979999999992</v>
      </c>
      <c r="P530" s="2027">
        <f t="shared" si="322"/>
        <v>9016.3979999999992</v>
      </c>
      <c r="Q530" s="2026">
        <v>0.9</v>
      </c>
      <c r="R530" s="2026">
        <v>0.9</v>
      </c>
      <c r="S530" s="2026">
        <v>0.9</v>
      </c>
      <c r="T530" s="2026">
        <v>0.9</v>
      </c>
      <c r="U530" s="2028">
        <f t="shared" si="323"/>
        <v>3.3011999999999997</v>
      </c>
      <c r="V530" s="2028">
        <f t="shared" si="323"/>
        <v>3.3011999999999997</v>
      </c>
      <c r="W530" s="2028">
        <f t="shared" si="323"/>
        <v>3.3011999999999997</v>
      </c>
      <c r="X530" s="2028">
        <f t="shared" si="323"/>
        <v>3.3011999999999997</v>
      </c>
      <c r="Y530" s="2026">
        <v>0.9</v>
      </c>
      <c r="Z530" s="2026">
        <v>0.9</v>
      </c>
      <c r="AA530" s="2026">
        <v>0.9</v>
      </c>
      <c r="AB530" s="2026">
        <v>0.9</v>
      </c>
      <c r="AC530" s="2027">
        <f t="shared" si="324"/>
        <v>0</v>
      </c>
      <c r="AD530" s="2027">
        <f t="shared" si="324"/>
        <v>0</v>
      </c>
      <c r="AE530" s="2027">
        <f t="shared" si="324"/>
        <v>0</v>
      </c>
      <c r="AF530" s="2027">
        <f t="shared" si="324"/>
        <v>0</v>
      </c>
      <c r="AG530" s="2027">
        <v>0</v>
      </c>
      <c r="AH530" s="2028"/>
      <c r="AI530" s="2028"/>
      <c r="AJ530" s="2028"/>
      <c r="AK530" s="2027">
        <f t="shared" si="312"/>
        <v>0</v>
      </c>
      <c r="AL530" s="2027">
        <f t="shared" si="343"/>
        <v>0</v>
      </c>
      <c r="AM530" s="2027">
        <f t="shared" si="343"/>
        <v>0</v>
      </c>
      <c r="AN530" s="2027">
        <f t="shared" si="343"/>
        <v>0</v>
      </c>
      <c r="AO530" s="2027">
        <f t="shared" si="325"/>
        <v>0</v>
      </c>
      <c r="AP530" s="2027">
        <f t="shared" si="314"/>
        <v>0</v>
      </c>
      <c r="AQ530" s="2027">
        <f t="shared" si="314"/>
        <v>0</v>
      </c>
      <c r="AR530" s="2027">
        <f t="shared" si="314"/>
        <v>0</v>
      </c>
      <c r="AS530" s="2124">
        <f t="shared" si="359"/>
        <v>1500</v>
      </c>
      <c r="AT530" s="2029">
        <f t="shared" si="315"/>
        <v>1500</v>
      </c>
      <c r="AU530" s="2029">
        <f t="shared" si="315"/>
        <v>1500</v>
      </c>
      <c r="AV530" s="2029">
        <f t="shared" si="315"/>
        <v>1500</v>
      </c>
      <c r="AW530" s="2124">
        <f t="shared" si="316"/>
        <v>0</v>
      </c>
      <c r="AX530" s="2029">
        <f t="shared" si="335"/>
        <v>0</v>
      </c>
      <c r="AY530" s="2029">
        <f t="shared" si="335"/>
        <v>0</v>
      </c>
      <c r="AZ530" s="2029">
        <f t="shared" si="335"/>
        <v>0</v>
      </c>
      <c r="BA530" s="2124">
        <f t="shared" si="354"/>
        <v>4185</v>
      </c>
      <c r="BB530" s="2029">
        <f t="shared" si="354"/>
        <v>4185</v>
      </c>
      <c r="BC530" s="2029">
        <f t="shared" si="354"/>
        <v>4185</v>
      </c>
      <c r="BD530" s="2029">
        <f t="shared" si="354"/>
        <v>4185</v>
      </c>
      <c r="BE530" s="2030">
        <f t="shared" si="328"/>
        <v>0</v>
      </c>
      <c r="BF530" s="2030">
        <f t="shared" si="328"/>
        <v>0</v>
      </c>
      <c r="BG530" s="2030">
        <f t="shared" si="328"/>
        <v>0</v>
      </c>
      <c r="BH530" s="2030">
        <f t="shared" si="328"/>
        <v>0</v>
      </c>
      <c r="BI530" s="2030">
        <f t="shared" si="329"/>
        <v>0</v>
      </c>
      <c r="BJ530" s="2030">
        <f t="shared" si="329"/>
        <v>0</v>
      </c>
      <c r="BK530" s="2030">
        <f t="shared" si="329"/>
        <v>0</v>
      </c>
      <c r="BL530" s="2030">
        <f t="shared" si="329"/>
        <v>0</v>
      </c>
      <c r="BM530" s="2125"/>
      <c r="BN530" s="2125"/>
      <c r="BO530" s="2125"/>
      <c r="BP530" s="2125"/>
      <c r="BQ530" s="2125"/>
      <c r="BR530" s="2125"/>
      <c r="BS530" s="2125"/>
      <c r="BT530" s="2125"/>
      <c r="BU530" s="2029"/>
      <c r="BV530" s="2029"/>
      <c r="BW530" s="2029"/>
      <c r="BX530" s="2029"/>
      <c r="BY530" s="2029"/>
      <c r="BZ530" s="2032"/>
      <c r="CA530" s="1974">
        <f t="shared" si="352"/>
        <v>0</v>
      </c>
      <c r="CB530" s="1974">
        <f t="shared" si="352"/>
        <v>0</v>
      </c>
      <c r="CC530" s="1974">
        <f t="shared" si="352"/>
        <v>0</v>
      </c>
      <c r="CD530" s="1974">
        <f t="shared" si="352"/>
        <v>0</v>
      </c>
      <c r="CE530" s="1974">
        <f t="shared" si="352"/>
        <v>0</v>
      </c>
      <c r="CF530" s="2033">
        <v>0</v>
      </c>
      <c r="CG530" s="2026">
        <v>0</v>
      </c>
      <c r="CH530" s="2009">
        <f t="shared" si="353"/>
        <v>0</v>
      </c>
      <c r="CI530" s="2031">
        <f t="shared" si="353"/>
        <v>0</v>
      </c>
      <c r="CJ530" s="1974">
        <f t="shared" si="353"/>
        <v>0</v>
      </c>
      <c r="CK530" s="2031">
        <f t="shared" si="353"/>
        <v>0</v>
      </c>
      <c r="CL530" s="2026">
        <v>1</v>
      </c>
      <c r="CM530" s="2026">
        <v>1</v>
      </c>
      <c r="CN530" s="2026">
        <v>1</v>
      </c>
      <c r="CO530" s="2026">
        <v>1</v>
      </c>
      <c r="CP530" s="2035"/>
      <c r="CQ530" s="2036"/>
      <c r="CR530" s="2036"/>
      <c r="CS530" s="2036"/>
      <c r="CT530" s="2036"/>
      <c r="CU530" s="2036"/>
      <c r="CV530" s="1973">
        <v>1</v>
      </c>
      <c r="CW530" s="1973">
        <v>0</v>
      </c>
      <c r="CX530" s="2037">
        <v>1500</v>
      </c>
      <c r="CY530" s="2037">
        <v>1500</v>
      </c>
      <c r="CZ530" s="2037">
        <v>1500</v>
      </c>
      <c r="DA530" s="2037">
        <v>1500</v>
      </c>
      <c r="DJ530" s="1976">
        <v>1500</v>
      </c>
      <c r="DK530" s="1973">
        <v>1500</v>
      </c>
      <c r="DL530" s="1973">
        <v>1500</v>
      </c>
      <c r="DM530" s="1973">
        <v>1500</v>
      </c>
      <c r="DO530" s="2027">
        <v>10</v>
      </c>
      <c r="DP530" s="2144">
        <v>10018.219999999999</v>
      </c>
      <c r="DQ530" s="2145">
        <v>3.6679999999999997</v>
      </c>
      <c r="DR530" s="2027">
        <v>0</v>
      </c>
      <c r="DS530" s="2124">
        <v>1500</v>
      </c>
      <c r="DT530" s="2029">
        <v>1500</v>
      </c>
      <c r="DU530" s="2029">
        <v>1500</v>
      </c>
      <c r="DV530" s="2029">
        <v>1500</v>
      </c>
      <c r="DW530" s="2124">
        <v>0</v>
      </c>
      <c r="DX530" s="2029">
        <v>0</v>
      </c>
      <c r="DY530" s="2029">
        <v>0</v>
      </c>
      <c r="DZ530" s="2029">
        <v>0</v>
      </c>
      <c r="EA530" s="2124">
        <v>4185</v>
      </c>
      <c r="EB530" s="2029">
        <v>4185</v>
      </c>
      <c r="EC530" s="2029">
        <v>4185</v>
      </c>
      <c r="ED530" s="2029">
        <v>4185</v>
      </c>
      <c r="EE530" s="2039">
        <f t="shared" si="356"/>
        <v>0</v>
      </c>
      <c r="EF530" s="2039">
        <f t="shared" si="356"/>
        <v>0</v>
      </c>
      <c r="EG530" s="2039">
        <f t="shared" si="356"/>
        <v>0</v>
      </c>
      <c r="EH530" s="2039">
        <f t="shared" si="355"/>
        <v>0</v>
      </c>
      <c r="EI530" s="2040">
        <f t="shared" si="333"/>
        <v>0</v>
      </c>
      <c r="EJ530" s="2040">
        <f t="shared" si="333"/>
        <v>0</v>
      </c>
      <c r="EK530" s="2040">
        <f t="shared" si="333"/>
        <v>0</v>
      </c>
      <c r="EL530" s="2040">
        <f t="shared" si="333"/>
        <v>0</v>
      </c>
      <c r="EM530" s="2040">
        <f t="shared" si="333"/>
        <v>0</v>
      </c>
      <c r="EN530" s="2040">
        <f t="shared" si="333"/>
        <v>0</v>
      </c>
      <c r="EO530" s="2040">
        <f t="shared" si="350"/>
        <v>0</v>
      </c>
      <c r="EP530" s="2040">
        <f t="shared" si="350"/>
        <v>0</v>
      </c>
      <c r="EQ530" s="2040">
        <f t="shared" si="350"/>
        <v>0</v>
      </c>
      <c r="ER530" s="2040">
        <f t="shared" si="350"/>
        <v>0</v>
      </c>
      <c r="ES530" s="2040">
        <f t="shared" si="350"/>
        <v>0</v>
      </c>
      <c r="ET530" s="2040">
        <f t="shared" si="350"/>
        <v>0</v>
      </c>
      <c r="EU530" s="2039">
        <f t="shared" si="357"/>
        <v>0</v>
      </c>
      <c r="EV530" s="2039">
        <f t="shared" si="358"/>
        <v>0</v>
      </c>
    </row>
    <row r="531" spans="1:152" x14ac:dyDescent="0.25">
      <c r="A531" s="2149" t="str">
        <f t="shared" ref="A531:B546" si="361">IF(A70="","",A70)</f>
        <v>Equipment Heater Timers</v>
      </c>
      <c r="B531" s="1974" t="str">
        <f t="shared" si="361"/>
        <v>BPA8</v>
      </c>
      <c r="C531" s="2027">
        <f t="shared" si="360"/>
        <v>3</v>
      </c>
      <c r="D531" s="2144">
        <f t="shared" si="360"/>
        <v>664</v>
      </c>
      <c r="E531" s="2145">
        <f t="shared" si="360"/>
        <v>0</v>
      </c>
      <c r="F531" s="2027">
        <f t="shared" si="360"/>
        <v>0</v>
      </c>
      <c r="G531" s="1974" t="s">
        <v>2988</v>
      </c>
      <c r="H531" s="1974" t="s">
        <v>2988</v>
      </c>
      <c r="I531" s="2026">
        <v>0.9</v>
      </c>
      <c r="J531" s="2026">
        <v>0.9</v>
      </c>
      <c r="K531" s="2026">
        <v>0.9</v>
      </c>
      <c r="L531" s="2026">
        <v>0.9</v>
      </c>
      <c r="M531" s="2027">
        <f t="shared" si="322"/>
        <v>597.6</v>
      </c>
      <c r="N531" s="2027">
        <f t="shared" si="322"/>
        <v>597.6</v>
      </c>
      <c r="O531" s="2027">
        <f t="shared" si="322"/>
        <v>597.6</v>
      </c>
      <c r="P531" s="2027">
        <f t="shared" ref="P531:P594" si="362">$D531*L531</f>
        <v>597.6</v>
      </c>
      <c r="Q531" s="2026">
        <v>0.9</v>
      </c>
      <c r="R531" s="2026">
        <v>0.9</v>
      </c>
      <c r="S531" s="2026">
        <v>0.9</v>
      </c>
      <c r="T531" s="2026">
        <v>0.9</v>
      </c>
      <c r="U531" s="2028">
        <f t="shared" si="323"/>
        <v>0</v>
      </c>
      <c r="V531" s="2028">
        <f t="shared" si="323"/>
        <v>0</v>
      </c>
      <c r="W531" s="2028">
        <f t="shared" si="323"/>
        <v>0</v>
      </c>
      <c r="X531" s="2028">
        <f t="shared" ref="X531:X594" si="363">$E531*T531</f>
        <v>0</v>
      </c>
      <c r="Y531" s="2026">
        <v>0.9</v>
      </c>
      <c r="Z531" s="2026">
        <v>0.9</v>
      </c>
      <c r="AA531" s="2026">
        <v>0.9</v>
      </c>
      <c r="AB531" s="2026">
        <v>0.9</v>
      </c>
      <c r="AC531" s="2027">
        <f t="shared" si="324"/>
        <v>0</v>
      </c>
      <c r="AD531" s="2027">
        <f t="shared" si="324"/>
        <v>0</v>
      </c>
      <c r="AE531" s="2027">
        <f t="shared" si="324"/>
        <v>0</v>
      </c>
      <c r="AF531" s="2027">
        <f t="shared" ref="AF531:AF594" si="364">$F531*AB531</f>
        <v>0</v>
      </c>
      <c r="AG531" s="2027">
        <v>0</v>
      </c>
      <c r="AH531" s="2028"/>
      <c r="AI531" s="2028"/>
      <c r="AJ531" s="2028"/>
      <c r="AK531" s="2027">
        <f t="shared" ref="AK531:AK594" si="365">AG531*M531</f>
        <v>0</v>
      </c>
      <c r="AL531" s="2027">
        <f t="shared" ref="AL531:AN562" si="366">AH531*N531*CM531</f>
        <v>0</v>
      </c>
      <c r="AM531" s="2027">
        <f t="shared" si="366"/>
        <v>0</v>
      </c>
      <c r="AN531" s="2027">
        <f t="shared" si="366"/>
        <v>0</v>
      </c>
      <c r="AO531" s="2027">
        <f t="shared" si="325"/>
        <v>0</v>
      </c>
      <c r="AP531" s="2027">
        <f t="shared" ref="AP531:AR594" si="367">AH531*AD531*CM531</f>
        <v>0</v>
      </c>
      <c r="AQ531" s="2027">
        <f t="shared" si="367"/>
        <v>0</v>
      </c>
      <c r="AR531" s="2027">
        <f t="shared" si="367"/>
        <v>0</v>
      </c>
      <c r="AS531" s="2124">
        <f t="shared" si="359"/>
        <v>15</v>
      </c>
      <c r="AT531" s="2029">
        <f t="shared" ref="AT531:AV594" si="368">$AS531</f>
        <v>15</v>
      </c>
      <c r="AU531" s="2029">
        <f t="shared" si="368"/>
        <v>15</v>
      </c>
      <c r="AV531" s="2029">
        <f t="shared" si="368"/>
        <v>15</v>
      </c>
      <c r="AW531" s="2124">
        <f t="shared" ref="AW531:AW559" si="369">AW70*1.5</f>
        <v>0</v>
      </c>
      <c r="AX531" s="2029">
        <f t="shared" si="335"/>
        <v>0</v>
      </c>
      <c r="AY531" s="2029">
        <f t="shared" si="335"/>
        <v>0</v>
      </c>
      <c r="AZ531" s="2029">
        <f t="shared" si="335"/>
        <v>0</v>
      </c>
      <c r="BA531" s="2124">
        <f t="shared" si="354"/>
        <v>10.19</v>
      </c>
      <c r="BB531" s="2029">
        <f t="shared" si="354"/>
        <v>10.19</v>
      </c>
      <c r="BC531" s="2029">
        <f t="shared" si="354"/>
        <v>10.19</v>
      </c>
      <c r="BD531" s="2029">
        <f t="shared" si="354"/>
        <v>10.19</v>
      </c>
      <c r="BE531" s="2030">
        <f t="shared" si="328"/>
        <v>0</v>
      </c>
      <c r="BF531" s="2030">
        <f t="shared" si="328"/>
        <v>0</v>
      </c>
      <c r="BG531" s="2030">
        <f t="shared" si="328"/>
        <v>0</v>
      </c>
      <c r="BH531" s="2030">
        <f t="shared" ref="BH531:BH594" si="370">AV531*AJ531</f>
        <v>0</v>
      </c>
      <c r="BI531" s="2030">
        <f t="shared" si="329"/>
        <v>0</v>
      </c>
      <c r="BJ531" s="2030">
        <f t="shared" si="329"/>
        <v>0</v>
      </c>
      <c r="BK531" s="2030">
        <f t="shared" si="329"/>
        <v>0</v>
      </c>
      <c r="BL531" s="2030">
        <f t="shared" ref="BL531:BL594" si="371">AZ531*AJ531</f>
        <v>0</v>
      </c>
      <c r="BM531" s="2125"/>
      <c r="BN531" s="2125"/>
      <c r="BO531" s="2125"/>
      <c r="BP531" s="2125"/>
      <c r="BQ531" s="2125"/>
      <c r="BR531" s="2125"/>
      <c r="BS531" s="2125"/>
      <c r="BT531" s="2125"/>
      <c r="BU531" s="2029"/>
      <c r="BV531" s="2029"/>
      <c r="BW531" s="2029"/>
      <c r="BX531" s="2029"/>
      <c r="BY531" s="2029"/>
      <c r="BZ531" s="2032"/>
      <c r="CA531" s="1974">
        <f t="shared" ref="CA531:CE546" si="372">CA70</f>
        <v>0</v>
      </c>
      <c r="CB531" s="1974">
        <f t="shared" si="372"/>
        <v>0</v>
      </c>
      <c r="CC531" s="1974">
        <f t="shared" si="372"/>
        <v>0</v>
      </c>
      <c r="CD531" s="1974">
        <f t="shared" si="372"/>
        <v>0</v>
      </c>
      <c r="CE531" s="1974">
        <f t="shared" si="372"/>
        <v>0</v>
      </c>
      <c r="CF531" s="2033">
        <v>0</v>
      </c>
      <c r="CG531" s="2026">
        <v>0</v>
      </c>
      <c r="CH531" s="2009">
        <f t="shared" ref="CH531:CK546" si="373">CH70</f>
        <v>0</v>
      </c>
      <c r="CI531" s="2031">
        <f t="shared" si="373"/>
        <v>0</v>
      </c>
      <c r="CJ531" s="1974">
        <f t="shared" si="373"/>
        <v>0</v>
      </c>
      <c r="CK531" s="2031">
        <f t="shared" si="373"/>
        <v>0</v>
      </c>
      <c r="CL531" s="2026">
        <v>1</v>
      </c>
      <c r="CM531" s="2026">
        <v>1</v>
      </c>
      <c r="CN531" s="2026">
        <v>1</v>
      </c>
      <c r="CO531" s="2026">
        <v>1</v>
      </c>
      <c r="CP531" s="2035"/>
      <c r="CQ531" s="2036"/>
      <c r="CR531" s="2036"/>
      <c r="CS531" s="2036"/>
      <c r="CT531" s="2036"/>
      <c r="CU531" s="2036"/>
      <c r="CV531" s="1973">
        <v>1</v>
      </c>
      <c r="CW531" s="1973">
        <v>0</v>
      </c>
      <c r="CX531" s="2037">
        <v>15</v>
      </c>
      <c r="CY531" s="2037">
        <v>15</v>
      </c>
      <c r="CZ531" s="2037">
        <v>15</v>
      </c>
      <c r="DA531" s="2037">
        <v>15</v>
      </c>
      <c r="DJ531" s="1976">
        <v>15</v>
      </c>
      <c r="DK531" s="1973">
        <v>15</v>
      </c>
      <c r="DL531" s="1973">
        <v>15</v>
      </c>
      <c r="DM531" s="1973">
        <v>15</v>
      </c>
      <c r="DO531" s="2027">
        <v>3</v>
      </c>
      <c r="DP531" s="2144">
        <v>664</v>
      </c>
      <c r="DQ531" s="2145">
        <v>0</v>
      </c>
      <c r="DR531" s="2027">
        <v>0</v>
      </c>
      <c r="DS531" s="2124">
        <v>15</v>
      </c>
      <c r="DT531" s="2029">
        <v>15</v>
      </c>
      <c r="DU531" s="2029">
        <v>15</v>
      </c>
      <c r="DV531" s="2029">
        <v>15</v>
      </c>
      <c r="DW531" s="2124">
        <v>0</v>
      </c>
      <c r="DX531" s="2029">
        <v>0</v>
      </c>
      <c r="DY531" s="2029">
        <v>0</v>
      </c>
      <c r="DZ531" s="2029">
        <v>0</v>
      </c>
      <c r="EA531" s="2124">
        <v>10.19</v>
      </c>
      <c r="EB531" s="2029">
        <v>10.19</v>
      </c>
      <c r="EC531" s="2029">
        <v>10.19</v>
      </c>
      <c r="ED531" s="2029">
        <v>10.19</v>
      </c>
      <c r="EE531" s="2039">
        <f t="shared" si="356"/>
        <v>0</v>
      </c>
      <c r="EF531" s="2039">
        <f t="shared" si="356"/>
        <v>0</v>
      </c>
      <c r="EG531" s="2039">
        <f t="shared" si="356"/>
        <v>0</v>
      </c>
      <c r="EH531" s="2039">
        <f t="shared" si="355"/>
        <v>0</v>
      </c>
      <c r="EI531" s="2040">
        <f t="shared" si="333"/>
        <v>0</v>
      </c>
      <c r="EJ531" s="2040">
        <f t="shared" si="333"/>
        <v>0</v>
      </c>
      <c r="EK531" s="2040">
        <f t="shared" si="333"/>
        <v>0</v>
      </c>
      <c r="EL531" s="2040">
        <f t="shared" si="333"/>
        <v>0</v>
      </c>
      <c r="EM531" s="2040">
        <f t="shared" si="333"/>
        <v>0</v>
      </c>
      <c r="EN531" s="2040">
        <f t="shared" si="333"/>
        <v>0</v>
      </c>
      <c r="EO531" s="2040">
        <f t="shared" si="350"/>
        <v>0</v>
      </c>
      <c r="EP531" s="2040">
        <f t="shared" si="350"/>
        <v>0</v>
      </c>
      <c r="EQ531" s="2040">
        <f t="shared" si="350"/>
        <v>0</v>
      </c>
      <c r="ER531" s="2040">
        <f t="shared" si="350"/>
        <v>0</v>
      </c>
      <c r="ES531" s="2040">
        <f t="shared" si="350"/>
        <v>0</v>
      </c>
      <c r="ET531" s="2040">
        <f t="shared" si="350"/>
        <v>0</v>
      </c>
      <c r="EU531" s="2039">
        <f t="shared" si="357"/>
        <v>0</v>
      </c>
      <c r="EV531" s="2039">
        <f t="shared" si="358"/>
        <v>0</v>
      </c>
    </row>
    <row r="532" spans="1:152" x14ac:dyDescent="0.25">
      <c r="A532" s="2149" t="str">
        <f t="shared" si="361"/>
        <v>Live Stock Waterer (electrically heated)</v>
      </c>
      <c r="B532" s="1974" t="str">
        <f t="shared" si="361"/>
        <v>BPA9</v>
      </c>
      <c r="C532" s="2027">
        <f t="shared" si="360"/>
        <v>10</v>
      </c>
      <c r="D532" s="2144">
        <f t="shared" si="360"/>
        <v>1592.85</v>
      </c>
      <c r="E532" s="2145">
        <f t="shared" si="360"/>
        <v>0.53</v>
      </c>
      <c r="F532" s="2027">
        <f t="shared" si="360"/>
        <v>0</v>
      </c>
      <c r="G532" s="1974" t="s">
        <v>2988</v>
      </c>
      <c r="H532" s="1974" t="s">
        <v>2988</v>
      </c>
      <c r="I532" s="2026">
        <v>0.9</v>
      </c>
      <c r="J532" s="2026">
        <v>0.9</v>
      </c>
      <c r="K532" s="2026">
        <v>0.9</v>
      </c>
      <c r="L532" s="2026">
        <v>0.9</v>
      </c>
      <c r="M532" s="2027">
        <f t="shared" ref="M532:P595" si="374">$D532*I532</f>
        <v>1433.5650000000001</v>
      </c>
      <c r="N532" s="2027">
        <f t="shared" si="374"/>
        <v>1433.5650000000001</v>
      </c>
      <c r="O532" s="2027">
        <f t="shared" si="374"/>
        <v>1433.5650000000001</v>
      </c>
      <c r="P532" s="2027">
        <f t="shared" si="362"/>
        <v>1433.5650000000001</v>
      </c>
      <c r="Q532" s="2026">
        <v>0.9</v>
      </c>
      <c r="R532" s="2026">
        <v>0.9</v>
      </c>
      <c r="S532" s="2026">
        <v>0.9</v>
      </c>
      <c r="T532" s="2026">
        <v>0.9</v>
      </c>
      <c r="U532" s="2028">
        <f t="shared" ref="U532:X595" si="375">$E532*Q532</f>
        <v>0.47700000000000004</v>
      </c>
      <c r="V532" s="2028">
        <f t="shared" si="375"/>
        <v>0.47700000000000004</v>
      </c>
      <c r="W532" s="2028">
        <f t="shared" si="375"/>
        <v>0.47700000000000004</v>
      </c>
      <c r="X532" s="2028">
        <f t="shared" si="363"/>
        <v>0.47700000000000004</v>
      </c>
      <c r="Y532" s="2026">
        <v>0.9</v>
      </c>
      <c r="Z532" s="2026">
        <v>0.9</v>
      </c>
      <c r="AA532" s="2026">
        <v>0.9</v>
      </c>
      <c r="AB532" s="2026">
        <v>0.9</v>
      </c>
      <c r="AC532" s="2027">
        <f t="shared" ref="AC532:AF595" si="376">$F532*Y532</f>
        <v>0</v>
      </c>
      <c r="AD532" s="2027">
        <f t="shared" si="376"/>
        <v>0</v>
      </c>
      <c r="AE532" s="2027">
        <f t="shared" si="376"/>
        <v>0</v>
      </c>
      <c r="AF532" s="2027">
        <f t="shared" si="364"/>
        <v>0</v>
      </c>
      <c r="AG532" s="2027">
        <v>0</v>
      </c>
      <c r="AH532" s="2028"/>
      <c r="AI532" s="2028"/>
      <c r="AJ532" s="2028"/>
      <c r="AK532" s="2027">
        <f t="shared" si="365"/>
        <v>0</v>
      </c>
      <c r="AL532" s="2027">
        <f t="shared" si="366"/>
        <v>0</v>
      </c>
      <c r="AM532" s="2027">
        <f t="shared" si="366"/>
        <v>0</v>
      </c>
      <c r="AN532" s="2027">
        <f t="shared" si="366"/>
        <v>0</v>
      </c>
      <c r="AO532" s="2027">
        <f t="shared" ref="AO532:AO595" si="377">AG532*AC532</f>
        <v>0</v>
      </c>
      <c r="AP532" s="2027">
        <f t="shared" si="367"/>
        <v>0</v>
      </c>
      <c r="AQ532" s="2027">
        <f t="shared" si="367"/>
        <v>0</v>
      </c>
      <c r="AR532" s="2027">
        <f t="shared" si="367"/>
        <v>0</v>
      </c>
      <c r="AS532" s="2124">
        <f t="shared" si="359"/>
        <v>112.5</v>
      </c>
      <c r="AT532" s="2029">
        <f t="shared" si="368"/>
        <v>112.5</v>
      </c>
      <c r="AU532" s="2029">
        <f t="shared" si="368"/>
        <v>112.5</v>
      </c>
      <c r="AV532" s="2029">
        <f t="shared" si="368"/>
        <v>112.5</v>
      </c>
      <c r="AW532" s="2124">
        <f t="shared" si="369"/>
        <v>0</v>
      </c>
      <c r="AX532" s="2029">
        <f t="shared" si="335"/>
        <v>0</v>
      </c>
      <c r="AY532" s="2029">
        <f t="shared" si="335"/>
        <v>0</v>
      </c>
      <c r="AZ532" s="2029">
        <f t="shared" si="335"/>
        <v>0</v>
      </c>
      <c r="BA532" s="2124">
        <f t="shared" si="354"/>
        <v>788</v>
      </c>
      <c r="BB532" s="2029">
        <f t="shared" si="354"/>
        <v>788</v>
      </c>
      <c r="BC532" s="2029">
        <f t="shared" si="354"/>
        <v>788</v>
      </c>
      <c r="BD532" s="2029">
        <f t="shared" si="354"/>
        <v>788</v>
      </c>
      <c r="BE532" s="2030">
        <f t="shared" ref="BE532:BH595" si="378">AS532*AG532</f>
        <v>0</v>
      </c>
      <c r="BF532" s="2030">
        <f t="shared" si="378"/>
        <v>0</v>
      </c>
      <c r="BG532" s="2030">
        <f t="shared" si="378"/>
        <v>0</v>
      </c>
      <c r="BH532" s="2030">
        <f t="shared" si="370"/>
        <v>0</v>
      </c>
      <c r="BI532" s="2030">
        <f t="shared" ref="BI532:BL595" si="379">AW532*AG532</f>
        <v>0</v>
      </c>
      <c r="BJ532" s="2030">
        <f t="shared" si="379"/>
        <v>0</v>
      </c>
      <c r="BK532" s="2030">
        <f t="shared" si="379"/>
        <v>0</v>
      </c>
      <c r="BL532" s="2030">
        <f t="shared" si="371"/>
        <v>0</v>
      </c>
      <c r="BM532" s="2125"/>
      <c r="BN532" s="2125"/>
      <c r="BO532" s="2125"/>
      <c r="BP532" s="2125"/>
      <c r="BQ532" s="2125"/>
      <c r="BR532" s="2125"/>
      <c r="BS532" s="2125"/>
      <c r="BT532" s="2125"/>
      <c r="BU532" s="2029"/>
      <c r="BV532" s="2029"/>
      <c r="BW532" s="2029"/>
      <c r="BX532" s="2029"/>
      <c r="BY532" s="2029"/>
      <c r="BZ532" s="2032"/>
      <c r="CA532" s="1974">
        <f t="shared" si="372"/>
        <v>0</v>
      </c>
      <c r="CB532" s="1974">
        <f t="shared" si="372"/>
        <v>0</v>
      </c>
      <c r="CC532" s="1974">
        <f t="shared" si="372"/>
        <v>0</v>
      </c>
      <c r="CD532" s="1974">
        <f t="shared" si="372"/>
        <v>0</v>
      </c>
      <c r="CE532" s="1974">
        <f t="shared" si="372"/>
        <v>0</v>
      </c>
      <c r="CF532" s="2033">
        <v>0</v>
      </c>
      <c r="CG532" s="2026">
        <v>0</v>
      </c>
      <c r="CH532" s="2009">
        <f t="shared" si="373"/>
        <v>0</v>
      </c>
      <c r="CI532" s="2031">
        <f t="shared" si="373"/>
        <v>0</v>
      </c>
      <c r="CJ532" s="1974">
        <f t="shared" si="373"/>
        <v>0</v>
      </c>
      <c r="CK532" s="2031">
        <f t="shared" si="373"/>
        <v>0</v>
      </c>
      <c r="CL532" s="2026">
        <v>1</v>
      </c>
      <c r="CM532" s="2026">
        <v>1</v>
      </c>
      <c r="CN532" s="2026">
        <v>1</v>
      </c>
      <c r="CO532" s="2026">
        <v>1</v>
      </c>
      <c r="CP532" s="2035"/>
      <c r="CQ532" s="2036"/>
      <c r="CR532" s="2036"/>
      <c r="CS532" s="2036"/>
      <c r="CT532" s="2036"/>
      <c r="CU532" s="2036"/>
      <c r="CV532" s="1973">
        <v>1</v>
      </c>
      <c r="CW532" s="1973">
        <v>0</v>
      </c>
      <c r="CX532" s="2037">
        <v>112.5</v>
      </c>
      <c r="CY532" s="2037">
        <v>112.5</v>
      </c>
      <c r="CZ532" s="2037">
        <v>112.5</v>
      </c>
      <c r="DA532" s="2037">
        <v>112.5</v>
      </c>
      <c r="DJ532" s="1976">
        <v>112.5</v>
      </c>
      <c r="DK532" s="1973">
        <v>112.5</v>
      </c>
      <c r="DL532" s="1973">
        <v>112.5</v>
      </c>
      <c r="DM532" s="1973">
        <v>112.5</v>
      </c>
      <c r="DO532" s="2027">
        <v>10</v>
      </c>
      <c r="DP532" s="2144">
        <v>1592.85</v>
      </c>
      <c r="DQ532" s="2145">
        <v>0.53</v>
      </c>
      <c r="DR532" s="2027">
        <v>0</v>
      </c>
      <c r="DS532" s="2124">
        <v>112.5</v>
      </c>
      <c r="DT532" s="2029">
        <v>112.5</v>
      </c>
      <c r="DU532" s="2029">
        <v>112.5</v>
      </c>
      <c r="DV532" s="2029">
        <v>112.5</v>
      </c>
      <c r="DW532" s="2124">
        <v>0</v>
      </c>
      <c r="DX532" s="2029">
        <v>0</v>
      </c>
      <c r="DY532" s="2029">
        <v>0</v>
      </c>
      <c r="DZ532" s="2029">
        <v>0</v>
      </c>
      <c r="EA532" s="2124">
        <v>788</v>
      </c>
      <c r="EB532" s="2029">
        <v>788</v>
      </c>
      <c r="EC532" s="2029">
        <v>788</v>
      </c>
      <c r="ED532" s="2029">
        <v>788</v>
      </c>
      <c r="EE532" s="2039">
        <f t="shared" si="356"/>
        <v>0</v>
      </c>
      <c r="EF532" s="2039">
        <f t="shared" si="356"/>
        <v>0</v>
      </c>
      <c r="EG532" s="2039">
        <f t="shared" si="356"/>
        <v>0</v>
      </c>
      <c r="EH532" s="2039">
        <f t="shared" si="355"/>
        <v>0</v>
      </c>
      <c r="EI532" s="2040">
        <f t="shared" si="333"/>
        <v>0</v>
      </c>
      <c r="EJ532" s="2040">
        <f t="shared" si="333"/>
        <v>0</v>
      </c>
      <c r="EK532" s="2040">
        <f t="shared" si="333"/>
        <v>0</v>
      </c>
      <c r="EL532" s="2040">
        <f t="shared" si="333"/>
        <v>0</v>
      </c>
      <c r="EM532" s="2040">
        <f t="shared" si="333"/>
        <v>0</v>
      </c>
      <c r="EN532" s="2040">
        <f t="shared" si="333"/>
        <v>0</v>
      </c>
      <c r="EO532" s="2040">
        <f t="shared" si="350"/>
        <v>0</v>
      </c>
      <c r="EP532" s="2040">
        <f t="shared" si="350"/>
        <v>0</v>
      </c>
      <c r="EQ532" s="2040">
        <f t="shared" si="350"/>
        <v>0</v>
      </c>
      <c r="ER532" s="2040">
        <f t="shared" si="350"/>
        <v>0</v>
      </c>
      <c r="ES532" s="2040">
        <f t="shared" si="350"/>
        <v>0</v>
      </c>
      <c r="ET532" s="2040">
        <f t="shared" si="350"/>
        <v>0</v>
      </c>
      <c r="EU532" s="2039">
        <f t="shared" si="357"/>
        <v>0</v>
      </c>
      <c r="EV532" s="2039">
        <f t="shared" si="358"/>
        <v>0</v>
      </c>
    </row>
    <row r="533" spans="1:152" x14ac:dyDescent="0.25">
      <c r="A533" s="2149" t="str">
        <f t="shared" si="361"/>
        <v>Live Stock Waterer (energy free or ground source heat)</v>
      </c>
      <c r="B533" s="1974" t="str">
        <f t="shared" si="361"/>
        <v>BPA10</v>
      </c>
      <c r="C533" s="2027">
        <f t="shared" si="360"/>
        <v>10</v>
      </c>
      <c r="D533" s="2144">
        <f t="shared" si="360"/>
        <v>3337.4</v>
      </c>
      <c r="E533" s="2145">
        <f t="shared" si="360"/>
        <v>0.83</v>
      </c>
      <c r="F533" s="2027">
        <f t="shared" si="360"/>
        <v>0</v>
      </c>
      <c r="G533" s="1974" t="s">
        <v>2988</v>
      </c>
      <c r="H533" s="1974" t="s">
        <v>2988</v>
      </c>
      <c r="I533" s="2026">
        <v>0.9</v>
      </c>
      <c r="J533" s="2026">
        <v>0.9</v>
      </c>
      <c r="K533" s="2026">
        <v>0.9</v>
      </c>
      <c r="L533" s="2026">
        <v>0.9</v>
      </c>
      <c r="M533" s="2027">
        <f t="shared" si="374"/>
        <v>3003.6600000000003</v>
      </c>
      <c r="N533" s="2027">
        <f t="shared" si="374"/>
        <v>3003.6600000000003</v>
      </c>
      <c r="O533" s="2027">
        <f t="shared" si="374"/>
        <v>3003.6600000000003</v>
      </c>
      <c r="P533" s="2027">
        <f t="shared" si="362"/>
        <v>3003.6600000000003</v>
      </c>
      <c r="Q533" s="2026">
        <v>0.9</v>
      </c>
      <c r="R533" s="2026">
        <v>0.9</v>
      </c>
      <c r="S533" s="2026">
        <v>0.9</v>
      </c>
      <c r="T533" s="2026">
        <v>0.9</v>
      </c>
      <c r="U533" s="2028">
        <f t="shared" si="375"/>
        <v>0.747</v>
      </c>
      <c r="V533" s="2028">
        <f t="shared" si="375"/>
        <v>0.747</v>
      </c>
      <c r="W533" s="2028">
        <f t="shared" si="375"/>
        <v>0.747</v>
      </c>
      <c r="X533" s="2028">
        <f t="shared" si="363"/>
        <v>0.747</v>
      </c>
      <c r="Y533" s="2026">
        <v>0.9</v>
      </c>
      <c r="Z533" s="2026">
        <v>0.9</v>
      </c>
      <c r="AA533" s="2026">
        <v>0.9</v>
      </c>
      <c r="AB533" s="2026">
        <v>0.9</v>
      </c>
      <c r="AC533" s="2027">
        <f t="shared" si="376"/>
        <v>0</v>
      </c>
      <c r="AD533" s="2027">
        <f t="shared" si="376"/>
        <v>0</v>
      </c>
      <c r="AE533" s="2027">
        <f t="shared" si="376"/>
        <v>0</v>
      </c>
      <c r="AF533" s="2027">
        <f t="shared" si="364"/>
        <v>0</v>
      </c>
      <c r="AG533" s="2027">
        <v>0</v>
      </c>
      <c r="AH533" s="2028"/>
      <c r="AI533" s="2028"/>
      <c r="AJ533" s="2028"/>
      <c r="AK533" s="2027">
        <f t="shared" si="365"/>
        <v>0</v>
      </c>
      <c r="AL533" s="2027">
        <f t="shared" si="366"/>
        <v>0</v>
      </c>
      <c r="AM533" s="2027">
        <f t="shared" si="366"/>
        <v>0</v>
      </c>
      <c r="AN533" s="2027">
        <f t="shared" si="366"/>
        <v>0</v>
      </c>
      <c r="AO533" s="2027">
        <f t="shared" si="377"/>
        <v>0</v>
      </c>
      <c r="AP533" s="2027">
        <f t="shared" si="367"/>
        <v>0</v>
      </c>
      <c r="AQ533" s="2027">
        <f t="shared" si="367"/>
        <v>0</v>
      </c>
      <c r="AR533" s="2027">
        <f t="shared" si="367"/>
        <v>0</v>
      </c>
      <c r="AS533" s="2124">
        <f t="shared" si="359"/>
        <v>150</v>
      </c>
      <c r="AT533" s="2029">
        <f t="shared" si="368"/>
        <v>150</v>
      </c>
      <c r="AU533" s="2029">
        <f t="shared" si="368"/>
        <v>150</v>
      </c>
      <c r="AV533" s="2029">
        <f t="shared" si="368"/>
        <v>150</v>
      </c>
      <c r="AW533" s="2124">
        <f t="shared" si="369"/>
        <v>0</v>
      </c>
      <c r="AX533" s="2029">
        <f t="shared" si="335"/>
        <v>0</v>
      </c>
      <c r="AY533" s="2029">
        <f t="shared" si="335"/>
        <v>0</v>
      </c>
      <c r="AZ533" s="2029">
        <f t="shared" si="335"/>
        <v>0</v>
      </c>
      <c r="BA533" s="2124">
        <f t="shared" si="354"/>
        <v>1450</v>
      </c>
      <c r="BB533" s="2029">
        <f t="shared" si="354"/>
        <v>1450</v>
      </c>
      <c r="BC533" s="2029">
        <f t="shared" si="354"/>
        <v>1450</v>
      </c>
      <c r="BD533" s="2029">
        <f t="shared" si="354"/>
        <v>1450</v>
      </c>
      <c r="BE533" s="2030">
        <f t="shared" si="378"/>
        <v>0</v>
      </c>
      <c r="BF533" s="2030">
        <f t="shared" si="378"/>
        <v>0</v>
      </c>
      <c r="BG533" s="2030">
        <f t="shared" si="378"/>
        <v>0</v>
      </c>
      <c r="BH533" s="2030">
        <f t="shared" si="370"/>
        <v>0</v>
      </c>
      <c r="BI533" s="2030">
        <f t="shared" si="379"/>
        <v>0</v>
      </c>
      <c r="BJ533" s="2030">
        <f t="shared" si="379"/>
        <v>0</v>
      </c>
      <c r="BK533" s="2030">
        <f t="shared" si="379"/>
        <v>0</v>
      </c>
      <c r="BL533" s="2030">
        <f t="shared" si="371"/>
        <v>0</v>
      </c>
      <c r="BM533" s="2125"/>
      <c r="BN533" s="2125"/>
      <c r="BO533" s="2125"/>
      <c r="BP533" s="2125"/>
      <c r="BQ533" s="2125"/>
      <c r="BR533" s="2125"/>
      <c r="BS533" s="2125"/>
      <c r="BT533" s="2125"/>
      <c r="BU533" s="2029"/>
      <c r="BV533" s="2029"/>
      <c r="BW533" s="2029"/>
      <c r="BX533" s="2029"/>
      <c r="BY533" s="2029"/>
      <c r="BZ533" s="2032"/>
      <c r="CA533" s="1974">
        <f t="shared" si="372"/>
        <v>0</v>
      </c>
      <c r="CB533" s="1974">
        <f t="shared" si="372"/>
        <v>0</v>
      </c>
      <c r="CC533" s="1974">
        <f t="shared" si="372"/>
        <v>0</v>
      </c>
      <c r="CD533" s="1974">
        <f t="shared" si="372"/>
        <v>0</v>
      </c>
      <c r="CE533" s="1974">
        <f t="shared" si="372"/>
        <v>0</v>
      </c>
      <c r="CF533" s="2033">
        <v>0</v>
      </c>
      <c r="CG533" s="2026">
        <v>0</v>
      </c>
      <c r="CH533" s="2009">
        <f t="shared" si="373"/>
        <v>0</v>
      </c>
      <c r="CI533" s="2031">
        <f t="shared" si="373"/>
        <v>0</v>
      </c>
      <c r="CJ533" s="1974">
        <f t="shared" si="373"/>
        <v>0</v>
      </c>
      <c r="CK533" s="2031">
        <f t="shared" si="373"/>
        <v>0</v>
      </c>
      <c r="CL533" s="2026">
        <v>1</v>
      </c>
      <c r="CM533" s="2026">
        <v>1</v>
      </c>
      <c r="CN533" s="2026">
        <v>1</v>
      </c>
      <c r="CO533" s="2026">
        <v>1</v>
      </c>
      <c r="CP533" s="2035"/>
      <c r="CQ533" s="2036"/>
      <c r="CR533" s="2036"/>
      <c r="CS533" s="2036"/>
      <c r="CT533" s="2036"/>
      <c r="CU533" s="2036"/>
      <c r="CV533" s="1973">
        <v>1</v>
      </c>
      <c r="CW533" s="1973">
        <v>0</v>
      </c>
      <c r="CX533" s="2037">
        <v>150</v>
      </c>
      <c r="CY533" s="2037">
        <v>150</v>
      </c>
      <c r="CZ533" s="2037">
        <v>150</v>
      </c>
      <c r="DA533" s="2037">
        <v>150</v>
      </c>
      <c r="DJ533" s="1976">
        <v>150</v>
      </c>
      <c r="DK533" s="1973">
        <v>150</v>
      </c>
      <c r="DL533" s="1973">
        <v>150</v>
      </c>
      <c r="DM533" s="1973">
        <v>150</v>
      </c>
      <c r="DO533" s="2027">
        <v>10</v>
      </c>
      <c r="DP533" s="2144">
        <v>3337.4</v>
      </c>
      <c r="DQ533" s="2145">
        <v>0.83</v>
      </c>
      <c r="DR533" s="2027">
        <v>0</v>
      </c>
      <c r="DS533" s="2124">
        <v>150</v>
      </c>
      <c r="DT533" s="2029">
        <v>150</v>
      </c>
      <c r="DU533" s="2029">
        <v>150</v>
      </c>
      <c r="DV533" s="2029">
        <v>150</v>
      </c>
      <c r="DW533" s="2124">
        <v>0</v>
      </c>
      <c r="DX533" s="2029">
        <v>0</v>
      </c>
      <c r="DY533" s="2029">
        <v>0</v>
      </c>
      <c r="DZ533" s="2029">
        <v>0</v>
      </c>
      <c r="EA533" s="2124">
        <v>1450</v>
      </c>
      <c r="EB533" s="2029">
        <v>1450</v>
      </c>
      <c r="EC533" s="2029">
        <v>1450</v>
      </c>
      <c r="ED533" s="2029">
        <v>1450</v>
      </c>
      <c r="EE533" s="2039">
        <f t="shared" si="356"/>
        <v>0</v>
      </c>
      <c r="EF533" s="2039">
        <f t="shared" si="356"/>
        <v>0</v>
      </c>
      <c r="EG533" s="2039">
        <f t="shared" si="356"/>
        <v>0</v>
      </c>
      <c r="EH533" s="2039">
        <f t="shared" si="355"/>
        <v>0</v>
      </c>
      <c r="EI533" s="2040">
        <f t="shared" si="333"/>
        <v>0</v>
      </c>
      <c r="EJ533" s="2040">
        <f t="shared" si="333"/>
        <v>0</v>
      </c>
      <c r="EK533" s="2040">
        <f t="shared" si="333"/>
        <v>0</v>
      </c>
      <c r="EL533" s="2040">
        <f t="shared" si="333"/>
        <v>0</v>
      </c>
      <c r="EM533" s="2040">
        <f t="shared" si="333"/>
        <v>0</v>
      </c>
      <c r="EN533" s="2040">
        <f t="shared" si="333"/>
        <v>0</v>
      </c>
      <c r="EO533" s="2040">
        <f t="shared" si="350"/>
        <v>0</v>
      </c>
      <c r="EP533" s="2040">
        <f t="shared" si="350"/>
        <v>0</v>
      </c>
      <c r="EQ533" s="2040">
        <f t="shared" si="350"/>
        <v>0</v>
      </c>
      <c r="ER533" s="2040">
        <f t="shared" si="350"/>
        <v>0</v>
      </c>
      <c r="ES533" s="2040">
        <f t="shared" si="350"/>
        <v>0</v>
      </c>
      <c r="ET533" s="2040">
        <f t="shared" si="350"/>
        <v>0</v>
      </c>
      <c r="EU533" s="2039">
        <f t="shared" si="357"/>
        <v>0</v>
      </c>
      <c r="EV533" s="2039">
        <f t="shared" si="358"/>
        <v>0</v>
      </c>
    </row>
    <row r="534" spans="1:152" x14ac:dyDescent="0.25">
      <c r="A534" s="2149" t="str">
        <f t="shared" si="361"/>
        <v>Guest Room Energy Management (GREM) Controls on PTAC System</v>
      </c>
      <c r="B534" s="1974" t="str">
        <f t="shared" si="361"/>
        <v>BPLD1</v>
      </c>
      <c r="C534" s="2027">
        <f t="shared" si="360"/>
        <v>15</v>
      </c>
      <c r="D534" s="2144">
        <f t="shared" si="360"/>
        <v>232.36866171003717</v>
      </c>
      <c r="E534" s="2145">
        <f t="shared" si="360"/>
        <v>8.6900000000000005E-2</v>
      </c>
      <c r="F534" s="2027">
        <f t="shared" si="360"/>
        <v>0</v>
      </c>
      <c r="G534" s="1974" t="s">
        <v>2988</v>
      </c>
      <c r="H534" s="1974" t="s">
        <v>2988</v>
      </c>
      <c r="I534" s="2026">
        <v>0.9</v>
      </c>
      <c r="J534" s="2026">
        <v>0.9</v>
      </c>
      <c r="K534" s="2026">
        <v>0.9</v>
      </c>
      <c r="L534" s="2026">
        <v>0.9</v>
      </c>
      <c r="M534" s="2027">
        <f t="shared" si="374"/>
        <v>209.13179553903345</v>
      </c>
      <c r="N534" s="2027">
        <f t="shared" si="374"/>
        <v>209.13179553903345</v>
      </c>
      <c r="O534" s="2027">
        <f t="shared" si="374"/>
        <v>209.13179553903345</v>
      </c>
      <c r="P534" s="2027">
        <f t="shared" si="362"/>
        <v>209.13179553903345</v>
      </c>
      <c r="Q534" s="2026">
        <v>0.9</v>
      </c>
      <c r="R534" s="2026">
        <v>0.9</v>
      </c>
      <c r="S534" s="2026">
        <v>0.9</v>
      </c>
      <c r="T534" s="2026">
        <v>0.9</v>
      </c>
      <c r="U534" s="2028">
        <f t="shared" si="375"/>
        <v>7.8210000000000002E-2</v>
      </c>
      <c r="V534" s="2028">
        <f t="shared" si="375"/>
        <v>7.8210000000000002E-2</v>
      </c>
      <c r="W534" s="2028">
        <f t="shared" si="375"/>
        <v>7.8210000000000002E-2</v>
      </c>
      <c r="X534" s="2028">
        <f t="shared" si="363"/>
        <v>7.8210000000000002E-2</v>
      </c>
      <c r="Y534" s="2026">
        <v>0.9</v>
      </c>
      <c r="Z534" s="2026">
        <v>0.9</v>
      </c>
      <c r="AA534" s="2026">
        <v>0.9</v>
      </c>
      <c r="AB534" s="2026">
        <v>0.9</v>
      </c>
      <c r="AC534" s="2027">
        <f t="shared" si="376"/>
        <v>0</v>
      </c>
      <c r="AD534" s="2027">
        <f t="shared" si="376"/>
        <v>0</v>
      </c>
      <c r="AE534" s="2027">
        <f t="shared" si="376"/>
        <v>0</v>
      </c>
      <c r="AF534" s="2027">
        <f t="shared" si="364"/>
        <v>0</v>
      </c>
      <c r="AG534" s="2027">
        <v>0</v>
      </c>
      <c r="AH534" s="2028"/>
      <c r="AI534" s="2028"/>
      <c r="AJ534" s="2028"/>
      <c r="AK534" s="2027">
        <f t="shared" si="365"/>
        <v>0</v>
      </c>
      <c r="AL534" s="2027">
        <f t="shared" si="366"/>
        <v>0</v>
      </c>
      <c r="AM534" s="2027">
        <f t="shared" si="366"/>
        <v>0</v>
      </c>
      <c r="AN534" s="2027">
        <f t="shared" si="366"/>
        <v>0</v>
      </c>
      <c r="AO534" s="2027">
        <f t="shared" si="377"/>
        <v>0</v>
      </c>
      <c r="AP534" s="2027">
        <f t="shared" si="367"/>
        <v>0</v>
      </c>
      <c r="AQ534" s="2027">
        <f t="shared" si="367"/>
        <v>0</v>
      </c>
      <c r="AR534" s="2027">
        <f t="shared" si="367"/>
        <v>0</v>
      </c>
      <c r="AS534" s="2124">
        <f t="shared" si="359"/>
        <v>120</v>
      </c>
      <c r="AT534" s="2029">
        <f t="shared" si="368"/>
        <v>120</v>
      </c>
      <c r="AU534" s="2029">
        <f t="shared" si="368"/>
        <v>120</v>
      </c>
      <c r="AV534" s="2029">
        <f t="shared" si="368"/>
        <v>120</v>
      </c>
      <c r="AW534" s="2124">
        <f t="shared" si="369"/>
        <v>0</v>
      </c>
      <c r="AX534" s="2029">
        <f t="shared" si="335"/>
        <v>0</v>
      </c>
      <c r="AY534" s="2029">
        <f t="shared" si="335"/>
        <v>0</v>
      </c>
      <c r="AZ534" s="2029">
        <f t="shared" si="335"/>
        <v>0</v>
      </c>
      <c r="BA534" s="2124">
        <f t="shared" ref="BA534:BD549" si="380">BA73</f>
        <v>260</v>
      </c>
      <c r="BB534" s="2029">
        <f t="shared" si="380"/>
        <v>260</v>
      </c>
      <c r="BC534" s="2029">
        <f t="shared" si="380"/>
        <v>260</v>
      </c>
      <c r="BD534" s="2029">
        <f t="shared" si="380"/>
        <v>260</v>
      </c>
      <c r="BE534" s="2030">
        <f t="shared" si="378"/>
        <v>0</v>
      </c>
      <c r="BF534" s="2030">
        <f t="shared" si="378"/>
        <v>0</v>
      </c>
      <c r="BG534" s="2030">
        <f t="shared" si="378"/>
        <v>0</v>
      </c>
      <c r="BH534" s="2030">
        <f t="shared" si="370"/>
        <v>0</v>
      </c>
      <c r="BI534" s="2030">
        <f t="shared" si="379"/>
        <v>0</v>
      </c>
      <c r="BJ534" s="2030">
        <f t="shared" si="379"/>
        <v>0</v>
      </c>
      <c r="BK534" s="2030">
        <f t="shared" si="379"/>
        <v>0</v>
      </c>
      <c r="BL534" s="2030">
        <f t="shared" si="371"/>
        <v>0</v>
      </c>
      <c r="BM534" s="2125"/>
      <c r="BN534" s="2125"/>
      <c r="BO534" s="2125"/>
      <c r="BP534" s="2125"/>
      <c r="BQ534" s="2125"/>
      <c r="BR534" s="2125"/>
      <c r="BS534" s="2125"/>
      <c r="BT534" s="2125"/>
      <c r="BU534" s="2029"/>
      <c r="BV534" s="2029"/>
      <c r="BW534" s="2029"/>
      <c r="BX534" s="2029"/>
      <c r="BY534" s="2029"/>
      <c r="BZ534" s="2032"/>
      <c r="CA534" s="1974">
        <f t="shared" si="372"/>
        <v>0</v>
      </c>
      <c r="CB534" s="1974">
        <f t="shared" si="372"/>
        <v>0</v>
      </c>
      <c r="CC534" s="1974">
        <f t="shared" si="372"/>
        <v>0</v>
      </c>
      <c r="CD534" s="1974">
        <f t="shared" si="372"/>
        <v>0</v>
      </c>
      <c r="CE534" s="1974">
        <f t="shared" si="372"/>
        <v>0</v>
      </c>
      <c r="CF534" s="2033">
        <v>0</v>
      </c>
      <c r="CG534" s="2026">
        <v>0</v>
      </c>
      <c r="CH534" s="2009">
        <f t="shared" si="373"/>
        <v>0</v>
      </c>
      <c r="CI534" s="2031">
        <f t="shared" si="373"/>
        <v>0</v>
      </c>
      <c r="CJ534" s="1974">
        <f t="shared" si="373"/>
        <v>0</v>
      </c>
      <c r="CK534" s="2031">
        <f t="shared" si="373"/>
        <v>0</v>
      </c>
      <c r="CL534" s="2026">
        <v>1</v>
      </c>
      <c r="CM534" s="2026">
        <v>1</v>
      </c>
      <c r="CN534" s="2026">
        <v>1</v>
      </c>
      <c r="CO534" s="2026">
        <v>1</v>
      </c>
      <c r="CP534" s="2035"/>
      <c r="CQ534" s="2036"/>
      <c r="CR534" s="2036"/>
      <c r="CS534" s="2036"/>
      <c r="CT534" s="2036"/>
      <c r="CU534" s="2036"/>
      <c r="CV534" s="1973">
        <v>1</v>
      </c>
      <c r="CW534" s="1973">
        <v>0</v>
      </c>
      <c r="CX534" s="2037">
        <v>120</v>
      </c>
      <c r="CY534" s="2037">
        <v>120</v>
      </c>
      <c r="CZ534" s="2037">
        <v>120</v>
      </c>
      <c r="DA534" s="2037">
        <v>120</v>
      </c>
      <c r="DJ534" s="1976">
        <v>120</v>
      </c>
      <c r="DK534" s="1973">
        <v>120</v>
      </c>
      <c r="DL534" s="1973">
        <v>120</v>
      </c>
      <c r="DM534" s="1973">
        <v>120</v>
      </c>
      <c r="DO534" s="2027">
        <v>15</v>
      </c>
      <c r="DP534" s="2144">
        <v>232.36866171003717</v>
      </c>
      <c r="DQ534" s="2145">
        <v>8.6900000000000005E-2</v>
      </c>
      <c r="DR534" s="2027">
        <v>0</v>
      </c>
      <c r="DS534" s="2124">
        <v>120</v>
      </c>
      <c r="DT534" s="2029">
        <v>120</v>
      </c>
      <c r="DU534" s="2029">
        <v>120</v>
      </c>
      <c r="DV534" s="2029">
        <v>120</v>
      </c>
      <c r="DW534" s="2124">
        <v>0</v>
      </c>
      <c r="DX534" s="2029">
        <v>0</v>
      </c>
      <c r="DY534" s="2029">
        <v>0</v>
      </c>
      <c r="DZ534" s="2029">
        <v>0</v>
      </c>
      <c r="EA534" s="2124">
        <v>260</v>
      </c>
      <c r="EB534" s="2029">
        <v>260</v>
      </c>
      <c r="EC534" s="2029">
        <v>260</v>
      </c>
      <c r="ED534" s="2029">
        <v>260</v>
      </c>
      <c r="EE534" s="2039">
        <f t="shared" si="356"/>
        <v>0</v>
      </c>
      <c r="EF534" s="2039">
        <f t="shared" si="356"/>
        <v>0</v>
      </c>
      <c r="EG534" s="2039">
        <f t="shared" si="356"/>
        <v>0</v>
      </c>
      <c r="EH534" s="2039">
        <f t="shared" si="355"/>
        <v>0</v>
      </c>
      <c r="EI534" s="2040">
        <f t="shared" si="333"/>
        <v>0</v>
      </c>
      <c r="EJ534" s="2040">
        <f t="shared" si="333"/>
        <v>0</v>
      </c>
      <c r="EK534" s="2040">
        <f t="shared" si="333"/>
        <v>0</v>
      </c>
      <c r="EL534" s="2040">
        <f t="shared" si="333"/>
        <v>0</v>
      </c>
      <c r="EM534" s="2040">
        <f t="shared" si="333"/>
        <v>0</v>
      </c>
      <c r="EN534" s="2040">
        <f t="shared" si="333"/>
        <v>0</v>
      </c>
      <c r="EO534" s="2040">
        <f t="shared" si="350"/>
        <v>0</v>
      </c>
      <c r="EP534" s="2040">
        <f t="shared" si="350"/>
        <v>0</v>
      </c>
      <c r="EQ534" s="2040">
        <f t="shared" si="350"/>
        <v>0</v>
      </c>
      <c r="ER534" s="2040">
        <f t="shared" si="350"/>
        <v>0</v>
      </c>
      <c r="ES534" s="2040">
        <f t="shared" si="350"/>
        <v>0</v>
      </c>
      <c r="ET534" s="2040">
        <f t="shared" si="350"/>
        <v>0</v>
      </c>
      <c r="EU534" s="2039">
        <f t="shared" si="357"/>
        <v>0</v>
      </c>
      <c r="EV534" s="2039">
        <f t="shared" si="358"/>
        <v>0</v>
      </c>
    </row>
    <row r="535" spans="1:152" x14ac:dyDescent="0.25">
      <c r="A535" s="2149" t="str">
        <f t="shared" si="361"/>
        <v>Guest Room Energy Management (GREM) Controls on PTHP System</v>
      </c>
      <c r="B535" s="1974" t="str">
        <f t="shared" si="361"/>
        <v>BPLD2</v>
      </c>
      <c r="C535" s="2027">
        <f t="shared" si="360"/>
        <v>15</v>
      </c>
      <c r="D535" s="2144">
        <f t="shared" si="360"/>
        <v>1076.5</v>
      </c>
      <c r="E535" s="2145">
        <f t="shared" si="360"/>
        <v>0.84</v>
      </c>
      <c r="F535" s="2027">
        <f t="shared" si="360"/>
        <v>0</v>
      </c>
      <c r="G535" s="1974" t="s">
        <v>2988</v>
      </c>
      <c r="H535" s="1974" t="s">
        <v>2988</v>
      </c>
      <c r="I535" s="2026">
        <v>0.9</v>
      </c>
      <c r="J535" s="2026">
        <v>0.9</v>
      </c>
      <c r="K535" s="2026">
        <v>0.9</v>
      </c>
      <c r="L535" s="2026">
        <v>0.9</v>
      </c>
      <c r="M535" s="2027">
        <f t="shared" si="374"/>
        <v>968.85</v>
      </c>
      <c r="N535" s="2027">
        <f t="shared" si="374"/>
        <v>968.85</v>
      </c>
      <c r="O535" s="2027">
        <f t="shared" si="374"/>
        <v>968.85</v>
      </c>
      <c r="P535" s="2027">
        <f t="shared" si="362"/>
        <v>968.85</v>
      </c>
      <c r="Q535" s="2026">
        <v>0.9</v>
      </c>
      <c r="R535" s="2026">
        <v>0.9</v>
      </c>
      <c r="S535" s="2026">
        <v>0.9</v>
      </c>
      <c r="T535" s="2026">
        <v>0.9</v>
      </c>
      <c r="U535" s="2028">
        <f t="shared" si="375"/>
        <v>0.75600000000000001</v>
      </c>
      <c r="V535" s="2028">
        <f t="shared" si="375"/>
        <v>0.75600000000000001</v>
      </c>
      <c r="W535" s="2028">
        <f t="shared" si="375"/>
        <v>0.75600000000000001</v>
      </c>
      <c r="X535" s="2028">
        <f t="shared" si="363"/>
        <v>0.75600000000000001</v>
      </c>
      <c r="Y535" s="2026">
        <v>0.9</v>
      </c>
      <c r="Z535" s="2026">
        <v>0.9</v>
      </c>
      <c r="AA535" s="2026">
        <v>0.9</v>
      </c>
      <c r="AB535" s="2026">
        <v>0.9</v>
      </c>
      <c r="AC535" s="2027">
        <f t="shared" si="376"/>
        <v>0</v>
      </c>
      <c r="AD535" s="2027">
        <f t="shared" si="376"/>
        <v>0</v>
      </c>
      <c r="AE535" s="2027">
        <f t="shared" si="376"/>
        <v>0</v>
      </c>
      <c r="AF535" s="2027">
        <f t="shared" si="364"/>
        <v>0</v>
      </c>
      <c r="AG535" s="2027">
        <v>0</v>
      </c>
      <c r="AH535" s="2028"/>
      <c r="AI535" s="2028"/>
      <c r="AJ535" s="2028"/>
      <c r="AK535" s="2027">
        <f t="shared" si="365"/>
        <v>0</v>
      </c>
      <c r="AL535" s="2027">
        <f t="shared" si="366"/>
        <v>0</v>
      </c>
      <c r="AM535" s="2027">
        <f t="shared" si="366"/>
        <v>0</v>
      </c>
      <c r="AN535" s="2027">
        <f t="shared" si="366"/>
        <v>0</v>
      </c>
      <c r="AO535" s="2027">
        <f t="shared" si="377"/>
        <v>0</v>
      </c>
      <c r="AP535" s="2027">
        <f t="shared" si="367"/>
        <v>0</v>
      </c>
      <c r="AQ535" s="2027">
        <f t="shared" si="367"/>
        <v>0</v>
      </c>
      <c r="AR535" s="2027">
        <f t="shared" si="367"/>
        <v>0</v>
      </c>
      <c r="AS535" s="2124">
        <f t="shared" si="359"/>
        <v>75</v>
      </c>
      <c r="AT535" s="2029">
        <f t="shared" si="368"/>
        <v>75</v>
      </c>
      <c r="AU535" s="2029">
        <f t="shared" si="368"/>
        <v>75</v>
      </c>
      <c r="AV535" s="2029">
        <f t="shared" si="368"/>
        <v>75</v>
      </c>
      <c r="AW535" s="2124">
        <f t="shared" si="369"/>
        <v>0</v>
      </c>
      <c r="AX535" s="2029">
        <f t="shared" si="335"/>
        <v>0</v>
      </c>
      <c r="AY535" s="2029">
        <f t="shared" si="335"/>
        <v>0</v>
      </c>
      <c r="AZ535" s="2029">
        <f t="shared" si="335"/>
        <v>0</v>
      </c>
      <c r="BA535" s="2124">
        <f t="shared" si="380"/>
        <v>260</v>
      </c>
      <c r="BB535" s="2029">
        <f t="shared" si="380"/>
        <v>260</v>
      </c>
      <c r="BC535" s="2029">
        <f t="shared" si="380"/>
        <v>260</v>
      </c>
      <c r="BD535" s="2029">
        <f t="shared" si="380"/>
        <v>260</v>
      </c>
      <c r="BE535" s="2030">
        <f t="shared" si="378"/>
        <v>0</v>
      </c>
      <c r="BF535" s="2030">
        <f t="shared" si="378"/>
        <v>0</v>
      </c>
      <c r="BG535" s="2030">
        <f t="shared" si="378"/>
        <v>0</v>
      </c>
      <c r="BH535" s="2030">
        <f t="shared" si="370"/>
        <v>0</v>
      </c>
      <c r="BI535" s="2030">
        <f t="shared" si="379"/>
        <v>0</v>
      </c>
      <c r="BJ535" s="2030">
        <f t="shared" si="379"/>
        <v>0</v>
      </c>
      <c r="BK535" s="2030">
        <f t="shared" si="379"/>
        <v>0</v>
      </c>
      <c r="BL535" s="2030">
        <f t="shared" si="371"/>
        <v>0</v>
      </c>
      <c r="BM535" s="2125"/>
      <c r="BN535" s="2125"/>
      <c r="BO535" s="2125"/>
      <c r="BP535" s="2125"/>
      <c r="BQ535" s="2125"/>
      <c r="BR535" s="2125"/>
      <c r="BS535" s="2125"/>
      <c r="BT535" s="2125"/>
      <c r="BU535" s="2029"/>
      <c r="BV535" s="2029"/>
      <c r="BW535" s="2029"/>
      <c r="BX535" s="2029"/>
      <c r="BY535" s="2029"/>
      <c r="BZ535" s="2032"/>
      <c r="CA535" s="1974">
        <f t="shared" si="372"/>
        <v>0</v>
      </c>
      <c r="CB535" s="1974">
        <f t="shared" si="372"/>
        <v>0</v>
      </c>
      <c r="CC535" s="1974">
        <f t="shared" si="372"/>
        <v>0</v>
      </c>
      <c r="CD535" s="1974">
        <f t="shared" si="372"/>
        <v>0</v>
      </c>
      <c r="CE535" s="1974">
        <f t="shared" si="372"/>
        <v>0</v>
      </c>
      <c r="CF535" s="2033">
        <v>0</v>
      </c>
      <c r="CG535" s="2026">
        <v>0</v>
      </c>
      <c r="CH535" s="2009">
        <f t="shared" si="373"/>
        <v>0</v>
      </c>
      <c r="CI535" s="2031">
        <f t="shared" si="373"/>
        <v>0</v>
      </c>
      <c r="CJ535" s="1974">
        <f t="shared" si="373"/>
        <v>0</v>
      </c>
      <c r="CK535" s="2031">
        <f t="shared" si="373"/>
        <v>0</v>
      </c>
      <c r="CL535" s="2026">
        <v>1</v>
      </c>
      <c r="CM535" s="2026">
        <v>1</v>
      </c>
      <c r="CN535" s="2026">
        <v>1</v>
      </c>
      <c r="CO535" s="2026">
        <v>1</v>
      </c>
      <c r="CP535" s="2035"/>
      <c r="CQ535" s="2036"/>
      <c r="CR535" s="2036"/>
      <c r="CS535" s="2036"/>
      <c r="CT535" s="2036"/>
      <c r="CU535" s="2036"/>
      <c r="CV535" s="1973">
        <v>1</v>
      </c>
      <c r="CW535" s="1973">
        <v>0</v>
      </c>
      <c r="CX535" s="2037">
        <v>75</v>
      </c>
      <c r="CY535" s="2037">
        <v>75</v>
      </c>
      <c r="CZ535" s="2037">
        <v>75</v>
      </c>
      <c r="DA535" s="2037">
        <v>75</v>
      </c>
      <c r="DJ535" s="1976">
        <v>75</v>
      </c>
      <c r="DK535" s="1973">
        <v>75</v>
      </c>
      <c r="DL535" s="1973">
        <v>75</v>
      </c>
      <c r="DM535" s="1973">
        <v>75</v>
      </c>
      <c r="DO535" s="2027">
        <v>15</v>
      </c>
      <c r="DP535" s="2144">
        <v>1076.5</v>
      </c>
      <c r="DQ535" s="2145">
        <v>0.84</v>
      </c>
      <c r="DR535" s="2027">
        <v>0</v>
      </c>
      <c r="DS535" s="2124">
        <v>75</v>
      </c>
      <c r="DT535" s="2029">
        <v>75</v>
      </c>
      <c r="DU535" s="2029">
        <v>75</v>
      </c>
      <c r="DV535" s="2029">
        <v>75</v>
      </c>
      <c r="DW535" s="2124">
        <v>0</v>
      </c>
      <c r="DX535" s="2029">
        <v>0</v>
      </c>
      <c r="DY535" s="2029">
        <v>0</v>
      </c>
      <c r="DZ535" s="2029">
        <v>0</v>
      </c>
      <c r="EA535" s="2124">
        <v>260</v>
      </c>
      <c r="EB535" s="2029">
        <v>260</v>
      </c>
      <c r="EC535" s="2029">
        <v>260</v>
      </c>
      <c r="ED535" s="2029">
        <v>260</v>
      </c>
      <c r="EE535" s="2039">
        <f t="shared" si="356"/>
        <v>0</v>
      </c>
      <c r="EF535" s="2039">
        <f t="shared" si="356"/>
        <v>0</v>
      </c>
      <c r="EG535" s="2039">
        <f t="shared" si="356"/>
        <v>0</v>
      </c>
      <c r="EH535" s="2039">
        <f t="shared" si="355"/>
        <v>0</v>
      </c>
      <c r="EI535" s="2040">
        <f t="shared" si="333"/>
        <v>0</v>
      </c>
      <c r="EJ535" s="2040">
        <f t="shared" si="333"/>
        <v>0</v>
      </c>
      <c r="EK535" s="2040">
        <f t="shared" si="333"/>
        <v>0</v>
      </c>
      <c r="EL535" s="2040">
        <f t="shared" si="333"/>
        <v>0</v>
      </c>
      <c r="EM535" s="2040">
        <f t="shared" si="333"/>
        <v>0</v>
      </c>
      <c r="EN535" s="2040">
        <f t="shared" si="333"/>
        <v>0</v>
      </c>
      <c r="EO535" s="2040">
        <f t="shared" si="350"/>
        <v>0</v>
      </c>
      <c r="EP535" s="2040">
        <f t="shared" si="350"/>
        <v>0</v>
      </c>
      <c r="EQ535" s="2040">
        <f t="shared" si="350"/>
        <v>0</v>
      </c>
      <c r="ER535" s="2040">
        <f t="shared" si="350"/>
        <v>0</v>
      </c>
      <c r="ES535" s="2040">
        <f t="shared" si="350"/>
        <v>0</v>
      </c>
      <c r="ET535" s="2040">
        <f t="shared" si="350"/>
        <v>0</v>
      </c>
      <c r="EU535" s="2039">
        <f t="shared" si="357"/>
        <v>0</v>
      </c>
      <c r="EV535" s="2039">
        <f t="shared" si="358"/>
        <v>0</v>
      </c>
    </row>
    <row r="536" spans="1:152" x14ac:dyDescent="0.25">
      <c r="A536" s="2149" t="str">
        <f t="shared" si="361"/>
        <v>Variable Frequency Drive on HVAC Motors – Cooling Tower Fans or HVAC Pumps</v>
      </c>
      <c r="B536" s="1974" t="str">
        <f t="shared" si="361"/>
        <v>BPC31</v>
      </c>
      <c r="C536" s="2027">
        <f t="shared" si="360"/>
        <v>15</v>
      </c>
      <c r="D536" s="2144">
        <f t="shared" si="360"/>
        <v>699.67851672345012</v>
      </c>
      <c r="E536" s="2145">
        <f t="shared" si="360"/>
        <v>0.17336011546413563</v>
      </c>
      <c r="F536" s="2027">
        <f t="shared" si="360"/>
        <v>0</v>
      </c>
      <c r="G536" s="1974" t="s">
        <v>2988</v>
      </c>
      <c r="H536" s="1974" t="s">
        <v>2988</v>
      </c>
      <c r="I536" s="2026">
        <v>0.9</v>
      </c>
      <c r="J536" s="2026">
        <v>0.9</v>
      </c>
      <c r="K536" s="2026">
        <v>0.9</v>
      </c>
      <c r="L536" s="2026">
        <v>0.9</v>
      </c>
      <c r="M536" s="2027">
        <f t="shared" si="374"/>
        <v>629.71066505110514</v>
      </c>
      <c r="N536" s="2027">
        <f t="shared" si="374"/>
        <v>629.71066505110514</v>
      </c>
      <c r="O536" s="2027">
        <f t="shared" si="374"/>
        <v>629.71066505110514</v>
      </c>
      <c r="P536" s="2027">
        <f t="shared" si="362"/>
        <v>629.71066505110514</v>
      </c>
      <c r="Q536" s="2026">
        <v>0.9</v>
      </c>
      <c r="R536" s="2026">
        <v>0.9</v>
      </c>
      <c r="S536" s="2026">
        <v>0.9</v>
      </c>
      <c r="T536" s="2026">
        <v>0.9</v>
      </c>
      <c r="U536" s="2028">
        <f t="shared" si="375"/>
        <v>0.15602410391772206</v>
      </c>
      <c r="V536" s="2028">
        <f t="shared" si="375"/>
        <v>0.15602410391772206</v>
      </c>
      <c r="W536" s="2028">
        <f t="shared" si="375"/>
        <v>0.15602410391772206</v>
      </c>
      <c r="X536" s="2028">
        <f t="shared" si="363"/>
        <v>0.15602410391772206</v>
      </c>
      <c r="Y536" s="2026">
        <v>0.9</v>
      </c>
      <c r="Z536" s="2026">
        <v>0.9</v>
      </c>
      <c r="AA536" s="2026">
        <v>0.9</v>
      </c>
      <c r="AB536" s="2026">
        <v>0.9</v>
      </c>
      <c r="AC536" s="2027">
        <f t="shared" si="376"/>
        <v>0</v>
      </c>
      <c r="AD536" s="2027">
        <f t="shared" si="376"/>
        <v>0</v>
      </c>
      <c r="AE536" s="2027">
        <f t="shared" si="376"/>
        <v>0</v>
      </c>
      <c r="AF536" s="2027">
        <f t="shared" si="364"/>
        <v>0</v>
      </c>
      <c r="AG536" s="2027">
        <v>63</v>
      </c>
      <c r="AH536" s="2027">
        <v>63</v>
      </c>
      <c r="AI536" s="2027">
        <v>64</v>
      </c>
      <c r="AJ536" s="2027">
        <v>64</v>
      </c>
      <c r="AK536" s="2027">
        <f t="shared" si="365"/>
        <v>39671.771898219624</v>
      </c>
      <c r="AL536" s="2027">
        <f t="shared" si="366"/>
        <v>39671.771898219624</v>
      </c>
      <c r="AM536" s="2027">
        <f t="shared" si="366"/>
        <v>40301.482563270729</v>
      </c>
      <c r="AN536" s="2027">
        <f t="shared" si="366"/>
        <v>40301.482563270729</v>
      </c>
      <c r="AO536" s="2027">
        <f t="shared" si="377"/>
        <v>0</v>
      </c>
      <c r="AP536" s="2027">
        <f t="shared" si="367"/>
        <v>0</v>
      </c>
      <c r="AQ536" s="2027">
        <f t="shared" si="367"/>
        <v>0</v>
      </c>
      <c r="AR536" s="2027">
        <f t="shared" si="367"/>
        <v>0</v>
      </c>
      <c r="AS536" s="2029">
        <v>140</v>
      </c>
      <c r="AT536" s="2029">
        <f t="shared" si="368"/>
        <v>140</v>
      </c>
      <c r="AU536" s="2029">
        <f t="shared" si="368"/>
        <v>140</v>
      </c>
      <c r="AV536" s="2029">
        <f t="shared" si="368"/>
        <v>140</v>
      </c>
      <c r="AW536" s="2029">
        <f t="shared" si="369"/>
        <v>0</v>
      </c>
      <c r="AX536" s="2029">
        <f t="shared" si="335"/>
        <v>0</v>
      </c>
      <c r="AY536" s="2029">
        <f t="shared" si="335"/>
        <v>0</v>
      </c>
      <c r="AZ536" s="2029">
        <f t="shared" si="335"/>
        <v>0</v>
      </c>
      <c r="BA536" s="2029">
        <v>195.14678713050651</v>
      </c>
      <c r="BB536" s="2029">
        <f>$BA536</f>
        <v>195.14678713050651</v>
      </c>
      <c r="BC536" s="2029">
        <f t="shared" ref="BC536:BD536" si="381">$BA536</f>
        <v>195.14678713050651</v>
      </c>
      <c r="BD536" s="2029">
        <f t="shared" si="381"/>
        <v>195.14678713050651</v>
      </c>
      <c r="BE536" s="2030">
        <f t="shared" si="378"/>
        <v>8820</v>
      </c>
      <c r="BF536" s="2030">
        <f t="shared" si="378"/>
        <v>8820</v>
      </c>
      <c r="BG536" s="2030">
        <f t="shared" si="378"/>
        <v>8960</v>
      </c>
      <c r="BH536" s="2030">
        <f t="shared" si="370"/>
        <v>8960</v>
      </c>
      <c r="BI536" s="2030">
        <f t="shared" si="379"/>
        <v>0</v>
      </c>
      <c r="BJ536" s="2030">
        <f t="shared" si="379"/>
        <v>0</v>
      </c>
      <c r="BK536" s="2030">
        <f t="shared" si="379"/>
        <v>0</v>
      </c>
      <c r="BL536" s="2030">
        <f t="shared" si="371"/>
        <v>0</v>
      </c>
      <c r="BM536" s="2125"/>
      <c r="BN536" s="2125"/>
      <c r="BO536" s="2125"/>
      <c r="BP536" s="2125"/>
      <c r="BQ536" s="2125"/>
      <c r="BR536" s="2125"/>
      <c r="BS536" s="2125"/>
      <c r="BT536" s="2125"/>
      <c r="BU536" s="2029"/>
      <c r="BV536" s="2029"/>
      <c r="BW536" s="2029"/>
      <c r="BX536" s="2029"/>
      <c r="BY536" s="2029"/>
      <c r="BZ536" s="2032"/>
      <c r="CA536" s="1974">
        <f t="shared" si="372"/>
        <v>0</v>
      </c>
      <c r="CB536" s="1974">
        <f t="shared" si="372"/>
        <v>0</v>
      </c>
      <c r="CC536" s="1974">
        <f t="shared" si="372"/>
        <v>0</v>
      </c>
      <c r="CD536" s="1974">
        <f t="shared" si="372"/>
        <v>0</v>
      </c>
      <c r="CE536" s="1974">
        <f t="shared" si="372"/>
        <v>0</v>
      </c>
      <c r="CF536" s="2033">
        <v>1.7560667940636857E-4</v>
      </c>
      <c r="CG536" s="2026">
        <v>0</v>
      </c>
      <c r="CH536" s="2009">
        <f t="shared" si="373"/>
        <v>0</v>
      </c>
      <c r="CI536" s="2031">
        <f t="shared" si="373"/>
        <v>0</v>
      </c>
      <c r="CJ536" s="1974">
        <f t="shared" si="373"/>
        <v>0</v>
      </c>
      <c r="CK536" s="2031">
        <f t="shared" si="373"/>
        <v>0</v>
      </c>
      <c r="CL536" s="2026">
        <v>1</v>
      </c>
      <c r="CM536" s="2026">
        <v>1</v>
      </c>
      <c r="CN536" s="2026">
        <v>1</v>
      </c>
      <c r="CO536" s="2026">
        <v>1</v>
      </c>
      <c r="CP536" s="2035"/>
      <c r="CQ536" s="2036"/>
      <c r="CR536" s="2036"/>
      <c r="CS536" s="2036"/>
      <c r="CT536" s="2036"/>
      <c r="CU536" s="2036"/>
      <c r="CV536" s="1973">
        <v>1</v>
      </c>
      <c r="CW536" s="1973">
        <v>0</v>
      </c>
      <c r="CX536" s="2037">
        <v>100</v>
      </c>
      <c r="CY536" s="2037">
        <v>100</v>
      </c>
      <c r="CZ536" s="2037">
        <v>100</v>
      </c>
      <c r="DA536" s="2037">
        <v>100</v>
      </c>
      <c r="DJ536" s="1976">
        <v>100</v>
      </c>
      <c r="DK536" s="1973">
        <v>100</v>
      </c>
      <c r="DL536" s="1973">
        <v>100</v>
      </c>
      <c r="DM536" s="1973">
        <v>100</v>
      </c>
      <c r="DO536" s="2146">
        <v>15</v>
      </c>
      <c r="DP536" s="2147">
        <v>699.67851672345012</v>
      </c>
      <c r="DQ536" s="2148">
        <v>0.17336011546413563</v>
      </c>
      <c r="DR536" s="2146">
        <v>0</v>
      </c>
      <c r="DS536" s="2046">
        <v>140</v>
      </c>
      <c r="DT536" s="2046">
        <v>140</v>
      </c>
      <c r="DU536" s="2046">
        <v>140</v>
      </c>
      <c r="DV536" s="2046">
        <v>140</v>
      </c>
      <c r="DW536" s="2046">
        <v>0</v>
      </c>
      <c r="DX536" s="2046">
        <v>0</v>
      </c>
      <c r="DY536" s="2046">
        <v>0</v>
      </c>
      <c r="DZ536" s="2046">
        <v>0</v>
      </c>
      <c r="EA536" s="2046">
        <v>195.14678713050651</v>
      </c>
      <c r="EB536" s="2046">
        <v>195.14678713050651</v>
      </c>
      <c r="EC536" s="2046">
        <v>195.14678713050651</v>
      </c>
      <c r="ED536" s="2046">
        <v>195.14678713050651</v>
      </c>
      <c r="EE536" s="2039">
        <f t="shared" si="356"/>
        <v>0</v>
      </c>
      <c r="EF536" s="2039">
        <f t="shared" si="356"/>
        <v>0</v>
      </c>
      <c r="EG536" s="2039">
        <f t="shared" si="356"/>
        <v>0</v>
      </c>
      <c r="EH536" s="2039">
        <f t="shared" si="355"/>
        <v>0</v>
      </c>
      <c r="EI536" s="2040">
        <f t="shared" si="333"/>
        <v>0</v>
      </c>
      <c r="EJ536" s="2040">
        <f t="shared" si="333"/>
        <v>0</v>
      </c>
      <c r="EK536" s="2040">
        <f t="shared" si="333"/>
        <v>0</v>
      </c>
      <c r="EL536" s="2040">
        <f t="shared" si="333"/>
        <v>0</v>
      </c>
      <c r="EM536" s="2040">
        <f t="shared" si="333"/>
        <v>0</v>
      </c>
      <c r="EN536" s="2040">
        <f t="shared" si="333"/>
        <v>0</v>
      </c>
      <c r="EO536" s="2040">
        <f t="shared" si="350"/>
        <v>0</v>
      </c>
      <c r="EP536" s="2040">
        <f t="shared" si="350"/>
        <v>0</v>
      </c>
      <c r="EQ536" s="2040">
        <f t="shared" si="350"/>
        <v>0</v>
      </c>
      <c r="ER536" s="2040">
        <f t="shared" si="350"/>
        <v>0</v>
      </c>
      <c r="ES536" s="2040">
        <f t="shared" si="350"/>
        <v>0</v>
      </c>
      <c r="ET536" s="2040">
        <f t="shared" si="350"/>
        <v>0</v>
      </c>
      <c r="EU536" s="2039">
        <f t="shared" si="357"/>
        <v>0</v>
      </c>
      <c r="EV536" s="2039">
        <f t="shared" si="358"/>
        <v>0</v>
      </c>
    </row>
    <row r="537" spans="1:152" x14ac:dyDescent="0.25">
      <c r="A537" s="2149" t="str">
        <f t="shared" si="361"/>
        <v>Tankless Gas Water Heater (Midstream)</v>
      </c>
      <c r="B537" s="1974" t="str">
        <f t="shared" si="361"/>
        <v>HVAC/Motor Midstream Pilot</v>
      </c>
      <c r="C537" s="2027">
        <f t="shared" si="360"/>
        <v>0</v>
      </c>
      <c r="D537" s="2144">
        <f t="shared" si="360"/>
        <v>0</v>
      </c>
      <c r="E537" s="2145">
        <f t="shared" si="360"/>
        <v>0</v>
      </c>
      <c r="F537" s="2027">
        <f t="shared" si="360"/>
        <v>0</v>
      </c>
      <c r="G537" s="1974" t="s">
        <v>2988</v>
      </c>
      <c r="H537" s="1974" t="s">
        <v>2988</v>
      </c>
      <c r="I537" s="2026">
        <v>0.9</v>
      </c>
      <c r="J537" s="2026">
        <v>0.9</v>
      </c>
      <c r="K537" s="2026">
        <v>0.9</v>
      </c>
      <c r="L537" s="2026">
        <v>0.9</v>
      </c>
      <c r="M537" s="2027">
        <f t="shared" si="374"/>
        <v>0</v>
      </c>
      <c r="N537" s="2027">
        <f t="shared" si="374"/>
        <v>0</v>
      </c>
      <c r="O537" s="2027">
        <f t="shared" si="374"/>
        <v>0</v>
      </c>
      <c r="P537" s="2027">
        <f t="shared" si="362"/>
        <v>0</v>
      </c>
      <c r="Q537" s="2026">
        <v>0.9</v>
      </c>
      <c r="R537" s="2026">
        <v>0.9</v>
      </c>
      <c r="S537" s="2026">
        <v>0.9</v>
      </c>
      <c r="T537" s="2026">
        <v>0.9</v>
      </c>
      <c r="U537" s="2028">
        <f t="shared" si="375"/>
        <v>0</v>
      </c>
      <c r="V537" s="2028">
        <f t="shared" si="375"/>
        <v>0</v>
      </c>
      <c r="W537" s="2028">
        <f t="shared" si="375"/>
        <v>0</v>
      </c>
      <c r="X537" s="2028">
        <f t="shared" si="363"/>
        <v>0</v>
      </c>
      <c r="Y537" s="2026">
        <v>0.9</v>
      </c>
      <c r="Z537" s="2026">
        <v>0.9</v>
      </c>
      <c r="AA537" s="2026">
        <v>0.9</v>
      </c>
      <c r="AB537" s="2026">
        <v>0.9</v>
      </c>
      <c r="AC537" s="2027">
        <f t="shared" si="376"/>
        <v>0</v>
      </c>
      <c r="AD537" s="2027">
        <f t="shared" si="376"/>
        <v>0</v>
      </c>
      <c r="AE537" s="2027">
        <f t="shared" si="376"/>
        <v>0</v>
      </c>
      <c r="AF537" s="2027">
        <f t="shared" si="364"/>
        <v>0</v>
      </c>
      <c r="AG537" s="2027">
        <v>0</v>
      </c>
      <c r="AH537" s="2028"/>
      <c r="AI537" s="2028"/>
      <c r="AJ537" s="2028"/>
      <c r="AK537" s="2027">
        <f t="shared" si="365"/>
        <v>0</v>
      </c>
      <c r="AL537" s="2027">
        <f t="shared" si="366"/>
        <v>0</v>
      </c>
      <c r="AM537" s="2027">
        <f t="shared" si="366"/>
        <v>0</v>
      </c>
      <c r="AN537" s="2027">
        <f t="shared" si="366"/>
        <v>0</v>
      </c>
      <c r="AO537" s="2027">
        <f t="shared" si="377"/>
        <v>0</v>
      </c>
      <c r="AP537" s="2027">
        <f t="shared" si="367"/>
        <v>0</v>
      </c>
      <c r="AQ537" s="2027">
        <f t="shared" si="367"/>
        <v>0</v>
      </c>
      <c r="AR537" s="2027">
        <f t="shared" si="367"/>
        <v>0</v>
      </c>
      <c r="AS537" s="2124">
        <f t="shared" ref="AS537:AS542" si="382">AS76*1.5</f>
        <v>0</v>
      </c>
      <c r="AT537" s="2029">
        <f t="shared" si="368"/>
        <v>0</v>
      </c>
      <c r="AU537" s="2029">
        <f t="shared" si="368"/>
        <v>0</v>
      </c>
      <c r="AV537" s="2029">
        <f t="shared" si="368"/>
        <v>0</v>
      </c>
      <c r="AW537" s="2124">
        <f t="shared" si="369"/>
        <v>0</v>
      </c>
      <c r="AX537" s="2029">
        <f t="shared" si="335"/>
        <v>0</v>
      </c>
      <c r="AY537" s="2029">
        <f t="shared" si="335"/>
        <v>0</v>
      </c>
      <c r="AZ537" s="2029">
        <f t="shared" si="335"/>
        <v>0</v>
      </c>
      <c r="BA537" s="2124">
        <f t="shared" si="380"/>
        <v>0</v>
      </c>
      <c r="BB537" s="2029">
        <f t="shared" si="380"/>
        <v>0</v>
      </c>
      <c r="BC537" s="2029">
        <f t="shared" si="380"/>
        <v>0</v>
      </c>
      <c r="BD537" s="2029">
        <f t="shared" si="380"/>
        <v>0</v>
      </c>
      <c r="BE537" s="2030">
        <f t="shared" si="378"/>
        <v>0</v>
      </c>
      <c r="BF537" s="2030">
        <f t="shared" si="378"/>
        <v>0</v>
      </c>
      <c r="BG537" s="2030">
        <f t="shared" si="378"/>
        <v>0</v>
      </c>
      <c r="BH537" s="2030">
        <f t="shared" si="370"/>
        <v>0</v>
      </c>
      <c r="BI537" s="2030">
        <f t="shared" si="379"/>
        <v>0</v>
      </c>
      <c r="BJ537" s="2030">
        <f t="shared" si="379"/>
        <v>0</v>
      </c>
      <c r="BK537" s="2030">
        <f t="shared" si="379"/>
        <v>0</v>
      </c>
      <c r="BL537" s="2030">
        <f t="shared" si="371"/>
        <v>0</v>
      </c>
      <c r="BM537" s="2125"/>
      <c r="BN537" s="2125"/>
      <c r="BO537" s="2125"/>
      <c r="BP537" s="2125"/>
      <c r="BQ537" s="2125"/>
      <c r="BR537" s="2125"/>
      <c r="BS537" s="2125"/>
      <c r="BT537" s="2125"/>
      <c r="BU537" s="2029"/>
      <c r="BV537" s="2029"/>
      <c r="BW537" s="2029"/>
      <c r="BX537" s="2029"/>
      <c r="BY537" s="2029"/>
      <c r="BZ537" s="2032"/>
      <c r="CA537" s="1974">
        <f t="shared" si="372"/>
        <v>0</v>
      </c>
      <c r="CB537" s="1974">
        <f t="shared" si="372"/>
        <v>0</v>
      </c>
      <c r="CC537" s="1974">
        <f t="shared" si="372"/>
        <v>0</v>
      </c>
      <c r="CD537" s="1974">
        <f t="shared" si="372"/>
        <v>0</v>
      </c>
      <c r="CE537" s="1974">
        <f t="shared" si="372"/>
        <v>0</v>
      </c>
      <c r="CF537" s="2033">
        <v>0</v>
      </c>
      <c r="CG537" s="2026">
        <v>0</v>
      </c>
      <c r="CH537" s="2009">
        <f t="shared" si="373"/>
        <v>1</v>
      </c>
      <c r="CI537" s="2031">
        <f t="shared" si="373"/>
        <v>0</v>
      </c>
      <c r="CJ537" s="1974">
        <f t="shared" si="373"/>
        <v>100</v>
      </c>
      <c r="CK537" s="2031">
        <f t="shared" si="373"/>
        <v>100</v>
      </c>
      <c r="CL537" s="2026">
        <v>1</v>
      </c>
      <c r="CM537" s="2026">
        <v>1</v>
      </c>
      <c r="CN537" s="2026">
        <v>1</v>
      </c>
      <c r="CO537" s="2026">
        <v>1</v>
      </c>
      <c r="CP537" s="2035"/>
      <c r="CQ537" s="2036"/>
      <c r="CR537" s="2036"/>
      <c r="CS537" s="2036"/>
      <c r="CT537" s="2036"/>
      <c r="CU537" s="2036"/>
      <c r="CV537" s="1973">
        <v>1</v>
      </c>
      <c r="CW537" s="1973">
        <v>2</v>
      </c>
      <c r="CX537" s="2037">
        <v>0</v>
      </c>
      <c r="CY537" s="2037">
        <v>0</v>
      </c>
      <c r="CZ537" s="2037">
        <v>0</v>
      </c>
      <c r="DA537" s="2037">
        <v>0</v>
      </c>
      <c r="DJ537" s="1976">
        <v>0</v>
      </c>
      <c r="DK537" s="1973">
        <v>0</v>
      </c>
      <c r="DL537" s="1973">
        <v>0</v>
      </c>
      <c r="DM537" s="1973">
        <v>0</v>
      </c>
      <c r="DO537" s="2027">
        <v>0</v>
      </c>
      <c r="DP537" s="2144">
        <v>0</v>
      </c>
      <c r="DQ537" s="2145">
        <v>0</v>
      </c>
      <c r="DR537" s="2027">
        <v>0</v>
      </c>
      <c r="DS537" s="2124">
        <v>0</v>
      </c>
      <c r="DT537" s="2029">
        <v>0</v>
      </c>
      <c r="DU537" s="2029">
        <v>0</v>
      </c>
      <c r="DV537" s="2029">
        <v>0</v>
      </c>
      <c r="DW537" s="2124">
        <v>0</v>
      </c>
      <c r="DX537" s="2029">
        <v>0</v>
      </c>
      <c r="DY537" s="2029">
        <v>0</v>
      </c>
      <c r="DZ537" s="2029">
        <v>0</v>
      </c>
      <c r="EA537" s="2124">
        <v>0</v>
      </c>
      <c r="EB537" s="2029">
        <v>0</v>
      </c>
      <c r="EC537" s="2029">
        <v>0</v>
      </c>
      <c r="ED537" s="2029">
        <v>0</v>
      </c>
      <c r="EE537" s="2039">
        <f t="shared" si="356"/>
        <v>0</v>
      </c>
      <c r="EF537" s="2039">
        <f t="shared" si="356"/>
        <v>0</v>
      </c>
      <c r="EG537" s="2039">
        <f t="shared" si="356"/>
        <v>0</v>
      </c>
      <c r="EH537" s="2039">
        <f t="shared" si="355"/>
        <v>0</v>
      </c>
      <c r="EI537" s="2040">
        <f t="shared" si="333"/>
        <v>0</v>
      </c>
      <c r="EJ537" s="2040">
        <f t="shared" si="333"/>
        <v>0</v>
      </c>
      <c r="EK537" s="2040">
        <f t="shared" si="333"/>
        <v>0</v>
      </c>
      <c r="EL537" s="2040">
        <f t="shared" si="333"/>
        <v>0</v>
      </c>
      <c r="EM537" s="2040">
        <f t="shared" si="333"/>
        <v>0</v>
      </c>
      <c r="EN537" s="2040">
        <f t="shared" si="333"/>
        <v>0</v>
      </c>
      <c r="EO537" s="2040">
        <f t="shared" si="350"/>
        <v>0</v>
      </c>
      <c r="EP537" s="2040">
        <f t="shared" si="350"/>
        <v>0</v>
      </c>
      <c r="EQ537" s="2040">
        <f t="shared" si="350"/>
        <v>0</v>
      </c>
      <c r="ER537" s="2040">
        <f t="shared" si="350"/>
        <v>0</v>
      </c>
      <c r="ES537" s="2040">
        <f t="shared" si="350"/>
        <v>0</v>
      </c>
      <c r="ET537" s="2040">
        <f t="shared" si="350"/>
        <v>0</v>
      </c>
      <c r="EU537" s="2039">
        <f t="shared" si="357"/>
        <v>0</v>
      </c>
      <c r="EV537" s="2039">
        <f t="shared" si="358"/>
        <v>0</v>
      </c>
    </row>
    <row r="538" spans="1:152" x14ac:dyDescent="0.25">
      <c r="A538" s="2149" t="str">
        <f t="shared" si="361"/>
        <v>Tanked Gas Water Heater (Midstream)</v>
      </c>
      <c r="B538" s="1974" t="str">
        <f t="shared" si="361"/>
        <v>HVAC/Motor Midstream Pilot</v>
      </c>
      <c r="C538" s="2027">
        <f t="shared" si="360"/>
        <v>0</v>
      </c>
      <c r="D538" s="2144">
        <f t="shared" si="360"/>
        <v>0</v>
      </c>
      <c r="E538" s="2145">
        <f t="shared" si="360"/>
        <v>0</v>
      </c>
      <c r="F538" s="2027">
        <f t="shared" si="360"/>
        <v>0</v>
      </c>
      <c r="G538" s="1974" t="s">
        <v>2988</v>
      </c>
      <c r="H538" s="1974" t="s">
        <v>2988</v>
      </c>
      <c r="I538" s="2026">
        <v>0.9</v>
      </c>
      <c r="J538" s="2026">
        <v>0.9</v>
      </c>
      <c r="K538" s="2026">
        <v>0.9</v>
      </c>
      <c r="L538" s="2026">
        <v>0.9</v>
      </c>
      <c r="M538" s="2027">
        <f t="shared" si="374"/>
        <v>0</v>
      </c>
      <c r="N538" s="2027">
        <f t="shared" si="374"/>
        <v>0</v>
      </c>
      <c r="O538" s="2027">
        <f t="shared" si="374"/>
        <v>0</v>
      </c>
      <c r="P538" s="2027">
        <f t="shared" si="362"/>
        <v>0</v>
      </c>
      <c r="Q538" s="2026">
        <v>0.9</v>
      </c>
      <c r="R538" s="2026">
        <v>0.9</v>
      </c>
      <c r="S538" s="2026">
        <v>0.9</v>
      </c>
      <c r="T538" s="2026">
        <v>0.9</v>
      </c>
      <c r="U538" s="2028">
        <f t="shared" si="375"/>
        <v>0</v>
      </c>
      <c r="V538" s="2028">
        <f t="shared" si="375"/>
        <v>0</v>
      </c>
      <c r="W538" s="2028">
        <f t="shared" si="375"/>
        <v>0</v>
      </c>
      <c r="X538" s="2028">
        <f t="shared" si="363"/>
        <v>0</v>
      </c>
      <c r="Y538" s="2026">
        <v>0.9</v>
      </c>
      <c r="Z538" s="2026">
        <v>0.9</v>
      </c>
      <c r="AA538" s="2026">
        <v>0.9</v>
      </c>
      <c r="AB538" s="2026">
        <v>0.9</v>
      </c>
      <c r="AC538" s="2027">
        <f t="shared" si="376"/>
        <v>0</v>
      </c>
      <c r="AD538" s="2027">
        <f t="shared" si="376"/>
        <v>0</v>
      </c>
      <c r="AE538" s="2027">
        <f t="shared" si="376"/>
        <v>0</v>
      </c>
      <c r="AF538" s="2027">
        <f t="shared" si="364"/>
        <v>0</v>
      </c>
      <c r="AG538" s="2027">
        <v>0</v>
      </c>
      <c r="AH538" s="2028"/>
      <c r="AI538" s="2028"/>
      <c r="AJ538" s="2028"/>
      <c r="AK538" s="2027">
        <f t="shared" si="365"/>
        <v>0</v>
      </c>
      <c r="AL538" s="2027">
        <f t="shared" si="366"/>
        <v>0</v>
      </c>
      <c r="AM538" s="2027">
        <f t="shared" si="366"/>
        <v>0</v>
      </c>
      <c r="AN538" s="2027">
        <f t="shared" si="366"/>
        <v>0</v>
      </c>
      <c r="AO538" s="2027">
        <f t="shared" si="377"/>
        <v>0</v>
      </c>
      <c r="AP538" s="2027">
        <f t="shared" si="367"/>
        <v>0</v>
      </c>
      <c r="AQ538" s="2027">
        <f t="shared" si="367"/>
        <v>0</v>
      </c>
      <c r="AR538" s="2027">
        <f t="shared" si="367"/>
        <v>0</v>
      </c>
      <c r="AS538" s="2124">
        <f t="shared" si="382"/>
        <v>0</v>
      </c>
      <c r="AT538" s="2029">
        <f t="shared" si="368"/>
        <v>0</v>
      </c>
      <c r="AU538" s="2029">
        <f t="shared" si="368"/>
        <v>0</v>
      </c>
      <c r="AV538" s="2029">
        <f t="shared" si="368"/>
        <v>0</v>
      </c>
      <c r="AW538" s="2124">
        <f t="shared" si="369"/>
        <v>0</v>
      </c>
      <c r="AX538" s="2029">
        <f t="shared" si="335"/>
        <v>0</v>
      </c>
      <c r="AY538" s="2029">
        <f t="shared" si="335"/>
        <v>0</v>
      </c>
      <c r="AZ538" s="2029">
        <f t="shared" si="335"/>
        <v>0</v>
      </c>
      <c r="BA538" s="2124">
        <f t="shared" si="380"/>
        <v>0</v>
      </c>
      <c r="BB538" s="2029">
        <f t="shared" si="380"/>
        <v>0</v>
      </c>
      <c r="BC538" s="2029">
        <f t="shared" si="380"/>
        <v>0</v>
      </c>
      <c r="BD538" s="2029">
        <f t="shared" si="380"/>
        <v>0</v>
      </c>
      <c r="BE538" s="2030">
        <f t="shared" si="378"/>
        <v>0</v>
      </c>
      <c r="BF538" s="2030">
        <f t="shared" si="378"/>
        <v>0</v>
      </c>
      <c r="BG538" s="2030">
        <f t="shared" si="378"/>
        <v>0</v>
      </c>
      <c r="BH538" s="2030">
        <f t="shared" si="370"/>
        <v>0</v>
      </c>
      <c r="BI538" s="2030">
        <f t="shared" si="379"/>
        <v>0</v>
      </c>
      <c r="BJ538" s="2030">
        <f t="shared" si="379"/>
        <v>0</v>
      </c>
      <c r="BK538" s="2030">
        <f t="shared" si="379"/>
        <v>0</v>
      </c>
      <c r="BL538" s="2030">
        <f t="shared" si="371"/>
        <v>0</v>
      </c>
      <c r="BM538" s="2125"/>
      <c r="BN538" s="2125"/>
      <c r="BO538" s="2125"/>
      <c r="BP538" s="2125"/>
      <c r="BQ538" s="2125"/>
      <c r="BR538" s="2125"/>
      <c r="BS538" s="2125"/>
      <c r="BT538" s="2125"/>
      <c r="BU538" s="2029"/>
      <c r="BV538" s="2029"/>
      <c r="BW538" s="2029"/>
      <c r="BX538" s="2029"/>
      <c r="BY538" s="2029"/>
      <c r="BZ538" s="2032"/>
      <c r="CA538" s="1974">
        <f t="shared" si="372"/>
        <v>0</v>
      </c>
      <c r="CB538" s="1974">
        <f t="shared" si="372"/>
        <v>0</v>
      </c>
      <c r="CC538" s="1974">
        <f t="shared" si="372"/>
        <v>0</v>
      </c>
      <c r="CD538" s="1974">
        <f t="shared" si="372"/>
        <v>0</v>
      </c>
      <c r="CE538" s="1974">
        <f t="shared" si="372"/>
        <v>0</v>
      </c>
      <c r="CF538" s="2033">
        <v>0</v>
      </c>
      <c r="CG538" s="2026">
        <v>0</v>
      </c>
      <c r="CH538" s="2009">
        <f t="shared" si="373"/>
        <v>0</v>
      </c>
      <c r="CI538" s="2031">
        <f t="shared" si="373"/>
        <v>0</v>
      </c>
      <c r="CJ538" s="1974">
        <f t="shared" si="373"/>
        <v>0</v>
      </c>
      <c r="CK538" s="2031">
        <f t="shared" si="373"/>
        <v>0</v>
      </c>
      <c r="CL538" s="2026">
        <v>1</v>
      </c>
      <c r="CM538" s="2026">
        <v>1</v>
      </c>
      <c r="CN538" s="2026">
        <v>1</v>
      </c>
      <c r="CO538" s="2026">
        <v>1</v>
      </c>
      <c r="CP538" s="2035"/>
      <c r="CQ538" s="2036"/>
      <c r="CR538" s="2036"/>
      <c r="CS538" s="2036"/>
      <c r="CT538" s="2036"/>
      <c r="CU538" s="2036"/>
      <c r="CV538" s="1973">
        <v>1</v>
      </c>
      <c r="CW538" s="1973">
        <v>2</v>
      </c>
      <c r="CX538" s="2037">
        <v>0</v>
      </c>
      <c r="CY538" s="2037">
        <v>0</v>
      </c>
      <c r="CZ538" s="2037">
        <v>0</v>
      </c>
      <c r="DA538" s="2037">
        <v>0</v>
      </c>
      <c r="DJ538" s="1976">
        <v>0</v>
      </c>
      <c r="DK538" s="1973">
        <v>0</v>
      </c>
      <c r="DL538" s="1973">
        <v>0</v>
      </c>
      <c r="DM538" s="1973">
        <v>0</v>
      </c>
      <c r="DO538" s="2027">
        <v>0</v>
      </c>
      <c r="DP538" s="2144">
        <v>0</v>
      </c>
      <c r="DQ538" s="2145">
        <v>0</v>
      </c>
      <c r="DR538" s="2027">
        <v>0</v>
      </c>
      <c r="DS538" s="2124">
        <v>0</v>
      </c>
      <c r="DT538" s="2029">
        <v>0</v>
      </c>
      <c r="DU538" s="2029">
        <v>0</v>
      </c>
      <c r="DV538" s="2029">
        <v>0</v>
      </c>
      <c r="DW538" s="2124">
        <v>0</v>
      </c>
      <c r="DX538" s="2029">
        <v>0</v>
      </c>
      <c r="DY538" s="2029">
        <v>0</v>
      </c>
      <c r="DZ538" s="2029">
        <v>0</v>
      </c>
      <c r="EA538" s="2124">
        <v>0</v>
      </c>
      <c r="EB538" s="2029">
        <v>0</v>
      </c>
      <c r="EC538" s="2029">
        <v>0</v>
      </c>
      <c r="ED538" s="2029">
        <v>0</v>
      </c>
      <c r="EE538" s="2039">
        <f t="shared" si="356"/>
        <v>0</v>
      </c>
      <c r="EF538" s="2039">
        <f t="shared" si="356"/>
        <v>0</v>
      </c>
      <c r="EG538" s="2039">
        <f t="shared" si="356"/>
        <v>0</v>
      </c>
      <c r="EH538" s="2039">
        <f t="shared" si="355"/>
        <v>0</v>
      </c>
      <c r="EI538" s="2040">
        <f t="shared" si="333"/>
        <v>0</v>
      </c>
      <c r="EJ538" s="2040">
        <f t="shared" si="333"/>
        <v>0</v>
      </c>
      <c r="EK538" s="2040">
        <f t="shared" si="333"/>
        <v>0</v>
      </c>
      <c r="EL538" s="2040">
        <f t="shared" si="333"/>
        <v>0</v>
      </c>
      <c r="EM538" s="2040">
        <f t="shared" si="333"/>
        <v>0</v>
      </c>
      <c r="EN538" s="2040">
        <f t="shared" si="333"/>
        <v>0</v>
      </c>
      <c r="EO538" s="2040">
        <f t="shared" si="350"/>
        <v>0</v>
      </c>
      <c r="EP538" s="2040">
        <f t="shared" si="350"/>
        <v>0</v>
      </c>
      <c r="EQ538" s="2040">
        <f t="shared" si="350"/>
        <v>0</v>
      </c>
      <c r="ER538" s="2040">
        <f t="shared" si="350"/>
        <v>0</v>
      </c>
      <c r="ES538" s="2040">
        <f t="shared" si="350"/>
        <v>0</v>
      </c>
      <c r="ET538" s="2040">
        <f t="shared" si="350"/>
        <v>0</v>
      </c>
      <c r="EU538" s="2039">
        <f t="shared" si="357"/>
        <v>0</v>
      </c>
      <c r="EV538" s="2039">
        <f t="shared" si="358"/>
        <v>0</v>
      </c>
    </row>
    <row r="539" spans="1:152" x14ac:dyDescent="0.25">
      <c r="A539" s="2149" t="str">
        <f t="shared" si="361"/>
        <v/>
      </c>
      <c r="B539" s="1974" t="str">
        <f t="shared" si="361"/>
        <v>HVAC/Motor Midstream Pilot</v>
      </c>
      <c r="C539" s="2027">
        <f t="shared" si="360"/>
        <v>0</v>
      </c>
      <c r="D539" s="2144">
        <f t="shared" si="360"/>
        <v>0</v>
      </c>
      <c r="E539" s="2145">
        <f t="shared" si="360"/>
        <v>0</v>
      </c>
      <c r="F539" s="2027">
        <f t="shared" si="360"/>
        <v>0</v>
      </c>
      <c r="G539" s="1974" t="s">
        <v>2988</v>
      </c>
      <c r="H539" s="1974" t="s">
        <v>2988</v>
      </c>
      <c r="I539" s="2026">
        <v>0.9</v>
      </c>
      <c r="J539" s="2026">
        <v>0.9</v>
      </c>
      <c r="K539" s="2026">
        <v>0.9</v>
      </c>
      <c r="L539" s="2026">
        <v>0.9</v>
      </c>
      <c r="M539" s="2027">
        <f t="shared" si="374"/>
        <v>0</v>
      </c>
      <c r="N539" s="2027">
        <f t="shared" si="374"/>
        <v>0</v>
      </c>
      <c r="O539" s="2027">
        <f t="shared" si="374"/>
        <v>0</v>
      </c>
      <c r="P539" s="2027">
        <f t="shared" si="362"/>
        <v>0</v>
      </c>
      <c r="Q539" s="2026">
        <v>0.9</v>
      </c>
      <c r="R539" s="2026">
        <v>0.9</v>
      </c>
      <c r="S539" s="2026">
        <v>0.9</v>
      </c>
      <c r="T539" s="2026">
        <v>0.9</v>
      </c>
      <c r="U539" s="2028">
        <f t="shared" si="375"/>
        <v>0</v>
      </c>
      <c r="V539" s="2028">
        <f t="shared" si="375"/>
        <v>0</v>
      </c>
      <c r="W539" s="2028">
        <f t="shared" si="375"/>
        <v>0</v>
      </c>
      <c r="X539" s="2028">
        <f t="shared" si="363"/>
        <v>0</v>
      </c>
      <c r="Y539" s="2026">
        <v>0.9</v>
      </c>
      <c r="Z539" s="2026">
        <v>0.9</v>
      </c>
      <c r="AA539" s="2026">
        <v>0.9</v>
      </c>
      <c r="AB539" s="2026">
        <v>0.9</v>
      </c>
      <c r="AC539" s="2027">
        <f t="shared" si="376"/>
        <v>0</v>
      </c>
      <c r="AD539" s="2027">
        <f t="shared" si="376"/>
        <v>0</v>
      </c>
      <c r="AE539" s="2027">
        <f t="shared" si="376"/>
        <v>0</v>
      </c>
      <c r="AF539" s="2027">
        <f t="shared" si="364"/>
        <v>0</v>
      </c>
      <c r="AG539" s="2027"/>
      <c r="AH539" s="2028"/>
      <c r="AI539" s="2028"/>
      <c r="AJ539" s="2028"/>
      <c r="AK539" s="2027">
        <f t="shared" si="365"/>
        <v>0</v>
      </c>
      <c r="AL539" s="2027">
        <f t="shared" si="366"/>
        <v>0</v>
      </c>
      <c r="AM539" s="2027">
        <f t="shared" si="366"/>
        <v>0</v>
      </c>
      <c r="AN539" s="2027">
        <f t="shared" si="366"/>
        <v>0</v>
      </c>
      <c r="AO539" s="2027">
        <f t="shared" si="377"/>
        <v>0</v>
      </c>
      <c r="AP539" s="2027">
        <f t="shared" si="367"/>
        <v>0</v>
      </c>
      <c r="AQ539" s="2027">
        <f t="shared" si="367"/>
        <v>0</v>
      </c>
      <c r="AR539" s="2027">
        <f t="shared" si="367"/>
        <v>0</v>
      </c>
      <c r="AS539" s="2124">
        <f t="shared" si="382"/>
        <v>0</v>
      </c>
      <c r="AT539" s="2029">
        <f t="shared" si="368"/>
        <v>0</v>
      </c>
      <c r="AU539" s="2029">
        <f t="shared" si="368"/>
        <v>0</v>
      </c>
      <c r="AV539" s="2029">
        <f t="shared" si="368"/>
        <v>0</v>
      </c>
      <c r="AW539" s="2124">
        <f t="shared" si="369"/>
        <v>0</v>
      </c>
      <c r="AX539" s="2029">
        <f t="shared" si="335"/>
        <v>0</v>
      </c>
      <c r="AY539" s="2029">
        <f t="shared" si="335"/>
        <v>0</v>
      </c>
      <c r="AZ539" s="2029">
        <f t="shared" si="335"/>
        <v>0</v>
      </c>
      <c r="BA539" s="2124">
        <f t="shared" si="380"/>
        <v>0</v>
      </c>
      <c r="BB539" s="2029">
        <f t="shared" si="380"/>
        <v>0</v>
      </c>
      <c r="BC539" s="2029">
        <f t="shared" si="380"/>
        <v>0</v>
      </c>
      <c r="BD539" s="2029">
        <f t="shared" si="380"/>
        <v>0</v>
      </c>
      <c r="BE539" s="2030">
        <f t="shared" si="378"/>
        <v>0</v>
      </c>
      <c r="BF539" s="2030">
        <f t="shared" si="378"/>
        <v>0</v>
      </c>
      <c r="BG539" s="2030">
        <f t="shared" si="378"/>
        <v>0</v>
      </c>
      <c r="BH539" s="2030">
        <f t="shared" si="370"/>
        <v>0</v>
      </c>
      <c r="BI539" s="2030">
        <f t="shared" si="379"/>
        <v>0</v>
      </c>
      <c r="BJ539" s="2030">
        <f t="shared" si="379"/>
        <v>0</v>
      </c>
      <c r="BK539" s="2030">
        <f t="shared" si="379"/>
        <v>0</v>
      </c>
      <c r="BL539" s="2030">
        <f t="shared" si="371"/>
        <v>0</v>
      </c>
      <c r="BM539" s="2125"/>
      <c r="BN539" s="2125"/>
      <c r="BO539" s="2125"/>
      <c r="BP539" s="2125"/>
      <c r="BQ539" s="2125"/>
      <c r="BR539" s="2125"/>
      <c r="BS539" s="2125"/>
      <c r="BT539" s="2125"/>
      <c r="BU539" s="2029"/>
      <c r="BV539" s="2029"/>
      <c r="BW539" s="2029"/>
      <c r="BX539" s="2029"/>
      <c r="BY539" s="2029"/>
      <c r="BZ539" s="2032"/>
      <c r="CA539" s="1974">
        <f t="shared" si="372"/>
        <v>0</v>
      </c>
      <c r="CB539" s="1974">
        <f t="shared" si="372"/>
        <v>0</v>
      </c>
      <c r="CC539" s="1974">
        <f t="shared" si="372"/>
        <v>0</v>
      </c>
      <c r="CD539" s="1974">
        <f t="shared" si="372"/>
        <v>0</v>
      </c>
      <c r="CE539" s="1974">
        <f t="shared" si="372"/>
        <v>0</v>
      </c>
      <c r="CF539" s="2033">
        <v>0</v>
      </c>
      <c r="CG539" s="2026">
        <v>0</v>
      </c>
      <c r="CH539" s="2009">
        <f t="shared" si="373"/>
        <v>0</v>
      </c>
      <c r="CI539" s="2031">
        <f t="shared" si="373"/>
        <v>0</v>
      </c>
      <c r="CJ539" s="1974">
        <f t="shared" si="373"/>
        <v>0</v>
      </c>
      <c r="CK539" s="2031">
        <f t="shared" si="373"/>
        <v>0</v>
      </c>
      <c r="CL539" s="2026">
        <v>1</v>
      </c>
      <c r="CM539" s="2026">
        <v>1</v>
      </c>
      <c r="CN539" s="2026">
        <v>1</v>
      </c>
      <c r="CO539" s="2026">
        <v>1</v>
      </c>
      <c r="CP539" s="2035"/>
      <c r="CQ539" s="2036"/>
      <c r="CR539" s="2036"/>
      <c r="CS539" s="2036"/>
      <c r="CT539" s="2036"/>
      <c r="CU539" s="2036"/>
      <c r="CV539" s="1973">
        <v>1</v>
      </c>
      <c r="CW539" s="1973">
        <v>0</v>
      </c>
      <c r="CX539" s="2037">
        <v>0</v>
      </c>
      <c r="CY539" s="2037">
        <v>0</v>
      </c>
      <c r="CZ539" s="2037">
        <v>0</v>
      </c>
      <c r="DA539" s="2037">
        <v>0</v>
      </c>
      <c r="DJ539" s="1976">
        <v>0</v>
      </c>
      <c r="DK539" s="1973">
        <v>0</v>
      </c>
      <c r="DL539" s="1973">
        <v>0</v>
      </c>
      <c r="DM539" s="1973">
        <v>0</v>
      </c>
      <c r="DO539" s="2027">
        <v>0</v>
      </c>
      <c r="DP539" s="2144">
        <v>0</v>
      </c>
      <c r="DQ539" s="2145">
        <v>0</v>
      </c>
      <c r="DR539" s="2027">
        <v>0</v>
      </c>
      <c r="DS539" s="2124">
        <v>0</v>
      </c>
      <c r="DT539" s="2029">
        <v>0</v>
      </c>
      <c r="DU539" s="2029">
        <v>0</v>
      </c>
      <c r="DV539" s="2029">
        <v>0</v>
      </c>
      <c r="DW539" s="2124">
        <v>0</v>
      </c>
      <c r="DX539" s="2029">
        <v>0</v>
      </c>
      <c r="DY539" s="2029">
        <v>0</v>
      </c>
      <c r="DZ539" s="2029">
        <v>0</v>
      </c>
      <c r="EA539" s="2124">
        <v>0</v>
      </c>
      <c r="EB539" s="2029">
        <v>0</v>
      </c>
      <c r="EC539" s="2029">
        <v>0</v>
      </c>
      <c r="ED539" s="2029">
        <v>0</v>
      </c>
      <c r="EE539" s="2039">
        <f t="shared" si="356"/>
        <v>0</v>
      </c>
      <c r="EF539" s="2039">
        <f t="shared" si="356"/>
        <v>0</v>
      </c>
      <c r="EG539" s="2039">
        <f t="shared" si="356"/>
        <v>0</v>
      </c>
      <c r="EH539" s="2039">
        <f t="shared" si="355"/>
        <v>0</v>
      </c>
      <c r="EI539" s="2040">
        <f t="shared" si="333"/>
        <v>0</v>
      </c>
      <c r="EJ539" s="2040">
        <f t="shared" si="333"/>
        <v>0</v>
      </c>
      <c r="EK539" s="2040">
        <f t="shared" si="333"/>
        <v>0</v>
      </c>
      <c r="EL539" s="2040">
        <f t="shared" si="333"/>
        <v>0</v>
      </c>
      <c r="EM539" s="2040">
        <f t="shared" si="333"/>
        <v>0</v>
      </c>
      <c r="EN539" s="2040">
        <f t="shared" si="333"/>
        <v>0</v>
      </c>
      <c r="EO539" s="2040">
        <f t="shared" si="350"/>
        <v>0</v>
      </c>
      <c r="EP539" s="2040">
        <f t="shared" si="350"/>
        <v>0</v>
      </c>
      <c r="EQ539" s="2040">
        <f t="shared" si="350"/>
        <v>0</v>
      </c>
      <c r="ER539" s="2040">
        <f t="shared" si="350"/>
        <v>0</v>
      </c>
      <c r="ES539" s="2040">
        <f t="shared" si="350"/>
        <v>0</v>
      </c>
      <c r="ET539" s="2040">
        <f t="shared" si="350"/>
        <v>0</v>
      </c>
      <c r="EU539" s="2039">
        <f t="shared" si="357"/>
        <v>0</v>
      </c>
      <c r="EV539" s="2039">
        <f t="shared" si="358"/>
        <v>0</v>
      </c>
    </row>
    <row r="540" spans="1:152" x14ac:dyDescent="0.25">
      <c r="A540" s="2149" t="str">
        <f t="shared" si="361"/>
        <v/>
      </c>
      <c r="B540" s="1974" t="str">
        <f t="shared" si="361"/>
        <v/>
      </c>
      <c r="C540" s="2027">
        <f t="shared" si="360"/>
        <v>0</v>
      </c>
      <c r="D540" s="2144">
        <f t="shared" si="360"/>
        <v>0</v>
      </c>
      <c r="E540" s="2145">
        <f t="shared" si="360"/>
        <v>0</v>
      </c>
      <c r="F540" s="2027">
        <f t="shared" si="360"/>
        <v>0</v>
      </c>
      <c r="G540" s="1974" t="s">
        <v>2988</v>
      </c>
      <c r="H540" s="1974" t="s">
        <v>2988</v>
      </c>
      <c r="I540" s="2026">
        <v>0.9</v>
      </c>
      <c r="J540" s="2026">
        <v>0.9</v>
      </c>
      <c r="K540" s="2026">
        <v>0.9</v>
      </c>
      <c r="L540" s="2026">
        <v>0.9</v>
      </c>
      <c r="M540" s="2027">
        <f t="shared" si="374"/>
        <v>0</v>
      </c>
      <c r="N540" s="2027">
        <f t="shared" si="374"/>
        <v>0</v>
      </c>
      <c r="O540" s="2027">
        <f t="shared" si="374"/>
        <v>0</v>
      </c>
      <c r="P540" s="2027">
        <f t="shared" si="362"/>
        <v>0</v>
      </c>
      <c r="Q540" s="2026">
        <v>0.9</v>
      </c>
      <c r="R540" s="2026">
        <v>0.9</v>
      </c>
      <c r="S540" s="2026">
        <v>0.9</v>
      </c>
      <c r="T540" s="2026">
        <v>0.9</v>
      </c>
      <c r="U540" s="2028">
        <f t="shared" si="375"/>
        <v>0</v>
      </c>
      <c r="V540" s="2028">
        <f t="shared" si="375"/>
        <v>0</v>
      </c>
      <c r="W540" s="2028">
        <f t="shared" si="375"/>
        <v>0</v>
      </c>
      <c r="X540" s="2028">
        <f t="shared" si="363"/>
        <v>0</v>
      </c>
      <c r="Y540" s="2026">
        <v>0.9</v>
      </c>
      <c r="Z540" s="2026">
        <v>0.9</v>
      </c>
      <c r="AA540" s="2026">
        <v>0.9</v>
      </c>
      <c r="AB540" s="2026">
        <v>0.9</v>
      </c>
      <c r="AC540" s="2027">
        <f t="shared" si="376"/>
        <v>0</v>
      </c>
      <c r="AD540" s="2027">
        <f t="shared" si="376"/>
        <v>0</v>
      </c>
      <c r="AE540" s="2027">
        <f t="shared" si="376"/>
        <v>0</v>
      </c>
      <c r="AF540" s="2027">
        <f t="shared" si="364"/>
        <v>0</v>
      </c>
      <c r="AG540" s="2027"/>
      <c r="AH540" s="2028"/>
      <c r="AI540" s="2028"/>
      <c r="AJ540" s="2028"/>
      <c r="AK540" s="2027">
        <f t="shared" si="365"/>
        <v>0</v>
      </c>
      <c r="AL540" s="2027">
        <f t="shared" si="366"/>
        <v>0</v>
      </c>
      <c r="AM540" s="2027">
        <f t="shared" si="366"/>
        <v>0</v>
      </c>
      <c r="AN540" s="2027">
        <f t="shared" si="366"/>
        <v>0</v>
      </c>
      <c r="AO540" s="2027">
        <f t="shared" si="377"/>
        <v>0</v>
      </c>
      <c r="AP540" s="2027">
        <f t="shared" si="367"/>
        <v>0</v>
      </c>
      <c r="AQ540" s="2027">
        <f t="shared" si="367"/>
        <v>0</v>
      </c>
      <c r="AR540" s="2027">
        <f t="shared" si="367"/>
        <v>0</v>
      </c>
      <c r="AS540" s="2124">
        <f t="shared" si="382"/>
        <v>0</v>
      </c>
      <c r="AT540" s="2029">
        <f t="shared" si="368"/>
        <v>0</v>
      </c>
      <c r="AU540" s="2029">
        <f t="shared" si="368"/>
        <v>0</v>
      </c>
      <c r="AV540" s="2029">
        <f t="shared" si="368"/>
        <v>0</v>
      </c>
      <c r="AW540" s="2124">
        <f t="shared" si="369"/>
        <v>0</v>
      </c>
      <c r="AX540" s="2029">
        <f t="shared" si="335"/>
        <v>0</v>
      </c>
      <c r="AY540" s="2029">
        <f t="shared" si="335"/>
        <v>0</v>
      </c>
      <c r="AZ540" s="2029">
        <f t="shared" si="335"/>
        <v>0</v>
      </c>
      <c r="BA540" s="2124">
        <f t="shared" si="380"/>
        <v>0</v>
      </c>
      <c r="BB540" s="2029">
        <f t="shared" si="380"/>
        <v>0</v>
      </c>
      <c r="BC540" s="2029">
        <f t="shared" si="380"/>
        <v>0</v>
      </c>
      <c r="BD540" s="2029">
        <f t="shared" si="380"/>
        <v>0</v>
      </c>
      <c r="BE540" s="2030">
        <f t="shared" si="378"/>
        <v>0</v>
      </c>
      <c r="BF540" s="2030">
        <f t="shared" si="378"/>
        <v>0</v>
      </c>
      <c r="BG540" s="2030">
        <f t="shared" si="378"/>
        <v>0</v>
      </c>
      <c r="BH540" s="2030">
        <f t="shared" si="370"/>
        <v>0</v>
      </c>
      <c r="BI540" s="2030">
        <f t="shared" si="379"/>
        <v>0</v>
      </c>
      <c r="BJ540" s="2030">
        <f t="shared" si="379"/>
        <v>0</v>
      </c>
      <c r="BK540" s="2030">
        <f t="shared" si="379"/>
        <v>0</v>
      </c>
      <c r="BL540" s="2030">
        <f t="shared" si="371"/>
        <v>0</v>
      </c>
      <c r="BM540" s="2125"/>
      <c r="BN540" s="2125"/>
      <c r="BO540" s="2125"/>
      <c r="BP540" s="2125"/>
      <c r="BQ540" s="2125"/>
      <c r="BR540" s="2125"/>
      <c r="BS540" s="2125"/>
      <c r="BT540" s="2125"/>
      <c r="BU540" s="2029"/>
      <c r="BV540" s="2029"/>
      <c r="BW540" s="2029"/>
      <c r="BX540" s="2029"/>
      <c r="BY540" s="2029"/>
      <c r="BZ540" s="2032"/>
      <c r="CA540" s="1974">
        <f t="shared" si="372"/>
        <v>0</v>
      </c>
      <c r="CB540" s="1974">
        <f t="shared" si="372"/>
        <v>0</v>
      </c>
      <c r="CC540" s="1974">
        <f t="shared" si="372"/>
        <v>0</v>
      </c>
      <c r="CD540" s="1974">
        <f t="shared" si="372"/>
        <v>0</v>
      </c>
      <c r="CE540" s="1974">
        <f t="shared" si="372"/>
        <v>0</v>
      </c>
      <c r="CF540" s="2033">
        <v>0</v>
      </c>
      <c r="CG540" s="2026">
        <v>0</v>
      </c>
      <c r="CH540" s="2009">
        <f t="shared" si="373"/>
        <v>0</v>
      </c>
      <c r="CI540" s="2031">
        <f t="shared" si="373"/>
        <v>0</v>
      </c>
      <c r="CJ540" s="1974">
        <f t="shared" si="373"/>
        <v>0</v>
      </c>
      <c r="CK540" s="2031">
        <f t="shared" si="373"/>
        <v>0</v>
      </c>
      <c r="CL540" s="2026">
        <v>1</v>
      </c>
      <c r="CM540" s="2026">
        <v>1</v>
      </c>
      <c r="CN540" s="2026">
        <v>1</v>
      </c>
      <c r="CO540" s="2026">
        <v>1</v>
      </c>
      <c r="CP540" s="2035"/>
      <c r="CQ540" s="2036"/>
      <c r="CR540" s="2036"/>
      <c r="CS540" s="2036"/>
      <c r="CT540" s="2036"/>
      <c r="CU540" s="2036"/>
      <c r="CV540" s="1973">
        <v>1</v>
      </c>
      <c r="CW540" s="1973">
        <v>0</v>
      </c>
      <c r="CX540" s="2037">
        <v>0</v>
      </c>
      <c r="CY540" s="2037">
        <v>0</v>
      </c>
      <c r="CZ540" s="2037">
        <v>0</v>
      </c>
      <c r="DA540" s="2037">
        <v>0</v>
      </c>
      <c r="DJ540" s="1976">
        <v>0</v>
      </c>
      <c r="DK540" s="1973">
        <v>0</v>
      </c>
      <c r="DL540" s="1973">
        <v>0</v>
      </c>
      <c r="DM540" s="1973">
        <v>0</v>
      </c>
      <c r="DO540" s="2027">
        <v>0</v>
      </c>
      <c r="DP540" s="2144">
        <v>0</v>
      </c>
      <c r="DQ540" s="2145">
        <v>0</v>
      </c>
      <c r="DR540" s="2027">
        <v>0</v>
      </c>
      <c r="DS540" s="2124">
        <v>0</v>
      </c>
      <c r="DT540" s="2029">
        <v>0</v>
      </c>
      <c r="DU540" s="2029">
        <v>0</v>
      </c>
      <c r="DV540" s="2029">
        <v>0</v>
      </c>
      <c r="DW540" s="2124">
        <v>0</v>
      </c>
      <c r="DX540" s="2029">
        <v>0</v>
      </c>
      <c r="DY540" s="2029">
        <v>0</v>
      </c>
      <c r="DZ540" s="2029">
        <v>0</v>
      </c>
      <c r="EA540" s="2124">
        <v>0</v>
      </c>
      <c r="EB540" s="2029">
        <v>0</v>
      </c>
      <c r="EC540" s="2029">
        <v>0</v>
      </c>
      <c r="ED540" s="2029">
        <v>0</v>
      </c>
      <c r="EE540" s="2039">
        <f t="shared" si="356"/>
        <v>0</v>
      </c>
      <c r="EF540" s="2039">
        <f t="shared" si="356"/>
        <v>0</v>
      </c>
      <c r="EG540" s="2039">
        <f t="shared" si="356"/>
        <v>0</v>
      </c>
      <c r="EH540" s="2039">
        <f t="shared" si="355"/>
        <v>0</v>
      </c>
      <c r="EI540" s="2040">
        <f t="shared" si="333"/>
        <v>0</v>
      </c>
      <c r="EJ540" s="2040">
        <f t="shared" si="333"/>
        <v>0</v>
      </c>
      <c r="EK540" s="2040">
        <f t="shared" si="333"/>
        <v>0</v>
      </c>
      <c r="EL540" s="2040">
        <f t="shared" ref="EL540:EQ590" si="383">AV540-DV540</f>
        <v>0</v>
      </c>
      <c r="EM540" s="2040">
        <f t="shared" si="383"/>
        <v>0</v>
      </c>
      <c r="EN540" s="2040">
        <f t="shared" si="383"/>
        <v>0</v>
      </c>
      <c r="EO540" s="2040">
        <f t="shared" si="350"/>
        <v>0</v>
      </c>
      <c r="EP540" s="2040">
        <f t="shared" si="350"/>
        <v>0</v>
      </c>
      <c r="EQ540" s="2040">
        <f t="shared" si="350"/>
        <v>0</v>
      </c>
      <c r="ER540" s="2040">
        <f t="shared" si="350"/>
        <v>0</v>
      </c>
      <c r="ES540" s="2040">
        <f t="shared" si="350"/>
        <v>0</v>
      </c>
      <c r="ET540" s="2040">
        <f t="shared" si="350"/>
        <v>0</v>
      </c>
      <c r="EU540" s="2039">
        <f t="shared" si="357"/>
        <v>0</v>
      </c>
      <c r="EV540" s="2039">
        <f t="shared" si="358"/>
        <v>0</v>
      </c>
    </row>
    <row r="541" spans="1:152" x14ac:dyDescent="0.25">
      <c r="A541" s="2149" t="str">
        <f t="shared" si="361"/>
        <v/>
      </c>
      <c r="B541" s="1974" t="str">
        <f t="shared" si="361"/>
        <v/>
      </c>
      <c r="C541" s="2027">
        <f t="shared" ref="C541:F556" si="384">C80</f>
        <v>0</v>
      </c>
      <c r="D541" s="2144">
        <f t="shared" si="384"/>
        <v>0</v>
      </c>
      <c r="E541" s="2145">
        <f t="shared" si="384"/>
        <v>0</v>
      </c>
      <c r="F541" s="2027">
        <f t="shared" si="384"/>
        <v>0</v>
      </c>
      <c r="G541" s="1974" t="s">
        <v>2988</v>
      </c>
      <c r="H541" s="1974" t="s">
        <v>2988</v>
      </c>
      <c r="I541" s="2026">
        <v>0.9</v>
      </c>
      <c r="J541" s="2026">
        <v>0.9</v>
      </c>
      <c r="K541" s="2026">
        <v>0.9</v>
      </c>
      <c r="L541" s="2026">
        <v>0.9</v>
      </c>
      <c r="M541" s="2027">
        <f t="shared" si="374"/>
        <v>0</v>
      </c>
      <c r="N541" s="2027">
        <f t="shared" si="374"/>
        <v>0</v>
      </c>
      <c r="O541" s="2027">
        <f t="shared" si="374"/>
        <v>0</v>
      </c>
      <c r="P541" s="2027">
        <f t="shared" si="362"/>
        <v>0</v>
      </c>
      <c r="Q541" s="2026">
        <v>0.9</v>
      </c>
      <c r="R541" s="2026">
        <v>0.9</v>
      </c>
      <c r="S541" s="2026">
        <v>0.9</v>
      </c>
      <c r="T541" s="2026">
        <v>0.9</v>
      </c>
      <c r="U541" s="2028">
        <f t="shared" si="375"/>
        <v>0</v>
      </c>
      <c r="V541" s="2028">
        <f t="shared" si="375"/>
        <v>0</v>
      </c>
      <c r="W541" s="2028">
        <f t="shared" si="375"/>
        <v>0</v>
      </c>
      <c r="X541" s="2028">
        <f t="shared" si="363"/>
        <v>0</v>
      </c>
      <c r="Y541" s="2026">
        <v>0.9</v>
      </c>
      <c r="Z541" s="2026">
        <v>0.9</v>
      </c>
      <c r="AA541" s="2026">
        <v>0.9</v>
      </c>
      <c r="AB541" s="2026">
        <v>0.9</v>
      </c>
      <c r="AC541" s="2027">
        <f t="shared" si="376"/>
        <v>0</v>
      </c>
      <c r="AD541" s="2027">
        <f t="shared" si="376"/>
        <v>0</v>
      </c>
      <c r="AE541" s="2027">
        <f t="shared" si="376"/>
        <v>0</v>
      </c>
      <c r="AF541" s="2027">
        <f t="shared" si="364"/>
        <v>0</v>
      </c>
      <c r="AG541" s="2027"/>
      <c r="AH541" s="2028"/>
      <c r="AI541" s="2028"/>
      <c r="AJ541" s="2028"/>
      <c r="AK541" s="2027">
        <f t="shared" si="365"/>
        <v>0</v>
      </c>
      <c r="AL541" s="2027">
        <f t="shared" si="366"/>
        <v>0</v>
      </c>
      <c r="AM541" s="2027">
        <f t="shared" si="366"/>
        <v>0</v>
      </c>
      <c r="AN541" s="2027">
        <f t="shared" si="366"/>
        <v>0</v>
      </c>
      <c r="AO541" s="2027">
        <f t="shared" si="377"/>
        <v>0</v>
      </c>
      <c r="AP541" s="2027">
        <f t="shared" si="367"/>
        <v>0</v>
      </c>
      <c r="AQ541" s="2027">
        <f t="shared" si="367"/>
        <v>0</v>
      </c>
      <c r="AR541" s="2027">
        <f t="shared" si="367"/>
        <v>0</v>
      </c>
      <c r="AS541" s="2124">
        <f t="shared" si="382"/>
        <v>0</v>
      </c>
      <c r="AT541" s="2029">
        <f t="shared" si="368"/>
        <v>0</v>
      </c>
      <c r="AU541" s="2029">
        <f t="shared" si="368"/>
        <v>0</v>
      </c>
      <c r="AV541" s="2029">
        <f t="shared" si="368"/>
        <v>0</v>
      </c>
      <c r="AW541" s="2124">
        <f t="shared" si="369"/>
        <v>0</v>
      </c>
      <c r="AX541" s="2029">
        <f t="shared" si="335"/>
        <v>0</v>
      </c>
      <c r="AY541" s="2029">
        <f t="shared" si="335"/>
        <v>0</v>
      </c>
      <c r="AZ541" s="2029">
        <f t="shared" si="335"/>
        <v>0</v>
      </c>
      <c r="BA541" s="2124">
        <f t="shared" si="380"/>
        <v>0</v>
      </c>
      <c r="BB541" s="2029">
        <f t="shared" si="380"/>
        <v>0</v>
      </c>
      <c r="BC541" s="2029">
        <f t="shared" si="380"/>
        <v>0</v>
      </c>
      <c r="BD541" s="2029">
        <f t="shared" si="380"/>
        <v>0</v>
      </c>
      <c r="BE541" s="2030">
        <f t="shared" si="378"/>
        <v>0</v>
      </c>
      <c r="BF541" s="2030">
        <f t="shared" si="378"/>
        <v>0</v>
      </c>
      <c r="BG541" s="2030">
        <f t="shared" si="378"/>
        <v>0</v>
      </c>
      <c r="BH541" s="2030">
        <f t="shared" si="370"/>
        <v>0</v>
      </c>
      <c r="BI541" s="2030">
        <f t="shared" si="379"/>
        <v>0</v>
      </c>
      <c r="BJ541" s="2030">
        <f t="shared" si="379"/>
        <v>0</v>
      </c>
      <c r="BK541" s="2030">
        <f t="shared" si="379"/>
        <v>0</v>
      </c>
      <c r="BL541" s="2030">
        <f t="shared" si="371"/>
        <v>0</v>
      </c>
      <c r="BM541" s="2125"/>
      <c r="BN541" s="2125"/>
      <c r="BO541" s="2125"/>
      <c r="BP541" s="2125"/>
      <c r="BQ541" s="2125"/>
      <c r="BR541" s="2125"/>
      <c r="BS541" s="2125"/>
      <c r="BT541" s="2125"/>
      <c r="BU541" s="2029"/>
      <c r="BV541" s="2029"/>
      <c r="BW541" s="2029"/>
      <c r="BX541" s="2029"/>
      <c r="BY541" s="2029"/>
      <c r="BZ541" s="2032"/>
      <c r="CA541" s="1974">
        <f t="shared" si="372"/>
        <v>0</v>
      </c>
      <c r="CB541" s="1974">
        <f t="shared" si="372"/>
        <v>0</v>
      </c>
      <c r="CC541" s="1974">
        <f t="shared" si="372"/>
        <v>0</v>
      </c>
      <c r="CD541" s="1974">
        <f t="shared" si="372"/>
        <v>0</v>
      </c>
      <c r="CE541" s="1974">
        <f t="shared" si="372"/>
        <v>0</v>
      </c>
      <c r="CF541" s="2033">
        <v>0</v>
      </c>
      <c r="CG541" s="2026">
        <v>0</v>
      </c>
      <c r="CH541" s="2009">
        <f t="shared" si="373"/>
        <v>0</v>
      </c>
      <c r="CI541" s="2031">
        <f t="shared" si="373"/>
        <v>0</v>
      </c>
      <c r="CJ541" s="1974">
        <f t="shared" si="373"/>
        <v>0</v>
      </c>
      <c r="CK541" s="2031">
        <f t="shared" si="373"/>
        <v>0</v>
      </c>
      <c r="CL541" s="2026">
        <v>1</v>
      </c>
      <c r="CM541" s="2026">
        <v>1</v>
      </c>
      <c r="CN541" s="2026">
        <v>1</v>
      </c>
      <c r="CO541" s="2026">
        <v>1</v>
      </c>
      <c r="CP541" s="2035"/>
      <c r="CQ541" s="2036"/>
      <c r="CR541" s="2036"/>
      <c r="CS541" s="2036"/>
      <c r="CT541" s="2036"/>
      <c r="CU541" s="2036"/>
      <c r="CV541" s="1973">
        <v>1</v>
      </c>
      <c r="CW541" s="1973">
        <v>0</v>
      </c>
      <c r="CX541" s="2037">
        <v>0</v>
      </c>
      <c r="CY541" s="2037">
        <v>0</v>
      </c>
      <c r="CZ541" s="2037">
        <v>0</v>
      </c>
      <c r="DA541" s="2037">
        <v>0</v>
      </c>
      <c r="DJ541" s="1976">
        <v>0</v>
      </c>
      <c r="DK541" s="1973">
        <v>0</v>
      </c>
      <c r="DL541" s="1973">
        <v>0</v>
      </c>
      <c r="DM541" s="1973">
        <v>0</v>
      </c>
      <c r="DO541" s="2027">
        <v>0</v>
      </c>
      <c r="DP541" s="2144">
        <v>0</v>
      </c>
      <c r="DQ541" s="2145">
        <v>0</v>
      </c>
      <c r="DR541" s="2027">
        <v>0</v>
      </c>
      <c r="DS541" s="2124">
        <v>0</v>
      </c>
      <c r="DT541" s="2029">
        <v>0</v>
      </c>
      <c r="DU541" s="2029">
        <v>0</v>
      </c>
      <c r="DV541" s="2029">
        <v>0</v>
      </c>
      <c r="DW541" s="2124">
        <v>0</v>
      </c>
      <c r="DX541" s="2029">
        <v>0</v>
      </c>
      <c r="DY541" s="2029">
        <v>0</v>
      </c>
      <c r="DZ541" s="2029">
        <v>0</v>
      </c>
      <c r="EA541" s="2124">
        <v>0</v>
      </c>
      <c r="EB541" s="2029">
        <v>0</v>
      </c>
      <c r="EC541" s="2029">
        <v>0</v>
      </c>
      <c r="ED541" s="2029">
        <v>0</v>
      </c>
      <c r="EE541" s="2039">
        <f t="shared" si="356"/>
        <v>0</v>
      </c>
      <c r="EF541" s="2039">
        <f t="shared" si="356"/>
        <v>0</v>
      </c>
      <c r="EG541" s="2039">
        <f t="shared" si="356"/>
        <v>0</v>
      </c>
      <c r="EH541" s="2039">
        <f t="shared" si="355"/>
        <v>0</v>
      </c>
      <c r="EI541" s="2040">
        <f t="shared" ref="EI541:EN604" si="385">AS541-DS541</f>
        <v>0</v>
      </c>
      <c r="EJ541" s="2040">
        <f t="shared" si="385"/>
        <v>0</v>
      </c>
      <c r="EK541" s="2040">
        <f t="shared" si="385"/>
        <v>0</v>
      </c>
      <c r="EL541" s="2040">
        <f t="shared" si="383"/>
        <v>0</v>
      </c>
      <c r="EM541" s="2040">
        <f t="shared" si="383"/>
        <v>0</v>
      </c>
      <c r="EN541" s="2040">
        <f t="shared" si="383"/>
        <v>0</v>
      </c>
      <c r="EO541" s="2040">
        <f t="shared" si="350"/>
        <v>0</v>
      </c>
      <c r="EP541" s="2040">
        <f t="shared" si="350"/>
        <v>0</v>
      </c>
      <c r="EQ541" s="2040">
        <f t="shared" si="350"/>
        <v>0</v>
      </c>
      <c r="ER541" s="2040">
        <f t="shared" si="350"/>
        <v>0</v>
      </c>
      <c r="ES541" s="2040">
        <f t="shared" si="350"/>
        <v>0</v>
      </c>
      <c r="ET541" s="2040">
        <f t="shared" si="350"/>
        <v>0</v>
      </c>
      <c r="EU541" s="2039">
        <f t="shared" si="357"/>
        <v>0</v>
      </c>
      <c r="EV541" s="2039">
        <f t="shared" si="358"/>
        <v>0</v>
      </c>
    </row>
    <row r="542" spans="1:152" x14ac:dyDescent="0.25">
      <c r="A542" s="2149" t="str">
        <f t="shared" si="361"/>
        <v/>
      </c>
      <c r="B542" s="1974" t="str">
        <f t="shared" si="361"/>
        <v/>
      </c>
      <c r="C542" s="2027">
        <f t="shared" si="384"/>
        <v>0</v>
      </c>
      <c r="D542" s="2144">
        <f t="shared" si="384"/>
        <v>0</v>
      </c>
      <c r="E542" s="2145">
        <f t="shared" si="384"/>
        <v>0</v>
      </c>
      <c r="F542" s="2027">
        <f t="shared" si="384"/>
        <v>0</v>
      </c>
      <c r="G542" s="1974" t="s">
        <v>2988</v>
      </c>
      <c r="H542" s="1974" t="s">
        <v>2988</v>
      </c>
      <c r="I542" s="2026">
        <v>0.9</v>
      </c>
      <c r="J542" s="2026">
        <v>0.9</v>
      </c>
      <c r="K542" s="2026">
        <v>0.9</v>
      </c>
      <c r="L542" s="2026">
        <v>0.9</v>
      </c>
      <c r="M542" s="2027">
        <f t="shared" si="374"/>
        <v>0</v>
      </c>
      <c r="N542" s="2027">
        <f t="shared" si="374"/>
        <v>0</v>
      </c>
      <c r="O542" s="2027">
        <f t="shared" si="374"/>
        <v>0</v>
      </c>
      <c r="P542" s="2027">
        <f t="shared" si="362"/>
        <v>0</v>
      </c>
      <c r="Q542" s="2026">
        <v>0.9</v>
      </c>
      <c r="R542" s="2026">
        <v>0.9</v>
      </c>
      <c r="S542" s="2026">
        <v>0.9</v>
      </c>
      <c r="T542" s="2026">
        <v>0.9</v>
      </c>
      <c r="U542" s="2028">
        <f t="shared" si="375"/>
        <v>0</v>
      </c>
      <c r="V542" s="2028">
        <f t="shared" si="375"/>
        <v>0</v>
      </c>
      <c r="W542" s="2028">
        <f t="shared" si="375"/>
        <v>0</v>
      </c>
      <c r="X542" s="2028">
        <f t="shared" si="363"/>
        <v>0</v>
      </c>
      <c r="Y542" s="2026">
        <v>0.9</v>
      </c>
      <c r="Z542" s="2026">
        <v>0.9</v>
      </c>
      <c r="AA542" s="2026">
        <v>0.9</v>
      </c>
      <c r="AB542" s="2026">
        <v>0.9</v>
      </c>
      <c r="AC542" s="2027">
        <f t="shared" si="376"/>
        <v>0</v>
      </c>
      <c r="AD542" s="2027">
        <f t="shared" si="376"/>
        <v>0</v>
      </c>
      <c r="AE542" s="2027">
        <f t="shared" si="376"/>
        <v>0</v>
      </c>
      <c r="AF542" s="2027">
        <f t="shared" si="364"/>
        <v>0</v>
      </c>
      <c r="AG542" s="2027"/>
      <c r="AH542" s="2028"/>
      <c r="AI542" s="2028"/>
      <c r="AJ542" s="2028"/>
      <c r="AK542" s="2027">
        <f t="shared" si="365"/>
        <v>0</v>
      </c>
      <c r="AL542" s="2027">
        <f t="shared" si="366"/>
        <v>0</v>
      </c>
      <c r="AM542" s="2027">
        <f t="shared" si="366"/>
        <v>0</v>
      </c>
      <c r="AN542" s="2027">
        <f t="shared" si="366"/>
        <v>0</v>
      </c>
      <c r="AO542" s="2027">
        <f t="shared" si="377"/>
        <v>0</v>
      </c>
      <c r="AP542" s="2027">
        <f t="shared" si="367"/>
        <v>0</v>
      </c>
      <c r="AQ542" s="2027">
        <f t="shared" si="367"/>
        <v>0</v>
      </c>
      <c r="AR542" s="2027">
        <f t="shared" si="367"/>
        <v>0</v>
      </c>
      <c r="AS542" s="2124">
        <f t="shared" si="382"/>
        <v>0</v>
      </c>
      <c r="AT542" s="2029">
        <f t="shared" si="368"/>
        <v>0</v>
      </c>
      <c r="AU542" s="2029">
        <f t="shared" si="368"/>
        <v>0</v>
      </c>
      <c r="AV542" s="2029">
        <f t="shared" si="368"/>
        <v>0</v>
      </c>
      <c r="AW542" s="2124">
        <f t="shared" si="369"/>
        <v>0</v>
      </c>
      <c r="AX542" s="2029">
        <f t="shared" si="335"/>
        <v>0</v>
      </c>
      <c r="AY542" s="2029">
        <f t="shared" si="335"/>
        <v>0</v>
      </c>
      <c r="AZ542" s="2029">
        <f t="shared" si="335"/>
        <v>0</v>
      </c>
      <c r="BA542" s="2124">
        <f t="shared" si="380"/>
        <v>0</v>
      </c>
      <c r="BB542" s="2029">
        <f t="shared" si="380"/>
        <v>0</v>
      </c>
      <c r="BC542" s="2029">
        <f t="shared" si="380"/>
        <v>0</v>
      </c>
      <c r="BD542" s="2029">
        <f t="shared" si="380"/>
        <v>0</v>
      </c>
      <c r="BE542" s="2030">
        <f t="shared" si="378"/>
        <v>0</v>
      </c>
      <c r="BF542" s="2030">
        <f t="shared" si="378"/>
        <v>0</v>
      </c>
      <c r="BG542" s="2030">
        <f t="shared" si="378"/>
        <v>0</v>
      </c>
      <c r="BH542" s="2030">
        <f t="shared" si="370"/>
        <v>0</v>
      </c>
      <c r="BI542" s="2030">
        <f t="shared" si="379"/>
        <v>0</v>
      </c>
      <c r="BJ542" s="2030">
        <f t="shared" si="379"/>
        <v>0</v>
      </c>
      <c r="BK542" s="2030">
        <f t="shared" si="379"/>
        <v>0</v>
      </c>
      <c r="BL542" s="2030">
        <f t="shared" si="371"/>
        <v>0</v>
      </c>
      <c r="BM542" s="2125"/>
      <c r="BN542" s="2125"/>
      <c r="BO542" s="2125"/>
      <c r="BP542" s="2125"/>
      <c r="BQ542" s="2125"/>
      <c r="BR542" s="2125"/>
      <c r="BS542" s="2125"/>
      <c r="BT542" s="2125"/>
      <c r="BU542" s="2029"/>
      <c r="BV542" s="2029"/>
      <c r="BW542" s="2029"/>
      <c r="BX542" s="2029"/>
      <c r="BY542" s="2029"/>
      <c r="BZ542" s="2032"/>
      <c r="CA542" s="1974">
        <f t="shared" si="372"/>
        <v>0</v>
      </c>
      <c r="CB542" s="1974">
        <f t="shared" si="372"/>
        <v>0</v>
      </c>
      <c r="CC542" s="1974">
        <f t="shared" si="372"/>
        <v>0</v>
      </c>
      <c r="CD542" s="1974">
        <f t="shared" si="372"/>
        <v>0</v>
      </c>
      <c r="CE542" s="1974">
        <f t="shared" si="372"/>
        <v>0</v>
      </c>
      <c r="CF542" s="2033">
        <v>0</v>
      </c>
      <c r="CG542" s="2026">
        <v>0</v>
      </c>
      <c r="CH542" s="2009">
        <f t="shared" si="373"/>
        <v>0</v>
      </c>
      <c r="CI542" s="2031">
        <f t="shared" si="373"/>
        <v>0</v>
      </c>
      <c r="CJ542" s="1974">
        <f t="shared" si="373"/>
        <v>0</v>
      </c>
      <c r="CK542" s="2031">
        <f t="shared" si="373"/>
        <v>0</v>
      </c>
      <c r="CL542" s="2026">
        <v>1</v>
      </c>
      <c r="CM542" s="2026">
        <v>1</v>
      </c>
      <c r="CN542" s="2026">
        <v>1</v>
      </c>
      <c r="CO542" s="2026">
        <v>1</v>
      </c>
      <c r="CP542" s="2035"/>
      <c r="CQ542" s="2036"/>
      <c r="CR542" s="2036"/>
      <c r="CS542" s="2036"/>
      <c r="CT542" s="2036"/>
      <c r="CU542" s="2036"/>
      <c r="CV542" s="1973">
        <v>1</v>
      </c>
      <c r="CW542" s="1973">
        <v>0</v>
      </c>
      <c r="CX542" s="2037">
        <v>0</v>
      </c>
      <c r="CY542" s="2037">
        <v>0</v>
      </c>
      <c r="CZ542" s="2037">
        <v>0</v>
      </c>
      <c r="DA542" s="2037">
        <v>0</v>
      </c>
      <c r="DJ542" s="1976">
        <v>0</v>
      </c>
      <c r="DK542" s="1973">
        <v>0</v>
      </c>
      <c r="DL542" s="1973">
        <v>0</v>
      </c>
      <c r="DM542" s="1973">
        <v>0</v>
      </c>
      <c r="DO542" s="2027">
        <v>0</v>
      </c>
      <c r="DP542" s="2144">
        <v>0</v>
      </c>
      <c r="DQ542" s="2145">
        <v>0</v>
      </c>
      <c r="DR542" s="2027">
        <v>0</v>
      </c>
      <c r="DS542" s="2124">
        <v>0</v>
      </c>
      <c r="DT542" s="2029">
        <v>0</v>
      </c>
      <c r="DU542" s="2029">
        <v>0</v>
      </c>
      <c r="DV542" s="2029">
        <v>0</v>
      </c>
      <c r="DW542" s="2124">
        <v>0</v>
      </c>
      <c r="DX542" s="2029">
        <v>0</v>
      </c>
      <c r="DY542" s="2029">
        <v>0</v>
      </c>
      <c r="DZ542" s="2029">
        <v>0</v>
      </c>
      <c r="EA542" s="2124">
        <v>0</v>
      </c>
      <c r="EB542" s="2029">
        <v>0</v>
      </c>
      <c r="EC542" s="2029">
        <v>0</v>
      </c>
      <c r="ED542" s="2029">
        <v>0</v>
      </c>
      <c r="EE542" s="2039">
        <f t="shared" si="356"/>
        <v>0</v>
      </c>
      <c r="EF542" s="2039">
        <f t="shared" si="356"/>
        <v>0</v>
      </c>
      <c r="EG542" s="2039">
        <f t="shared" si="356"/>
        <v>0</v>
      </c>
      <c r="EH542" s="2039">
        <f t="shared" si="355"/>
        <v>0</v>
      </c>
      <c r="EI542" s="2040">
        <f t="shared" si="385"/>
        <v>0</v>
      </c>
      <c r="EJ542" s="2040">
        <f t="shared" si="385"/>
        <v>0</v>
      </c>
      <c r="EK542" s="2040">
        <f t="shared" si="385"/>
        <v>0</v>
      </c>
      <c r="EL542" s="2040">
        <f t="shared" si="383"/>
        <v>0</v>
      </c>
      <c r="EM542" s="2040">
        <f t="shared" si="383"/>
        <v>0</v>
      </c>
      <c r="EN542" s="2040">
        <f t="shared" si="383"/>
        <v>0</v>
      </c>
      <c r="EO542" s="2040">
        <f t="shared" si="350"/>
        <v>0</v>
      </c>
      <c r="EP542" s="2040">
        <f t="shared" si="350"/>
        <v>0</v>
      </c>
      <c r="EQ542" s="2040">
        <f t="shared" si="350"/>
        <v>0</v>
      </c>
      <c r="ER542" s="2040">
        <f t="shared" si="350"/>
        <v>0</v>
      </c>
      <c r="ES542" s="2040">
        <f t="shared" si="350"/>
        <v>0</v>
      </c>
      <c r="ET542" s="2040">
        <f t="shared" si="350"/>
        <v>0</v>
      </c>
      <c r="EU542" s="2039">
        <f t="shared" si="357"/>
        <v>0</v>
      </c>
      <c r="EV542" s="2039">
        <f t="shared" si="358"/>
        <v>0</v>
      </c>
    </row>
    <row r="543" spans="1:152" x14ac:dyDescent="0.25">
      <c r="A543" s="2150" t="str">
        <f t="shared" si="361"/>
        <v>Electric Steamer (3 pan)</v>
      </c>
      <c r="B543" s="1974" t="str">
        <f t="shared" si="361"/>
        <v>BPCK1</v>
      </c>
      <c r="C543" s="2027">
        <f t="shared" si="384"/>
        <v>12</v>
      </c>
      <c r="D543" s="2144">
        <f t="shared" si="384"/>
        <v>14521.3</v>
      </c>
      <c r="E543" s="2145">
        <f t="shared" si="384"/>
        <v>2.52</v>
      </c>
      <c r="F543" s="2027">
        <f t="shared" si="384"/>
        <v>0</v>
      </c>
      <c r="G543" s="1974" t="s">
        <v>2988</v>
      </c>
      <c r="H543" s="1974" t="s">
        <v>2988</v>
      </c>
      <c r="I543" s="2026">
        <v>0.9</v>
      </c>
      <c r="J543" s="2026">
        <v>0.9</v>
      </c>
      <c r="K543" s="2026">
        <v>0.9</v>
      </c>
      <c r="L543" s="2026">
        <v>0.9</v>
      </c>
      <c r="M543" s="2027">
        <f t="shared" si="374"/>
        <v>13069.17</v>
      </c>
      <c r="N543" s="2027">
        <f t="shared" si="374"/>
        <v>13069.17</v>
      </c>
      <c r="O543" s="2027">
        <f t="shared" si="374"/>
        <v>13069.17</v>
      </c>
      <c r="P543" s="2027">
        <f t="shared" si="362"/>
        <v>13069.17</v>
      </c>
      <c r="Q543" s="2026">
        <v>0.9</v>
      </c>
      <c r="R543" s="2026">
        <v>0.9</v>
      </c>
      <c r="S543" s="2026">
        <v>0.9</v>
      </c>
      <c r="T543" s="2026">
        <v>0.9</v>
      </c>
      <c r="U543" s="2028">
        <f t="shared" si="375"/>
        <v>2.2680000000000002</v>
      </c>
      <c r="V543" s="2028">
        <f t="shared" si="375"/>
        <v>2.2680000000000002</v>
      </c>
      <c r="W543" s="2028">
        <f t="shared" si="375"/>
        <v>2.2680000000000002</v>
      </c>
      <c r="X543" s="2028">
        <f t="shared" si="363"/>
        <v>2.2680000000000002</v>
      </c>
      <c r="Y543" s="2026">
        <v>0.9</v>
      </c>
      <c r="Z543" s="2026">
        <v>0.9</v>
      </c>
      <c r="AA543" s="2026">
        <v>0.9</v>
      </c>
      <c r="AB543" s="2026">
        <v>0.9</v>
      </c>
      <c r="AC543" s="2027">
        <f t="shared" si="376"/>
        <v>0</v>
      </c>
      <c r="AD543" s="2027">
        <f t="shared" si="376"/>
        <v>0</v>
      </c>
      <c r="AE543" s="2027">
        <f t="shared" si="376"/>
        <v>0</v>
      </c>
      <c r="AF543" s="2027">
        <f t="shared" si="364"/>
        <v>0</v>
      </c>
      <c r="AG543" s="2027">
        <v>0</v>
      </c>
      <c r="AH543" s="2028"/>
      <c r="AI543" s="2028"/>
      <c r="AJ543" s="2028">
        <v>1</v>
      </c>
      <c r="AK543" s="2027">
        <f t="shared" si="365"/>
        <v>0</v>
      </c>
      <c r="AL543" s="2027">
        <f t="shared" si="366"/>
        <v>0</v>
      </c>
      <c r="AM543" s="2027">
        <f t="shared" si="366"/>
        <v>0</v>
      </c>
      <c r="AN543" s="2027">
        <f t="shared" si="366"/>
        <v>13069.17</v>
      </c>
      <c r="AO543" s="2027">
        <f t="shared" si="377"/>
        <v>0</v>
      </c>
      <c r="AP543" s="2027">
        <f t="shared" si="367"/>
        <v>0</v>
      </c>
      <c r="AQ543" s="2027">
        <f t="shared" si="367"/>
        <v>0</v>
      </c>
      <c r="AR543" s="2027">
        <f t="shared" si="367"/>
        <v>0</v>
      </c>
      <c r="AS543" s="2124">
        <f t="shared" ref="AS543:AS555" si="386">AS82*1</f>
        <v>350</v>
      </c>
      <c r="AT543" s="2029">
        <f t="shared" si="368"/>
        <v>350</v>
      </c>
      <c r="AU543" s="2029">
        <f t="shared" si="368"/>
        <v>350</v>
      </c>
      <c r="AV543" s="2029">
        <f t="shared" si="368"/>
        <v>350</v>
      </c>
      <c r="AW543" s="2124">
        <f t="shared" si="369"/>
        <v>0</v>
      </c>
      <c r="AX543" s="2029">
        <f t="shared" si="335"/>
        <v>0</v>
      </c>
      <c r="AY543" s="2029">
        <f t="shared" si="335"/>
        <v>0</v>
      </c>
      <c r="AZ543" s="2029">
        <f t="shared" si="335"/>
        <v>0</v>
      </c>
      <c r="BA543" s="2124">
        <f t="shared" si="380"/>
        <v>2490</v>
      </c>
      <c r="BB543" s="2029">
        <f t="shared" si="380"/>
        <v>2490</v>
      </c>
      <c r="BC543" s="2029">
        <f t="shared" si="380"/>
        <v>2490</v>
      </c>
      <c r="BD543" s="2029">
        <f t="shared" si="380"/>
        <v>2490</v>
      </c>
      <c r="BE543" s="2030">
        <f t="shared" si="378"/>
        <v>0</v>
      </c>
      <c r="BF543" s="2030">
        <f t="shared" si="378"/>
        <v>0</v>
      </c>
      <c r="BG543" s="2030">
        <f t="shared" si="378"/>
        <v>0</v>
      </c>
      <c r="BH543" s="2030">
        <f t="shared" si="370"/>
        <v>350</v>
      </c>
      <c r="BI543" s="2030">
        <f t="shared" si="379"/>
        <v>0</v>
      </c>
      <c r="BJ543" s="2030">
        <f t="shared" si="379"/>
        <v>0</v>
      </c>
      <c r="BK543" s="2030">
        <f t="shared" si="379"/>
        <v>0</v>
      </c>
      <c r="BL543" s="2030">
        <f t="shared" si="371"/>
        <v>0</v>
      </c>
      <c r="BM543" s="2125"/>
      <c r="BN543" s="2125"/>
      <c r="BO543" s="2125"/>
      <c r="BP543" s="2125"/>
      <c r="BQ543" s="2125"/>
      <c r="BR543" s="2125"/>
      <c r="BS543" s="2125"/>
      <c r="BT543" s="2125"/>
      <c r="BU543" s="2029"/>
      <c r="BV543" s="2029"/>
      <c r="BW543" s="2029"/>
      <c r="BX543" s="2029"/>
      <c r="BY543" s="2029"/>
      <c r="BZ543" s="2032"/>
      <c r="CA543" s="1974">
        <f t="shared" si="372"/>
        <v>76703</v>
      </c>
      <c r="CB543" s="1974">
        <f t="shared" si="372"/>
        <v>0</v>
      </c>
      <c r="CC543" s="1974">
        <f t="shared" si="372"/>
        <v>0</v>
      </c>
      <c r="CD543" s="1974">
        <f t="shared" si="372"/>
        <v>0</v>
      </c>
      <c r="CE543" s="1974">
        <f t="shared" si="372"/>
        <v>0</v>
      </c>
      <c r="CF543" s="2033">
        <v>0</v>
      </c>
      <c r="CG543" s="2026">
        <v>0</v>
      </c>
      <c r="CH543" s="2009">
        <f t="shared" si="373"/>
        <v>0</v>
      </c>
      <c r="CI543" s="2031">
        <f t="shared" si="373"/>
        <v>0</v>
      </c>
      <c r="CJ543" s="1974">
        <f t="shared" si="373"/>
        <v>0</v>
      </c>
      <c r="CK543" s="2031">
        <f t="shared" si="373"/>
        <v>0</v>
      </c>
      <c r="CL543" s="2026">
        <v>1</v>
      </c>
      <c r="CM543" s="2026">
        <v>1</v>
      </c>
      <c r="CN543" s="2026">
        <v>1</v>
      </c>
      <c r="CO543" s="2026">
        <v>1</v>
      </c>
      <c r="CP543" s="2035"/>
      <c r="CQ543" s="2036"/>
      <c r="CR543" s="2036"/>
      <c r="CS543" s="2036"/>
      <c r="CT543" s="2036"/>
      <c r="CU543" s="2036"/>
      <c r="CV543" s="1973">
        <v>1</v>
      </c>
      <c r="CW543" s="1973">
        <v>0</v>
      </c>
      <c r="CX543" s="2037">
        <v>350</v>
      </c>
      <c r="CY543" s="2037">
        <v>350</v>
      </c>
      <c r="CZ543" s="2037">
        <v>350</v>
      </c>
      <c r="DA543" s="2037">
        <v>350</v>
      </c>
      <c r="DJ543" s="1976">
        <v>350</v>
      </c>
      <c r="DK543" s="1973">
        <v>350</v>
      </c>
      <c r="DL543" s="1973">
        <v>350</v>
      </c>
      <c r="DM543" s="1973">
        <v>350</v>
      </c>
      <c r="DO543" s="2027">
        <v>12</v>
      </c>
      <c r="DP543" s="2144">
        <v>14521.3</v>
      </c>
      <c r="DQ543" s="2145">
        <v>2.52</v>
      </c>
      <c r="DR543" s="2027">
        <v>0</v>
      </c>
      <c r="DS543" s="2124">
        <v>350</v>
      </c>
      <c r="DT543" s="2029">
        <v>350</v>
      </c>
      <c r="DU543" s="2029">
        <v>350</v>
      </c>
      <c r="DV543" s="2029">
        <v>350</v>
      </c>
      <c r="DW543" s="2124">
        <v>0</v>
      </c>
      <c r="DX543" s="2029">
        <v>0</v>
      </c>
      <c r="DY543" s="2029">
        <v>0</v>
      </c>
      <c r="DZ543" s="2029">
        <v>0</v>
      </c>
      <c r="EA543" s="2124">
        <v>2490</v>
      </c>
      <c r="EB543" s="2029">
        <v>2490</v>
      </c>
      <c r="EC543" s="2029">
        <v>2490</v>
      </c>
      <c r="ED543" s="2029">
        <v>2490</v>
      </c>
      <c r="EE543" s="2039">
        <f t="shared" si="356"/>
        <v>0</v>
      </c>
      <c r="EF543" s="2039">
        <f t="shared" si="356"/>
        <v>0</v>
      </c>
      <c r="EG543" s="2039">
        <f t="shared" si="356"/>
        <v>0</v>
      </c>
      <c r="EH543" s="2039">
        <f t="shared" si="355"/>
        <v>0</v>
      </c>
      <c r="EI543" s="2040">
        <f t="shared" si="385"/>
        <v>0</v>
      </c>
      <c r="EJ543" s="2040">
        <f t="shared" si="385"/>
        <v>0</v>
      </c>
      <c r="EK543" s="2040">
        <f t="shared" si="385"/>
        <v>0</v>
      </c>
      <c r="EL543" s="2040">
        <f t="shared" si="383"/>
        <v>0</v>
      </c>
      <c r="EM543" s="2040">
        <f t="shared" si="383"/>
        <v>0</v>
      </c>
      <c r="EN543" s="2040">
        <f t="shared" si="383"/>
        <v>0</v>
      </c>
      <c r="EO543" s="2040">
        <f t="shared" si="350"/>
        <v>0</v>
      </c>
      <c r="EP543" s="2040">
        <f t="shared" si="350"/>
        <v>0</v>
      </c>
      <c r="EQ543" s="2040">
        <f t="shared" si="350"/>
        <v>0</v>
      </c>
      <c r="ER543" s="2040">
        <f t="shared" si="350"/>
        <v>0</v>
      </c>
      <c r="ES543" s="2040">
        <f t="shared" si="350"/>
        <v>0</v>
      </c>
      <c r="ET543" s="2040">
        <f t="shared" si="350"/>
        <v>0</v>
      </c>
      <c r="EU543" s="2039">
        <f t="shared" si="357"/>
        <v>0</v>
      </c>
      <c r="EV543" s="2039">
        <f t="shared" si="358"/>
        <v>0</v>
      </c>
    </row>
    <row r="544" spans="1:152" x14ac:dyDescent="0.25">
      <c r="A544" s="2150" t="str">
        <f t="shared" si="361"/>
        <v>Electric Steamer (4 pan)</v>
      </c>
      <c r="B544" s="1974" t="str">
        <f t="shared" si="361"/>
        <v>BPCK2</v>
      </c>
      <c r="C544" s="2027">
        <f t="shared" si="384"/>
        <v>12</v>
      </c>
      <c r="D544" s="2144">
        <f t="shared" si="384"/>
        <v>16929.41</v>
      </c>
      <c r="E544" s="2145">
        <f t="shared" si="384"/>
        <v>2.94</v>
      </c>
      <c r="F544" s="2027">
        <f t="shared" si="384"/>
        <v>0</v>
      </c>
      <c r="G544" s="1974" t="s">
        <v>2988</v>
      </c>
      <c r="H544" s="1974" t="s">
        <v>2988</v>
      </c>
      <c r="I544" s="2026">
        <v>0.9</v>
      </c>
      <c r="J544" s="2026">
        <v>0.9</v>
      </c>
      <c r="K544" s="2026">
        <v>0.9</v>
      </c>
      <c r="L544" s="2026">
        <v>0.9</v>
      </c>
      <c r="M544" s="2027">
        <f t="shared" si="374"/>
        <v>15236.469000000001</v>
      </c>
      <c r="N544" s="2027">
        <f t="shared" si="374"/>
        <v>15236.469000000001</v>
      </c>
      <c r="O544" s="2027">
        <f t="shared" si="374"/>
        <v>15236.469000000001</v>
      </c>
      <c r="P544" s="2027">
        <f t="shared" si="362"/>
        <v>15236.469000000001</v>
      </c>
      <c r="Q544" s="2026">
        <v>0.9</v>
      </c>
      <c r="R544" s="2026">
        <v>0.9</v>
      </c>
      <c r="S544" s="2026">
        <v>0.9</v>
      </c>
      <c r="T544" s="2026">
        <v>0.9</v>
      </c>
      <c r="U544" s="2028">
        <f t="shared" si="375"/>
        <v>2.6459999999999999</v>
      </c>
      <c r="V544" s="2028">
        <f t="shared" si="375"/>
        <v>2.6459999999999999</v>
      </c>
      <c r="W544" s="2028">
        <f t="shared" si="375"/>
        <v>2.6459999999999999</v>
      </c>
      <c r="X544" s="2028">
        <f t="shared" si="363"/>
        <v>2.6459999999999999</v>
      </c>
      <c r="Y544" s="2026">
        <v>0.9</v>
      </c>
      <c r="Z544" s="2026">
        <v>0.9</v>
      </c>
      <c r="AA544" s="2026">
        <v>0.9</v>
      </c>
      <c r="AB544" s="2026">
        <v>0.9</v>
      </c>
      <c r="AC544" s="2027">
        <f t="shared" si="376"/>
        <v>0</v>
      </c>
      <c r="AD544" s="2027">
        <f t="shared" si="376"/>
        <v>0</v>
      </c>
      <c r="AE544" s="2027">
        <f t="shared" si="376"/>
        <v>0</v>
      </c>
      <c r="AF544" s="2027">
        <f t="shared" si="364"/>
        <v>0</v>
      </c>
      <c r="AG544" s="2027">
        <v>0</v>
      </c>
      <c r="AH544" s="2028"/>
      <c r="AI544" s="2028">
        <v>1</v>
      </c>
      <c r="AJ544" s="2028"/>
      <c r="AK544" s="2027">
        <f t="shared" si="365"/>
        <v>0</v>
      </c>
      <c r="AL544" s="2027">
        <f t="shared" si="366"/>
        <v>0</v>
      </c>
      <c r="AM544" s="2027">
        <f t="shared" si="366"/>
        <v>15236.469000000001</v>
      </c>
      <c r="AN544" s="2027">
        <f t="shared" si="366"/>
        <v>0</v>
      </c>
      <c r="AO544" s="2027">
        <f t="shared" si="377"/>
        <v>0</v>
      </c>
      <c r="AP544" s="2027">
        <f t="shared" si="367"/>
        <v>0</v>
      </c>
      <c r="AQ544" s="2027">
        <f t="shared" si="367"/>
        <v>0</v>
      </c>
      <c r="AR544" s="2027">
        <f t="shared" si="367"/>
        <v>0</v>
      </c>
      <c r="AS544" s="2124">
        <f t="shared" si="386"/>
        <v>400</v>
      </c>
      <c r="AT544" s="2029">
        <f t="shared" si="368"/>
        <v>400</v>
      </c>
      <c r="AU544" s="2029">
        <f t="shared" si="368"/>
        <v>400</v>
      </c>
      <c r="AV544" s="2029">
        <f t="shared" si="368"/>
        <v>400</v>
      </c>
      <c r="AW544" s="2124">
        <f t="shared" si="369"/>
        <v>0</v>
      </c>
      <c r="AX544" s="2029">
        <f t="shared" si="335"/>
        <v>0</v>
      </c>
      <c r="AY544" s="2029">
        <f t="shared" si="335"/>
        <v>0</v>
      </c>
      <c r="AZ544" s="2029">
        <f t="shared" si="335"/>
        <v>0</v>
      </c>
      <c r="BA544" s="2124">
        <f t="shared" si="380"/>
        <v>2490</v>
      </c>
      <c r="BB544" s="2029">
        <f t="shared" si="380"/>
        <v>2490</v>
      </c>
      <c r="BC544" s="2029">
        <f t="shared" si="380"/>
        <v>2490</v>
      </c>
      <c r="BD544" s="2029">
        <f t="shared" si="380"/>
        <v>2490</v>
      </c>
      <c r="BE544" s="2030">
        <f t="shared" si="378"/>
        <v>0</v>
      </c>
      <c r="BF544" s="2030">
        <f t="shared" si="378"/>
        <v>0</v>
      </c>
      <c r="BG544" s="2030">
        <f t="shared" si="378"/>
        <v>400</v>
      </c>
      <c r="BH544" s="2030">
        <f t="shared" si="370"/>
        <v>0</v>
      </c>
      <c r="BI544" s="2030">
        <f t="shared" si="379"/>
        <v>0</v>
      </c>
      <c r="BJ544" s="2030">
        <f t="shared" si="379"/>
        <v>0</v>
      </c>
      <c r="BK544" s="2030">
        <f t="shared" si="379"/>
        <v>0</v>
      </c>
      <c r="BL544" s="2030">
        <f t="shared" si="371"/>
        <v>0</v>
      </c>
      <c r="BM544" s="2125"/>
      <c r="BN544" s="2125"/>
      <c r="BO544" s="2125"/>
      <c r="BP544" s="2125"/>
      <c r="BQ544" s="2125"/>
      <c r="BR544" s="2125"/>
      <c r="BS544" s="2125"/>
      <c r="BT544" s="2125"/>
      <c r="BU544" s="2029"/>
      <c r="BV544" s="2029"/>
      <c r="BW544" s="2029"/>
      <c r="BX544" s="2029"/>
      <c r="BY544" s="2029"/>
      <c r="BZ544" s="2032"/>
      <c r="CA544" s="1974">
        <f t="shared" si="372"/>
        <v>76703</v>
      </c>
      <c r="CB544" s="1974">
        <f t="shared" si="372"/>
        <v>0</v>
      </c>
      <c r="CC544" s="1974">
        <f t="shared" si="372"/>
        <v>0</v>
      </c>
      <c r="CD544" s="1974">
        <f t="shared" si="372"/>
        <v>0</v>
      </c>
      <c r="CE544" s="1974">
        <f t="shared" si="372"/>
        <v>0</v>
      </c>
      <c r="CF544" s="2033">
        <v>0</v>
      </c>
      <c r="CG544" s="2026">
        <v>0</v>
      </c>
      <c r="CH544" s="2009">
        <f t="shared" si="373"/>
        <v>0</v>
      </c>
      <c r="CI544" s="2031">
        <f t="shared" si="373"/>
        <v>0</v>
      </c>
      <c r="CJ544" s="1974">
        <f t="shared" si="373"/>
        <v>0</v>
      </c>
      <c r="CK544" s="2031">
        <f t="shared" si="373"/>
        <v>0</v>
      </c>
      <c r="CL544" s="2026">
        <v>1</v>
      </c>
      <c r="CM544" s="2026">
        <v>1</v>
      </c>
      <c r="CN544" s="2026">
        <v>1</v>
      </c>
      <c r="CO544" s="2026">
        <v>1</v>
      </c>
      <c r="CP544" s="2035"/>
      <c r="CQ544" s="2036"/>
      <c r="CR544" s="2036"/>
      <c r="CS544" s="2036"/>
      <c r="CT544" s="2036"/>
      <c r="CU544" s="2036"/>
      <c r="CV544" s="1973">
        <v>1</v>
      </c>
      <c r="CW544" s="1973">
        <v>0</v>
      </c>
      <c r="CX544" s="2037">
        <v>400</v>
      </c>
      <c r="CY544" s="2037">
        <v>400</v>
      </c>
      <c r="CZ544" s="2037">
        <v>400</v>
      </c>
      <c r="DA544" s="2037">
        <v>400</v>
      </c>
      <c r="DJ544" s="1976">
        <v>400</v>
      </c>
      <c r="DK544" s="1973">
        <v>400</v>
      </c>
      <c r="DL544" s="1973">
        <v>400</v>
      </c>
      <c r="DM544" s="1973">
        <v>400</v>
      </c>
      <c r="DO544" s="2027">
        <v>12</v>
      </c>
      <c r="DP544" s="2144">
        <v>16929.41</v>
      </c>
      <c r="DQ544" s="2145">
        <v>2.94</v>
      </c>
      <c r="DR544" s="2027">
        <v>0</v>
      </c>
      <c r="DS544" s="2124">
        <v>400</v>
      </c>
      <c r="DT544" s="2029">
        <v>400</v>
      </c>
      <c r="DU544" s="2029">
        <v>400</v>
      </c>
      <c r="DV544" s="2029">
        <v>400</v>
      </c>
      <c r="DW544" s="2124">
        <v>0</v>
      </c>
      <c r="DX544" s="2029">
        <v>0</v>
      </c>
      <c r="DY544" s="2029">
        <v>0</v>
      </c>
      <c r="DZ544" s="2029">
        <v>0</v>
      </c>
      <c r="EA544" s="2124">
        <v>2490</v>
      </c>
      <c r="EB544" s="2029">
        <v>2490</v>
      </c>
      <c r="EC544" s="2029">
        <v>2490</v>
      </c>
      <c r="ED544" s="2029">
        <v>2490</v>
      </c>
      <c r="EE544" s="2039">
        <f t="shared" si="356"/>
        <v>0</v>
      </c>
      <c r="EF544" s="2039">
        <f t="shared" si="356"/>
        <v>0</v>
      </c>
      <c r="EG544" s="2039">
        <f t="shared" si="356"/>
        <v>0</v>
      </c>
      <c r="EH544" s="2039">
        <f t="shared" si="355"/>
        <v>0</v>
      </c>
      <c r="EI544" s="2040">
        <f t="shared" si="385"/>
        <v>0</v>
      </c>
      <c r="EJ544" s="2040">
        <f t="shared" si="385"/>
        <v>0</v>
      </c>
      <c r="EK544" s="2040">
        <f t="shared" si="385"/>
        <v>0</v>
      </c>
      <c r="EL544" s="2040">
        <f t="shared" si="383"/>
        <v>0</v>
      </c>
      <c r="EM544" s="2040">
        <f t="shared" si="383"/>
        <v>0</v>
      </c>
      <c r="EN544" s="2040">
        <f t="shared" si="383"/>
        <v>0</v>
      </c>
      <c r="EO544" s="2040">
        <f t="shared" si="350"/>
        <v>0</v>
      </c>
      <c r="EP544" s="2040">
        <f t="shared" si="350"/>
        <v>0</v>
      </c>
      <c r="EQ544" s="2040">
        <f t="shared" si="350"/>
        <v>0</v>
      </c>
      <c r="ER544" s="2040">
        <f t="shared" si="350"/>
        <v>0</v>
      </c>
      <c r="ES544" s="2040">
        <f t="shared" si="350"/>
        <v>0</v>
      </c>
      <c r="ET544" s="2040">
        <f t="shared" si="350"/>
        <v>0</v>
      </c>
      <c r="EU544" s="2039">
        <f t="shared" si="357"/>
        <v>0</v>
      </c>
      <c r="EV544" s="2039">
        <f t="shared" si="358"/>
        <v>0</v>
      </c>
    </row>
    <row r="545" spans="1:152" x14ac:dyDescent="0.25">
      <c r="A545" s="2150" t="str">
        <f t="shared" si="361"/>
        <v>Electric Steamer (5 pan)</v>
      </c>
      <c r="B545" s="1974" t="str">
        <f t="shared" si="361"/>
        <v>BPCK3</v>
      </c>
      <c r="C545" s="2027">
        <f t="shared" si="384"/>
        <v>12</v>
      </c>
      <c r="D545" s="2144">
        <f t="shared" si="384"/>
        <v>25206.89</v>
      </c>
      <c r="E545" s="2145">
        <f t="shared" si="384"/>
        <v>4.38</v>
      </c>
      <c r="F545" s="2027">
        <f t="shared" si="384"/>
        <v>0</v>
      </c>
      <c r="G545" s="1974" t="s">
        <v>2988</v>
      </c>
      <c r="H545" s="1974" t="s">
        <v>2988</v>
      </c>
      <c r="I545" s="2026">
        <v>0.9</v>
      </c>
      <c r="J545" s="2026">
        <v>0.9</v>
      </c>
      <c r="K545" s="2026">
        <v>0.9</v>
      </c>
      <c r="L545" s="2026">
        <v>0.9</v>
      </c>
      <c r="M545" s="2027">
        <f t="shared" si="374"/>
        <v>22686.201000000001</v>
      </c>
      <c r="N545" s="2027">
        <f t="shared" si="374"/>
        <v>22686.201000000001</v>
      </c>
      <c r="O545" s="2027">
        <f t="shared" si="374"/>
        <v>22686.201000000001</v>
      </c>
      <c r="P545" s="2027">
        <f t="shared" si="362"/>
        <v>22686.201000000001</v>
      </c>
      <c r="Q545" s="2026">
        <v>0.9</v>
      </c>
      <c r="R545" s="2026">
        <v>0.9</v>
      </c>
      <c r="S545" s="2026">
        <v>0.9</v>
      </c>
      <c r="T545" s="2026">
        <v>0.9</v>
      </c>
      <c r="U545" s="2028">
        <f t="shared" si="375"/>
        <v>3.9420000000000002</v>
      </c>
      <c r="V545" s="2028">
        <f t="shared" si="375"/>
        <v>3.9420000000000002</v>
      </c>
      <c r="W545" s="2028">
        <f t="shared" si="375"/>
        <v>3.9420000000000002</v>
      </c>
      <c r="X545" s="2028">
        <f t="shared" si="363"/>
        <v>3.9420000000000002</v>
      </c>
      <c r="Y545" s="2026">
        <v>0.9</v>
      </c>
      <c r="Z545" s="2026">
        <v>0.9</v>
      </c>
      <c r="AA545" s="2026">
        <v>0.9</v>
      </c>
      <c r="AB545" s="2026">
        <v>0.9</v>
      </c>
      <c r="AC545" s="2027">
        <f t="shared" si="376"/>
        <v>0</v>
      </c>
      <c r="AD545" s="2027">
        <f t="shared" si="376"/>
        <v>0</v>
      </c>
      <c r="AE545" s="2027">
        <f t="shared" si="376"/>
        <v>0</v>
      </c>
      <c r="AF545" s="2027">
        <f t="shared" si="364"/>
        <v>0</v>
      </c>
      <c r="AG545" s="2027">
        <v>0</v>
      </c>
      <c r="AH545" s="2028">
        <v>1</v>
      </c>
      <c r="AI545" s="2028"/>
      <c r="AJ545" s="2028"/>
      <c r="AK545" s="2027">
        <f t="shared" si="365"/>
        <v>0</v>
      </c>
      <c r="AL545" s="2027">
        <f t="shared" si="366"/>
        <v>22686.201000000001</v>
      </c>
      <c r="AM545" s="2027">
        <f t="shared" si="366"/>
        <v>0</v>
      </c>
      <c r="AN545" s="2027">
        <f t="shared" si="366"/>
        <v>0</v>
      </c>
      <c r="AO545" s="2027">
        <f t="shared" si="377"/>
        <v>0</v>
      </c>
      <c r="AP545" s="2027">
        <f t="shared" si="367"/>
        <v>0</v>
      </c>
      <c r="AQ545" s="2027">
        <f t="shared" si="367"/>
        <v>0</v>
      </c>
      <c r="AR545" s="2027">
        <f t="shared" si="367"/>
        <v>0</v>
      </c>
      <c r="AS545" s="2124">
        <f t="shared" si="386"/>
        <v>450</v>
      </c>
      <c r="AT545" s="2029">
        <f t="shared" si="368"/>
        <v>450</v>
      </c>
      <c r="AU545" s="2029">
        <f t="shared" si="368"/>
        <v>450</v>
      </c>
      <c r="AV545" s="2029">
        <f t="shared" si="368"/>
        <v>450</v>
      </c>
      <c r="AW545" s="2124">
        <f t="shared" si="369"/>
        <v>0</v>
      </c>
      <c r="AX545" s="2029">
        <f t="shared" si="335"/>
        <v>0</v>
      </c>
      <c r="AY545" s="2029">
        <f t="shared" si="335"/>
        <v>0</v>
      </c>
      <c r="AZ545" s="2029">
        <f t="shared" si="335"/>
        <v>0</v>
      </c>
      <c r="BA545" s="2124">
        <f t="shared" si="380"/>
        <v>2490</v>
      </c>
      <c r="BB545" s="2029">
        <f t="shared" si="380"/>
        <v>2490</v>
      </c>
      <c r="BC545" s="2029">
        <f t="shared" si="380"/>
        <v>2490</v>
      </c>
      <c r="BD545" s="2029">
        <f t="shared" si="380"/>
        <v>2490</v>
      </c>
      <c r="BE545" s="2030">
        <f t="shared" si="378"/>
        <v>0</v>
      </c>
      <c r="BF545" s="2030">
        <f t="shared" si="378"/>
        <v>450</v>
      </c>
      <c r="BG545" s="2030">
        <f t="shared" si="378"/>
        <v>0</v>
      </c>
      <c r="BH545" s="2030">
        <f t="shared" si="370"/>
        <v>0</v>
      </c>
      <c r="BI545" s="2030">
        <f t="shared" si="379"/>
        <v>0</v>
      </c>
      <c r="BJ545" s="2030">
        <f t="shared" si="379"/>
        <v>0</v>
      </c>
      <c r="BK545" s="2030">
        <f t="shared" si="379"/>
        <v>0</v>
      </c>
      <c r="BL545" s="2030">
        <f t="shared" si="371"/>
        <v>0</v>
      </c>
      <c r="BM545" s="2125"/>
      <c r="BN545" s="2125"/>
      <c r="BO545" s="2125"/>
      <c r="BP545" s="2125"/>
      <c r="BQ545" s="2125"/>
      <c r="BR545" s="2125"/>
      <c r="BS545" s="2125"/>
      <c r="BT545" s="2125"/>
      <c r="BU545" s="2029"/>
      <c r="BV545" s="2029"/>
      <c r="BW545" s="2029"/>
      <c r="BX545" s="2029"/>
      <c r="BY545" s="2029"/>
      <c r="BZ545" s="2032"/>
      <c r="CA545" s="1974">
        <f t="shared" si="372"/>
        <v>76703</v>
      </c>
      <c r="CB545" s="1974">
        <f t="shared" si="372"/>
        <v>0</v>
      </c>
      <c r="CC545" s="1974">
        <f t="shared" si="372"/>
        <v>0</v>
      </c>
      <c r="CD545" s="1974">
        <f t="shared" si="372"/>
        <v>0</v>
      </c>
      <c r="CE545" s="1974">
        <f t="shared" si="372"/>
        <v>0</v>
      </c>
      <c r="CF545" s="2033">
        <v>0</v>
      </c>
      <c r="CG545" s="2026">
        <v>0</v>
      </c>
      <c r="CH545" s="2009">
        <f t="shared" si="373"/>
        <v>0</v>
      </c>
      <c r="CI545" s="2031">
        <f t="shared" si="373"/>
        <v>0</v>
      </c>
      <c r="CJ545" s="1974">
        <f t="shared" si="373"/>
        <v>0</v>
      </c>
      <c r="CK545" s="2031">
        <f t="shared" si="373"/>
        <v>0</v>
      </c>
      <c r="CL545" s="2026">
        <v>1</v>
      </c>
      <c r="CM545" s="2026">
        <v>1</v>
      </c>
      <c r="CN545" s="2026">
        <v>1</v>
      </c>
      <c r="CO545" s="2026">
        <v>1</v>
      </c>
      <c r="CP545" s="2035"/>
      <c r="CQ545" s="2036"/>
      <c r="CR545" s="2036"/>
      <c r="CS545" s="2036"/>
      <c r="CT545" s="2036"/>
      <c r="CU545" s="2036"/>
      <c r="CV545" s="1973">
        <v>1</v>
      </c>
      <c r="CW545" s="1973">
        <v>0</v>
      </c>
      <c r="CX545" s="2037">
        <v>450</v>
      </c>
      <c r="CY545" s="2037">
        <v>450</v>
      </c>
      <c r="CZ545" s="2037">
        <v>450</v>
      </c>
      <c r="DA545" s="2037">
        <v>450</v>
      </c>
      <c r="DJ545" s="1976">
        <v>450</v>
      </c>
      <c r="DK545" s="1973">
        <v>450</v>
      </c>
      <c r="DL545" s="1973">
        <v>450</v>
      </c>
      <c r="DM545" s="1973">
        <v>450</v>
      </c>
      <c r="DO545" s="2027">
        <v>12</v>
      </c>
      <c r="DP545" s="2144">
        <v>25206.89</v>
      </c>
      <c r="DQ545" s="2145">
        <v>4.38</v>
      </c>
      <c r="DR545" s="2027">
        <v>0</v>
      </c>
      <c r="DS545" s="2124">
        <v>450</v>
      </c>
      <c r="DT545" s="2029">
        <v>450</v>
      </c>
      <c r="DU545" s="2029">
        <v>450</v>
      </c>
      <c r="DV545" s="2029">
        <v>450</v>
      </c>
      <c r="DW545" s="2124">
        <v>0</v>
      </c>
      <c r="DX545" s="2029">
        <v>0</v>
      </c>
      <c r="DY545" s="2029">
        <v>0</v>
      </c>
      <c r="DZ545" s="2029">
        <v>0</v>
      </c>
      <c r="EA545" s="2124">
        <v>2490</v>
      </c>
      <c r="EB545" s="2029">
        <v>2490</v>
      </c>
      <c r="EC545" s="2029">
        <v>2490</v>
      </c>
      <c r="ED545" s="2029">
        <v>2490</v>
      </c>
      <c r="EE545" s="2039">
        <f t="shared" si="356"/>
        <v>0</v>
      </c>
      <c r="EF545" s="2039">
        <f t="shared" si="356"/>
        <v>0</v>
      </c>
      <c r="EG545" s="2039">
        <f t="shared" si="356"/>
        <v>0</v>
      </c>
      <c r="EH545" s="2039">
        <f t="shared" si="355"/>
        <v>0</v>
      </c>
      <c r="EI545" s="2040">
        <f t="shared" si="385"/>
        <v>0</v>
      </c>
      <c r="EJ545" s="2040">
        <f t="shared" si="385"/>
        <v>0</v>
      </c>
      <c r="EK545" s="2040">
        <f t="shared" si="385"/>
        <v>0</v>
      </c>
      <c r="EL545" s="2040">
        <f t="shared" si="383"/>
        <v>0</v>
      </c>
      <c r="EM545" s="2040">
        <f t="shared" si="383"/>
        <v>0</v>
      </c>
      <c r="EN545" s="2040">
        <f t="shared" si="383"/>
        <v>0</v>
      </c>
      <c r="EO545" s="2040">
        <f t="shared" si="350"/>
        <v>0</v>
      </c>
      <c r="EP545" s="2040">
        <f t="shared" si="350"/>
        <v>0</v>
      </c>
      <c r="EQ545" s="2040">
        <f t="shared" si="350"/>
        <v>0</v>
      </c>
      <c r="ER545" s="2040">
        <f t="shared" si="350"/>
        <v>0</v>
      </c>
      <c r="ES545" s="2040">
        <f t="shared" si="350"/>
        <v>0</v>
      </c>
      <c r="ET545" s="2040">
        <f t="shared" si="350"/>
        <v>0</v>
      </c>
      <c r="EU545" s="2039">
        <f t="shared" si="357"/>
        <v>0</v>
      </c>
      <c r="EV545" s="2039">
        <f t="shared" si="358"/>
        <v>0</v>
      </c>
    </row>
    <row r="546" spans="1:152" x14ac:dyDescent="0.25">
      <c r="A546" s="2150" t="str">
        <f t="shared" si="361"/>
        <v>Electric Steamer (6 pan)</v>
      </c>
      <c r="B546" s="1974" t="str">
        <f t="shared" si="361"/>
        <v>BPCK4</v>
      </c>
      <c r="C546" s="2027">
        <f t="shared" si="384"/>
        <v>12</v>
      </c>
      <c r="D546" s="2144">
        <f t="shared" si="384"/>
        <v>26089.03</v>
      </c>
      <c r="E546" s="2145">
        <f t="shared" si="384"/>
        <v>4.54</v>
      </c>
      <c r="F546" s="2027">
        <f t="shared" si="384"/>
        <v>0</v>
      </c>
      <c r="G546" s="1974" t="s">
        <v>2988</v>
      </c>
      <c r="H546" s="1974" t="s">
        <v>2988</v>
      </c>
      <c r="I546" s="2026">
        <v>0.9</v>
      </c>
      <c r="J546" s="2026">
        <v>0.9</v>
      </c>
      <c r="K546" s="2026">
        <v>0.9</v>
      </c>
      <c r="L546" s="2026">
        <v>0.9</v>
      </c>
      <c r="M546" s="2027">
        <f t="shared" si="374"/>
        <v>23480.127</v>
      </c>
      <c r="N546" s="2027">
        <f t="shared" si="374"/>
        <v>23480.127</v>
      </c>
      <c r="O546" s="2027">
        <f t="shared" si="374"/>
        <v>23480.127</v>
      </c>
      <c r="P546" s="2027">
        <f t="shared" si="362"/>
        <v>23480.127</v>
      </c>
      <c r="Q546" s="2026">
        <v>0.9</v>
      </c>
      <c r="R546" s="2026">
        <v>0.9</v>
      </c>
      <c r="S546" s="2026">
        <v>0.9</v>
      </c>
      <c r="T546" s="2026">
        <v>0.9</v>
      </c>
      <c r="U546" s="2028">
        <f t="shared" si="375"/>
        <v>4.0860000000000003</v>
      </c>
      <c r="V546" s="2028">
        <f t="shared" si="375"/>
        <v>4.0860000000000003</v>
      </c>
      <c r="W546" s="2028">
        <f t="shared" si="375"/>
        <v>4.0860000000000003</v>
      </c>
      <c r="X546" s="2028">
        <f t="shared" si="363"/>
        <v>4.0860000000000003</v>
      </c>
      <c r="Y546" s="2026">
        <v>0.9</v>
      </c>
      <c r="Z546" s="2026">
        <v>0.9</v>
      </c>
      <c r="AA546" s="2026">
        <v>0.9</v>
      </c>
      <c r="AB546" s="2026">
        <v>0.9</v>
      </c>
      <c r="AC546" s="2027">
        <f t="shared" si="376"/>
        <v>0</v>
      </c>
      <c r="AD546" s="2027">
        <f t="shared" si="376"/>
        <v>0</v>
      </c>
      <c r="AE546" s="2027">
        <f t="shared" si="376"/>
        <v>0</v>
      </c>
      <c r="AF546" s="2027">
        <f t="shared" si="364"/>
        <v>0</v>
      </c>
      <c r="AG546" s="2027">
        <v>1</v>
      </c>
      <c r="AH546" s="2028"/>
      <c r="AI546" s="2028"/>
      <c r="AJ546" s="2028"/>
      <c r="AK546" s="2027">
        <f t="shared" si="365"/>
        <v>23480.127</v>
      </c>
      <c r="AL546" s="2027">
        <f t="shared" si="366"/>
        <v>0</v>
      </c>
      <c r="AM546" s="2027">
        <f t="shared" si="366"/>
        <v>0</v>
      </c>
      <c r="AN546" s="2027">
        <f t="shared" si="366"/>
        <v>0</v>
      </c>
      <c r="AO546" s="2027">
        <f t="shared" si="377"/>
        <v>0</v>
      </c>
      <c r="AP546" s="2027">
        <f t="shared" si="367"/>
        <v>0</v>
      </c>
      <c r="AQ546" s="2027">
        <f t="shared" si="367"/>
        <v>0</v>
      </c>
      <c r="AR546" s="2027">
        <f t="shared" si="367"/>
        <v>0</v>
      </c>
      <c r="AS546" s="2124">
        <f t="shared" si="386"/>
        <v>500</v>
      </c>
      <c r="AT546" s="2029">
        <f t="shared" si="368"/>
        <v>500</v>
      </c>
      <c r="AU546" s="2029">
        <f t="shared" si="368"/>
        <v>500</v>
      </c>
      <c r="AV546" s="2029">
        <f t="shared" si="368"/>
        <v>500</v>
      </c>
      <c r="AW546" s="2124">
        <f t="shared" si="369"/>
        <v>0</v>
      </c>
      <c r="AX546" s="2029">
        <f t="shared" si="335"/>
        <v>0</v>
      </c>
      <c r="AY546" s="2029">
        <f t="shared" si="335"/>
        <v>0</v>
      </c>
      <c r="AZ546" s="2029">
        <f t="shared" si="335"/>
        <v>0</v>
      </c>
      <c r="BA546" s="2124">
        <f t="shared" si="380"/>
        <v>2490</v>
      </c>
      <c r="BB546" s="2029">
        <f t="shared" si="380"/>
        <v>2490</v>
      </c>
      <c r="BC546" s="2029">
        <f t="shared" si="380"/>
        <v>2490</v>
      </c>
      <c r="BD546" s="2029">
        <f t="shared" si="380"/>
        <v>2490</v>
      </c>
      <c r="BE546" s="2030">
        <f t="shared" si="378"/>
        <v>500</v>
      </c>
      <c r="BF546" s="2030">
        <f t="shared" si="378"/>
        <v>0</v>
      </c>
      <c r="BG546" s="2030">
        <f t="shared" si="378"/>
        <v>0</v>
      </c>
      <c r="BH546" s="2030">
        <f t="shared" si="370"/>
        <v>0</v>
      </c>
      <c r="BI546" s="2030">
        <f t="shared" si="379"/>
        <v>0</v>
      </c>
      <c r="BJ546" s="2030">
        <f t="shared" si="379"/>
        <v>0</v>
      </c>
      <c r="BK546" s="2030">
        <f t="shared" si="379"/>
        <v>0</v>
      </c>
      <c r="BL546" s="2030">
        <f t="shared" si="371"/>
        <v>0</v>
      </c>
      <c r="BM546" s="2125"/>
      <c r="BN546" s="2125"/>
      <c r="BO546" s="2125"/>
      <c r="BP546" s="2125"/>
      <c r="BQ546" s="2125"/>
      <c r="BR546" s="2125"/>
      <c r="BS546" s="2125"/>
      <c r="BT546" s="2125"/>
      <c r="BU546" s="2029"/>
      <c r="BV546" s="2029"/>
      <c r="BW546" s="2029"/>
      <c r="BX546" s="2029"/>
      <c r="BY546" s="2029"/>
      <c r="BZ546" s="2032"/>
      <c r="CA546" s="1974">
        <f t="shared" si="372"/>
        <v>76703</v>
      </c>
      <c r="CB546" s="1974">
        <f t="shared" si="372"/>
        <v>0</v>
      </c>
      <c r="CC546" s="1974">
        <f t="shared" si="372"/>
        <v>0</v>
      </c>
      <c r="CD546" s="1974">
        <f t="shared" si="372"/>
        <v>0</v>
      </c>
      <c r="CE546" s="1974">
        <f t="shared" si="372"/>
        <v>0</v>
      </c>
      <c r="CF546" s="2033">
        <v>9.8154838920486582E-5</v>
      </c>
      <c r="CG546" s="2026">
        <v>0</v>
      </c>
      <c r="CH546" s="2009">
        <f t="shared" si="373"/>
        <v>0</v>
      </c>
      <c r="CI546" s="2031">
        <f t="shared" si="373"/>
        <v>0</v>
      </c>
      <c r="CJ546" s="1974">
        <f t="shared" si="373"/>
        <v>0</v>
      </c>
      <c r="CK546" s="2031">
        <f t="shared" si="373"/>
        <v>0</v>
      </c>
      <c r="CL546" s="2026">
        <v>1</v>
      </c>
      <c r="CM546" s="2026">
        <v>1</v>
      </c>
      <c r="CN546" s="2026">
        <v>1</v>
      </c>
      <c r="CO546" s="2026">
        <v>1</v>
      </c>
      <c r="CP546" s="2035"/>
      <c r="CQ546" s="2036"/>
      <c r="CR546" s="2036"/>
      <c r="CS546" s="2036"/>
      <c r="CT546" s="2036"/>
      <c r="CU546" s="2036"/>
      <c r="CV546" s="1973">
        <v>1</v>
      </c>
      <c r="CW546" s="1973">
        <v>0</v>
      </c>
      <c r="CX546" s="2037">
        <v>500</v>
      </c>
      <c r="CY546" s="2037">
        <v>500</v>
      </c>
      <c r="CZ546" s="2037">
        <v>500</v>
      </c>
      <c r="DA546" s="2037">
        <v>500</v>
      </c>
      <c r="DJ546" s="1976">
        <v>500</v>
      </c>
      <c r="DK546" s="1973">
        <v>500</v>
      </c>
      <c r="DL546" s="1973">
        <v>500</v>
      </c>
      <c r="DM546" s="1973">
        <v>500</v>
      </c>
      <c r="DO546" s="2027">
        <v>12</v>
      </c>
      <c r="DP546" s="2144">
        <v>26089.03</v>
      </c>
      <c r="DQ546" s="2145">
        <v>4.54</v>
      </c>
      <c r="DR546" s="2027">
        <v>0</v>
      </c>
      <c r="DS546" s="2124">
        <v>500</v>
      </c>
      <c r="DT546" s="2029">
        <v>500</v>
      </c>
      <c r="DU546" s="2029">
        <v>500</v>
      </c>
      <c r="DV546" s="2029">
        <v>500</v>
      </c>
      <c r="DW546" s="2124">
        <v>0</v>
      </c>
      <c r="DX546" s="2029">
        <v>0</v>
      </c>
      <c r="DY546" s="2029">
        <v>0</v>
      </c>
      <c r="DZ546" s="2029">
        <v>0</v>
      </c>
      <c r="EA546" s="2124">
        <v>2490</v>
      </c>
      <c r="EB546" s="2029">
        <v>2490</v>
      </c>
      <c r="EC546" s="2029">
        <v>2490</v>
      </c>
      <c r="ED546" s="2029">
        <v>2490</v>
      </c>
      <c r="EE546" s="2039">
        <f t="shared" si="356"/>
        <v>0</v>
      </c>
      <c r="EF546" s="2039">
        <f t="shared" si="356"/>
        <v>0</v>
      </c>
      <c r="EG546" s="2039">
        <f t="shared" si="356"/>
        <v>0</v>
      </c>
      <c r="EH546" s="2039">
        <f t="shared" si="355"/>
        <v>0</v>
      </c>
      <c r="EI546" s="2040">
        <f t="shared" si="385"/>
        <v>0</v>
      </c>
      <c r="EJ546" s="2040">
        <f t="shared" si="385"/>
        <v>0</v>
      </c>
      <c r="EK546" s="2040">
        <f t="shared" si="385"/>
        <v>0</v>
      </c>
      <c r="EL546" s="2040">
        <f t="shared" si="383"/>
        <v>0</v>
      </c>
      <c r="EM546" s="2040">
        <f t="shared" si="383"/>
        <v>0</v>
      </c>
      <c r="EN546" s="2040">
        <f t="shared" si="383"/>
        <v>0</v>
      </c>
      <c r="EO546" s="2040">
        <f t="shared" si="350"/>
        <v>0</v>
      </c>
      <c r="EP546" s="2040">
        <f t="shared" si="350"/>
        <v>0</v>
      </c>
      <c r="EQ546" s="2040">
        <f t="shared" si="350"/>
        <v>0</v>
      </c>
      <c r="ER546" s="2040">
        <f t="shared" si="350"/>
        <v>0</v>
      </c>
      <c r="ES546" s="2040">
        <f t="shared" si="350"/>
        <v>0</v>
      </c>
      <c r="ET546" s="2040">
        <f t="shared" si="350"/>
        <v>0</v>
      </c>
      <c r="EU546" s="2039">
        <f t="shared" si="357"/>
        <v>0</v>
      </c>
      <c r="EV546" s="2039">
        <f t="shared" si="358"/>
        <v>0</v>
      </c>
    </row>
    <row r="547" spans="1:152" x14ac:dyDescent="0.25">
      <c r="A547" s="2150" t="str">
        <f t="shared" ref="A547:B562" si="387">IF(A86="","",A86)</f>
        <v>Hot Holding Cabinet (half size)</v>
      </c>
      <c r="B547" s="1974" t="str">
        <f t="shared" si="387"/>
        <v>BPCK5</v>
      </c>
      <c r="C547" s="2027">
        <f t="shared" si="384"/>
        <v>12</v>
      </c>
      <c r="D547" s="2144">
        <f t="shared" si="384"/>
        <v>2628</v>
      </c>
      <c r="E547" s="2145">
        <f t="shared" si="384"/>
        <v>1.2</v>
      </c>
      <c r="F547" s="2027">
        <f t="shared" si="384"/>
        <v>0</v>
      </c>
      <c r="G547" s="1974" t="s">
        <v>2988</v>
      </c>
      <c r="H547" s="1974" t="s">
        <v>2988</v>
      </c>
      <c r="I547" s="2026">
        <v>0.9</v>
      </c>
      <c r="J547" s="2026">
        <v>0.9</v>
      </c>
      <c r="K547" s="2026">
        <v>0.9</v>
      </c>
      <c r="L547" s="2026">
        <v>0.9</v>
      </c>
      <c r="M547" s="2027">
        <f t="shared" si="374"/>
        <v>2365.2000000000003</v>
      </c>
      <c r="N547" s="2027">
        <f t="shared" si="374"/>
        <v>2365.2000000000003</v>
      </c>
      <c r="O547" s="2027">
        <f t="shared" si="374"/>
        <v>2365.2000000000003</v>
      </c>
      <c r="P547" s="2027">
        <f t="shared" si="362"/>
        <v>2365.2000000000003</v>
      </c>
      <c r="Q547" s="2026">
        <v>0.9</v>
      </c>
      <c r="R547" s="2026">
        <v>0.9</v>
      </c>
      <c r="S547" s="2026">
        <v>0.9</v>
      </c>
      <c r="T547" s="2026">
        <v>0.9</v>
      </c>
      <c r="U547" s="2028">
        <f t="shared" si="375"/>
        <v>1.08</v>
      </c>
      <c r="V547" s="2028">
        <f t="shared" si="375"/>
        <v>1.08</v>
      </c>
      <c r="W547" s="2028">
        <f t="shared" si="375"/>
        <v>1.08</v>
      </c>
      <c r="X547" s="2028">
        <f t="shared" si="363"/>
        <v>1.08</v>
      </c>
      <c r="Y547" s="2026">
        <v>0.9</v>
      </c>
      <c r="Z547" s="2026">
        <v>0.9</v>
      </c>
      <c r="AA547" s="2026">
        <v>0.9</v>
      </c>
      <c r="AB547" s="2026">
        <v>0.9</v>
      </c>
      <c r="AC547" s="2027">
        <f t="shared" si="376"/>
        <v>0</v>
      </c>
      <c r="AD547" s="2027">
        <f t="shared" si="376"/>
        <v>0</v>
      </c>
      <c r="AE547" s="2027">
        <f t="shared" si="376"/>
        <v>0</v>
      </c>
      <c r="AF547" s="2027">
        <f t="shared" si="364"/>
        <v>0</v>
      </c>
      <c r="AG547" s="2027">
        <v>0</v>
      </c>
      <c r="AH547" s="2028"/>
      <c r="AI547" s="2028">
        <v>1</v>
      </c>
      <c r="AJ547" s="2028"/>
      <c r="AK547" s="2027">
        <f t="shared" si="365"/>
        <v>0</v>
      </c>
      <c r="AL547" s="2027">
        <f t="shared" si="366"/>
        <v>0</v>
      </c>
      <c r="AM547" s="2027">
        <f t="shared" si="366"/>
        <v>2365.2000000000003</v>
      </c>
      <c r="AN547" s="2027">
        <f t="shared" si="366"/>
        <v>0</v>
      </c>
      <c r="AO547" s="2027">
        <f t="shared" si="377"/>
        <v>0</v>
      </c>
      <c r="AP547" s="2027">
        <f t="shared" si="367"/>
        <v>0</v>
      </c>
      <c r="AQ547" s="2027">
        <f t="shared" si="367"/>
        <v>0</v>
      </c>
      <c r="AR547" s="2027">
        <f t="shared" si="367"/>
        <v>0</v>
      </c>
      <c r="AS547" s="2124">
        <f t="shared" si="386"/>
        <v>500</v>
      </c>
      <c r="AT547" s="2029">
        <f t="shared" si="368"/>
        <v>500</v>
      </c>
      <c r="AU547" s="2029">
        <f t="shared" si="368"/>
        <v>500</v>
      </c>
      <c r="AV547" s="2029">
        <f t="shared" si="368"/>
        <v>500</v>
      </c>
      <c r="AW547" s="2124">
        <f t="shared" si="369"/>
        <v>0</v>
      </c>
      <c r="AX547" s="2029">
        <f t="shared" ref="AX547:AZ610" si="388">$AW547</f>
        <v>0</v>
      </c>
      <c r="AY547" s="2029">
        <f t="shared" si="388"/>
        <v>0</v>
      </c>
      <c r="AZ547" s="2029">
        <f t="shared" si="388"/>
        <v>0</v>
      </c>
      <c r="BA547" s="2124">
        <f t="shared" si="380"/>
        <v>1500</v>
      </c>
      <c r="BB547" s="2029">
        <f t="shared" si="380"/>
        <v>1500</v>
      </c>
      <c r="BC547" s="2029">
        <f t="shared" si="380"/>
        <v>1500</v>
      </c>
      <c r="BD547" s="2029">
        <f t="shared" si="380"/>
        <v>1500</v>
      </c>
      <c r="BE547" s="2030">
        <f t="shared" si="378"/>
        <v>0</v>
      </c>
      <c r="BF547" s="2030">
        <f t="shared" si="378"/>
        <v>0</v>
      </c>
      <c r="BG547" s="2030">
        <f t="shared" si="378"/>
        <v>500</v>
      </c>
      <c r="BH547" s="2030">
        <f t="shared" si="370"/>
        <v>0</v>
      </c>
      <c r="BI547" s="2030">
        <f t="shared" si="379"/>
        <v>0</v>
      </c>
      <c r="BJ547" s="2030">
        <f t="shared" si="379"/>
        <v>0</v>
      </c>
      <c r="BK547" s="2030">
        <f t="shared" si="379"/>
        <v>0</v>
      </c>
      <c r="BL547" s="2030">
        <f t="shared" si="371"/>
        <v>0</v>
      </c>
      <c r="BM547" s="2125"/>
      <c r="BN547" s="2125"/>
      <c r="BO547" s="2125"/>
      <c r="BP547" s="2125"/>
      <c r="BQ547" s="2125"/>
      <c r="BR547" s="2125"/>
      <c r="BS547" s="2125"/>
      <c r="BT547" s="2125"/>
      <c r="BU547" s="2029"/>
      <c r="BV547" s="2029"/>
      <c r="BW547" s="2029"/>
      <c r="BX547" s="2029"/>
      <c r="BY547" s="2029"/>
      <c r="BZ547" s="2032"/>
      <c r="CA547" s="1974">
        <f t="shared" ref="CA547:CE562" si="389">CA86</f>
        <v>0</v>
      </c>
      <c r="CB547" s="1974">
        <f t="shared" si="389"/>
        <v>0</v>
      </c>
      <c r="CC547" s="1974">
        <f t="shared" si="389"/>
        <v>0</v>
      </c>
      <c r="CD547" s="1974">
        <f t="shared" si="389"/>
        <v>0</v>
      </c>
      <c r="CE547" s="1974">
        <f t="shared" si="389"/>
        <v>0</v>
      </c>
      <c r="CF547" s="2033">
        <v>0</v>
      </c>
      <c r="CG547" s="2026">
        <v>0</v>
      </c>
      <c r="CH547" s="2009">
        <f t="shared" ref="CH547:CK562" si="390">CH86</f>
        <v>0</v>
      </c>
      <c r="CI547" s="2031">
        <f t="shared" si="390"/>
        <v>0</v>
      </c>
      <c r="CJ547" s="1974">
        <f t="shared" si="390"/>
        <v>0</v>
      </c>
      <c r="CK547" s="2031">
        <f t="shared" si="390"/>
        <v>0</v>
      </c>
      <c r="CL547" s="2026">
        <v>1</v>
      </c>
      <c r="CM547" s="2026">
        <v>1</v>
      </c>
      <c r="CN547" s="2026">
        <v>1</v>
      </c>
      <c r="CO547" s="2026">
        <v>1</v>
      </c>
      <c r="CP547" s="2035"/>
      <c r="CQ547" s="2036"/>
      <c r="CR547" s="2036"/>
      <c r="CS547" s="2036"/>
      <c r="CT547" s="2036"/>
      <c r="CU547" s="2036"/>
      <c r="CV547" s="1973">
        <v>1</v>
      </c>
      <c r="CW547" s="1973">
        <v>0</v>
      </c>
      <c r="CX547" s="2037">
        <v>500</v>
      </c>
      <c r="CY547" s="2037">
        <v>500</v>
      </c>
      <c r="CZ547" s="2037">
        <v>500</v>
      </c>
      <c r="DA547" s="2037">
        <v>500</v>
      </c>
      <c r="DJ547" s="1976">
        <v>500</v>
      </c>
      <c r="DK547" s="1973">
        <v>500</v>
      </c>
      <c r="DL547" s="1973">
        <v>500</v>
      </c>
      <c r="DM547" s="1973">
        <v>500</v>
      </c>
      <c r="DO547" s="2027">
        <v>12</v>
      </c>
      <c r="DP547" s="2144">
        <v>2628</v>
      </c>
      <c r="DQ547" s="2145">
        <v>1.2</v>
      </c>
      <c r="DR547" s="2027">
        <v>0</v>
      </c>
      <c r="DS547" s="2124">
        <v>500</v>
      </c>
      <c r="DT547" s="2029">
        <v>500</v>
      </c>
      <c r="DU547" s="2029">
        <v>500</v>
      </c>
      <c r="DV547" s="2029">
        <v>500</v>
      </c>
      <c r="DW547" s="2124">
        <v>0</v>
      </c>
      <c r="DX547" s="2029">
        <v>0</v>
      </c>
      <c r="DY547" s="2029">
        <v>0</v>
      </c>
      <c r="DZ547" s="2029">
        <v>0</v>
      </c>
      <c r="EA547" s="2124">
        <v>1500</v>
      </c>
      <c r="EB547" s="2029">
        <v>1500</v>
      </c>
      <c r="EC547" s="2029">
        <v>1500</v>
      </c>
      <c r="ED547" s="2029">
        <v>1500</v>
      </c>
      <c r="EE547" s="2039">
        <f t="shared" si="356"/>
        <v>0</v>
      </c>
      <c r="EF547" s="2039">
        <f t="shared" si="356"/>
        <v>0</v>
      </c>
      <c r="EG547" s="2039">
        <f t="shared" si="356"/>
        <v>0</v>
      </c>
      <c r="EH547" s="2039">
        <f t="shared" si="355"/>
        <v>0</v>
      </c>
      <c r="EI547" s="2040">
        <f t="shared" si="385"/>
        <v>0</v>
      </c>
      <c r="EJ547" s="2040">
        <f t="shared" si="385"/>
        <v>0</v>
      </c>
      <c r="EK547" s="2040">
        <f t="shared" si="385"/>
        <v>0</v>
      </c>
      <c r="EL547" s="2040">
        <f t="shared" si="383"/>
        <v>0</v>
      </c>
      <c r="EM547" s="2040">
        <f t="shared" si="383"/>
        <v>0</v>
      </c>
      <c r="EN547" s="2040">
        <f t="shared" si="383"/>
        <v>0</v>
      </c>
      <c r="EO547" s="2040">
        <f t="shared" si="350"/>
        <v>0</v>
      </c>
      <c r="EP547" s="2040">
        <f t="shared" si="350"/>
        <v>0</v>
      </c>
      <c r="EQ547" s="2040">
        <f t="shared" si="350"/>
        <v>0</v>
      </c>
      <c r="ER547" s="2040">
        <f t="shared" si="350"/>
        <v>0</v>
      </c>
      <c r="ES547" s="2040">
        <f t="shared" si="350"/>
        <v>0</v>
      </c>
      <c r="ET547" s="2040">
        <f t="shared" si="350"/>
        <v>0</v>
      </c>
      <c r="EU547" s="2039">
        <f t="shared" si="357"/>
        <v>0</v>
      </c>
      <c r="EV547" s="2039">
        <f t="shared" si="358"/>
        <v>0</v>
      </c>
    </row>
    <row r="548" spans="1:152" x14ac:dyDescent="0.25">
      <c r="A548" s="2150" t="str">
        <f t="shared" si="387"/>
        <v>Hot Holding Cabinet (three-quarter size)</v>
      </c>
      <c r="B548" s="1974" t="str">
        <f t="shared" si="387"/>
        <v>BPCK6</v>
      </c>
      <c r="C548" s="2027">
        <f t="shared" si="384"/>
        <v>12</v>
      </c>
      <c r="D548" s="2144">
        <f t="shared" si="384"/>
        <v>3942</v>
      </c>
      <c r="E548" s="2145">
        <f t="shared" si="384"/>
        <v>1.8</v>
      </c>
      <c r="F548" s="2027">
        <f t="shared" si="384"/>
        <v>0</v>
      </c>
      <c r="G548" s="1974" t="s">
        <v>2988</v>
      </c>
      <c r="H548" s="1974" t="s">
        <v>2988</v>
      </c>
      <c r="I548" s="2026">
        <v>0.9</v>
      </c>
      <c r="J548" s="2026">
        <v>0.9</v>
      </c>
      <c r="K548" s="2026">
        <v>0.9</v>
      </c>
      <c r="L548" s="2026">
        <v>0.9</v>
      </c>
      <c r="M548" s="2027">
        <f t="shared" si="374"/>
        <v>3547.8</v>
      </c>
      <c r="N548" s="2027">
        <f t="shared" si="374"/>
        <v>3547.8</v>
      </c>
      <c r="O548" s="2027">
        <f t="shared" si="374"/>
        <v>3547.8</v>
      </c>
      <c r="P548" s="2027">
        <f t="shared" si="362"/>
        <v>3547.8</v>
      </c>
      <c r="Q548" s="2026">
        <v>0.9</v>
      </c>
      <c r="R548" s="2026">
        <v>0.9</v>
      </c>
      <c r="S548" s="2026">
        <v>0.9</v>
      </c>
      <c r="T548" s="2026">
        <v>0.9</v>
      </c>
      <c r="U548" s="2028">
        <f t="shared" si="375"/>
        <v>1.62</v>
      </c>
      <c r="V548" s="2028">
        <f t="shared" si="375"/>
        <v>1.62</v>
      </c>
      <c r="W548" s="2028">
        <f t="shared" si="375"/>
        <v>1.62</v>
      </c>
      <c r="X548" s="2028">
        <f t="shared" si="363"/>
        <v>1.62</v>
      </c>
      <c r="Y548" s="2026">
        <v>0.9</v>
      </c>
      <c r="Z548" s="2026">
        <v>0.9</v>
      </c>
      <c r="AA548" s="2026">
        <v>0.9</v>
      </c>
      <c r="AB548" s="2026">
        <v>0.9</v>
      </c>
      <c r="AC548" s="2027">
        <f t="shared" si="376"/>
        <v>0</v>
      </c>
      <c r="AD548" s="2027">
        <f t="shared" si="376"/>
        <v>0</v>
      </c>
      <c r="AE548" s="2027">
        <f t="shared" si="376"/>
        <v>0</v>
      </c>
      <c r="AF548" s="2027">
        <f t="shared" si="364"/>
        <v>0</v>
      </c>
      <c r="AG548" s="2027">
        <v>0</v>
      </c>
      <c r="AH548" s="2028">
        <v>1</v>
      </c>
      <c r="AI548" s="2028"/>
      <c r="AJ548" s="2028"/>
      <c r="AK548" s="2027">
        <f t="shared" si="365"/>
        <v>0</v>
      </c>
      <c r="AL548" s="2027">
        <f t="shared" si="366"/>
        <v>3547.8</v>
      </c>
      <c r="AM548" s="2027">
        <f t="shared" si="366"/>
        <v>0</v>
      </c>
      <c r="AN548" s="2027">
        <f t="shared" si="366"/>
        <v>0</v>
      </c>
      <c r="AO548" s="2027">
        <f t="shared" si="377"/>
        <v>0</v>
      </c>
      <c r="AP548" s="2027">
        <f t="shared" si="367"/>
        <v>0</v>
      </c>
      <c r="AQ548" s="2027">
        <f t="shared" si="367"/>
        <v>0</v>
      </c>
      <c r="AR548" s="2027">
        <f t="shared" si="367"/>
        <v>0</v>
      </c>
      <c r="AS548" s="2124">
        <f t="shared" si="386"/>
        <v>750</v>
      </c>
      <c r="AT548" s="2029">
        <f t="shared" si="368"/>
        <v>750</v>
      </c>
      <c r="AU548" s="2029">
        <f t="shared" si="368"/>
        <v>750</v>
      </c>
      <c r="AV548" s="2029">
        <f t="shared" si="368"/>
        <v>750</v>
      </c>
      <c r="AW548" s="2124">
        <f t="shared" si="369"/>
        <v>0</v>
      </c>
      <c r="AX548" s="2029">
        <f t="shared" si="388"/>
        <v>0</v>
      </c>
      <c r="AY548" s="2029">
        <f t="shared" si="388"/>
        <v>0</v>
      </c>
      <c r="AZ548" s="2029">
        <f t="shared" si="388"/>
        <v>0</v>
      </c>
      <c r="BA548" s="2124">
        <f t="shared" si="380"/>
        <v>1800</v>
      </c>
      <c r="BB548" s="2029">
        <f t="shared" si="380"/>
        <v>1800</v>
      </c>
      <c r="BC548" s="2029">
        <f t="shared" si="380"/>
        <v>1800</v>
      </c>
      <c r="BD548" s="2029">
        <f t="shared" si="380"/>
        <v>1800</v>
      </c>
      <c r="BE548" s="2030">
        <f t="shared" si="378"/>
        <v>0</v>
      </c>
      <c r="BF548" s="2030">
        <f t="shared" si="378"/>
        <v>750</v>
      </c>
      <c r="BG548" s="2030">
        <f t="shared" si="378"/>
        <v>0</v>
      </c>
      <c r="BH548" s="2030">
        <f t="shared" si="370"/>
        <v>0</v>
      </c>
      <c r="BI548" s="2030">
        <f t="shared" si="379"/>
        <v>0</v>
      </c>
      <c r="BJ548" s="2030">
        <f t="shared" si="379"/>
        <v>0</v>
      </c>
      <c r="BK548" s="2030">
        <f t="shared" si="379"/>
        <v>0</v>
      </c>
      <c r="BL548" s="2030">
        <f t="shared" si="371"/>
        <v>0</v>
      </c>
      <c r="BM548" s="2125"/>
      <c r="BN548" s="2125"/>
      <c r="BO548" s="2125"/>
      <c r="BP548" s="2125"/>
      <c r="BQ548" s="2125"/>
      <c r="BR548" s="2125"/>
      <c r="BS548" s="2125"/>
      <c r="BT548" s="2125"/>
      <c r="BU548" s="2029"/>
      <c r="BV548" s="2029"/>
      <c r="BW548" s="2029"/>
      <c r="BX548" s="2029"/>
      <c r="BY548" s="2029"/>
      <c r="BZ548" s="2032"/>
      <c r="CA548" s="1974">
        <f t="shared" si="389"/>
        <v>0</v>
      </c>
      <c r="CB548" s="1974">
        <f t="shared" si="389"/>
        <v>0</v>
      </c>
      <c r="CC548" s="1974">
        <f t="shared" si="389"/>
        <v>0</v>
      </c>
      <c r="CD548" s="1974">
        <f t="shared" si="389"/>
        <v>0</v>
      </c>
      <c r="CE548" s="1974">
        <f t="shared" si="389"/>
        <v>0</v>
      </c>
      <c r="CF548" s="2033">
        <v>0</v>
      </c>
      <c r="CG548" s="2026">
        <v>0</v>
      </c>
      <c r="CH548" s="2009">
        <f t="shared" si="390"/>
        <v>0</v>
      </c>
      <c r="CI548" s="2031">
        <f t="shared" si="390"/>
        <v>0</v>
      </c>
      <c r="CJ548" s="1974">
        <f t="shared" si="390"/>
        <v>0</v>
      </c>
      <c r="CK548" s="2031">
        <f t="shared" si="390"/>
        <v>0</v>
      </c>
      <c r="CL548" s="2026">
        <v>1</v>
      </c>
      <c r="CM548" s="2026">
        <v>1</v>
      </c>
      <c r="CN548" s="2026">
        <v>1</v>
      </c>
      <c r="CO548" s="2026">
        <v>1</v>
      </c>
      <c r="CP548" s="2035"/>
      <c r="CQ548" s="2036"/>
      <c r="CR548" s="2036"/>
      <c r="CS548" s="2036"/>
      <c r="CT548" s="2036"/>
      <c r="CU548" s="2036"/>
      <c r="CV548" s="1973">
        <v>1</v>
      </c>
      <c r="CW548" s="1973">
        <v>0</v>
      </c>
      <c r="CX548" s="2037">
        <v>750</v>
      </c>
      <c r="CY548" s="2037">
        <v>750</v>
      </c>
      <c r="CZ548" s="2037">
        <v>750</v>
      </c>
      <c r="DA548" s="2037">
        <v>750</v>
      </c>
      <c r="DJ548" s="1976">
        <v>750</v>
      </c>
      <c r="DK548" s="1973">
        <v>750</v>
      </c>
      <c r="DL548" s="1973">
        <v>750</v>
      </c>
      <c r="DM548" s="1973">
        <v>750</v>
      </c>
      <c r="DO548" s="2027">
        <v>12</v>
      </c>
      <c r="DP548" s="2144">
        <v>3942</v>
      </c>
      <c r="DQ548" s="2145">
        <v>1.8</v>
      </c>
      <c r="DR548" s="2027">
        <v>0</v>
      </c>
      <c r="DS548" s="2124">
        <v>750</v>
      </c>
      <c r="DT548" s="2029">
        <v>750</v>
      </c>
      <c r="DU548" s="2029">
        <v>750</v>
      </c>
      <c r="DV548" s="2029">
        <v>750</v>
      </c>
      <c r="DW548" s="2124">
        <v>0</v>
      </c>
      <c r="DX548" s="2029">
        <v>0</v>
      </c>
      <c r="DY548" s="2029">
        <v>0</v>
      </c>
      <c r="DZ548" s="2029">
        <v>0</v>
      </c>
      <c r="EA548" s="2124">
        <v>1800</v>
      </c>
      <c r="EB548" s="2029">
        <v>1800</v>
      </c>
      <c r="EC548" s="2029">
        <v>1800</v>
      </c>
      <c r="ED548" s="2029">
        <v>1800</v>
      </c>
      <c r="EE548" s="2039">
        <f t="shared" si="356"/>
        <v>0</v>
      </c>
      <c r="EF548" s="2039">
        <f t="shared" si="356"/>
        <v>0</v>
      </c>
      <c r="EG548" s="2039">
        <f t="shared" si="356"/>
        <v>0</v>
      </c>
      <c r="EH548" s="2039">
        <f t="shared" si="355"/>
        <v>0</v>
      </c>
      <c r="EI548" s="2040">
        <f t="shared" si="385"/>
        <v>0</v>
      </c>
      <c r="EJ548" s="2040">
        <f t="shared" si="385"/>
        <v>0</v>
      </c>
      <c r="EK548" s="2040">
        <f t="shared" si="385"/>
        <v>0</v>
      </c>
      <c r="EL548" s="2040">
        <f t="shared" si="383"/>
        <v>0</v>
      </c>
      <c r="EM548" s="2040">
        <f t="shared" si="383"/>
        <v>0</v>
      </c>
      <c r="EN548" s="2040">
        <f t="shared" si="383"/>
        <v>0</v>
      </c>
      <c r="EO548" s="2040">
        <f t="shared" si="350"/>
        <v>0</v>
      </c>
      <c r="EP548" s="2040">
        <f t="shared" si="350"/>
        <v>0</v>
      </c>
      <c r="EQ548" s="2040">
        <f t="shared" si="350"/>
        <v>0</v>
      </c>
      <c r="ER548" s="2040">
        <f t="shared" si="350"/>
        <v>0</v>
      </c>
      <c r="ES548" s="2040">
        <f t="shared" si="350"/>
        <v>0</v>
      </c>
      <c r="ET548" s="2040">
        <f t="shared" si="350"/>
        <v>0</v>
      </c>
      <c r="EU548" s="2039">
        <f t="shared" si="357"/>
        <v>0</v>
      </c>
      <c r="EV548" s="2039">
        <f t="shared" si="358"/>
        <v>0</v>
      </c>
    </row>
    <row r="549" spans="1:152" x14ac:dyDescent="0.25">
      <c r="A549" s="2150" t="str">
        <f t="shared" si="387"/>
        <v>Hot Holding Cabinet (full size)</v>
      </c>
      <c r="B549" s="1974" t="str">
        <f t="shared" si="387"/>
        <v>BPCK7</v>
      </c>
      <c r="C549" s="2027">
        <f t="shared" si="384"/>
        <v>12</v>
      </c>
      <c r="D549" s="2144">
        <f t="shared" si="384"/>
        <v>9308</v>
      </c>
      <c r="E549" s="2145">
        <f t="shared" si="384"/>
        <v>4.25</v>
      </c>
      <c r="F549" s="2027">
        <f t="shared" si="384"/>
        <v>0</v>
      </c>
      <c r="G549" s="1974" t="s">
        <v>2988</v>
      </c>
      <c r="H549" s="1974" t="s">
        <v>2988</v>
      </c>
      <c r="I549" s="2026">
        <v>0.9</v>
      </c>
      <c r="J549" s="2026">
        <v>0.9</v>
      </c>
      <c r="K549" s="2026">
        <v>0.9</v>
      </c>
      <c r="L549" s="2026">
        <v>0.9</v>
      </c>
      <c r="M549" s="2027">
        <f t="shared" si="374"/>
        <v>8377.2000000000007</v>
      </c>
      <c r="N549" s="2027">
        <f t="shared" si="374"/>
        <v>8377.2000000000007</v>
      </c>
      <c r="O549" s="2027">
        <f t="shared" si="374"/>
        <v>8377.2000000000007</v>
      </c>
      <c r="P549" s="2027">
        <f t="shared" si="362"/>
        <v>8377.2000000000007</v>
      </c>
      <c r="Q549" s="2026">
        <v>0.9</v>
      </c>
      <c r="R549" s="2026">
        <v>0.9</v>
      </c>
      <c r="S549" s="2026">
        <v>0.9</v>
      </c>
      <c r="T549" s="2026">
        <v>0.9</v>
      </c>
      <c r="U549" s="2028">
        <f t="shared" si="375"/>
        <v>3.8250000000000002</v>
      </c>
      <c r="V549" s="2028">
        <f t="shared" si="375"/>
        <v>3.8250000000000002</v>
      </c>
      <c r="W549" s="2028">
        <f t="shared" si="375"/>
        <v>3.8250000000000002</v>
      </c>
      <c r="X549" s="2028">
        <f t="shared" si="363"/>
        <v>3.8250000000000002</v>
      </c>
      <c r="Y549" s="2026">
        <v>0.9</v>
      </c>
      <c r="Z549" s="2026">
        <v>0.9</v>
      </c>
      <c r="AA549" s="2026">
        <v>0.9</v>
      </c>
      <c r="AB549" s="2026">
        <v>0.9</v>
      </c>
      <c r="AC549" s="2027">
        <f t="shared" si="376"/>
        <v>0</v>
      </c>
      <c r="AD549" s="2027">
        <f t="shared" si="376"/>
        <v>0</v>
      </c>
      <c r="AE549" s="2027">
        <f t="shared" si="376"/>
        <v>0</v>
      </c>
      <c r="AF549" s="2027">
        <f t="shared" si="364"/>
        <v>0</v>
      </c>
      <c r="AG549" s="2027">
        <v>1</v>
      </c>
      <c r="AH549" s="2028"/>
      <c r="AI549" s="2028"/>
      <c r="AJ549" s="2028"/>
      <c r="AK549" s="2027">
        <f t="shared" si="365"/>
        <v>8377.2000000000007</v>
      </c>
      <c r="AL549" s="2027">
        <f t="shared" si="366"/>
        <v>0</v>
      </c>
      <c r="AM549" s="2027">
        <f t="shared" si="366"/>
        <v>0</v>
      </c>
      <c r="AN549" s="2027">
        <f t="shared" si="366"/>
        <v>0</v>
      </c>
      <c r="AO549" s="2027">
        <f t="shared" si="377"/>
        <v>0</v>
      </c>
      <c r="AP549" s="2027">
        <f t="shared" si="367"/>
        <v>0</v>
      </c>
      <c r="AQ549" s="2027">
        <f t="shared" si="367"/>
        <v>0</v>
      </c>
      <c r="AR549" s="2027">
        <f t="shared" si="367"/>
        <v>0</v>
      </c>
      <c r="AS549" s="2124">
        <f t="shared" si="386"/>
        <v>1000</v>
      </c>
      <c r="AT549" s="2029">
        <f t="shared" si="368"/>
        <v>1000</v>
      </c>
      <c r="AU549" s="2029">
        <f t="shared" si="368"/>
        <v>1000</v>
      </c>
      <c r="AV549" s="2029">
        <f t="shared" si="368"/>
        <v>1000</v>
      </c>
      <c r="AW549" s="2124">
        <f t="shared" si="369"/>
        <v>0</v>
      </c>
      <c r="AX549" s="2029">
        <f t="shared" si="388"/>
        <v>0</v>
      </c>
      <c r="AY549" s="2029">
        <f t="shared" si="388"/>
        <v>0</v>
      </c>
      <c r="AZ549" s="2029">
        <f t="shared" si="388"/>
        <v>0</v>
      </c>
      <c r="BA549" s="2124">
        <f t="shared" si="380"/>
        <v>1200</v>
      </c>
      <c r="BB549" s="2029">
        <f t="shared" si="380"/>
        <v>1200</v>
      </c>
      <c r="BC549" s="2029">
        <f t="shared" si="380"/>
        <v>1200</v>
      </c>
      <c r="BD549" s="2029">
        <f t="shared" si="380"/>
        <v>1200</v>
      </c>
      <c r="BE549" s="2030">
        <f t="shared" si="378"/>
        <v>1000</v>
      </c>
      <c r="BF549" s="2030">
        <f t="shared" si="378"/>
        <v>0</v>
      </c>
      <c r="BG549" s="2030">
        <f t="shared" si="378"/>
        <v>0</v>
      </c>
      <c r="BH549" s="2030">
        <f t="shared" si="370"/>
        <v>0</v>
      </c>
      <c r="BI549" s="2030">
        <f t="shared" si="379"/>
        <v>0</v>
      </c>
      <c r="BJ549" s="2030">
        <f t="shared" si="379"/>
        <v>0</v>
      </c>
      <c r="BK549" s="2030">
        <f t="shared" si="379"/>
        <v>0</v>
      </c>
      <c r="BL549" s="2030">
        <f t="shared" si="371"/>
        <v>0</v>
      </c>
      <c r="BM549" s="2125"/>
      <c r="BN549" s="2125"/>
      <c r="BO549" s="2125"/>
      <c r="BP549" s="2125"/>
      <c r="BQ549" s="2125"/>
      <c r="BR549" s="2125"/>
      <c r="BS549" s="2125"/>
      <c r="BT549" s="2125"/>
      <c r="BU549" s="2029"/>
      <c r="BV549" s="2029"/>
      <c r="BW549" s="2029"/>
      <c r="BX549" s="2029"/>
      <c r="BY549" s="2029"/>
      <c r="BZ549" s="2032"/>
      <c r="CA549" s="1974">
        <f t="shared" si="389"/>
        <v>0</v>
      </c>
      <c r="CB549" s="1974">
        <f t="shared" si="389"/>
        <v>0</v>
      </c>
      <c r="CC549" s="1974">
        <f t="shared" si="389"/>
        <v>0</v>
      </c>
      <c r="CD549" s="1974">
        <f t="shared" si="389"/>
        <v>0</v>
      </c>
      <c r="CE549" s="1974">
        <f t="shared" si="389"/>
        <v>0</v>
      </c>
      <c r="CF549" s="2033">
        <v>3.5019517424445796E-5</v>
      </c>
      <c r="CG549" s="2026">
        <v>0</v>
      </c>
      <c r="CH549" s="2009">
        <f t="shared" si="390"/>
        <v>0</v>
      </c>
      <c r="CI549" s="2031">
        <f t="shared" si="390"/>
        <v>0</v>
      </c>
      <c r="CJ549" s="1974">
        <f t="shared" si="390"/>
        <v>0</v>
      </c>
      <c r="CK549" s="2031">
        <f t="shared" si="390"/>
        <v>0</v>
      </c>
      <c r="CL549" s="2026">
        <v>1</v>
      </c>
      <c r="CM549" s="2026">
        <v>1</v>
      </c>
      <c r="CN549" s="2026">
        <v>1</v>
      </c>
      <c r="CO549" s="2026">
        <v>1</v>
      </c>
      <c r="CP549" s="2035"/>
      <c r="CQ549" s="2036"/>
      <c r="CR549" s="2036"/>
      <c r="CS549" s="2036"/>
      <c r="CT549" s="2036"/>
      <c r="CU549" s="2036"/>
      <c r="CV549" s="1973">
        <v>1</v>
      </c>
      <c r="CW549" s="1973">
        <v>0</v>
      </c>
      <c r="CX549" s="2037">
        <v>1000</v>
      </c>
      <c r="CY549" s="2037">
        <v>1000</v>
      </c>
      <c r="CZ549" s="2037">
        <v>1000</v>
      </c>
      <c r="DA549" s="2037">
        <v>1000</v>
      </c>
      <c r="DJ549" s="1976">
        <v>1000</v>
      </c>
      <c r="DK549" s="1973">
        <v>1000</v>
      </c>
      <c r="DL549" s="1973">
        <v>1000</v>
      </c>
      <c r="DM549" s="1973">
        <v>1000</v>
      </c>
      <c r="DO549" s="2027">
        <v>12</v>
      </c>
      <c r="DP549" s="2144">
        <v>9308</v>
      </c>
      <c r="DQ549" s="2145">
        <v>4.25</v>
      </c>
      <c r="DR549" s="2027">
        <v>0</v>
      </c>
      <c r="DS549" s="2124">
        <v>1000</v>
      </c>
      <c r="DT549" s="2029">
        <v>1000</v>
      </c>
      <c r="DU549" s="2029">
        <v>1000</v>
      </c>
      <c r="DV549" s="2029">
        <v>1000</v>
      </c>
      <c r="DW549" s="2124">
        <v>0</v>
      </c>
      <c r="DX549" s="2029">
        <v>0</v>
      </c>
      <c r="DY549" s="2029">
        <v>0</v>
      </c>
      <c r="DZ549" s="2029">
        <v>0</v>
      </c>
      <c r="EA549" s="2124">
        <v>1200</v>
      </c>
      <c r="EB549" s="2029">
        <v>1200</v>
      </c>
      <c r="EC549" s="2029">
        <v>1200</v>
      </c>
      <c r="ED549" s="2029">
        <v>1200</v>
      </c>
      <c r="EE549" s="2039">
        <f t="shared" si="356"/>
        <v>0</v>
      </c>
      <c r="EF549" s="2039">
        <f t="shared" si="356"/>
        <v>0</v>
      </c>
      <c r="EG549" s="2039">
        <f t="shared" si="356"/>
        <v>0</v>
      </c>
      <c r="EH549" s="2039">
        <f t="shared" si="355"/>
        <v>0</v>
      </c>
      <c r="EI549" s="2040">
        <f t="shared" si="385"/>
        <v>0</v>
      </c>
      <c r="EJ549" s="2040">
        <f t="shared" si="385"/>
        <v>0</v>
      </c>
      <c r="EK549" s="2040">
        <f t="shared" si="385"/>
        <v>0</v>
      </c>
      <c r="EL549" s="2040">
        <f t="shared" si="383"/>
        <v>0</v>
      </c>
      <c r="EM549" s="2040">
        <f t="shared" si="383"/>
        <v>0</v>
      </c>
      <c r="EN549" s="2040">
        <f t="shared" si="383"/>
        <v>0</v>
      </c>
      <c r="EO549" s="2040">
        <f t="shared" si="350"/>
        <v>0</v>
      </c>
      <c r="EP549" s="2040">
        <f t="shared" si="350"/>
        <v>0</v>
      </c>
      <c r="EQ549" s="2040">
        <f t="shared" si="350"/>
        <v>0</v>
      </c>
      <c r="ER549" s="2040">
        <f t="shared" si="350"/>
        <v>0</v>
      </c>
      <c r="ES549" s="2040">
        <f t="shared" si="350"/>
        <v>0</v>
      </c>
      <c r="ET549" s="2040">
        <f t="shared" si="350"/>
        <v>0</v>
      </c>
      <c r="EU549" s="2039">
        <f t="shared" si="357"/>
        <v>0</v>
      </c>
      <c r="EV549" s="2039">
        <f t="shared" si="358"/>
        <v>0</v>
      </c>
    </row>
    <row r="550" spans="1:152" x14ac:dyDescent="0.25">
      <c r="A550" s="2150" t="str">
        <f t="shared" si="387"/>
        <v>Electric Griddle</v>
      </c>
      <c r="B550" s="1974" t="str">
        <f t="shared" si="387"/>
        <v>BPCK8</v>
      </c>
      <c r="C550" s="2027">
        <f t="shared" si="384"/>
        <v>12</v>
      </c>
      <c r="D550" s="2144">
        <f t="shared" si="384"/>
        <v>2597</v>
      </c>
      <c r="E550" s="2145">
        <f t="shared" si="384"/>
        <v>0.22</v>
      </c>
      <c r="F550" s="2027">
        <f t="shared" si="384"/>
        <v>0</v>
      </c>
      <c r="G550" s="1974" t="s">
        <v>2988</v>
      </c>
      <c r="H550" s="1974" t="s">
        <v>2988</v>
      </c>
      <c r="I550" s="2026">
        <v>0.9</v>
      </c>
      <c r="J550" s="2026">
        <v>0.9</v>
      </c>
      <c r="K550" s="2026">
        <v>0.9</v>
      </c>
      <c r="L550" s="2026">
        <v>0.9</v>
      </c>
      <c r="M550" s="2027">
        <f t="shared" si="374"/>
        <v>2337.3000000000002</v>
      </c>
      <c r="N550" s="2027">
        <f t="shared" si="374"/>
        <v>2337.3000000000002</v>
      </c>
      <c r="O550" s="2027">
        <f t="shared" si="374"/>
        <v>2337.3000000000002</v>
      </c>
      <c r="P550" s="2027">
        <f t="shared" si="362"/>
        <v>2337.3000000000002</v>
      </c>
      <c r="Q550" s="2026">
        <v>0.9</v>
      </c>
      <c r="R550" s="2026">
        <v>0.9</v>
      </c>
      <c r="S550" s="2026">
        <v>0.9</v>
      </c>
      <c r="T550" s="2026">
        <v>0.9</v>
      </c>
      <c r="U550" s="2028">
        <f t="shared" si="375"/>
        <v>0.19800000000000001</v>
      </c>
      <c r="V550" s="2028">
        <f t="shared" si="375"/>
        <v>0.19800000000000001</v>
      </c>
      <c r="W550" s="2028">
        <f t="shared" si="375"/>
        <v>0.19800000000000001</v>
      </c>
      <c r="X550" s="2028">
        <f t="shared" si="363"/>
        <v>0.19800000000000001</v>
      </c>
      <c r="Y550" s="2026">
        <v>0.9</v>
      </c>
      <c r="Z550" s="2026">
        <v>0.9</v>
      </c>
      <c r="AA550" s="2026">
        <v>0.9</v>
      </c>
      <c r="AB550" s="2026">
        <v>0.9</v>
      </c>
      <c r="AC550" s="2027">
        <f t="shared" si="376"/>
        <v>0</v>
      </c>
      <c r="AD550" s="2027">
        <f t="shared" si="376"/>
        <v>0</v>
      </c>
      <c r="AE550" s="2027">
        <f t="shared" si="376"/>
        <v>0</v>
      </c>
      <c r="AF550" s="2027">
        <f t="shared" si="364"/>
        <v>0</v>
      </c>
      <c r="AG550" s="2027">
        <v>1</v>
      </c>
      <c r="AH550" s="2028"/>
      <c r="AI550" s="2028"/>
      <c r="AJ550" s="2028"/>
      <c r="AK550" s="2027">
        <f t="shared" si="365"/>
        <v>2337.3000000000002</v>
      </c>
      <c r="AL550" s="2027">
        <f t="shared" si="366"/>
        <v>0</v>
      </c>
      <c r="AM550" s="2027">
        <f t="shared" si="366"/>
        <v>0</v>
      </c>
      <c r="AN550" s="2027">
        <f t="shared" si="366"/>
        <v>0</v>
      </c>
      <c r="AO550" s="2027">
        <f t="shared" si="377"/>
        <v>0</v>
      </c>
      <c r="AP550" s="2027">
        <f t="shared" si="367"/>
        <v>0</v>
      </c>
      <c r="AQ550" s="2027">
        <f t="shared" si="367"/>
        <v>0</v>
      </c>
      <c r="AR550" s="2027">
        <f t="shared" si="367"/>
        <v>0</v>
      </c>
      <c r="AS550" s="2124">
        <f t="shared" si="386"/>
        <v>120</v>
      </c>
      <c r="AT550" s="2029">
        <f t="shared" si="368"/>
        <v>120</v>
      </c>
      <c r="AU550" s="2029">
        <f t="shared" si="368"/>
        <v>120</v>
      </c>
      <c r="AV550" s="2029">
        <f t="shared" si="368"/>
        <v>120</v>
      </c>
      <c r="AW550" s="2124">
        <f t="shared" si="369"/>
        <v>0</v>
      </c>
      <c r="AX550" s="2029">
        <f t="shared" si="388"/>
        <v>0</v>
      </c>
      <c r="AY550" s="2029">
        <f t="shared" si="388"/>
        <v>0</v>
      </c>
      <c r="AZ550" s="2029">
        <f t="shared" si="388"/>
        <v>0</v>
      </c>
      <c r="BA550" s="2124">
        <f t="shared" ref="BA550:BD565" si="391">BA89</f>
        <v>0</v>
      </c>
      <c r="BB550" s="2029">
        <f t="shared" si="391"/>
        <v>0</v>
      </c>
      <c r="BC550" s="2029">
        <f t="shared" si="391"/>
        <v>0</v>
      </c>
      <c r="BD550" s="2029">
        <f t="shared" si="391"/>
        <v>0</v>
      </c>
      <c r="BE550" s="2030">
        <f t="shared" si="378"/>
        <v>120</v>
      </c>
      <c r="BF550" s="2030">
        <f t="shared" si="378"/>
        <v>0</v>
      </c>
      <c r="BG550" s="2030">
        <f t="shared" si="378"/>
        <v>0</v>
      </c>
      <c r="BH550" s="2030">
        <f t="shared" si="370"/>
        <v>0</v>
      </c>
      <c r="BI550" s="2030">
        <f t="shared" si="379"/>
        <v>0</v>
      </c>
      <c r="BJ550" s="2030">
        <f t="shared" si="379"/>
        <v>0</v>
      </c>
      <c r="BK550" s="2030">
        <f t="shared" si="379"/>
        <v>0</v>
      </c>
      <c r="BL550" s="2030">
        <f t="shared" si="371"/>
        <v>0</v>
      </c>
      <c r="BM550" s="2125"/>
      <c r="BN550" s="2125"/>
      <c r="BO550" s="2125"/>
      <c r="BP550" s="2125"/>
      <c r="BQ550" s="2125"/>
      <c r="BR550" s="2125"/>
      <c r="BS550" s="2125"/>
      <c r="BT550" s="2125"/>
      <c r="BU550" s="2029"/>
      <c r="BV550" s="2029"/>
      <c r="BW550" s="2029"/>
      <c r="BX550" s="2029"/>
      <c r="BY550" s="2029"/>
      <c r="BZ550" s="2032"/>
      <c r="CA550" s="1974">
        <f t="shared" si="389"/>
        <v>0</v>
      </c>
      <c r="CB550" s="1974">
        <f t="shared" si="389"/>
        <v>0</v>
      </c>
      <c r="CC550" s="1974">
        <f t="shared" si="389"/>
        <v>0</v>
      </c>
      <c r="CD550" s="1974">
        <f t="shared" si="389"/>
        <v>0</v>
      </c>
      <c r="CE550" s="1974">
        <f t="shared" si="389"/>
        <v>0</v>
      </c>
      <c r="CF550" s="2033">
        <v>9.7707011980324157E-6</v>
      </c>
      <c r="CG550" s="2026">
        <v>0</v>
      </c>
      <c r="CH550" s="2009">
        <f t="shared" si="390"/>
        <v>0</v>
      </c>
      <c r="CI550" s="2031">
        <f t="shared" si="390"/>
        <v>0</v>
      </c>
      <c r="CJ550" s="1974">
        <f t="shared" si="390"/>
        <v>0</v>
      </c>
      <c r="CK550" s="2031">
        <f t="shared" si="390"/>
        <v>0</v>
      </c>
      <c r="CL550" s="2026">
        <v>1</v>
      </c>
      <c r="CM550" s="2026">
        <v>1</v>
      </c>
      <c r="CN550" s="2026">
        <v>1</v>
      </c>
      <c r="CO550" s="2026">
        <v>1</v>
      </c>
      <c r="CP550" s="2035"/>
      <c r="CQ550" s="2036"/>
      <c r="CR550" s="2036"/>
      <c r="CS550" s="2036"/>
      <c r="CT550" s="2036"/>
      <c r="CU550" s="2036"/>
      <c r="CV550" s="1973">
        <v>1</v>
      </c>
      <c r="CW550" s="1973">
        <v>0</v>
      </c>
      <c r="CX550" s="2037">
        <v>120</v>
      </c>
      <c r="CY550" s="2037">
        <v>120</v>
      </c>
      <c r="CZ550" s="2037">
        <v>120</v>
      </c>
      <c r="DA550" s="2037">
        <v>120</v>
      </c>
      <c r="DJ550" s="1976">
        <v>120</v>
      </c>
      <c r="DK550" s="1973">
        <v>120</v>
      </c>
      <c r="DL550" s="1973">
        <v>120</v>
      </c>
      <c r="DM550" s="1973">
        <v>120</v>
      </c>
      <c r="DO550" s="2027">
        <v>12</v>
      </c>
      <c r="DP550" s="2144">
        <v>2597</v>
      </c>
      <c r="DQ550" s="2145">
        <v>0.22</v>
      </c>
      <c r="DR550" s="2027">
        <v>0</v>
      </c>
      <c r="DS550" s="2124">
        <v>120</v>
      </c>
      <c r="DT550" s="2029">
        <v>120</v>
      </c>
      <c r="DU550" s="2029">
        <v>120</v>
      </c>
      <c r="DV550" s="2029">
        <v>120</v>
      </c>
      <c r="DW550" s="2124">
        <v>0</v>
      </c>
      <c r="DX550" s="2029">
        <v>0</v>
      </c>
      <c r="DY550" s="2029">
        <v>0</v>
      </c>
      <c r="DZ550" s="2029">
        <v>0</v>
      </c>
      <c r="EA550" s="2124">
        <v>0</v>
      </c>
      <c r="EB550" s="2029">
        <v>0</v>
      </c>
      <c r="EC550" s="2029">
        <v>0</v>
      </c>
      <c r="ED550" s="2029">
        <v>0</v>
      </c>
      <c r="EE550" s="2039">
        <f t="shared" si="356"/>
        <v>0</v>
      </c>
      <c r="EF550" s="2039">
        <f t="shared" si="356"/>
        <v>0</v>
      </c>
      <c r="EG550" s="2039">
        <f t="shared" si="356"/>
        <v>0</v>
      </c>
      <c r="EH550" s="2039">
        <f t="shared" si="355"/>
        <v>0</v>
      </c>
      <c r="EI550" s="2040">
        <f t="shared" si="385"/>
        <v>0</v>
      </c>
      <c r="EJ550" s="2040">
        <f t="shared" si="385"/>
        <v>0</v>
      </c>
      <c r="EK550" s="2040">
        <f t="shared" si="385"/>
        <v>0</v>
      </c>
      <c r="EL550" s="2040">
        <f t="shared" si="383"/>
        <v>0</v>
      </c>
      <c r="EM550" s="2040">
        <f t="shared" si="383"/>
        <v>0</v>
      </c>
      <c r="EN550" s="2040">
        <f t="shared" si="383"/>
        <v>0</v>
      </c>
      <c r="EO550" s="2040">
        <f t="shared" si="350"/>
        <v>0</v>
      </c>
      <c r="EP550" s="2040">
        <f t="shared" si="350"/>
        <v>0</v>
      </c>
      <c r="EQ550" s="2040">
        <f t="shared" si="350"/>
        <v>0</v>
      </c>
      <c r="ER550" s="2040">
        <f t="shared" si="350"/>
        <v>0</v>
      </c>
      <c r="ES550" s="2040">
        <f t="shared" si="350"/>
        <v>0</v>
      </c>
      <c r="ET550" s="2040">
        <f t="shared" si="350"/>
        <v>0</v>
      </c>
      <c r="EU550" s="2039">
        <f t="shared" si="357"/>
        <v>0</v>
      </c>
      <c r="EV550" s="2039">
        <f t="shared" si="358"/>
        <v>0</v>
      </c>
    </row>
    <row r="551" spans="1:152" x14ac:dyDescent="0.25">
      <c r="A551" s="2150" t="str">
        <f t="shared" si="387"/>
        <v>Dishwasher, High Temp (Includes Booster Heater)</v>
      </c>
      <c r="B551" s="1974" t="str">
        <f t="shared" si="387"/>
        <v>BPCK13</v>
      </c>
      <c r="C551" s="2027">
        <f t="shared" si="384"/>
        <v>15</v>
      </c>
      <c r="D551" s="2144">
        <f t="shared" si="384"/>
        <v>4339.74</v>
      </c>
      <c r="E551" s="2145">
        <f t="shared" si="384"/>
        <v>0.66</v>
      </c>
      <c r="F551" s="2027">
        <f t="shared" si="384"/>
        <v>279</v>
      </c>
      <c r="G551" s="1974" t="s">
        <v>2988</v>
      </c>
      <c r="H551" s="1974" t="s">
        <v>2988</v>
      </c>
      <c r="I551" s="2026">
        <v>0.9</v>
      </c>
      <c r="J551" s="2026">
        <v>0.9</v>
      </c>
      <c r="K551" s="2026">
        <v>0.9</v>
      </c>
      <c r="L551" s="2026">
        <v>0.9</v>
      </c>
      <c r="M551" s="2027">
        <f t="shared" si="374"/>
        <v>3905.7660000000001</v>
      </c>
      <c r="N551" s="2027">
        <f t="shared" si="374"/>
        <v>3905.7660000000001</v>
      </c>
      <c r="O551" s="2027">
        <f t="shared" si="374"/>
        <v>3905.7660000000001</v>
      </c>
      <c r="P551" s="2027">
        <f t="shared" si="362"/>
        <v>3905.7660000000001</v>
      </c>
      <c r="Q551" s="2026">
        <v>0.9</v>
      </c>
      <c r="R551" s="2026">
        <v>0.9</v>
      </c>
      <c r="S551" s="2026">
        <v>0.9</v>
      </c>
      <c r="T551" s="2026">
        <v>0.9</v>
      </c>
      <c r="U551" s="2028">
        <f t="shared" si="375"/>
        <v>0.59400000000000008</v>
      </c>
      <c r="V551" s="2028">
        <f t="shared" si="375"/>
        <v>0.59400000000000008</v>
      </c>
      <c r="W551" s="2028">
        <f t="shared" si="375"/>
        <v>0.59400000000000008</v>
      </c>
      <c r="X551" s="2028">
        <f t="shared" si="363"/>
        <v>0.59400000000000008</v>
      </c>
      <c r="Y551" s="2026">
        <v>0.9</v>
      </c>
      <c r="Z551" s="2026">
        <v>0.9</v>
      </c>
      <c r="AA551" s="2026">
        <v>0.9</v>
      </c>
      <c r="AB551" s="2026">
        <v>0.9</v>
      </c>
      <c r="AC551" s="2027">
        <f t="shared" si="376"/>
        <v>251.1</v>
      </c>
      <c r="AD551" s="2027">
        <f t="shared" si="376"/>
        <v>251.1</v>
      </c>
      <c r="AE551" s="2027">
        <f t="shared" si="376"/>
        <v>251.1</v>
      </c>
      <c r="AF551" s="2027">
        <f t="shared" si="364"/>
        <v>251.1</v>
      </c>
      <c r="AG551" s="2027">
        <v>4</v>
      </c>
      <c r="AH551" s="2028">
        <v>4</v>
      </c>
      <c r="AI551" s="2028">
        <v>3</v>
      </c>
      <c r="AJ551" s="2028">
        <v>3</v>
      </c>
      <c r="AK551" s="2027">
        <f t="shared" si="365"/>
        <v>15623.064</v>
      </c>
      <c r="AL551" s="2027">
        <f t="shared" si="366"/>
        <v>15623.064</v>
      </c>
      <c r="AM551" s="2027">
        <f t="shared" si="366"/>
        <v>11717.298000000001</v>
      </c>
      <c r="AN551" s="2027">
        <f t="shared" si="366"/>
        <v>11717.298000000001</v>
      </c>
      <c r="AO551" s="2027">
        <f t="shared" si="377"/>
        <v>1004.4</v>
      </c>
      <c r="AP551" s="2027">
        <f t="shared" si="367"/>
        <v>1004.4</v>
      </c>
      <c r="AQ551" s="2027">
        <f t="shared" si="367"/>
        <v>753.3</v>
      </c>
      <c r="AR551" s="2027">
        <f t="shared" si="367"/>
        <v>753.3</v>
      </c>
      <c r="AS551" s="2029">
        <f>DF551</f>
        <v>523.58333333333337</v>
      </c>
      <c r="AT551" s="2029">
        <f t="shared" si="368"/>
        <v>523.58333333333337</v>
      </c>
      <c r="AU551" s="2029">
        <f t="shared" si="368"/>
        <v>523.58333333333337</v>
      </c>
      <c r="AV551" s="2029">
        <f t="shared" si="368"/>
        <v>523.58333333333337</v>
      </c>
      <c r="AW551" s="2029">
        <f>CX551-AS551</f>
        <v>334.75</v>
      </c>
      <c r="AX551" s="2029">
        <f t="shared" si="388"/>
        <v>334.75</v>
      </c>
      <c r="AY551" s="2029">
        <f t="shared" si="388"/>
        <v>334.75</v>
      </c>
      <c r="AZ551" s="2029">
        <f t="shared" si="388"/>
        <v>334.75</v>
      </c>
      <c r="BA551" s="2029">
        <f>BA90*1.5</f>
        <v>1686</v>
      </c>
      <c r="BB551" s="2029">
        <f t="shared" si="391"/>
        <v>1124</v>
      </c>
      <c r="BC551" s="2029">
        <f t="shared" si="391"/>
        <v>1124</v>
      </c>
      <c r="BD551" s="2029">
        <f t="shared" si="391"/>
        <v>1124</v>
      </c>
      <c r="BE551" s="2030">
        <f t="shared" si="378"/>
        <v>2094.3333333333335</v>
      </c>
      <c r="BF551" s="2030">
        <f t="shared" si="378"/>
        <v>2094.3333333333335</v>
      </c>
      <c r="BG551" s="2030">
        <f t="shared" si="378"/>
        <v>1570.75</v>
      </c>
      <c r="BH551" s="2030">
        <f t="shared" si="370"/>
        <v>1570.75</v>
      </c>
      <c r="BI551" s="2030">
        <f t="shared" si="379"/>
        <v>1339</v>
      </c>
      <c r="BJ551" s="2030">
        <f t="shared" si="379"/>
        <v>1339</v>
      </c>
      <c r="BK551" s="2030">
        <f t="shared" si="379"/>
        <v>1004.25</v>
      </c>
      <c r="BL551" s="2030">
        <f t="shared" si="371"/>
        <v>1004.25</v>
      </c>
      <c r="BM551" s="2125"/>
      <c r="BN551" s="2125"/>
      <c r="BO551" s="2125"/>
      <c r="BP551" s="2125"/>
      <c r="BQ551" s="2125"/>
      <c r="BR551" s="2125"/>
      <c r="BS551" s="2125"/>
      <c r="BT551" s="2125"/>
      <c r="BU551" s="2029"/>
      <c r="BV551" s="2029"/>
      <c r="BW551" s="2029"/>
      <c r="BX551" s="2029"/>
      <c r="BY551" s="2029"/>
      <c r="BZ551" s="2032"/>
      <c r="CA551" s="1974">
        <f t="shared" si="389"/>
        <v>35711</v>
      </c>
      <c r="CB551" s="1974">
        <f t="shared" si="389"/>
        <v>0</v>
      </c>
      <c r="CC551" s="1974">
        <f t="shared" si="389"/>
        <v>0</v>
      </c>
      <c r="CD551" s="1974">
        <f t="shared" si="389"/>
        <v>0</v>
      </c>
      <c r="CE551" s="1974">
        <f t="shared" si="389"/>
        <v>0</v>
      </c>
      <c r="CF551" s="2033">
        <v>6.5309669337157024E-5</v>
      </c>
      <c r="CG551" s="2026">
        <v>3.747219836793087E-4</v>
      </c>
      <c r="CH551" s="2009">
        <f t="shared" si="390"/>
        <v>0</v>
      </c>
      <c r="CI551" s="2031">
        <f t="shared" si="390"/>
        <v>0</v>
      </c>
      <c r="CJ551" s="1974">
        <f t="shared" si="390"/>
        <v>0</v>
      </c>
      <c r="CK551" s="2031">
        <f t="shared" si="390"/>
        <v>0</v>
      </c>
      <c r="CL551" s="2026">
        <v>1</v>
      </c>
      <c r="CM551" s="2026">
        <v>1</v>
      </c>
      <c r="CN551" s="2026">
        <v>1</v>
      </c>
      <c r="CO551" s="2026">
        <v>1</v>
      </c>
      <c r="CP551" s="2035"/>
      <c r="CQ551" s="2036"/>
      <c r="CR551" s="2036"/>
      <c r="CS551" s="2036"/>
      <c r="CT551" s="2036"/>
      <c r="CU551" s="2036"/>
      <c r="CV551" s="1973">
        <v>1</v>
      </c>
      <c r="CW551" s="1973">
        <v>0</v>
      </c>
      <c r="CX551" s="2037">
        <v>858.33333333333337</v>
      </c>
      <c r="CY551" s="2037">
        <v>858.33333333333337</v>
      </c>
      <c r="CZ551" s="2037">
        <v>858.33333333333337</v>
      </c>
      <c r="DA551" s="2037">
        <v>858.33333333333337</v>
      </c>
      <c r="DB551" s="2051">
        <v>0.61</v>
      </c>
      <c r="DC551" s="2051">
        <v>0.61</v>
      </c>
      <c r="DD551" s="2051">
        <v>0.61</v>
      </c>
      <c r="DE551" s="2051">
        <v>0.61</v>
      </c>
      <c r="DF551" s="2037">
        <f>DB551*CX551</f>
        <v>523.58333333333337</v>
      </c>
      <c r="DG551" s="2037">
        <f>DC551*CY551</f>
        <v>523.58333333333337</v>
      </c>
      <c r="DH551" s="2037">
        <f>DD551*CZ551</f>
        <v>523.58333333333337</v>
      </c>
      <c r="DI551" s="2037">
        <f>DE551*DA551</f>
        <v>523.58333333333337</v>
      </c>
      <c r="DJ551" s="1976">
        <v>733.33333333333337</v>
      </c>
      <c r="DK551" s="1973">
        <v>733.33333333333337</v>
      </c>
      <c r="DL551" s="1973">
        <v>733.33333333333337</v>
      </c>
      <c r="DM551" s="1973">
        <v>733.33333333333337</v>
      </c>
      <c r="DO551" s="2027">
        <v>15</v>
      </c>
      <c r="DP551" s="2144">
        <v>4339.74</v>
      </c>
      <c r="DQ551" s="2145">
        <v>0.66</v>
      </c>
      <c r="DR551" s="2027">
        <v>279</v>
      </c>
      <c r="DS551" s="2029">
        <v>523.58333333333337</v>
      </c>
      <c r="DT551" s="2029">
        <v>523.58333333333337</v>
      </c>
      <c r="DU551" s="2029">
        <v>523.58333333333337</v>
      </c>
      <c r="DV551" s="2029">
        <v>523.58333333333337</v>
      </c>
      <c r="DW551" s="2029">
        <v>334.75</v>
      </c>
      <c r="DX551" s="2029">
        <v>334.75</v>
      </c>
      <c r="DY551" s="2029">
        <v>334.75</v>
      </c>
      <c r="DZ551" s="2029">
        <v>334.75</v>
      </c>
      <c r="EA551" s="2029">
        <v>1686</v>
      </c>
      <c r="EB551" s="2029">
        <v>1124</v>
      </c>
      <c r="EC551" s="2029">
        <v>1124</v>
      </c>
      <c r="ED551" s="2029">
        <v>1124</v>
      </c>
      <c r="EE551" s="2039">
        <f t="shared" si="356"/>
        <v>0</v>
      </c>
      <c r="EF551" s="2039">
        <f t="shared" si="356"/>
        <v>0</v>
      </c>
      <c r="EG551" s="2039">
        <f t="shared" si="356"/>
        <v>0</v>
      </c>
      <c r="EH551" s="2039">
        <f t="shared" si="355"/>
        <v>0</v>
      </c>
      <c r="EI551" s="2040">
        <f t="shared" si="385"/>
        <v>0</v>
      </c>
      <c r="EJ551" s="2040">
        <f t="shared" si="385"/>
        <v>0</v>
      </c>
      <c r="EK551" s="2040">
        <f t="shared" si="385"/>
        <v>0</v>
      </c>
      <c r="EL551" s="2040">
        <f t="shared" si="383"/>
        <v>0</v>
      </c>
      <c r="EM551" s="2040">
        <f t="shared" si="383"/>
        <v>0</v>
      </c>
      <c r="EN551" s="2040">
        <f t="shared" si="383"/>
        <v>0</v>
      </c>
      <c r="EO551" s="2040">
        <f t="shared" si="350"/>
        <v>0</v>
      </c>
      <c r="EP551" s="2040">
        <f t="shared" si="350"/>
        <v>0</v>
      </c>
      <c r="EQ551" s="2040">
        <f t="shared" si="350"/>
        <v>0</v>
      </c>
      <c r="ER551" s="2040">
        <f t="shared" si="350"/>
        <v>0</v>
      </c>
      <c r="ES551" s="2040">
        <f t="shared" si="350"/>
        <v>0</v>
      </c>
      <c r="ET551" s="2040">
        <f t="shared" si="350"/>
        <v>0</v>
      </c>
      <c r="EU551" s="2039">
        <f t="shared" si="357"/>
        <v>0</v>
      </c>
      <c r="EV551" s="2039">
        <f t="shared" si="358"/>
        <v>0</v>
      </c>
    </row>
    <row r="552" spans="1:152" x14ac:dyDescent="0.25">
      <c r="A552" s="2149" t="str">
        <f t="shared" si="387"/>
        <v>Refrigeration Tune-up</v>
      </c>
      <c r="B552" s="1974" t="str">
        <f t="shared" si="387"/>
        <v>BPR11</v>
      </c>
      <c r="C552" s="2027">
        <f t="shared" si="384"/>
        <v>4</v>
      </c>
      <c r="D552" s="2144">
        <f t="shared" si="384"/>
        <v>5220</v>
      </c>
      <c r="E552" s="2145">
        <f t="shared" si="384"/>
        <v>0</v>
      </c>
      <c r="F552" s="2027">
        <f t="shared" si="384"/>
        <v>0</v>
      </c>
      <c r="G552" s="1974" t="s">
        <v>2988</v>
      </c>
      <c r="H552" s="1974" t="s">
        <v>2988</v>
      </c>
      <c r="I552" s="2026">
        <v>0.9</v>
      </c>
      <c r="J552" s="2026">
        <v>0.9</v>
      </c>
      <c r="K552" s="2026">
        <v>0.9</v>
      </c>
      <c r="L552" s="2026">
        <v>0.9</v>
      </c>
      <c r="M552" s="2027">
        <f t="shared" si="374"/>
        <v>4698</v>
      </c>
      <c r="N552" s="2027">
        <f t="shared" si="374"/>
        <v>4698</v>
      </c>
      <c r="O552" s="2027">
        <f t="shared" si="374"/>
        <v>4698</v>
      </c>
      <c r="P552" s="2027">
        <f t="shared" si="362"/>
        <v>4698</v>
      </c>
      <c r="Q552" s="2026">
        <v>0.9</v>
      </c>
      <c r="R552" s="2026">
        <v>0.9</v>
      </c>
      <c r="S552" s="2026">
        <v>0.9</v>
      </c>
      <c r="T552" s="2026">
        <v>0.9</v>
      </c>
      <c r="U552" s="2028">
        <f t="shared" si="375"/>
        <v>0</v>
      </c>
      <c r="V552" s="2028">
        <f t="shared" si="375"/>
        <v>0</v>
      </c>
      <c r="W552" s="2028">
        <f t="shared" si="375"/>
        <v>0</v>
      </c>
      <c r="X552" s="2028">
        <f t="shared" si="363"/>
        <v>0</v>
      </c>
      <c r="Y552" s="2026">
        <v>0.9</v>
      </c>
      <c r="Z552" s="2026">
        <v>0.9</v>
      </c>
      <c r="AA552" s="2026">
        <v>0.9</v>
      </c>
      <c r="AB552" s="2026">
        <v>0.9</v>
      </c>
      <c r="AC552" s="2027">
        <f t="shared" si="376"/>
        <v>0</v>
      </c>
      <c r="AD552" s="2027">
        <f t="shared" si="376"/>
        <v>0</v>
      </c>
      <c r="AE552" s="2027">
        <f t="shared" si="376"/>
        <v>0</v>
      </c>
      <c r="AF552" s="2027">
        <f t="shared" si="364"/>
        <v>0</v>
      </c>
      <c r="AG552" s="2027">
        <v>0</v>
      </c>
      <c r="AH552" s="2027">
        <v>0</v>
      </c>
      <c r="AI552" s="2027">
        <v>0</v>
      </c>
      <c r="AJ552" s="2027">
        <v>0</v>
      </c>
      <c r="AK552" s="2027">
        <f t="shared" si="365"/>
        <v>0</v>
      </c>
      <c r="AL552" s="2027">
        <f t="shared" si="366"/>
        <v>0</v>
      </c>
      <c r="AM552" s="2027">
        <f t="shared" si="366"/>
        <v>0</v>
      </c>
      <c r="AN552" s="2027">
        <f t="shared" si="366"/>
        <v>0</v>
      </c>
      <c r="AO552" s="2027">
        <f t="shared" si="377"/>
        <v>0</v>
      </c>
      <c r="AP552" s="2027">
        <f t="shared" si="367"/>
        <v>0</v>
      </c>
      <c r="AQ552" s="2027">
        <f t="shared" si="367"/>
        <v>0</v>
      </c>
      <c r="AR552" s="2027">
        <f t="shared" si="367"/>
        <v>0</v>
      </c>
      <c r="AS552" s="2124">
        <f t="shared" si="386"/>
        <v>200</v>
      </c>
      <c r="AT552" s="2029">
        <f t="shared" si="368"/>
        <v>200</v>
      </c>
      <c r="AU552" s="2029">
        <f t="shared" si="368"/>
        <v>200</v>
      </c>
      <c r="AV552" s="2029">
        <f t="shared" si="368"/>
        <v>200</v>
      </c>
      <c r="AW552" s="2124">
        <f t="shared" si="369"/>
        <v>0</v>
      </c>
      <c r="AX552" s="2029">
        <f t="shared" si="388"/>
        <v>0</v>
      </c>
      <c r="AY552" s="2029">
        <f t="shared" si="388"/>
        <v>0</v>
      </c>
      <c r="AZ552" s="2029">
        <f t="shared" si="388"/>
        <v>0</v>
      </c>
      <c r="BA552" s="2124">
        <f t="shared" ref="BA552:BD567" si="392">BA91</f>
        <v>140</v>
      </c>
      <c r="BB552" s="2029">
        <f t="shared" si="391"/>
        <v>140</v>
      </c>
      <c r="BC552" s="2029">
        <f t="shared" si="391"/>
        <v>140</v>
      </c>
      <c r="BD552" s="2029">
        <f t="shared" si="391"/>
        <v>140</v>
      </c>
      <c r="BE552" s="2030">
        <f t="shared" si="378"/>
        <v>0</v>
      </c>
      <c r="BF552" s="2030">
        <f t="shared" si="378"/>
        <v>0</v>
      </c>
      <c r="BG552" s="2030">
        <f t="shared" si="378"/>
        <v>0</v>
      </c>
      <c r="BH552" s="2030">
        <f t="shared" si="370"/>
        <v>0</v>
      </c>
      <c r="BI552" s="2030">
        <f t="shared" si="379"/>
        <v>0</v>
      </c>
      <c r="BJ552" s="2030">
        <f t="shared" si="379"/>
        <v>0</v>
      </c>
      <c r="BK552" s="2030">
        <f t="shared" si="379"/>
        <v>0</v>
      </c>
      <c r="BL552" s="2030">
        <f t="shared" si="371"/>
        <v>0</v>
      </c>
      <c r="BM552" s="2125"/>
      <c r="BN552" s="2125"/>
      <c r="BO552" s="2125"/>
      <c r="BP552" s="2125"/>
      <c r="BQ552" s="2125"/>
      <c r="BR552" s="2125"/>
      <c r="BS552" s="2125"/>
      <c r="BT552" s="2125"/>
      <c r="BU552" s="2029"/>
      <c r="BV552" s="2029"/>
      <c r="BW552" s="2029"/>
      <c r="BX552" s="2029"/>
      <c r="BY552" s="2029"/>
      <c r="BZ552" s="2032"/>
      <c r="CA552" s="1974">
        <f t="shared" si="389"/>
        <v>0</v>
      </c>
      <c r="CB552" s="1974">
        <f t="shared" si="389"/>
        <v>0</v>
      </c>
      <c r="CC552" s="1974">
        <f t="shared" si="389"/>
        <v>0</v>
      </c>
      <c r="CD552" s="1974">
        <f t="shared" si="389"/>
        <v>0</v>
      </c>
      <c r="CE552" s="1974">
        <f t="shared" si="389"/>
        <v>0</v>
      </c>
      <c r="CF552" s="2033">
        <v>0</v>
      </c>
      <c r="CG552" s="2026">
        <v>0</v>
      </c>
      <c r="CH552" s="2009">
        <f t="shared" si="390"/>
        <v>0</v>
      </c>
      <c r="CI552" s="2031">
        <f t="shared" si="390"/>
        <v>0</v>
      </c>
      <c r="CJ552" s="1974">
        <f t="shared" si="390"/>
        <v>0</v>
      </c>
      <c r="CK552" s="2031">
        <f t="shared" si="390"/>
        <v>0</v>
      </c>
      <c r="CL552" s="2026">
        <v>1</v>
      </c>
      <c r="CM552" s="2026">
        <v>1</v>
      </c>
      <c r="CN552" s="2026">
        <v>1</v>
      </c>
      <c r="CO552" s="2026">
        <v>1</v>
      </c>
      <c r="CP552" s="2035"/>
      <c r="CQ552" s="2036"/>
      <c r="CR552" s="2036"/>
      <c r="CS552" s="2036"/>
      <c r="CT552" s="2036"/>
      <c r="CU552" s="2036"/>
      <c r="CV552" s="1973">
        <v>1</v>
      </c>
      <c r="CW552" s="1973">
        <v>0</v>
      </c>
      <c r="CX552" s="2037">
        <v>200</v>
      </c>
      <c r="CY552" s="2037">
        <v>200</v>
      </c>
      <c r="CZ552" s="2037">
        <v>200</v>
      </c>
      <c r="DA552" s="2037">
        <v>200</v>
      </c>
      <c r="DJ552" s="1976">
        <v>200</v>
      </c>
      <c r="DK552" s="1973">
        <v>200</v>
      </c>
      <c r="DL552" s="1973">
        <v>200</v>
      </c>
      <c r="DM552" s="1973">
        <v>200</v>
      </c>
      <c r="DO552" s="2027">
        <v>4</v>
      </c>
      <c r="DP552" s="2144">
        <v>5220</v>
      </c>
      <c r="DQ552" s="2145">
        <v>0</v>
      </c>
      <c r="DR552" s="2027">
        <v>0</v>
      </c>
      <c r="DS552" s="2124">
        <v>200</v>
      </c>
      <c r="DT552" s="2029">
        <v>200</v>
      </c>
      <c r="DU552" s="2029">
        <v>200</v>
      </c>
      <c r="DV552" s="2029">
        <v>200</v>
      </c>
      <c r="DW552" s="2124">
        <v>0</v>
      </c>
      <c r="DX552" s="2029">
        <v>0</v>
      </c>
      <c r="DY552" s="2029">
        <v>0</v>
      </c>
      <c r="DZ552" s="2029">
        <v>0</v>
      </c>
      <c r="EA552" s="2124">
        <v>140</v>
      </c>
      <c r="EB552" s="2029">
        <v>140</v>
      </c>
      <c r="EC552" s="2029">
        <v>140</v>
      </c>
      <c r="ED552" s="2029">
        <v>140</v>
      </c>
      <c r="EE552" s="2039">
        <f t="shared" si="356"/>
        <v>0</v>
      </c>
      <c r="EF552" s="2039">
        <f t="shared" si="356"/>
        <v>0</v>
      </c>
      <c r="EG552" s="2039">
        <f t="shared" si="356"/>
        <v>0</v>
      </c>
      <c r="EH552" s="2039">
        <f t="shared" si="355"/>
        <v>0</v>
      </c>
      <c r="EI552" s="2040">
        <f t="shared" si="385"/>
        <v>0</v>
      </c>
      <c r="EJ552" s="2040">
        <f t="shared" si="385"/>
        <v>0</v>
      </c>
      <c r="EK552" s="2040">
        <f t="shared" si="385"/>
        <v>0</v>
      </c>
      <c r="EL552" s="2040">
        <f t="shared" si="383"/>
        <v>0</v>
      </c>
      <c r="EM552" s="2040">
        <f t="shared" si="383"/>
        <v>0</v>
      </c>
      <c r="EN552" s="2040">
        <f t="shared" si="383"/>
        <v>0</v>
      </c>
      <c r="EO552" s="2040">
        <f t="shared" si="350"/>
        <v>0</v>
      </c>
      <c r="EP552" s="2040">
        <f t="shared" si="350"/>
        <v>0</v>
      </c>
      <c r="EQ552" s="2040">
        <f t="shared" si="350"/>
        <v>0</v>
      </c>
      <c r="ER552" s="2040">
        <f t="shared" si="350"/>
        <v>0</v>
      </c>
      <c r="ES552" s="2040">
        <f t="shared" si="350"/>
        <v>0</v>
      </c>
      <c r="ET552" s="2040">
        <f t="shared" si="350"/>
        <v>0</v>
      </c>
      <c r="EU552" s="2039">
        <f t="shared" si="357"/>
        <v>0</v>
      </c>
      <c r="EV552" s="2039">
        <f t="shared" si="358"/>
        <v>0</v>
      </c>
    </row>
    <row r="553" spans="1:152" x14ac:dyDescent="0.25">
      <c r="A553" s="2149" t="str">
        <f t="shared" si="387"/>
        <v>VFD</v>
      </c>
      <c r="B553" s="1974" t="str">
        <f t="shared" si="387"/>
        <v>BPM1</v>
      </c>
      <c r="C553" s="2027">
        <f t="shared" si="384"/>
        <v>13</v>
      </c>
      <c r="D553" s="2144">
        <f t="shared" si="384"/>
        <v>11337</v>
      </c>
      <c r="E553" s="2145">
        <f t="shared" si="384"/>
        <v>1.1200000000000001</v>
      </c>
      <c r="F553" s="2027">
        <f t="shared" si="384"/>
        <v>0</v>
      </c>
      <c r="G553" s="1974" t="s">
        <v>2988</v>
      </c>
      <c r="H553" s="1974" t="s">
        <v>2988</v>
      </c>
      <c r="I553" s="2026">
        <v>0.9</v>
      </c>
      <c r="J553" s="2026">
        <v>0.9</v>
      </c>
      <c r="K553" s="2026">
        <v>0.9</v>
      </c>
      <c r="L553" s="2026">
        <v>0.9</v>
      </c>
      <c r="M553" s="2027">
        <f t="shared" si="374"/>
        <v>10203.300000000001</v>
      </c>
      <c r="N553" s="2027">
        <f t="shared" si="374"/>
        <v>10203.300000000001</v>
      </c>
      <c r="O553" s="2027">
        <f t="shared" si="374"/>
        <v>10203.300000000001</v>
      </c>
      <c r="P553" s="2027">
        <f t="shared" si="362"/>
        <v>10203.300000000001</v>
      </c>
      <c r="Q553" s="2026">
        <v>0.9</v>
      </c>
      <c r="R553" s="2026">
        <v>0.9</v>
      </c>
      <c r="S553" s="2026">
        <v>0.9</v>
      </c>
      <c r="T553" s="2026">
        <v>0.9</v>
      </c>
      <c r="U553" s="2028">
        <f t="shared" si="375"/>
        <v>1.0080000000000002</v>
      </c>
      <c r="V553" s="2028">
        <f t="shared" si="375"/>
        <v>1.0080000000000002</v>
      </c>
      <c r="W553" s="2028">
        <f t="shared" si="375"/>
        <v>1.0080000000000002</v>
      </c>
      <c r="X553" s="2028">
        <f t="shared" si="363"/>
        <v>1.0080000000000002</v>
      </c>
      <c r="Y553" s="2026">
        <v>0.9</v>
      </c>
      <c r="Z553" s="2026">
        <v>0.9</v>
      </c>
      <c r="AA553" s="2026">
        <v>0.9</v>
      </c>
      <c r="AB553" s="2026">
        <v>0.9</v>
      </c>
      <c r="AC553" s="2027">
        <f t="shared" si="376"/>
        <v>0</v>
      </c>
      <c r="AD553" s="2027">
        <f t="shared" si="376"/>
        <v>0</v>
      </c>
      <c r="AE553" s="2027">
        <f t="shared" si="376"/>
        <v>0</v>
      </c>
      <c r="AF553" s="2027">
        <f t="shared" si="364"/>
        <v>0</v>
      </c>
      <c r="AG553" s="2027">
        <v>0</v>
      </c>
      <c r="AH553" s="2028"/>
      <c r="AI553" s="2028"/>
      <c r="AJ553" s="2028"/>
      <c r="AK553" s="2027">
        <f t="shared" si="365"/>
        <v>0</v>
      </c>
      <c r="AL553" s="2027">
        <f t="shared" si="366"/>
        <v>0</v>
      </c>
      <c r="AM553" s="2027">
        <f t="shared" si="366"/>
        <v>0</v>
      </c>
      <c r="AN553" s="2027">
        <f t="shared" si="366"/>
        <v>0</v>
      </c>
      <c r="AO553" s="2027">
        <f t="shared" si="377"/>
        <v>0</v>
      </c>
      <c r="AP553" s="2027">
        <f t="shared" si="367"/>
        <v>0</v>
      </c>
      <c r="AQ553" s="2027">
        <f t="shared" si="367"/>
        <v>0</v>
      </c>
      <c r="AR553" s="2027">
        <f t="shared" si="367"/>
        <v>0</v>
      </c>
      <c r="AS553" s="2124">
        <f t="shared" si="386"/>
        <v>1050</v>
      </c>
      <c r="AT553" s="2029">
        <f t="shared" si="368"/>
        <v>1050</v>
      </c>
      <c r="AU553" s="2029">
        <f t="shared" si="368"/>
        <v>1050</v>
      </c>
      <c r="AV553" s="2029">
        <f t="shared" si="368"/>
        <v>1050</v>
      </c>
      <c r="AW553" s="2124">
        <f t="shared" si="369"/>
        <v>0</v>
      </c>
      <c r="AX553" s="2029">
        <f t="shared" si="388"/>
        <v>0</v>
      </c>
      <c r="AY553" s="2029">
        <f t="shared" si="388"/>
        <v>0</v>
      </c>
      <c r="AZ553" s="2029">
        <f t="shared" si="388"/>
        <v>0</v>
      </c>
      <c r="BA553" s="2124">
        <f t="shared" si="392"/>
        <v>2085.4</v>
      </c>
      <c r="BB553" s="2029">
        <f t="shared" si="391"/>
        <v>2085.4</v>
      </c>
      <c r="BC553" s="2029">
        <f t="shared" si="391"/>
        <v>2085.4</v>
      </c>
      <c r="BD553" s="2029">
        <f t="shared" si="391"/>
        <v>2085.4</v>
      </c>
      <c r="BE553" s="2030">
        <f t="shared" si="378"/>
        <v>0</v>
      </c>
      <c r="BF553" s="2030">
        <f t="shared" si="378"/>
        <v>0</v>
      </c>
      <c r="BG553" s="2030">
        <f t="shared" si="378"/>
        <v>0</v>
      </c>
      <c r="BH553" s="2030">
        <f t="shared" si="370"/>
        <v>0</v>
      </c>
      <c r="BI553" s="2030">
        <f t="shared" si="379"/>
        <v>0</v>
      </c>
      <c r="BJ553" s="2030">
        <f t="shared" si="379"/>
        <v>0</v>
      </c>
      <c r="BK553" s="2030">
        <f t="shared" si="379"/>
        <v>0</v>
      </c>
      <c r="BL553" s="2030">
        <f t="shared" si="371"/>
        <v>0</v>
      </c>
      <c r="BM553" s="2125"/>
      <c r="BN553" s="2125"/>
      <c r="BO553" s="2125"/>
      <c r="BP553" s="2125"/>
      <c r="BQ553" s="2125"/>
      <c r="BR553" s="2125"/>
      <c r="BS553" s="2125"/>
      <c r="BT553" s="2125"/>
      <c r="BU553" s="2029"/>
      <c r="BV553" s="2029"/>
      <c r="BW553" s="2029"/>
      <c r="BX553" s="2029"/>
      <c r="BY553" s="2029"/>
      <c r="BZ553" s="2032"/>
      <c r="CA553" s="1974">
        <f t="shared" si="389"/>
        <v>0</v>
      </c>
      <c r="CB553" s="1974">
        <f t="shared" si="389"/>
        <v>0</v>
      </c>
      <c r="CC553" s="1974">
        <f t="shared" si="389"/>
        <v>0</v>
      </c>
      <c r="CD553" s="1974">
        <f t="shared" si="389"/>
        <v>0</v>
      </c>
      <c r="CE553" s="1974">
        <f t="shared" si="389"/>
        <v>0</v>
      </c>
      <c r="CF553" s="2033">
        <v>0</v>
      </c>
      <c r="CG553" s="2026">
        <v>0</v>
      </c>
      <c r="CH553" s="2009">
        <f t="shared" si="390"/>
        <v>0</v>
      </c>
      <c r="CI553" s="2031">
        <f t="shared" si="390"/>
        <v>0</v>
      </c>
      <c r="CJ553" s="1974">
        <f t="shared" si="390"/>
        <v>0</v>
      </c>
      <c r="CK553" s="2031">
        <f t="shared" si="390"/>
        <v>0</v>
      </c>
      <c r="CL553" s="2026">
        <v>1</v>
      </c>
      <c r="CM553" s="2026">
        <v>1</v>
      </c>
      <c r="CN553" s="2026">
        <v>1</v>
      </c>
      <c r="CO553" s="2026">
        <v>1</v>
      </c>
      <c r="CP553" s="2035"/>
      <c r="CQ553" s="2036"/>
      <c r="CR553" s="2036"/>
      <c r="CS553" s="2036"/>
      <c r="CT553" s="2036"/>
      <c r="CU553" s="2036"/>
      <c r="CV553" s="1973">
        <v>1</v>
      </c>
      <c r="CW553" s="1973">
        <v>0</v>
      </c>
      <c r="CX553" s="2037">
        <v>1050</v>
      </c>
      <c r="CY553" s="2037">
        <v>1050</v>
      </c>
      <c r="CZ553" s="2037">
        <v>1050</v>
      </c>
      <c r="DA553" s="2037">
        <v>1050</v>
      </c>
      <c r="DJ553" s="1976">
        <v>1050</v>
      </c>
      <c r="DK553" s="1973">
        <v>1050</v>
      </c>
      <c r="DL553" s="1973">
        <v>1050</v>
      </c>
      <c r="DM553" s="1973">
        <v>1050</v>
      </c>
      <c r="DO553" s="2027">
        <v>15</v>
      </c>
      <c r="DP553" s="2144">
        <v>11337</v>
      </c>
      <c r="DQ553" s="2145">
        <v>1.1200000000000001</v>
      </c>
      <c r="DR553" s="2027">
        <v>0</v>
      </c>
      <c r="DS553" s="2124">
        <v>1050</v>
      </c>
      <c r="DT553" s="2029">
        <v>1050</v>
      </c>
      <c r="DU553" s="2029">
        <v>1050</v>
      </c>
      <c r="DV553" s="2029">
        <v>1050</v>
      </c>
      <c r="DW553" s="2124">
        <v>0</v>
      </c>
      <c r="DX553" s="2029">
        <v>0</v>
      </c>
      <c r="DY553" s="2029">
        <v>0</v>
      </c>
      <c r="DZ553" s="2029">
        <v>0</v>
      </c>
      <c r="EA553" s="2124">
        <v>2085.4</v>
      </c>
      <c r="EB553" s="2029">
        <v>2085.4</v>
      </c>
      <c r="EC553" s="2029">
        <v>2085.4</v>
      </c>
      <c r="ED553" s="2029">
        <v>2085.4</v>
      </c>
      <c r="EE553" s="2039">
        <f t="shared" si="356"/>
        <v>-2</v>
      </c>
      <c r="EF553" s="2039">
        <f t="shared" si="356"/>
        <v>0</v>
      </c>
      <c r="EG553" s="2039">
        <f t="shared" si="356"/>
        <v>0</v>
      </c>
      <c r="EH553" s="2039">
        <f t="shared" si="355"/>
        <v>0</v>
      </c>
      <c r="EI553" s="2040">
        <f t="shared" si="385"/>
        <v>0</v>
      </c>
      <c r="EJ553" s="2040">
        <f t="shared" si="385"/>
        <v>0</v>
      </c>
      <c r="EK553" s="2040">
        <f t="shared" si="385"/>
        <v>0</v>
      </c>
      <c r="EL553" s="2040">
        <f t="shared" si="383"/>
        <v>0</v>
      </c>
      <c r="EM553" s="2040">
        <f t="shared" si="383"/>
        <v>0</v>
      </c>
      <c r="EN553" s="2040">
        <f t="shared" si="383"/>
        <v>0</v>
      </c>
      <c r="EO553" s="2040">
        <f t="shared" si="350"/>
        <v>0</v>
      </c>
      <c r="EP553" s="2040">
        <f t="shared" si="350"/>
        <v>0</v>
      </c>
      <c r="EQ553" s="2040">
        <f t="shared" si="350"/>
        <v>0</v>
      </c>
      <c r="ER553" s="2040">
        <f t="shared" si="350"/>
        <v>0</v>
      </c>
      <c r="ES553" s="2040">
        <f t="shared" si="350"/>
        <v>0</v>
      </c>
      <c r="ET553" s="2040">
        <f t="shared" si="350"/>
        <v>0</v>
      </c>
      <c r="EU553" s="2039">
        <f t="shared" si="357"/>
        <v>-2</v>
      </c>
      <c r="EV553" s="2039">
        <f t="shared" si="358"/>
        <v>-2</v>
      </c>
    </row>
    <row r="554" spans="1:152" x14ac:dyDescent="0.25">
      <c r="A554" s="2149" t="str">
        <f t="shared" si="387"/>
        <v>Insulation and Air Sealing</v>
      </c>
      <c r="B554" s="1974" t="str">
        <f t="shared" si="387"/>
        <v/>
      </c>
      <c r="C554" s="2027">
        <f t="shared" si="384"/>
        <v>0</v>
      </c>
      <c r="D554" s="2144">
        <f t="shared" si="384"/>
        <v>0</v>
      </c>
      <c r="E554" s="2145">
        <f t="shared" si="384"/>
        <v>0</v>
      </c>
      <c r="F554" s="2027">
        <f t="shared" si="384"/>
        <v>0</v>
      </c>
      <c r="G554" s="1974" t="s">
        <v>2988</v>
      </c>
      <c r="H554" s="1974" t="s">
        <v>2988</v>
      </c>
      <c r="I554" s="2026">
        <v>0.9</v>
      </c>
      <c r="J554" s="2026">
        <v>0.9</v>
      </c>
      <c r="K554" s="2026">
        <v>0.9</v>
      </c>
      <c r="L554" s="2026">
        <v>0.9</v>
      </c>
      <c r="M554" s="2027">
        <f t="shared" si="374"/>
        <v>0</v>
      </c>
      <c r="N554" s="2027">
        <f t="shared" si="374"/>
        <v>0</v>
      </c>
      <c r="O554" s="2027">
        <f t="shared" si="374"/>
        <v>0</v>
      </c>
      <c r="P554" s="2027">
        <f t="shared" si="362"/>
        <v>0</v>
      </c>
      <c r="Q554" s="2026">
        <v>0.9</v>
      </c>
      <c r="R554" s="2026">
        <v>0.9</v>
      </c>
      <c r="S554" s="2026">
        <v>0.9</v>
      </c>
      <c r="T554" s="2026">
        <v>0.9</v>
      </c>
      <c r="U554" s="2028">
        <f t="shared" si="375"/>
        <v>0</v>
      </c>
      <c r="V554" s="2028">
        <f t="shared" si="375"/>
        <v>0</v>
      </c>
      <c r="W554" s="2028">
        <f t="shared" si="375"/>
        <v>0</v>
      </c>
      <c r="X554" s="2028">
        <f t="shared" si="363"/>
        <v>0</v>
      </c>
      <c r="Y554" s="2026">
        <v>0.9</v>
      </c>
      <c r="Z554" s="2026">
        <v>0.9</v>
      </c>
      <c r="AA554" s="2026">
        <v>0.9</v>
      </c>
      <c r="AB554" s="2026">
        <v>0.9</v>
      </c>
      <c r="AC554" s="2027">
        <f t="shared" si="376"/>
        <v>0</v>
      </c>
      <c r="AD554" s="2027">
        <f t="shared" si="376"/>
        <v>0</v>
      </c>
      <c r="AE554" s="2027">
        <f t="shared" si="376"/>
        <v>0</v>
      </c>
      <c r="AF554" s="2027">
        <f t="shared" si="364"/>
        <v>0</v>
      </c>
      <c r="AG554" s="2027">
        <v>0</v>
      </c>
      <c r="AH554" s="2028"/>
      <c r="AI554" s="2028"/>
      <c r="AJ554" s="2028"/>
      <c r="AK554" s="2027">
        <f t="shared" si="365"/>
        <v>0</v>
      </c>
      <c r="AL554" s="2027">
        <f t="shared" si="366"/>
        <v>0</v>
      </c>
      <c r="AM554" s="2027">
        <f t="shared" si="366"/>
        <v>0</v>
      </c>
      <c r="AN554" s="2027">
        <f t="shared" si="366"/>
        <v>0</v>
      </c>
      <c r="AO554" s="2027">
        <f t="shared" si="377"/>
        <v>0</v>
      </c>
      <c r="AP554" s="2027">
        <f t="shared" si="367"/>
        <v>0</v>
      </c>
      <c r="AQ554" s="2027">
        <f t="shared" si="367"/>
        <v>0</v>
      </c>
      <c r="AR554" s="2027">
        <f t="shared" si="367"/>
        <v>0</v>
      </c>
      <c r="AS554" s="2124">
        <f t="shared" si="386"/>
        <v>15000</v>
      </c>
      <c r="AT554" s="2029">
        <f t="shared" si="368"/>
        <v>15000</v>
      </c>
      <c r="AU554" s="2029">
        <f t="shared" si="368"/>
        <v>15000</v>
      </c>
      <c r="AV554" s="2029">
        <f t="shared" si="368"/>
        <v>15000</v>
      </c>
      <c r="AW554" s="2124">
        <f t="shared" si="369"/>
        <v>22500</v>
      </c>
      <c r="AX554" s="2029">
        <f t="shared" si="388"/>
        <v>22500</v>
      </c>
      <c r="AY554" s="2029">
        <f t="shared" si="388"/>
        <v>22500</v>
      </c>
      <c r="AZ554" s="2029">
        <f t="shared" si="388"/>
        <v>22500</v>
      </c>
      <c r="BA554" s="2124">
        <f t="shared" si="392"/>
        <v>0</v>
      </c>
      <c r="BB554" s="2029">
        <f t="shared" si="391"/>
        <v>0</v>
      </c>
      <c r="BC554" s="2029">
        <f t="shared" si="391"/>
        <v>0</v>
      </c>
      <c r="BD554" s="2029">
        <f t="shared" si="391"/>
        <v>0</v>
      </c>
      <c r="BE554" s="2030">
        <f t="shared" si="378"/>
        <v>0</v>
      </c>
      <c r="BF554" s="2030">
        <f t="shared" si="378"/>
        <v>0</v>
      </c>
      <c r="BG554" s="2030">
        <f t="shared" si="378"/>
        <v>0</v>
      </c>
      <c r="BH554" s="2030">
        <f t="shared" si="370"/>
        <v>0</v>
      </c>
      <c r="BI554" s="2030">
        <f t="shared" si="379"/>
        <v>0</v>
      </c>
      <c r="BJ554" s="2030">
        <f t="shared" si="379"/>
        <v>0</v>
      </c>
      <c r="BK554" s="2030">
        <f t="shared" si="379"/>
        <v>0</v>
      </c>
      <c r="BL554" s="2030">
        <f t="shared" si="371"/>
        <v>0</v>
      </c>
      <c r="BM554" s="2125"/>
      <c r="BN554" s="2125"/>
      <c r="BO554" s="2125"/>
      <c r="BP554" s="2125"/>
      <c r="BQ554" s="2125"/>
      <c r="BR554" s="2125"/>
      <c r="BS554" s="2125"/>
      <c r="BT554" s="2125"/>
      <c r="BU554" s="2029"/>
      <c r="BV554" s="2029"/>
      <c r="BW554" s="2029"/>
      <c r="BX554" s="2029"/>
      <c r="BY554" s="2029"/>
      <c r="BZ554" s="2032"/>
      <c r="CA554" s="1974">
        <f t="shared" si="389"/>
        <v>0</v>
      </c>
      <c r="CB554" s="1974">
        <f t="shared" si="389"/>
        <v>0</v>
      </c>
      <c r="CC554" s="1974">
        <f t="shared" si="389"/>
        <v>0</v>
      </c>
      <c r="CD554" s="1974">
        <f t="shared" si="389"/>
        <v>0</v>
      </c>
      <c r="CE554" s="1974">
        <f t="shared" si="389"/>
        <v>0</v>
      </c>
      <c r="CF554" s="2033">
        <v>0</v>
      </c>
      <c r="CG554" s="2026">
        <v>0</v>
      </c>
      <c r="CH554" s="2009">
        <f t="shared" si="390"/>
        <v>0</v>
      </c>
      <c r="CI554" s="2031">
        <f t="shared" si="390"/>
        <v>0</v>
      </c>
      <c r="CJ554" s="1974">
        <f t="shared" si="390"/>
        <v>0</v>
      </c>
      <c r="CK554" s="2031">
        <f t="shared" si="390"/>
        <v>0</v>
      </c>
      <c r="CL554" s="2026">
        <v>1</v>
      </c>
      <c r="CM554" s="2026">
        <v>1</v>
      </c>
      <c r="CN554" s="2026">
        <v>1</v>
      </c>
      <c r="CO554" s="2026">
        <v>1</v>
      </c>
      <c r="CP554" s="2035"/>
      <c r="CQ554" s="2036"/>
      <c r="CR554" s="2036"/>
      <c r="CS554" s="2036"/>
      <c r="CT554" s="2036"/>
      <c r="CU554" s="2036"/>
      <c r="CV554" s="1973">
        <v>1</v>
      </c>
      <c r="CW554" s="1973">
        <v>0</v>
      </c>
      <c r="CX554" s="2037">
        <v>37500</v>
      </c>
      <c r="CY554" s="2037">
        <v>37500</v>
      </c>
      <c r="CZ554" s="2037">
        <v>37500</v>
      </c>
      <c r="DA554" s="2037">
        <v>37500</v>
      </c>
      <c r="DJ554" s="1976">
        <v>15000</v>
      </c>
      <c r="DK554" s="1973">
        <v>15000</v>
      </c>
      <c r="DL554" s="1973">
        <v>15000</v>
      </c>
      <c r="DM554" s="1973">
        <v>15000</v>
      </c>
      <c r="DO554" s="2027">
        <v>0</v>
      </c>
      <c r="DP554" s="2144">
        <v>0</v>
      </c>
      <c r="DQ554" s="2145">
        <v>0</v>
      </c>
      <c r="DR554" s="2027">
        <v>0</v>
      </c>
      <c r="DS554" s="2124">
        <v>15000</v>
      </c>
      <c r="DT554" s="2029">
        <v>15000</v>
      </c>
      <c r="DU554" s="2029">
        <v>15000</v>
      </c>
      <c r="DV554" s="2029">
        <v>15000</v>
      </c>
      <c r="DW554" s="2124">
        <v>22500</v>
      </c>
      <c r="DX554" s="2029">
        <v>22500</v>
      </c>
      <c r="DY554" s="2029">
        <v>22500</v>
      </c>
      <c r="DZ554" s="2029">
        <v>22500</v>
      </c>
      <c r="EA554" s="2124">
        <v>0</v>
      </c>
      <c r="EB554" s="2029">
        <v>0</v>
      </c>
      <c r="EC554" s="2029">
        <v>0</v>
      </c>
      <c r="ED554" s="2029">
        <v>0</v>
      </c>
      <c r="EE554" s="2039">
        <f t="shared" si="356"/>
        <v>0</v>
      </c>
      <c r="EF554" s="2039">
        <f t="shared" si="356"/>
        <v>0</v>
      </c>
      <c r="EG554" s="2039">
        <f t="shared" si="356"/>
        <v>0</v>
      </c>
      <c r="EH554" s="2039">
        <f t="shared" si="355"/>
        <v>0</v>
      </c>
      <c r="EI554" s="2040">
        <f t="shared" si="385"/>
        <v>0</v>
      </c>
      <c r="EJ554" s="2040">
        <f t="shared" si="385"/>
        <v>0</v>
      </c>
      <c r="EK554" s="2040">
        <f t="shared" si="385"/>
        <v>0</v>
      </c>
      <c r="EL554" s="2040">
        <f t="shared" si="383"/>
        <v>0</v>
      </c>
      <c r="EM554" s="2040">
        <f t="shared" si="383"/>
        <v>0</v>
      </c>
      <c r="EN554" s="2040">
        <f t="shared" si="383"/>
        <v>0</v>
      </c>
      <c r="EO554" s="2040">
        <f t="shared" si="350"/>
        <v>0</v>
      </c>
      <c r="EP554" s="2040">
        <f t="shared" si="350"/>
        <v>0</v>
      </c>
      <c r="EQ554" s="2040">
        <f t="shared" si="350"/>
        <v>0</v>
      </c>
      <c r="ER554" s="2040">
        <f t="shared" si="350"/>
        <v>0</v>
      </c>
      <c r="ES554" s="2040">
        <f t="shared" si="350"/>
        <v>0</v>
      </c>
      <c r="ET554" s="2040">
        <f t="shared" si="350"/>
        <v>0</v>
      </c>
      <c r="EU554" s="2039">
        <f t="shared" si="357"/>
        <v>0</v>
      </c>
      <c r="EV554" s="2039">
        <f t="shared" si="358"/>
        <v>0</v>
      </c>
    </row>
    <row r="555" spans="1:152" x14ac:dyDescent="0.25">
      <c r="A555" s="2149" t="str">
        <f t="shared" si="387"/>
        <v>Duct Sealing</v>
      </c>
      <c r="B555" s="1974" t="str">
        <f t="shared" si="387"/>
        <v>Pilot with Residential?</v>
      </c>
      <c r="C555" s="2027">
        <f t="shared" si="384"/>
        <v>0</v>
      </c>
      <c r="D555" s="2144">
        <f t="shared" si="384"/>
        <v>0</v>
      </c>
      <c r="E555" s="2145">
        <f t="shared" si="384"/>
        <v>0</v>
      </c>
      <c r="F555" s="2027">
        <f t="shared" si="384"/>
        <v>0</v>
      </c>
      <c r="G555" s="1974" t="s">
        <v>2988</v>
      </c>
      <c r="H555" s="1974" t="s">
        <v>2988</v>
      </c>
      <c r="I555" s="2026">
        <v>0.9</v>
      </c>
      <c r="J555" s="2026">
        <v>0.9</v>
      </c>
      <c r="K555" s="2026">
        <v>0.9</v>
      </c>
      <c r="L555" s="2026">
        <v>0.9</v>
      </c>
      <c r="M555" s="2027">
        <f t="shared" si="374"/>
        <v>0</v>
      </c>
      <c r="N555" s="2027">
        <f t="shared" si="374"/>
        <v>0</v>
      </c>
      <c r="O555" s="2027">
        <f t="shared" si="374"/>
        <v>0</v>
      </c>
      <c r="P555" s="2027">
        <f t="shared" si="362"/>
        <v>0</v>
      </c>
      <c r="Q555" s="2026">
        <v>0.9</v>
      </c>
      <c r="R555" s="2026">
        <v>0.9</v>
      </c>
      <c r="S555" s="2026">
        <v>0.9</v>
      </c>
      <c r="T555" s="2026">
        <v>0.9</v>
      </c>
      <c r="U555" s="2028">
        <f t="shared" si="375"/>
        <v>0</v>
      </c>
      <c r="V555" s="2028">
        <f t="shared" si="375"/>
        <v>0</v>
      </c>
      <c r="W555" s="2028">
        <f t="shared" si="375"/>
        <v>0</v>
      </c>
      <c r="X555" s="2028">
        <f t="shared" si="363"/>
        <v>0</v>
      </c>
      <c r="Y555" s="2026">
        <v>0.9</v>
      </c>
      <c r="Z555" s="2026">
        <v>0.9</v>
      </c>
      <c r="AA555" s="2026">
        <v>0.9</v>
      </c>
      <c r="AB555" s="2026">
        <v>0.9</v>
      </c>
      <c r="AC555" s="2027">
        <f t="shared" si="376"/>
        <v>0</v>
      </c>
      <c r="AD555" s="2027">
        <f t="shared" si="376"/>
        <v>0</v>
      </c>
      <c r="AE555" s="2027">
        <f t="shared" si="376"/>
        <v>0</v>
      </c>
      <c r="AF555" s="2027">
        <f t="shared" si="364"/>
        <v>0</v>
      </c>
      <c r="AG555" s="2027">
        <v>0</v>
      </c>
      <c r="AH555" s="2028"/>
      <c r="AI555" s="2028"/>
      <c r="AJ555" s="2028"/>
      <c r="AK555" s="2027">
        <f t="shared" si="365"/>
        <v>0</v>
      </c>
      <c r="AL555" s="2027">
        <f t="shared" si="366"/>
        <v>0</v>
      </c>
      <c r="AM555" s="2027">
        <f t="shared" si="366"/>
        <v>0</v>
      </c>
      <c r="AN555" s="2027">
        <f t="shared" si="366"/>
        <v>0</v>
      </c>
      <c r="AO555" s="2027">
        <f t="shared" si="377"/>
        <v>0</v>
      </c>
      <c r="AP555" s="2027">
        <f t="shared" si="367"/>
        <v>0</v>
      </c>
      <c r="AQ555" s="2027">
        <f t="shared" si="367"/>
        <v>0</v>
      </c>
      <c r="AR555" s="2027">
        <f t="shared" si="367"/>
        <v>0</v>
      </c>
      <c r="AS555" s="2124">
        <f t="shared" si="386"/>
        <v>15000</v>
      </c>
      <c r="AT555" s="2029">
        <f t="shared" si="368"/>
        <v>15000</v>
      </c>
      <c r="AU555" s="2029">
        <f t="shared" si="368"/>
        <v>15000</v>
      </c>
      <c r="AV555" s="2029">
        <f t="shared" si="368"/>
        <v>15000</v>
      </c>
      <c r="AW555" s="2124">
        <f t="shared" si="369"/>
        <v>22500</v>
      </c>
      <c r="AX555" s="2029">
        <f t="shared" si="388"/>
        <v>22500</v>
      </c>
      <c r="AY555" s="2029">
        <f t="shared" si="388"/>
        <v>22500</v>
      </c>
      <c r="AZ555" s="2029">
        <f t="shared" si="388"/>
        <v>22500</v>
      </c>
      <c r="BA555" s="2124">
        <f t="shared" si="392"/>
        <v>0</v>
      </c>
      <c r="BB555" s="2029">
        <f t="shared" si="391"/>
        <v>0</v>
      </c>
      <c r="BC555" s="2029">
        <f t="shared" si="391"/>
        <v>0</v>
      </c>
      <c r="BD555" s="2029">
        <f t="shared" si="391"/>
        <v>0</v>
      </c>
      <c r="BE555" s="2030">
        <f t="shared" si="378"/>
        <v>0</v>
      </c>
      <c r="BF555" s="2030">
        <f t="shared" si="378"/>
        <v>0</v>
      </c>
      <c r="BG555" s="2030">
        <f t="shared" si="378"/>
        <v>0</v>
      </c>
      <c r="BH555" s="2030">
        <f t="shared" si="370"/>
        <v>0</v>
      </c>
      <c r="BI555" s="2030">
        <f t="shared" si="379"/>
        <v>0</v>
      </c>
      <c r="BJ555" s="2030">
        <f t="shared" si="379"/>
        <v>0</v>
      </c>
      <c r="BK555" s="2030">
        <f t="shared" si="379"/>
        <v>0</v>
      </c>
      <c r="BL555" s="2030">
        <f t="shared" si="371"/>
        <v>0</v>
      </c>
      <c r="BM555" s="2125"/>
      <c r="BN555" s="2125"/>
      <c r="BO555" s="2125"/>
      <c r="BP555" s="2125"/>
      <c r="BQ555" s="2125"/>
      <c r="BR555" s="2125"/>
      <c r="BS555" s="2125"/>
      <c r="BT555" s="2125"/>
      <c r="BU555" s="2029"/>
      <c r="BV555" s="2029"/>
      <c r="BW555" s="2029"/>
      <c r="BX555" s="2029"/>
      <c r="BY555" s="2029"/>
      <c r="BZ555" s="2032"/>
      <c r="CA555" s="1974">
        <f t="shared" si="389"/>
        <v>0</v>
      </c>
      <c r="CB555" s="1974">
        <f t="shared" si="389"/>
        <v>0</v>
      </c>
      <c r="CC555" s="1974">
        <f t="shared" si="389"/>
        <v>0</v>
      </c>
      <c r="CD555" s="1974">
        <f t="shared" si="389"/>
        <v>0</v>
      </c>
      <c r="CE555" s="1974">
        <f t="shared" si="389"/>
        <v>0</v>
      </c>
      <c r="CF555" s="2033">
        <v>0</v>
      </c>
      <c r="CG555" s="2026">
        <v>0</v>
      </c>
      <c r="CH555" s="2009">
        <f t="shared" si="390"/>
        <v>0</v>
      </c>
      <c r="CI555" s="2031">
        <f t="shared" si="390"/>
        <v>0</v>
      </c>
      <c r="CJ555" s="1974">
        <f t="shared" si="390"/>
        <v>0</v>
      </c>
      <c r="CK555" s="2031">
        <f t="shared" si="390"/>
        <v>0</v>
      </c>
      <c r="CL555" s="2026">
        <v>1</v>
      </c>
      <c r="CM555" s="2026">
        <v>1</v>
      </c>
      <c r="CN555" s="2026">
        <v>1</v>
      </c>
      <c r="CO555" s="2026">
        <v>1</v>
      </c>
      <c r="CP555" s="2035"/>
      <c r="CQ555" s="2036"/>
      <c r="CR555" s="2036"/>
      <c r="CS555" s="2036"/>
      <c r="CT555" s="2036"/>
      <c r="CU555" s="2036"/>
      <c r="CV555" s="1973">
        <v>1</v>
      </c>
      <c r="CW555" s="1973">
        <v>0</v>
      </c>
      <c r="CX555" s="2037">
        <v>37500</v>
      </c>
      <c r="CY555" s="2037">
        <v>37500</v>
      </c>
      <c r="CZ555" s="2037">
        <v>37500</v>
      </c>
      <c r="DA555" s="2037">
        <v>37500</v>
      </c>
      <c r="DJ555" s="1976">
        <v>15000</v>
      </c>
      <c r="DK555" s="1973">
        <v>15000</v>
      </c>
      <c r="DL555" s="1973">
        <v>15000</v>
      </c>
      <c r="DM555" s="1973">
        <v>15000</v>
      </c>
      <c r="DO555" s="2027">
        <v>0</v>
      </c>
      <c r="DP555" s="2144">
        <v>0</v>
      </c>
      <c r="DQ555" s="2145">
        <v>0</v>
      </c>
      <c r="DR555" s="2027">
        <v>0</v>
      </c>
      <c r="DS555" s="2124">
        <v>15000</v>
      </c>
      <c r="DT555" s="2029">
        <v>15000</v>
      </c>
      <c r="DU555" s="2029">
        <v>15000</v>
      </c>
      <c r="DV555" s="2029">
        <v>15000</v>
      </c>
      <c r="DW555" s="2124">
        <v>22500</v>
      </c>
      <c r="DX555" s="2029">
        <v>22500</v>
      </c>
      <c r="DY555" s="2029">
        <v>22500</v>
      </c>
      <c r="DZ555" s="2029">
        <v>22500</v>
      </c>
      <c r="EA555" s="2124">
        <v>0</v>
      </c>
      <c r="EB555" s="2029">
        <v>0</v>
      </c>
      <c r="EC555" s="2029">
        <v>0</v>
      </c>
      <c r="ED555" s="2029">
        <v>0</v>
      </c>
      <c r="EE555" s="2039">
        <f t="shared" si="356"/>
        <v>0</v>
      </c>
      <c r="EF555" s="2039">
        <f t="shared" si="356"/>
        <v>0</v>
      </c>
      <c r="EG555" s="2039">
        <f t="shared" si="356"/>
        <v>0</v>
      </c>
      <c r="EH555" s="2039">
        <f t="shared" si="355"/>
        <v>0</v>
      </c>
      <c r="EI555" s="2040">
        <f t="shared" si="385"/>
        <v>0</v>
      </c>
      <c r="EJ555" s="2040">
        <f t="shared" si="385"/>
        <v>0</v>
      </c>
      <c r="EK555" s="2040">
        <f t="shared" si="385"/>
        <v>0</v>
      </c>
      <c r="EL555" s="2040">
        <f t="shared" si="383"/>
        <v>0</v>
      </c>
      <c r="EM555" s="2040">
        <f t="shared" si="383"/>
        <v>0</v>
      </c>
      <c r="EN555" s="2040">
        <f t="shared" si="383"/>
        <v>0</v>
      </c>
      <c r="EO555" s="2040">
        <f t="shared" si="350"/>
        <v>0</v>
      </c>
      <c r="EP555" s="2040">
        <f t="shared" si="350"/>
        <v>0</v>
      </c>
      <c r="EQ555" s="2040">
        <f t="shared" si="350"/>
        <v>0</v>
      </c>
      <c r="ER555" s="2040">
        <f t="shared" ref="ER555:ET618" si="393">BB555-EB555</f>
        <v>0</v>
      </c>
      <c r="ES555" s="2040">
        <f t="shared" si="393"/>
        <v>0</v>
      </c>
      <c r="ET555" s="2040">
        <f t="shared" si="393"/>
        <v>0</v>
      </c>
      <c r="EU555" s="2039">
        <f t="shared" si="357"/>
        <v>0</v>
      </c>
      <c r="EV555" s="2039">
        <f t="shared" si="358"/>
        <v>0</v>
      </c>
    </row>
    <row r="556" spans="1:152" x14ac:dyDescent="0.25">
      <c r="A556" s="2149" t="str">
        <f t="shared" si="387"/>
        <v>HVAC Pump (Midstream)</v>
      </c>
      <c r="B556" s="1974" t="str">
        <f t="shared" si="387"/>
        <v>HVAC/Motor Midstream Pilot</v>
      </c>
      <c r="C556" s="2027">
        <f t="shared" si="384"/>
        <v>0</v>
      </c>
      <c r="D556" s="2144">
        <f t="shared" si="384"/>
        <v>0</v>
      </c>
      <c r="E556" s="2145">
        <f t="shared" si="384"/>
        <v>0</v>
      </c>
      <c r="F556" s="2027">
        <f t="shared" si="384"/>
        <v>0</v>
      </c>
      <c r="G556" s="1974" t="s">
        <v>2988</v>
      </c>
      <c r="H556" s="1974" t="s">
        <v>2988</v>
      </c>
      <c r="I556" s="2026">
        <v>0.9</v>
      </c>
      <c r="J556" s="2026">
        <v>0.9</v>
      </c>
      <c r="K556" s="2026">
        <v>0.9</v>
      </c>
      <c r="L556" s="2026">
        <v>0.9</v>
      </c>
      <c r="M556" s="2027">
        <f t="shared" si="374"/>
        <v>0</v>
      </c>
      <c r="N556" s="2027">
        <f t="shared" si="374"/>
        <v>0</v>
      </c>
      <c r="O556" s="2027">
        <f t="shared" si="374"/>
        <v>0</v>
      </c>
      <c r="P556" s="2027">
        <f t="shared" si="362"/>
        <v>0</v>
      </c>
      <c r="Q556" s="2026">
        <v>0.9</v>
      </c>
      <c r="R556" s="2026">
        <v>0.9</v>
      </c>
      <c r="S556" s="2026">
        <v>0.9</v>
      </c>
      <c r="T556" s="2026">
        <v>0.9</v>
      </c>
      <c r="U556" s="2028">
        <f t="shared" si="375"/>
        <v>0</v>
      </c>
      <c r="V556" s="2028">
        <f t="shared" si="375"/>
        <v>0</v>
      </c>
      <c r="W556" s="2028">
        <f t="shared" si="375"/>
        <v>0</v>
      </c>
      <c r="X556" s="2028">
        <f t="shared" si="363"/>
        <v>0</v>
      </c>
      <c r="Y556" s="2026">
        <v>0.9</v>
      </c>
      <c r="Z556" s="2026">
        <v>0.9</v>
      </c>
      <c r="AA556" s="2026">
        <v>0.9</v>
      </c>
      <c r="AB556" s="2026">
        <v>0.9</v>
      </c>
      <c r="AC556" s="2027">
        <f t="shared" si="376"/>
        <v>0</v>
      </c>
      <c r="AD556" s="2027">
        <f t="shared" si="376"/>
        <v>0</v>
      </c>
      <c r="AE556" s="2027">
        <f t="shared" si="376"/>
        <v>0</v>
      </c>
      <c r="AF556" s="2027">
        <f t="shared" si="364"/>
        <v>0</v>
      </c>
      <c r="AG556" s="2027">
        <v>0</v>
      </c>
      <c r="AH556" s="2028"/>
      <c r="AI556" s="2028"/>
      <c r="AJ556" s="2028"/>
      <c r="AK556" s="2027">
        <f t="shared" si="365"/>
        <v>0</v>
      </c>
      <c r="AL556" s="2027">
        <f t="shared" si="366"/>
        <v>0</v>
      </c>
      <c r="AM556" s="2027">
        <f t="shared" si="366"/>
        <v>0</v>
      </c>
      <c r="AN556" s="2027">
        <f t="shared" si="366"/>
        <v>0</v>
      </c>
      <c r="AO556" s="2027">
        <f t="shared" si="377"/>
        <v>0</v>
      </c>
      <c r="AP556" s="2027">
        <f t="shared" si="367"/>
        <v>0</v>
      </c>
      <c r="AQ556" s="2027">
        <f t="shared" si="367"/>
        <v>0</v>
      </c>
      <c r="AR556" s="2027">
        <f t="shared" si="367"/>
        <v>0</v>
      </c>
      <c r="AS556" s="2124">
        <f>AS95*1.5</f>
        <v>0</v>
      </c>
      <c r="AT556" s="2029">
        <f t="shared" si="368"/>
        <v>0</v>
      </c>
      <c r="AU556" s="2029">
        <f t="shared" si="368"/>
        <v>0</v>
      </c>
      <c r="AV556" s="2029">
        <f t="shared" si="368"/>
        <v>0</v>
      </c>
      <c r="AW556" s="2124">
        <f t="shared" si="369"/>
        <v>0</v>
      </c>
      <c r="AX556" s="2029">
        <f t="shared" si="388"/>
        <v>0</v>
      </c>
      <c r="AY556" s="2029">
        <f t="shared" si="388"/>
        <v>0</v>
      </c>
      <c r="AZ556" s="2029">
        <f t="shared" si="388"/>
        <v>0</v>
      </c>
      <c r="BA556" s="2124">
        <f t="shared" si="392"/>
        <v>0</v>
      </c>
      <c r="BB556" s="2029">
        <f t="shared" si="391"/>
        <v>0</v>
      </c>
      <c r="BC556" s="2029">
        <f t="shared" si="391"/>
        <v>0</v>
      </c>
      <c r="BD556" s="2029">
        <f t="shared" si="391"/>
        <v>0</v>
      </c>
      <c r="BE556" s="2030">
        <f t="shared" si="378"/>
        <v>0</v>
      </c>
      <c r="BF556" s="2030">
        <f t="shared" si="378"/>
        <v>0</v>
      </c>
      <c r="BG556" s="2030">
        <f t="shared" si="378"/>
        <v>0</v>
      </c>
      <c r="BH556" s="2030">
        <f t="shared" si="370"/>
        <v>0</v>
      </c>
      <c r="BI556" s="2030">
        <f t="shared" si="379"/>
        <v>0</v>
      </c>
      <c r="BJ556" s="2030">
        <f t="shared" si="379"/>
        <v>0</v>
      </c>
      <c r="BK556" s="2030">
        <f t="shared" si="379"/>
        <v>0</v>
      </c>
      <c r="BL556" s="2030">
        <f t="shared" si="371"/>
        <v>0</v>
      </c>
      <c r="BM556" s="2125"/>
      <c r="BN556" s="2125"/>
      <c r="BO556" s="2125"/>
      <c r="BP556" s="2125"/>
      <c r="BQ556" s="2125"/>
      <c r="BR556" s="2125"/>
      <c r="BS556" s="2125"/>
      <c r="BT556" s="2125"/>
      <c r="BU556" s="2029"/>
      <c r="BV556" s="2029"/>
      <c r="BW556" s="2029"/>
      <c r="BX556" s="2029"/>
      <c r="BY556" s="2029"/>
      <c r="BZ556" s="2032"/>
      <c r="CA556" s="1974">
        <f t="shared" si="389"/>
        <v>0</v>
      </c>
      <c r="CB556" s="1974">
        <f t="shared" si="389"/>
        <v>0</v>
      </c>
      <c r="CC556" s="1974">
        <f t="shared" si="389"/>
        <v>0</v>
      </c>
      <c r="CD556" s="1974">
        <f t="shared" si="389"/>
        <v>0</v>
      </c>
      <c r="CE556" s="1974">
        <f t="shared" si="389"/>
        <v>0</v>
      </c>
      <c r="CF556" s="2033">
        <v>0</v>
      </c>
      <c r="CG556" s="2026">
        <v>0</v>
      </c>
      <c r="CH556" s="2009">
        <f t="shared" si="390"/>
        <v>0</v>
      </c>
      <c r="CI556" s="2031">
        <f t="shared" si="390"/>
        <v>0</v>
      </c>
      <c r="CJ556" s="1974">
        <f t="shared" si="390"/>
        <v>0</v>
      </c>
      <c r="CK556" s="2031">
        <f t="shared" si="390"/>
        <v>0</v>
      </c>
      <c r="CL556" s="2026">
        <v>1</v>
      </c>
      <c r="CM556" s="2026">
        <v>1</v>
      </c>
      <c r="CN556" s="2026">
        <v>1</v>
      </c>
      <c r="CO556" s="2026">
        <v>1</v>
      </c>
      <c r="CP556" s="2035"/>
      <c r="CQ556" s="2036"/>
      <c r="CR556" s="2036"/>
      <c r="CS556" s="2036"/>
      <c r="CT556" s="2036"/>
      <c r="CU556" s="2036"/>
      <c r="CV556" s="1973">
        <v>1</v>
      </c>
      <c r="CW556" s="1973">
        <v>0</v>
      </c>
      <c r="CX556" s="2037">
        <v>0</v>
      </c>
      <c r="CY556" s="2037">
        <v>0</v>
      </c>
      <c r="CZ556" s="2037">
        <v>0</v>
      </c>
      <c r="DA556" s="2037">
        <v>0</v>
      </c>
      <c r="DJ556" s="1976">
        <v>0</v>
      </c>
      <c r="DK556" s="1973">
        <v>0</v>
      </c>
      <c r="DL556" s="1973">
        <v>0</v>
      </c>
      <c r="DM556" s="1973">
        <v>0</v>
      </c>
      <c r="DO556" s="2027">
        <v>0</v>
      </c>
      <c r="DP556" s="2144">
        <v>0</v>
      </c>
      <c r="DQ556" s="2145">
        <v>0</v>
      </c>
      <c r="DR556" s="2027">
        <v>0</v>
      </c>
      <c r="DS556" s="2124">
        <v>0</v>
      </c>
      <c r="DT556" s="2029">
        <v>0</v>
      </c>
      <c r="DU556" s="2029">
        <v>0</v>
      </c>
      <c r="DV556" s="2029">
        <v>0</v>
      </c>
      <c r="DW556" s="2124">
        <v>0</v>
      </c>
      <c r="DX556" s="2029">
        <v>0</v>
      </c>
      <c r="DY556" s="2029">
        <v>0</v>
      </c>
      <c r="DZ556" s="2029">
        <v>0</v>
      </c>
      <c r="EA556" s="2124">
        <v>0</v>
      </c>
      <c r="EB556" s="2029">
        <v>0</v>
      </c>
      <c r="EC556" s="2029">
        <v>0</v>
      </c>
      <c r="ED556" s="2029">
        <v>0</v>
      </c>
      <c r="EE556" s="2039">
        <f t="shared" si="356"/>
        <v>0</v>
      </c>
      <c r="EF556" s="2039">
        <f t="shared" si="356"/>
        <v>0</v>
      </c>
      <c r="EG556" s="2039">
        <f t="shared" si="356"/>
        <v>0</v>
      </c>
      <c r="EH556" s="2039">
        <f t="shared" si="355"/>
        <v>0</v>
      </c>
      <c r="EI556" s="2040">
        <f t="shared" si="385"/>
        <v>0</v>
      </c>
      <c r="EJ556" s="2040">
        <f t="shared" si="385"/>
        <v>0</v>
      </c>
      <c r="EK556" s="2040">
        <f t="shared" si="385"/>
        <v>0</v>
      </c>
      <c r="EL556" s="2040">
        <f t="shared" si="383"/>
        <v>0</v>
      </c>
      <c r="EM556" s="2040">
        <f t="shared" si="383"/>
        <v>0</v>
      </c>
      <c r="EN556" s="2040">
        <f t="shared" si="383"/>
        <v>0</v>
      </c>
      <c r="EO556" s="2040">
        <f t="shared" si="383"/>
        <v>0</v>
      </c>
      <c r="EP556" s="2040">
        <f t="shared" si="383"/>
        <v>0</v>
      </c>
      <c r="EQ556" s="2040">
        <f t="shared" si="383"/>
        <v>0</v>
      </c>
      <c r="ER556" s="2040">
        <f t="shared" si="393"/>
        <v>0</v>
      </c>
      <c r="ES556" s="2040">
        <f t="shared" si="393"/>
        <v>0</v>
      </c>
      <c r="ET556" s="2040">
        <f t="shared" si="393"/>
        <v>0</v>
      </c>
      <c r="EU556" s="2039">
        <f t="shared" si="357"/>
        <v>0</v>
      </c>
      <c r="EV556" s="2039">
        <f t="shared" si="358"/>
        <v>0</v>
      </c>
    </row>
    <row r="557" spans="1:152" x14ac:dyDescent="0.25">
      <c r="A557" s="2149" t="str">
        <f t="shared" si="387"/>
        <v>ECM (Midstream)</v>
      </c>
      <c r="B557" s="1974" t="str">
        <f t="shared" si="387"/>
        <v>HVAC/Motor Midstream Pilot</v>
      </c>
      <c r="C557" s="2027">
        <f t="shared" ref="C557:F572" si="394">C96</f>
        <v>0</v>
      </c>
      <c r="D557" s="2144">
        <f t="shared" si="394"/>
        <v>0</v>
      </c>
      <c r="E557" s="2145">
        <f t="shared" si="394"/>
        <v>0</v>
      </c>
      <c r="F557" s="2027">
        <f t="shared" si="394"/>
        <v>0</v>
      </c>
      <c r="G557" s="1974" t="s">
        <v>2988</v>
      </c>
      <c r="H557" s="1974" t="s">
        <v>2988</v>
      </c>
      <c r="I557" s="2026">
        <v>0.9</v>
      </c>
      <c r="J557" s="2026">
        <v>0.9</v>
      </c>
      <c r="K557" s="2026">
        <v>0.9</v>
      </c>
      <c r="L557" s="2026">
        <v>0.9</v>
      </c>
      <c r="M557" s="2027">
        <f t="shared" si="374"/>
        <v>0</v>
      </c>
      <c r="N557" s="2027">
        <f t="shared" si="374"/>
        <v>0</v>
      </c>
      <c r="O557" s="2027">
        <f t="shared" si="374"/>
        <v>0</v>
      </c>
      <c r="P557" s="2027">
        <f t="shared" si="362"/>
        <v>0</v>
      </c>
      <c r="Q557" s="2026">
        <v>0.9</v>
      </c>
      <c r="R557" s="2026">
        <v>0.9</v>
      </c>
      <c r="S557" s="2026">
        <v>0.9</v>
      </c>
      <c r="T557" s="2026">
        <v>0.9</v>
      </c>
      <c r="U557" s="2028">
        <f t="shared" si="375"/>
        <v>0</v>
      </c>
      <c r="V557" s="2028">
        <f t="shared" si="375"/>
        <v>0</v>
      </c>
      <c r="W557" s="2028">
        <f t="shared" si="375"/>
        <v>0</v>
      </c>
      <c r="X557" s="2028">
        <f t="shared" si="363"/>
        <v>0</v>
      </c>
      <c r="Y557" s="2026">
        <v>0.9</v>
      </c>
      <c r="Z557" s="2026">
        <v>0.9</v>
      </c>
      <c r="AA557" s="2026">
        <v>0.9</v>
      </c>
      <c r="AB557" s="2026">
        <v>0.9</v>
      </c>
      <c r="AC557" s="2027">
        <f t="shared" si="376"/>
        <v>0</v>
      </c>
      <c r="AD557" s="2027">
        <f t="shared" si="376"/>
        <v>0</v>
      </c>
      <c r="AE557" s="2027">
        <f t="shared" si="376"/>
        <v>0</v>
      </c>
      <c r="AF557" s="2027">
        <f t="shared" si="364"/>
        <v>0</v>
      </c>
      <c r="AG557" s="2027">
        <v>0</v>
      </c>
      <c r="AH557" s="2028"/>
      <c r="AI557" s="2028"/>
      <c r="AJ557" s="2028"/>
      <c r="AK557" s="2027">
        <f t="shared" si="365"/>
        <v>0</v>
      </c>
      <c r="AL557" s="2027">
        <f t="shared" si="366"/>
        <v>0</v>
      </c>
      <c r="AM557" s="2027">
        <f t="shared" si="366"/>
        <v>0</v>
      </c>
      <c r="AN557" s="2027">
        <f t="shared" si="366"/>
        <v>0</v>
      </c>
      <c r="AO557" s="2027">
        <f t="shared" si="377"/>
        <v>0</v>
      </c>
      <c r="AP557" s="2027">
        <f t="shared" si="367"/>
        <v>0</v>
      </c>
      <c r="AQ557" s="2027">
        <f t="shared" si="367"/>
        <v>0</v>
      </c>
      <c r="AR557" s="2027">
        <f t="shared" si="367"/>
        <v>0</v>
      </c>
      <c r="AS557" s="2124">
        <f>AS96*1.5</f>
        <v>0</v>
      </c>
      <c r="AT557" s="2029">
        <f t="shared" si="368"/>
        <v>0</v>
      </c>
      <c r="AU557" s="2029">
        <f t="shared" si="368"/>
        <v>0</v>
      </c>
      <c r="AV557" s="2029">
        <f t="shared" si="368"/>
        <v>0</v>
      </c>
      <c r="AW557" s="2124">
        <f t="shared" si="369"/>
        <v>0</v>
      </c>
      <c r="AX557" s="2029">
        <f t="shared" si="388"/>
        <v>0</v>
      </c>
      <c r="AY557" s="2029">
        <f t="shared" si="388"/>
        <v>0</v>
      </c>
      <c r="AZ557" s="2029">
        <f t="shared" si="388"/>
        <v>0</v>
      </c>
      <c r="BA557" s="2124">
        <f t="shared" si="392"/>
        <v>0</v>
      </c>
      <c r="BB557" s="2029">
        <f t="shared" si="391"/>
        <v>0</v>
      </c>
      <c r="BC557" s="2029">
        <f t="shared" si="391"/>
        <v>0</v>
      </c>
      <c r="BD557" s="2029">
        <f t="shared" si="391"/>
        <v>0</v>
      </c>
      <c r="BE557" s="2030">
        <f t="shared" si="378"/>
        <v>0</v>
      </c>
      <c r="BF557" s="2030">
        <f t="shared" si="378"/>
        <v>0</v>
      </c>
      <c r="BG557" s="2030">
        <f t="shared" si="378"/>
        <v>0</v>
      </c>
      <c r="BH557" s="2030">
        <f t="shared" si="370"/>
        <v>0</v>
      </c>
      <c r="BI557" s="2030">
        <f t="shared" si="379"/>
        <v>0</v>
      </c>
      <c r="BJ557" s="2030">
        <f t="shared" si="379"/>
        <v>0</v>
      </c>
      <c r="BK557" s="2030">
        <f t="shared" si="379"/>
        <v>0</v>
      </c>
      <c r="BL557" s="2030">
        <f t="shared" si="371"/>
        <v>0</v>
      </c>
      <c r="BM557" s="2125"/>
      <c r="BN557" s="2125"/>
      <c r="BO557" s="2125"/>
      <c r="BP557" s="2125"/>
      <c r="BQ557" s="2125"/>
      <c r="BR557" s="2125"/>
      <c r="BS557" s="2125"/>
      <c r="BT557" s="2125"/>
      <c r="BU557" s="2029"/>
      <c r="BV557" s="2029"/>
      <c r="BW557" s="2029"/>
      <c r="BX557" s="2029"/>
      <c r="BY557" s="2029"/>
      <c r="BZ557" s="2032"/>
      <c r="CA557" s="1974">
        <f t="shared" si="389"/>
        <v>0</v>
      </c>
      <c r="CB557" s="1974">
        <f t="shared" si="389"/>
        <v>0</v>
      </c>
      <c r="CC557" s="1974">
        <f t="shared" si="389"/>
        <v>0</v>
      </c>
      <c r="CD557" s="1974">
        <f t="shared" si="389"/>
        <v>0</v>
      </c>
      <c r="CE557" s="1974">
        <f t="shared" si="389"/>
        <v>0</v>
      </c>
      <c r="CF557" s="2033">
        <v>0</v>
      </c>
      <c r="CG557" s="2026">
        <v>0</v>
      </c>
      <c r="CH557" s="2009">
        <f t="shared" si="390"/>
        <v>0</v>
      </c>
      <c r="CI557" s="2031">
        <f t="shared" si="390"/>
        <v>0</v>
      </c>
      <c r="CJ557" s="1974">
        <f t="shared" si="390"/>
        <v>0</v>
      </c>
      <c r="CK557" s="2031">
        <f t="shared" si="390"/>
        <v>0</v>
      </c>
      <c r="CL557" s="2026">
        <v>1</v>
      </c>
      <c r="CM557" s="2026">
        <v>1</v>
      </c>
      <c r="CN557" s="2026">
        <v>1</v>
      </c>
      <c r="CO557" s="2026">
        <v>1</v>
      </c>
      <c r="CP557" s="2035"/>
      <c r="CQ557" s="2036"/>
      <c r="CR557" s="2036"/>
      <c r="CS557" s="2036"/>
      <c r="CT557" s="2036"/>
      <c r="CU557" s="2036"/>
      <c r="CV557" s="1973">
        <v>1</v>
      </c>
      <c r="CW557" s="1973">
        <v>0</v>
      </c>
      <c r="CX557" s="2037">
        <v>0</v>
      </c>
      <c r="CY557" s="2037">
        <v>0</v>
      </c>
      <c r="CZ557" s="2037">
        <v>0</v>
      </c>
      <c r="DA557" s="2037">
        <v>0</v>
      </c>
      <c r="DJ557" s="1976">
        <v>0</v>
      </c>
      <c r="DK557" s="1973">
        <v>0</v>
      </c>
      <c r="DL557" s="1973">
        <v>0</v>
      </c>
      <c r="DM557" s="1973">
        <v>0</v>
      </c>
      <c r="DO557" s="2027">
        <v>0</v>
      </c>
      <c r="DP557" s="2144">
        <v>0</v>
      </c>
      <c r="DQ557" s="2145">
        <v>0</v>
      </c>
      <c r="DR557" s="2027">
        <v>0</v>
      </c>
      <c r="DS557" s="2124">
        <v>0</v>
      </c>
      <c r="DT557" s="2029">
        <v>0</v>
      </c>
      <c r="DU557" s="2029">
        <v>0</v>
      </c>
      <c r="DV557" s="2029">
        <v>0</v>
      </c>
      <c r="DW557" s="2124">
        <v>0</v>
      </c>
      <c r="DX557" s="2029">
        <v>0</v>
      </c>
      <c r="DY557" s="2029">
        <v>0</v>
      </c>
      <c r="DZ557" s="2029">
        <v>0</v>
      </c>
      <c r="EA557" s="2124">
        <v>0</v>
      </c>
      <c r="EB557" s="2029">
        <v>0</v>
      </c>
      <c r="EC557" s="2029">
        <v>0</v>
      </c>
      <c r="ED557" s="2029">
        <v>0</v>
      </c>
      <c r="EE557" s="2039">
        <f t="shared" si="356"/>
        <v>0</v>
      </c>
      <c r="EF557" s="2039">
        <f t="shared" si="356"/>
        <v>0</v>
      </c>
      <c r="EG557" s="2039">
        <f t="shared" si="356"/>
        <v>0</v>
      </c>
      <c r="EH557" s="2039">
        <f t="shared" si="355"/>
        <v>0</v>
      </c>
      <c r="EI557" s="2040">
        <f t="shared" si="385"/>
        <v>0</v>
      </c>
      <c r="EJ557" s="2040">
        <f t="shared" si="385"/>
        <v>0</v>
      </c>
      <c r="EK557" s="2040">
        <f t="shared" si="385"/>
        <v>0</v>
      </c>
      <c r="EL557" s="2040">
        <f t="shared" si="383"/>
        <v>0</v>
      </c>
      <c r="EM557" s="2040">
        <f t="shared" si="383"/>
        <v>0</v>
      </c>
      <c r="EN557" s="2040">
        <f t="shared" si="383"/>
        <v>0</v>
      </c>
      <c r="EO557" s="2040">
        <f t="shared" si="383"/>
        <v>0</v>
      </c>
      <c r="EP557" s="2040">
        <f t="shared" si="383"/>
        <v>0</v>
      </c>
      <c r="EQ557" s="2040">
        <f t="shared" si="383"/>
        <v>0</v>
      </c>
      <c r="ER557" s="2040">
        <f t="shared" si="393"/>
        <v>0</v>
      </c>
      <c r="ES557" s="2040">
        <f t="shared" si="393"/>
        <v>0</v>
      </c>
      <c r="ET557" s="2040">
        <f t="shared" si="393"/>
        <v>0</v>
      </c>
      <c r="EU557" s="2039">
        <f t="shared" si="357"/>
        <v>0</v>
      </c>
      <c r="EV557" s="2039">
        <f t="shared" si="358"/>
        <v>0</v>
      </c>
    </row>
    <row r="558" spans="1:152" x14ac:dyDescent="0.25">
      <c r="A558" s="2149" t="str">
        <f t="shared" si="387"/>
        <v>Notched V-belts (Midstream)</v>
      </c>
      <c r="B558" s="1974" t="str">
        <f t="shared" si="387"/>
        <v>HVAC/Motor Midstream Pilot</v>
      </c>
      <c r="C558" s="2027">
        <f t="shared" si="394"/>
        <v>0</v>
      </c>
      <c r="D558" s="2144">
        <f t="shared" si="394"/>
        <v>0</v>
      </c>
      <c r="E558" s="2145">
        <f t="shared" si="394"/>
        <v>0</v>
      </c>
      <c r="F558" s="2027">
        <f t="shared" si="394"/>
        <v>0</v>
      </c>
      <c r="G558" s="1974" t="s">
        <v>2988</v>
      </c>
      <c r="H558" s="1974" t="s">
        <v>2988</v>
      </c>
      <c r="I558" s="2026">
        <v>0.9</v>
      </c>
      <c r="J558" s="2026">
        <v>0.9</v>
      </c>
      <c r="K558" s="2026">
        <v>0.9</v>
      </c>
      <c r="L558" s="2026">
        <v>0.9</v>
      </c>
      <c r="M558" s="2027">
        <f t="shared" si="374"/>
        <v>0</v>
      </c>
      <c r="N558" s="2027">
        <f t="shared" si="374"/>
        <v>0</v>
      </c>
      <c r="O558" s="2027">
        <f t="shared" si="374"/>
        <v>0</v>
      </c>
      <c r="P558" s="2027">
        <f t="shared" si="362"/>
        <v>0</v>
      </c>
      <c r="Q558" s="2026">
        <v>0.9</v>
      </c>
      <c r="R558" s="2026">
        <v>0.9</v>
      </c>
      <c r="S558" s="2026">
        <v>0.9</v>
      </c>
      <c r="T558" s="2026">
        <v>0.9</v>
      </c>
      <c r="U558" s="2028">
        <f t="shared" si="375"/>
        <v>0</v>
      </c>
      <c r="V558" s="2028">
        <f t="shared" si="375"/>
        <v>0</v>
      </c>
      <c r="W558" s="2028">
        <f t="shared" si="375"/>
        <v>0</v>
      </c>
      <c r="X558" s="2028">
        <f t="shared" si="363"/>
        <v>0</v>
      </c>
      <c r="Y558" s="2026">
        <v>0.9</v>
      </c>
      <c r="Z558" s="2026">
        <v>0.9</v>
      </c>
      <c r="AA558" s="2026">
        <v>0.9</v>
      </c>
      <c r="AB558" s="2026">
        <v>0.9</v>
      </c>
      <c r="AC558" s="2027">
        <f t="shared" si="376"/>
        <v>0</v>
      </c>
      <c r="AD558" s="2027">
        <f t="shared" si="376"/>
        <v>0</v>
      </c>
      <c r="AE558" s="2027">
        <f t="shared" si="376"/>
        <v>0</v>
      </c>
      <c r="AF558" s="2027">
        <f t="shared" si="364"/>
        <v>0</v>
      </c>
      <c r="AG558" s="2027">
        <v>0</v>
      </c>
      <c r="AH558" s="2028"/>
      <c r="AI558" s="2028"/>
      <c r="AJ558" s="2028"/>
      <c r="AK558" s="2027">
        <f t="shared" si="365"/>
        <v>0</v>
      </c>
      <c r="AL558" s="2027">
        <f t="shared" si="366"/>
        <v>0</v>
      </c>
      <c r="AM558" s="2027">
        <f t="shared" si="366"/>
        <v>0</v>
      </c>
      <c r="AN558" s="2027">
        <f t="shared" si="366"/>
        <v>0</v>
      </c>
      <c r="AO558" s="2027">
        <f t="shared" si="377"/>
        <v>0</v>
      </c>
      <c r="AP558" s="2027">
        <f t="shared" si="367"/>
        <v>0</v>
      </c>
      <c r="AQ558" s="2027">
        <f t="shared" si="367"/>
        <v>0</v>
      </c>
      <c r="AR558" s="2027">
        <f t="shared" si="367"/>
        <v>0</v>
      </c>
      <c r="AS558" s="2124">
        <f>AS97*1.5</f>
        <v>0</v>
      </c>
      <c r="AT558" s="2029">
        <f t="shared" si="368"/>
        <v>0</v>
      </c>
      <c r="AU558" s="2029">
        <f t="shared" si="368"/>
        <v>0</v>
      </c>
      <c r="AV558" s="2029">
        <f t="shared" si="368"/>
        <v>0</v>
      </c>
      <c r="AW558" s="2124">
        <f t="shared" si="369"/>
        <v>0</v>
      </c>
      <c r="AX558" s="2029">
        <f t="shared" si="388"/>
        <v>0</v>
      </c>
      <c r="AY558" s="2029">
        <f t="shared" si="388"/>
        <v>0</v>
      </c>
      <c r="AZ558" s="2029">
        <f t="shared" si="388"/>
        <v>0</v>
      </c>
      <c r="BA558" s="2124">
        <f t="shared" si="392"/>
        <v>0</v>
      </c>
      <c r="BB558" s="2029">
        <f t="shared" si="391"/>
        <v>0</v>
      </c>
      <c r="BC558" s="2029">
        <f t="shared" si="391"/>
        <v>0</v>
      </c>
      <c r="BD558" s="2029">
        <f t="shared" si="391"/>
        <v>0</v>
      </c>
      <c r="BE558" s="2030">
        <f t="shared" si="378"/>
        <v>0</v>
      </c>
      <c r="BF558" s="2030">
        <f t="shared" si="378"/>
        <v>0</v>
      </c>
      <c r="BG558" s="2030">
        <f t="shared" si="378"/>
        <v>0</v>
      </c>
      <c r="BH558" s="2030">
        <f t="shared" si="370"/>
        <v>0</v>
      </c>
      <c r="BI558" s="2030">
        <f t="shared" si="379"/>
        <v>0</v>
      </c>
      <c r="BJ558" s="2030">
        <f t="shared" si="379"/>
        <v>0</v>
      </c>
      <c r="BK558" s="2030">
        <f t="shared" si="379"/>
        <v>0</v>
      </c>
      <c r="BL558" s="2030">
        <f t="shared" si="371"/>
        <v>0</v>
      </c>
      <c r="BM558" s="2125"/>
      <c r="BN558" s="2125"/>
      <c r="BO558" s="2125"/>
      <c r="BP558" s="2125"/>
      <c r="BQ558" s="2125"/>
      <c r="BR558" s="2125"/>
      <c r="BS558" s="2125"/>
      <c r="BT558" s="2125"/>
      <c r="BU558" s="2029"/>
      <c r="BV558" s="2029"/>
      <c r="BW558" s="2029"/>
      <c r="BX558" s="2029"/>
      <c r="BY558" s="2029"/>
      <c r="BZ558" s="2032"/>
      <c r="CA558" s="1974">
        <f t="shared" si="389"/>
        <v>0</v>
      </c>
      <c r="CB558" s="1974">
        <f t="shared" si="389"/>
        <v>0</v>
      </c>
      <c r="CC558" s="1974">
        <f t="shared" si="389"/>
        <v>0</v>
      </c>
      <c r="CD558" s="1974">
        <f t="shared" si="389"/>
        <v>0</v>
      </c>
      <c r="CE558" s="1974">
        <f t="shared" si="389"/>
        <v>0</v>
      </c>
      <c r="CF558" s="2033">
        <v>0</v>
      </c>
      <c r="CG558" s="2026">
        <v>0</v>
      </c>
      <c r="CH558" s="2009">
        <f t="shared" si="390"/>
        <v>0</v>
      </c>
      <c r="CI558" s="2031">
        <f t="shared" si="390"/>
        <v>0</v>
      </c>
      <c r="CJ558" s="1974">
        <f t="shared" si="390"/>
        <v>0</v>
      </c>
      <c r="CK558" s="2031">
        <f t="shared" si="390"/>
        <v>0</v>
      </c>
      <c r="CL558" s="2026">
        <v>1</v>
      </c>
      <c r="CM558" s="2026">
        <v>1</v>
      </c>
      <c r="CN558" s="2026">
        <v>1</v>
      </c>
      <c r="CO558" s="2026">
        <v>1</v>
      </c>
      <c r="CP558" s="2035"/>
      <c r="CQ558" s="2036"/>
      <c r="CR558" s="2036"/>
      <c r="CS558" s="2036"/>
      <c r="CT558" s="2036"/>
      <c r="CU558" s="2036"/>
      <c r="CV558" s="1973">
        <v>1</v>
      </c>
      <c r="CW558" s="1973">
        <v>0</v>
      </c>
      <c r="CX558" s="2037">
        <v>0</v>
      </c>
      <c r="CY558" s="2037">
        <v>0</v>
      </c>
      <c r="CZ558" s="2037">
        <v>0</v>
      </c>
      <c r="DA558" s="2037">
        <v>0</v>
      </c>
      <c r="DJ558" s="1976">
        <v>0</v>
      </c>
      <c r="DK558" s="1973">
        <v>0</v>
      </c>
      <c r="DL558" s="1973">
        <v>0</v>
      </c>
      <c r="DM558" s="1973">
        <v>0</v>
      </c>
      <c r="DO558" s="2027">
        <v>0</v>
      </c>
      <c r="DP558" s="2144">
        <v>0</v>
      </c>
      <c r="DQ558" s="2145">
        <v>0</v>
      </c>
      <c r="DR558" s="2027">
        <v>0</v>
      </c>
      <c r="DS558" s="2124">
        <v>0</v>
      </c>
      <c r="DT558" s="2029">
        <v>0</v>
      </c>
      <c r="DU558" s="2029">
        <v>0</v>
      </c>
      <c r="DV558" s="2029">
        <v>0</v>
      </c>
      <c r="DW558" s="2124">
        <v>0</v>
      </c>
      <c r="DX558" s="2029">
        <v>0</v>
      </c>
      <c r="DY558" s="2029">
        <v>0</v>
      </c>
      <c r="DZ558" s="2029">
        <v>0</v>
      </c>
      <c r="EA558" s="2124">
        <v>0</v>
      </c>
      <c r="EB558" s="2029">
        <v>0</v>
      </c>
      <c r="EC558" s="2029">
        <v>0</v>
      </c>
      <c r="ED558" s="2029">
        <v>0</v>
      </c>
      <c r="EE558" s="2039">
        <f t="shared" si="356"/>
        <v>0</v>
      </c>
      <c r="EF558" s="2039">
        <f t="shared" si="356"/>
        <v>0</v>
      </c>
      <c r="EG558" s="2039">
        <f t="shared" si="356"/>
        <v>0</v>
      </c>
      <c r="EH558" s="2039">
        <f t="shared" si="355"/>
        <v>0</v>
      </c>
      <c r="EI558" s="2040">
        <f t="shared" si="385"/>
        <v>0</v>
      </c>
      <c r="EJ558" s="2040">
        <f t="shared" si="385"/>
        <v>0</v>
      </c>
      <c r="EK558" s="2040">
        <f t="shared" si="385"/>
        <v>0</v>
      </c>
      <c r="EL558" s="2040">
        <f t="shared" si="383"/>
        <v>0</v>
      </c>
      <c r="EM558" s="2040">
        <f t="shared" si="383"/>
        <v>0</v>
      </c>
      <c r="EN558" s="2040">
        <f t="shared" si="383"/>
        <v>0</v>
      </c>
      <c r="EO558" s="2040">
        <f t="shared" si="383"/>
        <v>0</v>
      </c>
      <c r="EP558" s="2040">
        <f t="shared" si="383"/>
        <v>0</v>
      </c>
      <c r="EQ558" s="2040">
        <f t="shared" si="383"/>
        <v>0</v>
      </c>
      <c r="ER558" s="2040">
        <f t="shared" si="393"/>
        <v>0</v>
      </c>
      <c r="ES558" s="2040">
        <f t="shared" si="393"/>
        <v>0</v>
      </c>
      <c r="ET558" s="2040">
        <f t="shared" si="393"/>
        <v>0</v>
      </c>
      <c r="EU558" s="2039">
        <f t="shared" si="357"/>
        <v>0</v>
      </c>
      <c r="EV558" s="2039">
        <f t="shared" si="358"/>
        <v>0</v>
      </c>
    </row>
    <row r="559" spans="1:152" x14ac:dyDescent="0.25">
      <c r="A559" s="2149" t="str">
        <f t="shared" si="387"/>
        <v>HVAC Filter (Midstream)</v>
      </c>
      <c r="B559" s="1974" t="str">
        <f t="shared" si="387"/>
        <v>HVAC/Motor Midstream Pilot</v>
      </c>
      <c r="C559" s="2027">
        <f t="shared" si="394"/>
        <v>0</v>
      </c>
      <c r="D559" s="2144">
        <f t="shared" si="394"/>
        <v>0</v>
      </c>
      <c r="E559" s="2145">
        <f t="shared" si="394"/>
        <v>0</v>
      </c>
      <c r="F559" s="2027">
        <f t="shared" si="394"/>
        <v>0</v>
      </c>
      <c r="G559" s="1974" t="s">
        <v>2988</v>
      </c>
      <c r="H559" s="1974" t="s">
        <v>2988</v>
      </c>
      <c r="I559" s="2026">
        <v>0.9</v>
      </c>
      <c r="J559" s="2026">
        <v>0.9</v>
      </c>
      <c r="K559" s="2026">
        <v>0.9</v>
      </c>
      <c r="L559" s="2026">
        <v>0.9</v>
      </c>
      <c r="M559" s="2027">
        <f t="shared" si="374"/>
        <v>0</v>
      </c>
      <c r="N559" s="2027">
        <f t="shared" si="374"/>
        <v>0</v>
      </c>
      <c r="O559" s="2027">
        <f t="shared" si="374"/>
        <v>0</v>
      </c>
      <c r="P559" s="2027">
        <f t="shared" si="362"/>
        <v>0</v>
      </c>
      <c r="Q559" s="2026">
        <v>0.9</v>
      </c>
      <c r="R559" s="2026">
        <v>0.9</v>
      </c>
      <c r="S559" s="2026">
        <v>0.9</v>
      </c>
      <c r="T559" s="2026">
        <v>0.9</v>
      </c>
      <c r="U559" s="2028">
        <f t="shared" si="375"/>
        <v>0</v>
      </c>
      <c r="V559" s="2028">
        <f t="shared" si="375"/>
        <v>0</v>
      </c>
      <c r="W559" s="2028">
        <f t="shared" si="375"/>
        <v>0</v>
      </c>
      <c r="X559" s="2028">
        <f t="shared" si="363"/>
        <v>0</v>
      </c>
      <c r="Y559" s="2026">
        <v>0.9</v>
      </c>
      <c r="Z559" s="2026">
        <v>0.9</v>
      </c>
      <c r="AA559" s="2026">
        <v>0.9</v>
      </c>
      <c r="AB559" s="2026">
        <v>0.9</v>
      </c>
      <c r="AC559" s="2027">
        <f t="shared" si="376"/>
        <v>0</v>
      </c>
      <c r="AD559" s="2027">
        <f t="shared" si="376"/>
        <v>0</v>
      </c>
      <c r="AE559" s="2027">
        <f t="shared" si="376"/>
        <v>0</v>
      </c>
      <c r="AF559" s="2027">
        <f t="shared" si="364"/>
        <v>0</v>
      </c>
      <c r="AG559" s="2027">
        <v>0</v>
      </c>
      <c r="AH559" s="2028"/>
      <c r="AI559" s="2028"/>
      <c r="AJ559" s="2028"/>
      <c r="AK559" s="2027">
        <f t="shared" si="365"/>
        <v>0</v>
      </c>
      <c r="AL559" s="2027">
        <f t="shared" si="366"/>
        <v>0</v>
      </c>
      <c r="AM559" s="2027">
        <f t="shared" si="366"/>
        <v>0</v>
      </c>
      <c r="AN559" s="2027">
        <f t="shared" si="366"/>
        <v>0</v>
      </c>
      <c r="AO559" s="2027">
        <f t="shared" si="377"/>
        <v>0</v>
      </c>
      <c r="AP559" s="2027">
        <f t="shared" si="367"/>
        <v>0</v>
      </c>
      <c r="AQ559" s="2027">
        <f t="shared" si="367"/>
        <v>0</v>
      </c>
      <c r="AR559" s="2027">
        <f t="shared" si="367"/>
        <v>0</v>
      </c>
      <c r="AS559" s="2124">
        <f>AS98*1.5</f>
        <v>0</v>
      </c>
      <c r="AT559" s="2029">
        <f t="shared" si="368"/>
        <v>0</v>
      </c>
      <c r="AU559" s="2029">
        <f t="shared" si="368"/>
        <v>0</v>
      </c>
      <c r="AV559" s="2029">
        <f t="shared" si="368"/>
        <v>0</v>
      </c>
      <c r="AW559" s="2124">
        <f t="shared" si="369"/>
        <v>0</v>
      </c>
      <c r="AX559" s="2029">
        <f t="shared" si="388"/>
        <v>0</v>
      </c>
      <c r="AY559" s="2029">
        <f t="shared" si="388"/>
        <v>0</v>
      </c>
      <c r="AZ559" s="2029">
        <f t="shared" si="388"/>
        <v>0</v>
      </c>
      <c r="BA559" s="2124">
        <f t="shared" si="392"/>
        <v>0</v>
      </c>
      <c r="BB559" s="2029">
        <f t="shared" si="391"/>
        <v>0</v>
      </c>
      <c r="BC559" s="2029">
        <f t="shared" si="391"/>
        <v>0</v>
      </c>
      <c r="BD559" s="2029">
        <f t="shared" si="391"/>
        <v>0</v>
      </c>
      <c r="BE559" s="2030">
        <f t="shared" si="378"/>
        <v>0</v>
      </c>
      <c r="BF559" s="2030">
        <f t="shared" si="378"/>
        <v>0</v>
      </c>
      <c r="BG559" s="2030">
        <f t="shared" si="378"/>
        <v>0</v>
      </c>
      <c r="BH559" s="2030">
        <f t="shared" si="370"/>
        <v>0</v>
      </c>
      <c r="BI559" s="2030">
        <f t="shared" si="379"/>
        <v>0</v>
      </c>
      <c r="BJ559" s="2030">
        <f t="shared" si="379"/>
        <v>0</v>
      </c>
      <c r="BK559" s="2030">
        <f t="shared" si="379"/>
        <v>0</v>
      </c>
      <c r="BL559" s="2030">
        <f t="shared" si="371"/>
        <v>0</v>
      </c>
      <c r="BM559" s="2125"/>
      <c r="BN559" s="2125"/>
      <c r="BO559" s="2125"/>
      <c r="BP559" s="2125"/>
      <c r="BQ559" s="2125"/>
      <c r="BR559" s="2125"/>
      <c r="BS559" s="2125"/>
      <c r="BT559" s="2125"/>
      <c r="BU559" s="2029"/>
      <c r="BV559" s="2029"/>
      <c r="BW559" s="2029"/>
      <c r="BX559" s="2029"/>
      <c r="BY559" s="2029"/>
      <c r="BZ559" s="2032"/>
      <c r="CA559" s="1974">
        <f t="shared" si="389"/>
        <v>0</v>
      </c>
      <c r="CB559" s="1974">
        <f t="shared" si="389"/>
        <v>0</v>
      </c>
      <c r="CC559" s="1974">
        <f t="shared" si="389"/>
        <v>0</v>
      </c>
      <c r="CD559" s="1974">
        <f t="shared" si="389"/>
        <v>0</v>
      </c>
      <c r="CE559" s="1974">
        <f t="shared" si="389"/>
        <v>0</v>
      </c>
      <c r="CF559" s="2033">
        <v>0</v>
      </c>
      <c r="CG559" s="2026">
        <v>0</v>
      </c>
      <c r="CH559" s="2009">
        <f t="shared" si="390"/>
        <v>0</v>
      </c>
      <c r="CI559" s="2031">
        <f t="shared" si="390"/>
        <v>0</v>
      </c>
      <c r="CJ559" s="1974">
        <f t="shared" si="390"/>
        <v>0</v>
      </c>
      <c r="CK559" s="2031">
        <f t="shared" si="390"/>
        <v>0</v>
      </c>
      <c r="CL559" s="2026">
        <v>1</v>
      </c>
      <c r="CM559" s="2026">
        <v>1</v>
      </c>
      <c r="CN559" s="2026">
        <v>1</v>
      </c>
      <c r="CO559" s="2026">
        <v>1</v>
      </c>
      <c r="CP559" s="2035"/>
      <c r="CQ559" s="2036"/>
      <c r="CR559" s="2036"/>
      <c r="CS559" s="2036"/>
      <c r="CT559" s="2036"/>
      <c r="CU559" s="2036"/>
      <c r="CV559" s="1973">
        <v>1</v>
      </c>
      <c r="CW559" s="1973">
        <v>0</v>
      </c>
      <c r="CX559" s="2037">
        <v>0</v>
      </c>
      <c r="CY559" s="2037">
        <v>0</v>
      </c>
      <c r="CZ559" s="2037">
        <v>0</v>
      </c>
      <c r="DA559" s="2037">
        <v>0</v>
      </c>
      <c r="DJ559" s="1976">
        <v>0</v>
      </c>
      <c r="DK559" s="1973">
        <v>0</v>
      </c>
      <c r="DL559" s="1973">
        <v>0</v>
      </c>
      <c r="DM559" s="1973">
        <v>0</v>
      </c>
      <c r="DO559" s="2027">
        <v>0</v>
      </c>
      <c r="DP559" s="2144">
        <v>0</v>
      </c>
      <c r="DQ559" s="2145">
        <v>0</v>
      </c>
      <c r="DR559" s="2027">
        <v>0</v>
      </c>
      <c r="DS559" s="2124">
        <v>0</v>
      </c>
      <c r="DT559" s="2029">
        <v>0</v>
      </c>
      <c r="DU559" s="2029">
        <v>0</v>
      </c>
      <c r="DV559" s="2029">
        <v>0</v>
      </c>
      <c r="DW559" s="2124">
        <v>0</v>
      </c>
      <c r="DX559" s="2029">
        <v>0</v>
      </c>
      <c r="DY559" s="2029">
        <v>0</v>
      </c>
      <c r="DZ559" s="2029">
        <v>0</v>
      </c>
      <c r="EA559" s="2124">
        <v>0</v>
      </c>
      <c r="EB559" s="2029">
        <v>0</v>
      </c>
      <c r="EC559" s="2029">
        <v>0</v>
      </c>
      <c r="ED559" s="2029">
        <v>0</v>
      </c>
      <c r="EE559" s="2039">
        <f t="shared" si="356"/>
        <v>0</v>
      </c>
      <c r="EF559" s="2039">
        <f t="shared" si="356"/>
        <v>0</v>
      </c>
      <c r="EG559" s="2039">
        <f t="shared" si="356"/>
        <v>0</v>
      </c>
      <c r="EH559" s="2039">
        <f t="shared" si="355"/>
        <v>0</v>
      </c>
      <c r="EI559" s="2040">
        <f t="shared" si="385"/>
        <v>0</v>
      </c>
      <c r="EJ559" s="2040">
        <f t="shared" si="385"/>
        <v>0</v>
      </c>
      <c r="EK559" s="2040">
        <f t="shared" si="385"/>
        <v>0</v>
      </c>
      <c r="EL559" s="2040">
        <f t="shared" si="383"/>
        <v>0</v>
      </c>
      <c r="EM559" s="2040">
        <f t="shared" si="383"/>
        <v>0</v>
      </c>
      <c r="EN559" s="2040">
        <f t="shared" si="383"/>
        <v>0</v>
      </c>
      <c r="EO559" s="2040">
        <f t="shared" si="383"/>
        <v>0</v>
      </c>
      <c r="EP559" s="2040">
        <f t="shared" si="383"/>
        <v>0</v>
      </c>
      <c r="EQ559" s="2040">
        <f t="shared" si="383"/>
        <v>0</v>
      </c>
      <c r="ER559" s="2040">
        <f t="shared" si="393"/>
        <v>0</v>
      </c>
      <c r="ES559" s="2040">
        <f t="shared" si="393"/>
        <v>0</v>
      </c>
      <c r="ET559" s="2040">
        <f t="shared" si="393"/>
        <v>0</v>
      </c>
      <c r="EU559" s="2039">
        <f t="shared" si="357"/>
        <v>0</v>
      </c>
      <c r="EV559" s="2039">
        <f t="shared" si="358"/>
        <v>0</v>
      </c>
    </row>
    <row r="560" spans="1:152" x14ac:dyDescent="0.25">
      <c r="A560" s="2150" t="str">
        <f t="shared" si="387"/>
        <v>Pre-Rinse Sprayers, Elec Booster</v>
      </c>
      <c r="B560" s="1974" t="str">
        <f t="shared" si="387"/>
        <v/>
      </c>
      <c r="C560" s="2027">
        <f t="shared" si="394"/>
        <v>5</v>
      </c>
      <c r="D560" s="2144">
        <f t="shared" si="394"/>
        <v>4154.43</v>
      </c>
      <c r="E560" s="2145">
        <f t="shared" si="394"/>
        <v>0</v>
      </c>
      <c r="F560" s="2027">
        <f t="shared" si="394"/>
        <v>0</v>
      </c>
      <c r="G560" s="1974" t="s">
        <v>2988</v>
      </c>
      <c r="H560" s="1974" t="s">
        <v>2988</v>
      </c>
      <c r="I560" s="2026">
        <v>0.9</v>
      </c>
      <c r="J560" s="2026">
        <v>0.9</v>
      </c>
      <c r="K560" s="2026">
        <v>0.9</v>
      </c>
      <c r="L560" s="2026">
        <v>0.9</v>
      </c>
      <c r="M560" s="2027">
        <f t="shared" si="374"/>
        <v>3738.9870000000005</v>
      </c>
      <c r="N560" s="2027">
        <f t="shared" si="374"/>
        <v>3738.9870000000005</v>
      </c>
      <c r="O560" s="2027">
        <f t="shared" si="374"/>
        <v>3738.9870000000005</v>
      </c>
      <c r="P560" s="2027">
        <f t="shared" si="362"/>
        <v>3738.9870000000005</v>
      </c>
      <c r="Q560" s="2026">
        <v>0.9</v>
      </c>
      <c r="R560" s="2026">
        <v>0.9</v>
      </c>
      <c r="S560" s="2026">
        <v>0.9</v>
      </c>
      <c r="T560" s="2026">
        <v>0.9</v>
      </c>
      <c r="U560" s="2028">
        <f t="shared" si="375"/>
        <v>0</v>
      </c>
      <c r="V560" s="2028">
        <f t="shared" si="375"/>
        <v>0</v>
      </c>
      <c r="W560" s="2028">
        <f t="shared" si="375"/>
        <v>0</v>
      </c>
      <c r="X560" s="2028">
        <f t="shared" si="363"/>
        <v>0</v>
      </c>
      <c r="Y560" s="2026">
        <v>0.9</v>
      </c>
      <c r="Z560" s="2026">
        <v>0.9</v>
      </c>
      <c r="AA560" s="2026">
        <v>0.9</v>
      </c>
      <c r="AB560" s="2026">
        <v>0.9</v>
      </c>
      <c r="AC560" s="2027">
        <f t="shared" si="376"/>
        <v>0</v>
      </c>
      <c r="AD560" s="2027">
        <f t="shared" si="376"/>
        <v>0</v>
      </c>
      <c r="AE560" s="2027">
        <f t="shared" si="376"/>
        <v>0</v>
      </c>
      <c r="AF560" s="2027">
        <f t="shared" si="364"/>
        <v>0</v>
      </c>
      <c r="AG560" s="2027">
        <v>1</v>
      </c>
      <c r="AH560" s="2027">
        <v>1</v>
      </c>
      <c r="AI560" s="2027">
        <v>1</v>
      </c>
      <c r="AJ560" s="2027">
        <v>1</v>
      </c>
      <c r="AK560" s="2027">
        <f t="shared" si="365"/>
        <v>3738.9870000000005</v>
      </c>
      <c r="AL560" s="2027">
        <f t="shared" si="366"/>
        <v>3738.9870000000005</v>
      </c>
      <c r="AM560" s="2027">
        <f t="shared" si="366"/>
        <v>3738.9870000000005</v>
      </c>
      <c r="AN560" s="2027">
        <f t="shared" si="366"/>
        <v>3738.9870000000005</v>
      </c>
      <c r="AO560" s="2027">
        <f t="shared" si="377"/>
        <v>0</v>
      </c>
      <c r="AP560" s="2027">
        <f t="shared" si="367"/>
        <v>0</v>
      </c>
      <c r="AQ560" s="2027">
        <f t="shared" si="367"/>
        <v>0</v>
      </c>
      <c r="AR560" s="2027">
        <f t="shared" si="367"/>
        <v>0</v>
      </c>
      <c r="AS560" s="2124">
        <f>AS99*1</f>
        <v>100</v>
      </c>
      <c r="AT560" s="2029">
        <f t="shared" si="368"/>
        <v>100</v>
      </c>
      <c r="AU560" s="2029">
        <f t="shared" si="368"/>
        <v>100</v>
      </c>
      <c r="AV560" s="2029">
        <f t="shared" si="368"/>
        <v>100</v>
      </c>
      <c r="AW560" s="2124">
        <f>AW99*1</f>
        <v>0</v>
      </c>
      <c r="AX560" s="2029">
        <f t="shared" si="388"/>
        <v>0</v>
      </c>
      <c r="AY560" s="2029">
        <f t="shared" si="388"/>
        <v>0</v>
      </c>
      <c r="AZ560" s="2029">
        <f t="shared" si="388"/>
        <v>0</v>
      </c>
      <c r="BA560" s="2124">
        <f t="shared" si="392"/>
        <v>100</v>
      </c>
      <c r="BB560" s="2029">
        <f t="shared" si="391"/>
        <v>100</v>
      </c>
      <c r="BC560" s="2029">
        <f t="shared" si="391"/>
        <v>100</v>
      </c>
      <c r="BD560" s="2029">
        <f t="shared" si="391"/>
        <v>100</v>
      </c>
      <c r="BE560" s="2030">
        <f t="shared" si="378"/>
        <v>100</v>
      </c>
      <c r="BF560" s="2030">
        <f t="shared" si="378"/>
        <v>100</v>
      </c>
      <c r="BG560" s="2030">
        <f t="shared" si="378"/>
        <v>100</v>
      </c>
      <c r="BH560" s="2030">
        <f t="shared" si="370"/>
        <v>100</v>
      </c>
      <c r="BI560" s="2030">
        <f t="shared" si="379"/>
        <v>0</v>
      </c>
      <c r="BJ560" s="2030">
        <f t="shared" si="379"/>
        <v>0</v>
      </c>
      <c r="BK560" s="2030">
        <f t="shared" si="379"/>
        <v>0</v>
      </c>
      <c r="BL560" s="2030">
        <f t="shared" si="371"/>
        <v>0</v>
      </c>
      <c r="BM560" s="2125"/>
      <c r="BN560" s="2125"/>
      <c r="BO560" s="2125"/>
      <c r="BP560" s="2125"/>
      <c r="BQ560" s="2125"/>
      <c r="BR560" s="2125"/>
      <c r="BS560" s="2125"/>
      <c r="BT560" s="2125"/>
      <c r="BU560" s="2029"/>
      <c r="BV560" s="2029"/>
      <c r="BW560" s="2029"/>
      <c r="BX560" s="2029"/>
      <c r="BY560" s="2029"/>
      <c r="BZ560" s="2032"/>
      <c r="CA560" s="1974">
        <f t="shared" si="389"/>
        <v>23587</v>
      </c>
      <c r="CB560" s="1974">
        <f t="shared" si="389"/>
        <v>0</v>
      </c>
      <c r="CC560" s="1974">
        <f t="shared" si="389"/>
        <v>0</v>
      </c>
      <c r="CD560" s="1974">
        <f t="shared" si="389"/>
        <v>0</v>
      </c>
      <c r="CE560" s="1974">
        <f t="shared" si="389"/>
        <v>0</v>
      </c>
      <c r="CF560" s="2033">
        <v>1.5630224943450834E-5</v>
      </c>
      <c r="CG560" s="2026">
        <v>0</v>
      </c>
      <c r="CH560" s="2009">
        <f t="shared" si="390"/>
        <v>0</v>
      </c>
      <c r="CI560" s="2031">
        <f t="shared" si="390"/>
        <v>0</v>
      </c>
      <c r="CJ560" s="1974">
        <f t="shared" si="390"/>
        <v>0</v>
      </c>
      <c r="CK560" s="2031">
        <f t="shared" si="390"/>
        <v>0</v>
      </c>
      <c r="CL560" s="2026">
        <v>1</v>
      </c>
      <c r="CM560" s="2026">
        <v>1</v>
      </c>
      <c r="CN560" s="2026">
        <v>1</v>
      </c>
      <c r="CO560" s="2026">
        <v>1</v>
      </c>
      <c r="CP560" s="2035"/>
      <c r="CQ560" s="2036"/>
      <c r="CR560" s="2036"/>
      <c r="CS560" s="2036"/>
      <c r="CT560" s="2036"/>
      <c r="CU560" s="2036"/>
      <c r="CV560" s="1973">
        <v>1</v>
      </c>
      <c r="CW560" s="1973">
        <v>0</v>
      </c>
      <c r="CX560" s="2037">
        <v>100</v>
      </c>
      <c r="CY560" s="2037">
        <v>100</v>
      </c>
      <c r="CZ560" s="2037">
        <v>100</v>
      </c>
      <c r="DA560" s="2037">
        <v>100</v>
      </c>
      <c r="DJ560" s="1976">
        <v>100</v>
      </c>
      <c r="DK560" s="1973">
        <v>100</v>
      </c>
      <c r="DL560" s="1973">
        <v>100</v>
      </c>
      <c r="DM560" s="1973">
        <v>100</v>
      </c>
      <c r="DO560" s="2027">
        <v>5</v>
      </c>
      <c r="DP560" s="2144">
        <v>4154.43</v>
      </c>
      <c r="DQ560" s="2145">
        <v>0</v>
      </c>
      <c r="DR560" s="2027">
        <v>0</v>
      </c>
      <c r="DS560" s="2124">
        <v>100</v>
      </c>
      <c r="DT560" s="2029">
        <v>100</v>
      </c>
      <c r="DU560" s="2029">
        <v>100</v>
      </c>
      <c r="DV560" s="2029">
        <v>100</v>
      </c>
      <c r="DW560" s="2124">
        <v>0</v>
      </c>
      <c r="DX560" s="2029">
        <v>0</v>
      </c>
      <c r="DY560" s="2029">
        <v>0</v>
      </c>
      <c r="DZ560" s="2029">
        <v>0</v>
      </c>
      <c r="EA560" s="2124">
        <v>100</v>
      </c>
      <c r="EB560" s="2029">
        <v>100</v>
      </c>
      <c r="EC560" s="2029">
        <v>100</v>
      </c>
      <c r="ED560" s="2029">
        <v>100</v>
      </c>
      <c r="EE560" s="2039">
        <f t="shared" si="356"/>
        <v>0</v>
      </c>
      <c r="EF560" s="2039">
        <f t="shared" si="356"/>
        <v>0</v>
      </c>
      <c r="EG560" s="2039">
        <f t="shared" si="356"/>
        <v>0</v>
      </c>
      <c r="EH560" s="2039">
        <f t="shared" si="355"/>
        <v>0</v>
      </c>
      <c r="EI560" s="2040">
        <f t="shared" si="385"/>
        <v>0</v>
      </c>
      <c r="EJ560" s="2040">
        <f t="shared" si="385"/>
        <v>0</v>
      </c>
      <c r="EK560" s="2040">
        <f t="shared" si="385"/>
        <v>0</v>
      </c>
      <c r="EL560" s="2040">
        <f t="shared" si="383"/>
        <v>0</v>
      </c>
      <c r="EM560" s="2040">
        <f t="shared" si="383"/>
        <v>0</v>
      </c>
      <c r="EN560" s="2040">
        <f t="shared" si="383"/>
        <v>0</v>
      </c>
      <c r="EO560" s="2040">
        <f t="shared" si="383"/>
        <v>0</v>
      </c>
      <c r="EP560" s="2040">
        <f t="shared" si="383"/>
        <v>0</v>
      </c>
      <c r="EQ560" s="2040">
        <f t="shared" si="383"/>
        <v>0</v>
      </c>
      <c r="ER560" s="2040">
        <f t="shared" si="393"/>
        <v>0</v>
      </c>
      <c r="ES560" s="2040">
        <f t="shared" si="393"/>
        <v>0</v>
      </c>
      <c r="ET560" s="2040">
        <f t="shared" si="393"/>
        <v>0</v>
      </c>
      <c r="EU560" s="2039">
        <f t="shared" si="357"/>
        <v>0</v>
      </c>
      <c r="EV560" s="2039">
        <f t="shared" si="358"/>
        <v>0</v>
      </c>
    </row>
    <row r="561" spans="1:152" x14ac:dyDescent="0.25">
      <c r="A561" s="2150" t="str">
        <f t="shared" si="387"/>
        <v>Pre-Rinse Sprayers, Gas Booster</v>
      </c>
      <c r="B561" s="1974" t="str">
        <f t="shared" si="387"/>
        <v/>
      </c>
      <c r="C561" s="2027">
        <f t="shared" si="394"/>
        <v>5</v>
      </c>
      <c r="D561" s="2144">
        <f t="shared" si="394"/>
        <v>0</v>
      </c>
      <c r="E561" s="2145">
        <f t="shared" si="394"/>
        <v>0</v>
      </c>
      <c r="F561" s="2027">
        <f t="shared" si="394"/>
        <v>172</v>
      </c>
      <c r="G561" s="1974" t="s">
        <v>2988</v>
      </c>
      <c r="H561" s="1974" t="s">
        <v>2988</v>
      </c>
      <c r="I561" s="2026">
        <v>0.9</v>
      </c>
      <c r="J561" s="2026">
        <v>0.9</v>
      </c>
      <c r="K561" s="2026">
        <v>0.9</v>
      </c>
      <c r="L561" s="2026">
        <v>0.9</v>
      </c>
      <c r="M561" s="2027">
        <f t="shared" si="374"/>
        <v>0</v>
      </c>
      <c r="N561" s="2027">
        <f t="shared" si="374"/>
        <v>0</v>
      </c>
      <c r="O561" s="2027">
        <f t="shared" si="374"/>
        <v>0</v>
      </c>
      <c r="P561" s="2027">
        <f t="shared" si="362"/>
        <v>0</v>
      </c>
      <c r="Q561" s="2026">
        <v>0.9</v>
      </c>
      <c r="R561" s="2026">
        <v>0.9</v>
      </c>
      <c r="S561" s="2026">
        <v>0.9</v>
      </c>
      <c r="T561" s="2026">
        <v>0.9</v>
      </c>
      <c r="U561" s="2028">
        <f t="shared" si="375"/>
        <v>0</v>
      </c>
      <c r="V561" s="2028">
        <f t="shared" si="375"/>
        <v>0</v>
      </c>
      <c r="W561" s="2028">
        <f t="shared" si="375"/>
        <v>0</v>
      </c>
      <c r="X561" s="2028">
        <f t="shared" si="363"/>
        <v>0</v>
      </c>
      <c r="Y561" s="2026">
        <v>0.9</v>
      </c>
      <c r="Z561" s="2026">
        <v>0.9</v>
      </c>
      <c r="AA561" s="2026">
        <v>0.9</v>
      </c>
      <c r="AB561" s="2026">
        <v>0.9</v>
      </c>
      <c r="AC561" s="2027">
        <f t="shared" si="376"/>
        <v>154.80000000000001</v>
      </c>
      <c r="AD561" s="2027">
        <f t="shared" si="376"/>
        <v>154.80000000000001</v>
      </c>
      <c r="AE561" s="2027">
        <f t="shared" si="376"/>
        <v>154.80000000000001</v>
      </c>
      <c r="AF561" s="2027">
        <f t="shared" si="364"/>
        <v>154.80000000000001</v>
      </c>
      <c r="AG561" s="2027">
        <v>8</v>
      </c>
      <c r="AH561" s="2027">
        <v>7</v>
      </c>
      <c r="AI561" s="2027">
        <v>7</v>
      </c>
      <c r="AJ561" s="2027">
        <v>5</v>
      </c>
      <c r="AK561" s="2027">
        <f t="shared" si="365"/>
        <v>0</v>
      </c>
      <c r="AL561" s="2027">
        <f t="shared" si="366"/>
        <v>0</v>
      </c>
      <c r="AM561" s="2027">
        <f t="shared" si="366"/>
        <v>0</v>
      </c>
      <c r="AN561" s="2027">
        <f t="shared" si="366"/>
        <v>0</v>
      </c>
      <c r="AO561" s="2027">
        <f t="shared" si="377"/>
        <v>1238.4000000000001</v>
      </c>
      <c r="AP561" s="2027">
        <f t="shared" si="367"/>
        <v>1083.6000000000001</v>
      </c>
      <c r="AQ561" s="2027">
        <f t="shared" si="367"/>
        <v>1083.6000000000001</v>
      </c>
      <c r="AR561" s="2027">
        <f t="shared" si="367"/>
        <v>774</v>
      </c>
      <c r="AS561" s="2124">
        <f>AS100*1</f>
        <v>0</v>
      </c>
      <c r="AT561" s="2029">
        <f t="shared" si="368"/>
        <v>0</v>
      </c>
      <c r="AU561" s="2029">
        <f t="shared" si="368"/>
        <v>0</v>
      </c>
      <c r="AV561" s="2029">
        <f t="shared" si="368"/>
        <v>0</v>
      </c>
      <c r="AW561" s="2124">
        <f>AW100*1</f>
        <v>100</v>
      </c>
      <c r="AX561" s="2029">
        <f t="shared" si="388"/>
        <v>100</v>
      </c>
      <c r="AY561" s="2029">
        <f t="shared" si="388"/>
        <v>100</v>
      </c>
      <c r="AZ561" s="2029">
        <f t="shared" si="388"/>
        <v>100</v>
      </c>
      <c r="BA561" s="2124">
        <f t="shared" si="392"/>
        <v>100</v>
      </c>
      <c r="BB561" s="2029">
        <f t="shared" si="391"/>
        <v>100</v>
      </c>
      <c r="BC561" s="2029">
        <f t="shared" si="391"/>
        <v>100</v>
      </c>
      <c r="BD561" s="2029">
        <f t="shared" si="391"/>
        <v>100</v>
      </c>
      <c r="BE561" s="2030">
        <f t="shared" si="378"/>
        <v>0</v>
      </c>
      <c r="BF561" s="2030">
        <f t="shared" si="378"/>
        <v>0</v>
      </c>
      <c r="BG561" s="2030">
        <f t="shared" si="378"/>
        <v>0</v>
      </c>
      <c r="BH561" s="2030">
        <f t="shared" si="370"/>
        <v>0</v>
      </c>
      <c r="BI561" s="2030">
        <f t="shared" si="379"/>
        <v>800</v>
      </c>
      <c r="BJ561" s="2030">
        <f t="shared" si="379"/>
        <v>700</v>
      </c>
      <c r="BK561" s="2030">
        <f t="shared" si="379"/>
        <v>700</v>
      </c>
      <c r="BL561" s="2030">
        <f t="shared" si="371"/>
        <v>500</v>
      </c>
      <c r="BM561" s="2125"/>
      <c r="BN561" s="2125"/>
      <c r="BO561" s="2125"/>
      <c r="BP561" s="2125"/>
      <c r="BQ561" s="2125"/>
      <c r="BR561" s="2125"/>
      <c r="BS561" s="2125"/>
      <c r="BT561" s="2125"/>
      <c r="BU561" s="2029"/>
      <c r="BV561" s="2029"/>
      <c r="BW561" s="2029"/>
      <c r="BX561" s="2029"/>
      <c r="BY561" s="2029"/>
      <c r="BZ561" s="2032"/>
      <c r="CA561" s="1974">
        <f t="shared" si="389"/>
        <v>23587</v>
      </c>
      <c r="CB561" s="1974">
        <f t="shared" si="389"/>
        <v>0</v>
      </c>
      <c r="CC561" s="1974">
        <f t="shared" si="389"/>
        <v>0</v>
      </c>
      <c r="CD561" s="1974">
        <f t="shared" si="389"/>
        <v>0</v>
      </c>
      <c r="CE561" s="1974">
        <f t="shared" si="389"/>
        <v>0</v>
      </c>
      <c r="CF561" s="2033">
        <v>0</v>
      </c>
      <c r="CG561" s="2026">
        <v>4.6202280424975699E-4</v>
      </c>
      <c r="CH561" s="2009">
        <f t="shared" si="390"/>
        <v>0</v>
      </c>
      <c r="CI561" s="2031">
        <f t="shared" si="390"/>
        <v>0</v>
      </c>
      <c r="CJ561" s="1974">
        <f t="shared" si="390"/>
        <v>0</v>
      </c>
      <c r="CK561" s="2031">
        <f t="shared" si="390"/>
        <v>0</v>
      </c>
      <c r="CL561" s="2026">
        <v>1</v>
      </c>
      <c r="CM561" s="2026">
        <v>1</v>
      </c>
      <c r="CN561" s="2026">
        <v>1</v>
      </c>
      <c r="CO561" s="2026">
        <v>1</v>
      </c>
      <c r="CP561" s="2035"/>
      <c r="CQ561" s="2036"/>
      <c r="CR561" s="2036"/>
      <c r="CS561" s="2036"/>
      <c r="CT561" s="2036"/>
      <c r="CU561" s="2036"/>
      <c r="CV561" s="1973">
        <v>1</v>
      </c>
      <c r="CW561" s="1973">
        <v>0</v>
      </c>
      <c r="CX561" s="2037">
        <v>100</v>
      </c>
      <c r="CY561" s="2037">
        <v>100</v>
      </c>
      <c r="CZ561" s="2037">
        <v>100</v>
      </c>
      <c r="DA561" s="2037">
        <v>100</v>
      </c>
      <c r="DJ561" s="1976">
        <v>0</v>
      </c>
      <c r="DK561" s="1973">
        <v>0</v>
      </c>
      <c r="DL561" s="1973">
        <v>0</v>
      </c>
      <c r="DM561" s="1973">
        <v>0</v>
      </c>
      <c r="DO561" s="2027">
        <v>5</v>
      </c>
      <c r="DP561" s="2144">
        <v>0</v>
      </c>
      <c r="DQ561" s="2145">
        <v>0</v>
      </c>
      <c r="DR561" s="2027">
        <v>172</v>
      </c>
      <c r="DS561" s="2124">
        <v>0</v>
      </c>
      <c r="DT561" s="2029">
        <v>0</v>
      </c>
      <c r="DU561" s="2029">
        <v>0</v>
      </c>
      <c r="DV561" s="2029">
        <v>0</v>
      </c>
      <c r="DW561" s="2124">
        <v>100</v>
      </c>
      <c r="DX561" s="2029">
        <v>100</v>
      </c>
      <c r="DY561" s="2029">
        <v>100</v>
      </c>
      <c r="DZ561" s="2029">
        <v>100</v>
      </c>
      <c r="EA561" s="2124">
        <v>100</v>
      </c>
      <c r="EB561" s="2029">
        <v>100</v>
      </c>
      <c r="EC561" s="2029">
        <v>100</v>
      </c>
      <c r="ED561" s="2029">
        <v>100</v>
      </c>
      <c r="EE561" s="2039">
        <f t="shared" si="356"/>
        <v>0</v>
      </c>
      <c r="EF561" s="2039">
        <f t="shared" si="356"/>
        <v>0</v>
      </c>
      <c r="EG561" s="2039">
        <f t="shared" si="356"/>
        <v>0</v>
      </c>
      <c r="EH561" s="2039">
        <f t="shared" si="355"/>
        <v>0</v>
      </c>
      <c r="EI561" s="2040">
        <f t="shared" si="385"/>
        <v>0</v>
      </c>
      <c r="EJ561" s="2040">
        <f t="shared" si="385"/>
        <v>0</v>
      </c>
      <c r="EK561" s="2040">
        <f t="shared" si="385"/>
        <v>0</v>
      </c>
      <c r="EL561" s="2040">
        <f t="shared" si="383"/>
        <v>0</v>
      </c>
      <c r="EM561" s="2040">
        <f t="shared" si="383"/>
        <v>0</v>
      </c>
      <c r="EN561" s="2040">
        <f t="shared" si="383"/>
        <v>0</v>
      </c>
      <c r="EO561" s="2040">
        <f t="shared" si="383"/>
        <v>0</v>
      </c>
      <c r="EP561" s="2040">
        <f t="shared" si="383"/>
        <v>0</v>
      </c>
      <c r="EQ561" s="2040">
        <f t="shared" si="383"/>
        <v>0</v>
      </c>
      <c r="ER561" s="2040">
        <f t="shared" si="393"/>
        <v>0</v>
      </c>
      <c r="ES561" s="2040">
        <f t="shared" si="393"/>
        <v>0</v>
      </c>
      <c r="ET561" s="2040">
        <f t="shared" si="393"/>
        <v>0</v>
      </c>
      <c r="EU561" s="2039">
        <f t="shared" si="357"/>
        <v>0</v>
      </c>
      <c r="EV561" s="2039">
        <f t="shared" si="358"/>
        <v>0</v>
      </c>
    </row>
    <row r="562" spans="1:152" x14ac:dyDescent="0.25">
      <c r="A562" s="2150" t="str">
        <f t="shared" si="387"/>
        <v>Early Replacement Furnace</v>
      </c>
      <c r="B562" s="1974" t="str">
        <f t="shared" si="387"/>
        <v>BPH8</v>
      </c>
      <c r="C562" s="2027">
        <f t="shared" si="394"/>
        <v>16.5</v>
      </c>
      <c r="D562" s="2171">
        <f t="shared" si="394"/>
        <v>703.4542114695339</v>
      </c>
      <c r="E562" s="2145">
        <f t="shared" si="394"/>
        <v>0.13878620061450539</v>
      </c>
      <c r="F562" s="2027">
        <f t="shared" si="394"/>
        <v>542.52473385463566</v>
      </c>
      <c r="G562" s="1974" t="s">
        <v>2988</v>
      </c>
      <c r="H562" s="1974" t="s">
        <v>2988</v>
      </c>
      <c r="I562" s="2026">
        <v>0.9</v>
      </c>
      <c r="J562" s="2026">
        <v>0.9</v>
      </c>
      <c r="K562" s="2026">
        <v>0.9</v>
      </c>
      <c r="L562" s="2026">
        <v>0.9</v>
      </c>
      <c r="M562" s="2027">
        <f t="shared" si="374"/>
        <v>633.10879032258049</v>
      </c>
      <c r="N562" s="2027">
        <f t="shared" si="374"/>
        <v>633.10879032258049</v>
      </c>
      <c r="O562" s="2027">
        <f t="shared" si="374"/>
        <v>633.10879032258049</v>
      </c>
      <c r="P562" s="2027">
        <f t="shared" si="362"/>
        <v>633.10879032258049</v>
      </c>
      <c r="Q562" s="2026">
        <v>0.9</v>
      </c>
      <c r="R562" s="2026">
        <v>0.9</v>
      </c>
      <c r="S562" s="2026">
        <v>0.9</v>
      </c>
      <c r="T562" s="2026">
        <v>0.9</v>
      </c>
      <c r="U562" s="2028">
        <f t="shared" si="375"/>
        <v>0.12490758055305486</v>
      </c>
      <c r="V562" s="2028">
        <f t="shared" si="375"/>
        <v>0.12490758055305486</v>
      </c>
      <c r="W562" s="2028">
        <f t="shared" si="375"/>
        <v>0.12490758055305486</v>
      </c>
      <c r="X562" s="2028">
        <f t="shared" si="363"/>
        <v>0.12490758055305486</v>
      </c>
      <c r="Y562" s="2026">
        <v>0.9</v>
      </c>
      <c r="Z562" s="2026">
        <v>0.9</v>
      </c>
      <c r="AA562" s="2026">
        <v>0.9</v>
      </c>
      <c r="AB562" s="2026">
        <v>0.9</v>
      </c>
      <c r="AC562" s="2027">
        <f t="shared" si="376"/>
        <v>488.27226046917212</v>
      </c>
      <c r="AD562" s="2027">
        <f t="shared" si="376"/>
        <v>488.27226046917212</v>
      </c>
      <c r="AE562" s="2027">
        <f t="shared" si="376"/>
        <v>488.27226046917212</v>
      </c>
      <c r="AF562" s="2027">
        <f t="shared" si="364"/>
        <v>488.27226046917212</v>
      </c>
      <c r="AG562" s="2027">
        <v>34</v>
      </c>
      <c r="AH562" s="2028">
        <v>30</v>
      </c>
      <c r="AI562" s="2028">
        <v>30</v>
      </c>
      <c r="AJ562" s="2028">
        <v>22</v>
      </c>
      <c r="AK562" s="2027">
        <f t="shared" si="365"/>
        <v>21525.698870967735</v>
      </c>
      <c r="AL562" s="2027">
        <f t="shared" si="366"/>
        <v>18993.263709677416</v>
      </c>
      <c r="AM562" s="2027">
        <f t="shared" si="366"/>
        <v>18993.263709677416</v>
      </c>
      <c r="AN562" s="2027">
        <f t="shared" si="366"/>
        <v>13928.39338709677</v>
      </c>
      <c r="AO562" s="2027">
        <f t="shared" si="377"/>
        <v>16601.256855951851</v>
      </c>
      <c r="AP562" s="2027">
        <f t="shared" si="367"/>
        <v>14648.167814075165</v>
      </c>
      <c r="AQ562" s="2027">
        <f t="shared" si="367"/>
        <v>14648.167814075165</v>
      </c>
      <c r="AR562" s="2027">
        <f t="shared" si="367"/>
        <v>10741.989730321788</v>
      </c>
      <c r="AS562" s="2029">
        <f>DF562</f>
        <v>160</v>
      </c>
      <c r="AT562" s="2029">
        <f t="shared" si="368"/>
        <v>160</v>
      </c>
      <c r="AU562" s="2029">
        <f t="shared" si="368"/>
        <v>160</v>
      </c>
      <c r="AV562" s="2029">
        <f t="shared" si="368"/>
        <v>160</v>
      </c>
      <c r="AW562" s="2029">
        <f>CX562-AS562</f>
        <v>1440</v>
      </c>
      <c r="AX562" s="2029">
        <f t="shared" si="388"/>
        <v>1440</v>
      </c>
      <c r="AY562" s="2029">
        <f t="shared" si="388"/>
        <v>1440</v>
      </c>
      <c r="AZ562" s="2029">
        <f t="shared" si="388"/>
        <v>1440</v>
      </c>
      <c r="BA562" s="2029">
        <f t="shared" si="392"/>
        <v>1685.0046656590621</v>
      </c>
      <c r="BB562" s="2029">
        <f t="shared" si="391"/>
        <v>1685.0046656590621</v>
      </c>
      <c r="BC562" s="2029">
        <f t="shared" si="391"/>
        <v>1685.0046656590621</v>
      </c>
      <c r="BD562" s="2029">
        <f t="shared" si="391"/>
        <v>1685.0046656590621</v>
      </c>
      <c r="BE562" s="2030">
        <f t="shared" si="378"/>
        <v>5440</v>
      </c>
      <c r="BF562" s="2030">
        <f t="shared" si="378"/>
        <v>4800</v>
      </c>
      <c r="BG562" s="2030">
        <f t="shared" si="378"/>
        <v>4800</v>
      </c>
      <c r="BH562" s="2030">
        <f t="shared" si="370"/>
        <v>3520</v>
      </c>
      <c r="BI562" s="2030">
        <f t="shared" si="379"/>
        <v>48960</v>
      </c>
      <c r="BJ562" s="2030">
        <f t="shared" si="379"/>
        <v>43200</v>
      </c>
      <c r="BK562" s="2030">
        <f t="shared" si="379"/>
        <v>43200</v>
      </c>
      <c r="BL562" s="2030">
        <f t="shared" si="371"/>
        <v>31680</v>
      </c>
      <c r="BM562" s="2125"/>
      <c r="BN562" s="2125"/>
      <c r="BO562" s="2125"/>
      <c r="BP562" s="2125"/>
      <c r="BQ562" s="2125"/>
      <c r="BR562" s="2125"/>
      <c r="BS562" s="2125"/>
      <c r="BT562" s="2125"/>
      <c r="BU562" s="2029"/>
      <c r="BV562" s="2029"/>
      <c r="BW562" s="2029"/>
      <c r="BX562" s="2029"/>
      <c r="BY562" s="2029"/>
      <c r="BZ562" s="2032"/>
      <c r="CA562" s="1974">
        <f t="shared" si="389"/>
        <v>0</v>
      </c>
      <c r="CB562" s="1974" t="str">
        <f t="shared" si="389"/>
        <v>Savings reduced</v>
      </c>
      <c r="CC562" s="1974" t="str">
        <f t="shared" si="389"/>
        <v>5.5 years out</v>
      </c>
      <c r="CD562" s="1974">
        <f t="shared" si="389"/>
        <v>63.48</v>
      </c>
      <c r="CE562" s="1974">
        <f t="shared" si="389"/>
        <v>1</v>
      </c>
      <c r="CF562" s="2033">
        <v>9.0821997273970941E-5</v>
      </c>
      <c r="CG562" s="2026">
        <v>5.7492291159055514E-3</v>
      </c>
      <c r="CH562" s="2009">
        <f t="shared" si="390"/>
        <v>0</v>
      </c>
      <c r="CI562" s="2031">
        <f t="shared" si="390"/>
        <v>0</v>
      </c>
      <c r="CJ562" s="1974">
        <f t="shared" si="390"/>
        <v>0</v>
      </c>
      <c r="CK562" s="2031">
        <f t="shared" si="390"/>
        <v>0</v>
      </c>
      <c r="CL562" s="2026">
        <v>1</v>
      </c>
      <c r="CM562" s="2026">
        <v>1</v>
      </c>
      <c r="CN562" s="2026">
        <v>1</v>
      </c>
      <c r="CO562" s="2026">
        <v>1</v>
      </c>
      <c r="CP562" s="2035"/>
      <c r="CQ562" s="2036"/>
      <c r="CR562" s="2036"/>
      <c r="CS562" s="2036"/>
      <c r="CT562" s="2036"/>
      <c r="CU562" s="2036"/>
      <c r="CV562" s="1973">
        <v>1</v>
      </c>
      <c r="CW562" s="1973">
        <v>0</v>
      </c>
      <c r="CX562" s="2037">
        <v>1600</v>
      </c>
      <c r="CY562" s="2037">
        <f>$CX562</f>
        <v>1600</v>
      </c>
      <c r="CZ562" s="2037">
        <f t="shared" ref="CZ562:DA562" si="395">$CX562</f>
        <v>1600</v>
      </c>
      <c r="DA562" s="2037">
        <f t="shared" si="395"/>
        <v>1600</v>
      </c>
      <c r="DB562" s="2051">
        <v>0.1</v>
      </c>
      <c r="DC562" s="2051">
        <v>0.1</v>
      </c>
      <c r="DD562" s="2051">
        <v>0.1</v>
      </c>
      <c r="DE562" s="2051">
        <v>0.1</v>
      </c>
      <c r="DF562" s="2037">
        <f>DB562*CX562</f>
        <v>160</v>
      </c>
      <c r="DG562" s="2037">
        <f>DC562*CY562</f>
        <v>160</v>
      </c>
      <c r="DH562" s="2037">
        <f>DD562*CZ562</f>
        <v>160</v>
      </c>
      <c r="DI562" s="2037">
        <f>DE562*DA562</f>
        <v>160</v>
      </c>
      <c r="DJ562" s="1976">
        <v>0</v>
      </c>
      <c r="DK562" s="1973">
        <v>0</v>
      </c>
      <c r="DL562" s="1973">
        <v>0</v>
      </c>
      <c r="DM562" s="1973">
        <v>0</v>
      </c>
      <c r="DO562" s="2146">
        <v>16.5</v>
      </c>
      <c r="DP562" s="2147">
        <v>703.4542114695339</v>
      </c>
      <c r="DQ562" s="2148">
        <v>0.13878620061450539</v>
      </c>
      <c r="DR562" s="2146">
        <v>542.52473385463566</v>
      </c>
      <c r="DS562" s="2046">
        <v>160</v>
      </c>
      <c r="DT562" s="2046">
        <v>160</v>
      </c>
      <c r="DU562" s="2046">
        <v>160</v>
      </c>
      <c r="DV562" s="2046">
        <v>160</v>
      </c>
      <c r="DW562" s="2046">
        <v>1440</v>
      </c>
      <c r="DX562" s="2046">
        <v>1440</v>
      </c>
      <c r="DY562" s="2046">
        <v>1440</v>
      </c>
      <c r="DZ562" s="2046">
        <v>1440</v>
      </c>
      <c r="EA562" s="2046">
        <v>1685.0046656590621</v>
      </c>
      <c r="EB562" s="2046">
        <v>1685.0046656590621</v>
      </c>
      <c r="EC562" s="2046">
        <v>1685.0046656590621</v>
      </c>
      <c r="ED562" s="2046">
        <v>1685.0046656590621</v>
      </c>
      <c r="EE562" s="2039">
        <f t="shared" si="356"/>
        <v>0</v>
      </c>
      <c r="EF562" s="2039">
        <f t="shared" si="356"/>
        <v>0</v>
      </c>
      <c r="EG562" s="2039">
        <f t="shared" si="356"/>
        <v>0</v>
      </c>
      <c r="EH562" s="2039">
        <f t="shared" si="355"/>
        <v>0</v>
      </c>
      <c r="EI562" s="2040">
        <f t="shared" si="385"/>
        <v>0</v>
      </c>
      <c r="EJ562" s="2040">
        <f t="shared" si="385"/>
        <v>0</v>
      </c>
      <c r="EK562" s="2040">
        <f t="shared" si="385"/>
        <v>0</v>
      </c>
      <c r="EL562" s="2040">
        <f t="shared" si="383"/>
        <v>0</v>
      </c>
      <c r="EM562" s="2040">
        <f t="shared" si="383"/>
        <v>0</v>
      </c>
      <c r="EN562" s="2040">
        <f t="shared" si="383"/>
        <v>0</v>
      </c>
      <c r="EO562" s="2040">
        <f t="shared" si="383"/>
        <v>0</v>
      </c>
      <c r="EP562" s="2040">
        <f t="shared" si="383"/>
        <v>0</v>
      </c>
      <c r="EQ562" s="2040">
        <f t="shared" si="383"/>
        <v>0</v>
      </c>
      <c r="ER562" s="2040">
        <f t="shared" si="393"/>
        <v>0</v>
      </c>
      <c r="ES562" s="2040">
        <f t="shared" si="393"/>
        <v>0</v>
      </c>
      <c r="ET562" s="2040">
        <f t="shared" si="393"/>
        <v>0</v>
      </c>
      <c r="EU562" s="2039">
        <f t="shared" si="357"/>
        <v>0</v>
      </c>
      <c r="EV562" s="2039">
        <f t="shared" si="358"/>
        <v>0</v>
      </c>
    </row>
    <row r="563" spans="1:152" x14ac:dyDescent="0.25">
      <c r="A563" s="2143" t="str">
        <f t="shared" ref="A563:B578" si="396">IF(A102="","",A102)</f>
        <v>Boiler Lockout/Reset Controls</v>
      </c>
      <c r="B563" s="1974" t="str">
        <f t="shared" si="396"/>
        <v>BPH9</v>
      </c>
      <c r="C563" s="2027">
        <v>20</v>
      </c>
      <c r="D563" s="2144">
        <v>0</v>
      </c>
      <c r="E563" s="2145">
        <v>0</v>
      </c>
      <c r="F563" s="2027">
        <v>1337.7192460000001</v>
      </c>
      <c r="G563" s="1974" t="s">
        <v>2988</v>
      </c>
      <c r="H563" s="1974" t="s">
        <v>2988</v>
      </c>
      <c r="I563" s="2026">
        <v>0.9</v>
      </c>
      <c r="J563" s="2026">
        <v>0.9</v>
      </c>
      <c r="K563" s="2026">
        <v>0.9</v>
      </c>
      <c r="L563" s="2026">
        <v>0.9</v>
      </c>
      <c r="M563" s="2027">
        <f t="shared" si="374"/>
        <v>0</v>
      </c>
      <c r="N563" s="2027">
        <f t="shared" si="374"/>
        <v>0</v>
      </c>
      <c r="O563" s="2027">
        <f t="shared" si="374"/>
        <v>0</v>
      </c>
      <c r="P563" s="2027">
        <f t="shared" si="362"/>
        <v>0</v>
      </c>
      <c r="Q563" s="2026">
        <v>0.9</v>
      </c>
      <c r="R563" s="2026">
        <v>0.9</v>
      </c>
      <c r="S563" s="2026">
        <v>0.9</v>
      </c>
      <c r="T563" s="2026">
        <v>0.9</v>
      </c>
      <c r="U563" s="2028">
        <f t="shared" si="375"/>
        <v>0</v>
      </c>
      <c r="V563" s="2028">
        <f t="shared" si="375"/>
        <v>0</v>
      </c>
      <c r="W563" s="2028">
        <f t="shared" si="375"/>
        <v>0</v>
      </c>
      <c r="X563" s="2028">
        <f t="shared" si="363"/>
        <v>0</v>
      </c>
      <c r="Y563" s="2026">
        <v>0.9</v>
      </c>
      <c r="Z563" s="2026">
        <v>0.9</v>
      </c>
      <c r="AA563" s="2026">
        <v>0.9</v>
      </c>
      <c r="AB563" s="2026">
        <v>0.9</v>
      </c>
      <c r="AC563" s="2027">
        <f t="shared" si="376"/>
        <v>1203.9473214000002</v>
      </c>
      <c r="AD563" s="2027">
        <f t="shared" si="376"/>
        <v>1203.9473214000002</v>
      </c>
      <c r="AE563" s="2027">
        <f t="shared" si="376"/>
        <v>1203.9473214000002</v>
      </c>
      <c r="AF563" s="2027">
        <f t="shared" si="364"/>
        <v>1203.9473214000002</v>
      </c>
      <c r="AG563" s="2027">
        <v>29</v>
      </c>
      <c r="AH563" s="2027">
        <v>25</v>
      </c>
      <c r="AI563" s="2027">
        <v>25</v>
      </c>
      <c r="AJ563" s="2027">
        <v>25</v>
      </c>
      <c r="AK563" s="2027">
        <f t="shared" si="365"/>
        <v>0</v>
      </c>
      <c r="AL563" s="2027">
        <f t="shared" ref="AL563:AN595" si="397">AH563*N563*CM563</f>
        <v>0</v>
      </c>
      <c r="AM563" s="2027">
        <f t="shared" si="397"/>
        <v>0</v>
      </c>
      <c r="AN563" s="2027">
        <f t="shared" si="397"/>
        <v>0</v>
      </c>
      <c r="AO563" s="2027">
        <f t="shared" si="377"/>
        <v>34914.472320600005</v>
      </c>
      <c r="AP563" s="2027">
        <f t="shared" si="367"/>
        <v>30098.683035000005</v>
      </c>
      <c r="AQ563" s="2027">
        <f t="shared" si="367"/>
        <v>30098.683035000005</v>
      </c>
      <c r="AR563" s="2027">
        <f t="shared" si="367"/>
        <v>30098.683035000005</v>
      </c>
      <c r="AS563" s="2124">
        <f t="shared" ref="AS563:AS579" si="398">AS102*1.5</f>
        <v>0</v>
      </c>
      <c r="AT563" s="2029">
        <f t="shared" si="368"/>
        <v>0</v>
      </c>
      <c r="AU563" s="2029">
        <f t="shared" si="368"/>
        <v>0</v>
      </c>
      <c r="AV563" s="2029">
        <f t="shared" si="368"/>
        <v>0</v>
      </c>
      <c r="AW563" s="2124">
        <v>1200.009</v>
      </c>
      <c r="AX563" s="2029">
        <f t="shared" si="388"/>
        <v>1200.009</v>
      </c>
      <c r="AY563" s="2029">
        <f t="shared" si="388"/>
        <v>1200.009</v>
      </c>
      <c r="AZ563" s="2029">
        <f t="shared" si="388"/>
        <v>1200.009</v>
      </c>
      <c r="BA563" s="2124">
        <v>621</v>
      </c>
      <c r="BB563" s="2029">
        <f>$BA563</f>
        <v>621</v>
      </c>
      <c r="BC563" s="2029">
        <f t="shared" ref="BC563:BD563" si="399">$BA563</f>
        <v>621</v>
      </c>
      <c r="BD563" s="2029">
        <f t="shared" si="399"/>
        <v>621</v>
      </c>
      <c r="BE563" s="2030">
        <f t="shared" si="378"/>
        <v>0</v>
      </c>
      <c r="BF563" s="2030">
        <f t="shared" si="378"/>
        <v>0</v>
      </c>
      <c r="BG563" s="2030">
        <f t="shared" si="378"/>
        <v>0</v>
      </c>
      <c r="BH563" s="2030">
        <f t="shared" si="370"/>
        <v>0</v>
      </c>
      <c r="BI563" s="2030">
        <f t="shared" si="379"/>
        <v>34800.260999999999</v>
      </c>
      <c r="BJ563" s="2030">
        <f t="shared" si="379"/>
        <v>30000.224999999999</v>
      </c>
      <c r="BK563" s="2030">
        <f t="shared" si="379"/>
        <v>30000.224999999999</v>
      </c>
      <c r="BL563" s="2030">
        <f t="shared" si="371"/>
        <v>30000.224999999999</v>
      </c>
      <c r="BM563" s="2125"/>
      <c r="BN563" s="2125"/>
      <c r="BO563" s="2125"/>
      <c r="BP563" s="2125"/>
      <c r="BQ563" s="2125"/>
      <c r="BR563" s="2125"/>
      <c r="BS563" s="2125"/>
      <c r="BT563" s="2125"/>
      <c r="BU563" s="2029"/>
      <c r="BV563" s="2029"/>
      <c r="BW563" s="2029"/>
      <c r="BX563" s="2029"/>
      <c r="BY563" s="2029"/>
      <c r="BZ563" s="2032"/>
      <c r="CA563" s="1974">
        <f t="shared" ref="CA563:CE578" si="400">CA102</f>
        <v>0</v>
      </c>
      <c r="CB563" s="1974">
        <f t="shared" si="400"/>
        <v>0</v>
      </c>
      <c r="CC563" s="1974">
        <f t="shared" si="400"/>
        <v>0</v>
      </c>
      <c r="CD563" s="1974">
        <f t="shared" si="400"/>
        <v>0</v>
      </c>
      <c r="CE563" s="1974">
        <f t="shared" si="400"/>
        <v>0</v>
      </c>
      <c r="CF563" s="2033">
        <v>0</v>
      </c>
      <c r="CG563" s="2026">
        <v>1.3203913338893493E-2</v>
      </c>
      <c r="CH563" s="2009">
        <f t="shared" ref="CH563:CK578" si="401">CH102</f>
        <v>0</v>
      </c>
      <c r="CI563" s="2031">
        <f t="shared" si="401"/>
        <v>0</v>
      </c>
      <c r="CJ563" s="1974">
        <f t="shared" si="401"/>
        <v>0</v>
      </c>
      <c r="CK563" s="2031">
        <f t="shared" si="401"/>
        <v>0</v>
      </c>
      <c r="CL563" s="2026">
        <v>1</v>
      </c>
      <c r="CM563" s="2026">
        <v>1</v>
      </c>
      <c r="CN563" s="2026">
        <v>1</v>
      </c>
      <c r="CO563" s="2026">
        <v>1</v>
      </c>
      <c r="CP563" s="2035"/>
      <c r="CQ563" s="2036"/>
      <c r="CR563" s="2036"/>
      <c r="CS563" s="2036"/>
      <c r="CT563" s="2036"/>
      <c r="CU563" s="2036"/>
      <c r="CV563" s="1973">
        <v>1</v>
      </c>
      <c r="CW563" s="1973">
        <v>0</v>
      </c>
      <c r="CX563" s="2037">
        <v>1200</v>
      </c>
      <c r="CY563" s="2037">
        <v>1200</v>
      </c>
      <c r="CZ563" s="2037">
        <v>1200</v>
      </c>
      <c r="DA563" s="2037">
        <v>1200</v>
      </c>
      <c r="DJ563" s="1976">
        <v>0</v>
      </c>
      <c r="DK563" s="1973">
        <v>0</v>
      </c>
      <c r="DL563" s="1973">
        <v>0</v>
      </c>
      <c r="DM563" s="1973">
        <v>0</v>
      </c>
      <c r="DO563" s="2146">
        <v>20</v>
      </c>
      <c r="DP563" s="2147">
        <v>0</v>
      </c>
      <c r="DQ563" s="2148">
        <v>0</v>
      </c>
      <c r="DR563" s="2146">
        <v>1337.7267780000002</v>
      </c>
      <c r="DS563" s="2046">
        <v>0</v>
      </c>
      <c r="DT563" s="2046">
        <v>0</v>
      </c>
      <c r="DU563" s="2046">
        <v>0</v>
      </c>
      <c r="DV563" s="2046">
        <v>0</v>
      </c>
      <c r="DW563" s="2046">
        <v>1200.0089999999998</v>
      </c>
      <c r="DX563" s="2046">
        <v>1200.0089999999998</v>
      </c>
      <c r="DY563" s="2046">
        <v>1200.0089999999998</v>
      </c>
      <c r="DZ563" s="2046">
        <v>1200.0089999999998</v>
      </c>
      <c r="EA563" s="2046">
        <v>621</v>
      </c>
      <c r="EB563" s="2046">
        <v>621</v>
      </c>
      <c r="EC563" s="2046">
        <v>621</v>
      </c>
      <c r="ED563" s="2046">
        <v>621</v>
      </c>
      <c r="EE563" s="2039">
        <f t="shared" si="356"/>
        <v>0</v>
      </c>
      <c r="EF563" s="2039">
        <f t="shared" si="356"/>
        <v>0</v>
      </c>
      <c r="EG563" s="2039">
        <f t="shared" si="356"/>
        <v>0</v>
      </c>
      <c r="EH563" s="2039">
        <f t="shared" si="355"/>
        <v>-7.5320000000829168E-3</v>
      </c>
      <c r="EI563" s="2040">
        <f t="shared" si="385"/>
        <v>0</v>
      </c>
      <c r="EJ563" s="2040">
        <f t="shared" si="385"/>
        <v>0</v>
      </c>
      <c r="EK563" s="2040">
        <f t="shared" si="385"/>
        <v>0</v>
      </c>
      <c r="EL563" s="2040">
        <f t="shared" si="383"/>
        <v>0</v>
      </c>
      <c r="EM563" s="2040">
        <f t="shared" si="383"/>
        <v>0</v>
      </c>
      <c r="EN563" s="2040">
        <f t="shared" si="383"/>
        <v>0</v>
      </c>
      <c r="EO563" s="2040">
        <f t="shared" si="383"/>
        <v>0</v>
      </c>
      <c r="EP563" s="2040">
        <f t="shared" si="383"/>
        <v>0</v>
      </c>
      <c r="EQ563" s="2040">
        <f t="shared" si="383"/>
        <v>0</v>
      </c>
      <c r="ER563" s="2040">
        <f t="shared" si="393"/>
        <v>0</v>
      </c>
      <c r="ES563" s="2040">
        <f t="shared" si="393"/>
        <v>0</v>
      </c>
      <c r="ET563" s="2040">
        <f t="shared" si="393"/>
        <v>0</v>
      </c>
      <c r="EU563" s="2039">
        <f t="shared" si="357"/>
        <v>-7.5320000000829168E-3</v>
      </c>
      <c r="EV563" s="2151">
        <f t="shared" si="358"/>
        <v>-7.5320000000829168E-3</v>
      </c>
    </row>
    <row r="564" spans="1:152" x14ac:dyDescent="0.25">
      <c r="A564" s="2149" t="str">
        <f t="shared" si="396"/>
        <v>Infrared Heaters</v>
      </c>
      <c r="B564" s="1974" t="str">
        <f t="shared" si="396"/>
        <v/>
      </c>
      <c r="C564" s="2027">
        <f t="shared" ref="C564:F579" si="402">C103</f>
        <v>12</v>
      </c>
      <c r="D564" s="2144">
        <f t="shared" si="394"/>
        <v>0</v>
      </c>
      <c r="E564" s="2145">
        <f t="shared" si="394"/>
        <v>0</v>
      </c>
      <c r="F564" s="2027">
        <f t="shared" si="394"/>
        <v>451</v>
      </c>
      <c r="G564" s="1974" t="s">
        <v>2988</v>
      </c>
      <c r="H564" s="1974" t="s">
        <v>2988</v>
      </c>
      <c r="I564" s="2026">
        <v>0.9</v>
      </c>
      <c r="J564" s="2026">
        <v>0.9</v>
      </c>
      <c r="K564" s="2026">
        <v>0.9</v>
      </c>
      <c r="L564" s="2026">
        <v>0.9</v>
      </c>
      <c r="M564" s="2027">
        <f t="shared" si="374"/>
        <v>0</v>
      </c>
      <c r="N564" s="2027">
        <f t="shared" si="374"/>
        <v>0</v>
      </c>
      <c r="O564" s="2027">
        <f t="shared" si="374"/>
        <v>0</v>
      </c>
      <c r="P564" s="2027">
        <f t="shared" si="362"/>
        <v>0</v>
      </c>
      <c r="Q564" s="2026">
        <v>0.9</v>
      </c>
      <c r="R564" s="2026">
        <v>0.9</v>
      </c>
      <c r="S564" s="2026">
        <v>0.9</v>
      </c>
      <c r="T564" s="2026">
        <v>0.9</v>
      </c>
      <c r="U564" s="2028">
        <f t="shared" si="375"/>
        <v>0</v>
      </c>
      <c r="V564" s="2028">
        <f t="shared" si="375"/>
        <v>0</v>
      </c>
      <c r="W564" s="2028">
        <f t="shared" si="375"/>
        <v>0</v>
      </c>
      <c r="X564" s="2028">
        <f t="shared" si="363"/>
        <v>0</v>
      </c>
      <c r="Y564" s="2026">
        <v>0.9</v>
      </c>
      <c r="Z564" s="2026">
        <v>0.9</v>
      </c>
      <c r="AA564" s="2026">
        <v>0.9</v>
      </c>
      <c r="AB564" s="2026">
        <v>0.9</v>
      </c>
      <c r="AC564" s="2027">
        <f t="shared" si="376"/>
        <v>405.90000000000003</v>
      </c>
      <c r="AD564" s="2027">
        <f t="shared" si="376"/>
        <v>405.90000000000003</v>
      </c>
      <c r="AE564" s="2027">
        <f t="shared" si="376"/>
        <v>405.90000000000003</v>
      </c>
      <c r="AF564" s="2027">
        <f t="shared" si="364"/>
        <v>405.90000000000003</v>
      </c>
      <c r="AG564" s="2027">
        <v>0</v>
      </c>
      <c r="AH564" s="2028"/>
      <c r="AI564" s="2028"/>
      <c r="AJ564" s="2028"/>
      <c r="AK564" s="2027">
        <f t="shared" si="365"/>
        <v>0</v>
      </c>
      <c r="AL564" s="2027">
        <f t="shared" si="397"/>
        <v>0</v>
      </c>
      <c r="AM564" s="2027">
        <f t="shared" si="397"/>
        <v>0</v>
      </c>
      <c r="AN564" s="2027">
        <f t="shared" si="397"/>
        <v>0</v>
      </c>
      <c r="AO564" s="2027">
        <f t="shared" si="377"/>
        <v>0</v>
      </c>
      <c r="AP564" s="2027">
        <f t="shared" si="367"/>
        <v>0</v>
      </c>
      <c r="AQ564" s="2027">
        <f t="shared" si="367"/>
        <v>0</v>
      </c>
      <c r="AR564" s="2027">
        <f t="shared" si="367"/>
        <v>0</v>
      </c>
      <c r="AS564" s="2124">
        <f t="shared" si="398"/>
        <v>0</v>
      </c>
      <c r="AT564" s="2029">
        <f t="shared" si="368"/>
        <v>0</v>
      </c>
      <c r="AU564" s="2029">
        <f t="shared" si="368"/>
        <v>0</v>
      </c>
      <c r="AV564" s="2029">
        <f t="shared" si="368"/>
        <v>0</v>
      </c>
      <c r="AW564" s="2124">
        <f>AW103*1</f>
        <v>1200</v>
      </c>
      <c r="AX564" s="2029">
        <f t="shared" si="388"/>
        <v>1200</v>
      </c>
      <c r="AY564" s="2029">
        <f t="shared" si="388"/>
        <v>1200</v>
      </c>
      <c r="AZ564" s="2029">
        <f t="shared" si="388"/>
        <v>1200</v>
      </c>
      <c r="BA564" s="2124">
        <f t="shared" si="392"/>
        <v>1716</v>
      </c>
      <c r="BB564" s="2029">
        <f t="shared" si="391"/>
        <v>1716</v>
      </c>
      <c r="BC564" s="2029">
        <f t="shared" si="391"/>
        <v>1716</v>
      </c>
      <c r="BD564" s="2029">
        <f t="shared" si="391"/>
        <v>1716</v>
      </c>
      <c r="BE564" s="2030">
        <f t="shared" si="378"/>
        <v>0</v>
      </c>
      <c r="BF564" s="2030">
        <f t="shared" si="378"/>
        <v>0</v>
      </c>
      <c r="BG564" s="2030">
        <f t="shared" si="378"/>
        <v>0</v>
      </c>
      <c r="BH564" s="2030">
        <f t="shared" si="370"/>
        <v>0</v>
      </c>
      <c r="BI564" s="2030">
        <f t="shared" si="379"/>
        <v>0</v>
      </c>
      <c r="BJ564" s="2030">
        <f t="shared" si="379"/>
        <v>0</v>
      </c>
      <c r="BK564" s="2030">
        <f t="shared" si="379"/>
        <v>0</v>
      </c>
      <c r="BL564" s="2030">
        <f t="shared" si="371"/>
        <v>0</v>
      </c>
      <c r="BM564" s="2125"/>
      <c r="BN564" s="2125"/>
      <c r="BO564" s="2125"/>
      <c r="BP564" s="2125"/>
      <c r="BQ564" s="2125"/>
      <c r="BR564" s="2125"/>
      <c r="BS564" s="2125"/>
      <c r="BT564" s="2125"/>
      <c r="BU564" s="2029"/>
      <c r="BV564" s="2029"/>
      <c r="BW564" s="2029"/>
      <c r="BX564" s="2029"/>
      <c r="BY564" s="2029"/>
      <c r="BZ564" s="2032"/>
      <c r="CA564" s="1974">
        <f t="shared" si="400"/>
        <v>0</v>
      </c>
      <c r="CB564" s="1974">
        <f t="shared" si="400"/>
        <v>0</v>
      </c>
      <c r="CC564" s="1974">
        <f t="shared" si="400"/>
        <v>0</v>
      </c>
      <c r="CD564" s="1974">
        <f t="shared" si="400"/>
        <v>0</v>
      </c>
      <c r="CE564" s="1974">
        <f t="shared" si="400"/>
        <v>0</v>
      </c>
      <c r="CF564" s="2033">
        <v>0</v>
      </c>
      <c r="CG564" s="2026">
        <v>0</v>
      </c>
      <c r="CH564" s="2009">
        <f t="shared" si="401"/>
        <v>0</v>
      </c>
      <c r="CI564" s="2031">
        <f t="shared" si="401"/>
        <v>0</v>
      </c>
      <c r="CJ564" s="1974">
        <f t="shared" si="401"/>
        <v>0</v>
      </c>
      <c r="CK564" s="2031">
        <f t="shared" si="401"/>
        <v>0</v>
      </c>
      <c r="CL564" s="2026">
        <v>1</v>
      </c>
      <c r="CM564" s="2026">
        <v>1</v>
      </c>
      <c r="CN564" s="2026">
        <v>1</v>
      </c>
      <c r="CO564" s="2026">
        <v>1</v>
      </c>
      <c r="CP564" s="2035"/>
      <c r="CQ564" s="2036"/>
      <c r="CR564" s="2036"/>
      <c r="CS564" s="2036"/>
      <c r="CT564" s="2036"/>
      <c r="CU564" s="2036"/>
      <c r="CV564" s="1973">
        <v>1</v>
      </c>
      <c r="CW564" s="1973">
        <v>0</v>
      </c>
      <c r="CX564" s="2037">
        <v>1200</v>
      </c>
      <c r="CY564" s="2037">
        <v>1200</v>
      </c>
      <c r="CZ564" s="2037">
        <v>1200</v>
      </c>
      <c r="DA564" s="2037">
        <v>1200</v>
      </c>
      <c r="DJ564" s="1976">
        <v>0</v>
      </c>
      <c r="DK564" s="1973">
        <v>0</v>
      </c>
      <c r="DL564" s="1973">
        <v>0</v>
      </c>
      <c r="DM564" s="1973">
        <v>0</v>
      </c>
      <c r="DO564" s="2027">
        <v>12</v>
      </c>
      <c r="DP564" s="2144">
        <v>0</v>
      </c>
      <c r="DQ564" s="2145">
        <v>0</v>
      </c>
      <c r="DR564" s="2027">
        <v>451</v>
      </c>
      <c r="DS564" s="2124">
        <v>0</v>
      </c>
      <c r="DT564" s="2029">
        <v>0</v>
      </c>
      <c r="DU564" s="2029">
        <v>0</v>
      </c>
      <c r="DV564" s="2029">
        <v>0</v>
      </c>
      <c r="DW564" s="2124">
        <v>1200</v>
      </c>
      <c r="DX564" s="2029">
        <v>1200</v>
      </c>
      <c r="DY564" s="2029">
        <v>1200</v>
      </c>
      <c r="DZ564" s="2029">
        <v>1200</v>
      </c>
      <c r="EA564" s="2124">
        <v>1716</v>
      </c>
      <c r="EB564" s="2029">
        <v>1716</v>
      </c>
      <c r="EC564" s="2029">
        <v>1716</v>
      </c>
      <c r="ED564" s="2029">
        <v>1716</v>
      </c>
      <c r="EE564" s="2039">
        <f t="shared" si="356"/>
        <v>0</v>
      </c>
      <c r="EF564" s="2039">
        <f t="shared" si="356"/>
        <v>0</v>
      </c>
      <c r="EG564" s="2039">
        <f t="shared" si="356"/>
        <v>0</v>
      </c>
      <c r="EH564" s="2039">
        <f t="shared" si="355"/>
        <v>0</v>
      </c>
      <c r="EI564" s="2040">
        <f t="shared" si="385"/>
        <v>0</v>
      </c>
      <c r="EJ564" s="2040">
        <f t="shared" si="385"/>
        <v>0</v>
      </c>
      <c r="EK564" s="2040">
        <f t="shared" si="385"/>
        <v>0</v>
      </c>
      <c r="EL564" s="2040">
        <f t="shared" si="383"/>
        <v>0</v>
      </c>
      <c r="EM564" s="2040">
        <f t="shared" si="383"/>
        <v>0</v>
      </c>
      <c r="EN564" s="2040">
        <f t="shared" si="383"/>
        <v>0</v>
      </c>
      <c r="EO564" s="2040">
        <f t="shared" si="383"/>
        <v>0</v>
      </c>
      <c r="EP564" s="2040">
        <f t="shared" si="383"/>
        <v>0</v>
      </c>
      <c r="EQ564" s="2040">
        <f t="shared" si="383"/>
        <v>0</v>
      </c>
      <c r="ER564" s="2040">
        <f t="shared" si="393"/>
        <v>0</v>
      </c>
      <c r="ES564" s="2040">
        <f t="shared" si="393"/>
        <v>0</v>
      </c>
      <c r="ET564" s="2040">
        <f t="shared" si="393"/>
        <v>0</v>
      </c>
      <c r="EU564" s="2039">
        <f t="shared" si="357"/>
        <v>0</v>
      </c>
      <c r="EV564" s="2039">
        <f t="shared" si="358"/>
        <v>0</v>
      </c>
    </row>
    <row r="565" spans="1:152" x14ac:dyDescent="0.25">
      <c r="A565" s="2149" t="str">
        <f t="shared" si="396"/>
        <v>Condensing Unit Heater</v>
      </c>
      <c r="B565" s="1974" t="str">
        <f t="shared" si="396"/>
        <v/>
      </c>
      <c r="C565" s="2027">
        <f t="shared" si="402"/>
        <v>12</v>
      </c>
      <c r="D565" s="2144">
        <f t="shared" si="394"/>
        <v>0</v>
      </c>
      <c r="E565" s="2145">
        <f t="shared" si="394"/>
        <v>0</v>
      </c>
      <c r="F565" s="2027">
        <f t="shared" si="394"/>
        <v>266</v>
      </c>
      <c r="G565" s="1974" t="s">
        <v>2988</v>
      </c>
      <c r="H565" s="1974" t="s">
        <v>2988</v>
      </c>
      <c r="I565" s="2026">
        <v>0.9</v>
      </c>
      <c r="J565" s="2026">
        <v>0.9</v>
      </c>
      <c r="K565" s="2026">
        <v>0.9</v>
      </c>
      <c r="L565" s="2026">
        <v>0.9</v>
      </c>
      <c r="M565" s="2027">
        <f t="shared" si="374"/>
        <v>0</v>
      </c>
      <c r="N565" s="2027">
        <f t="shared" si="374"/>
        <v>0</v>
      </c>
      <c r="O565" s="2027">
        <f t="shared" si="374"/>
        <v>0</v>
      </c>
      <c r="P565" s="2027">
        <f t="shared" si="362"/>
        <v>0</v>
      </c>
      <c r="Q565" s="2026">
        <v>0.9</v>
      </c>
      <c r="R565" s="2026">
        <v>0.9</v>
      </c>
      <c r="S565" s="2026">
        <v>0.9</v>
      </c>
      <c r="T565" s="2026">
        <v>0.9</v>
      </c>
      <c r="U565" s="2028">
        <f t="shared" si="375"/>
        <v>0</v>
      </c>
      <c r="V565" s="2028">
        <f t="shared" si="375"/>
        <v>0</v>
      </c>
      <c r="W565" s="2028">
        <f t="shared" si="375"/>
        <v>0</v>
      </c>
      <c r="X565" s="2028">
        <f t="shared" si="363"/>
        <v>0</v>
      </c>
      <c r="Y565" s="2026">
        <v>0.9</v>
      </c>
      <c r="Z565" s="2026">
        <v>0.9</v>
      </c>
      <c r="AA565" s="2026">
        <v>0.9</v>
      </c>
      <c r="AB565" s="2026">
        <v>0.9</v>
      </c>
      <c r="AC565" s="2027">
        <f t="shared" si="376"/>
        <v>239.4</v>
      </c>
      <c r="AD565" s="2027">
        <f t="shared" si="376"/>
        <v>239.4</v>
      </c>
      <c r="AE565" s="2027">
        <f t="shared" si="376"/>
        <v>239.4</v>
      </c>
      <c r="AF565" s="2027">
        <f t="shared" si="364"/>
        <v>239.4</v>
      </c>
      <c r="AG565" s="2027">
        <v>0</v>
      </c>
      <c r="AH565" s="2028"/>
      <c r="AI565" s="2028"/>
      <c r="AJ565" s="2028"/>
      <c r="AK565" s="2027">
        <f t="shared" si="365"/>
        <v>0</v>
      </c>
      <c r="AL565" s="2027">
        <f t="shared" si="397"/>
        <v>0</v>
      </c>
      <c r="AM565" s="2027">
        <f t="shared" si="397"/>
        <v>0</v>
      </c>
      <c r="AN565" s="2027">
        <f t="shared" si="397"/>
        <v>0</v>
      </c>
      <c r="AO565" s="2027">
        <f t="shared" si="377"/>
        <v>0</v>
      </c>
      <c r="AP565" s="2027">
        <f t="shared" si="367"/>
        <v>0</v>
      </c>
      <c r="AQ565" s="2027">
        <f t="shared" si="367"/>
        <v>0</v>
      </c>
      <c r="AR565" s="2027">
        <f t="shared" si="367"/>
        <v>0</v>
      </c>
      <c r="AS565" s="2124">
        <f t="shared" si="398"/>
        <v>0</v>
      </c>
      <c r="AT565" s="2029">
        <f t="shared" si="368"/>
        <v>0</v>
      </c>
      <c r="AU565" s="2029">
        <f t="shared" si="368"/>
        <v>0</v>
      </c>
      <c r="AV565" s="2029">
        <f t="shared" si="368"/>
        <v>0</v>
      </c>
      <c r="AW565" s="2124">
        <f>AW104*1</f>
        <v>300</v>
      </c>
      <c r="AX565" s="2029">
        <f t="shared" si="388"/>
        <v>300</v>
      </c>
      <c r="AY565" s="2029">
        <f t="shared" si="388"/>
        <v>300</v>
      </c>
      <c r="AZ565" s="2029">
        <f t="shared" si="388"/>
        <v>300</v>
      </c>
      <c r="BA565" s="2124">
        <f t="shared" si="392"/>
        <v>676</v>
      </c>
      <c r="BB565" s="2029">
        <f t="shared" si="391"/>
        <v>676</v>
      </c>
      <c r="BC565" s="2029">
        <f t="shared" si="391"/>
        <v>676</v>
      </c>
      <c r="BD565" s="2029">
        <f t="shared" si="391"/>
        <v>676</v>
      </c>
      <c r="BE565" s="2030">
        <f t="shared" si="378"/>
        <v>0</v>
      </c>
      <c r="BF565" s="2030">
        <f t="shared" si="378"/>
        <v>0</v>
      </c>
      <c r="BG565" s="2030">
        <f t="shared" si="378"/>
        <v>0</v>
      </c>
      <c r="BH565" s="2030">
        <f t="shared" si="370"/>
        <v>0</v>
      </c>
      <c r="BI565" s="2030">
        <f t="shared" si="379"/>
        <v>0</v>
      </c>
      <c r="BJ565" s="2030">
        <f t="shared" si="379"/>
        <v>0</v>
      </c>
      <c r="BK565" s="2030">
        <f t="shared" si="379"/>
        <v>0</v>
      </c>
      <c r="BL565" s="2030">
        <f t="shared" si="371"/>
        <v>0</v>
      </c>
      <c r="BM565" s="2125"/>
      <c r="BN565" s="2125"/>
      <c r="BO565" s="2125"/>
      <c r="BP565" s="2125"/>
      <c r="BQ565" s="2125"/>
      <c r="BR565" s="2125"/>
      <c r="BS565" s="2125"/>
      <c r="BT565" s="2125"/>
      <c r="BU565" s="2029"/>
      <c r="BV565" s="2029"/>
      <c r="BW565" s="2029"/>
      <c r="BX565" s="2029"/>
      <c r="BY565" s="2029"/>
      <c r="BZ565" s="2032"/>
      <c r="CA565" s="1974">
        <f t="shared" si="400"/>
        <v>0</v>
      </c>
      <c r="CB565" s="1974">
        <f t="shared" si="400"/>
        <v>0</v>
      </c>
      <c r="CC565" s="1974">
        <f t="shared" si="400"/>
        <v>0</v>
      </c>
      <c r="CD565" s="1974">
        <f t="shared" si="400"/>
        <v>0</v>
      </c>
      <c r="CE565" s="1974">
        <f t="shared" si="400"/>
        <v>0</v>
      </c>
      <c r="CF565" s="2033">
        <v>0</v>
      </c>
      <c r="CG565" s="2026">
        <v>0</v>
      </c>
      <c r="CH565" s="2009">
        <f t="shared" si="401"/>
        <v>0</v>
      </c>
      <c r="CI565" s="2031">
        <f t="shared" si="401"/>
        <v>0</v>
      </c>
      <c r="CJ565" s="1974">
        <f t="shared" si="401"/>
        <v>0</v>
      </c>
      <c r="CK565" s="2031">
        <f t="shared" si="401"/>
        <v>0</v>
      </c>
      <c r="CL565" s="2026">
        <v>1</v>
      </c>
      <c r="CM565" s="2026">
        <v>1</v>
      </c>
      <c r="CN565" s="2026">
        <v>1</v>
      </c>
      <c r="CO565" s="2026">
        <v>1</v>
      </c>
      <c r="CP565" s="2035"/>
      <c r="CQ565" s="2036"/>
      <c r="CR565" s="2036"/>
      <c r="CS565" s="2036"/>
      <c r="CT565" s="2036"/>
      <c r="CU565" s="2036"/>
      <c r="CV565" s="1973">
        <v>1</v>
      </c>
      <c r="CW565" s="1973">
        <v>0</v>
      </c>
      <c r="CX565" s="2037">
        <v>300</v>
      </c>
      <c r="CY565" s="2037">
        <v>300</v>
      </c>
      <c r="CZ565" s="2037">
        <v>300</v>
      </c>
      <c r="DA565" s="2037">
        <v>300</v>
      </c>
      <c r="DJ565" s="1976">
        <v>0</v>
      </c>
      <c r="DK565" s="1973">
        <v>0</v>
      </c>
      <c r="DL565" s="1973">
        <v>0</v>
      </c>
      <c r="DM565" s="1973">
        <v>0</v>
      </c>
      <c r="DO565" s="2027">
        <v>12</v>
      </c>
      <c r="DP565" s="2144">
        <v>0</v>
      </c>
      <c r="DQ565" s="2145">
        <v>0</v>
      </c>
      <c r="DR565" s="2027">
        <v>266</v>
      </c>
      <c r="DS565" s="2124">
        <v>0</v>
      </c>
      <c r="DT565" s="2029">
        <v>0</v>
      </c>
      <c r="DU565" s="2029">
        <v>0</v>
      </c>
      <c r="DV565" s="2029">
        <v>0</v>
      </c>
      <c r="DW565" s="2124">
        <v>300</v>
      </c>
      <c r="DX565" s="2029">
        <v>300</v>
      </c>
      <c r="DY565" s="2029">
        <v>300</v>
      </c>
      <c r="DZ565" s="2029">
        <v>300</v>
      </c>
      <c r="EA565" s="2124">
        <v>676</v>
      </c>
      <c r="EB565" s="2029">
        <v>676</v>
      </c>
      <c r="EC565" s="2029">
        <v>676</v>
      </c>
      <c r="ED565" s="2029">
        <v>676</v>
      </c>
      <c r="EE565" s="2039">
        <f t="shared" si="356"/>
        <v>0</v>
      </c>
      <c r="EF565" s="2039">
        <f t="shared" si="356"/>
        <v>0</v>
      </c>
      <c r="EG565" s="2039">
        <f t="shared" si="356"/>
        <v>0</v>
      </c>
      <c r="EH565" s="2039">
        <f t="shared" si="355"/>
        <v>0</v>
      </c>
      <c r="EI565" s="2040">
        <f t="shared" si="385"/>
        <v>0</v>
      </c>
      <c r="EJ565" s="2040">
        <f t="shared" si="385"/>
        <v>0</v>
      </c>
      <c r="EK565" s="2040">
        <f t="shared" si="385"/>
        <v>0</v>
      </c>
      <c r="EL565" s="2040">
        <f t="shared" si="383"/>
        <v>0</v>
      </c>
      <c r="EM565" s="2040">
        <f t="shared" si="383"/>
        <v>0</v>
      </c>
      <c r="EN565" s="2040">
        <f t="shared" si="383"/>
        <v>0</v>
      </c>
      <c r="EO565" s="2040">
        <f t="shared" si="383"/>
        <v>0</v>
      </c>
      <c r="EP565" s="2040">
        <f t="shared" si="383"/>
        <v>0</v>
      </c>
      <c r="EQ565" s="2040">
        <f t="shared" si="383"/>
        <v>0</v>
      </c>
      <c r="ER565" s="2040">
        <f t="shared" si="393"/>
        <v>0</v>
      </c>
      <c r="ES565" s="2040">
        <f t="shared" si="393"/>
        <v>0</v>
      </c>
      <c r="ET565" s="2040">
        <f t="shared" si="393"/>
        <v>0</v>
      </c>
      <c r="EU565" s="2039">
        <f t="shared" si="357"/>
        <v>0</v>
      </c>
      <c r="EV565" s="2039">
        <f t="shared" si="358"/>
        <v>0</v>
      </c>
    </row>
    <row r="566" spans="1:152" s="2161" customFormat="1" x14ac:dyDescent="0.25">
      <c r="A566" s="2152" t="str">
        <f t="shared" si="396"/>
        <v>Commercial Pool covers</v>
      </c>
      <c r="B566" s="2047" t="str">
        <f t="shared" si="396"/>
        <v/>
      </c>
      <c r="C566" s="2146">
        <f t="shared" si="402"/>
        <v>6</v>
      </c>
      <c r="D566" s="2147">
        <f t="shared" si="394"/>
        <v>0</v>
      </c>
      <c r="E566" s="2148">
        <f t="shared" si="394"/>
        <v>0</v>
      </c>
      <c r="F566" s="2146">
        <f t="shared" si="394"/>
        <v>587.29999999999995</v>
      </c>
      <c r="G566" s="2047" t="s">
        <v>2988</v>
      </c>
      <c r="H566" s="2047" t="s">
        <v>2988</v>
      </c>
      <c r="I566" s="2153">
        <v>0.9</v>
      </c>
      <c r="J566" s="2153">
        <v>0.9</v>
      </c>
      <c r="K566" s="2153">
        <v>0.9</v>
      </c>
      <c r="L566" s="2153">
        <v>0.9</v>
      </c>
      <c r="M566" s="2146">
        <f t="shared" si="374"/>
        <v>0</v>
      </c>
      <c r="N566" s="2146">
        <f t="shared" si="374"/>
        <v>0</v>
      </c>
      <c r="O566" s="2146">
        <f t="shared" si="374"/>
        <v>0</v>
      </c>
      <c r="P566" s="2146">
        <f t="shared" si="362"/>
        <v>0</v>
      </c>
      <c r="Q566" s="2153">
        <v>0.9</v>
      </c>
      <c r="R566" s="2153">
        <v>0.9</v>
      </c>
      <c r="S566" s="2153">
        <v>0.9</v>
      </c>
      <c r="T566" s="2153">
        <v>0.9</v>
      </c>
      <c r="U566" s="2129">
        <f t="shared" si="375"/>
        <v>0</v>
      </c>
      <c r="V566" s="2129">
        <f t="shared" si="375"/>
        <v>0</v>
      </c>
      <c r="W566" s="2129">
        <f t="shared" si="375"/>
        <v>0</v>
      </c>
      <c r="X566" s="2129">
        <f t="shared" si="363"/>
        <v>0</v>
      </c>
      <c r="Y566" s="2153">
        <v>0.9</v>
      </c>
      <c r="Z566" s="2153">
        <v>0.9</v>
      </c>
      <c r="AA566" s="2153">
        <v>0.9</v>
      </c>
      <c r="AB566" s="2153">
        <v>0.9</v>
      </c>
      <c r="AC566" s="2146">
        <f t="shared" si="376"/>
        <v>528.56999999999994</v>
      </c>
      <c r="AD566" s="2146">
        <f t="shared" si="376"/>
        <v>528.56999999999994</v>
      </c>
      <c r="AE566" s="2146">
        <f t="shared" si="376"/>
        <v>528.56999999999994</v>
      </c>
      <c r="AF566" s="2146">
        <f t="shared" si="364"/>
        <v>528.56999999999994</v>
      </c>
      <c r="AG566" s="2146">
        <v>5</v>
      </c>
      <c r="AH566" s="2129">
        <v>5</v>
      </c>
      <c r="AI566" s="2129">
        <v>5</v>
      </c>
      <c r="AJ566" s="2129">
        <v>5</v>
      </c>
      <c r="AK566" s="2146">
        <f t="shared" si="365"/>
        <v>0</v>
      </c>
      <c r="AL566" s="2146">
        <f t="shared" si="397"/>
        <v>0</v>
      </c>
      <c r="AM566" s="2146">
        <f t="shared" si="397"/>
        <v>0</v>
      </c>
      <c r="AN566" s="2146">
        <f t="shared" si="397"/>
        <v>0</v>
      </c>
      <c r="AO566" s="2146">
        <f t="shared" si="377"/>
        <v>2642.8499999999995</v>
      </c>
      <c r="AP566" s="2146">
        <f t="shared" si="367"/>
        <v>2642.8499999999995</v>
      </c>
      <c r="AQ566" s="2146">
        <f t="shared" si="367"/>
        <v>2642.8499999999995</v>
      </c>
      <c r="AR566" s="2146">
        <f t="shared" si="367"/>
        <v>2642.8499999999995</v>
      </c>
      <c r="AS566" s="2046">
        <f t="shared" si="398"/>
        <v>0</v>
      </c>
      <c r="AT566" s="2046">
        <f t="shared" si="368"/>
        <v>0</v>
      </c>
      <c r="AU566" s="2046">
        <f t="shared" si="368"/>
        <v>0</v>
      </c>
      <c r="AV566" s="2046">
        <f t="shared" si="368"/>
        <v>0</v>
      </c>
      <c r="AW566" s="2046">
        <f>AW105*1</f>
        <v>400</v>
      </c>
      <c r="AX566" s="2046">
        <f t="shared" si="388"/>
        <v>400</v>
      </c>
      <c r="AY566" s="2046">
        <f t="shared" si="388"/>
        <v>400</v>
      </c>
      <c r="AZ566" s="2046">
        <f t="shared" si="388"/>
        <v>400</v>
      </c>
      <c r="BA566" s="2046">
        <f t="shared" si="392"/>
        <v>550</v>
      </c>
      <c r="BB566" s="2046">
        <f t="shared" si="392"/>
        <v>550</v>
      </c>
      <c r="BC566" s="2046">
        <f t="shared" si="392"/>
        <v>550</v>
      </c>
      <c r="BD566" s="2046">
        <f t="shared" si="392"/>
        <v>550</v>
      </c>
      <c r="BE566" s="2154">
        <f t="shared" si="378"/>
        <v>0</v>
      </c>
      <c r="BF566" s="2154">
        <f t="shared" si="378"/>
        <v>0</v>
      </c>
      <c r="BG566" s="2154">
        <f t="shared" si="378"/>
        <v>0</v>
      </c>
      <c r="BH566" s="2154">
        <f t="shared" si="370"/>
        <v>0</v>
      </c>
      <c r="BI566" s="2154">
        <f t="shared" si="379"/>
        <v>2000</v>
      </c>
      <c r="BJ566" s="2154">
        <f t="shared" si="379"/>
        <v>2000</v>
      </c>
      <c r="BK566" s="2154">
        <f t="shared" si="379"/>
        <v>2000</v>
      </c>
      <c r="BL566" s="2154">
        <f t="shared" si="371"/>
        <v>2000</v>
      </c>
      <c r="BM566" s="2155"/>
      <c r="BN566" s="2155"/>
      <c r="BO566" s="2155"/>
      <c r="BP566" s="2155"/>
      <c r="BQ566" s="2155"/>
      <c r="BR566" s="2155"/>
      <c r="BS566" s="2155"/>
      <c r="BT566" s="2155"/>
      <c r="BU566" s="2046"/>
      <c r="BV566" s="2046"/>
      <c r="BW566" s="2046"/>
      <c r="BX566" s="2046"/>
      <c r="BY566" s="2046"/>
      <c r="BZ566" s="2156"/>
      <c r="CA566" s="2047">
        <f t="shared" si="400"/>
        <v>3438</v>
      </c>
      <c r="CB566" s="2047">
        <f t="shared" si="400"/>
        <v>0</v>
      </c>
      <c r="CC566" s="2047">
        <f t="shared" si="400"/>
        <v>0</v>
      </c>
      <c r="CD566" s="2047">
        <f t="shared" si="400"/>
        <v>0</v>
      </c>
      <c r="CE566" s="2047">
        <f t="shared" si="400"/>
        <v>0</v>
      </c>
      <c r="CF566" s="2157">
        <v>0</v>
      </c>
      <c r="CG566" s="2153">
        <v>9.8599561386585109E-4</v>
      </c>
      <c r="CH566" s="2158">
        <f t="shared" si="401"/>
        <v>0</v>
      </c>
      <c r="CI566" s="2063">
        <f t="shared" si="401"/>
        <v>0</v>
      </c>
      <c r="CJ566" s="2047">
        <f t="shared" si="401"/>
        <v>0</v>
      </c>
      <c r="CK566" s="2063">
        <f t="shared" si="401"/>
        <v>0</v>
      </c>
      <c r="CL566" s="2153">
        <v>1</v>
      </c>
      <c r="CM566" s="2153">
        <v>1</v>
      </c>
      <c r="CN566" s="2153">
        <v>1</v>
      </c>
      <c r="CO566" s="2153">
        <v>1</v>
      </c>
      <c r="CP566" s="2159"/>
      <c r="CQ566" s="2160"/>
      <c r="CR566" s="2160"/>
      <c r="CS566" s="2160"/>
      <c r="CT566" s="2160"/>
      <c r="CU566" s="2160"/>
      <c r="CV566" s="2161">
        <v>1</v>
      </c>
      <c r="CW566" s="2161">
        <v>0</v>
      </c>
      <c r="CX566" s="2162">
        <v>600</v>
      </c>
      <c r="CY566" s="2162">
        <v>600</v>
      </c>
      <c r="CZ566" s="2162">
        <v>600</v>
      </c>
      <c r="DA566" s="2162">
        <v>600</v>
      </c>
      <c r="DB566" s="2163"/>
      <c r="DF566" s="2163"/>
      <c r="DJ566" s="2163">
        <v>0</v>
      </c>
      <c r="DK566" s="2161">
        <v>0</v>
      </c>
      <c r="DL566" s="2161">
        <v>0</v>
      </c>
      <c r="DM566" s="2161">
        <v>0</v>
      </c>
      <c r="DN566" s="1977"/>
      <c r="DO566" s="2027">
        <v>6</v>
      </c>
      <c r="DP566" s="2144">
        <v>0</v>
      </c>
      <c r="DQ566" s="2145">
        <v>0</v>
      </c>
      <c r="DR566" s="2027">
        <v>587.29999999999995</v>
      </c>
      <c r="DS566" s="2029">
        <v>0</v>
      </c>
      <c r="DT566" s="2029">
        <v>0</v>
      </c>
      <c r="DU566" s="2029">
        <v>0</v>
      </c>
      <c r="DV566" s="2029">
        <v>0</v>
      </c>
      <c r="DW566" s="2029">
        <v>400</v>
      </c>
      <c r="DX566" s="2029">
        <v>400</v>
      </c>
      <c r="DY566" s="2029">
        <v>400</v>
      </c>
      <c r="DZ566" s="2029">
        <v>400</v>
      </c>
      <c r="EA566" s="2029">
        <v>550</v>
      </c>
      <c r="EB566" s="2029">
        <v>550</v>
      </c>
      <c r="EC566" s="2029">
        <v>550</v>
      </c>
      <c r="ED566" s="2029">
        <v>550</v>
      </c>
      <c r="EE566" s="2039">
        <f t="shared" si="356"/>
        <v>0</v>
      </c>
      <c r="EF566" s="2039">
        <f t="shared" si="356"/>
        <v>0</v>
      </c>
      <c r="EG566" s="2039">
        <f t="shared" si="356"/>
        <v>0</v>
      </c>
      <c r="EH566" s="2039">
        <f t="shared" si="355"/>
        <v>0</v>
      </c>
      <c r="EI566" s="2040">
        <f t="shared" si="385"/>
        <v>0</v>
      </c>
      <c r="EJ566" s="2040">
        <f t="shared" si="385"/>
        <v>0</v>
      </c>
      <c r="EK566" s="2040">
        <f t="shared" si="385"/>
        <v>0</v>
      </c>
      <c r="EL566" s="2040">
        <f t="shared" si="383"/>
        <v>0</v>
      </c>
      <c r="EM566" s="2040">
        <f t="shared" si="383"/>
        <v>0</v>
      </c>
      <c r="EN566" s="2040">
        <f t="shared" si="383"/>
        <v>0</v>
      </c>
      <c r="EO566" s="2040">
        <f t="shared" si="383"/>
        <v>0</v>
      </c>
      <c r="EP566" s="2040">
        <f t="shared" si="383"/>
        <v>0</v>
      </c>
      <c r="EQ566" s="2040">
        <f t="shared" si="383"/>
        <v>0</v>
      </c>
      <c r="ER566" s="2040">
        <f t="shared" si="393"/>
        <v>0</v>
      </c>
      <c r="ES566" s="2040">
        <f t="shared" si="393"/>
        <v>0</v>
      </c>
      <c r="ET566" s="2040">
        <f t="shared" si="393"/>
        <v>0</v>
      </c>
      <c r="EU566" s="2039">
        <f t="shared" si="357"/>
        <v>0</v>
      </c>
      <c r="EV566" s="2039">
        <f t="shared" si="358"/>
        <v>0</v>
      </c>
    </row>
    <row r="567" spans="1:152" x14ac:dyDescent="0.25">
      <c r="A567" s="2149" t="str">
        <f t="shared" si="396"/>
        <v>VSD for air compressors</v>
      </c>
      <c r="B567" s="1974" t="str">
        <f t="shared" si="396"/>
        <v/>
      </c>
      <c r="C567" s="2027">
        <f t="shared" si="402"/>
        <v>13</v>
      </c>
      <c r="D567" s="2144">
        <f t="shared" si="394"/>
        <v>13160.16</v>
      </c>
      <c r="E567" s="2145">
        <f t="shared" si="394"/>
        <v>3.1640000000000001</v>
      </c>
      <c r="F567" s="2027">
        <f t="shared" si="394"/>
        <v>0</v>
      </c>
      <c r="G567" s="1974" t="s">
        <v>2988</v>
      </c>
      <c r="H567" s="1974" t="s">
        <v>2988</v>
      </c>
      <c r="I567" s="2026">
        <v>0.9</v>
      </c>
      <c r="J567" s="2026">
        <v>0.9</v>
      </c>
      <c r="K567" s="2026">
        <v>0.9</v>
      </c>
      <c r="L567" s="2026">
        <v>0.9</v>
      </c>
      <c r="M567" s="2027">
        <f t="shared" si="374"/>
        <v>11844.144</v>
      </c>
      <c r="N567" s="2027">
        <f t="shared" si="374"/>
        <v>11844.144</v>
      </c>
      <c r="O567" s="2027">
        <f t="shared" si="374"/>
        <v>11844.144</v>
      </c>
      <c r="P567" s="2027">
        <f t="shared" si="362"/>
        <v>11844.144</v>
      </c>
      <c r="Q567" s="2026">
        <v>0.9</v>
      </c>
      <c r="R567" s="2026">
        <v>0.9</v>
      </c>
      <c r="S567" s="2026">
        <v>0.9</v>
      </c>
      <c r="T567" s="2026">
        <v>0.9</v>
      </c>
      <c r="U567" s="2028">
        <f t="shared" si="375"/>
        <v>2.8476000000000004</v>
      </c>
      <c r="V567" s="2028">
        <f t="shared" si="375"/>
        <v>2.8476000000000004</v>
      </c>
      <c r="W567" s="2028">
        <f t="shared" si="375"/>
        <v>2.8476000000000004</v>
      </c>
      <c r="X567" s="2028">
        <f t="shared" si="363"/>
        <v>2.8476000000000004</v>
      </c>
      <c r="Y567" s="2026">
        <v>0.9</v>
      </c>
      <c r="Z567" s="2026">
        <v>0.9</v>
      </c>
      <c r="AA567" s="2026">
        <v>0.9</v>
      </c>
      <c r="AB567" s="2026">
        <v>0.9</v>
      </c>
      <c r="AC567" s="2027">
        <f t="shared" si="376"/>
        <v>0</v>
      </c>
      <c r="AD567" s="2027">
        <f t="shared" si="376"/>
        <v>0</v>
      </c>
      <c r="AE567" s="2027">
        <f t="shared" si="376"/>
        <v>0</v>
      </c>
      <c r="AF567" s="2027">
        <f t="shared" si="364"/>
        <v>0</v>
      </c>
      <c r="AG567" s="2027">
        <v>0</v>
      </c>
      <c r="AH567" s="2028"/>
      <c r="AI567" s="2028"/>
      <c r="AJ567" s="2028"/>
      <c r="AK567" s="2027">
        <f t="shared" si="365"/>
        <v>0</v>
      </c>
      <c r="AL567" s="2027">
        <f t="shared" si="397"/>
        <v>0</v>
      </c>
      <c r="AM567" s="2027">
        <f t="shared" si="397"/>
        <v>0</v>
      </c>
      <c r="AN567" s="2027">
        <f t="shared" si="397"/>
        <v>0</v>
      </c>
      <c r="AO567" s="2027">
        <f t="shared" si="377"/>
        <v>0</v>
      </c>
      <c r="AP567" s="2027">
        <f t="shared" si="367"/>
        <v>0</v>
      </c>
      <c r="AQ567" s="2027">
        <f t="shared" si="367"/>
        <v>0</v>
      </c>
      <c r="AR567" s="2027">
        <f t="shared" si="367"/>
        <v>0</v>
      </c>
      <c r="AS567" s="2124">
        <f t="shared" si="398"/>
        <v>1800</v>
      </c>
      <c r="AT567" s="2029">
        <f t="shared" si="368"/>
        <v>1800</v>
      </c>
      <c r="AU567" s="2029">
        <f t="shared" si="368"/>
        <v>1800</v>
      </c>
      <c r="AV567" s="2029">
        <f t="shared" si="368"/>
        <v>1800</v>
      </c>
      <c r="AW567" s="2124">
        <f>AW106*1.5</f>
        <v>0</v>
      </c>
      <c r="AX567" s="2029">
        <f t="shared" si="388"/>
        <v>0</v>
      </c>
      <c r="AY567" s="2029">
        <f t="shared" si="388"/>
        <v>0</v>
      </c>
      <c r="AZ567" s="2029">
        <f t="shared" si="388"/>
        <v>0</v>
      </c>
      <c r="BA567" s="2124">
        <f t="shared" si="392"/>
        <v>3986</v>
      </c>
      <c r="BB567" s="2029">
        <f t="shared" si="392"/>
        <v>3986</v>
      </c>
      <c r="BC567" s="2029">
        <f t="shared" si="392"/>
        <v>3986</v>
      </c>
      <c r="BD567" s="2029">
        <f t="shared" si="392"/>
        <v>3986</v>
      </c>
      <c r="BE567" s="2030">
        <f t="shared" si="378"/>
        <v>0</v>
      </c>
      <c r="BF567" s="2030">
        <f t="shared" si="378"/>
        <v>0</v>
      </c>
      <c r="BG567" s="2030">
        <f t="shared" si="378"/>
        <v>0</v>
      </c>
      <c r="BH567" s="2030">
        <f t="shared" si="370"/>
        <v>0</v>
      </c>
      <c r="BI567" s="2030">
        <f t="shared" si="379"/>
        <v>0</v>
      </c>
      <c r="BJ567" s="2030">
        <f t="shared" si="379"/>
        <v>0</v>
      </c>
      <c r="BK567" s="2030">
        <f t="shared" si="379"/>
        <v>0</v>
      </c>
      <c r="BL567" s="2030">
        <f t="shared" si="371"/>
        <v>0</v>
      </c>
      <c r="BM567" s="2125"/>
      <c r="BN567" s="2125"/>
      <c r="BO567" s="2125"/>
      <c r="BP567" s="2125"/>
      <c r="BQ567" s="2125"/>
      <c r="BR567" s="2125"/>
      <c r="BS567" s="2125"/>
      <c r="BT567" s="2125"/>
      <c r="BU567" s="2029"/>
      <c r="BV567" s="2029"/>
      <c r="BW567" s="2029"/>
      <c r="BX567" s="2029"/>
      <c r="BY567" s="2029"/>
      <c r="BZ567" s="2032"/>
      <c r="CA567" s="1974">
        <f t="shared" si="400"/>
        <v>0</v>
      </c>
      <c r="CB567" s="1974">
        <f t="shared" si="400"/>
        <v>0</v>
      </c>
      <c r="CC567" s="1974">
        <f t="shared" si="400"/>
        <v>0</v>
      </c>
      <c r="CD567" s="1974">
        <f t="shared" si="400"/>
        <v>0</v>
      </c>
      <c r="CE567" s="1974">
        <f t="shared" si="400"/>
        <v>0</v>
      </c>
      <c r="CF567" s="2033">
        <v>0</v>
      </c>
      <c r="CG567" s="2026">
        <v>0</v>
      </c>
      <c r="CH567" s="2009">
        <f t="shared" si="401"/>
        <v>0</v>
      </c>
      <c r="CI567" s="2031">
        <f t="shared" si="401"/>
        <v>0</v>
      </c>
      <c r="CJ567" s="1974">
        <f t="shared" si="401"/>
        <v>0</v>
      </c>
      <c r="CK567" s="2031">
        <f t="shared" si="401"/>
        <v>0</v>
      </c>
      <c r="CL567" s="2026">
        <v>1</v>
      </c>
      <c r="CM567" s="2026">
        <v>1</v>
      </c>
      <c r="CN567" s="2026">
        <v>1</v>
      </c>
      <c r="CO567" s="2026">
        <v>1</v>
      </c>
      <c r="CP567" s="2035"/>
      <c r="CQ567" s="2036"/>
      <c r="CR567" s="2036"/>
      <c r="CS567" s="2036"/>
      <c r="CT567" s="2036"/>
      <c r="CU567" s="2036"/>
      <c r="CV567" s="1973">
        <v>1</v>
      </c>
      <c r="CW567" s="1973">
        <v>0</v>
      </c>
      <c r="CX567" s="2037">
        <v>1800</v>
      </c>
      <c r="CY567" s="2037">
        <v>1800</v>
      </c>
      <c r="CZ567" s="2037">
        <v>1800</v>
      </c>
      <c r="DA567" s="2037">
        <v>1800</v>
      </c>
      <c r="DJ567" s="1976">
        <v>1800</v>
      </c>
      <c r="DK567" s="1973">
        <v>1800</v>
      </c>
      <c r="DL567" s="1973">
        <v>1800</v>
      </c>
      <c r="DM567" s="1973">
        <v>1800</v>
      </c>
      <c r="DO567" s="2027">
        <v>10</v>
      </c>
      <c r="DP567" s="2144">
        <v>13160.16</v>
      </c>
      <c r="DQ567" s="2145">
        <v>3.1640000000000001</v>
      </c>
      <c r="DR567" s="2027">
        <v>0</v>
      </c>
      <c r="DS567" s="2124">
        <v>1800</v>
      </c>
      <c r="DT567" s="2029">
        <v>1800</v>
      </c>
      <c r="DU567" s="2029">
        <v>1800</v>
      </c>
      <c r="DV567" s="2029">
        <v>1800</v>
      </c>
      <c r="DW567" s="2124">
        <v>0</v>
      </c>
      <c r="DX567" s="2029">
        <v>0</v>
      </c>
      <c r="DY567" s="2029">
        <v>0</v>
      </c>
      <c r="DZ567" s="2029">
        <v>0</v>
      </c>
      <c r="EA567" s="2124">
        <v>3986</v>
      </c>
      <c r="EB567" s="2029">
        <v>3986</v>
      </c>
      <c r="EC567" s="2029">
        <v>3986</v>
      </c>
      <c r="ED567" s="2029">
        <v>3986</v>
      </c>
      <c r="EE567" s="2039">
        <f t="shared" si="356"/>
        <v>3</v>
      </c>
      <c r="EF567" s="2039">
        <f t="shared" si="356"/>
        <v>0</v>
      </c>
      <c r="EG567" s="2039">
        <f t="shared" si="356"/>
        <v>0</v>
      </c>
      <c r="EH567" s="2039">
        <f t="shared" si="355"/>
        <v>0</v>
      </c>
      <c r="EI567" s="2040">
        <f t="shared" si="385"/>
        <v>0</v>
      </c>
      <c r="EJ567" s="2040">
        <f t="shared" si="385"/>
        <v>0</v>
      </c>
      <c r="EK567" s="2040">
        <f t="shared" si="385"/>
        <v>0</v>
      </c>
      <c r="EL567" s="2040">
        <f t="shared" si="383"/>
        <v>0</v>
      </c>
      <c r="EM567" s="2040">
        <f t="shared" si="383"/>
        <v>0</v>
      </c>
      <c r="EN567" s="2040">
        <f t="shared" si="383"/>
        <v>0</v>
      </c>
      <c r="EO567" s="2040">
        <f t="shared" si="383"/>
        <v>0</v>
      </c>
      <c r="EP567" s="2040">
        <f t="shared" si="383"/>
        <v>0</v>
      </c>
      <c r="EQ567" s="2040">
        <f t="shared" si="383"/>
        <v>0</v>
      </c>
      <c r="ER567" s="2040">
        <f t="shared" si="393"/>
        <v>0</v>
      </c>
      <c r="ES567" s="2040">
        <f t="shared" si="393"/>
        <v>0</v>
      </c>
      <c r="ET567" s="2040">
        <f t="shared" si="393"/>
        <v>0</v>
      </c>
      <c r="EU567" s="2039">
        <f t="shared" si="357"/>
        <v>3</v>
      </c>
      <c r="EV567" s="2039">
        <f t="shared" si="358"/>
        <v>3</v>
      </c>
    </row>
    <row r="568" spans="1:152" x14ac:dyDescent="0.25">
      <c r="A568" s="2149" t="str">
        <f t="shared" si="396"/>
        <v>Compressed Air Leak Survey and Repair</v>
      </c>
      <c r="B568" s="1974" t="str">
        <f t="shared" si="396"/>
        <v/>
      </c>
      <c r="C568" s="2027">
        <f t="shared" si="402"/>
        <v>5</v>
      </c>
      <c r="D568" s="2144">
        <f t="shared" si="394"/>
        <v>2700</v>
      </c>
      <c r="E568" s="2145">
        <f t="shared" si="394"/>
        <v>0.5</v>
      </c>
      <c r="F568" s="2027">
        <f t="shared" si="394"/>
        <v>0</v>
      </c>
      <c r="G568" s="1974" t="s">
        <v>2988</v>
      </c>
      <c r="H568" s="1974" t="s">
        <v>2988</v>
      </c>
      <c r="I568" s="2026">
        <v>0.9</v>
      </c>
      <c r="J568" s="2026">
        <v>0.9</v>
      </c>
      <c r="K568" s="2026">
        <v>0.9</v>
      </c>
      <c r="L568" s="2026">
        <v>0.9</v>
      </c>
      <c r="M568" s="2027">
        <f t="shared" si="374"/>
        <v>2430</v>
      </c>
      <c r="N568" s="2027">
        <f t="shared" si="374"/>
        <v>2430</v>
      </c>
      <c r="O568" s="2027">
        <f t="shared" si="374"/>
        <v>2430</v>
      </c>
      <c r="P568" s="2027">
        <f t="shared" si="362"/>
        <v>2430</v>
      </c>
      <c r="Q568" s="2026">
        <v>0.9</v>
      </c>
      <c r="R568" s="2026">
        <v>0.9</v>
      </c>
      <c r="S568" s="2026">
        <v>0.9</v>
      </c>
      <c r="T568" s="2026">
        <v>0.9</v>
      </c>
      <c r="U568" s="2028">
        <f t="shared" si="375"/>
        <v>0.45</v>
      </c>
      <c r="V568" s="2028">
        <f t="shared" si="375"/>
        <v>0.45</v>
      </c>
      <c r="W568" s="2028">
        <f t="shared" si="375"/>
        <v>0.45</v>
      </c>
      <c r="X568" s="2028">
        <f t="shared" si="363"/>
        <v>0.45</v>
      </c>
      <c r="Y568" s="2026">
        <v>0.9</v>
      </c>
      <c r="Z568" s="2026">
        <v>0.9</v>
      </c>
      <c r="AA568" s="2026">
        <v>0.9</v>
      </c>
      <c r="AB568" s="2026">
        <v>0.9</v>
      </c>
      <c r="AC568" s="2027">
        <f t="shared" si="376"/>
        <v>0</v>
      </c>
      <c r="AD568" s="2027">
        <f t="shared" si="376"/>
        <v>0</v>
      </c>
      <c r="AE568" s="2027">
        <f t="shared" si="376"/>
        <v>0</v>
      </c>
      <c r="AF568" s="2027">
        <f t="shared" si="364"/>
        <v>0</v>
      </c>
      <c r="AG568" s="2027">
        <v>0</v>
      </c>
      <c r="AH568" s="2028"/>
      <c r="AI568" s="2028"/>
      <c r="AJ568" s="2028"/>
      <c r="AK568" s="2027">
        <f t="shared" si="365"/>
        <v>0</v>
      </c>
      <c r="AL568" s="2027">
        <f t="shared" si="397"/>
        <v>0</v>
      </c>
      <c r="AM568" s="2027">
        <f t="shared" si="397"/>
        <v>0</v>
      </c>
      <c r="AN568" s="2027">
        <f t="shared" si="397"/>
        <v>0</v>
      </c>
      <c r="AO568" s="2027">
        <f t="shared" si="377"/>
        <v>0</v>
      </c>
      <c r="AP568" s="2027">
        <f t="shared" si="367"/>
        <v>0</v>
      </c>
      <c r="AQ568" s="2027">
        <f t="shared" si="367"/>
        <v>0</v>
      </c>
      <c r="AR568" s="2027">
        <f t="shared" si="367"/>
        <v>0</v>
      </c>
      <c r="AS568" s="2124">
        <f t="shared" si="398"/>
        <v>90</v>
      </c>
      <c r="AT568" s="2029">
        <f t="shared" si="368"/>
        <v>90</v>
      </c>
      <c r="AU568" s="2029">
        <f t="shared" si="368"/>
        <v>90</v>
      </c>
      <c r="AV568" s="2029">
        <f t="shared" si="368"/>
        <v>90</v>
      </c>
      <c r="AW568" s="2124">
        <f>AW107*1.5</f>
        <v>0</v>
      </c>
      <c r="AX568" s="2029">
        <f t="shared" si="388"/>
        <v>0</v>
      </c>
      <c r="AY568" s="2029">
        <f t="shared" si="388"/>
        <v>0</v>
      </c>
      <c r="AZ568" s="2029">
        <f t="shared" si="388"/>
        <v>0</v>
      </c>
      <c r="BA568" s="2124">
        <f t="shared" ref="BA568:BD583" si="403">BA107</f>
        <v>72</v>
      </c>
      <c r="BB568" s="2029">
        <f t="shared" si="403"/>
        <v>72</v>
      </c>
      <c r="BC568" s="2029">
        <f t="shared" si="403"/>
        <v>72</v>
      </c>
      <c r="BD568" s="2029">
        <f t="shared" si="403"/>
        <v>72</v>
      </c>
      <c r="BE568" s="2030">
        <f t="shared" si="378"/>
        <v>0</v>
      </c>
      <c r="BF568" s="2030">
        <f t="shared" si="378"/>
        <v>0</v>
      </c>
      <c r="BG568" s="2030">
        <f t="shared" si="378"/>
        <v>0</v>
      </c>
      <c r="BH568" s="2030">
        <f t="shared" si="370"/>
        <v>0</v>
      </c>
      <c r="BI568" s="2030">
        <f t="shared" si="379"/>
        <v>0</v>
      </c>
      <c r="BJ568" s="2030">
        <f t="shared" si="379"/>
        <v>0</v>
      </c>
      <c r="BK568" s="2030">
        <f t="shared" si="379"/>
        <v>0</v>
      </c>
      <c r="BL568" s="2030">
        <f t="shared" si="371"/>
        <v>0</v>
      </c>
      <c r="BM568" s="2125"/>
      <c r="BN568" s="2125"/>
      <c r="BO568" s="2125"/>
      <c r="BP568" s="2125"/>
      <c r="BQ568" s="2125"/>
      <c r="BR568" s="2125"/>
      <c r="BS568" s="2125"/>
      <c r="BT568" s="2125"/>
      <c r="BU568" s="2029"/>
      <c r="BV568" s="2029"/>
      <c r="BW568" s="2029"/>
      <c r="BX568" s="2029"/>
      <c r="BY568" s="2029"/>
      <c r="BZ568" s="2032"/>
      <c r="CA568" s="1974">
        <f t="shared" si="400"/>
        <v>0</v>
      </c>
      <c r="CB568" s="1974">
        <f t="shared" si="400"/>
        <v>0</v>
      </c>
      <c r="CC568" s="1974">
        <f t="shared" si="400"/>
        <v>0</v>
      </c>
      <c r="CD568" s="1974">
        <f t="shared" si="400"/>
        <v>0</v>
      </c>
      <c r="CE568" s="1974">
        <f t="shared" si="400"/>
        <v>0</v>
      </c>
      <c r="CF568" s="2033">
        <v>0</v>
      </c>
      <c r="CG568" s="2026">
        <v>0</v>
      </c>
      <c r="CH568" s="2009">
        <f t="shared" si="401"/>
        <v>0</v>
      </c>
      <c r="CI568" s="2031">
        <f t="shared" si="401"/>
        <v>0</v>
      </c>
      <c r="CJ568" s="1974">
        <f t="shared" si="401"/>
        <v>0</v>
      </c>
      <c r="CK568" s="2031">
        <f t="shared" si="401"/>
        <v>0</v>
      </c>
      <c r="CL568" s="2026">
        <v>1</v>
      </c>
      <c r="CM568" s="2026">
        <v>1</v>
      </c>
      <c r="CN568" s="2026">
        <v>1</v>
      </c>
      <c r="CO568" s="2026">
        <v>1</v>
      </c>
      <c r="CP568" s="2035"/>
      <c r="CQ568" s="2036"/>
      <c r="CR568" s="2036"/>
      <c r="CS568" s="2036"/>
      <c r="CT568" s="2036"/>
      <c r="CU568" s="2036"/>
      <c r="CV568" s="1973">
        <v>1</v>
      </c>
      <c r="CW568" s="1973">
        <v>0</v>
      </c>
      <c r="CX568" s="2037">
        <v>90</v>
      </c>
      <c r="CY568" s="2037">
        <v>90</v>
      </c>
      <c r="CZ568" s="2037">
        <v>90</v>
      </c>
      <c r="DA568" s="2037">
        <v>90</v>
      </c>
      <c r="DJ568" s="1976">
        <v>90</v>
      </c>
      <c r="DK568" s="1973">
        <v>90</v>
      </c>
      <c r="DL568" s="1973">
        <v>90</v>
      </c>
      <c r="DM568" s="1973">
        <v>90</v>
      </c>
      <c r="DO568" s="2027">
        <v>5</v>
      </c>
      <c r="DP568" s="2144">
        <v>2700</v>
      </c>
      <c r="DQ568" s="2145">
        <v>0.5</v>
      </c>
      <c r="DR568" s="2027">
        <v>0</v>
      </c>
      <c r="DS568" s="2124">
        <v>90</v>
      </c>
      <c r="DT568" s="2029">
        <v>90</v>
      </c>
      <c r="DU568" s="2029">
        <v>90</v>
      </c>
      <c r="DV568" s="2029">
        <v>90</v>
      </c>
      <c r="DW568" s="2124">
        <v>0</v>
      </c>
      <c r="DX568" s="2029">
        <v>0</v>
      </c>
      <c r="DY568" s="2029">
        <v>0</v>
      </c>
      <c r="DZ568" s="2029">
        <v>0</v>
      </c>
      <c r="EA568" s="2124">
        <v>72</v>
      </c>
      <c r="EB568" s="2029">
        <v>72</v>
      </c>
      <c r="EC568" s="2029">
        <v>72</v>
      </c>
      <c r="ED568" s="2029">
        <v>72</v>
      </c>
      <c r="EE568" s="2039">
        <f t="shared" si="356"/>
        <v>0</v>
      </c>
      <c r="EF568" s="2039">
        <f t="shared" si="356"/>
        <v>0</v>
      </c>
      <c r="EG568" s="2039">
        <f t="shared" si="356"/>
        <v>0</v>
      </c>
      <c r="EH568" s="2039">
        <f t="shared" si="355"/>
        <v>0</v>
      </c>
      <c r="EI568" s="2040">
        <f t="shared" si="385"/>
        <v>0</v>
      </c>
      <c r="EJ568" s="2040">
        <f t="shared" si="385"/>
        <v>0</v>
      </c>
      <c r="EK568" s="2040">
        <f t="shared" si="385"/>
        <v>0</v>
      </c>
      <c r="EL568" s="2040">
        <f t="shared" si="383"/>
        <v>0</v>
      </c>
      <c r="EM568" s="2040">
        <f t="shared" si="383"/>
        <v>0</v>
      </c>
      <c r="EN568" s="2040">
        <f t="shared" si="383"/>
        <v>0</v>
      </c>
      <c r="EO568" s="2040">
        <f t="shared" si="383"/>
        <v>0</v>
      </c>
      <c r="EP568" s="2040">
        <f t="shared" si="383"/>
        <v>0</v>
      </c>
      <c r="EQ568" s="2040">
        <f t="shared" si="383"/>
        <v>0</v>
      </c>
      <c r="ER568" s="2040">
        <f t="shared" si="393"/>
        <v>0</v>
      </c>
      <c r="ES568" s="2040">
        <f t="shared" si="393"/>
        <v>0</v>
      </c>
      <c r="ET568" s="2040">
        <f t="shared" si="393"/>
        <v>0</v>
      </c>
      <c r="EU568" s="2039">
        <f t="shared" si="357"/>
        <v>0</v>
      </c>
      <c r="EV568" s="2039">
        <f t="shared" si="358"/>
        <v>0</v>
      </c>
    </row>
    <row r="569" spans="1:152" x14ac:dyDescent="0.25">
      <c r="A569" s="2150" t="str">
        <f t="shared" si="396"/>
        <v>Infrared Upright Broiler</v>
      </c>
      <c r="B569" s="1974" t="str">
        <f t="shared" si="396"/>
        <v/>
      </c>
      <c r="C569" s="2027">
        <f t="shared" si="402"/>
        <v>10</v>
      </c>
      <c r="D569" s="2144">
        <f t="shared" si="394"/>
        <v>0</v>
      </c>
      <c r="E569" s="2145">
        <f t="shared" si="394"/>
        <v>0</v>
      </c>
      <c r="F569" s="2027">
        <f>F108</f>
        <v>1089</v>
      </c>
      <c r="G569" s="1974" t="s">
        <v>2988</v>
      </c>
      <c r="H569" s="1974" t="s">
        <v>2988</v>
      </c>
      <c r="I569" s="2026">
        <v>0.9</v>
      </c>
      <c r="J569" s="2026">
        <v>0.9</v>
      </c>
      <c r="K569" s="2026">
        <v>0.9</v>
      </c>
      <c r="L569" s="2026">
        <v>0.9</v>
      </c>
      <c r="M569" s="2027">
        <f t="shared" si="374"/>
        <v>0</v>
      </c>
      <c r="N569" s="2027">
        <f t="shared" si="374"/>
        <v>0</v>
      </c>
      <c r="O569" s="2027">
        <f t="shared" si="374"/>
        <v>0</v>
      </c>
      <c r="P569" s="2027">
        <f t="shared" si="362"/>
        <v>0</v>
      </c>
      <c r="Q569" s="2026">
        <v>0.9</v>
      </c>
      <c r="R569" s="2026">
        <v>0.9</v>
      </c>
      <c r="S569" s="2026">
        <v>0.9</v>
      </c>
      <c r="T569" s="2026">
        <v>0.9</v>
      </c>
      <c r="U569" s="2028">
        <f t="shared" si="375"/>
        <v>0</v>
      </c>
      <c r="V569" s="2028">
        <f t="shared" si="375"/>
        <v>0</v>
      </c>
      <c r="W569" s="2028">
        <f t="shared" si="375"/>
        <v>0</v>
      </c>
      <c r="X569" s="2028">
        <f t="shared" si="363"/>
        <v>0</v>
      </c>
      <c r="Y569" s="2026">
        <v>0.9</v>
      </c>
      <c r="Z569" s="2026">
        <v>0.9</v>
      </c>
      <c r="AA569" s="2026">
        <v>0.9</v>
      </c>
      <c r="AB569" s="2026">
        <v>0.9</v>
      </c>
      <c r="AC569" s="2027">
        <f t="shared" si="376"/>
        <v>980.1</v>
      </c>
      <c r="AD569" s="2027">
        <f t="shared" si="376"/>
        <v>980.1</v>
      </c>
      <c r="AE569" s="2027">
        <f t="shared" si="376"/>
        <v>980.1</v>
      </c>
      <c r="AF569" s="2027">
        <f t="shared" si="364"/>
        <v>980.1</v>
      </c>
      <c r="AG569" s="2027">
        <v>0</v>
      </c>
      <c r="AH569" s="2028">
        <v>1</v>
      </c>
      <c r="AI569" s="2028"/>
      <c r="AJ569" s="2028"/>
      <c r="AK569" s="2027">
        <f t="shared" si="365"/>
        <v>0</v>
      </c>
      <c r="AL569" s="2027">
        <f t="shared" si="397"/>
        <v>0</v>
      </c>
      <c r="AM569" s="2027">
        <f t="shared" si="397"/>
        <v>0</v>
      </c>
      <c r="AN569" s="2027">
        <f t="shared" si="397"/>
        <v>0</v>
      </c>
      <c r="AO569" s="2027">
        <f t="shared" si="377"/>
        <v>0</v>
      </c>
      <c r="AP569" s="2027">
        <f t="shared" si="367"/>
        <v>980.1</v>
      </c>
      <c r="AQ569" s="2027">
        <f t="shared" si="367"/>
        <v>0</v>
      </c>
      <c r="AR569" s="2027">
        <f t="shared" si="367"/>
        <v>0</v>
      </c>
      <c r="AS569" s="2124">
        <f t="shared" si="398"/>
        <v>0</v>
      </c>
      <c r="AT569" s="2029">
        <f t="shared" si="368"/>
        <v>0</v>
      </c>
      <c r="AU569" s="2029">
        <f t="shared" si="368"/>
        <v>0</v>
      </c>
      <c r="AV569" s="2029">
        <f t="shared" si="368"/>
        <v>0</v>
      </c>
      <c r="AW569" s="2124">
        <f t="shared" ref="AW569:AW574" si="404">AW108*1</f>
        <v>3000</v>
      </c>
      <c r="AX569" s="2029">
        <f t="shared" si="388"/>
        <v>3000</v>
      </c>
      <c r="AY569" s="2029">
        <f t="shared" si="388"/>
        <v>3000</v>
      </c>
      <c r="AZ569" s="2029">
        <f t="shared" si="388"/>
        <v>3000</v>
      </c>
      <c r="BA569" s="2124">
        <f t="shared" si="403"/>
        <v>5900</v>
      </c>
      <c r="BB569" s="2029">
        <f t="shared" si="403"/>
        <v>5900</v>
      </c>
      <c r="BC569" s="2029">
        <f t="shared" si="403"/>
        <v>5900</v>
      </c>
      <c r="BD569" s="2029">
        <f t="shared" si="403"/>
        <v>5900</v>
      </c>
      <c r="BE569" s="2030">
        <f t="shared" si="378"/>
        <v>0</v>
      </c>
      <c r="BF569" s="2030">
        <f t="shared" si="378"/>
        <v>0</v>
      </c>
      <c r="BG569" s="2030">
        <f t="shared" si="378"/>
        <v>0</v>
      </c>
      <c r="BH569" s="2030">
        <f t="shared" si="370"/>
        <v>0</v>
      </c>
      <c r="BI569" s="2030">
        <f t="shared" si="379"/>
        <v>0</v>
      </c>
      <c r="BJ569" s="2030">
        <f t="shared" si="379"/>
        <v>3000</v>
      </c>
      <c r="BK569" s="2030">
        <f t="shared" si="379"/>
        <v>0</v>
      </c>
      <c r="BL569" s="2030">
        <f t="shared" si="371"/>
        <v>0</v>
      </c>
      <c r="BM569" s="2125"/>
      <c r="BN569" s="2125"/>
      <c r="BO569" s="2125"/>
      <c r="BP569" s="2125"/>
      <c r="BQ569" s="2125"/>
      <c r="BR569" s="2125"/>
      <c r="BS569" s="2125"/>
      <c r="BT569" s="2125"/>
      <c r="BU569" s="2029"/>
      <c r="BV569" s="2029"/>
      <c r="BW569" s="2029"/>
      <c r="BX569" s="2029"/>
      <c r="BY569" s="2029"/>
      <c r="BZ569" s="2032"/>
      <c r="CA569" s="1974">
        <f t="shared" si="400"/>
        <v>0</v>
      </c>
      <c r="CB569" s="1974">
        <f t="shared" si="400"/>
        <v>0</v>
      </c>
      <c r="CC569" s="1974">
        <f t="shared" si="400"/>
        <v>0</v>
      </c>
      <c r="CD569" s="1974">
        <f t="shared" si="400"/>
        <v>0</v>
      </c>
      <c r="CE569" s="1974">
        <f t="shared" si="400"/>
        <v>0</v>
      </c>
      <c r="CF569" s="2033">
        <v>0</v>
      </c>
      <c r="CG569" s="2026">
        <v>0</v>
      </c>
      <c r="CH569" s="2009">
        <f t="shared" si="401"/>
        <v>0</v>
      </c>
      <c r="CI569" s="2031">
        <f t="shared" si="401"/>
        <v>0</v>
      </c>
      <c r="CJ569" s="1974">
        <f t="shared" si="401"/>
        <v>0</v>
      </c>
      <c r="CK569" s="2031">
        <f t="shared" si="401"/>
        <v>0</v>
      </c>
      <c r="CL569" s="2026">
        <v>1</v>
      </c>
      <c r="CM569" s="2026">
        <v>1</v>
      </c>
      <c r="CN569" s="2026">
        <v>1</v>
      </c>
      <c r="CO569" s="2026">
        <v>1</v>
      </c>
      <c r="CP569" s="2035"/>
      <c r="CQ569" s="2036"/>
      <c r="CR569" s="2036"/>
      <c r="CS569" s="2036"/>
      <c r="CT569" s="2036"/>
      <c r="CU569" s="2036"/>
      <c r="CV569" s="1973">
        <v>1</v>
      </c>
      <c r="CW569" s="1973">
        <v>0</v>
      </c>
      <c r="CX569" s="2037">
        <v>3000</v>
      </c>
      <c r="CY569" s="2037">
        <v>3000</v>
      </c>
      <c r="CZ569" s="2037">
        <v>3000</v>
      </c>
      <c r="DA569" s="2037">
        <v>3000</v>
      </c>
      <c r="DJ569" s="1976">
        <v>0</v>
      </c>
      <c r="DK569" s="1973">
        <v>0</v>
      </c>
      <c r="DL569" s="1973">
        <v>0</v>
      </c>
      <c r="DM569" s="1973">
        <v>0</v>
      </c>
      <c r="DO569" s="2027">
        <v>10</v>
      </c>
      <c r="DP569" s="2144">
        <v>0</v>
      </c>
      <c r="DQ569" s="2145">
        <v>0</v>
      </c>
      <c r="DR569" s="2027">
        <v>1089</v>
      </c>
      <c r="DS569" s="2124">
        <v>0</v>
      </c>
      <c r="DT569" s="2029">
        <v>0</v>
      </c>
      <c r="DU569" s="2029">
        <v>0</v>
      </c>
      <c r="DV569" s="2029">
        <v>0</v>
      </c>
      <c r="DW569" s="2124">
        <v>3000</v>
      </c>
      <c r="DX569" s="2029">
        <v>3000</v>
      </c>
      <c r="DY569" s="2029">
        <v>3000</v>
      </c>
      <c r="DZ569" s="2029">
        <v>3000</v>
      </c>
      <c r="EA569" s="2124">
        <v>5900</v>
      </c>
      <c r="EB569" s="2029">
        <v>5900</v>
      </c>
      <c r="EC569" s="2029">
        <v>5900</v>
      </c>
      <c r="ED569" s="2029">
        <v>5900</v>
      </c>
      <c r="EE569" s="2039">
        <f t="shared" si="356"/>
        <v>0</v>
      </c>
      <c r="EF569" s="2039">
        <f t="shared" si="356"/>
        <v>0</v>
      </c>
      <c r="EG569" s="2039">
        <f t="shared" si="356"/>
        <v>0</v>
      </c>
      <c r="EH569" s="2039">
        <f t="shared" si="355"/>
        <v>0</v>
      </c>
      <c r="EI569" s="2040">
        <f t="shared" si="385"/>
        <v>0</v>
      </c>
      <c r="EJ569" s="2040">
        <f t="shared" si="385"/>
        <v>0</v>
      </c>
      <c r="EK569" s="2040">
        <f t="shared" si="385"/>
        <v>0</v>
      </c>
      <c r="EL569" s="2040">
        <f t="shared" si="383"/>
        <v>0</v>
      </c>
      <c r="EM569" s="2040">
        <f t="shared" si="383"/>
        <v>0</v>
      </c>
      <c r="EN569" s="2040">
        <f t="shared" si="383"/>
        <v>0</v>
      </c>
      <c r="EO569" s="2040">
        <f t="shared" si="383"/>
        <v>0</v>
      </c>
      <c r="EP569" s="2040">
        <f t="shared" si="383"/>
        <v>0</v>
      </c>
      <c r="EQ569" s="2040">
        <f t="shared" si="383"/>
        <v>0</v>
      </c>
      <c r="ER569" s="2040">
        <f t="shared" si="393"/>
        <v>0</v>
      </c>
      <c r="ES569" s="2040">
        <f t="shared" si="393"/>
        <v>0</v>
      </c>
      <c r="ET569" s="2040">
        <f t="shared" si="393"/>
        <v>0</v>
      </c>
      <c r="EU569" s="2039">
        <f t="shared" si="357"/>
        <v>0</v>
      </c>
      <c r="EV569" s="2039">
        <f t="shared" si="358"/>
        <v>0</v>
      </c>
    </row>
    <row r="570" spans="1:152" x14ac:dyDescent="0.25">
      <c r="A570" s="2150" t="str">
        <f t="shared" si="396"/>
        <v>Infrared Salamander Broiler</v>
      </c>
      <c r="B570" s="1974" t="str">
        <f t="shared" si="396"/>
        <v/>
      </c>
      <c r="C570" s="2027">
        <f t="shared" si="402"/>
        <v>12</v>
      </c>
      <c r="D570" s="2144">
        <f t="shared" si="394"/>
        <v>0</v>
      </c>
      <c r="E570" s="2145">
        <f t="shared" si="394"/>
        <v>0</v>
      </c>
      <c r="F570" s="2027">
        <f t="shared" si="394"/>
        <v>239</v>
      </c>
      <c r="G570" s="1974" t="s">
        <v>2988</v>
      </c>
      <c r="H570" s="1974" t="s">
        <v>2988</v>
      </c>
      <c r="I570" s="2026">
        <v>0.9</v>
      </c>
      <c r="J570" s="2026">
        <v>0.9</v>
      </c>
      <c r="K570" s="2026">
        <v>0.9</v>
      </c>
      <c r="L570" s="2026">
        <v>0.9</v>
      </c>
      <c r="M570" s="2027">
        <f t="shared" si="374"/>
        <v>0</v>
      </c>
      <c r="N570" s="2027">
        <f t="shared" si="374"/>
        <v>0</v>
      </c>
      <c r="O570" s="2027">
        <f t="shared" si="374"/>
        <v>0</v>
      </c>
      <c r="P570" s="2027">
        <f t="shared" si="362"/>
        <v>0</v>
      </c>
      <c r="Q570" s="2026">
        <v>0.9</v>
      </c>
      <c r="R570" s="2026">
        <v>0.9</v>
      </c>
      <c r="S570" s="2026">
        <v>0.9</v>
      </c>
      <c r="T570" s="2026">
        <v>0.9</v>
      </c>
      <c r="U570" s="2028">
        <f t="shared" si="375"/>
        <v>0</v>
      </c>
      <c r="V570" s="2028">
        <f t="shared" si="375"/>
        <v>0</v>
      </c>
      <c r="W570" s="2028">
        <f t="shared" si="375"/>
        <v>0</v>
      </c>
      <c r="X570" s="2028">
        <f t="shared" si="363"/>
        <v>0</v>
      </c>
      <c r="Y570" s="2026">
        <v>0.9</v>
      </c>
      <c r="Z570" s="2026">
        <v>0.9</v>
      </c>
      <c r="AA570" s="2026">
        <v>0.9</v>
      </c>
      <c r="AB570" s="2026">
        <v>0.9</v>
      </c>
      <c r="AC570" s="2027">
        <f t="shared" si="376"/>
        <v>215.1</v>
      </c>
      <c r="AD570" s="2027">
        <f t="shared" si="376"/>
        <v>215.1</v>
      </c>
      <c r="AE570" s="2027">
        <f t="shared" si="376"/>
        <v>215.1</v>
      </c>
      <c r="AF570" s="2027">
        <f t="shared" si="364"/>
        <v>215.1</v>
      </c>
      <c r="AG570" s="2027">
        <v>0</v>
      </c>
      <c r="AH570" s="2028"/>
      <c r="AI570" s="2028"/>
      <c r="AJ570" s="2028"/>
      <c r="AK570" s="2027">
        <f t="shared" si="365"/>
        <v>0</v>
      </c>
      <c r="AL570" s="2027">
        <f t="shared" si="397"/>
        <v>0</v>
      </c>
      <c r="AM570" s="2027">
        <f t="shared" si="397"/>
        <v>0</v>
      </c>
      <c r="AN570" s="2027">
        <f t="shared" si="397"/>
        <v>0</v>
      </c>
      <c r="AO570" s="2027">
        <f t="shared" si="377"/>
        <v>0</v>
      </c>
      <c r="AP570" s="2027">
        <f t="shared" si="367"/>
        <v>0</v>
      </c>
      <c r="AQ570" s="2027">
        <f t="shared" si="367"/>
        <v>0</v>
      </c>
      <c r="AR570" s="2027">
        <f t="shared" si="367"/>
        <v>0</v>
      </c>
      <c r="AS570" s="2124">
        <f t="shared" si="398"/>
        <v>0</v>
      </c>
      <c r="AT570" s="2029">
        <f t="shared" si="368"/>
        <v>0</v>
      </c>
      <c r="AU570" s="2029">
        <f t="shared" si="368"/>
        <v>0</v>
      </c>
      <c r="AV570" s="2029">
        <f t="shared" si="368"/>
        <v>0</v>
      </c>
      <c r="AW570" s="2124">
        <f t="shared" si="404"/>
        <v>750</v>
      </c>
      <c r="AX570" s="2029">
        <f t="shared" si="388"/>
        <v>750</v>
      </c>
      <c r="AY570" s="2029">
        <f t="shared" si="388"/>
        <v>750</v>
      </c>
      <c r="AZ570" s="2029">
        <f t="shared" si="388"/>
        <v>750</v>
      </c>
      <c r="BA570" s="2124">
        <f t="shared" si="403"/>
        <v>1000</v>
      </c>
      <c r="BB570" s="2029">
        <f t="shared" si="403"/>
        <v>1000</v>
      </c>
      <c r="BC570" s="2029">
        <f t="shared" si="403"/>
        <v>1000</v>
      </c>
      <c r="BD570" s="2029">
        <f t="shared" si="403"/>
        <v>1000</v>
      </c>
      <c r="BE570" s="2030">
        <f t="shared" si="378"/>
        <v>0</v>
      </c>
      <c r="BF570" s="2030">
        <f t="shared" si="378"/>
        <v>0</v>
      </c>
      <c r="BG570" s="2030">
        <f t="shared" si="378"/>
        <v>0</v>
      </c>
      <c r="BH570" s="2030">
        <f t="shared" si="370"/>
        <v>0</v>
      </c>
      <c r="BI570" s="2030">
        <f t="shared" si="379"/>
        <v>0</v>
      </c>
      <c r="BJ570" s="2030">
        <f t="shared" si="379"/>
        <v>0</v>
      </c>
      <c r="BK570" s="2030">
        <f t="shared" si="379"/>
        <v>0</v>
      </c>
      <c r="BL570" s="2030">
        <f t="shared" si="371"/>
        <v>0</v>
      </c>
      <c r="BM570" s="2125"/>
      <c r="BN570" s="2125"/>
      <c r="BO570" s="2125"/>
      <c r="BP570" s="2125"/>
      <c r="BQ570" s="2125"/>
      <c r="BR570" s="2125"/>
      <c r="BS570" s="2125"/>
      <c r="BT570" s="2125"/>
      <c r="BU570" s="2029"/>
      <c r="BV570" s="2029"/>
      <c r="BW570" s="2029"/>
      <c r="BX570" s="2029"/>
      <c r="BY570" s="2029"/>
      <c r="BZ570" s="2032"/>
      <c r="CA570" s="1974">
        <f t="shared" si="400"/>
        <v>0</v>
      </c>
      <c r="CB570" s="1974">
        <f t="shared" si="400"/>
        <v>0</v>
      </c>
      <c r="CC570" s="1974">
        <f t="shared" si="400"/>
        <v>0</v>
      </c>
      <c r="CD570" s="1974">
        <f t="shared" si="400"/>
        <v>0</v>
      </c>
      <c r="CE570" s="1974">
        <f t="shared" si="400"/>
        <v>0</v>
      </c>
      <c r="CF570" s="2033">
        <v>0</v>
      </c>
      <c r="CG570" s="2026">
        <v>0</v>
      </c>
      <c r="CH570" s="2009">
        <f t="shared" si="401"/>
        <v>0</v>
      </c>
      <c r="CI570" s="2031">
        <f t="shared" si="401"/>
        <v>0</v>
      </c>
      <c r="CJ570" s="1974">
        <f t="shared" si="401"/>
        <v>0</v>
      </c>
      <c r="CK570" s="2031">
        <f t="shared" si="401"/>
        <v>0</v>
      </c>
      <c r="CL570" s="2026">
        <v>1</v>
      </c>
      <c r="CM570" s="2026">
        <v>1</v>
      </c>
      <c r="CN570" s="2026">
        <v>1</v>
      </c>
      <c r="CO570" s="2026">
        <v>1</v>
      </c>
      <c r="CP570" s="2035"/>
      <c r="CQ570" s="2036"/>
      <c r="CR570" s="2036"/>
      <c r="CS570" s="2036"/>
      <c r="CT570" s="2036"/>
      <c r="CU570" s="2036"/>
      <c r="CV570" s="1973">
        <v>1</v>
      </c>
      <c r="CW570" s="1973">
        <v>0</v>
      </c>
      <c r="CX570" s="2037">
        <v>750</v>
      </c>
      <c r="CY570" s="2037">
        <v>750</v>
      </c>
      <c r="CZ570" s="2037">
        <v>750</v>
      </c>
      <c r="DA570" s="2037">
        <v>750</v>
      </c>
      <c r="DJ570" s="1976">
        <v>0</v>
      </c>
      <c r="DK570" s="1973">
        <v>0</v>
      </c>
      <c r="DL570" s="1973">
        <v>0</v>
      </c>
      <c r="DM570" s="1973">
        <v>0</v>
      </c>
      <c r="DO570" s="2027">
        <v>12</v>
      </c>
      <c r="DP570" s="2144">
        <v>0</v>
      </c>
      <c r="DQ570" s="2145">
        <v>0</v>
      </c>
      <c r="DR570" s="2027">
        <v>239</v>
      </c>
      <c r="DS570" s="2124">
        <v>0</v>
      </c>
      <c r="DT570" s="2029">
        <v>0</v>
      </c>
      <c r="DU570" s="2029">
        <v>0</v>
      </c>
      <c r="DV570" s="2029">
        <v>0</v>
      </c>
      <c r="DW570" s="2124">
        <v>750</v>
      </c>
      <c r="DX570" s="2029">
        <v>750</v>
      </c>
      <c r="DY570" s="2029">
        <v>750</v>
      </c>
      <c r="DZ570" s="2029">
        <v>750</v>
      </c>
      <c r="EA570" s="2124">
        <v>1000</v>
      </c>
      <c r="EB570" s="2029">
        <v>1000</v>
      </c>
      <c r="EC570" s="2029">
        <v>1000</v>
      </c>
      <c r="ED570" s="2029">
        <v>1000</v>
      </c>
      <c r="EE570" s="2039">
        <f t="shared" si="356"/>
        <v>0</v>
      </c>
      <c r="EF570" s="2039">
        <f t="shared" si="356"/>
        <v>0</v>
      </c>
      <c r="EG570" s="2039">
        <f t="shared" si="356"/>
        <v>0</v>
      </c>
      <c r="EH570" s="2039">
        <f t="shared" si="355"/>
        <v>0</v>
      </c>
      <c r="EI570" s="2040">
        <f t="shared" si="385"/>
        <v>0</v>
      </c>
      <c r="EJ570" s="2040">
        <f t="shared" si="385"/>
        <v>0</v>
      </c>
      <c r="EK570" s="2040">
        <f t="shared" si="385"/>
        <v>0</v>
      </c>
      <c r="EL570" s="2040">
        <f t="shared" si="383"/>
        <v>0</v>
      </c>
      <c r="EM570" s="2040">
        <f t="shared" si="383"/>
        <v>0</v>
      </c>
      <c r="EN570" s="2040">
        <f t="shared" si="383"/>
        <v>0</v>
      </c>
      <c r="EO570" s="2040">
        <f t="shared" si="383"/>
        <v>0</v>
      </c>
      <c r="EP570" s="2040">
        <f t="shared" si="383"/>
        <v>0</v>
      </c>
      <c r="EQ570" s="2040">
        <f t="shared" si="383"/>
        <v>0</v>
      </c>
      <c r="ER570" s="2040">
        <f t="shared" si="393"/>
        <v>0</v>
      </c>
      <c r="ES570" s="2040">
        <f t="shared" si="393"/>
        <v>0</v>
      </c>
      <c r="ET570" s="2040">
        <f t="shared" si="393"/>
        <v>0</v>
      </c>
      <c r="EU570" s="2039">
        <f t="shared" si="357"/>
        <v>0</v>
      </c>
      <c r="EV570" s="2039">
        <f t="shared" si="358"/>
        <v>0</v>
      </c>
    </row>
    <row r="571" spans="1:152" x14ac:dyDescent="0.25">
      <c r="A571" s="2150" t="str">
        <f t="shared" si="396"/>
        <v>Infrared Char Broiler</v>
      </c>
      <c r="B571" s="1974" t="str">
        <f t="shared" si="396"/>
        <v/>
      </c>
      <c r="C571" s="2027">
        <f t="shared" si="402"/>
        <v>12</v>
      </c>
      <c r="D571" s="2144">
        <f t="shared" si="394"/>
        <v>0</v>
      </c>
      <c r="E571" s="2145">
        <f t="shared" si="394"/>
        <v>0</v>
      </c>
      <c r="F571" s="2027">
        <f t="shared" si="394"/>
        <v>661</v>
      </c>
      <c r="G571" s="1974" t="s">
        <v>2988</v>
      </c>
      <c r="H571" s="1974" t="s">
        <v>2988</v>
      </c>
      <c r="I571" s="2026">
        <v>0.9</v>
      </c>
      <c r="J571" s="2026">
        <v>0.9</v>
      </c>
      <c r="K571" s="2026">
        <v>0.9</v>
      </c>
      <c r="L571" s="2026">
        <v>0.9</v>
      </c>
      <c r="M571" s="2027">
        <f t="shared" si="374"/>
        <v>0</v>
      </c>
      <c r="N571" s="2027">
        <f t="shared" si="374"/>
        <v>0</v>
      </c>
      <c r="O571" s="2027">
        <f t="shared" si="374"/>
        <v>0</v>
      </c>
      <c r="P571" s="2027">
        <f t="shared" si="362"/>
        <v>0</v>
      </c>
      <c r="Q571" s="2026">
        <v>0.9</v>
      </c>
      <c r="R571" s="2026">
        <v>0.9</v>
      </c>
      <c r="S571" s="2026">
        <v>0.9</v>
      </c>
      <c r="T571" s="2026">
        <v>0.9</v>
      </c>
      <c r="U571" s="2028">
        <f t="shared" si="375"/>
        <v>0</v>
      </c>
      <c r="V571" s="2028">
        <f t="shared" si="375"/>
        <v>0</v>
      </c>
      <c r="W571" s="2028">
        <f t="shared" si="375"/>
        <v>0</v>
      </c>
      <c r="X571" s="2028">
        <f t="shared" si="363"/>
        <v>0</v>
      </c>
      <c r="Y571" s="2026">
        <v>0.9</v>
      </c>
      <c r="Z571" s="2026">
        <v>0.9</v>
      </c>
      <c r="AA571" s="2026">
        <v>0.9</v>
      </c>
      <c r="AB571" s="2026">
        <v>0.9</v>
      </c>
      <c r="AC571" s="2027">
        <f t="shared" si="376"/>
        <v>594.9</v>
      </c>
      <c r="AD571" s="2027">
        <f t="shared" si="376"/>
        <v>594.9</v>
      </c>
      <c r="AE571" s="2027">
        <f t="shared" si="376"/>
        <v>594.9</v>
      </c>
      <c r="AF571" s="2027">
        <f t="shared" si="364"/>
        <v>594.9</v>
      </c>
      <c r="AG571" s="2027">
        <v>0</v>
      </c>
      <c r="AH571" s="2028"/>
      <c r="AI571" s="2028"/>
      <c r="AJ571" s="2028">
        <v>1</v>
      </c>
      <c r="AK571" s="2027">
        <f t="shared" si="365"/>
        <v>0</v>
      </c>
      <c r="AL571" s="2027">
        <f t="shared" si="397"/>
        <v>0</v>
      </c>
      <c r="AM571" s="2027">
        <f t="shared" si="397"/>
        <v>0</v>
      </c>
      <c r="AN571" s="2027">
        <f t="shared" si="397"/>
        <v>0</v>
      </c>
      <c r="AO571" s="2027">
        <f t="shared" si="377"/>
        <v>0</v>
      </c>
      <c r="AP571" s="2027">
        <f t="shared" si="367"/>
        <v>0</v>
      </c>
      <c r="AQ571" s="2027">
        <f t="shared" si="367"/>
        <v>0</v>
      </c>
      <c r="AR571" s="2027">
        <f t="shared" si="367"/>
        <v>594.9</v>
      </c>
      <c r="AS571" s="2124">
        <f t="shared" si="398"/>
        <v>0</v>
      </c>
      <c r="AT571" s="2029">
        <f t="shared" si="368"/>
        <v>0</v>
      </c>
      <c r="AU571" s="2029">
        <f t="shared" si="368"/>
        <v>0</v>
      </c>
      <c r="AV571" s="2029">
        <f t="shared" si="368"/>
        <v>0</v>
      </c>
      <c r="AW571" s="2124">
        <f t="shared" si="404"/>
        <v>1500</v>
      </c>
      <c r="AX571" s="2029">
        <f t="shared" si="388"/>
        <v>1500</v>
      </c>
      <c r="AY571" s="2029">
        <f t="shared" si="388"/>
        <v>1500</v>
      </c>
      <c r="AZ571" s="2029">
        <f t="shared" si="388"/>
        <v>1500</v>
      </c>
      <c r="BA571" s="2124">
        <f t="shared" si="403"/>
        <v>2200</v>
      </c>
      <c r="BB571" s="2029">
        <f t="shared" si="403"/>
        <v>2200</v>
      </c>
      <c r="BC571" s="2029">
        <f t="shared" si="403"/>
        <v>2200</v>
      </c>
      <c r="BD571" s="2029">
        <f t="shared" si="403"/>
        <v>2200</v>
      </c>
      <c r="BE571" s="2030">
        <f t="shared" si="378"/>
        <v>0</v>
      </c>
      <c r="BF571" s="2030">
        <f t="shared" si="378"/>
        <v>0</v>
      </c>
      <c r="BG571" s="2030">
        <f t="shared" si="378"/>
        <v>0</v>
      </c>
      <c r="BH571" s="2030">
        <f t="shared" si="370"/>
        <v>0</v>
      </c>
      <c r="BI571" s="2030">
        <f t="shared" si="379"/>
        <v>0</v>
      </c>
      <c r="BJ571" s="2030">
        <f t="shared" si="379"/>
        <v>0</v>
      </c>
      <c r="BK571" s="2030">
        <f t="shared" si="379"/>
        <v>0</v>
      </c>
      <c r="BL571" s="2030">
        <f t="shared" si="371"/>
        <v>1500</v>
      </c>
      <c r="BM571" s="2125"/>
      <c r="BN571" s="2125"/>
      <c r="BO571" s="2125"/>
      <c r="BP571" s="2125"/>
      <c r="BQ571" s="2125"/>
      <c r="BR571" s="2125"/>
      <c r="BS571" s="2125"/>
      <c r="BT571" s="2125"/>
      <c r="BU571" s="2029"/>
      <c r="BV571" s="2029"/>
      <c r="BW571" s="2029"/>
      <c r="BX571" s="2029"/>
      <c r="BY571" s="2029"/>
      <c r="BZ571" s="2032"/>
      <c r="CA571" s="1974">
        <f t="shared" si="400"/>
        <v>0</v>
      </c>
      <c r="CB571" s="1974">
        <f t="shared" si="400"/>
        <v>0</v>
      </c>
      <c r="CC571" s="1974">
        <f t="shared" si="400"/>
        <v>0</v>
      </c>
      <c r="CD571" s="1974">
        <f t="shared" si="400"/>
        <v>0</v>
      </c>
      <c r="CE571" s="1974">
        <f t="shared" si="400"/>
        <v>0</v>
      </c>
      <c r="CF571" s="2033">
        <v>0</v>
      </c>
      <c r="CG571" s="2026">
        <v>0</v>
      </c>
      <c r="CH571" s="2009">
        <f t="shared" si="401"/>
        <v>0</v>
      </c>
      <c r="CI571" s="2031">
        <f t="shared" si="401"/>
        <v>0</v>
      </c>
      <c r="CJ571" s="1974">
        <f t="shared" si="401"/>
        <v>0</v>
      </c>
      <c r="CK571" s="2031">
        <f t="shared" si="401"/>
        <v>0</v>
      </c>
      <c r="CL571" s="2026">
        <v>1</v>
      </c>
      <c r="CM571" s="2026">
        <v>1</v>
      </c>
      <c r="CN571" s="2026">
        <v>1</v>
      </c>
      <c r="CO571" s="2026">
        <v>1</v>
      </c>
      <c r="CP571" s="2035"/>
      <c r="CQ571" s="2036"/>
      <c r="CR571" s="2036"/>
      <c r="CS571" s="2036"/>
      <c r="CT571" s="2036"/>
      <c r="CU571" s="2036"/>
      <c r="CV571" s="1973">
        <v>1</v>
      </c>
      <c r="CW571" s="1973">
        <v>0</v>
      </c>
      <c r="CX571" s="2037">
        <v>1500</v>
      </c>
      <c r="CY571" s="2037">
        <v>1500</v>
      </c>
      <c r="CZ571" s="2037">
        <v>1500</v>
      </c>
      <c r="DA571" s="2037">
        <v>1500</v>
      </c>
      <c r="DJ571" s="1976">
        <v>0</v>
      </c>
      <c r="DK571" s="1973">
        <v>0</v>
      </c>
      <c r="DL571" s="1973">
        <v>0</v>
      </c>
      <c r="DM571" s="1973">
        <v>0</v>
      </c>
      <c r="DO571" s="2027">
        <v>12</v>
      </c>
      <c r="DP571" s="2144">
        <v>0</v>
      </c>
      <c r="DQ571" s="2145">
        <v>0</v>
      </c>
      <c r="DR571" s="2027">
        <v>661</v>
      </c>
      <c r="DS571" s="2124">
        <v>0</v>
      </c>
      <c r="DT571" s="2029">
        <v>0</v>
      </c>
      <c r="DU571" s="2029">
        <v>0</v>
      </c>
      <c r="DV571" s="2029">
        <v>0</v>
      </c>
      <c r="DW571" s="2124">
        <v>1500</v>
      </c>
      <c r="DX571" s="2029">
        <v>1500</v>
      </c>
      <c r="DY571" s="2029">
        <v>1500</v>
      </c>
      <c r="DZ571" s="2029">
        <v>1500</v>
      </c>
      <c r="EA571" s="2124">
        <v>2200</v>
      </c>
      <c r="EB571" s="2029">
        <v>2200</v>
      </c>
      <c r="EC571" s="2029">
        <v>2200</v>
      </c>
      <c r="ED571" s="2029">
        <v>2200</v>
      </c>
      <c r="EE571" s="2039">
        <f t="shared" si="356"/>
        <v>0</v>
      </c>
      <c r="EF571" s="2039">
        <f t="shared" si="356"/>
        <v>0</v>
      </c>
      <c r="EG571" s="2039">
        <f t="shared" si="356"/>
        <v>0</v>
      </c>
      <c r="EH571" s="2039">
        <f t="shared" si="355"/>
        <v>0</v>
      </c>
      <c r="EI571" s="2040">
        <f t="shared" si="385"/>
        <v>0</v>
      </c>
      <c r="EJ571" s="2040">
        <f t="shared" si="385"/>
        <v>0</v>
      </c>
      <c r="EK571" s="2040">
        <f t="shared" si="385"/>
        <v>0</v>
      </c>
      <c r="EL571" s="2040">
        <f t="shared" si="383"/>
        <v>0</v>
      </c>
      <c r="EM571" s="2040">
        <f t="shared" si="383"/>
        <v>0</v>
      </c>
      <c r="EN571" s="2040">
        <f t="shared" si="383"/>
        <v>0</v>
      </c>
      <c r="EO571" s="2040">
        <f t="shared" si="383"/>
        <v>0</v>
      </c>
      <c r="EP571" s="2040">
        <f t="shared" si="383"/>
        <v>0</v>
      </c>
      <c r="EQ571" s="2040">
        <f t="shared" si="383"/>
        <v>0</v>
      </c>
      <c r="ER571" s="2040">
        <f t="shared" si="393"/>
        <v>0</v>
      </c>
      <c r="ES571" s="2040">
        <f t="shared" si="393"/>
        <v>0</v>
      </c>
      <c r="ET571" s="2040">
        <f t="shared" si="393"/>
        <v>0</v>
      </c>
      <c r="EU571" s="2039">
        <f t="shared" si="357"/>
        <v>0</v>
      </c>
      <c r="EV571" s="2039">
        <f t="shared" si="358"/>
        <v>0</v>
      </c>
    </row>
    <row r="572" spans="1:152" x14ac:dyDescent="0.25">
      <c r="A572" s="2150" t="str">
        <f t="shared" si="396"/>
        <v>Infrared Rotisserie Oven</v>
      </c>
      <c r="B572" s="1974" t="str">
        <f t="shared" si="396"/>
        <v/>
      </c>
      <c r="C572" s="2027">
        <f t="shared" si="402"/>
        <v>12</v>
      </c>
      <c r="D572" s="2144">
        <f t="shared" si="394"/>
        <v>0</v>
      </c>
      <c r="E572" s="2145">
        <f t="shared" si="394"/>
        <v>0</v>
      </c>
      <c r="F572" s="2027">
        <f t="shared" si="394"/>
        <v>554</v>
      </c>
      <c r="G572" s="1974" t="s">
        <v>2988</v>
      </c>
      <c r="H572" s="1974" t="s">
        <v>2988</v>
      </c>
      <c r="I572" s="2026">
        <v>0.9</v>
      </c>
      <c r="J572" s="2026">
        <v>0.9</v>
      </c>
      <c r="K572" s="2026">
        <v>0.9</v>
      </c>
      <c r="L572" s="2026">
        <v>0.9</v>
      </c>
      <c r="M572" s="2027">
        <f t="shared" si="374"/>
        <v>0</v>
      </c>
      <c r="N572" s="2027">
        <f t="shared" si="374"/>
        <v>0</v>
      </c>
      <c r="O572" s="2027">
        <f t="shared" si="374"/>
        <v>0</v>
      </c>
      <c r="P572" s="2027">
        <f t="shared" si="362"/>
        <v>0</v>
      </c>
      <c r="Q572" s="2026">
        <v>0.9</v>
      </c>
      <c r="R572" s="2026">
        <v>0.9</v>
      </c>
      <c r="S572" s="2026">
        <v>0.9</v>
      </c>
      <c r="T572" s="2026">
        <v>0.9</v>
      </c>
      <c r="U572" s="2028">
        <f t="shared" si="375"/>
        <v>0</v>
      </c>
      <c r="V572" s="2028">
        <f t="shared" si="375"/>
        <v>0</v>
      </c>
      <c r="W572" s="2028">
        <f t="shared" si="375"/>
        <v>0</v>
      </c>
      <c r="X572" s="2028">
        <f t="shared" si="363"/>
        <v>0</v>
      </c>
      <c r="Y572" s="2026">
        <v>0.9</v>
      </c>
      <c r="Z572" s="2026">
        <v>0.9</v>
      </c>
      <c r="AA572" s="2026">
        <v>0.9</v>
      </c>
      <c r="AB572" s="2026">
        <v>0.9</v>
      </c>
      <c r="AC572" s="2027">
        <f t="shared" si="376"/>
        <v>498.6</v>
      </c>
      <c r="AD572" s="2027">
        <f t="shared" si="376"/>
        <v>498.6</v>
      </c>
      <c r="AE572" s="2027">
        <f t="shared" si="376"/>
        <v>498.6</v>
      </c>
      <c r="AF572" s="2027">
        <f t="shared" si="364"/>
        <v>498.6</v>
      </c>
      <c r="AG572" s="2027">
        <v>0</v>
      </c>
      <c r="AH572" s="2028"/>
      <c r="AI572" s="2028"/>
      <c r="AJ572" s="2028"/>
      <c r="AK572" s="2027">
        <f t="shared" si="365"/>
        <v>0</v>
      </c>
      <c r="AL572" s="2027">
        <f t="shared" si="397"/>
        <v>0</v>
      </c>
      <c r="AM572" s="2027">
        <f t="shared" si="397"/>
        <v>0</v>
      </c>
      <c r="AN572" s="2027">
        <f t="shared" si="397"/>
        <v>0</v>
      </c>
      <c r="AO572" s="2027">
        <f t="shared" si="377"/>
        <v>0</v>
      </c>
      <c r="AP572" s="2027">
        <f t="shared" si="367"/>
        <v>0</v>
      </c>
      <c r="AQ572" s="2027">
        <f t="shared" si="367"/>
        <v>0</v>
      </c>
      <c r="AR572" s="2027">
        <f t="shared" si="367"/>
        <v>0</v>
      </c>
      <c r="AS572" s="2124">
        <f t="shared" si="398"/>
        <v>0</v>
      </c>
      <c r="AT572" s="2029">
        <f t="shared" si="368"/>
        <v>0</v>
      </c>
      <c r="AU572" s="2029">
        <f t="shared" si="368"/>
        <v>0</v>
      </c>
      <c r="AV572" s="2029">
        <f t="shared" si="368"/>
        <v>0</v>
      </c>
      <c r="AW572" s="2124">
        <f t="shared" si="404"/>
        <v>2000</v>
      </c>
      <c r="AX572" s="2029">
        <f t="shared" si="388"/>
        <v>2000</v>
      </c>
      <c r="AY572" s="2029">
        <f t="shared" si="388"/>
        <v>2000</v>
      </c>
      <c r="AZ572" s="2029">
        <f t="shared" si="388"/>
        <v>2000</v>
      </c>
      <c r="BA572" s="2124">
        <f t="shared" si="403"/>
        <v>2700</v>
      </c>
      <c r="BB572" s="2029">
        <f t="shared" si="403"/>
        <v>2700</v>
      </c>
      <c r="BC572" s="2029">
        <f t="shared" si="403"/>
        <v>2700</v>
      </c>
      <c r="BD572" s="2029">
        <f t="shared" si="403"/>
        <v>2700</v>
      </c>
      <c r="BE572" s="2030">
        <f t="shared" si="378"/>
        <v>0</v>
      </c>
      <c r="BF572" s="2030">
        <f t="shared" si="378"/>
        <v>0</v>
      </c>
      <c r="BG572" s="2030">
        <f t="shared" si="378"/>
        <v>0</v>
      </c>
      <c r="BH572" s="2030">
        <f t="shared" si="370"/>
        <v>0</v>
      </c>
      <c r="BI572" s="2030">
        <f t="shared" si="379"/>
        <v>0</v>
      </c>
      <c r="BJ572" s="2030">
        <f t="shared" si="379"/>
        <v>0</v>
      </c>
      <c r="BK572" s="2030">
        <f t="shared" si="379"/>
        <v>0</v>
      </c>
      <c r="BL572" s="2030">
        <f t="shared" si="371"/>
        <v>0</v>
      </c>
      <c r="BM572" s="2125"/>
      <c r="BN572" s="2125"/>
      <c r="BO572" s="2125"/>
      <c r="BP572" s="2125"/>
      <c r="BQ572" s="2125"/>
      <c r="BR572" s="2125"/>
      <c r="BS572" s="2125"/>
      <c r="BT572" s="2125"/>
      <c r="BU572" s="2029"/>
      <c r="BV572" s="2029"/>
      <c r="BW572" s="2029"/>
      <c r="BX572" s="2029"/>
      <c r="BY572" s="2029"/>
      <c r="BZ572" s="2032"/>
      <c r="CA572" s="1974">
        <f t="shared" si="400"/>
        <v>0</v>
      </c>
      <c r="CB572" s="1974">
        <f t="shared" si="400"/>
        <v>0</v>
      </c>
      <c r="CC572" s="1974">
        <f t="shared" si="400"/>
        <v>0</v>
      </c>
      <c r="CD572" s="1974">
        <f t="shared" si="400"/>
        <v>0</v>
      </c>
      <c r="CE572" s="1974">
        <f t="shared" si="400"/>
        <v>0</v>
      </c>
      <c r="CF572" s="2033">
        <v>0</v>
      </c>
      <c r="CG572" s="2026">
        <v>0</v>
      </c>
      <c r="CH572" s="2009">
        <f t="shared" si="401"/>
        <v>0</v>
      </c>
      <c r="CI572" s="2031">
        <f t="shared" si="401"/>
        <v>0</v>
      </c>
      <c r="CJ572" s="1974">
        <f t="shared" si="401"/>
        <v>0</v>
      </c>
      <c r="CK572" s="2031">
        <f t="shared" si="401"/>
        <v>0</v>
      </c>
      <c r="CL572" s="2026">
        <v>1</v>
      </c>
      <c r="CM572" s="2026">
        <v>1</v>
      </c>
      <c r="CN572" s="2026">
        <v>1</v>
      </c>
      <c r="CO572" s="2026">
        <v>1</v>
      </c>
      <c r="CP572" s="2035"/>
      <c r="CQ572" s="2036"/>
      <c r="CR572" s="2036"/>
      <c r="CS572" s="2036"/>
      <c r="CT572" s="2036"/>
      <c r="CU572" s="2036"/>
      <c r="CV572" s="1973">
        <v>1</v>
      </c>
      <c r="CW572" s="1973">
        <v>0</v>
      </c>
      <c r="CX572" s="2037">
        <v>2000</v>
      </c>
      <c r="CY572" s="2037">
        <v>2000</v>
      </c>
      <c r="CZ572" s="2037">
        <v>2000</v>
      </c>
      <c r="DA572" s="2037">
        <v>2000</v>
      </c>
      <c r="DJ572" s="1976">
        <v>0</v>
      </c>
      <c r="DK572" s="1973">
        <v>0</v>
      </c>
      <c r="DL572" s="1973">
        <v>0</v>
      </c>
      <c r="DM572" s="1973">
        <v>0</v>
      </c>
      <c r="DO572" s="2027">
        <v>12</v>
      </c>
      <c r="DP572" s="2144">
        <v>0</v>
      </c>
      <c r="DQ572" s="2145">
        <v>0</v>
      </c>
      <c r="DR572" s="2027">
        <v>554</v>
      </c>
      <c r="DS572" s="2124">
        <v>0</v>
      </c>
      <c r="DT572" s="2029">
        <v>0</v>
      </c>
      <c r="DU572" s="2029">
        <v>0</v>
      </c>
      <c r="DV572" s="2029">
        <v>0</v>
      </c>
      <c r="DW572" s="2124">
        <v>2000</v>
      </c>
      <c r="DX572" s="2029">
        <v>2000</v>
      </c>
      <c r="DY572" s="2029">
        <v>2000</v>
      </c>
      <c r="DZ572" s="2029">
        <v>2000</v>
      </c>
      <c r="EA572" s="2124">
        <v>2700</v>
      </c>
      <c r="EB572" s="2029">
        <v>2700</v>
      </c>
      <c r="EC572" s="2029">
        <v>2700</v>
      </c>
      <c r="ED572" s="2029">
        <v>2700</v>
      </c>
      <c r="EE572" s="2039">
        <f t="shared" si="356"/>
        <v>0</v>
      </c>
      <c r="EF572" s="2039">
        <f t="shared" si="356"/>
        <v>0</v>
      </c>
      <c r="EG572" s="2039">
        <f t="shared" si="356"/>
        <v>0</v>
      </c>
      <c r="EH572" s="2039">
        <f t="shared" si="355"/>
        <v>0</v>
      </c>
      <c r="EI572" s="2040">
        <f t="shared" si="385"/>
        <v>0</v>
      </c>
      <c r="EJ572" s="2040">
        <f t="shared" si="385"/>
        <v>0</v>
      </c>
      <c r="EK572" s="2040">
        <f t="shared" si="385"/>
        <v>0</v>
      </c>
      <c r="EL572" s="2040">
        <f t="shared" si="383"/>
        <v>0</v>
      </c>
      <c r="EM572" s="2040">
        <f t="shared" si="383"/>
        <v>0</v>
      </c>
      <c r="EN572" s="2040">
        <f t="shared" si="383"/>
        <v>0</v>
      </c>
      <c r="EO572" s="2040">
        <f t="shared" si="383"/>
        <v>0</v>
      </c>
      <c r="EP572" s="2040">
        <f t="shared" si="383"/>
        <v>0</v>
      </c>
      <c r="EQ572" s="2040">
        <f t="shared" si="383"/>
        <v>0</v>
      </c>
      <c r="ER572" s="2040">
        <f t="shared" si="393"/>
        <v>0</v>
      </c>
      <c r="ES572" s="2040">
        <f t="shared" si="393"/>
        <v>0</v>
      </c>
      <c r="ET572" s="2040">
        <f t="shared" si="393"/>
        <v>0</v>
      </c>
      <c r="EU572" s="2039">
        <f t="shared" si="357"/>
        <v>0</v>
      </c>
      <c r="EV572" s="2039">
        <f t="shared" si="358"/>
        <v>0</v>
      </c>
    </row>
    <row r="573" spans="1:152" x14ac:dyDescent="0.25">
      <c r="A573" s="2150" t="str">
        <f t="shared" si="396"/>
        <v>Pasta Cooker</v>
      </c>
      <c r="B573" s="1974" t="str">
        <f t="shared" si="396"/>
        <v/>
      </c>
      <c r="C573" s="2027">
        <f t="shared" si="402"/>
        <v>12</v>
      </c>
      <c r="D573" s="2144">
        <f t="shared" si="402"/>
        <v>0</v>
      </c>
      <c r="E573" s="2145">
        <f t="shared" si="402"/>
        <v>0</v>
      </c>
      <c r="F573" s="2027">
        <f t="shared" si="402"/>
        <v>1380</v>
      </c>
      <c r="G573" s="1974" t="s">
        <v>2988</v>
      </c>
      <c r="H573" s="1974" t="s">
        <v>2988</v>
      </c>
      <c r="I573" s="2026">
        <v>0.9</v>
      </c>
      <c r="J573" s="2026">
        <v>0.9</v>
      </c>
      <c r="K573" s="2026">
        <v>0.9</v>
      </c>
      <c r="L573" s="2026">
        <v>0.9</v>
      </c>
      <c r="M573" s="2027">
        <f t="shared" si="374"/>
        <v>0</v>
      </c>
      <c r="N573" s="2027">
        <f t="shared" si="374"/>
        <v>0</v>
      </c>
      <c r="O573" s="2027">
        <f t="shared" si="374"/>
        <v>0</v>
      </c>
      <c r="P573" s="2027">
        <f t="shared" si="362"/>
        <v>0</v>
      </c>
      <c r="Q573" s="2026">
        <v>0.9</v>
      </c>
      <c r="R573" s="2026">
        <v>0.9</v>
      </c>
      <c r="S573" s="2026">
        <v>0.9</v>
      </c>
      <c r="T573" s="2026">
        <v>0.9</v>
      </c>
      <c r="U573" s="2028">
        <f t="shared" si="375"/>
        <v>0</v>
      </c>
      <c r="V573" s="2028">
        <f t="shared" si="375"/>
        <v>0</v>
      </c>
      <c r="W573" s="2028">
        <f t="shared" si="375"/>
        <v>0</v>
      </c>
      <c r="X573" s="2028">
        <f t="shared" si="363"/>
        <v>0</v>
      </c>
      <c r="Y573" s="2026">
        <v>0.9</v>
      </c>
      <c r="Z573" s="2026">
        <v>0.9</v>
      </c>
      <c r="AA573" s="2026">
        <v>0.9</v>
      </c>
      <c r="AB573" s="2026">
        <v>0.9</v>
      </c>
      <c r="AC573" s="2027">
        <f t="shared" si="376"/>
        <v>1242</v>
      </c>
      <c r="AD573" s="2027">
        <f t="shared" si="376"/>
        <v>1242</v>
      </c>
      <c r="AE573" s="2027">
        <f t="shared" si="376"/>
        <v>1242</v>
      </c>
      <c r="AF573" s="2027">
        <f t="shared" si="364"/>
        <v>1242</v>
      </c>
      <c r="AG573" s="2027">
        <v>0</v>
      </c>
      <c r="AH573" s="2028">
        <v>1</v>
      </c>
      <c r="AI573" s="2028"/>
      <c r="AJ573" s="2028"/>
      <c r="AK573" s="2027">
        <f t="shared" si="365"/>
        <v>0</v>
      </c>
      <c r="AL573" s="2027">
        <f t="shared" si="397"/>
        <v>0</v>
      </c>
      <c r="AM573" s="2027">
        <f t="shared" si="397"/>
        <v>0</v>
      </c>
      <c r="AN573" s="2027">
        <f t="shared" si="397"/>
        <v>0</v>
      </c>
      <c r="AO573" s="2027">
        <f t="shared" si="377"/>
        <v>0</v>
      </c>
      <c r="AP573" s="2027">
        <f t="shared" si="367"/>
        <v>1242</v>
      </c>
      <c r="AQ573" s="2027">
        <f t="shared" si="367"/>
        <v>0</v>
      </c>
      <c r="AR573" s="2027">
        <f t="shared" si="367"/>
        <v>0</v>
      </c>
      <c r="AS573" s="2124">
        <f t="shared" si="398"/>
        <v>0</v>
      </c>
      <c r="AT573" s="2029">
        <f t="shared" si="368"/>
        <v>0</v>
      </c>
      <c r="AU573" s="2029">
        <f t="shared" si="368"/>
        <v>0</v>
      </c>
      <c r="AV573" s="2029">
        <f t="shared" si="368"/>
        <v>0</v>
      </c>
      <c r="AW573" s="2124">
        <f t="shared" si="404"/>
        <v>1000</v>
      </c>
      <c r="AX573" s="2029">
        <f t="shared" si="388"/>
        <v>1000</v>
      </c>
      <c r="AY573" s="2029">
        <f t="shared" si="388"/>
        <v>1000</v>
      </c>
      <c r="AZ573" s="2029">
        <f t="shared" si="388"/>
        <v>1000</v>
      </c>
      <c r="BA573" s="2124">
        <f t="shared" si="403"/>
        <v>2400</v>
      </c>
      <c r="BB573" s="2029">
        <f t="shared" si="403"/>
        <v>2400</v>
      </c>
      <c r="BC573" s="2029">
        <f t="shared" si="403"/>
        <v>2400</v>
      </c>
      <c r="BD573" s="2029">
        <f t="shared" si="403"/>
        <v>2400</v>
      </c>
      <c r="BE573" s="2030">
        <f t="shared" si="378"/>
        <v>0</v>
      </c>
      <c r="BF573" s="2030">
        <f t="shared" si="378"/>
        <v>0</v>
      </c>
      <c r="BG573" s="2030">
        <f t="shared" si="378"/>
        <v>0</v>
      </c>
      <c r="BH573" s="2030">
        <f t="shared" si="370"/>
        <v>0</v>
      </c>
      <c r="BI573" s="2030">
        <f t="shared" si="379"/>
        <v>0</v>
      </c>
      <c r="BJ573" s="2030">
        <f t="shared" si="379"/>
        <v>1000</v>
      </c>
      <c r="BK573" s="2030">
        <f t="shared" si="379"/>
        <v>0</v>
      </c>
      <c r="BL573" s="2030">
        <f t="shared" si="371"/>
        <v>0</v>
      </c>
      <c r="BM573" s="2125"/>
      <c r="BN573" s="2125"/>
      <c r="BO573" s="2125"/>
      <c r="BP573" s="2125"/>
      <c r="BQ573" s="2125"/>
      <c r="BR573" s="2125"/>
      <c r="BS573" s="2125"/>
      <c r="BT573" s="2125"/>
      <c r="BU573" s="2029"/>
      <c r="BV573" s="2029"/>
      <c r="BW573" s="2029"/>
      <c r="BX573" s="2029"/>
      <c r="BY573" s="2029"/>
      <c r="BZ573" s="2032"/>
      <c r="CA573" s="1974">
        <f t="shared" si="400"/>
        <v>0</v>
      </c>
      <c r="CB573" s="1974">
        <f t="shared" si="400"/>
        <v>0</v>
      </c>
      <c r="CC573" s="1974">
        <f t="shared" si="400"/>
        <v>0</v>
      </c>
      <c r="CD573" s="1974">
        <f t="shared" si="400"/>
        <v>0</v>
      </c>
      <c r="CE573" s="1974">
        <f t="shared" si="400"/>
        <v>0</v>
      </c>
      <c r="CF573" s="2033">
        <v>0</v>
      </c>
      <c r="CG573" s="2026">
        <v>0</v>
      </c>
      <c r="CH573" s="2009">
        <f t="shared" si="401"/>
        <v>0</v>
      </c>
      <c r="CI573" s="2031">
        <f t="shared" si="401"/>
        <v>0</v>
      </c>
      <c r="CJ573" s="1974">
        <f t="shared" si="401"/>
        <v>0</v>
      </c>
      <c r="CK573" s="2031">
        <f t="shared" si="401"/>
        <v>0</v>
      </c>
      <c r="CL573" s="2026">
        <v>1</v>
      </c>
      <c r="CM573" s="2026">
        <v>1</v>
      </c>
      <c r="CN573" s="2026">
        <v>1</v>
      </c>
      <c r="CO573" s="2026">
        <v>1</v>
      </c>
      <c r="CP573" s="2035"/>
      <c r="CQ573" s="2036"/>
      <c r="CR573" s="2036"/>
      <c r="CS573" s="2036"/>
      <c r="CT573" s="2036"/>
      <c r="CU573" s="2036"/>
      <c r="CV573" s="1973">
        <v>1</v>
      </c>
      <c r="CW573" s="1973">
        <v>0</v>
      </c>
      <c r="CX573" s="2037">
        <v>1000</v>
      </c>
      <c r="CY573" s="2037">
        <v>1000</v>
      </c>
      <c r="CZ573" s="2037">
        <v>1000</v>
      </c>
      <c r="DA573" s="2037">
        <v>1000</v>
      </c>
      <c r="DJ573" s="1976">
        <v>0</v>
      </c>
      <c r="DK573" s="1973">
        <v>0</v>
      </c>
      <c r="DL573" s="1973">
        <v>0</v>
      </c>
      <c r="DM573" s="1973">
        <v>0</v>
      </c>
      <c r="DO573" s="2027">
        <v>12</v>
      </c>
      <c r="DP573" s="2144">
        <v>0</v>
      </c>
      <c r="DQ573" s="2145">
        <v>0</v>
      </c>
      <c r="DR573" s="2027">
        <v>1380</v>
      </c>
      <c r="DS573" s="2124">
        <v>0</v>
      </c>
      <c r="DT573" s="2029">
        <v>0</v>
      </c>
      <c r="DU573" s="2029">
        <v>0</v>
      </c>
      <c r="DV573" s="2029">
        <v>0</v>
      </c>
      <c r="DW573" s="2124">
        <v>1000</v>
      </c>
      <c r="DX573" s="2029">
        <v>1000</v>
      </c>
      <c r="DY573" s="2029">
        <v>1000</v>
      </c>
      <c r="DZ573" s="2029">
        <v>1000</v>
      </c>
      <c r="EA573" s="2124">
        <v>2400</v>
      </c>
      <c r="EB573" s="2029">
        <v>2400</v>
      </c>
      <c r="EC573" s="2029">
        <v>2400</v>
      </c>
      <c r="ED573" s="2029">
        <v>2400</v>
      </c>
      <c r="EE573" s="2039">
        <f t="shared" si="356"/>
        <v>0</v>
      </c>
      <c r="EF573" s="2039">
        <f t="shared" si="356"/>
        <v>0</v>
      </c>
      <c r="EG573" s="2039">
        <f t="shared" si="356"/>
        <v>0</v>
      </c>
      <c r="EH573" s="2039">
        <f t="shared" si="355"/>
        <v>0</v>
      </c>
      <c r="EI573" s="2040">
        <f t="shared" si="385"/>
        <v>0</v>
      </c>
      <c r="EJ573" s="2040">
        <f t="shared" si="385"/>
        <v>0</v>
      </c>
      <c r="EK573" s="2040">
        <f t="shared" si="385"/>
        <v>0</v>
      </c>
      <c r="EL573" s="2040">
        <f t="shared" si="383"/>
        <v>0</v>
      </c>
      <c r="EM573" s="2040">
        <f t="shared" si="383"/>
        <v>0</v>
      </c>
      <c r="EN573" s="2040">
        <f t="shared" si="383"/>
        <v>0</v>
      </c>
      <c r="EO573" s="2040">
        <f t="shared" si="383"/>
        <v>0</v>
      </c>
      <c r="EP573" s="2040">
        <f t="shared" si="383"/>
        <v>0</v>
      </c>
      <c r="EQ573" s="2040">
        <f t="shared" si="383"/>
        <v>0</v>
      </c>
      <c r="ER573" s="2040">
        <f t="shared" si="393"/>
        <v>0</v>
      </c>
      <c r="ES573" s="2040">
        <f t="shared" si="393"/>
        <v>0</v>
      </c>
      <c r="ET573" s="2040">
        <f t="shared" si="393"/>
        <v>0</v>
      </c>
      <c r="EU573" s="2039">
        <f t="shared" si="357"/>
        <v>0</v>
      </c>
      <c r="EV573" s="2039">
        <f t="shared" si="358"/>
        <v>0</v>
      </c>
    </row>
    <row r="574" spans="1:152" x14ac:dyDescent="0.25">
      <c r="A574" s="2150" t="str">
        <f t="shared" si="396"/>
        <v>Rack Double Oven</v>
      </c>
      <c r="B574" s="1974" t="str">
        <f t="shared" si="396"/>
        <v/>
      </c>
      <c r="C574" s="2027">
        <f t="shared" si="402"/>
        <v>12</v>
      </c>
      <c r="D574" s="2144">
        <f t="shared" si="402"/>
        <v>0</v>
      </c>
      <c r="E574" s="2145">
        <f t="shared" si="402"/>
        <v>0</v>
      </c>
      <c r="F574" s="2027">
        <f t="shared" si="402"/>
        <v>2064</v>
      </c>
      <c r="G574" s="1974" t="s">
        <v>2988</v>
      </c>
      <c r="H574" s="1974" t="s">
        <v>2988</v>
      </c>
      <c r="I574" s="2026">
        <v>0.9</v>
      </c>
      <c r="J574" s="2026">
        <v>0.9</v>
      </c>
      <c r="K574" s="2026">
        <v>0.9</v>
      </c>
      <c r="L574" s="2026">
        <v>0.9</v>
      </c>
      <c r="M574" s="2027">
        <f t="shared" si="374"/>
        <v>0</v>
      </c>
      <c r="N574" s="2027">
        <f t="shared" si="374"/>
        <v>0</v>
      </c>
      <c r="O574" s="2027">
        <f t="shared" si="374"/>
        <v>0</v>
      </c>
      <c r="P574" s="2027">
        <f t="shared" si="362"/>
        <v>0</v>
      </c>
      <c r="Q574" s="2026">
        <v>0.9</v>
      </c>
      <c r="R574" s="2026">
        <v>0.9</v>
      </c>
      <c r="S574" s="2026">
        <v>0.9</v>
      </c>
      <c r="T574" s="2026">
        <v>0.9</v>
      </c>
      <c r="U574" s="2028">
        <f t="shared" si="375"/>
        <v>0</v>
      </c>
      <c r="V574" s="2028">
        <f t="shared" si="375"/>
        <v>0</v>
      </c>
      <c r="W574" s="2028">
        <f t="shared" si="375"/>
        <v>0</v>
      </c>
      <c r="X574" s="2028">
        <f t="shared" si="363"/>
        <v>0</v>
      </c>
      <c r="Y574" s="2026">
        <v>0.9</v>
      </c>
      <c r="Z574" s="2026">
        <v>0.9</v>
      </c>
      <c r="AA574" s="2026">
        <v>0.9</v>
      </c>
      <c r="AB574" s="2026">
        <v>0.9</v>
      </c>
      <c r="AC574" s="2027">
        <f t="shared" si="376"/>
        <v>1857.6000000000001</v>
      </c>
      <c r="AD574" s="2027">
        <f t="shared" si="376"/>
        <v>1857.6000000000001</v>
      </c>
      <c r="AE574" s="2027">
        <f t="shared" si="376"/>
        <v>1857.6000000000001</v>
      </c>
      <c r="AF574" s="2027">
        <f t="shared" si="364"/>
        <v>1857.6000000000001</v>
      </c>
      <c r="AG574" s="2027">
        <v>1</v>
      </c>
      <c r="AH574" s="2028"/>
      <c r="AI574" s="2028"/>
      <c r="AJ574" s="2028"/>
      <c r="AK574" s="2027">
        <f t="shared" si="365"/>
        <v>0</v>
      </c>
      <c r="AL574" s="2027">
        <f t="shared" si="397"/>
        <v>0</v>
      </c>
      <c r="AM574" s="2027">
        <f t="shared" si="397"/>
        <v>0</v>
      </c>
      <c r="AN574" s="2027">
        <f t="shared" si="397"/>
        <v>0</v>
      </c>
      <c r="AO574" s="2027">
        <f t="shared" si="377"/>
        <v>1857.6000000000001</v>
      </c>
      <c r="AP574" s="2027">
        <f t="shared" si="367"/>
        <v>0</v>
      </c>
      <c r="AQ574" s="2027">
        <f t="shared" si="367"/>
        <v>0</v>
      </c>
      <c r="AR574" s="2027">
        <f t="shared" si="367"/>
        <v>0</v>
      </c>
      <c r="AS574" s="2124">
        <f t="shared" si="398"/>
        <v>0</v>
      </c>
      <c r="AT574" s="2029">
        <f t="shared" si="368"/>
        <v>0</v>
      </c>
      <c r="AU574" s="2029">
        <f t="shared" si="368"/>
        <v>0</v>
      </c>
      <c r="AV574" s="2029">
        <f t="shared" si="368"/>
        <v>0</v>
      </c>
      <c r="AW574" s="2124">
        <f t="shared" si="404"/>
        <v>2500</v>
      </c>
      <c r="AX574" s="2029">
        <f t="shared" si="388"/>
        <v>2500</v>
      </c>
      <c r="AY574" s="2029">
        <f t="shared" si="388"/>
        <v>2500</v>
      </c>
      <c r="AZ574" s="2029">
        <f t="shared" si="388"/>
        <v>2500</v>
      </c>
      <c r="BA574" s="2124">
        <f t="shared" si="403"/>
        <v>8646</v>
      </c>
      <c r="BB574" s="2029">
        <f t="shared" si="403"/>
        <v>8646</v>
      </c>
      <c r="BC574" s="2029">
        <f t="shared" si="403"/>
        <v>8646</v>
      </c>
      <c r="BD574" s="2029">
        <f t="shared" si="403"/>
        <v>8646</v>
      </c>
      <c r="BE574" s="2030">
        <f t="shared" si="378"/>
        <v>0</v>
      </c>
      <c r="BF574" s="2030">
        <f t="shared" si="378"/>
        <v>0</v>
      </c>
      <c r="BG574" s="2030">
        <f t="shared" si="378"/>
        <v>0</v>
      </c>
      <c r="BH574" s="2030">
        <f t="shared" si="370"/>
        <v>0</v>
      </c>
      <c r="BI574" s="2030">
        <f t="shared" si="379"/>
        <v>2500</v>
      </c>
      <c r="BJ574" s="2030">
        <f t="shared" si="379"/>
        <v>0</v>
      </c>
      <c r="BK574" s="2030">
        <f t="shared" si="379"/>
        <v>0</v>
      </c>
      <c r="BL574" s="2030">
        <f t="shared" si="371"/>
        <v>0</v>
      </c>
      <c r="BM574" s="2125"/>
      <c r="BN574" s="2125"/>
      <c r="BO574" s="2125"/>
      <c r="BP574" s="2125"/>
      <c r="BQ574" s="2125"/>
      <c r="BR574" s="2125"/>
      <c r="BS574" s="2125"/>
      <c r="BT574" s="2125"/>
      <c r="BU574" s="2029"/>
      <c r="BV574" s="2029"/>
      <c r="BW574" s="2029"/>
      <c r="BX574" s="2029"/>
      <c r="BY574" s="2029"/>
      <c r="BZ574" s="2032"/>
      <c r="CA574" s="1974">
        <f t="shared" si="400"/>
        <v>0</v>
      </c>
      <c r="CB574" s="1974">
        <f t="shared" si="400"/>
        <v>0</v>
      </c>
      <c r="CC574" s="1974">
        <f t="shared" si="400"/>
        <v>0</v>
      </c>
      <c r="CD574" s="1974">
        <f t="shared" si="400"/>
        <v>0</v>
      </c>
      <c r="CE574" s="1974">
        <f t="shared" si="400"/>
        <v>0</v>
      </c>
      <c r="CF574" s="2033">
        <v>0</v>
      </c>
      <c r="CG574" s="2026">
        <v>6.9303420637463551E-4</v>
      </c>
      <c r="CH574" s="2009">
        <f t="shared" si="401"/>
        <v>0</v>
      </c>
      <c r="CI574" s="2031">
        <f t="shared" si="401"/>
        <v>0</v>
      </c>
      <c r="CJ574" s="1974">
        <f t="shared" si="401"/>
        <v>0</v>
      </c>
      <c r="CK574" s="2031">
        <f t="shared" si="401"/>
        <v>0</v>
      </c>
      <c r="CL574" s="2026">
        <v>1</v>
      </c>
      <c r="CM574" s="2026">
        <v>1</v>
      </c>
      <c r="CN574" s="2026">
        <v>1</v>
      </c>
      <c r="CO574" s="2026">
        <v>1</v>
      </c>
      <c r="CP574" s="2035"/>
      <c r="CQ574" s="2036"/>
      <c r="CR574" s="2036"/>
      <c r="CS574" s="2036"/>
      <c r="CT574" s="2036"/>
      <c r="CU574" s="2036"/>
      <c r="CV574" s="1973">
        <v>1</v>
      </c>
      <c r="CW574" s="1973">
        <v>0</v>
      </c>
      <c r="CX574" s="2037">
        <v>2500</v>
      </c>
      <c r="CY574" s="2037">
        <v>2500</v>
      </c>
      <c r="CZ574" s="2037">
        <v>2500</v>
      </c>
      <c r="DA574" s="2037">
        <v>2500</v>
      </c>
      <c r="DJ574" s="1976">
        <v>0</v>
      </c>
      <c r="DK574" s="1973">
        <v>0</v>
      </c>
      <c r="DL574" s="1973">
        <v>0</v>
      </c>
      <c r="DM574" s="1973">
        <v>0</v>
      </c>
      <c r="DO574" s="2027">
        <v>12</v>
      </c>
      <c r="DP574" s="2144">
        <v>0</v>
      </c>
      <c r="DQ574" s="2145">
        <v>0</v>
      </c>
      <c r="DR574" s="2027">
        <v>2064</v>
      </c>
      <c r="DS574" s="2124">
        <v>0</v>
      </c>
      <c r="DT574" s="2029">
        <v>0</v>
      </c>
      <c r="DU574" s="2029">
        <v>0</v>
      </c>
      <c r="DV574" s="2029">
        <v>0</v>
      </c>
      <c r="DW574" s="2124">
        <v>2500</v>
      </c>
      <c r="DX574" s="2029">
        <v>2500</v>
      </c>
      <c r="DY574" s="2029">
        <v>2500</v>
      </c>
      <c r="DZ574" s="2029">
        <v>2500</v>
      </c>
      <c r="EA574" s="2124">
        <v>8646</v>
      </c>
      <c r="EB574" s="2029">
        <v>8646</v>
      </c>
      <c r="EC574" s="2029">
        <v>8646</v>
      </c>
      <c r="ED574" s="2029">
        <v>8646</v>
      </c>
      <c r="EE574" s="2039">
        <f t="shared" si="356"/>
        <v>0</v>
      </c>
      <c r="EF574" s="2039">
        <f t="shared" si="356"/>
        <v>0</v>
      </c>
      <c r="EG574" s="2039">
        <f t="shared" si="356"/>
        <v>0</v>
      </c>
      <c r="EH574" s="2039">
        <f t="shared" si="355"/>
        <v>0</v>
      </c>
      <c r="EI574" s="2040">
        <f t="shared" si="385"/>
        <v>0</v>
      </c>
      <c r="EJ574" s="2040">
        <f t="shared" si="385"/>
        <v>0</v>
      </c>
      <c r="EK574" s="2040">
        <f t="shared" si="385"/>
        <v>0</v>
      </c>
      <c r="EL574" s="2040">
        <f t="shared" si="383"/>
        <v>0</v>
      </c>
      <c r="EM574" s="2040">
        <f t="shared" si="383"/>
        <v>0</v>
      </c>
      <c r="EN574" s="2040">
        <f t="shared" si="383"/>
        <v>0</v>
      </c>
      <c r="EO574" s="2040">
        <f t="shared" si="383"/>
        <v>0</v>
      </c>
      <c r="EP574" s="2040">
        <f t="shared" si="383"/>
        <v>0</v>
      </c>
      <c r="EQ574" s="2040">
        <f t="shared" si="383"/>
        <v>0</v>
      </c>
      <c r="ER574" s="2040">
        <f t="shared" si="393"/>
        <v>0</v>
      </c>
      <c r="ES574" s="2040">
        <f t="shared" si="393"/>
        <v>0</v>
      </c>
      <c r="ET574" s="2040">
        <f t="shared" si="393"/>
        <v>0</v>
      </c>
      <c r="EU574" s="2039">
        <f t="shared" si="357"/>
        <v>0</v>
      </c>
      <c r="EV574" s="2039">
        <f t="shared" si="358"/>
        <v>0</v>
      </c>
    </row>
    <row r="575" spans="1:152" x14ac:dyDescent="0.25">
      <c r="A575" s="2143" t="str">
        <f t="shared" si="396"/>
        <v>Ozone Laundry</v>
      </c>
      <c r="B575" s="1974" t="str">
        <f t="shared" si="396"/>
        <v/>
      </c>
      <c r="C575" s="2027">
        <v>10</v>
      </c>
      <c r="D575" s="2171">
        <v>696.26666666666665</v>
      </c>
      <c r="E575" s="2145">
        <v>0</v>
      </c>
      <c r="F575" s="2027">
        <v>4026.8310515999997</v>
      </c>
      <c r="G575" s="1974" t="s">
        <v>2988</v>
      </c>
      <c r="H575" s="1974" t="s">
        <v>2988</v>
      </c>
      <c r="I575" s="2026">
        <v>0.9</v>
      </c>
      <c r="J575" s="2026">
        <v>0.9</v>
      </c>
      <c r="K575" s="2026">
        <v>0.9</v>
      </c>
      <c r="L575" s="2026">
        <v>0.9</v>
      </c>
      <c r="M575" s="2027">
        <f t="shared" si="374"/>
        <v>626.64</v>
      </c>
      <c r="N575" s="2027">
        <f t="shared" si="374"/>
        <v>626.64</v>
      </c>
      <c r="O575" s="2027">
        <f t="shared" si="374"/>
        <v>626.64</v>
      </c>
      <c r="P575" s="2027">
        <f t="shared" si="362"/>
        <v>626.64</v>
      </c>
      <c r="Q575" s="2026">
        <v>0.9</v>
      </c>
      <c r="R575" s="2026">
        <v>0.9</v>
      </c>
      <c r="S575" s="2026">
        <v>0.9</v>
      </c>
      <c r="T575" s="2026">
        <v>0.9</v>
      </c>
      <c r="U575" s="2028">
        <f t="shared" si="375"/>
        <v>0</v>
      </c>
      <c r="V575" s="2028">
        <f t="shared" si="375"/>
        <v>0</v>
      </c>
      <c r="W575" s="2028">
        <f t="shared" si="375"/>
        <v>0</v>
      </c>
      <c r="X575" s="2028">
        <f t="shared" si="363"/>
        <v>0</v>
      </c>
      <c r="Y575" s="2026">
        <v>0.9</v>
      </c>
      <c r="Z575" s="2026">
        <v>0.9</v>
      </c>
      <c r="AA575" s="2026">
        <v>0.9</v>
      </c>
      <c r="AB575" s="2026">
        <v>0.9</v>
      </c>
      <c r="AC575" s="2027">
        <f t="shared" si="376"/>
        <v>3624.1479464399999</v>
      </c>
      <c r="AD575" s="2027">
        <f t="shared" si="376"/>
        <v>3624.1479464399999</v>
      </c>
      <c r="AE575" s="2027">
        <f t="shared" si="376"/>
        <v>3624.1479464399999</v>
      </c>
      <c r="AF575" s="2027">
        <f t="shared" si="364"/>
        <v>3624.1479464399999</v>
      </c>
      <c r="AG575" s="2084">
        <v>2</v>
      </c>
      <c r="AH575" s="2028">
        <v>2</v>
      </c>
      <c r="AI575" s="2028">
        <v>2</v>
      </c>
      <c r="AJ575" s="2028">
        <v>2</v>
      </c>
      <c r="AK575" s="2027">
        <f t="shared" si="365"/>
        <v>1253.28</v>
      </c>
      <c r="AL575" s="2027">
        <f t="shared" si="397"/>
        <v>1253.28</v>
      </c>
      <c r="AM575" s="2027">
        <f t="shared" si="397"/>
        <v>1253.28</v>
      </c>
      <c r="AN575" s="2027">
        <f t="shared" si="397"/>
        <v>1253.28</v>
      </c>
      <c r="AO575" s="2027">
        <f t="shared" si="377"/>
        <v>7248.2958928799999</v>
      </c>
      <c r="AP575" s="2027">
        <f t="shared" si="367"/>
        <v>7248.2958928799999</v>
      </c>
      <c r="AQ575" s="2027">
        <f t="shared" si="367"/>
        <v>7248.2958928799999</v>
      </c>
      <c r="AR575" s="2027">
        <f t="shared" si="367"/>
        <v>7248.2958928799999</v>
      </c>
      <c r="AS575" s="2029">
        <f>DF575</f>
        <v>210</v>
      </c>
      <c r="AT575" s="2029">
        <f t="shared" si="368"/>
        <v>210</v>
      </c>
      <c r="AU575" s="2029">
        <f t="shared" si="368"/>
        <v>210</v>
      </c>
      <c r="AV575" s="2029">
        <f t="shared" si="368"/>
        <v>210</v>
      </c>
      <c r="AW575" s="2029">
        <f>CX575-AS575</f>
        <v>20790</v>
      </c>
      <c r="AX575" s="2029">
        <f t="shared" si="388"/>
        <v>20790</v>
      </c>
      <c r="AY575" s="2029">
        <f t="shared" si="388"/>
        <v>20790</v>
      </c>
      <c r="AZ575" s="2029">
        <f t="shared" si="388"/>
        <v>20790</v>
      </c>
      <c r="BA575" s="2029">
        <f t="shared" si="403"/>
        <v>19960</v>
      </c>
      <c r="BB575" s="2029">
        <f t="shared" si="403"/>
        <v>19960</v>
      </c>
      <c r="BC575" s="2029">
        <f t="shared" si="403"/>
        <v>19960</v>
      </c>
      <c r="BD575" s="2029">
        <f t="shared" si="403"/>
        <v>19960</v>
      </c>
      <c r="BE575" s="2030">
        <f t="shared" si="378"/>
        <v>420</v>
      </c>
      <c r="BF575" s="2030">
        <f t="shared" si="378"/>
        <v>420</v>
      </c>
      <c r="BG575" s="2030">
        <f t="shared" si="378"/>
        <v>420</v>
      </c>
      <c r="BH575" s="2030">
        <f t="shared" si="370"/>
        <v>420</v>
      </c>
      <c r="BI575" s="2030">
        <f t="shared" si="379"/>
        <v>41580</v>
      </c>
      <c r="BJ575" s="2030">
        <f t="shared" si="379"/>
        <v>41580</v>
      </c>
      <c r="BK575" s="2030">
        <f t="shared" si="379"/>
        <v>41580</v>
      </c>
      <c r="BL575" s="2030">
        <f t="shared" si="371"/>
        <v>41580</v>
      </c>
      <c r="BM575" s="2125"/>
      <c r="BN575" s="2125"/>
      <c r="BO575" s="2125"/>
      <c r="BP575" s="2125"/>
      <c r="BQ575" s="2125"/>
      <c r="BR575" s="2125"/>
      <c r="BS575" s="2125"/>
      <c r="BT575" s="2125"/>
      <c r="BU575" s="2029"/>
      <c r="BV575" s="2029"/>
      <c r="BW575" s="2029"/>
      <c r="BX575" s="2029"/>
      <c r="BY575" s="2029"/>
      <c r="BZ575" s="2032"/>
      <c r="CA575" s="1974">
        <f t="shared" si="400"/>
        <v>464946</v>
      </c>
      <c r="CB575" s="1974">
        <f t="shared" si="400"/>
        <v>0</v>
      </c>
      <c r="CC575" s="1974">
        <f t="shared" si="400"/>
        <v>0</v>
      </c>
      <c r="CD575" s="1974">
        <f t="shared" si="400"/>
        <v>0</v>
      </c>
      <c r="CE575" s="1974">
        <f t="shared" si="400"/>
        <v>0</v>
      </c>
      <c r="CF575" s="2033">
        <v>5.6133562523929009E-6</v>
      </c>
      <c r="CG575" s="2026">
        <v>5.2481224058311786E-3</v>
      </c>
      <c r="CH575" s="2009">
        <f t="shared" si="401"/>
        <v>1</v>
      </c>
      <c r="CI575" s="2031">
        <f t="shared" si="401"/>
        <v>0</v>
      </c>
      <c r="CJ575" s="1974">
        <f t="shared" si="401"/>
        <v>200.96020000000001</v>
      </c>
      <c r="CK575" s="2031">
        <f t="shared" si="401"/>
        <v>200.96020000000001</v>
      </c>
      <c r="CL575" s="2026">
        <v>1</v>
      </c>
      <c r="CM575" s="2026">
        <v>1</v>
      </c>
      <c r="CN575" s="2026">
        <v>1</v>
      </c>
      <c r="CO575" s="2026">
        <v>1</v>
      </c>
      <c r="CP575" s="2035"/>
      <c r="CQ575" s="2036"/>
      <c r="CR575" s="2036"/>
      <c r="CS575" s="2036"/>
      <c r="CT575" s="2036"/>
      <c r="CU575" s="2036"/>
      <c r="CV575" s="1973">
        <v>1</v>
      </c>
      <c r="CW575" s="1973">
        <v>0</v>
      </c>
      <c r="CX575" s="2037">
        <v>21000</v>
      </c>
      <c r="CY575" s="2037">
        <f>$CX575</f>
        <v>21000</v>
      </c>
      <c r="CZ575" s="2037">
        <f t="shared" ref="CZ575:DA575" si="405">$CX575</f>
        <v>21000</v>
      </c>
      <c r="DA575" s="2037">
        <f t="shared" si="405"/>
        <v>21000</v>
      </c>
      <c r="DB575" s="2051">
        <v>0.01</v>
      </c>
      <c r="DC575" s="2051">
        <v>0.01</v>
      </c>
      <c r="DD575" s="2051">
        <v>0.01</v>
      </c>
      <c r="DE575" s="2051">
        <v>0.01</v>
      </c>
      <c r="DF575" s="2037">
        <f>CX575*DB575</f>
        <v>210</v>
      </c>
      <c r="DG575" s="2037">
        <f>CY575*DC575</f>
        <v>210</v>
      </c>
      <c r="DH575" s="2037">
        <f>CZ575*DD575</f>
        <v>210</v>
      </c>
      <c r="DI575" s="2037">
        <f>DA575*DE575</f>
        <v>210</v>
      </c>
      <c r="DJ575" s="1976">
        <v>0</v>
      </c>
      <c r="DK575" s="1973">
        <v>0</v>
      </c>
      <c r="DL575" s="1973">
        <v>0</v>
      </c>
      <c r="DM575" s="1973">
        <v>0</v>
      </c>
      <c r="DO575" s="2146">
        <v>10</v>
      </c>
      <c r="DP575" s="2147">
        <v>696.26666666666665</v>
      </c>
      <c r="DQ575" s="2148">
        <v>0</v>
      </c>
      <c r="DR575" s="2146">
        <v>4026.8310515999997</v>
      </c>
      <c r="DS575" s="2046">
        <v>210</v>
      </c>
      <c r="DT575" s="2046">
        <v>210</v>
      </c>
      <c r="DU575" s="2046">
        <v>210</v>
      </c>
      <c r="DV575" s="2046">
        <v>210</v>
      </c>
      <c r="DW575" s="2046">
        <v>20790</v>
      </c>
      <c r="DX575" s="2046">
        <v>20790</v>
      </c>
      <c r="DY575" s="2046">
        <v>20790</v>
      </c>
      <c r="DZ575" s="2046">
        <v>20790</v>
      </c>
      <c r="EA575" s="2046">
        <v>19960</v>
      </c>
      <c r="EB575" s="2046">
        <v>19960</v>
      </c>
      <c r="EC575" s="2046">
        <v>19960</v>
      </c>
      <c r="ED575" s="2046">
        <v>19960</v>
      </c>
      <c r="EE575" s="2039">
        <f t="shared" si="356"/>
        <v>0</v>
      </c>
      <c r="EF575" s="2039">
        <f t="shared" si="356"/>
        <v>0</v>
      </c>
      <c r="EG575" s="2039">
        <f t="shared" si="356"/>
        <v>0</v>
      </c>
      <c r="EH575" s="2039">
        <f t="shared" si="355"/>
        <v>0</v>
      </c>
      <c r="EI575" s="2040">
        <f t="shared" si="385"/>
        <v>0</v>
      </c>
      <c r="EJ575" s="2040">
        <f t="shared" si="385"/>
        <v>0</v>
      </c>
      <c r="EK575" s="2040">
        <f t="shared" si="385"/>
        <v>0</v>
      </c>
      <c r="EL575" s="2040">
        <f t="shared" si="383"/>
        <v>0</v>
      </c>
      <c r="EM575" s="2040">
        <f t="shared" si="383"/>
        <v>0</v>
      </c>
      <c r="EN575" s="2040">
        <f t="shared" si="383"/>
        <v>0</v>
      </c>
      <c r="EO575" s="2040">
        <f t="shared" si="383"/>
        <v>0</v>
      </c>
      <c r="EP575" s="2040">
        <f t="shared" si="383"/>
        <v>0</v>
      </c>
      <c r="EQ575" s="2040">
        <f t="shared" si="383"/>
        <v>0</v>
      </c>
      <c r="ER575" s="2040">
        <f t="shared" si="393"/>
        <v>0</v>
      </c>
      <c r="ES575" s="2040">
        <f t="shared" si="393"/>
        <v>0</v>
      </c>
      <c r="ET575" s="2040">
        <f t="shared" si="393"/>
        <v>0</v>
      </c>
      <c r="EU575" s="2039">
        <f t="shared" si="357"/>
        <v>0</v>
      </c>
      <c r="EV575" s="2039">
        <f t="shared" si="358"/>
        <v>0</v>
      </c>
    </row>
    <row r="576" spans="1:152" x14ac:dyDescent="0.25">
      <c r="A576" s="2149" t="str">
        <f t="shared" si="396"/>
        <v>Refrigeration economizers</v>
      </c>
      <c r="B576" s="1974" t="str">
        <f t="shared" si="396"/>
        <v/>
      </c>
      <c r="C576" s="2027">
        <f t="shared" si="402"/>
        <v>15</v>
      </c>
      <c r="D576" s="2144">
        <f t="shared" si="402"/>
        <v>6269.87</v>
      </c>
      <c r="E576" s="2145">
        <f t="shared" si="402"/>
        <v>0</v>
      </c>
      <c r="F576" s="2027">
        <f t="shared" si="402"/>
        <v>0</v>
      </c>
      <c r="G576" s="1974" t="s">
        <v>2988</v>
      </c>
      <c r="H576" s="1974" t="s">
        <v>2988</v>
      </c>
      <c r="I576" s="2026">
        <v>0.9</v>
      </c>
      <c r="J576" s="2026">
        <v>0.9</v>
      </c>
      <c r="K576" s="2026">
        <v>0.9</v>
      </c>
      <c r="L576" s="2026">
        <v>0.9</v>
      </c>
      <c r="M576" s="2027">
        <f t="shared" si="374"/>
        <v>5642.8829999999998</v>
      </c>
      <c r="N576" s="2027">
        <f t="shared" si="374"/>
        <v>5642.8829999999998</v>
      </c>
      <c r="O576" s="2027">
        <f t="shared" si="374"/>
        <v>5642.8829999999998</v>
      </c>
      <c r="P576" s="2027">
        <f t="shared" si="362"/>
        <v>5642.8829999999998</v>
      </c>
      <c r="Q576" s="2026">
        <v>0.9</v>
      </c>
      <c r="R576" s="2026">
        <v>0.9</v>
      </c>
      <c r="S576" s="2026">
        <v>0.9</v>
      </c>
      <c r="T576" s="2026">
        <v>0.9</v>
      </c>
      <c r="U576" s="2028">
        <f t="shared" si="375"/>
        <v>0</v>
      </c>
      <c r="V576" s="2028">
        <f t="shared" si="375"/>
        <v>0</v>
      </c>
      <c r="W576" s="2028">
        <f t="shared" si="375"/>
        <v>0</v>
      </c>
      <c r="X576" s="2028">
        <f t="shared" si="363"/>
        <v>0</v>
      </c>
      <c r="Y576" s="2026">
        <v>0.9</v>
      </c>
      <c r="Z576" s="2026">
        <v>0.9</v>
      </c>
      <c r="AA576" s="2026">
        <v>0.9</v>
      </c>
      <c r="AB576" s="2026">
        <v>0.9</v>
      </c>
      <c r="AC576" s="2027">
        <f t="shared" si="376"/>
        <v>0</v>
      </c>
      <c r="AD576" s="2027">
        <f t="shared" si="376"/>
        <v>0</v>
      </c>
      <c r="AE576" s="2027">
        <f t="shared" si="376"/>
        <v>0</v>
      </c>
      <c r="AF576" s="2027">
        <f t="shared" si="364"/>
        <v>0</v>
      </c>
      <c r="AG576" s="2027">
        <v>0</v>
      </c>
      <c r="AH576" s="2028"/>
      <c r="AI576" s="2028"/>
      <c r="AJ576" s="2028"/>
      <c r="AK576" s="2027">
        <f t="shared" si="365"/>
        <v>0</v>
      </c>
      <c r="AL576" s="2027">
        <f t="shared" si="397"/>
        <v>0</v>
      </c>
      <c r="AM576" s="2027">
        <f t="shared" si="397"/>
        <v>0</v>
      </c>
      <c r="AN576" s="2027">
        <f t="shared" si="397"/>
        <v>0</v>
      </c>
      <c r="AO576" s="2027">
        <f t="shared" si="377"/>
        <v>0</v>
      </c>
      <c r="AP576" s="2027">
        <f t="shared" si="367"/>
        <v>0</v>
      </c>
      <c r="AQ576" s="2027">
        <f t="shared" si="367"/>
        <v>0</v>
      </c>
      <c r="AR576" s="2027">
        <f t="shared" si="367"/>
        <v>0</v>
      </c>
      <c r="AS576" s="2124">
        <f t="shared" si="398"/>
        <v>600</v>
      </c>
      <c r="AT576" s="2029">
        <f t="shared" si="368"/>
        <v>600</v>
      </c>
      <c r="AU576" s="2029">
        <f t="shared" si="368"/>
        <v>600</v>
      </c>
      <c r="AV576" s="2029">
        <f t="shared" si="368"/>
        <v>600</v>
      </c>
      <c r="AW576" s="2124">
        <f t="shared" ref="AW576:AW582" si="406">AW115*1.5</f>
        <v>0</v>
      </c>
      <c r="AX576" s="2029">
        <f t="shared" si="388"/>
        <v>0</v>
      </c>
      <c r="AY576" s="2029">
        <f t="shared" si="388"/>
        <v>0</v>
      </c>
      <c r="AZ576" s="2029">
        <f t="shared" si="388"/>
        <v>0</v>
      </c>
      <c r="BA576" s="2124">
        <f t="shared" si="403"/>
        <v>2558</v>
      </c>
      <c r="BB576" s="2029">
        <f t="shared" si="403"/>
        <v>2558</v>
      </c>
      <c r="BC576" s="2029">
        <f t="shared" si="403"/>
        <v>2558</v>
      </c>
      <c r="BD576" s="2029">
        <f t="shared" si="403"/>
        <v>2558</v>
      </c>
      <c r="BE576" s="2030">
        <f t="shared" si="378"/>
        <v>0</v>
      </c>
      <c r="BF576" s="2030">
        <f t="shared" si="378"/>
        <v>0</v>
      </c>
      <c r="BG576" s="2030">
        <f t="shared" si="378"/>
        <v>0</v>
      </c>
      <c r="BH576" s="2030">
        <f t="shared" si="370"/>
        <v>0</v>
      </c>
      <c r="BI576" s="2030">
        <f t="shared" si="379"/>
        <v>0</v>
      </c>
      <c r="BJ576" s="2030">
        <f t="shared" si="379"/>
        <v>0</v>
      </c>
      <c r="BK576" s="2030">
        <f t="shared" si="379"/>
        <v>0</v>
      </c>
      <c r="BL576" s="2030">
        <f t="shared" si="371"/>
        <v>0</v>
      </c>
      <c r="BM576" s="2125"/>
      <c r="BN576" s="2125"/>
      <c r="BO576" s="2125"/>
      <c r="BP576" s="2125"/>
      <c r="BQ576" s="2125"/>
      <c r="BR576" s="2125"/>
      <c r="BS576" s="2125"/>
      <c r="BT576" s="2125"/>
      <c r="BU576" s="2029"/>
      <c r="BV576" s="2029"/>
      <c r="BW576" s="2029"/>
      <c r="BX576" s="2029"/>
      <c r="BY576" s="2029"/>
      <c r="BZ576" s="2032"/>
      <c r="CA576" s="1974">
        <f t="shared" si="400"/>
        <v>0</v>
      </c>
      <c r="CB576" s="1974">
        <f t="shared" si="400"/>
        <v>0</v>
      </c>
      <c r="CC576" s="1974">
        <f t="shared" si="400"/>
        <v>0</v>
      </c>
      <c r="CD576" s="1974">
        <f t="shared" si="400"/>
        <v>0</v>
      </c>
      <c r="CE576" s="1974">
        <f t="shared" si="400"/>
        <v>0</v>
      </c>
      <c r="CF576" s="2033">
        <v>0</v>
      </c>
      <c r="CG576" s="2026">
        <v>0</v>
      </c>
      <c r="CH576" s="2009">
        <f t="shared" si="401"/>
        <v>0</v>
      </c>
      <c r="CI576" s="2031">
        <f t="shared" si="401"/>
        <v>0</v>
      </c>
      <c r="CJ576" s="1974">
        <f t="shared" si="401"/>
        <v>0</v>
      </c>
      <c r="CK576" s="2031">
        <f t="shared" si="401"/>
        <v>0</v>
      </c>
      <c r="CL576" s="2026">
        <v>1</v>
      </c>
      <c r="CM576" s="2026">
        <v>1</v>
      </c>
      <c r="CN576" s="2026">
        <v>1</v>
      </c>
      <c r="CO576" s="2026">
        <v>1</v>
      </c>
      <c r="CP576" s="2035"/>
      <c r="CQ576" s="2036"/>
      <c r="CR576" s="2036"/>
      <c r="CS576" s="2036"/>
      <c r="CT576" s="2036"/>
      <c r="CU576" s="2036"/>
      <c r="CV576" s="1973">
        <v>1</v>
      </c>
      <c r="CW576" s="1973">
        <v>0</v>
      </c>
      <c r="CX576" s="2037">
        <v>600</v>
      </c>
      <c r="CY576" s="2037">
        <v>600</v>
      </c>
      <c r="CZ576" s="2037">
        <v>600</v>
      </c>
      <c r="DA576" s="2037">
        <v>600</v>
      </c>
      <c r="DB576" s="2051"/>
      <c r="DC576" s="2051"/>
      <c r="DD576" s="2051"/>
      <c r="DE576" s="2051"/>
      <c r="DF576" s="2037">
        <f>DB576*CX576</f>
        <v>0</v>
      </c>
      <c r="DG576" s="2037">
        <f>DC576*CY576</f>
        <v>0</v>
      </c>
      <c r="DH576" s="2037">
        <f>DD576*CZ576</f>
        <v>0</v>
      </c>
      <c r="DI576" s="2037">
        <f>DE576*DA576</f>
        <v>0</v>
      </c>
      <c r="DJ576" s="1976">
        <v>600</v>
      </c>
      <c r="DK576" s="1973">
        <v>600</v>
      </c>
      <c r="DL576" s="1973">
        <v>600</v>
      </c>
      <c r="DM576" s="1973">
        <v>600</v>
      </c>
      <c r="DO576" s="2027">
        <v>15</v>
      </c>
      <c r="DP576" s="2144">
        <v>6269.87</v>
      </c>
      <c r="DQ576" s="2145">
        <v>0</v>
      </c>
      <c r="DR576" s="2027">
        <v>0</v>
      </c>
      <c r="DS576" s="2124">
        <v>600</v>
      </c>
      <c r="DT576" s="2029">
        <v>600</v>
      </c>
      <c r="DU576" s="2029">
        <v>600</v>
      </c>
      <c r="DV576" s="2029">
        <v>600</v>
      </c>
      <c r="DW576" s="2124">
        <v>0</v>
      </c>
      <c r="DX576" s="2029">
        <v>0</v>
      </c>
      <c r="DY576" s="2029">
        <v>0</v>
      </c>
      <c r="DZ576" s="2029">
        <v>0</v>
      </c>
      <c r="EA576" s="2124">
        <v>2558</v>
      </c>
      <c r="EB576" s="2029">
        <v>2558</v>
      </c>
      <c r="EC576" s="2029">
        <v>2558</v>
      </c>
      <c r="ED576" s="2029">
        <v>2558</v>
      </c>
      <c r="EE576" s="2039">
        <f t="shared" si="356"/>
        <v>0</v>
      </c>
      <c r="EF576" s="2039">
        <f t="shared" si="356"/>
        <v>0</v>
      </c>
      <c r="EG576" s="2039">
        <f t="shared" si="356"/>
        <v>0</v>
      </c>
      <c r="EH576" s="2039">
        <f t="shared" si="355"/>
        <v>0</v>
      </c>
      <c r="EI576" s="2040">
        <f t="shared" si="385"/>
        <v>0</v>
      </c>
      <c r="EJ576" s="2040">
        <f t="shared" si="385"/>
        <v>0</v>
      </c>
      <c r="EK576" s="2040">
        <f t="shared" si="385"/>
        <v>0</v>
      </c>
      <c r="EL576" s="2040">
        <f t="shared" si="383"/>
        <v>0</v>
      </c>
      <c r="EM576" s="2040">
        <f t="shared" si="383"/>
        <v>0</v>
      </c>
      <c r="EN576" s="2040">
        <f t="shared" si="383"/>
        <v>0</v>
      </c>
      <c r="EO576" s="2040">
        <f t="shared" si="383"/>
        <v>0</v>
      </c>
      <c r="EP576" s="2040">
        <f t="shared" si="383"/>
        <v>0</v>
      </c>
      <c r="EQ576" s="2040">
        <f t="shared" si="383"/>
        <v>0</v>
      </c>
      <c r="ER576" s="2040">
        <f t="shared" si="393"/>
        <v>0</v>
      </c>
      <c r="ES576" s="2040">
        <f t="shared" si="393"/>
        <v>0</v>
      </c>
      <c r="ET576" s="2040">
        <f t="shared" si="393"/>
        <v>0</v>
      </c>
      <c r="EU576" s="2039">
        <f t="shared" si="357"/>
        <v>0</v>
      </c>
      <c r="EV576" s="2039">
        <f t="shared" si="358"/>
        <v>0</v>
      </c>
    </row>
    <row r="577" spans="1:152" x14ac:dyDescent="0.25">
      <c r="A577" s="2149" t="str">
        <f t="shared" si="396"/>
        <v>No-loss condensate drains - compressed air</v>
      </c>
      <c r="B577" s="1974" t="str">
        <f t="shared" si="396"/>
        <v/>
      </c>
      <c r="C577" s="2027">
        <f t="shared" si="402"/>
        <v>10</v>
      </c>
      <c r="D577" s="2144">
        <f t="shared" si="402"/>
        <v>1969.66</v>
      </c>
      <c r="E577" s="2145">
        <f t="shared" si="402"/>
        <v>0.30499999999999999</v>
      </c>
      <c r="F577" s="2027">
        <f t="shared" si="402"/>
        <v>0</v>
      </c>
      <c r="G577" s="1974" t="s">
        <v>2988</v>
      </c>
      <c r="H577" s="1974" t="s">
        <v>2988</v>
      </c>
      <c r="I577" s="2026">
        <v>0.9</v>
      </c>
      <c r="J577" s="2026">
        <v>0.9</v>
      </c>
      <c r="K577" s="2026">
        <v>0.9</v>
      </c>
      <c r="L577" s="2026">
        <v>0.9</v>
      </c>
      <c r="M577" s="2027">
        <f t="shared" si="374"/>
        <v>1772.6940000000002</v>
      </c>
      <c r="N577" s="2027">
        <f t="shared" si="374"/>
        <v>1772.6940000000002</v>
      </c>
      <c r="O577" s="2027">
        <f t="shared" si="374"/>
        <v>1772.6940000000002</v>
      </c>
      <c r="P577" s="2027">
        <f t="shared" si="362"/>
        <v>1772.6940000000002</v>
      </c>
      <c r="Q577" s="2026">
        <v>0.9</v>
      </c>
      <c r="R577" s="2026">
        <v>0.9</v>
      </c>
      <c r="S577" s="2026">
        <v>0.9</v>
      </c>
      <c r="T577" s="2026">
        <v>0.9</v>
      </c>
      <c r="U577" s="2028">
        <f t="shared" si="375"/>
        <v>0.27450000000000002</v>
      </c>
      <c r="V577" s="2028">
        <f t="shared" si="375"/>
        <v>0.27450000000000002</v>
      </c>
      <c r="W577" s="2028">
        <f t="shared" si="375"/>
        <v>0.27450000000000002</v>
      </c>
      <c r="X577" s="2028">
        <f t="shared" si="363"/>
        <v>0.27450000000000002</v>
      </c>
      <c r="Y577" s="2026">
        <v>0.9</v>
      </c>
      <c r="Z577" s="2026">
        <v>0.9</v>
      </c>
      <c r="AA577" s="2026">
        <v>0.9</v>
      </c>
      <c r="AB577" s="2026">
        <v>0.9</v>
      </c>
      <c r="AC577" s="2027">
        <f t="shared" si="376"/>
        <v>0</v>
      </c>
      <c r="AD577" s="2027">
        <f t="shared" si="376"/>
        <v>0</v>
      </c>
      <c r="AE577" s="2027">
        <f t="shared" si="376"/>
        <v>0</v>
      </c>
      <c r="AF577" s="2027">
        <f t="shared" si="364"/>
        <v>0</v>
      </c>
      <c r="AG577" s="2027">
        <v>0</v>
      </c>
      <c r="AH577" s="2028"/>
      <c r="AI577" s="2028"/>
      <c r="AJ577" s="2028"/>
      <c r="AK577" s="2027">
        <f t="shared" si="365"/>
        <v>0</v>
      </c>
      <c r="AL577" s="2027">
        <f t="shared" si="397"/>
        <v>0</v>
      </c>
      <c r="AM577" s="2027">
        <f t="shared" si="397"/>
        <v>0</v>
      </c>
      <c r="AN577" s="2027">
        <f t="shared" si="397"/>
        <v>0</v>
      </c>
      <c r="AO577" s="2027">
        <f t="shared" si="377"/>
        <v>0</v>
      </c>
      <c r="AP577" s="2027">
        <f t="shared" si="367"/>
        <v>0</v>
      </c>
      <c r="AQ577" s="2027">
        <f t="shared" si="367"/>
        <v>0</v>
      </c>
      <c r="AR577" s="2027">
        <f t="shared" si="367"/>
        <v>0</v>
      </c>
      <c r="AS577" s="2124">
        <f t="shared" si="398"/>
        <v>180</v>
      </c>
      <c r="AT577" s="2029">
        <f t="shared" si="368"/>
        <v>180</v>
      </c>
      <c r="AU577" s="2029">
        <f t="shared" si="368"/>
        <v>180</v>
      </c>
      <c r="AV577" s="2029">
        <f t="shared" si="368"/>
        <v>180</v>
      </c>
      <c r="AW577" s="2124">
        <f t="shared" si="406"/>
        <v>0</v>
      </c>
      <c r="AX577" s="2029">
        <f t="shared" si="388"/>
        <v>0</v>
      </c>
      <c r="AY577" s="2029">
        <f t="shared" si="388"/>
        <v>0</v>
      </c>
      <c r="AZ577" s="2029">
        <f t="shared" si="388"/>
        <v>0</v>
      </c>
      <c r="BA577" s="2124">
        <f t="shared" si="403"/>
        <v>700</v>
      </c>
      <c r="BB577" s="2029">
        <f t="shared" si="403"/>
        <v>700</v>
      </c>
      <c r="BC577" s="2029">
        <f t="shared" si="403"/>
        <v>700</v>
      </c>
      <c r="BD577" s="2029">
        <f t="shared" si="403"/>
        <v>700</v>
      </c>
      <c r="BE577" s="2030">
        <f t="shared" si="378"/>
        <v>0</v>
      </c>
      <c r="BF577" s="2030">
        <f t="shared" si="378"/>
        <v>0</v>
      </c>
      <c r="BG577" s="2030">
        <f t="shared" si="378"/>
        <v>0</v>
      </c>
      <c r="BH577" s="2030">
        <f t="shared" si="370"/>
        <v>0</v>
      </c>
      <c r="BI577" s="2030">
        <f t="shared" si="379"/>
        <v>0</v>
      </c>
      <c r="BJ577" s="2030">
        <f t="shared" si="379"/>
        <v>0</v>
      </c>
      <c r="BK577" s="2030">
        <f t="shared" si="379"/>
        <v>0</v>
      </c>
      <c r="BL577" s="2030">
        <f t="shared" si="371"/>
        <v>0</v>
      </c>
      <c r="BM577" s="2125"/>
      <c r="BN577" s="2125"/>
      <c r="BO577" s="2125"/>
      <c r="BP577" s="2125"/>
      <c r="BQ577" s="2125"/>
      <c r="BR577" s="2125"/>
      <c r="BS577" s="2125"/>
      <c r="BT577" s="2125"/>
      <c r="BU577" s="2029"/>
      <c r="BV577" s="2029"/>
      <c r="BW577" s="2029"/>
      <c r="BX577" s="2029"/>
      <c r="BY577" s="2029"/>
      <c r="BZ577" s="2032"/>
      <c r="CA577" s="1974">
        <f t="shared" si="400"/>
        <v>0</v>
      </c>
      <c r="CB577" s="1974">
        <f t="shared" si="400"/>
        <v>0</v>
      </c>
      <c r="CC577" s="1974">
        <f t="shared" si="400"/>
        <v>0</v>
      </c>
      <c r="CD577" s="1974">
        <f t="shared" si="400"/>
        <v>0</v>
      </c>
      <c r="CE577" s="1974">
        <f t="shared" si="400"/>
        <v>0</v>
      </c>
      <c r="CF577" s="2033">
        <v>0</v>
      </c>
      <c r="CG577" s="2026">
        <v>0</v>
      </c>
      <c r="CH577" s="2009">
        <f t="shared" si="401"/>
        <v>0</v>
      </c>
      <c r="CI577" s="2031">
        <f t="shared" si="401"/>
        <v>0</v>
      </c>
      <c r="CJ577" s="1974">
        <f t="shared" si="401"/>
        <v>0</v>
      </c>
      <c r="CK577" s="2031">
        <f t="shared" si="401"/>
        <v>0</v>
      </c>
      <c r="CL577" s="2026">
        <v>1</v>
      </c>
      <c r="CM577" s="2026">
        <v>1</v>
      </c>
      <c r="CN577" s="2026">
        <v>1</v>
      </c>
      <c r="CO577" s="2026">
        <v>1</v>
      </c>
      <c r="CP577" s="2035"/>
      <c r="CQ577" s="2036"/>
      <c r="CR577" s="2036"/>
      <c r="CS577" s="2036"/>
      <c r="CT577" s="2036"/>
      <c r="CU577" s="2036"/>
      <c r="CV577" s="1973">
        <v>1</v>
      </c>
      <c r="CW577" s="1973">
        <v>0</v>
      </c>
      <c r="CX577" s="2037">
        <v>180</v>
      </c>
      <c r="CY577" s="2037">
        <v>180</v>
      </c>
      <c r="CZ577" s="2037">
        <v>180</v>
      </c>
      <c r="DA577" s="2037">
        <v>180</v>
      </c>
      <c r="DJ577" s="1976">
        <v>180</v>
      </c>
      <c r="DK577" s="1973">
        <v>180</v>
      </c>
      <c r="DL577" s="1973">
        <v>180</v>
      </c>
      <c r="DM577" s="1973">
        <v>180</v>
      </c>
      <c r="DO577" s="2027">
        <v>10</v>
      </c>
      <c r="DP577" s="2144">
        <v>1969.66</v>
      </c>
      <c r="DQ577" s="2145">
        <v>0.30499999999999999</v>
      </c>
      <c r="DR577" s="2027">
        <v>0</v>
      </c>
      <c r="DS577" s="2124">
        <v>180</v>
      </c>
      <c r="DT577" s="2029">
        <v>180</v>
      </c>
      <c r="DU577" s="2029">
        <v>180</v>
      </c>
      <c r="DV577" s="2029">
        <v>180</v>
      </c>
      <c r="DW577" s="2124">
        <v>0</v>
      </c>
      <c r="DX577" s="2029">
        <v>0</v>
      </c>
      <c r="DY577" s="2029">
        <v>0</v>
      </c>
      <c r="DZ577" s="2029">
        <v>0</v>
      </c>
      <c r="EA577" s="2124">
        <v>700</v>
      </c>
      <c r="EB577" s="2029">
        <v>700</v>
      </c>
      <c r="EC577" s="2029">
        <v>700</v>
      </c>
      <c r="ED577" s="2029">
        <v>700</v>
      </c>
      <c r="EE577" s="2039">
        <f t="shared" si="356"/>
        <v>0</v>
      </c>
      <c r="EF577" s="2039">
        <f t="shared" si="356"/>
        <v>0</v>
      </c>
      <c r="EG577" s="2039">
        <f t="shared" si="356"/>
        <v>0</v>
      </c>
      <c r="EH577" s="2039">
        <f t="shared" si="355"/>
        <v>0</v>
      </c>
      <c r="EI577" s="2040">
        <f t="shared" si="385"/>
        <v>0</v>
      </c>
      <c r="EJ577" s="2040">
        <f t="shared" si="385"/>
        <v>0</v>
      </c>
      <c r="EK577" s="2040">
        <f t="shared" si="385"/>
        <v>0</v>
      </c>
      <c r="EL577" s="2040">
        <f t="shared" si="383"/>
        <v>0</v>
      </c>
      <c r="EM577" s="2040">
        <f t="shared" si="383"/>
        <v>0</v>
      </c>
      <c r="EN577" s="2040">
        <f t="shared" si="383"/>
        <v>0</v>
      </c>
      <c r="EO577" s="2040">
        <f t="shared" si="383"/>
        <v>0</v>
      </c>
      <c r="EP577" s="2040">
        <f t="shared" si="383"/>
        <v>0</v>
      </c>
      <c r="EQ577" s="2040">
        <f t="shared" si="383"/>
        <v>0</v>
      </c>
      <c r="ER577" s="2040">
        <f t="shared" si="393"/>
        <v>0</v>
      </c>
      <c r="ES577" s="2040">
        <f t="shared" si="393"/>
        <v>0</v>
      </c>
      <c r="ET577" s="2040">
        <f t="shared" si="393"/>
        <v>0</v>
      </c>
      <c r="EU577" s="2039">
        <f t="shared" si="357"/>
        <v>0</v>
      </c>
      <c r="EV577" s="2039">
        <f t="shared" si="358"/>
        <v>0</v>
      </c>
    </row>
    <row r="578" spans="1:152" x14ac:dyDescent="0.25">
      <c r="A578" s="2143" t="str">
        <f t="shared" si="396"/>
        <v>Kitchen Demand Control Ventilation</v>
      </c>
      <c r="B578" s="1974" t="str">
        <f t="shared" si="396"/>
        <v>BPCK21</v>
      </c>
      <c r="C578" s="2027">
        <v>15</v>
      </c>
      <c r="D578" s="2171">
        <v>4966</v>
      </c>
      <c r="E578" s="2145">
        <v>0.67999999999999994</v>
      </c>
      <c r="F578" s="2027">
        <v>5505.34375</v>
      </c>
      <c r="G578" s="1974" t="s">
        <v>2988</v>
      </c>
      <c r="H578" s="1974" t="s">
        <v>2988</v>
      </c>
      <c r="I578" s="2026">
        <v>0.9</v>
      </c>
      <c r="J578" s="2026">
        <v>0.9</v>
      </c>
      <c r="K578" s="2026">
        <v>0.9</v>
      </c>
      <c r="L578" s="2026">
        <v>0.9</v>
      </c>
      <c r="M578" s="2027">
        <f t="shared" si="374"/>
        <v>4469.4000000000005</v>
      </c>
      <c r="N578" s="2027">
        <f t="shared" si="374"/>
        <v>4469.4000000000005</v>
      </c>
      <c r="O578" s="2027">
        <f t="shared" si="374"/>
        <v>4469.4000000000005</v>
      </c>
      <c r="P578" s="2027">
        <f t="shared" si="362"/>
        <v>4469.4000000000005</v>
      </c>
      <c r="Q578" s="2026">
        <v>0.9</v>
      </c>
      <c r="R578" s="2026">
        <v>0.9</v>
      </c>
      <c r="S578" s="2026">
        <v>0.9</v>
      </c>
      <c r="T578" s="2026">
        <v>0.9</v>
      </c>
      <c r="U578" s="2028">
        <f t="shared" si="375"/>
        <v>0.61199999999999999</v>
      </c>
      <c r="V578" s="2028">
        <f t="shared" si="375"/>
        <v>0.61199999999999999</v>
      </c>
      <c r="W578" s="2028">
        <f t="shared" si="375"/>
        <v>0.61199999999999999</v>
      </c>
      <c r="X578" s="2028">
        <f t="shared" si="363"/>
        <v>0.61199999999999999</v>
      </c>
      <c r="Y578" s="2026">
        <v>0.9</v>
      </c>
      <c r="Z578" s="2026">
        <v>0.9</v>
      </c>
      <c r="AA578" s="2026">
        <v>0.9</v>
      </c>
      <c r="AB578" s="2026">
        <v>0.9</v>
      </c>
      <c r="AC578" s="2027">
        <f t="shared" si="376"/>
        <v>4954.8093749999998</v>
      </c>
      <c r="AD578" s="2027">
        <f t="shared" si="376"/>
        <v>4954.8093749999998</v>
      </c>
      <c r="AE578" s="2027">
        <f t="shared" si="376"/>
        <v>4954.8093749999998</v>
      </c>
      <c r="AF578" s="2027">
        <f t="shared" si="364"/>
        <v>4954.8093749999998</v>
      </c>
      <c r="AG578" s="2027">
        <v>7</v>
      </c>
      <c r="AH578" s="2027">
        <v>6</v>
      </c>
      <c r="AI578" s="2027">
        <v>5</v>
      </c>
      <c r="AJ578" s="2027">
        <v>5</v>
      </c>
      <c r="AK578" s="2027">
        <f t="shared" si="365"/>
        <v>31285.800000000003</v>
      </c>
      <c r="AL578" s="2027">
        <f t="shared" si="397"/>
        <v>26816.400000000001</v>
      </c>
      <c r="AM578" s="2027">
        <f t="shared" si="397"/>
        <v>22347.000000000004</v>
      </c>
      <c r="AN578" s="2027">
        <f t="shared" si="397"/>
        <v>22347.000000000004</v>
      </c>
      <c r="AO578" s="2027">
        <f t="shared" si="377"/>
        <v>34683.665625000001</v>
      </c>
      <c r="AP578" s="2027">
        <f t="shared" si="367"/>
        <v>29728.856249999997</v>
      </c>
      <c r="AQ578" s="2027">
        <f t="shared" si="367"/>
        <v>24774.046875</v>
      </c>
      <c r="AR578" s="2027">
        <f t="shared" si="367"/>
        <v>24774.046875</v>
      </c>
      <c r="AS578" s="2029">
        <f>DF578</f>
        <v>330.00009</v>
      </c>
      <c r="AT578" s="2029">
        <f t="shared" si="368"/>
        <v>330.00009</v>
      </c>
      <c r="AU578" s="2029">
        <f t="shared" si="368"/>
        <v>330.00009</v>
      </c>
      <c r="AV578" s="2029">
        <f t="shared" si="368"/>
        <v>330.00009</v>
      </c>
      <c r="AW578" s="2029">
        <f>CX578-AS578</f>
        <v>5170.0014100000008</v>
      </c>
      <c r="AX578" s="2029">
        <f t="shared" si="388"/>
        <v>5170.0014100000008</v>
      </c>
      <c r="AY578" s="2029">
        <f t="shared" si="388"/>
        <v>5170.0014100000008</v>
      </c>
      <c r="AZ578" s="2029">
        <f t="shared" si="388"/>
        <v>5170.0014100000008</v>
      </c>
      <c r="BA578" s="2029">
        <f t="shared" si="403"/>
        <v>1988</v>
      </c>
      <c r="BB578" s="2029">
        <f t="shared" si="403"/>
        <v>1988</v>
      </c>
      <c r="BC578" s="2029">
        <f t="shared" si="403"/>
        <v>1988</v>
      </c>
      <c r="BD578" s="2029">
        <f t="shared" si="403"/>
        <v>1988</v>
      </c>
      <c r="BE578" s="2030">
        <f t="shared" si="378"/>
        <v>2310.00063</v>
      </c>
      <c r="BF578" s="2030">
        <f t="shared" si="378"/>
        <v>1980.00054</v>
      </c>
      <c r="BG578" s="2030">
        <f t="shared" si="378"/>
        <v>1650.00045</v>
      </c>
      <c r="BH578" s="2030">
        <f t="shared" si="370"/>
        <v>1650.00045</v>
      </c>
      <c r="BI578" s="2030">
        <f t="shared" si="379"/>
        <v>36190.009870000009</v>
      </c>
      <c r="BJ578" s="2030">
        <f t="shared" si="379"/>
        <v>31020.008460000005</v>
      </c>
      <c r="BK578" s="2030">
        <f t="shared" si="379"/>
        <v>25850.007050000004</v>
      </c>
      <c r="BL578" s="2030">
        <f t="shared" si="371"/>
        <v>25850.007050000004</v>
      </c>
      <c r="BM578" s="2125"/>
      <c r="BN578" s="2125"/>
      <c r="BO578" s="2125"/>
      <c r="BP578" s="2125"/>
      <c r="BQ578" s="2125"/>
      <c r="BR578" s="2125"/>
      <c r="BS578" s="2125"/>
      <c r="BT578" s="2125"/>
      <c r="BU578" s="2029"/>
      <c r="BV578" s="2029"/>
      <c r="BW578" s="2029"/>
      <c r="BX578" s="2029"/>
      <c r="BY578" s="2029"/>
      <c r="BZ578" s="2032"/>
      <c r="CA578" s="1974">
        <f t="shared" si="400"/>
        <v>0</v>
      </c>
      <c r="CB578" s="1974">
        <f t="shared" si="400"/>
        <v>0</v>
      </c>
      <c r="CC578" s="1974">
        <f t="shared" si="400"/>
        <v>0</v>
      </c>
      <c r="CD578" s="1974">
        <f t="shared" si="400"/>
        <v>0</v>
      </c>
      <c r="CE578" s="1974">
        <f t="shared" si="400"/>
        <v>0</v>
      </c>
      <c r="CF578" s="2033">
        <v>1.1814384251852673E-4</v>
      </c>
      <c r="CG578" s="2026">
        <v>1.8386548587121038E-2</v>
      </c>
      <c r="CH578" s="2009">
        <f t="shared" si="401"/>
        <v>0</v>
      </c>
      <c r="CI578" s="2031">
        <f t="shared" si="401"/>
        <v>0</v>
      </c>
      <c r="CJ578" s="1974">
        <f t="shared" si="401"/>
        <v>0</v>
      </c>
      <c r="CK578" s="2031">
        <f t="shared" si="401"/>
        <v>0</v>
      </c>
      <c r="CL578" s="2026">
        <v>1</v>
      </c>
      <c r="CM578" s="2026">
        <v>1</v>
      </c>
      <c r="CN578" s="2026">
        <v>1</v>
      </c>
      <c r="CO578" s="2026">
        <v>1</v>
      </c>
      <c r="CP578" s="2035"/>
      <c r="CQ578" s="2036"/>
      <c r="CR578" s="2036"/>
      <c r="CS578" s="2036"/>
      <c r="CT578" s="2036"/>
      <c r="CU578" s="2036"/>
      <c r="CV578" s="1973">
        <v>1</v>
      </c>
      <c r="CW578" s="1973">
        <v>0</v>
      </c>
      <c r="CX578" s="2037">
        <v>5500.0015000000003</v>
      </c>
      <c r="CY578" s="2037">
        <f>$CX578</f>
        <v>5500.0015000000003</v>
      </c>
      <c r="CZ578" s="2037">
        <f t="shared" ref="CZ578:DA578" si="407">$CX578</f>
        <v>5500.0015000000003</v>
      </c>
      <c r="DA578" s="2037">
        <f t="shared" si="407"/>
        <v>5500.0015000000003</v>
      </c>
      <c r="DB578" s="2051">
        <v>0.06</v>
      </c>
      <c r="DC578" s="2051">
        <v>0.06</v>
      </c>
      <c r="DD578" s="2051">
        <v>0.06</v>
      </c>
      <c r="DE578" s="2051">
        <v>0.06</v>
      </c>
      <c r="DF578" s="2037">
        <f>DB578*CX578</f>
        <v>330.00009</v>
      </c>
      <c r="DG578" s="2037">
        <f>DC578*CY578</f>
        <v>330.00009</v>
      </c>
      <c r="DH578" s="2037">
        <f>DD578*CZ578</f>
        <v>330.00009</v>
      </c>
      <c r="DI578" s="2037">
        <f>DE578*DA578</f>
        <v>330.00009</v>
      </c>
      <c r="DJ578" s="1976">
        <v>446.25</v>
      </c>
      <c r="DK578" s="1973">
        <v>446.25</v>
      </c>
      <c r="DL578" s="1973">
        <v>446.25</v>
      </c>
      <c r="DM578" s="1973">
        <v>446.25</v>
      </c>
      <c r="DO578" s="2027">
        <v>15</v>
      </c>
      <c r="DP578" s="2144">
        <v>4966</v>
      </c>
      <c r="DQ578" s="2145">
        <v>0.67999999999999994</v>
      </c>
      <c r="DR578" s="2027">
        <v>5505.34375</v>
      </c>
      <c r="DS578" s="2029">
        <v>330</v>
      </c>
      <c r="DT578" s="2029">
        <v>330</v>
      </c>
      <c r="DU578" s="2029">
        <v>330</v>
      </c>
      <c r="DV578" s="2029">
        <v>330</v>
      </c>
      <c r="DW578" s="2164">
        <v>5170</v>
      </c>
      <c r="DX578" s="2164">
        <v>5170</v>
      </c>
      <c r="DY578" s="2164">
        <v>5170</v>
      </c>
      <c r="DZ578" s="2164">
        <v>5170</v>
      </c>
      <c r="EA578" s="2164">
        <v>1988</v>
      </c>
      <c r="EB578" s="2164">
        <v>1988</v>
      </c>
      <c r="EC578" s="2164">
        <v>1988</v>
      </c>
      <c r="ED578" s="2164">
        <v>1988</v>
      </c>
      <c r="EE578" s="2039">
        <f t="shared" si="356"/>
        <v>0</v>
      </c>
      <c r="EF578" s="2039">
        <f t="shared" si="356"/>
        <v>0</v>
      </c>
      <c r="EG578" s="2039">
        <f t="shared" si="356"/>
        <v>0</v>
      </c>
      <c r="EH578" s="2039">
        <f t="shared" si="355"/>
        <v>0</v>
      </c>
      <c r="EI578" s="2040">
        <f t="shared" si="385"/>
        <v>9.0000000000145519E-5</v>
      </c>
      <c r="EJ578" s="2040">
        <f t="shared" si="385"/>
        <v>9.0000000000145519E-5</v>
      </c>
      <c r="EK578" s="2040">
        <f t="shared" si="385"/>
        <v>9.0000000000145519E-5</v>
      </c>
      <c r="EL578" s="2040">
        <f t="shared" si="383"/>
        <v>9.0000000000145519E-5</v>
      </c>
      <c r="EM578" s="2040">
        <f t="shared" si="383"/>
        <v>1.4100000007601921E-3</v>
      </c>
      <c r="EN578" s="2040">
        <f t="shared" si="383"/>
        <v>1.4100000007601921E-3</v>
      </c>
      <c r="EO578" s="2040">
        <f t="shared" si="383"/>
        <v>1.4100000007601921E-3</v>
      </c>
      <c r="EP578" s="2040">
        <f t="shared" si="383"/>
        <v>1.4100000007601921E-3</v>
      </c>
      <c r="EQ578" s="2040">
        <f t="shared" si="383"/>
        <v>0</v>
      </c>
      <c r="ER578" s="2040">
        <f t="shared" si="393"/>
        <v>0</v>
      </c>
      <c r="ES578" s="2040">
        <f t="shared" si="393"/>
        <v>0</v>
      </c>
      <c r="ET578" s="2040">
        <f t="shared" si="393"/>
        <v>0</v>
      </c>
      <c r="EU578" s="2039">
        <f t="shared" si="357"/>
        <v>6.0000000030413503E-3</v>
      </c>
      <c r="EV578" s="2039">
        <f t="shared" si="358"/>
        <v>0</v>
      </c>
    </row>
    <row r="579" spans="1:152" x14ac:dyDescent="0.25">
      <c r="A579" s="2149" t="str">
        <f t="shared" ref="A579:B594" si="408">IF(A118="","",A118)</f>
        <v>3-foot T8 replacing 3-foot T12</v>
      </c>
      <c r="B579" s="1974" t="str">
        <f t="shared" si="408"/>
        <v/>
      </c>
      <c r="C579" s="2027">
        <f t="shared" si="402"/>
        <v>15</v>
      </c>
      <c r="D579" s="2144">
        <f t="shared" si="402"/>
        <v>167.00986740139751</v>
      </c>
      <c r="E579" s="2145">
        <f t="shared" si="402"/>
        <v>3.6658771183834489E-2</v>
      </c>
      <c r="F579" s="2027">
        <f t="shared" si="402"/>
        <v>-2.5484437443116437</v>
      </c>
      <c r="G579" s="1974" t="s">
        <v>2988</v>
      </c>
      <c r="H579" s="1974" t="s">
        <v>2988</v>
      </c>
      <c r="I579" s="2026">
        <v>0.9</v>
      </c>
      <c r="J579" s="2026">
        <v>0.9</v>
      </c>
      <c r="K579" s="2026">
        <v>0.9</v>
      </c>
      <c r="L579" s="2026">
        <v>0.9</v>
      </c>
      <c r="M579" s="2027">
        <f t="shared" si="374"/>
        <v>150.30888066125777</v>
      </c>
      <c r="N579" s="2027">
        <f t="shared" si="374"/>
        <v>150.30888066125777</v>
      </c>
      <c r="O579" s="2027">
        <f t="shared" si="374"/>
        <v>150.30888066125777</v>
      </c>
      <c r="P579" s="2027">
        <f t="shared" si="362"/>
        <v>150.30888066125777</v>
      </c>
      <c r="Q579" s="2026">
        <v>0.9</v>
      </c>
      <c r="R579" s="2026">
        <v>0.9</v>
      </c>
      <c r="S579" s="2026">
        <v>0.9</v>
      </c>
      <c r="T579" s="2026">
        <v>0.9</v>
      </c>
      <c r="U579" s="2028">
        <f t="shared" si="375"/>
        <v>3.2992894065451042E-2</v>
      </c>
      <c r="V579" s="2028">
        <f t="shared" si="375"/>
        <v>3.2992894065451042E-2</v>
      </c>
      <c r="W579" s="2028">
        <f t="shared" si="375"/>
        <v>3.2992894065451042E-2</v>
      </c>
      <c r="X579" s="2028">
        <f t="shared" si="363"/>
        <v>3.2992894065451042E-2</v>
      </c>
      <c r="Y579" s="2026">
        <v>0.9</v>
      </c>
      <c r="Z579" s="2026">
        <v>0.9</v>
      </c>
      <c r="AA579" s="2026">
        <v>0.9</v>
      </c>
      <c r="AB579" s="2026">
        <v>0.9</v>
      </c>
      <c r="AC579" s="2027">
        <f t="shared" si="376"/>
        <v>-2.2935993698804795</v>
      </c>
      <c r="AD579" s="2027">
        <f t="shared" si="376"/>
        <v>-2.2935993698804795</v>
      </c>
      <c r="AE579" s="2027">
        <f t="shared" si="376"/>
        <v>-2.2935993698804795</v>
      </c>
      <c r="AF579" s="2027">
        <f t="shared" si="364"/>
        <v>-2.2935993698804795</v>
      </c>
      <c r="AG579" s="2027">
        <v>0</v>
      </c>
      <c r="AH579" s="2028"/>
      <c r="AI579" s="2028"/>
      <c r="AJ579" s="2028"/>
      <c r="AK579" s="2027">
        <f t="shared" si="365"/>
        <v>0</v>
      </c>
      <c r="AL579" s="2027">
        <f t="shared" si="397"/>
        <v>0</v>
      </c>
      <c r="AM579" s="2027">
        <f t="shared" si="397"/>
        <v>0</v>
      </c>
      <c r="AN579" s="2027">
        <f t="shared" si="397"/>
        <v>0</v>
      </c>
      <c r="AO579" s="2027">
        <f t="shared" si="377"/>
        <v>0</v>
      </c>
      <c r="AP579" s="2027">
        <f t="shared" si="367"/>
        <v>0</v>
      </c>
      <c r="AQ579" s="2027">
        <f t="shared" si="367"/>
        <v>0</v>
      </c>
      <c r="AR579" s="2027">
        <f t="shared" si="367"/>
        <v>0</v>
      </c>
      <c r="AS579" s="2124">
        <f t="shared" si="398"/>
        <v>12.492187500000037</v>
      </c>
      <c r="AT579" s="2029">
        <f t="shared" si="368"/>
        <v>12.492187500000037</v>
      </c>
      <c r="AU579" s="2029">
        <f t="shared" si="368"/>
        <v>12.492187500000037</v>
      </c>
      <c r="AV579" s="2029">
        <f t="shared" si="368"/>
        <v>12.492187500000037</v>
      </c>
      <c r="AW579" s="2124">
        <f t="shared" si="406"/>
        <v>0</v>
      </c>
      <c r="AX579" s="2029">
        <f t="shared" si="388"/>
        <v>0</v>
      </c>
      <c r="AY579" s="2029">
        <f t="shared" si="388"/>
        <v>0</v>
      </c>
      <c r="AZ579" s="2029">
        <f t="shared" si="388"/>
        <v>0</v>
      </c>
      <c r="BA579" s="2124">
        <f t="shared" si="403"/>
        <v>57.5</v>
      </c>
      <c r="BB579" s="2029">
        <f t="shared" si="403"/>
        <v>57.5</v>
      </c>
      <c r="BC579" s="2029">
        <f t="shared" si="403"/>
        <v>57.5</v>
      </c>
      <c r="BD579" s="2029">
        <f t="shared" si="403"/>
        <v>57.5</v>
      </c>
      <c r="BE579" s="2030">
        <f t="shared" si="378"/>
        <v>0</v>
      </c>
      <c r="BF579" s="2030">
        <f t="shared" si="378"/>
        <v>0</v>
      </c>
      <c r="BG579" s="2030">
        <f t="shared" si="378"/>
        <v>0</v>
      </c>
      <c r="BH579" s="2030">
        <f t="shared" si="370"/>
        <v>0</v>
      </c>
      <c r="BI579" s="2030">
        <f t="shared" si="379"/>
        <v>0</v>
      </c>
      <c r="BJ579" s="2030">
        <f t="shared" si="379"/>
        <v>0</v>
      </c>
      <c r="BK579" s="2030">
        <f t="shared" si="379"/>
        <v>0</v>
      </c>
      <c r="BL579" s="2030">
        <f t="shared" si="371"/>
        <v>0</v>
      </c>
      <c r="BM579" s="2125"/>
      <c r="BN579" s="2125"/>
      <c r="BO579" s="2125"/>
      <c r="BP579" s="2125"/>
      <c r="BQ579" s="2125"/>
      <c r="BR579" s="2125"/>
      <c r="BS579" s="2125"/>
      <c r="BT579" s="2125"/>
      <c r="BU579" s="2029"/>
      <c r="BV579" s="2029"/>
      <c r="BW579" s="2029"/>
      <c r="BX579" s="2029"/>
      <c r="BY579" s="2029"/>
      <c r="BZ579" s="2032"/>
      <c r="CA579" s="1974">
        <f t="shared" ref="CA579:CE594" si="409">CA118</f>
        <v>0</v>
      </c>
      <c r="CB579" s="1974">
        <f t="shared" si="409"/>
        <v>0</v>
      </c>
      <c r="CC579" s="1974">
        <f t="shared" si="409"/>
        <v>0</v>
      </c>
      <c r="CD579" s="1974">
        <f t="shared" si="409"/>
        <v>0</v>
      </c>
      <c r="CE579" s="1974">
        <f t="shared" si="409"/>
        <v>1</v>
      </c>
      <c r="CF579" s="2033">
        <v>0</v>
      </c>
      <c r="CG579" s="2026">
        <v>0</v>
      </c>
      <c r="CH579" s="2009">
        <f t="shared" ref="CH579:CK594" si="410">CH118</f>
        <v>1</v>
      </c>
      <c r="CI579" s="2031">
        <f t="shared" si="410"/>
        <v>0.67827777777777754</v>
      </c>
      <c r="CJ579" s="1974">
        <f t="shared" si="410"/>
        <v>0</v>
      </c>
      <c r="CK579" s="2031">
        <f t="shared" si="410"/>
        <v>-0.67827777777777754</v>
      </c>
      <c r="CL579" s="2026">
        <v>1</v>
      </c>
      <c r="CM579" s="2026">
        <v>0.3</v>
      </c>
      <c r="CN579" s="2026">
        <v>0.3</v>
      </c>
      <c r="CO579" s="2026">
        <v>0.3</v>
      </c>
      <c r="CP579" s="2035"/>
      <c r="CQ579" s="2036"/>
      <c r="CR579" s="2036"/>
      <c r="CS579" s="2036"/>
      <c r="CT579" s="2036"/>
      <c r="CU579" s="2036"/>
      <c r="CV579" s="1973">
        <v>1</v>
      </c>
      <c r="CW579" s="1973">
        <v>0</v>
      </c>
      <c r="CX579" s="2037">
        <v>12.492187500000037</v>
      </c>
      <c r="CY579" s="2037">
        <v>12.492187500000037</v>
      </c>
      <c r="CZ579" s="2037">
        <v>12.492187500000037</v>
      </c>
      <c r="DA579" s="2037">
        <v>12.492187500000037</v>
      </c>
      <c r="DJ579" s="1976">
        <v>12.492187500000037</v>
      </c>
      <c r="DK579" s="1973">
        <v>12.492187500000037</v>
      </c>
      <c r="DL579" s="1973">
        <v>12.492187500000037</v>
      </c>
      <c r="DM579" s="1973">
        <v>12.492187500000037</v>
      </c>
      <c r="DO579" s="2027">
        <v>15</v>
      </c>
      <c r="DP579" s="2144">
        <v>167.00986740139751</v>
      </c>
      <c r="DQ579" s="2145">
        <v>3.6658771183834489E-2</v>
      </c>
      <c r="DR579" s="2027">
        <v>-2.5484437443116437</v>
      </c>
      <c r="DS579" s="2124">
        <v>12.492187500000037</v>
      </c>
      <c r="DT579" s="2029">
        <v>12.492187500000037</v>
      </c>
      <c r="DU579" s="2029">
        <v>12.492187500000037</v>
      </c>
      <c r="DV579" s="2029">
        <v>12.492187500000037</v>
      </c>
      <c r="DW579" s="2124">
        <v>0</v>
      </c>
      <c r="DX579" s="2029">
        <v>0</v>
      </c>
      <c r="DY579" s="2029">
        <v>0</v>
      </c>
      <c r="DZ579" s="2029">
        <v>0</v>
      </c>
      <c r="EA579" s="2124">
        <v>57.5</v>
      </c>
      <c r="EB579" s="2029">
        <v>57.5</v>
      </c>
      <c r="EC579" s="2029">
        <v>57.5</v>
      </c>
      <c r="ED579" s="2029">
        <v>57.5</v>
      </c>
      <c r="EE579" s="2039">
        <f t="shared" si="356"/>
        <v>0</v>
      </c>
      <c r="EF579" s="2039">
        <f t="shared" si="356"/>
        <v>0</v>
      </c>
      <c r="EG579" s="2039">
        <f t="shared" si="356"/>
        <v>0</v>
      </c>
      <c r="EH579" s="2039">
        <f t="shared" si="355"/>
        <v>0</v>
      </c>
      <c r="EI579" s="2040">
        <f t="shared" si="385"/>
        <v>0</v>
      </c>
      <c r="EJ579" s="2040">
        <f t="shared" si="385"/>
        <v>0</v>
      </c>
      <c r="EK579" s="2040">
        <f t="shared" si="385"/>
        <v>0</v>
      </c>
      <c r="EL579" s="2040">
        <f t="shared" si="383"/>
        <v>0</v>
      </c>
      <c r="EM579" s="2040">
        <f t="shared" si="383"/>
        <v>0</v>
      </c>
      <c r="EN579" s="2040">
        <f t="shared" si="383"/>
        <v>0</v>
      </c>
      <c r="EO579" s="2040">
        <f t="shared" si="383"/>
        <v>0</v>
      </c>
      <c r="EP579" s="2040">
        <f t="shared" si="383"/>
        <v>0</v>
      </c>
      <c r="EQ579" s="2040">
        <f t="shared" si="383"/>
        <v>0</v>
      </c>
      <c r="ER579" s="2040">
        <f t="shared" si="393"/>
        <v>0</v>
      </c>
      <c r="ES579" s="2040">
        <f t="shared" si="393"/>
        <v>0</v>
      </c>
      <c r="ET579" s="2040">
        <f t="shared" si="393"/>
        <v>0</v>
      </c>
      <c r="EU579" s="2039">
        <f t="shared" si="357"/>
        <v>0</v>
      </c>
      <c r="EV579" s="2039">
        <f t="shared" si="358"/>
        <v>0</v>
      </c>
    </row>
    <row r="580" spans="1:152" x14ac:dyDescent="0.25">
      <c r="A580" s="2143" t="str">
        <f t="shared" si="408"/>
        <v>Multi-level Lighting Controls</v>
      </c>
      <c r="B580" s="1974" t="str">
        <f t="shared" si="408"/>
        <v/>
      </c>
      <c r="C580" s="2027">
        <f t="shared" ref="C580:F595" si="411">C119</f>
        <v>8</v>
      </c>
      <c r="D580" s="2144">
        <f t="shared" si="411"/>
        <v>1104</v>
      </c>
      <c r="E580" s="2145">
        <f t="shared" si="411"/>
        <v>0.182</v>
      </c>
      <c r="F580" s="2027">
        <f t="shared" si="411"/>
        <v>-19.39</v>
      </c>
      <c r="G580" s="1974" t="s">
        <v>2988</v>
      </c>
      <c r="H580" s="1974" t="s">
        <v>2988</v>
      </c>
      <c r="I580" s="2026">
        <v>0.9</v>
      </c>
      <c r="J580" s="2026">
        <v>0.9</v>
      </c>
      <c r="K580" s="2026">
        <v>0.9</v>
      </c>
      <c r="L580" s="2026">
        <v>0.9</v>
      </c>
      <c r="M580" s="2027">
        <f t="shared" si="374"/>
        <v>993.6</v>
      </c>
      <c r="N580" s="2027">
        <f t="shared" si="374"/>
        <v>993.6</v>
      </c>
      <c r="O580" s="2027">
        <f t="shared" si="374"/>
        <v>993.6</v>
      </c>
      <c r="P580" s="2027">
        <f t="shared" si="362"/>
        <v>993.6</v>
      </c>
      <c r="Q580" s="2026">
        <v>0.9</v>
      </c>
      <c r="R580" s="2026">
        <v>0.9</v>
      </c>
      <c r="S580" s="2026">
        <v>0.9</v>
      </c>
      <c r="T580" s="2026">
        <v>0.9</v>
      </c>
      <c r="U580" s="2028">
        <f t="shared" si="375"/>
        <v>0.1638</v>
      </c>
      <c r="V580" s="2028">
        <f t="shared" si="375"/>
        <v>0.1638</v>
      </c>
      <c r="W580" s="2028">
        <f t="shared" si="375"/>
        <v>0.1638</v>
      </c>
      <c r="X580" s="2028">
        <f t="shared" si="363"/>
        <v>0.1638</v>
      </c>
      <c r="Y580" s="2026">
        <v>0.9</v>
      </c>
      <c r="Z580" s="2026">
        <v>0.9</v>
      </c>
      <c r="AA580" s="2026">
        <v>0.9</v>
      </c>
      <c r="AB580" s="2026">
        <v>0.9</v>
      </c>
      <c r="AC580" s="2027">
        <f t="shared" si="376"/>
        <v>-17.451000000000001</v>
      </c>
      <c r="AD580" s="2027">
        <f t="shared" si="376"/>
        <v>-17.451000000000001</v>
      </c>
      <c r="AE580" s="2027">
        <f t="shared" si="376"/>
        <v>-17.451000000000001</v>
      </c>
      <c r="AF580" s="2027">
        <f t="shared" si="364"/>
        <v>-17.451000000000001</v>
      </c>
      <c r="AG580" s="2027">
        <v>9</v>
      </c>
      <c r="AH580" s="2027">
        <v>18</v>
      </c>
      <c r="AI580" s="2027">
        <v>28</v>
      </c>
      <c r="AJ580" s="2027">
        <v>37</v>
      </c>
      <c r="AK580" s="2027">
        <f t="shared" si="365"/>
        <v>8942.4</v>
      </c>
      <c r="AL580" s="2027">
        <f t="shared" si="397"/>
        <v>17884.8</v>
      </c>
      <c r="AM580" s="2027">
        <f t="shared" si="397"/>
        <v>27820.799999999999</v>
      </c>
      <c r="AN580" s="2027">
        <f t="shared" si="397"/>
        <v>36763.200000000004</v>
      </c>
      <c r="AO580" s="2027">
        <f t="shared" si="377"/>
        <v>-157.059</v>
      </c>
      <c r="AP580" s="2027">
        <f t="shared" si="367"/>
        <v>-314.11799999999999</v>
      </c>
      <c r="AQ580" s="2027">
        <f t="shared" si="367"/>
        <v>-488.62800000000004</v>
      </c>
      <c r="AR580" s="2027">
        <f t="shared" si="367"/>
        <v>-645.68700000000001</v>
      </c>
      <c r="AS580" s="2124">
        <f>AS119*1.4</f>
        <v>70</v>
      </c>
      <c r="AT580" s="2029">
        <f t="shared" si="368"/>
        <v>70</v>
      </c>
      <c r="AU580" s="2029">
        <f t="shared" si="368"/>
        <v>70</v>
      </c>
      <c r="AV580" s="2029">
        <f t="shared" si="368"/>
        <v>70</v>
      </c>
      <c r="AW580" s="2124">
        <f t="shared" si="406"/>
        <v>0</v>
      </c>
      <c r="AX580" s="2029">
        <f t="shared" si="388"/>
        <v>0</v>
      </c>
      <c r="AY580" s="2029">
        <f t="shared" si="388"/>
        <v>0</v>
      </c>
      <c r="AZ580" s="2029">
        <f t="shared" si="388"/>
        <v>0</v>
      </c>
      <c r="BA580" s="2124">
        <f t="shared" si="403"/>
        <v>274</v>
      </c>
      <c r="BB580" s="2029">
        <f t="shared" si="403"/>
        <v>274</v>
      </c>
      <c r="BC580" s="2029">
        <f t="shared" si="403"/>
        <v>274</v>
      </c>
      <c r="BD580" s="2029">
        <f t="shared" si="403"/>
        <v>274</v>
      </c>
      <c r="BE580" s="2030">
        <f t="shared" si="378"/>
        <v>630</v>
      </c>
      <c r="BF580" s="2030">
        <f t="shared" si="378"/>
        <v>1260</v>
      </c>
      <c r="BG580" s="2030">
        <f t="shared" si="378"/>
        <v>1960</v>
      </c>
      <c r="BH580" s="2030">
        <f t="shared" si="370"/>
        <v>2590</v>
      </c>
      <c r="BI580" s="2030">
        <f t="shared" si="379"/>
        <v>0</v>
      </c>
      <c r="BJ580" s="2030">
        <f t="shared" si="379"/>
        <v>0</v>
      </c>
      <c r="BK580" s="2030">
        <f t="shared" si="379"/>
        <v>0</v>
      </c>
      <c r="BL580" s="2030">
        <f t="shared" si="371"/>
        <v>0</v>
      </c>
      <c r="BM580" s="2125"/>
      <c r="BN580" s="2125"/>
      <c r="BO580" s="2125"/>
      <c r="BP580" s="2125"/>
      <c r="BQ580" s="2125"/>
      <c r="BR580" s="2125"/>
      <c r="BS580" s="2125"/>
      <c r="BT580" s="2125"/>
      <c r="BU580" s="2029"/>
      <c r="BV580" s="2029"/>
      <c r="BW580" s="2029"/>
      <c r="BX580" s="2029"/>
      <c r="BY580" s="2029"/>
      <c r="BZ580" s="2032"/>
      <c r="CA580" s="1974">
        <f t="shared" si="409"/>
        <v>0</v>
      </c>
      <c r="CB580" s="1974">
        <f t="shared" si="409"/>
        <v>0</v>
      </c>
      <c r="CC580" s="1974">
        <f t="shared" si="409"/>
        <v>0</v>
      </c>
      <c r="CD580" s="1974">
        <f t="shared" si="409"/>
        <v>0</v>
      </c>
      <c r="CE580" s="1974">
        <f t="shared" si="409"/>
        <v>0</v>
      </c>
      <c r="CF580" s="2033">
        <v>3.73822437826916E-5</v>
      </c>
      <c r="CG580" s="2026">
        <v>-5.8595639222111255E-5</v>
      </c>
      <c r="CH580" s="2009">
        <f t="shared" si="410"/>
        <v>0</v>
      </c>
      <c r="CI580" s="2031">
        <f t="shared" si="410"/>
        <v>0</v>
      </c>
      <c r="CJ580" s="1974">
        <f t="shared" si="410"/>
        <v>0</v>
      </c>
      <c r="CK580" s="2031">
        <f t="shared" si="410"/>
        <v>0</v>
      </c>
      <c r="CL580" s="2026">
        <v>1</v>
      </c>
      <c r="CM580" s="2026">
        <v>1</v>
      </c>
      <c r="CN580" s="2026">
        <v>1</v>
      </c>
      <c r="CO580" s="2026">
        <v>1</v>
      </c>
      <c r="CP580" s="2035"/>
      <c r="CQ580" s="2036"/>
      <c r="CR580" s="2036"/>
      <c r="CS580" s="2036"/>
      <c r="CT580" s="2036"/>
      <c r="CU580" s="2036"/>
      <c r="CV580" s="1973">
        <v>1</v>
      </c>
      <c r="CW580" s="1973">
        <v>0</v>
      </c>
      <c r="CX580" s="2037">
        <v>70</v>
      </c>
      <c r="CY580" s="2037">
        <v>70</v>
      </c>
      <c r="CZ580" s="2037">
        <v>70</v>
      </c>
      <c r="DA580" s="2037">
        <v>70</v>
      </c>
      <c r="DJ580" s="1976">
        <v>70</v>
      </c>
      <c r="DK580" s="1973">
        <v>70</v>
      </c>
      <c r="DL580" s="1973">
        <v>70</v>
      </c>
      <c r="DM580" s="1973">
        <v>70</v>
      </c>
      <c r="DO580" s="2027">
        <v>8</v>
      </c>
      <c r="DP580" s="2144">
        <v>1104</v>
      </c>
      <c r="DQ580" s="2145">
        <v>0.182</v>
      </c>
      <c r="DR580" s="2027">
        <v>-19.39</v>
      </c>
      <c r="DS580" s="2124">
        <v>70</v>
      </c>
      <c r="DT580" s="2029">
        <v>70</v>
      </c>
      <c r="DU580" s="2029">
        <v>70</v>
      </c>
      <c r="DV580" s="2029">
        <v>70</v>
      </c>
      <c r="DW580" s="2124">
        <v>0</v>
      </c>
      <c r="DX580" s="2029">
        <v>0</v>
      </c>
      <c r="DY580" s="2029">
        <v>0</v>
      </c>
      <c r="DZ580" s="2029">
        <v>0</v>
      </c>
      <c r="EA580" s="2124">
        <v>274</v>
      </c>
      <c r="EB580" s="2029">
        <v>274</v>
      </c>
      <c r="EC580" s="2029">
        <v>274</v>
      </c>
      <c r="ED580" s="2029">
        <v>274</v>
      </c>
      <c r="EE580" s="2039">
        <f t="shared" si="356"/>
        <v>0</v>
      </c>
      <c r="EF580" s="2039">
        <f t="shared" si="356"/>
        <v>0</v>
      </c>
      <c r="EG580" s="2039">
        <f t="shared" si="356"/>
        <v>0</v>
      </c>
      <c r="EH580" s="2039">
        <f t="shared" si="355"/>
        <v>0</v>
      </c>
      <c r="EI580" s="2040">
        <f t="shared" si="385"/>
        <v>0</v>
      </c>
      <c r="EJ580" s="2040">
        <f t="shared" si="385"/>
        <v>0</v>
      </c>
      <c r="EK580" s="2040">
        <f t="shared" si="385"/>
        <v>0</v>
      </c>
      <c r="EL580" s="2040">
        <f t="shared" si="383"/>
        <v>0</v>
      </c>
      <c r="EM580" s="2040">
        <f t="shared" si="383"/>
        <v>0</v>
      </c>
      <c r="EN580" s="2040">
        <f t="shared" si="383"/>
        <v>0</v>
      </c>
      <c r="EO580" s="2040">
        <f t="shared" si="383"/>
        <v>0</v>
      </c>
      <c r="EP580" s="2040">
        <f t="shared" si="383"/>
        <v>0</v>
      </c>
      <c r="EQ580" s="2040">
        <f t="shared" si="383"/>
        <v>0</v>
      </c>
      <c r="ER580" s="2040">
        <f t="shared" si="393"/>
        <v>0</v>
      </c>
      <c r="ES580" s="2040">
        <f t="shared" si="393"/>
        <v>0</v>
      </c>
      <c r="ET580" s="2040">
        <f t="shared" si="393"/>
        <v>0</v>
      </c>
      <c r="EU580" s="2039">
        <f t="shared" si="357"/>
        <v>0</v>
      </c>
      <c r="EV580" s="2039">
        <f t="shared" si="358"/>
        <v>0</v>
      </c>
    </row>
    <row r="581" spans="1:152" x14ac:dyDescent="0.25">
      <c r="A581" s="2150" t="str">
        <f t="shared" si="408"/>
        <v>Energy Star Beverage Vending Machine</v>
      </c>
      <c r="B581" s="1974" t="str">
        <f t="shared" si="408"/>
        <v/>
      </c>
      <c r="C581" s="2027">
        <f t="shared" si="411"/>
        <v>14</v>
      </c>
      <c r="D581" s="2144">
        <f t="shared" si="411"/>
        <v>1310</v>
      </c>
      <c r="E581" s="2145">
        <f t="shared" si="411"/>
        <v>0</v>
      </c>
      <c r="F581" s="2027">
        <f t="shared" si="411"/>
        <v>0</v>
      </c>
      <c r="G581" s="1974" t="s">
        <v>2988</v>
      </c>
      <c r="H581" s="1974" t="s">
        <v>2988</v>
      </c>
      <c r="I581" s="2026">
        <v>0.9</v>
      </c>
      <c r="J581" s="2026">
        <v>0.9</v>
      </c>
      <c r="K581" s="2026">
        <v>0.9</v>
      </c>
      <c r="L581" s="2026">
        <v>0.9</v>
      </c>
      <c r="M581" s="2027">
        <f t="shared" si="374"/>
        <v>1179</v>
      </c>
      <c r="N581" s="2027">
        <f t="shared" si="374"/>
        <v>1179</v>
      </c>
      <c r="O581" s="2027">
        <f t="shared" si="374"/>
        <v>1179</v>
      </c>
      <c r="P581" s="2027">
        <f t="shared" si="362"/>
        <v>1179</v>
      </c>
      <c r="Q581" s="2026">
        <v>0.9</v>
      </c>
      <c r="R581" s="2026">
        <v>0.9</v>
      </c>
      <c r="S581" s="2026">
        <v>0.9</v>
      </c>
      <c r="T581" s="2026">
        <v>0.9</v>
      </c>
      <c r="U581" s="2028">
        <f t="shared" si="375"/>
        <v>0</v>
      </c>
      <c r="V581" s="2028">
        <f t="shared" si="375"/>
        <v>0</v>
      </c>
      <c r="W581" s="2028">
        <f t="shared" si="375"/>
        <v>0</v>
      </c>
      <c r="X581" s="2028">
        <f t="shared" si="363"/>
        <v>0</v>
      </c>
      <c r="Y581" s="2026">
        <v>0.9</v>
      </c>
      <c r="Z581" s="2026">
        <v>0.9</v>
      </c>
      <c r="AA581" s="2026">
        <v>0.9</v>
      </c>
      <c r="AB581" s="2026">
        <v>0.9</v>
      </c>
      <c r="AC581" s="2027">
        <f t="shared" si="376"/>
        <v>0</v>
      </c>
      <c r="AD581" s="2027">
        <f t="shared" si="376"/>
        <v>0</v>
      </c>
      <c r="AE581" s="2027">
        <f t="shared" si="376"/>
        <v>0</v>
      </c>
      <c r="AF581" s="2027">
        <f t="shared" si="364"/>
        <v>0</v>
      </c>
      <c r="AG581" s="2027">
        <v>1</v>
      </c>
      <c r="AH581" s="2028">
        <v>1</v>
      </c>
      <c r="AI581" s="2028"/>
      <c r="AJ581" s="2028">
        <v>1</v>
      </c>
      <c r="AK581" s="2027">
        <f t="shared" si="365"/>
        <v>1179</v>
      </c>
      <c r="AL581" s="2027">
        <f t="shared" si="397"/>
        <v>1179</v>
      </c>
      <c r="AM581" s="2027">
        <f t="shared" si="397"/>
        <v>0</v>
      </c>
      <c r="AN581" s="2027">
        <f t="shared" si="397"/>
        <v>1179</v>
      </c>
      <c r="AO581" s="2027">
        <f t="shared" si="377"/>
        <v>0</v>
      </c>
      <c r="AP581" s="2027">
        <f t="shared" si="367"/>
        <v>0</v>
      </c>
      <c r="AQ581" s="2027">
        <f t="shared" si="367"/>
        <v>0</v>
      </c>
      <c r="AR581" s="2027">
        <f t="shared" si="367"/>
        <v>0</v>
      </c>
      <c r="AS581" s="2124">
        <f>AS120*1</f>
        <v>100</v>
      </c>
      <c r="AT581" s="2029">
        <f t="shared" si="368"/>
        <v>100</v>
      </c>
      <c r="AU581" s="2029">
        <f t="shared" si="368"/>
        <v>100</v>
      </c>
      <c r="AV581" s="2029">
        <f t="shared" si="368"/>
        <v>100</v>
      </c>
      <c r="AW581" s="2124">
        <f t="shared" si="406"/>
        <v>0</v>
      </c>
      <c r="AX581" s="2029">
        <f t="shared" si="388"/>
        <v>0</v>
      </c>
      <c r="AY581" s="2029">
        <f t="shared" si="388"/>
        <v>0</v>
      </c>
      <c r="AZ581" s="2029">
        <f t="shared" si="388"/>
        <v>0</v>
      </c>
      <c r="BA581" s="2124">
        <f t="shared" si="403"/>
        <v>500</v>
      </c>
      <c r="BB581" s="2029">
        <f t="shared" si="403"/>
        <v>500</v>
      </c>
      <c r="BC581" s="2029">
        <f t="shared" si="403"/>
        <v>500</v>
      </c>
      <c r="BD581" s="2029">
        <f t="shared" si="403"/>
        <v>500</v>
      </c>
      <c r="BE581" s="2030">
        <f t="shared" si="378"/>
        <v>100</v>
      </c>
      <c r="BF581" s="2030">
        <f t="shared" si="378"/>
        <v>100</v>
      </c>
      <c r="BG581" s="2030">
        <f t="shared" si="378"/>
        <v>0</v>
      </c>
      <c r="BH581" s="2030">
        <f t="shared" si="370"/>
        <v>100</v>
      </c>
      <c r="BI581" s="2030">
        <f t="shared" si="379"/>
        <v>0</v>
      </c>
      <c r="BJ581" s="2030">
        <f t="shared" si="379"/>
        <v>0</v>
      </c>
      <c r="BK581" s="2030">
        <f t="shared" si="379"/>
        <v>0</v>
      </c>
      <c r="BL581" s="2030">
        <f t="shared" si="371"/>
        <v>0</v>
      </c>
      <c r="BM581" s="2125"/>
      <c r="BN581" s="2125"/>
      <c r="BO581" s="2125"/>
      <c r="BP581" s="2125"/>
      <c r="BQ581" s="2125"/>
      <c r="BR581" s="2125"/>
      <c r="BS581" s="2125"/>
      <c r="BT581" s="2125"/>
      <c r="BU581" s="2029"/>
      <c r="BV581" s="2029"/>
      <c r="BW581" s="2029"/>
      <c r="BX581" s="2029"/>
      <c r="BY581" s="2029"/>
      <c r="BZ581" s="2032"/>
      <c r="CA581" s="1974">
        <f t="shared" si="409"/>
        <v>0</v>
      </c>
      <c r="CB581" s="1974">
        <f t="shared" si="409"/>
        <v>0</v>
      </c>
      <c r="CC581" s="1974">
        <f t="shared" si="409"/>
        <v>0</v>
      </c>
      <c r="CD581" s="1974">
        <f t="shared" si="409"/>
        <v>0</v>
      </c>
      <c r="CE581" s="1974">
        <f t="shared" si="409"/>
        <v>0</v>
      </c>
      <c r="CF581" s="2033">
        <v>4.9286170848758044E-6</v>
      </c>
      <c r="CG581" s="2026">
        <v>0</v>
      </c>
      <c r="CH581" s="2009">
        <f t="shared" si="410"/>
        <v>0</v>
      </c>
      <c r="CI581" s="2031">
        <f t="shared" si="410"/>
        <v>0</v>
      </c>
      <c r="CJ581" s="1974">
        <f t="shared" si="410"/>
        <v>0</v>
      </c>
      <c r="CK581" s="2031">
        <f t="shared" si="410"/>
        <v>0</v>
      </c>
      <c r="CL581" s="2026">
        <v>1</v>
      </c>
      <c r="CM581" s="2026">
        <v>1</v>
      </c>
      <c r="CN581" s="2026">
        <v>1</v>
      </c>
      <c r="CO581" s="2026">
        <v>1</v>
      </c>
      <c r="CP581" s="2035"/>
      <c r="CQ581" s="2036"/>
      <c r="CR581" s="2036"/>
      <c r="CS581" s="2036"/>
      <c r="CT581" s="2036"/>
      <c r="CU581" s="2036"/>
      <c r="CV581" s="1973">
        <v>1</v>
      </c>
      <c r="CW581" s="1973">
        <v>0</v>
      </c>
      <c r="CX581" s="2037">
        <v>100</v>
      </c>
      <c r="CY581" s="2037">
        <v>100</v>
      </c>
      <c r="CZ581" s="2037">
        <v>100</v>
      </c>
      <c r="DA581" s="2037">
        <v>100</v>
      </c>
      <c r="DJ581" s="1976">
        <v>100</v>
      </c>
      <c r="DK581" s="1973">
        <v>100</v>
      </c>
      <c r="DL581" s="1973">
        <v>100</v>
      </c>
      <c r="DM581" s="1973">
        <v>100</v>
      </c>
      <c r="DO581" s="2027">
        <v>14</v>
      </c>
      <c r="DP581" s="2144">
        <v>1310</v>
      </c>
      <c r="DQ581" s="2145">
        <v>0</v>
      </c>
      <c r="DR581" s="2027">
        <v>0</v>
      </c>
      <c r="DS581" s="2124">
        <v>100</v>
      </c>
      <c r="DT581" s="2029">
        <v>100</v>
      </c>
      <c r="DU581" s="2029">
        <v>100</v>
      </c>
      <c r="DV581" s="2029">
        <v>100</v>
      </c>
      <c r="DW581" s="2124">
        <v>0</v>
      </c>
      <c r="DX581" s="2029">
        <v>0</v>
      </c>
      <c r="DY581" s="2029">
        <v>0</v>
      </c>
      <c r="DZ581" s="2029">
        <v>0</v>
      </c>
      <c r="EA581" s="2124">
        <v>500</v>
      </c>
      <c r="EB581" s="2029">
        <v>500</v>
      </c>
      <c r="EC581" s="2029">
        <v>500</v>
      </c>
      <c r="ED581" s="2029">
        <v>500</v>
      </c>
      <c r="EE581" s="2039">
        <f t="shared" si="356"/>
        <v>0</v>
      </c>
      <c r="EF581" s="2039">
        <f t="shared" si="356"/>
        <v>0</v>
      </c>
      <c r="EG581" s="2039">
        <f t="shared" si="356"/>
        <v>0</v>
      </c>
      <c r="EH581" s="2039">
        <f t="shared" si="355"/>
        <v>0</v>
      </c>
      <c r="EI581" s="2040">
        <f t="shared" si="385"/>
        <v>0</v>
      </c>
      <c r="EJ581" s="2040">
        <f t="shared" si="385"/>
        <v>0</v>
      </c>
      <c r="EK581" s="2040">
        <f t="shared" si="385"/>
        <v>0</v>
      </c>
      <c r="EL581" s="2040">
        <f t="shared" si="383"/>
        <v>0</v>
      </c>
      <c r="EM581" s="2040">
        <f t="shared" si="383"/>
        <v>0</v>
      </c>
      <c r="EN581" s="2040">
        <f t="shared" si="383"/>
        <v>0</v>
      </c>
      <c r="EO581" s="2040">
        <f t="shared" si="383"/>
        <v>0</v>
      </c>
      <c r="EP581" s="2040">
        <f t="shared" si="383"/>
        <v>0</v>
      </c>
      <c r="EQ581" s="2040">
        <f t="shared" si="383"/>
        <v>0</v>
      </c>
      <c r="ER581" s="2040">
        <f t="shared" si="393"/>
        <v>0</v>
      </c>
      <c r="ES581" s="2040">
        <f t="shared" si="393"/>
        <v>0</v>
      </c>
      <c r="ET581" s="2040">
        <f t="shared" si="393"/>
        <v>0</v>
      </c>
      <c r="EU581" s="2039">
        <f t="shared" si="357"/>
        <v>0</v>
      </c>
      <c r="EV581" s="2039">
        <f t="shared" si="358"/>
        <v>0</v>
      </c>
    </row>
    <row r="582" spans="1:152" x14ac:dyDescent="0.25">
      <c r="A582" s="2149" t="str">
        <f t="shared" si="408"/>
        <v>Desktop Virtualization - Pilot</v>
      </c>
      <c r="B582" s="1974" t="str">
        <f t="shared" si="408"/>
        <v/>
      </c>
      <c r="C582" s="2027">
        <f t="shared" si="411"/>
        <v>10</v>
      </c>
      <c r="D582" s="2144">
        <f t="shared" si="411"/>
        <v>613.20000000000005</v>
      </c>
      <c r="E582" s="2145">
        <f t="shared" si="411"/>
        <v>0.05</v>
      </c>
      <c r="F582" s="2027">
        <f t="shared" si="411"/>
        <v>-9.6</v>
      </c>
      <c r="G582" s="1974" t="s">
        <v>2988</v>
      </c>
      <c r="H582" s="1974" t="s">
        <v>2988</v>
      </c>
      <c r="I582" s="2026">
        <v>0.9</v>
      </c>
      <c r="J582" s="2026">
        <v>0.9</v>
      </c>
      <c r="K582" s="2026">
        <v>0.9</v>
      </c>
      <c r="L582" s="2026">
        <v>0.9</v>
      </c>
      <c r="M582" s="2027">
        <f t="shared" si="374"/>
        <v>551.88000000000011</v>
      </c>
      <c r="N582" s="2027">
        <f t="shared" si="374"/>
        <v>551.88000000000011</v>
      </c>
      <c r="O582" s="2027">
        <f t="shared" si="374"/>
        <v>551.88000000000011</v>
      </c>
      <c r="P582" s="2027">
        <f t="shared" si="362"/>
        <v>551.88000000000011</v>
      </c>
      <c r="Q582" s="2026">
        <v>0.9</v>
      </c>
      <c r="R582" s="2026">
        <v>0.9</v>
      </c>
      <c r="S582" s="2026">
        <v>0.9</v>
      </c>
      <c r="T582" s="2026">
        <v>0.9</v>
      </c>
      <c r="U582" s="2028">
        <f t="shared" si="375"/>
        <v>4.5000000000000005E-2</v>
      </c>
      <c r="V582" s="2028">
        <f t="shared" si="375"/>
        <v>4.5000000000000005E-2</v>
      </c>
      <c r="W582" s="2028">
        <f t="shared" si="375"/>
        <v>4.5000000000000005E-2</v>
      </c>
      <c r="X582" s="2028">
        <f t="shared" si="363"/>
        <v>4.5000000000000005E-2</v>
      </c>
      <c r="Y582" s="2026">
        <v>0.9</v>
      </c>
      <c r="Z582" s="2026">
        <v>0.9</v>
      </c>
      <c r="AA582" s="2026">
        <v>0.9</v>
      </c>
      <c r="AB582" s="2026">
        <v>0.9</v>
      </c>
      <c r="AC582" s="2027">
        <f t="shared" si="376"/>
        <v>-8.64</v>
      </c>
      <c r="AD582" s="2027">
        <f t="shared" si="376"/>
        <v>-8.64</v>
      </c>
      <c r="AE582" s="2027">
        <f t="shared" si="376"/>
        <v>-8.64</v>
      </c>
      <c r="AF582" s="2027">
        <f t="shared" si="364"/>
        <v>-8.64</v>
      </c>
      <c r="AG582" s="2027">
        <v>0</v>
      </c>
      <c r="AH582" s="2028"/>
      <c r="AI582" s="2028"/>
      <c r="AJ582" s="2028"/>
      <c r="AK582" s="2027">
        <f t="shared" si="365"/>
        <v>0</v>
      </c>
      <c r="AL582" s="2027">
        <f t="shared" si="397"/>
        <v>0</v>
      </c>
      <c r="AM582" s="2027">
        <f t="shared" si="397"/>
        <v>0</v>
      </c>
      <c r="AN582" s="2027">
        <f t="shared" si="397"/>
        <v>0</v>
      </c>
      <c r="AO582" s="2027">
        <f t="shared" si="377"/>
        <v>0</v>
      </c>
      <c r="AP582" s="2027">
        <f t="shared" si="367"/>
        <v>0</v>
      </c>
      <c r="AQ582" s="2027">
        <f t="shared" si="367"/>
        <v>0</v>
      </c>
      <c r="AR582" s="2027">
        <f t="shared" si="367"/>
        <v>0</v>
      </c>
      <c r="AS582" s="2124">
        <f>AS121*1.5</f>
        <v>90</v>
      </c>
      <c r="AT582" s="2029">
        <f t="shared" si="368"/>
        <v>90</v>
      </c>
      <c r="AU582" s="2029">
        <f t="shared" si="368"/>
        <v>90</v>
      </c>
      <c r="AV582" s="2029">
        <f t="shared" si="368"/>
        <v>90</v>
      </c>
      <c r="AW582" s="2124">
        <f t="shared" si="406"/>
        <v>0</v>
      </c>
      <c r="AX582" s="2029">
        <f t="shared" si="388"/>
        <v>0</v>
      </c>
      <c r="AY582" s="2029">
        <f t="shared" si="388"/>
        <v>0</v>
      </c>
      <c r="AZ582" s="2029">
        <f t="shared" si="388"/>
        <v>0</v>
      </c>
      <c r="BA582" s="2124">
        <f t="shared" si="403"/>
        <v>117</v>
      </c>
      <c r="BB582" s="2029">
        <f t="shared" si="403"/>
        <v>117</v>
      </c>
      <c r="BC582" s="2029">
        <f t="shared" si="403"/>
        <v>117</v>
      </c>
      <c r="BD582" s="2029">
        <f t="shared" si="403"/>
        <v>117</v>
      </c>
      <c r="BE582" s="2030">
        <f t="shared" si="378"/>
        <v>0</v>
      </c>
      <c r="BF582" s="2030">
        <f t="shared" si="378"/>
        <v>0</v>
      </c>
      <c r="BG582" s="2030">
        <f t="shared" si="378"/>
        <v>0</v>
      </c>
      <c r="BH582" s="2030">
        <f t="shared" si="370"/>
        <v>0</v>
      </c>
      <c r="BI582" s="2030">
        <f t="shared" si="379"/>
        <v>0</v>
      </c>
      <c r="BJ582" s="2030">
        <f t="shared" si="379"/>
        <v>0</v>
      </c>
      <c r="BK582" s="2030">
        <f t="shared" si="379"/>
        <v>0</v>
      </c>
      <c r="BL582" s="2030">
        <f t="shared" si="371"/>
        <v>0</v>
      </c>
      <c r="BM582" s="2125"/>
      <c r="BN582" s="2125"/>
      <c r="BO582" s="2125"/>
      <c r="BP582" s="2125"/>
      <c r="BQ582" s="2125"/>
      <c r="BR582" s="2125"/>
      <c r="BS582" s="2125"/>
      <c r="BT582" s="2125"/>
      <c r="BU582" s="2029"/>
      <c r="BV582" s="2029"/>
      <c r="BW582" s="2029"/>
      <c r="BX582" s="2029"/>
      <c r="BY582" s="2029"/>
      <c r="BZ582" s="2032"/>
      <c r="CA582" s="1974">
        <f t="shared" si="409"/>
        <v>0</v>
      </c>
      <c r="CB582" s="1974">
        <f t="shared" si="409"/>
        <v>0</v>
      </c>
      <c r="CC582" s="1974">
        <f t="shared" si="409"/>
        <v>0</v>
      </c>
      <c r="CD582" s="1974">
        <f t="shared" si="409"/>
        <v>0</v>
      </c>
      <c r="CE582" s="1974">
        <f t="shared" si="409"/>
        <v>0</v>
      </c>
      <c r="CF582" s="2033">
        <v>0</v>
      </c>
      <c r="CG582" s="2026">
        <v>0</v>
      </c>
      <c r="CH582" s="2009">
        <f t="shared" si="410"/>
        <v>0</v>
      </c>
      <c r="CI582" s="2031">
        <f t="shared" si="410"/>
        <v>0</v>
      </c>
      <c r="CJ582" s="1974">
        <f t="shared" si="410"/>
        <v>0</v>
      </c>
      <c r="CK582" s="2031">
        <f t="shared" si="410"/>
        <v>0</v>
      </c>
      <c r="CL582" s="2026">
        <v>1</v>
      </c>
      <c r="CM582" s="2026">
        <v>1</v>
      </c>
      <c r="CN582" s="2026">
        <v>1</v>
      </c>
      <c r="CO582" s="2026">
        <v>1</v>
      </c>
      <c r="CP582" s="2035"/>
      <c r="CQ582" s="2036"/>
      <c r="CR582" s="2036"/>
      <c r="CS582" s="2036"/>
      <c r="CT582" s="2036"/>
      <c r="CU582" s="2036"/>
      <c r="CV582" s="1973">
        <v>1</v>
      </c>
      <c r="CW582" s="1973">
        <v>0</v>
      </c>
      <c r="CX582" s="2037">
        <v>90</v>
      </c>
      <c r="CY582" s="2037">
        <v>90</v>
      </c>
      <c r="CZ582" s="2037">
        <v>90</v>
      </c>
      <c r="DA582" s="2037">
        <v>90</v>
      </c>
      <c r="DJ582" s="1976">
        <v>90</v>
      </c>
      <c r="DK582" s="1973">
        <v>90</v>
      </c>
      <c r="DL582" s="1973">
        <v>90</v>
      </c>
      <c r="DM582" s="1973">
        <v>90</v>
      </c>
      <c r="DO582" s="2027">
        <v>10</v>
      </c>
      <c r="DP582" s="2144">
        <v>613.20000000000005</v>
      </c>
      <c r="DQ582" s="2145">
        <v>0.05</v>
      </c>
      <c r="DR582" s="2027">
        <v>-9.6</v>
      </c>
      <c r="DS582" s="2124">
        <v>90</v>
      </c>
      <c r="DT582" s="2029">
        <v>90</v>
      </c>
      <c r="DU582" s="2029">
        <v>90</v>
      </c>
      <c r="DV582" s="2029">
        <v>90</v>
      </c>
      <c r="DW582" s="2124">
        <v>0</v>
      </c>
      <c r="DX582" s="2029">
        <v>0</v>
      </c>
      <c r="DY582" s="2029">
        <v>0</v>
      </c>
      <c r="DZ582" s="2029">
        <v>0</v>
      </c>
      <c r="EA582" s="2124">
        <v>117</v>
      </c>
      <c r="EB582" s="2029">
        <v>117</v>
      </c>
      <c r="EC582" s="2029">
        <v>117</v>
      </c>
      <c r="ED582" s="2029">
        <v>117</v>
      </c>
      <c r="EE582" s="2039">
        <f t="shared" si="356"/>
        <v>0</v>
      </c>
      <c r="EF582" s="2039">
        <f t="shared" si="356"/>
        <v>0</v>
      </c>
      <c r="EG582" s="2039">
        <f t="shared" si="356"/>
        <v>0</v>
      </c>
      <c r="EH582" s="2039">
        <f t="shared" si="356"/>
        <v>0</v>
      </c>
      <c r="EI582" s="2040">
        <f t="shared" si="385"/>
        <v>0</v>
      </c>
      <c r="EJ582" s="2040">
        <f t="shared" si="385"/>
        <v>0</v>
      </c>
      <c r="EK582" s="2040">
        <f t="shared" si="385"/>
        <v>0</v>
      </c>
      <c r="EL582" s="2040">
        <f t="shared" si="383"/>
        <v>0</v>
      </c>
      <c r="EM582" s="2040">
        <f t="shared" si="383"/>
        <v>0</v>
      </c>
      <c r="EN582" s="2040">
        <f t="shared" si="383"/>
        <v>0</v>
      </c>
      <c r="EO582" s="2040">
        <f t="shared" si="383"/>
        <v>0</v>
      </c>
      <c r="EP582" s="2040">
        <f t="shared" si="383"/>
        <v>0</v>
      </c>
      <c r="EQ582" s="2040">
        <f t="shared" si="383"/>
        <v>0</v>
      </c>
      <c r="ER582" s="2040">
        <f t="shared" si="393"/>
        <v>0</v>
      </c>
      <c r="ES582" s="2040">
        <f t="shared" si="393"/>
        <v>0</v>
      </c>
      <c r="ET582" s="2040">
        <f t="shared" si="393"/>
        <v>0</v>
      </c>
      <c r="EU582" s="2039">
        <f t="shared" si="357"/>
        <v>0</v>
      </c>
      <c r="EV582" s="2039">
        <f t="shared" si="358"/>
        <v>0</v>
      </c>
    </row>
    <row r="583" spans="1:152" x14ac:dyDescent="0.25">
      <c r="A583" s="2150" t="str">
        <f t="shared" si="408"/>
        <v>ERVs</v>
      </c>
      <c r="B583" s="1974" t="str">
        <f t="shared" si="408"/>
        <v/>
      </c>
      <c r="C583" s="2027">
        <f t="shared" si="411"/>
        <v>15</v>
      </c>
      <c r="D583" s="2144">
        <f t="shared" si="411"/>
        <v>0</v>
      </c>
      <c r="E583" s="2145">
        <f t="shared" si="411"/>
        <v>0</v>
      </c>
      <c r="F583" s="2027">
        <f t="shared" si="411"/>
        <v>5.1875000000000004E-2</v>
      </c>
      <c r="G583" s="1974" t="s">
        <v>2988</v>
      </c>
      <c r="H583" s="1974" t="s">
        <v>2988</v>
      </c>
      <c r="I583" s="2026">
        <v>0.9</v>
      </c>
      <c r="J583" s="2026">
        <v>0.9</v>
      </c>
      <c r="K583" s="2026">
        <v>0.9</v>
      </c>
      <c r="L583" s="2026">
        <v>0.9</v>
      </c>
      <c r="M583" s="2027">
        <f t="shared" si="374"/>
        <v>0</v>
      </c>
      <c r="N583" s="2027">
        <f t="shared" si="374"/>
        <v>0</v>
      </c>
      <c r="O583" s="2027">
        <f t="shared" si="374"/>
        <v>0</v>
      </c>
      <c r="P583" s="2027">
        <f t="shared" si="362"/>
        <v>0</v>
      </c>
      <c r="Q583" s="2026">
        <v>0.9</v>
      </c>
      <c r="R583" s="2026">
        <v>0.9</v>
      </c>
      <c r="S583" s="2026">
        <v>0.9</v>
      </c>
      <c r="T583" s="2026">
        <v>0.9</v>
      </c>
      <c r="U583" s="2028">
        <f t="shared" si="375"/>
        <v>0</v>
      </c>
      <c r="V583" s="2028">
        <f t="shared" si="375"/>
        <v>0</v>
      </c>
      <c r="W583" s="2028">
        <f t="shared" si="375"/>
        <v>0</v>
      </c>
      <c r="X583" s="2028">
        <f t="shared" si="363"/>
        <v>0</v>
      </c>
      <c r="Y583" s="2026">
        <v>0.9</v>
      </c>
      <c r="Z583" s="2026">
        <v>0.9</v>
      </c>
      <c r="AA583" s="2026">
        <v>0.9</v>
      </c>
      <c r="AB583" s="2026">
        <v>0.9</v>
      </c>
      <c r="AC583" s="2027">
        <f t="shared" si="376"/>
        <v>4.6687500000000007E-2</v>
      </c>
      <c r="AD583" s="2027">
        <f t="shared" si="376"/>
        <v>4.6687500000000007E-2</v>
      </c>
      <c r="AE583" s="2027">
        <f t="shared" si="376"/>
        <v>4.6687500000000007E-2</v>
      </c>
      <c r="AF583" s="2027">
        <f t="shared" si="364"/>
        <v>4.6687500000000007E-2</v>
      </c>
      <c r="AG583" s="2027">
        <v>12000</v>
      </c>
      <c r="AH583" s="2028">
        <v>12000</v>
      </c>
      <c r="AI583" s="2028">
        <v>12000</v>
      </c>
      <c r="AJ583" s="2028">
        <v>12000</v>
      </c>
      <c r="AK583" s="2027">
        <f t="shared" si="365"/>
        <v>0</v>
      </c>
      <c r="AL583" s="2027">
        <f t="shared" si="397"/>
        <v>0</v>
      </c>
      <c r="AM583" s="2027">
        <f t="shared" si="397"/>
        <v>0</v>
      </c>
      <c r="AN583" s="2027">
        <f t="shared" si="397"/>
        <v>0</v>
      </c>
      <c r="AO583" s="2027">
        <f t="shared" si="377"/>
        <v>560.25000000000011</v>
      </c>
      <c r="AP583" s="2027">
        <f t="shared" si="367"/>
        <v>560.25000000000011</v>
      </c>
      <c r="AQ583" s="2027">
        <f t="shared" si="367"/>
        <v>560.25000000000011</v>
      </c>
      <c r="AR583" s="2027">
        <f t="shared" si="367"/>
        <v>560.25000000000011</v>
      </c>
      <c r="AS583" s="2124">
        <f>AS122*1</f>
        <v>0</v>
      </c>
      <c r="AT583" s="2029">
        <f t="shared" si="368"/>
        <v>0</v>
      </c>
      <c r="AU583" s="2029">
        <f t="shared" si="368"/>
        <v>0</v>
      </c>
      <c r="AV583" s="2029">
        <f t="shared" si="368"/>
        <v>0</v>
      </c>
      <c r="AW583" s="2124">
        <f>AW122*1</f>
        <v>4</v>
      </c>
      <c r="AX583" s="2029">
        <f t="shared" si="388"/>
        <v>4</v>
      </c>
      <c r="AY583" s="2029">
        <f t="shared" si="388"/>
        <v>4</v>
      </c>
      <c r="AZ583" s="2029">
        <f t="shared" si="388"/>
        <v>4</v>
      </c>
      <c r="BA583" s="2124">
        <f t="shared" si="403"/>
        <v>6</v>
      </c>
      <c r="BB583" s="2029">
        <f t="shared" si="403"/>
        <v>6</v>
      </c>
      <c r="BC583" s="2029">
        <f t="shared" si="403"/>
        <v>6</v>
      </c>
      <c r="BD583" s="2029">
        <f t="shared" si="403"/>
        <v>6</v>
      </c>
      <c r="BE583" s="2030">
        <f t="shared" si="378"/>
        <v>0</v>
      </c>
      <c r="BF583" s="2030">
        <f t="shared" si="378"/>
        <v>0</v>
      </c>
      <c r="BG583" s="2030">
        <f t="shared" si="378"/>
        <v>0</v>
      </c>
      <c r="BH583" s="2030">
        <f t="shared" si="370"/>
        <v>0</v>
      </c>
      <c r="BI583" s="2030">
        <f t="shared" si="379"/>
        <v>48000</v>
      </c>
      <c r="BJ583" s="2030">
        <f t="shared" si="379"/>
        <v>48000</v>
      </c>
      <c r="BK583" s="2030">
        <f t="shared" si="379"/>
        <v>48000</v>
      </c>
      <c r="BL583" s="2030">
        <f t="shared" si="371"/>
        <v>48000</v>
      </c>
      <c r="BM583" s="2125"/>
      <c r="BN583" s="2125"/>
      <c r="BO583" s="2125"/>
      <c r="BP583" s="2125"/>
      <c r="BQ583" s="2125"/>
      <c r="BR583" s="2125"/>
      <c r="BS583" s="2125"/>
      <c r="BT583" s="2125"/>
      <c r="BU583" s="2029"/>
      <c r="BV583" s="2029"/>
      <c r="BW583" s="2029"/>
      <c r="BX583" s="2029"/>
      <c r="BY583" s="2029"/>
      <c r="BZ583" s="2032"/>
      <c r="CA583" s="1974">
        <f t="shared" si="409"/>
        <v>0</v>
      </c>
      <c r="CB583" s="1974">
        <f t="shared" si="409"/>
        <v>0</v>
      </c>
      <c r="CC583" s="1974">
        <f t="shared" si="409"/>
        <v>0</v>
      </c>
      <c r="CD583" s="1974">
        <f t="shared" si="409"/>
        <v>0</v>
      </c>
      <c r="CE583" s="1974">
        <f t="shared" si="409"/>
        <v>0</v>
      </c>
      <c r="CF583" s="2033">
        <v>0</v>
      </c>
      <c r="CG583" s="2026">
        <v>2.0901831078886174E-4</v>
      </c>
      <c r="CH583" s="2009">
        <f t="shared" si="410"/>
        <v>0</v>
      </c>
      <c r="CI583" s="2031">
        <f t="shared" si="410"/>
        <v>0</v>
      </c>
      <c r="CJ583" s="1974">
        <f t="shared" si="410"/>
        <v>0</v>
      </c>
      <c r="CK583" s="2031">
        <f t="shared" si="410"/>
        <v>0</v>
      </c>
      <c r="CL583" s="2026">
        <v>1</v>
      </c>
      <c r="CM583" s="2026">
        <v>1</v>
      </c>
      <c r="CN583" s="2026">
        <v>1</v>
      </c>
      <c r="CO583" s="2026">
        <v>1</v>
      </c>
      <c r="CP583" s="2035"/>
      <c r="CQ583" s="2036"/>
      <c r="CR583" s="2036"/>
      <c r="CS583" s="2036"/>
      <c r="CT583" s="2036"/>
      <c r="CU583" s="2036"/>
      <c r="CV583" s="1973">
        <v>1</v>
      </c>
      <c r="CW583" s="1973">
        <v>0</v>
      </c>
      <c r="CX583" s="2037">
        <v>4</v>
      </c>
      <c r="CY583" s="2037">
        <v>4</v>
      </c>
      <c r="CZ583" s="2037">
        <v>4</v>
      </c>
      <c r="DA583" s="2037">
        <v>4</v>
      </c>
      <c r="DJ583" s="1976">
        <v>0</v>
      </c>
      <c r="DK583" s="1973">
        <v>0</v>
      </c>
      <c r="DL583" s="1973">
        <v>0</v>
      </c>
      <c r="DM583" s="1973">
        <v>0</v>
      </c>
      <c r="DO583" s="2027">
        <v>15</v>
      </c>
      <c r="DP583" s="2144">
        <v>0</v>
      </c>
      <c r="DQ583" s="2145">
        <v>0</v>
      </c>
      <c r="DR583" s="2027">
        <v>5.1875000000000004E-2</v>
      </c>
      <c r="DS583" s="2124">
        <v>0</v>
      </c>
      <c r="DT583" s="2029">
        <v>0</v>
      </c>
      <c r="DU583" s="2029">
        <v>0</v>
      </c>
      <c r="DV583" s="2029">
        <v>0</v>
      </c>
      <c r="DW583" s="2124">
        <v>4</v>
      </c>
      <c r="DX583" s="2029">
        <v>4</v>
      </c>
      <c r="DY583" s="2029">
        <v>4</v>
      </c>
      <c r="DZ583" s="2029">
        <v>4</v>
      </c>
      <c r="EA583" s="2124">
        <v>6</v>
      </c>
      <c r="EB583" s="2029">
        <v>6</v>
      </c>
      <c r="EC583" s="2029">
        <v>6</v>
      </c>
      <c r="ED583" s="2029">
        <v>6</v>
      </c>
      <c r="EE583" s="2039">
        <f t="shared" ref="EE583:EH646" si="412">C583-DO583</f>
        <v>0</v>
      </c>
      <c r="EF583" s="2039">
        <f t="shared" si="412"/>
        <v>0</v>
      </c>
      <c r="EG583" s="2039">
        <f t="shared" si="412"/>
        <v>0</v>
      </c>
      <c r="EH583" s="2039">
        <f t="shared" si="412"/>
        <v>0</v>
      </c>
      <c r="EI583" s="2040">
        <f t="shared" si="385"/>
        <v>0</v>
      </c>
      <c r="EJ583" s="2040">
        <f t="shared" si="385"/>
        <v>0</v>
      </c>
      <c r="EK583" s="2040">
        <f t="shared" si="385"/>
        <v>0</v>
      </c>
      <c r="EL583" s="2040">
        <f t="shared" si="383"/>
        <v>0</v>
      </c>
      <c r="EM583" s="2040">
        <f t="shared" si="383"/>
        <v>0</v>
      </c>
      <c r="EN583" s="2040">
        <f t="shared" si="383"/>
        <v>0</v>
      </c>
      <c r="EO583" s="2040">
        <f t="shared" si="383"/>
        <v>0</v>
      </c>
      <c r="EP583" s="2040">
        <f t="shared" si="383"/>
        <v>0</v>
      </c>
      <c r="EQ583" s="2040">
        <f t="shared" si="383"/>
        <v>0</v>
      </c>
      <c r="ER583" s="2040">
        <f t="shared" si="393"/>
        <v>0</v>
      </c>
      <c r="ES583" s="2040">
        <f t="shared" si="393"/>
        <v>0</v>
      </c>
      <c r="ET583" s="2040">
        <f t="shared" si="393"/>
        <v>0</v>
      </c>
      <c r="EU583" s="2039">
        <f t="shared" ref="EU583:EU646" si="413">SUM(EE583:ET583)</f>
        <v>0</v>
      </c>
      <c r="EV583" s="2039">
        <f t="shared" ref="EV583:EV646" si="414">SUM(EE583:EH583)</f>
        <v>0</v>
      </c>
    </row>
    <row r="584" spans="1:152" x14ac:dyDescent="0.25">
      <c r="A584" s="2150" t="str">
        <f t="shared" si="408"/>
        <v>Notched V-belts for HVAC systems</v>
      </c>
      <c r="B584" s="1974" t="str">
        <f t="shared" si="408"/>
        <v/>
      </c>
      <c r="C584" s="2027">
        <f t="shared" si="411"/>
        <v>6.6</v>
      </c>
      <c r="D584" s="2144">
        <f t="shared" si="411"/>
        <v>265.27999999999997</v>
      </c>
      <c r="E584" s="2145">
        <f t="shared" si="411"/>
        <v>0.06</v>
      </c>
      <c r="F584" s="2027">
        <f t="shared" si="411"/>
        <v>0</v>
      </c>
      <c r="G584" s="1974" t="s">
        <v>2988</v>
      </c>
      <c r="H584" s="1974" t="s">
        <v>2988</v>
      </c>
      <c r="I584" s="2026">
        <v>0.9</v>
      </c>
      <c r="J584" s="2026">
        <v>0.9</v>
      </c>
      <c r="K584" s="2026">
        <v>0.9</v>
      </c>
      <c r="L584" s="2026">
        <v>0.9</v>
      </c>
      <c r="M584" s="2027">
        <f t="shared" si="374"/>
        <v>238.75199999999998</v>
      </c>
      <c r="N584" s="2027">
        <f t="shared" si="374"/>
        <v>238.75199999999998</v>
      </c>
      <c r="O584" s="2027">
        <f t="shared" si="374"/>
        <v>238.75199999999998</v>
      </c>
      <c r="P584" s="2027">
        <f t="shared" si="362"/>
        <v>238.75199999999998</v>
      </c>
      <c r="Q584" s="2026">
        <v>0.9</v>
      </c>
      <c r="R584" s="2026">
        <v>0.9</v>
      </c>
      <c r="S584" s="2026">
        <v>0.9</v>
      </c>
      <c r="T584" s="2026">
        <v>0.9</v>
      </c>
      <c r="U584" s="2028">
        <f t="shared" si="375"/>
        <v>5.3999999999999999E-2</v>
      </c>
      <c r="V584" s="2028">
        <f t="shared" si="375"/>
        <v>5.3999999999999999E-2</v>
      </c>
      <c r="W584" s="2028">
        <f t="shared" si="375"/>
        <v>5.3999999999999999E-2</v>
      </c>
      <c r="X584" s="2028">
        <f t="shared" si="363"/>
        <v>5.3999999999999999E-2</v>
      </c>
      <c r="Y584" s="2026">
        <v>0.9</v>
      </c>
      <c r="Z584" s="2026">
        <v>0.9</v>
      </c>
      <c r="AA584" s="2026">
        <v>0.9</v>
      </c>
      <c r="AB584" s="2026">
        <v>0.9</v>
      </c>
      <c r="AC584" s="2027">
        <f t="shared" si="376"/>
        <v>0</v>
      </c>
      <c r="AD584" s="2027">
        <f t="shared" si="376"/>
        <v>0</v>
      </c>
      <c r="AE584" s="2027">
        <f t="shared" si="376"/>
        <v>0</v>
      </c>
      <c r="AF584" s="2027">
        <f t="shared" si="364"/>
        <v>0</v>
      </c>
      <c r="AG584" s="2027">
        <v>14</v>
      </c>
      <c r="AH584" s="2027">
        <v>14</v>
      </c>
      <c r="AI584" s="2027">
        <v>14</v>
      </c>
      <c r="AJ584" s="2027">
        <v>14</v>
      </c>
      <c r="AK584" s="2027">
        <f t="shared" si="365"/>
        <v>3342.5279999999998</v>
      </c>
      <c r="AL584" s="2027">
        <f t="shared" si="397"/>
        <v>3342.5279999999998</v>
      </c>
      <c r="AM584" s="2027">
        <f t="shared" si="397"/>
        <v>3342.5279999999998</v>
      </c>
      <c r="AN584" s="2027">
        <f t="shared" si="397"/>
        <v>3342.5279999999998</v>
      </c>
      <c r="AO584" s="2027">
        <f t="shared" si="377"/>
        <v>0</v>
      </c>
      <c r="AP584" s="2027">
        <f t="shared" si="367"/>
        <v>0</v>
      </c>
      <c r="AQ584" s="2027">
        <f t="shared" si="367"/>
        <v>0</v>
      </c>
      <c r="AR584" s="2027">
        <f t="shared" si="367"/>
        <v>0</v>
      </c>
      <c r="AS584" s="2124">
        <f>AS123*1</f>
        <v>17.5</v>
      </c>
      <c r="AT584" s="2029">
        <f t="shared" si="368"/>
        <v>17.5</v>
      </c>
      <c r="AU584" s="2029">
        <f t="shared" si="368"/>
        <v>17.5</v>
      </c>
      <c r="AV584" s="2029">
        <f t="shared" si="368"/>
        <v>17.5</v>
      </c>
      <c r="AW584" s="2124">
        <f>AW123*1</f>
        <v>0</v>
      </c>
      <c r="AX584" s="2029">
        <f t="shared" si="388"/>
        <v>0</v>
      </c>
      <c r="AY584" s="2029">
        <f t="shared" si="388"/>
        <v>0</v>
      </c>
      <c r="AZ584" s="2029">
        <f t="shared" si="388"/>
        <v>0</v>
      </c>
      <c r="BA584" s="2124">
        <f t="shared" ref="BA584:BD599" si="415">BA123</f>
        <v>17.5</v>
      </c>
      <c r="BB584" s="2029">
        <f t="shared" si="415"/>
        <v>17.5</v>
      </c>
      <c r="BC584" s="2029">
        <f t="shared" si="415"/>
        <v>17.5</v>
      </c>
      <c r="BD584" s="2029">
        <f t="shared" si="415"/>
        <v>17.5</v>
      </c>
      <c r="BE584" s="2030">
        <f t="shared" si="378"/>
        <v>245</v>
      </c>
      <c r="BF584" s="2030">
        <f t="shared" si="378"/>
        <v>245</v>
      </c>
      <c r="BG584" s="2030">
        <f t="shared" si="378"/>
        <v>245</v>
      </c>
      <c r="BH584" s="2030">
        <f t="shared" si="370"/>
        <v>245</v>
      </c>
      <c r="BI584" s="2030">
        <f t="shared" si="379"/>
        <v>0</v>
      </c>
      <c r="BJ584" s="2030">
        <f t="shared" si="379"/>
        <v>0</v>
      </c>
      <c r="BK584" s="2030">
        <f t="shared" si="379"/>
        <v>0</v>
      </c>
      <c r="BL584" s="2030">
        <f t="shared" si="371"/>
        <v>0</v>
      </c>
      <c r="BM584" s="2125"/>
      <c r="BN584" s="2125"/>
      <c r="BO584" s="2125"/>
      <c r="BP584" s="2125"/>
      <c r="BQ584" s="2125"/>
      <c r="BR584" s="2125"/>
      <c r="BS584" s="2125"/>
      <c r="BT584" s="2125"/>
      <c r="BU584" s="2029"/>
      <c r="BV584" s="2029"/>
      <c r="BW584" s="2029"/>
      <c r="BX584" s="2029"/>
      <c r="BY584" s="2029"/>
      <c r="BZ584" s="2032"/>
      <c r="CA584" s="1974">
        <f t="shared" si="409"/>
        <v>0</v>
      </c>
      <c r="CB584" s="1974">
        <f t="shared" si="409"/>
        <v>0</v>
      </c>
      <c r="CC584" s="1974">
        <f t="shared" si="409"/>
        <v>0</v>
      </c>
      <c r="CD584" s="1974">
        <f t="shared" si="409"/>
        <v>0</v>
      </c>
      <c r="CE584" s="1974">
        <f t="shared" si="409"/>
        <v>0</v>
      </c>
      <c r="CF584" s="2033">
        <v>1.3972892796841181E-5</v>
      </c>
      <c r="CG584" s="2026">
        <v>0</v>
      </c>
      <c r="CH584" s="2009">
        <f t="shared" si="410"/>
        <v>0</v>
      </c>
      <c r="CI584" s="2031">
        <f t="shared" si="410"/>
        <v>0</v>
      </c>
      <c r="CJ584" s="1974">
        <f t="shared" si="410"/>
        <v>0</v>
      </c>
      <c r="CK584" s="2031">
        <f t="shared" si="410"/>
        <v>0</v>
      </c>
      <c r="CL584" s="2026">
        <v>1</v>
      </c>
      <c r="CM584" s="2026">
        <v>1</v>
      </c>
      <c r="CN584" s="2026">
        <v>1</v>
      </c>
      <c r="CO584" s="2026">
        <v>1</v>
      </c>
      <c r="CP584" s="2035"/>
      <c r="CQ584" s="2036"/>
      <c r="CR584" s="2036"/>
      <c r="CS584" s="2036"/>
      <c r="CT584" s="2036"/>
      <c r="CU584" s="2036"/>
      <c r="CV584" s="1973">
        <v>1</v>
      </c>
      <c r="CW584" s="1973">
        <v>3</v>
      </c>
      <c r="CX584" s="2037">
        <v>17.5</v>
      </c>
      <c r="CY584" s="2037">
        <v>17.5</v>
      </c>
      <c r="CZ584" s="2037">
        <v>17.5</v>
      </c>
      <c r="DA584" s="2037">
        <v>17.5</v>
      </c>
      <c r="DJ584" s="1976">
        <v>17.5</v>
      </c>
      <c r="DK584" s="1973">
        <v>17.5</v>
      </c>
      <c r="DL584" s="1973">
        <v>17.5</v>
      </c>
      <c r="DM584" s="1973">
        <v>17.5</v>
      </c>
      <c r="DO584" s="2027">
        <v>6.6</v>
      </c>
      <c r="DP584" s="2144">
        <v>265.27999999999997</v>
      </c>
      <c r="DQ584" s="2145">
        <v>0.06</v>
      </c>
      <c r="DR584" s="2027">
        <v>0</v>
      </c>
      <c r="DS584" s="2124">
        <v>17.5</v>
      </c>
      <c r="DT584" s="2029">
        <v>17.5</v>
      </c>
      <c r="DU584" s="2029">
        <v>17.5</v>
      </c>
      <c r="DV584" s="2029">
        <v>17.5</v>
      </c>
      <c r="DW584" s="2124">
        <v>0</v>
      </c>
      <c r="DX584" s="2029">
        <v>0</v>
      </c>
      <c r="DY584" s="2029">
        <v>0</v>
      </c>
      <c r="DZ584" s="2029">
        <v>0</v>
      </c>
      <c r="EA584" s="2124">
        <v>17.5</v>
      </c>
      <c r="EB584" s="2029">
        <v>17.5</v>
      </c>
      <c r="EC584" s="2029">
        <v>17.5</v>
      </c>
      <c r="ED584" s="2029">
        <v>17.5</v>
      </c>
      <c r="EE584" s="2039">
        <f t="shared" si="412"/>
        <v>0</v>
      </c>
      <c r="EF584" s="2039">
        <f t="shared" si="412"/>
        <v>0</v>
      </c>
      <c r="EG584" s="2039">
        <f t="shared" si="412"/>
        <v>0</v>
      </c>
      <c r="EH584" s="2039">
        <f t="shared" si="412"/>
        <v>0</v>
      </c>
      <c r="EI584" s="2040">
        <f t="shared" si="385"/>
        <v>0</v>
      </c>
      <c r="EJ584" s="2040">
        <f t="shared" si="385"/>
        <v>0</v>
      </c>
      <c r="EK584" s="2040">
        <f t="shared" si="385"/>
        <v>0</v>
      </c>
      <c r="EL584" s="2040">
        <f t="shared" si="383"/>
        <v>0</v>
      </c>
      <c r="EM584" s="2040">
        <f t="shared" si="383"/>
        <v>0</v>
      </c>
      <c r="EN584" s="2040">
        <f t="shared" si="383"/>
        <v>0</v>
      </c>
      <c r="EO584" s="2040">
        <f t="shared" si="383"/>
        <v>0</v>
      </c>
      <c r="EP584" s="2040">
        <f t="shared" si="383"/>
        <v>0</v>
      </c>
      <c r="EQ584" s="2040">
        <f t="shared" si="383"/>
        <v>0</v>
      </c>
      <c r="ER584" s="2040">
        <f t="shared" si="393"/>
        <v>0</v>
      </c>
      <c r="ES584" s="2040">
        <f t="shared" si="393"/>
        <v>0</v>
      </c>
      <c r="ET584" s="2040">
        <f t="shared" si="393"/>
        <v>0</v>
      </c>
      <c r="EU584" s="2039">
        <f t="shared" si="413"/>
        <v>0</v>
      </c>
      <c r="EV584" s="2039">
        <f t="shared" si="414"/>
        <v>0</v>
      </c>
    </row>
    <row r="585" spans="1:152" x14ac:dyDescent="0.25">
      <c r="A585" s="2149" t="str">
        <f t="shared" si="408"/>
        <v>Efficient compressed air nozzles</v>
      </c>
      <c r="B585" s="1974" t="str">
        <f t="shared" si="408"/>
        <v/>
      </c>
      <c r="C585" s="2027">
        <f t="shared" si="411"/>
        <v>15</v>
      </c>
      <c r="D585" s="2144">
        <f t="shared" si="411"/>
        <v>448.9</v>
      </c>
      <c r="E585" s="2145">
        <f t="shared" si="411"/>
        <v>0.216</v>
      </c>
      <c r="F585" s="2027">
        <f t="shared" si="411"/>
        <v>0</v>
      </c>
      <c r="G585" s="1974" t="s">
        <v>2988</v>
      </c>
      <c r="H585" s="1974" t="s">
        <v>2988</v>
      </c>
      <c r="I585" s="2026">
        <v>0.9</v>
      </c>
      <c r="J585" s="2026">
        <v>0.9</v>
      </c>
      <c r="K585" s="2026">
        <v>0.9</v>
      </c>
      <c r="L585" s="2026">
        <v>0.9</v>
      </c>
      <c r="M585" s="2027">
        <f t="shared" si="374"/>
        <v>404.01</v>
      </c>
      <c r="N585" s="2027">
        <f t="shared" si="374"/>
        <v>404.01</v>
      </c>
      <c r="O585" s="2027">
        <f t="shared" si="374"/>
        <v>404.01</v>
      </c>
      <c r="P585" s="2027">
        <f t="shared" si="362"/>
        <v>404.01</v>
      </c>
      <c r="Q585" s="2026">
        <v>0.9</v>
      </c>
      <c r="R585" s="2026">
        <v>0.9</v>
      </c>
      <c r="S585" s="2026">
        <v>0.9</v>
      </c>
      <c r="T585" s="2026">
        <v>0.9</v>
      </c>
      <c r="U585" s="2028">
        <f t="shared" si="375"/>
        <v>0.19439999999999999</v>
      </c>
      <c r="V585" s="2028">
        <f t="shared" si="375"/>
        <v>0.19439999999999999</v>
      </c>
      <c r="W585" s="2028">
        <f t="shared" si="375"/>
        <v>0.19439999999999999</v>
      </c>
      <c r="X585" s="2028">
        <f t="shared" si="363"/>
        <v>0.19439999999999999</v>
      </c>
      <c r="Y585" s="2026">
        <v>0.9</v>
      </c>
      <c r="Z585" s="2026">
        <v>0.9</v>
      </c>
      <c r="AA585" s="2026">
        <v>0.9</v>
      </c>
      <c r="AB585" s="2026">
        <v>0.9</v>
      </c>
      <c r="AC585" s="2027">
        <f t="shared" si="376"/>
        <v>0</v>
      </c>
      <c r="AD585" s="2027">
        <f t="shared" si="376"/>
        <v>0</v>
      </c>
      <c r="AE585" s="2027">
        <f t="shared" si="376"/>
        <v>0</v>
      </c>
      <c r="AF585" s="2027">
        <f t="shared" si="364"/>
        <v>0</v>
      </c>
      <c r="AG585" s="2027">
        <v>0</v>
      </c>
      <c r="AH585" s="2028"/>
      <c r="AI585" s="2028"/>
      <c r="AJ585" s="2028"/>
      <c r="AK585" s="2027">
        <f t="shared" si="365"/>
        <v>0</v>
      </c>
      <c r="AL585" s="2027">
        <f t="shared" si="397"/>
        <v>0</v>
      </c>
      <c r="AM585" s="2027">
        <f t="shared" si="397"/>
        <v>0</v>
      </c>
      <c r="AN585" s="2027">
        <f t="shared" si="397"/>
        <v>0</v>
      </c>
      <c r="AO585" s="2027">
        <f t="shared" si="377"/>
        <v>0</v>
      </c>
      <c r="AP585" s="2027">
        <f t="shared" si="367"/>
        <v>0</v>
      </c>
      <c r="AQ585" s="2027">
        <f t="shared" si="367"/>
        <v>0</v>
      </c>
      <c r="AR585" s="2027">
        <f t="shared" si="367"/>
        <v>0</v>
      </c>
      <c r="AS585" s="2124">
        <f>AS124*1.5</f>
        <v>60</v>
      </c>
      <c r="AT585" s="2029">
        <f t="shared" si="368"/>
        <v>60</v>
      </c>
      <c r="AU585" s="2029">
        <f t="shared" si="368"/>
        <v>60</v>
      </c>
      <c r="AV585" s="2029">
        <f t="shared" si="368"/>
        <v>60</v>
      </c>
      <c r="AW585" s="2124">
        <f>AW124*1.5</f>
        <v>0</v>
      </c>
      <c r="AX585" s="2029">
        <f t="shared" si="388"/>
        <v>0</v>
      </c>
      <c r="AY585" s="2029">
        <f t="shared" si="388"/>
        <v>0</v>
      </c>
      <c r="AZ585" s="2029">
        <f t="shared" si="388"/>
        <v>0</v>
      </c>
      <c r="BA585" s="2124">
        <f t="shared" si="415"/>
        <v>60.4</v>
      </c>
      <c r="BB585" s="2029">
        <f t="shared" si="415"/>
        <v>60.4</v>
      </c>
      <c r="BC585" s="2029">
        <f t="shared" si="415"/>
        <v>60.4</v>
      </c>
      <c r="BD585" s="2029">
        <f t="shared" si="415"/>
        <v>60.4</v>
      </c>
      <c r="BE585" s="2030">
        <f t="shared" si="378"/>
        <v>0</v>
      </c>
      <c r="BF585" s="2030">
        <f t="shared" si="378"/>
        <v>0</v>
      </c>
      <c r="BG585" s="2030">
        <f t="shared" si="378"/>
        <v>0</v>
      </c>
      <c r="BH585" s="2030">
        <f t="shared" si="370"/>
        <v>0</v>
      </c>
      <c r="BI585" s="2030">
        <f t="shared" si="379"/>
        <v>0</v>
      </c>
      <c r="BJ585" s="2030">
        <f t="shared" si="379"/>
        <v>0</v>
      </c>
      <c r="BK585" s="2030">
        <f t="shared" si="379"/>
        <v>0</v>
      </c>
      <c r="BL585" s="2030">
        <f t="shared" si="371"/>
        <v>0</v>
      </c>
      <c r="BM585" s="2125"/>
      <c r="BN585" s="2125"/>
      <c r="BO585" s="2125"/>
      <c r="BP585" s="2125"/>
      <c r="BQ585" s="2125"/>
      <c r="BR585" s="2125"/>
      <c r="BS585" s="2125"/>
      <c r="BT585" s="2125"/>
      <c r="BU585" s="2029"/>
      <c r="BV585" s="2029"/>
      <c r="BW585" s="2029"/>
      <c r="BX585" s="2029"/>
      <c r="BY585" s="2029"/>
      <c r="BZ585" s="2032"/>
      <c r="CA585" s="1974">
        <f t="shared" si="409"/>
        <v>0</v>
      </c>
      <c r="CB585" s="1974">
        <f t="shared" si="409"/>
        <v>0</v>
      </c>
      <c r="CC585" s="1974">
        <f t="shared" si="409"/>
        <v>0</v>
      </c>
      <c r="CD585" s="1974">
        <f t="shared" si="409"/>
        <v>0</v>
      </c>
      <c r="CE585" s="1974">
        <f t="shared" si="409"/>
        <v>0</v>
      </c>
      <c r="CF585" s="2033">
        <v>0</v>
      </c>
      <c r="CG585" s="2026">
        <v>0</v>
      </c>
      <c r="CH585" s="2009">
        <f t="shared" si="410"/>
        <v>0</v>
      </c>
      <c r="CI585" s="2031">
        <f t="shared" si="410"/>
        <v>0</v>
      </c>
      <c r="CJ585" s="1974">
        <f t="shared" si="410"/>
        <v>0</v>
      </c>
      <c r="CK585" s="2031">
        <f t="shared" si="410"/>
        <v>0</v>
      </c>
      <c r="CL585" s="2026">
        <v>1</v>
      </c>
      <c r="CM585" s="2026">
        <v>1</v>
      </c>
      <c r="CN585" s="2026">
        <v>1</v>
      </c>
      <c r="CO585" s="2026">
        <v>1</v>
      </c>
      <c r="CP585" s="2035"/>
      <c r="CQ585" s="2036"/>
      <c r="CR585" s="2036"/>
      <c r="CS585" s="2036"/>
      <c r="CT585" s="2036"/>
      <c r="CU585" s="2036"/>
      <c r="CV585" s="1973">
        <v>1</v>
      </c>
      <c r="CW585" s="1973">
        <v>0</v>
      </c>
      <c r="CX585" s="2037">
        <v>60</v>
      </c>
      <c r="CY585" s="2037">
        <v>60</v>
      </c>
      <c r="CZ585" s="2037">
        <v>60</v>
      </c>
      <c r="DA585" s="2037">
        <v>60</v>
      </c>
      <c r="DJ585" s="1976">
        <v>60</v>
      </c>
      <c r="DK585" s="1973">
        <v>60</v>
      </c>
      <c r="DL585" s="1973">
        <v>60</v>
      </c>
      <c r="DM585" s="1973">
        <v>60</v>
      </c>
      <c r="DO585" s="2027">
        <v>15</v>
      </c>
      <c r="DP585" s="2144">
        <v>448.9</v>
      </c>
      <c r="DQ585" s="2145">
        <v>0.216</v>
      </c>
      <c r="DR585" s="2027">
        <v>0</v>
      </c>
      <c r="DS585" s="2124">
        <v>60</v>
      </c>
      <c r="DT585" s="2029">
        <v>60</v>
      </c>
      <c r="DU585" s="2029">
        <v>60</v>
      </c>
      <c r="DV585" s="2029">
        <v>60</v>
      </c>
      <c r="DW585" s="2124">
        <v>0</v>
      </c>
      <c r="DX585" s="2029">
        <v>0</v>
      </c>
      <c r="DY585" s="2029">
        <v>0</v>
      </c>
      <c r="DZ585" s="2029">
        <v>0</v>
      </c>
      <c r="EA585" s="2124">
        <v>60.4</v>
      </c>
      <c r="EB585" s="2029">
        <v>60.4</v>
      </c>
      <c r="EC585" s="2029">
        <v>60.4</v>
      </c>
      <c r="ED585" s="2029">
        <v>60.4</v>
      </c>
      <c r="EE585" s="2039">
        <f t="shared" si="412"/>
        <v>0</v>
      </c>
      <c r="EF585" s="2039">
        <f t="shared" si="412"/>
        <v>0</v>
      </c>
      <c r="EG585" s="2039">
        <f t="shared" si="412"/>
        <v>0</v>
      </c>
      <c r="EH585" s="2039">
        <f t="shared" si="412"/>
        <v>0</v>
      </c>
      <c r="EI585" s="2040">
        <f t="shared" si="385"/>
        <v>0</v>
      </c>
      <c r="EJ585" s="2040">
        <f t="shared" si="385"/>
        <v>0</v>
      </c>
      <c r="EK585" s="2040">
        <f t="shared" si="385"/>
        <v>0</v>
      </c>
      <c r="EL585" s="2040">
        <f t="shared" si="383"/>
        <v>0</v>
      </c>
      <c r="EM585" s="2040">
        <f t="shared" si="383"/>
        <v>0</v>
      </c>
      <c r="EN585" s="2040">
        <f t="shared" si="383"/>
        <v>0</v>
      </c>
      <c r="EO585" s="2040">
        <f t="shared" si="383"/>
        <v>0</v>
      </c>
      <c r="EP585" s="2040">
        <f t="shared" si="383"/>
        <v>0</v>
      </c>
      <c r="EQ585" s="2040">
        <f t="shared" si="383"/>
        <v>0</v>
      </c>
      <c r="ER585" s="2040">
        <f t="shared" si="393"/>
        <v>0</v>
      </c>
      <c r="ES585" s="2040">
        <f t="shared" si="393"/>
        <v>0</v>
      </c>
      <c r="ET585" s="2040">
        <f t="shared" si="393"/>
        <v>0</v>
      </c>
      <c r="EU585" s="2039">
        <f t="shared" si="413"/>
        <v>0</v>
      </c>
      <c r="EV585" s="2039">
        <f t="shared" si="414"/>
        <v>0</v>
      </c>
    </row>
    <row r="586" spans="1:152" x14ac:dyDescent="0.25">
      <c r="A586" s="2150" t="str">
        <f t="shared" si="408"/>
        <v>Electric Convection Oven</v>
      </c>
      <c r="B586" s="1974" t="str">
        <f t="shared" si="408"/>
        <v>BPCK23</v>
      </c>
      <c r="C586" s="2027">
        <f t="shared" si="411"/>
        <v>12</v>
      </c>
      <c r="D586" s="2144">
        <f t="shared" si="411"/>
        <v>2200</v>
      </c>
      <c r="E586" s="2145">
        <f t="shared" si="411"/>
        <v>0.4</v>
      </c>
      <c r="F586" s="2027">
        <f t="shared" si="411"/>
        <v>0</v>
      </c>
      <c r="G586" s="1974" t="s">
        <v>2988</v>
      </c>
      <c r="H586" s="1974" t="s">
        <v>2988</v>
      </c>
      <c r="I586" s="2026">
        <v>0.9</v>
      </c>
      <c r="J586" s="2026">
        <v>0.9</v>
      </c>
      <c r="K586" s="2026">
        <v>0.9</v>
      </c>
      <c r="L586" s="2026">
        <v>0.9</v>
      </c>
      <c r="M586" s="2027">
        <f t="shared" si="374"/>
        <v>1980</v>
      </c>
      <c r="N586" s="2027">
        <f t="shared" si="374"/>
        <v>1980</v>
      </c>
      <c r="O586" s="2027">
        <f t="shared" si="374"/>
        <v>1980</v>
      </c>
      <c r="P586" s="2027">
        <f t="shared" si="362"/>
        <v>1980</v>
      </c>
      <c r="Q586" s="2026">
        <v>0.9</v>
      </c>
      <c r="R586" s="2026">
        <v>0.9</v>
      </c>
      <c r="S586" s="2026">
        <v>0.9</v>
      </c>
      <c r="T586" s="2026">
        <v>0.9</v>
      </c>
      <c r="U586" s="2028">
        <f t="shared" si="375"/>
        <v>0.36000000000000004</v>
      </c>
      <c r="V586" s="2028">
        <f t="shared" si="375"/>
        <v>0.36000000000000004</v>
      </c>
      <c r="W586" s="2028">
        <f t="shared" si="375"/>
        <v>0.36000000000000004</v>
      </c>
      <c r="X586" s="2028">
        <f t="shared" si="363"/>
        <v>0.36000000000000004</v>
      </c>
      <c r="Y586" s="2026">
        <v>0.9</v>
      </c>
      <c r="Z586" s="2026">
        <v>0.9</v>
      </c>
      <c r="AA586" s="2026">
        <v>0.9</v>
      </c>
      <c r="AB586" s="2026">
        <v>0.9</v>
      </c>
      <c r="AC586" s="2027">
        <f t="shared" si="376"/>
        <v>0</v>
      </c>
      <c r="AD586" s="2027">
        <f t="shared" si="376"/>
        <v>0</v>
      </c>
      <c r="AE586" s="2027">
        <f t="shared" si="376"/>
        <v>0</v>
      </c>
      <c r="AF586" s="2027">
        <f t="shared" si="364"/>
        <v>0</v>
      </c>
      <c r="AG586" s="2027">
        <v>0</v>
      </c>
      <c r="AH586" s="2028">
        <v>1</v>
      </c>
      <c r="AI586" s="2028"/>
      <c r="AJ586" s="2028">
        <v>1</v>
      </c>
      <c r="AK586" s="2027">
        <f t="shared" si="365"/>
        <v>0</v>
      </c>
      <c r="AL586" s="2027">
        <f t="shared" si="397"/>
        <v>1980</v>
      </c>
      <c r="AM586" s="2027">
        <f t="shared" si="397"/>
        <v>0</v>
      </c>
      <c r="AN586" s="2027">
        <f t="shared" si="397"/>
        <v>1980</v>
      </c>
      <c r="AO586" s="2027">
        <f t="shared" si="377"/>
        <v>0</v>
      </c>
      <c r="AP586" s="2027">
        <f t="shared" si="367"/>
        <v>0</v>
      </c>
      <c r="AQ586" s="2027">
        <f t="shared" si="367"/>
        <v>0</v>
      </c>
      <c r="AR586" s="2027">
        <f t="shared" si="367"/>
        <v>0</v>
      </c>
      <c r="AS586" s="2124">
        <f>AS125*1</f>
        <v>300</v>
      </c>
      <c r="AT586" s="2029">
        <f t="shared" si="368"/>
        <v>300</v>
      </c>
      <c r="AU586" s="2029">
        <f t="shared" si="368"/>
        <v>300</v>
      </c>
      <c r="AV586" s="2029">
        <f t="shared" si="368"/>
        <v>300</v>
      </c>
      <c r="AW586" s="2124">
        <f>AW125*1</f>
        <v>0</v>
      </c>
      <c r="AX586" s="2029">
        <f t="shared" si="388"/>
        <v>0</v>
      </c>
      <c r="AY586" s="2029">
        <f t="shared" si="388"/>
        <v>0</v>
      </c>
      <c r="AZ586" s="2029">
        <f t="shared" si="388"/>
        <v>0</v>
      </c>
      <c r="BA586" s="2124">
        <f t="shared" si="415"/>
        <v>900</v>
      </c>
      <c r="BB586" s="2029">
        <f t="shared" si="415"/>
        <v>900</v>
      </c>
      <c r="BC586" s="2029">
        <f t="shared" si="415"/>
        <v>900</v>
      </c>
      <c r="BD586" s="2029">
        <f t="shared" si="415"/>
        <v>900</v>
      </c>
      <c r="BE586" s="2030">
        <f t="shared" si="378"/>
        <v>0</v>
      </c>
      <c r="BF586" s="2030">
        <f t="shared" si="378"/>
        <v>300</v>
      </c>
      <c r="BG586" s="2030">
        <f t="shared" si="378"/>
        <v>0</v>
      </c>
      <c r="BH586" s="2030">
        <f t="shared" si="370"/>
        <v>300</v>
      </c>
      <c r="BI586" s="2030">
        <f t="shared" si="379"/>
        <v>0</v>
      </c>
      <c r="BJ586" s="2030">
        <f t="shared" si="379"/>
        <v>0</v>
      </c>
      <c r="BK586" s="2030">
        <f t="shared" si="379"/>
        <v>0</v>
      </c>
      <c r="BL586" s="2030">
        <f t="shared" si="371"/>
        <v>0</v>
      </c>
      <c r="BM586" s="2125"/>
      <c r="BN586" s="2125"/>
      <c r="BO586" s="2125"/>
      <c r="BP586" s="2125"/>
      <c r="BQ586" s="2125"/>
      <c r="BR586" s="2125"/>
      <c r="BS586" s="2125"/>
      <c r="BT586" s="2125"/>
      <c r="BU586" s="2029"/>
      <c r="BV586" s="2029"/>
      <c r="BW586" s="2029"/>
      <c r="BX586" s="2029"/>
      <c r="BY586" s="2029"/>
      <c r="BZ586" s="2032"/>
      <c r="CA586" s="1974">
        <f t="shared" si="409"/>
        <v>0</v>
      </c>
      <c r="CB586" s="1974">
        <f t="shared" si="409"/>
        <v>0</v>
      </c>
      <c r="CC586" s="1974">
        <f t="shared" si="409"/>
        <v>0</v>
      </c>
      <c r="CD586" s="1974">
        <f t="shared" si="409"/>
        <v>0</v>
      </c>
      <c r="CE586" s="1974">
        <f t="shared" si="409"/>
        <v>0</v>
      </c>
      <c r="CF586" s="2033">
        <v>0</v>
      </c>
      <c r="CG586" s="2026">
        <v>0</v>
      </c>
      <c r="CH586" s="2009">
        <f t="shared" si="410"/>
        <v>0</v>
      </c>
      <c r="CI586" s="2031">
        <f t="shared" si="410"/>
        <v>0</v>
      </c>
      <c r="CJ586" s="1974">
        <f t="shared" si="410"/>
        <v>0</v>
      </c>
      <c r="CK586" s="2031">
        <f t="shared" si="410"/>
        <v>0</v>
      </c>
      <c r="CL586" s="2026">
        <v>1</v>
      </c>
      <c r="CM586" s="2026">
        <v>1</v>
      </c>
      <c r="CN586" s="2026">
        <v>1</v>
      </c>
      <c r="CO586" s="2026">
        <v>1</v>
      </c>
      <c r="CP586" s="2035"/>
      <c r="CQ586" s="2036"/>
      <c r="CR586" s="2036"/>
      <c r="CS586" s="2036"/>
      <c r="CT586" s="2036"/>
      <c r="CU586" s="2036"/>
      <c r="CV586" s="1973">
        <v>1</v>
      </c>
      <c r="CW586" s="1973">
        <v>0</v>
      </c>
      <c r="CX586" s="2037">
        <v>300</v>
      </c>
      <c r="CY586" s="2037">
        <v>300</v>
      </c>
      <c r="CZ586" s="2037">
        <v>300</v>
      </c>
      <c r="DA586" s="2037">
        <v>300</v>
      </c>
      <c r="DJ586" s="1976">
        <v>300</v>
      </c>
      <c r="DK586" s="1973">
        <v>300</v>
      </c>
      <c r="DL586" s="1973">
        <v>300</v>
      </c>
      <c r="DM586" s="1973">
        <v>300</v>
      </c>
      <c r="DO586" s="2027">
        <v>12</v>
      </c>
      <c r="DP586" s="2144">
        <v>2200</v>
      </c>
      <c r="DQ586" s="2145">
        <v>0.4</v>
      </c>
      <c r="DR586" s="2027">
        <v>0</v>
      </c>
      <c r="DS586" s="2124">
        <v>300</v>
      </c>
      <c r="DT586" s="2029">
        <v>300</v>
      </c>
      <c r="DU586" s="2029">
        <v>300</v>
      </c>
      <c r="DV586" s="2029">
        <v>300</v>
      </c>
      <c r="DW586" s="2124">
        <v>0</v>
      </c>
      <c r="DX586" s="2029">
        <v>0</v>
      </c>
      <c r="DY586" s="2029">
        <v>0</v>
      </c>
      <c r="DZ586" s="2029">
        <v>0</v>
      </c>
      <c r="EA586" s="2124">
        <v>900</v>
      </c>
      <c r="EB586" s="2029">
        <v>900</v>
      </c>
      <c r="EC586" s="2029">
        <v>900</v>
      </c>
      <c r="ED586" s="2029">
        <v>900</v>
      </c>
      <c r="EE586" s="2039">
        <f t="shared" si="412"/>
        <v>0</v>
      </c>
      <c r="EF586" s="2039">
        <f t="shared" si="412"/>
        <v>0</v>
      </c>
      <c r="EG586" s="2039">
        <f t="shared" si="412"/>
        <v>0</v>
      </c>
      <c r="EH586" s="2039">
        <f t="shared" si="412"/>
        <v>0</v>
      </c>
      <c r="EI586" s="2040">
        <f t="shared" si="385"/>
        <v>0</v>
      </c>
      <c r="EJ586" s="2040">
        <f t="shared" si="385"/>
        <v>0</v>
      </c>
      <c r="EK586" s="2040">
        <f t="shared" si="385"/>
        <v>0</v>
      </c>
      <c r="EL586" s="2040">
        <f t="shared" si="383"/>
        <v>0</v>
      </c>
      <c r="EM586" s="2040">
        <f t="shared" si="383"/>
        <v>0</v>
      </c>
      <c r="EN586" s="2040">
        <f t="shared" si="383"/>
        <v>0</v>
      </c>
      <c r="EO586" s="2040">
        <f t="shared" si="383"/>
        <v>0</v>
      </c>
      <c r="EP586" s="2040">
        <f t="shared" si="383"/>
        <v>0</v>
      </c>
      <c r="EQ586" s="2040">
        <f t="shared" si="383"/>
        <v>0</v>
      </c>
      <c r="ER586" s="2040">
        <f t="shared" si="393"/>
        <v>0</v>
      </c>
      <c r="ES586" s="2040">
        <f t="shared" si="393"/>
        <v>0</v>
      </c>
      <c r="ET586" s="2040">
        <f t="shared" si="393"/>
        <v>0</v>
      </c>
      <c r="EU586" s="2039">
        <f t="shared" si="413"/>
        <v>0</v>
      </c>
      <c r="EV586" s="2039">
        <f t="shared" si="414"/>
        <v>0</v>
      </c>
    </row>
    <row r="587" spans="1:152" x14ac:dyDescent="0.25">
      <c r="A587" s="2149" t="str">
        <f t="shared" si="408"/>
        <v>Pump Optimization</v>
      </c>
      <c r="B587" s="1974" t="str">
        <f t="shared" si="408"/>
        <v/>
      </c>
      <c r="C587" s="2027">
        <f t="shared" si="411"/>
        <v>8</v>
      </c>
      <c r="D587" s="2144">
        <f t="shared" si="411"/>
        <v>312.76</v>
      </c>
      <c r="E587" s="2145">
        <f t="shared" si="411"/>
        <v>2.76E-2</v>
      </c>
      <c r="F587" s="2027">
        <f t="shared" si="411"/>
        <v>0</v>
      </c>
      <c r="G587" s="1974" t="s">
        <v>2988</v>
      </c>
      <c r="H587" s="1974" t="s">
        <v>2988</v>
      </c>
      <c r="I587" s="2026">
        <v>0.9</v>
      </c>
      <c r="J587" s="2026">
        <v>0.9</v>
      </c>
      <c r="K587" s="2026">
        <v>0.9</v>
      </c>
      <c r="L587" s="2026">
        <v>0.9</v>
      </c>
      <c r="M587" s="2027">
        <f t="shared" si="374"/>
        <v>281.48399999999998</v>
      </c>
      <c r="N587" s="2027">
        <f t="shared" si="374"/>
        <v>281.48399999999998</v>
      </c>
      <c r="O587" s="2027">
        <f t="shared" si="374"/>
        <v>281.48399999999998</v>
      </c>
      <c r="P587" s="2027">
        <f t="shared" si="362"/>
        <v>281.48399999999998</v>
      </c>
      <c r="Q587" s="2026">
        <v>0.9</v>
      </c>
      <c r="R587" s="2026">
        <v>0.9</v>
      </c>
      <c r="S587" s="2026">
        <v>0.9</v>
      </c>
      <c r="T587" s="2026">
        <v>0.9</v>
      </c>
      <c r="U587" s="2028">
        <f t="shared" si="375"/>
        <v>2.4840000000000001E-2</v>
      </c>
      <c r="V587" s="2028">
        <f t="shared" si="375"/>
        <v>2.4840000000000001E-2</v>
      </c>
      <c r="W587" s="2028">
        <f t="shared" si="375"/>
        <v>2.4840000000000001E-2</v>
      </c>
      <c r="X587" s="2028">
        <f t="shared" si="363"/>
        <v>2.4840000000000001E-2</v>
      </c>
      <c r="Y587" s="2026">
        <v>0.9</v>
      </c>
      <c r="Z587" s="2026">
        <v>0.9</v>
      </c>
      <c r="AA587" s="2026">
        <v>0.9</v>
      </c>
      <c r="AB587" s="2026">
        <v>0.9</v>
      </c>
      <c r="AC587" s="2027">
        <f t="shared" si="376"/>
        <v>0</v>
      </c>
      <c r="AD587" s="2027">
        <f t="shared" si="376"/>
        <v>0</v>
      </c>
      <c r="AE587" s="2027">
        <f t="shared" si="376"/>
        <v>0</v>
      </c>
      <c r="AF587" s="2027">
        <f t="shared" si="364"/>
        <v>0</v>
      </c>
      <c r="AG587" s="2027">
        <v>0</v>
      </c>
      <c r="AH587" s="2028"/>
      <c r="AI587" s="2028"/>
      <c r="AJ587" s="2028"/>
      <c r="AK587" s="2027">
        <f t="shared" si="365"/>
        <v>0</v>
      </c>
      <c r="AL587" s="2027">
        <f t="shared" si="397"/>
        <v>0</v>
      </c>
      <c r="AM587" s="2027">
        <f t="shared" si="397"/>
        <v>0</v>
      </c>
      <c r="AN587" s="2027">
        <f t="shared" si="397"/>
        <v>0</v>
      </c>
      <c r="AO587" s="2027">
        <f t="shared" si="377"/>
        <v>0</v>
      </c>
      <c r="AP587" s="2027">
        <f t="shared" si="367"/>
        <v>0</v>
      </c>
      <c r="AQ587" s="2027">
        <f t="shared" si="367"/>
        <v>0</v>
      </c>
      <c r="AR587" s="2027">
        <f t="shared" si="367"/>
        <v>0</v>
      </c>
      <c r="AS587" s="2124">
        <f>AS126*1.5</f>
        <v>37.5</v>
      </c>
      <c r="AT587" s="2029">
        <f t="shared" si="368"/>
        <v>37.5</v>
      </c>
      <c r="AU587" s="2029">
        <f t="shared" si="368"/>
        <v>37.5</v>
      </c>
      <c r="AV587" s="2029">
        <f t="shared" si="368"/>
        <v>37.5</v>
      </c>
      <c r="AW587" s="2124">
        <f>AW126*1.5</f>
        <v>0</v>
      </c>
      <c r="AX587" s="2029">
        <f t="shared" si="388"/>
        <v>0</v>
      </c>
      <c r="AY587" s="2029">
        <f t="shared" si="388"/>
        <v>0</v>
      </c>
      <c r="AZ587" s="2029">
        <f t="shared" si="388"/>
        <v>0</v>
      </c>
      <c r="BA587" s="2124">
        <f t="shared" si="415"/>
        <v>110</v>
      </c>
      <c r="BB587" s="2029">
        <f t="shared" si="415"/>
        <v>110</v>
      </c>
      <c r="BC587" s="2029">
        <f t="shared" si="415"/>
        <v>110</v>
      </c>
      <c r="BD587" s="2029">
        <f t="shared" si="415"/>
        <v>110</v>
      </c>
      <c r="BE587" s="2030">
        <f t="shared" si="378"/>
        <v>0</v>
      </c>
      <c r="BF587" s="2030">
        <f t="shared" si="378"/>
        <v>0</v>
      </c>
      <c r="BG587" s="2030">
        <f t="shared" si="378"/>
        <v>0</v>
      </c>
      <c r="BH587" s="2030">
        <f t="shared" si="370"/>
        <v>0</v>
      </c>
      <c r="BI587" s="2030">
        <f t="shared" si="379"/>
        <v>0</v>
      </c>
      <c r="BJ587" s="2030">
        <f t="shared" si="379"/>
        <v>0</v>
      </c>
      <c r="BK587" s="2030">
        <f t="shared" si="379"/>
        <v>0</v>
      </c>
      <c r="BL587" s="2030">
        <f t="shared" si="371"/>
        <v>0</v>
      </c>
      <c r="BM587" s="2125"/>
      <c r="BN587" s="2125"/>
      <c r="BO587" s="2125"/>
      <c r="BP587" s="2125"/>
      <c r="BQ587" s="2125"/>
      <c r="BR587" s="2125"/>
      <c r="BS587" s="2125"/>
      <c r="BT587" s="2125"/>
      <c r="BU587" s="2029"/>
      <c r="BV587" s="2029"/>
      <c r="BW587" s="2029"/>
      <c r="BX587" s="2029"/>
      <c r="BY587" s="2029"/>
      <c r="BZ587" s="2032"/>
      <c r="CA587" s="1974">
        <f t="shared" si="409"/>
        <v>0</v>
      </c>
      <c r="CB587" s="1974">
        <f t="shared" si="409"/>
        <v>0</v>
      </c>
      <c r="CC587" s="1974">
        <f t="shared" si="409"/>
        <v>0</v>
      </c>
      <c r="CD587" s="1974">
        <f t="shared" si="409"/>
        <v>0</v>
      </c>
      <c r="CE587" s="1974">
        <f t="shared" si="409"/>
        <v>0</v>
      </c>
      <c r="CF587" s="2033">
        <v>0</v>
      </c>
      <c r="CG587" s="2026">
        <v>0</v>
      </c>
      <c r="CH587" s="2009">
        <f t="shared" si="410"/>
        <v>0</v>
      </c>
      <c r="CI587" s="2031">
        <f t="shared" si="410"/>
        <v>0</v>
      </c>
      <c r="CJ587" s="1974">
        <f t="shared" si="410"/>
        <v>0</v>
      </c>
      <c r="CK587" s="2031">
        <f t="shared" si="410"/>
        <v>0</v>
      </c>
      <c r="CL587" s="2026">
        <v>1</v>
      </c>
      <c r="CM587" s="2026">
        <v>1</v>
      </c>
      <c r="CN587" s="2026">
        <v>1</v>
      </c>
      <c r="CO587" s="2026">
        <v>1</v>
      </c>
      <c r="CP587" s="2035"/>
      <c r="CQ587" s="2036"/>
      <c r="CR587" s="2036"/>
      <c r="CS587" s="2036"/>
      <c r="CT587" s="2036"/>
      <c r="CU587" s="2036"/>
      <c r="CV587" s="1973">
        <v>1</v>
      </c>
      <c r="CW587" s="1973">
        <v>0</v>
      </c>
      <c r="CX587" s="2037">
        <v>37.5</v>
      </c>
      <c r="CY587" s="2037">
        <v>37.5</v>
      </c>
      <c r="CZ587" s="2037">
        <v>37.5</v>
      </c>
      <c r="DA587" s="2037">
        <v>37.5</v>
      </c>
      <c r="DJ587" s="1976">
        <v>37.5</v>
      </c>
      <c r="DK587" s="1973">
        <v>37.5</v>
      </c>
      <c r="DL587" s="1973">
        <v>37.5</v>
      </c>
      <c r="DM587" s="1973">
        <v>37.5</v>
      </c>
      <c r="DO587" s="2027">
        <v>10</v>
      </c>
      <c r="DP587" s="2144">
        <v>312.76</v>
      </c>
      <c r="DQ587" s="2145">
        <v>2.76E-2</v>
      </c>
      <c r="DR587" s="2027">
        <v>0</v>
      </c>
      <c r="DS587" s="2124">
        <v>37.5</v>
      </c>
      <c r="DT587" s="2029">
        <v>37.5</v>
      </c>
      <c r="DU587" s="2029">
        <v>37.5</v>
      </c>
      <c r="DV587" s="2029">
        <v>37.5</v>
      </c>
      <c r="DW587" s="2124">
        <v>0</v>
      </c>
      <c r="DX587" s="2029">
        <v>0</v>
      </c>
      <c r="DY587" s="2029">
        <v>0</v>
      </c>
      <c r="DZ587" s="2029">
        <v>0</v>
      </c>
      <c r="EA587" s="2124">
        <v>110</v>
      </c>
      <c r="EB587" s="2029">
        <v>110</v>
      </c>
      <c r="EC587" s="2029">
        <v>110</v>
      </c>
      <c r="ED587" s="2029">
        <v>110</v>
      </c>
      <c r="EE587" s="2039">
        <f t="shared" si="412"/>
        <v>-2</v>
      </c>
      <c r="EF587" s="2039">
        <f t="shared" si="412"/>
        <v>0</v>
      </c>
      <c r="EG587" s="2039">
        <f t="shared" si="412"/>
        <v>0</v>
      </c>
      <c r="EH587" s="2039">
        <f t="shared" si="412"/>
        <v>0</v>
      </c>
      <c r="EI587" s="2040">
        <f t="shared" si="385"/>
        <v>0</v>
      </c>
      <c r="EJ587" s="2040">
        <f t="shared" si="385"/>
        <v>0</v>
      </c>
      <c r="EK587" s="2040">
        <f t="shared" si="385"/>
        <v>0</v>
      </c>
      <c r="EL587" s="2040">
        <f t="shared" si="383"/>
        <v>0</v>
      </c>
      <c r="EM587" s="2040">
        <f t="shared" si="383"/>
        <v>0</v>
      </c>
      <c r="EN587" s="2040">
        <f t="shared" si="383"/>
        <v>0</v>
      </c>
      <c r="EO587" s="2040">
        <f t="shared" si="383"/>
        <v>0</v>
      </c>
      <c r="EP587" s="2040">
        <f t="shared" si="383"/>
        <v>0</v>
      </c>
      <c r="EQ587" s="2040">
        <f t="shared" si="383"/>
        <v>0</v>
      </c>
      <c r="ER587" s="2040">
        <f t="shared" si="393"/>
        <v>0</v>
      </c>
      <c r="ES587" s="2040">
        <f t="shared" si="393"/>
        <v>0</v>
      </c>
      <c r="ET587" s="2040">
        <f t="shared" si="393"/>
        <v>0</v>
      </c>
      <c r="EU587" s="2039">
        <f t="shared" si="413"/>
        <v>-2</v>
      </c>
      <c r="EV587" s="2039">
        <f t="shared" si="414"/>
        <v>-2</v>
      </c>
    </row>
    <row r="588" spans="1:152" s="2161" customFormat="1" x14ac:dyDescent="0.25">
      <c r="A588" s="2152" t="str">
        <f t="shared" si="408"/>
        <v>Programmable thermostat (new)</v>
      </c>
      <c r="B588" s="2047" t="str">
        <f t="shared" si="408"/>
        <v/>
      </c>
      <c r="C588" s="2146">
        <f t="shared" si="411"/>
        <v>8</v>
      </c>
      <c r="D588" s="2147">
        <f t="shared" si="411"/>
        <v>4726</v>
      </c>
      <c r="E588" s="2148">
        <f t="shared" si="411"/>
        <v>0</v>
      </c>
      <c r="F588" s="2146">
        <f t="shared" si="411"/>
        <v>73.599999999999994</v>
      </c>
      <c r="G588" s="2047" t="s">
        <v>2988</v>
      </c>
      <c r="H588" s="2047" t="s">
        <v>2988</v>
      </c>
      <c r="I588" s="2153">
        <v>0.9</v>
      </c>
      <c r="J588" s="2153">
        <v>0.9</v>
      </c>
      <c r="K588" s="2153">
        <v>0.9</v>
      </c>
      <c r="L588" s="2153">
        <v>0.9</v>
      </c>
      <c r="M588" s="2146">
        <f t="shared" si="374"/>
        <v>4253.4000000000005</v>
      </c>
      <c r="N588" s="2146">
        <f t="shared" si="374"/>
        <v>4253.4000000000005</v>
      </c>
      <c r="O588" s="2146">
        <f t="shared" si="374"/>
        <v>4253.4000000000005</v>
      </c>
      <c r="P588" s="2146">
        <f t="shared" si="362"/>
        <v>4253.4000000000005</v>
      </c>
      <c r="Q588" s="2153">
        <v>0.9</v>
      </c>
      <c r="R588" s="2153">
        <v>0.9</v>
      </c>
      <c r="S588" s="2153">
        <v>0.9</v>
      </c>
      <c r="T588" s="2153">
        <v>0.9</v>
      </c>
      <c r="U588" s="2129">
        <f t="shared" si="375"/>
        <v>0</v>
      </c>
      <c r="V588" s="2129">
        <f t="shared" si="375"/>
        <v>0</v>
      </c>
      <c r="W588" s="2129">
        <f t="shared" si="375"/>
        <v>0</v>
      </c>
      <c r="X588" s="2129">
        <f t="shared" si="363"/>
        <v>0</v>
      </c>
      <c r="Y588" s="2153">
        <v>0.9</v>
      </c>
      <c r="Z588" s="2153">
        <v>0.9</v>
      </c>
      <c r="AA588" s="2153">
        <v>0.9</v>
      </c>
      <c r="AB588" s="2153">
        <v>0.9</v>
      </c>
      <c r="AC588" s="2146">
        <f t="shared" si="376"/>
        <v>66.239999999999995</v>
      </c>
      <c r="AD588" s="2146">
        <f t="shared" si="376"/>
        <v>66.239999999999995</v>
      </c>
      <c r="AE588" s="2146">
        <f t="shared" si="376"/>
        <v>66.239999999999995</v>
      </c>
      <c r="AF588" s="2146">
        <f t="shared" si="364"/>
        <v>66.239999999999995</v>
      </c>
      <c r="AG588" s="2146">
        <v>12</v>
      </c>
      <c r="AH588" s="2146">
        <v>4</v>
      </c>
      <c r="AI588" s="2146">
        <v>1</v>
      </c>
      <c r="AJ588" s="2146">
        <v>1</v>
      </c>
      <c r="AK588" s="2146">
        <f t="shared" si="365"/>
        <v>51040.800000000003</v>
      </c>
      <c r="AL588" s="2146">
        <f t="shared" si="397"/>
        <v>17013.600000000002</v>
      </c>
      <c r="AM588" s="2146">
        <f t="shared" si="397"/>
        <v>4253.4000000000005</v>
      </c>
      <c r="AN588" s="2146">
        <f t="shared" si="397"/>
        <v>4253.4000000000005</v>
      </c>
      <c r="AO588" s="2146">
        <f t="shared" si="377"/>
        <v>794.87999999999988</v>
      </c>
      <c r="AP588" s="2146">
        <f t="shared" si="367"/>
        <v>264.95999999999998</v>
      </c>
      <c r="AQ588" s="2146">
        <f t="shared" si="367"/>
        <v>66.239999999999995</v>
      </c>
      <c r="AR588" s="2146">
        <f t="shared" si="367"/>
        <v>66.239999999999995</v>
      </c>
      <c r="AS588" s="2046">
        <f>DF588</f>
        <v>144.5</v>
      </c>
      <c r="AT588" s="2046">
        <f t="shared" si="368"/>
        <v>144.5</v>
      </c>
      <c r="AU588" s="2046">
        <f t="shared" si="368"/>
        <v>144.5</v>
      </c>
      <c r="AV588" s="2046">
        <f t="shared" si="368"/>
        <v>144.5</v>
      </c>
      <c r="AW588" s="2046">
        <f>CX588-AS588</f>
        <v>25.5</v>
      </c>
      <c r="AX588" s="2046">
        <f t="shared" si="388"/>
        <v>25.5</v>
      </c>
      <c r="AY588" s="2046">
        <f t="shared" si="388"/>
        <v>25.5</v>
      </c>
      <c r="AZ588" s="2046">
        <f t="shared" si="388"/>
        <v>25.5</v>
      </c>
      <c r="BA588" s="2046">
        <f t="shared" si="415"/>
        <v>181</v>
      </c>
      <c r="BB588" s="2046">
        <f t="shared" si="415"/>
        <v>181</v>
      </c>
      <c r="BC588" s="2046">
        <f t="shared" si="415"/>
        <v>181</v>
      </c>
      <c r="BD588" s="2046">
        <f t="shared" si="415"/>
        <v>181</v>
      </c>
      <c r="BE588" s="2154">
        <f t="shared" si="378"/>
        <v>1734</v>
      </c>
      <c r="BF588" s="2154">
        <f t="shared" si="378"/>
        <v>578</v>
      </c>
      <c r="BG588" s="2154">
        <f t="shared" si="378"/>
        <v>144.5</v>
      </c>
      <c r="BH588" s="2154">
        <f t="shared" si="370"/>
        <v>144.5</v>
      </c>
      <c r="BI588" s="2154">
        <f t="shared" si="379"/>
        <v>306</v>
      </c>
      <c r="BJ588" s="2154">
        <f t="shared" si="379"/>
        <v>102</v>
      </c>
      <c r="BK588" s="2154">
        <f t="shared" si="379"/>
        <v>25.5</v>
      </c>
      <c r="BL588" s="2154">
        <f t="shared" si="371"/>
        <v>25.5</v>
      </c>
      <c r="BM588" s="2155"/>
      <c r="BN588" s="2155"/>
      <c r="BO588" s="2155"/>
      <c r="BP588" s="2155"/>
      <c r="BQ588" s="2155"/>
      <c r="BR588" s="2155"/>
      <c r="BS588" s="2155"/>
      <c r="BT588" s="2155"/>
      <c r="BU588" s="2046"/>
      <c r="BV588" s="2046"/>
      <c r="BW588" s="2046"/>
      <c r="BX588" s="2046"/>
      <c r="BY588" s="2046"/>
      <c r="BZ588" s="2156"/>
      <c r="CA588" s="2047">
        <f t="shared" si="409"/>
        <v>0</v>
      </c>
      <c r="CB588" s="2047">
        <f t="shared" si="409"/>
        <v>0</v>
      </c>
      <c r="CC588" s="2047">
        <f t="shared" si="409"/>
        <v>0</v>
      </c>
      <c r="CD588" s="2047">
        <f t="shared" si="409"/>
        <v>0</v>
      </c>
      <c r="CE588" s="2047">
        <f t="shared" si="409"/>
        <v>0</v>
      </c>
      <c r="CF588" s="2157">
        <v>2.1336773444082186E-4</v>
      </c>
      <c r="CG588" s="2153">
        <v>2.9655417203007652E-4</v>
      </c>
      <c r="CH588" s="2158">
        <f t="shared" si="410"/>
        <v>0</v>
      </c>
      <c r="CI588" s="2063">
        <f t="shared" si="410"/>
        <v>0</v>
      </c>
      <c r="CJ588" s="2047">
        <f t="shared" si="410"/>
        <v>0</v>
      </c>
      <c r="CK588" s="2063">
        <f t="shared" si="410"/>
        <v>0</v>
      </c>
      <c r="CL588" s="2153">
        <v>1</v>
      </c>
      <c r="CM588" s="2153">
        <v>1</v>
      </c>
      <c r="CN588" s="2153">
        <v>1</v>
      </c>
      <c r="CO588" s="2153">
        <v>1</v>
      </c>
      <c r="CP588" s="2159"/>
      <c r="CQ588" s="2160"/>
      <c r="CR588" s="2160"/>
      <c r="CS588" s="2160"/>
      <c r="CT588" s="2160"/>
      <c r="CU588" s="2160"/>
      <c r="CV588" s="2161">
        <v>1</v>
      </c>
      <c r="CW588" s="2161">
        <v>0</v>
      </c>
      <c r="CX588" s="2162">
        <v>170</v>
      </c>
      <c r="CY588" s="2162">
        <f>$CX588</f>
        <v>170</v>
      </c>
      <c r="CZ588" s="2162">
        <f t="shared" ref="CZ588:DA588" si="416">$CX588</f>
        <v>170</v>
      </c>
      <c r="DA588" s="2162">
        <f t="shared" si="416"/>
        <v>170</v>
      </c>
      <c r="DB588" s="2165">
        <v>0.85</v>
      </c>
      <c r="DC588" s="2165">
        <v>0.85</v>
      </c>
      <c r="DD588" s="2165">
        <v>0.85</v>
      </c>
      <c r="DE588" s="2165">
        <v>0.85</v>
      </c>
      <c r="DF588" s="2162">
        <f>DB588*CX588</f>
        <v>144.5</v>
      </c>
      <c r="DG588" s="2162">
        <f>DC588*CY588</f>
        <v>144.5</v>
      </c>
      <c r="DH588" s="2162">
        <f>DD588*CZ588</f>
        <v>144.5</v>
      </c>
      <c r="DI588" s="2162">
        <f>DE588*DA588</f>
        <v>144.5</v>
      </c>
      <c r="DJ588" s="2163">
        <v>50</v>
      </c>
      <c r="DK588" s="2161">
        <v>50</v>
      </c>
      <c r="DL588" s="2161">
        <v>50</v>
      </c>
      <c r="DM588" s="2161">
        <v>50</v>
      </c>
      <c r="DN588" s="1977"/>
      <c r="DO588" s="2027">
        <v>4</v>
      </c>
      <c r="DP588" s="2144">
        <v>4726</v>
      </c>
      <c r="DQ588" s="2145">
        <v>0</v>
      </c>
      <c r="DR588" s="2027">
        <v>73.599999999999994</v>
      </c>
      <c r="DS588" s="2029">
        <v>144.5</v>
      </c>
      <c r="DT588" s="2029">
        <v>144.5</v>
      </c>
      <c r="DU588" s="2029">
        <v>144.5</v>
      </c>
      <c r="DV588" s="2029">
        <v>144.5</v>
      </c>
      <c r="DW588" s="2029">
        <v>25.5</v>
      </c>
      <c r="DX588" s="2029">
        <v>25.5</v>
      </c>
      <c r="DY588" s="2029">
        <v>25.5</v>
      </c>
      <c r="DZ588" s="2029">
        <v>25.5</v>
      </c>
      <c r="EA588" s="2029">
        <v>181</v>
      </c>
      <c r="EB588" s="2029">
        <v>181</v>
      </c>
      <c r="EC588" s="2029">
        <v>181</v>
      </c>
      <c r="ED588" s="2029">
        <v>181</v>
      </c>
      <c r="EE588" s="2039">
        <f t="shared" si="412"/>
        <v>4</v>
      </c>
      <c r="EF588" s="2039">
        <f t="shared" si="412"/>
        <v>0</v>
      </c>
      <c r="EG588" s="2039">
        <f t="shared" si="412"/>
        <v>0</v>
      </c>
      <c r="EH588" s="2039">
        <f t="shared" si="412"/>
        <v>0</v>
      </c>
      <c r="EI588" s="2040">
        <f t="shared" si="385"/>
        <v>0</v>
      </c>
      <c r="EJ588" s="2040">
        <f t="shared" si="385"/>
        <v>0</v>
      </c>
      <c r="EK588" s="2040">
        <f t="shared" si="385"/>
        <v>0</v>
      </c>
      <c r="EL588" s="2040">
        <f t="shared" si="383"/>
        <v>0</v>
      </c>
      <c r="EM588" s="2040">
        <f t="shared" si="383"/>
        <v>0</v>
      </c>
      <c r="EN588" s="2040">
        <f t="shared" si="383"/>
        <v>0</v>
      </c>
      <c r="EO588" s="2040">
        <f t="shared" si="383"/>
        <v>0</v>
      </c>
      <c r="EP588" s="2040">
        <f t="shared" si="383"/>
        <v>0</v>
      </c>
      <c r="EQ588" s="2040">
        <f t="shared" si="383"/>
        <v>0</v>
      </c>
      <c r="ER588" s="2040">
        <f t="shared" si="393"/>
        <v>0</v>
      </c>
      <c r="ES588" s="2040">
        <f t="shared" si="393"/>
        <v>0</v>
      </c>
      <c r="ET588" s="2040">
        <f t="shared" si="393"/>
        <v>0</v>
      </c>
      <c r="EU588" s="2039">
        <f t="shared" si="413"/>
        <v>4</v>
      </c>
      <c r="EV588" s="2039">
        <f t="shared" si="414"/>
        <v>4</v>
      </c>
    </row>
    <row r="589" spans="1:152" x14ac:dyDescent="0.25">
      <c r="A589" s="2149" t="str">
        <f t="shared" si="408"/>
        <v>Multifamily Central Domestic Hot Water Plants</v>
      </c>
      <c r="B589" s="1974" t="str">
        <f t="shared" si="408"/>
        <v/>
      </c>
      <c r="C589" s="2027">
        <f t="shared" si="411"/>
        <v>15</v>
      </c>
      <c r="D589" s="2144">
        <f t="shared" si="411"/>
        <v>0</v>
      </c>
      <c r="E589" s="2145">
        <f t="shared" si="411"/>
        <v>0</v>
      </c>
      <c r="F589" s="2027">
        <f t="shared" si="411"/>
        <v>10</v>
      </c>
      <c r="G589" s="1974" t="s">
        <v>2988</v>
      </c>
      <c r="H589" s="1974" t="s">
        <v>2988</v>
      </c>
      <c r="I589" s="2026">
        <v>0.9</v>
      </c>
      <c r="J589" s="2026">
        <v>0.9</v>
      </c>
      <c r="K589" s="2026">
        <v>0.9</v>
      </c>
      <c r="L589" s="2026">
        <v>0.9</v>
      </c>
      <c r="M589" s="2027">
        <f t="shared" si="374"/>
        <v>0</v>
      </c>
      <c r="N589" s="2027">
        <f t="shared" si="374"/>
        <v>0</v>
      </c>
      <c r="O589" s="2027">
        <f t="shared" si="374"/>
        <v>0</v>
      </c>
      <c r="P589" s="2027">
        <f t="shared" si="362"/>
        <v>0</v>
      </c>
      <c r="Q589" s="2026">
        <v>0.9</v>
      </c>
      <c r="R589" s="2026">
        <v>0.9</v>
      </c>
      <c r="S589" s="2026">
        <v>0.9</v>
      </c>
      <c r="T589" s="2026">
        <v>0.9</v>
      </c>
      <c r="U589" s="2028">
        <f t="shared" si="375"/>
        <v>0</v>
      </c>
      <c r="V589" s="2028">
        <f t="shared" si="375"/>
        <v>0</v>
      </c>
      <c r="W589" s="2028">
        <f t="shared" si="375"/>
        <v>0</v>
      </c>
      <c r="X589" s="2028">
        <f t="shared" si="363"/>
        <v>0</v>
      </c>
      <c r="Y589" s="2026">
        <v>0.9</v>
      </c>
      <c r="Z589" s="2026">
        <v>0.9</v>
      </c>
      <c r="AA589" s="2026">
        <v>0.9</v>
      </c>
      <c r="AB589" s="2026">
        <v>0.9</v>
      </c>
      <c r="AC589" s="2027">
        <f t="shared" si="376"/>
        <v>9</v>
      </c>
      <c r="AD589" s="2027">
        <f t="shared" si="376"/>
        <v>9</v>
      </c>
      <c r="AE589" s="2027">
        <f t="shared" si="376"/>
        <v>9</v>
      </c>
      <c r="AF589" s="2027">
        <f t="shared" si="364"/>
        <v>9</v>
      </c>
      <c r="AG589" s="2027">
        <v>0</v>
      </c>
      <c r="AH589" s="2028"/>
      <c r="AI589" s="2028"/>
      <c r="AJ589" s="2028"/>
      <c r="AK589" s="2027">
        <f t="shared" si="365"/>
        <v>0</v>
      </c>
      <c r="AL589" s="2027">
        <f t="shared" si="397"/>
        <v>0</v>
      </c>
      <c r="AM589" s="2027">
        <f t="shared" si="397"/>
        <v>0</v>
      </c>
      <c r="AN589" s="2027">
        <f t="shared" si="397"/>
        <v>0</v>
      </c>
      <c r="AO589" s="2027">
        <f t="shared" si="377"/>
        <v>0</v>
      </c>
      <c r="AP589" s="2027">
        <f t="shared" si="367"/>
        <v>0</v>
      </c>
      <c r="AQ589" s="2027">
        <f t="shared" si="367"/>
        <v>0</v>
      </c>
      <c r="AR589" s="2027">
        <f t="shared" si="367"/>
        <v>0</v>
      </c>
      <c r="AS589" s="2124">
        <f>AS128*1.5</f>
        <v>0</v>
      </c>
      <c r="AT589" s="2029">
        <f t="shared" si="368"/>
        <v>0</v>
      </c>
      <c r="AU589" s="2029">
        <f t="shared" si="368"/>
        <v>0</v>
      </c>
      <c r="AV589" s="2029">
        <f t="shared" si="368"/>
        <v>0</v>
      </c>
      <c r="AW589" s="2124">
        <f>AW128*1.5</f>
        <v>15</v>
      </c>
      <c r="AX589" s="2029">
        <f t="shared" si="388"/>
        <v>15</v>
      </c>
      <c r="AY589" s="2029">
        <f t="shared" si="388"/>
        <v>15</v>
      </c>
      <c r="AZ589" s="2029">
        <f t="shared" si="388"/>
        <v>15</v>
      </c>
      <c r="BA589" s="2124">
        <f t="shared" si="415"/>
        <v>30</v>
      </c>
      <c r="BB589" s="2029">
        <f t="shared" si="415"/>
        <v>30</v>
      </c>
      <c r="BC589" s="2029">
        <f t="shared" si="415"/>
        <v>30</v>
      </c>
      <c r="BD589" s="2029">
        <f t="shared" si="415"/>
        <v>30</v>
      </c>
      <c r="BE589" s="2030">
        <f t="shared" si="378"/>
        <v>0</v>
      </c>
      <c r="BF589" s="2030">
        <f t="shared" si="378"/>
        <v>0</v>
      </c>
      <c r="BG589" s="2030">
        <f t="shared" si="378"/>
        <v>0</v>
      </c>
      <c r="BH589" s="2030">
        <f t="shared" si="370"/>
        <v>0</v>
      </c>
      <c r="BI589" s="2030">
        <f t="shared" si="379"/>
        <v>0</v>
      </c>
      <c r="BJ589" s="2030">
        <f t="shared" si="379"/>
        <v>0</v>
      </c>
      <c r="BK589" s="2030">
        <f t="shared" si="379"/>
        <v>0</v>
      </c>
      <c r="BL589" s="2030">
        <f t="shared" si="371"/>
        <v>0</v>
      </c>
      <c r="BM589" s="2125"/>
      <c r="BN589" s="2125"/>
      <c r="BO589" s="2125"/>
      <c r="BP589" s="2125"/>
      <c r="BQ589" s="2125"/>
      <c r="BR589" s="2125"/>
      <c r="BS589" s="2125"/>
      <c r="BT589" s="2125"/>
      <c r="BU589" s="2029"/>
      <c r="BV589" s="2029"/>
      <c r="BW589" s="2029"/>
      <c r="BX589" s="2029"/>
      <c r="BY589" s="2029"/>
      <c r="BZ589" s="2032"/>
      <c r="CA589" s="1974">
        <f t="shared" si="409"/>
        <v>0</v>
      </c>
      <c r="CB589" s="1974">
        <f t="shared" si="409"/>
        <v>0</v>
      </c>
      <c r="CC589" s="1974">
        <f t="shared" si="409"/>
        <v>0</v>
      </c>
      <c r="CD589" s="1974">
        <f t="shared" si="409"/>
        <v>0</v>
      </c>
      <c r="CE589" s="1974">
        <f t="shared" si="409"/>
        <v>0</v>
      </c>
      <c r="CF589" s="2033">
        <v>0</v>
      </c>
      <c r="CG589" s="2026">
        <v>0</v>
      </c>
      <c r="CH589" s="2009">
        <f t="shared" si="410"/>
        <v>0</v>
      </c>
      <c r="CI589" s="2031">
        <f t="shared" si="410"/>
        <v>0</v>
      </c>
      <c r="CJ589" s="1974">
        <f t="shared" si="410"/>
        <v>0</v>
      </c>
      <c r="CK589" s="2031">
        <f t="shared" si="410"/>
        <v>0</v>
      </c>
      <c r="CL589" s="2026">
        <v>1</v>
      </c>
      <c r="CM589" s="2026">
        <v>1</v>
      </c>
      <c r="CN589" s="2026">
        <v>1</v>
      </c>
      <c r="CO589" s="2026">
        <v>1</v>
      </c>
      <c r="CP589" s="2035"/>
      <c r="CQ589" s="2036"/>
      <c r="CR589" s="2036"/>
      <c r="CS589" s="2036"/>
      <c r="CT589" s="2036"/>
      <c r="CU589" s="2036"/>
      <c r="CV589" s="1973">
        <v>1</v>
      </c>
      <c r="CW589" s="1973">
        <v>0</v>
      </c>
      <c r="CX589" s="2037">
        <v>15</v>
      </c>
      <c r="CY589" s="2037">
        <v>15</v>
      </c>
      <c r="CZ589" s="2037">
        <v>15</v>
      </c>
      <c r="DA589" s="2037">
        <v>15</v>
      </c>
      <c r="DJ589" s="1976">
        <v>0</v>
      </c>
      <c r="DK589" s="1973">
        <v>0</v>
      </c>
      <c r="DL589" s="1973">
        <v>0</v>
      </c>
      <c r="DM589" s="1973">
        <v>0</v>
      </c>
      <c r="DO589" s="2027">
        <v>15</v>
      </c>
      <c r="DP589" s="2144">
        <v>0</v>
      </c>
      <c r="DQ589" s="2145">
        <v>0</v>
      </c>
      <c r="DR589" s="2027">
        <v>10</v>
      </c>
      <c r="DS589" s="2124">
        <v>0</v>
      </c>
      <c r="DT589" s="2029">
        <v>0</v>
      </c>
      <c r="DU589" s="2029">
        <v>0</v>
      </c>
      <c r="DV589" s="2029">
        <v>0</v>
      </c>
      <c r="DW589" s="2124">
        <v>15</v>
      </c>
      <c r="DX589" s="2029">
        <v>15</v>
      </c>
      <c r="DY589" s="2029">
        <v>15</v>
      </c>
      <c r="DZ589" s="2029">
        <v>15</v>
      </c>
      <c r="EA589" s="2124">
        <v>30</v>
      </c>
      <c r="EB589" s="2029">
        <v>30</v>
      </c>
      <c r="EC589" s="2029">
        <v>30</v>
      </c>
      <c r="ED589" s="2029">
        <v>30</v>
      </c>
      <c r="EE589" s="2039">
        <f t="shared" si="412"/>
        <v>0</v>
      </c>
      <c r="EF589" s="2039">
        <f t="shared" si="412"/>
        <v>0</v>
      </c>
      <c r="EG589" s="2039">
        <f t="shared" si="412"/>
        <v>0</v>
      </c>
      <c r="EH589" s="2039">
        <f t="shared" si="412"/>
        <v>0</v>
      </c>
      <c r="EI589" s="2040">
        <f t="shared" si="385"/>
        <v>0</v>
      </c>
      <c r="EJ589" s="2040">
        <f t="shared" si="385"/>
        <v>0</v>
      </c>
      <c r="EK589" s="2040">
        <f t="shared" si="385"/>
        <v>0</v>
      </c>
      <c r="EL589" s="2040">
        <f t="shared" si="383"/>
        <v>0</v>
      </c>
      <c r="EM589" s="2040">
        <f t="shared" si="383"/>
        <v>0</v>
      </c>
      <c r="EN589" s="2040">
        <f t="shared" si="383"/>
        <v>0</v>
      </c>
      <c r="EO589" s="2040">
        <f t="shared" si="383"/>
        <v>0</v>
      </c>
      <c r="EP589" s="2040">
        <f t="shared" si="383"/>
        <v>0</v>
      </c>
      <c r="EQ589" s="2040">
        <f t="shared" si="383"/>
        <v>0</v>
      </c>
      <c r="ER589" s="2040">
        <f t="shared" si="393"/>
        <v>0</v>
      </c>
      <c r="ES589" s="2040">
        <f t="shared" si="393"/>
        <v>0</v>
      </c>
      <c r="ET589" s="2040">
        <f t="shared" si="393"/>
        <v>0</v>
      </c>
      <c r="EU589" s="2039">
        <f t="shared" si="413"/>
        <v>0</v>
      </c>
      <c r="EV589" s="2039">
        <f t="shared" si="414"/>
        <v>0</v>
      </c>
    </row>
    <row r="590" spans="1:152" x14ac:dyDescent="0.25">
      <c r="A590" s="2149" t="str">
        <f t="shared" si="408"/>
        <v>Controls for Multifamily Central Domestic Hot Water Plants</v>
      </c>
      <c r="B590" s="1974" t="str">
        <f t="shared" si="408"/>
        <v/>
      </c>
      <c r="C590" s="2027">
        <f t="shared" si="411"/>
        <v>15</v>
      </c>
      <c r="D590" s="2144">
        <f t="shared" si="411"/>
        <v>651</v>
      </c>
      <c r="E590" s="2145">
        <f t="shared" si="411"/>
        <v>0</v>
      </c>
      <c r="F590" s="2027">
        <f t="shared" si="411"/>
        <v>559</v>
      </c>
      <c r="G590" s="1974" t="s">
        <v>2988</v>
      </c>
      <c r="H590" s="1974" t="s">
        <v>2988</v>
      </c>
      <c r="I590" s="2026">
        <v>0.9</v>
      </c>
      <c r="J590" s="2026">
        <v>0.9</v>
      </c>
      <c r="K590" s="2026">
        <v>0.9</v>
      </c>
      <c r="L590" s="2026">
        <v>0.9</v>
      </c>
      <c r="M590" s="2027">
        <f t="shared" si="374"/>
        <v>585.9</v>
      </c>
      <c r="N590" s="2027">
        <f t="shared" si="374"/>
        <v>585.9</v>
      </c>
      <c r="O590" s="2027">
        <f t="shared" si="374"/>
        <v>585.9</v>
      </c>
      <c r="P590" s="2027">
        <f t="shared" si="362"/>
        <v>585.9</v>
      </c>
      <c r="Q590" s="2026">
        <v>0.9</v>
      </c>
      <c r="R590" s="2026">
        <v>0.9</v>
      </c>
      <c r="S590" s="2026">
        <v>0.9</v>
      </c>
      <c r="T590" s="2026">
        <v>0.9</v>
      </c>
      <c r="U590" s="2028">
        <f t="shared" si="375"/>
        <v>0</v>
      </c>
      <c r="V590" s="2028">
        <f t="shared" si="375"/>
        <v>0</v>
      </c>
      <c r="W590" s="2028">
        <f t="shared" si="375"/>
        <v>0</v>
      </c>
      <c r="X590" s="2028">
        <f t="shared" si="363"/>
        <v>0</v>
      </c>
      <c r="Y590" s="2026">
        <v>0.9</v>
      </c>
      <c r="Z590" s="2026">
        <v>0.9</v>
      </c>
      <c r="AA590" s="2026">
        <v>0.9</v>
      </c>
      <c r="AB590" s="2026">
        <v>0.9</v>
      </c>
      <c r="AC590" s="2027">
        <f t="shared" si="376"/>
        <v>503.1</v>
      </c>
      <c r="AD590" s="2027">
        <f t="shared" si="376"/>
        <v>503.1</v>
      </c>
      <c r="AE590" s="2027">
        <f t="shared" si="376"/>
        <v>503.1</v>
      </c>
      <c r="AF590" s="2027">
        <f t="shared" si="364"/>
        <v>503.1</v>
      </c>
      <c r="AG590" s="2027">
        <v>0</v>
      </c>
      <c r="AH590" s="2028"/>
      <c r="AI590" s="2028"/>
      <c r="AJ590" s="2028"/>
      <c r="AK590" s="2027">
        <f t="shared" si="365"/>
        <v>0</v>
      </c>
      <c r="AL590" s="2027">
        <f t="shared" si="397"/>
        <v>0</v>
      </c>
      <c r="AM590" s="2027">
        <f t="shared" si="397"/>
        <v>0</v>
      </c>
      <c r="AN590" s="2027">
        <f t="shared" si="397"/>
        <v>0</v>
      </c>
      <c r="AO590" s="2027">
        <f t="shared" si="377"/>
        <v>0</v>
      </c>
      <c r="AP590" s="2027">
        <f t="shared" si="367"/>
        <v>0</v>
      </c>
      <c r="AQ590" s="2027">
        <f t="shared" si="367"/>
        <v>0</v>
      </c>
      <c r="AR590" s="2027">
        <f t="shared" si="367"/>
        <v>0</v>
      </c>
      <c r="AS590" s="2124">
        <f>AS129*1.5</f>
        <v>60</v>
      </c>
      <c r="AT590" s="2029">
        <f t="shared" si="368"/>
        <v>60</v>
      </c>
      <c r="AU590" s="2029">
        <f t="shared" si="368"/>
        <v>60</v>
      </c>
      <c r="AV590" s="2029">
        <f t="shared" si="368"/>
        <v>60</v>
      </c>
      <c r="AW590" s="2124">
        <f>AW129*1.5</f>
        <v>690</v>
      </c>
      <c r="AX590" s="2029">
        <f t="shared" si="388"/>
        <v>690</v>
      </c>
      <c r="AY590" s="2029">
        <f t="shared" si="388"/>
        <v>690</v>
      </c>
      <c r="AZ590" s="2029">
        <f t="shared" si="388"/>
        <v>690</v>
      </c>
      <c r="BA590" s="2124">
        <f t="shared" si="415"/>
        <v>1200</v>
      </c>
      <c r="BB590" s="2029">
        <f t="shared" si="415"/>
        <v>1200</v>
      </c>
      <c r="BC590" s="2029">
        <f t="shared" si="415"/>
        <v>1200</v>
      </c>
      <c r="BD590" s="2029">
        <f t="shared" si="415"/>
        <v>1200</v>
      </c>
      <c r="BE590" s="2030">
        <f t="shared" si="378"/>
        <v>0</v>
      </c>
      <c r="BF590" s="2030">
        <f t="shared" si="378"/>
        <v>0</v>
      </c>
      <c r="BG590" s="2030">
        <f t="shared" si="378"/>
        <v>0</v>
      </c>
      <c r="BH590" s="2030">
        <f t="shared" si="370"/>
        <v>0</v>
      </c>
      <c r="BI590" s="2030">
        <f t="shared" si="379"/>
        <v>0</v>
      </c>
      <c r="BJ590" s="2030">
        <f t="shared" si="379"/>
        <v>0</v>
      </c>
      <c r="BK590" s="2030">
        <f t="shared" si="379"/>
        <v>0</v>
      </c>
      <c r="BL590" s="2030">
        <f t="shared" si="371"/>
        <v>0</v>
      </c>
      <c r="BM590" s="2125"/>
      <c r="BN590" s="2125"/>
      <c r="BO590" s="2125"/>
      <c r="BP590" s="2125"/>
      <c r="BQ590" s="2125"/>
      <c r="BR590" s="2125"/>
      <c r="BS590" s="2125"/>
      <c r="BT590" s="2125"/>
      <c r="BU590" s="2029"/>
      <c r="BV590" s="2029"/>
      <c r="BW590" s="2029"/>
      <c r="BX590" s="2029"/>
      <c r="BY590" s="2029"/>
      <c r="BZ590" s="2032"/>
      <c r="CA590" s="1974">
        <f t="shared" si="409"/>
        <v>0</v>
      </c>
      <c r="CB590" s="1974">
        <f t="shared" si="409"/>
        <v>0</v>
      </c>
      <c r="CC590" s="1974">
        <f t="shared" si="409"/>
        <v>0</v>
      </c>
      <c r="CD590" s="1974">
        <f t="shared" si="409"/>
        <v>0</v>
      </c>
      <c r="CE590" s="1974">
        <f t="shared" si="409"/>
        <v>0</v>
      </c>
      <c r="CF590" s="2033">
        <v>0</v>
      </c>
      <c r="CG590" s="2026">
        <v>0</v>
      </c>
      <c r="CH590" s="2009">
        <f t="shared" si="410"/>
        <v>0</v>
      </c>
      <c r="CI590" s="2031">
        <f t="shared" si="410"/>
        <v>0</v>
      </c>
      <c r="CJ590" s="1974">
        <f t="shared" si="410"/>
        <v>0</v>
      </c>
      <c r="CK590" s="2031">
        <f t="shared" si="410"/>
        <v>0</v>
      </c>
      <c r="CL590" s="2026">
        <v>1</v>
      </c>
      <c r="CM590" s="2026">
        <v>1</v>
      </c>
      <c r="CN590" s="2026">
        <v>1</v>
      </c>
      <c r="CO590" s="2026">
        <v>1</v>
      </c>
      <c r="CP590" s="2035"/>
      <c r="CQ590" s="2036"/>
      <c r="CR590" s="2036"/>
      <c r="CS590" s="2036"/>
      <c r="CT590" s="2036"/>
      <c r="CU590" s="2036"/>
      <c r="CV590" s="1973">
        <v>1</v>
      </c>
      <c r="CW590" s="1973">
        <v>0</v>
      </c>
      <c r="CX590" s="2037">
        <v>750</v>
      </c>
      <c r="CY590" s="2037">
        <v>750</v>
      </c>
      <c r="CZ590" s="2037">
        <v>750</v>
      </c>
      <c r="DA590" s="2037">
        <v>750</v>
      </c>
      <c r="DJ590" s="1976">
        <v>0</v>
      </c>
      <c r="DK590" s="1973">
        <v>0</v>
      </c>
      <c r="DL590" s="1973">
        <v>0</v>
      </c>
      <c r="DM590" s="1973">
        <v>0</v>
      </c>
      <c r="DO590" s="2027">
        <v>15</v>
      </c>
      <c r="DP590" s="2144">
        <v>651</v>
      </c>
      <c r="DQ590" s="2145">
        <v>0</v>
      </c>
      <c r="DR590" s="2027">
        <v>559</v>
      </c>
      <c r="DS590" s="2124">
        <v>60</v>
      </c>
      <c r="DT590" s="2029">
        <v>60</v>
      </c>
      <c r="DU590" s="2029">
        <v>60</v>
      </c>
      <c r="DV590" s="2029">
        <v>60</v>
      </c>
      <c r="DW590" s="2124">
        <v>690</v>
      </c>
      <c r="DX590" s="2029">
        <v>690</v>
      </c>
      <c r="DY590" s="2029">
        <v>690</v>
      </c>
      <c r="DZ590" s="2029">
        <v>690</v>
      </c>
      <c r="EA590" s="2124">
        <v>1200</v>
      </c>
      <c r="EB590" s="2029">
        <v>1200</v>
      </c>
      <c r="EC590" s="2029">
        <v>1200</v>
      </c>
      <c r="ED590" s="2029">
        <v>1200</v>
      </c>
      <c r="EE590" s="2039">
        <f t="shared" si="412"/>
        <v>0</v>
      </c>
      <c r="EF590" s="2039">
        <f t="shared" si="412"/>
        <v>0</v>
      </c>
      <c r="EG590" s="2039">
        <f t="shared" si="412"/>
        <v>0</v>
      </c>
      <c r="EH590" s="2039">
        <f t="shared" si="412"/>
        <v>0</v>
      </c>
      <c r="EI590" s="2040">
        <f t="shared" si="385"/>
        <v>0</v>
      </c>
      <c r="EJ590" s="2040">
        <f t="shared" si="385"/>
        <v>0</v>
      </c>
      <c r="EK590" s="2040">
        <f t="shared" si="385"/>
        <v>0</v>
      </c>
      <c r="EL590" s="2040">
        <f t="shared" si="383"/>
        <v>0</v>
      </c>
      <c r="EM590" s="2040">
        <f t="shared" si="383"/>
        <v>0</v>
      </c>
      <c r="EN590" s="2040">
        <f t="shared" si="383"/>
        <v>0</v>
      </c>
      <c r="EO590" s="2040">
        <f t="shared" ref="EO590:ET646" si="417">AY590-DY590</f>
        <v>0</v>
      </c>
      <c r="EP590" s="2040">
        <f t="shared" si="417"/>
        <v>0</v>
      </c>
      <c r="EQ590" s="2040">
        <f t="shared" si="417"/>
        <v>0</v>
      </c>
      <c r="ER590" s="2040">
        <f t="shared" si="393"/>
        <v>0</v>
      </c>
      <c r="ES590" s="2040">
        <f t="shared" si="393"/>
        <v>0</v>
      </c>
      <c r="ET590" s="2040">
        <f t="shared" si="393"/>
        <v>0</v>
      </c>
      <c r="EU590" s="2039">
        <f t="shared" si="413"/>
        <v>0</v>
      </c>
      <c r="EV590" s="2039">
        <f t="shared" si="414"/>
        <v>0</v>
      </c>
    </row>
    <row r="591" spans="1:152" x14ac:dyDescent="0.25">
      <c r="A591" s="2143" t="str">
        <f t="shared" si="408"/>
        <v>DCV</v>
      </c>
      <c r="B591" s="1974" t="str">
        <f t="shared" si="408"/>
        <v/>
      </c>
      <c r="C591" s="2027">
        <f t="shared" si="411"/>
        <v>10</v>
      </c>
      <c r="D591" s="2144">
        <f t="shared" si="411"/>
        <v>4468</v>
      </c>
      <c r="E591" s="2145">
        <f t="shared" si="411"/>
        <v>0</v>
      </c>
      <c r="F591" s="2027">
        <f t="shared" si="411"/>
        <v>623</v>
      </c>
      <c r="G591" s="1974" t="s">
        <v>2988</v>
      </c>
      <c r="H591" s="1974" t="s">
        <v>2988</v>
      </c>
      <c r="I591" s="2026">
        <v>0.9</v>
      </c>
      <c r="J591" s="2026">
        <v>0.9</v>
      </c>
      <c r="K591" s="2026">
        <v>0.9</v>
      </c>
      <c r="L591" s="2026">
        <v>0.9</v>
      </c>
      <c r="M591" s="2027">
        <f t="shared" si="374"/>
        <v>4021.2000000000003</v>
      </c>
      <c r="N591" s="2027">
        <f t="shared" si="374"/>
        <v>4021.2000000000003</v>
      </c>
      <c r="O591" s="2027">
        <f t="shared" si="374"/>
        <v>4021.2000000000003</v>
      </c>
      <c r="P591" s="2027">
        <f t="shared" si="362"/>
        <v>4021.2000000000003</v>
      </c>
      <c r="Q591" s="2026">
        <v>0.9</v>
      </c>
      <c r="R591" s="2026">
        <v>0.9</v>
      </c>
      <c r="S591" s="2026">
        <v>0.9</v>
      </c>
      <c r="T591" s="2026">
        <v>0.9</v>
      </c>
      <c r="U591" s="2028">
        <f t="shared" si="375"/>
        <v>0</v>
      </c>
      <c r="V591" s="2028">
        <f t="shared" si="375"/>
        <v>0</v>
      </c>
      <c r="W591" s="2028">
        <f t="shared" si="375"/>
        <v>0</v>
      </c>
      <c r="X591" s="2028">
        <f t="shared" si="363"/>
        <v>0</v>
      </c>
      <c r="Y591" s="2026">
        <v>0.9</v>
      </c>
      <c r="Z591" s="2026">
        <v>0.9</v>
      </c>
      <c r="AA591" s="2026">
        <v>0.9</v>
      </c>
      <c r="AB591" s="2026">
        <v>0.9</v>
      </c>
      <c r="AC591" s="2027">
        <f t="shared" si="376"/>
        <v>560.70000000000005</v>
      </c>
      <c r="AD591" s="2027">
        <f t="shared" si="376"/>
        <v>560.70000000000005</v>
      </c>
      <c r="AE591" s="2027">
        <f t="shared" si="376"/>
        <v>560.70000000000005</v>
      </c>
      <c r="AF591" s="2027">
        <f t="shared" si="364"/>
        <v>560.70000000000005</v>
      </c>
      <c r="AG591" s="2027">
        <v>48</v>
      </c>
      <c r="AH591" s="2027">
        <v>40</v>
      </c>
      <c r="AI591" s="2027">
        <v>40</v>
      </c>
      <c r="AJ591" s="2027">
        <v>40</v>
      </c>
      <c r="AK591" s="2027">
        <f t="shared" si="365"/>
        <v>193017.60000000001</v>
      </c>
      <c r="AL591" s="2027">
        <f t="shared" si="397"/>
        <v>160848</v>
      </c>
      <c r="AM591" s="2027">
        <f t="shared" si="397"/>
        <v>160848</v>
      </c>
      <c r="AN591" s="2027">
        <f t="shared" si="397"/>
        <v>160848</v>
      </c>
      <c r="AO591" s="2027">
        <f t="shared" si="377"/>
        <v>26913.600000000002</v>
      </c>
      <c r="AP591" s="2027">
        <f t="shared" si="367"/>
        <v>22428</v>
      </c>
      <c r="AQ591" s="2027">
        <f t="shared" si="367"/>
        <v>22428</v>
      </c>
      <c r="AR591" s="2027">
        <f t="shared" si="367"/>
        <v>22428</v>
      </c>
      <c r="AS591" s="2029">
        <f>DF591</f>
        <v>1050</v>
      </c>
      <c r="AT591" s="2029">
        <f t="shared" si="368"/>
        <v>1050</v>
      </c>
      <c r="AU591" s="2029">
        <f t="shared" si="368"/>
        <v>1050</v>
      </c>
      <c r="AV591" s="2029">
        <f t="shared" si="368"/>
        <v>1050</v>
      </c>
      <c r="AW591" s="2029">
        <f>CX591-AS591</f>
        <v>1950</v>
      </c>
      <c r="AX591" s="2029">
        <f t="shared" si="388"/>
        <v>1950</v>
      </c>
      <c r="AY591" s="2029">
        <f t="shared" si="388"/>
        <v>1950</v>
      </c>
      <c r="AZ591" s="2029">
        <f t="shared" si="388"/>
        <v>1950</v>
      </c>
      <c r="BA591" s="2029">
        <f t="shared" si="415"/>
        <v>1500</v>
      </c>
      <c r="BB591" s="2029">
        <f t="shared" si="415"/>
        <v>1500</v>
      </c>
      <c r="BC591" s="2029">
        <f t="shared" si="415"/>
        <v>1500</v>
      </c>
      <c r="BD591" s="2029">
        <f t="shared" si="415"/>
        <v>1500</v>
      </c>
      <c r="BE591" s="2030">
        <f t="shared" si="378"/>
        <v>50400</v>
      </c>
      <c r="BF591" s="2030">
        <f t="shared" si="378"/>
        <v>42000</v>
      </c>
      <c r="BG591" s="2030">
        <f t="shared" si="378"/>
        <v>42000</v>
      </c>
      <c r="BH591" s="2030">
        <f t="shared" si="370"/>
        <v>42000</v>
      </c>
      <c r="BI591" s="2030">
        <f t="shared" si="379"/>
        <v>93600</v>
      </c>
      <c r="BJ591" s="2030">
        <f t="shared" si="379"/>
        <v>78000</v>
      </c>
      <c r="BK591" s="2030">
        <f t="shared" si="379"/>
        <v>78000</v>
      </c>
      <c r="BL591" s="2030">
        <f t="shared" si="371"/>
        <v>78000</v>
      </c>
      <c r="BM591" s="2125"/>
      <c r="BN591" s="2125"/>
      <c r="BO591" s="2125"/>
      <c r="BP591" s="2125"/>
      <c r="BQ591" s="2125"/>
      <c r="BR591" s="2125"/>
      <c r="BS591" s="2125"/>
      <c r="BT591" s="2125"/>
      <c r="BU591" s="2029"/>
      <c r="BV591" s="2029"/>
      <c r="BW591" s="2029"/>
      <c r="BX591" s="2029"/>
      <c r="BY591" s="2029"/>
      <c r="BZ591" s="2032"/>
      <c r="CA591" s="1974">
        <f t="shared" si="409"/>
        <v>0</v>
      </c>
      <c r="CB591" s="1974">
        <f t="shared" si="409"/>
        <v>0</v>
      </c>
      <c r="CC591" s="1974">
        <f t="shared" si="409"/>
        <v>0</v>
      </c>
      <c r="CD591" s="1974">
        <f t="shared" si="409"/>
        <v>0</v>
      </c>
      <c r="CE591" s="1974">
        <f t="shared" si="409"/>
        <v>0</v>
      </c>
      <c r="CF591" s="2033">
        <v>8.0687857594717908E-4</v>
      </c>
      <c r="CG591" s="2026">
        <v>1.0040937455148788E-2</v>
      </c>
      <c r="CH591" s="2009">
        <f t="shared" si="410"/>
        <v>0</v>
      </c>
      <c r="CI591" s="2031">
        <f t="shared" si="410"/>
        <v>0</v>
      </c>
      <c r="CJ591" s="1974">
        <f t="shared" si="410"/>
        <v>0</v>
      </c>
      <c r="CK591" s="2031">
        <f t="shared" si="410"/>
        <v>0</v>
      </c>
      <c r="CL591" s="2026">
        <v>1</v>
      </c>
      <c r="CM591" s="2026">
        <v>1</v>
      </c>
      <c r="CN591" s="2026">
        <v>1</v>
      </c>
      <c r="CO591" s="2026">
        <v>1</v>
      </c>
      <c r="CP591" s="2035"/>
      <c r="CQ591" s="2036"/>
      <c r="CR591" s="2036"/>
      <c r="CS591" s="2036"/>
      <c r="CT591" s="2036"/>
      <c r="CU591" s="2036"/>
      <c r="CV591" s="1973">
        <v>1</v>
      </c>
      <c r="CW591" s="1973">
        <v>0</v>
      </c>
      <c r="CX591" s="2037">
        <v>3000</v>
      </c>
      <c r="CY591" s="2037">
        <f>$CX591</f>
        <v>3000</v>
      </c>
      <c r="CZ591" s="2037">
        <f t="shared" ref="CZ591:DA591" si="418">$CX591</f>
        <v>3000</v>
      </c>
      <c r="DA591" s="2037">
        <f t="shared" si="418"/>
        <v>3000</v>
      </c>
      <c r="DB591" s="2051">
        <v>0.35</v>
      </c>
      <c r="DC591" s="2051">
        <v>0.35</v>
      </c>
      <c r="DD591" s="2051">
        <v>0.35</v>
      </c>
      <c r="DE591" s="2051">
        <v>0.35</v>
      </c>
      <c r="DF591" s="2037">
        <f>DB591*CX591</f>
        <v>1050</v>
      </c>
      <c r="DG591" s="2037">
        <f>DC591*CY591</f>
        <v>1050</v>
      </c>
      <c r="DH591" s="2037">
        <f>DD591*CZ591</f>
        <v>1050</v>
      </c>
      <c r="DI591" s="2037">
        <f>DE591*DA591</f>
        <v>1050</v>
      </c>
      <c r="DJ591" s="1976">
        <v>1000</v>
      </c>
      <c r="DK591" s="1973">
        <v>1000</v>
      </c>
      <c r="DL591" s="1973">
        <v>1000</v>
      </c>
      <c r="DM591" s="1973">
        <v>1000</v>
      </c>
      <c r="DO591" s="2027">
        <v>10</v>
      </c>
      <c r="DP591" s="2144">
        <v>4468</v>
      </c>
      <c r="DQ591" s="2145">
        <v>0</v>
      </c>
      <c r="DR591" s="2027">
        <v>623</v>
      </c>
      <c r="DS591" s="2164">
        <v>1050</v>
      </c>
      <c r="DT591" s="2164">
        <v>1050</v>
      </c>
      <c r="DU591" s="2164">
        <v>1050</v>
      </c>
      <c r="DV591" s="2164">
        <v>1050</v>
      </c>
      <c r="DW591" s="2164">
        <v>1950</v>
      </c>
      <c r="DX591" s="2164">
        <v>1950</v>
      </c>
      <c r="DY591" s="2164">
        <v>1950</v>
      </c>
      <c r="DZ591" s="2164">
        <v>1950</v>
      </c>
      <c r="EA591" s="2164">
        <v>1500</v>
      </c>
      <c r="EB591" s="2164">
        <v>1500</v>
      </c>
      <c r="EC591" s="2164">
        <v>1500</v>
      </c>
      <c r="ED591" s="2164">
        <v>1500</v>
      </c>
      <c r="EE591" s="2039">
        <f t="shared" si="412"/>
        <v>0</v>
      </c>
      <c r="EF591" s="2039">
        <f t="shared" si="412"/>
        <v>0</v>
      </c>
      <c r="EG591" s="2039">
        <f t="shared" si="412"/>
        <v>0</v>
      </c>
      <c r="EH591" s="2039">
        <f t="shared" si="412"/>
        <v>0</v>
      </c>
      <c r="EI591" s="2040">
        <f t="shared" si="385"/>
        <v>0</v>
      </c>
      <c r="EJ591" s="2040">
        <f t="shared" si="385"/>
        <v>0</v>
      </c>
      <c r="EK591" s="2040">
        <f t="shared" si="385"/>
        <v>0</v>
      </c>
      <c r="EL591" s="2040">
        <f t="shared" si="385"/>
        <v>0</v>
      </c>
      <c r="EM591" s="2040">
        <f t="shared" si="385"/>
        <v>0</v>
      </c>
      <c r="EN591" s="2040">
        <f t="shared" si="385"/>
        <v>0</v>
      </c>
      <c r="EO591" s="2040">
        <f t="shared" si="417"/>
        <v>0</v>
      </c>
      <c r="EP591" s="2040">
        <f t="shared" si="417"/>
        <v>0</v>
      </c>
      <c r="EQ591" s="2040">
        <f t="shared" si="417"/>
        <v>0</v>
      </c>
      <c r="ER591" s="2040">
        <f t="shared" si="393"/>
        <v>0</v>
      </c>
      <c r="ES591" s="2040">
        <f t="shared" si="393"/>
        <v>0</v>
      </c>
      <c r="ET591" s="2040">
        <f t="shared" si="393"/>
        <v>0</v>
      </c>
      <c r="EU591" s="2039">
        <f t="shared" si="413"/>
        <v>0</v>
      </c>
      <c r="EV591" s="2039">
        <f t="shared" si="414"/>
        <v>0</v>
      </c>
    </row>
    <row r="592" spans="1:152" x14ac:dyDescent="0.25">
      <c r="A592" s="2150" t="str">
        <f t="shared" si="408"/>
        <v>Energy Star Desktop Computer</v>
      </c>
      <c r="B592" s="1974" t="str">
        <f t="shared" si="408"/>
        <v/>
      </c>
      <c r="C592" s="2027">
        <f t="shared" si="411"/>
        <v>4</v>
      </c>
      <c r="D592" s="2144">
        <f t="shared" si="411"/>
        <v>124</v>
      </c>
      <c r="E592" s="2145">
        <f t="shared" si="411"/>
        <v>0</v>
      </c>
      <c r="F592" s="2027">
        <f t="shared" si="411"/>
        <v>0</v>
      </c>
      <c r="G592" s="1974" t="s">
        <v>2988</v>
      </c>
      <c r="H592" s="1974" t="s">
        <v>2988</v>
      </c>
      <c r="I592" s="2026">
        <v>0.9</v>
      </c>
      <c r="J592" s="2026">
        <v>0.9</v>
      </c>
      <c r="K592" s="2026">
        <v>0.9</v>
      </c>
      <c r="L592" s="2026">
        <v>0.9</v>
      </c>
      <c r="M592" s="2027">
        <f t="shared" si="374"/>
        <v>111.60000000000001</v>
      </c>
      <c r="N592" s="2027">
        <f t="shared" si="374"/>
        <v>111.60000000000001</v>
      </c>
      <c r="O592" s="2027">
        <f t="shared" si="374"/>
        <v>111.60000000000001</v>
      </c>
      <c r="P592" s="2027">
        <f t="shared" si="362"/>
        <v>111.60000000000001</v>
      </c>
      <c r="Q592" s="2026">
        <v>0.9</v>
      </c>
      <c r="R592" s="2026">
        <v>0.9</v>
      </c>
      <c r="S592" s="2026">
        <v>0.9</v>
      </c>
      <c r="T592" s="2026">
        <v>0.9</v>
      </c>
      <c r="U592" s="2028">
        <f t="shared" si="375"/>
        <v>0</v>
      </c>
      <c r="V592" s="2028">
        <f t="shared" si="375"/>
        <v>0</v>
      </c>
      <c r="W592" s="2028">
        <f t="shared" si="375"/>
        <v>0</v>
      </c>
      <c r="X592" s="2028">
        <f t="shared" si="363"/>
        <v>0</v>
      </c>
      <c r="Y592" s="2026">
        <v>0.9</v>
      </c>
      <c r="Z592" s="2026">
        <v>0.9</v>
      </c>
      <c r="AA592" s="2026">
        <v>0.9</v>
      </c>
      <c r="AB592" s="2026">
        <v>0.9</v>
      </c>
      <c r="AC592" s="2027">
        <f t="shared" si="376"/>
        <v>0</v>
      </c>
      <c r="AD592" s="2027">
        <f t="shared" si="376"/>
        <v>0</v>
      </c>
      <c r="AE592" s="2027">
        <f t="shared" si="376"/>
        <v>0</v>
      </c>
      <c r="AF592" s="2027">
        <f t="shared" si="364"/>
        <v>0</v>
      </c>
      <c r="AG592" s="2027">
        <v>5</v>
      </c>
      <c r="AH592" s="2028">
        <v>5</v>
      </c>
      <c r="AI592" s="2028">
        <v>5</v>
      </c>
      <c r="AJ592" s="2028">
        <v>5</v>
      </c>
      <c r="AK592" s="2027">
        <f t="shared" si="365"/>
        <v>558</v>
      </c>
      <c r="AL592" s="2027">
        <f t="shared" si="397"/>
        <v>558</v>
      </c>
      <c r="AM592" s="2027">
        <f t="shared" si="397"/>
        <v>558</v>
      </c>
      <c r="AN592" s="2027">
        <f t="shared" si="397"/>
        <v>558</v>
      </c>
      <c r="AO592" s="2027">
        <f t="shared" si="377"/>
        <v>0</v>
      </c>
      <c r="AP592" s="2027">
        <f t="shared" si="367"/>
        <v>0</v>
      </c>
      <c r="AQ592" s="2027">
        <f t="shared" si="367"/>
        <v>0</v>
      </c>
      <c r="AR592" s="2027">
        <f t="shared" si="367"/>
        <v>0</v>
      </c>
      <c r="AS592" s="2124">
        <f>AS131*1</f>
        <v>10</v>
      </c>
      <c r="AT592" s="2029">
        <f t="shared" si="368"/>
        <v>10</v>
      </c>
      <c r="AU592" s="2029">
        <f t="shared" si="368"/>
        <v>10</v>
      </c>
      <c r="AV592" s="2029">
        <f t="shared" si="368"/>
        <v>10</v>
      </c>
      <c r="AW592" s="2124">
        <f>AW131*1</f>
        <v>0</v>
      </c>
      <c r="AX592" s="2029">
        <f t="shared" si="388"/>
        <v>0</v>
      </c>
      <c r="AY592" s="2029">
        <f t="shared" si="388"/>
        <v>0</v>
      </c>
      <c r="AZ592" s="2029">
        <f t="shared" si="388"/>
        <v>0</v>
      </c>
      <c r="BA592" s="2124">
        <f t="shared" si="415"/>
        <v>9</v>
      </c>
      <c r="BB592" s="2029">
        <f t="shared" si="415"/>
        <v>9</v>
      </c>
      <c r="BC592" s="2029">
        <f t="shared" si="415"/>
        <v>9</v>
      </c>
      <c r="BD592" s="2029">
        <f t="shared" si="415"/>
        <v>9</v>
      </c>
      <c r="BE592" s="2030">
        <f t="shared" si="378"/>
        <v>50</v>
      </c>
      <c r="BF592" s="2030">
        <f t="shared" si="378"/>
        <v>50</v>
      </c>
      <c r="BG592" s="2030">
        <f t="shared" si="378"/>
        <v>50</v>
      </c>
      <c r="BH592" s="2030">
        <f t="shared" si="370"/>
        <v>50</v>
      </c>
      <c r="BI592" s="2030">
        <f t="shared" si="379"/>
        <v>0</v>
      </c>
      <c r="BJ592" s="2030">
        <f t="shared" si="379"/>
        <v>0</v>
      </c>
      <c r="BK592" s="2030">
        <f t="shared" si="379"/>
        <v>0</v>
      </c>
      <c r="BL592" s="2030">
        <f t="shared" si="371"/>
        <v>0</v>
      </c>
      <c r="BM592" s="2125"/>
      <c r="BN592" s="2125"/>
      <c r="BO592" s="2125"/>
      <c r="BP592" s="2125"/>
      <c r="BQ592" s="2125"/>
      <c r="BR592" s="2125"/>
      <c r="BS592" s="2125"/>
      <c r="BT592" s="2125"/>
      <c r="BU592" s="2029"/>
      <c r="BV592" s="2029"/>
      <c r="BW592" s="2029"/>
      <c r="BX592" s="2029"/>
      <c r="BY592" s="2029"/>
      <c r="BZ592" s="2032"/>
      <c r="CA592" s="1974">
        <f t="shared" si="409"/>
        <v>0</v>
      </c>
      <c r="CB592" s="1974">
        <f t="shared" si="409"/>
        <v>0</v>
      </c>
      <c r="CC592" s="1974">
        <f t="shared" si="409"/>
        <v>0</v>
      </c>
      <c r="CD592" s="1974">
        <f t="shared" si="409"/>
        <v>0</v>
      </c>
      <c r="CE592" s="1974">
        <f t="shared" si="409"/>
        <v>0</v>
      </c>
      <c r="CF592" s="2033">
        <v>2.3326279332999991E-6</v>
      </c>
      <c r="CG592" s="2026">
        <v>0</v>
      </c>
      <c r="CH592" s="2009">
        <f t="shared" si="410"/>
        <v>0</v>
      </c>
      <c r="CI592" s="2031">
        <f t="shared" si="410"/>
        <v>0</v>
      </c>
      <c r="CJ592" s="1974">
        <f t="shared" si="410"/>
        <v>0</v>
      </c>
      <c r="CK592" s="2031">
        <f t="shared" si="410"/>
        <v>0</v>
      </c>
      <c r="CL592" s="2026">
        <v>1</v>
      </c>
      <c r="CM592" s="2026">
        <v>1</v>
      </c>
      <c r="CN592" s="2026">
        <v>1</v>
      </c>
      <c r="CO592" s="2026">
        <v>1</v>
      </c>
      <c r="CP592" s="2035"/>
      <c r="CQ592" s="2036"/>
      <c r="CR592" s="2036"/>
      <c r="CS592" s="2036"/>
      <c r="CT592" s="2036"/>
      <c r="CU592" s="2036"/>
      <c r="CV592" s="1973">
        <v>1</v>
      </c>
      <c r="CW592" s="1973">
        <v>0</v>
      </c>
      <c r="CX592" s="2037">
        <v>10</v>
      </c>
      <c r="CY592" s="2037">
        <v>10</v>
      </c>
      <c r="CZ592" s="2037">
        <v>10</v>
      </c>
      <c r="DA592" s="2037">
        <v>10</v>
      </c>
      <c r="DJ592" s="1976">
        <v>10</v>
      </c>
      <c r="DK592" s="1973">
        <v>10</v>
      </c>
      <c r="DL592" s="1973">
        <v>10</v>
      </c>
      <c r="DM592" s="1973">
        <v>10</v>
      </c>
      <c r="DO592" s="2027">
        <v>4</v>
      </c>
      <c r="DP592" s="2144">
        <v>124</v>
      </c>
      <c r="DQ592" s="2145">
        <v>0</v>
      </c>
      <c r="DR592" s="2027">
        <v>0</v>
      </c>
      <c r="DS592" s="2124">
        <v>10</v>
      </c>
      <c r="DT592" s="2029">
        <v>10</v>
      </c>
      <c r="DU592" s="2029">
        <v>10</v>
      </c>
      <c r="DV592" s="2029">
        <v>10</v>
      </c>
      <c r="DW592" s="2124">
        <v>0</v>
      </c>
      <c r="DX592" s="2029">
        <v>0</v>
      </c>
      <c r="DY592" s="2029">
        <v>0</v>
      </c>
      <c r="DZ592" s="2029">
        <v>0</v>
      </c>
      <c r="EA592" s="2124">
        <v>9</v>
      </c>
      <c r="EB592" s="2029">
        <v>9</v>
      </c>
      <c r="EC592" s="2029">
        <v>9</v>
      </c>
      <c r="ED592" s="2029">
        <v>9</v>
      </c>
      <c r="EE592" s="2039">
        <f t="shared" si="412"/>
        <v>0</v>
      </c>
      <c r="EF592" s="2039">
        <f t="shared" si="412"/>
        <v>0</v>
      </c>
      <c r="EG592" s="2039">
        <f t="shared" si="412"/>
        <v>0</v>
      </c>
      <c r="EH592" s="2039">
        <f t="shared" si="412"/>
        <v>0</v>
      </c>
      <c r="EI592" s="2040">
        <f t="shared" si="385"/>
        <v>0</v>
      </c>
      <c r="EJ592" s="2040">
        <f t="shared" si="385"/>
        <v>0</v>
      </c>
      <c r="EK592" s="2040">
        <f t="shared" si="385"/>
        <v>0</v>
      </c>
      <c r="EL592" s="2040">
        <f t="shared" si="385"/>
        <v>0</v>
      </c>
      <c r="EM592" s="2040">
        <f t="shared" si="385"/>
        <v>0</v>
      </c>
      <c r="EN592" s="2040">
        <f t="shared" si="385"/>
        <v>0</v>
      </c>
      <c r="EO592" s="2040">
        <f t="shared" si="417"/>
        <v>0</v>
      </c>
      <c r="EP592" s="2040">
        <f t="shared" si="417"/>
        <v>0</v>
      </c>
      <c r="EQ592" s="2040">
        <f t="shared" si="417"/>
        <v>0</v>
      </c>
      <c r="ER592" s="2040">
        <f t="shared" si="393"/>
        <v>0</v>
      </c>
      <c r="ES592" s="2040">
        <f t="shared" si="393"/>
        <v>0</v>
      </c>
      <c r="ET592" s="2040">
        <f t="shared" si="393"/>
        <v>0</v>
      </c>
      <c r="EU592" s="2039">
        <f t="shared" si="413"/>
        <v>0</v>
      </c>
      <c r="EV592" s="2039">
        <f t="shared" si="414"/>
        <v>0</v>
      </c>
    </row>
    <row r="593" spans="1:152" x14ac:dyDescent="0.25">
      <c r="A593" s="2149" t="str">
        <f t="shared" si="408"/>
        <v>Computer Power Management Software</v>
      </c>
      <c r="B593" s="1974" t="str">
        <f t="shared" si="408"/>
        <v/>
      </c>
      <c r="C593" s="2027">
        <f t="shared" si="411"/>
        <v>5</v>
      </c>
      <c r="D593" s="2144">
        <f t="shared" si="411"/>
        <v>200</v>
      </c>
      <c r="E593" s="2145">
        <f t="shared" si="411"/>
        <v>0</v>
      </c>
      <c r="F593" s="2027">
        <f t="shared" si="411"/>
        <v>0</v>
      </c>
      <c r="G593" s="1974" t="s">
        <v>2988</v>
      </c>
      <c r="H593" s="1974" t="s">
        <v>2988</v>
      </c>
      <c r="I593" s="2026">
        <v>0.9</v>
      </c>
      <c r="J593" s="2026">
        <v>0.9</v>
      </c>
      <c r="K593" s="2026">
        <v>0.9</v>
      </c>
      <c r="L593" s="2026">
        <v>0.9</v>
      </c>
      <c r="M593" s="2027">
        <f t="shared" si="374"/>
        <v>180</v>
      </c>
      <c r="N593" s="2027">
        <f t="shared" si="374"/>
        <v>180</v>
      </c>
      <c r="O593" s="2027">
        <f t="shared" si="374"/>
        <v>180</v>
      </c>
      <c r="P593" s="2027">
        <f t="shared" si="362"/>
        <v>180</v>
      </c>
      <c r="Q593" s="2026">
        <v>0.9</v>
      </c>
      <c r="R593" s="2026">
        <v>0.9</v>
      </c>
      <c r="S593" s="2026">
        <v>0.9</v>
      </c>
      <c r="T593" s="2026">
        <v>0.9</v>
      </c>
      <c r="U593" s="2028">
        <f t="shared" si="375"/>
        <v>0</v>
      </c>
      <c r="V593" s="2028">
        <f t="shared" si="375"/>
        <v>0</v>
      </c>
      <c r="W593" s="2028">
        <f t="shared" si="375"/>
        <v>0</v>
      </c>
      <c r="X593" s="2028">
        <f t="shared" si="363"/>
        <v>0</v>
      </c>
      <c r="Y593" s="2026">
        <v>0.9</v>
      </c>
      <c r="Z593" s="2026">
        <v>0.9</v>
      </c>
      <c r="AA593" s="2026">
        <v>0.9</v>
      </c>
      <c r="AB593" s="2026">
        <v>0.9</v>
      </c>
      <c r="AC593" s="2027">
        <f t="shared" si="376"/>
        <v>0</v>
      </c>
      <c r="AD593" s="2027">
        <f t="shared" si="376"/>
        <v>0</v>
      </c>
      <c r="AE593" s="2027">
        <f t="shared" si="376"/>
        <v>0</v>
      </c>
      <c r="AF593" s="2027">
        <f t="shared" si="364"/>
        <v>0</v>
      </c>
      <c r="AG593" s="2027">
        <v>0</v>
      </c>
      <c r="AH593" s="2028"/>
      <c r="AI593" s="2028"/>
      <c r="AJ593" s="2028"/>
      <c r="AK593" s="2027">
        <f t="shared" si="365"/>
        <v>0</v>
      </c>
      <c r="AL593" s="2027">
        <f t="shared" si="397"/>
        <v>0</v>
      </c>
      <c r="AM593" s="2027">
        <f t="shared" si="397"/>
        <v>0</v>
      </c>
      <c r="AN593" s="2027">
        <f t="shared" si="397"/>
        <v>0</v>
      </c>
      <c r="AO593" s="2027">
        <f t="shared" si="377"/>
        <v>0</v>
      </c>
      <c r="AP593" s="2027">
        <f t="shared" si="367"/>
        <v>0</v>
      </c>
      <c r="AQ593" s="2027">
        <f t="shared" si="367"/>
        <v>0</v>
      </c>
      <c r="AR593" s="2027">
        <f t="shared" si="367"/>
        <v>0</v>
      </c>
      <c r="AS593" s="2124">
        <f>AS132*1</f>
        <v>10</v>
      </c>
      <c r="AT593" s="2029">
        <f t="shared" si="368"/>
        <v>10</v>
      </c>
      <c r="AU593" s="2029">
        <f t="shared" si="368"/>
        <v>10</v>
      </c>
      <c r="AV593" s="2029">
        <f t="shared" si="368"/>
        <v>10</v>
      </c>
      <c r="AW593" s="2124">
        <f t="shared" ref="AW593:AW615" si="419">AW132*1.5</f>
        <v>0</v>
      </c>
      <c r="AX593" s="2029">
        <f t="shared" si="388"/>
        <v>0</v>
      </c>
      <c r="AY593" s="2029">
        <f t="shared" si="388"/>
        <v>0</v>
      </c>
      <c r="AZ593" s="2029">
        <f t="shared" si="388"/>
        <v>0</v>
      </c>
      <c r="BA593" s="2124">
        <f t="shared" si="415"/>
        <v>29</v>
      </c>
      <c r="BB593" s="2029">
        <f t="shared" si="415"/>
        <v>29</v>
      </c>
      <c r="BC593" s="2029">
        <f t="shared" si="415"/>
        <v>29</v>
      </c>
      <c r="BD593" s="2029">
        <f t="shared" si="415"/>
        <v>29</v>
      </c>
      <c r="BE593" s="2030">
        <f t="shared" si="378"/>
        <v>0</v>
      </c>
      <c r="BF593" s="2030">
        <f t="shared" si="378"/>
        <v>0</v>
      </c>
      <c r="BG593" s="2030">
        <f t="shared" si="378"/>
        <v>0</v>
      </c>
      <c r="BH593" s="2030">
        <f t="shared" si="370"/>
        <v>0</v>
      </c>
      <c r="BI593" s="2030">
        <f t="shared" si="379"/>
        <v>0</v>
      </c>
      <c r="BJ593" s="2030">
        <f t="shared" si="379"/>
        <v>0</v>
      </c>
      <c r="BK593" s="2030">
        <f t="shared" si="379"/>
        <v>0</v>
      </c>
      <c r="BL593" s="2030">
        <f t="shared" si="371"/>
        <v>0</v>
      </c>
      <c r="BM593" s="2125"/>
      <c r="BN593" s="2125"/>
      <c r="BO593" s="2125"/>
      <c r="BP593" s="2125"/>
      <c r="BQ593" s="2125"/>
      <c r="BR593" s="2125"/>
      <c r="BS593" s="2125"/>
      <c r="BT593" s="2125"/>
      <c r="BU593" s="2029"/>
      <c r="BV593" s="2029"/>
      <c r="BW593" s="2029"/>
      <c r="BX593" s="2029"/>
      <c r="BY593" s="2029"/>
      <c r="BZ593" s="2032"/>
      <c r="CA593" s="1974">
        <f t="shared" si="409"/>
        <v>0</v>
      </c>
      <c r="CB593" s="1974">
        <f t="shared" si="409"/>
        <v>0</v>
      </c>
      <c r="CC593" s="1974">
        <f t="shared" si="409"/>
        <v>0</v>
      </c>
      <c r="CD593" s="1974">
        <f t="shared" si="409"/>
        <v>0</v>
      </c>
      <c r="CE593" s="1974">
        <f t="shared" si="409"/>
        <v>0</v>
      </c>
      <c r="CF593" s="2033">
        <v>0</v>
      </c>
      <c r="CG593" s="2026">
        <v>0</v>
      </c>
      <c r="CH593" s="2009">
        <f t="shared" si="410"/>
        <v>1</v>
      </c>
      <c r="CI593" s="2031">
        <f t="shared" si="410"/>
        <v>0</v>
      </c>
      <c r="CJ593" s="1974">
        <f t="shared" si="410"/>
        <v>2</v>
      </c>
      <c r="CK593" s="2031">
        <f t="shared" si="410"/>
        <v>2</v>
      </c>
      <c r="CL593" s="2026">
        <v>1</v>
      </c>
      <c r="CM593" s="2026">
        <v>1</v>
      </c>
      <c r="CN593" s="2026">
        <v>1</v>
      </c>
      <c r="CO593" s="2026">
        <v>1</v>
      </c>
      <c r="CP593" s="2035"/>
      <c r="CQ593" s="2036"/>
      <c r="CR593" s="2036"/>
      <c r="CS593" s="2036"/>
      <c r="CT593" s="2036"/>
      <c r="CU593" s="2036"/>
      <c r="CV593" s="1973">
        <v>1</v>
      </c>
      <c r="CW593" s="1973">
        <v>0</v>
      </c>
      <c r="CX593" s="2037">
        <v>10</v>
      </c>
      <c r="CY593" s="2037">
        <v>10</v>
      </c>
      <c r="CZ593" s="2037">
        <v>10</v>
      </c>
      <c r="DA593" s="2037">
        <v>10</v>
      </c>
      <c r="DJ593" s="1976">
        <v>10</v>
      </c>
      <c r="DK593" s="1973">
        <v>10</v>
      </c>
      <c r="DL593" s="1973">
        <v>10</v>
      </c>
      <c r="DM593" s="1973">
        <v>10</v>
      </c>
      <c r="DO593" s="2027">
        <v>5</v>
      </c>
      <c r="DP593" s="2144">
        <v>200</v>
      </c>
      <c r="DQ593" s="2145">
        <v>0</v>
      </c>
      <c r="DR593" s="2027">
        <v>0</v>
      </c>
      <c r="DS593" s="2124">
        <v>10</v>
      </c>
      <c r="DT593" s="2029">
        <v>10</v>
      </c>
      <c r="DU593" s="2029">
        <v>10</v>
      </c>
      <c r="DV593" s="2029">
        <v>10</v>
      </c>
      <c r="DW593" s="2124">
        <v>0</v>
      </c>
      <c r="DX593" s="2029">
        <v>0</v>
      </c>
      <c r="DY593" s="2029">
        <v>0</v>
      </c>
      <c r="DZ593" s="2029">
        <v>0</v>
      </c>
      <c r="EA593" s="2124">
        <v>29</v>
      </c>
      <c r="EB593" s="2029">
        <v>29</v>
      </c>
      <c r="EC593" s="2029">
        <v>29</v>
      </c>
      <c r="ED593" s="2029">
        <v>29</v>
      </c>
      <c r="EE593" s="2039">
        <f t="shared" si="412"/>
        <v>0</v>
      </c>
      <c r="EF593" s="2039">
        <f t="shared" si="412"/>
        <v>0</v>
      </c>
      <c r="EG593" s="2039">
        <f t="shared" si="412"/>
        <v>0</v>
      </c>
      <c r="EH593" s="2039">
        <f t="shared" si="412"/>
        <v>0</v>
      </c>
      <c r="EI593" s="2040">
        <f t="shared" si="385"/>
        <v>0</v>
      </c>
      <c r="EJ593" s="2040">
        <f t="shared" si="385"/>
        <v>0</v>
      </c>
      <c r="EK593" s="2040">
        <f t="shared" si="385"/>
        <v>0</v>
      </c>
      <c r="EL593" s="2040">
        <f t="shared" si="385"/>
        <v>0</v>
      </c>
      <c r="EM593" s="2040">
        <f t="shared" si="385"/>
        <v>0</v>
      </c>
      <c r="EN593" s="2040">
        <f t="shared" si="385"/>
        <v>0</v>
      </c>
      <c r="EO593" s="2040">
        <f t="shared" si="417"/>
        <v>0</v>
      </c>
      <c r="EP593" s="2040">
        <f t="shared" si="417"/>
        <v>0</v>
      </c>
      <c r="EQ593" s="2040">
        <f t="shared" si="417"/>
        <v>0</v>
      </c>
      <c r="ER593" s="2040">
        <f t="shared" si="393"/>
        <v>0</v>
      </c>
      <c r="ES593" s="2040">
        <f t="shared" si="393"/>
        <v>0</v>
      </c>
      <c r="ET593" s="2040">
        <f t="shared" si="393"/>
        <v>0</v>
      </c>
      <c r="EU593" s="2039">
        <f t="shared" si="413"/>
        <v>0</v>
      </c>
      <c r="EV593" s="2039">
        <f t="shared" si="414"/>
        <v>0</v>
      </c>
    </row>
    <row r="594" spans="1:152" x14ac:dyDescent="0.25">
      <c r="A594" s="2149" t="str">
        <f t="shared" si="408"/>
        <v>RW T8 lamps (Midstream)</v>
      </c>
      <c r="B594" s="1974" t="str">
        <f t="shared" si="408"/>
        <v/>
      </c>
      <c r="C594" s="2027">
        <f t="shared" si="411"/>
        <v>6.4</v>
      </c>
      <c r="D594" s="2144">
        <f t="shared" si="411"/>
        <v>18.478182004249195</v>
      </c>
      <c r="E594" s="2145">
        <f t="shared" si="411"/>
        <v>3.6662845075411819E-3</v>
      </c>
      <c r="F594" s="2027">
        <f t="shared" si="411"/>
        <v>-0.31568684654610324</v>
      </c>
      <c r="G594" s="1974" t="s">
        <v>2988</v>
      </c>
      <c r="H594" s="1974" t="s">
        <v>2988</v>
      </c>
      <c r="I594" s="2026">
        <v>0.9</v>
      </c>
      <c r="J594" s="2026">
        <v>0.9</v>
      </c>
      <c r="K594" s="2026">
        <v>0.9</v>
      </c>
      <c r="L594" s="2026">
        <v>0.9</v>
      </c>
      <c r="M594" s="2027">
        <f t="shared" si="374"/>
        <v>16.630363803824277</v>
      </c>
      <c r="N594" s="2027">
        <f t="shared" si="374"/>
        <v>16.630363803824277</v>
      </c>
      <c r="O594" s="2027">
        <f t="shared" si="374"/>
        <v>16.630363803824277</v>
      </c>
      <c r="P594" s="2027">
        <f t="shared" si="362"/>
        <v>16.630363803824277</v>
      </c>
      <c r="Q594" s="2026">
        <v>0.9</v>
      </c>
      <c r="R594" s="2026">
        <v>0.9</v>
      </c>
      <c r="S594" s="2026">
        <v>0.9</v>
      </c>
      <c r="T594" s="2026">
        <v>0.9</v>
      </c>
      <c r="U594" s="2028">
        <f t="shared" si="375"/>
        <v>3.299656056787064E-3</v>
      </c>
      <c r="V594" s="2028">
        <f t="shared" si="375"/>
        <v>3.299656056787064E-3</v>
      </c>
      <c r="W594" s="2028">
        <f t="shared" si="375"/>
        <v>3.299656056787064E-3</v>
      </c>
      <c r="X594" s="2028">
        <f t="shared" si="363"/>
        <v>3.299656056787064E-3</v>
      </c>
      <c r="Y594" s="2026">
        <v>0.9</v>
      </c>
      <c r="Z594" s="2026">
        <v>0.9</v>
      </c>
      <c r="AA594" s="2026">
        <v>0.9</v>
      </c>
      <c r="AB594" s="2026">
        <v>0.9</v>
      </c>
      <c r="AC594" s="2027">
        <f t="shared" si="376"/>
        <v>-0.28411816189149292</v>
      </c>
      <c r="AD594" s="2027">
        <f t="shared" si="376"/>
        <v>-0.28411816189149292</v>
      </c>
      <c r="AE594" s="2027">
        <f t="shared" si="376"/>
        <v>-0.28411816189149292</v>
      </c>
      <c r="AF594" s="2027">
        <f t="shared" si="364"/>
        <v>-0.28411816189149292</v>
      </c>
      <c r="AG594" s="2027">
        <v>356</v>
      </c>
      <c r="AH594" s="2028">
        <v>270</v>
      </c>
      <c r="AI594" s="2028">
        <v>181</v>
      </c>
      <c r="AJ594" s="2028">
        <v>91</v>
      </c>
      <c r="AK594" s="2027">
        <f t="shared" si="365"/>
        <v>5920.4095141614425</v>
      </c>
      <c r="AL594" s="2027">
        <f t="shared" si="397"/>
        <v>4490.1982270325552</v>
      </c>
      <c r="AM594" s="2027">
        <f t="shared" si="397"/>
        <v>3010.0958484921944</v>
      </c>
      <c r="AN594" s="2027">
        <f t="shared" si="397"/>
        <v>1513.3631061480091</v>
      </c>
      <c r="AO594" s="2027">
        <f t="shared" si="377"/>
        <v>-101.14606563337148</v>
      </c>
      <c r="AP594" s="2027">
        <f t="shared" si="367"/>
        <v>-76.711903710703083</v>
      </c>
      <c r="AQ594" s="2027">
        <f t="shared" si="367"/>
        <v>-51.425387302360221</v>
      </c>
      <c r="AR594" s="2027">
        <f t="shared" si="367"/>
        <v>-25.854752732125856</v>
      </c>
      <c r="AS594" s="2029">
        <f>AS133*1</f>
        <v>1</v>
      </c>
      <c r="AT594" s="2029">
        <f t="shared" si="368"/>
        <v>1</v>
      </c>
      <c r="AU594" s="2029">
        <f t="shared" si="368"/>
        <v>1</v>
      </c>
      <c r="AV594" s="2029">
        <f t="shared" si="368"/>
        <v>1</v>
      </c>
      <c r="AW594" s="2029">
        <f t="shared" si="419"/>
        <v>0</v>
      </c>
      <c r="AX594" s="2029">
        <f t="shared" si="388"/>
        <v>0</v>
      </c>
      <c r="AY594" s="2029">
        <f t="shared" si="388"/>
        <v>0</v>
      </c>
      <c r="AZ594" s="2029">
        <f t="shared" si="388"/>
        <v>0</v>
      </c>
      <c r="BA594" s="2029">
        <f t="shared" si="415"/>
        <v>2</v>
      </c>
      <c r="BB594" s="2029">
        <f t="shared" si="415"/>
        <v>2</v>
      </c>
      <c r="BC594" s="2029">
        <f t="shared" si="415"/>
        <v>2</v>
      </c>
      <c r="BD594" s="2029">
        <f t="shared" si="415"/>
        <v>2</v>
      </c>
      <c r="BE594" s="2030">
        <f t="shared" si="378"/>
        <v>356</v>
      </c>
      <c r="BF594" s="2030">
        <f t="shared" si="378"/>
        <v>270</v>
      </c>
      <c r="BG594" s="2030">
        <f t="shared" si="378"/>
        <v>181</v>
      </c>
      <c r="BH594" s="2030">
        <f t="shared" si="370"/>
        <v>91</v>
      </c>
      <c r="BI594" s="2030">
        <f t="shared" si="379"/>
        <v>0</v>
      </c>
      <c r="BJ594" s="2030">
        <f t="shared" si="379"/>
        <v>0</v>
      </c>
      <c r="BK594" s="2030">
        <f t="shared" si="379"/>
        <v>0</v>
      </c>
      <c r="BL594" s="2030">
        <f t="shared" si="371"/>
        <v>0</v>
      </c>
      <c r="BM594" s="2125"/>
      <c r="BN594" s="2125"/>
      <c r="BO594" s="2125"/>
      <c r="BP594" s="2125"/>
      <c r="BQ594" s="2125"/>
      <c r="BR594" s="2125"/>
      <c r="BS594" s="2125"/>
      <c r="BT594" s="2125"/>
      <c r="BU594" s="2029"/>
      <c r="BV594" s="2029"/>
      <c r="BW594" s="2029"/>
      <c r="BX594" s="2029"/>
      <c r="BY594" s="2029"/>
      <c r="BZ594" s="2032"/>
      <c r="CA594" s="1974">
        <f t="shared" si="409"/>
        <v>0</v>
      </c>
      <c r="CB594" s="1974">
        <f t="shared" si="409"/>
        <v>0</v>
      </c>
      <c r="CC594" s="1974">
        <f t="shared" si="409"/>
        <v>0</v>
      </c>
      <c r="CD594" s="1974">
        <f t="shared" si="409"/>
        <v>0</v>
      </c>
      <c r="CE594" s="1974">
        <f t="shared" si="409"/>
        <v>0</v>
      </c>
      <c r="CF594" s="2033">
        <v>2.4749305751448133E-5</v>
      </c>
      <c r="CG594" s="2026">
        <v>-3.7735617637887805E-5</v>
      </c>
      <c r="CH594" s="2009">
        <f t="shared" si="410"/>
        <v>1</v>
      </c>
      <c r="CI594" s="2031">
        <f t="shared" si="410"/>
        <v>1.0682031250000001</v>
      </c>
      <c r="CJ594" s="1974">
        <f t="shared" si="410"/>
        <v>0</v>
      </c>
      <c r="CK594" s="2031">
        <f t="shared" si="410"/>
        <v>-1.0682031250000001</v>
      </c>
      <c r="CL594" s="2026">
        <v>1</v>
      </c>
      <c r="CM594" s="2026">
        <v>1</v>
      </c>
      <c r="CN594" s="2026">
        <v>1</v>
      </c>
      <c r="CO594" s="2026">
        <v>1</v>
      </c>
      <c r="CP594" s="2035"/>
      <c r="CQ594" s="2036"/>
      <c r="CR594" s="2036"/>
      <c r="CS594" s="2036"/>
      <c r="CT594" s="2036"/>
      <c r="CU594" s="2036"/>
      <c r="CV594" s="1973">
        <v>1</v>
      </c>
      <c r="CW594" s="1973">
        <v>1</v>
      </c>
      <c r="CX594" s="2037">
        <v>1</v>
      </c>
      <c r="CY594" s="2037">
        <v>1</v>
      </c>
      <c r="CZ594" s="2037">
        <v>1</v>
      </c>
      <c r="DA594" s="2037">
        <v>1</v>
      </c>
      <c r="DJ594" s="1976">
        <v>1</v>
      </c>
      <c r="DK594" s="1973">
        <v>1</v>
      </c>
      <c r="DL594" s="1973">
        <v>1</v>
      </c>
      <c r="DM594" s="1973">
        <v>1</v>
      </c>
      <c r="DO594" s="2027">
        <v>6.4</v>
      </c>
      <c r="DP594" s="2144">
        <v>18.478182004249195</v>
      </c>
      <c r="DQ594" s="2145">
        <v>3.6662845075411819E-3</v>
      </c>
      <c r="DR594" s="2027">
        <v>-0.31568684654610324</v>
      </c>
      <c r="DS594" s="2029">
        <v>1</v>
      </c>
      <c r="DT594" s="2029">
        <v>1</v>
      </c>
      <c r="DU594" s="2029">
        <v>1</v>
      </c>
      <c r="DV594" s="2029">
        <v>1</v>
      </c>
      <c r="DW594" s="2029">
        <v>0</v>
      </c>
      <c r="DX594" s="2029">
        <v>0</v>
      </c>
      <c r="DY594" s="2029">
        <v>0</v>
      </c>
      <c r="DZ594" s="2029">
        <v>0</v>
      </c>
      <c r="EA594" s="2029">
        <v>2</v>
      </c>
      <c r="EB594" s="2029">
        <v>2</v>
      </c>
      <c r="EC594" s="2029">
        <v>2</v>
      </c>
      <c r="ED594" s="2029">
        <v>2</v>
      </c>
      <c r="EE594" s="2039">
        <f t="shared" si="412"/>
        <v>0</v>
      </c>
      <c r="EF594" s="2039">
        <f t="shared" si="412"/>
        <v>0</v>
      </c>
      <c r="EG594" s="2039">
        <f t="shared" si="412"/>
        <v>0</v>
      </c>
      <c r="EH594" s="2039">
        <f t="shared" si="412"/>
        <v>0</v>
      </c>
      <c r="EI594" s="2040">
        <f t="shared" si="385"/>
        <v>0</v>
      </c>
      <c r="EJ594" s="2040">
        <f t="shared" si="385"/>
        <v>0</v>
      </c>
      <c r="EK594" s="2040">
        <f t="shared" si="385"/>
        <v>0</v>
      </c>
      <c r="EL594" s="2040">
        <f t="shared" si="385"/>
        <v>0</v>
      </c>
      <c r="EM594" s="2040">
        <f t="shared" si="385"/>
        <v>0</v>
      </c>
      <c r="EN594" s="2040">
        <f t="shared" si="385"/>
        <v>0</v>
      </c>
      <c r="EO594" s="2040">
        <f t="shared" si="417"/>
        <v>0</v>
      </c>
      <c r="EP594" s="2040">
        <f t="shared" si="417"/>
        <v>0</v>
      </c>
      <c r="EQ594" s="2040">
        <f t="shared" si="417"/>
        <v>0</v>
      </c>
      <c r="ER594" s="2040">
        <f t="shared" si="393"/>
        <v>0</v>
      </c>
      <c r="ES594" s="2040">
        <f t="shared" si="393"/>
        <v>0</v>
      </c>
      <c r="ET594" s="2040">
        <f t="shared" si="393"/>
        <v>0</v>
      </c>
      <c r="EU594" s="2039">
        <f t="shared" si="413"/>
        <v>0</v>
      </c>
      <c r="EV594" s="2039">
        <f t="shared" si="414"/>
        <v>0</v>
      </c>
    </row>
    <row r="595" spans="1:152" x14ac:dyDescent="0.25">
      <c r="A595" s="2149" t="str">
        <f t="shared" ref="A595:B606" si="420">IF(A134="","",A134)</f>
        <v>RW T5 lamps (Midstream)</v>
      </c>
      <c r="B595" s="1974" t="str">
        <f t="shared" si="420"/>
        <v/>
      </c>
      <c r="C595" s="2027">
        <f t="shared" si="411"/>
        <v>6.4</v>
      </c>
      <c r="D595" s="2144">
        <f t="shared" si="411"/>
        <v>21.991008069072514</v>
      </c>
      <c r="E595" s="2145">
        <f t="shared" si="411"/>
        <v>4.3632697291493983E-3</v>
      </c>
      <c r="F595" s="2027">
        <f t="shared" si="411"/>
        <v>-0.38562087317472998</v>
      </c>
      <c r="G595" s="1974" t="s">
        <v>2988</v>
      </c>
      <c r="H595" s="1974" t="s">
        <v>2988</v>
      </c>
      <c r="I595" s="2026">
        <v>0.9</v>
      </c>
      <c r="J595" s="2026">
        <v>0.9</v>
      </c>
      <c r="K595" s="2026">
        <v>0.9</v>
      </c>
      <c r="L595" s="2026">
        <v>0.9</v>
      </c>
      <c r="M595" s="2027">
        <f t="shared" si="374"/>
        <v>19.791907262165264</v>
      </c>
      <c r="N595" s="2027">
        <f t="shared" si="374"/>
        <v>19.791907262165264</v>
      </c>
      <c r="O595" s="2027">
        <f t="shared" si="374"/>
        <v>19.791907262165264</v>
      </c>
      <c r="P595" s="2027">
        <f t="shared" si="374"/>
        <v>19.791907262165264</v>
      </c>
      <c r="Q595" s="2026">
        <v>0.9</v>
      </c>
      <c r="R595" s="2026">
        <v>0.9</v>
      </c>
      <c r="S595" s="2026">
        <v>0.9</v>
      </c>
      <c r="T595" s="2026">
        <v>0.9</v>
      </c>
      <c r="U595" s="2028">
        <f t="shared" si="375"/>
        <v>3.9269427562344588E-3</v>
      </c>
      <c r="V595" s="2028">
        <f t="shared" si="375"/>
        <v>3.9269427562344588E-3</v>
      </c>
      <c r="W595" s="2028">
        <f t="shared" si="375"/>
        <v>3.9269427562344588E-3</v>
      </c>
      <c r="X595" s="2028">
        <f t="shared" si="375"/>
        <v>3.9269427562344588E-3</v>
      </c>
      <c r="Y595" s="2026">
        <v>0.9</v>
      </c>
      <c r="Z595" s="2026">
        <v>0.9</v>
      </c>
      <c r="AA595" s="2026">
        <v>0.9</v>
      </c>
      <c r="AB595" s="2026">
        <v>0.9</v>
      </c>
      <c r="AC595" s="2027">
        <f t="shared" si="376"/>
        <v>-0.34705878585725697</v>
      </c>
      <c r="AD595" s="2027">
        <f t="shared" si="376"/>
        <v>-0.34705878585725697</v>
      </c>
      <c r="AE595" s="2027">
        <f t="shared" si="376"/>
        <v>-0.34705878585725697</v>
      </c>
      <c r="AF595" s="2027">
        <f t="shared" si="376"/>
        <v>-0.34705878585725697</v>
      </c>
      <c r="AG595" s="2027">
        <v>89</v>
      </c>
      <c r="AH595" s="2028">
        <v>68</v>
      </c>
      <c r="AI595" s="2028">
        <v>46</v>
      </c>
      <c r="AJ595" s="2028">
        <v>23</v>
      </c>
      <c r="AK595" s="2027">
        <f>AG595*M595</f>
        <v>1761.4797463327084</v>
      </c>
      <c r="AL595" s="2027">
        <f t="shared" si="397"/>
        <v>1345.8496938272378</v>
      </c>
      <c r="AM595" s="2027">
        <f t="shared" si="397"/>
        <v>910.42773405960213</v>
      </c>
      <c r="AN595" s="2027">
        <f t="shared" si="397"/>
        <v>455.21386702980107</v>
      </c>
      <c r="AO595" s="2027">
        <f t="shared" si="377"/>
        <v>-30.888231941295871</v>
      </c>
      <c r="AP595" s="2027">
        <f t="shared" ref="AP595:AR658" si="421">AH595*AD595*CM595</f>
        <v>-23.599997438293475</v>
      </c>
      <c r="AQ595" s="2027">
        <f t="shared" si="421"/>
        <v>-15.964704149433821</v>
      </c>
      <c r="AR595" s="2027">
        <f t="shared" si="421"/>
        <v>-7.9823520747169106</v>
      </c>
      <c r="AS595" s="2029">
        <f>AS134*1</f>
        <v>1</v>
      </c>
      <c r="AT595" s="2029">
        <f t="shared" ref="AT595:AV658" si="422">$AS595</f>
        <v>1</v>
      </c>
      <c r="AU595" s="2029">
        <f t="shared" si="422"/>
        <v>1</v>
      </c>
      <c r="AV595" s="2029">
        <f t="shared" si="422"/>
        <v>1</v>
      </c>
      <c r="AW595" s="2029">
        <f t="shared" si="419"/>
        <v>0</v>
      </c>
      <c r="AX595" s="2029">
        <f t="shared" si="388"/>
        <v>0</v>
      </c>
      <c r="AY595" s="2029">
        <f t="shared" si="388"/>
        <v>0</v>
      </c>
      <c r="AZ595" s="2029">
        <f t="shared" si="388"/>
        <v>0</v>
      </c>
      <c r="BA595" s="2029">
        <f t="shared" si="415"/>
        <v>2</v>
      </c>
      <c r="BB595" s="2029">
        <f t="shared" si="415"/>
        <v>2</v>
      </c>
      <c r="BC595" s="2029">
        <f t="shared" si="415"/>
        <v>2</v>
      </c>
      <c r="BD595" s="2029">
        <f t="shared" si="415"/>
        <v>2</v>
      </c>
      <c r="BE595" s="2030">
        <f t="shared" si="378"/>
        <v>89</v>
      </c>
      <c r="BF595" s="2030">
        <f t="shared" si="378"/>
        <v>68</v>
      </c>
      <c r="BG595" s="2030">
        <f t="shared" si="378"/>
        <v>46</v>
      </c>
      <c r="BH595" s="2030">
        <f t="shared" si="378"/>
        <v>23</v>
      </c>
      <c r="BI595" s="2030">
        <f t="shared" si="379"/>
        <v>0</v>
      </c>
      <c r="BJ595" s="2030">
        <f t="shared" si="379"/>
        <v>0</v>
      </c>
      <c r="BK595" s="2030">
        <f t="shared" si="379"/>
        <v>0</v>
      </c>
      <c r="BL595" s="2030">
        <f t="shared" si="379"/>
        <v>0</v>
      </c>
      <c r="BM595" s="2125"/>
      <c r="BN595" s="2125"/>
      <c r="BO595" s="2125"/>
      <c r="BP595" s="2125"/>
      <c r="BQ595" s="2125"/>
      <c r="BR595" s="2125"/>
      <c r="BS595" s="2125"/>
      <c r="BT595" s="2125"/>
      <c r="BU595" s="2029"/>
      <c r="BV595" s="2029"/>
      <c r="BW595" s="2029"/>
      <c r="BX595" s="2029"/>
      <c r="BY595" s="2029"/>
      <c r="BZ595" s="2032"/>
      <c r="CA595" s="1974">
        <f t="shared" ref="CA595:CE610" si="423">CA134</f>
        <v>0</v>
      </c>
      <c r="CB595" s="1974">
        <f t="shared" si="423"/>
        <v>0</v>
      </c>
      <c r="CC595" s="1974">
        <f t="shared" si="423"/>
        <v>0</v>
      </c>
      <c r="CD595" s="1974">
        <f t="shared" si="423"/>
        <v>0</v>
      </c>
      <c r="CE595" s="1974">
        <f t="shared" si="423"/>
        <v>0</v>
      </c>
      <c r="CF595" s="2033">
        <v>7.3635786025768322E-6</v>
      </c>
      <c r="CG595" s="2026">
        <v>-1.152379484805752E-5</v>
      </c>
      <c r="CH595" s="2009">
        <f t="shared" ref="CH595:CK610" si="424">CH134</f>
        <v>1</v>
      </c>
      <c r="CI595" s="2031">
        <f t="shared" si="424"/>
        <v>0</v>
      </c>
      <c r="CJ595" s="1974">
        <f t="shared" si="424"/>
        <v>0</v>
      </c>
      <c r="CK595" s="2031">
        <f t="shared" si="424"/>
        <v>0</v>
      </c>
      <c r="CL595" s="2026">
        <v>1</v>
      </c>
      <c r="CM595" s="2026">
        <v>1</v>
      </c>
      <c r="CN595" s="2026">
        <v>1</v>
      </c>
      <c r="CO595" s="2026">
        <v>1</v>
      </c>
      <c r="CP595" s="2035"/>
      <c r="CQ595" s="2036"/>
      <c r="CR595" s="2036"/>
      <c r="CS595" s="2036"/>
      <c r="CT595" s="2036"/>
      <c r="CU595" s="2036"/>
      <c r="CV595" s="1973">
        <v>1</v>
      </c>
      <c r="CW595" s="1973">
        <v>1</v>
      </c>
      <c r="CX595" s="2037">
        <v>1</v>
      </c>
      <c r="CY595" s="2037">
        <v>1</v>
      </c>
      <c r="CZ595" s="2037">
        <v>1</v>
      </c>
      <c r="DA595" s="2037">
        <v>1</v>
      </c>
      <c r="DJ595" s="1976">
        <v>1</v>
      </c>
      <c r="DK595" s="1973">
        <v>1</v>
      </c>
      <c r="DL595" s="1973">
        <v>1</v>
      </c>
      <c r="DM595" s="1973">
        <v>1</v>
      </c>
      <c r="DO595" s="2027">
        <v>6.4</v>
      </c>
      <c r="DP595" s="2144">
        <v>21.991008069072514</v>
      </c>
      <c r="DQ595" s="2145">
        <v>4.3632697291493983E-3</v>
      </c>
      <c r="DR595" s="2027">
        <v>-0.38562087317472998</v>
      </c>
      <c r="DS595" s="2029">
        <v>1</v>
      </c>
      <c r="DT595" s="2029">
        <v>1</v>
      </c>
      <c r="DU595" s="2029">
        <v>1</v>
      </c>
      <c r="DV595" s="2029">
        <v>1</v>
      </c>
      <c r="DW595" s="2029">
        <v>0</v>
      </c>
      <c r="DX595" s="2029">
        <v>0</v>
      </c>
      <c r="DY595" s="2029">
        <v>0</v>
      </c>
      <c r="DZ595" s="2029">
        <v>0</v>
      </c>
      <c r="EA595" s="2029">
        <v>2</v>
      </c>
      <c r="EB595" s="2029">
        <v>2</v>
      </c>
      <c r="EC595" s="2029">
        <v>2</v>
      </c>
      <c r="ED595" s="2029">
        <v>2</v>
      </c>
      <c r="EE595" s="2039">
        <f t="shared" si="412"/>
        <v>0</v>
      </c>
      <c r="EF595" s="2039">
        <f t="shared" si="412"/>
        <v>0</v>
      </c>
      <c r="EG595" s="2039">
        <f t="shared" si="412"/>
        <v>0</v>
      </c>
      <c r="EH595" s="2039">
        <f t="shared" si="412"/>
        <v>0</v>
      </c>
      <c r="EI595" s="2040">
        <f t="shared" si="385"/>
        <v>0</v>
      </c>
      <c r="EJ595" s="2040">
        <f t="shared" si="385"/>
        <v>0</v>
      </c>
      <c r="EK595" s="2040">
        <f t="shared" si="385"/>
        <v>0</v>
      </c>
      <c r="EL595" s="2040">
        <f t="shared" si="385"/>
        <v>0</v>
      </c>
      <c r="EM595" s="2040">
        <f t="shared" si="385"/>
        <v>0</v>
      </c>
      <c r="EN595" s="2040">
        <f t="shared" si="385"/>
        <v>0</v>
      </c>
      <c r="EO595" s="2040">
        <f t="shared" si="417"/>
        <v>0</v>
      </c>
      <c r="EP595" s="2040">
        <f t="shared" si="417"/>
        <v>0</v>
      </c>
      <c r="EQ595" s="2040">
        <f t="shared" si="417"/>
        <v>0</v>
      </c>
      <c r="ER595" s="2040">
        <f t="shared" si="393"/>
        <v>0</v>
      </c>
      <c r="ES595" s="2040">
        <f t="shared" si="393"/>
        <v>0</v>
      </c>
      <c r="ET595" s="2040">
        <f t="shared" si="393"/>
        <v>0</v>
      </c>
      <c r="EU595" s="2039">
        <f t="shared" si="413"/>
        <v>0</v>
      </c>
      <c r="EV595" s="2039">
        <f t="shared" si="414"/>
        <v>0</v>
      </c>
    </row>
    <row r="596" spans="1:152" x14ac:dyDescent="0.25">
      <c r="A596" s="2149" t="str">
        <f t="shared" si="420"/>
        <v/>
      </c>
      <c r="B596" s="1974" t="str">
        <f t="shared" si="420"/>
        <v/>
      </c>
      <c r="C596" s="2027">
        <f t="shared" ref="C596:F611" si="425">C135</f>
        <v>0</v>
      </c>
      <c r="D596" s="2144">
        <f t="shared" si="425"/>
        <v>0</v>
      </c>
      <c r="E596" s="2145">
        <f t="shared" si="425"/>
        <v>0</v>
      </c>
      <c r="F596" s="2027">
        <f t="shared" si="425"/>
        <v>0</v>
      </c>
      <c r="G596" s="1974" t="s">
        <v>2988</v>
      </c>
      <c r="H596" s="1974" t="s">
        <v>2988</v>
      </c>
      <c r="I596" s="2026">
        <v>0.9</v>
      </c>
      <c r="J596" s="2026">
        <v>0.9</v>
      </c>
      <c r="K596" s="2026">
        <v>0.9</v>
      </c>
      <c r="L596" s="2026">
        <v>0.9</v>
      </c>
      <c r="M596" s="2027">
        <f t="shared" ref="M596:P659" si="426">$D596*I596</f>
        <v>0</v>
      </c>
      <c r="N596" s="2027">
        <f t="shared" si="426"/>
        <v>0</v>
      </c>
      <c r="O596" s="2027">
        <f t="shared" si="426"/>
        <v>0</v>
      </c>
      <c r="P596" s="2027">
        <f t="shared" si="426"/>
        <v>0</v>
      </c>
      <c r="Q596" s="2026">
        <v>0.9</v>
      </c>
      <c r="R596" s="2026">
        <v>0.9</v>
      </c>
      <c r="S596" s="2026">
        <v>0.9</v>
      </c>
      <c r="T596" s="2026">
        <v>0.9</v>
      </c>
      <c r="U596" s="2028">
        <f t="shared" ref="U596:X659" si="427">$E596*Q596</f>
        <v>0</v>
      </c>
      <c r="V596" s="2028">
        <f t="shared" si="427"/>
        <v>0</v>
      </c>
      <c r="W596" s="2028">
        <f t="shared" si="427"/>
        <v>0</v>
      </c>
      <c r="X596" s="2028">
        <f t="shared" si="427"/>
        <v>0</v>
      </c>
      <c r="Y596" s="2026">
        <v>0.9</v>
      </c>
      <c r="Z596" s="2026">
        <v>0.9</v>
      </c>
      <c r="AA596" s="2026">
        <v>0.9</v>
      </c>
      <c r="AB596" s="2026">
        <v>0.9</v>
      </c>
      <c r="AC596" s="2027">
        <f t="shared" ref="AC596:AF659" si="428">$F596*Y596</f>
        <v>0</v>
      </c>
      <c r="AD596" s="2027">
        <f t="shared" si="428"/>
        <v>0</v>
      </c>
      <c r="AE596" s="2027">
        <f t="shared" si="428"/>
        <v>0</v>
      </c>
      <c r="AF596" s="2027">
        <f t="shared" si="428"/>
        <v>0</v>
      </c>
      <c r="AG596" s="2027"/>
      <c r="AH596" s="2028"/>
      <c r="AI596" s="2028"/>
      <c r="AJ596" s="2028"/>
      <c r="AK596" s="2027"/>
      <c r="AL596" s="2027"/>
      <c r="AM596" s="2027"/>
      <c r="AN596" s="2027"/>
      <c r="AO596" s="2027">
        <f t="shared" ref="AO596:AO659" si="429">AG596*AC596</f>
        <v>0</v>
      </c>
      <c r="AP596" s="2027">
        <f t="shared" si="421"/>
        <v>0</v>
      </c>
      <c r="AQ596" s="2027">
        <f t="shared" si="421"/>
        <v>0</v>
      </c>
      <c r="AR596" s="2027">
        <f t="shared" si="421"/>
        <v>0</v>
      </c>
      <c r="AS596" s="2124">
        <f>AS135*1.5</f>
        <v>0</v>
      </c>
      <c r="AT596" s="2029">
        <f t="shared" si="422"/>
        <v>0</v>
      </c>
      <c r="AU596" s="2029">
        <f t="shared" si="422"/>
        <v>0</v>
      </c>
      <c r="AV596" s="2029">
        <f t="shared" si="422"/>
        <v>0</v>
      </c>
      <c r="AW596" s="2124">
        <f t="shared" si="419"/>
        <v>0</v>
      </c>
      <c r="AX596" s="2029">
        <f t="shared" si="388"/>
        <v>0</v>
      </c>
      <c r="AY596" s="2029">
        <f t="shared" si="388"/>
        <v>0</v>
      </c>
      <c r="AZ596" s="2029">
        <f t="shared" si="388"/>
        <v>0</v>
      </c>
      <c r="BA596" s="2124">
        <f t="shared" si="415"/>
        <v>0</v>
      </c>
      <c r="BB596" s="2029">
        <f t="shared" si="415"/>
        <v>0</v>
      </c>
      <c r="BC596" s="2029">
        <f t="shared" si="415"/>
        <v>0</v>
      </c>
      <c r="BD596" s="2029">
        <f t="shared" si="415"/>
        <v>0</v>
      </c>
      <c r="BE596" s="2030">
        <f t="shared" ref="BE596:BH659" si="430">AS596*AG596</f>
        <v>0</v>
      </c>
      <c r="BF596" s="2030">
        <f t="shared" si="430"/>
        <v>0</v>
      </c>
      <c r="BG596" s="2030">
        <f t="shared" si="430"/>
        <v>0</v>
      </c>
      <c r="BH596" s="2030">
        <f t="shared" si="430"/>
        <v>0</v>
      </c>
      <c r="BI596" s="2030">
        <f t="shared" ref="BI596:BL659" si="431">AW596*AG596</f>
        <v>0</v>
      </c>
      <c r="BJ596" s="2030">
        <f t="shared" si="431"/>
        <v>0</v>
      </c>
      <c r="BK596" s="2030">
        <f t="shared" si="431"/>
        <v>0</v>
      </c>
      <c r="BL596" s="2030">
        <f t="shared" si="431"/>
        <v>0</v>
      </c>
      <c r="BM596" s="2125"/>
      <c r="BN596" s="2125"/>
      <c r="BO596" s="2125"/>
      <c r="BP596" s="2125"/>
      <c r="BQ596" s="2125"/>
      <c r="BR596" s="2125"/>
      <c r="BS596" s="2125"/>
      <c r="BT596" s="2125"/>
      <c r="BU596" s="2029"/>
      <c r="BV596" s="2029"/>
      <c r="BW596" s="2029"/>
      <c r="BX596" s="2029"/>
      <c r="BY596" s="2029"/>
      <c r="BZ596" s="2032"/>
      <c r="CA596" s="1974">
        <f t="shared" si="423"/>
        <v>0</v>
      </c>
      <c r="CB596" s="1974">
        <f t="shared" si="423"/>
        <v>0</v>
      </c>
      <c r="CC596" s="1974">
        <f t="shared" si="423"/>
        <v>0</v>
      </c>
      <c r="CD596" s="1974">
        <f t="shared" si="423"/>
        <v>0</v>
      </c>
      <c r="CE596" s="1974">
        <f t="shared" si="423"/>
        <v>0</v>
      </c>
      <c r="CF596" s="2033">
        <v>0</v>
      </c>
      <c r="CG596" s="2026">
        <v>0</v>
      </c>
      <c r="CH596" s="2009">
        <f t="shared" si="424"/>
        <v>0</v>
      </c>
      <c r="CI596" s="2031">
        <f t="shared" si="424"/>
        <v>0</v>
      </c>
      <c r="CJ596" s="1974">
        <f t="shared" si="424"/>
        <v>0</v>
      </c>
      <c r="CK596" s="2031">
        <f t="shared" si="424"/>
        <v>0</v>
      </c>
      <c r="CL596" s="2026">
        <v>1</v>
      </c>
      <c r="CM596" s="2026">
        <v>1</v>
      </c>
      <c r="CN596" s="2026">
        <v>1</v>
      </c>
      <c r="CO596" s="2026">
        <v>1</v>
      </c>
      <c r="CP596" s="2035"/>
      <c r="CQ596" s="2036"/>
      <c r="CR596" s="2036"/>
      <c r="CS596" s="2036"/>
      <c r="CT596" s="2036"/>
      <c r="CU596" s="2036"/>
      <c r="CV596" s="1973">
        <v>1</v>
      </c>
      <c r="CW596" s="1973">
        <v>0</v>
      </c>
      <c r="CX596" s="2037">
        <v>0</v>
      </c>
      <c r="CY596" s="2037">
        <v>0</v>
      </c>
      <c r="CZ596" s="2037">
        <v>0</v>
      </c>
      <c r="DA596" s="2037">
        <v>0</v>
      </c>
      <c r="DJ596" s="1976">
        <v>0</v>
      </c>
      <c r="DK596" s="1973">
        <v>0</v>
      </c>
      <c r="DL596" s="1973">
        <v>0</v>
      </c>
      <c r="DM596" s="1973">
        <v>0</v>
      </c>
      <c r="DO596" s="2027">
        <v>0</v>
      </c>
      <c r="DP596" s="2144">
        <v>0</v>
      </c>
      <c r="DQ596" s="2145">
        <v>0</v>
      </c>
      <c r="DR596" s="2027">
        <v>0</v>
      </c>
      <c r="DS596" s="2124">
        <v>0</v>
      </c>
      <c r="DT596" s="2029">
        <v>0</v>
      </c>
      <c r="DU596" s="2029">
        <v>0</v>
      </c>
      <c r="DV596" s="2029">
        <v>0</v>
      </c>
      <c r="DW596" s="2124">
        <v>0</v>
      </c>
      <c r="DX596" s="2029">
        <v>0</v>
      </c>
      <c r="DY596" s="2029">
        <v>0</v>
      </c>
      <c r="DZ596" s="2029">
        <v>0</v>
      </c>
      <c r="EA596" s="2124">
        <v>0</v>
      </c>
      <c r="EB596" s="2029">
        <v>0</v>
      </c>
      <c r="EC596" s="2029">
        <v>0</v>
      </c>
      <c r="ED596" s="2029">
        <v>0</v>
      </c>
      <c r="EE596" s="2039">
        <f t="shared" si="412"/>
        <v>0</v>
      </c>
      <c r="EF596" s="2039">
        <f t="shared" si="412"/>
        <v>0</v>
      </c>
      <c r="EG596" s="2039">
        <f t="shared" si="412"/>
        <v>0</v>
      </c>
      <c r="EH596" s="2039">
        <f t="shared" si="412"/>
        <v>0</v>
      </c>
      <c r="EI596" s="2040">
        <f t="shared" si="385"/>
        <v>0</v>
      </c>
      <c r="EJ596" s="2040">
        <f t="shared" si="385"/>
        <v>0</v>
      </c>
      <c r="EK596" s="2040">
        <f t="shared" si="385"/>
        <v>0</v>
      </c>
      <c r="EL596" s="2040">
        <f t="shared" si="385"/>
        <v>0</v>
      </c>
      <c r="EM596" s="2040">
        <f t="shared" si="385"/>
        <v>0</v>
      </c>
      <c r="EN596" s="2040">
        <f t="shared" si="385"/>
        <v>0</v>
      </c>
      <c r="EO596" s="2040">
        <f t="shared" si="417"/>
        <v>0</v>
      </c>
      <c r="EP596" s="2040">
        <f t="shared" si="417"/>
        <v>0</v>
      </c>
      <c r="EQ596" s="2040">
        <f t="shared" si="417"/>
        <v>0</v>
      </c>
      <c r="ER596" s="2040">
        <f t="shared" si="393"/>
        <v>0</v>
      </c>
      <c r="ES596" s="2040">
        <f t="shared" si="393"/>
        <v>0</v>
      </c>
      <c r="ET596" s="2040">
        <f t="shared" si="393"/>
        <v>0</v>
      </c>
      <c r="EU596" s="2039">
        <f t="shared" si="413"/>
        <v>0</v>
      </c>
      <c r="EV596" s="2039">
        <f t="shared" si="414"/>
        <v>0</v>
      </c>
    </row>
    <row r="597" spans="1:152" x14ac:dyDescent="0.25">
      <c r="A597" s="2143" t="str">
        <f t="shared" si="420"/>
        <v>Low-Flow Showerheads</v>
      </c>
      <c r="B597" s="1974" t="str">
        <f t="shared" si="420"/>
        <v/>
      </c>
      <c r="C597" s="2027">
        <v>10</v>
      </c>
      <c r="D597" s="2171">
        <v>19.411857122264163</v>
      </c>
      <c r="E597" s="2145">
        <v>6.4043693794677888E-3</v>
      </c>
      <c r="F597" s="2027">
        <v>5.4165959588207562</v>
      </c>
      <c r="G597" s="1974" t="s">
        <v>2988</v>
      </c>
      <c r="H597" s="1974" t="s">
        <v>2988</v>
      </c>
      <c r="I597" s="2026">
        <v>0.9</v>
      </c>
      <c r="J597" s="2026">
        <v>0.9</v>
      </c>
      <c r="K597" s="2026">
        <v>0.9</v>
      </c>
      <c r="L597" s="2026">
        <v>0.9</v>
      </c>
      <c r="M597" s="2027">
        <f t="shared" si="426"/>
        <v>17.470671410037745</v>
      </c>
      <c r="N597" s="2027">
        <f t="shared" si="426"/>
        <v>17.470671410037745</v>
      </c>
      <c r="O597" s="2027">
        <f t="shared" si="426"/>
        <v>17.470671410037745</v>
      </c>
      <c r="P597" s="2027">
        <f t="shared" si="426"/>
        <v>17.470671410037745</v>
      </c>
      <c r="Q597" s="2026">
        <v>0.9</v>
      </c>
      <c r="R597" s="2026">
        <v>0.9</v>
      </c>
      <c r="S597" s="2026">
        <v>0.9</v>
      </c>
      <c r="T597" s="2026">
        <v>0.9</v>
      </c>
      <c r="U597" s="2028">
        <f t="shared" si="427"/>
        <v>5.7639324415210101E-3</v>
      </c>
      <c r="V597" s="2028">
        <f t="shared" si="427"/>
        <v>5.7639324415210101E-3</v>
      </c>
      <c r="W597" s="2028">
        <f t="shared" si="427"/>
        <v>5.7639324415210101E-3</v>
      </c>
      <c r="X597" s="2028">
        <f t="shared" si="427"/>
        <v>5.7639324415210101E-3</v>
      </c>
      <c r="Y597" s="2026">
        <v>0.9</v>
      </c>
      <c r="Z597" s="2026">
        <v>0.9</v>
      </c>
      <c r="AA597" s="2026">
        <v>0.9</v>
      </c>
      <c r="AB597" s="2026">
        <v>0.9</v>
      </c>
      <c r="AC597" s="2027">
        <f t="shared" si="428"/>
        <v>4.8749363629386808</v>
      </c>
      <c r="AD597" s="2027">
        <f t="shared" si="428"/>
        <v>4.8749363629386808</v>
      </c>
      <c r="AE597" s="2027">
        <f t="shared" si="428"/>
        <v>4.8749363629386808</v>
      </c>
      <c r="AF597" s="2027">
        <f t="shared" si="428"/>
        <v>4.8749363629386808</v>
      </c>
      <c r="AG597" s="2027">
        <v>7</v>
      </c>
      <c r="AH597" s="2028">
        <v>6</v>
      </c>
      <c r="AI597" s="2028">
        <v>6</v>
      </c>
      <c r="AJ597" s="2028">
        <v>6</v>
      </c>
      <c r="AK597" s="2027"/>
      <c r="AL597" s="2027"/>
      <c r="AM597" s="2027"/>
      <c r="AN597" s="2027"/>
      <c r="AO597" s="2027">
        <f t="shared" si="429"/>
        <v>34.124554540570763</v>
      </c>
      <c r="AP597" s="2027">
        <f t="shared" si="421"/>
        <v>29.249618177632087</v>
      </c>
      <c r="AQ597" s="2027">
        <f t="shared" si="421"/>
        <v>29.249618177632087</v>
      </c>
      <c r="AR597" s="2027">
        <f t="shared" si="421"/>
        <v>29.249618177632087</v>
      </c>
      <c r="AS597" s="2124">
        <v>2.6880000000000006</v>
      </c>
      <c r="AT597" s="2029">
        <f t="shared" si="422"/>
        <v>2.6880000000000006</v>
      </c>
      <c r="AU597" s="2029">
        <f t="shared" si="422"/>
        <v>2.6880000000000006</v>
      </c>
      <c r="AV597" s="2029">
        <f t="shared" si="422"/>
        <v>2.6880000000000006</v>
      </c>
      <c r="AW597" s="2124">
        <v>15.12</v>
      </c>
      <c r="AX597" s="2029">
        <f t="shared" si="388"/>
        <v>15.12</v>
      </c>
      <c r="AY597" s="2029">
        <f t="shared" si="388"/>
        <v>15.12</v>
      </c>
      <c r="AZ597" s="2029">
        <f t="shared" si="388"/>
        <v>15.12</v>
      </c>
      <c r="BA597" s="2124">
        <v>12</v>
      </c>
      <c r="BB597" s="2029">
        <f>$BA597</f>
        <v>12</v>
      </c>
      <c r="BC597" s="2029">
        <f t="shared" ref="BC597:BD598" si="432">$BA597</f>
        <v>12</v>
      </c>
      <c r="BD597" s="2029">
        <f t="shared" si="432"/>
        <v>12</v>
      </c>
      <c r="BE597" s="2030">
        <f t="shared" si="430"/>
        <v>18.816000000000003</v>
      </c>
      <c r="BF597" s="2030">
        <f t="shared" si="430"/>
        <v>16.128000000000004</v>
      </c>
      <c r="BG597" s="2030">
        <f t="shared" si="430"/>
        <v>16.128000000000004</v>
      </c>
      <c r="BH597" s="2030">
        <f t="shared" si="430"/>
        <v>16.128000000000004</v>
      </c>
      <c r="BI597" s="2030">
        <f t="shared" si="431"/>
        <v>105.83999999999999</v>
      </c>
      <c r="BJ597" s="2030">
        <f t="shared" si="431"/>
        <v>90.72</v>
      </c>
      <c r="BK597" s="2030">
        <f t="shared" si="431"/>
        <v>90.72</v>
      </c>
      <c r="BL597" s="2030">
        <f t="shared" si="431"/>
        <v>90.72</v>
      </c>
      <c r="BM597" s="2125"/>
      <c r="BN597" s="2125"/>
      <c r="BO597" s="2125"/>
      <c r="BP597" s="2125"/>
      <c r="BQ597" s="2125"/>
      <c r="BR597" s="2125"/>
      <c r="BS597" s="2125"/>
      <c r="BT597" s="2125"/>
      <c r="BU597" s="2029"/>
      <c r="BV597" s="2029"/>
      <c r="BW597" s="2029"/>
      <c r="BX597" s="2029"/>
      <c r="BY597" s="2029"/>
      <c r="BZ597" s="2032"/>
      <c r="CA597" s="1974">
        <f t="shared" si="423"/>
        <v>1012.626405</v>
      </c>
      <c r="CB597" s="1974">
        <f t="shared" si="423"/>
        <v>0</v>
      </c>
      <c r="CC597" s="1974">
        <f t="shared" si="423"/>
        <v>0</v>
      </c>
      <c r="CD597" s="1974">
        <f t="shared" si="423"/>
        <v>0</v>
      </c>
      <c r="CE597" s="1974">
        <f t="shared" si="423"/>
        <v>0</v>
      </c>
      <c r="CF597" s="2033">
        <v>0</v>
      </c>
      <c r="CG597" s="2026">
        <v>1.2595403970602225E-5</v>
      </c>
      <c r="CH597" s="2009">
        <f t="shared" si="424"/>
        <v>0</v>
      </c>
      <c r="CI597" s="2031">
        <f t="shared" si="424"/>
        <v>0</v>
      </c>
      <c r="CJ597" s="1974">
        <f t="shared" si="424"/>
        <v>0</v>
      </c>
      <c r="CK597" s="2031">
        <f t="shared" si="424"/>
        <v>0</v>
      </c>
      <c r="CL597" s="2026">
        <v>1</v>
      </c>
      <c r="CM597" s="2026">
        <v>1</v>
      </c>
      <c r="CN597" s="2026">
        <v>1</v>
      </c>
      <c r="CO597" s="2026">
        <v>1</v>
      </c>
      <c r="CP597" s="2035"/>
      <c r="CQ597" s="2036"/>
      <c r="CR597" s="2036"/>
      <c r="CS597" s="2036"/>
      <c r="CT597" s="2036"/>
      <c r="CU597" s="2036"/>
      <c r="CV597" s="1973">
        <v>1</v>
      </c>
      <c r="CW597" s="1973">
        <v>0</v>
      </c>
      <c r="CX597" s="2037">
        <v>17.808</v>
      </c>
      <c r="CY597" s="2037">
        <v>17.808</v>
      </c>
      <c r="CZ597" s="2037">
        <v>17.808</v>
      </c>
      <c r="DA597" s="2037">
        <v>17.808</v>
      </c>
      <c r="DJ597" s="1976">
        <v>2.6879999999999997</v>
      </c>
      <c r="DK597" s="1973">
        <v>2.6879999999999997</v>
      </c>
      <c r="DL597" s="1973">
        <v>2.6879999999999997</v>
      </c>
      <c r="DM597" s="1973">
        <v>2.6879999999999997</v>
      </c>
      <c r="DO597" s="2146">
        <v>10</v>
      </c>
      <c r="DP597" s="2147">
        <v>20.576568549600005</v>
      </c>
      <c r="DQ597" s="2148">
        <v>6.7886315422358541E-3</v>
      </c>
      <c r="DR597" s="2146">
        <v>5.3588189352600013</v>
      </c>
      <c r="DS597" s="2046">
        <v>2.6879999999999997</v>
      </c>
      <c r="DT597" s="2046">
        <v>2.6879999999999997</v>
      </c>
      <c r="DU597" s="2046">
        <v>2.6879999999999997</v>
      </c>
      <c r="DV597" s="2046">
        <v>2.6879999999999997</v>
      </c>
      <c r="DW597" s="2046">
        <v>15.120000000000001</v>
      </c>
      <c r="DX597" s="2046">
        <v>15.120000000000001</v>
      </c>
      <c r="DY597" s="2046">
        <v>15.120000000000001</v>
      </c>
      <c r="DZ597" s="2046">
        <v>15.120000000000001</v>
      </c>
      <c r="EA597" s="2046">
        <v>12</v>
      </c>
      <c r="EB597" s="2046">
        <v>12</v>
      </c>
      <c r="EC597" s="2046">
        <v>12</v>
      </c>
      <c r="ED597" s="2046">
        <v>12</v>
      </c>
      <c r="EE597" s="2039">
        <f t="shared" si="412"/>
        <v>0</v>
      </c>
      <c r="EF597" s="2039">
        <f t="shared" si="412"/>
        <v>-1.1647114273358419</v>
      </c>
      <c r="EG597" s="2039">
        <f t="shared" si="412"/>
        <v>-3.8426216276806532E-4</v>
      </c>
      <c r="EH597" s="2039">
        <f t="shared" si="412"/>
        <v>5.777702356075487E-2</v>
      </c>
      <c r="EI597" s="2040">
        <f t="shared" si="385"/>
        <v>0</v>
      </c>
      <c r="EJ597" s="2040">
        <f t="shared" si="385"/>
        <v>0</v>
      </c>
      <c r="EK597" s="2040">
        <f t="shared" si="385"/>
        <v>0</v>
      </c>
      <c r="EL597" s="2040">
        <f t="shared" si="385"/>
        <v>0</v>
      </c>
      <c r="EM597" s="2040">
        <f t="shared" si="385"/>
        <v>0</v>
      </c>
      <c r="EN597" s="2040">
        <f t="shared" si="385"/>
        <v>0</v>
      </c>
      <c r="EO597" s="2040">
        <f t="shared" si="417"/>
        <v>0</v>
      </c>
      <c r="EP597" s="2040">
        <f t="shared" si="417"/>
        <v>0</v>
      </c>
      <c r="EQ597" s="2040">
        <f t="shared" si="417"/>
        <v>0</v>
      </c>
      <c r="ER597" s="2040">
        <f t="shared" si="393"/>
        <v>0</v>
      </c>
      <c r="ES597" s="2040">
        <f t="shared" si="393"/>
        <v>0</v>
      </c>
      <c r="ET597" s="2040">
        <f t="shared" si="393"/>
        <v>0</v>
      </c>
      <c r="EU597" s="2039">
        <f t="shared" si="413"/>
        <v>-1.1073186659378551</v>
      </c>
      <c r="EV597" s="2039">
        <f t="shared" si="414"/>
        <v>-1.1073186659378551</v>
      </c>
    </row>
    <row r="598" spans="1:152" x14ac:dyDescent="0.25">
      <c r="A598" s="2143" t="str">
        <f t="shared" si="420"/>
        <v>Linear Tube LED (Midstream)</v>
      </c>
      <c r="B598" s="1974" t="str">
        <f t="shared" si="420"/>
        <v/>
      </c>
      <c r="C598" s="2027">
        <v>15</v>
      </c>
      <c r="D598" s="2171">
        <v>42.69534774200001</v>
      </c>
      <c r="E598" s="2145">
        <v>9.1439273599999999E-3</v>
      </c>
      <c r="F598" s="2027">
        <v>-0.86174096360000019</v>
      </c>
      <c r="G598" s="1974" t="s">
        <v>2988</v>
      </c>
      <c r="H598" s="1974" t="s">
        <v>2988</v>
      </c>
      <c r="I598" s="2026">
        <v>0.9</v>
      </c>
      <c r="J598" s="2026">
        <v>0.9</v>
      </c>
      <c r="K598" s="2026">
        <v>0.9</v>
      </c>
      <c r="L598" s="2026">
        <v>0.9</v>
      </c>
      <c r="M598" s="2027">
        <f t="shared" si="426"/>
        <v>38.425812967800013</v>
      </c>
      <c r="N598" s="2027">
        <f t="shared" si="426"/>
        <v>38.425812967800013</v>
      </c>
      <c r="O598" s="2027">
        <f t="shared" si="426"/>
        <v>38.425812967800013</v>
      </c>
      <c r="P598" s="2027">
        <f t="shared" si="426"/>
        <v>38.425812967800013</v>
      </c>
      <c r="Q598" s="2026">
        <v>0.9</v>
      </c>
      <c r="R598" s="2026">
        <v>0.9</v>
      </c>
      <c r="S598" s="2026">
        <v>0.9</v>
      </c>
      <c r="T598" s="2026">
        <v>0.9</v>
      </c>
      <c r="U598" s="2028">
        <f t="shared" si="427"/>
        <v>8.2295346239999994E-3</v>
      </c>
      <c r="V598" s="2028">
        <f t="shared" si="427"/>
        <v>8.2295346239999994E-3</v>
      </c>
      <c r="W598" s="2028">
        <f t="shared" si="427"/>
        <v>8.2295346239999994E-3</v>
      </c>
      <c r="X598" s="2028">
        <f t="shared" si="427"/>
        <v>8.2295346239999994E-3</v>
      </c>
      <c r="Y598" s="2026">
        <v>0.9</v>
      </c>
      <c r="Z598" s="2026">
        <v>0.9</v>
      </c>
      <c r="AA598" s="2026">
        <v>0.9</v>
      </c>
      <c r="AB598" s="2026">
        <v>0.9</v>
      </c>
      <c r="AC598" s="2027">
        <f t="shared" si="428"/>
        <v>-0.77556686724000024</v>
      </c>
      <c r="AD598" s="2027">
        <f t="shared" si="428"/>
        <v>-0.77556686724000024</v>
      </c>
      <c r="AE598" s="2027">
        <f t="shared" si="428"/>
        <v>-0.77556686724000024</v>
      </c>
      <c r="AF598" s="2027">
        <f t="shared" si="428"/>
        <v>-0.77556686724000024</v>
      </c>
      <c r="AG598" s="2027">
        <v>110000</v>
      </c>
      <c r="AH598" s="2027">
        <v>110000</v>
      </c>
      <c r="AI598" s="2027">
        <v>110000</v>
      </c>
      <c r="AJ598" s="2027">
        <v>110000</v>
      </c>
      <c r="AK598" s="2027">
        <f>AG598*M598</f>
        <v>4226839.4264580011</v>
      </c>
      <c r="AL598" s="2027">
        <f t="shared" ref="AL598:AN629" si="433">AH598*N598*CM598</f>
        <v>3761887.0895476211</v>
      </c>
      <c r="AM598" s="2027">
        <f t="shared" si="433"/>
        <v>3761887.0895476211</v>
      </c>
      <c r="AN598" s="2027">
        <f t="shared" si="433"/>
        <v>3761887.0895476211</v>
      </c>
      <c r="AO598" s="2027">
        <f t="shared" si="429"/>
        <v>-85312.355396400031</v>
      </c>
      <c r="AP598" s="2027">
        <f t="shared" si="421"/>
        <v>-75927.996302796033</v>
      </c>
      <c r="AQ598" s="2027">
        <f t="shared" si="421"/>
        <v>-75927.996302796033</v>
      </c>
      <c r="AR598" s="2027">
        <f t="shared" si="421"/>
        <v>-75927.996302796033</v>
      </c>
      <c r="AS598" s="2029">
        <v>10.800000000000002</v>
      </c>
      <c r="AT598" s="2029">
        <f>AT381*0.9</f>
        <v>9.9</v>
      </c>
      <c r="AU598" s="2029">
        <f>AU381*0.9</f>
        <v>9</v>
      </c>
      <c r="AV598" s="2029">
        <f>AV381*0.9</f>
        <v>9</v>
      </c>
      <c r="AW598" s="2029">
        <f t="shared" si="419"/>
        <v>0</v>
      </c>
      <c r="AX598" s="2029">
        <f t="shared" si="388"/>
        <v>0</v>
      </c>
      <c r="AY598" s="2029">
        <f t="shared" si="388"/>
        <v>0</v>
      </c>
      <c r="AZ598" s="2029">
        <f t="shared" si="388"/>
        <v>0</v>
      </c>
      <c r="BA598" s="2029">
        <v>4.1099999999999994</v>
      </c>
      <c r="BB598" s="2029">
        <f>$BA598</f>
        <v>4.1099999999999994</v>
      </c>
      <c r="BC598" s="2029">
        <f t="shared" si="432"/>
        <v>4.1099999999999994</v>
      </c>
      <c r="BD598" s="2029">
        <f t="shared" si="432"/>
        <v>4.1099999999999994</v>
      </c>
      <c r="BE598" s="2030">
        <f t="shared" si="430"/>
        <v>1188000.0000000002</v>
      </c>
      <c r="BF598" s="2030">
        <f t="shared" si="430"/>
        <v>1089000</v>
      </c>
      <c r="BG598" s="2030">
        <f t="shared" si="430"/>
        <v>990000</v>
      </c>
      <c r="BH598" s="2030">
        <f t="shared" si="430"/>
        <v>990000</v>
      </c>
      <c r="BI598" s="2030">
        <f t="shared" si="431"/>
        <v>0</v>
      </c>
      <c r="BJ598" s="2030">
        <f t="shared" si="431"/>
        <v>0</v>
      </c>
      <c r="BK598" s="2030">
        <f t="shared" si="431"/>
        <v>0</v>
      </c>
      <c r="BL598" s="2030">
        <f t="shared" si="431"/>
        <v>0</v>
      </c>
      <c r="BM598" s="2125"/>
      <c r="BN598" s="2125"/>
      <c r="BO598" s="2125"/>
      <c r="BP598" s="2125"/>
      <c r="BQ598" s="2125"/>
      <c r="BR598" s="2125"/>
      <c r="BS598" s="2125"/>
      <c r="BT598" s="2125"/>
      <c r="BU598" s="2029"/>
      <c r="BV598" s="2029"/>
      <c r="BW598" s="2029"/>
      <c r="BX598" s="2029"/>
      <c r="BY598" s="2029"/>
      <c r="BZ598" s="2032"/>
      <c r="CA598" s="1974">
        <f t="shared" si="423"/>
        <v>0</v>
      </c>
      <c r="CB598" s="1974">
        <f t="shared" si="423"/>
        <v>0</v>
      </c>
      <c r="CC598" s="1974">
        <f t="shared" si="423"/>
        <v>0</v>
      </c>
      <c r="CD598" s="1974">
        <f t="shared" si="423"/>
        <v>0</v>
      </c>
      <c r="CE598" s="1974">
        <f t="shared" si="423"/>
        <v>1</v>
      </c>
      <c r="CF598" s="2033">
        <v>1.766961239378079E-2</v>
      </c>
      <c r="CG598" s="2026">
        <v>-3.1828370217536039E-2</v>
      </c>
      <c r="CH598" s="2009">
        <f t="shared" si="424"/>
        <v>1</v>
      </c>
      <c r="CI598" s="2031">
        <f t="shared" si="424"/>
        <v>1.176912501648</v>
      </c>
      <c r="CJ598" s="1974">
        <f t="shared" si="424"/>
        <v>0</v>
      </c>
      <c r="CK598" s="2031">
        <f t="shared" si="424"/>
        <v>-1.176912501648</v>
      </c>
      <c r="CL598" s="2026">
        <v>1</v>
      </c>
      <c r="CM598" s="2026">
        <v>0.89</v>
      </c>
      <c r="CN598" s="2026">
        <v>0.89</v>
      </c>
      <c r="CO598" s="2026">
        <v>0.89</v>
      </c>
      <c r="CP598" s="2035"/>
      <c r="CQ598" s="2036"/>
      <c r="CR598" s="2036"/>
      <c r="CS598" s="2036"/>
      <c r="CT598" s="2036"/>
      <c r="CU598" s="2036"/>
      <c r="CV598" s="1973">
        <v>1</v>
      </c>
      <c r="CW598" s="1973">
        <v>1</v>
      </c>
      <c r="CX598" s="2037">
        <v>10.8</v>
      </c>
      <c r="CY598" s="2037">
        <v>9.9</v>
      </c>
      <c r="CZ598" s="2037">
        <v>9</v>
      </c>
      <c r="DA598" s="2037">
        <v>9</v>
      </c>
      <c r="DJ598" s="1976">
        <v>10.8</v>
      </c>
      <c r="DK598" s="1973">
        <v>9.9</v>
      </c>
      <c r="DL598" s="1973">
        <v>9</v>
      </c>
      <c r="DM598" s="1973">
        <v>9</v>
      </c>
      <c r="DO598" s="2027">
        <v>15</v>
      </c>
      <c r="DP598" s="2144">
        <v>42.69534774200001</v>
      </c>
      <c r="DQ598" s="2145">
        <v>9.1439273599999999E-3</v>
      </c>
      <c r="DR598" s="2027">
        <v>-0.86174096360000019</v>
      </c>
      <c r="DS598" s="2029">
        <v>10.8</v>
      </c>
      <c r="DT598" s="2029">
        <v>9.9</v>
      </c>
      <c r="DU598" s="2029">
        <v>9</v>
      </c>
      <c r="DV598" s="2029">
        <v>9</v>
      </c>
      <c r="DW598" s="2029">
        <v>0</v>
      </c>
      <c r="DX598" s="2029">
        <v>0</v>
      </c>
      <c r="DY598" s="2029">
        <v>0</v>
      </c>
      <c r="DZ598" s="2029">
        <v>0</v>
      </c>
      <c r="EA598" s="2029">
        <v>4.1099999999999994</v>
      </c>
      <c r="EB598" s="2029">
        <v>4.1099999999999994</v>
      </c>
      <c r="EC598" s="2029">
        <v>4.1099999999999994</v>
      </c>
      <c r="ED598" s="2029">
        <v>4.1099999999999994</v>
      </c>
      <c r="EE598" s="2039">
        <f t="shared" si="412"/>
        <v>0</v>
      </c>
      <c r="EF598" s="2039">
        <f t="shared" si="412"/>
        <v>0</v>
      </c>
      <c r="EG598" s="2039">
        <f t="shared" si="412"/>
        <v>0</v>
      </c>
      <c r="EH598" s="2039">
        <f t="shared" si="412"/>
        <v>0</v>
      </c>
      <c r="EI598" s="2040">
        <f t="shared" si="385"/>
        <v>0</v>
      </c>
      <c r="EJ598" s="2040">
        <f t="shared" si="385"/>
        <v>0</v>
      </c>
      <c r="EK598" s="2040">
        <f t="shared" si="385"/>
        <v>0</v>
      </c>
      <c r="EL598" s="2040">
        <f t="shared" si="385"/>
        <v>0</v>
      </c>
      <c r="EM598" s="2040">
        <f t="shared" si="385"/>
        <v>0</v>
      </c>
      <c r="EN598" s="2040">
        <f t="shared" si="385"/>
        <v>0</v>
      </c>
      <c r="EO598" s="2040">
        <f t="shared" si="417"/>
        <v>0</v>
      </c>
      <c r="EP598" s="2040">
        <f t="shared" si="417"/>
        <v>0</v>
      </c>
      <c r="EQ598" s="2040">
        <f t="shared" si="417"/>
        <v>0</v>
      </c>
      <c r="ER598" s="2040">
        <f t="shared" si="393"/>
        <v>0</v>
      </c>
      <c r="ES598" s="2040">
        <f t="shared" si="393"/>
        <v>0</v>
      </c>
      <c r="ET598" s="2040">
        <f t="shared" si="393"/>
        <v>0</v>
      </c>
      <c r="EU598" s="2039">
        <f t="shared" si="413"/>
        <v>0</v>
      </c>
      <c r="EV598" s="2039">
        <f t="shared" si="414"/>
        <v>0</v>
      </c>
    </row>
    <row r="599" spans="1:152" x14ac:dyDescent="0.25">
      <c r="A599" s="2143" t="str">
        <f t="shared" si="420"/>
        <v>LED Wallpack Fixture (Midstream)</v>
      </c>
      <c r="B599" s="1974" t="str">
        <f t="shared" si="420"/>
        <v/>
      </c>
      <c r="C599" s="2027">
        <f t="shared" si="425"/>
        <v>10.197838058331634</v>
      </c>
      <c r="D599" s="2144">
        <f t="shared" si="425"/>
        <v>511.38289999999995</v>
      </c>
      <c r="E599" s="2145">
        <f t="shared" si="425"/>
        <v>0</v>
      </c>
      <c r="F599" s="2027">
        <f t="shared" si="425"/>
        <v>0</v>
      </c>
      <c r="G599" s="1974" t="s">
        <v>2988</v>
      </c>
      <c r="H599" s="1974" t="s">
        <v>2988</v>
      </c>
      <c r="I599" s="2026">
        <v>0.9</v>
      </c>
      <c r="J599" s="2026">
        <v>0.9</v>
      </c>
      <c r="K599" s="2026">
        <v>0.9</v>
      </c>
      <c r="L599" s="2026">
        <v>0.9</v>
      </c>
      <c r="M599" s="2027">
        <f t="shared" si="426"/>
        <v>460.24460999999997</v>
      </c>
      <c r="N599" s="2027">
        <f t="shared" si="426"/>
        <v>460.24460999999997</v>
      </c>
      <c r="O599" s="2027">
        <f t="shared" si="426"/>
        <v>460.24460999999997</v>
      </c>
      <c r="P599" s="2027">
        <f t="shared" si="426"/>
        <v>460.24460999999997</v>
      </c>
      <c r="Q599" s="2026">
        <v>0.9</v>
      </c>
      <c r="R599" s="2026">
        <v>0.9</v>
      </c>
      <c r="S599" s="2026">
        <v>0.9</v>
      </c>
      <c r="T599" s="2026">
        <v>0.9</v>
      </c>
      <c r="U599" s="2028">
        <f t="shared" si="427"/>
        <v>0</v>
      </c>
      <c r="V599" s="2028">
        <f t="shared" si="427"/>
        <v>0</v>
      </c>
      <c r="W599" s="2028">
        <f t="shared" si="427"/>
        <v>0</v>
      </c>
      <c r="X599" s="2028">
        <f t="shared" si="427"/>
        <v>0</v>
      </c>
      <c r="Y599" s="2026">
        <v>0.9</v>
      </c>
      <c r="Z599" s="2026">
        <v>0.9</v>
      </c>
      <c r="AA599" s="2026">
        <v>0.9</v>
      </c>
      <c r="AB599" s="2026">
        <v>0.9</v>
      </c>
      <c r="AC599" s="2027">
        <f t="shared" si="428"/>
        <v>0</v>
      </c>
      <c r="AD599" s="2027">
        <f t="shared" si="428"/>
        <v>0</v>
      </c>
      <c r="AE599" s="2027">
        <f t="shared" si="428"/>
        <v>0</v>
      </c>
      <c r="AF599" s="2027">
        <f t="shared" si="428"/>
        <v>0</v>
      </c>
      <c r="AG599" s="2027">
        <v>20</v>
      </c>
      <c r="AH599" s="2027">
        <v>30</v>
      </c>
      <c r="AI599" s="2027">
        <v>40</v>
      </c>
      <c r="AJ599" s="2027">
        <v>50</v>
      </c>
      <c r="AK599" s="2027">
        <f t="shared" ref="AK599:AK662" si="434">AG599*M599</f>
        <v>9204.8921999999984</v>
      </c>
      <c r="AL599" s="2027">
        <f t="shared" si="433"/>
        <v>13807.338299999999</v>
      </c>
      <c r="AM599" s="2027">
        <f t="shared" si="433"/>
        <v>18409.784399999997</v>
      </c>
      <c r="AN599" s="2027">
        <f t="shared" si="433"/>
        <v>23012.230499999998</v>
      </c>
      <c r="AO599" s="2027">
        <f t="shared" si="429"/>
        <v>0</v>
      </c>
      <c r="AP599" s="2027">
        <f t="shared" si="421"/>
        <v>0</v>
      </c>
      <c r="AQ599" s="2027">
        <f t="shared" si="421"/>
        <v>0</v>
      </c>
      <c r="AR599" s="2027">
        <f t="shared" si="421"/>
        <v>0</v>
      </c>
      <c r="AS599" s="2029">
        <f>AS138*1.6</f>
        <v>64</v>
      </c>
      <c r="AT599" s="2029">
        <f t="shared" si="422"/>
        <v>64</v>
      </c>
      <c r="AU599" s="2029">
        <f t="shared" si="422"/>
        <v>64</v>
      </c>
      <c r="AV599" s="2029">
        <f t="shared" si="422"/>
        <v>64</v>
      </c>
      <c r="AW599" s="2029">
        <f t="shared" si="419"/>
        <v>0</v>
      </c>
      <c r="AX599" s="2029">
        <f t="shared" si="388"/>
        <v>0</v>
      </c>
      <c r="AY599" s="2029">
        <f t="shared" si="388"/>
        <v>0</v>
      </c>
      <c r="AZ599" s="2029">
        <f t="shared" si="388"/>
        <v>0</v>
      </c>
      <c r="BA599" s="2029">
        <f t="shared" si="415"/>
        <v>143.75</v>
      </c>
      <c r="BB599" s="2029">
        <f t="shared" si="415"/>
        <v>143.75</v>
      </c>
      <c r="BC599" s="2029">
        <f t="shared" si="415"/>
        <v>143.75</v>
      </c>
      <c r="BD599" s="2029">
        <f t="shared" si="415"/>
        <v>143.75</v>
      </c>
      <c r="BE599" s="2030">
        <f t="shared" si="430"/>
        <v>1280</v>
      </c>
      <c r="BF599" s="2030">
        <f t="shared" si="430"/>
        <v>1920</v>
      </c>
      <c r="BG599" s="2030">
        <f t="shared" si="430"/>
        <v>2560</v>
      </c>
      <c r="BH599" s="2030">
        <f t="shared" si="430"/>
        <v>3200</v>
      </c>
      <c r="BI599" s="2030">
        <f t="shared" si="431"/>
        <v>0</v>
      </c>
      <c r="BJ599" s="2030">
        <f t="shared" si="431"/>
        <v>0</v>
      </c>
      <c r="BK599" s="2030">
        <f t="shared" si="431"/>
        <v>0</v>
      </c>
      <c r="BL599" s="2030">
        <f t="shared" si="431"/>
        <v>0</v>
      </c>
      <c r="BM599" s="2125"/>
      <c r="BN599" s="2125"/>
      <c r="BO599" s="2125"/>
      <c r="BP599" s="2125"/>
      <c r="BQ599" s="2125"/>
      <c r="BR599" s="2125"/>
      <c r="BS599" s="2125"/>
      <c r="BT599" s="2125"/>
      <c r="BU599" s="2029"/>
      <c r="BV599" s="2029"/>
      <c r="BW599" s="2029"/>
      <c r="BX599" s="2029"/>
      <c r="BY599" s="2029"/>
      <c r="BZ599" s="2032"/>
      <c r="CA599" s="1974">
        <f t="shared" si="423"/>
        <v>0</v>
      </c>
      <c r="CB599" s="1974">
        <f t="shared" si="423"/>
        <v>0</v>
      </c>
      <c r="CC599" s="1974">
        <f t="shared" si="423"/>
        <v>0</v>
      </c>
      <c r="CD599" s="1974">
        <f t="shared" si="423"/>
        <v>0</v>
      </c>
      <c r="CE599" s="1974">
        <f t="shared" si="423"/>
        <v>0</v>
      </c>
      <c r="CF599" s="2033">
        <v>3.8479549585547097E-5</v>
      </c>
      <c r="CG599" s="2026">
        <v>0</v>
      </c>
      <c r="CH599" s="2009">
        <f t="shared" si="424"/>
        <v>1</v>
      </c>
      <c r="CI599" s="2031">
        <f t="shared" si="424"/>
        <v>24.764039713333329</v>
      </c>
      <c r="CJ599" s="1974">
        <f t="shared" si="424"/>
        <v>0</v>
      </c>
      <c r="CK599" s="2031">
        <f t="shared" si="424"/>
        <v>-24.764039713333329</v>
      </c>
      <c r="CL599" s="2026">
        <v>1</v>
      </c>
      <c r="CM599" s="2026">
        <v>1</v>
      </c>
      <c r="CN599" s="2026">
        <v>1</v>
      </c>
      <c r="CO599" s="2026">
        <v>1</v>
      </c>
      <c r="CP599" s="2035"/>
      <c r="CQ599" s="2036"/>
      <c r="CR599" s="2036"/>
      <c r="CS599" s="2036"/>
      <c r="CT599" s="2036"/>
      <c r="CU599" s="2036"/>
      <c r="CV599" s="1973">
        <v>1</v>
      </c>
      <c r="CW599" s="1973">
        <v>1</v>
      </c>
      <c r="CX599" s="2037">
        <v>64</v>
      </c>
      <c r="CY599" s="2037">
        <v>64</v>
      </c>
      <c r="CZ599" s="2037">
        <v>64</v>
      </c>
      <c r="DA599" s="2037">
        <v>64</v>
      </c>
      <c r="DJ599" s="1976">
        <v>64</v>
      </c>
      <c r="DK599" s="1973">
        <v>64</v>
      </c>
      <c r="DL599" s="1973">
        <v>64</v>
      </c>
      <c r="DM599" s="1973">
        <v>64</v>
      </c>
      <c r="DO599" s="2027">
        <v>10.197838058331634</v>
      </c>
      <c r="DP599" s="2144">
        <v>511.38289999999995</v>
      </c>
      <c r="DQ599" s="2145">
        <v>0</v>
      </c>
      <c r="DR599" s="2027">
        <v>0</v>
      </c>
      <c r="DS599" s="2029">
        <v>64</v>
      </c>
      <c r="DT599" s="2029">
        <v>64</v>
      </c>
      <c r="DU599" s="2029">
        <v>64</v>
      </c>
      <c r="DV599" s="2029">
        <v>64</v>
      </c>
      <c r="DW599" s="2029">
        <v>0</v>
      </c>
      <c r="DX599" s="2029">
        <v>0</v>
      </c>
      <c r="DY599" s="2029">
        <v>0</v>
      </c>
      <c r="DZ599" s="2029">
        <v>0</v>
      </c>
      <c r="EA599" s="2029">
        <v>143.75</v>
      </c>
      <c r="EB599" s="2029">
        <v>143.75</v>
      </c>
      <c r="EC599" s="2029">
        <v>143.75</v>
      </c>
      <c r="ED599" s="2029">
        <v>143.75</v>
      </c>
      <c r="EE599" s="2039">
        <f t="shared" si="412"/>
        <v>0</v>
      </c>
      <c r="EF599" s="2039">
        <f t="shared" si="412"/>
        <v>0</v>
      </c>
      <c r="EG599" s="2039">
        <f t="shared" si="412"/>
        <v>0</v>
      </c>
      <c r="EH599" s="2039">
        <f t="shared" si="412"/>
        <v>0</v>
      </c>
      <c r="EI599" s="2040">
        <f t="shared" si="385"/>
        <v>0</v>
      </c>
      <c r="EJ599" s="2040">
        <f t="shared" si="385"/>
        <v>0</v>
      </c>
      <c r="EK599" s="2040">
        <f t="shared" si="385"/>
        <v>0</v>
      </c>
      <c r="EL599" s="2040">
        <f t="shared" si="385"/>
        <v>0</v>
      </c>
      <c r="EM599" s="2040">
        <f t="shared" si="385"/>
        <v>0</v>
      </c>
      <c r="EN599" s="2040">
        <f t="shared" si="385"/>
        <v>0</v>
      </c>
      <c r="EO599" s="2040">
        <f t="shared" si="417"/>
        <v>0</v>
      </c>
      <c r="EP599" s="2040">
        <f t="shared" si="417"/>
        <v>0</v>
      </c>
      <c r="EQ599" s="2040">
        <f t="shared" si="417"/>
        <v>0</v>
      </c>
      <c r="ER599" s="2040">
        <f t="shared" si="393"/>
        <v>0</v>
      </c>
      <c r="ES599" s="2040">
        <f t="shared" si="393"/>
        <v>0</v>
      </c>
      <c r="ET599" s="2040">
        <f t="shared" si="393"/>
        <v>0</v>
      </c>
      <c r="EU599" s="2039">
        <f t="shared" si="413"/>
        <v>0</v>
      </c>
      <c r="EV599" s="2039">
        <f t="shared" si="414"/>
        <v>0</v>
      </c>
    </row>
    <row r="600" spans="1:152" x14ac:dyDescent="0.25">
      <c r="A600" s="2149" t="str">
        <f t="shared" si="420"/>
        <v>LED Exterior - Canopy</v>
      </c>
      <c r="B600" s="1974" t="str">
        <f t="shared" si="420"/>
        <v/>
      </c>
      <c r="C600" s="2027">
        <f t="shared" si="425"/>
        <v>12.8</v>
      </c>
      <c r="D600" s="2144">
        <f t="shared" si="425"/>
        <v>1445.31</v>
      </c>
      <c r="E600" s="2145">
        <f t="shared" si="425"/>
        <v>4.7999999999999996E-3</v>
      </c>
      <c r="F600" s="2027">
        <f t="shared" si="425"/>
        <v>0</v>
      </c>
      <c r="G600" s="1974" t="s">
        <v>2988</v>
      </c>
      <c r="H600" s="1974" t="s">
        <v>2988</v>
      </c>
      <c r="I600" s="2026">
        <v>0.9</v>
      </c>
      <c r="J600" s="2026">
        <v>0.9</v>
      </c>
      <c r="K600" s="2026">
        <v>0.9</v>
      </c>
      <c r="L600" s="2026">
        <v>0.9</v>
      </c>
      <c r="M600" s="2027">
        <f t="shared" si="426"/>
        <v>1300.779</v>
      </c>
      <c r="N600" s="2027">
        <f t="shared" si="426"/>
        <v>1300.779</v>
      </c>
      <c r="O600" s="2027">
        <f t="shared" si="426"/>
        <v>1300.779</v>
      </c>
      <c r="P600" s="2027">
        <f t="shared" si="426"/>
        <v>1300.779</v>
      </c>
      <c r="Q600" s="2026">
        <v>0.9</v>
      </c>
      <c r="R600" s="2026">
        <v>0.9</v>
      </c>
      <c r="S600" s="2026">
        <v>0.9</v>
      </c>
      <c r="T600" s="2026">
        <v>0.9</v>
      </c>
      <c r="U600" s="2028">
        <f t="shared" si="427"/>
        <v>4.3200000000000001E-3</v>
      </c>
      <c r="V600" s="2028">
        <f t="shared" si="427"/>
        <v>4.3200000000000001E-3</v>
      </c>
      <c r="W600" s="2028">
        <f t="shared" si="427"/>
        <v>4.3200000000000001E-3</v>
      </c>
      <c r="X600" s="2028">
        <f t="shared" si="427"/>
        <v>4.3200000000000001E-3</v>
      </c>
      <c r="Y600" s="2026">
        <v>0.9</v>
      </c>
      <c r="Z600" s="2026">
        <v>0.9</v>
      </c>
      <c r="AA600" s="2026">
        <v>0.9</v>
      </c>
      <c r="AB600" s="2026">
        <v>0.9</v>
      </c>
      <c r="AC600" s="2027">
        <f t="shared" si="428"/>
        <v>0</v>
      </c>
      <c r="AD600" s="2027">
        <f t="shared" si="428"/>
        <v>0</v>
      </c>
      <c r="AE600" s="2027">
        <f t="shared" si="428"/>
        <v>0</v>
      </c>
      <c r="AF600" s="2027">
        <f t="shared" si="428"/>
        <v>0</v>
      </c>
      <c r="AG600" s="2027">
        <v>0</v>
      </c>
      <c r="AH600" s="2028"/>
      <c r="AI600" s="2028"/>
      <c r="AJ600" s="2028"/>
      <c r="AK600" s="2027">
        <f t="shared" si="434"/>
        <v>0</v>
      </c>
      <c r="AL600" s="2027">
        <f t="shared" si="433"/>
        <v>0</v>
      </c>
      <c r="AM600" s="2027">
        <f t="shared" si="433"/>
        <v>0</v>
      </c>
      <c r="AN600" s="2027">
        <f t="shared" si="433"/>
        <v>0</v>
      </c>
      <c r="AO600" s="2027">
        <f t="shared" si="429"/>
        <v>0</v>
      </c>
      <c r="AP600" s="2027">
        <f t="shared" si="421"/>
        <v>0</v>
      </c>
      <c r="AQ600" s="2027">
        <f t="shared" si="421"/>
        <v>0</v>
      </c>
      <c r="AR600" s="2027">
        <f t="shared" si="421"/>
        <v>0</v>
      </c>
      <c r="AS600" s="2124">
        <f t="shared" ref="AS600:AS607" si="435">AS139*1.4</f>
        <v>145.93599999999998</v>
      </c>
      <c r="AT600" s="2029">
        <f t="shared" si="422"/>
        <v>145.93599999999998</v>
      </c>
      <c r="AU600" s="2029">
        <f t="shared" si="422"/>
        <v>145.93599999999998</v>
      </c>
      <c r="AV600" s="2029">
        <f t="shared" si="422"/>
        <v>145.93599999999998</v>
      </c>
      <c r="AW600" s="2124">
        <f t="shared" si="419"/>
        <v>0</v>
      </c>
      <c r="AX600" s="2029">
        <f t="shared" si="388"/>
        <v>0</v>
      </c>
      <c r="AY600" s="2029">
        <f t="shared" si="388"/>
        <v>0</v>
      </c>
      <c r="AZ600" s="2029">
        <f t="shared" si="388"/>
        <v>0</v>
      </c>
      <c r="BA600" s="2124">
        <f t="shared" ref="BA600:BD615" si="436">BA139</f>
        <v>408.28</v>
      </c>
      <c r="BB600" s="2029">
        <f t="shared" si="436"/>
        <v>408.28</v>
      </c>
      <c r="BC600" s="2029">
        <f t="shared" si="436"/>
        <v>408.28</v>
      </c>
      <c r="BD600" s="2029">
        <f t="shared" si="436"/>
        <v>408.28</v>
      </c>
      <c r="BE600" s="2030">
        <f t="shared" si="430"/>
        <v>0</v>
      </c>
      <c r="BF600" s="2030">
        <f t="shared" si="430"/>
        <v>0</v>
      </c>
      <c r="BG600" s="2030">
        <f t="shared" si="430"/>
        <v>0</v>
      </c>
      <c r="BH600" s="2030">
        <f t="shared" si="430"/>
        <v>0</v>
      </c>
      <c r="BI600" s="2030">
        <f t="shared" si="431"/>
        <v>0</v>
      </c>
      <c r="BJ600" s="2030">
        <f t="shared" si="431"/>
        <v>0</v>
      </c>
      <c r="BK600" s="2030">
        <f t="shared" si="431"/>
        <v>0</v>
      </c>
      <c r="BL600" s="2030">
        <f t="shared" si="431"/>
        <v>0</v>
      </c>
      <c r="BM600" s="2125"/>
      <c r="BN600" s="2125"/>
      <c r="BO600" s="2125"/>
      <c r="BP600" s="2125"/>
      <c r="BQ600" s="2125"/>
      <c r="BR600" s="2125"/>
      <c r="BS600" s="2125"/>
      <c r="BT600" s="2125"/>
      <c r="BU600" s="2029"/>
      <c r="BV600" s="2029"/>
      <c r="BW600" s="2029"/>
      <c r="BX600" s="2029"/>
      <c r="BY600" s="2029"/>
      <c r="BZ600" s="2032"/>
      <c r="CA600" s="1974">
        <f t="shared" si="423"/>
        <v>0</v>
      </c>
      <c r="CB600" s="1974">
        <f t="shared" si="423"/>
        <v>0</v>
      </c>
      <c r="CC600" s="1974">
        <f t="shared" si="423"/>
        <v>0</v>
      </c>
      <c r="CD600" s="1974">
        <f t="shared" si="423"/>
        <v>0</v>
      </c>
      <c r="CE600" s="1974">
        <f t="shared" si="423"/>
        <v>0</v>
      </c>
      <c r="CF600" s="2033">
        <v>0</v>
      </c>
      <c r="CG600" s="2026">
        <v>0</v>
      </c>
      <c r="CH600" s="2009">
        <f t="shared" si="424"/>
        <v>1</v>
      </c>
      <c r="CI600" s="2031">
        <f t="shared" si="424"/>
        <v>19.729661458333329</v>
      </c>
      <c r="CJ600" s="1974">
        <f t="shared" si="424"/>
        <v>0</v>
      </c>
      <c r="CK600" s="2031">
        <f t="shared" si="424"/>
        <v>-19.729661458333329</v>
      </c>
      <c r="CL600" s="2026">
        <v>1</v>
      </c>
      <c r="CM600" s="2026">
        <v>1</v>
      </c>
      <c r="CN600" s="2026">
        <v>1</v>
      </c>
      <c r="CO600" s="2026">
        <v>1</v>
      </c>
      <c r="CP600" s="2035"/>
      <c r="CQ600" s="2036"/>
      <c r="CR600" s="2036"/>
      <c r="CS600" s="2036"/>
      <c r="CT600" s="2036"/>
      <c r="CU600" s="2036"/>
      <c r="CV600" s="1973">
        <v>1</v>
      </c>
      <c r="CW600" s="1973">
        <v>0</v>
      </c>
      <c r="CX600" s="2037">
        <v>145.93599999999998</v>
      </c>
      <c r="CY600" s="2037">
        <v>145.93599999999998</v>
      </c>
      <c r="CZ600" s="2037">
        <v>145.93599999999998</v>
      </c>
      <c r="DA600" s="2037">
        <v>145.93599999999998</v>
      </c>
      <c r="DJ600" s="1976">
        <v>145.93599999999998</v>
      </c>
      <c r="DK600" s="1973">
        <v>145.93599999999998</v>
      </c>
      <c r="DL600" s="1973">
        <v>145.93599999999998</v>
      </c>
      <c r="DM600" s="1973">
        <v>145.93599999999998</v>
      </c>
      <c r="DO600" s="2027">
        <v>12.8</v>
      </c>
      <c r="DP600" s="2144">
        <v>1445.31</v>
      </c>
      <c r="DQ600" s="2145">
        <v>4.7999999999999996E-3</v>
      </c>
      <c r="DR600" s="2027">
        <v>0</v>
      </c>
      <c r="DS600" s="2124">
        <v>145.93599999999998</v>
      </c>
      <c r="DT600" s="2029">
        <v>145.93599999999998</v>
      </c>
      <c r="DU600" s="2029">
        <v>145.93599999999998</v>
      </c>
      <c r="DV600" s="2029">
        <v>145.93599999999998</v>
      </c>
      <c r="DW600" s="2124">
        <v>0</v>
      </c>
      <c r="DX600" s="2029">
        <v>0</v>
      </c>
      <c r="DY600" s="2029">
        <v>0</v>
      </c>
      <c r="DZ600" s="2029">
        <v>0</v>
      </c>
      <c r="EA600" s="2124">
        <v>408.28</v>
      </c>
      <c r="EB600" s="2029">
        <v>408.28</v>
      </c>
      <c r="EC600" s="2029">
        <v>408.28</v>
      </c>
      <c r="ED600" s="2029">
        <v>408.28</v>
      </c>
      <c r="EE600" s="2039">
        <f t="shared" si="412"/>
        <v>0</v>
      </c>
      <c r="EF600" s="2039">
        <f t="shared" si="412"/>
        <v>0</v>
      </c>
      <c r="EG600" s="2039">
        <f t="shared" si="412"/>
        <v>0</v>
      </c>
      <c r="EH600" s="2039">
        <f t="shared" si="412"/>
        <v>0</v>
      </c>
      <c r="EI600" s="2040">
        <f t="shared" si="385"/>
        <v>0</v>
      </c>
      <c r="EJ600" s="2040">
        <f t="shared" si="385"/>
        <v>0</v>
      </c>
      <c r="EK600" s="2040">
        <f t="shared" si="385"/>
        <v>0</v>
      </c>
      <c r="EL600" s="2040">
        <f t="shared" si="385"/>
        <v>0</v>
      </c>
      <c r="EM600" s="2040">
        <f t="shared" si="385"/>
        <v>0</v>
      </c>
      <c r="EN600" s="2040">
        <f t="shared" si="385"/>
        <v>0</v>
      </c>
      <c r="EO600" s="2040">
        <f t="shared" si="417"/>
        <v>0</v>
      </c>
      <c r="EP600" s="2040">
        <f t="shared" si="417"/>
        <v>0</v>
      </c>
      <c r="EQ600" s="2040">
        <f t="shared" si="417"/>
        <v>0</v>
      </c>
      <c r="ER600" s="2040">
        <f t="shared" si="393"/>
        <v>0</v>
      </c>
      <c r="ES600" s="2040">
        <f t="shared" si="393"/>
        <v>0</v>
      </c>
      <c r="ET600" s="2040">
        <f t="shared" si="393"/>
        <v>0</v>
      </c>
      <c r="EU600" s="2039">
        <f t="shared" si="413"/>
        <v>0</v>
      </c>
      <c r="EV600" s="2039">
        <f t="shared" si="414"/>
        <v>0</v>
      </c>
    </row>
    <row r="601" spans="1:152" x14ac:dyDescent="0.25">
      <c r="A601" s="2149" t="str">
        <f t="shared" si="420"/>
        <v>LED Exterior - Flood</v>
      </c>
      <c r="B601" s="1974" t="str">
        <f t="shared" si="420"/>
        <v/>
      </c>
      <c r="C601" s="2027">
        <f t="shared" si="425"/>
        <v>12.8</v>
      </c>
      <c r="D601" s="2144">
        <f t="shared" si="425"/>
        <v>2107.0500000000002</v>
      </c>
      <c r="E601" s="2145">
        <f t="shared" si="425"/>
        <v>4.4999999999999997E-3</v>
      </c>
      <c r="F601" s="2027">
        <f t="shared" si="425"/>
        <v>0</v>
      </c>
      <c r="G601" s="1974" t="s">
        <v>2988</v>
      </c>
      <c r="H601" s="1974" t="s">
        <v>2988</v>
      </c>
      <c r="I601" s="2026">
        <v>0.9</v>
      </c>
      <c r="J601" s="2026">
        <v>0.9</v>
      </c>
      <c r="K601" s="2026">
        <v>0.9</v>
      </c>
      <c r="L601" s="2026">
        <v>0.9</v>
      </c>
      <c r="M601" s="2027">
        <f t="shared" si="426"/>
        <v>1896.3450000000003</v>
      </c>
      <c r="N601" s="2027">
        <f t="shared" si="426"/>
        <v>1896.3450000000003</v>
      </c>
      <c r="O601" s="2027">
        <f t="shared" si="426"/>
        <v>1896.3450000000003</v>
      </c>
      <c r="P601" s="2027">
        <f t="shared" si="426"/>
        <v>1896.3450000000003</v>
      </c>
      <c r="Q601" s="2026">
        <v>0.9</v>
      </c>
      <c r="R601" s="2026">
        <v>0.9</v>
      </c>
      <c r="S601" s="2026">
        <v>0.9</v>
      </c>
      <c r="T601" s="2026">
        <v>0.9</v>
      </c>
      <c r="U601" s="2028">
        <f t="shared" si="427"/>
        <v>4.0499999999999998E-3</v>
      </c>
      <c r="V601" s="2028">
        <f t="shared" si="427"/>
        <v>4.0499999999999998E-3</v>
      </c>
      <c r="W601" s="2028">
        <f t="shared" si="427"/>
        <v>4.0499999999999998E-3</v>
      </c>
      <c r="X601" s="2028">
        <f t="shared" si="427"/>
        <v>4.0499999999999998E-3</v>
      </c>
      <c r="Y601" s="2026">
        <v>0.9</v>
      </c>
      <c r="Z601" s="2026">
        <v>0.9</v>
      </c>
      <c r="AA601" s="2026">
        <v>0.9</v>
      </c>
      <c r="AB601" s="2026">
        <v>0.9</v>
      </c>
      <c r="AC601" s="2027">
        <f t="shared" si="428"/>
        <v>0</v>
      </c>
      <c r="AD601" s="2027">
        <f t="shared" si="428"/>
        <v>0</v>
      </c>
      <c r="AE601" s="2027">
        <f t="shared" si="428"/>
        <v>0</v>
      </c>
      <c r="AF601" s="2027">
        <f t="shared" si="428"/>
        <v>0</v>
      </c>
      <c r="AG601" s="2027">
        <v>0</v>
      </c>
      <c r="AH601" s="2028"/>
      <c r="AI601" s="2028"/>
      <c r="AJ601" s="2028"/>
      <c r="AK601" s="2027">
        <f t="shared" si="434"/>
        <v>0</v>
      </c>
      <c r="AL601" s="2027">
        <f t="shared" si="433"/>
        <v>0</v>
      </c>
      <c r="AM601" s="2027">
        <f t="shared" si="433"/>
        <v>0</v>
      </c>
      <c r="AN601" s="2027">
        <f t="shared" si="433"/>
        <v>0</v>
      </c>
      <c r="AO601" s="2027">
        <f t="shared" si="429"/>
        <v>0</v>
      </c>
      <c r="AP601" s="2027">
        <f t="shared" si="421"/>
        <v>0</v>
      </c>
      <c r="AQ601" s="2027">
        <f t="shared" si="421"/>
        <v>0</v>
      </c>
      <c r="AR601" s="2027">
        <f t="shared" si="421"/>
        <v>0</v>
      </c>
      <c r="AS601" s="2124">
        <f t="shared" si="435"/>
        <v>211.73599999999999</v>
      </c>
      <c r="AT601" s="2029">
        <f t="shared" si="422"/>
        <v>211.73599999999999</v>
      </c>
      <c r="AU601" s="2029">
        <f t="shared" si="422"/>
        <v>211.73599999999999</v>
      </c>
      <c r="AV601" s="2029">
        <f t="shared" si="422"/>
        <v>211.73599999999999</v>
      </c>
      <c r="AW601" s="2124">
        <f t="shared" si="419"/>
        <v>0</v>
      </c>
      <c r="AX601" s="2029">
        <f t="shared" si="388"/>
        <v>0</v>
      </c>
      <c r="AY601" s="2029">
        <f t="shared" si="388"/>
        <v>0</v>
      </c>
      <c r="AZ601" s="2029">
        <f t="shared" si="388"/>
        <v>0</v>
      </c>
      <c r="BA601" s="2124">
        <f t="shared" si="436"/>
        <v>629.05999999999995</v>
      </c>
      <c r="BB601" s="2029">
        <f t="shared" si="436"/>
        <v>629.05999999999995</v>
      </c>
      <c r="BC601" s="2029">
        <f t="shared" si="436"/>
        <v>629.05999999999995</v>
      </c>
      <c r="BD601" s="2029">
        <f t="shared" si="436"/>
        <v>629.05999999999995</v>
      </c>
      <c r="BE601" s="2030">
        <f t="shared" si="430"/>
        <v>0</v>
      </c>
      <c r="BF601" s="2030">
        <f t="shared" si="430"/>
        <v>0</v>
      </c>
      <c r="BG601" s="2030">
        <f t="shared" si="430"/>
        <v>0</v>
      </c>
      <c r="BH601" s="2030">
        <f t="shared" si="430"/>
        <v>0</v>
      </c>
      <c r="BI601" s="2030">
        <f t="shared" si="431"/>
        <v>0</v>
      </c>
      <c r="BJ601" s="2030">
        <f t="shared" si="431"/>
        <v>0</v>
      </c>
      <c r="BK601" s="2030">
        <f t="shared" si="431"/>
        <v>0</v>
      </c>
      <c r="BL601" s="2030">
        <f t="shared" si="431"/>
        <v>0</v>
      </c>
      <c r="BM601" s="2125"/>
      <c r="BN601" s="2125"/>
      <c r="BO601" s="2125"/>
      <c r="BP601" s="2125"/>
      <c r="BQ601" s="2125"/>
      <c r="BR601" s="2125"/>
      <c r="BS601" s="2125"/>
      <c r="BT601" s="2125"/>
      <c r="BU601" s="2029"/>
      <c r="BV601" s="2029"/>
      <c r="BW601" s="2029"/>
      <c r="BX601" s="2029"/>
      <c r="BY601" s="2029"/>
      <c r="BZ601" s="2032"/>
      <c r="CA601" s="1974">
        <f t="shared" si="423"/>
        <v>0</v>
      </c>
      <c r="CB601" s="1974">
        <f t="shared" si="423"/>
        <v>0</v>
      </c>
      <c r="CC601" s="1974">
        <f t="shared" si="423"/>
        <v>0</v>
      </c>
      <c r="CD601" s="1974">
        <f t="shared" si="423"/>
        <v>0</v>
      </c>
      <c r="CE601" s="1974">
        <f t="shared" si="423"/>
        <v>0</v>
      </c>
      <c r="CF601" s="2033">
        <v>0</v>
      </c>
      <c r="CG601" s="2026">
        <v>0</v>
      </c>
      <c r="CH601" s="2009">
        <f t="shared" si="424"/>
        <v>1</v>
      </c>
      <c r="CI601" s="2031">
        <f t="shared" si="424"/>
        <v>19.729661458333329</v>
      </c>
      <c r="CJ601" s="1974">
        <f t="shared" si="424"/>
        <v>0</v>
      </c>
      <c r="CK601" s="2031">
        <f t="shared" si="424"/>
        <v>-19.729661458333329</v>
      </c>
      <c r="CL601" s="2026">
        <v>1</v>
      </c>
      <c r="CM601" s="2026">
        <v>1</v>
      </c>
      <c r="CN601" s="2026">
        <v>1</v>
      </c>
      <c r="CO601" s="2026">
        <v>1</v>
      </c>
      <c r="CP601" s="2035"/>
      <c r="CQ601" s="2036"/>
      <c r="CR601" s="2036"/>
      <c r="CS601" s="2036"/>
      <c r="CT601" s="2036"/>
      <c r="CU601" s="2036"/>
      <c r="CV601" s="1973">
        <v>1</v>
      </c>
      <c r="CW601" s="1973">
        <v>0</v>
      </c>
      <c r="CX601" s="2037">
        <v>211.73599999999999</v>
      </c>
      <c r="CY601" s="2037">
        <v>211.73599999999999</v>
      </c>
      <c r="CZ601" s="2037">
        <v>211.73599999999999</v>
      </c>
      <c r="DA601" s="2037">
        <v>211.73599999999999</v>
      </c>
      <c r="DJ601" s="1976">
        <v>211.73599999999999</v>
      </c>
      <c r="DK601" s="1973">
        <v>211.73599999999999</v>
      </c>
      <c r="DL601" s="1973">
        <v>211.73599999999999</v>
      </c>
      <c r="DM601" s="1973">
        <v>211.73599999999999</v>
      </c>
      <c r="DO601" s="2027">
        <v>12.8</v>
      </c>
      <c r="DP601" s="2144">
        <v>2107.0500000000002</v>
      </c>
      <c r="DQ601" s="2145">
        <v>4.4999999999999997E-3</v>
      </c>
      <c r="DR601" s="2027">
        <v>0</v>
      </c>
      <c r="DS601" s="2124">
        <v>211.73599999999999</v>
      </c>
      <c r="DT601" s="2029">
        <v>211.73599999999999</v>
      </c>
      <c r="DU601" s="2029">
        <v>211.73599999999999</v>
      </c>
      <c r="DV601" s="2029">
        <v>211.73599999999999</v>
      </c>
      <c r="DW601" s="2124">
        <v>0</v>
      </c>
      <c r="DX601" s="2029">
        <v>0</v>
      </c>
      <c r="DY601" s="2029">
        <v>0</v>
      </c>
      <c r="DZ601" s="2029">
        <v>0</v>
      </c>
      <c r="EA601" s="2124">
        <v>629.05999999999995</v>
      </c>
      <c r="EB601" s="2029">
        <v>629.05999999999995</v>
      </c>
      <c r="EC601" s="2029">
        <v>629.05999999999995</v>
      </c>
      <c r="ED601" s="2029">
        <v>629.05999999999995</v>
      </c>
      <c r="EE601" s="2039">
        <f t="shared" si="412"/>
        <v>0</v>
      </c>
      <c r="EF601" s="2039">
        <f t="shared" si="412"/>
        <v>0</v>
      </c>
      <c r="EG601" s="2039">
        <f t="shared" si="412"/>
        <v>0</v>
      </c>
      <c r="EH601" s="2039">
        <f t="shared" si="412"/>
        <v>0</v>
      </c>
      <c r="EI601" s="2040">
        <f t="shared" si="385"/>
        <v>0</v>
      </c>
      <c r="EJ601" s="2040">
        <f t="shared" si="385"/>
        <v>0</v>
      </c>
      <c r="EK601" s="2040">
        <f t="shared" si="385"/>
        <v>0</v>
      </c>
      <c r="EL601" s="2040">
        <f t="shared" si="385"/>
        <v>0</v>
      </c>
      <c r="EM601" s="2040">
        <f t="shared" si="385"/>
        <v>0</v>
      </c>
      <c r="EN601" s="2040">
        <f t="shared" si="385"/>
        <v>0</v>
      </c>
      <c r="EO601" s="2040">
        <f t="shared" si="417"/>
        <v>0</v>
      </c>
      <c r="EP601" s="2040">
        <f t="shared" si="417"/>
        <v>0</v>
      </c>
      <c r="EQ601" s="2040">
        <f t="shared" si="417"/>
        <v>0</v>
      </c>
      <c r="ER601" s="2040">
        <f t="shared" si="393"/>
        <v>0</v>
      </c>
      <c r="ES601" s="2040">
        <f t="shared" si="393"/>
        <v>0</v>
      </c>
      <c r="ET601" s="2040">
        <f t="shared" si="393"/>
        <v>0</v>
      </c>
      <c r="EU601" s="2039">
        <f t="shared" si="413"/>
        <v>0</v>
      </c>
      <c r="EV601" s="2039">
        <f t="shared" si="414"/>
        <v>0</v>
      </c>
    </row>
    <row r="602" spans="1:152" x14ac:dyDescent="0.25">
      <c r="A602" s="2149" t="str">
        <f t="shared" si="420"/>
        <v>LED Exterior - Pole Lamp</v>
      </c>
      <c r="B602" s="1974" t="str">
        <f t="shared" si="420"/>
        <v/>
      </c>
      <c r="C602" s="2027">
        <f t="shared" si="425"/>
        <v>12.8</v>
      </c>
      <c r="D602" s="2144">
        <f t="shared" si="425"/>
        <v>3814.19</v>
      </c>
      <c r="E602" s="2145">
        <f t="shared" si="425"/>
        <v>0</v>
      </c>
      <c r="F602" s="2027">
        <f t="shared" si="425"/>
        <v>0</v>
      </c>
      <c r="G602" s="1974" t="s">
        <v>2988</v>
      </c>
      <c r="H602" s="1974" t="s">
        <v>2988</v>
      </c>
      <c r="I602" s="2026">
        <v>0.9</v>
      </c>
      <c r="J602" s="2026">
        <v>0.9</v>
      </c>
      <c r="K602" s="2026">
        <v>0.9</v>
      </c>
      <c r="L602" s="2026">
        <v>0.9</v>
      </c>
      <c r="M602" s="2027">
        <f t="shared" si="426"/>
        <v>3432.7710000000002</v>
      </c>
      <c r="N602" s="2027">
        <f t="shared" si="426"/>
        <v>3432.7710000000002</v>
      </c>
      <c r="O602" s="2027">
        <f t="shared" si="426"/>
        <v>3432.7710000000002</v>
      </c>
      <c r="P602" s="2027">
        <f t="shared" si="426"/>
        <v>3432.7710000000002</v>
      </c>
      <c r="Q602" s="2026">
        <v>0.9</v>
      </c>
      <c r="R602" s="2026">
        <v>0.9</v>
      </c>
      <c r="S602" s="2026">
        <v>0.9</v>
      </c>
      <c r="T602" s="2026">
        <v>0.9</v>
      </c>
      <c r="U602" s="2028">
        <f t="shared" si="427"/>
        <v>0</v>
      </c>
      <c r="V602" s="2028">
        <f t="shared" si="427"/>
        <v>0</v>
      </c>
      <c r="W602" s="2028">
        <f t="shared" si="427"/>
        <v>0</v>
      </c>
      <c r="X602" s="2028">
        <f t="shared" si="427"/>
        <v>0</v>
      </c>
      <c r="Y602" s="2026">
        <v>0.9</v>
      </c>
      <c r="Z602" s="2026">
        <v>0.9</v>
      </c>
      <c r="AA602" s="2026">
        <v>0.9</v>
      </c>
      <c r="AB602" s="2026">
        <v>0.9</v>
      </c>
      <c r="AC602" s="2027">
        <f t="shared" si="428"/>
        <v>0</v>
      </c>
      <c r="AD602" s="2027">
        <f t="shared" si="428"/>
        <v>0</v>
      </c>
      <c r="AE602" s="2027">
        <f t="shared" si="428"/>
        <v>0</v>
      </c>
      <c r="AF602" s="2027">
        <f t="shared" si="428"/>
        <v>0</v>
      </c>
      <c r="AG602" s="2027">
        <v>0</v>
      </c>
      <c r="AH602" s="2028"/>
      <c r="AI602" s="2028"/>
      <c r="AJ602" s="2028"/>
      <c r="AK602" s="2027">
        <f t="shared" si="434"/>
        <v>0</v>
      </c>
      <c r="AL602" s="2027">
        <f t="shared" si="433"/>
        <v>0</v>
      </c>
      <c r="AM602" s="2027">
        <f t="shared" si="433"/>
        <v>0</v>
      </c>
      <c r="AN602" s="2027">
        <f t="shared" si="433"/>
        <v>0</v>
      </c>
      <c r="AO602" s="2027">
        <f t="shared" si="429"/>
        <v>0</v>
      </c>
      <c r="AP602" s="2027">
        <f t="shared" si="421"/>
        <v>0</v>
      </c>
      <c r="AQ602" s="2027">
        <f t="shared" si="421"/>
        <v>0</v>
      </c>
      <c r="AR602" s="2027">
        <f t="shared" si="421"/>
        <v>0</v>
      </c>
      <c r="AS602" s="2124">
        <f t="shared" si="435"/>
        <v>382.47999999999996</v>
      </c>
      <c r="AT602" s="2029">
        <f t="shared" si="422"/>
        <v>382.47999999999996</v>
      </c>
      <c r="AU602" s="2029">
        <f t="shared" si="422"/>
        <v>382.47999999999996</v>
      </c>
      <c r="AV602" s="2029">
        <f t="shared" si="422"/>
        <v>382.47999999999996</v>
      </c>
      <c r="AW602" s="2124">
        <f t="shared" si="419"/>
        <v>0</v>
      </c>
      <c r="AX602" s="2029">
        <f t="shared" si="388"/>
        <v>0</v>
      </c>
      <c r="AY602" s="2029">
        <f t="shared" si="388"/>
        <v>0</v>
      </c>
      <c r="AZ602" s="2029">
        <f t="shared" si="388"/>
        <v>0</v>
      </c>
      <c r="BA602" s="2124">
        <f t="shared" si="436"/>
        <v>841.24</v>
      </c>
      <c r="BB602" s="2029">
        <f t="shared" si="436"/>
        <v>841.24</v>
      </c>
      <c r="BC602" s="2029">
        <f t="shared" si="436"/>
        <v>841.24</v>
      </c>
      <c r="BD602" s="2029">
        <f t="shared" si="436"/>
        <v>841.24</v>
      </c>
      <c r="BE602" s="2030">
        <f t="shared" si="430"/>
        <v>0</v>
      </c>
      <c r="BF602" s="2030">
        <f t="shared" si="430"/>
        <v>0</v>
      </c>
      <c r="BG602" s="2030">
        <f t="shared" si="430"/>
        <v>0</v>
      </c>
      <c r="BH602" s="2030">
        <f t="shared" si="430"/>
        <v>0</v>
      </c>
      <c r="BI602" s="2030">
        <f t="shared" si="431"/>
        <v>0</v>
      </c>
      <c r="BJ602" s="2030">
        <f t="shared" si="431"/>
        <v>0</v>
      </c>
      <c r="BK602" s="2030">
        <f t="shared" si="431"/>
        <v>0</v>
      </c>
      <c r="BL602" s="2030">
        <f t="shared" si="431"/>
        <v>0</v>
      </c>
      <c r="BM602" s="2125"/>
      <c r="BN602" s="2125"/>
      <c r="BO602" s="2125"/>
      <c r="BP602" s="2125"/>
      <c r="BQ602" s="2125"/>
      <c r="BR602" s="2125"/>
      <c r="BS602" s="2125"/>
      <c r="BT602" s="2125"/>
      <c r="BU602" s="2029"/>
      <c r="BV602" s="2029"/>
      <c r="BW602" s="2029"/>
      <c r="BX602" s="2029"/>
      <c r="BY602" s="2029"/>
      <c r="BZ602" s="2032"/>
      <c r="CA602" s="1974">
        <f t="shared" si="423"/>
        <v>0</v>
      </c>
      <c r="CB602" s="1974">
        <f t="shared" si="423"/>
        <v>0</v>
      </c>
      <c r="CC602" s="1974">
        <f t="shared" si="423"/>
        <v>0</v>
      </c>
      <c r="CD602" s="1974">
        <f t="shared" si="423"/>
        <v>0</v>
      </c>
      <c r="CE602" s="1974">
        <f t="shared" si="423"/>
        <v>0</v>
      </c>
      <c r="CF602" s="2033">
        <v>0</v>
      </c>
      <c r="CG602" s="2026">
        <v>0</v>
      </c>
      <c r="CH602" s="2009">
        <f t="shared" si="424"/>
        <v>1</v>
      </c>
      <c r="CI602" s="2031">
        <f t="shared" si="424"/>
        <v>19.729661458333329</v>
      </c>
      <c r="CJ602" s="1974">
        <f t="shared" si="424"/>
        <v>0</v>
      </c>
      <c r="CK602" s="2031">
        <f t="shared" si="424"/>
        <v>-19.729661458333329</v>
      </c>
      <c r="CL602" s="2026">
        <v>1</v>
      </c>
      <c r="CM602" s="2026">
        <v>1</v>
      </c>
      <c r="CN602" s="2026">
        <v>1</v>
      </c>
      <c r="CO602" s="2026">
        <v>1</v>
      </c>
      <c r="CP602" s="2035"/>
      <c r="CQ602" s="2036"/>
      <c r="CR602" s="2036"/>
      <c r="CS602" s="2036"/>
      <c r="CT602" s="2036"/>
      <c r="CU602" s="2036"/>
      <c r="CV602" s="1973">
        <v>1</v>
      </c>
      <c r="CW602" s="1973">
        <v>0</v>
      </c>
      <c r="CX602" s="2037">
        <v>382.47999999999996</v>
      </c>
      <c r="CY602" s="2037">
        <v>382.47999999999996</v>
      </c>
      <c r="CZ602" s="2037">
        <v>382.47999999999996</v>
      </c>
      <c r="DA602" s="2037">
        <v>382.47999999999996</v>
      </c>
      <c r="DJ602" s="1976">
        <v>382.47999999999996</v>
      </c>
      <c r="DK602" s="1973">
        <v>382.47999999999996</v>
      </c>
      <c r="DL602" s="1973">
        <v>382.47999999999996</v>
      </c>
      <c r="DM602" s="1973">
        <v>382.47999999999996</v>
      </c>
      <c r="DO602" s="2027">
        <v>12.8</v>
      </c>
      <c r="DP602" s="2144">
        <v>3814.19</v>
      </c>
      <c r="DQ602" s="2145">
        <v>0</v>
      </c>
      <c r="DR602" s="2027">
        <v>0</v>
      </c>
      <c r="DS602" s="2124">
        <v>382.47999999999996</v>
      </c>
      <c r="DT602" s="2029">
        <v>382.47999999999996</v>
      </c>
      <c r="DU602" s="2029">
        <v>382.47999999999996</v>
      </c>
      <c r="DV602" s="2029">
        <v>382.47999999999996</v>
      </c>
      <c r="DW602" s="2124">
        <v>0</v>
      </c>
      <c r="DX602" s="2029">
        <v>0</v>
      </c>
      <c r="DY602" s="2029">
        <v>0</v>
      </c>
      <c r="DZ602" s="2029">
        <v>0</v>
      </c>
      <c r="EA602" s="2124">
        <v>841.24</v>
      </c>
      <c r="EB602" s="2029">
        <v>841.24</v>
      </c>
      <c r="EC602" s="2029">
        <v>841.24</v>
      </c>
      <c r="ED602" s="2029">
        <v>841.24</v>
      </c>
      <c r="EE602" s="2039">
        <f t="shared" si="412"/>
        <v>0</v>
      </c>
      <c r="EF602" s="2039">
        <f t="shared" si="412"/>
        <v>0</v>
      </c>
      <c r="EG602" s="2039">
        <f t="shared" si="412"/>
        <v>0</v>
      </c>
      <c r="EH602" s="2039">
        <f t="shared" si="412"/>
        <v>0</v>
      </c>
      <c r="EI602" s="2040">
        <f t="shared" si="385"/>
        <v>0</v>
      </c>
      <c r="EJ602" s="2040">
        <f t="shared" si="385"/>
        <v>0</v>
      </c>
      <c r="EK602" s="2040">
        <f t="shared" si="385"/>
        <v>0</v>
      </c>
      <c r="EL602" s="2040">
        <f t="shared" si="385"/>
        <v>0</v>
      </c>
      <c r="EM602" s="2040">
        <f t="shared" si="385"/>
        <v>0</v>
      </c>
      <c r="EN602" s="2040">
        <f t="shared" si="385"/>
        <v>0</v>
      </c>
      <c r="EO602" s="2040">
        <f t="shared" si="417"/>
        <v>0</v>
      </c>
      <c r="EP602" s="2040">
        <f t="shared" si="417"/>
        <v>0</v>
      </c>
      <c r="EQ602" s="2040">
        <f t="shared" si="417"/>
        <v>0</v>
      </c>
      <c r="ER602" s="2040">
        <f t="shared" si="393"/>
        <v>0</v>
      </c>
      <c r="ES602" s="2040">
        <f t="shared" si="393"/>
        <v>0</v>
      </c>
      <c r="ET602" s="2040">
        <f t="shared" si="393"/>
        <v>0</v>
      </c>
      <c r="EU602" s="2039">
        <f t="shared" si="413"/>
        <v>0</v>
      </c>
      <c r="EV602" s="2039">
        <f t="shared" si="414"/>
        <v>0</v>
      </c>
    </row>
    <row r="603" spans="1:152" x14ac:dyDescent="0.25">
      <c r="A603" s="2149" t="str">
        <f t="shared" si="420"/>
        <v>LED Exterior - Wallpack</v>
      </c>
      <c r="B603" s="1974" t="str">
        <f t="shared" si="420"/>
        <v/>
      </c>
      <c r="C603" s="2027">
        <f t="shared" si="425"/>
        <v>12.8</v>
      </c>
      <c r="D603" s="2144">
        <f t="shared" si="425"/>
        <v>1091.81</v>
      </c>
      <c r="E603" s="2145">
        <f t="shared" si="425"/>
        <v>3.7000000000000002E-3</v>
      </c>
      <c r="F603" s="2027">
        <f t="shared" si="425"/>
        <v>0</v>
      </c>
      <c r="G603" s="1974" t="s">
        <v>2988</v>
      </c>
      <c r="H603" s="1974" t="s">
        <v>2988</v>
      </c>
      <c r="I603" s="2026">
        <v>0.9</v>
      </c>
      <c r="J603" s="2026">
        <v>0.9</v>
      </c>
      <c r="K603" s="2026">
        <v>0.9</v>
      </c>
      <c r="L603" s="2026">
        <v>0.9</v>
      </c>
      <c r="M603" s="2027">
        <f t="shared" si="426"/>
        <v>982.62900000000002</v>
      </c>
      <c r="N603" s="2027">
        <f t="shared" si="426"/>
        <v>982.62900000000002</v>
      </c>
      <c r="O603" s="2027">
        <f t="shared" si="426"/>
        <v>982.62900000000002</v>
      </c>
      <c r="P603" s="2027">
        <f t="shared" si="426"/>
        <v>982.62900000000002</v>
      </c>
      <c r="Q603" s="2026">
        <v>0.9</v>
      </c>
      <c r="R603" s="2026">
        <v>0.9</v>
      </c>
      <c r="S603" s="2026">
        <v>0.9</v>
      </c>
      <c r="T603" s="2026">
        <v>0.9</v>
      </c>
      <c r="U603" s="2028">
        <f t="shared" si="427"/>
        <v>3.3300000000000001E-3</v>
      </c>
      <c r="V603" s="2028">
        <f t="shared" si="427"/>
        <v>3.3300000000000001E-3</v>
      </c>
      <c r="W603" s="2028">
        <f t="shared" si="427"/>
        <v>3.3300000000000001E-3</v>
      </c>
      <c r="X603" s="2028">
        <f t="shared" si="427"/>
        <v>3.3300000000000001E-3</v>
      </c>
      <c r="Y603" s="2026">
        <v>0.9</v>
      </c>
      <c r="Z603" s="2026">
        <v>0.9</v>
      </c>
      <c r="AA603" s="2026">
        <v>0.9</v>
      </c>
      <c r="AB603" s="2026">
        <v>0.9</v>
      </c>
      <c r="AC603" s="2027">
        <f t="shared" si="428"/>
        <v>0</v>
      </c>
      <c r="AD603" s="2027">
        <f t="shared" si="428"/>
        <v>0</v>
      </c>
      <c r="AE603" s="2027">
        <f t="shared" si="428"/>
        <v>0</v>
      </c>
      <c r="AF603" s="2027">
        <f t="shared" si="428"/>
        <v>0</v>
      </c>
      <c r="AG603" s="2027">
        <v>0</v>
      </c>
      <c r="AH603" s="2028"/>
      <c r="AI603" s="2028"/>
      <c r="AJ603" s="2028"/>
      <c r="AK603" s="2027">
        <f t="shared" si="434"/>
        <v>0</v>
      </c>
      <c r="AL603" s="2027">
        <f t="shared" si="433"/>
        <v>0</v>
      </c>
      <c r="AM603" s="2027">
        <f t="shared" si="433"/>
        <v>0</v>
      </c>
      <c r="AN603" s="2027">
        <f t="shared" si="433"/>
        <v>0</v>
      </c>
      <c r="AO603" s="2027">
        <f t="shared" si="429"/>
        <v>0</v>
      </c>
      <c r="AP603" s="2027">
        <f t="shared" si="421"/>
        <v>0</v>
      </c>
      <c r="AQ603" s="2027">
        <f t="shared" si="421"/>
        <v>0</v>
      </c>
      <c r="AR603" s="2027">
        <f t="shared" si="421"/>
        <v>0</v>
      </c>
      <c r="AS603" s="2124">
        <f t="shared" si="435"/>
        <v>111.16</v>
      </c>
      <c r="AT603" s="2029">
        <f t="shared" si="422"/>
        <v>111.16</v>
      </c>
      <c r="AU603" s="2029">
        <f t="shared" si="422"/>
        <v>111.16</v>
      </c>
      <c r="AV603" s="2029">
        <f t="shared" si="422"/>
        <v>111.16</v>
      </c>
      <c r="AW603" s="2124">
        <f t="shared" si="419"/>
        <v>0</v>
      </c>
      <c r="AX603" s="2029">
        <f t="shared" si="388"/>
        <v>0</v>
      </c>
      <c r="AY603" s="2029">
        <f t="shared" si="388"/>
        <v>0</v>
      </c>
      <c r="AZ603" s="2029">
        <f t="shared" si="388"/>
        <v>0</v>
      </c>
      <c r="BA603" s="2124">
        <f t="shared" si="436"/>
        <v>365.21</v>
      </c>
      <c r="BB603" s="2029">
        <f t="shared" si="436"/>
        <v>365.21</v>
      </c>
      <c r="BC603" s="2029">
        <f t="shared" si="436"/>
        <v>365.21</v>
      </c>
      <c r="BD603" s="2029">
        <f t="shared" si="436"/>
        <v>365.21</v>
      </c>
      <c r="BE603" s="2030">
        <f t="shared" si="430"/>
        <v>0</v>
      </c>
      <c r="BF603" s="2030">
        <f t="shared" si="430"/>
        <v>0</v>
      </c>
      <c r="BG603" s="2030">
        <f t="shared" si="430"/>
        <v>0</v>
      </c>
      <c r="BH603" s="2030">
        <f t="shared" si="430"/>
        <v>0</v>
      </c>
      <c r="BI603" s="2030">
        <f t="shared" si="431"/>
        <v>0</v>
      </c>
      <c r="BJ603" s="2030">
        <f t="shared" si="431"/>
        <v>0</v>
      </c>
      <c r="BK603" s="2030">
        <f t="shared" si="431"/>
        <v>0</v>
      </c>
      <c r="BL603" s="2030">
        <f t="shared" si="431"/>
        <v>0</v>
      </c>
      <c r="BM603" s="2125"/>
      <c r="BN603" s="2125"/>
      <c r="BO603" s="2125"/>
      <c r="BP603" s="2125"/>
      <c r="BQ603" s="2125"/>
      <c r="BR603" s="2125"/>
      <c r="BS603" s="2125"/>
      <c r="BT603" s="2125"/>
      <c r="BU603" s="2029"/>
      <c r="BV603" s="2029"/>
      <c r="BW603" s="2029"/>
      <c r="BX603" s="2029"/>
      <c r="BY603" s="2029"/>
      <c r="BZ603" s="2032"/>
      <c r="CA603" s="1974">
        <f t="shared" si="423"/>
        <v>0</v>
      </c>
      <c r="CB603" s="1974">
        <f t="shared" si="423"/>
        <v>0</v>
      </c>
      <c r="CC603" s="1974">
        <f t="shared" si="423"/>
        <v>0</v>
      </c>
      <c r="CD603" s="1974">
        <f t="shared" si="423"/>
        <v>0</v>
      </c>
      <c r="CE603" s="1974">
        <f t="shared" si="423"/>
        <v>0</v>
      </c>
      <c r="CF603" s="2033">
        <v>0</v>
      </c>
      <c r="CG603" s="2026">
        <v>0</v>
      </c>
      <c r="CH603" s="2009">
        <f t="shared" si="424"/>
        <v>1</v>
      </c>
      <c r="CI603" s="2031">
        <f t="shared" si="424"/>
        <v>19.729661458333329</v>
      </c>
      <c r="CJ603" s="1974">
        <f t="shared" si="424"/>
        <v>0</v>
      </c>
      <c r="CK603" s="2031">
        <f t="shared" si="424"/>
        <v>-19.729661458333329</v>
      </c>
      <c r="CL603" s="2026">
        <v>1</v>
      </c>
      <c r="CM603" s="2026">
        <v>1</v>
      </c>
      <c r="CN603" s="2026">
        <v>1</v>
      </c>
      <c r="CO603" s="2026">
        <v>1</v>
      </c>
      <c r="CP603" s="2035"/>
      <c r="CQ603" s="2036"/>
      <c r="CR603" s="2036"/>
      <c r="CS603" s="2036"/>
      <c r="CT603" s="2036"/>
      <c r="CU603" s="2036"/>
      <c r="CV603" s="1973">
        <v>1</v>
      </c>
      <c r="CW603" s="1973">
        <v>0</v>
      </c>
      <c r="CX603" s="2037">
        <v>111.16</v>
      </c>
      <c r="CY603" s="2037">
        <v>111.16</v>
      </c>
      <c r="CZ603" s="2037">
        <v>111.16</v>
      </c>
      <c r="DA603" s="2037">
        <v>111.16</v>
      </c>
      <c r="DJ603" s="1976">
        <v>111.16</v>
      </c>
      <c r="DK603" s="1973">
        <v>111.16</v>
      </c>
      <c r="DL603" s="1973">
        <v>111.16</v>
      </c>
      <c r="DM603" s="1973">
        <v>111.16</v>
      </c>
      <c r="DO603" s="2027">
        <v>12.8</v>
      </c>
      <c r="DP603" s="2144">
        <v>1091.81</v>
      </c>
      <c r="DQ603" s="2145">
        <v>3.7000000000000002E-3</v>
      </c>
      <c r="DR603" s="2027">
        <v>0</v>
      </c>
      <c r="DS603" s="2124">
        <v>111.16</v>
      </c>
      <c r="DT603" s="2029">
        <v>111.16</v>
      </c>
      <c r="DU603" s="2029">
        <v>111.16</v>
      </c>
      <c r="DV603" s="2029">
        <v>111.16</v>
      </c>
      <c r="DW603" s="2124">
        <v>0</v>
      </c>
      <c r="DX603" s="2029">
        <v>0</v>
      </c>
      <c r="DY603" s="2029">
        <v>0</v>
      </c>
      <c r="DZ603" s="2029">
        <v>0</v>
      </c>
      <c r="EA603" s="2124">
        <v>365.21</v>
      </c>
      <c r="EB603" s="2029">
        <v>365.21</v>
      </c>
      <c r="EC603" s="2029">
        <v>365.21</v>
      </c>
      <c r="ED603" s="2029">
        <v>365.21</v>
      </c>
      <c r="EE603" s="2039">
        <f t="shared" si="412"/>
        <v>0</v>
      </c>
      <c r="EF603" s="2039">
        <f t="shared" si="412"/>
        <v>0</v>
      </c>
      <c r="EG603" s="2039">
        <f t="shared" si="412"/>
        <v>0</v>
      </c>
      <c r="EH603" s="2039">
        <f t="shared" si="412"/>
        <v>0</v>
      </c>
      <c r="EI603" s="2040">
        <f t="shared" si="385"/>
        <v>0</v>
      </c>
      <c r="EJ603" s="2040">
        <f t="shared" si="385"/>
        <v>0</v>
      </c>
      <c r="EK603" s="2040">
        <f t="shared" si="385"/>
        <v>0</v>
      </c>
      <c r="EL603" s="2040">
        <f t="shared" si="385"/>
        <v>0</v>
      </c>
      <c r="EM603" s="2040">
        <f t="shared" si="385"/>
        <v>0</v>
      </c>
      <c r="EN603" s="2040">
        <f t="shared" si="385"/>
        <v>0</v>
      </c>
      <c r="EO603" s="2040">
        <f t="shared" si="417"/>
        <v>0</v>
      </c>
      <c r="EP603" s="2040">
        <f t="shared" si="417"/>
        <v>0</v>
      </c>
      <c r="EQ603" s="2040">
        <f t="shared" si="417"/>
        <v>0</v>
      </c>
      <c r="ER603" s="2040">
        <f t="shared" si="393"/>
        <v>0</v>
      </c>
      <c r="ES603" s="2040">
        <f t="shared" si="393"/>
        <v>0</v>
      </c>
      <c r="ET603" s="2040">
        <f t="shared" si="393"/>
        <v>0</v>
      </c>
      <c r="EU603" s="2039">
        <f t="shared" si="413"/>
        <v>0</v>
      </c>
      <c r="EV603" s="2039">
        <f t="shared" si="414"/>
        <v>0</v>
      </c>
    </row>
    <row r="604" spans="1:152" x14ac:dyDescent="0.25">
      <c r="A604" s="2149" t="str">
        <f t="shared" si="420"/>
        <v>LED Interior - Troffer, lay-in, or wrap fixture</v>
      </c>
      <c r="B604" s="1974" t="str">
        <f t="shared" si="420"/>
        <v/>
      </c>
      <c r="C604" s="2027">
        <f t="shared" si="425"/>
        <v>14.2</v>
      </c>
      <c r="D604" s="2144">
        <f t="shared" si="425"/>
        <v>345.7151356212263</v>
      </c>
      <c r="E604" s="2145">
        <f t="shared" si="425"/>
        <v>6.8267605170546919E-2</v>
      </c>
      <c r="F604" s="2027">
        <f t="shared" si="425"/>
        <v>-3.951361934218987</v>
      </c>
      <c r="G604" s="1974" t="s">
        <v>2988</v>
      </c>
      <c r="H604" s="1974" t="s">
        <v>2988</v>
      </c>
      <c r="I604" s="2026">
        <v>0.9</v>
      </c>
      <c r="J604" s="2026">
        <v>0.9</v>
      </c>
      <c r="K604" s="2026">
        <v>0.9</v>
      </c>
      <c r="L604" s="2026">
        <v>0.9</v>
      </c>
      <c r="M604" s="2027">
        <f t="shared" si="426"/>
        <v>311.14362205910368</v>
      </c>
      <c r="N604" s="2027">
        <f t="shared" si="426"/>
        <v>311.14362205910368</v>
      </c>
      <c r="O604" s="2027">
        <f t="shared" si="426"/>
        <v>311.14362205910368</v>
      </c>
      <c r="P604" s="2027">
        <f t="shared" si="426"/>
        <v>311.14362205910368</v>
      </c>
      <c r="Q604" s="2026">
        <v>0.9</v>
      </c>
      <c r="R604" s="2026">
        <v>0.9</v>
      </c>
      <c r="S604" s="2026">
        <v>0.9</v>
      </c>
      <c r="T604" s="2026">
        <v>0.9</v>
      </c>
      <c r="U604" s="2028">
        <f t="shared" si="427"/>
        <v>6.1440844653492227E-2</v>
      </c>
      <c r="V604" s="2028">
        <f t="shared" si="427"/>
        <v>6.1440844653492227E-2</v>
      </c>
      <c r="W604" s="2028">
        <f t="shared" si="427"/>
        <v>6.1440844653492227E-2</v>
      </c>
      <c r="X604" s="2028">
        <f t="shared" si="427"/>
        <v>6.1440844653492227E-2</v>
      </c>
      <c r="Y604" s="2026">
        <v>0.9</v>
      </c>
      <c r="Z604" s="2026">
        <v>0.9</v>
      </c>
      <c r="AA604" s="2026">
        <v>0.9</v>
      </c>
      <c r="AB604" s="2026">
        <v>0.9</v>
      </c>
      <c r="AC604" s="2027">
        <f t="shared" si="428"/>
        <v>-3.5562257407970885</v>
      </c>
      <c r="AD604" s="2027">
        <f t="shared" si="428"/>
        <v>-3.5562257407970885</v>
      </c>
      <c r="AE604" s="2027">
        <f t="shared" si="428"/>
        <v>-3.5562257407970885</v>
      </c>
      <c r="AF604" s="2027">
        <f t="shared" si="428"/>
        <v>-3.5562257407970885</v>
      </c>
      <c r="AG604" s="2027">
        <v>0</v>
      </c>
      <c r="AH604" s="2028"/>
      <c r="AI604" s="2028"/>
      <c r="AJ604" s="2028"/>
      <c r="AK604" s="2027">
        <f t="shared" si="434"/>
        <v>0</v>
      </c>
      <c r="AL604" s="2027">
        <f t="shared" si="433"/>
        <v>0</v>
      </c>
      <c r="AM604" s="2027">
        <f t="shared" si="433"/>
        <v>0</v>
      </c>
      <c r="AN604" s="2027">
        <f t="shared" si="433"/>
        <v>0</v>
      </c>
      <c r="AO604" s="2027">
        <f t="shared" si="429"/>
        <v>0</v>
      </c>
      <c r="AP604" s="2027">
        <f t="shared" si="421"/>
        <v>0</v>
      </c>
      <c r="AQ604" s="2027">
        <f t="shared" si="421"/>
        <v>0</v>
      </c>
      <c r="AR604" s="2027">
        <f t="shared" si="421"/>
        <v>0</v>
      </c>
      <c r="AS604" s="2124">
        <f t="shared" si="435"/>
        <v>45.406199999999998</v>
      </c>
      <c r="AT604" s="2029">
        <f t="shared" si="422"/>
        <v>45.406199999999998</v>
      </c>
      <c r="AU604" s="2029">
        <f t="shared" si="422"/>
        <v>45.406199999999998</v>
      </c>
      <c r="AV604" s="2029">
        <f t="shared" si="422"/>
        <v>45.406199999999998</v>
      </c>
      <c r="AW604" s="2124">
        <f t="shared" si="419"/>
        <v>0</v>
      </c>
      <c r="AX604" s="2029">
        <f t="shared" si="388"/>
        <v>0</v>
      </c>
      <c r="AY604" s="2029">
        <f t="shared" si="388"/>
        <v>0</v>
      </c>
      <c r="AZ604" s="2029">
        <f t="shared" si="388"/>
        <v>0</v>
      </c>
      <c r="BA604" s="2124">
        <f t="shared" si="436"/>
        <v>232.07400000000001</v>
      </c>
      <c r="BB604" s="2029">
        <f t="shared" si="436"/>
        <v>232.07400000000001</v>
      </c>
      <c r="BC604" s="2029">
        <f t="shared" si="436"/>
        <v>232.07400000000001</v>
      </c>
      <c r="BD604" s="2029">
        <f t="shared" si="436"/>
        <v>232.07400000000001</v>
      </c>
      <c r="BE604" s="2030">
        <f t="shared" si="430"/>
        <v>0</v>
      </c>
      <c r="BF604" s="2030">
        <f t="shared" si="430"/>
        <v>0</v>
      </c>
      <c r="BG604" s="2030">
        <f t="shared" si="430"/>
        <v>0</v>
      </c>
      <c r="BH604" s="2030">
        <f t="shared" si="430"/>
        <v>0</v>
      </c>
      <c r="BI604" s="2030">
        <f t="shared" si="431"/>
        <v>0</v>
      </c>
      <c r="BJ604" s="2030">
        <f t="shared" si="431"/>
        <v>0</v>
      </c>
      <c r="BK604" s="2030">
        <f t="shared" si="431"/>
        <v>0</v>
      </c>
      <c r="BL604" s="2030">
        <f t="shared" si="431"/>
        <v>0</v>
      </c>
      <c r="BM604" s="2125"/>
      <c r="BN604" s="2125"/>
      <c r="BO604" s="2125"/>
      <c r="BP604" s="2125"/>
      <c r="BQ604" s="2125"/>
      <c r="BR604" s="2125"/>
      <c r="BS604" s="2125"/>
      <c r="BT604" s="2125"/>
      <c r="BU604" s="2029"/>
      <c r="BV604" s="2029"/>
      <c r="BW604" s="2029"/>
      <c r="BX604" s="2029"/>
      <c r="BY604" s="2029"/>
      <c r="BZ604" s="2032"/>
      <c r="CA604" s="1974">
        <f t="shared" si="423"/>
        <v>0</v>
      </c>
      <c r="CB604" s="1974">
        <f t="shared" si="423"/>
        <v>0</v>
      </c>
      <c r="CC604" s="1974">
        <f t="shared" si="423"/>
        <v>0</v>
      </c>
      <c r="CD604" s="1974">
        <f t="shared" si="423"/>
        <v>0</v>
      </c>
      <c r="CE604" s="1974">
        <f t="shared" si="423"/>
        <v>1</v>
      </c>
      <c r="CF604" s="2033">
        <v>0</v>
      </c>
      <c r="CG604" s="2026">
        <v>0</v>
      </c>
      <c r="CH604" s="2009">
        <f t="shared" si="424"/>
        <v>1</v>
      </c>
      <c r="CI604" s="2031">
        <f t="shared" si="424"/>
        <v>-4.9454877412623895E-2</v>
      </c>
      <c r="CJ604" s="1974">
        <f t="shared" si="424"/>
        <v>0</v>
      </c>
      <c r="CK604" s="2031">
        <f t="shared" si="424"/>
        <v>4.9454877412623895E-2</v>
      </c>
      <c r="CL604" s="2026">
        <v>1</v>
      </c>
      <c r="CM604" s="2026">
        <v>0.86266901151105424</v>
      </c>
      <c r="CN604" s="2026">
        <v>0.86266901151105424</v>
      </c>
      <c r="CO604" s="2026">
        <v>0.86266901151105424</v>
      </c>
      <c r="CP604" s="2035"/>
      <c r="CQ604" s="2036"/>
      <c r="CR604" s="2036"/>
      <c r="CS604" s="2036"/>
      <c r="CT604" s="2036"/>
      <c r="CU604" s="2036"/>
      <c r="CV604" s="1973">
        <v>1</v>
      </c>
      <c r="CW604" s="1973">
        <v>0</v>
      </c>
      <c r="CX604" s="2037">
        <v>45.406199999999998</v>
      </c>
      <c r="CY604" s="2037">
        <v>45.406199999999998</v>
      </c>
      <c r="CZ604" s="2037">
        <v>45.406199999999998</v>
      </c>
      <c r="DA604" s="2037">
        <v>45.406199999999998</v>
      </c>
      <c r="DJ604" s="1976">
        <v>45.406199999999998</v>
      </c>
      <c r="DK604" s="1973">
        <v>45.406199999999998</v>
      </c>
      <c r="DL604" s="1973">
        <v>45.406199999999998</v>
      </c>
      <c r="DM604" s="1973">
        <v>45.406199999999998</v>
      </c>
      <c r="DO604" s="2027">
        <v>14.2</v>
      </c>
      <c r="DP604" s="2144">
        <v>345.7151356212263</v>
      </c>
      <c r="DQ604" s="2145">
        <v>6.8267605170546919E-2</v>
      </c>
      <c r="DR604" s="2027">
        <v>-3.951361934218987</v>
      </c>
      <c r="DS604" s="2124">
        <v>45.406199999999998</v>
      </c>
      <c r="DT604" s="2029">
        <v>45.406199999999998</v>
      </c>
      <c r="DU604" s="2029">
        <v>45.406199999999998</v>
      </c>
      <c r="DV604" s="2029">
        <v>45.406199999999998</v>
      </c>
      <c r="DW604" s="2124">
        <v>0</v>
      </c>
      <c r="DX604" s="2029">
        <v>0</v>
      </c>
      <c r="DY604" s="2029">
        <v>0</v>
      </c>
      <c r="DZ604" s="2029">
        <v>0</v>
      </c>
      <c r="EA604" s="2124">
        <v>232.07400000000001</v>
      </c>
      <c r="EB604" s="2029">
        <v>232.07400000000001</v>
      </c>
      <c r="EC604" s="2029">
        <v>232.07400000000001</v>
      </c>
      <c r="ED604" s="2029">
        <v>232.07400000000001</v>
      </c>
      <c r="EE604" s="2039">
        <f t="shared" si="412"/>
        <v>0</v>
      </c>
      <c r="EF604" s="2039">
        <f t="shared" si="412"/>
        <v>0</v>
      </c>
      <c r="EG604" s="2039">
        <f t="shared" si="412"/>
        <v>0</v>
      </c>
      <c r="EH604" s="2039">
        <f t="shared" si="412"/>
        <v>0</v>
      </c>
      <c r="EI604" s="2040">
        <f t="shared" si="385"/>
        <v>0</v>
      </c>
      <c r="EJ604" s="2040">
        <f t="shared" si="385"/>
        <v>0</v>
      </c>
      <c r="EK604" s="2040">
        <f t="shared" si="385"/>
        <v>0</v>
      </c>
      <c r="EL604" s="2040">
        <f t="shared" si="385"/>
        <v>0</v>
      </c>
      <c r="EM604" s="2040">
        <f t="shared" si="385"/>
        <v>0</v>
      </c>
      <c r="EN604" s="2040">
        <f t="shared" si="385"/>
        <v>0</v>
      </c>
      <c r="EO604" s="2040">
        <f t="shared" si="417"/>
        <v>0</v>
      </c>
      <c r="EP604" s="2040">
        <f t="shared" si="417"/>
        <v>0</v>
      </c>
      <c r="EQ604" s="2040">
        <f t="shared" si="417"/>
        <v>0</v>
      </c>
      <c r="ER604" s="2040">
        <f t="shared" si="393"/>
        <v>0</v>
      </c>
      <c r="ES604" s="2040">
        <f t="shared" si="393"/>
        <v>0</v>
      </c>
      <c r="ET604" s="2040">
        <f t="shared" si="393"/>
        <v>0</v>
      </c>
      <c r="EU604" s="2039">
        <f t="shared" si="413"/>
        <v>0</v>
      </c>
      <c r="EV604" s="2039">
        <f t="shared" si="414"/>
        <v>0</v>
      </c>
    </row>
    <row r="605" spans="1:152" x14ac:dyDescent="0.25">
      <c r="A605" s="2149" t="str">
        <f t="shared" si="420"/>
        <v>LED Interior - Linear Tubes</v>
      </c>
      <c r="B605" s="1974" t="str">
        <f t="shared" si="420"/>
        <v/>
      </c>
      <c r="C605" s="2027">
        <f t="shared" si="425"/>
        <v>14.2</v>
      </c>
      <c r="D605" s="2144">
        <f t="shared" si="425"/>
        <v>307.36439473597659</v>
      </c>
      <c r="E605" s="2145">
        <f t="shared" si="425"/>
        <v>6.2218576864295917E-2</v>
      </c>
      <c r="F605" s="2027">
        <f t="shared" si="425"/>
        <v>-3.7360152128356967</v>
      </c>
      <c r="G605" s="1974" t="s">
        <v>2988</v>
      </c>
      <c r="H605" s="1974" t="s">
        <v>2988</v>
      </c>
      <c r="I605" s="2026">
        <v>0.9</v>
      </c>
      <c r="J605" s="2026">
        <v>0.9</v>
      </c>
      <c r="K605" s="2026">
        <v>0.9</v>
      </c>
      <c r="L605" s="2026">
        <v>0.9</v>
      </c>
      <c r="M605" s="2027">
        <f t="shared" si="426"/>
        <v>276.62795526237892</v>
      </c>
      <c r="N605" s="2027">
        <f t="shared" si="426"/>
        <v>276.62795526237892</v>
      </c>
      <c r="O605" s="2027">
        <f t="shared" si="426"/>
        <v>276.62795526237892</v>
      </c>
      <c r="P605" s="2027">
        <f t="shared" si="426"/>
        <v>276.62795526237892</v>
      </c>
      <c r="Q605" s="2026">
        <v>0.9</v>
      </c>
      <c r="R605" s="2026">
        <v>0.9</v>
      </c>
      <c r="S605" s="2026">
        <v>0.9</v>
      </c>
      <c r="T605" s="2026">
        <v>0.9</v>
      </c>
      <c r="U605" s="2028">
        <f t="shared" si="427"/>
        <v>5.5996719177866326E-2</v>
      </c>
      <c r="V605" s="2028">
        <f t="shared" si="427"/>
        <v>5.5996719177866326E-2</v>
      </c>
      <c r="W605" s="2028">
        <f t="shared" si="427"/>
        <v>5.5996719177866326E-2</v>
      </c>
      <c r="X605" s="2028">
        <f t="shared" si="427"/>
        <v>5.5996719177866326E-2</v>
      </c>
      <c r="Y605" s="2026">
        <v>0.9</v>
      </c>
      <c r="Z605" s="2026">
        <v>0.9</v>
      </c>
      <c r="AA605" s="2026">
        <v>0.9</v>
      </c>
      <c r="AB605" s="2026">
        <v>0.9</v>
      </c>
      <c r="AC605" s="2027">
        <f t="shared" si="428"/>
        <v>-3.3624136915521272</v>
      </c>
      <c r="AD605" s="2027">
        <f t="shared" si="428"/>
        <v>-3.3624136915521272</v>
      </c>
      <c r="AE605" s="2027">
        <f t="shared" si="428"/>
        <v>-3.3624136915521272</v>
      </c>
      <c r="AF605" s="2027">
        <f t="shared" si="428"/>
        <v>-3.3624136915521272</v>
      </c>
      <c r="AG605" s="2027">
        <v>0</v>
      </c>
      <c r="AH605" s="2028"/>
      <c r="AI605" s="2028"/>
      <c r="AJ605" s="2028"/>
      <c r="AK605" s="2027">
        <f t="shared" si="434"/>
        <v>0</v>
      </c>
      <c r="AL605" s="2027">
        <f t="shared" si="433"/>
        <v>0</v>
      </c>
      <c r="AM605" s="2027">
        <f t="shared" si="433"/>
        <v>0</v>
      </c>
      <c r="AN605" s="2027">
        <f t="shared" si="433"/>
        <v>0</v>
      </c>
      <c r="AO605" s="2027">
        <f t="shared" si="429"/>
        <v>0</v>
      </c>
      <c r="AP605" s="2027">
        <f t="shared" si="421"/>
        <v>0</v>
      </c>
      <c r="AQ605" s="2027">
        <f t="shared" si="421"/>
        <v>0</v>
      </c>
      <c r="AR605" s="2027">
        <f t="shared" si="421"/>
        <v>0</v>
      </c>
      <c r="AS605" s="2124">
        <f t="shared" si="435"/>
        <v>33.828199999999995</v>
      </c>
      <c r="AT605" s="2029">
        <f t="shared" si="422"/>
        <v>33.828199999999995</v>
      </c>
      <c r="AU605" s="2029">
        <f t="shared" si="422"/>
        <v>33.828199999999995</v>
      </c>
      <c r="AV605" s="2029">
        <f t="shared" si="422"/>
        <v>33.828199999999995</v>
      </c>
      <c r="AW605" s="2124">
        <f t="shared" si="419"/>
        <v>0</v>
      </c>
      <c r="AX605" s="2029">
        <f t="shared" si="388"/>
        <v>0</v>
      </c>
      <c r="AY605" s="2029">
        <f t="shared" si="388"/>
        <v>0</v>
      </c>
      <c r="AZ605" s="2029">
        <f t="shared" si="388"/>
        <v>0</v>
      </c>
      <c r="BA605" s="2124">
        <f t="shared" si="436"/>
        <v>167.61</v>
      </c>
      <c r="BB605" s="2029">
        <f t="shared" si="436"/>
        <v>167.61</v>
      </c>
      <c r="BC605" s="2029">
        <f t="shared" si="436"/>
        <v>167.61</v>
      </c>
      <c r="BD605" s="2029">
        <f t="shared" si="436"/>
        <v>167.61</v>
      </c>
      <c r="BE605" s="2030">
        <f t="shared" si="430"/>
        <v>0</v>
      </c>
      <c r="BF605" s="2030">
        <f t="shared" si="430"/>
        <v>0</v>
      </c>
      <c r="BG605" s="2030">
        <f t="shared" si="430"/>
        <v>0</v>
      </c>
      <c r="BH605" s="2030">
        <f t="shared" si="430"/>
        <v>0</v>
      </c>
      <c r="BI605" s="2030">
        <f t="shared" si="431"/>
        <v>0</v>
      </c>
      <c r="BJ605" s="2030">
        <f t="shared" si="431"/>
        <v>0</v>
      </c>
      <c r="BK605" s="2030">
        <f t="shared" si="431"/>
        <v>0</v>
      </c>
      <c r="BL605" s="2030">
        <f t="shared" si="431"/>
        <v>0</v>
      </c>
      <c r="BM605" s="2125"/>
      <c r="BN605" s="2125"/>
      <c r="BO605" s="2125"/>
      <c r="BP605" s="2125"/>
      <c r="BQ605" s="2125"/>
      <c r="BR605" s="2125"/>
      <c r="BS605" s="2125"/>
      <c r="BT605" s="2125"/>
      <c r="BU605" s="2029"/>
      <c r="BV605" s="2029"/>
      <c r="BW605" s="2029"/>
      <c r="BX605" s="2029"/>
      <c r="BY605" s="2029"/>
      <c r="BZ605" s="2032"/>
      <c r="CA605" s="1974">
        <f t="shared" si="423"/>
        <v>0</v>
      </c>
      <c r="CB605" s="1974">
        <f t="shared" si="423"/>
        <v>0</v>
      </c>
      <c r="CC605" s="1974">
        <f t="shared" si="423"/>
        <v>0</v>
      </c>
      <c r="CD605" s="1974">
        <f t="shared" si="423"/>
        <v>0</v>
      </c>
      <c r="CE605" s="1974">
        <f t="shared" si="423"/>
        <v>1</v>
      </c>
      <c r="CF605" s="2033">
        <v>0</v>
      </c>
      <c r="CG605" s="2026">
        <v>0</v>
      </c>
      <c r="CH605" s="2009">
        <f t="shared" si="424"/>
        <v>1</v>
      </c>
      <c r="CI605" s="2031">
        <f t="shared" si="424"/>
        <v>0.9336502347417841</v>
      </c>
      <c r="CJ605" s="1974">
        <f t="shared" si="424"/>
        <v>0</v>
      </c>
      <c r="CK605" s="2031">
        <f t="shared" si="424"/>
        <v>-0.9336502347417841</v>
      </c>
      <c r="CL605" s="2026">
        <v>1</v>
      </c>
      <c r="CM605" s="2026">
        <v>1</v>
      </c>
      <c r="CN605" s="2026">
        <v>1</v>
      </c>
      <c r="CO605" s="2026">
        <v>1</v>
      </c>
      <c r="CP605" s="2035"/>
      <c r="CQ605" s="2036"/>
      <c r="CR605" s="2036"/>
      <c r="CS605" s="2036"/>
      <c r="CT605" s="2036"/>
      <c r="CU605" s="2036"/>
      <c r="CV605" s="1973">
        <v>1</v>
      </c>
      <c r="CW605" s="1973">
        <v>0</v>
      </c>
      <c r="CX605" s="2037">
        <v>33.828199999999995</v>
      </c>
      <c r="CY605" s="2037">
        <v>33.828199999999995</v>
      </c>
      <c r="CZ605" s="2037">
        <v>33.828199999999995</v>
      </c>
      <c r="DA605" s="2037">
        <v>33.828199999999995</v>
      </c>
      <c r="DJ605" s="1976">
        <v>33.828199999999995</v>
      </c>
      <c r="DK605" s="1973">
        <v>33.828199999999995</v>
      </c>
      <c r="DL605" s="1973">
        <v>33.828199999999995</v>
      </c>
      <c r="DM605" s="1973">
        <v>33.828199999999995</v>
      </c>
      <c r="DO605" s="2027">
        <v>14.2</v>
      </c>
      <c r="DP605" s="2144">
        <v>307.36439473597659</v>
      </c>
      <c r="DQ605" s="2145">
        <v>6.2218576864295917E-2</v>
      </c>
      <c r="DR605" s="2027">
        <v>-3.7360152128356967</v>
      </c>
      <c r="DS605" s="2124">
        <v>33.828199999999995</v>
      </c>
      <c r="DT605" s="2029">
        <v>33.828199999999995</v>
      </c>
      <c r="DU605" s="2029">
        <v>33.828199999999995</v>
      </c>
      <c r="DV605" s="2029">
        <v>33.828199999999995</v>
      </c>
      <c r="DW605" s="2124">
        <v>0</v>
      </c>
      <c r="DX605" s="2029">
        <v>0</v>
      </c>
      <c r="DY605" s="2029">
        <v>0</v>
      </c>
      <c r="DZ605" s="2029">
        <v>0</v>
      </c>
      <c r="EA605" s="2124">
        <v>167.61</v>
      </c>
      <c r="EB605" s="2029">
        <v>167.61</v>
      </c>
      <c r="EC605" s="2029">
        <v>167.61</v>
      </c>
      <c r="ED605" s="2029">
        <v>167.61</v>
      </c>
      <c r="EE605" s="2039">
        <f t="shared" si="412"/>
        <v>0</v>
      </c>
      <c r="EF605" s="2039">
        <f t="shared" si="412"/>
        <v>0</v>
      </c>
      <c r="EG605" s="2039">
        <f t="shared" si="412"/>
        <v>0</v>
      </c>
      <c r="EH605" s="2039">
        <f t="shared" si="412"/>
        <v>0</v>
      </c>
      <c r="EI605" s="2040">
        <f t="shared" ref="EI605:EN647" si="437">AS605-DS605</f>
        <v>0</v>
      </c>
      <c r="EJ605" s="2040">
        <f t="shared" si="437"/>
        <v>0</v>
      </c>
      <c r="EK605" s="2040">
        <f t="shared" si="437"/>
        <v>0</v>
      </c>
      <c r="EL605" s="2040">
        <f t="shared" si="437"/>
        <v>0</v>
      </c>
      <c r="EM605" s="2040">
        <f t="shared" si="437"/>
        <v>0</v>
      </c>
      <c r="EN605" s="2040">
        <f t="shared" si="437"/>
        <v>0</v>
      </c>
      <c r="EO605" s="2040">
        <f t="shared" si="417"/>
        <v>0</v>
      </c>
      <c r="EP605" s="2040">
        <f t="shared" si="417"/>
        <v>0</v>
      </c>
      <c r="EQ605" s="2040">
        <f t="shared" si="417"/>
        <v>0</v>
      </c>
      <c r="ER605" s="2040">
        <f t="shared" si="393"/>
        <v>0</v>
      </c>
      <c r="ES605" s="2040">
        <f t="shared" si="393"/>
        <v>0</v>
      </c>
      <c r="ET605" s="2040">
        <f t="shared" si="393"/>
        <v>0</v>
      </c>
      <c r="EU605" s="2039">
        <f t="shared" si="413"/>
        <v>0</v>
      </c>
      <c r="EV605" s="2039">
        <f t="shared" si="414"/>
        <v>0</v>
      </c>
    </row>
    <row r="606" spans="1:152" x14ac:dyDescent="0.25">
      <c r="A606" s="2149" t="str">
        <f t="shared" si="420"/>
        <v>LED Interior - High Bay Fixture</v>
      </c>
      <c r="B606" s="1974" t="str">
        <f t="shared" si="420"/>
        <v/>
      </c>
      <c r="C606" s="2027">
        <f t="shared" si="425"/>
        <v>14.2</v>
      </c>
      <c r="D606" s="2144">
        <f t="shared" si="425"/>
        <v>1379.4595533315332</v>
      </c>
      <c r="E606" s="2145">
        <f t="shared" si="425"/>
        <v>0.29035335870004769</v>
      </c>
      <c r="F606" s="2027">
        <f t="shared" si="425"/>
        <v>-9.7413985327404902</v>
      </c>
      <c r="G606" s="1974" t="s">
        <v>2988</v>
      </c>
      <c r="H606" s="1974" t="s">
        <v>2988</v>
      </c>
      <c r="I606" s="2026">
        <v>0.9</v>
      </c>
      <c r="J606" s="2026">
        <v>0.9</v>
      </c>
      <c r="K606" s="2026">
        <v>0.9</v>
      </c>
      <c r="L606" s="2026">
        <v>0.9</v>
      </c>
      <c r="M606" s="2027">
        <f t="shared" si="426"/>
        <v>1241.51359799838</v>
      </c>
      <c r="N606" s="2027">
        <f t="shared" si="426"/>
        <v>1241.51359799838</v>
      </c>
      <c r="O606" s="2027">
        <f t="shared" si="426"/>
        <v>1241.51359799838</v>
      </c>
      <c r="P606" s="2027">
        <f t="shared" si="426"/>
        <v>1241.51359799838</v>
      </c>
      <c r="Q606" s="2026">
        <v>0.9</v>
      </c>
      <c r="R606" s="2026">
        <v>0.9</v>
      </c>
      <c r="S606" s="2026">
        <v>0.9</v>
      </c>
      <c r="T606" s="2026">
        <v>0.9</v>
      </c>
      <c r="U606" s="2028">
        <f t="shared" si="427"/>
        <v>0.26131802283004291</v>
      </c>
      <c r="V606" s="2028">
        <f t="shared" si="427"/>
        <v>0.26131802283004291</v>
      </c>
      <c r="W606" s="2028">
        <f t="shared" si="427"/>
        <v>0.26131802283004291</v>
      </c>
      <c r="X606" s="2028">
        <f t="shared" si="427"/>
        <v>0.26131802283004291</v>
      </c>
      <c r="Y606" s="2026">
        <v>0.9</v>
      </c>
      <c r="Z606" s="2026">
        <v>0.9</v>
      </c>
      <c r="AA606" s="2026">
        <v>0.9</v>
      </c>
      <c r="AB606" s="2026">
        <v>0.9</v>
      </c>
      <c r="AC606" s="2027">
        <f t="shared" si="428"/>
        <v>-8.7672586794664422</v>
      </c>
      <c r="AD606" s="2027">
        <f t="shared" si="428"/>
        <v>-8.7672586794664422</v>
      </c>
      <c r="AE606" s="2027">
        <f t="shared" si="428"/>
        <v>-8.7672586794664422</v>
      </c>
      <c r="AF606" s="2027">
        <f t="shared" si="428"/>
        <v>-8.7672586794664422</v>
      </c>
      <c r="AG606" s="2027">
        <v>0</v>
      </c>
      <c r="AH606" s="2028"/>
      <c r="AI606" s="2028"/>
      <c r="AJ606" s="2028"/>
      <c r="AK606" s="2027">
        <f t="shared" si="434"/>
        <v>0</v>
      </c>
      <c r="AL606" s="2027">
        <f t="shared" si="433"/>
        <v>0</v>
      </c>
      <c r="AM606" s="2027">
        <f t="shared" si="433"/>
        <v>0</v>
      </c>
      <c r="AN606" s="2027">
        <f t="shared" si="433"/>
        <v>0</v>
      </c>
      <c r="AO606" s="2027">
        <f t="shared" si="429"/>
        <v>0</v>
      </c>
      <c r="AP606" s="2027">
        <f t="shared" si="421"/>
        <v>0</v>
      </c>
      <c r="AQ606" s="2027">
        <f t="shared" si="421"/>
        <v>0</v>
      </c>
      <c r="AR606" s="2027">
        <f t="shared" si="421"/>
        <v>0</v>
      </c>
      <c r="AS606" s="2124">
        <f t="shared" si="435"/>
        <v>183.93059999999997</v>
      </c>
      <c r="AT606" s="2029">
        <f t="shared" si="422"/>
        <v>183.93059999999997</v>
      </c>
      <c r="AU606" s="2029">
        <f t="shared" si="422"/>
        <v>183.93059999999997</v>
      </c>
      <c r="AV606" s="2029">
        <f t="shared" si="422"/>
        <v>183.93059999999997</v>
      </c>
      <c r="AW606" s="2124">
        <f t="shared" si="419"/>
        <v>0</v>
      </c>
      <c r="AX606" s="2029">
        <f t="shared" si="388"/>
        <v>0</v>
      </c>
      <c r="AY606" s="2029">
        <f t="shared" si="388"/>
        <v>0</v>
      </c>
      <c r="AZ606" s="2029">
        <f t="shared" si="388"/>
        <v>0</v>
      </c>
      <c r="BA606" s="2124">
        <f t="shared" si="436"/>
        <v>920.31600000000003</v>
      </c>
      <c r="BB606" s="2029">
        <f t="shared" si="436"/>
        <v>920.31600000000003</v>
      </c>
      <c r="BC606" s="2029">
        <f t="shared" si="436"/>
        <v>920.31600000000003</v>
      </c>
      <c r="BD606" s="2029">
        <f t="shared" si="436"/>
        <v>920.31600000000003</v>
      </c>
      <c r="BE606" s="2030">
        <f t="shared" si="430"/>
        <v>0</v>
      </c>
      <c r="BF606" s="2030">
        <f t="shared" si="430"/>
        <v>0</v>
      </c>
      <c r="BG606" s="2030">
        <f t="shared" si="430"/>
        <v>0</v>
      </c>
      <c r="BH606" s="2030">
        <f t="shared" si="430"/>
        <v>0</v>
      </c>
      <c r="BI606" s="2030">
        <f t="shared" si="431"/>
        <v>0</v>
      </c>
      <c r="BJ606" s="2030">
        <f t="shared" si="431"/>
        <v>0</v>
      </c>
      <c r="BK606" s="2030">
        <f t="shared" si="431"/>
        <v>0</v>
      </c>
      <c r="BL606" s="2030">
        <f t="shared" si="431"/>
        <v>0</v>
      </c>
      <c r="BM606" s="2125"/>
      <c r="BN606" s="2125"/>
      <c r="BO606" s="2125"/>
      <c r="BP606" s="2125"/>
      <c r="BQ606" s="2125"/>
      <c r="BR606" s="2125"/>
      <c r="BS606" s="2125"/>
      <c r="BT606" s="2125"/>
      <c r="BU606" s="2029"/>
      <c r="BV606" s="2029"/>
      <c r="BW606" s="2029"/>
      <c r="BX606" s="2029"/>
      <c r="BY606" s="2029"/>
      <c r="BZ606" s="2032"/>
      <c r="CA606" s="1974">
        <f t="shared" si="423"/>
        <v>0</v>
      </c>
      <c r="CB606" s="1974">
        <f t="shared" si="423"/>
        <v>0</v>
      </c>
      <c r="CC606" s="1974">
        <f t="shared" si="423"/>
        <v>0</v>
      </c>
      <c r="CD606" s="1974">
        <f t="shared" si="423"/>
        <v>0</v>
      </c>
      <c r="CE606" s="1974">
        <f t="shared" si="423"/>
        <v>1</v>
      </c>
      <c r="CF606" s="2033">
        <v>0</v>
      </c>
      <c r="CG606" s="2026">
        <v>0</v>
      </c>
      <c r="CH606" s="2009">
        <f t="shared" si="424"/>
        <v>1</v>
      </c>
      <c r="CI606" s="2031">
        <f t="shared" si="424"/>
        <v>25.473227699530515</v>
      </c>
      <c r="CJ606" s="1974">
        <f t="shared" si="424"/>
        <v>0</v>
      </c>
      <c r="CK606" s="2031">
        <f t="shared" si="424"/>
        <v>-25.473227699530515</v>
      </c>
      <c r="CL606" s="2026">
        <v>1</v>
      </c>
      <c r="CM606" s="2026">
        <v>0.98677355318637949</v>
      </c>
      <c r="CN606" s="2026">
        <v>0.98677355318637949</v>
      </c>
      <c r="CO606" s="2026">
        <v>0.98677355318637949</v>
      </c>
      <c r="CP606" s="2035"/>
      <c r="CQ606" s="2036"/>
      <c r="CR606" s="2036"/>
      <c r="CS606" s="2036"/>
      <c r="CT606" s="2036"/>
      <c r="CU606" s="2036"/>
      <c r="CV606" s="1973">
        <v>1</v>
      </c>
      <c r="CW606" s="1973">
        <v>0</v>
      </c>
      <c r="CX606" s="2037">
        <v>183.93059999999997</v>
      </c>
      <c r="CY606" s="2037">
        <v>183.93059999999997</v>
      </c>
      <c r="CZ606" s="2037">
        <v>183.93059999999997</v>
      </c>
      <c r="DA606" s="2037">
        <v>183.93059999999997</v>
      </c>
      <c r="DJ606" s="1976">
        <v>183.93059999999997</v>
      </c>
      <c r="DK606" s="1973">
        <v>183.93059999999997</v>
      </c>
      <c r="DL606" s="1973">
        <v>183.93059999999997</v>
      </c>
      <c r="DM606" s="1973">
        <v>183.93059999999997</v>
      </c>
      <c r="DO606" s="2027">
        <v>14.2</v>
      </c>
      <c r="DP606" s="2144">
        <v>1379.4595533315332</v>
      </c>
      <c r="DQ606" s="2145">
        <v>0.29035335870004769</v>
      </c>
      <c r="DR606" s="2027">
        <v>-9.7413985327404902</v>
      </c>
      <c r="DS606" s="2124">
        <v>183.93059999999997</v>
      </c>
      <c r="DT606" s="2029">
        <v>183.93059999999997</v>
      </c>
      <c r="DU606" s="2029">
        <v>183.93059999999997</v>
      </c>
      <c r="DV606" s="2029">
        <v>183.93059999999997</v>
      </c>
      <c r="DW606" s="2124">
        <v>0</v>
      </c>
      <c r="DX606" s="2029">
        <v>0</v>
      </c>
      <c r="DY606" s="2029">
        <v>0</v>
      </c>
      <c r="DZ606" s="2029">
        <v>0</v>
      </c>
      <c r="EA606" s="2124">
        <v>920.31600000000003</v>
      </c>
      <c r="EB606" s="2029">
        <v>920.31600000000003</v>
      </c>
      <c r="EC606" s="2029">
        <v>920.31600000000003</v>
      </c>
      <c r="ED606" s="2029">
        <v>920.31600000000003</v>
      </c>
      <c r="EE606" s="2039">
        <f t="shared" si="412"/>
        <v>0</v>
      </c>
      <c r="EF606" s="2039">
        <f t="shared" si="412"/>
        <v>0</v>
      </c>
      <c r="EG606" s="2039">
        <f t="shared" si="412"/>
        <v>0</v>
      </c>
      <c r="EH606" s="2039">
        <f t="shared" si="412"/>
        <v>0</v>
      </c>
      <c r="EI606" s="2040">
        <f t="shared" si="437"/>
        <v>0</v>
      </c>
      <c r="EJ606" s="2040">
        <f t="shared" si="437"/>
        <v>0</v>
      </c>
      <c r="EK606" s="2040">
        <f t="shared" si="437"/>
        <v>0</v>
      </c>
      <c r="EL606" s="2040">
        <f t="shared" si="437"/>
        <v>0</v>
      </c>
      <c r="EM606" s="2040">
        <f t="shared" si="437"/>
        <v>0</v>
      </c>
      <c r="EN606" s="2040">
        <f t="shared" si="437"/>
        <v>0</v>
      </c>
      <c r="EO606" s="2040">
        <f t="shared" si="417"/>
        <v>0</v>
      </c>
      <c r="EP606" s="2040">
        <f t="shared" si="417"/>
        <v>0</v>
      </c>
      <c r="EQ606" s="2040">
        <f t="shared" si="417"/>
        <v>0</v>
      </c>
      <c r="ER606" s="2040">
        <f t="shared" si="393"/>
        <v>0</v>
      </c>
      <c r="ES606" s="2040">
        <f t="shared" si="393"/>
        <v>0</v>
      </c>
      <c r="ET606" s="2040">
        <f t="shared" si="393"/>
        <v>0</v>
      </c>
      <c r="EU606" s="2039">
        <f t="shared" si="413"/>
        <v>0</v>
      </c>
      <c r="EV606" s="2039">
        <f t="shared" si="414"/>
        <v>0</v>
      </c>
    </row>
    <row r="607" spans="1:152" x14ac:dyDescent="0.25">
      <c r="A607" s="2149" t="str">
        <f>IF(A146="","",A146)</f>
        <v>LED Interior - High Wattage Can Light</v>
      </c>
      <c r="B607" s="1974" t="str">
        <f>IF(B146="","",B146)</f>
        <v/>
      </c>
      <c r="C607" s="2027">
        <f t="shared" si="425"/>
        <v>14.2</v>
      </c>
      <c r="D607" s="2144">
        <f t="shared" si="425"/>
        <v>718.72636357268686</v>
      </c>
      <c r="E607" s="2145">
        <f t="shared" si="425"/>
        <v>0.15036156075538182</v>
      </c>
      <c r="F607" s="2027">
        <f t="shared" si="425"/>
        <v>-9.5646854424359287</v>
      </c>
      <c r="G607" s="1974" t="s">
        <v>2988</v>
      </c>
      <c r="H607" s="1974" t="s">
        <v>2988</v>
      </c>
      <c r="I607" s="2026">
        <v>0.9</v>
      </c>
      <c r="J607" s="2026">
        <v>0.9</v>
      </c>
      <c r="K607" s="2026">
        <v>0.9</v>
      </c>
      <c r="L607" s="2026">
        <v>0.9</v>
      </c>
      <c r="M607" s="2027">
        <f t="shared" si="426"/>
        <v>646.85372721541819</v>
      </c>
      <c r="N607" s="2027">
        <f t="shared" si="426"/>
        <v>646.85372721541819</v>
      </c>
      <c r="O607" s="2027">
        <f t="shared" si="426"/>
        <v>646.85372721541819</v>
      </c>
      <c r="P607" s="2027">
        <f t="shared" si="426"/>
        <v>646.85372721541819</v>
      </c>
      <c r="Q607" s="2026">
        <v>0.9</v>
      </c>
      <c r="R607" s="2026">
        <v>0.9</v>
      </c>
      <c r="S607" s="2026">
        <v>0.9</v>
      </c>
      <c r="T607" s="2026">
        <v>0.9</v>
      </c>
      <c r="U607" s="2028">
        <f t="shared" si="427"/>
        <v>0.13532540467984364</v>
      </c>
      <c r="V607" s="2028">
        <f t="shared" si="427"/>
        <v>0.13532540467984364</v>
      </c>
      <c r="W607" s="2028">
        <f t="shared" si="427"/>
        <v>0.13532540467984364</v>
      </c>
      <c r="X607" s="2028">
        <f t="shared" si="427"/>
        <v>0.13532540467984364</v>
      </c>
      <c r="Y607" s="2026">
        <v>0.9</v>
      </c>
      <c r="Z607" s="2026">
        <v>0.9</v>
      </c>
      <c r="AA607" s="2026">
        <v>0.9</v>
      </c>
      <c r="AB607" s="2026">
        <v>0.9</v>
      </c>
      <c r="AC607" s="2027">
        <f t="shared" si="428"/>
        <v>-8.6082168981923353</v>
      </c>
      <c r="AD607" s="2027">
        <f t="shared" si="428"/>
        <v>-8.6082168981923353</v>
      </c>
      <c r="AE607" s="2027">
        <f t="shared" si="428"/>
        <v>-8.6082168981923353</v>
      </c>
      <c r="AF607" s="2027">
        <f t="shared" si="428"/>
        <v>-8.6082168981923353</v>
      </c>
      <c r="AG607" s="2027">
        <v>0</v>
      </c>
      <c r="AH607" s="2028"/>
      <c r="AI607" s="2028"/>
      <c r="AJ607" s="2028"/>
      <c r="AK607" s="2027">
        <f t="shared" si="434"/>
        <v>0</v>
      </c>
      <c r="AL607" s="2027">
        <f t="shared" si="433"/>
        <v>0</v>
      </c>
      <c r="AM607" s="2027">
        <f t="shared" si="433"/>
        <v>0</v>
      </c>
      <c r="AN607" s="2027">
        <f t="shared" si="433"/>
        <v>0</v>
      </c>
      <c r="AO607" s="2027">
        <f t="shared" si="429"/>
        <v>0</v>
      </c>
      <c r="AP607" s="2027">
        <f t="shared" si="421"/>
        <v>0</v>
      </c>
      <c r="AQ607" s="2027">
        <f t="shared" si="421"/>
        <v>0</v>
      </c>
      <c r="AR607" s="2027">
        <f t="shared" si="421"/>
        <v>0</v>
      </c>
      <c r="AS607" s="2124">
        <f t="shared" si="435"/>
        <v>86.528399999999991</v>
      </c>
      <c r="AT607" s="2029">
        <f t="shared" si="422"/>
        <v>86.528399999999991</v>
      </c>
      <c r="AU607" s="2029">
        <f t="shared" si="422"/>
        <v>86.528399999999991</v>
      </c>
      <c r="AV607" s="2029">
        <f t="shared" si="422"/>
        <v>86.528399999999991</v>
      </c>
      <c r="AW607" s="2124">
        <f t="shared" si="419"/>
        <v>0</v>
      </c>
      <c r="AX607" s="2029">
        <f t="shared" si="388"/>
        <v>0</v>
      </c>
      <c r="AY607" s="2029">
        <f t="shared" si="388"/>
        <v>0</v>
      </c>
      <c r="AZ607" s="2029">
        <f t="shared" si="388"/>
        <v>0</v>
      </c>
      <c r="BA607" s="2124">
        <f t="shared" si="436"/>
        <v>196.78800000000001</v>
      </c>
      <c r="BB607" s="2029">
        <f t="shared" si="436"/>
        <v>196.78800000000001</v>
      </c>
      <c r="BC607" s="2029">
        <f t="shared" si="436"/>
        <v>196.78800000000001</v>
      </c>
      <c r="BD607" s="2029">
        <f t="shared" si="436"/>
        <v>196.78800000000001</v>
      </c>
      <c r="BE607" s="2030">
        <f t="shared" si="430"/>
        <v>0</v>
      </c>
      <c r="BF607" s="2030">
        <f t="shared" si="430"/>
        <v>0</v>
      </c>
      <c r="BG607" s="2030">
        <f t="shared" si="430"/>
        <v>0</v>
      </c>
      <c r="BH607" s="2030">
        <f t="shared" si="430"/>
        <v>0</v>
      </c>
      <c r="BI607" s="2030">
        <f t="shared" si="431"/>
        <v>0</v>
      </c>
      <c r="BJ607" s="2030">
        <f t="shared" si="431"/>
        <v>0</v>
      </c>
      <c r="BK607" s="2030">
        <f t="shared" si="431"/>
        <v>0</v>
      </c>
      <c r="BL607" s="2030">
        <f t="shared" si="431"/>
        <v>0</v>
      </c>
      <c r="BM607" s="2125"/>
      <c r="BN607" s="2125"/>
      <c r="BO607" s="2125"/>
      <c r="BP607" s="2125"/>
      <c r="BQ607" s="2125"/>
      <c r="BR607" s="2125"/>
      <c r="BS607" s="2125"/>
      <c r="BT607" s="2125"/>
      <c r="BU607" s="2029"/>
      <c r="BV607" s="2029"/>
      <c r="BW607" s="2029"/>
      <c r="BX607" s="2029"/>
      <c r="BY607" s="2029"/>
      <c r="BZ607" s="2032"/>
      <c r="CA607" s="1974">
        <f t="shared" si="423"/>
        <v>0</v>
      </c>
      <c r="CB607" s="1974">
        <f t="shared" si="423"/>
        <v>0</v>
      </c>
      <c r="CC607" s="1974">
        <f t="shared" si="423"/>
        <v>0</v>
      </c>
      <c r="CD607" s="1974">
        <f t="shared" si="423"/>
        <v>0</v>
      </c>
      <c r="CE607" s="1974">
        <f t="shared" si="423"/>
        <v>0</v>
      </c>
      <c r="CF607" s="2033">
        <v>0</v>
      </c>
      <c r="CG607" s="2026">
        <v>0</v>
      </c>
      <c r="CH607" s="2009">
        <f t="shared" si="424"/>
        <v>1</v>
      </c>
      <c r="CI607" s="2031">
        <f t="shared" si="424"/>
        <v>12.86830985915493</v>
      </c>
      <c r="CJ607" s="1974">
        <f t="shared" si="424"/>
        <v>0</v>
      </c>
      <c r="CK607" s="2031">
        <f t="shared" si="424"/>
        <v>-12.86830985915493</v>
      </c>
      <c r="CL607" s="2026">
        <v>1</v>
      </c>
      <c r="CM607" s="2026">
        <v>1</v>
      </c>
      <c r="CN607" s="2026">
        <v>1</v>
      </c>
      <c r="CO607" s="2026">
        <v>1</v>
      </c>
      <c r="CP607" s="2035"/>
      <c r="CQ607" s="2036"/>
      <c r="CR607" s="2036"/>
      <c r="CS607" s="2036"/>
      <c r="CT607" s="2036"/>
      <c r="CU607" s="2036"/>
      <c r="CV607" s="1973">
        <v>1</v>
      </c>
      <c r="CW607" s="1973">
        <v>0</v>
      </c>
      <c r="CX607" s="2037">
        <v>86.528399999999991</v>
      </c>
      <c r="CY607" s="2037">
        <v>86.528399999999991</v>
      </c>
      <c r="CZ607" s="2037">
        <v>86.528399999999991</v>
      </c>
      <c r="DA607" s="2037">
        <v>86.528399999999991</v>
      </c>
      <c r="DJ607" s="1976">
        <v>86.528399999999991</v>
      </c>
      <c r="DK607" s="1973">
        <v>86.528399999999991</v>
      </c>
      <c r="DL607" s="1973">
        <v>86.528399999999991</v>
      </c>
      <c r="DM607" s="1973">
        <v>86.528399999999991</v>
      </c>
      <c r="DO607" s="2027">
        <v>14.2</v>
      </c>
      <c r="DP607" s="2144">
        <v>718.72636357268686</v>
      </c>
      <c r="DQ607" s="2145">
        <v>0.15036156075538182</v>
      </c>
      <c r="DR607" s="2027">
        <v>-9.5646854424359287</v>
      </c>
      <c r="DS607" s="2124">
        <v>86.528399999999991</v>
      </c>
      <c r="DT607" s="2029">
        <v>86.528399999999991</v>
      </c>
      <c r="DU607" s="2029">
        <v>86.528399999999991</v>
      </c>
      <c r="DV607" s="2029">
        <v>86.528399999999991</v>
      </c>
      <c r="DW607" s="2124">
        <v>0</v>
      </c>
      <c r="DX607" s="2029">
        <v>0</v>
      </c>
      <c r="DY607" s="2029">
        <v>0</v>
      </c>
      <c r="DZ607" s="2029">
        <v>0</v>
      </c>
      <c r="EA607" s="2124">
        <v>196.78800000000001</v>
      </c>
      <c r="EB607" s="2029">
        <v>196.78800000000001</v>
      </c>
      <c r="EC607" s="2029">
        <v>196.78800000000001</v>
      </c>
      <c r="ED607" s="2029">
        <v>196.78800000000001</v>
      </c>
      <c r="EE607" s="2039">
        <f t="shared" si="412"/>
        <v>0</v>
      </c>
      <c r="EF607" s="2039">
        <f t="shared" si="412"/>
        <v>0</v>
      </c>
      <c r="EG607" s="2039">
        <f t="shared" si="412"/>
        <v>0</v>
      </c>
      <c r="EH607" s="2039">
        <f t="shared" si="412"/>
        <v>0</v>
      </c>
      <c r="EI607" s="2040">
        <f t="shared" si="437"/>
        <v>0</v>
      </c>
      <c r="EJ607" s="2040">
        <f t="shared" si="437"/>
        <v>0</v>
      </c>
      <c r="EK607" s="2040">
        <f t="shared" si="437"/>
        <v>0</v>
      </c>
      <c r="EL607" s="2040">
        <f t="shared" si="437"/>
        <v>0</v>
      </c>
      <c r="EM607" s="2040">
        <f t="shared" si="437"/>
        <v>0</v>
      </c>
      <c r="EN607" s="2040">
        <f t="shared" si="437"/>
        <v>0</v>
      </c>
      <c r="EO607" s="2040">
        <f t="shared" si="417"/>
        <v>0</v>
      </c>
      <c r="EP607" s="2040">
        <f t="shared" si="417"/>
        <v>0</v>
      </c>
      <c r="EQ607" s="2040">
        <f t="shared" si="417"/>
        <v>0</v>
      </c>
      <c r="ER607" s="2040">
        <f t="shared" si="393"/>
        <v>0</v>
      </c>
      <c r="ES607" s="2040">
        <f t="shared" si="393"/>
        <v>0</v>
      </c>
      <c r="ET607" s="2040">
        <f t="shared" si="393"/>
        <v>0</v>
      </c>
      <c r="EU607" s="2039">
        <f t="shared" si="413"/>
        <v>0</v>
      </c>
      <c r="EV607" s="2039">
        <f t="shared" si="414"/>
        <v>0</v>
      </c>
    </row>
    <row r="608" spans="1:152" x14ac:dyDescent="0.25">
      <c r="A608" s="2143" t="str">
        <f>IF(A147="","",A147)</f>
        <v>T5 Linear LED Lamp Retrofit (Midstream)</v>
      </c>
      <c r="B608" s="1974" t="str">
        <f>IF(B147="","",B147)</f>
        <v/>
      </c>
      <c r="C608" s="2027">
        <v>15</v>
      </c>
      <c r="D608" s="2171">
        <v>51.998356001592015</v>
      </c>
      <c r="E608" s="2145">
        <f>E147</f>
        <v>1.41994336E-2</v>
      </c>
      <c r="F608" s="2027">
        <v>-0.79997470771680035</v>
      </c>
      <c r="G608" s="1974" t="s">
        <v>2988</v>
      </c>
      <c r="H608" s="1974" t="s">
        <v>2988</v>
      </c>
      <c r="I608" s="2026">
        <v>0.9</v>
      </c>
      <c r="J608" s="2026">
        <v>0.9</v>
      </c>
      <c r="K608" s="2026">
        <v>0.9</v>
      </c>
      <c r="L608" s="2026">
        <v>0.9</v>
      </c>
      <c r="M608" s="2027">
        <f t="shared" si="426"/>
        <v>46.798520401432818</v>
      </c>
      <c r="N608" s="2027">
        <f t="shared" si="426"/>
        <v>46.798520401432818</v>
      </c>
      <c r="O608" s="2027">
        <f t="shared" si="426"/>
        <v>46.798520401432818</v>
      </c>
      <c r="P608" s="2027">
        <f t="shared" si="426"/>
        <v>46.798520401432818</v>
      </c>
      <c r="Q608" s="2026">
        <v>0.9</v>
      </c>
      <c r="R608" s="2026">
        <v>0.9</v>
      </c>
      <c r="S608" s="2026">
        <v>0.9</v>
      </c>
      <c r="T608" s="2026">
        <v>0.9</v>
      </c>
      <c r="U608" s="2028">
        <f t="shared" si="427"/>
        <v>1.277949024E-2</v>
      </c>
      <c r="V608" s="2028">
        <f t="shared" si="427"/>
        <v>1.277949024E-2</v>
      </c>
      <c r="W608" s="2028">
        <f t="shared" si="427"/>
        <v>1.277949024E-2</v>
      </c>
      <c r="X608" s="2028">
        <f t="shared" si="427"/>
        <v>1.277949024E-2</v>
      </c>
      <c r="Y608" s="2026">
        <v>0.9</v>
      </c>
      <c r="Z608" s="2026">
        <v>0.9</v>
      </c>
      <c r="AA608" s="2026">
        <v>0.9</v>
      </c>
      <c r="AB608" s="2026">
        <v>0.9</v>
      </c>
      <c r="AC608" s="2027">
        <f t="shared" si="428"/>
        <v>-0.71997723694512028</v>
      </c>
      <c r="AD608" s="2027">
        <f t="shared" si="428"/>
        <v>-0.71997723694512028</v>
      </c>
      <c r="AE608" s="2027">
        <f t="shared" si="428"/>
        <v>-0.71997723694512028</v>
      </c>
      <c r="AF608" s="2027">
        <f t="shared" si="428"/>
        <v>-0.71997723694512028</v>
      </c>
      <c r="AG608" s="2027">
        <v>2000</v>
      </c>
      <c r="AH608" s="2027">
        <v>2500</v>
      </c>
      <c r="AI608" s="2027">
        <v>3000</v>
      </c>
      <c r="AJ608" s="2027">
        <v>3500</v>
      </c>
      <c r="AK608" s="2027">
        <f t="shared" si="434"/>
        <v>93597.040802865638</v>
      </c>
      <c r="AL608" s="2027">
        <f t="shared" si="433"/>
        <v>116996.30100358205</v>
      </c>
      <c r="AM608" s="2027">
        <f t="shared" si="433"/>
        <v>140395.56120429846</v>
      </c>
      <c r="AN608" s="2027">
        <f t="shared" si="433"/>
        <v>163794.82140501487</v>
      </c>
      <c r="AO608" s="2027">
        <f t="shared" si="429"/>
        <v>-1439.9544738902405</v>
      </c>
      <c r="AP608" s="2027">
        <f t="shared" si="421"/>
        <v>-1799.9430923628006</v>
      </c>
      <c r="AQ608" s="2027">
        <f t="shared" si="421"/>
        <v>-2159.9317108353607</v>
      </c>
      <c r="AR608" s="2027">
        <f t="shared" si="421"/>
        <v>-2519.9203293079208</v>
      </c>
      <c r="AS608" s="2029">
        <v>25.2</v>
      </c>
      <c r="AT608" s="2029">
        <f>AS608</f>
        <v>25.2</v>
      </c>
      <c r="AU608" s="2029">
        <v>22.5</v>
      </c>
      <c r="AV608" s="2029">
        <v>21.6</v>
      </c>
      <c r="AW608" s="2029">
        <f t="shared" si="419"/>
        <v>0</v>
      </c>
      <c r="AX608" s="2029">
        <f t="shared" si="388"/>
        <v>0</v>
      </c>
      <c r="AY608" s="2029">
        <f t="shared" si="388"/>
        <v>0</v>
      </c>
      <c r="AZ608" s="2029">
        <f t="shared" si="388"/>
        <v>0</v>
      </c>
      <c r="BA608" s="2029">
        <v>12.330000000000004</v>
      </c>
      <c r="BB608" s="2029">
        <f>BA608</f>
        <v>12.330000000000004</v>
      </c>
      <c r="BC608" s="2029">
        <f t="shared" si="436"/>
        <v>9.8640000000000025</v>
      </c>
      <c r="BD608" s="2029">
        <f t="shared" si="436"/>
        <v>6.9048000000000016</v>
      </c>
      <c r="BE608" s="2030">
        <f t="shared" si="430"/>
        <v>50400</v>
      </c>
      <c r="BF608" s="2030">
        <f t="shared" si="430"/>
        <v>63000</v>
      </c>
      <c r="BG608" s="2030">
        <f t="shared" si="430"/>
        <v>67500</v>
      </c>
      <c r="BH608" s="2030">
        <f t="shared" si="430"/>
        <v>75600</v>
      </c>
      <c r="BI608" s="2030">
        <f t="shared" si="431"/>
        <v>0</v>
      </c>
      <c r="BJ608" s="2030">
        <f t="shared" si="431"/>
        <v>0</v>
      </c>
      <c r="BK608" s="2030">
        <f t="shared" si="431"/>
        <v>0</v>
      </c>
      <c r="BL608" s="2030">
        <f t="shared" si="431"/>
        <v>0</v>
      </c>
      <c r="BM608" s="2125"/>
      <c r="BN608" s="2125"/>
      <c r="BO608" s="2125"/>
      <c r="BP608" s="2125"/>
      <c r="BQ608" s="2125"/>
      <c r="BR608" s="2125"/>
      <c r="BS608" s="2125"/>
      <c r="BT608" s="2125"/>
      <c r="BU608" s="2029"/>
      <c r="BV608" s="2029"/>
      <c r="BW608" s="2029"/>
      <c r="BX608" s="2029"/>
      <c r="BY608" s="2029"/>
      <c r="BZ608" s="2032"/>
      <c r="CA608" s="1974">
        <f t="shared" si="423"/>
        <v>0</v>
      </c>
      <c r="CB608" s="1974">
        <f t="shared" si="423"/>
        <v>0</v>
      </c>
      <c r="CC608" s="1974">
        <f t="shared" si="423"/>
        <v>0</v>
      </c>
      <c r="CD608" s="1974">
        <f t="shared" si="423"/>
        <v>0</v>
      </c>
      <c r="CE608" s="1974">
        <f t="shared" si="423"/>
        <v>0</v>
      </c>
      <c r="CF608" s="2033">
        <v>3.912675451223554E-4</v>
      </c>
      <c r="CG608" s="2026">
        <v>-3.8411185041789682E-4</v>
      </c>
      <c r="CH608" s="2009">
        <f t="shared" si="424"/>
        <v>1</v>
      </c>
      <c r="CI608" s="2031">
        <f t="shared" si="424"/>
        <v>0.99282231904761908</v>
      </c>
      <c r="CJ608" s="1974">
        <f t="shared" si="424"/>
        <v>0</v>
      </c>
      <c r="CK608" s="2031">
        <f t="shared" si="424"/>
        <v>-0.99282231904761908</v>
      </c>
      <c r="CL608" s="2026">
        <v>1</v>
      </c>
      <c r="CM608" s="2026">
        <v>1</v>
      </c>
      <c r="CN608" s="2026">
        <v>1</v>
      </c>
      <c r="CO608" s="2026">
        <v>1</v>
      </c>
      <c r="CP608" s="2035"/>
      <c r="CQ608" s="2036"/>
      <c r="CR608" s="2036"/>
      <c r="CS608" s="2036"/>
      <c r="CT608" s="2036"/>
      <c r="CU608" s="2036"/>
      <c r="CV608" s="1973">
        <v>1</v>
      </c>
      <c r="CW608" s="1973">
        <v>1</v>
      </c>
      <c r="CX608" s="2037">
        <v>27</v>
      </c>
      <c r="CY608" s="2037">
        <v>27</v>
      </c>
      <c r="CZ608" s="2037">
        <v>25</v>
      </c>
      <c r="DA608" s="2037">
        <v>24</v>
      </c>
      <c r="DJ608" s="1976">
        <v>27</v>
      </c>
      <c r="DK608" s="1973">
        <v>27</v>
      </c>
      <c r="DL608" s="1973">
        <v>25</v>
      </c>
      <c r="DM608" s="1973">
        <v>24</v>
      </c>
      <c r="DO608" s="2146">
        <v>15</v>
      </c>
      <c r="DP608" s="2147">
        <v>51.998408000000012</v>
      </c>
      <c r="DQ608" s="2148">
        <v>1.41994336E-2</v>
      </c>
      <c r="DR608" s="2146">
        <v>-0.57198248800000018</v>
      </c>
      <c r="DS608" s="2046">
        <v>25.2</v>
      </c>
      <c r="DT608" s="2046">
        <v>25.2</v>
      </c>
      <c r="DU608" s="2046">
        <v>22.5</v>
      </c>
      <c r="DV608" s="2046">
        <v>21.6</v>
      </c>
      <c r="DW608" s="2046">
        <v>0</v>
      </c>
      <c r="DX608" s="2046">
        <v>0</v>
      </c>
      <c r="DY608" s="2046">
        <v>0</v>
      </c>
      <c r="DZ608" s="2046">
        <v>0</v>
      </c>
      <c r="EA608" s="2046">
        <v>12.330000000000002</v>
      </c>
      <c r="EB608" s="2046">
        <v>12.330000000000002</v>
      </c>
      <c r="EC608" s="2046">
        <v>9.8640000000000025</v>
      </c>
      <c r="ED608" s="2046">
        <v>6.9048000000000016</v>
      </c>
      <c r="EE608" s="2039">
        <f t="shared" si="412"/>
        <v>0</v>
      </c>
      <c r="EF608" s="2166">
        <f t="shared" si="412"/>
        <v>-5.1998407997189133E-5</v>
      </c>
      <c r="EG608" s="2039">
        <f t="shared" si="412"/>
        <v>0</v>
      </c>
      <c r="EH608" s="2167">
        <f t="shared" si="412"/>
        <v>-0.22799221971680017</v>
      </c>
      <c r="EI608" s="2040">
        <f t="shared" si="437"/>
        <v>0</v>
      </c>
      <c r="EJ608" s="2040">
        <f t="shared" si="437"/>
        <v>0</v>
      </c>
      <c r="EK608" s="2040">
        <f t="shared" si="437"/>
        <v>0</v>
      </c>
      <c r="EL608" s="2040">
        <f t="shared" si="437"/>
        <v>0</v>
      </c>
      <c r="EM608" s="2040">
        <f t="shared" si="437"/>
        <v>0</v>
      </c>
      <c r="EN608" s="2040">
        <f t="shared" si="437"/>
        <v>0</v>
      </c>
      <c r="EO608" s="2040">
        <f t="shared" si="417"/>
        <v>0</v>
      </c>
      <c r="EP608" s="2040">
        <f t="shared" si="417"/>
        <v>0</v>
      </c>
      <c r="EQ608" s="2040">
        <f t="shared" si="417"/>
        <v>0</v>
      </c>
      <c r="ER608" s="2040">
        <f t="shared" si="393"/>
        <v>0</v>
      </c>
      <c r="ES608" s="2040">
        <f t="shared" si="393"/>
        <v>0</v>
      </c>
      <c r="ET608" s="2040">
        <f t="shared" si="393"/>
        <v>0</v>
      </c>
      <c r="EU608" s="2039">
        <f t="shared" si="413"/>
        <v>-0.22804421812479736</v>
      </c>
      <c r="EV608" s="2151">
        <f t="shared" si="414"/>
        <v>-0.22804421812479736</v>
      </c>
    </row>
    <row r="609" spans="1:152" x14ac:dyDescent="0.25">
      <c r="A609" s="2149" t="s">
        <v>252</v>
      </c>
      <c r="B609" s="1974" t="str">
        <f t="shared" ref="B609:B659" si="438">IF(B148="","",B148)</f>
        <v/>
      </c>
      <c r="C609" s="2027">
        <f t="shared" si="425"/>
        <v>10</v>
      </c>
      <c r="D609" s="2144">
        <f t="shared" si="425"/>
        <v>-1522.2395734687498</v>
      </c>
      <c r="E609" s="2145">
        <f t="shared" si="425"/>
        <v>0</v>
      </c>
      <c r="F609" s="2027">
        <f t="shared" si="425"/>
        <v>472.27012500000001</v>
      </c>
      <c r="G609" s="1974" t="s">
        <v>2988</v>
      </c>
      <c r="H609" s="1974" t="s">
        <v>2988</v>
      </c>
      <c r="I609" s="2026">
        <v>0.9</v>
      </c>
      <c r="J609" s="2026">
        <v>0.9</v>
      </c>
      <c r="K609" s="2026">
        <v>0.9</v>
      </c>
      <c r="L609" s="2026">
        <v>0.9</v>
      </c>
      <c r="M609" s="2027">
        <f t="shared" si="426"/>
        <v>-1370.0156161218749</v>
      </c>
      <c r="N609" s="2027">
        <f t="shared" si="426"/>
        <v>-1370.0156161218749</v>
      </c>
      <c r="O609" s="2027">
        <f t="shared" si="426"/>
        <v>-1370.0156161218749</v>
      </c>
      <c r="P609" s="2027">
        <f t="shared" si="426"/>
        <v>-1370.0156161218749</v>
      </c>
      <c r="Q609" s="2026">
        <v>0.9</v>
      </c>
      <c r="R609" s="2026">
        <v>0.9</v>
      </c>
      <c r="S609" s="2026">
        <v>0.9</v>
      </c>
      <c r="T609" s="2026">
        <v>0.9</v>
      </c>
      <c r="U609" s="2028">
        <f t="shared" si="427"/>
        <v>0</v>
      </c>
      <c r="V609" s="2028">
        <f t="shared" si="427"/>
        <v>0</v>
      </c>
      <c r="W609" s="2028">
        <f t="shared" si="427"/>
        <v>0</v>
      </c>
      <c r="X609" s="2028">
        <f t="shared" si="427"/>
        <v>0</v>
      </c>
      <c r="Y609" s="2026">
        <v>0.9</v>
      </c>
      <c r="Z609" s="2026">
        <v>0.9</v>
      </c>
      <c r="AA609" s="2026">
        <v>0.9</v>
      </c>
      <c r="AB609" s="2026">
        <v>0.9</v>
      </c>
      <c r="AC609" s="2027">
        <f t="shared" si="428"/>
        <v>425.04311250000001</v>
      </c>
      <c r="AD609" s="2027">
        <f t="shared" si="428"/>
        <v>425.04311250000001</v>
      </c>
      <c r="AE609" s="2027">
        <f t="shared" si="428"/>
        <v>425.04311250000001</v>
      </c>
      <c r="AF609" s="2027">
        <f t="shared" si="428"/>
        <v>425.04311250000001</v>
      </c>
      <c r="AG609" s="2027">
        <v>0</v>
      </c>
      <c r="AH609" s="2028"/>
      <c r="AI609" s="2028"/>
      <c r="AJ609" s="2028"/>
      <c r="AK609" s="2027">
        <f t="shared" si="434"/>
        <v>0</v>
      </c>
      <c r="AL609" s="2027">
        <f t="shared" si="433"/>
        <v>0</v>
      </c>
      <c r="AM609" s="2027">
        <f t="shared" si="433"/>
        <v>0</v>
      </c>
      <c r="AN609" s="2027">
        <f t="shared" si="433"/>
        <v>0</v>
      </c>
      <c r="AO609" s="2027">
        <f t="shared" si="429"/>
        <v>0</v>
      </c>
      <c r="AP609" s="2027">
        <f t="shared" si="421"/>
        <v>0</v>
      </c>
      <c r="AQ609" s="2027">
        <f t="shared" si="421"/>
        <v>0</v>
      </c>
      <c r="AR609" s="2027">
        <f t="shared" si="421"/>
        <v>0</v>
      </c>
      <c r="AS609" s="2124">
        <f t="shared" ref="AS609:AS615" si="439">AS148*1.5</f>
        <v>0</v>
      </c>
      <c r="AT609" s="2029">
        <f t="shared" si="422"/>
        <v>0</v>
      </c>
      <c r="AU609" s="2029">
        <f t="shared" si="422"/>
        <v>0</v>
      </c>
      <c r="AV609" s="2029">
        <f t="shared" si="422"/>
        <v>0</v>
      </c>
      <c r="AW609" s="2124">
        <f t="shared" si="419"/>
        <v>1500</v>
      </c>
      <c r="AX609" s="2029">
        <f t="shared" si="388"/>
        <v>1500</v>
      </c>
      <c r="AY609" s="2029">
        <f t="shared" si="388"/>
        <v>1500</v>
      </c>
      <c r="AZ609" s="2029">
        <f t="shared" si="388"/>
        <v>1500</v>
      </c>
      <c r="BA609" s="2124">
        <f t="shared" si="436"/>
        <v>8600</v>
      </c>
      <c r="BB609" s="2029">
        <f t="shared" si="436"/>
        <v>8600</v>
      </c>
      <c r="BC609" s="2029">
        <f t="shared" si="436"/>
        <v>8600</v>
      </c>
      <c r="BD609" s="2029">
        <f t="shared" si="436"/>
        <v>8600</v>
      </c>
      <c r="BE609" s="2030">
        <f t="shared" si="430"/>
        <v>0</v>
      </c>
      <c r="BF609" s="2030">
        <f t="shared" si="430"/>
        <v>0</v>
      </c>
      <c r="BG609" s="2030">
        <f t="shared" si="430"/>
        <v>0</v>
      </c>
      <c r="BH609" s="2030">
        <f t="shared" si="430"/>
        <v>0</v>
      </c>
      <c r="BI609" s="2030">
        <f t="shared" si="431"/>
        <v>0</v>
      </c>
      <c r="BJ609" s="2030">
        <f t="shared" si="431"/>
        <v>0</v>
      </c>
      <c r="BK609" s="2030">
        <f t="shared" si="431"/>
        <v>0</v>
      </c>
      <c r="BL609" s="2030">
        <f t="shared" si="431"/>
        <v>0</v>
      </c>
      <c r="BM609" s="2125"/>
      <c r="BN609" s="2125"/>
      <c r="BO609" s="2125"/>
      <c r="BP609" s="2125"/>
      <c r="BQ609" s="2125"/>
      <c r="BR609" s="2125"/>
      <c r="BS609" s="2125"/>
      <c r="BT609" s="2125"/>
      <c r="BU609" s="2029"/>
      <c r="BV609" s="2029"/>
      <c r="BW609" s="2029"/>
      <c r="BX609" s="2029"/>
      <c r="BY609" s="2029"/>
      <c r="BZ609" s="2032"/>
      <c r="CA609" s="1974">
        <f t="shared" si="423"/>
        <v>0</v>
      </c>
      <c r="CB609" s="1974">
        <f t="shared" si="423"/>
        <v>0</v>
      </c>
      <c r="CC609" s="1974">
        <f t="shared" si="423"/>
        <v>0</v>
      </c>
      <c r="CD609" s="1974">
        <f t="shared" si="423"/>
        <v>0</v>
      </c>
      <c r="CE609" s="1974">
        <f t="shared" si="423"/>
        <v>0</v>
      </c>
      <c r="CF609" s="2033">
        <v>0</v>
      </c>
      <c r="CG609" s="2026">
        <v>0</v>
      </c>
      <c r="CH609" s="2009">
        <f t="shared" si="424"/>
        <v>0</v>
      </c>
      <c r="CI609" s="2031">
        <f t="shared" si="424"/>
        <v>0</v>
      </c>
      <c r="CJ609" s="1974">
        <f t="shared" si="424"/>
        <v>0</v>
      </c>
      <c r="CK609" s="2031">
        <f t="shared" si="424"/>
        <v>0</v>
      </c>
      <c r="CL609" s="2026">
        <v>1</v>
      </c>
      <c r="CM609" s="2026">
        <v>1</v>
      </c>
      <c r="CN609" s="2026">
        <v>1</v>
      </c>
      <c r="CO609" s="2026">
        <v>1</v>
      </c>
      <c r="CP609" s="2035"/>
      <c r="CQ609" s="2036"/>
      <c r="CR609" s="2036"/>
      <c r="CS609" s="2036"/>
      <c r="CT609" s="2036"/>
      <c r="CU609" s="2036"/>
      <c r="CV609" s="1973">
        <v>1</v>
      </c>
      <c r="CW609" s="1973">
        <v>0</v>
      </c>
      <c r="CX609" s="2037">
        <v>1500</v>
      </c>
      <c r="CY609" s="2037">
        <v>1500</v>
      </c>
      <c r="CZ609" s="2037">
        <v>1500</v>
      </c>
      <c r="DA609" s="2037">
        <v>1500</v>
      </c>
      <c r="DJ609" s="1976">
        <v>0</v>
      </c>
      <c r="DK609" s="1973">
        <v>0</v>
      </c>
      <c r="DL609" s="1973">
        <v>0</v>
      </c>
      <c r="DM609" s="1973">
        <v>0</v>
      </c>
      <c r="DO609" s="2027">
        <v>10</v>
      </c>
      <c r="DP609" s="2144">
        <v>-1522.2395734687498</v>
      </c>
      <c r="DQ609" s="2145">
        <v>0</v>
      </c>
      <c r="DR609" s="2027">
        <v>472.27012500000001</v>
      </c>
      <c r="DS609" s="2124">
        <v>0</v>
      </c>
      <c r="DT609" s="2029">
        <v>0</v>
      </c>
      <c r="DU609" s="2029">
        <v>0</v>
      </c>
      <c r="DV609" s="2029">
        <v>0</v>
      </c>
      <c r="DW609" s="2124">
        <v>1500</v>
      </c>
      <c r="DX609" s="2029">
        <v>1500</v>
      </c>
      <c r="DY609" s="2029">
        <v>1500</v>
      </c>
      <c r="DZ609" s="2029">
        <v>1500</v>
      </c>
      <c r="EA609" s="2124">
        <v>8600</v>
      </c>
      <c r="EB609" s="2029">
        <v>8600</v>
      </c>
      <c r="EC609" s="2029">
        <v>8600</v>
      </c>
      <c r="ED609" s="2029">
        <v>8600</v>
      </c>
      <c r="EE609" s="2039">
        <f t="shared" si="412"/>
        <v>0</v>
      </c>
      <c r="EF609" s="2039">
        <f t="shared" si="412"/>
        <v>0</v>
      </c>
      <c r="EG609" s="2039">
        <f t="shared" si="412"/>
        <v>0</v>
      </c>
      <c r="EH609" s="2039">
        <f t="shared" si="412"/>
        <v>0</v>
      </c>
      <c r="EI609" s="2040">
        <f t="shared" si="437"/>
        <v>0</v>
      </c>
      <c r="EJ609" s="2040">
        <f t="shared" si="437"/>
        <v>0</v>
      </c>
      <c r="EK609" s="2040">
        <f t="shared" si="437"/>
        <v>0</v>
      </c>
      <c r="EL609" s="2040">
        <f t="shared" si="437"/>
        <v>0</v>
      </c>
      <c r="EM609" s="2040">
        <f t="shared" si="437"/>
        <v>0</v>
      </c>
      <c r="EN609" s="2040">
        <f t="shared" si="437"/>
        <v>0</v>
      </c>
      <c r="EO609" s="2040">
        <f t="shared" si="417"/>
        <v>0</v>
      </c>
      <c r="EP609" s="2040">
        <f t="shared" si="417"/>
        <v>0</v>
      </c>
      <c r="EQ609" s="2040">
        <f t="shared" si="417"/>
        <v>0</v>
      </c>
      <c r="ER609" s="2040">
        <f t="shared" si="393"/>
        <v>0</v>
      </c>
      <c r="ES609" s="2040">
        <f t="shared" si="393"/>
        <v>0</v>
      </c>
      <c r="ET609" s="2040">
        <f t="shared" si="393"/>
        <v>0</v>
      </c>
      <c r="EU609" s="2039">
        <f t="shared" si="413"/>
        <v>0</v>
      </c>
      <c r="EV609" s="2039">
        <f t="shared" si="414"/>
        <v>0</v>
      </c>
    </row>
    <row r="610" spans="1:152" x14ac:dyDescent="0.25">
      <c r="A610" s="2149" t="s">
        <v>253</v>
      </c>
      <c r="B610" s="1974" t="str">
        <f t="shared" si="438"/>
        <v/>
      </c>
      <c r="C610" s="2027">
        <f t="shared" si="425"/>
        <v>10</v>
      </c>
      <c r="D610" s="2144">
        <f t="shared" si="425"/>
        <v>-888.10068703124989</v>
      </c>
      <c r="E610" s="2145">
        <f t="shared" si="425"/>
        <v>0</v>
      </c>
      <c r="F610" s="2027">
        <f t="shared" si="425"/>
        <v>624.99187500000005</v>
      </c>
      <c r="G610" s="1974" t="s">
        <v>2988</v>
      </c>
      <c r="H610" s="1974" t="s">
        <v>2988</v>
      </c>
      <c r="I610" s="2026">
        <v>0.9</v>
      </c>
      <c r="J610" s="2026">
        <v>0.9</v>
      </c>
      <c r="K610" s="2026">
        <v>0.9</v>
      </c>
      <c r="L610" s="2026">
        <v>0.9</v>
      </c>
      <c r="M610" s="2027">
        <f t="shared" si="426"/>
        <v>-799.29061832812488</v>
      </c>
      <c r="N610" s="2027">
        <f t="shared" si="426"/>
        <v>-799.29061832812488</v>
      </c>
      <c r="O610" s="2027">
        <f t="shared" si="426"/>
        <v>-799.29061832812488</v>
      </c>
      <c r="P610" s="2027">
        <f t="shared" si="426"/>
        <v>-799.29061832812488</v>
      </c>
      <c r="Q610" s="2026">
        <v>0.9</v>
      </c>
      <c r="R610" s="2026">
        <v>0.9</v>
      </c>
      <c r="S610" s="2026">
        <v>0.9</v>
      </c>
      <c r="T610" s="2026">
        <v>0.9</v>
      </c>
      <c r="U610" s="2028">
        <f t="shared" si="427"/>
        <v>0</v>
      </c>
      <c r="V610" s="2028">
        <f t="shared" si="427"/>
        <v>0</v>
      </c>
      <c r="W610" s="2028">
        <f t="shared" si="427"/>
        <v>0</v>
      </c>
      <c r="X610" s="2028">
        <f t="shared" si="427"/>
        <v>0</v>
      </c>
      <c r="Y610" s="2026">
        <v>0.9</v>
      </c>
      <c r="Z610" s="2026">
        <v>0.9</v>
      </c>
      <c r="AA610" s="2026">
        <v>0.9</v>
      </c>
      <c r="AB610" s="2026">
        <v>0.9</v>
      </c>
      <c r="AC610" s="2027">
        <f t="shared" si="428"/>
        <v>562.4926875000001</v>
      </c>
      <c r="AD610" s="2027">
        <f t="shared" si="428"/>
        <v>562.4926875000001</v>
      </c>
      <c r="AE610" s="2027">
        <f t="shared" si="428"/>
        <v>562.4926875000001</v>
      </c>
      <c r="AF610" s="2027">
        <f t="shared" si="428"/>
        <v>562.4926875000001</v>
      </c>
      <c r="AG610" s="2027">
        <v>0</v>
      </c>
      <c r="AH610" s="2028"/>
      <c r="AI610" s="2028"/>
      <c r="AJ610" s="2028"/>
      <c r="AK610" s="2027">
        <f t="shared" si="434"/>
        <v>0</v>
      </c>
      <c r="AL610" s="2027">
        <f t="shared" si="433"/>
        <v>0</v>
      </c>
      <c r="AM610" s="2027">
        <f t="shared" si="433"/>
        <v>0</v>
      </c>
      <c r="AN610" s="2027">
        <f t="shared" si="433"/>
        <v>0</v>
      </c>
      <c r="AO610" s="2027">
        <f t="shared" si="429"/>
        <v>0</v>
      </c>
      <c r="AP610" s="2027">
        <f t="shared" si="421"/>
        <v>0</v>
      </c>
      <c r="AQ610" s="2027">
        <f t="shared" si="421"/>
        <v>0</v>
      </c>
      <c r="AR610" s="2027">
        <f t="shared" si="421"/>
        <v>0</v>
      </c>
      <c r="AS610" s="2124">
        <f t="shared" si="439"/>
        <v>0</v>
      </c>
      <c r="AT610" s="2029">
        <f t="shared" si="422"/>
        <v>0</v>
      </c>
      <c r="AU610" s="2029">
        <f t="shared" si="422"/>
        <v>0</v>
      </c>
      <c r="AV610" s="2029">
        <f t="shared" si="422"/>
        <v>0</v>
      </c>
      <c r="AW610" s="2124">
        <f t="shared" si="419"/>
        <v>1500</v>
      </c>
      <c r="AX610" s="2029">
        <f t="shared" si="388"/>
        <v>1500</v>
      </c>
      <c r="AY610" s="2029">
        <f t="shared" si="388"/>
        <v>1500</v>
      </c>
      <c r="AZ610" s="2029">
        <f t="shared" si="388"/>
        <v>1500</v>
      </c>
      <c r="BA610" s="2124">
        <f t="shared" si="436"/>
        <v>8650</v>
      </c>
      <c r="BB610" s="2029">
        <f t="shared" si="436"/>
        <v>8650</v>
      </c>
      <c r="BC610" s="2029">
        <f t="shared" si="436"/>
        <v>8650</v>
      </c>
      <c r="BD610" s="2029">
        <f t="shared" si="436"/>
        <v>8650</v>
      </c>
      <c r="BE610" s="2030">
        <f t="shared" si="430"/>
        <v>0</v>
      </c>
      <c r="BF610" s="2030">
        <f t="shared" si="430"/>
        <v>0</v>
      </c>
      <c r="BG610" s="2030">
        <f t="shared" si="430"/>
        <v>0</v>
      </c>
      <c r="BH610" s="2030">
        <f t="shared" si="430"/>
        <v>0</v>
      </c>
      <c r="BI610" s="2030">
        <f t="shared" si="431"/>
        <v>0</v>
      </c>
      <c r="BJ610" s="2030">
        <f t="shared" si="431"/>
        <v>0</v>
      </c>
      <c r="BK610" s="2030">
        <f t="shared" si="431"/>
        <v>0</v>
      </c>
      <c r="BL610" s="2030">
        <f t="shared" si="431"/>
        <v>0</v>
      </c>
      <c r="BM610" s="2125"/>
      <c r="BN610" s="2125"/>
      <c r="BO610" s="2125"/>
      <c r="BP610" s="2125"/>
      <c r="BQ610" s="2125"/>
      <c r="BR610" s="2125"/>
      <c r="BS610" s="2125"/>
      <c r="BT610" s="2125"/>
      <c r="BU610" s="2029"/>
      <c r="BV610" s="2029"/>
      <c r="BW610" s="2029"/>
      <c r="BX610" s="2029"/>
      <c r="BY610" s="2029"/>
      <c r="BZ610" s="2032"/>
      <c r="CA610" s="1974">
        <f t="shared" si="423"/>
        <v>0</v>
      </c>
      <c r="CB610" s="1974">
        <f t="shared" si="423"/>
        <v>0</v>
      </c>
      <c r="CC610" s="1974">
        <f t="shared" si="423"/>
        <v>0</v>
      </c>
      <c r="CD610" s="1974">
        <f t="shared" si="423"/>
        <v>0</v>
      </c>
      <c r="CE610" s="1974">
        <f t="shared" si="423"/>
        <v>0</v>
      </c>
      <c r="CF610" s="2033">
        <v>0</v>
      </c>
      <c r="CG610" s="2026">
        <v>0</v>
      </c>
      <c r="CH610" s="2009">
        <f t="shared" si="424"/>
        <v>0</v>
      </c>
      <c r="CI610" s="2031">
        <f t="shared" si="424"/>
        <v>0</v>
      </c>
      <c r="CJ610" s="1974">
        <f t="shared" si="424"/>
        <v>0</v>
      </c>
      <c r="CK610" s="2031">
        <f t="shared" si="424"/>
        <v>0</v>
      </c>
      <c r="CL610" s="2026">
        <v>1</v>
      </c>
      <c r="CM610" s="2026">
        <v>1</v>
      </c>
      <c r="CN610" s="2026">
        <v>1</v>
      </c>
      <c r="CO610" s="2026">
        <v>1</v>
      </c>
      <c r="CP610" s="2035"/>
      <c r="CQ610" s="2036"/>
      <c r="CR610" s="2036"/>
      <c r="CS610" s="2036"/>
      <c r="CT610" s="2036"/>
      <c r="CU610" s="2036"/>
      <c r="CV610" s="1973">
        <v>1</v>
      </c>
      <c r="CW610" s="1973">
        <v>0</v>
      </c>
      <c r="CX610" s="2037">
        <v>1500</v>
      </c>
      <c r="CY610" s="2037">
        <v>1500</v>
      </c>
      <c r="CZ610" s="2037">
        <v>1500</v>
      </c>
      <c r="DA610" s="2037">
        <v>1500</v>
      </c>
      <c r="DJ610" s="1976">
        <v>0</v>
      </c>
      <c r="DK610" s="1973">
        <v>0</v>
      </c>
      <c r="DL610" s="1973">
        <v>0</v>
      </c>
      <c r="DM610" s="1973">
        <v>0</v>
      </c>
      <c r="DO610" s="2027">
        <v>10</v>
      </c>
      <c r="DP610" s="2144">
        <v>-888.10068703124989</v>
      </c>
      <c r="DQ610" s="2145">
        <v>0</v>
      </c>
      <c r="DR610" s="2027">
        <v>624.99187500000005</v>
      </c>
      <c r="DS610" s="2124">
        <v>0</v>
      </c>
      <c r="DT610" s="2029">
        <v>0</v>
      </c>
      <c r="DU610" s="2029">
        <v>0</v>
      </c>
      <c r="DV610" s="2029">
        <v>0</v>
      </c>
      <c r="DW610" s="2124">
        <v>1500</v>
      </c>
      <c r="DX610" s="2029">
        <v>1500</v>
      </c>
      <c r="DY610" s="2029">
        <v>1500</v>
      </c>
      <c r="DZ610" s="2029">
        <v>1500</v>
      </c>
      <c r="EA610" s="2124">
        <v>8650</v>
      </c>
      <c r="EB610" s="2029">
        <v>8650</v>
      </c>
      <c r="EC610" s="2029">
        <v>8650</v>
      </c>
      <c r="ED610" s="2029">
        <v>8650</v>
      </c>
      <c r="EE610" s="2039">
        <f t="shared" si="412"/>
        <v>0</v>
      </c>
      <c r="EF610" s="2039">
        <f t="shared" si="412"/>
        <v>0</v>
      </c>
      <c r="EG610" s="2039">
        <f t="shared" si="412"/>
        <v>0</v>
      </c>
      <c r="EH610" s="2039">
        <f t="shared" si="412"/>
        <v>0</v>
      </c>
      <c r="EI610" s="2040">
        <f t="shared" si="437"/>
        <v>0</v>
      </c>
      <c r="EJ610" s="2040">
        <f t="shared" si="437"/>
        <v>0</v>
      </c>
      <c r="EK610" s="2040">
        <f t="shared" si="437"/>
        <v>0</v>
      </c>
      <c r="EL610" s="2040">
        <f t="shared" si="437"/>
        <v>0</v>
      </c>
      <c r="EM610" s="2040">
        <f t="shared" si="437"/>
        <v>0</v>
      </c>
      <c r="EN610" s="2040">
        <f t="shared" si="437"/>
        <v>0</v>
      </c>
      <c r="EO610" s="2040">
        <f t="shared" si="417"/>
        <v>0</v>
      </c>
      <c r="EP610" s="2040">
        <f t="shared" si="417"/>
        <v>0</v>
      </c>
      <c r="EQ610" s="2040">
        <f t="shared" si="417"/>
        <v>0</v>
      </c>
      <c r="ER610" s="2040">
        <f t="shared" si="393"/>
        <v>0</v>
      </c>
      <c r="ES610" s="2040">
        <f t="shared" si="393"/>
        <v>0</v>
      </c>
      <c r="ET610" s="2040">
        <f t="shared" si="393"/>
        <v>0</v>
      </c>
      <c r="EU610" s="2039">
        <f t="shared" si="413"/>
        <v>0</v>
      </c>
      <c r="EV610" s="2039">
        <f t="shared" si="414"/>
        <v>0</v>
      </c>
    </row>
    <row r="611" spans="1:152" x14ac:dyDescent="0.25">
      <c r="A611" s="2149" t="s">
        <v>254</v>
      </c>
      <c r="B611" s="1974" t="str">
        <f t="shared" si="438"/>
        <v/>
      </c>
      <c r="C611" s="2027">
        <f t="shared" si="425"/>
        <v>10</v>
      </c>
      <c r="D611" s="2144">
        <f t="shared" si="425"/>
        <v>-502.36652362500001</v>
      </c>
      <c r="E611" s="2145">
        <f t="shared" si="425"/>
        <v>0</v>
      </c>
      <c r="F611" s="2027">
        <f t="shared" si="425"/>
        <v>717.88950000000011</v>
      </c>
      <c r="G611" s="1974" t="s">
        <v>2988</v>
      </c>
      <c r="H611" s="1974" t="s">
        <v>2988</v>
      </c>
      <c r="I611" s="2026">
        <v>0.9</v>
      </c>
      <c r="J611" s="2026">
        <v>0.9</v>
      </c>
      <c r="K611" s="2026">
        <v>0.9</v>
      </c>
      <c r="L611" s="2026">
        <v>0.9</v>
      </c>
      <c r="M611" s="2027">
        <f t="shared" si="426"/>
        <v>-452.12987126250005</v>
      </c>
      <c r="N611" s="2027">
        <f t="shared" si="426"/>
        <v>-452.12987126250005</v>
      </c>
      <c r="O611" s="2027">
        <f t="shared" si="426"/>
        <v>-452.12987126250005</v>
      </c>
      <c r="P611" s="2027">
        <f t="shared" si="426"/>
        <v>-452.12987126250005</v>
      </c>
      <c r="Q611" s="2026">
        <v>0.9</v>
      </c>
      <c r="R611" s="2026">
        <v>0.9</v>
      </c>
      <c r="S611" s="2026">
        <v>0.9</v>
      </c>
      <c r="T611" s="2026">
        <v>0.9</v>
      </c>
      <c r="U611" s="2028">
        <f t="shared" si="427"/>
        <v>0</v>
      </c>
      <c r="V611" s="2028">
        <f t="shared" si="427"/>
        <v>0</v>
      </c>
      <c r="W611" s="2028">
        <f t="shared" si="427"/>
        <v>0</v>
      </c>
      <c r="X611" s="2028">
        <f t="shared" si="427"/>
        <v>0</v>
      </c>
      <c r="Y611" s="2026">
        <v>0.9</v>
      </c>
      <c r="Z611" s="2026">
        <v>0.9</v>
      </c>
      <c r="AA611" s="2026">
        <v>0.9</v>
      </c>
      <c r="AB611" s="2026">
        <v>0.9</v>
      </c>
      <c r="AC611" s="2027">
        <f t="shared" si="428"/>
        <v>646.10055000000011</v>
      </c>
      <c r="AD611" s="2027">
        <f t="shared" si="428"/>
        <v>646.10055000000011</v>
      </c>
      <c r="AE611" s="2027">
        <f t="shared" si="428"/>
        <v>646.10055000000011</v>
      </c>
      <c r="AF611" s="2027">
        <f t="shared" si="428"/>
        <v>646.10055000000011</v>
      </c>
      <c r="AG611" s="2027">
        <v>0</v>
      </c>
      <c r="AH611" s="2028"/>
      <c r="AI611" s="2028"/>
      <c r="AJ611" s="2028"/>
      <c r="AK611" s="2027">
        <f t="shared" si="434"/>
        <v>0</v>
      </c>
      <c r="AL611" s="2027">
        <f t="shared" si="433"/>
        <v>0</v>
      </c>
      <c r="AM611" s="2027">
        <f t="shared" si="433"/>
        <v>0</v>
      </c>
      <c r="AN611" s="2027">
        <f t="shared" si="433"/>
        <v>0</v>
      </c>
      <c r="AO611" s="2027">
        <f t="shared" si="429"/>
        <v>0</v>
      </c>
      <c r="AP611" s="2027">
        <f t="shared" si="421"/>
        <v>0</v>
      </c>
      <c r="AQ611" s="2027">
        <f t="shared" si="421"/>
        <v>0</v>
      </c>
      <c r="AR611" s="2027">
        <f t="shared" si="421"/>
        <v>0</v>
      </c>
      <c r="AS611" s="2124">
        <f t="shared" si="439"/>
        <v>0</v>
      </c>
      <c r="AT611" s="2029">
        <f t="shared" si="422"/>
        <v>0</v>
      </c>
      <c r="AU611" s="2029">
        <f t="shared" si="422"/>
        <v>0</v>
      </c>
      <c r="AV611" s="2029">
        <f t="shared" si="422"/>
        <v>0</v>
      </c>
      <c r="AW611" s="2124">
        <f t="shared" si="419"/>
        <v>1500</v>
      </c>
      <c r="AX611" s="2029">
        <f t="shared" ref="AX611:AZ665" si="440">$AW611</f>
        <v>1500</v>
      </c>
      <c r="AY611" s="2029">
        <f t="shared" si="440"/>
        <v>1500</v>
      </c>
      <c r="AZ611" s="2029">
        <f t="shared" si="440"/>
        <v>1500</v>
      </c>
      <c r="BA611" s="2124">
        <f t="shared" si="436"/>
        <v>8700</v>
      </c>
      <c r="BB611" s="2029">
        <f t="shared" si="436"/>
        <v>8700</v>
      </c>
      <c r="BC611" s="2029">
        <f t="shared" si="436"/>
        <v>8700</v>
      </c>
      <c r="BD611" s="2029">
        <f t="shared" si="436"/>
        <v>8700</v>
      </c>
      <c r="BE611" s="2030">
        <f t="shared" si="430"/>
        <v>0</v>
      </c>
      <c r="BF611" s="2030">
        <f t="shared" si="430"/>
        <v>0</v>
      </c>
      <c r="BG611" s="2030">
        <f t="shared" si="430"/>
        <v>0</v>
      </c>
      <c r="BH611" s="2030">
        <f t="shared" si="430"/>
        <v>0</v>
      </c>
      <c r="BI611" s="2030">
        <f t="shared" si="431"/>
        <v>0</v>
      </c>
      <c r="BJ611" s="2030">
        <f t="shared" si="431"/>
        <v>0</v>
      </c>
      <c r="BK611" s="2030">
        <f t="shared" si="431"/>
        <v>0</v>
      </c>
      <c r="BL611" s="2030">
        <f t="shared" si="431"/>
        <v>0</v>
      </c>
      <c r="BM611" s="2125"/>
      <c r="BN611" s="2125"/>
      <c r="BO611" s="2125"/>
      <c r="BP611" s="2125"/>
      <c r="BQ611" s="2125"/>
      <c r="BR611" s="2125"/>
      <c r="BS611" s="2125"/>
      <c r="BT611" s="2125"/>
      <c r="BU611" s="2029"/>
      <c r="BV611" s="2029"/>
      <c r="BW611" s="2029"/>
      <c r="BX611" s="2029"/>
      <c r="BY611" s="2029"/>
      <c r="BZ611" s="2032"/>
      <c r="CA611" s="1974">
        <f t="shared" ref="CA611:CE626" si="441">CA150</f>
        <v>0</v>
      </c>
      <c r="CB611" s="1974">
        <f t="shared" si="441"/>
        <v>0</v>
      </c>
      <c r="CC611" s="1974">
        <f t="shared" si="441"/>
        <v>0</v>
      </c>
      <c r="CD611" s="1974">
        <f t="shared" si="441"/>
        <v>0</v>
      </c>
      <c r="CE611" s="1974">
        <f t="shared" si="441"/>
        <v>0</v>
      </c>
      <c r="CF611" s="2033">
        <v>0</v>
      </c>
      <c r="CG611" s="2026">
        <v>0</v>
      </c>
      <c r="CH611" s="2009">
        <f t="shared" ref="CH611:CK626" si="442">CH150</f>
        <v>0</v>
      </c>
      <c r="CI611" s="2031">
        <f t="shared" si="442"/>
        <v>0</v>
      </c>
      <c r="CJ611" s="1974">
        <f t="shared" si="442"/>
        <v>0</v>
      </c>
      <c r="CK611" s="2031">
        <f t="shared" si="442"/>
        <v>0</v>
      </c>
      <c r="CL611" s="2026">
        <v>1</v>
      </c>
      <c r="CM611" s="2026">
        <v>1</v>
      </c>
      <c r="CN611" s="2026">
        <v>1</v>
      </c>
      <c r="CO611" s="2026">
        <v>1</v>
      </c>
      <c r="CP611" s="2035"/>
      <c r="CQ611" s="2036"/>
      <c r="CR611" s="2036"/>
      <c r="CS611" s="2036"/>
      <c r="CT611" s="2036"/>
      <c r="CU611" s="2036"/>
      <c r="CV611" s="1973">
        <v>1</v>
      </c>
      <c r="CW611" s="1973">
        <v>0</v>
      </c>
      <c r="CX611" s="2037">
        <v>1500</v>
      </c>
      <c r="CY611" s="2037">
        <v>1500</v>
      </c>
      <c r="CZ611" s="2037">
        <v>1500</v>
      </c>
      <c r="DA611" s="2037">
        <v>1500</v>
      </c>
      <c r="DJ611" s="1976">
        <v>0</v>
      </c>
      <c r="DK611" s="1973">
        <v>0</v>
      </c>
      <c r="DL611" s="1973">
        <v>0</v>
      </c>
      <c r="DM611" s="1973">
        <v>0</v>
      </c>
      <c r="DO611" s="2027">
        <v>10</v>
      </c>
      <c r="DP611" s="2144">
        <v>-502.36652362500001</v>
      </c>
      <c r="DQ611" s="2145">
        <v>0</v>
      </c>
      <c r="DR611" s="2027">
        <v>717.88950000000011</v>
      </c>
      <c r="DS611" s="2124">
        <v>0</v>
      </c>
      <c r="DT611" s="2029">
        <v>0</v>
      </c>
      <c r="DU611" s="2029">
        <v>0</v>
      </c>
      <c r="DV611" s="2029">
        <v>0</v>
      </c>
      <c r="DW611" s="2124">
        <v>1500</v>
      </c>
      <c r="DX611" s="2029">
        <v>1500</v>
      </c>
      <c r="DY611" s="2029">
        <v>1500</v>
      </c>
      <c r="DZ611" s="2029">
        <v>1500</v>
      </c>
      <c r="EA611" s="2124">
        <v>8700</v>
      </c>
      <c r="EB611" s="2029">
        <v>8700</v>
      </c>
      <c r="EC611" s="2029">
        <v>8700</v>
      </c>
      <c r="ED611" s="2029">
        <v>8700</v>
      </c>
      <c r="EE611" s="2039">
        <f t="shared" si="412"/>
        <v>0</v>
      </c>
      <c r="EF611" s="2039">
        <f t="shared" si="412"/>
        <v>0</v>
      </c>
      <c r="EG611" s="2039">
        <f t="shared" si="412"/>
        <v>0</v>
      </c>
      <c r="EH611" s="2039">
        <f t="shared" si="412"/>
        <v>0</v>
      </c>
      <c r="EI611" s="2040">
        <f t="shared" si="437"/>
        <v>0</v>
      </c>
      <c r="EJ611" s="2040">
        <f t="shared" si="437"/>
        <v>0</v>
      </c>
      <c r="EK611" s="2040">
        <f t="shared" si="437"/>
        <v>0</v>
      </c>
      <c r="EL611" s="2040">
        <f t="shared" si="437"/>
        <v>0</v>
      </c>
      <c r="EM611" s="2040">
        <f t="shared" si="437"/>
        <v>0</v>
      </c>
      <c r="EN611" s="2040">
        <f t="shared" si="437"/>
        <v>0</v>
      </c>
      <c r="EO611" s="2040">
        <f t="shared" si="417"/>
        <v>0</v>
      </c>
      <c r="EP611" s="2040">
        <f t="shared" si="417"/>
        <v>0</v>
      </c>
      <c r="EQ611" s="2040">
        <f t="shared" si="417"/>
        <v>0</v>
      </c>
      <c r="ER611" s="2040">
        <f t="shared" si="393"/>
        <v>0</v>
      </c>
      <c r="ES611" s="2040">
        <f t="shared" si="393"/>
        <v>0</v>
      </c>
      <c r="ET611" s="2040">
        <f t="shared" si="393"/>
        <v>0</v>
      </c>
      <c r="EU611" s="2039">
        <f t="shared" si="413"/>
        <v>0</v>
      </c>
      <c r="EV611" s="2039">
        <f t="shared" si="414"/>
        <v>0</v>
      </c>
    </row>
    <row r="612" spans="1:152" x14ac:dyDescent="0.25">
      <c r="A612" s="2149" t="s">
        <v>255</v>
      </c>
      <c r="B612" s="1974" t="str">
        <f t="shared" si="438"/>
        <v/>
      </c>
      <c r="C612" s="2027">
        <f t="shared" ref="C612:F626" si="443">C151</f>
        <v>10</v>
      </c>
      <c r="D612" s="2144">
        <f t="shared" si="443"/>
        <v>20.697080156250195</v>
      </c>
      <c r="E612" s="2145">
        <f t="shared" si="443"/>
        <v>0</v>
      </c>
      <c r="F612" s="2027">
        <f t="shared" si="443"/>
        <v>843.86062500000014</v>
      </c>
      <c r="G612" s="1974" t="s">
        <v>2988</v>
      </c>
      <c r="H612" s="1974" t="s">
        <v>2988</v>
      </c>
      <c r="I612" s="2026">
        <v>0.9</v>
      </c>
      <c r="J612" s="2026">
        <v>0.9</v>
      </c>
      <c r="K612" s="2026">
        <v>0.9</v>
      </c>
      <c r="L612" s="2026">
        <v>0.9</v>
      </c>
      <c r="M612" s="2027">
        <f t="shared" si="426"/>
        <v>18.627372140625177</v>
      </c>
      <c r="N612" s="2027">
        <f t="shared" si="426"/>
        <v>18.627372140625177</v>
      </c>
      <c r="O612" s="2027">
        <f t="shared" si="426"/>
        <v>18.627372140625177</v>
      </c>
      <c r="P612" s="2027">
        <f t="shared" si="426"/>
        <v>18.627372140625177</v>
      </c>
      <c r="Q612" s="2026">
        <v>0.9</v>
      </c>
      <c r="R612" s="2026">
        <v>0.9</v>
      </c>
      <c r="S612" s="2026">
        <v>0.9</v>
      </c>
      <c r="T612" s="2026">
        <v>0.9</v>
      </c>
      <c r="U612" s="2028">
        <f t="shared" si="427"/>
        <v>0</v>
      </c>
      <c r="V612" s="2028">
        <f t="shared" si="427"/>
        <v>0</v>
      </c>
      <c r="W612" s="2028">
        <f t="shared" si="427"/>
        <v>0</v>
      </c>
      <c r="X612" s="2028">
        <f t="shared" si="427"/>
        <v>0</v>
      </c>
      <c r="Y612" s="2026">
        <v>0.9</v>
      </c>
      <c r="Z612" s="2026">
        <v>0.9</v>
      </c>
      <c r="AA612" s="2026">
        <v>0.9</v>
      </c>
      <c r="AB612" s="2026">
        <v>0.9</v>
      </c>
      <c r="AC612" s="2027">
        <f t="shared" si="428"/>
        <v>759.47456250000016</v>
      </c>
      <c r="AD612" s="2027">
        <f t="shared" si="428"/>
        <v>759.47456250000016</v>
      </c>
      <c r="AE612" s="2027">
        <f t="shared" si="428"/>
        <v>759.47456250000016</v>
      </c>
      <c r="AF612" s="2027">
        <f t="shared" si="428"/>
        <v>759.47456250000016</v>
      </c>
      <c r="AG612" s="2027">
        <v>0</v>
      </c>
      <c r="AH612" s="2028"/>
      <c r="AI612" s="2028"/>
      <c r="AJ612" s="2028"/>
      <c r="AK612" s="2027">
        <f t="shared" si="434"/>
        <v>0</v>
      </c>
      <c r="AL612" s="2027">
        <f t="shared" si="433"/>
        <v>0</v>
      </c>
      <c r="AM612" s="2027">
        <f t="shared" si="433"/>
        <v>0</v>
      </c>
      <c r="AN612" s="2027">
        <f t="shared" si="433"/>
        <v>0</v>
      </c>
      <c r="AO612" s="2027">
        <f t="shared" si="429"/>
        <v>0</v>
      </c>
      <c r="AP612" s="2027">
        <f t="shared" si="421"/>
        <v>0</v>
      </c>
      <c r="AQ612" s="2027">
        <f t="shared" si="421"/>
        <v>0</v>
      </c>
      <c r="AR612" s="2027">
        <f t="shared" si="421"/>
        <v>0</v>
      </c>
      <c r="AS612" s="2124">
        <f t="shared" si="439"/>
        <v>0</v>
      </c>
      <c r="AT612" s="2029">
        <f t="shared" si="422"/>
        <v>0</v>
      </c>
      <c r="AU612" s="2029">
        <f t="shared" si="422"/>
        <v>0</v>
      </c>
      <c r="AV612" s="2029">
        <f t="shared" si="422"/>
        <v>0</v>
      </c>
      <c r="AW612" s="2124">
        <f t="shared" si="419"/>
        <v>1500</v>
      </c>
      <c r="AX612" s="2029">
        <f t="shared" si="440"/>
        <v>1500</v>
      </c>
      <c r="AY612" s="2029">
        <f t="shared" si="440"/>
        <v>1500</v>
      </c>
      <c r="AZ612" s="2029">
        <f t="shared" si="440"/>
        <v>1500</v>
      </c>
      <c r="BA612" s="2124">
        <f t="shared" si="436"/>
        <v>8750</v>
      </c>
      <c r="BB612" s="2029">
        <f t="shared" si="436"/>
        <v>8750</v>
      </c>
      <c r="BC612" s="2029">
        <f t="shared" si="436"/>
        <v>8750</v>
      </c>
      <c r="BD612" s="2029">
        <f t="shared" si="436"/>
        <v>8750</v>
      </c>
      <c r="BE612" s="2030">
        <f t="shared" si="430"/>
        <v>0</v>
      </c>
      <c r="BF612" s="2030">
        <f t="shared" si="430"/>
        <v>0</v>
      </c>
      <c r="BG612" s="2030">
        <f t="shared" si="430"/>
        <v>0</v>
      </c>
      <c r="BH612" s="2030">
        <f t="shared" si="430"/>
        <v>0</v>
      </c>
      <c r="BI612" s="2030">
        <f t="shared" si="431"/>
        <v>0</v>
      </c>
      <c r="BJ612" s="2030">
        <f t="shared" si="431"/>
        <v>0</v>
      </c>
      <c r="BK612" s="2030">
        <f t="shared" si="431"/>
        <v>0</v>
      </c>
      <c r="BL612" s="2030">
        <f t="shared" si="431"/>
        <v>0</v>
      </c>
      <c r="BM612" s="2125"/>
      <c r="BN612" s="2125"/>
      <c r="BO612" s="2125"/>
      <c r="BP612" s="2125"/>
      <c r="BQ612" s="2125"/>
      <c r="BR612" s="2125"/>
      <c r="BS612" s="2125"/>
      <c r="BT612" s="2125"/>
      <c r="BU612" s="2029"/>
      <c r="BV612" s="2029"/>
      <c r="BW612" s="2029"/>
      <c r="BX612" s="2029"/>
      <c r="BY612" s="2029"/>
      <c r="BZ612" s="2032"/>
      <c r="CA612" s="1974">
        <f t="shared" si="441"/>
        <v>0</v>
      </c>
      <c r="CB612" s="1974">
        <f t="shared" si="441"/>
        <v>0</v>
      </c>
      <c r="CC612" s="1974">
        <f t="shared" si="441"/>
        <v>0</v>
      </c>
      <c r="CD612" s="1974">
        <f t="shared" si="441"/>
        <v>0</v>
      </c>
      <c r="CE612" s="1974">
        <f t="shared" si="441"/>
        <v>0</v>
      </c>
      <c r="CF612" s="2033">
        <v>0</v>
      </c>
      <c r="CG612" s="2026">
        <v>0</v>
      </c>
      <c r="CH612" s="2009">
        <f t="shared" si="442"/>
        <v>0</v>
      </c>
      <c r="CI612" s="2031">
        <f t="shared" si="442"/>
        <v>0</v>
      </c>
      <c r="CJ612" s="1974">
        <f t="shared" si="442"/>
        <v>0</v>
      </c>
      <c r="CK612" s="2031">
        <f t="shared" si="442"/>
        <v>0</v>
      </c>
      <c r="CL612" s="2026">
        <v>1</v>
      </c>
      <c r="CM612" s="2026">
        <v>1</v>
      </c>
      <c r="CN612" s="2026">
        <v>1</v>
      </c>
      <c r="CO612" s="2026">
        <v>1</v>
      </c>
      <c r="CP612" s="2035"/>
      <c r="CQ612" s="2036"/>
      <c r="CR612" s="2036"/>
      <c r="CS612" s="2036"/>
      <c r="CT612" s="2036"/>
      <c r="CU612" s="2036"/>
      <c r="CV612" s="1973">
        <v>1</v>
      </c>
      <c r="CW612" s="1973">
        <v>0</v>
      </c>
      <c r="CX612" s="2037">
        <v>1500</v>
      </c>
      <c r="CY612" s="2037">
        <v>1500</v>
      </c>
      <c r="CZ612" s="2037">
        <v>1500</v>
      </c>
      <c r="DA612" s="2037">
        <v>1500</v>
      </c>
      <c r="DJ612" s="1976">
        <v>0</v>
      </c>
      <c r="DK612" s="1973">
        <v>0</v>
      </c>
      <c r="DL612" s="1973">
        <v>0</v>
      </c>
      <c r="DM612" s="1973">
        <v>0</v>
      </c>
      <c r="DO612" s="2027">
        <v>10</v>
      </c>
      <c r="DP612" s="2144">
        <v>20.697080156250195</v>
      </c>
      <c r="DQ612" s="2145">
        <v>0</v>
      </c>
      <c r="DR612" s="2027">
        <v>843.86062500000014</v>
      </c>
      <c r="DS612" s="2124">
        <v>0</v>
      </c>
      <c r="DT612" s="2029">
        <v>0</v>
      </c>
      <c r="DU612" s="2029">
        <v>0</v>
      </c>
      <c r="DV612" s="2029">
        <v>0</v>
      </c>
      <c r="DW612" s="2124">
        <v>1500</v>
      </c>
      <c r="DX612" s="2029">
        <v>1500</v>
      </c>
      <c r="DY612" s="2029">
        <v>1500</v>
      </c>
      <c r="DZ612" s="2029">
        <v>1500</v>
      </c>
      <c r="EA612" s="2124">
        <v>8750</v>
      </c>
      <c r="EB612" s="2029">
        <v>8750</v>
      </c>
      <c r="EC612" s="2029">
        <v>8750</v>
      </c>
      <c r="ED612" s="2029">
        <v>8750</v>
      </c>
      <c r="EE612" s="2039">
        <f t="shared" si="412"/>
        <v>0</v>
      </c>
      <c r="EF612" s="2039">
        <f t="shared" si="412"/>
        <v>0</v>
      </c>
      <c r="EG612" s="2039">
        <f t="shared" si="412"/>
        <v>0</v>
      </c>
      <c r="EH612" s="2039">
        <f t="shared" si="412"/>
        <v>0</v>
      </c>
      <c r="EI612" s="2040">
        <f t="shared" si="437"/>
        <v>0</v>
      </c>
      <c r="EJ612" s="2040">
        <f t="shared" si="437"/>
        <v>0</v>
      </c>
      <c r="EK612" s="2040">
        <f t="shared" si="437"/>
        <v>0</v>
      </c>
      <c r="EL612" s="2040">
        <f t="shared" si="437"/>
        <v>0</v>
      </c>
      <c r="EM612" s="2040">
        <f t="shared" si="437"/>
        <v>0</v>
      </c>
      <c r="EN612" s="2040">
        <f t="shared" si="437"/>
        <v>0</v>
      </c>
      <c r="EO612" s="2040">
        <f t="shared" si="417"/>
        <v>0</v>
      </c>
      <c r="EP612" s="2040">
        <f t="shared" si="417"/>
        <v>0</v>
      </c>
      <c r="EQ612" s="2040">
        <f t="shared" si="417"/>
        <v>0</v>
      </c>
      <c r="ER612" s="2040">
        <f t="shared" si="393"/>
        <v>0</v>
      </c>
      <c r="ES612" s="2040">
        <f t="shared" si="393"/>
        <v>0</v>
      </c>
      <c r="ET612" s="2040">
        <f t="shared" si="393"/>
        <v>0</v>
      </c>
      <c r="EU612" s="2039">
        <f t="shared" si="413"/>
        <v>0</v>
      </c>
      <c r="EV612" s="2039">
        <f t="shared" si="414"/>
        <v>0</v>
      </c>
    </row>
    <row r="613" spans="1:152" x14ac:dyDescent="0.25">
      <c r="A613" s="2149" t="s">
        <v>256</v>
      </c>
      <c r="B613" s="1974" t="str">
        <f t="shared" si="438"/>
        <v/>
      </c>
      <c r="C613" s="2027">
        <f t="shared" si="443"/>
        <v>10</v>
      </c>
      <c r="D613" s="2144">
        <f t="shared" si="443"/>
        <v>654.83596659374984</v>
      </c>
      <c r="E613" s="2145">
        <f t="shared" si="443"/>
        <v>0</v>
      </c>
      <c r="F613" s="2027">
        <f t="shared" si="443"/>
        <v>996.58237499999996</v>
      </c>
      <c r="G613" s="1974" t="s">
        <v>2988</v>
      </c>
      <c r="H613" s="1974" t="s">
        <v>2988</v>
      </c>
      <c r="I613" s="2026">
        <v>0.9</v>
      </c>
      <c r="J613" s="2026">
        <v>0.9</v>
      </c>
      <c r="K613" s="2026">
        <v>0.9</v>
      </c>
      <c r="L613" s="2026">
        <v>0.9</v>
      </c>
      <c r="M613" s="2027">
        <f t="shared" si="426"/>
        <v>589.35236993437491</v>
      </c>
      <c r="N613" s="2027">
        <f t="shared" si="426"/>
        <v>589.35236993437491</v>
      </c>
      <c r="O613" s="2027">
        <f t="shared" si="426"/>
        <v>589.35236993437491</v>
      </c>
      <c r="P613" s="2027">
        <f t="shared" si="426"/>
        <v>589.35236993437491</v>
      </c>
      <c r="Q613" s="2026">
        <v>0.9</v>
      </c>
      <c r="R613" s="2026">
        <v>0.9</v>
      </c>
      <c r="S613" s="2026">
        <v>0.9</v>
      </c>
      <c r="T613" s="2026">
        <v>0.9</v>
      </c>
      <c r="U613" s="2028">
        <f t="shared" si="427"/>
        <v>0</v>
      </c>
      <c r="V613" s="2028">
        <f t="shared" si="427"/>
        <v>0</v>
      </c>
      <c r="W613" s="2028">
        <f t="shared" si="427"/>
        <v>0</v>
      </c>
      <c r="X613" s="2028">
        <f t="shared" si="427"/>
        <v>0</v>
      </c>
      <c r="Y613" s="2026">
        <v>0.9</v>
      </c>
      <c r="Z613" s="2026">
        <v>0.9</v>
      </c>
      <c r="AA613" s="2026">
        <v>0.9</v>
      </c>
      <c r="AB613" s="2026">
        <v>0.9</v>
      </c>
      <c r="AC613" s="2027">
        <f t="shared" si="428"/>
        <v>896.92413750000003</v>
      </c>
      <c r="AD613" s="2027">
        <f t="shared" si="428"/>
        <v>896.92413750000003</v>
      </c>
      <c r="AE613" s="2027">
        <f t="shared" si="428"/>
        <v>896.92413750000003</v>
      </c>
      <c r="AF613" s="2027">
        <f t="shared" si="428"/>
        <v>896.92413750000003</v>
      </c>
      <c r="AG613" s="2027">
        <v>0</v>
      </c>
      <c r="AH613" s="2028"/>
      <c r="AI613" s="2028"/>
      <c r="AJ613" s="2028"/>
      <c r="AK613" s="2027">
        <f t="shared" si="434"/>
        <v>0</v>
      </c>
      <c r="AL613" s="2027">
        <f t="shared" si="433"/>
        <v>0</v>
      </c>
      <c r="AM613" s="2027">
        <f t="shared" si="433"/>
        <v>0</v>
      </c>
      <c r="AN613" s="2027">
        <f t="shared" si="433"/>
        <v>0</v>
      </c>
      <c r="AO613" s="2027">
        <f t="shared" si="429"/>
        <v>0</v>
      </c>
      <c r="AP613" s="2027">
        <f t="shared" si="421"/>
        <v>0</v>
      </c>
      <c r="AQ613" s="2027">
        <f t="shared" si="421"/>
        <v>0</v>
      </c>
      <c r="AR613" s="2027">
        <f t="shared" si="421"/>
        <v>0</v>
      </c>
      <c r="AS613" s="2124">
        <f t="shared" si="439"/>
        <v>90</v>
      </c>
      <c r="AT613" s="2029">
        <f t="shared" si="422"/>
        <v>90</v>
      </c>
      <c r="AU613" s="2029">
        <f t="shared" si="422"/>
        <v>90</v>
      </c>
      <c r="AV613" s="2029">
        <f t="shared" si="422"/>
        <v>90</v>
      </c>
      <c r="AW613" s="2124">
        <f t="shared" si="419"/>
        <v>1410</v>
      </c>
      <c r="AX613" s="2029">
        <f t="shared" si="440"/>
        <v>1410</v>
      </c>
      <c r="AY613" s="2029">
        <f t="shared" si="440"/>
        <v>1410</v>
      </c>
      <c r="AZ613" s="2029">
        <f t="shared" si="440"/>
        <v>1410</v>
      </c>
      <c r="BA613" s="2124">
        <f t="shared" si="436"/>
        <v>8800</v>
      </c>
      <c r="BB613" s="2029">
        <f t="shared" si="436"/>
        <v>8800</v>
      </c>
      <c r="BC613" s="2029">
        <f t="shared" si="436"/>
        <v>8800</v>
      </c>
      <c r="BD613" s="2029">
        <f t="shared" si="436"/>
        <v>8800</v>
      </c>
      <c r="BE613" s="2030">
        <f t="shared" si="430"/>
        <v>0</v>
      </c>
      <c r="BF613" s="2030">
        <f t="shared" si="430"/>
        <v>0</v>
      </c>
      <c r="BG613" s="2030">
        <f t="shared" si="430"/>
        <v>0</v>
      </c>
      <c r="BH613" s="2030">
        <f t="shared" si="430"/>
        <v>0</v>
      </c>
      <c r="BI613" s="2030">
        <f t="shared" si="431"/>
        <v>0</v>
      </c>
      <c r="BJ613" s="2030">
        <f t="shared" si="431"/>
        <v>0</v>
      </c>
      <c r="BK613" s="2030">
        <f t="shared" si="431"/>
        <v>0</v>
      </c>
      <c r="BL613" s="2030">
        <f t="shared" si="431"/>
        <v>0</v>
      </c>
      <c r="BM613" s="2125"/>
      <c r="BN613" s="2125"/>
      <c r="BO613" s="2125"/>
      <c r="BP613" s="2125"/>
      <c r="BQ613" s="2125"/>
      <c r="BR613" s="2125"/>
      <c r="BS613" s="2125"/>
      <c r="BT613" s="2125"/>
      <c r="BU613" s="2029"/>
      <c r="BV613" s="2029"/>
      <c r="BW613" s="2029"/>
      <c r="BX613" s="2029"/>
      <c r="BY613" s="2029"/>
      <c r="BZ613" s="2032"/>
      <c r="CA613" s="1974">
        <f t="shared" si="441"/>
        <v>0</v>
      </c>
      <c r="CB613" s="1974">
        <f t="shared" si="441"/>
        <v>0</v>
      </c>
      <c r="CC613" s="1974">
        <f t="shared" si="441"/>
        <v>0</v>
      </c>
      <c r="CD613" s="1974">
        <f t="shared" si="441"/>
        <v>0</v>
      </c>
      <c r="CE613" s="1974">
        <f t="shared" si="441"/>
        <v>0</v>
      </c>
      <c r="CF613" s="2033">
        <v>0</v>
      </c>
      <c r="CG613" s="2026">
        <v>0</v>
      </c>
      <c r="CH613" s="2009">
        <f t="shared" si="442"/>
        <v>0</v>
      </c>
      <c r="CI613" s="2031">
        <f t="shared" si="442"/>
        <v>0</v>
      </c>
      <c r="CJ613" s="1974">
        <f t="shared" si="442"/>
        <v>0</v>
      </c>
      <c r="CK613" s="2031">
        <f t="shared" si="442"/>
        <v>0</v>
      </c>
      <c r="CL613" s="2026">
        <v>1</v>
      </c>
      <c r="CM613" s="2026">
        <v>1</v>
      </c>
      <c r="CN613" s="2026">
        <v>1</v>
      </c>
      <c r="CO613" s="2026">
        <v>1</v>
      </c>
      <c r="CP613" s="2035"/>
      <c r="CQ613" s="2036"/>
      <c r="CR613" s="2036"/>
      <c r="CS613" s="2036"/>
      <c r="CT613" s="2036"/>
      <c r="CU613" s="2036"/>
      <c r="CV613" s="1973">
        <v>1</v>
      </c>
      <c r="CW613" s="1973">
        <v>0</v>
      </c>
      <c r="CX613" s="2037">
        <v>1500</v>
      </c>
      <c r="CY613" s="2037">
        <v>1500</v>
      </c>
      <c r="CZ613" s="2037">
        <v>1500</v>
      </c>
      <c r="DA613" s="2037">
        <v>1500</v>
      </c>
      <c r="DJ613" s="1976">
        <v>0</v>
      </c>
      <c r="DK613" s="1973">
        <v>0</v>
      </c>
      <c r="DL613" s="1973">
        <v>0</v>
      </c>
      <c r="DM613" s="1973">
        <v>0</v>
      </c>
      <c r="DO613" s="2027">
        <v>10</v>
      </c>
      <c r="DP613" s="2144">
        <v>654.83596659374984</v>
      </c>
      <c r="DQ613" s="2145">
        <v>0</v>
      </c>
      <c r="DR613" s="2027">
        <v>996.58237499999996</v>
      </c>
      <c r="DS613" s="2124">
        <v>90</v>
      </c>
      <c r="DT613" s="2029">
        <v>90</v>
      </c>
      <c r="DU613" s="2029">
        <v>90</v>
      </c>
      <c r="DV613" s="2029">
        <v>90</v>
      </c>
      <c r="DW613" s="2124">
        <v>1410</v>
      </c>
      <c r="DX613" s="2029">
        <v>1410</v>
      </c>
      <c r="DY613" s="2029">
        <v>1410</v>
      </c>
      <c r="DZ613" s="2029">
        <v>1410</v>
      </c>
      <c r="EA613" s="2124">
        <v>8800</v>
      </c>
      <c r="EB613" s="2029">
        <v>8800</v>
      </c>
      <c r="EC613" s="2029">
        <v>8800</v>
      </c>
      <c r="ED613" s="2029">
        <v>8800</v>
      </c>
      <c r="EE613" s="2039">
        <f t="shared" si="412"/>
        <v>0</v>
      </c>
      <c r="EF613" s="2039">
        <f t="shared" si="412"/>
        <v>0</v>
      </c>
      <c r="EG613" s="2039">
        <f t="shared" si="412"/>
        <v>0</v>
      </c>
      <c r="EH613" s="2039">
        <f t="shared" si="412"/>
        <v>0</v>
      </c>
      <c r="EI613" s="2040">
        <f t="shared" si="437"/>
        <v>0</v>
      </c>
      <c r="EJ613" s="2040">
        <f t="shared" si="437"/>
        <v>0</v>
      </c>
      <c r="EK613" s="2040">
        <f t="shared" si="437"/>
        <v>0</v>
      </c>
      <c r="EL613" s="2040">
        <f t="shared" si="437"/>
        <v>0</v>
      </c>
      <c r="EM613" s="2040">
        <f t="shared" si="437"/>
        <v>0</v>
      </c>
      <c r="EN613" s="2040">
        <f t="shared" si="437"/>
        <v>0</v>
      </c>
      <c r="EO613" s="2040">
        <f t="shared" si="417"/>
        <v>0</v>
      </c>
      <c r="EP613" s="2040">
        <f t="shared" si="417"/>
        <v>0</v>
      </c>
      <c r="EQ613" s="2040">
        <f t="shared" si="417"/>
        <v>0</v>
      </c>
      <c r="ER613" s="2040">
        <f t="shared" si="393"/>
        <v>0</v>
      </c>
      <c r="ES613" s="2040">
        <f t="shared" si="393"/>
        <v>0</v>
      </c>
      <c r="ET613" s="2040">
        <f t="shared" si="393"/>
        <v>0</v>
      </c>
      <c r="EU613" s="2039">
        <f t="shared" si="413"/>
        <v>0</v>
      </c>
      <c r="EV613" s="2039">
        <f t="shared" si="414"/>
        <v>0</v>
      </c>
    </row>
    <row r="614" spans="1:152" x14ac:dyDescent="0.25">
      <c r="A614" s="2149" t="s">
        <v>257</v>
      </c>
      <c r="B614" s="1974" t="str">
        <f t="shared" si="438"/>
        <v/>
      </c>
      <c r="C614" s="2027">
        <f t="shared" si="443"/>
        <v>10</v>
      </c>
      <c r="D614" s="2144">
        <f t="shared" si="443"/>
        <v>1040.5701300000001</v>
      </c>
      <c r="E614" s="2145">
        <f t="shared" si="443"/>
        <v>0</v>
      </c>
      <c r="F614" s="2027">
        <f t="shared" si="443"/>
        <v>1089.48</v>
      </c>
      <c r="G614" s="1974" t="s">
        <v>2988</v>
      </c>
      <c r="H614" s="1974" t="s">
        <v>2988</v>
      </c>
      <c r="I614" s="2026">
        <v>0.9</v>
      </c>
      <c r="J614" s="2026">
        <v>0.9</v>
      </c>
      <c r="K614" s="2026">
        <v>0.9</v>
      </c>
      <c r="L614" s="2026">
        <v>0.9</v>
      </c>
      <c r="M614" s="2027">
        <f t="shared" si="426"/>
        <v>936.51311700000008</v>
      </c>
      <c r="N614" s="2027">
        <f t="shared" si="426"/>
        <v>936.51311700000008</v>
      </c>
      <c r="O614" s="2027">
        <f t="shared" si="426"/>
        <v>936.51311700000008</v>
      </c>
      <c r="P614" s="2027">
        <f t="shared" si="426"/>
        <v>936.51311700000008</v>
      </c>
      <c r="Q614" s="2026">
        <v>0.9</v>
      </c>
      <c r="R614" s="2026">
        <v>0.9</v>
      </c>
      <c r="S614" s="2026">
        <v>0.9</v>
      </c>
      <c r="T614" s="2026">
        <v>0.9</v>
      </c>
      <c r="U614" s="2028">
        <f t="shared" si="427"/>
        <v>0</v>
      </c>
      <c r="V614" s="2028">
        <f t="shared" si="427"/>
        <v>0</v>
      </c>
      <c r="W614" s="2028">
        <f t="shared" si="427"/>
        <v>0</v>
      </c>
      <c r="X614" s="2028">
        <f t="shared" si="427"/>
        <v>0</v>
      </c>
      <c r="Y614" s="2026">
        <v>0.9</v>
      </c>
      <c r="Z614" s="2026">
        <v>0.9</v>
      </c>
      <c r="AA614" s="2026">
        <v>0.9</v>
      </c>
      <c r="AB614" s="2026">
        <v>0.9</v>
      </c>
      <c r="AC614" s="2027">
        <f t="shared" si="428"/>
        <v>980.53200000000004</v>
      </c>
      <c r="AD614" s="2027">
        <f t="shared" si="428"/>
        <v>980.53200000000004</v>
      </c>
      <c r="AE614" s="2027">
        <f t="shared" si="428"/>
        <v>980.53200000000004</v>
      </c>
      <c r="AF614" s="2027">
        <f t="shared" si="428"/>
        <v>980.53200000000004</v>
      </c>
      <c r="AG614" s="2027">
        <v>0</v>
      </c>
      <c r="AH614" s="2028"/>
      <c r="AI614" s="2028"/>
      <c r="AJ614" s="2028"/>
      <c r="AK614" s="2027">
        <f t="shared" si="434"/>
        <v>0</v>
      </c>
      <c r="AL614" s="2027">
        <f t="shared" si="433"/>
        <v>0</v>
      </c>
      <c r="AM614" s="2027">
        <f t="shared" si="433"/>
        <v>0</v>
      </c>
      <c r="AN614" s="2027">
        <f t="shared" si="433"/>
        <v>0</v>
      </c>
      <c r="AO614" s="2027">
        <f t="shared" si="429"/>
        <v>0</v>
      </c>
      <c r="AP614" s="2027">
        <f t="shared" si="421"/>
        <v>0</v>
      </c>
      <c r="AQ614" s="2027">
        <f t="shared" si="421"/>
        <v>0</v>
      </c>
      <c r="AR614" s="2027">
        <f t="shared" si="421"/>
        <v>0</v>
      </c>
      <c r="AS614" s="2124">
        <f t="shared" si="439"/>
        <v>120</v>
      </c>
      <c r="AT614" s="2029">
        <f t="shared" si="422"/>
        <v>120</v>
      </c>
      <c r="AU614" s="2029">
        <f t="shared" si="422"/>
        <v>120</v>
      </c>
      <c r="AV614" s="2029">
        <f t="shared" si="422"/>
        <v>120</v>
      </c>
      <c r="AW614" s="2124">
        <f t="shared" si="419"/>
        <v>1380</v>
      </c>
      <c r="AX614" s="2029">
        <f t="shared" si="440"/>
        <v>1380</v>
      </c>
      <c r="AY614" s="2029">
        <f t="shared" si="440"/>
        <v>1380</v>
      </c>
      <c r="AZ614" s="2029">
        <f t="shared" si="440"/>
        <v>1380</v>
      </c>
      <c r="BA614" s="2124">
        <f t="shared" si="436"/>
        <v>8850</v>
      </c>
      <c r="BB614" s="2029">
        <f t="shared" si="436"/>
        <v>8850</v>
      </c>
      <c r="BC614" s="2029">
        <f t="shared" si="436"/>
        <v>8850</v>
      </c>
      <c r="BD614" s="2029">
        <f t="shared" si="436"/>
        <v>8850</v>
      </c>
      <c r="BE614" s="2030">
        <f t="shared" si="430"/>
        <v>0</v>
      </c>
      <c r="BF614" s="2030">
        <f t="shared" si="430"/>
        <v>0</v>
      </c>
      <c r="BG614" s="2030">
        <f t="shared" si="430"/>
        <v>0</v>
      </c>
      <c r="BH614" s="2030">
        <f t="shared" si="430"/>
        <v>0</v>
      </c>
      <c r="BI614" s="2030">
        <f t="shared" si="431"/>
        <v>0</v>
      </c>
      <c r="BJ614" s="2030">
        <f t="shared" si="431"/>
        <v>0</v>
      </c>
      <c r="BK614" s="2030">
        <f t="shared" si="431"/>
        <v>0</v>
      </c>
      <c r="BL614" s="2030">
        <f t="shared" si="431"/>
        <v>0</v>
      </c>
      <c r="BM614" s="2125"/>
      <c r="BN614" s="2125"/>
      <c r="BO614" s="2125"/>
      <c r="BP614" s="2125"/>
      <c r="BQ614" s="2125"/>
      <c r="BR614" s="2125"/>
      <c r="BS614" s="2125"/>
      <c r="BT614" s="2125"/>
      <c r="BU614" s="2029"/>
      <c r="BV614" s="2029"/>
      <c r="BW614" s="2029"/>
      <c r="BX614" s="2029"/>
      <c r="BY614" s="2029"/>
      <c r="BZ614" s="2032"/>
      <c r="CA614" s="1974">
        <f t="shared" si="441"/>
        <v>0</v>
      </c>
      <c r="CB614" s="1974">
        <f t="shared" si="441"/>
        <v>0</v>
      </c>
      <c r="CC614" s="1974">
        <f t="shared" si="441"/>
        <v>0</v>
      </c>
      <c r="CD614" s="1974">
        <f t="shared" si="441"/>
        <v>0</v>
      </c>
      <c r="CE614" s="1974">
        <f t="shared" si="441"/>
        <v>0</v>
      </c>
      <c r="CF614" s="2033">
        <v>0</v>
      </c>
      <c r="CG614" s="2026">
        <v>0</v>
      </c>
      <c r="CH614" s="2009">
        <f t="shared" si="442"/>
        <v>0</v>
      </c>
      <c r="CI614" s="2031">
        <f t="shared" si="442"/>
        <v>0</v>
      </c>
      <c r="CJ614" s="1974">
        <f t="shared" si="442"/>
        <v>0</v>
      </c>
      <c r="CK614" s="2031">
        <f t="shared" si="442"/>
        <v>0</v>
      </c>
      <c r="CL614" s="2026">
        <v>1</v>
      </c>
      <c r="CM614" s="2026">
        <v>1</v>
      </c>
      <c r="CN614" s="2026">
        <v>1</v>
      </c>
      <c r="CO614" s="2026">
        <v>1</v>
      </c>
      <c r="CP614" s="2035"/>
      <c r="CQ614" s="2036"/>
      <c r="CR614" s="2036"/>
      <c r="CS614" s="2036"/>
      <c r="CT614" s="2036"/>
      <c r="CU614" s="2036"/>
      <c r="CV614" s="1973">
        <v>1</v>
      </c>
      <c r="CW614" s="1973">
        <v>0</v>
      </c>
      <c r="CX614" s="2037">
        <v>1500</v>
      </c>
      <c r="CY614" s="2037">
        <v>1500</v>
      </c>
      <c r="CZ614" s="2037">
        <v>1500</v>
      </c>
      <c r="DA614" s="2037">
        <v>1500</v>
      </c>
      <c r="DJ614" s="1976">
        <v>0</v>
      </c>
      <c r="DK614" s="1973">
        <v>0</v>
      </c>
      <c r="DL614" s="1973">
        <v>0</v>
      </c>
      <c r="DM614" s="1973">
        <v>0</v>
      </c>
      <c r="DO614" s="2027">
        <v>10</v>
      </c>
      <c r="DP614" s="2144">
        <v>1040.5701300000001</v>
      </c>
      <c r="DQ614" s="2145">
        <v>0</v>
      </c>
      <c r="DR614" s="2027">
        <v>1089.48</v>
      </c>
      <c r="DS614" s="2124">
        <v>120</v>
      </c>
      <c r="DT614" s="2029">
        <v>120</v>
      </c>
      <c r="DU614" s="2029">
        <v>120</v>
      </c>
      <c r="DV614" s="2029">
        <v>120</v>
      </c>
      <c r="DW614" s="2124">
        <v>1380</v>
      </c>
      <c r="DX614" s="2029">
        <v>1380</v>
      </c>
      <c r="DY614" s="2029">
        <v>1380</v>
      </c>
      <c r="DZ614" s="2029">
        <v>1380</v>
      </c>
      <c r="EA614" s="2124">
        <v>8850</v>
      </c>
      <c r="EB614" s="2029">
        <v>8850</v>
      </c>
      <c r="EC614" s="2029">
        <v>8850</v>
      </c>
      <c r="ED614" s="2029">
        <v>8850</v>
      </c>
      <c r="EE614" s="2039">
        <f t="shared" si="412"/>
        <v>0</v>
      </c>
      <c r="EF614" s="2039">
        <f t="shared" si="412"/>
        <v>0</v>
      </c>
      <c r="EG614" s="2039">
        <f t="shared" si="412"/>
        <v>0</v>
      </c>
      <c r="EH614" s="2039">
        <f t="shared" si="412"/>
        <v>0</v>
      </c>
      <c r="EI614" s="2040">
        <f t="shared" si="437"/>
        <v>0</v>
      </c>
      <c r="EJ614" s="2040">
        <f t="shared" si="437"/>
        <v>0</v>
      </c>
      <c r="EK614" s="2040">
        <f t="shared" si="437"/>
        <v>0</v>
      </c>
      <c r="EL614" s="2040">
        <f t="shared" si="437"/>
        <v>0</v>
      </c>
      <c r="EM614" s="2040">
        <f t="shared" si="437"/>
        <v>0</v>
      </c>
      <c r="EN614" s="2040">
        <f t="shared" si="437"/>
        <v>0</v>
      </c>
      <c r="EO614" s="2040">
        <f t="shared" si="417"/>
        <v>0</v>
      </c>
      <c r="EP614" s="2040">
        <f t="shared" si="417"/>
        <v>0</v>
      </c>
      <c r="EQ614" s="2040">
        <f t="shared" si="417"/>
        <v>0</v>
      </c>
      <c r="ER614" s="2040">
        <f t="shared" si="393"/>
        <v>0</v>
      </c>
      <c r="ES614" s="2040">
        <f t="shared" si="393"/>
        <v>0</v>
      </c>
      <c r="ET614" s="2040">
        <f t="shared" si="393"/>
        <v>0</v>
      </c>
      <c r="EU614" s="2039">
        <f t="shared" si="413"/>
        <v>0</v>
      </c>
      <c r="EV614" s="2039">
        <f t="shared" si="414"/>
        <v>0</v>
      </c>
    </row>
    <row r="615" spans="1:152" x14ac:dyDescent="0.25">
      <c r="A615" s="2149" t="s">
        <v>174</v>
      </c>
      <c r="B615" s="1974" t="str">
        <f t="shared" si="438"/>
        <v>BPST6</v>
      </c>
      <c r="C615" s="2027">
        <f t="shared" si="443"/>
        <v>6</v>
      </c>
      <c r="D615" s="2144">
        <f t="shared" si="443"/>
        <v>0</v>
      </c>
      <c r="E615" s="2145">
        <f t="shared" si="443"/>
        <v>0</v>
      </c>
      <c r="F615" s="2027">
        <f t="shared" si="443"/>
        <v>208.55999999999997</v>
      </c>
      <c r="G615" s="1974" t="s">
        <v>2988</v>
      </c>
      <c r="H615" s="1974" t="s">
        <v>2988</v>
      </c>
      <c r="I615" s="2026">
        <v>0.9</v>
      </c>
      <c r="J615" s="2026">
        <v>0.9</v>
      </c>
      <c r="K615" s="2026">
        <v>0.9</v>
      </c>
      <c r="L615" s="2026">
        <v>0.9</v>
      </c>
      <c r="M615" s="2027">
        <f t="shared" si="426"/>
        <v>0</v>
      </c>
      <c r="N615" s="2027">
        <f t="shared" si="426"/>
        <v>0</v>
      </c>
      <c r="O615" s="2027">
        <f t="shared" si="426"/>
        <v>0</v>
      </c>
      <c r="P615" s="2027">
        <f t="shared" si="426"/>
        <v>0</v>
      </c>
      <c r="Q615" s="2026">
        <v>0.9</v>
      </c>
      <c r="R615" s="2026">
        <v>0.9</v>
      </c>
      <c r="S615" s="2026">
        <v>0.9</v>
      </c>
      <c r="T615" s="2026">
        <v>0.9</v>
      </c>
      <c r="U615" s="2028">
        <f t="shared" si="427"/>
        <v>0</v>
      </c>
      <c r="V615" s="2028">
        <f t="shared" si="427"/>
        <v>0</v>
      </c>
      <c r="W615" s="2028">
        <f t="shared" si="427"/>
        <v>0</v>
      </c>
      <c r="X615" s="2028">
        <f t="shared" si="427"/>
        <v>0</v>
      </c>
      <c r="Y615" s="2026">
        <v>0.9</v>
      </c>
      <c r="Z615" s="2026">
        <v>0.9</v>
      </c>
      <c r="AA615" s="2026">
        <v>0.9</v>
      </c>
      <c r="AB615" s="2026">
        <v>0.9</v>
      </c>
      <c r="AC615" s="2027">
        <f t="shared" si="428"/>
        <v>187.70399999999998</v>
      </c>
      <c r="AD615" s="2027">
        <f t="shared" si="428"/>
        <v>187.70399999999998</v>
      </c>
      <c r="AE615" s="2027">
        <f t="shared" si="428"/>
        <v>187.70399999999998</v>
      </c>
      <c r="AF615" s="2027">
        <f t="shared" si="428"/>
        <v>187.70399999999998</v>
      </c>
      <c r="AG615" s="2027">
        <v>0</v>
      </c>
      <c r="AH615" s="2028"/>
      <c r="AI615" s="2028"/>
      <c r="AJ615" s="2028"/>
      <c r="AK615" s="2027">
        <f t="shared" si="434"/>
        <v>0</v>
      </c>
      <c r="AL615" s="2027">
        <f t="shared" si="433"/>
        <v>0</v>
      </c>
      <c r="AM615" s="2027">
        <f t="shared" si="433"/>
        <v>0</v>
      </c>
      <c r="AN615" s="2027">
        <f t="shared" si="433"/>
        <v>0</v>
      </c>
      <c r="AO615" s="2027">
        <f t="shared" si="429"/>
        <v>0</v>
      </c>
      <c r="AP615" s="2027">
        <f t="shared" si="421"/>
        <v>0</v>
      </c>
      <c r="AQ615" s="2027">
        <f t="shared" si="421"/>
        <v>0</v>
      </c>
      <c r="AR615" s="2027">
        <f t="shared" si="421"/>
        <v>0</v>
      </c>
      <c r="AS615" s="2124">
        <f t="shared" si="439"/>
        <v>0</v>
      </c>
      <c r="AT615" s="2029">
        <f t="shared" si="422"/>
        <v>0</v>
      </c>
      <c r="AU615" s="2029">
        <f t="shared" si="422"/>
        <v>0</v>
      </c>
      <c r="AV615" s="2029">
        <f t="shared" si="422"/>
        <v>0</v>
      </c>
      <c r="AW615" s="2124">
        <f t="shared" si="419"/>
        <v>900</v>
      </c>
      <c r="AX615" s="2029">
        <f t="shared" si="440"/>
        <v>900</v>
      </c>
      <c r="AY615" s="2029">
        <f t="shared" si="440"/>
        <v>900</v>
      </c>
      <c r="AZ615" s="2029">
        <f t="shared" si="440"/>
        <v>900</v>
      </c>
      <c r="BA615" s="2124">
        <f t="shared" si="436"/>
        <v>1200</v>
      </c>
      <c r="BB615" s="2029">
        <f t="shared" si="436"/>
        <v>1200</v>
      </c>
      <c r="BC615" s="2029">
        <f t="shared" si="436"/>
        <v>1200</v>
      </c>
      <c r="BD615" s="2029">
        <f t="shared" si="436"/>
        <v>1200</v>
      </c>
      <c r="BE615" s="2030">
        <f t="shared" si="430"/>
        <v>0</v>
      </c>
      <c r="BF615" s="2030">
        <f t="shared" si="430"/>
        <v>0</v>
      </c>
      <c r="BG615" s="2030">
        <f t="shared" si="430"/>
        <v>0</v>
      </c>
      <c r="BH615" s="2030">
        <f t="shared" si="430"/>
        <v>0</v>
      </c>
      <c r="BI615" s="2030">
        <f t="shared" si="431"/>
        <v>0</v>
      </c>
      <c r="BJ615" s="2030">
        <f t="shared" si="431"/>
        <v>0</v>
      </c>
      <c r="BK615" s="2030">
        <f t="shared" si="431"/>
        <v>0</v>
      </c>
      <c r="BL615" s="2030">
        <f t="shared" si="431"/>
        <v>0</v>
      </c>
      <c r="BM615" s="2125"/>
      <c r="BN615" s="2125"/>
      <c r="BO615" s="2125"/>
      <c r="BP615" s="2125"/>
      <c r="BQ615" s="2125"/>
      <c r="BR615" s="2125"/>
      <c r="BS615" s="2125"/>
      <c r="BT615" s="2125"/>
      <c r="BU615" s="2029"/>
      <c r="BV615" s="2029"/>
      <c r="BW615" s="2029"/>
      <c r="BX615" s="2029"/>
      <c r="BY615" s="2029"/>
      <c r="BZ615" s="2032"/>
      <c r="CA615" s="1974">
        <f t="shared" si="441"/>
        <v>0</v>
      </c>
      <c r="CB615" s="1974">
        <f t="shared" si="441"/>
        <v>0</v>
      </c>
      <c r="CC615" s="1974">
        <f t="shared" si="441"/>
        <v>0</v>
      </c>
      <c r="CD615" s="1974">
        <f t="shared" si="441"/>
        <v>0</v>
      </c>
      <c r="CE615" s="1974">
        <f t="shared" si="441"/>
        <v>0</v>
      </c>
      <c r="CF615" s="2033">
        <v>0</v>
      </c>
      <c r="CG615" s="2026">
        <v>0</v>
      </c>
      <c r="CH615" s="2009">
        <f t="shared" si="442"/>
        <v>0</v>
      </c>
      <c r="CI615" s="2031">
        <f t="shared" si="442"/>
        <v>0</v>
      </c>
      <c r="CJ615" s="1974">
        <f t="shared" si="442"/>
        <v>0</v>
      </c>
      <c r="CK615" s="2031">
        <f t="shared" si="442"/>
        <v>0</v>
      </c>
      <c r="CL615" s="2026">
        <v>1</v>
      </c>
      <c r="CM615" s="2026">
        <v>1</v>
      </c>
      <c r="CN615" s="2026">
        <v>1</v>
      </c>
      <c r="CO615" s="2026">
        <v>1</v>
      </c>
      <c r="CP615" s="2035"/>
      <c r="CQ615" s="2036"/>
      <c r="CR615" s="2036"/>
      <c r="CS615" s="2036"/>
      <c r="CT615" s="2036"/>
      <c r="CU615" s="2036"/>
      <c r="CV615" s="1973">
        <v>1</v>
      </c>
      <c r="CW615" s="1973">
        <v>0</v>
      </c>
      <c r="CX615" s="2037">
        <v>900</v>
      </c>
      <c r="CY615" s="2037">
        <v>900</v>
      </c>
      <c r="CZ615" s="2037">
        <v>900</v>
      </c>
      <c r="DA615" s="2037">
        <v>900</v>
      </c>
      <c r="DJ615" s="1976">
        <v>0</v>
      </c>
      <c r="DK615" s="1973">
        <v>0</v>
      </c>
      <c r="DL615" s="1973">
        <v>0</v>
      </c>
      <c r="DM615" s="1973">
        <v>0</v>
      </c>
      <c r="DO615" s="2027">
        <v>6</v>
      </c>
      <c r="DP615" s="2144">
        <v>0</v>
      </c>
      <c r="DQ615" s="2145">
        <v>0</v>
      </c>
      <c r="DR615" s="2027">
        <v>208.55999999999997</v>
      </c>
      <c r="DS615" s="2124">
        <v>0</v>
      </c>
      <c r="DT615" s="2029">
        <v>0</v>
      </c>
      <c r="DU615" s="2029">
        <v>0</v>
      </c>
      <c r="DV615" s="2029">
        <v>0</v>
      </c>
      <c r="DW615" s="2124">
        <v>900</v>
      </c>
      <c r="DX615" s="2029">
        <v>900</v>
      </c>
      <c r="DY615" s="2029">
        <v>900</v>
      </c>
      <c r="DZ615" s="2029">
        <v>900</v>
      </c>
      <c r="EA615" s="2124">
        <v>1200</v>
      </c>
      <c r="EB615" s="2029">
        <v>1200</v>
      </c>
      <c r="EC615" s="2029">
        <v>1200</v>
      </c>
      <c r="ED615" s="2029">
        <v>1200</v>
      </c>
      <c r="EE615" s="2039">
        <f t="shared" si="412"/>
        <v>0</v>
      </c>
      <c r="EF615" s="2039">
        <f t="shared" si="412"/>
        <v>0</v>
      </c>
      <c r="EG615" s="2039">
        <f t="shared" si="412"/>
        <v>0</v>
      </c>
      <c r="EH615" s="2039">
        <f t="shared" si="412"/>
        <v>0</v>
      </c>
      <c r="EI615" s="2040">
        <f t="shared" si="437"/>
        <v>0</v>
      </c>
      <c r="EJ615" s="2040">
        <f t="shared" si="437"/>
        <v>0</v>
      </c>
      <c r="EK615" s="2040">
        <f t="shared" si="437"/>
        <v>0</v>
      </c>
      <c r="EL615" s="2040">
        <f t="shared" si="437"/>
        <v>0</v>
      </c>
      <c r="EM615" s="2040">
        <f t="shared" si="437"/>
        <v>0</v>
      </c>
      <c r="EN615" s="2040">
        <f t="shared" si="437"/>
        <v>0</v>
      </c>
      <c r="EO615" s="2040">
        <f t="shared" si="417"/>
        <v>0</v>
      </c>
      <c r="EP615" s="2040">
        <f t="shared" si="417"/>
        <v>0</v>
      </c>
      <c r="EQ615" s="2040">
        <f t="shared" si="417"/>
        <v>0</v>
      </c>
      <c r="ER615" s="2040">
        <f t="shared" si="393"/>
        <v>0</v>
      </c>
      <c r="ES615" s="2040">
        <f t="shared" si="393"/>
        <v>0</v>
      </c>
      <c r="ET615" s="2040">
        <f t="shared" si="393"/>
        <v>0</v>
      </c>
      <c r="EU615" s="2039">
        <f t="shared" si="413"/>
        <v>0</v>
      </c>
      <c r="EV615" s="2039">
        <f t="shared" si="414"/>
        <v>0</v>
      </c>
    </row>
    <row r="616" spans="1:152" x14ac:dyDescent="0.25">
      <c r="A616" s="2143" t="s">
        <v>1019</v>
      </c>
      <c r="B616" s="1974" t="str">
        <f t="shared" si="438"/>
        <v>BPAR1</v>
      </c>
      <c r="C616" s="2027">
        <f t="shared" si="443"/>
        <v>9</v>
      </c>
      <c r="D616" s="2144">
        <f t="shared" si="443"/>
        <v>27.187769531356203</v>
      </c>
      <c r="E616" s="2145">
        <f t="shared" si="443"/>
        <v>4.6993183364750354E-3</v>
      </c>
      <c r="F616" s="2027">
        <f t="shared" si="443"/>
        <v>5.4316370902687714</v>
      </c>
      <c r="G616" s="1974" t="s">
        <v>2988</v>
      </c>
      <c r="H616" s="1974" t="s">
        <v>2988</v>
      </c>
      <c r="I616" s="2026">
        <v>0.9</v>
      </c>
      <c r="J616" s="2026">
        <v>0.9</v>
      </c>
      <c r="K616" s="2026">
        <v>0.9</v>
      </c>
      <c r="L616" s="2026">
        <v>0.9</v>
      </c>
      <c r="M616" s="2027">
        <f t="shared" si="426"/>
        <v>24.468992578220583</v>
      </c>
      <c r="N616" s="2027">
        <f t="shared" si="426"/>
        <v>24.468992578220583</v>
      </c>
      <c r="O616" s="2027">
        <f t="shared" si="426"/>
        <v>24.468992578220583</v>
      </c>
      <c r="P616" s="2027">
        <f t="shared" si="426"/>
        <v>24.468992578220583</v>
      </c>
      <c r="Q616" s="2026">
        <v>0.9</v>
      </c>
      <c r="R616" s="2026">
        <v>0.9</v>
      </c>
      <c r="S616" s="2026">
        <v>0.9</v>
      </c>
      <c r="T616" s="2026">
        <v>0.9</v>
      </c>
      <c r="U616" s="2028">
        <f t="shared" si="427"/>
        <v>4.2293865028275321E-3</v>
      </c>
      <c r="V616" s="2028">
        <f t="shared" si="427"/>
        <v>4.2293865028275321E-3</v>
      </c>
      <c r="W616" s="2028">
        <f t="shared" si="427"/>
        <v>4.2293865028275321E-3</v>
      </c>
      <c r="X616" s="2028">
        <f t="shared" si="427"/>
        <v>4.2293865028275321E-3</v>
      </c>
      <c r="Y616" s="2026">
        <v>0.9</v>
      </c>
      <c r="Z616" s="2026">
        <v>0.9</v>
      </c>
      <c r="AA616" s="2026">
        <v>0.9</v>
      </c>
      <c r="AB616" s="2026">
        <v>0.9</v>
      </c>
      <c r="AC616" s="2027">
        <f t="shared" si="428"/>
        <v>4.8884733812418943</v>
      </c>
      <c r="AD616" s="2027">
        <f t="shared" si="428"/>
        <v>4.8884733812418943</v>
      </c>
      <c r="AE616" s="2027">
        <f t="shared" si="428"/>
        <v>4.8884733812418943</v>
      </c>
      <c r="AF616" s="2027">
        <f t="shared" si="428"/>
        <v>4.8884733812418943</v>
      </c>
      <c r="AG616" s="2027">
        <v>1173</v>
      </c>
      <c r="AH616" s="2027">
        <v>1107</v>
      </c>
      <c r="AI616" s="2027">
        <v>1110</v>
      </c>
      <c r="AJ616" s="2027">
        <v>1111</v>
      </c>
      <c r="AK616" s="2027">
        <f t="shared" si="434"/>
        <v>28702.128294252743</v>
      </c>
      <c r="AL616" s="2027">
        <f t="shared" si="433"/>
        <v>27087.174784090184</v>
      </c>
      <c r="AM616" s="2027">
        <f t="shared" si="433"/>
        <v>27160.581761824847</v>
      </c>
      <c r="AN616" s="2027">
        <f t="shared" si="433"/>
        <v>27185.050754403066</v>
      </c>
      <c r="AO616" s="2027">
        <f t="shared" si="429"/>
        <v>5734.1792761967417</v>
      </c>
      <c r="AP616" s="2027">
        <f t="shared" si="421"/>
        <v>5411.5400330347775</v>
      </c>
      <c r="AQ616" s="2027">
        <f t="shared" si="421"/>
        <v>5426.2054531785025</v>
      </c>
      <c r="AR616" s="2027">
        <f t="shared" si="421"/>
        <v>5431.0939265597444</v>
      </c>
      <c r="AS616" s="2124">
        <v>3.6</v>
      </c>
      <c r="AT616" s="2029">
        <f t="shared" si="422"/>
        <v>3.6</v>
      </c>
      <c r="AU616" s="2029">
        <f t="shared" si="422"/>
        <v>3.6</v>
      </c>
      <c r="AV616" s="2029">
        <f t="shared" si="422"/>
        <v>3.6</v>
      </c>
      <c r="AW616" s="2124">
        <v>14.4</v>
      </c>
      <c r="AX616" s="2029">
        <f t="shared" si="440"/>
        <v>14.4</v>
      </c>
      <c r="AY616" s="2029">
        <f t="shared" si="440"/>
        <v>14.4</v>
      </c>
      <c r="AZ616" s="2029">
        <f t="shared" si="440"/>
        <v>14.4</v>
      </c>
      <c r="BA616" s="2124">
        <v>8</v>
      </c>
      <c r="BB616" s="2029">
        <f>$BA616</f>
        <v>8</v>
      </c>
      <c r="BC616" s="2029">
        <f t="shared" ref="BC616:BD617" si="444">$BA616</f>
        <v>8</v>
      </c>
      <c r="BD616" s="2029">
        <f t="shared" si="444"/>
        <v>8</v>
      </c>
      <c r="BE616" s="2030">
        <f t="shared" si="430"/>
        <v>4222.8</v>
      </c>
      <c r="BF616" s="2030">
        <f t="shared" si="430"/>
        <v>3985.2000000000003</v>
      </c>
      <c r="BG616" s="2030">
        <f t="shared" si="430"/>
        <v>3996</v>
      </c>
      <c r="BH616" s="2030">
        <f t="shared" si="430"/>
        <v>3999.6</v>
      </c>
      <c r="BI616" s="2030">
        <f t="shared" si="431"/>
        <v>16891.2</v>
      </c>
      <c r="BJ616" s="2030">
        <f t="shared" si="431"/>
        <v>15940.800000000001</v>
      </c>
      <c r="BK616" s="2030">
        <f t="shared" si="431"/>
        <v>15984</v>
      </c>
      <c r="BL616" s="2030">
        <f t="shared" si="431"/>
        <v>15998.4</v>
      </c>
      <c r="BM616" s="2125"/>
      <c r="BN616" s="2125"/>
      <c r="BO616" s="2125"/>
      <c r="BP616" s="2125"/>
      <c r="BQ616" s="2125"/>
      <c r="BR616" s="2125"/>
      <c r="BS616" s="2125"/>
      <c r="BT616" s="2125"/>
      <c r="BU616" s="2029"/>
      <c r="BV616" s="2029"/>
      <c r="BW616" s="2029"/>
      <c r="BX616" s="2029"/>
      <c r="BY616" s="2029"/>
      <c r="BZ616" s="2032"/>
      <c r="CA616" s="1974">
        <f t="shared" si="441"/>
        <v>1479.2040006178568</v>
      </c>
      <c r="CB616" s="1974">
        <f t="shared" si="441"/>
        <v>0</v>
      </c>
      <c r="CC616" s="1974">
        <f t="shared" si="441"/>
        <v>0</v>
      </c>
      <c r="CD616" s="1974">
        <f t="shared" si="441"/>
        <v>0</v>
      </c>
      <c r="CE616" s="1974">
        <f t="shared" si="441"/>
        <v>0</v>
      </c>
      <c r="CF616" s="2033">
        <v>1.6393452376853347E-4</v>
      </c>
      <c r="CG616" s="2026">
        <v>2.9229324864556527E-3</v>
      </c>
      <c r="CH616" s="2009">
        <f t="shared" si="442"/>
        <v>0</v>
      </c>
      <c r="CI616" s="2031">
        <f t="shared" si="442"/>
        <v>0</v>
      </c>
      <c r="CJ616" s="1974">
        <f t="shared" si="442"/>
        <v>0</v>
      </c>
      <c r="CK616" s="2031">
        <f t="shared" si="442"/>
        <v>0</v>
      </c>
      <c r="CL616" s="2026">
        <v>1</v>
      </c>
      <c r="CM616" s="2026">
        <v>1</v>
      </c>
      <c r="CN616" s="2026">
        <v>1</v>
      </c>
      <c r="CO616" s="2026">
        <v>1</v>
      </c>
      <c r="CP616" s="2035"/>
      <c r="CQ616" s="2036"/>
      <c r="CR616" s="2036"/>
      <c r="CS616" s="2036"/>
      <c r="CT616" s="2036"/>
      <c r="CU616" s="2036"/>
      <c r="CV616" s="1973">
        <v>1</v>
      </c>
      <c r="CW616" s="1973">
        <v>0</v>
      </c>
      <c r="CX616" s="2037">
        <v>18.000000000000011</v>
      </c>
      <c r="CY616" s="2037">
        <v>18.000000000000011</v>
      </c>
      <c r="CZ616" s="2037">
        <v>18.000000000000011</v>
      </c>
      <c r="DA616" s="2037">
        <v>18.000000000000011</v>
      </c>
      <c r="DJ616" s="1976">
        <v>3.6000000000000019</v>
      </c>
      <c r="DK616" s="1973">
        <v>3.6000000000000019</v>
      </c>
      <c r="DL616" s="1973">
        <v>3.6000000000000019</v>
      </c>
      <c r="DM616" s="1973">
        <v>3.6000000000000019</v>
      </c>
      <c r="DO616" s="2146">
        <v>9</v>
      </c>
      <c r="DP616" s="2147">
        <v>27.187769531356203</v>
      </c>
      <c r="DQ616" s="2148">
        <v>4.6993183364750354E-3</v>
      </c>
      <c r="DR616" s="2146">
        <v>5.4316370902687714</v>
      </c>
      <c r="DS616" s="2046">
        <v>3.6000000000000019</v>
      </c>
      <c r="DT616" s="2046">
        <v>3.6000000000000019</v>
      </c>
      <c r="DU616" s="2046">
        <v>3.6000000000000019</v>
      </c>
      <c r="DV616" s="2046">
        <v>3.6000000000000019</v>
      </c>
      <c r="DW616" s="2046">
        <v>14.400000000000007</v>
      </c>
      <c r="DX616" s="2046">
        <v>14.400000000000007</v>
      </c>
      <c r="DY616" s="2046">
        <v>14.400000000000007</v>
      </c>
      <c r="DZ616" s="2046">
        <v>14.400000000000007</v>
      </c>
      <c r="EA616" s="2046">
        <v>8</v>
      </c>
      <c r="EB616" s="2046">
        <v>8</v>
      </c>
      <c r="EC616" s="2046">
        <v>8</v>
      </c>
      <c r="ED616" s="2046">
        <v>8</v>
      </c>
      <c r="EE616" s="2039">
        <f t="shared" si="412"/>
        <v>0</v>
      </c>
      <c r="EF616" s="2039">
        <f t="shared" si="412"/>
        <v>0</v>
      </c>
      <c r="EG616" s="2039">
        <f t="shared" si="412"/>
        <v>0</v>
      </c>
      <c r="EH616" s="2039">
        <f t="shared" si="412"/>
        <v>0</v>
      </c>
      <c r="EI616" s="2040">
        <f t="shared" si="437"/>
        <v>0</v>
      </c>
      <c r="EJ616" s="2040">
        <f t="shared" si="437"/>
        <v>0</v>
      </c>
      <c r="EK616" s="2040">
        <f t="shared" si="437"/>
        <v>0</v>
      </c>
      <c r="EL616" s="2040">
        <f t="shared" si="437"/>
        <v>0</v>
      </c>
      <c r="EM616" s="2040">
        <f t="shared" si="437"/>
        <v>0</v>
      </c>
      <c r="EN616" s="2040">
        <f t="shared" si="437"/>
        <v>0</v>
      </c>
      <c r="EO616" s="2040">
        <f t="shared" si="417"/>
        <v>0</v>
      </c>
      <c r="EP616" s="2040">
        <f t="shared" si="417"/>
        <v>0</v>
      </c>
      <c r="EQ616" s="2040">
        <f t="shared" si="417"/>
        <v>0</v>
      </c>
      <c r="ER616" s="2040">
        <f t="shared" si="393"/>
        <v>0</v>
      </c>
      <c r="ES616" s="2040">
        <f t="shared" si="393"/>
        <v>0</v>
      </c>
      <c r="ET616" s="2040">
        <f t="shared" si="393"/>
        <v>0</v>
      </c>
      <c r="EU616" s="2039">
        <f t="shared" si="413"/>
        <v>0</v>
      </c>
      <c r="EV616" s="2039">
        <f t="shared" si="414"/>
        <v>0</v>
      </c>
    </row>
    <row r="617" spans="1:152" x14ac:dyDescent="0.25">
      <c r="A617" s="2143" t="s">
        <v>1020</v>
      </c>
      <c r="B617" s="1974" t="str">
        <f t="shared" si="438"/>
        <v>BPAR1 (LFR)</v>
      </c>
      <c r="C617" s="2027">
        <f t="shared" si="443"/>
        <v>9</v>
      </c>
      <c r="D617" s="2144">
        <f t="shared" si="443"/>
        <v>37.488220600065439</v>
      </c>
      <c r="E617" s="2145">
        <f t="shared" si="443"/>
        <v>6.4797181050298865E-3</v>
      </c>
      <c r="F617" s="2027">
        <f t="shared" si="443"/>
        <v>7.4894856389249336</v>
      </c>
      <c r="G617" s="1974" t="s">
        <v>2988</v>
      </c>
      <c r="H617" s="1974" t="s">
        <v>2988</v>
      </c>
      <c r="I617" s="2026">
        <v>0.9</v>
      </c>
      <c r="J617" s="2026">
        <v>0.9</v>
      </c>
      <c r="K617" s="2026">
        <v>0.9</v>
      </c>
      <c r="L617" s="2026">
        <v>0.9</v>
      </c>
      <c r="M617" s="2027">
        <f t="shared" si="426"/>
        <v>33.739398540058893</v>
      </c>
      <c r="N617" s="2027">
        <f t="shared" si="426"/>
        <v>33.739398540058893</v>
      </c>
      <c r="O617" s="2027">
        <f t="shared" si="426"/>
        <v>33.739398540058893</v>
      </c>
      <c r="P617" s="2027">
        <f t="shared" si="426"/>
        <v>33.739398540058893</v>
      </c>
      <c r="Q617" s="2026">
        <v>0.9</v>
      </c>
      <c r="R617" s="2026">
        <v>0.9</v>
      </c>
      <c r="S617" s="2026">
        <v>0.9</v>
      </c>
      <c r="T617" s="2026">
        <v>0.9</v>
      </c>
      <c r="U617" s="2028">
        <f t="shared" si="427"/>
        <v>5.8317462945268982E-3</v>
      </c>
      <c r="V617" s="2028">
        <f t="shared" si="427"/>
        <v>5.8317462945268982E-3</v>
      </c>
      <c r="W617" s="2028">
        <f t="shared" si="427"/>
        <v>5.8317462945268982E-3</v>
      </c>
      <c r="X617" s="2028">
        <f t="shared" si="427"/>
        <v>5.8317462945268982E-3</v>
      </c>
      <c r="Y617" s="2026">
        <v>0.9</v>
      </c>
      <c r="Z617" s="2026">
        <v>0.9</v>
      </c>
      <c r="AA617" s="2026">
        <v>0.9</v>
      </c>
      <c r="AB617" s="2026">
        <v>0.9</v>
      </c>
      <c r="AC617" s="2027">
        <f t="shared" si="428"/>
        <v>6.7405370750324405</v>
      </c>
      <c r="AD617" s="2027">
        <f t="shared" si="428"/>
        <v>6.7405370750324405</v>
      </c>
      <c r="AE617" s="2027">
        <f t="shared" si="428"/>
        <v>6.7405370750324405</v>
      </c>
      <c r="AF617" s="2027">
        <f t="shared" si="428"/>
        <v>6.7405370750324405</v>
      </c>
      <c r="AG617" s="2027">
        <v>236</v>
      </c>
      <c r="AH617" s="2027">
        <v>222</v>
      </c>
      <c r="AI617" s="2027">
        <v>222</v>
      </c>
      <c r="AJ617" s="2027">
        <v>223</v>
      </c>
      <c r="AK617" s="2027">
        <f t="shared" si="434"/>
        <v>7962.4980554538988</v>
      </c>
      <c r="AL617" s="2027">
        <f t="shared" si="433"/>
        <v>7490.1464758930742</v>
      </c>
      <c r="AM617" s="2027">
        <f t="shared" si="433"/>
        <v>7490.1464758930742</v>
      </c>
      <c r="AN617" s="2027">
        <f t="shared" si="433"/>
        <v>7523.8858744331328</v>
      </c>
      <c r="AO617" s="2027">
        <f t="shared" si="429"/>
        <v>1590.7667497076559</v>
      </c>
      <c r="AP617" s="2027">
        <f t="shared" si="421"/>
        <v>1496.3992306572018</v>
      </c>
      <c r="AQ617" s="2027">
        <f t="shared" si="421"/>
        <v>1496.3992306572018</v>
      </c>
      <c r="AR617" s="2027">
        <f t="shared" si="421"/>
        <v>1503.1397677322343</v>
      </c>
      <c r="AS617" s="2124">
        <v>4.8</v>
      </c>
      <c r="AT617" s="2029">
        <f t="shared" si="422"/>
        <v>4.8</v>
      </c>
      <c r="AU617" s="2029">
        <f t="shared" si="422"/>
        <v>4.8</v>
      </c>
      <c r="AV617" s="2029">
        <f t="shared" si="422"/>
        <v>4.8</v>
      </c>
      <c r="AW617" s="2124">
        <v>19.2</v>
      </c>
      <c r="AX617" s="2029">
        <f t="shared" si="440"/>
        <v>19.2</v>
      </c>
      <c r="AY617" s="2029">
        <f t="shared" si="440"/>
        <v>19.2</v>
      </c>
      <c r="AZ617" s="2029">
        <f t="shared" si="440"/>
        <v>19.2</v>
      </c>
      <c r="BA617" s="2124">
        <v>14.27</v>
      </c>
      <c r="BB617" s="2029">
        <f>$BA617</f>
        <v>14.27</v>
      </c>
      <c r="BC617" s="2029">
        <f t="shared" si="444"/>
        <v>14.27</v>
      </c>
      <c r="BD617" s="2029">
        <f t="shared" si="444"/>
        <v>14.27</v>
      </c>
      <c r="BE617" s="2030">
        <f t="shared" si="430"/>
        <v>1132.8</v>
      </c>
      <c r="BF617" s="2030">
        <f t="shared" si="430"/>
        <v>1065.5999999999999</v>
      </c>
      <c r="BG617" s="2030">
        <f t="shared" si="430"/>
        <v>1065.5999999999999</v>
      </c>
      <c r="BH617" s="2030">
        <f t="shared" si="430"/>
        <v>1070.3999999999999</v>
      </c>
      <c r="BI617" s="2030">
        <f t="shared" si="431"/>
        <v>4531.2</v>
      </c>
      <c r="BJ617" s="2030">
        <f t="shared" si="431"/>
        <v>4262.3999999999996</v>
      </c>
      <c r="BK617" s="2030">
        <f t="shared" si="431"/>
        <v>4262.3999999999996</v>
      </c>
      <c r="BL617" s="2030">
        <f t="shared" si="431"/>
        <v>4281.5999999999995</v>
      </c>
      <c r="BM617" s="2125"/>
      <c r="BN617" s="2125"/>
      <c r="BO617" s="2125"/>
      <c r="BP617" s="2125"/>
      <c r="BQ617" s="2125"/>
      <c r="BR617" s="2125"/>
      <c r="BS617" s="2125"/>
      <c r="BT617" s="2125"/>
      <c r="BU617" s="2029"/>
      <c r="BV617" s="2029"/>
      <c r="BW617" s="2029"/>
      <c r="BX617" s="2029"/>
      <c r="BY617" s="2029"/>
      <c r="BZ617" s="2032"/>
      <c r="CA617" s="1974">
        <f t="shared" si="441"/>
        <v>1479.2040006178568</v>
      </c>
      <c r="CB617" s="1974">
        <f t="shared" si="441"/>
        <v>0</v>
      </c>
      <c r="CC617" s="1974">
        <f t="shared" si="441"/>
        <v>0</v>
      </c>
      <c r="CD617" s="1974">
        <f t="shared" si="441"/>
        <v>0</v>
      </c>
      <c r="CE617" s="1974">
        <f t="shared" si="441"/>
        <v>0</v>
      </c>
      <c r="CF617" s="2033">
        <v>3.2982564031861808E-5</v>
      </c>
      <c r="CG617" s="2026">
        <v>5.8807507826388232E-4</v>
      </c>
      <c r="CH617" s="2009">
        <f t="shared" si="442"/>
        <v>0</v>
      </c>
      <c r="CI617" s="2031">
        <f t="shared" si="442"/>
        <v>0</v>
      </c>
      <c r="CJ617" s="1974">
        <f t="shared" si="442"/>
        <v>0</v>
      </c>
      <c r="CK617" s="2031">
        <f t="shared" si="442"/>
        <v>0</v>
      </c>
      <c r="CL617" s="2026">
        <v>1</v>
      </c>
      <c r="CM617" s="2026">
        <v>1</v>
      </c>
      <c r="CN617" s="2026">
        <v>1</v>
      </c>
      <c r="CO617" s="2026">
        <v>1</v>
      </c>
      <c r="CP617" s="2035"/>
      <c r="CQ617" s="2036"/>
      <c r="CR617" s="2036"/>
      <c r="CS617" s="2036"/>
      <c r="CT617" s="2036"/>
      <c r="CU617" s="2036"/>
      <c r="CV617" s="1973">
        <v>1</v>
      </c>
      <c r="CW617" s="1973">
        <v>0</v>
      </c>
      <c r="CX617" s="2037">
        <v>24.000000000000014</v>
      </c>
      <c r="CY617" s="2037">
        <v>24.000000000000014</v>
      </c>
      <c r="CZ617" s="2037">
        <v>24.000000000000014</v>
      </c>
      <c r="DA617" s="2037">
        <v>24.000000000000014</v>
      </c>
      <c r="DJ617" s="1976">
        <v>4.8000000000000025</v>
      </c>
      <c r="DK617" s="1973">
        <v>4.8000000000000025</v>
      </c>
      <c r="DL617" s="1973">
        <v>4.8000000000000025</v>
      </c>
      <c r="DM617" s="1973">
        <v>4.8000000000000025</v>
      </c>
      <c r="DO617" s="2146">
        <v>9</v>
      </c>
      <c r="DP617" s="2147">
        <v>37.488220600065439</v>
      </c>
      <c r="DQ617" s="2148">
        <v>6.4797181050298865E-3</v>
      </c>
      <c r="DR617" s="2146">
        <v>7.4894856389249336</v>
      </c>
      <c r="DS617" s="2046">
        <v>4.8000000000000025</v>
      </c>
      <c r="DT617" s="2046">
        <v>4.8000000000000025</v>
      </c>
      <c r="DU617" s="2046">
        <v>4.8000000000000025</v>
      </c>
      <c r="DV617" s="2046">
        <v>4.8000000000000025</v>
      </c>
      <c r="DW617" s="2046">
        <v>19.20000000000001</v>
      </c>
      <c r="DX617" s="2046">
        <v>19.20000000000001</v>
      </c>
      <c r="DY617" s="2046">
        <v>19.20000000000001</v>
      </c>
      <c r="DZ617" s="2046">
        <v>19.20000000000001</v>
      </c>
      <c r="EA617" s="2046">
        <v>14.27</v>
      </c>
      <c r="EB617" s="2046">
        <v>14.27</v>
      </c>
      <c r="EC617" s="2046">
        <v>14.27</v>
      </c>
      <c r="ED617" s="2046">
        <v>14.27</v>
      </c>
      <c r="EE617" s="2039">
        <f t="shared" si="412"/>
        <v>0</v>
      </c>
      <c r="EF617" s="2039">
        <f t="shared" si="412"/>
        <v>0</v>
      </c>
      <c r="EG617" s="2039">
        <f t="shared" si="412"/>
        <v>0</v>
      </c>
      <c r="EH617" s="2039">
        <f t="shared" si="412"/>
        <v>0</v>
      </c>
      <c r="EI617" s="2040">
        <f t="shared" si="437"/>
        <v>0</v>
      </c>
      <c r="EJ617" s="2040">
        <f t="shared" si="437"/>
        <v>0</v>
      </c>
      <c r="EK617" s="2040">
        <f t="shared" si="437"/>
        <v>0</v>
      </c>
      <c r="EL617" s="2040">
        <f t="shared" si="437"/>
        <v>0</v>
      </c>
      <c r="EM617" s="2040">
        <f t="shared" si="437"/>
        <v>0</v>
      </c>
      <c r="EN617" s="2040">
        <f t="shared" si="437"/>
        <v>0</v>
      </c>
      <c r="EO617" s="2040">
        <f t="shared" si="417"/>
        <v>0</v>
      </c>
      <c r="EP617" s="2040">
        <f t="shared" si="417"/>
        <v>0</v>
      </c>
      <c r="EQ617" s="2040">
        <f t="shared" si="417"/>
        <v>0</v>
      </c>
      <c r="ER617" s="2040">
        <f t="shared" si="393"/>
        <v>0</v>
      </c>
      <c r="ES617" s="2040">
        <f t="shared" si="393"/>
        <v>0</v>
      </c>
      <c r="ET617" s="2040">
        <f t="shared" si="393"/>
        <v>0</v>
      </c>
      <c r="EU617" s="2039">
        <f t="shared" si="413"/>
        <v>0</v>
      </c>
      <c r="EV617" s="2039">
        <f t="shared" si="414"/>
        <v>0</v>
      </c>
    </row>
    <row r="618" spans="1:152" x14ac:dyDescent="0.25">
      <c r="A618" s="2150" t="s">
        <v>175</v>
      </c>
      <c r="B618" s="1974" t="str">
        <f t="shared" si="438"/>
        <v/>
      </c>
      <c r="C618" s="2027">
        <f t="shared" si="443"/>
        <v>8</v>
      </c>
      <c r="D618" s="2144">
        <f t="shared" si="443"/>
        <v>4384.6000000000004</v>
      </c>
      <c r="E618" s="2145">
        <f t="shared" si="443"/>
        <v>0.14000000000000001</v>
      </c>
      <c r="F618" s="2027">
        <f t="shared" si="443"/>
        <v>-46.1</v>
      </c>
      <c r="G618" s="1974" t="s">
        <v>2988</v>
      </c>
      <c r="H618" s="1974" t="s">
        <v>2988</v>
      </c>
      <c r="I618" s="2026">
        <v>0.9</v>
      </c>
      <c r="J618" s="2026">
        <v>0.9</v>
      </c>
      <c r="K618" s="2026">
        <v>0.9</v>
      </c>
      <c r="L618" s="2026">
        <v>0.9</v>
      </c>
      <c r="M618" s="2027">
        <f t="shared" si="426"/>
        <v>3946.1400000000003</v>
      </c>
      <c r="N618" s="2027">
        <f t="shared" si="426"/>
        <v>3946.1400000000003</v>
      </c>
      <c r="O618" s="2027">
        <f t="shared" si="426"/>
        <v>3946.1400000000003</v>
      </c>
      <c r="P618" s="2027">
        <f t="shared" si="426"/>
        <v>3946.1400000000003</v>
      </c>
      <c r="Q618" s="2026">
        <v>0.9</v>
      </c>
      <c r="R618" s="2026">
        <v>0.9</v>
      </c>
      <c r="S618" s="2026">
        <v>0.9</v>
      </c>
      <c r="T618" s="2026">
        <v>0.9</v>
      </c>
      <c r="U618" s="2028">
        <f t="shared" si="427"/>
        <v>0.12600000000000003</v>
      </c>
      <c r="V618" s="2028">
        <f t="shared" si="427"/>
        <v>0.12600000000000003</v>
      </c>
      <c r="W618" s="2028">
        <f t="shared" si="427"/>
        <v>0.12600000000000003</v>
      </c>
      <c r="X618" s="2028">
        <f t="shared" si="427"/>
        <v>0.12600000000000003</v>
      </c>
      <c r="Y618" s="2026">
        <v>0.9</v>
      </c>
      <c r="Z618" s="2026">
        <v>0.9</v>
      </c>
      <c r="AA618" s="2026">
        <v>0.9</v>
      </c>
      <c r="AB618" s="2026">
        <v>0.9</v>
      </c>
      <c r="AC618" s="2027">
        <f t="shared" si="428"/>
        <v>-41.49</v>
      </c>
      <c r="AD618" s="2027">
        <f t="shared" si="428"/>
        <v>-41.49</v>
      </c>
      <c r="AE618" s="2027">
        <f t="shared" si="428"/>
        <v>-41.49</v>
      </c>
      <c r="AF618" s="2027">
        <f t="shared" si="428"/>
        <v>-41.49</v>
      </c>
      <c r="AG618" s="2027">
        <v>1</v>
      </c>
      <c r="AH618" s="2028">
        <v>1</v>
      </c>
      <c r="AI618" s="2028">
        <v>1</v>
      </c>
      <c r="AJ618" s="2028">
        <v>1</v>
      </c>
      <c r="AK618" s="2027">
        <f t="shared" si="434"/>
        <v>3946.1400000000003</v>
      </c>
      <c r="AL618" s="2027">
        <f t="shared" si="433"/>
        <v>3946.1400000000003</v>
      </c>
      <c r="AM618" s="2027">
        <f t="shared" si="433"/>
        <v>3946.1400000000003</v>
      </c>
      <c r="AN618" s="2027">
        <f t="shared" si="433"/>
        <v>3946.1400000000003</v>
      </c>
      <c r="AO618" s="2027">
        <f t="shared" si="429"/>
        <v>-41.49</v>
      </c>
      <c r="AP618" s="2027">
        <f t="shared" si="421"/>
        <v>-41.49</v>
      </c>
      <c r="AQ618" s="2027">
        <f t="shared" si="421"/>
        <v>-41.49</v>
      </c>
      <c r="AR618" s="2027">
        <f t="shared" si="421"/>
        <v>-41.49</v>
      </c>
      <c r="AS618" s="2124">
        <f>AS157*1</f>
        <v>100</v>
      </c>
      <c r="AT618" s="2029">
        <f t="shared" si="422"/>
        <v>100</v>
      </c>
      <c r="AU618" s="2029">
        <f t="shared" si="422"/>
        <v>100</v>
      </c>
      <c r="AV618" s="2029">
        <f t="shared" si="422"/>
        <v>100</v>
      </c>
      <c r="AW618" s="2124">
        <f>AW157*1</f>
        <v>0</v>
      </c>
      <c r="AX618" s="2029">
        <f t="shared" si="440"/>
        <v>0</v>
      </c>
      <c r="AY618" s="2029">
        <f t="shared" si="440"/>
        <v>0</v>
      </c>
      <c r="AZ618" s="2029">
        <f t="shared" si="440"/>
        <v>0</v>
      </c>
      <c r="BA618" s="2124">
        <f t="shared" ref="BA618:BD633" si="445">BA157</f>
        <v>274</v>
      </c>
      <c r="BB618" s="2029">
        <f t="shared" si="445"/>
        <v>274</v>
      </c>
      <c r="BC618" s="2029">
        <f t="shared" si="445"/>
        <v>274</v>
      </c>
      <c r="BD618" s="2029">
        <f t="shared" si="445"/>
        <v>274</v>
      </c>
      <c r="BE618" s="2030">
        <f t="shared" si="430"/>
        <v>100</v>
      </c>
      <c r="BF618" s="2030">
        <f t="shared" si="430"/>
        <v>100</v>
      </c>
      <c r="BG618" s="2030">
        <f t="shared" si="430"/>
        <v>100</v>
      </c>
      <c r="BH618" s="2030">
        <f t="shared" si="430"/>
        <v>100</v>
      </c>
      <c r="BI618" s="2030">
        <f t="shared" si="431"/>
        <v>0</v>
      </c>
      <c r="BJ618" s="2030">
        <f t="shared" si="431"/>
        <v>0</v>
      </c>
      <c r="BK618" s="2030">
        <f t="shared" si="431"/>
        <v>0</v>
      </c>
      <c r="BL618" s="2030">
        <f t="shared" si="431"/>
        <v>0</v>
      </c>
      <c r="BM618" s="2125"/>
      <c r="BN618" s="2125"/>
      <c r="BO618" s="2125"/>
      <c r="BP618" s="2125"/>
      <c r="BQ618" s="2125"/>
      <c r="BR618" s="2125"/>
      <c r="BS618" s="2125"/>
      <c r="BT618" s="2125"/>
      <c r="BU618" s="2029"/>
      <c r="BV618" s="2029"/>
      <c r="BW618" s="2029"/>
      <c r="BX618" s="2029"/>
      <c r="BY618" s="2029"/>
      <c r="BZ618" s="2032"/>
      <c r="CA618" s="1974">
        <f t="shared" si="441"/>
        <v>0</v>
      </c>
      <c r="CB618" s="1974">
        <f t="shared" si="441"/>
        <v>0</v>
      </c>
      <c r="CC618" s="1974">
        <f t="shared" si="441"/>
        <v>0</v>
      </c>
      <c r="CD618" s="1974">
        <f t="shared" si="441"/>
        <v>0</v>
      </c>
      <c r="CE618" s="1974">
        <f t="shared" si="441"/>
        <v>0</v>
      </c>
      <c r="CF618" s="2033">
        <v>1.6496194252172865E-5</v>
      </c>
      <c r="CG618" s="2026">
        <v>-1.5479107031914095E-5</v>
      </c>
      <c r="CH618" s="2009">
        <f t="shared" si="442"/>
        <v>0</v>
      </c>
      <c r="CI618" s="2031">
        <f t="shared" si="442"/>
        <v>0</v>
      </c>
      <c r="CJ618" s="1974">
        <f t="shared" si="442"/>
        <v>0</v>
      </c>
      <c r="CK618" s="2031">
        <f t="shared" si="442"/>
        <v>0</v>
      </c>
      <c r="CL618" s="2026">
        <v>1</v>
      </c>
      <c r="CM618" s="2026">
        <v>1</v>
      </c>
      <c r="CN618" s="2026">
        <v>1</v>
      </c>
      <c r="CO618" s="2026">
        <v>1</v>
      </c>
      <c r="CP618" s="2035"/>
      <c r="CQ618" s="2036"/>
      <c r="CR618" s="2036"/>
      <c r="CS618" s="2036"/>
      <c r="CT618" s="2036"/>
      <c r="CU618" s="2036"/>
      <c r="CV618" s="1973">
        <v>1</v>
      </c>
      <c r="CW618" s="1973">
        <v>0</v>
      </c>
      <c r="CX618" s="2037">
        <v>140</v>
      </c>
      <c r="CY618" s="2037">
        <v>140</v>
      </c>
      <c r="CZ618" s="2037">
        <v>140</v>
      </c>
      <c r="DA618" s="2037">
        <v>140</v>
      </c>
      <c r="DJ618" s="1976">
        <v>140</v>
      </c>
      <c r="DK618" s="1973">
        <v>140</v>
      </c>
      <c r="DL618" s="1973">
        <v>140</v>
      </c>
      <c r="DM618" s="1973">
        <v>140</v>
      </c>
      <c r="DO618" s="2027">
        <v>8</v>
      </c>
      <c r="DP618" s="2144">
        <v>4384.6000000000004</v>
      </c>
      <c r="DQ618" s="2145">
        <v>0.14000000000000001</v>
      </c>
      <c r="DR618" s="2027">
        <v>-46.1</v>
      </c>
      <c r="DS618" s="2124">
        <v>100</v>
      </c>
      <c r="DT618" s="2029">
        <v>100</v>
      </c>
      <c r="DU618" s="2029">
        <v>100</v>
      </c>
      <c r="DV618" s="2029">
        <v>100</v>
      </c>
      <c r="DW618" s="2124">
        <v>0</v>
      </c>
      <c r="DX618" s="2029">
        <v>0</v>
      </c>
      <c r="DY618" s="2029">
        <v>0</v>
      </c>
      <c r="DZ618" s="2029">
        <v>0</v>
      </c>
      <c r="EA618" s="2124">
        <v>274</v>
      </c>
      <c r="EB618" s="2029">
        <v>274</v>
      </c>
      <c r="EC618" s="2029">
        <v>274</v>
      </c>
      <c r="ED618" s="2029">
        <v>274</v>
      </c>
      <c r="EE618" s="2039">
        <f t="shared" si="412"/>
        <v>0</v>
      </c>
      <c r="EF618" s="2039">
        <f t="shared" si="412"/>
        <v>0</v>
      </c>
      <c r="EG618" s="2039">
        <f t="shared" si="412"/>
        <v>0</v>
      </c>
      <c r="EH618" s="2039">
        <f t="shared" si="412"/>
        <v>0</v>
      </c>
      <c r="EI618" s="2040">
        <f t="shared" si="437"/>
        <v>0</v>
      </c>
      <c r="EJ618" s="2040">
        <f t="shared" si="437"/>
        <v>0</v>
      </c>
      <c r="EK618" s="2040">
        <f t="shared" si="437"/>
        <v>0</v>
      </c>
      <c r="EL618" s="2040">
        <f t="shared" si="437"/>
        <v>0</v>
      </c>
      <c r="EM618" s="2040">
        <f t="shared" si="437"/>
        <v>0</v>
      </c>
      <c r="EN618" s="2040">
        <f t="shared" si="437"/>
        <v>0</v>
      </c>
      <c r="EO618" s="2040">
        <f t="shared" si="417"/>
        <v>0</v>
      </c>
      <c r="EP618" s="2040">
        <f t="shared" si="417"/>
        <v>0</v>
      </c>
      <c r="EQ618" s="2040">
        <f t="shared" si="417"/>
        <v>0</v>
      </c>
      <c r="ER618" s="2040">
        <f t="shared" si="393"/>
        <v>0</v>
      </c>
      <c r="ES618" s="2040">
        <f t="shared" si="393"/>
        <v>0</v>
      </c>
      <c r="ET618" s="2040">
        <f t="shared" si="393"/>
        <v>0</v>
      </c>
      <c r="EU618" s="2039">
        <f t="shared" si="413"/>
        <v>0</v>
      </c>
      <c r="EV618" s="2039">
        <f t="shared" si="414"/>
        <v>0</v>
      </c>
    </row>
    <row r="619" spans="1:152" x14ac:dyDescent="0.25">
      <c r="A619" s="2143" t="s">
        <v>2957</v>
      </c>
      <c r="B619" s="1974" t="str">
        <f t="shared" si="438"/>
        <v/>
      </c>
      <c r="C619" s="2027">
        <f t="shared" si="443"/>
        <v>10</v>
      </c>
      <c r="D619" s="2144">
        <f t="shared" si="443"/>
        <v>621</v>
      </c>
      <c r="E619" s="2145">
        <f t="shared" si="443"/>
        <v>5.7634999999999999E-2</v>
      </c>
      <c r="F619" s="2027">
        <f t="shared" si="443"/>
        <v>61.482900000000001</v>
      </c>
      <c r="G619" s="1974" t="s">
        <v>2988</v>
      </c>
      <c r="H619" s="1974" t="s">
        <v>2988</v>
      </c>
      <c r="I619" s="2026">
        <v>0.9</v>
      </c>
      <c r="J619" s="2026">
        <v>0.9</v>
      </c>
      <c r="K619" s="2026">
        <v>0.9</v>
      </c>
      <c r="L619" s="2026">
        <v>0.9</v>
      </c>
      <c r="M619" s="2027">
        <f t="shared" si="426"/>
        <v>558.9</v>
      </c>
      <c r="N619" s="2027">
        <f t="shared" si="426"/>
        <v>558.9</v>
      </c>
      <c r="O619" s="2027">
        <f t="shared" si="426"/>
        <v>558.9</v>
      </c>
      <c r="P619" s="2027">
        <f t="shared" si="426"/>
        <v>558.9</v>
      </c>
      <c r="Q619" s="2026">
        <v>0.9</v>
      </c>
      <c r="R619" s="2026">
        <v>0.9</v>
      </c>
      <c r="S619" s="2026">
        <v>0.9</v>
      </c>
      <c r="T619" s="2026">
        <v>0.9</v>
      </c>
      <c r="U619" s="2028">
        <f t="shared" si="427"/>
        <v>5.1871500000000001E-2</v>
      </c>
      <c r="V619" s="2028">
        <f t="shared" si="427"/>
        <v>5.1871500000000001E-2</v>
      </c>
      <c r="W619" s="2028">
        <f t="shared" si="427"/>
        <v>5.1871500000000001E-2</v>
      </c>
      <c r="X619" s="2028">
        <f t="shared" si="427"/>
        <v>5.1871500000000001E-2</v>
      </c>
      <c r="Y619" s="2026">
        <v>0.9</v>
      </c>
      <c r="Z619" s="2026">
        <v>0.9</v>
      </c>
      <c r="AA619" s="2026">
        <v>0.9</v>
      </c>
      <c r="AB619" s="2026">
        <v>0.9</v>
      </c>
      <c r="AC619" s="2027">
        <f t="shared" si="428"/>
        <v>55.334610000000005</v>
      </c>
      <c r="AD619" s="2027">
        <f t="shared" si="428"/>
        <v>55.334610000000005</v>
      </c>
      <c r="AE619" s="2027">
        <f t="shared" si="428"/>
        <v>55.334610000000005</v>
      </c>
      <c r="AF619" s="2027">
        <f t="shared" si="428"/>
        <v>55.334610000000005</v>
      </c>
      <c r="AG619" s="2027">
        <v>40</v>
      </c>
      <c r="AH619" s="2027">
        <v>35</v>
      </c>
      <c r="AI619" s="2027">
        <v>35</v>
      </c>
      <c r="AJ619" s="2027">
        <v>35</v>
      </c>
      <c r="AK619" s="2027">
        <f t="shared" si="434"/>
        <v>22356</v>
      </c>
      <c r="AL619" s="2027">
        <f t="shared" si="433"/>
        <v>19561.5</v>
      </c>
      <c r="AM619" s="2027">
        <f t="shared" si="433"/>
        <v>19561.5</v>
      </c>
      <c r="AN619" s="2027">
        <f t="shared" si="433"/>
        <v>19561.5</v>
      </c>
      <c r="AO619" s="2027">
        <f t="shared" si="429"/>
        <v>2213.3844000000004</v>
      </c>
      <c r="AP619" s="2027">
        <f t="shared" si="421"/>
        <v>1936.7113500000003</v>
      </c>
      <c r="AQ619" s="2027">
        <f t="shared" si="421"/>
        <v>1936.7113500000003</v>
      </c>
      <c r="AR619" s="2027">
        <f t="shared" si="421"/>
        <v>1936.7113500000003</v>
      </c>
      <c r="AS619" s="2029">
        <f>DF619</f>
        <v>107.10000000000001</v>
      </c>
      <c r="AT619" s="2029">
        <f>DG619</f>
        <v>68.599999999999994</v>
      </c>
      <c r="AU619" s="2029">
        <f>$AT619</f>
        <v>68.599999999999994</v>
      </c>
      <c r="AV619" s="2029">
        <f>$AT619</f>
        <v>68.599999999999994</v>
      </c>
      <c r="AW619" s="2029">
        <f>CX619-AS619</f>
        <v>102.89999999999999</v>
      </c>
      <c r="AX619" s="2029">
        <f>CY619-DG619</f>
        <v>71.400000000000006</v>
      </c>
      <c r="AY619" s="2029">
        <f>$AX619</f>
        <v>71.400000000000006</v>
      </c>
      <c r="AZ619" s="2029">
        <f>$AX619</f>
        <v>71.400000000000006</v>
      </c>
      <c r="BA619" s="2029">
        <f t="shared" si="445"/>
        <v>175</v>
      </c>
      <c r="BB619" s="2029">
        <f t="shared" si="445"/>
        <v>175</v>
      </c>
      <c r="BC619" s="2029">
        <f t="shared" si="445"/>
        <v>175</v>
      </c>
      <c r="BD619" s="2029">
        <f t="shared" si="445"/>
        <v>175</v>
      </c>
      <c r="BE619" s="2030">
        <f t="shared" si="430"/>
        <v>4284</v>
      </c>
      <c r="BF619" s="2030">
        <f t="shared" si="430"/>
        <v>2401</v>
      </c>
      <c r="BG619" s="2030">
        <f t="shared" si="430"/>
        <v>2401</v>
      </c>
      <c r="BH619" s="2030">
        <f t="shared" si="430"/>
        <v>2401</v>
      </c>
      <c r="BI619" s="2030">
        <f t="shared" si="431"/>
        <v>4116</v>
      </c>
      <c r="BJ619" s="2030">
        <f t="shared" si="431"/>
        <v>2499</v>
      </c>
      <c r="BK619" s="2030">
        <f t="shared" si="431"/>
        <v>2499</v>
      </c>
      <c r="BL619" s="2030">
        <f t="shared" si="431"/>
        <v>2499</v>
      </c>
      <c r="BM619" s="2125"/>
      <c r="BN619" s="2125"/>
      <c r="BO619" s="2125"/>
      <c r="BP619" s="2125"/>
      <c r="BQ619" s="2125"/>
      <c r="BR619" s="2125"/>
      <c r="BS619" s="2125"/>
      <c r="BT619" s="2125"/>
      <c r="BU619" s="2029"/>
      <c r="BV619" s="2029"/>
      <c r="BW619" s="2029"/>
      <c r="BX619" s="2029"/>
      <c r="BY619" s="2029"/>
      <c r="BZ619" s="2032"/>
      <c r="CA619" s="1974">
        <f t="shared" si="441"/>
        <v>0</v>
      </c>
      <c r="CB619" s="1974">
        <f t="shared" si="441"/>
        <v>0</v>
      </c>
      <c r="CC619" s="1974">
        <f t="shared" si="441"/>
        <v>0</v>
      </c>
      <c r="CD619" s="1974">
        <f t="shared" si="441"/>
        <v>0</v>
      </c>
      <c r="CE619" s="1974">
        <f t="shared" si="441"/>
        <v>0</v>
      </c>
      <c r="CF619" s="2033">
        <v>9.3455609456728999E-5</v>
      </c>
      <c r="CG619" s="2026">
        <v>8.2577040323858681E-4</v>
      </c>
      <c r="CH619" s="2009">
        <f t="shared" si="442"/>
        <v>0</v>
      </c>
      <c r="CI619" s="2031">
        <f t="shared" si="442"/>
        <v>0</v>
      </c>
      <c r="CJ619" s="1974">
        <f t="shared" si="442"/>
        <v>0</v>
      </c>
      <c r="CK619" s="2031">
        <f t="shared" si="442"/>
        <v>0</v>
      </c>
      <c r="CL619" s="2026">
        <v>1</v>
      </c>
      <c r="CM619" s="2026">
        <v>1</v>
      </c>
      <c r="CN619" s="2026">
        <v>1</v>
      </c>
      <c r="CO619" s="2026">
        <v>1</v>
      </c>
      <c r="CP619" s="2035"/>
      <c r="CQ619" s="2036"/>
      <c r="CR619" s="2036"/>
      <c r="CS619" s="2036"/>
      <c r="CT619" s="2036"/>
      <c r="CU619" s="2036"/>
      <c r="CV619" s="1973">
        <v>1</v>
      </c>
      <c r="CW619" s="1973">
        <v>0</v>
      </c>
      <c r="CX619" s="2037">
        <v>210</v>
      </c>
      <c r="CY619" s="2037">
        <v>140</v>
      </c>
      <c r="CZ619" s="2037">
        <v>140</v>
      </c>
      <c r="DA619" s="2037">
        <v>140</v>
      </c>
      <c r="DB619" s="2051">
        <v>0.51</v>
      </c>
      <c r="DC619" s="2062">
        <v>0.49</v>
      </c>
      <c r="DD619" s="2062">
        <v>0.49</v>
      </c>
      <c r="DE619" s="2062">
        <v>0.49</v>
      </c>
      <c r="DF619" s="2037">
        <f>DB619*CX619</f>
        <v>107.10000000000001</v>
      </c>
      <c r="DG619" s="2037">
        <f>DC619*CY619</f>
        <v>68.599999999999994</v>
      </c>
      <c r="DH619" s="2037">
        <f>DD619*CZ619</f>
        <v>68.599999999999994</v>
      </c>
      <c r="DI619" s="2037">
        <f>DE619*DA619</f>
        <v>68.599999999999994</v>
      </c>
      <c r="DJ619" s="1976">
        <v>105</v>
      </c>
      <c r="DK619" s="1973">
        <v>70</v>
      </c>
      <c r="DL619" s="1973">
        <v>70</v>
      </c>
      <c r="DM619" s="1973">
        <v>70</v>
      </c>
      <c r="DO619" s="2027">
        <v>10</v>
      </c>
      <c r="DP619" s="2144">
        <v>621</v>
      </c>
      <c r="DQ619" s="2145">
        <v>5.7634999999999999E-2</v>
      </c>
      <c r="DR619" s="2027">
        <v>61.482900000000001</v>
      </c>
      <c r="DS619" s="2029">
        <v>107.10000000000001</v>
      </c>
      <c r="DT619" s="2029">
        <v>68.599999999999994</v>
      </c>
      <c r="DU619" s="2029">
        <v>68.599999999999994</v>
      </c>
      <c r="DV619" s="2029">
        <v>68.599999999999994</v>
      </c>
      <c r="DW619" s="2029">
        <v>102.89999999999999</v>
      </c>
      <c r="DX619" s="2029">
        <v>71.400000000000006</v>
      </c>
      <c r="DY619" s="2029">
        <v>71.400000000000006</v>
      </c>
      <c r="DZ619" s="2029">
        <v>71.400000000000006</v>
      </c>
      <c r="EA619" s="2029">
        <v>175</v>
      </c>
      <c r="EB619" s="2029">
        <v>175</v>
      </c>
      <c r="EC619" s="2029">
        <v>175</v>
      </c>
      <c r="ED619" s="2029">
        <v>175</v>
      </c>
      <c r="EE619" s="2039">
        <f t="shared" si="412"/>
        <v>0</v>
      </c>
      <c r="EF619" s="2039">
        <f t="shared" si="412"/>
        <v>0</v>
      </c>
      <c r="EG619" s="2039">
        <f t="shared" si="412"/>
        <v>0</v>
      </c>
      <c r="EH619" s="2039">
        <f t="shared" si="412"/>
        <v>0</v>
      </c>
      <c r="EI619" s="2040">
        <f t="shared" si="437"/>
        <v>0</v>
      </c>
      <c r="EJ619" s="2040">
        <f t="shared" si="437"/>
        <v>0</v>
      </c>
      <c r="EK619" s="2040">
        <f t="shared" si="437"/>
        <v>0</v>
      </c>
      <c r="EL619" s="2040">
        <f t="shared" si="437"/>
        <v>0</v>
      </c>
      <c r="EM619" s="2040">
        <f t="shared" si="437"/>
        <v>0</v>
      </c>
      <c r="EN619" s="2040">
        <f t="shared" si="437"/>
        <v>0</v>
      </c>
      <c r="EO619" s="2040">
        <f t="shared" si="417"/>
        <v>0</v>
      </c>
      <c r="EP619" s="2040">
        <f t="shared" si="417"/>
        <v>0</v>
      </c>
      <c r="EQ619" s="2040">
        <f t="shared" si="417"/>
        <v>0</v>
      </c>
      <c r="ER619" s="2040">
        <f t="shared" si="417"/>
        <v>0</v>
      </c>
      <c r="ES619" s="2040">
        <f t="shared" si="417"/>
        <v>0</v>
      </c>
      <c r="ET619" s="2040">
        <f t="shared" si="417"/>
        <v>0</v>
      </c>
      <c r="EU619" s="2039">
        <f t="shared" si="413"/>
        <v>0</v>
      </c>
      <c r="EV619" s="2039">
        <f t="shared" si="414"/>
        <v>0</v>
      </c>
    </row>
    <row r="620" spans="1:152" x14ac:dyDescent="0.25">
      <c r="A620" s="2149" t="s">
        <v>176</v>
      </c>
      <c r="B620" s="1974" t="str">
        <f t="shared" si="438"/>
        <v/>
      </c>
      <c r="C620" s="2027">
        <f t="shared" si="443"/>
        <v>15</v>
      </c>
      <c r="D620" s="2144">
        <f t="shared" si="443"/>
        <v>0</v>
      </c>
      <c r="E620" s="2145">
        <f t="shared" si="443"/>
        <v>0</v>
      </c>
      <c r="F620" s="2027">
        <f t="shared" si="443"/>
        <v>1.6</v>
      </c>
      <c r="G620" s="1974" t="s">
        <v>2988</v>
      </c>
      <c r="H620" s="1974" t="s">
        <v>2988</v>
      </c>
      <c r="I620" s="2026">
        <v>0.9</v>
      </c>
      <c r="J620" s="2026">
        <v>0.9</v>
      </c>
      <c r="K620" s="2026">
        <v>0.9</v>
      </c>
      <c r="L620" s="2026">
        <v>0.9</v>
      </c>
      <c r="M620" s="2027">
        <f t="shared" si="426"/>
        <v>0</v>
      </c>
      <c r="N620" s="2027">
        <f t="shared" si="426"/>
        <v>0</v>
      </c>
      <c r="O620" s="2027">
        <f t="shared" si="426"/>
        <v>0</v>
      </c>
      <c r="P620" s="2027">
        <f t="shared" si="426"/>
        <v>0</v>
      </c>
      <c r="Q620" s="2026">
        <v>0.9</v>
      </c>
      <c r="R620" s="2026">
        <v>0.9</v>
      </c>
      <c r="S620" s="2026">
        <v>0.9</v>
      </c>
      <c r="T620" s="2026">
        <v>0.9</v>
      </c>
      <c r="U620" s="2028">
        <f t="shared" si="427"/>
        <v>0</v>
      </c>
      <c r="V620" s="2028">
        <f t="shared" si="427"/>
        <v>0</v>
      </c>
      <c r="W620" s="2028">
        <f t="shared" si="427"/>
        <v>0</v>
      </c>
      <c r="X620" s="2028">
        <f t="shared" si="427"/>
        <v>0</v>
      </c>
      <c r="Y620" s="2026">
        <v>0.9</v>
      </c>
      <c r="Z620" s="2026">
        <v>0.9</v>
      </c>
      <c r="AA620" s="2026">
        <v>0.9</v>
      </c>
      <c r="AB620" s="2026">
        <v>0.9</v>
      </c>
      <c r="AC620" s="2027">
        <f t="shared" si="428"/>
        <v>1.4400000000000002</v>
      </c>
      <c r="AD620" s="2027">
        <f t="shared" si="428"/>
        <v>1.4400000000000002</v>
      </c>
      <c r="AE620" s="2027">
        <f t="shared" si="428"/>
        <v>1.4400000000000002</v>
      </c>
      <c r="AF620" s="2027">
        <f t="shared" si="428"/>
        <v>1.4400000000000002</v>
      </c>
      <c r="AG620" s="2027">
        <v>0</v>
      </c>
      <c r="AH620" s="2028"/>
      <c r="AI620" s="2028"/>
      <c r="AJ620" s="2028"/>
      <c r="AK620" s="2027">
        <f t="shared" si="434"/>
        <v>0</v>
      </c>
      <c r="AL620" s="2027">
        <f t="shared" si="433"/>
        <v>0</v>
      </c>
      <c r="AM620" s="2027">
        <f t="shared" si="433"/>
        <v>0</v>
      </c>
      <c r="AN620" s="2027">
        <f t="shared" si="433"/>
        <v>0</v>
      </c>
      <c r="AO620" s="2027">
        <f t="shared" si="429"/>
        <v>0</v>
      </c>
      <c r="AP620" s="2027">
        <f t="shared" si="421"/>
        <v>0</v>
      </c>
      <c r="AQ620" s="2027">
        <f t="shared" si="421"/>
        <v>0</v>
      </c>
      <c r="AR620" s="2027">
        <f t="shared" si="421"/>
        <v>0</v>
      </c>
      <c r="AS620" s="2124">
        <f>AS159*1.5</f>
        <v>0</v>
      </c>
      <c r="AT620" s="2029">
        <f t="shared" si="422"/>
        <v>0</v>
      </c>
      <c r="AU620" s="2029">
        <f t="shared" si="422"/>
        <v>0</v>
      </c>
      <c r="AV620" s="2029">
        <f t="shared" si="422"/>
        <v>0</v>
      </c>
      <c r="AW620" s="2124">
        <f t="shared" ref="AW620:AW626" si="446">AW159*1.5</f>
        <v>1.5</v>
      </c>
      <c r="AX620" s="2029">
        <f t="shared" si="440"/>
        <v>1.5</v>
      </c>
      <c r="AY620" s="2029">
        <f t="shared" si="440"/>
        <v>1.5</v>
      </c>
      <c r="AZ620" s="2029">
        <f t="shared" si="440"/>
        <v>1.5</v>
      </c>
      <c r="BA620" s="2124">
        <f t="shared" si="445"/>
        <v>13.97</v>
      </c>
      <c r="BB620" s="2029">
        <f t="shared" si="445"/>
        <v>13.97</v>
      </c>
      <c r="BC620" s="2029">
        <f t="shared" si="445"/>
        <v>13.97</v>
      </c>
      <c r="BD620" s="2029">
        <f t="shared" si="445"/>
        <v>13.97</v>
      </c>
      <c r="BE620" s="2030">
        <f t="shared" si="430"/>
        <v>0</v>
      </c>
      <c r="BF620" s="2030">
        <f t="shared" si="430"/>
        <v>0</v>
      </c>
      <c r="BG620" s="2030">
        <f t="shared" si="430"/>
        <v>0</v>
      </c>
      <c r="BH620" s="2030">
        <f t="shared" si="430"/>
        <v>0</v>
      </c>
      <c r="BI620" s="2030">
        <f t="shared" si="431"/>
        <v>0</v>
      </c>
      <c r="BJ620" s="2030">
        <f t="shared" si="431"/>
        <v>0</v>
      </c>
      <c r="BK620" s="2030">
        <f t="shared" si="431"/>
        <v>0</v>
      </c>
      <c r="BL620" s="2030">
        <f t="shared" si="431"/>
        <v>0</v>
      </c>
      <c r="BM620" s="2125"/>
      <c r="BN620" s="2125"/>
      <c r="BO620" s="2125"/>
      <c r="BP620" s="2125"/>
      <c r="BQ620" s="2125"/>
      <c r="BR620" s="2125"/>
      <c r="BS620" s="2125"/>
      <c r="BT620" s="2125"/>
      <c r="BU620" s="2029"/>
      <c r="BV620" s="2029"/>
      <c r="BW620" s="2029"/>
      <c r="BX620" s="2029"/>
      <c r="BY620" s="2029"/>
      <c r="BZ620" s="2032"/>
      <c r="CA620" s="1974">
        <f t="shared" si="441"/>
        <v>0</v>
      </c>
      <c r="CB620" s="1974">
        <f t="shared" si="441"/>
        <v>0</v>
      </c>
      <c r="CC620" s="1974">
        <f t="shared" si="441"/>
        <v>0</v>
      </c>
      <c r="CD620" s="1974">
        <f t="shared" si="441"/>
        <v>0</v>
      </c>
      <c r="CE620" s="1974">
        <f t="shared" si="441"/>
        <v>0</v>
      </c>
      <c r="CF620" s="2033">
        <v>0</v>
      </c>
      <c r="CG620" s="2026">
        <v>0</v>
      </c>
      <c r="CH620" s="2009">
        <f t="shared" si="442"/>
        <v>0</v>
      </c>
      <c r="CI620" s="2031">
        <f t="shared" si="442"/>
        <v>0</v>
      </c>
      <c r="CJ620" s="1974">
        <f t="shared" si="442"/>
        <v>0</v>
      </c>
      <c r="CK620" s="2031">
        <f t="shared" si="442"/>
        <v>0</v>
      </c>
      <c r="CL620" s="2026">
        <v>1</v>
      </c>
      <c r="CM620" s="2026">
        <v>1</v>
      </c>
      <c r="CN620" s="2026">
        <v>1</v>
      </c>
      <c r="CO620" s="2026">
        <v>1</v>
      </c>
      <c r="CP620" s="2035"/>
      <c r="CQ620" s="2036"/>
      <c r="CR620" s="2036"/>
      <c r="CS620" s="2036"/>
      <c r="CT620" s="2036"/>
      <c r="CU620" s="2036"/>
      <c r="CV620" s="1973">
        <v>1</v>
      </c>
      <c r="CW620" s="1973">
        <v>0</v>
      </c>
      <c r="CX620" s="2037">
        <v>1.5</v>
      </c>
      <c r="CY620" s="2037">
        <v>1.5</v>
      </c>
      <c r="CZ620" s="2037">
        <v>1.5</v>
      </c>
      <c r="DA620" s="2037">
        <v>1.5</v>
      </c>
      <c r="DJ620" s="1976">
        <v>0</v>
      </c>
      <c r="DK620" s="1973">
        <v>0</v>
      </c>
      <c r="DL620" s="1973">
        <v>0</v>
      </c>
      <c r="DM620" s="1973">
        <v>0</v>
      </c>
      <c r="DO620" s="2027">
        <v>15</v>
      </c>
      <c r="DP620" s="2144">
        <v>0</v>
      </c>
      <c r="DQ620" s="2145">
        <v>0</v>
      </c>
      <c r="DR620" s="2027">
        <v>1.6</v>
      </c>
      <c r="DS620" s="2124">
        <v>0</v>
      </c>
      <c r="DT620" s="2029">
        <v>0</v>
      </c>
      <c r="DU620" s="2029">
        <v>0</v>
      </c>
      <c r="DV620" s="2029">
        <v>0</v>
      </c>
      <c r="DW620" s="2124">
        <v>1.5</v>
      </c>
      <c r="DX620" s="2029">
        <v>1.5</v>
      </c>
      <c r="DY620" s="2029">
        <v>1.5</v>
      </c>
      <c r="DZ620" s="2029">
        <v>1.5</v>
      </c>
      <c r="EA620" s="2124">
        <v>13.97</v>
      </c>
      <c r="EB620" s="2029">
        <v>13.97</v>
      </c>
      <c r="EC620" s="2029">
        <v>13.97</v>
      </c>
      <c r="ED620" s="2029">
        <v>13.97</v>
      </c>
      <c r="EE620" s="2039">
        <f t="shared" si="412"/>
        <v>0</v>
      </c>
      <c r="EF620" s="2039">
        <f t="shared" si="412"/>
        <v>0</v>
      </c>
      <c r="EG620" s="2039">
        <f t="shared" si="412"/>
        <v>0</v>
      </c>
      <c r="EH620" s="2039">
        <f t="shared" si="412"/>
        <v>0</v>
      </c>
      <c r="EI620" s="2040">
        <f t="shared" si="437"/>
        <v>0</v>
      </c>
      <c r="EJ620" s="2040">
        <f t="shared" si="437"/>
        <v>0</v>
      </c>
      <c r="EK620" s="2040">
        <f t="shared" si="437"/>
        <v>0</v>
      </c>
      <c r="EL620" s="2040">
        <f t="shared" si="437"/>
        <v>0</v>
      </c>
      <c r="EM620" s="2040">
        <f t="shared" si="437"/>
        <v>0</v>
      </c>
      <c r="EN620" s="2040">
        <f t="shared" si="437"/>
        <v>0</v>
      </c>
      <c r="EO620" s="2040">
        <f t="shared" si="417"/>
        <v>0</v>
      </c>
      <c r="EP620" s="2040">
        <f t="shared" si="417"/>
        <v>0</v>
      </c>
      <c r="EQ620" s="2040">
        <f t="shared" si="417"/>
        <v>0</v>
      </c>
      <c r="ER620" s="2040">
        <f t="shared" si="417"/>
        <v>0</v>
      </c>
      <c r="ES620" s="2040">
        <f t="shared" si="417"/>
        <v>0</v>
      </c>
      <c r="ET620" s="2040">
        <f t="shared" si="417"/>
        <v>0</v>
      </c>
      <c r="EU620" s="2039">
        <f t="shared" si="413"/>
        <v>0</v>
      </c>
      <c r="EV620" s="2039">
        <f t="shared" si="414"/>
        <v>0</v>
      </c>
    </row>
    <row r="621" spans="1:152" x14ac:dyDescent="0.25">
      <c r="A621" s="2149" t="s">
        <v>258</v>
      </c>
      <c r="B621" s="1974" t="str">
        <f t="shared" si="438"/>
        <v/>
      </c>
      <c r="C621" s="2027">
        <f t="shared" si="443"/>
        <v>15</v>
      </c>
      <c r="D621" s="2144">
        <f t="shared" si="443"/>
        <v>0</v>
      </c>
      <c r="E621" s="2145">
        <f t="shared" si="443"/>
        <v>0</v>
      </c>
      <c r="F621" s="2027">
        <f t="shared" si="443"/>
        <v>0.12</v>
      </c>
      <c r="G621" s="1974" t="s">
        <v>2988</v>
      </c>
      <c r="H621" s="1974" t="s">
        <v>2988</v>
      </c>
      <c r="I621" s="2026">
        <v>0.9</v>
      </c>
      <c r="J621" s="2026">
        <v>0.9</v>
      </c>
      <c r="K621" s="2026">
        <v>0.9</v>
      </c>
      <c r="L621" s="2026">
        <v>0.9</v>
      </c>
      <c r="M621" s="2027">
        <f t="shared" si="426"/>
        <v>0</v>
      </c>
      <c r="N621" s="2027">
        <f t="shared" si="426"/>
        <v>0</v>
      </c>
      <c r="O621" s="2027">
        <f t="shared" si="426"/>
        <v>0</v>
      </c>
      <c r="P621" s="2027">
        <f t="shared" si="426"/>
        <v>0</v>
      </c>
      <c r="Q621" s="2026">
        <v>0.9</v>
      </c>
      <c r="R621" s="2026">
        <v>0.9</v>
      </c>
      <c r="S621" s="2026">
        <v>0.9</v>
      </c>
      <c r="T621" s="2026">
        <v>0.9</v>
      </c>
      <c r="U621" s="2028">
        <f t="shared" si="427"/>
        <v>0</v>
      </c>
      <c r="V621" s="2028">
        <f t="shared" si="427"/>
        <v>0</v>
      </c>
      <c r="W621" s="2028">
        <f t="shared" si="427"/>
        <v>0</v>
      </c>
      <c r="X621" s="2028">
        <f t="shared" si="427"/>
        <v>0</v>
      </c>
      <c r="Y621" s="2026">
        <v>0.9</v>
      </c>
      <c r="Z621" s="2026">
        <v>0.9</v>
      </c>
      <c r="AA621" s="2026">
        <v>0.9</v>
      </c>
      <c r="AB621" s="2026">
        <v>0.9</v>
      </c>
      <c r="AC621" s="2027">
        <f t="shared" si="428"/>
        <v>0.108</v>
      </c>
      <c r="AD621" s="2027">
        <f t="shared" si="428"/>
        <v>0.108</v>
      </c>
      <c r="AE621" s="2027">
        <f t="shared" si="428"/>
        <v>0.108</v>
      </c>
      <c r="AF621" s="2027">
        <f t="shared" si="428"/>
        <v>0.108</v>
      </c>
      <c r="AG621" s="2027">
        <v>0</v>
      </c>
      <c r="AH621" s="2028"/>
      <c r="AI621" s="2028"/>
      <c r="AJ621" s="2028"/>
      <c r="AK621" s="2027">
        <f t="shared" si="434"/>
        <v>0</v>
      </c>
      <c r="AL621" s="2027">
        <f t="shared" si="433"/>
        <v>0</v>
      </c>
      <c r="AM621" s="2027">
        <f t="shared" si="433"/>
        <v>0</v>
      </c>
      <c r="AN621" s="2027">
        <f t="shared" si="433"/>
        <v>0</v>
      </c>
      <c r="AO621" s="2027">
        <f t="shared" si="429"/>
        <v>0</v>
      </c>
      <c r="AP621" s="2027">
        <f t="shared" si="421"/>
        <v>0</v>
      </c>
      <c r="AQ621" s="2027">
        <f t="shared" si="421"/>
        <v>0</v>
      </c>
      <c r="AR621" s="2027">
        <f t="shared" si="421"/>
        <v>0</v>
      </c>
      <c r="AS621" s="2124">
        <f>AS160*1.5</f>
        <v>0</v>
      </c>
      <c r="AT621" s="2029">
        <f t="shared" si="422"/>
        <v>0</v>
      </c>
      <c r="AU621" s="2029">
        <f t="shared" si="422"/>
        <v>0</v>
      </c>
      <c r="AV621" s="2029">
        <f t="shared" si="422"/>
        <v>0</v>
      </c>
      <c r="AW621" s="2124">
        <f t="shared" si="446"/>
        <v>0.15000000000000002</v>
      </c>
      <c r="AX621" s="2029">
        <f t="shared" si="440"/>
        <v>0.15000000000000002</v>
      </c>
      <c r="AY621" s="2029">
        <f t="shared" si="440"/>
        <v>0.15000000000000002</v>
      </c>
      <c r="AZ621" s="2029">
        <f t="shared" si="440"/>
        <v>0.15000000000000002</v>
      </c>
      <c r="BA621" s="2124">
        <f t="shared" si="445"/>
        <v>4.1500000000000004</v>
      </c>
      <c r="BB621" s="2029">
        <f t="shared" si="445"/>
        <v>4.1500000000000004</v>
      </c>
      <c r="BC621" s="2029">
        <f t="shared" si="445"/>
        <v>4.1500000000000004</v>
      </c>
      <c r="BD621" s="2029">
        <f t="shared" si="445"/>
        <v>4.1500000000000004</v>
      </c>
      <c r="BE621" s="2030">
        <f t="shared" si="430"/>
        <v>0</v>
      </c>
      <c r="BF621" s="2030">
        <f t="shared" si="430"/>
        <v>0</v>
      </c>
      <c r="BG621" s="2030">
        <f t="shared" si="430"/>
        <v>0</v>
      </c>
      <c r="BH621" s="2030">
        <f t="shared" si="430"/>
        <v>0</v>
      </c>
      <c r="BI621" s="2030">
        <f t="shared" si="431"/>
        <v>0</v>
      </c>
      <c r="BJ621" s="2030">
        <f t="shared" si="431"/>
        <v>0</v>
      </c>
      <c r="BK621" s="2030">
        <f t="shared" si="431"/>
        <v>0</v>
      </c>
      <c r="BL621" s="2030">
        <f t="shared" si="431"/>
        <v>0</v>
      </c>
      <c r="BM621" s="2125"/>
      <c r="BN621" s="2125"/>
      <c r="BO621" s="2125"/>
      <c r="BP621" s="2125"/>
      <c r="BQ621" s="2125"/>
      <c r="BR621" s="2125"/>
      <c r="BS621" s="2125"/>
      <c r="BT621" s="2125"/>
      <c r="BU621" s="2029"/>
      <c r="BV621" s="2029"/>
      <c r="BW621" s="2029"/>
      <c r="BX621" s="2029"/>
      <c r="BY621" s="2029"/>
      <c r="BZ621" s="2032"/>
      <c r="CA621" s="1974">
        <f t="shared" si="441"/>
        <v>0</v>
      </c>
      <c r="CB621" s="1974">
        <f t="shared" si="441"/>
        <v>0</v>
      </c>
      <c r="CC621" s="1974">
        <f t="shared" si="441"/>
        <v>0</v>
      </c>
      <c r="CD621" s="1974">
        <f t="shared" si="441"/>
        <v>0</v>
      </c>
      <c r="CE621" s="1974">
        <f t="shared" si="441"/>
        <v>0</v>
      </c>
      <c r="CF621" s="2033">
        <v>0</v>
      </c>
      <c r="CG621" s="2026">
        <v>0</v>
      </c>
      <c r="CH621" s="2009">
        <f t="shared" si="442"/>
        <v>0</v>
      </c>
      <c r="CI621" s="2031">
        <f t="shared" si="442"/>
        <v>0</v>
      </c>
      <c r="CJ621" s="1974">
        <f t="shared" si="442"/>
        <v>0</v>
      </c>
      <c r="CK621" s="2031">
        <f t="shared" si="442"/>
        <v>0</v>
      </c>
      <c r="CL621" s="2026">
        <v>1</v>
      </c>
      <c r="CM621" s="2026">
        <v>1</v>
      </c>
      <c r="CN621" s="2026">
        <v>1</v>
      </c>
      <c r="CO621" s="2026">
        <v>1</v>
      </c>
      <c r="CP621" s="2035"/>
      <c r="CQ621" s="2036"/>
      <c r="CR621" s="2036"/>
      <c r="CS621" s="2036"/>
      <c r="CT621" s="2036"/>
      <c r="CU621" s="2036"/>
      <c r="CV621" s="1973">
        <v>1</v>
      </c>
      <c r="CW621" s="1973">
        <v>0</v>
      </c>
      <c r="CX621" s="2037">
        <v>0.15000000000000002</v>
      </c>
      <c r="CY621" s="2037">
        <v>0.15000000000000002</v>
      </c>
      <c r="CZ621" s="2037">
        <v>0.15000000000000002</v>
      </c>
      <c r="DA621" s="2037">
        <v>0.15000000000000002</v>
      </c>
      <c r="DJ621" s="1976">
        <v>0</v>
      </c>
      <c r="DK621" s="1973">
        <v>0</v>
      </c>
      <c r="DL621" s="1973">
        <v>0</v>
      </c>
      <c r="DM621" s="1973">
        <v>0</v>
      </c>
      <c r="DO621" s="2027">
        <v>15</v>
      </c>
      <c r="DP621" s="2144">
        <v>0</v>
      </c>
      <c r="DQ621" s="2145">
        <v>0</v>
      </c>
      <c r="DR621" s="2027">
        <v>0.12</v>
      </c>
      <c r="DS621" s="2124">
        <v>0</v>
      </c>
      <c r="DT621" s="2029">
        <v>0</v>
      </c>
      <c r="DU621" s="2029">
        <v>0</v>
      </c>
      <c r="DV621" s="2029">
        <v>0</v>
      </c>
      <c r="DW621" s="2124">
        <v>0.15000000000000002</v>
      </c>
      <c r="DX621" s="2029">
        <v>0.15000000000000002</v>
      </c>
      <c r="DY621" s="2029">
        <v>0.15000000000000002</v>
      </c>
      <c r="DZ621" s="2029">
        <v>0.15000000000000002</v>
      </c>
      <c r="EA621" s="2124">
        <v>4.1500000000000004</v>
      </c>
      <c r="EB621" s="2029">
        <v>4.1500000000000004</v>
      </c>
      <c r="EC621" s="2029">
        <v>4.1500000000000004</v>
      </c>
      <c r="ED621" s="2029">
        <v>4.1500000000000004</v>
      </c>
      <c r="EE621" s="2039">
        <f t="shared" si="412"/>
        <v>0</v>
      </c>
      <c r="EF621" s="2039">
        <f t="shared" si="412"/>
        <v>0</v>
      </c>
      <c r="EG621" s="2039">
        <f t="shared" si="412"/>
        <v>0</v>
      </c>
      <c r="EH621" s="2039">
        <f t="shared" si="412"/>
        <v>0</v>
      </c>
      <c r="EI621" s="2040">
        <f t="shared" si="437"/>
        <v>0</v>
      </c>
      <c r="EJ621" s="2040">
        <f t="shared" si="437"/>
        <v>0</v>
      </c>
      <c r="EK621" s="2040">
        <f t="shared" si="437"/>
        <v>0</v>
      </c>
      <c r="EL621" s="2040">
        <f t="shared" si="437"/>
        <v>0</v>
      </c>
      <c r="EM621" s="2040">
        <f t="shared" si="437"/>
        <v>0</v>
      </c>
      <c r="EN621" s="2040">
        <f t="shared" si="437"/>
        <v>0</v>
      </c>
      <c r="EO621" s="2040">
        <f t="shared" si="417"/>
        <v>0</v>
      </c>
      <c r="EP621" s="2040">
        <f t="shared" si="417"/>
        <v>0</v>
      </c>
      <c r="EQ621" s="2040">
        <f t="shared" si="417"/>
        <v>0</v>
      </c>
      <c r="ER621" s="2040">
        <f t="shared" si="417"/>
        <v>0</v>
      </c>
      <c r="ES621" s="2040">
        <f t="shared" si="417"/>
        <v>0</v>
      </c>
      <c r="ET621" s="2040">
        <f t="shared" si="417"/>
        <v>0</v>
      </c>
      <c r="EU621" s="2039">
        <f t="shared" si="413"/>
        <v>0</v>
      </c>
      <c r="EV621" s="2039">
        <f t="shared" si="414"/>
        <v>0</v>
      </c>
    </row>
    <row r="622" spans="1:152" x14ac:dyDescent="0.25">
      <c r="A622" s="2149" t="s">
        <v>177</v>
      </c>
      <c r="B622" s="1974" t="str">
        <f t="shared" si="438"/>
        <v/>
      </c>
      <c r="C622" s="2027">
        <f t="shared" si="443"/>
        <v>15</v>
      </c>
      <c r="D622" s="2144">
        <f t="shared" si="443"/>
        <v>110019</v>
      </c>
      <c r="E622" s="2145">
        <f t="shared" si="443"/>
        <v>11.2379</v>
      </c>
      <c r="F622" s="2027">
        <f t="shared" si="443"/>
        <v>0</v>
      </c>
      <c r="G622" s="1974" t="s">
        <v>2988</v>
      </c>
      <c r="H622" s="1974" t="s">
        <v>2988</v>
      </c>
      <c r="I622" s="2026">
        <v>0.9</v>
      </c>
      <c r="J622" s="2026">
        <v>0.9</v>
      </c>
      <c r="K622" s="2026">
        <v>0.9</v>
      </c>
      <c r="L622" s="2026">
        <v>0.9</v>
      </c>
      <c r="M622" s="2027">
        <f t="shared" si="426"/>
        <v>99017.1</v>
      </c>
      <c r="N622" s="2027">
        <f t="shared" si="426"/>
        <v>99017.1</v>
      </c>
      <c r="O622" s="2027">
        <f t="shared" si="426"/>
        <v>99017.1</v>
      </c>
      <c r="P622" s="2027">
        <f t="shared" si="426"/>
        <v>99017.1</v>
      </c>
      <c r="Q622" s="2026">
        <v>0.9</v>
      </c>
      <c r="R622" s="2026">
        <v>0.9</v>
      </c>
      <c r="S622" s="2026">
        <v>0.9</v>
      </c>
      <c r="T622" s="2026">
        <v>0.9</v>
      </c>
      <c r="U622" s="2028">
        <f t="shared" si="427"/>
        <v>10.11411</v>
      </c>
      <c r="V622" s="2028">
        <f t="shared" si="427"/>
        <v>10.11411</v>
      </c>
      <c r="W622" s="2028">
        <f t="shared" si="427"/>
        <v>10.11411</v>
      </c>
      <c r="X622" s="2028">
        <f t="shared" si="427"/>
        <v>10.11411</v>
      </c>
      <c r="Y622" s="2026">
        <v>0.9</v>
      </c>
      <c r="Z622" s="2026">
        <v>0.9</v>
      </c>
      <c r="AA622" s="2026">
        <v>0.9</v>
      </c>
      <c r="AB622" s="2026">
        <v>0.9</v>
      </c>
      <c r="AC622" s="2027">
        <f t="shared" si="428"/>
        <v>0</v>
      </c>
      <c r="AD622" s="2027">
        <f t="shared" si="428"/>
        <v>0</v>
      </c>
      <c r="AE622" s="2027">
        <f t="shared" si="428"/>
        <v>0</v>
      </c>
      <c r="AF622" s="2027">
        <f t="shared" si="428"/>
        <v>0</v>
      </c>
      <c r="AG622" s="2027">
        <v>0</v>
      </c>
      <c r="AH622" s="2028"/>
      <c r="AI622" s="2028"/>
      <c r="AJ622" s="2028"/>
      <c r="AK622" s="2027">
        <f t="shared" si="434"/>
        <v>0</v>
      </c>
      <c r="AL622" s="2027">
        <f t="shared" si="433"/>
        <v>0</v>
      </c>
      <c r="AM622" s="2027">
        <f t="shared" si="433"/>
        <v>0</v>
      </c>
      <c r="AN622" s="2027">
        <f t="shared" si="433"/>
        <v>0</v>
      </c>
      <c r="AO622" s="2027">
        <f t="shared" si="429"/>
        <v>0</v>
      </c>
      <c r="AP622" s="2027">
        <f t="shared" si="421"/>
        <v>0</v>
      </c>
      <c r="AQ622" s="2027">
        <f t="shared" si="421"/>
        <v>0</v>
      </c>
      <c r="AR622" s="2027">
        <f t="shared" si="421"/>
        <v>0</v>
      </c>
      <c r="AS622" s="2124">
        <f>AS161*1.5</f>
        <v>1500</v>
      </c>
      <c r="AT622" s="2029">
        <f t="shared" si="422"/>
        <v>1500</v>
      </c>
      <c r="AU622" s="2029">
        <f t="shared" si="422"/>
        <v>1500</v>
      </c>
      <c r="AV622" s="2029">
        <f t="shared" si="422"/>
        <v>1500</v>
      </c>
      <c r="AW622" s="2124">
        <f t="shared" si="446"/>
        <v>0</v>
      </c>
      <c r="AX622" s="2029">
        <f t="shared" si="440"/>
        <v>0</v>
      </c>
      <c r="AY622" s="2029">
        <f t="shared" si="440"/>
        <v>0</v>
      </c>
      <c r="AZ622" s="2029">
        <f t="shared" si="440"/>
        <v>0</v>
      </c>
      <c r="BA622" s="2124">
        <f t="shared" si="445"/>
        <v>10200</v>
      </c>
      <c r="BB622" s="2029">
        <f t="shared" si="445"/>
        <v>10200</v>
      </c>
      <c r="BC622" s="2029">
        <f t="shared" si="445"/>
        <v>10200</v>
      </c>
      <c r="BD622" s="2029">
        <f t="shared" si="445"/>
        <v>10200</v>
      </c>
      <c r="BE622" s="2030">
        <f t="shared" si="430"/>
        <v>0</v>
      </c>
      <c r="BF622" s="2030">
        <f t="shared" si="430"/>
        <v>0</v>
      </c>
      <c r="BG622" s="2030">
        <f t="shared" si="430"/>
        <v>0</v>
      </c>
      <c r="BH622" s="2030">
        <f t="shared" si="430"/>
        <v>0</v>
      </c>
      <c r="BI622" s="2030">
        <f t="shared" si="431"/>
        <v>0</v>
      </c>
      <c r="BJ622" s="2030">
        <f t="shared" si="431"/>
        <v>0</v>
      </c>
      <c r="BK622" s="2030">
        <f t="shared" si="431"/>
        <v>0</v>
      </c>
      <c r="BL622" s="2030">
        <f t="shared" si="431"/>
        <v>0</v>
      </c>
      <c r="BM622" s="2125"/>
      <c r="BN622" s="2125"/>
      <c r="BO622" s="2125"/>
      <c r="BP622" s="2125"/>
      <c r="BQ622" s="2125"/>
      <c r="BR622" s="2125"/>
      <c r="BS622" s="2125"/>
      <c r="BT622" s="2125"/>
      <c r="BU622" s="2029"/>
      <c r="BV622" s="2029"/>
      <c r="BW622" s="2029"/>
      <c r="BX622" s="2029"/>
      <c r="BY622" s="2029"/>
      <c r="BZ622" s="2032"/>
      <c r="CA622" s="1974">
        <f t="shared" si="441"/>
        <v>0</v>
      </c>
      <c r="CB622" s="1974">
        <f t="shared" si="441"/>
        <v>0</v>
      </c>
      <c r="CC622" s="1974">
        <f t="shared" si="441"/>
        <v>0</v>
      </c>
      <c r="CD622" s="1974">
        <f t="shared" si="441"/>
        <v>0</v>
      </c>
      <c r="CE622" s="1974">
        <f t="shared" si="441"/>
        <v>0</v>
      </c>
      <c r="CF622" s="2033">
        <v>0</v>
      </c>
      <c r="CG622" s="2026">
        <v>0</v>
      </c>
      <c r="CH622" s="2009">
        <f t="shared" si="442"/>
        <v>0</v>
      </c>
      <c r="CI622" s="2031">
        <f t="shared" si="442"/>
        <v>0</v>
      </c>
      <c r="CJ622" s="1974">
        <f t="shared" si="442"/>
        <v>0</v>
      </c>
      <c r="CK622" s="2031">
        <f t="shared" si="442"/>
        <v>0</v>
      </c>
      <c r="CL622" s="2026">
        <v>1</v>
      </c>
      <c r="CM622" s="2026">
        <v>1</v>
      </c>
      <c r="CN622" s="2026">
        <v>1</v>
      </c>
      <c r="CO622" s="2026">
        <v>1</v>
      </c>
      <c r="CP622" s="2035"/>
      <c r="CQ622" s="2036"/>
      <c r="CR622" s="2036"/>
      <c r="CS622" s="2036"/>
      <c r="CT622" s="2036"/>
      <c r="CU622" s="2036"/>
      <c r="CV622" s="1973">
        <v>1</v>
      </c>
      <c r="CW622" s="1973">
        <v>0</v>
      </c>
      <c r="CX622" s="2037">
        <v>1500</v>
      </c>
      <c r="CY622" s="2037">
        <v>1500</v>
      </c>
      <c r="CZ622" s="2037">
        <v>1500</v>
      </c>
      <c r="DA622" s="2037">
        <v>1500</v>
      </c>
      <c r="DJ622" s="1976">
        <v>1500</v>
      </c>
      <c r="DK622" s="1973">
        <v>1500</v>
      </c>
      <c r="DL622" s="1973">
        <v>1500</v>
      </c>
      <c r="DM622" s="1973">
        <v>1500</v>
      </c>
      <c r="DO622" s="2027">
        <v>15</v>
      </c>
      <c r="DP622" s="2144">
        <v>110019</v>
      </c>
      <c r="DQ622" s="2145">
        <v>11.2379</v>
      </c>
      <c r="DR622" s="2027">
        <v>0</v>
      </c>
      <c r="DS622" s="2124">
        <v>1500</v>
      </c>
      <c r="DT622" s="2029">
        <v>1500</v>
      </c>
      <c r="DU622" s="2029">
        <v>1500</v>
      </c>
      <c r="DV622" s="2029">
        <v>1500</v>
      </c>
      <c r="DW622" s="2124">
        <v>0</v>
      </c>
      <c r="DX622" s="2029">
        <v>0</v>
      </c>
      <c r="DY622" s="2029">
        <v>0</v>
      </c>
      <c r="DZ622" s="2029">
        <v>0</v>
      </c>
      <c r="EA622" s="2124">
        <v>10200</v>
      </c>
      <c r="EB622" s="2029">
        <v>10200</v>
      </c>
      <c r="EC622" s="2029">
        <v>10200</v>
      </c>
      <c r="ED622" s="2029">
        <v>10200</v>
      </c>
      <c r="EE622" s="2039">
        <f t="shared" si="412"/>
        <v>0</v>
      </c>
      <c r="EF622" s="2039">
        <f t="shared" si="412"/>
        <v>0</v>
      </c>
      <c r="EG622" s="2039">
        <f t="shared" si="412"/>
        <v>0</v>
      </c>
      <c r="EH622" s="2039">
        <f t="shared" si="412"/>
        <v>0</v>
      </c>
      <c r="EI622" s="2040">
        <f t="shared" si="437"/>
        <v>0</v>
      </c>
      <c r="EJ622" s="2040">
        <f t="shared" si="437"/>
        <v>0</v>
      </c>
      <c r="EK622" s="2040">
        <f t="shared" si="437"/>
        <v>0</v>
      </c>
      <c r="EL622" s="2040">
        <f t="shared" si="437"/>
        <v>0</v>
      </c>
      <c r="EM622" s="2040">
        <f t="shared" si="437"/>
        <v>0</v>
      </c>
      <c r="EN622" s="2040">
        <f t="shared" si="437"/>
        <v>0</v>
      </c>
      <c r="EO622" s="2040">
        <f t="shared" si="417"/>
        <v>0</v>
      </c>
      <c r="EP622" s="2040">
        <f t="shared" si="417"/>
        <v>0</v>
      </c>
      <c r="EQ622" s="2040">
        <f t="shared" si="417"/>
        <v>0</v>
      </c>
      <c r="ER622" s="2040">
        <f t="shared" si="417"/>
        <v>0</v>
      </c>
      <c r="ES622" s="2040">
        <f t="shared" si="417"/>
        <v>0</v>
      </c>
      <c r="ET622" s="2040">
        <f t="shared" si="417"/>
        <v>0</v>
      </c>
      <c r="EU622" s="2039">
        <f t="shared" si="413"/>
        <v>0</v>
      </c>
      <c r="EV622" s="2039">
        <f t="shared" si="414"/>
        <v>0</v>
      </c>
    </row>
    <row r="623" spans="1:152" x14ac:dyDescent="0.25">
      <c r="A623" s="2149" t="s">
        <v>178</v>
      </c>
      <c r="B623" s="1974" t="str">
        <f t="shared" si="438"/>
        <v/>
      </c>
      <c r="C623" s="2027">
        <f t="shared" si="443"/>
        <v>13</v>
      </c>
      <c r="D623" s="2144">
        <f t="shared" si="443"/>
        <v>6.83</v>
      </c>
      <c r="E623" s="2145">
        <f t="shared" si="443"/>
        <v>1.137E-3</v>
      </c>
      <c r="F623" s="2027">
        <f t="shared" si="443"/>
        <v>0</v>
      </c>
      <c r="G623" s="1974" t="s">
        <v>2988</v>
      </c>
      <c r="H623" s="1974" t="s">
        <v>2988</v>
      </c>
      <c r="I623" s="2026">
        <v>0.9</v>
      </c>
      <c r="J623" s="2026">
        <v>0.9</v>
      </c>
      <c r="K623" s="2026">
        <v>0.9</v>
      </c>
      <c r="L623" s="2026">
        <v>0.9</v>
      </c>
      <c r="M623" s="2027">
        <f t="shared" si="426"/>
        <v>6.1470000000000002</v>
      </c>
      <c r="N623" s="2027">
        <f t="shared" si="426"/>
        <v>6.1470000000000002</v>
      </c>
      <c r="O623" s="2027">
        <f t="shared" si="426"/>
        <v>6.1470000000000002</v>
      </c>
      <c r="P623" s="2027">
        <f t="shared" si="426"/>
        <v>6.1470000000000002</v>
      </c>
      <c r="Q623" s="2026">
        <v>0.9</v>
      </c>
      <c r="R623" s="2026">
        <v>0.9</v>
      </c>
      <c r="S623" s="2026">
        <v>0.9</v>
      </c>
      <c r="T623" s="2026">
        <v>0.9</v>
      </c>
      <c r="U623" s="2028">
        <f t="shared" si="427"/>
        <v>1.0233E-3</v>
      </c>
      <c r="V623" s="2028">
        <f t="shared" si="427"/>
        <v>1.0233E-3</v>
      </c>
      <c r="W623" s="2028">
        <f t="shared" si="427"/>
        <v>1.0233E-3</v>
      </c>
      <c r="X623" s="2028">
        <f t="shared" si="427"/>
        <v>1.0233E-3</v>
      </c>
      <c r="Y623" s="2026">
        <v>0.9</v>
      </c>
      <c r="Z623" s="2026">
        <v>0.9</v>
      </c>
      <c r="AA623" s="2026">
        <v>0.9</v>
      </c>
      <c r="AB623" s="2026">
        <v>0.9</v>
      </c>
      <c r="AC623" s="2027">
        <f t="shared" si="428"/>
        <v>0</v>
      </c>
      <c r="AD623" s="2027">
        <f t="shared" si="428"/>
        <v>0</v>
      </c>
      <c r="AE623" s="2027">
        <f t="shared" si="428"/>
        <v>0</v>
      </c>
      <c r="AF623" s="2027">
        <f t="shared" si="428"/>
        <v>0</v>
      </c>
      <c r="AG623" s="2027">
        <v>0</v>
      </c>
      <c r="AH623" s="2028"/>
      <c r="AI623" s="2028"/>
      <c r="AJ623" s="2028"/>
      <c r="AK623" s="2027">
        <f t="shared" si="434"/>
        <v>0</v>
      </c>
      <c r="AL623" s="2027">
        <f t="shared" si="433"/>
        <v>0</v>
      </c>
      <c r="AM623" s="2027">
        <f t="shared" si="433"/>
        <v>0</v>
      </c>
      <c r="AN623" s="2027">
        <f t="shared" si="433"/>
        <v>0</v>
      </c>
      <c r="AO623" s="2027">
        <f t="shared" si="429"/>
        <v>0</v>
      </c>
      <c r="AP623" s="2027">
        <f t="shared" si="421"/>
        <v>0</v>
      </c>
      <c r="AQ623" s="2027">
        <f t="shared" si="421"/>
        <v>0</v>
      </c>
      <c r="AR623" s="2027">
        <f t="shared" si="421"/>
        <v>0</v>
      </c>
      <c r="AS623" s="2124">
        <f>AS162*1.5</f>
        <v>4.5</v>
      </c>
      <c r="AT623" s="2029">
        <f t="shared" si="422"/>
        <v>4.5</v>
      </c>
      <c r="AU623" s="2029">
        <f t="shared" si="422"/>
        <v>4.5</v>
      </c>
      <c r="AV623" s="2029">
        <f t="shared" si="422"/>
        <v>4.5</v>
      </c>
      <c r="AW623" s="2124">
        <f t="shared" si="446"/>
        <v>0</v>
      </c>
      <c r="AX623" s="2029">
        <f t="shared" si="440"/>
        <v>0</v>
      </c>
      <c r="AY623" s="2029">
        <f t="shared" si="440"/>
        <v>0</v>
      </c>
      <c r="AZ623" s="2029">
        <f t="shared" si="440"/>
        <v>0</v>
      </c>
      <c r="BA623" s="2124">
        <f t="shared" si="445"/>
        <v>6</v>
      </c>
      <c r="BB623" s="2029">
        <f t="shared" si="445"/>
        <v>6</v>
      </c>
      <c r="BC623" s="2029">
        <f t="shared" si="445"/>
        <v>6</v>
      </c>
      <c r="BD623" s="2029">
        <f t="shared" si="445"/>
        <v>6</v>
      </c>
      <c r="BE623" s="2030">
        <f t="shared" si="430"/>
        <v>0</v>
      </c>
      <c r="BF623" s="2030">
        <f t="shared" si="430"/>
        <v>0</v>
      </c>
      <c r="BG623" s="2030">
        <f t="shared" si="430"/>
        <v>0</v>
      </c>
      <c r="BH623" s="2030">
        <f t="shared" si="430"/>
        <v>0</v>
      </c>
      <c r="BI623" s="2030">
        <f t="shared" si="431"/>
        <v>0</v>
      </c>
      <c r="BJ623" s="2030">
        <f t="shared" si="431"/>
        <v>0</v>
      </c>
      <c r="BK623" s="2030">
        <f t="shared" si="431"/>
        <v>0</v>
      </c>
      <c r="BL623" s="2030">
        <f t="shared" si="431"/>
        <v>0</v>
      </c>
      <c r="BM623" s="2125"/>
      <c r="BN623" s="2125"/>
      <c r="BO623" s="2125"/>
      <c r="BP623" s="2125"/>
      <c r="BQ623" s="2125"/>
      <c r="BR623" s="2125"/>
      <c r="BS623" s="2125"/>
      <c r="BT623" s="2125"/>
      <c r="BU623" s="2029"/>
      <c r="BV623" s="2029"/>
      <c r="BW623" s="2029"/>
      <c r="BX623" s="2029"/>
      <c r="BY623" s="2029"/>
      <c r="BZ623" s="2032"/>
      <c r="CA623" s="1974">
        <f t="shared" si="441"/>
        <v>0</v>
      </c>
      <c r="CB623" s="1974">
        <f t="shared" si="441"/>
        <v>0</v>
      </c>
      <c r="CC623" s="1974">
        <f t="shared" si="441"/>
        <v>0</v>
      </c>
      <c r="CD623" s="1974">
        <f t="shared" si="441"/>
        <v>0</v>
      </c>
      <c r="CE623" s="1974">
        <f t="shared" si="441"/>
        <v>0</v>
      </c>
      <c r="CF623" s="2033">
        <v>0</v>
      </c>
      <c r="CG623" s="2026">
        <v>0</v>
      </c>
      <c r="CH623" s="2009">
        <f t="shared" si="442"/>
        <v>0</v>
      </c>
      <c r="CI623" s="2031">
        <f t="shared" si="442"/>
        <v>0</v>
      </c>
      <c r="CJ623" s="1974">
        <f t="shared" si="442"/>
        <v>0</v>
      </c>
      <c r="CK623" s="2031">
        <f t="shared" si="442"/>
        <v>0</v>
      </c>
      <c r="CL623" s="2026">
        <v>1</v>
      </c>
      <c r="CM623" s="2026">
        <v>1</v>
      </c>
      <c r="CN623" s="2026">
        <v>1</v>
      </c>
      <c r="CO623" s="2026">
        <v>1</v>
      </c>
      <c r="CP623" s="2035"/>
      <c r="CQ623" s="2036"/>
      <c r="CR623" s="2036"/>
      <c r="CS623" s="2036"/>
      <c r="CT623" s="2036"/>
      <c r="CU623" s="2036"/>
      <c r="CV623" s="1973">
        <v>1</v>
      </c>
      <c r="CW623" s="1973">
        <v>0</v>
      </c>
      <c r="CX623" s="2037">
        <v>4.5</v>
      </c>
      <c r="CY623" s="2037">
        <v>4.5</v>
      </c>
      <c r="CZ623" s="2037">
        <v>4.5</v>
      </c>
      <c r="DA623" s="2037">
        <v>4.5</v>
      </c>
      <c r="DJ623" s="1976">
        <v>4.5</v>
      </c>
      <c r="DK623" s="1973">
        <v>4.5</v>
      </c>
      <c r="DL623" s="1973">
        <v>4.5</v>
      </c>
      <c r="DM623" s="1973">
        <v>4.5</v>
      </c>
      <c r="DO623" s="2027">
        <v>10</v>
      </c>
      <c r="DP623" s="2144">
        <v>6.83</v>
      </c>
      <c r="DQ623" s="2145">
        <v>1.137E-3</v>
      </c>
      <c r="DR623" s="2027">
        <v>0</v>
      </c>
      <c r="DS623" s="2124">
        <v>4.5</v>
      </c>
      <c r="DT623" s="2029">
        <v>4.5</v>
      </c>
      <c r="DU623" s="2029">
        <v>4.5</v>
      </c>
      <c r="DV623" s="2029">
        <v>4.5</v>
      </c>
      <c r="DW623" s="2124">
        <v>0</v>
      </c>
      <c r="DX623" s="2029">
        <v>0</v>
      </c>
      <c r="DY623" s="2029">
        <v>0</v>
      </c>
      <c r="DZ623" s="2029">
        <v>0</v>
      </c>
      <c r="EA623" s="2124">
        <v>6</v>
      </c>
      <c r="EB623" s="2029">
        <v>6</v>
      </c>
      <c r="EC623" s="2029">
        <v>6</v>
      </c>
      <c r="ED623" s="2029">
        <v>6</v>
      </c>
      <c r="EE623" s="2039">
        <f t="shared" si="412"/>
        <v>3</v>
      </c>
      <c r="EF623" s="2039">
        <f t="shared" si="412"/>
        <v>0</v>
      </c>
      <c r="EG623" s="2039">
        <f t="shared" si="412"/>
        <v>0</v>
      </c>
      <c r="EH623" s="2039">
        <f t="shared" si="412"/>
        <v>0</v>
      </c>
      <c r="EI623" s="2040">
        <f t="shared" si="437"/>
        <v>0</v>
      </c>
      <c r="EJ623" s="2040">
        <f t="shared" si="437"/>
        <v>0</v>
      </c>
      <c r="EK623" s="2040">
        <f t="shared" si="437"/>
        <v>0</v>
      </c>
      <c r="EL623" s="2040">
        <f t="shared" si="437"/>
        <v>0</v>
      </c>
      <c r="EM623" s="2040">
        <f t="shared" si="437"/>
        <v>0</v>
      </c>
      <c r="EN623" s="2040">
        <f t="shared" si="437"/>
        <v>0</v>
      </c>
      <c r="EO623" s="2040">
        <f t="shared" si="417"/>
        <v>0</v>
      </c>
      <c r="EP623" s="2040">
        <f t="shared" si="417"/>
        <v>0</v>
      </c>
      <c r="EQ623" s="2040">
        <f t="shared" si="417"/>
        <v>0</v>
      </c>
      <c r="ER623" s="2040">
        <f t="shared" si="417"/>
        <v>0</v>
      </c>
      <c r="ES623" s="2040">
        <f t="shared" si="417"/>
        <v>0</v>
      </c>
      <c r="ET623" s="2040">
        <f t="shared" si="417"/>
        <v>0</v>
      </c>
      <c r="EU623" s="2039">
        <f t="shared" si="413"/>
        <v>3</v>
      </c>
      <c r="EV623" s="2039">
        <f t="shared" si="414"/>
        <v>3</v>
      </c>
    </row>
    <row r="624" spans="1:152" x14ac:dyDescent="0.25">
      <c r="A624" s="2150" t="s">
        <v>179</v>
      </c>
      <c r="B624" s="1974" t="str">
        <f t="shared" si="438"/>
        <v/>
      </c>
      <c r="C624" s="2027">
        <f t="shared" si="443"/>
        <v>12</v>
      </c>
      <c r="D624" s="2144">
        <f t="shared" si="443"/>
        <v>6368</v>
      </c>
      <c r="E624" s="2145">
        <f t="shared" si="443"/>
        <v>0.74</v>
      </c>
      <c r="F624" s="2027">
        <f t="shared" si="443"/>
        <v>0</v>
      </c>
      <c r="G624" s="1974" t="s">
        <v>2988</v>
      </c>
      <c r="H624" s="1974" t="s">
        <v>2988</v>
      </c>
      <c r="I624" s="2026">
        <v>0.9</v>
      </c>
      <c r="J624" s="2026">
        <v>0.9</v>
      </c>
      <c r="K624" s="2026">
        <v>0.9</v>
      </c>
      <c r="L624" s="2026">
        <v>0.9</v>
      </c>
      <c r="M624" s="2027">
        <f t="shared" si="426"/>
        <v>5731.2</v>
      </c>
      <c r="N624" s="2027">
        <f t="shared" si="426"/>
        <v>5731.2</v>
      </c>
      <c r="O624" s="2027">
        <f t="shared" si="426"/>
        <v>5731.2</v>
      </c>
      <c r="P624" s="2027">
        <f t="shared" si="426"/>
        <v>5731.2</v>
      </c>
      <c r="Q624" s="2026">
        <v>0.9</v>
      </c>
      <c r="R624" s="2026">
        <v>0.9</v>
      </c>
      <c r="S624" s="2026">
        <v>0.9</v>
      </c>
      <c r="T624" s="2026">
        <v>0.9</v>
      </c>
      <c r="U624" s="2028">
        <f t="shared" si="427"/>
        <v>0.66600000000000004</v>
      </c>
      <c r="V624" s="2028">
        <f t="shared" si="427"/>
        <v>0.66600000000000004</v>
      </c>
      <c r="W624" s="2028">
        <f t="shared" si="427"/>
        <v>0.66600000000000004</v>
      </c>
      <c r="X624" s="2028">
        <f t="shared" si="427"/>
        <v>0.66600000000000004</v>
      </c>
      <c r="Y624" s="2026">
        <v>0.9</v>
      </c>
      <c r="Z624" s="2026">
        <v>0.9</v>
      </c>
      <c r="AA624" s="2026">
        <v>0.9</v>
      </c>
      <c r="AB624" s="2026">
        <v>0.9</v>
      </c>
      <c r="AC624" s="2027">
        <f t="shared" si="428"/>
        <v>0</v>
      </c>
      <c r="AD624" s="2027">
        <f t="shared" si="428"/>
        <v>0</v>
      </c>
      <c r="AE624" s="2027">
        <f t="shared" si="428"/>
        <v>0</v>
      </c>
      <c r="AF624" s="2027">
        <f t="shared" si="428"/>
        <v>0</v>
      </c>
      <c r="AG624" s="2027">
        <v>0</v>
      </c>
      <c r="AH624" s="2028">
        <v>1</v>
      </c>
      <c r="AI624" s="2028"/>
      <c r="AJ624" s="2028"/>
      <c r="AK624" s="2027">
        <f t="shared" si="434"/>
        <v>0</v>
      </c>
      <c r="AL624" s="2027">
        <f t="shared" si="433"/>
        <v>5731.2</v>
      </c>
      <c r="AM624" s="2027">
        <f t="shared" si="433"/>
        <v>0</v>
      </c>
      <c r="AN624" s="2027">
        <f t="shared" si="433"/>
        <v>0</v>
      </c>
      <c r="AO624" s="2027">
        <f t="shared" si="429"/>
        <v>0</v>
      </c>
      <c r="AP624" s="2027">
        <f t="shared" si="421"/>
        <v>0</v>
      </c>
      <c r="AQ624" s="2027">
        <f t="shared" si="421"/>
        <v>0</v>
      </c>
      <c r="AR624" s="2027">
        <f t="shared" si="421"/>
        <v>0</v>
      </c>
      <c r="AS624" s="2124">
        <f>AS163*1</f>
        <v>300</v>
      </c>
      <c r="AT624" s="2029">
        <f t="shared" si="422"/>
        <v>300</v>
      </c>
      <c r="AU624" s="2029">
        <f t="shared" si="422"/>
        <v>300</v>
      </c>
      <c r="AV624" s="2029">
        <f t="shared" si="422"/>
        <v>300</v>
      </c>
      <c r="AW624" s="2124">
        <f t="shared" si="446"/>
        <v>0</v>
      </c>
      <c r="AX624" s="2029">
        <f t="shared" si="440"/>
        <v>0</v>
      </c>
      <c r="AY624" s="2029">
        <f t="shared" si="440"/>
        <v>0</v>
      </c>
      <c r="AZ624" s="2029">
        <f t="shared" si="440"/>
        <v>0</v>
      </c>
      <c r="BA624" s="2124">
        <f t="shared" si="445"/>
        <v>1000</v>
      </c>
      <c r="BB624" s="2029">
        <f t="shared" si="445"/>
        <v>1000</v>
      </c>
      <c r="BC624" s="2029">
        <f t="shared" si="445"/>
        <v>1000</v>
      </c>
      <c r="BD624" s="2029">
        <f t="shared" si="445"/>
        <v>1000</v>
      </c>
      <c r="BE624" s="2030">
        <f t="shared" si="430"/>
        <v>0</v>
      </c>
      <c r="BF624" s="2030">
        <f t="shared" si="430"/>
        <v>300</v>
      </c>
      <c r="BG624" s="2030">
        <f t="shared" si="430"/>
        <v>0</v>
      </c>
      <c r="BH624" s="2030">
        <f t="shared" si="430"/>
        <v>0</v>
      </c>
      <c r="BI624" s="2030">
        <f t="shared" si="431"/>
        <v>0</v>
      </c>
      <c r="BJ624" s="2030">
        <f t="shared" si="431"/>
        <v>0</v>
      </c>
      <c r="BK624" s="2030">
        <f t="shared" si="431"/>
        <v>0</v>
      </c>
      <c r="BL624" s="2030">
        <f t="shared" si="431"/>
        <v>0</v>
      </c>
      <c r="BM624" s="2125"/>
      <c r="BN624" s="2125"/>
      <c r="BO624" s="2125"/>
      <c r="BP624" s="2125"/>
      <c r="BQ624" s="2125"/>
      <c r="BR624" s="2125"/>
      <c r="BS624" s="2125"/>
      <c r="BT624" s="2125"/>
      <c r="BU624" s="2029"/>
      <c r="BV624" s="2029"/>
      <c r="BW624" s="2029"/>
      <c r="BX624" s="2029"/>
      <c r="BY624" s="2029"/>
      <c r="BZ624" s="2032"/>
      <c r="CA624" s="1974">
        <f t="shared" si="441"/>
        <v>0</v>
      </c>
      <c r="CB624" s="1974">
        <f t="shared" si="441"/>
        <v>0</v>
      </c>
      <c r="CC624" s="1974">
        <f t="shared" si="441"/>
        <v>0</v>
      </c>
      <c r="CD624" s="1974">
        <f t="shared" si="441"/>
        <v>0</v>
      </c>
      <c r="CE624" s="1974">
        <f t="shared" si="441"/>
        <v>0</v>
      </c>
      <c r="CF624" s="2033">
        <v>0</v>
      </c>
      <c r="CG624" s="2026">
        <v>0</v>
      </c>
      <c r="CH624" s="2009">
        <f t="shared" si="442"/>
        <v>0</v>
      </c>
      <c r="CI624" s="2031">
        <f t="shared" si="442"/>
        <v>0</v>
      </c>
      <c r="CJ624" s="1974">
        <f t="shared" si="442"/>
        <v>0</v>
      </c>
      <c r="CK624" s="2031">
        <f t="shared" si="442"/>
        <v>0</v>
      </c>
      <c r="CL624" s="2026">
        <v>1</v>
      </c>
      <c r="CM624" s="2026">
        <v>1</v>
      </c>
      <c r="CN624" s="2026">
        <v>1</v>
      </c>
      <c r="CO624" s="2026">
        <v>1</v>
      </c>
      <c r="CP624" s="2035"/>
      <c r="CQ624" s="2036"/>
      <c r="CR624" s="2036"/>
      <c r="CS624" s="2036"/>
      <c r="CT624" s="2036"/>
      <c r="CU624" s="2036"/>
      <c r="CV624" s="1973">
        <v>1</v>
      </c>
      <c r="CW624" s="1973">
        <v>0</v>
      </c>
      <c r="CX624" s="2037">
        <v>300</v>
      </c>
      <c r="CY624" s="2037">
        <v>300</v>
      </c>
      <c r="CZ624" s="2037">
        <v>300</v>
      </c>
      <c r="DA624" s="2037">
        <v>300</v>
      </c>
      <c r="DJ624" s="1976">
        <v>300</v>
      </c>
      <c r="DK624" s="1973">
        <v>300</v>
      </c>
      <c r="DL624" s="1973">
        <v>300</v>
      </c>
      <c r="DM624" s="1973">
        <v>300</v>
      </c>
      <c r="DO624" s="2027">
        <v>12</v>
      </c>
      <c r="DP624" s="2144">
        <v>6368</v>
      </c>
      <c r="DQ624" s="2145">
        <v>0.74</v>
      </c>
      <c r="DR624" s="2027">
        <v>0</v>
      </c>
      <c r="DS624" s="2124">
        <v>300</v>
      </c>
      <c r="DT624" s="2029">
        <v>300</v>
      </c>
      <c r="DU624" s="2029">
        <v>300</v>
      </c>
      <c r="DV624" s="2029">
        <v>300</v>
      </c>
      <c r="DW624" s="2124">
        <v>0</v>
      </c>
      <c r="DX624" s="2029">
        <v>0</v>
      </c>
      <c r="DY624" s="2029">
        <v>0</v>
      </c>
      <c r="DZ624" s="2029">
        <v>0</v>
      </c>
      <c r="EA624" s="2124">
        <v>1000</v>
      </c>
      <c r="EB624" s="2029">
        <v>1000</v>
      </c>
      <c r="EC624" s="2029">
        <v>1000</v>
      </c>
      <c r="ED624" s="2029">
        <v>1000</v>
      </c>
      <c r="EE624" s="2039">
        <f t="shared" si="412"/>
        <v>0</v>
      </c>
      <c r="EF624" s="2039">
        <f t="shared" si="412"/>
        <v>0</v>
      </c>
      <c r="EG624" s="2039">
        <f t="shared" si="412"/>
        <v>0</v>
      </c>
      <c r="EH624" s="2039">
        <f t="shared" si="412"/>
        <v>0</v>
      </c>
      <c r="EI624" s="2040">
        <f t="shared" si="437"/>
        <v>0</v>
      </c>
      <c r="EJ624" s="2040">
        <f t="shared" si="437"/>
        <v>0</v>
      </c>
      <c r="EK624" s="2040">
        <f t="shared" si="437"/>
        <v>0</v>
      </c>
      <c r="EL624" s="2040">
        <f t="shared" si="437"/>
        <v>0</v>
      </c>
      <c r="EM624" s="2040">
        <f t="shared" si="437"/>
        <v>0</v>
      </c>
      <c r="EN624" s="2040">
        <f t="shared" si="437"/>
        <v>0</v>
      </c>
      <c r="EO624" s="2040">
        <f t="shared" si="417"/>
        <v>0</v>
      </c>
      <c r="EP624" s="2040">
        <f t="shared" si="417"/>
        <v>0</v>
      </c>
      <c r="EQ624" s="2040">
        <f t="shared" si="417"/>
        <v>0</v>
      </c>
      <c r="ER624" s="2040">
        <f t="shared" si="417"/>
        <v>0</v>
      </c>
      <c r="ES624" s="2040">
        <f t="shared" si="417"/>
        <v>0</v>
      </c>
      <c r="ET624" s="2040">
        <f t="shared" si="417"/>
        <v>0</v>
      </c>
      <c r="EU624" s="2039">
        <f t="shared" si="413"/>
        <v>0</v>
      </c>
      <c r="EV624" s="2039">
        <f t="shared" si="414"/>
        <v>0</v>
      </c>
    </row>
    <row r="625" spans="1:152" x14ac:dyDescent="0.25">
      <c r="A625" s="2149" t="s">
        <v>180</v>
      </c>
      <c r="B625" s="1974" t="str">
        <f t="shared" si="438"/>
        <v/>
      </c>
      <c r="C625" s="2027">
        <f t="shared" si="443"/>
        <v>15</v>
      </c>
      <c r="D625" s="2144">
        <f t="shared" si="443"/>
        <v>10563.4</v>
      </c>
      <c r="E625" s="2145">
        <f t="shared" si="443"/>
        <v>55.3</v>
      </c>
      <c r="F625" s="2027">
        <f t="shared" si="443"/>
        <v>632.79999999999995</v>
      </c>
      <c r="G625" s="1974" t="s">
        <v>2988</v>
      </c>
      <c r="H625" s="1974" t="s">
        <v>2988</v>
      </c>
      <c r="I625" s="2026">
        <v>0.9</v>
      </c>
      <c r="J625" s="2026">
        <v>0.9</v>
      </c>
      <c r="K625" s="2026">
        <v>0.9</v>
      </c>
      <c r="L625" s="2026">
        <v>0.9</v>
      </c>
      <c r="M625" s="2027">
        <f t="shared" si="426"/>
        <v>9507.06</v>
      </c>
      <c r="N625" s="2027">
        <f t="shared" si="426"/>
        <v>9507.06</v>
      </c>
      <c r="O625" s="2027">
        <f t="shared" si="426"/>
        <v>9507.06</v>
      </c>
      <c r="P625" s="2027">
        <f t="shared" si="426"/>
        <v>9507.06</v>
      </c>
      <c r="Q625" s="2026">
        <v>0.9</v>
      </c>
      <c r="R625" s="2026">
        <v>0.9</v>
      </c>
      <c r="S625" s="2026">
        <v>0.9</v>
      </c>
      <c r="T625" s="2026">
        <v>0.9</v>
      </c>
      <c r="U625" s="2028">
        <f t="shared" si="427"/>
        <v>49.769999999999996</v>
      </c>
      <c r="V625" s="2028">
        <f t="shared" si="427"/>
        <v>49.769999999999996</v>
      </c>
      <c r="W625" s="2028">
        <f t="shared" si="427"/>
        <v>49.769999999999996</v>
      </c>
      <c r="X625" s="2028">
        <f t="shared" si="427"/>
        <v>49.769999999999996</v>
      </c>
      <c r="Y625" s="2026">
        <v>0.9</v>
      </c>
      <c r="Z625" s="2026">
        <v>0.9</v>
      </c>
      <c r="AA625" s="2026">
        <v>0.9</v>
      </c>
      <c r="AB625" s="2026">
        <v>0.9</v>
      </c>
      <c r="AC625" s="2027">
        <f t="shared" si="428"/>
        <v>569.52</v>
      </c>
      <c r="AD625" s="2027">
        <f t="shared" si="428"/>
        <v>569.52</v>
      </c>
      <c r="AE625" s="2027">
        <f t="shared" si="428"/>
        <v>569.52</v>
      </c>
      <c r="AF625" s="2027">
        <f t="shared" si="428"/>
        <v>569.52</v>
      </c>
      <c r="AG625" s="2027">
        <v>0</v>
      </c>
      <c r="AH625" s="2028"/>
      <c r="AI625" s="2028"/>
      <c r="AJ625" s="2028"/>
      <c r="AK625" s="2027">
        <f t="shared" si="434"/>
        <v>0</v>
      </c>
      <c r="AL625" s="2027">
        <f t="shared" si="433"/>
        <v>0</v>
      </c>
      <c r="AM625" s="2027">
        <f t="shared" si="433"/>
        <v>0</v>
      </c>
      <c r="AN625" s="2027">
        <f t="shared" si="433"/>
        <v>0</v>
      </c>
      <c r="AO625" s="2027">
        <f t="shared" si="429"/>
        <v>0</v>
      </c>
      <c r="AP625" s="2027">
        <f t="shared" si="421"/>
        <v>0</v>
      </c>
      <c r="AQ625" s="2027">
        <f t="shared" si="421"/>
        <v>0</v>
      </c>
      <c r="AR625" s="2027">
        <f t="shared" si="421"/>
        <v>0</v>
      </c>
      <c r="AS625" s="2124">
        <f>AS164*1.5</f>
        <v>1152</v>
      </c>
      <c r="AT625" s="2029">
        <f t="shared" si="422"/>
        <v>1152</v>
      </c>
      <c r="AU625" s="2029">
        <f t="shared" si="422"/>
        <v>1152</v>
      </c>
      <c r="AV625" s="2029">
        <f t="shared" si="422"/>
        <v>1152</v>
      </c>
      <c r="AW625" s="2124">
        <f t="shared" si="446"/>
        <v>48</v>
      </c>
      <c r="AX625" s="2029">
        <f t="shared" si="440"/>
        <v>48</v>
      </c>
      <c r="AY625" s="2029">
        <f t="shared" si="440"/>
        <v>48</v>
      </c>
      <c r="AZ625" s="2029">
        <f t="shared" si="440"/>
        <v>48</v>
      </c>
      <c r="BA625" s="2124">
        <f t="shared" si="445"/>
        <v>9000</v>
      </c>
      <c r="BB625" s="2029">
        <f t="shared" si="445"/>
        <v>9000</v>
      </c>
      <c r="BC625" s="2029">
        <f t="shared" si="445"/>
        <v>9000</v>
      </c>
      <c r="BD625" s="2029">
        <f t="shared" si="445"/>
        <v>9000</v>
      </c>
      <c r="BE625" s="2030">
        <f t="shared" si="430"/>
        <v>0</v>
      </c>
      <c r="BF625" s="2030">
        <f t="shared" si="430"/>
        <v>0</v>
      </c>
      <c r="BG625" s="2030">
        <f t="shared" si="430"/>
        <v>0</v>
      </c>
      <c r="BH625" s="2030">
        <f t="shared" si="430"/>
        <v>0</v>
      </c>
      <c r="BI625" s="2030">
        <f t="shared" si="431"/>
        <v>0</v>
      </c>
      <c r="BJ625" s="2030">
        <f t="shared" si="431"/>
        <v>0</v>
      </c>
      <c r="BK625" s="2030">
        <f t="shared" si="431"/>
        <v>0</v>
      </c>
      <c r="BL625" s="2030">
        <f t="shared" si="431"/>
        <v>0</v>
      </c>
      <c r="BM625" s="2125"/>
      <c r="BN625" s="2125"/>
      <c r="BO625" s="2125"/>
      <c r="BP625" s="2125"/>
      <c r="BQ625" s="2125"/>
      <c r="BR625" s="2125"/>
      <c r="BS625" s="2125"/>
      <c r="BT625" s="2125"/>
      <c r="BU625" s="2029"/>
      <c r="BV625" s="2029"/>
      <c r="BW625" s="2029"/>
      <c r="BX625" s="2029"/>
      <c r="BY625" s="2029"/>
      <c r="BZ625" s="2032"/>
      <c r="CA625" s="1974">
        <f t="shared" si="441"/>
        <v>0</v>
      </c>
      <c r="CB625" s="1974">
        <f t="shared" si="441"/>
        <v>0</v>
      </c>
      <c r="CC625" s="1974">
        <f t="shared" si="441"/>
        <v>0</v>
      </c>
      <c r="CD625" s="1974">
        <f t="shared" si="441"/>
        <v>0</v>
      </c>
      <c r="CE625" s="1974">
        <f t="shared" si="441"/>
        <v>0</v>
      </c>
      <c r="CF625" s="2033">
        <v>0</v>
      </c>
      <c r="CG625" s="2026">
        <v>0</v>
      </c>
      <c r="CH625" s="2009">
        <f t="shared" si="442"/>
        <v>1</v>
      </c>
      <c r="CI625" s="2031">
        <f t="shared" si="442"/>
        <v>0</v>
      </c>
      <c r="CJ625" s="1974">
        <f t="shared" si="442"/>
        <v>150</v>
      </c>
      <c r="CK625" s="2031">
        <f t="shared" si="442"/>
        <v>150</v>
      </c>
      <c r="CL625" s="2026">
        <v>1</v>
      </c>
      <c r="CM625" s="2026">
        <v>1</v>
      </c>
      <c r="CN625" s="2026">
        <v>1</v>
      </c>
      <c r="CO625" s="2026">
        <v>1</v>
      </c>
      <c r="CP625" s="2035"/>
      <c r="CQ625" s="2036"/>
      <c r="CR625" s="2036"/>
      <c r="CS625" s="2036"/>
      <c r="CT625" s="2036"/>
      <c r="CU625" s="2036"/>
      <c r="CV625" s="1973">
        <v>1</v>
      </c>
      <c r="CW625" s="1973">
        <v>0</v>
      </c>
      <c r="CX625" s="2037">
        <v>1200</v>
      </c>
      <c r="CY625" s="2037">
        <v>1200</v>
      </c>
      <c r="CZ625" s="2037">
        <v>1200</v>
      </c>
      <c r="DA625" s="2037">
        <v>1200</v>
      </c>
      <c r="DJ625" s="1976">
        <v>600</v>
      </c>
      <c r="DK625" s="1973">
        <v>600</v>
      </c>
      <c r="DL625" s="1973">
        <v>600</v>
      </c>
      <c r="DM625" s="1973">
        <v>600</v>
      </c>
      <c r="DO625" s="2027">
        <v>15</v>
      </c>
      <c r="DP625" s="2144">
        <v>10563.4</v>
      </c>
      <c r="DQ625" s="2145">
        <v>55.3</v>
      </c>
      <c r="DR625" s="2027">
        <v>632.79999999999995</v>
      </c>
      <c r="DS625" s="2124">
        <v>1152</v>
      </c>
      <c r="DT625" s="2029">
        <v>1152</v>
      </c>
      <c r="DU625" s="2029">
        <v>1152</v>
      </c>
      <c r="DV625" s="2029">
        <v>1152</v>
      </c>
      <c r="DW625" s="2124">
        <v>48</v>
      </c>
      <c r="DX625" s="2029">
        <v>48</v>
      </c>
      <c r="DY625" s="2029">
        <v>48</v>
      </c>
      <c r="DZ625" s="2029">
        <v>48</v>
      </c>
      <c r="EA625" s="2124">
        <v>9000</v>
      </c>
      <c r="EB625" s="2029">
        <v>9000</v>
      </c>
      <c r="EC625" s="2029">
        <v>9000</v>
      </c>
      <c r="ED625" s="2029">
        <v>9000</v>
      </c>
      <c r="EE625" s="2039">
        <f t="shared" si="412"/>
        <v>0</v>
      </c>
      <c r="EF625" s="2039">
        <f t="shared" si="412"/>
        <v>0</v>
      </c>
      <c r="EG625" s="2039">
        <f t="shared" si="412"/>
        <v>0</v>
      </c>
      <c r="EH625" s="2039">
        <f t="shared" si="412"/>
        <v>0</v>
      </c>
      <c r="EI625" s="2040">
        <f t="shared" si="437"/>
        <v>0</v>
      </c>
      <c r="EJ625" s="2040">
        <f t="shared" si="437"/>
        <v>0</v>
      </c>
      <c r="EK625" s="2040">
        <f t="shared" si="437"/>
        <v>0</v>
      </c>
      <c r="EL625" s="2040">
        <f t="shared" si="437"/>
        <v>0</v>
      </c>
      <c r="EM625" s="2040">
        <f t="shared" si="437"/>
        <v>0</v>
      </c>
      <c r="EN625" s="2040">
        <f t="shared" si="437"/>
        <v>0</v>
      </c>
      <c r="EO625" s="2040">
        <f t="shared" si="417"/>
        <v>0</v>
      </c>
      <c r="EP625" s="2040">
        <f t="shared" si="417"/>
        <v>0</v>
      </c>
      <c r="EQ625" s="2040">
        <f t="shared" si="417"/>
        <v>0</v>
      </c>
      <c r="ER625" s="2040">
        <f t="shared" si="417"/>
        <v>0</v>
      </c>
      <c r="ES625" s="2040">
        <f t="shared" si="417"/>
        <v>0</v>
      </c>
      <c r="ET625" s="2040">
        <f t="shared" si="417"/>
        <v>0</v>
      </c>
      <c r="EU625" s="2039">
        <f t="shared" si="413"/>
        <v>0</v>
      </c>
      <c r="EV625" s="2039">
        <f t="shared" si="414"/>
        <v>0</v>
      </c>
    </row>
    <row r="626" spans="1:152" x14ac:dyDescent="0.25">
      <c r="A626" s="2149" t="s">
        <v>259</v>
      </c>
      <c r="B626" s="1974" t="str">
        <f t="shared" si="438"/>
        <v/>
      </c>
      <c r="C626" s="2027">
        <f t="shared" si="443"/>
        <v>0</v>
      </c>
      <c r="D626" s="2144">
        <f t="shared" si="443"/>
        <v>0</v>
      </c>
      <c r="E626" s="2145">
        <f t="shared" si="443"/>
        <v>0</v>
      </c>
      <c r="F626" s="2027">
        <f t="shared" si="443"/>
        <v>0</v>
      </c>
      <c r="G626" s="1974" t="s">
        <v>2988</v>
      </c>
      <c r="H626" s="1974" t="s">
        <v>2988</v>
      </c>
      <c r="I626" s="2026">
        <v>0.9</v>
      </c>
      <c r="J626" s="2026">
        <v>0.9</v>
      </c>
      <c r="K626" s="2026">
        <v>0.9</v>
      </c>
      <c r="L626" s="2026">
        <v>0.9</v>
      </c>
      <c r="M626" s="2027">
        <f t="shared" si="426"/>
        <v>0</v>
      </c>
      <c r="N626" s="2027">
        <f t="shared" si="426"/>
        <v>0</v>
      </c>
      <c r="O626" s="2027">
        <f t="shared" si="426"/>
        <v>0</v>
      </c>
      <c r="P626" s="2027">
        <f t="shared" si="426"/>
        <v>0</v>
      </c>
      <c r="Q626" s="2026">
        <v>0.9</v>
      </c>
      <c r="R626" s="2026">
        <v>0.9</v>
      </c>
      <c r="S626" s="2026">
        <v>0.9</v>
      </c>
      <c r="T626" s="2026">
        <v>0.9</v>
      </c>
      <c r="U626" s="2028">
        <f t="shared" si="427"/>
        <v>0</v>
      </c>
      <c r="V626" s="2028">
        <f t="shared" si="427"/>
        <v>0</v>
      </c>
      <c r="W626" s="2028">
        <f t="shared" si="427"/>
        <v>0</v>
      </c>
      <c r="X626" s="2028">
        <f t="shared" si="427"/>
        <v>0</v>
      </c>
      <c r="Y626" s="2026">
        <v>0.9</v>
      </c>
      <c r="Z626" s="2026">
        <v>0.9</v>
      </c>
      <c r="AA626" s="2026">
        <v>0.9</v>
      </c>
      <c r="AB626" s="2026">
        <v>0.9</v>
      </c>
      <c r="AC626" s="2027">
        <f t="shared" si="428"/>
        <v>0</v>
      </c>
      <c r="AD626" s="2027">
        <f t="shared" si="428"/>
        <v>0</v>
      </c>
      <c r="AE626" s="2027">
        <f t="shared" si="428"/>
        <v>0</v>
      </c>
      <c r="AF626" s="2027">
        <f t="shared" si="428"/>
        <v>0</v>
      </c>
      <c r="AG626" s="2027">
        <v>0</v>
      </c>
      <c r="AH626" s="2028"/>
      <c r="AI626" s="2028"/>
      <c r="AJ626" s="2028"/>
      <c r="AK626" s="2027">
        <f t="shared" si="434"/>
        <v>0</v>
      </c>
      <c r="AL626" s="2027">
        <f t="shared" si="433"/>
        <v>0</v>
      </c>
      <c r="AM626" s="2027">
        <f t="shared" si="433"/>
        <v>0</v>
      </c>
      <c r="AN626" s="2027">
        <f t="shared" si="433"/>
        <v>0</v>
      </c>
      <c r="AO626" s="2027">
        <f t="shared" si="429"/>
        <v>0</v>
      </c>
      <c r="AP626" s="2027">
        <f t="shared" si="421"/>
        <v>0</v>
      </c>
      <c r="AQ626" s="2027">
        <f t="shared" si="421"/>
        <v>0</v>
      </c>
      <c r="AR626" s="2027">
        <f t="shared" si="421"/>
        <v>0</v>
      </c>
      <c r="AS626" s="2124">
        <f>AS165*1.5</f>
        <v>0</v>
      </c>
      <c r="AT626" s="2029">
        <f t="shared" si="422"/>
        <v>0</v>
      </c>
      <c r="AU626" s="2029">
        <f t="shared" si="422"/>
        <v>0</v>
      </c>
      <c r="AV626" s="2029">
        <f t="shared" si="422"/>
        <v>0</v>
      </c>
      <c r="AW626" s="2124">
        <f t="shared" si="446"/>
        <v>0</v>
      </c>
      <c r="AX626" s="2029">
        <f t="shared" si="440"/>
        <v>0</v>
      </c>
      <c r="AY626" s="2029">
        <f t="shared" si="440"/>
        <v>0</v>
      </c>
      <c r="AZ626" s="2029">
        <f t="shared" si="440"/>
        <v>0</v>
      </c>
      <c r="BA626" s="2124">
        <f t="shared" si="445"/>
        <v>0</v>
      </c>
      <c r="BB626" s="2029">
        <f t="shared" si="445"/>
        <v>0</v>
      </c>
      <c r="BC626" s="2029">
        <f t="shared" si="445"/>
        <v>0</v>
      </c>
      <c r="BD626" s="2029">
        <f t="shared" si="445"/>
        <v>0</v>
      </c>
      <c r="BE626" s="2030">
        <f t="shared" si="430"/>
        <v>0</v>
      </c>
      <c r="BF626" s="2030">
        <f t="shared" si="430"/>
        <v>0</v>
      </c>
      <c r="BG626" s="2030">
        <f t="shared" si="430"/>
        <v>0</v>
      </c>
      <c r="BH626" s="2030">
        <f t="shared" si="430"/>
        <v>0</v>
      </c>
      <c r="BI626" s="2030">
        <f t="shared" si="431"/>
        <v>0</v>
      </c>
      <c r="BJ626" s="2030">
        <f t="shared" si="431"/>
        <v>0</v>
      </c>
      <c r="BK626" s="2030">
        <f t="shared" si="431"/>
        <v>0</v>
      </c>
      <c r="BL626" s="2030">
        <f t="shared" si="431"/>
        <v>0</v>
      </c>
      <c r="BM626" s="2125"/>
      <c r="BN626" s="2125"/>
      <c r="BO626" s="2125"/>
      <c r="BP626" s="2125"/>
      <c r="BQ626" s="2125"/>
      <c r="BR626" s="2125"/>
      <c r="BS626" s="2125"/>
      <c r="BT626" s="2125"/>
      <c r="BU626" s="2029"/>
      <c r="BV626" s="2029"/>
      <c r="BW626" s="2029"/>
      <c r="BX626" s="2029"/>
      <c r="BY626" s="2029"/>
      <c r="BZ626" s="2032"/>
      <c r="CA626" s="1974">
        <f t="shared" si="441"/>
        <v>0</v>
      </c>
      <c r="CB626" s="1974">
        <f t="shared" si="441"/>
        <v>0</v>
      </c>
      <c r="CC626" s="1974">
        <f t="shared" si="441"/>
        <v>0</v>
      </c>
      <c r="CD626" s="1974">
        <f t="shared" si="441"/>
        <v>0</v>
      </c>
      <c r="CE626" s="1974">
        <f t="shared" si="441"/>
        <v>0</v>
      </c>
      <c r="CF626" s="2033">
        <v>0</v>
      </c>
      <c r="CG626" s="2026">
        <v>0</v>
      </c>
      <c r="CH626" s="2009">
        <f t="shared" si="442"/>
        <v>0</v>
      </c>
      <c r="CI626" s="2031">
        <f t="shared" si="442"/>
        <v>0</v>
      </c>
      <c r="CJ626" s="1974">
        <f t="shared" si="442"/>
        <v>0</v>
      </c>
      <c r="CK626" s="2031">
        <f t="shared" si="442"/>
        <v>0</v>
      </c>
      <c r="CL626" s="2026">
        <v>1</v>
      </c>
      <c r="CM626" s="2026">
        <v>1</v>
      </c>
      <c r="CN626" s="2026">
        <v>1</v>
      </c>
      <c r="CO626" s="2026">
        <v>1</v>
      </c>
      <c r="CP626" s="2035"/>
      <c r="CQ626" s="2036"/>
      <c r="CR626" s="2036"/>
      <c r="CS626" s="2036"/>
      <c r="CT626" s="2036"/>
      <c r="CU626" s="2036"/>
      <c r="CV626" s="1973">
        <v>1</v>
      </c>
      <c r="CW626" s="1973">
        <v>0</v>
      </c>
      <c r="CX626" s="2037">
        <v>0</v>
      </c>
      <c r="CY626" s="2037">
        <v>0</v>
      </c>
      <c r="CZ626" s="2037">
        <v>0</v>
      </c>
      <c r="DA626" s="2037">
        <v>0</v>
      </c>
      <c r="DJ626" s="1976">
        <v>0</v>
      </c>
      <c r="DK626" s="1973">
        <v>0</v>
      </c>
      <c r="DL626" s="1973">
        <v>0</v>
      </c>
      <c r="DM626" s="1973">
        <v>0</v>
      </c>
      <c r="DO626" s="2027">
        <v>0</v>
      </c>
      <c r="DP626" s="2144">
        <v>0</v>
      </c>
      <c r="DQ626" s="2145">
        <v>0</v>
      </c>
      <c r="DR626" s="2027">
        <v>0</v>
      </c>
      <c r="DS626" s="2124">
        <v>0</v>
      </c>
      <c r="DT626" s="2029">
        <v>0</v>
      </c>
      <c r="DU626" s="2029">
        <v>0</v>
      </c>
      <c r="DV626" s="2029">
        <v>0</v>
      </c>
      <c r="DW626" s="2124">
        <v>0</v>
      </c>
      <c r="DX626" s="2029">
        <v>0</v>
      </c>
      <c r="DY626" s="2029">
        <v>0</v>
      </c>
      <c r="DZ626" s="2029">
        <v>0</v>
      </c>
      <c r="EA626" s="2124">
        <v>0</v>
      </c>
      <c r="EB626" s="2029">
        <v>0</v>
      </c>
      <c r="EC626" s="2029">
        <v>0</v>
      </c>
      <c r="ED626" s="2029">
        <v>0</v>
      </c>
      <c r="EE626" s="2039">
        <f t="shared" si="412"/>
        <v>0</v>
      </c>
      <c r="EF626" s="2039">
        <f t="shared" si="412"/>
        <v>0</v>
      </c>
      <c r="EG626" s="2039">
        <f t="shared" si="412"/>
        <v>0</v>
      </c>
      <c r="EH626" s="2039">
        <f t="shared" si="412"/>
        <v>0</v>
      </c>
      <c r="EI626" s="2040">
        <f t="shared" si="437"/>
        <v>0</v>
      </c>
      <c r="EJ626" s="2040">
        <f t="shared" si="437"/>
        <v>0</v>
      </c>
      <c r="EK626" s="2040">
        <f t="shared" si="437"/>
        <v>0</v>
      </c>
      <c r="EL626" s="2040">
        <f t="shared" si="437"/>
        <v>0</v>
      </c>
      <c r="EM626" s="2040">
        <f t="shared" si="437"/>
        <v>0</v>
      </c>
      <c r="EN626" s="2040">
        <f t="shared" si="437"/>
        <v>0</v>
      </c>
      <c r="EO626" s="2040">
        <f t="shared" si="417"/>
        <v>0</v>
      </c>
      <c r="EP626" s="2040">
        <f t="shared" si="417"/>
        <v>0</v>
      </c>
      <c r="EQ626" s="2040">
        <f t="shared" si="417"/>
        <v>0</v>
      </c>
      <c r="ER626" s="2040">
        <f t="shared" si="417"/>
        <v>0</v>
      </c>
      <c r="ES626" s="2040">
        <f t="shared" si="417"/>
        <v>0</v>
      </c>
      <c r="ET626" s="2040">
        <f t="shared" si="417"/>
        <v>0</v>
      </c>
      <c r="EU626" s="2039">
        <f t="shared" si="413"/>
        <v>0</v>
      </c>
      <c r="EV626" s="2039">
        <f t="shared" si="414"/>
        <v>0</v>
      </c>
    </row>
    <row r="627" spans="1:152" x14ac:dyDescent="0.25">
      <c r="A627" s="2150" t="s">
        <v>181</v>
      </c>
      <c r="B627" s="1974" t="str">
        <f t="shared" si="438"/>
        <v>BPH20</v>
      </c>
      <c r="C627" s="2027">
        <v>15</v>
      </c>
      <c r="D627" s="2144">
        <v>-1103.8355523767607</v>
      </c>
      <c r="E627" s="2145">
        <v>-0.17697329812206575</v>
      </c>
      <c r="F627" s="2027">
        <v>1410.9147306857637</v>
      </c>
      <c r="G627" s="1974" t="s">
        <v>2988</v>
      </c>
      <c r="H627" s="1974" t="s">
        <v>2988</v>
      </c>
      <c r="I627" s="2026">
        <v>0.9</v>
      </c>
      <c r="J627" s="2026">
        <v>0.9</v>
      </c>
      <c r="K627" s="2026">
        <v>0.9</v>
      </c>
      <c r="L627" s="2026">
        <v>0.9</v>
      </c>
      <c r="M627" s="2027">
        <f t="shared" si="426"/>
        <v>-993.4519971390846</v>
      </c>
      <c r="N627" s="2027">
        <f t="shared" si="426"/>
        <v>-993.4519971390846</v>
      </c>
      <c r="O627" s="2027">
        <f t="shared" si="426"/>
        <v>-993.4519971390846</v>
      </c>
      <c r="P627" s="2027">
        <f t="shared" si="426"/>
        <v>-993.4519971390846</v>
      </c>
      <c r="Q627" s="2026">
        <v>0.9</v>
      </c>
      <c r="R627" s="2026">
        <v>0.9</v>
      </c>
      <c r="S627" s="2026">
        <v>0.9</v>
      </c>
      <c r="T627" s="2026">
        <v>0.9</v>
      </c>
      <c r="U627" s="2028">
        <f t="shared" si="427"/>
        <v>-0.15927596830985918</v>
      </c>
      <c r="V627" s="2028">
        <f t="shared" si="427"/>
        <v>-0.15927596830985918</v>
      </c>
      <c r="W627" s="2028">
        <f t="shared" si="427"/>
        <v>-0.15927596830985918</v>
      </c>
      <c r="X627" s="2028">
        <f t="shared" si="427"/>
        <v>-0.15927596830985918</v>
      </c>
      <c r="Y627" s="2026">
        <v>0.9</v>
      </c>
      <c r="Z627" s="2026">
        <v>0.9</v>
      </c>
      <c r="AA627" s="2026">
        <v>0.9</v>
      </c>
      <c r="AB627" s="2026">
        <v>0.9</v>
      </c>
      <c r="AC627" s="2027">
        <f t="shared" si="428"/>
        <v>1269.8232576171874</v>
      </c>
      <c r="AD627" s="2027">
        <f t="shared" si="428"/>
        <v>1269.8232576171874</v>
      </c>
      <c r="AE627" s="2027">
        <f t="shared" si="428"/>
        <v>1269.8232576171874</v>
      </c>
      <c r="AF627" s="2027">
        <f t="shared" si="428"/>
        <v>1269.8232576171874</v>
      </c>
      <c r="AG627" s="2027">
        <v>14</v>
      </c>
      <c r="AH627" s="2028">
        <v>14</v>
      </c>
      <c r="AI627" s="2028">
        <v>18</v>
      </c>
      <c r="AJ627" s="2028">
        <v>23</v>
      </c>
      <c r="AK627" s="2027">
        <f t="shared" si="434"/>
        <v>-13908.327959947184</v>
      </c>
      <c r="AL627" s="2027">
        <f t="shared" si="433"/>
        <v>-13908.327959947184</v>
      </c>
      <c r="AM627" s="2027">
        <f t="shared" si="433"/>
        <v>-17882.135948503521</v>
      </c>
      <c r="AN627" s="2027">
        <f t="shared" si="433"/>
        <v>-22849.395934198947</v>
      </c>
      <c r="AO627" s="2027">
        <f t="shared" si="429"/>
        <v>17777.525606640625</v>
      </c>
      <c r="AP627" s="2027">
        <f t="shared" si="421"/>
        <v>17777.525606640625</v>
      </c>
      <c r="AQ627" s="2027">
        <f t="shared" si="421"/>
        <v>22856.818637109373</v>
      </c>
      <c r="AR627" s="2027">
        <f t="shared" si="421"/>
        <v>29205.93492519531</v>
      </c>
      <c r="AS627" s="2124">
        <f>AS166*1</f>
        <v>0</v>
      </c>
      <c r="AT627" s="2029">
        <f t="shared" si="422"/>
        <v>0</v>
      </c>
      <c r="AU627" s="2029">
        <f t="shared" si="422"/>
        <v>0</v>
      </c>
      <c r="AV627" s="2029">
        <f t="shared" si="422"/>
        <v>0</v>
      </c>
      <c r="AW627" s="2124">
        <v>2499.9973541666664</v>
      </c>
      <c r="AX627" s="2029">
        <f t="shared" si="440"/>
        <v>2499.9973541666664</v>
      </c>
      <c r="AY627" s="2029">
        <f t="shared" si="440"/>
        <v>2499.9973541666664</v>
      </c>
      <c r="AZ627" s="2029">
        <f t="shared" si="440"/>
        <v>2499.9973541666664</v>
      </c>
      <c r="BA627" s="2124">
        <v>2179.2916666666665</v>
      </c>
      <c r="BB627" s="2029">
        <f>$BA627</f>
        <v>2179.2916666666665</v>
      </c>
      <c r="BC627" s="2029">
        <f t="shared" ref="BC627:BD628" si="447">$BA627</f>
        <v>2179.2916666666665</v>
      </c>
      <c r="BD627" s="2029">
        <f t="shared" si="447"/>
        <v>2179.2916666666665</v>
      </c>
      <c r="BE627" s="2030">
        <f t="shared" si="430"/>
        <v>0</v>
      </c>
      <c r="BF627" s="2030">
        <f t="shared" si="430"/>
        <v>0</v>
      </c>
      <c r="BG627" s="2030">
        <f t="shared" si="430"/>
        <v>0</v>
      </c>
      <c r="BH627" s="2030">
        <f t="shared" si="430"/>
        <v>0</v>
      </c>
      <c r="BI627" s="2030">
        <f t="shared" si="431"/>
        <v>34999.96295833333</v>
      </c>
      <c r="BJ627" s="2030">
        <f t="shared" si="431"/>
        <v>34999.96295833333</v>
      </c>
      <c r="BK627" s="2030">
        <f t="shared" si="431"/>
        <v>44999.952374999993</v>
      </c>
      <c r="BL627" s="2030">
        <f t="shared" si="431"/>
        <v>57499.939145833327</v>
      </c>
      <c r="BM627" s="2125"/>
      <c r="BN627" s="2125"/>
      <c r="BO627" s="2125"/>
      <c r="BP627" s="2125"/>
      <c r="BQ627" s="2125"/>
      <c r="BR627" s="2125"/>
      <c r="BS627" s="2125"/>
      <c r="BT627" s="2125"/>
      <c r="BU627" s="2029"/>
      <c r="BV627" s="2029"/>
      <c r="BW627" s="2029"/>
      <c r="BX627" s="2029"/>
      <c r="BY627" s="2029"/>
      <c r="BZ627" s="2032"/>
      <c r="CA627" s="1974">
        <f t="shared" ref="CA627:CE642" si="448">CA166</f>
        <v>0</v>
      </c>
      <c r="CB627" s="1974">
        <f t="shared" si="448"/>
        <v>0</v>
      </c>
      <c r="CC627" s="1974">
        <f t="shared" si="448"/>
        <v>0</v>
      </c>
      <c r="CD627" s="1974">
        <f t="shared" si="448"/>
        <v>0</v>
      </c>
      <c r="CE627" s="1974">
        <f t="shared" si="448"/>
        <v>0</v>
      </c>
      <c r="CF627" s="2033">
        <v>-7.3109074193363835E-5</v>
      </c>
      <c r="CG627" s="2026">
        <v>8.4050543866133112E-3</v>
      </c>
      <c r="CH627" s="2009">
        <f t="shared" ref="CH627:CK642" si="449">CH166</f>
        <v>1</v>
      </c>
      <c r="CI627" s="2031">
        <f t="shared" si="449"/>
        <v>0</v>
      </c>
      <c r="CJ627" s="1974">
        <f t="shared" si="449"/>
        <v>20.104166666666668</v>
      </c>
      <c r="CK627" s="2031">
        <f t="shared" si="449"/>
        <v>20.104166666666668</v>
      </c>
      <c r="CL627" s="2026">
        <v>1</v>
      </c>
      <c r="CM627" s="2026">
        <v>1</v>
      </c>
      <c r="CN627" s="2026">
        <v>1</v>
      </c>
      <c r="CO627" s="2026">
        <v>1</v>
      </c>
      <c r="CP627" s="2035"/>
      <c r="CQ627" s="2036"/>
      <c r="CR627" s="2036"/>
      <c r="CS627" s="2036"/>
      <c r="CT627" s="2036"/>
      <c r="CU627" s="2036"/>
      <c r="CV627" s="1973">
        <v>1</v>
      </c>
      <c r="CW627" s="1973">
        <v>0</v>
      </c>
      <c r="CX627" s="2037">
        <v>2500</v>
      </c>
      <c r="CY627" s="2037">
        <v>2500</v>
      </c>
      <c r="CZ627" s="2037">
        <v>2500</v>
      </c>
      <c r="DA627" s="2037">
        <v>2500</v>
      </c>
      <c r="DJ627" s="1976">
        <v>0</v>
      </c>
      <c r="DK627" s="1973">
        <v>0</v>
      </c>
      <c r="DL627" s="1973">
        <v>0</v>
      </c>
      <c r="DM627" s="1973">
        <v>0</v>
      </c>
      <c r="DO627" s="2146">
        <v>15</v>
      </c>
      <c r="DP627" s="2147">
        <v>-1103.8355523767607</v>
      </c>
      <c r="DQ627" s="2148">
        <v>-0.17697329812206575</v>
      </c>
      <c r="DR627" s="2146">
        <v>1410.9147306857637</v>
      </c>
      <c r="DS627" s="2046">
        <v>0</v>
      </c>
      <c r="DT627" s="2046">
        <v>0</v>
      </c>
      <c r="DU627" s="2046">
        <v>0</v>
      </c>
      <c r="DV627" s="2046">
        <v>0</v>
      </c>
      <c r="DW627" s="2046">
        <v>2499.9973541666664</v>
      </c>
      <c r="DX627" s="2046">
        <v>2499.9973541666664</v>
      </c>
      <c r="DY627" s="2046">
        <v>2499.9973541666664</v>
      </c>
      <c r="DZ627" s="2046">
        <v>2499.9973541666664</v>
      </c>
      <c r="EA627" s="2046">
        <v>2179.2916666666665</v>
      </c>
      <c r="EB627" s="2046">
        <v>2179.2916666666665</v>
      </c>
      <c r="EC627" s="2046">
        <v>2179.2916666666665</v>
      </c>
      <c r="ED627" s="2046">
        <v>2179.2916666666665</v>
      </c>
      <c r="EE627" s="2039">
        <f t="shared" si="412"/>
        <v>0</v>
      </c>
      <c r="EF627" s="2039">
        <f t="shared" si="412"/>
        <v>0</v>
      </c>
      <c r="EG627" s="2039">
        <f t="shared" si="412"/>
        <v>0</v>
      </c>
      <c r="EH627" s="2039">
        <f t="shared" si="412"/>
        <v>0</v>
      </c>
      <c r="EI627" s="2040">
        <f t="shared" si="437"/>
        <v>0</v>
      </c>
      <c r="EJ627" s="2040">
        <f t="shared" si="437"/>
        <v>0</v>
      </c>
      <c r="EK627" s="2040">
        <f t="shared" si="437"/>
        <v>0</v>
      </c>
      <c r="EL627" s="2040">
        <f t="shared" si="437"/>
        <v>0</v>
      </c>
      <c r="EM627" s="2040">
        <f t="shared" si="437"/>
        <v>0</v>
      </c>
      <c r="EN627" s="2040">
        <f t="shared" si="437"/>
        <v>0</v>
      </c>
      <c r="EO627" s="2040">
        <f t="shared" si="417"/>
        <v>0</v>
      </c>
      <c r="EP627" s="2040">
        <f t="shared" si="417"/>
        <v>0</v>
      </c>
      <c r="EQ627" s="2040">
        <f t="shared" si="417"/>
        <v>0</v>
      </c>
      <c r="ER627" s="2040">
        <f t="shared" si="417"/>
        <v>0</v>
      </c>
      <c r="ES627" s="2040">
        <f t="shared" si="417"/>
        <v>0</v>
      </c>
      <c r="ET627" s="2040">
        <f t="shared" si="417"/>
        <v>0</v>
      </c>
      <c r="EU627" s="2039">
        <f t="shared" si="413"/>
        <v>0</v>
      </c>
      <c r="EV627" s="2039">
        <f t="shared" si="414"/>
        <v>0</v>
      </c>
    </row>
    <row r="628" spans="1:152" x14ac:dyDescent="0.25">
      <c r="A628" s="2150" t="s">
        <v>182</v>
      </c>
      <c r="B628" s="1974" t="str">
        <f t="shared" si="438"/>
        <v>BPM10</v>
      </c>
      <c r="C628" s="2027">
        <v>14</v>
      </c>
      <c r="D628" s="2171">
        <v>0</v>
      </c>
      <c r="E628" s="2145">
        <v>0</v>
      </c>
      <c r="F628" s="2027">
        <v>405.14400000000001</v>
      </c>
      <c r="G628" s="1974" t="s">
        <v>2988</v>
      </c>
      <c r="H628" s="1974" t="s">
        <v>2988</v>
      </c>
      <c r="I628" s="2026">
        <v>0.9</v>
      </c>
      <c r="J628" s="2026">
        <v>0.9</v>
      </c>
      <c r="K628" s="2026">
        <v>0.9</v>
      </c>
      <c r="L628" s="2026">
        <v>0.9</v>
      </c>
      <c r="M628" s="2027">
        <f t="shared" si="426"/>
        <v>0</v>
      </c>
      <c r="N628" s="2027">
        <f t="shared" si="426"/>
        <v>0</v>
      </c>
      <c r="O628" s="2027">
        <f t="shared" si="426"/>
        <v>0</v>
      </c>
      <c r="P628" s="2027">
        <f t="shared" si="426"/>
        <v>0</v>
      </c>
      <c r="Q628" s="2026">
        <v>0.9</v>
      </c>
      <c r="R628" s="2026">
        <v>0.9</v>
      </c>
      <c r="S628" s="2026">
        <v>0.9</v>
      </c>
      <c r="T628" s="2026">
        <v>0.9</v>
      </c>
      <c r="U628" s="2028">
        <f t="shared" si="427"/>
        <v>0</v>
      </c>
      <c r="V628" s="2028">
        <f t="shared" si="427"/>
        <v>0</v>
      </c>
      <c r="W628" s="2028">
        <f t="shared" si="427"/>
        <v>0</v>
      </c>
      <c r="X628" s="2028">
        <f t="shared" si="427"/>
        <v>0</v>
      </c>
      <c r="Y628" s="2026">
        <v>0.9</v>
      </c>
      <c r="Z628" s="2026">
        <v>0.9</v>
      </c>
      <c r="AA628" s="2026">
        <v>0.9</v>
      </c>
      <c r="AB628" s="2026">
        <v>0.9</v>
      </c>
      <c r="AC628" s="2027">
        <f t="shared" si="428"/>
        <v>364.62960000000004</v>
      </c>
      <c r="AD628" s="2027">
        <f t="shared" si="428"/>
        <v>364.62960000000004</v>
      </c>
      <c r="AE628" s="2027">
        <f t="shared" si="428"/>
        <v>364.62960000000004</v>
      </c>
      <c r="AF628" s="2027">
        <f t="shared" si="428"/>
        <v>364.62960000000004</v>
      </c>
      <c r="AG628" s="2027">
        <v>2</v>
      </c>
      <c r="AH628" s="2028">
        <v>2</v>
      </c>
      <c r="AI628" s="2028">
        <v>3</v>
      </c>
      <c r="AJ628" s="2028">
        <v>2</v>
      </c>
      <c r="AK628" s="2027">
        <f t="shared" si="434"/>
        <v>0</v>
      </c>
      <c r="AL628" s="2027">
        <f t="shared" si="433"/>
        <v>0</v>
      </c>
      <c r="AM628" s="2027">
        <f t="shared" si="433"/>
        <v>0</v>
      </c>
      <c r="AN628" s="2027">
        <f t="shared" si="433"/>
        <v>0</v>
      </c>
      <c r="AO628" s="2027">
        <f t="shared" si="429"/>
        <v>729.25920000000008</v>
      </c>
      <c r="AP628" s="2027">
        <f t="shared" si="421"/>
        <v>729.25920000000008</v>
      </c>
      <c r="AQ628" s="2027">
        <f t="shared" si="421"/>
        <v>1093.8888000000002</v>
      </c>
      <c r="AR628" s="2027">
        <f t="shared" si="421"/>
        <v>729.25920000000008</v>
      </c>
      <c r="AS628" s="2124">
        <f t="shared" ref="AS628:AS643" si="450">AS167*1.5</f>
        <v>0</v>
      </c>
      <c r="AT628" s="2029">
        <f t="shared" si="422"/>
        <v>0</v>
      </c>
      <c r="AU628" s="2029">
        <f t="shared" si="422"/>
        <v>0</v>
      </c>
      <c r="AV628" s="2029">
        <f t="shared" si="422"/>
        <v>0</v>
      </c>
      <c r="AW628" s="2124">
        <v>975</v>
      </c>
      <c r="AX628" s="2029">
        <f t="shared" si="440"/>
        <v>975</v>
      </c>
      <c r="AY628" s="2029">
        <f t="shared" si="440"/>
        <v>975</v>
      </c>
      <c r="AZ628" s="2029">
        <f t="shared" si="440"/>
        <v>975</v>
      </c>
      <c r="BA628" s="2124">
        <v>700</v>
      </c>
      <c r="BB628" s="2029">
        <f>$BA628</f>
        <v>700</v>
      </c>
      <c r="BC628" s="2029">
        <f t="shared" si="447"/>
        <v>700</v>
      </c>
      <c r="BD628" s="2029">
        <f t="shared" si="447"/>
        <v>700</v>
      </c>
      <c r="BE628" s="2030">
        <f t="shared" si="430"/>
        <v>0</v>
      </c>
      <c r="BF628" s="2030">
        <f t="shared" si="430"/>
        <v>0</v>
      </c>
      <c r="BG628" s="2030">
        <f t="shared" si="430"/>
        <v>0</v>
      </c>
      <c r="BH628" s="2030">
        <f t="shared" si="430"/>
        <v>0</v>
      </c>
      <c r="BI628" s="2030">
        <f t="shared" si="431"/>
        <v>1950</v>
      </c>
      <c r="BJ628" s="2030">
        <f t="shared" si="431"/>
        <v>1950</v>
      </c>
      <c r="BK628" s="2030">
        <f t="shared" si="431"/>
        <v>2925</v>
      </c>
      <c r="BL628" s="2030">
        <f t="shared" si="431"/>
        <v>1950</v>
      </c>
      <c r="BM628" s="2125"/>
      <c r="BN628" s="2125"/>
      <c r="BO628" s="2125"/>
      <c r="BP628" s="2125"/>
      <c r="BQ628" s="2125"/>
      <c r="BR628" s="2125"/>
      <c r="BS628" s="2125"/>
      <c r="BT628" s="2125"/>
      <c r="BU628" s="2029"/>
      <c r="BV628" s="2029"/>
      <c r="BW628" s="2029"/>
      <c r="BX628" s="2029"/>
      <c r="BY628" s="2029"/>
      <c r="BZ628" s="2032"/>
      <c r="CA628" s="1974">
        <f t="shared" si="448"/>
        <v>0</v>
      </c>
      <c r="CB628" s="1974">
        <f t="shared" si="448"/>
        <v>0</v>
      </c>
      <c r="CC628" s="1974">
        <f t="shared" si="448"/>
        <v>0</v>
      </c>
      <c r="CD628" s="1974">
        <f t="shared" si="448"/>
        <v>0</v>
      </c>
      <c r="CE628" s="1974">
        <f t="shared" si="448"/>
        <v>0</v>
      </c>
      <c r="CF628" s="2033">
        <v>0</v>
      </c>
      <c r="CG628" s="2026">
        <v>2.719756333156273E-4</v>
      </c>
      <c r="CH628" s="2009">
        <f t="shared" si="449"/>
        <v>0</v>
      </c>
      <c r="CI628" s="2031">
        <f t="shared" si="449"/>
        <v>0</v>
      </c>
      <c r="CJ628" s="1974">
        <f t="shared" si="449"/>
        <v>0</v>
      </c>
      <c r="CK628" s="2031">
        <f t="shared" si="449"/>
        <v>0</v>
      </c>
      <c r="CL628" s="2026">
        <v>1</v>
      </c>
      <c r="CM628" s="2026">
        <v>1</v>
      </c>
      <c r="CN628" s="2026">
        <v>1</v>
      </c>
      <c r="CO628" s="2026">
        <v>1</v>
      </c>
      <c r="CP628" s="2035"/>
      <c r="CQ628" s="2036"/>
      <c r="CR628" s="2036"/>
      <c r="CS628" s="2036"/>
      <c r="CT628" s="2036"/>
      <c r="CU628" s="2036"/>
      <c r="CV628" s="1973">
        <v>1</v>
      </c>
      <c r="CW628" s="1973">
        <v>0</v>
      </c>
      <c r="CX628" s="2037">
        <v>975</v>
      </c>
      <c r="CY628" s="2037">
        <v>975</v>
      </c>
      <c r="CZ628" s="2037">
        <v>975</v>
      </c>
      <c r="DA628" s="2037">
        <v>975</v>
      </c>
      <c r="DJ628" s="1976">
        <v>0</v>
      </c>
      <c r="DK628" s="1973">
        <v>0</v>
      </c>
      <c r="DL628" s="1973">
        <v>0</v>
      </c>
      <c r="DM628" s="1973">
        <v>0</v>
      </c>
      <c r="DO628" s="2146">
        <v>14</v>
      </c>
      <c r="DP628" s="2147">
        <v>0</v>
      </c>
      <c r="DQ628" s="2148">
        <v>0</v>
      </c>
      <c r="DR628" s="2146">
        <v>405.14400000000001</v>
      </c>
      <c r="DS628" s="2046">
        <v>0</v>
      </c>
      <c r="DT628" s="2046">
        <v>0</v>
      </c>
      <c r="DU628" s="2046">
        <v>0</v>
      </c>
      <c r="DV628" s="2046">
        <v>0</v>
      </c>
      <c r="DW628" s="2046">
        <v>975</v>
      </c>
      <c r="DX628" s="2046">
        <v>975</v>
      </c>
      <c r="DY628" s="2046">
        <v>975</v>
      </c>
      <c r="DZ628" s="2046">
        <v>975</v>
      </c>
      <c r="EA628" s="2046">
        <v>700</v>
      </c>
      <c r="EB628" s="2046">
        <v>700</v>
      </c>
      <c r="EC628" s="2046">
        <v>700</v>
      </c>
      <c r="ED628" s="2046">
        <v>700</v>
      </c>
      <c r="EE628" s="2039">
        <f t="shared" si="412"/>
        <v>0</v>
      </c>
      <c r="EF628" s="2039">
        <f t="shared" si="412"/>
        <v>0</v>
      </c>
      <c r="EG628" s="2039">
        <f t="shared" si="412"/>
        <v>0</v>
      </c>
      <c r="EH628" s="2039">
        <f t="shared" si="412"/>
        <v>0</v>
      </c>
      <c r="EI628" s="2040">
        <f t="shared" si="437"/>
        <v>0</v>
      </c>
      <c r="EJ628" s="2040">
        <f t="shared" si="437"/>
        <v>0</v>
      </c>
      <c r="EK628" s="2040">
        <f t="shared" si="437"/>
        <v>0</v>
      </c>
      <c r="EL628" s="2040">
        <f t="shared" si="437"/>
        <v>0</v>
      </c>
      <c r="EM628" s="2040">
        <f t="shared" si="437"/>
        <v>0</v>
      </c>
      <c r="EN628" s="2040">
        <f t="shared" si="437"/>
        <v>0</v>
      </c>
      <c r="EO628" s="2040">
        <f t="shared" si="417"/>
        <v>0</v>
      </c>
      <c r="EP628" s="2040">
        <f t="shared" si="417"/>
        <v>0</v>
      </c>
      <c r="EQ628" s="2040">
        <f t="shared" si="417"/>
        <v>0</v>
      </c>
      <c r="ER628" s="2040">
        <f t="shared" si="417"/>
        <v>0</v>
      </c>
      <c r="ES628" s="2040">
        <f t="shared" si="417"/>
        <v>0</v>
      </c>
      <c r="ET628" s="2040">
        <f t="shared" si="417"/>
        <v>0</v>
      </c>
      <c r="EU628" s="2039">
        <f t="shared" si="413"/>
        <v>0</v>
      </c>
      <c r="EV628" s="2039">
        <f t="shared" si="414"/>
        <v>0</v>
      </c>
    </row>
    <row r="629" spans="1:152" x14ac:dyDescent="0.25">
      <c r="A629" s="2149" t="s">
        <v>260</v>
      </c>
      <c r="B629" s="1974" t="str">
        <f t="shared" si="438"/>
        <v/>
      </c>
      <c r="C629" s="2027">
        <f t="shared" ref="C629:F644" si="451">C168</f>
        <v>0</v>
      </c>
      <c r="D629" s="2172">
        <f t="shared" si="451"/>
        <v>0</v>
      </c>
      <c r="E629" s="2145">
        <f t="shared" si="451"/>
        <v>0</v>
      </c>
      <c r="F629" s="2027">
        <f t="shared" si="451"/>
        <v>0</v>
      </c>
      <c r="G629" s="1974" t="s">
        <v>2988</v>
      </c>
      <c r="H629" s="1974" t="s">
        <v>2988</v>
      </c>
      <c r="I629" s="2026">
        <v>0.9</v>
      </c>
      <c r="J629" s="2026">
        <v>0.9</v>
      </c>
      <c r="K629" s="2026">
        <v>0.9</v>
      </c>
      <c r="L629" s="2026">
        <v>0.9</v>
      </c>
      <c r="M629" s="2027">
        <f t="shared" si="426"/>
        <v>0</v>
      </c>
      <c r="N629" s="2027">
        <f t="shared" si="426"/>
        <v>0</v>
      </c>
      <c r="O629" s="2027">
        <f t="shared" si="426"/>
        <v>0</v>
      </c>
      <c r="P629" s="2027">
        <f t="shared" si="426"/>
        <v>0</v>
      </c>
      <c r="Q629" s="2026">
        <v>0.9</v>
      </c>
      <c r="R629" s="2026">
        <v>0.9</v>
      </c>
      <c r="S629" s="2026">
        <v>0.9</v>
      </c>
      <c r="T629" s="2026">
        <v>0.9</v>
      </c>
      <c r="U629" s="2028">
        <f t="shared" si="427"/>
        <v>0</v>
      </c>
      <c r="V629" s="2028">
        <f t="shared" si="427"/>
        <v>0</v>
      </c>
      <c r="W629" s="2028">
        <f t="shared" si="427"/>
        <v>0</v>
      </c>
      <c r="X629" s="2028">
        <f t="shared" si="427"/>
        <v>0</v>
      </c>
      <c r="Y629" s="2026">
        <v>0.9</v>
      </c>
      <c r="Z629" s="2026">
        <v>0.9</v>
      </c>
      <c r="AA629" s="2026">
        <v>0.9</v>
      </c>
      <c r="AB629" s="2026">
        <v>0.9</v>
      </c>
      <c r="AC629" s="2027">
        <f t="shared" si="428"/>
        <v>0</v>
      </c>
      <c r="AD629" s="2027">
        <f t="shared" si="428"/>
        <v>0</v>
      </c>
      <c r="AE629" s="2027">
        <f t="shared" si="428"/>
        <v>0</v>
      </c>
      <c r="AF629" s="2027">
        <f t="shared" si="428"/>
        <v>0</v>
      </c>
      <c r="AG629" s="2027">
        <v>0</v>
      </c>
      <c r="AH629" s="2028"/>
      <c r="AI629" s="2028"/>
      <c r="AJ629" s="2028"/>
      <c r="AK629" s="2027">
        <f t="shared" si="434"/>
        <v>0</v>
      </c>
      <c r="AL629" s="2027">
        <f t="shared" si="433"/>
        <v>0</v>
      </c>
      <c r="AM629" s="2027">
        <f t="shared" si="433"/>
        <v>0</v>
      </c>
      <c r="AN629" s="2027">
        <f t="shared" si="433"/>
        <v>0</v>
      </c>
      <c r="AO629" s="2027">
        <f t="shared" si="429"/>
        <v>0</v>
      </c>
      <c r="AP629" s="2027">
        <f t="shared" si="421"/>
        <v>0</v>
      </c>
      <c r="AQ629" s="2027">
        <f t="shared" si="421"/>
        <v>0</v>
      </c>
      <c r="AR629" s="2027">
        <f t="shared" si="421"/>
        <v>0</v>
      </c>
      <c r="AS629" s="2124">
        <f t="shared" si="450"/>
        <v>0</v>
      </c>
      <c r="AT629" s="2029">
        <f t="shared" si="422"/>
        <v>0</v>
      </c>
      <c r="AU629" s="2029">
        <f t="shared" si="422"/>
        <v>0</v>
      </c>
      <c r="AV629" s="2029">
        <f t="shared" si="422"/>
        <v>0</v>
      </c>
      <c r="AW629" s="2124">
        <f t="shared" ref="AW629:AW643" si="452">AW168*1.5</f>
        <v>0</v>
      </c>
      <c r="AX629" s="2029">
        <f t="shared" si="440"/>
        <v>0</v>
      </c>
      <c r="AY629" s="2029">
        <f t="shared" si="440"/>
        <v>0</v>
      </c>
      <c r="AZ629" s="2029">
        <f t="shared" si="440"/>
        <v>0</v>
      </c>
      <c r="BA629" s="2124">
        <f t="shared" si="445"/>
        <v>0</v>
      </c>
      <c r="BB629" s="2029">
        <f t="shared" si="445"/>
        <v>0</v>
      </c>
      <c r="BC629" s="2029">
        <f t="shared" si="445"/>
        <v>0</v>
      </c>
      <c r="BD629" s="2029">
        <f t="shared" si="445"/>
        <v>0</v>
      </c>
      <c r="BE629" s="2030">
        <f t="shared" si="430"/>
        <v>0</v>
      </c>
      <c r="BF629" s="2030">
        <f t="shared" si="430"/>
        <v>0</v>
      </c>
      <c r="BG629" s="2030">
        <f t="shared" si="430"/>
        <v>0</v>
      </c>
      <c r="BH629" s="2030">
        <f t="shared" si="430"/>
        <v>0</v>
      </c>
      <c r="BI629" s="2030">
        <f t="shared" si="431"/>
        <v>0</v>
      </c>
      <c r="BJ629" s="2030">
        <f t="shared" si="431"/>
        <v>0</v>
      </c>
      <c r="BK629" s="2030">
        <f t="shared" si="431"/>
        <v>0</v>
      </c>
      <c r="BL629" s="2030">
        <f t="shared" si="431"/>
        <v>0</v>
      </c>
      <c r="BM629" s="2125"/>
      <c r="BN629" s="2125"/>
      <c r="BO629" s="2125"/>
      <c r="BP629" s="2125"/>
      <c r="BQ629" s="2125"/>
      <c r="BR629" s="2125"/>
      <c r="BS629" s="2125"/>
      <c r="BT629" s="2125"/>
      <c r="BU629" s="2029"/>
      <c r="BV629" s="2029"/>
      <c r="BW629" s="2029"/>
      <c r="BX629" s="2029"/>
      <c r="BY629" s="2029"/>
      <c r="BZ629" s="2032"/>
      <c r="CA629" s="1974">
        <f t="shared" si="448"/>
        <v>0</v>
      </c>
      <c r="CB629" s="1974">
        <f t="shared" si="448"/>
        <v>0</v>
      </c>
      <c r="CC629" s="1974">
        <f t="shared" si="448"/>
        <v>0</v>
      </c>
      <c r="CD629" s="1974">
        <f t="shared" si="448"/>
        <v>0</v>
      </c>
      <c r="CE629" s="1974">
        <f t="shared" si="448"/>
        <v>0</v>
      </c>
      <c r="CF629" s="2033">
        <v>0</v>
      </c>
      <c r="CG629" s="2026">
        <v>0</v>
      </c>
      <c r="CH629" s="2009">
        <f t="shared" si="449"/>
        <v>0</v>
      </c>
      <c r="CI629" s="2031">
        <f t="shared" si="449"/>
        <v>0</v>
      </c>
      <c r="CJ629" s="1974">
        <f t="shared" si="449"/>
        <v>0</v>
      </c>
      <c r="CK629" s="2031">
        <f t="shared" si="449"/>
        <v>0</v>
      </c>
      <c r="CL629" s="2026">
        <v>1</v>
      </c>
      <c r="CM629" s="2026">
        <v>1</v>
      </c>
      <c r="CN629" s="2026">
        <v>1</v>
      </c>
      <c r="CO629" s="2026">
        <v>1</v>
      </c>
      <c r="CP629" s="2035"/>
      <c r="CQ629" s="2036"/>
      <c r="CR629" s="2036"/>
      <c r="CS629" s="2036"/>
      <c r="CT629" s="2036"/>
      <c r="CU629" s="2036"/>
      <c r="CV629" s="1973">
        <v>1</v>
      </c>
      <c r="CW629" s="1973">
        <v>0</v>
      </c>
      <c r="CX629" s="2037">
        <v>0</v>
      </c>
      <c r="CY629" s="2037">
        <v>0</v>
      </c>
      <c r="CZ629" s="2037">
        <v>0</v>
      </c>
      <c r="DA629" s="2037">
        <v>0</v>
      </c>
      <c r="DJ629" s="1976">
        <v>0</v>
      </c>
      <c r="DK629" s="1973">
        <v>0</v>
      </c>
      <c r="DL629" s="1973">
        <v>0</v>
      </c>
      <c r="DM629" s="1973">
        <v>0</v>
      </c>
      <c r="DO629" s="2027">
        <v>0</v>
      </c>
      <c r="DP629" s="2144">
        <v>0</v>
      </c>
      <c r="DQ629" s="2145">
        <v>0</v>
      </c>
      <c r="DR629" s="2027">
        <v>0</v>
      </c>
      <c r="DS629" s="2124">
        <v>0</v>
      </c>
      <c r="DT629" s="2029">
        <v>0</v>
      </c>
      <c r="DU629" s="2029">
        <v>0</v>
      </c>
      <c r="DV629" s="2029">
        <v>0</v>
      </c>
      <c r="DW629" s="2124">
        <v>0</v>
      </c>
      <c r="DX629" s="2029">
        <v>0</v>
      </c>
      <c r="DY629" s="2029">
        <v>0</v>
      </c>
      <c r="DZ629" s="2029">
        <v>0</v>
      </c>
      <c r="EA629" s="2124">
        <v>0</v>
      </c>
      <c r="EB629" s="2029">
        <v>0</v>
      </c>
      <c r="EC629" s="2029">
        <v>0</v>
      </c>
      <c r="ED629" s="2029">
        <v>0</v>
      </c>
      <c r="EE629" s="2039">
        <f t="shared" si="412"/>
        <v>0</v>
      </c>
      <c r="EF629" s="2039">
        <f t="shared" si="412"/>
        <v>0</v>
      </c>
      <c r="EG629" s="2039">
        <f t="shared" si="412"/>
        <v>0</v>
      </c>
      <c r="EH629" s="2039">
        <f t="shared" si="412"/>
        <v>0</v>
      </c>
      <c r="EI629" s="2040">
        <f t="shared" si="437"/>
        <v>0</v>
      </c>
      <c r="EJ629" s="2040">
        <f t="shared" si="437"/>
        <v>0</v>
      </c>
      <c r="EK629" s="2040">
        <f t="shared" si="437"/>
        <v>0</v>
      </c>
      <c r="EL629" s="2040">
        <f t="shared" si="437"/>
        <v>0</v>
      </c>
      <c r="EM629" s="2040">
        <f t="shared" si="437"/>
        <v>0</v>
      </c>
      <c r="EN629" s="2040">
        <f t="shared" si="437"/>
        <v>0</v>
      </c>
      <c r="EO629" s="2040">
        <f t="shared" si="417"/>
        <v>0</v>
      </c>
      <c r="EP629" s="2040">
        <f t="shared" si="417"/>
        <v>0</v>
      </c>
      <c r="EQ629" s="2040">
        <f t="shared" si="417"/>
        <v>0</v>
      </c>
      <c r="ER629" s="2040">
        <f t="shared" si="417"/>
        <v>0</v>
      </c>
      <c r="ES629" s="2040">
        <f t="shared" si="417"/>
        <v>0</v>
      </c>
      <c r="ET629" s="2040">
        <f t="shared" si="417"/>
        <v>0</v>
      </c>
      <c r="EU629" s="2039">
        <f t="shared" si="413"/>
        <v>0</v>
      </c>
      <c r="EV629" s="2039">
        <f t="shared" si="414"/>
        <v>0</v>
      </c>
    </row>
    <row r="630" spans="1:152" x14ac:dyDescent="0.25">
      <c r="A630" s="2149" t="s">
        <v>261</v>
      </c>
      <c r="B630" s="1974" t="str">
        <f t="shared" si="438"/>
        <v/>
      </c>
      <c r="C630" s="2027">
        <f t="shared" si="451"/>
        <v>0</v>
      </c>
      <c r="D630" s="2144">
        <f t="shared" si="451"/>
        <v>0</v>
      </c>
      <c r="E630" s="2145">
        <f t="shared" si="451"/>
        <v>0</v>
      </c>
      <c r="F630" s="2027">
        <f t="shared" si="451"/>
        <v>0</v>
      </c>
      <c r="G630" s="1974" t="s">
        <v>2988</v>
      </c>
      <c r="H630" s="1974" t="s">
        <v>2988</v>
      </c>
      <c r="I630" s="2026">
        <v>0.9</v>
      </c>
      <c r="J630" s="2026">
        <v>0.9</v>
      </c>
      <c r="K630" s="2026">
        <v>0.9</v>
      </c>
      <c r="L630" s="2026">
        <v>0.9</v>
      </c>
      <c r="M630" s="2027">
        <f t="shared" si="426"/>
        <v>0</v>
      </c>
      <c r="N630" s="2027">
        <f t="shared" si="426"/>
        <v>0</v>
      </c>
      <c r="O630" s="2027">
        <f t="shared" si="426"/>
        <v>0</v>
      </c>
      <c r="P630" s="2027">
        <f t="shared" si="426"/>
        <v>0</v>
      </c>
      <c r="Q630" s="2026">
        <v>0.9</v>
      </c>
      <c r="R630" s="2026">
        <v>0.9</v>
      </c>
      <c r="S630" s="2026">
        <v>0.9</v>
      </c>
      <c r="T630" s="2026">
        <v>0.9</v>
      </c>
      <c r="U630" s="2028">
        <f t="shared" si="427"/>
        <v>0</v>
      </c>
      <c r="V630" s="2028">
        <f t="shared" si="427"/>
        <v>0</v>
      </c>
      <c r="W630" s="2028">
        <f t="shared" si="427"/>
        <v>0</v>
      </c>
      <c r="X630" s="2028">
        <f t="shared" si="427"/>
        <v>0</v>
      </c>
      <c r="Y630" s="2026">
        <v>0.9</v>
      </c>
      <c r="Z630" s="2026">
        <v>0.9</v>
      </c>
      <c r="AA630" s="2026">
        <v>0.9</v>
      </c>
      <c r="AB630" s="2026">
        <v>0.9</v>
      </c>
      <c r="AC630" s="2027">
        <f t="shared" si="428"/>
        <v>0</v>
      </c>
      <c r="AD630" s="2027">
        <f t="shared" si="428"/>
        <v>0</v>
      </c>
      <c r="AE630" s="2027">
        <f t="shared" si="428"/>
        <v>0</v>
      </c>
      <c r="AF630" s="2027">
        <f t="shared" si="428"/>
        <v>0</v>
      </c>
      <c r="AG630" s="2027">
        <v>0</v>
      </c>
      <c r="AH630" s="2028"/>
      <c r="AI630" s="2028"/>
      <c r="AJ630" s="2028"/>
      <c r="AK630" s="2027">
        <f t="shared" si="434"/>
        <v>0</v>
      </c>
      <c r="AL630" s="2027">
        <f t="shared" ref="AL630:AN661" si="453">AH630*N630*CM630</f>
        <v>0</v>
      </c>
      <c r="AM630" s="2027">
        <f t="shared" si="453"/>
        <v>0</v>
      </c>
      <c r="AN630" s="2027">
        <f t="shared" si="453"/>
        <v>0</v>
      </c>
      <c r="AO630" s="2027">
        <f t="shared" si="429"/>
        <v>0</v>
      </c>
      <c r="AP630" s="2027">
        <f t="shared" si="421"/>
        <v>0</v>
      </c>
      <c r="AQ630" s="2027">
        <f t="shared" si="421"/>
        <v>0</v>
      </c>
      <c r="AR630" s="2027">
        <f t="shared" si="421"/>
        <v>0</v>
      </c>
      <c r="AS630" s="2124">
        <f t="shared" si="450"/>
        <v>0</v>
      </c>
      <c r="AT630" s="2029">
        <f t="shared" si="422"/>
        <v>0</v>
      </c>
      <c r="AU630" s="2029">
        <f t="shared" si="422"/>
        <v>0</v>
      </c>
      <c r="AV630" s="2029">
        <f t="shared" si="422"/>
        <v>0</v>
      </c>
      <c r="AW630" s="2124">
        <f t="shared" si="452"/>
        <v>0</v>
      </c>
      <c r="AX630" s="2029">
        <f t="shared" si="440"/>
        <v>0</v>
      </c>
      <c r="AY630" s="2029">
        <f t="shared" si="440"/>
        <v>0</v>
      </c>
      <c r="AZ630" s="2029">
        <f t="shared" si="440"/>
        <v>0</v>
      </c>
      <c r="BA630" s="2124">
        <f t="shared" si="445"/>
        <v>0</v>
      </c>
      <c r="BB630" s="2029">
        <f t="shared" si="445"/>
        <v>0</v>
      </c>
      <c r="BC630" s="2029">
        <f t="shared" si="445"/>
        <v>0</v>
      </c>
      <c r="BD630" s="2029">
        <f t="shared" si="445"/>
        <v>0</v>
      </c>
      <c r="BE630" s="2030">
        <f t="shared" si="430"/>
        <v>0</v>
      </c>
      <c r="BF630" s="2030">
        <f t="shared" si="430"/>
        <v>0</v>
      </c>
      <c r="BG630" s="2030">
        <f t="shared" si="430"/>
        <v>0</v>
      </c>
      <c r="BH630" s="2030">
        <f t="shared" si="430"/>
        <v>0</v>
      </c>
      <c r="BI630" s="2030">
        <f t="shared" si="431"/>
        <v>0</v>
      </c>
      <c r="BJ630" s="2030">
        <f t="shared" si="431"/>
        <v>0</v>
      </c>
      <c r="BK630" s="2030">
        <f t="shared" si="431"/>
        <v>0</v>
      </c>
      <c r="BL630" s="2030">
        <f t="shared" si="431"/>
        <v>0</v>
      </c>
      <c r="BM630" s="2125"/>
      <c r="BN630" s="2125"/>
      <c r="BO630" s="2125"/>
      <c r="BP630" s="2125"/>
      <c r="BQ630" s="2125"/>
      <c r="BR630" s="2125"/>
      <c r="BS630" s="2125"/>
      <c r="BT630" s="2125"/>
      <c r="BU630" s="2029"/>
      <c r="BV630" s="2029"/>
      <c r="BW630" s="2029"/>
      <c r="BX630" s="2029"/>
      <c r="BY630" s="2029"/>
      <c r="BZ630" s="2032"/>
      <c r="CA630" s="1974">
        <f t="shared" si="448"/>
        <v>0</v>
      </c>
      <c r="CB630" s="1974">
        <f t="shared" si="448"/>
        <v>0</v>
      </c>
      <c r="CC630" s="1974">
        <f t="shared" si="448"/>
        <v>0</v>
      </c>
      <c r="CD630" s="1974">
        <f t="shared" si="448"/>
        <v>0</v>
      </c>
      <c r="CE630" s="1974">
        <f t="shared" si="448"/>
        <v>0</v>
      </c>
      <c r="CF630" s="2033">
        <v>0</v>
      </c>
      <c r="CG630" s="2026">
        <v>0</v>
      </c>
      <c r="CH630" s="2009">
        <f t="shared" si="449"/>
        <v>0</v>
      </c>
      <c r="CI630" s="2031">
        <f t="shared" si="449"/>
        <v>0</v>
      </c>
      <c r="CJ630" s="1974">
        <f t="shared" si="449"/>
        <v>0</v>
      </c>
      <c r="CK630" s="2031">
        <f t="shared" si="449"/>
        <v>0</v>
      </c>
      <c r="CL630" s="2026">
        <v>1</v>
      </c>
      <c r="CM630" s="2026">
        <v>1</v>
      </c>
      <c r="CN630" s="2026">
        <v>1</v>
      </c>
      <c r="CO630" s="2026">
        <v>1</v>
      </c>
      <c r="CP630" s="2035"/>
      <c r="CQ630" s="2036"/>
      <c r="CR630" s="2036"/>
      <c r="CS630" s="2036"/>
      <c r="CT630" s="2036"/>
      <c r="CU630" s="2036"/>
      <c r="CV630" s="1973">
        <v>1</v>
      </c>
      <c r="CW630" s="1973">
        <v>0</v>
      </c>
      <c r="CX630" s="2037">
        <v>0</v>
      </c>
      <c r="CY630" s="2037">
        <v>0</v>
      </c>
      <c r="CZ630" s="2037">
        <v>0</v>
      </c>
      <c r="DA630" s="2037">
        <v>0</v>
      </c>
      <c r="DJ630" s="1976">
        <v>0</v>
      </c>
      <c r="DK630" s="1973">
        <v>0</v>
      </c>
      <c r="DL630" s="1973">
        <v>0</v>
      </c>
      <c r="DM630" s="1973">
        <v>0</v>
      </c>
      <c r="DO630" s="2027">
        <v>0</v>
      </c>
      <c r="DP630" s="2144">
        <v>0</v>
      </c>
      <c r="DQ630" s="2145">
        <v>0</v>
      </c>
      <c r="DR630" s="2027">
        <v>0</v>
      </c>
      <c r="DS630" s="2124">
        <v>0</v>
      </c>
      <c r="DT630" s="2029">
        <v>0</v>
      </c>
      <c r="DU630" s="2029">
        <v>0</v>
      </c>
      <c r="DV630" s="2029">
        <v>0</v>
      </c>
      <c r="DW630" s="2124">
        <v>0</v>
      </c>
      <c r="DX630" s="2029">
        <v>0</v>
      </c>
      <c r="DY630" s="2029">
        <v>0</v>
      </c>
      <c r="DZ630" s="2029">
        <v>0</v>
      </c>
      <c r="EA630" s="2124">
        <v>0</v>
      </c>
      <c r="EB630" s="2029">
        <v>0</v>
      </c>
      <c r="EC630" s="2029">
        <v>0</v>
      </c>
      <c r="ED630" s="2029">
        <v>0</v>
      </c>
      <c r="EE630" s="2039">
        <f t="shared" si="412"/>
        <v>0</v>
      </c>
      <c r="EF630" s="2039">
        <f t="shared" si="412"/>
        <v>0</v>
      </c>
      <c r="EG630" s="2039">
        <f t="shared" si="412"/>
        <v>0</v>
      </c>
      <c r="EH630" s="2039">
        <f t="shared" si="412"/>
        <v>0</v>
      </c>
      <c r="EI630" s="2040">
        <f t="shared" si="437"/>
        <v>0</v>
      </c>
      <c r="EJ630" s="2040">
        <f t="shared" si="437"/>
        <v>0</v>
      </c>
      <c r="EK630" s="2040">
        <f t="shared" si="437"/>
        <v>0</v>
      </c>
      <c r="EL630" s="2040">
        <f t="shared" si="437"/>
        <v>0</v>
      </c>
      <c r="EM630" s="2040">
        <f t="shared" si="437"/>
        <v>0</v>
      </c>
      <c r="EN630" s="2040">
        <f t="shared" si="437"/>
        <v>0</v>
      </c>
      <c r="EO630" s="2040">
        <f t="shared" si="417"/>
        <v>0</v>
      </c>
      <c r="EP630" s="2040">
        <f t="shared" si="417"/>
        <v>0</v>
      </c>
      <c r="EQ630" s="2040">
        <f t="shared" si="417"/>
        <v>0</v>
      </c>
      <c r="ER630" s="2040">
        <f t="shared" si="417"/>
        <v>0</v>
      </c>
      <c r="ES630" s="2040">
        <f t="shared" si="417"/>
        <v>0</v>
      </c>
      <c r="ET630" s="2040">
        <f t="shared" si="417"/>
        <v>0</v>
      </c>
      <c r="EU630" s="2039">
        <f t="shared" si="413"/>
        <v>0</v>
      </c>
      <c r="EV630" s="2039">
        <f t="shared" si="414"/>
        <v>0</v>
      </c>
    </row>
    <row r="631" spans="1:152" x14ac:dyDescent="0.25">
      <c r="A631" s="2149" t="s">
        <v>262</v>
      </c>
      <c r="B631" s="1974" t="str">
        <f t="shared" si="438"/>
        <v/>
      </c>
      <c r="C631" s="2027">
        <f t="shared" si="451"/>
        <v>15</v>
      </c>
      <c r="D631" s="2144">
        <f t="shared" si="451"/>
        <v>101.616</v>
      </c>
      <c r="E631" s="2145">
        <f t="shared" si="451"/>
        <v>1.1599999999999999E-2</v>
      </c>
      <c r="F631" s="2027">
        <f t="shared" si="451"/>
        <v>0</v>
      </c>
      <c r="G631" s="1974" t="s">
        <v>2988</v>
      </c>
      <c r="H631" s="1974" t="s">
        <v>2988</v>
      </c>
      <c r="I631" s="2026">
        <v>0.9</v>
      </c>
      <c r="J631" s="2026">
        <v>0.9</v>
      </c>
      <c r="K631" s="2026">
        <v>0.9</v>
      </c>
      <c r="L631" s="2026">
        <v>0.9</v>
      </c>
      <c r="M631" s="2027">
        <f t="shared" si="426"/>
        <v>91.454400000000007</v>
      </c>
      <c r="N631" s="2027">
        <f t="shared" si="426"/>
        <v>91.454400000000007</v>
      </c>
      <c r="O631" s="2027">
        <f t="shared" si="426"/>
        <v>91.454400000000007</v>
      </c>
      <c r="P631" s="2027">
        <f t="shared" si="426"/>
        <v>91.454400000000007</v>
      </c>
      <c r="Q631" s="2026">
        <v>0.9</v>
      </c>
      <c r="R631" s="2026">
        <v>0.9</v>
      </c>
      <c r="S631" s="2026">
        <v>0.9</v>
      </c>
      <c r="T631" s="2026">
        <v>0.9</v>
      </c>
      <c r="U631" s="2028">
        <f t="shared" si="427"/>
        <v>1.044E-2</v>
      </c>
      <c r="V631" s="2028">
        <f t="shared" si="427"/>
        <v>1.044E-2</v>
      </c>
      <c r="W631" s="2028">
        <f t="shared" si="427"/>
        <v>1.044E-2</v>
      </c>
      <c r="X631" s="2028">
        <f t="shared" si="427"/>
        <v>1.044E-2</v>
      </c>
      <c r="Y631" s="2026">
        <v>0.9</v>
      </c>
      <c r="Z631" s="2026">
        <v>0.9</v>
      </c>
      <c r="AA631" s="2026">
        <v>0.9</v>
      </c>
      <c r="AB631" s="2026">
        <v>0.9</v>
      </c>
      <c r="AC631" s="2027">
        <f t="shared" si="428"/>
        <v>0</v>
      </c>
      <c r="AD631" s="2027">
        <f t="shared" si="428"/>
        <v>0</v>
      </c>
      <c r="AE631" s="2027">
        <f t="shared" si="428"/>
        <v>0</v>
      </c>
      <c r="AF631" s="2027">
        <f t="shared" si="428"/>
        <v>0</v>
      </c>
      <c r="AG631" s="2027">
        <v>0</v>
      </c>
      <c r="AH631" s="2027">
        <v>0</v>
      </c>
      <c r="AI631" s="2027">
        <v>0</v>
      </c>
      <c r="AJ631" s="2027">
        <v>0</v>
      </c>
      <c r="AK631" s="2027">
        <f t="shared" si="434"/>
        <v>0</v>
      </c>
      <c r="AL631" s="2027">
        <f t="shared" si="453"/>
        <v>0</v>
      </c>
      <c r="AM631" s="2027">
        <f t="shared" si="453"/>
        <v>0</v>
      </c>
      <c r="AN631" s="2027">
        <f t="shared" si="453"/>
        <v>0</v>
      </c>
      <c r="AO631" s="2027">
        <f t="shared" si="429"/>
        <v>0</v>
      </c>
      <c r="AP631" s="2027">
        <f t="shared" si="421"/>
        <v>0</v>
      </c>
      <c r="AQ631" s="2027">
        <f t="shared" si="421"/>
        <v>0</v>
      </c>
      <c r="AR631" s="2027">
        <f t="shared" si="421"/>
        <v>0</v>
      </c>
      <c r="AS631" s="2124">
        <f t="shared" si="450"/>
        <v>225</v>
      </c>
      <c r="AT631" s="2029">
        <f t="shared" si="422"/>
        <v>225</v>
      </c>
      <c r="AU631" s="2029">
        <f t="shared" si="422"/>
        <v>225</v>
      </c>
      <c r="AV631" s="2029">
        <f t="shared" si="422"/>
        <v>225</v>
      </c>
      <c r="AW631" s="2124">
        <f t="shared" si="452"/>
        <v>0</v>
      </c>
      <c r="AX631" s="2029">
        <f t="shared" si="440"/>
        <v>0</v>
      </c>
      <c r="AY631" s="2029">
        <f t="shared" si="440"/>
        <v>0</v>
      </c>
      <c r="AZ631" s="2029">
        <f t="shared" si="440"/>
        <v>0</v>
      </c>
      <c r="BA631" s="2124">
        <f t="shared" si="445"/>
        <v>224</v>
      </c>
      <c r="BB631" s="2029">
        <f t="shared" si="445"/>
        <v>224</v>
      </c>
      <c r="BC631" s="2029">
        <f t="shared" si="445"/>
        <v>224</v>
      </c>
      <c r="BD631" s="2029">
        <f t="shared" si="445"/>
        <v>224</v>
      </c>
      <c r="BE631" s="2030">
        <f t="shared" si="430"/>
        <v>0</v>
      </c>
      <c r="BF631" s="2030">
        <f t="shared" si="430"/>
        <v>0</v>
      </c>
      <c r="BG631" s="2030">
        <f t="shared" si="430"/>
        <v>0</v>
      </c>
      <c r="BH631" s="2030">
        <f t="shared" si="430"/>
        <v>0</v>
      </c>
      <c r="BI631" s="2030">
        <f t="shared" si="431"/>
        <v>0</v>
      </c>
      <c r="BJ631" s="2030">
        <f t="shared" si="431"/>
        <v>0</v>
      </c>
      <c r="BK631" s="2030">
        <f t="shared" si="431"/>
        <v>0</v>
      </c>
      <c r="BL631" s="2030">
        <f t="shared" si="431"/>
        <v>0</v>
      </c>
      <c r="BM631" s="2125"/>
      <c r="BN631" s="2125"/>
      <c r="BO631" s="2125"/>
      <c r="BP631" s="2125"/>
      <c r="BQ631" s="2125"/>
      <c r="BR631" s="2125"/>
      <c r="BS631" s="2125"/>
      <c r="BT631" s="2125"/>
      <c r="BU631" s="2029"/>
      <c r="BV631" s="2029"/>
      <c r="BW631" s="2029"/>
      <c r="BX631" s="2029"/>
      <c r="BY631" s="2029"/>
      <c r="BZ631" s="2032"/>
      <c r="CA631" s="1974">
        <f t="shared" si="448"/>
        <v>0</v>
      </c>
      <c r="CB631" s="1974">
        <f t="shared" si="448"/>
        <v>0</v>
      </c>
      <c r="CC631" s="1974">
        <f t="shared" si="448"/>
        <v>0</v>
      </c>
      <c r="CD631" s="1974">
        <f t="shared" si="448"/>
        <v>0</v>
      </c>
      <c r="CE631" s="1974">
        <f t="shared" si="448"/>
        <v>0</v>
      </c>
      <c r="CF631" s="2033">
        <v>0</v>
      </c>
      <c r="CG631" s="2026">
        <v>0</v>
      </c>
      <c r="CH631" s="2009">
        <f t="shared" si="449"/>
        <v>0</v>
      </c>
      <c r="CI631" s="2031">
        <f t="shared" si="449"/>
        <v>0</v>
      </c>
      <c r="CJ631" s="1974">
        <f t="shared" si="449"/>
        <v>0</v>
      </c>
      <c r="CK631" s="2031">
        <f t="shared" si="449"/>
        <v>0</v>
      </c>
      <c r="CL631" s="2026">
        <v>1</v>
      </c>
      <c r="CM631" s="2026">
        <v>1</v>
      </c>
      <c r="CN631" s="2026">
        <v>1</v>
      </c>
      <c r="CO631" s="2026">
        <v>1</v>
      </c>
      <c r="CP631" s="2035"/>
      <c r="CQ631" s="2036"/>
      <c r="CR631" s="2036"/>
      <c r="CS631" s="2036"/>
      <c r="CT631" s="2036"/>
      <c r="CU631" s="2036"/>
      <c r="CV631" s="1973">
        <v>1</v>
      </c>
      <c r="CW631" s="1973">
        <v>0</v>
      </c>
      <c r="CX631" s="2037">
        <v>225</v>
      </c>
      <c r="CY631" s="2037">
        <v>225</v>
      </c>
      <c r="CZ631" s="2037">
        <v>225</v>
      </c>
      <c r="DA631" s="2037">
        <v>225</v>
      </c>
      <c r="DJ631" s="1976">
        <v>225</v>
      </c>
      <c r="DK631" s="1973">
        <v>225</v>
      </c>
      <c r="DL631" s="1973">
        <v>225</v>
      </c>
      <c r="DM631" s="1973">
        <v>225</v>
      </c>
      <c r="DO631" s="2027">
        <v>15</v>
      </c>
      <c r="DP631" s="2144">
        <v>101.616</v>
      </c>
      <c r="DQ631" s="2145">
        <v>1.1599999999999999E-2</v>
      </c>
      <c r="DR631" s="2027">
        <v>0</v>
      </c>
      <c r="DS631" s="2124">
        <v>225</v>
      </c>
      <c r="DT631" s="2029">
        <v>225</v>
      </c>
      <c r="DU631" s="2029">
        <v>225</v>
      </c>
      <c r="DV631" s="2029">
        <v>225</v>
      </c>
      <c r="DW631" s="2124">
        <v>0</v>
      </c>
      <c r="DX631" s="2029">
        <v>0</v>
      </c>
      <c r="DY631" s="2029">
        <v>0</v>
      </c>
      <c r="DZ631" s="2029">
        <v>0</v>
      </c>
      <c r="EA631" s="2124">
        <v>224</v>
      </c>
      <c r="EB631" s="2029">
        <v>224</v>
      </c>
      <c r="EC631" s="2029">
        <v>224</v>
      </c>
      <c r="ED631" s="2029">
        <v>224</v>
      </c>
      <c r="EE631" s="2039">
        <f t="shared" si="412"/>
        <v>0</v>
      </c>
      <c r="EF631" s="2039">
        <f t="shared" si="412"/>
        <v>0</v>
      </c>
      <c r="EG631" s="2039">
        <f t="shared" si="412"/>
        <v>0</v>
      </c>
      <c r="EH631" s="2039">
        <f t="shared" si="412"/>
        <v>0</v>
      </c>
      <c r="EI631" s="2040">
        <f t="shared" si="437"/>
        <v>0</v>
      </c>
      <c r="EJ631" s="2040">
        <f t="shared" si="437"/>
        <v>0</v>
      </c>
      <c r="EK631" s="2040">
        <f t="shared" si="437"/>
        <v>0</v>
      </c>
      <c r="EL631" s="2040">
        <f t="shared" si="437"/>
        <v>0</v>
      </c>
      <c r="EM631" s="2040">
        <f t="shared" si="437"/>
        <v>0</v>
      </c>
      <c r="EN631" s="2040">
        <f t="shared" si="437"/>
        <v>0</v>
      </c>
      <c r="EO631" s="2040">
        <f t="shared" si="417"/>
        <v>0</v>
      </c>
      <c r="EP631" s="2040">
        <f t="shared" si="417"/>
        <v>0</v>
      </c>
      <c r="EQ631" s="2040">
        <f t="shared" si="417"/>
        <v>0</v>
      </c>
      <c r="ER631" s="2040">
        <f t="shared" si="417"/>
        <v>0</v>
      </c>
      <c r="ES631" s="2040">
        <f t="shared" si="417"/>
        <v>0</v>
      </c>
      <c r="ET631" s="2040">
        <f t="shared" si="417"/>
        <v>0</v>
      </c>
      <c r="EU631" s="2039">
        <f t="shared" si="413"/>
        <v>0</v>
      </c>
      <c r="EV631" s="2039">
        <f t="shared" si="414"/>
        <v>0</v>
      </c>
    </row>
    <row r="632" spans="1:152" x14ac:dyDescent="0.25">
      <c r="A632" s="2149" t="s">
        <v>263</v>
      </c>
      <c r="B632" s="1974" t="str">
        <f t="shared" si="438"/>
        <v/>
      </c>
      <c r="C632" s="2027">
        <f t="shared" si="451"/>
        <v>0</v>
      </c>
      <c r="D632" s="2144">
        <f t="shared" si="451"/>
        <v>0</v>
      </c>
      <c r="E632" s="2145">
        <f t="shared" si="451"/>
        <v>0</v>
      </c>
      <c r="F632" s="2027">
        <f t="shared" si="451"/>
        <v>0</v>
      </c>
      <c r="G632" s="1974" t="s">
        <v>2988</v>
      </c>
      <c r="H632" s="1974" t="s">
        <v>2988</v>
      </c>
      <c r="I632" s="2026">
        <v>0.9</v>
      </c>
      <c r="J632" s="2026">
        <v>0.9</v>
      </c>
      <c r="K632" s="2026">
        <v>0.9</v>
      </c>
      <c r="L632" s="2026">
        <v>0.9</v>
      </c>
      <c r="M632" s="2027">
        <f t="shared" si="426"/>
        <v>0</v>
      </c>
      <c r="N632" s="2027">
        <f t="shared" si="426"/>
        <v>0</v>
      </c>
      <c r="O632" s="2027">
        <f t="shared" si="426"/>
        <v>0</v>
      </c>
      <c r="P632" s="2027">
        <f t="shared" si="426"/>
        <v>0</v>
      </c>
      <c r="Q632" s="2026">
        <v>0.9</v>
      </c>
      <c r="R632" s="2026">
        <v>0.9</v>
      </c>
      <c r="S632" s="2026">
        <v>0.9</v>
      </c>
      <c r="T632" s="2026">
        <v>0.9</v>
      </c>
      <c r="U632" s="2028">
        <f t="shared" si="427"/>
        <v>0</v>
      </c>
      <c r="V632" s="2028">
        <f t="shared" si="427"/>
        <v>0</v>
      </c>
      <c r="W632" s="2028">
        <f t="shared" si="427"/>
        <v>0</v>
      </c>
      <c r="X632" s="2028">
        <f t="shared" si="427"/>
        <v>0</v>
      </c>
      <c r="Y632" s="2026">
        <v>0.9</v>
      </c>
      <c r="Z632" s="2026">
        <v>0.9</v>
      </c>
      <c r="AA632" s="2026">
        <v>0.9</v>
      </c>
      <c r="AB632" s="2026">
        <v>0.9</v>
      </c>
      <c r="AC632" s="2027">
        <f t="shared" si="428"/>
        <v>0</v>
      </c>
      <c r="AD632" s="2027">
        <f t="shared" si="428"/>
        <v>0</v>
      </c>
      <c r="AE632" s="2027">
        <f t="shared" si="428"/>
        <v>0</v>
      </c>
      <c r="AF632" s="2027">
        <f t="shared" si="428"/>
        <v>0</v>
      </c>
      <c r="AG632" s="2027">
        <v>0</v>
      </c>
      <c r="AH632" s="2028"/>
      <c r="AI632" s="2028"/>
      <c r="AJ632" s="2028"/>
      <c r="AK632" s="2027">
        <f t="shared" si="434"/>
        <v>0</v>
      </c>
      <c r="AL632" s="2027">
        <f t="shared" si="453"/>
        <v>0</v>
      </c>
      <c r="AM632" s="2027">
        <f t="shared" si="453"/>
        <v>0</v>
      </c>
      <c r="AN632" s="2027">
        <f t="shared" si="453"/>
        <v>0</v>
      </c>
      <c r="AO632" s="2027">
        <f t="shared" si="429"/>
        <v>0</v>
      </c>
      <c r="AP632" s="2027">
        <f t="shared" si="421"/>
        <v>0</v>
      </c>
      <c r="AQ632" s="2027">
        <f t="shared" si="421"/>
        <v>0</v>
      </c>
      <c r="AR632" s="2027">
        <f t="shared" si="421"/>
        <v>0</v>
      </c>
      <c r="AS632" s="2124">
        <f t="shared" si="450"/>
        <v>0</v>
      </c>
      <c r="AT632" s="2029">
        <f t="shared" si="422"/>
        <v>0</v>
      </c>
      <c r="AU632" s="2029">
        <f t="shared" si="422"/>
        <v>0</v>
      </c>
      <c r="AV632" s="2029">
        <f t="shared" si="422"/>
        <v>0</v>
      </c>
      <c r="AW632" s="2124">
        <f t="shared" si="452"/>
        <v>0</v>
      </c>
      <c r="AX632" s="2029">
        <f t="shared" si="440"/>
        <v>0</v>
      </c>
      <c r="AY632" s="2029">
        <f t="shared" si="440"/>
        <v>0</v>
      </c>
      <c r="AZ632" s="2029">
        <f t="shared" si="440"/>
        <v>0</v>
      </c>
      <c r="BA632" s="2124">
        <f t="shared" si="445"/>
        <v>0</v>
      </c>
      <c r="BB632" s="2029">
        <f t="shared" si="445"/>
        <v>0</v>
      </c>
      <c r="BC632" s="2029">
        <f t="shared" si="445"/>
        <v>0</v>
      </c>
      <c r="BD632" s="2029">
        <f t="shared" si="445"/>
        <v>0</v>
      </c>
      <c r="BE632" s="2030">
        <f t="shared" si="430"/>
        <v>0</v>
      </c>
      <c r="BF632" s="2030">
        <f t="shared" si="430"/>
        <v>0</v>
      </c>
      <c r="BG632" s="2030">
        <f t="shared" si="430"/>
        <v>0</v>
      </c>
      <c r="BH632" s="2030">
        <f t="shared" si="430"/>
        <v>0</v>
      </c>
      <c r="BI632" s="2030">
        <f t="shared" si="431"/>
        <v>0</v>
      </c>
      <c r="BJ632" s="2030">
        <f t="shared" si="431"/>
        <v>0</v>
      </c>
      <c r="BK632" s="2030">
        <f t="shared" si="431"/>
        <v>0</v>
      </c>
      <c r="BL632" s="2030">
        <f t="shared" si="431"/>
        <v>0</v>
      </c>
      <c r="BM632" s="2125"/>
      <c r="BN632" s="2125"/>
      <c r="BO632" s="2125"/>
      <c r="BP632" s="2125"/>
      <c r="BQ632" s="2125"/>
      <c r="BR632" s="2125"/>
      <c r="BS632" s="2125"/>
      <c r="BT632" s="2125"/>
      <c r="BU632" s="2029"/>
      <c r="BV632" s="2029"/>
      <c r="BW632" s="2029"/>
      <c r="BX632" s="2029"/>
      <c r="BY632" s="2029"/>
      <c r="BZ632" s="2032"/>
      <c r="CA632" s="1974">
        <f t="shared" si="448"/>
        <v>0</v>
      </c>
      <c r="CB632" s="1974">
        <f t="shared" si="448"/>
        <v>0</v>
      </c>
      <c r="CC632" s="1974">
        <f t="shared" si="448"/>
        <v>0</v>
      </c>
      <c r="CD632" s="1974">
        <f t="shared" si="448"/>
        <v>0</v>
      </c>
      <c r="CE632" s="1974">
        <f t="shared" si="448"/>
        <v>0</v>
      </c>
      <c r="CF632" s="2033">
        <v>0</v>
      </c>
      <c r="CG632" s="2026">
        <v>0</v>
      </c>
      <c r="CH632" s="2009">
        <f t="shared" si="449"/>
        <v>0</v>
      </c>
      <c r="CI632" s="2031">
        <f t="shared" si="449"/>
        <v>0</v>
      </c>
      <c r="CJ632" s="1974">
        <f t="shared" si="449"/>
        <v>0</v>
      </c>
      <c r="CK632" s="2031">
        <f t="shared" si="449"/>
        <v>0</v>
      </c>
      <c r="CL632" s="2026">
        <v>1</v>
      </c>
      <c r="CM632" s="2026">
        <v>1</v>
      </c>
      <c r="CN632" s="2026">
        <v>1</v>
      </c>
      <c r="CO632" s="2026">
        <v>1</v>
      </c>
      <c r="CP632" s="2035"/>
      <c r="CQ632" s="2036"/>
      <c r="CR632" s="2036"/>
      <c r="CS632" s="2036"/>
      <c r="CT632" s="2036"/>
      <c r="CU632" s="2036"/>
      <c r="CV632" s="1973">
        <v>1</v>
      </c>
      <c r="CW632" s="1973">
        <v>0</v>
      </c>
      <c r="CX632" s="2037">
        <v>0</v>
      </c>
      <c r="CY632" s="2037">
        <v>0</v>
      </c>
      <c r="CZ632" s="2037">
        <v>0</v>
      </c>
      <c r="DA632" s="2037">
        <v>0</v>
      </c>
      <c r="DJ632" s="1976">
        <v>0</v>
      </c>
      <c r="DK632" s="1973">
        <v>0</v>
      </c>
      <c r="DL632" s="1973">
        <v>0</v>
      </c>
      <c r="DM632" s="1973">
        <v>0</v>
      </c>
      <c r="DO632" s="2027">
        <v>0</v>
      </c>
      <c r="DP632" s="2144">
        <v>0</v>
      </c>
      <c r="DQ632" s="2145">
        <v>0</v>
      </c>
      <c r="DR632" s="2027">
        <v>0</v>
      </c>
      <c r="DS632" s="2124">
        <v>0</v>
      </c>
      <c r="DT632" s="2029">
        <v>0</v>
      </c>
      <c r="DU632" s="2029">
        <v>0</v>
      </c>
      <c r="DV632" s="2029">
        <v>0</v>
      </c>
      <c r="DW632" s="2124">
        <v>0</v>
      </c>
      <c r="DX632" s="2029">
        <v>0</v>
      </c>
      <c r="DY632" s="2029">
        <v>0</v>
      </c>
      <c r="DZ632" s="2029">
        <v>0</v>
      </c>
      <c r="EA632" s="2124">
        <v>0</v>
      </c>
      <c r="EB632" s="2029">
        <v>0</v>
      </c>
      <c r="EC632" s="2029">
        <v>0</v>
      </c>
      <c r="ED632" s="2029">
        <v>0</v>
      </c>
      <c r="EE632" s="2039">
        <f t="shared" si="412"/>
        <v>0</v>
      </c>
      <c r="EF632" s="2039">
        <f t="shared" si="412"/>
        <v>0</v>
      </c>
      <c r="EG632" s="2039">
        <f t="shared" si="412"/>
        <v>0</v>
      </c>
      <c r="EH632" s="2039">
        <f t="shared" si="412"/>
        <v>0</v>
      </c>
      <c r="EI632" s="2040">
        <f t="shared" si="437"/>
        <v>0</v>
      </c>
      <c r="EJ632" s="2040">
        <f t="shared" si="437"/>
        <v>0</v>
      </c>
      <c r="EK632" s="2040">
        <f t="shared" si="437"/>
        <v>0</v>
      </c>
      <c r="EL632" s="2040">
        <f t="shared" si="437"/>
        <v>0</v>
      </c>
      <c r="EM632" s="2040">
        <f t="shared" si="437"/>
        <v>0</v>
      </c>
      <c r="EN632" s="2040">
        <f t="shared" si="437"/>
        <v>0</v>
      </c>
      <c r="EO632" s="2040">
        <f t="shared" si="417"/>
        <v>0</v>
      </c>
      <c r="EP632" s="2040">
        <f t="shared" si="417"/>
        <v>0</v>
      </c>
      <c r="EQ632" s="2040">
        <f t="shared" si="417"/>
        <v>0</v>
      </c>
      <c r="ER632" s="2040">
        <f t="shared" si="417"/>
        <v>0</v>
      </c>
      <c r="ES632" s="2040">
        <f t="shared" si="417"/>
        <v>0</v>
      </c>
      <c r="ET632" s="2040">
        <f t="shared" si="417"/>
        <v>0</v>
      </c>
      <c r="EU632" s="2039">
        <f t="shared" si="413"/>
        <v>0</v>
      </c>
      <c r="EV632" s="2039">
        <f t="shared" si="414"/>
        <v>0</v>
      </c>
    </row>
    <row r="633" spans="1:152" x14ac:dyDescent="0.25">
      <c r="A633" s="2149" t="s">
        <v>264</v>
      </c>
      <c r="B633" s="1974" t="str">
        <f t="shared" si="438"/>
        <v/>
      </c>
      <c r="C633" s="2027">
        <f t="shared" si="451"/>
        <v>0</v>
      </c>
      <c r="D633" s="2144">
        <f t="shared" si="451"/>
        <v>0</v>
      </c>
      <c r="E633" s="2145">
        <f t="shared" si="451"/>
        <v>0</v>
      </c>
      <c r="F633" s="2027">
        <f t="shared" si="451"/>
        <v>0</v>
      </c>
      <c r="G633" s="1974" t="s">
        <v>2988</v>
      </c>
      <c r="H633" s="1974" t="s">
        <v>2988</v>
      </c>
      <c r="I633" s="2026">
        <v>0.9</v>
      </c>
      <c r="J633" s="2026">
        <v>0.9</v>
      </c>
      <c r="K633" s="2026">
        <v>0.9</v>
      </c>
      <c r="L633" s="2026">
        <v>0.9</v>
      </c>
      <c r="M633" s="2027">
        <f t="shared" si="426"/>
        <v>0</v>
      </c>
      <c r="N633" s="2027">
        <f t="shared" si="426"/>
        <v>0</v>
      </c>
      <c r="O633" s="2027">
        <f t="shared" si="426"/>
        <v>0</v>
      </c>
      <c r="P633" s="2027">
        <f t="shared" si="426"/>
        <v>0</v>
      </c>
      <c r="Q633" s="2026">
        <v>0.9</v>
      </c>
      <c r="R633" s="2026">
        <v>0.9</v>
      </c>
      <c r="S633" s="2026">
        <v>0.9</v>
      </c>
      <c r="T633" s="2026">
        <v>0.9</v>
      </c>
      <c r="U633" s="2028">
        <f t="shared" si="427"/>
        <v>0</v>
      </c>
      <c r="V633" s="2028">
        <f t="shared" si="427"/>
        <v>0</v>
      </c>
      <c r="W633" s="2028">
        <f t="shared" si="427"/>
        <v>0</v>
      </c>
      <c r="X633" s="2028">
        <f t="shared" si="427"/>
        <v>0</v>
      </c>
      <c r="Y633" s="2026">
        <v>0.9</v>
      </c>
      <c r="Z633" s="2026">
        <v>0.9</v>
      </c>
      <c r="AA633" s="2026">
        <v>0.9</v>
      </c>
      <c r="AB633" s="2026">
        <v>0.9</v>
      </c>
      <c r="AC633" s="2027">
        <f t="shared" si="428"/>
        <v>0</v>
      </c>
      <c r="AD633" s="2027">
        <f t="shared" si="428"/>
        <v>0</v>
      </c>
      <c r="AE633" s="2027">
        <f t="shared" si="428"/>
        <v>0</v>
      </c>
      <c r="AF633" s="2027">
        <f t="shared" si="428"/>
        <v>0</v>
      </c>
      <c r="AG633" s="2027">
        <v>0</v>
      </c>
      <c r="AH633" s="2028"/>
      <c r="AI633" s="2028"/>
      <c r="AJ633" s="2028"/>
      <c r="AK633" s="2027">
        <f t="shared" si="434"/>
        <v>0</v>
      </c>
      <c r="AL633" s="2027">
        <f t="shared" si="453"/>
        <v>0</v>
      </c>
      <c r="AM633" s="2027">
        <f t="shared" si="453"/>
        <v>0</v>
      </c>
      <c r="AN633" s="2027">
        <f t="shared" si="453"/>
        <v>0</v>
      </c>
      <c r="AO633" s="2027">
        <f t="shared" si="429"/>
        <v>0</v>
      </c>
      <c r="AP633" s="2027">
        <f t="shared" si="421"/>
        <v>0</v>
      </c>
      <c r="AQ633" s="2027">
        <f t="shared" si="421"/>
        <v>0</v>
      </c>
      <c r="AR633" s="2027">
        <f t="shared" si="421"/>
        <v>0</v>
      </c>
      <c r="AS633" s="2124">
        <f t="shared" si="450"/>
        <v>750</v>
      </c>
      <c r="AT633" s="2029">
        <f t="shared" si="422"/>
        <v>750</v>
      </c>
      <c r="AU633" s="2029">
        <f t="shared" si="422"/>
        <v>750</v>
      </c>
      <c r="AV633" s="2029">
        <f t="shared" si="422"/>
        <v>750</v>
      </c>
      <c r="AW633" s="2124">
        <f t="shared" si="452"/>
        <v>0</v>
      </c>
      <c r="AX633" s="2029">
        <f t="shared" si="440"/>
        <v>0</v>
      </c>
      <c r="AY633" s="2029">
        <f t="shared" si="440"/>
        <v>0</v>
      </c>
      <c r="AZ633" s="2029">
        <f t="shared" si="440"/>
        <v>0</v>
      </c>
      <c r="BA633" s="2124">
        <f t="shared" si="445"/>
        <v>0</v>
      </c>
      <c r="BB633" s="2029">
        <f t="shared" si="445"/>
        <v>0</v>
      </c>
      <c r="BC633" s="2029">
        <f t="shared" si="445"/>
        <v>0</v>
      </c>
      <c r="BD633" s="2029">
        <f t="shared" si="445"/>
        <v>0</v>
      </c>
      <c r="BE633" s="2030">
        <f t="shared" si="430"/>
        <v>0</v>
      </c>
      <c r="BF633" s="2030">
        <f t="shared" si="430"/>
        <v>0</v>
      </c>
      <c r="BG633" s="2030">
        <f t="shared" si="430"/>
        <v>0</v>
      </c>
      <c r="BH633" s="2030">
        <f t="shared" si="430"/>
        <v>0</v>
      </c>
      <c r="BI633" s="2030">
        <f t="shared" si="431"/>
        <v>0</v>
      </c>
      <c r="BJ633" s="2030">
        <f t="shared" si="431"/>
        <v>0</v>
      </c>
      <c r="BK633" s="2030">
        <f t="shared" si="431"/>
        <v>0</v>
      </c>
      <c r="BL633" s="2030">
        <f t="shared" si="431"/>
        <v>0</v>
      </c>
      <c r="BM633" s="2125"/>
      <c r="BN633" s="2125"/>
      <c r="BO633" s="2125"/>
      <c r="BP633" s="2125"/>
      <c r="BQ633" s="2125"/>
      <c r="BR633" s="2125"/>
      <c r="BS633" s="2125"/>
      <c r="BT633" s="2125"/>
      <c r="BU633" s="2029"/>
      <c r="BV633" s="2029"/>
      <c r="BW633" s="2029"/>
      <c r="BX633" s="2029"/>
      <c r="BY633" s="2029"/>
      <c r="BZ633" s="2032"/>
      <c r="CA633" s="1974">
        <f t="shared" si="448"/>
        <v>0</v>
      </c>
      <c r="CB633" s="1974">
        <f t="shared" si="448"/>
        <v>0</v>
      </c>
      <c r="CC633" s="1974">
        <f t="shared" si="448"/>
        <v>0</v>
      </c>
      <c r="CD633" s="1974">
        <f t="shared" si="448"/>
        <v>0</v>
      </c>
      <c r="CE633" s="1974">
        <f t="shared" si="448"/>
        <v>0</v>
      </c>
      <c r="CF633" s="2033">
        <v>0</v>
      </c>
      <c r="CG633" s="2026">
        <v>0</v>
      </c>
      <c r="CH633" s="2009">
        <f t="shared" si="449"/>
        <v>0</v>
      </c>
      <c r="CI633" s="2031">
        <f t="shared" si="449"/>
        <v>0</v>
      </c>
      <c r="CJ633" s="1974">
        <f t="shared" si="449"/>
        <v>0</v>
      </c>
      <c r="CK633" s="2031">
        <f t="shared" si="449"/>
        <v>0</v>
      </c>
      <c r="CL633" s="2026">
        <v>1</v>
      </c>
      <c r="CM633" s="2026">
        <v>1</v>
      </c>
      <c r="CN633" s="2026">
        <v>1</v>
      </c>
      <c r="CO633" s="2026">
        <v>1</v>
      </c>
      <c r="CP633" s="2035"/>
      <c r="CQ633" s="2036"/>
      <c r="CR633" s="2036"/>
      <c r="CS633" s="2036"/>
      <c r="CT633" s="2036"/>
      <c r="CU633" s="2036"/>
      <c r="CV633" s="1973">
        <v>1</v>
      </c>
      <c r="CW633" s="1973">
        <v>0</v>
      </c>
      <c r="CX633" s="2037">
        <v>750</v>
      </c>
      <c r="CY633" s="2037">
        <v>750</v>
      </c>
      <c r="CZ633" s="2037">
        <v>750</v>
      </c>
      <c r="DA633" s="2037">
        <v>750</v>
      </c>
      <c r="DJ633" s="1976">
        <v>750</v>
      </c>
      <c r="DK633" s="1973">
        <v>750</v>
      </c>
      <c r="DL633" s="1973">
        <v>750</v>
      </c>
      <c r="DM633" s="1973">
        <v>750</v>
      </c>
      <c r="DO633" s="2027">
        <v>0</v>
      </c>
      <c r="DP633" s="2144">
        <v>0</v>
      </c>
      <c r="DQ633" s="2145">
        <v>0</v>
      </c>
      <c r="DR633" s="2027">
        <v>0</v>
      </c>
      <c r="DS633" s="2124">
        <v>750</v>
      </c>
      <c r="DT633" s="2029">
        <v>750</v>
      </c>
      <c r="DU633" s="2029">
        <v>750</v>
      </c>
      <c r="DV633" s="2029">
        <v>750</v>
      </c>
      <c r="DW633" s="2124">
        <v>0</v>
      </c>
      <c r="DX633" s="2029">
        <v>0</v>
      </c>
      <c r="DY633" s="2029">
        <v>0</v>
      </c>
      <c r="DZ633" s="2029">
        <v>0</v>
      </c>
      <c r="EA633" s="2124">
        <v>0</v>
      </c>
      <c r="EB633" s="2029">
        <v>0</v>
      </c>
      <c r="EC633" s="2029">
        <v>0</v>
      </c>
      <c r="ED633" s="2029">
        <v>0</v>
      </c>
      <c r="EE633" s="2039">
        <f t="shared" si="412"/>
        <v>0</v>
      </c>
      <c r="EF633" s="2039">
        <f t="shared" si="412"/>
        <v>0</v>
      </c>
      <c r="EG633" s="2039">
        <f t="shared" si="412"/>
        <v>0</v>
      </c>
      <c r="EH633" s="2039">
        <f t="shared" si="412"/>
        <v>0</v>
      </c>
      <c r="EI633" s="2040">
        <f t="shared" si="437"/>
        <v>0</v>
      </c>
      <c r="EJ633" s="2040">
        <f t="shared" si="437"/>
        <v>0</v>
      </c>
      <c r="EK633" s="2040">
        <f t="shared" si="437"/>
        <v>0</v>
      </c>
      <c r="EL633" s="2040">
        <f t="shared" si="437"/>
        <v>0</v>
      </c>
      <c r="EM633" s="2040">
        <f t="shared" si="437"/>
        <v>0</v>
      </c>
      <c r="EN633" s="2040">
        <f t="shared" si="437"/>
        <v>0</v>
      </c>
      <c r="EO633" s="2040">
        <f t="shared" si="417"/>
        <v>0</v>
      </c>
      <c r="EP633" s="2040">
        <f t="shared" si="417"/>
        <v>0</v>
      </c>
      <c r="EQ633" s="2040">
        <f t="shared" si="417"/>
        <v>0</v>
      </c>
      <c r="ER633" s="2040">
        <f t="shared" si="417"/>
        <v>0</v>
      </c>
      <c r="ES633" s="2040">
        <f t="shared" si="417"/>
        <v>0</v>
      </c>
      <c r="ET633" s="2040">
        <f t="shared" si="417"/>
        <v>0</v>
      </c>
      <c r="EU633" s="2039">
        <f t="shared" si="413"/>
        <v>0</v>
      </c>
      <c r="EV633" s="2039">
        <f t="shared" si="414"/>
        <v>0</v>
      </c>
    </row>
    <row r="634" spans="1:152" x14ac:dyDescent="0.25">
      <c r="A634" s="2149" t="s">
        <v>183</v>
      </c>
      <c r="B634" s="1974" t="str">
        <f t="shared" si="438"/>
        <v/>
      </c>
      <c r="C634" s="2027">
        <f t="shared" si="451"/>
        <v>15</v>
      </c>
      <c r="D634" s="2144">
        <f t="shared" si="451"/>
        <v>9003.1426966292202</v>
      </c>
      <c r="E634" s="2145">
        <f t="shared" si="451"/>
        <v>0.23703852327447691</v>
      </c>
      <c r="F634" s="2027">
        <f t="shared" si="451"/>
        <v>0</v>
      </c>
      <c r="G634" s="1974" t="s">
        <v>2988</v>
      </c>
      <c r="H634" s="1974" t="s">
        <v>2988</v>
      </c>
      <c r="I634" s="2026">
        <v>0.9</v>
      </c>
      <c r="J634" s="2026">
        <v>0.9</v>
      </c>
      <c r="K634" s="2026">
        <v>0.9</v>
      </c>
      <c r="L634" s="2026">
        <v>0.9</v>
      </c>
      <c r="M634" s="2027">
        <f t="shared" si="426"/>
        <v>8102.8284269662981</v>
      </c>
      <c r="N634" s="2027">
        <f t="shared" si="426"/>
        <v>8102.8284269662981</v>
      </c>
      <c r="O634" s="2027">
        <f t="shared" si="426"/>
        <v>8102.8284269662981</v>
      </c>
      <c r="P634" s="2027">
        <f t="shared" si="426"/>
        <v>8102.8284269662981</v>
      </c>
      <c r="Q634" s="2026">
        <v>0.9</v>
      </c>
      <c r="R634" s="2026">
        <v>0.9</v>
      </c>
      <c r="S634" s="2026">
        <v>0.9</v>
      </c>
      <c r="T634" s="2026">
        <v>0.9</v>
      </c>
      <c r="U634" s="2028">
        <f t="shared" si="427"/>
        <v>0.21333467094702924</v>
      </c>
      <c r="V634" s="2028">
        <f t="shared" si="427"/>
        <v>0.21333467094702924</v>
      </c>
      <c r="W634" s="2028">
        <f t="shared" si="427"/>
        <v>0.21333467094702924</v>
      </c>
      <c r="X634" s="2028">
        <f t="shared" si="427"/>
        <v>0.21333467094702924</v>
      </c>
      <c r="Y634" s="2026">
        <v>0.9</v>
      </c>
      <c r="Z634" s="2026">
        <v>0.9</v>
      </c>
      <c r="AA634" s="2026">
        <v>0.9</v>
      </c>
      <c r="AB634" s="2026">
        <v>0.9</v>
      </c>
      <c r="AC634" s="2027">
        <f t="shared" si="428"/>
        <v>0</v>
      </c>
      <c r="AD634" s="2027">
        <f t="shared" si="428"/>
        <v>0</v>
      </c>
      <c r="AE634" s="2027">
        <f t="shared" si="428"/>
        <v>0</v>
      </c>
      <c r="AF634" s="2027">
        <f t="shared" si="428"/>
        <v>0</v>
      </c>
      <c r="AG634" s="2027">
        <v>0</v>
      </c>
      <c r="AH634" s="2028"/>
      <c r="AI634" s="2028"/>
      <c r="AJ634" s="2028"/>
      <c r="AK634" s="2027">
        <f t="shared" si="434"/>
        <v>0</v>
      </c>
      <c r="AL634" s="2027">
        <f t="shared" si="453"/>
        <v>0</v>
      </c>
      <c r="AM634" s="2027">
        <f t="shared" si="453"/>
        <v>0</v>
      </c>
      <c r="AN634" s="2027">
        <f t="shared" si="453"/>
        <v>0</v>
      </c>
      <c r="AO634" s="2027">
        <f t="shared" si="429"/>
        <v>0</v>
      </c>
      <c r="AP634" s="2027">
        <f t="shared" si="421"/>
        <v>0</v>
      </c>
      <c r="AQ634" s="2027">
        <f t="shared" si="421"/>
        <v>0</v>
      </c>
      <c r="AR634" s="2027">
        <f t="shared" si="421"/>
        <v>0</v>
      </c>
      <c r="AS634" s="2124">
        <f t="shared" si="450"/>
        <v>562.5</v>
      </c>
      <c r="AT634" s="2029">
        <f t="shared" si="422"/>
        <v>562.5</v>
      </c>
      <c r="AU634" s="2029">
        <f t="shared" si="422"/>
        <v>562.5</v>
      </c>
      <c r="AV634" s="2029">
        <f t="shared" si="422"/>
        <v>562.5</v>
      </c>
      <c r="AW634" s="2124">
        <f t="shared" si="452"/>
        <v>0</v>
      </c>
      <c r="AX634" s="2029">
        <f t="shared" si="440"/>
        <v>0</v>
      </c>
      <c r="AY634" s="2029">
        <f t="shared" si="440"/>
        <v>0</v>
      </c>
      <c r="AZ634" s="2029">
        <f t="shared" si="440"/>
        <v>0</v>
      </c>
      <c r="BA634" s="2124">
        <f t="shared" ref="BA634:BD649" si="454">BA173</f>
        <v>400</v>
      </c>
      <c r="BB634" s="2029">
        <f t="shared" si="454"/>
        <v>400</v>
      </c>
      <c r="BC634" s="2029">
        <f t="shared" si="454"/>
        <v>400</v>
      </c>
      <c r="BD634" s="2029">
        <f t="shared" si="454"/>
        <v>400</v>
      </c>
      <c r="BE634" s="2030">
        <f t="shared" si="430"/>
        <v>0</v>
      </c>
      <c r="BF634" s="2030">
        <f t="shared" si="430"/>
        <v>0</v>
      </c>
      <c r="BG634" s="2030">
        <f t="shared" si="430"/>
        <v>0</v>
      </c>
      <c r="BH634" s="2030">
        <f t="shared" si="430"/>
        <v>0</v>
      </c>
      <c r="BI634" s="2030">
        <f t="shared" si="431"/>
        <v>0</v>
      </c>
      <c r="BJ634" s="2030">
        <f t="shared" si="431"/>
        <v>0</v>
      </c>
      <c r="BK634" s="2030">
        <f t="shared" si="431"/>
        <v>0</v>
      </c>
      <c r="BL634" s="2030">
        <f t="shared" si="431"/>
        <v>0</v>
      </c>
      <c r="BM634" s="2125"/>
      <c r="BN634" s="2125"/>
      <c r="BO634" s="2125"/>
      <c r="BP634" s="2125"/>
      <c r="BQ634" s="2125"/>
      <c r="BR634" s="2125"/>
      <c r="BS634" s="2125"/>
      <c r="BT634" s="2125"/>
      <c r="BU634" s="2029"/>
      <c r="BV634" s="2029"/>
      <c r="BW634" s="2029"/>
      <c r="BX634" s="2029"/>
      <c r="BY634" s="2029"/>
      <c r="BZ634" s="2032"/>
      <c r="CA634" s="1974">
        <f t="shared" si="448"/>
        <v>0</v>
      </c>
      <c r="CB634" s="1974">
        <f t="shared" si="448"/>
        <v>0</v>
      </c>
      <c r="CC634" s="1974">
        <f t="shared" si="448"/>
        <v>0</v>
      </c>
      <c r="CD634" s="1974">
        <f t="shared" si="448"/>
        <v>0</v>
      </c>
      <c r="CE634" s="1974">
        <f t="shared" si="448"/>
        <v>0</v>
      </c>
      <c r="CF634" s="2033">
        <v>0</v>
      </c>
      <c r="CG634" s="2026">
        <v>0</v>
      </c>
      <c r="CH634" s="2009">
        <f t="shared" si="449"/>
        <v>0</v>
      </c>
      <c r="CI634" s="2031">
        <f t="shared" si="449"/>
        <v>0</v>
      </c>
      <c r="CJ634" s="1974">
        <f t="shared" si="449"/>
        <v>0</v>
      </c>
      <c r="CK634" s="2031">
        <f t="shared" si="449"/>
        <v>0</v>
      </c>
      <c r="CL634" s="2026">
        <v>1</v>
      </c>
      <c r="CM634" s="2026">
        <v>1</v>
      </c>
      <c r="CN634" s="2026">
        <v>1</v>
      </c>
      <c r="CO634" s="2026">
        <v>1</v>
      </c>
      <c r="CP634" s="2035"/>
      <c r="CQ634" s="2036"/>
      <c r="CR634" s="2036"/>
      <c r="CS634" s="2036"/>
      <c r="CT634" s="2036"/>
      <c r="CU634" s="2036"/>
      <c r="CV634" s="1973">
        <v>1</v>
      </c>
      <c r="CW634" s="1973">
        <v>0</v>
      </c>
      <c r="CX634" s="2037">
        <v>562.5</v>
      </c>
      <c r="CY634" s="2037">
        <v>562.5</v>
      </c>
      <c r="CZ634" s="2037">
        <v>562.5</v>
      </c>
      <c r="DA634" s="2037">
        <v>562.5</v>
      </c>
      <c r="DJ634" s="1976">
        <v>562.5</v>
      </c>
      <c r="DK634" s="1973">
        <v>562.5</v>
      </c>
      <c r="DL634" s="1973">
        <v>562.5</v>
      </c>
      <c r="DM634" s="1973">
        <v>562.5</v>
      </c>
      <c r="DO634" s="2027">
        <v>15</v>
      </c>
      <c r="DP634" s="2144">
        <v>9003.1426966292202</v>
      </c>
      <c r="DQ634" s="2145">
        <v>0.23703852327447691</v>
      </c>
      <c r="DR634" s="2027">
        <v>0</v>
      </c>
      <c r="DS634" s="2124">
        <v>562.5</v>
      </c>
      <c r="DT634" s="2029">
        <v>562.5</v>
      </c>
      <c r="DU634" s="2029">
        <v>562.5</v>
      </c>
      <c r="DV634" s="2029">
        <v>562.5</v>
      </c>
      <c r="DW634" s="2124">
        <v>0</v>
      </c>
      <c r="DX634" s="2029">
        <v>0</v>
      </c>
      <c r="DY634" s="2029">
        <v>0</v>
      </c>
      <c r="DZ634" s="2029">
        <v>0</v>
      </c>
      <c r="EA634" s="2124">
        <v>400</v>
      </c>
      <c r="EB634" s="2029">
        <v>400</v>
      </c>
      <c r="EC634" s="2029">
        <v>400</v>
      </c>
      <c r="ED634" s="2029">
        <v>400</v>
      </c>
      <c r="EE634" s="2039">
        <f t="shared" si="412"/>
        <v>0</v>
      </c>
      <c r="EF634" s="2039">
        <f t="shared" si="412"/>
        <v>0</v>
      </c>
      <c r="EG634" s="2039">
        <f t="shared" si="412"/>
        <v>0</v>
      </c>
      <c r="EH634" s="2039">
        <f t="shared" si="412"/>
        <v>0</v>
      </c>
      <c r="EI634" s="2040">
        <f t="shared" si="437"/>
        <v>0</v>
      </c>
      <c r="EJ634" s="2040">
        <f t="shared" si="437"/>
        <v>0</v>
      </c>
      <c r="EK634" s="2040">
        <f t="shared" si="437"/>
        <v>0</v>
      </c>
      <c r="EL634" s="2040">
        <f t="shared" si="437"/>
        <v>0</v>
      </c>
      <c r="EM634" s="2040">
        <f t="shared" si="437"/>
        <v>0</v>
      </c>
      <c r="EN634" s="2040">
        <f t="shared" si="437"/>
        <v>0</v>
      </c>
      <c r="EO634" s="2040">
        <f t="shared" si="417"/>
        <v>0</v>
      </c>
      <c r="EP634" s="2040">
        <f t="shared" si="417"/>
        <v>0</v>
      </c>
      <c r="EQ634" s="2040">
        <f t="shared" si="417"/>
        <v>0</v>
      </c>
      <c r="ER634" s="2040">
        <f t="shared" si="417"/>
        <v>0</v>
      </c>
      <c r="ES634" s="2040">
        <f t="shared" si="417"/>
        <v>0</v>
      </c>
      <c r="ET634" s="2040">
        <f t="shared" si="417"/>
        <v>0</v>
      </c>
      <c r="EU634" s="2039">
        <f t="shared" si="413"/>
        <v>0</v>
      </c>
      <c r="EV634" s="2039">
        <f t="shared" si="414"/>
        <v>0</v>
      </c>
    </row>
    <row r="635" spans="1:152" x14ac:dyDescent="0.25">
      <c r="A635" s="2149" t="s">
        <v>184</v>
      </c>
      <c r="B635" s="1974" t="str">
        <f t="shared" si="438"/>
        <v>Online store</v>
      </c>
      <c r="C635" s="2027">
        <f t="shared" si="451"/>
        <v>8</v>
      </c>
      <c r="D635" s="2144">
        <f t="shared" si="451"/>
        <v>269.60365200000001</v>
      </c>
      <c r="E635" s="2145">
        <f t="shared" si="451"/>
        <v>0.21154800000000001</v>
      </c>
      <c r="F635" s="2027">
        <f t="shared" si="451"/>
        <v>-5.4415415999999999</v>
      </c>
      <c r="G635" s="1974" t="s">
        <v>2988</v>
      </c>
      <c r="H635" s="1974" t="s">
        <v>2988</v>
      </c>
      <c r="I635" s="2026">
        <v>0.9</v>
      </c>
      <c r="J635" s="2026">
        <v>0.9</v>
      </c>
      <c r="K635" s="2026">
        <v>0.9</v>
      </c>
      <c r="L635" s="2026">
        <v>0.9</v>
      </c>
      <c r="M635" s="2027">
        <f t="shared" si="426"/>
        <v>242.64328680000003</v>
      </c>
      <c r="N635" s="2027">
        <f t="shared" si="426"/>
        <v>242.64328680000003</v>
      </c>
      <c r="O635" s="2027">
        <f t="shared" si="426"/>
        <v>242.64328680000003</v>
      </c>
      <c r="P635" s="2027">
        <f t="shared" si="426"/>
        <v>242.64328680000003</v>
      </c>
      <c r="Q635" s="2026">
        <v>0.9</v>
      </c>
      <c r="R635" s="2026">
        <v>0.9</v>
      </c>
      <c r="S635" s="2026">
        <v>0.9</v>
      </c>
      <c r="T635" s="2026">
        <v>0.9</v>
      </c>
      <c r="U635" s="2028">
        <f t="shared" si="427"/>
        <v>0.19039320000000001</v>
      </c>
      <c r="V635" s="2028">
        <f t="shared" si="427"/>
        <v>0.19039320000000001</v>
      </c>
      <c r="W635" s="2028">
        <f t="shared" si="427"/>
        <v>0.19039320000000001</v>
      </c>
      <c r="X635" s="2028">
        <f t="shared" si="427"/>
        <v>0.19039320000000001</v>
      </c>
      <c r="Y635" s="2026">
        <v>0.9</v>
      </c>
      <c r="Z635" s="2026">
        <v>0.9</v>
      </c>
      <c r="AA635" s="2026">
        <v>0.9</v>
      </c>
      <c r="AB635" s="2026">
        <v>0.9</v>
      </c>
      <c r="AC635" s="2027">
        <f t="shared" si="428"/>
        <v>-4.8973874400000001</v>
      </c>
      <c r="AD635" s="2027">
        <f t="shared" si="428"/>
        <v>-4.8973874400000001</v>
      </c>
      <c r="AE635" s="2027">
        <f t="shared" si="428"/>
        <v>-4.8973874400000001</v>
      </c>
      <c r="AF635" s="2027">
        <f t="shared" si="428"/>
        <v>-4.8973874400000001</v>
      </c>
      <c r="AG635" s="2027">
        <v>0</v>
      </c>
      <c r="AH635" s="2028"/>
      <c r="AI635" s="2028"/>
      <c r="AJ635" s="2028"/>
      <c r="AK635" s="2027">
        <f t="shared" si="434"/>
        <v>0</v>
      </c>
      <c r="AL635" s="2027">
        <f t="shared" si="453"/>
        <v>0</v>
      </c>
      <c r="AM635" s="2027">
        <f t="shared" si="453"/>
        <v>0</v>
      </c>
      <c r="AN635" s="2027">
        <f t="shared" si="453"/>
        <v>0</v>
      </c>
      <c r="AO635" s="2027">
        <f t="shared" si="429"/>
        <v>0</v>
      </c>
      <c r="AP635" s="2027">
        <f t="shared" si="421"/>
        <v>0</v>
      </c>
      <c r="AQ635" s="2027">
        <f t="shared" si="421"/>
        <v>0</v>
      </c>
      <c r="AR635" s="2027">
        <f t="shared" si="421"/>
        <v>0</v>
      </c>
      <c r="AS635" s="2124">
        <f t="shared" si="450"/>
        <v>37.5</v>
      </c>
      <c r="AT635" s="2029">
        <f t="shared" si="422"/>
        <v>37.5</v>
      </c>
      <c r="AU635" s="2029">
        <f t="shared" si="422"/>
        <v>37.5</v>
      </c>
      <c r="AV635" s="2029">
        <f t="shared" si="422"/>
        <v>37.5</v>
      </c>
      <c r="AW635" s="2124">
        <f t="shared" si="452"/>
        <v>0</v>
      </c>
      <c r="AX635" s="2029">
        <f t="shared" si="440"/>
        <v>0</v>
      </c>
      <c r="AY635" s="2029">
        <f t="shared" si="440"/>
        <v>0</v>
      </c>
      <c r="AZ635" s="2029">
        <f t="shared" si="440"/>
        <v>0</v>
      </c>
      <c r="BA635" s="2124">
        <f t="shared" si="454"/>
        <v>51</v>
      </c>
      <c r="BB635" s="2029">
        <f t="shared" si="454"/>
        <v>51</v>
      </c>
      <c r="BC635" s="2029">
        <f t="shared" si="454"/>
        <v>51</v>
      </c>
      <c r="BD635" s="2029">
        <f t="shared" si="454"/>
        <v>51</v>
      </c>
      <c r="BE635" s="2030">
        <f t="shared" si="430"/>
        <v>0</v>
      </c>
      <c r="BF635" s="2030">
        <f t="shared" si="430"/>
        <v>0</v>
      </c>
      <c r="BG635" s="2030">
        <f t="shared" si="430"/>
        <v>0</v>
      </c>
      <c r="BH635" s="2030">
        <f t="shared" si="430"/>
        <v>0</v>
      </c>
      <c r="BI635" s="2030">
        <f t="shared" si="431"/>
        <v>0</v>
      </c>
      <c r="BJ635" s="2030">
        <f t="shared" si="431"/>
        <v>0</v>
      </c>
      <c r="BK635" s="2030">
        <f t="shared" si="431"/>
        <v>0</v>
      </c>
      <c r="BL635" s="2030">
        <f t="shared" si="431"/>
        <v>0</v>
      </c>
      <c r="BM635" s="2125"/>
      <c r="BN635" s="2125"/>
      <c r="BO635" s="2125"/>
      <c r="BP635" s="2125"/>
      <c r="BQ635" s="2125"/>
      <c r="BR635" s="2125"/>
      <c r="BS635" s="2125"/>
      <c r="BT635" s="2125"/>
      <c r="BU635" s="2029"/>
      <c r="BV635" s="2029"/>
      <c r="BW635" s="2029"/>
      <c r="BX635" s="2029"/>
      <c r="BY635" s="2029"/>
      <c r="BZ635" s="2032"/>
      <c r="CA635" s="1974">
        <f t="shared" si="448"/>
        <v>0</v>
      </c>
      <c r="CB635" s="1974">
        <f t="shared" si="448"/>
        <v>0</v>
      </c>
      <c r="CC635" s="1974">
        <f t="shared" si="448"/>
        <v>0</v>
      </c>
      <c r="CD635" s="1974">
        <f t="shared" si="448"/>
        <v>0</v>
      </c>
      <c r="CE635" s="1974">
        <f t="shared" si="448"/>
        <v>0</v>
      </c>
      <c r="CF635" s="2033">
        <v>0</v>
      </c>
      <c r="CG635" s="2026">
        <v>0</v>
      </c>
      <c r="CH635" s="2009">
        <f t="shared" si="449"/>
        <v>0</v>
      </c>
      <c r="CI635" s="2031">
        <f t="shared" si="449"/>
        <v>0</v>
      </c>
      <c r="CJ635" s="1974">
        <f t="shared" si="449"/>
        <v>0</v>
      </c>
      <c r="CK635" s="2031">
        <f t="shared" si="449"/>
        <v>0</v>
      </c>
      <c r="CL635" s="2026">
        <v>1</v>
      </c>
      <c r="CM635" s="2026">
        <v>1</v>
      </c>
      <c r="CN635" s="2026">
        <v>1</v>
      </c>
      <c r="CO635" s="2026">
        <v>1</v>
      </c>
      <c r="CP635" s="2035"/>
      <c r="CQ635" s="2036"/>
      <c r="CR635" s="2036"/>
      <c r="CS635" s="2036"/>
      <c r="CT635" s="2036"/>
      <c r="CU635" s="2036"/>
      <c r="CV635" s="1973">
        <v>1</v>
      </c>
      <c r="CW635" s="1973">
        <v>0</v>
      </c>
      <c r="CX635" s="2037">
        <v>37.5</v>
      </c>
      <c r="CY635" s="2037">
        <v>37.5</v>
      </c>
      <c r="CZ635" s="2037">
        <v>37.5</v>
      </c>
      <c r="DA635" s="2037">
        <v>37.5</v>
      </c>
      <c r="DJ635" s="1976">
        <v>37.5</v>
      </c>
      <c r="DK635" s="1973">
        <v>37.5</v>
      </c>
      <c r="DL635" s="1973">
        <v>37.5</v>
      </c>
      <c r="DM635" s="1973">
        <v>37.5</v>
      </c>
      <c r="DO635" s="2027">
        <v>8</v>
      </c>
      <c r="DP635" s="2144">
        <v>269.60365200000001</v>
      </c>
      <c r="DQ635" s="2145">
        <v>0.21154800000000001</v>
      </c>
      <c r="DR635" s="2027">
        <v>-5.4415415999999999</v>
      </c>
      <c r="DS635" s="2124">
        <v>37.5</v>
      </c>
      <c r="DT635" s="2029">
        <v>37.5</v>
      </c>
      <c r="DU635" s="2029">
        <v>37.5</v>
      </c>
      <c r="DV635" s="2029">
        <v>37.5</v>
      </c>
      <c r="DW635" s="2124">
        <v>0</v>
      </c>
      <c r="DX635" s="2029">
        <v>0</v>
      </c>
      <c r="DY635" s="2029">
        <v>0</v>
      </c>
      <c r="DZ635" s="2029">
        <v>0</v>
      </c>
      <c r="EA635" s="2124">
        <v>51</v>
      </c>
      <c r="EB635" s="2029">
        <v>51</v>
      </c>
      <c r="EC635" s="2029">
        <v>51</v>
      </c>
      <c r="ED635" s="2029">
        <v>51</v>
      </c>
      <c r="EE635" s="2039">
        <f t="shared" si="412"/>
        <v>0</v>
      </c>
      <c r="EF635" s="2039">
        <f t="shared" si="412"/>
        <v>0</v>
      </c>
      <c r="EG635" s="2039">
        <f t="shared" si="412"/>
        <v>0</v>
      </c>
      <c r="EH635" s="2039">
        <f t="shared" si="412"/>
        <v>0</v>
      </c>
      <c r="EI635" s="2040">
        <f t="shared" si="437"/>
        <v>0</v>
      </c>
      <c r="EJ635" s="2040">
        <f t="shared" si="437"/>
        <v>0</v>
      </c>
      <c r="EK635" s="2040">
        <f t="shared" si="437"/>
        <v>0</v>
      </c>
      <c r="EL635" s="2040">
        <f t="shared" si="437"/>
        <v>0</v>
      </c>
      <c r="EM635" s="2040">
        <f t="shared" si="437"/>
        <v>0</v>
      </c>
      <c r="EN635" s="2040">
        <f t="shared" si="437"/>
        <v>0</v>
      </c>
      <c r="EO635" s="2040">
        <f t="shared" si="417"/>
        <v>0</v>
      </c>
      <c r="EP635" s="2040">
        <f t="shared" si="417"/>
        <v>0</v>
      </c>
      <c r="EQ635" s="2040">
        <f t="shared" si="417"/>
        <v>0</v>
      </c>
      <c r="ER635" s="2040">
        <f t="shared" si="417"/>
        <v>0</v>
      </c>
      <c r="ES635" s="2040">
        <f t="shared" si="417"/>
        <v>0</v>
      </c>
      <c r="ET635" s="2040">
        <f t="shared" si="417"/>
        <v>0</v>
      </c>
      <c r="EU635" s="2039">
        <f t="shared" si="413"/>
        <v>0</v>
      </c>
      <c r="EV635" s="2039">
        <f t="shared" si="414"/>
        <v>0</v>
      </c>
    </row>
    <row r="636" spans="1:152" x14ac:dyDescent="0.25">
      <c r="A636" s="2149" t="s">
        <v>185</v>
      </c>
      <c r="B636" s="1974" t="str">
        <f t="shared" si="438"/>
        <v>Online store</v>
      </c>
      <c r="C636" s="2027">
        <f t="shared" si="451"/>
        <v>5</v>
      </c>
      <c r="D636" s="2144">
        <f t="shared" si="451"/>
        <v>1613</v>
      </c>
      <c r="E636" s="2145">
        <f t="shared" si="451"/>
        <v>0.4</v>
      </c>
      <c r="F636" s="2027">
        <f t="shared" si="451"/>
        <v>0</v>
      </c>
      <c r="G636" s="1974" t="s">
        <v>2988</v>
      </c>
      <c r="H636" s="1974" t="s">
        <v>2988</v>
      </c>
      <c r="I636" s="2026">
        <v>0.9</v>
      </c>
      <c r="J636" s="2026">
        <v>0.9</v>
      </c>
      <c r="K636" s="2026">
        <v>0.9</v>
      </c>
      <c r="L636" s="2026">
        <v>0.9</v>
      </c>
      <c r="M636" s="2027">
        <f t="shared" si="426"/>
        <v>1451.7</v>
      </c>
      <c r="N636" s="2027">
        <f t="shared" si="426"/>
        <v>1451.7</v>
      </c>
      <c r="O636" s="2027">
        <f t="shared" si="426"/>
        <v>1451.7</v>
      </c>
      <c r="P636" s="2027">
        <f t="shared" si="426"/>
        <v>1451.7</v>
      </c>
      <c r="Q636" s="2026">
        <v>0.9</v>
      </c>
      <c r="R636" s="2026">
        <v>0.9</v>
      </c>
      <c r="S636" s="2026">
        <v>0.9</v>
      </c>
      <c r="T636" s="2026">
        <v>0.9</v>
      </c>
      <c r="U636" s="2028">
        <f t="shared" si="427"/>
        <v>0.36000000000000004</v>
      </c>
      <c r="V636" s="2028">
        <f t="shared" si="427"/>
        <v>0.36000000000000004</v>
      </c>
      <c r="W636" s="2028">
        <f t="shared" si="427"/>
        <v>0.36000000000000004</v>
      </c>
      <c r="X636" s="2028">
        <f t="shared" si="427"/>
        <v>0.36000000000000004</v>
      </c>
      <c r="Y636" s="2026">
        <v>0.9</v>
      </c>
      <c r="Z636" s="2026">
        <v>0.9</v>
      </c>
      <c r="AA636" s="2026">
        <v>0.9</v>
      </c>
      <c r="AB636" s="2026">
        <v>0.9</v>
      </c>
      <c r="AC636" s="2027">
        <f t="shared" si="428"/>
        <v>0</v>
      </c>
      <c r="AD636" s="2027">
        <f t="shared" si="428"/>
        <v>0</v>
      </c>
      <c r="AE636" s="2027">
        <f t="shared" si="428"/>
        <v>0</v>
      </c>
      <c r="AF636" s="2027">
        <f t="shared" si="428"/>
        <v>0</v>
      </c>
      <c r="AG636" s="2027">
        <v>0</v>
      </c>
      <c r="AH636" s="2028"/>
      <c r="AI636" s="2028"/>
      <c r="AJ636" s="2028"/>
      <c r="AK636" s="2027">
        <f t="shared" si="434"/>
        <v>0</v>
      </c>
      <c r="AL636" s="2027">
        <f t="shared" si="453"/>
        <v>0</v>
      </c>
      <c r="AM636" s="2027">
        <f t="shared" si="453"/>
        <v>0</v>
      </c>
      <c r="AN636" s="2027">
        <f t="shared" si="453"/>
        <v>0</v>
      </c>
      <c r="AO636" s="2027">
        <f t="shared" si="429"/>
        <v>0</v>
      </c>
      <c r="AP636" s="2027">
        <f t="shared" si="421"/>
        <v>0</v>
      </c>
      <c r="AQ636" s="2027">
        <f t="shared" si="421"/>
        <v>0</v>
      </c>
      <c r="AR636" s="2027">
        <f t="shared" si="421"/>
        <v>0</v>
      </c>
      <c r="AS636" s="2124">
        <f t="shared" si="450"/>
        <v>150</v>
      </c>
      <c r="AT636" s="2029">
        <f t="shared" si="422"/>
        <v>150</v>
      </c>
      <c r="AU636" s="2029">
        <f t="shared" si="422"/>
        <v>150</v>
      </c>
      <c r="AV636" s="2029">
        <f t="shared" si="422"/>
        <v>150</v>
      </c>
      <c r="AW636" s="2124">
        <f t="shared" si="452"/>
        <v>0</v>
      </c>
      <c r="AX636" s="2029">
        <f t="shared" si="440"/>
        <v>0</v>
      </c>
      <c r="AY636" s="2029">
        <f t="shared" si="440"/>
        <v>0</v>
      </c>
      <c r="AZ636" s="2029">
        <f t="shared" si="440"/>
        <v>0</v>
      </c>
      <c r="BA636" s="2124">
        <f t="shared" si="454"/>
        <v>180</v>
      </c>
      <c r="BB636" s="2029">
        <f t="shared" si="454"/>
        <v>180</v>
      </c>
      <c r="BC636" s="2029">
        <f t="shared" si="454"/>
        <v>180</v>
      </c>
      <c r="BD636" s="2029">
        <f t="shared" si="454"/>
        <v>180</v>
      </c>
      <c r="BE636" s="2030">
        <f t="shared" si="430"/>
        <v>0</v>
      </c>
      <c r="BF636" s="2030">
        <f t="shared" si="430"/>
        <v>0</v>
      </c>
      <c r="BG636" s="2030">
        <f t="shared" si="430"/>
        <v>0</v>
      </c>
      <c r="BH636" s="2030">
        <f t="shared" si="430"/>
        <v>0</v>
      </c>
      <c r="BI636" s="2030">
        <f t="shared" si="431"/>
        <v>0</v>
      </c>
      <c r="BJ636" s="2030">
        <f t="shared" si="431"/>
        <v>0</v>
      </c>
      <c r="BK636" s="2030">
        <f t="shared" si="431"/>
        <v>0</v>
      </c>
      <c r="BL636" s="2030">
        <f t="shared" si="431"/>
        <v>0</v>
      </c>
      <c r="BM636" s="2125"/>
      <c r="BN636" s="2125"/>
      <c r="BO636" s="2125"/>
      <c r="BP636" s="2125"/>
      <c r="BQ636" s="2125"/>
      <c r="BR636" s="2125"/>
      <c r="BS636" s="2125"/>
      <c r="BT636" s="2125"/>
      <c r="BU636" s="2029"/>
      <c r="BV636" s="2029"/>
      <c r="BW636" s="2029"/>
      <c r="BX636" s="2029"/>
      <c r="BY636" s="2029"/>
      <c r="BZ636" s="2032"/>
      <c r="CA636" s="1974">
        <f t="shared" si="448"/>
        <v>0</v>
      </c>
      <c r="CB636" s="1974">
        <f t="shared" si="448"/>
        <v>0</v>
      </c>
      <c r="CC636" s="1974">
        <f t="shared" si="448"/>
        <v>0</v>
      </c>
      <c r="CD636" s="1974">
        <f t="shared" si="448"/>
        <v>0</v>
      </c>
      <c r="CE636" s="1974">
        <f t="shared" si="448"/>
        <v>0</v>
      </c>
      <c r="CF636" s="2033">
        <v>0</v>
      </c>
      <c r="CG636" s="2026">
        <v>0</v>
      </c>
      <c r="CH636" s="2009">
        <f t="shared" si="449"/>
        <v>0</v>
      </c>
      <c r="CI636" s="2031">
        <f t="shared" si="449"/>
        <v>0</v>
      </c>
      <c r="CJ636" s="1974">
        <f t="shared" si="449"/>
        <v>0</v>
      </c>
      <c r="CK636" s="2031">
        <f t="shared" si="449"/>
        <v>0</v>
      </c>
      <c r="CL636" s="2026">
        <v>1</v>
      </c>
      <c r="CM636" s="2026">
        <v>1</v>
      </c>
      <c r="CN636" s="2026">
        <v>1</v>
      </c>
      <c r="CO636" s="2026">
        <v>1</v>
      </c>
      <c r="CP636" s="2035"/>
      <c r="CQ636" s="2036"/>
      <c r="CR636" s="2036"/>
      <c r="CS636" s="2036"/>
      <c r="CT636" s="2036"/>
      <c r="CU636" s="2036"/>
      <c r="CV636" s="1973">
        <v>1</v>
      </c>
      <c r="CW636" s="1973">
        <v>0</v>
      </c>
      <c r="CX636" s="2037">
        <v>150</v>
      </c>
      <c r="CY636" s="2037">
        <v>150</v>
      </c>
      <c r="CZ636" s="2037">
        <v>150</v>
      </c>
      <c r="DA636" s="2037">
        <v>150</v>
      </c>
      <c r="DJ636" s="1976">
        <v>150</v>
      </c>
      <c r="DK636" s="1973">
        <v>150</v>
      </c>
      <c r="DL636" s="1973">
        <v>150</v>
      </c>
      <c r="DM636" s="1973">
        <v>150</v>
      </c>
      <c r="DO636" s="2027">
        <v>5</v>
      </c>
      <c r="DP636" s="2144">
        <v>1613</v>
      </c>
      <c r="DQ636" s="2145">
        <v>0.4</v>
      </c>
      <c r="DR636" s="2027">
        <v>0</v>
      </c>
      <c r="DS636" s="2124">
        <v>150</v>
      </c>
      <c r="DT636" s="2029">
        <v>150</v>
      </c>
      <c r="DU636" s="2029">
        <v>150</v>
      </c>
      <c r="DV636" s="2029">
        <v>150</v>
      </c>
      <c r="DW636" s="2124">
        <v>0</v>
      </c>
      <c r="DX636" s="2029">
        <v>0</v>
      </c>
      <c r="DY636" s="2029">
        <v>0</v>
      </c>
      <c r="DZ636" s="2029">
        <v>0</v>
      </c>
      <c r="EA636" s="2124">
        <v>180</v>
      </c>
      <c r="EB636" s="2029">
        <v>180</v>
      </c>
      <c r="EC636" s="2029">
        <v>180</v>
      </c>
      <c r="ED636" s="2029">
        <v>180</v>
      </c>
      <c r="EE636" s="2039">
        <f t="shared" si="412"/>
        <v>0</v>
      </c>
      <c r="EF636" s="2039">
        <f t="shared" si="412"/>
        <v>0</v>
      </c>
      <c r="EG636" s="2039">
        <f t="shared" si="412"/>
        <v>0</v>
      </c>
      <c r="EH636" s="2039">
        <f t="shared" si="412"/>
        <v>0</v>
      </c>
      <c r="EI636" s="2040">
        <f t="shared" si="437"/>
        <v>0</v>
      </c>
      <c r="EJ636" s="2040">
        <f t="shared" si="437"/>
        <v>0</v>
      </c>
      <c r="EK636" s="2040">
        <f t="shared" si="437"/>
        <v>0</v>
      </c>
      <c r="EL636" s="2040">
        <f t="shared" si="437"/>
        <v>0</v>
      </c>
      <c r="EM636" s="2040">
        <f t="shared" si="437"/>
        <v>0</v>
      </c>
      <c r="EN636" s="2040">
        <f t="shared" si="437"/>
        <v>0</v>
      </c>
      <c r="EO636" s="2040">
        <f t="shared" si="417"/>
        <v>0</v>
      </c>
      <c r="EP636" s="2040">
        <f t="shared" si="417"/>
        <v>0</v>
      </c>
      <c r="EQ636" s="2040">
        <f t="shared" si="417"/>
        <v>0</v>
      </c>
      <c r="ER636" s="2040">
        <f t="shared" si="417"/>
        <v>0</v>
      </c>
      <c r="ES636" s="2040">
        <f t="shared" si="417"/>
        <v>0</v>
      </c>
      <c r="ET636" s="2040">
        <f t="shared" si="417"/>
        <v>0</v>
      </c>
      <c r="EU636" s="2039">
        <f t="shared" si="413"/>
        <v>0</v>
      </c>
      <c r="EV636" s="2039">
        <f t="shared" si="414"/>
        <v>0</v>
      </c>
    </row>
    <row r="637" spans="1:152" x14ac:dyDescent="0.25">
      <c r="A637" s="2149" t="s">
        <v>186</v>
      </c>
      <c r="B637" s="1974" t="str">
        <f t="shared" si="438"/>
        <v>Online store</v>
      </c>
      <c r="C637" s="2027">
        <f t="shared" si="451"/>
        <v>5</v>
      </c>
      <c r="D637" s="2144">
        <f t="shared" si="451"/>
        <v>1613</v>
      </c>
      <c r="E637" s="2145">
        <f t="shared" si="451"/>
        <v>0.4</v>
      </c>
      <c r="F637" s="2027">
        <f t="shared" si="451"/>
        <v>0</v>
      </c>
      <c r="G637" s="1974" t="s">
        <v>2988</v>
      </c>
      <c r="H637" s="1974" t="s">
        <v>2988</v>
      </c>
      <c r="I637" s="2026">
        <v>0.9</v>
      </c>
      <c r="J637" s="2026">
        <v>0.9</v>
      </c>
      <c r="K637" s="2026">
        <v>0.9</v>
      </c>
      <c r="L637" s="2026">
        <v>0.9</v>
      </c>
      <c r="M637" s="2027">
        <f t="shared" si="426"/>
        <v>1451.7</v>
      </c>
      <c r="N637" s="2027">
        <f t="shared" si="426"/>
        <v>1451.7</v>
      </c>
      <c r="O637" s="2027">
        <f t="shared" si="426"/>
        <v>1451.7</v>
      </c>
      <c r="P637" s="2027">
        <f t="shared" si="426"/>
        <v>1451.7</v>
      </c>
      <c r="Q637" s="2026">
        <v>0.9</v>
      </c>
      <c r="R637" s="2026">
        <v>0.9</v>
      </c>
      <c r="S637" s="2026">
        <v>0.9</v>
      </c>
      <c r="T637" s="2026">
        <v>0.9</v>
      </c>
      <c r="U637" s="2028">
        <f t="shared" si="427"/>
        <v>0.36000000000000004</v>
      </c>
      <c r="V637" s="2028">
        <f t="shared" si="427"/>
        <v>0.36000000000000004</v>
      </c>
      <c r="W637" s="2028">
        <f t="shared" si="427"/>
        <v>0.36000000000000004</v>
      </c>
      <c r="X637" s="2028">
        <f t="shared" si="427"/>
        <v>0.36000000000000004</v>
      </c>
      <c r="Y637" s="2026">
        <v>0.9</v>
      </c>
      <c r="Z637" s="2026">
        <v>0.9</v>
      </c>
      <c r="AA637" s="2026">
        <v>0.9</v>
      </c>
      <c r="AB637" s="2026">
        <v>0.9</v>
      </c>
      <c r="AC637" s="2027">
        <f t="shared" si="428"/>
        <v>0</v>
      </c>
      <c r="AD637" s="2027">
        <f t="shared" si="428"/>
        <v>0</v>
      </c>
      <c r="AE637" s="2027">
        <f t="shared" si="428"/>
        <v>0</v>
      </c>
      <c r="AF637" s="2027">
        <f t="shared" si="428"/>
        <v>0</v>
      </c>
      <c r="AG637" s="2027">
        <v>0</v>
      </c>
      <c r="AH637" s="2028"/>
      <c r="AI637" s="2028"/>
      <c r="AJ637" s="2028"/>
      <c r="AK637" s="2027">
        <f t="shared" si="434"/>
        <v>0</v>
      </c>
      <c r="AL637" s="2027">
        <f t="shared" si="453"/>
        <v>0</v>
      </c>
      <c r="AM637" s="2027">
        <f t="shared" si="453"/>
        <v>0</v>
      </c>
      <c r="AN637" s="2027">
        <f t="shared" si="453"/>
        <v>0</v>
      </c>
      <c r="AO637" s="2027">
        <f t="shared" si="429"/>
        <v>0</v>
      </c>
      <c r="AP637" s="2027">
        <f t="shared" si="421"/>
        <v>0</v>
      </c>
      <c r="AQ637" s="2027">
        <f t="shared" si="421"/>
        <v>0</v>
      </c>
      <c r="AR637" s="2027">
        <f t="shared" si="421"/>
        <v>0</v>
      </c>
      <c r="AS637" s="2124">
        <f t="shared" si="450"/>
        <v>150</v>
      </c>
      <c r="AT637" s="2029">
        <f t="shared" si="422"/>
        <v>150</v>
      </c>
      <c r="AU637" s="2029">
        <f t="shared" si="422"/>
        <v>150</v>
      </c>
      <c r="AV637" s="2029">
        <f t="shared" si="422"/>
        <v>150</v>
      </c>
      <c r="AW637" s="2124">
        <f t="shared" si="452"/>
        <v>0</v>
      </c>
      <c r="AX637" s="2029">
        <f t="shared" si="440"/>
        <v>0</v>
      </c>
      <c r="AY637" s="2029">
        <f t="shared" si="440"/>
        <v>0</v>
      </c>
      <c r="AZ637" s="2029">
        <f t="shared" si="440"/>
        <v>0</v>
      </c>
      <c r="BA637" s="2124">
        <f t="shared" si="454"/>
        <v>180</v>
      </c>
      <c r="BB637" s="2029">
        <f t="shared" si="454"/>
        <v>180</v>
      </c>
      <c r="BC637" s="2029">
        <f t="shared" si="454"/>
        <v>180</v>
      </c>
      <c r="BD637" s="2029">
        <f t="shared" si="454"/>
        <v>180</v>
      </c>
      <c r="BE637" s="2030">
        <f t="shared" si="430"/>
        <v>0</v>
      </c>
      <c r="BF637" s="2030">
        <f t="shared" si="430"/>
        <v>0</v>
      </c>
      <c r="BG637" s="2030">
        <f t="shared" si="430"/>
        <v>0</v>
      </c>
      <c r="BH637" s="2030">
        <f t="shared" si="430"/>
        <v>0</v>
      </c>
      <c r="BI637" s="2030">
        <f t="shared" si="431"/>
        <v>0</v>
      </c>
      <c r="BJ637" s="2030">
        <f t="shared" si="431"/>
        <v>0</v>
      </c>
      <c r="BK637" s="2030">
        <f t="shared" si="431"/>
        <v>0</v>
      </c>
      <c r="BL637" s="2030">
        <f t="shared" si="431"/>
        <v>0</v>
      </c>
      <c r="BM637" s="2125"/>
      <c r="BN637" s="2125"/>
      <c r="BO637" s="2125"/>
      <c r="BP637" s="2125"/>
      <c r="BQ637" s="2125"/>
      <c r="BR637" s="2125"/>
      <c r="BS637" s="2125"/>
      <c r="BT637" s="2125"/>
      <c r="BU637" s="2029"/>
      <c r="BV637" s="2029"/>
      <c r="BW637" s="2029"/>
      <c r="BX637" s="2029"/>
      <c r="BY637" s="2029"/>
      <c r="BZ637" s="2032"/>
      <c r="CA637" s="1974">
        <f t="shared" si="448"/>
        <v>0</v>
      </c>
      <c r="CB637" s="1974">
        <f t="shared" si="448"/>
        <v>0</v>
      </c>
      <c r="CC637" s="1974">
        <f t="shared" si="448"/>
        <v>0</v>
      </c>
      <c r="CD637" s="1974">
        <f t="shared" si="448"/>
        <v>0</v>
      </c>
      <c r="CE637" s="1974">
        <f t="shared" si="448"/>
        <v>0</v>
      </c>
      <c r="CF637" s="2033">
        <v>0</v>
      </c>
      <c r="CG637" s="2026">
        <v>0</v>
      </c>
      <c r="CH637" s="2009">
        <f t="shared" si="449"/>
        <v>0</v>
      </c>
      <c r="CI637" s="2031">
        <f t="shared" si="449"/>
        <v>0</v>
      </c>
      <c r="CJ637" s="1974">
        <f t="shared" si="449"/>
        <v>0</v>
      </c>
      <c r="CK637" s="2031">
        <f t="shared" si="449"/>
        <v>0</v>
      </c>
      <c r="CL637" s="2026">
        <v>1</v>
      </c>
      <c r="CM637" s="2026">
        <v>1</v>
      </c>
      <c r="CN637" s="2026">
        <v>1</v>
      </c>
      <c r="CO637" s="2026">
        <v>1</v>
      </c>
      <c r="CP637" s="2035"/>
      <c r="CQ637" s="2036"/>
      <c r="CR637" s="2036"/>
      <c r="CS637" s="2036"/>
      <c r="CT637" s="2036"/>
      <c r="CU637" s="2036"/>
      <c r="CV637" s="1973">
        <v>1</v>
      </c>
      <c r="CW637" s="1973">
        <v>0</v>
      </c>
      <c r="CX637" s="2037">
        <v>150</v>
      </c>
      <c r="CY637" s="2037">
        <v>150</v>
      </c>
      <c r="CZ637" s="2037">
        <v>150</v>
      </c>
      <c r="DA637" s="2037">
        <v>150</v>
      </c>
      <c r="DJ637" s="1976">
        <v>150</v>
      </c>
      <c r="DK637" s="1973">
        <v>150</v>
      </c>
      <c r="DL637" s="1973">
        <v>150</v>
      </c>
      <c r="DM637" s="1973">
        <v>150</v>
      </c>
      <c r="DO637" s="2027">
        <v>5</v>
      </c>
      <c r="DP637" s="2144">
        <v>1613</v>
      </c>
      <c r="DQ637" s="2145">
        <v>0.4</v>
      </c>
      <c r="DR637" s="2027">
        <v>0</v>
      </c>
      <c r="DS637" s="2124">
        <v>150</v>
      </c>
      <c r="DT637" s="2029">
        <v>150</v>
      </c>
      <c r="DU637" s="2029">
        <v>150</v>
      </c>
      <c r="DV637" s="2029">
        <v>150</v>
      </c>
      <c r="DW637" s="2124">
        <v>0</v>
      </c>
      <c r="DX637" s="2029">
        <v>0</v>
      </c>
      <c r="DY637" s="2029">
        <v>0</v>
      </c>
      <c r="DZ637" s="2029">
        <v>0</v>
      </c>
      <c r="EA637" s="2124">
        <v>180</v>
      </c>
      <c r="EB637" s="2029">
        <v>180</v>
      </c>
      <c r="EC637" s="2029">
        <v>180</v>
      </c>
      <c r="ED637" s="2029">
        <v>180</v>
      </c>
      <c r="EE637" s="2039">
        <f t="shared" si="412"/>
        <v>0</v>
      </c>
      <c r="EF637" s="2039">
        <f t="shared" si="412"/>
        <v>0</v>
      </c>
      <c r="EG637" s="2039">
        <f t="shared" si="412"/>
        <v>0</v>
      </c>
      <c r="EH637" s="2039">
        <f t="shared" si="412"/>
        <v>0</v>
      </c>
      <c r="EI637" s="2040">
        <f t="shared" si="437"/>
        <v>0</v>
      </c>
      <c r="EJ637" s="2040">
        <f t="shared" si="437"/>
        <v>0</v>
      </c>
      <c r="EK637" s="2040">
        <f t="shared" si="437"/>
        <v>0</v>
      </c>
      <c r="EL637" s="2040">
        <f t="shared" si="437"/>
        <v>0</v>
      </c>
      <c r="EM637" s="2040">
        <f t="shared" si="437"/>
        <v>0</v>
      </c>
      <c r="EN637" s="2040">
        <f t="shared" si="437"/>
        <v>0</v>
      </c>
      <c r="EO637" s="2040">
        <f t="shared" si="417"/>
        <v>0</v>
      </c>
      <c r="EP637" s="2040">
        <f t="shared" si="417"/>
        <v>0</v>
      </c>
      <c r="EQ637" s="2040">
        <f t="shared" si="417"/>
        <v>0</v>
      </c>
      <c r="ER637" s="2040">
        <f t="shared" si="417"/>
        <v>0</v>
      </c>
      <c r="ES637" s="2040">
        <f t="shared" si="417"/>
        <v>0</v>
      </c>
      <c r="ET637" s="2040">
        <f t="shared" si="417"/>
        <v>0</v>
      </c>
      <c r="EU637" s="2039">
        <f t="shared" si="413"/>
        <v>0</v>
      </c>
      <c r="EV637" s="2039">
        <f t="shared" si="414"/>
        <v>0</v>
      </c>
    </row>
    <row r="638" spans="1:152" x14ac:dyDescent="0.25">
      <c r="A638" s="2149" t="s">
        <v>187</v>
      </c>
      <c r="B638" s="1974" t="str">
        <f t="shared" si="438"/>
        <v>Online store</v>
      </c>
      <c r="C638" s="2027">
        <f t="shared" si="451"/>
        <v>5</v>
      </c>
      <c r="D638" s="2144">
        <f t="shared" si="451"/>
        <v>1613</v>
      </c>
      <c r="E638" s="2145">
        <f t="shared" si="451"/>
        <v>0.4</v>
      </c>
      <c r="F638" s="2027">
        <f t="shared" si="451"/>
        <v>0</v>
      </c>
      <c r="G638" s="1974" t="s">
        <v>2988</v>
      </c>
      <c r="H638" s="1974" t="s">
        <v>2988</v>
      </c>
      <c r="I638" s="2026">
        <v>0.9</v>
      </c>
      <c r="J638" s="2026">
        <v>0.9</v>
      </c>
      <c r="K638" s="2026">
        <v>0.9</v>
      </c>
      <c r="L638" s="2026">
        <v>0.9</v>
      </c>
      <c r="M638" s="2027">
        <f t="shared" si="426"/>
        <v>1451.7</v>
      </c>
      <c r="N638" s="2027">
        <f t="shared" si="426"/>
        <v>1451.7</v>
      </c>
      <c r="O638" s="2027">
        <f t="shared" si="426"/>
        <v>1451.7</v>
      </c>
      <c r="P638" s="2027">
        <f t="shared" si="426"/>
        <v>1451.7</v>
      </c>
      <c r="Q638" s="2026">
        <v>0.9</v>
      </c>
      <c r="R638" s="2026">
        <v>0.9</v>
      </c>
      <c r="S638" s="2026">
        <v>0.9</v>
      </c>
      <c r="T638" s="2026">
        <v>0.9</v>
      </c>
      <c r="U638" s="2028">
        <f t="shared" si="427"/>
        <v>0.36000000000000004</v>
      </c>
      <c r="V638" s="2028">
        <f t="shared" si="427"/>
        <v>0.36000000000000004</v>
      </c>
      <c r="W638" s="2028">
        <f t="shared" si="427"/>
        <v>0.36000000000000004</v>
      </c>
      <c r="X638" s="2028">
        <f t="shared" si="427"/>
        <v>0.36000000000000004</v>
      </c>
      <c r="Y638" s="2026">
        <v>0.9</v>
      </c>
      <c r="Z638" s="2026">
        <v>0.9</v>
      </c>
      <c r="AA638" s="2026">
        <v>0.9</v>
      </c>
      <c r="AB638" s="2026">
        <v>0.9</v>
      </c>
      <c r="AC638" s="2027">
        <f t="shared" si="428"/>
        <v>0</v>
      </c>
      <c r="AD638" s="2027">
        <f t="shared" si="428"/>
        <v>0</v>
      </c>
      <c r="AE638" s="2027">
        <f t="shared" si="428"/>
        <v>0</v>
      </c>
      <c r="AF638" s="2027">
        <f t="shared" si="428"/>
        <v>0</v>
      </c>
      <c r="AG638" s="2027">
        <v>0</v>
      </c>
      <c r="AH638" s="2028"/>
      <c r="AI638" s="2028"/>
      <c r="AJ638" s="2028"/>
      <c r="AK638" s="2027">
        <f t="shared" si="434"/>
        <v>0</v>
      </c>
      <c r="AL638" s="2027">
        <f t="shared" si="453"/>
        <v>0</v>
      </c>
      <c r="AM638" s="2027">
        <f t="shared" si="453"/>
        <v>0</v>
      </c>
      <c r="AN638" s="2027">
        <f t="shared" si="453"/>
        <v>0</v>
      </c>
      <c r="AO638" s="2027">
        <f t="shared" si="429"/>
        <v>0</v>
      </c>
      <c r="AP638" s="2027">
        <f t="shared" si="421"/>
        <v>0</v>
      </c>
      <c r="AQ638" s="2027">
        <f t="shared" si="421"/>
        <v>0</v>
      </c>
      <c r="AR638" s="2027">
        <f t="shared" si="421"/>
        <v>0</v>
      </c>
      <c r="AS638" s="2124">
        <f t="shared" si="450"/>
        <v>150</v>
      </c>
      <c r="AT638" s="2029">
        <f t="shared" si="422"/>
        <v>150</v>
      </c>
      <c r="AU638" s="2029">
        <f t="shared" si="422"/>
        <v>150</v>
      </c>
      <c r="AV638" s="2029">
        <f t="shared" si="422"/>
        <v>150</v>
      </c>
      <c r="AW638" s="2124">
        <f t="shared" si="452"/>
        <v>0</v>
      </c>
      <c r="AX638" s="2029">
        <f t="shared" si="440"/>
        <v>0</v>
      </c>
      <c r="AY638" s="2029">
        <f t="shared" si="440"/>
        <v>0</v>
      </c>
      <c r="AZ638" s="2029">
        <f t="shared" si="440"/>
        <v>0</v>
      </c>
      <c r="BA638" s="2124">
        <f t="shared" si="454"/>
        <v>180</v>
      </c>
      <c r="BB638" s="2029">
        <f t="shared" si="454"/>
        <v>180</v>
      </c>
      <c r="BC638" s="2029">
        <f t="shared" si="454"/>
        <v>180</v>
      </c>
      <c r="BD638" s="2029">
        <f t="shared" si="454"/>
        <v>180</v>
      </c>
      <c r="BE638" s="2030">
        <f t="shared" si="430"/>
        <v>0</v>
      </c>
      <c r="BF638" s="2030">
        <f t="shared" si="430"/>
        <v>0</v>
      </c>
      <c r="BG638" s="2030">
        <f t="shared" si="430"/>
        <v>0</v>
      </c>
      <c r="BH638" s="2030">
        <f t="shared" si="430"/>
        <v>0</v>
      </c>
      <c r="BI638" s="2030">
        <f t="shared" si="431"/>
        <v>0</v>
      </c>
      <c r="BJ638" s="2030">
        <f t="shared" si="431"/>
        <v>0</v>
      </c>
      <c r="BK638" s="2030">
        <f t="shared" si="431"/>
        <v>0</v>
      </c>
      <c r="BL638" s="2030">
        <f t="shared" si="431"/>
        <v>0</v>
      </c>
      <c r="BM638" s="2125"/>
      <c r="BN638" s="2125"/>
      <c r="BO638" s="2125"/>
      <c r="BP638" s="2125"/>
      <c r="BQ638" s="2125"/>
      <c r="BR638" s="2125"/>
      <c r="BS638" s="2125"/>
      <c r="BT638" s="2125"/>
      <c r="BU638" s="2029"/>
      <c r="BV638" s="2029"/>
      <c r="BW638" s="2029"/>
      <c r="BX638" s="2029"/>
      <c r="BY638" s="2029"/>
      <c r="BZ638" s="2032"/>
      <c r="CA638" s="1974">
        <f t="shared" si="448"/>
        <v>0</v>
      </c>
      <c r="CB638" s="1974">
        <f t="shared" si="448"/>
        <v>0</v>
      </c>
      <c r="CC638" s="1974">
        <f t="shared" si="448"/>
        <v>0</v>
      </c>
      <c r="CD638" s="1974">
        <f t="shared" si="448"/>
        <v>0</v>
      </c>
      <c r="CE638" s="1974">
        <f t="shared" si="448"/>
        <v>0</v>
      </c>
      <c r="CF638" s="2033">
        <v>0</v>
      </c>
      <c r="CG638" s="2026">
        <v>0</v>
      </c>
      <c r="CH638" s="2009">
        <f t="shared" si="449"/>
        <v>0</v>
      </c>
      <c r="CI638" s="2031">
        <f t="shared" si="449"/>
        <v>0</v>
      </c>
      <c r="CJ638" s="1974">
        <f t="shared" si="449"/>
        <v>0</v>
      </c>
      <c r="CK638" s="2031">
        <f t="shared" si="449"/>
        <v>0</v>
      </c>
      <c r="CL638" s="2026">
        <v>1</v>
      </c>
      <c r="CM638" s="2026">
        <v>1</v>
      </c>
      <c r="CN638" s="2026">
        <v>1</v>
      </c>
      <c r="CO638" s="2026">
        <v>1</v>
      </c>
      <c r="CP638" s="2035"/>
      <c r="CQ638" s="2036"/>
      <c r="CR638" s="2036"/>
      <c r="CS638" s="2036"/>
      <c r="CT638" s="2036"/>
      <c r="CU638" s="2036"/>
      <c r="CV638" s="1973">
        <v>1</v>
      </c>
      <c r="CW638" s="1973">
        <v>0</v>
      </c>
      <c r="CX638" s="2037">
        <v>150</v>
      </c>
      <c r="CY638" s="2037">
        <v>150</v>
      </c>
      <c r="CZ638" s="2037">
        <v>150</v>
      </c>
      <c r="DA638" s="2037">
        <v>150</v>
      </c>
      <c r="DJ638" s="1976">
        <v>150</v>
      </c>
      <c r="DK638" s="1973">
        <v>150</v>
      </c>
      <c r="DL638" s="1973">
        <v>150</v>
      </c>
      <c r="DM638" s="1973">
        <v>150</v>
      </c>
      <c r="DO638" s="2027">
        <v>5</v>
      </c>
      <c r="DP638" s="2144">
        <v>1613</v>
      </c>
      <c r="DQ638" s="2145">
        <v>0.4</v>
      </c>
      <c r="DR638" s="2027">
        <v>0</v>
      </c>
      <c r="DS638" s="2124">
        <v>150</v>
      </c>
      <c r="DT638" s="2029">
        <v>150</v>
      </c>
      <c r="DU638" s="2029">
        <v>150</v>
      </c>
      <c r="DV638" s="2029">
        <v>150</v>
      </c>
      <c r="DW638" s="2124">
        <v>0</v>
      </c>
      <c r="DX638" s="2029">
        <v>0</v>
      </c>
      <c r="DY638" s="2029">
        <v>0</v>
      </c>
      <c r="DZ638" s="2029">
        <v>0</v>
      </c>
      <c r="EA638" s="2124">
        <v>180</v>
      </c>
      <c r="EB638" s="2029">
        <v>180</v>
      </c>
      <c r="EC638" s="2029">
        <v>180</v>
      </c>
      <c r="ED638" s="2029">
        <v>180</v>
      </c>
      <c r="EE638" s="2039">
        <f t="shared" si="412"/>
        <v>0</v>
      </c>
      <c r="EF638" s="2039">
        <f t="shared" si="412"/>
        <v>0</v>
      </c>
      <c r="EG638" s="2039">
        <f t="shared" si="412"/>
        <v>0</v>
      </c>
      <c r="EH638" s="2039">
        <f t="shared" si="412"/>
        <v>0</v>
      </c>
      <c r="EI638" s="2040">
        <f t="shared" si="437"/>
        <v>0</v>
      </c>
      <c r="EJ638" s="2040">
        <f t="shared" si="437"/>
        <v>0</v>
      </c>
      <c r="EK638" s="2040">
        <f t="shared" si="437"/>
        <v>0</v>
      </c>
      <c r="EL638" s="2040">
        <f t="shared" si="437"/>
        <v>0</v>
      </c>
      <c r="EM638" s="2040">
        <f t="shared" si="437"/>
        <v>0</v>
      </c>
      <c r="EN638" s="2040">
        <f t="shared" si="437"/>
        <v>0</v>
      </c>
      <c r="EO638" s="2040">
        <f t="shared" si="417"/>
        <v>0</v>
      </c>
      <c r="EP638" s="2040">
        <f t="shared" si="417"/>
        <v>0</v>
      </c>
      <c r="EQ638" s="2040">
        <f t="shared" si="417"/>
        <v>0</v>
      </c>
      <c r="ER638" s="2040">
        <f t="shared" si="417"/>
        <v>0</v>
      </c>
      <c r="ES638" s="2040">
        <f t="shared" si="417"/>
        <v>0</v>
      </c>
      <c r="ET638" s="2040">
        <f t="shared" si="417"/>
        <v>0</v>
      </c>
      <c r="EU638" s="2039">
        <f t="shared" si="413"/>
        <v>0</v>
      </c>
      <c r="EV638" s="2039">
        <f t="shared" si="414"/>
        <v>0</v>
      </c>
    </row>
    <row r="639" spans="1:152" x14ac:dyDescent="0.25">
      <c r="A639" s="2149" t="s">
        <v>188</v>
      </c>
      <c r="B639" s="1974" t="str">
        <f t="shared" si="438"/>
        <v>Online store</v>
      </c>
      <c r="C639" s="2027">
        <f t="shared" si="451"/>
        <v>5</v>
      </c>
      <c r="D639" s="2144">
        <f t="shared" si="451"/>
        <v>1613</v>
      </c>
      <c r="E639" s="2145">
        <f t="shared" si="451"/>
        <v>0.4</v>
      </c>
      <c r="F639" s="2027">
        <f t="shared" si="451"/>
        <v>0</v>
      </c>
      <c r="G639" s="1974" t="s">
        <v>2988</v>
      </c>
      <c r="H639" s="1974" t="s">
        <v>2988</v>
      </c>
      <c r="I639" s="2026">
        <v>0.9</v>
      </c>
      <c r="J639" s="2026">
        <v>0.9</v>
      </c>
      <c r="K639" s="2026">
        <v>0.9</v>
      </c>
      <c r="L639" s="2026">
        <v>0.9</v>
      </c>
      <c r="M639" s="2027">
        <f t="shared" si="426"/>
        <v>1451.7</v>
      </c>
      <c r="N639" s="2027">
        <f t="shared" si="426"/>
        <v>1451.7</v>
      </c>
      <c r="O639" s="2027">
        <f t="shared" si="426"/>
        <v>1451.7</v>
      </c>
      <c r="P639" s="2027">
        <f t="shared" si="426"/>
        <v>1451.7</v>
      </c>
      <c r="Q639" s="2026">
        <v>0.9</v>
      </c>
      <c r="R639" s="2026">
        <v>0.9</v>
      </c>
      <c r="S639" s="2026">
        <v>0.9</v>
      </c>
      <c r="T639" s="2026">
        <v>0.9</v>
      </c>
      <c r="U639" s="2028">
        <f t="shared" si="427"/>
        <v>0.36000000000000004</v>
      </c>
      <c r="V639" s="2028">
        <f t="shared" si="427"/>
        <v>0.36000000000000004</v>
      </c>
      <c r="W639" s="2028">
        <f t="shared" si="427"/>
        <v>0.36000000000000004</v>
      </c>
      <c r="X639" s="2028">
        <f t="shared" si="427"/>
        <v>0.36000000000000004</v>
      </c>
      <c r="Y639" s="2026">
        <v>0.9</v>
      </c>
      <c r="Z639" s="2026">
        <v>0.9</v>
      </c>
      <c r="AA639" s="2026">
        <v>0.9</v>
      </c>
      <c r="AB639" s="2026">
        <v>0.9</v>
      </c>
      <c r="AC639" s="2027">
        <f t="shared" si="428"/>
        <v>0</v>
      </c>
      <c r="AD639" s="2027">
        <f t="shared" si="428"/>
        <v>0</v>
      </c>
      <c r="AE639" s="2027">
        <f t="shared" si="428"/>
        <v>0</v>
      </c>
      <c r="AF639" s="2027">
        <f t="shared" si="428"/>
        <v>0</v>
      </c>
      <c r="AG639" s="2027">
        <v>0</v>
      </c>
      <c r="AH639" s="2028"/>
      <c r="AI639" s="2028"/>
      <c r="AJ639" s="2028"/>
      <c r="AK639" s="2027">
        <f t="shared" si="434"/>
        <v>0</v>
      </c>
      <c r="AL639" s="2027">
        <f t="shared" si="453"/>
        <v>0</v>
      </c>
      <c r="AM639" s="2027">
        <f t="shared" si="453"/>
        <v>0</v>
      </c>
      <c r="AN639" s="2027">
        <f t="shared" si="453"/>
        <v>0</v>
      </c>
      <c r="AO639" s="2027">
        <f t="shared" si="429"/>
        <v>0</v>
      </c>
      <c r="AP639" s="2027">
        <f t="shared" si="421"/>
        <v>0</v>
      </c>
      <c r="AQ639" s="2027">
        <f t="shared" si="421"/>
        <v>0</v>
      </c>
      <c r="AR639" s="2027">
        <f t="shared" si="421"/>
        <v>0</v>
      </c>
      <c r="AS639" s="2124">
        <f t="shared" si="450"/>
        <v>150</v>
      </c>
      <c r="AT639" s="2029">
        <f t="shared" si="422"/>
        <v>150</v>
      </c>
      <c r="AU639" s="2029">
        <f t="shared" si="422"/>
        <v>150</v>
      </c>
      <c r="AV639" s="2029">
        <f t="shared" si="422"/>
        <v>150</v>
      </c>
      <c r="AW639" s="2124">
        <f t="shared" si="452"/>
        <v>0</v>
      </c>
      <c r="AX639" s="2029">
        <f t="shared" si="440"/>
        <v>0</v>
      </c>
      <c r="AY639" s="2029">
        <f t="shared" si="440"/>
        <v>0</v>
      </c>
      <c r="AZ639" s="2029">
        <f t="shared" si="440"/>
        <v>0</v>
      </c>
      <c r="BA639" s="2124">
        <f t="shared" si="454"/>
        <v>180</v>
      </c>
      <c r="BB639" s="2029">
        <f t="shared" si="454"/>
        <v>180</v>
      </c>
      <c r="BC639" s="2029">
        <f t="shared" si="454"/>
        <v>180</v>
      </c>
      <c r="BD639" s="2029">
        <f t="shared" si="454"/>
        <v>180</v>
      </c>
      <c r="BE639" s="2030">
        <f t="shared" si="430"/>
        <v>0</v>
      </c>
      <c r="BF639" s="2030">
        <f t="shared" si="430"/>
        <v>0</v>
      </c>
      <c r="BG639" s="2030">
        <f t="shared" si="430"/>
        <v>0</v>
      </c>
      <c r="BH639" s="2030">
        <f t="shared" si="430"/>
        <v>0</v>
      </c>
      <c r="BI639" s="2030">
        <f t="shared" si="431"/>
        <v>0</v>
      </c>
      <c r="BJ639" s="2030">
        <f t="shared" si="431"/>
        <v>0</v>
      </c>
      <c r="BK639" s="2030">
        <f t="shared" si="431"/>
        <v>0</v>
      </c>
      <c r="BL639" s="2030">
        <f t="shared" si="431"/>
        <v>0</v>
      </c>
      <c r="BM639" s="2125"/>
      <c r="BN639" s="2125"/>
      <c r="BO639" s="2125"/>
      <c r="BP639" s="2125"/>
      <c r="BQ639" s="2125"/>
      <c r="BR639" s="2125"/>
      <c r="BS639" s="2125"/>
      <c r="BT639" s="2125"/>
      <c r="BU639" s="2029"/>
      <c r="BV639" s="2029"/>
      <c r="BW639" s="2029"/>
      <c r="BX639" s="2029"/>
      <c r="BY639" s="2029"/>
      <c r="BZ639" s="2032"/>
      <c r="CA639" s="1974">
        <f t="shared" si="448"/>
        <v>0</v>
      </c>
      <c r="CB639" s="1974">
        <f t="shared" si="448"/>
        <v>0</v>
      </c>
      <c r="CC639" s="1974">
        <f t="shared" si="448"/>
        <v>0</v>
      </c>
      <c r="CD639" s="1974">
        <f t="shared" si="448"/>
        <v>0</v>
      </c>
      <c r="CE639" s="1974">
        <f t="shared" si="448"/>
        <v>0</v>
      </c>
      <c r="CF639" s="2033">
        <v>0</v>
      </c>
      <c r="CG639" s="2026">
        <v>0</v>
      </c>
      <c r="CH639" s="2009">
        <f t="shared" si="449"/>
        <v>0</v>
      </c>
      <c r="CI639" s="2031">
        <f t="shared" si="449"/>
        <v>0</v>
      </c>
      <c r="CJ639" s="1974">
        <f t="shared" si="449"/>
        <v>0</v>
      </c>
      <c r="CK639" s="2031">
        <f t="shared" si="449"/>
        <v>0</v>
      </c>
      <c r="CL639" s="2026">
        <v>1</v>
      </c>
      <c r="CM639" s="2026">
        <v>1</v>
      </c>
      <c r="CN639" s="2026">
        <v>1</v>
      </c>
      <c r="CO639" s="2026">
        <v>1</v>
      </c>
      <c r="CP639" s="2035"/>
      <c r="CQ639" s="2036"/>
      <c r="CR639" s="2036"/>
      <c r="CS639" s="2036"/>
      <c r="CT639" s="2036"/>
      <c r="CU639" s="2036"/>
      <c r="CV639" s="1973">
        <v>1</v>
      </c>
      <c r="CW639" s="1973">
        <v>0</v>
      </c>
      <c r="CX639" s="2037">
        <v>150</v>
      </c>
      <c r="CY639" s="2037">
        <v>150</v>
      </c>
      <c r="CZ639" s="2037">
        <v>150</v>
      </c>
      <c r="DA639" s="2037">
        <v>150</v>
      </c>
      <c r="DJ639" s="1976">
        <v>150</v>
      </c>
      <c r="DK639" s="1973">
        <v>150</v>
      </c>
      <c r="DL639" s="1973">
        <v>150</v>
      </c>
      <c r="DM639" s="1973">
        <v>150</v>
      </c>
      <c r="DO639" s="2027">
        <v>5</v>
      </c>
      <c r="DP639" s="2144">
        <v>1613</v>
      </c>
      <c r="DQ639" s="2145">
        <v>0.4</v>
      </c>
      <c r="DR639" s="2027">
        <v>0</v>
      </c>
      <c r="DS639" s="2124">
        <v>150</v>
      </c>
      <c r="DT639" s="2029">
        <v>150</v>
      </c>
      <c r="DU639" s="2029">
        <v>150</v>
      </c>
      <c r="DV639" s="2029">
        <v>150</v>
      </c>
      <c r="DW639" s="2124">
        <v>0</v>
      </c>
      <c r="DX639" s="2029">
        <v>0</v>
      </c>
      <c r="DY639" s="2029">
        <v>0</v>
      </c>
      <c r="DZ639" s="2029">
        <v>0</v>
      </c>
      <c r="EA639" s="2124">
        <v>180</v>
      </c>
      <c r="EB639" s="2029">
        <v>180</v>
      </c>
      <c r="EC639" s="2029">
        <v>180</v>
      </c>
      <c r="ED639" s="2029">
        <v>180</v>
      </c>
      <c r="EE639" s="2039">
        <f t="shared" si="412"/>
        <v>0</v>
      </c>
      <c r="EF639" s="2039">
        <f t="shared" si="412"/>
        <v>0</v>
      </c>
      <c r="EG639" s="2039">
        <f t="shared" si="412"/>
        <v>0</v>
      </c>
      <c r="EH639" s="2039">
        <f t="shared" si="412"/>
        <v>0</v>
      </c>
      <c r="EI639" s="2040">
        <f t="shared" si="437"/>
        <v>0</v>
      </c>
      <c r="EJ639" s="2040">
        <f t="shared" si="437"/>
        <v>0</v>
      </c>
      <c r="EK639" s="2040">
        <f t="shared" si="437"/>
        <v>0</v>
      </c>
      <c r="EL639" s="2040">
        <f t="shared" si="437"/>
        <v>0</v>
      </c>
      <c r="EM639" s="2040">
        <f t="shared" si="437"/>
        <v>0</v>
      </c>
      <c r="EN639" s="2040">
        <f t="shared" si="437"/>
        <v>0</v>
      </c>
      <c r="EO639" s="2040">
        <f t="shared" si="417"/>
        <v>0</v>
      </c>
      <c r="EP639" s="2040">
        <f t="shared" si="417"/>
        <v>0</v>
      </c>
      <c r="EQ639" s="2040">
        <f t="shared" si="417"/>
        <v>0</v>
      </c>
      <c r="ER639" s="2040">
        <f t="shared" si="417"/>
        <v>0</v>
      </c>
      <c r="ES639" s="2040">
        <f t="shared" si="417"/>
        <v>0</v>
      </c>
      <c r="ET639" s="2040">
        <f t="shared" si="417"/>
        <v>0</v>
      </c>
      <c r="EU639" s="2039">
        <f t="shared" si="413"/>
        <v>0</v>
      </c>
      <c r="EV639" s="2039">
        <f t="shared" si="414"/>
        <v>0</v>
      </c>
    </row>
    <row r="640" spans="1:152" x14ac:dyDescent="0.25">
      <c r="A640" s="2149" t="s">
        <v>189</v>
      </c>
      <c r="B640" s="1974" t="str">
        <f t="shared" si="438"/>
        <v>Online store</v>
      </c>
      <c r="C640" s="2027">
        <f t="shared" si="451"/>
        <v>5</v>
      </c>
      <c r="D640" s="2144">
        <f t="shared" si="451"/>
        <v>387</v>
      </c>
      <c r="E640" s="2145">
        <f t="shared" si="451"/>
        <v>0.1</v>
      </c>
      <c r="F640" s="2027">
        <f t="shared" si="451"/>
        <v>0</v>
      </c>
      <c r="G640" s="1974" t="s">
        <v>2988</v>
      </c>
      <c r="H640" s="1974" t="s">
        <v>2988</v>
      </c>
      <c r="I640" s="2026">
        <v>0.9</v>
      </c>
      <c r="J640" s="2026">
        <v>0.9</v>
      </c>
      <c r="K640" s="2026">
        <v>0.9</v>
      </c>
      <c r="L640" s="2026">
        <v>0.9</v>
      </c>
      <c r="M640" s="2027">
        <f t="shared" si="426"/>
        <v>348.3</v>
      </c>
      <c r="N640" s="2027">
        <f t="shared" si="426"/>
        <v>348.3</v>
      </c>
      <c r="O640" s="2027">
        <f t="shared" si="426"/>
        <v>348.3</v>
      </c>
      <c r="P640" s="2027">
        <f t="shared" si="426"/>
        <v>348.3</v>
      </c>
      <c r="Q640" s="2026">
        <v>0.9</v>
      </c>
      <c r="R640" s="2026">
        <v>0.9</v>
      </c>
      <c r="S640" s="2026">
        <v>0.9</v>
      </c>
      <c r="T640" s="2026">
        <v>0.9</v>
      </c>
      <c r="U640" s="2028">
        <f t="shared" si="427"/>
        <v>9.0000000000000011E-2</v>
      </c>
      <c r="V640" s="2028">
        <f t="shared" si="427"/>
        <v>9.0000000000000011E-2</v>
      </c>
      <c r="W640" s="2028">
        <f t="shared" si="427"/>
        <v>9.0000000000000011E-2</v>
      </c>
      <c r="X640" s="2028">
        <f t="shared" si="427"/>
        <v>9.0000000000000011E-2</v>
      </c>
      <c r="Y640" s="2026">
        <v>0.9</v>
      </c>
      <c r="Z640" s="2026">
        <v>0.9</v>
      </c>
      <c r="AA640" s="2026">
        <v>0.9</v>
      </c>
      <c r="AB640" s="2026">
        <v>0.9</v>
      </c>
      <c r="AC640" s="2027">
        <f t="shared" si="428"/>
        <v>0</v>
      </c>
      <c r="AD640" s="2027">
        <f t="shared" si="428"/>
        <v>0</v>
      </c>
      <c r="AE640" s="2027">
        <f t="shared" si="428"/>
        <v>0</v>
      </c>
      <c r="AF640" s="2027">
        <f t="shared" si="428"/>
        <v>0</v>
      </c>
      <c r="AG640" s="2027">
        <v>0</v>
      </c>
      <c r="AH640" s="2028"/>
      <c r="AI640" s="2028"/>
      <c r="AJ640" s="2028"/>
      <c r="AK640" s="2027">
        <f t="shared" si="434"/>
        <v>0</v>
      </c>
      <c r="AL640" s="2027">
        <f t="shared" si="453"/>
        <v>0</v>
      </c>
      <c r="AM640" s="2027">
        <f t="shared" si="453"/>
        <v>0</v>
      </c>
      <c r="AN640" s="2027">
        <f t="shared" si="453"/>
        <v>0</v>
      </c>
      <c r="AO640" s="2027">
        <f t="shared" si="429"/>
        <v>0</v>
      </c>
      <c r="AP640" s="2027">
        <f t="shared" si="421"/>
        <v>0</v>
      </c>
      <c r="AQ640" s="2027">
        <f t="shared" si="421"/>
        <v>0</v>
      </c>
      <c r="AR640" s="2027">
        <f t="shared" si="421"/>
        <v>0</v>
      </c>
      <c r="AS640" s="2124">
        <f t="shared" si="450"/>
        <v>45</v>
      </c>
      <c r="AT640" s="2029">
        <f t="shared" si="422"/>
        <v>45</v>
      </c>
      <c r="AU640" s="2029">
        <f t="shared" si="422"/>
        <v>45</v>
      </c>
      <c r="AV640" s="2029">
        <f t="shared" si="422"/>
        <v>45</v>
      </c>
      <c r="AW640" s="2124">
        <f t="shared" si="452"/>
        <v>0</v>
      </c>
      <c r="AX640" s="2029">
        <f t="shared" si="440"/>
        <v>0</v>
      </c>
      <c r="AY640" s="2029">
        <f t="shared" si="440"/>
        <v>0</v>
      </c>
      <c r="AZ640" s="2029">
        <f t="shared" si="440"/>
        <v>0</v>
      </c>
      <c r="BA640" s="2124">
        <f t="shared" si="454"/>
        <v>80</v>
      </c>
      <c r="BB640" s="2029">
        <f t="shared" si="454"/>
        <v>80</v>
      </c>
      <c r="BC640" s="2029">
        <f t="shared" si="454"/>
        <v>80</v>
      </c>
      <c r="BD640" s="2029">
        <f t="shared" si="454"/>
        <v>80</v>
      </c>
      <c r="BE640" s="2030">
        <f t="shared" si="430"/>
        <v>0</v>
      </c>
      <c r="BF640" s="2030">
        <f t="shared" si="430"/>
        <v>0</v>
      </c>
      <c r="BG640" s="2030">
        <f t="shared" si="430"/>
        <v>0</v>
      </c>
      <c r="BH640" s="2030">
        <f t="shared" si="430"/>
        <v>0</v>
      </c>
      <c r="BI640" s="2030">
        <f t="shared" si="431"/>
        <v>0</v>
      </c>
      <c r="BJ640" s="2030">
        <f t="shared" si="431"/>
        <v>0</v>
      </c>
      <c r="BK640" s="2030">
        <f t="shared" si="431"/>
        <v>0</v>
      </c>
      <c r="BL640" s="2030">
        <f t="shared" si="431"/>
        <v>0</v>
      </c>
      <c r="BM640" s="2125"/>
      <c r="BN640" s="2125"/>
      <c r="BO640" s="2125"/>
      <c r="BP640" s="2125"/>
      <c r="BQ640" s="2125"/>
      <c r="BR640" s="2125"/>
      <c r="BS640" s="2125"/>
      <c r="BT640" s="2125"/>
      <c r="BU640" s="2029"/>
      <c r="BV640" s="2029"/>
      <c r="BW640" s="2029"/>
      <c r="BX640" s="2029"/>
      <c r="BY640" s="2029"/>
      <c r="BZ640" s="2032"/>
      <c r="CA640" s="1974">
        <f t="shared" si="448"/>
        <v>0</v>
      </c>
      <c r="CB640" s="1974">
        <f t="shared" si="448"/>
        <v>0</v>
      </c>
      <c r="CC640" s="1974">
        <f t="shared" si="448"/>
        <v>0</v>
      </c>
      <c r="CD640" s="1974">
        <f t="shared" si="448"/>
        <v>0</v>
      </c>
      <c r="CE640" s="1974">
        <f t="shared" si="448"/>
        <v>0</v>
      </c>
      <c r="CF640" s="2033">
        <v>0</v>
      </c>
      <c r="CG640" s="2026">
        <v>0</v>
      </c>
      <c r="CH640" s="2009">
        <f t="shared" si="449"/>
        <v>0</v>
      </c>
      <c r="CI640" s="2031">
        <f t="shared" si="449"/>
        <v>0</v>
      </c>
      <c r="CJ640" s="1974">
        <f t="shared" si="449"/>
        <v>0</v>
      </c>
      <c r="CK640" s="2031">
        <f t="shared" si="449"/>
        <v>0</v>
      </c>
      <c r="CL640" s="2026">
        <v>1</v>
      </c>
      <c r="CM640" s="2026">
        <v>1</v>
      </c>
      <c r="CN640" s="2026">
        <v>1</v>
      </c>
      <c r="CO640" s="2026">
        <v>1</v>
      </c>
      <c r="CP640" s="2035"/>
      <c r="CQ640" s="2036"/>
      <c r="CR640" s="2036"/>
      <c r="CS640" s="2036"/>
      <c r="CT640" s="2036"/>
      <c r="CU640" s="2036"/>
      <c r="CV640" s="1973">
        <v>1</v>
      </c>
      <c r="CW640" s="1973">
        <v>0</v>
      </c>
      <c r="CX640" s="2037">
        <v>45</v>
      </c>
      <c r="CY640" s="2037">
        <v>45</v>
      </c>
      <c r="CZ640" s="2037">
        <v>45</v>
      </c>
      <c r="DA640" s="2037">
        <v>45</v>
      </c>
      <c r="DJ640" s="1976">
        <v>45</v>
      </c>
      <c r="DK640" s="1973">
        <v>45</v>
      </c>
      <c r="DL640" s="1973">
        <v>45</v>
      </c>
      <c r="DM640" s="1973">
        <v>45</v>
      </c>
      <c r="DO640" s="2027">
        <v>5</v>
      </c>
      <c r="DP640" s="2144">
        <v>387</v>
      </c>
      <c r="DQ640" s="2145">
        <v>0.1</v>
      </c>
      <c r="DR640" s="2027">
        <v>0</v>
      </c>
      <c r="DS640" s="2124">
        <v>45</v>
      </c>
      <c r="DT640" s="2029">
        <v>45</v>
      </c>
      <c r="DU640" s="2029">
        <v>45</v>
      </c>
      <c r="DV640" s="2029">
        <v>45</v>
      </c>
      <c r="DW640" s="2124">
        <v>0</v>
      </c>
      <c r="DX640" s="2029">
        <v>0</v>
      </c>
      <c r="DY640" s="2029">
        <v>0</v>
      </c>
      <c r="DZ640" s="2029">
        <v>0</v>
      </c>
      <c r="EA640" s="2124">
        <v>80</v>
      </c>
      <c r="EB640" s="2029">
        <v>80</v>
      </c>
      <c r="EC640" s="2029">
        <v>80</v>
      </c>
      <c r="ED640" s="2029">
        <v>80</v>
      </c>
      <c r="EE640" s="2039">
        <f t="shared" si="412"/>
        <v>0</v>
      </c>
      <c r="EF640" s="2039">
        <f t="shared" si="412"/>
        <v>0</v>
      </c>
      <c r="EG640" s="2039">
        <f t="shared" si="412"/>
        <v>0</v>
      </c>
      <c r="EH640" s="2039">
        <f t="shared" si="412"/>
        <v>0</v>
      </c>
      <c r="EI640" s="2040">
        <f t="shared" si="437"/>
        <v>0</v>
      </c>
      <c r="EJ640" s="2040">
        <f t="shared" si="437"/>
        <v>0</v>
      </c>
      <c r="EK640" s="2040">
        <f t="shared" si="437"/>
        <v>0</v>
      </c>
      <c r="EL640" s="2040">
        <f t="shared" si="437"/>
        <v>0</v>
      </c>
      <c r="EM640" s="2040">
        <f t="shared" si="437"/>
        <v>0</v>
      </c>
      <c r="EN640" s="2040">
        <f t="shared" si="437"/>
        <v>0</v>
      </c>
      <c r="EO640" s="2040">
        <f t="shared" si="417"/>
        <v>0</v>
      </c>
      <c r="EP640" s="2040">
        <f t="shared" si="417"/>
        <v>0</v>
      </c>
      <c r="EQ640" s="2040">
        <f t="shared" si="417"/>
        <v>0</v>
      </c>
      <c r="ER640" s="2040">
        <f t="shared" si="417"/>
        <v>0</v>
      </c>
      <c r="ES640" s="2040">
        <f t="shared" si="417"/>
        <v>0</v>
      </c>
      <c r="ET640" s="2040">
        <f t="shared" si="417"/>
        <v>0</v>
      </c>
      <c r="EU640" s="2039">
        <f t="shared" si="413"/>
        <v>0</v>
      </c>
      <c r="EV640" s="2039">
        <f t="shared" si="414"/>
        <v>0</v>
      </c>
    </row>
    <row r="641" spans="1:152" x14ac:dyDescent="0.25">
      <c r="A641" s="2149" t="s">
        <v>190</v>
      </c>
      <c r="B641" s="1974" t="str">
        <f t="shared" si="438"/>
        <v>Online store</v>
      </c>
      <c r="C641" s="2027">
        <f t="shared" si="451"/>
        <v>5</v>
      </c>
      <c r="D641" s="2144">
        <f t="shared" si="451"/>
        <v>387</v>
      </c>
      <c r="E641" s="2145">
        <f t="shared" si="451"/>
        <v>0.1</v>
      </c>
      <c r="F641" s="2027">
        <f t="shared" si="451"/>
        <v>0</v>
      </c>
      <c r="G641" s="1974" t="s">
        <v>2988</v>
      </c>
      <c r="H641" s="1974" t="s">
        <v>2988</v>
      </c>
      <c r="I641" s="2026">
        <v>0.9</v>
      </c>
      <c r="J641" s="2026">
        <v>0.9</v>
      </c>
      <c r="K641" s="2026">
        <v>0.9</v>
      </c>
      <c r="L641" s="2026">
        <v>0.9</v>
      </c>
      <c r="M641" s="2027">
        <f t="shared" si="426"/>
        <v>348.3</v>
      </c>
      <c r="N641" s="2027">
        <f t="shared" si="426"/>
        <v>348.3</v>
      </c>
      <c r="O641" s="2027">
        <f t="shared" si="426"/>
        <v>348.3</v>
      </c>
      <c r="P641" s="2027">
        <f t="shared" si="426"/>
        <v>348.3</v>
      </c>
      <c r="Q641" s="2026">
        <v>0.9</v>
      </c>
      <c r="R641" s="2026">
        <v>0.9</v>
      </c>
      <c r="S641" s="2026">
        <v>0.9</v>
      </c>
      <c r="T641" s="2026">
        <v>0.9</v>
      </c>
      <c r="U641" s="2028">
        <f t="shared" si="427"/>
        <v>9.0000000000000011E-2</v>
      </c>
      <c r="V641" s="2028">
        <f t="shared" si="427"/>
        <v>9.0000000000000011E-2</v>
      </c>
      <c r="W641" s="2028">
        <f t="shared" si="427"/>
        <v>9.0000000000000011E-2</v>
      </c>
      <c r="X641" s="2028">
        <f t="shared" si="427"/>
        <v>9.0000000000000011E-2</v>
      </c>
      <c r="Y641" s="2026">
        <v>0.9</v>
      </c>
      <c r="Z641" s="2026">
        <v>0.9</v>
      </c>
      <c r="AA641" s="2026">
        <v>0.9</v>
      </c>
      <c r="AB641" s="2026">
        <v>0.9</v>
      </c>
      <c r="AC641" s="2027">
        <f t="shared" si="428"/>
        <v>0</v>
      </c>
      <c r="AD641" s="2027">
        <f t="shared" si="428"/>
        <v>0</v>
      </c>
      <c r="AE641" s="2027">
        <f t="shared" si="428"/>
        <v>0</v>
      </c>
      <c r="AF641" s="2027">
        <f t="shared" si="428"/>
        <v>0</v>
      </c>
      <c r="AG641" s="2027">
        <v>0</v>
      </c>
      <c r="AH641" s="2028"/>
      <c r="AI641" s="2028"/>
      <c r="AJ641" s="2028"/>
      <c r="AK641" s="2027">
        <f t="shared" si="434"/>
        <v>0</v>
      </c>
      <c r="AL641" s="2027">
        <f t="shared" si="453"/>
        <v>0</v>
      </c>
      <c r="AM641" s="2027">
        <f t="shared" si="453"/>
        <v>0</v>
      </c>
      <c r="AN641" s="2027">
        <f t="shared" si="453"/>
        <v>0</v>
      </c>
      <c r="AO641" s="2027">
        <f t="shared" si="429"/>
        <v>0</v>
      </c>
      <c r="AP641" s="2027">
        <f t="shared" si="421"/>
        <v>0</v>
      </c>
      <c r="AQ641" s="2027">
        <f t="shared" si="421"/>
        <v>0</v>
      </c>
      <c r="AR641" s="2027">
        <f t="shared" si="421"/>
        <v>0</v>
      </c>
      <c r="AS641" s="2124">
        <f t="shared" si="450"/>
        <v>45</v>
      </c>
      <c r="AT641" s="2029">
        <f t="shared" si="422"/>
        <v>45</v>
      </c>
      <c r="AU641" s="2029">
        <f t="shared" si="422"/>
        <v>45</v>
      </c>
      <c r="AV641" s="2029">
        <f t="shared" si="422"/>
        <v>45</v>
      </c>
      <c r="AW641" s="2124">
        <f t="shared" si="452"/>
        <v>0</v>
      </c>
      <c r="AX641" s="2029">
        <f t="shared" si="440"/>
        <v>0</v>
      </c>
      <c r="AY641" s="2029">
        <f t="shared" si="440"/>
        <v>0</v>
      </c>
      <c r="AZ641" s="2029">
        <f t="shared" si="440"/>
        <v>0</v>
      </c>
      <c r="BA641" s="2124">
        <f t="shared" si="454"/>
        <v>80</v>
      </c>
      <c r="BB641" s="2029">
        <f t="shared" si="454"/>
        <v>80</v>
      </c>
      <c r="BC641" s="2029">
        <f t="shared" si="454"/>
        <v>80</v>
      </c>
      <c r="BD641" s="2029">
        <f t="shared" si="454"/>
        <v>80</v>
      </c>
      <c r="BE641" s="2030">
        <f t="shared" si="430"/>
        <v>0</v>
      </c>
      <c r="BF641" s="2030">
        <f t="shared" si="430"/>
        <v>0</v>
      </c>
      <c r="BG641" s="2030">
        <f t="shared" si="430"/>
        <v>0</v>
      </c>
      <c r="BH641" s="2030">
        <f t="shared" si="430"/>
        <v>0</v>
      </c>
      <c r="BI641" s="2030">
        <f t="shared" si="431"/>
        <v>0</v>
      </c>
      <c r="BJ641" s="2030">
        <f t="shared" si="431"/>
        <v>0</v>
      </c>
      <c r="BK641" s="2030">
        <f t="shared" si="431"/>
        <v>0</v>
      </c>
      <c r="BL641" s="2030">
        <f t="shared" si="431"/>
        <v>0</v>
      </c>
      <c r="BM641" s="2125"/>
      <c r="BN641" s="2125"/>
      <c r="BO641" s="2125"/>
      <c r="BP641" s="2125"/>
      <c r="BQ641" s="2125"/>
      <c r="BR641" s="2125"/>
      <c r="BS641" s="2125"/>
      <c r="BT641" s="2125"/>
      <c r="BU641" s="2029"/>
      <c r="BV641" s="2029"/>
      <c r="BW641" s="2029"/>
      <c r="BX641" s="2029"/>
      <c r="BY641" s="2029"/>
      <c r="BZ641" s="2032"/>
      <c r="CA641" s="1974">
        <f t="shared" si="448"/>
        <v>0</v>
      </c>
      <c r="CB641" s="1974">
        <f t="shared" si="448"/>
        <v>0</v>
      </c>
      <c r="CC641" s="1974">
        <f t="shared" si="448"/>
        <v>0</v>
      </c>
      <c r="CD641" s="1974">
        <f t="shared" si="448"/>
        <v>0</v>
      </c>
      <c r="CE641" s="1974">
        <f t="shared" si="448"/>
        <v>0</v>
      </c>
      <c r="CF641" s="2033">
        <v>0</v>
      </c>
      <c r="CG641" s="2026">
        <v>0</v>
      </c>
      <c r="CH641" s="2009">
        <f t="shared" si="449"/>
        <v>0</v>
      </c>
      <c r="CI641" s="2031">
        <f t="shared" si="449"/>
        <v>0</v>
      </c>
      <c r="CJ641" s="1974">
        <f t="shared" si="449"/>
        <v>0</v>
      </c>
      <c r="CK641" s="2031">
        <f t="shared" si="449"/>
        <v>0</v>
      </c>
      <c r="CL641" s="2026">
        <v>1</v>
      </c>
      <c r="CM641" s="2026">
        <v>1</v>
      </c>
      <c r="CN641" s="2026">
        <v>1</v>
      </c>
      <c r="CO641" s="2026">
        <v>1</v>
      </c>
      <c r="CP641" s="2035"/>
      <c r="CQ641" s="2036"/>
      <c r="CR641" s="2036"/>
      <c r="CS641" s="2036"/>
      <c r="CT641" s="2036"/>
      <c r="CU641" s="2036"/>
      <c r="CV641" s="1973">
        <v>1</v>
      </c>
      <c r="CW641" s="1973">
        <v>0</v>
      </c>
      <c r="CX641" s="2037">
        <v>45</v>
      </c>
      <c r="CY641" s="2037">
        <v>45</v>
      </c>
      <c r="CZ641" s="2037">
        <v>45</v>
      </c>
      <c r="DA641" s="2037">
        <v>45</v>
      </c>
      <c r="DJ641" s="1976">
        <v>45</v>
      </c>
      <c r="DK641" s="1973">
        <v>45</v>
      </c>
      <c r="DL641" s="1973">
        <v>45</v>
      </c>
      <c r="DM641" s="1973">
        <v>45</v>
      </c>
      <c r="DO641" s="2027">
        <v>5</v>
      </c>
      <c r="DP641" s="2144">
        <v>387</v>
      </c>
      <c r="DQ641" s="2145">
        <v>0.1</v>
      </c>
      <c r="DR641" s="2027">
        <v>0</v>
      </c>
      <c r="DS641" s="2124">
        <v>45</v>
      </c>
      <c r="DT641" s="2029">
        <v>45</v>
      </c>
      <c r="DU641" s="2029">
        <v>45</v>
      </c>
      <c r="DV641" s="2029">
        <v>45</v>
      </c>
      <c r="DW641" s="2124">
        <v>0</v>
      </c>
      <c r="DX641" s="2029">
        <v>0</v>
      </c>
      <c r="DY641" s="2029">
        <v>0</v>
      </c>
      <c r="DZ641" s="2029">
        <v>0</v>
      </c>
      <c r="EA641" s="2124">
        <v>80</v>
      </c>
      <c r="EB641" s="2029">
        <v>80</v>
      </c>
      <c r="EC641" s="2029">
        <v>80</v>
      </c>
      <c r="ED641" s="2029">
        <v>80</v>
      </c>
      <c r="EE641" s="2039">
        <f t="shared" si="412"/>
        <v>0</v>
      </c>
      <c r="EF641" s="2039">
        <f t="shared" si="412"/>
        <v>0</v>
      </c>
      <c r="EG641" s="2039">
        <f t="shared" si="412"/>
        <v>0</v>
      </c>
      <c r="EH641" s="2039">
        <f t="shared" si="412"/>
        <v>0</v>
      </c>
      <c r="EI641" s="2040">
        <f t="shared" si="437"/>
        <v>0</v>
      </c>
      <c r="EJ641" s="2040">
        <f t="shared" si="437"/>
        <v>0</v>
      </c>
      <c r="EK641" s="2040">
        <f t="shared" si="437"/>
        <v>0</v>
      </c>
      <c r="EL641" s="2040">
        <f t="shared" si="437"/>
        <v>0</v>
      </c>
      <c r="EM641" s="2040">
        <f t="shared" si="437"/>
        <v>0</v>
      </c>
      <c r="EN641" s="2040">
        <f t="shared" si="437"/>
        <v>0</v>
      </c>
      <c r="EO641" s="2040">
        <f t="shared" si="417"/>
        <v>0</v>
      </c>
      <c r="EP641" s="2040">
        <f t="shared" si="417"/>
        <v>0</v>
      </c>
      <c r="EQ641" s="2040">
        <f t="shared" si="417"/>
        <v>0</v>
      </c>
      <c r="ER641" s="2040">
        <f t="shared" si="417"/>
        <v>0</v>
      </c>
      <c r="ES641" s="2040">
        <f t="shared" si="417"/>
        <v>0</v>
      </c>
      <c r="ET641" s="2040">
        <f t="shared" si="417"/>
        <v>0</v>
      </c>
      <c r="EU641" s="2039">
        <f t="shared" si="413"/>
        <v>0</v>
      </c>
      <c r="EV641" s="2039">
        <f t="shared" si="414"/>
        <v>0</v>
      </c>
    </row>
    <row r="642" spans="1:152" x14ac:dyDescent="0.25">
      <c r="A642" s="2149" t="s">
        <v>191</v>
      </c>
      <c r="B642" s="1974" t="str">
        <f t="shared" si="438"/>
        <v>Online store</v>
      </c>
      <c r="C642" s="2027">
        <f t="shared" si="451"/>
        <v>5</v>
      </c>
      <c r="D642" s="2144">
        <f t="shared" si="451"/>
        <v>387</v>
      </c>
      <c r="E642" s="2145">
        <f t="shared" si="451"/>
        <v>0.1</v>
      </c>
      <c r="F642" s="2027">
        <f t="shared" si="451"/>
        <v>0</v>
      </c>
      <c r="G642" s="1974" t="s">
        <v>2988</v>
      </c>
      <c r="H642" s="1974" t="s">
        <v>2988</v>
      </c>
      <c r="I642" s="2026">
        <v>0.9</v>
      </c>
      <c r="J642" s="2026">
        <v>0.9</v>
      </c>
      <c r="K642" s="2026">
        <v>0.9</v>
      </c>
      <c r="L642" s="2026">
        <v>0.9</v>
      </c>
      <c r="M642" s="2027">
        <f t="shared" si="426"/>
        <v>348.3</v>
      </c>
      <c r="N642" s="2027">
        <f t="shared" si="426"/>
        <v>348.3</v>
      </c>
      <c r="O642" s="2027">
        <f t="shared" si="426"/>
        <v>348.3</v>
      </c>
      <c r="P642" s="2027">
        <f t="shared" si="426"/>
        <v>348.3</v>
      </c>
      <c r="Q642" s="2026">
        <v>0.9</v>
      </c>
      <c r="R642" s="2026">
        <v>0.9</v>
      </c>
      <c r="S642" s="2026">
        <v>0.9</v>
      </c>
      <c r="T642" s="2026">
        <v>0.9</v>
      </c>
      <c r="U642" s="2028">
        <f t="shared" si="427"/>
        <v>9.0000000000000011E-2</v>
      </c>
      <c r="V642" s="2028">
        <f t="shared" si="427"/>
        <v>9.0000000000000011E-2</v>
      </c>
      <c r="W642" s="2028">
        <f t="shared" si="427"/>
        <v>9.0000000000000011E-2</v>
      </c>
      <c r="X642" s="2028">
        <f t="shared" si="427"/>
        <v>9.0000000000000011E-2</v>
      </c>
      <c r="Y642" s="2026">
        <v>0.9</v>
      </c>
      <c r="Z642" s="2026">
        <v>0.9</v>
      </c>
      <c r="AA642" s="2026">
        <v>0.9</v>
      </c>
      <c r="AB642" s="2026">
        <v>0.9</v>
      </c>
      <c r="AC642" s="2027">
        <f t="shared" si="428"/>
        <v>0</v>
      </c>
      <c r="AD642" s="2027">
        <f t="shared" si="428"/>
        <v>0</v>
      </c>
      <c r="AE642" s="2027">
        <f t="shared" si="428"/>
        <v>0</v>
      </c>
      <c r="AF642" s="2027">
        <f t="shared" si="428"/>
        <v>0</v>
      </c>
      <c r="AG642" s="2027">
        <v>0</v>
      </c>
      <c r="AH642" s="2028"/>
      <c r="AI642" s="2028"/>
      <c r="AJ642" s="2028"/>
      <c r="AK642" s="2027">
        <f t="shared" si="434"/>
        <v>0</v>
      </c>
      <c r="AL642" s="2027">
        <f t="shared" si="453"/>
        <v>0</v>
      </c>
      <c r="AM642" s="2027">
        <f t="shared" si="453"/>
        <v>0</v>
      </c>
      <c r="AN642" s="2027">
        <f t="shared" si="453"/>
        <v>0</v>
      </c>
      <c r="AO642" s="2027">
        <f t="shared" si="429"/>
        <v>0</v>
      </c>
      <c r="AP642" s="2027">
        <f t="shared" si="421"/>
        <v>0</v>
      </c>
      <c r="AQ642" s="2027">
        <f t="shared" si="421"/>
        <v>0</v>
      </c>
      <c r="AR642" s="2027">
        <f t="shared" si="421"/>
        <v>0</v>
      </c>
      <c r="AS642" s="2124">
        <f t="shared" si="450"/>
        <v>45</v>
      </c>
      <c r="AT642" s="2029">
        <f t="shared" si="422"/>
        <v>45</v>
      </c>
      <c r="AU642" s="2029">
        <f t="shared" si="422"/>
        <v>45</v>
      </c>
      <c r="AV642" s="2029">
        <f t="shared" si="422"/>
        <v>45</v>
      </c>
      <c r="AW642" s="2124">
        <f t="shared" si="452"/>
        <v>0</v>
      </c>
      <c r="AX642" s="2029">
        <f t="shared" si="440"/>
        <v>0</v>
      </c>
      <c r="AY642" s="2029">
        <f t="shared" si="440"/>
        <v>0</v>
      </c>
      <c r="AZ642" s="2029">
        <f t="shared" si="440"/>
        <v>0</v>
      </c>
      <c r="BA642" s="2124">
        <f t="shared" si="454"/>
        <v>80</v>
      </c>
      <c r="BB642" s="2029">
        <f t="shared" si="454"/>
        <v>80</v>
      </c>
      <c r="BC642" s="2029">
        <f t="shared" si="454"/>
        <v>80</v>
      </c>
      <c r="BD642" s="2029">
        <f t="shared" si="454"/>
        <v>80</v>
      </c>
      <c r="BE642" s="2030">
        <f t="shared" si="430"/>
        <v>0</v>
      </c>
      <c r="BF642" s="2030">
        <f t="shared" si="430"/>
        <v>0</v>
      </c>
      <c r="BG642" s="2030">
        <f t="shared" si="430"/>
        <v>0</v>
      </c>
      <c r="BH642" s="2030">
        <f t="shared" si="430"/>
        <v>0</v>
      </c>
      <c r="BI642" s="2030">
        <f t="shared" si="431"/>
        <v>0</v>
      </c>
      <c r="BJ642" s="2030">
        <f t="shared" si="431"/>
        <v>0</v>
      </c>
      <c r="BK642" s="2030">
        <f t="shared" si="431"/>
        <v>0</v>
      </c>
      <c r="BL642" s="2030">
        <f t="shared" si="431"/>
        <v>0</v>
      </c>
      <c r="BM642" s="2125"/>
      <c r="BN642" s="2125"/>
      <c r="BO642" s="2125"/>
      <c r="BP642" s="2125"/>
      <c r="BQ642" s="2125"/>
      <c r="BR642" s="2125"/>
      <c r="BS642" s="2125"/>
      <c r="BT642" s="2125"/>
      <c r="BU642" s="2029"/>
      <c r="BV642" s="2029"/>
      <c r="BW642" s="2029"/>
      <c r="BX642" s="2029"/>
      <c r="BY642" s="2029"/>
      <c r="BZ642" s="2032"/>
      <c r="CA642" s="1974">
        <f t="shared" si="448"/>
        <v>0</v>
      </c>
      <c r="CB642" s="1974">
        <f t="shared" si="448"/>
        <v>0</v>
      </c>
      <c r="CC642" s="1974">
        <f t="shared" si="448"/>
        <v>0</v>
      </c>
      <c r="CD642" s="1974">
        <f t="shared" si="448"/>
        <v>0</v>
      </c>
      <c r="CE642" s="1974">
        <f t="shared" si="448"/>
        <v>0</v>
      </c>
      <c r="CF642" s="2033">
        <v>0</v>
      </c>
      <c r="CG642" s="2026">
        <v>0</v>
      </c>
      <c r="CH642" s="2009">
        <f t="shared" si="449"/>
        <v>0</v>
      </c>
      <c r="CI642" s="2031">
        <f t="shared" si="449"/>
        <v>0</v>
      </c>
      <c r="CJ642" s="1974">
        <f t="shared" si="449"/>
        <v>0</v>
      </c>
      <c r="CK642" s="2031">
        <f t="shared" si="449"/>
        <v>0</v>
      </c>
      <c r="CL642" s="2026">
        <v>1</v>
      </c>
      <c r="CM642" s="2026">
        <v>1</v>
      </c>
      <c r="CN642" s="2026">
        <v>1</v>
      </c>
      <c r="CO642" s="2026">
        <v>1</v>
      </c>
      <c r="CP642" s="2035"/>
      <c r="CQ642" s="2036"/>
      <c r="CR642" s="2036"/>
      <c r="CS642" s="2036"/>
      <c r="CT642" s="2036"/>
      <c r="CU642" s="2036"/>
      <c r="CV642" s="1973">
        <v>1</v>
      </c>
      <c r="CW642" s="1973">
        <v>0</v>
      </c>
      <c r="CX642" s="2037">
        <v>45</v>
      </c>
      <c r="CY642" s="2037">
        <v>45</v>
      </c>
      <c r="CZ642" s="2037">
        <v>45</v>
      </c>
      <c r="DA642" s="2037">
        <v>45</v>
      </c>
      <c r="DJ642" s="1976">
        <v>45</v>
      </c>
      <c r="DK642" s="1973">
        <v>45</v>
      </c>
      <c r="DL642" s="1973">
        <v>45</v>
      </c>
      <c r="DM642" s="1973">
        <v>45</v>
      </c>
      <c r="DO642" s="2027">
        <v>5</v>
      </c>
      <c r="DP642" s="2144">
        <v>387</v>
      </c>
      <c r="DQ642" s="2145">
        <v>0.1</v>
      </c>
      <c r="DR642" s="2027">
        <v>0</v>
      </c>
      <c r="DS642" s="2124">
        <v>45</v>
      </c>
      <c r="DT642" s="2029">
        <v>45</v>
      </c>
      <c r="DU642" s="2029">
        <v>45</v>
      </c>
      <c r="DV642" s="2029">
        <v>45</v>
      </c>
      <c r="DW642" s="2124">
        <v>0</v>
      </c>
      <c r="DX642" s="2029">
        <v>0</v>
      </c>
      <c r="DY642" s="2029">
        <v>0</v>
      </c>
      <c r="DZ642" s="2029">
        <v>0</v>
      </c>
      <c r="EA642" s="2124">
        <v>80</v>
      </c>
      <c r="EB642" s="2029">
        <v>80</v>
      </c>
      <c r="EC642" s="2029">
        <v>80</v>
      </c>
      <c r="ED642" s="2029">
        <v>80</v>
      </c>
      <c r="EE642" s="2039">
        <f t="shared" si="412"/>
        <v>0</v>
      </c>
      <c r="EF642" s="2039">
        <f t="shared" si="412"/>
        <v>0</v>
      </c>
      <c r="EG642" s="2039">
        <f t="shared" si="412"/>
        <v>0</v>
      </c>
      <c r="EH642" s="2039">
        <f t="shared" si="412"/>
        <v>0</v>
      </c>
      <c r="EI642" s="2040">
        <f t="shared" si="437"/>
        <v>0</v>
      </c>
      <c r="EJ642" s="2040">
        <f t="shared" si="437"/>
        <v>0</v>
      </c>
      <c r="EK642" s="2040">
        <f t="shared" si="437"/>
        <v>0</v>
      </c>
      <c r="EL642" s="2040">
        <f t="shared" si="437"/>
        <v>0</v>
      </c>
      <c r="EM642" s="2040">
        <f t="shared" si="437"/>
        <v>0</v>
      </c>
      <c r="EN642" s="2040">
        <f t="shared" si="437"/>
        <v>0</v>
      </c>
      <c r="EO642" s="2040">
        <f t="shared" si="417"/>
        <v>0</v>
      </c>
      <c r="EP642" s="2040">
        <f t="shared" si="417"/>
        <v>0</v>
      </c>
      <c r="EQ642" s="2040">
        <f t="shared" si="417"/>
        <v>0</v>
      </c>
      <c r="ER642" s="2040">
        <f t="shared" si="417"/>
        <v>0</v>
      </c>
      <c r="ES642" s="2040">
        <f t="shared" si="417"/>
        <v>0</v>
      </c>
      <c r="ET642" s="2040">
        <f t="shared" si="417"/>
        <v>0</v>
      </c>
      <c r="EU642" s="2039">
        <f t="shared" si="413"/>
        <v>0</v>
      </c>
      <c r="EV642" s="2039">
        <f t="shared" si="414"/>
        <v>0</v>
      </c>
    </row>
    <row r="643" spans="1:152" x14ac:dyDescent="0.25">
      <c r="A643" s="2149" t="s">
        <v>192</v>
      </c>
      <c r="B643" s="1974" t="str">
        <f t="shared" si="438"/>
        <v>Online store</v>
      </c>
      <c r="C643" s="2027">
        <f t="shared" si="451"/>
        <v>5</v>
      </c>
      <c r="D643" s="2144">
        <f t="shared" si="451"/>
        <v>387</v>
      </c>
      <c r="E643" s="2145">
        <f t="shared" si="451"/>
        <v>0.1</v>
      </c>
      <c r="F643" s="2027">
        <f t="shared" si="451"/>
        <v>0</v>
      </c>
      <c r="G643" s="1974" t="s">
        <v>2988</v>
      </c>
      <c r="H643" s="1974" t="s">
        <v>2988</v>
      </c>
      <c r="I643" s="2026">
        <v>0.9</v>
      </c>
      <c r="J643" s="2026">
        <v>0.9</v>
      </c>
      <c r="K643" s="2026">
        <v>0.9</v>
      </c>
      <c r="L643" s="2026">
        <v>0.9</v>
      </c>
      <c r="M643" s="2027">
        <f t="shared" si="426"/>
        <v>348.3</v>
      </c>
      <c r="N643" s="2027">
        <f t="shared" si="426"/>
        <v>348.3</v>
      </c>
      <c r="O643" s="2027">
        <f t="shared" si="426"/>
        <v>348.3</v>
      </c>
      <c r="P643" s="2027">
        <f t="shared" si="426"/>
        <v>348.3</v>
      </c>
      <c r="Q643" s="2026">
        <v>0.9</v>
      </c>
      <c r="R643" s="2026">
        <v>0.9</v>
      </c>
      <c r="S643" s="2026">
        <v>0.9</v>
      </c>
      <c r="T643" s="2026">
        <v>0.9</v>
      </c>
      <c r="U643" s="2028">
        <f t="shared" si="427"/>
        <v>9.0000000000000011E-2</v>
      </c>
      <c r="V643" s="2028">
        <f t="shared" si="427"/>
        <v>9.0000000000000011E-2</v>
      </c>
      <c r="W643" s="2028">
        <f t="shared" si="427"/>
        <v>9.0000000000000011E-2</v>
      </c>
      <c r="X643" s="2028">
        <f t="shared" si="427"/>
        <v>9.0000000000000011E-2</v>
      </c>
      <c r="Y643" s="2026">
        <v>0.9</v>
      </c>
      <c r="Z643" s="2026">
        <v>0.9</v>
      </c>
      <c r="AA643" s="2026">
        <v>0.9</v>
      </c>
      <c r="AB643" s="2026">
        <v>0.9</v>
      </c>
      <c r="AC643" s="2027">
        <f t="shared" si="428"/>
        <v>0</v>
      </c>
      <c r="AD643" s="2027">
        <f t="shared" si="428"/>
        <v>0</v>
      </c>
      <c r="AE643" s="2027">
        <f t="shared" si="428"/>
        <v>0</v>
      </c>
      <c r="AF643" s="2027">
        <f t="shared" si="428"/>
        <v>0</v>
      </c>
      <c r="AG643" s="2027">
        <v>0</v>
      </c>
      <c r="AH643" s="2028"/>
      <c r="AI643" s="2028"/>
      <c r="AJ643" s="2028"/>
      <c r="AK643" s="2027">
        <f t="shared" si="434"/>
        <v>0</v>
      </c>
      <c r="AL643" s="2027">
        <f t="shared" si="453"/>
        <v>0</v>
      </c>
      <c r="AM643" s="2027">
        <f t="shared" si="453"/>
        <v>0</v>
      </c>
      <c r="AN643" s="2027">
        <f t="shared" si="453"/>
        <v>0</v>
      </c>
      <c r="AO643" s="2027">
        <f t="shared" si="429"/>
        <v>0</v>
      </c>
      <c r="AP643" s="2027">
        <f t="shared" si="421"/>
        <v>0</v>
      </c>
      <c r="AQ643" s="2027">
        <f t="shared" si="421"/>
        <v>0</v>
      </c>
      <c r="AR643" s="2027">
        <f t="shared" si="421"/>
        <v>0</v>
      </c>
      <c r="AS643" s="2124">
        <f t="shared" si="450"/>
        <v>45</v>
      </c>
      <c r="AT643" s="2029">
        <f t="shared" si="422"/>
        <v>45</v>
      </c>
      <c r="AU643" s="2029">
        <f t="shared" si="422"/>
        <v>45</v>
      </c>
      <c r="AV643" s="2029">
        <f t="shared" si="422"/>
        <v>45</v>
      </c>
      <c r="AW643" s="2124">
        <f t="shared" si="452"/>
        <v>0</v>
      </c>
      <c r="AX643" s="2029">
        <f t="shared" si="440"/>
        <v>0</v>
      </c>
      <c r="AY643" s="2029">
        <f t="shared" si="440"/>
        <v>0</v>
      </c>
      <c r="AZ643" s="2029">
        <f t="shared" si="440"/>
        <v>0</v>
      </c>
      <c r="BA643" s="2124">
        <f t="shared" si="454"/>
        <v>80</v>
      </c>
      <c r="BB643" s="2029">
        <f t="shared" si="454"/>
        <v>80</v>
      </c>
      <c r="BC643" s="2029">
        <f t="shared" si="454"/>
        <v>80</v>
      </c>
      <c r="BD643" s="2029">
        <f t="shared" si="454"/>
        <v>80</v>
      </c>
      <c r="BE643" s="2030">
        <f t="shared" si="430"/>
        <v>0</v>
      </c>
      <c r="BF643" s="2030">
        <f t="shared" si="430"/>
        <v>0</v>
      </c>
      <c r="BG643" s="2030">
        <f t="shared" si="430"/>
        <v>0</v>
      </c>
      <c r="BH643" s="2030">
        <f t="shared" si="430"/>
        <v>0</v>
      </c>
      <c r="BI643" s="2030">
        <f t="shared" si="431"/>
        <v>0</v>
      </c>
      <c r="BJ643" s="2030">
        <f t="shared" si="431"/>
        <v>0</v>
      </c>
      <c r="BK643" s="2030">
        <f t="shared" si="431"/>
        <v>0</v>
      </c>
      <c r="BL643" s="2030">
        <f t="shared" si="431"/>
        <v>0</v>
      </c>
      <c r="BM643" s="2125"/>
      <c r="BN643" s="2125"/>
      <c r="BO643" s="2125"/>
      <c r="BP643" s="2125"/>
      <c r="BQ643" s="2125"/>
      <c r="BR643" s="2125"/>
      <c r="BS643" s="2125"/>
      <c r="BT643" s="2125"/>
      <c r="BU643" s="2029"/>
      <c r="BV643" s="2029"/>
      <c r="BW643" s="2029"/>
      <c r="BX643" s="2029"/>
      <c r="BY643" s="2029"/>
      <c r="BZ643" s="2032"/>
      <c r="CA643" s="1974">
        <f t="shared" ref="CA643:CE658" si="455">CA182</f>
        <v>0</v>
      </c>
      <c r="CB643" s="1974">
        <f t="shared" si="455"/>
        <v>0</v>
      </c>
      <c r="CC643" s="1974">
        <f t="shared" si="455"/>
        <v>0</v>
      </c>
      <c r="CD643" s="1974">
        <f t="shared" si="455"/>
        <v>0</v>
      </c>
      <c r="CE643" s="1974">
        <f t="shared" si="455"/>
        <v>0</v>
      </c>
      <c r="CF643" s="2033">
        <v>0</v>
      </c>
      <c r="CG643" s="2026">
        <v>0</v>
      </c>
      <c r="CH643" s="2009">
        <f t="shared" ref="CH643:CK658" si="456">CH182</f>
        <v>0</v>
      </c>
      <c r="CI643" s="2031">
        <f t="shared" si="456"/>
        <v>0</v>
      </c>
      <c r="CJ643" s="1974">
        <f t="shared" si="456"/>
        <v>0</v>
      </c>
      <c r="CK643" s="2031">
        <f t="shared" si="456"/>
        <v>0</v>
      </c>
      <c r="CL643" s="2026">
        <v>1</v>
      </c>
      <c r="CM643" s="2026">
        <v>1</v>
      </c>
      <c r="CN643" s="2026">
        <v>1</v>
      </c>
      <c r="CO643" s="2026">
        <v>1</v>
      </c>
      <c r="CP643" s="2035"/>
      <c r="CQ643" s="2036"/>
      <c r="CR643" s="2036"/>
      <c r="CS643" s="2036"/>
      <c r="CT643" s="2036"/>
      <c r="CU643" s="2036"/>
      <c r="CV643" s="1973">
        <v>1</v>
      </c>
      <c r="CW643" s="1973">
        <v>0</v>
      </c>
      <c r="CX643" s="2037">
        <v>45</v>
      </c>
      <c r="CY643" s="2037">
        <v>45</v>
      </c>
      <c r="CZ643" s="2037">
        <v>45</v>
      </c>
      <c r="DA643" s="2037">
        <v>45</v>
      </c>
      <c r="DJ643" s="1976">
        <v>45</v>
      </c>
      <c r="DK643" s="1973">
        <v>45</v>
      </c>
      <c r="DL643" s="1973">
        <v>45</v>
      </c>
      <c r="DM643" s="1973">
        <v>45</v>
      </c>
      <c r="DO643" s="2027">
        <v>5</v>
      </c>
      <c r="DP643" s="2144">
        <v>387</v>
      </c>
      <c r="DQ643" s="2145">
        <v>0.1</v>
      </c>
      <c r="DR643" s="2027">
        <v>0</v>
      </c>
      <c r="DS643" s="2124">
        <v>45</v>
      </c>
      <c r="DT643" s="2029">
        <v>45</v>
      </c>
      <c r="DU643" s="2029">
        <v>45</v>
      </c>
      <c r="DV643" s="2029">
        <v>45</v>
      </c>
      <c r="DW643" s="2124">
        <v>0</v>
      </c>
      <c r="DX643" s="2029">
        <v>0</v>
      </c>
      <c r="DY643" s="2029">
        <v>0</v>
      </c>
      <c r="DZ643" s="2029">
        <v>0</v>
      </c>
      <c r="EA643" s="2124">
        <v>80</v>
      </c>
      <c r="EB643" s="2029">
        <v>80</v>
      </c>
      <c r="EC643" s="2029">
        <v>80</v>
      </c>
      <c r="ED643" s="2029">
        <v>80</v>
      </c>
      <c r="EE643" s="2039">
        <f t="shared" si="412"/>
        <v>0</v>
      </c>
      <c r="EF643" s="2039">
        <f t="shared" si="412"/>
        <v>0</v>
      </c>
      <c r="EG643" s="2039">
        <f t="shared" si="412"/>
        <v>0</v>
      </c>
      <c r="EH643" s="2039">
        <f t="shared" si="412"/>
        <v>0</v>
      </c>
      <c r="EI643" s="2040">
        <f t="shared" si="437"/>
        <v>0</v>
      </c>
      <c r="EJ643" s="2040">
        <f t="shared" si="437"/>
        <v>0</v>
      </c>
      <c r="EK643" s="2040">
        <f t="shared" si="437"/>
        <v>0</v>
      </c>
      <c r="EL643" s="2040">
        <f t="shared" si="437"/>
        <v>0</v>
      </c>
      <c r="EM643" s="2040">
        <f t="shared" si="437"/>
        <v>0</v>
      </c>
      <c r="EN643" s="2040">
        <f t="shared" si="437"/>
        <v>0</v>
      </c>
      <c r="EO643" s="2040">
        <f t="shared" si="417"/>
        <v>0</v>
      </c>
      <c r="EP643" s="2040">
        <f t="shared" si="417"/>
        <v>0</v>
      </c>
      <c r="EQ643" s="2040">
        <f t="shared" si="417"/>
        <v>0</v>
      </c>
      <c r="ER643" s="2040">
        <f t="shared" si="417"/>
        <v>0</v>
      </c>
      <c r="ES643" s="2040">
        <f t="shared" si="417"/>
        <v>0</v>
      </c>
      <c r="ET643" s="2040">
        <f t="shared" si="417"/>
        <v>0</v>
      </c>
      <c r="EU643" s="2039">
        <f t="shared" si="413"/>
        <v>0</v>
      </c>
      <c r="EV643" s="2039">
        <f t="shared" si="414"/>
        <v>0</v>
      </c>
    </row>
    <row r="644" spans="1:152" x14ac:dyDescent="0.25">
      <c r="A644" s="2150" t="s">
        <v>193</v>
      </c>
      <c r="B644" s="1974" t="str">
        <f t="shared" si="438"/>
        <v>BPH1</v>
      </c>
      <c r="C644" s="2027">
        <f t="shared" si="451"/>
        <v>3</v>
      </c>
      <c r="D644" s="2144">
        <f t="shared" si="451"/>
        <v>0</v>
      </c>
      <c r="E644" s="2145">
        <f t="shared" si="451"/>
        <v>0</v>
      </c>
      <c r="F644" s="2027">
        <f t="shared" si="451"/>
        <v>1596.992328311999</v>
      </c>
      <c r="G644" s="1974" t="s">
        <v>2988</v>
      </c>
      <c r="H644" s="1974" t="s">
        <v>2988</v>
      </c>
      <c r="I644" s="2026">
        <v>0.9</v>
      </c>
      <c r="J644" s="2026">
        <v>0.9</v>
      </c>
      <c r="K644" s="2026">
        <v>0.9</v>
      </c>
      <c r="L644" s="2026">
        <v>0.9</v>
      </c>
      <c r="M644" s="2027">
        <f t="shared" si="426"/>
        <v>0</v>
      </c>
      <c r="N644" s="2027">
        <f t="shared" si="426"/>
        <v>0</v>
      </c>
      <c r="O644" s="2027">
        <f t="shared" si="426"/>
        <v>0</v>
      </c>
      <c r="P644" s="2027">
        <f t="shared" si="426"/>
        <v>0</v>
      </c>
      <c r="Q644" s="2026">
        <v>0.9</v>
      </c>
      <c r="R644" s="2026">
        <v>0.9</v>
      </c>
      <c r="S644" s="2026">
        <v>0.9</v>
      </c>
      <c r="T644" s="2026">
        <v>0.9</v>
      </c>
      <c r="U644" s="2028">
        <f t="shared" si="427"/>
        <v>0</v>
      </c>
      <c r="V644" s="2028">
        <f t="shared" si="427"/>
        <v>0</v>
      </c>
      <c r="W644" s="2028">
        <f t="shared" si="427"/>
        <v>0</v>
      </c>
      <c r="X644" s="2028">
        <f t="shared" si="427"/>
        <v>0</v>
      </c>
      <c r="Y644" s="2026">
        <v>0.9</v>
      </c>
      <c r="Z644" s="2026">
        <v>0.9</v>
      </c>
      <c r="AA644" s="2026">
        <v>0.9</v>
      </c>
      <c r="AB644" s="2026">
        <v>0.9</v>
      </c>
      <c r="AC644" s="2027">
        <f t="shared" si="428"/>
        <v>1437.2930954807991</v>
      </c>
      <c r="AD644" s="2027">
        <f t="shared" si="428"/>
        <v>1437.2930954807991</v>
      </c>
      <c r="AE644" s="2027">
        <f t="shared" si="428"/>
        <v>1437.2930954807991</v>
      </c>
      <c r="AF644" s="2027">
        <f t="shared" si="428"/>
        <v>1437.2930954807991</v>
      </c>
      <c r="AG644" s="2027">
        <v>36</v>
      </c>
      <c r="AH644" s="2027">
        <v>32</v>
      </c>
      <c r="AI644" s="2027">
        <v>32</v>
      </c>
      <c r="AJ644" s="2027">
        <v>32</v>
      </c>
      <c r="AK644" s="2027">
        <f t="shared" si="434"/>
        <v>0</v>
      </c>
      <c r="AL644" s="2027">
        <f t="shared" si="453"/>
        <v>0</v>
      </c>
      <c r="AM644" s="2027">
        <f t="shared" si="453"/>
        <v>0</v>
      </c>
      <c r="AN644" s="2027">
        <f t="shared" si="453"/>
        <v>0</v>
      </c>
      <c r="AO644" s="2027">
        <f t="shared" si="429"/>
        <v>51742.551437308772</v>
      </c>
      <c r="AP644" s="2027">
        <f t="shared" si="421"/>
        <v>45993.379055385572</v>
      </c>
      <c r="AQ644" s="2027">
        <f t="shared" si="421"/>
        <v>45993.379055385572</v>
      </c>
      <c r="AR644" s="2027">
        <f t="shared" si="421"/>
        <v>45993.379055385572</v>
      </c>
      <c r="AS644" s="2124">
        <f t="shared" ref="AS644:AS655" si="457">AS183*1</f>
        <v>0</v>
      </c>
      <c r="AT644" s="2029">
        <f t="shared" si="422"/>
        <v>0</v>
      </c>
      <c r="AU644" s="2029">
        <f t="shared" si="422"/>
        <v>0</v>
      </c>
      <c r="AV644" s="2029">
        <f t="shared" si="422"/>
        <v>0</v>
      </c>
      <c r="AW644" s="2124">
        <v>873.81221999999991</v>
      </c>
      <c r="AX644" s="2029">
        <f t="shared" si="440"/>
        <v>873.81221999999991</v>
      </c>
      <c r="AY644" s="2029">
        <f t="shared" si="440"/>
        <v>873.81221999999991</v>
      </c>
      <c r="AZ644" s="2029">
        <f t="shared" si="440"/>
        <v>873.81221999999991</v>
      </c>
      <c r="BA644" s="2124">
        <v>604.39252080000006</v>
      </c>
      <c r="BB644" s="2029">
        <f>$BA644</f>
        <v>604.39252080000006</v>
      </c>
      <c r="BC644" s="2029">
        <f t="shared" ref="BC644:BD644" si="458">$BA644</f>
        <v>604.39252080000006</v>
      </c>
      <c r="BD644" s="2029">
        <f t="shared" si="458"/>
        <v>604.39252080000006</v>
      </c>
      <c r="BE644" s="2030">
        <f t="shared" si="430"/>
        <v>0</v>
      </c>
      <c r="BF644" s="2030">
        <f t="shared" si="430"/>
        <v>0</v>
      </c>
      <c r="BG644" s="2030">
        <f t="shared" si="430"/>
        <v>0</v>
      </c>
      <c r="BH644" s="2030">
        <f t="shared" si="430"/>
        <v>0</v>
      </c>
      <c r="BI644" s="2030">
        <f t="shared" si="431"/>
        <v>31457.239919999996</v>
      </c>
      <c r="BJ644" s="2030">
        <f t="shared" si="431"/>
        <v>27961.991039999997</v>
      </c>
      <c r="BK644" s="2030">
        <f t="shared" si="431"/>
        <v>27961.991039999997</v>
      </c>
      <c r="BL644" s="2030">
        <f t="shared" si="431"/>
        <v>27961.991039999997</v>
      </c>
      <c r="BM644" s="2125"/>
      <c r="BN644" s="2125"/>
      <c r="BO644" s="2125"/>
      <c r="BP644" s="2125"/>
      <c r="BQ644" s="2125"/>
      <c r="BR644" s="2125"/>
      <c r="BS644" s="2125"/>
      <c r="BT644" s="2125"/>
      <c r="BU644" s="2029"/>
      <c r="BV644" s="2029"/>
      <c r="BW644" s="2029"/>
      <c r="BX644" s="2029"/>
      <c r="BY644" s="2029"/>
      <c r="BZ644" s="2032"/>
      <c r="CA644" s="1974">
        <f t="shared" si="455"/>
        <v>0</v>
      </c>
      <c r="CB644" s="1974">
        <f t="shared" si="455"/>
        <v>0</v>
      </c>
      <c r="CC644" s="1974">
        <f t="shared" si="455"/>
        <v>0</v>
      </c>
      <c r="CD644" s="1974">
        <f t="shared" si="455"/>
        <v>0</v>
      </c>
      <c r="CE644" s="1974">
        <f t="shared" si="455"/>
        <v>0</v>
      </c>
      <c r="CF644" s="2033">
        <v>0</v>
      </c>
      <c r="CG644" s="2026">
        <v>1.9304133328571296E-2</v>
      </c>
      <c r="CH644" s="2009">
        <f t="shared" si="456"/>
        <v>0</v>
      </c>
      <c r="CI644" s="2031">
        <f t="shared" si="456"/>
        <v>0</v>
      </c>
      <c r="CJ644" s="1974">
        <f t="shared" si="456"/>
        <v>0</v>
      </c>
      <c r="CK644" s="2031">
        <f t="shared" si="456"/>
        <v>0</v>
      </c>
      <c r="CL644" s="2026">
        <v>1</v>
      </c>
      <c r="CM644" s="2026">
        <v>1</v>
      </c>
      <c r="CN644" s="2026">
        <v>1</v>
      </c>
      <c r="CO644" s="2026">
        <v>1</v>
      </c>
      <c r="CP644" s="2035"/>
      <c r="CQ644" s="2036"/>
      <c r="CR644" s="2036"/>
      <c r="CS644" s="2036"/>
      <c r="CT644" s="2036"/>
      <c r="CU644" s="2036"/>
      <c r="CV644" s="1973">
        <v>1</v>
      </c>
      <c r="CW644" s="1973">
        <v>0</v>
      </c>
      <c r="CX644" s="2037">
        <v>873.81692307692299</v>
      </c>
      <c r="CY644" s="2037">
        <v>873.81692307692299</v>
      </c>
      <c r="CZ644" s="2037">
        <v>873.81692307692299</v>
      </c>
      <c r="DA644" s="2037">
        <v>873.81692307692299</v>
      </c>
      <c r="DJ644" s="1976">
        <v>0</v>
      </c>
      <c r="DK644" s="1973">
        <v>0</v>
      </c>
      <c r="DL644" s="1973">
        <v>0</v>
      </c>
      <c r="DM644" s="1973">
        <v>0</v>
      </c>
      <c r="DO644" s="2027">
        <v>3</v>
      </c>
      <c r="DP644" s="2144">
        <v>0</v>
      </c>
      <c r="DQ644" s="2145">
        <v>0</v>
      </c>
      <c r="DR644" s="2027">
        <v>1596.992328311999</v>
      </c>
      <c r="DS644" s="2124">
        <v>0</v>
      </c>
      <c r="DT644" s="2029">
        <v>0</v>
      </c>
      <c r="DU644" s="2029">
        <v>0</v>
      </c>
      <c r="DV644" s="2029">
        <v>0</v>
      </c>
      <c r="DW644" s="2124">
        <v>873.81692307692299</v>
      </c>
      <c r="DX644" s="2029">
        <v>873.81692307692299</v>
      </c>
      <c r="DY644" s="2029">
        <v>873.81692307692299</v>
      </c>
      <c r="DZ644" s="2029">
        <v>873.81692307692299</v>
      </c>
      <c r="EA644" s="2124">
        <v>604.39003846153832</v>
      </c>
      <c r="EB644" s="2029">
        <v>604.39003846153832</v>
      </c>
      <c r="EC644" s="2029">
        <v>604.39003846153832</v>
      </c>
      <c r="ED644" s="2029">
        <v>604.39003846153832</v>
      </c>
      <c r="EE644" s="2039">
        <f t="shared" si="412"/>
        <v>0</v>
      </c>
      <c r="EF644" s="2039">
        <f t="shared" si="412"/>
        <v>0</v>
      </c>
      <c r="EG644" s="2039">
        <f t="shared" si="412"/>
        <v>0</v>
      </c>
      <c r="EH644" s="2039">
        <f t="shared" si="412"/>
        <v>0</v>
      </c>
      <c r="EI644" s="2040">
        <f t="shared" si="437"/>
        <v>0</v>
      </c>
      <c r="EJ644" s="2040">
        <f t="shared" si="437"/>
        <v>0</v>
      </c>
      <c r="EK644" s="2040">
        <f t="shared" si="437"/>
        <v>0</v>
      </c>
      <c r="EL644" s="2040">
        <f t="shared" si="437"/>
        <v>0</v>
      </c>
      <c r="EM644" s="2040">
        <f t="shared" si="437"/>
        <v>-4.7030769230786973E-3</v>
      </c>
      <c r="EN644" s="2040">
        <f t="shared" si="437"/>
        <v>-4.7030769230786973E-3</v>
      </c>
      <c r="EO644" s="2040">
        <f t="shared" si="417"/>
        <v>-4.7030769230786973E-3</v>
      </c>
      <c r="EP644" s="2040">
        <f t="shared" si="417"/>
        <v>-4.7030769230786973E-3</v>
      </c>
      <c r="EQ644" s="2040">
        <f t="shared" si="417"/>
        <v>2.4823384617320698E-3</v>
      </c>
      <c r="ER644" s="2040">
        <f t="shared" si="417"/>
        <v>2.4823384617320698E-3</v>
      </c>
      <c r="ES644" s="2040">
        <f t="shared" si="417"/>
        <v>2.4823384617320698E-3</v>
      </c>
      <c r="ET644" s="2040">
        <f t="shared" si="417"/>
        <v>2.4823384617320698E-3</v>
      </c>
      <c r="EU644" s="2039">
        <f t="shared" si="413"/>
        <v>-8.8829538453865098E-3</v>
      </c>
      <c r="EV644" s="2039">
        <f t="shared" si="414"/>
        <v>0</v>
      </c>
    </row>
    <row r="645" spans="1:152" x14ac:dyDescent="0.25">
      <c r="A645" s="2149" t="s">
        <v>265</v>
      </c>
      <c r="B645" s="1974" t="str">
        <f t="shared" si="438"/>
        <v>BPH3</v>
      </c>
      <c r="C645" s="2027">
        <f t="shared" ref="C645:F658" si="459">C184</f>
        <v>20</v>
      </c>
      <c r="D645" s="2144">
        <f t="shared" si="459"/>
        <v>0</v>
      </c>
      <c r="E645" s="2145">
        <f t="shared" si="459"/>
        <v>0</v>
      </c>
      <c r="F645" s="2027">
        <f t="shared" si="459"/>
        <v>358.38875000000002</v>
      </c>
      <c r="G645" s="1974" t="s">
        <v>2988</v>
      </c>
      <c r="H645" s="1974" t="s">
        <v>2988</v>
      </c>
      <c r="I645" s="2026">
        <v>0.9</v>
      </c>
      <c r="J645" s="2026">
        <v>0.9</v>
      </c>
      <c r="K645" s="2026">
        <v>0.9</v>
      </c>
      <c r="L645" s="2026">
        <v>0.9</v>
      </c>
      <c r="M645" s="2027">
        <f t="shared" si="426"/>
        <v>0</v>
      </c>
      <c r="N645" s="2027">
        <f t="shared" si="426"/>
        <v>0</v>
      </c>
      <c r="O645" s="2027">
        <f t="shared" si="426"/>
        <v>0</v>
      </c>
      <c r="P645" s="2027">
        <f t="shared" si="426"/>
        <v>0</v>
      </c>
      <c r="Q645" s="2026">
        <v>0.9</v>
      </c>
      <c r="R645" s="2026">
        <v>0.9</v>
      </c>
      <c r="S645" s="2026">
        <v>0.9</v>
      </c>
      <c r="T645" s="2026">
        <v>0.9</v>
      </c>
      <c r="U645" s="2028">
        <f t="shared" si="427"/>
        <v>0</v>
      </c>
      <c r="V645" s="2028">
        <f t="shared" si="427"/>
        <v>0</v>
      </c>
      <c r="W645" s="2028">
        <f t="shared" si="427"/>
        <v>0</v>
      </c>
      <c r="X645" s="2028">
        <f t="shared" si="427"/>
        <v>0</v>
      </c>
      <c r="Y645" s="2026">
        <v>0.9</v>
      </c>
      <c r="Z645" s="2026">
        <v>0.9</v>
      </c>
      <c r="AA645" s="2026">
        <v>0.9</v>
      </c>
      <c r="AB645" s="2026">
        <v>0.9</v>
      </c>
      <c r="AC645" s="2027">
        <f t="shared" si="428"/>
        <v>322.54987500000004</v>
      </c>
      <c r="AD645" s="2027">
        <f t="shared" si="428"/>
        <v>322.54987500000004</v>
      </c>
      <c r="AE645" s="2027">
        <f t="shared" si="428"/>
        <v>322.54987500000004</v>
      </c>
      <c r="AF645" s="2027">
        <f t="shared" si="428"/>
        <v>322.54987500000004</v>
      </c>
      <c r="AG645" s="2027">
        <v>0</v>
      </c>
      <c r="AH645" s="2028"/>
      <c r="AI645" s="2028"/>
      <c r="AJ645" s="2028"/>
      <c r="AK645" s="2027">
        <f t="shared" si="434"/>
        <v>0</v>
      </c>
      <c r="AL645" s="2027">
        <f t="shared" si="453"/>
        <v>0</v>
      </c>
      <c r="AM645" s="2027">
        <f t="shared" si="453"/>
        <v>0</v>
      </c>
      <c r="AN645" s="2027">
        <f t="shared" si="453"/>
        <v>0</v>
      </c>
      <c r="AO645" s="2027">
        <f t="shared" si="429"/>
        <v>0</v>
      </c>
      <c r="AP645" s="2027">
        <f t="shared" si="421"/>
        <v>0</v>
      </c>
      <c r="AQ645" s="2027">
        <f t="shared" si="421"/>
        <v>0</v>
      </c>
      <c r="AR645" s="2027">
        <f t="shared" si="421"/>
        <v>0</v>
      </c>
      <c r="AS645" s="2124">
        <f t="shared" si="457"/>
        <v>0</v>
      </c>
      <c r="AT645" s="2029">
        <f t="shared" si="422"/>
        <v>0</v>
      </c>
      <c r="AU645" s="2029">
        <f t="shared" si="422"/>
        <v>0</v>
      </c>
      <c r="AV645" s="2029">
        <f t="shared" si="422"/>
        <v>0</v>
      </c>
      <c r="AW645" s="2124">
        <f t="shared" ref="AW645:AW658" si="460">AW184*1</f>
        <v>510</v>
      </c>
      <c r="AX645" s="2029">
        <f t="shared" si="440"/>
        <v>510</v>
      </c>
      <c r="AY645" s="2029">
        <f t="shared" si="440"/>
        <v>510</v>
      </c>
      <c r="AZ645" s="2029">
        <f t="shared" si="440"/>
        <v>510</v>
      </c>
      <c r="BA645" s="2124">
        <f t="shared" si="454"/>
        <v>1470</v>
      </c>
      <c r="BB645" s="2029">
        <f t="shared" si="454"/>
        <v>1470</v>
      </c>
      <c r="BC645" s="2029">
        <f t="shared" si="454"/>
        <v>1470</v>
      </c>
      <c r="BD645" s="2029">
        <f t="shared" si="454"/>
        <v>1470</v>
      </c>
      <c r="BE645" s="2030">
        <f t="shared" si="430"/>
        <v>0</v>
      </c>
      <c r="BF645" s="2030">
        <f t="shared" si="430"/>
        <v>0</v>
      </c>
      <c r="BG645" s="2030">
        <f t="shared" si="430"/>
        <v>0</v>
      </c>
      <c r="BH645" s="2030">
        <f t="shared" si="430"/>
        <v>0</v>
      </c>
      <c r="BI645" s="2030">
        <f t="shared" si="431"/>
        <v>0</v>
      </c>
      <c r="BJ645" s="2030">
        <f t="shared" si="431"/>
        <v>0</v>
      </c>
      <c r="BK645" s="2030">
        <f t="shared" si="431"/>
        <v>0</v>
      </c>
      <c r="BL645" s="2030">
        <f t="shared" si="431"/>
        <v>0</v>
      </c>
      <c r="BM645" s="2125"/>
      <c r="BN645" s="2125"/>
      <c r="BO645" s="2125"/>
      <c r="BP645" s="2125"/>
      <c r="BQ645" s="2125"/>
      <c r="BR645" s="2125"/>
      <c r="BS645" s="2125"/>
      <c r="BT645" s="2125"/>
      <c r="BU645" s="2029"/>
      <c r="BV645" s="2029"/>
      <c r="BW645" s="2029"/>
      <c r="BX645" s="2029"/>
      <c r="BY645" s="2029"/>
      <c r="BZ645" s="2032"/>
      <c r="CA645" s="1974">
        <f t="shared" si="455"/>
        <v>0</v>
      </c>
      <c r="CB645" s="1974">
        <f t="shared" si="455"/>
        <v>0</v>
      </c>
      <c r="CC645" s="1974">
        <f t="shared" si="455"/>
        <v>0</v>
      </c>
      <c r="CD645" s="1974">
        <f t="shared" si="455"/>
        <v>0</v>
      </c>
      <c r="CE645" s="1974">
        <f t="shared" si="455"/>
        <v>0</v>
      </c>
      <c r="CF645" s="2033">
        <v>0</v>
      </c>
      <c r="CG645" s="2026">
        <v>0</v>
      </c>
      <c r="CH645" s="2009">
        <f t="shared" si="456"/>
        <v>0</v>
      </c>
      <c r="CI645" s="2031">
        <f t="shared" si="456"/>
        <v>0</v>
      </c>
      <c r="CJ645" s="1974">
        <f t="shared" si="456"/>
        <v>0</v>
      </c>
      <c r="CK645" s="2031">
        <f t="shared" si="456"/>
        <v>0</v>
      </c>
      <c r="CL645" s="2026">
        <v>1</v>
      </c>
      <c r="CM645" s="2026">
        <v>1</v>
      </c>
      <c r="CN645" s="2026">
        <v>1</v>
      </c>
      <c r="CO645" s="2026">
        <v>1</v>
      </c>
      <c r="CP645" s="2035"/>
      <c r="CQ645" s="2036"/>
      <c r="CR645" s="2036"/>
      <c r="CS645" s="2036"/>
      <c r="CT645" s="2036"/>
      <c r="CU645" s="2036"/>
      <c r="CV645" s="1973">
        <v>1</v>
      </c>
      <c r="CW645" s="1973">
        <v>0</v>
      </c>
      <c r="CX645" s="2037">
        <v>510</v>
      </c>
      <c r="CY645" s="2037">
        <v>510</v>
      </c>
      <c r="CZ645" s="2037">
        <v>510</v>
      </c>
      <c r="DA645" s="2037">
        <v>510</v>
      </c>
      <c r="DJ645" s="1976">
        <v>0</v>
      </c>
      <c r="DK645" s="1973">
        <v>0</v>
      </c>
      <c r="DL645" s="1973">
        <v>0</v>
      </c>
      <c r="DM645" s="1973">
        <v>0</v>
      </c>
      <c r="DO645" s="2027">
        <v>20</v>
      </c>
      <c r="DP645" s="2144">
        <v>0</v>
      </c>
      <c r="DQ645" s="2145">
        <v>0</v>
      </c>
      <c r="DR645" s="2027">
        <v>358.38875000000002</v>
      </c>
      <c r="DS645" s="2124">
        <v>0</v>
      </c>
      <c r="DT645" s="2029">
        <v>0</v>
      </c>
      <c r="DU645" s="2029">
        <v>0</v>
      </c>
      <c r="DV645" s="2029">
        <v>0</v>
      </c>
      <c r="DW645" s="2124">
        <v>510</v>
      </c>
      <c r="DX645" s="2029">
        <v>510</v>
      </c>
      <c r="DY645" s="2029">
        <v>510</v>
      </c>
      <c r="DZ645" s="2029">
        <v>510</v>
      </c>
      <c r="EA645" s="2124">
        <v>1470</v>
      </c>
      <c r="EB645" s="2029">
        <v>1470</v>
      </c>
      <c r="EC645" s="2029">
        <v>1470</v>
      </c>
      <c r="ED645" s="2029">
        <v>1470</v>
      </c>
      <c r="EE645" s="2039">
        <f t="shared" si="412"/>
        <v>0</v>
      </c>
      <c r="EF645" s="2039">
        <f t="shared" si="412"/>
        <v>0</v>
      </c>
      <c r="EG645" s="2039">
        <f t="shared" si="412"/>
        <v>0</v>
      </c>
      <c r="EH645" s="2039">
        <f t="shared" si="412"/>
        <v>0</v>
      </c>
      <c r="EI645" s="2040">
        <f t="shared" si="437"/>
        <v>0</v>
      </c>
      <c r="EJ645" s="2040">
        <f t="shared" si="437"/>
        <v>0</v>
      </c>
      <c r="EK645" s="2040">
        <f t="shared" si="437"/>
        <v>0</v>
      </c>
      <c r="EL645" s="2040">
        <f t="shared" si="437"/>
        <v>0</v>
      </c>
      <c r="EM645" s="2040">
        <f t="shared" si="437"/>
        <v>0</v>
      </c>
      <c r="EN645" s="2040">
        <f t="shared" si="437"/>
        <v>0</v>
      </c>
      <c r="EO645" s="2040">
        <f t="shared" si="417"/>
        <v>0</v>
      </c>
      <c r="EP645" s="2040">
        <f t="shared" si="417"/>
        <v>0</v>
      </c>
      <c r="EQ645" s="2040">
        <f t="shared" si="417"/>
        <v>0</v>
      </c>
      <c r="ER645" s="2040">
        <f t="shared" si="417"/>
        <v>0</v>
      </c>
      <c r="ES645" s="2040">
        <f t="shared" si="417"/>
        <v>0</v>
      </c>
      <c r="ET645" s="2040">
        <f t="shared" si="417"/>
        <v>0</v>
      </c>
      <c r="EU645" s="2039">
        <f t="shared" si="413"/>
        <v>0</v>
      </c>
      <c r="EV645" s="2039">
        <f t="shared" si="414"/>
        <v>0</v>
      </c>
    </row>
    <row r="646" spans="1:152" x14ac:dyDescent="0.25">
      <c r="A646" s="2150" t="s">
        <v>194</v>
      </c>
      <c r="B646" s="1974" t="str">
        <f t="shared" si="438"/>
        <v>BPH4</v>
      </c>
      <c r="C646" s="2027">
        <f t="shared" si="459"/>
        <v>20</v>
      </c>
      <c r="D646" s="2144">
        <f t="shared" si="459"/>
        <v>0</v>
      </c>
      <c r="E646" s="2145">
        <f t="shared" si="459"/>
        <v>0</v>
      </c>
      <c r="F646" s="2027">
        <f t="shared" si="459"/>
        <v>1071.5740261700303</v>
      </c>
      <c r="G646" s="1974" t="s">
        <v>2988</v>
      </c>
      <c r="H646" s="1974" t="s">
        <v>2988</v>
      </c>
      <c r="I646" s="2026">
        <v>0.9</v>
      </c>
      <c r="J646" s="2026">
        <v>0.9</v>
      </c>
      <c r="K646" s="2026">
        <v>0.9</v>
      </c>
      <c r="L646" s="2026">
        <v>0.9</v>
      </c>
      <c r="M646" s="2027">
        <f t="shared" si="426"/>
        <v>0</v>
      </c>
      <c r="N646" s="2027">
        <f t="shared" si="426"/>
        <v>0</v>
      </c>
      <c r="O646" s="2027">
        <f t="shared" si="426"/>
        <v>0</v>
      </c>
      <c r="P646" s="2027">
        <f t="shared" si="426"/>
        <v>0</v>
      </c>
      <c r="Q646" s="2026">
        <v>0.9</v>
      </c>
      <c r="R646" s="2026">
        <v>0.9</v>
      </c>
      <c r="S646" s="2026">
        <v>0.9</v>
      </c>
      <c r="T646" s="2026">
        <v>0.9</v>
      </c>
      <c r="U646" s="2028">
        <f t="shared" si="427"/>
        <v>0</v>
      </c>
      <c r="V646" s="2028">
        <f t="shared" si="427"/>
        <v>0</v>
      </c>
      <c r="W646" s="2028">
        <f t="shared" si="427"/>
        <v>0</v>
      </c>
      <c r="X646" s="2028">
        <f t="shared" si="427"/>
        <v>0</v>
      </c>
      <c r="Y646" s="2026">
        <v>0.9</v>
      </c>
      <c r="Z646" s="2026">
        <v>0.9</v>
      </c>
      <c r="AA646" s="2026">
        <v>0.9</v>
      </c>
      <c r="AB646" s="2026">
        <v>0.9</v>
      </c>
      <c r="AC646" s="2027">
        <f t="shared" si="428"/>
        <v>964.41662355302731</v>
      </c>
      <c r="AD646" s="2027">
        <f t="shared" si="428"/>
        <v>964.41662355302731</v>
      </c>
      <c r="AE646" s="2027">
        <f t="shared" si="428"/>
        <v>964.41662355302731</v>
      </c>
      <c r="AF646" s="2027">
        <f t="shared" si="428"/>
        <v>964.41662355302731</v>
      </c>
      <c r="AG646" s="2027">
        <v>22</v>
      </c>
      <c r="AH646" s="2028">
        <v>20</v>
      </c>
      <c r="AI646" s="2028">
        <v>20</v>
      </c>
      <c r="AJ646" s="2028">
        <v>20</v>
      </c>
      <c r="AK646" s="2027">
        <f t="shared" si="434"/>
        <v>0</v>
      </c>
      <c r="AL646" s="2027">
        <f t="shared" si="453"/>
        <v>0</v>
      </c>
      <c r="AM646" s="2027">
        <f t="shared" si="453"/>
        <v>0</v>
      </c>
      <c r="AN646" s="2027">
        <f t="shared" si="453"/>
        <v>0</v>
      </c>
      <c r="AO646" s="2027">
        <f t="shared" si="429"/>
        <v>21217.165718166601</v>
      </c>
      <c r="AP646" s="2027">
        <f t="shared" si="421"/>
        <v>19288.332471060545</v>
      </c>
      <c r="AQ646" s="2027">
        <f t="shared" si="421"/>
        <v>19288.332471060545</v>
      </c>
      <c r="AR646" s="2027">
        <f t="shared" si="421"/>
        <v>19288.332471060545</v>
      </c>
      <c r="AS646" s="2124">
        <f t="shared" si="457"/>
        <v>0</v>
      </c>
      <c r="AT646" s="2029">
        <f t="shared" si="422"/>
        <v>0</v>
      </c>
      <c r="AU646" s="2029">
        <f t="shared" si="422"/>
        <v>0</v>
      </c>
      <c r="AV646" s="2029">
        <f t="shared" si="422"/>
        <v>0</v>
      </c>
      <c r="AW646" s="2124">
        <v>2284.3137254902003</v>
      </c>
      <c r="AX646" s="2029">
        <f t="shared" si="440"/>
        <v>2284.3137254902003</v>
      </c>
      <c r="AY646" s="2029">
        <f t="shared" si="440"/>
        <v>2284.3137254902003</v>
      </c>
      <c r="AZ646" s="2029">
        <f t="shared" si="440"/>
        <v>2284.3137254902003</v>
      </c>
      <c r="BA646" s="2124">
        <v>2799.4117647058802</v>
      </c>
      <c r="BB646" s="2029">
        <f>$BA646</f>
        <v>2799.4117647058802</v>
      </c>
      <c r="BC646" s="2029">
        <f t="shared" ref="BC646:BD646" si="461">$BA646</f>
        <v>2799.4117647058802</v>
      </c>
      <c r="BD646" s="2029">
        <f t="shared" si="461"/>
        <v>2799.4117647058802</v>
      </c>
      <c r="BE646" s="2030">
        <f t="shared" si="430"/>
        <v>0</v>
      </c>
      <c r="BF646" s="2030">
        <f t="shared" si="430"/>
        <v>0</v>
      </c>
      <c r="BG646" s="2030">
        <f t="shared" si="430"/>
        <v>0</v>
      </c>
      <c r="BH646" s="2030">
        <f t="shared" si="430"/>
        <v>0</v>
      </c>
      <c r="BI646" s="2030">
        <f t="shared" si="431"/>
        <v>50254.901960784409</v>
      </c>
      <c r="BJ646" s="2030">
        <f t="shared" si="431"/>
        <v>45686.274509804003</v>
      </c>
      <c r="BK646" s="2030">
        <f t="shared" si="431"/>
        <v>45686.274509804003</v>
      </c>
      <c r="BL646" s="2030">
        <f t="shared" si="431"/>
        <v>45686.274509804003</v>
      </c>
      <c r="BM646" s="2125"/>
      <c r="BN646" s="2125"/>
      <c r="BO646" s="2125"/>
      <c r="BP646" s="2125"/>
      <c r="BQ646" s="2125"/>
      <c r="BR646" s="2125"/>
      <c r="BS646" s="2125"/>
      <c r="BT646" s="2125"/>
      <c r="BU646" s="2029"/>
      <c r="BV646" s="2029"/>
      <c r="BW646" s="2029"/>
      <c r="BX646" s="2029"/>
      <c r="BY646" s="2029"/>
      <c r="BZ646" s="2032"/>
      <c r="CA646" s="1974">
        <f t="shared" si="455"/>
        <v>0</v>
      </c>
      <c r="CB646" s="1974">
        <f t="shared" si="455"/>
        <v>0</v>
      </c>
      <c r="CC646" s="1974">
        <f t="shared" si="455"/>
        <v>0</v>
      </c>
      <c r="CD646" s="1974">
        <f t="shared" si="455"/>
        <v>0</v>
      </c>
      <c r="CE646" s="1974">
        <f t="shared" si="455"/>
        <v>0</v>
      </c>
      <c r="CF646" s="2033">
        <v>0</v>
      </c>
      <c r="CG646" s="2026">
        <v>4.1534677755747512E-3</v>
      </c>
      <c r="CH646" s="2009">
        <f t="shared" si="456"/>
        <v>0</v>
      </c>
      <c r="CI646" s="2031">
        <f t="shared" si="456"/>
        <v>0</v>
      </c>
      <c r="CJ646" s="1974">
        <f t="shared" si="456"/>
        <v>0</v>
      </c>
      <c r="CK646" s="2031">
        <f t="shared" si="456"/>
        <v>0</v>
      </c>
      <c r="CL646" s="2026">
        <v>1</v>
      </c>
      <c r="CM646" s="2026">
        <v>1</v>
      </c>
      <c r="CN646" s="2026">
        <v>1</v>
      </c>
      <c r="CO646" s="2026">
        <v>1</v>
      </c>
      <c r="CP646" s="2035"/>
      <c r="CQ646" s="2036"/>
      <c r="CR646" s="2036"/>
      <c r="CS646" s="2036"/>
      <c r="CT646" s="2036"/>
      <c r="CU646" s="2036"/>
      <c r="CV646" s="1973">
        <v>1</v>
      </c>
      <c r="CW646" s="1973">
        <v>0</v>
      </c>
      <c r="CX646" s="2037">
        <v>2200</v>
      </c>
      <c r="CY646" s="2037">
        <v>2200</v>
      </c>
      <c r="CZ646" s="2037">
        <v>2200</v>
      </c>
      <c r="DA646" s="2037">
        <v>2200</v>
      </c>
      <c r="DJ646" s="1976">
        <v>0</v>
      </c>
      <c r="DK646" s="1973">
        <v>0</v>
      </c>
      <c r="DL646" s="1973">
        <v>0</v>
      </c>
      <c r="DM646" s="1973">
        <v>0</v>
      </c>
      <c r="DO646" s="2146">
        <v>20</v>
      </c>
      <c r="DP646" s="2147">
        <v>0</v>
      </c>
      <c r="DQ646" s="2148">
        <v>0</v>
      </c>
      <c r="DR646" s="2146">
        <v>1071.5740261700303</v>
      </c>
      <c r="DS646" s="2046">
        <v>0</v>
      </c>
      <c r="DT646" s="2046">
        <v>0</v>
      </c>
      <c r="DU646" s="2046">
        <v>0</v>
      </c>
      <c r="DV646" s="2046">
        <v>0</v>
      </c>
      <c r="DW646" s="2168">
        <v>2284.3137254901999</v>
      </c>
      <c r="DX646" s="2168">
        <v>2284.3137254901962</v>
      </c>
      <c r="DY646" s="2168">
        <v>2284.3137254901962</v>
      </c>
      <c r="DZ646" s="2168">
        <v>2284.3137254901962</v>
      </c>
      <c r="EA646" s="2168">
        <v>2799.4117647058824</v>
      </c>
      <c r="EB646" s="2168">
        <v>2799.4117647058824</v>
      </c>
      <c r="EC646" s="2168">
        <v>2799.4117647058824</v>
      </c>
      <c r="ED646" s="2168">
        <v>2799.4117647058824</v>
      </c>
      <c r="EE646" s="2039">
        <f t="shared" si="412"/>
        <v>0</v>
      </c>
      <c r="EF646" s="2039">
        <f t="shared" si="412"/>
        <v>0</v>
      </c>
      <c r="EG646" s="2039">
        <f t="shared" si="412"/>
        <v>0</v>
      </c>
      <c r="EH646" s="2039">
        <f t="shared" ref="EH646:EH684" si="462">F646-DR646</f>
        <v>0</v>
      </c>
      <c r="EI646" s="2040">
        <f t="shared" si="437"/>
        <v>0</v>
      </c>
      <c r="EJ646" s="2040">
        <f t="shared" si="437"/>
        <v>0</v>
      </c>
      <c r="EK646" s="2040">
        <f t="shared" si="437"/>
        <v>0</v>
      </c>
      <c r="EL646" s="2040">
        <f t="shared" si="437"/>
        <v>0</v>
      </c>
      <c r="EM646" s="2040">
        <f t="shared" si="437"/>
        <v>0</v>
      </c>
      <c r="EN646" s="2040">
        <f t="shared" si="437"/>
        <v>4.0927261579781771E-12</v>
      </c>
      <c r="EO646" s="2040">
        <f t="shared" si="417"/>
        <v>4.0927261579781771E-12</v>
      </c>
      <c r="EP646" s="2040">
        <f t="shared" si="417"/>
        <v>4.0927261579781771E-12</v>
      </c>
      <c r="EQ646" s="2040">
        <f t="shared" si="417"/>
        <v>0</v>
      </c>
      <c r="ER646" s="2040">
        <f t="shared" si="417"/>
        <v>0</v>
      </c>
      <c r="ES646" s="2040">
        <f t="shared" si="417"/>
        <v>0</v>
      </c>
      <c r="ET646" s="2040">
        <f t="shared" si="417"/>
        <v>0</v>
      </c>
      <c r="EU646" s="2039">
        <f t="shared" si="413"/>
        <v>1.2278178473934531E-11</v>
      </c>
      <c r="EV646" s="2039">
        <f t="shared" si="414"/>
        <v>0</v>
      </c>
    </row>
    <row r="647" spans="1:152" x14ac:dyDescent="0.25">
      <c r="A647" s="2149" t="s">
        <v>266</v>
      </c>
      <c r="B647" s="1974" t="str">
        <f t="shared" si="438"/>
        <v>BPH6</v>
      </c>
      <c r="C647" s="2027">
        <f t="shared" si="459"/>
        <v>16.5</v>
      </c>
      <c r="D647" s="2144">
        <f t="shared" si="459"/>
        <v>710</v>
      </c>
      <c r="E647" s="2145">
        <f t="shared" si="459"/>
        <v>3.8899999999999997E-2</v>
      </c>
      <c r="F647" s="2027">
        <f t="shared" si="459"/>
        <v>182.6</v>
      </c>
      <c r="G647" s="1974" t="s">
        <v>2988</v>
      </c>
      <c r="H647" s="1974" t="s">
        <v>2988</v>
      </c>
      <c r="I647" s="2026">
        <v>0.9</v>
      </c>
      <c r="J647" s="2026">
        <v>0.9</v>
      </c>
      <c r="K647" s="2026">
        <v>0.9</v>
      </c>
      <c r="L647" s="2026">
        <v>0.9</v>
      </c>
      <c r="M647" s="2027">
        <f t="shared" si="426"/>
        <v>639</v>
      </c>
      <c r="N647" s="2027">
        <f t="shared" si="426"/>
        <v>639</v>
      </c>
      <c r="O647" s="2027">
        <f t="shared" si="426"/>
        <v>639</v>
      </c>
      <c r="P647" s="2027">
        <f t="shared" si="426"/>
        <v>639</v>
      </c>
      <c r="Q647" s="2026">
        <v>0.9</v>
      </c>
      <c r="R647" s="2026">
        <v>0.9</v>
      </c>
      <c r="S647" s="2026">
        <v>0.9</v>
      </c>
      <c r="T647" s="2026">
        <v>0.9</v>
      </c>
      <c r="U647" s="2028">
        <f t="shared" si="427"/>
        <v>3.5009999999999999E-2</v>
      </c>
      <c r="V647" s="2028">
        <f t="shared" si="427"/>
        <v>3.5009999999999999E-2</v>
      </c>
      <c r="W647" s="2028">
        <f t="shared" si="427"/>
        <v>3.5009999999999999E-2</v>
      </c>
      <c r="X647" s="2028">
        <f t="shared" si="427"/>
        <v>3.5009999999999999E-2</v>
      </c>
      <c r="Y647" s="2026">
        <v>0.9</v>
      </c>
      <c r="Z647" s="2026">
        <v>0.9</v>
      </c>
      <c r="AA647" s="2026">
        <v>0.9</v>
      </c>
      <c r="AB647" s="2026">
        <v>0.9</v>
      </c>
      <c r="AC647" s="2027">
        <f t="shared" si="428"/>
        <v>164.34</v>
      </c>
      <c r="AD647" s="2027">
        <f t="shared" si="428"/>
        <v>164.34</v>
      </c>
      <c r="AE647" s="2027">
        <f t="shared" si="428"/>
        <v>164.34</v>
      </c>
      <c r="AF647" s="2027">
        <f t="shared" si="428"/>
        <v>164.34</v>
      </c>
      <c r="AG647" s="2027">
        <v>0</v>
      </c>
      <c r="AH647" s="2028"/>
      <c r="AI647" s="2028"/>
      <c r="AJ647" s="2028"/>
      <c r="AK647" s="2027">
        <f t="shared" si="434"/>
        <v>0</v>
      </c>
      <c r="AL647" s="2027">
        <f t="shared" si="453"/>
        <v>0</v>
      </c>
      <c r="AM647" s="2027">
        <f t="shared" si="453"/>
        <v>0</v>
      </c>
      <c r="AN647" s="2027">
        <f t="shared" si="453"/>
        <v>0</v>
      </c>
      <c r="AO647" s="2027">
        <f t="shared" si="429"/>
        <v>0</v>
      </c>
      <c r="AP647" s="2027">
        <f t="shared" si="421"/>
        <v>0</v>
      </c>
      <c r="AQ647" s="2027">
        <f t="shared" si="421"/>
        <v>0</v>
      </c>
      <c r="AR647" s="2027">
        <f t="shared" si="421"/>
        <v>0</v>
      </c>
      <c r="AS647" s="2124">
        <f t="shared" si="457"/>
        <v>0</v>
      </c>
      <c r="AT647" s="2029">
        <f t="shared" si="422"/>
        <v>0</v>
      </c>
      <c r="AU647" s="2029">
        <f t="shared" si="422"/>
        <v>0</v>
      </c>
      <c r="AV647" s="2029">
        <f t="shared" si="422"/>
        <v>0</v>
      </c>
      <c r="AW647" s="2124">
        <f t="shared" si="460"/>
        <v>250</v>
      </c>
      <c r="AX647" s="2029">
        <f t="shared" si="440"/>
        <v>250</v>
      </c>
      <c r="AY647" s="2029">
        <f t="shared" si="440"/>
        <v>250</v>
      </c>
      <c r="AZ647" s="2029">
        <f t="shared" si="440"/>
        <v>250</v>
      </c>
      <c r="BA647" s="2124">
        <f t="shared" si="454"/>
        <v>802</v>
      </c>
      <c r="BB647" s="2029">
        <f t="shared" si="454"/>
        <v>802</v>
      </c>
      <c r="BC647" s="2029">
        <f t="shared" si="454"/>
        <v>802</v>
      </c>
      <c r="BD647" s="2029">
        <f t="shared" si="454"/>
        <v>802</v>
      </c>
      <c r="BE647" s="2030">
        <f t="shared" si="430"/>
        <v>0</v>
      </c>
      <c r="BF647" s="2030">
        <f t="shared" si="430"/>
        <v>0</v>
      </c>
      <c r="BG647" s="2030">
        <f t="shared" si="430"/>
        <v>0</v>
      </c>
      <c r="BH647" s="2030">
        <f t="shared" si="430"/>
        <v>0</v>
      </c>
      <c r="BI647" s="2030">
        <f t="shared" si="431"/>
        <v>0</v>
      </c>
      <c r="BJ647" s="2030">
        <f t="shared" si="431"/>
        <v>0</v>
      </c>
      <c r="BK647" s="2030">
        <f t="shared" si="431"/>
        <v>0</v>
      </c>
      <c r="BL647" s="2030">
        <f t="shared" si="431"/>
        <v>0</v>
      </c>
      <c r="BM647" s="2125"/>
      <c r="BN647" s="2125"/>
      <c r="BO647" s="2125"/>
      <c r="BP647" s="2125"/>
      <c r="BQ647" s="2125"/>
      <c r="BR647" s="2125"/>
      <c r="BS647" s="2125"/>
      <c r="BT647" s="2125"/>
      <c r="BU647" s="2029"/>
      <c r="BV647" s="2029"/>
      <c r="BW647" s="2029"/>
      <c r="BX647" s="2029"/>
      <c r="BY647" s="2029"/>
      <c r="BZ647" s="2032"/>
      <c r="CA647" s="1974">
        <f t="shared" si="455"/>
        <v>0</v>
      </c>
      <c r="CB647" s="1974">
        <f t="shared" si="455"/>
        <v>0</v>
      </c>
      <c r="CC647" s="1974">
        <f t="shared" si="455"/>
        <v>0</v>
      </c>
      <c r="CD647" s="1974">
        <f t="shared" si="455"/>
        <v>0</v>
      </c>
      <c r="CE647" s="1974">
        <f t="shared" si="455"/>
        <v>0</v>
      </c>
      <c r="CF647" s="2033">
        <v>0</v>
      </c>
      <c r="CG647" s="2026">
        <v>0</v>
      </c>
      <c r="CH647" s="2009">
        <f t="shared" si="456"/>
        <v>0</v>
      </c>
      <c r="CI647" s="2031">
        <f t="shared" si="456"/>
        <v>0</v>
      </c>
      <c r="CJ647" s="1974">
        <f t="shared" si="456"/>
        <v>0</v>
      </c>
      <c r="CK647" s="2031">
        <f t="shared" si="456"/>
        <v>0</v>
      </c>
      <c r="CL647" s="2026">
        <v>1</v>
      </c>
      <c r="CM647" s="2026">
        <v>1</v>
      </c>
      <c r="CN647" s="2026">
        <v>1</v>
      </c>
      <c r="CO647" s="2026">
        <v>1</v>
      </c>
      <c r="CP647" s="2035"/>
      <c r="CQ647" s="2036"/>
      <c r="CR647" s="2036"/>
      <c r="CS647" s="2036"/>
      <c r="CT647" s="2036"/>
      <c r="CU647" s="2036"/>
      <c r="CV647" s="1973">
        <v>1</v>
      </c>
      <c r="CW647" s="1973">
        <v>0</v>
      </c>
      <c r="CX647" s="2037">
        <v>250</v>
      </c>
      <c r="CY647" s="2037">
        <v>250</v>
      </c>
      <c r="CZ647" s="2037">
        <v>250</v>
      </c>
      <c r="DA647" s="2037">
        <v>250</v>
      </c>
      <c r="DJ647" s="1976">
        <v>0</v>
      </c>
      <c r="DK647" s="1973">
        <v>0</v>
      </c>
      <c r="DL647" s="1973">
        <v>0</v>
      </c>
      <c r="DM647" s="1973">
        <v>0</v>
      </c>
      <c r="DO647" s="2027">
        <v>16.5</v>
      </c>
      <c r="DP647" s="2144">
        <v>710</v>
      </c>
      <c r="DQ647" s="2145">
        <v>3.8899999999999997E-2</v>
      </c>
      <c r="DR647" s="2027">
        <v>182.6</v>
      </c>
      <c r="DS647" s="2124">
        <v>0</v>
      </c>
      <c r="DT647" s="2029">
        <v>0</v>
      </c>
      <c r="DU647" s="2029">
        <v>0</v>
      </c>
      <c r="DV647" s="2029">
        <v>0</v>
      </c>
      <c r="DW647" s="2124">
        <v>250</v>
      </c>
      <c r="DX647" s="2029">
        <v>250</v>
      </c>
      <c r="DY647" s="2029">
        <v>250</v>
      </c>
      <c r="DZ647" s="2029">
        <v>250</v>
      </c>
      <c r="EA647" s="2124">
        <v>802</v>
      </c>
      <c r="EB647" s="2029">
        <v>802</v>
      </c>
      <c r="EC647" s="2029">
        <v>802</v>
      </c>
      <c r="ED647" s="2029">
        <v>802</v>
      </c>
      <c r="EE647" s="2039">
        <f t="shared" ref="EE647:EG684" si="463">C647-DO647</f>
        <v>0</v>
      </c>
      <c r="EF647" s="2039">
        <f t="shared" si="463"/>
        <v>0</v>
      </c>
      <c r="EG647" s="2039">
        <f t="shared" si="463"/>
        <v>0</v>
      </c>
      <c r="EH647" s="2039">
        <f t="shared" si="462"/>
        <v>0</v>
      </c>
      <c r="EI647" s="2040">
        <f t="shared" si="437"/>
        <v>0</v>
      </c>
      <c r="EJ647" s="2040">
        <f t="shared" si="437"/>
        <v>0</v>
      </c>
      <c r="EK647" s="2040">
        <f t="shared" si="437"/>
        <v>0</v>
      </c>
      <c r="EL647" s="2040">
        <f t="shared" ref="EL647:ET675" si="464">AV647-DV647</f>
        <v>0</v>
      </c>
      <c r="EM647" s="2040">
        <f t="shared" si="464"/>
        <v>0</v>
      </c>
      <c r="EN647" s="2040">
        <f t="shared" si="464"/>
        <v>0</v>
      </c>
      <c r="EO647" s="2040">
        <f t="shared" si="464"/>
        <v>0</v>
      </c>
      <c r="EP647" s="2040">
        <f t="shared" si="464"/>
        <v>0</v>
      </c>
      <c r="EQ647" s="2040">
        <f t="shared" si="464"/>
        <v>0</v>
      </c>
      <c r="ER647" s="2040">
        <f t="shared" si="464"/>
        <v>0</v>
      </c>
      <c r="ES647" s="2040">
        <f t="shared" si="464"/>
        <v>0</v>
      </c>
      <c r="ET647" s="2040">
        <f t="shared" si="464"/>
        <v>0</v>
      </c>
      <c r="EU647" s="2039">
        <f t="shared" ref="EU647:EU684" si="465">SUM(EE647:ET647)</f>
        <v>0</v>
      </c>
      <c r="EV647" s="2039">
        <f t="shared" ref="EV647:EV684" si="466">SUM(EE647:EH647)</f>
        <v>0</v>
      </c>
    </row>
    <row r="648" spans="1:152" x14ac:dyDescent="0.25">
      <c r="A648" s="2150" t="s">
        <v>195</v>
      </c>
      <c r="B648" s="1974" t="str">
        <f t="shared" si="438"/>
        <v>BPH7</v>
      </c>
      <c r="C648" s="2027">
        <f t="shared" si="459"/>
        <v>16.5</v>
      </c>
      <c r="D648" s="2144">
        <f t="shared" si="459"/>
        <v>705.91923714759537</v>
      </c>
      <c r="E648" s="2145">
        <f t="shared" si="459"/>
        <v>0.11911992211259753</v>
      </c>
      <c r="F648" s="2027">
        <f t="shared" si="459"/>
        <v>228.88895164555328</v>
      </c>
      <c r="G648" s="1974" t="s">
        <v>2988</v>
      </c>
      <c r="H648" s="1974" t="s">
        <v>2988</v>
      </c>
      <c r="I648" s="2026">
        <v>0.9</v>
      </c>
      <c r="J648" s="2026">
        <v>0.9</v>
      </c>
      <c r="K648" s="2026">
        <v>0.9</v>
      </c>
      <c r="L648" s="2026">
        <v>0.9</v>
      </c>
      <c r="M648" s="2027">
        <f t="shared" si="426"/>
        <v>635.32731343283581</v>
      </c>
      <c r="N648" s="2027">
        <f t="shared" si="426"/>
        <v>635.32731343283581</v>
      </c>
      <c r="O648" s="2027">
        <f t="shared" si="426"/>
        <v>635.32731343283581</v>
      </c>
      <c r="P648" s="2027">
        <f t="shared" si="426"/>
        <v>635.32731343283581</v>
      </c>
      <c r="Q648" s="2026">
        <v>0.9</v>
      </c>
      <c r="R648" s="2026">
        <v>0.9</v>
      </c>
      <c r="S648" s="2026">
        <v>0.9</v>
      </c>
      <c r="T648" s="2026">
        <v>0.9</v>
      </c>
      <c r="U648" s="2028">
        <f t="shared" si="427"/>
        <v>0.10720792990133778</v>
      </c>
      <c r="V648" s="2028">
        <f t="shared" si="427"/>
        <v>0.10720792990133778</v>
      </c>
      <c r="W648" s="2028">
        <f t="shared" si="427"/>
        <v>0.10720792990133778</v>
      </c>
      <c r="X648" s="2028">
        <f t="shared" si="427"/>
        <v>0.10720792990133778</v>
      </c>
      <c r="Y648" s="2026">
        <v>0.9</v>
      </c>
      <c r="Z648" s="2026">
        <v>0.9</v>
      </c>
      <c r="AA648" s="2026">
        <v>0.9</v>
      </c>
      <c r="AB648" s="2026">
        <v>0.9</v>
      </c>
      <c r="AC648" s="2027">
        <f t="shared" si="428"/>
        <v>206.00005648099796</v>
      </c>
      <c r="AD648" s="2027">
        <f t="shared" si="428"/>
        <v>206.00005648099796</v>
      </c>
      <c r="AE648" s="2027">
        <f t="shared" si="428"/>
        <v>206.00005648099796</v>
      </c>
      <c r="AF648" s="2027">
        <f t="shared" si="428"/>
        <v>206.00005648099796</v>
      </c>
      <c r="AG648" s="2027">
        <v>36</v>
      </c>
      <c r="AH648" s="2027">
        <v>32</v>
      </c>
      <c r="AI648" s="2027">
        <v>32</v>
      </c>
      <c r="AJ648" s="2027">
        <v>29</v>
      </c>
      <c r="AK648" s="2027">
        <f t="shared" si="434"/>
        <v>22871.783283582088</v>
      </c>
      <c r="AL648" s="2027">
        <f t="shared" si="453"/>
        <v>20330.474029850746</v>
      </c>
      <c r="AM648" s="2027">
        <f t="shared" si="453"/>
        <v>20330.474029850746</v>
      </c>
      <c r="AN648" s="2027">
        <f t="shared" si="453"/>
        <v>18424.492089552237</v>
      </c>
      <c r="AO648" s="2027">
        <f t="shared" si="429"/>
        <v>7416.0020333159264</v>
      </c>
      <c r="AP648" s="2027">
        <f t="shared" si="421"/>
        <v>6592.0018073919346</v>
      </c>
      <c r="AQ648" s="2027">
        <f t="shared" si="421"/>
        <v>6592.0018073919346</v>
      </c>
      <c r="AR648" s="2027">
        <f t="shared" si="421"/>
        <v>5974.0016379489407</v>
      </c>
      <c r="AS648" s="2029">
        <f>DF648</f>
        <v>200</v>
      </c>
      <c r="AT648" s="2029">
        <f t="shared" si="422"/>
        <v>200</v>
      </c>
      <c r="AU648" s="2029">
        <f t="shared" si="422"/>
        <v>200</v>
      </c>
      <c r="AV648" s="2029">
        <f t="shared" si="422"/>
        <v>200</v>
      </c>
      <c r="AW648" s="2029">
        <f>CX648-AS648</f>
        <v>800</v>
      </c>
      <c r="AX648" s="2029">
        <f t="shared" si="440"/>
        <v>800</v>
      </c>
      <c r="AY648" s="2029">
        <f t="shared" si="440"/>
        <v>800</v>
      </c>
      <c r="AZ648" s="2029">
        <f t="shared" si="440"/>
        <v>800</v>
      </c>
      <c r="BA648" s="2029">
        <f t="shared" si="454"/>
        <v>1275</v>
      </c>
      <c r="BB648" s="2029">
        <f t="shared" si="454"/>
        <v>1275</v>
      </c>
      <c r="BC648" s="2029">
        <f t="shared" si="454"/>
        <v>1275</v>
      </c>
      <c r="BD648" s="2029">
        <f t="shared" si="454"/>
        <v>1275</v>
      </c>
      <c r="BE648" s="2030">
        <f t="shared" si="430"/>
        <v>7200</v>
      </c>
      <c r="BF648" s="2030">
        <f t="shared" si="430"/>
        <v>6400</v>
      </c>
      <c r="BG648" s="2030">
        <f t="shared" si="430"/>
        <v>6400</v>
      </c>
      <c r="BH648" s="2030">
        <f t="shared" si="430"/>
        <v>5800</v>
      </c>
      <c r="BI648" s="2030">
        <f t="shared" si="431"/>
        <v>28800</v>
      </c>
      <c r="BJ648" s="2030">
        <f t="shared" si="431"/>
        <v>25600</v>
      </c>
      <c r="BK648" s="2030">
        <f t="shared" si="431"/>
        <v>25600</v>
      </c>
      <c r="BL648" s="2030">
        <f t="shared" si="431"/>
        <v>23200</v>
      </c>
      <c r="BM648" s="2125"/>
      <c r="BN648" s="2125"/>
      <c r="BO648" s="2125"/>
      <c r="BP648" s="2125"/>
      <c r="BQ648" s="2125"/>
      <c r="BR648" s="2125"/>
      <c r="BS648" s="2125"/>
      <c r="BT648" s="2125"/>
      <c r="BU648" s="2029"/>
      <c r="BV648" s="2029"/>
      <c r="BW648" s="2029"/>
      <c r="BX648" s="2029"/>
      <c r="BY648" s="2029"/>
      <c r="BZ648" s="2032"/>
      <c r="CA648" s="1974">
        <f t="shared" si="455"/>
        <v>0</v>
      </c>
      <c r="CB648" s="1974">
        <f t="shared" si="455"/>
        <v>0</v>
      </c>
      <c r="CC648" s="1974">
        <f t="shared" si="455"/>
        <v>0</v>
      </c>
      <c r="CD648" s="1974">
        <f t="shared" si="455"/>
        <v>0</v>
      </c>
      <c r="CE648" s="1974">
        <f t="shared" si="455"/>
        <v>0</v>
      </c>
      <c r="CF648" s="2033">
        <v>9.6164467701851582E-5</v>
      </c>
      <c r="CG648" s="2026">
        <v>2.5759114426471188E-3</v>
      </c>
      <c r="CH648" s="2009">
        <f t="shared" si="456"/>
        <v>0</v>
      </c>
      <c r="CI648" s="2031">
        <f t="shared" si="456"/>
        <v>0</v>
      </c>
      <c r="CJ648" s="1974">
        <f t="shared" si="456"/>
        <v>0</v>
      </c>
      <c r="CK648" s="2031">
        <f t="shared" si="456"/>
        <v>0</v>
      </c>
      <c r="CL648" s="2026">
        <v>1</v>
      </c>
      <c r="CM648" s="2026">
        <v>1</v>
      </c>
      <c r="CN648" s="2026">
        <v>1</v>
      </c>
      <c r="CO648" s="2026">
        <v>1</v>
      </c>
      <c r="CP648" s="2035"/>
      <c r="CQ648" s="2036"/>
      <c r="CR648" s="2036"/>
      <c r="CS648" s="2036"/>
      <c r="CT648" s="2036"/>
      <c r="CU648" s="2036"/>
      <c r="CV648" s="1973">
        <v>1</v>
      </c>
      <c r="CW648" s="1973">
        <v>0</v>
      </c>
      <c r="CX648" s="2037">
        <v>1000</v>
      </c>
      <c r="CY648" s="2037">
        <f>$CX648</f>
        <v>1000</v>
      </c>
      <c r="CZ648" s="2037">
        <f t="shared" ref="CZ648:DA648" si="467">$CX648</f>
        <v>1000</v>
      </c>
      <c r="DA648" s="2037">
        <f t="shared" si="467"/>
        <v>1000</v>
      </c>
      <c r="DB648" s="2051">
        <v>0.2</v>
      </c>
      <c r="DC648" s="2051">
        <v>0.2</v>
      </c>
      <c r="DD648" s="2051">
        <v>0.2</v>
      </c>
      <c r="DE648" s="2051">
        <v>0.2</v>
      </c>
      <c r="DF648" s="2037">
        <f>DB648*CX648</f>
        <v>200</v>
      </c>
      <c r="DG648" s="2037">
        <f>DC648*CY648</f>
        <v>200</v>
      </c>
      <c r="DH648" s="2037">
        <f>DD648*CZ648</f>
        <v>200</v>
      </c>
      <c r="DI648" s="2037">
        <f>DE648*DA648</f>
        <v>200</v>
      </c>
      <c r="DJ648" s="1976">
        <v>0</v>
      </c>
      <c r="DK648" s="1973">
        <v>0</v>
      </c>
      <c r="DL648" s="1973">
        <v>0</v>
      </c>
      <c r="DM648" s="1973">
        <v>0</v>
      </c>
      <c r="DO648" s="2146">
        <v>16.5</v>
      </c>
      <c r="DP648" s="2147">
        <v>705.91923714759537</v>
      </c>
      <c r="DQ648" s="2148">
        <v>0.11911992211259753</v>
      </c>
      <c r="DR648" s="2146">
        <v>228.88895164555328</v>
      </c>
      <c r="DS648" s="2046">
        <v>200</v>
      </c>
      <c r="DT648" s="2046">
        <v>200</v>
      </c>
      <c r="DU648" s="2046">
        <v>200</v>
      </c>
      <c r="DV648" s="2046">
        <v>200</v>
      </c>
      <c r="DW648" s="2046">
        <v>800</v>
      </c>
      <c r="DX648" s="2046">
        <v>800</v>
      </c>
      <c r="DY648" s="2046">
        <v>800</v>
      </c>
      <c r="DZ648" s="2046">
        <v>800</v>
      </c>
      <c r="EA648" s="2046">
        <v>1275</v>
      </c>
      <c r="EB648" s="2046">
        <v>1275</v>
      </c>
      <c r="EC648" s="2046">
        <v>1275</v>
      </c>
      <c r="ED648" s="2046">
        <v>1275</v>
      </c>
      <c r="EE648" s="2039">
        <f t="shared" si="463"/>
        <v>0</v>
      </c>
      <c r="EF648" s="2039">
        <f t="shared" si="463"/>
        <v>0</v>
      </c>
      <c r="EG648" s="2039">
        <f t="shared" si="463"/>
        <v>0</v>
      </c>
      <c r="EH648" s="2039">
        <f t="shared" si="462"/>
        <v>0</v>
      </c>
      <c r="EI648" s="2040">
        <f t="shared" ref="EI648:EN684" si="468">AS648-DS648</f>
        <v>0</v>
      </c>
      <c r="EJ648" s="2040">
        <f t="shared" si="468"/>
        <v>0</v>
      </c>
      <c r="EK648" s="2040">
        <f t="shared" si="468"/>
        <v>0</v>
      </c>
      <c r="EL648" s="2040">
        <f t="shared" si="464"/>
        <v>0</v>
      </c>
      <c r="EM648" s="2040">
        <f t="shared" si="464"/>
        <v>0</v>
      </c>
      <c r="EN648" s="2040">
        <f t="shared" si="464"/>
        <v>0</v>
      </c>
      <c r="EO648" s="2040">
        <f t="shared" si="464"/>
        <v>0</v>
      </c>
      <c r="EP648" s="2040">
        <f t="shared" si="464"/>
        <v>0</v>
      </c>
      <c r="EQ648" s="2040">
        <f t="shared" si="464"/>
        <v>0</v>
      </c>
      <c r="ER648" s="2040">
        <f t="shared" si="464"/>
        <v>0</v>
      </c>
      <c r="ES648" s="2040">
        <f t="shared" si="464"/>
        <v>0</v>
      </c>
      <c r="ET648" s="2040">
        <f t="shared" si="464"/>
        <v>0</v>
      </c>
      <c r="EU648" s="2039">
        <f t="shared" si="465"/>
        <v>0</v>
      </c>
      <c r="EV648" s="2039">
        <f t="shared" si="466"/>
        <v>0</v>
      </c>
    </row>
    <row r="649" spans="1:152" x14ac:dyDescent="0.25">
      <c r="A649" s="2150" t="s">
        <v>196</v>
      </c>
      <c r="B649" s="1974" t="str">
        <f t="shared" si="438"/>
        <v>BPWH3</v>
      </c>
      <c r="C649" s="2027">
        <f t="shared" si="459"/>
        <v>20</v>
      </c>
      <c r="D649" s="2144">
        <f t="shared" si="459"/>
        <v>0</v>
      </c>
      <c r="E649" s="2145">
        <f t="shared" si="459"/>
        <v>0</v>
      </c>
      <c r="F649" s="2027">
        <f t="shared" si="459"/>
        <v>172.09</v>
      </c>
      <c r="G649" s="1974" t="s">
        <v>2988</v>
      </c>
      <c r="H649" s="1974" t="s">
        <v>2988</v>
      </c>
      <c r="I649" s="2026">
        <v>0.9</v>
      </c>
      <c r="J649" s="2026">
        <v>0.9</v>
      </c>
      <c r="K649" s="2026">
        <v>0.9</v>
      </c>
      <c r="L649" s="2026">
        <v>0.9</v>
      </c>
      <c r="M649" s="2027">
        <f t="shared" si="426"/>
        <v>0</v>
      </c>
      <c r="N649" s="2027">
        <f t="shared" si="426"/>
        <v>0</v>
      </c>
      <c r="O649" s="2027">
        <f t="shared" si="426"/>
        <v>0</v>
      </c>
      <c r="P649" s="2027">
        <f t="shared" si="426"/>
        <v>0</v>
      </c>
      <c r="Q649" s="2026">
        <v>0.9</v>
      </c>
      <c r="R649" s="2026">
        <v>0.9</v>
      </c>
      <c r="S649" s="2026">
        <v>0.9</v>
      </c>
      <c r="T649" s="2026">
        <v>0.9</v>
      </c>
      <c r="U649" s="2028">
        <f t="shared" si="427"/>
        <v>0</v>
      </c>
      <c r="V649" s="2028">
        <f t="shared" si="427"/>
        <v>0</v>
      </c>
      <c r="W649" s="2028">
        <f t="shared" si="427"/>
        <v>0</v>
      </c>
      <c r="X649" s="2028">
        <f t="shared" si="427"/>
        <v>0</v>
      </c>
      <c r="Y649" s="2026">
        <v>0.9</v>
      </c>
      <c r="Z649" s="2026">
        <v>0.9</v>
      </c>
      <c r="AA649" s="2026">
        <v>0.9</v>
      </c>
      <c r="AB649" s="2026">
        <v>0.9</v>
      </c>
      <c r="AC649" s="2027">
        <f t="shared" si="428"/>
        <v>154.881</v>
      </c>
      <c r="AD649" s="2027">
        <f t="shared" si="428"/>
        <v>154.881</v>
      </c>
      <c r="AE649" s="2027">
        <f t="shared" si="428"/>
        <v>154.881</v>
      </c>
      <c r="AF649" s="2027">
        <f t="shared" si="428"/>
        <v>154.881</v>
      </c>
      <c r="AG649" s="2027">
        <v>1</v>
      </c>
      <c r="AH649" s="2028">
        <v>1</v>
      </c>
      <c r="AI649" s="2028">
        <v>1</v>
      </c>
      <c r="AJ649" s="2028">
        <v>1</v>
      </c>
      <c r="AK649" s="2027">
        <f t="shared" si="434"/>
        <v>0</v>
      </c>
      <c r="AL649" s="2027">
        <f t="shared" si="453"/>
        <v>0</v>
      </c>
      <c r="AM649" s="2027">
        <f t="shared" si="453"/>
        <v>0</v>
      </c>
      <c r="AN649" s="2027">
        <f t="shared" si="453"/>
        <v>0</v>
      </c>
      <c r="AO649" s="2027">
        <f t="shared" si="429"/>
        <v>154.881</v>
      </c>
      <c r="AP649" s="2027">
        <f t="shared" si="421"/>
        <v>154.881</v>
      </c>
      <c r="AQ649" s="2027">
        <f t="shared" si="421"/>
        <v>154.881</v>
      </c>
      <c r="AR649" s="2027">
        <f t="shared" si="421"/>
        <v>154.881</v>
      </c>
      <c r="AS649" s="2124">
        <f t="shared" si="457"/>
        <v>0</v>
      </c>
      <c r="AT649" s="2029">
        <f t="shared" si="422"/>
        <v>0</v>
      </c>
      <c r="AU649" s="2029">
        <f t="shared" si="422"/>
        <v>0</v>
      </c>
      <c r="AV649" s="2029">
        <f t="shared" si="422"/>
        <v>0</v>
      </c>
      <c r="AW649" s="2124">
        <f t="shared" si="460"/>
        <v>500</v>
      </c>
      <c r="AX649" s="2029">
        <f t="shared" si="440"/>
        <v>500</v>
      </c>
      <c r="AY649" s="2029">
        <f t="shared" si="440"/>
        <v>500</v>
      </c>
      <c r="AZ649" s="2029">
        <f t="shared" si="440"/>
        <v>500</v>
      </c>
      <c r="BA649" s="2124">
        <f t="shared" si="454"/>
        <v>652.73</v>
      </c>
      <c r="BB649" s="2029">
        <f t="shared" si="454"/>
        <v>652.73</v>
      </c>
      <c r="BC649" s="2029">
        <f t="shared" si="454"/>
        <v>652.73</v>
      </c>
      <c r="BD649" s="2029">
        <f t="shared" si="454"/>
        <v>652.73</v>
      </c>
      <c r="BE649" s="2030">
        <f t="shared" si="430"/>
        <v>0</v>
      </c>
      <c r="BF649" s="2030">
        <f t="shared" si="430"/>
        <v>0</v>
      </c>
      <c r="BG649" s="2030">
        <f t="shared" si="430"/>
        <v>0</v>
      </c>
      <c r="BH649" s="2030">
        <f t="shared" si="430"/>
        <v>0</v>
      </c>
      <c r="BI649" s="2030">
        <f t="shared" si="431"/>
        <v>500</v>
      </c>
      <c r="BJ649" s="2030">
        <f t="shared" si="431"/>
        <v>500</v>
      </c>
      <c r="BK649" s="2030">
        <f t="shared" si="431"/>
        <v>500</v>
      </c>
      <c r="BL649" s="2030">
        <f t="shared" si="431"/>
        <v>500</v>
      </c>
      <c r="BM649" s="2125"/>
      <c r="BN649" s="2125"/>
      <c r="BO649" s="2125"/>
      <c r="BP649" s="2125"/>
      <c r="BQ649" s="2125"/>
      <c r="BR649" s="2125"/>
      <c r="BS649" s="2125"/>
      <c r="BT649" s="2125"/>
      <c r="BU649" s="2029"/>
      <c r="BV649" s="2029"/>
      <c r="BW649" s="2029"/>
      <c r="BX649" s="2029"/>
      <c r="BY649" s="2029"/>
      <c r="BZ649" s="2032"/>
      <c r="CA649" s="1974">
        <f t="shared" si="455"/>
        <v>0</v>
      </c>
      <c r="CB649" s="1974">
        <f t="shared" si="455"/>
        <v>0</v>
      </c>
      <c r="CC649" s="1974">
        <f t="shared" si="455"/>
        <v>0</v>
      </c>
      <c r="CD649" s="1974">
        <f t="shared" si="455"/>
        <v>0</v>
      </c>
      <c r="CE649" s="1974">
        <f t="shared" si="455"/>
        <v>0</v>
      </c>
      <c r="CF649" s="2033">
        <v>0</v>
      </c>
      <c r="CG649" s="2026">
        <v>5.778307004603247E-5</v>
      </c>
      <c r="CH649" s="2009">
        <f t="shared" si="456"/>
        <v>1</v>
      </c>
      <c r="CI649" s="2031">
        <f t="shared" si="456"/>
        <v>0</v>
      </c>
      <c r="CJ649" s="1974">
        <f t="shared" si="456"/>
        <v>100</v>
      </c>
      <c r="CK649" s="2031">
        <f t="shared" si="456"/>
        <v>100</v>
      </c>
      <c r="CL649" s="2026">
        <v>1</v>
      </c>
      <c r="CM649" s="2026">
        <v>1</v>
      </c>
      <c r="CN649" s="2026">
        <v>1</v>
      </c>
      <c r="CO649" s="2026">
        <v>1</v>
      </c>
      <c r="CP649" s="2035"/>
      <c r="CQ649" s="2036"/>
      <c r="CR649" s="2036"/>
      <c r="CS649" s="2036"/>
      <c r="CT649" s="2036"/>
      <c r="CU649" s="2036"/>
      <c r="CV649" s="1973">
        <v>1</v>
      </c>
      <c r="CW649" s="1973">
        <v>2</v>
      </c>
      <c r="CX649" s="2037">
        <v>500</v>
      </c>
      <c r="CY649" s="2037">
        <v>500</v>
      </c>
      <c r="CZ649" s="2037">
        <v>500</v>
      </c>
      <c r="DA649" s="2037">
        <v>500</v>
      </c>
      <c r="DJ649" s="1976">
        <v>0</v>
      </c>
      <c r="DK649" s="1973">
        <v>0</v>
      </c>
      <c r="DL649" s="1973">
        <v>0</v>
      </c>
      <c r="DM649" s="1973">
        <v>0</v>
      </c>
      <c r="DO649" s="2027">
        <v>20</v>
      </c>
      <c r="DP649" s="2144">
        <v>0</v>
      </c>
      <c r="DQ649" s="2145">
        <v>0</v>
      </c>
      <c r="DR649" s="2027">
        <v>172.09</v>
      </c>
      <c r="DS649" s="2124">
        <v>0</v>
      </c>
      <c r="DT649" s="2029">
        <v>0</v>
      </c>
      <c r="DU649" s="2029">
        <v>0</v>
      </c>
      <c r="DV649" s="2029">
        <v>0</v>
      </c>
      <c r="DW649" s="2124">
        <v>500</v>
      </c>
      <c r="DX649" s="2029">
        <v>500</v>
      </c>
      <c r="DY649" s="2029">
        <v>500</v>
      </c>
      <c r="DZ649" s="2029">
        <v>500</v>
      </c>
      <c r="EA649" s="2124">
        <v>652.73</v>
      </c>
      <c r="EB649" s="2029">
        <v>652.73</v>
      </c>
      <c r="EC649" s="2029">
        <v>652.73</v>
      </c>
      <c r="ED649" s="2029">
        <v>652.73</v>
      </c>
      <c r="EE649" s="2039">
        <f t="shared" si="463"/>
        <v>0</v>
      </c>
      <c r="EF649" s="2039">
        <f t="shared" si="463"/>
        <v>0</v>
      </c>
      <c r="EG649" s="2039">
        <f t="shared" si="463"/>
        <v>0</v>
      </c>
      <c r="EH649" s="2039">
        <f t="shared" si="462"/>
        <v>0</v>
      </c>
      <c r="EI649" s="2040">
        <f t="shared" si="468"/>
        <v>0</v>
      </c>
      <c r="EJ649" s="2040">
        <f t="shared" si="468"/>
        <v>0</v>
      </c>
      <c r="EK649" s="2040">
        <f t="shared" si="468"/>
        <v>0</v>
      </c>
      <c r="EL649" s="2040">
        <f t="shared" si="464"/>
        <v>0</v>
      </c>
      <c r="EM649" s="2040">
        <f t="shared" si="464"/>
        <v>0</v>
      </c>
      <c r="EN649" s="2040">
        <f t="shared" si="464"/>
        <v>0</v>
      </c>
      <c r="EO649" s="2040">
        <f t="shared" si="464"/>
        <v>0</v>
      </c>
      <c r="EP649" s="2040">
        <f t="shared" si="464"/>
        <v>0</v>
      </c>
      <c r="EQ649" s="2040">
        <f t="shared" si="464"/>
        <v>0</v>
      </c>
      <c r="ER649" s="2040">
        <f t="shared" si="464"/>
        <v>0</v>
      </c>
      <c r="ES649" s="2040">
        <f t="shared" si="464"/>
        <v>0</v>
      </c>
      <c r="ET649" s="2040">
        <f t="shared" si="464"/>
        <v>0</v>
      </c>
      <c r="EU649" s="2039">
        <f t="shared" si="465"/>
        <v>0</v>
      </c>
      <c r="EV649" s="2039">
        <f t="shared" si="466"/>
        <v>0</v>
      </c>
    </row>
    <row r="650" spans="1:152" x14ac:dyDescent="0.25">
      <c r="A650" s="2150" t="s">
        <v>197</v>
      </c>
      <c r="B650" s="1974" t="str">
        <f t="shared" si="438"/>
        <v>BPWH4</v>
      </c>
      <c r="C650" s="2027">
        <v>15</v>
      </c>
      <c r="D650" s="2171">
        <v>0</v>
      </c>
      <c r="E650" s="2145">
        <v>0</v>
      </c>
      <c r="F650" s="2027">
        <v>75.446948711455732</v>
      </c>
      <c r="G650" s="1974" t="s">
        <v>2988</v>
      </c>
      <c r="H650" s="1974" t="s">
        <v>2988</v>
      </c>
      <c r="I650" s="2026">
        <v>0.9</v>
      </c>
      <c r="J650" s="2026">
        <v>0.9</v>
      </c>
      <c r="K650" s="2026">
        <v>0.9</v>
      </c>
      <c r="L650" s="2026">
        <v>0.9</v>
      </c>
      <c r="M650" s="2027">
        <f t="shared" si="426"/>
        <v>0</v>
      </c>
      <c r="N650" s="2027">
        <f t="shared" si="426"/>
        <v>0</v>
      </c>
      <c r="O650" s="2027">
        <f t="shared" si="426"/>
        <v>0</v>
      </c>
      <c r="P650" s="2027">
        <f t="shared" si="426"/>
        <v>0</v>
      </c>
      <c r="Q650" s="2026">
        <v>0.9</v>
      </c>
      <c r="R650" s="2026">
        <v>0.9</v>
      </c>
      <c r="S650" s="2026">
        <v>0.9</v>
      </c>
      <c r="T650" s="2026">
        <v>0.9</v>
      </c>
      <c r="U650" s="2028">
        <f t="shared" si="427"/>
        <v>0</v>
      </c>
      <c r="V650" s="2028">
        <f t="shared" si="427"/>
        <v>0</v>
      </c>
      <c r="W650" s="2028">
        <f t="shared" si="427"/>
        <v>0</v>
      </c>
      <c r="X650" s="2028">
        <f t="shared" si="427"/>
        <v>0</v>
      </c>
      <c r="Y650" s="2026">
        <v>0.9</v>
      </c>
      <c r="Z650" s="2026">
        <v>0.9</v>
      </c>
      <c r="AA650" s="2026">
        <v>0.9</v>
      </c>
      <c r="AB650" s="2026">
        <v>0.9</v>
      </c>
      <c r="AC650" s="2027">
        <f t="shared" si="428"/>
        <v>67.902253840310166</v>
      </c>
      <c r="AD650" s="2027">
        <f t="shared" si="428"/>
        <v>67.902253840310166</v>
      </c>
      <c r="AE650" s="2027">
        <f t="shared" si="428"/>
        <v>67.902253840310166</v>
      </c>
      <c r="AF650" s="2027">
        <f t="shared" si="428"/>
        <v>67.902253840310166</v>
      </c>
      <c r="AG650" s="2027">
        <v>12</v>
      </c>
      <c r="AH650" s="2028">
        <v>11</v>
      </c>
      <c r="AI650" s="2028">
        <v>11</v>
      </c>
      <c r="AJ650" s="2028">
        <v>11</v>
      </c>
      <c r="AK650" s="2027">
        <f t="shared" si="434"/>
        <v>0</v>
      </c>
      <c r="AL650" s="2027">
        <f t="shared" si="453"/>
        <v>0</v>
      </c>
      <c r="AM650" s="2027">
        <f t="shared" si="453"/>
        <v>0</v>
      </c>
      <c r="AN650" s="2027">
        <f t="shared" si="453"/>
        <v>0</v>
      </c>
      <c r="AO650" s="2027">
        <f t="shared" si="429"/>
        <v>814.82704608372205</v>
      </c>
      <c r="AP650" s="2027">
        <f t="shared" si="421"/>
        <v>746.92479224341184</v>
      </c>
      <c r="AQ650" s="2027">
        <f t="shared" si="421"/>
        <v>746.92479224341184</v>
      </c>
      <c r="AR650" s="2027">
        <f t="shared" si="421"/>
        <v>746.92479224341184</v>
      </c>
      <c r="AS650" s="2124">
        <f t="shared" si="457"/>
        <v>0</v>
      </c>
      <c r="AT650" s="2029">
        <f t="shared" si="422"/>
        <v>0</v>
      </c>
      <c r="AU650" s="2029">
        <f t="shared" si="422"/>
        <v>0</v>
      </c>
      <c r="AV650" s="2029">
        <f t="shared" si="422"/>
        <v>0</v>
      </c>
      <c r="AW650" s="2124">
        <v>700</v>
      </c>
      <c r="AX650" s="2029">
        <f t="shared" si="440"/>
        <v>700</v>
      </c>
      <c r="AY650" s="2029">
        <f t="shared" si="440"/>
        <v>700</v>
      </c>
      <c r="AZ650" s="2029">
        <f t="shared" si="440"/>
        <v>700</v>
      </c>
      <c r="BA650" s="2124">
        <v>1135</v>
      </c>
      <c r="BB650" s="2029">
        <f>$BA650</f>
        <v>1135</v>
      </c>
      <c r="BC650" s="2029">
        <f t="shared" ref="BC650:BD651" si="469">$BA650</f>
        <v>1135</v>
      </c>
      <c r="BD650" s="2029">
        <f t="shared" si="469"/>
        <v>1135</v>
      </c>
      <c r="BE650" s="2030">
        <f t="shared" si="430"/>
        <v>0</v>
      </c>
      <c r="BF650" s="2030">
        <f t="shared" si="430"/>
        <v>0</v>
      </c>
      <c r="BG650" s="2030">
        <f t="shared" si="430"/>
        <v>0</v>
      </c>
      <c r="BH650" s="2030">
        <f t="shared" si="430"/>
        <v>0</v>
      </c>
      <c r="BI650" s="2030">
        <f t="shared" si="431"/>
        <v>8400</v>
      </c>
      <c r="BJ650" s="2030">
        <f t="shared" si="431"/>
        <v>7700</v>
      </c>
      <c r="BK650" s="2030">
        <f t="shared" si="431"/>
        <v>7700</v>
      </c>
      <c r="BL650" s="2030">
        <f t="shared" si="431"/>
        <v>7700</v>
      </c>
      <c r="BM650" s="2125"/>
      <c r="BN650" s="2125"/>
      <c r="BO650" s="2125"/>
      <c r="BP650" s="2125"/>
      <c r="BQ650" s="2125"/>
      <c r="BR650" s="2125"/>
      <c r="BS650" s="2125"/>
      <c r="BT650" s="2125"/>
      <c r="BU650" s="2029"/>
      <c r="BV650" s="2029"/>
      <c r="BW650" s="2029"/>
      <c r="BX650" s="2029"/>
      <c r="BY650" s="2029"/>
      <c r="BZ650" s="2032"/>
      <c r="CA650" s="1974">
        <f t="shared" si="455"/>
        <v>0</v>
      </c>
      <c r="CB650" s="1974">
        <f t="shared" si="455"/>
        <v>0</v>
      </c>
      <c r="CC650" s="1974">
        <f t="shared" si="455"/>
        <v>0</v>
      </c>
      <c r="CD650" s="1974">
        <f t="shared" si="455"/>
        <v>0</v>
      </c>
      <c r="CE650" s="1974">
        <f t="shared" si="455"/>
        <v>0</v>
      </c>
      <c r="CF650" s="2033">
        <v>0</v>
      </c>
      <c r="CG650" s="2026">
        <v>2.9852180789741563E-4</v>
      </c>
      <c r="CH650" s="2009">
        <f t="shared" si="456"/>
        <v>0</v>
      </c>
      <c r="CI650" s="2031">
        <f t="shared" si="456"/>
        <v>0</v>
      </c>
      <c r="CJ650" s="1974">
        <f t="shared" si="456"/>
        <v>0</v>
      </c>
      <c r="CK650" s="2031">
        <f t="shared" si="456"/>
        <v>0</v>
      </c>
      <c r="CL650" s="2026">
        <v>1</v>
      </c>
      <c r="CM650" s="2026">
        <v>1</v>
      </c>
      <c r="CN650" s="2026">
        <v>1</v>
      </c>
      <c r="CO650" s="2026">
        <v>1</v>
      </c>
      <c r="CP650" s="2035"/>
      <c r="CQ650" s="2036"/>
      <c r="CR650" s="2036"/>
      <c r="CS650" s="2036"/>
      <c r="CT650" s="2036"/>
      <c r="CU650" s="2036"/>
      <c r="CV650" s="1973">
        <v>1</v>
      </c>
      <c r="CW650" s="1973">
        <v>2</v>
      </c>
      <c r="CX650" s="2037">
        <v>700</v>
      </c>
      <c r="CY650" s="2037">
        <v>700</v>
      </c>
      <c r="CZ650" s="2037">
        <v>700</v>
      </c>
      <c r="DA650" s="2037">
        <v>700</v>
      </c>
      <c r="DJ650" s="1976">
        <v>0</v>
      </c>
      <c r="DK650" s="1973">
        <v>0</v>
      </c>
      <c r="DL650" s="1973">
        <v>0</v>
      </c>
      <c r="DM650" s="1973">
        <v>0</v>
      </c>
      <c r="DO650" s="2146">
        <v>15</v>
      </c>
      <c r="DP650" s="2147">
        <v>0</v>
      </c>
      <c r="DQ650" s="2148">
        <v>0</v>
      </c>
      <c r="DR650" s="2146">
        <v>75.446948711455732</v>
      </c>
      <c r="DS650" s="2046">
        <v>0</v>
      </c>
      <c r="DT650" s="2046">
        <v>0</v>
      </c>
      <c r="DU650" s="2046">
        <v>0</v>
      </c>
      <c r="DV650" s="2046">
        <v>0</v>
      </c>
      <c r="DW650" s="2046">
        <v>700</v>
      </c>
      <c r="DX650" s="2046">
        <v>700</v>
      </c>
      <c r="DY650" s="2046">
        <v>700</v>
      </c>
      <c r="DZ650" s="2046">
        <v>700</v>
      </c>
      <c r="EA650" s="2046">
        <v>1135</v>
      </c>
      <c r="EB650" s="2046">
        <v>1135</v>
      </c>
      <c r="EC650" s="2046">
        <v>1135</v>
      </c>
      <c r="ED650" s="2046">
        <v>1135</v>
      </c>
      <c r="EE650" s="2039">
        <f t="shared" si="463"/>
        <v>0</v>
      </c>
      <c r="EF650" s="2039">
        <f t="shared" si="463"/>
        <v>0</v>
      </c>
      <c r="EG650" s="2039">
        <f t="shared" si="463"/>
        <v>0</v>
      </c>
      <c r="EH650" s="2039">
        <f t="shared" si="462"/>
        <v>0</v>
      </c>
      <c r="EI650" s="2040">
        <f t="shared" si="468"/>
        <v>0</v>
      </c>
      <c r="EJ650" s="2040">
        <f t="shared" si="468"/>
        <v>0</v>
      </c>
      <c r="EK650" s="2040">
        <f t="shared" si="468"/>
        <v>0</v>
      </c>
      <c r="EL650" s="2040">
        <f t="shared" si="464"/>
        <v>0</v>
      </c>
      <c r="EM650" s="2040">
        <f t="shared" si="464"/>
        <v>0</v>
      </c>
      <c r="EN650" s="2040">
        <f t="shared" si="464"/>
        <v>0</v>
      </c>
      <c r="EO650" s="2040">
        <f t="shared" si="464"/>
        <v>0</v>
      </c>
      <c r="EP650" s="2040">
        <f t="shared" si="464"/>
        <v>0</v>
      </c>
      <c r="EQ650" s="2040">
        <f t="shared" si="464"/>
        <v>0</v>
      </c>
      <c r="ER650" s="2040">
        <f t="shared" si="464"/>
        <v>0</v>
      </c>
      <c r="ES650" s="2040">
        <f t="shared" si="464"/>
        <v>0</v>
      </c>
      <c r="ET650" s="2040">
        <f t="shared" si="464"/>
        <v>0</v>
      </c>
      <c r="EU650" s="2039">
        <f t="shared" si="465"/>
        <v>0</v>
      </c>
      <c r="EV650" s="2039">
        <f t="shared" si="466"/>
        <v>0</v>
      </c>
    </row>
    <row r="651" spans="1:152" x14ac:dyDescent="0.25">
      <c r="A651" s="2150" t="s">
        <v>198</v>
      </c>
      <c r="B651" s="1974" t="str">
        <f t="shared" si="438"/>
        <v>BPWH5</v>
      </c>
      <c r="C651" s="2027">
        <v>15</v>
      </c>
      <c r="D651" s="2171">
        <v>0</v>
      </c>
      <c r="E651" s="2145">
        <v>0</v>
      </c>
      <c r="F651" s="2027">
        <v>62.806322167483358</v>
      </c>
      <c r="G651" s="1974" t="s">
        <v>2988</v>
      </c>
      <c r="H651" s="1974" t="s">
        <v>2988</v>
      </c>
      <c r="I651" s="2026">
        <v>0.9</v>
      </c>
      <c r="J651" s="2026">
        <v>0.9</v>
      </c>
      <c r="K651" s="2026">
        <v>0.9</v>
      </c>
      <c r="L651" s="2026">
        <v>0.9</v>
      </c>
      <c r="M651" s="2027">
        <f t="shared" si="426"/>
        <v>0</v>
      </c>
      <c r="N651" s="2027">
        <f t="shared" si="426"/>
        <v>0</v>
      </c>
      <c r="O651" s="2027">
        <f t="shared" si="426"/>
        <v>0</v>
      </c>
      <c r="P651" s="2027">
        <f t="shared" si="426"/>
        <v>0</v>
      </c>
      <c r="Q651" s="2026">
        <v>0.9</v>
      </c>
      <c r="R651" s="2026">
        <v>0.9</v>
      </c>
      <c r="S651" s="2026">
        <v>0.9</v>
      </c>
      <c r="T651" s="2026">
        <v>0.9</v>
      </c>
      <c r="U651" s="2028">
        <f t="shared" si="427"/>
        <v>0</v>
      </c>
      <c r="V651" s="2028">
        <f t="shared" si="427"/>
        <v>0</v>
      </c>
      <c r="W651" s="2028">
        <f t="shared" si="427"/>
        <v>0</v>
      </c>
      <c r="X651" s="2028">
        <f t="shared" si="427"/>
        <v>0</v>
      </c>
      <c r="Y651" s="2026">
        <v>0.9</v>
      </c>
      <c r="Z651" s="2026">
        <v>0.9</v>
      </c>
      <c r="AA651" s="2026">
        <v>0.9</v>
      </c>
      <c r="AB651" s="2026">
        <v>0.9</v>
      </c>
      <c r="AC651" s="2027">
        <f t="shared" si="428"/>
        <v>56.525689950735021</v>
      </c>
      <c r="AD651" s="2027">
        <f t="shared" si="428"/>
        <v>56.525689950735021</v>
      </c>
      <c r="AE651" s="2027">
        <f t="shared" si="428"/>
        <v>56.525689950735021</v>
      </c>
      <c r="AF651" s="2027">
        <f t="shared" si="428"/>
        <v>56.525689950735021</v>
      </c>
      <c r="AG651" s="2027">
        <v>17</v>
      </c>
      <c r="AH651" s="2027">
        <v>15</v>
      </c>
      <c r="AI651" s="2027">
        <v>15</v>
      </c>
      <c r="AJ651" s="2027">
        <v>12</v>
      </c>
      <c r="AK651" s="2027">
        <f t="shared" si="434"/>
        <v>0</v>
      </c>
      <c r="AL651" s="2027">
        <f t="shared" si="453"/>
        <v>0</v>
      </c>
      <c r="AM651" s="2027">
        <f t="shared" si="453"/>
        <v>0</v>
      </c>
      <c r="AN651" s="2027">
        <f t="shared" si="453"/>
        <v>0</v>
      </c>
      <c r="AO651" s="2027">
        <f t="shared" si="429"/>
        <v>960.93672916249534</v>
      </c>
      <c r="AP651" s="2027">
        <f t="shared" si="421"/>
        <v>847.88534926102534</v>
      </c>
      <c r="AQ651" s="2027">
        <f t="shared" si="421"/>
        <v>847.88534926102534</v>
      </c>
      <c r="AR651" s="2027">
        <f t="shared" si="421"/>
        <v>678.30827940882023</v>
      </c>
      <c r="AS651" s="2124">
        <f t="shared" si="457"/>
        <v>0</v>
      </c>
      <c r="AT651" s="2029">
        <f t="shared" si="422"/>
        <v>0</v>
      </c>
      <c r="AU651" s="2029">
        <f t="shared" si="422"/>
        <v>0</v>
      </c>
      <c r="AV651" s="2029">
        <f t="shared" si="422"/>
        <v>0</v>
      </c>
      <c r="AW651" s="2124">
        <v>600</v>
      </c>
      <c r="AX651" s="2029">
        <f t="shared" si="440"/>
        <v>600</v>
      </c>
      <c r="AY651" s="2029">
        <f t="shared" si="440"/>
        <v>600</v>
      </c>
      <c r="AZ651" s="2029">
        <f t="shared" si="440"/>
        <v>600</v>
      </c>
      <c r="BA651" s="2124">
        <v>879</v>
      </c>
      <c r="BB651" s="2029">
        <f>$BA651</f>
        <v>879</v>
      </c>
      <c r="BC651" s="2029">
        <f t="shared" si="469"/>
        <v>879</v>
      </c>
      <c r="BD651" s="2029">
        <f t="shared" si="469"/>
        <v>879</v>
      </c>
      <c r="BE651" s="2030">
        <f t="shared" si="430"/>
        <v>0</v>
      </c>
      <c r="BF651" s="2030">
        <f t="shared" si="430"/>
        <v>0</v>
      </c>
      <c r="BG651" s="2030">
        <f t="shared" si="430"/>
        <v>0</v>
      </c>
      <c r="BH651" s="2030">
        <f t="shared" si="430"/>
        <v>0</v>
      </c>
      <c r="BI651" s="2030">
        <f t="shared" si="431"/>
        <v>10200</v>
      </c>
      <c r="BJ651" s="2030">
        <f t="shared" si="431"/>
        <v>9000</v>
      </c>
      <c r="BK651" s="2030">
        <f t="shared" si="431"/>
        <v>9000</v>
      </c>
      <c r="BL651" s="2030">
        <f t="shared" si="431"/>
        <v>7200</v>
      </c>
      <c r="BM651" s="2125"/>
      <c r="BN651" s="2125"/>
      <c r="BO651" s="2125"/>
      <c r="BP651" s="2125"/>
      <c r="BQ651" s="2125"/>
      <c r="BR651" s="2125"/>
      <c r="BS651" s="2125"/>
      <c r="BT651" s="2125"/>
      <c r="BU651" s="2029"/>
      <c r="BV651" s="2029"/>
      <c r="BW651" s="2029"/>
      <c r="BX651" s="2029"/>
      <c r="BY651" s="2029"/>
      <c r="BZ651" s="2032"/>
      <c r="CA651" s="1974">
        <f t="shared" si="455"/>
        <v>0</v>
      </c>
      <c r="CB651" s="1974">
        <f t="shared" si="455"/>
        <v>0</v>
      </c>
      <c r="CC651" s="1974">
        <f t="shared" si="455"/>
        <v>0</v>
      </c>
      <c r="CD651" s="1974">
        <f t="shared" si="455"/>
        <v>0</v>
      </c>
      <c r="CE651" s="1974">
        <f t="shared" si="455"/>
        <v>0</v>
      </c>
      <c r="CF651" s="2033">
        <v>0</v>
      </c>
      <c r="CG651" s="2026">
        <v>3.5310159015387242E-4</v>
      </c>
      <c r="CH651" s="2009">
        <f t="shared" si="456"/>
        <v>0</v>
      </c>
      <c r="CI651" s="2031">
        <f t="shared" si="456"/>
        <v>0</v>
      </c>
      <c r="CJ651" s="1974">
        <f t="shared" si="456"/>
        <v>0</v>
      </c>
      <c r="CK651" s="2031">
        <f t="shared" si="456"/>
        <v>0</v>
      </c>
      <c r="CL651" s="2026">
        <v>1</v>
      </c>
      <c r="CM651" s="2026">
        <v>1</v>
      </c>
      <c r="CN651" s="2026">
        <v>1</v>
      </c>
      <c r="CO651" s="2026">
        <v>1</v>
      </c>
      <c r="CP651" s="2035"/>
      <c r="CQ651" s="2036"/>
      <c r="CR651" s="2036"/>
      <c r="CS651" s="2036"/>
      <c r="CT651" s="2036"/>
      <c r="CU651" s="2036"/>
      <c r="CV651" s="1973">
        <v>1</v>
      </c>
      <c r="CW651" s="1973">
        <v>2</v>
      </c>
      <c r="CX651" s="2037">
        <v>600</v>
      </c>
      <c r="CY651" s="2037">
        <v>600</v>
      </c>
      <c r="CZ651" s="2037">
        <v>600</v>
      </c>
      <c r="DA651" s="2037">
        <v>600</v>
      </c>
      <c r="DJ651" s="1976">
        <v>0</v>
      </c>
      <c r="DK651" s="1973">
        <v>0</v>
      </c>
      <c r="DL651" s="1973">
        <v>0</v>
      </c>
      <c r="DM651" s="1973">
        <v>0</v>
      </c>
      <c r="DO651" s="2146">
        <v>15</v>
      </c>
      <c r="DP651" s="2147">
        <v>0</v>
      </c>
      <c r="DQ651" s="2148">
        <v>0</v>
      </c>
      <c r="DR651" s="2146">
        <v>62.806322167483358</v>
      </c>
      <c r="DS651" s="2046">
        <v>0</v>
      </c>
      <c r="DT651" s="2046">
        <v>0</v>
      </c>
      <c r="DU651" s="2046">
        <v>0</v>
      </c>
      <c r="DV651" s="2046">
        <v>0</v>
      </c>
      <c r="DW651" s="2046">
        <v>600</v>
      </c>
      <c r="DX651" s="2046">
        <v>600</v>
      </c>
      <c r="DY651" s="2046">
        <v>600</v>
      </c>
      <c r="DZ651" s="2046">
        <v>600</v>
      </c>
      <c r="EA651" s="2046">
        <v>879</v>
      </c>
      <c r="EB651" s="2046">
        <v>879</v>
      </c>
      <c r="EC651" s="2046">
        <v>879</v>
      </c>
      <c r="ED651" s="2046">
        <v>879</v>
      </c>
      <c r="EE651" s="2039">
        <f t="shared" si="463"/>
        <v>0</v>
      </c>
      <c r="EF651" s="2039">
        <f t="shared" si="463"/>
        <v>0</v>
      </c>
      <c r="EG651" s="2039">
        <f t="shared" si="463"/>
        <v>0</v>
      </c>
      <c r="EH651" s="2039">
        <f t="shared" si="462"/>
        <v>0</v>
      </c>
      <c r="EI651" s="2040">
        <f t="shared" si="468"/>
        <v>0</v>
      </c>
      <c r="EJ651" s="2040">
        <f t="shared" si="468"/>
        <v>0</v>
      </c>
      <c r="EK651" s="2040">
        <f t="shared" si="468"/>
        <v>0</v>
      </c>
      <c r="EL651" s="2040">
        <f t="shared" si="464"/>
        <v>0</v>
      </c>
      <c r="EM651" s="2040">
        <f t="shared" si="464"/>
        <v>0</v>
      </c>
      <c r="EN651" s="2040">
        <f t="shared" si="464"/>
        <v>0</v>
      </c>
      <c r="EO651" s="2040">
        <f t="shared" si="464"/>
        <v>0</v>
      </c>
      <c r="EP651" s="2040">
        <f t="shared" si="464"/>
        <v>0</v>
      </c>
      <c r="EQ651" s="2040">
        <f t="shared" si="464"/>
        <v>0</v>
      </c>
      <c r="ER651" s="2040">
        <f t="shared" si="464"/>
        <v>0</v>
      </c>
      <c r="ES651" s="2040">
        <f t="shared" si="464"/>
        <v>0</v>
      </c>
      <c r="ET651" s="2040">
        <f t="shared" si="464"/>
        <v>0</v>
      </c>
      <c r="EU651" s="2039">
        <f t="shared" si="465"/>
        <v>0</v>
      </c>
      <c r="EV651" s="2039">
        <f t="shared" si="466"/>
        <v>0</v>
      </c>
    </row>
    <row r="652" spans="1:152" x14ac:dyDescent="0.25">
      <c r="A652" s="2150" t="s">
        <v>199</v>
      </c>
      <c r="B652" s="1974" t="str">
        <f t="shared" si="438"/>
        <v>BPCK9</v>
      </c>
      <c r="C652" s="2027">
        <f t="shared" si="459"/>
        <v>12</v>
      </c>
      <c r="D652" s="2144">
        <f t="shared" si="459"/>
        <v>0</v>
      </c>
      <c r="E652" s="2145">
        <f t="shared" si="459"/>
        <v>0</v>
      </c>
      <c r="F652" s="2027">
        <f t="shared" si="459"/>
        <v>1321</v>
      </c>
      <c r="G652" s="1974" t="s">
        <v>2988</v>
      </c>
      <c r="H652" s="1974" t="s">
        <v>2988</v>
      </c>
      <c r="I652" s="2026">
        <v>0.9</v>
      </c>
      <c r="J652" s="2026">
        <v>0.9</v>
      </c>
      <c r="K652" s="2026">
        <v>0.9</v>
      </c>
      <c r="L652" s="2026">
        <v>0.9</v>
      </c>
      <c r="M652" s="2027">
        <f t="shared" si="426"/>
        <v>0</v>
      </c>
      <c r="N652" s="2027">
        <f t="shared" si="426"/>
        <v>0</v>
      </c>
      <c r="O652" s="2027">
        <f t="shared" si="426"/>
        <v>0</v>
      </c>
      <c r="P652" s="2027">
        <f t="shared" si="426"/>
        <v>0</v>
      </c>
      <c r="Q652" s="2026">
        <v>0.9</v>
      </c>
      <c r="R652" s="2026">
        <v>0.9</v>
      </c>
      <c r="S652" s="2026">
        <v>0.9</v>
      </c>
      <c r="T652" s="2026">
        <v>0.9</v>
      </c>
      <c r="U652" s="2028">
        <f t="shared" si="427"/>
        <v>0</v>
      </c>
      <c r="V652" s="2028">
        <f t="shared" si="427"/>
        <v>0</v>
      </c>
      <c r="W652" s="2028">
        <f t="shared" si="427"/>
        <v>0</v>
      </c>
      <c r="X652" s="2028">
        <f t="shared" si="427"/>
        <v>0</v>
      </c>
      <c r="Y652" s="2026">
        <v>0.9</v>
      </c>
      <c r="Z652" s="2026">
        <v>0.9</v>
      </c>
      <c r="AA652" s="2026">
        <v>0.9</v>
      </c>
      <c r="AB652" s="2026">
        <v>0.9</v>
      </c>
      <c r="AC652" s="2027">
        <f t="shared" si="428"/>
        <v>1188.9000000000001</v>
      </c>
      <c r="AD652" s="2027">
        <f t="shared" si="428"/>
        <v>1188.9000000000001</v>
      </c>
      <c r="AE652" s="2027">
        <f t="shared" si="428"/>
        <v>1188.9000000000001</v>
      </c>
      <c r="AF652" s="2027">
        <f t="shared" si="428"/>
        <v>1188.9000000000001</v>
      </c>
      <c r="AG652" s="2027">
        <v>0</v>
      </c>
      <c r="AH652" s="2028">
        <v>1</v>
      </c>
      <c r="AI652" s="2028"/>
      <c r="AJ652" s="2028"/>
      <c r="AK652" s="2027">
        <f t="shared" si="434"/>
        <v>0</v>
      </c>
      <c r="AL652" s="2027">
        <f t="shared" si="453"/>
        <v>0</v>
      </c>
      <c r="AM652" s="2027">
        <f t="shared" si="453"/>
        <v>0</v>
      </c>
      <c r="AN652" s="2027">
        <f t="shared" si="453"/>
        <v>0</v>
      </c>
      <c r="AO652" s="2027">
        <f t="shared" si="429"/>
        <v>0</v>
      </c>
      <c r="AP652" s="2027">
        <f t="shared" si="421"/>
        <v>1188.9000000000001</v>
      </c>
      <c r="AQ652" s="2027">
        <f t="shared" si="421"/>
        <v>0</v>
      </c>
      <c r="AR652" s="2027">
        <f t="shared" si="421"/>
        <v>0</v>
      </c>
      <c r="AS652" s="2124">
        <f t="shared" si="457"/>
        <v>0</v>
      </c>
      <c r="AT652" s="2029">
        <f t="shared" si="422"/>
        <v>0</v>
      </c>
      <c r="AU652" s="2029">
        <f t="shared" si="422"/>
        <v>0</v>
      </c>
      <c r="AV652" s="2029">
        <f t="shared" si="422"/>
        <v>0</v>
      </c>
      <c r="AW652" s="2124">
        <f t="shared" si="460"/>
        <v>1000</v>
      </c>
      <c r="AX652" s="2029">
        <f t="shared" si="440"/>
        <v>1000</v>
      </c>
      <c r="AY652" s="2029">
        <f t="shared" si="440"/>
        <v>1000</v>
      </c>
      <c r="AZ652" s="2029">
        <f t="shared" si="440"/>
        <v>1000</v>
      </c>
      <c r="BA652" s="2124">
        <f t="shared" ref="BA652:BD658" si="470">BA191</f>
        <v>998</v>
      </c>
      <c r="BB652" s="2029">
        <f t="shared" si="470"/>
        <v>998</v>
      </c>
      <c r="BC652" s="2029">
        <f t="shared" si="470"/>
        <v>998</v>
      </c>
      <c r="BD652" s="2029">
        <f t="shared" si="470"/>
        <v>998</v>
      </c>
      <c r="BE652" s="2030">
        <f t="shared" si="430"/>
        <v>0</v>
      </c>
      <c r="BF652" s="2030">
        <f t="shared" si="430"/>
        <v>0</v>
      </c>
      <c r="BG652" s="2030">
        <f t="shared" si="430"/>
        <v>0</v>
      </c>
      <c r="BH652" s="2030">
        <f t="shared" si="430"/>
        <v>0</v>
      </c>
      <c r="BI652" s="2030">
        <f t="shared" si="431"/>
        <v>0</v>
      </c>
      <c r="BJ652" s="2030">
        <f t="shared" si="431"/>
        <v>1000</v>
      </c>
      <c r="BK652" s="2030">
        <f t="shared" si="431"/>
        <v>0</v>
      </c>
      <c r="BL652" s="2030">
        <f t="shared" si="431"/>
        <v>0</v>
      </c>
      <c r="BM652" s="2125"/>
      <c r="BN652" s="2125"/>
      <c r="BO652" s="2125"/>
      <c r="BP652" s="2125"/>
      <c r="BQ652" s="2125"/>
      <c r="BR652" s="2125"/>
      <c r="BS652" s="2125"/>
      <c r="BT652" s="2125"/>
      <c r="BU652" s="2029"/>
      <c r="BV652" s="2029"/>
      <c r="BW652" s="2029"/>
      <c r="BX652" s="2029"/>
      <c r="BY652" s="2029"/>
      <c r="BZ652" s="2032"/>
      <c r="CA652" s="1974">
        <f t="shared" si="455"/>
        <v>76703</v>
      </c>
      <c r="CB652" s="1974">
        <f t="shared" si="455"/>
        <v>0</v>
      </c>
      <c r="CC652" s="1974">
        <f t="shared" si="455"/>
        <v>0</v>
      </c>
      <c r="CD652" s="1974">
        <f t="shared" si="455"/>
        <v>0</v>
      </c>
      <c r="CE652" s="1974">
        <f t="shared" si="455"/>
        <v>0</v>
      </c>
      <c r="CF652" s="2033">
        <v>0</v>
      </c>
      <c r="CG652" s="2026">
        <v>0</v>
      </c>
      <c r="CH652" s="2009">
        <f t="shared" si="456"/>
        <v>0</v>
      </c>
      <c r="CI652" s="2031">
        <f t="shared" si="456"/>
        <v>0</v>
      </c>
      <c r="CJ652" s="1974">
        <f t="shared" si="456"/>
        <v>0</v>
      </c>
      <c r="CK652" s="2031">
        <f t="shared" si="456"/>
        <v>0</v>
      </c>
      <c r="CL652" s="2026">
        <v>1</v>
      </c>
      <c r="CM652" s="2026">
        <v>1</v>
      </c>
      <c r="CN652" s="2026">
        <v>1</v>
      </c>
      <c r="CO652" s="2026">
        <v>1</v>
      </c>
      <c r="CP652" s="2035"/>
      <c r="CQ652" s="2036"/>
      <c r="CR652" s="2036"/>
      <c r="CS652" s="2036"/>
      <c r="CT652" s="2036"/>
      <c r="CU652" s="2036"/>
      <c r="CV652" s="1973">
        <v>1</v>
      </c>
      <c r="CW652" s="1973">
        <v>0</v>
      </c>
      <c r="CX652" s="2037">
        <v>1000</v>
      </c>
      <c r="CY652" s="2037">
        <v>1000</v>
      </c>
      <c r="CZ652" s="2037">
        <v>1000</v>
      </c>
      <c r="DA652" s="2037">
        <v>1000</v>
      </c>
      <c r="DJ652" s="1976">
        <v>0</v>
      </c>
      <c r="DK652" s="1973">
        <v>0</v>
      </c>
      <c r="DL652" s="1973">
        <v>0</v>
      </c>
      <c r="DM652" s="1973">
        <v>0</v>
      </c>
      <c r="DO652" s="2027">
        <v>12</v>
      </c>
      <c r="DP652" s="2144">
        <v>0</v>
      </c>
      <c r="DQ652" s="2145">
        <v>0</v>
      </c>
      <c r="DR652" s="2027">
        <v>1321</v>
      </c>
      <c r="DS652" s="2124">
        <v>0</v>
      </c>
      <c r="DT652" s="2029">
        <v>0</v>
      </c>
      <c r="DU652" s="2029">
        <v>0</v>
      </c>
      <c r="DV652" s="2029">
        <v>0</v>
      </c>
      <c r="DW652" s="2124">
        <v>1000</v>
      </c>
      <c r="DX652" s="2029">
        <v>1000</v>
      </c>
      <c r="DY652" s="2029">
        <v>1000</v>
      </c>
      <c r="DZ652" s="2029">
        <v>1000</v>
      </c>
      <c r="EA652" s="2124">
        <v>998</v>
      </c>
      <c r="EB652" s="2029">
        <v>998</v>
      </c>
      <c r="EC652" s="2029">
        <v>998</v>
      </c>
      <c r="ED652" s="2029">
        <v>998</v>
      </c>
      <c r="EE652" s="2039">
        <f t="shared" si="463"/>
        <v>0</v>
      </c>
      <c r="EF652" s="2039">
        <f t="shared" si="463"/>
        <v>0</v>
      </c>
      <c r="EG652" s="2039">
        <f t="shared" si="463"/>
        <v>0</v>
      </c>
      <c r="EH652" s="2039">
        <f t="shared" si="462"/>
        <v>0</v>
      </c>
      <c r="EI652" s="2040">
        <f t="shared" si="468"/>
        <v>0</v>
      </c>
      <c r="EJ652" s="2040">
        <f t="shared" si="468"/>
        <v>0</v>
      </c>
      <c r="EK652" s="2040">
        <f t="shared" si="468"/>
        <v>0</v>
      </c>
      <c r="EL652" s="2040">
        <f t="shared" si="464"/>
        <v>0</v>
      </c>
      <c r="EM652" s="2040">
        <f t="shared" si="464"/>
        <v>0</v>
      </c>
      <c r="EN652" s="2040">
        <f t="shared" si="464"/>
        <v>0</v>
      </c>
      <c r="EO652" s="2040">
        <f t="shared" si="464"/>
        <v>0</v>
      </c>
      <c r="EP652" s="2040">
        <f t="shared" si="464"/>
        <v>0</v>
      </c>
      <c r="EQ652" s="2040">
        <f t="shared" si="464"/>
        <v>0</v>
      </c>
      <c r="ER652" s="2040">
        <f t="shared" si="464"/>
        <v>0</v>
      </c>
      <c r="ES652" s="2040">
        <f t="shared" si="464"/>
        <v>0</v>
      </c>
      <c r="ET652" s="2040">
        <f t="shared" si="464"/>
        <v>0</v>
      </c>
      <c r="EU652" s="2039">
        <f t="shared" si="465"/>
        <v>0</v>
      </c>
      <c r="EV652" s="2039">
        <f t="shared" si="466"/>
        <v>0</v>
      </c>
    </row>
    <row r="653" spans="1:152" x14ac:dyDescent="0.25">
      <c r="A653" s="2150" t="s">
        <v>200</v>
      </c>
      <c r="B653" s="1974" t="str">
        <f t="shared" si="438"/>
        <v>BPCK10</v>
      </c>
      <c r="C653" s="2027">
        <f t="shared" si="459"/>
        <v>12</v>
      </c>
      <c r="D653" s="2144">
        <f t="shared" si="459"/>
        <v>0</v>
      </c>
      <c r="E653" s="2145">
        <f t="shared" si="459"/>
        <v>0</v>
      </c>
      <c r="F653" s="2027">
        <f t="shared" si="459"/>
        <v>1591</v>
      </c>
      <c r="G653" s="1974" t="s">
        <v>2988</v>
      </c>
      <c r="H653" s="1974" t="s">
        <v>2988</v>
      </c>
      <c r="I653" s="2026">
        <v>0.9</v>
      </c>
      <c r="J653" s="2026">
        <v>0.9</v>
      </c>
      <c r="K653" s="2026">
        <v>0.9</v>
      </c>
      <c r="L653" s="2026">
        <v>0.9</v>
      </c>
      <c r="M653" s="2027">
        <f t="shared" si="426"/>
        <v>0</v>
      </c>
      <c r="N653" s="2027">
        <f t="shared" si="426"/>
        <v>0</v>
      </c>
      <c r="O653" s="2027">
        <f t="shared" si="426"/>
        <v>0</v>
      </c>
      <c r="P653" s="2027">
        <f t="shared" si="426"/>
        <v>0</v>
      </c>
      <c r="Q653" s="2026">
        <v>0.9</v>
      </c>
      <c r="R653" s="2026">
        <v>0.9</v>
      </c>
      <c r="S653" s="2026">
        <v>0.9</v>
      </c>
      <c r="T653" s="2026">
        <v>0.9</v>
      </c>
      <c r="U653" s="2028">
        <f t="shared" si="427"/>
        <v>0</v>
      </c>
      <c r="V653" s="2028">
        <f t="shared" si="427"/>
        <v>0</v>
      </c>
      <c r="W653" s="2028">
        <f t="shared" si="427"/>
        <v>0</v>
      </c>
      <c r="X653" s="2028">
        <f t="shared" si="427"/>
        <v>0</v>
      </c>
      <c r="Y653" s="2026">
        <v>0.9</v>
      </c>
      <c r="Z653" s="2026">
        <v>0.9</v>
      </c>
      <c r="AA653" s="2026">
        <v>0.9</v>
      </c>
      <c r="AB653" s="2026">
        <v>0.9</v>
      </c>
      <c r="AC653" s="2027">
        <f t="shared" si="428"/>
        <v>1431.9</v>
      </c>
      <c r="AD653" s="2027">
        <f t="shared" si="428"/>
        <v>1431.9</v>
      </c>
      <c r="AE653" s="2027">
        <f t="shared" si="428"/>
        <v>1431.9</v>
      </c>
      <c r="AF653" s="2027">
        <f t="shared" si="428"/>
        <v>1431.9</v>
      </c>
      <c r="AG653" s="2027">
        <v>0</v>
      </c>
      <c r="AH653" s="2028"/>
      <c r="AI653" s="2028">
        <v>1</v>
      </c>
      <c r="AJ653" s="2028">
        <v>1</v>
      </c>
      <c r="AK653" s="2027">
        <f t="shared" si="434"/>
        <v>0</v>
      </c>
      <c r="AL653" s="2027">
        <f t="shared" si="453"/>
        <v>0</v>
      </c>
      <c r="AM653" s="2027">
        <f t="shared" si="453"/>
        <v>0</v>
      </c>
      <c r="AN653" s="2027">
        <f t="shared" si="453"/>
        <v>0</v>
      </c>
      <c r="AO653" s="2027">
        <f t="shared" si="429"/>
        <v>0</v>
      </c>
      <c r="AP653" s="2027">
        <f t="shared" si="421"/>
        <v>0</v>
      </c>
      <c r="AQ653" s="2027">
        <f t="shared" si="421"/>
        <v>1431.9</v>
      </c>
      <c r="AR653" s="2027">
        <f t="shared" si="421"/>
        <v>1431.9</v>
      </c>
      <c r="AS653" s="2124">
        <f t="shared" si="457"/>
        <v>0</v>
      </c>
      <c r="AT653" s="2029">
        <f t="shared" si="422"/>
        <v>0</v>
      </c>
      <c r="AU653" s="2029">
        <f t="shared" si="422"/>
        <v>0</v>
      </c>
      <c r="AV653" s="2029">
        <f t="shared" si="422"/>
        <v>0</v>
      </c>
      <c r="AW653" s="2124">
        <f t="shared" si="460"/>
        <v>1200</v>
      </c>
      <c r="AX653" s="2029">
        <f t="shared" si="440"/>
        <v>1200</v>
      </c>
      <c r="AY653" s="2029">
        <f t="shared" si="440"/>
        <v>1200</v>
      </c>
      <c r="AZ653" s="2029">
        <f t="shared" si="440"/>
        <v>1200</v>
      </c>
      <c r="BA653" s="2124">
        <f t="shared" si="470"/>
        <v>998</v>
      </c>
      <c r="BB653" s="2029">
        <f t="shared" si="470"/>
        <v>998</v>
      </c>
      <c r="BC653" s="2029">
        <f t="shared" si="470"/>
        <v>998</v>
      </c>
      <c r="BD653" s="2029">
        <f t="shared" si="470"/>
        <v>998</v>
      </c>
      <c r="BE653" s="2030">
        <f t="shared" si="430"/>
        <v>0</v>
      </c>
      <c r="BF653" s="2030">
        <f t="shared" si="430"/>
        <v>0</v>
      </c>
      <c r="BG653" s="2030">
        <f t="shared" si="430"/>
        <v>0</v>
      </c>
      <c r="BH653" s="2030">
        <f t="shared" si="430"/>
        <v>0</v>
      </c>
      <c r="BI653" s="2030">
        <f t="shared" si="431"/>
        <v>0</v>
      </c>
      <c r="BJ653" s="2030">
        <f t="shared" si="431"/>
        <v>0</v>
      </c>
      <c r="BK653" s="2030">
        <f t="shared" si="431"/>
        <v>1200</v>
      </c>
      <c r="BL653" s="2030">
        <f t="shared" si="431"/>
        <v>1200</v>
      </c>
      <c r="BM653" s="2125"/>
      <c r="BN653" s="2125"/>
      <c r="BO653" s="2125"/>
      <c r="BP653" s="2125"/>
      <c r="BQ653" s="2125"/>
      <c r="BR653" s="2125"/>
      <c r="BS653" s="2125"/>
      <c r="BT653" s="2125"/>
      <c r="BU653" s="2029"/>
      <c r="BV653" s="2029"/>
      <c r="BW653" s="2029"/>
      <c r="BX653" s="2029"/>
      <c r="BY653" s="2029"/>
      <c r="BZ653" s="2032"/>
      <c r="CA653" s="1974">
        <f t="shared" si="455"/>
        <v>76703</v>
      </c>
      <c r="CB653" s="1974">
        <f t="shared" si="455"/>
        <v>0</v>
      </c>
      <c r="CC653" s="1974">
        <f t="shared" si="455"/>
        <v>0</v>
      </c>
      <c r="CD653" s="1974">
        <f t="shared" si="455"/>
        <v>0</v>
      </c>
      <c r="CE653" s="1974">
        <f t="shared" si="455"/>
        <v>0</v>
      </c>
      <c r="CF653" s="2033">
        <v>0</v>
      </c>
      <c r="CG653" s="2026">
        <v>0</v>
      </c>
      <c r="CH653" s="2009">
        <f t="shared" si="456"/>
        <v>0</v>
      </c>
      <c r="CI653" s="2031">
        <f t="shared" si="456"/>
        <v>0</v>
      </c>
      <c r="CJ653" s="1974">
        <f t="shared" si="456"/>
        <v>0</v>
      </c>
      <c r="CK653" s="2031">
        <f t="shared" si="456"/>
        <v>0</v>
      </c>
      <c r="CL653" s="2026">
        <v>1</v>
      </c>
      <c r="CM653" s="2026">
        <v>1</v>
      </c>
      <c r="CN653" s="2026">
        <v>1</v>
      </c>
      <c r="CO653" s="2026">
        <v>1</v>
      </c>
      <c r="CP653" s="2035"/>
      <c r="CQ653" s="2036"/>
      <c r="CR653" s="2036"/>
      <c r="CS653" s="2036"/>
      <c r="CT653" s="2036"/>
      <c r="CU653" s="2036"/>
      <c r="CV653" s="1973">
        <v>1</v>
      </c>
      <c r="CW653" s="1973">
        <v>0</v>
      </c>
      <c r="CX653" s="2037">
        <v>1200</v>
      </c>
      <c r="CY653" s="2037">
        <v>1200</v>
      </c>
      <c r="CZ653" s="2037">
        <v>1200</v>
      </c>
      <c r="DA653" s="2037">
        <v>1200</v>
      </c>
      <c r="DJ653" s="1976">
        <v>0</v>
      </c>
      <c r="DK653" s="1973">
        <v>0</v>
      </c>
      <c r="DL653" s="1973">
        <v>0</v>
      </c>
      <c r="DM653" s="1973">
        <v>0</v>
      </c>
      <c r="DO653" s="2027">
        <v>12</v>
      </c>
      <c r="DP653" s="2144">
        <v>0</v>
      </c>
      <c r="DQ653" s="2145">
        <v>0</v>
      </c>
      <c r="DR653" s="2027">
        <v>1591</v>
      </c>
      <c r="DS653" s="2124">
        <v>0</v>
      </c>
      <c r="DT653" s="2029">
        <v>0</v>
      </c>
      <c r="DU653" s="2029">
        <v>0</v>
      </c>
      <c r="DV653" s="2029">
        <v>0</v>
      </c>
      <c r="DW653" s="2124">
        <v>1200</v>
      </c>
      <c r="DX653" s="2029">
        <v>1200</v>
      </c>
      <c r="DY653" s="2029">
        <v>1200</v>
      </c>
      <c r="DZ653" s="2029">
        <v>1200</v>
      </c>
      <c r="EA653" s="2124">
        <v>998</v>
      </c>
      <c r="EB653" s="2029">
        <v>998</v>
      </c>
      <c r="EC653" s="2029">
        <v>998</v>
      </c>
      <c r="ED653" s="2029">
        <v>998</v>
      </c>
      <c r="EE653" s="2039">
        <f t="shared" si="463"/>
        <v>0</v>
      </c>
      <c r="EF653" s="2039">
        <f t="shared" si="463"/>
        <v>0</v>
      </c>
      <c r="EG653" s="2039">
        <f t="shared" si="463"/>
        <v>0</v>
      </c>
      <c r="EH653" s="2039">
        <f t="shared" si="462"/>
        <v>0</v>
      </c>
      <c r="EI653" s="2040">
        <f t="shared" si="468"/>
        <v>0</v>
      </c>
      <c r="EJ653" s="2040">
        <f t="shared" si="468"/>
        <v>0</v>
      </c>
      <c r="EK653" s="2040">
        <f t="shared" si="468"/>
        <v>0</v>
      </c>
      <c r="EL653" s="2040">
        <f t="shared" si="464"/>
        <v>0</v>
      </c>
      <c r="EM653" s="2040">
        <f t="shared" si="464"/>
        <v>0</v>
      </c>
      <c r="EN653" s="2040">
        <f t="shared" si="464"/>
        <v>0</v>
      </c>
      <c r="EO653" s="2040">
        <f t="shared" si="464"/>
        <v>0</v>
      </c>
      <c r="EP653" s="2040">
        <f t="shared" si="464"/>
        <v>0</v>
      </c>
      <c r="EQ653" s="2040">
        <f t="shared" si="464"/>
        <v>0</v>
      </c>
      <c r="ER653" s="2040">
        <f t="shared" si="464"/>
        <v>0</v>
      </c>
      <c r="ES653" s="2040">
        <f t="shared" si="464"/>
        <v>0</v>
      </c>
      <c r="ET653" s="2040">
        <f t="shared" si="464"/>
        <v>0</v>
      </c>
      <c r="EU653" s="2039">
        <f t="shared" si="465"/>
        <v>0</v>
      </c>
      <c r="EV653" s="2039">
        <f t="shared" si="466"/>
        <v>0</v>
      </c>
    </row>
    <row r="654" spans="1:152" x14ac:dyDescent="0.25">
      <c r="A654" s="2150" t="s">
        <v>201</v>
      </c>
      <c r="B654" s="1974" t="str">
        <f t="shared" si="438"/>
        <v>BPCK11</v>
      </c>
      <c r="C654" s="2027">
        <f t="shared" si="459"/>
        <v>12</v>
      </c>
      <c r="D654" s="2144">
        <f t="shared" si="459"/>
        <v>0</v>
      </c>
      <c r="E654" s="2145">
        <f t="shared" si="459"/>
        <v>0</v>
      </c>
      <c r="F654" s="2027">
        <f t="shared" si="459"/>
        <v>149</v>
      </c>
      <c r="G654" s="1974" t="s">
        <v>2988</v>
      </c>
      <c r="H654" s="1974" t="s">
        <v>2988</v>
      </c>
      <c r="I654" s="2026">
        <v>0.9</v>
      </c>
      <c r="J654" s="2026">
        <v>0.9</v>
      </c>
      <c r="K654" s="2026">
        <v>0.9</v>
      </c>
      <c r="L654" s="2026">
        <v>0.9</v>
      </c>
      <c r="M654" s="2027">
        <f t="shared" si="426"/>
        <v>0</v>
      </c>
      <c r="N654" s="2027">
        <f t="shared" si="426"/>
        <v>0</v>
      </c>
      <c r="O654" s="2027">
        <f t="shared" si="426"/>
        <v>0</v>
      </c>
      <c r="P654" s="2027">
        <f t="shared" si="426"/>
        <v>0</v>
      </c>
      <c r="Q654" s="2026">
        <v>0.9</v>
      </c>
      <c r="R654" s="2026">
        <v>0.9</v>
      </c>
      <c r="S654" s="2026">
        <v>0.9</v>
      </c>
      <c r="T654" s="2026">
        <v>0.9</v>
      </c>
      <c r="U654" s="2028">
        <f t="shared" si="427"/>
        <v>0</v>
      </c>
      <c r="V654" s="2028">
        <f t="shared" si="427"/>
        <v>0</v>
      </c>
      <c r="W654" s="2028">
        <f t="shared" si="427"/>
        <v>0</v>
      </c>
      <c r="X654" s="2028">
        <f t="shared" si="427"/>
        <v>0</v>
      </c>
      <c r="Y654" s="2026">
        <v>0.9</v>
      </c>
      <c r="Z654" s="2026">
        <v>0.9</v>
      </c>
      <c r="AA654" s="2026">
        <v>0.9</v>
      </c>
      <c r="AB654" s="2026">
        <v>0.9</v>
      </c>
      <c r="AC654" s="2027">
        <f t="shared" si="428"/>
        <v>134.1</v>
      </c>
      <c r="AD654" s="2027">
        <f t="shared" si="428"/>
        <v>134.1</v>
      </c>
      <c r="AE654" s="2027">
        <f t="shared" si="428"/>
        <v>134.1</v>
      </c>
      <c r="AF654" s="2027">
        <f t="shared" si="428"/>
        <v>134.1</v>
      </c>
      <c r="AG654" s="2027">
        <v>2</v>
      </c>
      <c r="AH654" s="2028">
        <v>1</v>
      </c>
      <c r="AI654" s="2028">
        <v>1</v>
      </c>
      <c r="AJ654" s="2028">
        <v>1</v>
      </c>
      <c r="AK654" s="2027">
        <f t="shared" si="434"/>
        <v>0</v>
      </c>
      <c r="AL654" s="2027">
        <f t="shared" si="453"/>
        <v>0</v>
      </c>
      <c r="AM654" s="2027">
        <f t="shared" si="453"/>
        <v>0</v>
      </c>
      <c r="AN654" s="2027">
        <f t="shared" si="453"/>
        <v>0</v>
      </c>
      <c r="AO654" s="2027">
        <f t="shared" si="429"/>
        <v>268.2</v>
      </c>
      <c r="AP654" s="2027">
        <f t="shared" si="421"/>
        <v>134.1</v>
      </c>
      <c r="AQ654" s="2027">
        <f t="shared" si="421"/>
        <v>134.1</v>
      </c>
      <c r="AR654" s="2027">
        <f t="shared" si="421"/>
        <v>134.1</v>
      </c>
      <c r="AS654" s="2124">
        <f t="shared" si="457"/>
        <v>0</v>
      </c>
      <c r="AT654" s="2029">
        <f t="shared" si="422"/>
        <v>0</v>
      </c>
      <c r="AU654" s="2029">
        <f t="shared" si="422"/>
        <v>0</v>
      </c>
      <c r="AV654" s="2029">
        <f t="shared" si="422"/>
        <v>0</v>
      </c>
      <c r="AW654" s="2124">
        <f t="shared" si="460"/>
        <v>200</v>
      </c>
      <c r="AX654" s="2029">
        <f t="shared" si="440"/>
        <v>200</v>
      </c>
      <c r="AY654" s="2029">
        <f t="shared" si="440"/>
        <v>200</v>
      </c>
      <c r="AZ654" s="2029">
        <f t="shared" si="440"/>
        <v>200</v>
      </c>
      <c r="BA654" s="2124">
        <f t="shared" si="470"/>
        <v>60</v>
      </c>
      <c r="BB654" s="2029">
        <f t="shared" si="470"/>
        <v>60</v>
      </c>
      <c r="BC654" s="2029">
        <f t="shared" si="470"/>
        <v>60</v>
      </c>
      <c r="BD654" s="2029">
        <f t="shared" si="470"/>
        <v>60</v>
      </c>
      <c r="BE654" s="2030">
        <f t="shared" si="430"/>
        <v>0</v>
      </c>
      <c r="BF654" s="2030">
        <f t="shared" si="430"/>
        <v>0</v>
      </c>
      <c r="BG654" s="2030">
        <f t="shared" si="430"/>
        <v>0</v>
      </c>
      <c r="BH654" s="2030">
        <f t="shared" si="430"/>
        <v>0</v>
      </c>
      <c r="BI654" s="2030">
        <f t="shared" si="431"/>
        <v>400</v>
      </c>
      <c r="BJ654" s="2030">
        <f t="shared" si="431"/>
        <v>200</v>
      </c>
      <c r="BK654" s="2030">
        <f t="shared" si="431"/>
        <v>200</v>
      </c>
      <c r="BL654" s="2030">
        <f t="shared" si="431"/>
        <v>200</v>
      </c>
      <c r="BM654" s="2125"/>
      <c r="BN654" s="2125"/>
      <c r="BO654" s="2125"/>
      <c r="BP654" s="2125"/>
      <c r="BQ654" s="2125"/>
      <c r="BR654" s="2125"/>
      <c r="BS654" s="2125"/>
      <c r="BT654" s="2125"/>
      <c r="BU654" s="2029"/>
      <c r="BV654" s="2029"/>
      <c r="BW654" s="2029"/>
      <c r="BX654" s="2029"/>
      <c r="BY654" s="2029"/>
      <c r="BZ654" s="2032"/>
      <c r="CA654" s="1974">
        <f t="shared" si="455"/>
        <v>0</v>
      </c>
      <c r="CB654" s="1974">
        <f t="shared" si="455"/>
        <v>0</v>
      </c>
      <c r="CC654" s="1974">
        <f t="shared" si="455"/>
        <v>0</v>
      </c>
      <c r="CD654" s="1974">
        <f t="shared" si="455"/>
        <v>0</v>
      </c>
      <c r="CE654" s="1974">
        <f t="shared" si="455"/>
        <v>0</v>
      </c>
      <c r="CF654" s="2033">
        <v>0</v>
      </c>
      <c r="CG654" s="2026">
        <v>1.0006017126920608E-4</v>
      </c>
      <c r="CH654" s="2009">
        <f t="shared" si="456"/>
        <v>0</v>
      </c>
      <c r="CI654" s="2031">
        <f t="shared" si="456"/>
        <v>0</v>
      </c>
      <c r="CJ654" s="1974">
        <f t="shared" si="456"/>
        <v>0</v>
      </c>
      <c r="CK654" s="2031">
        <f t="shared" si="456"/>
        <v>0</v>
      </c>
      <c r="CL654" s="2026">
        <v>1</v>
      </c>
      <c r="CM654" s="2026">
        <v>1</v>
      </c>
      <c r="CN654" s="2026">
        <v>1</v>
      </c>
      <c r="CO654" s="2026">
        <v>1</v>
      </c>
      <c r="CP654" s="2035"/>
      <c r="CQ654" s="2036"/>
      <c r="CR654" s="2036"/>
      <c r="CS654" s="2036"/>
      <c r="CT654" s="2036"/>
      <c r="CU654" s="2036"/>
      <c r="CV654" s="1973">
        <v>1</v>
      </c>
      <c r="CW654" s="1973">
        <v>0</v>
      </c>
      <c r="CX654" s="2037">
        <v>200</v>
      </c>
      <c r="CY654" s="2037">
        <v>200</v>
      </c>
      <c r="CZ654" s="2037">
        <v>200</v>
      </c>
      <c r="DA654" s="2037">
        <v>200</v>
      </c>
      <c r="DJ654" s="1976">
        <v>0</v>
      </c>
      <c r="DK654" s="1973">
        <v>0</v>
      </c>
      <c r="DL654" s="1973">
        <v>0</v>
      </c>
      <c r="DM654" s="1973">
        <v>0</v>
      </c>
      <c r="DO654" s="2027">
        <v>12</v>
      </c>
      <c r="DP654" s="2144">
        <v>0</v>
      </c>
      <c r="DQ654" s="2145">
        <v>0</v>
      </c>
      <c r="DR654" s="2027">
        <v>149</v>
      </c>
      <c r="DS654" s="2124">
        <v>0</v>
      </c>
      <c r="DT654" s="2029">
        <v>0</v>
      </c>
      <c r="DU654" s="2029">
        <v>0</v>
      </c>
      <c r="DV654" s="2029">
        <v>0</v>
      </c>
      <c r="DW654" s="2124">
        <v>200</v>
      </c>
      <c r="DX654" s="2029">
        <v>200</v>
      </c>
      <c r="DY654" s="2029">
        <v>200</v>
      </c>
      <c r="DZ654" s="2029">
        <v>200</v>
      </c>
      <c r="EA654" s="2124">
        <v>60</v>
      </c>
      <c r="EB654" s="2029">
        <v>60</v>
      </c>
      <c r="EC654" s="2029">
        <v>60</v>
      </c>
      <c r="ED654" s="2029">
        <v>60</v>
      </c>
      <c r="EE654" s="2039">
        <f t="shared" si="463"/>
        <v>0</v>
      </c>
      <c r="EF654" s="2039">
        <f t="shared" si="463"/>
        <v>0</v>
      </c>
      <c r="EG654" s="2039">
        <f t="shared" si="463"/>
        <v>0</v>
      </c>
      <c r="EH654" s="2039">
        <f t="shared" si="462"/>
        <v>0</v>
      </c>
      <c r="EI654" s="2040">
        <f t="shared" si="468"/>
        <v>0</v>
      </c>
      <c r="EJ654" s="2040">
        <f t="shared" si="468"/>
        <v>0</v>
      </c>
      <c r="EK654" s="2040">
        <f t="shared" si="468"/>
        <v>0</v>
      </c>
      <c r="EL654" s="2040">
        <f t="shared" si="464"/>
        <v>0</v>
      </c>
      <c r="EM654" s="2040">
        <f t="shared" si="464"/>
        <v>0</v>
      </c>
      <c r="EN654" s="2040">
        <f t="shared" si="464"/>
        <v>0</v>
      </c>
      <c r="EO654" s="2040">
        <f t="shared" si="464"/>
        <v>0</v>
      </c>
      <c r="EP654" s="2040">
        <f t="shared" si="464"/>
        <v>0</v>
      </c>
      <c r="EQ654" s="2040">
        <f t="shared" si="464"/>
        <v>0</v>
      </c>
      <c r="ER654" s="2040">
        <f t="shared" si="464"/>
        <v>0</v>
      </c>
      <c r="ES654" s="2040">
        <f t="shared" si="464"/>
        <v>0</v>
      </c>
      <c r="ET654" s="2040">
        <f t="shared" si="464"/>
        <v>0</v>
      </c>
      <c r="EU654" s="2039">
        <f t="shared" si="465"/>
        <v>0</v>
      </c>
      <c r="EV654" s="2039">
        <f t="shared" si="466"/>
        <v>0</v>
      </c>
    </row>
    <row r="655" spans="1:152" x14ac:dyDescent="0.25">
      <c r="A655" s="2150" t="s">
        <v>202</v>
      </c>
      <c r="B655" s="1974" t="str">
        <f t="shared" si="438"/>
        <v>BPCK12</v>
      </c>
      <c r="C655" s="2027">
        <f t="shared" si="459"/>
        <v>15</v>
      </c>
      <c r="D655" s="2144">
        <f t="shared" si="459"/>
        <v>0</v>
      </c>
      <c r="E655" s="2145">
        <f t="shared" si="459"/>
        <v>0</v>
      </c>
      <c r="F655" s="2027">
        <f t="shared" si="459"/>
        <v>505.2346714285714</v>
      </c>
      <c r="G655" s="1974" t="s">
        <v>2988</v>
      </c>
      <c r="H655" s="1974" t="s">
        <v>2988</v>
      </c>
      <c r="I655" s="2026">
        <v>0.9</v>
      </c>
      <c r="J655" s="2026">
        <v>0.9</v>
      </c>
      <c r="K655" s="2026">
        <v>0.9</v>
      </c>
      <c r="L655" s="2026">
        <v>0.9</v>
      </c>
      <c r="M655" s="2027">
        <f t="shared" si="426"/>
        <v>0</v>
      </c>
      <c r="N655" s="2027">
        <f t="shared" si="426"/>
        <v>0</v>
      </c>
      <c r="O655" s="2027">
        <f t="shared" si="426"/>
        <v>0</v>
      </c>
      <c r="P655" s="2027">
        <f t="shared" si="426"/>
        <v>0</v>
      </c>
      <c r="Q655" s="2026">
        <v>0.9</v>
      </c>
      <c r="R655" s="2026">
        <v>0.9</v>
      </c>
      <c r="S655" s="2026">
        <v>0.9</v>
      </c>
      <c r="T655" s="2026">
        <v>0.9</v>
      </c>
      <c r="U655" s="2028">
        <f t="shared" si="427"/>
        <v>0</v>
      </c>
      <c r="V655" s="2028">
        <f t="shared" si="427"/>
        <v>0</v>
      </c>
      <c r="W655" s="2028">
        <f t="shared" si="427"/>
        <v>0</v>
      </c>
      <c r="X655" s="2028">
        <f t="shared" si="427"/>
        <v>0</v>
      </c>
      <c r="Y655" s="2026">
        <v>0.9</v>
      </c>
      <c r="Z655" s="2026">
        <v>0.9</v>
      </c>
      <c r="AA655" s="2026">
        <v>0.9</v>
      </c>
      <c r="AB655" s="2026">
        <v>0.9</v>
      </c>
      <c r="AC655" s="2027">
        <f t="shared" si="428"/>
        <v>454.71120428571425</v>
      </c>
      <c r="AD655" s="2027">
        <f t="shared" si="428"/>
        <v>454.71120428571425</v>
      </c>
      <c r="AE655" s="2027">
        <f t="shared" si="428"/>
        <v>454.71120428571425</v>
      </c>
      <c r="AF655" s="2027">
        <f t="shared" si="428"/>
        <v>454.71120428571425</v>
      </c>
      <c r="AG655" s="2027">
        <v>2</v>
      </c>
      <c r="AH655" s="2028">
        <v>1</v>
      </c>
      <c r="AI655" s="2028">
        <v>1</v>
      </c>
      <c r="AJ655" s="2028">
        <v>1</v>
      </c>
      <c r="AK655" s="2027">
        <f t="shared" si="434"/>
        <v>0</v>
      </c>
      <c r="AL655" s="2027">
        <f t="shared" si="453"/>
        <v>0</v>
      </c>
      <c r="AM655" s="2027">
        <f t="shared" si="453"/>
        <v>0</v>
      </c>
      <c r="AN655" s="2027">
        <f t="shared" si="453"/>
        <v>0</v>
      </c>
      <c r="AO655" s="2027">
        <f t="shared" si="429"/>
        <v>909.42240857142849</v>
      </c>
      <c r="AP655" s="2027">
        <f t="shared" si="421"/>
        <v>454.71120428571425</v>
      </c>
      <c r="AQ655" s="2027">
        <f t="shared" si="421"/>
        <v>454.71120428571425</v>
      </c>
      <c r="AR655" s="2027">
        <f t="shared" si="421"/>
        <v>454.71120428571425</v>
      </c>
      <c r="AS655" s="2124">
        <f t="shared" si="457"/>
        <v>0</v>
      </c>
      <c r="AT655" s="2029">
        <f t="shared" si="422"/>
        <v>0</v>
      </c>
      <c r="AU655" s="2029">
        <f t="shared" si="422"/>
        <v>0</v>
      </c>
      <c r="AV655" s="2029">
        <f t="shared" si="422"/>
        <v>0</v>
      </c>
      <c r="AW655" s="2124">
        <v>1200</v>
      </c>
      <c r="AX655" s="2029">
        <f t="shared" si="440"/>
        <v>1200</v>
      </c>
      <c r="AY655" s="2029">
        <f t="shared" si="440"/>
        <v>1200</v>
      </c>
      <c r="AZ655" s="2029">
        <f t="shared" si="440"/>
        <v>1200</v>
      </c>
      <c r="BA655" s="2124">
        <v>1200</v>
      </c>
      <c r="BB655" s="2029">
        <f>$BA655</f>
        <v>1200</v>
      </c>
      <c r="BC655" s="2029">
        <f t="shared" ref="BC655:BD655" si="471">$BA655</f>
        <v>1200</v>
      </c>
      <c r="BD655" s="2029">
        <f t="shared" si="471"/>
        <v>1200</v>
      </c>
      <c r="BE655" s="2030">
        <f t="shared" si="430"/>
        <v>0</v>
      </c>
      <c r="BF655" s="2030">
        <f t="shared" si="430"/>
        <v>0</v>
      </c>
      <c r="BG655" s="2030">
        <f t="shared" si="430"/>
        <v>0</v>
      </c>
      <c r="BH655" s="2030">
        <f t="shared" si="430"/>
        <v>0</v>
      </c>
      <c r="BI655" s="2030">
        <f t="shared" si="431"/>
        <v>2400</v>
      </c>
      <c r="BJ655" s="2030">
        <f t="shared" si="431"/>
        <v>1200</v>
      </c>
      <c r="BK655" s="2030">
        <f t="shared" si="431"/>
        <v>1200</v>
      </c>
      <c r="BL655" s="2030">
        <f t="shared" si="431"/>
        <v>1200</v>
      </c>
      <c r="BM655" s="2125"/>
      <c r="BN655" s="2125"/>
      <c r="BO655" s="2125"/>
      <c r="BP655" s="2125"/>
      <c r="BQ655" s="2125"/>
      <c r="BR655" s="2125"/>
      <c r="BS655" s="2125"/>
      <c r="BT655" s="2125"/>
      <c r="BU655" s="2029"/>
      <c r="BV655" s="2029"/>
      <c r="BW655" s="2029"/>
      <c r="BX655" s="2029"/>
      <c r="BY655" s="2029"/>
      <c r="BZ655" s="2032"/>
      <c r="CA655" s="1974">
        <f t="shared" si="455"/>
        <v>0</v>
      </c>
      <c r="CB655" s="1974">
        <f t="shared" si="455"/>
        <v>0</v>
      </c>
      <c r="CC655" s="1974">
        <f t="shared" si="455"/>
        <v>0</v>
      </c>
      <c r="CD655" s="1974">
        <f t="shared" si="455"/>
        <v>0</v>
      </c>
      <c r="CE655" s="1974">
        <f t="shared" si="455"/>
        <v>0</v>
      </c>
      <c r="CF655" s="2033">
        <v>0</v>
      </c>
      <c r="CG655" s="2026">
        <v>3.3913011067751055E-4</v>
      </c>
      <c r="CH655" s="2009">
        <f t="shared" si="456"/>
        <v>0</v>
      </c>
      <c r="CI655" s="2031">
        <f t="shared" si="456"/>
        <v>0</v>
      </c>
      <c r="CJ655" s="1974">
        <f t="shared" si="456"/>
        <v>0</v>
      </c>
      <c r="CK655" s="2031">
        <f t="shared" si="456"/>
        <v>0</v>
      </c>
      <c r="CL655" s="2026">
        <v>1</v>
      </c>
      <c r="CM655" s="2026">
        <v>1</v>
      </c>
      <c r="CN655" s="2026">
        <v>1</v>
      </c>
      <c r="CO655" s="2026">
        <v>1</v>
      </c>
      <c r="CP655" s="2035"/>
      <c r="CQ655" s="2036"/>
      <c r="CR655" s="2036"/>
      <c r="CS655" s="2036"/>
      <c r="CT655" s="2036"/>
      <c r="CU655" s="2036"/>
      <c r="CV655" s="1973">
        <v>1</v>
      </c>
      <c r="CW655" s="1973">
        <v>0</v>
      </c>
      <c r="CX655" s="2037">
        <v>1200</v>
      </c>
      <c r="CY655" s="2037">
        <v>1200</v>
      </c>
      <c r="CZ655" s="2037">
        <v>1200</v>
      </c>
      <c r="DA655" s="2037">
        <v>1200</v>
      </c>
      <c r="DJ655" s="1976">
        <v>0</v>
      </c>
      <c r="DK655" s="1973">
        <v>0</v>
      </c>
      <c r="DL655" s="1973">
        <v>0</v>
      </c>
      <c r="DM655" s="1973">
        <v>0</v>
      </c>
      <c r="DO655" s="2146">
        <v>15</v>
      </c>
      <c r="DP655" s="2147">
        <v>0</v>
      </c>
      <c r="DQ655" s="2148">
        <v>0</v>
      </c>
      <c r="DR655" s="2146">
        <v>505.2346714285714</v>
      </c>
      <c r="DS655" s="2046">
        <v>0</v>
      </c>
      <c r="DT655" s="2046">
        <v>0</v>
      </c>
      <c r="DU655" s="2046">
        <v>0</v>
      </c>
      <c r="DV655" s="2046">
        <v>0</v>
      </c>
      <c r="DW655" s="2046">
        <v>1200</v>
      </c>
      <c r="DX655" s="2046">
        <v>1200</v>
      </c>
      <c r="DY655" s="2046">
        <v>1200</v>
      </c>
      <c r="DZ655" s="2046">
        <v>1200</v>
      </c>
      <c r="EA655" s="2046">
        <v>1200</v>
      </c>
      <c r="EB655" s="2046">
        <v>1200</v>
      </c>
      <c r="EC655" s="2046">
        <v>1200</v>
      </c>
      <c r="ED655" s="2046">
        <v>1200</v>
      </c>
      <c r="EE655" s="2039">
        <f t="shared" si="463"/>
        <v>0</v>
      </c>
      <c r="EF655" s="2039">
        <f t="shared" si="463"/>
        <v>0</v>
      </c>
      <c r="EG655" s="2039">
        <f t="shared" si="463"/>
        <v>0</v>
      </c>
      <c r="EH655" s="2039">
        <f t="shared" si="462"/>
        <v>0</v>
      </c>
      <c r="EI655" s="2040">
        <f t="shared" si="468"/>
        <v>0</v>
      </c>
      <c r="EJ655" s="2040">
        <f t="shared" si="468"/>
        <v>0</v>
      </c>
      <c r="EK655" s="2040">
        <f t="shared" si="468"/>
        <v>0</v>
      </c>
      <c r="EL655" s="2040">
        <f t="shared" si="464"/>
        <v>0</v>
      </c>
      <c r="EM655" s="2040">
        <f t="shared" si="464"/>
        <v>0</v>
      </c>
      <c r="EN655" s="2040">
        <f t="shared" si="464"/>
        <v>0</v>
      </c>
      <c r="EO655" s="2040">
        <f t="shared" si="464"/>
        <v>0</v>
      </c>
      <c r="EP655" s="2040">
        <f t="shared" si="464"/>
        <v>0</v>
      </c>
      <c r="EQ655" s="2040">
        <f t="shared" si="464"/>
        <v>0</v>
      </c>
      <c r="ER655" s="2040">
        <f t="shared" si="464"/>
        <v>0</v>
      </c>
      <c r="ES655" s="2040">
        <f t="shared" si="464"/>
        <v>0</v>
      </c>
      <c r="ET655" s="2040">
        <f t="shared" si="464"/>
        <v>0</v>
      </c>
      <c r="EU655" s="2039">
        <f t="shared" si="465"/>
        <v>0</v>
      </c>
      <c r="EV655" s="2039">
        <f t="shared" si="466"/>
        <v>0</v>
      </c>
    </row>
    <row r="656" spans="1:152" x14ac:dyDescent="0.25">
      <c r="A656" s="2150" t="s">
        <v>203</v>
      </c>
      <c r="B656" s="1974" t="str">
        <f t="shared" si="438"/>
        <v>BPST1</v>
      </c>
      <c r="C656" s="2027">
        <f t="shared" si="459"/>
        <v>6</v>
      </c>
      <c r="D656" s="2144">
        <f t="shared" si="459"/>
        <v>0</v>
      </c>
      <c r="E656" s="2145">
        <f t="shared" si="459"/>
        <v>0</v>
      </c>
      <c r="F656" s="2027">
        <f t="shared" si="459"/>
        <v>0</v>
      </c>
      <c r="G656" s="1974" t="s">
        <v>2988</v>
      </c>
      <c r="H656" s="1974" t="s">
        <v>2988</v>
      </c>
      <c r="I656" s="2026">
        <v>0.9</v>
      </c>
      <c r="J656" s="2026">
        <v>0.9</v>
      </c>
      <c r="K656" s="2026">
        <v>0.9</v>
      </c>
      <c r="L656" s="2026">
        <v>0.9</v>
      </c>
      <c r="M656" s="2027">
        <f t="shared" si="426"/>
        <v>0</v>
      </c>
      <c r="N656" s="2027">
        <f t="shared" si="426"/>
        <v>0</v>
      </c>
      <c r="O656" s="2027">
        <f t="shared" si="426"/>
        <v>0</v>
      </c>
      <c r="P656" s="2027">
        <f t="shared" si="426"/>
        <v>0</v>
      </c>
      <c r="Q656" s="2026">
        <v>0.9</v>
      </c>
      <c r="R656" s="2026">
        <v>0.9</v>
      </c>
      <c r="S656" s="2026">
        <v>0.9</v>
      </c>
      <c r="T656" s="2026">
        <v>0.9</v>
      </c>
      <c r="U656" s="2028">
        <f t="shared" si="427"/>
        <v>0</v>
      </c>
      <c r="V656" s="2028">
        <f t="shared" si="427"/>
        <v>0</v>
      </c>
      <c r="W656" s="2028">
        <f t="shared" si="427"/>
        <v>0</v>
      </c>
      <c r="X656" s="2028">
        <f t="shared" si="427"/>
        <v>0</v>
      </c>
      <c r="Y656" s="2026">
        <v>0.9</v>
      </c>
      <c r="Z656" s="2026">
        <v>0.9</v>
      </c>
      <c r="AA656" s="2026">
        <v>0.9</v>
      </c>
      <c r="AB656" s="2026">
        <v>0.9</v>
      </c>
      <c r="AC656" s="2027">
        <f t="shared" si="428"/>
        <v>0</v>
      </c>
      <c r="AD656" s="2027">
        <f t="shared" si="428"/>
        <v>0</v>
      </c>
      <c r="AE656" s="2027">
        <f t="shared" si="428"/>
        <v>0</v>
      </c>
      <c r="AF656" s="2027">
        <f t="shared" si="428"/>
        <v>0</v>
      </c>
      <c r="AG656" s="2027">
        <f>AG657*6</f>
        <v>900</v>
      </c>
      <c r="AH656" s="2027">
        <f>AH657*6</f>
        <v>900</v>
      </c>
      <c r="AI656" s="2027">
        <f>AI657*6</f>
        <v>900</v>
      </c>
      <c r="AJ656" s="2027">
        <f>AJ657*6</f>
        <v>900</v>
      </c>
      <c r="AK656" s="2027">
        <f t="shared" si="434"/>
        <v>0</v>
      </c>
      <c r="AL656" s="2027">
        <f t="shared" si="453"/>
        <v>0</v>
      </c>
      <c r="AM656" s="2027">
        <f t="shared" si="453"/>
        <v>0</v>
      </c>
      <c r="AN656" s="2027">
        <f t="shared" si="453"/>
        <v>0</v>
      </c>
      <c r="AO656" s="2027">
        <f t="shared" si="429"/>
        <v>0</v>
      </c>
      <c r="AP656" s="2027">
        <f t="shared" si="421"/>
        <v>0</v>
      </c>
      <c r="AQ656" s="2027">
        <f t="shared" si="421"/>
        <v>0</v>
      </c>
      <c r="AR656" s="2027">
        <f t="shared" si="421"/>
        <v>0</v>
      </c>
      <c r="AS656" s="2124">
        <f>AS195*1.5</f>
        <v>0</v>
      </c>
      <c r="AT656" s="2029">
        <f t="shared" si="422"/>
        <v>0</v>
      </c>
      <c r="AU656" s="2029">
        <f t="shared" si="422"/>
        <v>0</v>
      </c>
      <c r="AV656" s="2029">
        <f t="shared" si="422"/>
        <v>0</v>
      </c>
      <c r="AW656" s="2124">
        <f t="shared" si="460"/>
        <v>40</v>
      </c>
      <c r="AX656" s="2029">
        <f t="shared" si="440"/>
        <v>40</v>
      </c>
      <c r="AY656" s="2029">
        <f t="shared" si="440"/>
        <v>40</v>
      </c>
      <c r="AZ656" s="2029">
        <f t="shared" si="440"/>
        <v>40</v>
      </c>
      <c r="BA656" s="2124">
        <f t="shared" si="470"/>
        <v>20</v>
      </c>
      <c r="BB656" s="2029">
        <f t="shared" si="470"/>
        <v>20</v>
      </c>
      <c r="BC656" s="2029">
        <f t="shared" si="470"/>
        <v>20</v>
      </c>
      <c r="BD656" s="2029">
        <f t="shared" si="470"/>
        <v>20</v>
      </c>
      <c r="BE656" s="2030">
        <f t="shared" si="430"/>
        <v>0</v>
      </c>
      <c r="BF656" s="2030">
        <f t="shared" si="430"/>
        <v>0</v>
      </c>
      <c r="BG656" s="2030">
        <f t="shared" si="430"/>
        <v>0</v>
      </c>
      <c r="BH656" s="2030">
        <f t="shared" si="430"/>
        <v>0</v>
      </c>
      <c r="BI656" s="2030">
        <f t="shared" si="431"/>
        <v>36000</v>
      </c>
      <c r="BJ656" s="2030">
        <f t="shared" si="431"/>
        <v>36000</v>
      </c>
      <c r="BK656" s="2030">
        <f t="shared" si="431"/>
        <v>36000</v>
      </c>
      <c r="BL656" s="2030">
        <f t="shared" si="431"/>
        <v>36000</v>
      </c>
      <c r="BM656" s="2125"/>
      <c r="BN656" s="2125"/>
      <c r="BO656" s="2125"/>
      <c r="BP656" s="2125"/>
      <c r="BQ656" s="2125"/>
      <c r="BR656" s="2125"/>
      <c r="BS656" s="2125"/>
      <c r="BT656" s="2125"/>
      <c r="BU656" s="2029"/>
      <c r="BV656" s="2029"/>
      <c r="BW656" s="2029"/>
      <c r="BX656" s="2029"/>
      <c r="BY656" s="2029"/>
      <c r="BZ656" s="2032"/>
      <c r="CA656" s="1974">
        <f t="shared" si="455"/>
        <v>0</v>
      </c>
      <c r="CB656" s="1974">
        <f t="shared" si="455"/>
        <v>0</v>
      </c>
      <c r="CC656" s="1974">
        <f t="shared" si="455"/>
        <v>0</v>
      </c>
      <c r="CD656" s="1974">
        <f t="shared" si="455"/>
        <v>0</v>
      </c>
      <c r="CE656" s="1974">
        <f t="shared" si="455"/>
        <v>0</v>
      </c>
      <c r="CF656" s="2033">
        <v>0</v>
      </c>
      <c r="CG656" s="2026">
        <v>0</v>
      </c>
      <c r="CH656" s="2009">
        <f t="shared" si="456"/>
        <v>0</v>
      </c>
      <c r="CI656" s="2031">
        <f t="shared" si="456"/>
        <v>0</v>
      </c>
      <c r="CJ656" s="1974">
        <f t="shared" si="456"/>
        <v>0</v>
      </c>
      <c r="CK656" s="2031">
        <f t="shared" si="456"/>
        <v>0</v>
      </c>
      <c r="CL656" s="2026">
        <v>1</v>
      </c>
      <c r="CM656" s="2026">
        <v>1</v>
      </c>
      <c r="CN656" s="2026">
        <v>1</v>
      </c>
      <c r="CO656" s="2026">
        <v>1</v>
      </c>
      <c r="CP656" s="2035"/>
      <c r="CQ656" s="2036"/>
      <c r="CR656" s="2036"/>
      <c r="CS656" s="2036"/>
      <c r="CT656" s="2036"/>
      <c r="CU656" s="2036"/>
      <c r="CV656" s="1973">
        <v>1</v>
      </c>
      <c r="CW656" s="1973">
        <v>0</v>
      </c>
      <c r="CX656" s="2037">
        <v>40</v>
      </c>
      <c r="CY656" s="2037">
        <v>40</v>
      </c>
      <c r="CZ656" s="2037">
        <v>40</v>
      </c>
      <c r="DA656" s="2037">
        <v>40</v>
      </c>
      <c r="DJ656" s="1976">
        <v>0</v>
      </c>
      <c r="DK656" s="1973">
        <v>0</v>
      </c>
      <c r="DL656" s="1973">
        <v>0</v>
      </c>
      <c r="DM656" s="1973">
        <v>0</v>
      </c>
      <c r="DO656" s="2027">
        <v>6</v>
      </c>
      <c r="DP656" s="2144">
        <v>0</v>
      </c>
      <c r="DQ656" s="2145">
        <v>0</v>
      </c>
      <c r="DR656" s="2027">
        <v>0</v>
      </c>
      <c r="DS656" s="2124">
        <v>0</v>
      </c>
      <c r="DT656" s="2029">
        <v>0</v>
      </c>
      <c r="DU656" s="2029">
        <v>0</v>
      </c>
      <c r="DV656" s="2029">
        <v>0</v>
      </c>
      <c r="DW656" s="2124">
        <v>40</v>
      </c>
      <c r="DX656" s="2029">
        <v>40</v>
      </c>
      <c r="DY656" s="2029">
        <v>40</v>
      </c>
      <c r="DZ656" s="2029">
        <v>40</v>
      </c>
      <c r="EA656" s="2124">
        <v>20</v>
      </c>
      <c r="EB656" s="2029">
        <v>20</v>
      </c>
      <c r="EC656" s="2029">
        <v>20</v>
      </c>
      <c r="ED656" s="2029">
        <v>20</v>
      </c>
      <c r="EE656" s="2039">
        <f t="shared" si="463"/>
        <v>0</v>
      </c>
      <c r="EF656" s="2039">
        <f t="shared" si="463"/>
        <v>0</v>
      </c>
      <c r="EG656" s="2039">
        <f t="shared" si="463"/>
        <v>0</v>
      </c>
      <c r="EH656" s="2039">
        <f t="shared" si="462"/>
        <v>0</v>
      </c>
      <c r="EI656" s="2040">
        <f t="shared" si="468"/>
        <v>0</v>
      </c>
      <c r="EJ656" s="2040">
        <f t="shared" si="468"/>
        <v>0</v>
      </c>
      <c r="EK656" s="2040">
        <f t="shared" si="468"/>
        <v>0</v>
      </c>
      <c r="EL656" s="2040">
        <f t="shared" si="464"/>
        <v>0</v>
      </c>
      <c r="EM656" s="2040">
        <f t="shared" si="464"/>
        <v>0</v>
      </c>
      <c r="EN656" s="2040">
        <f t="shared" si="464"/>
        <v>0</v>
      </c>
      <c r="EO656" s="2040">
        <f t="shared" si="464"/>
        <v>0</v>
      </c>
      <c r="EP656" s="2040">
        <f t="shared" si="464"/>
        <v>0</v>
      </c>
      <c r="EQ656" s="2040">
        <f t="shared" si="464"/>
        <v>0</v>
      </c>
      <c r="ER656" s="2040">
        <f t="shared" si="464"/>
        <v>0</v>
      </c>
      <c r="ES656" s="2040">
        <f t="shared" si="464"/>
        <v>0</v>
      </c>
      <c r="ET656" s="2040">
        <f t="shared" si="464"/>
        <v>0</v>
      </c>
      <c r="EU656" s="2039">
        <f t="shared" si="465"/>
        <v>0</v>
      </c>
      <c r="EV656" s="2039">
        <f t="shared" si="466"/>
        <v>0</v>
      </c>
    </row>
    <row r="657" spans="1:152" x14ac:dyDescent="0.25">
      <c r="A657" s="2150" t="s">
        <v>204</v>
      </c>
      <c r="B657" s="1974" t="str">
        <f t="shared" si="438"/>
        <v>BPST2</v>
      </c>
      <c r="C657" s="2027">
        <f t="shared" si="459"/>
        <v>6</v>
      </c>
      <c r="D657" s="2144">
        <f t="shared" si="459"/>
        <v>0</v>
      </c>
      <c r="E657" s="2145">
        <f t="shared" si="459"/>
        <v>0</v>
      </c>
      <c r="F657" s="2027">
        <f t="shared" si="459"/>
        <v>297.65043171806178</v>
      </c>
      <c r="G657" s="1974" t="s">
        <v>2988</v>
      </c>
      <c r="H657" s="1974" t="s">
        <v>2988</v>
      </c>
      <c r="I657" s="2026">
        <v>0.9</v>
      </c>
      <c r="J657" s="2026">
        <v>0.9</v>
      </c>
      <c r="K657" s="2026">
        <v>0.9</v>
      </c>
      <c r="L657" s="2026">
        <v>0.9</v>
      </c>
      <c r="M657" s="2027">
        <f t="shared" si="426"/>
        <v>0</v>
      </c>
      <c r="N657" s="2027">
        <f t="shared" si="426"/>
        <v>0</v>
      </c>
      <c r="O657" s="2027">
        <f t="shared" si="426"/>
        <v>0</v>
      </c>
      <c r="P657" s="2027">
        <f t="shared" si="426"/>
        <v>0</v>
      </c>
      <c r="Q657" s="2026">
        <v>0.9</v>
      </c>
      <c r="R657" s="2026">
        <v>0.9</v>
      </c>
      <c r="S657" s="2026">
        <v>0.9</v>
      </c>
      <c r="T657" s="2026">
        <v>0.9</v>
      </c>
      <c r="U657" s="2028">
        <f t="shared" si="427"/>
        <v>0</v>
      </c>
      <c r="V657" s="2028">
        <f t="shared" si="427"/>
        <v>0</v>
      </c>
      <c r="W657" s="2028">
        <f t="shared" si="427"/>
        <v>0</v>
      </c>
      <c r="X657" s="2028">
        <f t="shared" si="427"/>
        <v>0</v>
      </c>
      <c r="Y657" s="2026">
        <v>0.9</v>
      </c>
      <c r="Z657" s="2026">
        <v>0.9</v>
      </c>
      <c r="AA657" s="2026">
        <v>0.9</v>
      </c>
      <c r="AB657" s="2026">
        <v>0.9</v>
      </c>
      <c r="AC657" s="2027">
        <f t="shared" si="428"/>
        <v>267.88538854625563</v>
      </c>
      <c r="AD657" s="2027">
        <f t="shared" si="428"/>
        <v>267.88538854625563</v>
      </c>
      <c r="AE657" s="2027">
        <f t="shared" si="428"/>
        <v>267.88538854625563</v>
      </c>
      <c r="AF657" s="2027">
        <f t="shared" si="428"/>
        <v>267.88538854625563</v>
      </c>
      <c r="AG657" s="2027">
        <v>150</v>
      </c>
      <c r="AH657" s="2027">
        <v>150</v>
      </c>
      <c r="AI657" s="2027">
        <v>150</v>
      </c>
      <c r="AJ657" s="2027">
        <v>150</v>
      </c>
      <c r="AK657" s="2027">
        <f t="shared" si="434"/>
        <v>0</v>
      </c>
      <c r="AL657" s="2027">
        <f t="shared" si="453"/>
        <v>0</v>
      </c>
      <c r="AM657" s="2027">
        <f t="shared" si="453"/>
        <v>0</v>
      </c>
      <c r="AN657" s="2027">
        <f t="shared" si="453"/>
        <v>0</v>
      </c>
      <c r="AO657" s="2027">
        <f t="shared" si="429"/>
        <v>40182.808281938342</v>
      </c>
      <c r="AP657" s="2027">
        <f t="shared" si="421"/>
        <v>40182.808281938342</v>
      </c>
      <c r="AQ657" s="2027">
        <f t="shared" si="421"/>
        <v>40182.808281938342</v>
      </c>
      <c r="AR657" s="2027">
        <f t="shared" si="421"/>
        <v>40182.808281938342</v>
      </c>
      <c r="AS657" s="2124">
        <f>AS196*1.5</f>
        <v>0</v>
      </c>
      <c r="AT657" s="2029">
        <f t="shared" si="422"/>
        <v>0</v>
      </c>
      <c r="AU657" s="2029">
        <f t="shared" si="422"/>
        <v>0</v>
      </c>
      <c r="AV657" s="2029">
        <f t="shared" si="422"/>
        <v>0</v>
      </c>
      <c r="AW657" s="2124">
        <v>100</v>
      </c>
      <c r="AX657" s="2029">
        <f t="shared" si="440"/>
        <v>100</v>
      </c>
      <c r="AY657" s="2029">
        <f t="shared" si="440"/>
        <v>100</v>
      </c>
      <c r="AZ657" s="2029">
        <f t="shared" si="440"/>
        <v>100</v>
      </c>
      <c r="BA657" s="2124">
        <v>77</v>
      </c>
      <c r="BB657" s="2029">
        <f>$BA657</f>
        <v>77</v>
      </c>
      <c r="BC657" s="2029">
        <f t="shared" ref="BC657:BD657" si="472">$BA657</f>
        <v>77</v>
      </c>
      <c r="BD657" s="2029">
        <f t="shared" si="472"/>
        <v>77</v>
      </c>
      <c r="BE657" s="2030">
        <f t="shared" si="430"/>
        <v>0</v>
      </c>
      <c r="BF657" s="2030">
        <f t="shared" si="430"/>
        <v>0</v>
      </c>
      <c r="BG657" s="2030">
        <f t="shared" si="430"/>
        <v>0</v>
      </c>
      <c r="BH657" s="2030">
        <f t="shared" si="430"/>
        <v>0</v>
      </c>
      <c r="BI657" s="2030">
        <f t="shared" si="431"/>
        <v>15000</v>
      </c>
      <c r="BJ657" s="2030">
        <f t="shared" si="431"/>
        <v>15000</v>
      </c>
      <c r="BK657" s="2030">
        <f t="shared" si="431"/>
        <v>15000</v>
      </c>
      <c r="BL657" s="2030">
        <f t="shared" si="431"/>
        <v>15000</v>
      </c>
      <c r="BM657" s="2125"/>
      <c r="BN657" s="2125"/>
      <c r="BO657" s="2125"/>
      <c r="BP657" s="2125"/>
      <c r="BQ657" s="2125"/>
      <c r="BR657" s="2125"/>
      <c r="BS657" s="2125"/>
      <c r="BT657" s="2125"/>
      <c r="BU657" s="2029"/>
      <c r="BV657" s="2029"/>
      <c r="BW657" s="2029"/>
      <c r="BX657" s="2029"/>
      <c r="BY657" s="2029"/>
      <c r="BZ657" s="2032"/>
      <c r="CA657" s="1974">
        <f t="shared" si="455"/>
        <v>0</v>
      </c>
      <c r="CB657" s="1974">
        <f t="shared" si="455"/>
        <v>0</v>
      </c>
      <c r="CC657" s="1974">
        <f t="shared" si="455"/>
        <v>0</v>
      </c>
      <c r="CD657" s="1974">
        <f t="shared" si="455"/>
        <v>0</v>
      </c>
      <c r="CE657" s="1974">
        <f t="shared" si="455"/>
        <v>0</v>
      </c>
      <c r="CF657" s="2033">
        <v>0</v>
      </c>
      <c r="CG657" s="2026">
        <v>1.4991419383924023E-2</v>
      </c>
      <c r="CH657" s="2009">
        <f t="shared" si="456"/>
        <v>0</v>
      </c>
      <c r="CI657" s="2031">
        <f t="shared" si="456"/>
        <v>0</v>
      </c>
      <c r="CJ657" s="1974">
        <f t="shared" si="456"/>
        <v>0</v>
      </c>
      <c r="CK657" s="2031">
        <f t="shared" si="456"/>
        <v>0</v>
      </c>
      <c r="CL657" s="2026">
        <v>1</v>
      </c>
      <c r="CM657" s="2026">
        <v>1</v>
      </c>
      <c r="CN657" s="2026">
        <v>1</v>
      </c>
      <c r="CO657" s="2026">
        <v>1</v>
      </c>
      <c r="CP657" s="2035"/>
      <c r="CQ657" s="2036"/>
      <c r="CR657" s="2036"/>
      <c r="CS657" s="2036"/>
      <c r="CT657" s="2036"/>
      <c r="CU657" s="2036"/>
      <c r="CV657" s="1973">
        <v>1</v>
      </c>
      <c r="CW657" s="1973">
        <v>0</v>
      </c>
      <c r="CX657" s="2037">
        <v>100</v>
      </c>
      <c r="CY657" s="2037">
        <v>100</v>
      </c>
      <c r="CZ657" s="2037">
        <v>100</v>
      </c>
      <c r="DA657" s="2037">
        <v>100</v>
      </c>
      <c r="DJ657" s="1976">
        <v>0</v>
      </c>
      <c r="DK657" s="1973">
        <v>0</v>
      </c>
      <c r="DL657" s="1973">
        <v>0</v>
      </c>
      <c r="DM657" s="1973">
        <v>0</v>
      </c>
      <c r="DO657" s="2027">
        <v>6</v>
      </c>
      <c r="DP657" s="2144">
        <v>0</v>
      </c>
      <c r="DQ657" s="2145">
        <v>0</v>
      </c>
      <c r="DR657" s="2027">
        <v>297.65043171806178</v>
      </c>
      <c r="DS657" s="2124">
        <v>0</v>
      </c>
      <c r="DT657" s="2029">
        <v>0</v>
      </c>
      <c r="DU657" s="2029">
        <v>0</v>
      </c>
      <c r="DV657" s="2029">
        <v>0</v>
      </c>
      <c r="DW657" s="2124">
        <v>100</v>
      </c>
      <c r="DX657" s="2029">
        <v>100</v>
      </c>
      <c r="DY657" s="2029">
        <v>100</v>
      </c>
      <c r="DZ657" s="2029">
        <v>100</v>
      </c>
      <c r="EA657" s="2124">
        <v>77</v>
      </c>
      <c r="EB657" s="2029">
        <v>77</v>
      </c>
      <c r="EC657" s="2029">
        <v>77</v>
      </c>
      <c r="ED657" s="2029">
        <v>77</v>
      </c>
      <c r="EE657" s="2039">
        <f t="shared" si="463"/>
        <v>0</v>
      </c>
      <c r="EF657" s="2039">
        <f t="shared" si="463"/>
        <v>0</v>
      </c>
      <c r="EG657" s="2039">
        <f t="shared" si="463"/>
        <v>0</v>
      </c>
      <c r="EH657" s="2039">
        <f t="shared" si="462"/>
        <v>0</v>
      </c>
      <c r="EI657" s="2040">
        <f t="shared" si="468"/>
        <v>0</v>
      </c>
      <c r="EJ657" s="2040">
        <f t="shared" si="468"/>
        <v>0</v>
      </c>
      <c r="EK657" s="2040">
        <f t="shared" si="468"/>
        <v>0</v>
      </c>
      <c r="EL657" s="2040">
        <f t="shared" si="464"/>
        <v>0</v>
      </c>
      <c r="EM657" s="2040">
        <f t="shared" si="464"/>
        <v>0</v>
      </c>
      <c r="EN657" s="2040">
        <f t="shared" si="464"/>
        <v>0</v>
      </c>
      <c r="EO657" s="2040">
        <f t="shared" si="464"/>
        <v>0</v>
      </c>
      <c r="EP657" s="2040">
        <f t="shared" si="464"/>
        <v>0</v>
      </c>
      <c r="EQ657" s="2040">
        <f t="shared" si="464"/>
        <v>0</v>
      </c>
      <c r="ER657" s="2040">
        <f t="shared" si="464"/>
        <v>0</v>
      </c>
      <c r="ES657" s="2040">
        <f t="shared" si="464"/>
        <v>0</v>
      </c>
      <c r="ET657" s="2040">
        <f t="shared" si="464"/>
        <v>0</v>
      </c>
      <c r="EU657" s="2039">
        <f t="shared" si="465"/>
        <v>0</v>
      </c>
      <c r="EV657" s="2039">
        <f t="shared" si="466"/>
        <v>0</v>
      </c>
    </row>
    <row r="658" spans="1:152" x14ac:dyDescent="0.25">
      <c r="A658" s="2150" t="s">
        <v>205</v>
      </c>
      <c r="B658" s="1974" t="str">
        <f t="shared" si="438"/>
        <v>BPST4</v>
      </c>
      <c r="C658" s="2027">
        <f t="shared" si="459"/>
        <v>6</v>
      </c>
      <c r="D658" s="2144">
        <f t="shared" si="459"/>
        <v>0</v>
      </c>
      <c r="E658" s="2145">
        <f t="shared" si="459"/>
        <v>0</v>
      </c>
      <c r="F658" s="2027">
        <f t="shared" si="459"/>
        <v>0</v>
      </c>
      <c r="G658" s="1974" t="s">
        <v>2988</v>
      </c>
      <c r="H658" s="1974" t="s">
        <v>2988</v>
      </c>
      <c r="I658" s="2026">
        <v>0.9</v>
      </c>
      <c r="J658" s="2026">
        <v>0.9</v>
      </c>
      <c r="K658" s="2026">
        <v>0.9</v>
      </c>
      <c r="L658" s="2026">
        <v>0.9</v>
      </c>
      <c r="M658" s="2027">
        <f t="shared" si="426"/>
        <v>0</v>
      </c>
      <c r="N658" s="2027">
        <f t="shared" si="426"/>
        <v>0</v>
      </c>
      <c r="O658" s="2027">
        <f t="shared" si="426"/>
        <v>0</v>
      </c>
      <c r="P658" s="2027">
        <f t="shared" si="426"/>
        <v>0</v>
      </c>
      <c r="Q658" s="2026">
        <v>0.9</v>
      </c>
      <c r="R658" s="2026">
        <v>0.9</v>
      </c>
      <c r="S658" s="2026">
        <v>0.9</v>
      </c>
      <c r="T658" s="2026">
        <v>0.9</v>
      </c>
      <c r="U658" s="2028">
        <f t="shared" si="427"/>
        <v>0</v>
      </c>
      <c r="V658" s="2028">
        <f t="shared" si="427"/>
        <v>0</v>
      </c>
      <c r="W658" s="2028">
        <f t="shared" si="427"/>
        <v>0</v>
      </c>
      <c r="X658" s="2028">
        <f t="shared" si="427"/>
        <v>0</v>
      </c>
      <c r="Y658" s="2026">
        <v>0.9</v>
      </c>
      <c r="Z658" s="2026">
        <v>0.9</v>
      </c>
      <c r="AA658" s="2026">
        <v>0.9</v>
      </c>
      <c r="AB658" s="2026">
        <v>0.9</v>
      </c>
      <c r="AC658" s="2027">
        <f t="shared" si="428"/>
        <v>0</v>
      </c>
      <c r="AD658" s="2027">
        <f t="shared" si="428"/>
        <v>0</v>
      </c>
      <c r="AE658" s="2027">
        <f t="shared" si="428"/>
        <v>0</v>
      </c>
      <c r="AF658" s="2027">
        <f t="shared" si="428"/>
        <v>0</v>
      </c>
      <c r="AG658" s="2027">
        <f>AG659*6</f>
        <v>30</v>
      </c>
      <c r="AH658" s="2027">
        <f>AH659*6</f>
        <v>30</v>
      </c>
      <c r="AI658" s="2027">
        <f>AI659*6</f>
        <v>30</v>
      </c>
      <c r="AJ658" s="2027">
        <f>AJ659*6</f>
        <v>30</v>
      </c>
      <c r="AK658" s="2027">
        <f t="shared" si="434"/>
        <v>0</v>
      </c>
      <c r="AL658" s="2027">
        <f t="shared" si="453"/>
        <v>0</v>
      </c>
      <c r="AM658" s="2027">
        <f t="shared" si="453"/>
        <v>0</v>
      </c>
      <c r="AN658" s="2027">
        <f t="shared" si="453"/>
        <v>0</v>
      </c>
      <c r="AO658" s="2027">
        <f t="shared" si="429"/>
        <v>0</v>
      </c>
      <c r="AP658" s="2027">
        <f t="shared" si="421"/>
        <v>0</v>
      </c>
      <c r="AQ658" s="2027">
        <f t="shared" si="421"/>
        <v>0</v>
      </c>
      <c r="AR658" s="2027">
        <f t="shared" si="421"/>
        <v>0</v>
      </c>
      <c r="AS658" s="2124">
        <f>AS197*1.5</f>
        <v>0</v>
      </c>
      <c r="AT658" s="2029">
        <f t="shared" si="422"/>
        <v>0</v>
      </c>
      <c r="AU658" s="2029">
        <f t="shared" si="422"/>
        <v>0</v>
      </c>
      <c r="AV658" s="2029">
        <f t="shared" si="422"/>
        <v>0</v>
      </c>
      <c r="AW658" s="2124">
        <f t="shared" si="460"/>
        <v>46.54</v>
      </c>
      <c r="AX658" s="2029">
        <f t="shared" si="440"/>
        <v>46.54</v>
      </c>
      <c r="AY658" s="2029">
        <f t="shared" si="440"/>
        <v>46.54</v>
      </c>
      <c r="AZ658" s="2029">
        <f t="shared" si="440"/>
        <v>46.54</v>
      </c>
      <c r="BA658" s="2124">
        <f t="shared" si="470"/>
        <v>20</v>
      </c>
      <c r="BB658" s="2029">
        <f t="shared" si="470"/>
        <v>20</v>
      </c>
      <c r="BC658" s="2029">
        <f t="shared" si="470"/>
        <v>20</v>
      </c>
      <c r="BD658" s="2029">
        <f t="shared" si="470"/>
        <v>20</v>
      </c>
      <c r="BE658" s="2030">
        <f t="shared" si="430"/>
        <v>0</v>
      </c>
      <c r="BF658" s="2030">
        <f t="shared" si="430"/>
        <v>0</v>
      </c>
      <c r="BG658" s="2030">
        <f t="shared" si="430"/>
        <v>0</v>
      </c>
      <c r="BH658" s="2030">
        <f t="shared" si="430"/>
        <v>0</v>
      </c>
      <c r="BI658" s="2030">
        <f t="shared" si="431"/>
        <v>1396.2</v>
      </c>
      <c r="BJ658" s="2030">
        <f t="shared" si="431"/>
        <v>1396.2</v>
      </c>
      <c r="BK658" s="2030">
        <f t="shared" si="431"/>
        <v>1396.2</v>
      </c>
      <c r="BL658" s="2030">
        <f t="shared" si="431"/>
        <v>1396.2</v>
      </c>
      <c r="BM658" s="2125"/>
      <c r="BN658" s="2125"/>
      <c r="BO658" s="2125"/>
      <c r="BP658" s="2125"/>
      <c r="BQ658" s="2125"/>
      <c r="BR658" s="2125"/>
      <c r="BS658" s="2125"/>
      <c r="BT658" s="2125"/>
      <c r="BU658" s="2029"/>
      <c r="BV658" s="2029"/>
      <c r="BW658" s="2029"/>
      <c r="BX658" s="2029"/>
      <c r="BY658" s="2029"/>
      <c r="BZ658" s="2032"/>
      <c r="CA658" s="1974">
        <f t="shared" si="455"/>
        <v>0</v>
      </c>
      <c r="CB658" s="1974">
        <f t="shared" si="455"/>
        <v>0</v>
      </c>
      <c r="CC658" s="1974">
        <f t="shared" si="455"/>
        <v>0</v>
      </c>
      <c r="CD658" s="1974">
        <f t="shared" si="455"/>
        <v>0</v>
      </c>
      <c r="CE658" s="1974">
        <f t="shared" si="455"/>
        <v>0</v>
      </c>
      <c r="CF658" s="2033">
        <v>0</v>
      </c>
      <c r="CG658" s="2026">
        <v>0</v>
      </c>
      <c r="CH658" s="2009">
        <f t="shared" si="456"/>
        <v>0</v>
      </c>
      <c r="CI658" s="2031">
        <f t="shared" si="456"/>
        <v>0</v>
      </c>
      <c r="CJ658" s="1974">
        <f t="shared" si="456"/>
        <v>0</v>
      </c>
      <c r="CK658" s="2031">
        <f t="shared" si="456"/>
        <v>0</v>
      </c>
      <c r="CL658" s="2026">
        <v>1</v>
      </c>
      <c r="CM658" s="2026">
        <v>1</v>
      </c>
      <c r="CN658" s="2026">
        <v>1</v>
      </c>
      <c r="CO658" s="2026">
        <v>1</v>
      </c>
      <c r="CP658" s="2035"/>
      <c r="CQ658" s="2036"/>
      <c r="CR658" s="2036"/>
      <c r="CS658" s="2036"/>
      <c r="CT658" s="2036"/>
      <c r="CU658" s="2036"/>
      <c r="CV658" s="1973">
        <v>1</v>
      </c>
      <c r="CW658" s="1973">
        <v>0</v>
      </c>
      <c r="CX658" s="2037">
        <v>46.54</v>
      </c>
      <c r="CY658" s="2037">
        <v>46.54</v>
      </c>
      <c r="CZ658" s="2037">
        <v>46.54</v>
      </c>
      <c r="DA658" s="2037">
        <v>46.54</v>
      </c>
      <c r="DJ658" s="1976">
        <v>0</v>
      </c>
      <c r="DK658" s="1973">
        <v>0</v>
      </c>
      <c r="DL658" s="1973">
        <v>0</v>
      </c>
      <c r="DM658" s="1973">
        <v>0</v>
      </c>
      <c r="DO658" s="2027">
        <v>6</v>
      </c>
      <c r="DP658" s="2144">
        <v>0</v>
      </c>
      <c r="DQ658" s="2145">
        <v>0</v>
      </c>
      <c r="DR658" s="2027">
        <v>0</v>
      </c>
      <c r="DS658" s="2124">
        <v>0</v>
      </c>
      <c r="DT658" s="2029">
        <v>0</v>
      </c>
      <c r="DU658" s="2029">
        <v>0</v>
      </c>
      <c r="DV658" s="2029">
        <v>0</v>
      </c>
      <c r="DW658" s="2124">
        <v>46.54</v>
      </c>
      <c r="DX658" s="2029">
        <v>46.54</v>
      </c>
      <c r="DY658" s="2029">
        <v>46.54</v>
      </c>
      <c r="DZ658" s="2029">
        <v>46.54</v>
      </c>
      <c r="EA658" s="2124">
        <v>20</v>
      </c>
      <c r="EB658" s="2029">
        <v>20</v>
      </c>
      <c r="EC658" s="2029">
        <v>20</v>
      </c>
      <c r="ED658" s="2029">
        <v>20</v>
      </c>
      <c r="EE658" s="2039">
        <f t="shared" si="463"/>
        <v>0</v>
      </c>
      <c r="EF658" s="2039">
        <f t="shared" si="463"/>
        <v>0</v>
      </c>
      <c r="EG658" s="2039">
        <f t="shared" si="463"/>
        <v>0</v>
      </c>
      <c r="EH658" s="2039">
        <f t="shared" si="462"/>
        <v>0</v>
      </c>
      <c r="EI658" s="2040">
        <f t="shared" si="468"/>
        <v>0</v>
      </c>
      <c r="EJ658" s="2040">
        <f t="shared" si="468"/>
        <v>0</v>
      </c>
      <c r="EK658" s="2040">
        <f t="shared" si="468"/>
        <v>0</v>
      </c>
      <c r="EL658" s="2040">
        <f t="shared" si="464"/>
        <v>0</v>
      </c>
      <c r="EM658" s="2040">
        <f t="shared" si="464"/>
        <v>0</v>
      </c>
      <c r="EN658" s="2040">
        <f t="shared" si="464"/>
        <v>0</v>
      </c>
      <c r="EO658" s="2040">
        <f t="shared" si="464"/>
        <v>0</v>
      </c>
      <c r="EP658" s="2040">
        <f t="shared" si="464"/>
        <v>0</v>
      </c>
      <c r="EQ658" s="2040">
        <f t="shared" si="464"/>
        <v>0</v>
      </c>
      <c r="ER658" s="2040">
        <f t="shared" si="464"/>
        <v>0</v>
      </c>
      <c r="ES658" s="2040">
        <f t="shared" si="464"/>
        <v>0</v>
      </c>
      <c r="ET658" s="2040">
        <f t="shared" si="464"/>
        <v>0</v>
      </c>
      <c r="EU658" s="2039">
        <f t="shared" si="465"/>
        <v>0</v>
      </c>
      <c r="EV658" s="2039">
        <f t="shared" si="466"/>
        <v>0</v>
      </c>
    </row>
    <row r="659" spans="1:152" s="2138" customFormat="1" ht="12" thickBot="1" x14ac:dyDescent="0.3">
      <c r="A659" s="2150" t="s">
        <v>206</v>
      </c>
      <c r="B659" s="1974" t="str">
        <f t="shared" si="438"/>
        <v>BPST5</v>
      </c>
      <c r="C659" s="2027">
        <v>6</v>
      </c>
      <c r="D659" s="2171">
        <v>0</v>
      </c>
      <c r="E659" s="2145">
        <v>0</v>
      </c>
      <c r="F659" s="2027">
        <v>4382.0432722457281</v>
      </c>
      <c r="G659" s="1974" t="s">
        <v>2988</v>
      </c>
      <c r="H659" s="1974" t="s">
        <v>2988</v>
      </c>
      <c r="I659" s="2026">
        <v>0.9</v>
      </c>
      <c r="J659" s="2026">
        <v>0.9</v>
      </c>
      <c r="K659" s="2026">
        <v>0.9</v>
      </c>
      <c r="L659" s="2026">
        <v>0.9</v>
      </c>
      <c r="M659" s="2027">
        <f t="shared" si="426"/>
        <v>0</v>
      </c>
      <c r="N659" s="2027">
        <f t="shared" si="426"/>
        <v>0</v>
      </c>
      <c r="O659" s="2027">
        <f t="shared" si="426"/>
        <v>0</v>
      </c>
      <c r="P659" s="2027">
        <f t="shared" ref="P659" si="473">$D659*L659</f>
        <v>0</v>
      </c>
      <c r="Q659" s="2026">
        <v>0.9</v>
      </c>
      <c r="R659" s="2026">
        <v>0.9</v>
      </c>
      <c r="S659" s="2026">
        <v>0.9</v>
      </c>
      <c r="T659" s="2026">
        <v>0.9</v>
      </c>
      <c r="U659" s="2028">
        <f t="shared" si="427"/>
        <v>0</v>
      </c>
      <c r="V659" s="2028">
        <f t="shared" si="427"/>
        <v>0</v>
      </c>
      <c r="W659" s="2028">
        <f t="shared" si="427"/>
        <v>0</v>
      </c>
      <c r="X659" s="2028">
        <f t="shared" ref="X659" si="474">$E659*T659</f>
        <v>0</v>
      </c>
      <c r="Y659" s="2026">
        <v>0.9</v>
      </c>
      <c r="Z659" s="2026">
        <v>0.9</v>
      </c>
      <c r="AA659" s="2026">
        <v>0.9</v>
      </c>
      <c r="AB659" s="2026">
        <v>0.9</v>
      </c>
      <c r="AC659" s="2027">
        <f t="shared" si="428"/>
        <v>3943.8389450211553</v>
      </c>
      <c r="AD659" s="2027">
        <f t="shared" si="428"/>
        <v>3943.8389450211553</v>
      </c>
      <c r="AE659" s="2027">
        <f t="shared" si="428"/>
        <v>3943.8389450211553</v>
      </c>
      <c r="AF659" s="2027">
        <f t="shared" ref="AF659" si="475">$F659*AB659</f>
        <v>3943.8389450211553</v>
      </c>
      <c r="AG659" s="2027">
        <v>5</v>
      </c>
      <c r="AH659" s="2027">
        <v>5</v>
      </c>
      <c r="AI659" s="2027">
        <v>5</v>
      </c>
      <c r="AJ659" s="2027">
        <v>5</v>
      </c>
      <c r="AK659" s="2027">
        <f t="shared" si="434"/>
        <v>0</v>
      </c>
      <c r="AL659" s="2027">
        <f t="shared" si="453"/>
        <v>0</v>
      </c>
      <c r="AM659" s="2027">
        <f t="shared" si="453"/>
        <v>0</v>
      </c>
      <c r="AN659" s="2027">
        <f t="shared" si="453"/>
        <v>0</v>
      </c>
      <c r="AO659" s="2027">
        <f t="shared" si="429"/>
        <v>19719.194725105775</v>
      </c>
      <c r="AP659" s="2027">
        <f t="shared" ref="AP659:AR681" si="476">AH659*AD659*CM659</f>
        <v>19719.194725105775</v>
      </c>
      <c r="AQ659" s="2027">
        <f t="shared" si="476"/>
        <v>19719.194725105775</v>
      </c>
      <c r="AR659" s="2027">
        <f t="shared" si="476"/>
        <v>19719.194725105775</v>
      </c>
      <c r="AS659" s="2124">
        <f>AS198*1.5</f>
        <v>0</v>
      </c>
      <c r="AT659" s="2029">
        <f t="shared" ref="AT659:AV674" si="477">$AS659</f>
        <v>0</v>
      </c>
      <c r="AU659" s="2029">
        <f t="shared" si="477"/>
        <v>0</v>
      </c>
      <c r="AV659" s="2029">
        <f t="shared" si="477"/>
        <v>0</v>
      </c>
      <c r="AW659" s="2124">
        <v>263.11677631578948</v>
      </c>
      <c r="AX659" s="2029">
        <f t="shared" si="440"/>
        <v>263.11677631578948</v>
      </c>
      <c r="AY659" s="2029">
        <f t="shared" si="440"/>
        <v>263.11677631578948</v>
      </c>
      <c r="AZ659" s="2029">
        <f t="shared" si="440"/>
        <v>263.11677631578948</v>
      </c>
      <c r="BA659" s="2124">
        <v>275.3700657894737</v>
      </c>
      <c r="BB659" s="2029">
        <f>$BA659</f>
        <v>275.3700657894737</v>
      </c>
      <c r="BC659" s="2029">
        <f t="shared" ref="BC659:BD659" si="478">$BA659</f>
        <v>275.3700657894737</v>
      </c>
      <c r="BD659" s="2029">
        <f t="shared" si="478"/>
        <v>275.3700657894737</v>
      </c>
      <c r="BE659" s="2030">
        <f t="shared" si="430"/>
        <v>0</v>
      </c>
      <c r="BF659" s="2030">
        <f t="shared" si="430"/>
        <v>0</v>
      </c>
      <c r="BG659" s="2030">
        <f t="shared" si="430"/>
        <v>0</v>
      </c>
      <c r="BH659" s="2030">
        <f t="shared" ref="BH659:BH681" si="479">AV659*AJ659</f>
        <v>0</v>
      </c>
      <c r="BI659" s="2030">
        <f t="shared" si="431"/>
        <v>1315.5838815789475</v>
      </c>
      <c r="BJ659" s="2030">
        <f t="shared" si="431"/>
        <v>1315.5838815789475</v>
      </c>
      <c r="BK659" s="2030">
        <f t="shared" si="431"/>
        <v>1315.5838815789475</v>
      </c>
      <c r="BL659" s="2030">
        <f t="shared" ref="BL659:BL681" si="480">AZ659*AJ659</f>
        <v>1315.5838815789475</v>
      </c>
      <c r="BM659" s="2125"/>
      <c r="BN659" s="2125"/>
      <c r="BO659" s="2125"/>
      <c r="BP659" s="2125"/>
      <c r="BQ659" s="2125"/>
      <c r="BR659" s="2125"/>
      <c r="BS659" s="2125"/>
      <c r="BT659" s="2125"/>
      <c r="BU659" s="2029"/>
      <c r="BV659" s="2029"/>
      <c r="BW659" s="2029"/>
      <c r="BX659" s="2029"/>
      <c r="BY659" s="2029"/>
      <c r="BZ659" s="2032"/>
      <c r="CA659" s="1974">
        <f t="shared" ref="CA659:CE659" si="481">CA198</f>
        <v>0</v>
      </c>
      <c r="CB659" s="1974">
        <f t="shared" si="481"/>
        <v>0</v>
      </c>
      <c r="CC659" s="1974">
        <f t="shared" si="481"/>
        <v>0</v>
      </c>
      <c r="CD659" s="1974">
        <f t="shared" si="481"/>
        <v>0</v>
      </c>
      <c r="CE659" s="1974">
        <f t="shared" si="481"/>
        <v>0</v>
      </c>
      <c r="CF659" s="2033">
        <v>0</v>
      </c>
      <c r="CG659" s="2026">
        <v>7.3568456431204665E-3</v>
      </c>
      <c r="CH659" s="2009">
        <f t="shared" ref="CH659:CK659" si="482">CH198</f>
        <v>0</v>
      </c>
      <c r="CI659" s="2031">
        <f t="shared" si="482"/>
        <v>0</v>
      </c>
      <c r="CJ659" s="1974">
        <f t="shared" si="482"/>
        <v>0</v>
      </c>
      <c r="CK659" s="2031">
        <f t="shared" si="482"/>
        <v>0</v>
      </c>
      <c r="CL659" s="2026">
        <v>1</v>
      </c>
      <c r="CM659" s="2026">
        <v>1</v>
      </c>
      <c r="CN659" s="2026">
        <v>1</v>
      </c>
      <c r="CO659" s="2026">
        <v>1</v>
      </c>
      <c r="CP659" s="2035"/>
      <c r="CQ659" s="2036"/>
      <c r="CR659" s="2036"/>
      <c r="CS659" s="2036"/>
      <c r="CT659" s="2036"/>
      <c r="CU659" s="2036"/>
      <c r="CV659" s="1973">
        <v>1</v>
      </c>
      <c r="CW659" s="2138">
        <v>0</v>
      </c>
      <c r="CX659" s="2037">
        <v>263</v>
      </c>
      <c r="CY659" s="2037">
        <v>263</v>
      </c>
      <c r="CZ659" s="2037">
        <v>263</v>
      </c>
      <c r="DA659" s="2037">
        <v>263</v>
      </c>
      <c r="DB659" s="2139"/>
      <c r="DF659" s="2139"/>
      <c r="DJ659" s="2139">
        <v>0</v>
      </c>
      <c r="DK659" s="2138">
        <v>0</v>
      </c>
      <c r="DL659" s="2138">
        <v>0</v>
      </c>
      <c r="DM659" s="2138">
        <v>0</v>
      </c>
      <c r="DN659" s="2140"/>
      <c r="DO659" s="2027">
        <v>6</v>
      </c>
      <c r="DP659" s="2144">
        <v>0</v>
      </c>
      <c r="DQ659" s="2145">
        <v>0</v>
      </c>
      <c r="DR659" s="2027">
        <v>4382.0432722457281</v>
      </c>
      <c r="DS659" s="2124">
        <v>0</v>
      </c>
      <c r="DT659" s="2029">
        <v>0</v>
      </c>
      <c r="DU659" s="2029">
        <v>0</v>
      </c>
      <c r="DV659" s="2029">
        <v>0</v>
      </c>
      <c r="DW659" s="2124">
        <v>263</v>
      </c>
      <c r="DX659" s="2029">
        <v>263</v>
      </c>
      <c r="DY659" s="2029">
        <v>263</v>
      </c>
      <c r="DZ659" s="2029">
        <v>263</v>
      </c>
      <c r="EA659" s="2124">
        <v>275.3700657894737</v>
      </c>
      <c r="EB659" s="2029">
        <v>275.3700657894737</v>
      </c>
      <c r="EC659" s="2029">
        <v>275.3700657894737</v>
      </c>
      <c r="ED659" s="2029">
        <v>275.3700657894737</v>
      </c>
      <c r="EE659" s="2039">
        <f t="shared" si="463"/>
        <v>0</v>
      </c>
      <c r="EF659" s="2039">
        <f t="shared" si="463"/>
        <v>0</v>
      </c>
      <c r="EG659" s="2039">
        <f t="shared" si="463"/>
        <v>0</v>
      </c>
      <c r="EH659" s="2039">
        <f t="shared" si="462"/>
        <v>0</v>
      </c>
      <c r="EI659" s="2040">
        <f t="shared" si="468"/>
        <v>0</v>
      </c>
      <c r="EJ659" s="2040">
        <f t="shared" si="468"/>
        <v>0</v>
      </c>
      <c r="EK659" s="2040">
        <f t="shared" si="468"/>
        <v>0</v>
      </c>
      <c r="EL659" s="2040">
        <f t="shared" si="464"/>
        <v>0</v>
      </c>
      <c r="EM659" s="2040">
        <f t="shared" si="464"/>
        <v>0.11677631578947967</v>
      </c>
      <c r="EN659" s="2040">
        <f t="shared" si="464"/>
        <v>0.11677631578947967</v>
      </c>
      <c r="EO659" s="2040">
        <f t="shared" si="464"/>
        <v>0.11677631578947967</v>
      </c>
      <c r="EP659" s="2040">
        <f t="shared" si="464"/>
        <v>0.11677631578947967</v>
      </c>
      <c r="EQ659" s="2040">
        <f t="shared" si="464"/>
        <v>0</v>
      </c>
      <c r="ER659" s="2040">
        <f t="shared" si="464"/>
        <v>0</v>
      </c>
      <c r="ES659" s="2040">
        <f t="shared" si="464"/>
        <v>0</v>
      </c>
      <c r="ET659" s="2040">
        <f t="shared" si="464"/>
        <v>0</v>
      </c>
      <c r="EU659" s="2039">
        <f t="shared" si="465"/>
        <v>0.46710526315791867</v>
      </c>
      <c r="EV659" s="2039">
        <f t="shared" si="466"/>
        <v>0</v>
      </c>
    </row>
    <row r="660" spans="1:152" x14ac:dyDescent="0.25">
      <c r="A660" s="2141" t="s">
        <v>207</v>
      </c>
      <c r="B660" s="1974" t="str">
        <f>IF(B225="","",B225)</f>
        <v/>
      </c>
      <c r="C660" s="2027">
        <f>C225</f>
        <v>10</v>
      </c>
      <c r="D660" s="2144">
        <f>D225</f>
        <v>330</v>
      </c>
      <c r="E660" s="2145">
        <f>E225</f>
        <v>0</v>
      </c>
      <c r="F660" s="2027">
        <f>F225</f>
        <v>0</v>
      </c>
      <c r="G660" s="1974" t="s">
        <v>2988</v>
      </c>
      <c r="H660" s="1974" t="s">
        <v>2988</v>
      </c>
      <c r="I660" s="2026">
        <v>0.9</v>
      </c>
      <c r="J660" s="2026">
        <v>0.9</v>
      </c>
      <c r="K660" s="2026">
        <v>0.9</v>
      </c>
      <c r="L660" s="2026">
        <v>0.9</v>
      </c>
      <c r="M660" s="2027">
        <f>$D660*I660</f>
        <v>297</v>
      </c>
      <c r="N660" s="2027">
        <f>$D660*J660</f>
        <v>297</v>
      </c>
      <c r="O660" s="2027">
        <f>$D660*K660</f>
        <v>297</v>
      </c>
      <c r="P660" s="2027">
        <f>$D660*L660</f>
        <v>297</v>
      </c>
      <c r="Q660" s="2026">
        <v>0.9</v>
      </c>
      <c r="R660" s="2026">
        <v>0.9</v>
      </c>
      <c r="S660" s="2026">
        <v>0.9</v>
      </c>
      <c r="T660" s="2026">
        <v>0.9</v>
      </c>
      <c r="U660" s="2028">
        <f>$E660*Q660</f>
        <v>0</v>
      </c>
      <c r="V660" s="2028">
        <f>$E660*R660</f>
        <v>0</v>
      </c>
      <c r="W660" s="2028">
        <f>$E660*S660</f>
        <v>0</v>
      </c>
      <c r="X660" s="2028">
        <f>$E660*T660</f>
        <v>0</v>
      </c>
      <c r="Y660" s="2026">
        <v>0.9</v>
      </c>
      <c r="Z660" s="2026">
        <v>0.9</v>
      </c>
      <c r="AA660" s="2026">
        <v>0.9</v>
      </c>
      <c r="AB660" s="2026">
        <v>0.9</v>
      </c>
      <c r="AC660" s="2027">
        <f>$F660*Y660</f>
        <v>0</v>
      </c>
      <c r="AD660" s="2027">
        <f>$F660*Z660</f>
        <v>0</v>
      </c>
      <c r="AE660" s="2027">
        <f>$F660*AA660</f>
        <v>0</v>
      </c>
      <c r="AF660" s="2027">
        <f>$F660*AB660</f>
        <v>0</v>
      </c>
      <c r="AG660" s="2027">
        <v>4</v>
      </c>
      <c r="AH660" s="2027">
        <v>4</v>
      </c>
      <c r="AI660" s="2027">
        <v>4</v>
      </c>
      <c r="AJ660" s="2027">
        <v>4</v>
      </c>
      <c r="AK660" s="2027">
        <f t="shared" si="434"/>
        <v>1188</v>
      </c>
      <c r="AL660" s="2027">
        <f t="shared" si="453"/>
        <v>1188</v>
      </c>
      <c r="AM660" s="2027">
        <f t="shared" si="453"/>
        <v>1188</v>
      </c>
      <c r="AN660" s="2027">
        <f t="shared" si="453"/>
        <v>1188</v>
      </c>
      <c r="AO660" s="2027">
        <f>AG660*AC660</f>
        <v>0</v>
      </c>
      <c r="AP660" s="2027">
        <f t="shared" si="476"/>
        <v>0</v>
      </c>
      <c r="AQ660" s="2027">
        <f t="shared" si="476"/>
        <v>0</v>
      </c>
      <c r="AR660" s="2027">
        <f t="shared" si="476"/>
        <v>0</v>
      </c>
      <c r="AS660" s="2124">
        <f>AS225*1.4</f>
        <v>210</v>
      </c>
      <c r="AT660" s="2029">
        <f t="shared" si="477"/>
        <v>210</v>
      </c>
      <c r="AU660" s="2029">
        <f t="shared" si="477"/>
        <v>210</v>
      </c>
      <c r="AV660" s="2029">
        <f t="shared" si="477"/>
        <v>210</v>
      </c>
      <c r="AW660" s="2124">
        <f>AW225*1</f>
        <v>0</v>
      </c>
      <c r="AX660" s="2029">
        <f t="shared" si="440"/>
        <v>0</v>
      </c>
      <c r="AY660" s="2029">
        <f t="shared" si="440"/>
        <v>0</v>
      </c>
      <c r="AZ660" s="2029">
        <f t="shared" si="440"/>
        <v>0</v>
      </c>
      <c r="BA660" s="2124">
        <f>BA225</f>
        <v>300</v>
      </c>
      <c r="BB660" s="2029">
        <f>BB225</f>
        <v>300</v>
      </c>
      <c r="BC660" s="2029">
        <f>BC225</f>
        <v>300</v>
      </c>
      <c r="BD660" s="2029">
        <f>BD225</f>
        <v>300</v>
      </c>
      <c r="BE660" s="2030">
        <f t="shared" ref="BE660:BG681" si="483">AS660*AG660</f>
        <v>840</v>
      </c>
      <c r="BF660" s="2030">
        <f t="shared" si="483"/>
        <v>840</v>
      </c>
      <c r="BG660" s="2030">
        <f t="shared" si="483"/>
        <v>840</v>
      </c>
      <c r="BH660" s="2030">
        <f t="shared" si="479"/>
        <v>840</v>
      </c>
      <c r="BI660" s="2030">
        <f t="shared" ref="BI660:BK681" si="484">AW660*AG660</f>
        <v>0</v>
      </c>
      <c r="BJ660" s="2030">
        <f t="shared" si="484"/>
        <v>0</v>
      </c>
      <c r="BK660" s="2030">
        <f t="shared" si="484"/>
        <v>0</v>
      </c>
      <c r="BL660" s="2030">
        <f t="shared" si="480"/>
        <v>0</v>
      </c>
      <c r="BM660" s="2125"/>
      <c r="BN660" s="2125"/>
      <c r="BO660" s="2125"/>
      <c r="BP660" s="2125"/>
      <c r="BQ660" s="2125"/>
      <c r="BR660" s="2125"/>
      <c r="BS660" s="2125"/>
      <c r="BT660" s="2125"/>
      <c r="BU660" s="2029"/>
      <c r="BV660" s="2029"/>
      <c r="BW660" s="2029"/>
      <c r="BX660" s="2029"/>
      <c r="BY660" s="2029"/>
      <c r="BZ660" s="2032"/>
      <c r="CA660" s="1974">
        <f t="shared" ref="CA660:CE675" si="485">CA225</f>
        <v>0</v>
      </c>
      <c r="CB660" s="1974">
        <f t="shared" si="485"/>
        <v>0</v>
      </c>
      <c r="CC660" s="1974">
        <f t="shared" si="485"/>
        <v>0</v>
      </c>
      <c r="CD660" s="1974">
        <f t="shared" si="485"/>
        <v>0</v>
      </c>
      <c r="CE660" s="1974">
        <f t="shared" si="485"/>
        <v>0</v>
      </c>
      <c r="CF660" s="2033">
        <v>4.9662401160580627E-6</v>
      </c>
      <c r="CG660" s="2026">
        <v>0</v>
      </c>
      <c r="CH660" s="2009">
        <f t="shared" ref="CH660:CK675" si="486">CH225</f>
        <v>0</v>
      </c>
      <c r="CI660" s="2031">
        <f t="shared" si="486"/>
        <v>0</v>
      </c>
      <c r="CJ660" s="1974">
        <f t="shared" si="486"/>
        <v>0</v>
      </c>
      <c r="CK660" s="2031">
        <f t="shared" si="486"/>
        <v>0</v>
      </c>
      <c r="CL660" s="2026">
        <v>1</v>
      </c>
      <c r="CM660" s="2026">
        <v>1</v>
      </c>
      <c r="CN660" s="2026">
        <v>1</v>
      </c>
      <c r="CO660" s="2026">
        <v>1</v>
      </c>
      <c r="CP660" s="2035"/>
      <c r="CQ660" s="2036"/>
      <c r="CR660" s="2036"/>
      <c r="CS660" s="2036"/>
      <c r="CT660" s="2036"/>
      <c r="CU660" s="2036"/>
      <c r="CV660" s="1973">
        <v>1</v>
      </c>
      <c r="CW660" s="1973">
        <v>0</v>
      </c>
      <c r="CX660" s="2037">
        <v>150</v>
      </c>
      <c r="CY660" s="2037">
        <v>150</v>
      </c>
      <c r="CZ660" s="2037">
        <v>150</v>
      </c>
      <c r="DA660" s="2037">
        <v>150</v>
      </c>
      <c r="DJ660" s="1976">
        <v>150</v>
      </c>
      <c r="DK660" s="1973">
        <v>150</v>
      </c>
      <c r="DL660" s="1973">
        <v>150</v>
      </c>
      <c r="DM660" s="1973">
        <v>150</v>
      </c>
      <c r="DO660" s="2027">
        <v>10</v>
      </c>
      <c r="DP660" s="2144">
        <v>330</v>
      </c>
      <c r="DQ660" s="2145">
        <v>0</v>
      </c>
      <c r="DR660" s="2027">
        <v>0</v>
      </c>
      <c r="DS660" s="2029">
        <v>210</v>
      </c>
      <c r="DT660" s="2029">
        <v>210</v>
      </c>
      <c r="DU660" s="2029">
        <v>210</v>
      </c>
      <c r="DV660" s="2029">
        <v>210</v>
      </c>
      <c r="DW660" s="2029">
        <v>0</v>
      </c>
      <c r="DX660" s="2029">
        <v>0</v>
      </c>
      <c r="DY660" s="2029">
        <v>0</v>
      </c>
      <c r="DZ660" s="2029">
        <v>0</v>
      </c>
      <c r="EA660" s="2029">
        <v>300</v>
      </c>
      <c r="EB660" s="2029">
        <v>300</v>
      </c>
      <c r="EC660" s="2029">
        <v>300</v>
      </c>
      <c r="ED660" s="2029">
        <v>300</v>
      </c>
      <c r="EE660" s="2039">
        <f t="shared" si="463"/>
        <v>0</v>
      </c>
      <c r="EF660" s="2039">
        <f t="shared" si="463"/>
        <v>0</v>
      </c>
      <c r="EG660" s="2039">
        <f t="shared" si="463"/>
        <v>0</v>
      </c>
      <c r="EH660" s="2039">
        <f t="shared" si="462"/>
        <v>0</v>
      </c>
      <c r="EI660" s="2040">
        <f t="shared" si="468"/>
        <v>0</v>
      </c>
      <c r="EJ660" s="2040">
        <f t="shared" si="468"/>
        <v>0</v>
      </c>
      <c r="EK660" s="2040">
        <f t="shared" si="468"/>
        <v>0</v>
      </c>
      <c r="EL660" s="2040">
        <f t="shared" si="464"/>
        <v>0</v>
      </c>
      <c r="EM660" s="2040">
        <f t="shared" si="464"/>
        <v>0</v>
      </c>
      <c r="EN660" s="2040">
        <f t="shared" si="464"/>
        <v>0</v>
      </c>
      <c r="EO660" s="2040">
        <f t="shared" si="464"/>
        <v>0</v>
      </c>
      <c r="EP660" s="2040">
        <f t="shared" si="464"/>
        <v>0</v>
      </c>
      <c r="EQ660" s="2040">
        <f t="shared" si="464"/>
        <v>0</v>
      </c>
      <c r="ER660" s="2040">
        <f t="shared" si="464"/>
        <v>0</v>
      </c>
      <c r="ES660" s="2040">
        <f t="shared" si="464"/>
        <v>0</v>
      </c>
      <c r="ET660" s="2040">
        <f t="shared" si="464"/>
        <v>0</v>
      </c>
      <c r="EU660" s="2039">
        <f t="shared" si="465"/>
        <v>0</v>
      </c>
      <c r="EV660" s="2039">
        <f t="shared" si="466"/>
        <v>0</v>
      </c>
    </row>
    <row r="661" spans="1:152" x14ac:dyDescent="0.25">
      <c r="A661" s="2142" t="s">
        <v>272</v>
      </c>
      <c r="B661" s="1974" t="str">
        <f t="shared" ref="B661:B681" si="487">IF(B226="","",B226)</f>
        <v/>
      </c>
      <c r="C661" s="2027">
        <f t="shared" ref="C661:F676" si="488">C226</f>
        <v>0</v>
      </c>
      <c r="D661" s="2144">
        <f t="shared" si="488"/>
        <v>0</v>
      </c>
      <c r="E661" s="2145">
        <f t="shared" si="488"/>
        <v>0</v>
      </c>
      <c r="F661" s="2027">
        <f t="shared" si="488"/>
        <v>0</v>
      </c>
      <c r="G661" s="1974" t="s">
        <v>2988</v>
      </c>
      <c r="H661" s="1974" t="s">
        <v>2988</v>
      </c>
      <c r="I661" s="2026">
        <v>0.9</v>
      </c>
      <c r="J661" s="2026">
        <v>0.9</v>
      </c>
      <c r="K661" s="2026">
        <v>0.9</v>
      </c>
      <c r="L661" s="2026">
        <v>0.9</v>
      </c>
      <c r="M661" s="2027">
        <f t="shared" ref="M661:P681" si="489">$D661*I661</f>
        <v>0</v>
      </c>
      <c r="N661" s="2027">
        <f t="shared" si="489"/>
        <v>0</v>
      </c>
      <c r="O661" s="2027">
        <f t="shared" si="489"/>
        <v>0</v>
      </c>
      <c r="P661" s="2027">
        <f t="shared" si="489"/>
        <v>0</v>
      </c>
      <c r="Q661" s="2026">
        <v>0.9</v>
      </c>
      <c r="R661" s="2026">
        <v>0.9</v>
      </c>
      <c r="S661" s="2026">
        <v>0.9</v>
      </c>
      <c r="T661" s="2026">
        <v>0.9</v>
      </c>
      <c r="U661" s="2028">
        <f t="shared" ref="U661:X681" si="490">$E661*Q661</f>
        <v>0</v>
      </c>
      <c r="V661" s="2028">
        <f t="shared" si="490"/>
        <v>0</v>
      </c>
      <c r="W661" s="2028">
        <f t="shared" si="490"/>
        <v>0</v>
      </c>
      <c r="X661" s="2028">
        <f t="shared" si="490"/>
        <v>0</v>
      </c>
      <c r="Y661" s="2026">
        <v>0.9</v>
      </c>
      <c r="Z661" s="2026">
        <v>0.9</v>
      </c>
      <c r="AA661" s="2026">
        <v>0.9</v>
      </c>
      <c r="AB661" s="2026">
        <v>0.9</v>
      </c>
      <c r="AC661" s="2027">
        <f t="shared" ref="AC661:AF681" si="491">$F661*Y661</f>
        <v>0</v>
      </c>
      <c r="AD661" s="2027">
        <f t="shared" si="491"/>
        <v>0</v>
      </c>
      <c r="AE661" s="2027">
        <f t="shared" si="491"/>
        <v>0</v>
      </c>
      <c r="AF661" s="2027">
        <f t="shared" si="491"/>
        <v>0</v>
      </c>
      <c r="AG661" s="2027">
        <v>0</v>
      </c>
      <c r="AH661" s="2028"/>
      <c r="AI661" s="2028"/>
      <c r="AJ661" s="2028"/>
      <c r="AK661" s="2027">
        <f t="shared" si="434"/>
        <v>0</v>
      </c>
      <c r="AL661" s="2027">
        <f t="shared" si="453"/>
        <v>0</v>
      </c>
      <c r="AM661" s="2027">
        <f t="shared" si="453"/>
        <v>0</v>
      </c>
      <c r="AN661" s="2027">
        <f t="shared" si="453"/>
        <v>0</v>
      </c>
      <c r="AO661" s="2027">
        <f>AG661*AC661</f>
        <v>0</v>
      </c>
      <c r="AP661" s="2027">
        <f t="shared" si="476"/>
        <v>0</v>
      </c>
      <c r="AQ661" s="2027">
        <f t="shared" si="476"/>
        <v>0</v>
      </c>
      <c r="AR661" s="2027">
        <f t="shared" si="476"/>
        <v>0</v>
      </c>
      <c r="AS661" s="2124">
        <f>AS226*1</f>
        <v>0</v>
      </c>
      <c r="AT661" s="2029">
        <f t="shared" si="477"/>
        <v>0</v>
      </c>
      <c r="AU661" s="2029">
        <f t="shared" si="477"/>
        <v>0</v>
      </c>
      <c r="AV661" s="2029">
        <f t="shared" si="477"/>
        <v>0</v>
      </c>
      <c r="AW661" s="2124">
        <f t="shared" ref="AW661:AW681" si="492">AW226*1.3</f>
        <v>0</v>
      </c>
      <c r="AX661" s="2029">
        <f t="shared" si="440"/>
        <v>0</v>
      </c>
      <c r="AY661" s="2029">
        <f t="shared" si="440"/>
        <v>0</v>
      </c>
      <c r="AZ661" s="2029">
        <f t="shared" si="440"/>
        <v>0</v>
      </c>
      <c r="BA661" s="2124">
        <f t="shared" ref="BA661:BD676" si="493">BA226</f>
        <v>0</v>
      </c>
      <c r="BB661" s="2029">
        <f t="shared" si="493"/>
        <v>0</v>
      </c>
      <c r="BC661" s="2029">
        <f t="shared" si="493"/>
        <v>0</v>
      </c>
      <c r="BD661" s="2029">
        <f t="shared" si="493"/>
        <v>0</v>
      </c>
      <c r="BE661" s="2030">
        <f t="shared" si="483"/>
        <v>0</v>
      </c>
      <c r="BF661" s="2030">
        <f t="shared" si="483"/>
        <v>0</v>
      </c>
      <c r="BG661" s="2030">
        <f t="shared" si="483"/>
        <v>0</v>
      </c>
      <c r="BH661" s="2030">
        <f t="shared" si="479"/>
        <v>0</v>
      </c>
      <c r="BI661" s="2030">
        <f t="shared" si="484"/>
        <v>0</v>
      </c>
      <c r="BJ661" s="2030">
        <f t="shared" si="484"/>
        <v>0</v>
      </c>
      <c r="BK661" s="2030">
        <f t="shared" si="484"/>
        <v>0</v>
      </c>
      <c r="BL661" s="2030">
        <f t="shared" si="480"/>
        <v>0</v>
      </c>
      <c r="BM661" s="2125"/>
      <c r="BN661" s="2125"/>
      <c r="BO661" s="2125"/>
      <c r="BP661" s="2125"/>
      <c r="BQ661" s="2125"/>
      <c r="BR661" s="2125"/>
      <c r="BS661" s="2125"/>
      <c r="BT661" s="2125"/>
      <c r="BU661" s="2029"/>
      <c r="BV661" s="2029"/>
      <c r="BW661" s="2029"/>
      <c r="BX661" s="2029"/>
      <c r="BY661" s="2029"/>
      <c r="BZ661" s="2032"/>
      <c r="CA661" s="1974">
        <f t="shared" si="485"/>
        <v>0</v>
      </c>
      <c r="CB661" s="1974">
        <f t="shared" si="485"/>
        <v>0</v>
      </c>
      <c r="CC661" s="1974">
        <f t="shared" si="485"/>
        <v>0</v>
      </c>
      <c r="CD661" s="1974">
        <f t="shared" si="485"/>
        <v>0</v>
      </c>
      <c r="CE661" s="1974">
        <f t="shared" si="485"/>
        <v>0</v>
      </c>
      <c r="CF661" s="2033">
        <v>0</v>
      </c>
      <c r="CG661" s="2026">
        <v>0</v>
      </c>
      <c r="CH661" s="2009">
        <f t="shared" si="486"/>
        <v>0</v>
      </c>
      <c r="CI661" s="2031">
        <f t="shared" si="486"/>
        <v>0</v>
      </c>
      <c r="CJ661" s="1974">
        <f t="shared" si="486"/>
        <v>0</v>
      </c>
      <c r="CK661" s="2031">
        <f t="shared" si="486"/>
        <v>0</v>
      </c>
      <c r="CL661" s="2026">
        <v>1</v>
      </c>
      <c r="CM661" s="2026">
        <v>1</v>
      </c>
      <c r="CN661" s="2026">
        <v>1</v>
      </c>
      <c r="CO661" s="2026">
        <v>1</v>
      </c>
      <c r="CP661" s="2035"/>
      <c r="CQ661" s="2036"/>
      <c r="CR661" s="2036"/>
      <c r="CS661" s="2036"/>
      <c r="CT661" s="2036"/>
      <c r="CU661" s="2036"/>
      <c r="CV661" s="1973">
        <v>1</v>
      </c>
      <c r="CW661" s="1973">
        <v>0</v>
      </c>
      <c r="CX661" s="2037">
        <v>0</v>
      </c>
      <c r="CY661" s="2037">
        <v>0</v>
      </c>
      <c r="CZ661" s="2037">
        <v>0</v>
      </c>
      <c r="DA661" s="2037">
        <v>0</v>
      </c>
      <c r="DJ661" s="1976">
        <v>0</v>
      </c>
      <c r="DK661" s="1973">
        <v>0</v>
      </c>
      <c r="DL661" s="1973">
        <v>0</v>
      </c>
      <c r="DM661" s="1973">
        <v>0</v>
      </c>
      <c r="DO661" s="2027">
        <v>0</v>
      </c>
      <c r="DP661" s="2144">
        <v>0</v>
      </c>
      <c r="DQ661" s="2145">
        <v>0</v>
      </c>
      <c r="DR661" s="2027">
        <v>0</v>
      </c>
      <c r="DS661" s="2124">
        <v>0</v>
      </c>
      <c r="DT661" s="2029">
        <v>0</v>
      </c>
      <c r="DU661" s="2029">
        <v>0</v>
      </c>
      <c r="DV661" s="2029">
        <v>0</v>
      </c>
      <c r="DW661" s="2124">
        <v>0</v>
      </c>
      <c r="DX661" s="2029">
        <v>0</v>
      </c>
      <c r="DY661" s="2029">
        <v>0</v>
      </c>
      <c r="DZ661" s="2029">
        <v>0</v>
      </c>
      <c r="EA661" s="2124">
        <v>0</v>
      </c>
      <c r="EB661" s="2029">
        <v>0</v>
      </c>
      <c r="EC661" s="2029">
        <v>0</v>
      </c>
      <c r="ED661" s="2029">
        <v>0</v>
      </c>
      <c r="EE661" s="2039">
        <f t="shared" si="463"/>
        <v>0</v>
      </c>
      <c r="EF661" s="2039">
        <f t="shared" si="463"/>
        <v>0</v>
      </c>
      <c r="EG661" s="2039">
        <f t="shared" si="463"/>
        <v>0</v>
      </c>
      <c r="EH661" s="2039">
        <f t="shared" si="462"/>
        <v>0</v>
      </c>
      <c r="EI661" s="2040">
        <f t="shared" si="468"/>
        <v>0</v>
      </c>
      <c r="EJ661" s="2040">
        <f t="shared" si="468"/>
        <v>0</v>
      </c>
      <c r="EK661" s="2040">
        <f t="shared" si="468"/>
        <v>0</v>
      </c>
      <c r="EL661" s="2040">
        <f t="shared" si="464"/>
        <v>0</v>
      </c>
      <c r="EM661" s="2040">
        <f t="shared" si="464"/>
        <v>0</v>
      </c>
      <c r="EN661" s="2040">
        <f t="shared" si="464"/>
        <v>0</v>
      </c>
      <c r="EO661" s="2040">
        <f t="shared" si="464"/>
        <v>0</v>
      </c>
      <c r="EP661" s="2040">
        <f t="shared" si="464"/>
        <v>0</v>
      </c>
      <c r="EQ661" s="2040">
        <f t="shared" si="464"/>
        <v>0</v>
      </c>
      <c r="ER661" s="2040">
        <f t="shared" si="464"/>
        <v>0</v>
      </c>
      <c r="ES661" s="2040">
        <f t="shared" si="464"/>
        <v>0</v>
      </c>
      <c r="ET661" s="2040">
        <f t="shared" si="464"/>
        <v>0</v>
      </c>
      <c r="EU661" s="2039">
        <f t="shared" si="465"/>
        <v>0</v>
      </c>
      <c r="EV661" s="2039">
        <f t="shared" si="466"/>
        <v>0</v>
      </c>
    </row>
    <row r="662" spans="1:152" x14ac:dyDescent="0.25">
      <c r="A662" s="2169" t="s">
        <v>208</v>
      </c>
      <c r="B662" s="1974" t="str">
        <f t="shared" si="487"/>
        <v/>
      </c>
      <c r="C662" s="2027">
        <f t="shared" si="488"/>
        <v>18</v>
      </c>
      <c r="D662" s="2144">
        <f t="shared" si="488"/>
        <v>4596</v>
      </c>
      <c r="E662" s="2145">
        <f t="shared" si="488"/>
        <v>1.4</v>
      </c>
      <c r="F662" s="2027">
        <f t="shared" si="488"/>
        <v>0</v>
      </c>
      <c r="G662" s="1974" t="s">
        <v>2988</v>
      </c>
      <c r="H662" s="1974" t="s">
        <v>2988</v>
      </c>
      <c r="I662" s="2026">
        <v>0.9</v>
      </c>
      <c r="J662" s="2026">
        <v>0.9</v>
      </c>
      <c r="K662" s="2026">
        <v>0.9</v>
      </c>
      <c r="L662" s="2026">
        <v>0.9</v>
      </c>
      <c r="M662" s="2027">
        <f t="shared" si="489"/>
        <v>4136.4000000000005</v>
      </c>
      <c r="N662" s="2027">
        <f t="shared" si="489"/>
        <v>4136.4000000000005</v>
      </c>
      <c r="O662" s="2027">
        <f t="shared" si="489"/>
        <v>4136.4000000000005</v>
      </c>
      <c r="P662" s="2027">
        <f t="shared" si="489"/>
        <v>4136.4000000000005</v>
      </c>
      <c r="Q662" s="2026">
        <v>0.9</v>
      </c>
      <c r="R662" s="2026">
        <v>0.9</v>
      </c>
      <c r="S662" s="2026">
        <v>0.9</v>
      </c>
      <c r="T662" s="2026">
        <v>0.9</v>
      </c>
      <c r="U662" s="2028">
        <f t="shared" si="490"/>
        <v>1.26</v>
      </c>
      <c r="V662" s="2028">
        <f t="shared" si="490"/>
        <v>1.26</v>
      </c>
      <c r="W662" s="2028">
        <f t="shared" si="490"/>
        <v>1.26</v>
      </c>
      <c r="X662" s="2028">
        <f t="shared" si="490"/>
        <v>1.26</v>
      </c>
      <c r="Y662" s="2026">
        <v>0.9</v>
      </c>
      <c r="Z662" s="2026">
        <v>0.9</v>
      </c>
      <c r="AA662" s="2026">
        <v>0.9</v>
      </c>
      <c r="AB662" s="2026">
        <v>0.9</v>
      </c>
      <c r="AC662" s="2027">
        <f t="shared" si="491"/>
        <v>0</v>
      </c>
      <c r="AD662" s="2027">
        <f t="shared" si="491"/>
        <v>0</v>
      </c>
      <c r="AE662" s="2027">
        <f t="shared" si="491"/>
        <v>0</v>
      </c>
      <c r="AF662" s="2027">
        <f t="shared" si="491"/>
        <v>0</v>
      </c>
      <c r="AG662" s="2027">
        <v>3</v>
      </c>
      <c r="AH662" s="2028">
        <v>3</v>
      </c>
      <c r="AI662" s="2028">
        <v>3</v>
      </c>
      <c r="AJ662" s="2028">
        <v>3</v>
      </c>
      <c r="AK662" s="2027">
        <f t="shared" si="434"/>
        <v>12409.2</v>
      </c>
      <c r="AL662" s="2027">
        <f t="shared" ref="AL662:AN681" si="494">AH662*N662*CM662</f>
        <v>12409.2</v>
      </c>
      <c r="AM662" s="2027">
        <f t="shared" si="494"/>
        <v>12409.2</v>
      </c>
      <c r="AN662" s="2027">
        <f t="shared" si="494"/>
        <v>12409.2</v>
      </c>
      <c r="AO662" s="2027">
        <f>AG662*AC662</f>
        <v>0</v>
      </c>
      <c r="AP662" s="2027">
        <f t="shared" si="476"/>
        <v>0</v>
      </c>
      <c r="AQ662" s="2027">
        <f t="shared" si="476"/>
        <v>0</v>
      </c>
      <c r="AR662" s="2027">
        <f t="shared" si="476"/>
        <v>0</v>
      </c>
      <c r="AS662" s="2124">
        <f>AS227*1</f>
        <v>700</v>
      </c>
      <c r="AT662" s="2029">
        <f t="shared" si="477"/>
        <v>700</v>
      </c>
      <c r="AU662" s="2029">
        <f t="shared" si="477"/>
        <v>700</v>
      </c>
      <c r="AV662" s="2029">
        <f t="shared" si="477"/>
        <v>700</v>
      </c>
      <c r="AW662" s="2124">
        <f t="shared" si="492"/>
        <v>0</v>
      </c>
      <c r="AX662" s="2029">
        <f t="shared" si="440"/>
        <v>0</v>
      </c>
      <c r="AY662" s="2029">
        <f t="shared" si="440"/>
        <v>0</v>
      </c>
      <c r="AZ662" s="2029">
        <f t="shared" si="440"/>
        <v>0</v>
      </c>
      <c r="BA662" s="2124">
        <f t="shared" si="493"/>
        <v>3750</v>
      </c>
      <c r="BB662" s="2029">
        <f t="shared" si="493"/>
        <v>3750</v>
      </c>
      <c r="BC662" s="2029">
        <f t="shared" si="493"/>
        <v>3750</v>
      </c>
      <c r="BD662" s="2029">
        <f t="shared" si="493"/>
        <v>3750</v>
      </c>
      <c r="BE662" s="2030">
        <f t="shared" si="483"/>
        <v>2100</v>
      </c>
      <c r="BF662" s="2030">
        <f t="shared" si="483"/>
        <v>2100</v>
      </c>
      <c r="BG662" s="2030">
        <f t="shared" si="483"/>
        <v>2100</v>
      </c>
      <c r="BH662" s="2030">
        <f t="shared" si="479"/>
        <v>2100</v>
      </c>
      <c r="BI662" s="2030">
        <f t="shared" si="484"/>
        <v>0</v>
      </c>
      <c r="BJ662" s="2030">
        <f t="shared" si="484"/>
        <v>0</v>
      </c>
      <c r="BK662" s="2030">
        <f t="shared" si="484"/>
        <v>0</v>
      </c>
      <c r="BL662" s="2030">
        <f t="shared" si="480"/>
        <v>0</v>
      </c>
      <c r="BM662" s="2125"/>
      <c r="BN662" s="2125"/>
      <c r="BO662" s="2125"/>
      <c r="BP662" s="2125"/>
      <c r="BQ662" s="2125"/>
      <c r="BR662" s="2125"/>
      <c r="BS662" s="2125"/>
      <c r="BT662" s="2125"/>
      <c r="BU662" s="2029"/>
      <c r="BV662" s="2029"/>
      <c r="BW662" s="2029"/>
      <c r="BX662" s="2029"/>
      <c r="BY662" s="2029"/>
      <c r="BZ662" s="2032"/>
      <c r="CA662" s="1974">
        <f t="shared" si="485"/>
        <v>0</v>
      </c>
      <c r="CB662" s="1974">
        <f t="shared" si="485"/>
        <v>0</v>
      </c>
      <c r="CC662" s="1974">
        <f t="shared" si="485"/>
        <v>0</v>
      </c>
      <c r="CD662" s="1974">
        <f t="shared" si="485"/>
        <v>0</v>
      </c>
      <c r="CE662" s="1974">
        <f t="shared" si="485"/>
        <v>0</v>
      </c>
      <c r="CF662" s="2033">
        <v>5.1874635394097402E-5</v>
      </c>
      <c r="CG662" s="2026">
        <v>0</v>
      </c>
      <c r="CH662" s="2009">
        <f t="shared" si="486"/>
        <v>0</v>
      </c>
      <c r="CI662" s="2031">
        <f t="shared" si="486"/>
        <v>0</v>
      </c>
      <c r="CJ662" s="1974">
        <f t="shared" si="486"/>
        <v>0</v>
      </c>
      <c r="CK662" s="2031">
        <f t="shared" si="486"/>
        <v>0</v>
      </c>
      <c r="CL662" s="2026">
        <v>1</v>
      </c>
      <c r="CM662" s="2026">
        <v>1</v>
      </c>
      <c r="CN662" s="2026">
        <v>1</v>
      </c>
      <c r="CO662" s="2026">
        <v>1</v>
      </c>
      <c r="CP662" s="2035"/>
      <c r="CQ662" s="2036"/>
      <c r="CR662" s="2036"/>
      <c r="CS662" s="2036"/>
      <c r="CT662" s="2036"/>
      <c r="CU662" s="2036"/>
      <c r="CV662" s="1973">
        <v>1</v>
      </c>
      <c r="CW662" s="1973">
        <v>0</v>
      </c>
      <c r="CX662" s="2037">
        <v>700</v>
      </c>
      <c r="CY662" s="2037">
        <v>700</v>
      </c>
      <c r="CZ662" s="2037">
        <v>700</v>
      </c>
      <c r="DA662" s="2037">
        <v>700</v>
      </c>
      <c r="DJ662" s="1976">
        <v>700</v>
      </c>
      <c r="DK662" s="1973">
        <v>700</v>
      </c>
      <c r="DL662" s="1973">
        <v>700</v>
      </c>
      <c r="DM662" s="1973">
        <v>700</v>
      </c>
      <c r="DO662" s="2027">
        <v>18</v>
      </c>
      <c r="DP662" s="2144">
        <v>4596</v>
      </c>
      <c r="DQ662" s="2145">
        <v>1.4</v>
      </c>
      <c r="DR662" s="2027">
        <v>0</v>
      </c>
      <c r="DS662" s="2124">
        <v>700</v>
      </c>
      <c r="DT662" s="2029">
        <v>700</v>
      </c>
      <c r="DU662" s="2029">
        <v>700</v>
      </c>
      <c r="DV662" s="2029">
        <v>700</v>
      </c>
      <c r="DW662" s="2124">
        <v>0</v>
      </c>
      <c r="DX662" s="2029">
        <v>0</v>
      </c>
      <c r="DY662" s="2029">
        <v>0</v>
      </c>
      <c r="DZ662" s="2029">
        <v>0</v>
      </c>
      <c r="EA662" s="2124">
        <v>3750</v>
      </c>
      <c r="EB662" s="2029">
        <v>3750</v>
      </c>
      <c r="EC662" s="2029">
        <v>3750</v>
      </c>
      <c r="ED662" s="2029">
        <v>3750</v>
      </c>
      <c r="EE662" s="2039">
        <f t="shared" si="463"/>
        <v>0</v>
      </c>
      <c r="EF662" s="2039">
        <f t="shared" si="463"/>
        <v>0</v>
      </c>
      <c r="EG662" s="2039">
        <f t="shared" si="463"/>
        <v>0</v>
      </c>
      <c r="EH662" s="2039">
        <f t="shared" si="462"/>
        <v>0</v>
      </c>
      <c r="EI662" s="2040">
        <f t="shared" si="468"/>
        <v>0</v>
      </c>
      <c r="EJ662" s="2040">
        <f t="shared" si="468"/>
        <v>0</v>
      </c>
      <c r="EK662" s="2040">
        <f t="shared" si="468"/>
        <v>0</v>
      </c>
      <c r="EL662" s="2040">
        <f t="shared" si="464"/>
        <v>0</v>
      </c>
      <c r="EM662" s="2040">
        <f t="shared" si="464"/>
        <v>0</v>
      </c>
      <c r="EN662" s="2040">
        <f t="shared" si="464"/>
        <v>0</v>
      </c>
      <c r="EO662" s="2040">
        <f t="shared" si="464"/>
        <v>0</v>
      </c>
      <c r="EP662" s="2040">
        <f t="shared" si="464"/>
        <v>0</v>
      </c>
      <c r="EQ662" s="2040">
        <f t="shared" si="464"/>
        <v>0</v>
      </c>
      <c r="ER662" s="2040">
        <f t="shared" si="464"/>
        <v>0</v>
      </c>
      <c r="ES662" s="2040">
        <f t="shared" si="464"/>
        <v>0</v>
      </c>
      <c r="ET662" s="2040">
        <f t="shared" si="464"/>
        <v>0</v>
      </c>
      <c r="EU662" s="2039">
        <f t="shared" si="465"/>
        <v>0</v>
      </c>
      <c r="EV662" s="2039">
        <f t="shared" si="466"/>
        <v>0</v>
      </c>
    </row>
    <row r="663" spans="1:152" x14ac:dyDescent="0.25">
      <c r="A663" s="2142" t="s">
        <v>1035</v>
      </c>
      <c r="B663" s="1974" t="str">
        <f t="shared" si="487"/>
        <v/>
      </c>
      <c r="C663" s="2027">
        <f t="shared" si="488"/>
        <v>0</v>
      </c>
      <c r="D663" s="2144">
        <f t="shared" si="488"/>
        <v>0</v>
      </c>
      <c r="E663" s="2145">
        <f t="shared" si="488"/>
        <v>0</v>
      </c>
      <c r="F663" s="2027">
        <f t="shared" si="488"/>
        <v>0</v>
      </c>
      <c r="G663" s="1974" t="s">
        <v>2988</v>
      </c>
      <c r="H663" s="1974" t="s">
        <v>2988</v>
      </c>
      <c r="I663" s="2026">
        <v>0.9</v>
      </c>
      <c r="J663" s="2026">
        <v>0.9</v>
      </c>
      <c r="K663" s="2026">
        <v>0.9</v>
      </c>
      <c r="L663" s="2026">
        <v>0.9</v>
      </c>
      <c r="M663" s="2027">
        <f t="shared" si="489"/>
        <v>0</v>
      </c>
      <c r="N663" s="2027">
        <f t="shared" si="489"/>
        <v>0</v>
      </c>
      <c r="O663" s="2027">
        <f t="shared" si="489"/>
        <v>0</v>
      </c>
      <c r="P663" s="2027">
        <f t="shared" si="489"/>
        <v>0</v>
      </c>
      <c r="Q663" s="2026">
        <v>0.9</v>
      </c>
      <c r="R663" s="2026">
        <v>0.9</v>
      </c>
      <c r="S663" s="2026">
        <v>0.9</v>
      </c>
      <c r="T663" s="2026">
        <v>0.9</v>
      </c>
      <c r="U663" s="2028">
        <f t="shared" si="490"/>
        <v>0</v>
      </c>
      <c r="V663" s="2028">
        <f t="shared" si="490"/>
        <v>0</v>
      </c>
      <c r="W663" s="2028">
        <f t="shared" si="490"/>
        <v>0</v>
      </c>
      <c r="X663" s="2028">
        <f t="shared" si="490"/>
        <v>0</v>
      </c>
      <c r="Y663" s="2026">
        <v>0.9</v>
      </c>
      <c r="Z663" s="2026">
        <v>0.9</v>
      </c>
      <c r="AA663" s="2026">
        <v>0.9</v>
      </c>
      <c r="AB663" s="2026">
        <v>0.9</v>
      </c>
      <c r="AC663" s="2027">
        <f t="shared" si="491"/>
        <v>0</v>
      </c>
      <c r="AD663" s="2027">
        <f t="shared" si="491"/>
        <v>0</v>
      </c>
      <c r="AE663" s="2027">
        <f t="shared" si="491"/>
        <v>0</v>
      </c>
      <c r="AF663" s="2027">
        <f t="shared" si="491"/>
        <v>0</v>
      </c>
      <c r="AG663" s="2027">
        <v>0</v>
      </c>
      <c r="AH663" s="2028"/>
      <c r="AI663" s="2028"/>
      <c r="AJ663" s="2028"/>
      <c r="AK663" s="2027">
        <f>AG663*M663</f>
        <v>0</v>
      </c>
      <c r="AL663" s="2027">
        <f t="shared" si="494"/>
        <v>0</v>
      </c>
      <c r="AM663" s="2027">
        <f t="shared" si="494"/>
        <v>0</v>
      </c>
      <c r="AN663" s="2027">
        <f t="shared" si="494"/>
        <v>0</v>
      </c>
      <c r="AO663" s="2027">
        <f>AG663*AC663</f>
        <v>0</v>
      </c>
      <c r="AP663" s="2027">
        <f t="shared" si="476"/>
        <v>0</v>
      </c>
      <c r="AQ663" s="2027">
        <f t="shared" si="476"/>
        <v>0</v>
      </c>
      <c r="AR663" s="2027">
        <f t="shared" si="476"/>
        <v>0</v>
      </c>
      <c r="AS663" s="2124">
        <f t="shared" ref="AS663:AS681" si="495">AS228*1.5</f>
        <v>0</v>
      </c>
      <c r="AT663" s="2029">
        <f t="shared" si="477"/>
        <v>0</v>
      </c>
      <c r="AU663" s="2029">
        <f t="shared" si="477"/>
        <v>0</v>
      </c>
      <c r="AV663" s="2029">
        <f t="shared" si="477"/>
        <v>0</v>
      </c>
      <c r="AW663" s="2124">
        <f t="shared" si="492"/>
        <v>0</v>
      </c>
      <c r="AX663" s="2029">
        <f t="shared" si="440"/>
        <v>0</v>
      </c>
      <c r="AY663" s="2029">
        <f t="shared" si="440"/>
        <v>0</v>
      </c>
      <c r="AZ663" s="2029">
        <f t="shared" si="440"/>
        <v>0</v>
      </c>
      <c r="BA663" s="2124">
        <f t="shared" si="493"/>
        <v>0</v>
      </c>
      <c r="BB663" s="2029">
        <f t="shared" si="493"/>
        <v>0</v>
      </c>
      <c r="BC663" s="2029">
        <f t="shared" si="493"/>
        <v>0</v>
      </c>
      <c r="BD663" s="2029">
        <f t="shared" si="493"/>
        <v>0</v>
      </c>
      <c r="BE663" s="2030">
        <f t="shared" si="483"/>
        <v>0</v>
      </c>
      <c r="BF663" s="2030">
        <f t="shared" si="483"/>
        <v>0</v>
      </c>
      <c r="BG663" s="2030">
        <f t="shared" si="483"/>
        <v>0</v>
      </c>
      <c r="BH663" s="2030">
        <f t="shared" si="479"/>
        <v>0</v>
      </c>
      <c r="BI663" s="2030">
        <f t="shared" si="484"/>
        <v>0</v>
      </c>
      <c r="BJ663" s="2030">
        <f t="shared" si="484"/>
        <v>0</v>
      </c>
      <c r="BK663" s="2030">
        <f t="shared" si="484"/>
        <v>0</v>
      </c>
      <c r="BL663" s="2030">
        <f t="shared" si="480"/>
        <v>0</v>
      </c>
      <c r="BM663" s="2125"/>
      <c r="BN663" s="2125"/>
      <c r="BO663" s="2125"/>
      <c r="BP663" s="2125"/>
      <c r="BQ663" s="2125"/>
      <c r="BR663" s="2125"/>
      <c r="BS663" s="2125"/>
      <c r="BT663" s="2125"/>
      <c r="BU663" s="2029"/>
      <c r="BV663" s="2029"/>
      <c r="BW663" s="2029"/>
      <c r="BX663" s="2029"/>
      <c r="BY663" s="2029"/>
      <c r="BZ663" s="2032"/>
      <c r="CA663" s="1974">
        <f t="shared" si="485"/>
        <v>0</v>
      </c>
      <c r="CB663" s="1974">
        <f t="shared" si="485"/>
        <v>0</v>
      </c>
      <c r="CC663" s="1974">
        <f t="shared" si="485"/>
        <v>0</v>
      </c>
      <c r="CD663" s="1974">
        <f t="shared" si="485"/>
        <v>0</v>
      </c>
      <c r="CE663" s="1974">
        <f t="shared" si="485"/>
        <v>0</v>
      </c>
      <c r="CF663" s="2033">
        <v>0</v>
      </c>
      <c r="CG663" s="2026">
        <v>0</v>
      </c>
      <c r="CH663" s="2009">
        <f t="shared" si="486"/>
        <v>0</v>
      </c>
      <c r="CI663" s="2031">
        <f t="shared" si="486"/>
        <v>0</v>
      </c>
      <c r="CJ663" s="1974">
        <f t="shared" si="486"/>
        <v>0</v>
      </c>
      <c r="CK663" s="2031">
        <f t="shared" si="486"/>
        <v>0</v>
      </c>
      <c r="CL663" s="2026">
        <v>0</v>
      </c>
      <c r="CM663" s="2026">
        <v>0</v>
      </c>
      <c r="CN663" s="2026">
        <v>0</v>
      </c>
      <c r="CO663" s="2026">
        <v>1</v>
      </c>
      <c r="CP663" s="2035"/>
      <c r="CQ663" s="2036"/>
      <c r="CR663" s="2036"/>
      <c r="CS663" s="2036"/>
      <c r="CT663" s="2036"/>
      <c r="CU663" s="2036"/>
      <c r="CV663" s="1973">
        <v>1</v>
      </c>
      <c r="CW663" s="1973">
        <v>0</v>
      </c>
      <c r="CX663" s="2037">
        <v>0</v>
      </c>
      <c r="CY663" s="2037">
        <v>0</v>
      </c>
      <c r="CZ663" s="2037">
        <v>0</v>
      </c>
      <c r="DA663" s="2037">
        <v>0</v>
      </c>
      <c r="DJ663" s="1976">
        <v>0</v>
      </c>
      <c r="DK663" s="1973">
        <v>0</v>
      </c>
      <c r="DL663" s="1973">
        <v>0</v>
      </c>
      <c r="DM663" s="1973">
        <v>0</v>
      </c>
      <c r="DO663" s="2027">
        <v>0</v>
      </c>
      <c r="DP663" s="2144">
        <v>0</v>
      </c>
      <c r="DQ663" s="2145">
        <v>0</v>
      </c>
      <c r="DR663" s="2027">
        <v>0</v>
      </c>
      <c r="DS663" s="2124">
        <v>0</v>
      </c>
      <c r="DT663" s="2029">
        <v>0</v>
      </c>
      <c r="DU663" s="2029">
        <v>0</v>
      </c>
      <c r="DV663" s="2029">
        <v>0</v>
      </c>
      <c r="DW663" s="2124">
        <v>0</v>
      </c>
      <c r="DX663" s="2029">
        <v>0</v>
      </c>
      <c r="DY663" s="2029">
        <v>0</v>
      </c>
      <c r="DZ663" s="2029">
        <v>0</v>
      </c>
      <c r="EA663" s="2124">
        <v>0</v>
      </c>
      <c r="EB663" s="2029">
        <v>0</v>
      </c>
      <c r="EC663" s="2029">
        <v>0</v>
      </c>
      <c r="ED663" s="2029">
        <v>0</v>
      </c>
      <c r="EE663" s="2039">
        <f t="shared" si="463"/>
        <v>0</v>
      </c>
      <c r="EF663" s="2039">
        <f t="shared" si="463"/>
        <v>0</v>
      </c>
      <c r="EG663" s="2039">
        <f t="shared" si="463"/>
        <v>0</v>
      </c>
      <c r="EH663" s="2039">
        <f t="shared" si="462"/>
        <v>0</v>
      </c>
      <c r="EI663" s="2040">
        <f t="shared" si="468"/>
        <v>0</v>
      </c>
      <c r="EJ663" s="2040">
        <f t="shared" si="468"/>
        <v>0</v>
      </c>
      <c r="EK663" s="2040">
        <f t="shared" si="468"/>
        <v>0</v>
      </c>
      <c r="EL663" s="2040">
        <f t="shared" si="464"/>
        <v>0</v>
      </c>
      <c r="EM663" s="2040">
        <f t="shared" si="464"/>
        <v>0</v>
      </c>
      <c r="EN663" s="2040">
        <f t="shared" si="464"/>
        <v>0</v>
      </c>
      <c r="EO663" s="2040">
        <f t="shared" si="464"/>
        <v>0</v>
      </c>
      <c r="EP663" s="2040">
        <f t="shared" si="464"/>
        <v>0</v>
      </c>
      <c r="EQ663" s="2040">
        <f t="shared" si="464"/>
        <v>0</v>
      </c>
      <c r="ER663" s="2040">
        <f t="shared" si="464"/>
        <v>0</v>
      </c>
      <c r="ES663" s="2040">
        <f t="shared" si="464"/>
        <v>0</v>
      </c>
      <c r="ET663" s="2040">
        <f t="shared" si="464"/>
        <v>0</v>
      </c>
      <c r="EU663" s="2039">
        <f t="shared" si="465"/>
        <v>0</v>
      </c>
      <c r="EV663" s="2039">
        <f t="shared" si="466"/>
        <v>0</v>
      </c>
    </row>
    <row r="664" spans="1:152" x14ac:dyDescent="0.25">
      <c r="A664" s="2141" t="s">
        <v>2995</v>
      </c>
      <c r="B664" s="1974" t="str">
        <f t="shared" si="487"/>
        <v/>
      </c>
      <c r="C664" s="2027">
        <f t="shared" si="488"/>
        <v>15</v>
      </c>
      <c r="D664" s="2144">
        <f t="shared" si="488"/>
        <v>27.794957926000002</v>
      </c>
      <c r="E664" s="2145">
        <f t="shared" si="488"/>
        <v>5.9527580800000012E-3</v>
      </c>
      <c r="F664" s="2027">
        <f t="shared" si="488"/>
        <v>-0.56099915080000007</v>
      </c>
      <c r="G664" s="1974" t="s">
        <v>2988</v>
      </c>
      <c r="H664" s="1974" t="s">
        <v>2988</v>
      </c>
      <c r="I664" s="2026">
        <v>0.9</v>
      </c>
      <c r="J664" s="2026">
        <v>0.9</v>
      </c>
      <c r="K664" s="2026">
        <v>0.9</v>
      </c>
      <c r="L664" s="2026">
        <v>0.9</v>
      </c>
      <c r="M664" s="2027">
        <f t="shared" si="489"/>
        <v>25.015462133400003</v>
      </c>
      <c r="N664" s="2027">
        <f t="shared" si="489"/>
        <v>25.015462133400003</v>
      </c>
      <c r="O664" s="2027">
        <f t="shared" si="489"/>
        <v>25.015462133400003</v>
      </c>
      <c r="P664" s="2027">
        <f t="shared" si="489"/>
        <v>25.015462133400003</v>
      </c>
      <c r="Q664" s="2026">
        <v>0.9</v>
      </c>
      <c r="R664" s="2026">
        <v>0.9</v>
      </c>
      <c r="S664" s="2026">
        <v>0.9</v>
      </c>
      <c r="T664" s="2026">
        <v>0.9</v>
      </c>
      <c r="U664" s="2028">
        <f t="shared" si="490"/>
        <v>5.3574822720000009E-3</v>
      </c>
      <c r="V664" s="2028">
        <f t="shared" si="490"/>
        <v>5.3574822720000009E-3</v>
      </c>
      <c r="W664" s="2028">
        <f t="shared" si="490"/>
        <v>5.3574822720000009E-3</v>
      </c>
      <c r="X664" s="2028">
        <f t="shared" si="490"/>
        <v>5.3574822720000009E-3</v>
      </c>
      <c r="Y664" s="2026">
        <v>0.9</v>
      </c>
      <c r="Z664" s="2026">
        <v>0.9</v>
      </c>
      <c r="AA664" s="2026">
        <v>0.9</v>
      </c>
      <c r="AB664" s="2026">
        <v>0.9</v>
      </c>
      <c r="AC664" s="2027">
        <f t="shared" si="491"/>
        <v>-0.50489923572000006</v>
      </c>
      <c r="AD664" s="2027">
        <f t="shared" si="491"/>
        <v>-0.50489923572000006</v>
      </c>
      <c r="AE664" s="2027">
        <f t="shared" si="491"/>
        <v>-0.50489923572000006</v>
      </c>
      <c r="AF664" s="2027">
        <f t="shared" si="491"/>
        <v>-0.50489923572000006</v>
      </c>
      <c r="AG664" s="2027">
        <v>2000</v>
      </c>
      <c r="AH664" s="2027">
        <v>2000</v>
      </c>
      <c r="AI664" s="2027">
        <v>2000</v>
      </c>
      <c r="AJ664" s="2027">
        <v>2000</v>
      </c>
      <c r="AK664" s="2027">
        <f>AG664*M664</f>
        <v>50030.924266800008</v>
      </c>
      <c r="AL664" s="2027">
        <f t="shared" si="494"/>
        <v>37523.19320010001</v>
      </c>
      <c r="AM664" s="2027">
        <f t="shared" si="494"/>
        <v>37523.19320010001</v>
      </c>
      <c r="AN664" s="2027">
        <f t="shared" si="494"/>
        <v>37523.19320010001</v>
      </c>
      <c r="AO664" s="2027">
        <f>AG664*AC664</f>
        <v>-1009.7984714400001</v>
      </c>
      <c r="AP664" s="2027">
        <f t="shared" si="476"/>
        <v>-757.34885358000008</v>
      </c>
      <c r="AQ664" s="2027">
        <f t="shared" si="476"/>
        <v>-757.34885358000008</v>
      </c>
      <c r="AR664" s="2027">
        <f t="shared" si="476"/>
        <v>-757.34885358000008</v>
      </c>
      <c r="AS664" s="2029">
        <v>7</v>
      </c>
      <c r="AT664" s="2029">
        <v>6.5</v>
      </c>
      <c r="AU664" s="2029">
        <v>6</v>
      </c>
      <c r="AV664" s="2029">
        <v>6</v>
      </c>
      <c r="AW664" s="2029">
        <f t="shared" si="492"/>
        <v>0</v>
      </c>
      <c r="AX664" s="2029">
        <f t="shared" si="440"/>
        <v>0</v>
      </c>
      <c r="AY664" s="2029">
        <f t="shared" si="440"/>
        <v>0</v>
      </c>
      <c r="AZ664" s="2029">
        <f t="shared" si="440"/>
        <v>0</v>
      </c>
      <c r="BA664" s="2029">
        <v>1.2999999999999989</v>
      </c>
      <c r="BB664" s="2029">
        <f>$BA664</f>
        <v>1.2999999999999989</v>
      </c>
      <c r="BC664" s="2029">
        <f t="shared" ref="BC664:BD664" si="496">$BA664</f>
        <v>1.2999999999999989</v>
      </c>
      <c r="BD664" s="2029">
        <f t="shared" si="496"/>
        <v>1.2999999999999989</v>
      </c>
      <c r="BE664" s="2030">
        <f t="shared" si="483"/>
        <v>14000</v>
      </c>
      <c r="BF664" s="2030">
        <f t="shared" si="483"/>
        <v>13000</v>
      </c>
      <c r="BG664" s="2030">
        <f t="shared" si="483"/>
        <v>12000</v>
      </c>
      <c r="BH664" s="2030">
        <f t="shared" si="479"/>
        <v>12000</v>
      </c>
      <c r="BI664" s="2030">
        <f t="shared" si="484"/>
        <v>0</v>
      </c>
      <c r="BJ664" s="2030">
        <f t="shared" si="484"/>
        <v>0</v>
      </c>
      <c r="BK664" s="2030">
        <f t="shared" si="484"/>
        <v>0</v>
      </c>
      <c r="BL664" s="2030">
        <f t="shared" si="480"/>
        <v>0</v>
      </c>
      <c r="BM664" s="2125"/>
      <c r="BN664" s="2125"/>
      <c r="BO664" s="2125"/>
      <c r="BP664" s="2125"/>
      <c r="BQ664" s="2125"/>
      <c r="BR664" s="2125"/>
      <c r="BS664" s="2125"/>
      <c r="BT664" s="2125"/>
      <c r="BU664" s="2029"/>
      <c r="BV664" s="2029"/>
      <c r="BW664" s="2029"/>
      <c r="BX664" s="2029"/>
      <c r="BY664" s="2029"/>
      <c r="BZ664" s="2032"/>
      <c r="CA664" s="1974">
        <f t="shared" si="485"/>
        <v>0</v>
      </c>
      <c r="CB664" s="1974">
        <f t="shared" si="485"/>
        <v>0</v>
      </c>
      <c r="CC664" s="1974">
        <f t="shared" si="485"/>
        <v>0</v>
      </c>
      <c r="CD664" s="1974">
        <f t="shared" si="485"/>
        <v>0</v>
      </c>
      <c r="CE664" s="1974">
        <f t="shared" si="485"/>
        <v>1</v>
      </c>
      <c r="CF664" s="2033">
        <v>2.0914611375188975E-4</v>
      </c>
      <c r="CG664" s="2026">
        <v>-3.7673604772434349E-4</v>
      </c>
      <c r="CH664" s="2009">
        <f t="shared" si="486"/>
        <v>1</v>
      </c>
      <c r="CI664" s="2031">
        <f t="shared" si="486"/>
        <v>1.1461222222222223</v>
      </c>
      <c r="CJ664" s="1974">
        <f t="shared" si="486"/>
        <v>0</v>
      </c>
      <c r="CK664" s="2031">
        <f t="shared" si="486"/>
        <v>-1.1461222222222223</v>
      </c>
      <c r="CL664" s="2026">
        <v>1</v>
      </c>
      <c r="CM664" s="2026">
        <v>0.75</v>
      </c>
      <c r="CN664" s="2026">
        <v>0.75</v>
      </c>
      <c r="CO664" s="2026">
        <v>0.75</v>
      </c>
      <c r="CP664" s="2035"/>
      <c r="CQ664" s="2036"/>
      <c r="CR664" s="2036"/>
      <c r="CS664" s="2036"/>
      <c r="CT664" s="2036"/>
      <c r="CU664" s="2036"/>
      <c r="CV664" s="1973">
        <v>1</v>
      </c>
      <c r="CW664" s="1973">
        <v>1</v>
      </c>
      <c r="CX664" s="2037">
        <v>7</v>
      </c>
      <c r="CY664" s="2037">
        <v>6.5</v>
      </c>
      <c r="CZ664" s="2037">
        <v>6</v>
      </c>
      <c r="DA664" s="2037">
        <v>6</v>
      </c>
      <c r="DJ664" s="1976">
        <v>7</v>
      </c>
      <c r="DK664" s="1973">
        <v>6.5</v>
      </c>
      <c r="DL664" s="1973">
        <v>6</v>
      </c>
      <c r="DM664" s="1973">
        <v>6</v>
      </c>
      <c r="DO664" s="2027">
        <v>15</v>
      </c>
      <c r="DP664" s="2144">
        <v>27.794957926000002</v>
      </c>
      <c r="DQ664" s="2145">
        <v>5.9527580800000012E-3</v>
      </c>
      <c r="DR664" s="2027">
        <v>-0.56099915080000007</v>
      </c>
      <c r="DS664" s="2029">
        <v>7</v>
      </c>
      <c r="DT664" s="2029">
        <v>6.5</v>
      </c>
      <c r="DU664" s="2029">
        <v>6</v>
      </c>
      <c r="DV664" s="2029">
        <v>6</v>
      </c>
      <c r="DW664" s="2029">
        <v>0</v>
      </c>
      <c r="DX664" s="2029">
        <v>0</v>
      </c>
      <c r="DY664" s="2029">
        <v>0</v>
      </c>
      <c r="DZ664" s="2029">
        <v>0</v>
      </c>
      <c r="EA664" s="2029">
        <v>1.2999999999999989</v>
      </c>
      <c r="EB664" s="2029">
        <v>1.2999999999999989</v>
      </c>
      <c r="EC664" s="2029">
        <v>1.2999999999999989</v>
      </c>
      <c r="ED664" s="2029">
        <v>1.2999999999999989</v>
      </c>
      <c r="EE664" s="2039">
        <f t="shared" si="463"/>
        <v>0</v>
      </c>
      <c r="EF664" s="2039">
        <f t="shared" si="463"/>
        <v>0</v>
      </c>
      <c r="EG664" s="2039">
        <f t="shared" si="463"/>
        <v>0</v>
      </c>
      <c r="EH664" s="2039">
        <f t="shared" si="462"/>
        <v>0</v>
      </c>
      <c r="EI664" s="2040">
        <f t="shared" si="468"/>
        <v>0</v>
      </c>
      <c r="EJ664" s="2040">
        <f t="shared" si="468"/>
        <v>0</v>
      </c>
      <c r="EK664" s="2040">
        <f t="shared" si="468"/>
        <v>0</v>
      </c>
      <c r="EL664" s="2040">
        <f t="shared" si="464"/>
        <v>0</v>
      </c>
      <c r="EM664" s="2040">
        <f t="shared" si="464"/>
        <v>0</v>
      </c>
      <c r="EN664" s="2040">
        <f t="shared" si="464"/>
        <v>0</v>
      </c>
      <c r="EO664" s="2040">
        <f t="shared" si="464"/>
        <v>0</v>
      </c>
      <c r="EP664" s="2040">
        <f t="shared" si="464"/>
        <v>0</v>
      </c>
      <c r="EQ664" s="2040">
        <f t="shared" si="464"/>
        <v>0</v>
      </c>
      <c r="ER664" s="2040">
        <f t="shared" si="464"/>
        <v>0</v>
      </c>
      <c r="ES664" s="2040">
        <f t="shared" si="464"/>
        <v>0</v>
      </c>
      <c r="ET664" s="2040">
        <f t="shared" si="464"/>
        <v>0</v>
      </c>
      <c r="EU664" s="2039">
        <f t="shared" si="465"/>
        <v>0</v>
      </c>
      <c r="EV664" s="2039">
        <f t="shared" si="466"/>
        <v>0</v>
      </c>
    </row>
    <row r="665" spans="1:152" x14ac:dyDescent="0.25">
      <c r="A665" s="2142" t="s">
        <v>1037</v>
      </c>
      <c r="B665" s="1974" t="str">
        <f t="shared" si="487"/>
        <v/>
      </c>
      <c r="C665" s="2027">
        <f t="shared" si="488"/>
        <v>0</v>
      </c>
      <c r="D665" s="2144">
        <f t="shared" si="488"/>
        <v>0</v>
      </c>
      <c r="E665" s="2145">
        <f t="shared" si="488"/>
        <v>0</v>
      </c>
      <c r="F665" s="2027">
        <f t="shared" si="488"/>
        <v>0</v>
      </c>
      <c r="G665" s="1974" t="s">
        <v>2988</v>
      </c>
      <c r="H665" s="1974" t="s">
        <v>2988</v>
      </c>
      <c r="I665" s="2026">
        <v>0.9</v>
      </c>
      <c r="J665" s="2026">
        <v>0.9</v>
      </c>
      <c r="K665" s="2026">
        <v>0.9</v>
      </c>
      <c r="L665" s="2026">
        <v>0.9</v>
      </c>
      <c r="M665" s="2027">
        <f t="shared" si="489"/>
        <v>0</v>
      </c>
      <c r="N665" s="2027">
        <f t="shared" si="489"/>
        <v>0</v>
      </c>
      <c r="O665" s="2027">
        <f t="shared" si="489"/>
        <v>0</v>
      </c>
      <c r="P665" s="2027">
        <f t="shared" si="489"/>
        <v>0</v>
      </c>
      <c r="Q665" s="2026">
        <v>0.9</v>
      </c>
      <c r="R665" s="2026">
        <v>0.9</v>
      </c>
      <c r="S665" s="2026">
        <v>0.9</v>
      </c>
      <c r="T665" s="2026">
        <v>0.9</v>
      </c>
      <c r="U665" s="2028">
        <f t="shared" si="490"/>
        <v>0</v>
      </c>
      <c r="V665" s="2028">
        <f t="shared" si="490"/>
        <v>0</v>
      </c>
      <c r="W665" s="2028">
        <f t="shared" si="490"/>
        <v>0</v>
      </c>
      <c r="X665" s="2028">
        <f t="shared" si="490"/>
        <v>0</v>
      </c>
      <c r="Y665" s="2026">
        <v>0.9</v>
      </c>
      <c r="Z665" s="2026">
        <v>0.9</v>
      </c>
      <c r="AA665" s="2026">
        <v>0.9</v>
      </c>
      <c r="AB665" s="2026">
        <v>0.9</v>
      </c>
      <c r="AC665" s="2027">
        <f t="shared" si="491"/>
        <v>0</v>
      </c>
      <c r="AD665" s="2027">
        <f t="shared" si="491"/>
        <v>0</v>
      </c>
      <c r="AE665" s="2027">
        <f t="shared" si="491"/>
        <v>0</v>
      </c>
      <c r="AF665" s="2027">
        <f t="shared" si="491"/>
        <v>0</v>
      </c>
      <c r="AG665" s="2027">
        <v>0</v>
      </c>
      <c r="AH665" s="2028"/>
      <c r="AI665" s="2028"/>
      <c r="AJ665" s="2028"/>
      <c r="AK665" s="2027">
        <f t="shared" ref="AK665:AK681" si="497">AG665*M665</f>
        <v>0</v>
      </c>
      <c r="AL665" s="2027">
        <f t="shared" si="494"/>
        <v>0</v>
      </c>
      <c r="AM665" s="2027">
        <f t="shared" si="494"/>
        <v>0</v>
      </c>
      <c r="AN665" s="2027">
        <f t="shared" si="494"/>
        <v>0</v>
      </c>
      <c r="AO665" s="2027">
        <f t="shared" ref="AO665:AO681" si="498">AG665*AC665</f>
        <v>0</v>
      </c>
      <c r="AP665" s="2027">
        <f t="shared" si="476"/>
        <v>0</v>
      </c>
      <c r="AQ665" s="2027">
        <f t="shared" si="476"/>
        <v>0</v>
      </c>
      <c r="AR665" s="2027">
        <f t="shared" si="476"/>
        <v>0</v>
      </c>
      <c r="AS665" s="2124">
        <f t="shared" si="495"/>
        <v>0</v>
      </c>
      <c r="AT665" s="2029">
        <f t="shared" si="477"/>
        <v>0</v>
      </c>
      <c r="AU665" s="2029">
        <f t="shared" si="477"/>
        <v>0</v>
      </c>
      <c r="AV665" s="2029">
        <f t="shared" si="477"/>
        <v>0</v>
      </c>
      <c r="AW665" s="2124">
        <f t="shared" si="492"/>
        <v>0</v>
      </c>
      <c r="AX665" s="2029">
        <f t="shared" si="440"/>
        <v>0</v>
      </c>
      <c r="AY665" s="2029">
        <f t="shared" si="440"/>
        <v>0</v>
      </c>
      <c r="AZ665" s="2029">
        <f t="shared" si="440"/>
        <v>0</v>
      </c>
      <c r="BA665" s="2124">
        <f t="shared" si="493"/>
        <v>0</v>
      </c>
      <c r="BB665" s="2029">
        <f t="shared" si="493"/>
        <v>0</v>
      </c>
      <c r="BC665" s="2029">
        <f t="shared" si="493"/>
        <v>0</v>
      </c>
      <c r="BD665" s="2029">
        <f t="shared" si="493"/>
        <v>0</v>
      </c>
      <c r="BE665" s="2030">
        <f t="shared" si="483"/>
        <v>0</v>
      </c>
      <c r="BF665" s="2030">
        <f t="shared" si="483"/>
        <v>0</v>
      </c>
      <c r="BG665" s="2030">
        <f t="shared" si="483"/>
        <v>0</v>
      </c>
      <c r="BH665" s="2030">
        <f t="shared" si="479"/>
        <v>0</v>
      </c>
      <c r="BI665" s="2030">
        <f t="shared" si="484"/>
        <v>0</v>
      </c>
      <c r="BJ665" s="2030">
        <f t="shared" si="484"/>
        <v>0</v>
      </c>
      <c r="BK665" s="2030">
        <f t="shared" si="484"/>
        <v>0</v>
      </c>
      <c r="BL665" s="2030">
        <f t="shared" si="480"/>
        <v>0</v>
      </c>
      <c r="BM665" s="2125"/>
      <c r="BN665" s="2125"/>
      <c r="BO665" s="2125"/>
      <c r="BP665" s="2125"/>
      <c r="BQ665" s="2125"/>
      <c r="BR665" s="2125"/>
      <c r="BS665" s="2125"/>
      <c r="BT665" s="2125"/>
      <c r="BU665" s="2029"/>
      <c r="BV665" s="2029"/>
      <c r="BW665" s="2029"/>
      <c r="BX665" s="2029"/>
      <c r="BY665" s="2029"/>
      <c r="BZ665" s="2032"/>
      <c r="CA665" s="1974">
        <f t="shared" si="485"/>
        <v>0</v>
      </c>
      <c r="CB665" s="1974">
        <f t="shared" si="485"/>
        <v>0</v>
      </c>
      <c r="CC665" s="1974">
        <f t="shared" si="485"/>
        <v>0</v>
      </c>
      <c r="CD665" s="1974">
        <f t="shared" si="485"/>
        <v>0</v>
      </c>
      <c r="CE665" s="1974">
        <f t="shared" si="485"/>
        <v>0</v>
      </c>
      <c r="CF665" s="2033">
        <v>0</v>
      </c>
      <c r="CG665" s="2026">
        <v>0</v>
      </c>
      <c r="CH665" s="2009">
        <f t="shared" si="486"/>
        <v>0</v>
      </c>
      <c r="CI665" s="2031">
        <f t="shared" si="486"/>
        <v>0</v>
      </c>
      <c r="CJ665" s="1974">
        <f t="shared" si="486"/>
        <v>0</v>
      </c>
      <c r="CK665" s="2031">
        <f t="shared" si="486"/>
        <v>0</v>
      </c>
      <c r="CL665" s="2026">
        <v>0</v>
      </c>
      <c r="CM665" s="2026">
        <v>0</v>
      </c>
      <c r="CN665" s="2026">
        <v>0</v>
      </c>
      <c r="CO665" s="2026">
        <v>0</v>
      </c>
      <c r="CP665" s="2035"/>
      <c r="CQ665" s="2036"/>
      <c r="CR665" s="2036"/>
      <c r="CS665" s="2036"/>
      <c r="CT665" s="2036"/>
      <c r="CU665" s="2036"/>
      <c r="CV665" s="1973">
        <v>1</v>
      </c>
      <c r="CW665" s="1973">
        <v>0</v>
      </c>
      <c r="CX665" s="2037">
        <v>0</v>
      </c>
      <c r="CY665" s="2037">
        <v>0</v>
      </c>
      <c r="CZ665" s="2037">
        <v>0</v>
      </c>
      <c r="DA665" s="2037">
        <v>0</v>
      </c>
      <c r="DJ665" s="1976">
        <v>0</v>
      </c>
      <c r="DK665" s="1973">
        <v>0</v>
      </c>
      <c r="DL665" s="1973">
        <v>0</v>
      </c>
      <c r="DM665" s="1973">
        <v>0</v>
      </c>
      <c r="DO665" s="2027">
        <v>0</v>
      </c>
      <c r="DP665" s="2144">
        <v>0</v>
      </c>
      <c r="DQ665" s="2145">
        <v>0</v>
      </c>
      <c r="DR665" s="2027">
        <v>0</v>
      </c>
      <c r="DS665" s="2124">
        <v>0</v>
      </c>
      <c r="DT665" s="2029">
        <v>0</v>
      </c>
      <c r="DU665" s="2029">
        <v>0</v>
      </c>
      <c r="DV665" s="2029">
        <v>0</v>
      </c>
      <c r="DW665" s="2124">
        <v>0</v>
      </c>
      <c r="DX665" s="2029">
        <v>0</v>
      </c>
      <c r="DY665" s="2029">
        <v>0</v>
      </c>
      <c r="DZ665" s="2029">
        <v>0</v>
      </c>
      <c r="EA665" s="2124">
        <v>0</v>
      </c>
      <c r="EB665" s="2029">
        <v>0</v>
      </c>
      <c r="EC665" s="2029">
        <v>0</v>
      </c>
      <c r="ED665" s="2029">
        <v>0</v>
      </c>
      <c r="EE665" s="2039">
        <f t="shared" si="463"/>
        <v>0</v>
      </c>
      <c r="EF665" s="2039">
        <f t="shared" si="463"/>
        <v>0</v>
      </c>
      <c r="EG665" s="2039">
        <f t="shared" si="463"/>
        <v>0</v>
      </c>
      <c r="EH665" s="2039">
        <f t="shared" si="462"/>
        <v>0</v>
      </c>
      <c r="EI665" s="2040">
        <f t="shared" si="468"/>
        <v>0</v>
      </c>
      <c r="EJ665" s="2040">
        <f t="shared" si="468"/>
        <v>0</v>
      </c>
      <c r="EK665" s="2040">
        <f t="shared" si="468"/>
        <v>0</v>
      </c>
      <c r="EL665" s="2040">
        <f t="shared" si="464"/>
        <v>0</v>
      </c>
      <c r="EM665" s="2040">
        <f t="shared" si="464"/>
        <v>0</v>
      </c>
      <c r="EN665" s="2040">
        <f t="shared" si="464"/>
        <v>0</v>
      </c>
      <c r="EO665" s="2040">
        <f t="shared" si="464"/>
        <v>0</v>
      </c>
      <c r="EP665" s="2040">
        <f t="shared" si="464"/>
        <v>0</v>
      </c>
      <c r="EQ665" s="2040">
        <f t="shared" si="464"/>
        <v>0</v>
      </c>
      <c r="ER665" s="2040">
        <f t="shared" si="464"/>
        <v>0</v>
      </c>
      <c r="ES665" s="2040">
        <f t="shared" si="464"/>
        <v>0</v>
      </c>
      <c r="ET665" s="2040">
        <f t="shared" si="464"/>
        <v>0</v>
      </c>
      <c r="EU665" s="2039">
        <f t="shared" si="465"/>
        <v>0</v>
      </c>
      <c r="EV665" s="2039">
        <f t="shared" si="466"/>
        <v>0</v>
      </c>
    </row>
    <row r="666" spans="1:152" x14ac:dyDescent="0.25">
      <c r="A666" s="2142" t="s">
        <v>1038</v>
      </c>
      <c r="B666" s="1974" t="str">
        <f t="shared" si="487"/>
        <v/>
      </c>
      <c r="C666" s="2027">
        <f t="shared" si="488"/>
        <v>0</v>
      </c>
      <c r="D666" s="2144">
        <f t="shared" si="488"/>
        <v>0</v>
      </c>
      <c r="E666" s="2145">
        <f t="shared" si="488"/>
        <v>0</v>
      </c>
      <c r="F666" s="2027">
        <f t="shared" si="488"/>
        <v>0</v>
      </c>
      <c r="G666" s="1974" t="s">
        <v>2988</v>
      </c>
      <c r="H666" s="1974" t="s">
        <v>2988</v>
      </c>
      <c r="I666" s="2026">
        <v>0.9</v>
      </c>
      <c r="J666" s="2026">
        <v>0.9</v>
      </c>
      <c r="K666" s="2026">
        <v>0.9</v>
      </c>
      <c r="L666" s="2026">
        <v>0.9</v>
      </c>
      <c r="M666" s="2027">
        <f t="shared" si="489"/>
        <v>0</v>
      </c>
      <c r="N666" s="2027">
        <f t="shared" si="489"/>
        <v>0</v>
      </c>
      <c r="O666" s="2027">
        <f t="shared" si="489"/>
        <v>0</v>
      </c>
      <c r="P666" s="2027">
        <f t="shared" si="489"/>
        <v>0</v>
      </c>
      <c r="Q666" s="2026">
        <v>0.9</v>
      </c>
      <c r="R666" s="2026">
        <v>0.9</v>
      </c>
      <c r="S666" s="2026">
        <v>0.9</v>
      </c>
      <c r="T666" s="2026">
        <v>0.9</v>
      </c>
      <c r="U666" s="2028">
        <f t="shared" si="490"/>
        <v>0</v>
      </c>
      <c r="V666" s="2028">
        <f t="shared" si="490"/>
        <v>0</v>
      </c>
      <c r="W666" s="2028">
        <f t="shared" si="490"/>
        <v>0</v>
      </c>
      <c r="X666" s="2028">
        <f t="shared" si="490"/>
        <v>0</v>
      </c>
      <c r="Y666" s="2026">
        <v>0.9</v>
      </c>
      <c r="Z666" s="2026">
        <v>0.9</v>
      </c>
      <c r="AA666" s="2026">
        <v>0.9</v>
      </c>
      <c r="AB666" s="2026">
        <v>0.9</v>
      </c>
      <c r="AC666" s="2027">
        <f t="shared" si="491"/>
        <v>0</v>
      </c>
      <c r="AD666" s="2027">
        <f t="shared" si="491"/>
        <v>0</v>
      </c>
      <c r="AE666" s="2027">
        <f t="shared" si="491"/>
        <v>0</v>
      </c>
      <c r="AF666" s="2027">
        <f t="shared" si="491"/>
        <v>0</v>
      </c>
      <c r="AG666" s="2027">
        <v>0</v>
      </c>
      <c r="AH666" s="2028"/>
      <c r="AI666" s="2028"/>
      <c r="AJ666" s="2028"/>
      <c r="AK666" s="2027">
        <f t="shared" si="497"/>
        <v>0</v>
      </c>
      <c r="AL666" s="2027">
        <f t="shared" si="494"/>
        <v>0</v>
      </c>
      <c r="AM666" s="2027">
        <f t="shared" si="494"/>
        <v>0</v>
      </c>
      <c r="AN666" s="2027">
        <f t="shared" si="494"/>
        <v>0</v>
      </c>
      <c r="AO666" s="2027">
        <f t="shared" si="498"/>
        <v>0</v>
      </c>
      <c r="AP666" s="2027">
        <f t="shared" si="476"/>
        <v>0</v>
      </c>
      <c r="AQ666" s="2027">
        <f t="shared" si="476"/>
        <v>0</v>
      </c>
      <c r="AR666" s="2027">
        <f t="shared" si="476"/>
        <v>0</v>
      </c>
      <c r="AS666" s="2124">
        <f t="shared" si="495"/>
        <v>0</v>
      </c>
      <c r="AT666" s="2029">
        <f t="shared" si="477"/>
        <v>0</v>
      </c>
      <c r="AU666" s="2029">
        <f t="shared" si="477"/>
        <v>0</v>
      </c>
      <c r="AV666" s="2029">
        <f t="shared" si="477"/>
        <v>0</v>
      </c>
      <c r="AW666" s="2124">
        <f t="shared" si="492"/>
        <v>0</v>
      </c>
      <c r="AX666" s="2029">
        <f t="shared" ref="AX666:AZ681" si="499">$AW666</f>
        <v>0</v>
      </c>
      <c r="AY666" s="2029">
        <f t="shared" si="499"/>
        <v>0</v>
      </c>
      <c r="AZ666" s="2029">
        <f t="shared" si="499"/>
        <v>0</v>
      </c>
      <c r="BA666" s="2124">
        <f t="shared" si="493"/>
        <v>0</v>
      </c>
      <c r="BB666" s="2029">
        <f t="shared" si="493"/>
        <v>0</v>
      </c>
      <c r="BC666" s="2029">
        <f t="shared" si="493"/>
        <v>0</v>
      </c>
      <c r="BD666" s="2029">
        <f t="shared" si="493"/>
        <v>0</v>
      </c>
      <c r="BE666" s="2030">
        <f t="shared" si="483"/>
        <v>0</v>
      </c>
      <c r="BF666" s="2030">
        <f t="shared" si="483"/>
        <v>0</v>
      </c>
      <c r="BG666" s="2030">
        <f t="shared" si="483"/>
        <v>0</v>
      </c>
      <c r="BH666" s="2030">
        <f t="shared" si="479"/>
        <v>0</v>
      </c>
      <c r="BI666" s="2030">
        <f t="shared" si="484"/>
        <v>0</v>
      </c>
      <c r="BJ666" s="2030">
        <f t="shared" si="484"/>
        <v>0</v>
      </c>
      <c r="BK666" s="2030">
        <f t="shared" si="484"/>
        <v>0</v>
      </c>
      <c r="BL666" s="2030">
        <f t="shared" si="480"/>
        <v>0</v>
      </c>
      <c r="BM666" s="2125"/>
      <c r="BN666" s="2125"/>
      <c r="BO666" s="2125"/>
      <c r="BP666" s="2125"/>
      <c r="BQ666" s="2125"/>
      <c r="BR666" s="2125"/>
      <c r="BS666" s="2125"/>
      <c r="BT666" s="2125"/>
      <c r="BU666" s="2029"/>
      <c r="BV666" s="2029"/>
      <c r="BW666" s="2029"/>
      <c r="BX666" s="2029"/>
      <c r="BY666" s="2029"/>
      <c r="BZ666" s="2032"/>
      <c r="CA666" s="1974">
        <f t="shared" si="485"/>
        <v>0</v>
      </c>
      <c r="CB666" s="1974">
        <f t="shared" si="485"/>
        <v>0</v>
      </c>
      <c r="CC666" s="1974">
        <f t="shared" si="485"/>
        <v>0</v>
      </c>
      <c r="CD666" s="1974">
        <f t="shared" si="485"/>
        <v>0</v>
      </c>
      <c r="CE666" s="1974">
        <f t="shared" si="485"/>
        <v>0</v>
      </c>
      <c r="CF666" s="2033">
        <v>0</v>
      </c>
      <c r="CG666" s="2026">
        <v>0</v>
      </c>
      <c r="CH666" s="2009">
        <f t="shared" si="486"/>
        <v>0</v>
      </c>
      <c r="CI666" s="2031">
        <f t="shared" si="486"/>
        <v>0</v>
      </c>
      <c r="CJ666" s="1974">
        <f t="shared" si="486"/>
        <v>0</v>
      </c>
      <c r="CK666" s="2031">
        <f t="shared" si="486"/>
        <v>0</v>
      </c>
      <c r="CL666" s="2026">
        <v>0</v>
      </c>
      <c r="CM666" s="2026">
        <v>0</v>
      </c>
      <c r="CN666" s="2026">
        <v>0</v>
      </c>
      <c r="CO666" s="2026">
        <v>0</v>
      </c>
      <c r="CP666" s="2035"/>
      <c r="CQ666" s="2036"/>
      <c r="CR666" s="2036"/>
      <c r="CS666" s="2036"/>
      <c r="CT666" s="2036"/>
      <c r="CU666" s="2036"/>
      <c r="CV666" s="1973">
        <v>1</v>
      </c>
      <c r="CW666" s="1973">
        <v>0</v>
      </c>
      <c r="CX666" s="2037">
        <v>0</v>
      </c>
      <c r="CY666" s="2037">
        <v>0</v>
      </c>
      <c r="CZ666" s="2037">
        <v>0</v>
      </c>
      <c r="DA666" s="2037">
        <v>0</v>
      </c>
      <c r="DJ666" s="1976">
        <v>0</v>
      </c>
      <c r="DK666" s="1973">
        <v>0</v>
      </c>
      <c r="DL666" s="1973">
        <v>0</v>
      </c>
      <c r="DM666" s="1973">
        <v>0</v>
      </c>
      <c r="DO666" s="2027">
        <v>0</v>
      </c>
      <c r="DP666" s="2144">
        <v>0</v>
      </c>
      <c r="DQ666" s="2145">
        <v>0</v>
      </c>
      <c r="DR666" s="2027">
        <v>0</v>
      </c>
      <c r="DS666" s="2124">
        <v>0</v>
      </c>
      <c r="DT666" s="2029">
        <v>0</v>
      </c>
      <c r="DU666" s="2029">
        <v>0</v>
      </c>
      <c r="DV666" s="2029">
        <v>0</v>
      </c>
      <c r="DW666" s="2124">
        <v>0</v>
      </c>
      <c r="DX666" s="2029">
        <v>0</v>
      </c>
      <c r="DY666" s="2029">
        <v>0</v>
      </c>
      <c r="DZ666" s="2029">
        <v>0</v>
      </c>
      <c r="EA666" s="2124">
        <v>0</v>
      </c>
      <c r="EB666" s="2029">
        <v>0</v>
      </c>
      <c r="EC666" s="2029">
        <v>0</v>
      </c>
      <c r="ED666" s="2029">
        <v>0</v>
      </c>
      <c r="EE666" s="2039">
        <f t="shared" si="463"/>
        <v>0</v>
      </c>
      <c r="EF666" s="2039">
        <f t="shared" si="463"/>
        <v>0</v>
      </c>
      <c r="EG666" s="2039">
        <f t="shared" si="463"/>
        <v>0</v>
      </c>
      <c r="EH666" s="2039">
        <f t="shared" si="462"/>
        <v>0</v>
      </c>
      <c r="EI666" s="2040">
        <f t="shared" si="468"/>
        <v>0</v>
      </c>
      <c r="EJ666" s="2040">
        <f t="shared" si="468"/>
        <v>0</v>
      </c>
      <c r="EK666" s="2040">
        <f t="shared" si="468"/>
        <v>0</v>
      </c>
      <c r="EL666" s="2040">
        <f t="shared" si="464"/>
        <v>0</v>
      </c>
      <c r="EM666" s="2040">
        <f t="shared" si="464"/>
        <v>0</v>
      </c>
      <c r="EN666" s="2040">
        <f t="shared" si="464"/>
        <v>0</v>
      </c>
      <c r="EO666" s="2040">
        <f t="shared" si="464"/>
        <v>0</v>
      </c>
      <c r="EP666" s="2040">
        <f t="shared" si="464"/>
        <v>0</v>
      </c>
      <c r="EQ666" s="2040">
        <f t="shared" si="464"/>
        <v>0</v>
      </c>
      <c r="ER666" s="2040">
        <f t="shared" si="464"/>
        <v>0</v>
      </c>
      <c r="ES666" s="2040">
        <f t="shared" si="464"/>
        <v>0</v>
      </c>
      <c r="ET666" s="2040">
        <f t="shared" si="464"/>
        <v>0</v>
      </c>
      <c r="EU666" s="2039">
        <f t="shared" si="465"/>
        <v>0</v>
      </c>
      <c r="EV666" s="2039">
        <f t="shared" si="466"/>
        <v>0</v>
      </c>
    </row>
    <row r="667" spans="1:152" x14ac:dyDescent="0.25">
      <c r="A667" s="2142" t="s">
        <v>1039</v>
      </c>
      <c r="B667" s="1974" t="str">
        <f t="shared" si="487"/>
        <v/>
      </c>
      <c r="C667" s="2027">
        <f t="shared" si="488"/>
        <v>0</v>
      </c>
      <c r="D667" s="2144">
        <f t="shared" si="488"/>
        <v>0</v>
      </c>
      <c r="E667" s="2145">
        <f t="shared" si="488"/>
        <v>0</v>
      </c>
      <c r="F667" s="2027">
        <f t="shared" si="488"/>
        <v>0</v>
      </c>
      <c r="G667" s="1974" t="s">
        <v>2988</v>
      </c>
      <c r="H667" s="1974" t="s">
        <v>2988</v>
      </c>
      <c r="I667" s="2026">
        <v>0.9</v>
      </c>
      <c r="J667" s="2026">
        <v>0.9</v>
      </c>
      <c r="K667" s="2026">
        <v>0.9</v>
      </c>
      <c r="L667" s="2026">
        <v>0.9</v>
      </c>
      <c r="M667" s="2027">
        <f t="shared" si="489"/>
        <v>0</v>
      </c>
      <c r="N667" s="2027">
        <f t="shared" si="489"/>
        <v>0</v>
      </c>
      <c r="O667" s="2027">
        <f t="shared" si="489"/>
        <v>0</v>
      </c>
      <c r="P667" s="2027">
        <f t="shared" si="489"/>
        <v>0</v>
      </c>
      <c r="Q667" s="2026">
        <v>0.9</v>
      </c>
      <c r="R667" s="2026">
        <v>0.9</v>
      </c>
      <c r="S667" s="2026">
        <v>0.9</v>
      </c>
      <c r="T667" s="2026">
        <v>0.9</v>
      </c>
      <c r="U667" s="2028">
        <f t="shared" si="490"/>
        <v>0</v>
      </c>
      <c r="V667" s="2028">
        <f t="shared" si="490"/>
        <v>0</v>
      </c>
      <c r="W667" s="2028">
        <f t="shared" si="490"/>
        <v>0</v>
      </c>
      <c r="X667" s="2028">
        <f t="shared" si="490"/>
        <v>0</v>
      </c>
      <c r="Y667" s="2026">
        <v>0.9</v>
      </c>
      <c r="Z667" s="2026">
        <v>0.9</v>
      </c>
      <c r="AA667" s="2026">
        <v>0.9</v>
      </c>
      <c r="AB667" s="2026">
        <v>0.9</v>
      </c>
      <c r="AC667" s="2027">
        <f t="shared" si="491"/>
        <v>0</v>
      </c>
      <c r="AD667" s="2027">
        <f t="shared" si="491"/>
        <v>0</v>
      </c>
      <c r="AE667" s="2027">
        <f t="shared" si="491"/>
        <v>0</v>
      </c>
      <c r="AF667" s="2027">
        <f t="shared" si="491"/>
        <v>0</v>
      </c>
      <c r="AG667" s="2027">
        <v>0</v>
      </c>
      <c r="AH667" s="2028"/>
      <c r="AI667" s="2028"/>
      <c r="AJ667" s="2028"/>
      <c r="AK667" s="2027">
        <f t="shared" si="497"/>
        <v>0</v>
      </c>
      <c r="AL667" s="2027">
        <f t="shared" si="494"/>
        <v>0</v>
      </c>
      <c r="AM667" s="2027">
        <f t="shared" si="494"/>
        <v>0</v>
      </c>
      <c r="AN667" s="2027">
        <f t="shared" si="494"/>
        <v>0</v>
      </c>
      <c r="AO667" s="2027">
        <f t="shared" si="498"/>
        <v>0</v>
      </c>
      <c r="AP667" s="2027">
        <f t="shared" si="476"/>
        <v>0</v>
      </c>
      <c r="AQ667" s="2027">
        <f t="shared" si="476"/>
        <v>0</v>
      </c>
      <c r="AR667" s="2027">
        <f t="shared" si="476"/>
        <v>0</v>
      </c>
      <c r="AS667" s="2124">
        <f t="shared" si="495"/>
        <v>0</v>
      </c>
      <c r="AT667" s="2029">
        <f t="shared" si="477"/>
        <v>0</v>
      </c>
      <c r="AU667" s="2029">
        <f t="shared" si="477"/>
        <v>0</v>
      </c>
      <c r="AV667" s="2029">
        <f t="shared" si="477"/>
        <v>0</v>
      </c>
      <c r="AW667" s="2124">
        <f t="shared" si="492"/>
        <v>0</v>
      </c>
      <c r="AX667" s="2029">
        <f t="shared" si="499"/>
        <v>0</v>
      </c>
      <c r="AY667" s="2029">
        <f t="shared" si="499"/>
        <v>0</v>
      </c>
      <c r="AZ667" s="2029">
        <f t="shared" si="499"/>
        <v>0</v>
      </c>
      <c r="BA667" s="2124">
        <f t="shared" si="493"/>
        <v>0</v>
      </c>
      <c r="BB667" s="2029">
        <f t="shared" si="493"/>
        <v>0</v>
      </c>
      <c r="BC667" s="2029">
        <f t="shared" si="493"/>
        <v>0</v>
      </c>
      <c r="BD667" s="2029">
        <f t="shared" si="493"/>
        <v>0</v>
      </c>
      <c r="BE667" s="2030">
        <f t="shared" si="483"/>
        <v>0</v>
      </c>
      <c r="BF667" s="2030">
        <f t="shared" si="483"/>
        <v>0</v>
      </c>
      <c r="BG667" s="2030">
        <f t="shared" si="483"/>
        <v>0</v>
      </c>
      <c r="BH667" s="2030">
        <f t="shared" si="479"/>
        <v>0</v>
      </c>
      <c r="BI667" s="2030">
        <f t="shared" si="484"/>
        <v>0</v>
      </c>
      <c r="BJ667" s="2030">
        <f t="shared" si="484"/>
        <v>0</v>
      </c>
      <c r="BK667" s="2030">
        <f t="shared" si="484"/>
        <v>0</v>
      </c>
      <c r="BL667" s="2030">
        <f t="shared" si="480"/>
        <v>0</v>
      </c>
      <c r="BM667" s="2125"/>
      <c r="BN667" s="2125"/>
      <c r="BO667" s="2125"/>
      <c r="BP667" s="2125"/>
      <c r="BQ667" s="2125"/>
      <c r="BR667" s="2125"/>
      <c r="BS667" s="2125"/>
      <c r="BT667" s="2125"/>
      <c r="BU667" s="2029"/>
      <c r="BV667" s="2029"/>
      <c r="BW667" s="2029"/>
      <c r="BX667" s="2029"/>
      <c r="BY667" s="2029"/>
      <c r="BZ667" s="2032"/>
      <c r="CA667" s="1974">
        <f t="shared" si="485"/>
        <v>0</v>
      </c>
      <c r="CB667" s="1974">
        <f t="shared" si="485"/>
        <v>0</v>
      </c>
      <c r="CC667" s="1974">
        <f t="shared" si="485"/>
        <v>0</v>
      </c>
      <c r="CD667" s="1974">
        <f t="shared" si="485"/>
        <v>0</v>
      </c>
      <c r="CE667" s="1974">
        <f t="shared" si="485"/>
        <v>0</v>
      </c>
      <c r="CF667" s="2033">
        <v>0</v>
      </c>
      <c r="CG667" s="2026">
        <v>0</v>
      </c>
      <c r="CH667" s="2009">
        <f t="shared" si="486"/>
        <v>0</v>
      </c>
      <c r="CI667" s="2031">
        <f t="shared" si="486"/>
        <v>0</v>
      </c>
      <c r="CJ667" s="1974">
        <f t="shared" si="486"/>
        <v>0</v>
      </c>
      <c r="CK667" s="2031">
        <f t="shared" si="486"/>
        <v>0</v>
      </c>
      <c r="CL667" s="2026">
        <v>0</v>
      </c>
      <c r="CM667" s="2026">
        <v>0</v>
      </c>
      <c r="CN667" s="2026">
        <v>0</v>
      </c>
      <c r="CO667" s="2026">
        <v>0</v>
      </c>
      <c r="CP667" s="2035"/>
      <c r="CQ667" s="2036"/>
      <c r="CR667" s="2036"/>
      <c r="CS667" s="2036"/>
      <c r="CT667" s="2036"/>
      <c r="CU667" s="2036"/>
      <c r="CV667" s="1973">
        <v>1</v>
      </c>
      <c r="CW667" s="1973">
        <v>0</v>
      </c>
      <c r="CX667" s="2037">
        <v>0</v>
      </c>
      <c r="CY667" s="2037">
        <v>0</v>
      </c>
      <c r="CZ667" s="2037">
        <v>0</v>
      </c>
      <c r="DA667" s="2037">
        <v>0</v>
      </c>
      <c r="DJ667" s="1976">
        <v>0</v>
      </c>
      <c r="DK667" s="1973">
        <v>0</v>
      </c>
      <c r="DL667" s="1973">
        <v>0</v>
      </c>
      <c r="DM667" s="1973">
        <v>0</v>
      </c>
      <c r="DO667" s="2027">
        <v>0</v>
      </c>
      <c r="DP667" s="2144">
        <v>0</v>
      </c>
      <c r="DQ667" s="2145">
        <v>0</v>
      </c>
      <c r="DR667" s="2027">
        <v>0</v>
      </c>
      <c r="DS667" s="2124">
        <v>0</v>
      </c>
      <c r="DT667" s="2029">
        <v>0</v>
      </c>
      <c r="DU667" s="2029">
        <v>0</v>
      </c>
      <c r="DV667" s="2029">
        <v>0</v>
      </c>
      <c r="DW667" s="2124">
        <v>0</v>
      </c>
      <c r="DX667" s="2029">
        <v>0</v>
      </c>
      <c r="DY667" s="2029">
        <v>0</v>
      </c>
      <c r="DZ667" s="2029">
        <v>0</v>
      </c>
      <c r="EA667" s="2124">
        <v>0</v>
      </c>
      <c r="EB667" s="2029">
        <v>0</v>
      </c>
      <c r="EC667" s="2029">
        <v>0</v>
      </c>
      <c r="ED667" s="2029">
        <v>0</v>
      </c>
      <c r="EE667" s="2039">
        <f t="shared" si="463"/>
        <v>0</v>
      </c>
      <c r="EF667" s="2039">
        <f t="shared" si="463"/>
        <v>0</v>
      </c>
      <c r="EG667" s="2039">
        <f t="shared" si="463"/>
        <v>0</v>
      </c>
      <c r="EH667" s="2039">
        <f t="shared" si="462"/>
        <v>0</v>
      </c>
      <c r="EI667" s="2040">
        <f t="shared" si="468"/>
        <v>0</v>
      </c>
      <c r="EJ667" s="2040">
        <f t="shared" si="468"/>
        <v>0</v>
      </c>
      <c r="EK667" s="2040">
        <f t="shared" si="468"/>
        <v>0</v>
      </c>
      <c r="EL667" s="2040">
        <f t="shared" si="464"/>
        <v>0</v>
      </c>
      <c r="EM667" s="2040">
        <f t="shared" si="464"/>
        <v>0</v>
      </c>
      <c r="EN667" s="2040">
        <f t="shared" si="464"/>
        <v>0</v>
      </c>
      <c r="EO667" s="2040">
        <f t="shared" si="464"/>
        <v>0</v>
      </c>
      <c r="EP667" s="2040">
        <f t="shared" si="464"/>
        <v>0</v>
      </c>
      <c r="EQ667" s="2040">
        <f t="shared" si="464"/>
        <v>0</v>
      </c>
      <c r="ER667" s="2040">
        <f t="shared" si="464"/>
        <v>0</v>
      </c>
      <c r="ES667" s="2040">
        <f t="shared" si="464"/>
        <v>0</v>
      </c>
      <c r="ET667" s="2040">
        <f t="shared" si="464"/>
        <v>0</v>
      </c>
      <c r="EU667" s="2039">
        <f t="shared" si="465"/>
        <v>0</v>
      </c>
      <c r="EV667" s="2039">
        <f t="shared" si="466"/>
        <v>0</v>
      </c>
    </row>
    <row r="668" spans="1:152" x14ac:dyDescent="0.25">
      <c r="A668" s="2142" t="s">
        <v>1040</v>
      </c>
      <c r="B668" s="1974" t="str">
        <f t="shared" si="487"/>
        <v/>
      </c>
      <c r="C668" s="2027">
        <f t="shared" si="488"/>
        <v>0</v>
      </c>
      <c r="D668" s="2144">
        <f t="shared" si="488"/>
        <v>0</v>
      </c>
      <c r="E668" s="2145">
        <f t="shared" si="488"/>
        <v>0</v>
      </c>
      <c r="F668" s="2027">
        <f t="shared" si="488"/>
        <v>0</v>
      </c>
      <c r="G668" s="1974" t="s">
        <v>2988</v>
      </c>
      <c r="H668" s="1974" t="s">
        <v>2988</v>
      </c>
      <c r="I668" s="2026">
        <v>0.9</v>
      </c>
      <c r="J668" s="2026">
        <v>0.9</v>
      </c>
      <c r="K668" s="2026">
        <v>0.9</v>
      </c>
      <c r="L668" s="2026">
        <v>0.9</v>
      </c>
      <c r="M668" s="2027">
        <f t="shared" si="489"/>
        <v>0</v>
      </c>
      <c r="N668" s="2027">
        <f t="shared" si="489"/>
        <v>0</v>
      </c>
      <c r="O668" s="2027">
        <f t="shared" si="489"/>
        <v>0</v>
      </c>
      <c r="P668" s="2027">
        <f t="shared" si="489"/>
        <v>0</v>
      </c>
      <c r="Q668" s="2026">
        <v>0.9</v>
      </c>
      <c r="R668" s="2026">
        <v>0.9</v>
      </c>
      <c r="S668" s="2026">
        <v>0.9</v>
      </c>
      <c r="T668" s="2026">
        <v>0.9</v>
      </c>
      <c r="U668" s="2028">
        <f t="shared" si="490"/>
        <v>0</v>
      </c>
      <c r="V668" s="2028">
        <f t="shared" si="490"/>
        <v>0</v>
      </c>
      <c r="W668" s="2028">
        <f t="shared" si="490"/>
        <v>0</v>
      </c>
      <c r="X668" s="2028">
        <f t="shared" si="490"/>
        <v>0</v>
      </c>
      <c r="Y668" s="2026">
        <v>0.9</v>
      </c>
      <c r="Z668" s="2026">
        <v>0.9</v>
      </c>
      <c r="AA668" s="2026">
        <v>0.9</v>
      </c>
      <c r="AB668" s="2026">
        <v>0.9</v>
      </c>
      <c r="AC668" s="2027">
        <f t="shared" si="491"/>
        <v>0</v>
      </c>
      <c r="AD668" s="2027">
        <f t="shared" si="491"/>
        <v>0</v>
      </c>
      <c r="AE668" s="2027">
        <f t="shared" si="491"/>
        <v>0</v>
      </c>
      <c r="AF668" s="2027">
        <f t="shared" si="491"/>
        <v>0</v>
      </c>
      <c r="AG668" s="2027">
        <v>0</v>
      </c>
      <c r="AH668" s="2028"/>
      <c r="AI668" s="2028"/>
      <c r="AJ668" s="2028"/>
      <c r="AK668" s="2027">
        <f t="shared" si="497"/>
        <v>0</v>
      </c>
      <c r="AL668" s="2027">
        <f t="shared" si="494"/>
        <v>0</v>
      </c>
      <c r="AM668" s="2027">
        <f t="shared" si="494"/>
        <v>0</v>
      </c>
      <c r="AN668" s="2027">
        <f t="shared" si="494"/>
        <v>0</v>
      </c>
      <c r="AO668" s="2027">
        <f t="shared" si="498"/>
        <v>0</v>
      </c>
      <c r="AP668" s="2027">
        <f t="shared" si="476"/>
        <v>0</v>
      </c>
      <c r="AQ668" s="2027">
        <f t="shared" si="476"/>
        <v>0</v>
      </c>
      <c r="AR668" s="2027">
        <f t="shared" si="476"/>
        <v>0</v>
      </c>
      <c r="AS668" s="2124">
        <f t="shared" si="495"/>
        <v>0</v>
      </c>
      <c r="AT668" s="2029">
        <f t="shared" si="477"/>
        <v>0</v>
      </c>
      <c r="AU668" s="2029">
        <f t="shared" si="477"/>
        <v>0</v>
      </c>
      <c r="AV668" s="2029">
        <f t="shared" si="477"/>
        <v>0</v>
      </c>
      <c r="AW668" s="2124">
        <f t="shared" si="492"/>
        <v>0</v>
      </c>
      <c r="AX668" s="2029">
        <f t="shared" si="499"/>
        <v>0</v>
      </c>
      <c r="AY668" s="2029">
        <f t="shared" si="499"/>
        <v>0</v>
      </c>
      <c r="AZ668" s="2029">
        <f t="shared" si="499"/>
        <v>0</v>
      </c>
      <c r="BA668" s="2124">
        <f t="shared" si="493"/>
        <v>0</v>
      </c>
      <c r="BB668" s="2029">
        <f t="shared" si="493"/>
        <v>0</v>
      </c>
      <c r="BC668" s="2029">
        <f t="shared" si="493"/>
        <v>0</v>
      </c>
      <c r="BD668" s="2029">
        <f t="shared" si="493"/>
        <v>0</v>
      </c>
      <c r="BE668" s="2030">
        <f t="shared" si="483"/>
        <v>0</v>
      </c>
      <c r="BF668" s="2030">
        <f t="shared" si="483"/>
        <v>0</v>
      </c>
      <c r="BG668" s="2030">
        <f t="shared" si="483"/>
        <v>0</v>
      </c>
      <c r="BH668" s="2030">
        <f t="shared" si="479"/>
        <v>0</v>
      </c>
      <c r="BI668" s="2030">
        <f t="shared" si="484"/>
        <v>0</v>
      </c>
      <c r="BJ668" s="2030">
        <f t="shared" si="484"/>
        <v>0</v>
      </c>
      <c r="BK668" s="2030">
        <f t="shared" si="484"/>
        <v>0</v>
      </c>
      <c r="BL668" s="2030">
        <f t="shared" si="480"/>
        <v>0</v>
      </c>
      <c r="BM668" s="2125"/>
      <c r="BN668" s="2125"/>
      <c r="BO668" s="2125"/>
      <c r="BP668" s="2125"/>
      <c r="BQ668" s="2125"/>
      <c r="BR668" s="2125"/>
      <c r="BS668" s="2125"/>
      <c r="BT668" s="2125"/>
      <c r="BU668" s="2029"/>
      <c r="BV668" s="2029"/>
      <c r="BW668" s="2029"/>
      <c r="BX668" s="2029"/>
      <c r="BY668" s="2029"/>
      <c r="BZ668" s="2032"/>
      <c r="CA668" s="1974">
        <f t="shared" si="485"/>
        <v>0</v>
      </c>
      <c r="CB668" s="1974">
        <f t="shared" si="485"/>
        <v>0</v>
      </c>
      <c r="CC668" s="1974">
        <f t="shared" si="485"/>
        <v>0</v>
      </c>
      <c r="CD668" s="1974">
        <f t="shared" si="485"/>
        <v>0</v>
      </c>
      <c r="CE668" s="1974">
        <f t="shared" si="485"/>
        <v>0</v>
      </c>
      <c r="CF668" s="2033">
        <v>0</v>
      </c>
      <c r="CG668" s="2026">
        <v>0</v>
      </c>
      <c r="CH668" s="2009">
        <f t="shared" si="486"/>
        <v>0</v>
      </c>
      <c r="CI668" s="2031">
        <f t="shared" si="486"/>
        <v>0</v>
      </c>
      <c r="CJ668" s="1974">
        <f t="shared" si="486"/>
        <v>0</v>
      </c>
      <c r="CK668" s="2031">
        <f t="shared" si="486"/>
        <v>0</v>
      </c>
      <c r="CL668" s="2026">
        <v>0</v>
      </c>
      <c r="CM668" s="2026">
        <v>0</v>
      </c>
      <c r="CN668" s="2026">
        <v>0</v>
      </c>
      <c r="CO668" s="2026">
        <v>0</v>
      </c>
      <c r="CP668" s="2035"/>
      <c r="CQ668" s="2036"/>
      <c r="CR668" s="2036"/>
      <c r="CS668" s="2036"/>
      <c r="CT668" s="2036"/>
      <c r="CU668" s="2036"/>
      <c r="CV668" s="1973">
        <v>1</v>
      </c>
      <c r="CW668" s="1973">
        <v>0</v>
      </c>
      <c r="CX668" s="2037">
        <v>0</v>
      </c>
      <c r="CY668" s="2037">
        <v>0</v>
      </c>
      <c r="CZ668" s="2037">
        <v>0</v>
      </c>
      <c r="DA668" s="2037">
        <v>0</v>
      </c>
      <c r="DJ668" s="1976">
        <v>0</v>
      </c>
      <c r="DK668" s="1973">
        <v>0</v>
      </c>
      <c r="DL668" s="1973">
        <v>0</v>
      </c>
      <c r="DM668" s="1973">
        <v>0</v>
      </c>
      <c r="DO668" s="2027">
        <v>0</v>
      </c>
      <c r="DP668" s="2144">
        <v>0</v>
      </c>
      <c r="DQ668" s="2145">
        <v>0</v>
      </c>
      <c r="DR668" s="2027">
        <v>0</v>
      </c>
      <c r="DS668" s="2124">
        <v>0</v>
      </c>
      <c r="DT668" s="2029">
        <v>0</v>
      </c>
      <c r="DU668" s="2029">
        <v>0</v>
      </c>
      <c r="DV668" s="2029">
        <v>0</v>
      </c>
      <c r="DW668" s="2124">
        <v>0</v>
      </c>
      <c r="DX668" s="2029">
        <v>0</v>
      </c>
      <c r="DY668" s="2029">
        <v>0</v>
      </c>
      <c r="DZ668" s="2029">
        <v>0</v>
      </c>
      <c r="EA668" s="2124">
        <v>0</v>
      </c>
      <c r="EB668" s="2029">
        <v>0</v>
      </c>
      <c r="EC668" s="2029">
        <v>0</v>
      </c>
      <c r="ED668" s="2029">
        <v>0</v>
      </c>
      <c r="EE668" s="2039">
        <f t="shared" si="463"/>
        <v>0</v>
      </c>
      <c r="EF668" s="2039">
        <f t="shared" si="463"/>
        <v>0</v>
      </c>
      <c r="EG668" s="2039">
        <f t="shared" si="463"/>
        <v>0</v>
      </c>
      <c r="EH668" s="2039">
        <f t="shared" si="462"/>
        <v>0</v>
      </c>
      <c r="EI668" s="2040">
        <f t="shared" si="468"/>
        <v>0</v>
      </c>
      <c r="EJ668" s="2040">
        <f t="shared" si="468"/>
        <v>0</v>
      </c>
      <c r="EK668" s="2040">
        <f t="shared" si="468"/>
        <v>0</v>
      </c>
      <c r="EL668" s="2040">
        <f t="shared" si="464"/>
        <v>0</v>
      </c>
      <c r="EM668" s="2040">
        <f t="shared" si="464"/>
        <v>0</v>
      </c>
      <c r="EN668" s="2040">
        <f t="shared" si="464"/>
        <v>0</v>
      </c>
      <c r="EO668" s="2040">
        <f t="shared" si="464"/>
        <v>0</v>
      </c>
      <c r="EP668" s="2040">
        <f t="shared" si="464"/>
        <v>0</v>
      </c>
      <c r="EQ668" s="2040">
        <f t="shared" si="464"/>
        <v>0</v>
      </c>
      <c r="ER668" s="2040">
        <f t="shared" si="464"/>
        <v>0</v>
      </c>
      <c r="ES668" s="2040">
        <f t="shared" si="464"/>
        <v>0</v>
      </c>
      <c r="ET668" s="2040">
        <f t="shared" si="464"/>
        <v>0</v>
      </c>
      <c r="EU668" s="2039">
        <f t="shared" si="465"/>
        <v>0</v>
      </c>
      <c r="EV668" s="2039">
        <f t="shared" si="466"/>
        <v>0</v>
      </c>
    </row>
    <row r="669" spans="1:152" x14ac:dyDescent="0.25">
      <c r="A669" s="2142" t="s">
        <v>1041</v>
      </c>
      <c r="B669" s="1974" t="str">
        <f t="shared" si="487"/>
        <v/>
      </c>
      <c r="C669" s="2027">
        <f t="shared" si="488"/>
        <v>0</v>
      </c>
      <c r="D669" s="2144">
        <f t="shared" si="488"/>
        <v>0</v>
      </c>
      <c r="E669" s="2145">
        <f t="shared" si="488"/>
        <v>0</v>
      </c>
      <c r="F669" s="2027">
        <f t="shared" si="488"/>
        <v>0</v>
      </c>
      <c r="G669" s="1974" t="s">
        <v>2988</v>
      </c>
      <c r="H669" s="1974" t="s">
        <v>2988</v>
      </c>
      <c r="I669" s="2026">
        <v>0.9</v>
      </c>
      <c r="J669" s="2026">
        <v>0.9</v>
      </c>
      <c r="K669" s="2026">
        <v>0.9</v>
      </c>
      <c r="L669" s="2026">
        <v>0.9</v>
      </c>
      <c r="M669" s="2027">
        <f t="shared" si="489"/>
        <v>0</v>
      </c>
      <c r="N669" s="2027">
        <f t="shared" si="489"/>
        <v>0</v>
      </c>
      <c r="O669" s="2027">
        <f t="shared" si="489"/>
        <v>0</v>
      </c>
      <c r="P669" s="2027">
        <f t="shared" si="489"/>
        <v>0</v>
      </c>
      <c r="Q669" s="2026">
        <v>0.9</v>
      </c>
      <c r="R669" s="2026">
        <v>0.9</v>
      </c>
      <c r="S669" s="2026">
        <v>0.9</v>
      </c>
      <c r="T669" s="2026">
        <v>0.9</v>
      </c>
      <c r="U669" s="2028">
        <f t="shared" si="490"/>
        <v>0</v>
      </c>
      <c r="V669" s="2028">
        <f t="shared" si="490"/>
        <v>0</v>
      </c>
      <c r="W669" s="2028">
        <f t="shared" si="490"/>
        <v>0</v>
      </c>
      <c r="X669" s="2028">
        <f t="shared" si="490"/>
        <v>0</v>
      </c>
      <c r="Y669" s="2026">
        <v>0.9</v>
      </c>
      <c r="Z669" s="2026">
        <v>0.9</v>
      </c>
      <c r="AA669" s="2026">
        <v>0.9</v>
      </c>
      <c r="AB669" s="2026">
        <v>0.9</v>
      </c>
      <c r="AC669" s="2027">
        <f t="shared" si="491"/>
        <v>0</v>
      </c>
      <c r="AD669" s="2027">
        <f t="shared" si="491"/>
        <v>0</v>
      </c>
      <c r="AE669" s="2027">
        <f t="shared" si="491"/>
        <v>0</v>
      </c>
      <c r="AF669" s="2027">
        <f t="shared" si="491"/>
        <v>0</v>
      </c>
      <c r="AG669" s="2027">
        <v>0</v>
      </c>
      <c r="AH669" s="2028"/>
      <c r="AI669" s="2028"/>
      <c r="AJ669" s="2028"/>
      <c r="AK669" s="2027">
        <f t="shared" si="497"/>
        <v>0</v>
      </c>
      <c r="AL669" s="2027">
        <f t="shared" si="494"/>
        <v>0</v>
      </c>
      <c r="AM669" s="2027">
        <f t="shared" si="494"/>
        <v>0</v>
      </c>
      <c r="AN669" s="2027">
        <f t="shared" si="494"/>
        <v>0</v>
      </c>
      <c r="AO669" s="2027">
        <f t="shared" si="498"/>
        <v>0</v>
      </c>
      <c r="AP669" s="2027">
        <f t="shared" si="476"/>
        <v>0</v>
      </c>
      <c r="AQ669" s="2027">
        <f t="shared" si="476"/>
        <v>0</v>
      </c>
      <c r="AR669" s="2027">
        <f t="shared" si="476"/>
        <v>0</v>
      </c>
      <c r="AS669" s="2124">
        <f t="shared" si="495"/>
        <v>0</v>
      </c>
      <c r="AT669" s="2029">
        <f t="shared" si="477"/>
        <v>0</v>
      </c>
      <c r="AU669" s="2029">
        <f t="shared" si="477"/>
        <v>0</v>
      </c>
      <c r="AV669" s="2029">
        <f t="shared" si="477"/>
        <v>0</v>
      </c>
      <c r="AW669" s="2124">
        <f t="shared" si="492"/>
        <v>0</v>
      </c>
      <c r="AX669" s="2029">
        <f t="shared" si="499"/>
        <v>0</v>
      </c>
      <c r="AY669" s="2029">
        <f t="shared" si="499"/>
        <v>0</v>
      </c>
      <c r="AZ669" s="2029">
        <f t="shared" si="499"/>
        <v>0</v>
      </c>
      <c r="BA669" s="2124">
        <f t="shared" si="493"/>
        <v>0</v>
      </c>
      <c r="BB669" s="2029">
        <f t="shared" si="493"/>
        <v>0</v>
      </c>
      <c r="BC669" s="2029">
        <f t="shared" si="493"/>
        <v>0</v>
      </c>
      <c r="BD669" s="2029">
        <f t="shared" si="493"/>
        <v>0</v>
      </c>
      <c r="BE669" s="2030">
        <f t="shared" si="483"/>
        <v>0</v>
      </c>
      <c r="BF669" s="2030">
        <f t="shared" si="483"/>
        <v>0</v>
      </c>
      <c r="BG669" s="2030">
        <f t="shared" si="483"/>
        <v>0</v>
      </c>
      <c r="BH669" s="2030">
        <f t="shared" si="479"/>
        <v>0</v>
      </c>
      <c r="BI669" s="2030">
        <f t="shared" si="484"/>
        <v>0</v>
      </c>
      <c r="BJ669" s="2030">
        <f t="shared" si="484"/>
        <v>0</v>
      </c>
      <c r="BK669" s="2030">
        <f t="shared" si="484"/>
        <v>0</v>
      </c>
      <c r="BL669" s="2030">
        <f t="shared" si="480"/>
        <v>0</v>
      </c>
      <c r="BM669" s="2125"/>
      <c r="BN669" s="2125"/>
      <c r="BO669" s="2125"/>
      <c r="BP669" s="2125"/>
      <c r="BQ669" s="2125"/>
      <c r="BR669" s="2125"/>
      <c r="BS669" s="2125"/>
      <c r="BT669" s="2125"/>
      <c r="BU669" s="2029"/>
      <c r="BV669" s="2029"/>
      <c r="BW669" s="2029"/>
      <c r="BX669" s="2029"/>
      <c r="BY669" s="2029"/>
      <c r="BZ669" s="2032"/>
      <c r="CA669" s="1974">
        <f t="shared" si="485"/>
        <v>0</v>
      </c>
      <c r="CB669" s="1974">
        <f t="shared" si="485"/>
        <v>0</v>
      </c>
      <c r="CC669" s="1974">
        <f t="shared" si="485"/>
        <v>0</v>
      </c>
      <c r="CD669" s="1974">
        <f t="shared" si="485"/>
        <v>0</v>
      </c>
      <c r="CE669" s="1974">
        <f t="shared" si="485"/>
        <v>0</v>
      </c>
      <c r="CF669" s="2033">
        <v>0</v>
      </c>
      <c r="CG669" s="2026">
        <v>0</v>
      </c>
      <c r="CH669" s="2009">
        <f t="shared" si="486"/>
        <v>0</v>
      </c>
      <c r="CI669" s="2031">
        <f t="shared" si="486"/>
        <v>0</v>
      </c>
      <c r="CJ669" s="1974">
        <f t="shared" si="486"/>
        <v>0</v>
      </c>
      <c r="CK669" s="2031">
        <f t="shared" si="486"/>
        <v>0</v>
      </c>
      <c r="CL669" s="2026">
        <v>0</v>
      </c>
      <c r="CM669" s="2026">
        <v>0</v>
      </c>
      <c r="CN669" s="2026">
        <v>0</v>
      </c>
      <c r="CO669" s="2026">
        <v>0</v>
      </c>
      <c r="CP669" s="2035"/>
      <c r="CQ669" s="2036"/>
      <c r="CR669" s="2036"/>
      <c r="CS669" s="2036"/>
      <c r="CT669" s="2036"/>
      <c r="CU669" s="2036"/>
      <c r="CV669" s="1973">
        <v>1</v>
      </c>
      <c r="CW669" s="1973">
        <v>0</v>
      </c>
      <c r="CX669" s="2037">
        <v>0</v>
      </c>
      <c r="CY669" s="2037">
        <v>0</v>
      </c>
      <c r="CZ669" s="2037">
        <v>0</v>
      </c>
      <c r="DA669" s="2037">
        <v>0</v>
      </c>
      <c r="DJ669" s="1976">
        <v>0</v>
      </c>
      <c r="DK669" s="1973">
        <v>0</v>
      </c>
      <c r="DL669" s="1973">
        <v>0</v>
      </c>
      <c r="DM669" s="1973">
        <v>0</v>
      </c>
      <c r="DO669" s="2027">
        <v>0</v>
      </c>
      <c r="DP669" s="2144">
        <v>0</v>
      </c>
      <c r="DQ669" s="2145">
        <v>0</v>
      </c>
      <c r="DR669" s="2027">
        <v>0</v>
      </c>
      <c r="DS669" s="2124">
        <v>0</v>
      </c>
      <c r="DT669" s="2029">
        <v>0</v>
      </c>
      <c r="DU669" s="2029">
        <v>0</v>
      </c>
      <c r="DV669" s="2029">
        <v>0</v>
      </c>
      <c r="DW669" s="2124">
        <v>0</v>
      </c>
      <c r="DX669" s="2029">
        <v>0</v>
      </c>
      <c r="DY669" s="2029">
        <v>0</v>
      </c>
      <c r="DZ669" s="2029">
        <v>0</v>
      </c>
      <c r="EA669" s="2124">
        <v>0</v>
      </c>
      <c r="EB669" s="2029">
        <v>0</v>
      </c>
      <c r="EC669" s="2029">
        <v>0</v>
      </c>
      <c r="ED669" s="2029">
        <v>0</v>
      </c>
      <c r="EE669" s="2039">
        <f t="shared" si="463"/>
        <v>0</v>
      </c>
      <c r="EF669" s="2039">
        <f t="shared" si="463"/>
        <v>0</v>
      </c>
      <c r="EG669" s="2039">
        <f t="shared" si="463"/>
        <v>0</v>
      </c>
      <c r="EH669" s="2039">
        <f t="shared" si="462"/>
        <v>0</v>
      </c>
      <c r="EI669" s="2040">
        <f t="shared" si="468"/>
        <v>0</v>
      </c>
      <c r="EJ669" s="2040">
        <f t="shared" si="468"/>
        <v>0</v>
      </c>
      <c r="EK669" s="2040">
        <f t="shared" si="468"/>
        <v>0</v>
      </c>
      <c r="EL669" s="2040">
        <f t="shared" si="464"/>
        <v>0</v>
      </c>
      <c r="EM669" s="2040">
        <f t="shared" si="464"/>
        <v>0</v>
      </c>
      <c r="EN669" s="2040">
        <f t="shared" si="464"/>
        <v>0</v>
      </c>
      <c r="EO669" s="2040">
        <f t="shared" si="464"/>
        <v>0</v>
      </c>
      <c r="EP669" s="2040">
        <f t="shared" si="464"/>
        <v>0</v>
      </c>
      <c r="EQ669" s="2040">
        <f t="shared" si="464"/>
        <v>0</v>
      </c>
      <c r="ER669" s="2040">
        <f t="shared" si="464"/>
        <v>0</v>
      </c>
      <c r="ES669" s="2040">
        <f t="shared" si="464"/>
        <v>0</v>
      </c>
      <c r="ET669" s="2040">
        <f t="shared" si="464"/>
        <v>0</v>
      </c>
      <c r="EU669" s="2039">
        <f t="shared" si="465"/>
        <v>0</v>
      </c>
      <c r="EV669" s="2039">
        <f t="shared" si="466"/>
        <v>0</v>
      </c>
    </row>
    <row r="670" spans="1:152" x14ac:dyDescent="0.25">
      <c r="A670" s="2142" t="s">
        <v>1042</v>
      </c>
      <c r="B670" s="1974" t="str">
        <f t="shared" si="487"/>
        <v/>
      </c>
      <c r="C670" s="2027">
        <f t="shared" si="488"/>
        <v>0</v>
      </c>
      <c r="D670" s="2144">
        <f t="shared" si="488"/>
        <v>0</v>
      </c>
      <c r="E670" s="2145">
        <f t="shared" si="488"/>
        <v>0</v>
      </c>
      <c r="F670" s="2027">
        <f t="shared" si="488"/>
        <v>0</v>
      </c>
      <c r="G670" s="1974" t="s">
        <v>2988</v>
      </c>
      <c r="H670" s="1974" t="s">
        <v>2988</v>
      </c>
      <c r="I670" s="2026">
        <v>0.9</v>
      </c>
      <c r="J670" s="2026">
        <v>0.9</v>
      </c>
      <c r="K670" s="2026">
        <v>0.9</v>
      </c>
      <c r="L670" s="2026">
        <v>0.9</v>
      </c>
      <c r="M670" s="2027">
        <f t="shared" si="489"/>
        <v>0</v>
      </c>
      <c r="N670" s="2027">
        <f t="shared" si="489"/>
        <v>0</v>
      </c>
      <c r="O670" s="2027">
        <f t="shared" si="489"/>
        <v>0</v>
      </c>
      <c r="P670" s="2027">
        <f t="shared" si="489"/>
        <v>0</v>
      </c>
      <c r="Q670" s="2026">
        <v>0.9</v>
      </c>
      <c r="R670" s="2026">
        <v>0.9</v>
      </c>
      <c r="S670" s="2026">
        <v>0.9</v>
      </c>
      <c r="T670" s="2026">
        <v>0.9</v>
      </c>
      <c r="U670" s="2028">
        <f t="shared" si="490"/>
        <v>0</v>
      </c>
      <c r="V670" s="2028">
        <f t="shared" si="490"/>
        <v>0</v>
      </c>
      <c r="W670" s="2028">
        <f t="shared" si="490"/>
        <v>0</v>
      </c>
      <c r="X670" s="2028">
        <f t="shared" si="490"/>
        <v>0</v>
      </c>
      <c r="Y670" s="2026">
        <v>0.9</v>
      </c>
      <c r="Z670" s="2026">
        <v>0.9</v>
      </c>
      <c r="AA670" s="2026">
        <v>0.9</v>
      </c>
      <c r="AB670" s="2026">
        <v>0.9</v>
      </c>
      <c r="AC670" s="2027">
        <f t="shared" si="491"/>
        <v>0</v>
      </c>
      <c r="AD670" s="2027">
        <f t="shared" si="491"/>
        <v>0</v>
      </c>
      <c r="AE670" s="2027">
        <f t="shared" si="491"/>
        <v>0</v>
      </c>
      <c r="AF670" s="2027">
        <f t="shared" si="491"/>
        <v>0</v>
      </c>
      <c r="AG670" s="2027">
        <v>0</v>
      </c>
      <c r="AH670" s="2028"/>
      <c r="AI670" s="2028"/>
      <c r="AJ670" s="2028"/>
      <c r="AK670" s="2027">
        <f t="shared" si="497"/>
        <v>0</v>
      </c>
      <c r="AL670" s="2027">
        <f t="shared" si="494"/>
        <v>0</v>
      </c>
      <c r="AM670" s="2027">
        <f t="shared" si="494"/>
        <v>0</v>
      </c>
      <c r="AN670" s="2027">
        <f t="shared" si="494"/>
        <v>0</v>
      </c>
      <c r="AO670" s="2027">
        <f t="shared" si="498"/>
        <v>0</v>
      </c>
      <c r="AP670" s="2027">
        <f t="shared" si="476"/>
        <v>0</v>
      </c>
      <c r="AQ670" s="2027">
        <f t="shared" si="476"/>
        <v>0</v>
      </c>
      <c r="AR670" s="2027">
        <f t="shared" si="476"/>
        <v>0</v>
      </c>
      <c r="AS670" s="2124">
        <f t="shared" si="495"/>
        <v>0</v>
      </c>
      <c r="AT670" s="2029">
        <f t="shared" si="477"/>
        <v>0</v>
      </c>
      <c r="AU670" s="2029">
        <f t="shared" si="477"/>
        <v>0</v>
      </c>
      <c r="AV670" s="2029">
        <f t="shared" si="477"/>
        <v>0</v>
      </c>
      <c r="AW670" s="2124">
        <f t="shared" si="492"/>
        <v>0</v>
      </c>
      <c r="AX670" s="2029">
        <f t="shared" si="499"/>
        <v>0</v>
      </c>
      <c r="AY670" s="2029">
        <f t="shared" si="499"/>
        <v>0</v>
      </c>
      <c r="AZ670" s="2029">
        <f t="shared" si="499"/>
        <v>0</v>
      </c>
      <c r="BA670" s="2124">
        <f t="shared" si="493"/>
        <v>0</v>
      </c>
      <c r="BB670" s="2029">
        <f t="shared" si="493"/>
        <v>0</v>
      </c>
      <c r="BC670" s="2029">
        <f t="shared" si="493"/>
        <v>0</v>
      </c>
      <c r="BD670" s="2029">
        <f t="shared" si="493"/>
        <v>0</v>
      </c>
      <c r="BE670" s="2030">
        <f t="shared" si="483"/>
        <v>0</v>
      </c>
      <c r="BF670" s="2030">
        <f t="shared" si="483"/>
        <v>0</v>
      </c>
      <c r="BG670" s="2030">
        <f t="shared" si="483"/>
        <v>0</v>
      </c>
      <c r="BH670" s="2030">
        <f t="shared" si="479"/>
        <v>0</v>
      </c>
      <c r="BI670" s="2030">
        <f t="shared" si="484"/>
        <v>0</v>
      </c>
      <c r="BJ670" s="2030">
        <f t="shared" si="484"/>
        <v>0</v>
      </c>
      <c r="BK670" s="2030">
        <f t="shared" si="484"/>
        <v>0</v>
      </c>
      <c r="BL670" s="2030">
        <f t="shared" si="480"/>
        <v>0</v>
      </c>
      <c r="BM670" s="2125"/>
      <c r="BN670" s="2125"/>
      <c r="BO670" s="2125"/>
      <c r="BP670" s="2125"/>
      <c r="BQ670" s="2125"/>
      <c r="BR670" s="2125"/>
      <c r="BS670" s="2125"/>
      <c r="BT670" s="2125"/>
      <c r="BU670" s="2029"/>
      <c r="BV670" s="2029"/>
      <c r="BW670" s="2029"/>
      <c r="BX670" s="2029"/>
      <c r="BY670" s="2029"/>
      <c r="BZ670" s="2032"/>
      <c r="CA670" s="1974">
        <f t="shared" si="485"/>
        <v>0</v>
      </c>
      <c r="CB670" s="1974">
        <f t="shared" si="485"/>
        <v>0</v>
      </c>
      <c r="CC670" s="1974">
        <f t="shared" si="485"/>
        <v>0</v>
      </c>
      <c r="CD670" s="1974">
        <f t="shared" si="485"/>
        <v>0</v>
      </c>
      <c r="CE670" s="1974">
        <f t="shared" si="485"/>
        <v>0</v>
      </c>
      <c r="CF670" s="2033">
        <v>0</v>
      </c>
      <c r="CG670" s="2026">
        <v>0</v>
      </c>
      <c r="CH670" s="2009">
        <f t="shared" si="486"/>
        <v>0</v>
      </c>
      <c r="CI670" s="2031">
        <f t="shared" si="486"/>
        <v>0</v>
      </c>
      <c r="CJ670" s="1974">
        <f t="shared" si="486"/>
        <v>0</v>
      </c>
      <c r="CK670" s="2031">
        <f t="shared" si="486"/>
        <v>0</v>
      </c>
      <c r="CL670" s="2026">
        <v>0</v>
      </c>
      <c r="CM670" s="2026">
        <v>0</v>
      </c>
      <c r="CN670" s="2026">
        <v>0</v>
      </c>
      <c r="CO670" s="2026">
        <v>0</v>
      </c>
      <c r="CP670" s="2035"/>
      <c r="CQ670" s="2036"/>
      <c r="CR670" s="2036"/>
      <c r="CS670" s="2036"/>
      <c r="CT670" s="2036"/>
      <c r="CU670" s="2036"/>
      <c r="CV670" s="1973">
        <v>1</v>
      </c>
      <c r="CW670" s="1973">
        <v>0</v>
      </c>
      <c r="CX670" s="2037">
        <v>0</v>
      </c>
      <c r="CY670" s="2037">
        <v>0</v>
      </c>
      <c r="CZ670" s="2037">
        <v>0</v>
      </c>
      <c r="DA670" s="2037">
        <v>0</v>
      </c>
      <c r="DJ670" s="1976">
        <v>0</v>
      </c>
      <c r="DK670" s="1973">
        <v>0</v>
      </c>
      <c r="DL670" s="1973">
        <v>0</v>
      </c>
      <c r="DM670" s="1973">
        <v>0</v>
      </c>
      <c r="DO670" s="2027">
        <v>0</v>
      </c>
      <c r="DP670" s="2144">
        <v>0</v>
      </c>
      <c r="DQ670" s="2145">
        <v>0</v>
      </c>
      <c r="DR670" s="2027">
        <v>0</v>
      </c>
      <c r="DS670" s="2124">
        <v>0</v>
      </c>
      <c r="DT670" s="2029">
        <v>0</v>
      </c>
      <c r="DU670" s="2029">
        <v>0</v>
      </c>
      <c r="DV670" s="2029">
        <v>0</v>
      </c>
      <c r="DW670" s="2124">
        <v>0</v>
      </c>
      <c r="DX670" s="2029">
        <v>0</v>
      </c>
      <c r="DY670" s="2029">
        <v>0</v>
      </c>
      <c r="DZ670" s="2029">
        <v>0</v>
      </c>
      <c r="EA670" s="2124">
        <v>0</v>
      </c>
      <c r="EB670" s="2029">
        <v>0</v>
      </c>
      <c r="EC670" s="2029">
        <v>0</v>
      </c>
      <c r="ED670" s="2029">
        <v>0</v>
      </c>
      <c r="EE670" s="2039">
        <f t="shared" si="463"/>
        <v>0</v>
      </c>
      <c r="EF670" s="2039">
        <f t="shared" si="463"/>
        <v>0</v>
      </c>
      <c r="EG670" s="2039">
        <f t="shared" si="463"/>
        <v>0</v>
      </c>
      <c r="EH670" s="2039">
        <f t="shared" si="462"/>
        <v>0</v>
      </c>
      <c r="EI670" s="2040">
        <f t="shared" si="468"/>
        <v>0</v>
      </c>
      <c r="EJ670" s="2040">
        <f t="shared" si="468"/>
        <v>0</v>
      </c>
      <c r="EK670" s="2040">
        <f t="shared" si="468"/>
        <v>0</v>
      </c>
      <c r="EL670" s="2040">
        <f t="shared" si="464"/>
        <v>0</v>
      </c>
      <c r="EM670" s="2040">
        <f t="shared" si="464"/>
        <v>0</v>
      </c>
      <c r="EN670" s="2040">
        <f t="shared" si="464"/>
        <v>0</v>
      </c>
      <c r="EO670" s="2040">
        <f t="shared" si="464"/>
        <v>0</v>
      </c>
      <c r="EP670" s="2040">
        <f t="shared" si="464"/>
        <v>0</v>
      </c>
      <c r="EQ670" s="2040">
        <f t="shared" si="464"/>
        <v>0</v>
      </c>
      <c r="ER670" s="2040">
        <f t="shared" si="464"/>
        <v>0</v>
      </c>
      <c r="ES670" s="2040">
        <f t="shared" si="464"/>
        <v>0</v>
      </c>
      <c r="ET670" s="2040">
        <f t="shared" si="464"/>
        <v>0</v>
      </c>
      <c r="EU670" s="2039">
        <f t="shared" si="465"/>
        <v>0</v>
      </c>
      <c r="EV670" s="2039">
        <f t="shared" si="466"/>
        <v>0</v>
      </c>
    </row>
    <row r="671" spans="1:152" x14ac:dyDescent="0.25">
      <c r="A671" s="2142" t="s">
        <v>1043</v>
      </c>
      <c r="B671" s="1974" t="str">
        <f t="shared" si="487"/>
        <v/>
      </c>
      <c r="C671" s="2027">
        <f t="shared" si="488"/>
        <v>0</v>
      </c>
      <c r="D671" s="2144">
        <f t="shared" si="488"/>
        <v>0</v>
      </c>
      <c r="E671" s="2145">
        <f t="shared" si="488"/>
        <v>0</v>
      </c>
      <c r="F671" s="2027">
        <f t="shared" si="488"/>
        <v>0</v>
      </c>
      <c r="G671" s="1974" t="s">
        <v>2988</v>
      </c>
      <c r="H671" s="1974" t="s">
        <v>2988</v>
      </c>
      <c r="I671" s="2026">
        <v>0.9</v>
      </c>
      <c r="J671" s="2026">
        <v>0.9</v>
      </c>
      <c r="K671" s="2026">
        <v>0.9</v>
      </c>
      <c r="L671" s="2026">
        <v>0.9</v>
      </c>
      <c r="M671" s="2027">
        <f t="shared" si="489"/>
        <v>0</v>
      </c>
      <c r="N671" s="2027">
        <f t="shared" si="489"/>
        <v>0</v>
      </c>
      <c r="O671" s="2027">
        <f t="shared" si="489"/>
        <v>0</v>
      </c>
      <c r="P671" s="2027">
        <f t="shared" si="489"/>
        <v>0</v>
      </c>
      <c r="Q671" s="2026">
        <v>0.9</v>
      </c>
      <c r="R671" s="2026">
        <v>0.9</v>
      </c>
      <c r="S671" s="2026">
        <v>0.9</v>
      </c>
      <c r="T671" s="2026">
        <v>0.9</v>
      </c>
      <c r="U671" s="2028">
        <f t="shared" si="490"/>
        <v>0</v>
      </c>
      <c r="V671" s="2028">
        <f t="shared" si="490"/>
        <v>0</v>
      </c>
      <c r="W671" s="2028">
        <f t="shared" si="490"/>
        <v>0</v>
      </c>
      <c r="X671" s="2028">
        <f t="shared" si="490"/>
        <v>0</v>
      </c>
      <c r="Y671" s="2026">
        <v>0.9</v>
      </c>
      <c r="Z671" s="2026">
        <v>0.9</v>
      </c>
      <c r="AA671" s="2026">
        <v>0.9</v>
      </c>
      <c r="AB671" s="2026">
        <v>0.9</v>
      </c>
      <c r="AC671" s="2027">
        <f t="shared" si="491"/>
        <v>0</v>
      </c>
      <c r="AD671" s="2027">
        <f t="shared" si="491"/>
        <v>0</v>
      </c>
      <c r="AE671" s="2027">
        <f t="shared" si="491"/>
        <v>0</v>
      </c>
      <c r="AF671" s="2027">
        <f t="shared" si="491"/>
        <v>0</v>
      </c>
      <c r="AG671" s="2027">
        <v>0</v>
      </c>
      <c r="AH671" s="2028"/>
      <c r="AI671" s="2028"/>
      <c r="AJ671" s="2028"/>
      <c r="AK671" s="2027">
        <f t="shared" si="497"/>
        <v>0</v>
      </c>
      <c r="AL671" s="2027">
        <f t="shared" si="494"/>
        <v>0</v>
      </c>
      <c r="AM671" s="2027">
        <f t="shared" si="494"/>
        <v>0</v>
      </c>
      <c r="AN671" s="2027">
        <f t="shared" si="494"/>
        <v>0</v>
      </c>
      <c r="AO671" s="2027">
        <f t="shared" si="498"/>
        <v>0</v>
      </c>
      <c r="AP671" s="2027">
        <f t="shared" si="476"/>
        <v>0</v>
      </c>
      <c r="AQ671" s="2027">
        <f t="shared" si="476"/>
        <v>0</v>
      </c>
      <c r="AR671" s="2027">
        <f t="shared" si="476"/>
        <v>0</v>
      </c>
      <c r="AS671" s="2124">
        <f t="shared" si="495"/>
        <v>0</v>
      </c>
      <c r="AT671" s="2029">
        <f t="shared" si="477"/>
        <v>0</v>
      </c>
      <c r="AU671" s="2029">
        <f t="shared" si="477"/>
        <v>0</v>
      </c>
      <c r="AV671" s="2029">
        <f t="shared" si="477"/>
        <v>0</v>
      </c>
      <c r="AW671" s="2124">
        <f t="shared" si="492"/>
        <v>0</v>
      </c>
      <c r="AX671" s="2029">
        <f t="shared" si="499"/>
        <v>0</v>
      </c>
      <c r="AY671" s="2029">
        <f t="shared" si="499"/>
        <v>0</v>
      </c>
      <c r="AZ671" s="2029">
        <f t="shared" si="499"/>
        <v>0</v>
      </c>
      <c r="BA671" s="2124">
        <f t="shared" si="493"/>
        <v>0</v>
      </c>
      <c r="BB671" s="2029">
        <f t="shared" si="493"/>
        <v>0</v>
      </c>
      <c r="BC671" s="2029">
        <f t="shared" si="493"/>
        <v>0</v>
      </c>
      <c r="BD671" s="2029">
        <f t="shared" si="493"/>
        <v>0</v>
      </c>
      <c r="BE671" s="2030">
        <f t="shared" si="483"/>
        <v>0</v>
      </c>
      <c r="BF671" s="2030">
        <f t="shared" si="483"/>
        <v>0</v>
      </c>
      <c r="BG671" s="2030">
        <f t="shared" si="483"/>
        <v>0</v>
      </c>
      <c r="BH671" s="2030">
        <f t="shared" si="479"/>
        <v>0</v>
      </c>
      <c r="BI671" s="2030">
        <f t="shared" si="484"/>
        <v>0</v>
      </c>
      <c r="BJ671" s="2030">
        <f t="shared" si="484"/>
        <v>0</v>
      </c>
      <c r="BK671" s="2030">
        <f t="shared" si="484"/>
        <v>0</v>
      </c>
      <c r="BL671" s="2030">
        <f t="shared" si="480"/>
        <v>0</v>
      </c>
      <c r="BM671" s="2125"/>
      <c r="BN671" s="2125"/>
      <c r="BO671" s="2125"/>
      <c r="BP671" s="2125"/>
      <c r="BQ671" s="2125"/>
      <c r="BR671" s="2125"/>
      <c r="BS671" s="2125"/>
      <c r="BT671" s="2125"/>
      <c r="BU671" s="2029"/>
      <c r="BV671" s="2029"/>
      <c r="BW671" s="2029"/>
      <c r="BX671" s="2029"/>
      <c r="BY671" s="2029"/>
      <c r="BZ671" s="2032"/>
      <c r="CA671" s="1974">
        <f t="shared" si="485"/>
        <v>0</v>
      </c>
      <c r="CB671" s="1974">
        <f t="shared" si="485"/>
        <v>0</v>
      </c>
      <c r="CC671" s="1974">
        <f t="shared" si="485"/>
        <v>0</v>
      </c>
      <c r="CD671" s="1974">
        <f t="shared" si="485"/>
        <v>0</v>
      </c>
      <c r="CE671" s="1974">
        <f t="shared" si="485"/>
        <v>0</v>
      </c>
      <c r="CF671" s="2033">
        <v>0</v>
      </c>
      <c r="CG671" s="2026">
        <v>0</v>
      </c>
      <c r="CH671" s="2009">
        <f t="shared" si="486"/>
        <v>0</v>
      </c>
      <c r="CI671" s="2031">
        <f t="shared" si="486"/>
        <v>0</v>
      </c>
      <c r="CJ671" s="1974">
        <f t="shared" si="486"/>
        <v>0</v>
      </c>
      <c r="CK671" s="2031">
        <f t="shared" si="486"/>
        <v>0</v>
      </c>
      <c r="CL671" s="2026">
        <v>0</v>
      </c>
      <c r="CM671" s="2026">
        <v>0</v>
      </c>
      <c r="CN671" s="2026">
        <v>0</v>
      </c>
      <c r="CO671" s="2026">
        <v>0</v>
      </c>
      <c r="CP671" s="2035"/>
      <c r="CQ671" s="2036"/>
      <c r="CR671" s="2036"/>
      <c r="CS671" s="2036"/>
      <c r="CT671" s="2036"/>
      <c r="CU671" s="2036"/>
      <c r="CV671" s="1973">
        <v>1</v>
      </c>
      <c r="CW671" s="1973">
        <v>0</v>
      </c>
      <c r="CX671" s="2037">
        <v>0</v>
      </c>
      <c r="CY671" s="2037">
        <v>0</v>
      </c>
      <c r="CZ671" s="2037">
        <v>0</v>
      </c>
      <c r="DA671" s="2037">
        <v>0</v>
      </c>
      <c r="DJ671" s="1976">
        <v>0</v>
      </c>
      <c r="DK671" s="1973">
        <v>0</v>
      </c>
      <c r="DL671" s="1973">
        <v>0</v>
      </c>
      <c r="DM671" s="1973">
        <v>0</v>
      </c>
      <c r="DO671" s="2027">
        <v>0</v>
      </c>
      <c r="DP671" s="2144">
        <v>0</v>
      </c>
      <c r="DQ671" s="2145">
        <v>0</v>
      </c>
      <c r="DR671" s="2027">
        <v>0</v>
      </c>
      <c r="DS671" s="2124">
        <v>0</v>
      </c>
      <c r="DT671" s="2029">
        <v>0</v>
      </c>
      <c r="DU671" s="2029">
        <v>0</v>
      </c>
      <c r="DV671" s="2029">
        <v>0</v>
      </c>
      <c r="DW671" s="2124">
        <v>0</v>
      </c>
      <c r="DX671" s="2029">
        <v>0</v>
      </c>
      <c r="DY671" s="2029">
        <v>0</v>
      </c>
      <c r="DZ671" s="2029">
        <v>0</v>
      </c>
      <c r="EA671" s="2124">
        <v>0</v>
      </c>
      <c r="EB671" s="2029">
        <v>0</v>
      </c>
      <c r="EC671" s="2029">
        <v>0</v>
      </c>
      <c r="ED671" s="2029">
        <v>0</v>
      </c>
      <c r="EE671" s="2039">
        <f t="shared" si="463"/>
        <v>0</v>
      </c>
      <c r="EF671" s="2039">
        <f t="shared" si="463"/>
        <v>0</v>
      </c>
      <c r="EG671" s="2039">
        <f t="shared" si="463"/>
        <v>0</v>
      </c>
      <c r="EH671" s="2039">
        <f t="shared" si="462"/>
        <v>0</v>
      </c>
      <c r="EI671" s="2040">
        <f t="shared" si="468"/>
        <v>0</v>
      </c>
      <c r="EJ671" s="2040">
        <f t="shared" si="468"/>
        <v>0</v>
      </c>
      <c r="EK671" s="2040">
        <f t="shared" si="468"/>
        <v>0</v>
      </c>
      <c r="EL671" s="2040">
        <f t="shared" si="464"/>
        <v>0</v>
      </c>
      <c r="EM671" s="2040">
        <f t="shared" si="464"/>
        <v>0</v>
      </c>
      <c r="EN671" s="2040">
        <f t="shared" si="464"/>
        <v>0</v>
      </c>
      <c r="EO671" s="2040">
        <f t="shared" si="464"/>
        <v>0</v>
      </c>
      <c r="EP671" s="2040">
        <f t="shared" si="464"/>
        <v>0</v>
      </c>
      <c r="EQ671" s="2040">
        <f t="shared" si="464"/>
        <v>0</v>
      </c>
      <c r="ER671" s="2040">
        <f t="shared" si="464"/>
        <v>0</v>
      </c>
      <c r="ES671" s="2040">
        <f t="shared" si="464"/>
        <v>0</v>
      </c>
      <c r="ET671" s="2040">
        <f t="shared" si="464"/>
        <v>0</v>
      </c>
      <c r="EU671" s="2039">
        <f t="shared" si="465"/>
        <v>0</v>
      </c>
      <c r="EV671" s="2039">
        <f t="shared" si="466"/>
        <v>0</v>
      </c>
    </row>
    <row r="672" spans="1:152" x14ac:dyDescent="0.25">
      <c r="A672" s="2142" t="s">
        <v>1044</v>
      </c>
      <c r="B672" s="1974" t="str">
        <f t="shared" si="487"/>
        <v/>
      </c>
      <c r="C672" s="2027">
        <f t="shared" si="488"/>
        <v>0</v>
      </c>
      <c r="D672" s="2144">
        <f t="shared" si="488"/>
        <v>0</v>
      </c>
      <c r="E672" s="2145">
        <f t="shared" si="488"/>
        <v>0</v>
      </c>
      <c r="F672" s="2027">
        <f t="shared" si="488"/>
        <v>0</v>
      </c>
      <c r="G672" s="1974" t="s">
        <v>2988</v>
      </c>
      <c r="H672" s="1974" t="s">
        <v>2988</v>
      </c>
      <c r="I672" s="2026">
        <v>0.9</v>
      </c>
      <c r="J672" s="2026">
        <v>0.9</v>
      </c>
      <c r="K672" s="2026">
        <v>0.9</v>
      </c>
      <c r="L672" s="2026">
        <v>0.9</v>
      </c>
      <c r="M672" s="2027">
        <f t="shared" si="489"/>
        <v>0</v>
      </c>
      <c r="N672" s="2027">
        <f t="shared" si="489"/>
        <v>0</v>
      </c>
      <c r="O672" s="2027">
        <f t="shared" si="489"/>
        <v>0</v>
      </c>
      <c r="P672" s="2027">
        <f t="shared" si="489"/>
        <v>0</v>
      </c>
      <c r="Q672" s="2026">
        <v>0.9</v>
      </c>
      <c r="R672" s="2026">
        <v>0.9</v>
      </c>
      <c r="S672" s="2026">
        <v>0.9</v>
      </c>
      <c r="T672" s="2026">
        <v>0.9</v>
      </c>
      <c r="U672" s="2028">
        <f t="shared" si="490"/>
        <v>0</v>
      </c>
      <c r="V672" s="2028">
        <f t="shared" si="490"/>
        <v>0</v>
      </c>
      <c r="W672" s="2028">
        <f t="shared" si="490"/>
        <v>0</v>
      </c>
      <c r="X672" s="2028">
        <f t="shared" si="490"/>
        <v>0</v>
      </c>
      <c r="Y672" s="2026">
        <v>0.9</v>
      </c>
      <c r="Z672" s="2026">
        <v>0.9</v>
      </c>
      <c r="AA672" s="2026">
        <v>0.9</v>
      </c>
      <c r="AB672" s="2026">
        <v>0.9</v>
      </c>
      <c r="AC672" s="2027">
        <f t="shared" si="491"/>
        <v>0</v>
      </c>
      <c r="AD672" s="2027">
        <f t="shared" si="491"/>
        <v>0</v>
      </c>
      <c r="AE672" s="2027">
        <f t="shared" si="491"/>
        <v>0</v>
      </c>
      <c r="AF672" s="2027">
        <f t="shared" si="491"/>
        <v>0</v>
      </c>
      <c r="AG672" s="2027">
        <v>0</v>
      </c>
      <c r="AH672" s="2028"/>
      <c r="AI672" s="2028"/>
      <c r="AJ672" s="2028"/>
      <c r="AK672" s="2027">
        <f t="shared" si="497"/>
        <v>0</v>
      </c>
      <c r="AL672" s="2027">
        <f t="shared" si="494"/>
        <v>0</v>
      </c>
      <c r="AM672" s="2027">
        <f t="shared" si="494"/>
        <v>0</v>
      </c>
      <c r="AN672" s="2027">
        <f t="shared" si="494"/>
        <v>0</v>
      </c>
      <c r="AO672" s="2027">
        <f t="shared" si="498"/>
        <v>0</v>
      </c>
      <c r="AP672" s="2027">
        <f t="shared" si="476"/>
        <v>0</v>
      </c>
      <c r="AQ672" s="2027">
        <f t="shared" si="476"/>
        <v>0</v>
      </c>
      <c r="AR672" s="2027">
        <f t="shared" si="476"/>
        <v>0</v>
      </c>
      <c r="AS672" s="2124">
        <f t="shared" si="495"/>
        <v>0</v>
      </c>
      <c r="AT672" s="2029">
        <f t="shared" si="477"/>
        <v>0</v>
      </c>
      <c r="AU672" s="2029">
        <f t="shared" si="477"/>
        <v>0</v>
      </c>
      <c r="AV672" s="2029">
        <f t="shared" si="477"/>
        <v>0</v>
      </c>
      <c r="AW672" s="2124">
        <f t="shared" si="492"/>
        <v>0</v>
      </c>
      <c r="AX672" s="2029">
        <f t="shared" si="499"/>
        <v>0</v>
      </c>
      <c r="AY672" s="2029">
        <f t="shared" si="499"/>
        <v>0</v>
      </c>
      <c r="AZ672" s="2029">
        <f t="shared" si="499"/>
        <v>0</v>
      </c>
      <c r="BA672" s="2124">
        <f t="shared" si="493"/>
        <v>0</v>
      </c>
      <c r="BB672" s="2029">
        <f t="shared" si="493"/>
        <v>0</v>
      </c>
      <c r="BC672" s="2029">
        <f t="shared" si="493"/>
        <v>0</v>
      </c>
      <c r="BD672" s="2029">
        <f t="shared" si="493"/>
        <v>0</v>
      </c>
      <c r="BE672" s="2030">
        <f t="shared" si="483"/>
        <v>0</v>
      </c>
      <c r="BF672" s="2030">
        <f t="shared" si="483"/>
        <v>0</v>
      </c>
      <c r="BG672" s="2030">
        <f t="shared" si="483"/>
        <v>0</v>
      </c>
      <c r="BH672" s="2030">
        <f t="shared" si="479"/>
        <v>0</v>
      </c>
      <c r="BI672" s="2030">
        <f t="shared" si="484"/>
        <v>0</v>
      </c>
      <c r="BJ672" s="2030">
        <f t="shared" si="484"/>
        <v>0</v>
      </c>
      <c r="BK672" s="2030">
        <f t="shared" si="484"/>
        <v>0</v>
      </c>
      <c r="BL672" s="2030">
        <f t="shared" si="480"/>
        <v>0</v>
      </c>
      <c r="BM672" s="2125"/>
      <c r="BN672" s="2125"/>
      <c r="BO672" s="2125"/>
      <c r="BP672" s="2125"/>
      <c r="BQ672" s="2125"/>
      <c r="BR672" s="2125"/>
      <c r="BS672" s="2125"/>
      <c r="BT672" s="2125"/>
      <c r="BU672" s="2029"/>
      <c r="BV672" s="2029"/>
      <c r="BW672" s="2029"/>
      <c r="BX672" s="2029"/>
      <c r="BY672" s="2029"/>
      <c r="BZ672" s="2032"/>
      <c r="CA672" s="1974">
        <f t="shared" si="485"/>
        <v>0</v>
      </c>
      <c r="CB672" s="1974">
        <f t="shared" si="485"/>
        <v>0</v>
      </c>
      <c r="CC672" s="1974">
        <f t="shared" si="485"/>
        <v>0</v>
      </c>
      <c r="CD672" s="1974">
        <f t="shared" si="485"/>
        <v>0</v>
      </c>
      <c r="CE672" s="1974">
        <f t="shared" si="485"/>
        <v>0</v>
      </c>
      <c r="CF672" s="2033">
        <v>0</v>
      </c>
      <c r="CG672" s="2026">
        <v>0</v>
      </c>
      <c r="CH672" s="2009">
        <f t="shared" si="486"/>
        <v>0</v>
      </c>
      <c r="CI672" s="2031">
        <f t="shared" si="486"/>
        <v>0</v>
      </c>
      <c r="CJ672" s="1974">
        <f t="shared" si="486"/>
        <v>0</v>
      </c>
      <c r="CK672" s="2031">
        <f t="shared" si="486"/>
        <v>0</v>
      </c>
      <c r="CL672" s="2026">
        <v>0</v>
      </c>
      <c r="CM672" s="2026">
        <v>0</v>
      </c>
      <c r="CN672" s="2026">
        <v>0</v>
      </c>
      <c r="CO672" s="2026">
        <v>0</v>
      </c>
      <c r="CP672" s="2035"/>
      <c r="CQ672" s="2036"/>
      <c r="CR672" s="2036"/>
      <c r="CS672" s="2036"/>
      <c r="CT672" s="2036"/>
      <c r="CU672" s="2036"/>
      <c r="CV672" s="1973">
        <v>1</v>
      </c>
      <c r="CW672" s="1973">
        <v>0</v>
      </c>
      <c r="CX672" s="2037">
        <v>0</v>
      </c>
      <c r="CY672" s="2037">
        <v>0</v>
      </c>
      <c r="CZ672" s="2037">
        <v>0</v>
      </c>
      <c r="DA672" s="2037">
        <v>0</v>
      </c>
      <c r="DJ672" s="1976">
        <v>0</v>
      </c>
      <c r="DK672" s="1973">
        <v>0</v>
      </c>
      <c r="DL672" s="1973">
        <v>0</v>
      </c>
      <c r="DM672" s="1973">
        <v>0</v>
      </c>
      <c r="DO672" s="2027">
        <v>0</v>
      </c>
      <c r="DP672" s="2144">
        <v>0</v>
      </c>
      <c r="DQ672" s="2145">
        <v>0</v>
      </c>
      <c r="DR672" s="2027">
        <v>0</v>
      </c>
      <c r="DS672" s="2124">
        <v>0</v>
      </c>
      <c r="DT672" s="2029">
        <v>0</v>
      </c>
      <c r="DU672" s="2029">
        <v>0</v>
      </c>
      <c r="DV672" s="2029">
        <v>0</v>
      </c>
      <c r="DW672" s="2124">
        <v>0</v>
      </c>
      <c r="DX672" s="2029">
        <v>0</v>
      </c>
      <c r="DY672" s="2029">
        <v>0</v>
      </c>
      <c r="DZ672" s="2029">
        <v>0</v>
      </c>
      <c r="EA672" s="2124">
        <v>0</v>
      </c>
      <c r="EB672" s="2029">
        <v>0</v>
      </c>
      <c r="EC672" s="2029">
        <v>0</v>
      </c>
      <c r="ED672" s="2029">
        <v>0</v>
      </c>
      <c r="EE672" s="2039">
        <f t="shared" si="463"/>
        <v>0</v>
      </c>
      <c r="EF672" s="2039">
        <f t="shared" si="463"/>
        <v>0</v>
      </c>
      <c r="EG672" s="2039">
        <f t="shared" si="463"/>
        <v>0</v>
      </c>
      <c r="EH672" s="2039">
        <f t="shared" si="462"/>
        <v>0</v>
      </c>
      <c r="EI672" s="2040">
        <f t="shared" si="468"/>
        <v>0</v>
      </c>
      <c r="EJ672" s="2040">
        <f t="shared" si="468"/>
        <v>0</v>
      </c>
      <c r="EK672" s="2040">
        <f t="shared" si="468"/>
        <v>0</v>
      </c>
      <c r="EL672" s="2040">
        <f t="shared" si="464"/>
        <v>0</v>
      </c>
      <c r="EM672" s="2040">
        <f t="shared" si="464"/>
        <v>0</v>
      </c>
      <c r="EN672" s="2040">
        <f t="shared" si="464"/>
        <v>0</v>
      </c>
      <c r="EO672" s="2040">
        <f t="shared" si="464"/>
        <v>0</v>
      </c>
      <c r="EP672" s="2040">
        <f t="shared" si="464"/>
        <v>0</v>
      </c>
      <c r="EQ672" s="2040">
        <f t="shared" si="464"/>
        <v>0</v>
      </c>
      <c r="ER672" s="2040">
        <f t="shared" si="464"/>
        <v>0</v>
      </c>
      <c r="ES672" s="2040">
        <f t="shared" si="464"/>
        <v>0</v>
      </c>
      <c r="ET672" s="2040">
        <f t="shared" si="464"/>
        <v>0</v>
      </c>
      <c r="EU672" s="2039">
        <f t="shared" si="465"/>
        <v>0</v>
      </c>
      <c r="EV672" s="2039">
        <f t="shared" si="466"/>
        <v>0</v>
      </c>
    </row>
    <row r="673" spans="1:152" x14ac:dyDescent="0.25">
      <c r="A673" s="2142" t="s">
        <v>1045</v>
      </c>
      <c r="B673" s="1974" t="str">
        <f t="shared" si="487"/>
        <v/>
      </c>
      <c r="C673" s="2027">
        <f t="shared" si="488"/>
        <v>0</v>
      </c>
      <c r="D673" s="2144">
        <f t="shared" si="488"/>
        <v>0</v>
      </c>
      <c r="E673" s="2145">
        <f t="shared" si="488"/>
        <v>0</v>
      </c>
      <c r="F673" s="2027">
        <f t="shared" si="488"/>
        <v>0</v>
      </c>
      <c r="G673" s="1974" t="s">
        <v>2988</v>
      </c>
      <c r="H673" s="1974" t="s">
        <v>2988</v>
      </c>
      <c r="I673" s="2026">
        <v>0.9</v>
      </c>
      <c r="J673" s="2026">
        <v>0.9</v>
      </c>
      <c r="K673" s="2026">
        <v>0.9</v>
      </c>
      <c r="L673" s="2026">
        <v>0.9</v>
      </c>
      <c r="M673" s="2027">
        <f t="shared" si="489"/>
        <v>0</v>
      </c>
      <c r="N673" s="2027">
        <f t="shared" si="489"/>
        <v>0</v>
      </c>
      <c r="O673" s="2027">
        <f t="shared" si="489"/>
        <v>0</v>
      </c>
      <c r="P673" s="2027">
        <f t="shared" si="489"/>
        <v>0</v>
      </c>
      <c r="Q673" s="2026">
        <v>0.9</v>
      </c>
      <c r="R673" s="2026">
        <v>0.9</v>
      </c>
      <c r="S673" s="2026">
        <v>0.9</v>
      </c>
      <c r="T673" s="2026">
        <v>0.9</v>
      </c>
      <c r="U673" s="2028">
        <f t="shared" si="490"/>
        <v>0</v>
      </c>
      <c r="V673" s="2028">
        <f t="shared" si="490"/>
        <v>0</v>
      </c>
      <c r="W673" s="2028">
        <f t="shared" si="490"/>
        <v>0</v>
      </c>
      <c r="X673" s="2028">
        <f t="shared" si="490"/>
        <v>0</v>
      </c>
      <c r="Y673" s="2026">
        <v>0.9</v>
      </c>
      <c r="Z673" s="2026">
        <v>0.9</v>
      </c>
      <c r="AA673" s="2026">
        <v>0.9</v>
      </c>
      <c r="AB673" s="2026">
        <v>0.9</v>
      </c>
      <c r="AC673" s="2027">
        <f t="shared" si="491"/>
        <v>0</v>
      </c>
      <c r="AD673" s="2027">
        <f t="shared" si="491"/>
        <v>0</v>
      </c>
      <c r="AE673" s="2027">
        <f t="shared" si="491"/>
        <v>0</v>
      </c>
      <c r="AF673" s="2027">
        <f t="shared" si="491"/>
        <v>0</v>
      </c>
      <c r="AG673" s="2027">
        <v>0</v>
      </c>
      <c r="AH673" s="2028"/>
      <c r="AI673" s="2028"/>
      <c r="AJ673" s="2028"/>
      <c r="AK673" s="2027">
        <f t="shared" si="497"/>
        <v>0</v>
      </c>
      <c r="AL673" s="2027">
        <f t="shared" si="494"/>
        <v>0</v>
      </c>
      <c r="AM673" s="2027">
        <f t="shared" si="494"/>
        <v>0</v>
      </c>
      <c r="AN673" s="2027">
        <f t="shared" si="494"/>
        <v>0</v>
      </c>
      <c r="AO673" s="2027">
        <f t="shared" si="498"/>
        <v>0</v>
      </c>
      <c r="AP673" s="2027">
        <f t="shared" si="476"/>
        <v>0</v>
      </c>
      <c r="AQ673" s="2027">
        <f t="shared" si="476"/>
        <v>0</v>
      </c>
      <c r="AR673" s="2027">
        <f t="shared" si="476"/>
        <v>0</v>
      </c>
      <c r="AS673" s="2124">
        <f t="shared" si="495"/>
        <v>0</v>
      </c>
      <c r="AT673" s="2029">
        <f t="shared" si="477"/>
        <v>0</v>
      </c>
      <c r="AU673" s="2029">
        <f t="shared" si="477"/>
        <v>0</v>
      </c>
      <c r="AV673" s="2029">
        <f t="shared" si="477"/>
        <v>0</v>
      </c>
      <c r="AW673" s="2124">
        <f t="shared" si="492"/>
        <v>0</v>
      </c>
      <c r="AX673" s="2029">
        <f t="shared" si="499"/>
        <v>0</v>
      </c>
      <c r="AY673" s="2029">
        <f t="shared" si="499"/>
        <v>0</v>
      </c>
      <c r="AZ673" s="2029">
        <f t="shared" si="499"/>
        <v>0</v>
      </c>
      <c r="BA673" s="2124">
        <f t="shared" si="493"/>
        <v>0</v>
      </c>
      <c r="BB673" s="2029">
        <f t="shared" si="493"/>
        <v>0</v>
      </c>
      <c r="BC673" s="2029">
        <f t="shared" si="493"/>
        <v>0</v>
      </c>
      <c r="BD673" s="2029">
        <f t="shared" si="493"/>
        <v>0</v>
      </c>
      <c r="BE673" s="2030">
        <f t="shared" si="483"/>
        <v>0</v>
      </c>
      <c r="BF673" s="2030">
        <f t="shared" si="483"/>
        <v>0</v>
      </c>
      <c r="BG673" s="2030">
        <f t="shared" si="483"/>
        <v>0</v>
      </c>
      <c r="BH673" s="2030">
        <f t="shared" si="479"/>
        <v>0</v>
      </c>
      <c r="BI673" s="2030">
        <f t="shared" si="484"/>
        <v>0</v>
      </c>
      <c r="BJ673" s="2030">
        <f t="shared" si="484"/>
        <v>0</v>
      </c>
      <c r="BK673" s="2030">
        <f t="shared" si="484"/>
        <v>0</v>
      </c>
      <c r="BL673" s="2030">
        <f t="shared" si="480"/>
        <v>0</v>
      </c>
      <c r="BM673" s="2125"/>
      <c r="BN673" s="2125"/>
      <c r="BO673" s="2125"/>
      <c r="BP673" s="2125"/>
      <c r="BQ673" s="2125"/>
      <c r="BR673" s="2125"/>
      <c r="BS673" s="2125"/>
      <c r="BT673" s="2125"/>
      <c r="BU673" s="2029"/>
      <c r="BV673" s="2029"/>
      <c r="BW673" s="2029"/>
      <c r="BX673" s="2029"/>
      <c r="BY673" s="2029"/>
      <c r="BZ673" s="2032"/>
      <c r="CA673" s="1974">
        <f t="shared" si="485"/>
        <v>0</v>
      </c>
      <c r="CB673" s="1974">
        <f t="shared" si="485"/>
        <v>0</v>
      </c>
      <c r="CC673" s="1974">
        <f t="shared" si="485"/>
        <v>0</v>
      </c>
      <c r="CD673" s="1974">
        <f t="shared" si="485"/>
        <v>0</v>
      </c>
      <c r="CE673" s="1974">
        <f t="shared" si="485"/>
        <v>0</v>
      </c>
      <c r="CF673" s="2033">
        <v>0</v>
      </c>
      <c r="CG673" s="2026">
        <v>0</v>
      </c>
      <c r="CH673" s="2009">
        <f t="shared" si="486"/>
        <v>0</v>
      </c>
      <c r="CI673" s="2031">
        <f t="shared" si="486"/>
        <v>0</v>
      </c>
      <c r="CJ673" s="1974">
        <f t="shared" si="486"/>
        <v>0</v>
      </c>
      <c r="CK673" s="2031">
        <f t="shared" si="486"/>
        <v>0</v>
      </c>
      <c r="CL673" s="2026">
        <v>0</v>
      </c>
      <c r="CM673" s="2026">
        <v>0</v>
      </c>
      <c r="CN673" s="2026">
        <v>0</v>
      </c>
      <c r="CO673" s="2026">
        <v>0</v>
      </c>
      <c r="CP673" s="2035"/>
      <c r="CQ673" s="2036"/>
      <c r="CR673" s="2036"/>
      <c r="CS673" s="2036"/>
      <c r="CT673" s="2036"/>
      <c r="CU673" s="2036"/>
      <c r="CV673" s="1973">
        <v>1</v>
      </c>
      <c r="CW673" s="1973">
        <v>0</v>
      </c>
      <c r="CX673" s="2037">
        <v>0</v>
      </c>
      <c r="CY673" s="2037">
        <v>0</v>
      </c>
      <c r="CZ673" s="2037">
        <v>0</v>
      </c>
      <c r="DA673" s="2037">
        <v>0</v>
      </c>
      <c r="DJ673" s="1976">
        <v>0</v>
      </c>
      <c r="DK673" s="1973">
        <v>0</v>
      </c>
      <c r="DL673" s="1973">
        <v>0</v>
      </c>
      <c r="DM673" s="1973">
        <v>0</v>
      </c>
      <c r="DO673" s="2027">
        <v>0</v>
      </c>
      <c r="DP673" s="2144">
        <v>0</v>
      </c>
      <c r="DQ673" s="2145">
        <v>0</v>
      </c>
      <c r="DR673" s="2027">
        <v>0</v>
      </c>
      <c r="DS673" s="2124">
        <v>0</v>
      </c>
      <c r="DT673" s="2029">
        <v>0</v>
      </c>
      <c r="DU673" s="2029">
        <v>0</v>
      </c>
      <c r="DV673" s="2029">
        <v>0</v>
      </c>
      <c r="DW673" s="2124">
        <v>0</v>
      </c>
      <c r="DX673" s="2029">
        <v>0</v>
      </c>
      <c r="DY673" s="2029">
        <v>0</v>
      </c>
      <c r="DZ673" s="2029">
        <v>0</v>
      </c>
      <c r="EA673" s="2124">
        <v>0</v>
      </c>
      <c r="EB673" s="2029">
        <v>0</v>
      </c>
      <c r="EC673" s="2029">
        <v>0</v>
      </c>
      <c r="ED673" s="2029">
        <v>0</v>
      </c>
      <c r="EE673" s="2039">
        <f t="shared" si="463"/>
        <v>0</v>
      </c>
      <c r="EF673" s="2039">
        <f t="shared" si="463"/>
        <v>0</v>
      </c>
      <c r="EG673" s="2039">
        <f t="shared" si="463"/>
        <v>0</v>
      </c>
      <c r="EH673" s="2039">
        <f t="shared" si="462"/>
        <v>0</v>
      </c>
      <c r="EI673" s="2040">
        <f t="shared" si="468"/>
        <v>0</v>
      </c>
      <c r="EJ673" s="2040">
        <f t="shared" si="468"/>
        <v>0</v>
      </c>
      <c r="EK673" s="2040">
        <f t="shared" si="468"/>
        <v>0</v>
      </c>
      <c r="EL673" s="2040">
        <f t="shared" si="464"/>
        <v>0</v>
      </c>
      <c r="EM673" s="2040">
        <f t="shared" si="464"/>
        <v>0</v>
      </c>
      <c r="EN673" s="2040">
        <f t="shared" si="464"/>
        <v>0</v>
      </c>
      <c r="EO673" s="2040">
        <f t="shared" si="464"/>
        <v>0</v>
      </c>
      <c r="EP673" s="2040">
        <f t="shared" si="464"/>
        <v>0</v>
      </c>
      <c r="EQ673" s="2040">
        <f t="shared" si="464"/>
        <v>0</v>
      </c>
      <c r="ER673" s="2040">
        <f t="shared" si="464"/>
        <v>0</v>
      </c>
      <c r="ES673" s="2040">
        <f t="shared" si="464"/>
        <v>0</v>
      </c>
      <c r="ET673" s="2040">
        <f t="shared" si="464"/>
        <v>0</v>
      </c>
      <c r="EU673" s="2039">
        <f t="shared" si="465"/>
        <v>0</v>
      </c>
      <c r="EV673" s="2039">
        <f t="shared" si="466"/>
        <v>0</v>
      </c>
    </row>
    <row r="674" spans="1:152" x14ac:dyDescent="0.25">
      <c r="A674" s="2142" t="s">
        <v>1046</v>
      </c>
      <c r="B674" s="1974" t="str">
        <f t="shared" si="487"/>
        <v/>
      </c>
      <c r="C674" s="2027">
        <f t="shared" si="488"/>
        <v>0</v>
      </c>
      <c r="D674" s="2144">
        <f t="shared" si="488"/>
        <v>0</v>
      </c>
      <c r="E674" s="2145">
        <f t="shared" si="488"/>
        <v>0</v>
      </c>
      <c r="F674" s="2027">
        <f t="shared" si="488"/>
        <v>0</v>
      </c>
      <c r="G674" s="1974" t="s">
        <v>2988</v>
      </c>
      <c r="H674" s="1974" t="s">
        <v>2988</v>
      </c>
      <c r="I674" s="2026">
        <v>0.9</v>
      </c>
      <c r="J674" s="2026">
        <v>0.9</v>
      </c>
      <c r="K674" s="2026">
        <v>0.9</v>
      </c>
      <c r="L674" s="2026">
        <v>0.9</v>
      </c>
      <c r="M674" s="2027">
        <f t="shared" si="489"/>
        <v>0</v>
      </c>
      <c r="N674" s="2027">
        <f t="shared" si="489"/>
        <v>0</v>
      </c>
      <c r="O674" s="2027">
        <f t="shared" si="489"/>
        <v>0</v>
      </c>
      <c r="P674" s="2027">
        <f t="shared" si="489"/>
        <v>0</v>
      </c>
      <c r="Q674" s="2026">
        <v>0.9</v>
      </c>
      <c r="R674" s="2026">
        <v>0.9</v>
      </c>
      <c r="S674" s="2026">
        <v>0.9</v>
      </c>
      <c r="T674" s="2026">
        <v>0.9</v>
      </c>
      <c r="U674" s="2028">
        <f t="shared" si="490"/>
        <v>0</v>
      </c>
      <c r="V674" s="2028">
        <f t="shared" si="490"/>
        <v>0</v>
      </c>
      <c r="W674" s="2028">
        <f t="shared" si="490"/>
        <v>0</v>
      </c>
      <c r="X674" s="2028">
        <f t="shared" si="490"/>
        <v>0</v>
      </c>
      <c r="Y674" s="2026">
        <v>0.9</v>
      </c>
      <c r="Z674" s="2026">
        <v>0.9</v>
      </c>
      <c r="AA674" s="2026">
        <v>0.9</v>
      </c>
      <c r="AB674" s="2026">
        <v>0.9</v>
      </c>
      <c r="AC674" s="2027">
        <f t="shared" si="491"/>
        <v>0</v>
      </c>
      <c r="AD674" s="2027">
        <f t="shared" si="491"/>
        <v>0</v>
      </c>
      <c r="AE674" s="2027">
        <f t="shared" si="491"/>
        <v>0</v>
      </c>
      <c r="AF674" s="2027">
        <f t="shared" si="491"/>
        <v>0</v>
      </c>
      <c r="AG674" s="2027">
        <v>0</v>
      </c>
      <c r="AH674" s="2028"/>
      <c r="AI674" s="2028"/>
      <c r="AJ674" s="2028"/>
      <c r="AK674" s="2027">
        <f t="shared" si="497"/>
        <v>0</v>
      </c>
      <c r="AL674" s="2027">
        <f t="shared" si="494"/>
        <v>0</v>
      </c>
      <c r="AM674" s="2027">
        <f t="shared" si="494"/>
        <v>0</v>
      </c>
      <c r="AN674" s="2027">
        <f t="shared" si="494"/>
        <v>0</v>
      </c>
      <c r="AO674" s="2027">
        <f t="shared" si="498"/>
        <v>0</v>
      </c>
      <c r="AP674" s="2027">
        <f t="shared" si="476"/>
        <v>0</v>
      </c>
      <c r="AQ674" s="2027">
        <f t="shared" si="476"/>
        <v>0</v>
      </c>
      <c r="AR674" s="2027">
        <f t="shared" si="476"/>
        <v>0</v>
      </c>
      <c r="AS674" s="2124">
        <f t="shared" si="495"/>
        <v>0</v>
      </c>
      <c r="AT674" s="2029">
        <f t="shared" si="477"/>
        <v>0</v>
      </c>
      <c r="AU674" s="2029">
        <f t="shared" si="477"/>
        <v>0</v>
      </c>
      <c r="AV674" s="2029">
        <f t="shared" si="477"/>
        <v>0</v>
      </c>
      <c r="AW674" s="2124">
        <f t="shared" si="492"/>
        <v>0</v>
      </c>
      <c r="AX674" s="2029">
        <f t="shared" si="499"/>
        <v>0</v>
      </c>
      <c r="AY674" s="2029">
        <f t="shared" si="499"/>
        <v>0</v>
      </c>
      <c r="AZ674" s="2029">
        <f t="shared" si="499"/>
        <v>0</v>
      </c>
      <c r="BA674" s="2124">
        <f t="shared" si="493"/>
        <v>0</v>
      </c>
      <c r="BB674" s="2029">
        <f t="shared" si="493"/>
        <v>0</v>
      </c>
      <c r="BC674" s="2029">
        <f t="shared" si="493"/>
        <v>0</v>
      </c>
      <c r="BD674" s="2029">
        <f t="shared" si="493"/>
        <v>0</v>
      </c>
      <c r="BE674" s="2030">
        <f t="shared" si="483"/>
        <v>0</v>
      </c>
      <c r="BF674" s="2030">
        <f t="shared" si="483"/>
        <v>0</v>
      </c>
      <c r="BG674" s="2030">
        <f t="shared" si="483"/>
        <v>0</v>
      </c>
      <c r="BH674" s="2030">
        <f t="shared" si="479"/>
        <v>0</v>
      </c>
      <c r="BI674" s="2030">
        <f t="shared" si="484"/>
        <v>0</v>
      </c>
      <c r="BJ674" s="2030">
        <f t="shared" si="484"/>
        <v>0</v>
      </c>
      <c r="BK674" s="2030">
        <f t="shared" si="484"/>
        <v>0</v>
      </c>
      <c r="BL674" s="2030">
        <f t="shared" si="480"/>
        <v>0</v>
      </c>
      <c r="BM674" s="2125"/>
      <c r="BN674" s="2125"/>
      <c r="BO674" s="2125"/>
      <c r="BP674" s="2125"/>
      <c r="BQ674" s="2125"/>
      <c r="BR674" s="2125"/>
      <c r="BS674" s="2125"/>
      <c r="BT674" s="2125"/>
      <c r="BU674" s="2029"/>
      <c r="BV674" s="2029"/>
      <c r="BW674" s="2029"/>
      <c r="BX674" s="2029"/>
      <c r="BY674" s="2029"/>
      <c r="BZ674" s="2032"/>
      <c r="CA674" s="1974">
        <f t="shared" si="485"/>
        <v>0</v>
      </c>
      <c r="CB674" s="1974">
        <f t="shared" si="485"/>
        <v>0</v>
      </c>
      <c r="CC674" s="1974">
        <f t="shared" si="485"/>
        <v>0</v>
      </c>
      <c r="CD674" s="1974">
        <f t="shared" si="485"/>
        <v>0</v>
      </c>
      <c r="CE674" s="1974">
        <f t="shared" si="485"/>
        <v>0</v>
      </c>
      <c r="CF674" s="2033">
        <v>0</v>
      </c>
      <c r="CG674" s="2026">
        <v>0</v>
      </c>
      <c r="CH674" s="2009">
        <f t="shared" si="486"/>
        <v>0</v>
      </c>
      <c r="CI674" s="2031">
        <f t="shared" si="486"/>
        <v>0</v>
      </c>
      <c r="CJ674" s="1974">
        <f t="shared" si="486"/>
        <v>0</v>
      </c>
      <c r="CK674" s="2031">
        <f t="shared" si="486"/>
        <v>0</v>
      </c>
      <c r="CL674" s="2026">
        <v>0</v>
      </c>
      <c r="CM674" s="2026">
        <v>0</v>
      </c>
      <c r="CN674" s="2026">
        <v>0</v>
      </c>
      <c r="CO674" s="2026">
        <v>0</v>
      </c>
      <c r="CP674" s="2035"/>
      <c r="CQ674" s="2036"/>
      <c r="CR674" s="2036"/>
      <c r="CS674" s="2036"/>
      <c r="CT674" s="2036"/>
      <c r="CU674" s="2036"/>
      <c r="CV674" s="1973">
        <v>1</v>
      </c>
      <c r="CW674" s="1973">
        <v>0</v>
      </c>
      <c r="CX674" s="2037">
        <v>0</v>
      </c>
      <c r="CY674" s="2037">
        <v>0</v>
      </c>
      <c r="CZ674" s="2037">
        <v>0</v>
      </c>
      <c r="DA674" s="2037">
        <v>0</v>
      </c>
      <c r="DJ674" s="1976">
        <v>0</v>
      </c>
      <c r="DK674" s="1973">
        <v>0</v>
      </c>
      <c r="DL674" s="1973">
        <v>0</v>
      </c>
      <c r="DM674" s="1973">
        <v>0</v>
      </c>
      <c r="DO674" s="2027">
        <v>0</v>
      </c>
      <c r="DP674" s="2144">
        <v>0</v>
      </c>
      <c r="DQ674" s="2145">
        <v>0</v>
      </c>
      <c r="DR674" s="2027">
        <v>0</v>
      </c>
      <c r="DS674" s="2124">
        <v>0</v>
      </c>
      <c r="DT674" s="2029">
        <v>0</v>
      </c>
      <c r="DU674" s="2029">
        <v>0</v>
      </c>
      <c r="DV674" s="2029">
        <v>0</v>
      </c>
      <c r="DW674" s="2124">
        <v>0</v>
      </c>
      <c r="DX674" s="2029">
        <v>0</v>
      </c>
      <c r="DY674" s="2029">
        <v>0</v>
      </c>
      <c r="DZ674" s="2029">
        <v>0</v>
      </c>
      <c r="EA674" s="2124">
        <v>0</v>
      </c>
      <c r="EB674" s="2029">
        <v>0</v>
      </c>
      <c r="EC674" s="2029">
        <v>0</v>
      </c>
      <c r="ED674" s="2029">
        <v>0</v>
      </c>
      <c r="EE674" s="2039">
        <f t="shared" si="463"/>
        <v>0</v>
      </c>
      <c r="EF674" s="2039">
        <f t="shared" si="463"/>
        <v>0</v>
      </c>
      <c r="EG674" s="2039">
        <f t="shared" si="463"/>
        <v>0</v>
      </c>
      <c r="EH674" s="2039">
        <f t="shared" si="462"/>
        <v>0</v>
      </c>
      <c r="EI674" s="2040">
        <f t="shared" si="468"/>
        <v>0</v>
      </c>
      <c r="EJ674" s="2040">
        <f t="shared" si="468"/>
        <v>0</v>
      </c>
      <c r="EK674" s="2040">
        <f t="shared" si="468"/>
        <v>0</v>
      </c>
      <c r="EL674" s="2040">
        <f t="shared" si="464"/>
        <v>0</v>
      </c>
      <c r="EM674" s="2040">
        <f t="shared" si="464"/>
        <v>0</v>
      </c>
      <c r="EN674" s="2040">
        <f t="shared" si="464"/>
        <v>0</v>
      </c>
      <c r="EO674" s="2040">
        <f t="shared" si="464"/>
        <v>0</v>
      </c>
      <c r="EP674" s="2040">
        <f t="shared" si="464"/>
        <v>0</v>
      </c>
      <c r="EQ674" s="2040">
        <f t="shared" si="464"/>
        <v>0</v>
      </c>
      <c r="ER674" s="2040">
        <f t="shared" si="464"/>
        <v>0</v>
      </c>
      <c r="ES674" s="2040">
        <f t="shared" si="464"/>
        <v>0</v>
      </c>
      <c r="ET674" s="2040">
        <f t="shared" si="464"/>
        <v>0</v>
      </c>
      <c r="EU674" s="2039">
        <f t="shared" si="465"/>
        <v>0</v>
      </c>
      <c r="EV674" s="2039">
        <f t="shared" si="466"/>
        <v>0</v>
      </c>
    </row>
    <row r="675" spans="1:152" x14ac:dyDescent="0.25">
      <c r="A675" s="2142" t="s">
        <v>1047</v>
      </c>
      <c r="B675" s="1974" t="str">
        <f t="shared" si="487"/>
        <v/>
      </c>
      <c r="C675" s="2027">
        <f t="shared" si="488"/>
        <v>0</v>
      </c>
      <c r="D675" s="2144">
        <f t="shared" si="488"/>
        <v>0</v>
      </c>
      <c r="E675" s="2145">
        <f t="shared" si="488"/>
        <v>0</v>
      </c>
      <c r="F675" s="2027">
        <f t="shared" si="488"/>
        <v>0</v>
      </c>
      <c r="G675" s="1974" t="s">
        <v>2988</v>
      </c>
      <c r="H675" s="1974" t="s">
        <v>2988</v>
      </c>
      <c r="I675" s="2026">
        <v>0.9</v>
      </c>
      <c r="J675" s="2026">
        <v>0.9</v>
      </c>
      <c r="K675" s="2026">
        <v>0.9</v>
      </c>
      <c r="L675" s="2026">
        <v>0.9</v>
      </c>
      <c r="M675" s="2027">
        <f t="shared" si="489"/>
        <v>0</v>
      </c>
      <c r="N675" s="2027">
        <f t="shared" si="489"/>
        <v>0</v>
      </c>
      <c r="O675" s="2027">
        <f t="shared" si="489"/>
        <v>0</v>
      </c>
      <c r="P675" s="2027">
        <f t="shared" si="489"/>
        <v>0</v>
      </c>
      <c r="Q675" s="2026">
        <v>0.9</v>
      </c>
      <c r="R675" s="2026">
        <v>0.9</v>
      </c>
      <c r="S675" s="2026">
        <v>0.9</v>
      </c>
      <c r="T675" s="2026">
        <v>0.9</v>
      </c>
      <c r="U675" s="2028">
        <f t="shared" si="490"/>
        <v>0</v>
      </c>
      <c r="V675" s="2028">
        <f t="shared" si="490"/>
        <v>0</v>
      </c>
      <c r="W675" s="2028">
        <f t="shared" si="490"/>
        <v>0</v>
      </c>
      <c r="X675" s="2028">
        <f t="shared" si="490"/>
        <v>0</v>
      </c>
      <c r="Y675" s="2026">
        <v>0.9</v>
      </c>
      <c r="Z675" s="2026">
        <v>0.9</v>
      </c>
      <c r="AA675" s="2026">
        <v>0.9</v>
      </c>
      <c r="AB675" s="2026">
        <v>0.9</v>
      </c>
      <c r="AC675" s="2027">
        <f t="shared" si="491"/>
        <v>0</v>
      </c>
      <c r="AD675" s="2027">
        <f t="shared" si="491"/>
        <v>0</v>
      </c>
      <c r="AE675" s="2027">
        <f t="shared" si="491"/>
        <v>0</v>
      </c>
      <c r="AF675" s="2027">
        <f t="shared" si="491"/>
        <v>0</v>
      </c>
      <c r="AG675" s="2027">
        <v>0</v>
      </c>
      <c r="AH675" s="2028"/>
      <c r="AI675" s="2028"/>
      <c r="AJ675" s="2028"/>
      <c r="AK675" s="2027">
        <f t="shared" si="497"/>
        <v>0</v>
      </c>
      <c r="AL675" s="2027">
        <f t="shared" si="494"/>
        <v>0</v>
      </c>
      <c r="AM675" s="2027">
        <f t="shared" si="494"/>
        <v>0</v>
      </c>
      <c r="AN675" s="2027">
        <f t="shared" si="494"/>
        <v>0</v>
      </c>
      <c r="AO675" s="2027">
        <f t="shared" si="498"/>
        <v>0</v>
      </c>
      <c r="AP675" s="2027">
        <f t="shared" si="476"/>
        <v>0</v>
      </c>
      <c r="AQ675" s="2027">
        <f t="shared" si="476"/>
        <v>0</v>
      </c>
      <c r="AR675" s="2027">
        <f t="shared" si="476"/>
        <v>0</v>
      </c>
      <c r="AS675" s="2124">
        <f t="shared" si="495"/>
        <v>0</v>
      </c>
      <c r="AT675" s="2029">
        <f t="shared" ref="AT675:AV681" si="500">$AS675</f>
        <v>0</v>
      </c>
      <c r="AU675" s="2029">
        <f t="shared" si="500"/>
        <v>0</v>
      </c>
      <c r="AV675" s="2029">
        <f t="shared" si="500"/>
        <v>0</v>
      </c>
      <c r="AW675" s="2124">
        <f t="shared" si="492"/>
        <v>0</v>
      </c>
      <c r="AX675" s="2029">
        <f t="shared" si="499"/>
        <v>0</v>
      </c>
      <c r="AY675" s="2029">
        <f t="shared" si="499"/>
        <v>0</v>
      </c>
      <c r="AZ675" s="2029">
        <f t="shared" si="499"/>
        <v>0</v>
      </c>
      <c r="BA675" s="2124">
        <f t="shared" si="493"/>
        <v>0</v>
      </c>
      <c r="BB675" s="2029">
        <f t="shared" si="493"/>
        <v>0</v>
      </c>
      <c r="BC675" s="2029">
        <f t="shared" si="493"/>
        <v>0</v>
      </c>
      <c r="BD675" s="2029">
        <f t="shared" si="493"/>
        <v>0</v>
      </c>
      <c r="BE675" s="2030">
        <f t="shared" si="483"/>
        <v>0</v>
      </c>
      <c r="BF675" s="2030">
        <f t="shared" si="483"/>
        <v>0</v>
      </c>
      <c r="BG675" s="2030">
        <f t="shared" si="483"/>
        <v>0</v>
      </c>
      <c r="BH675" s="2030">
        <f t="shared" si="479"/>
        <v>0</v>
      </c>
      <c r="BI675" s="2030">
        <f t="shared" si="484"/>
        <v>0</v>
      </c>
      <c r="BJ675" s="2030">
        <f t="shared" si="484"/>
        <v>0</v>
      </c>
      <c r="BK675" s="2030">
        <f t="shared" si="484"/>
        <v>0</v>
      </c>
      <c r="BL675" s="2030">
        <f t="shared" si="480"/>
        <v>0</v>
      </c>
      <c r="BM675" s="2125"/>
      <c r="BN675" s="2125"/>
      <c r="BO675" s="2125"/>
      <c r="BP675" s="2125"/>
      <c r="BQ675" s="2125"/>
      <c r="BR675" s="2125"/>
      <c r="BS675" s="2125"/>
      <c r="BT675" s="2125"/>
      <c r="BU675" s="2029"/>
      <c r="BV675" s="2029"/>
      <c r="BW675" s="2029"/>
      <c r="BX675" s="2029"/>
      <c r="BY675" s="2029"/>
      <c r="BZ675" s="2032"/>
      <c r="CA675" s="1974">
        <f t="shared" si="485"/>
        <v>0</v>
      </c>
      <c r="CB675" s="1974">
        <f t="shared" si="485"/>
        <v>0</v>
      </c>
      <c r="CC675" s="1974">
        <f t="shared" si="485"/>
        <v>0</v>
      </c>
      <c r="CD675" s="1974">
        <f t="shared" si="485"/>
        <v>0</v>
      </c>
      <c r="CE675" s="1974">
        <f t="shared" si="485"/>
        <v>0</v>
      </c>
      <c r="CF675" s="2033">
        <v>0</v>
      </c>
      <c r="CG675" s="2026">
        <v>0</v>
      </c>
      <c r="CH675" s="2009">
        <f t="shared" si="486"/>
        <v>0</v>
      </c>
      <c r="CI675" s="2031">
        <f t="shared" si="486"/>
        <v>0</v>
      </c>
      <c r="CJ675" s="1974">
        <f t="shared" si="486"/>
        <v>0</v>
      </c>
      <c r="CK675" s="2031">
        <f t="shared" si="486"/>
        <v>0</v>
      </c>
      <c r="CL675" s="2026">
        <v>0</v>
      </c>
      <c r="CM675" s="2026">
        <v>0</v>
      </c>
      <c r="CN675" s="2026">
        <v>0</v>
      </c>
      <c r="CO675" s="2026">
        <v>0</v>
      </c>
      <c r="CP675" s="2035"/>
      <c r="CQ675" s="2036"/>
      <c r="CR675" s="2036"/>
      <c r="CS675" s="2036"/>
      <c r="CT675" s="2036"/>
      <c r="CU675" s="2036"/>
      <c r="CV675" s="1973">
        <v>1</v>
      </c>
      <c r="CW675" s="1973">
        <v>0</v>
      </c>
      <c r="CX675" s="2037">
        <v>0</v>
      </c>
      <c r="CY675" s="2037">
        <v>0</v>
      </c>
      <c r="CZ675" s="2037">
        <v>0</v>
      </c>
      <c r="DA675" s="2037">
        <v>0</v>
      </c>
      <c r="DJ675" s="1976">
        <v>0</v>
      </c>
      <c r="DK675" s="1973">
        <v>0</v>
      </c>
      <c r="DL675" s="1973">
        <v>0</v>
      </c>
      <c r="DM675" s="1973">
        <v>0</v>
      </c>
      <c r="DO675" s="2027">
        <v>0</v>
      </c>
      <c r="DP675" s="2144">
        <v>0</v>
      </c>
      <c r="DQ675" s="2145">
        <v>0</v>
      </c>
      <c r="DR675" s="2027">
        <v>0</v>
      </c>
      <c r="DS675" s="2124">
        <v>0</v>
      </c>
      <c r="DT675" s="2029">
        <v>0</v>
      </c>
      <c r="DU675" s="2029">
        <v>0</v>
      </c>
      <c r="DV675" s="2029">
        <v>0</v>
      </c>
      <c r="DW675" s="2124">
        <v>0</v>
      </c>
      <c r="DX675" s="2029">
        <v>0</v>
      </c>
      <c r="DY675" s="2029">
        <v>0</v>
      </c>
      <c r="DZ675" s="2029">
        <v>0</v>
      </c>
      <c r="EA675" s="2124">
        <v>0</v>
      </c>
      <c r="EB675" s="2029">
        <v>0</v>
      </c>
      <c r="EC675" s="2029">
        <v>0</v>
      </c>
      <c r="ED675" s="2029">
        <v>0</v>
      </c>
      <c r="EE675" s="2039">
        <f t="shared" si="463"/>
        <v>0</v>
      </c>
      <c r="EF675" s="2039">
        <f t="shared" si="463"/>
        <v>0</v>
      </c>
      <c r="EG675" s="2039">
        <f t="shared" si="463"/>
        <v>0</v>
      </c>
      <c r="EH675" s="2039">
        <f t="shared" si="462"/>
        <v>0</v>
      </c>
      <c r="EI675" s="2040">
        <f t="shared" si="468"/>
        <v>0</v>
      </c>
      <c r="EJ675" s="2040">
        <f t="shared" si="468"/>
        <v>0</v>
      </c>
      <c r="EK675" s="2040">
        <f t="shared" si="468"/>
        <v>0</v>
      </c>
      <c r="EL675" s="2040">
        <f t="shared" si="464"/>
        <v>0</v>
      </c>
      <c r="EM675" s="2040">
        <f t="shared" si="464"/>
        <v>0</v>
      </c>
      <c r="EN675" s="2040">
        <f t="shared" si="464"/>
        <v>0</v>
      </c>
      <c r="EO675" s="2040">
        <f t="shared" ref="EO675:ET684" si="501">AY675-DY675</f>
        <v>0</v>
      </c>
      <c r="EP675" s="2040">
        <f t="shared" si="501"/>
        <v>0</v>
      </c>
      <c r="EQ675" s="2040">
        <f t="shared" si="501"/>
        <v>0</v>
      </c>
      <c r="ER675" s="2040">
        <f t="shared" si="501"/>
        <v>0</v>
      </c>
      <c r="ES675" s="2040">
        <f t="shared" si="501"/>
        <v>0</v>
      </c>
      <c r="ET675" s="2040">
        <f t="shared" si="501"/>
        <v>0</v>
      </c>
      <c r="EU675" s="2039">
        <f t="shared" si="465"/>
        <v>0</v>
      </c>
      <c r="EV675" s="2039">
        <f t="shared" si="466"/>
        <v>0</v>
      </c>
    </row>
    <row r="676" spans="1:152" x14ac:dyDescent="0.25">
      <c r="A676" s="2142" t="s">
        <v>1048</v>
      </c>
      <c r="B676" s="1974" t="str">
        <f t="shared" si="487"/>
        <v/>
      </c>
      <c r="C676" s="2027">
        <f t="shared" si="488"/>
        <v>0</v>
      </c>
      <c r="D676" s="2144">
        <f t="shared" si="488"/>
        <v>0</v>
      </c>
      <c r="E676" s="2145">
        <f t="shared" si="488"/>
        <v>0</v>
      </c>
      <c r="F676" s="2027">
        <f t="shared" si="488"/>
        <v>0</v>
      </c>
      <c r="G676" s="1974" t="s">
        <v>2988</v>
      </c>
      <c r="H676" s="1974" t="s">
        <v>2988</v>
      </c>
      <c r="I676" s="2026">
        <v>0.9</v>
      </c>
      <c r="J676" s="2026">
        <v>0.9</v>
      </c>
      <c r="K676" s="2026">
        <v>0.9</v>
      </c>
      <c r="L676" s="2026">
        <v>0.9</v>
      </c>
      <c r="M676" s="2027">
        <f t="shared" si="489"/>
        <v>0</v>
      </c>
      <c r="N676" s="2027">
        <f t="shared" si="489"/>
        <v>0</v>
      </c>
      <c r="O676" s="2027">
        <f t="shared" si="489"/>
        <v>0</v>
      </c>
      <c r="P676" s="2027">
        <f t="shared" si="489"/>
        <v>0</v>
      </c>
      <c r="Q676" s="2026">
        <v>0.9</v>
      </c>
      <c r="R676" s="2026">
        <v>0.9</v>
      </c>
      <c r="S676" s="2026">
        <v>0.9</v>
      </c>
      <c r="T676" s="2026">
        <v>0.9</v>
      </c>
      <c r="U676" s="2028">
        <f t="shared" si="490"/>
        <v>0</v>
      </c>
      <c r="V676" s="2028">
        <f t="shared" si="490"/>
        <v>0</v>
      </c>
      <c r="W676" s="2028">
        <f t="shared" si="490"/>
        <v>0</v>
      </c>
      <c r="X676" s="2028">
        <f t="shared" si="490"/>
        <v>0</v>
      </c>
      <c r="Y676" s="2026">
        <v>0.9</v>
      </c>
      <c r="Z676" s="2026">
        <v>0.9</v>
      </c>
      <c r="AA676" s="2026">
        <v>0.9</v>
      </c>
      <c r="AB676" s="2026">
        <v>0.9</v>
      </c>
      <c r="AC676" s="2027">
        <f t="shared" si="491"/>
        <v>0</v>
      </c>
      <c r="AD676" s="2027">
        <f t="shared" si="491"/>
        <v>0</v>
      </c>
      <c r="AE676" s="2027">
        <f t="shared" si="491"/>
        <v>0</v>
      </c>
      <c r="AF676" s="2027">
        <f t="shared" si="491"/>
        <v>0</v>
      </c>
      <c r="AG676" s="2027">
        <v>0</v>
      </c>
      <c r="AH676" s="2028"/>
      <c r="AI676" s="2028"/>
      <c r="AJ676" s="2028"/>
      <c r="AK676" s="2027">
        <f t="shared" si="497"/>
        <v>0</v>
      </c>
      <c r="AL676" s="2027">
        <f t="shared" si="494"/>
        <v>0</v>
      </c>
      <c r="AM676" s="2027">
        <f t="shared" si="494"/>
        <v>0</v>
      </c>
      <c r="AN676" s="2027">
        <f t="shared" si="494"/>
        <v>0</v>
      </c>
      <c r="AO676" s="2027">
        <f t="shared" si="498"/>
        <v>0</v>
      </c>
      <c r="AP676" s="2027">
        <f t="shared" si="476"/>
        <v>0</v>
      </c>
      <c r="AQ676" s="2027">
        <f t="shared" si="476"/>
        <v>0</v>
      </c>
      <c r="AR676" s="2027">
        <f t="shared" si="476"/>
        <v>0</v>
      </c>
      <c r="AS676" s="2124">
        <f t="shared" si="495"/>
        <v>0</v>
      </c>
      <c r="AT676" s="2029">
        <f t="shared" si="500"/>
        <v>0</v>
      </c>
      <c r="AU676" s="2029">
        <f t="shared" si="500"/>
        <v>0</v>
      </c>
      <c r="AV676" s="2029">
        <f t="shared" si="500"/>
        <v>0</v>
      </c>
      <c r="AW676" s="2124">
        <f t="shared" si="492"/>
        <v>0</v>
      </c>
      <c r="AX676" s="2029">
        <f t="shared" si="499"/>
        <v>0</v>
      </c>
      <c r="AY676" s="2029">
        <f t="shared" si="499"/>
        <v>0</v>
      </c>
      <c r="AZ676" s="2029">
        <f t="shared" si="499"/>
        <v>0</v>
      </c>
      <c r="BA676" s="2124">
        <f t="shared" si="493"/>
        <v>0</v>
      </c>
      <c r="BB676" s="2029">
        <f t="shared" si="493"/>
        <v>0</v>
      </c>
      <c r="BC676" s="2029">
        <f t="shared" si="493"/>
        <v>0</v>
      </c>
      <c r="BD676" s="2029">
        <f t="shared" si="493"/>
        <v>0</v>
      </c>
      <c r="BE676" s="2030">
        <f t="shared" si="483"/>
        <v>0</v>
      </c>
      <c r="BF676" s="2030">
        <f t="shared" si="483"/>
        <v>0</v>
      </c>
      <c r="BG676" s="2030">
        <f t="shared" si="483"/>
        <v>0</v>
      </c>
      <c r="BH676" s="2030">
        <f t="shared" si="479"/>
        <v>0</v>
      </c>
      <c r="BI676" s="2030">
        <f t="shared" si="484"/>
        <v>0</v>
      </c>
      <c r="BJ676" s="2030">
        <f t="shared" si="484"/>
        <v>0</v>
      </c>
      <c r="BK676" s="2030">
        <f t="shared" si="484"/>
        <v>0</v>
      </c>
      <c r="BL676" s="2030">
        <f t="shared" si="480"/>
        <v>0</v>
      </c>
      <c r="BM676" s="2125"/>
      <c r="BN676" s="2125"/>
      <c r="BO676" s="2125"/>
      <c r="BP676" s="2125"/>
      <c r="BQ676" s="2125"/>
      <c r="BR676" s="2125"/>
      <c r="BS676" s="2125"/>
      <c r="BT676" s="2125"/>
      <c r="BU676" s="2029"/>
      <c r="BV676" s="2029"/>
      <c r="BW676" s="2029"/>
      <c r="BX676" s="2029"/>
      <c r="BY676" s="2029"/>
      <c r="BZ676" s="2032"/>
      <c r="CA676" s="1974">
        <f t="shared" ref="CA676:CE681" si="502">CA241</f>
        <v>0</v>
      </c>
      <c r="CB676" s="1974">
        <f t="shared" si="502"/>
        <v>0</v>
      </c>
      <c r="CC676" s="1974">
        <f t="shared" si="502"/>
        <v>0</v>
      </c>
      <c r="CD676" s="1974">
        <f t="shared" si="502"/>
        <v>0</v>
      </c>
      <c r="CE676" s="1974">
        <f t="shared" si="502"/>
        <v>0</v>
      </c>
      <c r="CF676" s="2033">
        <v>0</v>
      </c>
      <c r="CG676" s="2026">
        <v>0</v>
      </c>
      <c r="CH676" s="2009">
        <f t="shared" ref="CH676:CK681" si="503">CH241</f>
        <v>0</v>
      </c>
      <c r="CI676" s="2031">
        <f t="shared" si="503"/>
        <v>0</v>
      </c>
      <c r="CJ676" s="1974">
        <f t="shared" si="503"/>
        <v>0</v>
      </c>
      <c r="CK676" s="2031">
        <f t="shared" si="503"/>
        <v>0</v>
      </c>
      <c r="CL676" s="2026">
        <v>0</v>
      </c>
      <c r="CM676" s="2026">
        <v>0</v>
      </c>
      <c r="CN676" s="2026">
        <v>0</v>
      </c>
      <c r="CO676" s="2026">
        <v>0</v>
      </c>
      <c r="CP676" s="2035"/>
      <c r="CQ676" s="2036"/>
      <c r="CR676" s="2036"/>
      <c r="CS676" s="2036"/>
      <c r="CT676" s="2036"/>
      <c r="CU676" s="2036"/>
      <c r="CV676" s="1973">
        <v>1</v>
      </c>
      <c r="CW676" s="1973">
        <v>0</v>
      </c>
      <c r="CX676" s="2037">
        <v>0</v>
      </c>
      <c r="CY676" s="2037">
        <v>0</v>
      </c>
      <c r="CZ676" s="2037">
        <v>0</v>
      </c>
      <c r="DA676" s="2037">
        <v>0</v>
      </c>
      <c r="DJ676" s="1976">
        <v>0</v>
      </c>
      <c r="DK676" s="1973">
        <v>0</v>
      </c>
      <c r="DL676" s="1973">
        <v>0</v>
      </c>
      <c r="DM676" s="1973">
        <v>0</v>
      </c>
      <c r="DO676" s="2027">
        <v>0</v>
      </c>
      <c r="DP676" s="2144">
        <v>0</v>
      </c>
      <c r="DQ676" s="2145">
        <v>0</v>
      </c>
      <c r="DR676" s="2027">
        <v>0</v>
      </c>
      <c r="DS676" s="2124">
        <v>0</v>
      </c>
      <c r="DT676" s="2029">
        <v>0</v>
      </c>
      <c r="DU676" s="2029">
        <v>0</v>
      </c>
      <c r="DV676" s="2029">
        <v>0</v>
      </c>
      <c r="DW676" s="2124">
        <v>0</v>
      </c>
      <c r="DX676" s="2029">
        <v>0</v>
      </c>
      <c r="DY676" s="2029">
        <v>0</v>
      </c>
      <c r="DZ676" s="2029">
        <v>0</v>
      </c>
      <c r="EA676" s="2124">
        <v>0</v>
      </c>
      <c r="EB676" s="2029">
        <v>0</v>
      </c>
      <c r="EC676" s="2029">
        <v>0</v>
      </c>
      <c r="ED676" s="2029">
        <v>0</v>
      </c>
      <c r="EE676" s="2039">
        <f t="shared" si="463"/>
        <v>0</v>
      </c>
      <c r="EF676" s="2039">
        <f t="shared" si="463"/>
        <v>0</v>
      </c>
      <c r="EG676" s="2039">
        <f t="shared" si="463"/>
        <v>0</v>
      </c>
      <c r="EH676" s="2039">
        <f t="shared" si="462"/>
        <v>0</v>
      </c>
      <c r="EI676" s="2040">
        <f t="shared" si="468"/>
        <v>0</v>
      </c>
      <c r="EJ676" s="2040">
        <f t="shared" si="468"/>
        <v>0</v>
      </c>
      <c r="EK676" s="2040">
        <f t="shared" si="468"/>
        <v>0</v>
      </c>
      <c r="EL676" s="2040">
        <f t="shared" si="468"/>
        <v>0</v>
      </c>
      <c r="EM676" s="2040">
        <f t="shared" si="468"/>
        <v>0</v>
      </c>
      <c r="EN676" s="2040">
        <f t="shared" si="468"/>
        <v>0</v>
      </c>
      <c r="EO676" s="2040">
        <f t="shared" si="501"/>
        <v>0</v>
      </c>
      <c r="EP676" s="2040">
        <f t="shared" si="501"/>
        <v>0</v>
      </c>
      <c r="EQ676" s="2040">
        <f t="shared" si="501"/>
        <v>0</v>
      </c>
      <c r="ER676" s="2040">
        <f t="shared" si="501"/>
        <v>0</v>
      </c>
      <c r="ES676" s="2040">
        <f t="shared" si="501"/>
        <v>0</v>
      </c>
      <c r="ET676" s="2040">
        <f t="shared" si="501"/>
        <v>0</v>
      </c>
      <c r="EU676" s="2039">
        <f t="shared" si="465"/>
        <v>0</v>
      </c>
      <c r="EV676" s="2039">
        <f t="shared" si="466"/>
        <v>0</v>
      </c>
    </row>
    <row r="677" spans="1:152" x14ac:dyDescent="0.25">
      <c r="A677" s="2142" t="s">
        <v>1049</v>
      </c>
      <c r="B677" s="1974" t="str">
        <f t="shared" si="487"/>
        <v/>
      </c>
      <c r="C677" s="2027">
        <f t="shared" ref="C677:F681" si="504">C242</f>
        <v>0</v>
      </c>
      <c r="D677" s="2144">
        <f t="shared" si="504"/>
        <v>0</v>
      </c>
      <c r="E677" s="2145">
        <f t="shared" si="504"/>
        <v>0</v>
      </c>
      <c r="F677" s="2027">
        <f t="shared" si="504"/>
        <v>0</v>
      </c>
      <c r="G677" s="1974" t="s">
        <v>2988</v>
      </c>
      <c r="H677" s="1974" t="s">
        <v>2988</v>
      </c>
      <c r="I677" s="2026">
        <v>0.9</v>
      </c>
      <c r="J677" s="2026">
        <v>0.9</v>
      </c>
      <c r="K677" s="2026">
        <v>0.9</v>
      </c>
      <c r="L677" s="2026">
        <v>0.9</v>
      </c>
      <c r="M677" s="2027">
        <f t="shared" si="489"/>
        <v>0</v>
      </c>
      <c r="N677" s="2027">
        <f t="shared" si="489"/>
        <v>0</v>
      </c>
      <c r="O677" s="2027">
        <f t="shared" si="489"/>
        <v>0</v>
      </c>
      <c r="P677" s="2027">
        <f t="shared" si="489"/>
        <v>0</v>
      </c>
      <c r="Q677" s="2026">
        <v>0.9</v>
      </c>
      <c r="R677" s="2026">
        <v>0.9</v>
      </c>
      <c r="S677" s="2026">
        <v>0.9</v>
      </c>
      <c r="T677" s="2026">
        <v>0.9</v>
      </c>
      <c r="U677" s="2028">
        <f t="shared" si="490"/>
        <v>0</v>
      </c>
      <c r="V677" s="2028">
        <f t="shared" si="490"/>
        <v>0</v>
      </c>
      <c r="W677" s="2028">
        <f t="shared" si="490"/>
        <v>0</v>
      </c>
      <c r="X677" s="2028">
        <f t="shared" si="490"/>
        <v>0</v>
      </c>
      <c r="Y677" s="2026">
        <v>0.9</v>
      </c>
      <c r="Z677" s="2026">
        <v>0.9</v>
      </c>
      <c r="AA677" s="2026">
        <v>0.9</v>
      </c>
      <c r="AB677" s="2026">
        <v>0.9</v>
      </c>
      <c r="AC677" s="2027">
        <f t="shared" si="491"/>
        <v>0</v>
      </c>
      <c r="AD677" s="2027">
        <f t="shared" si="491"/>
        <v>0</v>
      </c>
      <c r="AE677" s="2027">
        <f t="shared" si="491"/>
        <v>0</v>
      </c>
      <c r="AF677" s="2027">
        <f t="shared" si="491"/>
        <v>0</v>
      </c>
      <c r="AG677" s="2027">
        <v>0</v>
      </c>
      <c r="AH677" s="2028"/>
      <c r="AI677" s="2028"/>
      <c r="AJ677" s="2028"/>
      <c r="AK677" s="2027">
        <f t="shared" si="497"/>
        <v>0</v>
      </c>
      <c r="AL677" s="2027">
        <f t="shared" si="494"/>
        <v>0</v>
      </c>
      <c r="AM677" s="2027">
        <f t="shared" si="494"/>
        <v>0</v>
      </c>
      <c r="AN677" s="2027">
        <f t="shared" si="494"/>
        <v>0</v>
      </c>
      <c r="AO677" s="2027">
        <f t="shared" si="498"/>
        <v>0</v>
      </c>
      <c r="AP677" s="2027">
        <f t="shared" si="476"/>
        <v>0</v>
      </c>
      <c r="AQ677" s="2027">
        <f t="shared" si="476"/>
        <v>0</v>
      </c>
      <c r="AR677" s="2027">
        <f t="shared" si="476"/>
        <v>0</v>
      </c>
      <c r="AS677" s="2124">
        <f t="shared" si="495"/>
        <v>0</v>
      </c>
      <c r="AT677" s="2029">
        <f t="shared" si="500"/>
        <v>0</v>
      </c>
      <c r="AU677" s="2029">
        <f t="shared" si="500"/>
        <v>0</v>
      </c>
      <c r="AV677" s="2029">
        <f t="shared" si="500"/>
        <v>0</v>
      </c>
      <c r="AW677" s="2124">
        <f t="shared" si="492"/>
        <v>0</v>
      </c>
      <c r="AX677" s="2029">
        <f t="shared" si="499"/>
        <v>0</v>
      </c>
      <c r="AY677" s="2029">
        <f t="shared" si="499"/>
        <v>0</v>
      </c>
      <c r="AZ677" s="2029">
        <f t="shared" si="499"/>
        <v>0</v>
      </c>
      <c r="BA677" s="2124">
        <f t="shared" ref="BA677:BD681" si="505">BA242</f>
        <v>0</v>
      </c>
      <c r="BB677" s="2029">
        <f t="shared" si="505"/>
        <v>0</v>
      </c>
      <c r="BC677" s="2029">
        <f t="shared" si="505"/>
        <v>0</v>
      </c>
      <c r="BD677" s="2029">
        <f t="shared" si="505"/>
        <v>0</v>
      </c>
      <c r="BE677" s="2030">
        <f t="shared" si="483"/>
        <v>0</v>
      </c>
      <c r="BF677" s="2030">
        <f t="shared" si="483"/>
        <v>0</v>
      </c>
      <c r="BG677" s="2030">
        <f t="shared" si="483"/>
        <v>0</v>
      </c>
      <c r="BH677" s="2030">
        <f t="shared" si="479"/>
        <v>0</v>
      </c>
      <c r="BI677" s="2030">
        <f t="shared" si="484"/>
        <v>0</v>
      </c>
      <c r="BJ677" s="2030">
        <f t="shared" si="484"/>
        <v>0</v>
      </c>
      <c r="BK677" s="2030">
        <f t="shared" si="484"/>
        <v>0</v>
      </c>
      <c r="BL677" s="2030">
        <f t="shared" si="480"/>
        <v>0</v>
      </c>
      <c r="BM677" s="2125"/>
      <c r="BN677" s="2125"/>
      <c r="BO677" s="2125"/>
      <c r="BP677" s="2125"/>
      <c r="BQ677" s="2125"/>
      <c r="BR677" s="2125"/>
      <c r="BS677" s="2125"/>
      <c r="BT677" s="2125"/>
      <c r="BU677" s="2029"/>
      <c r="BV677" s="2029"/>
      <c r="BW677" s="2029"/>
      <c r="BX677" s="2029"/>
      <c r="BY677" s="2029"/>
      <c r="BZ677" s="2032"/>
      <c r="CA677" s="1974">
        <f t="shared" si="502"/>
        <v>0</v>
      </c>
      <c r="CB677" s="1974">
        <f t="shared" si="502"/>
        <v>0</v>
      </c>
      <c r="CC677" s="1974">
        <f t="shared" si="502"/>
        <v>0</v>
      </c>
      <c r="CD677" s="1974">
        <f t="shared" si="502"/>
        <v>0</v>
      </c>
      <c r="CE677" s="1974">
        <f t="shared" si="502"/>
        <v>0</v>
      </c>
      <c r="CF677" s="2033">
        <v>0</v>
      </c>
      <c r="CG677" s="2026">
        <v>0</v>
      </c>
      <c r="CH677" s="2009">
        <f t="shared" si="503"/>
        <v>0</v>
      </c>
      <c r="CI677" s="2031">
        <f t="shared" si="503"/>
        <v>0</v>
      </c>
      <c r="CJ677" s="1974">
        <f t="shared" si="503"/>
        <v>0</v>
      </c>
      <c r="CK677" s="2031">
        <f t="shared" si="503"/>
        <v>0</v>
      </c>
      <c r="CL677" s="2026">
        <v>0</v>
      </c>
      <c r="CM677" s="2026">
        <v>0</v>
      </c>
      <c r="CN677" s="2026">
        <v>0</v>
      </c>
      <c r="CO677" s="2026">
        <v>0</v>
      </c>
      <c r="CP677" s="2035"/>
      <c r="CQ677" s="2036"/>
      <c r="CR677" s="2036"/>
      <c r="CS677" s="2036"/>
      <c r="CT677" s="2036"/>
      <c r="CU677" s="2036"/>
      <c r="CV677" s="1973">
        <v>1</v>
      </c>
      <c r="CW677" s="1973">
        <v>0</v>
      </c>
      <c r="CX677" s="2037">
        <v>0</v>
      </c>
      <c r="CY677" s="2037">
        <v>0</v>
      </c>
      <c r="CZ677" s="2037">
        <v>0</v>
      </c>
      <c r="DA677" s="2037">
        <v>0</v>
      </c>
      <c r="DJ677" s="1976">
        <v>0</v>
      </c>
      <c r="DK677" s="1973">
        <v>0</v>
      </c>
      <c r="DL677" s="1973">
        <v>0</v>
      </c>
      <c r="DM677" s="1973">
        <v>0</v>
      </c>
      <c r="DO677" s="2027">
        <v>0</v>
      </c>
      <c r="DP677" s="2144">
        <v>0</v>
      </c>
      <c r="DQ677" s="2145">
        <v>0</v>
      </c>
      <c r="DR677" s="2027">
        <v>0</v>
      </c>
      <c r="DS677" s="2124">
        <v>0</v>
      </c>
      <c r="DT677" s="2029">
        <v>0</v>
      </c>
      <c r="DU677" s="2029">
        <v>0</v>
      </c>
      <c r="DV677" s="2029">
        <v>0</v>
      </c>
      <c r="DW677" s="2124">
        <v>0</v>
      </c>
      <c r="DX677" s="2029">
        <v>0</v>
      </c>
      <c r="DY677" s="2029">
        <v>0</v>
      </c>
      <c r="DZ677" s="2029">
        <v>0</v>
      </c>
      <c r="EA677" s="2124">
        <v>0</v>
      </c>
      <c r="EB677" s="2029">
        <v>0</v>
      </c>
      <c r="EC677" s="2029">
        <v>0</v>
      </c>
      <c r="ED677" s="2029">
        <v>0</v>
      </c>
      <c r="EE677" s="2039">
        <f t="shared" si="463"/>
        <v>0</v>
      </c>
      <c r="EF677" s="2039">
        <f t="shared" si="463"/>
        <v>0</v>
      </c>
      <c r="EG677" s="2039">
        <f t="shared" si="463"/>
        <v>0</v>
      </c>
      <c r="EH677" s="2039">
        <f t="shared" si="462"/>
        <v>0</v>
      </c>
      <c r="EI677" s="2040">
        <f t="shared" si="468"/>
        <v>0</v>
      </c>
      <c r="EJ677" s="2040">
        <f t="shared" si="468"/>
        <v>0</v>
      </c>
      <c r="EK677" s="2040">
        <f t="shared" si="468"/>
        <v>0</v>
      </c>
      <c r="EL677" s="2040">
        <f t="shared" si="468"/>
        <v>0</v>
      </c>
      <c r="EM677" s="2040">
        <f t="shared" si="468"/>
        <v>0</v>
      </c>
      <c r="EN677" s="2040">
        <f t="shared" si="468"/>
        <v>0</v>
      </c>
      <c r="EO677" s="2040">
        <f t="shared" si="501"/>
        <v>0</v>
      </c>
      <c r="EP677" s="2040">
        <f t="shared" si="501"/>
        <v>0</v>
      </c>
      <c r="EQ677" s="2040">
        <f t="shared" si="501"/>
        <v>0</v>
      </c>
      <c r="ER677" s="2040">
        <f t="shared" si="501"/>
        <v>0</v>
      </c>
      <c r="ES677" s="2040">
        <f t="shared" si="501"/>
        <v>0</v>
      </c>
      <c r="ET677" s="2040">
        <f t="shared" si="501"/>
        <v>0</v>
      </c>
      <c r="EU677" s="2039">
        <f t="shared" si="465"/>
        <v>0</v>
      </c>
      <c r="EV677" s="2039">
        <f t="shared" si="466"/>
        <v>0</v>
      </c>
    </row>
    <row r="678" spans="1:152" x14ac:dyDescent="0.25">
      <c r="A678" s="2142" t="s">
        <v>1050</v>
      </c>
      <c r="B678" s="1974" t="str">
        <f t="shared" si="487"/>
        <v/>
      </c>
      <c r="C678" s="2027">
        <f t="shared" si="504"/>
        <v>0</v>
      </c>
      <c r="D678" s="2144">
        <f t="shared" si="504"/>
        <v>0</v>
      </c>
      <c r="E678" s="2145">
        <f t="shared" si="504"/>
        <v>0</v>
      </c>
      <c r="F678" s="2027">
        <f t="shared" si="504"/>
        <v>0</v>
      </c>
      <c r="G678" s="1974" t="s">
        <v>2988</v>
      </c>
      <c r="H678" s="1974" t="s">
        <v>2988</v>
      </c>
      <c r="I678" s="2026">
        <v>0.9</v>
      </c>
      <c r="J678" s="2026">
        <v>0.9</v>
      </c>
      <c r="K678" s="2026">
        <v>0.9</v>
      </c>
      <c r="L678" s="2026">
        <v>0.9</v>
      </c>
      <c r="M678" s="2027">
        <f t="shared" si="489"/>
        <v>0</v>
      </c>
      <c r="N678" s="2027">
        <f t="shared" si="489"/>
        <v>0</v>
      </c>
      <c r="O678" s="2027">
        <f t="shared" si="489"/>
        <v>0</v>
      </c>
      <c r="P678" s="2027">
        <f t="shared" si="489"/>
        <v>0</v>
      </c>
      <c r="Q678" s="2026">
        <v>0.9</v>
      </c>
      <c r="R678" s="2026">
        <v>0.9</v>
      </c>
      <c r="S678" s="2026">
        <v>0.9</v>
      </c>
      <c r="T678" s="2026">
        <v>0.9</v>
      </c>
      <c r="U678" s="2028">
        <f t="shared" si="490"/>
        <v>0</v>
      </c>
      <c r="V678" s="2028">
        <f t="shared" si="490"/>
        <v>0</v>
      </c>
      <c r="W678" s="2028">
        <f t="shared" si="490"/>
        <v>0</v>
      </c>
      <c r="X678" s="2028">
        <f t="shared" si="490"/>
        <v>0</v>
      </c>
      <c r="Y678" s="2026">
        <v>0.9</v>
      </c>
      <c r="Z678" s="2026">
        <v>0.9</v>
      </c>
      <c r="AA678" s="2026">
        <v>0.9</v>
      </c>
      <c r="AB678" s="2026">
        <v>0.9</v>
      </c>
      <c r="AC678" s="2027">
        <f t="shared" si="491"/>
        <v>0</v>
      </c>
      <c r="AD678" s="2027">
        <f t="shared" si="491"/>
        <v>0</v>
      </c>
      <c r="AE678" s="2027">
        <f t="shared" si="491"/>
        <v>0</v>
      </c>
      <c r="AF678" s="2027">
        <f t="shared" si="491"/>
        <v>0</v>
      </c>
      <c r="AG678" s="2027">
        <v>0</v>
      </c>
      <c r="AH678" s="2028"/>
      <c r="AI678" s="2028"/>
      <c r="AJ678" s="2028"/>
      <c r="AK678" s="2027">
        <f t="shared" si="497"/>
        <v>0</v>
      </c>
      <c r="AL678" s="2027">
        <f t="shared" si="494"/>
        <v>0</v>
      </c>
      <c r="AM678" s="2027">
        <f t="shared" si="494"/>
        <v>0</v>
      </c>
      <c r="AN678" s="2027">
        <f t="shared" si="494"/>
        <v>0</v>
      </c>
      <c r="AO678" s="2027">
        <f t="shared" si="498"/>
        <v>0</v>
      </c>
      <c r="AP678" s="2027">
        <f t="shared" si="476"/>
        <v>0</v>
      </c>
      <c r="AQ678" s="2027">
        <f t="shared" si="476"/>
        <v>0</v>
      </c>
      <c r="AR678" s="2027">
        <f t="shared" si="476"/>
        <v>0</v>
      </c>
      <c r="AS678" s="2124">
        <f t="shared" si="495"/>
        <v>0</v>
      </c>
      <c r="AT678" s="2029">
        <f t="shared" si="500"/>
        <v>0</v>
      </c>
      <c r="AU678" s="2029">
        <f t="shared" si="500"/>
        <v>0</v>
      </c>
      <c r="AV678" s="2029">
        <f t="shared" si="500"/>
        <v>0</v>
      </c>
      <c r="AW678" s="2124">
        <f t="shared" si="492"/>
        <v>0</v>
      </c>
      <c r="AX678" s="2029">
        <f t="shared" si="499"/>
        <v>0</v>
      </c>
      <c r="AY678" s="2029">
        <f t="shared" si="499"/>
        <v>0</v>
      </c>
      <c r="AZ678" s="2029">
        <f t="shared" si="499"/>
        <v>0</v>
      </c>
      <c r="BA678" s="2124">
        <f t="shared" si="505"/>
        <v>0</v>
      </c>
      <c r="BB678" s="2029">
        <f t="shared" si="505"/>
        <v>0</v>
      </c>
      <c r="BC678" s="2029">
        <f t="shared" si="505"/>
        <v>0</v>
      </c>
      <c r="BD678" s="2029">
        <f t="shared" si="505"/>
        <v>0</v>
      </c>
      <c r="BE678" s="2030">
        <f t="shared" si="483"/>
        <v>0</v>
      </c>
      <c r="BF678" s="2030">
        <f t="shared" si="483"/>
        <v>0</v>
      </c>
      <c r="BG678" s="2030">
        <f t="shared" si="483"/>
        <v>0</v>
      </c>
      <c r="BH678" s="2030">
        <f t="shared" si="479"/>
        <v>0</v>
      </c>
      <c r="BI678" s="2030">
        <f t="shared" si="484"/>
        <v>0</v>
      </c>
      <c r="BJ678" s="2030">
        <f t="shared" si="484"/>
        <v>0</v>
      </c>
      <c r="BK678" s="2030">
        <f t="shared" si="484"/>
        <v>0</v>
      </c>
      <c r="BL678" s="2030">
        <f t="shared" si="480"/>
        <v>0</v>
      </c>
      <c r="BM678" s="2125"/>
      <c r="BN678" s="2125"/>
      <c r="BO678" s="2125"/>
      <c r="BP678" s="2125"/>
      <c r="BQ678" s="2125"/>
      <c r="BR678" s="2125"/>
      <c r="BS678" s="2125"/>
      <c r="BT678" s="2125"/>
      <c r="BU678" s="2029"/>
      <c r="BV678" s="2029"/>
      <c r="BW678" s="2029"/>
      <c r="BX678" s="2029"/>
      <c r="BY678" s="2029"/>
      <c r="BZ678" s="2032"/>
      <c r="CA678" s="1974">
        <f t="shared" si="502"/>
        <v>0</v>
      </c>
      <c r="CB678" s="1974">
        <f t="shared" si="502"/>
        <v>0</v>
      </c>
      <c r="CC678" s="1974">
        <f t="shared" si="502"/>
        <v>0</v>
      </c>
      <c r="CD678" s="1974">
        <f t="shared" si="502"/>
        <v>0</v>
      </c>
      <c r="CE678" s="1974">
        <f t="shared" si="502"/>
        <v>0</v>
      </c>
      <c r="CF678" s="2033">
        <v>0</v>
      </c>
      <c r="CG678" s="2026">
        <v>0</v>
      </c>
      <c r="CH678" s="2009">
        <f t="shared" si="503"/>
        <v>0</v>
      </c>
      <c r="CI678" s="2031">
        <f t="shared" si="503"/>
        <v>0</v>
      </c>
      <c r="CJ678" s="1974">
        <f t="shared" si="503"/>
        <v>0</v>
      </c>
      <c r="CK678" s="2031">
        <f t="shared" si="503"/>
        <v>0</v>
      </c>
      <c r="CL678" s="2026">
        <v>0</v>
      </c>
      <c r="CM678" s="2026">
        <v>0</v>
      </c>
      <c r="CN678" s="2026">
        <v>0</v>
      </c>
      <c r="CO678" s="2026">
        <v>0</v>
      </c>
      <c r="CP678" s="2035"/>
      <c r="CQ678" s="2036"/>
      <c r="CR678" s="2036"/>
      <c r="CS678" s="2036"/>
      <c r="CT678" s="2036"/>
      <c r="CU678" s="2036"/>
      <c r="CV678" s="1973">
        <v>1</v>
      </c>
      <c r="CW678" s="1973">
        <v>0</v>
      </c>
      <c r="CX678" s="2037">
        <v>0</v>
      </c>
      <c r="CY678" s="2037">
        <v>0</v>
      </c>
      <c r="CZ678" s="2037">
        <v>0</v>
      </c>
      <c r="DA678" s="2037">
        <v>0</v>
      </c>
      <c r="DJ678" s="1976">
        <v>0</v>
      </c>
      <c r="DK678" s="1973">
        <v>0</v>
      </c>
      <c r="DL678" s="1973">
        <v>0</v>
      </c>
      <c r="DM678" s="1973">
        <v>0</v>
      </c>
      <c r="DO678" s="2027">
        <v>0</v>
      </c>
      <c r="DP678" s="2144">
        <v>0</v>
      </c>
      <c r="DQ678" s="2145">
        <v>0</v>
      </c>
      <c r="DR678" s="2027">
        <v>0</v>
      </c>
      <c r="DS678" s="2124">
        <v>0</v>
      </c>
      <c r="DT678" s="2029">
        <v>0</v>
      </c>
      <c r="DU678" s="2029">
        <v>0</v>
      </c>
      <c r="DV678" s="2029">
        <v>0</v>
      </c>
      <c r="DW678" s="2124">
        <v>0</v>
      </c>
      <c r="DX678" s="2029">
        <v>0</v>
      </c>
      <c r="DY678" s="2029">
        <v>0</v>
      </c>
      <c r="DZ678" s="2029">
        <v>0</v>
      </c>
      <c r="EA678" s="2124">
        <v>0</v>
      </c>
      <c r="EB678" s="2029">
        <v>0</v>
      </c>
      <c r="EC678" s="2029">
        <v>0</v>
      </c>
      <c r="ED678" s="2029">
        <v>0</v>
      </c>
      <c r="EE678" s="2039">
        <f t="shared" si="463"/>
        <v>0</v>
      </c>
      <c r="EF678" s="2039">
        <f t="shared" si="463"/>
        <v>0</v>
      </c>
      <c r="EG678" s="2039">
        <f t="shared" si="463"/>
        <v>0</v>
      </c>
      <c r="EH678" s="2039">
        <f t="shared" si="462"/>
        <v>0</v>
      </c>
      <c r="EI678" s="2040">
        <f t="shared" si="468"/>
        <v>0</v>
      </c>
      <c r="EJ678" s="2040">
        <f t="shared" si="468"/>
        <v>0</v>
      </c>
      <c r="EK678" s="2040">
        <f t="shared" si="468"/>
        <v>0</v>
      </c>
      <c r="EL678" s="2040">
        <f t="shared" si="468"/>
        <v>0</v>
      </c>
      <c r="EM678" s="2040">
        <f t="shared" si="468"/>
        <v>0</v>
      </c>
      <c r="EN678" s="2040">
        <f t="shared" si="468"/>
        <v>0</v>
      </c>
      <c r="EO678" s="2040">
        <f t="shared" si="501"/>
        <v>0</v>
      </c>
      <c r="EP678" s="2040">
        <f t="shared" si="501"/>
        <v>0</v>
      </c>
      <c r="EQ678" s="2040">
        <f t="shared" si="501"/>
        <v>0</v>
      </c>
      <c r="ER678" s="2040">
        <f t="shared" si="501"/>
        <v>0</v>
      </c>
      <c r="ES678" s="2040">
        <f t="shared" si="501"/>
        <v>0</v>
      </c>
      <c r="ET678" s="2040">
        <f t="shared" si="501"/>
        <v>0</v>
      </c>
      <c r="EU678" s="2039">
        <f t="shared" si="465"/>
        <v>0</v>
      </c>
      <c r="EV678" s="2039">
        <f t="shared" si="466"/>
        <v>0</v>
      </c>
    </row>
    <row r="679" spans="1:152" x14ac:dyDescent="0.25">
      <c r="A679" s="2142" t="s">
        <v>1051</v>
      </c>
      <c r="B679" s="1974" t="str">
        <f t="shared" si="487"/>
        <v/>
      </c>
      <c r="C679" s="2027">
        <f t="shared" si="504"/>
        <v>0</v>
      </c>
      <c r="D679" s="2144">
        <f t="shared" si="504"/>
        <v>0</v>
      </c>
      <c r="E679" s="2145">
        <f t="shared" si="504"/>
        <v>0</v>
      </c>
      <c r="F679" s="2027">
        <f t="shared" si="504"/>
        <v>0</v>
      </c>
      <c r="G679" s="1974" t="s">
        <v>2988</v>
      </c>
      <c r="H679" s="1974" t="s">
        <v>2988</v>
      </c>
      <c r="I679" s="2026">
        <v>0.9</v>
      </c>
      <c r="J679" s="2026">
        <v>0.9</v>
      </c>
      <c r="K679" s="2026">
        <v>0.9</v>
      </c>
      <c r="L679" s="2026">
        <v>0.9</v>
      </c>
      <c r="M679" s="2027">
        <f t="shared" si="489"/>
        <v>0</v>
      </c>
      <c r="N679" s="2027">
        <f t="shared" si="489"/>
        <v>0</v>
      </c>
      <c r="O679" s="2027">
        <f t="shared" si="489"/>
        <v>0</v>
      </c>
      <c r="P679" s="2027">
        <f t="shared" si="489"/>
        <v>0</v>
      </c>
      <c r="Q679" s="2026">
        <v>0.9</v>
      </c>
      <c r="R679" s="2026">
        <v>0.9</v>
      </c>
      <c r="S679" s="2026">
        <v>0.9</v>
      </c>
      <c r="T679" s="2026">
        <v>0.9</v>
      </c>
      <c r="U679" s="2028">
        <f t="shared" si="490"/>
        <v>0</v>
      </c>
      <c r="V679" s="2028">
        <f t="shared" si="490"/>
        <v>0</v>
      </c>
      <c r="W679" s="2028">
        <f t="shared" si="490"/>
        <v>0</v>
      </c>
      <c r="X679" s="2028">
        <f t="shared" si="490"/>
        <v>0</v>
      </c>
      <c r="Y679" s="2026">
        <v>0.9</v>
      </c>
      <c r="Z679" s="2026">
        <v>0.9</v>
      </c>
      <c r="AA679" s="2026">
        <v>0.9</v>
      </c>
      <c r="AB679" s="2026">
        <v>0.9</v>
      </c>
      <c r="AC679" s="2027">
        <f t="shared" si="491"/>
        <v>0</v>
      </c>
      <c r="AD679" s="2027">
        <f t="shared" si="491"/>
        <v>0</v>
      </c>
      <c r="AE679" s="2027">
        <f t="shared" si="491"/>
        <v>0</v>
      </c>
      <c r="AF679" s="2027">
        <f t="shared" si="491"/>
        <v>0</v>
      </c>
      <c r="AG679" s="2027">
        <v>0</v>
      </c>
      <c r="AH679" s="2028"/>
      <c r="AI679" s="2028"/>
      <c r="AJ679" s="2028"/>
      <c r="AK679" s="2027">
        <f t="shared" si="497"/>
        <v>0</v>
      </c>
      <c r="AL679" s="2027">
        <f t="shared" si="494"/>
        <v>0</v>
      </c>
      <c r="AM679" s="2027">
        <f t="shared" si="494"/>
        <v>0</v>
      </c>
      <c r="AN679" s="2027">
        <f t="shared" si="494"/>
        <v>0</v>
      </c>
      <c r="AO679" s="2027">
        <f t="shared" si="498"/>
        <v>0</v>
      </c>
      <c r="AP679" s="2027">
        <f t="shared" si="476"/>
        <v>0</v>
      </c>
      <c r="AQ679" s="2027">
        <f t="shared" si="476"/>
        <v>0</v>
      </c>
      <c r="AR679" s="2027">
        <f t="shared" si="476"/>
        <v>0</v>
      </c>
      <c r="AS679" s="2124">
        <f t="shared" si="495"/>
        <v>0</v>
      </c>
      <c r="AT679" s="2029">
        <f t="shared" si="500"/>
        <v>0</v>
      </c>
      <c r="AU679" s="2029">
        <f t="shared" si="500"/>
        <v>0</v>
      </c>
      <c r="AV679" s="2029">
        <f t="shared" si="500"/>
        <v>0</v>
      </c>
      <c r="AW679" s="2124">
        <f t="shared" si="492"/>
        <v>0</v>
      </c>
      <c r="AX679" s="2029">
        <f t="shared" si="499"/>
        <v>0</v>
      </c>
      <c r="AY679" s="2029">
        <f t="shared" si="499"/>
        <v>0</v>
      </c>
      <c r="AZ679" s="2029">
        <f t="shared" si="499"/>
        <v>0</v>
      </c>
      <c r="BA679" s="2124">
        <f t="shared" si="505"/>
        <v>0</v>
      </c>
      <c r="BB679" s="2029">
        <f t="shared" si="505"/>
        <v>0</v>
      </c>
      <c r="BC679" s="2029">
        <f t="shared" si="505"/>
        <v>0</v>
      </c>
      <c r="BD679" s="2029">
        <f t="shared" si="505"/>
        <v>0</v>
      </c>
      <c r="BE679" s="2030">
        <f t="shared" si="483"/>
        <v>0</v>
      </c>
      <c r="BF679" s="2030">
        <f t="shared" si="483"/>
        <v>0</v>
      </c>
      <c r="BG679" s="2030">
        <f t="shared" si="483"/>
        <v>0</v>
      </c>
      <c r="BH679" s="2030">
        <f t="shared" si="479"/>
        <v>0</v>
      </c>
      <c r="BI679" s="2030">
        <f t="shared" si="484"/>
        <v>0</v>
      </c>
      <c r="BJ679" s="2030">
        <f t="shared" si="484"/>
        <v>0</v>
      </c>
      <c r="BK679" s="2030">
        <f t="shared" si="484"/>
        <v>0</v>
      </c>
      <c r="BL679" s="2030">
        <f t="shared" si="480"/>
        <v>0</v>
      </c>
      <c r="BM679" s="2125"/>
      <c r="BN679" s="2125"/>
      <c r="BO679" s="2125"/>
      <c r="BP679" s="2125"/>
      <c r="BQ679" s="2125"/>
      <c r="BR679" s="2125"/>
      <c r="BS679" s="2125"/>
      <c r="BT679" s="2125"/>
      <c r="BU679" s="2029"/>
      <c r="BV679" s="2029"/>
      <c r="BW679" s="2029"/>
      <c r="BX679" s="2029"/>
      <c r="BY679" s="2029"/>
      <c r="BZ679" s="2032"/>
      <c r="CA679" s="1974">
        <f t="shared" si="502"/>
        <v>0</v>
      </c>
      <c r="CB679" s="1974">
        <f t="shared" si="502"/>
        <v>0</v>
      </c>
      <c r="CC679" s="1974">
        <f t="shared" si="502"/>
        <v>0</v>
      </c>
      <c r="CD679" s="1974">
        <f t="shared" si="502"/>
        <v>0</v>
      </c>
      <c r="CE679" s="1974">
        <f t="shared" si="502"/>
        <v>0</v>
      </c>
      <c r="CF679" s="2033">
        <v>0</v>
      </c>
      <c r="CG679" s="2026">
        <v>0</v>
      </c>
      <c r="CH679" s="2009">
        <f t="shared" si="503"/>
        <v>0</v>
      </c>
      <c r="CI679" s="2031">
        <f t="shared" si="503"/>
        <v>0</v>
      </c>
      <c r="CJ679" s="1974">
        <f t="shared" si="503"/>
        <v>0</v>
      </c>
      <c r="CK679" s="2031">
        <f t="shared" si="503"/>
        <v>0</v>
      </c>
      <c r="CL679" s="2026">
        <v>0</v>
      </c>
      <c r="CM679" s="2026">
        <v>0</v>
      </c>
      <c r="CN679" s="2026">
        <v>0</v>
      </c>
      <c r="CO679" s="2026">
        <v>0</v>
      </c>
      <c r="CP679" s="2035"/>
      <c r="CQ679" s="2036"/>
      <c r="CR679" s="2036"/>
      <c r="CS679" s="2036"/>
      <c r="CT679" s="2036"/>
      <c r="CU679" s="2036"/>
      <c r="CV679" s="1973">
        <v>1</v>
      </c>
      <c r="CW679" s="1973">
        <v>0</v>
      </c>
      <c r="CX679" s="2037">
        <v>0</v>
      </c>
      <c r="CY679" s="2037">
        <v>0</v>
      </c>
      <c r="CZ679" s="2037">
        <v>0</v>
      </c>
      <c r="DA679" s="2037">
        <v>0</v>
      </c>
      <c r="DJ679" s="1976">
        <v>0</v>
      </c>
      <c r="DK679" s="1973">
        <v>0</v>
      </c>
      <c r="DL679" s="1973">
        <v>0</v>
      </c>
      <c r="DM679" s="1973">
        <v>0</v>
      </c>
      <c r="DO679" s="2027">
        <v>0</v>
      </c>
      <c r="DP679" s="2144">
        <v>0</v>
      </c>
      <c r="DQ679" s="2145">
        <v>0</v>
      </c>
      <c r="DR679" s="2027">
        <v>0</v>
      </c>
      <c r="DS679" s="2124">
        <v>0</v>
      </c>
      <c r="DT679" s="2029">
        <v>0</v>
      </c>
      <c r="DU679" s="2029">
        <v>0</v>
      </c>
      <c r="DV679" s="2029">
        <v>0</v>
      </c>
      <c r="DW679" s="2124">
        <v>0</v>
      </c>
      <c r="DX679" s="2029">
        <v>0</v>
      </c>
      <c r="DY679" s="2029">
        <v>0</v>
      </c>
      <c r="DZ679" s="2029">
        <v>0</v>
      </c>
      <c r="EA679" s="2124">
        <v>0</v>
      </c>
      <c r="EB679" s="2029">
        <v>0</v>
      </c>
      <c r="EC679" s="2029">
        <v>0</v>
      </c>
      <c r="ED679" s="2029">
        <v>0</v>
      </c>
      <c r="EE679" s="2039">
        <f t="shared" si="463"/>
        <v>0</v>
      </c>
      <c r="EF679" s="2039">
        <f t="shared" si="463"/>
        <v>0</v>
      </c>
      <c r="EG679" s="2039">
        <f t="shared" si="463"/>
        <v>0</v>
      </c>
      <c r="EH679" s="2039">
        <f t="shared" si="462"/>
        <v>0</v>
      </c>
      <c r="EI679" s="2040">
        <f t="shared" si="468"/>
        <v>0</v>
      </c>
      <c r="EJ679" s="2040">
        <f t="shared" si="468"/>
        <v>0</v>
      </c>
      <c r="EK679" s="2040">
        <f t="shared" si="468"/>
        <v>0</v>
      </c>
      <c r="EL679" s="2040">
        <f t="shared" si="468"/>
        <v>0</v>
      </c>
      <c r="EM679" s="2040">
        <f t="shared" si="468"/>
        <v>0</v>
      </c>
      <c r="EN679" s="2040">
        <f t="shared" si="468"/>
        <v>0</v>
      </c>
      <c r="EO679" s="2040">
        <f t="shared" si="501"/>
        <v>0</v>
      </c>
      <c r="EP679" s="2040">
        <f t="shared" si="501"/>
        <v>0</v>
      </c>
      <c r="EQ679" s="2040">
        <f t="shared" si="501"/>
        <v>0</v>
      </c>
      <c r="ER679" s="2040">
        <f t="shared" si="501"/>
        <v>0</v>
      </c>
      <c r="ES679" s="2040">
        <f t="shared" si="501"/>
        <v>0</v>
      </c>
      <c r="ET679" s="2040">
        <f t="shared" si="501"/>
        <v>0</v>
      </c>
      <c r="EU679" s="2039">
        <f t="shared" si="465"/>
        <v>0</v>
      </c>
      <c r="EV679" s="2039">
        <f t="shared" si="466"/>
        <v>0</v>
      </c>
    </row>
    <row r="680" spans="1:152" x14ac:dyDescent="0.25">
      <c r="A680" s="2169" t="s">
        <v>209</v>
      </c>
      <c r="B680" s="1974" t="str">
        <f t="shared" si="487"/>
        <v/>
      </c>
      <c r="C680" s="2027">
        <f t="shared" si="504"/>
        <v>12</v>
      </c>
      <c r="D680" s="2144">
        <f t="shared" si="504"/>
        <v>0</v>
      </c>
      <c r="E680" s="2145">
        <f t="shared" si="504"/>
        <v>0</v>
      </c>
      <c r="F680" s="2027">
        <f t="shared" si="504"/>
        <v>257</v>
      </c>
      <c r="G680" s="1974" t="s">
        <v>2988</v>
      </c>
      <c r="H680" s="1974" t="s">
        <v>2988</v>
      </c>
      <c r="I680" s="2026">
        <v>0.9</v>
      </c>
      <c r="J680" s="2026">
        <v>0.9</v>
      </c>
      <c r="K680" s="2026">
        <v>0.9</v>
      </c>
      <c r="L680" s="2026">
        <v>0.9</v>
      </c>
      <c r="M680" s="2027">
        <f t="shared" si="489"/>
        <v>0</v>
      </c>
      <c r="N680" s="2027">
        <f t="shared" si="489"/>
        <v>0</v>
      </c>
      <c r="O680" s="2027">
        <f t="shared" si="489"/>
        <v>0</v>
      </c>
      <c r="P680" s="2027">
        <f t="shared" si="489"/>
        <v>0</v>
      </c>
      <c r="Q680" s="2026">
        <v>0.9</v>
      </c>
      <c r="R680" s="2026">
        <v>0.9</v>
      </c>
      <c r="S680" s="2026">
        <v>0.9</v>
      </c>
      <c r="T680" s="2026">
        <v>0.9</v>
      </c>
      <c r="U680" s="2028">
        <f t="shared" si="490"/>
        <v>0</v>
      </c>
      <c r="V680" s="2028">
        <f t="shared" si="490"/>
        <v>0</v>
      </c>
      <c r="W680" s="2028">
        <f t="shared" si="490"/>
        <v>0</v>
      </c>
      <c r="X680" s="2028">
        <f t="shared" si="490"/>
        <v>0</v>
      </c>
      <c r="Y680" s="2026">
        <v>0.9</v>
      </c>
      <c r="Z680" s="2026">
        <v>0.9</v>
      </c>
      <c r="AA680" s="2026">
        <v>0.9</v>
      </c>
      <c r="AB680" s="2026">
        <v>0.9</v>
      </c>
      <c r="AC680" s="2027">
        <f t="shared" si="491"/>
        <v>231.3</v>
      </c>
      <c r="AD680" s="2027">
        <f t="shared" si="491"/>
        <v>231.3</v>
      </c>
      <c r="AE680" s="2027">
        <f t="shared" si="491"/>
        <v>231.3</v>
      </c>
      <c r="AF680" s="2027">
        <f t="shared" si="491"/>
        <v>231.3</v>
      </c>
      <c r="AG680" s="2027">
        <v>1</v>
      </c>
      <c r="AH680" s="2028"/>
      <c r="AI680" s="2028">
        <v>1</v>
      </c>
      <c r="AJ680" s="2028">
        <v>1</v>
      </c>
      <c r="AK680" s="2027">
        <f t="shared" si="497"/>
        <v>0</v>
      </c>
      <c r="AL680" s="2027">
        <f t="shared" si="494"/>
        <v>0</v>
      </c>
      <c r="AM680" s="2027">
        <f t="shared" si="494"/>
        <v>0</v>
      </c>
      <c r="AN680" s="2027">
        <f t="shared" si="494"/>
        <v>0</v>
      </c>
      <c r="AO680" s="2027">
        <f t="shared" si="498"/>
        <v>231.3</v>
      </c>
      <c r="AP680" s="2027">
        <f t="shared" si="476"/>
        <v>0</v>
      </c>
      <c r="AQ680" s="2027">
        <f t="shared" si="476"/>
        <v>231.3</v>
      </c>
      <c r="AR680" s="2027">
        <f t="shared" si="476"/>
        <v>231.3</v>
      </c>
      <c r="AS680" s="2124">
        <f>AS245*1</f>
        <v>0</v>
      </c>
      <c r="AT680" s="2029">
        <f t="shared" si="500"/>
        <v>0</v>
      </c>
      <c r="AU680" s="2029">
        <f t="shared" si="500"/>
        <v>0</v>
      </c>
      <c r="AV680" s="2029">
        <f t="shared" si="500"/>
        <v>0</v>
      </c>
      <c r="AW680" s="2124">
        <f>AW245*1</f>
        <v>600</v>
      </c>
      <c r="AX680" s="2029">
        <f t="shared" si="499"/>
        <v>600</v>
      </c>
      <c r="AY680" s="2029">
        <f t="shared" si="499"/>
        <v>600</v>
      </c>
      <c r="AZ680" s="2029">
        <f t="shared" si="499"/>
        <v>600</v>
      </c>
      <c r="BA680" s="2124">
        <f t="shared" si="505"/>
        <v>1000</v>
      </c>
      <c r="BB680" s="2029">
        <f t="shared" si="505"/>
        <v>1000</v>
      </c>
      <c r="BC680" s="2029">
        <f t="shared" si="505"/>
        <v>1000</v>
      </c>
      <c r="BD680" s="2029">
        <f t="shared" si="505"/>
        <v>1000</v>
      </c>
      <c r="BE680" s="2030">
        <f t="shared" si="483"/>
        <v>0</v>
      </c>
      <c r="BF680" s="2030">
        <f t="shared" si="483"/>
        <v>0</v>
      </c>
      <c r="BG680" s="2030">
        <f t="shared" si="483"/>
        <v>0</v>
      </c>
      <c r="BH680" s="2030">
        <f t="shared" si="479"/>
        <v>0</v>
      </c>
      <c r="BI680" s="2030">
        <f t="shared" si="484"/>
        <v>600</v>
      </c>
      <c r="BJ680" s="2030">
        <f t="shared" si="484"/>
        <v>0</v>
      </c>
      <c r="BK680" s="2030">
        <f t="shared" si="484"/>
        <v>600</v>
      </c>
      <c r="BL680" s="2030">
        <f t="shared" si="480"/>
        <v>600</v>
      </c>
      <c r="BM680" s="2125"/>
      <c r="BN680" s="2125"/>
      <c r="BO680" s="2125"/>
      <c r="BP680" s="2125"/>
      <c r="BQ680" s="2125"/>
      <c r="BR680" s="2125"/>
      <c r="BS680" s="2125"/>
      <c r="BT680" s="2125"/>
      <c r="BU680" s="2029"/>
      <c r="BV680" s="2029"/>
      <c r="BW680" s="2029"/>
      <c r="BX680" s="2029"/>
      <c r="BY680" s="2029"/>
      <c r="BZ680" s="2032"/>
      <c r="CA680" s="1974">
        <f t="shared" si="502"/>
        <v>0</v>
      </c>
      <c r="CB680" s="1974">
        <f t="shared" si="502"/>
        <v>0</v>
      </c>
      <c r="CC680" s="1974">
        <f t="shared" si="502"/>
        <v>0</v>
      </c>
      <c r="CD680" s="1974">
        <f t="shared" si="502"/>
        <v>0</v>
      </c>
      <c r="CE680" s="1974">
        <f t="shared" si="502"/>
        <v>0</v>
      </c>
      <c r="CF680" s="2033">
        <v>0</v>
      </c>
      <c r="CG680" s="2026">
        <v>8.6293503410020018E-5</v>
      </c>
      <c r="CH680" s="2009">
        <f t="shared" si="503"/>
        <v>0</v>
      </c>
      <c r="CI680" s="2031">
        <f t="shared" si="503"/>
        <v>0</v>
      </c>
      <c r="CJ680" s="1974">
        <f t="shared" si="503"/>
        <v>0</v>
      </c>
      <c r="CK680" s="2031">
        <f t="shared" si="503"/>
        <v>0</v>
      </c>
      <c r="CL680" s="2026">
        <v>1</v>
      </c>
      <c r="CM680" s="2026">
        <v>1</v>
      </c>
      <c r="CN680" s="2026">
        <v>1</v>
      </c>
      <c r="CO680" s="2026">
        <v>1</v>
      </c>
      <c r="CP680" s="2035"/>
      <c r="CQ680" s="2036"/>
      <c r="CR680" s="2036"/>
      <c r="CS680" s="2036"/>
      <c r="CT680" s="2036"/>
      <c r="CU680" s="2036"/>
      <c r="CV680" s="1973">
        <v>1</v>
      </c>
      <c r="CW680" s="1973">
        <v>0</v>
      </c>
      <c r="CX680" s="2037">
        <v>600</v>
      </c>
      <c r="CY680" s="2037">
        <v>600</v>
      </c>
      <c r="CZ680" s="2037">
        <v>600</v>
      </c>
      <c r="DA680" s="2037">
        <v>600</v>
      </c>
      <c r="DJ680" s="1976">
        <v>0</v>
      </c>
      <c r="DK680" s="1973">
        <v>0</v>
      </c>
      <c r="DL680" s="1973">
        <v>0</v>
      </c>
      <c r="DM680" s="1973">
        <v>0</v>
      </c>
      <c r="DO680" s="2027">
        <v>12</v>
      </c>
      <c r="DP680" s="2144">
        <v>0</v>
      </c>
      <c r="DQ680" s="2145">
        <v>0</v>
      </c>
      <c r="DR680" s="2027">
        <v>257</v>
      </c>
      <c r="DS680" s="2124">
        <v>0</v>
      </c>
      <c r="DT680" s="2029">
        <v>0</v>
      </c>
      <c r="DU680" s="2029">
        <v>0</v>
      </c>
      <c r="DV680" s="2029">
        <v>0</v>
      </c>
      <c r="DW680" s="2124">
        <v>600</v>
      </c>
      <c r="DX680" s="2029">
        <v>600</v>
      </c>
      <c r="DY680" s="2029">
        <v>600</v>
      </c>
      <c r="DZ680" s="2029">
        <v>600</v>
      </c>
      <c r="EA680" s="2124">
        <v>1000</v>
      </c>
      <c r="EB680" s="2029">
        <v>1000</v>
      </c>
      <c r="EC680" s="2029">
        <v>1000</v>
      </c>
      <c r="ED680" s="2029">
        <v>1000</v>
      </c>
      <c r="EE680" s="2039">
        <f t="shared" si="463"/>
        <v>0</v>
      </c>
      <c r="EF680" s="2039">
        <f t="shared" si="463"/>
        <v>0</v>
      </c>
      <c r="EG680" s="2039">
        <f t="shared" si="463"/>
        <v>0</v>
      </c>
      <c r="EH680" s="2039">
        <f t="shared" si="462"/>
        <v>0</v>
      </c>
      <c r="EI680" s="2040">
        <f t="shared" si="468"/>
        <v>0</v>
      </c>
      <c r="EJ680" s="2040">
        <f t="shared" si="468"/>
        <v>0</v>
      </c>
      <c r="EK680" s="2040">
        <f t="shared" si="468"/>
        <v>0</v>
      </c>
      <c r="EL680" s="2040">
        <f t="shared" si="468"/>
        <v>0</v>
      </c>
      <c r="EM680" s="2040">
        <f t="shared" si="468"/>
        <v>0</v>
      </c>
      <c r="EN680" s="2040">
        <f t="shared" si="468"/>
        <v>0</v>
      </c>
      <c r="EO680" s="2040">
        <f t="shared" si="501"/>
        <v>0</v>
      </c>
      <c r="EP680" s="2040">
        <f t="shared" si="501"/>
        <v>0</v>
      </c>
      <c r="EQ680" s="2040">
        <f t="shared" si="501"/>
        <v>0</v>
      </c>
      <c r="ER680" s="2040">
        <f t="shared" si="501"/>
        <v>0</v>
      </c>
      <c r="ES680" s="2040">
        <f t="shared" si="501"/>
        <v>0</v>
      </c>
      <c r="ET680" s="2040">
        <f t="shared" si="501"/>
        <v>0</v>
      </c>
      <c r="EU680" s="2039">
        <f t="shared" si="465"/>
        <v>0</v>
      </c>
      <c r="EV680" s="2039">
        <f t="shared" si="466"/>
        <v>0</v>
      </c>
    </row>
    <row r="681" spans="1:152" x14ac:dyDescent="0.25">
      <c r="A681" s="2142" t="str">
        <f>A246</f>
        <v>Heat Pump Water Heaters</v>
      </c>
      <c r="B681" s="1974" t="str">
        <f t="shared" si="487"/>
        <v/>
      </c>
      <c r="C681" s="2027">
        <f t="shared" si="504"/>
        <v>0</v>
      </c>
      <c r="D681" s="2144">
        <f t="shared" si="504"/>
        <v>0</v>
      </c>
      <c r="E681" s="2145">
        <f t="shared" si="504"/>
        <v>0</v>
      </c>
      <c r="F681" s="2027">
        <f t="shared" si="504"/>
        <v>0</v>
      </c>
      <c r="G681" s="1974" t="s">
        <v>2988</v>
      </c>
      <c r="H681" s="1974" t="s">
        <v>2988</v>
      </c>
      <c r="I681" s="2026">
        <v>0.9</v>
      </c>
      <c r="J681" s="2026">
        <v>0.9</v>
      </c>
      <c r="K681" s="2026">
        <v>0.9</v>
      </c>
      <c r="L681" s="2026">
        <v>0.9</v>
      </c>
      <c r="M681" s="2027">
        <f t="shared" si="489"/>
        <v>0</v>
      </c>
      <c r="N681" s="2027">
        <f t="shared" si="489"/>
        <v>0</v>
      </c>
      <c r="O681" s="2027">
        <f t="shared" si="489"/>
        <v>0</v>
      </c>
      <c r="P681" s="2027">
        <f t="shared" si="489"/>
        <v>0</v>
      </c>
      <c r="Q681" s="2026">
        <v>0.9</v>
      </c>
      <c r="R681" s="2026">
        <v>0.9</v>
      </c>
      <c r="S681" s="2026">
        <v>0.9</v>
      </c>
      <c r="T681" s="2026">
        <v>0.9</v>
      </c>
      <c r="U681" s="2028">
        <f t="shared" si="490"/>
        <v>0</v>
      </c>
      <c r="V681" s="2028">
        <f t="shared" si="490"/>
        <v>0</v>
      </c>
      <c r="W681" s="2028">
        <f t="shared" si="490"/>
        <v>0</v>
      </c>
      <c r="X681" s="2028">
        <f t="shared" si="490"/>
        <v>0</v>
      </c>
      <c r="Y681" s="2026">
        <v>0.9</v>
      </c>
      <c r="Z681" s="2026">
        <v>0.9</v>
      </c>
      <c r="AA681" s="2026">
        <v>0.9</v>
      </c>
      <c r="AB681" s="2026">
        <v>0.9</v>
      </c>
      <c r="AC681" s="2027">
        <f t="shared" si="491"/>
        <v>0</v>
      </c>
      <c r="AD681" s="2027">
        <f t="shared" si="491"/>
        <v>0</v>
      </c>
      <c r="AE681" s="2027">
        <f t="shared" si="491"/>
        <v>0</v>
      </c>
      <c r="AF681" s="2027">
        <f t="shared" si="491"/>
        <v>0</v>
      </c>
      <c r="AG681" s="2027">
        <v>0</v>
      </c>
      <c r="AH681" s="2028"/>
      <c r="AI681" s="2028"/>
      <c r="AJ681" s="2028"/>
      <c r="AK681" s="2027">
        <f t="shared" si="497"/>
        <v>0</v>
      </c>
      <c r="AL681" s="2027">
        <f t="shared" si="494"/>
        <v>0</v>
      </c>
      <c r="AM681" s="2027">
        <f t="shared" si="494"/>
        <v>0</v>
      </c>
      <c r="AN681" s="2027">
        <f t="shared" si="494"/>
        <v>0</v>
      </c>
      <c r="AO681" s="2027">
        <f t="shared" si="498"/>
        <v>0</v>
      </c>
      <c r="AP681" s="2027">
        <f t="shared" si="476"/>
        <v>0</v>
      </c>
      <c r="AQ681" s="2027">
        <f t="shared" si="476"/>
        <v>0</v>
      </c>
      <c r="AR681" s="2027">
        <f t="shared" si="476"/>
        <v>0</v>
      </c>
      <c r="AS681" s="2124">
        <f t="shared" si="495"/>
        <v>0</v>
      </c>
      <c r="AT681" s="2029">
        <f t="shared" si="500"/>
        <v>0</v>
      </c>
      <c r="AU681" s="2029">
        <f t="shared" si="500"/>
        <v>0</v>
      </c>
      <c r="AV681" s="2029">
        <f t="shared" si="500"/>
        <v>0</v>
      </c>
      <c r="AW681" s="2124">
        <f t="shared" si="492"/>
        <v>0</v>
      </c>
      <c r="AX681" s="2029">
        <f t="shared" si="499"/>
        <v>0</v>
      </c>
      <c r="AY681" s="2029">
        <f t="shared" si="499"/>
        <v>0</v>
      </c>
      <c r="AZ681" s="2029">
        <f t="shared" si="499"/>
        <v>0</v>
      </c>
      <c r="BA681" s="2124">
        <f t="shared" si="505"/>
        <v>0</v>
      </c>
      <c r="BB681" s="2029">
        <f t="shared" si="505"/>
        <v>0</v>
      </c>
      <c r="BC681" s="2029">
        <f t="shared" si="505"/>
        <v>0</v>
      </c>
      <c r="BD681" s="2029">
        <f t="shared" si="505"/>
        <v>0</v>
      </c>
      <c r="BE681" s="2030">
        <f t="shared" si="483"/>
        <v>0</v>
      </c>
      <c r="BF681" s="2030">
        <f t="shared" si="483"/>
        <v>0</v>
      </c>
      <c r="BG681" s="2030">
        <f t="shared" si="483"/>
        <v>0</v>
      </c>
      <c r="BH681" s="2030">
        <f t="shared" si="479"/>
        <v>0</v>
      </c>
      <c r="BI681" s="2030">
        <f t="shared" si="484"/>
        <v>0</v>
      </c>
      <c r="BJ681" s="2030">
        <f t="shared" si="484"/>
        <v>0</v>
      </c>
      <c r="BK681" s="2030">
        <f t="shared" si="484"/>
        <v>0</v>
      </c>
      <c r="BL681" s="2030">
        <f t="shared" si="480"/>
        <v>0</v>
      </c>
      <c r="BM681" s="2125"/>
      <c r="BN681" s="2125"/>
      <c r="BO681" s="2125"/>
      <c r="BP681" s="2125"/>
      <c r="BQ681" s="2125"/>
      <c r="BR681" s="2125"/>
      <c r="BS681" s="2125"/>
      <c r="BT681" s="2125"/>
      <c r="BU681" s="2029"/>
      <c r="BV681" s="2029"/>
      <c r="BW681" s="2029"/>
      <c r="BX681" s="2029"/>
      <c r="BY681" s="2029"/>
      <c r="BZ681" s="2032"/>
      <c r="CA681" s="1974">
        <f t="shared" si="502"/>
        <v>0</v>
      </c>
      <c r="CB681" s="1974">
        <f t="shared" si="502"/>
        <v>0</v>
      </c>
      <c r="CC681" s="1974">
        <f t="shared" si="502"/>
        <v>0</v>
      </c>
      <c r="CD681" s="1974">
        <f t="shared" si="502"/>
        <v>0</v>
      </c>
      <c r="CE681" s="1974">
        <f t="shared" si="502"/>
        <v>1</v>
      </c>
      <c r="CF681" s="2033">
        <v>0</v>
      </c>
      <c r="CG681" s="2026">
        <v>0</v>
      </c>
      <c r="CH681" s="2009">
        <f t="shared" si="503"/>
        <v>0</v>
      </c>
      <c r="CI681" s="2031">
        <f t="shared" si="503"/>
        <v>0</v>
      </c>
      <c r="CJ681" s="1974">
        <f t="shared" si="503"/>
        <v>0</v>
      </c>
      <c r="CK681" s="2031">
        <f t="shared" si="503"/>
        <v>0</v>
      </c>
      <c r="CL681" s="2026">
        <v>1</v>
      </c>
      <c r="CM681" s="2026">
        <v>1</v>
      </c>
      <c r="CN681" s="2026">
        <v>1</v>
      </c>
      <c r="CO681" s="2026">
        <v>1</v>
      </c>
      <c r="CP681" s="2035"/>
      <c r="CQ681" s="2036"/>
      <c r="CR681" s="2036"/>
      <c r="CS681" s="2036"/>
      <c r="CT681" s="2036"/>
      <c r="CU681" s="2036"/>
      <c r="CV681" s="1973">
        <v>1</v>
      </c>
      <c r="CW681" s="1973">
        <v>0</v>
      </c>
      <c r="CX681" s="2037">
        <v>0</v>
      </c>
      <c r="CY681" s="2037">
        <v>0</v>
      </c>
      <c r="CZ681" s="2037">
        <v>0</v>
      </c>
      <c r="DA681" s="2037">
        <v>0</v>
      </c>
      <c r="DJ681" s="1976">
        <v>0</v>
      </c>
      <c r="DK681" s="1973">
        <v>0</v>
      </c>
      <c r="DL681" s="1973">
        <v>0</v>
      </c>
      <c r="DM681" s="1973">
        <v>0</v>
      </c>
      <c r="DO681" s="2027">
        <v>0</v>
      </c>
      <c r="DP681" s="2144">
        <v>0</v>
      </c>
      <c r="DQ681" s="2145">
        <v>0</v>
      </c>
      <c r="DR681" s="2027">
        <v>0</v>
      </c>
      <c r="DS681" s="2124">
        <v>0</v>
      </c>
      <c r="DT681" s="2029">
        <v>0</v>
      </c>
      <c r="DU681" s="2029">
        <v>0</v>
      </c>
      <c r="DV681" s="2029">
        <v>0</v>
      </c>
      <c r="DW681" s="2124">
        <v>0</v>
      </c>
      <c r="DX681" s="2029">
        <v>0</v>
      </c>
      <c r="DY681" s="2029">
        <v>0</v>
      </c>
      <c r="DZ681" s="2029">
        <v>0</v>
      </c>
      <c r="EA681" s="2124">
        <v>0</v>
      </c>
      <c r="EB681" s="2029">
        <v>0</v>
      </c>
      <c r="EC681" s="2029">
        <v>0</v>
      </c>
      <c r="ED681" s="2029">
        <v>0</v>
      </c>
      <c r="EE681" s="2039">
        <f t="shared" si="463"/>
        <v>0</v>
      </c>
      <c r="EF681" s="2039">
        <f t="shared" si="463"/>
        <v>0</v>
      </c>
      <c r="EG681" s="2039">
        <f t="shared" si="463"/>
        <v>0</v>
      </c>
      <c r="EH681" s="2039">
        <f t="shared" si="462"/>
        <v>0</v>
      </c>
      <c r="EI681" s="2040">
        <f t="shared" si="468"/>
        <v>0</v>
      </c>
      <c r="EJ681" s="2040">
        <f t="shared" si="468"/>
        <v>0</v>
      </c>
      <c r="EK681" s="2040">
        <f t="shared" si="468"/>
        <v>0</v>
      </c>
      <c r="EL681" s="2040">
        <f t="shared" si="468"/>
        <v>0</v>
      </c>
      <c r="EM681" s="2040">
        <f t="shared" si="468"/>
        <v>0</v>
      </c>
      <c r="EN681" s="2040">
        <f t="shared" si="468"/>
        <v>0</v>
      </c>
      <c r="EO681" s="2040">
        <f t="shared" si="501"/>
        <v>0</v>
      </c>
      <c r="EP681" s="2040">
        <f t="shared" si="501"/>
        <v>0</v>
      </c>
      <c r="EQ681" s="2040">
        <f t="shared" si="501"/>
        <v>0</v>
      </c>
      <c r="ER681" s="2040">
        <f t="shared" si="501"/>
        <v>0</v>
      </c>
      <c r="ES681" s="2040">
        <f t="shared" si="501"/>
        <v>0</v>
      </c>
      <c r="ET681" s="2040">
        <f t="shared" si="501"/>
        <v>0</v>
      </c>
      <c r="EU681" s="2039">
        <f t="shared" si="465"/>
        <v>0</v>
      </c>
      <c r="EV681" s="2039">
        <f t="shared" si="466"/>
        <v>0</v>
      </c>
    </row>
    <row r="682" spans="1:152" x14ac:dyDescent="0.25">
      <c r="DO682" s="1970"/>
      <c r="DP682" s="1970"/>
      <c r="DQ682" s="1971"/>
      <c r="DR682" s="1970"/>
      <c r="EE682" s="2039">
        <f t="shared" si="463"/>
        <v>0</v>
      </c>
      <c r="EF682" s="2039">
        <f t="shared" si="463"/>
        <v>0</v>
      </c>
      <c r="EG682" s="2039">
        <f t="shared" si="463"/>
        <v>0</v>
      </c>
      <c r="EH682" s="2039">
        <f t="shared" si="462"/>
        <v>0</v>
      </c>
      <c r="EI682" s="2040">
        <f t="shared" si="468"/>
        <v>0</v>
      </c>
      <c r="EJ682" s="2040">
        <f t="shared" si="468"/>
        <v>0</v>
      </c>
      <c r="EK682" s="2040">
        <f t="shared" si="468"/>
        <v>0</v>
      </c>
      <c r="EL682" s="2040">
        <f t="shared" si="468"/>
        <v>0</v>
      </c>
      <c r="EM682" s="2040">
        <f t="shared" si="468"/>
        <v>0</v>
      </c>
      <c r="EN682" s="2040">
        <f t="shared" si="468"/>
        <v>0</v>
      </c>
      <c r="EO682" s="2040">
        <f t="shared" si="501"/>
        <v>0</v>
      </c>
      <c r="EP682" s="2040">
        <f t="shared" si="501"/>
        <v>0</v>
      </c>
      <c r="EQ682" s="2040">
        <f t="shared" si="501"/>
        <v>0</v>
      </c>
      <c r="ER682" s="2040">
        <f t="shared" si="501"/>
        <v>0</v>
      </c>
      <c r="ES682" s="2040">
        <f t="shared" si="501"/>
        <v>0</v>
      </c>
      <c r="ET682" s="2040">
        <f t="shared" si="501"/>
        <v>0</v>
      </c>
      <c r="EU682" s="2039">
        <f t="shared" si="465"/>
        <v>0</v>
      </c>
      <c r="EV682" s="2039">
        <f t="shared" si="466"/>
        <v>0</v>
      </c>
    </row>
    <row r="683" spans="1:152" s="2018" customFormat="1" x14ac:dyDescent="0.25">
      <c r="A683" s="2098" t="s">
        <v>3001</v>
      </c>
      <c r="B683" s="2019"/>
      <c r="C683" s="2019"/>
      <c r="D683" s="2019"/>
      <c r="E683" s="2019"/>
      <c r="F683" s="2019"/>
      <c r="G683" s="2019"/>
      <c r="H683" s="2019"/>
      <c r="I683" s="2019"/>
      <c r="J683" s="2019"/>
      <c r="K683" s="2019"/>
      <c r="L683" s="2019"/>
      <c r="M683" s="2019"/>
      <c r="N683" s="2019"/>
      <c r="O683" s="2019"/>
      <c r="P683" s="2019"/>
      <c r="Q683" s="2019"/>
      <c r="R683" s="2019"/>
      <c r="S683" s="2019"/>
      <c r="T683" s="2020"/>
      <c r="U683" s="2020"/>
      <c r="V683" s="2020"/>
      <c r="W683" s="2020"/>
      <c r="X683" s="2020"/>
      <c r="Y683" s="2020"/>
      <c r="Z683" s="2020"/>
      <c r="AA683" s="2020"/>
      <c r="AB683" s="2020"/>
      <c r="AC683" s="2020"/>
      <c r="AD683" s="2020"/>
      <c r="AE683" s="2020"/>
      <c r="AF683" s="2020"/>
      <c r="AG683" s="2020"/>
      <c r="AH683" s="2020"/>
      <c r="AI683" s="2020"/>
      <c r="AJ683" s="2020"/>
      <c r="AK683" s="2072">
        <f>SUM(AK684)</f>
        <v>223494.4296</v>
      </c>
      <c r="AL683" s="2072">
        <f t="shared" ref="AL683:AR683" si="506">SUM(AL684)</f>
        <v>223494.4296</v>
      </c>
      <c r="AM683" s="2072">
        <f t="shared" si="506"/>
        <v>223494.4296</v>
      </c>
      <c r="AN683" s="2072">
        <f t="shared" si="506"/>
        <v>223494.4296</v>
      </c>
      <c r="AO683" s="2072">
        <f t="shared" si="506"/>
        <v>0</v>
      </c>
      <c r="AP683" s="2072">
        <f t="shared" si="506"/>
        <v>0</v>
      </c>
      <c r="AQ683" s="2072">
        <f t="shared" si="506"/>
        <v>0</v>
      </c>
      <c r="AR683" s="2072">
        <f t="shared" si="506"/>
        <v>0</v>
      </c>
      <c r="BE683" s="2019">
        <f>SUM(BE684)</f>
        <v>20000</v>
      </c>
      <c r="BF683" s="2019">
        <f t="shared" ref="BF683:BL683" si="507">SUM(BF684)</f>
        <v>20000</v>
      </c>
      <c r="BG683" s="2019">
        <f t="shared" si="507"/>
        <v>20000</v>
      </c>
      <c r="BH683" s="2019">
        <f t="shared" si="507"/>
        <v>20000</v>
      </c>
      <c r="BI683" s="2019">
        <f t="shared" si="507"/>
        <v>0</v>
      </c>
      <c r="BJ683" s="2019">
        <f t="shared" si="507"/>
        <v>0</v>
      </c>
      <c r="BK683" s="2019">
        <f t="shared" si="507"/>
        <v>0</v>
      </c>
      <c r="BL683" s="2019">
        <f t="shared" si="507"/>
        <v>0</v>
      </c>
      <c r="BM683" s="2019"/>
      <c r="BN683" s="2019"/>
      <c r="BO683" s="2019"/>
      <c r="BP683" s="2019"/>
      <c r="BQ683" s="2019"/>
      <c r="BR683" s="2019"/>
      <c r="BS683" s="2019"/>
      <c r="BT683" s="2019"/>
      <c r="BU683" s="2019"/>
      <c r="BV683" s="2019"/>
      <c r="BW683" s="2019"/>
      <c r="BX683" s="2019"/>
      <c r="BY683" s="2019"/>
      <c r="BZ683" s="2019"/>
      <c r="CA683" s="2076"/>
      <c r="CB683" s="2076"/>
      <c r="CC683" s="2076"/>
      <c r="CD683" s="2076"/>
      <c r="CE683" s="2076"/>
      <c r="CF683" s="2076"/>
      <c r="CG683" s="2076"/>
      <c r="CH683" s="2079"/>
      <c r="CI683" s="2076"/>
      <c r="CJ683" s="2076"/>
      <c r="CK683" s="2076"/>
      <c r="CL683" s="2076"/>
      <c r="CM683" s="2076"/>
      <c r="CN683" s="2076"/>
      <c r="CO683" s="2076"/>
      <c r="CP683" s="2020"/>
      <c r="CQ683" s="2020"/>
      <c r="CR683" s="2020"/>
      <c r="CS683" s="2020"/>
      <c r="CT683" s="2020"/>
      <c r="CU683" s="2020"/>
      <c r="CX683" s="2083"/>
      <c r="DB683" s="2083"/>
      <c r="DF683" s="2083"/>
      <c r="DJ683" s="2083"/>
      <c r="DN683" s="1977"/>
      <c r="DO683" s="2019"/>
      <c r="DP683" s="2019"/>
      <c r="DQ683" s="2019"/>
      <c r="DR683" s="2019"/>
      <c r="EE683" s="2039">
        <f t="shared" si="463"/>
        <v>0</v>
      </c>
      <c r="EF683" s="2039">
        <f t="shared" si="463"/>
        <v>0</v>
      </c>
      <c r="EG683" s="2039">
        <f t="shared" si="463"/>
        <v>0</v>
      </c>
      <c r="EH683" s="2039">
        <f t="shared" si="462"/>
        <v>0</v>
      </c>
      <c r="EI683" s="2040">
        <f t="shared" si="468"/>
        <v>0</v>
      </c>
      <c r="EJ683" s="2040">
        <f t="shared" si="468"/>
        <v>0</v>
      </c>
      <c r="EK683" s="2040">
        <f t="shared" si="468"/>
        <v>0</v>
      </c>
      <c r="EL683" s="2040">
        <f t="shared" si="468"/>
        <v>0</v>
      </c>
      <c r="EM683" s="2040">
        <f t="shared" si="468"/>
        <v>0</v>
      </c>
      <c r="EN683" s="2040">
        <f t="shared" si="468"/>
        <v>0</v>
      </c>
      <c r="EO683" s="2040">
        <f t="shared" si="501"/>
        <v>0</v>
      </c>
      <c r="EP683" s="2040">
        <f t="shared" si="501"/>
        <v>0</v>
      </c>
      <c r="EQ683" s="2040">
        <f t="shared" si="501"/>
        <v>0</v>
      </c>
      <c r="ER683" s="2040">
        <f t="shared" si="501"/>
        <v>0</v>
      </c>
      <c r="ES683" s="2040">
        <f t="shared" si="501"/>
        <v>0</v>
      </c>
      <c r="ET683" s="2040">
        <f t="shared" si="501"/>
        <v>0</v>
      </c>
      <c r="EU683" s="2039">
        <f t="shared" si="465"/>
        <v>0</v>
      </c>
      <c r="EV683" s="2039">
        <f t="shared" si="466"/>
        <v>0</v>
      </c>
    </row>
    <row r="684" spans="1:152" x14ac:dyDescent="0.25">
      <c r="A684" s="2101" t="s">
        <v>271</v>
      </c>
      <c r="B684" s="2022" t="s">
        <v>2987</v>
      </c>
      <c r="C684" s="2024">
        <f>C216</f>
        <v>15</v>
      </c>
      <c r="D684" s="2024">
        <f>D216</f>
        <v>620.81786</v>
      </c>
      <c r="E684" s="2024">
        <f>E216</f>
        <v>0</v>
      </c>
      <c r="F684" s="2024">
        <f>F216</f>
        <v>0</v>
      </c>
      <c r="G684" s="1974" t="s">
        <v>2988</v>
      </c>
      <c r="H684" s="1974" t="s">
        <v>2988</v>
      </c>
      <c r="I684" s="2026">
        <v>0.9</v>
      </c>
      <c r="J684" s="2026">
        <v>0.9</v>
      </c>
      <c r="K684" s="2026">
        <v>0.9</v>
      </c>
      <c r="L684" s="2026">
        <v>0.9</v>
      </c>
      <c r="M684" s="2027">
        <f>$D684*I684</f>
        <v>558.73607400000003</v>
      </c>
      <c r="N684" s="2027">
        <f>$D684*J684</f>
        <v>558.73607400000003</v>
      </c>
      <c r="O684" s="2027">
        <f>$D684*K684</f>
        <v>558.73607400000003</v>
      </c>
      <c r="P684" s="2027">
        <f>$D684*L684</f>
        <v>558.73607400000003</v>
      </c>
      <c r="Q684" s="2026">
        <v>0.9</v>
      </c>
      <c r="R684" s="2026">
        <v>0.9</v>
      </c>
      <c r="S684" s="2026">
        <v>0.9</v>
      </c>
      <c r="T684" s="2026">
        <v>0.9</v>
      </c>
      <c r="U684" s="2028">
        <f>$E684*Q684</f>
        <v>0</v>
      </c>
      <c r="V684" s="2028">
        <f>$E684*R684</f>
        <v>0</v>
      </c>
      <c r="W684" s="2028">
        <f>$E684*S684</f>
        <v>0</v>
      </c>
      <c r="X684" s="2028">
        <f>$E684*T684</f>
        <v>0</v>
      </c>
      <c r="Y684" s="2026">
        <v>0.9</v>
      </c>
      <c r="Z684" s="2026">
        <v>0.9</v>
      </c>
      <c r="AA684" s="2026">
        <v>0.9</v>
      </c>
      <c r="AB684" s="2026">
        <v>0.9</v>
      </c>
      <c r="AC684" s="2027">
        <f>$F684*Y684</f>
        <v>0</v>
      </c>
      <c r="AD684" s="2027">
        <f>$F684*Z684</f>
        <v>0</v>
      </c>
      <c r="AE684" s="2027"/>
      <c r="AF684" s="2027">
        <f>$F684*AB684</f>
        <v>0</v>
      </c>
      <c r="AG684" s="2027">
        <v>400</v>
      </c>
      <c r="AH684" s="2027">
        <v>400</v>
      </c>
      <c r="AI684" s="2027">
        <v>400</v>
      </c>
      <c r="AJ684" s="2027">
        <v>400</v>
      </c>
      <c r="AK684" s="2027">
        <f>AG684*M684</f>
        <v>223494.4296</v>
      </c>
      <c r="AL684" s="2027">
        <f>AH684*N684</f>
        <v>223494.4296</v>
      </c>
      <c r="AM684" s="2027">
        <f>AI684*O684</f>
        <v>223494.4296</v>
      </c>
      <c r="AN684" s="2027">
        <f>AJ684*P684</f>
        <v>223494.4296</v>
      </c>
      <c r="AO684" s="2027">
        <f>AG684*AC684</f>
        <v>0</v>
      </c>
      <c r="AP684" s="2027">
        <f>AH684*AD684</f>
        <v>0</v>
      </c>
      <c r="AQ684" s="2027">
        <f>AI684*AE684</f>
        <v>0</v>
      </c>
      <c r="AR684" s="2027">
        <f>AJ684*AF684</f>
        <v>0</v>
      </c>
      <c r="AS684" s="2029">
        <v>50</v>
      </c>
      <c r="AT684" s="2029">
        <v>50</v>
      </c>
      <c r="AU684" s="2029">
        <v>50</v>
      </c>
      <c r="AV684" s="2029">
        <v>50</v>
      </c>
      <c r="AW684" s="1974"/>
      <c r="AX684" s="2029">
        <f>$AW684</f>
        <v>0</v>
      </c>
      <c r="AY684" s="2029">
        <f>$AW684</f>
        <v>0</v>
      </c>
      <c r="AZ684" s="2029">
        <f>$AW684</f>
        <v>0</v>
      </c>
      <c r="BA684" s="2029">
        <f>BA216</f>
        <v>110.21899999999999</v>
      </c>
      <c r="BB684" s="2029">
        <f>$BA684</f>
        <v>110.21899999999999</v>
      </c>
      <c r="BC684" s="2029">
        <f>$BA684</f>
        <v>110.21899999999999</v>
      </c>
      <c r="BD684" s="2029">
        <f>$BA684</f>
        <v>110.21899999999999</v>
      </c>
      <c r="BE684" s="2030">
        <f>AS684*AG684</f>
        <v>20000</v>
      </c>
      <c r="BF684" s="2030">
        <f>AT684*AH684</f>
        <v>20000</v>
      </c>
      <c r="BG684" s="2030">
        <f>AU684*AI684</f>
        <v>20000</v>
      </c>
      <c r="BH684" s="2030">
        <f>AV684*AJ684</f>
        <v>20000</v>
      </c>
      <c r="BI684" s="2030">
        <f>AW684*AG684</f>
        <v>0</v>
      </c>
      <c r="BJ684" s="2030">
        <f>AX684*AH684</f>
        <v>0</v>
      </c>
      <c r="BK684" s="2030">
        <f>AY684*AI684</f>
        <v>0</v>
      </c>
      <c r="BL684" s="2030">
        <f>AZ684*AJ684</f>
        <v>0</v>
      </c>
      <c r="BM684" s="2031"/>
      <c r="BN684" s="2031"/>
      <c r="BO684" s="2031"/>
      <c r="BP684" s="2031"/>
      <c r="BQ684" s="2031"/>
      <c r="BR684" s="2031"/>
      <c r="BS684" s="2031"/>
      <c r="BT684" s="2031"/>
      <c r="BU684" s="2029"/>
      <c r="BV684" s="2029"/>
      <c r="BW684" s="2029"/>
      <c r="BX684" s="2029"/>
      <c r="BY684" s="2029"/>
      <c r="BZ684" s="2032"/>
      <c r="CA684" s="2170">
        <f>CA23</f>
        <v>0</v>
      </c>
      <c r="CB684" s="2170">
        <f>CB23</f>
        <v>0</v>
      </c>
      <c r="CC684" s="2170">
        <f>CC23</f>
        <v>0</v>
      </c>
      <c r="CD684" s="2170">
        <f>CD23</f>
        <v>0</v>
      </c>
      <c r="CE684" s="2170">
        <f>CE23</f>
        <v>1</v>
      </c>
      <c r="CF684" s="2033">
        <v>9.3428198821130849E-4</v>
      </c>
      <c r="CG684" s="2026">
        <v>0</v>
      </c>
      <c r="CH684" s="2009">
        <v>1</v>
      </c>
      <c r="CI684" s="2029">
        <f>CI216</f>
        <v>17.367448888888887</v>
      </c>
      <c r="CK684" s="2029">
        <f>-CI684+CJ684</f>
        <v>-17.367448888888887</v>
      </c>
      <c r="CL684" s="2034">
        <v>1</v>
      </c>
      <c r="CM684" s="2034">
        <v>1</v>
      </c>
      <c r="CN684" s="2034">
        <v>1</v>
      </c>
      <c r="CO684" s="2034">
        <v>1</v>
      </c>
      <c r="CP684" s="2035"/>
      <c r="CQ684" s="2036"/>
      <c r="CR684" s="2036"/>
      <c r="CS684" s="2036"/>
      <c r="CT684" s="2036"/>
      <c r="CU684" s="2036"/>
      <c r="CV684" s="1973">
        <v>1</v>
      </c>
      <c r="CW684" s="1973">
        <v>0</v>
      </c>
      <c r="CX684" s="2037">
        <v>50</v>
      </c>
      <c r="CY684" s="2037">
        <v>50</v>
      </c>
      <c r="CZ684" s="2037">
        <v>50</v>
      </c>
      <c r="DA684" s="2037">
        <v>50</v>
      </c>
      <c r="DJ684" s="1976">
        <v>50</v>
      </c>
      <c r="DK684" s="1973">
        <v>50</v>
      </c>
      <c r="DL684" s="1973">
        <v>50</v>
      </c>
      <c r="DM684" s="1973">
        <v>50</v>
      </c>
      <c r="DO684" s="2044">
        <v>15</v>
      </c>
      <c r="DP684" s="2044">
        <v>620.81786</v>
      </c>
      <c r="DQ684" s="2044">
        <v>0</v>
      </c>
      <c r="DR684" s="2044">
        <v>0</v>
      </c>
      <c r="DS684" s="2046">
        <v>50</v>
      </c>
      <c r="DT684" s="2046">
        <v>50</v>
      </c>
      <c r="DU684" s="2046">
        <v>50</v>
      </c>
      <c r="DV684" s="2046">
        <v>50</v>
      </c>
      <c r="DW684" s="2047"/>
      <c r="DX684" s="2046">
        <v>0</v>
      </c>
      <c r="DY684" s="2046">
        <v>0</v>
      </c>
      <c r="DZ684" s="2046">
        <v>0</v>
      </c>
      <c r="EA684" s="2046">
        <v>110.21899999999999</v>
      </c>
      <c r="EB684" s="2046">
        <v>110.21899999999999</v>
      </c>
      <c r="EC684" s="2046">
        <v>110.21899999999999</v>
      </c>
      <c r="ED684" s="2046">
        <v>110.21899999999999</v>
      </c>
      <c r="EE684" s="2039">
        <f t="shared" si="463"/>
        <v>0</v>
      </c>
      <c r="EF684" s="2039">
        <f t="shared" si="463"/>
        <v>0</v>
      </c>
      <c r="EG684" s="2039">
        <f t="shared" si="463"/>
        <v>0</v>
      </c>
      <c r="EH684" s="2039">
        <f t="shared" si="462"/>
        <v>0</v>
      </c>
      <c r="EI684" s="2040">
        <f t="shared" si="468"/>
        <v>0</v>
      </c>
      <c r="EJ684" s="2040">
        <f t="shared" si="468"/>
        <v>0</v>
      </c>
      <c r="EK684" s="2040">
        <f t="shared" si="468"/>
        <v>0</v>
      </c>
      <c r="EL684" s="2040">
        <f t="shared" si="468"/>
        <v>0</v>
      </c>
      <c r="EM684" s="2040">
        <f t="shared" si="468"/>
        <v>0</v>
      </c>
      <c r="EN684" s="2040">
        <f t="shared" si="468"/>
        <v>0</v>
      </c>
      <c r="EO684" s="2040">
        <f t="shared" si="501"/>
        <v>0</v>
      </c>
      <c r="EP684" s="2040">
        <f t="shared" si="501"/>
        <v>0</v>
      </c>
      <c r="EQ684" s="2040">
        <f t="shared" si="501"/>
        <v>0</v>
      </c>
      <c r="ER684" s="2040">
        <f t="shared" si="501"/>
        <v>0</v>
      </c>
      <c r="ES684" s="2040">
        <f t="shared" si="501"/>
        <v>0</v>
      </c>
      <c r="ET684" s="2040">
        <f t="shared" si="501"/>
        <v>0</v>
      </c>
      <c r="EU684" s="2039">
        <f t="shared" si="465"/>
        <v>0</v>
      </c>
      <c r="EV684" s="2039">
        <f t="shared" si="466"/>
        <v>0</v>
      </c>
    </row>
  </sheetData>
  <mergeCells count="27">
    <mergeCell ref="DS2:DV2"/>
    <mergeCell ref="DW2:DZ2"/>
    <mergeCell ref="EA2:ED2"/>
    <mergeCell ref="CP2:CR2"/>
    <mergeCell ref="CS2:CU2"/>
    <mergeCell ref="CX2:DA2"/>
    <mergeCell ref="DB2:DE2"/>
    <mergeCell ref="DF2:DI2"/>
    <mergeCell ref="DJ2:DM2"/>
    <mergeCell ref="BX2:BZ2"/>
    <mergeCell ref="AG2:AJ2"/>
    <mergeCell ref="AK2:AN2"/>
    <mergeCell ref="AO2:AR2"/>
    <mergeCell ref="AS2:AV2"/>
    <mergeCell ref="AW2:AZ2"/>
    <mergeCell ref="BA2:BD2"/>
    <mergeCell ref="BE2:BH2"/>
    <mergeCell ref="BI2:BL2"/>
    <mergeCell ref="BM2:BP2"/>
    <mergeCell ref="BQ2:BT2"/>
    <mergeCell ref="BU2:BW2"/>
    <mergeCell ref="AC2:AF2"/>
    <mergeCell ref="I2:L2"/>
    <mergeCell ref="M2:P2"/>
    <mergeCell ref="Q2:T2"/>
    <mergeCell ref="U2:X2"/>
    <mergeCell ref="Y2:AB2"/>
  </mergeCells>
  <conditionalFormatting sqref="AD1:AF1 J1:L1 AH1:AJ1 AG1:AG2 AL1:AN1 AK1:AK2 AP1:AR1 AO1:AO2 M1:AC2 AK174:AK194 AK93:AL94 H1:H5 I1:I2 F75:G75 F1:G21 F217:AR224 F96:G155 G23:G74 F23:F35 F79:G94 I79:J94 AK79:AK81 F37:F74 F165:G182 G183:G198 F465:AR465 F249:AJ249 F247:AR248 G246:H246 I7:J21 F209:AR215 I23:J75 AG7:AH20 AK7:AK21 AO7:AO21 AK23:AK75 AL7:AL92 AO196:AO198 AO174:AO194 AO23:AO26 AP7:AP26 AO27:AP75 I96:J198 G200:L203 L7:N21 K7:K198 I6:N6 AF7:AF21 AF6:AH6 O6:AE21 L96:AF198 L23:AF75 L79:AF94 AJ6:AL6 AJ7:AJ20 AJ196:AK198 AI6:AI20 G205:AJ205 AM6:AM94 AO79:AQ81 AN6:AR6 AO93:AQ94 AK96:AM98 I4:AR5 AQ199:AQ204 AO96:AQ98 AN7:AN198 AQ7:AQ75 AR7:AR203 F685:AR1048576 I448:AR464 AG23:AG25 AG32:AG39 G157:G164 F157:F163 AG138:AJ169 AG170 AC207 F204:AP204 AG40:AJ136 AG171:AJ174 AG206:AJ207 G208:AR208 F199:L199 M199:AP203 AJ183:AJ195 AG183:AI198 AG175:AG182 AH23:AJ23 AG26:AJ31 AG21:AJ22 I250:AJ390 AS199:BT199 AR204:BT204 I392:AJ447">
    <cfRule type="cellIs" dxfId="501" priority="202" operator="lessThan">
      <formula>0</formula>
    </cfRule>
  </conditionalFormatting>
  <conditionalFormatting sqref="I3:L3">
    <cfRule type="cellIs" dxfId="500" priority="201" operator="lessThan">
      <formula>0</formula>
    </cfRule>
  </conditionalFormatting>
  <conditionalFormatting sqref="AK82:AK92 AO82:AO92">
    <cfRule type="cellIs" dxfId="499" priority="200" operator="lessThan">
      <formula>0</formula>
    </cfRule>
  </conditionalFormatting>
  <conditionalFormatting sqref="AK99:AK134 AO99:AO134 AK136:AK173 AO136:AO173 AK135:AM135 AO135:AQ135">
    <cfRule type="cellIs" dxfId="498" priority="199" operator="lessThan">
      <formula>0</formula>
    </cfRule>
  </conditionalFormatting>
  <conditionalFormatting sqref="F183:F198">
    <cfRule type="cellIs" dxfId="497" priority="198" operator="lessThan">
      <formula>0</formula>
    </cfRule>
  </conditionalFormatting>
  <conditionalFormatting sqref="H6:H21 H96:H155 H23:H75 H79:H94 H157:H198">
    <cfRule type="cellIs" dxfId="496" priority="197" operator="lessThan">
      <formula>0</formula>
    </cfRule>
  </conditionalFormatting>
  <conditionalFormatting sqref="I216:AR216">
    <cfRule type="cellIs" dxfId="495" priority="196" operator="lessThan">
      <formula>0</formula>
    </cfRule>
  </conditionalFormatting>
  <conditionalFormatting sqref="F95:G95 I95:J95 L95:AF95 AK95:AM95 AO95:AQ95">
    <cfRule type="cellIs" dxfId="494" priority="195" operator="lessThan">
      <formula>0</formula>
    </cfRule>
  </conditionalFormatting>
  <conditionalFormatting sqref="H95">
    <cfRule type="cellIs" dxfId="493" priority="194" operator="lessThan">
      <formula>0</formula>
    </cfRule>
  </conditionalFormatting>
  <conditionalFormatting sqref="F216">
    <cfRule type="cellIs" dxfId="492" priority="193" operator="lessThan">
      <formula>0</formula>
    </cfRule>
  </conditionalFormatting>
  <conditionalFormatting sqref="F225:G225 I225:AB225">
    <cfRule type="cellIs" dxfId="491" priority="192" operator="lessThan">
      <formula>0</formula>
    </cfRule>
  </conditionalFormatting>
  <conditionalFormatting sqref="H225">
    <cfRule type="cellIs" dxfId="490" priority="191" operator="lessThan">
      <formula>0</formula>
    </cfRule>
  </conditionalFormatting>
  <conditionalFormatting sqref="F226:G226 I226:AB226">
    <cfRule type="cellIs" dxfId="489" priority="190" operator="lessThan">
      <formula>0</formula>
    </cfRule>
  </conditionalFormatting>
  <conditionalFormatting sqref="H226">
    <cfRule type="cellIs" dxfId="488" priority="189" operator="lessThan">
      <formula>0</formula>
    </cfRule>
  </conditionalFormatting>
  <conditionalFormatting sqref="F22:G22 I22:J22 AK22 AO22 L22:AF22">
    <cfRule type="cellIs" dxfId="487" priority="188" operator="lessThan">
      <formula>0</formula>
    </cfRule>
  </conditionalFormatting>
  <conditionalFormatting sqref="H22">
    <cfRule type="cellIs" dxfId="486" priority="187" operator="lessThan">
      <formula>0</formula>
    </cfRule>
  </conditionalFormatting>
  <conditionalFormatting sqref="F227:G227 I228:L246 M228:T245 U228:X244 I227:AB227 Y228:AB245 F228:F244">
    <cfRule type="cellIs" dxfId="485" priority="186" operator="lessThan">
      <formula>0</formula>
    </cfRule>
  </conditionalFormatting>
  <conditionalFormatting sqref="H227">
    <cfRule type="cellIs" dxfId="484" priority="185" operator="lessThan">
      <formula>0</formula>
    </cfRule>
  </conditionalFormatting>
  <conditionalFormatting sqref="BU199:BZ199">
    <cfRule type="cellIs" dxfId="483" priority="184" operator="lessThan">
      <formula>0</formula>
    </cfRule>
  </conditionalFormatting>
  <conditionalFormatting sqref="BU204:BZ204">
    <cfRule type="cellIs" dxfId="482" priority="183" operator="lessThan">
      <formula>0</formula>
    </cfRule>
  </conditionalFormatting>
  <conditionalFormatting sqref="F76:G76 I76:J76 AK76 L76:AF76 AO76:AQ76">
    <cfRule type="cellIs" dxfId="481" priority="182" operator="lessThan">
      <formula>0</formula>
    </cfRule>
  </conditionalFormatting>
  <conditionalFormatting sqref="H76">
    <cfRule type="cellIs" dxfId="480" priority="181" operator="lessThan">
      <formula>0</formula>
    </cfRule>
  </conditionalFormatting>
  <conditionalFormatting sqref="F77:G77 I77:J77 AK77 L77:AF77 AO77:AQ77">
    <cfRule type="cellIs" dxfId="479" priority="180" operator="lessThan">
      <formula>0</formula>
    </cfRule>
  </conditionalFormatting>
  <conditionalFormatting sqref="H77">
    <cfRule type="cellIs" dxfId="478" priority="179" operator="lessThan">
      <formula>0</formula>
    </cfRule>
  </conditionalFormatting>
  <conditionalFormatting sqref="F78:G78 I78:J78 AK78 L78:AF78 AO78:AQ78">
    <cfRule type="cellIs" dxfId="477" priority="178" operator="lessThan">
      <formula>0</formula>
    </cfRule>
  </conditionalFormatting>
  <conditionalFormatting sqref="H78">
    <cfRule type="cellIs" dxfId="476" priority="177" operator="lessThan">
      <formula>0</formula>
    </cfRule>
  </conditionalFormatting>
  <conditionalFormatting sqref="F36">
    <cfRule type="cellIs" dxfId="475" priority="176" operator="lessThan">
      <formula>0</formula>
    </cfRule>
  </conditionalFormatting>
  <conditionalFormatting sqref="F245:G245 F246 M246:AB246 U245:X245">
    <cfRule type="cellIs" dxfId="474" priority="175" operator="lessThan">
      <formula>0</formula>
    </cfRule>
  </conditionalFormatting>
  <conditionalFormatting sqref="H245">
    <cfRule type="cellIs" dxfId="473" priority="174" operator="lessThan">
      <formula>0</formula>
    </cfRule>
  </conditionalFormatting>
  <conditionalFormatting sqref="AO225:AO246">
    <cfRule type="cellIs" dxfId="472" priority="173" operator="lessThan">
      <formula>0</formula>
    </cfRule>
  </conditionalFormatting>
  <conditionalFormatting sqref="F164">
    <cfRule type="cellIs" dxfId="471" priority="172" operator="lessThan">
      <formula>0</formula>
    </cfRule>
  </conditionalFormatting>
  <conditionalFormatting sqref="BE5:BL5">
    <cfRule type="cellIs" dxfId="470" priority="171" operator="lessThan">
      <formula>0</formula>
    </cfRule>
  </conditionalFormatting>
  <conditionalFormatting sqref="BM5:BT5">
    <cfRule type="cellIs" dxfId="469" priority="170" operator="lessThan">
      <formula>0</formula>
    </cfRule>
  </conditionalFormatting>
  <conditionalFormatting sqref="BU5:BZ5">
    <cfRule type="cellIs" dxfId="468" priority="169" operator="lessThan">
      <formula>0</formula>
    </cfRule>
  </conditionalFormatting>
  <conditionalFormatting sqref="CF6:CF194 CF196:CF199 CF209:CF248">
    <cfRule type="cellIs" dxfId="467" priority="168" operator="greaterThan">
      <formula>0.005</formula>
    </cfRule>
  </conditionalFormatting>
  <conditionalFormatting sqref="CG6:CG194 CG196:CG199 CG209:CG248">
    <cfRule type="cellIs" dxfId="466" priority="165" operator="greaterThan">
      <formula>0.005</formula>
    </cfRule>
    <cfRule type="cellIs" dxfId="465" priority="166" operator="greaterThan">
      <formula>0.5</formula>
    </cfRule>
    <cfRule type="cellIs" dxfId="464" priority="167" operator="greaterThan">
      <formula>0.5</formula>
    </cfRule>
  </conditionalFormatting>
  <conditionalFormatting sqref="CP5:CU5">
    <cfRule type="cellIs" dxfId="463" priority="164" operator="lessThan">
      <formula>0</formula>
    </cfRule>
  </conditionalFormatting>
  <conditionalFormatting sqref="CP199:CU199">
    <cfRule type="cellIs" dxfId="462" priority="163" operator="lessThan">
      <formula>0</formula>
    </cfRule>
  </conditionalFormatting>
  <conditionalFormatting sqref="CP204:CU204">
    <cfRule type="cellIs" dxfId="461" priority="162" operator="lessThan">
      <formula>0</formula>
    </cfRule>
  </conditionalFormatting>
  <conditionalFormatting sqref="AK249:AR249">
    <cfRule type="cellIs" dxfId="460" priority="161" operator="lessThan">
      <formula>0</formula>
    </cfRule>
  </conditionalFormatting>
  <conditionalFormatting sqref="BE249:BL249">
    <cfRule type="cellIs" dxfId="459" priority="160" operator="lessThan">
      <formula>0</formula>
    </cfRule>
  </conditionalFormatting>
  <conditionalFormatting sqref="BM249">
    <cfRule type="cellIs" dxfId="458" priority="159" operator="lessThan">
      <formula>0</formula>
    </cfRule>
  </conditionalFormatting>
  <conditionalFormatting sqref="BN249:BO249">
    <cfRule type="cellIs" dxfId="457" priority="158" operator="lessThan">
      <formula>0</formula>
    </cfRule>
  </conditionalFormatting>
  <conditionalFormatting sqref="BP249">
    <cfRule type="cellIs" dxfId="456" priority="157" operator="lessThan">
      <formula>0</formula>
    </cfRule>
  </conditionalFormatting>
  <conditionalFormatting sqref="BQ249">
    <cfRule type="cellIs" dxfId="455" priority="156" operator="lessThan">
      <formula>0</formula>
    </cfRule>
  </conditionalFormatting>
  <conditionalFormatting sqref="BR249:BS249">
    <cfRule type="cellIs" dxfId="454" priority="155" operator="lessThan">
      <formula>0</formula>
    </cfRule>
  </conditionalFormatting>
  <conditionalFormatting sqref="BT249">
    <cfRule type="cellIs" dxfId="453" priority="154" operator="lessThan">
      <formula>0</formula>
    </cfRule>
  </conditionalFormatting>
  <conditionalFormatting sqref="BU249:BZ249">
    <cfRule type="cellIs" dxfId="452" priority="153" operator="lessThan">
      <formula>0</formula>
    </cfRule>
  </conditionalFormatting>
  <conditionalFormatting sqref="CP249:CU249">
    <cfRule type="cellIs" dxfId="451" priority="152" operator="lessThan">
      <formula>0</formula>
    </cfRule>
  </conditionalFormatting>
  <conditionalFormatting sqref="AG225:AJ246">
    <cfRule type="cellIs" dxfId="450" priority="151" operator="lessThan">
      <formula>0</formula>
    </cfRule>
  </conditionalFormatting>
  <conditionalFormatting sqref="CF250:CF464">
    <cfRule type="cellIs" dxfId="449" priority="150" operator="greaterThan">
      <formula>0.005</formula>
    </cfRule>
  </conditionalFormatting>
  <conditionalFormatting sqref="CG250:CG464">
    <cfRule type="cellIs" dxfId="448" priority="147" operator="greaterThan">
      <formula>0.005</formula>
    </cfRule>
    <cfRule type="cellIs" dxfId="447" priority="148" operator="greaterThan">
      <formula>0.5</formula>
    </cfRule>
    <cfRule type="cellIs" dxfId="446" priority="149" operator="greaterThan">
      <formula>0.5</formula>
    </cfRule>
  </conditionalFormatting>
  <conditionalFormatting sqref="AK205:AR207">
    <cfRule type="cellIs" dxfId="445" priority="146" operator="lessThan">
      <formula>0</formula>
    </cfRule>
  </conditionalFormatting>
  <conditionalFormatting sqref="AK195 AO195">
    <cfRule type="cellIs" dxfId="444" priority="145" operator="lessThan">
      <formula>0</formula>
    </cfRule>
  </conditionalFormatting>
  <conditionalFormatting sqref="CF195">
    <cfRule type="cellIs" dxfId="443" priority="144" operator="greaterThan">
      <formula>0.005</formula>
    </cfRule>
  </conditionalFormatting>
  <conditionalFormatting sqref="CG195">
    <cfRule type="cellIs" dxfId="442" priority="141" operator="greaterThan">
      <formula>0.005</formula>
    </cfRule>
    <cfRule type="cellIs" dxfId="441" priority="142" operator="greaterThan">
      <formula>0.5</formula>
    </cfRule>
    <cfRule type="cellIs" dxfId="440" priority="143" operator="greaterThan">
      <formula>0.5</formula>
    </cfRule>
  </conditionalFormatting>
  <conditionalFormatting sqref="AC225:AF246">
    <cfRule type="cellIs" dxfId="439" priority="140" operator="lessThan">
      <formula>0</formula>
    </cfRule>
  </conditionalFormatting>
  <conditionalFormatting sqref="AL99:AM134">
    <cfRule type="cellIs" dxfId="438" priority="139" operator="lessThan">
      <formula>0</formula>
    </cfRule>
  </conditionalFormatting>
  <conditionalFormatting sqref="AL136:AM198">
    <cfRule type="cellIs" dxfId="437" priority="138" operator="lessThan">
      <formula>0</formula>
    </cfRule>
  </conditionalFormatting>
  <conditionalFormatting sqref="BA3:BD3">
    <cfRule type="cellIs" dxfId="436" priority="123" operator="lessThan">
      <formula>0</formula>
    </cfRule>
  </conditionalFormatting>
  <conditionalFormatting sqref="AP82:AQ92">
    <cfRule type="cellIs" dxfId="435" priority="137" operator="lessThan">
      <formula>0</formula>
    </cfRule>
  </conditionalFormatting>
  <conditionalFormatting sqref="AP99:AQ134">
    <cfRule type="cellIs" dxfId="434" priority="136" operator="lessThan">
      <formula>0</formula>
    </cfRule>
  </conditionalFormatting>
  <conditionalFormatting sqref="AP136:AQ198">
    <cfRule type="cellIs" dxfId="433" priority="135" operator="lessThan">
      <formula>0</formula>
    </cfRule>
  </conditionalFormatting>
  <conditionalFormatting sqref="AP225:AQ246">
    <cfRule type="cellIs" dxfId="432" priority="134" operator="lessThan">
      <formula>0</formula>
    </cfRule>
  </conditionalFormatting>
  <conditionalFormatting sqref="M3:P3">
    <cfRule type="cellIs" dxfId="431" priority="133" operator="lessThan">
      <formula>0</formula>
    </cfRule>
  </conditionalFormatting>
  <conditionalFormatting sqref="Q3:T3">
    <cfRule type="cellIs" dxfId="430" priority="132" operator="lessThan">
      <formula>0</formula>
    </cfRule>
  </conditionalFormatting>
  <conditionalFormatting sqref="U3:X3">
    <cfRule type="cellIs" dxfId="429" priority="131" operator="lessThan">
      <formula>0</formula>
    </cfRule>
  </conditionalFormatting>
  <conditionalFormatting sqref="Y3:AB3">
    <cfRule type="cellIs" dxfId="428" priority="130" operator="lessThan">
      <formula>0</formula>
    </cfRule>
  </conditionalFormatting>
  <conditionalFormatting sqref="AC3:AF3">
    <cfRule type="cellIs" dxfId="427" priority="129" operator="lessThan">
      <formula>0</formula>
    </cfRule>
  </conditionalFormatting>
  <conditionalFormatting sqref="AG3:AJ3">
    <cfRule type="cellIs" dxfId="426" priority="128" operator="lessThan">
      <formula>0</formula>
    </cfRule>
  </conditionalFormatting>
  <conditionalFormatting sqref="AK3:AN3">
    <cfRule type="cellIs" dxfId="425" priority="127" operator="lessThan">
      <formula>0</formula>
    </cfRule>
  </conditionalFormatting>
  <conditionalFormatting sqref="AO3:AR3">
    <cfRule type="cellIs" dxfId="424" priority="126" operator="lessThan">
      <formula>0</formula>
    </cfRule>
  </conditionalFormatting>
  <conditionalFormatting sqref="AS3:AV3">
    <cfRule type="cellIs" dxfId="423" priority="125" operator="lessThan">
      <formula>0</formula>
    </cfRule>
  </conditionalFormatting>
  <conditionalFormatting sqref="AW3:AZ3">
    <cfRule type="cellIs" dxfId="422" priority="124" operator="lessThan">
      <formula>0</formula>
    </cfRule>
  </conditionalFormatting>
  <conditionalFormatting sqref="BE3:BH3">
    <cfRule type="cellIs" dxfId="421" priority="122" operator="lessThan">
      <formula>0</formula>
    </cfRule>
  </conditionalFormatting>
  <conditionalFormatting sqref="BI3:BL3">
    <cfRule type="cellIs" dxfId="420" priority="121" operator="lessThan">
      <formula>0</formula>
    </cfRule>
  </conditionalFormatting>
  <conditionalFormatting sqref="BM3:BP3">
    <cfRule type="cellIs" dxfId="419" priority="120" operator="lessThan">
      <formula>0</formula>
    </cfRule>
  </conditionalFormatting>
  <conditionalFormatting sqref="BQ3:BT3">
    <cfRule type="cellIs" dxfId="418" priority="119" operator="lessThan">
      <formula>0</formula>
    </cfRule>
  </conditionalFormatting>
  <conditionalFormatting sqref="AK381:AK390 AK392:AK464">
    <cfRule type="cellIs" dxfId="417" priority="111" operator="lessThan">
      <formula>0</formula>
    </cfRule>
  </conditionalFormatting>
  <conditionalFormatting sqref="AL381:AM390 AL392:AM464">
    <cfRule type="cellIs" dxfId="416" priority="110" operator="lessThan">
      <formula>0</formula>
    </cfRule>
  </conditionalFormatting>
  <conditionalFormatting sqref="AN225:AN246">
    <cfRule type="cellIs" dxfId="415" priority="118" operator="lessThan">
      <formula>0</formula>
    </cfRule>
  </conditionalFormatting>
  <conditionalFormatting sqref="AK225:AK246">
    <cfRule type="cellIs" dxfId="414" priority="117" operator="lessThan">
      <formula>0</formula>
    </cfRule>
  </conditionalFormatting>
  <conditionalFormatting sqref="AL225:AM246">
    <cfRule type="cellIs" dxfId="413" priority="116" operator="lessThan">
      <formula>0</formula>
    </cfRule>
  </conditionalFormatting>
  <conditionalFormatting sqref="AR225:AR246">
    <cfRule type="cellIs" dxfId="412" priority="109" operator="lessThan">
      <formula>0</formula>
    </cfRule>
  </conditionalFormatting>
  <conditionalFormatting sqref="AO250:AO390 AR250:AR390 AR392:AR464 AO392:AO464">
    <cfRule type="cellIs" dxfId="411" priority="108" operator="lessThan">
      <formula>0</formula>
    </cfRule>
  </conditionalFormatting>
  <conditionalFormatting sqref="AP250:AQ390 AP392:AQ464">
    <cfRule type="cellIs" dxfId="410" priority="107" operator="lessThan">
      <formula>0</formula>
    </cfRule>
  </conditionalFormatting>
  <conditionalFormatting sqref="AN250:AN380">
    <cfRule type="cellIs" dxfId="409" priority="115" operator="lessThan">
      <formula>0</formula>
    </cfRule>
  </conditionalFormatting>
  <conditionalFormatting sqref="AK250:AK360 AK362:AK380">
    <cfRule type="cellIs" dxfId="408" priority="114" operator="lessThan">
      <formula>0</formula>
    </cfRule>
  </conditionalFormatting>
  <conditionalFormatting sqref="AL250:AM380 AK361">
    <cfRule type="cellIs" dxfId="407" priority="113" operator="lessThan">
      <formula>0</formula>
    </cfRule>
  </conditionalFormatting>
  <conditionalFormatting sqref="AN381:AN390 AN392:AN464">
    <cfRule type="cellIs" dxfId="406" priority="112" operator="lessThan">
      <formula>0</formula>
    </cfRule>
  </conditionalFormatting>
  <conditionalFormatting sqref="G228">
    <cfRule type="cellIs" dxfId="405" priority="106" operator="lessThan">
      <formula>0</formula>
    </cfRule>
  </conditionalFormatting>
  <conditionalFormatting sqref="H228">
    <cfRule type="cellIs" dxfId="404" priority="105" operator="lessThan">
      <formula>0</formula>
    </cfRule>
  </conditionalFormatting>
  <conditionalFormatting sqref="G230:G244">
    <cfRule type="cellIs" dxfId="403" priority="104" operator="lessThan">
      <formula>0</formula>
    </cfRule>
  </conditionalFormatting>
  <conditionalFormatting sqref="H230:H244">
    <cfRule type="cellIs" dxfId="402" priority="103" operator="lessThan">
      <formula>0</formula>
    </cfRule>
  </conditionalFormatting>
  <conditionalFormatting sqref="B466:M466">
    <cfRule type="cellIs" dxfId="401" priority="102" operator="lessThan">
      <formula>0</formula>
    </cfRule>
  </conditionalFormatting>
  <conditionalFormatting sqref="N466:S466">
    <cfRule type="cellIs" dxfId="400" priority="101" operator="lessThan">
      <formula>0</formula>
    </cfRule>
  </conditionalFormatting>
  <conditionalFormatting sqref="T466:AE466">
    <cfRule type="cellIs" dxfId="399" priority="100" operator="lessThan">
      <formula>0</formula>
    </cfRule>
  </conditionalFormatting>
  <conditionalFormatting sqref="AF466:AJ466">
    <cfRule type="cellIs" dxfId="398" priority="99" operator="lessThan">
      <formula>0</formula>
    </cfRule>
  </conditionalFormatting>
  <conditionalFormatting sqref="F682:AR682">
    <cfRule type="cellIs" dxfId="397" priority="98" operator="lessThan">
      <formula>0</formula>
    </cfRule>
  </conditionalFormatting>
  <conditionalFormatting sqref="BE466:BL466">
    <cfRule type="cellIs" dxfId="396" priority="82" operator="lessThan">
      <formula>0</formula>
    </cfRule>
  </conditionalFormatting>
  <conditionalFormatting sqref="CF467:CF681">
    <cfRule type="cellIs" dxfId="395" priority="97" operator="greaterThan">
      <formula>0.005</formula>
    </cfRule>
  </conditionalFormatting>
  <conditionalFormatting sqref="CG467:CG681">
    <cfRule type="cellIs" dxfId="394" priority="94" operator="greaterThan">
      <formula>0.005</formula>
    </cfRule>
    <cfRule type="cellIs" dxfId="393" priority="95" operator="greaterThan">
      <formula>0.5</formula>
    </cfRule>
    <cfRule type="cellIs" dxfId="392" priority="96" operator="greaterThan">
      <formula>0.5</formula>
    </cfRule>
  </conditionalFormatting>
  <conditionalFormatting sqref="AK598:AK681">
    <cfRule type="cellIs" dxfId="391" priority="87" operator="lessThan">
      <formula>0</formula>
    </cfRule>
  </conditionalFormatting>
  <conditionalFormatting sqref="AL598:AM681">
    <cfRule type="cellIs" dxfId="390" priority="86" operator="lessThan">
      <formula>0</formula>
    </cfRule>
  </conditionalFormatting>
  <conditionalFormatting sqref="AO467:AO681 AR467:AR681">
    <cfRule type="cellIs" dxfId="389" priority="85" operator="lessThan">
      <formula>0</formula>
    </cfRule>
  </conditionalFormatting>
  <conditionalFormatting sqref="AP467:AQ681">
    <cfRule type="cellIs" dxfId="388" priority="84" operator="lessThan">
      <formula>0</formula>
    </cfRule>
  </conditionalFormatting>
  <conditionalFormatting sqref="AN467:AN595">
    <cfRule type="cellIs" dxfId="387" priority="91" operator="lessThan">
      <formula>0</formula>
    </cfRule>
  </conditionalFormatting>
  <conditionalFormatting sqref="AK467:AK595">
    <cfRule type="cellIs" dxfId="386" priority="90" operator="lessThan">
      <formula>0</formula>
    </cfRule>
  </conditionalFormatting>
  <conditionalFormatting sqref="AL467:AM595">
    <cfRule type="cellIs" dxfId="385" priority="89" operator="lessThan">
      <formula>0</formula>
    </cfRule>
  </conditionalFormatting>
  <conditionalFormatting sqref="AN598:AN681">
    <cfRule type="cellIs" dxfId="384" priority="88" operator="lessThan">
      <formula>0</formula>
    </cfRule>
  </conditionalFormatting>
  <conditionalFormatting sqref="AG665:AR681 I661:AF681 I656:AF656 I658:AF658 I659:AJ660 I657:AJ657 AG661:AJ664 I467:AJ655">
    <cfRule type="cellIs" dxfId="383" priority="93" operator="lessThan">
      <formula>0</formula>
    </cfRule>
  </conditionalFormatting>
  <conditionalFormatting sqref="AK596:AN597">
    <cfRule type="cellIs" dxfId="382" priority="92" operator="lessThan">
      <formula>0</formula>
    </cfRule>
  </conditionalFormatting>
  <conditionalFormatting sqref="AG658:AJ658">
    <cfRule type="cellIs" dxfId="381" priority="65" operator="lessThan">
      <formula>0</formula>
    </cfRule>
  </conditionalFormatting>
  <conditionalFormatting sqref="BT466">
    <cfRule type="cellIs" dxfId="380" priority="76" operator="lessThan">
      <formula>0</formula>
    </cfRule>
  </conditionalFormatting>
  <conditionalFormatting sqref="BU466:BZ466">
    <cfRule type="cellIs" dxfId="379" priority="75" operator="lessThan">
      <formula>0</formula>
    </cfRule>
  </conditionalFormatting>
  <conditionalFormatting sqref="CP466:CU466">
    <cfRule type="cellIs" dxfId="378" priority="74" operator="lessThan">
      <formula>0</formula>
    </cfRule>
  </conditionalFormatting>
  <conditionalFormatting sqref="AK466:AR466">
    <cfRule type="cellIs" dxfId="377" priority="83" operator="lessThan">
      <formula>0</formula>
    </cfRule>
  </conditionalFormatting>
  <conditionalFormatting sqref="BM466">
    <cfRule type="cellIs" dxfId="376" priority="81" operator="lessThan">
      <formula>0</formula>
    </cfRule>
  </conditionalFormatting>
  <conditionalFormatting sqref="BN466:BO466">
    <cfRule type="cellIs" dxfId="375" priority="80" operator="lessThan">
      <formula>0</formula>
    </cfRule>
  </conditionalFormatting>
  <conditionalFormatting sqref="BP466">
    <cfRule type="cellIs" dxfId="374" priority="79" operator="lessThan">
      <formula>0</formula>
    </cfRule>
  </conditionalFormatting>
  <conditionalFormatting sqref="BQ466">
    <cfRule type="cellIs" dxfId="373" priority="78" operator="lessThan">
      <formula>0</formula>
    </cfRule>
  </conditionalFormatting>
  <conditionalFormatting sqref="BR466:BS466">
    <cfRule type="cellIs" dxfId="372" priority="77" operator="lessThan">
      <formula>0</formula>
    </cfRule>
  </conditionalFormatting>
  <conditionalFormatting sqref="AH25:AJ25">
    <cfRule type="cellIs" dxfId="371" priority="72" operator="lessThan">
      <formula>0</formula>
    </cfRule>
  </conditionalFormatting>
  <conditionalFormatting sqref="AH32:AJ39">
    <cfRule type="cellIs" dxfId="370" priority="71" operator="lessThan">
      <formula>0</formula>
    </cfRule>
  </conditionalFormatting>
  <conditionalFormatting sqref="AG137:AJ137">
    <cfRule type="cellIs" dxfId="369" priority="70" operator="lessThan">
      <formula>0</formula>
    </cfRule>
  </conditionalFormatting>
  <conditionalFormatting sqref="F156:G156">
    <cfRule type="cellIs" dxfId="368" priority="69" operator="lessThan">
      <formula>0</formula>
    </cfRule>
  </conditionalFormatting>
  <conditionalFormatting sqref="H156">
    <cfRule type="cellIs" dxfId="367" priority="68" operator="lessThan">
      <formula>0</formula>
    </cfRule>
  </conditionalFormatting>
  <conditionalFormatting sqref="AH170:AJ170">
    <cfRule type="cellIs" dxfId="366" priority="67" operator="lessThan">
      <formula>0</formula>
    </cfRule>
  </conditionalFormatting>
  <conditionalFormatting sqref="AG656:AJ656">
    <cfRule type="cellIs" dxfId="365" priority="66" operator="lessThan">
      <formula>0</formula>
    </cfRule>
  </conditionalFormatting>
  <conditionalFormatting sqref="AH24:AJ24">
    <cfRule type="cellIs" dxfId="364" priority="73" operator="lessThan">
      <formula>0</formula>
    </cfRule>
  </conditionalFormatting>
  <conditionalFormatting sqref="I207:AB207 AD207:AF207">
    <cfRule type="cellIs" dxfId="363" priority="63" operator="lessThan">
      <formula>0</formula>
    </cfRule>
  </conditionalFormatting>
  <conditionalFormatting sqref="I206:AF206">
    <cfRule type="cellIs" dxfId="362" priority="64" operator="lessThan">
      <formula>0</formula>
    </cfRule>
  </conditionalFormatting>
  <conditionalFormatting sqref="I684:AR684">
    <cfRule type="cellIs" dxfId="361" priority="62" operator="lessThan">
      <formula>0</formula>
    </cfRule>
  </conditionalFormatting>
  <conditionalFormatting sqref="CF684">
    <cfRule type="cellIs" dxfId="360" priority="61" operator="greaterThan">
      <formula>0.005</formula>
    </cfRule>
  </conditionalFormatting>
  <conditionalFormatting sqref="CG684">
    <cfRule type="cellIs" dxfId="359" priority="58" operator="greaterThan">
      <formula>0.005</formula>
    </cfRule>
    <cfRule type="cellIs" dxfId="358" priority="59" operator="greaterThan">
      <formula>0.5</formula>
    </cfRule>
    <cfRule type="cellIs" dxfId="357" priority="60" operator="greaterThan">
      <formula>0.5</formula>
    </cfRule>
  </conditionalFormatting>
  <conditionalFormatting sqref="B683:M683">
    <cfRule type="cellIs" dxfId="356" priority="57" operator="lessThan">
      <formula>0</formula>
    </cfRule>
  </conditionalFormatting>
  <conditionalFormatting sqref="N683:S683">
    <cfRule type="cellIs" dxfId="355" priority="56" operator="lessThan">
      <formula>0</formula>
    </cfRule>
  </conditionalFormatting>
  <conditionalFormatting sqref="T683:AE683">
    <cfRule type="cellIs" dxfId="354" priority="55" operator="lessThan">
      <formula>0</formula>
    </cfRule>
  </conditionalFormatting>
  <conditionalFormatting sqref="AF683:AJ683">
    <cfRule type="cellIs" dxfId="353" priority="54" operator="lessThan">
      <formula>0</formula>
    </cfRule>
  </conditionalFormatting>
  <conditionalFormatting sqref="BE683:BL683">
    <cfRule type="cellIs" dxfId="352" priority="52" operator="lessThan">
      <formula>0</formula>
    </cfRule>
  </conditionalFormatting>
  <conditionalFormatting sqref="BU683:BZ683">
    <cfRule type="cellIs" dxfId="351" priority="49" operator="lessThan">
      <formula>0</formula>
    </cfRule>
  </conditionalFormatting>
  <conditionalFormatting sqref="CP683:CU683">
    <cfRule type="cellIs" dxfId="350" priority="48" operator="lessThan">
      <formula>0</formula>
    </cfRule>
  </conditionalFormatting>
  <conditionalFormatting sqref="AK683:AR683">
    <cfRule type="cellIs" dxfId="349" priority="53" operator="lessThan">
      <formula>0</formula>
    </cfRule>
  </conditionalFormatting>
  <conditionalFormatting sqref="BM683:BP683">
    <cfRule type="cellIs" dxfId="348" priority="51" operator="lessThan">
      <formula>0</formula>
    </cfRule>
  </conditionalFormatting>
  <conditionalFormatting sqref="BQ683:BT683">
    <cfRule type="cellIs" dxfId="347" priority="50" operator="lessThan">
      <formula>0</formula>
    </cfRule>
  </conditionalFormatting>
  <conditionalFormatting sqref="AH175:AJ182">
    <cfRule type="cellIs" dxfId="346" priority="47" operator="lessThan">
      <formula>0</formula>
    </cfRule>
  </conditionalFormatting>
  <conditionalFormatting sqref="G229">
    <cfRule type="cellIs" dxfId="345" priority="46" operator="lessThan">
      <formula>0</formula>
    </cfRule>
  </conditionalFormatting>
  <conditionalFormatting sqref="H229">
    <cfRule type="cellIs" dxfId="344" priority="45" operator="lessThan">
      <formula>0</formula>
    </cfRule>
  </conditionalFormatting>
  <conditionalFormatting sqref="CF200:CF208">
    <cfRule type="cellIs" dxfId="343" priority="44" operator="greaterThan">
      <formula>0.005</formula>
    </cfRule>
  </conditionalFormatting>
  <conditionalFormatting sqref="CG200:CG208">
    <cfRule type="cellIs" dxfId="342" priority="41" operator="greaterThan">
      <formula>0.005</formula>
    </cfRule>
    <cfRule type="cellIs" dxfId="341" priority="42" operator="greaterThan">
      <formula>0.5</formula>
    </cfRule>
    <cfRule type="cellIs" dxfId="340" priority="43" operator="greaterThan">
      <formula>0.5</formula>
    </cfRule>
  </conditionalFormatting>
  <conditionalFormatting sqref="CX3:DA3">
    <cfRule type="cellIs" dxfId="339" priority="40" operator="lessThan">
      <formula>0</formula>
    </cfRule>
  </conditionalFormatting>
  <conditionalFormatting sqref="DB3:DE3">
    <cfRule type="cellIs" dxfId="338" priority="39" operator="lessThan">
      <formula>0</formula>
    </cfRule>
  </conditionalFormatting>
  <conditionalFormatting sqref="DF3:DI3">
    <cfRule type="cellIs" dxfId="337" priority="38" operator="lessThan">
      <formula>0</formula>
    </cfRule>
  </conditionalFormatting>
  <conditionalFormatting sqref="DJ3:DM3">
    <cfRule type="cellIs" dxfId="336" priority="37" operator="lessThan">
      <formula>0</formula>
    </cfRule>
  </conditionalFormatting>
  <conditionalFormatting sqref="I391:AJ391">
    <cfRule type="cellIs" dxfId="335" priority="36" operator="lessThan">
      <formula>0</formula>
    </cfRule>
  </conditionalFormatting>
  <conditionalFormatting sqref="AK391">
    <cfRule type="cellIs" dxfId="334" priority="34" operator="lessThan">
      <formula>0</formula>
    </cfRule>
  </conditionalFormatting>
  <conditionalFormatting sqref="AL391:AM391">
    <cfRule type="cellIs" dxfId="333" priority="33" operator="lessThan">
      <formula>0</formula>
    </cfRule>
  </conditionalFormatting>
  <conditionalFormatting sqref="AO391 AR391">
    <cfRule type="cellIs" dxfId="332" priority="32" operator="lessThan">
      <formula>0</formula>
    </cfRule>
  </conditionalFormatting>
  <conditionalFormatting sqref="AP391:AQ391">
    <cfRule type="cellIs" dxfId="331" priority="31" operator="lessThan">
      <formula>0</formula>
    </cfRule>
  </conditionalFormatting>
  <conditionalFormatting sqref="AN391">
    <cfRule type="cellIs" dxfId="330" priority="35" operator="lessThan">
      <formula>0</formula>
    </cfRule>
  </conditionalFormatting>
  <conditionalFormatting sqref="DR2:DR3">
    <cfRule type="cellIs" dxfId="329" priority="30" operator="lessThan">
      <formula>0</formula>
    </cfRule>
  </conditionalFormatting>
  <conditionalFormatting sqref="DR6:DR19 DR199 DR217:DR224 DR96:DR155 DR24:DR35 DR79:DR94 DR37:DR75 DR165:DR182 DR465 DR247:DR249 DR209:DR215 DR157:DR163 DR204">
    <cfRule type="cellIs" dxfId="328" priority="29" operator="lessThan">
      <formula>0</formula>
    </cfRule>
  </conditionalFormatting>
  <conditionalFormatting sqref="DR183:DR198">
    <cfRule type="cellIs" dxfId="327" priority="28" operator="lessThan">
      <formula>0</formula>
    </cfRule>
  </conditionalFormatting>
  <conditionalFormatting sqref="DR95">
    <cfRule type="cellIs" dxfId="326" priority="27" operator="lessThan">
      <formula>0</formula>
    </cfRule>
  </conditionalFormatting>
  <conditionalFormatting sqref="DR216">
    <cfRule type="cellIs" dxfId="325" priority="26" operator="lessThan">
      <formula>0</formula>
    </cfRule>
  </conditionalFormatting>
  <conditionalFormatting sqref="DR225">
    <cfRule type="cellIs" dxfId="324" priority="25" operator="lessThan">
      <formula>0</formula>
    </cfRule>
  </conditionalFormatting>
  <conditionalFormatting sqref="DR226">
    <cfRule type="cellIs" dxfId="323" priority="24" operator="lessThan">
      <formula>0</formula>
    </cfRule>
  </conditionalFormatting>
  <conditionalFormatting sqref="DR227:DR244">
    <cfRule type="cellIs" dxfId="322" priority="23" operator="lessThan">
      <formula>0</formula>
    </cfRule>
  </conditionalFormatting>
  <conditionalFormatting sqref="DR76">
    <cfRule type="cellIs" dxfId="321" priority="22" operator="lessThan">
      <formula>0</formula>
    </cfRule>
  </conditionalFormatting>
  <conditionalFormatting sqref="DR77">
    <cfRule type="cellIs" dxfId="320" priority="21" operator="lessThan">
      <formula>0</formula>
    </cfRule>
  </conditionalFormatting>
  <conditionalFormatting sqref="DR78">
    <cfRule type="cellIs" dxfId="319" priority="20" operator="lessThan">
      <formula>0</formula>
    </cfRule>
  </conditionalFormatting>
  <conditionalFormatting sqref="DR36">
    <cfRule type="cellIs" dxfId="318" priority="19" operator="lessThan">
      <formula>0</formula>
    </cfRule>
  </conditionalFormatting>
  <conditionalFormatting sqref="DR245:DR246">
    <cfRule type="cellIs" dxfId="317" priority="18" operator="lessThan">
      <formula>0</formula>
    </cfRule>
  </conditionalFormatting>
  <conditionalFormatting sqref="DR164">
    <cfRule type="cellIs" dxfId="316" priority="17" operator="lessThan">
      <formula>0</formula>
    </cfRule>
  </conditionalFormatting>
  <conditionalFormatting sqref="DO466:DR466">
    <cfRule type="cellIs" dxfId="315" priority="16" operator="lessThan">
      <formula>0</formula>
    </cfRule>
  </conditionalFormatting>
  <conditionalFormatting sqref="DR682">
    <cfRule type="cellIs" dxfId="314" priority="15" operator="lessThan">
      <formula>0</formula>
    </cfRule>
  </conditionalFormatting>
  <conditionalFormatting sqref="DR156">
    <cfRule type="cellIs" dxfId="313" priority="14" operator="lessThan">
      <formula>0</formula>
    </cfRule>
  </conditionalFormatting>
  <conditionalFormatting sqref="DO683:DR683">
    <cfRule type="cellIs" dxfId="312" priority="13" operator="lessThan">
      <formula>0</formula>
    </cfRule>
  </conditionalFormatting>
  <conditionalFormatting sqref="DR20">
    <cfRule type="cellIs" dxfId="311" priority="12" operator="lessThan">
      <formula>0</formula>
    </cfRule>
  </conditionalFormatting>
  <conditionalFormatting sqref="DR21">
    <cfRule type="cellIs" dxfId="310" priority="11" operator="lessThan">
      <formula>0</formula>
    </cfRule>
  </conditionalFormatting>
  <conditionalFormatting sqref="DR22">
    <cfRule type="cellIs" dxfId="309" priority="10" operator="lessThan">
      <formula>0</formula>
    </cfRule>
  </conditionalFormatting>
  <conditionalFormatting sqref="DR23">
    <cfRule type="cellIs" dxfId="308" priority="9" operator="lessThan">
      <formula>0</formula>
    </cfRule>
  </conditionalFormatting>
  <conditionalFormatting sqref="EA3:ED3">
    <cfRule type="cellIs" dxfId="307" priority="6" operator="lessThan">
      <formula>0</formula>
    </cfRule>
  </conditionalFormatting>
  <conditionalFormatting sqref="DS3:DV3">
    <cfRule type="cellIs" dxfId="306" priority="8" operator="lessThan">
      <formula>0</formula>
    </cfRule>
  </conditionalFormatting>
  <conditionalFormatting sqref="DW3:DZ3">
    <cfRule type="cellIs" dxfId="305" priority="7" operator="lessThan">
      <formula>0</formula>
    </cfRule>
  </conditionalFormatting>
  <conditionalFormatting sqref="DS199:ED199 DS204:ED204">
    <cfRule type="cellIs" dxfId="304" priority="5" operator="lessThan">
      <formula>0</formula>
    </cfRule>
  </conditionalFormatting>
  <conditionalFormatting sqref="EU1 EU3:EU1048576">
    <cfRule type="cellIs" dxfId="303" priority="4" operator="notEqual">
      <formula>0</formula>
    </cfRule>
  </conditionalFormatting>
  <conditionalFormatting sqref="EV1 EV3:EV1048576">
    <cfRule type="cellIs" dxfId="302" priority="3" operator="notEqual">
      <formula>0</formula>
    </cfRule>
  </conditionalFormatting>
  <conditionalFormatting sqref="EU2">
    <cfRule type="cellIs" dxfId="301" priority="2" operator="notEqual">
      <formula>0</formula>
    </cfRule>
  </conditionalFormatting>
  <conditionalFormatting sqref="EV2">
    <cfRule type="cellIs" dxfId="300" priority="1" operator="notEqual">
      <formula>0</formula>
    </cfRule>
  </conditionalFormatting>
  <pageMargins left="0.7" right="0.7" top="0.75" bottom="0.75" header="0.3" footer="0.3"/>
  <pageSetup scale="12" fitToWidth="2" fitToHeight="2" orientation="landscape" r:id="rId1"/>
  <headerFooter>
    <oddHeader>&amp;CMeasure Level Details&amp;R&amp;P</oddHead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720C-59EA-4576-B1E9-906B9D74FB7B}">
  <sheetPr>
    <tabColor rgb="FF00B0F0"/>
  </sheetPr>
  <dimension ref="A1:H15"/>
  <sheetViews>
    <sheetView workbookViewId="0"/>
  </sheetViews>
  <sheetFormatPr defaultRowHeight="14.5" x14ac:dyDescent="0.35"/>
  <cols>
    <col min="1" max="1" width="9.1796875" style="600"/>
    <col min="2" max="2" width="32.54296875" bestFit="1" customWidth="1"/>
    <col min="3" max="3" width="18.81640625" customWidth="1"/>
    <col min="4" max="4" width="40.1796875" customWidth="1"/>
    <col min="5" max="5" width="12.1796875" customWidth="1"/>
    <col min="6" max="6" width="14.54296875" customWidth="1"/>
    <col min="7" max="7" width="24" customWidth="1"/>
    <col min="8" max="8" width="29.1796875" customWidth="1"/>
  </cols>
  <sheetData>
    <row r="1" spans="2:8" s="600" customFormat="1" x14ac:dyDescent="0.35"/>
    <row r="2" spans="2:8" x14ac:dyDescent="0.35">
      <c r="B2" s="279" t="s">
        <v>4370</v>
      </c>
      <c r="C2" s="279" t="s">
        <v>4371</v>
      </c>
      <c r="D2" s="279" t="s">
        <v>4372</v>
      </c>
      <c r="E2" s="279" t="s">
        <v>735</v>
      </c>
      <c r="F2" s="279" t="s">
        <v>4373</v>
      </c>
      <c r="G2" s="279" t="s">
        <v>4374</v>
      </c>
      <c r="H2" s="279" t="s">
        <v>1693</v>
      </c>
    </row>
    <row r="3" spans="2:8" x14ac:dyDescent="0.35">
      <c r="B3" s="2818" t="s">
        <v>790</v>
      </c>
      <c r="C3" s="2819">
        <v>125000</v>
      </c>
      <c r="D3" s="2820" t="s">
        <v>4375</v>
      </c>
      <c r="E3" s="2820" t="s">
        <v>4376</v>
      </c>
      <c r="F3" s="2820" t="s">
        <v>3187</v>
      </c>
      <c r="G3" s="2820" t="s">
        <v>142</v>
      </c>
      <c r="H3" s="2820" t="s">
        <v>4007</v>
      </c>
    </row>
    <row r="4" spans="2:8" x14ac:dyDescent="0.35">
      <c r="B4" s="2818" t="s">
        <v>4377</v>
      </c>
      <c r="C4" s="2819">
        <v>0.85</v>
      </c>
      <c r="D4" s="2820" t="s">
        <v>536</v>
      </c>
      <c r="E4" s="2820" t="s">
        <v>4376</v>
      </c>
      <c r="F4" s="2820" t="s">
        <v>3187</v>
      </c>
      <c r="G4" s="2820" t="s">
        <v>142</v>
      </c>
      <c r="H4" s="2820" t="s">
        <v>4007</v>
      </c>
    </row>
    <row r="5" spans="2:8" x14ac:dyDescent="0.35">
      <c r="B5" s="2818" t="s">
        <v>1365</v>
      </c>
      <c r="C5" s="2819">
        <v>1508</v>
      </c>
      <c r="D5" s="2820" t="s">
        <v>4378</v>
      </c>
      <c r="E5" s="2820" t="s">
        <v>4376</v>
      </c>
      <c r="F5" s="2820" t="s">
        <v>3187</v>
      </c>
      <c r="G5" s="2820" t="s">
        <v>142</v>
      </c>
      <c r="H5" s="2820" t="s">
        <v>4007</v>
      </c>
    </row>
    <row r="6" spans="2:8" x14ac:dyDescent="0.35">
      <c r="B6" s="2818">
        <v>100000</v>
      </c>
      <c r="C6" s="2819">
        <v>100000</v>
      </c>
      <c r="D6" s="2820"/>
      <c r="E6" s="2820" t="s">
        <v>4376</v>
      </c>
      <c r="F6" s="2820" t="s">
        <v>3187</v>
      </c>
      <c r="G6" s="2820" t="s">
        <v>142</v>
      </c>
      <c r="H6" s="2820" t="s">
        <v>4007</v>
      </c>
    </row>
    <row r="7" spans="2:8" x14ac:dyDescent="0.35">
      <c r="B7" s="2818" t="s">
        <v>4379</v>
      </c>
      <c r="C7" s="2819">
        <f xml:space="preserve"> C3/C4 * C5/C6</f>
        <v>2217.6470588235293</v>
      </c>
      <c r="D7" s="2820"/>
      <c r="E7" s="2820" t="s">
        <v>4376</v>
      </c>
      <c r="F7" s="2820" t="s">
        <v>3187</v>
      </c>
      <c r="G7" s="2820" t="s">
        <v>142</v>
      </c>
      <c r="H7" s="2820" t="s">
        <v>4007</v>
      </c>
    </row>
    <row r="8" spans="2:8" x14ac:dyDescent="0.35">
      <c r="B8" s="2818" t="s">
        <v>790</v>
      </c>
      <c r="C8" s="2819">
        <v>125000</v>
      </c>
      <c r="D8" s="2820" t="s">
        <v>4375</v>
      </c>
      <c r="E8" s="2820" t="s">
        <v>4376</v>
      </c>
      <c r="F8" s="2820" t="s">
        <v>3187</v>
      </c>
      <c r="G8" s="2820" t="s">
        <v>142</v>
      </c>
      <c r="H8" s="2820" t="s">
        <v>4007</v>
      </c>
    </row>
    <row r="9" spans="2:8" x14ac:dyDescent="0.35">
      <c r="B9" s="2818" t="s">
        <v>1365</v>
      </c>
      <c r="C9" s="2819">
        <v>1508</v>
      </c>
      <c r="D9" s="2820" t="s">
        <v>4378</v>
      </c>
      <c r="E9" s="2820" t="s">
        <v>4376</v>
      </c>
      <c r="F9" s="2820" t="s">
        <v>3187</v>
      </c>
      <c r="G9" s="2820" t="s">
        <v>142</v>
      </c>
      <c r="H9" s="2820" t="s">
        <v>4007</v>
      </c>
    </row>
    <row r="10" spans="2:8" x14ac:dyDescent="0.35">
      <c r="B10" s="2818">
        <v>100000</v>
      </c>
      <c r="C10" s="2819">
        <v>100000</v>
      </c>
      <c r="D10" s="2820"/>
      <c r="E10" s="2820" t="s">
        <v>4376</v>
      </c>
      <c r="F10" s="2820" t="s">
        <v>3187</v>
      </c>
      <c r="G10" s="2820" t="s">
        <v>142</v>
      </c>
      <c r="H10" s="2820" t="s">
        <v>4007</v>
      </c>
    </row>
    <row r="11" spans="2:8" x14ac:dyDescent="0.35">
      <c r="B11" s="2818" t="s">
        <v>4380</v>
      </c>
      <c r="C11" s="2819">
        <f xml:space="preserve"> C8 * C9/C10</f>
        <v>1885</v>
      </c>
      <c r="D11" s="2820"/>
      <c r="E11" s="2820" t="s">
        <v>4376</v>
      </c>
      <c r="F11" s="2820" t="s">
        <v>3187</v>
      </c>
      <c r="G11" s="2820" t="s">
        <v>142</v>
      </c>
      <c r="H11" s="2820" t="s">
        <v>4007</v>
      </c>
    </row>
    <row r="12" spans="2:8" x14ac:dyDescent="0.35">
      <c r="B12" s="2821" t="s">
        <v>4381</v>
      </c>
      <c r="C12" s="2822">
        <v>0</v>
      </c>
      <c r="D12" s="2820"/>
      <c r="E12" s="2820" t="s">
        <v>4376</v>
      </c>
      <c r="F12" s="2820" t="s">
        <v>3187</v>
      </c>
      <c r="G12" s="2820" t="s">
        <v>142</v>
      </c>
      <c r="H12" s="2820" t="s">
        <v>4007</v>
      </c>
    </row>
    <row r="13" spans="2:8" x14ac:dyDescent="0.35">
      <c r="B13" s="2821" t="s">
        <v>4382</v>
      </c>
      <c r="C13" s="2822">
        <f>C7-C11</f>
        <v>332.64705882352928</v>
      </c>
      <c r="D13" s="2820"/>
      <c r="E13" s="2820" t="s">
        <v>4376</v>
      </c>
      <c r="F13" s="2820" t="s">
        <v>3187</v>
      </c>
      <c r="G13" s="2820" t="s">
        <v>142</v>
      </c>
      <c r="H13" s="2820" t="s">
        <v>4007</v>
      </c>
    </row>
    <row r="14" spans="2:8" x14ac:dyDescent="0.35">
      <c r="B14" s="2821" t="s">
        <v>593</v>
      </c>
      <c r="C14" s="2822">
        <v>0</v>
      </c>
      <c r="D14" s="2820"/>
      <c r="E14" s="2820" t="s">
        <v>4376</v>
      </c>
      <c r="F14" s="2820" t="s">
        <v>3187</v>
      </c>
      <c r="G14" s="2820" t="s">
        <v>142</v>
      </c>
      <c r="H14" s="2820" t="s">
        <v>4007</v>
      </c>
    </row>
    <row r="15" spans="2:8" x14ac:dyDescent="0.35">
      <c r="B15" s="2821" t="s">
        <v>381</v>
      </c>
      <c r="C15" s="2822">
        <v>15</v>
      </c>
      <c r="D15" s="2820"/>
      <c r="E15" s="2820" t="s">
        <v>4376</v>
      </c>
      <c r="F15" s="2820" t="s">
        <v>3187</v>
      </c>
      <c r="G15" s="2820" t="s">
        <v>142</v>
      </c>
      <c r="H15" s="2820" t="s">
        <v>4007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Y112"/>
  <sheetViews>
    <sheetView zoomScale="70" zoomScaleNormal="70" workbookViewId="0"/>
  </sheetViews>
  <sheetFormatPr defaultColWidth="9.1796875" defaultRowHeight="14.5" x14ac:dyDescent="0.35"/>
  <cols>
    <col min="1" max="1" width="9.1796875" style="2340"/>
    <col min="2" max="2" width="31.81640625" style="2340" customWidth="1"/>
    <col min="3" max="3" width="16.81640625" style="2340" customWidth="1"/>
    <col min="4" max="14" width="13.81640625" style="2340" customWidth="1"/>
    <col min="15" max="15" width="13.1796875" style="2340" customWidth="1"/>
    <col min="16" max="16" width="12.26953125" style="2340" customWidth="1"/>
    <col min="17" max="17" width="13.81640625" style="2340" customWidth="1"/>
    <col min="18" max="18" width="10.26953125" style="2340" customWidth="1"/>
    <col min="19" max="19" width="13" style="2340" customWidth="1"/>
    <col min="20" max="20" width="10.81640625" style="2340" customWidth="1"/>
    <col min="21" max="21" width="10.26953125" style="2340" customWidth="1"/>
    <col min="22" max="26" width="9.7265625" style="2340" customWidth="1"/>
    <col min="27" max="27" width="10.7265625" style="2340" customWidth="1"/>
    <col min="28" max="28" width="12.26953125" style="2340" customWidth="1"/>
    <col min="29" max="29" width="9.81640625" style="2340" customWidth="1"/>
    <col min="30" max="30" width="10.26953125" style="2340" customWidth="1"/>
    <col min="31" max="31" width="10.1796875" style="2340" customWidth="1"/>
    <col min="32" max="16384" width="9.1796875" style="2340"/>
  </cols>
  <sheetData>
    <row r="1" spans="1:9" ht="21" x14ac:dyDescent="0.5">
      <c r="A1" s="2339" t="s">
        <v>1945</v>
      </c>
    </row>
    <row r="3" spans="1:9" ht="21" x14ac:dyDescent="0.5">
      <c r="A3" s="2341" t="s">
        <v>1946</v>
      </c>
      <c r="B3" s="2342"/>
      <c r="C3" s="2342"/>
      <c r="D3" s="2342"/>
      <c r="E3" s="2342"/>
      <c r="F3" s="2342"/>
      <c r="G3" s="2342"/>
      <c r="H3" s="2342"/>
      <c r="I3" s="2342"/>
    </row>
    <row r="4" spans="1:9" ht="15" thickBot="1" x14ac:dyDescent="0.4"/>
    <row r="5" spans="1:9" x14ac:dyDescent="0.35">
      <c r="B5" s="2343" t="s">
        <v>1947</v>
      </c>
      <c r="C5" s="2344">
        <f>B74</f>
        <v>25</v>
      </c>
      <c r="D5" s="2345"/>
      <c r="E5" s="2345"/>
      <c r="F5" s="2345"/>
    </row>
    <row r="6" spans="1:9" x14ac:dyDescent="0.35">
      <c r="B6" s="2346" t="s">
        <v>1948</v>
      </c>
      <c r="C6" s="2347">
        <f>C112</f>
        <v>250</v>
      </c>
      <c r="D6" s="2348" t="s">
        <v>1949</v>
      </c>
      <c r="F6" s="2345"/>
    </row>
    <row r="7" spans="1:9" x14ac:dyDescent="0.35">
      <c r="B7" s="2346" t="s">
        <v>1950</v>
      </c>
      <c r="C7" s="2349">
        <f>P112</f>
        <v>6007.4061476625002</v>
      </c>
      <c r="D7" s="2348"/>
      <c r="E7" s="2348"/>
      <c r="F7" s="2348"/>
    </row>
    <row r="8" spans="1:9" x14ac:dyDescent="0.35">
      <c r="B8" s="2346" t="s">
        <v>1951</v>
      </c>
      <c r="C8" s="2347">
        <f>R112</f>
        <v>1.9819663693068013</v>
      </c>
      <c r="D8" s="2348"/>
      <c r="E8" s="2348"/>
      <c r="F8" s="2348"/>
    </row>
    <row r="9" spans="1:9" x14ac:dyDescent="0.35">
      <c r="B9" s="2346" t="s">
        <v>1952</v>
      </c>
      <c r="C9" s="2349">
        <f>S112</f>
        <v>1233.37896129</v>
      </c>
      <c r="D9" s="2348"/>
      <c r="E9" s="2348"/>
      <c r="F9" s="2348"/>
    </row>
    <row r="10" spans="1:9" x14ac:dyDescent="0.35">
      <c r="B10" s="2346" t="s">
        <v>1953</v>
      </c>
      <c r="C10" s="2350">
        <f>T112</f>
        <v>3000</v>
      </c>
      <c r="D10" s="2351"/>
      <c r="E10" s="2351"/>
      <c r="F10" s="2351"/>
    </row>
    <row r="11" spans="1:9" x14ac:dyDescent="0.35">
      <c r="B11" s="2346" t="s">
        <v>1954</v>
      </c>
      <c r="C11" s="2350">
        <f>C10*C92</f>
        <v>480</v>
      </c>
      <c r="D11" s="2351"/>
      <c r="E11" s="2351"/>
      <c r="F11" s="2351"/>
    </row>
    <row r="12" spans="1:9" x14ac:dyDescent="0.35">
      <c r="B12" s="2346" t="s">
        <v>1955</v>
      </c>
      <c r="C12" s="2350">
        <f>C10*C93</f>
        <v>2520</v>
      </c>
      <c r="D12" s="2351"/>
      <c r="E12" s="2351"/>
      <c r="F12" s="2351"/>
    </row>
    <row r="13" spans="1:9" x14ac:dyDescent="0.35">
      <c r="B13" s="2346" t="s">
        <v>61</v>
      </c>
      <c r="C13" s="2352">
        <f>(C7/C6)</f>
        <v>24.029624590650002</v>
      </c>
      <c r="D13" s="2351" t="s">
        <v>1956</v>
      </c>
      <c r="E13" s="2351"/>
      <c r="F13" s="2351"/>
    </row>
    <row r="14" spans="1:9" x14ac:dyDescent="0.35">
      <c r="B14" s="2346" t="s">
        <v>62</v>
      </c>
      <c r="C14" s="2352">
        <f>(C8/C6)</f>
        <v>7.9278654772272049E-3</v>
      </c>
      <c r="D14" s="2351" t="s">
        <v>1956</v>
      </c>
      <c r="E14" s="2351"/>
      <c r="F14" s="2351"/>
    </row>
    <row r="15" spans="1:9" x14ac:dyDescent="0.35">
      <c r="B15" s="2346" t="s">
        <v>63</v>
      </c>
      <c r="C15" s="2352">
        <f>(C9/C6)</f>
        <v>4.9335158451599996</v>
      </c>
      <c r="D15" s="2351" t="s">
        <v>1956</v>
      </c>
      <c r="E15" s="2351"/>
      <c r="F15" s="2351"/>
    </row>
    <row r="16" spans="1:9" x14ac:dyDescent="0.35">
      <c r="B16" s="2346" t="s">
        <v>1957</v>
      </c>
      <c r="C16" s="2353">
        <f>C11/C7</f>
        <v>7.9901373105390819E-2</v>
      </c>
      <c r="D16" s="2351"/>
      <c r="E16" s="2351"/>
      <c r="F16" s="2351"/>
    </row>
    <row r="17" spans="1:6" x14ac:dyDescent="0.35">
      <c r="B17" s="2346" t="s">
        <v>1958</v>
      </c>
      <c r="C17" s="2354">
        <f>C12/C9</f>
        <v>2.0431676549471169</v>
      </c>
      <c r="D17" s="2355"/>
      <c r="E17" s="2355"/>
      <c r="F17" s="2355"/>
    </row>
    <row r="18" spans="1:6" x14ac:dyDescent="0.35">
      <c r="B18" s="2346" t="s">
        <v>1959</v>
      </c>
      <c r="C18" s="2356">
        <f>U112</f>
        <v>253156.60125000001</v>
      </c>
    </row>
    <row r="19" spans="1:6" ht="15" thickBot="1" x14ac:dyDescent="0.4">
      <c r="B19" s="2357" t="s">
        <v>1960</v>
      </c>
      <c r="C19" s="2358">
        <f>Y99</f>
        <v>3000</v>
      </c>
    </row>
    <row r="20" spans="1:6" x14ac:dyDescent="0.35">
      <c r="B20" s="2359" t="s">
        <v>1961</v>
      </c>
      <c r="C20" s="2360"/>
      <c r="D20" s="2361"/>
      <c r="E20" s="2345"/>
      <c r="F20" s="2361"/>
    </row>
    <row r="21" spans="1:6" ht="15" thickBot="1" x14ac:dyDescent="0.4">
      <c r="C21" s="2359"/>
      <c r="D21" s="2361"/>
      <c r="E21" s="2345"/>
      <c r="F21" s="2361"/>
    </row>
    <row r="22" spans="1:6" x14ac:dyDescent="0.35">
      <c r="B22" s="2343" t="s">
        <v>1962</v>
      </c>
      <c r="C22" s="2362">
        <v>1.06</v>
      </c>
      <c r="D22" s="2345" t="s">
        <v>1963</v>
      </c>
      <c r="E22" s="2363"/>
      <c r="F22" s="2345"/>
    </row>
    <row r="23" spans="1:6" x14ac:dyDescent="0.35">
      <c r="B23" s="2346" t="s">
        <v>1964</v>
      </c>
      <c r="C23" s="2364">
        <v>1</v>
      </c>
      <c r="D23" s="2345"/>
      <c r="E23" s="2363"/>
      <c r="F23" s="2345"/>
    </row>
    <row r="24" spans="1:6" x14ac:dyDescent="0.35">
      <c r="B24" s="2346" t="s">
        <v>1965</v>
      </c>
      <c r="C24" s="2349">
        <f>C22*C7</f>
        <v>6367.8505165222505</v>
      </c>
      <c r="D24" s="2348"/>
      <c r="E24" s="2348"/>
      <c r="F24" s="2348"/>
    </row>
    <row r="25" spans="1:6" x14ac:dyDescent="0.35">
      <c r="B25" s="2346" t="s">
        <v>1966</v>
      </c>
      <c r="C25" s="2349">
        <f>C22*C8</f>
        <v>2.1008843514652096</v>
      </c>
      <c r="D25" s="2365"/>
      <c r="E25" s="2365"/>
      <c r="F25" s="2348"/>
    </row>
    <row r="26" spans="1:6" x14ac:dyDescent="0.35">
      <c r="B26" s="2346" t="s">
        <v>1967</v>
      </c>
      <c r="C26" s="2349">
        <f>C23*C9</f>
        <v>1233.37896129</v>
      </c>
      <c r="D26" s="2348"/>
      <c r="E26" s="2366"/>
      <c r="F26" s="2348"/>
    </row>
    <row r="27" spans="1:6" x14ac:dyDescent="0.35">
      <c r="B27" s="2346" t="s">
        <v>1968</v>
      </c>
      <c r="C27" s="2353">
        <f>C11/C24</f>
        <v>7.537865387301021E-2</v>
      </c>
      <c r="D27" s="2348"/>
      <c r="E27" s="2366"/>
      <c r="F27" s="2348"/>
    </row>
    <row r="28" spans="1:6" x14ac:dyDescent="0.35">
      <c r="B28" s="2346" t="s">
        <v>1969</v>
      </c>
      <c r="C28" s="2354">
        <f>C12/C26</f>
        <v>2.0431676549471169</v>
      </c>
      <c r="D28" s="2355"/>
      <c r="E28" s="2355"/>
      <c r="F28" s="2355"/>
    </row>
    <row r="29" spans="1:6" ht="15" thickBot="1" x14ac:dyDescent="0.4">
      <c r="B29" s="2357" t="s">
        <v>1970</v>
      </c>
      <c r="C29" s="2367">
        <v>10</v>
      </c>
      <c r="D29" s="2345"/>
      <c r="E29" s="2345"/>
      <c r="F29" s="2345"/>
    </row>
    <row r="30" spans="1:6" x14ac:dyDescent="0.35">
      <c r="B30" s="2368"/>
      <c r="C30" s="2368"/>
    </row>
    <row r="31" spans="1:6" ht="21" x14ac:dyDescent="0.5">
      <c r="A31" s="2369" t="s">
        <v>1971</v>
      </c>
      <c r="B31" s="2368"/>
      <c r="C31" s="2368"/>
    </row>
    <row r="32" spans="1:6" ht="15" customHeight="1" thickBot="1" x14ac:dyDescent="0.4"/>
    <row r="33" spans="1:17" x14ac:dyDescent="0.35">
      <c r="B33" s="2343" t="s">
        <v>1972</v>
      </c>
      <c r="C33" s="2370">
        <f>C7/C5</f>
        <v>240.29624590650002</v>
      </c>
      <c r="D33" s="2348"/>
      <c r="E33" s="2348"/>
      <c r="F33" s="2348"/>
    </row>
    <row r="34" spans="1:17" x14ac:dyDescent="0.35">
      <c r="B34" s="2346" t="s">
        <v>1973</v>
      </c>
      <c r="C34" s="2349">
        <f>C9/C5</f>
        <v>49.335158451600002</v>
      </c>
      <c r="D34" s="2371"/>
      <c r="E34" s="2371"/>
      <c r="F34" s="2371"/>
    </row>
    <row r="35" spans="1:17" x14ac:dyDescent="0.35">
      <c r="B35" s="2346" t="s">
        <v>1974</v>
      </c>
      <c r="C35" s="2372">
        <f>C10/C5</f>
        <v>120</v>
      </c>
    </row>
    <row r="36" spans="1:17" x14ac:dyDescent="0.35">
      <c r="B36" s="2346" t="s">
        <v>1975</v>
      </c>
      <c r="C36" s="2373">
        <f>C18/C5</f>
        <v>10126.26405</v>
      </c>
    </row>
    <row r="37" spans="1:17" ht="15" thickBot="1" x14ac:dyDescent="0.4">
      <c r="B37" s="2357" t="s">
        <v>1976</v>
      </c>
      <c r="C37" s="2374">
        <f>C19/C5</f>
        <v>120</v>
      </c>
    </row>
    <row r="38" spans="1:17" x14ac:dyDescent="0.35">
      <c r="H38" s="2363"/>
      <c r="I38" s="2363"/>
      <c r="J38" s="2363"/>
    </row>
    <row r="39" spans="1:17" ht="21" x14ac:dyDescent="0.5">
      <c r="A39" s="2369" t="s">
        <v>1977</v>
      </c>
    </row>
    <row r="40" spans="1:17" ht="31.5" customHeight="1" x14ac:dyDescent="0.35">
      <c r="J40" s="2964" t="s">
        <v>1980</v>
      </c>
      <c r="K40" s="2965"/>
      <c r="L40" s="2965"/>
      <c r="M40" s="2965"/>
      <c r="N40" s="2965"/>
      <c r="O40" s="2965"/>
      <c r="P40" s="2965"/>
      <c r="Q40" s="2966"/>
    </row>
    <row r="41" spans="1:17" ht="15" thickBot="1" x14ac:dyDescent="0.4">
      <c r="B41" s="2375" t="s">
        <v>1978</v>
      </c>
      <c r="C41" s="2376" t="s">
        <v>1979</v>
      </c>
      <c r="D41" s="2377"/>
      <c r="E41" s="2377"/>
      <c r="F41" s="2377"/>
      <c r="G41" s="2363"/>
      <c r="J41" s="2967" t="s">
        <v>1981</v>
      </c>
      <c r="K41" s="2968"/>
      <c r="L41" s="2968"/>
      <c r="M41" s="2968"/>
      <c r="N41" s="2968"/>
      <c r="O41" s="2968"/>
      <c r="P41" s="2968"/>
      <c r="Q41" s="2969"/>
    </row>
    <row r="42" spans="1:17" x14ac:dyDescent="0.35">
      <c r="B42" s="2343" t="s">
        <v>648</v>
      </c>
      <c r="C42" s="2378">
        <v>2.67</v>
      </c>
      <c r="D42" s="2379"/>
      <c r="E42" s="2380"/>
      <c r="F42" s="2381"/>
      <c r="G42" s="2363"/>
      <c r="J42" s="2490" t="s">
        <v>1983</v>
      </c>
      <c r="K42" s="2491"/>
      <c r="L42" s="2491"/>
      <c r="M42" s="2491"/>
      <c r="N42" s="2491"/>
      <c r="O42" s="2491"/>
      <c r="P42" s="2491"/>
      <c r="Q42" s="2492"/>
    </row>
    <row r="43" spans="1:17" x14ac:dyDescent="0.35">
      <c r="B43" s="2346" t="s">
        <v>652</v>
      </c>
      <c r="C43" s="2382">
        <v>1.75</v>
      </c>
      <c r="D43" s="2363" t="s">
        <v>1982</v>
      </c>
      <c r="E43" s="2363"/>
      <c r="F43" s="2383"/>
      <c r="G43" s="2363"/>
      <c r="J43" s="2490" t="s">
        <v>1985</v>
      </c>
      <c r="K43" s="2491"/>
      <c r="L43" s="2491"/>
      <c r="M43" s="2491"/>
      <c r="N43" s="2491"/>
      <c r="O43" s="2491"/>
      <c r="P43" s="2491"/>
      <c r="Q43" s="2492"/>
    </row>
    <row r="44" spans="1:17" x14ac:dyDescent="0.35">
      <c r="B44" s="2346" t="s">
        <v>1984</v>
      </c>
      <c r="C44" s="2679">
        <v>0.11700000000000001</v>
      </c>
      <c r="D44" s="2363"/>
      <c r="E44" s="2363"/>
      <c r="F44" s="2363"/>
      <c r="G44" s="2363"/>
      <c r="J44" s="2490" t="s">
        <v>1986</v>
      </c>
      <c r="K44" s="2491"/>
      <c r="L44" s="2491"/>
      <c r="M44" s="2491"/>
      <c r="N44" s="2491"/>
      <c r="O44" s="2491"/>
      <c r="P44" s="2491"/>
      <c r="Q44" s="2492"/>
    </row>
    <row r="45" spans="1:17" x14ac:dyDescent="0.35">
      <c r="B45" s="2346" t="s">
        <v>303</v>
      </c>
      <c r="C45" s="2384">
        <v>0.98</v>
      </c>
      <c r="D45" s="2363"/>
      <c r="E45" s="2363"/>
      <c r="F45" s="2363"/>
      <c r="G45" s="2363"/>
      <c r="J45" s="2976" t="s">
        <v>1988</v>
      </c>
      <c r="K45" s="2977"/>
      <c r="L45" s="2977"/>
      <c r="M45" s="2977"/>
      <c r="N45" s="2977"/>
      <c r="O45" s="2977"/>
      <c r="P45" s="2977"/>
      <c r="Q45" s="2978"/>
    </row>
    <row r="46" spans="1:17" x14ac:dyDescent="0.35">
      <c r="B46" s="2346" t="s">
        <v>1987</v>
      </c>
      <c r="C46" s="2679">
        <v>5.7999999999999996E-3</v>
      </c>
      <c r="D46" s="2363"/>
      <c r="E46" s="2363"/>
      <c r="F46" s="2363"/>
      <c r="G46" s="2363"/>
      <c r="J46" s="2505" t="s">
        <v>3310</v>
      </c>
      <c r="K46" s="2517"/>
      <c r="L46" s="2517"/>
      <c r="M46" s="2517"/>
      <c r="N46" s="2517"/>
      <c r="O46" s="2517"/>
      <c r="P46" s="2517"/>
      <c r="Q46" s="2518"/>
    </row>
    <row r="47" spans="1:17" x14ac:dyDescent="0.35">
      <c r="B47" s="2346" t="s">
        <v>1989</v>
      </c>
      <c r="C47" s="2385">
        <v>8.1999999999999993</v>
      </c>
      <c r="E47" s="2363"/>
      <c r="F47" s="2363"/>
      <c r="G47" s="2363"/>
      <c r="J47" s="2515" t="s">
        <v>1990</v>
      </c>
      <c r="K47" s="2388"/>
      <c r="L47" s="2388"/>
      <c r="M47" s="2388"/>
      <c r="N47" s="2388"/>
      <c r="O47" s="2388"/>
      <c r="P47" s="2388"/>
      <c r="Q47" s="2389"/>
    </row>
    <row r="48" spans="1:17" x14ac:dyDescent="0.35">
      <c r="B48" s="2346" t="s">
        <v>1991</v>
      </c>
      <c r="C48" s="2385">
        <v>8.1999999999999993</v>
      </c>
      <c r="D48" s="2386"/>
      <c r="E48" s="2386"/>
      <c r="F48" s="2363"/>
      <c r="G48" s="2363"/>
      <c r="J48" s="2387" t="s">
        <v>647</v>
      </c>
      <c r="K48" s="2388" t="s">
        <v>1992</v>
      </c>
      <c r="L48" s="2388" t="s">
        <v>1993</v>
      </c>
      <c r="M48" s="2388"/>
      <c r="N48" s="2388"/>
      <c r="O48" s="2388"/>
      <c r="P48" s="2388"/>
      <c r="Q48" s="2389"/>
    </row>
    <row r="49" spans="2:18" x14ac:dyDescent="0.35">
      <c r="B49" s="2390" t="s">
        <v>1994</v>
      </c>
      <c r="C49" s="2391">
        <v>27.51</v>
      </c>
      <c r="D49" s="2392"/>
      <c r="E49" s="2392"/>
      <c r="F49" s="2363"/>
      <c r="G49" s="2363"/>
      <c r="J49" s="2387" t="s">
        <v>648</v>
      </c>
      <c r="K49" s="2388" t="s">
        <v>1992</v>
      </c>
      <c r="L49" s="2388" t="s">
        <v>1995</v>
      </c>
      <c r="M49" s="2388"/>
      <c r="N49" s="2388"/>
      <c r="O49" s="2388"/>
      <c r="P49" s="2388"/>
      <c r="Q49" s="2389"/>
    </row>
    <row r="50" spans="2:18" x14ac:dyDescent="0.35">
      <c r="B50" s="2390" t="s">
        <v>440</v>
      </c>
      <c r="C50" s="2521">
        <v>2.7799999999999998E-2</v>
      </c>
      <c r="D50" s="2392"/>
      <c r="E50" s="2392"/>
      <c r="F50" s="2363"/>
      <c r="G50" s="2363"/>
      <c r="J50" s="2387" t="s">
        <v>652</v>
      </c>
      <c r="K50" s="2388" t="s">
        <v>1992</v>
      </c>
      <c r="L50" s="2388" t="s">
        <v>1996</v>
      </c>
      <c r="M50" s="2388"/>
      <c r="N50" s="2388"/>
      <c r="O50" s="2388"/>
      <c r="P50" s="2388"/>
      <c r="Q50" s="2389"/>
    </row>
    <row r="51" spans="2:18" ht="15" thickBot="1" x14ac:dyDescent="0.4">
      <c r="B51" s="2524" t="s">
        <v>3311</v>
      </c>
      <c r="C51" s="2525">
        <v>5010</v>
      </c>
      <c r="D51" s="2392"/>
      <c r="E51" s="2392"/>
      <c r="F51" s="2363"/>
      <c r="G51" s="2363"/>
      <c r="J51" s="2387" t="s">
        <v>650</v>
      </c>
      <c r="K51" s="2388" t="s">
        <v>1992</v>
      </c>
      <c r="L51" s="2388" t="s">
        <v>1997</v>
      </c>
      <c r="M51" s="2388"/>
      <c r="N51" s="2388"/>
      <c r="O51" s="2388"/>
      <c r="P51" s="2388"/>
      <c r="Q51" s="2389"/>
      <c r="R51" s="2363"/>
    </row>
    <row r="52" spans="2:18" x14ac:dyDescent="0.35">
      <c r="B52" s="2393"/>
      <c r="C52" s="2394"/>
      <c r="D52" s="2392"/>
      <c r="E52" s="2392"/>
      <c r="F52" s="2363"/>
      <c r="G52" s="2363"/>
      <c r="J52" s="2387" t="s">
        <v>653</v>
      </c>
      <c r="K52" s="2388" t="s">
        <v>1992</v>
      </c>
      <c r="L52" s="2388" t="s">
        <v>1998</v>
      </c>
      <c r="M52" s="2388"/>
      <c r="N52" s="2388"/>
      <c r="O52" s="2388"/>
      <c r="P52" s="2388"/>
      <c r="Q52" s="2389"/>
      <c r="R52" s="2363"/>
    </row>
    <row r="53" spans="2:18" x14ac:dyDescent="0.35">
      <c r="B53" s="2393"/>
      <c r="C53" s="2394"/>
      <c r="D53" s="2392"/>
      <c r="E53" s="2392"/>
      <c r="F53" s="2363"/>
      <c r="G53" s="2363"/>
      <c r="J53" s="2490">
        <v>365.25</v>
      </c>
      <c r="K53" s="2388" t="s">
        <v>1992</v>
      </c>
      <c r="L53" s="2388" t="s">
        <v>1999</v>
      </c>
      <c r="M53" s="2388"/>
      <c r="N53" s="2388"/>
      <c r="O53" s="2388"/>
      <c r="P53" s="2388"/>
      <c r="Q53" s="2389"/>
      <c r="R53" s="2363"/>
    </row>
    <row r="54" spans="2:18" x14ac:dyDescent="0.35">
      <c r="B54" s="2393"/>
      <c r="C54" s="2394"/>
      <c r="D54" s="2392"/>
      <c r="E54" s="2392"/>
      <c r="F54" s="2363"/>
      <c r="G54" s="2363"/>
      <c r="J54" s="2387" t="s">
        <v>2000</v>
      </c>
      <c r="K54" s="2388" t="s">
        <v>2001</v>
      </c>
      <c r="L54" s="2388" t="s">
        <v>2002</v>
      </c>
      <c r="M54" s="2388"/>
      <c r="N54" s="2388"/>
      <c r="O54" s="2388"/>
      <c r="P54" s="2388"/>
      <c r="Q54" s="2389"/>
      <c r="R54" s="2363"/>
    </row>
    <row r="55" spans="2:18" x14ac:dyDescent="0.35">
      <c r="B55" s="2393"/>
      <c r="C55" s="2394"/>
      <c r="D55" s="2392"/>
      <c r="E55" s="2392"/>
      <c r="F55" s="2363"/>
      <c r="G55" s="2363"/>
      <c r="J55" s="2387" t="s">
        <v>658</v>
      </c>
      <c r="K55" s="2388" t="s">
        <v>1992</v>
      </c>
      <c r="L55" s="2388" t="s">
        <v>2003</v>
      </c>
      <c r="M55" s="2388"/>
      <c r="N55" s="2388"/>
      <c r="O55" s="2388"/>
      <c r="P55" s="2388"/>
      <c r="Q55" s="2389"/>
      <c r="R55" s="2363"/>
    </row>
    <row r="56" spans="2:18" x14ac:dyDescent="0.35">
      <c r="B56" s="2393"/>
      <c r="C56" s="2394"/>
      <c r="D56" s="2392"/>
      <c r="E56" s="2392"/>
      <c r="F56" s="2363"/>
      <c r="G56" s="2363"/>
      <c r="J56" s="2387" t="s">
        <v>303</v>
      </c>
      <c r="K56" s="2388" t="s">
        <v>1992</v>
      </c>
      <c r="L56" s="2388" t="s">
        <v>2004</v>
      </c>
      <c r="M56" s="2388"/>
      <c r="N56" s="2388"/>
      <c r="O56" s="2388"/>
      <c r="P56" s="2388"/>
      <c r="Q56" s="2389"/>
      <c r="R56" s="2363"/>
    </row>
    <row r="57" spans="2:18" x14ac:dyDescent="0.35">
      <c r="B57" s="2393"/>
      <c r="C57" s="2394"/>
      <c r="D57" s="2392"/>
      <c r="E57" s="2392"/>
      <c r="F57" s="2363"/>
      <c r="G57" s="2363"/>
      <c r="J57" s="2387" t="s">
        <v>293</v>
      </c>
      <c r="K57" s="2388" t="s">
        <v>1992</v>
      </c>
      <c r="L57" s="2388" t="s">
        <v>2005</v>
      </c>
      <c r="M57" s="2388"/>
      <c r="N57" s="2388"/>
      <c r="O57" s="2388"/>
      <c r="P57" s="2388"/>
      <c r="Q57" s="2389"/>
      <c r="R57" s="2363"/>
    </row>
    <row r="58" spans="2:18" x14ac:dyDescent="0.35">
      <c r="B58" s="2393"/>
      <c r="C58" s="2394"/>
      <c r="D58" s="2392"/>
      <c r="E58" s="2392"/>
      <c r="F58" s="2363"/>
      <c r="G58" s="2363"/>
      <c r="J58" s="2387" t="s">
        <v>440</v>
      </c>
      <c r="K58" s="2388" t="s">
        <v>1992</v>
      </c>
      <c r="L58" s="2388" t="s">
        <v>2006</v>
      </c>
      <c r="M58" s="2388"/>
      <c r="N58" s="2388"/>
      <c r="O58" s="2388"/>
      <c r="P58" s="2388"/>
      <c r="Q58" s="2389"/>
      <c r="R58" s="2363"/>
    </row>
    <row r="59" spans="2:18" x14ac:dyDescent="0.35">
      <c r="B59" s="2393"/>
      <c r="C59" s="2394"/>
      <c r="D59" s="2392"/>
      <c r="E59" s="2392"/>
      <c r="F59" s="2363"/>
      <c r="G59" s="2363"/>
      <c r="J59" s="2387" t="s">
        <v>664</v>
      </c>
      <c r="K59" s="2388" t="s">
        <v>1992</v>
      </c>
      <c r="L59" s="2388" t="s">
        <v>2007</v>
      </c>
      <c r="M59" s="2388"/>
      <c r="N59" s="2388"/>
      <c r="O59" s="2388"/>
      <c r="P59" s="2388"/>
      <c r="Q59" s="2389"/>
      <c r="R59" s="2363"/>
    </row>
    <row r="60" spans="2:18" x14ac:dyDescent="0.35">
      <c r="B60" s="2393"/>
      <c r="C60" s="2394"/>
      <c r="D60" s="2392"/>
      <c r="E60" s="2392"/>
      <c r="F60" s="2363"/>
      <c r="G60" s="2363"/>
      <c r="J60" s="2387" t="s">
        <v>665</v>
      </c>
      <c r="K60" s="2388" t="s">
        <v>1992</v>
      </c>
      <c r="L60" s="2388" t="s">
        <v>2008</v>
      </c>
      <c r="M60" s="2388"/>
      <c r="N60" s="2388"/>
      <c r="O60" s="2388"/>
      <c r="P60" s="2388"/>
      <c r="Q60" s="2389"/>
      <c r="R60" s="2363"/>
    </row>
    <row r="61" spans="2:18" x14ac:dyDescent="0.35">
      <c r="B61" s="2393"/>
      <c r="C61" s="2394"/>
      <c r="D61" s="2392"/>
      <c r="E61" s="2392"/>
      <c r="F61" s="2363"/>
      <c r="G61" s="2363"/>
      <c r="J61" s="2387" t="s">
        <v>1994</v>
      </c>
      <c r="K61" s="2388" t="s">
        <v>1992</v>
      </c>
      <c r="L61" s="2388" t="s">
        <v>2009</v>
      </c>
      <c r="M61" s="2388"/>
      <c r="N61" s="2388"/>
      <c r="O61" s="2388"/>
      <c r="P61" s="2388"/>
      <c r="Q61" s="2389"/>
      <c r="R61" s="2363"/>
    </row>
    <row r="62" spans="2:18" ht="15" thickBot="1" x14ac:dyDescent="0.4">
      <c r="F62" s="2363"/>
      <c r="G62" s="2363"/>
      <c r="J62" s="2502" t="s">
        <v>3311</v>
      </c>
      <c r="K62" s="2503" t="s">
        <v>1992</v>
      </c>
      <c r="L62" s="2503" t="s">
        <v>3312</v>
      </c>
      <c r="M62" s="2519"/>
      <c r="N62" s="2519"/>
      <c r="O62" s="2519"/>
      <c r="P62" s="2519"/>
      <c r="Q62" s="2520"/>
    </row>
    <row r="63" spans="2:18" x14ac:dyDescent="0.35">
      <c r="B63" s="2395" t="s">
        <v>2010</v>
      </c>
      <c r="F63" s="2363"/>
      <c r="G63" s="2363"/>
      <c r="J63" s="2363"/>
      <c r="K63" s="2363"/>
      <c r="L63" s="2363"/>
      <c r="M63" s="2363"/>
      <c r="N63" s="2363"/>
      <c r="O63" s="2363"/>
      <c r="P63" s="2363"/>
      <c r="Q63" s="2363"/>
    </row>
    <row r="64" spans="2:18" ht="15" thickBot="1" x14ac:dyDescent="0.4">
      <c r="B64" s="2396">
        <v>12</v>
      </c>
      <c r="C64" s="2340" t="s">
        <v>2011</v>
      </c>
      <c r="F64" s="2363"/>
      <c r="G64" s="2363"/>
      <c r="J64" s="2363"/>
      <c r="K64" s="2363"/>
      <c r="L64" s="2363"/>
      <c r="M64" s="2363"/>
      <c r="N64" s="2363"/>
      <c r="O64" s="2363"/>
      <c r="P64" s="2363"/>
      <c r="Q64" s="2363"/>
    </row>
    <row r="65" spans="1:24" x14ac:dyDescent="0.35">
      <c r="J65" s="2363"/>
      <c r="K65" s="2363"/>
      <c r="L65" s="2363"/>
      <c r="M65" s="2363"/>
      <c r="N65" s="2363"/>
      <c r="O65" s="2363"/>
      <c r="P65" s="2363"/>
      <c r="Q65" s="2363"/>
    </row>
    <row r="66" spans="1:24" ht="21" x14ac:dyDescent="0.5">
      <c r="A66" s="2369" t="s">
        <v>2012</v>
      </c>
      <c r="J66" s="2363"/>
      <c r="K66" s="2363"/>
      <c r="L66" s="2363"/>
      <c r="M66" s="2363"/>
      <c r="N66" s="2363"/>
      <c r="O66" s="2363"/>
      <c r="P66" s="2363"/>
      <c r="Q66" s="2363"/>
    </row>
    <row r="67" spans="1:24" ht="21.5" thickBot="1" x14ac:dyDescent="0.55000000000000004">
      <c r="A67" s="2369"/>
      <c r="B67" s="2363"/>
      <c r="C67" s="2397"/>
      <c r="J67" s="2363"/>
      <c r="K67" s="2363"/>
      <c r="L67" s="2363"/>
      <c r="M67" s="2363"/>
      <c r="N67" s="2363"/>
      <c r="O67" s="2363"/>
      <c r="P67" s="2363"/>
      <c r="Q67" s="2363"/>
    </row>
    <row r="68" spans="1:24" x14ac:dyDescent="0.35">
      <c r="B68" s="2398" t="s">
        <v>2013</v>
      </c>
      <c r="E68" s="2399"/>
      <c r="F68" s="2399"/>
      <c r="G68" s="2399"/>
    </row>
    <row r="69" spans="1:24" ht="15" thickBot="1" x14ac:dyDescent="0.4">
      <c r="B69" s="2400">
        <v>12</v>
      </c>
      <c r="E69" s="2401"/>
      <c r="F69" s="2401"/>
      <c r="G69" s="2401"/>
    </row>
    <row r="70" spans="1:24" x14ac:dyDescent="0.35">
      <c r="B70" s="2401"/>
      <c r="C70" s="2401"/>
      <c r="D70" s="2401"/>
      <c r="E70" s="2401"/>
      <c r="F70" s="2401"/>
      <c r="G70" s="2401"/>
    </row>
    <row r="71" spans="1:24" ht="21" x14ac:dyDescent="0.5">
      <c r="A71" s="2369" t="s">
        <v>2014</v>
      </c>
      <c r="C71" s="2340" t="s">
        <v>2015</v>
      </c>
    </row>
    <row r="72" spans="1:24" ht="21.5" thickBot="1" x14ac:dyDescent="0.55000000000000004">
      <c r="A72" s="2369"/>
    </row>
    <row r="73" spans="1:24" ht="45" x14ac:dyDescent="0.5">
      <c r="A73" s="2369"/>
      <c r="B73" s="2402" t="s">
        <v>2016</v>
      </c>
      <c r="C73" s="2403" t="s">
        <v>2017</v>
      </c>
      <c r="D73" s="2404" t="s">
        <v>2018</v>
      </c>
    </row>
    <row r="74" spans="1:24" ht="21.5" thickBot="1" x14ac:dyDescent="0.55000000000000004">
      <c r="A74" s="2369"/>
      <c r="B74" s="2405">
        <v>25</v>
      </c>
      <c r="C74" s="2406">
        <v>10</v>
      </c>
      <c r="D74" s="2407">
        <f>C74*B74</f>
        <v>250</v>
      </c>
    </row>
    <row r="75" spans="1:24" ht="15" thickBot="1" x14ac:dyDescent="0.4"/>
    <row r="76" spans="1:24" ht="29" x14ac:dyDescent="0.35">
      <c r="B76" s="2408" t="s">
        <v>2019</v>
      </c>
      <c r="C76" s="2409" t="s">
        <v>2020</v>
      </c>
      <c r="D76" s="2404" t="s">
        <v>1948</v>
      </c>
      <c r="E76" s="2363"/>
      <c r="F76" s="2363"/>
      <c r="G76" s="2410"/>
      <c r="H76" s="2410"/>
      <c r="I76" s="2410"/>
      <c r="J76" s="2410"/>
      <c r="K76" s="2363"/>
      <c r="L76" s="2363"/>
      <c r="M76" s="2363"/>
      <c r="N76" s="2363"/>
      <c r="O76" s="2363"/>
    </row>
    <row r="77" spans="1:24" x14ac:dyDescent="0.35">
      <c r="B77" s="2411" t="s">
        <v>2021</v>
      </c>
      <c r="C77" s="2412">
        <v>0</v>
      </c>
      <c r="D77" s="2413">
        <f t="shared" ref="D77:D89" si="0">C77*D$74</f>
        <v>0</v>
      </c>
      <c r="E77" s="2363"/>
      <c r="F77" s="2363"/>
      <c r="G77" s="2363"/>
      <c r="H77" s="2363"/>
      <c r="I77" s="2363"/>
      <c r="J77" s="2363"/>
      <c r="K77" s="2363"/>
      <c r="L77" s="2363"/>
      <c r="M77" s="2363"/>
      <c r="N77" s="2363"/>
      <c r="O77" s="2363"/>
    </row>
    <row r="78" spans="1:24" ht="18.5" x14ac:dyDescent="0.35">
      <c r="B78" s="2411" t="s">
        <v>2022</v>
      </c>
      <c r="C78" s="2412">
        <v>0</v>
      </c>
      <c r="D78" s="2413">
        <f t="shared" si="0"/>
        <v>0</v>
      </c>
      <c r="E78" s="2414"/>
      <c r="F78" s="2414"/>
      <c r="G78" s="2414"/>
      <c r="H78" s="2415"/>
      <c r="I78" s="2415"/>
      <c r="J78" s="2415"/>
      <c r="K78" s="2363"/>
      <c r="L78" s="2363"/>
      <c r="M78" s="2363"/>
      <c r="N78" s="2363"/>
      <c r="O78" s="2363"/>
      <c r="T78" s="2415"/>
      <c r="U78" s="2415"/>
      <c r="V78" s="2415"/>
      <c r="W78" s="2415"/>
      <c r="X78" s="2415"/>
    </row>
    <row r="79" spans="1:24" x14ac:dyDescent="0.35">
      <c r="B79" s="2411" t="s">
        <v>2023</v>
      </c>
      <c r="C79" s="2412">
        <v>0</v>
      </c>
      <c r="D79" s="2413">
        <f t="shared" si="0"/>
        <v>0</v>
      </c>
      <c r="E79" s="2377"/>
      <c r="F79" s="2377"/>
      <c r="G79" s="2377"/>
      <c r="H79" s="2416"/>
      <c r="I79" s="2377"/>
      <c r="J79" s="2416"/>
      <c r="K79" s="2363"/>
      <c r="L79" s="2363"/>
      <c r="M79" s="2363"/>
      <c r="N79" s="2363"/>
      <c r="O79" s="2363"/>
      <c r="T79" s="2415"/>
      <c r="U79" s="2415"/>
      <c r="V79" s="2415"/>
      <c r="W79" s="2415"/>
      <c r="X79" s="2415"/>
    </row>
    <row r="80" spans="1:24" x14ac:dyDescent="0.35">
      <c r="B80" s="2411" t="s">
        <v>2024</v>
      </c>
      <c r="C80" s="2412">
        <v>0</v>
      </c>
      <c r="D80" s="2413">
        <f t="shared" si="0"/>
        <v>0</v>
      </c>
      <c r="E80" s="2417"/>
      <c r="F80" s="2418"/>
      <c r="G80" s="2419"/>
      <c r="H80" s="2420"/>
      <c r="I80" s="2394"/>
      <c r="J80" s="2421"/>
      <c r="K80" s="2363"/>
      <c r="L80" s="2363"/>
      <c r="M80" s="2363"/>
      <c r="N80" s="2363"/>
      <c r="O80" s="2363"/>
      <c r="T80" s="2422"/>
      <c r="U80" s="2423"/>
      <c r="V80" s="2424"/>
      <c r="W80" s="2425"/>
      <c r="X80" s="2426"/>
    </row>
    <row r="81" spans="1:24" x14ac:dyDescent="0.35">
      <c r="B81" s="2411" t="s">
        <v>2025</v>
      </c>
      <c r="C81" s="2412">
        <v>0</v>
      </c>
      <c r="D81" s="2413">
        <f t="shared" si="0"/>
        <v>0</v>
      </c>
      <c r="E81" s="2417"/>
      <c r="F81" s="2418"/>
      <c r="G81" s="2419"/>
      <c r="H81" s="2420"/>
      <c r="I81" s="2421"/>
      <c r="J81" s="2421"/>
      <c r="K81" s="2363"/>
      <c r="L81" s="2363"/>
      <c r="M81" s="2363"/>
      <c r="N81" s="2363"/>
      <c r="O81" s="2363"/>
      <c r="T81" s="2422"/>
      <c r="U81" s="2423"/>
      <c r="V81" s="2424"/>
      <c r="W81" s="2425"/>
      <c r="X81" s="2426"/>
    </row>
    <row r="82" spans="1:24" x14ac:dyDescent="0.35">
      <c r="B82" s="2411" t="s">
        <v>2026</v>
      </c>
      <c r="C82" s="2412">
        <v>0</v>
      </c>
      <c r="D82" s="2413">
        <f t="shared" si="0"/>
        <v>0</v>
      </c>
      <c r="E82" s="2417"/>
      <c r="F82" s="2418"/>
      <c r="G82" s="2419"/>
      <c r="H82" s="2420"/>
      <c r="I82" s="2421"/>
      <c r="J82" s="2421"/>
      <c r="K82" s="2363"/>
      <c r="L82" s="2363"/>
      <c r="M82" s="2363"/>
      <c r="N82" s="2363"/>
      <c r="O82" s="2363"/>
      <c r="T82" s="2422"/>
      <c r="U82" s="2423"/>
      <c r="V82" s="2424"/>
      <c r="W82" s="2425"/>
      <c r="X82" s="2426"/>
    </row>
    <row r="83" spans="1:24" x14ac:dyDescent="0.35">
      <c r="B83" s="2411" t="s">
        <v>2027</v>
      </c>
      <c r="C83" s="2412">
        <v>0</v>
      </c>
      <c r="D83" s="2413">
        <f t="shared" si="0"/>
        <v>0</v>
      </c>
      <c r="E83" s="2417"/>
      <c r="F83" s="2418"/>
      <c r="G83" s="2419"/>
      <c r="H83" s="2420"/>
      <c r="I83" s="2421"/>
      <c r="J83" s="2421"/>
      <c r="K83" s="2363"/>
      <c r="L83" s="2363"/>
      <c r="M83" s="2363"/>
      <c r="N83" s="2363"/>
      <c r="O83" s="2363"/>
      <c r="T83" s="2422"/>
      <c r="U83" s="2423"/>
      <c r="V83" s="2424"/>
      <c r="W83" s="2425"/>
      <c r="X83" s="2426"/>
    </row>
    <row r="84" spans="1:24" x14ac:dyDescent="0.35">
      <c r="B84" s="2411" t="s">
        <v>2028</v>
      </c>
      <c r="C84" s="2412">
        <v>0</v>
      </c>
      <c r="D84" s="2413">
        <f t="shared" si="0"/>
        <v>0</v>
      </c>
      <c r="E84" s="2417"/>
      <c r="F84" s="2418"/>
      <c r="G84" s="2419"/>
      <c r="H84" s="2420"/>
      <c r="I84" s="2421"/>
      <c r="J84" s="2421"/>
      <c r="K84" s="2363"/>
      <c r="L84" s="2363"/>
      <c r="M84" s="2363"/>
      <c r="N84" s="2363"/>
      <c r="O84" s="2363"/>
      <c r="T84" s="2422"/>
      <c r="U84" s="2423"/>
      <c r="V84" s="2424"/>
      <c r="W84" s="2425"/>
      <c r="X84" s="2426"/>
    </row>
    <row r="85" spans="1:24" x14ac:dyDescent="0.35">
      <c r="B85" s="2411" t="s">
        <v>2029</v>
      </c>
      <c r="C85" s="2412">
        <v>0</v>
      </c>
      <c r="D85" s="2413">
        <f t="shared" si="0"/>
        <v>0</v>
      </c>
      <c r="E85" s="2417"/>
      <c r="F85" s="2418"/>
      <c r="G85" s="2419"/>
      <c r="H85" s="2420"/>
      <c r="I85" s="2421"/>
      <c r="J85" s="2421"/>
      <c r="K85" s="2363"/>
      <c r="L85" s="2363"/>
      <c r="M85" s="2363"/>
      <c r="N85" s="2363"/>
      <c r="O85" s="2363"/>
      <c r="T85" s="2422"/>
      <c r="U85" s="2423"/>
      <c r="V85" s="2424"/>
      <c r="W85" s="2425"/>
      <c r="X85" s="2426"/>
    </row>
    <row r="86" spans="1:24" x14ac:dyDescent="0.35">
      <c r="B86" s="2411" t="s">
        <v>2030</v>
      </c>
      <c r="C86" s="2412">
        <v>0.5</v>
      </c>
      <c r="D86" s="2413">
        <f t="shared" si="0"/>
        <v>125</v>
      </c>
      <c r="E86" s="2417"/>
      <c r="F86" s="2418"/>
      <c r="G86" s="2419"/>
      <c r="H86" s="2420"/>
      <c r="I86" s="2421"/>
      <c r="J86" s="2421"/>
      <c r="K86" s="2363"/>
      <c r="L86" s="2363"/>
      <c r="M86" s="2363"/>
      <c r="N86" s="2363"/>
      <c r="O86" s="2363"/>
      <c r="T86" s="2422"/>
      <c r="U86" s="2423"/>
      <c r="V86" s="2424"/>
      <c r="W86" s="2425"/>
      <c r="X86" s="2426"/>
    </row>
    <row r="87" spans="1:24" x14ac:dyDescent="0.35">
      <c r="B87" s="2411" t="s">
        <v>2031</v>
      </c>
      <c r="C87" s="2412">
        <v>0</v>
      </c>
      <c r="D87" s="2413">
        <f t="shared" si="0"/>
        <v>0</v>
      </c>
      <c r="E87" s="2417"/>
      <c r="F87" s="2418"/>
      <c r="G87" s="2419"/>
      <c r="H87" s="2420"/>
      <c r="I87" s="2421"/>
      <c r="J87" s="2421"/>
      <c r="K87" s="2363"/>
      <c r="L87" s="2363"/>
      <c r="M87" s="2363"/>
      <c r="N87" s="2363"/>
      <c r="O87" s="2363"/>
      <c r="T87" s="2422"/>
      <c r="U87" s="2423"/>
      <c r="V87" s="2424"/>
      <c r="W87" s="2425"/>
      <c r="X87" s="2426"/>
    </row>
    <row r="88" spans="1:24" x14ac:dyDescent="0.35">
      <c r="B88" s="2411" t="s">
        <v>2032</v>
      </c>
      <c r="C88" s="2412">
        <v>0.5</v>
      </c>
      <c r="D88" s="2413">
        <f t="shared" si="0"/>
        <v>125</v>
      </c>
      <c r="E88" s="2417"/>
      <c r="F88" s="2418"/>
      <c r="G88" s="2419"/>
      <c r="H88" s="2420"/>
      <c r="I88" s="2421"/>
      <c r="J88" s="2421"/>
      <c r="K88" s="2363"/>
      <c r="L88" s="2363"/>
      <c r="M88" s="2363"/>
      <c r="N88" s="2363"/>
      <c r="O88" s="2363"/>
      <c r="T88" s="2422"/>
      <c r="U88" s="2423"/>
      <c r="V88" s="2424"/>
      <c r="W88" s="2425"/>
      <c r="X88" s="2426"/>
    </row>
    <row r="89" spans="1:24" ht="15" customHeight="1" thickBot="1" x14ac:dyDescent="0.4">
      <c r="B89" s="2427" t="s">
        <v>2033</v>
      </c>
      <c r="C89" s="2428">
        <v>0</v>
      </c>
      <c r="D89" s="2429">
        <f t="shared" si="0"/>
        <v>0</v>
      </c>
      <c r="E89" s="2430"/>
      <c r="F89" s="2430"/>
      <c r="G89" s="2345"/>
      <c r="H89" s="2420"/>
      <c r="I89" s="2421"/>
      <c r="J89" s="2421"/>
      <c r="K89" s="2431"/>
      <c r="L89" s="2431"/>
      <c r="M89" s="2431"/>
      <c r="N89" s="2432"/>
      <c r="O89" s="2421"/>
      <c r="P89" s="2421"/>
      <c r="Q89" s="2421"/>
      <c r="R89" s="2421"/>
      <c r="S89" s="2421"/>
      <c r="T89" s="2422"/>
      <c r="U89" s="2423"/>
      <c r="V89" s="2424"/>
      <c r="W89" s="2425"/>
      <c r="X89" s="2426"/>
    </row>
    <row r="90" spans="1:24" ht="15" thickBot="1" x14ac:dyDescent="0.4">
      <c r="C90" s="2433"/>
      <c r="G90" s="2410"/>
      <c r="H90" s="2410"/>
      <c r="I90" s="2410"/>
    </row>
    <row r="91" spans="1:24" x14ac:dyDescent="0.35">
      <c r="B91" s="2434" t="s">
        <v>2034</v>
      </c>
      <c r="C91" s="2435" t="s">
        <v>2035</v>
      </c>
      <c r="E91" s="2351"/>
      <c r="G91" s="2410"/>
      <c r="H91" s="2410"/>
      <c r="I91" s="2410"/>
    </row>
    <row r="92" spans="1:24" x14ac:dyDescent="0.35">
      <c r="B92" s="2436" t="s">
        <v>647</v>
      </c>
      <c r="C92" s="2437">
        <v>0.16</v>
      </c>
      <c r="E92" s="2355"/>
      <c r="G92" s="2410"/>
      <c r="H92" s="2410"/>
      <c r="I92" s="2410"/>
    </row>
    <row r="93" spans="1:24" ht="15" thickBot="1" x14ac:dyDescent="0.4">
      <c r="B93" s="2438" t="s">
        <v>664</v>
      </c>
      <c r="C93" s="2439">
        <v>0.84</v>
      </c>
      <c r="G93" s="2410"/>
      <c r="H93" s="2410"/>
      <c r="I93" s="2410"/>
    </row>
    <row r="95" spans="1:24" ht="21" x14ac:dyDescent="0.5">
      <c r="A95" s="2369" t="s">
        <v>2036</v>
      </c>
      <c r="C95" s="2340" t="s">
        <v>2037</v>
      </c>
    </row>
    <row r="96" spans="1:24" ht="15" thickBot="1" x14ac:dyDescent="0.4"/>
    <row r="97" spans="2:25" ht="41.25" customHeight="1" thickBot="1" x14ac:dyDescent="0.65">
      <c r="B97" s="2440"/>
      <c r="C97" s="2973" t="s">
        <v>2038</v>
      </c>
      <c r="D97" s="2974"/>
      <c r="E97" s="2975"/>
      <c r="F97" s="2970" t="s">
        <v>2039</v>
      </c>
      <c r="G97" s="2971"/>
      <c r="H97" s="2971"/>
      <c r="I97" s="2971"/>
      <c r="J97" s="2971"/>
      <c r="K97" s="2971"/>
      <c r="L97" s="2971"/>
      <c r="M97" s="2971"/>
      <c r="N97" s="2971"/>
      <c r="O97" s="2972"/>
      <c r="P97" s="2970" t="s">
        <v>2040</v>
      </c>
      <c r="Q97" s="2971"/>
      <c r="R97" s="2971"/>
      <c r="S97" s="2971"/>
      <c r="T97" s="2971"/>
      <c r="U97" s="2972"/>
      <c r="V97" s="2441"/>
    </row>
    <row r="98" spans="2:25" ht="44" thickBot="1" x14ac:dyDescent="0.4">
      <c r="B98" s="2442" t="s">
        <v>2019</v>
      </c>
      <c r="C98" s="2443" t="s">
        <v>2041</v>
      </c>
      <c r="D98" s="2443" t="s">
        <v>2000</v>
      </c>
      <c r="E98" s="2443" t="s">
        <v>293</v>
      </c>
      <c r="F98" s="2443" t="s">
        <v>647</v>
      </c>
      <c r="G98" s="2443" t="s">
        <v>664</v>
      </c>
      <c r="H98" s="2443" t="s">
        <v>1368</v>
      </c>
      <c r="I98" s="2443" t="s">
        <v>1989</v>
      </c>
      <c r="J98" s="2443" t="s">
        <v>1991</v>
      </c>
      <c r="K98" s="2443" t="s">
        <v>648</v>
      </c>
      <c r="L98" s="2443" t="s">
        <v>652</v>
      </c>
      <c r="M98" s="2443" t="s">
        <v>1984</v>
      </c>
      <c r="N98" s="2443" t="s">
        <v>303</v>
      </c>
      <c r="O98" s="2443" t="s">
        <v>1987</v>
      </c>
      <c r="P98" s="2527" t="s">
        <v>2042</v>
      </c>
      <c r="Q98" s="2528" t="s">
        <v>3314</v>
      </c>
      <c r="R98" s="2443" t="s">
        <v>2043</v>
      </c>
      <c r="S98" s="2443" t="s">
        <v>2044</v>
      </c>
      <c r="T98" s="2443" t="s">
        <v>2045</v>
      </c>
      <c r="U98" s="2444" t="s">
        <v>2046</v>
      </c>
      <c r="V98" s="2377"/>
      <c r="W98" s="2445" t="s">
        <v>2047</v>
      </c>
      <c r="X98" s="2409" t="s">
        <v>2041</v>
      </c>
      <c r="Y98" s="2435" t="s">
        <v>2048</v>
      </c>
    </row>
    <row r="99" spans="2:25" ht="15" thickBot="1" x14ac:dyDescent="0.4">
      <c r="B99" s="2446" t="s">
        <v>2021</v>
      </c>
      <c r="C99" s="2447">
        <f>D77</f>
        <v>0</v>
      </c>
      <c r="D99" s="2447">
        <v>1</v>
      </c>
      <c r="E99" s="2447">
        <f>(($C$42*$C$47)*D99*365.25)*0.773/$C$49</f>
        <v>224.70060507088331</v>
      </c>
      <c r="F99" s="2448">
        <f t="shared" ref="F99:F111" si="1">C$92</f>
        <v>0.16</v>
      </c>
      <c r="G99" s="2449">
        <f t="shared" ref="G99:G111" si="2">C$93</f>
        <v>0.84</v>
      </c>
      <c r="H99" s="2450">
        <f>$C$50</f>
        <v>2.7799999999999998E-2</v>
      </c>
      <c r="I99" s="2451">
        <f>$C$47</f>
        <v>8.1999999999999993</v>
      </c>
      <c r="J99" s="2447">
        <f>$C$48</f>
        <v>8.1999999999999993</v>
      </c>
      <c r="K99" s="2447">
        <f>$C$42</f>
        <v>2.67</v>
      </c>
      <c r="L99" s="2451">
        <f t="shared" ref="L99:L111" si="3">C$43</f>
        <v>1.75</v>
      </c>
      <c r="M99" s="2452">
        <f t="shared" ref="M99:M111" si="4">C$44</f>
        <v>0.11700000000000001</v>
      </c>
      <c r="N99" s="2449">
        <f t="shared" ref="N99:N111" si="5">C$45</f>
        <v>0.98</v>
      </c>
      <c r="O99" s="2453">
        <f t="shared" ref="O99:O111" si="6">C$46</f>
        <v>5.7999999999999996E-3</v>
      </c>
      <c r="P99" s="2451">
        <f>$C$92*(((K99*I99)-(L99*J99))*D99*365.25)*M99*N99*C99+Q99</f>
        <v>0</v>
      </c>
      <c r="Q99" s="2451">
        <f xml:space="preserve"> U99 / 1000000 * $C$51</f>
        <v>0</v>
      </c>
      <c r="R99" s="2454">
        <f t="shared" ref="R99:R111" si="7">P99/E99*H99</f>
        <v>0</v>
      </c>
      <c r="S99" s="2455">
        <f t="shared" ref="S99:S111" si="8">$C$93*(((K99*I99)-(L99*J99))*D99*365.25)*O99*N99*C99</f>
        <v>0</v>
      </c>
      <c r="T99" s="2456">
        <f t="shared" ref="T99:T111" si="9">C99*B$69</f>
        <v>0</v>
      </c>
      <c r="U99" s="2457">
        <f t="shared" ref="U99:U111" si="10">((K99*I99)-(L99*J99))*D99*365.25*N99*C99</f>
        <v>0</v>
      </c>
      <c r="V99" s="2458"/>
      <c r="W99" s="2459">
        <f>B64</f>
        <v>12</v>
      </c>
      <c r="X99" s="2460">
        <f>C112</f>
        <v>250</v>
      </c>
      <c r="Y99" s="2461">
        <f>W99*X99</f>
        <v>3000</v>
      </c>
    </row>
    <row r="100" spans="2:25" x14ac:dyDescent="0.35">
      <c r="B100" s="2411" t="s">
        <v>2022</v>
      </c>
      <c r="C100" s="2462">
        <f t="shared" ref="C100:C111" si="11">D78</f>
        <v>0</v>
      </c>
      <c r="D100" s="2462">
        <v>1</v>
      </c>
      <c r="E100" s="2463">
        <f t="shared" ref="E100:E111" si="12">(($C$42*$C$47)*D100*365.25)*0.773/$C$49</f>
        <v>224.70060507088331</v>
      </c>
      <c r="F100" s="2464">
        <f t="shared" si="1"/>
        <v>0.16</v>
      </c>
      <c r="G100" s="2465">
        <f t="shared" si="2"/>
        <v>0.84</v>
      </c>
      <c r="H100" s="2466">
        <f t="shared" ref="H100:H111" si="13">$C$50</f>
        <v>2.7799999999999998E-2</v>
      </c>
      <c r="I100" s="2467">
        <f t="shared" ref="I100:I111" si="14">$C$47</f>
        <v>8.1999999999999993</v>
      </c>
      <c r="J100" s="2462">
        <f t="shared" ref="J100:J111" si="15">$C$48</f>
        <v>8.1999999999999993</v>
      </c>
      <c r="K100" s="2462">
        <f>$C$42</f>
        <v>2.67</v>
      </c>
      <c r="L100" s="2467">
        <f t="shared" si="3"/>
        <v>1.75</v>
      </c>
      <c r="M100" s="2468">
        <f t="shared" si="4"/>
        <v>0.11700000000000001</v>
      </c>
      <c r="N100" s="2465">
        <f t="shared" si="5"/>
        <v>0.98</v>
      </c>
      <c r="O100" s="2469">
        <f t="shared" si="6"/>
        <v>5.7999999999999996E-3</v>
      </c>
      <c r="P100" s="2467">
        <f t="shared" ref="P100:P111" si="16">$C$92*(((K100*I100)-(L100*J100))*D100*365.25)*M100*N100*C100+Q100</f>
        <v>0</v>
      </c>
      <c r="Q100" s="2467">
        <f t="shared" ref="Q100:Q111" si="17" xml:space="preserve"> U100 / 1000000 * $C$51</f>
        <v>0</v>
      </c>
      <c r="R100" s="2470">
        <f t="shared" si="7"/>
        <v>0</v>
      </c>
      <c r="S100" s="2471">
        <f t="shared" si="8"/>
        <v>0</v>
      </c>
      <c r="T100" s="2472">
        <f t="shared" si="9"/>
        <v>0</v>
      </c>
      <c r="U100" s="2473">
        <f t="shared" si="10"/>
        <v>0</v>
      </c>
      <c r="V100" s="2458"/>
      <c r="W100" s="2458"/>
    </row>
    <row r="101" spans="2:25" x14ac:dyDescent="0.35">
      <c r="B101" s="2411" t="s">
        <v>2023</v>
      </c>
      <c r="C101" s="2462">
        <f t="shared" si="11"/>
        <v>0</v>
      </c>
      <c r="D101" s="2462">
        <v>1</v>
      </c>
      <c r="E101" s="2463">
        <f t="shared" si="12"/>
        <v>224.70060507088331</v>
      </c>
      <c r="F101" s="2464">
        <f t="shared" si="1"/>
        <v>0.16</v>
      </c>
      <c r="G101" s="2465">
        <f t="shared" si="2"/>
        <v>0.84</v>
      </c>
      <c r="H101" s="2466">
        <f t="shared" si="13"/>
        <v>2.7799999999999998E-2</v>
      </c>
      <c r="I101" s="2467">
        <f t="shared" si="14"/>
        <v>8.1999999999999993</v>
      </c>
      <c r="J101" s="2462">
        <f t="shared" si="15"/>
        <v>8.1999999999999993</v>
      </c>
      <c r="K101" s="2462">
        <f t="shared" ref="K101:K111" si="18">$C$42</f>
        <v>2.67</v>
      </c>
      <c r="L101" s="2467">
        <f t="shared" si="3"/>
        <v>1.75</v>
      </c>
      <c r="M101" s="2468">
        <f t="shared" si="4"/>
        <v>0.11700000000000001</v>
      </c>
      <c r="N101" s="2465">
        <f t="shared" si="5"/>
        <v>0.98</v>
      </c>
      <c r="O101" s="2469">
        <f t="shared" si="6"/>
        <v>5.7999999999999996E-3</v>
      </c>
      <c r="P101" s="2467">
        <f t="shared" si="16"/>
        <v>0</v>
      </c>
      <c r="Q101" s="2467">
        <f t="shared" si="17"/>
        <v>0</v>
      </c>
      <c r="R101" s="2470">
        <f t="shared" si="7"/>
        <v>0</v>
      </c>
      <c r="S101" s="2471">
        <f t="shared" si="8"/>
        <v>0</v>
      </c>
      <c r="T101" s="2472">
        <f t="shared" si="9"/>
        <v>0</v>
      </c>
      <c r="U101" s="2473">
        <f t="shared" si="10"/>
        <v>0</v>
      </c>
      <c r="V101" s="2458"/>
      <c r="W101" s="2458"/>
    </row>
    <row r="102" spans="2:25" x14ac:dyDescent="0.35">
      <c r="B102" s="2411" t="s">
        <v>2024</v>
      </c>
      <c r="C102" s="2462">
        <f t="shared" si="11"/>
        <v>0</v>
      </c>
      <c r="D102" s="2462">
        <v>1</v>
      </c>
      <c r="E102" s="2463">
        <f t="shared" si="12"/>
        <v>224.70060507088331</v>
      </c>
      <c r="F102" s="2464">
        <f t="shared" si="1"/>
        <v>0.16</v>
      </c>
      <c r="G102" s="2465">
        <f t="shared" si="2"/>
        <v>0.84</v>
      </c>
      <c r="H102" s="2466">
        <f t="shared" si="13"/>
        <v>2.7799999999999998E-2</v>
      </c>
      <c r="I102" s="2467">
        <f t="shared" si="14"/>
        <v>8.1999999999999993</v>
      </c>
      <c r="J102" s="2462">
        <f t="shared" si="15"/>
        <v>8.1999999999999993</v>
      </c>
      <c r="K102" s="2462">
        <f t="shared" si="18"/>
        <v>2.67</v>
      </c>
      <c r="L102" s="2467">
        <f t="shared" si="3"/>
        <v>1.75</v>
      </c>
      <c r="M102" s="2468">
        <f t="shared" si="4"/>
        <v>0.11700000000000001</v>
      </c>
      <c r="N102" s="2465">
        <f t="shared" si="5"/>
        <v>0.98</v>
      </c>
      <c r="O102" s="2469">
        <f t="shared" si="6"/>
        <v>5.7999999999999996E-3</v>
      </c>
      <c r="P102" s="2467">
        <f t="shared" si="16"/>
        <v>0</v>
      </c>
      <c r="Q102" s="2467">
        <f t="shared" si="17"/>
        <v>0</v>
      </c>
      <c r="R102" s="2470">
        <f t="shared" si="7"/>
        <v>0</v>
      </c>
      <c r="S102" s="2471">
        <f t="shared" si="8"/>
        <v>0</v>
      </c>
      <c r="T102" s="2472">
        <f t="shared" si="9"/>
        <v>0</v>
      </c>
      <c r="U102" s="2473">
        <f t="shared" si="10"/>
        <v>0</v>
      </c>
      <c r="V102" s="2458"/>
      <c r="W102" s="2458"/>
    </row>
    <row r="103" spans="2:25" x14ac:dyDescent="0.35">
      <c r="B103" s="2411" t="s">
        <v>2025</v>
      </c>
      <c r="C103" s="2462">
        <f t="shared" si="11"/>
        <v>0</v>
      </c>
      <c r="D103" s="2462">
        <v>1</v>
      </c>
      <c r="E103" s="2463">
        <f t="shared" si="12"/>
        <v>224.70060507088331</v>
      </c>
      <c r="F103" s="2464">
        <f t="shared" si="1"/>
        <v>0.16</v>
      </c>
      <c r="G103" s="2465">
        <f t="shared" si="2"/>
        <v>0.84</v>
      </c>
      <c r="H103" s="2466">
        <f t="shared" si="13"/>
        <v>2.7799999999999998E-2</v>
      </c>
      <c r="I103" s="2467">
        <f t="shared" si="14"/>
        <v>8.1999999999999993</v>
      </c>
      <c r="J103" s="2462">
        <f>$C$48</f>
        <v>8.1999999999999993</v>
      </c>
      <c r="K103" s="2462">
        <f t="shared" si="18"/>
        <v>2.67</v>
      </c>
      <c r="L103" s="2467">
        <f t="shared" si="3"/>
        <v>1.75</v>
      </c>
      <c r="M103" s="2468">
        <f t="shared" si="4"/>
        <v>0.11700000000000001</v>
      </c>
      <c r="N103" s="2465">
        <f t="shared" si="5"/>
        <v>0.98</v>
      </c>
      <c r="O103" s="2469">
        <f t="shared" si="6"/>
        <v>5.7999999999999996E-3</v>
      </c>
      <c r="P103" s="2467">
        <f t="shared" si="16"/>
        <v>0</v>
      </c>
      <c r="Q103" s="2467">
        <f t="shared" si="17"/>
        <v>0</v>
      </c>
      <c r="R103" s="2470">
        <f t="shared" si="7"/>
        <v>0</v>
      </c>
      <c r="S103" s="2471">
        <f t="shared" si="8"/>
        <v>0</v>
      </c>
      <c r="T103" s="2472">
        <f t="shared" si="9"/>
        <v>0</v>
      </c>
      <c r="U103" s="2473">
        <f t="shared" si="10"/>
        <v>0</v>
      </c>
      <c r="V103" s="2458"/>
      <c r="W103" s="2458"/>
    </row>
    <row r="104" spans="2:25" x14ac:dyDescent="0.35">
      <c r="B104" s="2411" t="s">
        <v>2026</v>
      </c>
      <c r="C104" s="2462">
        <f t="shared" si="11"/>
        <v>0</v>
      </c>
      <c r="D104" s="2462">
        <v>1</v>
      </c>
      <c r="E104" s="2463">
        <f t="shared" si="12"/>
        <v>224.70060507088331</v>
      </c>
      <c r="F104" s="2464">
        <f t="shared" si="1"/>
        <v>0.16</v>
      </c>
      <c r="G104" s="2465">
        <f t="shared" si="2"/>
        <v>0.84</v>
      </c>
      <c r="H104" s="2466">
        <f t="shared" si="13"/>
        <v>2.7799999999999998E-2</v>
      </c>
      <c r="I104" s="2467">
        <f t="shared" si="14"/>
        <v>8.1999999999999993</v>
      </c>
      <c r="J104" s="2462">
        <f t="shared" si="15"/>
        <v>8.1999999999999993</v>
      </c>
      <c r="K104" s="2462">
        <f t="shared" si="18"/>
        <v>2.67</v>
      </c>
      <c r="L104" s="2467">
        <f t="shared" si="3"/>
        <v>1.75</v>
      </c>
      <c r="M104" s="2468">
        <f t="shared" si="4"/>
        <v>0.11700000000000001</v>
      </c>
      <c r="N104" s="2465">
        <f t="shared" si="5"/>
        <v>0.98</v>
      </c>
      <c r="O104" s="2469">
        <f t="shared" si="6"/>
        <v>5.7999999999999996E-3</v>
      </c>
      <c r="P104" s="2467">
        <f t="shared" si="16"/>
        <v>0</v>
      </c>
      <c r="Q104" s="2467">
        <f t="shared" si="17"/>
        <v>0</v>
      </c>
      <c r="R104" s="2470">
        <f t="shared" si="7"/>
        <v>0</v>
      </c>
      <c r="S104" s="2471">
        <f t="shared" si="8"/>
        <v>0</v>
      </c>
      <c r="T104" s="2472">
        <f t="shared" si="9"/>
        <v>0</v>
      </c>
      <c r="U104" s="2473">
        <f t="shared" si="10"/>
        <v>0</v>
      </c>
      <c r="V104" s="2458"/>
      <c r="W104" s="2458"/>
    </row>
    <row r="105" spans="2:25" x14ac:dyDescent="0.35">
      <c r="B105" s="2411" t="s">
        <v>2027</v>
      </c>
      <c r="C105" s="2462">
        <f t="shared" si="11"/>
        <v>0</v>
      </c>
      <c r="D105" s="2462">
        <v>1</v>
      </c>
      <c r="E105" s="2463">
        <f t="shared" si="12"/>
        <v>224.70060507088331</v>
      </c>
      <c r="F105" s="2464">
        <f t="shared" si="1"/>
        <v>0.16</v>
      </c>
      <c r="G105" s="2465">
        <f t="shared" si="2"/>
        <v>0.84</v>
      </c>
      <c r="H105" s="2466">
        <f t="shared" si="13"/>
        <v>2.7799999999999998E-2</v>
      </c>
      <c r="I105" s="2467">
        <f t="shared" si="14"/>
        <v>8.1999999999999993</v>
      </c>
      <c r="J105" s="2462">
        <f t="shared" si="15"/>
        <v>8.1999999999999993</v>
      </c>
      <c r="K105" s="2462">
        <f t="shared" si="18"/>
        <v>2.67</v>
      </c>
      <c r="L105" s="2467">
        <f t="shared" si="3"/>
        <v>1.75</v>
      </c>
      <c r="M105" s="2468">
        <f t="shared" si="4"/>
        <v>0.11700000000000001</v>
      </c>
      <c r="N105" s="2465">
        <f t="shared" si="5"/>
        <v>0.98</v>
      </c>
      <c r="O105" s="2469">
        <f t="shared" si="6"/>
        <v>5.7999999999999996E-3</v>
      </c>
      <c r="P105" s="2467">
        <f t="shared" si="16"/>
        <v>0</v>
      </c>
      <c r="Q105" s="2467">
        <f t="shared" si="17"/>
        <v>0</v>
      </c>
      <c r="R105" s="2470">
        <f t="shared" si="7"/>
        <v>0</v>
      </c>
      <c r="S105" s="2471">
        <f t="shared" si="8"/>
        <v>0</v>
      </c>
      <c r="T105" s="2472">
        <f t="shared" si="9"/>
        <v>0</v>
      </c>
      <c r="U105" s="2473">
        <f t="shared" si="10"/>
        <v>0</v>
      </c>
    </row>
    <row r="106" spans="2:25" x14ac:dyDescent="0.35">
      <c r="B106" s="2411" t="s">
        <v>2028</v>
      </c>
      <c r="C106" s="2462">
        <f t="shared" si="11"/>
        <v>0</v>
      </c>
      <c r="D106" s="2462">
        <v>1</v>
      </c>
      <c r="E106" s="2463">
        <f t="shared" si="12"/>
        <v>224.70060507088331</v>
      </c>
      <c r="F106" s="2464">
        <f t="shared" si="1"/>
        <v>0.16</v>
      </c>
      <c r="G106" s="2465">
        <f t="shared" si="2"/>
        <v>0.84</v>
      </c>
      <c r="H106" s="2466">
        <f t="shared" si="13"/>
        <v>2.7799999999999998E-2</v>
      </c>
      <c r="I106" s="2467">
        <f t="shared" si="14"/>
        <v>8.1999999999999993</v>
      </c>
      <c r="J106" s="2462">
        <f t="shared" si="15"/>
        <v>8.1999999999999993</v>
      </c>
      <c r="K106" s="2462">
        <f t="shared" si="18"/>
        <v>2.67</v>
      </c>
      <c r="L106" s="2467">
        <f t="shared" si="3"/>
        <v>1.75</v>
      </c>
      <c r="M106" s="2468">
        <f t="shared" si="4"/>
        <v>0.11700000000000001</v>
      </c>
      <c r="N106" s="2465">
        <f t="shared" si="5"/>
        <v>0.98</v>
      </c>
      <c r="O106" s="2469">
        <f t="shared" si="6"/>
        <v>5.7999999999999996E-3</v>
      </c>
      <c r="P106" s="2467">
        <f t="shared" si="16"/>
        <v>0</v>
      </c>
      <c r="Q106" s="2467">
        <f t="shared" si="17"/>
        <v>0</v>
      </c>
      <c r="R106" s="2470">
        <f t="shared" si="7"/>
        <v>0</v>
      </c>
      <c r="S106" s="2471">
        <f t="shared" si="8"/>
        <v>0</v>
      </c>
      <c r="T106" s="2472">
        <f t="shared" si="9"/>
        <v>0</v>
      </c>
      <c r="U106" s="2473">
        <f t="shared" si="10"/>
        <v>0</v>
      </c>
    </row>
    <row r="107" spans="2:25" x14ac:dyDescent="0.35">
      <c r="B107" s="2411" t="s">
        <v>2029</v>
      </c>
      <c r="C107" s="2462">
        <f t="shared" si="11"/>
        <v>0</v>
      </c>
      <c r="D107" s="2462">
        <v>1</v>
      </c>
      <c r="E107" s="2463">
        <f t="shared" si="12"/>
        <v>224.70060507088331</v>
      </c>
      <c r="F107" s="2464">
        <f t="shared" si="1"/>
        <v>0.16</v>
      </c>
      <c r="G107" s="2465">
        <f t="shared" si="2"/>
        <v>0.84</v>
      </c>
      <c r="H107" s="2466">
        <f t="shared" si="13"/>
        <v>2.7799999999999998E-2</v>
      </c>
      <c r="I107" s="2467">
        <f t="shared" si="14"/>
        <v>8.1999999999999993</v>
      </c>
      <c r="J107" s="2462">
        <f t="shared" si="15"/>
        <v>8.1999999999999993</v>
      </c>
      <c r="K107" s="2462">
        <f t="shared" si="18"/>
        <v>2.67</v>
      </c>
      <c r="L107" s="2467">
        <f t="shared" si="3"/>
        <v>1.75</v>
      </c>
      <c r="M107" s="2468">
        <f t="shared" si="4"/>
        <v>0.11700000000000001</v>
      </c>
      <c r="N107" s="2465">
        <f t="shared" si="5"/>
        <v>0.98</v>
      </c>
      <c r="O107" s="2469">
        <f t="shared" si="6"/>
        <v>5.7999999999999996E-3</v>
      </c>
      <c r="P107" s="2467">
        <f t="shared" si="16"/>
        <v>0</v>
      </c>
      <c r="Q107" s="2467">
        <f t="shared" si="17"/>
        <v>0</v>
      </c>
      <c r="R107" s="2470">
        <f t="shared" si="7"/>
        <v>0</v>
      </c>
      <c r="S107" s="2471">
        <f t="shared" si="8"/>
        <v>0</v>
      </c>
      <c r="T107" s="2472">
        <f t="shared" si="9"/>
        <v>0</v>
      </c>
      <c r="U107" s="2473">
        <f t="shared" si="10"/>
        <v>0</v>
      </c>
    </row>
    <row r="108" spans="2:25" x14ac:dyDescent="0.35">
      <c r="B108" s="2411" t="s">
        <v>2030</v>
      </c>
      <c r="C108" s="2462">
        <f t="shared" si="11"/>
        <v>125</v>
      </c>
      <c r="D108" s="2462">
        <v>0.25</v>
      </c>
      <c r="E108" s="2463">
        <f t="shared" si="12"/>
        <v>56.175151267720828</v>
      </c>
      <c r="F108" s="2464">
        <f t="shared" si="1"/>
        <v>0.16</v>
      </c>
      <c r="G108" s="2465">
        <f t="shared" si="2"/>
        <v>0.84</v>
      </c>
      <c r="H108" s="2466">
        <f t="shared" si="13"/>
        <v>2.7799999999999998E-2</v>
      </c>
      <c r="I108" s="2467">
        <f t="shared" si="14"/>
        <v>8.1999999999999993</v>
      </c>
      <c r="J108" s="2462">
        <f t="shared" si="15"/>
        <v>8.1999999999999993</v>
      </c>
      <c r="K108" s="2462">
        <f t="shared" si="18"/>
        <v>2.67</v>
      </c>
      <c r="L108" s="2467">
        <f t="shared" si="3"/>
        <v>1.75</v>
      </c>
      <c r="M108" s="2468">
        <f t="shared" si="4"/>
        <v>0.11700000000000001</v>
      </c>
      <c r="N108" s="2465">
        <f t="shared" si="5"/>
        <v>0.98</v>
      </c>
      <c r="O108" s="2469">
        <f t="shared" si="6"/>
        <v>5.7999999999999996E-3</v>
      </c>
      <c r="P108" s="2467">
        <f t="shared" si="16"/>
        <v>2002.4687158875001</v>
      </c>
      <c r="Q108" s="2467">
        <f t="shared" si="17"/>
        <v>422.77152408750004</v>
      </c>
      <c r="R108" s="2470">
        <f t="shared" si="7"/>
        <v>0.99098318465340063</v>
      </c>
      <c r="S108" s="2471">
        <f t="shared" si="8"/>
        <v>411.12632042999996</v>
      </c>
      <c r="T108" s="2472">
        <f t="shared" si="9"/>
        <v>1500</v>
      </c>
      <c r="U108" s="2473">
        <f t="shared" si="10"/>
        <v>84385.533750000002</v>
      </c>
    </row>
    <row r="109" spans="2:25" x14ac:dyDescent="0.35">
      <c r="B109" s="2411" t="s">
        <v>2031</v>
      </c>
      <c r="C109" s="2462">
        <f t="shared" si="11"/>
        <v>0</v>
      </c>
      <c r="D109" s="2462">
        <v>1</v>
      </c>
      <c r="E109" s="2463">
        <f t="shared" si="12"/>
        <v>224.70060507088331</v>
      </c>
      <c r="F109" s="2464">
        <f t="shared" si="1"/>
        <v>0.16</v>
      </c>
      <c r="G109" s="2465">
        <f t="shared" si="2"/>
        <v>0.84</v>
      </c>
      <c r="H109" s="2466">
        <f t="shared" si="13"/>
        <v>2.7799999999999998E-2</v>
      </c>
      <c r="I109" s="2467">
        <f t="shared" si="14"/>
        <v>8.1999999999999993</v>
      </c>
      <c r="J109" s="2462">
        <f t="shared" si="15"/>
        <v>8.1999999999999993</v>
      </c>
      <c r="K109" s="2462">
        <f t="shared" si="18"/>
        <v>2.67</v>
      </c>
      <c r="L109" s="2467">
        <f t="shared" si="3"/>
        <v>1.75</v>
      </c>
      <c r="M109" s="2468">
        <f t="shared" si="4"/>
        <v>0.11700000000000001</v>
      </c>
      <c r="N109" s="2465">
        <f t="shared" si="5"/>
        <v>0.98</v>
      </c>
      <c r="O109" s="2469">
        <f t="shared" si="6"/>
        <v>5.7999999999999996E-3</v>
      </c>
      <c r="P109" s="2467">
        <f t="shared" si="16"/>
        <v>0</v>
      </c>
      <c r="Q109" s="2467">
        <f t="shared" si="17"/>
        <v>0</v>
      </c>
      <c r="R109" s="2470">
        <f t="shared" si="7"/>
        <v>0</v>
      </c>
      <c r="S109" s="2471">
        <f t="shared" si="8"/>
        <v>0</v>
      </c>
      <c r="T109" s="2472">
        <f t="shared" si="9"/>
        <v>0</v>
      </c>
      <c r="U109" s="2473">
        <f t="shared" si="10"/>
        <v>0</v>
      </c>
    </row>
    <row r="110" spans="2:25" x14ac:dyDescent="0.35">
      <c r="B110" s="2411" t="s">
        <v>2032</v>
      </c>
      <c r="C110" s="2462">
        <f t="shared" si="11"/>
        <v>125</v>
      </c>
      <c r="D110" s="2462">
        <v>0.5</v>
      </c>
      <c r="E110" s="2463">
        <f t="shared" si="12"/>
        <v>112.35030253544166</v>
      </c>
      <c r="F110" s="2464">
        <f t="shared" si="1"/>
        <v>0.16</v>
      </c>
      <c r="G110" s="2465">
        <f t="shared" si="2"/>
        <v>0.84</v>
      </c>
      <c r="H110" s="2466">
        <f t="shared" si="13"/>
        <v>2.7799999999999998E-2</v>
      </c>
      <c r="I110" s="2467">
        <f t="shared" si="14"/>
        <v>8.1999999999999993</v>
      </c>
      <c r="J110" s="2462">
        <f t="shared" si="15"/>
        <v>8.1999999999999993</v>
      </c>
      <c r="K110" s="2462">
        <f t="shared" si="18"/>
        <v>2.67</v>
      </c>
      <c r="L110" s="2467">
        <f t="shared" si="3"/>
        <v>1.75</v>
      </c>
      <c r="M110" s="2468">
        <f t="shared" si="4"/>
        <v>0.11700000000000001</v>
      </c>
      <c r="N110" s="2465">
        <f t="shared" si="5"/>
        <v>0.98</v>
      </c>
      <c r="O110" s="2469">
        <f t="shared" si="6"/>
        <v>5.7999999999999996E-3</v>
      </c>
      <c r="P110" s="2467">
        <f t="shared" si="16"/>
        <v>4004.9374317750003</v>
      </c>
      <c r="Q110" s="2467">
        <f t="shared" si="17"/>
        <v>845.54304817500008</v>
      </c>
      <c r="R110" s="2470">
        <f t="shared" si="7"/>
        <v>0.99098318465340063</v>
      </c>
      <c r="S110" s="2471">
        <f t="shared" si="8"/>
        <v>822.25264085999993</v>
      </c>
      <c r="T110" s="2472">
        <f t="shared" si="9"/>
        <v>1500</v>
      </c>
      <c r="U110" s="2473">
        <f t="shared" si="10"/>
        <v>168771.0675</v>
      </c>
    </row>
    <row r="111" spans="2:25" ht="15" thickBot="1" x14ac:dyDescent="0.4">
      <c r="B111" s="2427" t="s">
        <v>2033</v>
      </c>
      <c r="C111" s="2460">
        <f t="shared" si="11"/>
        <v>0</v>
      </c>
      <c r="D111" s="2460">
        <v>1</v>
      </c>
      <c r="E111" s="2474">
        <f t="shared" si="12"/>
        <v>224.70060507088331</v>
      </c>
      <c r="F111" s="2475">
        <f t="shared" si="1"/>
        <v>0.16</v>
      </c>
      <c r="G111" s="2476">
        <f t="shared" si="2"/>
        <v>0.84</v>
      </c>
      <c r="H111" s="2477">
        <f t="shared" si="13"/>
        <v>2.7799999999999998E-2</v>
      </c>
      <c r="I111" s="2478">
        <f t="shared" si="14"/>
        <v>8.1999999999999993</v>
      </c>
      <c r="J111" s="2460">
        <f t="shared" si="15"/>
        <v>8.1999999999999993</v>
      </c>
      <c r="K111" s="2460">
        <f t="shared" si="18"/>
        <v>2.67</v>
      </c>
      <c r="L111" s="2478">
        <f t="shared" si="3"/>
        <v>1.75</v>
      </c>
      <c r="M111" s="2479">
        <f t="shared" si="4"/>
        <v>0.11700000000000001</v>
      </c>
      <c r="N111" s="2476">
        <f t="shared" si="5"/>
        <v>0.98</v>
      </c>
      <c r="O111" s="2480">
        <f t="shared" si="6"/>
        <v>5.7999999999999996E-3</v>
      </c>
      <c r="P111" s="2478">
        <f t="shared" si="16"/>
        <v>0</v>
      </c>
      <c r="Q111" s="2478">
        <f t="shared" si="17"/>
        <v>0</v>
      </c>
      <c r="R111" s="2481">
        <f t="shared" si="7"/>
        <v>0</v>
      </c>
      <c r="S111" s="2482">
        <f t="shared" si="8"/>
        <v>0</v>
      </c>
      <c r="T111" s="2483">
        <f t="shared" si="9"/>
        <v>0</v>
      </c>
      <c r="U111" s="2484">
        <f t="shared" si="10"/>
        <v>0</v>
      </c>
    </row>
    <row r="112" spans="2:25" ht="15" thickBot="1" x14ac:dyDescent="0.4">
      <c r="B112" s="2485" t="s">
        <v>284</v>
      </c>
      <c r="C112" s="2486">
        <f>SUM(C99:C111)</f>
        <v>250</v>
      </c>
      <c r="O112" s="2487" t="s">
        <v>2049</v>
      </c>
      <c r="P112" s="2488">
        <f>SUM(P99:P111)</f>
        <v>6007.4061476625002</v>
      </c>
      <c r="Q112" s="2488">
        <f>SUM(Q99:Q111)</f>
        <v>1268.3145722625002</v>
      </c>
      <c r="R112" s="2488">
        <f t="shared" ref="R112:U112" si="19">SUM(R99:R111)</f>
        <v>1.9819663693068013</v>
      </c>
      <c r="S112" s="2488">
        <f t="shared" si="19"/>
        <v>1233.37896129</v>
      </c>
      <c r="T112" s="2488">
        <f t="shared" si="19"/>
        <v>3000</v>
      </c>
      <c r="U112" s="2489">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Y112"/>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3.1796875" style="675" customWidth="1"/>
    <col min="16" max="16" width="12.26953125" style="675" customWidth="1"/>
    <col min="17" max="17" width="13.81640625"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9" ht="21" x14ac:dyDescent="0.5">
      <c r="A1" s="674" t="s">
        <v>1945</v>
      </c>
    </row>
    <row r="3" spans="1:9" ht="21" x14ac:dyDescent="0.5">
      <c r="A3" s="676" t="s">
        <v>1946</v>
      </c>
      <c r="B3" s="677"/>
      <c r="C3" s="677"/>
      <c r="D3" s="677"/>
      <c r="E3" s="677"/>
      <c r="F3" s="677"/>
      <c r="G3" s="677"/>
      <c r="H3" s="677"/>
      <c r="I3" s="677"/>
    </row>
    <row r="4" spans="1:9" ht="15" thickBot="1" x14ac:dyDescent="0.4"/>
    <row r="5" spans="1:9" x14ac:dyDescent="0.35">
      <c r="B5" s="678" t="s">
        <v>1947</v>
      </c>
      <c r="C5" s="679">
        <f>B74</f>
        <v>25</v>
      </c>
      <c r="D5" s="680"/>
      <c r="E5" s="680"/>
      <c r="F5" s="680"/>
    </row>
    <row r="6" spans="1:9" x14ac:dyDescent="0.35">
      <c r="B6" s="681" t="s">
        <v>1948</v>
      </c>
      <c r="C6" s="682">
        <f>C112</f>
        <v>250</v>
      </c>
      <c r="D6" s="683" t="s">
        <v>1949</v>
      </c>
      <c r="F6" s="680"/>
    </row>
    <row r="7" spans="1:9" x14ac:dyDescent="0.35">
      <c r="B7" s="681" t="s">
        <v>1950</v>
      </c>
      <c r="C7" s="684">
        <f>P112</f>
        <v>6007.4061476625002</v>
      </c>
      <c r="D7" s="683"/>
      <c r="E7" s="683"/>
      <c r="F7" s="683"/>
    </row>
    <row r="8" spans="1:9" x14ac:dyDescent="0.35">
      <c r="B8" s="681" t="s">
        <v>1951</v>
      </c>
      <c r="C8" s="682">
        <f>R112</f>
        <v>1.9819663693068013</v>
      </c>
      <c r="D8" s="683"/>
      <c r="E8" s="683"/>
      <c r="F8" s="683"/>
    </row>
    <row r="9" spans="1:9" x14ac:dyDescent="0.35">
      <c r="B9" s="681" t="s">
        <v>1952</v>
      </c>
      <c r="C9" s="684">
        <f>S112</f>
        <v>1233.37896129</v>
      </c>
      <c r="D9" s="683"/>
      <c r="E9" s="683"/>
      <c r="F9" s="683"/>
    </row>
    <row r="10" spans="1:9" x14ac:dyDescent="0.35">
      <c r="B10" s="681" t="s">
        <v>1953</v>
      </c>
      <c r="C10" s="685">
        <f>T112</f>
        <v>5400</v>
      </c>
      <c r="D10" s="686"/>
      <c r="E10" s="686"/>
      <c r="F10" s="686"/>
    </row>
    <row r="11" spans="1:9" x14ac:dyDescent="0.35">
      <c r="B11" s="681" t="s">
        <v>1954</v>
      </c>
      <c r="C11" s="685">
        <f>C10*C92</f>
        <v>864</v>
      </c>
      <c r="D11" s="686"/>
      <c r="E11" s="686"/>
      <c r="F11" s="686"/>
    </row>
    <row r="12" spans="1:9" x14ac:dyDescent="0.35">
      <c r="B12" s="681" t="s">
        <v>1955</v>
      </c>
      <c r="C12" s="685">
        <f>C10*C93</f>
        <v>4536</v>
      </c>
      <c r="D12" s="686"/>
      <c r="E12" s="686"/>
      <c r="F12" s="686"/>
    </row>
    <row r="13" spans="1:9" x14ac:dyDescent="0.35">
      <c r="B13" s="681" t="s">
        <v>61</v>
      </c>
      <c r="C13" s="687">
        <f>(C7/C6)</f>
        <v>24.029624590650002</v>
      </c>
      <c r="D13" s="686" t="s">
        <v>1956</v>
      </c>
      <c r="E13" s="686"/>
      <c r="F13" s="686"/>
    </row>
    <row r="14" spans="1:9" x14ac:dyDescent="0.35">
      <c r="B14" s="681" t="s">
        <v>62</v>
      </c>
      <c r="C14" s="687">
        <f>(C8/C6)</f>
        <v>7.9278654772272049E-3</v>
      </c>
      <c r="D14" s="686" t="s">
        <v>1956</v>
      </c>
      <c r="E14" s="686"/>
      <c r="F14" s="686"/>
      <c r="H14" s="828"/>
    </row>
    <row r="15" spans="1:9" x14ac:dyDescent="0.35">
      <c r="B15" s="681" t="s">
        <v>63</v>
      </c>
      <c r="C15" s="687">
        <f>(C9/C6)</f>
        <v>4.9335158451599996</v>
      </c>
      <c r="D15" s="686" t="s">
        <v>1956</v>
      </c>
      <c r="E15" s="686"/>
      <c r="F15" s="686"/>
    </row>
    <row r="16" spans="1:9" x14ac:dyDescent="0.35">
      <c r="B16" s="681" t="s">
        <v>1957</v>
      </c>
      <c r="C16" s="688">
        <f>C11/C7</f>
        <v>0.14382247158970349</v>
      </c>
      <c r="D16" s="686"/>
      <c r="E16" s="686"/>
      <c r="F16" s="686"/>
    </row>
    <row r="17" spans="1:6" x14ac:dyDescent="0.35">
      <c r="B17" s="681" t="s">
        <v>1958</v>
      </c>
      <c r="C17" s="689">
        <f>C12/C9</f>
        <v>3.6777017789048103</v>
      </c>
      <c r="D17" s="690"/>
      <c r="E17" s="690"/>
      <c r="F17" s="690"/>
    </row>
    <row r="18" spans="1:6" x14ac:dyDescent="0.35">
      <c r="B18" s="681" t="s">
        <v>1959</v>
      </c>
      <c r="C18" s="691">
        <f>U112</f>
        <v>253156.60125000001</v>
      </c>
    </row>
    <row r="19" spans="1:6" ht="15" thickBot="1" x14ac:dyDescent="0.4">
      <c r="B19" s="692" t="s">
        <v>1960</v>
      </c>
      <c r="C19" s="693">
        <f>Y99</f>
        <v>3000</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697">
        <v>1.06</v>
      </c>
      <c r="D22" s="680" t="s">
        <v>1963</v>
      </c>
      <c r="E22" s="698"/>
      <c r="F22" s="680"/>
    </row>
    <row r="23" spans="1:6" x14ac:dyDescent="0.35">
      <c r="B23" s="681" t="s">
        <v>1964</v>
      </c>
      <c r="C23" s="699">
        <v>1</v>
      </c>
      <c r="D23" s="680"/>
      <c r="E23" s="698"/>
      <c r="F23" s="680"/>
    </row>
    <row r="24" spans="1:6" x14ac:dyDescent="0.35">
      <c r="B24" s="681" t="s">
        <v>1965</v>
      </c>
      <c r="C24" s="684">
        <f>C22*C7</f>
        <v>6367.8505165222505</v>
      </c>
      <c r="D24" s="683"/>
      <c r="E24" s="683"/>
      <c r="F24" s="683"/>
    </row>
    <row r="25" spans="1:6" x14ac:dyDescent="0.35">
      <c r="B25" s="681" t="s">
        <v>1966</v>
      </c>
      <c r="C25" s="684">
        <f>C22*C8</f>
        <v>2.1008843514652096</v>
      </c>
      <c r="D25" s="700"/>
      <c r="E25" s="700"/>
      <c r="F25" s="683"/>
    </row>
    <row r="26" spans="1:6" x14ac:dyDescent="0.35">
      <c r="B26" s="681" t="s">
        <v>1967</v>
      </c>
      <c r="C26" s="684">
        <f>C23*C9</f>
        <v>1233.37896129</v>
      </c>
      <c r="D26" s="683"/>
      <c r="E26" s="701"/>
      <c r="F26" s="683"/>
    </row>
    <row r="27" spans="1:6" x14ac:dyDescent="0.35">
      <c r="B27" s="681" t="s">
        <v>1968</v>
      </c>
      <c r="C27" s="688">
        <f>C11/C24</f>
        <v>0.13568157697141839</v>
      </c>
      <c r="D27" s="683"/>
      <c r="E27" s="701"/>
      <c r="F27" s="683"/>
    </row>
    <row r="28" spans="1:6" x14ac:dyDescent="0.35">
      <c r="B28" s="681" t="s">
        <v>1969</v>
      </c>
      <c r="C28" s="689">
        <f>C12/C26</f>
        <v>3.6777017789048103</v>
      </c>
      <c r="D28" s="690"/>
      <c r="E28" s="690"/>
      <c r="F28" s="690"/>
    </row>
    <row r="29" spans="1:6" ht="15" thickBot="1" x14ac:dyDescent="0.4">
      <c r="B29" s="692" t="s">
        <v>1970</v>
      </c>
      <c r="C29" s="702">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240.29624590650002</v>
      </c>
      <c r="D33" s="683"/>
      <c r="E33" s="683"/>
      <c r="F33" s="683"/>
    </row>
    <row r="34" spans="1:17" x14ac:dyDescent="0.35">
      <c r="B34" s="681" t="s">
        <v>1973</v>
      </c>
      <c r="C34" s="684">
        <f>C9/C5</f>
        <v>49.335158451600002</v>
      </c>
      <c r="D34" s="706"/>
      <c r="E34" s="706"/>
      <c r="F34" s="706"/>
    </row>
    <row r="35" spans="1:17" x14ac:dyDescent="0.35">
      <c r="B35" s="681" t="s">
        <v>1974</v>
      </c>
      <c r="C35" s="707">
        <f>C10/C5</f>
        <v>216</v>
      </c>
    </row>
    <row r="36" spans="1:17" x14ac:dyDescent="0.35">
      <c r="B36" s="681" t="s">
        <v>1975</v>
      </c>
      <c r="C36" s="708">
        <f>C18/C5</f>
        <v>10126.26405</v>
      </c>
    </row>
    <row r="37" spans="1:17" ht="15" thickBot="1" x14ac:dyDescent="0.4">
      <c r="B37" s="692" t="s">
        <v>1976</v>
      </c>
      <c r="C37" s="709">
        <f>C19/C5</f>
        <v>120</v>
      </c>
    </row>
    <row r="38" spans="1:17" x14ac:dyDescent="0.35">
      <c r="H38" s="698"/>
      <c r="I38" s="698"/>
      <c r="J38" s="698"/>
    </row>
    <row r="39" spans="1:17" ht="21" x14ac:dyDescent="0.5">
      <c r="A39" s="704" t="s">
        <v>1977</v>
      </c>
    </row>
    <row r="40" spans="1:17" ht="31.5" customHeight="1" x14ac:dyDescent="0.35">
      <c r="J40" s="2979" t="s">
        <v>1980</v>
      </c>
      <c r="K40" s="2980"/>
      <c r="L40" s="2980"/>
      <c r="M40" s="2980"/>
      <c r="N40" s="2980"/>
      <c r="O40" s="2980"/>
      <c r="P40" s="2980"/>
      <c r="Q40" s="2981"/>
    </row>
    <row r="41" spans="1:17" ht="15" thickBot="1" x14ac:dyDescent="0.4">
      <c r="B41" s="710" t="s">
        <v>1978</v>
      </c>
      <c r="C41" s="711" t="s">
        <v>1979</v>
      </c>
      <c r="D41" s="712"/>
      <c r="E41" s="712"/>
      <c r="F41" s="712"/>
      <c r="G41" s="698"/>
      <c r="J41" s="2982" t="s">
        <v>1981</v>
      </c>
      <c r="K41" s="2983"/>
      <c r="L41" s="2983"/>
      <c r="M41" s="2983"/>
      <c r="N41" s="2983"/>
      <c r="O41" s="2983"/>
      <c r="P41" s="2983"/>
      <c r="Q41" s="2984"/>
    </row>
    <row r="42" spans="1:17" x14ac:dyDescent="0.35">
      <c r="B42" s="678" t="s">
        <v>648</v>
      </c>
      <c r="C42" s="713">
        <v>2.67</v>
      </c>
      <c r="D42" s="714"/>
      <c r="E42" s="715"/>
      <c r="F42" s="716"/>
      <c r="G42" s="698"/>
      <c r="J42" s="2493" t="s">
        <v>1983</v>
      </c>
      <c r="K42" s="2494"/>
      <c r="L42" s="2494"/>
      <c r="M42" s="2494"/>
      <c r="N42" s="2494"/>
      <c r="O42" s="2494"/>
      <c r="P42" s="2494"/>
      <c r="Q42" s="2495"/>
    </row>
    <row r="43" spans="1:17" x14ac:dyDescent="0.35">
      <c r="B43" s="681" t="s">
        <v>652</v>
      </c>
      <c r="C43" s="717">
        <v>1.75</v>
      </c>
      <c r="D43" s="698" t="s">
        <v>1982</v>
      </c>
      <c r="E43" s="698"/>
      <c r="F43" s="718"/>
      <c r="G43" s="698"/>
      <c r="J43" s="2493" t="s">
        <v>1985</v>
      </c>
      <c r="K43" s="2494"/>
      <c r="L43" s="2494"/>
      <c r="M43" s="2494"/>
      <c r="N43" s="2494"/>
      <c r="O43" s="2494"/>
      <c r="P43" s="2494"/>
      <c r="Q43" s="2495"/>
    </row>
    <row r="44" spans="1:17" x14ac:dyDescent="0.35">
      <c r="B44" s="681" t="s">
        <v>1984</v>
      </c>
      <c r="C44" s="2679">
        <v>0.11700000000000001</v>
      </c>
      <c r="D44" s="698"/>
      <c r="E44" s="698"/>
      <c r="F44" s="698"/>
      <c r="G44" s="698"/>
      <c r="J44" s="2493" t="s">
        <v>1986</v>
      </c>
      <c r="K44" s="2494"/>
      <c r="L44" s="2494"/>
      <c r="M44" s="2494"/>
      <c r="N44" s="2494"/>
      <c r="O44" s="2494"/>
      <c r="P44" s="2494"/>
      <c r="Q44" s="2495"/>
    </row>
    <row r="45" spans="1:17" x14ac:dyDescent="0.35">
      <c r="B45" s="681" t="s">
        <v>303</v>
      </c>
      <c r="C45" s="2384">
        <v>0.98</v>
      </c>
      <c r="D45" s="698"/>
      <c r="E45" s="698"/>
      <c r="F45" s="698"/>
      <c r="G45" s="698"/>
      <c r="J45" s="2991" t="s">
        <v>1988</v>
      </c>
      <c r="K45" s="2992"/>
      <c r="L45" s="2992"/>
      <c r="M45" s="2992"/>
      <c r="N45" s="2992"/>
      <c r="O45" s="2992"/>
      <c r="P45" s="2992"/>
      <c r="Q45" s="2993"/>
    </row>
    <row r="46" spans="1:17" x14ac:dyDescent="0.35">
      <c r="B46" s="681" t="s">
        <v>1987</v>
      </c>
      <c r="C46" s="2679">
        <v>5.7999999999999996E-3</v>
      </c>
      <c r="D46" s="698"/>
      <c r="E46" s="698"/>
      <c r="F46" s="698"/>
      <c r="G46" s="698"/>
      <c r="J46" s="2505" t="s">
        <v>3310</v>
      </c>
      <c r="K46" s="2506"/>
      <c r="L46" s="2506"/>
      <c r="M46" s="2506"/>
      <c r="N46" s="2506"/>
      <c r="O46" s="2506"/>
      <c r="P46" s="2506"/>
      <c r="Q46" s="2507"/>
    </row>
    <row r="47" spans="1:17" x14ac:dyDescent="0.35">
      <c r="B47" s="681" t="s">
        <v>1989</v>
      </c>
      <c r="C47" s="721">
        <v>8.1999999999999993</v>
      </c>
      <c r="E47" s="698"/>
      <c r="F47" s="698"/>
      <c r="G47" s="698"/>
      <c r="J47" s="2516" t="s">
        <v>1990</v>
      </c>
      <c r="K47" s="725"/>
      <c r="L47" s="725"/>
      <c r="M47" s="725"/>
      <c r="N47" s="725"/>
      <c r="O47" s="725"/>
      <c r="P47" s="725"/>
      <c r="Q47" s="726"/>
    </row>
    <row r="48" spans="1:17" x14ac:dyDescent="0.35">
      <c r="B48" s="681" t="s">
        <v>1991</v>
      </c>
      <c r="C48" s="721">
        <v>8.1999999999999993</v>
      </c>
      <c r="D48" s="723"/>
      <c r="E48" s="723"/>
      <c r="F48" s="698"/>
      <c r="G48" s="698"/>
      <c r="J48" s="724" t="s">
        <v>647</v>
      </c>
      <c r="K48" s="725" t="s">
        <v>1992</v>
      </c>
      <c r="L48" s="725" t="s">
        <v>1993</v>
      </c>
      <c r="M48" s="725"/>
      <c r="N48" s="725"/>
      <c r="O48" s="725"/>
      <c r="P48" s="725"/>
      <c r="Q48" s="726"/>
    </row>
    <row r="49" spans="2:18" x14ac:dyDescent="0.35">
      <c r="B49" s="727" t="s">
        <v>1994</v>
      </c>
      <c r="C49" s="728">
        <v>27.51</v>
      </c>
      <c r="D49" s="729"/>
      <c r="E49" s="729"/>
      <c r="F49" s="698"/>
      <c r="G49" s="698"/>
      <c r="J49" s="724" t="s">
        <v>648</v>
      </c>
      <c r="K49" s="725" t="s">
        <v>1992</v>
      </c>
      <c r="L49" s="725" t="s">
        <v>1995</v>
      </c>
      <c r="M49" s="725"/>
      <c r="N49" s="725"/>
      <c r="O49" s="725"/>
      <c r="P49" s="725"/>
      <c r="Q49" s="726"/>
    </row>
    <row r="50" spans="2:18" x14ac:dyDescent="0.35">
      <c r="B50" s="727" t="s">
        <v>440</v>
      </c>
      <c r="C50" s="2522">
        <v>2.7799999999999998E-2</v>
      </c>
      <c r="D50" s="729"/>
      <c r="E50" s="729"/>
      <c r="F50" s="698"/>
      <c r="G50" s="698"/>
      <c r="J50" s="724" t="s">
        <v>652</v>
      </c>
      <c r="K50" s="725" t="s">
        <v>1992</v>
      </c>
      <c r="L50" s="725" t="s">
        <v>1996</v>
      </c>
      <c r="M50" s="725"/>
      <c r="N50" s="725"/>
      <c r="O50" s="725"/>
      <c r="P50" s="725"/>
      <c r="Q50" s="726"/>
    </row>
    <row r="51" spans="2:18" ht="15" thickBot="1" x14ac:dyDescent="0.4">
      <c r="B51" s="2523" t="s">
        <v>3311</v>
      </c>
      <c r="C51" s="2526">
        <v>5010</v>
      </c>
      <c r="D51" s="729"/>
      <c r="E51" s="729"/>
      <c r="F51" s="698"/>
      <c r="G51" s="698"/>
      <c r="J51" s="724" t="s">
        <v>650</v>
      </c>
      <c r="K51" s="725" t="s">
        <v>1992</v>
      </c>
      <c r="L51" s="725" t="s">
        <v>1997</v>
      </c>
      <c r="M51" s="725"/>
      <c r="N51" s="725"/>
      <c r="O51" s="725"/>
      <c r="P51" s="725"/>
      <c r="Q51" s="726"/>
      <c r="R51" s="698"/>
    </row>
    <row r="52" spans="2:18" x14ac:dyDescent="0.35">
      <c r="B52" s="730"/>
      <c r="C52" s="731"/>
      <c r="D52" s="729"/>
      <c r="E52" s="729"/>
      <c r="F52" s="698"/>
      <c r="G52" s="698"/>
      <c r="J52" s="724" t="s">
        <v>653</v>
      </c>
      <c r="K52" s="725" t="s">
        <v>1992</v>
      </c>
      <c r="L52" s="725" t="s">
        <v>1998</v>
      </c>
      <c r="M52" s="725"/>
      <c r="N52" s="725"/>
      <c r="O52" s="725"/>
      <c r="P52" s="725"/>
      <c r="Q52" s="726"/>
      <c r="R52" s="698"/>
    </row>
    <row r="53" spans="2:18" x14ac:dyDescent="0.35">
      <c r="B53" s="730"/>
      <c r="C53" s="731"/>
      <c r="D53" s="729"/>
      <c r="E53" s="729"/>
      <c r="F53" s="698"/>
      <c r="G53" s="698"/>
      <c r="J53" s="2493">
        <v>365.25</v>
      </c>
      <c r="K53" s="725" t="s">
        <v>1992</v>
      </c>
      <c r="L53" s="725" t="s">
        <v>1999</v>
      </c>
      <c r="M53" s="725"/>
      <c r="N53" s="725"/>
      <c r="O53" s="725"/>
      <c r="P53" s="725"/>
      <c r="Q53" s="726"/>
      <c r="R53" s="698"/>
    </row>
    <row r="54" spans="2:18" x14ac:dyDescent="0.35">
      <c r="B54" s="730"/>
      <c r="C54" s="731"/>
      <c r="D54" s="729"/>
      <c r="E54" s="729"/>
      <c r="F54" s="698"/>
      <c r="G54" s="698"/>
      <c r="J54" s="724" t="s">
        <v>2000</v>
      </c>
      <c r="K54" s="725" t="s">
        <v>2001</v>
      </c>
      <c r="L54" s="725" t="s">
        <v>2002</v>
      </c>
      <c r="M54" s="725"/>
      <c r="N54" s="725"/>
      <c r="O54" s="725"/>
      <c r="P54" s="725"/>
      <c r="Q54" s="726"/>
      <c r="R54" s="698"/>
    </row>
    <row r="55" spans="2:18" x14ac:dyDescent="0.35">
      <c r="B55" s="730"/>
      <c r="C55" s="731"/>
      <c r="D55" s="729"/>
      <c r="E55" s="729"/>
      <c r="F55" s="698"/>
      <c r="G55" s="698"/>
      <c r="J55" s="724" t="s">
        <v>658</v>
      </c>
      <c r="K55" s="725" t="s">
        <v>1992</v>
      </c>
      <c r="L55" s="725" t="s">
        <v>2003</v>
      </c>
      <c r="M55" s="725"/>
      <c r="N55" s="725"/>
      <c r="O55" s="725"/>
      <c r="P55" s="725"/>
      <c r="Q55" s="726"/>
      <c r="R55" s="698"/>
    </row>
    <row r="56" spans="2:18" x14ac:dyDescent="0.35">
      <c r="B56" s="730"/>
      <c r="C56" s="731"/>
      <c r="D56" s="729"/>
      <c r="E56" s="729"/>
      <c r="F56" s="698"/>
      <c r="G56" s="698"/>
      <c r="J56" s="724" t="s">
        <v>303</v>
      </c>
      <c r="K56" s="725" t="s">
        <v>1992</v>
      </c>
      <c r="L56" s="725" t="s">
        <v>2004</v>
      </c>
      <c r="M56" s="725"/>
      <c r="N56" s="725"/>
      <c r="O56" s="725"/>
      <c r="P56" s="725"/>
      <c r="Q56" s="726"/>
      <c r="R56" s="698"/>
    </row>
    <row r="57" spans="2:18" x14ac:dyDescent="0.35">
      <c r="B57" s="730"/>
      <c r="C57" s="731"/>
      <c r="D57" s="729"/>
      <c r="E57" s="729"/>
      <c r="F57" s="698"/>
      <c r="G57" s="698"/>
      <c r="J57" s="724" t="s">
        <v>293</v>
      </c>
      <c r="K57" s="725" t="s">
        <v>1992</v>
      </c>
      <c r="L57" s="725" t="s">
        <v>2005</v>
      </c>
      <c r="M57" s="725"/>
      <c r="N57" s="725"/>
      <c r="O57" s="725"/>
      <c r="P57" s="725"/>
      <c r="Q57" s="726"/>
      <c r="R57" s="698"/>
    </row>
    <row r="58" spans="2:18" x14ac:dyDescent="0.35">
      <c r="B58" s="730"/>
      <c r="C58" s="731"/>
      <c r="D58" s="729"/>
      <c r="E58" s="729"/>
      <c r="F58" s="698"/>
      <c r="G58" s="698"/>
      <c r="J58" s="724" t="s">
        <v>440</v>
      </c>
      <c r="K58" s="725" t="s">
        <v>1992</v>
      </c>
      <c r="L58" s="725" t="s">
        <v>2006</v>
      </c>
      <c r="M58" s="725"/>
      <c r="N58" s="725"/>
      <c r="O58" s="725"/>
      <c r="P58" s="725"/>
      <c r="Q58" s="726"/>
      <c r="R58" s="698"/>
    </row>
    <row r="59" spans="2:18" x14ac:dyDescent="0.35">
      <c r="B59" s="730"/>
      <c r="C59" s="731"/>
      <c r="D59" s="729"/>
      <c r="E59" s="729"/>
      <c r="F59" s="698"/>
      <c r="G59" s="698"/>
      <c r="J59" s="724" t="s">
        <v>664</v>
      </c>
      <c r="K59" s="725" t="s">
        <v>1992</v>
      </c>
      <c r="L59" s="725" t="s">
        <v>2007</v>
      </c>
      <c r="M59" s="725"/>
      <c r="N59" s="725"/>
      <c r="O59" s="725"/>
      <c r="P59" s="725"/>
      <c r="Q59" s="726"/>
      <c r="R59" s="698"/>
    </row>
    <row r="60" spans="2:18" x14ac:dyDescent="0.35">
      <c r="B60" s="730"/>
      <c r="C60" s="731"/>
      <c r="D60" s="729"/>
      <c r="E60" s="729"/>
      <c r="F60" s="698"/>
      <c r="G60" s="698"/>
      <c r="J60" s="724" t="s">
        <v>665</v>
      </c>
      <c r="K60" s="725" t="s">
        <v>1992</v>
      </c>
      <c r="L60" s="725" t="s">
        <v>2008</v>
      </c>
      <c r="M60" s="725"/>
      <c r="N60" s="725"/>
      <c r="O60" s="725"/>
      <c r="P60" s="725"/>
      <c r="Q60" s="726"/>
      <c r="R60" s="698"/>
    </row>
    <row r="61" spans="2:18" x14ac:dyDescent="0.35">
      <c r="B61" s="730"/>
      <c r="C61" s="731"/>
      <c r="D61" s="729"/>
      <c r="E61" s="729"/>
      <c r="F61" s="698"/>
      <c r="G61" s="698"/>
      <c r="J61" s="724" t="s">
        <v>1994</v>
      </c>
      <c r="K61" s="725" t="s">
        <v>1992</v>
      </c>
      <c r="L61" s="725" t="s">
        <v>2009</v>
      </c>
      <c r="M61" s="725"/>
      <c r="N61" s="725"/>
      <c r="O61" s="725"/>
      <c r="P61" s="725"/>
      <c r="Q61" s="726"/>
      <c r="R61" s="698"/>
    </row>
    <row r="62" spans="2:18" ht="15" thickBot="1" x14ac:dyDescent="0.4">
      <c r="F62" s="698"/>
      <c r="G62" s="698"/>
      <c r="J62" s="2502" t="s">
        <v>3311</v>
      </c>
      <c r="K62" s="2503" t="s">
        <v>1992</v>
      </c>
      <c r="L62" s="2503" t="s">
        <v>3312</v>
      </c>
      <c r="M62" s="2503"/>
      <c r="N62" s="2503"/>
      <c r="O62" s="2503"/>
      <c r="P62" s="2503"/>
      <c r="Q62" s="2504"/>
    </row>
    <row r="63" spans="2:18" x14ac:dyDescent="0.35">
      <c r="B63" s="733" t="s">
        <v>2010</v>
      </c>
      <c r="F63" s="698"/>
      <c r="G63" s="698"/>
      <c r="J63" s="698"/>
      <c r="K63" s="698"/>
      <c r="L63" s="698"/>
      <c r="M63" s="698"/>
      <c r="N63" s="698"/>
      <c r="O63" s="698"/>
      <c r="P63" s="698"/>
      <c r="Q63" s="698"/>
    </row>
    <row r="64" spans="2:18" ht="15" thickBot="1" x14ac:dyDescent="0.4">
      <c r="B64" s="734">
        <v>12</v>
      </c>
      <c r="C64" s="675" t="s">
        <v>2011</v>
      </c>
      <c r="F64" s="698"/>
      <c r="G64" s="698"/>
      <c r="J64" s="698"/>
      <c r="K64" s="698"/>
      <c r="L64" s="698"/>
      <c r="M64" s="698"/>
      <c r="N64" s="698"/>
      <c r="O64" s="698"/>
      <c r="P64" s="698"/>
      <c r="Q64" s="698"/>
    </row>
    <row r="65" spans="1:24" x14ac:dyDescent="0.35">
      <c r="J65" s="698"/>
      <c r="K65" s="698"/>
      <c r="L65" s="698"/>
      <c r="M65" s="698"/>
      <c r="N65" s="698"/>
      <c r="O65" s="698"/>
      <c r="P65" s="698"/>
      <c r="Q65" s="698"/>
    </row>
    <row r="66" spans="1:24" ht="21" x14ac:dyDescent="0.5">
      <c r="A66" s="704" t="s">
        <v>2012</v>
      </c>
      <c r="J66" s="698"/>
      <c r="K66" s="698"/>
      <c r="L66" s="698"/>
      <c r="M66" s="698"/>
      <c r="N66" s="698"/>
      <c r="O66" s="698"/>
      <c r="P66" s="698"/>
      <c r="Q66" s="698"/>
    </row>
    <row r="67" spans="1:24" ht="21.5" thickBot="1" x14ac:dyDescent="0.55000000000000004">
      <c r="A67" s="704"/>
      <c r="B67" s="698"/>
      <c r="C67" s="735"/>
      <c r="J67" s="698"/>
      <c r="K67" s="698"/>
      <c r="L67" s="698"/>
      <c r="M67" s="698"/>
      <c r="N67" s="698"/>
      <c r="O67" s="698"/>
      <c r="P67" s="698"/>
      <c r="Q67" s="698"/>
    </row>
    <row r="68" spans="1:24" x14ac:dyDescent="0.35">
      <c r="B68" s="736" t="s">
        <v>2013</v>
      </c>
      <c r="E68" s="737"/>
      <c r="F68" s="737"/>
      <c r="G68" s="737"/>
    </row>
    <row r="69" spans="1:24" ht="15" thickBot="1" x14ac:dyDescent="0.4">
      <c r="B69" s="738">
        <v>21.6</v>
      </c>
      <c r="D69" s="829"/>
      <c r="E69" s="739"/>
      <c r="F69" s="739"/>
      <c r="G69" s="739"/>
    </row>
    <row r="70" spans="1:24" x14ac:dyDescent="0.35">
      <c r="B70" s="739"/>
      <c r="C70" s="739"/>
      <c r="D70" s="739"/>
      <c r="E70" s="739"/>
      <c r="F70" s="739"/>
      <c r="G70" s="739"/>
    </row>
    <row r="71" spans="1:24" ht="21" x14ac:dyDescent="0.5">
      <c r="A71" s="704" t="s">
        <v>2014</v>
      </c>
      <c r="C71" s="675" t="s">
        <v>2015</v>
      </c>
    </row>
    <row r="72" spans="1:24" ht="21.5" thickBot="1" x14ac:dyDescent="0.55000000000000004">
      <c r="A72" s="704"/>
    </row>
    <row r="73" spans="1:24" ht="45" x14ac:dyDescent="0.5">
      <c r="A73" s="704"/>
      <c r="B73" s="740" t="s">
        <v>2016</v>
      </c>
      <c r="C73" s="741" t="s">
        <v>2017</v>
      </c>
      <c r="D73" s="742" t="s">
        <v>2018</v>
      </c>
    </row>
    <row r="74" spans="1:24" ht="21.5" thickBot="1" x14ac:dyDescent="0.55000000000000004">
      <c r="A74" s="704"/>
      <c r="B74" s="743">
        <v>25</v>
      </c>
      <c r="C74" s="744">
        <v>10</v>
      </c>
      <c r="D74" s="745">
        <f>C74*B74</f>
        <v>250</v>
      </c>
    </row>
    <row r="75" spans="1:24" ht="15" thickBot="1" x14ac:dyDescent="0.4"/>
    <row r="76" spans="1:24" ht="29" x14ac:dyDescent="0.35">
      <c r="B76" s="746" t="s">
        <v>2019</v>
      </c>
      <c r="C76" s="747" t="s">
        <v>2020</v>
      </c>
      <c r="D76" s="742" t="s">
        <v>1948</v>
      </c>
      <c r="E76" s="698"/>
      <c r="F76" s="698"/>
      <c r="G76" s="748"/>
      <c r="H76" s="748"/>
      <c r="I76" s="748"/>
      <c r="J76" s="748"/>
      <c r="K76" s="698"/>
      <c r="L76" s="698"/>
      <c r="M76" s="698"/>
      <c r="N76" s="698"/>
      <c r="O76" s="698"/>
    </row>
    <row r="77" spans="1:24" x14ac:dyDescent="0.35">
      <c r="B77" s="749" t="s">
        <v>2021</v>
      </c>
      <c r="C77" s="750">
        <v>0</v>
      </c>
      <c r="D77" s="751">
        <f t="shared" ref="D77:D89" si="0">C77*D$74</f>
        <v>0</v>
      </c>
      <c r="E77" s="698"/>
      <c r="F77" s="698"/>
      <c r="G77" s="698"/>
      <c r="H77" s="698"/>
      <c r="I77" s="698"/>
      <c r="J77" s="698"/>
      <c r="K77" s="698"/>
      <c r="L77" s="698"/>
      <c r="M77" s="698"/>
      <c r="N77" s="698"/>
      <c r="O77" s="698"/>
    </row>
    <row r="78" spans="1:24" ht="18.5" x14ac:dyDescent="0.35">
      <c r="B78" s="749" t="s">
        <v>2022</v>
      </c>
      <c r="C78" s="750">
        <v>0</v>
      </c>
      <c r="D78" s="751">
        <f t="shared" si="0"/>
        <v>0</v>
      </c>
      <c r="E78" s="752"/>
      <c r="F78" s="752"/>
      <c r="G78" s="752"/>
      <c r="H78" s="753"/>
      <c r="I78" s="753"/>
      <c r="J78" s="753"/>
      <c r="K78" s="698"/>
      <c r="L78" s="698"/>
      <c r="M78" s="698"/>
      <c r="N78" s="698"/>
      <c r="O78" s="698"/>
      <c r="T78" s="753"/>
      <c r="U78" s="753"/>
      <c r="V78" s="753"/>
      <c r="W78" s="753"/>
      <c r="X78" s="753"/>
    </row>
    <row r="79" spans="1:24" x14ac:dyDescent="0.35">
      <c r="B79" s="749" t="s">
        <v>2023</v>
      </c>
      <c r="C79" s="750">
        <v>0</v>
      </c>
      <c r="D79" s="751">
        <f t="shared" si="0"/>
        <v>0</v>
      </c>
      <c r="E79" s="712"/>
      <c r="F79" s="712"/>
      <c r="G79" s="712"/>
      <c r="H79" s="754"/>
      <c r="I79" s="712"/>
      <c r="J79" s="754"/>
      <c r="K79" s="698"/>
      <c r="L79" s="698"/>
      <c r="M79" s="698"/>
      <c r="N79" s="698"/>
      <c r="O79" s="698"/>
      <c r="T79" s="753"/>
      <c r="U79" s="753"/>
      <c r="V79" s="753"/>
      <c r="W79" s="753"/>
      <c r="X79" s="753"/>
    </row>
    <row r="80" spans="1:24" x14ac:dyDescent="0.35">
      <c r="B80" s="749" t="s">
        <v>2024</v>
      </c>
      <c r="C80" s="750">
        <v>0</v>
      </c>
      <c r="D80" s="751">
        <f t="shared" si="0"/>
        <v>0</v>
      </c>
      <c r="E80" s="755"/>
      <c r="F80" s="756"/>
      <c r="G80" s="757"/>
      <c r="H80" s="758"/>
      <c r="I80" s="731"/>
      <c r="J80" s="759"/>
      <c r="K80" s="698"/>
      <c r="L80" s="698"/>
      <c r="M80" s="698"/>
      <c r="N80" s="698"/>
      <c r="O80" s="698"/>
      <c r="T80" s="760"/>
      <c r="U80" s="761"/>
      <c r="V80" s="762"/>
      <c r="W80" s="763"/>
      <c r="X80" s="764"/>
    </row>
    <row r="81" spans="1:24" x14ac:dyDescent="0.35">
      <c r="B81" s="749" t="s">
        <v>2025</v>
      </c>
      <c r="C81" s="750">
        <v>0</v>
      </c>
      <c r="D81" s="751">
        <f t="shared" si="0"/>
        <v>0</v>
      </c>
      <c r="E81" s="755"/>
      <c r="F81" s="756"/>
      <c r="G81" s="757"/>
      <c r="H81" s="758"/>
      <c r="I81" s="759"/>
      <c r="J81" s="759"/>
      <c r="K81" s="698"/>
      <c r="L81" s="698"/>
      <c r="M81" s="698"/>
      <c r="N81" s="698"/>
      <c r="O81" s="698"/>
      <c r="T81" s="760"/>
      <c r="U81" s="761"/>
      <c r="V81" s="762"/>
      <c r="W81" s="763"/>
      <c r="X81" s="764"/>
    </row>
    <row r="82" spans="1:24" x14ac:dyDescent="0.35">
      <c r="B82" s="749" t="s">
        <v>2026</v>
      </c>
      <c r="C82" s="750">
        <v>0</v>
      </c>
      <c r="D82" s="751">
        <f t="shared" si="0"/>
        <v>0</v>
      </c>
      <c r="E82" s="755"/>
      <c r="F82" s="756"/>
      <c r="G82" s="757"/>
      <c r="H82" s="758"/>
      <c r="I82" s="759"/>
      <c r="J82" s="759"/>
      <c r="K82" s="698"/>
      <c r="L82" s="698"/>
      <c r="M82" s="698"/>
      <c r="N82" s="698"/>
      <c r="O82" s="698"/>
      <c r="T82" s="760"/>
      <c r="U82" s="761"/>
      <c r="V82" s="762"/>
      <c r="W82" s="763"/>
      <c r="X82" s="764"/>
    </row>
    <row r="83" spans="1:24" x14ac:dyDescent="0.35">
      <c r="B83" s="749" t="s">
        <v>2027</v>
      </c>
      <c r="C83" s="750">
        <v>0</v>
      </c>
      <c r="D83" s="751">
        <f t="shared" si="0"/>
        <v>0</v>
      </c>
      <c r="E83" s="755"/>
      <c r="F83" s="756"/>
      <c r="G83" s="757"/>
      <c r="H83" s="758"/>
      <c r="I83" s="759"/>
      <c r="J83" s="759"/>
      <c r="K83" s="698"/>
      <c r="L83" s="698"/>
      <c r="M83" s="698"/>
      <c r="N83" s="698"/>
      <c r="O83" s="698"/>
      <c r="T83" s="760"/>
      <c r="U83" s="761"/>
      <c r="V83" s="762"/>
      <c r="W83" s="763"/>
      <c r="X83" s="764"/>
    </row>
    <row r="84" spans="1:24" x14ac:dyDescent="0.35">
      <c r="B84" s="749" t="s">
        <v>2028</v>
      </c>
      <c r="C84" s="750">
        <v>0</v>
      </c>
      <c r="D84" s="751">
        <f t="shared" si="0"/>
        <v>0</v>
      </c>
      <c r="E84" s="755"/>
      <c r="F84" s="756"/>
      <c r="G84" s="757"/>
      <c r="H84" s="758"/>
      <c r="I84" s="759"/>
      <c r="J84" s="759"/>
      <c r="K84" s="698"/>
      <c r="L84" s="698"/>
      <c r="M84" s="698"/>
      <c r="N84" s="698"/>
      <c r="O84" s="698"/>
      <c r="T84" s="760"/>
      <c r="U84" s="761"/>
      <c r="V84" s="762"/>
      <c r="W84" s="763"/>
      <c r="X84" s="764"/>
    </row>
    <row r="85" spans="1:24" x14ac:dyDescent="0.35">
      <c r="B85" s="749" t="s">
        <v>2029</v>
      </c>
      <c r="C85" s="750">
        <v>0</v>
      </c>
      <c r="D85" s="751">
        <f t="shared" si="0"/>
        <v>0</v>
      </c>
      <c r="E85" s="755"/>
      <c r="F85" s="756"/>
      <c r="G85" s="757"/>
      <c r="H85" s="758"/>
      <c r="I85" s="759"/>
      <c r="J85" s="759"/>
      <c r="K85" s="698"/>
      <c r="L85" s="698"/>
      <c r="M85" s="698"/>
      <c r="N85" s="698"/>
      <c r="O85" s="698"/>
      <c r="T85" s="760"/>
      <c r="U85" s="761"/>
      <c r="V85" s="762"/>
      <c r="W85" s="763"/>
      <c r="X85" s="764"/>
    </row>
    <row r="86" spans="1:24" x14ac:dyDescent="0.35">
      <c r="B86" s="749" t="s">
        <v>2030</v>
      </c>
      <c r="C86" s="750">
        <v>0.5</v>
      </c>
      <c r="D86" s="751">
        <f t="shared" si="0"/>
        <v>125</v>
      </c>
      <c r="E86" s="755"/>
      <c r="F86" s="756"/>
      <c r="G86" s="757"/>
      <c r="H86" s="758"/>
      <c r="I86" s="759"/>
      <c r="J86" s="759"/>
      <c r="K86" s="698"/>
      <c r="L86" s="698"/>
      <c r="M86" s="698"/>
      <c r="N86" s="698"/>
      <c r="O86" s="698"/>
      <c r="T86" s="760"/>
      <c r="U86" s="761"/>
      <c r="V86" s="762"/>
      <c r="W86" s="763"/>
      <c r="X86" s="764"/>
    </row>
    <row r="87" spans="1:24" x14ac:dyDescent="0.35">
      <c r="B87" s="749" t="s">
        <v>2031</v>
      </c>
      <c r="C87" s="750">
        <v>0</v>
      </c>
      <c r="D87" s="751">
        <f t="shared" si="0"/>
        <v>0</v>
      </c>
      <c r="E87" s="755"/>
      <c r="F87" s="756"/>
      <c r="G87" s="757"/>
      <c r="H87" s="758"/>
      <c r="I87" s="759"/>
      <c r="J87" s="759"/>
      <c r="K87" s="698"/>
      <c r="L87" s="698"/>
      <c r="M87" s="698"/>
      <c r="N87" s="698"/>
      <c r="O87" s="698"/>
      <c r="T87" s="760"/>
      <c r="U87" s="761"/>
      <c r="V87" s="762"/>
      <c r="W87" s="763"/>
      <c r="X87" s="764"/>
    </row>
    <row r="88" spans="1:24" x14ac:dyDescent="0.35">
      <c r="B88" s="749" t="s">
        <v>2032</v>
      </c>
      <c r="C88" s="750">
        <v>0.5</v>
      </c>
      <c r="D88" s="751">
        <f t="shared" si="0"/>
        <v>125</v>
      </c>
      <c r="E88" s="755"/>
      <c r="F88" s="756"/>
      <c r="G88" s="757"/>
      <c r="H88" s="758"/>
      <c r="I88" s="759"/>
      <c r="J88" s="759"/>
      <c r="K88" s="698"/>
      <c r="L88" s="698"/>
      <c r="M88" s="698"/>
      <c r="N88" s="698"/>
      <c r="O88" s="698"/>
      <c r="T88" s="760"/>
      <c r="U88" s="761"/>
      <c r="V88" s="762"/>
      <c r="W88" s="763"/>
      <c r="X88" s="764"/>
    </row>
    <row r="89" spans="1:24" ht="15" customHeight="1" thickBot="1" x14ac:dyDescent="0.4">
      <c r="B89" s="765" t="s">
        <v>2033</v>
      </c>
      <c r="C89" s="766">
        <v>0</v>
      </c>
      <c r="D89" s="767">
        <f t="shared" si="0"/>
        <v>0</v>
      </c>
      <c r="E89" s="768"/>
      <c r="F89" s="768"/>
      <c r="G89" s="680"/>
      <c r="H89" s="758"/>
      <c r="I89" s="759"/>
      <c r="J89" s="759"/>
      <c r="K89" s="769"/>
      <c r="L89" s="769"/>
      <c r="M89" s="769"/>
      <c r="N89" s="770"/>
      <c r="O89" s="759"/>
      <c r="P89" s="759"/>
      <c r="Q89" s="759"/>
      <c r="R89" s="759"/>
      <c r="S89" s="759"/>
      <c r="T89" s="760"/>
      <c r="U89" s="761"/>
      <c r="V89" s="762"/>
      <c r="W89" s="763"/>
      <c r="X89" s="764"/>
    </row>
    <row r="90" spans="1:24" ht="15" thickBot="1" x14ac:dyDescent="0.4">
      <c r="C90" s="771"/>
      <c r="G90" s="748"/>
      <c r="H90" s="748"/>
      <c r="I90" s="748"/>
    </row>
    <row r="91" spans="1:24" x14ac:dyDescent="0.35">
      <c r="B91" s="772" t="s">
        <v>2034</v>
      </c>
      <c r="C91" s="773" t="s">
        <v>2035</v>
      </c>
      <c r="E91" s="686"/>
      <c r="G91" s="748"/>
      <c r="H91" s="748"/>
      <c r="I91" s="748"/>
    </row>
    <row r="92" spans="1:24" x14ac:dyDescent="0.35">
      <c r="B92" s="774" t="s">
        <v>647</v>
      </c>
      <c r="C92" s="775">
        <v>0.16</v>
      </c>
      <c r="E92" s="690"/>
      <c r="G92" s="748"/>
      <c r="H92" s="748"/>
      <c r="I92" s="748"/>
    </row>
    <row r="93" spans="1:24" ht="15" thickBot="1" x14ac:dyDescent="0.4">
      <c r="B93" s="776" t="s">
        <v>664</v>
      </c>
      <c r="C93" s="777">
        <v>0.84</v>
      </c>
      <c r="G93" s="748"/>
      <c r="H93" s="748"/>
      <c r="I93" s="748"/>
    </row>
    <row r="95" spans="1:24" ht="21" x14ac:dyDescent="0.5">
      <c r="A95" s="704" t="s">
        <v>2036</v>
      </c>
      <c r="C95" s="675" t="s">
        <v>2037</v>
      </c>
    </row>
    <row r="96" spans="1:24" ht="15" thickBot="1" x14ac:dyDescent="0.4"/>
    <row r="97" spans="2:25" ht="41.25" customHeight="1" thickBot="1" x14ac:dyDescent="0.65">
      <c r="B97" s="778"/>
      <c r="C97" s="2988" t="s">
        <v>2038</v>
      </c>
      <c r="D97" s="2989"/>
      <c r="E97" s="2990"/>
      <c r="F97" s="2985" t="s">
        <v>2039</v>
      </c>
      <c r="G97" s="2986"/>
      <c r="H97" s="2986"/>
      <c r="I97" s="2986"/>
      <c r="J97" s="2986"/>
      <c r="K97" s="2986"/>
      <c r="L97" s="2986"/>
      <c r="M97" s="2986"/>
      <c r="N97" s="2986"/>
      <c r="O97" s="2987"/>
      <c r="P97" s="2985" t="s">
        <v>2040</v>
      </c>
      <c r="Q97" s="2986"/>
      <c r="R97" s="2986"/>
      <c r="S97" s="2986"/>
      <c r="T97" s="2986"/>
      <c r="U97" s="2987"/>
      <c r="V97" s="779"/>
    </row>
    <row r="98" spans="2:25" ht="44" thickBot="1" x14ac:dyDescent="0.4">
      <c r="B98" s="780" t="s">
        <v>2019</v>
      </c>
      <c r="C98" s="781" t="s">
        <v>2041</v>
      </c>
      <c r="D98" s="781" t="s">
        <v>2000</v>
      </c>
      <c r="E98" s="781" t="s">
        <v>293</v>
      </c>
      <c r="F98" s="781" t="s">
        <v>647</v>
      </c>
      <c r="G98" s="781" t="s">
        <v>664</v>
      </c>
      <c r="H98" s="781" t="s">
        <v>1368</v>
      </c>
      <c r="I98" s="781" t="s">
        <v>1989</v>
      </c>
      <c r="J98" s="781" t="s">
        <v>1991</v>
      </c>
      <c r="K98" s="781" t="s">
        <v>648</v>
      </c>
      <c r="L98" s="781" t="s">
        <v>652</v>
      </c>
      <c r="M98" s="781" t="s">
        <v>1984</v>
      </c>
      <c r="N98" s="781" t="s">
        <v>303</v>
      </c>
      <c r="O98" s="781" t="s">
        <v>1987</v>
      </c>
      <c r="P98" s="2528" t="s">
        <v>2042</v>
      </c>
      <c r="Q98" s="2528" t="s">
        <v>3314</v>
      </c>
      <c r="R98" s="781" t="s">
        <v>2043</v>
      </c>
      <c r="S98" s="781" t="s">
        <v>2044</v>
      </c>
      <c r="T98" s="781" t="s">
        <v>2045</v>
      </c>
      <c r="U98" s="782" t="s">
        <v>2046</v>
      </c>
      <c r="V98" s="712"/>
      <c r="W98" s="783" t="s">
        <v>2047</v>
      </c>
      <c r="X98" s="747" t="s">
        <v>2041</v>
      </c>
      <c r="Y98" s="773" t="s">
        <v>2048</v>
      </c>
    </row>
    <row r="99" spans="2:25" ht="15" thickBot="1" x14ac:dyDescent="0.4">
      <c r="B99" s="784" t="s">
        <v>2021</v>
      </c>
      <c r="C99" s="785">
        <f>D77</f>
        <v>0</v>
      </c>
      <c r="D99" s="785">
        <v>1</v>
      </c>
      <c r="E99" s="785">
        <f>(($C$42*$C$47)*D99*365.25)*0.773/$C$49</f>
        <v>224.70060507088331</v>
      </c>
      <c r="F99" s="786">
        <f t="shared" ref="F99:F111" si="1">C$92</f>
        <v>0.16</v>
      </c>
      <c r="G99" s="787">
        <f t="shared" ref="G99:G111" si="2">C$93</f>
        <v>0.84</v>
      </c>
      <c r="H99" s="788">
        <f>$C$50</f>
        <v>2.7799999999999998E-2</v>
      </c>
      <c r="I99" s="789">
        <f>$C$47</f>
        <v>8.1999999999999993</v>
      </c>
      <c r="J99" s="785">
        <f>$C$48</f>
        <v>8.1999999999999993</v>
      </c>
      <c r="K99" s="785">
        <f>$C$42</f>
        <v>2.67</v>
      </c>
      <c r="L99" s="789">
        <f t="shared" ref="L99:L111" si="3">C$43</f>
        <v>1.75</v>
      </c>
      <c r="M99" s="790">
        <f t="shared" ref="M99:M111" si="4">C$44</f>
        <v>0.11700000000000001</v>
      </c>
      <c r="N99" s="787">
        <f t="shared" ref="N99:N111" si="5">C$45</f>
        <v>0.98</v>
      </c>
      <c r="O99" s="791">
        <f t="shared" ref="O99:O111" si="6">C$46</f>
        <v>5.7999999999999996E-3</v>
      </c>
      <c r="P99" s="789">
        <f>$C$92*(((K99*I99)-(L99*J99))*D99*365.25)*M99*N99*C99+Q99</f>
        <v>0</v>
      </c>
      <c r="Q99" s="789">
        <f xml:space="preserve"> U99 / 1000000 * $C$51</f>
        <v>0</v>
      </c>
      <c r="R99" s="792">
        <f t="shared" ref="R99:R111" si="7">P99/E99*H99</f>
        <v>0</v>
      </c>
      <c r="S99" s="793">
        <f t="shared" ref="S99:S111" si="8">$C$93*(((K99*I99)-(L99*J99))*D99*365.25)*O99*N99*C99</f>
        <v>0</v>
      </c>
      <c r="T99" s="794">
        <f t="shared" ref="T99:T111" si="9">C99*B$69</f>
        <v>0</v>
      </c>
      <c r="U99" s="795">
        <f t="shared" ref="U99:U111" si="10">((K99*I99)-(L99*J99))*D99*365.25*N99*C99</f>
        <v>0</v>
      </c>
      <c r="V99" s="796"/>
      <c r="W99" s="797">
        <f>B64</f>
        <v>12</v>
      </c>
      <c r="X99" s="798">
        <f>C112</f>
        <v>250</v>
      </c>
      <c r="Y99" s="799">
        <f>W99*X99</f>
        <v>3000</v>
      </c>
    </row>
    <row r="100" spans="2:25" x14ac:dyDescent="0.35">
      <c r="B100" s="749" t="s">
        <v>2022</v>
      </c>
      <c r="C100" s="800">
        <f t="shared" ref="C100:C111" si="11">D78</f>
        <v>0</v>
      </c>
      <c r="D100" s="800">
        <v>1</v>
      </c>
      <c r="E100" s="801">
        <f t="shared" ref="E100:E111" si="12">(($C$42*$C$47)*D100*365.25)*0.773/$C$49</f>
        <v>224.70060507088331</v>
      </c>
      <c r="F100" s="802">
        <f t="shared" si="1"/>
        <v>0.16</v>
      </c>
      <c r="G100" s="803">
        <f t="shared" si="2"/>
        <v>0.84</v>
      </c>
      <c r="H100" s="804">
        <f t="shared" ref="H100:H111" si="13">$C$50</f>
        <v>2.7799999999999998E-2</v>
      </c>
      <c r="I100" s="805">
        <f t="shared" ref="I100:I111" si="14">$C$47</f>
        <v>8.1999999999999993</v>
      </c>
      <c r="J100" s="800">
        <f t="shared" ref="J100:J111" si="15">$C$48</f>
        <v>8.1999999999999993</v>
      </c>
      <c r="K100" s="800">
        <f>$C$42</f>
        <v>2.67</v>
      </c>
      <c r="L100" s="805">
        <f t="shared" si="3"/>
        <v>1.75</v>
      </c>
      <c r="M100" s="806">
        <f t="shared" si="4"/>
        <v>0.11700000000000001</v>
      </c>
      <c r="N100" s="803">
        <f t="shared" si="5"/>
        <v>0.98</v>
      </c>
      <c r="O100" s="807">
        <f t="shared" si="6"/>
        <v>5.7999999999999996E-3</v>
      </c>
      <c r="P100" s="805">
        <f t="shared" ref="P100:P111" si="16">$C$92*(((K100*I100)-(L100*J100))*D100*365.25)*M100*N100*C100+Q100</f>
        <v>0</v>
      </c>
      <c r="Q100" s="805">
        <f t="shared" ref="Q100:Q111" si="17" xml:space="preserve"> U100 / 1000000 * $C$51</f>
        <v>0</v>
      </c>
      <c r="R100" s="808">
        <f t="shared" si="7"/>
        <v>0</v>
      </c>
      <c r="S100" s="809">
        <f t="shared" si="8"/>
        <v>0</v>
      </c>
      <c r="T100" s="810">
        <f t="shared" si="9"/>
        <v>0</v>
      </c>
      <c r="U100" s="811">
        <f t="shared" si="10"/>
        <v>0</v>
      </c>
      <c r="V100" s="796"/>
      <c r="W100" s="796"/>
    </row>
    <row r="101" spans="2:25" x14ac:dyDescent="0.35">
      <c r="B101" s="749" t="s">
        <v>2023</v>
      </c>
      <c r="C101" s="800">
        <f t="shared" si="11"/>
        <v>0</v>
      </c>
      <c r="D101" s="800">
        <v>1</v>
      </c>
      <c r="E101" s="801">
        <f t="shared" si="12"/>
        <v>224.70060507088331</v>
      </c>
      <c r="F101" s="802">
        <f t="shared" si="1"/>
        <v>0.16</v>
      </c>
      <c r="G101" s="803">
        <f t="shared" si="2"/>
        <v>0.84</v>
      </c>
      <c r="H101" s="804">
        <f t="shared" si="13"/>
        <v>2.7799999999999998E-2</v>
      </c>
      <c r="I101" s="805">
        <f t="shared" si="14"/>
        <v>8.1999999999999993</v>
      </c>
      <c r="J101" s="800">
        <f t="shared" si="15"/>
        <v>8.1999999999999993</v>
      </c>
      <c r="K101" s="800">
        <f t="shared" ref="K101:K111" si="18">$C$42</f>
        <v>2.67</v>
      </c>
      <c r="L101" s="805">
        <f t="shared" si="3"/>
        <v>1.75</v>
      </c>
      <c r="M101" s="806">
        <f t="shared" si="4"/>
        <v>0.11700000000000001</v>
      </c>
      <c r="N101" s="803">
        <f t="shared" si="5"/>
        <v>0.98</v>
      </c>
      <c r="O101" s="807">
        <f t="shared" si="6"/>
        <v>5.7999999999999996E-3</v>
      </c>
      <c r="P101" s="805">
        <f t="shared" si="16"/>
        <v>0</v>
      </c>
      <c r="Q101" s="805">
        <f t="shared" si="17"/>
        <v>0</v>
      </c>
      <c r="R101" s="808">
        <f t="shared" si="7"/>
        <v>0</v>
      </c>
      <c r="S101" s="809">
        <f t="shared" si="8"/>
        <v>0</v>
      </c>
      <c r="T101" s="810">
        <f t="shared" si="9"/>
        <v>0</v>
      </c>
      <c r="U101" s="811">
        <f t="shared" si="10"/>
        <v>0</v>
      </c>
      <c r="V101" s="796"/>
      <c r="W101" s="796"/>
    </row>
    <row r="102" spans="2:25" x14ac:dyDescent="0.35">
      <c r="B102" s="749" t="s">
        <v>2024</v>
      </c>
      <c r="C102" s="800">
        <f t="shared" si="11"/>
        <v>0</v>
      </c>
      <c r="D102" s="800">
        <v>1</v>
      </c>
      <c r="E102" s="801">
        <f t="shared" si="12"/>
        <v>224.70060507088331</v>
      </c>
      <c r="F102" s="802">
        <f t="shared" si="1"/>
        <v>0.16</v>
      </c>
      <c r="G102" s="803">
        <f t="shared" si="2"/>
        <v>0.84</v>
      </c>
      <c r="H102" s="804">
        <f t="shared" si="13"/>
        <v>2.7799999999999998E-2</v>
      </c>
      <c r="I102" s="805">
        <f t="shared" si="14"/>
        <v>8.1999999999999993</v>
      </c>
      <c r="J102" s="800">
        <f t="shared" si="15"/>
        <v>8.1999999999999993</v>
      </c>
      <c r="K102" s="800">
        <f t="shared" si="18"/>
        <v>2.67</v>
      </c>
      <c r="L102" s="805">
        <f t="shared" si="3"/>
        <v>1.75</v>
      </c>
      <c r="M102" s="806">
        <f t="shared" si="4"/>
        <v>0.11700000000000001</v>
      </c>
      <c r="N102" s="803">
        <f t="shared" si="5"/>
        <v>0.98</v>
      </c>
      <c r="O102" s="807">
        <f t="shared" si="6"/>
        <v>5.7999999999999996E-3</v>
      </c>
      <c r="P102" s="805">
        <f t="shared" si="16"/>
        <v>0</v>
      </c>
      <c r="Q102" s="805">
        <f t="shared" si="17"/>
        <v>0</v>
      </c>
      <c r="R102" s="808">
        <f t="shared" si="7"/>
        <v>0</v>
      </c>
      <c r="S102" s="809">
        <f t="shared" si="8"/>
        <v>0</v>
      </c>
      <c r="T102" s="810">
        <f t="shared" si="9"/>
        <v>0</v>
      </c>
      <c r="U102" s="811">
        <f t="shared" si="10"/>
        <v>0</v>
      </c>
      <c r="V102" s="796"/>
      <c r="W102" s="796"/>
    </row>
    <row r="103" spans="2:25" x14ac:dyDescent="0.35">
      <c r="B103" s="749" t="s">
        <v>2025</v>
      </c>
      <c r="C103" s="800">
        <f t="shared" si="11"/>
        <v>0</v>
      </c>
      <c r="D103" s="800">
        <v>1</v>
      </c>
      <c r="E103" s="801">
        <f t="shared" si="12"/>
        <v>224.70060507088331</v>
      </c>
      <c r="F103" s="802">
        <f t="shared" si="1"/>
        <v>0.16</v>
      </c>
      <c r="G103" s="803">
        <f t="shared" si="2"/>
        <v>0.84</v>
      </c>
      <c r="H103" s="804">
        <f t="shared" si="13"/>
        <v>2.7799999999999998E-2</v>
      </c>
      <c r="I103" s="805">
        <f t="shared" si="14"/>
        <v>8.1999999999999993</v>
      </c>
      <c r="J103" s="800">
        <f>$C$48</f>
        <v>8.1999999999999993</v>
      </c>
      <c r="K103" s="800">
        <f t="shared" si="18"/>
        <v>2.67</v>
      </c>
      <c r="L103" s="805">
        <f t="shared" si="3"/>
        <v>1.75</v>
      </c>
      <c r="M103" s="806">
        <f t="shared" si="4"/>
        <v>0.11700000000000001</v>
      </c>
      <c r="N103" s="803">
        <f t="shared" si="5"/>
        <v>0.98</v>
      </c>
      <c r="O103" s="807">
        <f t="shared" si="6"/>
        <v>5.7999999999999996E-3</v>
      </c>
      <c r="P103" s="805">
        <f t="shared" si="16"/>
        <v>0</v>
      </c>
      <c r="Q103" s="805">
        <f t="shared" si="17"/>
        <v>0</v>
      </c>
      <c r="R103" s="808">
        <f t="shared" si="7"/>
        <v>0</v>
      </c>
      <c r="S103" s="809">
        <f t="shared" si="8"/>
        <v>0</v>
      </c>
      <c r="T103" s="810">
        <f t="shared" si="9"/>
        <v>0</v>
      </c>
      <c r="U103" s="811">
        <f t="shared" si="10"/>
        <v>0</v>
      </c>
      <c r="V103" s="796"/>
      <c r="W103" s="796"/>
    </row>
    <row r="104" spans="2:25" x14ac:dyDescent="0.35">
      <c r="B104" s="749" t="s">
        <v>2026</v>
      </c>
      <c r="C104" s="800">
        <f t="shared" si="11"/>
        <v>0</v>
      </c>
      <c r="D104" s="800">
        <v>1</v>
      </c>
      <c r="E104" s="801">
        <f t="shared" si="12"/>
        <v>224.70060507088331</v>
      </c>
      <c r="F104" s="802">
        <f t="shared" si="1"/>
        <v>0.16</v>
      </c>
      <c r="G104" s="803">
        <f t="shared" si="2"/>
        <v>0.84</v>
      </c>
      <c r="H104" s="804">
        <f t="shared" si="13"/>
        <v>2.7799999999999998E-2</v>
      </c>
      <c r="I104" s="805">
        <f t="shared" si="14"/>
        <v>8.1999999999999993</v>
      </c>
      <c r="J104" s="800">
        <f t="shared" si="15"/>
        <v>8.1999999999999993</v>
      </c>
      <c r="K104" s="800">
        <f t="shared" si="18"/>
        <v>2.67</v>
      </c>
      <c r="L104" s="805">
        <f t="shared" si="3"/>
        <v>1.75</v>
      </c>
      <c r="M104" s="806">
        <f t="shared" si="4"/>
        <v>0.11700000000000001</v>
      </c>
      <c r="N104" s="803">
        <f t="shared" si="5"/>
        <v>0.98</v>
      </c>
      <c r="O104" s="807">
        <f t="shared" si="6"/>
        <v>5.7999999999999996E-3</v>
      </c>
      <c r="P104" s="805">
        <f t="shared" si="16"/>
        <v>0</v>
      </c>
      <c r="Q104" s="805">
        <f t="shared" si="17"/>
        <v>0</v>
      </c>
      <c r="R104" s="808">
        <f t="shared" si="7"/>
        <v>0</v>
      </c>
      <c r="S104" s="809">
        <f t="shared" si="8"/>
        <v>0</v>
      </c>
      <c r="T104" s="810">
        <f t="shared" si="9"/>
        <v>0</v>
      </c>
      <c r="U104" s="811">
        <f t="shared" si="10"/>
        <v>0</v>
      </c>
      <c r="V104" s="796"/>
      <c r="W104" s="796"/>
    </row>
    <row r="105" spans="2:25" x14ac:dyDescent="0.35">
      <c r="B105" s="749" t="s">
        <v>2027</v>
      </c>
      <c r="C105" s="800">
        <f t="shared" si="11"/>
        <v>0</v>
      </c>
      <c r="D105" s="800">
        <v>1</v>
      </c>
      <c r="E105" s="801">
        <f t="shared" si="12"/>
        <v>224.70060507088331</v>
      </c>
      <c r="F105" s="802">
        <f t="shared" si="1"/>
        <v>0.16</v>
      </c>
      <c r="G105" s="803">
        <f t="shared" si="2"/>
        <v>0.84</v>
      </c>
      <c r="H105" s="804">
        <f t="shared" si="13"/>
        <v>2.7799999999999998E-2</v>
      </c>
      <c r="I105" s="805">
        <f t="shared" si="14"/>
        <v>8.1999999999999993</v>
      </c>
      <c r="J105" s="800">
        <f t="shared" si="15"/>
        <v>8.1999999999999993</v>
      </c>
      <c r="K105" s="800">
        <f t="shared" si="18"/>
        <v>2.67</v>
      </c>
      <c r="L105" s="805">
        <f t="shared" si="3"/>
        <v>1.75</v>
      </c>
      <c r="M105" s="806">
        <f t="shared" si="4"/>
        <v>0.11700000000000001</v>
      </c>
      <c r="N105" s="803">
        <f t="shared" si="5"/>
        <v>0.98</v>
      </c>
      <c r="O105" s="807">
        <f t="shared" si="6"/>
        <v>5.7999999999999996E-3</v>
      </c>
      <c r="P105" s="805">
        <f t="shared" si="16"/>
        <v>0</v>
      </c>
      <c r="Q105" s="805">
        <f t="shared" si="17"/>
        <v>0</v>
      </c>
      <c r="R105" s="808">
        <f t="shared" si="7"/>
        <v>0</v>
      </c>
      <c r="S105" s="809">
        <f t="shared" si="8"/>
        <v>0</v>
      </c>
      <c r="T105" s="810">
        <f t="shared" si="9"/>
        <v>0</v>
      </c>
      <c r="U105" s="811">
        <f t="shared" si="10"/>
        <v>0</v>
      </c>
    </row>
    <row r="106" spans="2:25" x14ac:dyDescent="0.35">
      <c r="B106" s="749" t="s">
        <v>2028</v>
      </c>
      <c r="C106" s="800">
        <f t="shared" si="11"/>
        <v>0</v>
      </c>
      <c r="D106" s="800">
        <v>1</v>
      </c>
      <c r="E106" s="801">
        <f t="shared" si="12"/>
        <v>224.70060507088331</v>
      </c>
      <c r="F106" s="802">
        <f t="shared" si="1"/>
        <v>0.16</v>
      </c>
      <c r="G106" s="803">
        <f t="shared" si="2"/>
        <v>0.84</v>
      </c>
      <c r="H106" s="804">
        <f t="shared" si="13"/>
        <v>2.7799999999999998E-2</v>
      </c>
      <c r="I106" s="805">
        <f t="shared" si="14"/>
        <v>8.1999999999999993</v>
      </c>
      <c r="J106" s="800">
        <f t="shared" si="15"/>
        <v>8.1999999999999993</v>
      </c>
      <c r="K106" s="800">
        <f t="shared" si="18"/>
        <v>2.67</v>
      </c>
      <c r="L106" s="805">
        <f t="shared" si="3"/>
        <v>1.75</v>
      </c>
      <c r="M106" s="806">
        <f t="shared" si="4"/>
        <v>0.11700000000000001</v>
      </c>
      <c r="N106" s="803">
        <f t="shared" si="5"/>
        <v>0.98</v>
      </c>
      <c r="O106" s="807">
        <f t="shared" si="6"/>
        <v>5.7999999999999996E-3</v>
      </c>
      <c r="P106" s="805">
        <f t="shared" si="16"/>
        <v>0</v>
      </c>
      <c r="Q106" s="805">
        <f t="shared" si="17"/>
        <v>0</v>
      </c>
      <c r="R106" s="808">
        <f t="shared" si="7"/>
        <v>0</v>
      </c>
      <c r="S106" s="809">
        <f t="shared" si="8"/>
        <v>0</v>
      </c>
      <c r="T106" s="810">
        <f t="shared" si="9"/>
        <v>0</v>
      </c>
      <c r="U106" s="811">
        <f t="shared" si="10"/>
        <v>0</v>
      </c>
    </row>
    <row r="107" spans="2:25" x14ac:dyDescent="0.35">
      <c r="B107" s="749" t="s">
        <v>2029</v>
      </c>
      <c r="C107" s="800">
        <f t="shared" si="11"/>
        <v>0</v>
      </c>
      <c r="D107" s="800">
        <v>1</v>
      </c>
      <c r="E107" s="801">
        <f t="shared" si="12"/>
        <v>224.70060507088331</v>
      </c>
      <c r="F107" s="802">
        <f t="shared" si="1"/>
        <v>0.16</v>
      </c>
      <c r="G107" s="803">
        <f t="shared" si="2"/>
        <v>0.84</v>
      </c>
      <c r="H107" s="804">
        <f t="shared" si="13"/>
        <v>2.7799999999999998E-2</v>
      </c>
      <c r="I107" s="805">
        <f t="shared" si="14"/>
        <v>8.1999999999999993</v>
      </c>
      <c r="J107" s="800">
        <f t="shared" si="15"/>
        <v>8.1999999999999993</v>
      </c>
      <c r="K107" s="800">
        <f t="shared" si="18"/>
        <v>2.67</v>
      </c>
      <c r="L107" s="805">
        <f t="shared" si="3"/>
        <v>1.75</v>
      </c>
      <c r="M107" s="806">
        <f t="shared" si="4"/>
        <v>0.11700000000000001</v>
      </c>
      <c r="N107" s="803">
        <f t="shared" si="5"/>
        <v>0.98</v>
      </c>
      <c r="O107" s="807">
        <f t="shared" si="6"/>
        <v>5.7999999999999996E-3</v>
      </c>
      <c r="P107" s="805">
        <f t="shared" si="16"/>
        <v>0</v>
      </c>
      <c r="Q107" s="805">
        <f t="shared" si="17"/>
        <v>0</v>
      </c>
      <c r="R107" s="808">
        <f t="shared" si="7"/>
        <v>0</v>
      </c>
      <c r="S107" s="809">
        <f t="shared" si="8"/>
        <v>0</v>
      </c>
      <c r="T107" s="810">
        <f t="shared" si="9"/>
        <v>0</v>
      </c>
      <c r="U107" s="811">
        <f t="shared" si="10"/>
        <v>0</v>
      </c>
    </row>
    <row r="108" spans="2:25" x14ac:dyDescent="0.35">
      <c r="B108" s="749" t="s">
        <v>2030</v>
      </c>
      <c r="C108" s="800">
        <f t="shared" si="11"/>
        <v>125</v>
      </c>
      <c r="D108" s="800">
        <v>0.25</v>
      </c>
      <c r="E108" s="801">
        <f t="shared" si="12"/>
        <v>56.175151267720828</v>
      </c>
      <c r="F108" s="802">
        <f t="shared" si="1"/>
        <v>0.16</v>
      </c>
      <c r="G108" s="803">
        <f t="shared" si="2"/>
        <v>0.84</v>
      </c>
      <c r="H108" s="804">
        <f t="shared" si="13"/>
        <v>2.7799999999999998E-2</v>
      </c>
      <c r="I108" s="805">
        <f t="shared" si="14"/>
        <v>8.1999999999999993</v>
      </c>
      <c r="J108" s="800">
        <f t="shared" si="15"/>
        <v>8.1999999999999993</v>
      </c>
      <c r="K108" s="800">
        <f t="shared" si="18"/>
        <v>2.67</v>
      </c>
      <c r="L108" s="805">
        <f t="shared" si="3"/>
        <v>1.75</v>
      </c>
      <c r="M108" s="806">
        <f t="shared" si="4"/>
        <v>0.11700000000000001</v>
      </c>
      <c r="N108" s="803">
        <f t="shared" si="5"/>
        <v>0.98</v>
      </c>
      <c r="O108" s="807">
        <f t="shared" si="6"/>
        <v>5.7999999999999996E-3</v>
      </c>
      <c r="P108" s="805">
        <f t="shared" si="16"/>
        <v>2002.4687158875001</v>
      </c>
      <c r="Q108" s="805">
        <f t="shared" si="17"/>
        <v>422.77152408750004</v>
      </c>
      <c r="R108" s="808">
        <f t="shared" si="7"/>
        <v>0.99098318465340063</v>
      </c>
      <c r="S108" s="809">
        <f t="shared" si="8"/>
        <v>411.12632042999996</v>
      </c>
      <c r="T108" s="810">
        <f t="shared" si="9"/>
        <v>2700</v>
      </c>
      <c r="U108" s="811">
        <f t="shared" si="10"/>
        <v>84385.533750000002</v>
      </c>
    </row>
    <row r="109" spans="2:25" x14ac:dyDescent="0.35">
      <c r="B109" s="749" t="s">
        <v>2031</v>
      </c>
      <c r="C109" s="800">
        <f t="shared" si="11"/>
        <v>0</v>
      </c>
      <c r="D109" s="800">
        <v>1</v>
      </c>
      <c r="E109" s="801">
        <f t="shared" si="12"/>
        <v>224.70060507088331</v>
      </c>
      <c r="F109" s="802">
        <f t="shared" si="1"/>
        <v>0.16</v>
      </c>
      <c r="G109" s="803">
        <f t="shared" si="2"/>
        <v>0.84</v>
      </c>
      <c r="H109" s="804">
        <f t="shared" si="13"/>
        <v>2.7799999999999998E-2</v>
      </c>
      <c r="I109" s="805">
        <f t="shared" si="14"/>
        <v>8.1999999999999993</v>
      </c>
      <c r="J109" s="800">
        <f t="shared" si="15"/>
        <v>8.1999999999999993</v>
      </c>
      <c r="K109" s="800">
        <f t="shared" si="18"/>
        <v>2.67</v>
      </c>
      <c r="L109" s="805">
        <f t="shared" si="3"/>
        <v>1.75</v>
      </c>
      <c r="M109" s="806">
        <f t="shared" si="4"/>
        <v>0.11700000000000001</v>
      </c>
      <c r="N109" s="803">
        <f t="shared" si="5"/>
        <v>0.98</v>
      </c>
      <c r="O109" s="807">
        <f t="shared" si="6"/>
        <v>5.7999999999999996E-3</v>
      </c>
      <c r="P109" s="805">
        <f t="shared" si="16"/>
        <v>0</v>
      </c>
      <c r="Q109" s="805">
        <f t="shared" si="17"/>
        <v>0</v>
      </c>
      <c r="R109" s="808">
        <f t="shared" si="7"/>
        <v>0</v>
      </c>
      <c r="S109" s="809">
        <f t="shared" si="8"/>
        <v>0</v>
      </c>
      <c r="T109" s="810">
        <f t="shared" si="9"/>
        <v>0</v>
      </c>
      <c r="U109" s="811">
        <f t="shared" si="10"/>
        <v>0</v>
      </c>
    </row>
    <row r="110" spans="2:25" x14ac:dyDescent="0.35">
      <c r="B110" s="749" t="s">
        <v>2032</v>
      </c>
      <c r="C110" s="800">
        <f t="shared" si="11"/>
        <v>125</v>
      </c>
      <c r="D110" s="800">
        <v>0.5</v>
      </c>
      <c r="E110" s="801">
        <f t="shared" si="12"/>
        <v>112.35030253544166</v>
      </c>
      <c r="F110" s="802">
        <f t="shared" si="1"/>
        <v>0.16</v>
      </c>
      <c r="G110" s="803">
        <f t="shared" si="2"/>
        <v>0.84</v>
      </c>
      <c r="H110" s="804">
        <f t="shared" si="13"/>
        <v>2.7799999999999998E-2</v>
      </c>
      <c r="I110" s="805">
        <f t="shared" si="14"/>
        <v>8.1999999999999993</v>
      </c>
      <c r="J110" s="800">
        <f t="shared" si="15"/>
        <v>8.1999999999999993</v>
      </c>
      <c r="K110" s="800">
        <f t="shared" si="18"/>
        <v>2.67</v>
      </c>
      <c r="L110" s="805">
        <f t="shared" si="3"/>
        <v>1.75</v>
      </c>
      <c r="M110" s="806">
        <f t="shared" si="4"/>
        <v>0.11700000000000001</v>
      </c>
      <c r="N110" s="803">
        <f t="shared" si="5"/>
        <v>0.98</v>
      </c>
      <c r="O110" s="807">
        <f t="shared" si="6"/>
        <v>5.7999999999999996E-3</v>
      </c>
      <c r="P110" s="805">
        <f t="shared" si="16"/>
        <v>4004.9374317750003</v>
      </c>
      <c r="Q110" s="805">
        <f t="shared" si="17"/>
        <v>845.54304817500008</v>
      </c>
      <c r="R110" s="808">
        <f t="shared" si="7"/>
        <v>0.99098318465340063</v>
      </c>
      <c r="S110" s="809">
        <f t="shared" si="8"/>
        <v>822.25264085999993</v>
      </c>
      <c r="T110" s="810">
        <f t="shared" si="9"/>
        <v>2700</v>
      </c>
      <c r="U110" s="811">
        <f t="shared" si="10"/>
        <v>168771.0675</v>
      </c>
    </row>
    <row r="111" spans="2:25" ht="15" thickBot="1" x14ac:dyDescent="0.4">
      <c r="B111" s="765" t="s">
        <v>2033</v>
      </c>
      <c r="C111" s="798">
        <f t="shared" si="11"/>
        <v>0</v>
      </c>
      <c r="D111" s="798">
        <v>1</v>
      </c>
      <c r="E111" s="812">
        <f t="shared" si="12"/>
        <v>224.70060507088331</v>
      </c>
      <c r="F111" s="813">
        <f t="shared" si="1"/>
        <v>0.16</v>
      </c>
      <c r="G111" s="814">
        <f t="shared" si="2"/>
        <v>0.84</v>
      </c>
      <c r="H111" s="815">
        <f t="shared" si="13"/>
        <v>2.7799999999999998E-2</v>
      </c>
      <c r="I111" s="816">
        <f t="shared" si="14"/>
        <v>8.1999999999999993</v>
      </c>
      <c r="J111" s="798">
        <f t="shared" si="15"/>
        <v>8.1999999999999993</v>
      </c>
      <c r="K111" s="798">
        <f t="shared" si="18"/>
        <v>2.67</v>
      </c>
      <c r="L111" s="816">
        <f t="shared" si="3"/>
        <v>1.75</v>
      </c>
      <c r="M111" s="817">
        <f t="shared" si="4"/>
        <v>0.11700000000000001</v>
      </c>
      <c r="N111" s="814">
        <f t="shared" si="5"/>
        <v>0.98</v>
      </c>
      <c r="O111" s="818">
        <f t="shared" si="6"/>
        <v>5.7999999999999996E-3</v>
      </c>
      <c r="P111" s="816">
        <f t="shared" si="16"/>
        <v>0</v>
      </c>
      <c r="Q111" s="816">
        <f t="shared" si="17"/>
        <v>0</v>
      </c>
      <c r="R111" s="819">
        <f t="shared" si="7"/>
        <v>0</v>
      </c>
      <c r="S111" s="820">
        <f t="shared" si="8"/>
        <v>0</v>
      </c>
      <c r="T111" s="821">
        <f t="shared" si="9"/>
        <v>0</v>
      </c>
      <c r="U111" s="822">
        <f t="shared" si="10"/>
        <v>0</v>
      </c>
    </row>
    <row r="112" spans="2:25" ht="15" thickBot="1" x14ac:dyDescent="0.4">
      <c r="B112" s="823" t="s">
        <v>284</v>
      </c>
      <c r="C112" s="824">
        <f>SUM(C99:C111)</f>
        <v>250</v>
      </c>
      <c r="O112" s="825" t="s">
        <v>2049</v>
      </c>
      <c r="P112" s="826">
        <f>SUM(P99:P111)</f>
        <v>6007.4061476625002</v>
      </c>
      <c r="Q112" s="826">
        <f>SUM(Q99:Q111)</f>
        <v>1268.3145722625002</v>
      </c>
      <c r="R112" s="826">
        <f t="shared" ref="R112:U112" si="19">SUM(R99:R111)</f>
        <v>1.9819663693068013</v>
      </c>
      <c r="S112" s="826">
        <f t="shared" si="19"/>
        <v>1233.37896129</v>
      </c>
      <c r="T112" s="826">
        <f t="shared" si="19"/>
        <v>5400</v>
      </c>
      <c r="U112" s="82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3A3ED-EE53-4504-914B-1FAA49ACF722}">
  <sheetPr filterMode="1">
    <tabColor rgb="FFB2B2B2"/>
    <pageSetUpPr autoPageBreaks="0"/>
  </sheetPr>
  <dimension ref="A1:X211"/>
  <sheetViews>
    <sheetView showGridLines="0" zoomScale="70" zoomScaleNormal="70" workbookViewId="0">
      <pane ySplit="7" topLeftCell="A8" activePane="bottomLeft" state="frozen"/>
      <selection pane="bottomLeft"/>
    </sheetView>
  </sheetViews>
  <sheetFormatPr defaultColWidth="9.1796875" defaultRowHeight="14.5" x14ac:dyDescent="0.35"/>
  <cols>
    <col min="1" max="1" width="9.1796875" style="237"/>
    <col min="2" max="2" width="13" style="237" customWidth="1"/>
    <col min="3" max="3" width="17.1796875" style="237" customWidth="1"/>
    <col min="4" max="4" width="14.1796875" style="237" customWidth="1"/>
    <col min="5" max="5" width="52" style="237" customWidth="1"/>
    <col min="6" max="7" width="14.26953125" style="237" customWidth="1"/>
    <col min="8" max="8" width="85.7265625" style="237" customWidth="1"/>
    <col min="9" max="9" width="28" style="237" customWidth="1"/>
    <col min="10" max="15" width="14.453125" style="237" customWidth="1"/>
    <col min="16" max="16" width="42.54296875" style="237" customWidth="1"/>
    <col min="17" max="24" width="15.7265625" style="237" customWidth="1"/>
    <col min="25" max="16384" width="9.1796875" style="237"/>
  </cols>
  <sheetData>
    <row r="1" spans="1:24" x14ac:dyDescent="0.35">
      <c r="A1" s="279" t="str">
        <f ca="1">IFERROR(VALUE(MID(CELL("filename",$A$1),FIND("]",CELL("filename",$A$1))+1,255)),MID(CELL("filename",$A$1),FIND("]",CELL("filename",$A$1))+1,255))</f>
        <v>v9 Revisions</v>
      </c>
    </row>
    <row r="2" spans="1:24" x14ac:dyDescent="0.35">
      <c r="C2" s="2670" t="s">
        <v>3550</v>
      </c>
      <c r="J2" s="2797" t="s">
        <v>4322</v>
      </c>
      <c r="K2" s="2799"/>
      <c r="L2" s="2793" t="s">
        <v>3403</v>
      </c>
      <c r="M2" s="2793" t="s">
        <v>4319</v>
      </c>
      <c r="N2" s="2793" t="s">
        <v>284</v>
      </c>
    </row>
    <row r="3" spans="1:24" x14ac:dyDescent="0.35">
      <c r="C3" s="2792" t="s">
        <v>4320</v>
      </c>
      <c r="J3" s="2798" t="s">
        <v>4329</v>
      </c>
      <c r="K3" s="2800"/>
      <c r="L3" s="2801" cm="1">
        <f t="array" ref="L3">IFERROR(SUM(--(LEN(_xlfn.UNIQUE(_xlfn._xlws.FILTER($E$8:$E$210,L$8:L$210=TRUE)))&gt;0)),0)</f>
        <v>0</v>
      </c>
      <c r="M3" s="2801" cm="1">
        <f t="array" ref="M3">IFERROR(SUM(--(LEN(_xlfn.UNIQUE(_xlfn._xlws.FILTER($E$8:$E$210,M$8:M$210=TRUE)))&gt;0)),0)</f>
        <v>10</v>
      </c>
      <c r="N3" s="2801" cm="1">
        <f t="array" ref="N3">IFERROR(SUM(--(LEN(_xlfn.UNIQUE(_xlfn._xlws.FILTER($E$8:$E$210,N$8:N$210=TRUE)))&gt;0)),0)</f>
        <v>10</v>
      </c>
      <c r="P3" s="600"/>
      <c r="Q3" s="600"/>
      <c r="R3" s="600"/>
      <c r="S3" s="600"/>
      <c r="T3" s="600"/>
      <c r="U3" s="600"/>
      <c r="V3" s="600"/>
      <c r="W3" s="600"/>
      <c r="X3" s="600"/>
    </row>
    <row r="4" spans="1:24" customFormat="1" x14ac:dyDescent="0.35">
      <c r="J4" s="2798" t="s">
        <v>4327</v>
      </c>
      <c r="K4" s="2800"/>
      <c r="L4" s="2794">
        <f>COUNTIFS(L$8:L$210,TRUE)</f>
        <v>0</v>
      </c>
      <c r="M4" s="2794">
        <f>COUNTIFS(M$8:M$210,TRUE)</f>
        <v>12</v>
      </c>
      <c r="N4" s="2794">
        <f>L4+M4</f>
        <v>12</v>
      </c>
      <c r="O4" s="237"/>
      <c r="S4" s="600"/>
      <c r="T4" s="600"/>
      <c r="U4" s="600"/>
      <c r="V4" s="600"/>
      <c r="W4" s="600"/>
      <c r="X4" s="600"/>
    </row>
    <row r="5" spans="1:24" x14ac:dyDescent="0.35">
      <c r="J5" s="2798" t="s">
        <v>4328</v>
      </c>
      <c r="K5" s="2800"/>
      <c r="L5" s="2794">
        <f>COUNTIFS(L$8:L$210,TRUE,$O$8:$O$210,"")</f>
        <v>0</v>
      </c>
      <c r="M5" s="2794">
        <f>COUNTIFS(M$8:M$210,TRUE,$O$8:$O$210,"")</f>
        <v>0</v>
      </c>
      <c r="N5" s="2794">
        <f>L5+M5</f>
        <v>0</v>
      </c>
      <c r="P5" s="600"/>
      <c r="Q5" s="600"/>
      <c r="R5" s="600"/>
      <c r="S5" s="600"/>
      <c r="T5" s="600"/>
      <c r="U5" s="600"/>
      <c r="V5" s="600"/>
      <c r="W5" s="600"/>
      <c r="X5" s="600"/>
    </row>
    <row r="6" spans="1:24" x14ac:dyDescent="0.35">
      <c r="B6" s="2791" t="s">
        <v>3551</v>
      </c>
      <c r="C6" s="2787"/>
      <c r="D6" s="2787"/>
      <c r="E6" s="2787"/>
      <c r="F6" s="2787"/>
      <c r="G6" s="2787"/>
      <c r="H6" s="2787"/>
      <c r="I6" s="2787"/>
      <c r="J6" s="600"/>
      <c r="K6" s="600"/>
      <c r="L6" s="600"/>
      <c r="M6" s="600"/>
      <c r="N6" s="600"/>
      <c r="O6" s="600"/>
      <c r="P6" s="600"/>
      <c r="Q6" s="600"/>
      <c r="R6" s="600"/>
      <c r="S6" s="600"/>
      <c r="T6" s="600"/>
      <c r="U6" s="600"/>
      <c r="V6" s="600"/>
      <c r="W6" s="600"/>
      <c r="X6" s="600"/>
    </row>
    <row r="7" spans="1:24" ht="75" customHeight="1" x14ac:dyDescent="0.35">
      <c r="B7" s="2671" t="s">
        <v>441</v>
      </c>
      <c r="C7" s="2671" t="s">
        <v>871</v>
      </c>
      <c r="D7" s="2672" t="s">
        <v>3552</v>
      </c>
      <c r="E7" s="2671" t="s">
        <v>1370</v>
      </c>
      <c r="F7" s="2671" t="s">
        <v>3397</v>
      </c>
      <c r="G7" s="2671" t="s">
        <v>3398</v>
      </c>
      <c r="H7" s="2671" t="s">
        <v>3399</v>
      </c>
      <c r="I7" s="2671" t="s">
        <v>3400</v>
      </c>
      <c r="J7" s="2672" t="s">
        <v>4331</v>
      </c>
      <c r="K7" s="2672" t="s">
        <v>4326</v>
      </c>
      <c r="L7" s="2672" t="s">
        <v>3888</v>
      </c>
      <c r="M7" s="2672" t="s">
        <v>3891</v>
      </c>
      <c r="N7" s="2672" t="s">
        <v>4330</v>
      </c>
      <c r="O7" s="2672" t="s">
        <v>3887</v>
      </c>
      <c r="P7" s="2672" t="s">
        <v>3890</v>
      </c>
      <c r="Q7" s="2672" t="s">
        <v>4332</v>
      </c>
      <c r="R7" s="2672" t="s">
        <v>4333</v>
      </c>
      <c r="S7" s="2672" t="s">
        <v>4334</v>
      </c>
      <c r="T7" s="2672" t="s">
        <v>4335</v>
      </c>
      <c r="U7" s="2672" t="s">
        <v>4336</v>
      </c>
      <c r="V7" s="2672" t="s">
        <v>4337</v>
      </c>
      <c r="W7" s="2672" t="s">
        <v>4338</v>
      </c>
      <c r="X7" s="2672" t="s">
        <v>4339</v>
      </c>
    </row>
    <row r="8" spans="1:24" ht="15" hidden="1" customHeight="1" x14ac:dyDescent="0.35">
      <c r="B8" s="2675" t="s">
        <v>3401</v>
      </c>
      <c r="C8" s="2675" t="s">
        <v>820</v>
      </c>
      <c r="D8" s="2788">
        <v>1.1000000000000001</v>
      </c>
      <c r="E8" s="2675" t="s">
        <v>3951</v>
      </c>
      <c r="F8" s="2675" t="s">
        <v>820</v>
      </c>
      <c r="G8" s="2675" t="s">
        <v>3402</v>
      </c>
      <c r="H8" s="2675" t="s">
        <v>3952</v>
      </c>
      <c r="I8" s="2675" t="s">
        <v>820</v>
      </c>
      <c r="J8" s="599" t="b">
        <v>0</v>
      </c>
      <c r="K8" s="2796" t="b">
        <f>IF(D8="n/a","n/a",ISNUMBER(MATCH(D8,'Measure Level Adjustments Tab'!K:K,0)))</f>
        <v>0</v>
      </c>
      <c r="L8" s="2796" t="b">
        <f t="shared" ref="L8:L71" si="0">AND(G8="Errata",J8,K8)</f>
        <v>0</v>
      </c>
      <c r="M8" s="2796" t="b">
        <f t="shared" ref="M8:M71" si="1">AND(G8="Revision",J8,K8)</f>
        <v>0</v>
      </c>
      <c r="N8" s="2796" t="b">
        <f>OR(L8,M8)</f>
        <v>0</v>
      </c>
      <c r="O8" s="2789" t="s">
        <v>304</v>
      </c>
      <c r="P8" s="2789"/>
      <c r="Q8" s="2789"/>
      <c r="R8" s="2677" t="str">
        <f t="shared" ref="R8:R71" si="2">IF(Q8="","",HYPERLINK("#"&amp;Q8,"Go To Update"))</f>
        <v/>
      </c>
      <c r="S8" s="2789"/>
      <c r="T8" s="2677" t="str">
        <f t="shared" ref="T8:T71" si="3">IF(S8="","",HYPERLINK("#"&amp;S8,"Go To Update"))</f>
        <v/>
      </c>
      <c r="U8" s="2789"/>
      <c r="V8" s="2677" t="str">
        <f t="shared" ref="V8:V71" si="4">IF(U8="","",HYPERLINK("#"&amp;U8,"Go To Update"))</f>
        <v/>
      </c>
      <c r="W8" s="2789"/>
      <c r="X8" s="2677" t="str">
        <f t="shared" ref="X8:X71" si="5">IF(W8="","",HYPERLINK("#"&amp;W8,"Go To Update"))</f>
        <v/>
      </c>
    </row>
    <row r="9" spans="1:24" ht="15" hidden="1" customHeight="1" x14ac:dyDescent="0.35">
      <c r="B9" s="2675" t="s">
        <v>3401</v>
      </c>
      <c r="C9" s="2675" t="s">
        <v>820</v>
      </c>
      <c r="D9" s="2788">
        <v>2.2000000000000002</v>
      </c>
      <c r="E9" s="2675" t="s">
        <v>3953</v>
      </c>
      <c r="F9" s="2675" t="s">
        <v>820</v>
      </c>
      <c r="G9" s="2675" t="s">
        <v>3402</v>
      </c>
      <c r="H9" s="2675" t="s">
        <v>3954</v>
      </c>
      <c r="I9" s="2675" t="s">
        <v>820</v>
      </c>
      <c r="J9" s="599" t="b">
        <v>0</v>
      </c>
      <c r="K9" s="599" t="b">
        <v>0</v>
      </c>
      <c r="L9" s="2796" t="b">
        <f t="shared" si="0"/>
        <v>0</v>
      </c>
      <c r="M9" s="2796" t="b">
        <f t="shared" si="1"/>
        <v>0</v>
      </c>
      <c r="N9" s="2796" t="b">
        <f t="shared" ref="N9:N72" si="6">OR(L9,M9)</f>
        <v>0</v>
      </c>
      <c r="O9" s="2789" t="s">
        <v>304</v>
      </c>
      <c r="P9" s="2789"/>
      <c r="Q9" s="2789"/>
      <c r="R9" s="2677" t="str">
        <f t="shared" si="2"/>
        <v/>
      </c>
      <c r="S9" s="2789"/>
      <c r="T9" s="2677" t="str">
        <f t="shared" si="3"/>
        <v/>
      </c>
      <c r="U9" s="2789"/>
      <c r="V9" s="2677" t="str">
        <f t="shared" si="4"/>
        <v/>
      </c>
      <c r="W9" s="2789"/>
      <c r="X9" s="2677" t="str">
        <f t="shared" si="5"/>
        <v/>
      </c>
    </row>
    <row r="10" spans="1:24" ht="15" hidden="1" customHeight="1" x14ac:dyDescent="0.35">
      <c r="B10" s="2675" t="s">
        <v>3401</v>
      </c>
      <c r="C10" s="2675" t="s">
        <v>820</v>
      </c>
      <c r="D10" s="2788" t="s">
        <v>4284</v>
      </c>
      <c r="E10" s="2675" t="s">
        <v>3955</v>
      </c>
      <c r="F10" s="2675" t="s">
        <v>820</v>
      </c>
      <c r="G10" s="2675" t="s">
        <v>3402</v>
      </c>
      <c r="H10" s="2675" t="s">
        <v>3956</v>
      </c>
      <c r="I10" s="2675" t="s">
        <v>820</v>
      </c>
      <c r="J10" s="599" t="b">
        <v>0</v>
      </c>
      <c r="K10" s="599" t="b">
        <v>0</v>
      </c>
      <c r="L10" s="2796" t="b">
        <f t="shared" si="0"/>
        <v>0</v>
      </c>
      <c r="M10" s="2796" t="b">
        <f t="shared" si="1"/>
        <v>0</v>
      </c>
      <c r="N10" s="2796" t="b">
        <f t="shared" si="6"/>
        <v>0</v>
      </c>
      <c r="O10" s="2789" t="s">
        <v>304</v>
      </c>
      <c r="P10" s="2789"/>
      <c r="Q10" s="2789"/>
      <c r="R10" s="2677" t="str">
        <f t="shared" si="2"/>
        <v/>
      </c>
      <c r="S10" s="2789"/>
      <c r="T10" s="2677" t="str">
        <f t="shared" si="3"/>
        <v/>
      </c>
      <c r="U10" s="2789"/>
      <c r="V10" s="2677" t="str">
        <f t="shared" si="4"/>
        <v/>
      </c>
      <c r="W10" s="2789"/>
      <c r="X10" s="2677" t="str">
        <f t="shared" si="5"/>
        <v/>
      </c>
    </row>
    <row r="11" spans="1:24" ht="15" hidden="1" customHeight="1" x14ac:dyDescent="0.35">
      <c r="B11" s="2675" t="s">
        <v>3401</v>
      </c>
      <c r="C11" s="2675" t="s">
        <v>820</v>
      </c>
      <c r="D11" s="2788">
        <v>3.5</v>
      </c>
      <c r="E11" s="2675" t="s">
        <v>3957</v>
      </c>
      <c r="F11" s="2675" t="s">
        <v>820</v>
      </c>
      <c r="G11" s="2675" t="s">
        <v>3402</v>
      </c>
      <c r="H11" s="2675" t="s">
        <v>3958</v>
      </c>
      <c r="I11" s="2675" t="s">
        <v>820</v>
      </c>
      <c r="J11" s="599" t="b">
        <v>0</v>
      </c>
      <c r="K11" s="599" t="b">
        <v>0</v>
      </c>
      <c r="L11" s="2796" t="b">
        <f t="shared" si="0"/>
        <v>0</v>
      </c>
      <c r="M11" s="2796" t="b">
        <f t="shared" si="1"/>
        <v>0</v>
      </c>
      <c r="N11" s="2796" t="b">
        <f t="shared" si="6"/>
        <v>0</v>
      </c>
      <c r="O11" s="2789" t="s">
        <v>304</v>
      </c>
      <c r="P11" s="2789"/>
      <c r="Q11" s="2789"/>
      <c r="R11" s="2677" t="str">
        <f t="shared" si="2"/>
        <v/>
      </c>
      <c r="S11" s="2789"/>
      <c r="T11" s="2677" t="str">
        <f t="shared" si="3"/>
        <v/>
      </c>
      <c r="U11" s="2789"/>
      <c r="V11" s="2677" t="str">
        <f t="shared" si="4"/>
        <v/>
      </c>
      <c r="W11" s="2789"/>
      <c r="X11" s="2677" t="str">
        <f t="shared" si="5"/>
        <v/>
      </c>
    </row>
    <row r="12" spans="1:24" ht="15" hidden="1" customHeight="1" x14ac:dyDescent="0.35">
      <c r="B12" s="2675" t="s">
        <v>3401</v>
      </c>
      <c r="C12" s="2675" t="s">
        <v>820</v>
      </c>
      <c r="D12" s="2788">
        <v>3.5</v>
      </c>
      <c r="E12" s="2675" t="s">
        <v>3957</v>
      </c>
      <c r="F12" s="2675" t="s">
        <v>820</v>
      </c>
      <c r="G12" s="2675" t="s">
        <v>3402</v>
      </c>
      <c r="H12" s="2675" t="s">
        <v>3959</v>
      </c>
      <c r="I12" s="2675" t="s">
        <v>820</v>
      </c>
      <c r="J12" s="599" t="b">
        <v>0</v>
      </c>
      <c r="K12" s="599" t="b">
        <v>0</v>
      </c>
      <c r="L12" s="2796" t="b">
        <f t="shared" si="0"/>
        <v>0</v>
      </c>
      <c r="M12" s="2796" t="b">
        <f t="shared" si="1"/>
        <v>0</v>
      </c>
      <c r="N12" s="2796" t="b">
        <f t="shared" si="6"/>
        <v>0</v>
      </c>
      <c r="O12" s="2789" t="s">
        <v>304</v>
      </c>
      <c r="P12" s="2789"/>
      <c r="Q12" s="2789"/>
      <c r="R12" s="2677" t="str">
        <f t="shared" si="2"/>
        <v/>
      </c>
      <c r="S12" s="2789"/>
      <c r="T12" s="2677" t="str">
        <f t="shared" si="3"/>
        <v/>
      </c>
      <c r="U12" s="2789"/>
      <c r="V12" s="2677" t="str">
        <f t="shared" si="4"/>
        <v/>
      </c>
      <c r="W12" s="2789"/>
      <c r="X12" s="2677" t="str">
        <f t="shared" si="5"/>
        <v/>
      </c>
    </row>
    <row r="13" spans="1:24" ht="15" hidden="1" customHeight="1" x14ac:dyDescent="0.35">
      <c r="B13" s="2675" t="s">
        <v>3401</v>
      </c>
      <c r="C13" s="2675" t="s">
        <v>820</v>
      </c>
      <c r="D13" s="2788">
        <v>3.5</v>
      </c>
      <c r="E13" s="2675" t="s">
        <v>3957</v>
      </c>
      <c r="F13" s="2675" t="s">
        <v>820</v>
      </c>
      <c r="G13" s="2675" t="s">
        <v>3402</v>
      </c>
      <c r="H13" s="2675" t="s">
        <v>3960</v>
      </c>
      <c r="I13" s="2675" t="s">
        <v>820</v>
      </c>
      <c r="J13" s="599" t="b">
        <v>0</v>
      </c>
      <c r="K13" s="599" t="b">
        <v>0</v>
      </c>
      <c r="L13" s="2796" t="b">
        <f t="shared" si="0"/>
        <v>0</v>
      </c>
      <c r="M13" s="2796" t="b">
        <f t="shared" si="1"/>
        <v>0</v>
      </c>
      <c r="N13" s="2796" t="b">
        <f t="shared" si="6"/>
        <v>0</v>
      </c>
      <c r="O13" s="2789" t="s">
        <v>304</v>
      </c>
      <c r="P13" s="2789"/>
      <c r="Q13" s="2789"/>
      <c r="R13" s="2677" t="str">
        <f t="shared" si="2"/>
        <v/>
      </c>
      <c r="S13" s="2789"/>
      <c r="T13" s="2677" t="str">
        <f t="shared" si="3"/>
        <v/>
      </c>
      <c r="U13" s="2789"/>
      <c r="V13" s="2677" t="str">
        <f t="shared" si="4"/>
        <v/>
      </c>
      <c r="W13" s="2789"/>
      <c r="X13" s="2677" t="str">
        <f t="shared" si="5"/>
        <v/>
      </c>
    </row>
    <row r="14" spans="1:24" ht="15" hidden="1" customHeight="1" x14ac:dyDescent="0.35">
      <c r="B14" s="2675" t="s">
        <v>3401</v>
      </c>
      <c r="C14" s="2675" t="s">
        <v>820</v>
      </c>
      <c r="D14" s="2788">
        <v>3.5</v>
      </c>
      <c r="E14" s="2675" t="s">
        <v>3961</v>
      </c>
      <c r="F14" s="2675" t="s">
        <v>820</v>
      </c>
      <c r="G14" s="2675" t="s">
        <v>3402</v>
      </c>
      <c r="H14" s="2675" t="s">
        <v>3962</v>
      </c>
      <c r="I14" s="2675" t="s">
        <v>820</v>
      </c>
      <c r="J14" s="599" t="b">
        <v>0</v>
      </c>
      <c r="K14" s="599" t="b">
        <v>0</v>
      </c>
      <c r="L14" s="2796" t="b">
        <f t="shared" si="0"/>
        <v>0</v>
      </c>
      <c r="M14" s="2796" t="b">
        <f t="shared" si="1"/>
        <v>0</v>
      </c>
      <c r="N14" s="2796" t="b">
        <f t="shared" si="6"/>
        <v>0</v>
      </c>
      <c r="O14" s="2789" t="s">
        <v>304</v>
      </c>
      <c r="P14" s="2789"/>
      <c r="Q14" s="2789"/>
      <c r="R14" s="2677" t="str">
        <f t="shared" si="2"/>
        <v/>
      </c>
      <c r="S14" s="2789"/>
      <c r="T14" s="2677" t="str">
        <f t="shared" si="3"/>
        <v/>
      </c>
      <c r="U14" s="2789"/>
      <c r="V14" s="2677" t="str">
        <f t="shared" si="4"/>
        <v/>
      </c>
      <c r="W14" s="2789"/>
      <c r="X14" s="2677" t="str">
        <f t="shared" si="5"/>
        <v/>
      </c>
    </row>
    <row r="15" spans="1:24" ht="15" hidden="1" customHeight="1" x14ac:dyDescent="0.35">
      <c r="B15" s="2675" t="s">
        <v>3401</v>
      </c>
      <c r="C15" s="2675" t="s">
        <v>820</v>
      </c>
      <c r="D15" s="2788">
        <v>3.1</v>
      </c>
      <c r="E15" s="2675" t="s">
        <v>3963</v>
      </c>
      <c r="F15" s="2675" t="s">
        <v>820</v>
      </c>
      <c r="G15" s="2675" t="s">
        <v>3402</v>
      </c>
      <c r="H15" s="2675" t="s">
        <v>3964</v>
      </c>
      <c r="I15" s="2675" t="s">
        <v>820</v>
      </c>
      <c r="J15" s="599" t="b">
        <v>0</v>
      </c>
      <c r="K15" s="599" t="b">
        <v>0</v>
      </c>
      <c r="L15" s="2796" t="b">
        <f t="shared" si="0"/>
        <v>0</v>
      </c>
      <c r="M15" s="2796" t="b">
        <f t="shared" si="1"/>
        <v>0</v>
      </c>
      <c r="N15" s="2796" t="b">
        <f t="shared" si="6"/>
        <v>0</v>
      </c>
      <c r="O15" s="2789" t="s">
        <v>304</v>
      </c>
      <c r="P15" s="2789"/>
      <c r="Q15" s="2789"/>
      <c r="R15" s="2677" t="str">
        <f t="shared" si="2"/>
        <v/>
      </c>
      <c r="S15" s="2789"/>
      <c r="T15" s="2677" t="str">
        <f t="shared" si="3"/>
        <v/>
      </c>
      <c r="U15" s="2789"/>
      <c r="V15" s="2677" t="str">
        <f t="shared" si="4"/>
        <v/>
      </c>
      <c r="W15" s="2789"/>
      <c r="X15" s="2677" t="str">
        <f t="shared" si="5"/>
        <v/>
      </c>
    </row>
    <row r="16" spans="1:24" ht="15" hidden="1" customHeight="1" x14ac:dyDescent="0.35">
      <c r="B16" s="2675" t="s">
        <v>3965</v>
      </c>
      <c r="C16" s="2675" t="s">
        <v>3562</v>
      </c>
      <c r="D16" s="2788" t="s">
        <v>3584</v>
      </c>
      <c r="E16" s="2675" t="s">
        <v>3585</v>
      </c>
      <c r="F16" s="2675" t="s">
        <v>3966</v>
      </c>
      <c r="G16" s="2675" t="s">
        <v>3402</v>
      </c>
      <c r="H16" s="2675" t="s">
        <v>3967</v>
      </c>
      <c r="I16" s="2675" t="s">
        <v>3408</v>
      </c>
      <c r="J16" s="599" t="b">
        <v>0</v>
      </c>
      <c r="K16" s="599" t="b">
        <v>0</v>
      </c>
      <c r="L16" s="2796" t="b">
        <f t="shared" si="0"/>
        <v>0</v>
      </c>
      <c r="M16" s="2796" t="b">
        <f t="shared" si="1"/>
        <v>0</v>
      </c>
      <c r="N16" s="2796" t="b">
        <f t="shared" si="6"/>
        <v>0</v>
      </c>
      <c r="O16" s="2789" t="s">
        <v>304</v>
      </c>
      <c r="P16" s="2789"/>
      <c r="Q16" s="2789"/>
      <c r="R16" s="2677" t="str">
        <f t="shared" si="2"/>
        <v/>
      </c>
      <c r="S16" s="2789"/>
      <c r="T16" s="2677" t="str">
        <f t="shared" si="3"/>
        <v/>
      </c>
      <c r="U16" s="2789"/>
      <c r="V16" s="2677" t="str">
        <f t="shared" si="4"/>
        <v/>
      </c>
      <c r="W16" s="2789"/>
      <c r="X16" s="2677" t="str">
        <f t="shared" si="5"/>
        <v/>
      </c>
    </row>
    <row r="17" spans="2:24" ht="15" hidden="1" customHeight="1" x14ac:dyDescent="0.35">
      <c r="B17" s="2675" t="s">
        <v>3965</v>
      </c>
      <c r="C17" s="2675" t="s">
        <v>3562</v>
      </c>
      <c r="D17" s="2788" t="s">
        <v>3584</v>
      </c>
      <c r="E17" s="2675" t="s">
        <v>3585</v>
      </c>
      <c r="F17" s="2675" t="s">
        <v>3966</v>
      </c>
      <c r="G17" s="2675" t="s">
        <v>3402</v>
      </c>
      <c r="H17" s="2675" t="s">
        <v>3968</v>
      </c>
      <c r="I17" s="2675" t="s">
        <v>3408</v>
      </c>
      <c r="J17" s="599" t="b">
        <v>0</v>
      </c>
      <c r="K17" s="599" t="b">
        <v>0</v>
      </c>
      <c r="L17" s="2796" t="b">
        <f t="shared" si="0"/>
        <v>0</v>
      </c>
      <c r="M17" s="2796" t="b">
        <f t="shared" si="1"/>
        <v>0</v>
      </c>
      <c r="N17" s="2796" t="b">
        <f t="shared" si="6"/>
        <v>0</v>
      </c>
      <c r="O17" s="2789" t="s">
        <v>304</v>
      </c>
      <c r="P17" s="2789"/>
      <c r="Q17" s="2789"/>
      <c r="R17" s="2677" t="str">
        <f t="shared" si="2"/>
        <v/>
      </c>
      <c r="S17" s="2789"/>
      <c r="T17" s="2677" t="str">
        <f t="shared" si="3"/>
        <v/>
      </c>
      <c r="U17" s="2789"/>
      <c r="V17" s="2677" t="str">
        <f t="shared" si="4"/>
        <v/>
      </c>
      <c r="W17" s="2789"/>
      <c r="X17" s="2677" t="str">
        <f t="shared" si="5"/>
        <v/>
      </c>
    </row>
    <row r="18" spans="2:24" ht="15" hidden="1" customHeight="1" x14ac:dyDescent="0.35">
      <c r="B18" s="2675" t="s">
        <v>3965</v>
      </c>
      <c r="C18" s="2675" t="s">
        <v>3562</v>
      </c>
      <c r="D18" s="2788" t="s">
        <v>3584</v>
      </c>
      <c r="E18" s="2675" t="s">
        <v>3585</v>
      </c>
      <c r="F18" s="2675" t="s">
        <v>3966</v>
      </c>
      <c r="G18" s="2675" t="s">
        <v>3402</v>
      </c>
      <c r="H18" s="2675" t="s">
        <v>3969</v>
      </c>
      <c r="I18" s="2675" t="s">
        <v>3408</v>
      </c>
      <c r="J18" s="599" t="b">
        <v>0</v>
      </c>
      <c r="K18" s="599" t="b">
        <v>0</v>
      </c>
      <c r="L18" s="2796" t="b">
        <f t="shared" si="0"/>
        <v>0</v>
      </c>
      <c r="M18" s="2796" t="b">
        <f t="shared" si="1"/>
        <v>0</v>
      </c>
      <c r="N18" s="2796" t="b">
        <f t="shared" si="6"/>
        <v>0</v>
      </c>
      <c r="O18" s="2789" t="s">
        <v>304</v>
      </c>
      <c r="P18" s="2789"/>
      <c r="Q18" s="2789"/>
      <c r="R18" s="2677" t="str">
        <f t="shared" si="2"/>
        <v/>
      </c>
      <c r="S18" s="2789"/>
      <c r="T18" s="2677" t="str">
        <f t="shared" si="3"/>
        <v/>
      </c>
      <c r="U18" s="2789"/>
      <c r="V18" s="2677" t="str">
        <f t="shared" si="4"/>
        <v/>
      </c>
      <c r="W18" s="2789"/>
      <c r="X18" s="2677" t="str">
        <f t="shared" si="5"/>
        <v/>
      </c>
    </row>
    <row r="19" spans="2:24" ht="15" hidden="1" customHeight="1" x14ac:dyDescent="0.35">
      <c r="B19" s="2675" t="s">
        <v>3965</v>
      </c>
      <c r="C19" s="2675" t="s">
        <v>3562</v>
      </c>
      <c r="D19" s="2788" t="s">
        <v>3584</v>
      </c>
      <c r="E19" s="2675" t="s">
        <v>3585</v>
      </c>
      <c r="F19" s="2675" t="s">
        <v>3966</v>
      </c>
      <c r="G19" s="2675" t="s">
        <v>3402</v>
      </c>
      <c r="H19" s="2675" t="s">
        <v>3970</v>
      </c>
      <c r="I19" s="2675" t="s">
        <v>3408</v>
      </c>
      <c r="J19" s="599" t="b">
        <v>0</v>
      </c>
      <c r="K19" s="599" t="b">
        <v>0</v>
      </c>
      <c r="L19" s="2796" t="b">
        <f t="shared" si="0"/>
        <v>0</v>
      </c>
      <c r="M19" s="2796" t="b">
        <f t="shared" si="1"/>
        <v>0</v>
      </c>
      <c r="N19" s="2796" t="b">
        <f t="shared" si="6"/>
        <v>0</v>
      </c>
      <c r="O19" s="2789" t="s">
        <v>304</v>
      </c>
      <c r="P19" s="2789"/>
      <c r="Q19" s="2789"/>
      <c r="R19" s="2677" t="str">
        <f t="shared" si="2"/>
        <v/>
      </c>
      <c r="S19" s="2789"/>
      <c r="T19" s="2677" t="str">
        <f t="shared" si="3"/>
        <v/>
      </c>
      <c r="U19" s="2789"/>
      <c r="V19" s="2677" t="str">
        <f t="shared" si="4"/>
        <v/>
      </c>
      <c r="W19" s="2789"/>
      <c r="X19" s="2677" t="str">
        <f t="shared" si="5"/>
        <v/>
      </c>
    </row>
    <row r="20" spans="2:24" ht="15" hidden="1" customHeight="1" x14ac:dyDescent="0.35">
      <c r="B20" s="2675" t="s">
        <v>3965</v>
      </c>
      <c r="C20" s="2675" t="s">
        <v>3562</v>
      </c>
      <c r="D20" s="2788" t="s">
        <v>3584</v>
      </c>
      <c r="E20" s="2675" t="s">
        <v>3585</v>
      </c>
      <c r="F20" s="2675" t="s">
        <v>3966</v>
      </c>
      <c r="G20" s="2675" t="s">
        <v>3402</v>
      </c>
      <c r="H20" s="2675" t="s">
        <v>3971</v>
      </c>
      <c r="I20" s="2675" t="s">
        <v>3408</v>
      </c>
      <c r="J20" s="599" t="b">
        <v>0</v>
      </c>
      <c r="K20" s="599" t="b">
        <v>0</v>
      </c>
      <c r="L20" s="2796" t="b">
        <f t="shared" si="0"/>
        <v>0</v>
      </c>
      <c r="M20" s="2796" t="b">
        <f t="shared" si="1"/>
        <v>0</v>
      </c>
      <c r="N20" s="2796" t="b">
        <f t="shared" si="6"/>
        <v>0</v>
      </c>
      <c r="O20" s="2789" t="s">
        <v>304</v>
      </c>
      <c r="P20" s="2789"/>
      <c r="Q20" s="2789"/>
      <c r="R20" s="2677" t="str">
        <f t="shared" si="2"/>
        <v/>
      </c>
      <c r="S20" s="2789"/>
      <c r="T20" s="2677" t="str">
        <f t="shared" si="3"/>
        <v/>
      </c>
      <c r="U20" s="2789"/>
      <c r="V20" s="2677" t="str">
        <f t="shared" si="4"/>
        <v/>
      </c>
      <c r="W20" s="2789"/>
      <c r="X20" s="2677" t="str">
        <f t="shared" si="5"/>
        <v/>
      </c>
    </row>
    <row r="21" spans="2:24" ht="15" hidden="1" customHeight="1" x14ac:dyDescent="0.35">
      <c r="B21" s="2675" t="s">
        <v>3965</v>
      </c>
      <c r="C21" s="2675" t="s">
        <v>3562</v>
      </c>
      <c r="D21" s="2788" t="s">
        <v>4285</v>
      </c>
      <c r="E21" s="2675" t="s">
        <v>3972</v>
      </c>
      <c r="F21" s="2675" t="s">
        <v>3973</v>
      </c>
      <c r="G21" s="2675" t="s">
        <v>2285</v>
      </c>
      <c r="H21" s="2675" t="s">
        <v>3474</v>
      </c>
      <c r="I21" s="2675" t="s">
        <v>820</v>
      </c>
      <c r="J21" s="599" t="b">
        <v>0</v>
      </c>
      <c r="K21" s="599" t="b">
        <v>0</v>
      </c>
      <c r="L21" s="2796" t="b">
        <f t="shared" si="0"/>
        <v>0</v>
      </c>
      <c r="M21" s="2796" t="b">
        <f t="shared" si="1"/>
        <v>0</v>
      </c>
      <c r="N21" s="2796" t="b">
        <f t="shared" si="6"/>
        <v>0</v>
      </c>
      <c r="O21" s="2789" t="s">
        <v>304</v>
      </c>
      <c r="P21" s="2789"/>
      <c r="Q21" s="2789"/>
      <c r="R21" s="2677" t="str">
        <f t="shared" si="2"/>
        <v/>
      </c>
      <c r="S21" s="2789"/>
      <c r="T21" s="2677" t="str">
        <f t="shared" si="3"/>
        <v/>
      </c>
      <c r="U21" s="2789"/>
      <c r="V21" s="2677" t="str">
        <f t="shared" si="4"/>
        <v/>
      </c>
      <c r="W21" s="2789"/>
      <c r="X21" s="2677" t="str">
        <f t="shared" si="5"/>
        <v/>
      </c>
    </row>
    <row r="22" spans="2:24" ht="15" hidden="1" customHeight="1" x14ac:dyDescent="0.35">
      <c r="B22" s="2675" t="s">
        <v>3965</v>
      </c>
      <c r="C22" s="2675" t="s">
        <v>3407</v>
      </c>
      <c r="D22" s="2788" t="s">
        <v>3413</v>
      </c>
      <c r="E22" s="2675" t="s">
        <v>3592</v>
      </c>
      <c r="F22" s="2675" t="s">
        <v>3974</v>
      </c>
      <c r="G22" s="2675" t="s">
        <v>3402</v>
      </c>
      <c r="H22" s="2675" t="s">
        <v>3975</v>
      </c>
      <c r="I22" s="2675" t="s">
        <v>820</v>
      </c>
      <c r="J22" s="599" t="b">
        <v>0</v>
      </c>
      <c r="K22" s="599" t="b">
        <v>0</v>
      </c>
      <c r="L22" s="2796" t="b">
        <f t="shared" si="0"/>
        <v>0</v>
      </c>
      <c r="M22" s="2796" t="b">
        <f t="shared" si="1"/>
        <v>0</v>
      </c>
      <c r="N22" s="2796" t="b">
        <f t="shared" si="6"/>
        <v>0</v>
      </c>
      <c r="O22" s="2789" t="s">
        <v>304</v>
      </c>
      <c r="P22" s="2789"/>
      <c r="Q22" s="2789"/>
      <c r="R22" s="2677" t="str">
        <f t="shared" si="2"/>
        <v/>
      </c>
      <c r="S22" s="2789"/>
      <c r="T22" s="2677" t="str">
        <f t="shared" si="3"/>
        <v/>
      </c>
      <c r="U22" s="2789"/>
      <c r="V22" s="2677" t="str">
        <f t="shared" si="4"/>
        <v/>
      </c>
      <c r="W22" s="2789"/>
      <c r="X22" s="2677" t="str">
        <f t="shared" si="5"/>
        <v/>
      </c>
    </row>
    <row r="23" spans="2:24" ht="15" hidden="1" customHeight="1" x14ac:dyDescent="0.35">
      <c r="B23" s="2675" t="s">
        <v>3965</v>
      </c>
      <c r="C23" s="2675" t="s">
        <v>3407</v>
      </c>
      <c r="D23" s="2788" t="s">
        <v>3196</v>
      </c>
      <c r="E23" s="2675" t="s">
        <v>3976</v>
      </c>
      <c r="F23" s="2675" t="s">
        <v>3977</v>
      </c>
      <c r="G23" s="2675" t="s">
        <v>3402</v>
      </c>
      <c r="H23" s="2675" t="s">
        <v>3978</v>
      </c>
      <c r="I23" s="2675" t="s">
        <v>820</v>
      </c>
      <c r="J23" s="599" t="b">
        <v>0</v>
      </c>
      <c r="K23" s="599" t="b">
        <v>1</v>
      </c>
      <c r="L23" s="2796" t="b">
        <f t="shared" si="0"/>
        <v>0</v>
      </c>
      <c r="M23" s="2796" t="b">
        <f t="shared" si="1"/>
        <v>0</v>
      </c>
      <c r="N23" s="2796" t="b">
        <f t="shared" si="6"/>
        <v>0</v>
      </c>
      <c r="O23" s="2789" t="s">
        <v>304</v>
      </c>
      <c r="P23" s="2789"/>
      <c r="Q23" s="2789"/>
      <c r="R23" s="2677" t="str">
        <f t="shared" si="2"/>
        <v/>
      </c>
      <c r="S23" s="2789"/>
      <c r="T23" s="2677" t="str">
        <f t="shared" si="3"/>
        <v/>
      </c>
      <c r="U23" s="2789"/>
      <c r="V23" s="2677" t="str">
        <f t="shared" si="4"/>
        <v/>
      </c>
      <c r="W23" s="2789"/>
      <c r="X23" s="2677" t="str">
        <f t="shared" si="5"/>
        <v/>
      </c>
    </row>
    <row r="24" spans="2:24" ht="15" hidden="1" customHeight="1" x14ac:dyDescent="0.35">
      <c r="B24" s="2675" t="s">
        <v>3965</v>
      </c>
      <c r="C24" s="2675" t="s">
        <v>3407</v>
      </c>
      <c r="D24" s="2788" t="s">
        <v>3196</v>
      </c>
      <c r="E24" s="2675" t="s">
        <v>3976</v>
      </c>
      <c r="F24" s="2675" t="s">
        <v>3977</v>
      </c>
      <c r="G24" s="2675" t="s">
        <v>3402</v>
      </c>
      <c r="H24" s="2675" t="s">
        <v>3979</v>
      </c>
      <c r="I24" s="2675" t="s">
        <v>3980</v>
      </c>
      <c r="J24" s="599" t="b">
        <v>0</v>
      </c>
      <c r="K24" s="599" t="b">
        <v>1</v>
      </c>
      <c r="L24" s="2796" t="b">
        <f t="shared" si="0"/>
        <v>0</v>
      </c>
      <c r="M24" s="2796" t="b">
        <f t="shared" si="1"/>
        <v>0</v>
      </c>
      <c r="N24" s="2796" t="b">
        <f t="shared" si="6"/>
        <v>0</v>
      </c>
      <c r="O24" s="2789" t="s">
        <v>304</v>
      </c>
      <c r="P24" s="2789"/>
      <c r="Q24" s="2789"/>
      <c r="R24" s="2677" t="str">
        <f t="shared" si="2"/>
        <v/>
      </c>
      <c r="S24" s="2789"/>
      <c r="T24" s="2677" t="str">
        <f t="shared" si="3"/>
        <v/>
      </c>
      <c r="U24" s="2789"/>
      <c r="V24" s="2677" t="str">
        <f t="shared" si="4"/>
        <v/>
      </c>
      <c r="W24" s="2789"/>
      <c r="X24" s="2677" t="str">
        <f t="shared" si="5"/>
        <v/>
      </c>
    </row>
    <row r="25" spans="2:24" ht="15" customHeight="1" x14ac:dyDescent="0.35">
      <c r="B25" s="2675" t="s">
        <v>3965</v>
      </c>
      <c r="C25" s="2675" t="s">
        <v>3415</v>
      </c>
      <c r="D25" s="2788" t="s">
        <v>3166</v>
      </c>
      <c r="E25" s="2675" t="s">
        <v>3981</v>
      </c>
      <c r="F25" s="2675" t="s">
        <v>3982</v>
      </c>
      <c r="G25" s="2675" t="s">
        <v>3402</v>
      </c>
      <c r="H25" s="2675" t="s">
        <v>3983</v>
      </c>
      <c r="I25" s="2675" t="s">
        <v>3408</v>
      </c>
      <c r="J25" s="599" t="b">
        <v>1</v>
      </c>
      <c r="K25" s="599" t="b">
        <v>1</v>
      </c>
      <c r="L25" s="2796" t="b">
        <f t="shared" si="0"/>
        <v>0</v>
      </c>
      <c r="M25" s="2796" t="b">
        <f t="shared" si="1"/>
        <v>1</v>
      </c>
      <c r="N25" s="2796" t="b">
        <f t="shared" si="6"/>
        <v>1</v>
      </c>
      <c r="O25" s="2789" t="b">
        <v>1</v>
      </c>
      <c r="P25" s="2789" t="s">
        <v>4341</v>
      </c>
      <c r="Q25" s="2789" t="str" cm="1">
        <f t="array" aca="1" ref="Q25" ca="1">CELL("address",'BUS- BPWH4 (TRM)'!G39)</f>
        <v>'[AIC Adjustable Savings Goals_PY 2021 Final_2021-01-19.xlsx]BUS- BPWH4 (TRM)'!$G$39</v>
      </c>
      <c r="R25" s="2677" t="str">
        <f t="shared" ca="1" si="2"/>
        <v>Go To Update</v>
      </c>
      <c r="S25" s="2789" t="str" cm="1">
        <f t="array" aca="1" ref="S25" ca="1">CELL("address",'BUS - BPWH4 PS (TRM)'!G39)</f>
        <v>'[AIC Adjustable Savings Goals_PY 2021 Final_2021-01-19.xlsx]BUS - BPWH4 PS (TRM)'!$G$39</v>
      </c>
      <c r="T25" s="2677" t="str">
        <f t="shared" ca="1" si="3"/>
        <v>Go To Update</v>
      </c>
      <c r="U25" s="2789" t="str" cm="1">
        <f t="array" aca="1" ref="U25" ca="1">CELL("address",'BUS- BPWH5 (TRM)'!G39)</f>
        <v>'[AIC Adjustable Savings Goals_PY 2021 Final_2021-01-19.xlsx]BUS- BPWH5 (TRM)'!$G$39</v>
      </c>
      <c r="V25" s="2677" t="str">
        <f t="shared" ca="1" si="4"/>
        <v>Go To Update</v>
      </c>
      <c r="W25" s="2789" t="str" cm="1">
        <f t="array" aca="1" ref="W25" ca="1">CELL("address",'BUS - BPWH5 PS (TRM)'!G39)</f>
        <v>'[AIC Adjustable Savings Goals_PY 2021 Final_2021-01-19.xlsx]BUS - BPWH5 PS (TRM)'!$G$39</v>
      </c>
      <c r="X25" s="2677" t="str">
        <f t="shared" ca="1" si="5"/>
        <v>Go To Update</v>
      </c>
    </row>
    <row r="26" spans="2:24" ht="15" hidden="1" customHeight="1" x14ac:dyDescent="0.35">
      <c r="B26" s="2675" t="s">
        <v>3965</v>
      </c>
      <c r="C26" s="2675" t="s">
        <v>3415</v>
      </c>
      <c r="D26" s="2788" t="s">
        <v>3220</v>
      </c>
      <c r="E26" s="2675" t="s">
        <v>3422</v>
      </c>
      <c r="F26" s="2675" t="s">
        <v>3984</v>
      </c>
      <c r="G26" s="2675" t="s">
        <v>3402</v>
      </c>
      <c r="H26" s="2675" t="s">
        <v>3985</v>
      </c>
      <c r="I26" s="2675" t="s">
        <v>820</v>
      </c>
      <c r="J26" s="599" t="b">
        <v>0</v>
      </c>
      <c r="K26" s="599" t="b">
        <v>1</v>
      </c>
      <c r="L26" s="2796" t="b">
        <f t="shared" si="0"/>
        <v>0</v>
      </c>
      <c r="M26" s="2796" t="b">
        <f t="shared" si="1"/>
        <v>0</v>
      </c>
      <c r="N26" s="2796" t="b">
        <f t="shared" si="6"/>
        <v>0</v>
      </c>
      <c r="O26" s="2789" t="s">
        <v>304</v>
      </c>
      <c r="P26" s="2789"/>
      <c r="Q26" s="2789"/>
      <c r="R26" s="2677" t="str">
        <f t="shared" si="2"/>
        <v/>
      </c>
      <c r="S26" s="2789"/>
      <c r="T26" s="2677" t="str">
        <f t="shared" si="3"/>
        <v/>
      </c>
      <c r="U26" s="2789"/>
      <c r="V26" s="2677" t="str">
        <f t="shared" si="4"/>
        <v/>
      </c>
      <c r="W26" s="2789"/>
      <c r="X26" s="2677" t="str">
        <f t="shared" si="5"/>
        <v/>
      </c>
    </row>
    <row r="27" spans="2:24" ht="15" hidden="1" customHeight="1" x14ac:dyDescent="0.35">
      <c r="B27" s="2675" t="s">
        <v>3965</v>
      </c>
      <c r="C27" s="2675" t="s">
        <v>3415</v>
      </c>
      <c r="D27" s="2788" t="s">
        <v>4286</v>
      </c>
      <c r="E27" s="2675" t="s">
        <v>3986</v>
      </c>
      <c r="F27" s="2675" t="s">
        <v>3987</v>
      </c>
      <c r="G27" s="2675" t="s">
        <v>2285</v>
      </c>
      <c r="H27" s="2675" t="s">
        <v>3474</v>
      </c>
      <c r="I27" s="2675" t="s">
        <v>820</v>
      </c>
      <c r="J27" s="599" t="b">
        <v>0</v>
      </c>
      <c r="K27" s="599" t="b">
        <v>0</v>
      </c>
      <c r="L27" s="2796" t="b">
        <f t="shared" si="0"/>
        <v>0</v>
      </c>
      <c r="M27" s="2796" t="b">
        <f t="shared" si="1"/>
        <v>0</v>
      </c>
      <c r="N27" s="2796" t="b">
        <f t="shared" si="6"/>
        <v>0</v>
      </c>
      <c r="O27" s="2789" t="s">
        <v>304</v>
      </c>
      <c r="P27" s="2789"/>
      <c r="Q27" s="2789"/>
      <c r="R27" s="2677" t="str">
        <f t="shared" si="2"/>
        <v/>
      </c>
      <c r="S27" s="2789"/>
      <c r="T27" s="2677" t="str">
        <f t="shared" si="3"/>
        <v/>
      </c>
      <c r="U27" s="2789"/>
      <c r="V27" s="2677" t="str">
        <f t="shared" si="4"/>
        <v/>
      </c>
      <c r="W27" s="2789"/>
      <c r="X27" s="2677" t="str">
        <f t="shared" si="5"/>
        <v/>
      </c>
    </row>
    <row r="28" spans="2:24" ht="15" hidden="1" customHeight="1" x14ac:dyDescent="0.35">
      <c r="B28" s="2675" t="s">
        <v>3965</v>
      </c>
      <c r="C28" s="2675" t="s">
        <v>3424</v>
      </c>
      <c r="D28" s="2788" t="s">
        <v>3057</v>
      </c>
      <c r="E28" s="2675" t="s">
        <v>3988</v>
      </c>
      <c r="F28" s="2675" t="s">
        <v>3989</v>
      </c>
      <c r="G28" s="2675" t="s">
        <v>3402</v>
      </c>
      <c r="H28" s="2675" t="s">
        <v>3990</v>
      </c>
      <c r="I28" s="2675" t="s">
        <v>820</v>
      </c>
      <c r="J28" s="599" t="b">
        <v>0</v>
      </c>
      <c r="K28" s="599" t="b">
        <v>0</v>
      </c>
      <c r="L28" s="2796" t="b">
        <f t="shared" si="0"/>
        <v>0</v>
      </c>
      <c r="M28" s="2796" t="b">
        <f t="shared" si="1"/>
        <v>0</v>
      </c>
      <c r="N28" s="2796" t="b">
        <f t="shared" si="6"/>
        <v>0</v>
      </c>
      <c r="O28" s="2789" t="s">
        <v>304</v>
      </c>
      <c r="P28" s="2789"/>
      <c r="Q28" s="2789"/>
      <c r="R28" s="2677" t="str">
        <f t="shared" si="2"/>
        <v/>
      </c>
      <c r="S28" s="2789"/>
      <c r="T28" s="2677" t="str">
        <f t="shared" si="3"/>
        <v/>
      </c>
      <c r="U28" s="2789"/>
      <c r="V28" s="2677" t="str">
        <f t="shared" si="4"/>
        <v/>
      </c>
      <c r="W28" s="2789"/>
      <c r="X28" s="2677" t="str">
        <f t="shared" si="5"/>
        <v/>
      </c>
    </row>
    <row r="29" spans="2:24" ht="15" customHeight="1" x14ac:dyDescent="0.35">
      <c r="B29" s="2675" t="s">
        <v>3965</v>
      </c>
      <c r="C29" s="2675" t="s">
        <v>3424</v>
      </c>
      <c r="D29" s="2788" t="s">
        <v>4287</v>
      </c>
      <c r="E29" s="2675" t="s">
        <v>3991</v>
      </c>
      <c r="F29" s="2675" t="s">
        <v>3992</v>
      </c>
      <c r="G29" s="2675" t="s">
        <v>3402</v>
      </c>
      <c r="H29" s="2675" t="s">
        <v>3993</v>
      </c>
      <c r="I29" s="2675" t="s">
        <v>820</v>
      </c>
      <c r="J29" s="599" t="b">
        <v>1</v>
      </c>
      <c r="K29" s="599" t="b">
        <v>1</v>
      </c>
      <c r="L29" s="2796" t="b">
        <f t="shared" si="0"/>
        <v>0</v>
      </c>
      <c r="M29" s="2796" t="b">
        <f t="shared" si="1"/>
        <v>1</v>
      </c>
      <c r="N29" s="2796" t="b">
        <f t="shared" si="6"/>
        <v>1</v>
      </c>
      <c r="O29" s="2789" t="b">
        <v>1</v>
      </c>
      <c r="P29" s="2789" t="s">
        <v>4369</v>
      </c>
      <c r="Q29" s="2789" t="str" cm="1">
        <f t="array" aca="1" ref="Q29" ca="1">CELL("address",'BUS-BPH1 (TRM)'!G233)</f>
        <v>'[AIC Adjustable Savings Goals_PY 2021 Final_2021-01-19.xlsx]BUS-BPH1 (TRM)'!$G$233</v>
      </c>
      <c r="R29" s="2677" t="str">
        <f t="shared" ca="1" si="2"/>
        <v>Go To Update</v>
      </c>
      <c r="S29" s="2789" t="str" cm="1">
        <f t="array" aca="1" ref="S29" ca="1">CELL("address",'BUS-BPH1 (TRM)'!H233)</f>
        <v>'[AIC Adjustable Savings Goals_PY 2021 Final_2021-01-19.xlsx]BUS-BPH1 (TRM)'!$H$233</v>
      </c>
      <c r="T29" s="2677" t="str">
        <f t="shared" ca="1" si="3"/>
        <v>Go To Update</v>
      </c>
      <c r="U29" s="2789" t="str" cm="1">
        <f t="array" aca="1" ref="U29" ca="1">CELL("address",'BUS - BPH1 PS (TRM)'!G233)</f>
        <v>'[AIC Adjustable Savings Goals_PY 2021 Final_2021-01-19.xlsx]BUS - BPH1 PS (TRM)'!$G$233</v>
      </c>
      <c r="V29" s="2677" t="str">
        <f t="shared" ca="1" si="4"/>
        <v>Go To Update</v>
      </c>
      <c r="W29" s="2789" t="str" cm="1">
        <f t="array" aca="1" ref="W29" ca="1">CELL("address",'BUS - BPH1 PS (TRM)'!H233)</f>
        <v>'[AIC Adjustable Savings Goals_PY 2021 Final_2021-01-19.xlsx]BUS - BPH1 PS (TRM)'!$H$233</v>
      </c>
      <c r="X29" s="2677" t="str">
        <f t="shared" ca="1" si="5"/>
        <v>Go To Update</v>
      </c>
    </row>
    <row r="30" spans="2:24" ht="15" hidden="1" customHeight="1" x14ac:dyDescent="0.35">
      <c r="B30" s="2675" t="s">
        <v>3965</v>
      </c>
      <c r="C30" s="2675" t="s">
        <v>3424</v>
      </c>
      <c r="D30" s="2788" t="s">
        <v>4287</v>
      </c>
      <c r="E30" s="2675" t="s">
        <v>3991</v>
      </c>
      <c r="F30" s="2675" t="s">
        <v>3992</v>
      </c>
      <c r="G30" s="2675" t="s">
        <v>3402</v>
      </c>
      <c r="H30" s="2675" t="s">
        <v>3994</v>
      </c>
      <c r="I30" s="2675" t="s">
        <v>820</v>
      </c>
      <c r="J30" s="599" t="b">
        <v>0</v>
      </c>
      <c r="K30" s="599" t="b">
        <v>1</v>
      </c>
      <c r="L30" s="2796" t="b">
        <f t="shared" si="0"/>
        <v>0</v>
      </c>
      <c r="M30" s="2796" t="b">
        <f t="shared" si="1"/>
        <v>0</v>
      </c>
      <c r="N30" s="2796" t="b">
        <f t="shared" si="6"/>
        <v>0</v>
      </c>
      <c r="O30" s="2789" t="s">
        <v>304</v>
      </c>
      <c r="P30" s="2789"/>
      <c r="Q30" s="2789"/>
      <c r="R30" s="2677" t="str">
        <f t="shared" si="2"/>
        <v/>
      </c>
      <c r="S30" s="2789"/>
      <c r="T30" s="2677" t="str">
        <f t="shared" si="3"/>
        <v/>
      </c>
      <c r="U30" s="2789"/>
      <c r="V30" s="2677" t="str">
        <f t="shared" si="4"/>
        <v/>
      </c>
      <c r="W30" s="2789"/>
      <c r="X30" s="2677" t="str">
        <f t="shared" si="5"/>
        <v/>
      </c>
    </row>
    <row r="31" spans="2:24" ht="15" customHeight="1" x14ac:dyDescent="0.35">
      <c r="B31" s="2675" t="s">
        <v>3965</v>
      </c>
      <c r="C31" s="2675" t="s">
        <v>3424</v>
      </c>
      <c r="D31" s="2788" t="s">
        <v>3149</v>
      </c>
      <c r="E31" s="2675" t="s">
        <v>3995</v>
      </c>
      <c r="F31" s="2675" t="s">
        <v>3996</v>
      </c>
      <c r="G31" s="2675" t="s">
        <v>3402</v>
      </c>
      <c r="H31" s="2675" t="s">
        <v>3993</v>
      </c>
      <c r="I31" s="2675" t="s">
        <v>820</v>
      </c>
      <c r="J31" s="599" t="b">
        <v>1</v>
      </c>
      <c r="K31" s="599" t="b">
        <v>1</v>
      </c>
      <c r="L31" s="2796" t="b">
        <f t="shared" si="0"/>
        <v>0</v>
      </c>
      <c r="M31" s="2796" t="b">
        <f t="shared" si="1"/>
        <v>1</v>
      </c>
      <c r="N31" s="2796" t="b">
        <f t="shared" si="6"/>
        <v>1</v>
      </c>
      <c r="O31" s="2789" t="b">
        <v>1</v>
      </c>
      <c r="P31" s="2789" t="s">
        <v>4369</v>
      </c>
      <c r="Q31" s="2789" t="str" cm="1">
        <f t="array" aca="1" ref="Q31" ca="1">CELL("address",'BUS-BPH1 (TRM)'!G243)</f>
        <v>'[AIC Adjustable Savings Goals_PY 2021 Final_2021-01-19.xlsx]BUS-BPH1 (TRM)'!$G$243</v>
      </c>
      <c r="R31" s="2677" t="str">
        <f t="shared" ca="1" si="2"/>
        <v>Go To Update</v>
      </c>
      <c r="S31" s="2789" t="str" cm="1">
        <f t="array" aca="1" ref="S31" ca="1">CELL("address",'BUS-BPH1 (TRM)'!H243)</f>
        <v>'[AIC Adjustable Savings Goals_PY 2021 Final_2021-01-19.xlsx]BUS-BPH1 (TRM)'!$H$243</v>
      </c>
      <c r="T31" s="2677" t="str">
        <f t="shared" ca="1" si="3"/>
        <v>Go To Update</v>
      </c>
      <c r="U31" s="2789" t="str" cm="1">
        <f t="array" aca="1" ref="U31" ca="1">CELL("address",'BUS - BPH1 PS (TRM)'!G243)</f>
        <v>'[AIC Adjustable Savings Goals_PY 2021 Final_2021-01-19.xlsx]BUS - BPH1 PS (TRM)'!$G$243</v>
      </c>
      <c r="V31" s="2677" t="str">
        <f t="shared" ca="1" si="4"/>
        <v>Go To Update</v>
      </c>
      <c r="W31" s="2789" t="str" cm="1">
        <f t="array" aca="1" ref="W31" ca="1">CELL("address",'BUS - BPH1 PS (TRM)'!H243)</f>
        <v>'[AIC Adjustable Savings Goals_PY 2021 Final_2021-01-19.xlsx]BUS - BPH1 PS (TRM)'!$H$243</v>
      </c>
      <c r="X31" s="2677" t="str">
        <f t="shared" ca="1" si="5"/>
        <v>Go To Update</v>
      </c>
    </row>
    <row r="32" spans="2:24" ht="15" hidden="1" customHeight="1" x14ac:dyDescent="0.35">
      <c r="B32" s="2675" t="s">
        <v>3965</v>
      </c>
      <c r="C32" s="2675" t="s">
        <v>3424</v>
      </c>
      <c r="D32" s="2788" t="s">
        <v>3075</v>
      </c>
      <c r="E32" s="2675" t="s">
        <v>3997</v>
      </c>
      <c r="F32" s="2675" t="s">
        <v>3998</v>
      </c>
      <c r="G32" s="2675" t="s">
        <v>3402</v>
      </c>
      <c r="H32" s="2675" t="s">
        <v>3999</v>
      </c>
      <c r="I32" s="2675" t="s">
        <v>4000</v>
      </c>
      <c r="J32" s="599" t="b">
        <v>0</v>
      </c>
      <c r="K32" s="599" t="b">
        <v>1</v>
      </c>
      <c r="L32" s="2796" t="b">
        <f t="shared" si="0"/>
        <v>0</v>
      </c>
      <c r="M32" s="2796" t="b">
        <f t="shared" si="1"/>
        <v>0</v>
      </c>
      <c r="N32" s="2796" t="b">
        <f t="shared" si="6"/>
        <v>0</v>
      </c>
      <c r="O32" s="2789" t="s">
        <v>304</v>
      </c>
      <c r="P32" s="2789"/>
      <c r="Q32" s="2789"/>
      <c r="R32" s="2677" t="str">
        <f t="shared" si="2"/>
        <v/>
      </c>
      <c r="S32" s="2789"/>
      <c r="T32" s="2677" t="str">
        <f t="shared" si="3"/>
        <v/>
      </c>
      <c r="U32" s="2789"/>
      <c r="V32" s="2677" t="str">
        <f t="shared" si="4"/>
        <v/>
      </c>
      <c r="W32" s="2789"/>
      <c r="X32" s="2677" t="str">
        <f t="shared" si="5"/>
        <v/>
      </c>
    </row>
    <row r="33" spans="2:24" ht="15" hidden="1" customHeight="1" x14ac:dyDescent="0.35">
      <c r="B33" s="2675" t="s">
        <v>3965</v>
      </c>
      <c r="C33" s="2675" t="s">
        <v>3424</v>
      </c>
      <c r="D33" s="2788" t="s">
        <v>3146</v>
      </c>
      <c r="E33" s="2675" t="s">
        <v>3430</v>
      </c>
      <c r="F33" s="2675" t="s">
        <v>4001</v>
      </c>
      <c r="G33" s="2675" t="s">
        <v>3402</v>
      </c>
      <c r="H33" s="2675" t="s">
        <v>4002</v>
      </c>
      <c r="I33" s="2675" t="s">
        <v>820</v>
      </c>
      <c r="J33" s="599" t="b">
        <v>0</v>
      </c>
      <c r="K33" s="599" t="b">
        <v>1</v>
      </c>
      <c r="L33" s="2796" t="b">
        <f t="shared" si="0"/>
        <v>0</v>
      </c>
      <c r="M33" s="2796" t="b">
        <f t="shared" si="1"/>
        <v>0</v>
      </c>
      <c r="N33" s="2796" t="b">
        <f t="shared" si="6"/>
        <v>0</v>
      </c>
      <c r="O33" s="2789" t="s">
        <v>304</v>
      </c>
      <c r="P33" s="2789"/>
      <c r="Q33" s="2789"/>
      <c r="R33" s="2677" t="str">
        <f t="shared" si="2"/>
        <v/>
      </c>
      <c r="S33" s="2789"/>
      <c r="T33" s="2677" t="str">
        <f t="shared" si="3"/>
        <v/>
      </c>
      <c r="U33" s="2789"/>
      <c r="V33" s="2677" t="str">
        <f t="shared" si="4"/>
        <v/>
      </c>
      <c r="W33" s="2789"/>
      <c r="X33" s="2677" t="str">
        <f t="shared" si="5"/>
        <v/>
      </c>
    </row>
    <row r="34" spans="2:24" ht="15" hidden="1" customHeight="1" x14ac:dyDescent="0.35">
      <c r="B34" s="2675" t="s">
        <v>3965</v>
      </c>
      <c r="C34" s="2675" t="s">
        <v>3424</v>
      </c>
      <c r="D34" s="2788" t="s">
        <v>3106</v>
      </c>
      <c r="E34" s="2675" t="s">
        <v>3431</v>
      </c>
      <c r="F34" s="2675" t="s">
        <v>4003</v>
      </c>
      <c r="G34" s="2675" t="s">
        <v>3402</v>
      </c>
      <c r="H34" s="2675" t="s">
        <v>4004</v>
      </c>
      <c r="I34" s="2675" t="s">
        <v>820</v>
      </c>
      <c r="J34" s="599" t="b">
        <v>0</v>
      </c>
      <c r="K34" s="599" t="b">
        <v>1</v>
      </c>
      <c r="L34" s="2796" t="b">
        <f t="shared" si="0"/>
        <v>0</v>
      </c>
      <c r="M34" s="2796" t="b">
        <f t="shared" si="1"/>
        <v>0</v>
      </c>
      <c r="N34" s="2796" t="b">
        <f t="shared" si="6"/>
        <v>0</v>
      </c>
      <c r="O34" s="2789" t="s">
        <v>304</v>
      </c>
      <c r="P34" s="2789"/>
      <c r="Q34" s="2789"/>
      <c r="R34" s="2677" t="str">
        <f t="shared" si="2"/>
        <v/>
      </c>
      <c r="S34" s="2789"/>
      <c r="T34" s="2677" t="str">
        <f t="shared" si="3"/>
        <v/>
      </c>
      <c r="U34" s="2789"/>
      <c r="V34" s="2677" t="str">
        <f t="shared" si="4"/>
        <v/>
      </c>
      <c r="W34" s="2789"/>
      <c r="X34" s="2677" t="str">
        <f t="shared" si="5"/>
        <v/>
      </c>
    </row>
    <row r="35" spans="2:24" ht="15" hidden="1" customHeight="1" x14ac:dyDescent="0.35">
      <c r="B35" s="2675" t="s">
        <v>3965</v>
      </c>
      <c r="C35" s="2675" t="s">
        <v>3424</v>
      </c>
      <c r="D35" s="2788" t="s">
        <v>3106</v>
      </c>
      <c r="E35" s="2675" t="s">
        <v>3431</v>
      </c>
      <c r="F35" s="2675" t="s">
        <v>4003</v>
      </c>
      <c r="G35" s="2675" t="s">
        <v>3402</v>
      </c>
      <c r="H35" s="2675" t="s">
        <v>4005</v>
      </c>
      <c r="I35" s="2675" t="s">
        <v>820</v>
      </c>
      <c r="J35" s="599" t="b">
        <v>0</v>
      </c>
      <c r="K35" s="599" t="b">
        <v>1</v>
      </c>
      <c r="L35" s="2796" t="b">
        <f t="shared" si="0"/>
        <v>0</v>
      </c>
      <c r="M35" s="2796" t="b">
        <f t="shared" si="1"/>
        <v>0</v>
      </c>
      <c r="N35" s="2796" t="b">
        <f t="shared" si="6"/>
        <v>0</v>
      </c>
      <c r="O35" s="2789" t="s">
        <v>304</v>
      </c>
      <c r="P35" s="2789"/>
      <c r="Q35" s="2789"/>
      <c r="R35" s="2677" t="str">
        <f t="shared" si="2"/>
        <v/>
      </c>
      <c r="S35" s="2789"/>
      <c r="T35" s="2677" t="str">
        <f t="shared" si="3"/>
        <v/>
      </c>
      <c r="U35" s="2789"/>
      <c r="V35" s="2677" t="str">
        <f t="shared" si="4"/>
        <v/>
      </c>
      <c r="W35" s="2789"/>
      <c r="X35" s="2677" t="str">
        <f t="shared" si="5"/>
        <v/>
      </c>
    </row>
    <row r="36" spans="2:24" ht="15" customHeight="1" x14ac:dyDescent="0.35">
      <c r="B36" s="2675" t="s">
        <v>3965</v>
      </c>
      <c r="C36" s="2675" t="s">
        <v>3424</v>
      </c>
      <c r="D36" s="2788" t="s">
        <v>3187</v>
      </c>
      <c r="E36" s="2675" t="s">
        <v>4006</v>
      </c>
      <c r="F36" s="2675" t="s">
        <v>4007</v>
      </c>
      <c r="G36" s="2675" t="s">
        <v>3402</v>
      </c>
      <c r="H36" s="2675" t="s">
        <v>4008</v>
      </c>
      <c r="I36" s="2675" t="s">
        <v>3408</v>
      </c>
      <c r="J36" s="599" t="b">
        <v>1</v>
      </c>
      <c r="K36" s="599" t="b">
        <v>1</v>
      </c>
      <c r="L36" s="2796" t="b">
        <f t="shared" si="0"/>
        <v>0</v>
      </c>
      <c r="M36" s="2796" t="b">
        <f t="shared" si="1"/>
        <v>1</v>
      </c>
      <c r="N36" s="2796" t="b">
        <f t="shared" si="6"/>
        <v>1</v>
      </c>
      <c r="O36" s="2789" t="b">
        <v>1</v>
      </c>
      <c r="P36" s="2789" t="s">
        <v>4383</v>
      </c>
      <c r="Q36" s="2789" t="str" cm="1">
        <f t="array" aca="1" ref="Q36" ca="1">CELL("address",'Measure Level Adjustments Tab'!V114)</f>
        <v>'[AIC Adjustable Savings Goals_PY 2021 Final_2021-01-19.xlsx]Measure Level Adjustments Tab'!$V$114</v>
      </c>
      <c r="R36" s="2677" t="str">
        <f t="shared" ca="1" si="2"/>
        <v>Go To Update</v>
      </c>
      <c r="S36" s="2789"/>
      <c r="T36" s="2677" t="str">
        <f t="shared" si="3"/>
        <v/>
      </c>
      <c r="U36" s="2789"/>
      <c r="V36" s="2677" t="str">
        <f t="shared" si="4"/>
        <v/>
      </c>
      <c r="W36" s="2789"/>
      <c r="X36" s="2677" t="str">
        <f t="shared" si="5"/>
        <v/>
      </c>
    </row>
    <row r="37" spans="2:24" ht="15" hidden="1" customHeight="1" x14ac:dyDescent="0.35">
      <c r="B37" s="2675" t="s">
        <v>3965</v>
      </c>
      <c r="C37" s="2675" t="s">
        <v>3424</v>
      </c>
      <c r="D37" s="2788" t="s">
        <v>3187</v>
      </c>
      <c r="E37" s="2675" t="s">
        <v>4006</v>
      </c>
      <c r="F37" s="2675" t="s">
        <v>4007</v>
      </c>
      <c r="G37" s="2675" t="s">
        <v>3402</v>
      </c>
      <c r="H37" s="2675" t="s">
        <v>4009</v>
      </c>
      <c r="I37" s="2675" t="s">
        <v>3408</v>
      </c>
      <c r="J37" s="599" t="b">
        <v>0</v>
      </c>
      <c r="K37" s="599" t="b">
        <v>1</v>
      </c>
      <c r="L37" s="2796" t="b">
        <f t="shared" si="0"/>
        <v>0</v>
      </c>
      <c r="M37" s="2796" t="b">
        <f t="shared" si="1"/>
        <v>0</v>
      </c>
      <c r="N37" s="2796" t="b">
        <f t="shared" si="6"/>
        <v>0</v>
      </c>
      <c r="O37" s="2789" t="s">
        <v>304</v>
      </c>
      <c r="P37" s="2789"/>
      <c r="Q37" s="2789"/>
      <c r="R37" s="2677" t="str">
        <f t="shared" si="2"/>
        <v/>
      </c>
      <c r="S37" s="2789"/>
      <c r="T37" s="2677" t="str">
        <f t="shared" si="3"/>
        <v/>
      </c>
      <c r="U37" s="2789"/>
      <c r="V37" s="2677" t="str">
        <f t="shared" si="4"/>
        <v/>
      </c>
      <c r="W37" s="2789"/>
      <c r="X37" s="2677" t="str">
        <f t="shared" si="5"/>
        <v/>
      </c>
    </row>
    <row r="38" spans="2:24" ht="15" hidden="1" customHeight="1" x14ac:dyDescent="0.35">
      <c r="B38" s="2675" t="s">
        <v>3965</v>
      </c>
      <c r="C38" s="2675" t="s">
        <v>3424</v>
      </c>
      <c r="D38" s="2788" t="s">
        <v>3227</v>
      </c>
      <c r="E38" s="2675" t="s">
        <v>4010</v>
      </c>
      <c r="F38" s="2675" t="s">
        <v>4011</v>
      </c>
      <c r="G38" s="2675" t="s">
        <v>3402</v>
      </c>
      <c r="H38" s="2675" t="s">
        <v>4012</v>
      </c>
      <c r="I38" s="2675" t="s">
        <v>4014</v>
      </c>
      <c r="J38" s="599" t="b">
        <v>0</v>
      </c>
      <c r="K38" s="599" t="b">
        <v>1</v>
      </c>
      <c r="L38" s="2796" t="b">
        <f t="shared" si="0"/>
        <v>0</v>
      </c>
      <c r="M38" s="2796" t="b">
        <f t="shared" si="1"/>
        <v>0</v>
      </c>
      <c r="N38" s="2796" t="b">
        <f t="shared" si="6"/>
        <v>0</v>
      </c>
      <c r="O38" s="2789" t="s">
        <v>304</v>
      </c>
      <c r="P38" s="2789"/>
      <c r="Q38" s="2789"/>
      <c r="R38" s="2677" t="str">
        <f t="shared" si="2"/>
        <v/>
      </c>
      <c r="S38" s="2789"/>
      <c r="T38" s="2677" t="str">
        <f t="shared" si="3"/>
        <v/>
      </c>
      <c r="U38" s="2789"/>
      <c r="V38" s="2677" t="str">
        <f t="shared" si="4"/>
        <v/>
      </c>
      <c r="W38" s="2789"/>
      <c r="X38" s="2677" t="str">
        <f t="shared" si="5"/>
        <v/>
      </c>
    </row>
    <row r="39" spans="2:24" ht="15" customHeight="1" x14ac:dyDescent="0.35">
      <c r="B39" s="2675" t="s">
        <v>3965</v>
      </c>
      <c r="C39" s="2675" t="s">
        <v>3424</v>
      </c>
      <c r="D39" s="2788" t="s">
        <v>3227</v>
      </c>
      <c r="E39" s="2675" t="s">
        <v>4010</v>
      </c>
      <c r="F39" s="2675" t="s">
        <v>4011</v>
      </c>
      <c r="G39" s="2675" t="s">
        <v>3402</v>
      </c>
      <c r="H39" s="2675" t="s">
        <v>4013</v>
      </c>
      <c r="I39" s="2675" t="s">
        <v>4014</v>
      </c>
      <c r="J39" s="599" t="b">
        <v>1</v>
      </c>
      <c r="K39" s="599" t="b">
        <v>1</v>
      </c>
      <c r="L39" s="2796" t="b">
        <f t="shared" si="0"/>
        <v>0</v>
      </c>
      <c r="M39" s="2796" t="b">
        <f t="shared" si="1"/>
        <v>1</v>
      </c>
      <c r="N39" s="2796" t="b">
        <f t="shared" si="6"/>
        <v>1</v>
      </c>
      <c r="O39" s="2789" t="b">
        <v>0</v>
      </c>
      <c r="P39" s="2789" t="s">
        <v>4340</v>
      </c>
      <c r="Q39" s="2789"/>
      <c r="R39" s="2677" t="str">
        <f t="shared" si="2"/>
        <v/>
      </c>
      <c r="S39" s="2789"/>
      <c r="T39" s="2677" t="str">
        <f t="shared" si="3"/>
        <v/>
      </c>
      <c r="U39" s="2789"/>
      <c r="V39" s="2677" t="str">
        <f t="shared" si="4"/>
        <v/>
      </c>
      <c r="W39" s="2789"/>
      <c r="X39" s="2677" t="str">
        <f t="shared" si="5"/>
        <v/>
      </c>
    </row>
    <row r="40" spans="2:24" ht="15" customHeight="1" x14ac:dyDescent="0.35">
      <c r="B40" s="2675" t="s">
        <v>3965</v>
      </c>
      <c r="C40" s="2675" t="s">
        <v>3424</v>
      </c>
      <c r="D40" s="2788" t="s">
        <v>3246</v>
      </c>
      <c r="E40" s="2675" t="s">
        <v>3642</v>
      </c>
      <c r="F40" s="2675" t="s">
        <v>4015</v>
      </c>
      <c r="G40" s="2675" t="s">
        <v>3402</v>
      </c>
      <c r="H40" s="2675" t="s">
        <v>4016</v>
      </c>
      <c r="I40" s="2675" t="s">
        <v>4019</v>
      </c>
      <c r="J40" s="599" t="b">
        <v>1</v>
      </c>
      <c r="K40" s="599" t="b">
        <v>1</v>
      </c>
      <c r="L40" s="2796" t="b">
        <f t="shared" si="0"/>
        <v>0</v>
      </c>
      <c r="M40" s="2796" t="b">
        <f t="shared" si="1"/>
        <v>1</v>
      </c>
      <c r="N40" s="2796" t="b">
        <f t="shared" si="6"/>
        <v>1</v>
      </c>
      <c r="O40" s="2789" t="b">
        <v>0</v>
      </c>
      <c r="P40" s="2789" t="s">
        <v>4342</v>
      </c>
      <c r="Q40" s="2789"/>
      <c r="R40" s="2677" t="str">
        <f t="shared" si="2"/>
        <v/>
      </c>
      <c r="S40" s="2789"/>
      <c r="T40" s="2677" t="str">
        <f t="shared" si="3"/>
        <v/>
      </c>
      <c r="U40" s="2789"/>
      <c r="V40" s="2677" t="str">
        <f t="shared" si="4"/>
        <v/>
      </c>
      <c r="W40" s="2789"/>
      <c r="X40" s="2677" t="str">
        <f t="shared" si="5"/>
        <v/>
      </c>
    </row>
    <row r="41" spans="2:24" ht="15" customHeight="1" x14ac:dyDescent="0.35">
      <c r="B41" s="2675" t="s">
        <v>3965</v>
      </c>
      <c r="C41" s="2675" t="s">
        <v>3424</v>
      </c>
      <c r="D41" s="2788" t="s">
        <v>3246</v>
      </c>
      <c r="E41" s="2675" t="s">
        <v>3642</v>
      </c>
      <c r="F41" s="2675" t="s">
        <v>4015</v>
      </c>
      <c r="G41" s="2675" t="s">
        <v>3402</v>
      </c>
      <c r="H41" s="2675" t="s">
        <v>4017</v>
      </c>
      <c r="I41" s="2675" t="s">
        <v>4019</v>
      </c>
      <c r="J41" s="599" t="b">
        <v>1</v>
      </c>
      <c r="K41" s="599" t="b">
        <v>1</v>
      </c>
      <c r="L41" s="2796" t="b">
        <f t="shared" si="0"/>
        <v>0</v>
      </c>
      <c r="M41" s="2796" t="b">
        <f t="shared" si="1"/>
        <v>1</v>
      </c>
      <c r="N41" s="2796" t="b">
        <f t="shared" si="6"/>
        <v>1</v>
      </c>
      <c r="O41" s="2789" t="b">
        <v>0</v>
      </c>
      <c r="P41" s="2789" t="s">
        <v>4343</v>
      </c>
      <c r="Q41" s="2789"/>
      <c r="R41" s="2677" t="str">
        <f t="shared" si="2"/>
        <v/>
      </c>
      <c r="S41" s="2789"/>
      <c r="T41" s="2677" t="str">
        <f t="shared" si="3"/>
        <v/>
      </c>
      <c r="U41" s="2789"/>
      <c r="V41" s="2677" t="str">
        <f t="shared" si="4"/>
        <v/>
      </c>
      <c r="W41" s="2789"/>
      <c r="X41" s="2677" t="str">
        <f t="shared" si="5"/>
        <v/>
      </c>
    </row>
    <row r="42" spans="2:24" ht="15" hidden="1" customHeight="1" x14ac:dyDescent="0.35">
      <c r="B42" s="2675" t="s">
        <v>3965</v>
      </c>
      <c r="C42" s="2675" t="s">
        <v>3424</v>
      </c>
      <c r="D42" s="2788" t="s">
        <v>3246</v>
      </c>
      <c r="E42" s="2675" t="s">
        <v>3642</v>
      </c>
      <c r="F42" s="2675" t="s">
        <v>4015</v>
      </c>
      <c r="G42" s="2675" t="s">
        <v>3402</v>
      </c>
      <c r="H42" s="2675" t="s">
        <v>4018</v>
      </c>
      <c r="I42" s="2675" t="s">
        <v>4019</v>
      </c>
      <c r="J42" s="599" t="b">
        <v>0</v>
      </c>
      <c r="K42" s="599" t="b">
        <v>1</v>
      </c>
      <c r="L42" s="2796" t="b">
        <f t="shared" si="0"/>
        <v>0</v>
      </c>
      <c r="M42" s="2796" t="b">
        <f t="shared" si="1"/>
        <v>0</v>
      </c>
      <c r="N42" s="2796" t="b">
        <f t="shared" si="6"/>
        <v>0</v>
      </c>
      <c r="O42" s="2789" t="s">
        <v>304</v>
      </c>
      <c r="P42" s="2789"/>
      <c r="Q42" s="2789"/>
      <c r="R42" s="2677" t="str">
        <f t="shared" si="2"/>
        <v/>
      </c>
      <c r="S42" s="2789"/>
      <c r="T42" s="2677" t="str">
        <f t="shared" si="3"/>
        <v/>
      </c>
      <c r="U42" s="2789"/>
      <c r="V42" s="2677" t="str">
        <f t="shared" si="4"/>
        <v/>
      </c>
      <c r="W42" s="2789"/>
      <c r="X42" s="2677" t="str">
        <f t="shared" si="5"/>
        <v/>
      </c>
    </row>
    <row r="43" spans="2:24" ht="15" hidden="1" customHeight="1" x14ac:dyDescent="0.35">
      <c r="B43" s="2675" t="s">
        <v>3965</v>
      </c>
      <c r="C43" s="2675" t="s">
        <v>3424</v>
      </c>
      <c r="D43" s="2788" t="s">
        <v>3255</v>
      </c>
      <c r="E43" s="2675" t="s">
        <v>3435</v>
      </c>
      <c r="F43" s="2675" t="s">
        <v>4020</v>
      </c>
      <c r="G43" s="2675" t="s">
        <v>3402</v>
      </c>
      <c r="H43" s="2675" t="s">
        <v>4021</v>
      </c>
      <c r="I43" s="2675" t="s">
        <v>820</v>
      </c>
      <c r="J43" s="599" t="b">
        <v>0</v>
      </c>
      <c r="K43" s="599" t="b">
        <v>0</v>
      </c>
      <c r="L43" s="2796" t="b">
        <f t="shared" si="0"/>
        <v>0</v>
      </c>
      <c r="M43" s="2796" t="b">
        <f t="shared" si="1"/>
        <v>0</v>
      </c>
      <c r="N43" s="2796" t="b">
        <f t="shared" si="6"/>
        <v>0</v>
      </c>
      <c r="O43" s="2789" t="s">
        <v>304</v>
      </c>
      <c r="P43" s="2789"/>
      <c r="Q43" s="2789"/>
      <c r="R43" s="2677" t="str">
        <f t="shared" si="2"/>
        <v/>
      </c>
      <c r="S43" s="2789"/>
      <c r="T43" s="2677" t="str">
        <f t="shared" si="3"/>
        <v/>
      </c>
      <c r="U43" s="2789"/>
      <c r="V43" s="2677" t="str">
        <f t="shared" si="4"/>
        <v/>
      </c>
      <c r="W43" s="2789"/>
      <c r="X43" s="2677" t="str">
        <f t="shared" si="5"/>
        <v/>
      </c>
    </row>
    <row r="44" spans="2:24" ht="15" hidden="1" customHeight="1" x14ac:dyDescent="0.35">
      <c r="B44" s="2675" t="s">
        <v>3965</v>
      </c>
      <c r="C44" s="2675" t="s">
        <v>3424</v>
      </c>
      <c r="D44" s="2788" t="s">
        <v>3255</v>
      </c>
      <c r="E44" s="2675" t="s">
        <v>3435</v>
      </c>
      <c r="F44" s="2675" t="s">
        <v>4020</v>
      </c>
      <c r="G44" s="2675" t="s">
        <v>3402</v>
      </c>
      <c r="H44" s="2675" t="s">
        <v>4022</v>
      </c>
      <c r="I44" s="2675" t="s">
        <v>820</v>
      </c>
      <c r="J44" s="599" t="b">
        <v>0</v>
      </c>
      <c r="K44" s="599" t="b">
        <v>0</v>
      </c>
      <c r="L44" s="2796" t="b">
        <f t="shared" si="0"/>
        <v>0</v>
      </c>
      <c r="M44" s="2796" t="b">
        <f t="shared" si="1"/>
        <v>0</v>
      </c>
      <c r="N44" s="2796" t="b">
        <f t="shared" si="6"/>
        <v>0</v>
      </c>
      <c r="O44" s="2789" t="s">
        <v>304</v>
      </c>
      <c r="P44" s="2789"/>
      <c r="Q44" s="2789"/>
      <c r="R44" s="2677" t="str">
        <f t="shared" si="2"/>
        <v/>
      </c>
      <c r="S44" s="2789"/>
      <c r="T44" s="2677" t="str">
        <f t="shared" si="3"/>
        <v/>
      </c>
      <c r="U44" s="2789"/>
      <c r="V44" s="2677" t="str">
        <f t="shared" si="4"/>
        <v/>
      </c>
      <c r="W44" s="2789"/>
      <c r="X44" s="2677" t="str">
        <f t="shared" si="5"/>
        <v/>
      </c>
    </row>
    <row r="45" spans="2:24" ht="15" hidden="1" customHeight="1" x14ac:dyDescent="0.35">
      <c r="B45" s="2675" t="s">
        <v>3965</v>
      </c>
      <c r="C45" s="2675" t="s">
        <v>3424</v>
      </c>
      <c r="D45" s="2788" t="s">
        <v>3258</v>
      </c>
      <c r="E45" s="2675" t="s">
        <v>4023</v>
      </c>
      <c r="F45" s="2675" t="s">
        <v>4024</v>
      </c>
      <c r="G45" s="2675" t="s">
        <v>3402</v>
      </c>
      <c r="H45" s="2675" t="s">
        <v>4025</v>
      </c>
      <c r="I45" s="2675" t="s">
        <v>820</v>
      </c>
      <c r="J45" s="599" t="b">
        <v>0</v>
      </c>
      <c r="K45" s="599" t="b">
        <v>0</v>
      </c>
      <c r="L45" s="2796" t="b">
        <f t="shared" si="0"/>
        <v>0</v>
      </c>
      <c r="M45" s="2796" t="b">
        <f t="shared" si="1"/>
        <v>0</v>
      </c>
      <c r="N45" s="2796" t="b">
        <f t="shared" si="6"/>
        <v>0</v>
      </c>
      <c r="O45" s="2789" t="s">
        <v>304</v>
      </c>
      <c r="P45" s="2789"/>
      <c r="Q45" s="2789"/>
      <c r="R45" s="2677" t="str">
        <f t="shared" si="2"/>
        <v/>
      </c>
      <c r="S45" s="2789"/>
      <c r="T45" s="2677" t="str">
        <f t="shared" si="3"/>
        <v/>
      </c>
      <c r="U45" s="2789"/>
      <c r="V45" s="2677" t="str">
        <f t="shared" si="4"/>
        <v/>
      </c>
      <c r="W45" s="2789"/>
      <c r="X45" s="2677" t="str">
        <f t="shared" si="5"/>
        <v/>
      </c>
    </row>
    <row r="46" spans="2:24" ht="15" hidden="1" customHeight="1" x14ac:dyDescent="0.35">
      <c r="B46" s="2675" t="s">
        <v>3965</v>
      </c>
      <c r="C46" s="2675" t="s">
        <v>3424</v>
      </c>
      <c r="D46" s="2788" t="s">
        <v>3258</v>
      </c>
      <c r="E46" s="2675" t="s">
        <v>4023</v>
      </c>
      <c r="F46" s="2675" t="s">
        <v>4024</v>
      </c>
      <c r="G46" s="2675" t="s">
        <v>3402</v>
      </c>
      <c r="H46" s="2675" t="s">
        <v>4026</v>
      </c>
      <c r="I46" s="2675" t="s">
        <v>820</v>
      </c>
      <c r="J46" s="599" t="b">
        <v>0</v>
      </c>
      <c r="K46" s="599" t="b">
        <v>0</v>
      </c>
      <c r="L46" s="2796" t="b">
        <f t="shared" si="0"/>
        <v>0</v>
      </c>
      <c r="M46" s="2796" t="b">
        <f t="shared" si="1"/>
        <v>0</v>
      </c>
      <c r="N46" s="2796" t="b">
        <f t="shared" si="6"/>
        <v>0</v>
      </c>
      <c r="O46" s="2789" t="s">
        <v>304</v>
      </c>
      <c r="P46" s="2789"/>
      <c r="Q46" s="2789"/>
      <c r="R46" s="2677" t="str">
        <f t="shared" si="2"/>
        <v/>
      </c>
      <c r="S46" s="2789"/>
      <c r="T46" s="2677" t="str">
        <f t="shared" si="3"/>
        <v/>
      </c>
      <c r="U46" s="2789"/>
      <c r="V46" s="2677" t="str">
        <f t="shared" si="4"/>
        <v/>
      </c>
      <c r="W46" s="2789"/>
      <c r="X46" s="2677" t="str">
        <f t="shared" si="5"/>
        <v/>
      </c>
    </row>
    <row r="47" spans="2:24" ht="15" hidden="1" customHeight="1" x14ac:dyDescent="0.35">
      <c r="B47" s="2675" t="s">
        <v>3965</v>
      </c>
      <c r="C47" s="2675" t="s">
        <v>3424</v>
      </c>
      <c r="D47" s="2788" t="s">
        <v>4288</v>
      </c>
      <c r="E47" s="2675" t="s">
        <v>4027</v>
      </c>
      <c r="F47" s="2675" t="s">
        <v>4028</v>
      </c>
      <c r="G47" s="2675" t="s">
        <v>3402</v>
      </c>
      <c r="H47" s="2675" t="s">
        <v>4029</v>
      </c>
      <c r="I47" s="2675" t="s">
        <v>820</v>
      </c>
      <c r="J47" s="599" t="b">
        <v>0</v>
      </c>
      <c r="K47" s="599" t="b">
        <v>0</v>
      </c>
      <c r="L47" s="2796" t="b">
        <f t="shared" si="0"/>
        <v>0</v>
      </c>
      <c r="M47" s="2796" t="b">
        <f t="shared" si="1"/>
        <v>0</v>
      </c>
      <c r="N47" s="2796" t="b">
        <f t="shared" si="6"/>
        <v>0</v>
      </c>
      <c r="O47" s="2789" t="s">
        <v>304</v>
      </c>
      <c r="P47" s="2789"/>
      <c r="Q47" s="2789"/>
      <c r="R47" s="2677" t="str">
        <f t="shared" si="2"/>
        <v/>
      </c>
      <c r="S47" s="2789"/>
      <c r="T47" s="2677" t="str">
        <f t="shared" si="3"/>
        <v/>
      </c>
      <c r="U47" s="2789"/>
      <c r="V47" s="2677" t="str">
        <f t="shared" si="4"/>
        <v/>
      </c>
      <c r="W47" s="2789"/>
      <c r="X47" s="2677" t="str">
        <f t="shared" si="5"/>
        <v/>
      </c>
    </row>
    <row r="48" spans="2:24" ht="15" hidden="1" customHeight="1" x14ac:dyDescent="0.35">
      <c r="B48" s="2675" t="s">
        <v>3965</v>
      </c>
      <c r="C48" s="2675" t="s">
        <v>3424</v>
      </c>
      <c r="D48" s="2788" t="s">
        <v>4288</v>
      </c>
      <c r="E48" s="2675" t="s">
        <v>4027</v>
      </c>
      <c r="F48" s="2675" t="s">
        <v>4028</v>
      </c>
      <c r="G48" s="2675" t="s">
        <v>3402</v>
      </c>
      <c r="H48" s="2675" t="s">
        <v>4030</v>
      </c>
      <c r="I48" s="2675" t="s">
        <v>820</v>
      </c>
      <c r="J48" s="599" t="b">
        <v>0</v>
      </c>
      <c r="K48" s="599" t="b">
        <v>0</v>
      </c>
      <c r="L48" s="2796" t="b">
        <f t="shared" si="0"/>
        <v>0</v>
      </c>
      <c r="M48" s="2796" t="b">
        <f t="shared" si="1"/>
        <v>0</v>
      </c>
      <c r="N48" s="2796" t="b">
        <f t="shared" si="6"/>
        <v>0</v>
      </c>
      <c r="O48" s="2789" t="s">
        <v>304</v>
      </c>
      <c r="P48" s="2789"/>
      <c r="Q48" s="2789"/>
      <c r="R48" s="2677" t="str">
        <f t="shared" si="2"/>
        <v/>
      </c>
      <c r="S48" s="2789"/>
      <c r="T48" s="2677" t="str">
        <f t="shared" si="3"/>
        <v/>
      </c>
      <c r="U48" s="2789"/>
      <c r="V48" s="2677" t="str">
        <f t="shared" si="4"/>
        <v/>
      </c>
      <c r="W48" s="2789"/>
      <c r="X48" s="2677" t="str">
        <f t="shared" si="5"/>
        <v/>
      </c>
    </row>
    <row r="49" spans="2:24" ht="15" hidden="1" customHeight="1" x14ac:dyDescent="0.35">
      <c r="B49" s="2675" t="s">
        <v>3965</v>
      </c>
      <c r="C49" s="2675" t="s">
        <v>3424</v>
      </c>
      <c r="D49" s="2788" t="s">
        <v>3444</v>
      </c>
      <c r="E49" s="2675" t="s">
        <v>3443</v>
      </c>
      <c r="F49" s="2675" t="s">
        <v>4031</v>
      </c>
      <c r="G49" s="2675" t="s">
        <v>3402</v>
      </c>
      <c r="H49" s="2675" t="s">
        <v>4032</v>
      </c>
      <c r="I49" s="2675" t="s">
        <v>3408</v>
      </c>
      <c r="J49" s="599" t="b">
        <v>0</v>
      </c>
      <c r="K49" s="599" t="b">
        <v>0</v>
      </c>
      <c r="L49" s="2796" t="b">
        <f t="shared" si="0"/>
        <v>0</v>
      </c>
      <c r="M49" s="2796" t="b">
        <f t="shared" si="1"/>
        <v>0</v>
      </c>
      <c r="N49" s="2796" t="b">
        <f t="shared" si="6"/>
        <v>0</v>
      </c>
      <c r="O49" s="2789" t="s">
        <v>304</v>
      </c>
      <c r="P49" s="2789"/>
      <c r="Q49" s="2789"/>
      <c r="R49" s="2677" t="str">
        <f t="shared" si="2"/>
        <v/>
      </c>
      <c r="S49" s="2789"/>
      <c r="T49" s="2677" t="str">
        <f t="shared" si="3"/>
        <v/>
      </c>
      <c r="U49" s="2789"/>
      <c r="V49" s="2677" t="str">
        <f t="shared" si="4"/>
        <v/>
      </c>
      <c r="W49" s="2789"/>
      <c r="X49" s="2677" t="str">
        <f t="shared" si="5"/>
        <v/>
      </c>
    </row>
    <row r="50" spans="2:24" ht="15" hidden="1" customHeight="1" x14ac:dyDescent="0.35">
      <c r="B50" s="2675" t="s">
        <v>3965</v>
      </c>
      <c r="C50" s="2675" t="s">
        <v>3424</v>
      </c>
      <c r="D50" s="2788" t="s">
        <v>3098</v>
      </c>
      <c r="E50" s="2675" t="s">
        <v>3445</v>
      </c>
      <c r="F50" s="2675" t="s">
        <v>4033</v>
      </c>
      <c r="G50" s="2675" t="s">
        <v>3402</v>
      </c>
      <c r="H50" s="2675" t="s">
        <v>4034</v>
      </c>
      <c r="I50" s="2675" t="s">
        <v>820</v>
      </c>
      <c r="J50" s="599" t="b">
        <v>0</v>
      </c>
      <c r="K50" s="599" t="b">
        <v>1</v>
      </c>
      <c r="L50" s="2796" t="b">
        <f t="shared" si="0"/>
        <v>0</v>
      </c>
      <c r="M50" s="2796" t="b">
        <f t="shared" si="1"/>
        <v>0</v>
      </c>
      <c r="N50" s="2796" t="b">
        <f t="shared" si="6"/>
        <v>0</v>
      </c>
      <c r="O50" s="2789" t="s">
        <v>304</v>
      </c>
      <c r="P50" s="2789"/>
      <c r="Q50" s="2789"/>
      <c r="R50" s="2677" t="str">
        <f t="shared" si="2"/>
        <v/>
      </c>
      <c r="S50" s="2789"/>
      <c r="T50" s="2677" t="str">
        <f t="shared" si="3"/>
        <v/>
      </c>
      <c r="U50" s="2789"/>
      <c r="V50" s="2677" t="str">
        <f t="shared" si="4"/>
        <v/>
      </c>
      <c r="W50" s="2789"/>
      <c r="X50" s="2677" t="str">
        <f t="shared" si="5"/>
        <v/>
      </c>
    </row>
    <row r="51" spans="2:24" ht="15" hidden="1" customHeight="1" x14ac:dyDescent="0.35">
      <c r="B51" s="2675" t="s">
        <v>3965</v>
      </c>
      <c r="C51" s="2675" t="s">
        <v>3424</v>
      </c>
      <c r="D51" s="2788" t="s">
        <v>3098</v>
      </c>
      <c r="E51" s="2675" t="s">
        <v>3445</v>
      </c>
      <c r="F51" s="2675" t="s">
        <v>4033</v>
      </c>
      <c r="G51" s="2675" t="s">
        <v>3402</v>
      </c>
      <c r="H51" s="2675" t="s">
        <v>4035</v>
      </c>
      <c r="I51" s="2675" t="s">
        <v>820</v>
      </c>
      <c r="J51" s="599" t="b">
        <v>0</v>
      </c>
      <c r="K51" s="599" t="b">
        <v>1</v>
      </c>
      <c r="L51" s="2796" t="b">
        <f t="shared" si="0"/>
        <v>0</v>
      </c>
      <c r="M51" s="2796" t="b">
        <f t="shared" si="1"/>
        <v>0</v>
      </c>
      <c r="N51" s="2796" t="b">
        <f t="shared" si="6"/>
        <v>0</v>
      </c>
      <c r="O51" s="2789" t="s">
        <v>304</v>
      </c>
      <c r="P51" s="2789"/>
      <c r="Q51" s="2789"/>
      <c r="R51" s="2677" t="str">
        <f t="shared" si="2"/>
        <v/>
      </c>
      <c r="S51" s="2789"/>
      <c r="T51" s="2677" t="str">
        <f t="shared" si="3"/>
        <v/>
      </c>
      <c r="U51" s="2789"/>
      <c r="V51" s="2677" t="str">
        <f t="shared" si="4"/>
        <v/>
      </c>
      <c r="W51" s="2789"/>
      <c r="X51" s="2677" t="str">
        <f t="shared" si="5"/>
        <v/>
      </c>
    </row>
    <row r="52" spans="2:24" ht="15" hidden="1" customHeight="1" x14ac:dyDescent="0.35">
      <c r="B52" s="2675" t="s">
        <v>3965</v>
      </c>
      <c r="C52" s="2675" t="s">
        <v>3424</v>
      </c>
      <c r="D52" s="2788" t="s">
        <v>4289</v>
      </c>
      <c r="E52" s="2675" t="s">
        <v>4036</v>
      </c>
      <c r="F52" s="2675" t="s">
        <v>4037</v>
      </c>
      <c r="G52" s="2675" t="s">
        <v>3403</v>
      </c>
      <c r="H52" s="2675" t="s">
        <v>4038</v>
      </c>
      <c r="I52" s="2675" t="s">
        <v>820</v>
      </c>
      <c r="J52" s="599" t="b">
        <v>1</v>
      </c>
      <c r="K52" s="599" t="b">
        <v>0</v>
      </c>
      <c r="L52" s="2796" t="b">
        <f t="shared" si="0"/>
        <v>0</v>
      </c>
      <c r="M52" s="2796" t="b">
        <f t="shared" si="1"/>
        <v>0</v>
      </c>
      <c r="N52" s="2796" t="b">
        <f t="shared" si="6"/>
        <v>0</v>
      </c>
      <c r="O52" s="2789" t="s">
        <v>304</v>
      </c>
      <c r="P52" s="2789"/>
      <c r="Q52" s="2789"/>
      <c r="R52" s="2677" t="str">
        <f t="shared" si="2"/>
        <v/>
      </c>
      <c r="S52" s="2789"/>
      <c r="T52" s="2677" t="str">
        <f t="shared" si="3"/>
        <v/>
      </c>
      <c r="U52" s="2789"/>
      <c r="V52" s="2677" t="str">
        <f t="shared" si="4"/>
        <v/>
      </c>
      <c r="W52" s="2789"/>
      <c r="X52" s="2677" t="str">
        <f t="shared" si="5"/>
        <v/>
      </c>
    </row>
    <row r="53" spans="2:24" ht="15" hidden="1" customHeight="1" x14ac:dyDescent="0.35">
      <c r="B53" s="2675" t="s">
        <v>3965</v>
      </c>
      <c r="C53" s="2675" t="s">
        <v>3424</v>
      </c>
      <c r="D53" s="2788" t="s">
        <v>3450</v>
      </c>
      <c r="E53" s="2675" t="s">
        <v>3689</v>
      </c>
      <c r="F53" s="2675" t="s">
        <v>4039</v>
      </c>
      <c r="G53" s="2675" t="s">
        <v>3402</v>
      </c>
      <c r="H53" s="2675" t="s">
        <v>4032</v>
      </c>
      <c r="I53" s="2675" t="s">
        <v>3408</v>
      </c>
      <c r="J53" s="599" t="b">
        <v>0</v>
      </c>
      <c r="K53" s="599" t="b">
        <v>0</v>
      </c>
      <c r="L53" s="2796" t="b">
        <f t="shared" si="0"/>
        <v>0</v>
      </c>
      <c r="M53" s="2796" t="b">
        <f t="shared" si="1"/>
        <v>0</v>
      </c>
      <c r="N53" s="2796" t="b">
        <f t="shared" si="6"/>
        <v>0</v>
      </c>
      <c r="O53" s="2789" t="s">
        <v>304</v>
      </c>
      <c r="P53" s="2789"/>
      <c r="Q53" s="2789"/>
      <c r="R53" s="2677" t="str">
        <f t="shared" si="2"/>
        <v/>
      </c>
      <c r="S53" s="2789"/>
      <c r="T53" s="2677" t="str">
        <f t="shared" si="3"/>
        <v/>
      </c>
      <c r="U53" s="2789"/>
      <c r="V53" s="2677" t="str">
        <f t="shared" si="4"/>
        <v/>
      </c>
      <c r="W53" s="2789"/>
      <c r="X53" s="2677" t="str">
        <f t="shared" si="5"/>
        <v/>
      </c>
    </row>
    <row r="54" spans="2:24" ht="15" hidden="1" customHeight="1" x14ac:dyDescent="0.35">
      <c r="B54" s="2675" t="s">
        <v>3965</v>
      </c>
      <c r="C54" s="2675" t="s">
        <v>3424</v>
      </c>
      <c r="D54" s="2788" t="s">
        <v>3450</v>
      </c>
      <c r="E54" s="2675" t="s">
        <v>3689</v>
      </c>
      <c r="F54" s="2675" t="s">
        <v>4039</v>
      </c>
      <c r="G54" s="2675" t="s">
        <v>3402</v>
      </c>
      <c r="H54" s="2675" t="s">
        <v>4040</v>
      </c>
      <c r="I54" s="2675" t="s">
        <v>3408</v>
      </c>
      <c r="J54" s="599" t="b">
        <v>1</v>
      </c>
      <c r="K54" s="599" t="b">
        <v>0</v>
      </c>
      <c r="L54" s="2796" t="b">
        <f t="shared" si="0"/>
        <v>0</v>
      </c>
      <c r="M54" s="2796" t="b">
        <f t="shared" si="1"/>
        <v>0</v>
      </c>
      <c r="N54" s="2796" t="b">
        <f t="shared" si="6"/>
        <v>0</v>
      </c>
      <c r="O54" s="2789" t="s">
        <v>304</v>
      </c>
      <c r="P54" s="2789"/>
      <c r="Q54" s="2789"/>
      <c r="R54" s="2677" t="str">
        <f t="shared" si="2"/>
        <v/>
      </c>
      <c r="S54" s="2789"/>
      <c r="T54" s="2677" t="str">
        <f t="shared" si="3"/>
        <v/>
      </c>
      <c r="U54" s="2789"/>
      <c r="V54" s="2677" t="str">
        <f t="shared" si="4"/>
        <v/>
      </c>
      <c r="W54" s="2789"/>
      <c r="X54" s="2677" t="str">
        <f t="shared" si="5"/>
        <v/>
      </c>
    </row>
    <row r="55" spans="2:24" ht="15" hidden="1" customHeight="1" x14ac:dyDescent="0.35">
      <c r="B55" s="2675" t="s">
        <v>3965</v>
      </c>
      <c r="C55" s="2675" t="s">
        <v>3424</v>
      </c>
      <c r="D55" s="2788" t="s">
        <v>3450</v>
      </c>
      <c r="E55" s="2675" t="s">
        <v>3689</v>
      </c>
      <c r="F55" s="2675" t="s">
        <v>4039</v>
      </c>
      <c r="G55" s="2675" t="s">
        <v>3402</v>
      </c>
      <c r="H55" s="2675" t="s">
        <v>4041</v>
      </c>
      <c r="I55" s="2675" t="s">
        <v>3408</v>
      </c>
      <c r="J55" s="599" t="b">
        <v>1</v>
      </c>
      <c r="K55" s="599" t="b">
        <v>0</v>
      </c>
      <c r="L55" s="2796" t="b">
        <f t="shared" si="0"/>
        <v>0</v>
      </c>
      <c r="M55" s="2796" t="b">
        <f t="shared" si="1"/>
        <v>0</v>
      </c>
      <c r="N55" s="2796" t="b">
        <f t="shared" si="6"/>
        <v>0</v>
      </c>
      <c r="O55" s="2789" t="s">
        <v>304</v>
      </c>
      <c r="P55" s="2789"/>
      <c r="Q55" s="2789"/>
      <c r="R55" s="2677" t="str">
        <f t="shared" si="2"/>
        <v/>
      </c>
      <c r="S55" s="2789"/>
      <c r="T55" s="2677" t="str">
        <f t="shared" si="3"/>
        <v/>
      </c>
      <c r="U55" s="2789"/>
      <c r="V55" s="2677" t="str">
        <f t="shared" si="4"/>
        <v/>
      </c>
      <c r="W55" s="2789"/>
      <c r="X55" s="2677" t="str">
        <f t="shared" si="5"/>
        <v/>
      </c>
    </row>
    <row r="56" spans="2:24" ht="15" hidden="1" customHeight="1" x14ac:dyDescent="0.35">
      <c r="B56" s="2675" t="s">
        <v>3965</v>
      </c>
      <c r="C56" s="2675" t="s">
        <v>3424</v>
      </c>
      <c r="D56" s="2788" t="s">
        <v>3450</v>
      </c>
      <c r="E56" s="2675" t="s">
        <v>3689</v>
      </c>
      <c r="F56" s="2675" t="s">
        <v>4039</v>
      </c>
      <c r="G56" s="2675" t="s">
        <v>3402</v>
      </c>
      <c r="H56" s="2675" t="s">
        <v>4042</v>
      </c>
      <c r="I56" s="2675" t="s">
        <v>3408</v>
      </c>
      <c r="J56" s="599" t="b">
        <v>1</v>
      </c>
      <c r="K56" s="599" t="b">
        <v>0</v>
      </c>
      <c r="L56" s="2796" t="b">
        <f t="shared" si="0"/>
        <v>0</v>
      </c>
      <c r="M56" s="2796" t="b">
        <f t="shared" si="1"/>
        <v>0</v>
      </c>
      <c r="N56" s="2796" t="b">
        <f t="shared" si="6"/>
        <v>0</v>
      </c>
      <c r="O56" s="2789" t="s">
        <v>304</v>
      </c>
      <c r="P56" s="2789"/>
      <c r="Q56" s="2789"/>
      <c r="R56" s="2677" t="str">
        <f t="shared" si="2"/>
        <v/>
      </c>
      <c r="S56" s="2789"/>
      <c r="T56" s="2677" t="str">
        <f t="shared" si="3"/>
        <v/>
      </c>
      <c r="U56" s="2789"/>
      <c r="V56" s="2677" t="str">
        <f t="shared" si="4"/>
        <v/>
      </c>
      <c r="W56" s="2789"/>
      <c r="X56" s="2677" t="str">
        <f t="shared" si="5"/>
        <v/>
      </c>
    </row>
    <row r="57" spans="2:24" ht="15" hidden="1" customHeight="1" x14ac:dyDescent="0.35">
      <c r="B57" s="2675" t="s">
        <v>3965</v>
      </c>
      <c r="C57" s="2675" t="s">
        <v>3424</v>
      </c>
      <c r="D57" s="2788" t="s">
        <v>3450</v>
      </c>
      <c r="E57" s="2675" t="s">
        <v>3689</v>
      </c>
      <c r="F57" s="2675" t="s">
        <v>4039</v>
      </c>
      <c r="G57" s="2675" t="s">
        <v>3402</v>
      </c>
      <c r="H57" s="2675" t="s">
        <v>4043</v>
      </c>
      <c r="I57" s="2675" t="s">
        <v>3408</v>
      </c>
      <c r="J57" s="599" t="b">
        <v>1</v>
      </c>
      <c r="K57" s="599" t="b">
        <v>0</v>
      </c>
      <c r="L57" s="2796" t="b">
        <f t="shared" si="0"/>
        <v>0</v>
      </c>
      <c r="M57" s="2796" t="b">
        <f t="shared" si="1"/>
        <v>0</v>
      </c>
      <c r="N57" s="2796" t="b">
        <f t="shared" si="6"/>
        <v>0</v>
      </c>
      <c r="O57" s="2789" t="s">
        <v>304</v>
      </c>
      <c r="P57" s="2789"/>
      <c r="Q57" s="2789"/>
      <c r="R57" s="2677" t="str">
        <f t="shared" si="2"/>
        <v/>
      </c>
      <c r="S57" s="2789"/>
      <c r="T57" s="2677" t="str">
        <f t="shared" si="3"/>
        <v/>
      </c>
      <c r="U57" s="2789"/>
      <c r="V57" s="2677" t="str">
        <f t="shared" si="4"/>
        <v/>
      </c>
      <c r="W57" s="2789"/>
      <c r="X57" s="2677" t="str">
        <f t="shared" si="5"/>
        <v/>
      </c>
    </row>
    <row r="58" spans="2:24" ht="15" hidden="1" customHeight="1" x14ac:dyDescent="0.35">
      <c r="B58" s="2675" t="s">
        <v>3965</v>
      </c>
      <c r="C58" s="2675" t="s">
        <v>3424</v>
      </c>
      <c r="D58" s="2788" t="s">
        <v>3450</v>
      </c>
      <c r="E58" s="2675" t="s">
        <v>3689</v>
      </c>
      <c r="F58" s="2675" t="s">
        <v>4039</v>
      </c>
      <c r="G58" s="2675" t="s">
        <v>3402</v>
      </c>
      <c r="H58" s="2675" t="s">
        <v>4044</v>
      </c>
      <c r="I58" s="2675" t="s">
        <v>3408</v>
      </c>
      <c r="J58" s="599" t="b">
        <v>0</v>
      </c>
      <c r="K58" s="599" t="b">
        <v>0</v>
      </c>
      <c r="L58" s="2796" t="b">
        <f t="shared" si="0"/>
        <v>0</v>
      </c>
      <c r="M58" s="2796" t="b">
        <f t="shared" si="1"/>
        <v>0</v>
      </c>
      <c r="N58" s="2796" t="b">
        <f t="shared" si="6"/>
        <v>0</v>
      </c>
      <c r="O58" s="2789" t="s">
        <v>304</v>
      </c>
      <c r="P58" s="2789"/>
      <c r="Q58" s="2789"/>
      <c r="R58" s="2677" t="str">
        <f t="shared" si="2"/>
        <v/>
      </c>
      <c r="S58" s="2789"/>
      <c r="T58" s="2677" t="str">
        <f t="shared" si="3"/>
        <v/>
      </c>
      <c r="U58" s="2789"/>
      <c r="V58" s="2677" t="str">
        <f t="shared" si="4"/>
        <v/>
      </c>
      <c r="W58" s="2789"/>
      <c r="X58" s="2677" t="str">
        <f t="shared" si="5"/>
        <v/>
      </c>
    </row>
    <row r="59" spans="2:24" ht="15" hidden="1" customHeight="1" x14ac:dyDescent="0.35">
      <c r="B59" s="2675" t="s">
        <v>3965</v>
      </c>
      <c r="C59" s="2675" t="s">
        <v>3424</v>
      </c>
      <c r="D59" s="2788" t="s">
        <v>3450</v>
      </c>
      <c r="E59" s="2675" t="s">
        <v>3689</v>
      </c>
      <c r="F59" s="2675" t="s">
        <v>4039</v>
      </c>
      <c r="G59" s="2675" t="s">
        <v>3402</v>
      </c>
      <c r="H59" s="2675" t="s">
        <v>4045</v>
      </c>
      <c r="I59" s="2675" t="s">
        <v>3408</v>
      </c>
      <c r="J59" s="599" t="b">
        <v>1</v>
      </c>
      <c r="K59" s="599" t="b">
        <v>0</v>
      </c>
      <c r="L59" s="2796" t="b">
        <f t="shared" si="0"/>
        <v>0</v>
      </c>
      <c r="M59" s="2796" t="b">
        <f t="shared" si="1"/>
        <v>0</v>
      </c>
      <c r="N59" s="2796" t="b">
        <f t="shared" si="6"/>
        <v>0</v>
      </c>
      <c r="O59" s="2789" t="s">
        <v>304</v>
      </c>
      <c r="P59" s="2789"/>
      <c r="Q59" s="2789"/>
      <c r="R59" s="2677" t="str">
        <f t="shared" si="2"/>
        <v/>
      </c>
      <c r="S59" s="2789"/>
      <c r="T59" s="2677" t="str">
        <f t="shared" si="3"/>
        <v/>
      </c>
      <c r="U59" s="2789"/>
      <c r="V59" s="2677" t="str">
        <f t="shared" si="4"/>
        <v/>
      </c>
      <c r="W59" s="2789"/>
      <c r="X59" s="2677" t="str">
        <f t="shared" si="5"/>
        <v/>
      </c>
    </row>
    <row r="60" spans="2:24" ht="15" hidden="1" customHeight="1" x14ac:dyDescent="0.35">
      <c r="B60" s="2675" t="s">
        <v>3965</v>
      </c>
      <c r="C60" s="2675" t="s">
        <v>3424</v>
      </c>
      <c r="D60" s="2788" t="s">
        <v>3451</v>
      </c>
      <c r="E60" s="2675" t="s">
        <v>3691</v>
      </c>
      <c r="F60" s="2675" t="s">
        <v>4046</v>
      </c>
      <c r="G60" s="2675" t="s">
        <v>3402</v>
      </c>
      <c r="H60" s="2675" t="s">
        <v>4047</v>
      </c>
      <c r="I60" s="2675" t="s">
        <v>3408</v>
      </c>
      <c r="J60" s="599" t="b">
        <v>0</v>
      </c>
      <c r="K60" s="599" t="b">
        <v>0</v>
      </c>
      <c r="L60" s="2796" t="b">
        <f t="shared" si="0"/>
        <v>0</v>
      </c>
      <c r="M60" s="2796" t="b">
        <f t="shared" si="1"/>
        <v>0</v>
      </c>
      <c r="N60" s="2796" t="b">
        <f t="shared" si="6"/>
        <v>0</v>
      </c>
      <c r="O60" s="2789" t="s">
        <v>304</v>
      </c>
      <c r="P60" s="2789"/>
      <c r="Q60" s="2789"/>
      <c r="R60" s="2677" t="str">
        <f t="shared" si="2"/>
        <v/>
      </c>
      <c r="S60" s="2789"/>
      <c r="T60" s="2677" t="str">
        <f t="shared" si="3"/>
        <v/>
      </c>
      <c r="U60" s="2789"/>
      <c r="V60" s="2677" t="str">
        <f t="shared" si="4"/>
        <v/>
      </c>
      <c r="W60" s="2789"/>
      <c r="X60" s="2677" t="str">
        <f t="shared" si="5"/>
        <v/>
      </c>
    </row>
    <row r="61" spans="2:24" ht="15" hidden="1" customHeight="1" x14ac:dyDescent="0.35">
      <c r="B61" s="2675" t="s">
        <v>3965</v>
      </c>
      <c r="C61" s="2675" t="s">
        <v>3424</v>
      </c>
      <c r="D61" s="2788" t="s">
        <v>3451</v>
      </c>
      <c r="E61" s="2675" t="s">
        <v>3691</v>
      </c>
      <c r="F61" s="2675" t="s">
        <v>4046</v>
      </c>
      <c r="G61" s="2675" t="s">
        <v>3402</v>
      </c>
      <c r="H61" s="2675" t="s">
        <v>4048</v>
      </c>
      <c r="I61" s="2675" t="s">
        <v>3408</v>
      </c>
      <c r="J61" s="599" t="b">
        <v>1</v>
      </c>
      <c r="K61" s="599" t="b">
        <v>0</v>
      </c>
      <c r="L61" s="2796" t="b">
        <f t="shared" si="0"/>
        <v>0</v>
      </c>
      <c r="M61" s="2796" t="b">
        <f t="shared" si="1"/>
        <v>0</v>
      </c>
      <c r="N61" s="2796" t="b">
        <f t="shared" si="6"/>
        <v>0</v>
      </c>
      <c r="O61" s="2789" t="s">
        <v>304</v>
      </c>
      <c r="P61" s="2789"/>
      <c r="Q61" s="2789"/>
      <c r="R61" s="2677" t="str">
        <f t="shared" si="2"/>
        <v/>
      </c>
      <c r="S61" s="2789"/>
      <c r="T61" s="2677" t="str">
        <f t="shared" si="3"/>
        <v/>
      </c>
      <c r="U61" s="2789"/>
      <c r="V61" s="2677" t="str">
        <f t="shared" si="4"/>
        <v/>
      </c>
      <c r="W61" s="2789"/>
      <c r="X61" s="2677" t="str">
        <f t="shared" si="5"/>
        <v/>
      </c>
    </row>
    <row r="62" spans="2:24" ht="15" hidden="1" customHeight="1" x14ac:dyDescent="0.35">
      <c r="B62" s="2675" t="s">
        <v>3965</v>
      </c>
      <c r="C62" s="2675" t="s">
        <v>3424</v>
      </c>
      <c r="D62" s="2788" t="s">
        <v>3451</v>
      </c>
      <c r="E62" s="2675" t="s">
        <v>3691</v>
      </c>
      <c r="F62" s="2675" t="s">
        <v>4046</v>
      </c>
      <c r="G62" s="2675" t="s">
        <v>3402</v>
      </c>
      <c r="H62" s="2675" t="s">
        <v>4049</v>
      </c>
      <c r="I62" s="2675" t="s">
        <v>3408</v>
      </c>
      <c r="J62" s="599" t="b">
        <v>1</v>
      </c>
      <c r="K62" s="599" t="b">
        <v>0</v>
      </c>
      <c r="L62" s="2796" t="b">
        <f t="shared" si="0"/>
        <v>0</v>
      </c>
      <c r="M62" s="2796" t="b">
        <f t="shared" si="1"/>
        <v>0</v>
      </c>
      <c r="N62" s="2796" t="b">
        <f t="shared" si="6"/>
        <v>0</v>
      </c>
      <c r="O62" s="2789" t="s">
        <v>304</v>
      </c>
      <c r="P62" s="2789"/>
      <c r="Q62" s="2789"/>
      <c r="R62" s="2677" t="str">
        <f t="shared" si="2"/>
        <v/>
      </c>
      <c r="S62" s="2789"/>
      <c r="T62" s="2677" t="str">
        <f t="shared" si="3"/>
        <v/>
      </c>
      <c r="U62" s="2789"/>
      <c r="V62" s="2677" t="str">
        <f t="shared" si="4"/>
        <v/>
      </c>
      <c r="W62" s="2789"/>
      <c r="X62" s="2677" t="str">
        <f t="shared" si="5"/>
        <v/>
      </c>
    </row>
    <row r="63" spans="2:24" ht="15" hidden="1" customHeight="1" x14ac:dyDescent="0.35">
      <c r="B63" s="2675" t="s">
        <v>3965</v>
      </c>
      <c r="C63" s="2675" t="s">
        <v>3424</v>
      </c>
      <c r="D63" s="2788" t="s">
        <v>3451</v>
      </c>
      <c r="E63" s="2675" t="s">
        <v>3691</v>
      </c>
      <c r="F63" s="2675" t="s">
        <v>4046</v>
      </c>
      <c r="G63" s="2675" t="s">
        <v>3402</v>
      </c>
      <c r="H63" s="2675" t="s">
        <v>4050</v>
      </c>
      <c r="I63" s="2675" t="s">
        <v>3408</v>
      </c>
      <c r="J63" s="599" t="b">
        <v>0</v>
      </c>
      <c r="K63" s="599" t="b">
        <v>0</v>
      </c>
      <c r="L63" s="2796" t="b">
        <f t="shared" si="0"/>
        <v>0</v>
      </c>
      <c r="M63" s="2796" t="b">
        <f t="shared" si="1"/>
        <v>0</v>
      </c>
      <c r="N63" s="2796" t="b">
        <f t="shared" si="6"/>
        <v>0</v>
      </c>
      <c r="O63" s="2789" t="s">
        <v>304</v>
      </c>
      <c r="P63" s="2789"/>
      <c r="Q63" s="2789"/>
      <c r="R63" s="2677" t="str">
        <f t="shared" si="2"/>
        <v/>
      </c>
      <c r="S63" s="2789"/>
      <c r="T63" s="2677" t="str">
        <f t="shared" si="3"/>
        <v/>
      </c>
      <c r="U63" s="2789"/>
      <c r="V63" s="2677" t="str">
        <f t="shared" si="4"/>
        <v/>
      </c>
      <c r="W63" s="2789"/>
      <c r="X63" s="2677" t="str">
        <f t="shared" si="5"/>
        <v/>
      </c>
    </row>
    <row r="64" spans="2:24" ht="15" hidden="1" customHeight="1" x14ac:dyDescent="0.35">
      <c r="B64" s="2675" t="s">
        <v>3965</v>
      </c>
      <c r="C64" s="2675" t="s">
        <v>3424</v>
      </c>
      <c r="D64" s="2788" t="s">
        <v>3702</v>
      </c>
      <c r="E64" s="2675" t="s">
        <v>4051</v>
      </c>
      <c r="F64" s="2675" t="s">
        <v>4052</v>
      </c>
      <c r="G64" s="2675" t="s">
        <v>3402</v>
      </c>
      <c r="H64" s="2675" t="s">
        <v>4053</v>
      </c>
      <c r="I64" s="2675" t="s">
        <v>4056</v>
      </c>
      <c r="J64" s="599" t="b">
        <v>0</v>
      </c>
      <c r="K64" s="599" t="b">
        <v>0</v>
      </c>
      <c r="L64" s="2796" t="b">
        <f t="shared" si="0"/>
        <v>0</v>
      </c>
      <c r="M64" s="2796" t="b">
        <f t="shared" si="1"/>
        <v>0</v>
      </c>
      <c r="N64" s="2796" t="b">
        <f t="shared" si="6"/>
        <v>0</v>
      </c>
      <c r="O64" s="2789" t="s">
        <v>304</v>
      </c>
      <c r="P64" s="2789"/>
      <c r="Q64" s="2789"/>
      <c r="R64" s="2677" t="str">
        <f t="shared" si="2"/>
        <v/>
      </c>
      <c r="S64" s="2789"/>
      <c r="T64" s="2677" t="str">
        <f t="shared" si="3"/>
        <v/>
      </c>
      <c r="U64" s="2789"/>
      <c r="V64" s="2677" t="str">
        <f t="shared" si="4"/>
        <v/>
      </c>
      <c r="W64" s="2789"/>
      <c r="X64" s="2677" t="str">
        <f t="shared" si="5"/>
        <v/>
      </c>
    </row>
    <row r="65" spans="2:24" ht="15" hidden="1" customHeight="1" x14ac:dyDescent="0.35">
      <c r="B65" s="2675" t="s">
        <v>3965</v>
      </c>
      <c r="C65" s="2675" t="s">
        <v>3424</v>
      </c>
      <c r="D65" s="2788" t="s">
        <v>3702</v>
      </c>
      <c r="E65" s="2675" t="s">
        <v>4051</v>
      </c>
      <c r="F65" s="2675" t="s">
        <v>4052</v>
      </c>
      <c r="G65" s="2675" t="s">
        <v>3402</v>
      </c>
      <c r="H65" s="2675" t="s">
        <v>4054</v>
      </c>
      <c r="I65" s="2675" t="s">
        <v>4056</v>
      </c>
      <c r="J65" s="599" t="b">
        <v>1</v>
      </c>
      <c r="K65" s="599" t="b">
        <v>0</v>
      </c>
      <c r="L65" s="2796" t="b">
        <f t="shared" si="0"/>
        <v>0</v>
      </c>
      <c r="M65" s="2796" t="b">
        <f t="shared" si="1"/>
        <v>0</v>
      </c>
      <c r="N65" s="2796" t="b">
        <f t="shared" si="6"/>
        <v>0</v>
      </c>
      <c r="O65" s="2789" t="s">
        <v>304</v>
      </c>
      <c r="P65" s="2789"/>
      <c r="Q65" s="2789"/>
      <c r="R65" s="2677" t="str">
        <f t="shared" si="2"/>
        <v/>
      </c>
      <c r="S65" s="2789"/>
      <c r="T65" s="2677" t="str">
        <f t="shared" si="3"/>
        <v/>
      </c>
      <c r="U65" s="2789"/>
      <c r="V65" s="2677" t="str">
        <f t="shared" si="4"/>
        <v/>
      </c>
      <c r="W65" s="2789"/>
      <c r="X65" s="2677" t="str">
        <f t="shared" si="5"/>
        <v/>
      </c>
    </row>
    <row r="66" spans="2:24" ht="15" hidden="1" customHeight="1" x14ac:dyDescent="0.35">
      <c r="B66" s="2675" t="s">
        <v>3965</v>
      </c>
      <c r="C66" s="2675" t="s">
        <v>3424</v>
      </c>
      <c r="D66" s="2788" t="s">
        <v>3702</v>
      </c>
      <c r="E66" s="2675" t="s">
        <v>4051</v>
      </c>
      <c r="F66" s="2675" t="s">
        <v>4052</v>
      </c>
      <c r="G66" s="2675" t="s">
        <v>3402</v>
      </c>
      <c r="H66" s="2675" t="s">
        <v>4055</v>
      </c>
      <c r="I66" s="2675" t="s">
        <v>4056</v>
      </c>
      <c r="J66" s="599" t="b">
        <v>0</v>
      </c>
      <c r="K66" s="599" t="b">
        <v>0</v>
      </c>
      <c r="L66" s="2796" t="b">
        <f t="shared" si="0"/>
        <v>0</v>
      </c>
      <c r="M66" s="2796" t="b">
        <f t="shared" si="1"/>
        <v>0</v>
      </c>
      <c r="N66" s="2796" t="b">
        <f t="shared" si="6"/>
        <v>0</v>
      </c>
      <c r="O66" s="2789" t="s">
        <v>304</v>
      </c>
      <c r="P66" s="2789"/>
      <c r="Q66" s="2789"/>
      <c r="R66" s="2677" t="str">
        <f t="shared" si="2"/>
        <v/>
      </c>
      <c r="S66" s="2789"/>
      <c r="T66" s="2677" t="str">
        <f t="shared" si="3"/>
        <v/>
      </c>
      <c r="U66" s="2789"/>
      <c r="V66" s="2677" t="str">
        <f t="shared" si="4"/>
        <v/>
      </c>
      <c r="W66" s="2789"/>
      <c r="X66" s="2677" t="str">
        <f t="shared" si="5"/>
        <v/>
      </c>
    </row>
    <row r="67" spans="2:24" ht="15" hidden="1" customHeight="1" x14ac:dyDescent="0.35">
      <c r="B67" s="2675" t="s">
        <v>3965</v>
      </c>
      <c r="C67" s="2675" t="s">
        <v>3424</v>
      </c>
      <c r="D67" s="2788" t="s">
        <v>4290</v>
      </c>
      <c r="E67" s="2675" t="s">
        <v>4057</v>
      </c>
      <c r="F67" s="2675" t="s">
        <v>4058</v>
      </c>
      <c r="G67" s="2675" t="s">
        <v>2285</v>
      </c>
      <c r="H67" s="2675" t="s">
        <v>3474</v>
      </c>
      <c r="I67" s="2675" t="s">
        <v>820</v>
      </c>
      <c r="J67" s="599" t="b">
        <v>0</v>
      </c>
      <c r="K67" s="599" t="b">
        <v>0</v>
      </c>
      <c r="L67" s="2796" t="b">
        <f t="shared" si="0"/>
        <v>0</v>
      </c>
      <c r="M67" s="2796" t="b">
        <f t="shared" si="1"/>
        <v>0</v>
      </c>
      <c r="N67" s="2796" t="b">
        <f t="shared" si="6"/>
        <v>0</v>
      </c>
      <c r="O67" s="2789" t="s">
        <v>304</v>
      </c>
      <c r="P67" s="2789"/>
      <c r="Q67" s="2789"/>
      <c r="R67" s="2677" t="str">
        <f t="shared" si="2"/>
        <v/>
      </c>
      <c r="S67" s="2789"/>
      <c r="T67" s="2677" t="str">
        <f t="shared" si="3"/>
        <v/>
      </c>
      <c r="U67" s="2789"/>
      <c r="V67" s="2677" t="str">
        <f t="shared" si="4"/>
        <v/>
      </c>
      <c r="W67" s="2789"/>
      <c r="X67" s="2677" t="str">
        <f t="shared" si="5"/>
        <v/>
      </c>
    </row>
    <row r="68" spans="2:24" ht="15" hidden="1" customHeight="1" x14ac:dyDescent="0.35">
      <c r="B68" s="2675" t="s">
        <v>3965</v>
      </c>
      <c r="C68" s="2675" t="s">
        <v>3424</v>
      </c>
      <c r="D68" s="2788" t="s">
        <v>4291</v>
      </c>
      <c r="E68" s="2675" t="s">
        <v>4059</v>
      </c>
      <c r="F68" s="2675" t="s">
        <v>4060</v>
      </c>
      <c r="G68" s="2675" t="s">
        <v>2285</v>
      </c>
      <c r="H68" s="2675" t="s">
        <v>3474</v>
      </c>
      <c r="I68" s="2675" t="s">
        <v>820</v>
      </c>
      <c r="J68" s="599" t="b">
        <v>0</v>
      </c>
      <c r="K68" s="599" t="b">
        <v>0</v>
      </c>
      <c r="L68" s="2796" t="b">
        <f t="shared" si="0"/>
        <v>0</v>
      </c>
      <c r="M68" s="2796" t="b">
        <f t="shared" si="1"/>
        <v>0</v>
      </c>
      <c r="N68" s="2796" t="b">
        <f t="shared" si="6"/>
        <v>0</v>
      </c>
      <c r="O68" s="2789" t="s">
        <v>304</v>
      </c>
      <c r="P68" s="2789"/>
      <c r="Q68" s="2789"/>
      <c r="R68" s="2677" t="str">
        <f t="shared" si="2"/>
        <v/>
      </c>
      <c r="S68" s="2789"/>
      <c r="T68" s="2677" t="str">
        <f t="shared" si="3"/>
        <v/>
      </c>
      <c r="U68" s="2789"/>
      <c r="V68" s="2677" t="str">
        <f t="shared" si="4"/>
        <v/>
      </c>
      <c r="W68" s="2789"/>
      <c r="X68" s="2677" t="str">
        <f t="shared" si="5"/>
        <v/>
      </c>
    </row>
    <row r="69" spans="2:24" ht="15" hidden="1" customHeight="1" x14ac:dyDescent="0.35">
      <c r="B69" s="2675" t="s">
        <v>3965</v>
      </c>
      <c r="C69" s="2675" t="s">
        <v>3424</v>
      </c>
      <c r="D69" s="2788" t="s">
        <v>4292</v>
      </c>
      <c r="E69" s="2675" t="s">
        <v>4061</v>
      </c>
      <c r="F69" s="2675" t="s">
        <v>4062</v>
      </c>
      <c r="G69" s="2675" t="s">
        <v>2285</v>
      </c>
      <c r="H69" s="2675" t="s">
        <v>3474</v>
      </c>
      <c r="I69" s="2675" t="s">
        <v>820</v>
      </c>
      <c r="J69" s="599" t="b">
        <v>0</v>
      </c>
      <c r="K69" s="599" t="b">
        <v>0</v>
      </c>
      <c r="L69" s="2796" t="b">
        <f t="shared" si="0"/>
        <v>0</v>
      </c>
      <c r="M69" s="2796" t="b">
        <f t="shared" si="1"/>
        <v>0</v>
      </c>
      <c r="N69" s="2796" t="b">
        <f t="shared" si="6"/>
        <v>0</v>
      </c>
      <c r="O69" s="2789" t="s">
        <v>304</v>
      </c>
      <c r="P69" s="2789"/>
      <c r="Q69" s="2789"/>
      <c r="R69" s="2677" t="str">
        <f t="shared" si="2"/>
        <v/>
      </c>
      <c r="S69" s="2789"/>
      <c r="T69" s="2677" t="str">
        <f t="shared" si="3"/>
        <v/>
      </c>
      <c r="U69" s="2789"/>
      <c r="V69" s="2677" t="str">
        <f t="shared" si="4"/>
        <v/>
      </c>
      <c r="W69" s="2789"/>
      <c r="X69" s="2677" t="str">
        <f t="shared" si="5"/>
        <v/>
      </c>
    </row>
    <row r="70" spans="2:24" ht="15" hidden="1" customHeight="1" x14ac:dyDescent="0.35">
      <c r="B70" s="2675" t="s">
        <v>3965</v>
      </c>
      <c r="C70" s="2675" t="s">
        <v>3424</v>
      </c>
      <c r="D70" s="2788" t="s">
        <v>4293</v>
      </c>
      <c r="E70" s="2675" t="s">
        <v>4063</v>
      </c>
      <c r="F70" s="2675" t="s">
        <v>4064</v>
      </c>
      <c r="G70" s="2675" t="s">
        <v>2285</v>
      </c>
      <c r="H70" s="2675" t="s">
        <v>3474</v>
      </c>
      <c r="I70" s="2675" t="s">
        <v>820</v>
      </c>
      <c r="J70" s="599" t="b">
        <v>0</v>
      </c>
      <c r="K70" s="599" t="b">
        <v>0</v>
      </c>
      <c r="L70" s="2796" t="b">
        <f t="shared" si="0"/>
        <v>0</v>
      </c>
      <c r="M70" s="2796" t="b">
        <f t="shared" si="1"/>
        <v>0</v>
      </c>
      <c r="N70" s="2796" t="b">
        <f t="shared" si="6"/>
        <v>0</v>
      </c>
      <c r="O70" s="2789" t="s">
        <v>304</v>
      </c>
      <c r="P70" s="2789"/>
      <c r="Q70" s="2789"/>
      <c r="R70" s="2677" t="str">
        <f t="shared" si="2"/>
        <v/>
      </c>
      <c r="S70" s="2789"/>
      <c r="T70" s="2677" t="str">
        <f t="shared" si="3"/>
        <v/>
      </c>
      <c r="U70" s="2789"/>
      <c r="V70" s="2677" t="str">
        <f t="shared" si="4"/>
        <v/>
      </c>
      <c r="W70" s="2789"/>
      <c r="X70" s="2677" t="str">
        <f t="shared" si="5"/>
        <v/>
      </c>
    </row>
    <row r="71" spans="2:24" ht="15" hidden="1" customHeight="1" x14ac:dyDescent="0.35">
      <c r="B71" s="2675" t="s">
        <v>3965</v>
      </c>
      <c r="C71" s="2675" t="s">
        <v>3439</v>
      </c>
      <c r="D71" s="2788">
        <v>4.5</v>
      </c>
      <c r="E71" s="2675" t="s">
        <v>4065</v>
      </c>
      <c r="F71" s="2675" t="s">
        <v>820</v>
      </c>
      <c r="G71" s="2675" t="s">
        <v>3402</v>
      </c>
      <c r="H71" s="2675" t="s">
        <v>4066</v>
      </c>
      <c r="I71" s="2675" t="s">
        <v>820</v>
      </c>
      <c r="J71" s="599" t="b">
        <v>0</v>
      </c>
      <c r="K71" s="599" t="b">
        <v>0</v>
      </c>
      <c r="L71" s="2796" t="b">
        <f t="shared" si="0"/>
        <v>0</v>
      </c>
      <c r="M71" s="2796" t="b">
        <f t="shared" si="1"/>
        <v>0</v>
      </c>
      <c r="N71" s="2796" t="b">
        <f t="shared" si="6"/>
        <v>0</v>
      </c>
      <c r="O71" s="2789" t="s">
        <v>304</v>
      </c>
      <c r="P71" s="2789"/>
      <c r="Q71" s="2789"/>
      <c r="R71" s="2677" t="str">
        <f t="shared" si="2"/>
        <v/>
      </c>
      <c r="S71" s="2789"/>
      <c r="T71" s="2677" t="str">
        <f t="shared" si="3"/>
        <v/>
      </c>
      <c r="U71" s="2789"/>
      <c r="V71" s="2677" t="str">
        <f t="shared" si="4"/>
        <v/>
      </c>
      <c r="W71" s="2789"/>
      <c r="X71" s="2677" t="str">
        <f t="shared" si="5"/>
        <v/>
      </c>
    </row>
    <row r="72" spans="2:24" ht="15" hidden="1" customHeight="1" x14ac:dyDescent="0.35">
      <c r="B72" s="2675" t="s">
        <v>3965</v>
      </c>
      <c r="C72" s="2675" t="s">
        <v>3439</v>
      </c>
      <c r="D72" s="2788">
        <v>4.5</v>
      </c>
      <c r="E72" s="2675" t="s">
        <v>4065</v>
      </c>
      <c r="F72" s="2675" t="s">
        <v>820</v>
      </c>
      <c r="G72" s="2675" t="s">
        <v>3402</v>
      </c>
      <c r="H72" s="2675" t="s">
        <v>4067</v>
      </c>
      <c r="I72" s="2675" t="s">
        <v>820</v>
      </c>
      <c r="J72" s="599" t="b">
        <v>0</v>
      </c>
      <c r="K72" s="599" t="b">
        <v>0</v>
      </c>
      <c r="L72" s="2796" t="b">
        <f t="shared" ref="L72:L135" si="7">AND(G72="Errata",J72,K72)</f>
        <v>0</v>
      </c>
      <c r="M72" s="2796" t="b">
        <f t="shared" ref="M72:M135" si="8">AND(G72="Revision",J72,K72)</f>
        <v>0</v>
      </c>
      <c r="N72" s="2796" t="b">
        <f t="shared" si="6"/>
        <v>0</v>
      </c>
      <c r="O72" s="2789" t="s">
        <v>304</v>
      </c>
      <c r="P72" s="2789"/>
      <c r="Q72" s="2789"/>
      <c r="R72" s="2677" t="str">
        <f t="shared" ref="R72:R135" si="9">IF(Q72="","",HYPERLINK("#"&amp;Q72,"Go To Update"))</f>
        <v/>
      </c>
      <c r="S72" s="2789"/>
      <c r="T72" s="2677" t="str">
        <f t="shared" ref="T72:T135" si="10">IF(S72="","",HYPERLINK("#"&amp;S72,"Go To Update"))</f>
        <v/>
      </c>
      <c r="U72" s="2789"/>
      <c r="V72" s="2677" t="str">
        <f t="shared" ref="V72:V135" si="11">IF(U72="","",HYPERLINK("#"&amp;U72,"Go To Update"))</f>
        <v/>
      </c>
      <c r="W72" s="2789"/>
      <c r="X72" s="2677" t="str">
        <f t="shared" ref="X72:X135" si="12">IF(W72="","",HYPERLINK("#"&amp;W72,"Go To Update"))</f>
        <v/>
      </c>
    </row>
    <row r="73" spans="2:24" ht="15" hidden="1" customHeight="1" x14ac:dyDescent="0.35">
      <c r="B73" s="2675" t="s">
        <v>3965</v>
      </c>
      <c r="C73" s="2675" t="s">
        <v>3439</v>
      </c>
      <c r="D73" s="2788">
        <v>4.5</v>
      </c>
      <c r="E73" s="2675" t="s">
        <v>4065</v>
      </c>
      <c r="F73" s="2675" t="s">
        <v>820</v>
      </c>
      <c r="G73" s="2675" t="s">
        <v>3402</v>
      </c>
      <c r="H73" s="2675" t="s">
        <v>4068</v>
      </c>
      <c r="I73" s="2675" t="s">
        <v>820</v>
      </c>
      <c r="J73" s="599" t="b">
        <v>0</v>
      </c>
      <c r="K73" s="599" t="b">
        <v>0</v>
      </c>
      <c r="L73" s="2796" t="b">
        <f t="shared" si="7"/>
        <v>0</v>
      </c>
      <c r="M73" s="2796" t="b">
        <f t="shared" si="8"/>
        <v>0</v>
      </c>
      <c r="N73" s="2796" t="b">
        <f t="shared" ref="N73:N136" si="13">OR(L73,M73)</f>
        <v>0</v>
      </c>
      <c r="O73" s="2789" t="s">
        <v>304</v>
      </c>
      <c r="P73" s="2789"/>
      <c r="Q73" s="2789"/>
      <c r="R73" s="2677" t="str">
        <f t="shared" si="9"/>
        <v/>
      </c>
      <c r="S73" s="2789"/>
      <c r="T73" s="2677" t="str">
        <f t="shared" si="10"/>
        <v/>
      </c>
      <c r="U73" s="2789"/>
      <c r="V73" s="2677" t="str">
        <f t="shared" si="11"/>
        <v/>
      </c>
      <c r="W73" s="2789"/>
      <c r="X73" s="2677" t="str">
        <f t="shared" si="12"/>
        <v/>
      </c>
    </row>
    <row r="74" spans="2:24" ht="15" hidden="1" customHeight="1" x14ac:dyDescent="0.35">
      <c r="B74" s="2675" t="s">
        <v>3965</v>
      </c>
      <c r="C74" s="2675" t="s">
        <v>3439</v>
      </c>
      <c r="D74" s="2788" t="s">
        <v>3224</v>
      </c>
      <c r="E74" s="2675" t="s">
        <v>4069</v>
      </c>
      <c r="F74" s="2675" t="s">
        <v>4070</v>
      </c>
      <c r="G74" s="2675" t="s">
        <v>3402</v>
      </c>
      <c r="H74" s="2675" t="s">
        <v>4071</v>
      </c>
      <c r="I74" s="2675" t="s">
        <v>3427</v>
      </c>
      <c r="J74" s="599" t="b">
        <v>0</v>
      </c>
      <c r="K74" s="599" t="b">
        <v>0</v>
      </c>
      <c r="L74" s="2796" t="b">
        <f t="shared" si="7"/>
        <v>0</v>
      </c>
      <c r="M74" s="2796" t="b">
        <f t="shared" si="8"/>
        <v>0</v>
      </c>
      <c r="N74" s="2796" t="b">
        <f t="shared" si="13"/>
        <v>0</v>
      </c>
      <c r="O74" s="2789" t="s">
        <v>304</v>
      </c>
      <c r="P74" s="2789"/>
      <c r="Q74" s="2789"/>
      <c r="R74" s="2677" t="str">
        <f t="shared" si="9"/>
        <v/>
      </c>
      <c r="S74" s="2789"/>
      <c r="T74" s="2677" t="str">
        <f t="shared" si="10"/>
        <v/>
      </c>
      <c r="U74" s="2789"/>
      <c r="V74" s="2677" t="str">
        <f t="shared" si="11"/>
        <v/>
      </c>
      <c r="W74" s="2789"/>
      <c r="X74" s="2677" t="str">
        <f t="shared" si="12"/>
        <v/>
      </c>
    </row>
    <row r="75" spans="2:24" ht="15" hidden="1" customHeight="1" x14ac:dyDescent="0.35">
      <c r="B75" s="2675" t="s">
        <v>3965</v>
      </c>
      <c r="C75" s="2675" t="s">
        <v>3439</v>
      </c>
      <c r="D75" s="2788" t="s">
        <v>3158</v>
      </c>
      <c r="E75" s="2675" t="s">
        <v>3440</v>
      </c>
      <c r="F75" s="2675" t="s">
        <v>4072</v>
      </c>
      <c r="G75" s="2675" t="s">
        <v>3403</v>
      </c>
      <c r="H75" s="2675" t="s">
        <v>4073</v>
      </c>
      <c r="I75" s="2675" t="s">
        <v>4074</v>
      </c>
      <c r="J75" s="599" t="b">
        <v>0</v>
      </c>
      <c r="K75" s="599" t="b">
        <v>0</v>
      </c>
      <c r="L75" s="2796" t="b">
        <f t="shared" si="7"/>
        <v>0</v>
      </c>
      <c r="M75" s="2796" t="b">
        <f t="shared" si="8"/>
        <v>0</v>
      </c>
      <c r="N75" s="2796" t="b">
        <f t="shared" si="13"/>
        <v>0</v>
      </c>
      <c r="O75" s="2789" t="s">
        <v>304</v>
      </c>
      <c r="P75" s="2789"/>
      <c r="Q75" s="2789"/>
      <c r="R75" s="2677" t="str">
        <f t="shared" si="9"/>
        <v/>
      </c>
      <c r="S75" s="2789"/>
      <c r="T75" s="2677" t="str">
        <f t="shared" si="10"/>
        <v/>
      </c>
      <c r="U75" s="2789"/>
      <c r="V75" s="2677" t="str">
        <f t="shared" si="11"/>
        <v/>
      </c>
      <c r="W75" s="2789"/>
      <c r="X75" s="2677" t="str">
        <f t="shared" si="12"/>
        <v/>
      </c>
    </row>
    <row r="76" spans="2:24" ht="15" hidden="1" customHeight="1" x14ac:dyDescent="0.35">
      <c r="B76" s="2675" t="s">
        <v>3965</v>
      </c>
      <c r="C76" s="2675" t="s">
        <v>3439</v>
      </c>
      <c r="D76" s="2788" t="s">
        <v>3158</v>
      </c>
      <c r="E76" s="2675" t="s">
        <v>3440</v>
      </c>
      <c r="F76" s="2675" t="s">
        <v>4075</v>
      </c>
      <c r="G76" s="2675" t="s">
        <v>3402</v>
      </c>
      <c r="H76" s="2675" t="s">
        <v>4076</v>
      </c>
      <c r="I76" s="2675" t="s">
        <v>3408</v>
      </c>
      <c r="J76" s="599" t="b">
        <v>0</v>
      </c>
      <c r="K76" s="599" t="b">
        <v>0</v>
      </c>
      <c r="L76" s="2796" t="b">
        <f t="shared" si="7"/>
        <v>0</v>
      </c>
      <c r="M76" s="2796" t="b">
        <f t="shared" si="8"/>
        <v>0</v>
      </c>
      <c r="N76" s="2796" t="b">
        <f t="shared" si="13"/>
        <v>0</v>
      </c>
      <c r="O76" s="2789" t="s">
        <v>304</v>
      </c>
      <c r="P76" s="2789"/>
      <c r="Q76" s="2789"/>
      <c r="R76" s="2677" t="str">
        <f t="shared" si="9"/>
        <v/>
      </c>
      <c r="S76" s="2789"/>
      <c r="T76" s="2677" t="str">
        <f t="shared" si="10"/>
        <v/>
      </c>
      <c r="U76" s="2789"/>
      <c r="V76" s="2677" t="str">
        <f t="shared" si="11"/>
        <v/>
      </c>
      <c r="W76" s="2789"/>
      <c r="X76" s="2677" t="str">
        <f t="shared" si="12"/>
        <v/>
      </c>
    </row>
    <row r="77" spans="2:24" ht="15" hidden="1" customHeight="1" x14ac:dyDescent="0.35">
      <c r="B77" s="2675" t="s">
        <v>3965</v>
      </c>
      <c r="C77" s="2675" t="s">
        <v>3439</v>
      </c>
      <c r="D77" s="2788" t="s">
        <v>3158</v>
      </c>
      <c r="E77" s="2675" t="s">
        <v>3440</v>
      </c>
      <c r="F77" s="2675" t="s">
        <v>4075</v>
      </c>
      <c r="G77" s="2675" t="s">
        <v>3402</v>
      </c>
      <c r="H77" s="2675" t="s">
        <v>4077</v>
      </c>
      <c r="I77" s="2675" t="s">
        <v>3408</v>
      </c>
      <c r="J77" s="599" t="b">
        <v>0</v>
      </c>
      <c r="K77" s="599" t="b">
        <v>0</v>
      </c>
      <c r="L77" s="2796" t="b">
        <f t="shared" si="7"/>
        <v>0</v>
      </c>
      <c r="M77" s="2796" t="b">
        <f t="shared" si="8"/>
        <v>0</v>
      </c>
      <c r="N77" s="2796" t="b">
        <f t="shared" si="13"/>
        <v>0</v>
      </c>
      <c r="O77" s="2789" t="s">
        <v>304</v>
      </c>
      <c r="P77" s="2789"/>
      <c r="Q77" s="2789"/>
      <c r="R77" s="2677" t="str">
        <f t="shared" si="9"/>
        <v/>
      </c>
      <c r="S77" s="2789"/>
      <c r="T77" s="2677" t="str">
        <f t="shared" si="10"/>
        <v/>
      </c>
      <c r="U77" s="2789"/>
      <c r="V77" s="2677" t="str">
        <f t="shared" si="11"/>
        <v/>
      </c>
      <c r="W77" s="2789"/>
      <c r="X77" s="2677" t="str">
        <f t="shared" si="12"/>
        <v/>
      </c>
    </row>
    <row r="78" spans="2:24" ht="15" hidden="1" customHeight="1" x14ac:dyDescent="0.35">
      <c r="B78" s="2675" t="s">
        <v>3965</v>
      </c>
      <c r="C78" s="2675" t="s">
        <v>3439</v>
      </c>
      <c r="D78" s="2788" t="s">
        <v>3158</v>
      </c>
      <c r="E78" s="2675" t="s">
        <v>3440</v>
      </c>
      <c r="F78" s="2675" t="s">
        <v>4075</v>
      </c>
      <c r="G78" s="2675" t="s">
        <v>3402</v>
      </c>
      <c r="H78" s="2675" t="s">
        <v>4078</v>
      </c>
      <c r="I78" s="2675" t="s">
        <v>3408</v>
      </c>
      <c r="J78" s="599" t="b">
        <v>0</v>
      </c>
      <c r="K78" s="599" t="b">
        <v>0</v>
      </c>
      <c r="L78" s="2796" t="b">
        <f t="shared" si="7"/>
        <v>0</v>
      </c>
      <c r="M78" s="2796" t="b">
        <f t="shared" si="8"/>
        <v>0</v>
      </c>
      <c r="N78" s="2796" t="b">
        <f t="shared" si="13"/>
        <v>0</v>
      </c>
      <c r="O78" s="2789" t="s">
        <v>304</v>
      </c>
      <c r="P78" s="2789"/>
      <c r="Q78" s="2789"/>
      <c r="R78" s="2677" t="str">
        <f t="shared" si="9"/>
        <v/>
      </c>
      <c r="S78" s="2789"/>
      <c r="T78" s="2677" t="str">
        <f t="shared" si="10"/>
        <v/>
      </c>
      <c r="U78" s="2789"/>
      <c r="V78" s="2677" t="str">
        <f t="shared" si="11"/>
        <v/>
      </c>
      <c r="W78" s="2789"/>
      <c r="X78" s="2677" t="str">
        <f t="shared" si="12"/>
        <v/>
      </c>
    </row>
    <row r="79" spans="2:24" ht="15" hidden="1" customHeight="1" x14ac:dyDescent="0.35">
      <c r="B79" s="2675" t="s">
        <v>3965</v>
      </c>
      <c r="C79" s="2675" t="s">
        <v>3439</v>
      </c>
      <c r="D79" s="2788" t="s">
        <v>3158</v>
      </c>
      <c r="E79" s="2675" t="s">
        <v>3440</v>
      </c>
      <c r="F79" s="2675" t="s">
        <v>4075</v>
      </c>
      <c r="G79" s="2675" t="s">
        <v>3402</v>
      </c>
      <c r="H79" s="2675" t="s">
        <v>4079</v>
      </c>
      <c r="I79" s="2675" t="s">
        <v>3408</v>
      </c>
      <c r="J79" s="599" t="b">
        <v>0</v>
      </c>
      <c r="K79" s="599" t="b">
        <v>0</v>
      </c>
      <c r="L79" s="2796" t="b">
        <f t="shared" si="7"/>
        <v>0</v>
      </c>
      <c r="M79" s="2796" t="b">
        <f t="shared" si="8"/>
        <v>0</v>
      </c>
      <c r="N79" s="2796" t="b">
        <f t="shared" si="13"/>
        <v>0</v>
      </c>
      <c r="O79" s="2789" t="s">
        <v>304</v>
      </c>
      <c r="P79" s="2789"/>
      <c r="Q79" s="2789"/>
      <c r="R79" s="2677" t="str">
        <f t="shared" si="9"/>
        <v/>
      </c>
      <c r="S79" s="2789"/>
      <c r="T79" s="2677" t="str">
        <f t="shared" si="10"/>
        <v/>
      </c>
      <c r="U79" s="2789"/>
      <c r="V79" s="2677" t="str">
        <f t="shared" si="11"/>
        <v/>
      </c>
      <c r="W79" s="2789"/>
      <c r="X79" s="2677" t="str">
        <f t="shared" si="12"/>
        <v/>
      </c>
    </row>
    <row r="80" spans="2:24" ht="15" hidden="1" customHeight="1" x14ac:dyDescent="0.35">
      <c r="B80" s="2675" t="s">
        <v>3965</v>
      </c>
      <c r="C80" s="2675" t="s">
        <v>3439</v>
      </c>
      <c r="D80" s="2788" t="s">
        <v>3140</v>
      </c>
      <c r="E80" s="2675" t="s">
        <v>4080</v>
      </c>
      <c r="F80" s="2675" t="s">
        <v>4081</v>
      </c>
      <c r="G80" s="2675" t="s">
        <v>3402</v>
      </c>
      <c r="H80" s="2675" t="s">
        <v>4082</v>
      </c>
      <c r="I80" s="2675" t="s">
        <v>4074</v>
      </c>
      <c r="J80" s="599" t="b">
        <v>0</v>
      </c>
      <c r="K80" s="599" t="b">
        <v>0</v>
      </c>
      <c r="L80" s="2796" t="b">
        <f t="shared" si="7"/>
        <v>0</v>
      </c>
      <c r="M80" s="2796" t="b">
        <f t="shared" si="8"/>
        <v>0</v>
      </c>
      <c r="N80" s="2796" t="b">
        <f t="shared" si="13"/>
        <v>0</v>
      </c>
      <c r="O80" s="2789" t="s">
        <v>304</v>
      </c>
      <c r="P80" s="2789"/>
      <c r="Q80" s="2789"/>
      <c r="R80" s="2677" t="str">
        <f t="shared" si="9"/>
        <v/>
      </c>
      <c r="S80" s="2789"/>
      <c r="T80" s="2677" t="str">
        <f t="shared" si="10"/>
        <v/>
      </c>
      <c r="U80" s="2789"/>
      <c r="V80" s="2677" t="str">
        <f t="shared" si="11"/>
        <v/>
      </c>
      <c r="W80" s="2789"/>
      <c r="X80" s="2677" t="str">
        <f t="shared" si="12"/>
        <v/>
      </c>
    </row>
    <row r="81" spans="2:24" ht="15" hidden="1" customHeight="1" x14ac:dyDescent="0.35">
      <c r="B81" s="2675" t="s">
        <v>3965</v>
      </c>
      <c r="C81" s="2675" t="s">
        <v>3439</v>
      </c>
      <c r="D81" s="2788" t="s">
        <v>3208</v>
      </c>
      <c r="E81" s="2675" t="s">
        <v>4083</v>
      </c>
      <c r="F81" s="2675" t="s">
        <v>4084</v>
      </c>
      <c r="G81" s="2675" t="s">
        <v>3402</v>
      </c>
      <c r="H81" s="2675" t="s">
        <v>4085</v>
      </c>
      <c r="I81" s="2675" t="s">
        <v>4074</v>
      </c>
      <c r="J81" s="599" t="b">
        <v>0</v>
      </c>
      <c r="K81" s="599" t="b">
        <v>0</v>
      </c>
      <c r="L81" s="2796" t="b">
        <f t="shared" si="7"/>
        <v>0</v>
      </c>
      <c r="M81" s="2796" t="b">
        <f t="shared" si="8"/>
        <v>0</v>
      </c>
      <c r="N81" s="2796" t="b">
        <f t="shared" si="13"/>
        <v>0</v>
      </c>
      <c r="O81" s="2789" t="s">
        <v>304</v>
      </c>
      <c r="P81" s="2789"/>
      <c r="Q81" s="2789"/>
      <c r="R81" s="2677" t="str">
        <f t="shared" si="9"/>
        <v/>
      </c>
      <c r="S81" s="2789"/>
      <c r="T81" s="2677" t="str">
        <f t="shared" si="10"/>
        <v/>
      </c>
      <c r="U81" s="2789"/>
      <c r="V81" s="2677" t="str">
        <f t="shared" si="11"/>
        <v/>
      </c>
      <c r="W81" s="2789"/>
      <c r="X81" s="2677" t="str">
        <f t="shared" si="12"/>
        <v/>
      </c>
    </row>
    <row r="82" spans="2:24" ht="15" hidden="1" customHeight="1" x14ac:dyDescent="0.35">
      <c r="B82" s="2675" t="s">
        <v>3965</v>
      </c>
      <c r="C82" s="2675" t="s">
        <v>3439</v>
      </c>
      <c r="D82" s="2788" t="s">
        <v>3143</v>
      </c>
      <c r="E82" s="2675" t="s">
        <v>4086</v>
      </c>
      <c r="F82" s="2675" t="s">
        <v>4087</v>
      </c>
      <c r="G82" s="2675" t="s">
        <v>3402</v>
      </c>
      <c r="H82" s="2675" t="s">
        <v>4088</v>
      </c>
      <c r="I82" s="2675" t="s">
        <v>3408</v>
      </c>
      <c r="J82" s="599" t="b">
        <v>0</v>
      </c>
      <c r="K82" s="599" t="b">
        <v>0</v>
      </c>
      <c r="L82" s="2796" t="b">
        <f t="shared" si="7"/>
        <v>0</v>
      </c>
      <c r="M82" s="2796" t="b">
        <f t="shared" si="8"/>
        <v>0</v>
      </c>
      <c r="N82" s="2796" t="b">
        <f t="shared" si="13"/>
        <v>0</v>
      </c>
      <c r="O82" s="2789" t="s">
        <v>304</v>
      </c>
      <c r="P82" s="2789"/>
      <c r="Q82" s="2789"/>
      <c r="R82" s="2677" t="str">
        <f t="shared" si="9"/>
        <v/>
      </c>
      <c r="S82" s="2789"/>
      <c r="T82" s="2677" t="str">
        <f t="shared" si="10"/>
        <v/>
      </c>
      <c r="U82" s="2789"/>
      <c r="V82" s="2677" t="str">
        <f t="shared" si="11"/>
        <v/>
      </c>
      <c r="W82" s="2789"/>
      <c r="X82" s="2677" t="str">
        <f t="shared" si="12"/>
        <v/>
      </c>
    </row>
    <row r="83" spans="2:24" ht="15" hidden="1" customHeight="1" x14ac:dyDescent="0.35">
      <c r="B83" s="2675" t="s">
        <v>3965</v>
      </c>
      <c r="C83" s="2675" t="s">
        <v>3439</v>
      </c>
      <c r="D83" s="2788" t="s">
        <v>3143</v>
      </c>
      <c r="E83" s="2675" t="s">
        <v>4086</v>
      </c>
      <c r="F83" s="2675" t="s">
        <v>4087</v>
      </c>
      <c r="G83" s="2675" t="s">
        <v>3402</v>
      </c>
      <c r="H83" s="2675" t="s">
        <v>4089</v>
      </c>
      <c r="I83" s="2675" t="s">
        <v>3408</v>
      </c>
      <c r="J83" s="599" t="b">
        <v>0</v>
      </c>
      <c r="K83" s="599" t="b">
        <v>0</v>
      </c>
      <c r="L83" s="2796" t="b">
        <f t="shared" si="7"/>
        <v>0</v>
      </c>
      <c r="M83" s="2796" t="b">
        <f t="shared" si="8"/>
        <v>0</v>
      </c>
      <c r="N83" s="2796" t="b">
        <f t="shared" si="13"/>
        <v>0</v>
      </c>
      <c r="O83" s="2789" t="s">
        <v>304</v>
      </c>
      <c r="P83" s="2789"/>
      <c r="Q83" s="2789"/>
      <c r="R83" s="2677" t="str">
        <f t="shared" si="9"/>
        <v/>
      </c>
      <c r="S83" s="2789"/>
      <c r="T83" s="2677" t="str">
        <f t="shared" si="10"/>
        <v/>
      </c>
      <c r="U83" s="2789"/>
      <c r="V83" s="2677" t="str">
        <f t="shared" si="11"/>
        <v/>
      </c>
      <c r="W83" s="2789"/>
      <c r="X83" s="2677" t="str">
        <f t="shared" si="12"/>
        <v/>
      </c>
    </row>
    <row r="84" spans="2:24" ht="15" hidden="1" customHeight="1" x14ac:dyDescent="0.35">
      <c r="B84" s="2675" t="s">
        <v>3965</v>
      </c>
      <c r="C84" s="2675" t="s">
        <v>3439</v>
      </c>
      <c r="D84" s="2788" t="s">
        <v>3143</v>
      </c>
      <c r="E84" s="2675" t="s">
        <v>4086</v>
      </c>
      <c r="F84" s="2675" t="s">
        <v>4087</v>
      </c>
      <c r="G84" s="2675" t="s">
        <v>3402</v>
      </c>
      <c r="H84" s="2675" t="s">
        <v>4090</v>
      </c>
      <c r="I84" s="2675" t="s">
        <v>3408</v>
      </c>
      <c r="J84" s="599" t="b">
        <v>0</v>
      </c>
      <c r="K84" s="599" t="b">
        <v>0</v>
      </c>
      <c r="L84" s="2796" t="b">
        <f t="shared" si="7"/>
        <v>0</v>
      </c>
      <c r="M84" s="2796" t="b">
        <f t="shared" si="8"/>
        <v>0</v>
      </c>
      <c r="N84" s="2796" t="b">
        <f t="shared" si="13"/>
        <v>0</v>
      </c>
      <c r="O84" s="2789" t="s">
        <v>304</v>
      </c>
      <c r="P84" s="2789"/>
      <c r="Q84" s="2789"/>
      <c r="R84" s="2677" t="str">
        <f t="shared" si="9"/>
        <v/>
      </c>
      <c r="S84" s="2789"/>
      <c r="T84" s="2677" t="str">
        <f t="shared" si="10"/>
        <v/>
      </c>
      <c r="U84" s="2789"/>
      <c r="V84" s="2677" t="str">
        <f t="shared" si="11"/>
        <v/>
      </c>
      <c r="W84" s="2789"/>
      <c r="X84" s="2677" t="str">
        <f t="shared" si="12"/>
        <v/>
      </c>
    </row>
    <row r="85" spans="2:24" ht="15" hidden="1" customHeight="1" x14ac:dyDescent="0.35">
      <c r="B85" s="2675" t="s">
        <v>3965</v>
      </c>
      <c r="C85" s="2675" t="s">
        <v>3439</v>
      </c>
      <c r="D85" s="2788" t="s">
        <v>3143</v>
      </c>
      <c r="E85" s="2675" t="s">
        <v>4086</v>
      </c>
      <c r="F85" s="2675" t="s">
        <v>4087</v>
      </c>
      <c r="G85" s="2675" t="s">
        <v>3402</v>
      </c>
      <c r="H85" s="2675" t="s">
        <v>4091</v>
      </c>
      <c r="I85" s="2675" t="s">
        <v>3408</v>
      </c>
      <c r="J85" s="599" t="b">
        <v>0</v>
      </c>
      <c r="K85" s="599" t="b">
        <v>0</v>
      </c>
      <c r="L85" s="2796" t="b">
        <f t="shared" si="7"/>
        <v>0</v>
      </c>
      <c r="M85" s="2796" t="b">
        <f t="shared" si="8"/>
        <v>0</v>
      </c>
      <c r="N85" s="2796" t="b">
        <f t="shared" si="13"/>
        <v>0</v>
      </c>
      <c r="O85" s="2789" t="s">
        <v>304</v>
      </c>
      <c r="P85" s="2789"/>
      <c r="Q85" s="2789"/>
      <c r="R85" s="2677" t="str">
        <f t="shared" si="9"/>
        <v/>
      </c>
      <c r="S85" s="2789"/>
      <c r="T85" s="2677" t="str">
        <f t="shared" si="10"/>
        <v/>
      </c>
      <c r="U85" s="2789"/>
      <c r="V85" s="2677" t="str">
        <f t="shared" si="11"/>
        <v/>
      </c>
      <c r="W85" s="2789"/>
      <c r="X85" s="2677" t="str">
        <f t="shared" si="12"/>
        <v/>
      </c>
    </row>
    <row r="86" spans="2:24" ht="15" hidden="1" customHeight="1" x14ac:dyDescent="0.35">
      <c r="B86" s="2675" t="s">
        <v>3965</v>
      </c>
      <c r="C86" s="2675" t="s">
        <v>3439</v>
      </c>
      <c r="D86" s="2788" t="s">
        <v>3143</v>
      </c>
      <c r="E86" s="2675" t="s">
        <v>4086</v>
      </c>
      <c r="F86" s="2675" t="s">
        <v>4087</v>
      </c>
      <c r="G86" s="2675" t="s">
        <v>3402</v>
      </c>
      <c r="H86" s="2675" t="s">
        <v>4092</v>
      </c>
      <c r="I86" s="2675" t="s">
        <v>3408</v>
      </c>
      <c r="J86" s="599" t="b">
        <v>0</v>
      </c>
      <c r="K86" s="599" t="b">
        <v>0</v>
      </c>
      <c r="L86" s="2796" t="b">
        <f t="shared" si="7"/>
        <v>0</v>
      </c>
      <c r="M86" s="2796" t="b">
        <f t="shared" si="8"/>
        <v>0</v>
      </c>
      <c r="N86" s="2796" t="b">
        <f t="shared" si="13"/>
        <v>0</v>
      </c>
      <c r="O86" s="2789" t="s">
        <v>304</v>
      </c>
      <c r="P86" s="2789"/>
      <c r="Q86" s="2789"/>
      <c r="R86" s="2677" t="str">
        <f t="shared" si="9"/>
        <v/>
      </c>
      <c r="S86" s="2789"/>
      <c r="T86" s="2677" t="str">
        <f t="shared" si="10"/>
        <v/>
      </c>
      <c r="U86" s="2789"/>
      <c r="V86" s="2677" t="str">
        <f t="shared" si="11"/>
        <v/>
      </c>
      <c r="W86" s="2789"/>
      <c r="X86" s="2677" t="str">
        <f t="shared" si="12"/>
        <v/>
      </c>
    </row>
    <row r="87" spans="2:24" ht="15" hidden="1" customHeight="1" x14ac:dyDescent="0.35">
      <c r="B87" s="2675" t="s">
        <v>3965</v>
      </c>
      <c r="C87" s="2675" t="s">
        <v>3439</v>
      </c>
      <c r="D87" s="2788" t="s">
        <v>3143</v>
      </c>
      <c r="E87" s="2675" t="s">
        <v>4086</v>
      </c>
      <c r="F87" s="2675" t="s">
        <v>4087</v>
      </c>
      <c r="G87" s="2675" t="s">
        <v>3402</v>
      </c>
      <c r="H87" s="2675" t="s">
        <v>4093</v>
      </c>
      <c r="I87" s="2675" t="s">
        <v>3408</v>
      </c>
      <c r="J87" s="599" t="b">
        <v>0</v>
      </c>
      <c r="K87" s="599" t="b">
        <v>0</v>
      </c>
      <c r="L87" s="2796" t="b">
        <f t="shared" si="7"/>
        <v>0</v>
      </c>
      <c r="M87" s="2796" t="b">
        <f t="shared" si="8"/>
        <v>0</v>
      </c>
      <c r="N87" s="2796" t="b">
        <f t="shared" si="13"/>
        <v>0</v>
      </c>
      <c r="O87" s="2789" t="s">
        <v>304</v>
      </c>
      <c r="P87" s="2789"/>
      <c r="Q87" s="2789"/>
      <c r="R87" s="2677" t="str">
        <f t="shared" si="9"/>
        <v/>
      </c>
      <c r="S87" s="2789"/>
      <c r="T87" s="2677" t="str">
        <f t="shared" si="10"/>
        <v/>
      </c>
      <c r="U87" s="2789"/>
      <c r="V87" s="2677" t="str">
        <f t="shared" si="11"/>
        <v/>
      </c>
      <c r="W87" s="2789"/>
      <c r="X87" s="2677" t="str">
        <f t="shared" si="12"/>
        <v/>
      </c>
    </row>
    <row r="88" spans="2:24" ht="15" hidden="1" customHeight="1" x14ac:dyDescent="0.35">
      <c r="B88" s="2675" t="s">
        <v>3965</v>
      </c>
      <c r="C88" s="2675" t="s">
        <v>3439</v>
      </c>
      <c r="D88" s="2788" t="s">
        <v>3217</v>
      </c>
      <c r="E88" s="2675" t="s">
        <v>4094</v>
      </c>
      <c r="F88" s="2675" t="s">
        <v>4095</v>
      </c>
      <c r="G88" s="2675" t="s">
        <v>3402</v>
      </c>
      <c r="H88" s="2675" t="s">
        <v>4085</v>
      </c>
      <c r="I88" s="2675" t="s">
        <v>4074</v>
      </c>
      <c r="J88" s="599" t="b">
        <v>0</v>
      </c>
      <c r="K88" s="599" t="b">
        <v>0</v>
      </c>
      <c r="L88" s="2796" t="b">
        <f t="shared" si="7"/>
        <v>0</v>
      </c>
      <c r="M88" s="2796" t="b">
        <f t="shared" si="8"/>
        <v>0</v>
      </c>
      <c r="N88" s="2796" t="b">
        <f t="shared" si="13"/>
        <v>0</v>
      </c>
      <c r="O88" s="2789" t="s">
        <v>304</v>
      </c>
      <c r="P88" s="2789"/>
      <c r="Q88" s="2789"/>
      <c r="R88" s="2677" t="str">
        <f t="shared" si="9"/>
        <v/>
      </c>
      <c r="S88" s="2789"/>
      <c r="T88" s="2677" t="str">
        <f t="shared" si="10"/>
        <v/>
      </c>
      <c r="U88" s="2789"/>
      <c r="V88" s="2677" t="str">
        <f t="shared" si="11"/>
        <v/>
      </c>
      <c r="W88" s="2789"/>
      <c r="X88" s="2677" t="str">
        <f t="shared" si="12"/>
        <v/>
      </c>
    </row>
    <row r="89" spans="2:24" ht="15" hidden="1" customHeight="1" x14ac:dyDescent="0.35">
      <c r="B89" s="2675" t="s">
        <v>3965</v>
      </c>
      <c r="C89" s="2675" t="s">
        <v>3439</v>
      </c>
      <c r="D89" s="2788" t="s">
        <v>4294</v>
      </c>
      <c r="E89" s="2675" t="s">
        <v>4096</v>
      </c>
      <c r="F89" s="2675" t="s">
        <v>4097</v>
      </c>
      <c r="G89" s="2675" t="s">
        <v>3402</v>
      </c>
      <c r="H89" s="2675" t="s">
        <v>4098</v>
      </c>
      <c r="I89" s="2675" t="s">
        <v>4074</v>
      </c>
      <c r="J89" s="599" t="b">
        <v>0</v>
      </c>
      <c r="K89" s="599" t="b">
        <v>0</v>
      </c>
      <c r="L89" s="2796" t="b">
        <f t="shared" si="7"/>
        <v>0</v>
      </c>
      <c r="M89" s="2796" t="b">
        <f t="shared" si="8"/>
        <v>0</v>
      </c>
      <c r="N89" s="2796" t="b">
        <f t="shared" si="13"/>
        <v>0</v>
      </c>
      <c r="O89" s="2789" t="s">
        <v>304</v>
      </c>
      <c r="P89" s="2789"/>
      <c r="Q89" s="2789"/>
      <c r="R89" s="2677" t="str">
        <f t="shared" si="9"/>
        <v/>
      </c>
      <c r="S89" s="2789"/>
      <c r="T89" s="2677" t="str">
        <f t="shared" si="10"/>
        <v/>
      </c>
      <c r="U89" s="2789"/>
      <c r="V89" s="2677" t="str">
        <f t="shared" si="11"/>
        <v/>
      </c>
      <c r="W89" s="2789"/>
      <c r="X89" s="2677" t="str">
        <f t="shared" si="12"/>
        <v/>
      </c>
    </row>
    <row r="90" spans="2:24" ht="15" hidden="1" customHeight="1" x14ac:dyDescent="0.35">
      <c r="B90" s="2675" t="s">
        <v>3965</v>
      </c>
      <c r="C90" s="2675" t="s">
        <v>3439</v>
      </c>
      <c r="D90" s="2788" t="s">
        <v>4294</v>
      </c>
      <c r="E90" s="2675" t="s">
        <v>4096</v>
      </c>
      <c r="F90" s="2675" t="s">
        <v>4097</v>
      </c>
      <c r="G90" s="2675" t="s">
        <v>3402</v>
      </c>
      <c r="H90" s="2675" t="s">
        <v>4099</v>
      </c>
      <c r="I90" s="2675" t="s">
        <v>4074</v>
      </c>
      <c r="J90" s="599" t="b">
        <v>0</v>
      </c>
      <c r="K90" s="599" t="b">
        <v>0</v>
      </c>
      <c r="L90" s="2796" t="b">
        <f t="shared" si="7"/>
        <v>0</v>
      </c>
      <c r="M90" s="2796" t="b">
        <f t="shared" si="8"/>
        <v>0</v>
      </c>
      <c r="N90" s="2796" t="b">
        <f t="shared" si="13"/>
        <v>0</v>
      </c>
      <c r="O90" s="2789" t="s">
        <v>304</v>
      </c>
      <c r="P90" s="2789"/>
      <c r="Q90" s="2789"/>
      <c r="R90" s="2677" t="str">
        <f t="shared" si="9"/>
        <v/>
      </c>
      <c r="S90" s="2789"/>
      <c r="T90" s="2677" t="str">
        <f t="shared" si="10"/>
        <v/>
      </c>
      <c r="U90" s="2789"/>
      <c r="V90" s="2677" t="str">
        <f t="shared" si="11"/>
        <v/>
      </c>
      <c r="W90" s="2789"/>
      <c r="X90" s="2677" t="str">
        <f t="shared" si="12"/>
        <v/>
      </c>
    </row>
    <row r="91" spans="2:24" ht="15" hidden="1" customHeight="1" x14ac:dyDescent="0.35">
      <c r="B91" s="2675" t="s">
        <v>3965</v>
      </c>
      <c r="C91" s="2675" t="s">
        <v>3439</v>
      </c>
      <c r="D91" s="2788" t="s">
        <v>4294</v>
      </c>
      <c r="E91" s="2675" t="s">
        <v>4096</v>
      </c>
      <c r="F91" s="2675" t="s">
        <v>4097</v>
      </c>
      <c r="G91" s="2675" t="s">
        <v>3402</v>
      </c>
      <c r="H91" s="2675" t="s">
        <v>4100</v>
      </c>
      <c r="I91" s="2675" t="s">
        <v>4074</v>
      </c>
      <c r="J91" s="599" t="b">
        <v>0</v>
      </c>
      <c r="K91" s="599" t="b">
        <v>0</v>
      </c>
      <c r="L91" s="2796" t="b">
        <f t="shared" si="7"/>
        <v>0</v>
      </c>
      <c r="M91" s="2796" t="b">
        <f t="shared" si="8"/>
        <v>0</v>
      </c>
      <c r="N91" s="2796" t="b">
        <f t="shared" si="13"/>
        <v>0</v>
      </c>
      <c r="O91" s="2789" t="s">
        <v>304</v>
      </c>
      <c r="P91" s="2789"/>
      <c r="Q91" s="2789"/>
      <c r="R91" s="2677" t="str">
        <f t="shared" si="9"/>
        <v/>
      </c>
      <c r="S91" s="2789"/>
      <c r="T91" s="2677" t="str">
        <f t="shared" si="10"/>
        <v/>
      </c>
      <c r="U91" s="2789"/>
      <c r="V91" s="2677" t="str">
        <f t="shared" si="11"/>
        <v/>
      </c>
      <c r="W91" s="2789"/>
      <c r="X91" s="2677" t="str">
        <f t="shared" si="12"/>
        <v/>
      </c>
    </row>
    <row r="92" spans="2:24" ht="15" hidden="1" customHeight="1" x14ac:dyDescent="0.35">
      <c r="B92" s="2675" t="s">
        <v>3965</v>
      </c>
      <c r="C92" s="2675" t="s">
        <v>3439</v>
      </c>
      <c r="D92" s="2788" t="s">
        <v>4295</v>
      </c>
      <c r="E92" s="2675" t="s">
        <v>4101</v>
      </c>
      <c r="F92" s="2675" t="s">
        <v>4102</v>
      </c>
      <c r="G92" s="2675" t="s">
        <v>2285</v>
      </c>
      <c r="H92" s="2675" t="s">
        <v>3474</v>
      </c>
      <c r="I92" s="2675" t="s">
        <v>820</v>
      </c>
      <c r="J92" s="599" t="b">
        <v>0</v>
      </c>
      <c r="K92" s="599" t="b">
        <v>0</v>
      </c>
      <c r="L92" s="2796" t="b">
        <f t="shared" si="7"/>
        <v>0</v>
      </c>
      <c r="M92" s="2796" t="b">
        <f t="shared" si="8"/>
        <v>0</v>
      </c>
      <c r="N92" s="2796" t="b">
        <f t="shared" si="13"/>
        <v>0</v>
      </c>
      <c r="O92" s="2789" t="s">
        <v>304</v>
      </c>
      <c r="P92" s="2789"/>
      <c r="Q92" s="2789"/>
      <c r="R92" s="2677" t="str">
        <f t="shared" si="9"/>
        <v/>
      </c>
      <c r="S92" s="2789"/>
      <c r="T92" s="2677" t="str">
        <f t="shared" si="10"/>
        <v/>
      </c>
      <c r="U92" s="2789"/>
      <c r="V92" s="2677" t="str">
        <f t="shared" si="11"/>
        <v/>
      </c>
      <c r="W92" s="2789"/>
      <c r="X92" s="2677" t="str">
        <f t="shared" si="12"/>
        <v/>
      </c>
    </row>
    <row r="93" spans="2:24" ht="15" hidden="1" customHeight="1" x14ac:dyDescent="0.35">
      <c r="B93" s="2675" t="s">
        <v>3965</v>
      </c>
      <c r="C93" s="2675" t="s">
        <v>3470</v>
      </c>
      <c r="D93" s="2788" t="s">
        <v>3109</v>
      </c>
      <c r="E93" s="2675" t="s">
        <v>4103</v>
      </c>
      <c r="F93" s="2675" t="s">
        <v>4104</v>
      </c>
      <c r="G93" s="2675" t="s">
        <v>3402</v>
      </c>
      <c r="H93" s="2675" t="s">
        <v>4105</v>
      </c>
      <c r="I93" s="2675" t="s">
        <v>820</v>
      </c>
      <c r="J93" s="599" t="b">
        <v>0</v>
      </c>
      <c r="K93" s="599" t="b">
        <v>0</v>
      </c>
      <c r="L93" s="2796" t="b">
        <f t="shared" si="7"/>
        <v>0</v>
      </c>
      <c r="M93" s="2796" t="b">
        <f t="shared" si="8"/>
        <v>0</v>
      </c>
      <c r="N93" s="2796" t="b">
        <f t="shared" si="13"/>
        <v>0</v>
      </c>
      <c r="O93" s="2789" t="s">
        <v>304</v>
      </c>
      <c r="P93" s="2789"/>
      <c r="Q93" s="2789"/>
      <c r="R93" s="2677" t="str">
        <f t="shared" si="9"/>
        <v/>
      </c>
      <c r="S93" s="2789"/>
      <c r="T93" s="2677" t="str">
        <f t="shared" si="10"/>
        <v/>
      </c>
      <c r="U93" s="2789"/>
      <c r="V93" s="2677" t="str">
        <f t="shared" si="11"/>
        <v/>
      </c>
      <c r="W93" s="2789"/>
      <c r="X93" s="2677" t="str">
        <f t="shared" si="12"/>
        <v/>
      </c>
    </row>
    <row r="94" spans="2:24" ht="15" hidden="1" customHeight="1" x14ac:dyDescent="0.35">
      <c r="B94" s="2675" t="s">
        <v>3965</v>
      </c>
      <c r="C94" s="2675" t="s">
        <v>3470</v>
      </c>
      <c r="D94" s="2788" t="s">
        <v>3124</v>
      </c>
      <c r="E94" s="2675" t="s">
        <v>4106</v>
      </c>
      <c r="F94" s="2675" t="s">
        <v>4107</v>
      </c>
      <c r="G94" s="2675" t="s">
        <v>3402</v>
      </c>
      <c r="H94" s="2675" t="s">
        <v>4108</v>
      </c>
      <c r="I94" s="2675" t="s">
        <v>3408</v>
      </c>
      <c r="J94" s="599" t="b">
        <v>0</v>
      </c>
      <c r="K94" s="599" t="b">
        <v>0</v>
      </c>
      <c r="L94" s="2796" t="b">
        <f t="shared" si="7"/>
        <v>0</v>
      </c>
      <c r="M94" s="2796" t="b">
        <f t="shared" si="8"/>
        <v>0</v>
      </c>
      <c r="N94" s="2796" t="b">
        <f t="shared" si="13"/>
        <v>0</v>
      </c>
      <c r="O94" s="2789" t="s">
        <v>304</v>
      </c>
      <c r="P94" s="2789"/>
      <c r="Q94" s="2789"/>
      <c r="R94" s="2677" t="str">
        <f t="shared" si="9"/>
        <v/>
      </c>
      <c r="S94" s="2789"/>
      <c r="T94" s="2677" t="str">
        <f t="shared" si="10"/>
        <v/>
      </c>
      <c r="U94" s="2789"/>
      <c r="V94" s="2677" t="str">
        <f t="shared" si="11"/>
        <v/>
      </c>
      <c r="W94" s="2789"/>
      <c r="X94" s="2677" t="str">
        <f t="shared" si="12"/>
        <v/>
      </c>
    </row>
    <row r="95" spans="2:24" ht="15" hidden="1" customHeight="1" x14ac:dyDescent="0.35">
      <c r="B95" s="2675" t="s">
        <v>3965</v>
      </c>
      <c r="C95" s="2675" t="s">
        <v>3470</v>
      </c>
      <c r="D95" s="2788" t="s">
        <v>4296</v>
      </c>
      <c r="E95" s="2675" t="s">
        <v>4109</v>
      </c>
      <c r="F95" s="2675" t="s">
        <v>4110</v>
      </c>
      <c r="G95" s="2675" t="s">
        <v>2285</v>
      </c>
      <c r="H95" s="2675" t="s">
        <v>3474</v>
      </c>
      <c r="I95" s="2675" t="s">
        <v>820</v>
      </c>
      <c r="J95" s="599" t="b">
        <v>0</v>
      </c>
      <c r="K95" s="599" t="b">
        <v>0</v>
      </c>
      <c r="L95" s="2796" t="b">
        <f t="shared" si="7"/>
        <v>0</v>
      </c>
      <c r="M95" s="2796" t="b">
        <f t="shared" si="8"/>
        <v>0</v>
      </c>
      <c r="N95" s="2796" t="b">
        <f t="shared" si="13"/>
        <v>0</v>
      </c>
      <c r="O95" s="2789" t="s">
        <v>304</v>
      </c>
      <c r="P95" s="2789"/>
      <c r="Q95" s="2789"/>
      <c r="R95" s="2677" t="str">
        <f t="shared" si="9"/>
        <v/>
      </c>
      <c r="S95" s="2789"/>
      <c r="T95" s="2677" t="str">
        <f t="shared" si="10"/>
        <v/>
      </c>
      <c r="U95" s="2789"/>
      <c r="V95" s="2677" t="str">
        <f t="shared" si="11"/>
        <v/>
      </c>
      <c r="W95" s="2789"/>
      <c r="X95" s="2677" t="str">
        <f t="shared" si="12"/>
        <v/>
      </c>
    </row>
    <row r="96" spans="2:24" ht="15" hidden="1" customHeight="1" x14ac:dyDescent="0.35">
      <c r="B96" s="2675" t="s">
        <v>3965</v>
      </c>
      <c r="C96" s="2675" t="s">
        <v>3476</v>
      </c>
      <c r="D96" s="2788" t="s">
        <v>3754</v>
      </c>
      <c r="E96" s="2675" t="s">
        <v>3755</v>
      </c>
      <c r="F96" s="2675" t="s">
        <v>4111</v>
      </c>
      <c r="G96" s="2675" t="s">
        <v>3402</v>
      </c>
      <c r="H96" s="2675" t="s">
        <v>4112</v>
      </c>
      <c r="I96" s="2675" t="s">
        <v>3427</v>
      </c>
      <c r="J96" s="599" t="b">
        <v>0</v>
      </c>
      <c r="K96" s="599" t="b">
        <v>0</v>
      </c>
      <c r="L96" s="2796" t="b">
        <f t="shared" si="7"/>
        <v>0</v>
      </c>
      <c r="M96" s="2796" t="b">
        <f t="shared" si="8"/>
        <v>0</v>
      </c>
      <c r="N96" s="2796" t="b">
        <f t="shared" si="13"/>
        <v>0</v>
      </c>
      <c r="O96" s="2789" t="s">
        <v>304</v>
      </c>
      <c r="P96" s="2789"/>
      <c r="Q96" s="2789"/>
      <c r="R96" s="2677" t="str">
        <f t="shared" si="9"/>
        <v/>
      </c>
      <c r="S96" s="2789"/>
      <c r="T96" s="2677" t="str">
        <f t="shared" si="10"/>
        <v/>
      </c>
      <c r="U96" s="2789"/>
      <c r="V96" s="2677" t="str">
        <f t="shared" si="11"/>
        <v/>
      </c>
      <c r="W96" s="2789"/>
      <c r="X96" s="2677" t="str">
        <f t="shared" si="12"/>
        <v/>
      </c>
    </row>
    <row r="97" spans="2:24" ht="15" hidden="1" customHeight="1" x14ac:dyDescent="0.35">
      <c r="B97" s="2675" t="s">
        <v>3965</v>
      </c>
      <c r="C97" s="2675" t="s">
        <v>3476</v>
      </c>
      <c r="D97" s="2788" t="s">
        <v>4297</v>
      </c>
      <c r="E97" s="2675" t="s">
        <v>4113</v>
      </c>
      <c r="F97" s="2675" t="s">
        <v>4114</v>
      </c>
      <c r="G97" s="2675" t="s">
        <v>2285</v>
      </c>
      <c r="H97" s="2675" t="s">
        <v>3474</v>
      </c>
      <c r="I97" s="2675" t="s">
        <v>820</v>
      </c>
      <c r="J97" s="599" t="b">
        <v>0</v>
      </c>
      <c r="K97" s="599" t="b">
        <v>0</v>
      </c>
      <c r="L97" s="2796" t="b">
        <f t="shared" si="7"/>
        <v>0</v>
      </c>
      <c r="M97" s="2796" t="b">
        <f t="shared" si="8"/>
        <v>0</v>
      </c>
      <c r="N97" s="2796" t="b">
        <f t="shared" si="13"/>
        <v>0</v>
      </c>
      <c r="O97" s="2789" t="s">
        <v>304</v>
      </c>
      <c r="P97" s="2789"/>
      <c r="Q97" s="2789"/>
      <c r="R97" s="2677" t="str">
        <f t="shared" si="9"/>
        <v/>
      </c>
      <c r="S97" s="2789"/>
      <c r="T97" s="2677" t="str">
        <f t="shared" si="10"/>
        <v/>
      </c>
      <c r="U97" s="2789"/>
      <c r="V97" s="2677" t="str">
        <f t="shared" si="11"/>
        <v/>
      </c>
      <c r="W97" s="2789"/>
      <c r="X97" s="2677" t="str">
        <f t="shared" si="12"/>
        <v/>
      </c>
    </row>
    <row r="98" spans="2:24" ht="15" hidden="1" customHeight="1" x14ac:dyDescent="0.35">
      <c r="B98" s="2675" t="s">
        <v>3965</v>
      </c>
      <c r="C98" s="2675" t="s">
        <v>3476</v>
      </c>
      <c r="D98" s="2788" t="s">
        <v>4298</v>
      </c>
      <c r="E98" s="2675" t="s">
        <v>4115</v>
      </c>
      <c r="F98" s="2675" t="s">
        <v>4116</v>
      </c>
      <c r="G98" s="2675" t="s">
        <v>2285</v>
      </c>
      <c r="H98" s="2675" t="s">
        <v>3474</v>
      </c>
      <c r="I98" s="2675" t="s">
        <v>820</v>
      </c>
      <c r="J98" s="599" t="b">
        <v>0</v>
      </c>
      <c r="K98" s="599" t="b">
        <v>0</v>
      </c>
      <c r="L98" s="2796" t="b">
        <f t="shared" si="7"/>
        <v>0</v>
      </c>
      <c r="M98" s="2796" t="b">
        <f t="shared" si="8"/>
        <v>0</v>
      </c>
      <c r="N98" s="2796" t="b">
        <f t="shared" si="13"/>
        <v>0</v>
      </c>
      <c r="O98" s="2789" t="s">
        <v>304</v>
      </c>
      <c r="P98" s="2789"/>
      <c r="Q98" s="2789"/>
      <c r="R98" s="2677" t="str">
        <f t="shared" si="9"/>
        <v/>
      </c>
      <c r="S98" s="2789"/>
      <c r="T98" s="2677" t="str">
        <f t="shared" si="10"/>
        <v/>
      </c>
      <c r="U98" s="2789"/>
      <c r="V98" s="2677" t="str">
        <f t="shared" si="11"/>
        <v/>
      </c>
      <c r="W98" s="2789"/>
      <c r="X98" s="2677" t="str">
        <f t="shared" si="12"/>
        <v/>
      </c>
    </row>
    <row r="99" spans="2:24" ht="15" hidden="1" customHeight="1" x14ac:dyDescent="0.35">
      <c r="B99" s="2675" t="s">
        <v>3965</v>
      </c>
      <c r="C99" s="2675" t="s">
        <v>3476</v>
      </c>
      <c r="D99" s="2788" t="s">
        <v>4299</v>
      </c>
      <c r="E99" s="2675" t="s">
        <v>4117</v>
      </c>
      <c r="F99" s="2675" t="s">
        <v>4118</v>
      </c>
      <c r="G99" s="2675" t="s">
        <v>2285</v>
      </c>
      <c r="H99" s="2675" t="s">
        <v>3474</v>
      </c>
      <c r="I99" s="2675" t="s">
        <v>820</v>
      </c>
      <c r="J99" s="599" t="b">
        <v>0</v>
      </c>
      <c r="K99" s="599" t="b">
        <v>0</v>
      </c>
      <c r="L99" s="2796" t="b">
        <f t="shared" si="7"/>
        <v>0</v>
      </c>
      <c r="M99" s="2796" t="b">
        <f t="shared" si="8"/>
        <v>0</v>
      </c>
      <c r="N99" s="2796" t="b">
        <f t="shared" si="13"/>
        <v>0</v>
      </c>
      <c r="O99" s="2789" t="s">
        <v>304</v>
      </c>
      <c r="P99" s="2789"/>
      <c r="Q99" s="2789"/>
      <c r="R99" s="2677" t="str">
        <f t="shared" si="9"/>
        <v/>
      </c>
      <c r="S99" s="2789"/>
      <c r="T99" s="2677" t="str">
        <f t="shared" si="10"/>
        <v/>
      </c>
      <c r="U99" s="2789"/>
      <c r="V99" s="2677" t="str">
        <f t="shared" si="11"/>
        <v/>
      </c>
      <c r="W99" s="2789"/>
      <c r="X99" s="2677" t="str">
        <f t="shared" si="12"/>
        <v/>
      </c>
    </row>
    <row r="100" spans="2:24" ht="15" hidden="1" customHeight="1" x14ac:dyDescent="0.35">
      <c r="B100" s="2675" t="s">
        <v>3965</v>
      </c>
      <c r="C100" s="2675" t="s">
        <v>3476</v>
      </c>
      <c r="D100" s="2788" t="s">
        <v>4300</v>
      </c>
      <c r="E100" s="2675" t="s">
        <v>4119</v>
      </c>
      <c r="F100" s="2675" t="s">
        <v>4120</v>
      </c>
      <c r="G100" s="2675" t="s">
        <v>2285</v>
      </c>
      <c r="H100" s="2675" t="s">
        <v>3474</v>
      </c>
      <c r="I100" s="2675" t="s">
        <v>820</v>
      </c>
      <c r="J100" s="599" t="b">
        <v>0</v>
      </c>
      <c r="K100" s="599" t="b">
        <v>0</v>
      </c>
      <c r="L100" s="2796" t="b">
        <f t="shared" si="7"/>
        <v>0</v>
      </c>
      <c r="M100" s="2796" t="b">
        <f t="shared" si="8"/>
        <v>0</v>
      </c>
      <c r="N100" s="2796" t="b">
        <f t="shared" si="13"/>
        <v>0</v>
      </c>
      <c r="O100" s="2789" t="s">
        <v>304</v>
      </c>
      <c r="P100" s="2789"/>
      <c r="Q100" s="2789"/>
      <c r="R100" s="2677" t="str">
        <f t="shared" si="9"/>
        <v/>
      </c>
      <c r="S100" s="2789"/>
      <c r="T100" s="2677" t="str">
        <f t="shared" si="10"/>
        <v/>
      </c>
      <c r="U100" s="2789"/>
      <c r="V100" s="2677" t="str">
        <f t="shared" si="11"/>
        <v/>
      </c>
      <c r="W100" s="2789"/>
      <c r="X100" s="2677" t="str">
        <f t="shared" si="12"/>
        <v/>
      </c>
    </row>
    <row r="101" spans="2:24" ht="15" hidden="1" customHeight="1" x14ac:dyDescent="0.35">
      <c r="B101" s="2675" t="s">
        <v>3965</v>
      </c>
      <c r="C101" s="2675" t="s">
        <v>3481</v>
      </c>
      <c r="D101" s="2788" t="s">
        <v>3238</v>
      </c>
      <c r="E101" s="2675" t="s">
        <v>4121</v>
      </c>
      <c r="F101" s="2675" t="s">
        <v>4122</v>
      </c>
      <c r="G101" s="2675" t="s">
        <v>3402</v>
      </c>
      <c r="H101" s="2675" t="s">
        <v>4123</v>
      </c>
      <c r="I101" s="2675" t="s">
        <v>820</v>
      </c>
      <c r="J101" s="599" t="b">
        <v>0</v>
      </c>
      <c r="K101" s="599" t="b">
        <v>0</v>
      </c>
      <c r="L101" s="2796" t="b">
        <f t="shared" si="7"/>
        <v>0</v>
      </c>
      <c r="M101" s="2796" t="b">
        <f t="shared" si="8"/>
        <v>0</v>
      </c>
      <c r="N101" s="2796" t="b">
        <f t="shared" si="13"/>
        <v>0</v>
      </c>
      <c r="O101" s="2789" t="s">
        <v>304</v>
      </c>
      <c r="P101" s="2789"/>
      <c r="Q101" s="2789"/>
      <c r="R101" s="2677" t="str">
        <f t="shared" si="9"/>
        <v/>
      </c>
      <c r="S101" s="2789"/>
      <c r="T101" s="2677" t="str">
        <f t="shared" si="10"/>
        <v/>
      </c>
      <c r="U101" s="2789"/>
      <c r="V101" s="2677" t="str">
        <f t="shared" si="11"/>
        <v/>
      </c>
      <c r="W101" s="2789"/>
      <c r="X101" s="2677" t="str">
        <f t="shared" si="12"/>
        <v/>
      </c>
    </row>
    <row r="102" spans="2:24" ht="15" hidden="1" customHeight="1" x14ac:dyDescent="0.35">
      <c r="B102" s="2675" t="s">
        <v>3965</v>
      </c>
      <c r="C102" s="2675" t="s">
        <v>3481</v>
      </c>
      <c r="D102" s="2788" t="s">
        <v>3483</v>
      </c>
      <c r="E102" s="2675" t="s">
        <v>3482</v>
      </c>
      <c r="F102" s="2675" t="s">
        <v>4124</v>
      </c>
      <c r="G102" s="2675" t="s">
        <v>3402</v>
      </c>
      <c r="H102" s="2675" t="s">
        <v>4125</v>
      </c>
      <c r="I102" s="2675" t="s">
        <v>820</v>
      </c>
      <c r="J102" s="599" t="b">
        <v>0</v>
      </c>
      <c r="K102" s="599" t="b">
        <v>0</v>
      </c>
      <c r="L102" s="2796" t="b">
        <f t="shared" si="7"/>
        <v>0</v>
      </c>
      <c r="M102" s="2796" t="b">
        <f t="shared" si="8"/>
        <v>0</v>
      </c>
      <c r="N102" s="2796" t="b">
        <f t="shared" si="13"/>
        <v>0</v>
      </c>
      <c r="O102" s="2789" t="s">
        <v>304</v>
      </c>
      <c r="P102" s="2789"/>
      <c r="Q102" s="2789"/>
      <c r="R102" s="2677" t="str">
        <f t="shared" si="9"/>
        <v/>
      </c>
      <c r="S102" s="2789"/>
      <c r="T102" s="2677" t="str">
        <f t="shared" si="10"/>
        <v/>
      </c>
      <c r="U102" s="2789"/>
      <c r="V102" s="2677" t="str">
        <f t="shared" si="11"/>
        <v/>
      </c>
      <c r="W102" s="2789"/>
      <c r="X102" s="2677" t="str">
        <f t="shared" si="12"/>
        <v/>
      </c>
    </row>
    <row r="103" spans="2:24" ht="15" hidden="1" customHeight="1" x14ac:dyDescent="0.35">
      <c r="B103" s="2675" t="s">
        <v>3965</v>
      </c>
      <c r="C103" s="2675" t="s">
        <v>3481</v>
      </c>
      <c r="D103" s="2788" t="s">
        <v>3085</v>
      </c>
      <c r="E103" s="2675" t="s">
        <v>3758</v>
      </c>
      <c r="F103" s="2675" t="s">
        <v>4126</v>
      </c>
      <c r="G103" s="2675" t="s">
        <v>3402</v>
      </c>
      <c r="H103" s="2675" t="s">
        <v>4127</v>
      </c>
      <c r="I103" s="2675" t="s">
        <v>820</v>
      </c>
      <c r="J103" s="599" t="b">
        <v>0</v>
      </c>
      <c r="K103" s="599" t="b">
        <v>0</v>
      </c>
      <c r="L103" s="2796" t="b">
        <f t="shared" si="7"/>
        <v>0</v>
      </c>
      <c r="M103" s="2796" t="b">
        <f t="shared" si="8"/>
        <v>0</v>
      </c>
      <c r="N103" s="2796" t="b">
        <f t="shared" si="13"/>
        <v>0</v>
      </c>
      <c r="O103" s="2789" t="s">
        <v>304</v>
      </c>
      <c r="P103" s="2789"/>
      <c r="Q103" s="2789"/>
      <c r="R103" s="2677" t="str">
        <f t="shared" si="9"/>
        <v/>
      </c>
      <c r="S103" s="2789"/>
      <c r="T103" s="2677" t="str">
        <f t="shared" si="10"/>
        <v/>
      </c>
      <c r="U103" s="2789"/>
      <c r="V103" s="2677" t="str">
        <f t="shared" si="11"/>
        <v/>
      </c>
      <c r="W103" s="2789"/>
      <c r="X103" s="2677" t="str">
        <f t="shared" si="12"/>
        <v/>
      </c>
    </row>
    <row r="104" spans="2:24" ht="15" hidden="1" customHeight="1" x14ac:dyDescent="0.35">
      <c r="B104" s="2675" t="s">
        <v>3965</v>
      </c>
      <c r="C104" s="2675" t="s">
        <v>3481</v>
      </c>
      <c r="D104" s="2788" t="s">
        <v>4301</v>
      </c>
      <c r="E104" s="2675" t="s">
        <v>4128</v>
      </c>
      <c r="F104" s="2675" t="s">
        <v>4129</v>
      </c>
      <c r="G104" s="2675" t="s">
        <v>3402</v>
      </c>
      <c r="H104" s="2675" t="s">
        <v>4130</v>
      </c>
      <c r="I104" s="2675" t="s">
        <v>3427</v>
      </c>
      <c r="J104" s="599" t="b">
        <v>1</v>
      </c>
      <c r="K104" s="599" t="b">
        <v>0</v>
      </c>
      <c r="L104" s="2796" t="b">
        <f t="shared" si="7"/>
        <v>0</v>
      </c>
      <c r="M104" s="2796" t="b">
        <f t="shared" si="8"/>
        <v>0</v>
      </c>
      <c r="N104" s="2796" t="b">
        <f t="shared" si="13"/>
        <v>0</v>
      </c>
      <c r="O104" s="2789" t="s">
        <v>304</v>
      </c>
      <c r="P104" s="2789"/>
      <c r="Q104" s="2789"/>
      <c r="R104" s="2677" t="str">
        <f t="shared" si="9"/>
        <v/>
      </c>
      <c r="S104" s="2789"/>
      <c r="T104" s="2677" t="str">
        <f t="shared" si="10"/>
        <v/>
      </c>
      <c r="U104" s="2789"/>
      <c r="V104" s="2677" t="str">
        <f t="shared" si="11"/>
        <v/>
      </c>
      <c r="W104" s="2789"/>
      <c r="X104" s="2677" t="str">
        <f t="shared" si="12"/>
        <v/>
      </c>
    </row>
    <row r="105" spans="2:24" ht="15" hidden="1" customHeight="1" x14ac:dyDescent="0.35">
      <c r="B105" s="2675" t="s">
        <v>3965</v>
      </c>
      <c r="C105" s="2675" t="s">
        <v>3481</v>
      </c>
      <c r="D105" s="2788" t="s">
        <v>4301</v>
      </c>
      <c r="E105" s="2675" t="s">
        <v>4128</v>
      </c>
      <c r="F105" s="2675" t="s">
        <v>4129</v>
      </c>
      <c r="G105" s="2675" t="s">
        <v>3402</v>
      </c>
      <c r="H105" s="2675" t="s">
        <v>4131</v>
      </c>
      <c r="I105" s="2675" t="s">
        <v>3427</v>
      </c>
      <c r="J105" s="599" t="b">
        <v>1</v>
      </c>
      <c r="K105" s="599" t="b">
        <v>0</v>
      </c>
      <c r="L105" s="2796" t="b">
        <f t="shared" si="7"/>
        <v>0</v>
      </c>
      <c r="M105" s="2796" t="b">
        <f t="shared" si="8"/>
        <v>0</v>
      </c>
      <c r="N105" s="2796" t="b">
        <f t="shared" si="13"/>
        <v>0</v>
      </c>
      <c r="O105" s="2789" t="s">
        <v>304</v>
      </c>
      <c r="P105" s="2789"/>
      <c r="Q105" s="2789"/>
      <c r="R105" s="2677" t="str">
        <f t="shared" si="9"/>
        <v/>
      </c>
      <c r="S105" s="2789"/>
      <c r="T105" s="2677" t="str">
        <f t="shared" si="10"/>
        <v/>
      </c>
      <c r="U105" s="2789"/>
      <c r="V105" s="2677" t="str">
        <f t="shared" si="11"/>
        <v/>
      </c>
      <c r="W105" s="2789"/>
      <c r="X105" s="2677" t="str">
        <f t="shared" si="12"/>
        <v/>
      </c>
    </row>
    <row r="106" spans="2:24" ht="15" hidden="1" customHeight="1" x14ac:dyDescent="0.35">
      <c r="B106" s="2675" t="s">
        <v>3965</v>
      </c>
      <c r="C106" s="2675" t="s">
        <v>3481</v>
      </c>
      <c r="D106" s="2788" t="s">
        <v>3127</v>
      </c>
      <c r="E106" s="2675" t="s">
        <v>3761</v>
      </c>
      <c r="F106" s="2675" t="s">
        <v>4132</v>
      </c>
      <c r="G106" s="2675" t="s">
        <v>3402</v>
      </c>
      <c r="H106" s="2675" t="s">
        <v>4133</v>
      </c>
      <c r="I106" s="2675" t="s">
        <v>3427</v>
      </c>
      <c r="J106" s="599" t="b">
        <v>0</v>
      </c>
      <c r="K106" s="599" t="b">
        <v>0</v>
      </c>
      <c r="L106" s="2796" t="b">
        <f t="shared" si="7"/>
        <v>0</v>
      </c>
      <c r="M106" s="2796" t="b">
        <f t="shared" si="8"/>
        <v>0</v>
      </c>
      <c r="N106" s="2796" t="b">
        <f t="shared" si="13"/>
        <v>0</v>
      </c>
      <c r="O106" s="2789" t="s">
        <v>304</v>
      </c>
      <c r="P106" s="2789"/>
      <c r="Q106" s="2789"/>
      <c r="R106" s="2677" t="str">
        <f t="shared" si="9"/>
        <v/>
      </c>
      <c r="S106" s="2789"/>
      <c r="T106" s="2677" t="str">
        <f t="shared" si="10"/>
        <v/>
      </c>
      <c r="U106" s="2789"/>
      <c r="V106" s="2677" t="str">
        <f t="shared" si="11"/>
        <v/>
      </c>
      <c r="W106" s="2789"/>
      <c r="X106" s="2677" t="str">
        <f t="shared" si="12"/>
        <v/>
      </c>
    </row>
    <row r="107" spans="2:24" ht="15" hidden="1" customHeight="1" x14ac:dyDescent="0.35">
      <c r="B107" s="2675" t="s">
        <v>3965</v>
      </c>
      <c r="C107" s="2675" t="s">
        <v>3481</v>
      </c>
      <c r="D107" s="2788" t="s">
        <v>4302</v>
      </c>
      <c r="E107" s="2675" t="s">
        <v>4134</v>
      </c>
      <c r="F107" s="2675" t="s">
        <v>4135</v>
      </c>
      <c r="G107" s="2675" t="s">
        <v>3402</v>
      </c>
      <c r="H107" s="2675" t="s">
        <v>4136</v>
      </c>
      <c r="I107" s="2675" t="s">
        <v>820</v>
      </c>
      <c r="J107" s="599" t="b">
        <v>0</v>
      </c>
      <c r="K107" s="599" t="b">
        <v>0</v>
      </c>
      <c r="L107" s="2796" t="b">
        <f t="shared" si="7"/>
        <v>0</v>
      </c>
      <c r="M107" s="2796" t="b">
        <f t="shared" si="8"/>
        <v>0</v>
      </c>
      <c r="N107" s="2796" t="b">
        <f t="shared" si="13"/>
        <v>0</v>
      </c>
      <c r="O107" s="2789" t="s">
        <v>304</v>
      </c>
      <c r="P107" s="2789"/>
      <c r="Q107" s="2789"/>
      <c r="R107" s="2677" t="str">
        <f t="shared" si="9"/>
        <v/>
      </c>
      <c r="S107" s="2789"/>
      <c r="T107" s="2677" t="str">
        <f t="shared" si="10"/>
        <v/>
      </c>
      <c r="U107" s="2789"/>
      <c r="V107" s="2677" t="str">
        <f t="shared" si="11"/>
        <v/>
      </c>
      <c r="W107" s="2789"/>
      <c r="X107" s="2677" t="str">
        <f t="shared" si="12"/>
        <v/>
      </c>
    </row>
    <row r="108" spans="2:24" ht="15" hidden="1" customHeight="1" x14ac:dyDescent="0.35">
      <c r="B108" s="2675" t="s">
        <v>3965</v>
      </c>
      <c r="C108" s="2675" t="s">
        <v>3481</v>
      </c>
      <c r="D108" s="2788" t="s">
        <v>4302</v>
      </c>
      <c r="E108" s="2675" t="s">
        <v>4134</v>
      </c>
      <c r="F108" s="2675" t="s">
        <v>4135</v>
      </c>
      <c r="G108" s="2675" t="s">
        <v>3402</v>
      </c>
      <c r="H108" s="2675" t="s">
        <v>4137</v>
      </c>
      <c r="I108" s="2675" t="s">
        <v>820</v>
      </c>
      <c r="J108" s="599" t="b">
        <v>0</v>
      </c>
      <c r="K108" s="599" t="b">
        <v>0</v>
      </c>
      <c r="L108" s="2796" t="b">
        <f t="shared" si="7"/>
        <v>0</v>
      </c>
      <c r="M108" s="2796" t="b">
        <f t="shared" si="8"/>
        <v>0</v>
      </c>
      <c r="N108" s="2796" t="b">
        <f t="shared" si="13"/>
        <v>0</v>
      </c>
      <c r="O108" s="2789" t="s">
        <v>304</v>
      </c>
      <c r="P108" s="2789"/>
      <c r="Q108" s="2789"/>
      <c r="R108" s="2677" t="str">
        <f t="shared" si="9"/>
        <v/>
      </c>
      <c r="S108" s="2789"/>
      <c r="T108" s="2677" t="str">
        <f t="shared" si="10"/>
        <v/>
      </c>
      <c r="U108" s="2789"/>
      <c r="V108" s="2677" t="str">
        <f t="shared" si="11"/>
        <v/>
      </c>
      <c r="W108" s="2789"/>
      <c r="X108" s="2677" t="str">
        <f t="shared" si="12"/>
        <v/>
      </c>
    </row>
    <row r="109" spans="2:24" ht="15" hidden="1" customHeight="1" x14ac:dyDescent="0.35">
      <c r="B109" s="2675" t="s">
        <v>3965</v>
      </c>
      <c r="C109" s="2675" t="s">
        <v>3481</v>
      </c>
      <c r="D109" s="2788" t="s">
        <v>3772</v>
      </c>
      <c r="E109" s="2675" t="s">
        <v>4138</v>
      </c>
      <c r="F109" s="2675" t="s">
        <v>4139</v>
      </c>
      <c r="G109" s="2675" t="s">
        <v>3402</v>
      </c>
      <c r="H109" s="2675" t="s">
        <v>4140</v>
      </c>
      <c r="I109" s="2675" t="s">
        <v>3427</v>
      </c>
      <c r="J109" s="599" t="b">
        <v>0</v>
      </c>
      <c r="K109" s="599" t="b">
        <v>0</v>
      </c>
      <c r="L109" s="2796" t="b">
        <f t="shared" si="7"/>
        <v>0</v>
      </c>
      <c r="M109" s="2796" t="b">
        <f t="shared" si="8"/>
        <v>0</v>
      </c>
      <c r="N109" s="2796" t="b">
        <f t="shared" si="13"/>
        <v>0</v>
      </c>
      <c r="O109" s="2789" t="s">
        <v>304</v>
      </c>
      <c r="P109" s="2789"/>
      <c r="Q109" s="2789"/>
      <c r="R109" s="2677" t="str">
        <f t="shared" si="9"/>
        <v/>
      </c>
      <c r="S109" s="2789"/>
      <c r="T109" s="2677" t="str">
        <f t="shared" si="10"/>
        <v/>
      </c>
      <c r="U109" s="2789"/>
      <c r="V109" s="2677" t="str">
        <f t="shared" si="11"/>
        <v/>
      </c>
      <c r="W109" s="2789"/>
      <c r="X109" s="2677" t="str">
        <f t="shared" si="12"/>
        <v/>
      </c>
    </row>
    <row r="110" spans="2:24" ht="15" hidden="1" customHeight="1" x14ac:dyDescent="0.35">
      <c r="B110" s="2675" t="s">
        <v>3965</v>
      </c>
      <c r="C110" s="2675" t="s">
        <v>3481</v>
      </c>
      <c r="D110" s="2788" t="s">
        <v>4303</v>
      </c>
      <c r="E110" s="2675" t="s">
        <v>4141</v>
      </c>
      <c r="F110" s="2675" t="s">
        <v>4142</v>
      </c>
      <c r="G110" s="2675" t="s">
        <v>2285</v>
      </c>
      <c r="H110" s="2675" t="s">
        <v>3474</v>
      </c>
      <c r="I110" s="2675" t="s">
        <v>820</v>
      </c>
      <c r="J110" s="599" t="b">
        <v>0</v>
      </c>
      <c r="K110" s="599" t="b">
        <v>0</v>
      </c>
      <c r="L110" s="2796" t="b">
        <f t="shared" si="7"/>
        <v>0</v>
      </c>
      <c r="M110" s="2796" t="b">
        <f t="shared" si="8"/>
        <v>0</v>
      </c>
      <c r="N110" s="2796" t="b">
        <f t="shared" si="13"/>
        <v>0</v>
      </c>
      <c r="O110" s="2789" t="s">
        <v>304</v>
      </c>
      <c r="P110" s="2789"/>
      <c r="Q110" s="2789"/>
      <c r="R110" s="2677" t="str">
        <f t="shared" si="9"/>
        <v/>
      </c>
      <c r="S110" s="2789"/>
      <c r="T110" s="2677" t="str">
        <f t="shared" si="10"/>
        <v/>
      </c>
      <c r="U110" s="2789"/>
      <c r="V110" s="2677" t="str">
        <f t="shared" si="11"/>
        <v/>
      </c>
      <c r="W110" s="2789"/>
      <c r="X110" s="2677" t="str">
        <f t="shared" si="12"/>
        <v/>
      </c>
    </row>
    <row r="111" spans="2:24" ht="15" hidden="1" customHeight="1" x14ac:dyDescent="0.35">
      <c r="B111" s="2675" t="s">
        <v>3965</v>
      </c>
      <c r="C111" s="2675" t="s">
        <v>3481</v>
      </c>
      <c r="D111" s="2788" t="s">
        <v>4304</v>
      </c>
      <c r="E111" s="2675" t="s">
        <v>4143</v>
      </c>
      <c r="F111" s="2675" t="s">
        <v>4144</v>
      </c>
      <c r="G111" s="2675" t="s">
        <v>2285</v>
      </c>
      <c r="H111" s="2675" t="s">
        <v>3474</v>
      </c>
      <c r="I111" s="2675" t="s">
        <v>820</v>
      </c>
      <c r="J111" s="599" t="b">
        <v>0</v>
      </c>
      <c r="K111" s="599" t="b">
        <v>0</v>
      </c>
      <c r="L111" s="2796" t="b">
        <f t="shared" si="7"/>
        <v>0</v>
      </c>
      <c r="M111" s="2796" t="b">
        <f t="shared" si="8"/>
        <v>0</v>
      </c>
      <c r="N111" s="2796" t="b">
        <f t="shared" si="13"/>
        <v>0</v>
      </c>
      <c r="O111" s="2789" t="s">
        <v>304</v>
      </c>
      <c r="P111" s="2789"/>
      <c r="Q111" s="2789"/>
      <c r="R111" s="2677" t="str">
        <f t="shared" si="9"/>
        <v/>
      </c>
      <c r="S111" s="2789"/>
      <c r="T111" s="2677" t="str">
        <f t="shared" si="10"/>
        <v/>
      </c>
      <c r="U111" s="2789"/>
      <c r="V111" s="2677" t="str">
        <f t="shared" si="11"/>
        <v/>
      </c>
      <c r="W111" s="2789"/>
      <c r="X111" s="2677" t="str">
        <f t="shared" si="12"/>
        <v/>
      </c>
    </row>
    <row r="112" spans="2:24" ht="15" hidden="1" customHeight="1" x14ac:dyDescent="0.35">
      <c r="B112" s="2675" t="s">
        <v>3965</v>
      </c>
      <c r="C112" s="2675" t="s">
        <v>3481</v>
      </c>
      <c r="D112" s="2788" t="s">
        <v>4305</v>
      </c>
      <c r="E112" s="2675" t="s">
        <v>4145</v>
      </c>
      <c r="F112" s="2675" t="s">
        <v>4146</v>
      </c>
      <c r="G112" s="2675" t="s">
        <v>2285</v>
      </c>
      <c r="H112" s="2675" t="s">
        <v>3474</v>
      </c>
      <c r="I112" s="2675" t="s">
        <v>820</v>
      </c>
      <c r="J112" s="599" t="b">
        <v>0</v>
      </c>
      <c r="K112" s="599" t="b">
        <v>0</v>
      </c>
      <c r="L112" s="2796" t="b">
        <f t="shared" si="7"/>
        <v>0</v>
      </c>
      <c r="M112" s="2796" t="b">
        <f t="shared" si="8"/>
        <v>0</v>
      </c>
      <c r="N112" s="2796" t="b">
        <f t="shared" si="13"/>
        <v>0</v>
      </c>
      <c r="O112" s="2789" t="s">
        <v>304</v>
      </c>
      <c r="P112" s="2789"/>
      <c r="Q112" s="2789"/>
      <c r="R112" s="2677" t="str">
        <f t="shared" si="9"/>
        <v/>
      </c>
      <c r="S112" s="2789"/>
      <c r="T112" s="2677" t="str">
        <f t="shared" si="10"/>
        <v/>
      </c>
      <c r="U112" s="2789"/>
      <c r="V112" s="2677" t="str">
        <f t="shared" si="11"/>
        <v/>
      </c>
      <c r="W112" s="2789"/>
      <c r="X112" s="2677" t="str">
        <f t="shared" si="12"/>
        <v/>
      </c>
    </row>
    <row r="113" spans="2:24" ht="15" hidden="1" customHeight="1" x14ac:dyDescent="0.35">
      <c r="B113" s="2675" t="s">
        <v>3965</v>
      </c>
      <c r="C113" s="2675" t="s">
        <v>3481</v>
      </c>
      <c r="D113" s="2788" t="s">
        <v>4306</v>
      </c>
      <c r="E113" s="2675" t="s">
        <v>4147</v>
      </c>
      <c r="F113" s="2675" t="s">
        <v>4148</v>
      </c>
      <c r="G113" s="2675" t="s">
        <v>2285</v>
      </c>
      <c r="H113" s="2675" t="s">
        <v>3474</v>
      </c>
      <c r="I113" s="2675" t="s">
        <v>820</v>
      </c>
      <c r="J113" s="599" t="b">
        <v>0</v>
      </c>
      <c r="K113" s="599" t="b">
        <v>0</v>
      </c>
      <c r="L113" s="2796" t="b">
        <f t="shared" si="7"/>
        <v>0</v>
      </c>
      <c r="M113" s="2796" t="b">
        <f t="shared" si="8"/>
        <v>0</v>
      </c>
      <c r="N113" s="2796" t="b">
        <f t="shared" si="13"/>
        <v>0</v>
      </c>
      <c r="O113" s="2789" t="s">
        <v>304</v>
      </c>
      <c r="P113" s="2789"/>
      <c r="Q113" s="2789"/>
      <c r="R113" s="2677" t="str">
        <f t="shared" si="9"/>
        <v/>
      </c>
      <c r="S113" s="2789"/>
      <c r="T113" s="2677" t="str">
        <f t="shared" si="10"/>
        <v/>
      </c>
      <c r="U113" s="2789"/>
      <c r="V113" s="2677" t="str">
        <f t="shared" si="11"/>
        <v/>
      </c>
      <c r="W113" s="2789"/>
      <c r="X113" s="2677" t="str">
        <f t="shared" si="12"/>
        <v/>
      </c>
    </row>
    <row r="114" spans="2:24" ht="15" hidden="1" customHeight="1" x14ac:dyDescent="0.35">
      <c r="B114" s="2675" t="s">
        <v>3965</v>
      </c>
      <c r="C114" s="2675" t="s">
        <v>3481</v>
      </c>
      <c r="D114" s="2788" t="s">
        <v>4307</v>
      </c>
      <c r="E114" s="2675" t="s">
        <v>4149</v>
      </c>
      <c r="F114" s="2675" t="s">
        <v>4150</v>
      </c>
      <c r="G114" s="2675" t="s">
        <v>2285</v>
      </c>
      <c r="H114" s="2675" t="s">
        <v>3474</v>
      </c>
      <c r="I114" s="2675" t="s">
        <v>820</v>
      </c>
      <c r="J114" s="599" t="b">
        <v>0</v>
      </c>
      <c r="K114" s="599" t="b">
        <v>0</v>
      </c>
      <c r="L114" s="2796" t="b">
        <f t="shared" si="7"/>
        <v>0</v>
      </c>
      <c r="M114" s="2796" t="b">
        <f t="shared" si="8"/>
        <v>0</v>
      </c>
      <c r="N114" s="2796" t="b">
        <f t="shared" si="13"/>
        <v>0</v>
      </c>
      <c r="O114" s="2789" t="s">
        <v>304</v>
      </c>
      <c r="P114" s="2789"/>
      <c r="Q114" s="2789"/>
      <c r="R114" s="2677" t="str">
        <f t="shared" si="9"/>
        <v/>
      </c>
      <c r="S114" s="2789"/>
      <c r="T114" s="2677" t="str">
        <f t="shared" si="10"/>
        <v/>
      </c>
      <c r="U114" s="2789"/>
      <c r="V114" s="2677" t="str">
        <f t="shared" si="11"/>
        <v/>
      </c>
      <c r="W114" s="2789"/>
      <c r="X114" s="2677" t="str">
        <f t="shared" si="12"/>
        <v/>
      </c>
    </row>
    <row r="115" spans="2:24" ht="15" hidden="1" customHeight="1" x14ac:dyDescent="0.35">
      <c r="B115" s="2675" t="s">
        <v>3965</v>
      </c>
      <c r="C115" s="2675" t="s">
        <v>3481</v>
      </c>
      <c r="D115" s="2788" t="s">
        <v>4308</v>
      </c>
      <c r="E115" s="2675" t="s">
        <v>4151</v>
      </c>
      <c r="F115" s="2675" t="s">
        <v>4152</v>
      </c>
      <c r="G115" s="2675" t="s">
        <v>2285</v>
      </c>
      <c r="H115" s="2675" t="s">
        <v>3474</v>
      </c>
      <c r="I115" s="2675" t="s">
        <v>820</v>
      </c>
      <c r="J115" s="599" t="b">
        <v>0</v>
      </c>
      <c r="K115" s="599" t="b">
        <v>0</v>
      </c>
      <c r="L115" s="2796" t="b">
        <f t="shared" si="7"/>
        <v>0</v>
      </c>
      <c r="M115" s="2796" t="b">
        <f t="shared" si="8"/>
        <v>0</v>
      </c>
      <c r="N115" s="2796" t="b">
        <f t="shared" si="13"/>
        <v>0</v>
      </c>
      <c r="O115" s="2789" t="s">
        <v>304</v>
      </c>
      <c r="P115" s="2789"/>
      <c r="Q115" s="2789"/>
      <c r="R115" s="2677" t="str">
        <f t="shared" si="9"/>
        <v/>
      </c>
      <c r="S115" s="2789"/>
      <c r="T115" s="2677" t="str">
        <f t="shared" si="10"/>
        <v/>
      </c>
      <c r="U115" s="2789"/>
      <c r="V115" s="2677" t="str">
        <f t="shared" si="11"/>
        <v/>
      </c>
      <c r="W115" s="2789"/>
      <c r="X115" s="2677" t="str">
        <f t="shared" si="12"/>
        <v/>
      </c>
    </row>
    <row r="116" spans="2:24" ht="15" hidden="1" customHeight="1" x14ac:dyDescent="0.35">
      <c r="B116" s="2675" t="s">
        <v>4153</v>
      </c>
      <c r="C116" s="2675" t="s">
        <v>3486</v>
      </c>
      <c r="D116" s="2788" t="s">
        <v>1694</v>
      </c>
      <c r="E116" s="2675" t="s">
        <v>3781</v>
      </c>
      <c r="F116" s="2675" t="s">
        <v>4154</v>
      </c>
      <c r="G116" s="2675" t="s">
        <v>3402</v>
      </c>
      <c r="H116" s="2675" t="s">
        <v>4155</v>
      </c>
      <c r="I116" s="2675" t="s">
        <v>3427</v>
      </c>
      <c r="J116" s="599" t="b">
        <v>0</v>
      </c>
      <c r="K116" s="599" t="b">
        <v>0</v>
      </c>
      <c r="L116" s="2796" t="b">
        <f t="shared" si="7"/>
        <v>0</v>
      </c>
      <c r="M116" s="2796" t="b">
        <f t="shared" si="8"/>
        <v>0</v>
      </c>
      <c r="N116" s="2796" t="b">
        <f t="shared" si="13"/>
        <v>0</v>
      </c>
      <c r="O116" s="2789" t="s">
        <v>304</v>
      </c>
      <c r="P116" s="2789"/>
      <c r="Q116" s="2789"/>
      <c r="R116" s="2677" t="str">
        <f t="shared" si="9"/>
        <v/>
      </c>
      <c r="S116" s="2789"/>
      <c r="T116" s="2677" t="str">
        <f t="shared" si="10"/>
        <v/>
      </c>
      <c r="U116" s="2789"/>
      <c r="V116" s="2677" t="str">
        <f t="shared" si="11"/>
        <v/>
      </c>
      <c r="W116" s="2789"/>
      <c r="X116" s="2677" t="str">
        <f t="shared" si="12"/>
        <v/>
      </c>
    </row>
    <row r="117" spans="2:24" ht="15" hidden="1" customHeight="1" x14ac:dyDescent="0.35">
      <c r="B117" s="2675" t="s">
        <v>4153</v>
      </c>
      <c r="C117" s="2675" t="s">
        <v>3486</v>
      </c>
      <c r="D117" s="2788" t="s">
        <v>1698</v>
      </c>
      <c r="E117" s="2675" t="s">
        <v>3488</v>
      </c>
      <c r="F117" s="2675" t="s">
        <v>4156</v>
      </c>
      <c r="G117" s="2675" t="s">
        <v>3402</v>
      </c>
      <c r="H117" s="2675" t="s">
        <v>4157</v>
      </c>
      <c r="I117" s="2675" t="s">
        <v>3427</v>
      </c>
      <c r="J117" s="599" t="b">
        <v>0</v>
      </c>
      <c r="K117" s="599" t="b">
        <v>0</v>
      </c>
      <c r="L117" s="2796" t="b">
        <f t="shared" si="7"/>
        <v>0</v>
      </c>
      <c r="M117" s="2796" t="b">
        <f t="shared" si="8"/>
        <v>0</v>
      </c>
      <c r="N117" s="2796" t="b">
        <f t="shared" si="13"/>
        <v>0</v>
      </c>
      <c r="O117" s="2789" t="s">
        <v>304</v>
      </c>
      <c r="P117" s="2789"/>
      <c r="Q117" s="2789"/>
      <c r="R117" s="2677" t="str">
        <f t="shared" si="9"/>
        <v/>
      </c>
      <c r="S117" s="2789"/>
      <c r="T117" s="2677" t="str">
        <f t="shared" si="10"/>
        <v/>
      </c>
      <c r="U117" s="2789"/>
      <c r="V117" s="2677" t="str">
        <f t="shared" si="11"/>
        <v/>
      </c>
      <c r="W117" s="2789"/>
      <c r="X117" s="2677" t="str">
        <f t="shared" si="12"/>
        <v/>
      </c>
    </row>
    <row r="118" spans="2:24" ht="15" hidden="1" customHeight="1" x14ac:dyDescent="0.35">
      <c r="B118" s="2675" t="s">
        <v>4153</v>
      </c>
      <c r="C118" s="2675" t="s">
        <v>3486</v>
      </c>
      <c r="D118" s="2788" t="s">
        <v>1700</v>
      </c>
      <c r="E118" s="2675" t="s">
        <v>3489</v>
      </c>
      <c r="F118" s="2675" t="s">
        <v>4158</v>
      </c>
      <c r="G118" s="2675" t="s">
        <v>3402</v>
      </c>
      <c r="H118" s="2675" t="s">
        <v>4159</v>
      </c>
      <c r="I118" s="2675" t="s">
        <v>820</v>
      </c>
      <c r="J118" s="599" t="b">
        <v>0</v>
      </c>
      <c r="K118" s="599" t="b">
        <v>0</v>
      </c>
      <c r="L118" s="2796" t="b">
        <f t="shared" si="7"/>
        <v>0</v>
      </c>
      <c r="M118" s="2796" t="b">
        <f t="shared" si="8"/>
        <v>0</v>
      </c>
      <c r="N118" s="2796" t="b">
        <f t="shared" si="13"/>
        <v>0</v>
      </c>
      <c r="O118" s="2789" t="s">
        <v>304</v>
      </c>
      <c r="P118" s="2789"/>
      <c r="Q118" s="2789"/>
      <c r="R118" s="2677" t="str">
        <f t="shared" si="9"/>
        <v/>
      </c>
      <c r="S118" s="2789"/>
      <c r="T118" s="2677" t="str">
        <f t="shared" si="10"/>
        <v/>
      </c>
      <c r="U118" s="2789"/>
      <c r="V118" s="2677" t="str">
        <f t="shared" si="11"/>
        <v/>
      </c>
      <c r="W118" s="2789"/>
      <c r="X118" s="2677" t="str">
        <f t="shared" si="12"/>
        <v/>
      </c>
    </row>
    <row r="119" spans="2:24" ht="15" hidden="1" customHeight="1" x14ac:dyDescent="0.35">
      <c r="B119" s="2675" t="s">
        <v>4153</v>
      </c>
      <c r="C119" s="2675" t="s">
        <v>3486</v>
      </c>
      <c r="D119" s="2788" t="s">
        <v>1704</v>
      </c>
      <c r="E119" s="2675" t="s">
        <v>3490</v>
      </c>
      <c r="F119" s="2675" t="s">
        <v>4160</v>
      </c>
      <c r="G119" s="2675" t="s">
        <v>3403</v>
      </c>
      <c r="H119" s="2675" t="s">
        <v>4161</v>
      </c>
      <c r="I119" s="2675" t="s">
        <v>4162</v>
      </c>
      <c r="J119" s="599" t="b">
        <v>0</v>
      </c>
      <c r="K119" s="599" t="b">
        <v>0</v>
      </c>
      <c r="L119" s="2796" t="b">
        <f t="shared" si="7"/>
        <v>0</v>
      </c>
      <c r="M119" s="2796" t="b">
        <f t="shared" si="8"/>
        <v>0</v>
      </c>
      <c r="N119" s="2796" t="b">
        <f t="shared" si="13"/>
        <v>0</v>
      </c>
      <c r="O119" s="2789" t="s">
        <v>304</v>
      </c>
      <c r="P119" s="2789"/>
      <c r="Q119" s="2789"/>
      <c r="R119" s="2677" t="str">
        <f t="shared" si="9"/>
        <v/>
      </c>
      <c r="S119" s="2789"/>
      <c r="T119" s="2677" t="str">
        <f t="shared" si="10"/>
        <v/>
      </c>
      <c r="U119" s="2789"/>
      <c r="V119" s="2677" t="str">
        <f t="shared" si="11"/>
        <v/>
      </c>
      <c r="W119" s="2789"/>
      <c r="X119" s="2677" t="str">
        <f t="shared" si="12"/>
        <v/>
      </c>
    </row>
    <row r="120" spans="2:24" ht="15" hidden="1" customHeight="1" x14ac:dyDescent="0.35">
      <c r="B120" s="2675" t="s">
        <v>4153</v>
      </c>
      <c r="C120" s="2675" t="s">
        <v>3486</v>
      </c>
      <c r="D120" s="2788" t="s">
        <v>1708</v>
      </c>
      <c r="E120" s="2675" t="s">
        <v>3491</v>
      </c>
      <c r="F120" s="2675" t="s">
        <v>4163</v>
      </c>
      <c r="G120" s="2675" t="s">
        <v>3402</v>
      </c>
      <c r="H120" s="2675" t="s">
        <v>4164</v>
      </c>
      <c r="I120" s="2675" t="s">
        <v>820</v>
      </c>
      <c r="J120" s="599" t="b">
        <v>0</v>
      </c>
      <c r="K120" s="599" t="b">
        <v>0</v>
      </c>
      <c r="L120" s="2796" t="b">
        <f t="shared" si="7"/>
        <v>0</v>
      </c>
      <c r="M120" s="2796" t="b">
        <f t="shared" si="8"/>
        <v>0</v>
      </c>
      <c r="N120" s="2796" t="b">
        <f t="shared" si="13"/>
        <v>0</v>
      </c>
      <c r="O120" s="2789" t="s">
        <v>304</v>
      </c>
      <c r="P120" s="2789"/>
      <c r="Q120" s="2789"/>
      <c r="R120" s="2677" t="str">
        <f t="shared" si="9"/>
        <v/>
      </c>
      <c r="S120" s="2789"/>
      <c r="T120" s="2677" t="str">
        <f t="shared" si="10"/>
        <v/>
      </c>
      <c r="U120" s="2789"/>
      <c r="V120" s="2677" t="str">
        <f t="shared" si="11"/>
        <v/>
      </c>
      <c r="W120" s="2789"/>
      <c r="X120" s="2677" t="str">
        <f t="shared" si="12"/>
        <v/>
      </c>
    </row>
    <row r="121" spans="2:24" ht="15" hidden="1" customHeight="1" x14ac:dyDescent="0.35">
      <c r="B121" s="2675" t="s">
        <v>4153</v>
      </c>
      <c r="C121" s="2675" t="s">
        <v>3486</v>
      </c>
      <c r="D121" s="2788" t="s">
        <v>3493</v>
      </c>
      <c r="E121" s="2675" t="s">
        <v>3492</v>
      </c>
      <c r="F121" s="2675" t="s">
        <v>4165</v>
      </c>
      <c r="G121" s="2675" t="s">
        <v>3402</v>
      </c>
      <c r="H121" s="2675" t="s">
        <v>4166</v>
      </c>
      <c r="I121" s="2675" t="s">
        <v>820</v>
      </c>
      <c r="J121" s="599" t="b">
        <v>0</v>
      </c>
      <c r="K121" s="599" t="b">
        <v>0</v>
      </c>
      <c r="L121" s="2796" t="b">
        <f t="shared" si="7"/>
        <v>0</v>
      </c>
      <c r="M121" s="2796" t="b">
        <f t="shared" si="8"/>
        <v>0</v>
      </c>
      <c r="N121" s="2796" t="b">
        <f t="shared" si="13"/>
        <v>0</v>
      </c>
      <c r="O121" s="2789" t="s">
        <v>304</v>
      </c>
      <c r="P121" s="2789"/>
      <c r="Q121" s="2789"/>
      <c r="R121" s="2677" t="str">
        <f t="shared" si="9"/>
        <v/>
      </c>
      <c r="S121" s="2789"/>
      <c r="T121" s="2677" t="str">
        <f t="shared" si="10"/>
        <v/>
      </c>
      <c r="U121" s="2789"/>
      <c r="V121" s="2677" t="str">
        <f t="shared" si="11"/>
        <v/>
      </c>
      <c r="W121" s="2789"/>
      <c r="X121" s="2677" t="str">
        <f t="shared" si="12"/>
        <v/>
      </c>
    </row>
    <row r="122" spans="2:24" ht="15" hidden="1" customHeight="1" x14ac:dyDescent="0.35">
      <c r="B122" s="2675" t="s">
        <v>4153</v>
      </c>
      <c r="C122" s="2675" t="s">
        <v>3486</v>
      </c>
      <c r="D122" s="2788" t="s">
        <v>4309</v>
      </c>
      <c r="E122" s="2790" t="s">
        <v>4167</v>
      </c>
      <c r="F122" s="2790" t="s">
        <v>4168</v>
      </c>
      <c r="G122" s="2675" t="s">
        <v>2285</v>
      </c>
      <c r="H122" s="2675" t="s">
        <v>3404</v>
      </c>
      <c r="I122" s="2675" t="s">
        <v>820</v>
      </c>
      <c r="J122" s="599" t="b">
        <v>0</v>
      </c>
      <c r="K122" s="599" t="b">
        <v>0</v>
      </c>
      <c r="L122" s="2796" t="b">
        <f t="shared" si="7"/>
        <v>0</v>
      </c>
      <c r="M122" s="2796" t="b">
        <f t="shared" si="8"/>
        <v>0</v>
      </c>
      <c r="N122" s="2796" t="b">
        <f t="shared" si="13"/>
        <v>0</v>
      </c>
      <c r="O122" s="2789" t="s">
        <v>304</v>
      </c>
      <c r="P122" s="2789"/>
      <c r="Q122" s="2789"/>
      <c r="R122" s="2677" t="str">
        <f t="shared" si="9"/>
        <v/>
      </c>
      <c r="S122" s="2789"/>
      <c r="T122" s="2677" t="str">
        <f t="shared" si="10"/>
        <v/>
      </c>
      <c r="U122" s="2789"/>
      <c r="V122" s="2677" t="str">
        <f t="shared" si="11"/>
        <v/>
      </c>
      <c r="W122" s="2789"/>
      <c r="X122" s="2677" t="str">
        <f t="shared" si="12"/>
        <v/>
      </c>
    </row>
    <row r="123" spans="2:24" ht="15" hidden="1" customHeight="1" x14ac:dyDescent="0.35">
      <c r="B123" s="2675" t="s">
        <v>4153</v>
      </c>
      <c r="C123" s="2675" t="s">
        <v>3494</v>
      </c>
      <c r="D123" s="2788" t="s">
        <v>1710</v>
      </c>
      <c r="E123" s="2675" t="s">
        <v>3495</v>
      </c>
      <c r="F123" s="2675" t="s">
        <v>4169</v>
      </c>
      <c r="G123" s="2675" t="s">
        <v>3402</v>
      </c>
      <c r="H123" s="2675" t="s">
        <v>4170</v>
      </c>
      <c r="I123" s="2675" t="s">
        <v>3408</v>
      </c>
      <c r="J123" s="599" t="b">
        <v>0</v>
      </c>
      <c r="K123" s="599" t="b">
        <v>0</v>
      </c>
      <c r="L123" s="2796" t="b">
        <f t="shared" si="7"/>
        <v>0</v>
      </c>
      <c r="M123" s="2796" t="b">
        <f t="shared" si="8"/>
        <v>0</v>
      </c>
      <c r="N123" s="2796" t="b">
        <f t="shared" si="13"/>
        <v>0</v>
      </c>
      <c r="O123" s="2789" t="s">
        <v>304</v>
      </c>
      <c r="P123" s="2789"/>
      <c r="Q123" s="2789"/>
      <c r="R123" s="2677" t="str">
        <f t="shared" si="9"/>
        <v/>
      </c>
      <c r="S123" s="2789"/>
      <c r="T123" s="2677" t="str">
        <f t="shared" si="10"/>
        <v/>
      </c>
      <c r="U123" s="2789"/>
      <c r="V123" s="2677" t="str">
        <f t="shared" si="11"/>
        <v/>
      </c>
      <c r="W123" s="2789"/>
      <c r="X123" s="2677" t="str">
        <f t="shared" si="12"/>
        <v/>
      </c>
    </row>
    <row r="124" spans="2:24" ht="15" hidden="1" customHeight="1" x14ac:dyDescent="0.35">
      <c r="B124" s="2675" t="s">
        <v>4153</v>
      </c>
      <c r="C124" s="2675" t="s">
        <v>3494</v>
      </c>
      <c r="D124" s="2788" t="s">
        <v>877</v>
      </c>
      <c r="E124" s="2675" t="s">
        <v>4171</v>
      </c>
      <c r="F124" s="2675" t="s">
        <v>4172</v>
      </c>
      <c r="G124" s="2675" t="s">
        <v>3402</v>
      </c>
      <c r="H124" s="2675" t="s">
        <v>4173</v>
      </c>
      <c r="I124" s="2675" t="s">
        <v>820</v>
      </c>
      <c r="J124" s="599" t="b">
        <v>0</v>
      </c>
      <c r="K124" s="599" t="b">
        <v>0</v>
      </c>
      <c r="L124" s="2796" t="b">
        <f t="shared" si="7"/>
        <v>0</v>
      </c>
      <c r="M124" s="2796" t="b">
        <f t="shared" si="8"/>
        <v>0</v>
      </c>
      <c r="N124" s="2796" t="b">
        <f t="shared" si="13"/>
        <v>0</v>
      </c>
      <c r="O124" s="2789" t="s">
        <v>304</v>
      </c>
      <c r="P124" s="2789"/>
      <c r="Q124" s="2789"/>
      <c r="R124" s="2677" t="str">
        <f t="shared" si="9"/>
        <v/>
      </c>
      <c r="S124" s="2789"/>
      <c r="T124" s="2677" t="str">
        <f t="shared" si="10"/>
        <v/>
      </c>
      <c r="U124" s="2789"/>
      <c r="V124" s="2677" t="str">
        <f t="shared" si="11"/>
        <v/>
      </c>
      <c r="W124" s="2789"/>
      <c r="X124" s="2677" t="str">
        <f t="shared" si="12"/>
        <v/>
      </c>
    </row>
    <row r="125" spans="2:24" ht="15" hidden="1" customHeight="1" x14ac:dyDescent="0.35">
      <c r="B125" s="2675" t="s">
        <v>4153</v>
      </c>
      <c r="C125" s="2675" t="s">
        <v>3494</v>
      </c>
      <c r="D125" s="2788" t="s">
        <v>877</v>
      </c>
      <c r="E125" s="2675" t="s">
        <v>4171</v>
      </c>
      <c r="F125" s="2675" t="s">
        <v>4172</v>
      </c>
      <c r="G125" s="2675" t="s">
        <v>3402</v>
      </c>
      <c r="H125" s="2675" t="s">
        <v>4174</v>
      </c>
      <c r="I125" s="2675" t="s">
        <v>820</v>
      </c>
      <c r="J125" s="599" t="b">
        <v>0</v>
      </c>
      <c r="K125" s="599" t="b">
        <v>0</v>
      </c>
      <c r="L125" s="2796" t="b">
        <f t="shared" si="7"/>
        <v>0</v>
      </c>
      <c r="M125" s="2796" t="b">
        <f t="shared" si="8"/>
        <v>0</v>
      </c>
      <c r="N125" s="2796" t="b">
        <f t="shared" si="13"/>
        <v>0</v>
      </c>
      <c r="O125" s="2789" t="s">
        <v>304</v>
      </c>
      <c r="P125" s="2789"/>
      <c r="Q125" s="2789"/>
      <c r="R125" s="2677" t="str">
        <f t="shared" si="9"/>
        <v/>
      </c>
      <c r="S125" s="2789"/>
      <c r="T125" s="2677" t="str">
        <f t="shared" si="10"/>
        <v/>
      </c>
      <c r="U125" s="2789"/>
      <c r="V125" s="2677" t="str">
        <f t="shared" si="11"/>
        <v/>
      </c>
      <c r="W125" s="2789"/>
      <c r="X125" s="2677" t="str">
        <f t="shared" si="12"/>
        <v/>
      </c>
    </row>
    <row r="126" spans="2:24" ht="15" hidden="1" customHeight="1" x14ac:dyDescent="0.35">
      <c r="B126" s="2675" t="s">
        <v>4153</v>
      </c>
      <c r="C126" s="2675" t="s">
        <v>3460</v>
      </c>
      <c r="D126" s="2788" t="s">
        <v>306</v>
      </c>
      <c r="E126" s="2675" t="s">
        <v>3461</v>
      </c>
      <c r="F126" s="2675" t="s">
        <v>4175</v>
      </c>
      <c r="G126" s="2675" t="s">
        <v>3402</v>
      </c>
      <c r="H126" s="2675" t="s">
        <v>4176</v>
      </c>
      <c r="I126" s="2675" t="s">
        <v>820</v>
      </c>
      <c r="J126" s="599" t="b">
        <v>0</v>
      </c>
      <c r="K126" s="599" t="b">
        <v>0</v>
      </c>
      <c r="L126" s="2796" t="b">
        <f t="shared" si="7"/>
        <v>0</v>
      </c>
      <c r="M126" s="2796" t="b">
        <f t="shared" si="8"/>
        <v>0</v>
      </c>
      <c r="N126" s="2796" t="b">
        <f t="shared" si="13"/>
        <v>0</v>
      </c>
      <c r="O126" s="2789" t="s">
        <v>304</v>
      </c>
      <c r="P126" s="2789"/>
      <c r="Q126" s="2789"/>
      <c r="R126" s="2677" t="str">
        <f t="shared" si="9"/>
        <v/>
      </c>
      <c r="S126" s="2789"/>
      <c r="T126" s="2677" t="str">
        <f t="shared" si="10"/>
        <v/>
      </c>
      <c r="U126" s="2789"/>
      <c r="V126" s="2677" t="str">
        <f t="shared" si="11"/>
        <v/>
      </c>
      <c r="W126" s="2789"/>
      <c r="X126" s="2677" t="str">
        <f t="shared" si="12"/>
        <v/>
      </c>
    </row>
    <row r="127" spans="2:24" ht="15" hidden="1" customHeight="1" x14ac:dyDescent="0.35">
      <c r="B127" s="2675" t="s">
        <v>4153</v>
      </c>
      <c r="C127" s="2675" t="s">
        <v>3460</v>
      </c>
      <c r="D127" s="2788" t="s">
        <v>306</v>
      </c>
      <c r="E127" s="2675" t="s">
        <v>3461</v>
      </c>
      <c r="F127" s="2675" t="s">
        <v>4175</v>
      </c>
      <c r="G127" s="2675" t="s">
        <v>3402</v>
      </c>
      <c r="H127" s="2675" t="s">
        <v>4044</v>
      </c>
      <c r="I127" s="2675" t="s">
        <v>820</v>
      </c>
      <c r="J127" s="599" t="b">
        <v>0</v>
      </c>
      <c r="K127" s="599" t="b">
        <v>0</v>
      </c>
      <c r="L127" s="2796" t="b">
        <f t="shared" si="7"/>
        <v>0</v>
      </c>
      <c r="M127" s="2796" t="b">
        <f t="shared" si="8"/>
        <v>0</v>
      </c>
      <c r="N127" s="2796" t="b">
        <f t="shared" si="13"/>
        <v>0</v>
      </c>
      <c r="O127" s="2789" t="s">
        <v>304</v>
      </c>
      <c r="P127" s="2789"/>
      <c r="Q127" s="2789"/>
      <c r="R127" s="2677" t="str">
        <f t="shared" si="9"/>
        <v/>
      </c>
      <c r="S127" s="2789"/>
      <c r="T127" s="2677" t="str">
        <f t="shared" si="10"/>
        <v/>
      </c>
      <c r="U127" s="2789"/>
      <c r="V127" s="2677" t="str">
        <f t="shared" si="11"/>
        <v/>
      </c>
      <c r="W127" s="2789"/>
      <c r="X127" s="2677" t="str">
        <f t="shared" si="12"/>
        <v/>
      </c>
    </row>
    <row r="128" spans="2:24" ht="15" hidden="1" customHeight="1" x14ac:dyDescent="0.35">
      <c r="B128" s="2675" t="s">
        <v>4153</v>
      </c>
      <c r="C128" s="2675" t="s">
        <v>3460</v>
      </c>
      <c r="D128" s="2788" t="s">
        <v>306</v>
      </c>
      <c r="E128" s="2675" t="s">
        <v>3461</v>
      </c>
      <c r="F128" s="2675" t="s">
        <v>4175</v>
      </c>
      <c r="G128" s="2675" t="s">
        <v>3402</v>
      </c>
      <c r="H128" s="2675" t="s">
        <v>4177</v>
      </c>
      <c r="I128" s="2675" t="s">
        <v>820</v>
      </c>
      <c r="J128" s="599" t="b">
        <v>0</v>
      </c>
      <c r="K128" s="599" t="b">
        <v>0</v>
      </c>
      <c r="L128" s="2796" t="b">
        <f t="shared" si="7"/>
        <v>0</v>
      </c>
      <c r="M128" s="2796" t="b">
        <f t="shared" si="8"/>
        <v>0</v>
      </c>
      <c r="N128" s="2796" t="b">
        <f t="shared" si="13"/>
        <v>0</v>
      </c>
      <c r="O128" s="2789" t="s">
        <v>304</v>
      </c>
      <c r="P128" s="2789"/>
      <c r="Q128" s="2789"/>
      <c r="R128" s="2677" t="str">
        <f t="shared" si="9"/>
        <v/>
      </c>
      <c r="S128" s="2789"/>
      <c r="T128" s="2677" t="str">
        <f t="shared" si="10"/>
        <v/>
      </c>
      <c r="U128" s="2789"/>
      <c r="V128" s="2677" t="str">
        <f t="shared" si="11"/>
        <v/>
      </c>
      <c r="W128" s="2789"/>
      <c r="X128" s="2677" t="str">
        <f t="shared" si="12"/>
        <v/>
      </c>
    </row>
    <row r="129" spans="2:24" ht="15" hidden="1" customHeight="1" x14ac:dyDescent="0.35">
      <c r="B129" s="2675" t="s">
        <v>4153</v>
      </c>
      <c r="C129" s="2675" t="s">
        <v>3460</v>
      </c>
      <c r="D129" s="2788" t="s">
        <v>306</v>
      </c>
      <c r="E129" s="2675" t="s">
        <v>3461</v>
      </c>
      <c r="F129" s="2675" t="s">
        <v>4175</v>
      </c>
      <c r="G129" s="2675" t="s">
        <v>3402</v>
      </c>
      <c r="H129" s="2675" t="s">
        <v>4041</v>
      </c>
      <c r="I129" s="2675" t="s">
        <v>820</v>
      </c>
      <c r="J129" s="599" t="b">
        <v>0</v>
      </c>
      <c r="K129" s="599" t="b">
        <v>0</v>
      </c>
      <c r="L129" s="2796" t="b">
        <f t="shared" si="7"/>
        <v>0</v>
      </c>
      <c r="M129" s="2796" t="b">
        <f t="shared" si="8"/>
        <v>0</v>
      </c>
      <c r="N129" s="2796" t="b">
        <f t="shared" si="13"/>
        <v>0</v>
      </c>
      <c r="O129" s="2789" t="s">
        <v>304</v>
      </c>
      <c r="P129" s="2789"/>
      <c r="Q129" s="2789"/>
      <c r="R129" s="2677" t="str">
        <f t="shared" si="9"/>
        <v/>
      </c>
      <c r="S129" s="2789"/>
      <c r="T129" s="2677" t="str">
        <f t="shared" si="10"/>
        <v/>
      </c>
      <c r="U129" s="2789"/>
      <c r="V129" s="2677" t="str">
        <f t="shared" si="11"/>
        <v/>
      </c>
      <c r="W129" s="2789"/>
      <c r="X129" s="2677" t="str">
        <f t="shared" si="12"/>
        <v/>
      </c>
    </row>
    <row r="130" spans="2:24" ht="15" hidden="1" customHeight="1" x14ac:dyDescent="0.35">
      <c r="B130" s="2675" t="s">
        <v>4153</v>
      </c>
      <c r="C130" s="2675" t="s">
        <v>3460</v>
      </c>
      <c r="D130" s="2788" t="s">
        <v>306</v>
      </c>
      <c r="E130" s="2675" t="s">
        <v>3461</v>
      </c>
      <c r="F130" s="2675" t="s">
        <v>4175</v>
      </c>
      <c r="G130" s="2675" t="s">
        <v>3402</v>
      </c>
      <c r="H130" s="2675" t="s">
        <v>4043</v>
      </c>
      <c r="I130" s="2675" t="s">
        <v>820</v>
      </c>
      <c r="J130" s="599" t="b">
        <v>0</v>
      </c>
      <c r="K130" s="599" t="b">
        <v>0</v>
      </c>
      <c r="L130" s="2796" t="b">
        <f t="shared" si="7"/>
        <v>0</v>
      </c>
      <c r="M130" s="2796" t="b">
        <f t="shared" si="8"/>
        <v>0</v>
      </c>
      <c r="N130" s="2796" t="b">
        <f t="shared" si="13"/>
        <v>0</v>
      </c>
      <c r="O130" s="2789" t="s">
        <v>304</v>
      </c>
      <c r="P130" s="2789"/>
      <c r="Q130" s="2789"/>
      <c r="R130" s="2677" t="str">
        <f t="shared" si="9"/>
        <v/>
      </c>
      <c r="S130" s="2789"/>
      <c r="T130" s="2677" t="str">
        <f t="shared" si="10"/>
        <v/>
      </c>
      <c r="U130" s="2789"/>
      <c r="V130" s="2677" t="str">
        <f t="shared" si="11"/>
        <v/>
      </c>
      <c r="W130" s="2789"/>
      <c r="X130" s="2677" t="str">
        <f t="shared" si="12"/>
        <v/>
      </c>
    </row>
    <row r="131" spans="2:24" ht="15" hidden="1" customHeight="1" x14ac:dyDescent="0.35">
      <c r="B131" s="2675" t="s">
        <v>4153</v>
      </c>
      <c r="C131" s="2675" t="s">
        <v>3460</v>
      </c>
      <c r="D131" s="2788" t="s">
        <v>306</v>
      </c>
      <c r="E131" s="2675" t="s">
        <v>3461</v>
      </c>
      <c r="F131" s="2675" t="s">
        <v>4175</v>
      </c>
      <c r="G131" s="2675" t="s">
        <v>3402</v>
      </c>
      <c r="H131" s="2675" t="s">
        <v>4178</v>
      </c>
      <c r="I131" s="2675" t="s">
        <v>820</v>
      </c>
      <c r="J131" s="599" t="b">
        <v>0</v>
      </c>
      <c r="K131" s="599" t="b">
        <v>0</v>
      </c>
      <c r="L131" s="2796" t="b">
        <f t="shared" si="7"/>
        <v>0</v>
      </c>
      <c r="M131" s="2796" t="b">
        <f t="shared" si="8"/>
        <v>0</v>
      </c>
      <c r="N131" s="2796" t="b">
        <f t="shared" si="13"/>
        <v>0</v>
      </c>
      <c r="O131" s="2789" t="s">
        <v>304</v>
      </c>
      <c r="P131" s="2789"/>
      <c r="Q131" s="2789"/>
      <c r="R131" s="2677" t="str">
        <f t="shared" si="9"/>
        <v/>
      </c>
      <c r="S131" s="2789"/>
      <c r="T131" s="2677" t="str">
        <f t="shared" si="10"/>
        <v/>
      </c>
      <c r="U131" s="2789"/>
      <c r="V131" s="2677" t="str">
        <f t="shared" si="11"/>
        <v/>
      </c>
      <c r="W131" s="2789"/>
      <c r="X131" s="2677" t="str">
        <f t="shared" si="12"/>
        <v/>
      </c>
    </row>
    <row r="132" spans="2:24" ht="15" hidden="1" customHeight="1" x14ac:dyDescent="0.35">
      <c r="B132" s="2675" t="s">
        <v>4153</v>
      </c>
      <c r="C132" s="2675" t="s">
        <v>3460</v>
      </c>
      <c r="D132" s="2788" t="s">
        <v>306</v>
      </c>
      <c r="E132" s="2675" t="s">
        <v>3461</v>
      </c>
      <c r="F132" s="2675" t="s">
        <v>4175</v>
      </c>
      <c r="G132" s="2675" t="s">
        <v>3402</v>
      </c>
      <c r="H132" s="2675" t="s">
        <v>4179</v>
      </c>
      <c r="I132" s="2675" t="s">
        <v>820</v>
      </c>
      <c r="J132" s="599" t="b">
        <v>0</v>
      </c>
      <c r="K132" s="599" t="b">
        <v>0</v>
      </c>
      <c r="L132" s="2796" t="b">
        <f t="shared" si="7"/>
        <v>0</v>
      </c>
      <c r="M132" s="2796" t="b">
        <f t="shared" si="8"/>
        <v>0</v>
      </c>
      <c r="N132" s="2796" t="b">
        <f t="shared" si="13"/>
        <v>0</v>
      </c>
      <c r="O132" s="2789" t="s">
        <v>304</v>
      </c>
      <c r="P132" s="2789"/>
      <c r="Q132" s="2789"/>
      <c r="R132" s="2677" t="str">
        <f t="shared" si="9"/>
        <v/>
      </c>
      <c r="S132" s="2789"/>
      <c r="T132" s="2677" t="str">
        <f t="shared" si="10"/>
        <v/>
      </c>
      <c r="U132" s="2789"/>
      <c r="V132" s="2677" t="str">
        <f t="shared" si="11"/>
        <v/>
      </c>
      <c r="W132" s="2789"/>
      <c r="X132" s="2677" t="str">
        <f t="shared" si="12"/>
        <v/>
      </c>
    </row>
    <row r="133" spans="2:24" ht="15" hidden="1" customHeight="1" x14ac:dyDescent="0.35">
      <c r="B133" s="2675" t="s">
        <v>4153</v>
      </c>
      <c r="C133" s="2675" t="s">
        <v>3460</v>
      </c>
      <c r="D133" s="2788" t="s">
        <v>4310</v>
      </c>
      <c r="E133" s="2675" t="s">
        <v>4180</v>
      </c>
      <c r="F133" s="2675" t="s">
        <v>4181</v>
      </c>
      <c r="G133" s="2675" t="s">
        <v>3402</v>
      </c>
      <c r="H133" s="2675" t="s">
        <v>4182</v>
      </c>
      <c r="I133" s="2675" t="s">
        <v>820</v>
      </c>
      <c r="J133" s="599" t="b">
        <v>0</v>
      </c>
      <c r="K133" s="599" t="b">
        <v>0</v>
      </c>
      <c r="L133" s="2796" t="b">
        <f t="shared" si="7"/>
        <v>0</v>
      </c>
      <c r="M133" s="2796" t="b">
        <f t="shared" si="8"/>
        <v>0</v>
      </c>
      <c r="N133" s="2796" t="b">
        <f t="shared" si="13"/>
        <v>0</v>
      </c>
      <c r="O133" s="2789" t="s">
        <v>304</v>
      </c>
      <c r="P133" s="2789"/>
      <c r="Q133" s="2789"/>
      <c r="R133" s="2677" t="str">
        <f t="shared" si="9"/>
        <v/>
      </c>
      <c r="S133" s="2789"/>
      <c r="T133" s="2677" t="str">
        <f t="shared" si="10"/>
        <v/>
      </c>
      <c r="U133" s="2789"/>
      <c r="V133" s="2677" t="str">
        <f t="shared" si="11"/>
        <v/>
      </c>
      <c r="W133" s="2789"/>
      <c r="X133" s="2677" t="str">
        <f t="shared" si="12"/>
        <v/>
      </c>
    </row>
    <row r="134" spans="2:24" ht="15" hidden="1" customHeight="1" x14ac:dyDescent="0.35">
      <c r="B134" s="2675" t="s">
        <v>4153</v>
      </c>
      <c r="C134" s="2675" t="s">
        <v>3460</v>
      </c>
      <c r="D134" s="2788" t="s">
        <v>785</v>
      </c>
      <c r="E134" s="2675" t="s">
        <v>4183</v>
      </c>
      <c r="F134" s="2675" t="s">
        <v>4184</v>
      </c>
      <c r="G134" s="2675" t="s">
        <v>3402</v>
      </c>
      <c r="H134" s="2675" t="s">
        <v>4185</v>
      </c>
      <c r="I134" s="2675" t="s">
        <v>820</v>
      </c>
      <c r="J134" s="599" t="b">
        <v>0</v>
      </c>
      <c r="K134" s="599" t="b">
        <v>0</v>
      </c>
      <c r="L134" s="2796" t="b">
        <f t="shared" si="7"/>
        <v>0</v>
      </c>
      <c r="M134" s="2796" t="b">
        <f t="shared" si="8"/>
        <v>0</v>
      </c>
      <c r="N134" s="2796" t="b">
        <f t="shared" si="13"/>
        <v>0</v>
      </c>
      <c r="O134" s="2789" t="s">
        <v>304</v>
      </c>
      <c r="P134" s="2789"/>
      <c r="Q134" s="2789"/>
      <c r="R134" s="2677" t="str">
        <f t="shared" si="9"/>
        <v/>
      </c>
      <c r="S134" s="2789"/>
      <c r="T134" s="2677" t="str">
        <f t="shared" si="10"/>
        <v/>
      </c>
      <c r="U134" s="2789"/>
      <c r="V134" s="2677" t="str">
        <f t="shared" si="11"/>
        <v/>
      </c>
      <c r="W134" s="2789"/>
      <c r="X134" s="2677" t="str">
        <f t="shared" si="12"/>
        <v/>
      </c>
    </row>
    <row r="135" spans="2:24" ht="15" hidden="1" customHeight="1" x14ac:dyDescent="0.35">
      <c r="B135" s="2675" t="s">
        <v>4153</v>
      </c>
      <c r="C135" s="2675" t="s">
        <v>3460</v>
      </c>
      <c r="D135" s="2788" t="s">
        <v>363</v>
      </c>
      <c r="E135" s="2675" t="s">
        <v>3515</v>
      </c>
      <c r="F135" s="2675" t="s">
        <v>4186</v>
      </c>
      <c r="G135" s="2675" t="s">
        <v>3402</v>
      </c>
      <c r="H135" s="2675" t="s">
        <v>4187</v>
      </c>
      <c r="I135" s="2675" t="s">
        <v>820</v>
      </c>
      <c r="J135" s="599" t="b">
        <v>0</v>
      </c>
      <c r="K135" s="599" t="b">
        <v>1</v>
      </c>
      <c r="L135" s="2796" t="b">
        <f t="shared" si="7"/>
        <v>0</v>
      </c>
      <c r="M135" s="2796" t="b">
        <f t="shared" si="8"/>
        <v>0</v>
      </c>
      <c r="N135" s="2796" t="b">
        <f t="shared" si="13"/>
        <v>0</v>
      </c>
      <c r="O135" s="2789" t="s">
        <v>304</v>
      </c>
      <c r="P135" s="2789"/>
      <c r="Q135" s="2789"/>
      <c r="R135" s="2677" t="str">
        <f t="shared" si="9"/>
        <v/>
      </c>
      <c r="S135" s="2789"/>
      <c r="T135" s="2677" t="str">
        <f t="shared" si="10"/>
        <v/>
      </c>
      <c r="U135" s="2789"/>
      <c r="V135" s="2677" t="str">
        <f t="shared" si="11"/>
        <v/>
      </c>
      <c r="W135" s="2789"/>
      <c r="X135" s="2677" t="str">
        <f t="shared" si="12"/>
        <v/>
      </c>
    </row>
    <row r="136" spans="2:24" ht="15" hidden="1" customHeight="1" x14ac:dyDescent="0.35">
      <c r="B136" s="2675" t="s">
        <v>4153</v>
      </c>
      <c r="C136" s="2675" t="s">
        <v>3460</v>
      </c>
      <c r="D136" s="2788" t="s">
        <v>363</v>
      </c>
      <c r="E136" s="2675" t="s">
        <v>3515</v>
      </c>
      <c r="F136" s="2675" t="s">
        <v>4186</v>
      </c>
      <c r="G136" s="2675" t="s">
        <v>3402</v>
      </c>
      <c r="H136" s="2675" t="s">
        <v>4188</v>
      </c>
      <c r="I136" s="2675" t="s">
        <v>820</v>
      </c>
      <c r="J136" s="599" t="b">
        <v>0</v>
      </c>
      <c r="K136" s="599" t="b">
        <v>1</v>
      </c>
      <c r="L136" s="2796" t="b">
        <f t="shared" ref="L136:L199" si="14">AND(G136="Errata",J136,K136)</f>
        <v>0</v>
      </c>
      <c r="M136" s="2796" t="b">
        <f t="shared" ref="M136:M199" si="15">AND(G136="Revision",J136,K136)</f>
        <v>0</v>
      </c>
      <c r="N136" s="2796" t="b">
        <f t="shared" si="13"/>
        <v>0</v>
      </c>
      <c r="O136" s="2789" t="s">
        <v>304</v>
      </c>
      <c r="P136" s="2789"/>
      <c r="Q136" s="2789"/>
      <c r="R136" s="2677" t="str">
        <f t="shared" ref="R136:R199" si="16">IF(Q136="","",HYPERLINK("#"&amp;Q136,"Go To Update"))</f>
        <v/>
      </c>
      <c r="S136" s="2789"/>
      <c r="T136" s="2677" t="str">
        <f t="shared" ref="T136:T199" si="17">IF(S136="","",HYPERLINK("#"&amp;S136,"Go To Update"))</f>
        <v/>
      </c>
      <c r="U136" s="2789"/>
      <c r="V136" s="2677" t="str">
        <f t="shared" ref="V136:V199" si="18">IF(U136="","",HYPERLINK("#"&amp;U136,"Go To Update"))</f>
        <v/>
      </c>
      <c r="W136" s="2789"/>
      <c r="X136" s="2677" t="str">
        <f t="shared" ref="X136:X199" si="19">IF(W136="","",HYPERLINK("#"&amp;W136,"Go To Update"))</f>
        <v/>
      </c>
    </row>
    <row r="137" spans="2:24" ht="15" hidden="1" customHeight="1" x14ac:dyDescent="0.35">
      <c r="B137" s="2675" t="s">
        <v>4153</v>
      </c>
      <c r="C137" s="2675" t="s">
        <v>3460</v>
      </c>
      <c r="D137" s="2788" t="s">
        <v>782</v>
      </c>
      <c r="E137" s="2675" t="s">
        <v>3498</v>
      </c>
      <c r="F137" s="2675" t="s">
        <v>4189</v>
      </c>
      <c r="G137" s="2675" t="s">
        <v>3402</v>
      </c>
      <c r="H137" s="2675" t="s">
        <v>4190</v>
      </c>
      <c r="I137" s="2675" t="s">
        <v>820</v>
      </c>
      <c r="J137" s="599" t="b">
        <v>0</v>
      </c>
      <c r="K137" s="599" t="b">
        <v>0</v>
      </c>
      <c r="L137" s="2796" t="b">
        <f t="shared" si="14"/>
        <v>0</v>
      </c>
      <c r="M137" s="2796" t="b">
        <f t="shared" si="15"/>
        <v>0</v>
      </c>
      <c r="N137" s="2796" t="b">
        <f t="shared" ref="N137:N200" si="20">OR(L137,M137)</f>
        <v>0</v>
      </c>
      <c r="O137" s="2789" t="s">
        <v>304</v>
      </c>
      <c r="P137" s="2789"/>
      <c r="Q137" s="2789"/>
      <c r="R137" s="2677" t="str">
        <f t="shared" si="16"/>
        <v/>
      </c>
      <c r="S137" s="2789"/>
      <c r="T137" s="2677" t="str">
        <f t="shared" si="17"/>
        <v/>
      </c>
      <c r="U137" s="2789"/>
      <c r="V137" s="2677" t="str">
        <f t="shared" si="18"/>
        <v/>
      </c>
      <c r="W137" s="2789"/>
      <c r="X137" s="2677" t="str">
        <f t="shared" si="19"/>
        <v/>
      </c>
    </row>
    <row r="138" spans="2:24" ht="15" hidden="1" customHeight="1" x14ac:dyDescent="0.35">
      <c r="B138" s="2675" t="s">
        <v>4153</v>
      </c>
      <c r="C138" s="2675" t="s">
        <v>3460</v>
      </c>
      <c r="D138" s="2788" t="s">
        <v>782</v>
      </c>
      <c r="E138" s="2675" t="s">
        <v>3498</v>
      </c>
      <c r="F138" s="2675" t="s">
        <v>4189</v>
      </c>
      <c r="G138" s="2675" t="s">
        <v>3402</v>
      </c>
      <c r="H138" s="2675" t="s">
        <v>4191</v>
      </c>
      <c r="I138" s="2675" t="s">
        <v>820</v>
      </c>
      <c r="J138" s="599" t="b">
        <v>0</v>
      </c>
      <c r="K138" s="599" t="b">
        <v>0</v>
      </c>
      <c r="L138" s="2796" t="b">
        <f t="shared" si="14"/>
        <v>0</v>
      </c>
      <c r="M138" s="2796" t="b">
        <f t="shared" si="15"/>
        <v>0</v>
      </c>
      <c r="N138" s="2796" t="b">
        <f t="shared" si="20"/>
        <v>0</v>
      </c>
      <c r="O138" s="2789" t="s">
        <v>304</v>
      </c>
      <c r="P138" s="2789"/>
      <c r="Q138" s="2789"/>
      <c r="R138" s="2677" t="str">
        <f t="shared" si="16"/>
        <v/>
      </c>
      <c r="S138" s="2789"/>
      <c r="T138" s="2677" t="str">
        <f t="shared" si="17"/>
        <v/>
      </c>
      <c r="U138" s="2789"/>
      <c r="V138" s="2677" t="str">
        <f t="shared" si="18"/>
        <v/>
      </c>
      <c r="W138" s="2789"/>
      <c r="X138" s="2677" t="str">
        <f t="shared" si="19"/>
        <v/>
      </c>
    </row>
    <row r="139" spans="2:24" ht="15" hidden="1" customHeight="1" x14ac:dyDescent="0.35">
      <c r="B139" s="2675" t="s">
        <v>4153</v>
      </c>
      <c r="C139" s="2675" t="s">
        <v>3460</v>
      </c>
      <c r="D139" s="2788" t="s">
        <v>1378</v>
      </c>
      <c r="E139" s="2675" t="s">
        <v>4192</v>
      </c>
      <c r="F139" s="2675" t="s">
        <v>4193</v>
      </c>
      <c r="G139" s="2675" t="s">
        <v>3402</v>
      </c>
      <c r="H139" s="2675" t="s">
        <v>4002</v>
      </c>
      <c r="I139" s="2675" t="s">
        <v>820</v>
      </c>
      <c r="J139" s="599" t="b">
        <v>0</v>
      </c>
      <c r="K139" s="599" t="b">
        <v>1</v>
      </c>
      <c r="L139" s="2796" t="b">
        <f t="shared" si="14"/>
        <v>0</v>
      </c>
      <c r="M139" s="2796" t="b">
        <f t="shared" si="15"/>
        <v>0</v>
      </c>
      <c r="N139" s="2796" t="b">
        <f t="shared" si="20"/>
        <v>0</v>
      </c>
      <c r="O139" s="2789" t="s">
        <v>304</v>
      </c>
      <c r="P139" s="2789"/>
      <c r="Q139" s="2789"/>
      <c r="R139" s="2677" t="str">
        <f t="shared" si="16"/>
        <v/>
      </c>
      <c r="S139" s="2789"/>
      <c r="T139" s="2677" t="str">
        <f t="shared" si="17"/>
        <v/>
      </c>
      <c r="U139" s="2789"/>
      <c r="V139" s="2677" t="str">
        <f t="shared" si="18"/>
        <v/>
      </c>
      <c r="W139" s="2789"/>
      <c r="X139" s="2677" t="str">
        <f t="shared" si="19"/>
        <v/>
      </c>
    </row>
    <row r="140" spans="2:24" ht="15" hidden="1" customHeight="1" x14ac:dyDescent="0.35">
      <c r="B140" s="2675" t="s">
        <v>4153</v>
      </c>
      <c r="C140" s="2675" t="s">
        <v>3460</v>
      </c>
      <c r="D140" s="2788" t="s">
        <v>767</v>
      </c>
      <c r="E140" s="2675" t="s">
        <v>3500</v>
      </c>
      <c r="F140" s="2675" t="s">
        <v>4194</v>
      </c>
      <c r="G140" s="2675" t="s">
        <v>3402</v>
      </c>
      <c r="H140" s="2675" t="s">
        <v>4195</v>
      </c>
      <c r="I140" s="2675" t="s">
        <v>820</v>
      </c>
      <c r="J140" s="599" t="b">
        <v>0</v>
      </c>
      <c r="K140" s="599" t="b">
        <v>1</v>
      </c>
      <c r="L140" s="2796" t="b">
        <f t="shared" si="14"/>
        <v>0</v>
      </c>
      <c r="M140" s="2796" t="b">
        <f t="shared" si="15"/>
        <v>0</v>
      </c>
      <c r="N140" s="2796" t="b">
        <f t="shared" si="20"/>
        <v>0</v>
      </c>
      <c r="O140" s="2789" t="s">
        <v>304</v>
      </c>
      <c r="P140" s="2789"/>
      <c r="Q140" s="2789"/>
      <c r="R140" s="2677" t="str">
        <f t="shared" si="16"/>
        <v/>
      </c>
      <c r="S140" s="2789"/>
      <c r="T140" s="2677" t="str">
        <f t="shared" si="17"/>
        <v/>
      </c>
      <c r="U140" s="2789"/>
      <c r="V140" s="2677" t="str">
        <f t="shared" si="18"/>
        <v/>
      </c>
      <c r="W140" s="2789"/>
      <c r="X140" s="2677" t="str">
        <f t="shared" si="19"/>
        <v/>
      </c>
    </row>
    <row r="141" spans="2:24" ht="15" customHeight="1" x14ac:dyDescent="0.35">
      <c r="B141" s="2675" t="s">
        <v>4153</v>
      </c>
      <c r="C141" s="2675" t="s">
        <v>3460</v>
      </c>
      <c r="D141" s="2788" t="s">
        <v>767</v>
      </c>
      <c r="E141" s="2675" t="s">
        <v>3500</v>
      </c>
      <c r="F141" s="2675" t="s">
        <v>4194</v>
      </c>
      <c r="G141" s="2675" t="s">
        <v>3402</v>
      </c>
      <c r="H141" s="2675" t="s">
        <v>4196</v>
      </c>
      <c r="I141" s="2675" t="s">
        <v>820</v>
      </c>
      <c r="J141" s="599" t="b">
        <v>1</v>
      </c>
      <c r="K141" s="599" t="b">
        <v>1</v>
      </c>
      <c r="L141" s="2796" t="b">
        <f t="shared" si="14"/>
        <v>0</v>
      </c>
      <c r="M141" s="2796" t="b">
        <f t="shared" si="15"/>
        <v>1</v>
      </c>
      <c r="N141" s="2796" t="b">
        <f t="shared" si="20"/>
        <v>1</v>
      </c>
      <c r="O141" s="2789" t="b">
        <v>1</v>
      </c>
      <c r="P141" s="2789" t="s">
        <v>4385</v>
      </c>
      <c r="Q141" s="2789" t="str" cm="1">
        <f t="array" aca="1" ref="Q141" ca="1">CELL("address",'RES HVAC'!C152)</f>
        <v>'[AIC Adjustable Savings Goals_PY 2021 Final_2021-01-19.xlsx]RES HVAC'!$C$152</v>
      </c>
      <c r="R141" s="2677" t="str">
        <f t="shared" ca="1" si="16"/>
        <v>Go To Update</v>
      </c>
      <c r="S141" s="2789" t="str" cm="1">
        <f t="array" aca="1" ref="S141" ca="1">CELL("address",'RES HVAC'!N157)</f>
        <v>'[AIC Adjustable Savings Goals_PY 2021 Final_2021-01-19.xlsx]RES HVAC'!$N$157</v>
      </c>
      <c r="T141" s="2677" t="str">
        <f t="shared" ca="1" si="17"/>
        <v>Go To Update</v>
      </c>
      <c r="U141" s="2789" t="str" cm="1">
        <f t="array" aca="1" ref="U141" ca="1">CELL("address",'RES HVAC'!N158)</f>
        <v>'[AIC Adjustable Savings Goals_PY 2021 Final_2021-01-19.xlsx]RES HVAC'!$N$158</v>
      </c>
      <c r="V141" s="2677" t="str">
        <f t="shared" ca="1" si="18"/>
        <v>Go To Update</v>
      </c>
      <c r="W141" s="2789"/>
      <c r="X141" s="2677" t="str">
        <f t="shared" si="19"/>
        <v/>
      </c>
    </row>
    <row r="142" spans="2:24" ht="15" hidden="1" customHeight="1" x14ac:dyDescent="0.35">
      <c r="B142" s="2675" t="s">
        <v>4153</v>
      </c>
      <c r="C142" s="2675" t="s">
        <v>3460</v>
      </c>
      <c r="D142" s="2788" t="s">
        <v>3502</v>
      </c>
      <c r="E142" s="2675" t="s">
        <v>3501</v>
      </c>
      <c r="F142" s="2675" t="s">
        <v>4197</v>
      </c>
      <c r="G142" s="2675" t="s">
        <v>3402</v>
      </c>
      <c r="H142" s="2675" t="s">
        <v>4032</v>
      </c>
      <c r="I142" s="2675" t="s">
        <v>3408</v>
      </c>
      <c r="J142" s="599" t="b">
        <v>0</v>
      </c>
      <c r="K142" s="599" t="b">
        <v>0</v>
      </c>
      <c r="L142" s="2796" t="b">
        <f t="shared" si="14"/>
        <v>0</v>
      </c>
      <c r="M142" s="2796" t="b">
        <f t="shared" si="15"/>
        <v>0</v>
      </c>
      <c r="N142" s="2796" t="b">
        <f t="shared" si="20"/>
        <v>0</v>
      </c>
      <c r="O142" s="2789" t="s">
        <v>304</v>
      </c>
      <c r="P142" s="2789"/>
      <c r="Q142" s="2789"/>
      <c r="R142" s="2677" t="str">
        <f t="shared" si="16"/>
        <v/>
      </c>
      <c r="S142" s="2789"/>
      <c r="T142" s="2677" t="str">
        <f t="shared" si="17"/>
        <v/>
      </c>
      <c r="U142" s="2789"/>
      <c r="V142" s="2677" t="str">
        <f t="shared" si="18"/>
        <v/>
      </c>
      <c r="W142" s="2789"/>
      <c r="X142" s="2677" t="str">
        <f t="shared" si="19"/>
        <v/>
      </c>
    </row>
    <row r="143" spans="2:24" ht="15" hidden="1" customHeight="1" x14ac:dyDescent="0.35">
      <c r="B143" s="2675" t="s">
        <v>4153</v>
      </c>
      <c r="C143" s="2675" t="s">
        <v>3460</v>
      </c>
      <c r="D143" s="2788" t="s">
        <v>3502</v>
      </c>
      <c r="E143" s="2675" t="s">
        <v>3501</v>
      </c>
      <c r="F143" s="2675" t="s">
        <v>4197</v>
      </c>
      <c r="G143" s="2675" t="s">
        <v>3402</v>
      </c>
      <c r="H143" s="2675" t="s">
        <v>4044</v>
      </c>
      <c r="I143" s="2675" t="s">
        <v>3408</v>
      </c>
      <c r="J143" s="599" t="b">
        <v>0</v>
      </c>
      <c r="K143" s="599" t="b">
        <v>0</v>
      </c>
      <c r="L143" s="2796" t="b">
        <f t="shared" si="14"/>
        <v>0</v>
      </c>
      <c r="M143" s="2796" t="b">
        <f t="shared" si="15"/>
        <v>0</v>
      </c>
      <c r="N143" s="2796" t="b">
        <f t="shared" si="20"/>
        <v>0</v>
      </c>
      <c r="O143" s="2789" t="s">
        <v>304</v>
      </c>
      <c r="P143" s="2789"/>
      <c r="Q143" s="2789"/>
      <c r="R143" s="2677" t="str">
        <f t="shared" si="16"/>
        <v/>
      </c>
      <c r="S143" s="2789"/>
      <c r="T143" s="2677" t="str">
        <f t="shared" si="17"/>
        <v/>
      </c>
      <c r="U143" s="2789"/>
      <c r="V143" s="2677" t="str">
        <f t="shared" si="18"/>
        <v/>
      </c>
      <c r="W143" s="2789"/>
      <c r="X143" s="2677" t="str">
        <f t="shared" si="19"/>
        <v/>
      </c>
    </row>
    <row r="144" spans="2:24" ht="15" hidden="1" customHeight="1" x14ac:dyDescent="0.35">
      <c r="B144" s="2675" t="s">
        <v>4153</v>
      </c>
      <c r="C144" s="2675" t="s">
        <v>3460</v>
      </c>
      <c r="D144" s="2788" t="s">
        <v>3502</v>
      </c>
      <c r="E144" s="2675" t="s">
        <v>3501</v>
      </c>
      <c r="F144" s="2675" t="s">
        <v>4197</v>
      </c>
      <c r="G144" s="2675" t="s">
        <v>3402</v>
      </c>
      <c r="H144" s="2675" t="s">
        <v>4177</v>
      </c>
      <c r="I144" s="2675" t="s">
        <v>3408</v>
      </c>
      <c r="J144" s="599" t="b">
        <v>0</v>
      </c>
      <c r="K144" s="599" t="b">
        <v>0</v>
      </c>
      <c r="L144" s="2796" t="b">
        <f t="shared" si="14"/>
        <v>0</v>
      </c>
      <c r="M144" s="2796" t="b">
        <f t="shared" si="15"/>
        <v>0</v>
      </c>
      <c r="N144" s="2796" t="b">
        <f t="shared" si="20"/>
        <v>0</v>
      </c>
      <c r="O144" s="2789" t="s">
        <v>304</v>
      </c>
      <c r="P144" s="2789"/>
      <c r="Q144" s="2789"/>
      <c r="R144" s="2677" t="str">
        <f t="shared" si="16"/>
        <v/>
      </c>
      <c r="S144" s="2789"/>
      <c r="T144" s="2677" t="str">
        <f t="shared" si="17"/>
        <v/>
      </c>
      <c r="U144" s="2789"/>
      <c r="V144" s="2677" t="str">
        <f t="shared" si="18"/>
        <v/>
      </c>
      <c r="W144" s="2789"/>
      <c r="X144" s="2677" t="str">
        <f t="shared" si="19"/>
        <v/>
      </c>
    </row>
    <row r="145" spans="2:24" ht="15" hidden="1" customHeight="1" x14ac:dyDescent="0.35">
      <c r="B145" s="2675" t="s">
        <v>4153</v>
      </c>
      <c r="C145" s="2675" t="s">
        <v>3460</v>
      </c>
      <c r="D145" s="2788" t="s">
        <v>3502</v>
      </c>
      <c r="E145" s="2675" t="s">
        <v>3501</v>
      </c>
      <c r="F145" s="2675" t="s">
        <v>4197</v>
      </c>
      <c r="G145" s="2675" t="s">
        <v>3402</v>
      </c>
      <c r="H145" s="2675" t="s">
        <v>4041</v>
      </c>
      <c r="I145" s="2675" t="s">
        <v>3408</v>
      </c>
      <c r="J145" s="599" t="b">
        <v>1</v>
      </c>
      <c r="K145" s="599" t="b">
        <v>0</v>
      </c>
      <c r="L145" s="2796" t="b">
        <f t="shared" si="14"/>
        <v>0</v>
      </c>
      <c r="M145" s="2796" t="b">
        <f t="shared" si="15"/>
        <v>0</v>
      </c>
      <c r="N145" s="2796" t="b">
        <f t="shared" si="20"/>
        <v>0</v>
      </c>
      <c r="O145" s="2789" t="s">
        <v>304</v>
      </c>
      <c r="P145" s="2789"/>
      <c r="Q145" s="2789"/>
      <c r="R145" s="2677" t="str">
        <f t="shared" si="16"/>
        <v/>
      </c>
      <c r="S145" s="2789"/>
      <c r="T145" s="2677" t="str">
        <f t="shared" si="17"/>
        <v/>
      </c>
      <c r="U145" s="2789"/>
      <c r="V145" s="2677" t="str">
        <f t="shared" si="18"/>
        <v/>
      </c>
      <c r="W145" s="2789"/>
      <c r="X145" s="2677" t="str">
        <f t="shared" si="19"/>
        <v/>
      </c>
    </row>
    <row r="146" spans="2:24" ht="15" hidden="1" customHeight="1" x14ac:dyDescent="0.35">
      <c r="B146" s="2675" t="s">
        <v>4153</v>
      </c>
      <c r="C146" s="2675" t="s">
        <v>3460</v>
      </c>
      <c r="D146" s="2788" t="s">
        <v>3502</v>
      </c>
      <c r="E146" s="2675" t="s">
        <v>3501</v>
      </c>
      <c r="F146" s="2675" t="s">
        <v>4197</v>
      </c>
      <c r="G146" s="2675" t="s">
        <v>3402</v>
      </c>
      <c r="H146" s="2675" t="s">
        <v>4042</v>
      </c>
      <c r="I146" s="2675" t="s">
        <v>3408</v>
      </c>
      <c r="J146" s="599" t="b">
        <v>1</v>
      </c>
      <c r="K146" s="599" t="b">
        <v>0</v>
      </c>
      <c r="L146" s="2796" t="b">
        <f t="shared" si="14"/>
        <v>0</v>
      </c>
      <c r="M146" s="2796" t="b">
        <f t="shared" si="15"/>
        <v>0</v>
      </c>
      <c r="N146" s="2796" t="b">
        <f t="shared" si="20"/>
        <v>0</v>
      </c>
      <c r="O146" s="2789" t="s">
        <v>304</v>
      </c>
      <c r="P146" s="2789"/>
      <c r="Q146" s="2789"/>
      <c r="R146" s="2677" t="str">
        <f t="shared" si="16"/>
        <v/>
      </c>
      <c r="S146" s="2789"/>
      <c r="T146" s="2677" t="str">
        <f t="shared" si="17"/>
        <v/>
      </c>
      <c r="U146" s="2789"/>
      <c r="V146" s="2677" t="str">
        <f t="shared" si="18"/>
        <v/>
      </c>
      <c r="W146" s="2789"/>
      <c r="X146" s="2677" t="str">
        <f t="shared" si="19"/>
        <v/>
      </c>
    </row>
    <row r="147" spans="2:24" ht="15" hidden="1" customHeight="1" x14ac:dyDescent="0.35">
      <c r="B147" s="2675" t="s">
        <v>4153</v>
      </c>
      <c r="C147" s="2675" t="s">
        <v>3460</v>
      </c>
      <c r="D147" s="2788" t="s">
        <v>3502</v>
      </c>
      <c r="E147" s="2675" t="s">
        <v>3501</v>
      </c>
      <c r="F147" s="2675" t="s">
        <v>4197</v>
      </c>
      <c r="G147" s="2675" t="s">
        <v>3402</v>
      </c>
      <c r="H147" s="2675" t="s">
        <v>4043</v>
      </c>
      <c r="I147" s="2675" t="s">
        <v>3408</v>
      </c>
      <c r="J147" s="599" t="b">
        <v>1</v>
      </c>
      <c r="K147" s="599" t="b">
        <v>0</v>
      </c>
      <c r="L147" s="2796" t="b">
        <f t="shared" si="14"/>
        <v>0</v>
      </c>
      <c r="M147" s="2796" t="b">
        <f t="shared" si="15"/>
        <v>0</v>
      </c>
      <c r="N147" s="2796" t="b">
        <f t="shared" si="20"/>
        <v>0</v>
      </c>
      <c r="O147" s="2789" t="s">
        <v>304</v>
      </c>
      <c r="P147" s="2789"/>
      <c r="Q147" s="2789"/>
      <c r="R147" s="2677" t="str">
        <f t="shared" si="16"/>
        <v/>
      </c>
      <c r="S147" s="2789"/>
      <c r="T147" s="2677" t="str">
        <f t="shared" si="17"/>
        <v/>
      </c>
      <c r="U147" s="2789"/>
      <c r="V147" s="2677" t="str">
        <f t="shared" si="18"/>
        <v/>
      </c>
      <c r="W147" s="2789"/>
      <c r="X147" s="2677" t="str">
        <f t="shared" si="19"/>
        <v/>
      </c>
    </row>
    <row r="148" spans="2:24" ht="15" hidden="1" customHeight="1" x14ac:dyDescent="0.35">
      <c r="B148" s="2675" t="s">
        <v>4153</v>
      </c>
      <c r="C148" s="2675" t="s">
        <v>3460</v>
      </c>
      <c r="D148" s="2788" t="s">
        <v>3502</v>
      </c>
      <c r="E148" s="2675" t="s">
        <v>3501</v>
      </c>
      <c r="F148" s="2675" t="s">
        <v>4197</v>
      </c>
      <c r="G148" s="2675" t="s">
        <v>3402</v>
      </c>
      <c r="H148" s="2675" t="s">
        <v>4178</v>
      </c>
      <c r="I148" s="2675" t="s">
        <v>3408</v>
      </c>
      <c r="J148" s="599" t="b">
        <v>0</v>
      </c>
      <c r="K148" s="599" t="b">
        <v>0</v>
      </c>
      <c r="L148" s="2796" t="b">
        <f t="shared" si="14"/>
        <v>0</v>
      </c>
      <c r="M148" s="2796" t="b">
        <f t="shared" si="15"/>
        <v>0</v>
      </c>
      <c r="N148" s="2796" t="b">
        <f t="shared" si="20"/>
        <v>0</v>
      </c>
      <c r="O148" s="2789" t="s">
        <v>304</v>
      </c>
      <c r="P148" s="2789"/>
      <c r="Q148" s="2789"/>
      <c r="R148" s="2677" t="str">
        <f t="shared" si="16"/>
        <v/>
      </c>
      <c r="S148" s="2789"/>
      <c r="T148" s="2677" t="str">
        <f t="shared" si="17"/>
        <v/>
      </c>
      <c r="U148" s="2789"/>
      <c r="V148" s="2677" t="str">
        <f t="shared" si="18"/>
        <v/>
      </c>
      <c r="W148" s="2789"/>
      <c r="X148" s="2677" t="str">
        <f t="shared" si="19"/>
        <v/>
      </c>
    </row>
    <row r="149" spans="2:24" ht="15" hidden="1" customHeight="1" x14ac:dyDescent="0.35">
      <c r="B149" s="2675" t="s">
        <v>4153</v>
      </c>
      <c r="C149" s="2675" t="s">
        <v>3460</v>
      </c>
      <c r="D149" s="2788" t="s">
        <v>3502</v>
      </c>
      <c r="E149" s="2675" t="s">
        <v>3501</v>
      </c>
      <c r="F149" s="2675" t="s">
        <v>4197</v>
      </c>
      <c r="G149" s="2675" t="s">
        <v>3402</v>
      </c>
      <c r="H149" s="2675" t="s">
        <v>4198</v>
      </c>
      <c r="I149" s="2675" t="s">
        <v>3408</v>
      </c>
      <c r="J149" s="599" t="b">
        <v>0</v>
      </c>
      <c r="K149" s="599" t="b">
        <v>0</v>
      </c>
      <c r="L149" s="2796" t="b">
        <f t="shared" si="14"/>
        <v>0</v>
      </c>
      <c r="M149" s="2796" t="b">
        <f t="shared" si="15"/>
        <v>0</v>
      </c>
      <c r="N149" s="2796" t="b">
        <f t="shared" si="20"/>
        <v>0</v>
      </c>
      <c r="O149" s="2789" t="s">
        <v>304</v>
      </c>
      <c r="P149" s="2789"/>
      <c r="Q149" s="2789"/>
      <c r="R149" s="2677" t="str">
        <f t="shared" si="16"/>
        <v/>
      </c>
      <c r="S149" s="2789"/>
      <c r="T149" s="2677" t="str">
        <f t="shared" si="17"/>
        <v/>
      </c>
      <c r="U149" s="2789"/>
      <c r="V149" s="2677" t="str">
        <f t="shared" si="18"/>
        <v/>
      </c>
      <c r="W149" s="2789"/>
      <c r="X149" s="2677" t="str">
        <f t="shared" si="19"/>
        <v/>
      </c>
    </row>
    <row r="150" spans="2:24" ht="15" hidden="1" customHeight="1" x14ac:dyDescent="0.35">
      <c r="B150" s="2675" t="s">
        <v>4153</v>
      </c>
      <c r="C150" s="2675" t="s">
        <v>3460</v>
      </c>
      <c r="D150" s="2788" t="s">
        <v>3502</v>
      </c>
      <c r="E150" s="2675" t="s">
        <v>3501</v>
      </c>
      <c r="F150" s="2675" t="s">
        <v>4197</v>
      </c>
      <c r="G150" s="2675" t="s">
        <v>3402</v>
      </c>
      <c r="H150" s="2675" t="s">
        <v>4179</v>
      </c>
      <c r="I150" s="2675" t="s">
        <v>3408</v>
      </c>
      <c r="J150" s="599" t="b">
        <v>1</v>
      </c>
      <c r="K150" s="599" t="b">
        <v>0</v>
      </c>
      <c r="L150" s="2796" t="b">
        <f t="shared" si="14"/>
        <v>0</v>
      </c>
      <c r="M150" s="2796" t="b">
        <f t="shared" si="15"/>
        <v>0</v>
      </c>
      <c r="N150" s="2796" t="b">
        <f t="shared" si="20"/>
        <v>0</v>
      </c>
      <c r="O150" s="2789" t="s">
        <v>304</v>
      </c>
      <c r="P150" s="2789"/>
      <c r="Q150" s="2789"/>
      <c r="R150" s="2677" t="str">
        <f t="shared" si="16"/>
        <v/>
      </c>
      <c r="S150" s="2789"/>
      <c r="T150" s="2677" t="str">
        <f t="shared" si="17"/>
        <v/>
      </c>
      <c r="U150" s="2789"/>
      <c r="V150" s="2677" t="str">
        <f t="shared" si="18"/>
        <v/>
      </c>
      <c r="W150" s="2789"/>
      <c r="X150" s="2677" t="str">
        <f t="shared" si="19"/>
        <v/>
      </c>
    </row>
    <row r="151" spans="2:24" ht="15" hidden="1" customHeight="1" x14ac:dyDescent="0.35">
      <c r="B151" s="2675" t="s">
        <v>4153</v>
      </c>
      <c r="C151" s="2675" t="s">
        <v>3460</v>
      </c>
      <c r="D151" s="2788" t="s">
        <v>3503</v>
      </c>
      <c r="E151" s="2675" t="s">
        <v>4199</v>
      </c>
      <c r="F151" s="2675" t="s">
        <v>4200</v>
      </c>
      <c r="G151" s="2675" t="s">
        <v>3402</v>
      </c>
      <c r="H151" s="2675" t="s">
        <v>4201</v>
      </c>
      <c r="I151" s="2675" t="s">
        <v>820</v>
      </c>
      <c r="J151" s="599" t="b">
        <v>0</v>
      </c>
      <c r="K151" s="599" t="b">
        <v>0</v>
      </c>
      <c r="L151" s="2796" t="b">
        <f t="shared" si="14"/>
        <v>0</v>
      </c>
      <c r="M151" s="2796" t="b">
        <f t="shared" si="15"/>
        <v>0</v>
      </c>
      <c r="N151" s="2796" t="b">
        <f t="shared" si="20"/>
        <v>0</v>
      </c>
      <c r="O151" s="2789" t="s">
        <v>304</v>
      </c>
      <c r="P151" s="2789"/>
      <c r="Q151" s="2789"/>
      <c r="R151" s="2677" t="str">
        <f t="shared" si="16"/>
        <v/>
      </c>
      <c r="S151" s="2789"/>
      <c r="T151" s="2677" t="str">
        <f t="shared" si="17"/>
        <v/>
      </c>
      <c r="U151" s="2789"/>
      <c r="V151" s="2677" t="str">
        <f t="shared" si="18"/>
        <v/>
      </c>
      <c r="W151" s="2789"/>
      <c r="X151" s="2677" t="str">
        <f t="shared" si="19"/>
        <v/>
      </c>
    </row>
    <row r="152" spans="2:24" ht="15" hidden="1" customHeight="1" x14ac:dyDescent="0.35">
      <c r="B152" s="2675" t="s">
        <v>4153</v>
      </c>
      <c r="C152" s="2675" t="s">
        <v>3460</v>
      </c>
      <c r="D152" s="2788" t="s">
        <v>563</v>
      </c>
      <c r="E152" s="2675" t="s">
        <v>3504</v>
      </c>
      <c r="F152" s="2675" t="s">
        <v>4202</v>
      </c>
      <c r="G152" s="2675" t="s">
        <v>3402</v>
      </c>
      <c r="H152" s="2675" t="s">
        <v>4203</v>
      </c>
      <c r="I152" s="2675" t="s">
        <v>820</v>
      </c>
      <c r="J152" s="599" t="b">
        <v>0</v>
      </c>
      <c r="K152" s="599" t="b">
        <v>1</v>
      </c>
      <c r="L152" s="2796" t="b">
        <f t="shared" si="14"/>
        <v>0</v>
      </c>
      <c r="M152" s="2796" t="b">
        <f t="shared" si="15"/>
        <v>0</v>
      </c>
      <c r="N152" s="2796" t="b">
        <f t="shared" si="20"/>
        <v>0</v>
      </c>
      <c r="O152" s="2789" t="s">
        <v>304</v>
      </c>
      <c r="P152" s="2789"/>
      <c r="Q152" s="2789"/>
      <c r="R152" s="2677" t="str">
        <f t="shared" si="16"/>
        <v/>
      </c>
      <c r="S152" s="2789"/>
      <c r="T152" s="2677" t="str">
        <f t="shared" si="17"/>
        <v/>
      </c>
      <c r="U152" s="2789"/>
      <c r="V152" s="2677" t="str">
        <f t="shared" si="18"/>
        <v/>
      </c>
      <c r="W152" s="2789"/>
      <c r="X152" s="2677" t="str">
        <f t="shared" si="19"/>
        <v/>
      </c>
    </row>
    <row r="153" spans="2:24" ht="15" hidden="1" customHeight="1" x14ac:dyDescent="0.35">
      <c r="B153" s="2675" t="s">
        <v>4153</v>
      </c>
      <c r="C153" s="2675" t="s">
        <v>3460</v>
      </c>
      <c r="D153" s="2788" t="s">
        <v>1917</v>
      </c>
      <c r="E153" s="2675" t="s">
        <v>4204</v>
      </c>
      <c r="F153" s="2675" t="s">
        <v>4205</v>
      </c>
      <c r="G153" s="2675" t="s">
        <v>3402</v>
      </c>
      <c r="H153" s="2675" t="s">
        <v>4032</v>
      </c>
      <c r="I153" s="2675" t="s">
        <v>3408</v>
      </c>
      <c r="J153" s="599" t="b">
        <v>0</v>
      </c>
      <c r="K153" s="599" t="b">
        <v>0</v>
      </c>
      <c r="L153" s="2796" t="b">
        <f t="shared" si="14"/>
        <v>0</v>
      </c>
      <c r="M153" s="2796" t="b">
        <f t="shared" si="15"/>
        <v>0</v>
      </c>
      <c r="N153" s="2796" t="b">
        <f t="shared" si="20"/>
        <v>0</v>
      </c>
      <c r="O153" s="2789" t="s">
        <v>304</v>
      </c>
      <c r="P153" s="2789"/>
      <c r="Q153" s="2789"/>
      <c r="R153" s="2677" t="str">
        <f t="shared" si="16"/>
        <v/>
      </c>
      <c r="S153" s="2789"/>
      <c r="T153" s="2677" t="str">
        <f t="shared" si="17"/>
        <v/>
      </c>
      <c r="U153" s="2789"/>
      <c r="V153" s="2677" t="str">
        <f t="shared" si="18"/>
        <v/>
      </c>
      <c r="W153" s="2789"/>
      <c r="X153" s="2677" t="str">
        <f t="shared" si="19"/>
        <v/>
      </c>
    </row>
    <row r="154" spans="2:24" ht="15" hidden="1" customHeight="1" x14ac:dyDescent="0.35">
      <c r="B154" s="2675" t="s">
        <v>4153</v>
      </c>
      <c r="C154" s="2675" t="s">
        <v>3460</v>
      </c>
      <c r="D154" s="2788" t="s">
        <v>1917</v>
      </c>
      <c r="E154" s="2675" t="s">
        <v>4204</v>
      </c>
      <c r="F154" s="2675" t="s">
        <v>4205</v>
      </c>
      <c r="G154" s="2675" t="s">
        <v>3402</v>
      </c>
      <c r="H154" s="2675" t="s">
        <v>4044</v>
      </c>
      <c r="I154" s="2675" t="s">
        <v>3408</v>
      </c>
      <c r="J154" s="599" t="b">
        <v>0</v>
      </c>
      <c r="K154" s="599" t="b">
        <v>0</v>
      </c>
      <c r="L154" s="2796" t="b">
        <f t="shared" si="14"/>
        <v>0</v>
      </c>
      <c r="M154" s="2796" t="b">
        <f t="shared" si="15"/>
        <v>0</v>
      </c>
      <c r="N154" s="2796" t="b">
        <f t="shared" si="20"/>
        <v>0</v>
      </c>
      <c r="O154" s="2789" t="s">
        <v>304</v>
      </c>
      <c r="P154" s="2789"/>
      <c r="Q154" s="2789"/>
      <c r="R154" s="2677" t="str">
        <f t="shared" si="16"/>
        <v/>
      </c>
      <c r="S154" s="2789"/>
      <c r="T154" s="2677" t="str">
        <f t="shared" si="17"/>
        <v/>
      </c>
      <c r="U154" s="2789"/>
      <c r="V154" s="2677" t="str">
        <f t="shared" si="18"/>
        <v/>
      </c>
      <c r="W154" s="2789"/>
      <c r="X154" s="2677" t="str">
        <f t="shared" si="19"/>
        <v/>
      </c>
    </row>
    <row r="155" spans="2:24" ht="15" hidden="1" customHeight="1" x14ac:dyDescent="0.35">
      <c r="B155" s="2675" t="s">
        <v>4153</v>
      </c>
      <c r="C155" s="2675" t="s">
        <v>3460</v>
      </c>
      <c r="D155" s="2788" t="s">
        <v>1917</v>
      </c>
      <c r="E155" s="2675" t="s">
        <v>4204</v>
      </c>
      <c r="F155" s="2675" t="s">
        <v>4205</v>
      </c>
      <c r="G155" s="2675" t="s">
        <v>3402</v>
      </c>
      <c r="H155" s="2675" t="s">
        <v>4177</v>
      </c>
      <c r="I155" s="2675" t="s">
        <v>3408</v>
      </c>
      <c r="J155" s="599" t="b">
        <v>0</v>
      </c>
      <c r="K155" s="599" t="b">
        <v>0</v>
      </c>
      <c r="L155" s="2796" t="b">
        <f t="shared" si="14"/>
        <v>0</v>
      </c>
      <c r="M155" s="2796" t="b">
        <f t="shared" si="15"/>
        <v>0</v>
      </c>
      <c r="N155" s="2796" t="b">
        <f t="shared" si="20"/>
        <v>0</v>
      </c>
      <c r="O155" s="2789" t="s">
        <v>304</v>
      </c>
      <c r="P155" s="2789"/>
      <c r="Q155" s="2789"/>
      <c r="R155" s="2677" t="str">
        <f t="shared" si="16"/>
        <v/>
      </c>
      <c r="S155" s="2789"/>
      <c r="T155" s="2677" t="str">
        <f t="shared" si="17"/>
        <v/>
      </c>
      <c r="U155" s="2789"/>
      <c r="V155" s="2677" t="str">
        <f t="shared" si="18"/>
        <v/>
      </c>
      <c r="W155" s="2789"/>
      <c r="X155" s="2677" t="str">
        <f t="shared" si="19"/>
        <v/>
      </c>
    </row>
    <row r="156" spans="2:24" ht="15" hidden="1" customHeight="1" x14ac:dyDescent="0.35">
      <c r="B156" s="2675" t="s">
        <v>4153</v>
      </c>
      <c r="C156" s="2675" t="s">
        <v>3460</v>
      </c>
      <c r="D156" s="2788" t="s">
        <v>1917</v>
      </c>
      <c r="E156" s="2675" t="s">
        <v>4204</v>
      </c>
      <c r="F156" s="2675" t="s">
        <v>4205</v>
      </c>
      <c r="G156" s="2675" t="s">
        <v>3402</v>
      </c>
      <c r="H156" s="2675" t="s">
        <v>4041</v>
      </c>
      <c r="I156" s="2675" t="s">
        <v>3408</v>
      </c>
      <c r="J156" s="599" t="b">
        <v>1</v>
      </c>
      <c r="K156" s="599" t="b">
        <v>0</v>
      </c>
      <c r="L156" s="2796" t="b">
        <f t="shared" si="14"/>
        <v>0</v>
      </c>
      <c r="M156" s="2796" t="b">
        <f t="shared" si="15"/>
        <v>0</v>
      </c>
      <c r="N156" s="2796" t="b">
        <f t="shared" si="20"/>
        <v>0</v>
      </c>
      <c r="O156" s="2789" t="s">
        <v>304</v>
      </c>
      <c r="P156" s="2789"/>
      <c r="Q156" s="2789"/>
      <c r="R156" s="2677" t="str">
        <f t="shared" si="16"/>
        <v/>
      </c>
      <c r="S156" s="2789"/>
      <c r="T156" s="2677" t="str">
        <f t="shared" si="17"/>
        <v/>
      </c>
      <c r="U156" s="2789"/>
      <c r="V156" s="2677" t="str">
        <f t="shared" si="18"/>
        <v/>
      </c>
      <c r="W156" s="2789"/>
      <c r="X156" s="2677" t="str">
        <f t="shared" si="19"/>
        <v/>
      </c>
    </row>
    <row r="157" spans="2:24" ht="15" hidden="1" customHeight="1" x14ac:dyDescent="0.35">
      <c r="B157" s="2675" t="s">
        <v>4153</v>
      </c>
      <c r="C157" s="2675" t="s">
        <v>3460</v>
      </c>
      <c r="D157" s="2788" t="s">
        <v>1917</v>
      </c>
      <c r="E157" s="2675" t="s">
        <v>4204</v>
      </c>
      <c r="F157" s="2675" t="s">
        <v>4205</v>
      </c>
      <c r="G157" s="2675" t="s">
        <v>3402</v>
      </c>
      <c r="H157" s="2675" t="s">
        <v>4042</v>
      </c>
      <c r="I157" s="2675" t="s">
        <v>3408</v>
      </c>
      <c r="J157" s="599" t="b">
        <v>1</v>
      </c>
      <c r="K157" s="599" t="b">
        <v>0</v>
      </c>
      <c r="L157" s="2796" t="b">
        <f t="shared" si="14"/>
        <v>0</v>
      </c>
      <c r="M157" s="2796" t="b">
        <f t="shared" si="15"/>
        <v>0</v>
      </c>
      <c r="N157" s="2796" t="b">
        <f t="shared" si="20"/>
        <v>0</v>
      </c>
      <c r="O157" s="2789" t="s">
        <v>304</v>
      </c>
      <c r="P157" s="2789"/>
      <c r="Q157" s="2789"/>
      <c r="R157" s="2677" t="str">
        <f t="shared" si="16"/>
        <v/>
      </c>
      <c r="S157" s="2789"/>
      <c r="T157" s="2677" t="str">
        <f t="shared" si="17"/>
        <v/>
      </c>
      <c r="U157" s="2789"/>
      <c r="V157" s="2677" t="str">
        <f t="shared" si="18"/>
        <v/>
      </c>
      <c r="W157" s="2789"/>
      <c r="X157" s="2677" t="str">
        <f t="shared" si="19"/>
        <v/>
      </c>
    </row>
    <row r="158" spans="2:24" ht="15" hidden="1" customHeight="1" x14ac:dyDescent="0.35">
      <c r="B158" s="2675" t="s">
        <v>4153</v>
      </c>
      <c r="C158" s="2675" t="s">
        <v>3460</v>
      </c>
      <c r="D158" s="2788" t="s">
        <v>1917</v>
      </c>
      <c r="E158" s="2675" t="s">
        <v>4204</v>
      </c>
      <c r="F158" s="2675" t="s">
        <v>4205</v>
      </c>
      <c r="G158" s="2675" t="s">
        <v>3402</v>
      </c>
      <c r="H158" s="2675" t="s">
        <v>4043</v>
      </c>
      <c r="I158" s="2675" t="s">
        <v>3408</v>
      </c>
      <c r="J158" s="599" t="b">
        <v>1</v>
      </c>
      <c r="K158" s="599" t="b">
        <v>0</v>
      </c>
      <c r="L158" s="2796" t="b">
        <f t="shared" si="14"/>
        <v>0</v>
      </c>
      <c r="M158" s="2796" t="b">
        <f t="shared" si="15"/>
        <v>0</v>
      </c>
      <c r="N158" s="2796" t="b">
        <f t="shared" si="20"/>
        <v>0</v>
      </c>
      <c r="O158" s="2789" t="s">
        <v>304</v>
      </c>
      <c r="P158" s="2789"/>
      <c r="Q158" s="2789"/>
      <c r="R158" s="2677" t="str">
        <f t="shared" si="16"/>
        <v/>
      </c>
      <c r="S158" s="2789"/>
      <c r="T158" s="2677" t="str">
        <f t="shared" si="17"/>
        <v/>
      </c>
      <c r="U158" s="2789"/>
      <c r="V158" s="2677" t="str">
        <f t="shared" si="18"/>
        <v/>
      </c>
      <c r="W158" s="2789"/>
      <c r="X158" s="2677" t="str">
        <f t="shared" si="19"/>
        <v/>
      </c>
    </row>
    <row r="159" spans="2:24" ht="15" hidden="1" customHeight="1" x14ac:dyDescent="0.35">
      <c r="B159" s="2675" t="s">
        <v>4153</v>
      </c>
      <c r="C159" s="2675" t="s">
        <v>3460</v>
      </c>
      <c r="D159" s="2788" t="s">
        <v>1917</v>
      </c>
      <c r="E159" s="2675" t="s">
        <v>4204</v>
      </c>
      <c r="F159" s="2675" t="s">
        <v>4205</v>
      </c>
      <c r="G159" s="2675" t="s">
        <v>3402</v>
      </c>
      <c r="H159" s="2675" t="s">
        <v>4206</v>
      </c>
      <c r="I159" s="2675" t="s">
        <v>3408</v>
      </c>
      <c r="J159" s="599" t="b">
        <v>0</v>
      </c>
      <c r="K159" s="599" t="b">
        <v>0</v>
      </c>
      <c r="L159" s="2796" t="b">
        <f t="shared" si="14"/>
        <v>0</v>
      </c>
      <c r="M159" s="2796" t="b">
        <f t="shared" si="15"/>
        <v>0</v>
      </c>
      <c r="N159" s="2796" t="b">
        <f t="shared" si="20"/>
        <v>0</v>
      </c>
      <c r="O159" s="2789" t="s">
        <v>304</v>
      </c>
      <c r="P159" s="2789"/>
      <c r="Q159" s="2789"/>
      <c r="R159" s="2677" t="str">
        <f t="shared" si="16"/>
        <v/>
      </c>
      <c r="S159" s="2789"/>
      <c r="T159" s="2677" t="str">
        <f t="shared" si="17"/>
        <v/>
      </c>
      <c r="U159" s="2789"/>
      <c r="V159" s="2677" t="str">
        <f t="shared" si="18"/>
        <v/>
      </c>
      <c r="W159" s="2789"/>
      <c r="X159" s="2677" t="str">
        <f t="shared" si="19"/>
        <v/>
      </c>
    </row>
    <row r="160" spans="2:24" ht="15" hidden="1" customHeight="1" x14ac:dyDescent="0.35">
      <c r="B160" s="2675" t="s">
        <v>4153</v>
      </c>
      <c r="C160" s="2675" t="s">
        <v>3460</v>
      </c>
      <c r="D160" s="2788" t="s">
        <v>1917</v>
      </c>
      <c r="E160" s="2675" t="s">
        <v>4204</v>
      </c>
      <c r="F160" s="2675" t="s">
        <v>4205</v>
      </c>
      <c r="G160" s="2675" t="s">
        <v>3402</v>
      </c>
      <c r="H160" s="2675" t="s">
        <v>4179</v>
      </c>
      <c r="I160" s="2675" t="s">
        <v>3408</v>
      </c>
      <c r="J160" s="599" t="b">
        <v>1</v>
      </c>
      <c r="K160" s="599" t="b">
        <v>0</v>
      </c>
      <c r="L160" s="2796" t="b">
        <f t="shared" si="14"/>
        <v>0</v>
      </c>
      <c r="M160" s="2796" t="b">
        <f t="shared" si="15"/>
        <v>0</v>
      </c>
      <c r="N160" s="2796" t="b">
        <f t="shared" si="20"/>
        <v>0</v>
      </c>
      <c r="O160" s="2789" t="s">
        <v>304</v>
      </c>
      <c r="P160" s="2789"/>
      <c r="Q160" s="2789"/>
      <c r="R160" s="2677" t="str">
        <f t="shared" si="16"/>
        <v/>
      </c>
      <c r="S160" s="2789"/>
      <c r="T160" s="2677" t="str">
        <f t="shared" si="17"/>
        <v/>
      </c>
      <c r="U160" s="2789"/>
      <c r="V160" s="2677" t="str">
        <f t="shared" si="18"/>
        <v/>
      </c>
      <c r="W160" s="2789"/>
      <c r="X160" s="2677" t="str">
        <f t="shared" si="19"/>
        <v/>
      </c>
    </row>
    <row r="161" spans="2:24" ht="15" hidden="1" customHeight="1" x14ac:dyDescent="0.35">
      <c r="B161" s="2675" t="s">
        <v>4153</v>
      </c>
      <c r="C161" s="2675" t="s">
        <v>3460</v>
      </c>
      <c r="D161" s="2788" t="s">
        <v>3507</v>
      </c>
      <c r="E161" s="2675" t="s">
        <v>3506</v>
      </c>
      <c r="F161" s="2675" t="s">
        <v>4207</v>
      </c>
      <c r="G161" s="2675" t="s">
        <v>3402</v>
      </c>
      <c r="H161" s="2675" t="s">
        <v>4208</v>
      </c>
      <c r="I161" s="2675" t="s">
        <v>820</v>
      </c>
      <c r="J161" s="599" t="b">
        <v>0</v>
      </c>
      <c r="K161" s="599" t="b">
        <v>0</v>
      </c>
      <c r="L161" s="2796" t="b">
        <f t="shared" si="14"/>
        <v>0</v>
      </c>
      <c r="M161" s="2796" t="b">
        <f t="shared" si="15"/>
        <v>0</v>
      </c>
      <c r="N161" s="2796" t="b">
        <f t="shared" si="20"/>
        <v>0</v>
      </c>
      <c r="O161" s="2789" t="s">
        <v>304</v>
      </c>
      <c r="P161" s="2789"/>
      <c r="Q161" s="2789"/>
      <c r="R161" s="2677" t="str">
        <f t="shared" si="16"/>
        <v/>
      </c>
      <c r="S161" s="2789"/>
      <c r="T161" s="2677" t="str">
        <f t="shared" si="17"/>
        <v/>
      </c>
      <c r="U161" s="2789"/>
      <c r="V161" s="2677" t="str">
        <f t="shared" si="18"/>
        <v/>
      </c>
      <c r="W161" s="2789"/>
      <c r="X161" s="2677" t="str">
        <f t="shared" si="19"/>
        <v/>
      </c>
    </row>
    <row r="162" spans="2:24" ht="15" hidden="1" customHeight="1" x14ac:dyDescent="0.35">
      <c r="B162" s="2675" t="s">
        <v>4153</v>
      </c>
      <c r="C162" s="2675" t="s">
        <v>3460</v>
      </c>
      <c r="D162" s="2788" t="s">
        <v>4311</v>
      </c>
      <c r="E162" s="2675" t="s">
        <v>4209</v>
      </c>
      <c r="F162" s="2675" t="s">
        <v>4210</v>
      </c>
      <c r="G162" s="2675" t="s">
        <v>3402</v>
      </c>
      <c r="H162" s="2675" t="s">
        <v>4211</v>
      </c>
      <c r="I162" s="2675" t="s">
        <v>3855</v>
      </c>
      <c r="J162" s="599" t="b">
        <v>0</v>
      </c>
      <c r="K162" s="599" t="b">
        <v>0</v>
      </c>
      <c r="L162" s="2796" t="b">
        <f t="shared" si="14"/>
        <v>0</v>
      </c>
      <c r="M162" s="2796" t="b">
        <f t="shared" si="15"/>
        <v>0</v>
      </c>
      <c r="N162" s="2796" t="b">
        <f t="shared" si="20"/>
        <v>0</v>
      </c>
      <c r="O162" s="2789" t="s">
        <v>304</v>
      </c>
      <c r="P162" s="2789"/>
      <c r="Q162" s="2789"/>
      <c r="R162" s="2677" t="str">
        <f t="shared" si="16"/>
        <v/>
      </c>
      <c r="S162" s="2789"/>
      <c r="T162" s="2677" t="str">
        <f t="shared" si="17"/>
        <v/>
      </c>
      <c r="U162" s="2789"/>
      <c r="V162" s="2677" t="str">
        <f t="shared" si="18"/>
        <v/>
      </c>
      <c r="W162" s="2789"/>
      <c r="X162" s="2677" t="str">
        <f t="shared" si="19"/>
        <v/>
      </c>
    </row>
    <row r="163" spans="2:24" ht="15" hidden="1" customHeight="1" x14ac:dyDescent="0.35">
      <c r="B163" s="2675" t="s">
        <v>4153</v>
      </c>
      <c r="C163" s="2675" t="s">
        <v>3460</v>
      </c>
      <c r="D163" s="2788" t="s">
        <v>4311</v>
      </c>
      <c r="E163" s="2675" t="s">
        <v>4209</v>
      </c>
      <c r="F163" s="2675" t="s">
        <v>4210</v>
      </c>
      <c r="G163" s="2675" t="s">
        <v>3402</v>
      </c>
      <c r="H163" s="2675" t="s">
        <v>4212</v>
      </c>
      <c r="I163" s="2675" t="s">
        <v>3855</v>
      </c>
      <c r="J163" s="599" t="b">
        <v>0</v>
      </c>
      <c r="K163" s="599" t="b">
        <v>0</v>
      </c>
      <c r="L163" s="2796" t="b">
        <f t="shared" si="14"/>
        <v>0</v>
      </c>
      <c r="M163" s="2796" t="b">
        <f t="shared" si="15"/>
        <v>0</v>
      </c>
      <c r="N163" s="2796" t="b">
        <f t="shared" si="20"/>
        <v>0</v>
      </c>
      <c r="O163" s="2789" t="s">
        <v>304</v>
      </c>
      <c r="P163" s="2789"/>
      <c r="Q163" s="2789"/>
      <c r="R163" s="2677" t="str">
        <f t="shared" si="16"/>
        <v/>
      </c>
      <c r="S163" s="2789"/>
      <c r="T163" s="2677" t="str">
        <f t="shared" si="17"/>
        <v/>
      </c>
      <c r="U163" s="2789"/>
      <c r="V163" s="2677" t="str">
        <f t="shared" si="18"/>
        <v/>
      </c>
      <c r="W163" s="2789"/>
      <c r="X163" s="2677" t="str">
        <f t="shared" si="19"/>
        <v/>
      </c>
    </row>
    <row r="164" spans="2:24" ht="15" hidden="1" customHeight="1" x14ac:dyDescent="0.35">
      <c r="B164" s="2675" t="s">
        <v>4153</v>
      </c>
      <c r="C164" s="2675" t="s">
        <v>3460</v>
      </c>
      <c r="D164" s="2788" t="s">
        <v>3037</v>
      </c>
      <c r="E164" s="2675" t="s">
        <v>3825</v>
      </c>
      <c r="F164" s="2675" t="s">
        <v>4213</v>
      </c>
      <c r="G164" s="2675" t="s">
        <v>3402</v>
      </c>
      <c r="H164" s="2675" t="s">
        <v>4214</v>
      </c>
      <c r="I164" s="2675" t="s">
        <v>820</v>
      </c>
      <c r="J164" s="599" t="b">
        <v>0</v>
      </c>
      <c r="K164" s="599" t="b">
        <v>0</v>
      </c>
      <c r="L164" s="2796" t="b">
        <f t="shared" si="14"/>
        <v>0</v>
      </c>
      <c r="M164" s="2796" t="b">
        <f t="shared" si="15"/>
        <v>0</v>
      </c>
      <c r="N164" s="2796" t="b">
        <f t="shared" si="20"/>
        <v>0</v>
      </c>
      <c r="O164" s="2789" t="s">
        <v>304</v>
      </c>
      <c r="P164" s="2789"/>
      <c r="Q164" s="2789"/>
      <c r="R164" s="2677" t="str">
        <f t="shared" si="16"/>
        <v/>
      </c>
      <c r="S164" s="2789"/>
      <c r="T164" s="2677" t="str">
        <f t="shared" si="17"/>
        <v/>
      </c>
      <c r="U164" s="2789"/>
      <c r="V164" s="2677" t="str">
        <f t="shared" si="18"/>
        <v/>
      </c>
      <c r="W164" s="2789"/>
      <c r="X164" s="2677" t="str">
        <f t="shared" si="19"/>
        <v/>
      </c>
    </row>
    <row r="165" spans="2:24" ht="15" hidden="1" customHeight="1" x14ac:dyDescent="0.35">
      <c r="B165" s="2675" t="s">
        <v>4153</v>
      </c>
      <c r="C165" s="2675" t="s">
        <v>3460</v>
      </c>
      <c r="D165" s="2788" t="s">
        <v>506</v>
      </c>
      <c r="E165" s="2675" t="s">
        <v>3469</v>
      </c>
      <c r="F165" s="2675" t="s">
        <v>4215</v>
      </c>
      <c r="G165" s="2675" t="s">
        <v>3402</v>
      </c>
      <c r="H165" s="2675" t="s">
        <v>4283</v>
      </c>
      <c r="I165" s="2675" t="s">
        <v>4219</v>
      </c>
      <c r="J165" s="599" t="b">
        <v>0</v>
      </c>
      <c r="K165" s="599" t="b">
        <v>1</v>
      </c>
      <c r="L165" s="2796" t="b">
        <f t="shared" si="14"/>
        <v>0</v>
      </c>
      <c r="M165" s="2796" t="b">
        <f t="shared" si="15"/>
        <v>0</v>
      </c>
      <c r="N165" s="2796" t="b">
        <f t="shared" si="20"/>
        <v>0</v>
      </c>
      <c r="O165" s="2789" t="s">
        <v>304</v>
      </c>
      <c r="P165" s="2789"/>
      <c r="Q165" s="2789"/>
      <c r="R165" s="2677" t="str">
        <f t="shared" si="16"/>
        <v/>
      </c>
      <c r="S165" s="2789"/>
      <c r="T165" s="2677" t="str">
        <f t="shared" si="17"/>
        <v/>
      </c>
      <c r="U165" s="2789"/>
      <c r="V165" s="2677" t="str">
        <f t="shared" si="18"/>
        <v/>
      </c>
      <c r="W165" s="2789"/>
      <c r="X165" s="2677" t="str">
        <f t="shared" si="19"/>
        <v/>
      </c>
    </row>
    <row r="166" spans="2:24" ht="15" customHeight="1" x14ac:dyDescent="0.35">
      <c r="B166" s="2675" t="s">
        <v>4153</v>
      </c>
      <c r="C166" s="2675" t="s">
        <v>3460</v>
      </c>
      <c r="D166" s="2788" t="s">
        <v>506</v>
      </c>
      <c r="E166" s="2675" t="s">
        <v>3469</v>
      </c>
      <c r="F166" s="2675" t="s">
        <v>4215</v>
      </c>
      <c r="G166" s="2675" t="s">
        <v>3402</v>
      </c>
      <c r="H166" s="2675" t="s">
        <v>4216</v>
      </c>
      <c r="I166" s="2675" t="s">
        <v>4219</v>
      </c>
      <c r="J166" s="599" t="b">
        <v>1</v>
      </c>
      <c r="K166" s="599" t="b">
        <v>1</v>
      </c>
      <c r="L166" s="2796" t="b">
        <f t="shared" si="14"/>
        <v>0</v>
      </c>
      <c r="M166" s="2796" t="b">
        <f t="shared" si="15"/>
        <v>1</v>
      </c>
      <c r="N166" s="2796" t="b">
        <f t="shared" si="20"/>
        <v>1</v>
      </c>
      <c r="O166" s="2789" t="b">
        <v>1</v>
      </c>
      <c r="P166" s="2789" t="s">
        <v>4344</v>
      </c>
      <c r="Q166" s="2789" t="str" cm="1">
        <f t="array" aca="1" ref="Q166" ca="1">CELL("address",'RES HVAC'!C19)</f>
        <v>'[AIC Adjustable Savings Goals_PY 2021 Final_2021-01-19.xlsx]RES HVAC'!$C$19</v>
      </c>
      <c r="R166" s="2677" t="str">
        <f t="shared" ca="1" si="16"/>
        <v>Go To Update</v>
      </c>
      <c r="S166" s="2789" t="str" cm="1">
        <f t="array" aca="1" ref="S166" ca="1">CELL("address",'RES HVAC'!C20)</f>
        <v>'[AIC Adjustable Savings Goals_PY 2021 Final_2021-01-19.xlsx]RES HVAC'!$C$20</v>
      </c>
      <c r="T166" s="2677" t="str">
        <f t="shared" ca="1" si="17"/>
        <v>Go To Update</v>
      </c>
      <c r="U166" s="2789" t="str" cm="1">
        <f t="array" aca="1" ref="U166" ca="1">CELL("address",'RES HVAC'!C21)</f>
        <v>'[AIC Adjustable Savings Goals_PY 2021 Final_2021-01-19.xlsx]RES HVAC'!$C$21</v>
      </c>
      <c r="V166" s="2677" t="str">
        <f t="shared" ca="1" si="18"/>
        <v>Go To Update</v>
      </c>
      <c r="W166" s="2789"/>
      <c r="X166" s="2677" t="str">
        <f t="shared" si="19"/>
        <v/>
      </c>
    </row>
    <row r="167" spans="2:24" ht="15" customHeight="1" x14ac:dyDescent="0.35">
      <c r="B167" s="2675" t="s">
        <v>4153</v>
      </c>
      <c r="C167" s="2675" t="s">
        <v>3460</v>
      </c>
      <c r="D167" s="2788" t="s">
        <v>506</v>
      </c>
      <c r="E167" s="2675" t="s">
        <v>3469</v>
      </c>
      <c r="F167" s="2675" t="s">
        <v>4215</v>
      </c>
      <c r="G167" s="2675" t="s">
        <v>3402</v>
      </c>
      <c r="H167" s="2675" t="s">
        <v>4217</v>
      </c>
      <c r="I167" s="2675" t="s">
        <v>4219</v>
      </c>
      <c r="J167" s="599" t="b">
        <v>1</v>
      </c>
      <c r="K167" s="599" t="b">
        <v>1</v>
      </c>
      <c r="L167" s="2796" t="b">
        <f t="shared" si="14"/>
        <v>0</v>
      </c>
      <c r="M167" s="2796" t="b">
        <f t="shared" si="15"/>
        <v>1</v>
      </c>
      <c r="N167" s="2796" t="b">
        <f t="shared" si="20"/>
        <v>1</v>
      </c>
      <c r="O167" s="2789" t="b">
        <v>1</v>
      </c>
      <c r="P167" s="2806" t="s">
        <v>4347</v>
      </c>
      <c r="Q167" s="2789" t="str" cm="1">
        <f t="array" aca="1" ref="Q167" ca="1">CELL("address",'RES HVAC'!C26)</f>
        <v>'[AIC Adjustable Savings Goals_PY 2021 Final_2021-01-19.xlsx]RES HVAC'!$C$26</v>
      </c>
      <c r="R167" s="2677" t="str">
        <f t="shared" ca="1" si="16"/>
        <v>Go To Update</v>
      </c>
      <c r="S167" s="2789" t="str" cm="1">
        <f t="array" aca="1" ref="S167" ca="1">CELL("address",'RES HVAC'!C30)</f>
        <v>'[AIC Adjustable Savings Goals_PY 2021 Final_2021-01-19.xlsx]RES HVAC'!$C$30</v>
      </c>
      <c r="T167" s="2677" t="str">
        <f t="shared" ca="1" si="17"/>
        <v>Go To Update</v>
      </c>
      <c r="U167" s="2789" t="str" cm="1">
        <f t="array" aca="1" ref="U167" ca="1">CELL("address",'Measure Level Adjustments Tab'!V15)</f>
        <v>'[AIC Adjustable Savings Goals_PY 2021 Final_2021-01-19.xlsx]Measure Level Adjustments Tab'!$V$15</v>
      </c>
      <c r="V167" s="2677" t="str">
        <f t="shared" ca="1" si="18"/>
        <v>Go To Update</v>
      </c>
      <c r="W167" s="2789"/>
      <c r="X167" s="2677" t="str">
        <f t="shared" si="19"/>
        <v/>
      </c>
    </row>
    <row r="168" spans="2:24" ht="15" hidden="1" customHeight="1" x14ac:dyDescent="0.35">
      <c r="B168" s="2675" t="s">
        <v>4153</v>
      </c>
      <c r="C168" s="2675" t="s">
        <v>3460</v>
      </c>
      <c r="D168" s="2788" t="s">
        <v>506</v>
      </c>
      <c r="E168" s="2675" t="s">
        <v>3469</v>
      </c>
      <c r="F168" s="2675" t="s">
        <v>4215</v>
      </c>
      <c r="G168" s="2675" t="s">
        <v>3402</v>
      </c>
      <c r="H168" s="2675" t="s">
        <v>4218</v>
      </c>
      <c r="I168" s="2675" t="s">
        <v>4219</v>
      </c>
      <c r="J168" s="599" t="b">
        <v>0</v>
      </c>
      <c r="K168" s="599" t="b">
        <v>1</v>
      </c>
      <c r="L168" s="2796" t="b">
        <f t="shared" si="14"/>
        <v>0</v>
      </c>
      <c r="M168" s="2796" t="b">
        <f t="shared" si="15"/>
        <v>0</v>
      </c>
      <c r="N168" s="2796" t="b">
        <f t="shared" si="20"/>
        <v>0</v>
      </c>
      <c r="O168" s="2789" t="s">
        <v>304</v>
      </c>
      <c r="P168" s="2789"/>
      <c r="Q168" s="2789"/>
      <c r="R168" s="2677" t="str">
        <f t="shared" si="16"/>
        <v/>
      </c>
      <c r="S168" s="2789"/>
      <c r="T168" s="2677" t="str">
        <f t="shared" si="17"/>
        <v/>
      </c>
      <c r="U168" s="2789"/>
      <c r="V168" s="2677" t="str">
        <f t="shared" si="18"/>
        <v/>
      </c>
      <c r="W168" s="2789"/>
      <c r="X168" s="2677" t="str">
        <f t="shared" si="19"/>
        <v/>
      </c>
    </row>
    <row r="169" spans="2:24" ht="15" hidden="1" customHeight="1" x14ac:dyDescent="0.35">
      <c r="B169" s="2675" t="s">
        <v>4153</v>
      </c>
      <c r="C169" s="2675" t="s">
        <v>3460</v>
      </c>
      <c r="D169" s="2788" t="s">
        <v>4312</v>
      </c>
      <c r="E169" s="2675" t="s">
        <v>4220</v>
      </c>
      <c r="F169" s="2675" t="s">
        <v>4221</v>
      </c>
      <c r="G169" s="2675" t="s">
        <v>3402</v>
      </c>
      <c r="H169" s="2675" t="s">
        <v>4222</v>
      </c>
      <c r="I169" s="2675" t="s">
        <v>820</v>
      </c>
      <c r="J169" s="599" t="b">
        <v>0</v>
      </c>
      <c r="K169" s="599" t="b">
        <v>0</v>
      </c>
      <c r="L169" s="2796" t="b">
        <f t="shared" si="14"/>
        <v>0</v>
      </c>
      <c r="M169" s="2796" t="b">
        <f t="shared" si="15"/>
        <v>0</v>
      </c>
      <c r="N169" s="2796" t="b">
        <f t="shared" si="20"/>
        <v>0</v>
      </c>
      <c r="O169" s="2789" t="s">
        <v>304</v>
      </c>
      <c r="P169" s="2789"/>
      <c r="Q169" s="2789"/>
      <c r="R169" s="2677" t="str">
        <f t="shared" si="16"/>
        <v/>
      </c>
      <c r="S169" s="2789"/>
      <c r="T169" s="2677" t="str">
        <f t="shared" si="17"/>
        <v/>
      </c>
      <c r="U169" s="2789"/>
      <c r="V169" s="2677" t="str">
        <f t="shared" si="18"/>
        <v/>
      </c>
      <c r="W169" s="2789"/>
      <c r="X169" s="2677" t="str">
        <f t="shared" si="19"/>
        <v/>
      </c>
    </row>
    <row r="170" spans="2:24" ht="15" hidden="1" customHeight="1" x14ac:dyDescent="0.35">
      <c r="B170" s="2675" t="s">
        <v>4153</v>
      </c>
      <c r="C170" s="2675" t="s">
        <v>3460</v>
      </c>
      <c r="D170" s="2788" t="s">
        <v>3829</v>
      </c>
      <c r="E170" s="2675" t="s">
        <v>4223</v>
      </c>
      <c r="F170" s="2675" t="s">
        <v>820</v>
      </c>
      <c r="G170" s="2675" t="s">
        <v>3613</v>
      </c>
      <c r="H170" s="2675" t="s">
        <v>4224</v>
      </c>
      <c r="I170" s="2675" t="s">
        <v>820</v>
      </c>
      <c r="J170" s="599" t="b">
        <v>0</v>
      </c>
      <c r="K170" s="599" t="b">
        <v>0</v>
      </c>
      <c r="L170" s="2796" t="b">
        <f t="shared" si="14"/>
        <v>0</v>
      </c>
      <c r="M170" s="2796" t="b">
        <f t="shared" si="15"/>
        <v>0</v>
      </c>
      <c r="N170" s="2796" t="b">
        <f t="shared" si="20"/>
        <v>0</v>
      </c>
      <c r="O170" s="2789" t="s">
        <v>304</v>
      </c>
      <c r="P170" s="2789"/>
      <c r="Q170" s="2789"/>
      <c r="R170" s="2677" t="str">
        <f t="shared" si="16"/>
        <v/>
      </c>
      <c r="S170" s="2789"/>
      <c r="T170" s="2677" t="str">
        <f t="shared" si="17"/>
        <v/>
      </c>
      <c r="U170" s="2789"/>
      <c r="V170" s="2677" t="str">
        <f t="shared" si="18"/>
        <v/>
      </c>
      <c r="W170" s="2789"/>
      <c r="X170" s="2677" t="str">
        <f t="shared" si="19"/>
        <v/>
      </c>
    </row>
    <row r="171" spans="2:24" ht="15" hidden="1" customHeight="1" x14ac:dyDescent="0.35">
      <c r="B171" s="2675" t="s">
        <v>4153</v>
      </c>
      <c r="C171" s="2675" t="s">
        <v>3460</v>
      </c>
      <c r="D171" s="2788" t="s">
        <v>4313</v>
      </c>
      <c r="E171" s="2675" t="s">
        <v>4225</v>
      </c>
      <c r="F171" s="2675" t="s">
        <v>4226</v>
      </c>
      <c r="G171" s="2675" t="s">
        <v>2285</v>
      </c>
      <c r="H171" s="2675" t="s">
        <v>3474</v>
      </c>
      <c r="I171" s="2675" t="s">
        <v>820</v>
      </c>
      <c r="J171" s="599" t="b">
        <v>0</v>
      </c>
      <c r="K171" s="599" t="b">
        <v>0</v>
      </c>
      <c r="L171" s="2796" t="b">
        <f t="shared" si="14"/>
        <v>0</v>
      </c>
      <c r="M171" s="2796" t="b">
        <f t="shared" si="15"/>
        <v>0</v>
      </c>
      <c r="N171" s="2796" t="b">
        <f t="shared" si="20"/>
        <v>0</v>
      </c>
      <c r="O171" s="2789" t="s">
        <v>304</v>
      </c>
      <c r="P171" s="2789"/>
      <c r="Q171" s="2789"/>
      <c r="R171" s="2677" t="str">
        <f t="shared" si="16"/>
        <v/>
      </c>
      <c r="S171" s="2789"/>
      <c r="T171" s="2677" t="str">
        <f t="shared" si="17"/>
        <v/>
      </c>
      <c r="U171" s="2789"/>
      <c r="V171" s="2677" t="str">
        <f t="shared" si="18"/>
        <v/>
      </c>
      <c r="W171" s="2789"/>
      <c r="X171" s="2677" t="str">
        <f t="shared" si="19"/>
        <v/>
      </c>
    </row>
    <row r="172" spans="2:24" ht="15" customHeight="1" x14ac:dyDescent="0.35">
      <c r="B172" s="2675" t="s">
        <v>4153</v>
      </c>
      <c r="C172" s="2675" t="s">
        <v>3509</v>
      </c>
      <c r="D172" s="2788" t="s">
        <v>483</v>
      </c>
      <c r="E172" s="2675" t="s">
        <v>4227</v>
      </c>
      <c r="F172" s="2675" t="s">
        <v>4228</v>
      </c>
      <c r="G172" s="2675" t="s">
        <v>3402</v>
      </c>
      <c r="H172" s="2675" t="s">
        <v>4229</v>
      </c>
      <c r="I172" s="2675" t="s">
        <v>3408</v>
      </c>
      <c r="J172" s="599" t="b">
        <v>1</v>
      </c>
      <c r="K172" s="599" t="b">
        <v>1</v>
      </c>
      <c r="L172" s="2796" t="b">
        <f t="shared" si="14"/>
        <v>0</v>
      </c>
      <c r="M172" s="2796" t="b">
        <f t="shared" si="15"/>
        <v>1</v>
      </c>
      <c r="N172" s="2796" t="b">
        <f t="shared" si="20"/>
        <v>1</v>
      </c>
      <c r="O172" s="2789" t="b">
        <v>1</v>
      </c>
      <c r="P172" s="2789" t="s">
        <v>4351</v>
      </c>
      <c r="Q172" s="2789" t="str" cm="1">
        <f t="array" aca="1" ref="Q172" ca="1">CELL("address",'RES Shell'!S45)</f>
        <v>'[AIC Adjustable Savings Goals_PY 2021 Final_2021-01-19.xlsx]RES Shell'!$S$45</v>
      </c>
      <c r="R172" s="2677" t="str">
        <f t="shared" ca="1" si="16"/>
        <v>Go To Update</v>
      </c>
      <c r="S172" s="2789" t="str" cm="1">
        <f t="array" aca="1" ref="S172" ca="1">CELL("address",'RES Shell'!S46)</f>
        <v>'[AIC Adjustable Savings Goals_PY 2021 Final_2021-01-19.xlsx]RES Shell'!$S$46</v>
      </c>
      <c r="T172" s="2677" t="str">
        <f t="shared" ca="1" si="17"/>
        <v>Go To Update</v>
      </c>
      <c r="U172" s="2789"/>
      <c r="V172" s="2677" t="str">
        <f t="shared" si="18"/>
        <v/>
      </c>
      <c r="W172" s="2789"/>
      <c r="X172" s="2677" t="str">
        <f t="shared" si="19"/>
        <v/>
      </c>
    </row>
    <row r="173" spans="2:24" ht="15" hidden="1" customHeight="1" x14ac:dyDescent="0.35">
      <c r="B173" s="2675" t="s">
        <v>4153</v>
      </c>
      <c r="C173" s="2675" t="s">
        <v>3509</v>
      </c>
      <c r="D173" s="2788" t="s">
        <v>4314</v>
      </c>
      <c r="E173" s="2675" t="s">
        <v>4230</v>
      </c>
      <c r="F173" s="2675" t="s">
        <v>4231</v>
      </c>
      <c r="G173" s="2675" t="s">
        <v>3402</v>
      </c>
      <c r="H173" s="2675" t="s">
        <v>4232</v>
      </c>
      <c r="I173" s="2675" t="s">
        <v>3408</v>
      </c>
      <c r="J173" s="599" t="b">
        <v>1</v>
      </c>
      <c r="K173" s="599" t="b">
        <v>0</v>
      </c>
      <c r="L173" s="2796" t="b">
        <f t="shared" si="14"/>
        <v>0</v>
      </c>
      <c r="M173" s="2796" t="b">
        <f t="shared" si="15"/>
        <v>0</v>
      </c>
      <c r="N173" s="2796" t="b">
        <f t="shared" si="20"/>
        <v>0</v>
      </c>
      <c r="O173" s="2789" t="s">
        <v>304</v>
      </c>
      <c r="P173" s="2789"/>
      <c r="Q173" s="2789"/>
      <c r="R173" s="2677" t="str">
        <f t="shared" si="16"/>
        <v/>
      </c>
      <c r="S173" s="2789"/>
      <c r="T173" s="2677" t="str">
        <f t="shared" si="17"/>
        <v/>
      </c>
      <c r="U173" s="2789"/>
      <c r="V173" s="2677" t="str">
        <f t="shared" si="18"/>
        <v/>
      </c>
      <c r="W173" s="2789"/>
      <c r="X173" s="2677" t="str">
        <f t="shared" si="19"/>
        <v/>
      </c>
    </row>
    <row r="174" spans="2:24" ht="15" hidden="1" customHeight="1" x14ac:dyDescent="0.35">
      <c r="B174" s="2675" t="s">
        <v>4153</v>
      </c>
      <c r="C174" s="2675" t="s">
        <v>3509</v>
      </c>
      <c r="D174" s="2788" t="s">
        <v>4314</v>
      </c>
      <c r="E174" s="2675" t="s">
        <v>4230</v>
      </c>
      <c r="F174" s="2675" t="s">
        <v>4231</v>
      </c>
      <c r="G174" s="2675" t="s">
        <v>3402</v>
      </c>
      <c r="H174" s="2675" t="s">
        <v>4233</v>
      </c>
      <c r="I174" s="2675" t="s">
        <v>3408</v>
      </c>
      <c r="J174" s="599" t="b">
        <v>1</v>
      </c>
      <c r="K174" s="599" t="b">
        <v>0</v>
      </c>
      <c r="L174" s="2796" t="b">
        <f t="shared" si="14"/>
        <v>0</v>
      </c>
      <c r="M174" s="2796" t="b">
        <f t="shared" si="15"/>
        <v>0</v>
      </c>
      <c r="N174" s="2796" t="b">
        <f t="shared" si="20"/>
        <v>0</v>
      </c>
      <c r="O174" s="2789" t="s">
        <v>304</v>
      </c>
      <c r="P174" s="2789"/>
      <c r="Q174" s="2789"/>
      <c r="R174" s="2677" t="str">
        <f t="shared" si="16"/>
        <v/>
      </c>
      <c r="S174" s="2789"/>
      <c r="T174" s="2677" t="str">
        <f t="shared" si="17"/>
        <v/>
      </c>
      <c r="U174" s="2789"/>
      <c r="V174" s="2677" t="str">
        <f t="shared" si="18"/>
        <v/>
      </c>
      <c r="W174" s="2789"/>
      <c r="X174" s="2677" t="str">
        <f t="shared" si="19"/>
        <v/>
      </c>
    </row>
    <row r="175" spans="2:24" ht="15" hidden="1" customHeight="1" x14ac:dyDescent="0.35">
      <c r="B175" s="2675" t="s">
        <v>4153</v>
      </c>
      <c r="C175" s="2675" t="s">
        <v>3509</v>
      </c>
      <c r="D175" s="2788" t="s">
        <v>4314</v>
      </c>
      <c r="E175" s="2675" t="s">
        <v>4230</v>
      </c>
      <c r="F175" s="2675" t="s">
        <v>4231</v>
      </c>
      <c r="G175" s="2675" t="s">
        <v>3402</v>
      </c>
      <c r="H175" s="2675" t="s">
        <v>4234</v>
      </c>
      <c r="I175" s="2675" t="s">
        <v>3408</v>
      </c>
      <c r="J175" s="599" t="b">
        <v>1</v>
      </c>
      <c r="K175" s="599" t="b">
        <v>0</v>
      </c>
      <c r="L175" s="2796" t="b">
        <f t="shared" si="14"/>
        <v>0</v>
      </c>
      <c r="M175" s="2796" t="b">
        <f t="shared" si="15"/>
        <v>0</v>
      </c>
      <c r="N175" s="2796" t="b">
        <f t="shared" si="20"/>
        <v>0</v>
      </c>
      <c r="O175" s="2789" t="s">
        <v>304</v>
      </c>
      <c r="P175" s="2789"/>
      <c r="Q175" s="2789"/>
      <c r="R175" s="2677" t="str">
        <f t="shared" si="16"/>
        <v/>
      </c>
      <c r="S175" s="2789"/>
      <c r="T175" s="2677" t="str">
        <f t="shared" si="17"/>
        <v/>
      </c>
      <c r="U175" s="2789"/>
      <c r="V175" s="2677" t="str">
        <f t="shared" si="18"/>
        <v/>
      </c>
      <c r="W175" s="2789"/>
      <c r="X175" s="2677" t="str">
        <f t="shared" si="19"/>
        <v/>
      </c>
    </row>
    <row r="176" spans="2:24" ht="15" hidden="1" customHeight="1" x14ac:dyDescent="0.35">
      <c r="B176" s="2675" t="s">
        <v>4153</v>
      </c>
      <c r="C176" s="2675" t="s">
        <v>3509</v>
      </c>
      <c r="D176" s="2788" t="s">
        <v>434</v>
      </c>
      <c r="E176" s="2675" t="s">
        <v>3511</v>
      </c>
      <c r="F176" s="2675" t="s">
        <v>4235</v>
      </c>
      <c r="G176" s="2675" t="s">
        <v>3402</v>
      </c>
      <c r="H176" s="2675" t="s">
        <v>4232</v>
      </c>
      <c r="I176" s="2675" t="s">
        <v>3408</v>
      </c>
      <c r="J176" s="599" t="b">
        <v>0</v>
      </c>
      <c r="K176" s="599" t="b">
        <v>0</v>
      </c>
      <c r="L176" s="2796" t="b">
        <f t="shared" si="14"/>
        <v>0</v>
      </c>
      <c r="M176" s="2796" t="b">
        <f t="shared" si="15"/>
        <v>0</v>
      </c>
      <c r="N176" s="2796" t="b">
        <f t="shared" si="20"/>
        <v>0</v>
      </c>
      <c r="O176" s="2789" t="s">
        <v>304</v>
      </c>
      <c r="P176" s="2789"/>
      <c r="Q176" s="2789"/>
      <c r="R176" s="2677" t="str">
        <f t="shared" si="16"/>
        <v/>
      </c>
      <c r="S176" s="2789"/>
      <c r="T176" s="2677" t="str">
        <f t="shared" si="17"/>
        <v/>
      </c>
      <c r="U176" s="2789"/>
      <c r="V176" s="2677" t="str">
        <f t="shared" si="18"/>
        <v/>
      </c>
      <c r="W176" s="2789"/>
      <c r="X176" s="2677" t="str">
        <f t="shared" si="19"/>
        <v/>
      </c>
    </row>
    <row r="177" spans="2:24" ht="15" hidden="1" customHeight="1" x14ac:dyDescent="0.35">
      <c r="B177" s="2675" t="s">
        <v>4153</v>
      </c>
      <c r="C177" s="2675" t="s">
        <v>3509</v>
      </c>
      <c r="D177" s="2788" t="s">
        <v>434</v>
      </c>
      <c r="E177" s="2675" t="s">
        <v>3511</v>
      </c>
      <c r="F177" s="2675" t="s">
        <v>4235</v>
      </c>
      <c r="G177" s="2675" t="s">
        <v>3402</v>
      </c>
      <c r="H177" s="2675" t="s">
        <v>4182</v>
      </c>
      <c r="I177" s="2675" t="s">
        <v>3408</v>
      </c>
      <c r="J177" s="599" t="b">
        <v>0</v>
      </c>
      <c r="K177" s="599" t="b">
        <v>0</v>
      </c>
      <c r="L177" s="2796" t="b">
        <f t="shared" si="14"/>
        <v>0</v>
      </c>
      <c r="M177" s="2796" t="b">
        <f t="shared" si="15"/>
        <v>0</v>
      </c>
      <c r="N177" s="2796" t="b">
        <f t="shared" si="20"/>
        <v>0</v>
      </c>
      <c r="O177" s="2789" t="s">
        <v>304</v>
      </c>
      <c r="P177" s="2789"/>
      <c r="Q177" s="2789"/>
      <c r="R177" s="2677" t="str">
        <f t="shared" si="16"/>
        <v/>
      </c>
      <c r="S177" s="2789"/>
      <c r="T177" s="2677" t="str">
        <f t="shared" si="17"/>
        <v/>
      </c>
      <c r="U177" s="2789"/>
      <c r="V177" s="2677" t="str">
        <f t="shared" si="18"/>
        <v/>
      </c>
      <c r="W177" s="2789"/>
      <c r="X177" s="2677" t="str">
        <f t="shared" si="19"/>
        <v/>
      </c>
    </row>
    <row r="178" spans="2:24" ht="15" hidden="1" customHeight="1" x14ac:dyDescent="0.35">
      <c r="B178" s="2675" t="s">
        <v>4153</v>
      </c>
      <c r="C178" s="2675" t="s">
        <v>3509</v>
      </c>
      <c r="D178" s="2788" t="s">
        <v>667</v>
      </c>
      <c r="E178" s="2675" t="s">
        <v>4236</v>
      </c>
      <c r="F178" s="2675" t="s">
        <v>4237</v>
      </c>
      <c r="G178" s="2675" t="s">
        <v>3402</v>
      </c>
      <c r="H178" s="2675" t="s">
        <v>4238</v>
      </c>
      <c r="I178" s="2675" t="s">
        <v>820</v>
      </c>
      <c r="J178" s="599" t="b">
        <v>0</v>
      </c>
      <c r="K178" s="599" t="b">
        <v>1</v>
      </c>
      <c r="L178" s="2796" t="b">
        <f t="shared" si="14"/>
        <v>0</v>
      </c>
      <c r="M178" s="2796" t="b">
        <f t="shared" si="15"/>
        <v>0</v>
      </c>
      <c r="N178" s="2796" t="b">
        <f t="shared" si="20"/>
        <v>0</v>
      </c>
      <c r="O178" s="2789" t="s">
        <v>304</v>
      </c>
      <c r="P178" s="2789"/>
      <c r="Q178" s="2789"/>
      <c r="R178" s="2677" t="str">
        <f t="shared" si="16"/>
        <v/>
      </c>
      <c r="S178" s="2789"/>
      <c r="T178" s="2677" t="str">
        <f t="shared" si="17"/>
        <v/>
      </c>
      <c r="U178" s="2789"/>
      <c r="V178" s="2677" t="str">
        <f t="shared" si="18"/>
        <v/>
      </c>
      <c r="W178" s="2789"/>
      <c r="X178" s="2677" t="str">
        <f t="shared" si="19"/>
        <v/>
      </c>
    </row>
    <row r="179" spans="2:24" ht="15" hidden="1" customHeight="1" x14ac:dyDescent="0.35">
      <c r="B179" s="2675" t="s">
        <v>4153</v>
      </c>
      <c r="C179" s="2675" t="s">
        <v>3509</v>
      </c>
      <c r="D179" s="2788" t="s">
        <v>687</v>
      </c>
      <c r="E179" s="2675" t="s">
        <v>3842</v>
      </c>
      <c r="F179" s="2675" t="s">
        <v>4239</v>
      </c>
      <c r="G179" s="2675" t="s">
        <v>3402</v>
      </c>
      <c r="H179" s="2675" t="s">
        <v>4240</v>
      </c>
      <c r="I179" s="2675" t="s">
        <v>820</v>
      </c>
      <c r="J179" s="599" t="b">
        <v>0</v>
      </c>
      <c r="K179" s="599" t="b">
        <v>1</v>
      </c>
      <c r="L179" s="2796" t="b">
        <f t="shared" si="14"/>
        <v>0</v>
      </c>
      <c r="M179" s="2796" t="b">
        <f t="shared" si="15"/>
        <v>0</v>
      </c>
      <c r="N179" s="2796" t="b">
        <f t="shared" si="20"/>
        <v>0</v>
      </c>
      <c r="O179" s="2789" t="s">
        <v>304</v>
      </c>
      <c r="P179" s="2789"/>
      <c r="Q179" s="2789"/>
      <c r="R179" s="2677" t="str">
        <f t="shared" si="16"/>
        <v/>
      </c>
      <c r="S179" s="2789"/>
      <c r="T179" s="2677" t="str">
        <f t="shared" si="17"/>
        <v/>
      </c>
      <c r="U179" s="2789"/>
      <c r="V179" s="2677" t="str">
        <f t="shared" si="18"/>
        <v/>
      </c>
      <c r="W179" s="2789"/>
      <c r="X179" s="2677" t="str">
        <f t="shared" si="19"/>
        <v/>
      </c>
    </row>
    <row r="180" spans="2:24" ht="15" customHeight="1" x14ac:dyDescent="0.35">
      <c r="B180" s="2675" t="s">
        <v>4153</v>
      </c>
      <c r="C180" s="2675" t="s">
        <v>3509</v>
      </c>
      <c r="D180" s="2788" t="s">
        <v>687</v>
      </c>
      <c r="E180" s="2675" t="s">
        <v>3842</v>
      </c>
      <c r="F180" s="2675" t="s">
        <v>4239</v>
      </c>
      <c r="G180" s="2675" t="s">
        <v>3402</v>
      </c>
      <c r="H180" s="2675" t="s">
        <v>4241</v>
      </c>
      <c r="I180" s="2675" t="s">
        <v>820</v>
      </c>
      <c r="J180" s="599" t="b">
        <v>1</v>
      </c>
      <c r="K180" s="599" t="b">
        <v>1</v>
      </c>
      <c r="L180" s="2796" t="b">
        <f t="shared" si="14"/>
        <v>0</v>
      </c>
      <c r="M180" s="2796" t="b">
        <f t="shared" si="15"/>
        <v>1</v>
      </c>
      <c r="N180" s="2796" t="b">
        <f t="shared" si="20"/>
        <v>1</v>
      </c>
      <c r="O180" s="2789" t="b">
        <v>1</v>
      </c>
      <c r="P180" s="2806" t="s">
        <v>4357</v>
      </c>
      <c r="Q180" s="2789" t="str" cm="1">
        <f t="array" aca="1" ref="Q180" ca="1">CELL("address",'RES DHW'!C123)</f>
        <v>'[AIC Adjustable Savings Goals_PY 2021 Final_2021-01-19.xlsx]RES DHW'!$C$123</v>
      </c>
      <c r="R180" s="2677" t="str">
        <f t="shared" ca="1" si="16"/>
        <v>Go To Update</v>
      </c>
      <c r="S180" s="2789" t="str" cm="1">
        <f t="array" aca="1" ref="S180" ca="1">CELL("address",'RES DHW'!C124)</f>
        <v>'[AIC Adjustable Savings Goals_PY 2021 Final_2021-01-19.xlsx]RES DHW'!$C$124</v>
      </c>
      <c r="T180" s="2677" t="str">
        <f t="shared" ca="1" si="17"/>
        <v>Go To Update</v>
      </c>
      <c r="U180" s="2789" t="str" cm="1">
        <f t="array" aca="1" ref="U180" ca="1">CELL("address",'RES DHW'!C125)</f>
        <v>'[AIC Adjustable Savings Goals_PY 2021 Final_2021-01-19.xlsx]RES DHW'!$C$125</v>
      </c>
      <c r="V180" s="2677" t="str">
        <f t="shared" ca="1" si="18"/>
        <v>Go To Update</v>
      </c>
      <c r="W180" s="2789"/>
      <c r="X180" s="2677" t="str">
        <f t="shared" si="19"/>
        <v/>
      </c>
    </row>
    <row r="181" spans="2:24" ht="15" hidden="1" customHeight="1" x14ac:dyDescent="0.35">
      <c r="B181" s="2675" t="s">
        <v>4153</v>
      </c>
      <c r="C181" s="2675" t="s">
        <v>3509</v>
      </c>
      <c r="D181" s="2788" t="s">
        <v>4315</v>
      </c>
      <c r="E181" s="2675" t="s">
        <v>4242</v>
      </c>
      <c r="F181" s="2675" t="s">
        <v>4243</v>
      </c>
      <c r="G181" s="2675" t="s">
        <v>2285</v>
      </c>
      <c r="H181" s="2675" t="s">
        <v>3474</v>
      </c>
      <c r="I181" s="2675" t="s">
        <v>820</v>
      </c>
      <c r="J181" s="599" t="b">
        <v>0</v>
      </c>
      <c r="K181" s="599" t="b">
        <v>0</v>
      </c>
      <c r="L181" s="2796" t="b">
        <f t="shared" si="14"/>
        <v>0</v>
      </c>
      <c r="M181" s="2796" t="b">
        <f t="shared" si="15"/>
        <v>0</v>
      </c>
      <c r="N181" s="2796" t="b">
        <f t="shared" si="20"/>
        <v>0</v>
      </c>
      <c r="O181" s="2789" t="s">
        <v>304</v>
      </c>
      <c r="P181" s="2789"/>
      <c r="Q181" s="2789"/>
      <c r="R181" s="2677" t="str">
        <f t="shared" si="16"/>
        <v/>
      </c>
      <c r="S181" s="2789"/>
      <c r="T181" s="2677" t="str">
        <f t="shared" si="17"/>
        <v/>
      </c>
      <c r="U181" s="2789"/>
      <c r="V181" s="2677" t="str">
        <f t="shared" si="18"/>
        <v/>
      </c>
      <c r="W181" s="2789"/>
      <c r="X181" s="2677" t="str">
        <f t="shared" si="19"/>
        <v/>
      </c>
    </row>
    <row r="182" spans="2:24" ht="15" hidden="1" customHeight="1" x14ac:dyDescent="0.35">
      <c r="B182" s="2675" t="s">
        <v>4153</v>
      </c>
      <c r="C182" s="2675" t="s">
        <v>3456</v>
      </c>
      <c r="D182" s="2788" t="s">
        <v>1727</v>
      </c>
      <c r="E182" s="2675" t="s">
        <v>3457</v>
      </c>
      <c r="F182" s="2675" t="s">
        <v>4244</v>
      </c>
      <c r="G182" s="2675" t="s">
        <v>3403</v>
      </c>
      <c r="H182" s="2675" t="s">
        <v>4245</v>
      </c>
      <c r="I182" s="2675" t="s">
        <v>4248</v>
      </c>
      <c r="J182" s="599" t="b">
        <v>0</v>
      </c>
      <c r="K182" s="599" t="b">
        <v>0</v>
      </c>
      <c r="L182" s="2796" t="b">
        <f t="shared" si="14"/>
        <v>0</v>
      </c>
      <c r="M182" s="2796" t="b">
        <f t="shared" si="15"/>
        <v>0</v>
      </c>
      <c r="N182" s="2796" t="b">
        <f t="shared" si="20"/>
        <v>0</v>
      </c>
      <c r="O182" s="2789" t="s">
        <v>304</v>
      </c>
      <c r="P182" s="2789"/>
      <c r="Q182" s="2789"/>
      <c r="R182" s="2677" t="str">
        <f t="shared" si="16"/>
        <v/>
      </c>
      <c r="S182" s="2789"/>
      <c r="T182" s="2677" t="str">
        <f t="shared" si="17"/>
        <v/>
      </c>
      <c r="U182" s="2789"/>
      <c r="V182" s="2677" t="str">
        <f t="shared" si="18"/>
        <v/>
      </c>
      <c r="W182" s="2789"/>
      <c r="X182" s="2677" t="str">
        <f t="shared" si="19"/>
        <v/>
      </c>
    </row>
    <row r="183" spans="2:24" ht="15" hidden="1" customHeight="1" x14ac:dyDescent="0.35">
      <c r="B183" s="2675" t="s">
        <v>4153</v>
      </c>
      <c r="C183" s="2675" t="s">
        <v>3456</v>
      </c>
      <c r="D183" s="2788" t="s">
        <v>1727</v>
      </c>
      <c r="E183" s="2675" t="s">
        <v>3457</v>
      </c>
      <c r="F183" s="2675" t="s">
        <v>4244</v>
      </c>
      <c r="G183" s="2675" t="s">
        <v>3403</v>
      </c>
      <c r="H183" s="2675" t="s">
        <v>4246</v>
      </c>
      <c r="I183" s="2675" t="s">
        <v>4248</v>
      </c>
      <c r="J183" s="599" t="b">
        <v>0</v>
      </c>
      <c r="K183" s="599" t="b">
        <v>0</v>
      </c>
      <c r="L183" s="2796" t="b">
        <f t="shared" si="14"/>
        <v>0</v>
      </c>
      <c r="M183" s="2796" t="b">
        <f t="shared" si="15"/>
        <v>0</v>
      </c>
      <c r="N183" s="2796" t="b">
        <f t="shared" si="20"/>
        <v>0</v>
      </c>
      <c r="O183" s="2789" t="s">
        <v>304</v>
      </c>
      <c r="P183" s="2789"/>
      <c r="Q183" s="2789"/>
      <c r="R183" s="2677" t="str">
        <f t="shared" si="16"/>
        <v/>
      </c>
      <c r="S183" s="2789"/>
      <c r="T183" s="2677" t="str">
        <f t="shared" si="17"/>
        <v/>
      </c>
      <c r="U183" s="2789"/>
      <c r="V183" s="2677" t="str">
        <f t="shared" si="18"/>
        <v/>
      </c>
      <c r="W183" s="2789"/>
      <c r="X183" s="2677" t="str">
        <f t="shared" si="19"/>
        <v/>
      </c>
    </row>
    <row r="184" spans="2:24" ht="15" hidden="1" customHeight="1" x14ac:dyDescent="0.35">
      <c r="B184" s="2675" t="s">
        <v>4153</v>
      </c>
      <c r="C184" s="2675" t="s">
        <v>3456</v>
      </c>
      <c r="D184" s="2788" t="s">
        <v>1727</v>
      </c>
      <c r="E184" s="2675" t="s">
        <v>3457</v>
      </c>
      <c r="F184" s="2675" t="s">
        <v>4244</v>
      </c>
      <c r="G184" s="2675" t="s">
        <v>3403</v>
      </c>
      <c r="H184" s="2675" t="s">
        <v>4247</v>
      </c>
      <c r="I184" s="2675" t="s">
        <v>4248</v>
      </c>
      <c r="J184" s="599" t="b">
        <v>0</v>
      </c>
      <c r="K184" s="599" t="b">
        <v>0</v>
      </c>
      <c r="L184" s="2796" t="b">
        <f t="shared" si="14"/>
        <v>0</v>
      </c>
      <c r="M184" s="2796" t="b">
        <f t="shared" si="15"/>
        <v>0</v>
      </c>
      <c r="N184" s="2796" t="b">
        <f t="shared" si="20"/>
        <v>0</v>
      </c>
      <c r="O184" s="2789" t="s">
        <v>304</v>
      </c>
      <c r="P184" s="2789"/>
      <c r="Q184" s="2789"/>
      <c r="R184" s="2677" t="str">
        <f t="shared" si="16"/>
        <v/>
      </c>
      <c r="S184" s="2789"/>
      <c r="T184" s="2677" t="str">
        <f t="shared" si="17"/>
        <v/>
      </c>
      <c r="U184" s="2789"/>
      <c r="V184" s="2677" t="str">
        <f t="shared" si="18"/>
        <v/>
      </c>
      <c r="W184" s="2789"/>
      <c r="X184" s="2677" t="str">
        <f t="shared" si="19"/>
        <v/>
      </c>
    </row>
    <row r="185" spans="2:24" ht="15" hidden="1" customHeight="1" x14ac:dyDescent="0.35">
      <c r="B185" s="2675" t="s">
        <v>4153</v>
      </c>
      <c r="C185" s="2675" t="s">
        <v>3456</v>
      </c>
      <c r="D185" s="2788" t="s">
        <v>1727</v>
      </c>
      <c r="E185" s="2675" t="s">
        <v>3457</v>
      </c>
      <c r="F185" s="2675" t="s">
        <v>4249</v>
      </c>
      <c r="G185" s="2675" t="s">
        <v>3402</v>
      </c>
      <c r="H185" s="2675" t="s">
        <v>4076</v>
      </c>
      <c r="I185" s="2675" t="s">
        <v>820</v>
      </c>
      <c r="J185" s="599" t="b">
        <v>0</v>
      </c>
      <c r="K185" s="599" t="b">
        <v>0</v>
      </c>
      <c r="L185" s="2796" t="b">
        <f t="shared" si="14"/>
        <v>0</v>
      </c>
      <c r="M185" s="2796" t="b">
        <f t="shared" si="15"/>
        <v>0</v>
      </c>
      <c r="N185" s="2796" t="b">
        <f t="shared" si="20"/>
        <v>0</v>
      </c>
      <c r="O185" s="2789" t="s">
        <v>304</v>
      </c>
      <c r="P185" s="2789"/>
      <c r="Q185" s="2789"/>
      <c r="R185" s="2677" t="str">
        <f t="shared" si="16"/>
        <v/>
      </c>
      <c r="S185" s="2789"/>
      <c r="T185" s="2677" t="str">
        <f t="shared" si="17"/>
        <v/>
      </c>
      <c r="U185" s="2789"/>
      <c r="V185" s="2677" t="str">
        <f t="shared" si="18"/>
        <v/>
      </c>
      <c r="W185" s="2789"/>
      <c r="X185" s="2677" t="str">
        <f t="shared" si="19"/>
        <v/>
      </c>
    </row>
    <row r="186" spans="2:24" ht="15" hidden="1" customHeight="1" x14ac:dyDescent="0.35">
      <c r="B186" s="2675" t="s">
        <v>4153</v>
      </c>
      <c r="C186" s="2675" t="s">
        <v>3456</v>
      </c>
      <c r="D186" s="2788" t="s">
        <v>287</v>
      </c>
      <c r="E186" s="2675" t="s">
        <v>3304</v>
      </c>
      <c r="F186" s="2675" t="s">
        <v>4250</v>
      </c>
      <c r="G186" s="2675" t="s">
        <v>3403</v>
      </c>
      <c r="H186" s="2675" t="s">
        <v>4245</v>
      </c>
      <c r="I186" s="2675" t="s">
        <v>4248</v>
      </c>
      <c r="J186" s="599" t="b">
        <v>0</v>
      </c>
      <c r="K186" s="599" t="b">
        <v>0</v>
      </c>
      <c r="L186" s="2796" t="b">
        <f t="shared" si="14"/>
        <v>0</v>
      </c>
      <c r="M186" s="2796" t="b">
        <f t="shared" si="15"/>
        <v>0</v>
      </c>
      <c r="N186" s="2796" t="b">
        <f t="shared" si="20"/>
        <v>0</v>
      </c>
      <c r="O186" s="2789" t="s">
        <v>304</v>
      </c>
      <c r="P186" s="2789"/>
      <c r="Q186" s="2789"/>
      <c r="R186" s="2677" t="str">
        <f t="shared" si="16"/>
        <v/>
      </c>
      <c r="S186" s="2789"/>
      <c r="T186" s="2677" t="str">
        <f t="shared" si="17"/>
        <v/>
      </c>
      <c r="U186" s="2789"/>
      <c r="V186" s="2677" t="str">
        <f t="shared" si="18"/>
        <v/>
      </c>
      <c r="W186" s="2789"/>
      <c r="X186" s="2677" t="str">
        <f t="shared" si="19"/>
        <v/>
      </c>
    </row>
    <row r="187" spans="2:24" ht="15" hidden="1" customHeight="1" x14ac:dyDescent="0.35">
      <c r="B187" s="2675" t="s">
        <v>4153</v>
      </c>
      <c r="C187" s="2675" t="s">
        <v>3456</v>
      </c>
      <c r="D187" s="2788" t="s">
        <v>287</v>
      </c>
      <c r="E187" s="2675" t="s">
        <v>3304</v>
      </c>
      <c r="F187" s="2675" t="s">
        <v>4250</v>
      </c>
      <c r="G187" s="2675" t="s">
        <v>3403</v>
      </c>
      <c r="H187" s="2675" t="s">
        <v>4246</v>
      </c>
      <c r="I187" s="2675" t="s">
        <v>4248</v>
      </c>
      <c r="J187" s="599" t="b">
        <v>0</v>
      </c>
      <c r="K187" s="599" t="b">
        <v>0</v>
      </c>
      <c r="L187" s="2796" t="b">
        <f t="shared" si="14"/>
        <v>0</v>
      </c>
      <c r="M187" s="2796" t="b">
        <f t="shared" si="15"/>
        <v>0</v>
      </c>
      <c r="N187" s="2796" t="b">
        <f t="shared" si="20"/>
        <v>0</v>
      </c>
      <c r="O187" s="2789" t="s">
        <v>304</v>
      </c>
      <c r="P187" s="2789"/>
      <c r="Q187" s="2789"/>
      <c r="R187" s="2677" t="str">
        <f t="shared" si="16"/>
        <v/>
      </c>
      <c r="S187" s="2789"/>
      <c r="T187" s="2677" t="str">
        <f t="shared" si="17"/>
        <v/>
      </c>
      <c r="U187" s="2789"/>
      <c r="V187" s="2677" t="str">
        <f t="shared" si="18"/>
        <v/>
      </c>
      <c r="W187" s="2789"/>
      <c r="X187" s="2677" t="str">
        <f t="shared" si="19"/>
        <v/>
      </c>
    </row>
    <row r="188" spans="2:24" ht="15" hidden="1" customHeight="1" x14ac:dyDescent="0.35">
      <c r="B188" s="2675" t="s">
        <v>4153</v>
      </c>
      <c r="C188" s="2675" t="s">
        <v>3456</v>
      </c>
      <c r="D188" s="2788" t="s">
        <v>287</v>
      </c>
      <c r="E188" s="2675" t="s">
        <v>3304</v>
      </c>
      <c r="F188" s="2675" t="s">
        <v>4250</v>
      </c>
      <c r="G188" s="2675" t="s">
        <v>3403</v>
      </c>
      <c r="H188" s="2675" t="s">
        <v>4247</v>
      </c>
      <c r="I188" s="2675" t="s">
        <v>4248</v>
      </c>
      <c r="J188" s="599" t="b">
        <v>0</v>
      </c>
      <c r="K188" s="599" t="b">
        <v>0</v>
      </c>
      <c r="L188" s="2796" t="b">
        <f t="shared" si="14"/>
        <v>0</v>
      </c>
      <c r="M188" s="2796" t="b">
        <f t="shared" si="15"/>
        <v>0</v>
      </c>
      <c r="N188" s="2796" t="b">
        <f t="shared" si="20"/>
        <v>0</v>
      </c>
      <c r="O188" s="2789" t="s">
        <v>304</v>
      </c>
      <c r="P188" s="2789"/>
      <c r="Q188" s="2789"/>
      <c r="R188" s="2677" t="str">
        <f t="shared" si="16"/>
        <v/>
      </c>
      <c r="S188" s="2789"/>
      <c r="T188" s="2677" t="str">
        <f t="shared" si="17"/>
        <v/>
      </c>
      <c r="U188" s="2789"/>
      <c r="V188" s="2677" t="str">
        <f t="shared" si="18"/>
        <v/>
      </c>
      <c r="W188" s="2789"/>
      <c r="X188" s="2677" t="str">
        <f t="shared" si="19"/>
        <v/>
      </c>
    </row>
    <row r="189" spans="2:24" ht="15" hidden="1" customHeight="1" x14ac:dyDescent="0.35">
      <c r="B189" s="2675" t="s">
        <v>4153</v>
      </c>
      <c r="C189" s="2675" t="s">
        <v>3456</v>
      </c>
      <c r="D189" s="2788" t="s">
        <v>287</v>
      </c>
      <c r="E189" s="2675" t="s">
        <v>3304</v>
      </c>
      <c r="F189" s="2675" t="s">
        <v>4251</v>
      </c>
      <c r="G189" s="2675" t="s">
        <v>3402</v>
      </c>
      <c r="H189" s="2675" t="s">
        <v>4076</v>
      </c>
      <c r="I189" s="2675" t="s">
        <v>820</v>
      </c>
      <c r="J189" s="599" t="b">
        <v>0</v>
      </c>
      <c r="K189" s="599" t="b">
        <v>0</v>
      </c>
      <c r="L189" s="2796" t="b">
        <f t="shared" si="14"/>
        <v>0</v>
      </c>
      <c r="M189" s="2796" t="b">
        <f t="shared" si="15"/>
        <v>0</v>
      </c>
      <c r="N189" s="2796" t="b">
        <f t="shared" si="20"/>
        <v>0</v>
      </c>
      <c r="O189" s="2789" t="s">
        <v>304</v>
      </c>
      <c r="P189" s="2789"/>
      <c r="Q189" s="2789"/>
      <c r="R189" s="2677" t="str">
        <f t="shared" si="16"/>
        <v/>
      </c>
      <c r="S189" s="2789"/>
      <c r="T189" s="2677" t="str">
        <f t="shared" si="17"/>
        <v/>
      </c>
      <c r="U189" s="2789"/>
      <c r="V189" s="2677" t="str">
        <f t="shared" si="18"/>
        <v/>
      </c>
      <c r="W189" s="2789"/>
      <c r="X189" s="2677" t="str">
        <f t="shared" si="19"/>
        <v/>
      </c>
    </row>
    <row r="190" spans="2:24" ht="15" hidden="1" customHeight="1" x14ac:dyDescent="0.35">
      <c r="B190" s="2675" t="s">
        <v>4153</v>
      </c>
      <c r="C190" s="2675" t="s">
        <v>3456</v>
      </c>
      <c r="D190" s="2788" t="s">
        <v>3530</v>
      </c>
      <c r="E190" s="2675" t="s">
        <v>3529</v>
      </c>
      <c r="F190" s="2675" t="s">
        <v>4252</v>
      </c>
      <c r="G190" s="2675" t="s">
        <v>3403</v>
      </c>
      <c r="H190" s="2675" t="s">
        <v>4245</v>
      </c>
      <c r="I190" s="2675" t="s">
        <v>4248</v>
      </c>
      <c r="J190" s="599" t="b">
        <v>0</v>
      </c>
      <c r="K190" s="599" t="b">
        <v>0</v>
      </c>
      <c r="L190" s="2796" t="b">
        <f t="shared" si="14"/>
        <v>0</v>
      </c>
      <c r="M190" s="2796" t="b">
        <f t="shared" si="15"/>
        <v>0</v>
      </c>
      <c r="N190" s="2796" t="b">
        <f t="shared" si="20"/>
        <v>0</v>
      </c>
      <c r="O190" s="2789" t="s">
        <v>304</v>
      </c>
      <c r="P190" s="2789"/>
      <c r="Q190" s="2789"/>
      <c r="R190" s="2677" t="str">
        <f t="shared" si="16"/>
        <v/>
      </c>
      <c r="S190" s="2789"/>
      <c r="T190" s="2677" t="str">
        <f t="shared" si="17"/>
        <v/>
      </c>
      <c r="U190" s="2789"/>
      <c r="V190" s="2677" t="str">
        <f t="shared" si="18"/>
        <v/>
      </c>
      <c r="W190" s="2789"/>
      <c r="X190" s="2677" t="str">
        <f t="shared" si="19"/>
        <v/>
      </c>
    </row>
    <row r="191" spans="2:24" ht="15" hidden="1" customHeight="1" x14ac:dyDescent="0.35">
      <c r="B191" s="2675" t="s">
        <v>4153</v>
      </c>
      <c r="C191" s="2675" t="s">
        <v>3456</v>
      </c>
      <c r="D191" s="2788" t="s">
        <v>3530</v>
      </c>
      <c r="E191" s="2675" t="s">
        <v>3529</v>
      </c>
      <c r="F191" s="2675" t="s">
        <v>4252</v>
      </c>
      <c r="G191" s="2675" t="s">
        <v>3403</v>
      </c>
      <c r="H191" s="2675" t="s">
        <v>4246</v>
      </c>
      <c r="I191" s="2675" t="s">
        <v>4248</v>
      </c>
      <c r="J191" s="599" t="b">
        <v>0</v>
      </c>
      <c r="K191" s="599" t="b">
        <v>0</v>
      </c>
      <c r="L191" s="2796" t="b">
        <f t="shared" si="14"/>
        <v>0</v>
      </c>
      <c r="M191" s="2796" t="b">
        <f t="shared" si="15"/>
        <v>0</v>
      </c>
      <c r="N191" s="2796" t="b">
        <f t="shared" si="20"/>
        <v>0</v>
      </c>
      <c r="O191" s="2789" t="s">
        <v>304</v>
      </c>
      <c r="P191" s="2789"/>
      <c r="Q191" s="2789"/>
      <c r="R191" s="2677" t="str">
        <f t="shared" si="16"/>
        <v/>
      </c>
      <c r="S191" s="2789"/>
      <c r="T191" s="2677" t="str">
        <f t="shared" si="17"/>
        <v/>
      </c>
      <c r="U191" s="2789"/>
      <c r="V191" s="2677" t="str">
        <f t="shared" si="18"/>
        <v/>
      </c>
      <c r="W191" s="2789"/>
      <c r="X191" s="2677" t="str">
        <f t="shared" si="19"/>
        <v/>
      </c>
    </row>
    <row r="192" spans="2:24" ht="15" hidden="1" customHeight="1" x14ac:dyDescent="0.35">
      <c r="B192" s="2675" t="s">
        <v>4153</v>
      </c>
      <c r="C192" s="2675" t="s">
        <v>3456</v>
      </c>
      <c r="D192" s="2788" t="s">
        <v>3530</v>
      </c>
      <c r="E192" s="2675" t="s">
        <v>3529</v>
      </c>
      <c r="F192" s="2675" t="s">
        <v>4252</v>
      </c>
      <c r="G192" s="2675" t="s">
        <v>3403</v>
      </c>
      <c r="H192" s="2675" t="s">
        <v>4247</v>
      </c>
      <c r="I192" s="2675" t="s">
        <v>4248</v>
      </c>
      <c r="J192" s="599" t="b">
        <v>0</v>
      </c>
      <c r="K192" s="599" t="b">
        <v>0</v>
      </c>
      <c r="L192" s="2796" t="b">
        <f t="shared" si="14"/>
        <v>0</v>
      </c>
      <c r="M192" s="2796" t="b">
        <f t="shared" si="15"/>
        <v>0</v>
      </c>
      <c r="N192" s="2796" t="b">
        <f t="shared" si="20"/>
        <v>0</v>
      </c>
      <c r="O192" s="2789" t="s">
        <v>304</v>
      </c>
      <c r="P192" s="2789"/>
      <c r="Q192" s="2789"/>
      <c r="R192" s="2677" t="str">
        <f t="shared" si="16"/>
        <v/>
      </c>
      <c r="S192" s="2789"/>
      <c r="T192" s="2677" t="str">
        <f t="shared" si="17"/>
        <v/>
      </c>
      <c r="U192" s="2789"/>
      <c r="V192" s="2677" t="str">
        <f t="shared" si="18"/>
        <v/>
      </c>
      <c r="W192" s="2789"/>
      <c r="X192" s="2677" t="str">
        <f t="shared" si="19"/>
        <v/>
      </c>
    </row>
    <row r="193" spans="2:24" ht="15" hidden="1" customHeight="1" x14ac:dyDescent="0.35">
      <c r="B193" s="2675" t="s">
        <v>4153</v>
      </c>
      <c r="C193" s="2675" t="s">
        <v>3456</v>
      </c>
      <c r="D193" s="2788" t="s">
        <v>3530</v>
      </c>
      <c r="E193" s="2675" t="s">
        <v>3529</v>
      </c>
      <c r="F193" s="2675" t="s">
        <v>4253</v>
      </c>
      <c r="G193" s="2675" t="s">
        <v>3402</v>
      </c>
      <c r="H193" s="2675" t="s">
        <v>4076</v>
      </c>
      <c r="I193" s="2675" t="s">
        <v>820</v>
      </c>
      <c r="J193" s="599" t="b">
        <v>0</v>
      </c>
      <c r="K193" s="599" t="b">
        <v>0</v>
      </c>
      <c r="L193" s="2796" t="b">
        <f t="shared" si="14"/>
        <v>0</v>
      </c>
      <c r="M193" s="2796" t="b">
        <f t="shared" si="15"/>
        <v>0</v>
      </c>
      <c r="N193" s="2796" t="b">
        <f t="shared" si="20"/>
        <v>0</v>
      </c>
      <c r="O193" s="2789" t="s">
        <v>304</v>
      </c>
      <c r="P193" s="2789"/>
      <c r="Q193" s="2789"/>
      <c r="R193" s="2677" t="str">
        <f t="shared" si="16"/>
        <v/>
      </c>
      <c r="S193" s="2789"/>
      <c r="T193" s="2677" t="str">
        <f t="shared" si="17"/>
        <v/>
      </c>
      <c r="U193" s="2789"/>
      <c r="V193" s="2677" t="str">
        <f t="shared" si="18"/>
        <v/>
      </c>
      <c r="W193" s="2789"/>
      <c r="X193" s="2677" t="str">
        <f t="shared" si="19"/>
        <v/>
      </c>
    </row>
    <row r="194" spans="2:24" ht="15" hidden="1" customHeight="1" x14ac:dyDescent="0.35">
      <c r="B194" s="2675" t="s">
        <v>4153</v>
      </c>
      <c r="C194" s="2675" t="s">
        <v>3458</v>
      </c>
      <c r="D194" s="2788" t="s">
        <v>710</v>
      </c>
      <c r="E194" s="2675" t="s">
        <v>3459</v>
      </c>
      <c r="F194" s="2675" t="s">
        <v>4254</v>
      </c>
      <c r="G194" s="2675" t="s">
        <v>3402</v>
      </c>
      <c r="H194" s="2675" t="s">
        <v>4182</v>
      </c>
      <c r="I194" s="2675" t="s">
        <v>820</v>
      </c>
      <c r="J194" s="599" t="b">
        <v>0</v>
      </c>
      <c r="K194" s="599" t="b">
        <v>1</v>
      </c>
      <c r="L194" s="2796" t="b">
        <f t="shared" si="14"/>
        <v>0</v>
      </c>
      <c r="M194" s="2796" t="b">
        <f t="shared" si="15"/>
        <v>0</v>
      </c>
      <c r="N194" s="2796" t="b">
        <f t="shared" si="20"/>
        <v>0</v>
      </c>
      <c r="O194" s="2789" t="s">
        <v>304</v>
      </c>
      <c r="P194" s="2789"/>
      <c r="Q194" s="2789"/>
      <c r="R194" s="2677" t="str">
        <f t="shared" si="16"/>
        <v/>
      </c>
      <c r="S194" s="2789"/>
      <c r="T194" s="2677" t="str">
        <f t="shared" si="17"/>
        <v/>
      </c>
      <c r="U194" s="2789"/>
      <c r="V194" s="2677" t="str">
        <f t="shared" si="18"/>
        <v/>
      </c>
      <c r="W194" s="2789"/>
      <c r="X194" s="2677" t="str">
        <f t="shared" si="19"/>
        <v/>
      </c>
    </row>
    <row r="195" spans="2:24" ht="15" hidden="1" customHeight="1" x14ac:dyDescent="0.35">
      <c r="B195" s="2675" t="s">
        <v>4153</v>
      </c>
      <c r="C195" s="2675" t="s">
        <v>3458</v>
      </c>
      <c r="D195" s="2788" t="s">
        <v>710</v>
      </c>
      <c r="E195" s="2675" t="s">
        <v>3459</v>
      </c>
      <c r="F195" s="2675" t="s">
        <v>4254</v>
      </c>
      <c r="G195" s="2675" t="s">
        <v>3402</v>
      </c>
      <c r="H195" s="2675" t="s">
        <v>4218</v>
      </c>
      <c r="I195" s="2675" t="s">
        <v>820</v>
      </c>
      <c r="J195" s="599" t="b">
        <v>0</v>
      </c>
      <c r="K195" s="599" t="b">
        <v>1</v>
      </c>
      <c r="L195" s="2796" t="b">
        <f t="shared" si="14"/>
        <v>0</v>
      </c>
      <c r="M195" s="2796" t="b">
        <f t="shared" si="15"/>
        <v>0</v>
      </c>
      <c r="N195" s="2796" t="b">
        <f t="shared" si="20"/>
        <v>0</v>
      </c>
      <c r="O195" s="2789" t="s">
        <v>304</v>
      </c>
      <c r="P195" s="2789"/>
      <c r="Q195" s="2789"/>
      <c r="R195" s="2677" t="str">
        <f t="shared" si="16"/>
        <v/>
      </c>
      <c r="S195" s="2789"/>
      <c r="T195" s="2677" t="str">
        <f t="shared" si="17"/>
        <v/>
      </c>
      <c r="U195" s="2789"/>
      <c r="V195" s="2677" t="str">
        <f t="shared" si="18"/>
        <v/>
      </c>
      <c r="W195" s="2789"/>
      <c r="X195" s="2677" t="str">
        <f t="shared" si="19"/>
        <v/>
      </c>
    </row>
    <row r="196" spans="2:24" ht="15" hidden="1" customHeight="1" x14ac:dyDescent="0.35">
      <c r="B196" s="2675" t="s">
        <v>4153</v>
      </c>
      <c r="C196" s="2675" t="s">
        <v>3458</v>
      </c>
      <c r="D196" s="2788" t="s">
        <v>746</v>
      </c>
      <c r="E196" s="2675" t="s">
        <v>4255</v>
      </c>
      <c r="F196" s="2675" t="s">
        <v>4256</v>
      </c>
      <c r="G196" s="2675" t="s">
        <v>3402</v>
      </c>
      <c r="H196" s="2675" t="s">
        <v>4257</v>
      </c>
      <c r="I196" s="2675" t="s">
        <v>820</v>
      </c>
      <c r="J196" s="599" t="b">
        <v>0</v>
      </c>
      <c r="K196" s="599" t="b">
        <v>1</v>
      </c>
      <c r="L196" s="2796" t="b">
        <f t="shared" si="14"/>
        <v>0</v>
      </c>
      <c r="M196" s="2796" t="b">
        <f t="shared" si="15"/>
        <v>0</v>
      </c>
      <c r="N196" s="2796" t="b">
        <f t="shared" si="20"/>
        <v>0</v>
      </c>
      <c r="O196" s="2789" t="s">
        <v>304</v>
      </c>
      <c r="P196" s="2789"/>
      <c r="Q196" s="2789"/>
      <c r="R196" s="2677" t="str">
        <f t="shared" si="16"/>
        <v/>
      </c>
      <c r="S196" s="2789"/>
      <c r="T196" s="2677" t="str">
        <f t="shared" si="17"/>
        <v/>
      </c>
      <c r="U196" s="2789"/>
      <c r="V196" s="2677" t="str">
        <f t="shared" si="18"/>
        <v/>
      </c>
      <c r="W196" s="2789"/>
      <c r="X196" s="2677" t="str">
        <f t="shared" si="19"/>
        <v/>
      </c>
    </row>
    <row r="197" spans="2:24" ht="15" hidden="1" customHeight="1" x14ac:dyDescent="0.35">
      <c r="B197" s="2675" t="s">
        <v>4153</v>
      </c>
      <c r="C197" s="2675" t="s">
        <v>3458</v>
      </c>
      <c r="D197" s="2788" t="s">
        <v>746</v>
      </c>
      <c r="E197" s="2675" t="s">
        <v>4255</v>
      </c>
      <c r="F197" s="2675" t="s">
        <v>4256</v>
      </c>
      <c r="G197" s="2675" t="s">
        <v>3402</v>
      </c>
      <c r="H197" s="2675" t="s">
        <v>4182</v>
      </c>
      <c r="I197" s="2675" t="s">
        <v>820</v>
      </c>
      <c r="J197" s="599" t="b">
        <v>0</v>
      </c>
      <c r="K197" s="599" t="b">
        <v>1</v>
      </c>
      <c r="L197" s="2796" t="b">
        <f t="shared" si="14"/>
        <v>0</v>
      </c>
      <c r="M197" s="2796" t="b">
        <f t="shared" si="15"/>
        <v>0</v>
      </c>
      <c r="N197" s="2796" t="b">
        <f t="shared" si="20"/>
        <v>0</v>
      </c>
      <c r="O197" s="2789" t="s">
        <v>304</v>
      </c>
      <c r="P197" s="2789"/>
      <c r="Q197" s="2789"/>
      <c r="R197" s="2677" t="str">
        <f t="shared" si="16"/>
        <v/>
      </c>
      <c r="S197" s="2789"/>
      <c r="T197" s="2677" t="str">
        <f t="shared" si="17"/>
        <v/>
      </c>
      <c r="U197" s="2789"/>
      <c r="V197" s="2677" t="str">
        <f t="shared" si="18"/>
        <v/>
      </c>
      <c r="W197" s="2789"/>
      <c r="X197" s="2677" t="str">
        <f t="shared" si="19"/>
        <v/>
      </c>
    </row>
    <row r="198" spans="2:24" ht="15" hidden="1" customHeight="1" x14ac:dyDescent="0.35">
      <c r="B198" s="2675" t="s">
        <v>4153</v>
      </c>
      <c r="C198" s="2675" t="s">
        <v>3458</v>
      </c>
      <c r="D198" s="2788" t="s">
        <v>3535</v>
      </c>
      <c r="E198" s="2675" t="s">
        <v>4258</v>
      </c>
      <c r="F198" s="2675" t="s">
        <v>4259</v>
      </c>
      <c r="G198" s="2675" t="s">
        <v>3402</v>
      </c>
      <c r="H198" s="2675" t="s">
        <v>4182</v>
      </c>
      <c r="I198" s="2675" t="s">
        <v>820</v>
      </c>
      <c r="J198" s="599" t="b">
        <v>0</v>
      </c>
      <c r="K198" s="599" t="b">
        <v>1</v>
      </c>
      <c r="L198" s="2796" t="b">
        <f t="shared" si="14"/>
        <v>0</v>
      </c>
      <c r="M198" s="2796" t="b">
        <f t="shared" si="15"/>
        <v>0</v>
      </c>
      <c r="N198" s="2796" t="b">
        <f t="shared" si="20"/>
        <v>0</v>
      </c>
      <c r="O198" s="2789" t="s">
        <v>304</v>
      </c>
      <c r="P198" s="2789"/>
      <c r="Q198" s="2789"/>
      <c r="R198" s="2677" t="str">
        <f t="shared" si="16"/>
        <v/>
      </c>
      <c r="S198" s="2789"/>
      <c r="T198" s="2677" t="str">
        <f t="shared" si="17"/>
        <v/>
      </c>
      <c r="U198" s="2789"/>
      <c r="V198" s="2677" t="str">
        <f t="shared" si="18"/>
        <v/>
      </c>
      <c r="W198" s="2789"/>
      <c r="X198" s="2677" t="str">
        <f t="shared" si="19"/>
        <v/>
      </c>
    </row>
    <row r="199" spans="2:24" ht="15" hidden="1" customHeight="1" x14ac:dyDescent="0.35">
      <c r="B199" s="2675" t="s">
        <v>4153</v>
      </c>
      <c r="C199" s="2675" t="s">
        <v>3458</v>
      </c>
      <c r="D199" s="2788" t="s">
        <v>564</v>
      </c>
      <c r="E199" s="2675" t="s">
        <v>3497</v>
      </c>
      <c r="F199" s="2675" t="s">
        <v>4260</v>
      </c>
      <c r="G199" s="2675" t="s">
        <v>3402</v>
      </c>
      <c r="H199" s="2675" t="s">
        <v>4182</v>
      </c>
      <c r="I199" s="2675" t="s">
        <v>820</v>
      </c>
      <c r="J199" s="599" t="b">
        <v>0</v>
      </c>
      <c r="K199" s="599" t="b">
        <v>1</v>
      </c>
      <c r="L199" s="2796" t="b">
        <f t="shared" si="14"/>
        <v>0</v>
      </c>
      <c r="M199" s="2796" t="b">
        <f t="shared" si="15"/>
        <v>0</v>
      </c>
      <c r="N199" s="2796" t="b">
        <f t="shared" si="20"/>
        <v>0</v>
      </c>
      <c r="O199" s="2789" t="s">
        <v>304</v>
      </c>
      <c r="P199" s="2789"/>
      <c r="Q199" s="2789"/>
      <c r="R199" s="2677" t="str">
        <f t="shared" si="16"/>
        <v/>
      </c>
      <c r="S199" s="2789"/>
      <c r="T199" s="2677" t="str">
        <f t="shared" si="17"/>
        <v/>
      </c>
      <c r="U199" s="2789"/>
      <c r="V199" s="2677" t="str">
        <f t="shared" si="18"/>
        <v/>
      </c>
      <c r="W199" s="2789"/>
      <c r="X199" s="2677" t="str">
        <f t="shared" si="19"/>
        <v/>
      </c>
    </row>
    <row r="200" spans="2:24" ht="15" hidden="1" customHeight="1" x14ac:dyDescent="0.35">
      <c r="B200" s="2675" t="s">
        <v>4153</v>
      </c>
      <c r="C200" s="2675" t="s">
        <v>3458</v>
      </c>
      <c r="D200" s="2788" t="s">
        <v>3387</v>
      </c>
      <c r="E200" s="2675" t="s">
        <v>4261</v>
      </c>
      <c r="F200" s="2675" t="s">
        <v>4262</v>
      </c>
      <c r="G200" s="2675" t="s">
        <v>3402</v>
      </c>
      <c r="H200" s="2675" t="s">
        <v>4182</v>
      </c>
      <c r="I200" s="2675" t="s">
        <v>820</v>
      </c>
      <c r="J200" s="599" t="b">
        <v>0</v>
      </c>
      <c r="K200" s="599" t="b">
        <v>1</v>
      </c>
      <c r="L200" s="2796" t="b">
        <f t="shared" ref="L200:L210" si="21">AND(G200="Errata",J200,K200)</f>
        <v>0</v>
      </c>
      <c r="M200" s="2796" t="b">
        <f t="shared" ref="M200:M210" si="22">AND(G200="Revision",J200,K200)</f>
        <v>0</v>
      </c>
      <c r="N200" s="2796" t="b">
        <f t="shared" si="20"/>
        <v>0</v>
      </c>
      <c r="O200" s="2789" t="s">
        <v>304</v>
      </c>
      <c r="P200" s="2789"/>
      <c r="Q200" s="2789"/>
      <c r="R200" s="2677" t="str">
        <f t="shared" ref="R200:R210" si="23">IF(Q200="","",HYPERLINK("#"&amp;Q200,"Go To Update"))</f>
        <v/>
      </c>
      <c r="S200" s="2789"/>
      <c r="T200" s="2677" t="str">
        <f t="shared" ref="T200:T210" si="24">IF(S200="","",HYPERLINK("#"&amp;S200,"Go To Update"))</f>
        <v/>
      </c>
      <c r="U200" s="2789"/>
      <c r="V200" s="2677" t="str">
        <f t="shared" ref="V200:V210" si="25">IF(U200="","",HYPERLINK("#"&amp;U200,"Go To Update"))</f>
        <v/>
      </c>
      <c r="W200" s="2789"/>
      <c r="X200" s="2677" t="str">
        <f t="shared" ref="X200:X210" si="26">IF(W200="","",HYPERLINK("#"&amp;W200,"Go To Update"))</f>
        <v/>
      </c>
    </row>
    <row r="201" spans="2:24" ht="15" hidden="1" customHeight="1" x14ac:dyDescent="0.35">
      <c r="B201" s="2675" t="s">
        <v>4153</v>
      </c>
      <c r="C201" s="2675" t="s">
        <v>3458</v>
      </c>
      <c r="D201" s="2788" t="s">
        <v>3390</v>
      </c>
      <c r="E201" s="2675" t="s">
        <v>4263</v>
      </c>
      <c r="F201" s="2675" t="s">
        <v>4264</v>
      </c>
      <c r="G201" s="2675" t="s">
        <v>3402</v>
      </c>
      <c r="H201" s="2675" t="s">
        <v>4182</v>
      </c>
      <c r="I201" s="2675" t="s">
        <v>820</v>
      </c>
      <c r="J201" s="599" t="b">
        <v>0</v>
      </c>
      <c r="K201" s="599" t="b">
        <v>1</v>
      </c>
      <c r="L201" s="2796" t="b">
        <f t="shared" si="21"/>
        <v>0</v>
      </c>
      <c r="M201" s="2796" t="b">
        <f t="shared" si="22"/>
        <v>0</v>
      </c>
      <c r="N201" s="2796" t="b">
        <f t="shared" ref="N201:N210" si="27">OR(L201,M201)</f>
        <v>0</v>
      </c>
      <c r="O201" s="2789" t="s">
        <v>304</v>
      </c>
      <c r="P201" s="2789"/>
      <c r="Q201" s="2789"/>
      <c r="R201" s="2677" t="str">
        <f t="shared" si="23"/>
        <v/>
      </c>
      <c r="S201" s="2789"/>
      <c r="T201" s="2677" t="str">
        <f t="shared" si="24"/>
        <v/>
      </c>
      <c r="U201" s="2789"/>
      <c r="V201" s="2677" t="str">
        <f t="shared" si="25"/>
        <v/>
      </c>
      <c r="W201" s="2789"/>
      <c r="X201" s="2677" t="str">
        <f t="shared" si="26"/>
        <v/>
      </c>
    </row>
    <row r="202" spans="2:24" ht="15" hidden="1" customHeight="1" x14ac:dyDescent="0.35">
      <c r="B202" s="2675" t="s">
        <v>4153</v>
      </c>
      <c r="C202" s="2675" t="s">
        <v>3458</v>
      </c>
      <c r="D202" s="2788" t="s">
        <v>4316</v>
      </c>
      <c r="E202" s="2675" t="s">
        <v>4265</v>
      </c>
      <c r="F202" s="2675" t="s">
        <v>4266</v>
      </c>
      <c r="G202" s="2675" t="s">
        <v>2285</v>
      </c>
      <c r="H202" s="2675" t="s">
        <v>3474</v>
      </c>
      <c r="I202" s="2675" t="s">
        <v>820</v>
      </c>
      <c r="J202" s="599" t="b">
        <v>0</v>
      </c>
      <c r="K202" s="599" t="b">
        <v>0</v>
      </c>
      <c r="L202" s="2796" t="b">
        <f t="shared" si="21"/>
        <v>0</v>
      </c>
      <c r="M202" s="2796" t="b">
        <f t="shared" si="22"/>
        <v>0</v>
      </c>
      <c r="N202" s="2796" t="b">
        <f t="shared" si="27"/>
        <v>0</v>
      </c>
      <c r="O202" s="2789" t="s">
        <v>304</v>
      </c>
      <c r="P202" s="2789"/>
      <c r="Q202" s="2789"/>
      <c r="R202" s="2677" t="str">
        <f t="shared" si="23"/>
        <v/>
      </c>
      <c r="S202" s="2789"/>
      <c r="T202" s="2677" t="str">
        <f t="shared" si="24"/>
        <v/>
      </c>
      <c r="U202" s="2789"/>
      <c r="V202" s="2677" t="str">
        <f t="shared" si="25"/>
        <v/>
      </c>
      <c r="W202" s="2789"/>
      <c r="X202" s="2677" t="str">
        <f t="shared" si="26"/>
        <v/>
      </c>
    </row>
    <row r="203" spans="2:24" ht="15" hidden="1" customHeight="1" x14ac:dyDescent="0.35">
      <c r="B203" s="2675" t="s">
        <v>4153</v>
      </c>
      <c r="C203" s="2675" t="s">
        <v>3540</v>
      </c>
      <c r="D203" s="2788" t="s">
        <v>4317</v>
      </c>
      <c r="E203" s="2675" t="s">
        <v>4267</v>
      </c>
      <c r="F203" s="2675" t="s">
        <v>4268</v>
      </c>
      <c r="G203" s="2675" t="s">
        <v>2285</v>
      </c>
      <c r="H203" s="2675" t="s">
        <v>3474</v>
      </c>
      <c r="I203" s="2675" t="s">
        <v>820</v>
      </c>
      <c r="J203" s="599" t="b">
        <v>0</v>
      </c>
      <c r="K203" s="599" t="b">
        <v>0</v>
      </c>
      <c r="L203" s="2796" t="b">
        <f t="shared" si="21"/>
        <v>0</v>
      </c>
      <c r="M203" s="2796" t="b">
        <f t="shared" si="22"/>
        <v>0</v>
      </c>
      <c r="N203" s="2796" t="b">
        <f t="shared" si="27"/>
        <v>0</v>
      </c>
      <c r="O203" s="2789" t="s">
        <v>304</v>
      </c>
      <c r="P203" s="2789"/>
      <c r="Q203" s="2789"/>
      <c r="R203" s="2677" t="str">
        <f t="shared" si="23"/>
        <v/>
      </c>
      <c r="S203" s="2789"/>
      <c r="T203" s="2677" t="str">
        <f t="shared" si="24"/>
        <v/>
      </c>
      <c r="U203" s="2789"/>
      <c r="V203" s="2677" t="str">
        <f t="shared" si="25"/>
        <v/>
      </c>
      <c r="W203" s="2789"/>
      <c r="X203" s="2677" t="str">
        <f t="shared" si="26"/>
        <v/>
      </c>
    </row>
    <row r="204" spans="2:24" ht="15" hidden="1" customHeight="1" x14ac:dyDescent="0.35">
      <c r="B204" s="2675" t="s">
        <v>4269</v>
      </c>
      <c r="C204" s="2675" t="s">
        <v>4270</v>
      </c>
      <c r="D204" s="2788" t="s">
        <v>3049</v>
      </c>
      <c r="E204" s="2675" t="s">
        <v>4271</v>
      </c>
      <c r="F204" s="2675" t="s">
        <v>4272</v>
      </c>
      <c r="G204" s="2675" t="s">
        <v>3402</v>
      </c>
      <c r="H204" s="2675" t="s">
        <v>4273</v>
      </c>
      <c r="I204" s="2675" t="s">
        <v>4074</v>
      </c>
      <c r="J204" s="599" t="b">
        <v>0</v>
      </c>
      <c r="K204" s="599" t="b">
        <v>0</v>
      </c>
      <c r="L204" s="2796" t="b">
        <f t="shared" si="21"/>
        <v>0</v>
      </c>
      <c r="M204" s="2796" t="b">
        <f t="shared" si="22"/>
        <v>0</v>
      </c>
      <c r="N204" s="2796" t="b">
        <f t="shared" si="27"/>
        <v>0</v>
      </c>
      <c r="O204" s="2789" t="s">
        <v>304</v>
      </c>
      <c r="P204" s="2789"/>
      <c r="Q204" s="2789"/>
      <c r="R204" s="2677" t="str">
        <f t="shared" si="23"/>
        <v/>
      </c>
      <c r="S204" s="2789"/>
      <c r="T204" s="2677" t="str">
        <f t="shared" si="24"/>
        <v/>
      </c>
      <c r="U204" s="2789"/>
      <c r="V204" s="2677" t="str">
        <f t="shared" si="25"/>
        <v/>
      </c>
      <c r="W204" s="2789"/>
      <c r="X204" s="2677" t="str">
        <f t="shared" si="26"/>
        <v/>
      </c>
    </row>
    <row r="205" spans="2:24" ht="15" hidden="1" customHeight="1" x14ac:dyDescent="0.35">
      <c r="B205" s="2675" t="s">
        <v>4269</v>
      </c>
      <c r="C205" s="2675" t="s">
        <v>4270</v>
      </c>
      <c r="D205" s="2788" t="s">
        <v>3049</v>
      </c>
      <c r="E205" s="2675" t="s">
        <v>4271</v>
      </c>
      <c r="F205" s="2675" t="s">
        <v>4272</v>
      </c>
      <c r="G205" s="2675" t="s">
        <v>3402</v>
      </c>
      <c r="H205" s="2675" t="s">
        <v>4274</v>
      </c>
      <c r="I205" s="2675" t="s">
        <v>4074</v>
      </c>
      <c r="J205" s="599" t="b">
        <v>0</v>
      </c>
      <c r="K205" s="599" t="b">
        <v>0</v>
      </c>
      <c r="L205" s="2796" t="b">
        <f t="shared" si="21"/>
        <v>0</v>
      </c>
      <c r="M205" s="2796" t="b">
        <f t="shared" si="22"/>
        <v>0</v>
      </c>
      <c r="N205" s="2796" t="b">
        <f t="shared" si="27"/>
        <v>0</v>
      </c>
      <c r="O205" s="2789" t="s">
        <v>304</v>
      </c>
      <c r="P205" s="2789"/>
      <c r="Q205" s="2789"/>
      <c r="R205" s="2677" t="str">
        <f t="shared" si="23"/>
        <v/>
      </c>
      <c r="S205" s="2789"/>
      <c r="T205" s="2677" t="str">
        <f t="shared" si="24"/>
        <v/>
      </c>
      <c r="U205" s="2789"/>
      <c r="V205" s="2677" t="str">
        <f t="shared" si="25"/>
        <v/>
      </c>
      <c r="W205" s="2789"/>
      <c r="X205" s="2677" t="str">
        <f t="shared" si="26"/>
        <v/>
      </c>
    </row>
    <row r="206" spans="2:24" ht="15" hidden="1" customHeight="1" x14ac:dyDescent="0.35">
      <c r="B206" s="2675" t="s">
        <v>4269</v>
      </c>
      <c r="C206" s="2675" t="s">
        <v>4270</v>
      </c>
      <c r="D206" s="2788" t="s">
        <v>3049</v>
      </c>
      <c r="E206" s="2675" t="s">
        <v>4271</v>
      </c>
      <c r="F206" s="2675" t="s">
        <v>4272</v>
      </c>
      <c r="G206" s="2675" t="s">
        <v>3402</v>
      </c>
      <c r="H206" s="2675" t="s">
        <v>4275</v>
      </c>
      <c r="I206" s="2675" t="s">
        <v>4074</v>
      </c>
      <c r="J206" s="599" t="b">
        <v>0</v>
      </c>
      <c r="K206" s="599" t="b">
        <v>0</v>
      </c>
      <c r="L206" s="2796" t="b">
        <f t="shared" si="21"/>
        <v>0</v>
      </c>
      <c r="M206" s="2796" t="b">
        <f t="shared" si="22"/>
        <v>0</v>
      </c>
      <c r="N206" s="2796" t="b">
        <f t="shared" si="27"/>
        <v>0</v>
      </c>
      <c r="O206" s="2789" t="s">
        <v>304</v>
      </c>
      <c r="P206" s="2789"/>
      <c r="Q206" s="2789"/>
      <c r="R206" s="2677" t="str">
        <f t="shared" si="23"/>
        <v/>
      </c>
      <c r="S206" s="2789"/>
      <c r="T206" s="2677" t="str">
        <f t="shared" si="24"/>
        <v/>
      </c>
      <c r="U206" s="2789"/>
      <c r="V206" s="2677" t="str">
        <f t="shared" si="25"/>
        <v/>
      </c>
      <c r="W206" s="2789"/>
      <c r="X206" s="2677" t="str">
        <f t="shared" si="26"/>
        <v/>
      </c>
    </row>
    <row r="207" spans="2:24" ht="15" hidden="1" customHeight="1" x14ac:dyDescent="0.35">
      <c r="B207" s="2675" t="s">
        <v>4269</v>
      </c>
      <c r="C207" s="2675" t="s">
        <v>4270</v>
      </c>
      <c r="D207" s="2788" t="s">
        <v>3049</v>
      </c>
      <c r="E207" s="2675" t="s">
        <v>4271</v>
      </c>
      <c r="F207" s="2675" t="s">
        <v>4272</v>
      </c>
      <c r="G207" s="2675" t="s">
        <v>3402</v>
      </c>
      <c r="H207" s="2675" t="s">
        <v>4276</v>
      </c>
      <c r="I207" s="2675" t="s">
        <v>4074</v>
      </c>
      <c r="J207" s="599" t="b">
        <v>0</v>
      </c>
      <c r="K207" s="599" t="b">
        <v>0</v>
      </c>
      <c r="L207" s="2796" t="b">
        <f t="shared" si="21"/>
        <v>0</v>
      </c>
      <c r="M207" s="2796" t="b">
        <f t="shared" si="22"/>
        <v>0</v>
      </c>
      <c r="N207" s="2796" t="b">
        <f t="shared" si="27"/>
        <v>0</v>
      </c>
      <c r="O207" s="2789" t="s">
        <v>304</v>
      </c>
      <c r="P207" s="2789"/>
      <c r="Q207" s="2789"/>
      <c r="R207" s="2677" t="str">
        <f t="shared" si="23"/>
        <v/>
      </c>
      <c r="S207" s="2789"/>
      <c r="T207" s="2677" t="str">
        <f t="shared" si="24"/>
        <v/>
      </c>
      <c r="U207" s="2789"/>
      <c r="V207" s="2677" t="str">
        <f t="shared" si="25"/>
        <v/>
      </c>
      <c r="W207" s="2789"/>
      <c r="X207" s="2677" t="str">
        <f t="shared" si="26"/>
        <v/>
      </c>
    </row>
    <row r="208" spans="2:24" ht="15" hidden="1" customHeight="1" x14ac:dyDescent="0.35">
      <c r="B208" s="2675" t="s">
        <v>4269</v>
      </c>
      <c r="C208" s="2675" t="s">
        <v>4270</v>
      </c>
      <c r="D208" s="2788" t="s">
        <v>3049</v>
      </c>
      <c r="E208" s="2675" t="s">
        <v>4271</v>
      </c>
      <c r="F208" s="2675" t="s">
        <v>4272</v>
      </c>
      <c r="G208" s="2675" t="s">
        <v>3402</v>
      </c>
      <c r="H208" s="2675" t="s">
        <v>4277</v>
      </c>
      <c r="I208" s="2675" t="s">
        <v>4074</v>
      </c>
      <c r="J208" s="599" t="b">
        <v>0</v>
      </c>
      <c r="K208" s="599" t="b">
        <v>0</v>
      </c>
      <c r="L208" s="2796" t="b">
        <f t="shared" si="21"/>
        <v>0</v>
      </c>
      <c r="M208" s="2796" t="b">
        <f t="shared" si="22"/>
        <v>0</v>
      </c>
      <c r="N208" s="2796" t="b">
        <f t="shared" si="27"/>
        <v>0</v>
      </c>
      <c r="O208" s="2789" t="s">
        <v>304</v>
      </c>
      <c r="P208" s="2789"/>
      <c r="Q208" s="2789"/>
      <c r="R208" s="2677" t="str">
        <f t="shared" si="23"/>
        <v/>
      </c>
      <c r="S208" s="2789"/>
      <c r="T208" s="2677" t="str">
        <f t="shared" si="24"/>
        <v/>
      </c>
      <c r="U208" s="2789"/>
      <c r="V208" s="2677" t="str">
        <f t="shared" si="25"/>
        <v/>
      </c>
      <c r="W208" s="2789"/>
      <c r="X208" s="2677" t="str">
        <f t="shared" si="26"/>
        <v/>
      </c>
    </row>
    <row r="209" spans="2:24" ht="15" hidden="1" customHeight="1" x14ac:dyDescent="0.35">
      <c r="B209" s="2675" t="s">
        <v>4269</v>
      </c>
      <c r="C209" s="2675" t="s">
        <v>4278</v>
      </c>
      <c r="D209" s="2788" t="s">
        <v>4318</v>
      </c>
      <c r="E209" s="2675" t="s">
        <v>4279</v>
      </c>
      <c r="F209" s="2675" t="s">
        <v>4280</v>
      </c>
      <c r="G209" s="2675" t="s">
        <v>2285</v>
      </c>
      <c r="H209" s="2675" t="s">
        <v>3474</v>
      </c>
      <c r="I209" s="2675" t="s">
        <v>820</v>
      </c>
      <c r="J209" s="599" t="b">
        <v>0</v>
      </c>
      <c r="K209" s="599" t="b">
        <v>0</v>
      </c>
      <c r="L209" s="2796" t="b">
        <f t="shared" si="21"/>
        <v>0</v>
      </c>
      <c r="M209" s="2796" t="b">
        <f t="shared" si="22"/>
        <v>0</v>
      </c>
      <c r="N209" s="2796" t="b">
        <f t="shared" si="27"/>
        <v>0</v>
      </c>
      <c r="O209" s="2789" t="s">
        <v>304</v>
      </c>
      <c r="P209" s="2789"/>
      <c r="Q209" s="2789"/>
      <c r="R209" s="2677" t="str">
        <f t="shared" si="23"/>
        <v/>
      </c>
      <c r="S209" s="2789"/>
      <c r="T209" s="2677" t="str">
        <f t="shared" si="24"/>
        <v/>
      </c>
      <c r="U209" s="2789"/>
      <c r="V209" s="2677" t="str">
        <f t="shared" si="25"/>
        <v/>
      </c>
      <c r="W209" s="2789"/>
      <c r="X209" s="2677" t="str">
        <f t="shared" si="26"/>
        <v/>
      </c>
    </row>
    <row r="210" spans="2:24" ht="15" hidden="1" customHeight="1" x14ac:dyDescent="0.35">
      <c r="B210" s="2675" t="s">
        <v>4269</v>
      </c>
      <c r="C210" s="2675" t="s">
        <v>4281</v>
      </c>
      <c r="D210" s="2788" t="s">
        <v>304</v>
      </c>
      <c r="E210" s="2675" t="s">
        <v>3880</v>
      </c>
      <c r="F210" s="2675" t="s">
        <v>820</v>
      </c>
      <c r="G210" s="2675" t="s">
        <v>3402</v>
      </c>
      <c r="H210" s="2675" t="s">
        <v>4282</v>
      </c>
      <c r="I210" s="2675" t="s">
        <v>820</v>
      </c>
      <c r="J210" s="599" t="b">
        <v>0</v>
      </c>
      <c r="K210" s="599" t="s">
        <v>304</v>
      </c>
      <c r="L210" s="2796" t="b">
        <f t="shared" si="21"/>
        <v>0</v>
      </c>
      <c r="M210" s="2796" t="b">
        <f t="shared" si="22"/>
        <v>0</v>
      </c>
      <c r="N210" s="2796" t="b">
        <f t="shared" si="27"/>
        <v>0</v>
      </c>
      <c r="O210" s="2789" t="s">
        <v>304</v>
      </c>
      <c r="P210" s="2789"/>
      <c r="Q210" s="2789"/>
      <c r="R210" s="2677" t="str">
        <f t="shared" si="23"/>
        <v/>
      </c>
      <c r="S210" s="2789"/>
      <c r="T210" s="2677" t="str">
        <f t="shared" si="24"/>
        <v/>
      </c>
      <c r="U210" s="2789"/>
      <c r="V210" s="2677" t="str">
        <f t="shared" si="25"/>
        <v/>
      </c>
      <c r="W210" s="2789"/>
      <c r="X210" s="2677" t="str">
        <f t="shared" si="26"/>
        <v/>
      </c>
    </row>
    <row r="211" spans="2:24" x14ac:dyDescent="0.35">
      <c r="B211" s="2786"/>
      <c r="C211" s="2787"/>
      <c r="D211" s="2787"/>
      <c r="E211" s="2787"/>
      <c r="F211" s="2787"/>
      <c r="G211" s="2787"/>
      <c r="H211" s="2787"/>
      <c r="I211" s="2787"/>
    </row>
  </sheetData>
  <autoFilter ref="B7:X210" xr:uid="{6A585CC9-134D-4C08-8611-DFE494D23914}">
    <filterColumn colId="12">
      <filters>
        <filter val="TRUE"/>
      </filters>
    </filterColumn>
  </autoFilter>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Y112"/>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3.1796875" style="675" customWidth="1"/>
    <col min="16" max="16" width="12.26953125" style="675" customWidth="1"/>
    <col min="17" max="17" width="13.81640625"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9" ht="21" x14ac:dyDescent="0.5">
      <c r="A1" s="674" t="s">
        <v>1945</v>
      </c>
    </row>
    <row r="3" spans="1:9" ht="21" x14ac:dyDescent="0.5">
      <c r="A3" s="676" t="s">
        <v>1946</v>
      </c>
      <c r="B3" s="677"/>
      <c r="C3" s="677"/>
      <c r="D3" s="677"/>
      <c r="E3" s="677"/>
      <c r="F3" s="677"/>
      <c r="G3" s="677"/>
      <c r="H3" s="677"/>
      <c r="I3" s="677"/>
    </row>
    <row r="4" spans="1:9" ht="15" thickBot="1" x14ac:dyDescent="0.4"/>
    <row r="5" spans="1:9" x14ac:dyDescent="0.35">
      <c r="B5" s="678" t="s">
        <v>1947</v>
      </c>
      <c r="C5" s="679">
        <f>B74</f>
        <v>25</v>
      </c>
      <c r="D5" s="680"/>
      <c r="E5" s="680"/>
      <c r="F5" s="680"/>
    </row>
    <row r="6" spans="1:9" x14ac:dyDescent="0.35">
      <c r="B6" s="681" t="s">
        <v>1948</v>
      </c>
      <c r="C6" s="682">
        <f>C112</f>
        <v>250</v>
      </c>
      <c r="D6" s="683" t="s">
        <v>1949</v>
      </c>
      <c r="F6" s="680"/>
    </row>
    <row r="7" spans="1:9" x14ac:dyDescent="0.35">
      <c r="B7" s="681" t="s">
        <v>1950</v>
      </c>
      <c r="C7" s="684">
        <f>P112</f>
        <v>5739.1556811304263</v>
      </c>
      <c r="D7" s="683"/>
      <c r="E7" s="683"/>
      <c r="F7" s="683"/>
    </row>
    <row r="8" spans="1:9" x14ac:dyDescent="0.35">
      <c r="B8" s="681" t="s">
        <v>1951</v>
      </c>
      <c r="C8" s="682">
        <f>R112</f>
        <v>1.893465044417306</v>
      </c>
      <c r="D8" s="683"/>
      <c r="E8" s="683"/>
      <c r="F8" s="683"/>
    </row>
    <row r="9" spans="1:9" x14ac:dyDescent="0.35">
      <c r="B9" s="681" t="s">
        <v>1952</v>
      </c>
      <c r="C9" s="684">
        <f>S112</f>
        <v>1246.6768476650946</v>
      </c>
      <c r="D9" s="683"/>
      <c r="E9" s="683"/>
      <c r="F9" s="683"/>
    </row>
    <row r="10" spans="1:9" x14ac:dyDescent="0.35">
      <c r="B10" s="681" t="s">
        <v>1953</v>
      </c>
      <c r="C10" s="685">
        <f>T112</f>
        <v>4452</v>
      </c>
      <c r="D10" s="686"/>
      <c r="E10" s="686"/>
      <c r="F10" s="830"/>
    </row>
    <row r="11" spans="1:9" x14ac:dyDescent="0.35">
      <c r="B11" s="681" t="s">
        <v>1954</v>
      </c>
      <c r="C11" s="685">
        <f>C10*C92</f>
        <v>672.00000000000011</v>
      </c>
      <c r="D11" s="686"/>
      <c r="E11" s="686"/>
      <c r="F11" s="686"/>
    </row>
    <row r="12" spans="1:9" x14ac:dyDescent="0.35">
      <c r="B12" s="681" t="s">
        <v>1955</v>
      </c>
      <c r="C12" s="685">
        <f>C10*C93</f>
        <v>3780</v>
      </c>
      <c r="D12" s="686"/>
      <c r="E12" s="686"/>
      <c r="F12" s="686"/>
    </row>
    <row r="13" spans="1:9" x14ac:dyDescent="0.35">
      <c r="B13" s="681" t="s">
        <v>61</v>
      </c>
      <c r="C13" s="687">
        <f>(C7/C6)</f>
        <v>22.956622724521704</v>
      </c>
      <c r="D13" s="686" t="s">
        <v>1956</v>
      </c>
      <c r="E13" s="686"/>
      <c r="F13" s="686"/>
    </row>
    <row r="14" spans="1:9" x14ac:dyDescent="0.35">
      <c r="B14" s="681" t="s">
        <v>62</v>
      </c>
      <c r="C14" s="687">
        <f>(C8/C6)</f>
        <v>7.5738601776692239E-3</v>
      </c>
      <c r="D14" s="686" t="s">
        <v>1956</v>
      </c>
      <c r="E14" s="686"/>
      <c r="F14" s="686"/>
    </row>
    <row r="15" spans="1:9" x14ac:dyDescent="0.35">
      <c r="B15" s="681" t="s">
        <v>63</v>
      </c>
      <c r="C15" s="687">
        <f>(C9/C6)</f>
        <v>4.9867073906603778</v>
      </c>
      <c r="D15" s="686" t="s">
        <v>1956</v>
      </c>
      <c r="E15" s="686"/>
      <c r="F15" s="686"/>
    </row>
    <row r="16" spans="1:9" x14ac:dyDescent="0.35">
      <c r="B16" s="681" t="s">
        <v>1957</v>
      </c>
      <c r="C16" s="688">
        <f>C11/C7</f>
        <v>0.11709039401204012</v>
      </c>
      <c r="D16" s="686"/>
      <c r="E16" s="686"/>
      <c r="F16" s="686"/>
    </row>
    <row r="17" spans="1:6" x14ac:dyDescent="0.35">
      <c r="B17" s="681" t="s">
        <v>1958</v>
      </c>
      <c r="C17" s="689">
        <f>C12/C9</f>
        <v>3.0320607999415206</v>
      </c>
      <c r="D17" s="690"/>
      <c r="E17" s="690"/>
      <c r="F17" s="690"/>
    </row>
    <row r="18" spans="1:6" x14ac:dyDescent="0.35">
      <c r="B18" s="681" t="s">
        <v>1959</v>
      </c>
      <c r="C18" s="691">
        <f>U112</f>
        <v>253156.60125000001</v>
      </c>
    </row>
    <row r="19" spans="1:6" ht="15" thickBot="1" x14ac:dyDescent="0.4">
      <c r="B19" s="692" t="s">
        <v>1960</v>
      </c>
      <c r="C19" s="693">
        <f>Y99</f>
        <v>3000</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697">
        <v>1.06</v>
      </c>
      <c r="D22" s="680" t="s">
        <v>1963</v>
      </c>
      <c r="E22" s="698"/>
      <c r="F22" s="680"/>
    </row>
    <row r="23" spans="1:6" x14ac:dyDescent="0.35">
      <c r="B23" s="681" t="s">
        <v>1964</v>
      </c>
      <c r="C23" s="699">
        <v>1</v>
      </c>
      <c r="D23" s="680"/>
      <c r="E23" s="698"/>
      <c r="F23" s="680"/>
    </row>
    <row r="24" spans="1:6" x14ac:dyDescent="0.35">
      <c r="B24" s="681" t="s">
        <v>1965</v>
      </c>
      <c r="C24" s="684">
        <f>C22*C7</f>
        <v>6083.5050219982522</v>
      </c>
      <c r="D24" s="683"/>
      <c r="E24" s="683"/>
      <c r="F24" s="683"/>
    </row>
    <row r="25" spans="1:6" x14ac:dyDescent="0.35">
      <c r="B25" s="681" t="s">
        <v>1966</v>
      </c>
      <c r="C25" s="684">
        <f>C22*C8</f>
        <v>2.0070729470823445</v>
      </c>
      <c r="D25" s="700"/>
      <c r="E25" s="700"/>
      <c r="F25" s="683"/>
    </row>
    <row r="26" spans="1:6" x14ac:dyDescent="0.35">
      <c r="B26" s="681" t="s">
        <v>1967</v>
      </c>
      <c r="C26" s="684">
        <f>C23*C9</f>
        <v>1246.6768476650946</v>
      </c>
      <c r="D26" s="683"/>
      <c r="E26" s="701"/>
      <c r="F26" s="683"/>
    </row>
    <row r="27" spans="1:6" x14ac:dyDescent="0.35">
      <c r="B27" s="681" t="s">
        <v>1968</v>
      </c>
      <c r="C27" s="688">
        <f>C11/C24</f>
        <v>0.1104626358604152</v>
      </c>
      <c r="D27" s="683"/>
      <c r="E27" s="701"/>
      <c r="F27" s="683"/>
    </row>
    <row r="28" spans="1:6" x14ac:dyDescent="0.35">
      <c r="B28" s="681" t="s">
        <v>1969</v>
      </c>
      <c r="C28" s="689">
        <f>C12/C26</f>
        <v>3.0320607999415206</v>
      </c>
      <c r="D28" s="690"/>
      <c r="E28" s="690"/>
      <c r="F28" s="690"/>
    </row>
    <row r="29" spans="1:6" ht="15" thickBot="1" x14ac:dyDescent="0.4">
      <c r="B29" s="692" t="s">
        <v>1970</v>
      </c>
      <c r="C29" s="702">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229.56622724521705</v>
      </c>
      <c r="D33" s="683"/>
      <c r="E33" s="683"/>
      <c r="F33" s="683"/>
    </row>
    <row r="34" spans="1:17" x14ac:dyDescent="0.35">
      <c r="B34" s="681" t="s">
        <v>1973</v>
      </c>
      <c r="C34" s="684">
        <f>C9/C5</f>
        <v>49.867073906603785</v>
      </c>
      <c r="D34" s="706"/>
      <c r="E34" s="706"/>
      <c r="F34" s="706"/>
    </row>
    <row r="35" spans="1:17" x14ac:dyDescent="0.35">
      <c r="B35" s="681" t="s">
        <v>1974</v>
      </c>
      <c r="C35" s="707">
        <f>C10/C5</f>
        <v>178.08</v>
      </c>
    </row>
    <row r="36" spans="1:17" x14ac:dyDescent="0.35">
      <c r="B36" s="681" t="s">
        <v>1975</v>
      </c>
      <c r="C36" s="708">
        <f>C18/C5</f>
        <v>10126.26405</v>
      </c>
    </row>
    <row r="37" spans="1:17" ht="15" thickBot="1" x14ac:dyDescent="0.4">
      <c r="B37" s="692" t="s">
        <v>1976</v>
      </c>
      <c r="C37" s="709">
        <f>C19/C5</f>
        <v>120</v>
      </c>
    </row>
    <row r="38" spans="1:17" x14ac:dyDescent="0.35">
      <c r="H38" s="698"/>
      <c r="I38" s="698"/>
      <c r="J38" s="698"/>
    </row>
    <row r="39" spans="1:17" ht="21" x14ac:dyDescent="0.5">
      <c r="A39" s="704" t="s">
        <v>1977</v>
      </c>
    </row>
    <row r="40" spans="1:17" ht="31.5" customHeight="1" x14ac:dyDescent="0.35">
      <c r="J40" s="2979" t="s">
        <v>1980</v>
      </c>
      <c r="K40" s="2980"/>
      <c r="L40" s="2980"/>
      <c r="M40" s="2980"/>
      <c r="N40" s="2980"/>
      <c r="O40" s="2980"/>
      <c r="P40" s="2980"/>
      <c r="Q40" s="2981"/>
    </row>
    <row r="41" spans="1:17" ht="15" thickBot="1" x14ac:dyDescent="0.4">
      <c r="B41" s="710" t="s">
        <v>1978</v>
      </c>
      <c r="C41" s="711" t="s">
        <v>1979</v>
      </c>
      <c r="D41" s="712"/>
      <c r="E41" s="712"/>
      <c r="F41" s="712"/>
      <c r="G41" s="698"/>
      <c r="J41" s="2982" t="s">
        <v>1981</v>
      </c>
      <c r="K41" s="2983"/>
      <c r="L41" s="2983"/>
      <c r="M41" s="2983"/>
      <c r="N41" s="2983"/>
      <c r="O41" s="2983"/>
      <c r="P41" s="2983"/>
      <c r="Q41" s="2984"/>
    </row>
    <row r="42" spans="1:17" x14ac:dyDescent="0.35">
      <c r="B42" s="678" t="s">
        <v>648</v>
      </c>
      <c r="C42" s="713">
        <v>2.67</v>
      </c>
      <c r="D42" s="714"/>
      <c r="E42" s="715"/>
      <c r="F42" s="716"/>
      <c r="G42" s="698"/>
      <c r="J42" s="2493" t="s">
        <v>1983</v>
      </c>
      <c r="K42" s="2494"/>
      <c r="L42" s="2494"/>
      <c r="M42" s="2494"/>
      <c r="N42" s="2494"/>
      <c r="O42" s="2494"/>
      <c r="P42" s="2494"/>
      <c r="Q42" s="2495"/>
    </row>
    <row r="43" spans="1:17" x14ac:dyDescent="0.35">
      <c r="B43" s="681" t="s">
        <v>652</v>
      </c>
      <c r="C43" s="717">
        <v>1.75</v>
      </c>
      <c r="D43" s="698" t="s">
        <v>1982</v>
      </c>
      <c r="E43" s="698"/>
      <c r="F43" s="718"/>
      <c r="G43" s="698"/>
      <c r="J43" s="2493" t="s">
        <v>1985</v>
      </c>
      <c r="K43" s="2494"/>
      <c r="L43" s="2494"/>
      <c r="M43" s="2494"/>
      <c r="N43" s="2494"/>
      <c r="O43" s="2494"/>
      <c r="P43" s="2494"/>
      <c r="Q43" s="2495"/>
    </row>
    <row r="44" spans="1:17" x14ac:dyDescent="0.35">
      <c r="B44" s="681" t="s">
        <v>1984</v>
      </c>
      <c r="C44" s="2679">
        <v>0.11700000000000001</v>
      </c>
      <c r="D44" s="698"/>
      <c r="E44" s="698"/>
      <c r="F44" s="698"/>
      <c r="G44" s="698"/>
      <c r="J44" s="2493" t="s">
        <v>1986</v>
      </c>
      <c r="K44" s="2494"/>
      <c r="L44" s="2494"/>
      <c r="M44" s="2494"/>
      <c r="N44" s="2494"/>
      <c r="O44" s="2494"/>
      <c r="P44" s="2494"/>
      <c r="Q44" s="2495"/>
    </row>
    <row r="45" spans="1:17" x14ac:dyDescent="0.35">
      <c r="B45" s="681" t="s">
        <v>303</v>
      </c>
      <c r="C45" s="2384">
        <v>0.98</v>
      </c>
      <c r="D45" s="698"/>
      <c r="E45" s="698"/>
      <c r="F45" s="698"/>
      <c r="G45" s="698"/>
      <c r="J45" s="2991" t="s">
        <v>1988</v>
      </c>
      <c r="K45" s="2992"/>
      <c r="L45" s="2992"/>
      <c r="M45" s="2992"/>
      <c r="N45" s="2992"/>
      <c r="O45" s="2992"/>
      <c r="P45" s="2992"/>
      <c r="Q45" s="2993"/>
    </row>
    <row r="46" spans="1:17" x14ac:dyDescent="0.35">
      <c r="B46" s="681" t="s">
        <v>1987</v>
      </c>
      <c r="C46" s="2679">
        <v>5.7999999999999996E-3</v>
      </c>
      <c r="D46" s="698"/>
      <c r="E46" s="698"/>
      <c r="F46" s="698"/>
      <c r="G46" s="698"/>
      <c r="J46" s="2505" t="s">
        <v>3310</v>
      </c>
      <c r="K46" s="2506"/>
      <c r="L46" s="2506"/>
      <c r="M46" s="2506"/>
      <c r="N46" s="2506"/>
      <c r="O46" s="2506"/>
      <c r="P46" s="2506"/>
      <c r="Q46" s="2507"/>
    </row>
    <row r="47" spans="1:17" x14ac:dyDescent="0.35">
      <c r="B47" s="681" t="s">
        <v>1989</v>
      </c>
      <c r="C47" s="721">
        <v>8.1999999999999993</v>
      </c>
      <c r="E47" s="698"/>
      <c r="F47" s="698"/>
      <c r="G47" s="698"/>
      <c r="J47" s="2516" t="s">
        <v>1990</v>
      </c>
      <c r="K47" s="725"/>
      <c r="L47" s="725"/>
      <c r="M47" s="725"/>
      <c r="N47" s="725"/>
      <c r="O47" s="725"/>
      <c r="P47" s="725"/>
      <c r="Q47" s="726"/>
    </row>
    <row r="48" spans="1:17" x14ac:dyDescent="0.35">
      <c r="B48" s="681" t="s">
        <v>1991</v>
      </c>
      <c r="C48" s="721">
        <v>8.1999999999999993</v>
      </c>
      <c r="D48" s="723"/>
      <c r="E48" s="723"/>
      <c r="F48" s="698"/>
      <c r="G48" s="698"/>
      <c r="J48" s="724" t="s">
        <v>647</v>
      </c>
      <c r="K48" s="725" t="s">
        <v>1992</v>
      </c>
      <c r="L48" s="725" t="s">
        <v>1993</v>
      </c>
      <c r="M48" s="725"/>
      <c r="N48" s="725"/>
      <c r="O48" s="725"/>
      <c r="P48" s="725"/>
      <c r="Q48" s="726"/>
    </row>
    <row r="49" spans="2:18" x14ac:dyDescent="0.35">
      <c r="B49" s="727" t="s">
        <v>1994</v>
      </c>
      <c r="C49" s="728">
        <v>27.51</v>
      </c>
      <c r="D49" s="729"/>
      <c r="E49" s="729"/>
      <c r="F49" s="698"/>
      <c r="G49" s="698"/>
      <c r="J49" s="724" t="s">
        <v>648</v>
      </c>
      <c r="K49" s="725" t="s">
        <v>1992</v>
      </c>
      <c r="L49" s="725" t="s">
        <v>1995</v>
      </c>
      <c r="M49" s="725"/>
      <c r="N49" s="725"/>
      <c r="O49" s="725"/>
      <c r="P49" s="725"/>
      <c r="Q49" s="726"/>
    </row>
    <row r="50" spans="2:18" x14ac:dyDescent="0.35">
      <c r="B50" s="727" t="s">
        <v>440</v>
      </c>
      <c r="C50" s="2522">
        <v>2.7799999999999998E-2</v>
      </c>
      <c r="D50" s="729"/>
      <c r="E50" s="729"/>
      <c r="F50" s="698"/>
      <c r="G50" s="698"/>
      <c r="J50" s="724" t="s">
        <v>652</v>
      </c>
      <c r="K50" s="725" t="s">
        <v>1992</v>
      </c>
      <c r="L50" s="725" t="s">
        <v>1996</v>
      </c>
      <c r="M50" s="725"/>
      <c r="N50" s="725"/>
      <c r="O50" s="725"/>
      <c r="P50" s="725"/>
      <c r="Q50" s="726"/>
    </row>
    <row r="51" spans="2:18" ht="15" thickBot="1" x14ac:dyDescent="0.4">
      <c r="B51" s="2523" t="s">
        <v>3311</v>
      </c>
      <c r="C51" s="2526">
        <v>5010</v>
      </c>
      <c r="D51" s="729"/>
      <c r="E51" s="729"/>
      <c r="F51" s="698"/>
      <c r="G51" s="698"/>
      <c r="J51" s="724" t="s">
        <v>650</v>
      </c>
      <c r="K51" s="725" t="s">
        <v>1992</v>
      </c>
      <c r="L51" s="725" t="s">
        <v>1997</v>
      </c>
      <c r="M51" s="725"/>
      <c r="N51" s="725"/>
      <c r="O51" s="725"/>
      <c r="P51" s="725"/>
      <c r="Q51" s="726"/>
      <c r="R51" s="698"/>
    </row>
    <row r="52" spans="2:18" x14ac:dyDescent="0.35">
      <c r="B52" s="730"/>
      <c r="C52" s="731"/>
      <c r="D52" s="729"/>
      <c r="E52" s="729"/>
      <c r="F52" s="698"/>
      <c r="G52" s="698"/>
      <c r="J52" s="724" t="s">
        <v>653</v>
      </c>
      <c r="K52" s="725" t="s">
        <v>1992</v>
      </c>
      <c r="L52" s="725" t="s">
        <v>1998</v>
      </c>
      <c r="M52" s="725"/>
      <c r="N52" s="725"/>
      <c r="O52" s="725"/>
      <c r="P52" s="725"/>
      <c r="Q52" s="726"/>
      <c r="R52" s="698"/>
    </row>
    <row r="53" spans="2:18" x14ac:dyDescent="0.35">
      <c r="B53" s="730"/>
      <c r="C53" s="731"/>
      <c r="D53" s="729"/>
      <c r="E53" s="729"/>
      <c r="F53" s="698"/>
      <c r="G53" s="698"/>
      <c r="J53" s="2493">
        <v>365.25</v>
      </c>
      <c r="K53" s="725" t="s">
        <v>1992</v>
      </c>
      <c r="L53" s="725" t="s">
        <v>1999</v>
      </c>
      <c r="M53" s="725"/>
      <c r="N53" s="725"/>
      <c r="O53" s="725"/>
      <c r="P53" s="725"/>
      <c r="Q53" s="726"/>
      <c r="R53" s="698"/>
    </row>
    <row r="54" spans="2:18" x14ac:dyDescent="0.35">
      <c r="B54" s="730"/>
      <c r="C54" s="731"/>
      <c r="D54" s="729"/>
      <c r="E54" s="729"/>
      <c r="F54" s="698"/>
      <c r="G54" s="698"/>
      <c r="J54" s="724" t="s">
        <v>2000</v>
      </c>
      <c r="K54" s="725" t="s">
        <v>2001</v>
      </c>
      <c r="L54" s="725" t="s">
        <v>2002</v>
      </c>
      <c r="M54" s="725"/>
      <c r="N54" s="725"/>
      <c r="O54" s="725"/>
      <c r="P54" s="725"/>
      <c r="Q54" s="726"/>
      <c r="R54" s="698"/>
    </row>
    <row r="55" spans="2:18" x14ac:dyDescent="0.35">
      <c r="B55" s="730"/>
      <c r="C55" s="731"/>
      <c r="D55" s="729"/>
      <c r="E55" s="729"/>
      <c r="F55" s="698"/>
      <c r="G55" s="698"/>
      <c r="J55" s="724" t="s">
        <v>658</v>
      </c>
      <c r="K55" s="725" t="s">
        <v>1992</v>
      </c>
      <c r="L55" s="725" t="s">
        <v>2003</v>
      </c>
      <c r="M55" s="725"/>
      <c r="N55" s="725"/>
      <c r="O55" s="725"/>
      <c r="P55" s="725"/>
      <c r="Q55" s="726"/>
      <c r="R55" s="698"/>
    </row>
    <row r="56" spans="2:18" x14ac:dyDescent="0.35">
      <c r="B56" s="730"/>
      <c r="C56" s="731"/>
      <c r="D56" s="729"/>
      <c r="E56" s="729"/>
      <c r="F56" s="698"/>
      <c r="G56" s="698"/>
      <c r="J56" s="724" t="s">
        <v>303</v>
      </c>
      <c r="K56" s="725" t="s">
        <v>1992</v>
      </c>
      <c r="L56" s="725" t="s">
        <v>2004</v>
      </c>
      <c r="M56" s="725"/>
      <c r="N56" s="725"/>
      <c r="O56" s="725"/>
      <c r="P56" s="725"/>
      <c r="Q56" s="726"/>
      <c r="R56" s="698"/>
    </row>
    <row r="57" spans="2:18" x14ac:dyDescent="0.35">
      <c r="B57" s="730"/>
      <c r="C57" s="731"/>
      <c r="D57" s="729"/>
      <c r="E57" s="729"/>
      <c r="F57" s="698"/>
      <c r="G57" s="698"/>
      <c r="J57" s="724" t="s">
        <v>293</v>
      </c>
      <c r="K57" s="725" t="s">
        <v>1992</v>
      </c>
      <c r="L57" s="725" t="s">
        <v>2005</v>
      </c>
      <c r="M57" s="725"/>
      <c r="N57" s="725"/>
      <c r="O57" s="725"/>
      <c r="P57" s="725"/>
      <c r="Q57" s="726"/>
      <c r="R57" s="698"/>
    </row>
    <row r="58" spans="2:18" x14ac:dyDescent="0.35">
      <c r="B58" s="730"/>
      <c r="C58" s="731"/>
      <c r="D58" s="729"/>
      <c r="E58" s="729"/>
      <c r="F58" s="698"/>
      <c r="G58" s="698"/>
      <c r="J58" s="724" t="s">
        <v>440</v>
      </c>
      <c r="K58" s="725" t="s">
        <v>1992</v>
      </c>
      <c r="L58" s="725" t="s">
        <v>2006</v>
      </c>
      <c r="M58" s="725"/>
      <c r="N58" s="725"/>
      <c r="O58" s="725"/>
      <c r="P58" s="725"/>
      <c r="Q58" s="726"/>
      <c r="R58" s="698"/>
    </row>
    <row r="59" spans="2:18" x14ac:dyDescent="0.35">
      <c r="B59" s="730"/>
      <c r="C59" s="731"/>
      <c r="D59" s="729"/>
      <c r="E59" s="729"/>
      <c r="F59" s="698"/>
      <c r="G59" s="698"/>
      <c r="J59" s="724" t="s">
        <v>664</v>
      </c>
      <c r="K59" s="725" t="s">
        <v>1992</v>
      </c>
      <c r="L59" s="725" t="s">
        <v>2007</v>
      </c>
      <c r="M59" s="725"/>
      <c r="N59" s="725"/>
      <c r="O59" s="725"/>
      <c r="P59" s="725"/>
      <c r="Q59" s="726"/>
      <c r="R59" s="698"/>
    </row>
    <row r="60" spans="2:18" x14ac:dyDescent="0.35">
      <c r="B60" s="730"/>
      <c r="C60" s="731"/>
      <c r="D60" s="729"/>
      <c r="E60" s="729"/>
      <c r="F60" s="698"/>
      <c r="G60" s="698"/>
      <c r="J60" s="724" t="s">
        <v>665</v>
      </c>
      <c r="K60" s="725" t="s">
        <v>1992</v>
      </c>
      <c r="L60" s="725" t="s">
        <v>2008</v>
      </c>
      <c r="M60" s="725"/>
      <c r="N60" s="725"/>
      <c r="O60" s="725"/>
      <c r="P60" s="725"/>
      <c r="Q60" s="726"/>
      <c r="R60" s="698"/>
    </row>
    <row r="61" spans="2:18" x14ac:dyDescent="0.35">
      <c r="B61" s="730"/>
      <c r="C61" s="731"/>
      <c r="D61" s="729"/>
      <c r="E61" s="729"/>
      <c r="F61" s="698"/>
      <c r="G61" s="698"/>
      <c r="J61" s="724" t="s">
        <v>1994</v>
      </c>
      <c r="K61" s="725" t="s">
        <v>1992</v>
      </c>
      <c r="L61" s="725" t="s">
        <v>2009</v>
      </c>
      <c r="M61" s="725"/>
      <c r="N61" s="725"/>
      <c r="O61" s="725"/>
      <c r="P61" s="725"/>
      <c r="Q61" s="726"/>
      <c r="R61" s="698"/>
    </row>
    <row r="62" spans="2:18" ht="15" thickBot="1" x14ac:dyDescent="0.4">
      <c r="F62" s="698"/>
      <c r="G62" s="698"/>
      <c r="J62" s="2502" t="s">
        <v>3311</v>
      </c>
      <c r="K62" s="2503" t="s">
        <v>1992</v>
      </c>
      <c r="L62" s="2503" t="s">
        <v>3312</v>
      </c>
      <c r="M62" s="2503"/>
      <c r="N62" s="2503"/>
      <c r="O62" s="2503"/>
      <c r="P62" s="2503"/>
      <c r="Q62" s="2504"/>
    </row>
    <row r="63" spans="2:18" x14ac:dyDescent="0.35">
      <c r="B63" s="733" t="s">
        <v>2010</v>
      </c>
      <c r="F63" s="698"/>
      <c r="G63" s="698"/>
      <c r="J63" s="698"/>
      <c r="K63" s="698"/>
      <c r="L63" s="698"/>
      <c r="M63" s="698"/>
      <c r="N63" s="698"/>
      <c r="O63" s="698"/>
      <c r="P63" s="698"/>
      <c r="Q63" s="698"/>
    </row>
    <row r="64" spans="2:18" ht="15" thickBot="1" x14ac:dyDescent="0.4">
      <c r="B64" s="734">
        <v>12</v>
      </c>
      <c r="C64" s="675" t="s">
        <v>2011</v>
      </c>
      <c r="F64" s="698"/>
      <c r="G64" s="698"/>
      <c r="J64" s="698"/>
      <c r="K64" s="698"/>
      <c r="L64" s="698"/>
      <c r="M64" s="698"/>
      <c r="N64" s="698"/>
      <c r="O64" s="698"/>
      <c r="P64" s="698"/>
      <c r="Q64" s="698"/>
    </row>
    <row r="65" spans="1:24" x14ac:dyDescent="0.35">
      <c r="J65" s="698"/>
      <c r="K65" s="698"/>
      <c r="L65" s="698"/>
      <c r="M65" s="698"/>
      <c r="N65" s="698"/>
      <c r="O65" s="698"/>
      <c r="P65" s="698"/>
      <c r="Q65" s="698"/>
    </row>
    <row r="66" spans="1:24" ht="21" x14ac:dyDescent="0.5">
      <c r="A66" s="704" t="s">
        <v>2012</v>
      </c>
      <c r="J66" s="698"/>
      <c r="K66" s="698"/>
      <c r="L66" s="698"/>
      <c r="M66" s="698"/>
      <c r="N66" s="698"/>
      <c r="O66" s="698"/>
      <c r="P66" s="698"/>
      <c r="Q66" s="698"/>
    </row>
    <row r="67" spans="1:24" ht="21.5" thickBot="1" x14ac:dyDescent="0.55000000000000004">
      <c r="A67" s="704"/>
      <c r="B67" s="698"/>
      <c r="C67" s="735"/>
      <c r="J67" s="698"/>
      <c r="K67" s="698"/>
      <c r="L67" s="698"/>
      <c r="M67" s="698"/>
      <c r="N67" s="698"/>
      <c r="O67" s="698"/>
      <c r="P67" s="698"/>
      <c r="Q67" s="698"/>
    </row>
    <row r="68" spans="1:24" x14ac:dyDescent="0.35">
      <c r="B68" s="736" t="s">
        <v>2013</v>
      </c>
      <c r="E68" s="831"/>
      <c r="F68" s="737"/>
      <c r="G68" s="737"/>
    </row>
    <row r="69" spans="1:24" ht="15" thickBot="1" x14ac:dyDescent="0.4">
      <c r="B69" s="738">
        <v>17.808</v>
      </c>
      <c r="E69" s="828"/>
      <c r="F69" s="739"/>
      <c r="G69" s="739"/>
    </row>
    <row r="70" spans="1:24" x14ac:dyDescent="0.35">
      <c r="B70" s="739"/>
      <c r="C70" s="739"/>
      <c r="D70" s="739"/>
      <c r="E70" s="739"/>
      <c r="F70" s="739"/>
      <c r="G70" s="739"/>
    </row>
    <row r="71" spans="1:24" ht="21" x14ac:dyDescent="0.5">
      <c r="A71" s="704" t="s">
        <v>2014</v>
      </c>
      <c r="C71" s="675" t="s">
        <v>2015</v>
      </c>
    </row>
    <row r="72" spans="1:24" ht="21.5" thickBot="1" x14ac:dyDescent="0.55000000000000004">
      <c r="A72" s="704"/>
    </row>
    <row r="73" spans="1:24" ht="45" x14ac:dyDescent="0.5">
      <c r="A73" s="704"/>
      <c r="B73" s="740" t="s">
        <v>2016</v>
      </c>
      <c r="C73" s="741" t="s">
        <v>2017</v>
      </c>
      <c r="D73" s="742" t="s">
        <v>2018</v>
      </c>
    </row>
    <row r="74" spans="1:24" ht="21.5" thickBot="1" x14ac:dyDescent="0.55000000000000004">
      <c r="A74" s="704"/>
      <c r="B74" s="743">
        <v>25</v>
      </c>
      <c r="C74" s="744">
        <v>10</v>
      </c>
      <c r="D74" s="745">
        <f>C74*B74</f>
        <v>250</v>
      </c>
    </row>
    <row r="75" spans="1:24" ht="15" thickBot="1" x14ac:dyDescent="0.4"/>
    <row r="76" spans="1:24" ht="29" x14ac:dyDescent="0.35">
      <c r="B76" s="746" t="s">
        <v>2019</v>
      </c>
      <c r="C76" s="747" t="s">
        <v>2020</v>
      </c>
      <c r="D76" s="742" t="s">
        <v>1948</v>
      </c>
      <c r="E76" s="698"/>
      <c r="F76" s="698"/>
      <c r="G76" s="748"/>
      <c r="H76" s="748"/>
      <c r="I76" s="748"/>
      <c r="J76" s="748"/>
      <c r="K76" s="698"/>
      <c r="L76" s="698"/>
      <c r="M76" s="698"/>
      <c r="N76" s="698"/>
      <c r="O76" s="698"/>
    </row>
    <row r="77" spans="1:24" x14ac:dyDescent="0.35">
      <c r="B77" s="749" t="s">
        <v>2021</v>
      </c>
      <c r="C77" s="750">
        <v>0</v>
      </c>
      <c r="D77" s="751">
        <f t="shared" ref="D77:D89" si="0">C77*D$74</f>
        <v>0</v>
      </c>
      <c r="E77" s="698"/>
      <c r="F77" s="698"/>
      <c r="G77" s="698"/>
      <c r="H77" s="698"/>
      <c r="I77" s="698"/>
      <c r="J77" s="698"/>
      <c r="K77" s="698"/>
      <c r="L77" s="698"/>
      <c r="M77" s="698"/>
      <c r="N77" s="698"/>
      <c r="O77" s="698"/>
    </row>
    <row r="78" spans="1:24" ht="18.5" x14ac:dyDescent="0.35">
      <c r="B78" s="749" t="s">
        <v>2022</v>
      </c>
      <c r="C78" s="750">
        <v>0</v>
      </c>
      <c r="D78" s="751">
        <f t="shared" si="0"/>
        <v>0</v>
      </c>
      <c r="E78" s="752"/>
      <c r="F78" s="752"/>
      <c r="G78" s="752"/>
      <c r="H78" s="753"/>
      <c r="I78" s="753"/>
      <c r="J78" s="753"/>
      <c r="K78" s="698"/>
      <c r="L78" s="698"/>
      <c r="M78" s="698"/>
      <c r="N78" s="698"/>
      <c r="O78" s="698"/>
      <c r="T78" s="753"/>
      <c r="U78" s="753"/>
      <c r="V78" s="753"/>
      <c r="W78" s="753"/>
      <c r="X78" s="753"/>
    </row>
    <row r="79" spans="1:24" x14ac:dyDescent="0.35">
      <c r="B79" s="749" t="s">
        <v>2023</v>
      </c>
      <c r="C79" s="750">
        <v>0</v>
      </c>
      <c r="D79" s="751">
        <f t="shared" si="0"/>
        <v>0</v>
      </c>
      <c r="E79" s="712"/>
      <c r="F79" s="712"/>
      <c r="G79" s="712"/>
      <c r="H79" s="754"/>
      <c r="I79" s="712"/>
      <c r="J79" s="754"/>
      <c r="K79" s="698"/>
      <c r="L79" s="698"/>
      <c r="M79" s="698"/>
      <c r="N79" s="698"/>
      <c r="O79" s="698"/>
      <c r="T79" s="753"/>
      <c r="U79" s="753"/>
      <c r="V79" s="753"/>
      <c r="W79" s="753"/>
      <c r="X79" s="753"/>
    </row>
    <row r="80" spans="1:24" x14ac:dyDescent="0.35">
      <c r="B80" s="749" t="s">
        <v>2024</v>
      </c>
      <c r="C80" s="750">
        <v>0</v>
      </c>
      <c r="D80" s="751">
        <f t="shared" si="0"/>
        <v>0</v>
      </c>
      <c r="E80" s="755"/>
      <c r="F80" s="756"/>
      <c r="G80" s="757"/>
      <c r="H80" s="758"/>
      <c r="I80" s="731"/>
      <c r="J80" s="759"/>
      <c r="K80" s="698"/>
      <c r="L80" s="698"/>
      <c r="M80" s="698"/>
      <c r="N80" s="698"/>
      <c r="O80" s="698"/>
      <c r="T80" s="760"/>
      <c r="U80" s="761"/>
      <c r="V80" s="762"/>
      <c r="W80" s="763"/>
      <c r="X80" s="764"/>
    </row>
    <row r="81" spans="1:24" x14ac:dyDescent="0.35">
      <c r="B81" s="749" t="s">
        <v>2025</v>
      </c>
      <c r="C81" s="750">
        <v>0</v>
      </c>
      <c r="D81" s="751">
        <f t="shared" si="0"/>
        <v>0</v>
      </c>
      <c r="E81" s="755"/>
      <c r="F81" s="756"/>
      <c r="G81" s="757"/>
      <c r="H81" s="758"/>
      <c r="I81" s="759"/>
      <c r="J81" s="759"/>
      <c r="K81" s="698"/>
      <c r="L81" s="698"/>
      <c r="M81" s="698"/>
      <c r="N81" s="698"/>
      <c r="O81" s="698"/>
      <c r="T81" s="760"/>
      <c r="U81" s="761"/>
      <c r="V81" s="762"/>
      <c r="W81" s="763"/>
      <c r="X81" s="764"/>
    </row>
    <row r="82" spans="1:24" x14ac:dyDescent="0.35">
      <c r="B82" s="749" t="s">
        <v>2026</v>
      </c>
      <c r="C82" s="750">
        <v>0</v>
      </c>
      <c r="D82" s="751">
        <f t="shared" si="0"/>
        <v>0</v>
      </c>
      <c r="E82" s="755"/>
      <c r="F82" s="756"/>
      <c r="G82" s="757"/>
      <c r="H82" s="758"/>
      <c r="I82" s="759"/>
      <c r="J82" s="759"/>
      <c r="K82" s="698"/>
      <c r="L82" s="698"/>
      <c r="M82" s="698"/>
      <c r="N82" s="698"/>
      <c r="O82" s="698"/>
      <c r="T82" s="760"/>
      <c r="U82" s="761"/>
      <c r="V82" s="762"/>
      <c r="W82" s="763"/>
      <c r="X82" s="764"/>
    </row>
    <row r="83" spans="1:24" x14ac:dyDescent="0.35">
      <c r="B83" s="749" t="s">
        <v>2027</v>
      </c>
      <c r="C83" s="750">
        <v>0</v>
      </c>
      <c r="D83" s="751">
        <f t="shared" si="0"/>
        <v>0</v>
      </c>
      <c r="E83" s="755"/>
      <c r="F83" s="756"/>
      <c r="G83" s="757"/>
      <c r="H83" s="758"/>
      <c r="I83" s="759"/>
      <c r="J83" s="759"/>
      <c r="K83" s="698"/>
      <c r="L83" s="698"/>
      <c r="M83" s="698"/>
      <c r="N83" s="698"/>
      <c r="O83" s="698"/>
      <c r="T83" s="760"/>
      <c r="U83" s="761"/>
      <c r="V83" s="762"/>
      <c r="W83" s="763"/>
      <c r="X83" s="764"/>
    </row>
    <row r="84" spans="1:24" x14ac:dyDescent="0.35">
      <c r="B84" s="749" t="s">
        <v>2028</v>
      </c>
      <c r="C84" s="750">
        <v>0</v>
      </c>
      <c r="D84" s="751">
        <f t="shared" si="0"/>
        <v>0</v>
      </c>
      <c r="E84" s="755"/>
      <c r="F84" s="756"/>
      <c r="G84" s="757"/>
      <c r="H84" s="758"/>
      <c r="I84" s="759"/>
      <c r="J84" s="759"/>
      <c r="K84" s="698"/>
      <c r="L84" s="698"/>
      <c r="M84" s="698"/>
      <c r="N84" s="698"/>
      <c r="O84" s="698"/>
      <c r="T84" s="760"/>
      <c r="U84" s="761"/>
      <c r="V84" s="762"/>
      <c r="W84" s="763"/>
      <c r="X84" s="764"/>
    </row>
    <row r="85" spans="1:24" x14ac:dyDescent="0.35">
      <c r="B85" s="749" t="s">
        <v>2029</v>
      </c>
      <c r="C85" s="750">
        <v>0</v>
      </c>
      <c r="D85" s="751">
        <f t="shared" si="0"/>
        <v>0</v>
      </c>
      <c r="E85" s="755"/>
      <c r="F85" s="756"/>
      <c r="G85" s="757"/>
      <c r="H85" s="758"/>
      <c r="I85" s="759"/>
      <c r="J85" s="759"/>
      <c r="K85" s="698"/>
      <c r="L85" s="698"/>
      <c r="M85" s="698"/>
      <c r="N85" s="698"/>
      <c r="O85" s="698"/>
      <c r="T85" s="760"/>
      <c r="U85" s="761"/>
      <c r="V85" s="762"/>
      <c r="W85" s="763"/>
      <c r="X85" s="764"/>
    </row>
    <row r="86" spans="1:24" x14ac:dyDescent="0.35">
      <c r="B86" s="749" t="s">
        <v>2030</v>
      </c>
      <c r="C86" s="750">
        <v>0.5</v>
      </c>
      <c r="D86" s="751">
        <f t="shared" si="0"/>
        <v>125</v>
      </c>
      <c r="E86" s="755"/>
      <c r="F86" s="756"/>
      <c r="G86" s="757"/>
      <c r="H86" s="758"/>
      <c r="I86" s="759"/>
      <c r="J86" s="759"/>
      <c r="K86" s="698"/>
      <c r="L86" s="698"/>
      <c r="M86" s="698"/>
      <c r="N86" s="698"/>
      <c r="O86" s="698"/>
      <c r="T86" s="760"/>
      <c r="U86" s="761"/>
      <c r="V86" s="762"/>
      <c r="W86" s="763"/>
      <c r="X86" s="764"/>
    </row>
    <row r="87" spans="1:24" x14ac:dyDescent="0.35">
      <c r="B87" s="749" t="s">
        <v>2031</v>
      </c>
      <c r="C87" s="750">
        <v>0</v>
      </c>
      <c r="D87" s="751">
        <f t="shared" si="0"/>
        <v>0</v>
      </c>
      <c r="E87" s="755"/>
      <c r="F87" s="756"/>
      <c r="G87" s="757"/>
      <c r="H87" s="758"/>
      <c r="I87" s="759"/>
      <c r="J87" s="759"/>
      <c r="K87" s="698"/>
      <c r="L87" s="698"/>
      <c r="M87" s="698"/>
      <c r="N87" s="698"/>
      <c r="O87" s="698"/>
      <c r="T87" s="760"/>
      <c r="U87" s="761"/>
      <c r="V87" s="762"/>
      <c r="W87" s="763"/>
      <c r="X87" s="764"/>
    </row>
    <row r="88" spans="1:24" x14ac:dyDescent="0.35">
      <c r="B88" s="749" t="s">
        <v>2032</v>
      </c>
      <c r="C88" s="750">
        <v>0.5</v>
      </c>
      <c r="D88" s="751">
        <f t="shared" si="0"/>
        <v>125</v>
      </c>
      <c r="E88" s="755"/>
      <c r="F88" s="756"/>
      <c r="G88" s="757"/>
      <c r="H88" s="758"/>
      <c r="I88" s="759"/>
      <c r="J88" s="759"/>
      <c r="K88" s="698"/>
      <c r="L88" s="698"/>
      <c r="M88" s="698"/>
      <c r="N88" s="698"/>
      <c r="O88" s="698"/>
      <c r="T88" s="760"/>
      <c r="U88" s="761"/>
      <c r="V88" s="762"/>
      <c r="W88" s="763"/>
      <c r="X88" s="764"/>
    </row>
    <row r="89" spans="1:24" ht="15" customHeight="1" thickBot="1" x14ac:dyDescent="0.4">
      <c r="B89" s="765" t="s">
        <v>2033</v>
      </c>
      <c r="C89" s="766">
        <v>0</v>
      </c>
      <c r="D89" s="767">
        <f t="shared" si="0"/>
        <v>0</v>
      </c>
      <c r="E89" s="768"/>
      <c r="F89" s="768"/>
      <c r="G89" s="680"/>
      <c r="H89" s="758"/>
      <c r="I89" s="759"/>
      <c r="J89" s="759"/>
      <c r="K89" s="769"/>
      <c r="L89" s="769"/>
      <c r="M89" s="769"/>
      <c r="N89" s="770"/>
      <c r="O89" s="759"/>
      <c r="P89" s="759"/>
      <c r="Q89" s="759"/>
      <c r="R89" s="759"/>
      <c r="S89" s="759"/>
      <c r="T89" s="760"/>
      <c r="U89" s="761"/>
      <c r="V89" s="762"/>
      <c r="W89" s="763"/>
      <c r="X89" s="764"/>
    </row>
    <row r="90" spans="1:24" ht="15" thickBot="1" x14ac:dyDescent="0.4">
      <c r="C90" s="771"/>
      <c r="G90" s="748"/>
      <c r="H90" s="748"/>
      <c r="I90" s="748"/>
    </row>
    <row r="91" spans="1:24" x14ac:dyDescent="0.35">
      <c r="B91" s="772" t="s">
        <v>2034</v>
      </c>
      <c r="C91" s="773" t="s">
        <v>2035</v>
      </c>
      <c r="E91" s="686"/>
      <c r="G91" s="748"/>
      <c r="H91" s="748"/>
      <c r="I91" s="748"/>
    </row>
    <row r="92" spans="1:24" x14ac:dyDescent="0.35">
      <c r="B92" s="774" t="s">
        <v>647</v>
      </c>
      <c r="C92" s="775">
        <f>2.688/17.808</f>
        <v>0.15094339622641512</v>
      </c>
      <c r="D92" s="832"/>
      <c r="E92" s="690"/>
      <c r="G92" s="748"/>
      <c r="H92" s="748"/>
      <c r="I92" s="748"/>
    </row>
    <row r="93" spans="1:24" ht="15" thickBot="1" x14ac:dyDescent="0.4">
      <c r="B93" s="776" t="s">
        <v>664</v>
      </c>
      <c r="C93" s="777">
        <f>1-C92</f>
        <v>0.84905660377358494</v>
      </c>
      <c r="D93" s="832"/>
      <c r="G93" s="748"/>
      <c r="H93" s="748"/>
      <c r="I93" s="748"/>
    </row>
    <row r="95" spans="1:24" ht="21" x14ac:dyDescent="0.5">
      <c r="A95" s="704" t="s">
        <v>2036</v>
      </c>
      <c r="C95" s="675" t="s">
        <v>2037</v>
      </c>
    </row>
    <row r="96" spans="1:24" ht="15" thickBot="1" x14ac:dyDescent="0.4"/>
    <row r="97" spans="2:25" ht="41.25" customHeight="1" thickBot="1" x14ac:dyDescent="0.65">
      <c r="B97" s="778"/>
      <c r="C97" s="2988" t="s">
        <v>2038</v>
      </c>
      <c r="D97" s="2989"/>
      <c r="E97" s="2990"/>
      <c r="F97" s="2985" t="s">
        <v>2039</v>
      </c>
      <c r="G97" s="2986"/>
      <c r="H97" s="2986"/>
      <c r="I97" s="2986"/>
      <c r="J97" s="2986"/>
      <c r="K97" s="2986"/>
      <c r="L97" s="2986"/>
      <c r="M97" s="2986"/>
      <c r="N97" s="2986"/>
      <c r="O97" s="2987"/>
      <c r="P97" s="2985" t="s">
        <v>2040</v>
      </c>
      <c r="Q97" s="2986"/>
      <c r="R97" s="2986"/>
      <c r="S97" s="2986"/>
      <c r="T97" s="2986"/>
      <c r="U97" s="2987"/>
      <c r="V97" s="779"/>
    </row>
    <row r="98" spans="2:25" ht="44" thickBot="1" x14ac:dyDescent="0.4">
      <c r="B98" s="780" t="s">
        <v>2019</v>
      </c>
      <c r="C98" s="781" t="s">
        <v>2041</v>
      </c>
      <c r="D98" s="781" t="s">
        <v>2000</v>
      </c>
      <c r="E98" s="781" t="s">
        <v>293</v>
      </c>
      <c r="F98" s="781" t="s">
        <v>647</v>
      </c>
      <c r="G98" s="781" t="s">
        <v>664</v>
      </c>
      <c r="H98" s="781" t="s">
        <v>1368</v>
      </c>
      <c r="I98" s="781" t="s">
        <v>1989</v>
      </c>
      <c r="J98" s="781" t="s">
        <v>1991</v>
      </c>
      <c r="K98" s="781" t="s">
        <v>648</v>
      </c>
      <c r="L98" s="781" t="s">
        <v>652</v>
      </c>
      <c r="M98" s="781" t="s">
        <v>1984</v>
      </c>
      <c r="N98" s="781" t="s">
        <v>303</v>
      </c>
      <c r="O98" s="781" t="s">
        <v>1987</v>
      </c>
      <c r="P98" s="2528" t="s">
        <v>2042</v>
      </c>
      <c r="Q98" s="2528" t="s">
        <v>3314</v>
      </c>
      <c r="R98" s="781" t="s">
        <v>2043</v>
      </c>
      <c r="S98" s="781" t="s">
        <v>2044</v>
      </c>
      <c r="T98" s="781" t="s">
        <v>2045</v>
      </c>
      <c r="U98" s="782" t="s">
        <v>2046</v>
      </c>
      <c r="V98" s="712"/>
      <c r="W98" s="783" t="s">
        <v>2047</v>
      </c>
      <c r="X98" s="747" t="s">
        <v>2041</v>
      </c>
      <c r="Y98" s="773" t="s">
        <v>2048</v>
      </c>
    </row>
    <row r="99" spans="2:25" ht="15" thickBot="1" x14ac:dyDescent="0.4">
      <c r="B99" s="784" t="s">
        <v>2021</v>
      </c>
      <c r="C99" s="785">
        <f>D77</f>
        <v>0</v>
      </c>
      <c r="D99" s="785">
        <v>1</v>
      </c>
      <c r="E99" s="785">
        <f>(($C$42*$C$47)*D99*365.25)*0.773/$C$49</f>
        <v>224.70060507088331</v>
      </c>
      <c r="F99" s="786">
        <f t="shared" ref="F99:F111" si="1">C$92</f>
        <v>0.15094339622641512</v>
      </c>
      <c r="G99" s="787">
        <f t="shared" ref="G99:G111" si="2">C$93</f>
        <v>0.84905660377358494</v>
      </c>
      <c r="H99" s="788">
        <f>$C$50</f>
        <v>2.7799999999999998E-2</v>
      </c>
      <c r="I99" s="789">
        <f>$C$47</f>
        <v>8.1999999999999993</v>
      </c>
      <c r="J99" s="785">
        <f>$C$48</f>
        <v>8.1999999999999993</v>
      </c>
      <c r="K99" s="785">
        <f>$C$42</f>
        <v>2.67</v>
      </c>
      <c r="L99" s="789">
        <f t="shared" ref="L99:L111" si="3">C$43</f>
        <v>1.75</v>
      </c>
      <c r="M99" s="790">
        <f t="shared" ref="M99:M111" si="4">C$44</f>
        <v>0.11700000000000001</v>
      </c>
      <c r="N99" s="787">
        <f t="shared" ref="N99:N111" si="5">C$45</f>
        <v>0.98</v>
      </c>
      <c r="O99" s="791">
        <f t="shared" ref="O99:O111" si="6">C$46</f>
        <v>5.7999999999999996E-3</v>
      </c>
      <c r="P99" s="789">
        <f>$C$92*(((K99*I99)-(L99*J99))*D99*365.25)*M99*N99*C99+Q99</f>
        <v>0</v>
      </c>
      <c r="Q99" s="789">
        <f xml:space="preserve"> U99 / 1000000 * $C$51</f>
        <v>0</v>
      </c>
      <c r="R99" s="792">
        <f t="shared" ref="R99:R111" si="7">P99/E99*H99</f>
        <v>0</v>
      </c>
      <c r="S99" s="793">
        <f t="shared" ref="S99:S111" si="8">$C$93*(((K99*I99)-(L99*J99))*D99*365.25)*O99*N99*C99</f>
        <v>0</v>
      </c>
      <c r="T99" s="794">
        <f t="shared" ref="T99:T111" si="9">C99*B$69</f>
        <v>0</v>
      </c>
      <c r="U99" s="795">
        <f t="shared" ref="U99:U111" si="10">((K99*I99)-(L99*J99))*D99*365.25*N99*C99</f>
        <v>0</v>
      </c>
      <c r="V99" s="796"/>
      <c r="W99" s="797">
        <f>B64</f>
        <v>12</v>
      </c>
      <c r="X99" s="798">
        <f>C112</f>
        <v>250</v>
      </c>
      <c r="Y99" s="799">
        <f>W99*X99</f>
        <v>3000</v>
      </c>
    </row>
    <row r="100" spans="2:25" x14ac:dyDescent="0.35">
      <c r="B100" s="749" t="s">
        <v>2022</v>
      </c>
      <c r="C100" s="800">
        <f t="shared" ref="C100:C111" si="11">D78</f>
        <v>0</v>
      </c>
      <c r="D100" s="800">
        <v>1</v>
      </c>
      <c r="E100" s="801">
        <f t="shared" ref="E100:E111" si="12">(($C$42*$C$47)*D100*365.25)*0.773/$C$49</f>
        <v>224.70060507088331</v>
      </c>
      <c r="F100" s="802">
        <f t="shared" si="1"/>
        <v>0.15094339622641512</v>
      </c>
      <c r="G100" s="803">
        <f t="shared" si="2"/>
        <v>0.84905660377358494</v>
      </c>
      <c r="H100" s="804">
        <f t="shared" ref="H100:H111" si="13">$C$50</f>
        <v>2.7799999999999998E-2</v>
      </c>
      <c r="I100" s="805">
        <f t="shared" ref="I100:I111" si="14">$C$47</f>
        <v>8.1999999999999993</v>
      </c>
      <c r="J100" s="800">
        <f t="shared" ref="J100:J111" si="15">$C$48</f>
        <v>8.1999999999999993</v>
      </c>
      <c r="K100" s="800">
        <f>$C$42</f>
        <v>2.67</v>
      </c>
      <c r="L100" s="805">
        <f t="shared" si="3"/>
        <v>1.75</v>
      </c>
      <c r="M100" s="806">
        <f t="shared" si="4"/>
        <v>0.11700000000000001</v>
      </c>
      <c r="N100" s="803">
        <f t="shared" si="5"/>
        <v>0.98</v>
      </c>
      <c r="O100" s="807">
        <f t="shared" si="6"/>
        <v>5.7999999999999996E-3</v>
      </c>
      <c r="P100" s="805">
        <f t="shared" ref="P100:P111" si="16">$C$92*(((K100*I100)-(L100*J100))*D100*365.25)*M100*N100*C100+Q100</f>
        <v>0</v>
      </c>
      <c r="Q100" s="805">
        <f t="shared" ref="Q100:Q111" si="17" xml:space="preserve"> U100 / 1000000 * $C$51</f>
        <v>0</v>
      </c>
      <c r="R100" s="808">
        <f t="shared" si="7"/>
        <v>0</v>
      </c>
      <c r="S100" s="809">
        <f t="shared" si="8"/>
        <v>0</v>
      </c>
      <c r="T100" s="810">
        <f t="shared" si="9"/>
        <v>0</v>
      </c>
      <c r="U100" s="811">
        <f t="shared" si="10"/>
        <v>0</v>
      </c>
      <c r="V100" s="796"/>
      <c r="W100" s="796"/>
    </row>
    <row r="101" spans="2:25" x14ac:dyDescent="0.35">
      <c r="B101" s="749" t="s">
        <v>2023</v>
      </c>
      <c r="C101" s="800">
        <f t="shared" si="11"/>
        <v>0</v>
      </c>
      <c r="D101" s="800">
        <v>1</v>
      </c>
      <c r="E101" s="801">
        <f t="shared" si="12"/>
        <v>224.70060507088331</v>
      </c>
      <c r="F101" s="802">
        <f t="shared" si="1"/>
        <v>0.15094339622641512</v>
      </c>
      <c r="G101" s="803">
        <f t="shared" si="2"/>
        <v>0.84905660377358494</v>
      </c>
      <c r="H101" s="804">
        <f t="shared" si="13"/>
        <v>2.7799999999999998E-2</v>
      </c>
      <c r="I101" s="805">
        <f t="shared" si="14"/>
        <v>8.1999999999999993</v>
      </c>
      <c r="J101" s="800">
        <f t="shared" si="15"/>
        <v>8.1999999999999993</v>
      </c>
      <c r="K101" s="800">
        <f t="shared" ref="K101:K111" si="18">$C$42</f>
        <v>2.67</v>
      </c>
      <c r="L101" s="805">
        <f t="shared" si="3"/>
        <v>1.75</v>
      </c>
      <c r="M101" s="806">
        <f t="shared" si="4"/>
        <v>0.11700000000000001</v>
      </c>
      <c r="N101" s="803">
        <f t="shared" si="5"/>
        <v>0.98</v>
      </c>
      <c r="O101" s="807">
        <f t="shared" si="6"/>
        <v>5.7999999999999996E-3</v>
      </c>
      <c r="P101" s="805">
        <f t="shared" si="16"/>
        <v>0</v>
      </c>
      <c r="Q101" s="805">
        <f t="shared" si="17"/>
        <v>0</v>
      </c>
      <c r="R101" s="808">
        <f t="shared" si="7"/>
        <v>0</v>
      </c>
      <c r="S101" s="809">
        <f t="shared" si="8"/>
        <v>0</v>
      </c>
      <c r="T101" s="810">
        <f t="shared" si="9"/>
        <v>0</v>
      </c>
      <c r="U101" s="811">
        <f t="shared" si="10"/>
        <v>0</v>
      </c>
      <c r="V101" s="796"/>
      <c r="W101" s="796"/>
    </row>
    <row r="102" spans="2:25" x14ac:dyDescent="0.35">
      <c r="B102" s="749" t="s">
        <v>2024</v>
      </c>
      <c r="C102" s="800">
        <f t="shared" si="11"/>
        <v>0</v>
      </c>
      <c r="D102" s="800">
        <v>1</v>
      </c>
      <c r="E102" s="801">
        <f t="shared" si="12"/>
        <v>224.70060507088331</v>
      </c>
      <c r="F102" s="802">
        <f t="shared" si="1"/>
        <v>0.15094339622641512</v>
      </c>
      <c r="G102" s="803">
        <f t="shared" si="2"/>
        <v>0.84905660377358494</v>
      </c>
      <c r="H102" s="804">
        <f t="shared" si="13"/>
        <v>2.7799999999999998E-2</v>
      </c>
      <c r="I102" s="805">
        <f t="shared" si="14"/>
        <v>8.1999999999999993</v>
      </c>
      <c r="J102" s="800">
        <f t="shared" si="15"/>
        <v>8.1999999999999993</v>
      </c>
      <c r="K102" s="800">
        <f t="shared" si="18"/>
        <v>2.67</v>
      </c>
      <c r="L102" s="805">
        <f t="shared" si="3"/>
        <v>1.75</v>
      </c>
      <c r="M102" s="806">
        <f t="shared" si="4"/>
        <v>0.11700000000000001</v>
      </c>
      <c r="N102" s="803">
        <f t="shared" si="5"/>
        <v>0.98</v>
      </c>
      <c r="O102" s="807">
        <f t="shared" si="6"/>
        <v>5.7999999999999996E-3</v>
      </c>
      <c r="P102" s="805">
        <f t="shared" si="16"/>
        <v>0</v>
      </c>
      <c r="Q102" s="805">
        <f t="shared" si="17"/>
        <v>0</v>
      </c>
      <c r="R102" s="808">
        <f t="shared" si="7"/>
        <v>0</v>
      </c>
      <c r="S102" s="809">
        <f t="shared" si="8"/>
        <v>0</v>
      </c>
      <c r="T102" s="810">
        <f t="shared" si="9"/>
        <v>0</v>
      </c>
      <c r="U102" s="811">
        <f t="shared" si="10"/>
        <v>0</v>
      </c>
      <c r="V102" s="796"/>
      <c r="W102" s="796"/>
    </row>
    <row r="103" spans="2:25" x14ac:dyDescent="0.35">
      <c r="B103" s="749" t="s">
        <v>2025</v>
      </c>
      <c r="C103" s="800">
        <f t="shared" si="11"/>
        <v>0</v>
      </c>
      <c r="D103" s="800">
        <v>1</v>
      </c>
      <c r="E103" s="801">
        <f t="shared" si="12"/>
        <v>224.70060507088331</v>
      </c>
      <c r="F103" s="802">
        <f t="shared" si="1"/>
        <v>0.15094339622641512</v>
      </c>
      <c r="G103" s="803">
        <f t="shared" si="2"/>
        <v>0.84905660377358494</v>
      </c>
      <c r="H103" s="804">
        <f t="shared" si="13"/>
        <v>2.7799999999999998E-2</v>
      </c>
      <c r="I103" s="805">
        <f t="shared" si="14"/>
        <v>8.1999999999999993</v>
      </c>
      <c r="J103" s="800">
        <f>$C$48</f>
        <v>8.1999999999999993</v>
      </c>
      <c r="K103" s="800">
        <f t="shared" si="18"/>
        <v>2.67</v>
      </c>
      <c r="L103" s="805">
        <f t="shared" si="3"/>
        <v>1.75</v>
      </c>
      <c r="M103" s="806">
        <f t="shared" si="4"/>
        <v>0.11700000000000001</v>
      </c>
      <c r="N103" s="803">
        <f t="shared" si="5"/>
        <v>0.98</v>
      </c>
      <c r="O103" s="807">
        <f t="shared" si="6"/>
        <v>5.7999999999999996E-3</v>
      </c>
      <c r="P103" s="805">
        <f t="shared" si="16"/>
        <v>0</v>
      </c>
      <c r="Q103" s="805">
        <f t="shared" si="17"/>
        <v>0</v>
      </c>
      <c r="R103" s="808">
        <f t="shared" si="7"/>
        <v>0</v>
      </c>
      <c r="S103" s="809">
        <f t="shared" si="8"/>
        <v>0</v>
      </c>
      <c r="T103" s="810">
        <f t="shared" si="9"/>
        <v>0</v>
      </c>
      <c r="U103" s="811">
        <f t="shared" si="10"/>
        <v>0</v>
      </c>
      <c r="V103" s="796"/>
      <c r="W103" s="796"/>
    </row>
    <row r="104" spans="2:25" x14ac:dyDescent="0.35">
      <c r="B104" s="749" t="s">
        <v>2026</v>
      </c>
      <c r="C104" s="800">
        <f t="shared" si="11"/>
        <v>0</v>
      </c>
      <c r="D104" s="800">
        <v>1</v>
      </c>
      <c r="E104" s="801">
        <f t="shared" si="12"/>
        <v>224.70060507088331</v>
      </c>
      <c r="F104" s="802">
        <f t="shared" si="1"/>
        <v>0.15094339622641512</v>
      </c>
      <c r="G104" s="803">
        <f t="shared" si="2"/>
        <v>0.84905660377358494</v>
      </c>
      <c r="H104" s="804">
        <f t="shared" si="13"/>
        <v>2.7799999999999998E-2</v>
      </c>
      <c r="I104" s="805">
        <f t="shared" si="14"/>
        <v>8.1999999999999993</v>
      </c>
      <c r="J104" s="800">
        <f t="shared" si="15"/>
        <v>8.1999999999999993</v>
      </c>
      <c r="K104" s="800">
        <f t="shared" si="18"/>
        <v>2.67</v>
      </c>
      <c r="L104" s="805">
        <f t="shared" si="3"/>
        <v>1.75</v>
      </c>
      <c r="M104" s="806">
        <f t="shared" si="4"/>
        <v>0.11700000000000001</v>
      </c>
      <c r="N104" s="803">
        <f t="shared" si="5"/>
        <v>0.98</v>
      </c>
      <c r="O104" s="807">
        <f t="shared" si="6"/>
        <v>5.7999999999999996E-3</v>
      </c>
      <c r="P104" s="805">
        <f t="shared" si="16"/>
        <v>0</v>
      </c>
      <c r="Q104" s="805">
        <f t="shared" si="17"/>
        <v>0</v>
      </c>
      <c r="R104" s="808">
        <f t="shared" si="7"/>
        <v>0</v>
      </c>
      <c r="S104" s="809">
        <f t="shared" si="8"/>
        <v>0</v>
      </c>
      <c r="T104" s="810">
        <f t="shared" si="9"/>
        <v>0</v>
      </c>
      <c r="U104" s="811">
        <f t="shared" si="10"/>
        <v>0</v>
      </c>
      <c r="V104" s="796"/>
      <c r="W104" s="796"/>
    </row>
    <row r="105" spans="2:25" x14ac:dyDescent="0.35">
      <c r="B105" s="749" t="s">
        <v>2027</v>
      </c>
      <c r="C105" s="800">
        <f t="shared" si="11"/>
        <v>0</v>
      </c>
      <c r="D105" s="800">
        <v>1</v>
      </c>
      <c r="E105" s="801">
        <f t="shared" si="12"/>
        <v>224.70060507088331</v>
      </c>
      <c r="F105" s="802">
        <f t="shared" si="1"/>
        <v>0.15094339622641512</v>
      </c>
      <c r="G105" s="803">
        <f t="shared" si="2"/>
        <v>0.84905660377358494</v>
      </c>
      <c r="H105" s="804">
        <f t="shared" si="13"/>
        <v>2.7799999999999998E-2</v>
      </c>
      <c r="I105" s="805">
        <f t="shared" si="14"/>
        <v>8.1999999999999993</v>
      </c>
      <c r="J105" s="800">
        <f t="shared" si="15"/>
        <v>8.1999999999999993</v>
      </c>
      <c r="K105" s="800">
        <f t="shared" si="18"/>
        <v>2.67</v>
      </c>
      <c r="L105" s="805">
        <f t="shared" si="3"/>
        <v>1.75</v>
      </c>
      <c r="M105" s="806">
        <f t="shared" si="4"/>
        <v>0.11700000000000001</v>
      </c>
      <c r="N105" s="803">
        <f t="shared" si="5"/>
        <v>0.98</v>
      </c>
      <c r="O105" s="807">
        <f t="shared" si="6"/>
        <v>5.7999999999999996E-3</v>
      </c>
      <c r="P105" s="805">
        <f t="shared" si="16"/>
        <v>0</v>
      </c>
      <c r="Q105" s="805">
        <f t="shared" si="17"/>
        <v>0</v>
      </c>
      <c r="R105" s="808">
        <f t="shared" si="7"/>
        <v>0</v>
      </c>
      <c r="S105" s="809">
        <f t="shared" si="8"/>
        <v>0</v>
      </c>
      <c r="T105" s="810">
        <f t="shared" si="9"/>
        <v>0</v>
      </c>
      <c r="U105" s="811">
        <f t="shared" si="10"/>
        <v>0</v>
      </c>
    </row>
    <row r="106" spans="2:25" x14ac:dyDescent="0.35">
      <c r="B106" s="749" t="s">
        <v>2028</v>
      </c>
      <c r="C106" s="800">
        <f t="shared" si="11"/>
        <v>0</v>
      </c>
      <c r="D106" s="800">
        <v>1</v>
      </c>
      <c r="E106" s="801">
        <f t="shared" si="12"/>
        <v>224.70060507088331</v>
      </c>
      <c r="F106" s="802">
        <f t="shared" si="1"/>
        <v>0.15094339622641512</v>
      </c>
      <c r="G106" s="803">
        <f t="shared" si="2"/>
        <v>0.84905660377358494</v>
      </c>
      <c r="H106" s="804">
        <f t="shared" si="13"/>
        <v>2.7799999999999998E-2</v>
      </c>
      <c r="I106" s="805">
        <f t="shared" si="14"/>
        <v>8.1999999999999993</v>
      </c>
      <c r="J106" s="800">
        <f t="shared" si="15"/>
        <v>8.1999999999999993</v>
      </c>
      <c r="K106" s="800">
        <f t="shared" si="18"/>
        <v>2.67</v>
      </c>
      <c r="L106" s="805">
        <f t="shared" si="3"/>
        <v>1.75</v>
      </c>
      <c r="M106" s="806">
        <f t="shared" si="4"/>
        <v>0.11700000000000001</v>
      </c>
      <c r="N106" s="803">
        <f t="shared" si="5"/>
        <v>0.98</v>
      </c>
      <c r="O106" s="807">
        <f t="shared" si="6"/>
        <v>5.7999999999999996E-3</v>
      </c>
      <c r="P106" s="805">
        <f t="shared" si="16"/>
        <v>0</v>
      </c>
      <c r="Q106" s="805">
        <f t="shared" si="17"/>
        <v>0</v>
      </c>
      <c r="R106" s="808">
        <f t="shared" si="7"/>
        <v>0</v>
      </c>
      <c r="S106" s="809">
        <f t="shared" si="8"/>
        <v>0</v>
      </c>
      <c r="T106" s="810">
        <f t="shared" si="9"/>
        <v>0</v>
      </c>
      <c r="U106" s="811">
        <f t="shared" si="10"/>
        <v>0</v>
      </c>
    </row>
    <row r="107" spans="2:25" x14ac:dyDescent="0.35">
      <c r="B107" s="749" t="s">
        <v>2029</v>
      </c>
      <c r="C107" s="800">
        <f t="shared" si="11"/>
        <v>0</v>
      </c>
      <c r="D107" s="800">
        <v>1</v>
      </c>
      <c r="E107" s="801">
        <f t="shared" si="12"/>
        <v>224.70060507088331</v>
      </c>
      <c r="F107" s="802">
        <f t="shared" si="1"/>
        <v>0.15094339622641512</v>
      </c>
      <c r="G107" s="803">
        <f t="shared" si="2"/>
        <v>0.84905660377358494</v>
      </c>
      <c r="H107" s="804">
        <f t="shared" si="13"/>
        <v>2.7799999999999998E-2</v>
      </c>
      <c r="I107" s="805">
        <f t="shared" si="14"/>
        <v>8.1999999999999993</v>
      </c>
      <c r="J107" s="800">
        <f t="shared" si="15"/>
        <v>8.1999999999999993</v>
      </c>
      <c r="K107" s="800">
        <f t="shared" si="18"/>
        <v>2.67</v>
      </c>
      <c r="L107" s="805">
        <f t="shared" si="3"/>
        <v>1.75</v>
      </c>
      <c r="M107" s="806">
        <f t="shared" si="4"/>
        <v>0.11700000000000001</v>
      </c>
      <c r="N107" s="803">
        <f t="shared" si="5"/>
        <v>0.98</v>
      </c>
      <c r="O107" s="807">
        <f t="shared" si="6"/>
        <v>5.7999999999999996E-3</v>
      </c>
      <c r="P107" s="805">
        <f t="shared" si="16"/>
        <v>0</v>
      </c>
      <c r="Q107" s="805">
        <f t="shared" si="17"/>
        <v>0</v>
      </c>
      <c r="R107" s="808">
        <f t="shared" si="7"/>
        <v>0</v>
      </c>
      <c r="S107" s="809">
        <f t="shared" si="8"/>
        <v>0</v>
      </c>
      <c r="T107" s="810">
        <f t="shared" si="9"/>
        <v>0</v>
      </c>
      <c r="U107" s="811">
        <f t="shared" si="10"/>
        <v>0</v>
      </c>
    </row>
    <row r="108" spans="2:25" x14ac:dyDescent="0.35">
      <c r="B108" s="749" t="s">
        <v>2030</v>
      </c>
      <c r="C108" s="800">
        <f t="shared" si="11"/>
        <v>125</v>
      </c>
      <c r="D108" s="800">
        <v>0.25</v>
      </c>
      <c r="E108" s="801">
        <f t="shared" si="12"/>
        <v>56.175151267720828</v>
      </c>
      <c r="F108" s="802">
        <f t="shared" si="1"/>
        <v>0.15094339622641512</v>
      </c>
      <c r="G108" s="803">
        <f t="shared" si="2"/>
        <v>0.84905660377358494</v>
      </c>
      <c r="H108" s="804">
        <f t="shared" si="13"/>
        <v>2.7799999999999998E-2</v>
      </c>
      <c r="I108" s="805">
        <f t="shared" si="14"/>
        <v>8.1999999999999993</v>
      </c>
      <c r="J108" s="800">
        <f t="shared" si="15"/>
        <v>8.1999999999999993</v>
      </c>
      <c r="K108" s="800">
        <f t="shared" si="18"/>
        <v>2.67</v>
      </c>
      <c r="L108" s="805">
        <f t="shared" si="3"/>
        <v>1.75</v>
      </c>
      <c r="M108" s="806">
        <f t="shared" si="4"/>
        <v>0.11700000000000001</v>
      </c>
      <c r="N108" s="803">
        <f t="shared" si="5"/>
        <v>0.98</v>
      </c>
      <c r="O108" s="807">
        <f t="shared" si="6"/>
        <v>5.7999999999999996E-3</v>
      </c>
      <c r="P108" s="805">
        <f t="shared" si="16"/>
        <v>1913.0518937101422</v>
      </c>
      <c r="Q108" s="805">
        <f t="shared" si="17"/>
        <v>422.77152408750004</v>
      </c>
      <c r="R108" s="808">
        <f t="shared" si="7"/>
        <v>0.946732522208653</v>
      </c>
      <c r="S108" s="809">
        <f t="shared" si="8"/>
        <v>415.55894922169819</v>
      </c>
      <c r="T108" s="810">
        <f t="shared" si="9"/>
        <v>2226</v>
      </c>
      <c r="U108" s="811">
        <f t="shared" si="10"/>
        <v>84385.533750000002</v>
      </c>
    </row>
    <row r="109" spans="2:25" x14ac:dyDescent="0.35">
      <c r="B109" s="749" t="s">
        <v>2031</v>
      </c>
      <c r="C109" s="800">
        <f t="shared" si="11"/>
        <v>0</v>
      </c>
      <c r="D109" s="800">
        <v>1</v>
      </c>
      <c r="E109" s="801">
        <f t="shared" si="12"/>
        <v>224.70060507088331</v>
      </c>
      <c r="F109" s="802">
        <f t="shared" si="1"/>
        <v>0.15094339622641512</v>
      </c>
      <c r="G109" s="803">
        <f t="shared" si="2"/>
        <v>0.84905660377358494</v>
      </c>
      <c r="H109" s="804">
        <f t="shared" si="13"/>
        <v>2.7799999999999998E-2</v>
      </c>
      <c r="I109" s="805">
        <f t="shared" si="14"/>
        <v>8.1999999999999993</v>
      </c>
      <c r="J109" s="800">
        <f t="shared" si="15"/>
        <v>8.1999999999999993</v>
      </c>
      <c r="K109" s="800">
        <f t="shared" si="18"/>
        <v>2.67</v>
      </c>
      <c r="L109" s="805">
        <f t="shared" si="3"/>
        <v>1.75</v>
      </c>
      <c r="M109" s="806">
        <f t="shared" si="4"/>
        <v>0.11700000000000001</v>
      </c>
      <c r="N109" s="803">
        <f t="shared" si="5"/>
        <v>0.98</v>
      </c>
      <c r="O109" s="807">
        <f t="shared" si="6"/>
        <v>5.7999999999999996E-3</v>
      </c>
      <c r="P109" s="805">
        <f t="shared" si="16"/>
        <v>0</v>
      </c>
      <c r="Q109" s="805">
        <f t="shared" si="17"/>
        <v>0</v>
      </c>
      <c r="R109" s="808">
        <f t="shared" si="7"/>
        <v>0</v>
      </c>
      <c r="S109" s="809">
        <f t="shared" si="8"/>
        <v>0</v>
      </c>
      <c r="T109" s="810">
        <f t="shared" si="9"/>
        <v>0</v>
      </c>
      <c r="U109" s="811">
        <f t="shared" si="10"/>
        <v>0</v>
      </c>
    </row>
    <row r="110" spans="2:25" x14ac:dyDescent="0.35">
      <c r="B110" s="749" t="s">
        <v>2032</v>
      </c>
      <c r="C110" s="800">
        <f t="shared" si="11"/>
        <v>125</v>
      </c>
      <c r="D110" s="800">
        <v>0.5</v>
      </c>
      <c r="E110" s="801">
        <f t="shared" si="12"/>
        <v>112.35030253544166</v>
      </c>
      <c r="F110" s="802">
        <f t="shared" si="1"/>
        <v>0.15094339622641512</v>
      </c>
      <c r="G110" s="803">
        <f t="shared" si="2"/>
        <v>0.84905660377358494</v>
      </c>
      <c r="H110" s="804">
        <f t="shared" si="13"/>
        <v>2.7799999999999998E-2</v>
      </c>
      <c r="I110" s="805">
        <f t="shared" si="14"/>
        <v>8.1999999999999993</v>
      </c>
      <c r="J110" s="800">
        <f t="shared" si="15"/>
        <v>8.1999999999999993</v>
      </c>
      <c r="K110" s="800">
        <f t="shared" si="18"/>
        <v>2.67</v>
      </c>
      <c r="L110" s="805">
        <f t="shared" si="3"/>
        <v>1.75</v>
      </c>
      <c r="M110" s="806">
        <f t="shared" si="4"/>
        <v>0.11700000000000001</v>
      </c>
      <c r="N110" s="803">
        <f t="shared" si="5"/>
        <v>0.98</v>
      </c>
      <c r="O110" s="807">
        <f t="shared" si="6"/>
        <v>5.7999999999999996E-3</v>
      </c>
      <c r="P110" s="805">
        <f t="shared" si="16"/>
        <v>3826.1037874202843</v>
      </c>
      <c r="Q110" s="805">
        <f t="shared" si="17"/>
        <v>845.54304817500008</v>
      </c>
      <c r="R110" s="808">
        <f t="shared" si="7"/>
        <v>0.946732522208653</v>
      </c>
      <c r="S110" s="809">
        <f t="shared" si="8"/>
        <v>831.11789844339637</v>
      </c>
      <c r="T110" s="810">
        <f t="shared" si="9"/>
        <v>2226</v>
      </c>
      <c r="U110" s="811">
        <f t="shared" si="10"/>
        <v>168771.0675</v>
      </c>
    </row>
    <row r="111" spans="2:25" ht="15" thickBot="1" x14ac:dyDescent="0.4">
      <c r="B111" s="765" t="s">
        <v>2033</v>
      </c>
      <c r="C111" s="798">
        <f t="shared" si="11"/>
        <v>0</v>
      </c>
      <c r="D111" s="798">
        <v>1</v>
      </c>
      <c r="E111" s="812">
        <f t="shared" si="12"/>
        <v>224.70060507088331</v>
      </c>
      <c r="F111" s="813">
        <f t="shared" si="1"/>
        <v>0.15094339622641512</v>
      </c>
      <c r="G111" s="814">
        <f t="shared" si="2"/>
        <v>0.84905660377358494</v>
      </c>
      <c r="H111" s="815">
        <f t="shared" si="13"/>
        <v>2.7799999999999998E-2</v>
      </c>
      <c r="I111" s="816">
        <f t="shared" si="14"/>
        <v>8.1999999999999993</v>
      </c>
      <c r="J111" s="798">
        <f t="shared" si="15"/>
        <v>8.1999999999999993</v>
      </c>
      <c r="K111" s="798">
        <f t="shared" si="18"/>
        <v>2.67</v>
      </c>
      <c r="L111" s="816">
        <f t="shared" si="3"/>
        <v>1.75</v>
      </c>
      <c r="M111" s="817">
        <f t="shared" si="4"/>
        <v>0.11700000000000001</v>
      </c>
      <c r="N111" s="814">
        <f t="shared" si="5"/>
        <v>0.98</v>
      </c>
      <c r="O111" s="818">
        <f t="shared" si="6"/>
        <v>5.7999999999999996E-3</v>
      </c>
      <c r="P111" s="816">
        <f t="shared" si="16"/>
        <v>0</v>
      </c>
      <c r="Q111" s="816">
        <f t="shared" si="17"/>
        <v>0</v>
      </c>
      <c r="R111" s="819">
        <f t="shared" si="7"/>
        <v>0</v>
      </c>
      <c r="S111" s="820">
        <f t="shared" si="8"/>
        <v>0</v>
      </c>
      <c r="T111" s="821">
        <f t="shared" si="9"/>
        <v>0</v>
      </c>
      <c r="U111" s="822">
        <f t="shared" si="10"/>
        <v>0</v>
      </c>
    </row>
    <row r="112" spans="2:25" ht="15" thickBot="1" x14ac:dyDescent="0.4">
      <c r="B112" s="823" t="s">
        <v>284</v>
      </c>
      <c r="C112" s="824">
        <f>SUM(C99:C111)</f>
        <v>250</v>
      </c>
      <c r="O112" s="825" t="s">
        <v>2049</v>
      </c>
      <c r="P112" s="826">
        <f>SUM(P99:P111)</f>
        <v>5739.1556811304263</v>
      </c>
      <c r="Q112" s="826">
        <f>SUM(Q99:Q111)</f>
        <v>1268.3145722625002</v>
      </c>
      <c r="R112" s="826">
        <f t="shared" ref="R112:U112" si="19">SUM(R99:R111)</f>
        <v>1.893465044417306</v>
      </c>
      <c r="S112" s="826">
        <f t="shared" si="19"/>
        <v>1246.6768476650946</v>
      </c>
      <c r="T112" s="826">
        <f t="shared" si="19"/>
        <v>4452</v>
      </c>
      <c r="U112" s="82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D93"/>
  <sheetViews>
    <sheetView zoomScale="70" zoomScaleNormal="70" workbookViewId="0"/>
  </sheetViews>
  <sheetFormatPr defaultColWidth="9.1796875" defaultRowHeight="14.5" x14ac:dyDescent="0.35"/>
  <cols>
    <col min="1" max="1" width="9.1796875" style="675"/>
    <col min="2" max="2" width="35.1796875" style="675" customWidth="1"/>
    <col min="3" max="4" width="16" style="675" customWidth="1"/>
    <col min="5" max="5" width="20.7265625" style="675" customWidth="1"/>
    <col min="6" max="6" width="22.54296875" style="675" customWidth="1"/>
    <col min="7" max="7" width="23.54296875" style="675" customWidth="1"/>
    <col min="8" max="8" width="20.1796875" style="675" customWidth="1"/>
    <col min="9" max="9" width="20" style="675" customWidth="1"/>
    <col min="10" max="10" width="24.7265625" style="675" customWidth="1"/>
    <col min="11"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155</v>
      </c>
    </row>
    <row r="3" spans="1:11" ht="21" x14ac:dyDescent="0.5">
      <c r="A3" s="704" t="s">
        <v>2050</v>
      </c>
    </row>
    <row r="4" spans="1:11" ht="15" customHeight="1" x14ac:dyDescent="0.35">
      <c r="B4" s="735"/>
      <c r="C4" s="833"/>
      <c r="J4" s="737"/>
      <c r="K4" s="737"/>
    </row>
    <row r="5" spans="1:11" x14ac:dyDescent="0.35">
      <c r="B5" s="834" t="s">
        <v>1947</v>
      </c>
      <c r="C5" s="835">
        <f>SUM(G85:G93)</f>
        <v>15</v>
      </c>
    </row>
    <row r="6" spans="1:11" x14ac:dyDescent="0.35">
      <c r="B6" s="836" t="s">
        <v>2051</v>
      </c>
      <c r="C6" s="837">
        <f>SUM(G85:G93)</f>
        <v>15</v>
      </c>
    </row>
    <row r="7" spans="1:11" x14ac:dyDescent="0.35">
      <c r="B7" s="838" t="s">
        <v>2052</v>
      </c>
      <c r="C7" s="2542">
        <f>SUM(I85:I93)</f>
        <v>32154.420776249994</v>
      </c>
      <c r="D7" s="840"/>
    </row>
    <row r="8" spans="1:11" x14ac:dyDescent="0.35">
      <c r="B8" s="841" t="s">
        <v>1951</v>
      </c>
      <c r="C8" s="2542">
        <f>SUM(L85:L93)</f>
        <v>0</v>
      </c>
      <c r="F8" s="3003"/>
      <c r="G8" s="3003"/>
      <c r="H8" s="796"/>
      <c r="I8" s="796"/>
      <c r="J8" s="698"/>
    </row>
    <row r="9" spans="1:11" x14ac:dyDescent="0.35">
      <c r="B9" s="838" t="s">
        <v>1952</v>
      </c>
      <c r="C9" s="2542">
        <f>SUM(O85:O93)</f>
        <v>67952.773995750002</v>
      </c>
    </row>
    <row r="10" spans="1:11" x14ac:dyDescent="0.35">
      <c r="B10" s="841" t="s">
        <v>2053</v>
      </c>
      <c r="C10" s="843">
        <f>SUM(H85:H93)</f>
        <v>210000</v>
      </c>
    </row>
    <row r="11" spans="1:11" x14ac:dyDescent="0.35">
      <c r="B11" s="838" t="s">
        <v>2054</v>
      </c>
      <c r="C11" s="844">
        <f>C7/$C$6</f>
        <v>2143.6280517499995</v>
      </c>
      <c r="D11" s="845"/>
    </row>
    <row r="12" spans="1:11" x14ac:dyDescent="0.35">
      <c r="B12" s="841" t="s">
        <v>2055</v>
      </c>
      <c r="C12" s="846">
        <f>C8/$C$6</f>
        <v>0</v>
      </c>
    </row>
    <row r="13" spans="1:11" x14ac:dyDescent="0.35">
      <c r="B13" s="838" t="s">
        <v>2056</v>
      </c>
      <c r="C13" s="844">
        <f>C9/$C$6</f>
        <v>4530.1849330499999</v>
      </c>
    </row>
    <row r="14" spans="1:11" x14ac:dyDescent="0.35">
      <c r="B14" s="841" t="s">
        <v>2057</v>
      </c>
      <c r="C14" s="847">
        <f>C10/C7</f>
        <v>6.5309837630510481</v>
      </c>
    </row>
    <row r="15" spans="1:11" x14ac:dyDescent="0.35">
      <c r="B15" s="838" t="s">
        <v>2058</v>
      </c>
      <c r="C15" s="839">
        <f>C7/C5</f>
        <v>2143.6280517499995</v>
      </c>
    </row>
    <row r="16" spans="1:11" x14ac:dyDescent="0.35">
      <c r="B16" s="841" t="s">
        <v>2059</v>
      </c>
      <c r="C16" s="842">
        <f>C10/C5</f>
        <v>14000</v>
      </c>
    </row>
    <row r="17" spans="1:5" x14ac:dyDescent="0.35">
      <c r="B17" s="848" t="s">
        <v>2060</v>
      </c>
      <c r="C17" s="849">
        <f>(C16/C49)*B44</f>
        <v>19960</v>
      </c>
    </row>
    <row r="18" spans="1:5" x14ac:dyDescent="0.35">
      <c r="B18" s="850" t="s">
        <v>2061</v>
      </c>
      <c r="C18" s="729"/>
    </row>
    <row r="19" spans="1:5" x14ac:dyDescent="0.35">
      <c r="B19" s="851" t="s">
        <v>2062</v>
      </c>
      <c r="C19" s="729"/>
    </row>
    <row r="20" spans="1:5" x14ac:dyDescent="0.35">
      <c r="B20" s="834" t="s">
        <v>2063</v>
      </c>
      <c r="C20" s="852">
        <f>1-C31+C32+C33</f>
        <v>0.83300000000000007</v>
      </c>
    </row>
    <row r="21" spans="1:5" x14ac:dyDescent="0.35">
      <c r="B21" s="841" t="s">
        <v>1965</v>
      </c>
      <c r="C21" s="842">
        <f>C20*C7</f>
        <v>26784.632506616246</v>
      </c>
      <c r="D21" s="840"/>
      <c r="E21" s="853"/>
    </row>
    <row r="22" spans="1:5" x14ac:dyDescent="0.35">
      <c r="B22" s="838" t="s">
        <v>1966</v>
      </c>
      <c r="C22" s="839">
        <f>C$20*C8</f>
        <v>0</v>
      </c>
    </row>
    <row r="23" spans="1:5" x14ac:dyDescent="0.35">
      <c r="B23" s="841" t="s">
        <v>1967</v>
      </c>
      <c r="C23" s="842">
        <f>C$20*C9</f>
        <v>56604.660738459759</v>
      </c>
    </row>
    <row r="24" spans="1:5" x14ac:dyDescent="0.35">
      <c r="B24" s="838" t="s">
        <v>1968</v>
      </c>
      <c r="C24" s="854">
        <f>C10/C21</f>
        <v>7.8403166423181849</v>
      </c>
    </row>
    <row r="25" spans="1:5" x14ac:dyDescent="0.35">
      <c r="B25" s="855" t="s">
        <v>1970</v>
      </c>
      <c r="C25" s="856">
        <v>10</v>
      </c>
    </row>
    <row r="26" spans="1:5" x14ac:dyDescent="0.35">
      <c r="B26" s="703"/>
    </row>
    <row r="27" spans="1:5" x14ac:dyDescent="0.35">
      <c r="B27" s="703"/>
    </row>
    <row r="28" spans="1:5" ht="21" hidden="1" x14ac:dyDescent="0.5">
      <c r="A28" s="704" t="s">
        <v>2064</v>
      </c>
      <c r="B28" s="703"/>
    </row>
    <row r="29" spans="1:5" hidden="1" x14ac:dyDescent="0.35"/>
    <row r="30" spans="1:5" ht="15" hidden="1" customHeight="1" x14ac:dyDescent="0.35">
      <c r="B30" s="3004" t="s">
        <v>2065</v>
      </c>
      <c r="C30" s="3005"/>
    </row>
    <row r="31" spans="1:5" hidden="1" x14ac:dyDescent="0.35">
      <c r="B31" s="857" t="s">
        <v>1416</v>
      </c>
      <c r="C31" s="858">
        <v>0.18</v>
      </c>
    </row>
    <row r="32" spans="1:5" hidden="1" x14ac:dyDescent="0.35">
      <c r="B32" s="859" t="s">
        <v>2066</v>
      </c>
      <c r="C32" s="860">
        <v>3.0000000000000001E-3</v>
      </c>
    </row>
    <row r="33" spans="1:19" hidden="1" x14ac:dyDescent="0.35">
      <c r="B33" s="861" t="s">
        <v>2067</v>
      </c>
      <c r="C33" s="862">
        <v>0.01</v>
      </c>
    </row>
    <row r="35" spans="1:19" ht="21" x14ac:dyDescent="0.5">
      <c r="A35" s="704" t="s">
        <v>1977</v>
      </c>
    </row>
    <row r="37" spans="1:19" ht="18" customHeight="1" x14ac:dyDescent="0.45">
      <c r="B37" s="2530" t="s">
        <v>2039</v>
      </c>
      <c r="C37" s="2531"/>
      <c r="D37" s="2531"/>
      <c r="E37" s="2531"/>
      <c r="F37" s="2531"/>
      <c r="G37" s="2531"/>
      <c r="H37" s="2531"/>
      <c r="I37" s="2532"/>
      <c r="J37" s="779"/>
      <c r="K37" s="779"/>
      <c r="L37" s="779"/>
      <c r="M37" s="779"/>
    </row>
    <row r="38" spans="1:19" ht="60" customHeight="1" x14ac:dyDescent="0.35">
      <c r="B38" s="997" t="s">
        <v>2019</v>
      </c>
      <c r="C38" s="998" t="s">
        <v>1737</v>
      </c>
      <c r="D38" s="998" t="s">
        <v>476</v>
      </c>
      <c r="E38" s="998" t="s">
        <v>2068</v>
      </c>
      <c r="F38" s="998" t="s">
        <v>2069</v>
      </c>
      <c r="G38" s="998" t="s">
        <v>2070</v>
      </c>
      <c r="H38" s="2534" t="s">
        <v>3311</v>
      </c>
      <c r="I38" s="2534" t="s">
        <v>3318</v>
      </c>
      <c r="K38" s="2994" t="s">
        <v>3315</v>
      </c>
      <c r="L38" s="2995"/>
      <c r="M38" s="2995"/>
      <c r="N38" s="2995"/>
      <c r="O38" s="2995"/>
      <c r="P38" s="2995"/>
      <c r="Q38" s="2995"/>
      <c r="R38" s="2995"/>
      <c r="S38" s="2996"/>
    </row>
    <row r="39" spans="1:19" x14ac:dyDescent="0.35">
      <c r="B39" s="995" t="s">
        <v>2071</v>
      </c>
      <c r="C39" s="1095">
        <v>5</v>
      </c>
      <c r="D39" s="1056">
        <v>800</v>
      </c>
      <c r="E39" s="2533">
        <v>916150</v>
      </c>
      <c r="F39" s="1096">
        <v>0.25</v>
      </c>
      <c r="G39" s="1096">
        <v>0.81</v>
      </c>
      <c r="H39" s="2536">
        <v>5010</v>
      </c>
      <c r="I39" s="2535">
        <v>2.0299999999999998</v>
      </c>
      <c r="K39" s="869" t="s">
        <v>2072</v>
      </c>
      <c r="L39" s="870"/>
      <c r="M39" s="870"/>
      <c r="N39" s="870"/>
      <c r="O39" s="870"/>
      <c r="P39" s="870"/>
      <c r="Q39" s="870"/>
      <c r="R39" s="870"/>
      <c r="S39" s="871"/>
    </row>
    <row r="40" spans="1:19" x14ac:dyDescent="0.35">
      <c r="B40" s="996" t="s">
        <v>2073</v>
      </c>
      <c r="C40" s="1095">
        <v>5</v>
      </c>
      <c r="D40" s="1056">
        <v>800</v>
      </c>
      <c r="E40" s="2533">
        <v>916150</v>
      </c>
      <c r="F40" s="1096">
        <v>0.25</v>
      </c>
      <c r="G40" s="1096">
        <v>0.81</v>
      </c>
      <c r="H40" s="2536">
        <v>5010</v>
      </c>
      <c r="I40" s="2535">
        <v>2.0299999999999998</v>
      </c>
      <c r="K40" s="873" t="s">
        <v>2074</v>
      </c>
      <c r="L40" s="2496"/>
      <c r="M40" s="2496"/>
      <c r="N40" s="2496"/>
      <c r="O40" s="2496"/>
      <c r="P40" s="2496"/>
      <c r="Q40" s="2496"/>
      <c r="R40" s="2496"/>
      <c r="S40" s="874"/>
    </row>
    <row r="41" spans="1:19" x14ac:dyDescent="0.35">
      <c r="B41" s="995" t="s">
        <v>2075</v>
      </c>
      <c r="C41" s="1095">
        <v>5</v>
      </c>
      <c r="D41" s="1056">
        <v>800</v>
      </c>
      <c r="E41" s="2533">
        <v>916150</v>
      </c>
      <c r="F41" s="1096">
        <v>0.25</v>
      </c>
      <c r="G41" s="1096">
        <v>0.81</v>
      </c>
      <c r="H41" s="2536">
        <v>5010</v>
      </c>
      <c r="I41" s="2535">
        <v>2.0299999999999998</v>
      </c>
      <c r="K41" s="873" t="s">
        <v>2076</v>
      </c>
      <c r="L41" s="2496"/>
      <c r="M41" s="2496"/>
      <c r="N41" s="2496"/>
      <c r="O41" s="2496"/>
      <c r="P41" s="2496"/>
      <c r="Q41" s="2496"/>
      <c r="R41" s="2496"/>
      <c r="S41" s="874"/>
    </row>
    <row r="42" spans="1:19" x14ac:dyDescent="0.35">
      <c r="D42" s="739"/>
      <c r="K42" s="873" t="s">
        <v>2077</v>
      </c>
      <c r="L42" s="2496"/>
      <c r="M42" s="2496"/>
      <c r="N42" s="2496"/>
      <c r="O42" s="2496"/>
      <c r="P42" s="2496"/>
      <c r="Q42" s="2496"/>
      <c r="R42" s="2496"/>
      <c r="S42" s="874"/>
    </row>
    <row r="43" spans="1:19" x14ac:dyDescent="0.35">
      <c r="B43" s="675" t="s">
        <v>2078</v>
      </c>
      <c r="K43" s="873" t="s">
        <v>2079</v>
      </c>
      <c r="L43" s="2496"/>
      <c r="M43" s="2496"/>
      <c r="N43" s="2496"/>
      <c r="O43" s="2496"/>
      <c r="P43" s="2496"/>
      <c r="Q43" s="2496"/>
      <c r="R43" s="2496"/>
      <c r="S43" s="874"/>
    </row>
    <row r="44" spans="1:19" x14ac:dyDescent="0.35">
      <c r="B44" s="875">
        <v>79.84</v>
      </c>
      <c r="D44" s="739"/>
      <c r="K44" s="2505" t="s">
        <v>3310</v>
      </c>
      <c r="L44" s="2506"/>
      <c r="M44" s="2506"/>
      <c r="N44" s="2506"/>
      <c r="O44" s="2506"/>
      <c r="P44" s="2506"/>
      <c r="Q44" s="2506"/>
      <c r="R44" s="2506"/>
      <c r="S44" s="2507"/>
    </row>
    <row r="45" spans="1:19" x14ac:dyDescent="0.35">
      <c r="K45" s="2502" t="s">
        <v>3317</v>
      </c>
      <c r="L45" s="2503"/>
      <c r="M45" s="2503"/>
      <c r="N45" s="2503"/>
      <c r="O45" s="2503"/>
      <c r="P45" s="2503"/>
      <c r="Q45" s="2503"/>
      <c r="R45" s="2503"/>
      <c r="S45" s="2504"/>
    </row>
    <row r="46" spans="1:19" x14ac:dyDescent="0.35">
      <c r="K46" s="869" t="s">
        <v>1990</v>
      </c>
      <c r="L46" s="870"/>
      <c r="M46" s="870"/>
      <c r="N46" s="870"/>
      <c r="O46" s="870"/>
      <c r="P46" s="870"/>
      <c r="Q46" s="870"/>
      <c r="R46" s="870"/>
      <c r="S46" s="871"/>
    </row>
    <row r="47" spans="1:19" ht="18" customHeight="1" x14ac:dyDescent="0.5">
      <c r="A47" s="704" t="s">
        <v>2012</v>
      </c>
      <c r="G47" s="779"/>
      <c r="H47" s="779"/>
      <c r="I47" s="779"/>
      <c r="K47" s="873" t="s">
        <v>2080</v>
      </c>
      <c r="L47" s="2496" t="s">
        <v>1992</v>
      </c>
      <c r="M47" s="2496" t="s">
        <v>2081</v>
      </c>
      <c r="N47" s="2496"/>
      <c r="O47" s="2496"/>
      <c r="P47" s="2496"/>
      <c r="Q47" s="2496"/>
      <c r="R47" s="2496"/>
      <c r="S47" s="874"/>
    </row>
    <row r="48" spans="1:19" ht="21" x14ac:dyDescent="0.5">
      <c r="A48" s="704"/>
      <c r="E48" s="876"/>
      <c r="F48" s="876"/>
      <c r="G48" s="876"/>
      <c r="H48" s="876"/>
      <c r="I48" s="753"/>
      <c r="K48" s="873" t="s">
        <v>1737</v>
      </c>
      <c r="L48" s="2496" t="s">
        <v>1992</v>
      </c>
      <c r="M48" s="2496" t="s">
        <v>2082</v>
      </c>
      <c r="N48" s="2496"/>
      <c r="O48" s="2496"/>
      <c r="P48" s="2496"/>
      <c r="Q48" s="2496"/>
      <c r="R48" s="2496"/>
      <c r="S48" s="874"/>
    </row>
    <row r="49" spans="1:30" x14ac:dyDescent="0.35">
      <c r="B49" s="878" t="s">
        <v>2084</v>
      </c>
      <c r="C49" s="879">
        <v>56</v>
      </c>
      <c r="E49" s="880"/>
      <c r="F49" s="769"/>
      <c r="G49" s="769"/>
      <c r="H49" s="880"/>
      <c r="I49" s="698"/>
      <c r="K49" s="873" t="s">
        <v>476</v>
      </c>
      <c r="L49" s="2496" t="s">
        <v>1992</v>
      </c>
      <c r="M49" s="2496" t="s">
        <v>2083</v>
      </c>
      <c r="N49" s="2496"/>
      <c r="O49" s="2496"/>
      <c r="P49" s="2496"/>
      <c r="Q49" s="2496"/>
      <c r="R49" s="2496"/>
      <c r="S49" s="874"/>
    </row>
    <row r="50" spans="1:30" x14ac:dyDescent="0.35">
      <c r="E50" s="880"/>
      <c r="F50" s="769"/>
      <c r="G50" s="769"/>
      <c r="H50" s="880"/>
      <c r="I50" s="698"/>
      <c r="K50" s="873" t="s">
        <v>2069</v>
      </c>
      <c r="L50" s="2496" t="s">
        <v>1992</v>
      </c>
      <c r="M50" s="877">
        <v>0.25</v>
      </c>
      <c r="N50" s="2496"/>
      <c r="O50" s="2496"/>
      <c r="P50" s="2496"/>
      <c r="Q50" s="2496"/>
      <c r="R50" s="2496"/>
      <c r="S50" s="874"/>
    </row>
    <row r="51" spans="1:30" ht="21" x14ac:dyDescent="0.5">
      <c r="A51" s="704" t="s">
        <v>2088</v>
      </c>
      <c r="E51" s="880"/>
      <c r="F51" s="769"/>
      <c r="I51" s="698"/>
      <c r="K51" s="873" t="s">
        <v>2085</v>
      </c>
      <c r="L51" s="2496" t="s">
        <v>1992</v>
      </c>
      <c r="M51" s="877">
        <v>0.81</v>
      </c>
      <c r="N51" s="2496"/>
      <c r="O51" s="2496"/>
      <c r="P51" s="2496"/>
      <c r="Q51" s="2496"/>
      <c r="R51" s="2496"/>
      <c r="S51" s="874"/>
    </row>
    <row r="52" spans="1:30" x14ac:dyDescent="0.35">
      <c r="I52" s="698"/>
      <c r="K52" s="873" t="s">
        <v>2086</v>
      </c>
      <c r="L52" s="2496" t="s">
        <v>1992</v>
      </c>
      <c r="M52" s="877" t="s">
        <v>2087</v>
      </c>
      <c r="N52" s="2496"/>
      <c r="O52" s="2496"/>
      <c r="P52" s="2496"/>
      <c r="Q52" s="2496"/>
      <c r="R52" s="2496"/>
      <c r="S52" s="874"/>
    </row>
    <row r="53" spans="1:30" x14ac:dyDescent="0.35">
      <c r="K53" s="873" t="s">
        <v>2068</v>
      </c>
      <c r="L53" s="2496" t="s">
        <v>1992</v>
      </c>
      <c r="M53" s="877" t="s">
        <v>2089</v>
      </c>
      <c r="N53" s="2496"/>
      <c r="O53" s="2496"/>
      <c r="P53" s="2496"/>
      <c r="Q53" s="2496"/>
      <c r="R53" s="2496"/>
      <c r="S53" s="874"/>
    </row>
    <row r="54" spans="1:30" ht="18.5" x14ac:dyDescent="0.45">
      <c r="B54" s="3006" t="s">
        <v>2092</v>
      </c>
      <c r="C54" s="3007"/>
      <c r="D54" s="3008"/>
      <c r="G54" s="779"/>
      <c r="H54" s="779"/>
      <c r="I54" s="779"/>
      <c r="K54" s="873" t="s">
        <v>2090</v>
      </c>
      <c r="L54" s="2496" t="s">
        <v>1992</v>
      </c>
      <c r="M54" s="877" t="s">
        <v>2091</v>
      </c>
      <c r="N54" s="2496"/>
      <c r="O54" s="2496"/>
      <c r="P54" s="2496"/>
      <c r="Q54" s="2496"/>
      <c r="R54" s="2496"/>
      <c r="S54" s="874"/>
      <c r="T54" s="779"/>
      <c r="U54" s="779"/>
      <c r="V54" s="779"/>
      <c r="W54" s="779"/>
      <c r="X54" s="779"/>
      <c r="Y54" s="779"/>
      <c r="Z54" s="779"/>
      <c r="AA54" s="779"/>
      <c r="AB54" s="779"/>
      <c r="AC54" s="779"/>
      <c r="AD54" s="779"/>
    </row>
    <row r="55" spans="1:30" ht="29" x14ac:dyDescent="0.45">
      <c r="B55" s="863" t="s">
        <v>2019</v>
      </c>
      <c r="C55" s="881" t="s">
        <v>2093</v>
      </c>
      <c r="D55" s="882" t="s">
        <v>2094</v>
      </c>
      <c r="E55" s="779"/>
      <c r="F55" s="779"/>
      <c r="G55" s="779"/>
      <c r="H55" s="753"/>
      <c r="I55" s="753"/>
      <c r="K55" s="2505" t="s">
        <v>3311</v>
      </c>
      <c r="L55" s="2506" t="s">
        <v>1992</v>
      </c>
      <c r="M55" s="2506" t="s">
        <v>3312</v>
      </c>
      <c r="N55" s="2506"/>
      <c r="O55" s="2506"/>
      <c r="P55" s="2506"/>
      <c r="Q55" s="2506"/>
      <c r="R55" s="2506"/>
      <c r="S55" s="2507"/>
      <c r="T55" s="753"/>
      <c r="U55" s="753"/>
      <c r="V55" s="753"/>
      <c r="W55" s="753"/>
    </row>
    <row r="56" spans="1:30" x14ac:dyDescent="0.35">
      <c r="B56" s="868" t="s">
        <v>2071</v>
      </c>
      <c r="C56" s="868" t="s">
        <v>2095</v>
      </c>
      <c r="D56" s="883">
        <v>150</v>
      </c>
      <c r="E56" s="753"/>
      <c r="F56" s="753"/>
      <c r="G56" s="753"/>
      <c r="H56" s="759"/>
      <c r="I56" s="880"/>
      <c r="K56" s="2502" t="s">
        <v>3318</v>
      </c>
      <c r="L56" s="2503" t="s">
        <v>1992</v>
      </c>
      <c r="M56" s="2503" t="s">
        <v>3319</v>
      </c>
      <c r="N56" s="2503"/>
      <c r="O56" s="2503"/>
      <c r="P56" s="2503"/>
      <c r="Q56" s="2503"/>
      <c r="R56" s="2503"/>
      <c r="S56" s="2504"/>
      <c r="T56" s="761"/>
      <c r="U56" s="762"/>
      <c r="V56" s="763"/>
      <c r="W56" s="764"/>
    </row>
    <row r="57" spans="1:30" x14ac:dyDescent="0.35">
      <c r="B57" s="884" t="s">
        <v>2073</v>
      </c>
      <c r="C57" s="884" t="s">
        <v>2095</v>
      </c>
      <c r="D57" s="885">
        <v>150</v>
      </c>
      <c r="E57" s="753"/>
      <c r="F57" s="753"/>
      <c r="G57" s="753"/>
      <c r="H57" s="759"/>
      <c r="I57" s="880"/>
      <c r="J57" s="698"/>
      <c r="K57" s="698"/>
      <c r="L57" s="698"/>
      <c r="M57" s="698"/>
      <c r="N57" s="698"/>
      <c r="O57" s="698"/>
      <c r="P57" s="698"/>
      <c r="Q57" s="698"/>
      <c r="S57" s="760"/>
      <c r="T57" s="761"/>
      <c r="U57" s="762"/>
      <c r="V57" s="763"/>
      <c r="W57" s="764"/>
    </row>
    <row r="58" spans="1:30" x14ac:dyDescent="0.35">
      <c r="B58" s="872" t="s">
        <v>2075</v>
      </c>
      <c r="C58" s="886" t="s">
        <v>2095</v>
      </c>
      <c r="D58" s="887">
        <v>150</v>
      </c>
      <c r="E58" s="758"/>
      <c r="F58" s="758"/>
      <c r="G58" s="759"/>
      <c r="H58" s="759"/>
      <c r="I58" s="880"/>
      <c r="J58" s="698"/>
      <c r="K58" s="698"/>
      <c r="L58" s="698"/>
      <c r="M58" s="698"/>
      <c r="N58" s="698"/>
      <c r="O58" s="698"/>
      <c r="P58" s="698"/>
      <c r="Q58" s="698"/>
      <c r="S58" s="760"/>
      <c r="T58" s="761"/>
      <c r="U58" s="762"/>
      <c r="V58" s="763"/>
      <c r="W58" s="764"/>
    </row>
    <row r="59" spans="1:30" x14ac:dyDescent="0.35">
      <c r="B59" s="868" t="s">
        <v>2071</v>
      </c>
      <c r="C59" s="868" t="s">
        <v>2096</v>
      </c>
      <c r="D59" s="883">
        <v>250</v>
      </c>
      <c r="E59" s="759"/>
      <c r="F59" s="759"/>
      <c r="G59" s="759"/>
      <c r="H59" s="880"/>
      <c r="I59" s="769"/>
      <c r="S59" s="761"/>
      <c r="T59" s="762"/>
      <c r="U59" s="763"/>
      <c r="V59" s="764"/>
    </row>
    <row r="60" spans="1:30" x14ac:dyDescent="0.35">
      <c r="B60" s="884" t="s">
        <v>2073</v>
      </c>
      <c r="C60" s="884" t="s">
        <v>2096</v>
      </c>
      <c r="D60" s="885">
        <v>250</v>
      </c>
      <c r="E60" s="759"/>
      <c r="F60" s="759"/>
      <c r="G60" s="759"/>
      <c r="H60" s="880"/>
      <c r="I60" s="769"/>
      <c r="S60" s="761"/>
      <c r="T60" s="762"/>
      <c r="U60" s="763"/>
      <c r="V60" s="764"/>
    </row>
    <row r="61" spans="1:30" x14ac:dyDescent="0.35">
      <c r="B61" s="872" t="s">
        <v>2075</v>
      </c>
      <c r="C61" s="886" t="s">
        <v>2096</v>
      </c>
      <c r="D61" s="887">
        <v>250</v>
      </c>
      <c r="E61" s="759"/>
      <c r="F61" s="759"/>
      <c r="G61" s="759"/>
      <c r="H61" s="880"/>
      <c r="I61" s="769"/>
      <c r="S61" s="761"/>
      <c r="T61" s="762"/>
      <c r="U61" s="763"/>
      <c r="V61" s="764"/>
    </row>
    <row r="62" spans="1:30" x14ac:dyDescent="0.35">
      <c r="B62" s="888" t="s">
        <v>2071</v>
      </c>
      <c r="C62" s="889" t="s">
        <v>2097</v>
      </c>
      <c r="D62" s="883">
        <v>350</v>
      </c>
      <c r="E62" s="759"/>
      <c r="F62" s="759"/>
      <c r="G62" s="759"/>
      <c r="H62" s="880"/>
      <c r="I62" s="769"/>
      <c r="S62" s="761"/>
      <c r="T62" s="762"/>
      <c r="U62" s="763"/>
      <c r="V62" s="764"/>
    </row>
    <row r="63" spans="1:30" x14ac:dyDescent="0.35">
      <c r="B63" s="890" t="s">
        <v>2073</v>
      </c>
      <c r="C63" s="889" t="s">
        <v>2097</v>
      </c>
      <c r="D63" s="885">
        <v>350</v>
      </c>
      <c r="E63" s="759"/>
      <c r="F63" s="759"/>
      <c r="G63" s="759"/>
      <c r="H63" s="880"/>
      <c r="I63" s="769"/>
      <c r="S63" s="761"/>
      <c r="T63" s="762"/>
      <c r="U63" s="763"/>
      <c r="V63" s="764"/>
    </row>
    <row r="64" spans="1:30" x14ac:dyDescent="0.35">
      <c r="B64" s="872" t="s">
        <v>2075</v>
      </c>
      <c r="C64" s="891" t="s">
        <v>2097</v>
      </c>
      <c r="D64" s="887">
        <v>350</v>
      </c>
      <c r="E64" s="759"/>
      <c r="F64" s="759"/>
      <c r="G64" s="759"/>
      <c r="H64" s="880"/>
      <c r="I64" s="769"/>
      <c r="S64" s="761"/>
      <c r="T64" s="762"/>
      <c r="U64" s="763"/>
      <c r="V64" s="764"/>
    </row>
    <row r="65" spans="1:22" x14ac:dyDescent="0.35">
      <c r="E65" s="758"/>
      <c r="F65" s="759"/>
      <c r="G65" s="759"/>
      <c r="H65" s="880"/>
      <c r="I65" s="769"/>
      <c r="S65" s="761"/>
      <c r="T65" s="762"/>
      <c r="U65" s="763"/>
      <c r="V65" s="764"/>
    </row>
    <row r="66" spans="1:22" ht="21" x14ac:dyDescent="0.5">
      <c r="A66" s="704" t="s">
        <v>2014</v>
      </c>
      <c r="E66" s="758"/>
      <c r="F66" s="759"/>
      <c r="J66" s="779"/>
      <c r="K66" s="779"/>
      <c r="L66" s="779"/>
      <c r="M66" s="779"/>
      <c r="N66" s="779"/>
      <c r="O66" s="779"/>
      <c r="P66" s="779"/>
      <c r="Q66" s="779"/>
      <c r="R66" s="779"/>
    </row>
    <row r="67" spans="1:22" x14ac:dyDescent="0.35">
      <c r="J67" s="753"/>
      <c r="K67" s="876"/>
      <c r="L67" s="876"/>
      <c r="M67" s="753"/>
      <c r="N67" s="753"/>
      <c r="O67" s="753"/>
      <c r="P67" s="876"/>
      <c r="Q67" s="876"/>
      <c r="R67" s="876"/>
    </row>
    <row r="68" spans="1:22" x14ac:dyDescent="0.35">
      <c r="J68" s="769"/>
      <c r="K68" s="769"/>
      <c r="L68" s="769"/>
      <c r="M68" s="770"/>
      <c r="N68" s="759"/>
      <c r="O68" s="759"/>
      <c r="P68" s="759"/>
      <c r="Q68" s="759"/>
      <c r="R68" s="759"/>
    </row>
    <row r="69" spans="1:22" ht="34.5" customHeight="1" x14ac:dyDescent="0.35">
      <c r="B69" s="3009" t="s">
        <v>2038</v>
      </c>
      <c r="C69" s="3010"/>
      <c r="D69" s="3011"/>
      <c r="J69" s="769"/>
      <c r="K69" s="769"/>
      <c r="L69" s="769"/>
      <c r="M69" s="770"/>
      <c r="N69" s="759"/>
      <c r="O69" s="759"/>
      <c r="P69" s="759"/>
      <c r="Q69" s="759"/>
      <c r="R69" s="759"/>
    </row>
    <row r="70" spans="1:22" ht="29" x14ac:dyDescent="0.35">
      <c r="B70" s="863" t="s">
        <v>2019</v>
      </c>
      <c r="C70" s="881" t="s">
        <v>2093</v>
      </c>
      <c r="D70" s="882" t="s">
        <v>1947</v>
      </c>
      <c r="J70" s="769"/>
      <c r="K70" s="769"/>
      <c r="L70" s="770"/>
      <c r="M70" s="759"/>
      <c r="N70" s="759"/>
      <c r="O70" s="759"/>
      <c r="P70" s="759"/>
      <c r="Q70" s="759"/>
      <c r="R70" s="760"/>
    </row>
    <row r="71" spans="1:22" x14ac:dyDescent="0.35">
      <c r="B71" s="868" t="s">
        <v>2071</v>
      </c>
      <c r="C71" s="868" t="s">
        <v>2095</v>
      </c>
      <c r="D71" s="892">
        <v>3</v>
      </c>
    </row>
    <row r="72" spans="1:22" x14ac:dyDescent="0.35">
      <c r="B72" s="884" t="s">
        <v>2073</v>
      </c>
      <c r="C72" s="884" t="s">
        <v>2095</v>
      </c>
      <c r="D72" s="893">
        <v>1</v>
      </c>
    </row>
    <row r="73" spans="1:22" x14ac:dyDescent="0.35">
      <c r="B73" s="872" t="s">
        <v>2075</v>
      </c>
      <c r="C73" s="886" t="s">
        <v>2095</v>
      </c>
      <c r="D73" s="894">
        <v>1</v>
      </c>
    </row>
    <row r="74" spans="1:22" x14ac:dyDescent="0.35">
      <c r="B74" s="868" t="s">
        <v>2071</v>
      </c>
      <c r="C74" s="868" t="s">
        <v>2096</v>
      </c>
      <c r="D74" s="892">
        <v>3</v>
      </c>
    </row>
    <row r="75" spans="1:22" x14ac:dyDescent="0.35">
      <c r="B75" s="884" t="s">
        <v>2073</v>
      </c>
      <c r="C75" s="884" t="s">
        <v>2096</v>
      </c>
      <c r="D75" s="894">
        <v>1</v>
      </c>
    </row>
    <row r="76" spans="1:22" x14ac:dyDescent="0.35">
      <c r="B76" s="872" t="s">
        <v>2075</v>
      </c>
      <c r="C76" s="886" t="s">
        <v>2096</v>
      </c>
      <c r="D76" s="895">
        <v>1</v>
      </c>
    </row>
    <row r="77" spans="1:22" x14ac:dyDescent="0.35">
      <c r="B77" s="888" t="s">
        <v>2071</v>
      </c>
      <c r="C77" s="896" t="s">
        <v>2097</v>
      </c>
      <c r="D77" s="892">
        <v>3</v>
      </c>
    </row>
    <row r="78" spans="1:22" x14ac:dyDescent="0.35">
      <c r="B78" s="890" t="s">
        <v>2073</v>
      </c>
      <c r="C78" s="897" t="s">
        <v>2097</v>
      </c>
      <c r="D78" s="893">
        <v>1</v>
      </c>
    </row>
    <row r="79" spans="1:22" x14ac:dyDescent="0.35">
      <c r="B79" s="872" t="s">
        <v>2075</v>
      </c>
      <c r="C79" s="898" t="s">
        <v>2097</v>
      </c>
      <c r="D79" s="894">
        <v>1</v>
      </c>
    </row>
    <row r="81" spans="1:15" ht="21" x14ac:dyDescent="0.5">
      <c r="A81" s="704" t="s">
        <v>2036</v>
      </c>
    </row>
    <row r="83" spans="1:15" ht="63" customHeight="1" x14ac:dyDescent="0.35">
      <c r="B83" s="900"/>
      <c r="C83" s="899"/>
      <c r="D83" s="3000" t="s">
        <v>2092</v>
      </c>
      <c r="E83" s="3001"/>
      <c r="F83" s="3002"/>
      <c r="G83" s="901" t="s">
        <v>2038</v>
      </c>
      <c r="H83" s="2997" t="s">
        <v>2040</v>
      </c>
      <c r="I83" s="2998"/>
      <c r="J83" s="2998"/>
      <c r="K83" s="2998"/>
      <c r="L83" s="2998"/>
      <c r="M83" s="2998"/>
      <c r="N83" s="2998"/>
      <c r="O83" s="2999"/>
    </row>
    <row r="84" spans="1:15" ht="62.25" customHeight="1" x14ac:dyDescent="0.35">
      <c r="B84" s="1162" t="s">
        <v>2019</v>
      </c>
      <c r="C84" s="2539" t="s">
        <v>2093</v>
      </c>
      <c r="D84" s="902" t="s">
        <v>2098</v>
      </c>
      <c r="E84" s="903" t="s">
        <v>2099</v>
      </c>
      <c r="F84" s="904" t="s">
        <v>2100</v>
      </c>
      <c r="G84" s="905" t="s">
        <v>1947</v>
      </c>
      <c r="H84" s="906" t="s">
        <v>2101</v>
      </c>
      <c r="I84" s="2529" t="s">
        <v>2102</v>
      </c>
      <c r="J84" s="2529" t="s">
        <v>3316</v>
      </c>
      <c r="K84" s="2529" t="s">
        <v>3320</v>
      </c>
      <c r="L84" s="903" t="s">
        <v>2103</v>
      </c>
      <c r="M84" s="907" t="s">
        <v>2104</v>
      </c>
      <c r="N84" s="907" t="s">
        <v>2105</v>
      </c>
      <c r="O84" s="904" t="s">
        <v>2106</v>
      </c>
    </row>
    <row r="85" spans="1:15" x14ac:dyDescent="0.35">
      <c r="B85" s="868" t="s">
        <v>2071</v>
      </c>
      <c r="C85" s="888" t="s">
        <v>2095</v>
      </c>
      <c r="D85" s="908">
        <f>D56</f>
        <v>150</v>
      </c>
      <c r="E85" s="909">
        <f>C$39</f>
        <v>5</v>
      </c>
      <c r="F85" s="910">
        <f>D$39</f>
        <v>800</v>
      </c>
      <c r="G85" s="911">
        <f t="shared" ref="G85:G93" si="0">D71</f>
        <v>3</v>
      </c>
      <c r="H85" s="912">
        <f>D85*C$49*G85</f>
        <v>25200</v>
      </c>
      <c r="I85" s="913">
        <f>0.746*E85*F85*G85*F$39+J85</f>
        <v>4567.3800862499993</v>
      </c>
      <c r="J85" s="913">
        <f xml:space="preserve"> K85 / 1000000 * H39</f>
        <v>2329.3800862499997</v>
      </c>
      <c r="K85" s="913">
        <f xml:space="preserve"> I39 * E39 * F39</f>
        <v>464946.12499999994</v>
      </c>
      <c r="L85" s="914">
        <f>0</f>
        <v>0</v>
      </c>
      <c r="M85" s="915">
        <f>0.00855*E$39*1.19*G$39*G85</f>
        <v>22650.924665250001</v>
      </c>
      <c r="N85" s="916">
        <f t="shared" ref="N85:N93" si="1">IF(G85=0,0,I85/G85)</f>
        <v>1522.4600287499998</v>
      </c>
      <c r="O85" s="916">
        <f t="shared" ref="O85:O93" si="2">IF(G85=0,0,M85/G85)</f>
        <v>7550.3082217500005</v>
      </c>
    </row>
    <row r="86" spans="1:15" x14ac:dyDescent="0.35">
      <c r="B86" s="884" t="s">
        <v>2073</v>
      </c>
      <c r="C86" s="890" t="s">
        <v>2095</v>
      </c>
      <c r="D86" s="908">
        <f t="shared" ref="D86:D93" si="3">D57</f>
        <v>150</v>
      </c>
      <c r="E86" s="909">
        <f>C$40</f>
        <v>5</v>
      </c>
      <c r="F86" s="910">
        <f>D$40</f>
        <v>800</v>
      </c>
      <c r="G86" s="917">
        <f t="shared" si="0"/>
        <v>1</v>
      </c>
      <c r="H86" s="912">
        <f t="shared" ref="H86:H93" si="4">D86*C$49*G86</f>
        <v>8400</v>
      </c>
      <c r="I86" s="913">
        <f>0.746*E86*F86*G86*F$40+J86</f>
        <v>3075.3800862499997</v>
      </c>
      <c r="J86" s="913">
        <f t="shared" ref="J86:J87" si="5" xml:space="preserve"> K86 / 1000000 * H40</f>
        <v>2329.3800862499997</v>
      </c>
      <c r="K86" s="913">
        <f t="shared" ref="K86:K87" si="6" xml:space="preserve"> I40 * E40 * F40</f>
        <v>464946.12499999994</v>
      </c>
      <c r="L86" s="914">
        <f>0</f>
        <v>0</v>
      </c>
      <c r="M86" s="915">
        <f>0.00855*E$40*1.19*G$40*G86</f>
        <v>7550.3082217500005</v>
      </c>
      <c r="N86" s="918">
        <f t="shared" si="1"/>
        <v>3075.3800862499997</v>
      </c>
      <c r="O86" s="918">
        <f t="shared" si="2"/>
        <v>7550.3082217500005</v>
      </c>
    </row>
    <row r="87" spans="1:15" x14ac:dyDescent="0.35">
      <c r="B87" s="886" t="s">
        <v>2075</v>
      </c>
      <c r="C87" s="872" t="s">
        <v>2095</v>
      </c>
      <c r="D87" s="908">
        <f t="shared" si="3"/>
        <v>150</v>
      </c>
      <c r="E87" s="909">
        <f>C$41</f>
        <v>5</v>
      </c>
      <c r="F87" s="910">
        <f>D$41</f>
        <v>800</v>
      </c>
      <c r="G87" s="911">
        <f t="shared" si="0"/>
        <v>1</v>
      </c>
      <c r="H87" s="912">
        <f t="shared" si="4"/>
        <v>8400</v>
      </c>
      <c r="I87" s="913">
        <f>0.746*E87*F87*G87*F$41+J87</f>
        <v>3075.3800862499997</v>
      </c>
      <c r="J87" s="913">
        <f t="shared" si="5"/>
        <v>2329.3800862499997</v>
      </c>
      <c r="K87" s="913">
        <f t="shared" si="6"/>
        <v>464946.12499999994</v>
      </c>
      <c r="L87" s="914">
        <f>0</f>
        <v>0</v>
      </c>
      <c r="M87" s="915">
        <f>0.00855*E$41*1.19*G$41*G87</f>
        <v>7550.3082217500005</v>
      </c>
      <c r="N87" s="916">
        <f t="shared" si="1"/>
        <v>3075.3800862499997</v>
      </c>
      <c r="O87" s="916">
        <f t="shared" si="2"/>
        <v>7550.3082217500005</v>
      </c>
    </row>
    <row r="88" spans="1:15" x14ac:dyDescent="0.35">
      <c r="B88" s="868" t="s">
        <v>2071</v>
      </c>
      <c r="C88" s="888" t="s">
        <v>2096</v>
      </c>
      <c r="D88" s="908">
        <f t="shared" si="3"/>
        <v>250</v>
      </c>
      <c r="E88" s="909">
        <f>C$39</f>
        <v>5</v>
      </c>
      <c r="F88" s="910">
        <f>D$39</f>
        <v>800</v>
      </c>
      <c r="G88" s="917">
        <f t="shared" si="0"/>
        <v>3</v>
      </c>
      <c r="H88" s="912">
        <f t="shared" si="4"/>
        <v>42000</v>
      </c>
      <c r="I88" s="913">
        <f>0.746*E88*F88*G88*F$39+J88</f>
        <v>4567.3800862499993</v>
      </c>
      <c r="J88" s="913">
        <f xml:space="preserve"> K88 / 1000000 * H39</f>
        <v>2329.3800862499997</v>
      </c>
      <c r="K88" s="913">
        <f xml:space="preserve"> I39 * E39 * F39</f>
        <v>464946.12499999994</v>
      </c>
      <c r="L88" s="914">
        <f>0</f>
        <v>0</v>
      </c>
      <c r="M88" s="915">
        <f>0.00855*E$39*1.19*G$39*G88</f>
        <v>22650.924665250001</v>
      </c>
      <c r="N88" s="918">
        <f t="shared" si="1"/>
        <v>1522.4600287499998</v>
      </c>
      <c r="O88" s="918">
        <f t="shared" si="2"/>
        <v>7550.3082217500005</v>
      </c>
    </row>
    <row r="89" spans="1:15" x14ac:dyDescent="0.35">
      <c r="B89" s="884" t="s">
        <v>2073</v>
      </c>
      <c r="C89" s="890" t="s">
        <v>2096</v>
      </c>
      <c r="D89" s="908">
        <f t="shared" si="3"/>
        <v>250</v>
      </c>
      <c r="E89" s="909">
        <f>C$40</f>
        <v>5</v>
      </c>
      <c r="F89" s="910">
        <f>D$40</f>
        <v>800</v>
      </c>
      <c r="G89" s="911">
        <f t="shared" si="0"/>
        <v>1</v>
      </c>
      <c r="H89" s="912">
        <f t="shared" si="4"/>
        <v>14000</v>
      </c>
      <c r="I89" s="913">
        <f>0.746*E89*F89*G89*F$40+J89</f>
        <v>3075.3800862499997</v>
      </c>
      <c r="J89" s="913">
        <f t="shared" ref="J89:J90" si="7" xml:space="preserve"> K89 / 1000000 * H40</f>
        <v>2329.3800862499997</v>
      </c>
      <c r="K89" s="913">
        <f t="shared" ref="K89:K90" si="8" xml:space="preserve"> I40 * E40 * F40</f>
        <v>464946.12499999994</v>
      </c>
      <c r="L89" s="914">
        <f>0</f>
        <v>0</v>
      </c>
      <c r="M89" s="915">
        <f>0.00855*E$40*1.19*G$40*G89</f>
        <v>7550.3082217500005</v>
      </c>
      <c r="N89" s="916">
        <f t="shared" si="1"/>
        <v>3075.3800862499997</v>
      </c>
      <c r="O89" s="916">
        <f t="shared" si="2"/>
        <v>7550.3082217500005</v>
      </c>
    </row>
    <row r="90" spans="1:15" x14ac:dyDescent="0.35">
      <c r="B90" s="886" t="s">
        <v>2075</v>
      </c>
      <c r="C90" s="872" t="s">
        <v>2096</v>
      </c>
      <c r="D90" s="908">
        <f t="shared" si="3"/>
        <v>250</v>
      </c>
      <c r="E90" s="909">
        <f>C$41</f>
        <v>5</v>
      </c>
      <c r="F90" s="910">
        <f>D$41</f>
        <v>800</v>
      </c>
      <c r="G90" s="917">
        <f t="shared" si="0"/>
        <v>1</v>
      </c>
      <c r="H90" s="912">
        <f t="shared" si="4"/>
        <v>14000</v>
      </c>
      <c r="I90" s="913">
        <f>0.746*E90*F90*G90*F$41+J90</f>
        <v>3075.3800862499997</v>
      </c>
      <c r="J90" s="913">
        <f t="shared" si="7"/>
        <v>2329.3800862499997</v>
      </c>
      <c r="K90" s="913">
        <f t="shared" si="8"/>
        <v>464946.12499999994</v>
      </c>
      <c r="L90" s="914">
        <f>0</f>
        <v>0</v>
      </c>
      <c r="M90" s="915">
        <f>0.00855*E$41*1.19*G$41*G90</f>
        <v>7550.3082217500005</v>
      </c>
      <c r="N90" s="918">
        <f t="shared" si="1"/>
        <v>3075.3800862499997</v>
      </c>
      <c r="O90" s="918">
        <f t="shared" si="2"/>
        <v>7550.3082217500005</v>
      </c>
    </row>
    <row r="91" spans="1:15" x14ac:dyDescent="0.35">
      <c r="B91" s="868" t="s">
        <v>2071</v>
      </c>
      <c r="C91" s="897" t="s">
        <v>2097</v>
      </c>
      <c r="D91" s="908">
        <f t="shared" si="3"/>
        <v>350</v>
      </c>
      <c r="E91" s="909">
        <f>C$39</f>
        <v>5</v>
      </c>
      <c r="F91" s="910">
        <f>D$39</f>
        <v>800</v>
      </c>
      <c r="G91" s="911">
        <f t="shared" si="0"/>
        <v>3</v>
      </c>
      <c r="H91" s="912">
        <f t="shared" si="4"/>
        <v>58800</v>
      </c>
      <c r="I91" s="913">
        <f>0.746*E91*F91*G91*F$39+J91</f>
        <v>4567.3800862499993</v>
      </c>
      <c r="J91" s="913">
        <f xml:space="preserve"> K91 / 1000000 * H39</f>
        <v>2329.3800862499997</v>
      </c>
      <c r="K91" s="913">
        <f xml:space="preserve"> I39 * E39 * F39</f>
        <v>464946.12499999994</v>
      </c>
      <c r="L91" s="914">
        <f>0</f>
        <v>0</v>
      </c>
      <c r="M91" s="915">
        <f>0.00855*E$39*1.19*G$39*G91</f>
        <v>22650.924665250001</v>
      </c>
      <c r="N91" s="916">
        <f t="shared" si="1"/>
        <v>1522.4600287499998</v>
      </c>
      <c r="O91" s="916">
        <f t="shared" si="2"/>
        <v>7550.3082217500005</v>
      </c>
    </row>
    <row r="92" spans="1:15" x14ac:dyDescent="0.35">
      <c r="B92" s="884" t="s">
        <v>2073</v>
      </c>
      <c r="C92" s="897" t="s">
        <v>2097</v>
      </c>
      <c r="D92" s="908">
        <f t="shared" si="3"/>
        <v>350</v>
      </c>
      <c r="E92" s="909">
        <f>C$40</f>
        <v>5</v>
      </c>
      <c r="F92" s="910">
        <f>D$40</f>
        <v>800</v>
      </c>
      <c r="G92" s="917">
        <f t="shared" si="0"/>
        <v>1</v>
      </c>
      <c r="H92" s="912">
        <f t="shared" si="4"/>
        <v>19600</v>
      </c>
      <c r="I92" s="913">
        <f>0.746*E92*F92*G92*F$40+J92</f>
        <v>3075.3800862499997</v>
      </c>
      <c r="J92" s="913">
        <f t="shared" ref="J92:J93" si="9" xml:space="preserve"> K92 / 1000000 * H40</f>
        <v>2329.3800862499997</v>
      </c>
      <c r="K92" s="913">
        <f t="shared" ref="K92:K93" si="10" xml:space="preserve"> I40 * E40 * F40</f>
        <v>464946.12499999994</v>
      </c>
      <c r="L92" s="914">
        <f>0</f>
        <v>0</v>
      </c>
      <c r="M92" s="915">
        <f>0.00855*E$40*1.19*G$40*G92</f>
        <v>7550.3082217500005</v>
      </c>
      <c r="N92" s="918">
        <f t="shared" si="1"/>
        <v>3075.3800862499997</v>
      </c>
      <c r="O92" s="918">
        <f t="shared" si="2"/>
        <v>7550.3082217500005</v>
      </c>
    </row>
    <row r="93" spans="1:15" x14ac:dyDescent="0.35">
      <c r="B93" s="886" t="s">
        <v>2075</v>
      </c>
      <c r="C93" s="898" t="s">
        <v>2097</v>
      </c>
      <c r="D93" s="2537">
        <f t="shared" si="3"/>
        <v>350</v>
      </c>
      <c r="E93" s="1078">
        <f>C$41</f>
        <v>5</v>
      </c>
      <c r="F93" s="2538">
        <f>D$41</f>
        <v>800</v>
      </c>
      <c r="G93" s="1009">
        <f t="shared" si="0"/>
        <v>1</v>
      </c>
      <c r="H93" s="1079">
        <f t="shared" si="4"/>
        <v>19600</v>
      </c>
      <c r="I93" s="1010">
        <f>0.746*E93*F93*G93*F$41+J93</f>
        <v>3075.3800862499997</v>
      </c>
      <c r="J93" s="1010">
        <f t="shared" si="9"/>
        <v>2329.3800862499997</v>
      </c>
      <c r="K93" s="1010">
        <f t="shared" si="10"/>
        <v>464946.12499999994</v>
      </c>
      <c r="L93" s="1011">
        <f>0</f>
        <v>0</v>
      </c>
      <c r="M93" s="2540">
        <f>0.00855*E$41*1.19*G$41*G93</f>
        <v>7550.3082217500005</v>
      </c>
      <c r="N93" s="2541">
        <f t="shared" si="1"/>
        <v>3075.3800862499997</v>
      </c>
      <c r="O93" s="2541">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AD93"/>
  <sheetViews>
    <sheetView zoomScale="70" zoomScaleNormal="70" workbookViewId="0"/>
  </sheetViews>
  <sheetFormatPr defaultColWidth="9.1796875" defaultRowHeight="14.5" x14ac:dyDescent="0.35"/>
  <cols>
    <col min="1" max="1" width="9.1796875" style="675"/>
    <col min="2" max="2" width="35.1796875" style="675" customWidth="1"/>
    <col min="3" max="4" width="16" style="675" customWidth="1"/>
    <col min="5" max="5" width="20.7265625" style="675" customWidth="1"/>
    <col min="6" max="6" width="22.54296875" style="675" customWidth="1"/>
    <col min="7" max="7" width="23.54296875" style="675" customWidth="1"/>
    <col min="8" max="8" width="20.1796875" style="675" customWidth="1"/>
    <col min="9" max="9" width="20" style="675" customWidth="1"/>
    <col min="10" max="10" width="24.7265625" style="675" customWidth="1"/>
    <col min="11"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155</v>
      </c>
    </row>
    <row r="3" spans="1:11" ht="21" x14ac:dyDescent="0.5">
      <c r="A3" s="704" t="s">
        <v>2050</v>
      </c>
    </row>
    <row r="4" spans="1:11" ht="15" customHeight="1" x14ac:dyDescent="0.35">
      <c r="B4" s="735"/>
      <c r="C4" s="833"/>
      <c r="J4" s="737"/>
      <c r="K4" s="737"/>
    </row>
    <row r="5" spans="1:11" x14ac:dyDescent="0.35">
      <c r="B5" s="834" t="s">
        <v>1947</v>
      </c>
      <c r="C5" s="835">
        <f>SUM(G85:G93)</f>
        <v>15</v>
      </c>
    </row>
    <row r="6" spans="1:11" x14ac:dyDescent="0.35">
      <c r="B6" s="836" t="s">
        <v>2051</v>
      </c>
      <c r="C6" s="837">
        <f>SUM(G85:G93)</f>
        <v>15</v>
      </c>
    </row>
    <row r="7" spans="1:11" x14ac:dyDescent="0.35">
      <c r="B7" s="838" t="s">
        <v>2052</v>
      </c>
      <c r="C7" s="2542">
        <f>SUM(I85:I93)</f>
        <v>32154.420776249994</v>
      </c>
      <c r="D7" s="840"/>
    </row>
    <row r="8" spans="1:11" x14ac:dyDescent="0.35">
      <c r="B8" s="841" t="s">
        <v>1951</v>
      </c>
      <c r="C8" s="2542">
        <f>SUM(L85:L93)</f>
        <v>0</v>
      </c>
      <c r="F8" s="3003"/>
      <c r="G8" s="3003"/>
      <c r="H8" s="796"/>
      <c r="I8" s="796"/>
      <c r="J8" s="698"/>
    </row>
    <row r="9" spans="1:11" x14ac:dyDescent="0.35">
      <c r="B9" s="838" t="s">
        <v>1952</v>
      </c>
      <c r="C9" s="2542">
        <f>SUM(O85:O93)</f>
        <v>67952.773995750002</v>
      </c>
    </row>
    <row r="10" spans="1:11" x14ac:dyDescent="0.35">
      <c r="B10" s="841" t="s">
        <v>2053</v>
      </c>
      <c r="C10" s="843">
        <f>SUM(H85:H93)</f>
        <v>273000</v>
      </c>
      <c r="E10" s="919"/>
    </row>
    <row r="11" spans="1:11" x14ac:dyDescent="0.35">
      <c r="B11" s="838" t="s">
        <v>2054</v>
      </c>
      <c r="C11" s="844">
        <f>C7/$C$6</f>
        <v>2143.6280517499995</v>
      </c>
      <c r="D11" s="845"/>
    </row>
    <row r="12" spans="1:11" x14ac:dyDescent="0.35">
      <c r="B12" s="841" t="s">
        <v>2055</v>
      </c>
      <c r="C12" s="846">
        <f>C8/$C$6</f>
        <v>0</v>
      </c>
    </row>
    <row r="13" spans="1:11" x14ac:dyDescent="0.35">
      <c r="B13" s="838" t="s">
        <v>2056</v>
      </c>
      <c r="C13" s="844">
        <f>C9/$C$6</f>
        <v>4530.1849330499999</v>
      </c>
    </row>
    <row r="14" spans="1:11" x14ac:dyDescent="0.35">
      <c r="B14" s="841" t="s">
        <v>2057</v>
      </c>
      <c r="C14" s="847">
        <f>C10/C7</f>
        <v>8.4902788919663639</v>
      </c>
    </row>
    <row r="15" spans="1:11" x14ac:dyDescent="0.35">
      <c r="B15" s="838" t="s">
        <v>2058</v>
      </c>
      <c r="C15" s="839">
        <f>C7/C5</f>
        <v>2143.6280517499995</v>
      </c>
    </row>
    <row r="16" spans="1:11" x14ac:dyDescent="0.35">
      <c r="B16" s="841" t="s">
        <v>2059</v>
      </c>
      <c r="C16" s="842">
        <f>C10/C5</f>
        <v>18200</v>
      </c>
    </row>
    <row r="17" spans="1:5" x14ac:dyDescent="0.35">
      <c r="B17" s="848" t="s">
        <v>2060</v>
      </c>
      <c r="C17" s="849">
        <f>(C16/C49)*B44</f>
        <v>19960</v>
      </c>
    </row>
    <row r="18" spans="1:5" x14ac:dyDescent="0.35">
      <c r="B18" s="850" t="s">
        <v>2061</v>
      </c>
      <c r="C18" s="729"/>
    </row>
    <row r="19" spans="1:5" x14ac:dyDescent="0.35">
      <c r="B19" s="851" t="s">
        <v>2062</v>
      </c>
      <c r="C19" s="729"/>
    </row>
    <row r="20" spans="1:5" x14ac:dyDescent="0.35">
      <c r="B20" s="834" t="s">
        <v>2063</v>
      </c>
      <c r="C20" s="852">
        <f>1-C31+C32+C33</f>
        <v>0.83300000000000007</v>
      </c>
    </row>
    <row r="21" spans="1:5" x14ac:dyDescent="0.35">
      <c r="B21" s="841" t="s">
        <v>1965</v>
      </c>
      <c r="C21" s="842">
        <f>C20*C7</f>
        <v>26784.632506616246</v>
      </c>
      <c r="D21" s="840"/>
      <c r="E21" s="853"/>
    </row>
    <row r="22" spans="1:5" x14ac:dyDescent="0.35">
      <c r="B22" s="838" t="s">
        <v>1966</v>
      </c>
      <c r="C22" s="839">
        <f>C$20*C8</f>
        <v>0</v>
      </c>
    </row>
    <row r="23" spans="1:5" x14ac:dyDescent="0.35">
      <c r="B23" s="841" t="s">
        <v>1967</v>
      </c>
      <c r="C23" s="842">
        <f>C$20*C9</f>
        <v>56604.660738459759</v>
      </c>
    </row>
    <row r="24" spans="1:5" x14ac:dyDescent="0.35">
      <c r="B24" s="838" t="s">
        <v>1968</v>
      </c>
      <c r="C24" s="854">
        <f>C10/C21</f>
        <v>10.19241163501364</v>
      </c>
    </row>
    <row r="25" spans="1:5" x14ac:dyDescent="0.35">
      <c r="B25" s="855" t="s">
        <v>1970</v>
      </c>
      <c r="C25" s="856">
        <v>10</v>
      </c>
    </row>
    <row r="26" spans="1:5" x14ac:dyDescent="0.35">
      <c r="B26" s="703"/>
    </row>
    <row r="27" spans="1:5" x14ac:dyDescent="0.35">
      <c r="B27" s="703"/>
    </row>
    <row r="28" spans="1:5" ht="21" hidden="1" x14ac:dyDescent="0.5">
      <c r="A28" s="704" t="s">
        <v>2064</v>
      </c>
      <c r="B28" s="703"/>
    </row>
    <row r="29" spans="1:5" hidden="1" x14ac:dyDescent="0.35"/>
    <row r="30" spans="1:5" ht="15" hidden="1" customHeight="1" x14ac:dyDescent="0.35">
      <c r="B30" s="3004" t="s">
        <v>2065</v>
      </c>
      <c r="C30" s="3005"/>
    </row>
    <row r="31" spans="1:5" hidden="1" x14ac:dyDescent="0.35">
      <c r="B31" s="857" t="s">
        <v>1416</v>
      </c>
      <c r="C31" s="858">
        <v>0.18</v>
      </c>
    </row>
    <row r="32" spans="1:5" hidden="1" x14ac:dyDescent="0.35">
      <c r="B32" s="859" t="s">
        <v>2066</v>
      </c>
      <c r="C32" s="860">
        <v>3.0000000000000001E-3</v>
      </c>
    </row>
    <row r="33" spans="1:19" hidden="1" x14ac:dyDescent="0.35">
      <c r="B33" s="861" t="s">
        <v>2067</v>
      </c>
      <c r="C33" s="862">
        <v>0.01</v>
      </c>
    </row>
    <row r="35" spans="1:19" ht="21" x14ac:dyDescent="0.5">
      <c r="A35" s="704" t="s">
        <v>1977</v>
      </c>
    </row>
    <row r="37" spans="1:19" ht="18" customHeight="1" x14ac:dyDescent="0.45">
      <c r="B37" s="2530" t="s">
        <v>2039</v>
      </c>
      <c r="C37" s="2531"/>
      <c r="D37" s="2531"/>
      <c r="E37" s="2531"/>
      <c r="F37" s="2531"/>
      <c r="G37" s="2531"/>
      <c r="H37" s="2531"/>
      <c r="I37" s="2532"/>
      <c r="J37" s="779"/>
      <c r="K37" s="779"/>
      <c r="L37" s="779"/>
      <c r="M37" s="779"/>
    </row>
    <row r="38" spans="1:19" ht="60" customHeight="1" x14ac:dyDescent="0.35">
      <c r="B38" s="997" t="s">
        <v>2019</v>
      </c>
      <c r="C38" s="998" t="s">
        <v>1737</v>
      </c>
      <c r="D38" s="998" t="s">
        <v>476</v>
      </c>
      <c r="E38" s="998" t="s">
        <v>2068</v>
      </c>
      <c r="F38" s="998" t="s">
        <v>2069</v>
      </c>
      <c r="G38" s="998" t="s">
        <v>2070</v>
      </c>
      <c r="H38" s="2534" t="s">
        <v>3311</v>
      </c>
      <c r="I38" s="2534" t="s">
        <v>3318</v>
      </c>
      <c r="K38" s="2994" t="s">
        <v>3315</v>
      </c>
      <c r="L38" s="2995"/>
      <c r="M38" s="2995"/>
      <c r="N38" s="2995"/>
      <c r="O38" s="2995"/>
      <c r="P38" s="2995"/>
      <c r="Q38" s="2995"/>
      <c r="R38" s="2995"/>
      <c r="S38" s="2996"/>
    </row>
    <row r="39" spans="1:19" x14ac:dyDescent="0.35">
      <c r="B39" s="995" t="s">
        <v>2071</v>
      </c>
      <c r="C39" s="1095">
        <v>5</v>
      </c>
      <c r="D39" s="1056">
        <v>800</v>
      </c>
      <c r="E39" s="2533">
        <v>916150</v>
      </c>
      <c r="F39" s="1096">
        <v>0.25</v>
      </c>
      <c r="G39" s="1096">
        <v>0.81</v>
      </c>
      <c r="H39" s="2536">
        <v>5010</v>
      </c>
      <c r="I39" s="2535">
        <v>2.0299999999999998</v>
      </c>
      <c r="K39" s="869" t="s">
        <v>2072</v>
      </c>
      <c r="L39" s="870"/>
      <c r="M39" s="870"/>
      <c r="N39" s="870"/>
      <c r="O39" s="870"/>
      <c r="P39" s="870"/>
      <c r="Q39" s="870"/>
      <c r="R39" s="870"/>
      <c r="S39" s="871"/>
    </row>
    <row r="40" spans="1:19" x14ac:dyDescent="0.35">
      <c r="B40" s="996" t="s">
        <v>2073</v>
      </c>
      <c r="C40" s="1095">
        <v>5</v>
      </c>
      <c r="D40" s="1056">
        <v>800</v>
      </c>
      <c r="E40" s="2533">
        <v>916150</v>
      </c>
      <c r="F40" s="1096">
        <v>0.25</v>
      </c>
      <c r="G40" s="1096">
        <v>0.81</v>
      </c>
      <c r="H40" s="2536">
        <v>5010</v>
      </c>
      <c r="I40" s="2535">
        <v>2.0299999999999998</v>
      </c>
      <c r="K40" s="873" t="s">
        <v>2074</v>
      </c>
      <c r="L40" s="2496"/>
      <c r="M40" s="2496"/>
      <c r="N40" s="2496"/>
      <c r="O40" s="2496"/>
      <c r="P40" s="2496"/>
      <c r="Q40" s="2496"/>
      <c r="R40" s="2496"/>
      <c r="S40" s="874"/>
    </row>
    <row r="41" spans="1:19" x14ac:dyDescent="0.35">
      <c r="B41" s="995" t="s">
        <v>2075</v>
      </c>
      <c r="C41" s="1095">
        <v>5</v>
      </c>
      <c r="D41" s="1056">
        <v>800</v>
      </c>
      <c r="E41" s="2533">
        <v>916150</v>
      </c>
      <c r="F41" s="1096">
        <v>0.25</v>
      </c>
      <c r="G41" s="1096">
        <v>0.81</v>
      </c>
      <c r="H41" s="2536">
        <v>5010</v>
      </c>
      <c r="I41" s="2535">
        <v>2.0299999999999998</v>
      </c>
      <c r="K41" s="873" t="s">
        <v>2076</v>
      </c>
      <c r="L41" s="2496"/>
      <c r="M41" s="2496"/>
      <c r="N41" s="2496"/>
      <c r="O41" s="2496"/>
      <c r="P41" s="2496"/>
      <c r="Q41" s="2496"/>
      <c r="R41" s="2496"/>
      <c r="S41" s="874"/>
    </row>
    <row r="42" spans="1:19" x14ac:dyDescent="0.35">
      <c r="D42" s="739"/>
      <c r="K42" s="873" t="s">
        <v>2077</v>
      </c>
      <c r="L42" s="2496"/>
      <c r="M42" s="2496"/>
      <c r="N42" s="2496"/>
      <c r="O42" s="2496"/>
      <c r="P42" s="2496"/>
      <c r="Q42" s="2496"/>
      <c r="R42" s="2496"/>
      <c r="S42" s="874"/>
    </row>
    <row r="43" spans="1:19" x14ac:dyDescent="0.35">
      <c r="B43" s="675" t="s">
        <v>2078</v>
      </c>
      <c r="K43" s="873" t="s">
        <v>2079</v>
      </c>
      <c r="L43" s="2496"/>
      <c r="M43" s="2496"/>
      <c r="N43" s="2496"/>
      <c r="O43" s="2496"/>
      <c r="P43" s="2496"/>
      <c r="Q43" s="2496"/>
      <c r="R43" s="2496"/>
      <c r="S43" s="874"/>
    </row>
    <row r="44" spans="1:19" x14ac:dyDescent="0.35">
      <c r="B44" s="875">
        <v>79.84</v>
      </c>
      <c r="D44" s="739"/>
      <c r="K44" s="2505" t="s">
        <v>3310</v>
      </c>
      <c r="L44" s="2506"/>
      <c r="M44" s="2506"/>
      <c r="N44" s="2506"/>
      <c r="O44" s="2506"/>
      <c r="P44" s="2506"/>
      <c r="Q44" s="2506"/>
      <c r="R44" s="2506"/>
      <c r="S44" s="2507"/>
    </row>
    <row r="45" spans="1:19" x14ac:dyDescent="0.35">
      <c r="K45" s="2502" t="s">
        <v>3317</v>
      </c>
      <c r="L45" s="2503"/>
      <c r="M45" s="2503"/>
      <c r="N45" s="2503"/>
      <c r="O45" s="2503"/>
      <c r="P45" s="2503"/>
      <c r="Q45" s="2503"/>
      <c r="R45" s="2503"/>
      <c r="S45" s="2504"/>
    </row>
    <row r="46" spans="1:19" x14ac:dyDescent="0.35">
      <c r="K46" s="869" t="s">
        <v>1990</v>
      </c>
      <c r="L46" s="870"/>
      <c r="M46" s="870"/>
      <c r="N46" s="870"/>
      <c r="O46" s="870"/>
      <c r="P46" s="870"/>
      <c r="Q46" s="870"/>
      <c r="R46" s="870"/>
      <c r="S46" s="871"/>
    </row>
    <row r="47" spans="1:19" ht="18" customHeight="1" x14ac:dyDescent="0.5">
      <c r="A47" s="704" t="s">
        <v>2012</v>
      </c>
      <c r="G47" s="779"/>
      <c r="H47" s="779"/>
      <c r="I47" s="779"/>
      <c r="K47" s="873" t="s">
        <v>2080</v>
      </c>
      <c r="L47" s="2496" t="s">
        <v>1992</v>
      </c>
      <c r="M47" s="2496" t="s">
        <v>2081</v>
      </c>
      <c r="N47" s="2496"/>
      <c r="O47" s="2496"/>
      <c r="P47" s="2496"/>
      <c r="Q47" s="2496"/>
      <c r="R47" s="2496"/>
      <c r="S47" s="874"/>
    </row>
    <row r="48" spans="1:19" ht="21" x14ac:dyDescent="0.5">
      <c r="A48" s="704"/>
      <c r="E48" s="876"/>
      <c r="F48" s="876"/>
      <c r="G48" s="876"/>
      <c r="H48" s="876"/>
      <c r="I48" s="753"/>
      <c r="K48" s="873" t="s">
        <v>1737</v>
      </c>
      <c r="L48" s="2496" t="s">
        <v>1992</v>
      </c>
      <c r="M48" s="2496" t="s">
        <v>2082</v>
      </c>
      <c r="N48" s="2496"/>
      <c r="O48" s="2496"/>
      <c r="P48" s="2496"/>
      <c r="Q48" s="2496"/>
      <c r="R48" s="2496"/>
      <c r="S48" s="874"/>
    </row>
    <row r="49" spans="1:30" x14ac:dyDescent="0.35">
      <c r="B49" s="878" t="s">
        <v>2084</v>
      </c>
      <c r="C49" s="879">
        <v>72.8</v>
      </c>
      <c r="E49" s="920"/>
      <c r="F49" s="769"/>
      <c r="G49" s="769"/>
      <c r="H49" s="880"/>
      <c r="I49" s="698"/>
      <c r="K49" s="873" t="s">
        <v>476</v>
      </c>
      <c r="L49" s="2496" t="s">
        <v>1992</v>
      </c>
      <c r="M49" s="2496" t="s">
        <v>2083</v>
      </c>
      <c r="N49" s="2496"/>
      <c r="O49" s="2496"/>
      <c r="P49" s="2496"/>
      <c r="Q49" s="2496"/>
      <c r="R49" s="2496"/>
      <c r="S49" s="874"/>
    </row>
    <row r="50" spans="1:30" x14ac:dyDescent="0.35">
      <c r="E50" s="880"/>
      <c r="F50" s="769"/>
      <c r="G50" s="769"/>
      <c r="H50" s="880"/>
      <c r="I50" s="698"/>
      <c r="K50" s="873" t="s">
        <v>2069</v>
      </c>
      <c r="L50" s="2496" t="s">
        <v>1992</v>
      </c>
      <c r="M50" s="877">
        <v>0.25</v>
      </c>
      <c r="N50" s="2496"/>
      <c r="O50" s="2496"/>
      <c r="P50" s="2496"/>
      <c r="Q50" s="2496"/>
      <c r="R50" s="2496"/>
      <c r="S50" s="874"/>
    </row>
    <row r="51" spans="1:30" ht="21" x14ac:dyDescent="0.5">
      <c r="A51" s="704" t="s">
        <v>2088</v>
      </c>
      <c r="E51" s="880"/>
      <c r="F51" s="769"/>
      <c r="I51" s="698"/>
      <c r="K51" s="873" t="s">
        <v>2085</v>
      </c>
      <c r="L51" s="2496" t="s">
        <v>1992</v>
      </c>
      <c r="M51" s="877">
        <v>0.81</v>
      </c>
      <c r="N51" s="2496"/>
      <c r="O51" s="2496"/>
      <c r="P51" s="2496"/>
      <c r="Q51" s="2496"/>
      <c r="R51" s="2496"/>
      <c r="S51" s="874"/>
    </row>
    <row r="52" spans="1:30" x14ac:dyDescent="0.35">
      <c r="I52" s="698"/>
      <c r="K52" s="873" t="s">
        <v>2086</v>
      </c>
      <c r="L52" s="2496" t="s">
        <v>1992</v>
      </c>
      <c r="M52" s="877" t="s">
        <v>2087</v>
      </c>
      <c r="N52" s="2496"/>
      <c r="O52" s="2496"/>
      <c r="P52" s="2496"/>
      <c r="Q52" s="2496"/>
      <c r="R52" s="2496"/>
      <c r="S52" s="874"/>
    </row>
    <row r="53" spans="1:30" x14ac:dyDescent="0.35">
      <c r="K53" s="873" t="s">
        <v>2068</v>
      </c>
      <c r="L53" s="2496" t="s">
        <v>1992</v>
      </c>
      <c r="M53" s="877" t="s">
        <v>2089</v>
      </c>
      <c r="N53" s="2496"/>
      <c r="O53" s="2496"/>
      <c r="P53" s="2496"/>
      <c r="Q53" s="2496"/>
      <c r="R53" s="2496"/>
      <c r="S53" s="874"/>
    </row>
    <row r="54" spans="1:30" ht="18.5" x14ac:dyDescent="0.45">
      <c r="B54" s="3006" t="s">
        <v>2092</v>
      </c>
      <c r="C54" s="3007"/>
      <c r="D54" s="3008"/>
      <c r="G54" s="779"/>
      <c r="H54" s="779"/>
      <c r="I54" s="779"/>
      <c r="K54" s="873" t="s">
        <v>2090</v>
      </c>
      <c r="L54" s="2496" t="s">
        <v>1992</v>
      </c>
      <c r="M54" s="877" t="s">
        <v>2091</v>
      </c>
      <c r="N54" s="2496"/>
      <c r="O54" s="2496"/>
      <c r="P54" s="2496"/>
      <c r="Q54" s="2496"/>
      <c r="R54" s="2496"/>
      <c r="S54" s="874"/>
      <c r="T54" s="779"/>
      <c r="U54" s="779"/>
      <c r="V54" s="779"/>
      <c r="W54" s="779"/>
      <c r="X54" s="779"/>
      <c r="Y54" s="779"/>
      <c r="Z54" s="779"/>
      <c r="AA54" s="779"/>
      <c r="AB54" s="779"/>
      <c r="AC54" s="779"/>
      <c r="AD54" s="779"/>
    </row>
    <row r="55" spans="1:30" ht="29" x14ac:dyDescent="0.45">
      <c r="B55" s="863" t="s">
        <v>2019</v>
      </c>
      <c r="C55" s="881" t="s">
        <v>2093</v>
      </c>
      <c r="D55" s="882" t="s">
        <v>2094</v>
      </c>
      <c r="E55" s="779"/>
      <c r="F55" s="779"/>
      <c r="G55" s="779"/>
      <c r="H55" s="753"/>
      <c r="I55" s="753"/>
      <c r="K55" s="2505" t="s">
        <v>3311</v>
      </c>
      <c r="L55" s="2506" t="s">
        <v>1992</v>
      </c>
      <c r="M55" s="2506" t="s">
        <v>3312</v>
      </c>
      <c r="N55" s="2506"/>
      <c r="O55" s="2506"/>
      <c r="P55" s="2506"/>
      <c r="Q55" s="2506"/>
      <c r="R55" s="2506"/>
      <c r="S55" s="2507"/>
      <c r="T55" s="753"/>
      <c r="U55" s="753"/>
      <c r="V55" s="753"/>
      <c r="W55" s="753"/>
    </row>
    <row r="56" spans="1:30" x14ac:dyDescent="0.35">
      <c r="B56" s="868" t="s">
        <v>2071</v>
      </c>
      <c r="C56" s="868" t="s">
        <v>2095</v>
      </c>
      <c r="D56" s="883">
        <v>150</v>
      </c>
      <c r="E56" s="753"/>
      <c r="F56" s="753"/>
      <c r="G56" s="753"/>
      <c r="H56" s="759"/>
      <c r="I56" s="880"/>
      <c r="K56" s="2502" t="s">
        <v>3318</v>
      </c>
      <c r="L56" s="2503" t="s">
        <v>1992</v>
      </c>
      <c r="M56" s="2503" t="s">
        <v>3319</v>
      </c>
      <c r="N56" s="2503"/>
      <c r="O56" s="2503"/>
      <c r="P56" s="2503"/>
      <c r="Q56" s="2503"/>
      <c r="R56" s="2503"/>
      <c r="S56" s="2504"/>
      <c r="T56" s="761"/>
      <c r="U56" s="762"/>
      <c r="V56" s="763"/>
      <c r="W56" s="764"/>
    </row>
    <row r="57" spans="1:30" x14ac:dyDescent="0.35">
      <c r="B57" s="884" t="s">
        <v>2073</v>
      </c>
      <c r="C57" s="884" t="s">
        <v>2095</v>
      </c>
      <c r="D57" s="885">
        <v>150</v>
      </c>
      <c r="E57" s="753"/>
      <c r="F57" s="753"/>
      <c r="G57" s="753"/>
      <c r="H57" s="759"/>
      <c r="I57" s="880"/>
      <c r="J57" s="698"/>
      <c r="K57" s="698"/>
      <c r="L57" s="698"/>
      <c r="M57" s="698"/>
      <c r="N57" s="698"/>
      <c r="O57" s="698"/>
      <c r="P57" s="698"/>
      <c r="Q57" s="698"/>
      <c r="S57" s="760"/>
      <c r="T57" s="761"/>
      <c r="U57" s="762"/>
      <c r="V57" s="763"/>
      <c r="W57" s="764"/>
    </row>
    <row r="58" spans="1:30" x14ac:dyDescent="0.35">
      <c r="B58" s="872" t="s">
        <v>2075</v>
      </c>
      <c r="C58" s="886" t="s">
        <v>2095</v>
      </c>
      <c r="D58" s="887">
        <v>150</v>
      </c>
      <c r="E58" s="758"/>
      <c r="F58" s="758"/>
      <c r="G58" s="759"/>
      <c r="H58" s="759"/>
      <c r="I58" s="880"/>
      <c r="J58" s="698"/>
      <c r="K58" s="698"/>
      <c r="L58" s="698"/>
      <c r="M58" s="698"/>
      <c r="N58" s="698"/>
      <c r="O58" s="698"/>
      <c r="P58" s="698"/>
      <c r="Q58" s="698"/>
      <c r="S58" s="760"/>
      <c r="T58" s="761"/>
      <c r="U58" s="762"/>
      <c r="V58" s="763"/>
      <c r="W58" s="764"/>
    </row>
    <row r="59" spans="1:30" x14ac:dyDescent="0.35">
      <c r="B59" s="868" t="s">
        <v>2071</v>
      </c>
      <c r="C59" s="868" t="s">
        <v>2096</v>
      </c>
      <c r="D59" s="883">
        <v>250</v>
      </c>
      <c r="E59" s="759"/>
      <c r="F59" s="759"/>
      <c r="G59" s="759"/>
      <c r="H59" s="880"/>
      <c r="I59" s="769"/>
      <c r="S59" s="761"/>
      <c r="T59" s="762"/>
      <c r="U59" s="763"/>
      <c r="V59" s="764"/>
    </row>
    <row r="60" spans="1:30" x14ac:dyDescent="0.35">
      <c r="B60" s="884" t="s">
        <v>2073</v>
      </c>
      <c r="C60" s="884" t="s">
        <v>2096</v>
      </c>
      <c r="D60" s="885">
        <v>250</v>
      </c>
      <c r="E60" s="759"/>
      <c r="F60" s="759"/>
      <c r="G60" s="759"/>
      <c r="H60" s="880"/>
      <c r="I60" s="769"/>
      <c r="S60" s="761"/>
      <c r="T60" s="762"/>
      <c r="U60" s="763"/>
      <c r="V60" s="764"/>
    </row>
    <row r="61" spans="1:30" x14ac:dyDescent="0.35">
      <c r="B61" s="872" t="s">
        <v>2075</v>
      </c>
      <c r="C61" s="886" t="s">
        <v>2096</v>
      </c>
      <c r="D61" s="887">
        <v>250</v>
      </c>
      <c r="E61" s="759"/>
      <c r="F61" s="759"/>
      <c r="G61" s="759"/>
      <c r="H61" s="880"/>
      <c r="I61" s="769"/>
      <c r="S61" s="761"/>
      <c r="T61" s="762"/>
      <c r="U61" s="763"/>
      <c r="V61" s="764"/>
    </row>
    <row r="62" spans="1:30" x14ac:dyDescent="0.35">
      <c r="B62" s="888" t="s">
        <v>2071</v>
      </c>
      <c r="C62" s="889" t="s">
        <v>2097</v>
      </c>
      <c r="D62" s="883">
        <v>350</v>
      </c>
      <c r="E62" s="759"/>
      <c r="F62" s="759"/>
      <c r="G62" s="759"/>
      <c r="H62" s="880"/>
      <c r="I62" s="769"/>
      <c r="S62" s="761"/>
      <c r="T62" s="762"/>
      <c r="U62" s="763"/>
      <c r="V62" s="764"/>
    </row>
    <row r="63" spans="1:30" x14ac:dyDescent="0.35">
      <c r="B63" s="890" t="s">
        <v>2073</v>
      </c>
      <c r="C63" s="889" t="s">
        <v>2097</v>
      </c>
      <c r="D63" s="885">
        <v>350</v>
      </c>
      <c r="E63" s="759"/>
      <c r="F63" s="759"/>
      <c r="G63" s="759"/>
      <c r="H63" s="880"/>
      <c r="I63" s="769"/>
      <c r="S63" s="761"/>
      <c r="T63" s="762"/>
      <c r="U63" s="763"/>
      <c r="V63" s="764"/>
    </row>
    <row r="64" spans="1:30" x14ac:dyDescent="0.35">
      <c r="B64" s="872" t="s">
        <v>2075</v>
      </c>
      <c r="C64" s="891" t="s">
        <v>2097</v>
      </c>
      <c r="D64" s="887">
        <v>350</v>
      </c>
      <c r="E64" s="759"/>
      <c r="F64" s="759"/>
      <c r="G64" s="759"/>
      <c r="H64" s="880"/>
      <c r="I64" s="769"/>
      <c r="S64" s="761"/>
      <c r="T64" s="762"/>
      <c r="U64" s="763"/>
      <c r="V64" s="764"/>
    </row>
    <row r="65" spans="1:22" x14ac:dyDescent="0.35">
      <c r="E65" s="758"/>
      <c r="F65" s="759"/>
      <c r="G65" s="759"/>
      <c r="H65" s="880"/>
      <c r="I65" s="769"/>
      <c r="S65" s="761"/>
      <c r="T65" s="762"/>
      <c r="U65" s="763"/>
      <c r="V65" s="764"/>
    </row>
    <row r="66" spans="1:22" ht="21" x14ac:dyDescent="0.5">
      <c r="A66" s="704" t="s">
        <v>2014</v>
      </c>
      <c r="E66" s="758"/>
      <c r="F66" s="759"/>
      <c r="J66" s="779"/>
      <c r="K66" s="779"/>
      <c r="L66" s="779"/>
      <c r="M66" s="779"/>
      <c r="N66" s="779"/>
      <c r="O66" s="779"/>
      <c r="P66" s="779"/>
      <c r="Q66" s="779"/>
      <c r="R66" s="779"/>
    </row>
    <row r="67" spans="1:22" x14ac:dyDescent="0.35">
      <c r="J67" s="753"/>
      <c r="K67" s="876"/>
      <c r="L67" s="876"/>
      <c r="M67" s="753"/>
      <c r="N67" s="753"/>
      <c r="O67" s="753"/>
      <c r="P67" s="876"/>
      <c r="Q67" s="876"/>
      <c r="R67" s="876"/>
    </row>
    <row r="68" spans="1:22" x14ac:dyDescent="0.35">
      <c r="J68" s="769"/>
      <c r="K68" s="769"/>
      <c r="L68" s="769"/>
      <c r="M68" s="770"/>
      <c r="N68" s="759"/>
      <c r="O68" s="759"/>
      <c r="P68" s="759"/>
      <c r="Q68" s="759"/>
      <c r="R68" s="759"/>
    </row>
    <row r="69" spans="1:22" ht="34.5" customHeight="1" x14ac:dyDescent="0.35">
      <c r="B69" s="3009" t="s">
        <v>2038</v>
      </c>
      <c r="C69" s="3010"/>
      <c r="D69" s="3011"/>
      <c r="J69" s="769"/>
      <c r="K69" s="769"/>
      <c r="L69" s="769"/>
      <c r="M69" s="770"/>
      <c r="N69" s="759"/>
      <c r="O69" s="759"/>
      <c r="P69" s="759"/>
      <c r="Q69" s="759"/>
      <c r="R69" s="759"/>
    </row>
    <row r="70" spans="1:22" ht="29" x14ac:dyDescent="0.35">
      <c r="B70" s="863" t="s">
        <v>2019</v>
      </c>
      <c r="C70" s="881" t="s">
        <v>2093</v>
      </c>
      <c r="D70" s="882" t="s">
        <v>1947</v>
      </c>
      <c r="J70" s="769"/>
      <c r="K70" s="769"/>
      <c r="L70" s="770"/>
      <c r="M70" s="759"/>
      <c r="N70" s="759"/>
      <c r="O70" s="759"/>
      <c r="P70" s="759"/>
      <c r="Q70" s="759"/>
      <c r="R70" s="760"/>
    </row>
    <row r="71" spans="1:22" x14ac:dyDescent="0.35">
      <c r="B71" s="868" t="s">
        <v>2071</v>
      </c>
      <c r="C71" s="868" t="s">
        <v>2095</v>
      </c>
      <c r="D71" s="892">
        <v>3</v>
      </c>
    </row>
    <row r="72" spans="1:22" x14ac:dyDescent="0.35">
      <c r="B72" s="884" t="s">
        <v>2073</v>
      </c>
      <c r="C72" s="884" t="s">
        <v>2095</v>
      </c>
      <c r="D72" s="893">
        <v>1</v>
      </c>
    </row>
    <row r="73" spans="1:22" x14ac:dyDescent="0.35">
      <c r="B73" s="872" t="s">
        <v>2075</v>
      </c>
      <c r="C73" s="886" t="s">
        <v>2095</v>
      </c>
      <c r="D73" s="894">
        <v>1</v>
      </c>
    </row>
    <row r="74" spans="1:22" x14ac:dyDescent="0.35">
      <c r="B74" s="868" t="s">
        <v>2071</v>
      </c>
      <c r="C74" s="868" t="s">
        <v>2096</v>
      </c>
      <c r="D74" s="892">
        <v>3</v>
      </c>
    </row>
    <row r="75" spans="1:22" x14ac:dyDescent="0.35">
      <c r="B75" s="884" t="s">
        <v>2073</v>
      </c>
      <c r="C75" s="884" t="s">
        <v>2096</v>
      </c>
      <c r="D75" s="894">
        <v>1</v>
      </c>
    </row>
    <row r="76" spans="1:22" x14ac:dyDescent="0.35">
      <c r="B76" s="872" t="s">
        <v>2075</v>
      </c>
      <c r="C76" s="886" t="s">
        <v>2096</v>
      </c>
      <c r="D76" s="895">
        <v>1</v>
      </c>
    </row>
    <row r="77" spans="1:22" x14ac:dyDescent="0.35">
      <c r="B77" s="888" t="s">
        <v>2071</v>
      </c>
      <c r="C77" s="896" t="s">
        <v>2097</v>
      </c>
      <c r="D77" s="892">
        <v>3</v>
      </c>
    </row>
    <row r="78" spans="1:22" x14ac:dyDescent="0.35">
      <c r="B78" s="890" t="s">
        <v>2073</v>
      </c>
      <c r="C78" s="897" t="s">
        <v>2097</v>
      </c>
      <c r="D78" s="893">
        <v>1</v>
      </c>
    </row>
    <row r="79" spans="1:22" x14ac:dyDescent="0.35">
      <c r="B79" s="872" t="s">
        <v>2075</v>
      </c>
      <c r="C79" s="898" t="s">
        <v>2097</v>
      </c>
      <c r="D79" s="894">
        <v>1</v>
      </c>
    </row>
    <row r="81" spans="1:15" ht="21" x14ac:dyDescent="0.5">
      <c r="A81" s="704" t="s">
        <v>2036</v>
      </c>
    </row>
    <row r="83" spans="1:15" ht="63" customHeight="1" x14ac:dyDescent="0.35">
      <c r="B83" s="900"/>
      <c r="C83" s="899"/>
      <c r="D83" s="3000" t="s">
        <v>2092</v>
      </c>
      <c r="E83" s="3001"/>
      <c r="F83" s="3002"/>
      <c r="G83" s="901" t="s">
        <v>2038</v>
      </c>
      <c r="H83" s="2997" t="s">
        <v>2040</v>
      </c>
      <c r="I83" s="2998"/>
      <c r="J83" s="2998"/>
      <c r="K83" s="2998"/>
      <c r="L83" s="2998"/>
      <c r="M83" s="2998"/>
      <c r="N83" s="2998"/>
      <c r="O83" s="2999"/>
    </row>
    <row r="84" spans="1:15" ht="62.25" customHeight="1" x14ac:dyDescent="0.35">
      <c r="B84" s="1162" t="s">
        <v>2019</v>
      </c>
      <c r="C84" s="2539" t="s">
        <v>2093</v>
      </c>
      <c r="D84" s="902" t="s">
        <v>2098</v>
      </c>
      <c r="E84" s="903" t="s">
        <v>2099</v>
      </c>
      <c r="F84" s="904" t="s">
        <v>2100</v>
      </c>
      <c r="G84" s="905" t="s">
        <v>1947</v>
      </c>
      <c r="H84" s="906" t="s">
        <v>2101</v>
      </c>
      <c r="I84" s="2529" t="s">
        <v>2102</v>
      </c>
      <c r="J84" s="2529" t="s">
        <v>3316</v>
      </c>
      <c r="K84" s="2529" t="s">
        <v>3320</v>
      </c>
      <c r="L84" s="903" t="s">
        <v>2103</v>
      </c>
      <c r="M84" s="907" t="s">
        <v>2104</v>
      </c>
      <c r="N84" s="907" t="s">
        <v>2105</v>
      </c>
      <c r="O84" s="904" t="s">
        <v>2106</v>
      </c>
    </row>
    <row r="85" spans="1:15" x14ac:dyDescent="0.35">
      <c r="B85" s="868" t="s">
        <v>2071</v>
      </c>
      <c r="C85" s="888" t="s">
        <v>2095</v>
      </c>
      <c r="D85" s="908">
        <f>D56</f>
        <v>150</v>
      </c>
      <c r="E85" s="909">
        <f>C$39</f>
        <v>5</v>
      </c>
      <c r="F85" s="910">
        <f>D$39</f>
        <v>800</v>
      </c>
      <c r="G85" s="911">
        <f t="shared" ref="G85:G93" si="0">D71</f>
        <v>3</v>
      </c>
      <c r="H85" s="912">
        <f>D85*C$49*G85</f>
        <v>32760</v>
      </c>
      <c r="I85" s="913">
        <f>0.746*E85*F85*G85*F$39+J85</f>
        <v>4567.3800862499993</v>
      </c>
      <c r="J85" s="913">
        <f xml:space="preserve"> K85 / 1000000 * H39</f>
        <v>2329.3800862499997</v>
      </c>
      <c r="K85" s="913">
        <f xml:space="preserve"> I39 * E39 * F39</f>
        <v>464946.12499999994</v>
      </c>
      <c r="L85" s="914">
        <f>0</f>
        <v>0</v>
      </c>
      <c r="M85" s="915">
        <f>0.00855*E$39*1.19*G$39*G85</f>
        <v>22650.924665250001</v>
      </c>
      <c r="N85" s="916">
        <f t="shared" ref="N85:N93" si="1">IF(G85=0,0,I85/G85)</f>
        <v>1522.4600287499998</v>
      </c>
      <c r="O85" s="916">
        <f t="shared" ref="O85:O93" si="2">IF(G85=0,0,M85/G85)</f>
        <v>7550.3082217500005</v>
      </c>
    </row>
    <row r="86" spans="1:15" x14ac:dyDescent="0.35">
      <c r="B86" s="884" t="s">
        <v>2073</v>
      </c>
      <c r="C86" s="890" t="s">
        <v>2095</v>
      </c>
      <c r="D86" s="908">
        <f t="shared" ref="D86:D93" si="3">D57</f>
        <v>150</v>
      </c>
      <c r="E86" s="909">
        <f>C$40</f>
        <v>5</v>
      </c>
      <c r="F86" s="910">
        <f>D$40</f>
        <v>800</v>
      </c>
      <c r="G86" s="917">
        <f t="shared" si="0"/>
        <v>1</v>
      </c>
      <c r="H86" s="912">
        <f t="shared" ref="H86:H93" si="4">D86*C$49*G86</f>
        <v>10920</v>
      </c>
      <c r="I86" s="913">
        <f>0.746*E86*F86*G86*F$40+J86</f>
        <v>3075.3800862499997</v>
      </c>
      <c r="J86" s="913">
        <f t="shared" ref="J86:J87" si="5" xml:space="preserve"> K86 / 1000000 * H40</f>
        <v>2329.3800862499997</v>
      </c>
      <c r="K86" s="913">
        <f t="shared" ref="K86:K87" si="6" xml:space="preserve"> I40 * E40 * F40</f>
        <v>464946.12499999994</v>
      </c>
      <c r="L86" s="914">
        <f>0</f>
        <v>0</v>
      </c>
      <c r="M86" s="915">
        <f>0.00855*E$40*1.19*G$40*G86</f>
        <v>7550.3082217500005</v>
      </c>
      <c r="N86" s="918">
        <f t="shared" si="1"/>
        <v>3075.3800862499997</v>
      </c>
      <c r="O86" s="918">
        <f t="shared" si="2"/>
        <v>7550.3082217500005</v>
      </c>
    </row>
    <row r="87" spans="1:15" x14ac:dyDescent="0.35">
      <c r="B87" s="886" t="s">
        <v>2075</v>
      </c>
      <c r="C87" s="872" t="s">
        <v>2095</v>
      </c>
      <c r="D87" s="908">
        <f t="shared" si="3"/>
        <v>150</v>
      </c>
      <c r="E87" s="909">
        <f>C$41</f>
        <v>5</v>
      </c>
      <c r="F87" s="910">
        <f>D$41</f>
        <v>800</v>
      </c>
      <c r="G87" s="911">
        <f t="shared" si="0"/>
        <v>1</v>
      </c>
      <c r="H87" s="912">
        <f t="shared" si="4"/>
        <v>10920</v>
      </c>
      <c r="I87" s="913">
        <f>0.746*E87*F87*G87*F$41+J87</f>
        <v>3075.3800862499997</v>
      </c>
      <c r="J87" s="913">
        <f t="shared" si="5"/>
        <v>2329.3800862499997</v>
      </c>
      <c r="K87" s="913">
        <f t="shared" si="6"/>
        <v>464946.12499999994</v>
      </c>
      <c r="L87" s="914">
        <f>0</f>
        <v>0</v>
      </c>
      <c r="M87" s="915">
        <f>0.00855*E$41*1.19*G$41*G87</f>
        <v>7550.3082217500005</v>
      </c>
      <c r="N87" s="916">
        <f t="shared" si="1"/>
        <v>3075.3800862499997</v>
      </c>
      <c r="O87" s="916">
        <f t="shared" si="2"/>
        <v>7550.3082217500005</v>
      </c>
    </row>
    <row r="88" spans="1:15" x14ac:dyDescent="0.35">
      <c r="B88" s="868" t="s">
        <v>2071</v>
      </c>
      <c r="C88" s="888" t="s">
        <v>2096</v>
      </c>
      <c r="D88" s="908">
        <f t="shared" si="3"/>
        <v>250</v>
      </c>
      <c r="E88" s="909">
        <f>C$39</f>
        <v>5</v>
      </c>
      <c r="F88" s="910">
        <f>D$39</f>
        <v>800</v>
      </c>
      <c r="G88" s="917">
        <f t="shared" si="0"/>
        <v>3</v>
      </c>
      <c r="H88" s="912">
        <f t="shared" si="4"/>
        <v>54600</v>
      </c>
      <c r="I88" s="913">
        <f>0.746*E88*F88*G88*F$39+J88</f>
        <v>4567.3800862499993</v>
      </c>
      <c r="J88" s="913">
        <f xml:space="preserve"> K88 / 1000000 * H39</f>
        <v>2329.3800862499997</v>
      </c>
      <c r="K88" s="913">
        <f xml:space="preserve"> I39 * E39 * F39</f>
        <v>464946.12499999994</v>
      </c>
      <c r="L88" s="914">
        <f>0</f>
        <v>0</v>
      </c>
      <c r="M88" s="915">
        <f>0.00855*E$39*1.19*G$39*G88</f>
        <v>22650.924665250001</v>
      </c>
      <c r="N88" s="918">
        <f t="shared" si="1"/>
        <v>1522.4600287499998</v>
      </c>
      <c r="O88" s="918">
        <f t="shared" si="2"/>
        <v>7550.3082217500005</v>
      </c>
    </row>
    <row r="89" spans="1:15" x14ac:dyDescent="0.35">
      <c r="B89" s="884" t="s">
        <v>2073</v>
      </c>
      <c r="C89" s="890" t="s">
        <v>2096</v>
      </c>
      <c r="D89" s="908">
        <f t="shared" si="3"/>
        <v>250</v>
      </c>
      <c r="E89" s="909">
        <f>C$40</f>
        <v>5</v>
      </c>
      <c r="F89" s="910">
        <f>D$40</f>
        <v>800</v>
      </c>
      <c r="G89" s="911">
        <f t="shared" si="0"/>
        <v>1</v>
      </c>
      <c r="H89" s="912">
        <f t="shared" si="4"/>
        <v>18200</v>
      </c>
      <c r="I89" s="913">
        <f>0.746*E89*F89*G89*F$40+J89</f>
        <v>3075.3800862499997</v>
      </c>
      <c r="J89" s="913">
        <f t="shared" ref="J89:J90" si="7" xml:space="preserve"> K89 / 1000000 * H40</f>
        <v>2329.3800862499997</v>
      </c>
      <c r="K89" s="913">
        <f t="shared" ref="K89:K90" si="8" xml:space="preserve"> I40 * E40 * F40</f>
        <v>464946.12499999994</v>
      </c>
      <c r="L89" s="914">
        <f>0</f>
        <v>0</v>
      </c>
      <c r="M89" s="915">
        <f>0.00855*E$40*1.19*G$40*G89</f>
        <v>7550.3082217500005</v>
      </c>
      <c r="N89" s="916">
        <f t="shared" si="1"/>
        <v>3075.3800862499997</v>
      </c>
      <c r="O89" s="916">
        <f t="shared" si="2"/>
        <v>7550.3082217500005</v>
      </c>
    </row>
    <row r="90" spans="1:15" x14ac:dyDescent="0.35">
      <c r="B90" s="886" t="s">
        <v>2075</v>
      </c>
      <c r="C90" s="872" t="s">
        <v>2096</v>
      </c>
      <c r="D90" s="908">
        <f t="shared" si="3"/>
        <v>250</v>
      </c>
      <c r="E90" s="909">
        <f>C$41</f>
        <v>5</v>
      </c>
      <c r="F90" s="910">
        <f>D$41</f>
        <v>800</v>
      </c>
      <c r="G90" s="917">
        <f t="shared" si="0"/>
        <v>1</v>
      </c>
      <c r="H90" s="912">
        <f t="shared" si="4"/>
        <v>18200</v>
      </c>
      <c r="I90" s="913">
        <f>0.746*E90*F90*G90*F$41+J90</f>
        <v>3075.3800862499997</v>
      </c>
      <c r="J90" s="913">
        <f t="shared" si="7"/>
        <v>2329.3800862499997</v>
      </c>
      <c r="K90" s="913">
        <f t="shared" si="8"/>
        <v>464946.12499999994</v>
      </c>
      <c r="L90" s="914">
        <f>0</f>
        <v>0</v>
      </c>
      <c r="M90" s="915">
        <f>0.00855*E$41*1.19*G$41*G90</f>
        <v>7550.3082217500005</v>
      </c>
      <c r="N90" s="918">
        <f t="shared" si="1"/>
        <v>3075.3800862499997</v>
      </c>
      <c r="O90" s="918">
        <f t="shared" si="2"/>
        <v>7550.3082217500005</v>
      </c>
    </row>
    <row r="91" spans="1:15" x14ac:dyDescent="0.35">
      <c r="B91" s="868" t="s">
        <v>2071</v>
      </c>
      <c r="C91" s="897" t="s">
        <v>2097</v>
      </c>
      <c r="D91" s="908">
        <f t="shared" si="3"/>
        <v>350</v>
      </c>
      <c r="E91" s="909">
        <f>C$39</f>
        <v>5</v>
      </c>
      <c r="F91" s="910">
        <f>D$39</f>
        <v>800</v>
      </c>
      <c r="G91" s="911">
        <f t="shared" si="0"/>
        <v>3</v>
      </c>
      <c r="H91" s="912">
        <f t="shared" si="4"/>
        <v>76440</v>
      </c>
      <c r="I91" s="913">
        <f>0.746*E91*F91*G91*F$39+J91</f>
        <v>4567.3800862499993</v>
      </c>
      <c r="J91" s="913">
        <f xml:space="preserve"> K91 / 1000000 * H39</f>
        <v>2329.3800862499997</v>
      </c>
      <c r="K91" s="913">
        <f xml:space="preserve"> I39 * E39 * F39</f>
        <v>464946.12499999994</v>
      </c>
      <c r="L91" s="914">
        <f>0</f>
        <v>0</v>
      </c>
      <c r="M91" s="915">
        <f>0.00855*E$39*1.19*G$39*G91</f>
        <v>22650.924665250001</v>
      </c>
      <c r="N91" s="916">
        <f t="shared" si="1"/>
        <v>1522.4600287499998</v>
      </c>
      <c r="O91" s="916">
        <f t="shared" si="2"/>
        <v>7550.3082217500005</v>
      </c>
    </row>
    <row r="92" spans="1:15" x14ac:dyDescent="0.35">
      <c r="B92" s="884" t="s">
        <v>2073</v>
      </c>
      <c r="C92" s="897" t="s">
        <v>2097</v>
      </c>
      <c r="D92" s="908">
        <f t="shared" si="3"/>
        <v>350</v>
      </c>
      <c r="E92" s="909">
        <f>C$40</f>
        <v>5</v>
      </c>
      <c r="F92" s="910">
        <f>D$40</f>
        <v>800</v>
      </c>
      <c r="G92" s="917">
        <f t="shared" si="0"/>
        <v>1</v>
      </c>
      <c r="H92" s="912">
        <f t="shared" si="4"/>
        <v>25480</v>
      </c>
      <c r="I92" s="913">
        <f>0.746*E92*F92*G92*F$40+J92</f>
        <v>3075.3800862499997</v>
      </c>
      <c r="J92" s="913">
        <f t="shared" ref="J92:J93" si="9" xml:space="preserve"> K92 / 1000000 * H40</f>
        <v>2329.3800862499997</v>
      </c>
      <c r="K92" s="913">
        <f t="shared" ref="K92:K93" si="10" xml:space="preserve"> I40 * E40 * F40</f>
        <v>464946.12499999994</v>
      </c>
      <c r="L92" s="914">
        <f>0</f>
        <v>0</v>
      </c>
      <c r="M92" s="915">
        <f>0.00855*E$40*1.19*G$40*G92</f>
        <v>7550.3082217500005</v>
      </c>
      <c r="N92" s="918">
        <f t="shared" si="1"/>
        <v>3075.3800862499997</v>
      </c>
      <c r="O92" s="918">
        <f t="shared" si="2"/>
        <v>7550.3082217500005</v>
      </c>
    </row>
    <row r="93" spans="1:15" x14ac:dyDescent="0.35">
      <c r="B93" s="886" t="s">
        <v>2075</v>
      </c>
      <c r="C93" s="898" t="s">
        <v>2097</v>
      </c>
      <c r="D93" s="2537">
        <f t="shared" si="3"/>
        <v>350</v>
      </c>
      <c r="E93" s="1078">
        <f>C$41</f>
        <v>5</v>
      </c>
      <c r="F93" s="2538">
        <f>D$41</f>
        <v>800</v>
      </c>
      <c r="G93" s="1009">
        <f t="shared" si="0"/>
        <v>1</v>
      </c>
      <c r="H93" s="1079">
        <f t="shared" si="4"/>
        <v>25480</v>
      </c>
      <c r="I93" s="1010">
        <f>0.746*E93*F93*G93*F$41+J93</f>
        <v>3075.3800862499997</v>
      </c>
      <c r="J93" s="1010">
        <f t="shared" si="9"/>
        <v>2329.3800862499997</v>
      </c>
      <c r="K93" s="1010">
        <f t="shared" si="10"/>
        <v>464946.12499999994</v>
      </c>
      <c r="L93" s="1011">
        <f>0</f>
        <v>0</v>
      </c>
      <c r="M93" s="2540">
        <f>0.00855*E$41*1.19*G$41*G93</f>
        <v>7550.3082217500005</v>
      </c>
      <c r="N93" s="2541">
        <f t="shared" si="1"/>
        <v>3075.3800862499997</v>
      </c>
      <c r="O93" s="2541">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AD93"/>
  <sheetViews>
    <sheetView zoomScale="70" zoomScaleNormal="70" workbookViewId="0"/>
  </sheetViews>
  <sheetFormatPr defaultColWidth="9.1796875" defaultRowHeight="14.5" x14ac:dyDescent="0.35"/>
  <cols>
    <col min="1" max="1" width="9.1796875" style="675"/>
    <col min="2" max="2" width="35.1796875" style="675" customWidth="1"/>
    <col min="3" max="4" width="16" style="675" customWidth="1"/>
    <col min="5" max="5" width="20.7265625" style="675" customWidth="1"/>
    <col min="6" max="6" width="22.54296875" style="675" customWidth="1"/>
    <col min="7" max="7" width="23.54296875" style="675" customWidth="1"/>
    <col min="8" max="8" width="20.1796875" style="675" customWidth="1"/>
    <col min="9" max="9" width="20" style="675" customWidth="1"/>
    <col min="10" max="10" width="24.7265625" style="675" customWidth="1"/>
    <col min="11"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155</v>
      </c>
    </row>
    <row r="3" spans="1:11" ht="21" x14ac:dyDescent="0.5">
      <c r="A3" s="704" t="s">
        <v>2050</v>
      </c>
    </row>
    <row r="4" spans="1:11" ht="15" customHeight="1" x14ac:dyDescent="0.35">
      <c r="B4" s="735"/>
      <c r="C4" s="833"/>
      <c r="J4" s="737"/>
      <c r="K4" s="737"/>
    </row>
    <row r="5" spans="1:11" x14ac:dyDescent="0.35">
      <c r="B5" s="834" t="s">
        <v>1947</v>
      </c>
      <c r="C5" s="835">
        <f>SUM(G85:G93)</f>
        <v>15</v>
      </c>
    </row>
    <row r="6" spans="1:11" x14ac:dyDescent="0.35">
      <c r="B6" s="836" t="s">
        <v>2051</v>
      </c>
      <c r="C6" s="837">
        <f>SUM(G85:G93)</f>
        <v>15</v>
      </c>
    </row>
    <row r="7" spans="1:11" x14ac:dyDescent="0.35">
      <c r="B7" s="838" t="s">
        <v>2052</v>
      </c>
      <c r="C7" s="2542">
        <f>SUM(I85:I93)</f>
        <v>32154.420776249994</v>
      </c>
      <c r="D7" s="840"/>
    </row>
    <row r="8" spans="1:11" x14ac:dyDescent="0.35">
      <c r="B8" s="841" t="s">
        <v>1951</v>
      </c>
      <c r="C8" s="2542">
        <f>SUM(L85:L93)</f>
        <v>0</v>
      </c>
      <c r="F8" s="3003"/>
      <c r="G8" s="3003"/>
      <c r="H8" s="796"/>
      <c r="I8" s="796"/>
      <c r="J8" s="698"/>
    </row>
    <row r="9" spans="1:11" x14ac:dyDescent="0.35">
      <c r="B9" s="838" t="s">
        <v>1952</v>
      </c>
      <c r="C9" s="2542">
        <f>SUM(O85:O93)</f>
        <v>67952.773995750002</v>
      </c>
    </row>
    <row r="10" spans="1:11" x14ac:dyDescent="0.35">
      <c r="B10" s="841" t="s">
        <v>2053</v>
      </c>
      <c r="C10" s="843">
        <f>SUM(H85:H93)</f>
        <v>315000</v>
      </c>
    </row>
    <row r="11" spans="1:11" x14ac:dyDescent="0.35">
      <c r="B11" s="838" t="s">
        <v>2054</v>
      </c>
      <c r="C11" s="844">
        <f>C7/$C$6</f>
        <v>2143.6280517499995</v>
      </c>
      <c r="D11" s="845"/>
    </row>
    <row r="12" spans="1:11" x14ac:dyDescent="0.35">
      <c r="B12" s="841" t="s">
        <v>2055</v>
      </c>
      <c r="C12" s="846">
        <f>C8/$C$6</f>
        <v>0</v>
      </c>
    </row>
    <row r="13" spans="1:11" x14ac:dyDescent="0.35">
      <c r="B13" s="838" t="s">
        <v>2056</v>
      </c>
      <c r="C13" s="844">
        <f>C9/$C$6</f>
        <v>4530.1849330499999</v>
      </c>
    </row>
    <row r="14" spans="1:11" x14ac:dyDescent="0.35">
      <c r="B14" s="841" t="s">
        <v>2057</v>
      </c>
      <c r="C14" s="847">
        <f>C10/C7</f>
        <v>9.7964756445765726</v>
      </c>
    </row>
    <row r="15" spans="1:11" x14ac:dyDescent="0.35">
      <c r="B15" s="838" t="s">
        <v>2058</v>
      </c>
      <c r="C15" s="839">
        <f>C7/C5</f>
        <v>2143.6280517499995</v>
      </c>
    </row>
    <row r="16" spans="1:11" x14ac:dyDescent="0.35">
      <c r="B16" s="841" t="s">
        <v>2059</v>
      </c>
      <c r="C16" s="842">
        <f>C10/C5</f>
        <v>21000</v>
      </c>
    </row>
    <row r="17" spans="1:5" x14ac:dyDescent="0.35">
      <c r="B17" s="848" t="s">
        <v>2060</v>
      </c>
      <c r="C17" s="849">
        <f>(C16/C49)*B44</f>
        <v>19960</v>
      </c>
    </row>
    <row r="18" spans="1:5" x14ac:dyDescent="0.35">
      <c r="B18" s="850" t="s">
        <v>2061</v>
      </c>
      <c r="C18" s="729"/>
    </row>
    <row r="19" spans="1:5" x14ac:dyDescent="0.35">
      <c r="B19" s="851" t="s">
        <v>2062</v>
      </c>
      <c r="C19" s="729"/>
    </row>
    <row r="20" spans="1:5" x14ac:dyDescent="0.35">
      <c r="B20" s="834" t="s">
        <v>2063</v>
      </c>
      <c r="C20" s="852">
        <f>1-C31+C32+C33</f>
        <v>0.83300000000000007</v>
      </c>
    </row>
    <row r="21" spans="1:5" x14ac:dyDescent="0.35">
      <c r="B21" s="841" t="s">
        <v>1965</v>
      </c>
      <c r="C21" s="842">
        <f>C20*C7</f>
        <v>26784.632506616246</v>
      </c>
      <c r="D21" s="840"/>
      <c r="E21" s="853"/>
    </row>
    <row r="22" spans="1:5" x14ac:dyDescent="0.35">
      <c r="B22" s="838" t="s">
        <v>1966</v>
      </c>
      <c r="C22" s="839">
        <f>C$20*C8</f>
        <v>0</v>
      </c>
    </row>
    <row r="23" spans="1:5" x14ac:dyDescent="0.35">
      <c r="B23" s="841" t="s">
        <v>1967</v>
      </c>
      <c r="C23" s="842">
        <f>C$20*C9</f>
        <v>56604.660738459759</v>
      </c>
    </row>
    <row r="24" spans="1:5" x14ac:dyDescent="0.35">
      <c r="B24" s="838" t="s">
        <v>1968</v>
      </c>
      <c r="C24" s="854">
        <f>C10/C21</f>
        <v>11.760474963477277</v>
      </c>
    </row>
    <row r="25" spans="1:5" x14ac:dyDescent="0.35">
      <c r="B25" s="855" t="s">
        <v>1970</v>
      </c>
      <c r="C25" s="856">
        <v>10</v>
      </c>
    </row>
    <row r="26" spans="1:5" x14ac:dyDescent="0.35">
      <c r="B26" s="703"/>
    </row>
    <row r="27" spans="1:5" x14ac:dyDescent="0.35">
      <c r="B27" s="703"/>
    </row>
    <row r="28" spans="1:5" ht="21" hidden="1" x14ac:dyDescent="0.5">
      <c r="A28" s="704" t="s">
        <v>2064</v>
      </c>
      <c r="B28" s="703"/>
    </row>
    <row r="29" spans="1:5" hidden="1" x14ac:dyDescent="0.35"/>
    <row r="30" spans="1:5" ht="15" hidden="1" customHeight="1" x14ac:dyDescent="0.35">
      <c r="B30" s="3004" t="s">
        <v>2065</v>
      </c>
      <c r="C30" s="3005"/>
    </row>
    <row r="31" spans="1:5" hidden="1" x14ac:dyDescent="0.35">
      <c r="B31" s="857" t="s">
        <v>1416</v>
      </c>
      <c r="C31" s="858">
        <v>0.18</v>
      </c>
    </row>
    <row r="32" spans="1:5" hidden="1" x14ac:dyDescent="0.35">
      <c r="B32" s="859" t="s">
        <v>2066</v>
      </c>
      <c r="C32" s="860">
        <v>3.0000000000000001E-3</v>
      </c>
    </row>
    <row r="33" spans="1:19" hidden="1" x14ac:dyDescent="0.35">
      <c r="B33" s="861" t="s">
        <v>2067</v>
      </c>
      <c r="C33" s="862">
        <v>0.01</v>
      </c>
    </row>
    <row r="35" spans="1:19" ht="21" x14ac:dyDescent="0.5">
      <c r="A35" s="704" t="s">
        <v>1977</v>
      </c>
    </row>
    <row r="37" spans="1:19" ht="18" customHeight="1" x14ac:dyDescent="0.45">
      <c r="B37" s="2530" t="s">
        <v>2039</v>
      </c>
      <c r="C37" s="2531"/>
      <c r="D37" s="2531"/>
      <c r="E37" s="2531"/>
      <c r="F37" s="2531"/>
      <c r="G37" s="2531"/>
      <c r="H37" s="2531"/>
      <c r="I37" s="2532"/>
      <c r="J37" s="779"/>
      <c r="K37" s="779"/>
      <c r="L37" s="779"/>
      <c r="M37" s="779"/>
    </row>
    <row r="38" spans="1:19" ht="60" customHeight="1" x14ac:dyDescent="0.35">
      <c r="B38" s="997" t="s">
        <v>2019</v>
      </c>
      <c r="C38" s="998" t="s">
        <v>1737</v>
      </c>
      <c r="D38" s="998" t="s">
        <v>476</v>
      </c>
      <c r="E38" s="998" t="s">
        <v>2068</v>
      </c>
      <c r="F38" s="998" t="s">
        <v>2069</v>
      </c>
      <c r="G38" s="998" t="s">
        <v>2070</v>
      </c>
      <c r="H38" s="2534" t="s">
        <v>3311</v>
      </c>
      <c r="I38" s="2534" t="s">
        <v>3318</v>
      </c>
      <c r="K38" s="2994" t="s">
        <v>3315</v>
      </c>
      <c r="L38" s="2995"/>
      <c r="M38" s="2995"/>
      <c r="N38" s="2995"/>
      <c r="O38" s="2995"/>
      <c r="P38" s="2995"/>
      <c r="Q38" s="2995"/>
      <c r="R38" s="2995"/>
      <c r="S38" s="2996"/>
    </row>
    <row r="39" spans="1:19" x14ac:dyDescent="0.35">
      <c r="B39" s="995" t="s">
        <v>2071</v>
      </c>
      <c r="C39" s="1095">
        <v>5</v>
      </c>
      <c r="D39" s="1056">
        <v>800</v>
      </c>
      <c r="E39" s="2533">
        <v>916150</v>
      </c>
      <c r="F39" s="1096">
        <v>0.25</v>
      </c>
      <c r="G39" s="1096">
        <v>0.81</v>
      </c>
      <c r="H39" s="2536">
        <v>5010</v>
      </c>
      <c r="I39" s="2535">
        <v>2.0299999999999998</v>
      </c>
      <c r="K39" s="869" t="s">
        <v>2072</v>
      </c>
      <c r="L39" s="870"/>
      <c r="M39" s="870"/>
      <c r="N39" s="870"/>
      <c r="O39" s="870"/>
      <c r="P39" s="870"/>
      <c r="Q39" s="870"/>
      <c r="R39" s="870"/>
      <c r="S39" s="871"/>
    </row>
    <row r="40" spans="1:19" x14ac:dyDescent="0.35">
      <c r="B40" s="996" t="s">
        <v>2073</v>
      </c>
      <c r="C40" s="1095">
        <v>5</v>
      </c>
      <c r="D40" s="1056">
        <v>800</v>
      </c>
      <c r="E40" s="2533">
        <v>916150</v>
      </c>
      <c r="F40" s="1096">
        <v>0.25</v>
      </c>
      <c r="G40" s="1096">
        <v>0.81</v>
      </c>
      <c r="H40" s="2536">
        <v>5010</v>
      </c>
      <c r="I40" s="2535">
        <v>2.0299999999999998</v>
      </c>
      <c r="K40" s="873" t="s">
        <v>2074</v>
      </c>
      <c r="L40" s="2496"/>
      <c r="M40" s="2496"/>
      <c r="N40" s="2496"/>
      <c r="O40" s="2496"/>
      <c r="P40" s="2496"/>
      <c r="Q40" s="2496"/>
      <c r="R40" s="2496"/>
      <c r="S40" s="874"/>
    </row>
    <row r="41" spans="1:19" x14ac:dyDescent="0.35">
      <c r="B41" s="995" t="s">
        <v>2075</v>
      </c>
      <c r="C41" s="1095">
        <v>5</v>
      </c>
      <c r="D41" s="1056">
        <v>800</v>
      </c>
      <c r="E41" s="2533">
        <v>916150</v>
      </c>
      <c r="F41" s="1096">
        <v>0.25</v>
      </c>
      <c r="G41" s="1096">
        <v>0.81</v>
      </c>
      <c r="H41" s="2536">
        <v>5010</v>
      </c>
      <c r="I41" s="2535">
        <v>2.0299999999999998</v>
      </c>
      <c r="K41" s="873" t="s">
        <v>2076</v>
      </c>
      <c r="L41" s="2496"/>
      <c r="M41" s="2496"/>
      <c r="N41" s="2496"/>
      <c r="O41" s="2496"/>
      <c r="P41" s="2496"/>
      <c r="Q41" s="2496"/>
      <c r="R41" s="2496"/>
      <c r="S41" s="874"/>
    </row>
    <row r="42" spans="1:19" x14ac:dyDescent="0.35">
      <c r="D42" s="739"/>
      <c r="K42" s="873" t="s">
        <v>2077</v>
      </c>
      <c r="L42" s="2496"/>
      <c r="M42" s="2496"/>
      <c r="N42" s="2496"/>
      <c r="O42" s="2496"/>
      <c r="P42" s="2496"/>
      <c r="Q42" s="2496"/>
      <c r="R42" s="2496"/>
      <c r="S42" s="874"/>
    </row>
    <row r="43" spans="1:19" x14ac:dyDescent="0.35">
      <c r="B43" s="675" t="s">
        <v>2078</v>
      </c>
      <c r="K43" s="873" t="s">
        <v>2079</v>
      </c>
      <c r="L43" s="2496"/>
      <c r="M43" s="2496"/>
      <c r="N43" s="2496"/>
      <c r="O43" s="2496"/>
      <c r="P43" s="2496"/>
      <c r="Q43" s="2496"/>
      <c r="R43" s="2496"/>
      <c r="S43" s="874"/>
    </row>
    <row r="44" spans="1:19" x14ac:dyDescent="0.35">
      <c r="B44" s="875">
        <v>79.84</v>
      </c>
      <c r="D44" s="739"/>
      <c r="K44" s="2505" t="s">
        <v>3310</v>
      </c>
      <c r="L44" s="2506"/>
      <c r="M44" s="2506"/>
      <c r="N44" s="2506"/>
      <c r="O44" s="2506"/>
      <c r="P44" s="2506"/>
      <c r="Q44" s="2506"/>
      <c r="R44" s="2506"/>
      <c r="S44" s="2507"/>
    </row>
    <row r="45" spans="1:19" x14ac:dyDescent="0.35">
      <c r="K45" s="2502" t="s">
        <v>3317</v>
      </c>
      <c r="L45" s="2503"/>
      <c r="M45" s="2503"/>
      <c r="N45" s="2503"/>
      <c r="O45" s="2503"/>
      <c r="P45" s="2503"/>
      <c r="Q45" s="2503"/>
      <c r="R45" s="2503"/>
      <c r="S45" s="2504"/>
    </row>
    <row r="46" spans="1:19" x14ac:dyDescent="0.35">
      <c r="K46" s="869" t="s">
        <v>1990</v>
      </c>
      <c r="L46" s="870"/>
      <c r="M46" s="870"/>
      <c r="N46" s="870"/>
      <c r="O46" s="870"/>
      <c r="P46" s="870"/>
      <c r="Q46" s="870"/>
      <c r="R46" s="870"/>
      <c r="S46" s="871"/>
    </row>
    <row r="47" spans="1:19" ht="18" customHeight="1" x14ac:dyDescent="0.5">
      <c r="A47" s="704" t="s">
        <v>2012</v>
      </c>
      <c r="G47" s="779"/>
      <c r="H47" s="779"/>
      <c r="I47" s="779"/>
      <c r="K47" s="873" t="s">
        <v>2080</v>
      </c>
      <c r="L47" s="2496" t="s">
        <v>1992</v>
      </c>
      <c r="M47" s="2496" t="s">
        <v>2081</v>
      </c>
      <c r="N47" s="2496"/>
      <c r="O47" s="2496"/>
      <c r="P47" s="2496"/>
      <c r="Q47" s="2496"/>
      <c r="R47" s="2496"/>
      <c r="S47" s="874"/>
    </row>
    <row r="48" spans="1:19" ht="21" x14ac:dyDescent="0.5">
      <c r="A48" s="704"/>
      <c r="E48" s="876"/>
      <c r="F48" s="876"/>
      <c r="G48" s="876"/>
      <c r="H48" s="876"/>
      <c r="I48" s="753"/>
      <c r="K48" s="873" t="s">
        <v>1737</v>
      </c>
      <c r="L48" s="2496" t="s">
        <v>1992</v>
      </c>
      <c r="M48" s="2496" t="s">
        <v>2082</v>
      </c>
      <c r="N48" s="2496"/>
      <c r="O48" s="2496"/>
      <c r="P48" s="2496"/>
      <c r="Q48" s="2496"/>
      <c r="R48" s="2496"/>
      <c r="S48" s="874"/>
    </row>
    <row r="49" spans="1:30" x14ac:dyDescent="0.35">
      <c r="B49" s="878" t="s">
        <v>2084</v>
      </c>
      <c r="C49" s="879">
        <v>84</v>
      </c>
      <c r="E49" s="880"/>
      <c r="F49" s="769"/>
      <c r="G49" s="769"/>
      <c r="H49" s="880"/>
      <c r="I49" s="698"/>
      <c r="K49" s="873" t="s">
        <v>476</v>
      </c>
      <c r="L49" s="2496" t="s">
        <v>1992</v>
      </c>
      <c r="M49" s="2496" t="s">
        <v>2083</v>
      </c>
      <c r="N49" s="2496"/>
      <c r="O49" s="2496"/>
      <c r="P49" s="2496"/>
      <c r="Q49" s="2496"/>
      <c r="R49" s="2496"/>
      <c r="S49" s="874"/>
    </row>
    <row r="50" spans="1:30" x14ac:dyDescent="0.35">
      <c r="E50" s="880"/>
      <c r="F50" s="769"/>
      <c r="G50" s="769"/>
      <c r="H50" s="880"/>
      <c r="I50" s="698"/>
      <c r="K50" s="873" t="s">
        <v>2069</v>
      </c>
      <c r="L50" s="2496" t="s">
        <v>1992</v>
      </c>
      <c r="M50" s="877">
        <v>0.25</v>
      </c>
      <c r="N50" s="2496"/>
      <c r="O50" s="2496"/>
      <c r="P50" s="2496"/>
      <c r="Q50" s="2496"/>
      <c r="R50" s="2496"/>
      <c r="S50" s="874"/>
    </row>
    <row r="51" spans="1:30" ht="21" x14ac:dyDescent="0.5">
      <c r="A51" s="704" t="s">
        <v>2088</v>
      </c>
      <c r="E51" s="880"/>
      <c r="F51" s="769"/>
      <c r="I51" s="698"/>
      <c r="K51" s="873" t="s">
        <v>2085</v>
      </c>
      <c r="L51" s="2496" t="s">
        <v>1992</v>
      </c>
      <c r="M51" s="877">
        <v>0.81</v>
      </c>
      <c r="N51" s="2496"/>
      <c r="O51" s="2496"/>
      <c r="P51" s="2496"/>
      <c r="Q51" s="2496"/>
      <c r="R51" s="2496"/>
      <c r="S51" s="874"/>
    </row>
    <row r="52" spans="1:30" x14ac:dyDescent="0.35">
      <c r="I52" s="698"/>
      <c r="K52" s="873" t="s">
        <v>2086</v>
      </c>
      <c r="L52" s="2496" t="s">
        <v>1992</v>
      </c>
      <c r="M52" s="877" t="s">
        <v>2087</v>
      </c>
      <c r="N52" s="2496"/>
      <c r="O52" s="2496"/>
      <c r="P52" s="2496"/>
      <c r="Q52" s="2496"/>
      <c r="R52" s="2496"/>
      <c r="S52" s="874"/>
    </row>
    <row r="53" spans="1:30" x14ac:dyDescent="0.35">
      <c r="K53" s="873" t="s">
        <v>2068</v>
      </c>
      <c r="L53" s="2496" t="s">
        <v>1992</v>
      </c>
      <c r="M53" s="877" t="s">
        <v>2089</v>
      </c>
      <c r="N53" s="2496"/>
      <c r="O53" s="2496"/>
      <c r="P53" s="2496"/>
      <c r="Q53" s="2496"/>
      <c r="R53" s="2496"/>
      <c r="S53" s="874"/>
    </row>
    <row r="54" spans="1:30" ht="18.5" x14ac:dyDescent="0.45">
      <c r="B54" s="3006" t="s">
        <v>2092</v>
      </c>
      <c r="C54" s="3007"/>
      <c r="D54" s="3008"/>
      <c r="G54" s="779"/>
      <c r="H54" s="779"/>
      <c r="I54" s="779"/>
      <c r="K54" s="873" t="s">
        <v>2090</v>
      </c>
      <c r="L54" s="2496" t="s">
        <v>1992</v>
      </c>
      <c r="M54" s="877" t="s">
        <v>2091</v>
      </c>
      <c r="N54" s="2496"/>
      <c r="O54" s="2496"/>
      <c r="P54" s="2496"/>
      <c r="Q54" s="2496"/>
      <c r="R54" s="2496"/>
      <c r="S54" s="874"/>
      <c r="T54" s="779"/>
      <c r="U54" s="779"/>
      <c r="V54" s="779"/>
      <c r="W54" s="779"/>
      <c r="X54" s="779"/>
      <c r="Y54" s="779"/>
      <c r="Z54" s="779"/>
      <c r="AA54" s="779"/>
      <c r="AB54" s="779"/>
      <c r="AC54" s="779"/>
      <c r="AD54" s="779"/>
    </row>
    <row r="55" spans="1:30" ht="29" x14ac:dyDescent="0.45">
      <c r="B55" s="863" t="s">
        <v>2019</v>
      </c>
      <c r="C55" s="881" t="s">
        <v>2093</v>
      </c>
      <c r="D55" s="882" t="s">
        <v>2094</v>
      </c>
      <c r="E55" s="779"/>
      <c r="F55" s="779"/>
      <c r="G55" s="779"/>
      <c r="H55" s="753"/>
      <c r="I55" s="753"/>
      <c r="K55" s="2505" t="s">
        <v>3311</v>
      </c>
      <c r="L55" s="2506" t="s">
        <v>1992</v>
      </c>
      <c r="M55" s="2506" t="s">
        <v>3312</v>
      </c>
      <c r="N55" s="2506"/>
      <c r="O55" s="2506"/>
      <c r="P55" s="2506"/>
      <c r="Q55" s="2506"/>
      <c r="R55" s="2506"/>
      <c r="S55" s="2507"/>
      <c r="T55" s="753"/>
      <c r="U55" s="753"/>
      <c r="V55" s="753"/>
      <c r="W55" s="753"/>
    </row>
    <row r="56" spans="1:30" x14ac:dyDescent="0.35">
      <c r="B56" s="868" t="s">
        <v>2071</v>
      </c>
      <c r="C56" s="868" t="s">
        <v>2095</v>
      </c>
      <c r="D56" s="883">
        <v>150</v>
      </c>
      <c r="E56" s="753"/>
      <c r="F56" s="753"/>
      <c r="G56" s="753"/>
      <c r="H56" s="759"/>
      <c r="I56" s="880"/>
      <c r="K56" s="2502" t="s">
        <v>3318</v>
      </c>
      <c r="L56" s="2503" t="s">
        <v>1992</v>
      </c>
      <c r="M56" s="2503" t="s">
        <v>3319</v>
      </c>
      <c r="N56" s="2503"/>
      <c r="O56" s="2503"/>
      <c r="P56" s="2503"/>
      <c r="Q56" s="2503"/>
      <c r="R56" s="2503"/>
      <c r="S56" s="2504"/>
      <c r="T56" s="761"/>
      <c r="U56" s="762"/>
      <c r="V56" s="763"/>
      <c r="W56" s="764"/>
    </row>
    <row r="57" spans="1:30" x14ac:dyDescent="0.35">
      <c r="B57" s="884" t="s">
        <v>2073</v>
      </c>
      <c r="C57" s="884" t="s">
        <v>2095</v>
      </c>
      <c r="D57" s="885">
        <v>150</v>
      </c>
      <c r="E57" s="753"/>
      <c r="F57" s="753"/>
      <c r="G57" s="753"/>
      <c r="H57" s="759"/>
      <c r="I57" s="880"/>
      <c r="J57" s="698"/>
      <c r="K57" s="698"/>
      <c r="L57" s="698"/>
      <c r="M57" s="698"/>
      <c r="N57" s="698"/>
      <c r="O57" s="698"/>
      <c r="P57" s="698"/>
      <c r="Q57" s="698"/>
      <c r="S57" s="760"/>
      <c r="T57" s="761"/>
      <c r="U57" s="762"/>
      <c r="V57" s="763"/>
      <c r="W57" s="764"/>
    </row>
    <row r="58" spans="1:30" x14ac:dyDescent="0.35">
      <c r="B58" s="872" t="s">
        <v>2075</v>
      </c>
      <c r="C58" s="886" t="s">
        <v>2095</v>
      </c>
      <c r="D58" s="887">
        <v>150</v>
      </c>
      <c r="E58" s="758"/>
      <c r="F58" s="758"/>
      <c r="G58" s="759"/>
      <c r="H58" s="759"/>
      <c r="I58" s="880"/>
      <c r="J58" s="698"/>
      <c r="K58" s="698"/>
      <c r="L58" s="698"/>
      <c r="M58" s="698"/>
      <c r="N58" s="698"/>
      <c r="O58" s="698"/>
      <c r="P58" s="698"/>
      <c r="Q58" s="698"/>
      <c r="S58" s="760"/>
      <c r="T58" s="761"/>
      <c r="U58" s="762"/>
      <c r="V58" s="763"/>
      <c r="W58" s="764"/>
    </row>
    <row r="59" spans="1:30" x14ac:dyDescent="0.35">
      <c r="B59" s="868" t="s">
        <v>2071</v>
      </c>
      <c r="C59" s="868" t="s">
        <v>2096</v>
      </c>
      <c r="D59" s="883">
        <v>250</v>
      </c>
      <c r="E59" s="759"/>
      <c r="F59" s="759"/>
      <c r="G59" s="759"/>
      <c r="H59" s="880"/>
      <c r="I59" s="769"/>
      <c r="S59" s="761"/>
      <c r="T59" s="762"/>
      <c r="U59" s="763"/>
      <c r="V59" s="764"/>
    </row>
    <row r="60" spans="1:30" x14ac:dyDescent="0.35">
      <c r="B60" s="884" t="s">
        <v>2073</v>
      </c>
      <c r="C60" s="884" t="s">
        <v>2096</v>
      </c>
      <c r="D60" s="885">
        <v>250</v>
      </c>
      <c r="E60" s="759"/>
      <c r="F60" s="759"/>
      <c r="G60" s="759"/>
      <c r="H60" s="880"/>
      <c r="I60" s="769"/>
      <c r="S60" s="761"/>
      <c r="T60" s="762"/>
      <c r="U60" s="763"/>
      <c r="V60" s="764"/>
    </row>
    <row r="61" spans="1:30" x14ac:dyDescent="0.35">
      <c r="B61" s="872" t="s">
        <v>2075</v>
      </c>
      <c r="C61" s="886" t="s">
        <v>2096</v>
      </c>
      <c r="D61" s="887">
        <v>250</v>
      </c>
      <c r="E61" s="759"/>
      <c r="F61" s="759"/>
      <c r="G61" s="759"/>
      <c r="H61" s="880"/>
      <c r="I61" s="769"/>
      <c r="S61" s="761"/>
      <c r="T61" s="762"/>
      <c r="U61" s="763"/>
      <c r="V61" s="764"/>
    </row>
    <row r="62" spans="1:30" x14ac:dyDescent="0.35">
      <c r="B62" s="888" t="s">
        <v>2071</v>
      </c>
      <c r="C62" s="889" t="s">
        <v>2097</v>
      </c>
      <c r="D62" s="883">
        <v>350</v>
      </c>
      <c r="E62" s="759"/>
      <c r="F62" s="759"/>
      <c r="G62" s="759"/>
      <c r="H62" s="880"/>
      <c r="I62" s="769"/>
      <c r="S62" s="761"/>
      <c r="T62" s="762"/>
      <c r="U62" s="763"/>
      <c r="V62" s="764"/>
    </row>
    <row r="63" spans="1:30" x14ac:dyDescent="0.35">
      <c r="B63" s="890" t="s">
        <v>2073</v>
      </c>
      <c r="C63" s="889" t="s">
        <v>2097</v>
      </c>
      <c r="D63" s="885">
        <v>350</v>
      </c>
      <c r="E63" s="759"/>
      <c r="F63" s="759"/>
      <c r="G63" s="759"/>
      <c r="H63" s="880"/>
      <c r="I63" s="769"/>
      <c r="S63" s="761"/>
      <c r="T63" s="762"/>
      <c r="U63" s="763"/>
      <c r="V63" s="764"/>
    </row>
    <row r="64" spans="1:30" x14ac:dyDescent="0.35">
      <c r="B64" s="872" t="s">
        <v>2075</v>
      </c>
      <c r="C64" s="891" t="s">
        <v>2097</v>
      </c>
      <c r="D64" s="887">
        <v>350</v>
      </c>
      <c r="E64" s="759"/>
      <c r="F64" s="759"/>
      <c r="G64" s="759"/>
      <c r="H64" s="880"/>
      <c r="I64" s="769"/>
      <c r="S64" s="761"/>
      <c r="T64" s="762"/>
      <c r="U64" s="763"/>
      <c r="V64" s="764"/>
    </row>
    <row r="65" spans="1:22" x14ac:dyDescent="0.35">
      <c r="E65" s="758"/>
      <c r="F65" s="759"/>
      <c r="G65" s="759"/>
      <c r="H65" s="880"/>
      <c r="I65" s="769"/>
      <c r="S65" s="761"/>
      <c r="T65" s="762"/>
      <c r="U65" s="763"/>
      <c r="V65" s="764"/>
    </row>
    <row r="66" spans="1:22" ht="21" x14ac:dyDescent="0.5">
      <c r="A66" s="704" t="s">
        <v>2014</v>
      </c>
      <c r="E66" s="758"/>
      <c r="F66" s="759"/>
      <c r="J66" s="779"/>
      <c r="K66" s="779"/>
      <c r="L66" s="779"/>
      <c r="M66" s="779"/>
      <c r="N66" s="779"/>
      <c r="O66" s="779"/>
      <c r="P66" s="779"/>
      <c r="Q66" s="779"/>
      <c r="R66" s="779"/>
    </row>
    <row r="67" spans="1:22" x14ac:dyDescent="0.35">
      <c r="J67" s="753"/>
      <c r="K67" s="876"/>
      <c r="L67" s="876"/>
      <c r="M67" s="753"/>
      <c r="N67" s="753"/>
      <c r="O67" s="753"/>
      <c r="P67" s="876"/>
      <c r="Q67" s="876"/>
      <c r="R67" s="876"/>
    </row>
    <row r="68" spans="1:22" x14ac:dyDescent="0.35">
      <c r="J68" s="769"/>
      <c r="K68" s="769"/>
      <c r="L68" s="769"/>
      <c r="M68" s="770"/>
      <c r="N68" s="759"/>
      <c r="O68" s="759"/>
      <c r="P68" s="759"/>
      <c r="Q68" s="759"/>
      <c r="R68" s="759"/>
    </row>
    <row r="69" spans="1:22" ht="34.5" customHeight="1" x14ac:dyDescent="0.35">
      <c r="B69" s="3009" t="s">
        <v>2038</v>
      </c>
      <c r="C69" s="3010"/>
      <c r="D69" s="3011"/>
      <c r="J69" s="769"/>
      <c r="K69" s="769"/>
      <c r="L69" s="769"/>
      <c r="M69" s="770"/>
      <c r="N69" s="759"/>
      <c r="O69" s="759"/>
      <c r="P69" s="759"/>
      <c r="Q69" s="759"/>
      <c r="R69" s="759"/>
    </row>
    <row r="70" spans="1:22" ht="29" x14ac:dyDescent="0.35">
      <c r="B70" s="863" t="s">
        <v>2019</v>
      </c>
      <c r="C70" s="881" t="s">
        <v>2093</v>
      </c>
      <c r="D70" s="882" t="s">
        <v>1947</v>
      </c>
      <c r="J70" s="769"/>
      <c r="K70" s="769"/>
      <c r="L70" s="770"/>
      <c r="M70" s="759"/>
      <c r="N70" s="759"/>
      <c r="O70" s="759"/>
      <c r="P70" s="759"/>
      <c r="Q70" s="759"/>
      <c r="R70" s="760"/>
    </row>
    <row r="71" spans="1:22" x14ac:dyDescent="0.35">
      <c r="B71" s="868" t="s">
        <v>2071</v>
      </c>
      <c r="C71" s="868" t="s">
        <v>2095</v>
      </c>
      <c r="D71" s="892">
        <v>3</v>
      </c>
    </row>
    <row r="72" spans="1:22" x14ac:dyDescent="0.35">
      <c r="B72" s="884" t="s">
        <v>2073</v>
      </c>
      <c r="C72" s="884" t="s">
        <v>2095</v>
      </c>
      <c r="D72" s="893">
        <v>1</v>
      </c>
    </row>
    <row r="73" spans="1:22" x14ac:dyDescent="0.35">
      <c r="B73" s="872" t="s">
        <v>2075</v>
      </c>
      <c r="C73" s="886" t="s">
        <v>2095</v>
      </c>
      <c r="D73" s="894">
        <v>1</v>
      </c>
    </row>
    <row r="74" spans="1:22" x14ac:dyDescent="0.35">
      <c r="B74" s="868" t="s">
        <v>2071</v>
      </c>
      <c r="C74" s="868" t="s">
        <v>2096</v>
      </c>
      <c r="D74" s="892">
        <v>3</v>
      </c>
    </row>
    <row r="75" spans="1:22" x14ac:dyDescent="0.35">
      <c r="B75" s="884" t="s">
        <v>2073</v>
      </c>
      <c r="C75" s="884" t="s">
        <v>2096</v>
      </c>
      <c r="D75" s="894">
        <v>1</v>
      </c>
    </row>
    <row r="76" spans="1:22" x14ac:dyDescent="0.35">
      <c r="B76" s="872" t="s">
        <v>2075</v>
      </c>
      <c r="C76" s="886" t="s">
        <v>2096</v>
      </c>
      <c r="D76" s="895">
        <v>1</v>
      </c>
    </row>
    <row r="77" spans="1:22" x14ac:dyDescent="0.35">
      <c r="B77" s="888" t="s">
        <v>2071</v>
      </c>
      <c r="C77" s="896" t="s">
        <v>2097</v>
      </c>
      <c r="D77" s="892">
        <v>3</v>
      </c>
    </row>
    <row r="78" spans="1:22" x14ac:dyDescent="0.35">
      <c r="B78" s="890" t="s">
        <v>2073</v>
      </c>
      <c r="C78" s="897" t="s">
        <v>2097</v>
      </c>
      <c r="D78" s="893">
        <v>1</v>
      </c>
    </row>
    <row r="79" spans="1:22" x14ac:dyDescent="0.35">
      <c r="B79" s="872" t="s">
        <v>2075</v>
      </c>
      <c r="C79" s="898" t="s">
        <v>2097</v>
      </c>
      <c r="D79" s="894">
        <v>1</v>
      </c>
    </row>
    <row r="81" spans="1:15" ht="21" x14ac:dyDescent="0.5">
      <c r="A81" s="704" t="s">
        <v>2036</v>
      </c>
    </row>
    <row r="83" spans="1:15" ht="63" customHeight="1" x14ac:dyDescent="0.35">
      <c r="B83" s="900"/>
      <c r="C83" s="899"/>
      <c r="D83" s="3000" t="s">
        <v>2092</v>
      </c>
      <c r="E83" s="3001"/>
      <c r="F83" s="3002"/>
      <c r="G83" s="901" t="s">
        <v>2038</v>
      </c>
      <c r="H83" s="2997" t="s">
        <v>2040</v>
      </c>
      <c r="I83" s="2998"/>
      <c r="J83" s="2998"/>
      <c r="K83" s="2998"/>
      <c r="L83" s="2998"/>
      <c r="M83" s="2998"/>
      <c r="N83" s="2998"/>
      <c r="O83" s="2999"/>
    </row>
    <row r="84" spans="1:15" ht="62.25" customHeight="1" x14ac:dyDescent="0.35">
      <c r="B84" s="1162" t="s">
        <v>2019</v>
      </c>
      <c r="C84" s="2539" t="s">
        <v>2093</v>
      </c>
      <c r="D84" s="902" t="s">
        <v>2098</v>
      </c>
      <c r="E84" s="903" t="s">
        <v>2099</v>
      </c>
      <c r="F84" s="904" t="s">
        <v>2100</v>
      </c>
      <c r="G84" s="905" t="s">
        <v>1947</v>
      </c>
      <c r="H84" s="906" t="s">
        <v>2101</v>
      </c>
      <c r="I84" s="2529" t="s">
        <v>2102</v>
      </c>
      <c r="J84" s="2529" t="s">
        <v>3316</v>
      </c>
      <c r="K84" s="2529" t="s">
        <v>3320</v>
      </c>
      <c r="L84" s="903" t="s">
        <v>2103</v>
      </c>
      <c r="M84" s="907" t="s">
        <v>2104</v>
      </c>
      <c r="N84" s="907" t="s">
        <v>2105</v>
      </c>
      <c r="O84" s="904" t="s">
        <v>2106</v>
      </c>
    </row>
    <row r="85" spans="1:15" x14ac:dyDescent="0.35">
      <c r="B85" s="868" t="s">
        <v>2071</v>
      </c>
      <c r="C85" s="888" t="s">
        <v>2095</v>
      </c>
      <c r="D85" s="908">
        <f>D56</f>
        <v>150</v>
      </c>
      <c r="E85" s="909">
        <f>C$39</f>
        <v>5</v>
      </c>
      <c r="F85" s="910">
        <f>D$39</f>
        <v>800</v>
      </c>
      <c r="G85" s="911">
        <f t="shared" ref="G85:G93" si="0">D71</f>
        <v>3</v>
      </c>
      <c r="H85" s="912">
        <f>D85*C$49*G85</f>
        <v>37800</v>
      </c>
      <c r="I85" s="913">
        <f>0.746*E85*F85*G85*F$39+J85</f>
        <v>4567.3800862499993</v>
      </c>
      <c r="J85" s="913">
        <f xml:space="preserve"> K85 / 1000000 * H39</f>
        <v>2329.3800862499997</v>
      </c>
      <c r="K85" s="913">
        <f xml:space="preserve"> I39 * E39 * F39</f>
        <v>464946.12499999994</v>
      </c>
      <c r="L85" s="914">
        <f>0</f>
        <v>0</v>
      </c>
      <c r="M85" s="915">
        <f>0.00855*E$39*1.19*G$39*G85</f>
        <v>22650.924665250001</v>
      </c>
      <c r="N85" s="916">
        <f t="shared" ref="N85:N93" si="1">IF(G85=0,0,I85/G85)</f>
        <v>1522.4600287499998</v>
      </c>
      <c r="O85" s="916">
        <f t="shared" ref="O85:O93" si="2">IF(G85=0,0,M85/G85)</f>
        <v>7550.3082217500005</v>
      </c>
    </row>
    <row r="86" spans="1:15" x14ac:dyDescent="0.35">
      <c r="B86" s="884" t="s">
        <v>2073</v>
      </c>
      <c r="C86" s="890" t="s">
        <v>2095</v>
      </c>
      <c r="D86" s="908">
        <f t="shared" ref="D86:D93" si="3">D57</f>
        <v>150</v>
      </c>
      <c r="E86" s="909">
        <f>C$40</f>
        <v>5</v>
      </c>
      <c r="F86" s="910">
        <f>D$40</f>
        <v>800</v>
      </c>
      <c r="G86" s="917">
        <f t="shared" si="0"/>
        <v>1</v>
      </c>
      <c r="H86" s="912">
        <f t="shared" ref="H86:H93" si="4">D86*C$49*G86</f>
        <v>12600</v>
      </c>
      <c r="I86" s="913">
        <f>0.746*E86*F86*G86*F$40+J86</f>
        <v>3075.3800862499997</v>
      </c>
      <c r="J86" s="913">
        <f t="shared" ref="J86:J87" si="5" xml:space="preserve"> K86 / 1000000 * H40</f>
        <v>2329.3800862499997</v>
      </c>
      <c r="K86" s="913">
        <f t="shared" ref="K86:K87" si="6" xml:space="preserve"> I40 * E40 * F40</f>
        <v>464946.12499999994</v>
      </c>
      <c r="L86" s="914">
        <f>0</f>
        <v>0</v>
      </c>
      <c r="M86" s="915">
        <f>0.00855*E$40*1.19*G$40*G86</f>
        <v>7550.3082217500005</v>
      </c>
      <c r="N86" s="918">
        <f t="shared" si="1"/>
        <v>3075.3800862499997</v>
      </c>
      <c r="O86" s="918">
        <f t="shared" si="2"/>
        <v>7550.3082217500005</v>
      </c>
    </row>
    <row r="87" spans="1:15" x14ac:dyDescent="0.35">
      <c r="B87" s="886" t="s">
        <v>2075</v>
      </c>
      <c r="C87" s="872" t="s">
        <v>2095</v>
      </c>
      <c r="D87" s="908">
        <f t="shared" si="3"/>
        <v>150</v>
      </c>
      <c r="E87" s="909">
        <f>C$41</f>
        <v>5</v>
      </c>
      <c r="F87" s="910">
        <f>D$41</f>
        <v>800</v>
      </c>
      <c r="G87" s="911">
        <f t="shared" si="0"/>
        <v>1</v>
      </c>
      <c r="H87" s="912">
        <f t="shared" si="4"/>
        <v>12600</v>
      </c>
      <c r="I87" s="913">
        <f>0.746*E87*F87*G87*F$41+J87</f>
        <v>3075.3800862499997</v>
      </c>
      <c r="J87" s="913">
        <f t="shared" si="5"/>
        <v>2329.3800862499997</v>
      </c>
      <c r="K87" s="913">
        <f t="shared" si="6"/>
        <v>464946.12499999994</v>
      </c>
      <c r="L87" s="914">
        <f>0</f>
        <v>0</v>
      </c>
      <c r="M87" s="915">
        <f>0.00855*E$41*1.19*G$41*G87</f>
        <v>7550.3082217500005</v>
      </c>
      <c r="N87" s="916">
        <f t="shared" si="1"/>
        <v>3075.3800862499997</v>
      </c>
      <c r="O87" s="916">
        <f t="shared" si="2"/>
        <v>7550.3082217500005</v>
      </c>
    </row>
    <row r="88" spans="1:15" x14ac:dyDescent="0.35">
      <c r="B88" s="868" t="s">
        <v>2071</v>
      </c>
      <c r="C88" s="888" t="s">
        <v>2096</v>
      </c>
      <c r="D88" s="908">
        <f t="shared" si="3"/>
        <v>250</v>
      </c>
      <c r="E88" s="909">
        <f>C$39</f>
        <v>5</v>
      </c>
      <c r="F88" s="910">
        <f>D$39</f>
        <v>800</v>
      </c>
      <c r="G88" s="917">
        <f t="shared" si="0"/>
        <v>3</v>
      </c>
      <c r="H88" s="912">
        <f t="shared" si="4"/>
        <v>63000</v>
      </c>
      <c r="I88" s="913">
        <f>0.746*E88*F88*G88*F$39+J88</f>
        <v>4567.3800862499993</v>
      </c>
      <c r="J88" s="913">
        <f xml:space="preserve"> K88 / 1000000 * H39</f>
        <v>2329.3800862499997</v>
      </c>
      <c r="K88" s="913">
        <f xml:space="preserve"> I39 * E39 * F39</f>
        <v>464946.12499999994</v>
      </c>
      <c r="L88" s="914">
        <f>0</f>
        <v>0</v>
      </c>
      <c r="M88" s="915">
        <f>0.00855*E$39*1.19*G$39*G88</f>
        <v>22650.924665250001</v>
      </c>
      <c r="N88" s="918">
        <f t="shared" si="1"/>
        <v>1522.4600287499998</v>
      </c>
      <c r="O88" s="918">
        <f t="shared" si="2"/>
        <v>7550.3082217500005</v>
      </c>
    </row>
    <row r="89" spans="1:15" x14ac:dyDescent="0.35">
      <c r="B89" s="884" t="s">
        <v>2073</v>
      </c>
      <c r="C89" s="890" t="s">
        <v>2096</v>
      </c>
      <c r="D89" s="908">
        <f t="shared" si="3"/>
        <v>250</v>
      </c>
      <c r="E89" s="909">
        <f>C$40</f>
        <v>5</v>
      </c>
      <c r="F89" s="910">
        <f>D$40</f>
        <v>800</v>
      </c>
      <c r="G89" s="911">
        <f t="shared" si="0"/>
        <v>1</v>
      </c>
      <c r="H89" s="912">
        <f t="shared" si="4"/>
        <v>21000</v>
      </c>
      <c r="I89" s="913">
        <f>0.746*E89*F89*G89*F$40+J89</f>
        <v>3075.3800862499997</v>
      </c>
      <c r="J89" s="913">
        <f t="shared" ref="J89:J90" si="7" xml:space="preserve"> K89 / 1000000 * H40</f>
        <v>2329.3800862499997</v>
      </c>
      <c r="K89" s="913">
        <f t="shared" ref="K89:K90" si="8" xml:space="preserve"> I40 * E40 * F40</f>
        <v>464946.12499999994</v>
      </c>
      <c r="L89" s="914">
        <f>0</f>
        <v>0</v>
      </c>
      <c r="M89" s="915">
        <f>0.00855*E$40*1.19*G$40*G89</f>
        <v>7550.3082217500005</v>
      </c>
      <c r="N89" s="916">
        <f t="shared" si="1"/>
        <v>3075.3800862499997</v>
      </c>
      <c r="O89" s="916">
        <f t="shared" si="2"/>
        <v>7550.3082217500005</v>
      </c>
    </row>
    <row r="90" spans="1:15" x14ac:dyDescent="0.35">
      <c r="B90" s="886" t="s">
        <v>2075</v>
      </c>
      <c r="C90" s="872" t="s">
        <v>2096</v>
      </c>
      <c r="D90" s="908">
        <f t="shared" si="3"/>
        <v>250</v>
      </c>
      <c r="E90" s="909">
        <f>C$41</f>
        <v>5</v>
      </c>
      <c r="F90" s="910">
        <f>D$41</f>
        <v>800</v>
      </c>
      <c r="G90" s="917">
        <f t="shared" si="0"/>
        <v>1</v>
      </c>
      <c r="H90" s="912">
        <f t="shared" si="4"/>
        <v>21000</v>
      </c>
      <c r="I90" s="913">
        <f>0.746*E90*F90*G90*F$41+J90</f>
        <v>3075.3800862499997</v>
      </c>
      <c r="J90" s="913">
        <f t="shared" si="7"/>
        <v>2329.3800862499997</v>
      </c>
      <c r="K90" s="913">
        <f t="shared" si="8"/>
        <v>464946.12499999994</v>
      </c>
      <c r="L90" s="914">
        <f>0</f>
        <v>0</v>
      </c>
      <c r="M90" s="915">
        <f>0.00855*E$41*1.19*G$41*G90</f>
        <v>7550.3082217500005</v>
      </c>
      <c r="N90" s="918">
        <f t="shared" si="1"/>
        <v>3075.3800862499997</v>
      </c>
      <c r="O90" s="918">
        <f t="shared" si="2"/>
        <v>7550.3082217500005</v>
      </c>
    </row>
    <row r="91" spans="1:15" x14ac:dyDescent="0.35">
      <c r="B91" s="868" t="s">
        <v>2071</v>
      </c>
      <c r="C91" s="897" t="s">
        <v>2097</v>
      </c>
      <c r="D91" s="908">
        <f t="shared" si="3"/>
        <v>350</v>
      </c>
      <c r="E91" s="909">
        <f>C$39</f>
        <v>5</v>
      </c>
      <c r="F91" s="910">
        <f>D$39</f>
        <v>800</v>
      </c>
      <c r="G91" s="911">
        <f t="shared" si="0"/>
        <v>3</v>
      </c>
      <c r="H91" s="912">
        <f t="shared" si="4"/>
        <v>88200</v>
      </c>
      <c r="I91" s="913">
        <f>0.746*E91*F91*G91*F$39+J91</f>
        <v>4567.3800862499993</v>
      </c>
      <c r="J91" s="913">
        <f xml:space="preserve"> K91 / 1000000 * H39</f>
        <v>2329.3800862499997</v>
      </c>
      <c r="K91" s="913">
        <f xml:space="preserve"> I39 * E39 * F39</f>
        <v>464946.12499999994</v>
      </c>
      <c r="L91" s="914">
        <f>0</f>
        <v>0</v>
      </c>
      <c r="M91" s="915">
        <f>0.00855*E$39*1.19*G$39*G91</f>
        <v>22650.924665250001</v>
      </c>
      <c r="N91" s="916">
        <f t="shared" si="1"/>
        <v>1522.4600287499998</v>
      </c>
      <c r="O91" s="916">
        <f t="shared" si="2"/>
        <v>7550.3082217500005</v>
      </c>
    </row>
    <row r="92" spans="1:15" x14ac:dyDescent="0.35">
      <c r="B92" s="884" t="s">
        <v>2073</v>
      </c>
      <c r="C92" s="897" t="s">
        <v>2097</v>
      </c>
      <c r="D92" s="908">
        <f t="shared" si="3"/>
        <v>350</v>
      </c>
      <c r="E92" s="909">
        <f>C$40</f>
        <v>5</v>
      </c>
      <c r="F92" s="910">
        <f>D$40</f>
        <v>800</v>
      </c>
      <c r="G92" s="917">
        <f t="shared" si="0"/>
        <v>1</v>
      </c>
      <c r="H92" s="912">
        <f t="shared" si="4"/>
        <v>29400</v>
      </c>
      <c r="I92" s="913">
        <f>0.746*E92*F92*G92*F$40+J92</f>
        <v>3075.3800862499997</v>
      </c>
      <c r="J92" s="913">
        <f t="shared" ref="J92:J93" si="9" xml:space="preserve"> K92 / 1000000 * H40</f>
        <v>2329.3800862499997</v>
      </c>
      <c r="K92" s="913">
        <f t="shared" ref="K92:K93" si="10" xml:space="preserve"> I40 * E40 * F40</f>
        <v>464946.12499999994</v>
      </c>
      <c r="L92" s="914">
        <f>0</f>
        <v>0</v>
      </c>
      <c r="M92" s="915">
        <f>0.00855*E$40*1.19*G$40*G92</f>
        <v>7550.3082217500005</v>
      </c>
      <c r="N92" s="918">
        <f t="shared" si="1"/>
        <v>3075.3800862499997</v>
      </c>
      <c r="O92" s="918">
        <f t="shared" si="2"/>
        <v>7550.3082217500005</v>
      </c>
    </row>
    <row r="93" spans="1:15" x14ac:dyDescent="0.35">
      <c r="B93" s="886" t="s">
        <v>2075</v>
      </c>
      <c r="C93" s="898" t="s">
        <v>2097</v>
      </c>
      <c r="D93" s="2537">
        <f t="shared" si="3"/>
        <v>350</v>
      </c>
      <c r="E93" s="1078">
        <f>C$41</f>
        <v>5</v>
      </c>
      <c r="F93" s="2538">
        <f>D$41</f>
        <v>800</v>
      </c>
      <c r="G93" s="1009">
        <f t="shared" si="0"/>
        <v>1</v>
      </c>
      <c r="H93" s="1079">
        <f t="shared" si="4"/>
        <v>29400</v>
      </c>
      <c r="I93" s="1010">
        <f>0.746*E93*F93*G93*F$41+J93</f>
        <v>3075.3800862499997</v>
      </c>
      <c r="J93" s="1010">
        <f t="shared" si="9"/>
        <v>2329.3800862499997</v>
      </c>
      <c r="K93" s="1010">
        <f t="shared" si="10"/>
        <v>464946.12499999994</v>
      </c>
      <c r="L93" s="1011">
        <f>0</f>
        <v>0</v>
      </c>
      <c r="M93" s="2540">
        <f>0.00855*E$41*1.19*G$41*G93</f>
        <v>7550.3082217500005</v>
      </c>
      <c r="N93" s="2541">
        <f t="shared" si="1"/>
        <v>3075.3800862499997</v>
      </c>
      <c r="O93" s="2541">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542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2114</v>
      </c>
    </row>
    <row r="3" spans="1:6" ht="21" x14ac:dyDescent="0.5">
      <c r="A3" s="704" t="s">
        <v>2115</v>
      </c>
    </row>
    <row r="4" spans="1:6" ht="15" thickBot="1" x14ac:dyDescent="0.4"/>
    <row r="5" spans="1:6" x14ac:dyDescent="0.35">
      <c r="B5" s="678" t="s">
        <v>1947</v>
      </c>
      <c r="C5" s="679">
        <f>B77</f>
        <v>25</v>
      </c>
      <c r="D5" s="680"/>
      <c r="E5" s="680"/>
      <c r="F5" s="680"/>
    </row>
    <row r="6" spans="1:6" x14ac:dyDescent="0.35">
      <c r="B6" s="681" t="s">
        <v>1948</v>
      </c>
      <c r="C6" s="682">
        <f>C115</f>
        <v>249.99999999999997</v>
      </c>
      <c r="D6" s="683" t="s">
        <v>2116</v>
      </c>
      <c r="F6" s="680"/>
    </row>
    <row r="7" spans="1:6" x14ac:dyDescent="0.35">
      <c r="B7" s="681" t="s">
        <v>1950</v>
      </c>
      <c r="C7" s="684">
        <f>N115</f>
        <v>8649.6453936129165</v>
      </c>
      <c r="D7" s="683"/>
      <c r="E7" s="683"/>
      <c r="F7" s="683"/>
    </row>
    <row r="8" spans="1:6" x14ac:dyDescent="0.35">
      <c r="B8" s="681" t="s">
        <v>1951</v>
      </c>
      <c r="C8" s="682">
        <f>P115</f>
        <v>1.4950633282120662</v>
      </c>
      <c r="D8" s="683"/>
      <c r="E8" s="683"/>
      <c r="F8" s="683"/>
    </row>
    <row r="9" spans="1:6" x14ac:dyDescent="0.35">
      <c r="B9" s="681" t="s">
        <v>1952</v>
      </c>
      <c r="C9" s="684">
        <f>Q115</f>
        <v>1357.9092725671926</v>
      </c>
      <c r="D9" s="683"/>
      <c r="E9" s="683"/>
      <c r="F9" s="683"/>
    </row>
    <row r="10" spans="1:6" x14ac:dyDescent="0.35">
      <c r="B10" s="681" t="s">
        <v>1953</v>
      </c>
      <c r="C10" s="685">
        <f>R115</f>
        <v>1500.0000000000005</v>
      </c>
      <c r="D10" s="686"/>
      <c r="E10" s="686"/>
      <c r="F10" s="686"/>
    </row>
    <row r="11" spans="1:6" x14ac:dyDescent="0.35">
      <c r="B11" s="681" t="s">
        <v>1954</v>
      </c>
      <c r="C11" s="685">
        <f>C10*C95</f>
        <v>300.00000000000011</v>
      </c>
      <c r="D11" s="686"/>
      <c r="E11" s="686"/>
      <c r="F11" s="686"/>
    </row>
    <row r="12" spans="1:6" x14ac:dyDescent="0.35">
      <c r="B12" s="681" t="s">
        <v>1955</v>
      </c>
      <c r="C12" s="685">
        <f>C10*C96</f>
        <v>1200.0000000000005</v>
      </c>
      <c r="D12" s="686"/>
      <c r="E12" s="686"/>
      <c r="F12" s="686"/>
    </row>
    <row r="13" spans="1:6" x14ac:dyDescent="0.35">
      <c r="B13" s="681" t="s">
        <v>61</v>
      </c>
      <c r="C13" s="687">
        <f>(C7/C6)</f>
        <v>34.598581574451671</v>
      </c>
      <c r="D13" s="686" t="s">
        <v>1956</v>
      </c>
      <c r="E13" s="686"/>
      <c r="F13" s="686"/>
    </row>
    <row r="14" spans="1:6" x14ac:dyDescent="0.35">
      <c r="B14" s="681" t="s">
        <v>62</v>
      </c>
      <c r="C14" s="687">
        <f>(C8/C6)</f>
        <v>5.980253312848266E-3</v>
      </c>
      <c r="D14" s="686" t="s">
        <v>1956</v>
      </c>
      <c r="E14" s="686"/>
      <c r="F14" s="686"/>
    </row>
    <row r="15" spans="1:6" x14ac:dyDescent="0.35">
      <c r="B15" s="681" t="s">
        <v>63</v>
      </c>
      <c r="C15" s="687">
        <f>(C9/C6)</f>
        <v>5.4316370902687714</v>
      </c>
      <c r="D15" s="686" t="s">
        <v>1956</v>
      </c>
      <c r="E15" s="686"/>
      <c r="F15" s="686"/>
    </row>
    <row r="16" spans="1:6" x14ac:dyDescent="0.35">
      <c r="B16" s="681" t="s">
        <v>1957</v>
      </c>
      <c r="C16" s="688">
        <f>C11/C7</f>
        <v>3.4683502773596539E-2</v>
      </c>
      <c r="D16" s="686"/>
      <c r="E16" s="686"/>
      <c r="F16" s="686"/>
    </row>
    <row r="17" spans="1:6" x14ac:dyDescent="0.35">
      <c r="B17" s="681" t="s">
        <v>1958</v>
      </c>
      <c r="C17" s="689">
        <f>C12/C9</f>
        <v>0.88371147045144105</v>
      </c>
      <c r="D17" s="690"/>
      <c r="E17" s="690"/>
      <c r="F17" s="690"/>
    </row>
    <row r="18" spans="1:6" x14ac:dyDescent="0.35">
      <c r="B18" s="681" t="s">
        <v>1959</v>
      </c>
      <c r="C18" s="691">
        <f>S115</f>
        <v>369801.00015446416</v>
      </c>
    </row>
    <row r="19" spans="1:6" ht="15" thickBot="1" x14ac:dyDescent="0.4">
      <c r="B19" s="692" t="s">
        <v>1960</v>
      </c>
      <c r="C19" s="693">
        <f>W102</f>
        <v>1999.9999999999998</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9168.6241172296923</v>
      </c>
      <c r="D24" s="683"/>
      <c r="E24" s="683"/>
      <c r="F24" s="683"/>
    </row>
    <row r="25" spans="1:6" x14ac:dyDescent="0.35">
      <c r="B25" s="681" t="s">
        <v>1966</v>
      </c>
      <c r="C25" s="684">
        <f>C22*C8</f>
        <v>1.5847671279047904</v>
      </c>
      <c r="D25" s="700"/>
      <c r="E25" s="700"/>
      <c r="F25" s="683"/>
    </row>
    <row r="26" spans="1:6" x14ac:dyDescent="0.35">
      <c r="B26" s="681" t="s">
        <v>1967</v>
      </c>
      <c r="C26" s="684">
        <f>C23*C9</f>
        <v>1357.9092725671926</v>
      </c>
      <c r="D26" s="683"/>
      <c r="E26" s="701"/>
      <c r="F26" s="683"/>
    </row>
    <row r="27" spans="1:6" x14ac:dyDescent="0.35">
      <c r="B27" s="681" t="s">
        <v>1968</v>
      </c>
      <c r="C27" s="688">
        <f>C11/C24</f>
        <v>3.272028563546843E-2</v>
      </c>
      <c r="D27" s="683"/>
      <c r="E27" s="701"/>
      <c r="F27" s="683"/>
    </row>
    <row r="28" spans="1:6" x14ac:dyDescent="0.35">
      <c r="B28" s="681" t="s">
        <v>1969</v>
      </c>
      <c r="C28" s="689">
        <f>C12/C26</f>
        <v>0.88371147045144105</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345.98581574451669</v>
      </c>
      <c r="D33" s="683"/>
      <c r="E33" s="683"/>
      <c r="F33" s="683"/>
    </row>
    <row r="34" spans="1:17" x14ac:dyDescent="0.35">
      <c r="B34" s="681" t="s">
        <v>1973</v>
      </c>
      <c r="C34" s="684">
        <f>C9/C5</f>
        <v>54.316370902687702</v>
      </c>
      <c r="D34" s="706"/>
      <c r="E34" s="706"/>
      <c r="F34" s="706"/>
    </row>
    <row r="35" spans="1:17" x14ac:dyDescent="0.35">
      <c r="B35" s="681" t="s">
        <v>1974</v>
      </c>
      <c r="C35" s="707">
        <f>C10/C5</f>
        <v>60.000000000000021</v>
      </c>
    </row>
    <row r="36" spans="1:17" x14ac:dyDescent="0.35">
      <c r="B36" s="681" t="s">
        <v>1975</v>
      </c>
      <c r="C36" s="708">
        <f>C18/C5</f>
        <v>14792.040006178566</v>
      </c>
    </row>
    <row r="37" spans="1:17" ht="15" thickBot="1" x14ac:dyDescent="0.4">
      <c r="B37" s="692" t="s">
        <v>1976</v>
      </c>
      <c r="C37" s="709">
        <f>C19/C5</f>
        <v>79.999999999999986</v>
      </c>
    </row>
    <row r="38" spans="1:17" x14ac:dyDescent="0.35">
      <c r="H38" s="698"/>
      <c r="I38" s="698"/>
      <c r="J38" s="698"/>
    </row>
    <row r="39" spans="1:17" ht="21" x14ac:dyDescent="0.5">
      <c r="A39" s="704" t="s">
        <v>1977</v>
      </c>
    </row>
    <row r="40" spans="1:17" ht="30.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2.25</v>
      </c>
      <c r="D42" s="714" t="s">
        <v>2119</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1.5</v>
      </c>
      <c r="D44" s="698" t="s">
        <v>2123</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681" t="s">
        <v>303</v>
      </c>
      <c r="C47" s="720">
        <v>0.95</v>
      </c>
      <c r="D47" s="698"/>
      <c r="E47" s="698"/>
      <c r="F47" s="698"/>
      <c r="G47" s="698"/>
      <c r="J47" s="873" t="s">
        <v>2129</v>
      </c>
      <c r="K47" s="2496"/>
      <c r="L47" s="2496"/>
      <c r="M47" s="2496"/>
      <c r="N47" s="2496"/>
      <c r="O47" s="2496"/>
      <c r="P47" s="2496"/>
      <c r="Q47" s="874"/>
    </row>
    <row r="48" spans="1:17" x14ac:dyDescent="0.35">
      <c r="B48" s="722" t="s">
        <v>1987</v>
      </c>
      <c r="C48" s="2513">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4">
        <v>5010</v>
      </c>
      <c r="D49" s="2496"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734">
        <v>8</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6</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f>1/13</f>
        <v>7.6923076923076927E-2</v>
      </c>
      <c r="D80" s="751">
        <f t="shared" ref="D80:D92" si="0">C80*D$77</f>
        <v>19.230769230769234</v>
      </c>
      <c r="E80" s="698"/>
      <c r="F80" s="698"/>
      <c r="G80" s="698"/>
      <c r="H80" s="698"/>
      <c r="I80" s="698"/>
      <c r="J80" s="698"/>
      <c r="K80" s="698"/>
      <c r="L80" s="698"/>
      <c r="M80" s="698"/>
      <c r="N80" s="698"/>
      <c r="O80" s="698"/>
    </row>
    <row r="81" spans="2:24" ht="18.5" x14ac:dyDescent="0.35">
      <c r="B81" s="749" t="s">
        <v>2022</v>
      </c>
      <c r="C81" s="750">
        <f t="shared" ref="C81:C92" si="1">1/13</f>
        <v>7.6923076923076927E-2</v>
      </c>
      <c r="D81" s="751">
        <f t="shared" si="0"/>
        <v>19.230769230769234</v>
      </c>
      <c r="E81" s="752"/>
      <c r="F81" s="752"/>
      <c r="G81" s="752"/>
      <c r="H81" s="753"/>
      <c r="I81" s="753"/>
      <c r="J81" s="753"/>
      <c r="K81" s="698"/>
      <c r="L81" s="698"/>
      <c r="M81" s="698"/>
      <c r="N81" s="698"/>
      <c r="O81" s="698"/>
      <c r="T81" s="753"/>
      <c r="U81" s="753"/>
      <c r="V81" s="753"/>
      <c r="W81" s="753"/>
      <c r="X81" s="753"/>
    </row>
    <row r="82" spans="2:24" x14ac:dyDescent="0.35">
      <c r="B82" s="749" t="s">
        <v>2023</v>
      </c>
      <c r="C82" s="750">
        <f t="shared" si="1"/>
        <v>7.6923076923076927E-2</v>
      </c>
      <c r="D82" s="751">
        <f t="shared" si="0"/>
        <v>19.230769230769234</v>
      </c>
      <c r="E82" s="712"/>
      <c r="F82" s="712"/>
      <c r="G82" s="712"/>
      <c r="H82" s="754"/>
      <c r="I82" s="712"/>
      <c r="J82" s="754"/>
      <c r="K82" s="698"/>
      <c r="L82" s="698"/>
      <c r="M82" s="698"/>
      <c r="N82" s="698"/>
      <c r="O82" s="698"/>
      <c r="T82" s="753"/>
      <c r="U82" s="753"/>
      <c r="V82" s="753"/>
      <c r="W82" s="753"/>
      <c r="X82" s="753"/>
    </row>
    <row r="83" spans="2:24" x14ac:dyDescent="0.35">
      <c r="B83" s="749" t="s">
        <v>2024</v>
      </c>
      <c r="C83" s="750">
        <f t="shared" si="1"/>
        <v>7.6923076923076927E-2</v>
      </c>
      <c r="D83" s="751">
        <f t="shared" si="0"/>
        <v>19.230769230769234</v>
      </c>
      <c r="E83" s="755"/>
      <c r="F83" s="756"/>
      <c r="G83" s="757"/>
      <c r="H83" s="758"/>
      <c r="I83" s="731"/>
      <c r="J83" s="759"/>
      <c r="K83" s="698"/>
      <c r="L83" s="698"/>
      <c r="M83" s="698"/>
      <c r="N83" s="698"/>
      <c r="O83" s="698"/>
      <c r="T83" s="760"/>
      <c r="U83" s="761"/>
      <c r="V83" s="762"/>
      <c r="W83" s="763"/>
      <c r="X83" s="764"/>
    </row>
    <row r="84" spans="2:24" x14ac:dyDescent="0.35">
      <c r="B84" s="749" t="s">
        <v>2025</v>
      </c>
      <c r="C84" s="750">
        <f t="shared" si="1"/>
        <v>7.6923076923076927E-2</v>
      </c>
      <c r="D84" s="751">
        <f t="shared" si="0"/>
        <v>19.230769230769234</v>
      </c>
      <c r="E84" s="755"/>
      <c r="F84" s="756"/>
      <c r="G84" s="757"/>
      <c r="H84" s="758"/>
      <c r="I84" s="759"/>
      <c r="J84" s="759"/>
      <c r="K84" s="698"/>
      <c r="L84" s="698"/>
      <c r="M84" s="698"/>
      <c r="N84" s="698"/>
      <c r="O84" s="698"/>
      <c r="T84" s="760"/>
      <c r="U84" s="761"/>
      <c r="V84" s="762"/>
      <c r="W84" s="763"/>
      <c r="X84" s="764"/>
    </row>
    <row r="85" spans="2:24" x14ac:dyDescent="0.35">
      <c r="B85" s="749" t="s">
        <v>2026</v>
      </c>
      <c r="C85" s="750">
        <f t="shared" si="1"/>
        <v>7.6923076923076927E-2</v>
      </c>
      <c r="D85" s="751">
        <f t="shared" si="0"/>
        <v>19.230769230769234</v>
      </c>
      <c r="E85" s="755"/>
      <c r="F85" s="756"/>
      <c r="G85" s="757"/>
      <c r="H85" s="758"/>
      <c r="I85" s="759"/>
      <c r="J85" s="759"/>
      <c r="K85" s="698"/>
      <c r="L85" s="698"/>
      <c r="M85" s="698"/>
      <c r="N85" s="698"/>
      <c r="O85" s="698"/>
      <c r="T85" s="760"/>
      <c r="U85" s="761"/>
      <c r="V85" s="762"/>
      <c r="W85" s="763"/>
      <c r="X85" s="764"/>
    </row>
    <row r="86" spans="2:24" x14ac:dyDescent="0.35">
      <c r="B86" s="749" t="s">
        <v>2027</v>
      </c>
      <c r="C86" s="750">
        <f t="shared" si="1"/>
        <v>7.6923076923076927E-2</v>
      </c>
      <c r="D86" s="751">
        <f t="shared" si="0"/>
        <v>19.230769230769234</v>
      </c>
      <c r="E86" s="755"/>
      <c r="F86" s="756"/>
      <c r="G86" s="757"/>
      <c r="H86" s="758"/>
      <c r="I86" s="759"/>
      <c r="J86" s="759"/>
      <c r="K86" s="698"/>
      <c r="L86" s="698"/>
      <c r="M86" s="698"/>
      <c r="N86" s="698"/>
      <c r="O86" s="698"/>
      <c r="T86" s="760"/>
      <c r="U86" s="761"/>
      <c r="V86" s="762"/>
      <c r="W86" s="763"/>
      <c r="X86" s="764"/>
    </row>
    <row r="87" spans="2:24" x14ac:dyDescent="0.35">
      <c r="B87" s="749" t="s">
        <v>2028</v>
      </c>
      <c r="C87" s="750">
        <f t="shared" si="1"/>
        <v>7.6923076923076927E-2</v>
      </c>
      <c r="D87" s="751">
        <f t="shared" si="0"/>
        <v>19.230769230769234</v>
      </c>
      <c r="E87" s="755"/>
      <c r="F87" s="756"/>
      <c r="G87" s="757"/>
      <c r="H87" s="758"/>
      <c r="I87" s="759"/>
      <c r="J87" s="759"/>
      <c r="K87" s="698"/>
      <c r="L87" s="698"/>
      <c r="M87" s="698"/>
      <c r="N87" s="698"/>
      <c r="O87" s="698"/>
      <c r="T87" s="760"/>
      <c r="U87" s="761"/>
      <c r="V87" s="762"/>
      <c r="W87" s="763"/>
      <c r="X87" s="764"/>
    </row>
    <row r="88" spans="2:24" x14ac:dyDescent="0.35">
      <c r="B88" s="749" t="s">
        <v>2029</v>
      </c>
      <c r="C88" s="750">
        <f t="shared" si="1"/>
        <v>7.6923076923076927E-2</v>
      </c>
      <c r="D88" s="751">
        <f t="shared" si="0"/>
        <v>19.230769230769234</v>
      </c>
      <c r="E88" s="755"/>
      <c r="F88" s="756"/>
      <c r="G88" s="757"/>
      <c r="H88" s="758"/>
      <c r="I88" s="759"/>
      <c r="J88" s="759"/>
      <c r="K88" s="698"/>
      <c r="L88" s="698"/>
      <c r="M88" s="698"/>
      <c r="N88" s="698"/>
      <c r="O88" s="698"/>
      <c r="T88" s="760"/>
      <c r="U88" s="761"/>
      <c r="V88" s="762"/>
      <c r="W88" s="763"/>
      <c r="X88" s="764"/>
    </row>
    <row r="89" spans="2:24" x14ac:dyDescent="0.35">
      <c r="B89" s="749" t="s">
        <v>2030</v>
      </c>
      <c r="C89" s="750">
        <f t="shared" si="1"/>
        <v>7.6923076923076927E-2</v>
      </c>
      <c r="D89" s="751">
        <f t="shared" si="0"/>
        <v>19.230769230769234</v>
      </c>
      <c r="E89" s="755"/>
      <c r="F89" s="756"/>
      <c r="G89" s="757"/>
      <c r="H89" s="758"/>
      <c r="I89" s="759"/>
      <c r="J89" s="759"/>
      <c r="K89" s="698"/>
      <c r="L89" s="698"/>
      <c r="M89" s="698"/>
      <c r="N89" s="698"/>
      <c r="O89" s="698"/>
      <c r="T89" s="760"/>
      <c r="U89" s="761"/>
      <c r="V89" s="762"/>
      <c r="W89" s="763"/>
      <c r="X89" s="764"/>
    </row>
    <row r="90" spans="2:24" x14ac:dyDescent="0.35">
      <c r="B90" s="749" t="s">
        <v>2031</v>
      </c>
      <c r="C90" s="750">
        <f t="shared" si="1"/>
        <v>7.6923076923076927E-2</v>
      </c>
      <c r="D90" s="751">
        <f t="shared" si="0"/>
        <v>19.230769230769234</v>
      </c>
      <c r="E90" s="755"/>
      <c r="F90" s="756"/>
      <c r="G90" s="757"/>
      <c r="H90" s="758"/>
      <c r="I90" s="759"/>
      <c r="J90" s="759"/>
      <c r="K90" s="698"/>
      <c r="L90" s="698"/>
      <c r="M90" s="698"/>
      <c r="N90" s="698"/>
      <c r="O90" s="698"/>
      <c r="T90" s="760"/>
      <c r="U90" s="761"/>
      <c r="V90" s="762"/>
      <c r="W90" s="763"/>
      <c r="X90" s="764"/>
    </row>
    <row r="91" spans="2:24" x14ac:dyDescent="0.35">
      <c r="B91" s="749" t="s">
        <v>2032</v>
      </c>
      <c r="C91" s="750">
        <f t="shared" si="1"/>
        <v>7.6923076923076927E-2</v>
      </c>
      <c r="D91" s="751">
        <f t="shared" si="0"/>
        <v>19.230769230769234</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 t="shared" si="1"/>
        <v>7.6923076923076927E-2</v>
      </c>
      <c r="D92" s="767">
        <f t="shared" si="0"/>
        <v>19.230769230769234</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3012" t="s">
        <v>2039</v>
      </c>
      <c r="G100" s="3013"/>
      <c r="H100" s="3013"/>
      <c r="I100" s="3013"/>
      <c r="J100" s="3013"/>
      <c r="K100" s="3013"/>
      <c r="L100" s="3013"/>
      <c r="M100" s="3014"/>
      <c r="N100" s="2985" t="s">
        <v>2040</v>
      </c>
      <c r="O100" s="2986"/>
      <c r="P100" s="2986"/>
      <c r="Q100" s="2986"/>
      <c r="R100" s="2986"/>
      <c r="S100" s="2987"/>
      <c r="T100" s="779"/>
      <c r="U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19.230769230769234</v>
      </c>
      <c r="D102" s="786">
        <f>C$95</f>
        <v>0.2</v>
      </c>
      <c r="E102" s="787">
        <f>C$96</f>
        <v>0.8</v>
      </c>
      <c r="F102" s="965">
        <v>2500</v>
      </c>
      <c r="G102" s="790">
        <v>6.4000000000000003E-3</v>
      </c>
      <c r="H102" s="966">
        <v>24</v>
      </c>
      <c r="I102" s="785">
        <f>$C$42*$C$43</f>
        <v>1.8674999999999999</v>
      </c>
      <c r="J102" s="789">
        <f>$C$44*$C$45</f>
        <v>1.4249999999999998</v>
      </c>
      <c r="K102" s="790">
        <f>C$46</f>
        <v>9.1899999999999996E-2</v>
      </c>
      <c r="L102" s="787">
        <f>C$47</f>
        <v>0.95</v>
      </c>
      <c r="M102" s="791">
        <f>C$48</f>
        <v>4.5900000000000003E-3</v>
      </c>
      <c r="N102" s="789">
        <f>C102*D102*((I102-J102)/I102)*F102*K102*L102+O102</f>
        <v>253.12973046030282</v>
      </c>
      <c r="O102" s="789">
        <f>S102 / 1000000 * $C$49</f>
        <v>54.218894810009289</v>
      </c>
      <c r="P102" s="792">
        <f t="shared" ref="P102:P114" si="2">(N102/H102)*G102</f>
        <v>6.7501261456080749E-2</v>
      </c>
      <c r="Q102" s="793">
        <f t="shared" ref="Q102:Q114" si="3">C102*E102*((I102-J102)/I102)*F102*M102*L102</f>
        <v>39.738878591288248</v>
      </c>
      <c r="R102" s="794">
        <f t="shared" ref="R102:R114" si="4">C102*B$72</f>
        <v>115.3846153846154</v>
      </c>
      <c r="S102" s="795">
        <f t="shared" ref="S102:S114" si="5">C102*((I102-J102)/I102)*F102*L102</f>
        <v>10822.134692616624</v>
      </c>
      <c r="T102" s="796"/>
      <c r="U102" s="797">
        <f>B67</f>
        <v>8</v>
      </c>
      <c r="V102" s="798">
        <f>C115</f>
        <v>249.99999999999997</v>
      </c>
      <c r="W102" s="799">
        <f>U102*V102</f>
        <v>1999.9999999999998</v>
      </c>
    </row>
    <row r="103" spans="1:23" x14ac:dyDescent="0.35">
      <c r="B103" s="749" t="s">
        <v>2022</v>
      </c>
      <c r="C103" s="800">
        <f t="shared" ref="C103:C114" si="6">D81</f>
        <v>19.230769230769234</v>
      </c>
      <c r="D103" s="802">
        <f t="shared" ref="D103:D114" si="7">C$95</f>
        <v>0.2</v>
      </c>
      <c r="E103" s="803">
        <f t="shared" ref="E103:E114" si="8">C$96</f>
        <v>0.8</v>
      </c>
      <c r="F103" s="967">
        <v>11250</v>
      </c>
      <c r="G103" s="806">
        <v>2.8799999999999999E-2</v>
      </c>
      <c r="H103" s="968">
        <v>109</v>
      </c>
      <c r="I103" s="801">
        <f t="shared" ref="I103:I114" si="9">$C$42*$C$43</f>
        <v>1.8674999999999999</v>
      </c>
      <c r="J103" s="969">
        <f t="shared" ref="J103:J114" si="10">$C$44*$C$45</f>
        <v>1.4249999999999998</v>
      </c>
      <c r="K103" s="806">
        <f t="shared" ref="K103:K114" si="11">C$46</f>
        <v>9.1899999999999996E-2</v>
      </c>
      <c r="L103" s="803">
        <f t="shared" ref="L103:L114" si="12">C$47</f>
        <v>0.95</v>
      </c>
      <c r="M103" s="807">
        <f t="shared" ref="M103:M114" si="13">C$48</f>
        <v>4.5900000000000003E-3</v>
      </c>
      <c r="N103" s="805">
        <f t="shared" ref="N103:N114" si="14">C103*D103*((I103-J103)/I103)*F103*K103*L103+O103</f>
        <v>1139.0837870713628</v>
      </c>
      <c r="O103" s="805">
        <f t="shared" ref="O103:O114" si="15">S103 / 1000000 * $C$49</f>
        <v>243.98502664504181</v>
      </c>
      <c r="P103" s="808">
        <f t="shared" si="2"/>
        <v>0.30096892722619495</v>
      </c>
      <c r="Q103" s="809">
        <f t="shared" si="3"/>
        <v>178.82495366079712</v>
      </c>
      <c r="R103" s="810">
        <f t="shared" si="4"/>
        <v>115.3846153846154</v>
      </c>
      <c r="S103" s="811">
        <f t="shared" si="5"/>
        <v>48699.606116774812</v>
      </c>
      <c r="T103" s="796"/>
      <c r="U103" s="796"/>
    </row>
    <row r="104" spans="1:23" x14ac:dyDescent="0.35">
      <c r="B104" s="749" t="s">
        <v>2023</v>
      </c>
      <c r="C104" s="800">
        <f t="shared" si="6"/>
        <v>19.230769230769234</v>
      </c>
      <c r="D104" s="802">
        <f t="shared" si="7"/>
        <v>0.2</v>
      </c>
      <c r="E104" s="803">
        <f t="shared" si="8"/>
        <v>0.8</v>
      </c>
      <c r="F104" s="967">
        <v>9581</v>
      </c>
      <c r="G104" s="806">
        <v>8.3999999999999995E-3</v>
      </c>
      <c r="H104" s="968">
        <v>93</v>
      </c>
      <c r="I104" s="801">
        <f t="shared" si="9"/>
        <v>1.8674999999999999</v>
      </c>
      <c r="J104" s="969">
        <f t="shared" si="10"/>
        <v>1.4249999999999998</v>
      </c>
      <c r="K104" s="806">
        <f t="shared" si="11"/>
        <v>9.1899999999999996E-2</v>
      </c>
      <c r="L104" s="803">
        <f t="shared" si="12"/>
        <v>0.95</v>
      </c>
      <c r="M104" s="807">
        <f t="shared" si="13"/>
        <v>4.5900000000000003E-3</v>
      </c>
      <c r="N104" s="805">
        <f t="shared" si="14"/>
        <v>970.09437901606475</v>
      </c>
      <c r="O104" s="805">
        <f t="shared" si="15"/>
        <v>207.7884924698796</v>
      </c>
      <c r="P104" s="808">
        <f t="shared" si="2"/>
        <v>8.7621427782096167E-2</v>
      </c>
      <c r="Q104" s="809">
        <f t="shared" si="3"/>
        <v>152.29527831325308</v>
      </c>
      <c r="R104" s="810">
        <f t="shared" si="4"/>
        <v>115.3846153846154</v>
      </c>
      <c r="S104" s="811">
        <f t="shared" si="5"/>
        <v>41474.748995983951</v>
      </c>
      <c r="T104" s="796"/>
      <c r="U104" s="796"/>
    </row>
    <row r="105" spans="1:23" x14ac:dyDescent="0.35">
      <c r="B105" s="749" t="s">
        <v>2024</v>
      </c>
      <c r="C105" s="800">
        <f t="shared" si="6"/>
        <v>19.230769230769234</v>
      </c>
      <c r="D105" s="802">
        <f t="shared" si="7"/>
        <v>0.2</v>
      </c>
      <c r="E105" s="803">
        <f t="shared" si="8"/>
        <v>0.8</v>
      </c>
      <c r="F105" s="967">
        <v>15768</v>
      </c>
      <c r="G105" s="806">
        <v>1.84E-2</v>
      </c>
      <c r="H105" s="968">
        <v>153</v>
      </c>
      <c r="I105" s="801">
        <f t="shared" si="9"/>
        <v>1.8674999999999999</v>
      </c>
      <c r="J105" s="969">
        <f t="shared" si="10"/>
        <v>1.4249999999999998</v>
      </c>
      <c r="K105" s="806">
        <f t="shared" si="11"/>
        <v>9.1899999999999996E-2</v>
      </c>
      <c r="L105" s="803">
        <f t="shared" si="12"/>
        <v>0.95</v>
      </c>
      <c r="M105" s="807">
        <f t="shared" si="13"/>
        <v>4.5900000000000003E-3</v>
      </c>
      <c r="N105" s="805">
        <f t="shared" si="14"/>
        <v>1596.539835959222</v>
      </c>
      <c r="O105" s="805">
        <f t="shared" si="15"/>
        <v>341.96941334569061</v>
      </c>
      <c r="P105" s="808">
        <f t="shared" si="2"/>
        <v>0.19200217635065153</v>
      </c>
      <c r="Q105" s="809">
        <f t="shared" si="3"/>
        <v>250.64105505097325</v>
      </c>
      <c r="R105" s="810">
        <f t="shared" si="4"/>
        <v>115.3846153846154</v>
      </c>
      <c r="S105" s="811">
        <f t="shared" si="5"/>
        <v>68257.367933271584</v>
      </c>
      <c r="T105" s="796"/>
      <c r="U105" s="796"/>
    </row>
    <row r="106" spans="1:23" x14ac:dyDescent="0.35">
      <c r="B106" s="749" t="s">
        <v>2025</v>
      </c>
      <c r="C106" s="800">
        <f t="shared" si="6"/>
        <v>19.230769230769234</v>
      </c>
      <c r="D106" s="802">
        <f t="shared" si="7"/>
        <v>0.2</v>
      </c>
      <c r="E106" s="803">
        <f t="shared" si="8"/>
        <v>0.8</v>
      </c>
      <c r="F106" s="967">
        <v>3650</v>
      </c>
      <c r="G106" s="806">
        <v>4.3E-3</v>
      </c>
      <c r="H106" s="968">
        <v>36</v>
      </c>
      <c r="I106" s="801">
        <f t="shared" si="9"/>
        <v>1.8674999999999999</v>
      </c>
      <c r="J106" s="969">
        <f t="shared" si="10"/>
        <v>1.4249999999999998</v>
      </c>
      <c r="K106" s="806">
        <f t="shared" si="11"/>
        <v>9.1899999999999996E-2</v>
      </c>
      <c r="L106" s="803">
        <f t="shared" si="12"/>
        <v>0.95</v>
      </c>
      <c r="M106" s="807">
        <f t="shared" si="13"/>
        <v>4.5900000000000003E-3</v>
      </c>
      <c r="N106" s="805">
        <f t="shared" si="14"/>
        <v>369.56940647204215</v>
      </c>
      <c r="O106" s="805">
        <f t="shared" si="15"/>
        <v>79.159586422613557</v>
      </c>
      <c r="P106" s="808">
        <f t="shared" si="2"/>
        <v>4.4143012439716148E-2</v>
      </c>
      <c r="Q106" s="809">
        <f t="shared" si="3"/>
        <v>58.018762743280838</v>
      </c>
      <c r="R106" s="810">
        <f t="shared" si="4"/>
        <v>115.3846153846154</v>
      </c>
      <c r="S106" s="811">
        <f t="shared" si="5"/>
        <v>15800.316651220272</v>
      </c>
      <c r="T106" s="796"/>
      <c r="U106" s="796"/>
    </row>
    <row r="107" spans="1:23" x14ac:dyDescent="0.35">
      <c r="B107" s="749" t="s">
        <v>2026</v>
      </c>
      <c r="C107" s="800">
        <f t="shared" si="6"/>
        <v>19.230769230769234</v>
      </c>
      <c r="D107" s="802">
        <f t="shared" si="7"/>
        <v>0.2</v>
      </c>
      <c r="E107" s="803">
        <f t="shared" si="8"/>
        <v>0.8</v>
      </c>
      <c r="F107" s="970">
        <v>3650</v>
      </c>
      <c r="G107" s="806">
        <v>4.3E-3</v>
      </c>
      <c r="H107" s="968">
        <v>36</v>
      </c>
      <c r="I107" s="801">
        <f t="shared" si="9"/>
        <v>1.8674999999999999</v>
      </c>
      <c r="J107" s="969">
        <f t="shared" si="10"/>
        <v>1.4249999999999998</v>
      </c>
      <c r="K107" s="806">
        <f t="shared" si="11"/>
        <v>9.1899999999999996E-2</v>
      </c>
      <c r="L107" s="803">
        <f t="shared" si="12"/>
        <v>0.95</v>
      </c>
      <c r="M107" s="807">
        <f t="shared" si="13"/>
        <v>4.5900000000000003E-3</v>
      </c>
      <c r="N107" s="805">
        <f t="shared" si="14"/>
        <v>369.56940647204215</v>
      </c>
      <c r="O107" s="805">
        <f t="shared" si="15"/>
        <v>79.159586422613557</v>
      </c>
      <c r="P107" s="808">
        <f t="shared" si="2"/>
        <v>4.4143012439716148E-2</v>
      </c>
      <c r="Q107" s="809">
        <f t="shared" si="3"/>
        <v>58.018762743280838</v>
      </c>
      <c r="R107" s="810">
        <f t="shared" si="4"/>
        <v>115.3846153846154</v>
      </c>
      <c r="S107" s="811">
        <f t="shared" si="5"/>
        <v>15800.316651220272</v>
      </c>
      <c r="T107" s="796"/>
      <c r="U107" s="796"/>
    </row>
    <row r="108" spans="1:23" x14ac:dyDescent="0.35">
      <c r="B108" s="749" t="s">
        <v>2027</v>
      </c>
      <c r="C108" s="800">
        <f t="shared" si="6"/>
        <v>19.230769230769234</v>
      </c>
      <c r="D108" s="802">
        <f t="shared" si="7"/>
        <v>0.2</v>
      </c>
      <c r="E108" s="803">
        <f t="shared" si="8"/>
        <v>0.8</v>
      </c>
      <c r="F108" s="895">
        <v>2500</v>
      </c>
      <c r="G108" s="895">
        <v>6.4000000000000003E-3</v>
      </c>
      <c r="H108" s="895">
        <v>24</v>
      </c>
      <c r="I108" s="801">
        <f t="shared" si="9"/>
        <v>1.8674999999999999</v>
      </c>
      <c r="J108" s="969">
        <f t="shared" si="10"/>
        <v>1.4249999999999998</v>
      </c>
      <c r="K108" s="806">
        <f t="shared" si="11"/>
        <v>9.1899999999999996E-2</v>
      </c>
      <c r="L108" s="803">
        <f t="shared" si="12"/>
        <v>0.95</v>
      </c>
      <c r="M108" s="807">
        <f t="shared" si="13"/>
        <v>4.5900000000000003E-3</v>
      </c>
      <c r="N108" s="805">
        <f t="shared" si="14"/>
        <v>253.12973046030282</v>
      </c>
      <c r="O108" s="805">
        <f t="shared" si="15"/>
        <v>54.218894810009289</v>
      </c>
      <c r="P108" s="808">
        <f t="shared" si="2"/>
        <v>6.7501261456080749E-2</v>
      </c>
      <c r="Q108" s="809">
        <f t="shared" si="3"/>
        <v>39.738878591288248</v>
      </c>
      <c r="R108" s="810">
        <f t="shared" si="4"/>
        <v>115.3846153846154</v>
      </c>
      <c r="S108" s="811">
        <f t="shared" si="5"/>
        <v>10822.134692616624</v>
      </c>
    </row>
    <row r="109" spans="1:23" x14ac:dyDescent="0.35">
      <c r="B109" s="749" t="s">
        <v>2028</v>
      </c>
      <c r="C109" s="800">
        <f t="shared" si="6"/>
        <v>19.230769230769234</v>
      </c>
      <c r="D109" s="802">
        <f t="shared" si="7"/>
        <v>0.2</v>
      </c>
      <c r="E109" s="803">
        <f t="shared" si="8"/>
        <v>0.8</v>
      </c>
      <c r="F109" s="895">
        <v>3000</v>
      </c>
      <c r="G109" s="895">
        <v>9.5999999999999992E-3</v>
      </c>
      <c r="H109" s="895">
        <v>29</v>
      </c>
      <c r="I109" s="801">
        <f t="shared" si="9"/>
        <v>1.8674999999999999</v>
      </c>
      <c r="J109" s="969">
        <f t="shared" si="10"/>
        <v>1.4249999999999998</v>
      </c>
      <c r="K109" s="806">
        <f t="shared" si="11"/>
        <v>9.1899999999999996E-2</v>
      </c>
      <c r="L109" s="803">
        <f t="shared" si="12"/>
        <v>0.95</v>
      </c>
      <c r="M109" s="807">
        <f t="shared" si="13"/>
        <v>4.5900000000000003E-3</v>
      </c>
      <c r="N109" s="805">
        <f t="shared" si="14"/>
        <v>303.75567655236341</v>
      </c>
      <c r="O109" s="805">
        <f t="shared" si="15"/>
        <v>65.062673772011152</v>
      </c>
      <c r="P109" s="808">
        <f t="shared" si="2"/>
        <v>0.10055360327250651</v>
      </c>
      <c r="Q109" s="809">
        <f t="shared" si="3"/>
        <v>47.686654309545901</v>
      </c>
      <c r="R109" s="810">
        <f t="shared" si="4"/>
        <v>115.3846153846154</v>
      </c>
      <c r="S109" s="811">
        <f t="shared" si="5"/>
        <v>12986.56163113995</v>
      </c>
    </row>
    <row r="110" spans="1:23" x14ac:dyDescent="0.35">
      <c r="B110" s="749" t="s">
        <v>2029</v>
      </c>
      <c r="C110" s="800">
        <f t="shared" si="6"/>
        <v>19.230769230769234</v>
      </c>
      <c r="D110" s="802">
        <f t="shared" si="7"/>
        <v>0.2</v>
      </c>
      <c r="E110" s="803">
        <f t="shared" si="8"/>
        <v>0.8</v>
      </c>
      <c r="F110" s="895">
        <v>9000</v>
      </c>
      <c r="G110" s="895">
        <v>2.8799999999999999E-2</v>
      </c>
      <c r="H110" s="895">
        <v>88</v>
      </c>
      <c r="I110" s="801">
        <f t="shared" si="9"/>
        <v>1.8674999999999999</v>
      </c>
      <c r="J110" s="969">
        <f t="shared" si="10"/>
        <v>1.4249999999999998</v>
      </c>
      <c r="K110" s="806">
        <f t="shared" si="11"/>
        <v>9.1899999999999996E-2</v>
      </c>
      <c r="L110" s="803">
        <f t="shared" si="12"/>
        <v>0.95</v>
      </c>
      <c r="M110" s="807">
        <f t="shared" si="13"/>
        <v>4.5900000000000003E-3</v>
      </c>
      <c r="N110" s="805">
        <f t="shared" si="14"/>
        <v>911.26702965709023</v>
      </c>
      <c r="O110" s="805">
        <f t="shared" si="15"/>
        <v>195.18802131603343</v>
      </c>
      <c r="P110" s="808">
        <f t="shared" si="2"/>
        <v>0.29823284606959316</v>
      </c>
      <c r="Q110" s="809">
        <f t="shared" si="3"/>
        <v>143.0599629286377</v>
      </c>
      <c r="R110" s="810">
        <f t="shared" si="4"/>
        <v>115.3846153846154</v>
      </c>
      <c r="S110" s="811">
        <f t="shared" si="5"/>
        <v>38959.68489341985</v>
      </c>
    </row>
    <row r="111" spans="1:23" x14ac:dyDescent="0.35">
      <c r="B111" s="749" t="s">
        <v>2030</v>
      </c>
      <c r="C111" s="800">
        <f t="shared" si="6"/>
        <v>19.230769230769234</v>
      </c>
      <c r="D111" s="802">
        <f t="shared" si="7"/>
        <v>0.2</v>
      </c>
      <c r="E111" s="803">
        <f t="shared" si="8"/>
        <v>0.8</v>
      </c>
      <c r="F111" s="895">
        <v>16425</v>
      </c>
      <c r="G111" s="895">
        <v>1.44E-2</v>
      </c>
      <c r="H111" s="895">
        <v>160</v>
      </c>
      <c r="I111" s="801">
        <f t="shared" si="9"/>
        <v>1.8674999999999999</v>
      </c>
      <c r="J111" s="969">
        <f t="shared" si="10"/>
        <v>1.4249999999999998</v>
      </c>
      <c r="K111" s="806">
        <f t="shared" si="11"/>
        <v>9.1899999999999996E-2</v>
      </c>
      <c r="L111" s="803">
        <f t="shared" si="12"/>
        <v>0.95</v>
      </c>
      <c r="M111" s="807">
        <f t="shared" si="13"/>
        <v>4.5900000000000003E-3</v>
      </c>
      <c r="N111" s="805">
        <f t="shared" si="14"/>
        <v>1663.0623291241898</v>
      </c>
      <c r="O111" s="805">
        <f t="shared" si="15"/>
        <v>356.21813890176105</v>
      </c>
      <c r="P111" s="808">
        <f t="shared" si="2"/>
        <v>0.14967560962117707</v>
      </c>
      <c r="Q111" s="809">
        <f t="shared" si="3"/>
        <v>261.0844323447638</v>
      </c>
      <c r="R111" s="810">
        <f t="shared" si="4"/>
        <v>115.3846153846154</v>
      </c>
      <c r="S111" s="811">
        <f t="shared" si="5"/>
        <v>71101.424930491223</v>
      </c>
    </row>
    <row r="112" spans="1:23" x14ac:dyDescent="0.35">
      <c r="B112" s="749" t="s">
        <v>2031</v>
      </c>
      <c r="C112" s="800">
        <f t="shared" si="6"/>
        <v>19.230769230769234</v>
      </c>
      <c r="D112" s="802">
        <f t="shared" si="7"/>
        <v>0.2</v>
      </c>
      <c r="E112" s="803">
        <f t="shared" si="8"/>
        <v>0.8</v>
      </c>
      <c r="F112" s="895">
        <v>1825</v>
      </c>
      <c r="G112" s="895">
        <v>5.9999999999999995E-4</v>
      </c>
      <c r="H112" s="895">
        <v>18</v>
      </c>
      <c r="I112" s="801">
        <f t="shared" si="9"/>
        <v>1.8674999999999999</v>
      </c>
      <c r="J112" s="969">
        <f t="shared" si="10"/>
        <v>1.4249999999999998</v>
      </c>
      <c r="K112" s="806">
        <f t="shared" si="11"/>
        <v>9.1899999999999996E-2</v>
      </c>
      <c r="L112" s="803">
        <f t="shared" si="12"/>
        <v>0.95</v>
      </c>
      <c r="M112" s="807">
        <f t="shared" si="13"/>
        <v>4.5900000000000003E-3</v>
      </c>
      <c r="N112" s="805">
        <f t="shared" si="14"/>
        <v>184.78470323602107</v>
      </c>
      <c r="O112" s="805">
        <f t="shared" si="15"/>
        <v>39.579793211306779</v>
      </c>
      <c r="P112" s="808">
        <f t="shared" si="2"/>
        <v>6.1594901078673688E-3</v>
      </c>
      <c r="Q112" s="809">
        <f t="shared" si="3"/>
        <v>29.009381371640419</v>
      </c>
      <c r="R112" s="810">
        <f t="shared" si="4"/>
        <v>115.3846153846154</v>
      </c>
      <c r="S112" s="811">
        <f t="shared" si="5"/>
        <v>7900.1583256101358</v>
      </c>
    </row>
    <row r="113" spans="2:19" x14ac:dyDescent="0.35">
      <c r="B113" s="749" t="s">
        <v>2032</v>
      </c>
      <c r="C113" s="800">
        <f t="shared" si="6"/>
        <v>19.230769230769234</v>
      </c>
      <c r="D113" s="802">
        <f t="shared" si="7"/>
        <v>0.2</v>
      </c>
      <c r="E113" s="803">
        <f t="shared" si="8"/>
        <v>0.8</v>
      </c>
      <c r="F113" s="895">
        <v>1278</v>
      </c>
      <c r="G113" s="895">
        <v>4.0000000000000002E-4</v>
      </c>
      <c r="H113" s="895">
        <v>12</v>
      </c>
      <c r="I113" s="801">
        <f t="shared" si="9"/>
        <v>1.8674999999999999</v>
      </c>
      <c r="J113" s="969">
        <f t="shared" si="10"/>
        <v>1.4249999999999998</v>
      </c>
      <c r="K113" s="806">
        <f t="shared" si="11"/>
        <v>9.1899999999999996E-2</v>
      </c>
      <c r="L113" s="803">
        <f t="shared" si="12"/>
        <v>0.95</v>
      </c>
      <c r="M113" s="807">
        <f t="shared" si="13"/>
        <v>4.5900000000000003E-3</v>
      </c>
      <c r="N113" s="805">
        <f t="shared" si="14"/>
        <v>129.39991821130681</v>
      </c>
      <c r="O113" s="805">
        <f t="shared" si="15"/>
        <v>27.716699026876746</v>
      </c>
      <c r="P113" s="808">
        <f t="shared" si="2"/>
        <v>4.3133306070435602E-3</v>
      </c>
      <c r="Q113" s="809">
        <f t="shared" si="3"/>
        <v>20.314514735866556</v>
      </c>
      <c r="R113" s="810">
        <f t="shared" si="4"/>
        <v>115.3846153846154</v>
      </c>
      <c r="S113" s="811">
        <f t="shared" si="5"/>
        <v>5532.2752548656181</v>
      </c>
    </row>
    <row r="114" spans="2:19" ht="15" thickBot="1" x14ac:dyDescent="0.4">
      <c r="B114" s="765" t="s">
        <v>2033</v>
      </c>
      <c r="C114" s="798">
        <f t="shared" si="6"/>
        <v>19.230769230769234</v>
      </c>
      <c r="D114" s="813">
        <f t="shared" si="7"/>
        <v>0.2</v>
      </c>
      <c r="E114" s="814">
        <f t="shared" si="8"/>
        <v>0.8</v>
      </c>
      <c r="F114" s="744">
        <v>5000</v>
      </c>
      <c r="G114" s="744">
        <v>1.2800000000000001E-2</v>
      </c>
      <c r="H114" s="744">
        <v>49</v>
      </c>
      <c r="I114" s="812">
        <f t="shared" si="9"/>
        <v>1.8674999999999999</v>
      </c>
      <c r="J114" s="971">
        <f t="shared" si="10"/>
        <v>1.4249999999999998</v>
      </c>
      <c r="K114" s="817">
        <f t="shared" si="11"/>
        <v>9.1899999999999996E-2</v>
      </c>
      <c r="L114" s="814">
        <f t="shared" si="12"/>
        <v>0.95</v>
      </c>
      <c r="M114" s="818">
        <f t="shared" si="13"/>
        <v>4.5900000000000003E-3</v>
      </c>
      <c r="N114" s="816">
        <f t="shared" si="14"/>
        <v>506.25946092060565</v>
      </c>
      <c r="O114" s="816">
        <f t="shared" si="15"/>
        <v>108.43778962001858</v>
      </c>
      <c r="P114" s="819">
        <f t="shared" si="2"/>
        <v>0.13224736938334189</v>
      </c>
      <c r="Q114" s="820">
        <f t="shared" si="3"/>
        <v>79.477757182576497</v>
      </c>
      <c r="R114" s="821">
        <f t="shared" si="4"/>
        <v>115.3846153846154</v>
      </c>
      <c r="S114" s="822">
        <f t="shared" si="5"/>
        <v>21644.269385233249</v>
      </c>
    </row>
    <row r="115" spans="2:19" ht="15" thickBot="1" x14ac:dyDescent="0.4">
      <c r="B115" s="823" t="s">
        <v>284</v>
      </c>
      <c r="C115" s="824">
        <f>SUM(C102:C114)</f>
        <v>249.99999999999997</v>
      </c>
      <c r="M115" s="825" t="s">
        <v>2049</v>
      </c>
      <c r="N115" s="826">
        <f>SUM(N102:N114)</f>
        <v>8649.6453936129165</v>
      </c>
      <c r="O115" s="826">
        <f>SUM(O102:O114)</f>
        <v>1852.7030107738653</v>
      </c>
      <c r="P115" s="826">
        <f t="shared" ref="P115:S115" si="16">SUM(P102:P114)</f>
        <v>1.4950633282120662</v>
      </c>
      <c r="Q115" s="826">
        <f t="shared" si="16"/>
        <v>1357.9092725671926</v>
      </c>
      <c r="R115" s="826">
        <f t="shared" si="16"/>
        <v>1500.0000000000005</v>
      </c>
      <c r="S115" s="827">
        <f t="shared" si="16"/>
        <v>369801.00015446416</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542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2114</v>
      </c>
    </row>
    <row r="3" spans="1:6" ht="21" x14ac:dyDescent="0.5">
      <c r="A3" s="704" t="s">
        <v>2115</v>
      </c>
    </row>
    <row r="4" spans="1:6" ht="15" thickBot="1" x14ac:dyDescent="0.4"/>
    <row r="5" spans="1:6" x14ac:dyDescent="0.35">
      <c r="B5" s="678" t="s">
        <v>1947</v>
      </c>
      <c r="C5" s="679">
        <f>B77</f>
        <v>25</v>
      </c>
      <c r="D5" s="680"/>
      <c r="E5" s="680"/>
      <c r="F5" s="680"/>
    </row>
    <row r="6" spans="1:6" x14ac:dyDescent="0.35">
      <c r="B6" s="681" t="s">
        <v>1948</v>
      </c>
      <c r="C6" s="682">
        <f>C115</f>
        <v>249.99999999999994</v>
      </c>
      <c r="D6" s="683" t="s">
        <v>2116</v>
      </c>
      <c r="F6" s="680"/>
    </row>
    <row r="7" spans="1:6" x14ac:dyDescent="0.35">
      <c r="B7" s="681" t="s">
        <v>1950</v>
      </c>
      <c r="C7" s="684">
        <f>N115</f>
        <v>8786.3722669313665</v>
      </c>
      <c r="D7" s="683"/>
      <c r="E7" s="683"/>
      <c r="F7" s="683"/>
    </row>
    <row r="8" spans="1:6" x14ac:dyDescent="0.35">
      <c r="B8" s="681" t="s">
        <v>1951</v>
      </c>
      <c r="C8" s="682">
        <f>P115</f>
        <v>1.2955999477554145</v>
      </c>
      <c r="D8" s="683"/>
      <c r="E8" s="683"/>
      <c r="F8" s="683"/>
    </row>
    <row r="9" spans="1:6" x14ac:dyDescent="0.35">
      <c r="B9" s="681" t="s">
        <v>1952</v>
      </c>
      <c r="C9" s="684">
        <f>Q115</f>
        <v>1379.3740472070106</v>
      </c>
      <c r="D9" s="683"/>
      <c r="E9" s="683"/>
      <c r="F9" s="683"/>
    </row>
    <row r="10" spans="1:6" x14ac:dyDescent="0.35">
      <c r="B10" s="681" t="s">
        <v>1953</v>
      </c>
      <c r="C10" s="685">
        <f>R115</f>
        <v>4500</v>
      </c>
      <c r="D10" s="686"/>
      <c r="E10" s="686"/>
      <c r="F10" s="686"/>
    </row>
    <row r="11" spans="1:6" x14ac:dyDescent="0.35">
      <c r="B11" s="681" t="s">
        <v>1954</v>
      </c>
      <c r="C11" s="685">
        <f>C10*C95</f>
        <v>900</v>
      </c>
      <c r="D11" s="686"/>
      <c r="E11" s="686"/>
      <c r="F11" s="686"/>
    </row>
    <row r="12" spans="1:6" x14ac:dyDescent="0.35">
      <c r="B12" s="681" t="s">
        <v>1955</v>
      </c>
      <c r="C12" s="685">
        <f>C10*C96</f>
        <v>3600</v>
      </c>
      <c r="D12" s="686"/>
      <c r="E12" s="686"/>
      <c r="F12" s="686"/>
    </row>
    <row r="13" spans="1:6" x14ac:dyDescent="0.35">
      <c r="B13" s="681" t="s">
        <v>61</v>
      </c>
      <c r="C13" s="687">
        <f>(C7/C6)</f>
        <v>35.145489067725471</v>
      </c>
      <c r="D13" s="686" t="s">
        <v>1956</v>
      </c>
      <c r="E13" s="686"/>
      <c r="F13" s="686"/>
    </row>
    <row r="14" spans="1:6" x14ac:dyDescent="0.35">
      <c r="B14" s="681" t="s">
        <v>62</v>
      </c>
      <c r="C14" s="687">
        <f>(C8/C6)</f>
        <v>5.1823997910216595E-3</v>
      </c>
      <c r="D14" s="686" t="s">
        <v>1956</v>
      </c>
      <c r="E14" s="686"/>
      <c r="F14" s="686"/>
    </row>
    <row r="15" spans="1:6" x14ac:dyDescent="0.35">
      <c r="B15" s="681" t="s">
        <v>63</v>
      </c>
      <c r="C15" s="687">
        <f>(C9/C6)</f>
        <v>5.5174961888280434</v>
      </c>
      <c r="D15" s="686" t="s">
        <v>1956</v>
      </c>
      <c r="E15" s="686"/>
      <c r="F15" s="686"/>
    </row>
    <row r="16" spans="1:6" x14ac:dyDescent="0.35">
      <c r="B16" s="681" t="s">
        <v>1957</v>
      </c>
      <c r="C16" s="688">
        <f>C11/C7</f>
        <v>0.10243135308382788</v>
      </c>
      <c r="D16" s="686"/>
      <c r="E16" s="686"/>
      <c r="F16" s="686"/>
    </row>
    <row r="17" spans="1:6" x14ac:dyDescent="0.35">
      <c r="B17" s="681" t="s">
        <v>1958</v>
      </c>
      <c r="C17" s="689">
        <f>C12/C9</f>
        <v>2.6098794647393619</v>
      </c>
      <c r="D17" s="690"/>
      <c r="E17" s="690"/>
      <c r="F17" s="690"/>
    </row>
    <row r="18" spans="1:6" x14ac:dyDescent="0.35">
      <c r="B18" s="681" t="s">
        <v>1959</v>
      </c>
      <c r="C18" s="691">
        <f>S115</f>
        <v>375646.52701715962</v>
      </c>
    </row>
    <row r="19" spans="1:6" ht="15" thickBot="1" x14ac:dyDescent="0.4">
      <c r="B19" s="692" t="s">
        <v>1960</v>
      </c>
      <c r="C19" s="693">
        <f>W102</f>
        <v>1999.9999999999995</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9313.5546029472498</v>
      </c>
      <c r="D24" s="683"/>
      <c r="E24" s="683"/>
      <c r="F24" s="683"/>
    </row>
    <row r="25" spans="1:6" x14ac:dyDescent="0.35">
      <c r="B25" s="681" t="s">
        <v>1966</v>
      </c>
      <c r="C25" s="684">
        <f>C22*C8</f>
        <v>1.3733359446207394</v>
      </c>
      <c r="D25" s="700"/>
      <c r="E25" s="700"/>
      <c r="F25" s="683"/>
    </row>
    <row r="26" spans="1:6" x14ac:dyDescent="0.35">
      <c r="B26" s="681" t="s">
        <v>1967</v>
      </c>
      <c r="C26" s="684">
        <f>C23*C9</f>
        <v>1379.3740472070106</v>
      </c>
      <c r="D26" s="683"/>
      <c r="E26" s="701"/>
      <c r="F26" s="683"/>
    </row>
    <row r="27" spans="1:6" x14ac:dyDescent="0.35">
      <c r="B27" s="681" t="s">
        <v>1968</v>
      </c>
      <c r="C27" s="688">
        <f>C11/C24</f>
        <v>9.6633351965875344E-2</v>
      </c>
      <c r="D27" s="683"/>
      <c r="E27" s="701"/>
      <c r="F27" s="683"/>
    </row>
    <row r="28" spans="1:6" x14ac:dyDescent="0.35">
      <c r="B28" s="681" t="s">
        <v>1969</v>
      </c>
      <c r="C28" s="689">
        <f>C12/C26</f>
        <v>2.6098794647393619</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351.45489067725464</v>
      </c>
      <c r="D33" s="683"/>
      <c r="E33" s="683"/>
      <c r="F33" s="683"/>
    </row>
    <row r="34" spans="1:17" x14ac:dyDescent="0.35">
      <c r="B34" s="681" t="s">
        <v>1973</v>
      </c>
      <c r="C34" s="684">
        <f>C9/C5</f>
        <v>55.174961888280421</v>
      </c>
      <c r="D34" s="706"/>
      <c r="E34" s="706"/>
      <c r="F34" s="706"/>
    </row>
    <row r="35" spans="1:17" x14ac:dyDescent="0.35">
      <c r="B35" s="681" t="s">
        <v>1974</v>
      </c>
      <c r="C35" s="707">
        <f>C10/C5</f>
        <v>180</v>
      </c>
    </row>
    <row r="36" spans="1:17" x14ac:dyDescent="0.35">
      <c r="B36" s="681" t="s">
        <v>1975</v>
      </c>
      <c r="C36" s="708">
        <f>C18/C5</f>
        <v>15025.861080686385</v>
      </c>
    </row>
    <row r="37" spans="1:17" ht="15" thickBot="1" x14ac:dyDescent="0.4">
      <c r="B37" s="692" t="s">
        <v>1976</v>
      </c>
      <c r="C37" s="709">
        <f>C19/C5</f>
        <v>79.999999999999986</v>
      </c>
    </row>
    <row r="38" spans="1:17" x14ac:dyDescent="0.35">
      <c r="H38" s="698"/>
      <c r="I38" s="698"/>
      <c r="J38" s="698"/>
    </row>
    <row r="39" spans="1:17" ht="21" x14ac:dyDescent="0.5">
      <c r="A39" s="704" t="s">
        <v>1977</v>
      </c>
    </row>
    <row r="40" spans="1:17" ht="30.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2.25</v>
      </c>
      <c r="D42" s="714" t="s">
        <v>2119</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1.5</v>
      </c>
      <c r="D44" s="698" t="s">
        <v>2123</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681" t="s">
        <v>303</v>
      </c>
      <c r="C47" s="720">
        <v>0.95</v>
      </c>
      <c r="D47" s="698"/>
      <c r="E47" s="698"/>
      <c r="F47" s="698"/>
      <c r="G47" s="698"/>
      <c r="J47" s="873" t="s">
        <v>2129</v>
      </c>
      <c r="K47" s="2496"/>
      <c r="L47" s="2496"/>
      <c r="M47" s="2496"/>
      <c r="N47" s="2496"/>
      <c r="O47" s="2496"/>
      <c r="P47" s="2496"/>
      <c r="Q47" s="874"/>
    </row>
    <row r="48" spans="1:17" x14ac:dyDescent="0.35">
      <c r="B48" s="722" t="s">
        <v>1987</v>
      </c>
      <c r="C48" s="2513">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4">
        <v>5010</v>
      </c>
      <c r="D49" s="2496"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734">
        <v>8</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18</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f>1/11</f>
        <v>9.0909090909090912E-2</v>
      </c>
      <c r="D80" s="751">
        <f t="shared" ref="D80:D92" si="0">C80*D$77</f>
        <v>22.727272727272727</v>
      </c>
      <c r="E80" s="698"/>
      <c r="F80" s="698"/>
      <c r="G80" s="698"/>
      <c r="H80" s="698"/>
      <c r="I80" s="698"/>
      <c r="J80" s="698"/>
      <c r="K80" s="698"/>
      <c r="L80" s="698"/>
      <c r="M80" s="698"/>
      <c r="N80" s="698"/>
      <c r="O80" s="698"/>
    </row>
    <row r="81" spans="2:24" ht="18.5" x14ac:dyDescent="0.35">
      <c r="B81" s="749" t="s">
        <v>2022</v>
      </c>
      <c r="C81" s="750">
        <f t="shared" ref="C81:C86" si="1">1/11</f>
        <v>9.0909090909090912E-2</v>
      </c>
      <c r="D81" s="751">
        <f t="shared" si="0"/>
        <v>22.727272727272727</v>
      </c>
      <c r="E81" s="752"/>
      <c r="F81" s="752"/>
      <c r="G81" s="752"/>
      <c r="H81" s="753"/>
      <c r="I81" s="753"/>
      <c r="J81" s="753"/>
      <c r="K81" s="698"/>
      <c r="L81" s="698"/>
      <c r="M81" s="698"/>
      <c r="N81" s="698"/>
      <c r="O81" s="698"/>
      <c r="T81" s="753"/>
      <c r="U81" s="753"/>
      <c r="V81" s="753"/>
      <c r="W81" s="753"/>
      <c r="X81" s="753"/>
    </row>
    <row r="82" spans="2:24" x14ac:dyDescent="0.35">
      <c r="B82" s="749" t="s">
        <v>2023</v>
      </c>
      <c r="C82" s="750">
        <f t="shared" si="1"/>
        <v>9.0909090909090912E-2</v>
      </c>
      <c r="D82" s="751">
        <f t="shared" si="0"/>
        <v>22.727272727272727</v>
      </c>
      <c r="E82" s="712"/>
      <c r="F82" s="972"/>
      <c r="G82" s="712"/>
      <c r="H82" s="754"/>
      <c r="I82" s="712"/>
      <c r="J82" s="754"/>
      <c r="K82" s="698"/>
      <c r="L82" s="698"/>
      <c r="M82" s="698"/>
      <c r="N82" s="698"/>
      <c r="O82" s="698"/>
      <c r="T82" s="753"/>
      <c r="U82" s="753"/>
      <c r="V82" s="753"/>
      <c r="W82" s="753"/>
      <c r="X82" s="753"/>
    </row>
    <row r="83" spans="2:24" x14ac:dyDescent="0.35">
      <c r="B83" s="749" t="s">
        <v>2024</v>
      </c>
      <c r="C83" s="750">
        <f t="shared" si="1"/>
        <v>9.0909090909090912E-2</v>
      </c>
      <c r="D83" s="751">
        <f t="shared" si="0"/>
        <v>22.727272727272727</v>
      </c>
      <c r="E83" s="755"/>
      <c r="F83" s="973"/>
      <c r="G83" s="757"/>
      <c r="H83" s="758"/>
      <c r="I83" s="731"/>
      <c r="J83" s="759"/>
      <c r="K83" s="698"/>
      <c r="L83" s="698"/>
      <c r="M83" s="698"/>
      <c r="N83" s="698"/>
      <c r="O83" s="698"/>
      <c r="T83" s="760"/>
      <c r="U83" s="761"/>
      <c r="V83" s="762"/>
      <c r="W83" s="763"/>
      <c r="X83" s="764"/>
    </row>
    <row r="84" spans="2:24" x14ac:dyDescent="0.35">
      <c r="B84" s="749" t="s">
        <v>2025</v>
      </c>
      <c r="C84" s="750">
        <f t="shared" si="1"/>
        <v>9.0909090909090912E-2</v>
      </c>
      <c r="D84" s="751">
        <f t="shared" si="0"/>
        <v>22.727272727272727</v>
      </c>
      <c r="E84" s="755"/>
      <c r="F84" s="756"/>
      <c r="G84" s="757"/>
      <c r="H84" s="758"/>
      <c r="I84" s="759"/>
      <c r="J84" s="759"/>
      <c r="K84" s="698"/>
      <c r="L84" s="698"/>
      <c r="M84" s="698"/>
      <c r="N84" s="698"/>
      <c r="O84" s="698"/>
      <c r="T84" s="760"/>
      <c r="U84" s="761"/>
      <c r="V84" s="762"/>
      <c r="W84" s="763"/>
      <c r="X84" s="764"/>
    </row>
    <row r="85" spans="2:24" x14ac:dyDescent="0.35">
      <c r="B85" s="749" t="s">
        <v>2026</v>
      </c>
      <c r="C85" s="750">
        <f t="shared" si="1"/>
        <v>9.0909090909090912E-2</v>
      </c>
      <c r="D85" s="751">
        <f t="shared" si="0"/>
        <v>22.727272727272727</v>
      </c>
      <c r="E85" s="755"/>
      <c r="F85" s="756"/>
      <c r="G85" s="757"/>
      <c r="H85" s="758"/>
      <c r="I85" s="759"/>
      <c r="J85" s="759"/>
      <c r="K85" s="698"/>
      <c r="L85" s="698"/>
      <c r="M85" s="698"/>
      <c r="N85" s="698"/>
      <c r="O85" s="698"/>
      <c r="T85" s="760"/>
      <c r="U85" s="761"/>
      <c r="V85" s="762"/>
      <c r="W85" s="763"/>
      <c r="X85" s="764"/>
    </row>
    <row r="86" spans="2:24" x14ac:dyDescent="0.35">
      <c r="B86" s="749" t="s">
        <v>2027</v>
      </c>
      <c r="C86" s="750">
        <f t="shared" si="1"/>
        <v>9.0909090909090912E-2</v>
      </c>
      <c r="D86" s="751">
        <f t="shared" si="0"/>
        <v>22.727272727272727</v>
      </c>
      <c r="E86" s="755"/>
      <c r="F86" s="756"/>
      <c r="G86" s="757"/>
      <c r="H86" s="758"/>
      <c r="I86" s="759"/>
      <c r="J86" s="759"/>
      <c r="K86" s="698"/>
      <c r="L86" s="698"/>
      <c r="M86" s="698"/>
      <c r="N86" s="698"/>
      <c r="O86" s="698"/>
      <c r="T86" s="760"/>
      <c r="U86" s="761"/>
      <c r="V86" s="762"/>
      <c r="W86" s="763"/>
      <c r="X86" s="764"/>
    </row>
    <row r="87" spans="2:24" x14ac:dyDescent="0.35">
      <c r="B87" s="749" t="s">
        <v>2028</v>
      </c>
      <c r="C87" s="750">
        <v>0</v>
      </c>
      <c r="D87" s="751">
        <f t="shared" si="0"/>
        <v>0</v>
      </c>
      <c r="E87" s="755"/>
      <c r="F87" s="756"/>
      <c r="G87" s="757"/>
      <c r="H87" s="758"/>
      <c r="I87" s="759"/>
      <c r="J87" s="759"/>
      <c r="K87" s="698"/>
      <c r="L87" s="698"/>
      <c r="M87" s="698"/>
      <c r="N87" s="698"/>
      <c r="O87" s="698"/>
      <c r="T87" s="760"/>
      <c r="U87" s="761"/>
      <c r="V87" s="762"/>
      <c r="W87" s="763"/>
      <c r="X87" s="764"/>
    </row>
    <row r="88" spans="2:24" x14ac:dyDescent="0.35">
      <c r="B88" s="749" t="s">
        <v>2029</v>
      </c>
      <c r="C88" s="750">
        <v>0</v>
      </c>
      <c r="D88" s="751">
        <f t="shared" si="0"/>
        <v>0</v>
      </c>
      <c r="E88" s="755"/>
      <c r="F88" s="756"/>
      <c r="G88" s="757"/>
      <c r="H88" s="758"/>
      <c r="I88" s="759"/>
      <c r="J88" s="759"/>
      <c r="K88" s="698"/>
      <c r="L88" s="698"/>
      <c r="M88" s="698"/>
      <c r="N88" s="698"/>
      <c r="O88" s="698"/>
      <c r="T88" s="760"/>
      <c r="U88" s="761"/>
      <c r="V88" s="762"/>
      <c r="W88" s="763"/>
      <c r="X88" s="764"/>
    </row>
    <row r="89" spans="2:24" x14ac:dyDescent="0.35">
      <c r="B89" s="749" t="s">
        <v>2030</v>
      </c>
      <c r="C89" s="750">
        <f>1/11</f>
        <v>9.0909090909090912E-2</v>
      </c>
      <c r="D89" s="751">
        <f t="shared" si="0"/>
        <v>22.727272727272727</v>
      </c>
      <c r="E89" s="755"/>
      <c r="F89" s="756"/>
      <c r="G89" s="757"/>
      <c r="H89" s="758"/>
      <c r="I89" s="759"/>
      <c r="J89" s="759"/>
      <c r="K89" s="698"/>
      <c r="L89" s="698"/>
      <c r="M89" s="698"/>
      <c r="N89" s="698"/>
      <c r="O89" s="698"/>
      <c r="T89" s="760"/>
      <c r="U89" s="761"/>
      <c r="V89" s="762"/>
      <c r="W89" s="763"/>
      <c r="X89" s="764"/>
    </row>
    <row r="90" spans="2:24" x14ac:dyDescent="0.35">
      <c r="B90" s="749" t="s">
        <v>2031</v>
      </c>
      <c r="C90" s="750">
        <f t="shared" ref="C90:C92" si="2">1/11</f>
        <v>9.0909090909090912E-2</v>
      </c>
      <c r="D90" s="751">
        <f t="shared" si="0"/>
        <v>22.727272727272727</v>
      </c>
      <c r="E90" s="755"/>
      <c r="F90" s="756"/>
      <c r="G90" s="757"/>
      <c r="H90" s="758"/>
      <c r="I90" s="759"/>
      <c r="J90" s="759"/>
      <c r="K90" s="698"/>
      <c r="L90" s="698"/>
      <c r="M90" s="698"/>
      <c r="N90" s="698"/>
      <c r="O90" s="698"/>
      <c r="T90" s="760"/>
      <c r="U90" s="761"/>
      <c r="V90" s="762"/>
      <c r="W90" s="763"/>
      <c r="X90" s="764"/>
    </row>
    <row r="91" spans="2:24" x14ac:dyDescent="0.35">
      <c r="B91" s="749" t="s">
        <v>2032</v>
      </c>
      <c r="C91" s="750">
        <f t="shared" si="2"/>
        <v>9.0909090909090912E-2</v>
      </c>
      <c r="D91" s="751">
        <f t="shared" si="0"/>
        <v>22.727272727272727</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 t="shared" si="2"/>
        <v>9.0909090909090912E-2</v>
      </c>
      <c r="D92" s="767">
        <f t="shared" si="0"/>
        <v>22.727272727272727</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3012" t="s">
        <v>2039</v>
      </c>
      <c r="G100" s="3013"/>
      <c r="H100" s="3013"/>
      <c r="I100" s="3013"/>
      <c r="J100" s="3013"/>
      <c r="K100" s="3013"/>
      <c r="L100" s="3013"/>
      <c r="M100" s="3014"/>
      <c r="N100" s="2985" t="s">
        <v>2040</v>
      </c>
      <c r="O100" s="2986"/>
      <c r="P100" s="2986"/>
      <c r="Q100" s="2986"/>
      <c r="R100" s="2986"/>
      <c r="S100" s="2987"/>
      <c r="T100" s="779"/>
      <c r="U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22.727272727272727</v>
      </c>
      <c r="D102" s="786">
        <f>C$95</f>
        <v>0.2</v>
      </c>
      <c r="E102" s="787">
        <f>C$96</f>
        <v>0.8</v>
      </c>
      <c r="F102" s="965">
        <v>2500</v>
      </c>
      <c r="G102" s="790">
        <v>6.4000000000000003E-3</v>
      </c>
      <c r="H102" s="966">
        <v>24</v>
      </c>
      <c r="I102" s="785">
        <f>$C$42*$C$43</f>
        <v>1.8674999999999999</v>
      </c>
      <c r="J102" s="789">
        <f>$C$44*$C$45</f>
        <v>1.4249999999999998</v>
      </c>
      <c r="K102" s="790">
        <f>C$46</f>
        <v>9.1899999999999996E-2</v>
      </c>
      <c r="L102" s="787">
        <f>C$47</f>
        <v>0.95</v>
      </c>
      <c r="M102" s="791">
        <f>C$48</f>
        <v>4.5900000000000003E-3</v>
      </c>
      <c r="N102" s="789">
        <f>C102*D102*((I102-J102)/I102)*F102*K102*L102+O102</f>
        <v>299.15331781672154</v>
      </c>
      <c r="O102" s="789">
        <f>S102 / 1000000 * $C$49</f>
        <v>64.076875684556413</v>
      </c>
      <c r="P102" s="792">
        <f t="shared" ref="P102:P114" si="3">(N102/H102)*G102</f>
        <v>7.9774218084459073E-2</v>
      </c>
      <c r="Q102" s="793">
        <f t="shared" ref="Q102:Q114" si="4">C102*E102*((I102-J102)/I102)*F102*M102*L102</f>
        <v>46.964129244249747</v>
      </c>
      <c r="R102" s="794">
        <f t="shared" ref="R102:R114" si="5">C102*B$72</f>
        <v>409.09090909090907</v>
      </c>
      <c r="S102" s="795">
        <f t="shared" ref="S102:S114" si="6">C102*((I102-J102)/I102)*F102*L102</f>
        <v>12789.795545819645</v>
      </c>
      <c r="T102" s="796"/>
      <c r="U102" s="797">
        <f>B67</f>
        <v>8</v>
      </c>
      <c r="V102" s="798">
        <f>C115</f>
        <v>249.99999999999994</v>
      </c>
      <c r="W102" s="799">
        <f>U102*V102</f>
        <v>1999.9999999999995</v>
      </c>
    </row>
    <row r="103" spans="1:23" x14ac:dyDescent="0.35">
      <c r="B103" s="749" t="s">
        <v>2022</v>
      </c>
      <c r="C103" s="800">
        <f t="shared" ref="C103:C114" si="7">D81</f>
        <v>22.727272727272727</v>
      </c>
      <c r="D103" s="802">
        <f t="shared" ref="D103:D114" si="8">C$95</f>
        <v>0.2</v>
      </c>
      <c r="E103" s="803">
        <f t="shared" ref="E103:E114" si="9">C$96</f>
        <v>0.8</v>
      </c>
      <c r="F103" s="967">
        <v>11250</v>
      </c>
      <c r="G103" s="806">
        <v>2.8799999999999999E-2</v>
      </c>
      <c r="H103" s="968">
        <v>109</v>
      </c>
      <c r="I103" s="801">
        <f t="shared" ref="I103:I114" si="10">$C$42*$C$43</f>
        <v>1.8674999999999999</v>
      </c>
      <c r="J103" s="969">
        <f t="shared" ref="J103:J114" si="11">$C$44*$C$45</f>
        <v>1.4249999999999998</v>
      </c>
      <c r="K103" s="806">
        <f t="shared" ref="K103:K114" si="12">C$46</f>
        <v>9.1899999999999996E-2</v>
      </c>
      <c r="L103" s="803">
        <f t="shared" ref="L103:L114" si="13">C$47</f>
        <v>0.95</v>
      </c>
      <c r="M103" s="807">
        <f t="shared" ref="M103:M114" si="14">C$48</f>
        <v>4.5900000000000003E-3</v>
      </c>
      <c r="N103" s="805">
        <f t="shared" ref="N103:N114" si="15">C103*D103*((I103-J103)/I103)*F103*K103*L103+O103</f>
        <v>1346.1899301752469</v>
      </c>
      <c r="O103" s="805">
        <f t="shared" ref="O103:O114" si="16">S103 / 1000000 * $C$49</f>
        <v>288.34594058050391</v>
      </c>
      <c r="P103" s="808">
        <f t="shared" si="3"/>
        <v>0.35569055035823033</v>
      </c>
      <c r="Q103" s="809">
        <f t="shared" si="4"/>
        <v>211.33858159912387</v>
      </c>
      <c r="R103" s="810">
        <f t="shared" si="5"/>
        <v>409.09090909090907</v>
      </c>
      <c r="S103" s="811">
        <f t="shared" si="6"/>
        <v>57554.079956188398</v>
      </c>
      <c r="T103" s="796"/>
      <c r="U103" s="796"/>
    </row>
    <row r="104" spans="1:23" x14ac:dyDescent="0.35">
      <c r="B104" s="749" t="s">
        <v>2023</v>
      </c>
      <c r="C104" s="800">
        <f t="shared" si="7"/>
        <v>22.727272727272727</v>
      </c>
      <c r="D104" s="802">
        <f t="shared" si="8"/>
        <v>0.2</v>
      </c>
      <c r="E104" s="803">
        <f t="shared" si="9"/>
        <v>0.8</v>
      </c>
      <c r="F104" s="967">
        <v>9581</v>
      </c>
      <c r="G104" s="806">
        <v>8.3999999999999995E-3</v>
      </c>
      <c r="H104" s="968">
        <v>93</v>
      </c>
      <c r="I104" s="801">
        <f t="shared" si="10"/>
        <v>1.8674999999999999</v>
      </c>
      <c r="J104" s="969">
        <f t="shared" si="11"/>
        <v>1.4249999999999998</v>
      </c>
      <c r="K104" s="806">
        <f t="shared" si="12"/>
        <v>9.1899999999999996E-2</v>
      </c>
      <c r="L104" s="803">
        <f t="shared" si="13"/>
        <v>0.95</v>
      </c>
      <c r="M104" s="807">
        <f t="shared" si="14"/>
        <v>4.5900000000000003E-3</v>
      </c>
      <c r="N104" s="805">
        <f t="shared" si="15"/>
        <v>1146.4751752008035</v>
      </c>
      <c r="O104" s="805">
        <f t="shared" si="16"/>
        <v>245.56821837349401</v>
      </c>
      <c r="P104" s="808">
        <f t="shared" si="3"/>
        <v>0.10355259646974999</v>
      </c>
      <c r="Q104" s="809">
        <f t="shared" si="4"/>
        <v>179.98532891566271</v>
      </c>
      <c r="R104" s="810">
        <f t="shared" si="5"/>
        <v>409.09090909090907</v>
      </c>
      <c r="S104" s="811">
        <f t="shared" si="6"/>
        <v>49015.612449799206</v>
      </c>
      <c r="T104" s="796"/>
      <c r="U104" s="796"/>
    </row>
    <row r="105" spans="1:23" x14ac:dyDescent="0.35">
      <c r="B105" s="749" t="s">
        <v>2024</v>
      </c>
      <c r="C105" s="800">
        <f t="shared" si="7"/>
        <v>22.727272727272727</v>
      </c>
      <c r="D105" s="802">
        <f t="shared" si="8"/>
        <v>0.2</v>
      </c>
      <c r="E105" s="803">
        <f t="shared" si="9"/>
        <v>0.8</v>
      </c>
      <c r="F105" s="967">
        <v>15768</v>
      </c>
      <c r="G105" s="806">
        <v>1.84E-2</v>
      </c>
      <c r="H105" s="968">
        <v>153</v>
      </c>
      <c r="I105" s="801">
        <f t="shared" si="10"/>
        <v>1.8674999999999999</v>
      </c>
      <c r="J105" s="969">
        <f t="shared" si="11"/>
        <v>1.4249999999999998</v>
      </c>
      <c r="K105" s="806">
        <f t="shared" si="12"/>
        <v>9.1899999999999996E-2</v>
      </c>
      <c r="L105" s="803">
        <f t="shared" si="13"/>
        <v>0.95</v>
      </c>
      <c r="M105" s="807">
        <f t="shared" si="14"/>
        <v>4.5900000000000003E-3</v>
      </c>
      <c r="N105" s="805">
        <f t="shared" si="15"/>
        <v>1886.8198061336261</v>
      </c>
      <c r="O105" s="805">
        <f t="shared" si="16"/>
        <v>404.1456703176342</v>
      </c>
      <c r="P105" s="808">
        <f t="shared" si="3"/>
        <v>0.2269116629598609</v>
      </c>
      <c r="Q105" s="809">
        <f t="shared" si="4"/>
        <v>296.212155969332</v>
      </c>
      <c r="R105" s="810">
        <f t="shared" si="5"/>
        <v>409.09090909090907</v>
      </c>
      <c r="S105" s="811">
        <f t="shared" si="6"/>
        <v>80667.798466593653</v>
      </c>
      <c r="T105" s="796"/>
      <c r="U105" s="796"/>
    </row>
    <row r="106" spans="1:23" x14ac:dyDescent="0.35">
      <c r="B106" s="749" t="s">
        <v>2025</v>
      </c>
      <c r="C106" s="800">
        <f t="shared" si="7"/>
        <v>22.727272727272727</v>
      </c>
      <c r="D106" s="802">
        <f t="shared" si="8"/>
        <v>0.2</v>
      </c>
      <c r="E106" s="803">
        <f t="shared" si="9"/>
        <v>0.8</v>
      </c>
      <c r="F106" s="967">
        <v>3650</v>
      </c>
      <c r="G106" s="806">
        <v>4.3E-3</v>
      </c>
      <c r="H106" s="968">
        <v>36</v>
      </c>
      <c r="I106" s="801">
        <f t="shared" si="10"/>
        <v>1.8674999999999999</v>
      </c>
      <c r="J106" s="969">
        <f t="shared" si="11"/>
        <v>1.4249999999999998</v>
      </c>
      <c r="K106" s="806">
        <f t="shared" si="12"/>
        <v>9.1899999999999996E-2</v>
      </c>
      <c r="L106" s="803">
        <f t="shared" si="13"/>
        <v>0.95</v>
      </c>
      <c r="M106" s="807">
        <f t="shared" si="14"/>
        <v>4.5900000000000003E-3</v>
      </c>
      <c r="N106" s="805">
        <f t="shared" si="15"/>
        <v>436.76384401241341</v>
      </c>
      <c r="O106" s="805">
        <f t="shared" si="16"/>
        <v>93.552238499452372</v>
      </c>
      <c r="P106" s="808">
        <f t="shared" si="3"/>
        <v>5.2169014701482719E-2</v>
      </c>
      <c r="Q106" s="809">
        <f t="shared" si="4"/>
        <v>68.567628696604629</v>
      </c>
      <c r="R106" s="810">
        <f t="shared" si="5"/>
        <v>409.09090909090907</v>
      </c>
      <c r="S106" s="811">
        <f t="shared" si="6"/>
        <v>18673.101496896681</v>
      </c>
      <c r="T106" s="796"/>
      <c r="U106" s="796"/>
    </row>
    <row r="107" spans="1:23" x14ac:dyDescent="0.35">
      <c r="B107" s="749" t="s">
        <v>2026</v>
      </c>
      <c r="C107" s="800">
        <f t="shared" si="7"/>
        <v>22.727272727272727</v>
      </c>
      <c r="D107" s="802">
        <f t="shared" si="8"/>
        <v>0.2</v>
      </c>
      <c r="E107" s="803">
        <f t="shared" si="9"/>
        <v>0.8</v>
      </c>
      <c r="F107" s="970">
        <v>3650</v>
      </c>
      <c r="G107" s="806">
        <v>4.3E-3</v>
      </c>
      <c r="H107" s="968">
        <v>36</v>
      </c>
      <c r="I107" s="801">
        <f t="shared" si="10"/>
        <v>1.8674999999999999</v>
      </c>
      <c r="J107" s="969">
        <f t="shared" si="11"/>
        <v>1.4249999999999998</v>
      </c>
      <c r="K107" s="806">
        <f t="shared" si="12"/>
        <v>9.1899999999999996E-2</v>
      </c>
      <c r="L107" s="803">
        <f t="shared" si="13"/>
        <v>0.95</v>
      </c>
      <c r="M107" s="807">
        <f t="shared" si="14"/>
        <v>4.5900000000000003E-3</v>
      </c>
      <c r="N107" s="805">
        <f t="shared" si="15"/>
        <v>436.76384401241341</v>
      </c>
      <c r="O107" s="805">
        <f t="shared" si="16"/>
        <v>93.552238499452372</v>
      </c>
      <c r="P107" s="808">
        <f t="shared" si="3"/>
        <v>5.2169014701482719E-2</v>
      </c>
      <c r="Q107" s="809">
        <f t="shared" si="4"/>
        <v>68.567628696604629</v>
      </c>
      <c r="R107" s="810">
        <f t="shared" si="5"/>
        <v>409.09090909090907</v>
      </c>
      <c r="S107" s="811">
        <f t="shared" si="6"/>
        <v>18673.101496896681</v>
      </c>
      <c r="T107" s="796"/>
      <c r="U107" s="796"/>
    </row>
    <row r="108" spans="1:23" x14ac:dyDescent="0.35">
      <c r="B108" s="749" t="s">
        <v>2027</v>
      </c>
      <c r="C108" s="800">
        <f t="shared" si="7"/>
        <v>22.727272727272727</v>
      </c>
      <c r="D108" s="802">
        <f t="shared" si="8"/>
        <v>0.2</v>
      </c>
      <c r="E108" s="803">
        <f t="shared" si="9"/>
        <v>0.8</v>
      </c>
      <c r="F108" s="895">
        <v>2500</v>
      </c>
      <c r="G108" s="895">
        <v>6.4000000000000003E-3</v>
      </c>
      <c r="H108" s="895">
        <v>24</v>
      </c>
      <c r="I108" s="801">
        <f t="shared" si="10"/>
        <v>1.8674999999999999</v>
      </c>
      <c r="J108" s="969">
        <f t="shared" si="11"/>
        <v>1.4249999999999998</v>
      </c>
      <c r="K108" s="806">
        <f t="shared" si="12"/>
        <v>9.1899999999999996E-2</v>
      </c>
      <c r="L108" s="803">
        <f t="shared" si="13"/>
        <v>0.95</v>
      </c>
      <c r="M108" s="807">
        <f t="shared" si="14"/>
        <v>4.5900000000000003E-3</v>
      </c>
      <c r="N108" s="805">
        <f t="shared" si="15"/>
        <v>299.15331781672154</v>
      </c>
      <c r="O108" s="805">
        <f t="shared" si="16"/>
        <v>64.076875684556413</v>
      </c>
      <c r="P108" s="808">
        <f t="shared" si="3"/>
        <v>7.9774218084459073E-2</v>
      </c>
      <c r="Q108" s="809">
        <f t="shared" si="4"/>
        <v>46.964129244249747</v>
      </c>
      <c r="R108" s="810">
        <f t="shared" si="5"/>
        <v>409.09090909090907</v>
      </c>
      <c r="S108" s="811">
        <f t="shared" si="6"/>
        <v>12789.795545819645</v>
      </c>
    </row>
    <row r="109" spans="1:23" x14ac:dyDescent="0.35">
      <c r="B109" s="749" t="s">
        <v>2028</v>
      </c>
      <c r="C109" s="800">
        <f t="shared" si="7"/>
        <v>0</v>
      </c>
      <c r="D109" s="802">
        <f t="shared" si="8"/>
        <v>0.2</v>
      </c>
      <c r="E109" s="803">
        <f t="shared" si="9"/>
        <v>0.8</v>
      </c>
      <c r="F109" s="895">
        <v>3000</v>
      </c>
      <c r="G109" s="895">
        <v>9.5999999999999992E-3</v>
      </c>
      <c r="H109" s="895">
        <v>29</v>
      </c>
      <c r="I109" s="801">
        <f t="shared" si="10"/>
        <v>1.8674999999999999</v>
      </c>
      <c r="J109" s="969">
        <f t="shared" si="11"/>
        <v>1.4249999999999998</v>
      </c>
      <c r="K109" s="806">
        <f t="shared" si="12"/>
        <v>9.1899999999999996E-2</v>
      </c>
      <c r="L109" s="803">
        <f t="shared" si="13"/>
        <v>0.95</v>
      </c>
      <c r="M109" s="807">
        <f t="shared" si="14"/>
        <v>4.5900000000000003E-3</v>
      </c>
      <c r="N109" s="805">
        <f t="shared" si="15"/>
        <v>0</v>
      </c>
      <c r="O109" s="805">
        <f t="shared" si="16"/>
        <v>0</v>
      </c>
      <c r="P109" s="808">
        <f t="shared" si="3"/>
        <v>0</v>
      </c>
      <c r="Q109" s="809">
        <f t="shared" si="4"/>
        <v>0</v>
      </c>
      <c r="R109" s="810">
        <f t="shared" si="5"/>
        <v>0</v>
      </c>
      <c r="S109" s="811">
        <f t="shared" si="6"/>
        <v>0</v>
      </c>
    </row>
    <row r="110" spans="1:23" x14ac:dyDescent="0.35">
      <c r="B110" s="749" t="s">
        <v>2029</v>
      </c>
      <c r="C110" s="800">
        <f t="shared" si="7"/>
        <v>0</v>
      </c>
      <c r="D110" s="802">
        <f t="shared" si="8"/>
        <v>0.2</v>
      </c>
      <c r="E110" s="803">
        <f t="shared" si="9"/>
        <v>0.8</v>
      </c>
      <c r="F110" s="895">
        <v>9000</v>
      </c>
      <c r="G110" s="895">
        <v>2.8799999999999999E-2</v>
      </c>
      <c r="H110" s="895">
        <v>88</v>
      </c>
      <c r="I110" s="801">
        <f t="shared" si="10"/>
        <v>1.8674999999999999</v>
      </c>
      <c r="J110" s="969">
        <f t="shared" si="11"/>
        <v>1.4249999999999998</v>
      </c>
      <c r="K110" s="806">
        <f t="shared" si="12"/>
        <v>9.1899999999999996E-2</v>
      </c>
      <c r="L110" s="803">
        <f t="shared" si="13"/>
        <v>0.95</v>
      </c>
      <c r="M110" s="807">
        <f t="shared" si="14"/>
        <v>4.5900000000000003E-3</v>
      </c>
      <c r="N110" s="805">
        <f t="shared" si="15"/>
        <v>0</v>
      </c>
      <c r="O110" s="805">
        <f t="shared" si="16"/>
        <v>0</v>
      </c>
      <c r="P110" s="808">
        <f t="shared" si="3"/>
        <v>0</v>
      </c>
      <c r="Q110" s="809">
        <f t="shared" si="4"/>
        <v>0</v>
      </c>
      <c r="R110" s="810">
        <f t="shared" si="5"/>
        <v>0</v>
      </c>
      <c r="S110" s="811">
        <f t="shared" si="6"/>
        <v>0</v>
      </c>
    </row>
    <row r="111" spans="1:23" x14ac:dyDescent="0.35">
      <c r="B111" s="749" t="s">
        <v>2030</v>
      </c>
      <c r="C111" s="800">
        <f t="shared" si="7"/>
        <v>22.727272727272727</v>
      </c>
      <c r="D111" s="802">
        <f t="shared" si="8"/>
        <v>0.2</v>
      </c>
      <c r="E111" s="803">
        <f t="shared" si="9"/>
        <v>0.8</v>
      </c>
      <c r="F111" s="895">
        <v>16425</v>
      </c>
      <c r="G111" s="895">
        <v>1.44E-2</v>
      </c>
      <c r="H111" s="895">
        <v>160</v>
      </c>
      <c r="I111" s="801">
        <f t="shared" si="10"/>
        <v>1.8674999999999999</v>
      </c>
      <c r="J111" s="969">
        <f t="shared" si="11"/>
        <v>1.4249999999999998</v>
      </c>
      <c r="K111" s="806">
        <f t="shared" si="12"/>
        <v>9.1899999999999996E-2</v>
      </c>
      <c r="L111" s="803">
        <f t="shared" si="13"/>
        <v>0.95</v>
      </c>
      <c r="M111" s="807">
        <f t="shared" si="14"/>
        <v>4.5900000000000003E-3</v>
      </c>
      <c r="N111" s="805">
        <f t="shared" si="15"/>
        <v>1965.4372980558603</v>
      </c>
      <c r="O111" s="805">
        <f t="shared" si="16"/>
        <v>420.98507324753569</v>
      </c>
      <c r="P111" s="808">
        <f t="shared" si="3"/>
        <v>0.17688935682502741</v>
      </c>
      <c r="Q111" s="809">
        <f t="shared" si="4"/>
        <v>308.55432913472083</v>
      </c>
      <c r="R111" s="810">
        <f t="shared" si="5"/>
        <v>409.09090909090907</v>
      </c>
      <c r="S111" s="811">
        <f t="shared" si="6"/>
        <v>84028.956736035063</v>
      </c>
    </row>
    <row r="112" spans="1:23" x14ac:dyDescent="0.35">
      <c r="B112" s="749" t="s">
        <v>2031</v>
      </c>
      <c r="C112" s="800">
        <f t="shared" si="7"/>
        <v>22.727272727272727</v>
      </c>
      <c r="D112" s="802">
        <f t="shared" si="8"/>
        <v>0.2</v>
      </c>
      <c r="E112" s="803">
        <f t="shared" si="9"/>
        <v>0.8</v>
      </c>
      <c r="F112" s="895">
        <v>1825</v>
      </c>
      <c r="G112" s="895">
        <v>5.9999999999999995E-4</v>
      </c>
      <c r="H112" s="895">
        <v>18</v>
      </c>
      <c r="I112" s="801">
        <f t="shared" si="10"/>
        <v>1.8674999999999999</v>
      </c>
      <c r="J112" s="969">
        <f t="shared" si="11"/>
        <v>1.4249999999999998</v>
      </c>
      <c r="K112" s="806">
        <f t="shared" si="12"/>
        <v>9.1899999999999996E-2</v>
      </c>
      <c r="L112" s="803">
        <f t="shared" si="13"/>
        <v>0.95</v>
      </c>
      <c r="M112" s="807">
        <f t="shared" si="14"/>
        <v>4.5900000000000003E-3</v>
      </c>
      <c r="N112" s="805">
        <f t="shared" si="15"/>
        <v>218.38192200620671</v>
      </c>
      <c r="O112" s="805">
        <f t="shared" si="16"/>
        <v>46.776119249726186</v>
      </c>
      <c r="P112" s="808">
        <f t="shared" si="3"/>
        <v>7.2793974002068901E-3</v>
      </c>
      <c r="Q112" s="809">
        <f t="shared" si="4"/>
        <v>34.283814348302315</v>
      </c>
      <c r="R112" s="810">
        <f t="shared" si="5"/>
        <v>409.09090909090907</v>
      </c>
      <c r="S112" s="811">
        <f t="shared" si="6"/>
        <v>9336.5507484483405</v>
      </c>
    </row>
    <row r="113" spans="2:19" x14ac:dyDescent="0.35">
      <c r="B113" s="749" t="s">
        <v>2032</v>
      </c>
      <c r="C113" s="800">
        <f t="shared" si="7"/>
        <v>22.727272727272727</v>
      </c>
      <c r="D113" s="802">
        <f t="shared" si="8"/>
        <v>0.2</v>
      </c>
      <c r="E113" s="803">
        <f t="shared" si="9"/>
        <v>0.8</v>
      </c>
      <c r="F113" s="895">
        <v>1278</v>
      </c>
      <c r="G113" s="895">
        <v>4.0000000000000002E-4</v>
      </c>
      <c r="H113" s="895">
        <v>12</v>
      </c>
      <c r="I113" s="801">
        <f t="shared" si="10"/>
        <v>1.8674999999999999</v>
      </c>
      <c r="J113" s="969">
        <f t="shared" si="11"/>
        <v>1.4249999999999998</v>
      </c>
      <c r="K113" s="806">
        <f t="shared" si="12"/>
        <v>9.1899999999999996E-2</v>
      </c>
      <c r="L113" s="803">
        <f t="shared" si="13"/>
        <v>0.95</v>
      </c>
      <c r="M113" s="807">
        <f t="shared" si="14"/>
        <v>4.5900000000000003E-3</v>
      </c>
      <c r="N113" s="805">
        <f t="shared" si="15"/>
        <v>152.92717606790802</v>
      </c>
      <c r="O113" s="805">
        <f t="shared" si="16"/>
        <v>32.756098849945239</v>
      </c>
      <c r="P113" s="808">
        <f t="shared" si="3"/>
        <v>5.0975725355969339E-3</v>
      </c>
      <c r="Q113" s="809">
        <f t="shared" si="4"/>
        <v>24.008062869660471</v>
      </c>
      <c r="R113" s="810">
        <f t="shared" si="5"/>
        <v>409.09090909090907</v>
      </c>
      <c r="S113" s="811">
        <f t="shared" si="6"/>
        <v>6538.1434830230019</v>
      </c>
    </row>
    <row r="114" spans="2:19" ht="15" thickBot="1" x14ac:dyDescent="0.4">
      <c r="B114" s="765" t="s">
        <v>2033</v>
      </c>
      <c r="C114" s="798">
        <f t="shared" si="7"/>
        <v>22.727272727272727</v>
      </c>
      <c r="D114" s="813">
        <f t="shared" si="8"/>
        <v>0.2</v>
      </c>
      <c r="E114" s="814">
        <f t="shared" si="9"/>
        <v>0.8</v>
      </c>
      <c r="F114" s="744">
        <v>5000</v>
      </c>
      <c r="G114" s="744">
        <v>1.2800000000000001E-2</v>
      </c>
      <c r="H114" s="744">
        <v>49</v>
      </c>
      <c r="I114" s="812">
        <f t="shared" si="10"/>
        <v>1.8674999999999999</v>
      </c>
      <c r="J114" s="971">
        <f t="shared" si="11"/>
        <v>1.4249999999999998</v>
      </c>
      <c r="K114" s="817">
        <f t="shared" si="12"/>
        <v>9.1899999999999996E-2</v>
      </c>
      <c r="L114" s="814">
        <f t="shared" si="13"/>
        <v>0.95</v>
      </c>
      <c r="M114" s="818">
        <f t="shared" si="14"/>
        <v>4.5900000000000003E-3</v>
      </c>
      <c r="N114" s="816">
        <f t="shared" si="15"/>
        <v>598.30663563344308</v>
      </c>
      <c r="O114" s="816">
        <f t="shared" si="16"/>
        <v>128.15375136911283</v>
      </c>
      <c r="P114" s="819">
        <f t="shared" si="3"/>
        <v>0.15629234563485861</v>
      </c>
      <c r="Q114" s="820">
        <f t="shared" si="4"/>
        <v>93.928258488499495</v>
      </c>
      <c r="R114" s="821">
        <f t="shared" si="5"/>
        <v>409.09090909090907</v>
      </c>
      <c r="S114" s="822">
        <f t="shared" si="6"/>
        <v>25579.59109163929</v>
      </c>
    </row>
    <row r="115" spans="2:19" ht="15" thickBot="1" x14ac:dyDescent="0.4">
      <c r="B115" s="823" t="s">
        <v>284</v>
      </c>
      <c r="C115" s="824">
        <f>SUM(C102:C114)</f>
        <v>249.99999999999994</v>
      </c>
      <c r="M115" s="825" t="s">
        <v>2049</v>
      </c>
      <c r="N115" s="826">
        <f>SUM(N102:N114)</f>
        <v>8786.3722669313665</v>
      </c>
      <c r="O115" s="826">
        <f>SUM(O102:O114)</f>
        <v>1881.9891003559694</v>
      </c>
      <c r="P115" s="826">
        <f t="shared" ref="P115:S115" si="17">SUM(P102:P114)</f>
        <v>1.2955999477554145</v>
      </c>
      <c r="Q115" s="826">
        <f t="shared" si="17"/>
        <v>1379.3740472070106</v>
      </c>
      <c r="R115" s="826">
        <f t="shared" si="17"/>
        <v>4500</v>
      </c>
      <c r="S115" s="827">
        <f t="shared" si="17"/>
        <v>375646.52701715962</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542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7" ht="21" x14ac:dyDescent="0.5">
      <c r="A1" s="674" t="s">
        <v>2114</v>
      </c>
    </row>
    <row r="3" spans="1:7" ht="21" x14ac:dyDescent="0.5">
      <c r="A3" s="704" t="s">
        <v>2151</v>
      </c>
    </row>
    <row r="4" spans="1:7" ht="15" thickBot="1" x14ac:dyDescent="0.4"/>
    <row r="5" spans="1:7" x14ac:dyDescent="0.35">
      <c r="B5" s="678" t="s">
        <v>1947</v>
      </c>
      <c r="C5" s="679">
        <f>B77</f>
        <v>25</v>
      </c>
      <c r="D5" s="680"/>
      <c r="E5" s="680"/>
      <c r="F5" s="680"/>
    </row>
    <row r="6" spans="1:7" x14ac:dyDescent="0.35">
      <c r="B6" s="681" t="s">
        <v>1948</v>
      </c>
      <c r="C6" s="682">
        <f>C115</f>
        <v>250</v>
      </c>
      <c r="D6" s="683" t="s">
        <v>2116</v>
      </c>
      <c r="F6" s="680"/>
    </row>
    <row r="7" spans="1:7" x14ac:dyDescent="0.35">
      <c r="B7" s="681" t="s">
        <v>1950</v>
      </c>
      <c r="C7" s="684">
        <f>N115</f>
        <v>7458.8893908969221</v>
      </c>
      <c r="D7" s="683"/>
      <c r="E7" s="683"/>
      <c r="F7" s="683"/>
    </row>
    <row r="8" spans="1:7" x14ac:dyDescent="0.35">
      <c r="B8" s="681" t="s">
        <v>1951</v>
      </c>
      <c r="C8" s="682">
        <f>P115</f>
        <v>2.3011465478102462</v>
      </c>
      <c r="D8" s="683"/>
      <c r="E8" s="683"/>
      <c r="F8" s="683"/>
    </row>
    <row r="9" spans="1:7" x14ac:dyDescent="0.35">
      <c r="B9" s="681" t="s">
        <v>1952</v>
      </c>
      <c r="C9" s="684">
        <f>Q115</f>
        <v>1170.9722891566269</v>
      </c>
      <c r="D9" s="683"/>
      <c r="E9" s="683"/>
      <c r="F9" s="683"/>
    </row>
    <row r="10" spans="1:7" x14ac:dyDescent="0.35">
      <c r="B10" s="681" t="s">
        <v>1953</v>
      </c>
      <c r="C10" s="685">
        <f>R115</f>
        <v>4500</v>
      </c>
      <c r="D10" s="686"/>
      <c r="E10" s="686"/>
      <c r="F10" s="686"/>
    </row>
    <row r="11" spans="1:7" x14ac:dyDescent="0.35">
      <c r="B11" s="681" t="s">
        <v>1954</v>
      </c>
      <c r="C11" s="685">
        <f>C10*C95</f>
        <v>900</v>
      </c>
      <c r="D11" s="686"/>
      <c r="E11" s="686"/>
      <c r="F11" s="686"/>
    </row>
    <row r="12" spans="1:7" x14ac:dyDescent="0.35">
      <c r="B12" s="681" t="s">
        <v>1955</v>
      </c>
      <c r="C12" s="685">
        <f>C10*C96</f>
        <v>3600</v>
      </c>
      <c r="D12" s="686"/>
      <c r="E12" s="686"/>
      <c r="F12" s="686"/>
      <c r="G12" s="828"/>
    </row>
    <row r="13" spans="1:7" x14ac:dyDescent="0.35">
      <c r="B13" s="681" t="s">
        <v>61</v>
      </c>
      <c r="C13" s="687">
        <f>(C7/C6)</f>
        <v>29.835557563587688</v>
      </c>
      <c r="D13" s="686" t="s">
        <v>1956</v>
      </c>
      <c r="E13" s="686"/>
      <c r="F13" s="686"/>
    </row>
    <row r="14" spans="1:7" x14ac:dyDescent="0.35">
      <c r="B14" s="681" t="s">
        <v>62</v>
      </c>
      <c r="C14" s="687">
        <f>(C8/C6)</f>
        <v>9.2045861912409856E-3</v>
      </c>
      <c r="D14" s="686" t="s">
        <v>1956</v>
      </c>
      <c r="E14" s="686"/>
      <c r="F14" s="686"/>
    </row>
    <row r="15" spans="1:7" x14ac:dyDescent="0.35">
      <c r="B15" s="681" t="s">
        <v>63</v>
      </c>
      <c r="C15" s="687">
        <f>(C9/C6)</f>
        <v>4.6838891566265071</v>
      </c>
      <c r="D15" s="686" t="s">
        <v>1956</v>
      </c>
      <c r="E15" s="686"/>
      <c r="F15" s="686"/>
    </row>
    <row r="16" spans="1:7" x14ac:dyDescent="0.35">
      <c r="B16" s="681" t="s">
        <v>1957</v>
      </c>
      <c r="C16" s="688">
        <f>C11/C7</f>
        <v>0.12066139512651711</v>
      </c>
      <c r="D16" s="686"/>
      <c r="E16" s="686"/>
      <c r="F16" s="686"/>
    </row>
    <row r="17" spans="1:6" x14ac:dyDescent="0.35">
      <c r="B17" s="681" t="s">
        <v>1958</v>
      </c>
      <c r="C17" s="689">
        <f>C12/C9</f>
        <v>3.0743682265895802</v>
      </c>
      <c r="D17" s="690"/>
      <c r="E17" s="690"/>
      <c r="F17" s="690"/>
    </row>
    <row r="18" spans="1:6" x14ac:dyDescent="0.35">
      <c r="B18" s="681" t="s">
        <v>1959</v>
      </c>
      <c r="C18" s="691">
        <f>S115</f>
        <v>318892.23560910311</v>
      </c>
    </row>
    <row r="19" spans="1:6" ht="15" thickBot="1" x14ac:dyDescent="0.4">
      <c r="B19" s="692" t="s">
        <v>1960</v>
      </c>
      <c r="C19" s="693">
        <f>W102</f>
        <v>2000</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7906.4227543507377</v>
      </c>
      <c r="D24" s="683"/>
      <c r="E24" s="683"/>
      <c r="F24" s="683"/>
    </row>
    <row r="25" spans="1:6" x14ac:dyDescent="0.35">
      <c r="B25" s="681" t="s">
        <v>1966</v>
      </c>
      <c r="C25" s="684">
        <f>C22*C8</f>
        <v>2.439215340678861</v>
      </c>
      <c r="D25" s="700"/>
      <c r="E25" s="700"/>
      <c r="F25" s="683"/>
    </row>
    <row r="26" spans="1:6" x14ac:dyDescent="0.35">
      <c r="B26" s="681" t="s">
        <v>1967</v>
      </c>
      <c r="C26" s="684">
        <f>C23*C9</f>
        <v>1170.9722891566269</v>
      </c>
      <c r="D26" s="683"/>
      <c r="E26" s="701"/>
      <c r="F26" s="683"/>
    </row>
    <row r="27" spans="1:6" x14ac:dyDescent="0.35">
      <c r="B27" s="681" t="s">
        <v>1968</v>
      </c>
      <c r="C27" s="688">
        <f>C11/C24</f>
        <v>0.11383150483633689</v>
      </c>
      <c r="D27" s="683"/>
      <c r="E27" s="701"/>
      <c r="F27" s="683"/>
    </row>
    <row r="28" spans="1:6" x14ac:dyDescent="0.35">
      <c r="B28" s="681" t="s">
        <v>1969</v>
      </c>
      <c r="C28" s="689">
        <f>C12/C26</f>
        <v>3.0743682265895802</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298.3555756358769</v>
      </c>
      <c r="D33" s="683"/>
      <c r="E33" s="683"/>
      <c r="F33" s="683"/>
    </row>
    <row r="34" spans="1:17" x14ac:dyDescent="0.35">
      <c r="B34" s="681" t="s">
        <v>1973</v>
      </c>
      <c r="C34" s="684">
        <f>C9/C5</f>
        <v>46.838891566265076</v>
      </c>
      <c r="D34" s="706"/>
      <c r="E34" s="706"/>
      <c r="F34" s="706"/>
    </row>
    <row r="35" spans="1:17" x14ac:dyDescent="0.35">
      <c r="B35" s="681" t="s">
        <v>1974</v>
      </c>
      <c r="C35" s="707">
        <f>C10/C5</f>
        <v>180</v>
      </c>
    </row>
    <row r="36" spans="1:17" x14ac:dyDescent="0.35">
      <c r="B36" s="681" t="s">
        <v>1975</v>
      </c>
      <c r="C36" s="708">
        <f>C18/C5</f>
        <v>12755.689424364124</v>
      </c>
    </row>
    <row r="37" spans="1:17" ht="15" thickBot="1" x14ac:dyDescent="0.4">
      <c r="B37" s="692" t="s">
        <v>1976</v>
      </c>
      <c r="C37" s="709">
        <f>C19/C5</f>
        <v>80</v>
      </c>
    </row>
    <row r="38" spans="1:17" x14ac:dyDescent="0.35">
      <c r="H38" s="698"/>
      <c r="I38" s="698"/>
      <c r="J38" s="698"/>
    </row>
    <row r="39" spans="1:17" ht="21" x14ac:dyDescent="0.5">
      <c r="A39" s="704" t="s">
        <v>1977</v>
      </c>
    </row>
    <row r="40" spans="1:17" ht="30.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2.25</v>
      </c>
      <c r="D42" s="714" t="s">
        <v>2119</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1.5</v>
      </c>
      <c r="D44" s="698" t="s">
        <v>2123</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681" t="s">
        <v>303</v>
      </c>
      <c r="C47" s="720">
        <v>0.95</v>
      </c>
      <c r="D47" s="698"/>
      <c r="E47" s="698"/>
      <c r="F47" s="698"/>
      <c r="G47" s="698"/>
      <c r="J47" s="873" t="s">
        <v>2129</v>
      </c>
      <c r="K47" s="2496"/>
      <c r="L47" s="2496"/>
      <c r="M47" s="2496"/>
      <c r="N47" s="2496"/>
      <c r="O47" s="2496"/>
      <c r="P47" s="2496"/>
      <c r="Q47" s="874"/>
    </row>
    <row r="48" spans="1:17" x14ac:dyDescent="0.35">
      <c r="B48" s="722" t="s">
        <v>1987</v>
      </c>
      <c r="C48" s="2513">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4">
        <v>5010</v>
      </c>
      <c r="D49" s="2496"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734">
        <v>8</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18</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v>0</v>
      </c>
      <c r="D80" s="751">
        <f t="shared" ref="D80:D92" si="0">C80*D$77</f>
        <v>0</v>
      </c>
      <c r="E80" s="698"/>
      <c r="F80" s="698"/>
      <c r="G80" s="698"/>
      <c r="H80" s="698"/>
      <c r="I80" s="698"/>
      <c r="J80" s="698"/>
      <c r="K80" s="698"/>
      <c r="L80" s="698"/>
      <c r="M80" s="698"/>
      <c r="N80" s="698"/>
      <c r="O80" s="698"/>
    </row>
    <row r="81" spans="2:24" ht="18.5" x14ac:dyDescent="0.35">
      <c r="B81" s="749" t="s">
        <v>2022</v>
      </c>
      <c r="C81" s="750">
        <v>0</v>
      </c>
      <c r="D81" s="751">
        <f t="shared" si="0"/>
        <v>0</v>
      </c>
      <c r="E81" s="752"/>
      <c r="F81" s="752"/>
      <c r="G81" s="752"/>
      <c r="H81" s="753"/>
      <c r="I81" s="753"/>
      <c r="J81" s="753"/>
      <c r="K81" s="698"/>
      <c r="L81" s="698"/>
      <c r="M81" s="698"/>
      <c r="N81" s="698"/>
      <c r="O81" s="698"/>
      <c r="T81" s="753"/>
      <c r="U81" s="753"/>
      <c r="V81" s="753"/>
      <c r="W81" s="753"/>
      <c r="X81" s="753"/>
    </row>
    <row r="82" spans="2:24" x14ac:dyDescent="0.35">
      <c r="B82" s="749" t="s">
        <v>2023</v>
      </c>
      <c r="C82" s="750">
        <v>0</v>
      </c>
      <c r="D82" s="751">
        <f t="shared" si="0"/>
        <v>0</v>
      </c>
      <c r="E82" s="712"/>
      <c r="F82" s="974"/>
      <c r="G82" s="712"/>
      <c r="H82" s="754"/>
      <c r="I82" s="712"/>
      <c r="J82" s="754"/>
      <c r="K82" s="698"/>
      <c r="L82" s="698"/>
      <c r="M82" s="698"/>
      <c r="N82" s="698"/>
      <c r="O82" s="698"/>
      <c r="T82" s="753"/>
      <c r="U82" s="753"/>
      <c r="V82" s="753"/>
      <c r="W82" s="753"/>
      <c r="X82" s="753"/>
    </row>
    <row r="83" spans="2:24" x14ac:dyDescent="0.35">
      <c r="B83" s="749" t="s">
        <v>2024</v>
      </c>
      <c r="C83" s="750">
        <v>0</v>
      </c>
      <c r="D83" s="751">
        <f t="shared" si="0"/>
        <v>0</v>
      </c>
      <c r="E83" s="755"/>
      <c r="F83" s="975"/>
      <c r="G83" s="757"/>
      <c r="H83" s="758"/>
      <c r="I83" s="731"/>
      <c r="J83" s="759"/>
      <c r="K83" s="698"/>
      <c r="L83" s="698"/>
      <c r="M83" s="698"/>
      <c r="N83" s="698"/>
      <c r="O83" s="698"/>
      <c r="T83" s="760"/>
      <c r="U83" s="761"/>
      <c r="V83" s="762"/>
      <c r="W83" s="763"/>
      <c r="X83" s="764"/>
    </row>
    <row r="84" spans="2:24" x14ac:dyDescent="0.35">
      <c r="B84" s="749" t="s">
        <v>2025</v>
      </c>
      <c r="C84" s="750">
        <v>0</v>
      </c>
      <c r="D84" s="751">
        <f t="shared" si="0"/>
        <v>0</v>
      </c>
      <c r="E84" s="755"/>
      <c r="F84" s="756"/>
      <c r="G84" s="757"/>
      <c r="H84" s="758"/>
      <c r="I84" s="759"/>
      <c r="J84" s="759"/>
      <c r="K84" s="698"/>
      <c r="L84" s="698"/>
      <c r="M84" s="698"/>
      <c r="N84" s="698"/>
      <c r="O84" s="698"/>
      <c r="T84" s="760"/>
      <c r="U84" s="761"/>
      <c r="V84" s="762"/>
      <c r="W84" s="763"/>
      <c r="X84" s="764"/>
    </row>
    <row r="85" spans="2:24" x14ac:dyDescent="0.35">
      <c r="B85" s="749" t="s">
        <v>2026</v>
      </c>
      <c r="C85" s="750">
        <v>0</v>
      </c>
      <c r="D85" s="751">
        <f t="shared" si="0"/>
        <v>0</v>
      </c>
      <c r="E85" s="755"/>
      <c r="F85" s="756"/>
      <c r="G85" s="757"/>
      <c r="H85" s="758"/>
      <c r="I85" s="759"/>
      <c r="J85" s="759"/>
      <c r="K85" s="698"/>
      <c r="L85" s="698"/>
      <c r="M85" s="698"/>
      <c r="N85" s="698"/>
      <c r="O85" s="698"/>
      <c r="T85" s="760"/>
      <c r="U85" s="761"/>
      <c r="V85" s="762"/>
      <c r="W85" s="763"/>
      <c r="X85" s="764"/>
    </row>
    <row r="86" spans="2:24" x14ac:dyDescent="0.35">
      <c r="B86" s="749" t="s">
        <v>2027</v>
      </c>
      <c r="C86" s="750">
        <v>0</v>
      </c>
      <c r="D86" s="751">
        <f t="shared" si="0"/>
        <v>0</v>
      </c>
      <c r="E86" s="755"/>
      <c r="F86" s="756"/>
      <c r="G86" s="757"/>
      <c r="H86" s="758"/>
      <c r="I86" s="759"/>
      <c r="J86" s="759"/>
      <c r="K86" s="698"/>
      <c r="L86" s="698"/>
      <c r="M86" s="698"/>
      <c r="N86" s="698"/>
      <c r="O86" s="698"/>
      <c r="T86" s="760"/>
      <c r="U86" s="761"/>
      <c r="V86" s="762"/>
      <c r="W86" s="763"/>
      <c r="X86" s="764"/>
    </row>
    <row r="87" spans="2:24" x14ac:dyDescent="0.35">
      <c r="B87" s="749" t="s">
        <v>2028</v>
      </c>
      <c r="C87" s="750">
        <f>1/3</f>
        <v>0.33333333333333331</v>
      </c>
      <c r="D87" s="751">
        <f t="shared" si="0"/>
        <v>83.333333333333329</v>
      </c>
      <c r="E87" s="755"/>
      <c r="F87" s="756"/>
      <c r="G87" s="757"/>
      <c r="H87" s="758"/>
      <c r="I87" s="759"/>
      <c r="J87" s="759"/>
      <c r="K87" s="698"/>
      <c r="L87" s="698"/>
      <c r="M87" s="698"/>
      <c r="N87" s="698"/>
      <c r="O87" s="698"/>
      <c r="T87" s="760"/>
      <c r="U87" s="761"/>
      <c r="V87" s="762"/>
      <c r="W87" s="763"/>
      <c r="X87" s="764"/>
    </row>
    <row r="88" spans="2:24" x14ac:dyDescent="0.35">
      <c r="B88" s="749" t="s">
        <v>2029</v>
      </c>
      <c r="C88" s="750">
        <f>1/3</f>
        <v>0.33333333333333331</v>
      </c>
      <c r="D88" s="751">
        <f t="shared" si="0"/>
        <v>83.333333333333329</v>
      </c>
      <c r="E88" s="755"/>
      <c r="F88" s="756"/>
      <c r="G88" s="757"/>
      <c r="H88" s="758"/>
      <c r="I88" s="759"/>
      <c r="J88" s="759"/>
      <c r="K88" s="698"/>
      <c r="L88" s="698"/>
      <c r="M88" s="698"/>
      <c r="N88" s="698"/>
      <c r="O88" s="698"/>
      <c r="T88" s="760"/>
      <c r="U88" s="761"/>
      <c r="V88" s="762"/>
      <c r="W88" s="763"/>
      <c r="X88" s="764"/>
    </row>
    <row r="89" spans="2:24" x14ac:dyDescent="0.35">
      <c r="B89" s="749" t="s">
        <v>2030</v>
      </c>
      <c r="C89" s="750">
        <v>0</v>
      </c>
      <c r="D89" s="751">
        <f t="shared" si="0"/>
        <v>0</v>
      </c>
      <c r="E89" s="755"/>
      <c r="F89" s="756"/>
      <c r="G89" s="757"/>
      <c r="H89" s="758"/>
      <c r="I89" s="759"/>
      <c r="J89" s="759"/>
      <c r="K89" s="698"/>
      <c r="L89" s="698"/>
      <c r="M89" s="698"/>
      <c r="N89" s="698"/>
      <c r="O89" s="698"/>
      <c r="T89" s="760"/>
      <c r="U89" s="761"/>
      <c r="V89" s="762"/>
      <c r="W89" s="763"/>
      <c r="X89" s="764"/>
    </row>
    <row r="90" spans="2:24" x14ac:dyDescent="0.35">
      <c r="B90" s="749" t="s">
        <v>2031</v>
      </c>
      <c r="C90" s="750">
        <v>0</v>
      </c>
      <c r="D90" s="751">
        <f t="shared" si="0"/>
        <v>0</v>
      </c>
      <c r="E90" s="755"/>
      <c r="F90" s="756"/>
      <c r="G90" s="757"/>
      <c r="H90" s="758"/>
      <c r="I90" s="759"/>
      <c r="J90" s="759"/>
      <c r="K90" s="698"/>
      <c r="L90" s="698"/>
      <c r="M90" s="698"/>
      <c r="N90" s="698"/>
      <c r="O90" s="698"/>
      <c r="T90" s="760"/>
      <c r="U90" s="761"/>
      <c r="V90" s="762"/>
      <c r="W90" s="763"/>
      <c r="X90" s="764"/>
    </row>
    <row r="91" spans="2:24" x14ac:dyDescent="0.35">
      <c r="B91" s="749" t="s">
        <v>2032</v>
      </c>
      <c r="C91" s="750">
        <v>0</v>
      </c>
      <c r="D91" s="751">
        <f t="shared" si="0"/>
        <v>0</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1/3</f>
        <v>0.33333333333333331</v>
      </c>
      <c r="D92" s="767">
        <f t="shared" si="0"/>
        <v>83.333333333333329</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3012" t="s">
        <v>2039</v>
      </c>
      <c r="G100" s="3013"/>
      <c r="H100" s="3013"/>
      <c r="I100" s="3013"/>
      <c r="J100" s="3013"/>
      <c r="K100" s="3013"/>
      <c r="L100" s="3013"/>
      <c r="M100" s="3014"/>
      <c r="N100" s="2985" t="s">
        <v>2040</v>
      </c>
      <c r="O100" s="2986"/>
      <c r="P100" s="2986"/>
      <c r="Q100" s="2986"/>
      <c r="R100" s="2986"/>
      <c r="S100" s="2987"/>
      <c r="T100" s="779"/>
      <c r="U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0</v>
      </c>
      <c r="D102" s="786">
        <f>C$95</f>
        <v>0.2</v>
      </c>
      <c r="E102" s="787">
        <f>C$96</f>
        <v>0.8</v>
      </c>
      <c r="F102" s="965">
        <v>2500</v>
      </c>
      <c r="G102" s="790">
        <v>6.4000000000000003E-3</v>
      </c>
      <c r="H102" s="966">
        <v>24</v>
      </c>
      <c r="I102" s="785">
        <f>$C$42*$C$43</f>
        <v>1.8674999999999999</v>
      </c>
      <c r="J102" s="789">
        <f>$C$44*$C$45</f>
        <v>1.4249999999999998</v>
      </c>
      <c r="K102" s="790">
        <f>C$46</f>
        <v>9.1899999999999996E-2</v>
      </c>
      <c r="L102" s="787">
        <f>C$47</f>
        <v>0.95</v>
      </c>
      <c r="M102" s="791">
        <f>C$48</f>
        <v>4.5900000000000003E-3</v>
      </c>
      <c r="N102" s="789">
        <f>C102*D102*((I102-J102)/I102)*F102*K102*L102+O102</f>
        <v>0</v>
      </c>
      <c r="O102" s="789">
        <f>S102 / 1000000 * $C$49</f>
        <v>0</v>
      </c>
      <c r="P102" s="792">
        <f t="shared" ref="P102:P114" si="1">(N102/H102)*G102</f>
        <v>0</v>
      </c>
      <c r="Q102" s="793">
        <f t="shared" ref="Q102:Q114" si="2">C102*E102*((I102-J102)/I102)*F102*M102*L102</f>
        <v>0</v>
      </c>
      <c r="R102" s="794">
        <f t="shared" ref="R102:R114" si="3">C102*B$72</f>
        <v>0</v>
      </c>
      <c r="S102" s="795">
        <f t="shared" ref="S102:S114" si="4">C102*((I102-J102)/I102)*F102*L102</f>
        <v>0</v>
      </c>
      <c r="T102" s="796"/>
      <c r="U102" s="797">
        <f>B67</f>
        <v>8</v>
      </c>
      <c r="V102" s="798">
        <f>C115</f>
        <v>250</v>
      </c>
      <c r="W102" s="799">
        <f>U102*V102</f>
        <v>2000</v>
      </c>
    </row>
    <row r="103" spans="1:23" x14ac:dyDescent="0.35">
      <c r="B103" s="749" t="s">
        <v>2022</v>
      </c>
      <c r="C103" s="800">
        <f t="shared" ref="C103:C114" si="5">D81</f>
        <v>0</v>
      </c>
      <c r="D103" s="802">
        <f t="shared" ref="D103:D114" si="6">C$95</f>
        <v>0.2</v>
      </c>
      <c r="E103" s="803">
        <f t="shared" ref="E103:E114" si="7">C$96</f>
        <v>0.8</v>
      </c>
      <c r="F103" s="967">
        <v>11250</v>
      </c>
      <c r="G103" s="806">
        <v>2.8799999999999999E-2</v>
      </c>
      <c r="H103" s="968">
        <v>109</v>
      </c>
      <c r="I103" s="801">
        <f t="shared" ref="I103:I114" si="8">$C$42*$C$43</f>
        <v>1.8674999999999999</v>
      </c>
      <c r="J103" s="969">
        <f t="shared" ref="J103:J114" si="9">$C$44*$C$45</f>
        <v>1.4249999999999998</v>
      </c>
      <c r="K103" s="806">
        <f t="shared" ref="K103:K114" si="10">C$46</f>
        <v>9.1899999999999996E-2</v>
      </c>
      <c r="L103" s="803">
        <f t="shared" ref="L103:L114" si="11">C$47</f>
        <v>0.95</v>
      </c>
      <c r="M103" s="807">
        <f t="shared" ref="M103:M114" si="12">C$48</f>
        <v>4.5900000000000003E-3</v>
      </c>
      <c r="N103" s="805">
        <f t="shared" ref="N103:N114" si="13">C103*D103*((I103-J103)/I103)*F103*K103*L103+O103</f>
        <v>0</v>
      </c>
      <c r="O103" s="805">
        <f t="shared" ref="O103:O114" si="14">S103 / 1000000 * $C$49</f>
        <v>0</v>
      </c>
      <c r="P103" s="808">
        <f t="shared" si="1"/>
        <v>0</v>
      </c>
      <c r="Q103" s="809">
        <f t="shared" si="2"/>
        <v>0</v>
      </c>
      <c r="R103" s="810">
        <f t="shared" si="3"/>
        <v>0</v>
      </c>
      <c r="S103" s="811">
        <f t="shared" si="4"/>
        <v>0</v>
      </c>
      <c r="T103" s="796"/>
      <c r="U103" s="796"/>
    </row>
    <row r="104" spans="1:23" x14ac:dyDescent="0.35">
      <c r="B104" s="749" t="s">
        <v>2023</v>
      </c>
      <c r="C104" s="800">
        <f t="shared" si="5"/>
        <v>0</v>
      </c>
      <c r="D104" s="802">
        <f t="shared" si="6"/>
        <v>0.2</v>
      </c>
      <c r="E104" s="803">
        <f t="shared" si="7"/>
        <v>0.8</v>
      </c>
      <c r="F104" s="967">
        <v>9581</v>
      </c>
      <c r="G104" s="806">
        <v>8.3999999999999995E-3</v>
      </c>
      <c r="H104" s="968">
        <v>93</v>
      </c>
      <c r="I104" s="801">
        <f t="shared" si="8"/>
        <v>1.8674999999999999</v>
      </c>
      <c r="J104" s="969">
        <f t="shared" si="9"/>
        <v>1.4249999999999998</v>
      </c>
      <c r="K104" s="806">
        <f t="shared" si="10"/>
        <v>9.1899999999999996E-2</v>
      </c>
      <c r="L104" s="803">
        <f t="shared" si="11"/>
        <v>0.95</v>
      </c>
      <c r="M104" s="807">
        <f t="shared" si="12"/>
        <v>4.5900000000000003E-3</v>
      </c>
      <c r="N104" s="805">
        <f t="shared" si="13"/>
        <v>0</v>
      </c>
      <c r="O104" s="805">
        <f t="shared" si="14"/>
        <v>0</v>
      </c>
      <c r="P104" s="808">
        <f t="shared" si="1"/>
        <v>0</v>
      </c>
      <c r="Q104" s="809">
        <f t="shared" si="2"/>
        <v>0</v>
      </c>
      <c r="R104" s="810">
        <f t="shared" si="3"/>
        <v>0</v>
      </c>
      <c r="S104" s="811">
        <f t="shared" si="4"/>
        <v>0</v>
      </c>
      <c r="T104" s="796"/>
      <c r="U104" s="796"/>
    </row>
    <row r="105" spans="1:23" x14ac:dyDescent="0.35">
      <c r="B105" s="749" t="s">
        <v>2024</v>
      </c>
      <c r="C105" s="800">
        <f t="shared" si="5"/>
        <v>0</v>
      </c>
      <c r="D105" s="802">
        <f t="shared" si="6"/>
        <v>0.2</v>
      </c>
      <c r="E105" s="803">
        <f t="shared" si="7"/>
        <v>0.8</v>
      </c>
      <c r="F105" s="967">
        <v>15768</v>
      </c>
      <c r="G105" s="806">
        <v>1.84E-2</v>
      </c>
      <c r="H105" s="968">
        <v>153</v>
      </c>
      <c r="I105" s="801">
        <f t="shared" si="8"/>
        <v>1.8674999999999999</v>
      </c>
      <c r="J105" s="969">
        <f t="shared" si="9"/>
        <v>1.4249999999999998</v>
      </c>
      <c r="K105" s="806">
        <f t="shared" si="10"/>
        <v>9.1899999999999996E-2</v>
      </c>
      <c r="L105" s="803">
        <f t="shared" si="11"/>
        <v>0.95</v>
      </c>
      <c r="M105" s="807">
        <f t="shared" si="12"/>
        <v>4.5900000000000003E-3</v>
      </c>
      <c r="N105" s="805">
        <f t="shared" si="13"/>
        <v>0</v>
      </c>
      <c r="O105" s="805">
        <f t="shared" si="14"/>
        <v>0</v>
      </c>
      <c r="P105" s="808">
        <f t="shared" si="1"/>
        <v>0</v>
      </c>
      <c r="Q105" s="809">
        <f t="shared" si="2"/>
        <v>0</v>
      </c>
      <c r="R105" s="810">
        <f t="shared" si="3"/>
        <v>0</v>
      </c>
      <c r="S105" s="811">
        <f t="shared" si="4"/>
        <v>0</v>
      </c>
      <c r="T105" s="796"/>
      <c r="U105" s="796"/>
    </row>
    <row r="106" spans="1:23" x14ac:dyDescent="0.35">
      <c r="B106" s="749" t="s">
        <v>2025</v>
      </c>
      <c r="C106" s="800">
        <f t="shared" si="5"/>
        <v>0</v>
      </c>
      <c r="D106" s="802">
        <f t="shared" si="6"/>
        <v>0.2</v>
      </c>
      <c r="E106" s="803">
        <f t="shared" si="7"/>
        <v>0.8</v>
      </c>
      <c r="F106" s="967">
        <v>3650</v>
      </c>
      <c r="G106" s="806">
        <v>4.3E-3</v>
      </c>
      <c r="H106" s="968">
        <v>36</v>
      </c>
      <c r="I106" s="801">
        <f t="shared" si="8"/>
        <v>1.8674999999999999</v>
      </c>
      <c r="J106" s="969">
        <f t="shared" si="9"/>
        <v>1.4249999999999998</v>
      </c>
      <c r="K106" s="806">
        <f t="shared" si="10"/>
        <v>9.1899999999999996E-2</v>
      </c>
      <c r="L106" s="803">
        <f t="shared" si="11"/>
        <v>0.95</v>
      </c>
      <c r="M106" s="807">
        <f t="shared" si="12"/>
        <v>4.5900000000000003E-3</v>
      </c>
      <c r="N106" s="805">
        <f t="shared" si="13"/>
        <v>0</v>
      </c>
      <c r="O106" s="805">
        <f t="shared" si="14"/>
        <v>0</v>
      </c>
      <c r="P106" s="808">
        <f t="shared" si="1"/>
        <v>0</v>
      </c>
      <c r="Q106" s="809">
        <f t="shared" si="2"/>
        <v>0</v>
      </c>
      <c r="R106" s="810">
        <f t="shared" si="3"/>
        <v>0</v>
      </c>
      <c r="S106" s="811">
        <f t="shared" si="4"/>
        <v>0</v>
      </c>
      <c r="T106" s="796"/>
      <c r="U106" s="796"/>
    </row>
    <row r="107" spans="1:23" x14ac:dyDescent="0.35">
      <c r="B107" s="749" t="s">
        <v>2026</v>
      </c>
      <c r="C107" s="800">
        <f t="shared" si="5"/>
        <v>0</v>
      </c>
      <c r="D107" s="802">
        <f t="shared" si="6"/>
        <v>0.2</v>
      </c>
      <c r="E107" s="803">
        <f t="shared" si="7"/>
        <v>0.8</v>
      </c>
      <c r="F107" s="970">
        <v>3650</v>
      </c>
      <c r="G107" s="806">
        <v>4.3E-3</v>
      </c>
      <c r="H107" s="968">
        <v>36</v>
      </c>
      <c r="I107" s="801">
        <f t="shared" si="8"/>
        <v>1.8674999999999999</v>
      </c>
      <c r="J107" s="969">
        <f t="shared" si="9"/>
        <v>1.4249999999999998</v>
      </c>
      <c r="K107" s="806">
        <f t="shared" si="10"/>
        <v>9.1899999999999996E-2</v>
      </c>
      <c r="L107" s="803">
        <f t="shared" si="11"/>
        <v>0.95</v>
      </c>
      <c r="M107" s="807">
        <f t="shared" si="12"/>
        <v>4.5900000000000003E-3</v>
      </c>
      <c r="N107" s="805">
        <f t="shared" si="13"/>
        <v>0</v>
      </c>
      <c r="O107" s="805">
        <f t="shared" si="14"/>
        <v>0</v>
      </c>
      <c r="P107" s="808">
        <f t="shared" si="1"/>
        <v>0</v>
      </c>
      <c r="Q107" s="809">
        <f t="shared" si="2"/>
        <v>0</v>
      </c>
      <c r="R107" s="810">
        <f t="shared" si="3"/>
        <v>0</v>
      </c>
      <c r="S107" s="811">
        <f t="shared" si="4"/>
        <v>0</v>
      </c>
      <c r="T107" s="796"/>
      <c r="U107" s="796"/>
    </row>
    <row r="108" spans="1:23" x14ac:dyDescent="0.35">
      <c r="B108" s="749" t="s">
        <v>2027</v>
      </c>
      <c r="C108" s="800">
        <f t="shared" si="5"/>
        <v>0</v>
      </c>
      <c r="D108" s="802">
        <f t="shared" si="6"/>
        <v>0.2</v>
      </c>
      <c r="E108" s="803">
        <f t="shared" si="7"/>
        <v>0.8</v>
      </c>
      <c r="F108" s="895">
        <v>2500</v>
      </c>
      <c r="G108" s="895">
        <v>6.4000000000000003E-3</v>
      </c>
      <c r="H108" s="895">
        <v>24</v>
      </c>
      <c r="I108" s="801">
        <f t="shared" si="8"/>
        <v>1.8674999999999999</v>
      </c>
      <c r="J108" s="969">
        <f t="shared" si="9"/>
        <v>1.4249999999999998</v>
      </c>
      <c r="K108" s="806">
        <f t="shared" si="10"/>
        <v>9.1899999999999996E-2</v>
      </c>
      <c r="L108" s="803">
        <f t="shared" si="11"/>
        <v>0.95</v>
      </c>
      <c r="M108" s="807">
        <f t="shared" si="12"/>
        <v>4.5900000000000003E-3</v>
      </c>
      <c r="N108" s="805">
        <f t="shared" si="13"/>
        <v>0</v>
      </c>
      <c r="O108" s="805">
        <f t="shared" si="14"/>
        <v>0</v>
      </c>
      <c r="P108" s="808">
        <f t="shared" si="1"/>
        <v>0</v>
      </c>
      <c r="Q108" s="809">
        <f t="shared" si="2"/>
        <v>0</v>
      </c>
      <c r="R108" s="810">
        <f t="shared" si="3"/>
        <v>0</v>
      </c>
      <c r="S108" s="811">
        <f t="shared" si="4"/>
        <v>0</v>
      </c>
    </row>
    <row r="109" spans="1:23" x14ac:dyDescent="0.35">
      <c r="B109" s="749" t="s">
        <v>2028</v>
      </c>
      <c r="C109" s="800">
        <f t="shared" si="5"/>
        <v>83.333333333333329</v>
      </c>
      <c r="D109" s="802">
        <f t="shared" si="6"/>
        <v>0.2</v>
      </c>
      <c r="E109" s="803">
        <f t="shared" si="7"/>
        <v>0.8</v>
      </c>
      <c r="F109" s="895">
        <v>3000</v>
      </c>
      <c r="G109" s="895">
        <v>9.5999999999999992E-3</v>
      </c>
      <c r="H109" s="895">
        <v>29</v>
      </c>
      <c r="I109" s="801">
        <f t="shared" si="8"/>
        <v>1.8674999999999999</v>
      </c>
      <c r="J109" s="969">
        <f t="shared" si="9"/>
        <v>1.4249999999999998</v>
      </c>
      <c r="K109" s="806">
        <f t="shared" si="10"/>
        <v>9.1899999999999996E-2</v>
      </c>
      <c r="L109" s="803">
        <f t="shared" si="11"/>
        <v>0.95</v>
      </c>
      <c r="M109" s="807">
        <f t="shared" si="12"/>
        <v>4.5900000000000003E-3</v>
      </c>
      <c r="N109" s="805">
        <f t="shared" si="13"/>
        <v>1316.2745983935747</v>
      </c>
      <c r="O109" s="805">
        <f t="shared" si="14"/>
        <v>281.93825301204822</v>
      </c>
      <c r="P109" s="808">
        <f t="shared" si="1"/>
        <v>0.43573228084752819</v>
      </c>
      <c r="Q109" s="809">
        <f t="shared" si="2"/>
        <v>206.64216867469884</v>
      </c>
      <c r="R109" s="810">
        <f t="shared" si="3"/>
        <v>1500</v>
      </c>
      <c r="S109" s="811">
        <f t="shared" si="4"/>
        <v>56275.100401606433</v>
      </c>
    </row>
    <row r="110" spans="1:23" x14ac:dyDescent="0.35">
      <c r="B110" s="749" t="s">
        <v>2029</v>
      </c>
      <c r="C110" s="800">
        <f t="shared" si="5"/>
        <v>83.333333333333329</v>
      </c>
      <c r="D110" s="802">
        <f t="shared" si="6"/>
        <v>0.2</v>
      </c>
      <c r="E110" s="803">
        <f t="shared" si="7"/>
        <v>0.8</v>
      </c>
      <c r="F110" s="895">
        <v>9000</v>
      </c>
      <c r="G110" s="895">
        <v>2.8799999999999999E-2</v>
      </c>
      <c r="H110" s="895">
        <v>88</v>
      </c>
      <c r="I110" s="801">
        <f t="shared" si="8"/>
        <v>1.8674999999999999</v>
      </c>
      <c r="J110" s="969">
        <f t="shared" si="9"/>
        <v>1.4249999999999998</v>
      </c>
      <c r="K110" s="806">
        <f t="shared" si="10"/>
        <v>9.1899999999999996E-2</v>
      </c>
      <c r="L110" s="803">
        <f t="shared" si="11"/>
        <v>0.95</v>
      </c>
      <c r="M110" s="807">
        <f t="shared" si="12"/>
        <v>4.5900000000000003E-3</v>
      </c>
      <c r="N110" s="805">
        <f t="shared" si="13"/>
        <v>3948.8237951807232</v>
      </c>
      <c r="O110" s="805">
        <f t="shared" si="14"/>
        <v>845.81475903614478</v>
      </c>
      <c r="P110" s="808">
        <f t="shared" si="1"/>
        <v>1.2923423329682366</v>
      </c>
      <c r="Q110" s="809">
        <f t="shared" si="2"/>
        <v>619.92650602409662</v>
      </c>
      <c r="R110" s="810">
        <f t="shared" si="3"/>
        <v>1500</v>
      </c>
      <c r="S110" s="811">
        <f t="shared" si="4"/>
        <v>168825.30120481932</v>
      </c>
    </row>
    <row r="111" spans="1:23" x14ac:dyDescent="0.35">
      <c r="B111" s="749" t="s">
        <v>2030</v>
      </c>
      <c r="C111" s="800">
        <f t="shared" si="5"/>
        <v>0</v>
      </c>
      <c r="D111" s="802">
        <f t="shared" si="6"/>
        <v>0.2</v>
      </c>
      <c r="E111" s="803">
        <f t="shared" si="7"/>
        <v>0.8</v>
      </c>
      <c r="F111" s="895">
        <v>16425</v>
      </c>
      <c r="G111" s="895">
        <v>1.44E-2</v>
      </c>
      <c r="H111" s="895">
        <v>160</v>
      </c>
      <c r="I111" s="801">
        <f t="shared" si="8"/>
        <v>1.8674999999999999</v>
      </c>
      <c r="J111" s="969">
        <f t="shared" si="9"/>
        <v>1.4249999999999998</v>
      </c>
      <c r="K111" s="806">
        <f t="shared" si="10"/>
        <v>9.1899999999999996E-2</v>
      </c>
      <c r="L111" s="803">
        <f t="shared" si="11"/>
        <v>0.95</v>
      </c>
      <c r="M111" s="807">
        <f t="shared" si="12"/>
        <v>4.5900000000000003E-3</v>
      </c>
      <c r="N111" s="805">
        <f t="shared" si="13"/>
        <v>0</v>
      </c>
      <c r="O111" s="805">
        <f t="shared" si="14"/>
        <v>0</v>
      </c>
      <c r="P111" s="808">
        <f t="shared" si="1"/>
        <v>0</v>
      </c>
      <c r="Q111" s="809">
        <f t="shared" si="2"/>
        <v>0</v>
      </c>
      <c r="R111" s="810">
        <f t="shared" si="3"/>
        <v>0</v>
      </c>
      <c r="S111" s="811">
        <f t="shared" si="4"/>
        <v>0</v>
      </c>
    </row>
    <row r="112" spans="1:23" x14ac:dyDescent="0.35">
      <c r="B112" s="749" t="s">
        <v>2031</v>
      </c>
      <c r="C112" s="800">
        <f t="shared" si="5"/>
        <v>0</v>
      </c>
      <c r="D112" s="802">
        <f t="shared" si="6"/>
        <v>0.2</v>
      </c>
      <c r="E112" s="803">
        <f t="shared" si="7"/>
        <v>0.8</v>
      </c>
      <c r="F112" s="895">
        <v>1825</v>
      </c>
      <c r="G112" s="895">
        <v>5.9999999999999995E-4</v>
      </c>
      <c r="H112" s="895">
        <v>18</v>
      </c>
      <c r="I112" s="801">
        <f t="shared" si="8"/>
        <v>1.8674999999999999</v>
      </c>
      <c r="J112" s="969">
        <f t="shared" si="9"/>
        <v>1.4249999999999998</v>
      </c>
      <c r="K112" s="806">
        <f t="shared" si="10"/>
        <v>9.1899999999999996E-2</v>
      </c>
      <c r="L112" s="803">
        <f t="shared" si="11"/>
        <v>0.95</v>
      </c>
      <c r="M112" s="807">
        <f t="shared" si="12"/>
        <v>4.5900000000000003E-3</v>
      </c>
      <c r="N112" s="805">
        <f t="shared" si="13"/>
        <v>0</v>
      </c>
      <c r="O112" s="805">
        <f t="shared" si="14"/>
        <v>0</v>
      </c>
      <c r="P112" s="808">
        <f t="shared" si="1"/>
        <v>0</v>
      </c>
      <c r="Q112" s="809">
        <f t="shared" si="2"/>
        <v>0</v>
      </c>
      <c r="R112" s="810">
        <f t="shared" si="3"/>
        <v>0</v>
      </c>
      <c r="S112" s="811">
        <f t="shared" si="4"/>
        <v>0</v>
      </c>
    </row>
    <row r="113" spans="2:19" x14ac:dyDescent="0.35">
      <c r="B113" s="749" t="s">
        <v>2032</v>
      </c>
      <c r="C113" s="800">
        <f t="shared" si="5"/>
        <v>0</v>
      </c>
      <c r="D113" s="802">
        <f t="shared" si="6"/>
        <v>0.2</v>
      </c>
      <c r="E113" s="803">
        <f t="shared" si="7"/>
        <v>0.8</v>
      </c>
      <c r="F113" s="895">
        <v>1278</v>
      </c>
      <c r="G113" s="895">
        <v>4.0000000000000002E-4</v>
      </c>
      <c r="H113" s="895">
        <v>12</v>
      </c>
      <c r="I113" s="801">
        <f t="shared" si="8"/>
        <v>1.8674999999999999</v>
      </c>
      <c r="J113" s="969">
        <f t="shared" si="9"/>
        <v>1.4249999999999998</v>
      </c>
      <c r="K113" s="806">
        <f t="shared" si="10"/>
        <v>9.1899999999999996E-2</v>
      </c>
      <c r="L113" s="803">
        <f t="shared" si="11"/>
        <v>0.95</v>
      </c>
      <c r="M113" s="807">
        <f t="shared" si="12"/>
        <v>4.5900000000000003E-3</v>
      </c>
      <c r="N113" s="805">
        <f t="shared" si="13"/>
        <v>0</v>
      </c>
      <c r="O113" s="805">
        <f t="shared" si="14"/>
        <v>0</v>
      </c>
      <c r="P113" s="808">
        <f t="shared" si="1"/>
        <v>0</v>
      </c>
      <c r="Q113" s="809">
        <f t="shared" si="2"/>
        <v>0</v>
      </c>
      <c r="R113" s="810">
        <f t="shared" si="3"/>
        <v>0</v>
      </c>
      <c r="S113" s="811">
        <f t="shared" si="4"/>
        <v>0</v>
      </c>
    </row>
    <row r="114" spans="2:19" ht="15" thickBot="1" x14ac:dyDescent="0.4">
      <c r="B114" s="765" t="s">
        <v>2033</v>
      </c>
      <c r="C114" s="798">
        <f t="shared" si="5"/>
        <v>83.333333333333329</v>
      </c>
      <c r="D114" s="813">
        <f t="shared" si="6"/>
        <v>0.2</v>
      </c>
      <c r="E114" s="814">
        <f t="shared" si="7"/>
        <v>0.8</v>
      </c>
      <c r="F114" s="744">
        <v>5000</v>
      </c>
      <c r="G114" s="744">
        <v>1.2800000000000001E-2</v>
      </c>
      <c r="H114" s="744">
        <v>49</v>
      </c>
      <c r="I114" s="812">
        <f t="shared" si="8"/>
        <v>1.8674999999999999</v>
      </c>
      <c r="J114" s="971">
        <f t="shared" si="9"/>
        <v>1.4249999999999998</v>
      </c>
      <c r="K114" s="817">
        <f t="shared" si="10"/>
        <v>9.1899999999999996E-2</v>
      </c>
      <c r="L114" s="814">
        <f t="shared" si="11"/>
        <v>0.95</v>
      </c>
      <c r="M114" s="818">
        <f t="shared" si="12"/>
        <v>4.5900000000000003E-3</v>
      </c>
      <c r="N114" s="816">
        <f t="shared" si="13"/>
        <v>2193.7909973226242</v>
      </c>
      <c r="O114" s="816">
        <f t="shared" si="14"/>
        <v>469.89708835341366</v>
      </c>
      <c r="P114" s="819">
        <f t="shared" si="1"/>
        <v>0.57307193399448142</v>
      </c>
      <c r="Q114" s="820">
        <f t="shared" si="2"/>
        <v>344.40361445783145</v>
      </c>
      <c r="R114" s="821">
        <f t="shared" si="3"/>
        <v>1500</v>
      </c>
      <c r="S114" s="822">
        <f t="shared" si="4"/>
        <v>93791.83400267738</v>
      </c>
    </row>
    <row r="115" spans="2:19" ht="15" thickBot="1" x14ac:dyDescent="0.4">
      <c r="B115" s="823" t="s">
        <v>284</v>
      </c>
      <c r="C115" s="824">
        <f>SUM(C102:C114)</f>
        <v>250</v>
      </c>
      <c r="M115" s="825" t="s">
        <v>2049</v>
      </c>
      <c r="N115" s="826">
        <f>SUM(N102:N114)</f>
        <v>7458.8893908969221</v>
      </c>
      <c r="O115" s="826">
        <f>SUM(O102:O114)</f>
        <v>1597.6501004016066</v>
      </c>
      <c r="P115" s="826">
        <f t="shared" ref="P115:S115" si="15">SUM(P102:P114)</f>
        <v>2.3011465478102462</v>
      </c>
      <c r="Q115" s="826">
        <f t="shared" si="15"/>
        <v>1170.9722891566269</v>
      </c>
      <c r="R115" s="826">
        <f t="shared" si="15"/>
        <v>4500</v>
      </c>
      <c r="S115" s="827">
        <f t="shared" si="15"/>
        <v>318892.23560910311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542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2114</v>
      </c>
    </row>
    <row r="3" spans="1:6" ht="21" x14ac:dyDescent="0.5">
      <c r="A3" s="704" t="s">
        <v>2115</v>
      </c>
    </row>
    <row r="4" spans="1:6" ht="15" thickBot="1" x14ac:dyDescent="0.4"/>
    <row r="5" spans="1:6" x14ac:dyDescent="0.35">
      <c r="B5" s="678" t="s">
        <v>1947</v>
      </c>
      <c r="C5" s="679">
        <f>B77</f>
        <v>25</v>
      </c>
      <c r="D5" s="680"/>
      <c r="E5" s="680"/>
      <c r="F5" s="680"/>
    </row>
    <row r="6" spans="1:6" x14ac:dyDescent="0.35">
      <c r="B6" s="681" t="s">
        <v>1948</v>
      </c>
      <c r="C6" s="682">
        <f>C115</f>
        <v>249.99999999999997</v>
      </c>
      <c r="D6" s="683" t="s">
        <v>2116</v>
      </c>
      <c r="F6" s="680"/>
    </row>
    <row r="7" spans="1:6" x14ac:dyDescent="0.35">
      <c r="B7" s="681" t="s">
        <v>1950</v>
      </c>
      <c r="C7" s="684">
        <f>N115</f>
        <v>11926.679540744432</v>
      </c>
      <c r="D7" s="683"/>
      <c r="E7" s="683"/>
      <c r="F7" s="683"/>
    </row>
    <row r="8" spans="1:6" x14ac:dyDescent="0.35">
      <c r="B8" s="681" t="s">
        <v>1951</v>
      </c>
      <c r="C8" s="682">
        <f>P115</f>
        <v>2.0614881185616025</v>
      </c>
      <c r="D8" s="683"/>
      <c r="E8" s="683"/>
      <c r="F8" s="683"/>
    </row>
    <row r="9" spans="1:6" x14ac:dyDescent="0.35">
      <c r="B9" s="681" t="s">
        <v>1952</v>
      </c>
      <c r="C9" s="684">
        <f>Q115</f>
        <v>1872.3714097312331</v>
      </c>
      <c r="D9" s="683"/>
      <c r="E9" s="683"/>
      <c r="F9" s="683"/>
    </row>
    <row r="10" spans="1:6" x14ac:dyDescent="0.35">
      <c r="B10" s="681" t="s">
        <v>1953</v>
      </c>
      <c r="C10" s="685">
        <f>R115</f>
        <v>3000.0000000000009</v>
      </c>
      <c r="D10" s="686"/>
      <c r="E10" s="686"/>
      <c r="F10" s="686"/>
    </row>
    <row r="11" spans="1:6" x14ac:dyDescent="0.35">
      <c r="B11" s="681" t="s">
        <v>1954</v>
      </c>
      <c r="C11" s="685">
        <f>C10*C95</f>
        <v>600.00000000000023</v>
      </c>
      <c r="D11" s="686"/>
      <c r="E11" s="686"/>
      <c r="F11" s="686"/>
    </row>
    <row r="12" spans="1:6" x14ac:dyDescent="0.35">
      <c r="B12" s="681" t="s">
        <v>1955</v>
      </c>
      <c r="C12" s="685">
        <f>C10*C96</f>
        <v>2400.0000000000009</v>
      </c>
      <c r="D12" s="686"/>
      <c r="E12" s="686"/>
      <c r="F12" s="686"/>
    </row>
    <row r="13" spans="1:6" x14ac:dyDescent="0.35">
      <c r="B13" s="681" t="s">
        <v>61</v>
      </c>
      <c r="C13" s="687">
        <f>(C7/C6)</f>
        <v>47.706718162977729</v>
      </c>
      <c r="D13" s="686" t="s">
        <v>1956</v>
      </c>
      <c r="E13" s="686"/>
      <c r="F13" s="686"/>
    </row>
    <row r="14" spans="1:6" x14ac:dyDescent="0.35">
      <c r="B14" s="681" t="s">
        <v>62</v>
      </c>
      <c r="C14" s="687">
        <f>(C8/C6)</f>
        <v>8.2459524742464103E-3</v>
      </c>
      <c r="D14" s="686" t="s">
        <v>1956</v>
      </c>
      <c r="E14" s="686"/>
      <c r="F14" s="686"/>
    </row>
    <row r="15" spans="1:6" x14ac:dyDescent="0.35">
      <c r="B15" s="681" t="s">
        <v>63</v>
      </c>
      <c r="C15" s="687">
        <f>(C9/C6)</f>
        <v>7.4894856389249336</v>
      </c>
      <c r="D15" s="686" t="s">
        <v>1956</v>
      </c>
      <c r="E15" s="686"/>
      <c r="F15" s="686"/>
    </row>
    <row r="16" spans="1:6" x14ac:dyDescent="0.35">
      <c r="B16" s="681" t="s">
        <v>1957</v>
      </c>
      <c r="C16" s="688">
        <f>C11/C7</f>
        <v>5.0307380017234019E-2</v>
      </c>
      <c r="D16" s="686"/>
      <c r="E16" s="686"/>
      <c r="F16" s="686"/>
    </row>
    <row r="17" spans="1:6" x14ac:dyDescent="0.35">
      <c r="B17" s="681" t="s">
        <v>1958</v>
      </c>
      <c r="C17" s="689">
        <f>C12/C9</f>
        <v>1.2817969701558867</v>
      </c>
      <c r="D17" s="690"/>
      <c r="E17" s="690"/>
      <c r="F17" s="690"/>
    </row>
    <row r="18" spans="1:6" x14ac:dyDescent="0.35">
      <c r="B18" s="681" t="s">
        <v>1959</v>
      </c>
      <c r="C18" s="691">
        <f>S115</f>
        <v>509905.0680095951</v>
      </c>
    </row>
    <row r="19" spans="1:6" ht="15" thickBot="1" x14ac:dyDescent="0.4">
      <c r="B19" s="692" t="s">
        <v>1960</v>
      </c>
      <c r="C19" s="693">
        <f>W102</f>
        <v>3567.4999999999995</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12642.280313189098</v>
      </c>
      <c r="D24" s="683"/>
      <c r="E24" s="683"/>
      <c r="F24" s="683"/>
    </row>
    <row r="25" spans="1:6" x14ac:dyDescent="0.35">
      <c r="B25" s="681" t="s">
        <v>1966</v>
      </c>
      <c r="C25" s="684">
        <f>C22*C8</f>
        <v>2.1851774056752986</v>
      </c>
      <c r="D25" s="700"/>
      <c r="E25" s="700"/>
      <c r="F25" s="683"/>
    </row>
    <row r="26" spans="1:6" x14ac:dyDescent="0.35">
      <c r="B26" s="681" t="s">
        <v>1967</v>
      </c>
      <c r="C26" s="684">
        <f>C23*C9</f>
        <v>1872.3714097312331</v>
      </c>
      <c r="D26" s="683"/>
      <c r="E26" s="701"/>
      <c r="F26" s="683"/>
    </row>
    <row r="27" spans="1:6" x14ac:dyDescent="0.35">
      <c r="B27" s="681" t="s">
        <v>1968</v>
      </c>
      <c r="C27" s="688">
        <f>C11/C24</f>
        <v>4.7459792469088699E-2</v>
      </c>
      <c r="D27" s="683"/>
      <c r="E27" s="701"/>
      <c r="F27" s="683"/>
    </row>
    <row r="28" spans="1:6" x14ac:dyDescent="0.35">
      <c r="B28" s="681" t="s">
        <v>1969</v>
      </c>
      <c r="C28" s="689">
        <f>C12/C26</f>
        <v>1.2817969701558867</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477.06718162977728</v>
      </c>
      <c r="D33" s="683"/>
      <c r="E33" s="683"/>
      <c r="F33" s="683"/>
    </row>
    <row r="34" spans="1:17" x14ac:dyDescent="0.35">
      <c r="B34" s="681" t="s">
        <v>1973</v>
      </c>
      <c r="C34" s="684">
        <f>C9/C5</f>
        <v>74.894856389249327</v>
      </c>
      <c r="D34" s="706"/>
      <c r="E34" s="706"/>
      <c r="F34" s="706"/>
    </row>
    <row r="35" spans="1:17" x14ac:dyDescent="0.35">
      <c r="B35" s="681" t="s">
        <v>1974</v>
      </c>
      <c r="C35" s="707">
        <f>C10/C5</f>
        <v>120.00000000000004</v>
      </c>
    </row>
    <row r="36" spans="1:17" x14ac:dyDescent="0.35">
      <c r="B36" s="681" t="s">
        <v>1975</v>
      </c>
      <c r="C36" s="708">
        <f>C18/C5</f>
        <v>20396.202720383804</v>
      </c>
    </row>
    <row r="37" spans="1:17" ht="15" thickBot="1" x14ac:dyDescent="0.4">
      <c r="B37" s="692" t="s">
        <v>1976</v>
      </c>
      <c r="C37" s="709">
        <f>C19/C5</f>
        <v>142.69999999999999</v>
      </c>
    </row>
    <row r="38" spans="1:17" x14ac:dyDescent="0.35">
      <c r="H38" s="698"/>
      <c r="I38" s="698"/>
      <c r="J38" s="698"/>
    </row>
    <row r="39" spans="1:17" ht="21" x14ac:dyDescent="0.5">
      <c r="A39" s="704" t="s">
        <v>1977</v>
      </c>
    </row>
    <row r="40" spans="1:17" ht="30.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3.74</v>
      </c>
      <c r="D42" s="714" t="s">
        <v>2152</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2.2000000000000002</v>
      </c>
      <c r="D44" s="698" t="s">
        <v>2152</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681" t="s">
        <v>303</v>
      </c>
      <c r="C47" s="720">
        <v>0.95</v>
      </c>
      <c r="D47" s="698"/>
      <c r="E47" s="698"/>
      <c r="F47" s="698"/>
      <c r="G47" s="698"/>
      <c r="J47" s="873" t="s">
        <v>2129</v>
      </c>
      <c r="K47" s="2496"/>
      <c r="L47" s="2496"/>
      <c r="M47" s="2496"/>
      <c r="N47" s="2496"/>
      <c r="O47" s="2496"/>
      <c r="P47" s="2496"/>
      <c r="Q47" s="874"/>
    </row>
    <row r="48" spans="1:17" x14ac:dyDescent="0.35">
      <c r="B48" s="722" t="s">
        <v>1987</v>
      </c>
      <c r="C48" s="2513">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4">
        <v>5010</v>
      </c>
      <c r="D49" s="2496"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976">
        <v>14.27</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12</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f>1/13</f>
        <v>7.6923076923076927E-2</v>
      </c>
      <c r="D80" s="751">
        <f t="shared" ref="D80:D92" si="0">C80*D$77</f>
        <v>19.230769230769234</v>
      </c>
      <c r="E80" s="698"/>
      <c r="F80" s="698"/>
      <c r="G80" s="698"/>
      <c r="H80" s="698"/>
      <c r="I80" s="698"/>
      <c r="J80" s="698"/>
      <c r="K80" s="698"/>
      <c r="L80" s="698"/>
      <c r="M80" s="698"/>
      <c r="N80" s="698"/>
      <c r="O80" s="698"/>
    </row>
    <row r="81" spans="2:24" ht="18.5" x14ac:dyDescent="0.35">
      <c r="B81" s="749" t="s">
        <v>2022</v>
      </c>
      <c r="C81" s="750">
        <f t="shared" ref="C81:C92" si="1">1/13</f>
        <v>7.6923076923076927E-2</v>
      </c>
      <c r="D81" s="751">
        <f t="shared" si="0"/>
        <v>19.230769230769234</v>
      </c>
      <c r="E81" s="752"/>
      <c r="F81" s="752"/>
      <c r="G81" s="752"/>
      <c r="H81" s="753"/>
      <c r="I81" s="753"/>
      <c r="J81" s="753"/>
      <c r="K81" s="698"/>
      <c r="L81" s="698"/>
      <c r="M81" s="698"/>
      <c r="N81" s="698"/>
      <c r="O81" s="698"/>
      <c r="T81" s="753"/>
      <c r="U81" s="753"/>
      <c r="V81" s="753"/>
      <c r="W81" s="753"/>
      <c r="X81" s="753"/>
    </row>
    <row r="82" spans="2:24" x14ac:dyDescent="0.35">
      <c r="B82" s="749" t="s">
        <v>2023</v>
      </c>
      <c r="C82" s="750">
        <f t="shared" si="1"/>
        <v>7.6923076923076927E-2</v>
      </c>
      <c r="D82" s="751">
        <f t="shared" si="0"/>
        <v>19.230769230769234</v>
      </c>
      <c r="E82" s="712"/>
      <c r="F82" s="712"/>
      <c r="G82" s="712"/>
      <c r="H82" s="754"/>
      <c r="I82" s="712"/>
      <c r="J82" s="754"/>
      <c r="K82" s="698"/>
      <c r="L82" s="698"/>
      <c r="M82" s="698"/>
      <c r="N82" s="698"/>
      <c r="O82" s="698"/>
      <c r="T82" s="753"/>
      <c r="U82" s="753"/>
      <c r="V82" s="753"/>
      <c r="W82" s="753"/>
      <c r="X82" s="753"/>
    </row>
    <row r="83" spans="2:24" x14ac:dyDescent="0.35">
      <c r="B83" s="749" t="s">
        <v>2024</v>
      </c>
      <c r="C83" s="750">
        <f t="shared" si="1"/>
        <v>7.6923076923076927E-2</v>
      </c>
      <c r="D83" s="751">
        <f t="shared" si="0"/>
        <v>19.230769230769234</v>
      </c>
      <c r="E83" s="755"/>
      <c r="F83" s="756"/>
      <c r="G83" s="757"/>
      <c r="H83" s="758"/>
      <c r="I83" s="731"/>
      <c r="J83" s="759"/>
      <c r="K83" s="698"/>
      <c r="L83" s="698"/>
      <c r="M83" s="698"/>
      <c r="N83" s="698"/>
      <c r="O83" s="698"/>
      <c r="T83" s="760"/>
      <c r="U83" s="761"/>
      <c r="V83" s="762"/>
      <c r="W83" s="763"/>
      <c r="X83" s="764"/>
    </row>
    <row r="84" spans="2:24" x14ac:dyDescent="0.35">
      <c r="B84" s="749" t="s">
        <v>2025</v>
      </c>
      <c r="C84" s="750">
        <f t="shared" si="1"/>
        <v>7.6923076923076927E-2</v>
      </c>
      <c r="D84" s="751">
        <f t="shared" si="0"/>
        <v>19.230769230769234</v>
      </c>
      <c r="E84" s="755"/>
      <c r="F84" s="756"/>
      <c r="G84" s="757"/>
      <c r="H84" s="758"/>
      <c r="I84" s="759"/>
      <c r="J84" s="759"/>
      <c r="K84" s="698"/>
      <c r="L84" s="698"/>
      <c r="M84" s="698"/>
      <c r="N84" s="698"/>
      <c r="O84" s="698"/>
      <c r="T84" s="760"/>
      <c r="U84" s="761"/>
      <c r="V84" s="762"/>
      <c r="W84" s="763"/>
      <c r="X84" s="764"/>
    </row>
    <row r="85" spans="2:24" x14ac:dyDescent="0.35">
      <c r="B85" s="749" t="s">
        <v>2026</v>
      </c>
      <c r="C85" s="750">
        <f t="shared" si="1"/>
        <v>7.6923076923076927E-2</v>
      </c>
      <c r="D85" s="751">
        <f t="shared" si="0"/>
        <v>19.230769230769234</v>
      </c>
      <c r="E85" s="755"/>
      <c r="F85" s="756"/>
      <c r="G85" s="757"/>
      <c r="H85" s="758"/>
      <c r="I85" s="759"/>
      <c r="J85" s="759"/>
      <c r="K85" s="698"/>
      <c r="L85" s="698"/>
      <c r="M85" s="698"/>
      <c r="N85" s="698"/>
      <c r="O85" s="698"/>
      <c r="T85" s="760"/>
      <c r="U85" s="761"/>
      <c r="V85" s="762"/>
      <c r="W85" s="763"/>
      <c r="X85" s="764"/>
    </row>
    <row r="86" spans="2:24" x14ac:dyDescent="0.35">
      <c r="B86" s="749" t="s">
        <v>2027</v>
      </c>
      <c r="C86" s="750">
        <f t="shared" si="1"/>
        <v>7.6923076923076927E-2</v>
      </c>
      <c r="D86" s="751">
        <f t="shared" si="0"/>
        <v>19.230769230769234</v>
      </c>
      <c r="E86" s="755"/>
      <c r="F86" s="756"/>
      <c r="G86" s="757"/>
      <c r="H86" s="758"/>
      <c r="I86" s="759"/>
      <c r="J86" s="759"/>
      <c r="K86" s="698"/>
      <c r="L86" s="698"/>
      <c r="M86" s="698"/>
      <c r="N86" s="698"/>
      <c r="O86" s="698"/>
      <c r="T86" s="760"/>
      <c r="U86" s="761"/>
      <c r="V86" s="762"/>
      <c r="W86" s="763"/>
      <c r="X86" s="764"/>
    </row>
    <row r="87" spans="2:24" x14ac:dyDescent="0.35">
      <c r="B87" s="749" t="s">
        <v>2028</v>
      </c>
      <c r="C87" s="750">
        <f t="shared" si="1"/>
        <v>7.6923076923076927E-2</v>
      </c>
      <c r="D87" s="751">
        <f t="shared" si="0"/>
        <v>19.230769230769234</v>
      </c>
      <c r="E87" s="755"/>
      <c r="F87" s="756"/>
      <c r="G87" s="757"/>
      <c r="H87" s="758"/>
      <c r="I87" s="759"/>
      <c r="J87" s="759"/>
      <c r="K87" s="698"/>
      <c r="L87" s="698"/>
      <c r="M87" s="698"/>
      <c r="N87" s="698"/>
      <c r="O87" s="698"/>
      <c r="T87" s="760"/>
      <c r="U87" s="761"/>
      <c r="V87" s="762"/>
      <c r="W87" s="763"/>
      <c r="X87" s="764"/>
    </row>
    <row r="88" spans="2:24" x14ac:dyDescent="0.35">
      <c r="B88" s="749" t="s">
        <v>2029</v>
      </c>
      <c r="C88" s="750">
        <f t="shared" si="1"/>
        <v>7.6923076923076927E-2</v>
      </c>
      <c r="D88" s="751">
        <f t="shared" si="0"/>
        <v>19.230769230769234</v>
      </c>
      <c r="E88" s="755"/>
      <c r="F88" s="756"/>
      <c r="G88" s="757"/>
      <c r="H88" s="758"/>
      <c r="I88" s="759"/>
      <c r="J88" s="759"/>
      <c r="K88" s="698"/>
      <c r="L88" s="698"/>
      <c r="M88" s="698"/>
      <c r="N88" s="698"/>
      <c r="O88" s="698"/>
      <c r="T88" s="760"/>
      <c r="U88" s="761"/>
      <c r="V88" s="762"/>
      <c r="W88" s="763"/>
      <c r="X88" s="764"/>
    </row>
    <row r="89" spans="2:24" x14ac:dyDescent="0.35">
      <c r="B89" s="749" t="s">
        <v>2030</v>
      </c>
      <c r="C89" s="750">
        <f t="shared" si="1"/>
        <v>7.6923076923076927E-2</v>
      </c>
      <c r="D89" s="751">
        <f t="shared" si="0"/>
        <v>19.230769230769234</v>
      </c>
      <c r="E89" s="755"/>
      <c r="F89" s="756"/>
      <c r="G89" s="757"/>
      <c r="H89" s="758"/>
      <c r="I89" s="759"/>
      <c r="J89" s="759"/>
      <c r="K89" s="698"/>
      <c r="L89" s="698"/>
      <c r="M89" s="698"/>
      <c r="N89" s="698"/>
      <c r="O89" s="698"/>
      <c r="T89" s="760"/>
      <c r="U89" s="761"/>
      <c r="V89" s="762"/>
      <c r="W89" s="763"/>
      <c r="X89" s="764"/>
    </row>
    <row r="90" spans="2:24" x14ac:dyDescent="0.35">
      <c r="B90" s="749" t="s">
        <v>2031</v>
      </c>
      <c r="C90" s="750">
        <f t="shared" si="1"/>
        <v>7.6923076923076927E-2</v>
      </c>
      <c r="D90" s="751">
        <f t="shared" si="0"/>
        <v>19.230769230769234</v>
      </c>
      <c r="E90" s="755"/>
      <c r="F90" s="756"/>
      <c r="G90" s="757"/>
      <c r="H90" s="758"/>
      <c r="I90" s="759"/>
      <c r="J90" s="759"/>
      <c r="K90" s="698"/>
      <c r="L90" s="698"/>
      <c r="M90" s="698"/>
      <c r="N90" s="698"/>
      <c r="O90" s="698"/>
      <c r="T90" s="760"/>
      <c r="U90" s="761"/>
      <c r="V90" s="762"/>
      <c r="W90" s="763"/>
      <c r="X90" s="764"/>
    </row>
    <row r="91" spans="2:24" x14ac:dyDescent="0.35">
      <c r="B91" s="749" t="s">
        <v>2032</v>
      </c>
      <c r="C91" s="750">
        <f t="shared" si="1"/>
        <v>7.6923076923076927E-2</v>
      </c>
      <c r="D91" s="751">
        <f t="shared" si="0"/>
        <v>19.230769230769234</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 t="shared" si="1"/>
        <v>7.6923076923076927E-2</v>
      </c>
      <c r="D92" s="767">
        <f t="shared" si="0"/>
        <v>19.230769230769234</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3012" t="s">
        <v>2039</v>
      </c>
      <c r="G100" s="3013"/>
      <c r="H100" s="3013"/>
      <c r="I100" s="3013"/>
      <c r="J100" s="3013"/>
      <c r="K100" s="3013"/>
      <c r="L100" s="3013"/>
      <c r="M100" s="3014"/>
      <c r="N100" s="2985" t="s">
        <v>2040</v>
      </c>
      <c r="O100" s="2986"/>
      <c r="P100" s="2986"/>
      <c r="Q100" s="2986"/>
      <c r="R100" s="2986"/>
      <c r="S100" s="2987"/>
      <c r="T100" s="779"/>
      <c r="U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19.230769230769234</v>
      </c>
      <c r="D102" s="786">
        <f>C$95</f>
        <v>0.2</v>
      </c>
      <c r="E102" s="787">
        <f>C$96</f>
        <v>0.8</v>
      </c>
      <c r="F102" s="965">
        <v>2500</v>
      </c>
      <c r="G102" s="790">
        <v>6.4000000000000003E-3</v>
      </c>
      <c r="H102" s="966">
        <v>24</v>
      </c>
      <c r="I102" s="785">
        <f>$C$42*$C$43</f>
        <v>3.1042000000000001</v>
      </c>
      <c r="J102" s="789">
        <f>$C$44*$C$45</f>
        <v>2.09</v>
      </c>
      <c r="K102" s="790">
        <f>C$46</f>
        <v>9.1899999999999996E-2</v>
      </c>
      <c r="L102" s="787">
        <f>C$47</f>
        <v>0.95</v>
      </c>
      <c r="M102" s="791">
        <f>C$48</f>
        <v>4.5900000000000003E-3</v>
      </c>
      <c r="N102" s="789">
        <f>C102*D102*((I102-J102)/I102)*F102*K102*L102+O102</f>
        <v>349.03132325682833</v>
      </c>
      <c r="O102" s="789">
        <f>S102 / 1000000 * $C$49</f>
        <v>74.760450171727655</v>
      </c>
      <c r="P102" s="792">
        <f t="shared" ref="P102:P114" si="2">(N102/H102)*G102</f>
        <v>9.3075019535154221E-2</v>
      </c>
      <c r="Q102" s="793">
        <f t="shared" ref="Q102:Q114" si="3">C102*E102*((I102-J102)/I102)*F102*M102*L102</f>
        <v>54.794485634847099</v>
      </c>
      <c r="R102" s="794">
        <f t="shared" ref="R102:R114" si="4">C102*B$72</f>
        <v>230.7692307692308</v>
      </c>
      <c r="S102" s="795">
        <f t="shared" ref="S102:S114" si="5">C102*((I102-J102)/I102)*F102*L102</f>
        <v>14922.245543259012</v>
      </c>
      <c r="T102" s="796"/>
      <c r="U102" s="797">
        <f>B67</f>
        <v>14.27</v>
      </c>
      <c r="V102" s="798">
        <f>C115</f>
        <v>249.99999999999997</v>
      </c>
      <c r="W102" s="799">
        <f>U102*V102</f>
        <v>3567.4999999999995</v>
      </c>
    </row>
    <row r="103" spans="1:23" x14ac:dyDescent="0.35">
      <c r="B103" s="749" t="s">
        <v>2022</v>
      </c>
      <c r="C103" s="800">
        <f t="shared" ref="C103:C114" si="6">D81</f>
        <v>19.230769230769234</v>
      </c>
      <c r="D103" s="802">
        <f t="shared" ref="D103:D114" si="7">C$95</f>
        <v>0.2</v>
      </c>
      <c r="E103" s="803">
        <f t="shared" ref="E103:E114" si="8">C$96</f>
        <v>0.8</v>
      </c>
      <c r="F103" s="967">
        <v>11250</v>
      </c>
      <c r="G103" s="806">
        <v>2.8799999999999999E-2</v>
      </c>
      <c r="H103" s="968">
        <v>109</v>
      </c>
      <c r="I103" s="801">
        <f t="shared" ref="I103:I114" si="9">$C$42*$C$43</f>
        <v>3.1042000000000001</v>
      </c>
      <c r="J103" s="969">
        <f t="shared" ref="J103:J114" si="10">$C$44*$C$45</f>
        <v>2.09</v>
      </c>
      <c r="K103" s="806">
        <f t="shared" ref="K103:K114" si="11">C$46</f>
        <v>9.1899999999999996E-2</v>
      </c>
      <c r="L103" s="803">
        <f t="shared" ref="L103:L114" si="12">C$47</f>
        <v>0.95</v>
      </c>
      <c r="M103" s="807">
        <f t="shared" ref="M103:M114" si="13">C$48</f>
        <v>4.5900000000000003E-3</v>
      </c>
      <c r="N103" s="805">
        <f t="shared" ref="N103:N114" si="14">C103*D103*((I103-J103)/I103)*F103*K103*L103+O103</f>
        <v>1570.6409546557275</v>
      </c>
      <c r="O103" s="805">
        <f t="shared" ref="O103:O114" si="15">S103 / 1000000 * $C$49</f>
        <v>336.42202577277453</v>
      </c>
      <c r="P103" s="808">
        <f t="shared" si="2"/>
        <v>0.41499504123013714</v>
      </c>
      <c r="Q103" s="809">
        <f t="shared" si="3"/>
        <v>246.57518535681197</v>
      </c>
      <c r="R103" s="810">
        <f t="shared" si="4"/>
        <v>230.7692307692308</v>
      </c>
      <c r="S103" s="811">
        <f t="shared" si="5"/>
        <v>67150.104944665567</v>
      </c>
      <c r="T103" s="796"/>
      <c r="U103" s="796"/>
    </row>
    <row r="104" spans="1:23" x14ac:dyDescent="0.35">
      <c r="B104" s="749" t="s">
        <v>2023</v>
      </c>
      <c r="C104" s="800">
        <f t="shared" si="6"/>
        <v>19.230769230769234</v>
      </c>
      <c r="D104" s="802">
        <f t="shared" si="7"/>
        <v>0.2</v>
      </c>
      <c r="E104" s="803">
        <f t="shared" si="8"/>
        <v>0.8</v>
      </c>
      <c r="F104" s="967">
        <v>9581</v>
      </c>
      <c r="G104" s="806">
        <v>8.3999999999999995E-3</v>
      </c>
      <c r="H104" s="968">
        <v>93</v>
      </c>
      <c r="I104" s="801">
        <f t="shared" si="9"/>
        <v>3.1042000000000001</v>
      </c>
      <c r="J104" s="969">
        <f t="shared" si="10"/>
        <v>2.09</v>
      </c>
      <c r="K104" s="806">
        <f t="shared" si="11"/>
        <v>9.1899999999999996E-2</v>
      </c>
      <c r="L104" s="803">
        <f t="shared" si="12"/>
        <v>0.95</v>
      </c>
      <c r="M104" s="807">
        <f t="shared" si="13"/>
        <v>4.5900000000000003E-3</v>
      </c>
      <c r="N104" s="805">
        <f t="shared" si="14"/>
        <v>1337.6276432494687</v>
      </c>
      <c r="O104" s="805">
        <f t="shared" si="15"/>
        <v>286.51194923812903</v>
      </c>
      <c r="P104" s="808">
        <f t="shared" si="2"/>
        <v>0.12081798068059717</v>
      </c>
      <c r="Q104" s="809">
        <f t="shared" si="3"/>
        <v>209.99438674698803</v>
      </c>
      <c r="R104" s="810">
        <f t="shared" si="4"/>
        <v>230.7692307692308</v>
      </c>
      <c r="S104" s="811">
        <f t="shared" si="5"/>
        <v>57188.013819985841</v>
      </c>
      <c r="T104" s="796"/>
      <c r="U104" s="796"/>
    </row>
    <row r="105" spans="1:23" x14ac:dyDescent="0.35">
      <c r="B105" s="749" t="s">
        <v>2024</v>
      </c>
      <c r="C105" s="800">
        <f t="shared" si="6"/>
        <v>19.230769230769234</v>
      </c>
      <c r="D105" s="802">
        <f t="shared" si="7"/>
        <v>0.2</v>
      </c>
      <c r="E105" s="803">
        <f t="shared" si="8"/>
        <v>0.8</v>
      </c>
      <c r="F105" s="967">
        <v>15768</v>
      </c>
      <c r="G105" s="806">
        <v>1.84E-2</v>
      </c>
      <c r="H105" s="968">
        <v>153</v>
      </c>
      <c r="I105" s="801">
        <f t="shared" si="9"/>
        <v>3.1042000000000001</v>
      </c>
      <c r="J105" s="969">
        <f t="shared" si="10"/>
        <v>2.09</v>
      </c>
      <c r="K105" s="806">
        <f t="shared" si="11"/>
        <v>9.1899999999999996E-2</v>
      </c>
      <c r="L105" s="803">
        <f t="shared" si="12"/>
        <v>0.95</v>
      </c>
      <c r="M105" s="807">
        <f t="shared" si="13"/>
        <v>4.5900000000000003E-3</v>
      </c>
      <c r="N105" s="805">
        <f t="shared" si="14"/>
        <v>2201.4103620454675</v>
      </c>
      <c r="O105" s="805">
        <f t="shared" si="15"/>
        <v>471.52911132312062</v>
      </c>
      <c r="P105" s="808">
        <f t="shared" si="2"/>
        <v>0.26474477556625231</v>
      </c>
      <c r="Q105" s="809">
        <f t="shared" si="3"/>
        <v>345.59977979610761</v>
      </c>
      <c r="R105" s="810">
        <f t="shared" si="4"/>
        <v>230.7692307692308</v>
      </c>
      <c r="S105" s="811">
        <f t="shared" si="5"/>
        <v>94117.587090443238</v>
      </c>
      <c r="T105" s="796"/>
      <c r="U105" s="796"/>
    </row>
    <row r="106" spans="1:23" x14ac:dyDescent="0.35">
      <c r="B106" s="749" t="s">
        <v>2025</v>
      </c>
      <c r="C106" s="800">
        <f t="shared" si="6"/>
        <v>19.230769230769234</v>
      </c>
      <c r="D106" s="802">
        <f t="shared" si="7"/>
        <v>0.2</v>
      </c>
      <c r="E106" s="803">
        <f t="shared" si="8"/>
        <v>0.8</v>
      </c>
      <c r="F106" s="967">
        <v>3650</v>
      </c>
      <c r="G106" s="806">
        <v>4.3E-3</v>
      </c>
      <c r="H106" s="968">
        <v>36</v>
      </c>
      <c r="I106" s="801">
        <f t="shared" si="9"/>
        <v>3.1042000000000001</v>
      </c>
      <c r="J106" s="969">
        <f t="shared" si="10"/>
        <v>2.09</v>
      </c>
      <c r="K106" s="806">
        <f t="shared" si="11"/>
        <v>9.1899999999999996E-2</v>
      </c>
      <c r="L106" s="803">
        <f t="shared" si="12"/>
        <v>0.95</v>
      </c>
      <c r="M106" s="807">
        <f t="shared" si="13"/>
        <v>4.5900000000000003E-3</v>
      </c>
      <c r="N106" s="805">
        <f t="shared" si="14"/>
        <v>509.58573195496928</v>
      </c>
      <c r="O106" s="805">
        <f t="shared" si="15"/>
        <v>109.15025725072236</v>
      </c>
      <c r="P106" s="808">
        <f t="shared" si="2"/>
        <v>6.0867184650176882E-2</v>
      </c>
      <c r="Q106" s="809">
        <f t="shared" si="3"/>
        <v>79.999949026876777</v>
      </c>
      <c r="R106" s="810">
        <f t="shared" si="4"/>
        <v>230.7692307692308</v>
      </c>
      <c r="S106" s="811">
        <f t="shared" si="5"/>
        <v>21786.478493158156</v>
      </c>
      <c r="T106" s="796"/>
      <c r="U106" s="796"/>
    </row>
    <row r="107" spans="1:23" x14ac:dyDescent="0.35">
      <c r="B107" s="749" t="s">
        <v>2026</v>
      </c>
      <c r="C107" s="800">
        <f t="shared" si="6"/>
        <v>19.230769230769234</v>
      </c>
      <c r="D107" s="802">
        <f t="shared" si="7"/>
        <v>0.2</v>
      </c>
      <c r="E107" s="803">
        <f t="shared" si="8"/>
        <v>0.8</v>
      </c>
      <c r="F107" s="970">
        <v>3650</v>
      </c>
      <c r="G107" s="806">
        <v>4.3E-3</v>
      </c>
      <c r="H107" s="968">
        <v>36</v>
      </c>
      <c r="I107" s="801">
        <f t="shared" si="9"/>
        <v>3.1042000000000001</v>
      </c>
      <c r="J107" s="969">
        <f t="shared" si="10"/>
        <v>2.09</v>
      </c>
      <c r="K107" s="806">
        <f t="shared" si="11"/>
        <v>9.1899999999999996E-2</v>
      </c>
      <c r="L107" s="803">
        <f t="shared" si="12"/>
        <v>0.95</v>
      </c>
      <c r="M107" s="807">
        <f t="shared" si="13"/>
        <v>4.5900000000000003E-3</v>
      </c>
      <c r="N107" s="805">
        <f t="shared" si="14"/>
        <v>509.58573195496928</v>
      </c>
      <c r="O107" s="805">
        <f t="shared" si="15"/>
        <v>109.15025725072236</v>
      </c>
      <c r="P107" s="808">
        <f t="shared" si="2"/>
        <v>6.0867184650176882E-2</v>
      </c>
      <c r="Q107" s="809">
        <f t="shared" si="3"/>
        <v>79.999949026876777</v>
      </c>
      <c r="R107" s="810">
        <f t="shared" si="4"/>
        <v>230.7692307692308</v>
      </c>
      <c r="S107" s="811">
        <f t="shared" si="5"/>
        <v>21786.478493158156</v>
      </c>
      <c r="T107" s="796"/>
      <c r="U107" s="796"/>
    </row>
    <row r="108" spans="1:23" x14ac:dyDescent="0.35">
      <c r="B108" s="749" t="s">
        <v>2027</v>
      </c>
      <c r="C108" s="800">
        <f t="shared" si="6"/>
        <v>19.230769230769234</v>
      </c>
      <c r="D108" s="802">
        <f t="shared" si="7"/>
        <v>0.2</v>
      </c>
      <c r="E108" s="803">
        <f t="shared" si="8"/>
        <v>0.8</v>
      </c>
      <c r="F108" s="895">
        <v>2500</v>
      </c>
      <c r="G108" s="895">
        <v>6.4000000000000003E-3</v>
      </c>
      <c r="H108" s="895">
        <v>24</v>
      </c>
      <c r="I108" s="801">
        <f t="shared" si="9"/>
        <v>3.1042000000000001</v>
      </c>
      <c r="J108" s="969">
        <f t="shared" si="10"/>
        <v>2.09</v>
      </c>
      <c r="K108" s="806">
        <f t="shared" si="11"/>
        <v>9.1899999999999996E-2</v>
      </c>
      <c r="L108" s="803">
        <f t="shared" si="12"/>
        <v>0.95</v>
      </c>
      <c r="M108" s="807">
        <f t="shared" si="13"/>
        <v>4.5900000000000003E-3</v>
      </c>
      <c r="N108" s="805">
        <f t="shared" si="14"/>
        <v>349.03132325682833</v>
      </c>
      <c r="O108" s="805">
        <f t="shared" si="15"/>
        <v>74.760450171727655</v>
      </c>
      <c r="P108" s="808">
        <f t="shared" si="2"/>
        <v>9.3075019535154221E-2</v>
      </c>
      <c r="Q108" s="809">
        <f t="shared" si="3"/>
        <v>54.794485634847099</v>
      </c>
      <c r="R108" s="810">
        <f t="shared" si="4"/>
        <v>230.7692307692308</v>
      </c>
      <c r="S108" s="811">
        <f t="shared" si="5"/>
        <v>14922.245543259012</v>
      </c>
    </row>
    <row r="109" spans="1:23" x14ac:dyDescent="0.35">
      <c r="B109" s="749" t="s">
        <v>2028</v>
      </c>
      <c r="C109" s="800">
        <f t="shared" si="6"/>
        <v>19.230769230769234</v>
      </c>
      <c r="D109" s="802">
        <f t="shared" si="7"/>
        <v>0.2</v>
      </c>
      <c r="E109" s="803">
        <f t="shared" si="8"/>
        <v>0.8</v>
      </c>
      <c r="F109" s="895">
        <v>3000</v>
      </c>
      <c r="G109" s="895">
        <v>9.5999999999999992E-3</v>
      </c>
      <c r="H109" s="895">
        <v>29</v>
      </c>
      <c r="I109" s="801">
        <f t="shared" si="9"/>
        <v>3.1042000000000001</v>
      </c>
      <c r="J109" s="969">
        <f t="shared" si="10"/>
        <v>2.09</v>
      </c>
      <c r="K109" s="806">
        <f t="shared" si="11"/>
        <v>9.1899999999999996E-2</v>
      </c>
      <c r="L109" s="803">
        <f t="shared" si="12"/>
        <v>0.95</v>
      </c>
      <c r="M109" s="807">
        <f t="shared" si="13"/>
        <v>4.5900000000000003E-3</v>
      </c>
      <c r="N109" s="805">
        <f t="shared" si="14"/>
        <v>418.837587908194</v>
      </c>
      <c r="O109" s="805">
        <f t="shared" si="15"/>
        <v>89.712540206073186</v>
      </c>
      <c r="P109" s="808">
        <f t="shared" si="2"/>
        <v>0.13864968427305732</v>
      </c>
      <c r="Q109" s="809">
        <f t="shared" si="3"/>
        <v>65.753382761816525</v>
      </c>
      <c r="R109" s="810">
        <f t="shared" si="4"/>
        <v>230.7692307692308</v>
      </c>
      <c r="S109" s="811">
        <f t="shared" si="5"/>
        <v>17906.694651910813</v>
      </c>
    </row>
    <row r="110" spans="1:23" x14ac:dyDescent="0.35">
      <c r="B110" s="749" t="s">
        <v>2029</v>
      </c>
      <c r="C110" s="800">
        <f t="shared" si="6"/>
        <v>19.230769230769234</v>
      </c>
      <c r="D110" s="802">
        <f t="shared" si="7"/>
        <v>0.2</v>
      </c>
      <c r="E110" s="803">
        <f t="shared" si="8"/>
        <v>0.8</v>
      </c>
      <c r="F110" s="895">
        <v>9000</v>
      </c>
      <c r="G110" s="895">
        <v>2.8799999999999999E-2</v>
      </c>
      <c r="H110" s="895">
        <v>88</v>
      </c>
      <c r="I110" s="801">
        <f t="shared" si="9"/>
        <v>3.1042000000000001</v>
      </c>
      <c r="J110" s="969">
        <f t="shared" si="10"/>
        <v>2.09</v>
      </c>
      <c r="K110" s="806">
        <f t="shared" si="11"/>
        <v>9.1899999999999996E-2</v>
      </c>
      <c r="L110" s="803">
        <f t="shared" si="12"/>
        <v>0.95</v>
      </c>
      <c r="M110" s="807">
        <f t="shared" si="13"/>
        <v>4.5900000000000003E-3</v>
      </c>
      <c r="N110" s="805">
        <f t="shared" si="14"/>
        <v>1256.5127637245821</v>
      </c>
      <c r="O110" s="805">
        <f t="shared" si="15"/>
        <v>269.13762061821956</v>
      </c>
      <c r="P110" s="808">
        <f t="shared" si="2"/>
        <v>0.41122235903713594</v>
      </c>
      <c r="Q110" s="809">
        <f t="shared" si="3"/>
        <v>197.26014828544962</v>
      </c>
      <c r="R110" s="810">
        <f t="shared" si="4"/>
        <v>230.7692307692308</v>
      </c>
      <c r="S110" s="811">
        <f t="shared" si="5"/>
        <v>53720.083955732443</v>
      </c>
    </row>
    <row r="111" spans="1:23" x14ac:dyDescent="0.35">
      <c r="B111" s="749" t="s">
        <v>2030</v>
      </c>
      <c r="C111" s="800">
        <f t="shared" si="6"/>
        <v>19.230769230769234</v>
      </c>
      <c r="D111" s="802">
        <f t="shared" si="7"/>
        <v>0.2</v>
      </c>
      <c r="E111" s="803">
        <f t="shared" si="8"/>
        <v>0.8</v>
      </c>
      <c r="F111" s="895">
        <v>16425</v>
      </c>
      <c r="G111" s="895">
        <v>1.44E-2</v>
      </c>
      <c r="H111" s="895">
        <v>160</v>
      </c>
      <c r="I111" s="801">
        <f t="shared" si="9"/>
        <v>3.1042000000000001</v>
      </c>
      <c r="J111" s="969">
        <f t="shared" si="10"/>
        <v>2.09</v>
      </c>
      <c r="K111" s="806">
        <f t="shared" si="11"/>
        <v>9.1899999999999996E-2</v>
      </c>
      <c r="L111" s="803">
        <f t="shared" si="12"/>
        <v>0.95</v>
      </c>
      <c r="M111" s="807">
        <f t="shared" si="13"/>
        <v>4.5900000000000003E-3</v>
      </c>
      <c r="N111" s="805">
        <f t="shared" si="14"/>
        <v>2293.1357937973621</v>
      </c>
      <c r="O111" s="805">
        <f t="shared" si="15"/>
        <v>491.17615762825073</v>
      </c>
      <c r="P111" s="808">
        <f t="shared" si="2"/>
        <v>0.20638222144176258</v>
      </c>
      <c r="Q111" s="809">
        <f t="shared" si="3"/>
        <v>359.99977062094547</v>
      </c>
      <c r="R111" s="810">
        <f t="shared" si="4"/>
        <v>230.7692307692308</v>
      </c>
      <c r="S111" s="811">
        <f t="shared" si="5"/>
        <v>98039.153219211716</v>
      </c>
    </row>
    <row r="112" spans="1:23" x14ac:dyDescent="0.35">
      <c r="B112" s="749" t="s">
        <v>2031</v>
      </c>
      <c r="C112" s="800">
        <f t="shared" si="6"/>
        <v>19.230769230769234</v>
      </c>
      <c r="D112" s="802">
        <f t="shared" si="7"/>
        <v>0.2</v>
      </c>
      <c r="E112" s="803">
        <f t="shared" si="8"/>
        <v>0.8</v>
      </c>
      <c r="F112" s="895">
        <v>1825</v>
      </c>
      <c r="G112" s="895">
        <v>5.9999999999999995E-4</v>
      </c>
      <c r="H112" s="895">
        <v>18</v>
      </c>
      <c r="I112" s="801">
        <f t="shared" si="9"/>
        <v>3.1042000000000001</v>
      </c>
      <c r="J112" s="969">
        <f t="shared" si="10"/>
        <v>2.09</v>
      </c>
      <c r="K112" s="806">
        <f t="shared" si="11"/>
        <v>9.1899999999999996E-2</v>
      </c>
      <c r="L112" s="803">
        <f t="shared" si="12"/>
        <v>0.95</v>
      </c>
      <c r="M112" s="807">
        <f t="shared" si="13"/>
        <v>4.5900000000000003E-3</v>
      </c>
      <c r="N112" s="805">
        <f t="shared" si="14"/>
        <v>254.79286597748464</v>
      </c>
      <c r="O112" s="805">
        <f t="shared" si="15"/>
        <v>54.575128625361181</v>
      </c>
      <c r="P112" s="808">
        <f t="shared" si="2"/>
        <v>8.4930955325828207E-3</v>
      </c>
      <c r="Q112" s="809">
        <f t="shared" si="3"/>
        <v>39.999974513438389</v>
      </c>
      <c r="R112" s="810">
        <f t="shared" si="4"/>
        <v>230.7692307692308</v>
      </c>
      <c r="S112" s="811">
        <f t="shared" si="5"/>
        <v>10893.239246579078</v>
      </c>
    </row>
    <row r="113" spans="2:19" x14ac:dyDescent="0.35">
      <c r="B113" s="749" t="s">
        <v>2032</v>
      </c>
      <c r="C113" s="800">
        <f t="shared" si="6"/>
        <v>19.230769230769234</v>
      </c>
      <c r="D113" s="802">
        <f t="shared" si="7"/>
        <v>0.2</v>
      </c>
      <c r="E113" s="803">
        <f t="shared" si="8"/>
        <v>0.8</v>
      </c>
      <c r="F113" s="895">
        <v>1278</v>
      </c>
      <c r="G113" s="895">
        <v>4.0000000000000002E-4</v>
      </c>
      <c r="H113" s="895">
        <v>12</v>
      </c>
      <c r="I113" s="801">
        <f t="shared" si="9"/>
        <v>3.1042000000000001</v>
      </c>
      <c r="J113" s="969">
        <f t="shared" si="10"/>
        <v>2.09</v>
      </c>
      <c r="K113" s="806">
        <f t="shared" si="11"/>
        <v>9.1899999999999996E-2</v>
      </c>
      <c r="L113" s="803">
        <f t="shared" si="12"/>
        <v>0.95</v>
      </c>
      <c r="M113" s="807">
        <f t="shared" si="13"/>
        <v>4.5900000000000003E-3</v>
      </c>
      <c r="N113" s="805">
        <f t="shared" si="14"/>
        <v>178.42481244889063</v>
      </c>
      <c r="O113" s="805">
        <f t="shared" si="15"/>
        <v>38.217542127787176</v>
      </c>
      <c r="P113" s="808">
        <f t="shared" si="2"/>
        <v>5.9474937482963553E-3</v>
      </c>
      <c r="Q113" s="809">
        <f t="shared" si="3"/>
        <v>28.010941056533838</v>
      </c>
      <c r="R113" s="810">
        <f t="shared" si="4"/>
        <v>230.7692307692308</v>
      </c>
      <c r="S113" s="811">
        <f t="shared" si="5"/>
        <v>7628.251921714007</v>
      </c>
    </row>
    <row r="114" spans="2:19" ht="15" thickBot="1" x14ac:dyDescent="0.4">
      <c r="B114" s="765" t="s">
        <v>2033</v>
      </c>
      <c r="C114" s="798">
        <f t="shared" si="6"/>
        <v>19.230769230769234</v>
      </c>
      <c r="D114" s="813">
        <f t="shared" si="7"/>
        <v>0.2</v>
      </c>
      <c r="E114" s="814">
        <f t="shared" si="8"/>
        <v>0.8</v>
      </c>
      <c r="F114" s="744">
        <v>5000</v>
      </c>
      <c r="G114" s="744">
        <v>1.2800000000000001E-2</v>
      </c>
      <c r="H114" s="744">
        <v>49</v>
      </c>
      <c r="I114" s="812">
        <f t="shared" si="9"/>
        <v>3.1042000000000001</v>
      </c>
      <c r="J114" s="971">
        <f t="shared" si="10"/>
        <v>2.09</v>
      </c>
      <c r="K114" s="817">
        <f t="shared" si="11"/>
        <v>9.1899999999999996E-2</v>
      </c>
      <c r="L114" s="814">
        <f t="shared" si="12"/>
        <v>0.95</v>
      </c>
      <c r="M114" s="818">
        <f t="shared" si="13"/>
        <v>4.5900000000000003E-3</v>
      </c>
      <c r="N114" s="816">
        <f t="shared" si="14"/>
        <v>698.06264651365666</v>
      </c>
      <c r="O114" s="816">
        <f t="shared" si="15"/>
        <v>149.52090034345531</v>
      </c>
      <c r="P114" s="819">
        <f t="shared" si="2"/>
        <v>0.18235105868111848</v>
      </c>
      <c r="Q114" s="820">
        <f t="shared" si="3"/>
        <v>109.5889712696942</v>
      </c>
      <c r="R114" s="821">
        <f t="shared" si="4"/>
        <v>230.7692307692308</v>
      </c>
      <c r="S114" s="822">
        <f t="shared" si="5"/>
        <v>29844.491086518025</v>
      </c>
    </row>
    <row r="115" spans="2:19" ht="15" thickBot="1" x14ac:dyDescent="0.4">
      <c r="B115" s="823" t="s">
        <v>284</v>
      </c>
      <c r="C115" s="824">
        <f>SUM(C102:C114)</f>
        <v>249.99999999999997</v>
      </c>
      <c r="M115" s="825" t="s">
        <v>2049</v>
      </c>
      <c r="N115" s="826">
        <f>SUM(N102:N114)</f>
        <v>11926.679540744432</v>
      </c>
      <c r="O115" s="826">
        <f>SUM(O102:O114)</f>
        <v>2554.6243907280709</v>
      </c>
      <c r="P115" s="826">
        <f t="shared" ref="P115:S115" si="16">SUM(P102:P114)</f>
        <v>2.0614881185616025</v>
      </c>
      <c r="Q115" s="826">
        <f t="shared" si="16"/>
        <v>1872.3714097312331</v>
      </c>
      <c r="R115" s="826">
        <f t="shared" si="16"/>
        <v>3000.0000000000009</v>
      </c>
      <c r="S115" s="827">
        <f t="shared" si="16"/>
        <v>509905.0680095951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542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2114</v>
      </c>
    </row>
    <row r="3" spans="1:6" ht="21" x14ac:dyDescent="0.5">
      <c r="A3" s="704" t="s">
        <v>2115</v>
      </c>
    </row>
    <row r="4" spans="1:6" ht="15" thickBot="1" x14ac:dyDescent="0.4"/>
    <row r="5" spans="1:6" x14ac:dyDescent="0.35">
      <c r="B5" s="678" t="s">
        <v>1947</v>
      </c>
      <c r="C5" s="679">
        <f>B77</f>
        <v>25</v>
      </c>
      <c r="D5" s="680"/>
      <c r="E5" s="680"/>
      <c r="F5" s="680"/>
    </row>
    <row r="6" spans="1:6" x14ac:dyDescent="0.35">
      <c r="B6" s="681" t="s">
        <v>1948</v>
      </c>
      <c r="C6" s="682">
        <f>C115</f>
        <v>249.99999999999994</v>
      </c>
      <c r="D6" s="683" t="s">
        <v>2116</v>
      </c>
      <c r="F6" s="680"/>
    </row>
    <row r="7" spans="1:6" x14ac:dyDescent="0.35">
      <c r="B7" s="681" t="s">
        <v>1950</v>
      </c>
      <c r="C7" s="684">
        <f>N115</f>
        <v>12115.20722349559</v>
      </c>
      <c r="D7" s="683"/>
      <c r="E7" s="683"/>
      <c r="F7" s="683"/>
    </row>
    <row r="8" spans="1:6" x14ac:dyDescent="0.35">
      <c r="B8" s="681" t="s">
        <v>1951</v>
      </c>
      <c r="C8" s="682">
        <f>P115</f>
        <v>1.7864553616607557</v>
      </c>
      <c r="D8" s="683"/>
      <c r="E8" s="683"/>
      <c r="F8" s="683"/>
    </row>
    <row r="9" spans="1:6" x14ac:dyDescent="0.35">
      <c r="B9" s="681" t="s">
        <v>1952</v>
      </c>
      <c r="C9" s="684">
        <f>Q115</f>
        <v>1901.9684020810519</v>
      </c>
      <c r="D9" s="683"/>
      <c r="E9" s="683"/>
      <c r="F9" s="683"/>
    </row>
    <row r="10" spans="1:6" x14ac:dyDescent="0.35">
      <c r="B10" s="681" t="s">
        <v>1953</v>
      </c>
      <c r="C10" s="685">
        <f>R115</f>
        <v>6000.0000000000018</v>
      </c>
      <c r="D10" s="686"/>
      <c r="E10" s="686"/>
      <c r="F10" s="686"/>
    </row>
    <row r="11" spans="1:6" x14ac:dyDescent="0.35">
      <c r="B11" s="681" t="s">
        <v>1954</v>
      </c>
      <c r="C11" s="685">
        <f>C10*C95</f>
        <v>1200.0000000000005</v>
      </c>
      <c r="D11" s="686"/>
      <c r="E11" s="686"/>
      <c r="F11" s="686"/>
    </row>
    <row r="12" spans="1:6" x14ac:dyDescent="0.35">
      <c r="B12" s="681" t="s">
        <v>1955</v>
      </c>
      <c r="C12" s="685">
        <f>C10*C96</f>
        <v>4800.0000000000018</v>
      </c>
      <c r="D12" s="686"/>
      <c r="E12" s="686"/>
      <c r="F12" s="686"/>
    </row>
    <row r="13" spans="1:6" x14ac:dyDescent="0.35">
      <c r="B13" s="681" t="s">
        <v>61</v>
      </c>
      <c r="C13" s="687">
        <f>(C7/C6)</f>
        <v>48.460828893982374</v>
      </c>
      <c r="D13" s="686" t="s">
        <v>1956</v>
      </c>
      <c r="E13" s="686"/>
      <c r="F13" s="686"/>
    </row>
    <row r="14" spans="1:6" x14ac:dyDescent="0.35">
      <c r="B14" s="681" t="s">
        <v>62</v>
      </c>
      <c r="C14" s="687">
        <f>(C8/C6)</f>
        <v>7.1458214466430248E-3</v>
      </c>
      <c r="D14" s="686" t="s">
        <v>1956</v>
      </c>
      <c r="E14" s="686"/>
      <c r="F14" s="686"/>
    </row>
    <row r="15" spans="1:6" x14ac:dyDescent="0.35">
      <c r="B15" s="681" t="s">
        <v>63</v>
      </c>
      <c r="C15" s="687">
        <f>(C9/C6)</f>
        <v>7.6078736083242093</v>
      </c>
      <c r="D15" s="686" t="s">
        <v>1956</v>
      </c>
      <c r="E15" s="686"/>
      <c r="F15" s="686"/>
    </row>
    <row r="16" spans="1:6" x14ac:dyDescent="0.35">
      <c r="B16" s="681" t="s">
        <v>1957</v>
      </c>
      <c r="C16" s="688">
        <f>C11/C7</f>
        <v>9.9049069311235888E-2</v>
      </c>
      <c r="D16" s="686"/>
      <c r="E16" s="686"/>
      <c r="F16" s="686"/>
    </row>
    <row r="17" spans="1:6" x14ac:dyDescent="0.35">
      <c r="B17" s="681" t="s">
        <v>1958</v>
      </c>
      <c r="C17" s="689">
        <f>C12/C9</f>
        <v>2.5237012322329062</v>
      </c>
      <c r="D17" s="690"/>
      <c r="E17" s="690"/>
      <c r="F17" s="690"/>
    </row>
    <row r="18" spans="1:6" x14ac:dyDescent="0.35">
      <c r="B18" s="681" t="s">
        <v>1959</v>
      </c>
      <c r="C18" s="691">
        <f>S115</f>
        <v>517965.25111139764</v>
      </c>
    </row>
    <row r="19" spans="1:6" ht="15" thickBot="1" x14ac:dyDescent="0.4">
      <c r="B19" s="692" t="s">
        <v>1960</v>
      </c>
      <c r="C19" s="693">
        <f>W102</f>
        <v>3567.4999999999991</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12842.119656905326</v>
      </c>
      <c r="D24" s="683"/>
      <c r="E24" s="683"/>
      <c r="F24" s="683"/>
    </row>
    <row r="25" spans="1:6" x14ac:dyDescent="0.35">
      <c r="B25" s="681" t="s">
        <v>1966</v>
      </c>
      <c r="C25" s="684">
        <f>C22*C8</f>
        <v>1.8936426833604012</v>
      </c>
      <c r="D25" s="700"/>
      <c r="E25" s="700"/>
      <c r="F25" s="683"/>
    </row>
    <row r="26" spans="1:6" x14ac:dyDescent="0.35">
      <c r="B26" s="681" t="s">
        <v>1967</v>
      </c>
      <c r="C26" s="684">
        <f>C23*C9</f>
        <v>1901.9684020810519</v>
      </c>
      <c r="D26" s="683"/>
      <c r="E26" s="701"/>
      <c r="F26" s="683"/>
    </row>
    <row r="27" spans="1:6" x14ac:dyDescent="0.35">
      <c r="B27" s="681" t="s">
        <v>1968</v>
      </c>
      <c r="C27" s="688">
        <f>C11/C24</f>
        <v>9.3442518218147058E-2</v>
      </c>
      <c r="D27" s="683"/>
      <c r="E27" s="701"/>
      <c r="F27" s="683"/>
    </row>
    <row r="28" spans="1:6" x14ac:dyDescent="0.35">
      <c r="B28" s="681" t="s">
        <v>1969</v>
      </c>
      <c r="C28" s="689">
        <f>C12/C26</f>
        <v>2.5237012322329062</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484.60828893982364</v>
      </c>
      <c r="D33" s="683"/>
      <c r="E33" s="683"/>
      <c r="F33" s="683"/>
    </row>
    <row r="34" spans="1:17" x14ac:dyDescent="0.35">
      <c r="B34" s="681" t="s">
        <v>1973</v>
      </c>
      <c r="C34" s="684">
        <f>C9/C5</f>
        <v>76.078736083242077</v>
      </c>
      <c r="D34" s="706"/>
      <c r="E34" s="706"/>
      <c r="F34" s="706"/>
    </row>
    <row r="35" spans="1:17" x14ac:dyDescent="0.35">
      <c r="B35" s="681" t="s">
        <v>1974</v>
      </c>
      <c r="C35" s="707">
        <f>C10/C5</f>
        <v>240.00000000000009</v>
      </c>
    </row>
    <row r="36" spans="1:17" x14ac:dyDescent="0.35">
      <c r="B36" s="681" t="s">
        <v>1975</v>
      </c>
      <c r="C36" s="708">
        <f>C18/C5</f>
        <v>20718.610044455905</v>
      </c>
    </row>
    <row r="37" spans="1:17" ht="15" thickBot="1" x14ac:dyDescent="0.4">
      <c r="B37" s="692" t="s">
        <v>1976</v>
      </c>
      <c r="C37" s="709">
        <f>C19/C5</f>
        <v>142.69999999999996</v>
      </c>
    </row>
    <row r="38" spans="1:17" x14ac:dyDescent="0.35">
      <c r="H38" s="698"/>
      <c r="I38" s="698"/>
      <c r="J38" s="698"/>
    </row>
    <row r="39" spans="1:17" ht="21" x14ac:dyDescent="0.5">
      <c r="A39" s="704" t="s">
        <v>1977</v>
      </c>
    </row>
    <row r="40" spans="1:17" ht="30.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3.74</v>
      </c>
      <c r="D42" s="714" t="s">
        <v>2152</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2.2000000000000002</v>
      </c>
      <c r="D44" s="698" t="s">
        <v>2152</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681" t="s">
        <v>303</v>
      </c>
      <c r="C47" s="720">
        <v>0.95</v>
      </c>
      <c r="D47" s="698"/>
      <c r="E47" s="698"/>
      <c r="F47" s="698"/>
      <c r="G47" s="698"/>
      <c r="J47" s="873" t="s">
        <v>2129</v>
      </c>
      <c r="K47" s="2496"/>
      <c r="L47" s="2496"/>
      <c r="M47" s="2496"/>
      <c r="N47" s="2496"/>
      <c r="O47" s="2496"/>
      <c r="P47" s="2496"/>
      <c r="Q47" s="874"/>
    </row>
    <row r="48" spans="1:17" x14ac:dyDescent="0.35">
      <c r="B48" s="722" t="s">
        <v>1987</v>
      </c>
      <c r="C48" s="2513">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4">
        <v>5010</v>
      </c>
      <c r="D49" s="2496"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976">
        <v>14.27</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24</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f>1/11</f>
        <v>9.0909090909090912E-2</v>
      </c>
      <c r="D80" s="751">
        <f t="shared" ref="D80:D92" si="0">C80*D$77</f>
        <v>22.727272727272727</v>
      </c>
      <c r="E80" s="698"/>
      <c r="F80" s="698"/>
      <c r="G80" s="698"/>
      <c r="H80" s="698"/>
      <c r="I80" s="698"/>
      <c r="J80" s="698"/>
      <c r="K80" s="698"/>
      <c r="L80" s="698"/>
      <c r="M80" s="698"/>
      <c r="N80" s="698"/>
      <c r="O80" s="698"/>
    </row>
    <row r="81" spans="2:24" ht="18.5" x14ac:dyDescent="0.35">
      <c r="B81" s="749" t="s">
        <v>2022</v>
      </c>
      <c r="C81" s="750">
        <f t="shared" ref="C81:C86" si="1">1/11</f>
        <v>9.0909090909090912E-2</v>
      </c>
      <c r="D81" s="751">
        <f t="shared" si="0"/>
        <v>22.727272727272727</v>
      </c>
      <c r="E81" s="752"/>
      <c r="F81" s="752"/>
      <c r="G81" s="752"/>
      <c r="H81" s="753"/>
      <c r="I81" s="753"/>
      <c r="J81" s="753"/>
      <c r="K81" s="698"/>
      <c r="L81" s="698"/>
      <c r="M81" s="698"/>
      <c r="N81" s="698"/>
      <c r="O81" s="698"/>
      <c r="T81" s="753"/>
      <c r="U81" s="753"/>
      <c r="V81" s="753"/>
      <c r="W81" s="753"/>
      <c r="X81" s="753"/>
    </row>
    <row r="82" spans="2:24" x14ac:dyDescent="0.35">
      <c r="B82" s="749" t="s">
        <v>2023</v>
      </c>
      <c r="C82" s="750">
        <f t="shared" si="1"/>
        <v>9.0909090909090912E-2</v>
      </c>
      <c r="D82" s="751">
        <f t="shared" si="0"/>
        <v>22.727272727272727</v>
      </c>
      <c r="E82" s="712"/>
      <c r="F82" s="974"/>
      <c r="G82" s="712"/>
      <c r="H82" s="754"/>
      <c r="I82" s="712"/>
      <c r="J82" s="754"/>
      <c r="K82" s="698"/>
      <c r="L82" s="698"/>
      <c r="M82" s="698"/>
      <c r="N82" s="698"/>
      <c r="O82" s="698"/>
      <c r="T82" s="753"/>
      <c r="U82" s="753"/>
      <c r="V82" s="753"/>
      <c r="W82" s="753"/>
      <c r="X82" s="753"/>
    </row>
    <row r="83" spans="2:24" x14ac:dyDescent="0.35">
      <c r="B83" s="749" t="s">
        <v>2024</v>
      </c>
      <c r="C83" s="750">
        <f t="shared" si="1"/>
        <v>9.0909090909090912E-2</v>
      </c>
      <c r="D83" s="751">
        <f t="shared" si="0"/>
        <v>22.727272727272727</v>
      </c>
      <c r="E83" s="755"/>
      <c r="F83" s="975"/>
      <c r="G83" s="757"/>
      <c r="H83" s="758"/>
      <c r="I83" s="731"/>
      <c r="J83" s="759"/>
      <c r="K83" s="698"/>
      <c r="L83" s="698"/>
      <c r="M83" s="698"/>
      <c r="N83" s="698"/>
      <c r="O83" s="698"/>
      <c r="T83" s="760"/>
      <c r="U83" s="761"/>
      <c r="V83" s="762"/>
      <c r="W83" s="763"/>
      <c r="X83" s="764"/>
    </row>
    <row r="84" spans="2:24" x14ac:dyDescent="0.35">
      <c r="B84" s="749" t="s">
        <v>2025</v>
      </c>
      <c r="C84" s="750">
        <f t="shared" si="1"/>
        <v>9.0909090909090912E-2</v>
      </c>
      <c r="D84" s="751">
        <f t="shared" si="0"/>
        <v>22.727272727272727</v>
      </c>
      <c r="E84" s="755"/>
      <c r="F84" s="756"/>
      <c r="G84" s="757"/>
      <c r="H84" s="758"/>
      <c r="I84" s="759"/>
      <c r="J84" s="759"/>
      <c r="K84" s="698"/>
      <c r="L84" s="698"/>
      <c r="M84" s="698"/>
      <c r="N84" s="698"/>
      <c r="O84" s="698"/>
      <c r="T84" s="760"/>
      <c r="U84" s="761"/>
      <c r="V84" s="762"/>
      <c r="W84" s="763"/>
      <c r="X84" s="764"/>
    </row>
    <row r="85" spans="2:24" x14ac:dyDescent="0.35">
      <c r="B85" s="749" t="s">
        <v>2026</v>
      </c>
      <c r="C85" s="750">
        <f t="shared" si="1"/>
        <v>9.0909090909090912E-2</v>
      </c>
      <c r="D85" s="751">
        <f t="shared" si="0"/>
        <v>22.727272727272727</v>
      </c>
      <c r="E85" s="755"/>
      <c r="F85" s="756"/>
      <c r="G85" s="757"/>
      <c r="H85" s="758"/>
      <c r="I85" s="759"/>
      <c r="J85" s="759"/>
      <c r="K85" s="698"/>
      <c r="L85" s="698"/>
      <c r="M85" s="698"/>
      <c r="N85" s="698"/>
      <c r="O85" s="698"/>
      <c r="T85" s="760"/>
      <c r="U85" s="761"/>
      <c r="V85" s="762"/>
      <c r="W85" s="763"/>
      <c r="X85" s="764"/>
    </row>
    <row r="86" spans="2:24" x14ac:dyDescent="0.35">
      <c r="B86" s="749" t="s">
        <v>2027</v>
      </c>
      <c r="C86" s="750">
        <f t="shared" si="1"/>
        <v>9.0909090909090912E-2</v>
      </c>
      <c r="D86" s="751">
        <f t="shared" si="0"/>
        <v>22.727272727272727</v>
      </c>
      <c r="E86" s="755"/>
      <c r="F86" s="756"/>
      <c r="G86" s="757"/>
      <c r="H86" s="758"/>
      <c r="I86" s="759"/>
      <c r="J86" s="759"/>
      <c r="K86" s="698"/>
      <c r="L86" s="698"/>
      <c r="M86" s="698"/>
      <c r="N86" s="698"/>
      <c r="O86" s="698"/>
      <c r="T86" s="760"/>
      <c r="U86" s="761"/>
      <c r="V86" s="762"/>
      <c r="W86" s="763"/>
      <c r="X86" s="764"/>
    </row>
    <row r="87" spans="2:24" x14ac:dyDescent="0.35">
      <c r="B87" s="749" t="s">
        <v>2028</v>
      </c>
      <c r="C87" s="750">
        <v>0</v>
      </c>
      <c r="D87" s="751">
        <f t="shared" si="0"/>
        <v>0</v>
      </c>
      <c r="E87" s="755"/>
      <c r="F87" s="756"/>
      <c r="G87" s="757"/>
      <c r="H87" s="758"/>
      <c r="I87" s="759"/>
      <c r="J87" s="759"/>
      <c r="K87" s="698"/>
      <c r="L87" s="698"/>
      <c r="M87" s="698"/>
      <c r="N87" s="698"/>
      <c r="O87" s="698"/>
      <c r="T87" s="760"/>
      <c r="U87" s="761"/>
      <c r="V87" s="762"/>
      <c r="W87" s="763"/>
      <c r="X87" s="764"/>
    </row>
    <row r="88" spans="2:24" x14ac:dyDescent="0.35">
      <c r="B88" s="749" t="s">
        <v>2029</v>
      </c>
      <c r="C88" s="750">
        <v>0</v>
      </c>
      <c r="D88" s="751">
        <f t="shared" si="0"/>
        <v>0</v>
      </c>
      <c r="E88" s="755"/>
      <c r="F88" s="756"/>
      <c r="G88" s="757"/>
      <c r="H88" s="758"/>
      <c r="I88" s="759"/>
      <c r="J88" s="759"/>
      <c r="K88" s="698"/>
      <c r="L88" s="698"/>
      <c r="M88" s="698"/>
      <c r="N88" s="698"/>
      <c r="O88" s="698"/>
      <c r="T88" s="760"/>
      <c r="U88" s="761"/>
      <c r="V88" s="762"/>
      <c r="W88" s="763"/>
      <c r="X88" s="764"/>
    </row>
    <row r="89" spans="2:24" x14ac:dyDescent="0.35">
      <c r="B89" s="749" t="s">
        <v>2030</v>
      </c>
      <c r="C89" s="750">
        <f>1/11</f>
        <v>9.0909090909090912E-2</v>
      </c>
      <c r="D89" s="751">
        <f t="shared" si="0"/>
        <v>22.727272727272727</v>
      </c>
      <c r="E89" s="755"/>
      <c r="F89" s="756"/>
      <c r="G89" s="757"/>
      <c r="H89" s="758"/>
      <c r="I89" s="759"/>
      <c r="J89" s="759"/>
      <c r="K89" s="698"/>
      <c r="L89" s="698"/>
      <c r="M89" s="698"/>
      <c r="N89" s="698"/>
      <c r="O89" s="698"/>
      <c r="T89" s="760"/>
      <c r="U89" s="761"/>
      <c r="V89" s="762"/>
      <c r="W89" s="763"/>
      <c r="X89" s="764"/>
    </row>
    <row r="90" spans="2:24" x14ac:dyDescent="0.35">
      <c r="B90" s="749" t="s">
        <v>2031</v>
      </c>
      <c r="C90" s="750">
        <f t="shared" ref="C90:C92" si="2">1/11</f>
        <v>9.0909090909090912E-2</v>
      </c>
      <c r="D90" s="751">
        <f t="shared" si="0"/>
        <v>22.727272727272727</v>
      </c>
      <c r="E90" s="755"/>
      <c r="F90" s="756"/>
      <c r="G90" s="757"/>
      <c r="H90" s="758"/>
      <c r="I90" s="759"/>
      <c r="J90" s="759"/>
      <c r="K90" s="698"/>
      <c r="L90" s="698"/>
      <c r="M90" s="698"/>
      <c r="N90" s="698"/>
      <c r="O90" s="698"/>
      <c r="T90" s="760"/>
      <c r="U90" s="761"/>
      <c r="V90" s="762"/>
      <c r="W90" s="763"/>
      <c r="X90" s="764"/>
    </row>
    <row r="91" spans="2:24" x14ac:dyDescent="0.35">
      <c r="B91" s="749" t="s">
        <v>2032</v>
      </c>
      <c r="C91" s="750">
        <f t="shared" si="2"/>
        <v>9.0909090909090912E-2</v>
      </c>
      <c r="D91" s="751">
        <f t="shared" si="0"/>
        <v>22.727272727272727</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 t="shared" si="2"/>
        <v>9.0909090909090912E-2</v>
      </c>
      <c r="D92" s="767">
        <f t="shared" si="0"/>
        <v>22.727272727272727</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3012" t="s">
        <v>2039</v>
      </c>
      <c r="G100" s="3013"/>
      <c r="H100" s="3013"/>
      <c r="I100" s="3013"/>
      <c r="J100" s="3013"/>
      <c r="K100" s="3013"/>
      <c r="L100" s="3013"/>
      <c r="M100" s="3014"/>
      <c r="N100" s="2985" t="s">
        <v>2040</v>
      </c>
      <c r="O100" s="2986"/>
      <c r="P100" s="2986"/>
      <c r="Q100" s="2986"/>
      <c r="R100" s="2986"/>
      <c r="S100" s="2987"/>
      <c r="T100" s="779"/>
      <c r="U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22.727272727272727</v>
      </c>
      <c r="D102" s="786">
        <f>C$95</f>
        <v>0.2</v>
      </c>
      <c r="E102" s="787">
        <f>C$96</f>
        <v>0.8</v>
      </c>
      <c r="F102" s="965">
        <v>2500</v>
      </c>
      <c r="G102" s="790">
        <v>6.4000000000000003E-3</v>
      </c>
      <c r="H102" s="966">
        <v>24</v>
      </c>
      <c r="I102" s="785">
        <f>$C$42*$C$43</f>
        <v>3.1042000000000001</v>
      </c>
      <c r="J102" s="789">
        <f>$C$44*$C$45</f>
        <v>2.09</v>
      </c>
      <c r="K102" s="790">
        <f>C$46</f>
        <v>9.1899999999999996E-2</v>
      </c>
      <c r="L102" s="787">
        <f>C$47</f>
        <v>0.95</v>
      </c>
      <c r="M102" s="791">
        <f>C$48</f>
        <v>4.5900000000000003E-3</v>
      </c>
      <c r="N102" s="789">
        <f>C102*D102*((I102-J102)/I102)*F102*K102*L102+O102</f>
        <v>412.49156384897884</v>
      </c>
      <c r="O102" s="789">
        <f>S102 / 1000000 * $C$49</f>
        <v>88.353259293859935</v>
      </c>
      <c r="P102" s="792">
        <f t="shared" ref="P102:P114" si="3">(N102/H102)*G102</f>
        <v>0.10999775035972768</v>
      </c>
      <c r="Q102" s="793">
        <f t="shared" ref="Q102:Q114" si="4">C102*E102*((I102-J102)/I102)*F102*M102*L102</f>
        <v>64.757119386637484</v>
      </c>
      <c r="R102" s="794">
        <f t="shared" ref="R102:R114" si="5">C102*B$72</f>
        <v>545.4545454545455</v>
      </c>
      <c r="S102" s="795">
        <f t="shared" ref="S102:S114" si="6">C102*((I102-J102)/I102)*F102*L102</f>
        <v>17635.381096578829</v>
      </c>
      <c r="T102" s="796"/>
      <c r="U102" s="797">
        <f>B67</f>
        <v>14.27</v>
      </c>
      <c r="V102" s="798">
        <f>C115</f>
        <v>249.99999999999994</v>
      </c>
      <c r="W102" s="799">
        <f>U102*V102</f>
        <v>3567.4999999999991</v>
      </c>
    </row>
    <row r="103" spans="1:23" x14ac:dyDescent="0.35">
      <c r="B103" s="749" t="s">
        <v>2022</v>
      </c>
      <c r="C103" s="800">
        <f t="shared" ref="C103:C114" si="7">D81</f>
        <v>22.727272727272727</v>
      </c>
      <c r="D103" s="802">
        <f t="shared" ref="D103:D114" si="8">C$95</f>
        <v>0.2</v>
      </c>
      <c r="E103" s="803">
        <f t="shared" ref="E103:E114" si="9">C$96</f>
        <v>0.8</v>
      </c>
      <c r="F103" s="967">
        <v>11250</v>
      </c>
      <c r="G103" s="806">
        <v>2.8799999999999999E-2</v>
      </c>
      <c r="H103" s="968">
        <v>109</v>
      </c>
      <c r="I103" s="801">
        <f t="shared" ref="I103:I114" si="10">$C$42*$C$43</f>
        <v>3.1042000000000001</v>
      </c>
      <c r="J103" s="969">
        <f t="shared" ref="J103:J114" si="11">$C$44*$C$45</f>
        <v>2.09</v>
      </c>
      <c r="K103" s="806">
        <f t="shared" ref="K103:K114" si="12">C$46</f>
        <v>9.1899999999999996E-2</v>
      </c>
      <c r="L103" s="803">
        <f t="shared" ref="L103:L114" si="13">C$47</f>
        <v>0.95</v>
      </c>
      <c r="M103" s="807">
        <f t="shared" ref="M103:M114" si="14">C$48</f>
        <v>4.5900000000000003E-3</v>
      </c>
      <c r="N103" s="805">
        <f t="shared" ref="N103:N114" si="15">C103*D103*((I103-J103)/I103)*F103*K103*L103+O103</f>
        <v>1856.2120373204052</v>
      </c>
      <c r="O103" s="805">
        <f t="shared" ref="O103:O114" si="16">S103 / 1000000 * $C$49</f>
        <v>397.58966682236974</v>
      </c>
      <c r="P103" s="808">
        <f t="shared" si="3"/>
        <v>0.49044868509016204</v>
      </c>
      <c r="Q103" s="809">
        <f t="shared" si="4"/>
        <v>291.40703723986871</v>
      </c>
      <c r="R103" s="810">
        <f t="shared" si="5"/>
        <v>545.4545454545455</v>
      </c>
      <c r="S103" s="811">
        <f t="shared" si="6"/>
        <v>79359.214934604737</v>
      </c>
      <c r="T103" s="796"/>
      <c r="U103" s="796"/>
    </row>
    <row r="104" spans="1:23" x14ac:dyDescent="0.35">
      <c r="B104" s="749" t="s">
        <v>2023</v>
      </c>
      <c r="C104" s="800">
        <f t="shared" si="7"/>
        <v>22.727272727272727</v>
      </c>
      <c r="D104" s="802">
        <f t="shared" si="8"/>
        <v>0.2</v>
      </c>
      <c r="E104" s="803">
        <f t="shared" si="9"/>
        <v>0.8</v>
      </c>
      <c r="F104" s="967">
        <v>9581</v>
      </c>
      <c r="G104" s="806">
        <v>8.3999999999999995E-3</v>
      </c>
      <c r="H104" s="968">
        <v>93</v>
      </c>
      <c r="I104" s="801">
        <f t="shared" si="10"/>
        <v>3.1042000000000001</v>
      </c>
      <c r="J104" s="969">
        <f t="shared" si="11"/>
        <v>2.09</v>
      </c>
      <c r="K104" s="806">
        <f t="shared" si="12"/>
        <v>9.1899999999999996E-2</v>
      </c>
      <c r="L104" s="803">
        <f t="shared" si="13"/>
        <v>0.95</v>
      </c>
      <c r="M104" s="807">
        <f t="shared" si="14"/>
        <v>4.5900000000000003E-3</v>
      </c>
      <c r="N104" s="805">
        <f t="shared" si="15"/>
        <v>1580.8326692948265</v>
      </c>
      <c r="O104" s="805">
        <f t="shared" si="16"/>
        <v>338.60503091778884</v>
      </c>
      <c r="P104" s="808">
        <f t="shared" si="3"/>
        <v>0.14278488625888752</v>
      </c>
      <c r="Q104" s="809">
        <f t="shared" si="4"/>
        <v>248.17518433734949</v>
      </c>
      <c r="R104" s="810">
        <f t="shared" si="5"/>
        <v>545.4545454545455</v>
      </c>
      <c r="S104" s="811">
        <f t="shared" si="6"/>
        <v>67585.834514528702</v>
      </c>
      <c r="T104" s="796"/>
      <c r="U104" s="796"/>
    </row>
    <row r="105" spans="1:23" x14ac:dyDescent="0.35">
      <c r="B105" s="749" t="s">
        <v>2024</v>
      </c>
      <c r="C105" s="800">
        <f t="shared" si="7"/>
        <v>22.727272727272727</v>
      </c>
      <c r="D105" s="802">
        <f t="shared" si="8"/>
        <v>0.2</v>
      </c>
      <c r="E105" s="803">
        <f t="shared" si="9"/>
        <v>0.8</v>
      </c>
      <c r="F105" s="967">
        <v>15768</v>
      </c>
      <c r="G105" s="806">
        <v>1.84E-2</v>
      </c>
      <c r="H105" s="968">
        <v>153</v>
      </c>
      <c r="I105" s="801">
        <f t="shared" si="10"/>
        <v>3.1042000000000001</v>
      </c>
      <c r="J105" s="969">
        <f t="shared" si="11"/>
        <v>2.09</v>
      </c>
      <c r="K105" s="806">
        <f t="shared" si="12"/>
        <v>9.1899999999999996E-2</v>
      </c>
      <c r="L105" s="803">
        <f t="shared" si="13"/>
        <v>0.95</v>
      </c>
      <c r="M105" s="807">
        <f t="shared" si="14"/>
        <v>4.5900000000000003E-3</v>
      </c>
      <c r="N105" s="805">
        <f t="shared" si="15"/>
        <v>2601.6667915082794</v>
      </c>
      <c r="O105" s="805">
        <f t="shared" si="16"/>
        <v>557.2616770182334</v>
      </c>
      <c r="P105" s="808">
        <f t="shared" si="3"/>
        <v>0.31288018930557088</v>
      </c>
      <c r="Q105" s="809">
        <f t="shared" si="4"/>
        <v>408.43610339539987</v>
      </c>
      <c r="R105" s="810">
        <f t="shared" si="5"/>
        <v>545.4545454545455</v>
      </c>
      <c r="S105" s="811">
        <f t="shared" si="6"/>
        <v>111229.875652342</v>
      </c>
      <c r="T105" s="796"/>
      <c r="U105" s="796"/>
    </row>
    <row r="106" spans="1:23" x14ac:dyDescent="0.35">
      <c r="B106" s="749" t="s">
        <v>2025</v>
      </c>
      <c r="C106" s="800">
        <f t="shared" si="7"/>
        <v>22.727272727272727</v>
      </c>
      <c r="D106" s="802">
        <f t="shared" si="8"/>
        <v>0.2</v>
      </c>
      <c r="E106" s="803">
        <f t="shared" si="9"/>
        <v>0.8</v>
      </c>
      <c r="F106" s="967">
        <v>3650</v>
      </c>
      <c r="G106" s="806">
        <v>4.3E-3</v>
      </c>
      <c r="H106" s="968">
        <v>36</v>
      </c>
      <c r="I106" s="801">
        <f t="shared" si="10"/>
        <v>3.1042000000000001</v>
      </c>
      <c r="J106" s="969">
        <f t="shared" si="11"/>
        <v>2.09</v>
      </c>
      <c r="K106" s="806">
        <f t="shared" si="12"/>
        <v>9.1899999999999996E-2</v>
      </c>
      <c r="L106" s="803">
        <f t="shared" si="13"/>
        <v>0.95</v>
      </c>
      <c r="M106" s="807">
        <f t="shared" si="14"/>
        <v>4.5900000000000003E-3</v>
      </c>
      <c r="N106" s="805">
        <f t="shared" si="15"/>
        <v>602.23768321950922</v>
      </c>
      <c r="O106" s="805">
        <f t="shared" si="16"/>
        <v>128.99575856903553</v>
      </c>
      <c r="P106" s="808">
        <f t="shared" si="3"/>
        <v>7.1933945495663593E-2</v>
      </c>
      <c r="Q106" s="809">
        <f t="shared" si="4"/>
        <v>94.545394304490713</v>
      </c>
      <c r="R106" s="810">
        <f t="shared" si="5"/>
        <v>545.4545454545455</v>
      </c>
      <c r="S106" s="811">
        <f t="shared" si="6"/>
        <v>25747.656401005093</v>
      </c>
      <c r="T106" s="796"/>
      <c r="U106" s="796"/>
    </row>
    <row r="107" spans="1:23" x14ac:dyDescent="0.35">
      <c r="B107" s="749" t="s">
        <v>2026</v>
      </c>
      <c r="C107" s="800">
        <f t="shared" si="7"/>
        <v>22.727272727272727</v>
      </c>
      <c r="D107" s="802">
        <f t="shared" si="8"/>
        <v>0.2</v>
      </c>
      <c r="E107" s="803">
        <f t="shared" si="9"/>
        <v>0.8</v>
      </c>
      <c r="F107" s="970">
        <v>3650</v>
      </c>
      <c r="G107" s="806">
        <v>4.3E-3</v>
      </c>
      <c r="H107" s="968">
        <v>36</v>
      </c>
      <c r="I107" s="801">
        <f t="shared" si="10"/>
        <v>3.1042000000000001</v>
      </c>
      <c r="J107" s="969">
        <f t="shared" si="11"/>
        <v>2.09</v>
      </c>
      <c r="K107" s="806">
        <f t="shared" si="12"/>
        <v>9.1899999999999996E-2</v>
      </c>
      <c r="L107" s="803">
        <f t="shared" si="13"/>
        <v>0.95</v>
      </c>
      <c r="M107" s="807">
        <f t="shared" si="14"/>
        <v>4.5900000000000003E-3</v>
      </c>
      <c r="N107" s="805">
        <f t="shared" si="15"/>
        <v>602.23768321950922</v>
      </c>
      <c r="O107" s="805">
        <f t="shared" si="16"/>
        <v>128.99575856903553</v>
      </c>
      <c r="P107" s="808">
        <f t="shared" si="3"/>
        <v>7.1933945495663593E-2</v>
      </c>
      <c r="Q107" s="809">
        <f t="shared" si="4"/>
        <v>94.545394304490713</v>
      </c>
      <c r="R107" s="810">
        <f t="shared" si="5"/>
        <v>545.4545454545455</v>
      </c>
      <c r="S107" s="811">
        <f t="shared" si="6"/>
        <v>25747.656401005093</v>
      </c>
      <c r="T107" s="796"/>
      <c r="U107" s="796"/>
    </row>
    <row r="108" spans="1:23" x14ac:dyDescent="0.35">
      <c r="B108" s="749" t="s">
        <v>2027</v>
      </c>
      <c r="C108" s="800">
        <f t="shared" si="7"/>
        <v>22.727272727272727</v>
      </c>
      <c r="D108" s="802">
        <f t="shared" si="8"/>
        <v>0.2</v>
      </c>
      <c r="E108" s="803">
        <f t="shared" si="9"/>
        <v>0.8</v>
      </c>
      <c r="F108" s="895">
        <v>2500</v>
      </c>
      <c r="G108" s="895">
        <v>6.4000000000000003E-3</v>
      </c>
      <c r="H108" s="895">
        <v>24</v>
      </c>
      <c r="I108" s="801">
        <f t="shared" si="10"/>
        <v>3.1042000000000001</v>
      </c>
      <c r="J108" s="969">
        <f t="shared" si="11"/>
        <v>2.09</v>
      </c>
      <c r="K108" s="806">
        <f t="shared" si="12"/>
        <v>9.1899999999999996E-2</v>
      </c>
      <c r="L108" s="803">
        <f t="shared" si="13"/>
        <v>0.95</v>
      </c>
      <c r="M108" s="807">
        <f t="shared" si="14"/>
        <v>4.5900000000000003E-3</v>
      </c>
      <c r="N108" s="805">
        <f t="shared" si="15"/>
        <v>412.49156384897884</v>
      </c>
      <c r="O108" s="805">
        <f t="shared" si="16"/>
        <v>88.353259293859935</v>
      </c>
      <c r="P108" s="808">
        <f t="shared" si="3"/>
        <v>0.10999775035972768</v>
      </c>
      <c r="Q108" s="809">
        <f t="shared" si="4"/>
        <v>64.757119386637484</v>
      </c>
      <c r="R108" s="810">
        <f t="shared" si="5"/>
        <v>545.4545454545455</v>
      </c>
      <c r="S108" s="811">
        <f t="shared" si="6"/>
        <v>17635.381096578829</v>
      </c>
    </row>
    <row r="109" spans="1:23" x14ac:dyDescent="0.35">
      <c r="B109" s="749" t="s">
        <v>2028</v>
      </c>
      <c r="C109" s="800">
        <f t="shared" si="7"/>
        <v>0</v>
      </c>
      <c r="D109" s="802">
        <f t="shared" si="8"/>
        <v>0.2</v>
      </c>
      <c r="E109" s="803">
        <f t="shared" si="9"/>
        <v>0.8</v>
      </c>
      <c r="F109" s="895">
        <v>3000</v>
      </c>
      <c r="G109" s="895">
        <v>9.5999999999999992E-3</v>
      </c>
      <c r="H109" s="895">
        <v>29</v>
      </c>
      <c r="I109" s="801">
        <f t="shared" si="10"/>
        <v>3.1042000000000001</v>
      </c>
      <c r="J109" s="969">
        <f t="shared" si="11"/>
        <v>2.09</v>
      </c>
      <c r="K109" s="806">
        <f t="shared" si="12"/>
        <v>9.1899999999999996E-2</v>
      </c>
      <c r="L109" s="803">
        <f t="shared" si="13"/>
        <v>0.95</v>
      </c>
      <c r="M109" s="807">
        <f t="shared" si="14"/>
        <v>4.5900000000000003E-3</v>
      </c>
      <c r="N109" s="805">
        <f t="shared" si="15"/>
        <v>0</v>
      </c>
      <c r="O109" s="805">
        <f t="shared" si="16"/>
        <v>0</v>
      </c>
      <c r="P109" s="808">
        <f t="shared" si="3"/>
        <v>0</v>
      </c>
      <c r="Q109" s="809">
        <f t="shared" si="4"/>
        <v>0</v>
      </c>
      <c r="R109" s="810">
        <f t="shared" si="5"/>
        <v>0</v>
      </c>
      <c r="S109" s="811">
        <f t="shared" si="6"/>
        <v>0</v>
      </c>
    </row>
    <row r="110" spans="1:23" x14ac:dyDescent="0.35">
      <c r="B110" s="749" t="s">
        <v>2029</v>
      </c>
      <c r="C110" s="800">
        <f t="shared" si="7"/>
        <v>0</v>
      </c>
      <c r="D110" s="802">
        <f t="shared" si="8"/>
        <v>0.2</v>
      </c>
      <c r="E110" s="803">
        <f t="shared" si="9"/>
        <v>0.8</v>
      </c>
      <c r="F110" s="895">
        <v>9000</v>
      </c>
      <c r="G110" s="895">
        <v>2.8799999999999999E-2</v>
      </c>
      <c r="H110" s="895">
        <v>88</v>
      </c>
      <c r="I110" s="801">
        <f t="shared" si="10"/>
        <v>3.1042000000000001</v>
      </c>
      <c r="J110" s="969">
        <f t="shared" si="11"/>
        <v>2.09</v>
      </c>
      <c r="K110" s="806">
        <f t="shared" si="12"/>
        <v>9.1899999999999996E-2</v>
      </c>
      <c r="L110" s="803">
        <f t="shared" si="13"/>
        <v>0.95</v>
      </c>
      <c r="M110" s="807">
        <f t="shared" si="14"/>
        <v>4.5900000000000003E-3</v>
      </c>
      <c r="N110" s="805">
        <f t="shared" si="15"/>
        <v>0</v>
      </c>
      <c r="O110" s="805">
        <f t="shared" si="16"/>
        <v>0</v>
      </c>
      <c r="P110" s="808">
        <f t="shared" si="3"/>
        <v>0</v>
      </c>
      <c r="Q110" s="809">
        <f t="shared" si="4"/>
        <v>0</v>
      </c>
      <c r="R110" s="810">
        <f t="shared" si="5"/>
        <v>0</v>
      </c>
      <c r="S110" s="811">
        <f t="shared" si="6"/>
        <v>0</v>
      </c>
    </row>
    <row r="111" spans="1:23" x14ac:dyDescent="0.35">
      <c r="B111" s="749" t="s">
        <v>2030</v>
      </c>
      <c r="C111" s="800">
        <f t="shared" si="7"/>
        <v>22.727272727272727</v>
      </c>
      <c r="D111" s="802">
        <f t="shared" si="8"/>
        <v>0.2</v>
      </c>
      <c r="E111" s="803">
        <f t="shared" si="9"/>
        <v>0.8</v>
      </c>
      <c r="F111" s="895">
        <v>16425</v>
      </c>
      <c r="G111" s="895">
        <v>1.44E-2</v>
      </c>
      <c r="H111" s="895">
        <v>160</v>
      </c>
      <c r="I111" s="801">
        <f t="shared" si="10"/>
        <v>3.1042000000000001</v>
      </c>
      <c r="J111" s="969">
        <f t="shared" si="11"/>
        <v>2.09</v>
      </c>
      <c r="K111" s="806">
        <f t="shared" si="12"/>
        <v>9.1899999999999996E-2</v>
      </c>
      <c r="L111" s="803">
        <f t="shared" si="13"/>
        <v>0.95</v>
      </c>
      <c r="M111" s="807">
        <f t="shared" si="14"/>
        <v>4.5900000000000003E-3</v>
      </c>
      <c r="N111" s="805">
        <f t="shared" si="15"/>
        <v>2710.0695744877912</v>
      </c>
      <c r="O111" s="805">
        <f t="shared" si="16"/>
        <v>580.48091356065981</v>
      </c>
      <c r="P111" s="808">
        <f t="shared" si="3"/>
        <v>0.2439062617039012</v>
      </c>
      <c r="Q111" s="809">
        <f t="shared" si="4"/>
        <v>425.45427437020822</v>
      </c>
      <c r="R111" s="810">
        <f t="shared" si="5"/>
        <v>545.4545454545455</v>
      </c>
      <c r="S111" s="811">
        <f t="shared" si="6"/>
        <v>115864.45380452291</v>
      </c>
    </row>
    <row r="112" spans="1:23" x14ac:dyDescent="0.35">
      <c r="B112" s="749" t="s">
        <v>2031</v>
      </c>
      <c r="C112" s="800">
        <f t="shared" si="7"/>
        <v>22.727272727272727</v>
      </c>
      <c r="D112" s="802">
        <f t="shared" si="8"/>
        <v>0.2</v>
      </c>
      <c r="E112" s="803">
        <f t="shared" si="9"/>
        <v>0.8</v>
      </c>
      <c r="F112" s="895">
        <v>1825</v>
      </c>
      <c r="G112" s="895">
        <v>5.9999999999999995E-4</v>
      </c>
      <c r="H112" s="895">
        <v>18</v>
      </c>
      <c r="I112" s="801">
        <f t="shared" si="10"/>
        <v>3.1042000000000001</v>
      </c>
      <c r="J112" s="969">
        <f t="shared" si="11"/>
        <v>2.09</v>
      </c>
      <c r="K112" s="806">
        <f t="shared" si="12"/>
        <v>9.1899999999999996E-2</v>
      </c>
      <c r="L112" s="803">
        <f t="shared" si="13"/>
        <v>0.95</v>
      </c>
      <c r="M112" s="807">
        <f t="shared" si="14"/>
        <v>4.5900000000000003E-3</v>
      </c>
      <c r="N112" s="805">
        <f t="shared" si="15"/>
        <v>301.11884160975461</v>
      </c>
      <c r="O112" s="805">
        <f t="shared" si="16"/>
        <v>64.497879284517765</v>
      </c>
      <c r="P112" s="808">
        <f t="shared" si="3"/>
        <v>1.0037294720325152E-2</v>
      </c>
      <c r="Q112" s="809">
        <f t="shared" si="4"/>
        <v>47.272697152245357</v>
      </c>
      <c r="R112" s="810">
        <f t="shared" si="5"/>
        <v>545.4545454545455</v>
      </c>
      <c r="S112" s="811">
        <f t="shared" si="6"/>
        <v>12873.828200502547</v>
      </c>
    </row>
    <row r="113" spans="2:19" x14ac:dyDescent="0.35">
      <c r="B113" s="749" t="s">
        <v>2032</v>
      </c>
      <c r="C113" s="800">
        <f t="shared" si="7"/>
        <v>22.727272727272727</v>
      </c>
      <c r="D113" s="802">
        <f t="shared" si="8"/>
        <v>0.2</v>
      </c>
      <c r="E113" s="803">
        <f t="shared" si="9"/>
        <v>0.8</v>
      </c>
      <c r="F113" s="895">
        <v>1278</v>
      </c>
      <c r="G113" s="895">
        <v>4.0000000000000002E-4</v>
      </c>
      <c r="H113" s="895">
        <v>12</v>
      </c>
      <c r="I113" s="801">
        <f t="shared" si="10"/>
        <v>3.1042000000000001</v>
      </c>
      <c r="J113" s="969">
        <f t="shared" si="11"/>
        <v>2.09</v>
      </c>
      <c r="K113" s="806">
        <f t="shared" si="12"/>
        <v>9.1899999999999996E-2</v>
      </c>
      <c r="L113" s="803">
        <f t="shared" si="13"/>
        <v>0.95</v>
      </c>
      <c r="M113" s="807">
        <f t="shared" si="14"/>
        <v>4.5900000000000003E-3</v>
      </c>
      <c r="N113" s="805">
        <f t="shared" si="15"/>
        <v>210.86568743959799</v>
      </c>
      <c r="O113" s="805">
        <f t="shared" si="16"/>
        <v>45.166186151021201</v>
      </c>
      <c r="P113" s="808">
        <f t="shared" si="3"/>
        <v>7.0288562479866009E-3</v>
      </c>
      <c r="Q113" s="809">
        <f t="shared" si="4"/>
        <v>33.103839430449078</v>
      </c>
      <c r="R113" s="810">
        <f t="shared" si="5"/>
        <v>545.4545454545455</v>
      </c>
      <c r="S113" s="811">
        <f t="shared" si="6"/>
        <v>9015.2068165710989</v>
      </c>
    </row>
    <row r="114" spans="2:19" ht="15" thickBot="1" x14ac:dyDescent="0.4">
      <c r="B114" s="765" t="s">
        <v>2033</v>
      </c>
      <c r="C114" s="798">
        <f t="shared" si="7"/>
        <v>22.727272727272727</v>
      </c>
      <c r="D114" s="813">
        <f t="shared" si="8"/>
        <v>0.2</v>
      </c>
      <c r="E114" s="814">
        <f t="shared" si="9"/>
        <v>0.8</v>
      </c>
      <c r="F114" s="744">
        <v>5000</v>
      </c>
      <c r="G114" s="744">
        <v>1.2800000000000001E-2</v>
      </c>
      <c r="H114" s="744">
        <v>49</v>
      </c>
      <c r="I114" s="812">
        <f t="shared" si="10"/>
        <v>3.1042000000000001</v>
      </c>
      <c r="J114" s="971">
        <f t="shared" si="11"/>
        <v>2.09</v>
      </c>
      <c r="K114" s="817">
        <f t="shared" si="12"/>
        <v>9.1899999999999996E-2</v>
      </c>
      <c r="L114" s="814">
        <f t="shared" si="13"/>
        <v>0.95</v>
      </c>
      <c r="M114" s="818">
        <f t="shared" si="14"/>
        <v>4.5900000000000003E-3</v>
      </c>
      <c r="N114" s="816">
        <f t="shared" si="15"/>
        <v>824.98312769795768</v>
      </c>
      <c r="O114" s="816">
        <f t="shared" si="16"/>
        <v>176.70651858771987</v>
      </c>
      <c r="P114" s="819">
        <f t="shared" si="3"/>
        <v>0.21550579662313998</v>
      </c>
      <c r="Q114" s="820">
        <f t="shared" si="4"/>
        <v>129.51423877327497</v>
      </c>
      <c r="R114" s="821">
        <f t="shared" si="5"/>
        <v>545.4545454545455</v>
      </c>
      <c r="S114" s="822">
        <f t="shared" si="6"/>
        <v>35270.762193157658</v>
      </c>
    </row>
    <row r="115" spans="2:19" ht="15" thickBot="1" x14ac:dyDescent="0.4">
      <c r="B115" s="823" t="s">
        <v>284</v>
      </c>
      <c r="C115" s="824">
        <f>SUM(C102:C114)</f>
        <v>249.99999999999994</v>
      </c>
      <c r="M115" s="825" t="s">
        <v>2049</v>
      </c>
      <c r="N115" s="826">
        <f>SUM(N102:N114)</f>
        <v>12115.20722349559</v>
      </c>
      <c r="O115" s="826">
        <f>SUM(O102:O114)</f>
        <v>2595.0059080681017</v>
      </c>
      <c r="P115" s="826">
        <f t="shared" ref="P115:S115" si="17">SUM(P102:P114)</f>
        <v>1.7864553616607557</v>
      </c>
      <c r="Q115" s="826">
        <f t="shared" si="17"/>
        <v>1901.9684020810519</v>
      </c>
      <c r="R115" s="826">
        <f t="shared" si="17"/>
        <v>6000.0000000000018</v>
      </c>
      <c r="S115" s="827">
        <f t="shared" si="17"/>
        <v>517965.25111139764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X11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4"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2114</v>
      </c>
    </row>
    <row r="3" spans="1:6" ht="21" x14ac:dyDescent="0.5">
      <c r="A3" s="704" t="s">
        <v>2115</v>
      </c>
    </row>
    <row r="4" spans="1:6" ht="15" thickBot="1" x14ac:dyDescent="0.4"/>
    <row r="5" spans="1:6" x14ac:dyDescent="0.35">
      <c r="B5" s="678" t="s">
        <v>1947</v>
      </c>
      <c r="C5" s="679">
        <f>B77</f>
        <v>25</v>
      </c>
      <c r="D5" s="680"/>
      <c r="E5" s="680"/>
      <c r="F5" s="680"/>
    </row>
    <row r="6" spans="1:6" x14ac:dyDescent="0.35">
      <c r="B6" s="681" t="s">
        <v>1948</v>
      </c>
      <c r="C6" s="682">
        <f>C115</f>
        <v>250</v>
      </c>
      <c r="D6" s="683" t="s">
        <v>2116</v>
      </c>
      <c r="F6" s="680"/>
    </row>
    <row r="7" spans="1:6" x14ac:dyDescent="0.35">
      <c r="B7" s="681" t="s">
        <v>1950</v>
      </c>
      <c r="C7" s="684">
        <f>N115</f>
        <v>10284.789658634541</v>
      </c>
      <c r="D7" s="683"/>
      <c r="E7" s="683"/>
      <c r="F7" s="683"/>
    </row>
    <row r="8" spans="1:6" x14ac:dyDescent="0.35">
      <c r="B8" s="681" t="s">
        <v>1951</v>
      </c>
      <c r="C8" s="682">
        <f>P115</f>
        <v>3.1729667752956838</v>
      </c>
      <c r="D8" s="683"/>
      <c r="E8" s="683"/>
      <c r="F8" s="683"/>
    </row>
    <row r="9" spans="1:6" x14ac:dyDescent="0.35">
      <c r="B9" s="681" t="s">
        <v>1952</v>
      </c>
      <c r="C9" s="684">
        <f>Q115</f>
        <v>1614.6108433734946</v>
      </c>
      <c r="D9" s="683"/>
      <c r="E9" s="683"/>
      <c r="F9" s="683"/>
    </row>
    <row r="10" spans="1:6" x14ac:dyDescent="0.35">
      <c r="B10" s="681" t="s">
        <v>1953</v>
      </c>
      <c r="C10" s="685">
        <f>R115</f>
        <v>6000</v>
      </c>
      <c r="D10" s="686"/>
      <c r="E10" s="686"/>
      <c r="F10" s="686"/>
    </row>
    <row r="11" spans="1:6" x14ac:dyDescent="0.35">
      <c r="B11" s="681" t="s">
        <v>1954</v>
      </c>
      <c r="C11" s="685">
        <f>C10*C95</f>
        <v>1200</v>
      </c>
      <c r="D11" s="686"/>
      <c r="E11" s="686"/>
      <c r="F11" s="686"/>
    </row>
    <row r="12" spans="1:6" x14ac:dyDescent="0.35">
      <c r="B12" s="681" t="s">
        <v>1955</v>
      </c>
      <c r="C12" s="685">
        <f>C10*C96</f>
        <v>4800</v>
      </c>
      <c r="D12" s="686"/>
      <c r="E12" s="686"/>
      <c r="F12" s="686"/>
    </row>
    <row r="13" spans="1:6" x14ac:dyDescent="0.35">
      <c r="B13" s="681" t="s">
        <v>61</v>
      </c>
      <c r="C13" s="687">
        <f>(C7/C6)</f>
        <v>41.139158634538163</v>
      </c>
      <c r="D13" s="686" t="s">
        <v>1956</v>
      </c>
      <c r="E13" s="686"/>
      <c r="F13" s="686"/>
    </row>
    <row r="14" spans="1:6" x14ac:dyDescent="0.35">
      <c r="B14" s="681" t="s">
        <v>62</v>
      </c>
      <c r="C14" s="687">
        <f>(C8/C6)</f>
        <v>1.2691867101182735E-2</v>
      </c>
      <c r="D14" s="686" t="s">
        <v>1956</v>
      </c>
      <c r="E14" s="686"/>
      <c r="F14" s="686"/>
    </row>
    <row r="15" spans="1:6" x14ac:dyDescent="0.35">
      <c r="B15" s="681" t="s">
        <v>63</v>
      </c>
      <c r="C15" s="687">
        <f>(C9/C6)</f>
        <v>6.4584433734939788</v>
      </c>
      <c r="D15" s="686" t="s">
        <v>1956</v>
      </c>
      <c r="E15" s="686"/>
      <c r="F15" s="686"/>
    </row>
    <row r="16" spans="1:6" x14ac:dyDescent="0.35">
      <c r="B16" s="681" t="s">
        <v>1957</v>
      </c>
      <c r="C16" s="688">
        <f>C11/C7</f>
        <v>0.11667715527779864</v>
      </c>
      <c r="D16" s="686"/>
      <c r="E16" s="686"/>
      <c r="F16" s="686"/>
    </row>
    <row r="17" spans="1:6" x14ac:dyDescent="0.35">
      <c r="B17" s="681" t="s">
        <v>1958</v>
      </c>
      <c r="C17" s="689">
        <f>C12/C9</f>
        <v>2.9728525729277884</v>
      </c>
      <c r="D17" s="690"/>
      <c r="E17" s="690"/>
      <c r="F17" s="690"/>
    </row>
    <row r="18" spans="1:6" x14ac:dyDescent="0.35">
      <c r="B18" s="681" t="s">
        <v>1959</v>
      </c>
      <c r="C18" s="691">
        <f>S115</f>
        <v>439708.83534136554</v>
      </c>
    </row>
    <row r="19" spans="1:6" ht="15" thickBot="1" x14ac:dyDescent="0.4">
      <c r="B19" s="692" t="s">
        <v>1960</v>
      </c>
      <c r="C19" s="693">
        <f>W102</f>
        <v>3567.5</v>
      </c>
    </row>
    <row r="20" spans="1:6" x14ac:dyDescent="0.35">
      <c r="B20" s="694" t="s">
        <v>1961</v>
      </c>
      <c r="C20" s="695"/>
      <c r="D20" s="696"/>
      <c r="E20" s="680"/>
      <c r="F20" s="696"/>
    </row>
    <row r="21" spans="1:6" ht="15" thickBot="1" x14ac:dyDescent="0.4">
      <c r="C21" s="694"/>
      <c r="D21" s="696"/>
      <c r="E21" s="680"/>
      <c r="F21" s="696"/>
    </row>
    <row r="22" spans="1:6" x14ac:dyDescent="0.35">
      <c r="B22" s="678" t="s">
        <v>1962</v>
      </c>
      <c r="C22" s="942">
        <v>1.06</v>
      </c>
      <c r="D22" s="680" t="s">
        <v>1963</v>
      </c>
      <c r="E22" s="698"/>
      <c r="F22" s="680"/>
    </row>
    <row r="23" spans="1:6" x14ac:dyDescent="0.35">
      <c r="B23" s="681" t="s">
        <v>1964</v>
      </c>
      <c r="C23" s="943">
        <v>1</v>
      </c>
      <c r="D23" s="680"/>
      <c r="E23" s="698"/>
      <c r="F23" s="680"/>
    </row>
    <row r="24" spans="1:6" x14ac:dyDescent="0.35">
      <c r="B24" s="681" t="s">
        <v>1965</v>
      </c>
      <c r="C24" s="684">
        <f>C22*C7</f>
        <v>10901.877038152614</v>
      </c>
      <c r="D24" s="683"/>
      <c r="E24" s="683"/>
      <c r="F24" s="683"/>
    </row>
    <row r="25" spans="1:6" x14ac:dyDescent="0.35">
      <c r="B25" s="681" t="s">
        <v>1966</v>
      </c>
      <c r="C25" s="684">
        <f>C22*C8</f>
        <v>3.3633447818134252</v>
      </c>
      <c r="D25" s="700"/>
      <c r="E25" s="700"/>
      <c r="F25" s="683"/>
    </row>
    <row r="26" spans="1:6" x14ac:dyDescent="0.35">
      <c r="B26" s="681" t="s">
        <v>1967</v>
      </c>
      <c r="C26" s="684">
        <f>C23*C9</f>
        <v>1614.6108433734946</v>
      </c>
      <c r="D26" s="683"/>
      <c r="E26" s="701"/>
      <c r="F26" s="683"/>
    </row>
    <row r="27" spans="1:6" x14ac:dyDescent="0.35">
      <c r="B27" s="681" t="s">
        <v>1968</v>
      </c>
      <c r="C27" s="688">
        <f>C11/C24</f>
        <v>0.11007278799792324</v>
      </c>
      <c r="D27" s="683"/>
      <c r="E27" s="701"/>
      <c r="F27" s="683"/>
    </row>
    <row r="28" spans="1:6" x14ac:dyDescent="0.35">
      <c r="B28" s="681" t="s">
        <v>1969</v>
      </c>
      <c r="C28" s="689">
        <f>C12/C26</f>
        <v>2.9728525729277884</v>
      </c>
      <c r="D28" s="690"/>
      <c r="E28" s="690"/>
      <c r="F28" s="690"/>
    </row>
    <row r="29" spans="1:6" ht="15" thickBot="1" x14ac:dyDescent="0.4">
      <c r="B29" s="692" t="s">
        <v>1970</v>
      </c>
      <c r="C29" s="2501">
        <v>10</v>
      </c>
      <c r="D29" s="680"/>
      <c r="E29" s="680"/>
      <c r="F29" s="680"/>
    </row>
    <row r="30" spans="1:6" x14ac:dyDescent="0.35">
      <c r="B30" s="703"/>
      <c r="C30" s="703"/>
    </row>
    <row r="31" spans="1:6" ht="21" x14ac:dyDescent="0.5">
      <c r="A31" s="704" t="s">
        <v>1971</v>
      </c>
      <c r="B31" s="703"/>
      <c r="C31" s="703"/>
    </row>
    <row r="32" spans="1:6" ht="15" customHeight="1" thickBot="1" x14ac:dyDescent="0.4"/>
    <row r="33" spans="1:17" x14ac:dyDescent="0.35">
      <c r="B33" s="678" t="s">
        <v>1972</v>
      </c>
      <c r="C33" s="705">
        <f>C7/C5</f>
        <v>411.39158634538165</v>
      </c>
      <c r="D33" s="683"/>
      <c r="E33" s="683"/>
      <c r="F33" s="683"/>
    </row>
    <row r="34" spans="1:17" x14ac:dyDescent="0.35">
      <c r="B34" s="681" t="s">
        <v>1973</v>
      </c>
      <c r="C34" s="684">
        <f>C9/C5</f>
        <v>64.584433734939779</v>
      </c>
      <c r="D34" s="706"/>
      <c r="E34" s="706"/>
      <c r="F34" s="706"/>
    </row>
    <row r="35" spans="1:17" x14ac:dyDescent="0.35">
      <c r="B35" s="681" t="s">
        <v>1974</v>
      </c>
      <c r="C35" s="707">
        <f>C10/C5</f>
        <v>240</v>
      </c>
    </row>
    <row r="36" spans="1:17" x14ac:dyDescent="0.35">
      <c r="B36" s="681" t="s">
        <v>1975</v>
      </c>
      <c r="C36" s="708">
        <f>C18/C5</f>
        <v>17588.353413654622</v>
      </c>
    </row>
    <row r="37" spans="1:17" ht="15" thickBot="1" x14ac:dyDescent="0.4">
      <c r="B37" s="692" t="s">
        <v>1976</v>
      </c>
      <c r="C37" s="709">
        <f>C19/C5</f>
        <v>142.69999999999999</v>
      </c>
    </row>
    <row r="38" spans="1:17" x14ac:dyDescent="0.35">
      <c r="H38" s="698"/>
      <c r="I38" s="698"/>
      <c r="J38" s="698"/>
    </row>
    <row r="39" spans="1:17" ht="21" x14ac:dyDescent="0.5">
      <c r="A39" s="704" t="s">
        <v>1977</v>
      </c>
    </row>
    <row r="40" spans="1:17" ht="33.75" customHeight="1" thickBot="1" x14ac:dyDescent="0.4">
      <c r="J40" s="3004" t="s">
        <v>2117</v>
      </c>
      <c r="K40" s="3015"/>
      <c r="L40" s="3015"/>
      <c r="M40" s="3015"/>
      <c r="N40" s="3015"/>
      <c r="O40" s="3015"/>
      <c r="P40" s="3015"/>
      <c r="Q40" s="3005"/>
    </row>
    <row r="41" spans="1:17" ht="15" customHeight="1" x14ac:dyDescent="0.35">
      <c r="B41" s="772" t="s">
        <v>1978</v>
      </c>
      <c r="C41" s="944" t="s">
        <v>1979</v>
      </c>
      <c r="D41" s="712"/>
      <c r="E41" s="712"/>
      <c r="F41" s="712"/>
      <c r="G41" s="698"/>
      <c r="J41" s="869" t="s">
        <v>1981</v>
      </c>
      <c r="K41" s="870"/>
      <c r="L41" s="870"/>
      <c r="M41" s="870"/>
      <c r="N41" s="870"/>
      <c r="O41" s="870"/>
      <c r="P41" s="870"/>
      <c r="Q41" s="871"/>
    </row>
    <row r="42" spans="1:17" x14ac:dyDescent="0.35">
      <c r="B42" s="681" t="s">
        <v>2118</v>
      </c>
      <c r="C42" s="721">
        <v>3.74</v>
      </c>
      <c r="D42" s="714" t="s">
        <v>2152</v>
      </c>
      <c r="E42" s="715"/>
      <c r="F42" s="716"/>
      <c r="G42" s="698"/>
      <c r="J42" s="946"/>
      <c r="K42" s="2496"/>
      <c r="L42" s="2496"/>
      <c r="M42" s="2496"/>
      <c r="N42" s="2496"/>
      <c r="O42" s="2496"/>
      <c r="P42" s="2496"/>
      <c r="Q42" s="874"/>
    </row>
    <row r="43" spans="1:17" x14ac:dyDescent="0.35">
      <c r="B43" s="681" t="s">
        <v>2120</v>
      </c>
      <c r="C43" s="945">
        <v>0.83</v>
      </c>
      <c r="D43" s="714" t="s">
        <v>2121</v>
      </c>
      <c r="E43" s="715"/>
      <c r="F43" s="716"/>
      <c r="G43" s="698"/>
      <c r="J43" s="873" t="s">
        <v>2124</v>
      </c>
      <c r="K43" s="2496"/>
      <c r="L43" s="2496"/>
      <c r="M43" s="2496"/>
      <c r="N43" s="2496"/>
      <c r="O43" s="2496"/>
      <c r="P43" s="2496"/>
      <c r="Q43" s="874"/>
    </row>
    <row r="44" spans="1:17" x14ac:dyDescent="0.35">
      <c r="B44" s="681" t="s">
        <v>2122</v>
      </c>
      <c r="C44" s="721">
        <v>2.2000000000000002</v>
      </c>
      <c r="D44" s="698" t="s">
        <v>2152</v>
      </c>
      <c r="E44" s="698"/>
      <c r="F44" s="718"/>
      <c r="G44" s="698"/>
      <c r="J44" s="873" t="s">
        <v>2126</v>
      </c>
      <c r="K44" s="2496"/>
      <c r="L44" s="2496"/>
      <c r="M44" s="2496"/>
      <c r="N44" s="2496"/>
      <c r="O44" s="2496"/>
      <c r="P44" s="2496"/>
      <c r="Q44" s="874"/>
    </row>
    <row r="45" spans="1:17" x14ac:dyDescent="0.35">
      <c r="B45" s="681" t="s">
        <v>2125</v>
      </c>
      <c r="C45" s="945">
        <v>0.95</v>
      </c>
      <c r="D45" s="698" t="s">
        <v>2121</v>
      </c>
      <c r="E45" s="698"/>
      <c r="F45" s="718"/>
      <c r="G45" s="698"/>
      <c r="J45" s="873" t="s">
        <v>2128</v>
      </c>
      <c r="K45" s="2496"/>
      <c r="L45" s="2496"/>
      <c r="M45" s="2496"/>
      <c r="N45" s="2496"/>
      <c r="O45" s="2496"/>
      <c r="P45" s="2496"/>
      <c r="Q45" s="874"/>
    </row>
    <row r="46" spans="1:17" x14ac:dyDescent="0.35">
      <c r="B46" s="681" t="s">
        <v>1984</v>
      </c>
      <c r="C46" s="719">
        <v>9.1899999999999996E-2</v>
      </c>
      <c r="D46" s="698" t="s">
        <v>2127</v>
      </c>
      <c r="E46" s="698"/>
      <c r="F46" s="698"/>
      <c r="G46" s="698"/>
      <c r="J46" s="873" t="s">
        <v>1985</v>
      </c>
      <c r="K46" s="2496"/>
      <c r="L46" s="2496"/>
      <c r="M46" s="2496"/>
      <c r="N46" s="2496"/>
      <c r="O46" s="2496"/>
      <c r="P46" s="2496"/>
      <c r="Q46" s="874"/>
    </row>
    <row r="47" spans="1:17" x14ac:dyDescent="0.35">
      <c r="B47" s="722" t="s">
        <v>303</v>
      </c>
      <c r="C47" s="2508">
        <v>0.95</v>
      </c>
      <c r="D47" s="698"/>
      <c r="E47" s="698"/>
      <c r="F47" s="698"/>
      <c r="G47" s="698"/>
      <c r="J47" s="873" t="s">
        <v>2129</v>
      </c>
      <c r="K47" s="2496"/>
      <c r="L47" s="2496"/>
      <c r="M47" s="2496"/>
      <c r="N47" s="2496"/>
      <c r="O47" s="2496"/>
      <c r="P47" s="2496"/>
      <c r="Q47" s="874"/>
    </row>
    <row r="48" spans="1:17" x14ac:dyDescent="0.35">
      <c r="B48" s="681" t="s">
        <v>1987</v>
      </c>
      <c r="C48" s="719">
        <v>4.5900000000000003E-3</v>
      </c>
      <c r="D48" s="698" t="s">
        <v>2127</v>
      </c>
      <c r="E48" s="698"/>
      <c r="F48" s="698"/>
      <c r="G48" s="698"/>
      <c r="J48" s="873" t="s">
        <v>2130</v>
      </c>
      <c r="K48" s="2496"/>
      <c r="L48" s="2496"/>
      <c r="M48" s="2496"/>
      <c r="N48" s="2496"/>
      <c r="O48" s="2496"/>
      <c r="P48" s="2496"/>
      <c r="Q48" s="874"/>
    </row>
    <row r="49" spans="2:18" ht="15" thickBot="1" x14ac:dyDescent="0.4">
      <c r="B49" s="2509" t="s">
        <v>3311</v>
      </c>
      <c r="C49" s="2510">
        <v>5010</v>
      </c>
      <c r="D49" s="675" t="s">
        <v>3313</v>
      </c>
      <c r="E49" s="2496"/>
      <c r="F49" s="2496"/>
      <c r="G49" s="2496"/>
      <c r="J49" s="2502" t="s">
        <v>3310</v>
      </c>
      <c r="K49" s="2503"/>
      <c r="L49" s="2503"/>
      <c r="M49" s="2503"/>
      <c r="N49" s="2503"/>
      <c r="O49" s="2503"/>
      <c r="P49" s="2503"/>
      <c r="Q49" s="2504"/>
    </row>
    <row r="50" spans="2:18" ht="15" thickBot="1" x14ac:dyDescent="0.4">
      <c r="E50" s="698"/>
      <c r="F50" s="698"/>
      <c r="G50" s="698"/>
      <c r="J50" s="946" t="s">
        <v>1990</v>
      </c>
      <c r="K50" s="2496"/>
      <c r="L50" s="2496"/>
      <c r="M50" s="2496"/>
      <c r="N50" s="2496"/>
      <c r="O50" s="2496"/>
      <c r="P50" s="2496"/>
      <c r="Q50" s="874"/>
    </row>
    <row r="51" spans="2:18" ht="44" thickBot="1" x14ac:dyDescent="0.4">
      <c r="B51" s="947" t="s">
        <v>2019</v>
      </c>
      <c r="C51" s="948" t="s">
        <v>2131</v>
      </c>
      <c r="D51" s="949" t="s">
        <v>1368</v>
      </c>
      <c r="E51" s="950" t="s">
        <v>2132</v>
      </c>
      <c r="F51" s="698"/>
      <c r="G51" s="698"/>
      <c r="J51" s="873" t="s">
        <v>647</v>
      </c>
      <c r="K51" s="2496" t="s">
        <v>2133</v>
      </c>
      <c r="L51" s="2496" t="s">
        <v>2134</v>
      </c>
      <c r="M51" s="2496"/>
      <c r="N51" s="2496"/>
      <c r="O51" s="2496"/>
      <c r="P51" s="2496"/>
      <c r="Q51" s="874"/>
    </row>
    <row r="52" spans="2:18" x14ac:dyDescent="0.35">
      <c r="B52" s="951" t="s">
        <v>2021</v>
      </c>
      <c r="C52" s="952">
        <v>2500</v>
      </c>
      <c r="D52" s="953">
        <v>6.4000000000000003E-3</v>
      </c>
      <c r="E52" s="954">
        <v>24</v>
      </c>
      <c r="F52" s="698"/>
      <c r="G52" s="698"/>
      <c r="J52" s="873" t="s">
        <v>648</v>
      </c>
      <c r="K52" s="2496" t="s">
        <v>1992</v>
      </c>
      <c r="L52" s="2496" t="s">
        <v>2136</v>
      </c>
      <c r="M52" s="2496"/>
      <c r="N52" s="2496"/>
      <c r="O52" s="2496"/>
      <c r="P52" s="2496"/>
      <c r="Q52" s="874"/>
    </row>
    <row r="53" spans="2:18" x14ac:dyDescent="0.35">
      <c r="B53" s="955" t="s">
        <v>2022</v>
      </c>
      <c r="C53" s="956">
        <v>11250</v>
      </c>
      <c r="D53" s="957">
        <v>2.8799999999999999E-2</v>
      </c>
      <c r="E53" s="721">
        <v>109</v>
      </c>
      <c r="F53" s="698"/>
      <c r="G53" s="698" t="s">
        <v>2135</v>
      </c>
      <c r="J53" s="873" t="s">
        <v>652</v>
      </c>
      <c r="K53" s="2496" t="s">
        <v>1992</v>
      </c>
      <c r="L53" s="2496" t="s">
        <v>2137</v>
      </c>
      <c r="M53" s="2496"/>
      <c r="N53" s="2496"/>
      <c r="O53" s="2496"/>
      <c r="P53" s="2496"/>
      <c r="Q53" s="874"/>
    </row>
    <row r="54" spans="2:18" x14ac:dyDescent="0.35">
      <c r="B54" s="955" t="s">
        <v>2023</v>
      </c>
      <c r="C54" s="956">
        <v>9581</v>
      </c>
      <c r="D54" s="957">
        <v>8.3999999999999995E-3</v>
      </c>
      <c r="E54" s="721">
        <v>93</v>
      </c>
      <c r="F54" s="698"/>
      <c r="G54" s="698"/>
      <c r="J54" s="873" t="s">
        <v>2118</v>
      </c>
      <c r="K54" s="2496" t="s">
        <v>1992</v>
      </c>
      <c r="L54" s="2496" t="s">
        <v>2138</v>
      </c>
      <c r="M54" s="2496"/>
      <c r="N54" s="2496"/>
      <c r="O54" s="2496"/>
      <c r="P54" s="2496"/>
      <c r="Q54" s="874"/>
      <c r="R54" s="698"/>
    </row>
    <row r="55" spans="2:18" x14ac:dyDescent="0.35">
      <c r="B55" s="955" t="s">
        <v>2024</v>
      </c>
      <c r="C55" s="956">
        <v>15768</v>
      </c>
      <c r="D55" s="957">
        <v>1.84E-2</v>
      </c>
      <c r="E55" s="721">
        <v>153</v>
      </c>
      <c r="F55" s="698"/>
      <c r="G55" s="698"/>
      <c r="J55" s="873" t="s">
        <v>2120</v>
      </c>
      <c r="K55" s="2496" t="s">
        <v>1992</v>
      </c>
      <c r="L55" s="2496" t="s">
        <v>2139</v>
      </c>
      <c r="M55" s="2496"/>
      <c r="N55" s="2496"/>
      <c r="O55" s="2496"/>
      <c r="P55" s="2496"/>
      <c r="Q55" s="874"/>
      <c r="R55" s="698"/>
    </row>
    <row r="56" spans="2:18" x14ac:dyDescent="0.35">
      <c r="B56" s="955" t="s">
        <v>2025</v>
      </c>
      <c r="C56" s="956">
        <v>3650</v>
      </c>
      <c r="D56" s="957">
        <v>4.3E-3</v>
      </c>
      <c r="E56" s="721">
        <v>36</v>
      </c>
      <c r="F56" s="698"/>
      <c r="G56" s="698"/>
      <c r="J56" s="873" t="s">
        <v>2122</v>
      </c>
      <c r="K56" s="2496" t="s">
        <v>1992</v>
      </c>
      <c r="L56" s="2496" t="s">
        <v>2140</v>
      </c>
      <c r="M56" s="2496"/>
      <c r="N56" s="2496"/>
      <c r="O56" s="2496"/>
      <c r="P56" s="2496"/>
      <c r="Q56" s="874"/>
      <c r="R56" s="698"/>
    </row>
    <row r="57" spans="2:18" x14ac:dyDescent="0.35">
      <c r="B57" s="955" t="s">
        <v>2026</v>
      </c>
      <c r="C57" s="956">
        <v>3650</v>
      </c>
      <c r="D57" s="957">
        <v>4.3E-3</v>
      </c>
      <c r="E57" s="721">
        <v>36</v>
      </c>
      <c r="F57" s="698"/>
      <c r="G57" s="698"/>
      <c r="J57" s="873" t="s">
        <v>2125</v>
      </c>
      <c r="K57" s="2496" t="s">
        <v>1992</v>
      </c>
      <c r="L57" s="2496" t="s">
        <v>2141</v>
      </c>
      <c r="M57" s="2496"/>
      <c r="N57" s="2496"/>
      <c r="O57" s="2496"/>
      <c r="P57" s="2496"/>
      <c r="Q57" s="874"/>
      <c r="R57" s="698"/>
    </row>
    <row r="58" spans="2:18" x14ac:dyDescent="0.35">
      <c r="B58" s="955" t="s">
        <v>2027</v>
      </c>
      <c r="C58" s="956">
        <v>2500</v>
      </c>
      <c r="D58" s="957">
        <v>6.4000000000000003E-3</v>
      </c>
      <c r="E58" s="721">
        <v>24</v>
      </c>
      <c r="F58" s="698"/>
      <c r="G58" s="698"/>
      <c r="J58" s="873" t="s">
        <v>2142</v>
      </c>
      <c r="K58" s="2496" t="s">
        <v>1992</v>
      </c>
      <c r="L58" s="2496" t="s">
        <v>2143</v>
      </c>
      <c r="M58" s="2496"/>
      <c r="N58" s="2496"/>
      <c r="O58" s="2496"/>
      <c r="P58" s="2496"/>
      <c r="Q58" s="874"/>
      <c r="R58" s="698"/>
    </row>
    <row r="59" spans="2:18" x14ac:dyDescent="0.35">
      <c r="B59" s="955" t="s">
        <v>2028</v>
      </c>
      <c r="C59" s="956">
        <v>3000</v>
      </c>
      <c r="D59" s="957">
        <v>9.5999999999999992E-3</v>
      </c>
      <c r="E59" s="721">
        <v>29</v>
      </c>
      <c r="F59" s="698"/>
      <c r="G59" s="698"/>
      <c r="J59" s="873" t="s">
        <v>658</v>
      </c>
      <c r="K59" s="2496" t="s">
        <v>1992</v>
      </c>
      <c r="L59" s="2496" t="s">
        <v>2144</v>
      </c>
      <c r="M59" s="2496"/>
      <c r="N59" s="2496"/>
      <c r="O59" s="2496"/>
      <c r="P59" s="2496"/>
      <c r="Q59" s="874"/>
      <c r="R59" s="698"/>
    </row>
    <row r="60" spans="2:18" x14ac:dyDescent="0.35">
      <c r="B60" s="955" t="s">
        <v>2029</v>
      </c>
      <c r="C60" s="956">
        <v>9000</v>
      </c>
      <c r="D60" s="957">
        <v>2.8799999999999999E-2</v>
      </c>
      <c r="E60" s="721">
        <v>88</v>
      </c>
      <c r="F60" s="698"/>
      <c r="G60" s="698"/>
      <c r="J60" s="873" t="s">
        <v>303</v>
      </c>
      <c r="K60" s="2496" t="s">
        <v>1992</v>
      </c>
      <c r="L60" s="2496" t="s">
        <v>2145</v>
      </c>
      <c r="M60" s="2496"/>
      <c r="N60" s="2496"/>
      <c r="O60" s="2496"/>
      <c r="P60" s="2496"/>
      <c r="Q60" s="874"/>
      <c r="R60" s="698"/>
    </row>
    <row r="61" spans="2:18" x14ac:dyDescent="0.35">
      <c r="B61" s="955" t="s">
        <v>2030</v>
      </c>
      <c r="C61" s="956">
        <v>16425</v>
      </c>
      <c r="D61" s="957">
        <v>1.44E-2</v>
      </c>
      <c r="E61" s="721">
        <v>160</v>
      </c>
      <c r="F61" s="698"/>
      <c r="G61" s="698"/>
      <c r="J61" s="873" t="s">
        <v>293</v>
      </c>
      <c r="K61" s="2496" t="s">
        <v>1992</v>
      </c>
      <c r="L61" s="2496" t="s">
        <v>2146</v>
      </c>
      <c r="M61" s="2496"/>
      <c r="N61" s="2496"/>
      <c r="O61" s="2496"/>
      <c r="P61" s="2496"/>
      <c r="Q61" s="874"/>
      <c r="R61" s="698"/>
    </row>
    <row r="62" spans="2:18" x14ac:dyDescent="0.35">
      <c r="B62" s="955" t="s">
        <v>2031</v>
      </c>
      <c r="C62" s="956">
        <v>1825</v>
      </c>
      <c r="D62" s="957">
        <v>5.9999999999999995E-4</v>
      </c>
      <c r="E62" s="721">
        <v>18</v>
      </c>
      <c r="F62" s="698"/>
      <c r="G62" s="698"/>
      <c r="J62" s="873" t="s">
        <v>440</v>
      </c>
      <c r="K62" s="2496" t="s">
        <v>1992</v>
      </c>
      <c r="L62" s="2496" t="s">
        <v>2147</v>
      </c>
      <c r="M62" s="2496"/>
      <c r="N62" s="2496"/>
      <c r="O62" s="2496"/>
      <c r="P62" s="2496"/>
      <c r="Q62" s="874"/>
      <c r="R62" s="698"/>
    </row>
    <row r="63" spans="2:18" x14ac:dyDescent="0.35">
      <c r="B63" s="955" t="s">
        <v>2032</v>
      </c>
      <c r="C63" s="956">
        <v>1278</v>
      </c>
      <c r="D63" s="957">
        <v>4.0000000000000002E-4</v>
      </c>
      <c r="E63" s="721">
        <v>12</v>
      </c>
      <c r="F63" s="698"/>
      <c r="G63" s="698"/>
      <c r="J63" s="873" t="s">
        <v>664</v>
      </c>
      <c r="K63" s="2496" t="s">
        <v>2133</v>
      </c>
      <c r="L63" s="2496" t="s">
        <v>2148</v>
      </c>
      <c r="M63" s="2496"/>
      <c r="N63" s="2496"/>
      <c r="O63" s="2496"/>
      <c r="P63" s="2496"/>
      <c r="Q63" s="874"/>
      <c r="R63" s="698"/>
    </row>
    <row r="64" spans="2:18" ht="15" thickBot="1" x14ac:dyDescent="0.4">
      <c r="B64" s="958" t="s">
        <v>2033</v>
      </c>
      <c r="C64" s="959">
        <v>5000</v>
      </c>
      <c r="D64" s="960">
        <v>1.2800000000000001E-2</v>
      </c>
      <c r="E64" s="961">
        <v>49</v>
      </c>
      <c r="F64" s="698"/>
      <c r="G64" s="698"/>
      <c r="J64" s="873" t="s">
        <v>665</v>
      </c>
      <c r="K64" s="2496" t="s">
        <v>1992</v>
      </c>
      <c r="L64" s="2496" t="s">
        <v>2149</v>
      </c>
      <c r="M64" s="2496"/>
      <c r="N64" s="2496"/>
      <c r="O64" s="2496"/>
      <c r="P64" s="2496"/>
      <c r="Q64" s="874"/>
      <c r="R64" s="698"/>
    </row>
    <row r="65" spans="1:17" ht="15" thickBot="1" x14ac:dyDescent="0.4">
      <c r="F65" s="698"/>
      <c r="G65" s="698"/>
      <c r="J65" s="2502" t="s">
        <v>3311</v>
      </c>
      <c r="K65" s="2503" t="s">
        <v>1992</v>
      </c>
      <c r="L65" s="2503" t="s">
        <v>3312</v>
      </c>
      <c r="M65" s="2503"/>
      <c r="N65" s="2503"/>
      <c r="O65" s="2503"/>
      <c r="P65" s="2503"/>
      <c r="Q65" s="2504"/>
    </row>
    <row r="66" spans="1:17" x14ac:dyDescent="0.35">
      <c r="B66" s="733" t="s">
        <v>2010</v>
      </c>
      <c r="F66" s="698"/>
      <c r="G66" s="698"/>
    </row>
    <row r="67" spans="1:17" ht="15" thickBot="1" x14ac:dyDescent="0.4">
      <c r="B67" s="976">
        <v>14.27</v>
      </c>
      <c r="F67" s="698"/>
      <c r="G67" s="698"/>
    </row>
    <row r="69" spans="1:17" ht="21" x14ac:dyDescent="0.5">
      <c r="A69" s="704" t="s">
        <v>2012</v>
      </c>
    </row>
    <row r="70" spans="1:17" ht="21.5" thickBot="1" x14ac:dyDescent="0.55000000000000004">
      <c r="A70" s="704"/>
      <c r="B70" s="698"/>
      <c r="C70" s="735"/>
      <c r="J70" s="698"/>
      <c r="K70" s="698"/>
      <c r="L70" s="698"/>
      <c r="M70" s="698"/>
      <c r="N70" s="698"/>
      <c r="O70" s="698"/>
      <c r="P70" s="698"/>
      <c r="Q70" s="698"/>
    </row>
    <row r="71" spans="1:17" x14ac:dyDescent="0.35">
      <c r="B71" s="736" t="s">
        <v>2013</v>
      </c>
      <c r="E71" s="737"/>
      <c r="F71" s="737"/>
      <c r="G71" s="737"/>
    </row>
    <row r="72" spans="1:17" ht="15" thickBot="1" x14ac:dyDescent="0.4">
      <c r="B72" s="738">
        <v>24</v>
      </c>
      <c r="E72" s="739"/>
      <c r="F72" s="739"/>
      <c r="G72" s="739"/>
    </row>
    <row r="73" spans="1:17" x14ac:dyDescent="0.35">
      <c r="B73" s="739"/>
      <c r="C73" s="739"/>
      <c r="D73" s="739"/>
      <c r="E73" s="739"/>
      <c r="F73" s="739"/>
      <c r="G73" s="739"/>
    </row>
    <row r="74" spans="1:17" ht="21" x14ac:dyDescent="0.5">
      <c r="A74" s="704" t="s">
        <v>2014</v>
      </c>
      <c r="C74" s="675" t="s">
        <v>2015</v>
      </c>
    </row>
    <row r="75" spans="1:17" ht="21.5" thickBot="1" x14ac:dyDescent="0.55000000000000004">
      <c r="A75" s="704"/>
    </row>
    <row r="76" spans="1:17" ht="45" x14ac:dyDescent="0.5">
      <c r="A76" s="704"/>
      <c r="B76" s="740" t="s">
        <v>2016</v>
      </c>
      <c r="C76" s="741" t="s">
        <v>2017</v>
      </c>
      <c r="D76" s="742" t="s">
        <v>2018</v>
      </c>
    </row>
    <row r="77" spans="1:17" ht="21.5" thickBot="1" x14ac:dyDescent="0.55000000000000004">
      <c r="A77" s="704"/>
      <c r="B77" s="743">
        <v>25</v>
      </c>
      <c r="C77" s="744">
        <v>10</v>
      </c>
      <c r="D77" s="745">
        <f>C77*B77</f>
        <v>250</v>
      </c>
    </row>
    <row r="78" spans="1:17" ht="15" thickBot="1" x14ac:dyDescent="0.4"/>
    <row r="79" spans="1:17" ht="29" x14ac:dyDescent="0.35">
      <c r="B79" s="746" t="s">
        <v>2019</v>
      </c>
      <c r="C79" s="747" t="s">
        <v>2020</v>
      </c>
      <c r="D79" s="742" t="s">
        <v>1948</v>
      </c>
      <c r="E79" s="698"/>
      <c r="F79" s="698"/>
      <c r="G79" s="748"/>
      <c r="H79" s="748"/>
      <c r="I79" s="748"/>
      <c r="J79" s="748"/>
      <c r="K79" s="698"/>
      <c r="L79" s="698"/>
      <c r="M79" s="698"/>
      <c r="N79" s="698"/>
      <c r="O79" s="698"/>
    </row>
    <row r="80" spans="1:17" x14ac:dyDescent="0.35">
      <c r="B80" s="749" t="s">
        <v>2021</v>
      </c>
      <c r="C80" s="750">
        <v>0</v>
      </c>
      <c r="D80" s="751">
        <f t="shared" ref="D80:D92" si="0">C80*D$77</f>
        <v>0</v>
      </c>
      <c r="E80" s="698"/>
      <c r="F80" s="698"/>
      <c r="G80" s="698"/>
      <c r="H80" s="698"/>
      <c r="I80" s="698"/>
      <c r="J80" s="698"/>
      <c r="K80" s="698"/>
      <c r="L80" s="698"/>
      <c r="M80" s="698"/>
      <c r="N80" s="698"/>
      <c r="O80" s="698"/>
    </row>
    <row r="81" spans="2:24" ht="18.5" x14ac:dyDescent="0.35">
      <c r="B81" s="749" t="s">
        <v>2022</v>
      </c>
      <c r="C81" s="750">
        <v>0</v>
      </c>
      <c r="D81" s="751">
        <f t="shared" si="0"/>
        <v>0</v>
      </c>
      <c r="E81" s="752"/>
      <c r="F81" s="752"/>
      <c r="G81" s="752"/>
      <c r="H81" s="753"/>
      <c r="I81" s="753"/>
      <c r="J81" s="753"/>
      <c r="K81" s="698"/>
      <c r="L81" s="698"/>
      <c r="M81" s="698"/>
      <c r="N81" s="698"/>
      <c r="O81" s="698"/>
      <c r="T81" s="753"/>
      <c r="U81" s="753"/>
      <c r="V81" s="753"/>
      <c r="W81" s="753"/>
      <c r="X81" s="753"/>
    </row>
    <row r="82" spans="2:24" x14ac:dyDescent="0.35">
      <c r="B82" s="749" t="s">
        <v>2023</v>
      </c>
      <c r="C82" s="750">
        <v>0</v>
      </c>
      <c r="D82" s="751">
        <f t="shared" si="0"/>
        <v>0</v>
      </c>
      <c r="E82" s="712"/>
      <c r="F82" s="712"/>
      <c r="G82" s="712"/>
      <c r="H82" s="754"/>
      <c r="I82" s="712"/>
      <c r="J82" s="754"/>
      <c r="K82" s="698"/>
      <c r="L82" s="698"/>
      <c r="M82" s="698"/>
      <c r="N82" s="698"/>
      <c r="O82" s="698"/>
      <c r="T82" s="753"/>
      <c r="U82" s="753"/>
      <c r="V82" s="753"/>
      <c r="W82" s="753"/>
      <c r="X82" s="753"/>
    </row>
    <row r="83" spans="2:24" x14ac:dyDescent="0.35">
      <c r="B83" s="749" t="s">
        <v>2024</v>
      </c>
      <c r="C83" s="750">
        <v>0</v>
      </c>
      <c r="D83" s="751">
        <f t="shared" si="0"/>
        <v>0</v>
      </c>
      <c r="E83" s="755"/>
      <c r="F83" s="756"/>
      <c r="G83" s="757"/>
      <c r="H83" s="758"/>
      <c r="I83" s="731"/>
      <c r="J83" s="759"/>
      <c r="K83" s="698"/>
      <c r="L83" s="698"/>
      <c r="M83" s="698"/>
      <c r="N83" s="698"/>
      <c r="O83" s="698"/>
      <c r="T83" s="760"/>
      <c r="U83" s="761"/>
      <c r="V83" s="762"/>
      <c r="W83" s="763"/>
      <c r="X83" s="764"/>
    </row>
    <row r="84" spans="2:24" x14ac:dyDescent="0.35">
      <c r="B84" s="749" t="s">
        <v>2025</v>
      </c>
      <c r="C84" s="750">
        <v>0</v>
      </c>
      <c r="D84" s="751">
        <f t="shared" si="0"/>
        <v>0</v>
      </c>
      <c r="E84" s="755"/>
      <c r="F84" s="756"/>
      <c r="G84" s="757"/>
      <c r="H84" s="758"/>
      <c r="I84" s="759"/>
      <c r="J84" s="759"/>
      <c r="K84" s="698"/>
      <c r="L84" s="698"/>
      <c r="M84" s="698"/>
      <c r="N84" s="698"/>
      <c r="O84" s="698"/>
      <c r="T84" s="760"/>
      <c r="U84" s="761"/>
      <c r="V84" s="762"/>
      <c r="W84" s="763"/>
      <c r="X84" s="764"/>
    </row>
    <row r="85" spans="2:24" x14ac:dyDescent="0.35">
      <c r="B85" s="749" t="s">
        <v>2026</v>
      </c>
      <c r="C85" s="750">
        <v>0</v>
      </c>
      <c r="D85" s="751">
        <f t="shared" si="0"/>
        <v>0</v>
      </c>
      <c r="E85" s="755"/>
      <c r="F85" s="756"/>
      <c r="G85" s="757"/>
      <c r="H85" s="758"/>
      <c r="I85" s="759"/>
      <c r="J85" s="759"/>
      <c r="K85" s="698"/>
      <c r="L85" s="698"/>
      <c r="M85" s="698"/>
      <c r="N85" s="698"/>
      <c r="O85" s="698"/>
      <c r="T85" s="760"/>
      <c r="U85" s="761"/>
      <c r="V85" s="762"/>
      <c r="W85" s="763"/>
      <c r="X85" s="764"/>
    </row>
    <row r="86" spans="2:24" x14ac:dyDescent="0.35">
      <c r="B86" s="749" t="s">
        <v>2027</v>
      </c>
      <c r="C86" s="750">
        <v>0</v>
      </c>
      <c r="D86" s="751">
        <f t="shared" si="0"/>
        <v>0</v>
      </c>
      <c r="E86" s="755"/>
      <c r="F86" s="756"/>
      <c r="G86" s="757"/>
      <c r="H86" s="758"/>
      <c r="I86" s="759"/>
      <c r="J86" s="759"/>
      <c r="K86" s="698"/>
      <c r="L86" s="698"/>
      <c r="M86" s="698"/>
      <c r="N86" s="698"/>
      <c r="O86" s="698"/>
      <c r="T86" s="760"/>
      <c r="U86" s="761"/>
      <c r="V86" s="762"/>
      <c r="W86" s="763"/>
      <c r="X86" s="764"/>
    </row>
    <row r="87" spans="2:24" x14ac:dyDescent="0.35">
      <c r="B87" s="749" t="s">
        <v>2028</v>
      </c>
      <c r="C87" s="750">
        <f>1/3</f>
        <v>0.33333333333333331</v>
      </c>
      <c r="D87" s="751">
        <f t="shared" si="0"/>
        <v>83.333333333333329</v>
      </c>
      <c r="E87" s="755"/>
      <c r="F87" s="756"/>
      <c r="G87" s="757"/>
      <c r="H87" s="758"/>
      <c r="I87" s="759"/>
      <c r="J87" s="759"/>
      <c r="K87" s="698"/>
      <c r="L87" s="698"/>
      <c r="M87" s="698"/>
      <c r="N87" s="698"/>
      <c r="O87" s="698"/>
      <c r="T87" s="760"/>
      <c r="U87" s="761"/>
      <c r="V87" s="762"/>
      <c r="W87" s="763"/>
      <c r="X87" s="764"/>
    </row>
    <row r="88" spans="2:24" x14ac:dyDescent="0.35">
      <c r="B88" s="749" t="s">
        <v>2029</v>
      </c>
      <c r="C88" s="750">
        <f>1/3</f>
        <v>0.33333333333333331</v>
      </c>
      <c r="D88" s="751">
        <f t="shared" si="0"/>
        <v>83.333333333333329</v>
      </c>
      <c r="E88" s="755"/>
      <c r="F88" s="756"/>
      <c r="G88" s="757"/>
      <c r="H88" s="758"/>
      <c r="I88" s="759"/>
      <c r="J88" s="759"/>
      <c r="K88" s="698"/>
      <c r="L88" s="698"/>
      <c r="M88" s="698"/>
      <c r="N88" s="698"/>
      <c r="O88" s="698"/>
      <c r="T88" s="760"/>
      <c r="U88" s="761"/>
      <c r="V88" s="762"/>
      <c r="W88" s="763"/>
      <c r="X88" s="764"/>
    </row>
    <row r="89" spans="2:24" x14ac:dyDescent="0.35">
      <c r="B89" s="749" t="s">
        <v>2030</v>
      </c>
      <c r="C89" s="750">
        <v>0</v>
      </c>
      <c r="D89" s="751">
        <f t="shared" si="0"/>
        <v>0</v>
      </c>
      <c r="E89" s="755"/>
      <c r="F89" s="756"/>
      <c r="G89" s="757"/>
      <c r="H89" s="758"/>
      <c r="I89" s="759"/>
      <c r="J89" s="759"/>
      <c r="K89" s="698"/>
      <c r="L89" s="698"/>
      <c r="M89" s="698"/>
      <c r="N89" s="698"/>
      <c r="O89" s="698"/>
      <c r="T89" s="760"/>
      <c r="U89" s="761"/>
      <c r="V89" s="762"/>
      <c r="W89" s="763"/>
      <c r="X89" s="764"/>
    </row>
    <row r="90" spans="2:24" x14ac:dyDescent="0.35">
      <c r="B90" s="749" t="s">
        <v>2031</v>
      </c>
      <c r="C90" s="750">
        <v>0</v>
      </c>
      <c r="D90" s="751">
        <f t="shared" si="0"/>
        <v>0</v>
      </c>
      <c r="E90" s="755"/>
      <c r="F90" s="756"/>
      <c r="G90" s="757"/>
      <c r="H90" s="758"/>
      <c r="I90" s="759"/>
      <c r="J90" s="759"/>
      <c r="K90" s="698"/>
      <c r="L90" s="698"/>
      <c r="M90" s="698"/>
      <c r="N90" s="698"/>
      <c r="O90" s="698"/>
      <c r="T90" s="760"/>
      <c r="U90" s="761"/>
      <c r="V90" s="762"/>
      <c r="W90" s="763"/>
      <c r="X90" s="764"/>
    </row>
    <row r="91" spans="2:24" x14ac:dyDescent="0.35">
      <c r="B91" s="749" t="s">
        <v>2032</v>
      </c>
      <c r="C91" s="750">
        <v>0</v>
      </c>
      <c r="D91" s="751">
        <f t="shared" si="0"/>
        <v>0</v>
      </c>
      <c r="E91" s="755"/>
      <c r="F91" s="756"/>
      <c r="G91" s="757"/>
      <c r="H91" s="758"/>
      <c r="I91" s="759"/>
      <c r="J91" s="759"/>
      <c r="K91" s="698"/>
      <c r="L91" s="698"/>
      <c r="M91" s="698"/>
      <c r="N91" s="698"/>
      <c r="O91" s="698"/>
      <c r="T91" s="760"/>
      <c r="U91" s="761"/>
      <c r="V91" s="762"/>
      <c r="W91" s="763"/>
      <c r="X91" s="764"/>
    </row>
    <row r="92" spans="2:24" ht="15" customHeight="1" thickBot="1" x14ac:dyDescent="0.4">
      <c r="B92" s="765" t="s">
        <v>2033</v>
      </c>
      <c r="C92" s="766">
        <f>1/3</f>
        <v>0.33333333333333331</v>
      </c>
      <c r="D92" s="767">
        <f t="shared" si="0"/>
        <v>83.333333333333329</v>
      </c>
      <c r="E92" s="768"/>
      <c r="F92" s="768"/>
      <c r="G92" s="680"/>
      <c r="H92" s="758"/>
      <c r="I92" s="759"/>
      <c r="J92" s="759"/>
      <c r="K92" s="769"/>
      <c r="L92" s="769"/>
      <c r="M92" s="769"/>
      <c r="N92" s="770"/>
      <c r="O92" s="759"/>
      <c r="P92" s="759"/>
      <c r="Q92" s="759"/>
      <c r="R92" s="759"/>
      <c r="S92" s="759"/>
      <c r="T92" s="760"/>
      <c r="U92" s="761"/>
      <c r="V92" s="762"/>
      <c r="W92" s="763"/>
      <c r="X92" s="764"/>
    </row>
    <row r="93" spans="2:24" ht="15" thickBot="1" x14ac:dyDescent="0.4">
      <c r="C93" s="771"/>
      <c r="G93" s="748"/>
      <c r="H93" s="748"/>
      <c r="I93" s="748"/>
    </row>
    <row r="94" spans="2:24" x14ac:dyDescent="0.35">
      <c r="B94" s="772" t="s">
        <v>2034</v>
      </c>
      <c r="C94" s="773" t="s">
        <v>2035</v>
      </c>
      <c r="E94" s="686"/>
      <c r="G94" s="748"/>
      <c r="H94" s="748"/>
      <c r="I94" s="748"/>
    </row>
    <row r="95" spans="2:24" x14ac:dyDescent="0.35">
      <c r="B95" s="774" t="s">
        <v>647</v>
      </c>
      <c r="C95" s="775">
        <v>0.2</v>
      </c>
      <c r="E95" s="690"/>
      <c r="G95" s="748"/>
      <c r="H95" s="748"/>
      <c r="I95" s="748"/>
    </row>
    <row r="96" spans="2:24" ht="15" thickBot="1" x14ac:dyDescent="0.4">
      <c r="B96" s="776" t="s">
        <v>664</v>
      </c>
      <c r="C96" s="777">
        <v>0.8</v>
      </c>
      <c r="G96" s="748"/>
      <c r="H96" s="748"/>
      <c r="I96" s="748"/>
    </row>
    <row r="98" spans="1:23" ht="21" x14ac:dyDescent="0.5">
      <c r="A98" s="704" t="s">
        <v>2036</v>
      </c>
      <c r="C98" s="675" t="s">
        <v>2037</v>
      </c>
    </row>
    <row r="99" spans="1:23" ht="15" thickBot="1" x14ac:dyDescent="0.4"/>
    <row r="100" spans="1:23" ht="41.25" customHeight="1" thickBot="1" x14ac:dyDescent="0.65">
      <c r="B100" s="778"/>
      <c r="C100" s="2988" t="s">
        <v>2038</v>
      </c>
      <c r="D100" s="2989"/>
      <c r="E100" s="2990"/>
      <c r="F100" s="2985" t="s">
        <v>2039</v>
      </c>
      <c r="G100" s="2986"/>
      <c r="H100" s="2986"/>
      <c r="I100" s="2986"/>
      <c r="J100" s="2986"/>
      <c r="K100" s="2986"/>
      <c r="L100" s="2986"/>
      <c r="M100" s="2987"/>
      <c r="N100" s="2985" t="s">
        <v>2040</v>
      </c>
      <c r="O100" s="2986"/>
      <c r="P100" s="2986"/>
      <c r="Q100" s="2986"/>
      <c r="R100" s="2986"/>
      <c r="S100" s="2987"/>
      <c r="T100" s="779"/>
      <c r="U100" s="779"/>
      <c r="V100" s="779"/>
    </row>
    <row r="101" spans="1:23" ht="44" thickBot="1" x14ac:dyDescent="0.4">
      <c r="B101" s="962" t="s">
        <v>2019</v>
      </c>
      <c r="C101" s="963" t="s">
        <v>2041</v>
      </c>
      <c r="D101" s="963" t="s">
        <v>647</v>
      </c>
      <c r="E101" s="963" t="s">
        <v>664</v>
      </c>
      <c r="F101" s="963" t="s">
        <v>2131</v>
      </c>
      <c r="G101" s="963" t="s">
        <v>1368</v>
      </c>
      <c r="H101" s="963" t="s">
        <v>2132</v>
      </c>
      <c r="I101" s="963" t="s">
        <v>648</v>
      </c>
      <c r="J101" s="963" t="s">
        <v>652</v>
      </c>
      <c r="K101" s="963" t="s">
        <v>1984</v>
      </c>
      <c r="L101" s="963" t="s">
        <v>303</v>
      </c>
      <c r="M101" s="963" t="s">
        <v>1987</v>
      </c>
      <c r="N101" s="2511" t="s">
        <v>2042</v>
      </c>
      <c r="O101" s="2511" t="s">
        <v>3314</v>
      </c>
      <c r="P101" s="963" t="s">
        <v>2043</v>
      </c>
      <c r="Q101" s="963" t="s">
        <v>2044</v>
      </c>
      <c r="R101" s="963" t="s">
        <v>2045</v>
      </c>
      <c r="S101" s="964" t="s">
        <v>2046</v>
      </c>
      <c r="T101" s="712"/>
      <c r="U101" s="783" t="s">
        <v>2010</v>
      </c>
      <c r="V101" s="747" t="s">
        <v>2041</v>
      </c>
      <c r="W101" s="773" t="s">
        <v>2150</v>
      </c>
    </row>
    <row r="102" spans="1:23" ht="15" thickBot="1" x14ac:dyDescent="0.4">
      <c r="B102" s="784" t="s">
        <v>2021</v>
      </c>
      <c r="C102" s="785">
        <f>D80</f>
        <v>0</v>
      </c>
      <c r="D102" s="786">
        <f>C$95</f>
        <v>0.2</v>
      </c>
      <c r="E102" s="787">
        <f>C$96</f>
        <v>0.8</v>
      </c>
      <c r="F102" s="965">
        <v>2500</v>
      </c>
      <c r="G102" s="790">
        <v>6.4000000000000003E-3</v>
      </c>
      <c r="H102" s="966">
        <v>24</v>
      </c>
      <c r="I102" s="785">
        <f>$C$42*$C$43</f>
        <v>3.1042000000000001</v>
      </c>
      <c r="J102" s="789">
        <f>$C$44*$C$45</f>
        <v>2.09</v>
      </c>
      <c r="K102" s="790">
        <f>C$46</f>
        <v>9.1899999999999996E-2</v>
      </c>
      <c r="L102" s="787">
        <f>C$47</f>
        <v>0.95</v>
      </c>
      <c r="M102" s="791">
        <f>C$48</f>
        <v>4.5900000000000003E-3</v>
      </c>
      <c r="N102" s="789">
        <f>C102*D102*((I102-J102)/I102)*F102*K102*L102+O102</f>
        <v>0</v>
      </c>
      <c r="O102" s="789">
        <f>S102 / 1000000 * $C$49</f>
        <v>0</v>
      </c>
      <c r="P102" s="792">
        <f t="shared" ref="P102:P114" si="1">(N102/H102)*G102</f>
        <v>0</v>
      </c>
      <c r="Q102" s="793">
        <f t="shared" ref="Q102:Q114" si="2">C102*E102*((I102-J102)/I102)*F102*M102*L102</f>
        <v>0</v>
      </c>
      <c r="R102" s="794">
        <f t="shared" ref="R102:R114" si="3">C102*B$72</f>
        <v>0</v>
      </c>
      <c r="S102" s="2512">
        <f t="shared" ref="S102:S114" si="4">C102*((I102-J102)/I102)*F102*L102</f>
        <v>0</v>
      </c>
      <c r="T102" s="796"/>
      <c r="U102" s="797">
        <f>B67</f>
        <v>14.27</v>
      </c>
      <c r="V102" s="798">
        <f>C115</f>
        <v>250</v>
      </c>
      <c r="W102" s="799">
        <f>U102*V102</f>
        <v>3567.5</v>
      </c>
    </row>
    <row r="103" spans="1:23" x14ac:dyDescent="0.35">
      <c r="B103" s="749" t="s">
        <v>2022</v>
      </c>
      <c r="C103" s="800">
        <f t="shared" ref="C103:C114" si="5">D81</f>
        <v>0</v>
      </c>
      <c r="D103" s="802">
        <f t="shared" ref="D103:D114" si="6">C$95</f>
        <v>0.2</v>
      </c>
      <c r="E103" s="803">
        <f t="shared" ref="E103:E114" si="7">C$96</f>
        <v>0.8</v>
      </c>
      <c r="F103" s="967">
        <v>11250</v>
      </c>
      <c r="G103" s="806">
        <v>2.8799999999999999E-2</v>
      </c>
      <c r="H103" s="968">
        <v>109</v>
      </c>
      <c r="I103" s="801">
        <f t="shared" ref="I103:I114" si="8">$C$42*$C$43</f>
        <v>3.1042000000000001</v>
      </c>
      <c r="J103" s="969">
        <f t="shared" ref="J103:J114" si="9">$C$44*$C$45</f>
        <v>2.09</v>
      </c>
      <c r="K103" s="806">
        <f t="shared" ref="K103:K114" si="10">C$46</f>
        <v>9.1899999999999996E-2</v>
      </c>
      <c r="L103" s="803">
        <f t="shared" ref="L103:L114" si="11">C$47</f>
        <v>0.95</v>
      </c>
      <c r="M103" s="807">
        <f t="shared" ref="M103:M114" si="12">C$48</f>
        <v>4.5900000000000003E-3</v>
      </c>
      <c r="N103" s="805">
        <f t="shared" ref="N103:N114" si="13">C103*D103*((I103-J103)/I103)*F103*K103*L103+O103</f>
        <v>0</v>
      </c>
      <c r="O103" s="805">
        <f t="shared" ref="O103:O114" si="14">S103 / 1000000 * $C$49</f>
        <v>0</v>
      </c>
      <c r="P103" s="808">
        <f t="shared" si="1"/>
        <v>0</v>
      </c>
      <c r="Q103" s="809">
        <f t="shared" si="2"/>
        <v>0</v>
      </c>
      <c r="R103" s="810">
        <f t="shared" si="3"/>
        <v>0</v>
      </c>
      <c r="S103" s="811">
        <f t="shared" si="4"/>
        <v>0</v>
      </c>
      <c r="T103" s="796"/>
      <c r="U103" s="796"/>
    </row>
    <row r="104" spans="1:23" x14ac:dyDescent="0.35">
      <c r="B104" s="749" t="s">
        <v>2023</v>
      </c>
      <c r="C104" s="800">
        <f t="shared" si="5"/>
        <v>0</v>
      </c>
      <c r="D104" s="802">
        <f t="shared" si="6"/>
        <v>0.2</v>
      </c>
      <c r="E104" s="803">
        <f t="shared" si="7"/>
        <v>0.8</v>
      </c>
      <c r="F104" s="967">
        <v>9581</v>
      </c>
      <c r="G104" s="806">
        <v>8.3999999999999995E-3</v>
      </c>
      <c r="H104" s="968">
        <v>93</v>
      </c>
      <c r="I104" s="801">
        <f t="shared" si="8"/>
        <v>3.1042000000000001</v>
      </c>
      <c r="J104" s="969">
        <f t="shared" si="9"/>
        <v>2.09</v>
      </c>
      <c r="K104" s="806">
        <f t="shared" si="10"/>
        <v>9.1899999999999996E-2</v>
      </c>
      <c r="L104" s="803">
        <f t="shared" si="11"/>
        <v>0.95</v>
      </c>
      <c r="M104" s="807">
        <f t="shared" si="12"/>
        <v>4.5900000000000003E-3</v>
      </c>
      <c r="N104" s="805">
        <f t="shared" si="13"/>
        <v>0</v>
      </c>
      <c r="O104" s="805">
        <f t="shared" si="14"/>
        <v>0</v>
      </c>
      <c r="P104" s="808">
        <f t="shared" si="1"/>
        <v>0</v>
      </c>
      <c r="Q104" s="809">
        <f t="shared" si="2"/>
        <v>0</v>
      </c>
      <c r="R104" s="810">
        <f t="shared" si="3"/>
        <v>0</v>
      </c>
      <c r="S104" s="811">
        <f t="shared" si="4"/>
        <v>0</v>
      </c>
      <c r="T104" s="796"/>
      <c r="U104" s="796"/>
    </row>
    <row r="105" spans="1:23" x14ac:dyDescent="0.35">
      <c r="B105" s="749" t="s">
        <v>2024</v>
      </c>
      <c r="C105" s="800">
        <f t="shared" si="5"/>
        <v>0</v>
      </c>
      <c r="D105" s="802">
        <f t="shared" si="6"/>
        <v>0.2</v>
      </c>
      <c r="E105" s="803">
        <f t="shared" si="7"/>
        <v>0.8</v>
      </c>
      <c r="F105" s="967">
        <v>15768</v>
      </c>
      <c r="G105" s="806">
        <v>1.84E-2</v>
      </c>
      <c r="H105" s="968">
        <v>153</v>
      </c>
      <c r="I105" s="801">
        <f t="shared" si="8"/>
        <v>3.1042000000000001</v>
      </c>
      <c r="J105" s="969">
        <f t="shared" si="9"/>
        <v>2.09</v>
      </c>
      <c r="K105" s="806">
        <f t="shared" si="10"/>
        <v>9.1899999999999996E-2</v>
      </c>
      <c r="L105" s="803">
        <f t="shared" si="11"/>
        <v>0.95</v>
      </c>
      <c r="M105" s="807">
        <f t="shared" si="12"/>
        <v>4.5900000000000003E-3</v>
      </c>
      <c r="N105" s="805">
        <f t="shared" si="13"/>
        <v>0</v>
      </c>
      <c r="O105" s="805">
        <f t="shared" si="14"/>
        <v>0</v>
      </c>
      <c r="P105" s="808">
        <f t="shared" si="1"/>
        <v>0</v>
      </c>
      <c r="Q105" s="809">
        <f t="shared" si="2"/>
        <v>0</v>
      </c>
      <c r="R105" s="810">
        <f t="shared" si="3"/>
        <v>0</v>
      </c>
      <c r="S105" s="811">
        <f t="shared" si="4"/>
        <v>0</v>
      </c>
      <c r="T105" s="796"/>
      <c r="U105" s="796"/>
    </row>
    <row r="106" spans="1:23" x14ac:dyDescent="0.35">
      <c r="B106" s="749" t="s">
        <v>2025</v>
      </c>
      <c r="C106" s="800">
        <f t="shared" si="5"/>
        <v>0</v>
      </c>
      <c r="D106" s="802">
        <f t="shared" si="6"/>
        <v>0.2</v>
      </c>
      <c r="E106" s="803">
        <f t="shared" si="7"/>
        <v>0.8</v>
      </c>
      <c r="F106" s="967">
        <v>3650</v>
      </c>
      <c r="G106" s="806">
        <v>4.3E-3</v>
      </c>
      <c r="H106" s="968">
        <v>36</v>
      </c>
      <c r="I106" s="801">
        <f t="shared" si="8"/>
        <v>3.1042000000000001</v>
      </c>
      <c r="J106" s="969">
        <f t="shared" si="9"/>
        <v>2.09</v>
      </c>
      <c r="K106" s="806">
        <f t="shared" si="10"/>
        <v>9.1899999999999996E-2</v>
      </c>
      <c r="L106" s="803">
        <f t="shared" si="11"/>
        <v>0.95</v>
      </c>
      <c r="M106" s="807">
        <f t="shared" si="12"/>
        <v>4.5900000000000003E-3</v>
      </c>
      <c r="N106" s="805">
        <f t="shared" si="13"/>
        <v>0</v>
      </c>
      <c r="O106" s="805">
        <f t="shared" si="14"/>
        <v>0</v>
      </c>
      <c r="P106" s="808">
        <f t="shared" si="1"/>
        <v>0</v>
      </c>
      <c r="Q106" s="809">
        <f t="shared" si="2"/>
        <v>0</v>
      </c>
      <c r="R106" s="810">
        <f t="shared" si="3"/>
        <v>0</v>
      </c>
      <c r="S106" s="811">
        <f t="shared" si="4"/>
        <v>0</v>
      </c>
      <c r="T106" s="796"/>
      <c r="U106" s="796"/>
    </row>
    <row r="107" spans="1:23" x14ac:dyDescent="0.35">
      <c r="B107" s="749" t="s">
        <v>2026</v>
      </c>
      <c r="C107" s="800">
        <f t="shared" si="5"/>
        <v>0</v>
      </c>
      <c r="D107" s="802">
        <f t="shared" si="6"/>
        <v>0.2</v>
      </c>
      <c r="E107" s="803">
        <f t="shared" si="7"/>
        <v>0.8</v>
      </c>
      <c r="F107" s="970">
        <v>3650</v>
      </c>
      <c r="G107" s="806">
        <v>4.3E-3</v>
      </c>
      <c r="H107" s="968">
        <v>36</v>
      </c>
      <c r="I107" s="801">
        <f t="shared" si="8"/>
        <v>3.1042000000000001</v>
      </c>
      <c r="J107" s="969">
        <f t="shared" si="9"/>
        <v>2.09</v>
      </c>
      <c r="K107" s="806">
        <f t="shared" si="10"/>
        <v>9.1899999999999996E-2</v>
      </c>
      <c r="L107" s="803">
        <f t="shared" si="11"/>
        <v>0.95</v>
      </c>
      <c r="M107" s="807">
        <f t="shared" si="12"/>
        <v>4.5900000000000003E-3</v>
      </c>
      <c r="N107" s="805">
        <f t="shared" si="13"/>
        <v>0</v>
      </c>
      <c r="O107" s="805">
        <f t="shared" si="14"/>
        <v>0</v>
      </c>
      <c r="P107" s="808">
        <f t="shared" si="1"/>
        <v>0</v>
      </c>
      <c r="Q107" s="809">
        <f t="shared" si="2"/>
        <v>0</v>
      </c>
      <c r="R107" s="810">
        <f t="shared" si="3"/>
        <v>0</v>
      </c>
      <c r="S107" s="811">
        <f t="shared" si="4"/>
        <v>0</v>
      </c>
      <c r="T107" s="796"/>
      <c r="U107" s="796"/>
    </row>
    <row r="108" spans="1:23" x14ac:dyDescent="0.35">
      <c r="B108" s="749" t="s">
        <v>2027</v>
      </c>
      <c r="C108" s="800">
        <f t="shared" si="5"/>
        <v>0</v>
      </c>
      <c r="D108" s="802">
        <f t="shared" si="6"/>
        <v>0.2</v>
      </c>
      <c r="E108" s="803">
        <f t="shared" si="7"/>
        <v>0.8</v>
      </c>
      <c r="F108" s="895">
        <v>2500</v>
      </c>
      <c r="G108" s="895">
        <v>6.4000000000000003E-3</v>
      </c>
      <c r="H108" s="895">
        <v>24</v>
      </c>
      <c r="I108" s="801">
        <f t="shared" si="8"/>
        <v>3.1042000000000001</v>
      </c>
      <c r="J108" s="969">
        <f t="shared" si="9"/>
        <v>2.09</v>
      </c>
      <c r="K108" s="806">
        <f t="shared" si="10"/>
        <v>9.1899999999999996E-2</v>
      </c>
      <c r="L108" s="803">
        <f t="shared" si="11"/>
        <v>0.95</v>
      </c>
      <c r="M108" s="807">
        <f t="shared" si="12"/>
        <v>4.5900000000000003E-3</v>
      </c>
      <c r="N108" s="805">
        <f t="shared" si="13"/>
        <v>0</v>
      </c>
      <c r="O108" s="805">
        <f t="shared" si="14"/>
        <v>0</v>
      </c>
      <c r="P108" s="808">
        <f t="shared" si="1"/>
        <v>0</v>
      </c>
      <c r="Q108" s="809">
        <f t="shared" si="2"/>
        <v>0</v>
      </c>
      <c r="R108" s="810">
        <f t="shared" si="3"/>
        <v>0</v>
      </c>
      <c r="S108" s="811">
        <f t="shared" si="4"/>
        <v>0</v>
      </c>
    </row>
    <row r="109" spans="1:23" x14ac:dyDescent="0.35">
      <c r="B109" s="749" t="s">
        <v>2028</v>
      </c>
      <c r="C109" s="800">
        <f t="shared" si="5"/>
        <v>83.333333333333329</v>
      </c>
      <c r="D109" s="802">
        <f t="shared" si="6"/>
        <v>0.2</v>
      </c>
      <c r="E109" s="803">
        <f t="shared" si="7"/>
        <v>0.8</v>
      </c>
      <c r="F109" s="895">
        <v>3000</v>
      </c>
      <c r="G109" s="895">
        <v>9.5999999999999992E-3</v>
      </c>
      <c r="H109" s="895">
        <v>29</v>
      </c>
      <c r="I109" s="801">
        <f t="shared" si="8"/>
        <v>3.1042000000000001</v>
      </c>
      <c r="J109" s="969">
        <f t="shared" si="9"/>
        <v>2.09</v>
      </c>
      <c r="K109" s="806">
        <f t="shared" si="10"/>
        <v>9.1899999999999996E-2</v>
      </c>
      <c r="L109" s="803">
        <f t="shared" si="11"/>
        <v>0.95</v>
      </c>
      <c r="M109" s="807">
        <f t="shared" si="12"/>
        <v>4.5900000000000003E-3</v>
      </c>
      <c r="N109" s="805">
        <f t="shared" si="13"/>
        <v>1814.9628809355072</v>
      </c>
      <c r="O109" s="805">
        <f t="shared" si="14"/>
        <v>388.75434089298381</v>
      </c>
      <c r="P109" s="808">
        <f t="shared" si="1"/>
        <v>0.60081529851658166</v>
      </c>
      <c r="Q109" s="809">
        <f t="shared" si="2"/>
        <v>284.93132530120494</v>
      </c>
      <c r="R109" s="810">
        <f t="shared" si="3"/>
        <v>2000</v>
      </c>
      <c r="S109" s="811">
        <f t="shared" si="4"/>
        <v>77595.676824946859</v>
      </c>
    </row>
    <row r="110" spans="1:23" x14ac:dyDescent="0.35">
      <c r="B110" s="749" t="s">
        <v>2029</v>
      </c>
      <c r="C110" s="800">
        <f t="shared" si="5"/>
        <v>83.333333333333329</v>
      </c>
      <c r="D110" s="802">
        <f t="shared" si="6"/>
        <v>0.2</v>
      </c>
      <c r="E110" s="803">
        <f t="shared" si="7"/>
        <v>0.8</v>
      </c>
      <c r="F110" s="895">
        <v>9000</v>
      </c>
      <c r="G110" s="895">
        <v>2.8799999999999999E-2</v>
      </c>
      <c r="H110" s="895">
        <v>88</v>
      </c>
      <c r="I110" s="801">
        <f t="shared" si="8"/>
        <v>3.1042000000000001</v>
      </c>
      <c r="J110" s="969">
        <f t="shared" si="9"/>
        <v>2.09</v>
      </c>
      <c r="K110" s="806">
        <f t="shared" si="10"/>
        <v>9.1899999999999996E-2</v>
      </c>
      <c r="L110" s="803">
        <f t="shared" si="11"/>
        <v>0.95</v>
      </c>
      <c r="M110" s="807">
        <f t="shared" si="12"/>
        <v>4.5900000000000003E-3</v>
      </c>
      <c r="N110" s="805">
        <f t="shared" si="13"/>
        <v>5444.8886428065216</v>
      </c>
      <c r="O110" s="805">
        <f t="shared" si="14"/>
        <v>1166.2630226789513</v>
      </c>
      <c r="P110" s="808">
        <f t="shared" si="1"/>
        <v>1.7819635558275888</v>
      </c>
      <c r="Q110" s="809">
        <f t="shared" si="2"/>
        <v>854.79397590361475</v>
      </c>
      <c r="R110" s="810">
        <f t="shared" si="3"/>
        <v>2000</v>
      </c>
      <c r="S110" s="811">
        <f t="shared" si="4"/>
        <v>232787.03047484058</v>
      </c>
    </row>
    <row r="111" spans="1:23" x14ac:dyDescent="0.35">
      <c r="B111" s="749" t="s">
        <v>2030</v>
      </c>
      <c r="C111" s="800">
        <f t="shared" si="5"/>
        <v>0</v>
      </c>
      <c r="D111" s="802">
        <f t="shared" si="6"/>
        <v>0.2</v>
      </c>
      <c r="E111" s="803">
        <f t="shared" si="7"/>
        <v>0.8</v>
      </c>
      <c r="F111" s="895">
        <v>16425</v>
      </c>
      <c r="G111" s="895">
        <v>1.44E-2</v>
      </c>
      <c r="H111" s="895">
        <v>160</v>
      </c>
      <c r="I111" s="801">
        <f t="shared" si="8"/>
        <v>3.1042000000000001</v>
      </c>
      <c r="J111" s="969">
        <f t="shared" si="9"/>
        <v>2.09</v>
      </c>
      <c r="K111" s="806">
        <f t="shared" si="10"/>
        <v>9.1899999999999996E-2</v>
      </c>
      <c r="L111" s="803">
        <f t="shared" si="11"/>
        <v>0.95</v>
      </c>
      <c r="M111" s="807">
        <f t="shared" si="12"/>
        <v>4.5900000000000003E-3</v>
      </c>
      <c r="N111" s="805">
        <f t="shared" si="13"/>
        <v>0</v>
      </c>
      <c r="O111" s="805">
        <f t="shared" si="14"/>
        <v>0</v>
      </c>
      <c r="P111" s="808">
        <f t="shared" si="1"/>
        <v>0</v>
      </c>
      <c r="Q111" s="809">
        <f t="shared" si="2"/>
        <v>0</v>
      </c>
      <c r="R111" s="810">
        <f t="shared" si="3"/>
        <v>0</v>
      </c>
      <c r="S111" s="811">
        <f t="shared" si="4"/>
        <v>0</v>
      </c>
    </row>
    <row r="112" spans="1:23" x14ac:dyDescent="0.35">
      <c r="B112" s="749" t="s">
        <v>2031</v>
      </c>
      <c r="C112" s="800">
        <f t="shared" si="5"/>
        <v>0</v>
      </c>
      <c r="D112" s="802">
        <f t="shared" si="6"/>
        <v>0.2</v>
      </c>
      <c r="E112" s="803">
        <f t="shared" si="7"/>
        <v>0.8</v>
      </c>
      <c r="F112" s="895">
        <v>1825</v>
      </c>
      <c r="G112" s="895">
        <v>5.9999999999999995E-4</v>
      </c>
      <c r="H112" s="895">
        <v>18</v>
      </c>
      <c r="I112" s="801">
        <f t="shared" si="8"/>
        <v>3.1042000000000001</v>
      </c>
      <c r="J112" s="969">
        <f t="shared" si="9"/>
        <v>2.09</v>
      </c>
      <c r="K112" s="806">
        <f t="shared" si="10"/>
        <v>9.1899999999999996E-2</v>
      </c>
      <c r="L112" s="803">
        <f t="shared" si="11"/>
        <v>0.95</v>
      </c>
      <c r="M112" s="807">
        <f t="shared" si="12"/>
        <v>4.5900000000000003E-3</v>
      </c>
      <c r="N112" s="805">
        <f t="shared" si="13"/>
        <v>0</v>
      </c>
      <c r="O112" s="805">
        <f t="shared" si="14"/>
        <v>0</v>
      </c>
      <c r="P112" s="808">
        <f t="shared" si="1"/>
        <v>0</v>
      </c>
      <c r="Q112" s="809">
        <f t="shared" si="2"/>
        <v>0</v>
      </c>
      <c r="R112" s="810">
        <f t="shared" si="3"/>
        <v>0</v>
      </c>
      <c r="S112" s="811">
        <f t="shared" si="4"/>
        <v>0</v>
      </c>
    </row>
    <row r="113" spans="2:19" x14ac:dyDescent="0.35">
      <c r="B113" s="749" t="s">
        <v>2032</v>
      </c>
      <c r="C113" s="800">
        <f t="shared" si="5"/>
        <v>0</v>
      </c>
      <c r="D113" s="802">
        <f t="shared" si="6"/>
        <v>0.2</v>
      </c>
      <c r="E113" s="803">
        <f t="shared" si="7"/>
        <v>0.8</v>
      </c>
      <c r="F113" s="895">
        <v>1278</v>
      </c>
      <c r="G113" s="895">
        <v>4.0000000000000002E-4</v>
      </c>
      <c r="H113" s="895">
        <v>12</v>
      </c>
      <c r="I113" s="801">
        <f t="shared" si="8"/>
        <v>3.1042000000000001</v>
      </c>
      <c r="J113" s="969">
        <f t="shared" si="9"/>
        <v>2.09</v>
      </c>
      <c r="K113" s="806">
        <f t="shared" si="10"/>
        <v>9.1899999999999996E-2</v>
      </c>
      <c r="L113" s="803">
        <f t="shared" si="11"/>
        <v>0.95</v>
      </c>
      <c r="M113" s="807">
        <f t="shared" si="12"/>
        <v>4.5900000000000003E-3</v>
      </c>
      <c r="N113" s="805">
        <f t="shared" si="13"/>
        <v>0</v>
      </c>
      <c r="O113" s="805">
        <f t="shared" si="14"/>
        <v>0</v>
      </c>
      <c r="P113" s="808">
        <f t="shared" si="1"/>
        <v>0</v>
      </c>
      <c r="Q113" s="809">
        <f t="shared" si="2"/>
        <v>0</v>
      </c>
      <c r="R113" s="810">
        <f t="shared" si="3"/>
        <v>0</v>
      </c>
      <c r="S113" s="811">
        <f t="shared" si="4"/>
        <v>0</v>
      </c>
    </row>
    <row r="114" spans="2:19" ht="15" thickBot="1" x14ac:dyDescent="0.4">
      <c r="B114" s="765" t="s">
        <v>2033</v>
      </c>
      <c r="C114" s="798">
        <f t="shared" si="5"/>
        <v>83.333333333333329</v>
      </c>
      <c r="D114" s="813">
        <f t="shared" si="6"/>
        <v>0.2</v>
      </c>
      <c r="E114" s="814">
        <f t="shared" si="7"/>
        <v>0.8</v>
      </c>
      <c r="F114" s="744">
        <v>5000</v>
      </c>
      <c r="G114" s="744">
        <v>1.2800000000000001E-2</v>
      </c>
      <c r="H114" s="744">
        <v>49</v>
      </c>
      <c r="I114" s="812">
        <f t="shared" si="8"/>
        <v>3.1042000000000001</v>
      </c>
      <c r="J114" s="971">
        <f t="shared" si="9"/>
        <v>2.09</v>
      </c>
      <c r="K114" s="817">
        <f t="shared" si="10"/>
        <v>9.1899999999999996E-2</v>
      </c>
      <c r="L114" s="814">
        <f t="shared" si="11"/>
        <v>0.95</v>
      </c>
      <c r="M114" s="818">
        <f t="shared" si="12"/>
        <v>4.5900000000000003E-3</v>
      </c>
      <c r="N114" s="816">
        <f t="shared" si="13"/>
        <v>3024.9381348925117</v>
      </c>
      <c r="O114" s="816">
        <f t="shared" si="14"/>
        <v>647.92390148830623</v>
      </c>
      <c r="P114" s="819">
        <f t="shared" si="1"/>
        <v>0.79018792095151336</v>
      </c>
      <c r="Q114" s="820">
        <f t="shared" si="2"/>
        <v>474.88554216867487</v>
      </c>
      <c r="R114" s="821">
        <f t="shared" si="3"/>
        <v>2000</v>
      </c>
      <c r="S114" s="822">
        <f t="shared" si="4"/>
        <v>129326.12804157808</v>
      </c>
    </row>
    <row r="115" spans="2:19" ht="15" thickBot="1" x14ac:dyDescent="0.4">
      <c r="B115" s="823" t="s">
        <v>284</v>
      </c>
      <c r="C115" s="824">
        <f>SUM(C102:C114)</f>
        <v>250</v>
      </c>
      <c r="M115" s="825" t="s">
        <v>2049</v>
      </c>
      <c r="N115" s="826">
        <f>SUM(N102:N114)</f>
        <v>10284.789658634541</v>
      </c>
      <c r="O115" s="826">
        <f>SUM(O102:O114)</f>
        <v>2202.9412650602417</v>
      </c>
      <c r="P115" s="826">
        <f t="shared" ref="P115:S115" si="15">SUM(P102:P114)</f>
        <v>3.1729667752956838</v>
      </c>
      <c r="Q115" s="826">
        <f t="shared" si="15"/>
        <v>1614.6108433734946</v>
      </c>
      <c r="R115" s="826">
        <f t="shared" si="15"/>
        <v>6000</v>
      </c>
      <c r="S115" s="827">
        <f t="shared" si="15"/>
        <v>439708.83534136554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23"/>
  <sheetViews>
    <sheetView tabSelected="1" topLeftCell="C1" zoomScale="70" zoomScaleNormal="70" workbookViewId="0">
      <pane xSplit="1" ySplit="7" topLeftCell="D8" activePane="bottomRight" state="frozen"/>
      <selection activeCell="C1" sqref="C1"/>
      <selection pane="topRight" activeCell="D1" sqref="D1"/>
      <selection pane="bottomLeft" activeCell="C8" sqref="C8"/>
      <selection pane="bottomRight" activeCell="C1" sqref="C1"/>
    </sheetView>
  </sheetViews>
  <sheetFormatPr defaultColWidth="9.1796875" defaultRowHeight="14.5" x14ac:dyDescent="0.35"/>
  <cols>
    <col min="1" max="1" width="0" style="600" hidden="1" customWidth="1"/>
    <col min="2" max="2" width="11.7265625" style="600" hidden="1" customWidth="1"/>
    <col min="3" max="3" width="38.54296875" style="600" customWidth="1"/>
    <col min="4" max="5" width="19.54296875" style="600" customWidth="1"/>
    <col min="6" max="6" width="25.7265625" style="600" customWidth="1"/>
    <col min="7" max="7" width="20.81640625" style="600" customWidth="1"/>
    <col min="8" max="9" width="20" style="600" customWidth="1"/>
    <col min="10" max="10" width="25.26953125" style="600" customWidth="1"/>
    <col min="11" max="11" width="21.26953125" style="600" customWidth="1"/>
    <col min="12" max="14" width="25.1796875" style="600" customWidth="1"/>
    <col min="15" max="15" width="20.81640625" style="600" customWidth="1"/>
    <col min="16" max="24" width="20.26953125" style="600" customWidth="1"/>
    <col min="25" max="27" width="22.26953125" style="600" customWidth="1"/>
    <col min="28" max="16384" width="9.1796875" style="600"/>
  </cols>
  <sheetData>
    <row r="1" spans="1:28" ht="25.5" customHeight="1" x14ac:dyDescent="0.35">
      <c r="C1" s="324" t="s">
        <v>3293</v>
      </c>
      <c r="D1" s="325"/>
    </row>
    <row r="2" spans="1:28" ht="19.5" customHeight="1" x14ac:dyDescent="0.35">
      <c r="C2" s="2765" t="s">
        <v>4391</v>
      </c>
      <c r="D2" s="325"/>
    </row>
    <row r="3" spans="1:28" s="327" customFormat="1" ht="19.5" customHeight="1" x14ac:dyDescent="0.35">
      <c r="C3" s="326" t="s">
        <v>1147</v>
      </c>
      <c r="D3" s="327" t="s">
        <v>3292</v>
      </c>
    </row>
    <row r="4" spans="1:28" s="329" customFormat="1" ht="34.5" customHeight="1" x14ac:dyDescent="0.35">
      <c r="C4" s="328"/>
      <c r="D4" s="2826" t="s">
        <v>1148</v>
      </c>
      <c r="E4" s="2826"/>
      <c r="F4" s="2826"/>
      <c r="G4" s="2826"/>
      <c r="H4" s="2827" t="s">
        <v>1149</v>
      </c>
      <c r="I4" s="2827"/>
      <c r="J4" s="2827"/>
      <c r="K4" s="2827"/>
      <c r="L4" s="2828" t="s">
        <v>1150</v>
      </c>
      <c r="M4" s="2829"/>
      <c r="N4" s="2829"/>
      <c r="O4" s="2830"/>
      <c r="P4" s="2831" t="s">
        <v>1151</v>
      </c>
      <c r="Q4" s="2831"/>
      <c r="R4" s="2831"/>
      <c r="S4" s="2831"/>
      <c r="T4" s="2831"/>
      <c r="U4" s="2831"/>
      <c r="V4" s="2831"/>
      <c r="W4" s="2831"/>
      <c r="X4" s="2831"/>
      <c r="Y4" s="2832" t="s">
        <v>1152</v>
      </c>
      <c r="Z4" s="2832"/>
      <c r="AA4" s="2833"/>
    </row>
    <row r="5" spans="1:28" s="338" customFormat="1" ht="68.25" customHeight="1" x14ac:dyDescent="0.35">
      <c r="C5" s="330"/>
      <c r="D5" s="331" t="s">
        <v>3287</v>
      </c>
      <c r="E5" s="332" t="s">
        <v>3288</v>
      </c>
      <c r="F5" s="332" t="s">
        <v>3289</v>
      </c>
      <c r="G5" s="332" t="s">
        <v>1153</v>
      </c>
      <c r="H5" s="2766" t="s">
        <v>3287</v>
      </c>
      <c r="I5" s="333" t="s">
        <v>3288</v>
      </c>
      <c r="J5" s="333" t="s">
        <v>3289</v>
      </c>
      <c r="K5" s="334" t="s">
        <v>1153</v>
      </c>
      <c r="L5" s="331" t="s">
        <v>3287</v>
      </c>
      <c r="M5" s="335" t="s">
        <v>3288</v>
      </c>
      <c r="N5" s="335" t="s">
        <v>3289</v>
      </c>
      <c r="O5" s="335" t="s">
        <v>1153</v>
      </c>
      <c r="P5" s="331" t="s">
        <v>3287</v>
      </c>
      <c r="Q5" s="336" t="s">
        <v>4362</v>
      </c>
      <c r="R5" s="336" t="s">
        <v>4363</v>
      </c>
      <c r="S5" s="336" t="s">
        <v>4364</v>
      </c>
      <c r="T5" s="336" t="s">
        <v>4365</v>
      </c>
      <c r="U5" s="336" t="s">
        <v>4366</v>
      </c>
      <c r="V5" s="336" t="s">
        <v>4367</v>
      </c>
      <c r="W5" s="336" t="s">
        <v>4368</v>
      </c>
      <c r="X5" s="336" t="s">
        <v>1153</v>
      </c>
      <c r="Y5" s="2766" t="s">
        <v>3287</v>
      </c>
      <c r="Z5" s="337" t="s">
        <v>3288</v>
      </c>
      <c r="AA5" s="337" t="s">
        <v>3289</v>
      </c>
      <c r="AB5" s="329"/>
    </row>
    <row r="6" spans="1:28" s="338" customFormat="1" ht="24" customHeight="1" x14ac:dyDescent="0.35">
      <c r="C6" s="339" t="s">
        <v>3294</v>
      </c>
      <c r="D6" s="331">
        <v>2018</v>
      </c>
      <c r="E6" s="332">
        <v>2018</v>
      </c>
      <c r="F6" s="332">
        <v>2018</v>
      </c>
      <c r="G6" s="332">
        <v>2018</v>
      </c>
      <c r="H6" s="2766">
        <v>2019</v>
      </c>
      <c r="I6" s="333">
        <v>2019</v>
      </c>
      <c r="J6" s="333">
        <v>2019</v>
      </c>
      <c r="K6" s="334">
        <v>2019</v>
      </c>
      <c r="L6" s="331">
        <v>2020</v>
      </c>
      <c r="M6" s="335">
        <v>2020</v>
      </c>
      <c r="N6" s="335">
        <v>2020</v>
      </c>
      <c r="O6" s="335">
        <v>2020</v>
      </c>
      <c r="P6" s="331">
        <v>2021</v>
      </c>
      <c r="Q6" s="336">
        <v>2021</v>
      </c>
      <c r="R6" s="336">
        <v>2021</v>
      </c>
      <c r="S6" s="336">
        <v>2021</v>
      </c>
      <c r="T6" s="336">
        <v>2021</v>
      </c>
      <c r="U6" s="336">
        <v>2021</v>
      </c>
      <c r="V6" s="336">
        <v>2021</v>
      </c>
      <c r="W6" s="336">
        <v>2021</v>
      </c>
      <c r="X6" s="336">
        <v>2021</v>
      </c>
      <c r="Y6" s="2177" t="s">
        <v>1154</v>
      </c>
      <c r="Z6" s="337" t="s">
        <v>1154</v>
      </c>
      <c r="AA6" s="337" t="s">
        <v>1154</v>
      </c>
      <c r="AB6" s="329"/>
    </row>
    <row r="7" spans="1:28" s="349" customFormat="1" ht="22.5" customHeight="1" x14ac:dyDescent="0.35">
      <c r="C7" s="340" t="s">
        <v>1155</v>
      </c>
      <c r="D7" s="341" t="s">
        <v>1156</v>
      </c>
      <c r="E7" s="342" t="s">
        <v>1157</v>
      </c>
      <c r="F7" s="342" t="s">
        <v>1158</v>
      </c>
      <c r="G7" s="342" t="s">
        <v>1159</v>
      </c>
      <c r="H7" s="343" t="s">
        <v>1160</v>
      </c>
      <c r="I7" s="344" t="s">
        <v>1161</v>
      </c>
      <c r="J7" s="344" t="s">
        <v>1162</v>
      </c>
      <c r="K7" s="345" t="s">
        <v>1163</v>
      </c>
      <c r="L7" s="341" t="s">
        <v>1164</v>
      </c>
      <c r="M7" s="346" t="s">
        <v>1165</v>
      </c>
      <c r="N7" s="346" t="s">
        <v>1166</v>
      </c>
      <c r="O7" s="346" t="s">
        <v>1167</v>
      </c>
      <c r="P7" s="341" t="s">
        <v>1168</v>
      </c>
      <c r="Q7" s="347" t="s">
        <v>1169</v>
      </c>
      <c r="R7" s="347" t="s">
        <v>1169</v>
      </c>
      <c r="S7" s="347" t="s">
        <v>1169</v>
      </c>
      <c r="T7" s="347" t="s">
        <v>1170</v>
      </c>
      <c r="U7" s="347" t="s">
        <v>1170</v>
      </c>
      <c r="V7" s="347" t="s">
        <v>1170</v>
      </c>
      <c r="W7" s="347" t="s">
        <v>1170</v>
      </c>
      <c r="X7" s="347" t="s">
        <v>1171</v>
      </c>
      <c r="Y7" s="343" t="s">
        <v>1172</v>
      </c>
      <c r="Z7" s="348" t="s">
        <v>1173</v>
      </c>
      <c r="AA7" s="348" t="s">
        <v>1174</v>
      </c>
      <c r="AB7" s="329"/>
    </row>
    <row r="8" spans="1:28" s="357" customFormat="1" ht="18" x14ac:dyDescent="0.35">
      <c r="A8" s="357" t="s">
        <v>3284</v>
      </c>
      <c r="B8" s="357" t="s">
        <v>3285</v>
      </c>
      <c r="C8" s="350"/>
      <c r="D8" s="351"/>
      <c r="E8" s="351"/>
      <c r="F8" s="352"/>
      <c r="G8" s="353"/>
      <c r="H8" s="351"/>
      <c r="I8" s="351"/>
      <c r="J8" s="352"/>
      <c r="K8" s="354"/>
      <c r="L8" s="351"/>
      <c r="M8" s="351"/>
      <c r="N8" s="352"/>
      <c r="O8" s="353"/>
      <c r="P8" s="351"/>
      <c r="Q8" s="351"/>
      <c r="R8" s="351"/>
      <c r="S8" s="351"/>
      <c r="T8" s="352"/>
      <c r="U8" s="352"/>
      <c r="V8" s="352"/>
      <c r="W8" s="352"/>
      <c r="X8" s="353"/>
      <c r="Y8" s="355"/>
      <c r="Z8" s="356"/>
      <c r="AA8" s="350"/>
      <c r="AB8" s="329"/>
    </row>
    <row r="9" spans="1:28" s="357" customFormat="1" ht="18" x14ac:dyDescent="0.35">
      <c r="A9" s="2321" t="b">
        <f t="shared" ref="A9:A18" si="0">ROUND(B9,5)=ROUND(D9,5)</f>
        <v>1</v>
      </c>
      <c r="B9" s="442">
        <v>229999.99999999997</v>
      </c>
      <c r="C9" s="599" t="s">
        <v>838</v>
      </c>
      <c r="D9" s="358">
        <f>SUMIF('Measure-Level Adj Gas'!$B$9:$B$406,$C9,'Measure-Level Adj Gas'!$V$9:$V$406)</f>
        <v>229999.99999999997</v>
      </c>
      <c r="E9" s="358">
        <v>229999.99999999997</v>
      </c>
      <c r="F9" s="359">
        <f t="shared" ref="F9:F20" si="1">IF(E9=0,0,E9-D9)</f>
        <v>0</v>
      </c>
      <c r="G9" s="353"/>
      <c r="H9" s="358">
        <f>SUMIF('Measure-Level Adj Gas'!$B$9:$B$406,$C9,'Measure-Level Adj Gas'!$W$9:$W$406)</f>
        <v>229999.99999999997</v>
      </c>
      <c r="I9" s="358">
        <v>229999.99999999997</v>
      </c>
      <c r="J9" s="359">
        <f t="shared" ref="J9:J20" si="2">IF(I9=0,0,I9-H9)</f>
        <v>0</v>
      </c>
      <c r="K9" s="354"/>
      <c r="L9" s="358">
        <f>SUMIF('Measure-Level Adj Gas'!$B$9:$B$406,$C9,'Measure-Level Adj Gas'!$X$9:$X$406)</f>
        <v>229999.99999999997</v>
      </c>
      <c r="M9" s="358">
        <v>229999.99999999997</v>
      </c>
      <c r="N9" s="359">
        <f t="shared" ref="N9:N20" si="3">IF(M9=0,0,M9-L9)</f>
        <v>0</v>
      </c>
      <c r="O9" s="353"/>
      <c r="P9" s="358">
        <f>SUMIF('Measure-Level Adj Gas'!$B$9:$B$406,$C9,'Measure-Level Adj Gas'!$Y$9:$Y$406)</f>
        <v>229999.99999999997</v>
      </c>
      <c r="Q9" s="358">
        <v>229999.99999999997</v>
      </c>
      <c r="R9" s="358">
        <v>229999.99999999997</v>
      </c>
      <c r="S9" s="358">
        <f>SUMIF('Measure-Level Adj Gas'!$B$9:$B$406,$C9,'Measure-Level Adj Gas'!$BB$9:$BB$406)</f>
        <v>229999.99999999997</v>
      </c>
      <c r="T9" s="359">
        <f>IF(Q9=0,0,Q9-P9)</f>
        <v>0</v>
      </c>
      <c r="U9" s="359">
        <f t="shared" ref="U9:V20" si="4">IF(R9=0,0,R9-Q9)</f>
        <v>0</v>
      </c>
      <c r="V9" s="359">
        <f t="shared" si="4"/>
        <v>0</v>
      </c>
      <c r="W9" s="360">
        <f t="shared" ref="W9:W20" si="5">IF(S9=0,0,S9-P9)</f>
        <v>0</v>
      </c>
      <c r="X9" s="354"/>
      <c r="Y9" s="361">
        <f t="shared" ref="Y9:Y20" si="6">D9+H9+L9+P9</f>
        <v>919999.99999999988</v>
      </c>
      <c r="Z9" s="361">
        <f t="shared" ref="Z9:Z20" si="7">E9+I9+M9+S9</f>
        <v>919999.99999999988</v>
      </c>
      <c r="AA9" s="362">
        <f t="shared" ref="AA9:AA20" si="8">IF(Z9=0,0,Z9-Y9)</f>
        <v>0</v>
      </c>
      <c r="AB9" s="329"/>
    </row>
    <row r="10" spans="1:28" s="357" customFormat="1" ht="18" x14ac:dyDescent="0.35">
      <c r="A10" s="2321" t="b">
        <f t="shared" si="0"/>
        <v>1</v>
      </c>
      <c r="B10" s="442">
        <v>50010.488572056922</v>
      </c>
      <c r="C10" s="599" t="s">
        <v>3265</v>
      </c>
      <c r="D10" s="358">
        <f>SUMIF('Measure-Level Adj Gas'!$B$9:$B$406,$C10,'Measure-Level Adj Gas'!$V$9:$V$406)</f>
        <v>50010.488572056922</v>
      </c>
      <c r="E10" s="358">
        <v>50010.488572056922</v>
      </c>
      <c r="F10" s="359">
        <f t="shared" si="1"/>
        <v>0</v>
      </c>
      <c r="G10" s="353"/>
      <c r="H10" s="358">
        <f>SUMIF('Measure-Level Adj Gas'!$B$9:$B$406,$C10,'Measure-Level Adj Gas'!$W$9:$W$406)</f>
        <v>50010.488572056922</v>
      </c>
      <c r="I10" s="358">
        <v>58729.688572056926</v>
      </c>
      <c r="J10" s="359">
        <f t="shared" si="2"/>
        <v>8719.2000000000044</v>
      </c>
      <c r="K10" s="354"/>
      <c r="L10" s="358">
        <f>SUMIF('Measure-Level Adj Gas'!$B$9:$B$406,$C10,'Measure-Level Adj Gas'!$X$9:$X$406)</f>
        <v>50010.488572056922</v>
      </c>
      <c r="M10" s="358">
        <v>38928.788572056917</v>
      </c>
      <c r="N10" s="359">
        <f t="shared" si="3"/>
        <v>-11081.700000000004</v>
      </c>
      <c r="O10" s="354" t="s">
        <v>4323</v>
      </c>
      <c r="P10" s="358">
        <f>SUMIF('Measure-Level Adj Gas'!$B$9:$B$406,$C10,'Measure-Level Adj Gas'!$Y$9:$Y$406)</f>
        <v>50010.488572056922</v>
      </c>
      <c r="Q10" s="358">
        <v>58729.688572056926</v>
      </c>
      <c r="R10" s="358">
        <v>38928.788572056917</v>
      </c>
      <c r="S10" s="358">
        <f>SUMIF('Measure-Level Adj Gas'!$B$9:$B$406,$C10,'Measure-Level Adj Gas'!$BB$9:$BB$406)</f>
        <v>31409.478141299998</v>
      </c>
      <c r="T10" s="359">
        <f t="shared" ref="T10:T20" si="9">IF(Q10=0,0,Q10-P10)</f>
        <v>8719.2000000000044</v>
      </c>
      <c r="U10" s="359">
        <f t="shared" si="4"/>
        <v>-19800.900000000009</v>
      </c>
      <c r="V10" s="359">
        <f t="shared" si="4"/>
        <v>-7519.3104307569192</v>
      </c>
      <c r="W10" s="360">
        <f t="shared" si="5"/>
        <v>-18601.010430756924</v>
      </c>
      <c r="X10" s="354" t="s">
        <v>4361</v>
      </c>
      <c r="Y10" s="361">
        <f t="shared" si="6"/>
        <v>200041.95428822769</v>
      </c>
      <c r="Z10" s="361">
        <f t="shared" si="7"/>
        <v>179078.44385747076</v>
      </c>
      <c r="AA10" s="362">
        <f t="shared" si="8"/>
        <v>-20963.510430756927</v>
      </c>
    </row>
    <row r="11" spans="1:28" s="357" customFormat="1" ht="18" x14ac:dyDescent="0.35">
      <c r="A11" s="2321" t="b">
        <f t="shared" si="0"/>
        <v>1</v>
      </c>
      <c r="B11" s="442">
        <v>192389.08907999998</v>
      </c>
      <c r="C11" s="599" t="s">
        <v>20</v>
      </c>
      <c r="D11" s="358">
        <f>SUMIF('Measure-Level Adj Gas'!$B$9:$B$406,$C11,'Measure-Level Adj Gas'!$V$9:$V$406)</f>
        <v>192389.08907999998</v>
      </c>
      <c r="E11" s="358">
        <v>192389.08907999998</v>
      </c>
      <c r="F11" s="359">
        <f t="shared" si="1"/>
        <v>0</v>
      </c>
      <c r="G11" s="353"/>
      <c r="H11" s="358">
        <f>SUMIF('Measure-Level Adj Gas'!$B$9:$B$406,$C11,'Measure-Level Adj Gas'!$W$9:$W$406)</f>
        <v>192389.08907999998</v>
      </c>
      <c r="I11" s="358">
        <v>192389.08907999998</v>
      </c>
      <c r="J11" s="359">
        <f t="shared" si="2"/>
        <v>0</v>
      </c>
      <c r="K11" s="354"/>
      <c r="L11" s="358">
        <f>SUMIF('Measure-Level Adj Gas'!$B$9:$B$406,$C11,'Measure-Level Adj Gas'!$X$9:$X$406)</f>
        <v>192389.08907999998</v>
      </c>
      <c r="M11" s="358">
        <v>192389.08907999998</v>
      </c>
      <c r="N11" s="359">
        <f t="shared" si="3"/>
        <v>0</v>
      </c>
      <c r="O11" s="353"/>
      <c r="P11" s="358">
        <f>SUMIF('Measure-Level Adj Gas'!$B$9:$B$406,$C11,'Measure-Level Adj Gas'!$Y$9:$Y$406)</f>
        <v>192389.08907999998</v>
      </c>
      <c r="Q11" s="358">
        <v>192389.08907999998</v>
      </c>
      <c r="R11" s="358">
        <v>192389.08907999998</v>
      </c>
      <c r="S11" s="358">
        <f>SUMIF('Measure-Level Adj Gas'!$B$9:$B$406,$C11,'Measure-Level Adj Gas'!$BB$9:$BB$406)</f>
        <v>205432.99907999998</v>
      </c>
      <c r="T11" s="359">
        <f t="shared" si="9"/>
        <v>0</v>
      </c>
      <c r="U11" s="359">
        <f t="shared" si="4"/>
        <v>0</v>
      </c>
      <c r="V11" s="359">
        <f t="shared" si="4"/>
        <v>13043.910000000003</v>
      </c>
      <c r="W11" s="360">
        <f t="shared" si="5"/>
        <v>13043.910000000003</v>
      </c>
      <c r="X11" s="354" t="s">
        <v>4359</v>
      </c>
      <c r="Y11" s="361">
        <f t="shared" si="6"/>
        <v>769556.3563199999</v>
      </c>
      <c r="Z11" s="361">
        <f t="shared" si="7"/>
        <v>782600.26631999994</v>
      </c>
      <c r="AA11" s="362">
        <f t="shared" si="8"/>
        <v>13043.910000000033</v>
      </c>
    </row>
    <row r="12" spans="1:28" s="357" customFormat="1" ht="18" x14ac:dyDescent="0.35">
      <c r="A12" s="2321" t="b">
        <f t="shared" si="0"/>
        <v>0</v>
      </c>
      <c r="B12" s="442">
        <v>516912.42553913343</v>
      </c>
      <c r="C12" s="599" t="s">
        <v>1933</v>
      </c>
      <c r="D12" s="358">
        <f>SUMIF('Measure-Level Adj Gas'!$B$9:$B$406,$C12,'Measure-Level Adj Gas'!$V$9:$V$406)</f>
        <v>957922.58194732654</v>
      </c>
      <c r="E12" s="358">
        <v>957922.58194732654</v>
      </c>
      <c r="F12" s="359">
        <f t="shared" si="1"/>
        <v>0</v>
      </c>
      <c r="G12" s="353"/>
      <c r="H12" s="358">
        <f>SUMIF('Measure-Level Adj Gas'!$B$9:$B$406,$C12,'Measure-Level Adj Gas'!$W$9:$W$406)</f>
        <v>985590.92667881853</v>
      </c>
      <c r="I12" s="358">
        <v>953581.28660734743</v>
      </c>
      <c r="J12" s="359">
        <f t="shared" si="2"/>
        <v>-32009.640071471105</v>
      </c>
      <c r="K12" s="353"/>
      <c r="L12" s="358">
        <f>SUMIF('Measure-Level Adj Gas'!$B$9:$B$406,$C12,'Measure-Level Adj Gas'!$X$9:$X$406)</f>
        <v>955972.92178633495</v>
      </c>
      <c r="M12" s="358">
        <v>1000186.604282653</v>
      </c>
      <c r="N12" s="359">
        <f t="shared" si="3"/>
        <v>44213.682496318012</v>
      </c>
      <c r="O12" s="353" t="s">
        <v>4323</v>
      </c>
      <c r="P12" s="358">
        <f>SUMIF('Measure-Level Adj Gas'!$B$9:$B$406,$C12,'Measure-Level Adj Gas'!$Y$9:$Y$406)</f>
        <v>955973.28022731759</v>
      </c>
      <c r="Q12" s="358">
        <v>928521.32226223045</v>
      </c>
      <c r="R12" s="358">
        <v>986132.67854394007</v>
      </c>
      <c r="S12" s="358">
        <f>SUMIF('Measure-Level Adj Gas'!$B$9:$B$406,$C12,'Measure-Level Adj Gas'!$BB$9:$BB$406)</f>
        <v>1002735.417946143</v>
      </c>
      <c r="T12" s="359">
        <f t="shared" si="9"/>
        <v>-27451.957965087146</v>
      </c>
      <c r="U12" s="359">
        <f t="shared" si="4"/>
        <v>57611.356281709624</v>
      </c>
      <c r="V12" s="359">
        <f t="shared" si="4"/>
        <v>16602.739402202889</v>
      </c>
      <c r="W12" s="360">
        <f t="shared" si="5"/>
        <v>46762.137718825368</v>
      </c>
      <c r="X12" s="354" t="s">
        <v>4388</v>
      </c>
      <c r="Y12" s="361">
        <f t="shared" si="6"/>
        <v>3855459.7106397976</v>
      </c>
      <c r="Z12" s="361">
        <f t="shared" si="7"/>
        <v>3914425.8907834701</v>
      </c>
      <c r="AA12" s="362">
        <f t="shared" si="8"/>
        <v>58966.180143672507</v>
      </c>
    </row>
    <row r="13" spans="1:28" s="357" customFormat="1" ht="18" x14ac:dyDescent="0.35">
      <c r="A13" s="2321" t="b">
        <f t="shared" si="0"/>
        <v>1</v>
      </c>
      <c r="B13" s="442">
        <v>78418.683218830774</v>
      </c>
      <c r="C13" s="599" t="s">
        <v>8</v>
      </c>
      <c r="D13" s="358">
        <f>SUMIF('Measure-Level Adj Gas'!$B$9:$B$406,$C13,'Measure-Level Adj Gas'!$V$9:$V$406)</f>
        <v>78418.683218830774</v>
      </c>
      <c r="E13" s="358">
        <v>78418.683218830774</v>
      </c>
      <c r="F13" s="359">
        <f t="shared" si="1"/>
        <v>0</v>
      </c>
      <c r="G13" s="353"/>
      <c r="H13" s="358">
        <f>SUMIF('Measure-Level Adj Gas'!$B$9:$B$406,$C13,'Measure-Level Adj Gas'!$W$9:$W$406)</f>
        <v>78418.683218830774</v>
      </c>
      <c r="I13" s="358">
        <v>68928.86825012308</v>
      </c>
      <c r="J13" s="359">
        <f t="shared" si="2"/>
        <v>-9489.8149687076948</v>
      </c>
      <c r="K13" s="354"/>
      <c r="L13" s="358">
        <f>SUMIF('Measure-Level Adj Gas'!$B$9:$B$406,$C13,'Measure-Level Adj Gas'!$X$9:$X$406)</f>
        <v>91913.172179187692</v>
      </c>
      <c r="M13" s="358">
        <v>80719.839977690775</v>
      </c>
      <c r="N13" s="359">
        <f t="shared" si="3"/>
        <v>-11193.332201496916</v>
      </c>
      <c r="O13" s="354" t="s">
        <v>4323</v>
      </c>
      <c r="P13" s="358">
        <f>SUMIF('Measure-Level Adj Gas'!$B$9:$B$406,$C13,'Measure-Level Adj Gas'!$Y$9:$Y$406)</f>
        <v>91913.172179187692</v>
      </c>
      <c r="Q13" s="358">
        <v>80719.839977690775</v>
      </c>
      <c r="R13" s="358">
        <v>80719.839977690775</v>
      </c>
      <c r="S13" s="358">
        <f>SUMIF('Measure-Level Adj Gas'!$B$9:$B$406,$C13,'Measure-Level Adj Gas'!$BB$9:$BB$406)</f>
        <v>80719.839977690775</v>
      </c>
      <c r="T13" s="359">
        <f t="shared" si="9"/>
        <v>-11193.332201496916</v>
      </c>
      <c r="U13" s="359">
        <f t="shared" si="4"/>
        <v>0</v>
      </c>
      <c r="V13" s="359">
        <f t="shared" si="4"/>
        <v>0</v>
      </c>
      <c r="W13" s="360">
        <f t="shared" si="5"/>
        <v>-11193.332201496916</v>
      </c>
      <c r="X13" s="354" t="s">
        <v>4323</v>
      </c>
      <c r="Y13" s="361">
        <f t="shared" si="6"/>
        <v>340663.71079603693</v>
      </c>
      <c r="Z13" s="361">
        <f t="shared" si="7"/>
        <v>308787.23142433539</v>
      </c>
      <c r="AA13" s="362">
        <f t="shared" si="8"/>
        <v>-31876.479371701542</v>
      </c>
    </row>
    <row r="14" spans="1:28" s="357" customFormat="1" ht="18" x14ac:dyDescent="0.35">
      <c r="A14" s="2321" t="b">
        <f t="shared" si="0"/>
        <v>1</v>
      </c>
      <c r="B14" s="442">
        <v>52040.085532238219</v>
      </c>
      <c r="C14" s="599" t="s">
        <v>1072</v>
      </c>
      <c r="D14" s="358">
        <f>SUMIF('Measure-Level Adj Gas'!$B$9:$B$406,$C14,'Measure-Level Adj Gas'!$V$9:$V$406)</f>
        <v>52040.085532238212</v>
      </c>
      <c r="E14" s="358">
        <v>52040.085532238212</v>
      </c>
      <c r="F14" s="359">
        <f t="shared" si="1"/>
        <v>0</v>
      </c>
      <c r="G14" s="353"/>
      <c r="H14" s="358">
        <f>SUMIF('Measure-Level Adj Gas'!$B$9:$B$406,$C14,'Measure-Level Adj Gas'!$W$9:$W$406)</f>
        <v>52040.085532238212</v>
      </c>
      <c r="I14" s="358">
        <v>50974.384899512523</v>
      </c>
      <c r="J14" s="359">
        <f t="shared" si="2"/>
        <v>-1065.7006327256895</v>
      </c>
      <c r="K14" s="354"/>
      <c r="L14" s="358">
        <f>SUMIF('Measure-Level Adj Gas'!$B$9:$B$406,$C14,'Measure-Level Adj Gas'!$X$9:$X$406)</f>
        <v>52040.085532238212</v>
      </c>
      <c r="M14" s="358">
        <v>52917.846411174607</v>
      </c>
      <c r="N14" s="359">
        <f t="shared" si="3"/>
        <v>877.76087893639487</v>
      </c>
      <c r="O14" s="353" t="s">
        <v>4323</v>
      </c>
      <c r="P14" s="358">
        <f>SUMIF('Measure-Level Adj Gas'!$B$9:$B$406,$C14,'Measure-Level Adj Gas'!$Y$9:$Y$406)</f>
        <v>52040.085532238212</v>
      </c>
      <c r="Q14" s="358">
        <v>50974.384899512523</v>
      </c>
      <c r="R14" s="358">
        <v>52917.846411174607</v>
      </c>
      <c r="S14" s="358">
        <f>SUMIF('Measure-Level Adj Gas'!$B$9:$B$406,$C14,'Measure-Level Adj Gas'!$BB$9:$BB$406)</f>
        <v>53282.837923995125</v>
      </c>
      <c r="T14" s="359">
        <f t="shared" si="9"/>
        <v>-1065.7006327256895</v>
      </c>
      <c r="U14" s="359">
        <f t="shared" si="4"/>
        <v>1943.4615116620844</v>
      </c>
      <c r="V14" s="359">
        <f t="shared" si="4"/>
        <v>364.99151282051753</v>
      </c>
      <c r="W14" s="360">
        <f t="shared" si="5"/>
        <v>1242.7523917569124</v>
      </c>
      <c r="X14" s="354" t="s">
        <v>4389</v>
      </c>
      <c r="Y14" s="361">
        <f t="shared" si="6"/>
        <v>208160.34212895285</v>
      </c>
      <c r="Z14" s="361">
        <f t="shared" si="7"/>
        <v>209215.15476692046</v>
      </c>
      <c r="AA14" s="362">
        <f t="shared" si="8"/>
        <v>1054.8126379676105</v>
      </c>
    </row>
    <row r="15" spans="1:28" s="357" customFormat="1" ht="18" x14ac:dyDescent="0.35">
      <c r="A15" s="2321" t="b">
        <f t="shared" si="0"/>
        <v>1</v>
      </c>
      <c r="B15" s="442">
        <v>305808</v>
      </c>
      <c r="C15" s="599" t="s">
        <v>1864</v>
      </c>
      <c r="D15" s="358">
        <f>SUMIF('Measure-Level Adj Gas'!$B$9:$B$406,$C15,'Measure-Level Adj Gas'!$V$9:$V$406)</f>
        <v>305808</v>
      </c>
      <c r="E15" s="358">
        <v>305808</v>
      </c>
      <c r="F15" s="359">
        <f t="shared" si="1"/>
        <v>0</v>
      </c>
      <c r="G15" s="353"/>
      <c r="H15" s="358">
        <f>SUMIF('Measure-Level Adj Gas'!$B$9:$B$406,$C15,'Measure-Level Adj Gas'!$W$9:$W$406)</f>
        <v>305808</v>
      </c>
      <c r="I15" s="358">
        <v>305808</v>
      </c>
      <c r="J15" s="359">
        <f t="shared" si="2"/>
        <v>0</v>
      </c>
      <c r="K15" s="354"/>
      <c r="L15" s="358">
        <f>SUMIF('Measure-Level Adj Gas'!$B$9:$B$406,$C15,'Measure-Level Adj Gas'!$X$9:$X$406)</f>
        <v>382260</v>
      </c>
      <c r="M15" s="358">
        <v>382260</v>
      </c>
      <c r="N15" s="359">
        <f t="shared" si="3"/>
        <v>0</v>
      </c>
      <c r="O15" s="353"/>
      <c r="P15" s="358">
        <f>SUMIF('Measure-Level Adj Gas'!$B$9:$B$406,$C15,'Measure-Level Adj Gas'!$Y$9:$Y$406)</f>
        <v>382260</v>
      </c>
      <c r="Q15" s="358">
        <v>382260</v>
      </c>
      <c r="R15" s="358">
        <v>382260</v>
      </c>
      <c r="S15" s="358">
        <f>SUMIF('Measure-Level Adj Gas'!$B$9:$B$406,$C15,'Measure-Level Adj Gas'!$BB$9:$BB$406)</f>
        <v>399840</v>
      </c>
      <c r="T15" s="359">
        <f t="shared" si="9"/>
        <v>0</v>
      </c>
      <c r="U15" s="359">
        <f t="shared" si="4"/>
        <v>0</v>
      </c>
      <c r="V15" s="359">
        <f t="shared" si="4"/>
        <v>17580</v>
      </c>
      <c r="W15" s="360">
        <f t="shared" si="5"/>
        <v>17580</v>
      </c>
      <c r="X15" s="354" t="s">
        <v>4360</v>
      </c>
      <c r="Y15" s="361">
        <f t="shared" si="6"/>
        <v>1376136</v>
      </c>
      <c r="Z15" s="361">
        <f t="shared" si="7"/>
        <v>1393716</v>
      </c>
      <c r="AA15" s="362">
        <f t="shared" si="8"/>
        <v>17580</v>
      </c>
    </row>
    <row r="16" spans="1:28" s="357" customFormat="1" ht="18" x14ac:dyDescent="0.35">
      <c r="A16" s="2321" t="b">
        <f t="shared" si="0"/>
        <v>1</v>
      </c>
      <c r="B16" s="442">
        <v>507594.66659999988</v>
      </c>
      <c r="C16" s="599" t="s">
        <v>211</v>
      </c>
      <c r="D16" s="358">
        <f>SUMIF('Measure-Level Adj Gas'!$B$9:$B$406,$C16,'Measure-Level Adj Gas'!$V$9:$V$406)</f>
        <v>507594.66659999988</v>
      </c>
      <c r="E16" s="358">
        <v>507594.66659999988</v>
      </c>
      <c r="F16" s="359">
        <f t="shared" si="1"/>
        <v>0</v>
      </c>
      <c r="G16" s="353"/>
      <c r="H16" s="358">
        <f>SUMIF('Measure-Level Adj Gas'!$B$9:$B$406,$C16,'Measure-Level Adj Gas'!$W$9:$W$406)</f>
        <v>447915.39479999989</v>
      </c>
      <c r="I16" s="358">
        <v>447915.39479999989</v>
      </c>
      <c r="J16" s="359">
        <f t="shared" si="2"/>
        <v>0</v>
      </c>
      <c r="K16" s="354"/>
      <c r="L16" s="358">
        <f>SUMIF('Measure-Level Adj Gas'!$B$9:$B$406,$C16,'Measure-Level Adj Gas'!$X$9:$X$406)</f>
        <v>430589.15460000001</v>
      </c>
      <c r="M16" s="358">
        <v>430589.15460000001</v>
      </c>
      <c r="N16" s="359">
        <f t="shared" si="3"/>
        <v>0</v>
      </c>
      <c r="O16" s="353"/>
      <c r="P16" s="358">
        <f>SUMIF('Measure-Level Adj Gas'!$B$9:$B$406,$C16,'Measure-Level Adj Gas'!$Y$9:$Y$406)</f>
        <v>441498.26879999996</v>
      </c>
      <c r="Q16" s="358">
        <v>441498.26879999996</v>
      </c>
      <c r="R16" s="358">
        <v>441498.26879999996</v>
      </c>
      <c r="S16" s="358">
        <f>SUMIF('Measure-Level Adj Gas'!$B$9:$B$406,$C16,'Measure-Level Adj Gas'!$BB$9:$BB$406)</f>
        <v>441498.26879999996</v>
      </c>
      <c r="T16" s="359">
        <f t="shared" si="9"/>
        <v>0</v>
      </c>
      <c r="U16" s="359">
        <f t="shared" si="4"/>
        <v>0</v>
      </c>
      <c r="V16" s="359">
        <f t="shared" si="4"/>
        <v>0</v>
      </c>
      <c r="W16" s="360">
        <f t="shared" si="5"/>
        <v>0</v>
      </c>
      <c r="X16" s="354"/>
      <c r="Y16" s="361">
        <f t="shared" si="6"/>
        <v>1827597.4847999997</v>
      </c>
      <c r="Z16" s="361">
        <f t="shared" si="7"/>
        <v>1827597.4847999997</v>
      </c>
      <c r="AA16" s="362">
        <f t="shared" si="8"/>
        <v>0</v>
      </c>
    </row>
    <row r="17" spans="1:28" s="357" customFormat="1" ht="18" x14ac:dyDescent="0.35">
      <c r="A17" s="2321" t="b">
        <f t="shared" si="0"/>
        <v>1</v>
      </c>
      <c r="B17" s="442">
        <v>324246.98400000005</v>
      </c>
      <c r="C17" s="599" t="s">
        <v>212</v>
      </c>
      <c r="D17" s="358">
        <f>SUMIF('Measure-Level Adj Gas'!$B$9:$B$406,$C17,'Measure-Level Adj Gas'!$V$9:$V$406)</f>
        <v>324246.98400000005</v>
      </c>
      <c r="E17" s="358">
        <v>324246.98400000005</v>
      </c>
      <c r="F17" s="359">
        <f t="shared" si="1"/>
        <v>0</v>
      </c>
      <c r="G17" s="353"/>
      <c r="H17" s="358">
        <f>SUMIF('Measure-Level Adj Gas'!$B$9:$B$406,$C17,'Measure-Level Adj Gas'!$W$9:$W$406)</f>
        <v>306720.12</v>
      </c>
      <c r="I17" s="358">
        <v>306720.12</v>
      </c>
      <c r="J17" s="359">
        <f t="shared" si="2"/>
        <v>0</v>
      </c>
      <c r="K17" s="354"/>
      <c r="L17" s="358">
        <f>SUMIF('Measure-Level Adj Gas'!$B$9:$B$406,$C17,'Measure-Level Adj Gas'!$X$9:$X$406)</f>
        <v>324246.98400000005</v>
      </c>
      <c r="M17" s="358">
        <v>324246.98400000005</v>
      </c>
      <c r="N17" s="359">
        <f t="shared" si="3"/>
        <v>0</v>
      </c>
      <c r="O17" s="353"/>
      <c r="P17" s="358">
        <f>SUMIF('Measure-Level Adj Gas'!$B$9:$B$406,$C17,'Measure-Level Adj Gas'!$Y$9:$Y$406)</f>
        <v>324246.98400000005</v>
      </c>
      <c r="Q17" s="358">
        <v>324246.98400000005</v>
      </c>
      <c r="R17" s="358">
        <v>324246.98400000005</v>
      </c>
      <c r="S17" s="358">
        <f>SUMIF('Measure-Level Adj Gas'!$B$9:$B$406,$C17,'Measure-Level Adj Gas'!$BB$9:$BB$406)</f>
        <v>324246.98400000005</v>
      </c>
      <c r="T17" s="359">
        <f t="shared" si="9"/>
        <v>0</v>
      </c>
      <c r="U17" s="359">
        <f t="shared" si="4"/>
        <v>0</v>
      </c>
      <c r="V17" s="359">
        <f t="shared" si="4"/>
        <v>0</v>
      </c>
      <c r="W17" s="360">
        <f t="shared" si="5"/>
        <v>0</v>
      </c>
      <c r="X17" s="354"/>
      <c r="Y17" s="361">
        <f t="shared" si="6"/>
        <v>1279461.0720000002</v>
      </c>
      <c r="Z17" s="361">
        <f t="shared" si="7"/>
        <v>1279461.0720000002</v>
      </c>
      <c r="AA17" s="362">
        <f t="shared" si="8"/>
        <v>0</v>
      </c>
    </row>
    <row r="18" spans="1:28" s="357" customFormat="1" ht="18" x14ac:dyDescent="0.35">
      <c r="A18" s="2321" t="b">
        <f t="shared" si="0"/>
        <v>1</v>
      </c>
      <c r="B18" s="442">
        <v>1450178.6469955642</v>
      </c>
      <c r="C18" s="599" t="s">
        <v>81</v>
      </c>
      <c r="D18" s="358">
        <f>SUMIF('Measure-Level Adj Gas'!$B$9:$B$406,$C18,'Measure-Level Adj Gas'!$V$9:$V$406)</f>
        <v>1450178.6469955645</v>
      </c>
      <c r="E18" s="358">
        <v>1450178.6469955645</v>
      </c>
      <c r="F18" s="359">
        <f t="shared" si="1"/>
        <v>0</v>
      </c>
      <c r="G18" s="353"/>
      <c r="H18" s="358">
        <f>SUMIF('Measure-Level Adj Gas'!$B$9:$B$406,$C18,'Measure-Level Adj Gas'!$W$9:$W$406)</f>
        <v>1316667.0413518914</v>
      </c>
      <c r="I18" s="358">
        <v>1328741.6788578331</v>
      </c>
      <c r="J18" s="359">
        <f t="shared" si="2"/>
        <v>12074.637505941791</v>
      </c>
      <c r="K18" s="353"/>
      <c r="L18" s="358">
        <f>SUMIF('Measure-Level Adj Gas'!$B$9:$B$406,$C18,'Measure-Level Adj Gas'!$X$9:$X$406)</f>
        <v>806200.25891614915</v>
      </c>
      <c r="M18" s="358">
        <v>843063.89993440814</v>
      </c>
      <c r="N18" s="359">
        <f t="shared" si="3"/>
        <v>36863.64101825899</v>
      </c>
      <c r="O18" s="354" t="s">
        <v>4323</v>
      </c>
      <c r="P18" s="358">
        <f>SUMIF('Measure-Level Adj Gas'!$B$9:$B$406,$C18,'Measure-Level Adj Gas'!$Y$9:$Y$406)</f>
        <v>849881.30999236391</v>
      </c>
      <c r="Q18" s="358">
        <v>864269.03635533131</v>
      </c>
      <c r="R18" s="358">
        <v>887428.91039650107</v>
      </c>
      <c r="S18" s="358">
        <f>SUMIF('Measure-Level Adj Gas'!$B$9:$B$406,$C18,'Measure-Level Adj Gas'!$BB$9:$BB$406)</f>
        <v>880998.09635522775</v>
      </c>
      <c r="T18" s="359">
        <f t="shared" si="9"/>
        <v>14387.726362967398</v>
      </c>
      <c r="U18" s="359">
        <f t="shared" si="4"/>
        <v>23159.874041169765</v>
      </c>
      <c r="V18" s="359">
        <f t="shared" si="4"/>
        <v>-6430.8140412733192</v>
      </c>
      <c r="W18" s="360">
        <f t="shared" si="5"/>
        <v>31116.786362863844</v>
      </c>
      <c r="X18" s="354" t="s">
        <v>4390</v>
      </c>
      <c r="Y18" s="361">
        <f t="shared" si="6"/>
        <v>4422927.2572559686</v>
      </c>
      <c r="Z18" s="361">
        <f t="shared" si="7"/>
        <v>4502982.3221430331</v>
      </c>
      <c r="AA18" s="362">
        <f t="shared" si="8"/>
        <v>80055.064887064509</v>
      </c>
    </row>
    <row r="19" spans="1:28" s="5" customFormat="1" ht="18.5" x14ac:dyDescent="0.35">
      <c r="C19" s="363" t="s">
        <v>1897</v>
      </c>
      <c r="D19" s="358">
        <v>8892</v>
      </c>
      <c r="E19" s="358">
        <v>8892</v>
      </c>
      <c r="F19" s="359">
        <f t="shared" si="1"/>
        <v>0</v>
      </c>
      <c r="G19" s="365"/>
      <c r="H19" s="364"/>
      <c r="I19" s="364"/>
      <c r="J19" s="359">
        <f t="shared" si="2"/>
        <v>0</v>
      </c>
      <c r="K19" s="366"/>
      <c r="L19" s="364"/>
      <c r="M19" s="364"/>
      <c r="N19" s="359">
        <f t="shared" si="3"/>
        <v>0</v>
      </c>
      <c r="O19" s="365"/>
      <c r="P19" s="364"/>
      <c r="Q19" s="364"/>
      <c r="R19" s="364"/>
      <c r="S19" s="364"/>
      <c r="T19" s="359">
        <f t="shared" si="9"/>
        <v>0</v>
      </c>
      <c r="U19" s="359">
        <f t="shared" si="4"/>
        <v>0</v>
      </c>
      <c r="V19" s="359">
        <f t="shared" si="4"/>
        <v>0</v>
      </c>
      <c r="W19" s="360">
        <f t="shared" si="5"/>
        <v>0</v>
      </c>
      <c r="X19" s="366"/>
      <c r="Y19" s="361">
        <f t="shared" si="6"/>
        <v>8892</v>
      </c>
      <c r="Z19" s="361">
        <f t="shared" si="7"/>
        <v>8892</v>
      </c>
      <c r="AA19" s="362">
        <f t="shared" si="8"/>
        <v>0</v>
      </c>
    </row>
    <row r="20" spans="1:28" s="5" customFormat="1" ht="18.5" x14ac:dyDescent="0.35">
      <c r="C20" s="363" t="s">
        <v>3302</v>
      </c>
      <c r="D20" s="358">
        <f>'Portfolio Summary'!$O$26</f>
        <v>-441008.82304895925</v>
      </c>
      <c r="E20" s="358">
        <v>-441008.82304895925</v>
      </c>
      <c r="F20" s="359">
        <f t="shared" si="1"/>
        <v>0</v>
      </c>
      <c r="G20" s="365"/>
      <c r="H20" s="358">
        <v>-441008.82304895925</v>
      </c>
      <c r="I20" s="358">
        <v>-441008.82304895925</v>
      </c>
      <c r="J20" s="359">
        <f t="shared" si="2"/>
        <v>0</v>
      </c>
      <c r="K20" s="366"/>
      <c r="L20" s="358">
        <v>-441008.82304895925</v>
      </c>
      <c r="M20" s="358">
        <v>-441008.82304895925</v>
      </c>
      <c r="N20" s="359">
        <f t="shared" si="3"/>
        <v>0</v>
      </c>
      <c r="O20" s="365"/>
      <c r="P20" s="358">
        <v>-441008.82304895925</v>
      </c>
      <c r="Q20" s="358">
        <v>-441008.82304895925</v>
      </c>
      <c r="R20" s="358">
        <v>-441008.82304895925</v>
      </c>
      <c r="S20" s="358">
        <f>'Portfolio Summary'!$X$26</f>
        <v>-441008.82304895925</v>
      </c>
      <c r="T20" s="359">
        <f t="shared" si="9"/>
        <v>0</v>
      </c>
      <c r="U20" s="359">
        <f t="shared" si="4"/>
        <v>0</v>
      </c>
      <c r="V20" s="359">
        <f t="shared" si="4"/>
        <v>0</v>
      </c>
      <c r="W20" s="360">
        <f t="shared" si="5"/>
        <v>0</v>
      </c>
      <c r="X20" s="366"/>
      <c r="Y20" s="361">
        <f t="shared" si="6"/>
        <v>-1764035.292195837</v>
      </c>
      <c r="Z20" s="361">
        <f t="shared" si="7"/>
        <v>-1764035.292195837</v>
      </c>
      <c r="AA20" s="362">
        <f t="shared" si="8"/>
        <v>0</v>
      </c>
    </row>
    <row r="21" spans="1:28" s="5" customFormat="1" ht="19" thickBot="1" x14ac:dyDescent="0.4">
      <c r="C21" s="367"/>
      <c r="D21" s="2178"/>
      <c r="E21" s="2178"/>
      <c r="F21" s="368"/>
      <c r="G21" s="369"/>
      <c r="H21" s="2178"/>
      <c r="I21" s="2178"/>
      <c r="J21" s="368"/>
      <c r="K21" s="370"/>
      <c r="L21" s="2178"/>
      <c r="M21" s="2178"/>
      <c r="N21" s="368"/>
      <c r="O21" s="369"/>
      <c r="P21" s="2178"/>
      <c r="Q21" s="2813"/>
      <c r="R21" s="2813"/>
      <c r="S21" s="2178"/>
      <c r="T21" s="368"/>
      <c r="U21" s="368"/>
      <c r="V21" s="368"/>
      <c r="W21" s="368"/>
      <c r="X21" s="369"/>
      <c r="Y21" s="371"/>
      <c r="Z21" s="372"/>
      <c r="AA21" s="373"/>
    </row>
    <row r="22" spans="1:28" s="5" customFormat="1" ht="34.5" customHeight="1" thickTop="1" x14ac:dyDescent="0.35">
      <c r="A22" s="2321" t="b">
        <f>ROUND(B22,0)=ROUND(D22,0)</f>
        <v>1</v>
      </c>
      <c r="B22" s="2322">
        <f>'Portfolio Summary'!$O$27</f>
        <v>3716492.4028970562</v>
      </c>
      <c r="C22" s="374" t="s">
        <v>1175</v>
      </c>
      <c r="D22" s="375">
        <f>SUM(D9:D20)</f>
        <v>3716492.4028970581</v>
      </c>
      <c r="E22" s="375">
        <f>SUM(E9:E20)</f>
        <v>3716492.4028970581</v>
      </c>
      <c r="F22" s="375">
        <f>SUM(F9:F20)</f>
        <v>0</v>
      </c>
      <c r="G22" s="376"/>
      <c r="H22" s="375">
        <f>SUM(H9:H20)</f>
        <v>3524551.006184876</v>
      </c>
      <c r="I22" s="375">
        <f>SUM(I9:I20)</f>
        <v>3502779.6880179141</v>
      </c>
      <c r="J22" s="375">
        <f>SUM(J9:J20)</f>
        <v>-21771.318166962694</v>
      </c>
      <c r="K22" s="376"/>
      <c r="L22" s="375">
        <f>SUM(L9:L20)</f>
        <v>3074613.331617007</v>
      </c>
      <c r="M22" s="375">
        <f>SUM(M9:M20)</f>
        <v>3134293.3838090245</v>
      </c>
      <c r="N22" s="375">
        <f>SUM(N9:N20)</f>
        <v>59680.052192016476</v>
      </c>
      <c r="O22" s="376"/>
      <c r="P22" s="375">
        <f>SUM(P9:P20)</f>
        <v>3129203.8553342046</v>
      </c>
      <c r="Q22" s="375"/>
      <c r="R22" s="375"/>
      <c r="S22" s="375">
        <f>SUM(S9:S20)</f>
        <v>3209155.0991753973</v>
      </c>
      <c r="T22" s="375">
        <f t="shared" ref="T22:V22" si="10">SUM(T9:T20)</f>
        <v>-16604.064436342349</v>
      </c>
      <c r="U22" s="375">
        <f t="shared" si="10"/>
        <v>62913.791834541466</v>
      </c>
      <c r="V22" s="375">
        <f t="shared" si="10"/>
        <v>33641.516442993176</v>
      </c>
      <c r="W22" s="375">
        <f>SUM(W9:W20)</f>
        <v>79951.243841192278</v>
      </c>
      <c r="X22" s="376"/>
      <c r="Y22" s="375">
        <f>SUM(Y9:Y20)</f>
        <v>13444860.596033145</v>
      </c>
      <c r="Z22" s="375">
        <f>SUM(Z9:Z20)</f>
        <v>13562720.573899392</v>
      </c>
      <c r="AA22" s="375">
        <f>SUM(AA9:AA20)</f>
        <v>117859.97786624619</v>
      </c>
    </row>
    <row r="23" spans="1:28" ht="18.75" customHeight="1" x14ac:dyDescent="0.35">
      <c r="C23" s="377"/>
      <c r="AB23" s="5"/>
    </row>
  </sheetData>
  <mergeCells count="5">
    <mergeCell ref="D4:G4"/>
    <mergeCell ref="H4:K4"/>
    <mergeCell ref="L4:O4"/>
    <mergeCell ref="P4:X4"/>
    <mergeCell ref="Y4:AA4"/>
  </mergeCells>
  <printOptions headings="1" gridLines="1"/>
  <pageMargins left="0.5" right="0.5" top="0.5" bottom="0.5" header="0.3" footer="0.3"/>
  <pageSetup scale="22" orientation="landscape" r:id="rId1"/>
  <headerFooter>
    <oddHeader>&amp;LAppendix G (Rev.)&amp;CProgram-Level Adj Gas</oddHeader>
    <oddFooter>&amp;L&amp;"Arial,Regular"&amp;14&amp;A
&amp;F&amp;C&amp;"Arial,Regular"&amp;14&amp;P</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AD78"/>
  <sheetViews>
    <sheetView zoomScale="70" zoomScaleNormal="70" workbookViewId="0"/>
  </sheetViews>
  <sheetFormatPr defaultColWidth="9.1796875" defaultRowHeight="14.5" x14ac:dyDescent="0.35"/>
  <cols>
    <col min="1" max="1" width="9.1796875" style="675"/>
    <col min="2" max="2" width="30.453125" style="675" customWidth="1"/>
    <col min="3" max="7" width="16" style="675" customWidth="1"/>
    <col min="8" max="8" width="15.26953125" style="675" customWidth="1"/>
    <col min="9" max="9" width="28" style="675" customWidth="1"/>
    <col min="10" max="10" width="19.54296875" style="675" customWidth="1"/>
    <col min="11" max="11" width="19.1796875" style="675" customWidth="1"/>
    <col min="12" max="12" width="17.81640625" style="675" customWidth="1"/>
    <col min="13" max="13" width="16" style="675" customWidth="1"/>
    <col min="14" max="14" width="18.81640625" style="675" customWidth="1"/>
    <col min="15" max="16" width="16" style="675" customWidth="1"/>
    <col min="17" max="17" width="14.1796875" style="675" customWidth="1"/>
    <col min="18" max="18" width="18.54296875" style="675" customWidth="1"/>
    <col min="19" max="19" width="12.81640625" style="675" customWidth="1"/>
    <col min="20" max="20" width="13.7265625" style="675" customWidth="1"/>
    <col min="21"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2185</v>
      </c>
    </row>
    <row r="3" spans="1:11" ht="21" x14ac:dyDescent="0.5">
      <c r="A3" s="704" t="s">
        <v>2186</v>
      </c>
    </row>
    <row r="4" spans="1:11" ht="15" customHeight="1" x14ac:dyDescent="0.35">
      <c r="B4" s="735"/>
      <c r="C4" s="833"/>
      <c r="J4" s="737"/>
      <c r="K4" s="737"/>
    </row>
    <row r="5" spans="1:11" x14ac:dyDescent="0.35">
      <c r="B5" s="857" t="s">
        <v>1947</v>
      </c>
      <c r="C5" s="835">
        <f>SUM(C60:C61)</f>
        <v>4</v>
      </c>
    </row>
    <row r="6" spans="1:11" x14ac:dyDescent="0.35">
      <c r="B6" s="926" t="s">
        <v>1948</v>
      </c>
      <c r="C6" s="837">
        <f>SUMPRODUCT(C73:C73,D73:D73)</f>
        <v>6</v>
      </c>
    </row>
    <row r="7" spans="1:11" x14ac:dyDescent="0.35">
      <c r="B7" s="927" t="s">
        <v>2052</v>
      </c>
      <c r="C7" s="839">
        <v>0</v>
      </c>
      <c r="D7" s="840"/>
    </row>
    <row r="8" spans="1:11" x14ac:dyDescent="0.35">
      <c r="B8" s="859" t="s">
        <v>1951</v>
      </c>
      <c r="C8" s="842">
        <f>SUM(G73:G73)</f>
        <v>0</v>
      </c>
      <c r="F8" s="3003"/>
      <c r="G8" s="3003"/>
      <c r="H8" s="796"/>
      <c r="I8" s="796"/>
      <c r="J8" s="698"/>
    </row>
    <row r="9" spans="1:11" x14ac:dyDescent="0.35">
      <c r="B9" s="927" t="s">
        <v>1952</v>
      </c>
      <c r="C9" s="839">
        <f>SUM(F73:F73)</f>
        <v>3031.4080285714285</v>
      </c>
    </row>
    <row r="10" spans="1:11" x14ac:dyDescent="0.35">
      <c r="B10" s="859" t="s">
        <v>2053</v>
      </c>
      <c r="C10" s="843">
        <f>SUM(E73:E73)</f>
        <v>7200</v>
      </c>
      <c r="E10" s="919"/>
    </row>
    <row r="11" spans="1:11" x14ac:dyDescent="0.35">
      <c r="B11" s="927" t="s">
        <v>61</v>
      </c>
      <c r="C11" s="844">
        <f>C7/$C$6</f>
        <v>0</v>
      </c>
      <c r="D11" s="845"/>
    </row>
    <row r="12" spans="1:11" x14ac:dyDescent="0.35">
      <c r="B12" s="859" t="s">
        <v>62</v>
      </c>
      <c r="C12" s="846">
        <f>C8/$C$6</f>
        <v>0</v>
      </c>
    </row>
    <row r="13" spans="1:11" x14ac:dyDescent="0.35">
      <c r="B13" s="927" t="s">
        <v>63</v>
      </c>
      <c r="C13" s="844">
        <f>C9/$C$6</f>
        <v>505.2346714285714</v>
      </c>
    </row>
    <row r="14" spans="1:11" x14ac:dyDescent="0.35">
      <c r="B14" s="859" t="s">
        <v>2187</v>
      </c>
      <c r="C14" s="1045">
        <f>C10/C9</f>
        <v>2.375133908777384</v>
      </c>
    </row>
    <row r="15" spans="1:11" x14ac:dyDescent="0.35">
      <c r="B15" s="927" t="s">
        <v>2058</v>
      </c>
      <c r="C15" s="839">
        <f>C7/C5</f>
        <v>0</v>
      </c>
    </row>
    <row r="16" spans="1:11" x14ac:dyDescent="0.35">
      <c r="B16" s="928" t="s">
        <v>1960</v>
      </c>
      <c r="C16" s="1046">
        <f>I73</f>
        <v>7200</v>
      </c>
    </row>
    <row r="17" spans="1:5" x14ac:dyDescent="0.35">
      <c r="B17" s="850" t="s">
        <v>2061</v>
      </c>
      <c r="C17" s="729"/>
    </row>
    <row r="18" spans="1:5" x14ac:dyDescent="0.35">
      <c r="B18" s="851" t="s">
        <v>2062</v>
      </c>
      <c r="C18" s="729"/>
    </row>
    <row r="19" spans="1:5" x14ac:dyDescent="0.35">
      <c r="B19" s="834" t="s">
        <v>2063</v>
      </c>
      <c r="C19" s="852">
        <f>1-C33+C34+C35</f>
        <v>0.83300000000000007</v>
      </c>
    </row>
    <row r="20" spans="1:5" x14ac:dyDescent="0.35">
      <c r="B20" s="841" t="s">
        <v>1965</v>
      </c>
      <c r="C20" s="842">
        <f>C19*C7</f>
        <v>0</v>
      </c>
      <c r="D20" s="840"/>
      <c r="E20" s="853"/>
    </row>
    <row r="21" spans="1:5" x14ac:dyDescent="0.35">
      <c r="B21" s="838" t="s">
        <v>1966</v>
      </c>
      <c r="C21" s="839">
        <f>C$19*C8</f>
        <v>0</v>
      </c>
    </row>
    <row r="22" spans="1:5" x14ac:dyDescent="0.35">
      <c r="B22" s="841" t="s">
        <v>1967</v>
      </c>
      <c r="C22" s="842">
        <f>C$19*C9</f>
        <v>2525.1628878000001</v>
      </c>
    </row>
    <row r="23" spans="1:5" x14ac:dyDescent="0.35">
      <c r="B23" s="838" t="s">
        <v>1968</v>
      </c>
      <c r="C23" s="854" t="e">
        <f>C10/C20</f>
        <v>#DIV/0!</v>
      </c>
    </row>
    <row r="24" spans="1:5" x14ac:dyDescent="0.35">
      <c r="B24" s="855" t="s">
        <v>1970</v>
      </c>
      <c r="C24" s="2498">
        <v>12</v>
      </c>
    </row>
    <row r="25" spans="1:5" x14ac:dyDescent="0.35">
      <c r="B25" s="703"/>
    </row>
    <row r="26" spans="1:5" ht="21" x14ac:dyDescent="0.5">
      <c r="A26" s="704" t="s">
        <v>1971</v>
      </c>
      <c r="B26" s="1047"/>
      <c r="C26" s="712"/>
    </row>
    <row r="27" spans="1:5" x14ac:dyDescent="0.35">
      <c r="B27" s="868" t="s">
        <v>2188</v>
      </c>
      <c r="C27" s="1048">
        <f>H73</f>
        <v>757.85200714285713</v>
      </c>
    </row>
    <row r="28" spans="1:5" x14ac:dyDescent="0.35">
      <c r="B28" s="936" t="s">
        <v>2059</v>
      </c>
      <c r="C28" s="992">
        <f>C10/C5</f>
        <v>1800</v>
      </c>
    </row>
    <row r="29" spans="1:5" ht="21.65" customHeight="1" x14ac:dyDescent="0.35">
      <c r="B29" s="732" t="s">
        <v>2155</v>
      </c>
      <c r="C29" s="1049">
        <f>C16/C5</f>
        <v>1800</v>
      </c>
    </row>
    <row r="30" spans="1:5" ht="21" hidden="1" x14ac:dyDescent="0.5">
      <c r="A30" s="704" t="s">
        <v>2064</v>
      </c>
      <c r="B30" s="1050"/>
      <c r="C30" s="874"/>
    </row>
    <row r="31" spans="1:5" hidden="1" x14ac:dyDescent="0.35">
      <c r="B31" s="873"/>
      <c r="C31" s="874"/>
    </row>
    <row r="32" spans="1:5" ht="14.5" hidden="1" customHeight="1" x14ac:dyDescent="0.35">
      <c r="B32" s="3016" t="s">
        <v>2065</v>
      </c>
      <c r="C32" s="3017"/>
    </row>
    <row r="33" spans="1:20" hidden="1" x14ac:dyDescent="0.35">
      <c r="B33" s="724" t="s">
        <v>1416</v>
      </c>
      <c r="C33" s="1051">
        <v>0.18</v>
      </c>
    </row>
    <row r="34" spans="1:20" hidden="1" x14ac:dyDescent="0.35">
      <c r="B34" s="936" t="s">
        <v>2066</v>
      </c>
      <c r="C34" s="1052">
        <v>3.0000000000000001E-3</v>
      </c>
    </row>
    <row r="35" spans="1:20" hidden="1" x14ac:dyDescent="0.35">
      <c r="B35" s="724" t="s">
        <v>2067</v>
      </c>
      <c r="C35" s="1051">
        <v>0.01</v>
      </c>
    </row>
    <row r="36" spans="1:20" x14ac:dyDescent="0.35">
      <c r="C36" s="919">
        <f>C10/C6</f>
        <v>1200</v>
      </c>
    </row>
    <row r="37" spans="1:20" ht="21" x14ac:dyDescent="0.5">
      <c r="A37" s="704" t="s">
        <v>1977</v>
      </c>
    </row>
    <row r="39" spans="1:20" ht="18" customHeight="1" x14ac:dyDescent="0.45">
      <c r="C39" s="3018" t="s">
        <v>2039</v>
      </c>
      <c r="D39" s="3019"/>
      <c r="E39" s="3019"/>
      <c r="F39" s="3019"/>
      <c r="G39" s="3019"/>
      <c r="H39" s="3019"/>
      <c r="I39" s="3019"/>
      <c r="J39" s="3019"/>
      <c r="K39" s="3019"/>
      <c r="L39" s="3019"/>
      <c r="M39" s="3019"/>
      <c r="N39" s="3019"/>
      <c r="O39" s="3019"/>
      <c r="P39" s="3019"/>
      <c r="Q39" s="3019"/>
      <c r="R39" s="3019"/>
      <c r="S39" s="3019"/>
      <c r="T39" s="3019"/>
    </row>
    <row r="40" spans="1:20" ht="30" customHeight="1" x14ac:dyDescent="0.35">
      <c r="B40" s="863" t="s">
        <v>2019</v>
      </c>
      <c r="C40" s="864" t="s">
        <v>2189</v>
      </c>
      <c r="D40" s="865" t="s">
        <v>2190</v>
      </c>
      <c r="E40" s="865" t="s">
        <v>2191</v>
      </c>
      <c r="F40" s="867" t="s">
        <v>2192</v>
      </c>
      <c r="G40" s="1053" t="s">
        <v>2193</v>
      </c>
      <c r="H40" s="1053" t="s">
        <v>2194</v>
      </c>
      <c r="I40" s="1053" t="s">
        <v>2195</v>
      </c>
      <c r="J40" s="1053" t="s">
        <v>2196</v>
      </c>
      <c r="K40" s="1053" t="s">
        <v>2197</v>
      </c>
      <c r="L40" s="1053" t="s">
        <v>2198</v>
      </c>
      <c r="M40" s="1054" t="s">
        <v>2199</v>
      </c>
      <c r="N40" s="999" t="s">
        <v>2200</v>
      </c>
      <c r="O40" s="1055" t="s">
        <v>2201</v>
      </c>
      <c r="P40" s="1055" t="s">
        <v>2202</v>
      </c>
      <c r="Q40" s="1055" t="s">
        <v>2203</v>
      </c>
      <c r="R40" s="1055" t="s">
        <v>2204</v>
      </c>
      <c r="S40" s="1055" t="s">
        <v>2205</v>
      </c>
      <c r="T40" s="1055" t="s">
        <v>2206</v>
      </c>
    </row>
    <row r="41" spans="1:20" x14ac:dyDescent="0.35">
      <c r="B41" s="995" t="s">
        <v>2207</v>
      </c>
      <c r="C41" s="1001">
        <v>16</v>
      </c>
      <c r="D41" s="1056">
        <v>365.25</v>
      </c>
      <c r="E41" s="1001">
        <v>150</v>
      </c>
      <c r="F41" s="1057">
        <v>0.5</v>
      </c>
      <c r="G41" s="1058">
        <v>0.35</v>
      </c>
      <c r="H41" s="1059">
        <v>65</v>
      </c>
      <c r="I41" s="1059">
        <v>60</v>
      </c>
      <c r="J41" s="1059">
        <v>1</v>
      </c>
      <c r="K41" s="1059">
        <v>1</v>
      </c>
      <c r="L41" s="1059">
        <v>15</v>
      </c>
      <c r="M41" s="1059">
        <v>15</v>
      </c>
      <c r="N41" s="1059">
        <v>62000</v>
      </c>
      <c r="O41" s="1059">
        <v>64000</v>
      </c>
      <c r="P41" s="1059">
        <v>9000</v>
      </c>
      <c r="Q41" s="1059">
        <v>14000</v>
      </c>
      <c r="R41" s="1059">
        <v>13.44</v>
      </c>
      <c r="S41" s="1059">
        <v>13.25</v>
      </c>
      <c r="T41" s="1059">
        <v>570</v>
      </c>
    </row>
    <row r="43" spans="1:20" x14ac:dyDescent="0.35">
      <c r="B43" s="995" t="s">
        <v>2208</v>
      </c>
      <c r="C43" s="1060">
        <v>1200</v>
      </c>
    </row>
    <row r="45" spans="1:20" ht="21" x14ac:dyDescent="0.5">
      <c r="A45" s="704" t="s">
        <v>2012</v>
      </c>
      <c r="I45" s="3020" t="s">
        <v>2209</v>
      </c>
      <c r="J45" s="3021"/>
      <c r="K45" s="3021"/>
      <c r="L45" s="3021"/>
      <c r="M45" s="3021"/>
      <c r="N45" s="3021"/>
      <c r="O45" s="3021"/>
      <c r="P45" s="3021"/>
      <c r="Q45" s="3022"/>
    </row>
    <row r="46" spans="1:20" ht="15" customHeight="1" x14ac:dyDescent="0.5">
      <c r="A46" s="704"/>
      <c r="I46" s="869" t="s">
        <v>2072</v>
      </c>
      <c r="J46" s="870"/>
      <c r="K46" s="870"/>
      <c r="L46" s="870"/>
      <c r="M46" s="870"/>
      <c r="N46" s="870"/>
      <c r="O46" s="870"/>
      <c r="P46" s="870"/>
      <c r="Q46" s="871"/>
    </row>
    <row r="47" spans="1:20" x14ac:dyDescent="0.35">
      <c r="B47" s="878" t="s">
        <v>2210</v>
      </c>
      <c r="C47" s="879">
        <v>1200</v>
      </c>
      <c r="D47" s="739"/>
      <c r="I47" s="873" t="s">
        <v>2211</v>
      </c>
      <c r="J47" s="698"/>
      <c r="K47" s="698"/>
      <c r="L47" s="698"/>
      <c r="M47" s="698"/>
      <c r="N47" s="698"/>
      <c r="O47" s="698"/>
      <c r="P47" s="698"/>
      <c r="Q47" s="874"/>
    </row>
    <row r="48" spans="1:20" x14ac:dyDescent="0.35">
      <c r="I48" s="873" t="s">
        <v>2212</v>
      </c>
      <c r="J48" s="698"/>
      <c r="K48" s="698"/>
      <c r="L48" s="698"/>
      <c r="M48" s="698"/>
      <c r="N48" s="698"/>
      <c r="O48" s="698"/>
      <c r="P48" s="698"/>
      <c r="Q48" s="874"/>
    </row>
    <row r="49" spans="1:30" ht="21" x14ac:dyDescent="0.5">
      <c r="A49" s="704" t="s">
        <v>2088</v>
      </c>
      <c r="I49" s="873" t="s">
        <v>2213</v>
      </c>
      <c r="J49" s="698"/>
      <c r="K49" s="698"/>
      <c r="L49" s="698"/>
      <c r="M49" s="698"/>
      <c r="N49" s="698"/>
      <c r="O49" s="698"/>
      <c r="P49" s="698"/>
      <c r="Q49" s="874"/>
    </row>
    <row r="50" spans="1:30" x14ac:dyDescent="0.35">
      <c r="I50" s="933" t="s">
        <v>2214</v>
      </c>
      <c r="J50" s="934"/>
      <c r="K50" s="934"/>
      <c r="L50" s="934"/>
      <c r="M50" s="934"/>
      <c r="N50" s="934"/>
      <c r="O50" s="934"/>
      <c r="P50" s="934"/>
      <c r="Q50" s="935"/>
    </row>
    <row r="51" spans="1:30" ht="18" customHeight="1" x14ac:dyDescent="0.45">
      <c r="B51" s="3006" t="s">
        <v>2092</v>
      </c>
      <c r="C51" s="3008"/>
      <c r="D51" s="1061"/>
      <c r="E51" s="779"/>
      <c r="F51" s="779"/>
      <c r="G51" s="779"/>
      <c r="H51" s="779"/>
      <c r="I51" s="869" t="s">
        <v>1990</v>
      </c>
      <c r="J51" s="870"/>
      <c r="K51" s="870"/>
      <c r="L51" s="870"/>
      <c r="M51" s="870"/>
      <c r="N51" s="870"/>
      <c r="O51" s="870"/>
      <c r="P51" s="870"/>
      <c r="Q51" s="871"/>
    </row>
    <row r="52" spans="1:30" ht="43.5" x14ac:dyDescent="0.35">
      <c r="B52" s="863" t="s">
        <v>2019</v>
      </c>
      <c r="C52" s="882" t="s">
        <v>2215</v>
      </c>
      <c r="D52" s="712"/>
      <c r="E52" s="876"/>
      <c r="F52" s="3023"/>
      <c r="G52" s="3023"/>
      <c r="H52" s="753"/>
      <c r="I52" s="873" t="s">
        <v>2189</v>
      </c>
      <c r="J52" s="698" t="s">
        <v>1992</v>
      </c>
      <c r="K52" s="698" t="s">
        <v>2216</v>
      </c>
      <c r="L52" s="698"/>
      <c r="M52" s="698"/>
      <c r="N52" s="698"/>
      <c r="O52" s="698"/>
      <c r="P52" s="698"/>
      <c r="Q52" s="874"/>
    </row>
    <row r="53" spans="1:30" x14ac:dyDescent="0.35">
      <c r="B53" s="995" t="s">
        <v>2207</v>
      </c>
      <c r="C53" s="970">
        <v>1.5</v>
      </c>
      <c r="D53" s="1062"/>
      <c r="E53" s="880"/>
      <c r="F53" s="769"/>
      <c r="G53" s="769"/>
      <c r="H53" s="880"/>
      <c r="I53" s="873" t="s">
        <v>2190</v>
      </c>
      <c r="J53" s="698" t="s">
        <v>1992</v>
      </c>
      <c r="K53" s="698" t="s">
        <v>2217</v>
      </c>
      <c r="L53" s="698"/>
      <c r="M53" s="698"/>
      <c r="N53" s="698"/>
      <c r="O53" s="698"/>
      <c r="P53" s="698"/>
      <c r="Q53" s="874"/>
    </row>
    <row r="54" spans="1:30" x14ac:dyDescent="0.35">
      <c r="C54" s="1031"/>
      <c r="D54" s="680"/>
      <c r="E54" s="880"/>
      <c r="F54" s="769"/>
      <c r="G54" s="769"/>
      <c r="H54" s="880"/>
      <c r="I54" s="873" t="s">
        <v>2191</v>
      </c>
      <c r="J54" s="698" t="s">
        <v>1992</v>
      </c>
      <c r="K54" s="698" t="s">
        <v>2218</v>
      </c>
      <c r="L54" s="698"/>
      <c r="M54" s="698"/>
      <c r="N54" s="698"/>
      <c r="O54" s="698"/>
      <c r="P54" s="698"/>
      <c r="Q54" s="874"/>
    </row>
    <row r="55" spans="1:30" x14ac:dyDescent="0.35">
      <c r="I55" s="873" t="s">
        <v>2192</v>
      </c>
      <c r="J55" s="698" t="s">
        <v>1992</v>
      </c>
      <c r="K55" s="698" t="s">
        <v>2219</v>
      </c>
      <c r="L55" s="698"/>
      <c r="M55" s="698"/>
      <c r="N55" s="698"/>
      <c r="O55" s="698"/>
      <c r="P55" s="698"/>
      <c r="Q55" s="874"/>
    </row>
    <row r="56" spans="1:30" ht="21" x14ac:dyDescent="0.5">
      <c r="A56" s="704" t="s">
        <v>2014</v>
      </c>
      <c r="I56" s="873" t="s">
        <v>2193</v>
      </c>
      <c r="J56" s="698" t="s">
        <v>1992</v>
      </c>
      <c r="K56" s="698" t="s">
        <v>2220</v>
      </c>
      <c r="L56" s="698"/>
      <c r="M56" s="698"/>
      <c r="N56" s="698"/>
      <c r="O56" s="698"/>
      <c r="P56" s="698"/>
      <c r="Q56" s="874"/>
    </row>
    <row r="57" spans="1:30" x14ac:dyDescent="0.35">
      <c r="I57" s="873" t="s">
        <v>2194</v>
      </c>
      <c r="J57" s="698" t="s">
        <v>1992</v>
      </c>
      <c r="K57" s="698" t="s">
        <v>2221</v>
      </c>
      <c r="L57" s="698"/>
      <c r="M57" s="698"/>
      <c r="N57" s="698"/>
      <c r="O57" s="698"/>
      <c r="P57" s="698"/>
      <c r="Q57" s="874"/>
    </row>
    <row r="58" spans="1:30" ht="32.25" customHeight="1" x14ac:dyDescent="0.45">
      <c r="B58" s="3009" t="s">
        <v>2038</v>
      </c>
      <c r="C58" s="3011"/>
      <c r="D58" s="779"/>
      <c r="E58" s="779"/>
      <c r="F58" s="779"/>
      <c r="G58" s="779"/>
      <c r="H58" s="779"/>
      <c r="I58" s="873" t="s">
        <v>2195</v>
      </c>
      <c r="J58" s="698" t="s">
        <v>1992</v>
      </c>
      <c r="K58" s="698" t="s">
        <v>2222</v>
      </c>
      <c r="L58" s="698"/>
      <c r="M58" s="698"/>
      <c r="N58" s="698"/>
      <c r="O58" s="698"/>
      <c r="P58" s="698"/>
      <c r="Q58" s="874"/>
      <c r="R58" s="779"/>
      <c r="S58" s="779"/>
      <c r="T58" s="779"/>
      <c r="U58" s="779"/>
      <c r="V58" s="779"/>
      <c r="W58" s="779"/>
      <c r="X58" s="779"/>
      <c r="Y58" s="779"/>
      <c r="Z58" s="779"/>
      <c r="AA58" s="779"/>
      <c r="AB58" s="779"/>
      <c r="AC58" s="779"/>
      <c r="AD58" s="779"/>
    </row>
    <row r="59" spans="1:30" ht="29" x14ac:dyDescent="0.35">
      <c r="B59" s="863" t="s">
        <v>2019</v>
      </c>
      <c r="C59" s="882" t="s">
        <v>1947</v>
      </c>
      <c r="D59" s="1063"/>
      <c r="E59" s="753"/>
      <c r="F59" s="753"/>
      <c r="G59" s="753"/>
      <c r="H59" s="753"/>
      <c r="I59" s="873" t="s">
        <v>2196</v>
      </c>
      <c r="J59" s="698" t="s">
        <v>1992</v>
      </c>
      <c r="K59" s="698" t="s">
        <v>2223</v>
      </c>
      <c r="L59" s="698"/>
      <c r="M59" s="698"/>
      <c r="N59" s="698"/>
      <c r="O59" s="698"/>
      <c r="P59" s="698"/>
      <c r="Q59" s="874"/>
      <c r="R59" s="753"/>
      <c r="S59" s="753"/>
      <c r="T59" s="753"/>
      <c r="U59" s="753"/>
      <c r="V59" s="753"/>
    </row>
    <row r="60" spans="1:30" x14ac:dyDescent="0.35">
      <c r="B60" s="995" t="s">
        <v>2207</v>
      </c>
      <c r="C60" s="895">
        <v>4</v>
      </c>
      <c r="E60" s="758"/>
      <c r="F60" s="759"/>
      <c r="G60" s="759"/>
      <c r="H60" s="880"/>
      <c r="I60" s="873" t="s">
        <v>2197</v>
      </c>
      <c r="J60" s="698" t="s">
        <v>1992</v>
      </c>
      <c r="K60" s="698" t="s">
        <v>2223</v>
      </c>
      <c r="L60" s="698"/>
      <c r="M60" s="698"/>
      <c r="N60" s="698"/>
      <c r="O60" s="698"/>
      <c r="P60" s="698"/>
      <c r="Q60" s="874"/>
      <c r="R60" s="760"/>
      <c r="S60" s="761"/>
      <c r="T60" s="762"/>
      <c r="U60" s="763"/>
      <c r="V60" s="764"/>
    </row>
    <row r="61" spans="1:30" x14ac:dyDescent="0.35">
      <c r="B61" s="680"/>
      <c r="C61" s="729"/>
      <c r="D61" s="939"/>
      <c r="E61" s="758"/>
      <c r="F61" s="759"/>
      <c r="G61" s="759"/>
      <c r="H61" s="880"/>
      <c r="I61" s="873" t="s">
        <v>2198</v>
      </c>
      <c r="J61" s="698" t="s">
        <v>1992</v>
      </c>
      <c r="K61" s="698" t="s">
        <v>2224</v>
      </c>
      <c r="L61" s="698"/>
      <c r="M61" s="698"/>
      <c r="N61" s="698"/>
      <c r="O61" s="698"/>
      <c r="P61" s="698"/>
      <c r="Q61" s="874"/>
      <c r="R61" s="760"/>
      <c r="S61" s="761"/>
      <c r="T61" s="762"/>
      <c r="U61" s="763"/>
      <c r="V61" s="764"/>
    </row>
    <row r="62" spans="1:30" ht="21" x14ac:dyDescent="0.5">
      <c r="A62" s="704"/>
      <c r="B62" s="680"/>
      <c r="C62" s="729"/>
      <c r="D62" s="939"/>
      <c r="E62" s="758"/>
      <c r="F62" s="759"/>
      <c r="G62" s="759"/>
      <c r="H62" s="880"/>
      <c r="I62" s="1064" t="s">
        <v>2199</v>
      </c>
      <c r="J62" s="698" t="s">
        <v>1992</v>
      </c>
      <c r="K62" s="1065" t="s">
        <v>2224</v>
      </c>
      <c r="L62" s="779"/>
      <c r="M62" s="779"/>
      <c r="N62" s="779"/>
      <c r="O62" s="779"/>
      <c r="P62" s="779"/>
      <c r="Q62" s="1066"/>
      <c r="R62" s="760"/>
      <c r="S62" s="761"/>
      <c r="T62" s="762"/>
      <c r="U62" s="763"/>
      <c r="V62" s="764"/>
    </row>
    <row r="63" spans="1:30" x14ac:dyDescent="0.35">
      <c r="B63" s="680"/>
      <c r="C63" s="729"/>
      <c r="D63" s="939"/>
      <c r="E63" s="758"/>
      <c r="F63" s="759"/>
      <c r="G63" s="759"/>
      <c r="H63" s="880"/>
      <c r="I63" s="988" t="s">
        <v>2200</v>
      </c>
      <c r="J63" s="698" t="s">
        <v>1992</v>
      </c>
      <c r="K63" s="1067" t="s">
        <v>2225</v>
      </c>
      <c r="L63" s="753"/>
      <c r="M63" s="753"/>
      <c r="N63" s="753"/>
      <c r="O63" s="876"/>
      <c r="P63" s="876"/>
      <c r="Q63" s="1068"/>
      <c r="R63" s="760"/>
      <c r="S63" s="761"/>
      <c r="T63" s="762"/>
      <c r="U63" s="763"/>
      <c r="V63" s="764"/>
    </row>
    <row r="64" spans="1:30" x14ac:dyDescent="0.35">
      <c r="B64" s="680"/>
      <c r="C64" s="729"/>
      <c r="D64" s="939"/>
      <c r="E64" s="758"/>
      <c r="F64" s="759"/>
      <c r="G64" s="759"/>
      <c r="H64" s="880"/>
      <c r="I64" s="1069" t="s">
        <v>2201</v>
      </c>
      <c r="J64" s="698" t="s">
        <v>1992</v>
      </c>
      <c r="K64" s="769" t="s">
        <v>2226</v>
      </c>
      <c r="L64" s="770"/>
      <c r="M64" s="759"/>
      <c r="N64" s="759"/>
      <c r="O64" s="759"/>
      <c r="P64" s="759"/>
      <c r="Q64" s="1070"/>
      <c r="R64" s="760"/>
      <c r="S64" s="761"/>
      <c r="T64" s="762"/>
      <c r="U64" s="763"/>
      <c r="V64" s="764"/>
    </row>
    <row r="65" spans="1:22" x14ac:dyDescent="0.35">
      <c r="B65" s="680"/>
      <c r="C65" s="729"/>
      <c r="D65" s="939"/>
      <c r="E65" s="758"/>
      <c r="F65" s="759"/>
      <c r="G65" s="759"/>
      <c r="H65" s="880"/>
      <c r="I65" s="1069" t="s">
        <v>2202</v>
      </c>
      <c r="J65" s="698" t="s">
        <v>1992</v>
      </c>
      <c r="K65" s="769" t="s">
        <v>2227</v>
      </c>
      <c r="L65" s="770"/>
      <c r="M65" s="759"/>
      <c r="N65" s="759"/>
      <c r="O65" s="759"/>
      <c r="P65" s="759"/>
      <c r="Q65" s="1070"/>
      <c r="R65" s="760"/>
      <c r="S65" s="761"/>
      <c r="T65" s="762"/>
      <c r="U65" s="763"/>
      <c r="V65" s="764"/>
    </row>
    <row r="66" spans="1:22" x14ac:dyDescent="0.35">
      <c r="B66" s="680"/>
      <c r="C66" s="729"/>
      <c r="D66" s="939"/>
      <c r="E66" s="758"/>
      <c r="F66" s="759"/>
      <c r="G66" s="759"/>
      <c r="H66" s="880"/>
      <c r="I66" s="1069" t="s">
        <v>2203</v>
      </c>
      <c r="J66" s="698" t="s">
        <v>1992</v>
      </c>
      <c r="K66" s="769" t="s">
        <v>2227</v>
      </c>
      <c r="L66" s="770"/>
      <c r="M66" s="759"/>
      <c r="N66" s="759"/>
      <c r="O66" s="759"/>
      <c r="P66" s="759"/>
      <c r="Q66" s="1070"/>
      <c r="R66" s="760"/>
      <c r="S66" s="761"/>
      <c r="T66" s="762"/>
      <c r="U66" s="763"/>
      <c r="V66" s="764"/>
    </row>
    <row r="67" spans="1:22" x14ac:dyDescent="0.35">
      <c r="I67" s="1069" t="s">
        <v>2204</v>
      </c>
      <c r="J67" s="698" t="s">
        <v>1992</v>
      </c>
      <c r="K67" s="769" t="s">
        <v>2228</v>
      </c>
      <c r="L67" s="770"/>
      <c r="M67" s="759"/>
      <c r="N67" s="759"/>
      <c r="O67" s="759"/>
      <c r="P67" s="759"/>
      <c r="Q67" s="1070"/>
    </row>
    <row r="68" spans="1:22" ht="21" x14ac:dyDescent="0.5">
      <c r="A68" s="704" t="s">
        <v>2036</v>
      </c>
      <c r="I68" s="1069" t="s">
        <v>2205</v>
      </c>
      <c r="J68" s="698" t="s">
        <v>1992</v>
      </c>
      <c r="K68" s="769" t="s">
        <v>2229</v>
      </c>
      <c r="L68" s="770"/>
      <c r="M68" s="759"/>
      <c r="N68" s="759"/>
      <c r="O68" s="759"/>
      <c r="P68" s="759"/>
      <c r="Q68" s="1070"/>
    </row>
    <row r="69" spans="1:22" x14ac:dyDescent="0.35">
      <c r="I69" s="1071" t="s">
        <v>2206</v>
      </c>
      <c r="J69" s="934" t="s">
        <v>1992</v>
      </c>
      <c r="K69" s="1072" t="s">
        <v>2230</v>
      </c>
      <c r="L69" s="1073"/>
      <c r="M69" s="1074"/>
      <c r="N69" s="1074"/>
      <c r="O69" s="1074"/>
      <c r="P69" s="1074"/>
      <c r="Q69" s="1075"/>
    </row>
    <row r="70" spans="1:22" x14ac:dyDescent="0.35">
      <c r="I70" s="769"/>
      <c r="J70" s="698"/>
      <c r="K70" s="769"/>
      <c r="L70" s="770"/>
      <c r="M70" s="759"/>
      <c r="N70" s="759"/>
      <c r="O70" s="759"/>
      <c r="P70" s="759"/>
      <c r="Q70" s="759"/>
    </row>
    <row r="71" spans="1:22" ht="56.25" customHeight="1" x14ac:dyDescent="0.35">
      <c r="B71" s="899"/>
      <c r="C71" s="901" t="s">
        <v>2092</v>
      </c>
      <c r="D71" s="901" t="s">
        <v>2038</v>
      </c>
      <c r="E71" s="2997" t="s">
        <v>2040</v>
      </c>
      <c r="F71" s="2998"/>
      <c r="G71" s="2998"/>
      <c r="H71" s="2998"/>
      <c r="I71" s="2999"/>
      <c r="J71" s="698"/>
      <c r="K71" s="698"/>
      <c r="L71" s="698"/>
      <c r="M71" s="698"/>
    </row>
    <row r="72" spans="1:22" ht="62.25" customHeight="1" x14ac:dyDescent="0.35">
      <c r="B72" s="863" t="s">
        <v>2019</v>
      </c>
      <c r="C72" s="882" t="s">
        <v>2017</v>
      </c>
      <c r="D72" s="905" t="s">
        <v>1947</v>
      </c>
      <c r="E72" s="1076" t="s">
        <v>2101</v>
      </c>
      <c r="F72" s="979" t="s">
        <v>2231</v>
      </c>
      <c r="G72" s="979" t="s">
        <v>2103</v>
      </c>
      <c r="H72" s="982" t="s">
        <v>2232</v>
      </c>
      <c r="I72" s="1077" t="s">
        <v>1960</v>
      </c>
    </row>
    <row r="73" spans="1:22" x14ac:dyDescent="0.35">
      <c r="B73" s="995" t="s">
        <v>2207</v>
      </c>
      <c r="C73" s="1078">
        <f>C53</f>
        <v>1.5</v>
      </c>
      <c r="D73" s="1009">
        <f>C60</f>
        <v>4</v>
      </c>
      <c r="E73" s="1079">
        <f>D73*C73*$C$47</f>
        <v>7200</v>
      </c>
      <c r="F73" s="1010">
        <f>(E76+E77+E78)*D41*D73*C73/100000</f>
        <v>3031.4080285714285</v>
      </c>
      <c r="G73" s="1011">
        <v>0</v>
      </c>
      <c r="H73" s="1012">
        <f>IF(D73=0,0,F73/D73)</f>
        <v>757.85200714285713</v>
      </c>
      <c r="I73" s="1080">
        <f>D73*C73*C43</f>
        <v>7200</v>
      </c>
    </row>
    <row r="74" spans="1:22" x14ac:dyDescent="0.35">
      <c r="B74" s="698"/>
    </row>
    <row r="76" spans="1:22" x14ac:dyDescent="0.35">
      <c r="D76" s="675" t="s">
        <v>2233</v>
      </c>
      <c r="E76" s="675">
        <f>(Q41*S41)-(P41*R41)</f>
        <v>64540</v>
      </c>
      <c r="G76" s="675" t="s">
        <v>2234</v>
      </c>
    </row>
    <row r="77" spans="1:22" x14ac:dyDescent="0.35">
      <c r="D77" s="675" t="s">
        <v>2235</v>
      </c>
      <c r="E77" s="675">
        <f>(K41*M41/60*O41)-(J41*L41/60*N41)</f>
        <v>500</v>
      </c>
    </row>
    <row r="78" spans="1:22" x14ac:dyDescent="0.35">
      <c r="D78" s="675" t="s">
        <v>2236</v>
      </c>
      <c r="E78" s="675">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AD78"/>
  <sheetViews>
    <sheetView zoomScale="70" zoomScaleNormal="70" workbookViewId="0"/>
  </sheetViews>
  <sheetFormatPr defaultColWidth="9.1796875" defaultRowHeight="14.5" x14ac:dyDescent="0.35"/>
  <cols>
    <col min="1" max="1" width="9.1796875" style="675"/>
    <col min="2" max="2" width="30.453125" style="675" customWidth="1"/>
    <col min="3" max="7" width="16" style="675" customWidth="1"/>
    <col min="8" max="8" width="15.26953125" style="675" customWidth="1"/>
    <col min="9" max="9" width="28" style="675" customWidth="1"/>
    <col min="10" max="10" width="19.54296875" style="675" customWidth="1"/>
    <col min="11" max="11" width="19.1796875" style="675" customWidth="1"/>
    <col min="12" max="12" width="17.81640625" style="675" customWidth="1"/>
    <col min="13" max="13" width="16" style="675" customWidth="1"/>
    <col min="14" max="14" width="18.81640625" style="675" customWidth="1"/>
    <col min="15" max="16" width="16" style="675" customWidth="1"/>
    <col min="17" max="17" width="14.1796875" style="675" customWidth="1"/>
    <col min="18" max="18" width="18.54296875" style="675" customWidth="1"/>
    <col min="19" max="19" width="12.81640625" style="675" customWidth="1"/>
    <col min="20" max="20" width="13.7265625" style="675" customWidth="1"/>
    <col min="21"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2185</v>
      </c>
    </row>
    <row r="3" spans="1:11" ht="21" x14ac:dyDescent="0.5">
      <c r="A3" s="704" t="s">
        <v>2186</v>
      </c>
    </row>
    <row r="4" spans="1:11" ht="15" customHeight="1" x14ac:dyDescent="0.35">
      <c r="B4" s="735"/>
      <c r="C4" s="833"/>
      <c r="J4" s="737"/>
      <c r="K4" s="737"/>
    </row>
    <row r="5" spans="1:11" x14ac:dyDescent="0.35">
      <c r="B5" s="857" t="s">
        <v>1947</v>
      </c>
      <c r="C5" s="835">
        <f>SUM(C60:C61)</f>
        <v>4</v>
      </c>
    </row>
    <row r="6" spans="1:11" x14ac:dyDescent="0.35">
      <c r="B6" s="926" t="s">
        <v>1948</v>
      </c>
      <c r="C6" s="837">
        <f>SUMPRODUCT(C73:C73,D73:D73)</f>
        <v>6</v>
      </c>
    </row>
    <row r="7" spans="1:11" x14ac:dyDescent="0.35">
      <c r="B7" s="927" t="s">
        <v>2052</v>
      </c>
      <c r="C7" s="839">
        <v>0</v>
      </c>
      <c r="D7" s="840"/>
    </row>
    <row r="8" spans="1:11" x14ac:dyDescent="0.35">
      <c r="B8" s="859" t="s">
        <v>1951</v>
      </c>
      <c r="C8" s="842">
        <f>SUM(G73:G73)</f>
        <v>0</v>
      </c>
      <c r="F8" s="3003"/>
      <c r="G8" s="3003"/>
      <c r="H8" s="796"/>
      <c r="I8" s="796"/>
      <c r="J8" s="698"/>
    </row>
    <row r="9" spans="1:11" x14ac:dyDescent="0.35">
      <c r="B9" s="927" t="s">
        <v>1952</v>
      </c>
      <c r="C9" s="839">
        <f>SUM(F73:F73)</f>
        <v>505.2346714285714</v>
      </c>
    </row>
    <row r="10" spans="1:11" x14ac:dyDescent="0.35">
      <c r="B10" s="859" t="s">
        <v>2053</v>
      </c>
      <c r="C10" s="843">
        <f>SUM(E73:E73)</f>
        <v>7200</v>
      </c>
      <c r="E10" s="919"/>
    </row>
    <row r="11" spans="1:11" x14ac:dyDescent="0.35">
      <c r="B11" s="927" t="s">
        <v>61</v>
      </c>
      <c r="C11" s="844">
        <f>C7/$C$6</f>
        <v>0</v>
      </c>
      <c r="D11" s="845"/>
    </row>
    <row r="12" spans="1:11" x14ac:dyDescent="0.35">
      <c r="B12" s="859" t="s">
        <v>62</v>
      </c>
      <c r="C12" s="846">
        <f>C8/$C$6</f>
        <v>0</v>
      </c>
    </row>
    <row r="13" spans="1:11" x14ac:dyDescent="0.35">
      <c r="B13" s="927" t="s">
        <v>63</v>
      </c>
      <c r="C13" s="844">
        <f>C9/$C$6</f>
        <v>84.205778571428567</v>
      </c>
    </row>
    <row r="14" spans="1:11" x14ac:dyDescent="0.35">
      <c r="B14" s="859" t="s">
        <v>2187</v>
      </c>
      <c r="C14" s="1045">
        <f>C10/C9</f>
        <v>14.250803452664304</v>
      </c>
    </row>
    <row r="15" spans="1:11" x14ac:dyDescent="0.35">
      <c r="B15" s="927" t="s">
        <v>2058</v>
      </c>
      <c r="C15" s="839">
        <f>C7/C5</f>
        <v>0</v>
      </c>
    </row>
    <row r="16" spans="1:11" x14ac:dyDescent="0.35">
      <c r="B16" s="928" t="s">
        <v>1960</v>
      </c>
      <c r="C16" s="1046">
        <f>I73</f>
        <v>7200</v>
      </c>
    </row>
    <row r="17" spans="1:5" x14ac:dyDescent="0.35">
      <c r="B17" s="850" t="s">
        <v>2061</v>
      </c>
      <c r="C17" s="729"/>
    </row>
    <row r="18" spans="1:5" x14ac:dyDescent="0.35">
      <c r="B18" s="851" t="s">
        <v>2062</v>
      </c>
      <c r="C18" s="729"/>
    </row>
    <row r="19" spans="1:5" x14ac:dyDescent="0.35">
      <c r="B19" s="834" t="s">
        <v>2063</v>
      </c>
      <c r="C19" s="852">
        <f>1-C33+C34+C35</f>
        <v>0.83300000000000007</v>
      </c>
    </row>
    <row r="20" spans="1:5" x14ac:dyDescent="0.35">
      <c r="B20" s="841" t="s">
        <v>1965</v>
      </c>
      <c r="C20" s="842">
        <f>C19*C7</f>
        <v>0</v>
      </c>
      <c r="D20" s="840"/>
      <c r="E20" s="853"/>
    </row>
    <row r="21" spans="1:5" x14ac:dyDescent="0.35">
      <c r="B21" s="838" t="s">
        <v>1966</v>
      </c>
      <c r="C21" s="839">
        <f>C$19*C8</f>
        <v>0</v>
      </c>
    </row>
    <row r="22" spans="1:5" x14ac:dyDescent="0.35">
      <c r="B22" s="841" t="s">
        <v>1967</v>
      </c>
      <c r="C22" s="842">
        <f>C$19*C9</f>
        <v>420.8604813</v>
      </c>
    </row>
    <row r="23" spans="1:5" x14ac:dyDescent="0.35">
      <c r="B23" s="838" t="s">
        <v>1968</v>
      </c>
      <c r="C23" s="854" t="e">
        <f>C10/C20</f>
        <v>#DIV/0!</v>
      </c>
    </row>
    <row r="24" spans="1:5" x14ac:dyDescent="0.35">
      <c r="B24" s="855" t="s">
        <v>1970</v>
      </c>
      <c r="C24" s="2498">
        <v>12</v>
      </c>
    </row>
    <row r="25" spans="1:5" x14ac:dyDescent="0.35">
      <c r="B25" s="703"/>
    </row>
    <row r="26" spans="1:5" ht="21" x14ac:dyDescent="0.5">
      <c r="A26" s="704" t="s">
        <v>1971</v>
      </c>
      <c r="B26" s="1047"/>
      <c r="C26" s="712"/>
    </row>
    <row r="27" spans="1:5" x14ac:dyDescent="0.35">
      <c r="B27" s="868" t="s">
        <v>2188</v>
      </c>
      <c r="C27" s="1048">
        <f>H73</f>
        <v>126.30866785714285</v>
      </c>
    </row>
    <row r="28" spans="1:5" x14ac:dyDescent="0.35">
      <c r="B28" s="936" t="s">
        <v>2059</v>
      </c>
      <c r="C28" s="992">
        <f>C10/C5</f>
        <v>1800</v>
      </c>
    </row>
    <row r="29" spans="1:5" ht="21.65" customHeight="1" x14ac:dyDescent="0.35">
      <c r="B29" s="732" t="s">
        <v>2155</v>
      </c>
      <c r="C29" s="1049">
        <f>C16/C5</f>
        <v>1800</v>
      </c>
    </row>
    <row r="30" spans="1:5" ht="21" hidden="1" x14ac:dyDescent="0.5">
      <c r="A30" s="704" t="s">
        <v>2064</v>
      </c>
      <c r="B30" s="1050"/>
      <c r="C30" s="874"/>
    </row>
    <row r="31" spans="1:5" hidden="1" x14ac:dyDescent="0.35">
      <c r="B31" s="873"/>
      <c r="C31" s="874"/>
    </row>
    <row r="32" spans="1:5" ht="14.5" hidden="1" customHeight="1" x14ac:dyDescent="0.35">
      <c r="B32" s="3016" t="s">
        <v>2065</v>
      </c>
      <c r="C32" s="3017"/>
    </row>
    <row r="33" spans="1:20" hidden="1" x14ac:dyDescent="0.35">
      <c r="B33" s="724" t="s">
        <v>1416</v>
      </c>
      <c r="C33" s="1051">
        <v>0.18</v>
      </c>
    </row>
    <row r="34" spans="1:20" hidden="1" x14ac:dyDescent="0.35">
      <c r="B34" s="936" t="s">
        <v>2066</v>
      </c>
      <c r="C34" s="1052">
        <v>3.0000000000000001E-3</v>
      </c>
    </row>
    <row r="35" spans="1:20" hidden="1" x14ac:dyDescent="0.35">
      <c r="B35" s="724" t="s">
        <v>2067</v>
      </c>
      <c r="C35" s="1051">
        <v>0.01</v>
      </c>
    </row>
    <row r="36" spans="1:20" x14ac:dyDescent="0.35">
      <c r="C36" s="919">
        <f>C10/C6</f>
        <v>1200</v>
      </c>
    </row>
    <row r="37" spans="1:20" ht="21" x14ac:dyDescent="0.5">
      <c r="A37" s="704" t="s">
        <v>1977</v>
      </c>
    </row>
    <row r="39" spans="1:20" ht="18" customHeight="1" x14ac:dyDescent="0.45">
      <c r="C39" s="3018" t="s">
        <v>2039</v>
      </c>
      <c r="D39" s="3019"/>
      <c r="E39" s="3019"/>
      <c r="F39" s="3019"/>
      <c r="G39" s="3019"/>
      <c r="H39" s="3019"/>
      <c r="I39" s="3019"/>
      <c r="J39" s="3019"/>
      <c r="K39" s="3019"/>
      <c r="L39" s="3019"/>
      <c r="M39" s="3019"/>
      <c r="N39" s="3019"/>
      <c r="O39" s="3019"/>
      <c r="P39" s="3019"/>
      <c r="Q39" s="3019"/>
      <c r="R39" s="3019"/>
      <c r="S39" s="3019"/>
      <c r="T39" s="3019"/>
    </row>
    <row r="40" spans="1:20" ht="30" customHeight="1" x14ac:dyDescent="0.35">
      <c r="B40" s="863" t="s">
        <v>2019</v>
      </c>
      <c r="C40" s="864" t="s">
        <v>2189</v>
      </c>
      <c r="D40" s="865" t="s">
        <v>2190</v>
      </c>
      <c r="E40" s="865" t="s">
        <v>2191</v>
      </c>
      <c r="F40" s="867" t="s">
        <v>2192</v>
      </c>
      <c r="G40" s="1053" t="s">
        <v>2193</v>
      </c>
      <c r="H40" s="1053" t="s">
        <v>2194</v>
      </c>
      <c r="I40" s="1053" t="s">
        <v>2195</v>
      </c>
      <c r="J40" s="1053" t="s">
        <v>2196</v>
      </c>
      <c r="K40" s="1053" t="s">
        <v>2197</v>
      </c>
      <c r="L40" s="1053" t="s">
        <v>2198</v>
      </c>
      <c r="M40" s="1054" t="s">
        <v>2199</v>
      </c>
      <c r="N40" s="999" t="s">
        <v>2200</v>
      </c>
      <c r="O40" s="1055" t="s">
        <v>2201</v>
      </c>
      <c r="P40" s="1055" t="s">
        <v>2202</v>
      </c>
      <c r="Q40" s="1055" t="s">
        <v>2203</v>
      </c>
      <c r="R40" s="1055" t="s">
        <v>2204</v>
      </c>
      <c r="S40" s="1055" t="s">
        <v>2205</v>
      </c>
      <c r="T40" s="1055" t="s">
        <v>2206</v>
      </c>
    </row>
    <row r="41" spans="1:20" x14ac:dyDescent="0.35">
      <c r="B41" s="995" t="s">
        <v>2207</v>
      </c>
      <c r="C41" s="1001">
        <v>16</v>
      </c>
      <c r="D41" s="1056">
        <v>365.25</v>
      </c>
      <c r="E41" s="1001">
        <v>150</v>
      </c>
      <c r="F41" s="1057">
        <v>0.5</v>
      </c>
      <c r="G41" s="1058">
        <v>0.35</v>
      </c>
      <c r="H41" s="1059">
        <v>65</v>
      </c>
      <c r="I41" s="1059">
        <v>60</v>
      </c>
      <c r="J41" s="1059">
        <v>1</v>
      </c>
      <c r="K41" s="1059">
        <v>1</v>
      </c>
      <c r="L41" s="1059">
        <v>15</v>
      </c>
      <c r="M41" s="1059">
        <v>15</v>
      </c>
      <c r="N41" s="1059">
        <v>62000</v>
      </c>
      <c r="O41" s="1059">
        <v>64000</v>
      </c>
      <c r="P41" s="1059">
        <v>9000</v>
      </c>
      <c r="Q41" s="1059">
        <v>14000</v>
      </c>
      <c r="R41" s="1059">
        <v>13.44</v>
      </c>
      <c r="S41" s="1059">
        <v>13.25</v>
      </c>
      <c r="T41" s="1059">
        <v>570</v>
      </c>
    </row>
    <row r="43" spans="1:20" x14ac:dyDescent="0.35">
      <c r="B43" s="995" t="s">
        <v>2208</v>
      </c>
      <c r="C43" s="1060">
        <v>1200</v>
      </c>
    </row>
    <row r="45" spans="1:20" ht="21" x14ac:dyDescent="0.5">
      <c r="A45" s="704" t="s">
        <v>2012</v>
      </c>
      <c r="I45" s="3020" t="s">
        <v>2209</v>
      </c>
      <c r="J45" s="3021"/>
      <c r="K45" s="3021"/>
      <c r="L45" s="3021"/>
      <c r="M45" s="3021"/>
      <c r="N45" s="3021"/>
      <c r="O45" s="3021"/>
      <c r="P45" s="3021"/>
      <c r="Q45" s="3022"/>
    </row>
    <row r="46" spans="1:20" ht="15" customHeight="1" x14ac:dyDescent="0.5">
      <c r="A46" s="704"/>
      <c r="I46" s="869" t="s">
        <v>2072</v>
      </c>
      <c r="J46" s="870"/>
      <c r="K46" s="870"/>
      <c r="L46" s="870"/>
      <c r="M46" s="870"/>
      <c r="N46" s="870"/>
      <c r="O46" s="870"/>
      <c r="P46" s="870"/>
      <c r="Q46" s="871"/>
    </row>
    <row r="47" spans="1:20" x14ac:dyDescent="0.35">
      <c r="B47" s="878" t="s">
        <v>2210</v>
      </c>
      <c r="C47" s="879">
        <v>1200</v>
      </c>
      <c r="D47" s="739"/>
      <c r="I47" s="873" t="s">
        <v>2211</v>
      </c>
      <c r="J47" s="698"/>
      <c r="K47" s="698"/>
      <c r="L47" s="698"/>
      <c r="M47" s="698"/>
      <c r="N47" s="698"/>
      <c r="O47" s="698"/>
      <c r="P47" s="698"/>
      <c r="Q47" s="874"/>
    </row>
    <row r="48" spans="1:20" x14ac:dyDescent="0.35">
      <c r="I48" s="873" t="s">
        <v>2212</v>
      </c>
      <c r="J48" s="698"/>
      <c r="K48" s="698"/>
      <c r="L48" s="698"/>
      <c r="M48" s="698"/>
      <c r="N48" s="698"/>
      <c r="O48" s="698"/>
      <c r="P48" s="698"/>
      <c r="Q48" s="874"/>
    </row>
    <row r="49" spans="1:30" ht="21" x14ac:dyDescent="0.5">
      <c r="A49" s="704" t="s">
        <v>2088</v>
      </c>
      <c r="I49" s="873" t="s">
        <v>2213</v>
      </c>
      <c r="J49" s="698"/>
      <c r="K49" s="698"/>
      <c r="L49" s="698"/>
      <c r="M49" s="698"/>
      <c r="N49" s="698"/>
      <c r="O49" s="698"/>
      <c r="P49" s="698"/>
      <c r="Q49" s="874"/>
    </row>
    <row r="50" spans="1:30" x14ac:dyDescent="0.35">
      <c r="I50" s="933" t="s">
        <v>2214</v>
      </c>
      <c r="J50" s="934"/>
      <c r="K50" s="934"/>
      <c r="L50" s="934"/>
      <c r="M50" s="934"/>
      <c r="N50" s="934"/>
      <c r="O50" s="934"/>
      <c r="P50" s="934"/>
      <c r="Q50" s="935"/>
    </row>
    <row r="51" spans="1:30" ht="18" customHeight="1" x14ac:dyDescent="0.45">
      <c r="B51" s="3006" t="s">
        <v>2092</v>
      </c>
      <c r="C51" s="3008"/>
      <c r="D51" s="1061"/>
      <c r="E51" s="779"/>
      <c r="F51" s="779"/>
      <c r="G51" s="779"/>
      <c r="H51" s="779"/>
      <c r="I51" s="869" t="s">
        <v>1990</v>
      </c>
      <c r="J51" s="870"/>
      <c r="K51" s="870"/>
      <c r="L51" s="870"/>
      <c r="M51" s="870"/>
      <c r="N51" s="870"/>
      <c r="O51" s="870"/>
      <c r="P51" s="870"/>
      <c r="Q51" s="871"/>
    </row>
    <row r="52" spans="1:30" ht="43.5" x14ac:dyDescent="0.35">
      <c r="B52" s="863" t="s">
        <v>2019</v>
      </c>
      <c r="C52" s="882" t="s">
        <v>2215</v>
      </c>
      <c r="D52" s="712"/>
      <c r="E52" s="876"/>
      <c r="F52" s="3023"/>
      <c r="G52" s="3023"/>
      <c r="H52" s="753"/>
      <c r="I52" s="873" t="s">
        <v>2189</v>
      </c>
      <c r="J52" s="698" t="s">
        <v>1992</v>
      </c>
      <c r="K52" s="698" t="s">
        <v>2216</v>
      </c>
      <c r="L52" s="698"/>
      <c r="M52" s="698"/>
      <c r="N52" s="698"/>
      <c r="O52" s="698"/>
      <c r="P52" s="698"/>
      <c r="Q52" s="874"/>
    </row>
    <row r="53" spans="1:30" x14ac:dyDescent="0.35">
      <c r="B53" s="995" t="s">
        <v>2207</v>
      </c>
      <c r="C53" s="1041">
        <v>1.5</v>
      </c>
      <c r="D53" s="1062"/>
      <c r="E53" s="880"/>
      <c r="F53" s="769"/>
      <c r="G53" s="769"/>
      <c r="H53" s="880"/>
      <c r="I53" s="873" t="s">
        <v>2190</v>
      </c>
      <c r="J53" s="698" t="s">
        <v>1992</v>
      </c>
      <c r="K53" s="698" t="s">
        <v>2217</v>
      </c>
      <c r="L53" s="698"/>
      <c r="M53" s="698"/>
      <c r="N53" s="698"/>
      <c r="O53" s="698"/>
      <c r="P53" s="698"/>
      <c r="Q53" s="874"/>
    </row>
    <row r="54" spans="1:30" x14ac:dyDescent="0.35">
      <c r="C54" s="1031"/>
      <c r="D54" s="680"/>
      <c r="E54" s="880"/>
      <c r="F54" s="769"/>
      <c r="G54" s="769"/>
      <c r="H54" s="880"/>
      <c r="I54" s="873" t="s">
        <v>2191</v>
      </c>
      <c r="J54" s="698" t="s">
        <v>1992</v>
      </c>
      <c r="K54" s="698" t="s">
        <v>2218</v>
      </c>
      <c r="L54" s="698"/>
      <c r="M54" s="698"/>
      <c r="N54" s="698"/>
      <c r="O54" s="698"/>
      <c r="P54" s="698"/>
      <c r="Q54" s="874"/>
    </row>
    <row r="55" spans="1:30" x14ac:dyDescent="0.35">
      <c r="I55" s="873" t="s">
        <v>2192</v>
      </c>
      <c r="J55" s="698" t="s">
        <v>1992</v>
      </c>
      <c r="K55" s="698" t="s">
        <v>2219</v>
      </c>
      <c r="L55" s="698"/>
      <c r="M55" s="698"/>
      <c r="N55" s="698"/>
      <c r="O55" s="698"/>
      <c r="P55" s="698"/>
      <c r="Q55" s="874"/>
    </row>
    <row r="56" spans="1:30" ht="21" x14ac:dyDescent="0.5">
      <c r="A56" s="704" t="s">
        <v>2014</v>
      </c>
      <c r="I56" s="873" t="s">
        <v>2193</v>
      </c>
      <c r="J56" s="698" t="s">
        <v>1992</v>
      </c>
      <c r="K56" s="698" t="s">
        <v>2220</v>
      </c>
      <c r="L56" s="698"/>
      <c r="M56" s="698"/>
      <c r="N56" s="698"/>
      <c r="O56" s="698"/>
      <c r="P56" s="698"/>
      <c r="Q56" s="874"/>
    </row>
    <row r="57" spans="1:30" x14ac:dyDescent="0.35">
      <c r="I57" s="873" t="s">
        <v>2194</v>
      </c>
      <c r="J57" s="698" t="s">
        <v>1992</v>
      </c>
      <c r="K57" s="698" t="s">
        <v>2221</v>
      </c>
      <c r="L57" s="698"/>
      <c r="M57" s="698"/>
      <c r="N57" s="698"/>
      <c r="O57" s="698"/>
      <c r="P57" s="698"/>
      <c r="Q57" s="874"/>
    </row>
    <row r="58" spans="1:30" ht="32.25" customHeight="1" x14ac:dyDescent="0.45">
      <c r="B58" s="3009" t="s">
        <v>2038</v>
      </c>
      <c r="C58" s="3011"/>
      <c r="D58" s="779"/>
      <c r="E58" s="779"/>
      <c r="F58" s="779"/>
      <c r="G58" s="779"/>
      <c r="H58" s="779"/>
      <c r="I58" s="873" t="s">
        <v>2195</v>
      </c>
      <c r="J58" s="698" t="s">
        <v>1992</v>
      </c>
      <c r="K58" s="698" t="s">
        <v>2222</v>
      </c>
      <c r="L58" s="698"/>
      <c r="M58" s="698"/>
      <c r="N58" s="698"/>
      <c r="O58" s="698"/>
      <c r="P58" s="698"/>
      <c r="Q58" s="874"/>
      <c r="R58" s="779"/>
      <c r="S58" s="779"/>
      <c r="T58" s="779"/>
      <c r="U58" s="779"/>
      <c r="V58" s="779"/>
      <c r="W58" s="779"/>
      <c r="X58" s="779"/>
      <c r="Y58" s="779"/>
      <c r="Z58" s="779"/>
      <c r="AA58" s="779"/>
      <c r="AB58" s="779"/>
      <c r="AC58" s="779"/>
      <c r="AD58" s="779"/>
    </row>
    <row r="59" spans="1:30" ht="29" x14ac:dyDescent="0.35">
      <c r="B59" s="863" t="s">
        <v>2019</v>
      </c>
      <c r="C59" s="882" t="s">
        <v>1947</v>
      </c>
      <c r="D59" s="1063"/>
      <c r="E59" s="753"/>
      <c r="F59" s="753"/>
      <c r="G59" s="753"/>
      <c r="H59" s="753"/>
      <c r="I59" s="873" t="s">
        <v>2196</v>
      </c>
      <c r="J59" s="698" t="s">
        <v>1992</v>
      </c>
      <c r="K59" s="698" t="s">
        <v>2223</v>
      </c>
      <c r="L59" s="698"/>
      <c r="M59" s="698"/>
      <c r="N59" s="698"/>
      <c r="O59" s="698"/>
      <c r="P59" s="698"/>
      <c r="Q59" s="874"/>
      <c r="R59" s="753"/>
      <c r="S59" s="753"/>
      <c r="T59" s="753"/>
      <c r="U59" s="753"/>
      <c r="V59" s="753"/>
    </row>
    <row r="60" spans="1:30" x14ac:dyDescent="0.35">
      <c r="B60" s="995" t="s">
        <v>2207</v>
      </c>
      <c r="C60" s="895">
        <v>4</v>
      </c>
      <c r="E60" s="758"/>
      <c r="F60" s="759"/>
      <c r="G60" s="759"/>
      <c r="H60" s="880"/>
      <c r="I60" s="873" t="s">
        <v>2197</v>
      </c>
      <c r="J60" s="698" t="s">
        <v>1992</v>
      </c>
      <c r="K60" s="698" t="s">
        <v>2223</v>
      </c>
      <c r="L60" s="698"/>
      <c r="M60" s="698"/>
      <c r="N60" s="698"/>
      <c r="O60" s="698"/>
      <c r="P60" s="698"/>
      <c r="Q60" s="874"/>
      <c r="R60" s="760"/>
      <c r="S60" s="761"/>
      <c r="T60" s="762"/>
      <c r="U60" s="763"/>
      <c r="V60" s="764"/>
    </row>
    <row r="61" spans="1:30" x14ac:dyDescent="0.35">
      <c r="B61" s="680"/>
      <c r="C61" s="729"/>
      <c r="D61" s="939"/>
      <c r="E61" s="758"/>
      <c r="F61" s="759"/>
      <c r="G61" s="759"/>
      <c r="H61" s="880"/>
      <c r="I61" s="873" t="s">
        <v>2198</v>
      </c>
      <c r="J61" s="698" t="s">
        <v>1992</v>
      </c>
      <c r="K61" s="698" t="s">
        <v>2224</v>
      </c>
      <c r="L61" s="698"/>
      <c r="M61" s="698"/>
      <c r="N61" s="698"/>
      <c r="O61" s="698"/>
      <c r="P61" s="698"/>
      <c r="Q61" s="874"/>
      <c r="R61" s="760"/>
      <c r="S61" s="761"/>
      <c r="T61" s="762"/>
      <c r="U61" s="763"/>
      <c r="V61" s="764"/>
    </row>
    <row r="62" spans="1:30" ht="21" x14ac:dyDescent="0.5">
      <c r="A62" s="704"/>
      <c r="B62" s="680"/>
      <c r="C62" s="729"/>
      <c r="D62" s="939"/>
      <c r="E62" s="758"/>
      <c r="F62" s="759"/>
      <c r="G62" s="759"/>
      <c r="H62" s="880"/>
      <c r="I62" s="1064" t="s">
        <v>2199</v>
      </c>
      <c r="J62" s="698" t="s">
        <v>1992</v>
      </c>
      <c r="K62" s="1065" t="s">
        <v>2224</v>
      </c>
      <c r="L62" s="779"/>
      <c r="M62" s="779"/>
      <c r="N62" s="779"/>
      <c r="O62" s="779"/>
      <c r="P62" s="779"/>
      <c r="Q62" s="1066"/>
      <c r="R62" s="760"/>
      <c r="S62" s="761"/>
      <c r="T62" s="762"/>
      <c r="U62" s="763"/>
      <c r="V62" s="764"/>
    </row>
    <row r="63" spans="1:30" x14ac:dyDescent="0.35">
      <c r="B63" s="680"/>
      <c r="C63" s="729"/>
      <c r="D63" s="939"/>
      <c r="E63" s="758"/>
      <c r="F63" s="759"/>
      <c r="G63" s="759"/>
      <c r="H63" s="880"/>
      <c r="I63" s="988" t="s">
        <v>2200</v>
      </c>
      <c r="J63" s="698" t="s">
        <v>1992</v>
      </c>
      <c r="K63" s="1067" t="s">
        <v>2225</v>
      </c>
      <c r="L63" s="753"/>
      <c r="M63" s="753"/>
      <c r="N63" s="753"/>
      <c r="O63" s="876"/>
      <c r="P63" s="876"/>
      <c r="Q63" s="1068"/>
      <c r="R63" s="760"/>
      <c r="S63" s="761"/>
      <c r="T63" s="762"/>
      <c r="U63" s="763"/>
      <c r="V63" s="764"/>
    </row>
    <row r="64" spans="1:30" x14ac:dyDescent="0.35">
      <c r="B64" s="680"/>
      <c r="C64" s="729"/>
      <c r="D64" s="939"/>
      <c r="E64" s="758"/>
      <c r="F64" s="759"/>
      <c r="G64" s="759"/>
      <c r="H64" s="880"/>
      <c r="I64" s="1069" t="s">
        <v>2201</v>
      </c>
      <c r="J64" s="698" t="s">
        <v>1992</v>
      </c>
      <c r="K64" s="769" t="s">
        <v>2226</v>
      </c>
      <c r="L64" s="770"/>
      <c r="M64" s="759"/>
      <c r="N64" s="759"/>
      <c r="O64" s="759"/>
      <c r="P64" s="759"/>
      <c r="Q64" s="1070"/>
      <c r="R64" s="760"/>
      <c r="S64" s="761"/>
      <c r="T64" s="762"/>
      <c r="U64" s="763"/>
      <c r="V64" s="764"/>
    </row>
    <row r="65" spans="1:22" x14ac:dyDescent="0.35">
      <c r="B65" s="680"/>
      <c r="C65" s="729"/>
      <c r="D65" s="939"/>
      <c r="E65" s="758"/>
      <c r="F65" s="759"/>
      <c r="G65" s="759"/>
      <c r="H65" s="880"/>
      <c r="I65" s="1069" t="s">
        <v>2202</v>
      </c>
      <c r="J65" s="698" t="s">
        <v>1992</v>
      </c>
      <c r="K65" s="769" t="s">
        <v>2227</v>
      </c>
      <c r="L65" s="770"/>
      <c r="M65" s="759"/>
      <c r="N65" s="759"/>
      <c r="O65" s="759"/>
      <c r="P65" s="759"/>
      <c r="Q65" s="1070"/>
      <c r="R65" s="760"/>
      <c r="S65" s="761"/>
      <c r="T65" s="762"/>
      <c r="U65" s="763"/>
      <c r="V65" s="764"/>
    </row>
    <row r="66" spans="1:22" x14ac:dyDescent="0.35">
      <c r="B66" s="680"/>
      <c r="C66" s="729"/>
      <c r="D66" s="939"/>
      <c r="E66" s="758"/>
      <c r="F66" s="759"/>
      <c r="G66" s="759"/>
      <c r="H66" s="880"/>
      <c r="I66" s="1069" t="s">
        <v>2203</v>
      </c>
      <c r="J66" s="698" t="s">
        <v>1992</v>
      </c>
      <c r="K66" s="769" t="s">
        <v>2227</v>
      </c>
      <c r="L66" s="770"/>
      <c r="M66" s="759"/>
      <c r="N66" s="759"/>
      <c r="O66" s="759"/>
      <c r="P66" s="759"/>
      <c r="Q66" s="1070"/>
      <c r="R66" s="760"/>
      <c r="S66" s="761"/>
      <c r="T66" s="762"/>
      <c r="U66" s="763"/>
      <c r="V66" s="764"/>
    </row>
    <row r="67" spans="1:22" x14ac:dyDescent="0.35">
      <c r="I67" s="1069" t="s">
        <v>2204</v>
      </c>
      <c r="J67" s="698" t="s">
        <v>1992</v>
      </c>
      <c r="K67" s="769" t="s">
        <v>2228</v>
      </c>
      <c r="L67" s="770"/>
      <c r="M67" s="759"/>
      <c r="N67" s="759"/>
      <c r="O67" s="759"/>
      <c r="P67" s="759"/>
      <c r="Q67" s="1070"/>
    </row>
    <row r="68" spans="1:22" ht="21" x14ac:dyDescent="0.5">
      <c r="A68" s="704" t="s">
        <v>2036</v>
      </c>
      <c r="I68" s="1069" t="s">
        <v>2205</v>
      </c>
      <c r="J68" s="698" t="s">
        <v>1992</v>
      </c>
      <c r="K68" s="769" t="s">
        <v>2229</v>
      </c>
      <c r="L68" s="770"/>
      <c r="M68" s="759"/>
      <c r="N68" s="759"/>
      <c r="O68" s="759"/>
      <c r="P68" s="759"/>
      <c r="Q68" s="1070"/>
    </row>
    <row r="69" spans="1:22" x14ac:dyDescent="0.35">
      <c r="I69" s="1071" t="s">
        <v>2206</v>
      </c>
      <c r="J69" s="934" t="s">
        <v>1992</v>
      </c>
      <c r="K69" s="1072" t="s">
        <v>2230</v>
      </c>
      <c r="L69" s="1073"/>
      <c r="M69" s="1074"/>
      <c r="N69" s="1074"/>
      <c r="O69" s="1074"/>
      <c r="P69" s="1074"/>
      <c r="Q69" s="1075"/>
    </row>
    <row r="70" spans="1:22" x14ac:dyDescent="0.35">
      <c r="I70" s="769"/>
      <c r="J70" s="698"/>
      <c r="K70" s="769"/>
      <c r="L70" s="770"/>
      <c r="M70" s="759"/>
      <c r="N70" s="759"/>
      <c r="O70" s="759"/>
      <c r="P70" s="759"/>
      <c r="Q70" s="759"/>
    </row>
    <row r="71" spans="1:22" ht="56.25" customHeight="1" x14ac:dyDescent="0.35">
      <c r="B71" s="899"/>
      <c r="C71" s="901" t="s">
        <v>2092</v>
      </c>
      <c r="D71" s="901" t="s">
        <v>2038</v>
      </c>
      <c r="E71" s="2997" t="s">
        <v>2040</v>
      </c>
      <c r="F71" s="2998"/>
      <c r="G71" s="2998"/>
      <c r="H71" s="2998"/>
      <c r="I71" s="2999"/>
      <c r="J71" s="698"/>
      <c r="K71" s="698"/>
      <c r="L71" s="698"/>
      <c r="M71" s="698"/>
    </row>
    <row r="72" spans="1:22" ht="62.25" customHeight="1" x14ac:dyDescent="0.35">
      <c r="B72" s="863" t="s">
        <v>2019</v>
      </c>
      <c r="C72" s="882" t="s">
        <v>2017</v>
      </c>
      <c r="D72" s="905" t="s">
        <v>1947</v>
      </c>
      <c r="E72" s="1076" t="s">
        <v>2101</v>
      </c>
      <c r="F72" s="979" t="s">
        <v>2231</v>
      </c>
      <c r="G72" s="979" t="s">
        <v>2103</v>
      </c>
      <c r="H72" s="982" t="s">
        <v>2232</v>
      </c>
      <c r="I72" s="1077" t="s">
        <v>1960</v>
      </c>
    </row>
    <row r="73" spans="1:22" x14ac:dyDescent="0.35">
      <c r="B73" s="995" t="s">
        <v>2207</v>
      </c>
      <c r="C73" s="1078">
        <f>C53</f>
        <v>1.5</v>
      </c>
      <c r="D73" s="1009">
        <f>C60</f>
        <v>4</v>
      </c>
      <c r="E73" s="1079">
        <f>D73*C73*$C$47</f>
        <v>7200</v>
      </c>
      <c r="F73" s="1010">
        <f>(E76+E77+E78)*D41/100000</f>
        <v>505.2346714285714</v>
      </c>
      <c r="G73" s="1011">
        <v>0</v>
      </c>
      <c r="H73" s="1012">
        <f>IF(D73=0,0,F73/D73)</f>
        <v>126.30866785714285</v>
      </c>
      <c r="I73" s="1080">
        <f>D73*C73*C43</f>
        <v>7200</v>
      </c>
    </row>
    <row r="74" spans="1:22" x14ac:dyDescent="0.35">
      <c r="B74" s="698"/>
    </row>
    <row r="76" spans="1:22" x14ac:dyDescent="0.35">
      <c r="D76" s="675" t="s">
        <v>2233</v>
      </c>
      <c r="E76" s="675">
        <f>(Q41*S41)-(P41*R41)</f>
        <v>64540</v>
      </c>
      <c r="G76" s="675" t="s">
        <v>2234</v>
      </c>
    </row>
    <row r="77" spans="1:22" x14ac:dyDescent="0.35">
      <c r="D77" s="675" t="s">
        <v>2235</v>
      </c>
      <c r="E77" s="675">
        <f>(K41*M41/60*O41)-(J41*L41/60*N41)</f>
        <v>500</v>
      </c>
    </row>
    <row r="78" spans="1:22" x14ac:dyDescent="0.35">
      <c r="D78" s="675" t="s">
        <v>2236</v>
      </c>
      <c r="E78" s="675">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17"/>
  <sheetViews>
    <sheetView zoomScale="70" zoomScaleNormal="70" workbookViewId="0"/>
  </sheetViews>
  <sheetFormatPr defaultColWidth="9.1796875" defaultRowHeight="14.5" x14ac:dyDescent="0.35"/>
  <cols>
    <col min="1" max="1" width="9.1796875" style="675"/>
    <col min="2" max="2" width="30.453125" style="675" customWidth="1"/>
    <col min="3" max="4" width="16" style="675" customWidth="1"/>
    <col min="5" max="5" width="20.7265625" style="675" customWidth="1"/>
    <col min="6" max="6" width="22.54296875" style="675" customWidth="1"/>
    <col min="7" max="7" width="16" style="675" customWidth="1"/>
    <col min="8" max="8" width="20.1796875" style="675" customWidth="1"/>
    <col min="9" max="9" width="29" style="675" customWidth="1"/>
    <col min="10"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158</v>
      </c>
    </row>
    <row r="3" spans="1:11" ht="21" x14ac:dyDescent="0.5">
      <c r="A3" s="704" t="s">
        <v>2237</v>
      </c>
    </row>
    <row r="4" spans="1:11" ht="15" customHeight="1" x14ac:dyDescent="0.35">
      <c r="B4" s="735"/>
      <c r="C4" s="833"/>
      <c r="J4" s="737"/>
      <c r="K4" s="737"/>
    </row>
    <row r="5" spans="1:11" x14ac:dyDescent="0.35">
      <c r="B5" s="857" t="s">
        <v>1947</v>
      </c>
      <c r="C5" s="835">
        <f>SUM(H95:H109)</f>
        <v>20</v>
      </c>
      <c r="G5" s="675" t="s">
        <v>1960</v>
      </c>
      <c r="I5" s="1081">
        <f>C116*C6</f>
        <v>79520</v>
      </c>
    </row>
    <row r="6" spans="1:11" x14ac:dyDescent="0.35">
      <c r="B6" s="926" t="s">
        <v>1948</v>
      </c>
      <c r="C6" s="837">
        <f>SUMPRODUCT(F95:F109,H95:H109)</f>
        <v>40</v>
      </c>
      <c r="G6" s="675" t="s">
        <v>2238</v>
      </c>
      <c r="I6" s="1081">
        <f>I5/C6</f>
        <v>1988</v>
      </c>
    </row>
    <row r="7" spans="1:11" x14ac:dyDescent="0.35">
      <c r="B7" s="927" t="s">
        <v>2052</v>
      </c>
      <c r="C7" s="839">
        <f>SUM(J95:J109)</f>
        <v>198640</v>
      </c>
      <c r="D7" s="840"/>
      <c r="G7" s="675" t="s">
        <v>2154</v>
      </c>
      <c r="I7" s="1081">
        <f>I5/C7</f>
        <v>0.40032219089810711</v>
      </c>
    </row>
    <row r="8" spans="1:11" x14ac:dyDescent="0.35">
      <c r="B8" s="859" t="s">
        <v>1951</v>
      </c>
      <c r="C8" s="842">
        <f>SUM(K95:K109)</f>
        <v>27.199999999999996</v>
      </c>
      <c r="F8" s="680"/>
      <c r="G8" s="680" t="s">
        <v>2239</v>
      </c>
      <c r="H8" s="796"/>
      <c r="I8" s="1081">
        <f>I5/C9</f>
        <v>0.36110370038201522</v>
      </c>
      <c r="J8" s="698"/>
    </row>
    <row r="9" spans="1:11" x14ac:dyDescent="0.35">
      <c r="B9" s="927" t="s">
        <v>1952</v>
      </c>
      <c r="C9" s="839">
        <f>SUM(L95:L109)</f>
        <v>220213.75</v>
      </c>
      <c r="G9" s="675" t="s">
        <v>2240</v>
      </c>
      <c r="I9" s="828">
        <f>C$10/C$6*I11</f>
        <v>223.12500000000003</v>
      </c>
    </row>
    <row r="10" spans="1:11" x14ac:dyDescent="0.35">
      <c r="B10" s="859" t="s">
        <v>2053</v>
      </c>
      <c r="C10" s="843">
        <f>SUM(I95:I109)</f>
        <v>127500</v>
      </c>
      <c r="G10" s="675" t="s">
        <v>2241</v>
      </c>
      <c r="I10" s="828">
        <f>C$10/C$6*I12</f>
        <v>2964.375</v>
      </c>
    </row>
    <row r="11" spans="1:11" x14ac:dyDescent="0.35">
      <c r="B11" s="927" t="s">
        <v>61</v>
      </c>
      <c r="C11" s="844">
        <f>C7/$C$6</f>
        <v>4966</v>
      </c>
      <c r="D11" s="845"/>
      <c r="G11" s="675" t="s">
        <v>2242</v>
      </c>
      <c r="I11" s="1082">
        <v>7.0000000000000007E-2</v>
      </c>
    </row>
    <row r="12" spans="1:11" x14ac:dyDescent="0.35">
      <c r="B12" s="859" t="s">
        <v>62</v>
      </c>
      <c r="C12" s="846">
        <f>C8/$C$6</f>
        <v>0.67999999999999994</v>
      </c>
      <c r="G12" s="675" t="s">
        <v>2243</v>
      </c>
      <c r="I12" s="1082">
        <f>1-I11</f>
        <v>0.92999999999999994</v>
      </c>
    </row>
    <row r="13" spans="1:11" x14ac:dyDescent="0.35">
      <c r="B13" s="927" t="s">
        <v>63</v>
      </c>
      <c r="C13" s="844">
        <f>C9/$C$6</f>
        <v>5505.34375</v>
      </c>
    </row>
    <row r="14" spans="1:11" x14ac:dyDescent="0.35">
      <c r="B14" s="859" t="s">
        <v>2057</v>
      </c>
      <c r="C14" s="847">
        <f>C10/C7</f>
        <v>0.64186467982279505</v>
      </c>
    </row>
    <row r="15" spans="1:11" x14ac:dyDescent="0.35">
      <c r="B15" s="724" t="s">
        <v>1960</v>
      </c>
      <c r="C15" s="1083">
        <f>C116*C6</f>
        <v>79520</v>
      </c>
    </row>
    <row r="16" spans="1:11" x14ac:dyDescent="0.35">
      <c r="B16" s="936" t="s">
        <v>2244</v>
      </c>
      <c r="C16" s="1084">
        <f>C15/C6</f>
        <v>1988</v>
      </c>
    </row>
    <row r="17" spans="1:5" x14ac:dyDescent="0.35">
      <c r="B17" s="724" t="s">
        <v>2154</v>
      </c>
      <c r="C17" s="1083">
        <f>C15/C7</f>
        <v>0.40032219089810711</v>
      </c>
    </row>
    <row r="18" spans="1:5" x14ac:dyDescent="0.35">
      <c r="B18" s="1085" t="s">
        <v>2239</v>
      </c>
      <c r="C18" s="1084">
        <f>C15/C9</f>
        <v>0.36110370038201522</v>
      </c>
    </row>
    <row r="19" spans="1:5" x14ac:dyDescent="0.35">
      <c r="B19" s="724" t="s">
        <v>2245</v>
      </c>
      <c r="C19" s="1086">
        <f>C$10/C$6*I11</f>
        <v>223.12500000000003</v>
      </c>
    </row>
    <row r="20" spans="1:5" x14ac:dyDescent="0.35">
      <c r="B20" s="928" t="s">
        <v>2246</v>
      </c>
      <c r="C20" s="994">
        <f>C$10/C$6*I12</f>
        <v>2964.375</v>
      </c>
    </row>
    <row r="22" spans="1:5" x14ac:dyDescent="0.35">
      <c r="B22" s="850" t="s">
        <v>2061</v>
      </c>
      <c r="C22" s="729"/>
    </row>
    <row r="23" spans="1:5" ht="15" customHeight="1" x14ac:dyDescent="0.35">
      <c r="B23" s="851" t="s">
        <v>2062</v>
      </c>
      <c r="C23" s="729"/>
    </row>
    <row r="24" spans="1:5" ht="15" customHeight="1" x14ac:dyDescent="0.35">
      <c r="B24" s="834" t="s">
        <v>2063</v>
      </c>
      <c r="C24" s="852">
        <v>0.83</v>
      </c>
    </row>
    <row r="25" spans="1:5" ht="15" customHeight="1" x14ac:dyDescent="0.35">
      <c r="B25" s="841" t="s">
        <v>1965</v>
      </c>
      <c r="C25" s="842">
        <f>C24*C7</f>
        <v>164871.19999999998</v>
      </c>
      <c r="D25" s="840"/>
      <c r="E25" s="853"/>
    </row>
    <row r="26" spans="1:5" ht="15" customHeight="1" x14ac:dyDescent="0.35">
      <c r="B26" s="838" t="s">
        <v>1966</v>
      </c>
      <c r="C26" s="839">
        <f>C$24*C8</f>
        <v>22.575999999999997</v>
      </c>
    </row>
    <row r="27" spans="1:5" ht="15" customHeight="1" x14ac:dyDescent="0.35">
      <c r="B27" s="841" t="s">
        <v>1967</v>
      </c>
      <c r="C27" s="842">
        <f>C$24*C9</f>
        <v>182777.41249999998</v>
      </c>
    </row>
    <row r="28" spans="1:5" ht="15" customHeight="1" x14ac:dyDescent="0.35">
      <c r="B28" s="838" t="s">
        <v>1968</v>
      </c>
      <c r="C28" s="854">
        <f>C10/C25</f>
        <v>0.77333093954553622</v>
      </c>
    </row>
    <row r="29" spans="1:5" ht="15" customHeight="1" x14ac:dyDescent="0.35">
      <c r="B29" s="855" t="s">
        <v>1970</v>
      </c>
      <c r="C29" s="856">
        <v>15</v>
      </c>
    </row>
    <row r="30" spans="1:5" ht="15" customHeight="1" x14ac:dyDescent="0.35">
      <c r="B30" s="703"/>
    </row>
    <row r="31" spans="1:5" ht="15" customHeight="1" x14ac:dyDescent="0.35">
      <c r="B31" s="703"/>
    </row>
    <row r="32" spans="1:5" ht="21" x14ac:dyDescent="0.5">
      <c r="A32" s="704" t="s">
        <v>1971</v>
      </c>
      <c r="B32" s="703"/>
    </row>
    <row r="33" spans="1:19" ht="15" customHeight="1" x14ac:dyDescent="0.35">
      <c r="B33" s="703"/>
    </row>
    <row r="34" spans="1:19" ht="15" customHeight="1" x14ac:dyDescent="0.35">
      <c r="B34" s="940" t="s">
        <v>2058</v>
      </c>
      <c r="C34" s="1087">
        <f>C7/C5</f>
        <v>9932</v>
      </c>
    </row>
    <row r="35" spans="1:19" ht="15" customHeight="1" x14ac:dyDescent="0.35">
      <c r="B35" s="936" t="s">
        <v>2156</v>
      </c>
      <c r="C35" s="1088">
        <f>C8/C5</f>
        <v>1.3599999999999999</v>
      </c>
    </row>
    <row r="36" spans="1:19" ht="15" customHeight="1" x14ac:dyDescent="0.35">
      <c r="B36" s="724" t="s">
        <v>2247</v>
      </c>
      <c r="C36" s="1089">
        <f>C9/C5</f>
        <v>11010.6875</v>
      </c>
    </row>
    <row r="37" spans="1:19" ht="15" customHeight="1" x14ac:dyDescent="0.35">
      <c r="B37" s="936" t="s">
        <v>2059</v>
      </c>
      <c r="C37" s="992">
        <f>C10/C5</f>
        <v>6375</v>
      </c>
    </row>
    <row r="38" spans="1:19" ht="15" customHeight="1" x14ac:dyDescent="0.35">
      <c r="B38" s="724" t="s">
        <v>2248</v>
      </c>
      <c r="C38" s="1090">
        <f>C10*H11/C5</f>
        <v>0</v>
      </c>
    </row>
    <row r="39" spans="1:19" ht="15" customHeight="1" x14ac:dyDescent="0.35">
      <c r="B39" s="936" t="s">
        <v>2249</v>
      </c>
      <c r="C39" s="992">
        <f>C10*H12/C5</f>
        <v>0</v>
      </c>
    </row>
    <row r="40" spans="1:19" ht="15" customHeight="1" x14ac:dyDescent="0.35">
      <c r="B40" s="884" t="s">
        <v>2155</v>
      </c>
      <c r="C40" s="1086">
        <f>C15/C5</f>
        <v>3976</v>
      </c>
    </row>
    <row r="41" spans="1:19" ht="15" customHeight="1" x14ac:dyDescent="0.35">
      <c r="B41" s="1085" t="s">
        <v>2250</v>
      </c>
      <c r="C41" s="1091">
        <f>C7*C24/C5</f>
        <v>8243.56</v>
      </c>
    </row>
    <row r="42" spans="1:19" ht="15" customHeight="1" x14ac:dyDescent="0.35">
      <c r="B42" s="884" t="s">
        <v>2251</v>
      </c>
      <c r="C42" s="1092">
        <f>C8*C24/C5</f>
        <v>1.1287999999999998</v>
      </c>
    </row>
    <row r="43" spans="1:19" ht="15" customHeight="1" x14ac:dyDescent="0.35">
      <c r="B43" s="1093" t="s">
        <v>2252</v>
      </c>
      <c r="C43" s="1094">
        <f>C9*C24/C5</f>
        <v>9138.8706249999996</v>
      </c>
    </row>
    <row r="44" spans="1:19" ht="15" customHeight="1" x14ac:dyDescent="0.35"/>
    <row r="45" spans="1:19" ht="21" x14ac:dyDescent="0.5">
      <c r="A45" s="704" t="s">
        <v>1977</v>
      </c>
    </row>
    <row r="47" spans="1:19" ht="18.5" x14ac:dyDescent="0.45">
      <c r="B47" s="3019" t="s">
        <v>2039</v>
      </c>
      <c r="C47" s="3019"/>
      <c r="D47" s="3019"/>
      <c r="E47" s="3019"/>
      <c r="F47" s="3019"/>
      <c r="G47" s="3019"/>
      <c r="H47" s="779"/>
      <c r="I47" s="779"/>
      <c r="J47" s="779"/>
      <c r="K47" s="779"/>
      <c r="L47" s="779"/>
      <c r="M47" s="779"/>
    </row>
    <row r="48" spans="1:19" ht="60" customHeight="1" x14ac:dyDescent="0.35">
      <c r="B48" s="863" t="s">
        <v>2253</v>
      </c>
      <c r="C48" s="864" t="s">
        <v>2254</v>
      </c>
      <c r="D48" s="865" t="s">
        <v>2255</v>
      </c>
      <c r="E48" s="865" t="s">
        <v>2256</v>
      </c>
      <c r="F48" s="866" t="s">
        <v>2257</v>
      </c>
      <c r="G48" s="867" t="s">
        <v>2110</v>
      </c>
      <c r="H48" s="998" t="s">
        <v>2258</v>
      </c>
      <c r="I48" s="1077" t="s">
        <v>2259</v>
      </c>
      <c r="J48" s="698"/>
      <c r="K48" s="3020" t="s">
        <v>2260</v>
      </c>
      <c r="L48" s="3021"/>
      <c r="M48" s="3021"/>
      <c r="N48" s="3021"/>
      <c r="O48" s="3021"/>
      <c r="P48" s="3021"/>
      <c r="Q48" s="3021"/>
      <c r="R48" s="3021"/>
      <c r="S48" s="3022"/>
    </row>
    <row r="49" spans="1:30" x14ac:dyDescent="0.35">
      <c r="B49" s="995" t="s">
        <v>354</v>
      </c>
      <c r="C49" s="1095">
        <v>154000</v>
      </c>
      <c r="D49" s="1000">
        <v>7.75</v>
      </c>
      <c r="E49" s="1001">
        <v>430</v>
      </c>
      <c r="F49" s="1096">
        <v>0.8</v>
      </c>
      <c r="G49" s="1097"/>
      <c r="H49" s="1059">
        <v>4966</v>
      </c>
      <c r="I49" s="1059">
        <v>0.68</v>
      </c>
      <c r="J49" s="698"/>
      <c r="K49" s="869" t="s">
        <v>2072</v>
      </c>
      <c r="L49" s="870"/>
      <c r="M49" s="870"/>
      <c r="N49" s="870"/>
      <c r="O49" s="870"/>
      <c r="P49" s="870"/>
      <c r="Q49" s="870"/>
      <c r="R49" s="870"/>
      <c r="S49" s="871"/>
    </row>
    <row r="50" spans="1:30" x14ac:dyDescent="0.35">
      <c r="B50" s="996" t="s">
        <v>355</v>
      </c>
      <c r="C50" s="1095">
        <v>144000</v>
      </c>
      <c r="D50" s="1000">
        <v>7.75</v>
      </c>
      <c r="E50" s="1001">
        <v>430</v>
      </c>
      <c r="F50" s="1096">
        <v>0.8</v>
      </c>
      <c r="G50" s="1098"/>
      <c r="H50" s="1059">
        <v>4966</v>
      </c>
      <c r="I50" s="1059">
        <v>0.68</v>
      </c>
      <c r="J50" s="698"/>
      <c r="K50" s="873" t="s">
        <v>2261</v>
      </c>
      <c r="L50" s="698" t="s">
        <v>2262</v>
      </c>
      <c r="M50" s="698"/>
      <c r="N50" s="698"/>
      <c r="O50" s="698"/>
      <c r="P50" s="698"/>
      <c r="Q50" s="698"/>
      <c r="R50" s="698"/>
      <c r="S50" s="874"/>
    </row>
    <row r="51" spans="1:30" x14ac:dyDescent="0.35">
      <c r="B51" s="995" t="s">
        <v>356</v>
      </c>
      <c r="C51" s="1095">
        <v>132000</v>
      </c>
      <c r="D51" s="1000">
        <v>7.75</v>
      </c>
      <c r="E51" s="1001">
        <v>430</v>
      </c>
      <c r="F51" s="1096">
        <v>0.8</v>
      </c>
      <c r="G51" s="1097"/>
      <c r="H51" s="1059">
        <v>4966</v>
      </c>
      <c r="I51" s="1059">
        <v>0.68</v>
      </c>
      <c r="J51" s="698"/>
      <c r="K51" s="873" t="s">
        <v>2263</v>
      </c>
      <c r="L51" s="698" t="s">
        <v>2262</v>
      </c>
      <c r="M51" s="698"/>
      <c r="N51" s="698"/>
      <c r="O51" s="698"/>
      <c r="P51" s="698"/>
      <c r="Q51" s="698"/>
      <c r="R51" s="698"/>
      <c r="S51" s="874"/>
    </row>
    <row r="52" spans="1:30" x14ac:dyDescent="0.35">
      <c r="B52" s="996" t="s">
        <v>357</v>
      </c>
      <c r="C52" s="1095">
        <v>102000</v>
      </c>
      <c r="D52" s="1000">
        <v>7.75</v>
      </c>
      <c r="E52" s="1001">
        <v>430</v>
      </c>
      <c r="F52" s="1096">
        <v>0.8</v>
      </c>
      <c r="G52" s="1098"/>
      <c r="H52" s="1059">
        <v>4966</v>
      </c>
      <c r="I52" s="1059">
        <v>0.68</v>
      </c>
      <c r="J52" s="698"/>
      <c r="K52" s="873" t="s">
        <v>2264</v>
      </c>
      <c r="L52" s="698"/>
      <c r="M52" s="698"/>
      <c r="N52" s="698"/>
      <c r="O52" s="698"/>
      <c r="P52" s="698"/>
      <c r="Q52" s="698"/>
      <c r="R52" s="698"/>
      <c r="S52" s="874"/>
    </row>
    <row r="53" spans="1:30" x14ac:dyDescent="0.35">
      <c r="B53" s="995" t="s">
        <v>358</v>
      </c>
      <c r="C53" s="1095">
        <v>104000</v>
      </c>
      <c r="D53" s="1000">
        <v>7.75</v>
      </c>
      <c r="E53" s="1001">
        <v>430</v>
      </c>
      <c r="F53" s="1096">
        <v>0.8</v>
      </c>
      <c r="G53" s="1097"/>
      <c r="H53" s="1059">
        <v>4966</v>
      </c>
      <c r="I53" s="1059">
        <v>0.68</v>
      </c>
      <c r="J53" s="698"/>
      <c r="K53" s="869" t="s">
        <v>1990</v>
      </c>
      <c r="L53" s="870"/>
      <c r="M53" s="870"/>
      <c r="N53" s="870"/>
      <c r="O53" s="870"/>
      <c r="P53" s="870"/>
      <c r="Q53" s="870"/>
      <c r="R53" s="870"/>
      <c r="S53" s="871"/>
    </row>
    <row r="54" spans="1:30" x14ac:dyDescent="0.35">
      <c r="D54" s="739"/>
      <c r="J54" s="698"/>
      <c r="K54" s="873" t="s">
        <v>713</v>
      </c>
      <c r="L54" s="698" t="s">
        <v>1992</v>
      </c>
      <c r="M54" s="698" t="s">
        <v>2265</v>
      </c>
      <c r="N54" s="698"/>
      <c r="O54" s="698"/>
      <c r="P54" s="698"/>
      <c r="Q54" s="698"/>
      <c r="R54" s="698"/>
      <c r="S54" s="874"/>
    </row>
    <row r="55" spans="1:30" x14ac:dyDescent="0.35">
      <c r="J55" s="698"/>
      <c r="K55" s="873" t="s">
        <v>1737</v>
      </c>
      <c r="L55" s="698" t="s">
        <v>1992</v>
      </c>
      <c r="M55" s="698" t="s">
        <v>2266</v>
      </c>
      <c r="N55" s="698"/>
      <c r="O55" s="698"/>
      <c r="P55" s="698"/>
      <c r="Q55" s="698"/>
      <c r="R55" s="698"/>
      <c r="S55" s="874"/>
    </row>
    <row r="56" spans="1:30" x14ac:dyDescent="0.35">
      <c r="J56" s="698"/>
      <c r="K56" s="873" t="s">
        <v>2267</v>
      </c>
      <c r="L56" s="698" t="s">
        <v>1992</v>
      </c>
      <c r="M56" s="698" t="s">
        <v>2268</v>
      </c>
      <c r="N56" s="698"/>
      <c r="O56" s="698"/>
      <c r="P56" s="698"/>
      <c r="Q56" s="698"/>
      <c r="R56" s="698"/>
      <c r="S56" s="874"/>
    </row>
    <row r="57" spans="1:30" ht="21" x14ac:dyDescent="0.5">
      <c r="A57" s="704" t="s">
        <v>2012</v>
      </c>
      <c r="G57" s="779"/>
      <c r="H57" s="779"/>
      <c r="I57" s="779"/>
      <c r="J57" s="779"/>
      <c r="K57" s="873" t="s">
        <v>2269</v>
      </c>
      <c r="L57" s="698" t="s">
        <v>1992</v>
      </c>
      <c r="M57" s="698" t="s">
        <v>2270</v>
      </c>
      <c r="N57" s="698"/>
      <c r="O57" s="698"/>
      <c r="P57" s="698"/>
      <c r="Q57" s="698"/>
      <c r="R57" s="698"/>
      <c r="S57" s="874"/>
    </row>
    <row r="58" spans="1:30" ht="21" x14ac:dyDescent="0.5">
      <c r="A58" s="704"/>
      <c r="E58" s="876"/>
      <c r="F58" s="876"/>
      <c r="G58" s="876"/>
      <c r="H58" s="876"/>
      <c r="I58" s="753"/>
      <c r="J58" s="698"/>
      <c r="K58" s="870"/>
      <c r="L58" s="870"/>
      <c r="M58" s="870"/>
      <c r="N58" s="870"/>
      <c r="O58" s="870"/>
      <c r="P58" s="870"/>
      <c r="Q58" s="870"/>
      <c r="R58" s="870"/>
    </row>
    <row r="59" spans="1:30" x14ac:dyDescent="0.35">
      <c r="B59" s="878" t="s">
        <v>2271</v>
      </c>
      <c r="C59" s="879">
        <v>375</v>
      </c>
      <c r="E59" s="880"/>
      <c r="F59" s="769"/>
      <c r="G59" s="769"/>
      <c r="H59" s="880"/>
      <c r="I59" s="698"/>
      <c r="J59" s="698"/>
      <c r="K59" s="698"/>
      <c r="L59" s="698"/>
      <c r="M59" s="698"/>
      <c r="N59" s="698"/>
      <c r="O59" s="698"/>
      <c r="P59" s="698"/>
      <c r="Q59" s="698"/>
    </row>
    <row r="60" spans="1:30" x14ac:dyDescent="0.35">
      <c r="E60" s="880"/>
      <c r="F60" s="769"/>
      <c r="G60" s="769"/>
      <c r="H60" s="880"/>
      <c r="I60" s="698"/>
      <c r="J60" s="698"/>
      <c r="K60" s="698"/>
      <c r="L60" s="698"/>
      <c r="M60" s="698"/>
      <c r="N60" s="698"/>
      <c r="O60" s="698"/>
      <c r="P60" s="698"/>
      <c r="Q60" s="698"/>
    </row>
    <row r="61" spans="1:30" ht="21" x14ac:dyDescent="0.5">
      <c r="A61" s="704" t="s">
        <v>2092</v>
      </c>
      <c r="E61" s="880"/>
      <c r="F61" s="769"/>
      <c r="I61" s="698"/>
      <c r="J61" s="698"/>
      <c r="K61" s="698"/>
      <c r="L61" s="698"/>
      <c r="M61" s="698"/>
      <c r="N61" s="698"/>
      <c r="O61" s="698"/>
      <c r="P61" s="698"/>
      <c r="Q61" s="698"/>
    </row>
    <row r="62" spans="1:30" x14ac:dyDescent="0.35">
      <c r="I62" s="698"/>
      <c r="J62" s="698"/>
      <c r="K62" s="698"/>
      <c r="L62" s="698"/>
      <c r="M62" s="698"/>
      <c r="N62" s="698"/>
      <c r="O62" s="698"/>
      <c r="P62" s="698"/>
      <c r="Q62" s="698"/>
    </row>
    <row r="64" spans="1:30" ht="18.5" x14ac:dyDescent="0.45">
      <c r="B64" s="3024" t="s">
        <v>2092</v>
      </c>
      <c r="C64" s="3025"/>
      <c r="D64" s="3025"/>
      <c r="E64" s="3025"/>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row>
    <row r="65" spans="1:23" ht="43.5" x14ac:dyDescent="0.45">
      <c r="B65" s="863" t="s">
        <v>2019</v>
      </c>
      <c r="C65" s="881" t="s">
        <v>2272</v>
      </c>
      <c r="D65" s="1099" t="s">
        <v>2273</v>
      </c>
      <c r="E65" s="904" t="s">
        <v>2274</v>
      </c>
      <c r="F65" s="779"/>
      <c r="G65" s="779"/>
      <c r="H65" s="753"/>
      <c r="I65" s="753"/>
      <c r="J65" s="753"/>
      <c r="K65" s="876"/>
      <c r="L65" s="876"/>
      <c r="M65" s="753"/>
      <c r="N65" s="753"/>
      <c r="O65" s="753"/>
      <c r="P65" s="876"/>
      <c r="Q65" s="876"/>
      <c r="R65" s="876"/>
      <c r="S65" s="753"/>
      <c r="T65" s="753"/>
      <c r="U65" s="753"/>
      <c r="V65" s="753"/>
      <c r="W65" s="753"/>
    </row>
    <row r="66" spans="1:23" x14ac:dyDescent="0.35">
      <c r="B66" s="888" t="s">
        <v>2175</v>
      </c>
      <c r="C66" s="888" t="s">
        <v>2275</v>
      </c>
      <c r="D66" s="1100">
        <v>2</v>
      </c>
      <c r="E66" s="1101">
        <v>2.5</v>
      </c>
      <c r="F66" s="753"/>
      <c r="G66" s="753"/>
      <c r="H66" s="759"/>
      <c r="I66" s="880"/>
      <c r="J66" s="769"/>
      <c r="K66" s="769"/>
      <c r="L66" s="769"/>
      <c r="M66" s="770"/>
      <c r="N66" s="759"/>
      <c r="O66" s="759"/>
      <c r="P66" s="759"/>
      <c r="Q66" s="759"/>
      <c r="R66" s="759"/>
      <c r="S66" s="760"/>
      <c r="T66" s="761"/>
      <c r="U66" s="762"/>
      <c r="V66" s="763"/>
      <c r="W66" s="764"/>
    </row>
    <row r="67" spans="1:23" x14ac:dyDescent="0.35">
      <c r="B67" s="897" t="s">
        <v>2175</v>
      </c>
      <c r="C67" s="897" t="s">
        <v>2276</v>
      </c>
      <c r="D67" s="885">
        <v>2</v>
      </c>
      <c r="E67" s="1102">
        <v>7.5</v>
      </c>
      <c r="F67" s="758"/>
      <c r="G67" s="759"/>
      <c r="H67" s="759"/>
      <c r="I67" s="880"/>
      <c r="J67" s="769"/>
      <c r="K67" s="769"/>
      <c r="L67" s="769"/>
      <c r="M67" s="770"/>
      <c r="N67" s="759"/>
      <c r="O67" s="759"/>
      <c r="P67" s="759"/>
      <c r="Q67" s="759"/>
      <c r="R67" s="759"/>
      <c r="S67" s="760"/>
      <c r="T67" s="761"/>
      <c r="U67" s="762"/>
      <c r="V67" s="763"/>
      <c r="W67" s="764"/>
    </row>
    <row r="68" spans="1:23" x14ac:dyDescent="0.35">
      <c r="B68" s="978" t="s">
        <v>2175</v>
      </c>
      <c r="C68" s="978" t="s">
        <v>2277</v>
      </c>
      <c r="D68" s="1103">
        <v>2</v>
      </c>
      <c r="E68" s="1104">
        <v>17.5</v>
      </c>
      <c r="F68" s="758"/>
      <c r="G68" s="759"/>
      <c r="H68" s="759"/>
      <c r="I68" s="880"/>
      <c r="J68" s="769"/>
      <c r="K68" s="769"/>
      <c r="L68" s="769"/>
      <c r="M68" s="770"/>
      <c r="N68" s="759"/>
      <c r="O68" s="759"/>
      <c r="P68" s="759"/>
      <c r="Q68" s="759"/>
      <c r="R68" s="759"/>
      <c r="S68" s="760"/>
      <c r="T68" s="761"/>
      <c r="U68" s="762"/>
      <c r="V68" s="763"/>
      <c r="W68" s="764"/>
    </row>
    <row r="69" spans="1:23" x14ac:dyDescent="0.35">
      <c r="E69" s="758"/>
      <c r="F69" s="759"/>
      <c r="G69" s="759"/>
      <c r="H69" s="880"/>
      <c r="I69" s="769"/>
      <c r="J69" s="769"/>
      <c r="K69" s="769"/>
      <c r="L69" s="770"/>
      <c r="M69" s="759"/>
      <c r="N69" s="759"/>
      <c r="O69" s="759"/>
      <c r="P69" s="759"/>
      <c r="Q69" s="759"/>
      <c r="R69" s="760"/>
      <c r="S69" s="761"/>
      <c r="T69" s="762"/>
      <c r="U69" s="763"/>
      <c r="V69" s="764"/>
    </row>
    <row r="70" spans="1:23" ht="21" x14ac:dyDescent="0.5">
      <c r="A70" s="704" t="s">
        <v>2014</v>
      </c>
      <c r="E70" s="758"/>
      <c r="F70" s="759"/>
    </row>
    <row r="73" spans="1:23" ht="18.5" x14ac:dyDescent="0.35">
      <c r="B73" s="3026" t="s">
        <v>2038</v>
      </c>
      <c r="C73" s="3027"/>
      <c r="D73" s="3027"/>
    </row>
    <row r="74" spans="1:23" ht="29" x14ac:dyDescent="0.35">
      <c r="B74" s="863" t="s">
        <v>2278</v>
      </c>
      <c r="C74" s="863" t="s">
        <v>2253</v>
      </c>
      <c r="D74" s="882" t="s">
        <v>1947</v>
      </c>
    </row>
    <row r="75" spans="1:23" x14ac:dyDescent="0.35">
      <c r="B75" s="888" t="s">
        <v>2275</v>
      </c>
      <c r="C75" s="888" t="s">
        <v>354</v>
      </c>
      <c r="D75" s="892">
        <v>0</v>
      </c>
    </row>
    <row r="76" spans="1:23" x14ac:dyDescent="0.35">
      <c r="B76" s="897" t="s">
        <v>2275</v>
      </c>
      <c r="C76" s="897" t="s">
        <v>355</v>
      </c>
      <c r="D76" s="1088">
        <v>1</v>
      </c>
    </row>
    <row r="77" spans="1:23" x14ac:dyDescent="0.35">
      <c r="B77" s="890" t="s">
        <v>2275</v>
      </c>
      <c r="C77" s="890" t="s">
        <v>356</v>
      </c>
      <c r="D77" s="893">
        <v>1</v>
      </c>
    </row>
    <row r="78" spans="1:23" x14ac:dyDescent="0.35">
      <c r="B78" s="897" t="s">
        <v>2275</v>
      </c>
      <c r="C78" s="897" t="s">
        <v>357</v>
      </c>
      <c r="D78" s="1088">
        <v>1</v>
      </c>
    </row>
    <row r="79" spans="1:23" x14ac:dyDescent="0.35">
      <c r="B79" s="978" t="s">
        <v>2275</v>
      </c>
      <c r="C79" s="978" t="s">
        <v>358</v>
      </c>
      <c r="D79" s="894">
        <v>1</v>
      </c>
    </row>
    <row r="80" spans="1:23" x14ac:dyDescent="0.35">
      <c r="B80" s="888" t="s">
        <v>2276</v>
      </c>
      <c r="C80" s="888" t="s">
        <v>354</v>
      </c>
      <c r="D80" s="892">
        <v>0</v>
      </c>
    </row>
    <row r="81" spans="1:14" x14ac:dyDescent="0.35">
      <c r="B81" s="897" t="s">
        <v>2276</v>
      </c>
      <c r="C81" s="897" t="s">
        <v>355</v>
      </c>
      <c r="D81" s="1088">
        <v>3</v>
      </c>
    </row>
    <row r="82" spans="1:14" x14ac:dyDescent="0.35">
      <c r="B82" s="890" t="s">
        <v>2276</v>
      </c>
      <c r="C82" s="890" t="s">
        <v>356</v>
      </c>
      <c r="D82" s="893">
        <v>3</v>
      </c>
    </row>
    <row r="83" spans="1:14" x14ac:dyDescent="0.35">
      <c r="B83" s="897" t="s">
        <v>2276</v>
      </c>
      <c r="C83" s="897" t="s">
        <v>357</v>
      </c>
      <c r="D83" s="1088">
        <v>3</v>
      </c>
    </row>
    <row r="84" spans="1:14" x14ac:dyDescent="0.35">
      <c r="B84" s="978" t="s">
        <v>2276</v>
      </c>
      <c r="C84" s="978" t="s">
        <v>358</v>
      </c>
      <c r="D84" s="894">
        <v>3</v>
      </c>
    </row>
    <row r="85" spans="1:14" x14ac:dyDescent="0.35">
      <c r="B85" s="888" t="s">
        <v>2277</v>
      </c>
      <c r="C85" s="888" t="s">
        <v>354</v>
      </c>
      <c r="D85" s="892">
        <v>0</v>
      </c>
    </row>
    <row r="86" spans="1:14" x14ac:dyDescent="0.35">
      <c r="B86" s="897" t="s">
        <v>2277</v>
      </c>
      <c r="C86" s="897" t="s">
        <v>355</v>
      </c>
      <c r="D86" s="1088">
        <v>1</v>
      </c>
    </row>
    <row r="87" spans="1:14" x14ac:dyDescent="0.35">
      <c r="B87" s="890" t="s">
        <v>2277</v>
      </c>
      <c r="C87" s="890" t="s">
        <v>356</v>
      </c>
      <c r="D87" s="893">
        <v>1</v>
      </c>
    </row>
    <row r="88" spans="1:14" x14ac:dyDescent="0.35">
      <c r="B88" s="897" t="s">
        <v>2277</v>
      </c>
      <c r="C88" s="897" t="s">
        <v>357</v>
      </c>
      <c r="D88" s="1088">
        <v>1</v>
      </c>
    </row>
    <row r="89" spans="1:14" x14ac:dyDescent="0.35">
      <c r="B89" s="978" t="s">
        <v>2277</v>
      </c>
      <c r="C89" s="978" t="s">
        <v>358</v>
      </c>
      <c r="D89" s="894">
        <v>1</v>
      </c>
    </row>
    <row r="90" spans="1:14" x14ac:dyDescent="0.35">
      <c r="C90" s="680"/>
      <c r="D90" s="729"/>
    </row>
    <row r="91" spans="1:14" ht="21" x14ac:dyDescent="0.5">
      <c r="A91" s="704" t="s">
        <v>2036</v>
      </c>
    </row>
    <row r="93" spans="1:14" ht="43.5" x14ac:dyDescent="0.35">
      <c r="B93" s="899"/>
      <c r="C93" s="900"/>
      <c r="D93" s="900"/>
      <c r="E93" s="3028" t="s">
        <v>2092</v>
      </c>
      <c r="F93" s="3029"/>
      <c r="G93" s="3030"/>
      <c r="H93" s="901" t="s">
        <v>2038</v>
      </c>
      <c r="I93" s="3031" t="s">
        <v>2040</v>
      </c>
      <c r="J93" s="3031"/>
      <c r="K93" s="3031"/>
      <c r="L93" s="3031"/>
      <c r="M93" s="3031"/>
      <c r="N93" s="3031"/>
    </row>
    <row r="94" spans="1:14" ht="29" x14ac:dyDescent="0.35">
      <c r="B94" s="863" t="s">
        <v>2019</v>
      </c>
      <c r="C94" s="1105" t="s">
        <v>2279</v>
      </c>
      <c r="D94" s="1105" t="s">
        <v>2280</v>
      </c>
      <c r="E94" s="902" t="s">
        <v>2281</v>
      </c>
      <c r="F94" s="903" t="s">
        <v>2273</v>
      </c>
      <c r="G94" s="904" t="s">
        <v>2282</v>
      </c>
      <c r="H94" s="905" t="s">
        <v>1947</v>
      </c>
      <c r="I94" s="906" t="s">
        <v>2101</v>
      </c>
      <c r="J94" s="903" t="s">
        <v>2102</v>
      </c>
      <c r="K94" s="903" t="s">
        <v>2103</v>
      </c>
      <c r="L94" s="907" t="s">
        <v>2104</v>
      </c>
      <c r="M94" s="907" t="s">
        <v>2105</v>
      </c>
      <c r="N94" s="904" t="s">
        <v>2106</v>
      </c>
    </row>
    <row r="95" spans="1:14" x14ac:dyDescent="0.35">
      <c r="B95" s="888" t="s">
        <v>2175</v>
      </c>
      <c r="C95" s="888" t="s">
        <v>2275</v>
      </c>
      <c r="D95" s="888" t="s">
        <v>354</v>
      </c>
      <c r="E95" s="908">
        <f>E$66</f>
        <v>2.5</v>
      </c>
      <c r="F95" s="909">
        <f>D$66</f>
        <v>2</v>
      </c>
      <c r="G95" s="910">
        <f>C49</f>
        <v>154000</v>
      </c>
      <c r="H95" s="911">
        <f t="shared" ref="H95:H109" si="0">D75</f>
        <v>0</v>
      </c>
      <c r="I95" s="912">
        <f t="shared" ref="I95:I109" si="1">E95*F95*C$59*H95</f>
        <v>0</v>
      </c>
      <c r="J95" s="913">
        <f>H49*F95*H95</f>
        <v>0</v>
      </c>
      <c r="K95" s="914">
        <f>I49*F95*H95</f>
        <v>0</v>
      </c>
      <c r="L95" s="915">
        <f>E49*E95*G95/(F49*100000)*F95*H95</f>
        <v>0</v>
      </c>
      <c r="M95" s="916">
        <f t="shared" ref="M95:M109" si="2">IF(H95=0,0,J95/H95)</f>
        <v>0</v>
      </c>
      <c r="N95" s="916">
        <f t="shared" ref="N95:N109" si="3">IF(H95=0,0,L95/H95)</f>
        <v>0</v>
      </c>
    </row>
    <row r="96" spans="1:14" x14ac:dyDescent="0.35">
      <c r="B96" s="1106" t="s">
        <v>2175</v>
      </c>
      <c r="C96" s="1106" t="s">
        <v>2275</v>
      </c>
      <c r="D96" s="1107" t="s">
        <v>355</v>
      </c>
      <c r="E96" s="1108">
        <f>E$66</f>
        <v>2.5</v>
      </c>
      <c r="F96" s="1109">
        <f>D$66</f>
        <v>2</v>
      </c>
      <c r="G96" s="1110">
        <f>C50</f>
        <v>144000</v>
      </c>
      <c r="H96" s="1111">
        <f t="shared" si="0"/>
        <v>1</v>
      </c>
      <c r="I96" s="1112">
        <f t="shared" si="1"/>
        <v>1875</v>
      </c>
      <c r="J96" s="1113">
        <f>H50*F96*H96</f>
        <v>9932</v>
      </c>
      <c r="K96" s="1114">
        <f>I50*F96*H96</f>
        <v>1.36</v>
      </c>
      <c r="L96" s="1115">
        <f>E50*E96*G96/(F50*100000)*F96*H96</f>
        <v>3870</v>
      </c>
      <c r="M96" s="1116">
        <f t="shared" si="2"/>
        <v>9932</v>
      </c>
      <c r="N96" s="1116">
        <f t="shared" si="3"/>
        <v>3870</v>
      </c>
    </row>
    <row r="97" spans="1:14" x14ac:dyDescent="0.35">
      <c r="B97" s="888" t="s">
        <v>2175</v>
      </c>
      <c r="C97" s="888" t="s">
        <v>2275</v>
      </c>
      <c r="D97" s="890" t="s">
        <v>356</v>
      </c>
      <c r="E97" s="908">
        <f>E$66</f>
        <v>2.5</v>
      </c>
      <c r="F97" s="909">
        <f>D$66</f>
        <v>2</v>
      </c>
      <c r="G97" s="910">
        <f>C51</f>
        <v>132000</v>
      </c>
      <c r="H97" s="911">
        <f t="shared" si="0"/>
        <v>1</v>
      </c>
      <c r="I97" s="912">
        <f t="shared" si="1"/>
        <v>1875</v>
      </c>
      <c r="J97" s="913">
        <f>H51*F97*H97</f>
        <v>9932</v>
      </c>
      <c r="K97" s="914">
        <f>I51*F97*H97</f>
        <v>1.36</v>
      </c>
      <c r="L97" s="915">
        <f>E51*E97*G97/(F51*100000)*F97*H97</f>
        <v>3547.5</v>
      </c>
      <c r="M97" s="916">
        <f t="shared" si="2"/>
        <v>9932</v>
      </c>
      <c r="N97" s="916">
        <f t="shared" si="3"/>
        <v>3547.5</v>
      </c>
    </row>
    <row r="98" spans="1:14" x14ac:dyDescent="0.35">
      <c r="B98" s="1106" t="s">
        <v>2175</v>
      </c>
      <c r="C98" s="1106" t="s">
        <v>2275</v>
      </c>
      <c r="D98" s="1107" t="s">
        <v>357</v>
      </c>
      <c r="E98" s="1108">
        <f>E$66</f>
        <v>2.5</v>
      </c>
      <c r="F98" s="1109">
        <f>D$66</f>
        <v>2</v>
      </c>
      <c r="G98" s="1110">
        <f>C52</f>
        <v>102000</v>
      </c>
      <c r="H98" s="1111">
        <f t="shared" si="0"/>
        <v>1</v>
      </c>
      <c r="I98" s="1112">
        <f t="shared" si="1"/>
        <v>1875</v>
      </c>
      <c r="J98" s="1113">
        <f>H52*F98*H98</f>
        <v>9932</v>
      </c>
      <c r="K98" s="1114">
        <f>I52*F98*H98</f>
        <v>1.36</v>
      </c>
      <c r="L98" s="1115">
        <f>E52*E98*G98/(F52*100000)*F98*H98</f>
        <v>2741.25</v>
      </c>
      <c r="M98" s="1116">
        <f t="shared" si="2"/>
        <v>9932</v>
      </c>
      <c r="N98" s="1116">
        <f t="shared" si="3"/>
        <v>2741.25</v>
      </c>
    </row>
    <row r="99" spans="1:14" x14ac:dyDescent="0.35">
      <c r="B99" s="888" t="s">
        <v>2175</v>
      </c>
      <c r="C99" s="888" t="s">
        <v>2275</v>
      </c>
      <c r="D99" s="897" t="s">
        <v>358</v>
      </c>
      <c r="E99" s="908">
        <f>E$66</f>
        <v>2.5</v>
      </c>
      <c r="F99" s="909">
        <f>D$66</f>
        <v>2</v>
      </c>
      <c r="G99" s="910">
        <f>C53</f>
        <v>104000</v>
      </c>
      <c r="H99" s="911">
        <f t="shared" si="0"/>
        <v>1</v>
      </c>
      <c r="I99" s="912">
        <f t="shared" si="1"/>
        <v>1875</v>
      </c>
      <c r="J99" s="913">
        <f>H53*F99*H99</f>
        <v>9932</v>
      </c>
      <c r="K99" s="914">
        <f>I53*F99*H99</f>
        <v>1.36</v>
      </c>
      <c r="L99" s="915">
        <f>E53*E99*G99/(F53*100000)*F99*H99</f>
        <v>2795</v>
      </c>
      <c r="M99" s="916">
        <f t="shared" si="2"/>
        <v>9932</v>
      </c>
      <c r="N99" s="916">
        <f t="shared" si="3"/>
        <v>2795</v>
      </c>
    </row>
    <row r="100" spans="1:14" x14ac:dyDescent="0.35">
      <c r="B100" s="1106" t="s">
        <v>2175</v>
      </c>
      <c r="C100" s="1106" t="s">
        <v>2276</v>
      </c>
      <c r="D100" s="1107" t="s">
        <v>354</v>
      </c>
      <c r="E100" s="1108">
        <f>E$67</f>
        <v>7.5</v>
      </c>
      <c r="F100" s="1109">
        <f>D$67</f>
        <v>2</v>
      </c>
      <c r="G100" s="1110">
        <f>C49</f>
        <v>154000</v>
      </c>
      <c r="H100" s="1111">
        <f t="shared" si="0"/>
        <v>0</v>
      </c>
      <c r="I100" s="1112">
        <f t="shared" si="1"/>
        <v>0</v>
      </c>
      <c r="J100" s="1113">
        <f>H49*F100*H100</f>
        <v>0</v>
      </c>
      <c r="K100" s="1114">
        <f>I49*F100*H100</f>
        <v>0</v>
      </c>
      <c r="L100" s="1115">
        <f>E49*E100*G100/(F49*100000)*F100*H100</f>
        <v>0</v>
      </c>
      <c r="M100" s="1116">
        <f t="shared" si="2"/>
        <v>0</v>
      </c>
      <c r="N100" s="1116">
        <f t="shared" si="3"/>
        <v>0</v>
      </c>
    </row>
    <row r="101" spans="1:14" x14ac:dyDescent="0.35">
      <c r="B101" s="888" t="s">
        <v>2175</v>
      </c>
      <c r="C101" s="888" t="s">
        <v>2276</v>
      </c>
      <c r="D101" s="897" t="s">
        <v>355</v>
      </c>
      <c r="E101" s="908">
        <f>E$67</f>
        <v>7.5</v>
      </c>
      <c r="F101" s="909">
        <f>D$67</f>
        <v>2</v>
      </c>
      <c r="G101" s="910">
        <f>C50</f>
        <v>144000</v>
      </c>
      <c r="H101" s="911">
        <f t="shared" si="0"/>
        <v>3</v>
      </c>
      <c r="I101" s="912">
        <f t="shared" si="1"/>
        <v>16875</v>
      </c>
      <c r="J101" s="913">
        <f>H50*F101*H101</f>
        <v>29796</v>
      </c>
      <c r="K101" s="914">
        <f>I50*F101*H101</f>
        <v>4.08</v>
      </c>
      <c r="L101" s="915">
        <f>E50*E101*G101/(F50*100000)*F101*H101</f>
        <v>34830</v>
      </c>
      <c r="M101" s="916">
        <f t="shared" si="2"/>
        <v>9932</v>
      </c>
      <c r="N101" s="916">
        <f t="shared" si="3"/>
        <v>11610</v>
      </c>
    </row>
    <row r="102" spans="1:14" x14ac:dyDescent="0.35">
      <c r="B102" s="1106" t="s">
        <v>2175</v>
      </c>
      <c r="C102" s="1106" t="s">
        <v>2276</v>
      </c>
      <c r="D102" s="1107" t="s">
        <v>356</v>
      </c>
      <c r="E102" s="1108">
        <f>E$67</f>
        <v>7.5</v>
      </c>
      <c r="F102" s="1109">
        <f>D$67</f>
        <v>2</v>
      </c>
      <c r="G102" s="1110">
        <f>C51</f>
        <v>132000</v>
      </c>
      <c r="H102" s="1111">
        <f t="shared" si="0"/>
        <v>3</v>
      </c>
      <c r="I102" s="1112">
        <f t="shared" si="1"/>
        <v>16875</v>
      </c>
      <c r="J102" s="1113">
        <f>H51*F102*H102</f>
        <v>29796</v>
      </c>
      <c r="K102" s="1114">
        <f>I51*F102*H102</f>
        <v>4.08</v>
      </c>
      <c r="L102" s="1115">
        <f>E51*E102*G102/(F51*100000)*F102*H102</f>
        <v>31927.5</v>
      </c>
      <c r="M102" s="1116">
        <f t="shared" si="2"/>
        <v>9932</v>
      </c>
      <c r="N102" s="1116">
        <f t="shared" si="3"/>
        <v>10642.5</v>
      </c>
    </row>
    <row r="103" spans="1:14" x14ac:dyDescent="0.35">
      <c r="B103" s="888" t="s">
        <v>2175</v>
      </c>
      <c r="C103" s="888" t="s">
        <v>2276</v>
      </c>
      <c r="D103" s="897" t="s">
        <v>357</v>
      </c>
      <c r="E103" s="908">
        <f>E$67</f>
        <v>7.5</v>
      </c>
      <c r="F103" s="909">
        <f>D$67</f>
        <v>2</v>
      </c>
      <c r="G103" s="910">
        <f>C52</f>
        <v>102000</v>
      </c>
      <c r="H103" s="911">
        <f t="shared" si="0"/>
        <v>3</v>
      </c>
      <c r="I103" s="912">
        <f t="shared" si="1"/>
        <v>16875</v>
      </c>
      <c r="J103" s="913">
        <f>H52*F103*H103</f>
        <v>29796</v>
      </c>
      <c r="K103" s="914">
        <f>I52*F103*H103</f>
        <v>4.08</v>
      </c>
      <c r="L103" s="915">
        <f>E52*E103*G103/(F52*100000)*F103*H103</f>
        <v>24671.25</v>
      </c>
      <c r="M103" s="916">
        <f t="shared" si="2"/>
        <v>9932</v>
      </c>
      <c r="N103" s="916">
        <f t="shared" si="3"/>
        <v>8223.75</v>
      </c>
    </row>
    <row r="104" spans="1:14" x14ac:dyDescent="0.35">
      <c r="B104" s="1117" t="s">
        <v>2175</v>
      </c>
      <c r="C104" s="1117" t="s">
        <v>2276</v>
      </c>
      <c r="D104" s="1118" t="s">
        <v>358</v>
      </c>
      <c r="E104" s="1119">
        <f>E$67</f>
        <v>7.5</v>
      </c>
      <c r="F104" s="1120">
        <f>D$67</f>
        <v>2</v>
      </c>
      <c r="G104" s="1121">
        <f>C53</f>
        <v>104000</v>
      </c>
      <c r="H104" s="1122">
        <f t="shared" si="0"/>
        <v>3</v>
      </c>
      <c r="I104" s="1123">
        <f t="shared" si="1"/>
        <v>16875</v>
      </c>
      <c r="J104" s="1124">
        <f>H53*F104*H104</f>
        <v>29796</v>
      </c>
      <c r="K104" s="1125">
        <f>I53*F104*H104</f>
        <v>4.08</v>
      </c>
      <c r="L104" s="1126">
        <f>E53*E104*G104/(F53*100000)*F104*H104</f>
        <v>25155</v>
      </c>
      <c r="M104" s="1127">
        <f t="shared" si="2"/>
        <v>9932</v>
      </c>
      <c r="N104" s="1127">
        <f t="shared" si="3"/>
        <v>8385</v>
      </c>
    </row>
    <row r="105" spans="1:14" x14ac:dyDescent="0.35">
      <c r="B105" s="1106" t="s">
        <v>2175</v>
      </c>
      <c r="C105" s="1106" t="s">
        <v>2277</v>
      </c>
      <c r="D105" s="1107" t="s">
        <v>354</v>
      </c>
      <c r="E105" s="1108">
        <f>E$68</f>
        <v>17.5</v>
      </c>
      <c r="F105" s="1109">
        <f>D$68</f>
        <v>2</v>
      </c>
      <c r="G105" s="1110">
        <f>C49</f>
        <v>154000</v>
      </c>
      <c r="H105" s="1111">
        <f t="shared" si="0"/>
        <v>0</v>
      </c>
      <c r="I105" s="1112">
        <f t="shared" si="1"/>
        <v>0</v>
      </c>
      <c r="J105" s="1113">
        <f>H49*F105*H105</f>
        <v>0</v>
      </c>
      <c r="K105" s="1114">
        <f>I49*F105*H105</f>
        <v>0</v>
      </c>
      <c r="L105" s="1115">
        <f>E49*E105*G105/(F49*100000)*F105*H105</f>
        <v>0</v>
      </c>
      <c r="M105" s="1116">
        <f t="shared" si="2"/>
        <v>0</v>
      </c>
      <c r="N105" s="1116">
        <f t="shared" si="3"/>
        <v>0</v>
      </c>
    </row>
    <row r="106" spans="1:14" x14ac:dyDescent="0.35">
      <c r="B106" s="888" t="s">
        <v>2175</v>
      </c>
      <c r="C106" s="888" t="s">
        <v>2277</v>
      </c>
      <c r="D106" s="897" t="s">
        <v>355</v>
      </c>
      <c r="E106" s="908">
        <f>E$68</f>
        <v>17.5</v>
      </c>
      <c r="F106" s="909">
        <f>D$68</f>
        <v>2</v>
      </c>
      <c r="G106" s="910">
        <f>C50</f>
        <v>144000</v>
      </c>
      <c r="H106" s="911">
        <f t="shared" si="0"/>
        <v>1</v>
      </c>
      <c r="I106" s="912">
        <f t="shared" si="1"/>
        <v>13125</v>
      </c>
      <c r="J106" s="913">
        <f>H50*F106*H106</f>
        <v>9932</v>
      </c>
      <c r="K106" s="914">
        <f>I50*F106*H106</f>
        <v>1.36</v>
      </c>
      <c r="L106" s="915">
        <f>E50*E106*G106/(F50*100000)*F106*H106</f>
        <v>27090</v>
      </c>
      <c r="M106" s="916">
        <f t="shared" si="2"/>
        <v>9932</v>
      </c>
      <c r="N106" s="916">
        <f t="shared" si="3"/>
        <v>27090</v>
      </c>
    </row>
    <row r="107" spans="1:14" x14ac:dyDescent="0.35">
      <c r="B107" s="1106" t="s">
        <v>2175</v>
      </c>
      <c r="C107" s="1106" t="s">
        <v>2277</v>
      </c>
      <c r="D107" s="1107" t="s">
        <v>356</v>
      </c>
      <c r="E107" s="1108">
        <f>E$68</f>
        <v>17.5</v>
      </c>
      <c r="F107" s="1109">
        <f>D$68</f>
        <v>2</v>
      </c>
      <c r="G107" s="1110">
        <f>C51</f>
        <v>132000</v>
      </c>
      <c r="H107" s="1111">
        <f t="shared" si="0"/>
        <v>1</v>
      </c>
      <c r="I107" s="1112">
        <f t="shared" si="1"/>
        <v>13125</v>
      </c>
      <c r="J107" s="1113">
        <f>H51*F107*H107</f>
        <v>9932</v>
      </c>
      <c r="K107" s="1114">
        <f>I51*F107*H107</f>
        <v>1.36</v>
      </c>
      <c r="L107" s="1115">
        <f>E51*E107*G107/(F51*100000)*F107*H107</f>
        <v>24832.5</v>
      </c>
      <c r="M107" s="1116">
        <f t="shared" si="2"/>
        <v>9932</v>
      </c>
      <c r="N107" s="1116">
        <f t="shared" si="3"/>
        <v>24832.5</v>
      </c>
    </row>
    <row r="108" spans="1:14" x14ac:dyDescent="0.35">
      <c r="B108" s="888" t="s">
        <v>2175</v>
      </c>
      <c r="C108" s="888" t="s">
        <v>2277</v>
      </c>
      <c r="D108" s="897" t="s">
        <v>357</v>
      </c>
      <c r="E108" s="908">
        <f>E$68</f>
        <v>17.5</v>
      </c>
      <c r="F108" s="909">
        <f>D$68</f>
        <v>2</v>
      </c>
      <c r="G108" s="910">
        <f>C52</f>
        <v>102000</v>
      </c>
      <c r="H108" s="911">
        <f t="shared" si="0"/>
        <v>1</v>
      </c>
      <c r="I108" s="912">
        <f t="shared" si="1"/>
        <v>13125</v>
      </c>
      <c r="J108" s="913">
        <f>H52*F108*H108</f>
        <v>9932</v>
      </c>
      <c r="K108" s="914">
        <f>I52*F108*H108</f>
        <v>1.36</v>
      </c>
      <c r="L108" s="915">
        <f>E52*E108*G108/(F52*100000)*F108*H108</f>
        <v>19188.75</v>
      </c>
      <c r="M108" s="916">
        <f t="shared" si="2"/>
        <v>9932</v>
      </c>
      <c r="N108" s="916">
        <f t="shared" si="3"/>
        <v>19188.75</v>
      </c>
    </row>
    <row r="109" spans="1:14" x14ac:dyDescent="0.35">
      <c r="B109" s="1117" t="s">
        <v>2175</v>
      </c>
      <c r="C109" s="1117" t="s">
        <v>2277</v>
      </c>
      <c r="D109" s="1118" t="s">
        <v>358</v>
      </c>
      <c r="E109" s="1119">
        <f>E$68</f>
        <v>17.5</v>
      </c>
      <c r="F109" s="1120">
        <f>D$68</f>
        <v>2</v>
      </c>
      <c r="G109" s="1121">
        <f>C53</f>
        <v>104000</v>
      </c>
      <c r="H109" s="1122">
        <f t="shared" si="0"/>
        <v>1</v>
      </c>
      <c r="I109" s="1123">
        <f t="shared" si="1"/>
        <v>13125</v>
      </c>
      <c r="J109" s="1124">
        <f>H53*F109*H109</f>
        <v>9932</v>
      </c>
      <c r="K109" s="1125">
        <f>I53*F109*H109</f>
        <v>1.36</v>
      </c>
      <c r="L109" s="1126">
        <f>E53*E109*G109/(F53*100000)*F109*H109</f>
        <v>19565</v>
      </c>
      <c r="M109" s="1127">
        <f t="shared" si="2"/>
        <v>9932</v>
      </c>
      <c r="N109" s="1127">
        <f t="shared" si="3"/>
        <v>19565</v>
      </c>
    </row>
    <row r="112" spans="1:14" ht="21" x14ac:dyDescent="0.5">
      <c r="A112" s="704" t="s">
        <v>377</v>
      </c>
    </row>
    <row r="114" spans="2:3" x14ac:dyDescent="0.35">
      <c r="B114" s="899"/>
      <c r="C114" s="900"/>
    </row>
    <row r="115" spans="2:3" x14ac:dyDescent="0.35">
      <c r="B115" s="997" t="s">
        <v>2178</v>
      </c>
      <c r="C115" s="997" t="s">
        <v>2283</v>
      </c>
    </row>
    <row r="116" spans="2:3" x14ac:dyDescent="0.35">
      <c r="B116" s="995" t="s">
        <v>2284</v>
      </c>
      <c r="C116" s="1128">
        <v>1988</v>
      </c>
    </row>
    <row r="117" spans="2:3" x14ac:dyDescent="0.35">
      <c r="B117" s="996" t="s">
        <v>2285</v>
      </c>
      <c r="C117" s="1129">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pageSetUpPr fitToPage="1"/>
  </sheetPr>
  <dimension ref="A1:AD117"/>
  <sheetViews>
    <sheetView zoomScale="70" zoomScaleNormal="70" workbookViewId="0"/>
  </sheetViews>
  <sheetFormatPr defaultColWidth="9.1796875" defaultRowHeight="14.5" x14ac:dyDescent="0.35"/>
  <cols>
    <col min="1" max="1" width="9.1796875" style="675"/>
    <col min="2" max="2" width="30.453125" style="675" customWidth="1"/>
    <col min="3" max="4" width="16" style="675" customWidth="1"/>
    <col min="5" max="5" width="20.7265625" style="675" customWidth="1"/>
    <col min="6" max="6" width="22.54296875" style="675" customWidth="1"/>
    <col min="7" max="7" width="16" style="675" customWidth="1"/>
    <col min="8" max="8" width="20.1796875" style="675" customWidth="1"/>
    <col min="9" max="9" width="29" style="675" customWidth="1"/>
    <col min="10"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158</v>
      </c>
    </row>
    <row r="3" spans="1:11" ht="21" x14ac:dyDescent="0.5">
      <c r="A3" s="704" t="s">
        <v>2237</v>
      </c>
    </row>
    <row r="4" spans="1:11" ht="15" customHeight="1" x14ac:dyDescent="0.35">
      <c r="B4" s="735"/>
      <c r="C4" s="833"/>
      <c r="J4" s="737"/>
      <c r="K4" s="737"/>
    </row>
    <row r="5" spans="1:11" x14ac:dyDescent="0.35">
      <c r="B5" s="857" t="s">
        <v>1947</v>
      </c>
      <c r="C5" s="835">
        <f>SUM(H95:H109)</f>
        <v>20</v>
      </c>
      <c r="G5" s="675" t="s">
        <v>1960</v>
      </c>
      <c r="I5" s="1081">
        <f>C116*C6</f>
        <v>79520</v>
      </c>
    </row>
    <row r="6" spans="1:11" x14ac:dyDescent="0.35">
      <c r="B6" s="926" t="s">
        <v>1948</v>
      </c>
      <c r="C6" s="837">
        <f>SUMPRODUCT(F95:F109,H95:H109)</f>
        <v>40</v>
      </c>
      <c r="G6" s="675" t="s">
        <v>2238</v>
      </c>
      <c r="I6" s="1081">
        <f>I5/C6</f>
        <v>1988</v>
      </c>
    </row>
    <row r="7" spans="1:11" x14ac:dyDescent="0.35">
      <c r="B7" s="927" t="s">
        <v>2052</v>
      </c>
      <c r="C7" s="839">
        <f>SUM(J95:J109)</f>
        <v>198640</v>
      </c>
      <c r="D7" s="840"/>
      <c r="G7" s="675" t="s">
        <v>2154</v>
      </c>
      <c r="I7" s="1081">
        <f>I5/C7</f>
        <v>0.40032219089810711</v>
      </c>
    </row>
    <row r="8" spans="1:11" x14ac:dyDescent="0.35">
      <c r="B8" s="859" t="s">
        <v>1951</v>
      </c>
      <c r="C8" s="842">
        <f>SUM(K95:K109)</f>
        <v>27.199999999999996</v>
      </c>
      <c r="F8" s="680"/>
      <c r="G8" s="680" t="s">
        <v>2239</v>
      </c>
      <c r="H8" s="796"/>
      <c r="I8" s="1081">
        <f>I5/C9</f>
        <v>0.36110370038201522</v>
      </c>
      <c r="J8" s="698"/>
    </row>
    <row r="9" spans="1:11" x14ac:dyDescent="0.35">
      <c r="B9" s="927" t="s">
        <v>1952</v>
      </c>
      <c r="C9" s="839">
        <f>SUM(L95:L109)</f>
        <v>220213.75</v>
      </c>
      <c r="G9" s="675" t="s">
        <v>2240</v>
      </c>
      <c r="I9" s="828">
        <f>C$10/C$6*I11</f>
        <v>446.25000000000006</v>
      </c>
    </row>
    <row r="10" spans="1:11" x14ac:dyDescent="0.35">
      <c r="B10" s="859" t="s">
        <v>2053</v>
      </c>
      <c r="C10" s="843">
        <f>SUM(I95:I109)</f>
        <v>255000</v>
      </c>
      <c r="G10" s="675" t="s">
        <v>2241</v>
      </c>
      <c r="I10" s="828">
        <f>C$10/C$6*I12</f>
        <v>5928.75</v>
      </c>
    </row>
    <row r="11" spans="1:11" x14ac:dyDescent="0.35">
      <c r="B11" s="927" t="s">
        <v>61</v>
      </c>
      <c r="C11" s="844">
        <f>C7/$C$6</f>
        <v>4966</v>
      </c>
      <c r="D11" s="845"/>
      <c r="G11" s="675" t="s">
        <v>2242</v>
      </c>
      <c r="I11" s="1082">
        <v>7.0000000000000007E-2</v>
      </c>
    </row>
    <row r="12" spans="1:11" x14ac:dyDescent="0.35">
      <c r="B12" s="859" t="s">
        <v>62</v>
      </c>
      <c r="C12" s="846">
        <f>C8/$C$6</f>
        <v>0.67999999999999994</v>
      </c>
      <c r="G12" s="675" t="s">
        <v>2243</v>
      </c>
      <c r="I12" s="1082">
        <f>1-I11</f>
        <v>0.92999999999999994</v>
      </c>
    </row>
    <row r="13" spans="1:11" x14ac:dyDescent="0.35">
      <c r="B13" s="927" t="s">
        <v>63</v>
      </c>
      <c r="C13" s="844">
        <f>C9/$C$6</f>
        <v>5505.34375</v>
      </c>
    </row>
    <row r="14" spans="1:11" x14ac:dyDescent="0.35">
      <c r="B14" s="859" t="s">
        <v>2057</v>
      </c>
      <c r="C14" s="847">
        <f>C10/C7</f>
        <v>1.2837293596455901</v>
      </c>
    </row>
    <row r="15" spans="1:11" x14ac:dyDescent="0.35">
      <c r="B15" s="724" t="s">
        <v>1960</v>
      </c>
      <c r="C15" s="1083">
        <f>C116*C6</f>
        <v>79520</v>
      </c>
    </row>
    <row r="16" spans="1:11" x14ac:dyDescent="0.35">
      <c r="B16" s="936" t="s">
        <v>2244</v>
      </c>
      <c r="C16" s="1084">
        <f>C15/C6</f>
        <v>1988</v>
      </c>
    </row>
    <row r="17" spans="1:5" x14ac:dyDescent="0.35">
      <c r="B17" s="724" t="s">
        <v>2154</v>
      </c>
      <c r="C17" s="1083">
        <f>C15/C7</f>
        <v>0.40032219089810711</v>
      </c>
    </row>
    <row r="18" spans="1:5" x14ac:dyDescent="0.35">
      <c r="B18" s="1085" t="s">
        <v>2239</v>
      </c>
      <c r="C18" s="1084">
        <f>C15/C9</f>
        <v>0.36110370038201522</v>
      </c>
    </row>
    <row r="19" spans="1:5" x14ac:dyDescent="0.35">
      <c r="B19" s="724" t="s">
        <v>2245</v>
      </c>
      <c r="C19" s="1086">
        <f>C$10/C$6*I11</f>
        <v>446.25000000000006</v>
      </c>
    </row>
    <row r="20" spans="1:5" x14ac:dyDescent="0.35">
      <c r="B20" s="928" t="s">
        <v>2246</v>
      </c>
      <c r="C20" s="994">
        <f>C$10/C$6*I12</f>
        <v>5928.75</v>
      </c>
      <c r="E20" s="828"/>
    </row>
    <row r="22" spans="1:5" x14ac:dyDescent="0.35">
      <c r="B22" s="850" t="s">
        <v>2061</v>
      </c>
      <c r="C22" s="729"/>
    </row>
    <row r="23" spans="1:5" ht="15" customHeight="1" x14ac:dyDescent="0.35">
      <c r="B23" s="851" t="s">
        <v>2062</v>
      </c>
      <c r="C23" s="729"/>
    </row>
    <row r="24" spans="1:5" ht="15" customHeight="1" x14ac:dyDescent="0.35">
      <c r="B24" s="834" t="s">
        <v>2063</v>
      </c>
      <c r="C24" s="852">
        <v>0.83</v>
      </c>
    </row>
    <row r="25" spans="1:5" ht="15" customHeight="1" x14ac:dyDescent="0.35">
      <c r="B25" s="841" t="s">
        <v>1965</v>
      </c>
      <c r="C25" s="842">
        <f>C24*C7</f>
        <v>164871.19999999998</v>
      </c>
      <c r="D25" s="840"/>
      <c r="E25" s="853"/>
    </row>
    <row r="26" spans="1:5" ht="15" customHeight="1" x14ac:dyDescent="0.35">
      <c r="B26" s="838" t="s">
        <v>1966</v>
      </c>
      <c r="C26" s="839">
        <f>C$24*C8</f>
        <v>22.575999999999997</v>
      </c>
    </row>
    <row r="27" spans="1:5" ht="15" customHeight="1" x14ac:dyDescent="0.35">
      <c r="B27" s="841" t="s">
        <v>1967</v>
      </c>
      <c r="C27" s="842">
        <f>C$24*C9</f>
        <v>182777.41249999998</v>
      </c>
    </row>
    <row r="28" spans="1:5" ht="15" customHeight="1" x14ac:dyDescent="0.35">
      <c r="B28" s="838" t="s">
        <v>1968</v>
      </c>
      <c r="C28" s="854">
        <f>C10/C25</f>
        <v>1.5466618790910724</v>
      </c>
    </row>
    <row r="29" spans="1:5" ht="15" customHeight="1" x14ac:dyDescent="0.35">
      <c r="B29" s="855" t="s">
        <v>1970</v>
      </c>
      <c r="C29" s="856">
        <v>15</v>
      </c>
    </row>
    <row r="30" spans="1:5" ht="15" customHeight="1" x14ac:dyDescent="0.35">
      <c r="B30" s="703"/>
    </row>
    <row r="31" spans="1:5" ht="15" customHeight="1" x14ac:dyDescent="0.35">
      <c r="B31" s="703"/>
    </row>
    <row r="32" spans="1:5" ht="21" x14ac:dyDescent="0.5">
      <c r="A32" s="704" t="s">
        <v>1971</v>
      </c>
      <c r="B32" s="703"/>
    </row>
    <row r="33" spans="1:19" ht="15" customHeight="1" x14ac:dyDescent="0.35">
      <c r="B33" s="703"/>
    </row>
    <row r="34" spans="1:19" ht="15" customHeight="1" x14ac:dyDescent="0.35">
      <c r="B34" s="940" t="s">
        <v>2058</v>
      </c>
      <c r="C34" s="1087">
        <f>C7/C5</f>
        <v>9932</v>
      </c>
    </row>
    <row r="35" spans="1:19" ht="15" customHeight="1" x14ac:dyDescent="0.35">
      <c r="B35" s="936" t="s">
        <v>2156</v>
      </c>
      <c r="C35" s="1088">
        <f>C8/C5</f>
        <v>1.3599999999999999</v>
      </c>
    </row>
    <row r="36" spans="1:19" ht="15" customHeight="1" x14ac:dyDescent="0.35">
      <c r="B36" s="724" t="s">
        <v>2247</v>
      </c>
      <c r="C36" s="1089">
        <f>C9/C5</f>
        <v>11010.6875</v>
      </c>
    </row>
    <row r="37" spans="1:19" ht="15" customHeight="1" x14ac:dyDescent="0.35">
      <c r="B37" s="936" t="s">
        <v>2059</v>
      </c>
      <c r="C37" s="992">
        <f>C10/C5</f>
        <v>12750</v>
      </c>
    </row>
    <row r="38" spans="1:19" ht="15" customHeight="1" x14ac:dyDescent="0.35">
      <c r="B38" s="724" t="s">
        <v>2248</v>
      </c>
      <c r="C38" s="1090">
        <f>C10*H11/C5</f>
        <v>0</v>
      </c>
    </row>
    <row r="39" spans="1:19" ht="15" customHeight="1" x14ac:dyDescent="0.35">
      <c r="B39" s="936" t="s">
        <v>2249</v>
      </c>
      <c r="C39" s="992">
        <f>C10*H12/C5</f>
        <v>0</v>
      </c>
    </row>
    <row r="40" spans="1:19" ht="15" customHeight="1" x14ac:dyDescent="0.35">
      <c r="B40" s="884" t="s">
        <v>2155</v>
      </c>
      <c r="C40" s="1086">
        <f>C15/C5</f>
        <v>3976</v>
      </c>
    </row>
    <row r="41" spans="1:19" ht="15" customHeight="1" x14ac:dyDescent="0.35">
      <c r="B41" s="1085" t="s">
        <v>2250</v>
      </c>
      <c r="C41" s="1091">
        <f>C7*C24/C5</f>
        <v>8243.56</v>
      </c>
    </row>
    <row r="42" spans="1:19" ht="15" customHeight="1" x14ac:dyDescent="0.35">
      <c r="B42" s="884" t="s">
        <v>2251</v>
      </c>
      <c r="C42" s="1092">
        <f>C8*C24/C5</f>
        <v>1.1287999999999998</v>
      </c>
    </row>
    <row r="43" spans="1:19" ht="15" customHeight="1" x14ac:dyDescent="0.35">
      <c r="B43" s="1093" t="s">
        <v>2252</v>
      </c>
      <c r="C43" s="1094">
        <f>C9*C24/C5</f>
        <v>9138.8706249999996</v>
      </c>
    </row>
    <row r="44" spans="1:19" ht="15" customHeight="1" x14ac:dyDescent="0.35"/>
    <row r="45" spans="1:19" ht="21" x14ac:dyDescent="0.5">
      <c r="A45" s="704" t="s">
        <v>1977</v>
      </c>
    </row>
    <row r="47" spans="1:19" ht="18.5" x14ac:dyDescent="0.45">
      <c r="B47" s="3019" t="s">
        <v>2039</v>
      </c>
      <c r="C47" s="3019"/>
      <c r="D47" s="3019"/>
      <c r="E47" s="3019"/>
      <c r="F47" s="3019"/>
      <c r="G47" s="3019"/>
      <c r="H47" s="779"/>
      <c r="I47" s="779"/>
      <c r="J47" s="779"/>
      <c r="K47" s="779"/>
      <c r="L47" s="779"/>
      <c r="M47" s="779"/>
    </row>
    <row r="48" spans="1:19" ht="60" customHeight="1" x14ac:dyDescent="0.35">
      <c r="B48" s="863" t="s">
        <v>2253</v>
      </c>
      <c r="C48" s="864" t="s">
        <v>2254</v>
      </c>
      <c r="D48" s="865" t="s">
        <v>2255</v>
      </c>
      <c r="E48" s="865" t="s">
        <v>2256</v>
      </c>
      <c r="F48" s="866" t="s">
        <v>2257</v>
      </c>
      <c r="G48" s="867" t="s">
        <v>2110</v>
      </c>
      <c r="H48" s="998" t="s">
        <v>2258</v>
      </c>
      <c r="I48" s="1077" t="s">
        <v>2259</v>
      </c>
      <c r="J48" s="698"/>
      <c r="K48" s="3020" t="s">
        <v>2260</v>
      </c>
      <c r="L48" s="3021"/>
      <c r="M48" s="3021"/>
      <c r="N48" s="3021"/>
      <c r="O48" s="3021"/>
      <c r="P48" s="3021"/>
      <c r="Q48" s="3021"/>
      <c r="R48" s="3021"/>
      <c r="S48" s="3022"/>
    </row>
    <row r="49" spans="1:30" x14ac:dyDescent="0.35">
      <c r="B49" s="995" t="s">
        <v>354</v>
      </c>
      <c r="C49" s="1095">
        <v>154000</v>
      </c>
      <c r="D49" s="1000">
        <v>7.75</v>
      </c>
      <c r="E49" s="1001">
        <v>430</v>
      </c>
      <c r="F49" s="1096">
        <v>0.8</v>
      </c>
      <c r="G49" s="1097"/>
      <c r="H49" s="1059">
        <v>4966</v>
      </c>
      <c r="I49" s="1059">
        <v>0.68</v>
      </c>
      <c r="J49" s="698"/>
      <c r="K49" s="869" t="s">
        <v>2072</v>
      </c>
      <c r="L49" s="870"/>
      <c r="M49" s="870"/>
      <c r="N49" s="870"/>
      <c r="O49" s="870"/>
      <c r="P49" s="870"/>
      <c r="Q49" s="870"/>
      <c r="R49" s="870"/>
      <c r="S49" s="871"/>
    </row>
    <row r="50" spans="1:30" x14ac:dyDescent="0.35">
      <c r="B50" s="996" t="s">
        <v>355</v>
      </c>
      <c r="C50" s="1095">
        <v>144000</v>
      </c>
      <c r="D50" s="1000">
        <v>7.75</v>
      </c>
      <c r="E50" s="1001">
        <v>430</v>
      </c>
      <c r="F50" s="1096">
        <v>0.8</v>
      </c>
      <c r="G50" s="1098"/>
      <c r="H50" s="1059">
        <v>4966</v>
      </c>
      <c r="I50" s="1059">
        <v>0.68</v>
      </c>
      <c r="J50" s="698"/>
      <c r="K50" s="873" t="s">
        <v>2261</v>
      </c>
      <c r="L50" s="698" t="s">
        <v>2262</v>
      </c>
      <c r="M50" s="698"/>
      <c r="N50" s="698"/>
      <c r="O50" s="698"/>
      <c r="P50" s="698"/>
      <c r="Q50" s="698"/>
      <c r="R50" s="698"/>
      <c r="S50" s="874"/>
    </row>
    <row r="51" spans="1:30" x14ac:dyDescent="0.35">
      <c r="B51" s="995" t="s">
        <v>356</v>
      </c>
      <c r="C51" s="1095">
        <v>132000</v>
      </c>
      <c r="D51" s="1000">
        <v>7.75</v>
      </c>
      <c r="E51" s="1001">
        <v>430</v>
      </c>
      <c r="F51" s="1096">
        <v>0.8</v>
      </c>
      <c r="G51" s="1097"/>
      <c r="H51" s="1059">
        <v>4966</v>
      </c>
      <c r="I51" s="1059">
        <v>0.68</v>
      </c>
      <c r="J51" s="698"/>
      <c r="K51" s="873" t="s">
        <v>2263</v>
      </c>
      <c r="L51" s="698" t="s">
        <v>2262</v>
      </c>
      <c r="M51" s="698"/>
      <c r="N51" s="698"/>
      <c r="O51" s="698"/>
      <c r="P51" s="698"/>
      <c r="Q51" s="698"/>
      <c r="R51" s="698"/>
      <c r="S51" s="874"/>
    </row>
    <row r="52" spans="1:30" x14ac:dyDescent="0.35">
      <c r="B52" s="996" t="s">
        <v>357</v>
      </c>
      <c r="C52" s="1095">
        <v>102000</v>
      </c>
      <c r="D52" s="1000">
        <v>7.75</v>
      </c>
      <c r="E52" s="1001">
        <v>430</v>
      </c>
      <c r="F52" s="1096">
        <v>0.8</v>
      </c>
      <c r="G52" s="1098"/>
      <c r="H52" s="1059">
        <v>4966</v>
      </c>
      <c r="I52" s="1059">
        <v>0.68</v>
      </c>
      <c r="J52" s="698"/>
      <c r="K52" s="873" t="s">
        <v>2264</v>
      </c>
      <c r="L52" s="698"/>
      <c r="M52" s="698"/>
      <c r="N52" s="698"/>
      <c r="O52" s="698"/>
      <c r="P52" s="698"/>
      <c r="Q52" s="698"/>
      <c r="R52" s="698"/>
      <c r="S52" s="874"/>
    </row>
    <row r="53" spans="1:30" x14ac:dyDescent="0.35">
      <c r="B53" s="995" t="s">
        <v>358</v>
      </c>
      <c r="C53" s="1095">
        <v>104000</v>
      </c>
      <c r="D53" s="1000">
        <v>7.75</v>
      </c>
      <c r="E53" s="1001">
        <v>430</v>
      </c>
      <c r="F53" s="1096">
        <v>0.8</v>
      </c>
      <c r="G53" s="1097"/>
      <c r="H53" s="1059">
        <v>4966</v>
      </c>
      <c r="I53" s="1059">
        <v>0.68</v>
      </c>
      <c r="J53" s="698"/>
      <c r="K53" s="869" t="s">
        <v>1990</v>
      </c>
      <c r="L53" s="870"/>
      <c r="M53" s="870"/>
      <c r="N53" s="870"/>
      <c r="O53" s="870"/>
      <c r="P53" s="870"/>
      <c r="Q53" s="870"/>
      <c r="R53" s="870"/>
      <c r="S53" s="871"/>
    </row>
    <row r="54" spans="1:30" x14ac:dyDescent="0.35">
      <c r="D54" s="739"/>
      <c r="J54" s="698"/>
      <c r="K54" s="873" t="s">
        <v>713</v>
      </c>
      <c r="L54" s="698" t="s">
        <v>1992</v>
      </c>
      <c r="M54" s="698" t="s">
        <v>2265</v>
      </c>
      <c r="N54" s="698"/>
      <c r="O54" s="698"/>
      <c r="P54" s="698"/>
      <c r="Q54" s="698"/>
      <c r="R54" s="698"/>
      <c r="S54" s="874"/>
    </row>
    <row r="55" spans="1:30" x14ac:dyDescent="0.35">
      <c r="J55" s="698"/>
      <c r="K55" s="873" t="s">
        <v>1737</v>
      </c>
      <c r="L55" s="698" t="s">
        <v>1992</v>
      </c>
      <c r="M55" s="698" t="s">
        <v>2266</v>
      </c>
      <c r="N55" s="698"/>
      <c r="O55" s="698"/>
      <c r="P55" s="698"/>
      <c r="Q55" s="698"/>
      <c r="R55" s="698"/>
      <c r="S55" s="874"/>
    </row>
    <row r="56" spans="1:30" x14ac:dyDescent="0.35">
      <c r="J56" s="698"/>
      <c r="K56" s="873" t="s">
        <v>2267</v>
      </c>
      <c r="L56" s="698" t="s">
        <v>1992</v>
      </c>
      <c r="M56" s="698" t="s">
        <v>2268</v>
      </c>
      <c r="N56" s="698"/>
      <c r="O56" s="698"/>
      <c r="P56" s="698"/>
      <c r="Q56" s="698"/>
      <c r="R56" s="698"/>
      <c r="S56" s="874"/>
    </row>
    <row r="57" spans="1:30" ht="21" x14ac:dyDescent="0.5">
      <c r="A57" s="704" t="s">
        <v>2012</v>
      </c>
      <c r="G57" s="779"/>
      <c r="H57" s="779"/>
      <c r="I57" s="779"/>
      <c r="J57" s="779"/>
      <c r="K57" s="873" t="s">
        <v>2269</v>
      </c>
      <c r="L57" s="698" t="s">
        <v>1992</v>
      </c>
      <c r="M57" s="698" t="s">
        <v>2270</v>
      </c>
      <c r="N57" s="698"/>
      <c r="O57" s="698"/>
      <c r="P57" s="698"/>
      <c r="Q57" s="698"/>
      <c r="R57" s="698"/>
      <c r="S57" s="874"/>
    </row>
    <row r="58" spans="1:30" ht="21" x14ac:dyDescent="0.5">
      <c r="A58" s="704"/>
      <c r="E58" s="876"/>
      <c r="F58" s="876"/>
      <c r="G58" s="876"/>
      <c r="H58" s="876"/>
      <c r="I58" s="753"/>
      <c r="J58" s="698"/>
      <c r="K58" s="870"/>
      <c r="L58" s="870"/>
      <c r="M58" s="870"/>
      <c r="N58" s="870"/>
      <c r="O58" s="870"/>
      <c r="P58" s="870"/>
      <c r="Q58" s="870"/>
      <c r="R58" s="870"/>
    </row>
    <row r="59" spans="1:30" x14ac:dyDescent="0.35">
      <c r="B59" s="878" t="s">
        <v>2271</v>
      </c>
      <c r="C59" s="879">
        <v>750</v>
      </c>
      <c r="E59" s="880"/>
      <c r="F59" s="769"/>
      <c r="G59" s="769"/>
      <c r="H59" s="880"/>
      <c r="I59" s="698"/>
      <c r="J59" s="698"/>
      <c r="K59" s="698"/>
      <c r="L59" s="698"/>
      <c r="M59" s="698"/>
      <c r="N59" s="698"/>
      <c r="O59" s="698"/>
      <c r="P59" s="698"/>
      <c r="Q59" s="698"/>
    </row>
    <row r="60" spans="1:30" x14ac:dyDescent="0.35">
      <c r="E60" s="880"/>
      <c r="F60" s="769"/>
      <c r="G60" s="769"/>
      <c r="H60" s="880"/>
      <c r="I60" s="698"/>
      <c r="J60" s="698"/>
      <c r="K60" s="698"/>
      <c r="L60" s="698"/>
      <c r="M60" s="698"/>
      <c r="N60" s="698"/>
      <c r="O60" s="698"/>
      <c r="P60" s="698"/>
      <c r="Q60" s="698"/>
    </row>
    <row r="61" spans="1:30" ht="21" x14ac:dyDescent="0.5">
      <c r="A61" s="704" t="s">
        <v>2092</v>
      </c>
      <c r="E61" s="880"/>
      <c r="F61" s="769"/>
      <c r="I61" s="698"/>
      <c r="J61" s="698"/>
      <c r="K61" s="698"/>
      <c r="L61" s="698"/>
      <c r="M61" s="698"/>
      <c r="N61" s="698"/>
      <c r="O61" s="698"/>
      <c r="P61" s="698"/>
      <c r="Q61" s="698"/>
    </row>
    <row r="62" spans="1:30" x14ac:dyDescent="0.35">
      <c r="I62" s="698"/>
      <c r="J62" s="698"/>
      <c r="K62" s="698"/>
      <c r="L62" s="698"/>
      <c r="M62" s="698"/>
      <c r="N62" s="698"/>
      <c r="O62" s="698"/>
      <c r="P62" s="698"/>
      <c r="Q62" s="698"/>
    </row>
    <row r="64" spans="1:30" ht="18.5" x14ac:dyDescent="0.45">
      <c r="B64" s="3024" t="s">
        <v>2092</v>
      </c>
      <c r="C64" s="3025"/>
      <c r="D64" s="3025"/>
      <c r="E64" s="3025"/>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row>
    <row r="65" spans="1:23" ht="43.5" x14ac:dyDescent="0.45">
      <c r="B65" s="863" t="s">
        <v>2019</v>
      </c>
      <c r="C65" s="881" t="s">
        <v>2272</v>
      </c>
      <c r="D65" s="1099" t="s">
        <v>2273</v>
      </c>
      <c r="E65" s="904" t="s">
        <v>2274</v>
      </c>
      <c r="F65" s="779"/>
      <c r="G65" s="779"/>
      <c r="H65" s="753"/>
      <c r="I65" s="753"/>
      <c r="J65" s="753"/>
      <c r="K65" s="876"/>
      <c r="L65" s="876"/>
      <c r="M65" s="753"/>
      <c r="N65" s="753"/>
      <c r="O65" s="753"/>
      <c r="P65" s="876"/>
      <c r="Q65" s="876"/>
      <c r="R65" s="876"/>
      <c r="S65" s="753"/>
      <c r="T65" s="753"/>
      <c r="U65" s="753"/>
      <c r="V65" s="753"/>
      <c r="W65" s="753"/>
    </row>
    <row r="66" spans="1:23" x14ac:dyDescent="0.35">
      <c r="B66" s="888" t="s">
        <v>2175</v>
      </c>
      <c r="C66" s="888" t="s">
        <v>2275</v>
      </c>
      <c r="D66" s="1100">
        <v>2</v>
      </c>
      <c r="E66" s="1101">
        <v>2.5</v>
      </c>
      <c r="F66" s="753"/>
      <c r="G66" s="753"/>
      <c r="H66" s="759"/>
      <c r="I66" s="880"/>
      <c r="J66" s="769"/>
      <c r="K66" s="769"/>
      <c r="L66" s="769"/>
      <c r="M66" s="770"/>
      <c r="N66" s="759"/>
      <c r="O66" s="759"/>
      <c r="P66" s="759"/>
      <c r="Q66" s="759"/>
      <c r="R66" s="759"/>
      <c r="S66" s="760"/>
      <c r="T66" s="761"/>
      <c r="U66" s="762"/>
      <c r="V66" s="763"/>
      <c r="W66" s="764"/>
    </row>
    <row r="67" spans="1:23" x14ac:dyDescent="0.35">
      <c r="B67" s="897" t="s">
        <v>2175</v>
      </c>
      <c r="C67" s="897" t="s">
        <v>2276</v>
      </c>
      <c r="D67" s="885">
        <v>2</v>
      </c>
      <c r="E67" s="1102">
        <v>7.5</v>
      </c>
      <c r="F67" s="758"/>
      <c r="G67" s="759"/>
      <c r="H67" s="759"/>
      <c r="I67" s="880"/>
      <c r="J67" s="769"/>
      <c r="K67" s="769"/>
      <c r="L67" s="769"/>
      <c r="M67" s="770"/>
      <c r="N67" s="759"/>
      <c r="O67" s="759"/>
      <c r="P67" s="759"/>
      <c r="Q67" s="759"/>
      <c r="R67" s="759"/>
      <c r="S67" s="760"/>
      <c r="T67" s="761"/>
      <c r="U67" s="762"/>
      <c r="V67" s="763"/>
      <c r="W67" s="764"/>
    </row>
    <row r="68" spans="1:23" x14ac:dyDescent="0.35">
      <c r="B68" s="978" t="s">
        <v>2175</v>
      </c>
      <c r="C68" s="978" t="s">
        <v>2277</v>
      </c>
      <c r="D68" s="1103">
        <v>2</v>
      </c>
      <c r="E68" s="1104">
        <v>17.5</v>
      </c>
      <c r="F68" s="758"/>
      <c r="G68" s="759"/>
      <c r="H68" s="759"/>
      <c r="I68" s="880"/>
      <c r="J68" s="769"/>
      <c r="K68" s="769"/>
      <c r="L68" s="769"/>
      <c r="M68" s="770"/>
      <c r="N68" s="759"/>
      <c r="O68" s="759"/>
      <c r="P68" s="759"/>
      <c r="Q68" s="759"/>
      <c r="R68" s="759"/>
      <c r="S68" s="760"/>
      <c r="T68" s="761"/>
      <c r="U68" s="762"/>
      <c r="V68" s="763"/>
      <c r="W68" s="764"/>
    </row>
    <row r="69" spans="1:23" x14ac:dyDescent="0.35">
      <c r="E69" s="758"/>
      <c r="F69" s="759"/>
      <c r="G69" s="759"/>
      <c r="H69" s="880"/>
      <c r="I69" s="769"/>
      <c r="J69" s="769"/>
      <c r="K69" s="769"/>
      <c r="L69" s="770"/>
      <c r="M69" s="759"/>
      <c r="N69" s="759"/>
      <c r="O69" s="759"/>
      <c r="P69" s="759"/>
      <c r="Q69" s="759"/>
      <c r="R69" s="760"/>
      <c r="S69" s="761"/>
      <c r="T69" s="762"/>
      <c r="U69" s="763"/>
      <c r="V69" s="764"/>
    </row>
    <row r="70" spans="1:23" ht="21" x14ac:dyDescent="0.5">
      <c r="A70" s="704" t="s">
        <v>2014</v>
      </c>
      <c r="E70" s="758"/>
      <c r="F70" s="759"/>
    </row>
    <row r="73" spans="1:23" ht="18.5" x14ac:dyDescent="0.35">
      <c r="B73" s="3026" t="s">
        <v>2038</v>
      </c>
      <c r="C73" s="3027"/>
      <c r="D73" s="3027"/>
    </row>
    <row r="74" spans="1:23" ht="29" x14ac:dyDescent="0.35">
      <c r="B74" s="863" t="s">
        <v>2278</v>
      </c>
      <c r="C74" s="863" t="s">
        <v>2253</v>
      </c>
      <c r="D74" s="882" t="s">
        <v>1947</v>
      </c>
    </row>
    <row r="75" spans="1:23" x14ac:dyDescent="0.35">
      <c r="B75" s="888" t="s">
        <v>2275</v>
      </c>
      <c r="C75" s="888" t="s">
        <v>354</v>
      </c>
      <c r="D75" s="892">
        <v>0</v>
      </c>
    </row>
    <row r="76" spans="1:23" x14ac:dyDescent="0.35">
      <c r="B76" s="897" t="s">
        <v>2275</v>
      </c>
      <c r="C76" s="897" t="s">
        <v>355</v>
      </c>
      <c r="D76" s="1088">
        <v>1</v>
      </c>
    </row>
    <row r="77" spans="1:23" x14ac:dyDescent="0.35">
      <c r="B77" s="890" t="s">
        <v>2275</v>
      </c>
      <c r="C77" s="890" t="s">
        <v>356</v>
      </c>
      <c r="D77" s="893">
        <v>1</v>
      </c>
    </row>
    <row r="78" spans="1:23" x14ac:dyDescent="0.35">
      <c r="B78" s="897" t="s">
        <v>2275</v>
      </c>
      <c r="C78" s="897" t="s">
        <v>357</v>
      </c>
      <c r="D78" s="1088">
        <v>1</v>
      </c>
    </row>
    <row r="79" spans="1:23" x14ac:dyDescent="0.35">
      <c r="B79" s="978" t="s">
        <v>2275</v>
      </c>
      <c r="C79" s="978" t="s">
        <v>358</v>
      </c>
      <c r="D79" s="894">
        <v>1</v>
      </c>
    </row>
    <row r="80" spans="1:23" x14ac:dyDescent="0.35">
      <c r="B80" s="888" t="s">
        <v>2276</v>
      </c>
      <c r="C80" s="888" t="s">
        <v>354</v>
      </c>
      <c r="D80" s="892">
        <v>0</v>
      </c>
    </row>
    <row r="81" spans="1:14" x14ac:dyDescent="0.35">
      <c r="B81" s="897" t="s">
        <v>2276</v>
      </c>
      <c r="C81" s="897" t="s">
        <v>355</v>
      </c>
      <c r="D81" s="1088">
        <v>3</v>
      </c>
    </row>
    <row r="82" spans="1:14" x14ac:dyDescent="0.35">
      <c r="B82" s="890" t="s">
        <v>2276</v>
      </c>
      <c r="C82" s="890" t="s">
        <v>356</v>
      </c>
      <c r="D82" s="893">
        <v>3</v>
      </c>
    </row>
    <row r="83" spans="1:14" x14ac:dyDescent="0.35">
      <c r="B83" s="897" t="s">
        <v>2276</v>
      </c>
      <c r="C83" s="897" t="s">
        <v>357</v>
      </c>
      <c r="D83" s="1088">
        <v>3</v>
      </c>
    </row>
    <row r="84" spans="1:14" x14ac:dyDescent="0.35">
      <c r="B84" s="978" t="s">
        <v>2276</v>
      </c>
      <c r="C84" s="978" t="s">
        <v>358</v>
      </c>
      <c r="D84" s="894">
        <v>3</v>
      </c>
    </row>
    <row r="85" spans="1:14" x14ac:dyDescent="0.35">
      <c r="B85" s="888" t="s">
        <v>2277</v>
      </c>
      <c r="C85" s="888" t="s">
        <v>354</v>
      </c>
      <c r="D85" s="892">
        <v>0</v>
      </c>
    </row>
    <row r="86" spans="1:14" x14ac:dyDescent="0.35">
      <c r="B86" s="897" t="s">
        <v>2277</v>
      </c>
      <c r="C86" s="897" t="s">
        <v>355</v>
      </c>
      <c r="D86" s="1088">
        <v>1</v>
      </c>
    </row>
    <row r="87" spans="1:14" x14ac:dyDescent="0.35">
      <c r="B87" s="890" t="s">
        <v>2277</v>
      </c>
      <c r="C87" s="890" t="s">
        <v>356</v>
      </c>
      <c r="D87" s="893">
        <v>1</v>
      </c>
    </row>
    <row r="88" spans="1:14" x14ac:dyDescent="0.35">
      <c r="B88" s="897" t="s">
        <v>2277</v>
      </c>
      <c r="C88" s="897" t="s">
        <v>357</v>
      </c>
      <c r="D88" s="1088">
        <v>1</v>
      </c>
    </row>
    <row r="89" spans="1:14" x14ac:dyDescent="0.35">
      <c r="B89" s="978" t="s">
        <v>2277</v>
      </c>
      <c r="C89" s="978" t="s">
        <v>358</v>
      </c>
      <c r="D89" s="894">
        <v>1</v>
      </c>
    </row>
    <row r="90" spans="1:14" x14ac:dyDescent="0.35">
      <c r="C90" s="680"/>
      <c r="D90" s="729"/>
    </row>
    <row r="91" spans="1:14" ht="21" x14ac:dyDescent="0.5">
      <c r="A91" s="704" t="s">
        <v>2036</v>
      </c>
    </row>
    <row r="93" spans="1:14" ht="43.5" x14ac:dyDescent="0.35">
      <c r="B93" s="899"/>
      <c r="C93" s="900"/>
      <c r="D93" s="900"/>
      <c r="E93" s="3028" t="s">
        <v>2092</v>
      </c>
      <c r="F93" s="3029"/>
      <c r="G93" s="3030"/>
      <c r="H93" s="901" t="s">
        <v>2038</v>
      </c>
      <c r="I93" s="3031" t="s">
        <v>2040</v>
      </c>
      <c r="J93" s="3031"/>
      <c r="K93" s="3031"/>
      <c r="L93" s="3031"/>
      <c r="M93" s="3031"/>
      <c r="N93" s="3031"/>
    </row>
    <row r="94" spans="1:14" ht="29" x14ac:dyDescent="0.35">
      <c r="B94" s="863" t="s">
        <v>2019</v>
      </c>
      <c r="C94" s="1105" t="s">
        <v>2279</v>
      </c>
      <c r="D94" s="1105" t="s">
        <v>2280</v>
      </c>
      <c r="E94" s="902" t="s">
        <v>2281</v>
      </c>
      <c r="F94" s="903" t="s">
        <v>2273</v>
      </c>
      <c r="G94" s="904" t="s">
        <v>2282</v>
      </c>
      <c r="H94" s="905" t="s">
        <v>1947</v>
      </c>
      <c r="I94" s="906" t="s">
        <v>2101</v>
      </c>
      <c r="J94" s="903" t="s">
        <v>2102</v>
      </c>
      <c r="K94" s="903" t="s">
        <v>2103</v>
      </c>
      <c r="L94" s="907" t="s">
        <v>2104</v>
      </c>
      <c r="M94" s="907" t="s">
        <v>2105</v>
      </c>
      <c r="N94" s="904" t="s">
        <v>2106</v>
      </c>
    </row>
    <row r="95" spans="1:14" x14ac:dyDescent="0.35">
      <c r="B95" s="888" t="s">
        <v>2175</v>
      </c>
      <c r="C95" s="888" t="s">
        <v>2275</v>
      </c>
      <c r="D95" s="888" t="s">
        <v>354</v>
      </c>
      <c r="E95" s="908">
        <f>E$66</f>
        <v>2.5</v>
      </c>
      <c r="F95" s="909">
        <f>D$66</f>
        <v>2</v>
      </c>
      <c r="G95" s="910">
        <f>C49</f>
        <v>154000</v>
      </c>
      <c r="H95" s="911">
        <f t="shared" ref="H95:H109" si="0">D75</f>
        <v>0</v>
      </c>
      <c r="I95" s="912">
        <f t="shared" ref="I95:I109" si="1">E95*F95*C$59*H95</f>
        <v>0</v>
      </c>
      <c r="J95" s="913">
        <f>H49*F95*H95</f>
        <v>0</v>
      </c>
      <c r="K95" s="914">
        <f>I49*F95*H95</f>
        <v>0</v>
      </c>
      <c r="L95" s="915">
        <f>E49*E95*G95/(F49*100000)*F95*H95</f>
        <v>0</v>
      </c>
      <c r="M95" s="916">
        <f t="shared" ref="M95:M109" si="2">IF(H95=0,0,J95/H95)</f>
        <v>0</v>
      </c>
      <c r="N95" s="916">
        <f t="shared" ref="N95:N109" si="3">IF(H95=0,0,L95/H95)</f>
        <v>0</v>
      </c>
    </row>
    <row r="96" spans="1:14" x14ac:dyDescent="0.35">
      <c r="B96" s="1106" t="s">
        <v>2175</v>
      </c>
      <c r="C96" s="1106" t="s">
        <v>2275</v>
      </c>
      <c r="D96" s="1107" t="s">
        <v>355</v>
      </c>
      <c r="E96" s="1108">
        <f>E$66</f>
        <v>2.5</v>
      </c>
      <c r="F96" s="1109">
        <f>D$66</f>
        <v>2</v>
      </c>
      <c r="G96" s="1110">
        <f>C50</f>
        <v>144000</v>
      </c>
      <c r="H96" s="1111">
        <f t="shared" si="0"/>
        <v>1</v>
      </c>
      <c r="I96" s="1112">
        <f t="shared" si="1"/>
        <v>3750</v>
      </c>
      <c r="J96" s="1113">
        <f>H50*F96*H96</f>
        <v>9932</v>
      </c>
      <c r="K96" s="1114">
        <f>I50*F96*H96</f>
        <v>1.36</v>
      </c>
      <c r="L96" s="1115">
        <f>E50*E96*G96/(F50*100000)*F96*H96</f>
        <v>3870</v>
      </c>
      <c r="M96" s="1116">
        <f t="shared" si="2"/>
        <v>9932</v>
      </c>
      <c r="N96" s="1116">
        <f t="shared" si="3"/>
        <v>3870</v>
      </c>
    </row>
    <row r="97" spans="1:14" x14ac:dyDescent="0.35">
      <c r="B97" s="888" t="s">
        <v>2175</v>
      </c>
      <c r="C97" s="888" t="s">
        <v>2275</v>
      </c>
      <c r="D97" s="890" t="s">
        <v>356</v>
      </c>
      <c r="E97" s="908">
        <f>E$66</f>
        <v>2.5</v>
      </c>
      <c r="F97" s="909">
        <f>D$66</f>
        <v>2</v>
      </c>
      <c r="G97" s="910">
        <f>C51</f>
        <v>132000</v>
      </c>
      <c r="H97" s="911">
        <f t="shared" si="0"/>
        <v>1</v>
      </c>
      <c r="I97" s="912">
        <f t="shared" si="1"/>
        <v>3750</v>
      </c>
      <c r="J97" s="913">
        <f>H51*F97*H97</f>
        <v>9932</v>
      </c>
      <c r="K97" s="914">
        <f>I51*F97*H97</f>
        <v>1.36</v>
      </c>
      <c r="L97" s="915">
        <f>E51*E97*G97/(F51*100000)*F97*H97</f>
        <v>3547.5</v>
      </c>
      <c r="M97" s="916">
        <f t="shared" si="2"/>
        <v>9932</v>
      </c>
      <c r="N97" s="916">
        <f t="shared" si="3"/>
        <v>3547.5</v>
      </c>
    </row>
    <row r="98" spans="1:14" x14ac:dyDescent="0.35">
      <c r="B98" s="1106" t="s">
        <v>2175</v>
      </c>
      <c r="C98" s="1106" t="s">
        <v>2275</v>
      </c>
      <c r="D98" s="1107" t="s">
        <v>357</v>
      </c>
      <c r="E98" s="1108">
        <f>E$66</f>
        <v>2.5</v>
      </c>
      <c r="F98" s="1109">
        <f>D$66</f>
        <v>2</v>
      </c>
      <c r="G98" s="1110">
        <f>C52</f>
        <v>102000</v>
      </c>
      <c r="H98" s="1111">
        <f t="shared" si="0"/>
        <v>1</v>
      </c>
      <c r="I98" s="1112">
        <f t="shared" si="1"/>
        <v>3750</v>
      </c>
      <c r="J98" s="1113">
        <f>H52*F98*H98</f>
        <v>9932</v>
      </c>
      <c r="K98" s="1114">
        <f>I52*F98*H98</f>
        <v>1.36</v>
      </c>
      <c r="L98" s="1115">
        <f>E52*E98*G98/(F52*100000)*F98*H98</f>
        <v>2741.25</v>
      </c>
      <c r="M98" s="1116">
        <f t="shared" si="2"/>
        <v>9932</v>
      </c>
      <c r="N98" s="1116">
        <f t="shared" si="3"/>
        <v>2741.25</v>
      </c>
    </row>
    <row r="99" spans="1:14" x14ac:dyDescent="0.35">
      <c r="B99" s="888" t="s">
        <v>2175</v>
      </c>
      <c r="C99" s="888" t="s">
        <v>2275</v>
      </c>
      <c r="D99" s="897" t="s">
        <v>358</v>
      </c>
      <c r="E99" s="908">
        <f>E$66</f>
        <v>2.5</v>
      </c>
      <c r="F99" s="909">
        <f>D$66</f>
        <v>2</v>
      </c>
      <c r="G99" s="910">
        <f>C53</f>
        <v>104000</v>
      </c>
      <c r="H99" s="911">
        <f t="shared" si="0"/>
        <v>1</v>
      </c>
      <c r="I99" s="912">
        <f t="shared" si="1"/>
        <v>3750</v>
      </c>
      <c r="J99" s="913">
        <f>H53*F99*H99</f>
        <v>9932</v>
      </c>
      <c r="K99" s="914">
        <f>I53*F99*H99</f>
        <v>1.36</v>
      </c>
      <c r="L99" s="915">
        <f>E53*E99*G99/(F53*100000)*F99*H99</f>
        <v>2795</v>
      </c>
      <c r="M99" s="916">
        <f t="shared" si="2"/>
        <v>9932</v>
      </c>
      <c r="N99" s="916">
        <f t="shared" si="3"/>
        <v>2795</v>
      </c>
    </row>
    <row r="100" spans="1:14" x14ac:dyDescent="0.35">
      <c r="B100" s="1106" t="s">
        <v>2175</v>
      </c>
      <c r="C100" s="1106" t="s">
        <v>2276</v>
      </c>
      <c r="D100" s="1107" t="s">
        <v>354</v>
      </c>
      <c r="E100" s="1108">
        <f>E$67</f>
        <v>7.5</v>
      </c>
      <c r="F100" s="1109">
        <f>D$67</f>
        <v>2</v>
      </c>
      <c r="G100" s="1110">
        <f>C49</f>
        <v>154000</v>
      </c>
      <c r="H100" s="1111">
        <f t="shared" si="0"/>
        <v>0</v>
      </c>
      <c r="I100" s="1112">
        <f t="shared" si="1"/>
        <v>0</v>
      </c>
      <c r="J100" s="1113">
        <f>H49*F100*H100</f>
        <v>0</v>
      </c>
      <c r="K100" s="1114">
        <f>I49*F100*H100</f>
        <v>0</v>
      </c>
      <c r="L100" s="1115">
        <f>E49*E100*G100/(F49*100000)*F100*H100</f>
        <v>0</v>
      </c>
      <c r="M100" s="1116">
        <f t="shared" si="2"/>
        <v>0</v>
      </c>
      <c r="N100" s="1116">
        <f t="shared" si="3"/>
        <v>0</v>
      </c>
    </row>
    <row r="101" spans="1:14" x14ac:dyDescent="0.35">
      <c r="B101" s="888" t="s">
        <v>2175</v>
      </c>
      <c r="C101" s="888" t="s">
        <v>2276</v>
      </c>
      <c r="D101" s="897" t="s">
        <v>355</v>
      </c>
      <c r="E101" s="908">
        <f>E$67</f>
        <v>7.5</v>
      </c>
      <c r="F101" s="909">
        <f>D$67</f>
        <v>2</v>
      </c>
      <c r="G101" s="910">
        <f>C50</f>
        <v>144000</v>
      </c>
      <c r="H101" s="911">
        <f t="shared" si="0"/>
        <v>3</v>
      </c>
      <c r="I101" s="912">
        <f t="shared" si="1"/>
        <v>33750</v>
      </c>
      <c r="J101" s="913">
        <f>H50*F101*H101</f>
        <v>29796</v>
      </c>
      <c r="K101" s="914">
        <f>I50*F101*H101</f>
        <v>4.08</v>
      </c>
      <c r="L101" s="915">
        <f>E50*E101*G101/(F50*100000)*F101*H101</f>
        <v>34830</v>
      </c>
      <c r="M101" s="916">
        <f t="shared" si="2"/>
        <v>9932</v>
      </c>
      <c r="N101" s="916">
        <f t="shared" si="3"/>
        <v>11610</v>
      </c>
    </row>
    <row r="102" spans="1:14" x14ac:dyDescent="0.35">
      <c r="B102" s="1106" t="s">
        <v>2175</v>
      </c>
      <c r="C102" s="1106" t="s">
        <v>2276</v>
      </c>
      <c r="D102" s="1107" t="s">
        <v>356</v>
      </c>
      <c r="E102" s="1108">
        <f>E$67</f>
        <v>7.5</v>
      </c>
      <c r="F102" s="1109">
        <f>D$67</f>
        <v>2</v>
      </c>
      <c r="G102" s="1110">
        <f>C51</f>
        <v>132000</v>
      </c>
      <c r="H102" s="1111">
        <f t="shared" si="0"/>
        <v>3</v>
      </c>
      <c r="I102" s="1112">
        <f t="shared" si="1"/>
        <v>33750</v>
      </c>
      <c r="J102" s="1113">
        <f>H51*F102*H102</f>
        <v>29796</v>
      </c>
      <c r="K102" s="1114">
        <f>I51*F102*H102</f>
        <v>4.08</v>
      </c>
      <c r="L102" s="1115">
        <f>E51*E102*G102/(F51*100000)*F102*H102</f>
        <v>31927.5</v>
      </c>
      <c r="M102" s="1116">
        <f t="shared" si="2"/>
        <v>9932</v>
      </c>
      <c r="N102" s="1116">
        <f t="shared" si="3"/>
        <v>10642.5</v>
      </c>
    </row>
    <row r="103" spans="1:14" x14ac:dyDescent="0.35">
      <c r="B103" s="888" t="s">
        <v>2175</v>
      </c>
      <c r="C103" s="888" t="s">
        <v>2276</v>
      </c>
      <c r="D103" s="897" t="s">
        <v>357</v>
      </c>
      <c r="E103" s="908">
        <f>E$67</f>
        <v>7.5</v>
      </c>
      <c r="F103" s="909">
        <f>D$67</f>
        <v>2</v>
      </c>
      <c r="G103" s="910">
        <f>C52</f>
        <v>102000</v>
      </c>
      <c r="H103" s="911">
        <f t="shared" si="0"/>
        <v>3</v>
      </c>
      <c r="I103" s="912">
        <f t="shared" si="1"/>
        <v>33750</v>
      </c>
      <c r="J103" s="913">
        <f>H52*F103*H103</f>
        <v>29796</v>
      </c>
      <c r="K103" s="914">
        <f>I52*F103*H103</f>
        <v>4.08</v>
      </c>
      <c r="L103" s="915">
        <f>E52*E103*G103/(F52*100000)*F103*H103</f>
        <v>24671.25</v>
      </c>
      <c r="M103" s="916">
        <f t="shared" si="2"/>
        <v>9932</v>
      </c>
      <c r="N103" s="916">
        <f t="shared" si="3"/>
        <v>8223.75</v>
      </c>
    </row>
    <row r="104" spans="1:14" x14ac:dyDescent="0.35">
      <c r="B104" s="1117" t="s">
        <v>2175</v>
      </c>
      <c r="C104" s="1117" t="s">
        <v>2276</v>
      </c>
      <c r="D104" s="1118" t="s">
        <v>358</v>
      </c>
      <c r="E104" s="1119">
        <f>E$67</f>
        <v>7.5</v>
      </c>
      <c r="F104" s="1120">
        <f>D$67</f>
        <v>2</v>
      </c>
      <c r="G104" s="1121">
        <f>C53</f>
        <v>104000</v>
      </c>
      <c r="H104" s="1122">
        <f t="shared" si="0"/>
        <v>3</v>
      </c>
      <c r="I104" s="1123">
        <f t="shared" si="1"/>
        <v>33750</v>
      </c>
      <c r="J104" s="1124">
        <f>H53*F104*H104</f>
        <v>29796</v>
      </c>
      <c r="K104" s="1125">
        <f>I53*F104*H104</f>
        <v>4.08</v>
      </c>
      <c r="L104" s="1126">
        <f>E53*E104*G104/(F53*100000)*F104*H104</f>
        <v>25155</v>
      </c>
      <c r="M104" s="1127">
        <f t="shared" si="2"/>
        <v>9932</v>
      </c>
      <c r="N104" s="1127">
        <f t="shared" si="3"/>
        <v>8385</v>
      </c>
    </row>
    <row r="105" spans="1:14" x14ac:dyDescent="0.35">
      <c r="B105" s="1106" t="s">
        <v>2175</v>
      </c>
      <c r="C105" s="1106" t="s">
        <v>2277</v>
      </c>
      <c r="D105" s="1107" t="s">
        <v>354</v>
      </c>
      <c r="E105" s="1108">
        <f>E$68</f>
        <v>17.5</v>
      </c>
      <c r="F105" s="1109">
        <f>D$68</f>
        <v>2</v>
      </c>
      <c r="G105" s="1110">
        <f>C49</f>
        <v>154000</v>
      </c>
      <c r="H105" s="1111">
        <f t="shared" si="0"/>
        <v>0</v>
      </c>
      <c r="I105" s="1112">
        <f t="shared" si="1"/>
        <v>0</v>
      </c>
      <c r="J105" s="1113">
        <f>H49*F105*H105</f>
        <v>0</v>
      </c>
      <c r="K105" s="1114">
        <f>I49*F105*H105</f>
        <v>0</v>
      </c>
      <c r="L105" s="1115">
        <f>E49*E105*G105/(F49*100000)*F105*H105</f>
        <v>0</v>
      </c>
      <c r="M105" s="1116">
        <f t="shared" si="2"/>
        <v>0</v>
      </c>
      <c r="N105" s="1116">
        <f t="shared" si="3"/>
        <v>0</v>
      </c>
    </row>
    <row r="106" spans="1:14" x14ac:dyDescent="0.35">
      <c r="B106" s="888" t="s">
        <v>2175</v>
      </c>
      <c r="C106" s="888" t="s">
        <v>2277</v>
      </c>
      <c r="D106" s="897" t="s">
        <v>355</v>
      </c>
      <c r="E106" s="908">
        <f>E$68</f>
        <v>17.5</v>
      </c>
      <c r="F106" s="909">
        <f>D$68</f>
        <v>2</v>
      </c>
      <c r="G106" s="910">
        <f>C50</f>
        <v>144000</v>
      </c>
      <c r="H106" s="911">
        <f t="shared" si="0"/>
        <v>1</v>
      </c>
      <c r="I106" s="912">
        <f t="shared" si="1"/>
        <v>26250</v>
      </c>
      <c r="J106" s="913">
        <f>H50*F106*H106</f>
        <v>9932</v>
      </c>
      <c r="K106" s="914">
        <f>I50*F106*H106</f>
        <v>1.36</v>
      </c>
      <c r="L106" s="915">
        <f>E50*E106*G106/(F50*100000)*F106*H106</f>
        <v>27090</v>
      </c>
      <c r="M106" s="916">
        <f t="shared" si="2"/>
        <v>9932</v>
      </c>
      <c r="N106" s="916">
        <f t="shared" si="3"/>
        <v>27090</v>
      </c>
    </row>
    <row r="107" spans="1:14" x14ac:dyDescent="0.35">
      <c r="B107" s="1106" t="s">
        <v>2175</v>
      </c>
      <c r="C107" s="1106" t="s">
        <v>2277</v>
      </c>
      <c r="D107" s="1107" t="s">
        <v>356</v>
      </c>
      <c r="E107" s="1108">
        <f>E$68</f>
        <v>17.5</v>
      </c>
      <c r="F107" s="1109">
        <f>D$68</f>
        <v>2</v>
      </c>
      <c r="G107" s="1110">
        <f>C51</f>
        <v>132000</v>
      </c>
      <c r="H107" s="1111">
        <f t="shared" si="0"/>
        <v>1</v>
      </c>
      <c r="I107" s="1112">
        <f t="shared" si="1"/>
        <v>26250</v>
      </c>
      <c r="J107" s="1113">
        <f>H51*F107*H107</f>
        <v>9932</v>
      </c>
      <c r="K107" s="1114">
        <f>I51*F107*H107</f>
        <v>1.36</v>
      </c>
      <c r="L107" s="1115">
        <f>E51*E107*G107/(F51*100000)*F107*H107</f>
        <v>24832.5</v>
      </c>
      <c r="M107" s="1116">
        <f t="shared" si="2"/>
        <v>9932</v>
      </c>
      <c r="N107" s="1116">
        <f t="shared" si="3"/>
        <v>24832.5</v>
      </c>
    </row>
    <row r="108" spans="1:14" x14ac:dyDescent="0.35">
      <c r="B108" s="888" t="s">
        <v>2175</v>
      </c>
      <c r="C108" s="888" t="s">
        <v>2277</v>
      </c>
      <c r="D108" s="897" t="s">
        <v>357</v>
      </c>
      <c r="E108" s="908">
        <f>E$68</f>
        <v>17.5</v>
      </c>
      <c r="F108" s="909">
        <f>D$68</f>
        <v>2</v>
      </c>
      <c r="G108" s="910">
        <f>C52</f>
        <v>102000</v>
      </c>
      <c r="H108" s="911">
        <f t="shared" si="0"/>
        <v>1</v>
      </c>
      <c r="I108" s="912">
        <f t="shared" si="1"/>
        <v>26250</v>
      </c>
      <c r="J108" s="913">
        <f>H52*F108*H108</f>
        <v>9932</v>
      </c>
      <c r="K108" s="914">
        <f>I52*F108*H108</f>
        <v>1.36</v>
      </c>
      <c r="L108" s="915">
        <f>E52*E108*G108/(F52*100000)*F108*H108</f>
        <v>19188.75</v>
      </c>
      <c r="M108" s="916">
        <f t="shared" si="2"/>
        <v>9932</v>
      </c>
      <c r="N108" s="916">
        <f t="shared" si="3"/>
        <v>19188.75</v>
      </c>
    </row>
    <row r="109" spans="1:14" x14ac:dyDescent="0.35">
      <c r="B109" s="1117" t="s">
        <v>2175</v>
      </c>
      <c r="C109" s="1117" t="s">
        <v>2277</v>
      </c>
      <c r="D109" s="1118" t="s">
        <v>358</v>
      </c>
      <c r="E109" s="1119">
        <f>E$68</f>
        <v>17.5</v>
      </c>
      <c r="F109" s="1120">
        <f>D$68</f>
        <v>2</v>
      </c>
      <c r="G109" s="1121">
        <f>C53</f>
        <v>104000</v>
      </c>
      <c r="H109" s="1122">
        <f t="shared" si="0"/>
        <v>1</v>
      </c>
      <c r="I109" s="1123">
        <f t="shared" si="1"/>
        <v>26250</v>
      </c>
      <c r="J109" s="1124">
        <f>H53*F109*H109</f>
        <v>9932</v>
      </c>
      <c r="K109" s="1125">
        <f>I53*F109*H109</f>
        <v>1.36</v>
      </c>
      <c r="L109" s="1126">
        <f>E53*E109*G109/(F53*100000)*F109*H109</f>
        <v>19565</v>
      </c>
      <c r="M109" s="1127">
        <f t="shared" si="2"/>
        <v>9932</v>
      </c>
      <c r="N109" s="1127">
        <f t="shared" si="3"/>
        <v>19565</v>
      </c>
    </row>
    <row r="112" spans="1:14" ht="21" x14ac:dyDescent="0.5">
      <c r="A112" s="704" t="s">
        <v>377</v>
      </c>
    </row>
    <row r="114" spans="2:3" x14ac:dyDescent="0.35">
      <c r="B114" s="899"/>
      <c r="C114" s="900"/>
    </row>
    <row r="115" spans="2:3" x14ac:dyDescent="0.35">
      <c r="B115" s="997" t="s">
        <v>2178</v>
      </c>
      <c r="C115" s="997" t="s">
        <v>2283</v>
      </c>
    </row>
    <row r="116" spans="2:3" x14ac:dyDescent="0.35">
      <c r="B116" s="995" t="s">
        <v>2284</v>
      </c>
      <c r="C116" s="1128">
        <v>1988</v>
      </c>
    </row>
    <row r="117" spans="2:3" x14ac:dyDescent="0.35">
      <c r="B117" s="996" t="s">
        <v>2285</v>
      </c>
      <c r="C117" s="1129">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AD117"/>
  <sheetViews>
    <sheetView zoomScale="70" zoomScaleNormal="70" workbookViewId="0"/>
  </sheetViews>
  <sheetFormatPr defaultColWidth="9.1796875" defaultRowHeight="14.5" x14ac:dyDescent="0.35"/>
  <cols>
    <col min="1" max="1" width="9.1796875" style="675"/>
    <col min="2" max="2" width="30.453125" style="675" customWidth="1"/>
    <col min="3" max="4" width="16" style="675" customWidth="1"/>
    <col min="5" max="5" width="20.7265625" style="675" customWidth="1"/>
    <col min="6" max="6" width="22.54296875" style="675" customWidth="1"/>
    <col min="7" max="7" width="16" style="675" customWidth="1"/>
    <col min="8" max="8" width="20.1796875" style="675" customWidth="1"/>
    <col min="9" max="9" width="29" style="675" customWidth="1"/>
    <col min="10" max="23" width="16" style="675" customWidth="1"/>
    <col min="24"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1" ht="21" x14ac:dyDescent="0.5">
      <c r="A1" s="674" t="s">
        <v>158</v>
      </c>
    </row>
    <row r="3" spans="1:11" ht="21" x14ac:dyDescent="0.5">
      <c r="A3" s="704" t="s">
        <v>2237</v>
      </c>
    </row>
    <row r="4" spans="1:11" ht="15" customHeight="1" x14ac:dyDescent="0.35">
      <c r="B4" s="735"/>
      <c r="C4" s="833"/>
      <c r="J4" s="737"/>
      <c r="K4" s="737"/>
    </row>
    <row r="5" spans="1:11" x14ac:dyDescent="0.35">
      <c r="B5" s="857" t="s">
        <v>1947</v>
      </c>
      <c r="C5" s="835">
        <f>SUM(H95:H109)</f>
        <v>20</v>
      </c>
      <c r="G5" s="675" t="s">
        <v>1960</v>
      </c>
      <c r="I5" s="1081">
        <f>C116*C6</f>
        <v>79520</v>
      </c>
    </row>
    <row r="6" spans="1:11" x14ac:dyDescent="0.35">
      <c r="B6" s="926" t="s">
        <v>1948</v>
      </c>
      <c r="C6" s="837">
        <f>SUMPRODUCT(F95:F109,H95:H109)</f>
        <v>40</v>
      </c>
      <c r="G6" s="675" t="s">
        <v>2238</v>
      </c>
      <c r="I6" s="1081">
        <f>I5/C6</f>
        <v>1988</v>
      </c>
    </row>
    <row r="7" spans="1:11" x14ac:dyDescent="0.35">
      <c r="B7" s="927" t="s">
        <v>2052</v>
      </c>
      <c r="C7" s="839">
        <f>SUM(J95:J109)</f>
        <v>198640</v>
      </c>
      <c r="D7" s="840"/>
      <c r="G7" s="675" t="s">
        <v>2154</v>
      </c>
      <c r="I7" s="1081">
        <f>I5/C7</f>
        <v>0.40032219089810711</v>
      </c>
    </row>
    <row r="8" spans="1:11" x14ac:dyDescent="0.35">
      <c r="B8" s="859" t="s">
        <v>1951</v>
      </c>
      <c r="C8" s="842">
        <f>SUM(K95:K109)</f>
        <v>27.199999999999996</v>
      </c>
      <c r="F8" s="680"/>
      <c r="G8" s="680" t="s">
        <v>2239</v>
      </c>
      <c r="H8" s="796"/>
      <c r="I8" s="1081">
        <f>I5/C9</f>
        <v>0.36110370038201522</v>
      </c>
      <c r="J8" s="698"/>
    </row>
    <row r="9" spans="1:11" x14ac:dyDescent="0.35">
      <c r="B9" s="927" t="s">
        <v>1952</v>
      </c>
      <c r="C9" s="839">
        <f>SUM(L95:L109)</f>
        <v>220213.75</v>
      </c>
      <c r="G9" s="675" t="s">
        <v>2240</v>
      </c>
      <c r="I9" s="828">
        <f>C$10/C$6*I11</f>
        <v>385.00010500000008</v>
      </c>
    </row>
    <row r="10" spans="1:11" x14ac:dyDescent="0.35">
      <c r="B10" s="859" t="s">
        <v>2053</v>
      </c>
      <c r="C10" s="843">
        <f>SUM(I95:I109)</f>
        <v>220000.06</v>
      </c>
      <c r="G10" s="675" t="s">
        <v>2241</v>
      </c>
      <c r="I10" s="828">
        <f>C$10/C$6*I12</f>
        <v>5115.0013950000002</v>
      </c>
    </row>
    <row r="11" spans="1:11" x14ac:dyDescent="0.35">
      <c r="B11" s="927" t="s">
        <v>61</v>
      </c>
      <c r="C11" s="844">
        <f>C7/$C$6</f>
        <v>4966</v>
      </c>
      <c r="D11" s="845"/>
      <c r="G11" s="675" t="s">
        <v>2242</v>
      </c>
      <c r="I11" s="1082">
        <v>7.0000000000000007E-2</v>
      </c>
    </row>
    <row r="12" spans="1:11" x14ac:dyDescent="0.35">
      <c r="B12" s="859" t="s">
        <v>62</v>
      </c>
      <c r="C12" s="846">
        <f>C8/$C$6</f>
        <v>0.67999999999999994</v>
      </c>
      <c r="G12" s="675" t="s">
        <v>2243</v>
      </c>
      <c r="I12" s="1082">
        <f>1-I11</f>
        <v>0.92999999999999994</v>
      </c>
    </row>
    <row r="13" spans="1:11" x14ac:dyDescent="0.35">
      <c r="B13" s="927" t="s">
        <v>63</v>
      </c>
      <c r="C13" s="844">
        <f>C9/$C$6</f>
        <v>5505.34375</v>
      </c>
    </row>
    <row r="14" spans="1:11" x14ac:dyDescent="0.35">
      <c r="B14" s="859" t="s">
        <v>2057</v>
      </c>
      <c r="C14" s="847">
        <f>C10/C7</f>
        <v>1.1075315142972211</v>
      </c>
    </row>
    <row r="15" spans="1:11" x14ac:dyDescent="0.35">
      <c r="B15" s="724" t="s">
        <v>1960</v>
      </c>
      <c r="C15" s="1083">
        <f>C116*C6</f>
        <v>79520</v>
      </c>
    </row>
    <row r="16" spans="1:11" x14ac:dyDescent="0.35">
      <c r="B16" s="936" t="s">
        <v>2244</v>
      </c>
      <c r="C16" s="1084">
        <f>C15/C6</f>
        <v>1988</v>
      </c>
    </row>
    <row r="17" spans="1:5" x14ac:dyDescent="0.35">
      <c r="B17" s="724" t="s">
        <v>2154</v>
      </c>
      <c r="C17" s="1083">
        <f>C15/C7</f>
        <v>0.40032219089810711</v>
      </c>
    </row>
    <row r="18" spans="1:5" x14ac:dyDescent="0.35">
      <c r="B18" s="1085" t="s">
        <v>2239</v>
      </c>
      <c r="C18" s="1084">
        <f>C15/C9</f>
        <v>0.36110370038201522</v>
      </c>
    </row>
    <row r="19" spans="1:5" x14ac:dyDescent="0.35">
      <c r="B19" s="724" t="s">
        <v>2245</v>
      </c>
      <c r="C19" s="1086">
        <f>C$10/C$6*I11</f>
        <v>385.00010500000008</v>
      </c>
    </row>
    <row r="20" spans="1:5" x14ac:dyDescent="0.35">
      <c r="B20" s="928" t="s">
        <v>2246</v>
      </c>
      <c r="C20" s="994">
        <f>C$10/C$6*I12</f>
        <v>5115.0013950000002</v>
      </c>
    </row>
    <row r="22" spans="1:5" x14ac:dyDescent="0.35">
      <c r="B22" s="850" t="s">
        <v>2061</v>
      </c>
      <c r="C22" s="729"/>
    </row>
    <row r="23" spans="1:5" ht="15" customHeight="1" x14ac:dyDescent="0.35">
      <c r="B23" s="851" t="s">
        <v>2062</v>
      </c>
      <c r="C23" s="729"/>
    </row>
    <row r="24" spans="1:5" ht="15" customHeight="1" x14ac:dyDescent="0.35">
      <c r="B24" s="834" t="s">
        <v>2063</v>
      </c>
      <c r="C24" s="852">
        <v>0.83</v>
      </c>
    </row>
    <row r="25" spans="1:5" ht="15" customHeight="1" x14ac:dyDescent="0.35">
      <c r="B25" s="841" t="s">
        <v>1965</v>
      </c>
      <c r="C25" s="842">
        <f>C24*C7</f>
        <v>164871.19999999998</v>
      </c>
      <c r="D25" s="840"/>
      <c r="E25" s="853"/>
    </row>
    <row r="26" spans="1:5" ht="15" customHeight="1" x14ac:dyDescent="0.35">
      <c r="B26" s="838" t="s">
        <v>1966</v>
      </c>
      <c r="C26" s="839">
        <f>C$24*C8</f>
        <v>22.575999999999997</v>
      </c>
    </row>
    <row r="27" spans="1:5" ht="15" customHeight="1" x14ac:dyDescent="0.35">
      <c r="B27" s="841" t="s">
        <v>1967</v>
      </c>
      <c r="C27" s="842">
        <f>C$24*C9</f>
        <v>182777.41249999998</v>
      </c>
    </row>
    <row r="28" spans="1:5" ht="15" customHeight="1" x14ac:dyDescent="0.35">
      <c r="B28" s="838" t="s">
        <v>1968</v>
      </c>
      <c r="C28" s="854">
        <f>C10/C25</f>
        <v>1.334375318430387</v>
      </c>
    </row>
    <row r="29" spans="1:5" ht="15" customHeight="1" x14ac:dyDescent="0.35">
      <c r="B29" s="855" t="s">
        <v>1970</v>
      </c>
      <c r="C29" s="856">
        <v>15</v>
      </c>
    </row>
    <row r="30" spans="1:5" ht="15" customHeight="1" x14ac:dyDescent="0.35">
      <c r="B30" s="703"/>
    </row>
    <row r="31" spans="1:5" ht="15" customHeight="1" x14ac:dyDescent="0.35">
      <c r="B31" s="703"/>
    </row>
    <row r="32" spans="1:5" ht="21" x14ac:dyDescent="0.5">
      <c r="A32" s="704" t="s">
        <v>1971</v>
      </c>
      <c r="B32" s="703"/>
    </row>
    <row r="33" spans="1:19" ht="15" customHeight="1" x14ac:dyDescent="0.35">
      <c r="B33" s="703"/>
    </row>
    <row r="34" spans="1:19" ht="15" customHeight="1" x14ac:dyDescent="0.35">
      <c r="B34" s="940" t="s">
        <v>2058</v>
      </c>
      <c r="C34" s="1087">
        <f>C7/C5</f>
        <v>9932</v>
      </c>
    </row>
    <row r="35" spans="1:19" ht="15" customHeight="1" x14ac:dyDescent="0.35">
      <c r="B35" s="936" t="s">
        <v>2156</v>
      </c>
      <c r="C35" s="1088">
        <f>C8/C5</f>
        <v>1.3599999999999999</v>
      </c>
    </row>
    <row r="36" spans="1:19" ht="15" customHeight="1" x14ac:dyDescent="0.35">
      <c r="B36" s="724" t="s">
        <v>2247</v>
      </c>
      <c r="C36" s="1089">
        <f>C9/C5</f>
        <v>11010.6875</v>
      </c>
    </row>
    <row r="37" spans="1:19" ht="15" customHeight="1" x14ac:dyDescent="0.35">
      <c r="B37" s="936" t="s">
        <v>2059</v>
      </c>
      <c r="C37" s="992">
        <f>C10/C5</f>
        <v>11000.003000000001</v>
      </c>
    </row>
    <row r="38" spans="1:19" ht="15" customHeight="1" x14ac:dyDescent="0.35">
      <c r="B38" s="724" t="s">
        <v>2248</v>
      </c>
      <c r="C38" s="1090">
        <f>C10*H11/C5</f>
        <v>0</v>
      </c>
    </row>
    <row r="39" spans="1:19" ht="15" customHeight="1" x14ac:dyDescent="0.35">
      <c r="B39" s="936" t="s">
        <v>2249</v>
      </c>
      <c r="C39" s="992">
        <f>C10*H12/C5</f>
        <v>0</v>
      </c>
    </row>
    <row r="40" spans="1:19" ht="15" customHeight="1" x14ac:dyDescent="0.35">
      <c r="B40" s="884" t="s">
        <v>2155</v>
      </c>
      <c r="C40" s="1086">
        <f>C15/C5</f>
        <v>3976</v>
      </c>
    </row>
    <row r="41" spans="1:19" ht="15" customHeight="1" x14ac:dyDescent="0.35">
      <c r="B41" s="1085" t="s">
        <v>2250</v>
      </c>
      <c r="C41" s="1091">
        <f>C7*C24/C5</f>
        <v>8243.56</v>
      </c>
    </row>
    <row r="42" spans="1:19" ht="15" customHeight="1" x14ac:dyDescent="0.35">
      <c r="B42" s="884" t="s">
        <v>2251</v>
      </c>
      <c r="C42" s="1092">
        <f>C8*C24/C5</f>
        <v>1.1287999999999998</v>
      </c>
    </row>
    <row r="43" spans="1:19" ht="15" customHeight="1" x14ac:dyDescent="0.35">
      <c r="B43" s="1093" t="s">
        <v>2252</v>
      </c>
      <c r="C43" s="1094">
        <f>C9*C24/C5</f>
        <v>9138.8706249999996</v>
      </c>
    </row>
    <row r="44" spans="1:19" ht="15" customHeight="1" x14ac:dyDescent="0.35"/>
    <row r="45" spans="1:19" ht="21" x14ac:dyDescent="0.5">
      <c r="A45" s="704" t="s">
        <v>1977</v>
      </c>
    </row>
    <row r="47" spans="1:19" ht="18.5" x14ac:dyDescent="0.45">
      <c r="B47" s="3019" t="s">
        <v>2039</v>
      </c>
      <c r="C47" s="3019"/>
      <c r="D47" s="3019"/>
      <c r="E47" s="3019"/>
      <c r="F47" s="3019"/>
      <c r="G47" s="3019"/>
      <c r="H47" s="779"/>
      <c r="I47" s="779"/>
      <c r="J47" s="779"/>
      <c r="K47" s="779"/>
      <c r="L47" s="779"/>
      <c r="M47" s="779"/>
    </row>
    <row r="48" spans="1:19" ht="60" customHeight="1" x14ac:dyDescent="0.35">
      <c r="B48" s="863" t="s">
        <v>2253</v>
      </c>
      <c r="C48" s="864" t="s">
        <v>2254</v>
      </c>
      <c r="D48" s="865" t="s">
        <v>2255</v>
      </c>
      <c r="E48" s="865" t="s">
        <v>2256</v>
      </c>
      <c r="F48" s="866" t="s">
        <v>2257</v>
      </c>
      <c r="G48" s="867" t="s">
        <v>2110</v>
      </c>
      <c r="H48" s="998" t="s">
        <v>2258</v>
      </c>
      <c r="I48" s="1077" t="s">
        <v>2259</v>
      </c>
      <c r="J48" s="698"/>
      <c r="K48" s="3020" t="s">
        <v>2260</v>
      </c>
      <c r="L48" s="3021"/>
      <c r="M48" s="3021"/>
      <c r="N48" s="3021"/>
      <c r="O48" s="3021"/>
      <c r="P48" s="3021"/>
      <c r="Q48" s="3021"/>
      <c r="R48" s="3021"/>
      <c r="S48" s="3022"/>
    </row>
    <row r="49" spans="1:30" x14ac:dyDescent="0.35">
      <c r="B49" s="995" t="s">
        <v>354</v>
      </c>
      <c r="C49" s="1095">
        <v>154000</v>
      </c>
      <c r="D49" s="1000">
        <v>7.75</v>
      </c>
      <c r="E49" s="1001">
        <v>430</v>
      </c>
      <c r="F49" s="1096">
        <v>0.8</v>
      </c>
      <c r="G49" s="1097"/>
      <c r="H49" s="1059">
        <v>4966</v>
      </c>
      <c r="I49" s="1059">
        <v>0.68</v>
      </c>
      <c r="J49" s="698"/>
      <c r="K49" s="869" t="s">
        <v>2072</v>
      </c>
      <c r="L49" s="870"/>
      <c r="M49" s="870"/>
      <c r="N49" s="870"/>
      <c r="O49" s="870"/>
      <c r="P49" s="870"/>
      <c r="Q49" s="870"/>
      <c r="R49" s="870"/>
      <c r="S49" s="871"/>
    </row>
    <row r="50" spans="1:30" x14ac:dyDescent="0.35">
      <c r="B50" s="996" t="s">
        <v>355</v>
      </c>
      <c r="C50" s="1095">
        <v>144000</v>
      </c>
      <c r="D50" s="1000">
        <v>7.75</v>
      </c>
      <c r="E50" s="1001">
        <v>430</v>
      </c>
      <c r="F50" s="1096">
        <v>0.8</v>
      </c>
      <c r="G50" s="1098"/>
      <c r="H50" s="1059">
        <v>4966</v>
      </c>
      <c r="I50" s="1059">
        <v>0.68</v>
      </c>
      <c r="J50" s="698"/>
      <c r="K50" s="873" t="s">
        <v>2261</v>
      </c>
      <c r="L50" s="698" t="s">
        <v>2262</v>
      </c>
      <c r="M50" s="698"/>
      <c r="N50" s="698"/>
      <c r="O50" s="698"/>
      <c r="P50" s="698"/>
      <c r="Q50" s="698"/>
      <c r="R50" s="698"/>
      <c r="S50" s="874"/>
    </row>
    <row r="51" spans="1:30" x14ac:dyDescent="0.35">
      <c r="B51" s="995" t="s">
        <v>356</v>
      </c>
      <c r="C51" s="1095">
        <v>132000</v>
      </c>
      <c r="D51" s="1000">
        <v>7.75</v>
      </c>
      <c r="E51" s="1001">
        <v>430</v>
      </c>
      <c r="F51" s="1096">
        <v>0.8</v>
      </c>
      <c r="G51" s="1097"/>
      <c r="H51" s="1059">
        <v>4966</v>
      </c>
      <c r="I51" s="1059">
        <v>0.68</v>
      </c>
      <c r="J51" s="698"/>
      <c r="K51" s="873" t="s">
        <v>2263</v>
      </c>
      <c r="L51" s="698" t="s">
        <v>2262</v>
      </c>
      <c r="M51" s="698"/>
      <c r="N51" s="698"/>
      <c r="O51" s="698"/>
      <c r="P51" s="698"/>
      <c r="Q51" s="698"/>
      <c r="R51" s="698"/>
      <c r="S51" s="874"/>
    </row>
    <row r="52" spans="1:30" x14ac:dyDescent="0.35">
      <c r="B52" s="996" t="s">
        <v>357</v>
      </c>
      <c r="C52" s="1095">
        <v>102000</v>
      </c>
      <c r="D52" s="1000">
        <v>7.75</v>
      </c>
      <c r="E52" s="1001">
        <v>430</v>
      </c>
      <c r="F52" s="1096">
        <v>0.8</v>
      </c>
      <c r="G52" s="1098"/>
      <c r="H52" s="1059">
        <v>4966</v>
      </c>
      <c r="I52" s="1059">
        <v>0.68</v>
      </c>
      <c r="J52" s="698"/>
      <c r="K52" s="873" t="s">
        <v>2264</v>
      </c>
      <c r="L52" s="698"/>
      <c r="M52" s="698"/>
      <c r="N52" s="698"/>
      <c r="O52" s="698"/>
      <c r="P52" s="698"/>
      <c r="Q52" s="698"/>
      <c r="R52" s="698"/>
      <c r="S52" s="874"/>
    </row>
    <row r="53" spans="1:30" x14ac:dyDescent="0.35">
      <c r="B53" s="995" t="s">
        <v>358</v>
      </c>
      <c r="C53" s="1095">
        <v>104000</v>
      </c>
      <c r="D53" s="1000">
        <v>7.75</v>
      </c>
      <c r="E53" s="1001">
        <v>430</v>
      </c>
      <c r="F53" s="1096">
        <v>0.8</v>
      </c>
      <c r="G53" s="1097"/>
      <c r="H53" s="1059">
        <v>4966</v>
      </c>
      <c r="I53" s="1059">
        <v>0.68</v>
      </c>
      <c r="J53" s="698"/>
      <c r="K53" s="869" t="s">
        <v>1990</v>
      </c>
      <c r="L53" s="870"/>
      <c r="M53" s="870"/>
      <c r="N53" s="870"/>
      <c r="O53" s="870"/>
      <c r="P53" s="870"/>
      <c r="Q53" s="870"/>
      <c r="R53" s="870"/>
      <c r="S53" s="871"/>
    </row>
    <row r="54" spans="1:30" x14ac:dyDescent="0.35">
      <c r="D54" s="739"/>
      <c r="J54" s="698"/>
      <c r="K54" s="873" t="s">
        <v>713</v>
      </c>
      <c r="L54" s="698" t="s">
        <v>1992</v>
      </c>
      <c r="M54" s="698" t="s">
        <v>2265</v>
      </c>
      <c r="N54" s="698"/>
      <c r="O54" s="698"/>
      <c r="P54" s="698"/>
      <c r="Q54" s="698"/>
      <c r="R54" s="698"/>
      <c r="S54" s="874"/>
    </row>
    <row r="55" spans="1:30" x14ac:dyDescent="0.35">
      <c r="J55" s="698"/>
      <c r="K55" s="873" t="s">
        <v>1737</v>
      </c>
      <c r="L55" s="698" t="s">
        <v>1992</v>
      </c>
      <c r="M55" s="698" t="s">
        <v>2266</v>
      </c>
      <c r="N55" s="698"/>
      <c r="O55" s="698"/>
      <c r="P55" s="698"/>
      <c r="Q55" s="698"/>
      <c r="R55" s="698"/>
      <c r="S55" s="874"/>
    </row>
    <row r="56" spans="1:30" x14ac:dyDescent="0.35">
      <c r="J56" s="698"/>
      <c r="K56" s="873" t="s">
        <v>2267</v>
      </c>
      <c r="L56" s="698" t="s">
        <v>1992</v>
      </c>
      <c r="M56" s="698" t="s">
        <v>2268</v>
      </c>
      <c r="N56" s="698"/>
      <c r="O56" s="698"/>
      <c r="P56" s="698"/>
      <c r="Q56" s="698"/>
      <c r="R56" s="698"/>
      <c r="S56" s="874"/>
    </row>
    <row r="57" spans="1:30" ht="21" x14ac:dyDescent="0.5">
      <c r="A57" s="704" t="s">
        <v>2012</v>
      </c>
      <c r="G57" s="779"/>
      <c r="H57" s="779"/>
      <c r="I57" s="779"/>
      <c r="J57" s="779"/>
      <c r="K57" s="873" t="s">
        <v>2269</v>
      </c>
      <c r="L57" s="698" t="s">
        <v>1992</v>
      </c>
      <c r="M57" s="698" t="s">
        <v>2270</v>
      </c>
      <c r="N57" s="698"/>
      <c r="O57" s="698"/>
      <c r="P57" s="698"/>
      <c r="Q57" s="698"/>
      <c r="R57" s="698"/>
      <c r="S57" s="874"/>
    </row>
    <row r="58" spans="1:30" ht="21" x14ac:dyDescent="0.5">
      <c r="A58" s="704"/>
      <c r="E58" s="876"/>
      <c r="F58" s="876"/>
      <c r="G58" s="876"/>
      <c r="H58" s="876"/>
      <c r="I58" s="753"/>
      <c r="J58" s="698"/>
      <c r="K58" s="870"/>
      <c r="L58" s="870"/>
      <c r="M58" s="870"/>
      <c r="N58" s="870"/>
      <c r="O58" s="870"/>
      <c r="P58" s="870"/>
      <c r="Q58" s="870"/>
      <c r="R58" s="870"/>
    </row>
    <row r="59" spans="1:30" x14ac:dyDescent="0.35">
      <c r="B59" s="878" t="s">
        <v>2271</v>
      </c>
      <c r="C59" s="879">
        <v>647.05899999999997</v>
      </c>
      <c r="E59" s="880"/>
      <c r="F59" s="769"/>
      <c r="G59" s="769"/>
      <c r="H59" s="880"/>
      <c r="I59" s="698"/>
      <c r="J59" s="698"/>
      <c r="K59" s="698"/>
      <c r="L59" s="698"/>
      <c r="M59" s="698"/>
      <c r="N59" s="698"/>
      <c r="O59" s="698"/>
      <c r="P59" s="698"/>
      <c r="Q59" s="698"/>
    </row>
    <row r="60" spans="1:30" x14ac:dyDescent="0.35">
      <c r="E60" s="880"/>
      <c r="F60" s="769"/>
      <c r="G60" s="769"/>
      <c r="H60" s="880"/>
      <c r="I60" s="698"/>
      <c r="J60" s="698"/>
      <c r="K60" s="698"/>
      <c r="L60" s="698"/>
      <c r="M60" s="698"/>
      <c r="N60" s="698"/>
      <c r="O60" s="698"/>
      <c r="P60" s="698"/>
      <c r="Q60" s="698"/>
    </row>
    <row r="61" spans="1:30" ht="21" x14ac:dyDescent="0.5">
      <c r="A61" s="704" t="s">
        <v>2092</v>
      </c>
      <c r="E61" s="880"/>
      <c r="F61" s="769"/>
      <c r="I61" s="698"/>
      <c r="J61" s="698"/>
      <c r="K61" s="698"/>
      <c r="L61" s="698"/>
      <c r="M61" s="698"/>
      <c r="N61" s="698"/>
      <c r="O61" s="698"/>
      <c r="P61" s="698"/>
      <c r="Q61" s="698"/>
    </row>
    <row r="62" spans="1:30" x14ac:dyDescent="0.35">
      <c r="I62" s="698"/>
      <c r="J62" s="698"/>
      <c r="K62" s="698"/>
      <c r="L62" s="698"/>
      <c r="M62" s="698"/>
      <c r="N62" s="698"/>
      <c r="O62" s="698"/>
      <c r="P62" s="698"/>
      <c r="Q62" s="698"/>
    </row>
    <row r="64" spans="1:30" ht="18.5" x14ac:dyDescent="0.45">
      <c r="B64" s="3024" t="s">
        <v>2092</v>
      </c>
      <c r="C64" s="3025"/>
      <c r="D64" s="3025"/>
      <c r="E64" s="3025"/>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row>
    <row r="65" spans="1:23" ht="43.5" x14ac:dyDescent="0.45">
      <c r="B65" s="863" t="s">
        <v>2019</v>
      </c>
      <c r="C65" s="881" t="s">
        <v>2272</v>
      </c>
      <c r="D65" s="1099" t="s">
        <v>2273</v>
      </c>
      <c r="E65" s="904" t="s">
        <v>2274</v>
      </c>
      <c r="F65" s="779"/>
      <c r="G65" s="779"/>
      <c r="H65" s="753"/>
      <c r="I65" s="753"/>
      <c r="J65" s="753"/>
      <c r="K65" s="876"/>
      <c r="L65" s="876"/>
      <c r="M65" s="753"/>
      <c r="N65" s="753"/>
      <c r="O65" s="753"/>
      <c r="P65" s="876"/>
      <c r="Q65" s="876"/>
      <c r="R65" s="876"/>
      <c r="S65" s="753"/>
      <c r="T65" s="753"/>
      <c r="U65" s="753"/>
      <c r="V65" s="753"/>
      <c r="W65" s="753"/>
    </row>
    <row r="66" spans="1:23" x14ac:dyDescent="0.35">
      <c r="B66" s="888" t="s">
        <v>2175</v>
      </c>
      <c r="C66" s="888" t="s">
        <v>2275</v>
      </c>
      <c r="D66" s="1100">
        <v>2</v>
      </c>
      <c r="E66" s="1101">
        <v>2.5</v>
      </c>
      <c r="F66" s="753"/>
      <c r="G66" s="753"/>
      <c r="H66" s="759"/>
      <c r="I66" s="880"/>
      <c r="J66" s="769"/>
      <c r="K66" s="769"/>
      <c r="L66" s="769"/>
      <c r="M66" s="770"/>
      <c r="N66" s="759"/>
      <c r="O66" s="759"/>
      <c r="P66" s="759"/>
      <c r="Q66" s="759"/>
      <c r="R66" s="759"/>
      <c r="S66" s="760"/>
      <c r="T66" s="761"/>
      <c r="U66" s="762"/>
      <c r="V66" s="763"/>
      <c r="W66" s="764"/>
    </row>
    <row r="67" spans="1:23" x14ac:dyDescent="0.35">
      <c r="B67" s="897" t="s">
        <v>2175</v>
      </c>
      <c r="C67" s="897" t="s">
        <v>2276</v>
      </c>
      <c r="D67" s="885">
        <v>2</v>
      </c>
      <c r="E67" s="1102">
        <v>7.5</v>
      </c>
      <c r="F67" s="758"/>
      <c r="G67" s="759"/>
      <c r="H67" s="759"/>
      <c r="I67" s="880"/>
      <c r="J67" s="769"/>
      <c r="K67" s="769"/>
      <c r="L67" s="769"/>
      <c r="M67" s="770"/>
      <c r="N67" s="759"/>
      <c r="O67" s="759"/>
      <c r="P67" s="759"/>
      <c r="Q67" s="759"/>
      <c r="R67" s="759"/>
      <c r="S67" s="760"/>
      <c r="T67" s="761"/>
      <c r="U67" s="762"/>
      <c r="V67" s="763"/>
      <c r="W67" s="764"/>
    </row>
    <row r="68" spans="1:23" x14ac:dyDescent="0.35">
      <c r="B68" s="978" t="s">
        <v>2175</v>
      </c>
      <c r="C68" s="978" t="s">
        <v>2277</v>
      </c>
      <c r="D68" s="1103">
        <v>2</v>
      </c>
      <c r="E68" s="1104">
        <v>17.5</v>
      </c>
      <c r="F68" s="758"/>
      <c r="G68" s="759"/>
      <c r="H68" s="759"/>
      <c r="I68" s="880"/>
      <c r="J68" s="769"/>
      <c r="K68" s="769"/>
      <c r="L68" s="769"/>
      <c r="M68" s="770"/>
      <c r="N68" s="759"/>
      <c r="O68" s="759"/>
      <c r="P68" s="759"/>
      <c r="Q68" s="759"/>
      <c r="R68" s="759"/>
      <c r="S68" s="760"/>
      <c r="T68" s="761"/>
      <c r="U68" s="762"/>
      <c r="V68" s="763"/>
      <c r="W68" s="764"/>
    </row>
    <row r="69" spans="1:23" x14ac:dyDescent="0.35">
      <c r="E69" s="758"/>
      <c r="F69" s="759"/>
      <c r="G69" s="759"/>
      <c r="H69" s="880"/>
      <c r="I69" s="769"/>
      <c r="J69" s="769"/>
      <c r="K69" s="769"/>
      <c r="L69" s="770"/>
      <c r="M69" s="759"/>
      <c r="N69" s="759"/>
      <c r="O69" s="759"/>
      <c r="P69" s="759"/>
      <c r="Q69" s="759"/>
      <c r="R69" s="760"/>
      <c r="S69" s="761"/>
      <c r="T69" s="762"/>
      <c r="U69" s="763"/>
      <c r="V69" s="764"/>
    </row>
    <row r="70" spans="1:23" ht="21" x14ac:dyDescent="0.5">
      <c r="A70" s="704" t="s">
        <v>2014</v>
      </c>
      <c r="E70" s="758"/>
      <c r="F70" s="759"/>
    </row>
    <row r="73" spans="1:23" ht="18.5" x14ac:dyDescent="0.35">
      <c r="B73" s="3026" t="s">
        <v>2038</v>
      </c>
      <c r="C73" s="3027"/>
      <c r="D73" s="3027"/>
    </row>
    <row r="74" spans="1:23" ht="29" x14ac:dyDescent="0.35">
      <c r="B74" s="863" t="s">
        <v>2278</v>
      </c>
      <c r="C74" s="863" t="s">
        <v>2253</v>
      </c>
      <c r="D74" s="882" t="s">
        <v>1947</v>
      </c>
    </row>
    <row r="75" spans="1:23" x14ac:dyDescent="0.35">
      <c r="B75" s="888" t="s">
        <v>2275</v>
      </c>
      <c r="C75" s="888" t="s">
        <v>354</v>
      </c>
      <c r="D75" s="892">
        <v>0</v>
      </c>
    </row>
    <row r="76" spans="1:23" x14ac:dyDescent="0.35">
      <c r="B76" s="897" t="s">
        <v>2275</v>
      </c>
      <c r="C76" s="897" t="s">
        <v>355</v>
      </c>
      <c r="D76" s="1088">
        <v>1</v>
      </c>
    </row>
    <row r="77" spans="1:23" x14ac:dyDescent="0.35">
      <c r="B77" s="890" t="s">
        <v>2275</v>
      </c>
      <c r="C77" s="890" t="s">
        <v>356</v>
      </c>
      <c r="D77" s="893">
        <v>1</v>
      </c>
    </row>
    <row r="78" spans="1:23" x14ac:dyDescent="0.35">
      <c r="B78" s="897" t="s">
        <v>2275</v>
      </c>
      <c r="C78" s="897" t="s">
        <v>357</v>
      </c>
      <c r="D78" s="1088">
        <v>1</v>
      </c>
    </row>
    <row r="79" spans="1:23" x14ac:dyDescent="0.35">
      <c r="B79" s="978" t="s">
        <v>2275</v>
      </c>
      <c r="C79" s="978" t="s">
        <v>358</v>
      </c>
      <c r="D79" s="894">
        <v>1</v>
      </c>
    </row>
    <row r="80" spans="1:23" x14ac:dyDescent="0.35">
      <c r="B80" s="888" t="s">
        <v>2276</v>
      </c>
      <c r="C80" s="888" t="s">
        <v>354</v>
      </c>
      <c r="D80" s="892">
        <v>0</v>
      </c>
    </row>
    <row r="81" spans="1:14" x14ac:dyDescent="0.35">
      <c r="B81" s="897" t="s">
        <v>2276</v>
      </c>
      <c r="C81" s="897" t="s">
        <v>355</v>
      </c>
      <c r="D81" s="1088">
        <v>3</v>
      </c>
    </row>
    <row r="82" spans="1:14" x14ac:dyDescent="0.35">
      <c r="B82" s="890" t="s">
        <v>2276</v>
      </c>
      <c r="C82" s="890" t="s">
        <v>356</v>
      </c>
      <c r="D82" s="893">
        <v>3</v>
      </c>
    </row>
    <row r="83" spans="1:14" x14ac:dyDescent="0.35">
      <c r="B83" s="897" t="s">
        <v>2276</v>
      </c>
      <c r="C83" s="897" t="s">
        <v>357</v>
      </c>
      <c r="D83" s="1088">
        <v>3</v>
      </c>
    </row>
    <row r="84" spans="1:14" x14ac:dyDescent="0.35">
      <c r="B84" s="978" t="s">
        <v>2276</v>
      </c>
      <c r="C84" s="978" t="s">
        <v>358</v>
      </c>
      <c r="D84" s="894">
        <v>3</v>
      </c>
    </row>
    <row r="85" spans="1:14" x14ac:dyDescent="0.35">
      <c r="B85" s="888" t="s">
        <v>2277</v>
      </c>
      <c r="C85" s="888" t="s">
        <v>354</v>
      </c>
      <c r="D85" s="892">
        <v>0</v>
      </c>
    </row>
    <row r="86" spans="1:14" x14ac:dyDescent="0.35">
      <c r="B86" s="897" t="s">
        <v>2277</v>
      </c>
      <c r="C86" s="897" t="s">
        <v>355</v>
      </c>
      <c r="D86" s="1088">
        <v>1</v>
      </c>
    </row>
    <row r="87" spans="1:14" x14ac:dyDescent="0.35">
      <c r="B87" s="890" t="s">
        <v>2277</v>
      </c>
      <c r="C87" s="890" t="s">
        <v>356</v>
      </c>
      <c r="D87" s="893">
        <v>1</v>
      </c>
    </row>
    <row r="88" spans="1:14" x14ac:dyDescent="0.35">
      <c r="B88" s="897" t="s">
        <v>2277</v>
      </c>
      <c r="C88" s="897" t="s">
        <v>357</v>
      </c>
      <c r="D88" s="1088">
        <v>1</v>
      </c>
    </row>
    <row r="89" spans="1:14" x14ac:dyDescent="0.35">
      <c r="B89" s="978" t="s">
        <v>2277</v>
      </c>
      <c r="C89" s="978" t="s">
        <v>358</v>
      </c>
      <c r="D89" s="894">
        <v>1</v>
      </c>
    </row>
    <row r="90" spans="1:14" x14ac:dyDescent="0.35">
      <c r="C90" s="680"/>
      <c r="D90" s="729"/>
    </row>
    <row r="91" spans="1:14" ht="21" x14ac:dyDescent="0.5">
      <c r="A91" s="704" t="s">
        <v>2036</v>
      </c>
    </row>
    <row r="93" spans="1:14" ht="43.5" x14ac:dyDescent="0.35">
      <c r="B93" s="899"/>
      <c r="C93" s="900"/>
      <c r="D93" s="900"/>
      <c r="E93" s="3028" t="s">
        <v>2092</v>
      </c>
      <c r="F93" s="3029"/>
      <c r="G93" s="3030"/>
      <c r="H93" s="901" t="s">
        <v>2038</v>
      </c>
      <c r="I93" s="3031" t="s">
        <v>2040</v>
      </c>
      <c r="J93" s="3031"/>
      <c r="K93" s="3031"/>
      <c r="L93" s="3031"/>
      <c r="M93" s="3031"/>
      <c r="N93" s="3031"/>
    </row>
    <row r="94" spans="1:14" ht="29" x14ac:dyDescent="0.35">
      <c r="B94" s="863" t="s">
        <v>2019</v>
      </c>
      <c r="C94" s="1105" t="s">
        <v>2279</v>
      </c>
      <c r="D94" s="1105" t="s">
        <v>2280</v>
      </c>
      <c r="E94" s="902" t="s">
        <v>2281</v>
      </c>
      <c r="F94" s="903" t="s">
        <v>2273</v>
      </c>
      <c r="G94" s="904" t="s">
        <v>2282</v>
      </c>
      <c r="H94" s="905" t="s">
        <v>1947</v>
      </c>
      <c r="I94" s="906" t="s">
        <v>2101</v>
      </c>
      <c r="J94" s="903" t="s">
        <v>2102</v>
      </c>
      <c r="K94" s="903" t="s">
        <v>2103</v>
      </c>
      <c r="L94" s="907" t="s">
        <v>2104</v>
      </c>
      <c r="M94" s="907" t="s">
        <v>2105</v>
      </c>
      <c r="N94" s="904" t="s">
        <v>2106</v>
      </c>
    </row>
    <row r="95" spans="1:14" x14ac:dyDescent="0.35">
      <c r="B95" s="888" t="s">
        <v>2175</v>
      </c>
      <c r="C95" s="888" t="s">
        <v>2275</v>
      </c>
      <c r="D95" s="888" t="s">
        <v>354</v>
      </c>
      <c r="E95" s="908">
        <f>E$66</f>
        <v>2.5</v>
      </c>
      <c r="F95" s="909">
        <f>D$66</f>
        <v>2</v>
      </c>
      <c r="G95" s="910">
        <f>C49</f>
        <v>154000</v>
      </c>
      <c r="H95" s="911">
        <f t="shared" ref="H95:H109" si="0">D75</f>
        <v>0</v>
      </c>
      <c r="I95" s="912">
        <f t="shared" ref="I95:I109" si="1">E95*F95*C$59*H95</f>
        <v>0</v>
      </c>
      <c r="J95" s="913">
        <f>H49*F95*H95</f>
        <v>0</v>
      </c>
      <c r="K95" s="914">
        <f>I49*F95*H95</f>
        <v>0</v>
      </c>
      <c r="L95" s="915">
        <f>E49*E95*G95/(F49*100000)*F95*H95</f>
        <v>0</v>
      </c>
      <c r="M95" s="916">
        <f t="shared" ref="M95:M109" si="2">IF(H95=0,0,J95/H95)</f>
        <v>0</v>
      </c>
      <c r="N95" s="916">
        <f t="shared" ref="N95:N109" si="3">IF(H95=0,0,L95/H95)</f>
        <v>0</v>
      </c>
    </row>
    <row r="96" spans="1:14" x14ac:dyDescent="0.35">
      <c r="B96" s="1106" t="s">
        <v>2175</v>
      </c>
      <c r="C96" s="1106" t="s">
        <v>2275</v>
      </c>
      <c r="D96" s="1107" t="s">
        <v>355</v>
      </c>
      <c r="E96" s="1108">
        <f>E$66</f>
        <v>2.5</v>
      </c>
      <c r="F96" s="1109">
        <f>D$66</f>
        <v>2</v>
      </c>
      <c r="G96" s="1110">
        <f>C50</f>
        <v>144000</v>
      </c>
      <c r="H96" s="1111">
        <f t="shared" si="0"/>
        <v>1</v>
      </c>
      <c r="I96" s="1112">
        <f t="shared" si="1"/>
        <v>3235.2950000000001</v>
      </c>
      <c r="J96" s="1113">
        <f>H50*F96*H96</f>
        <v>9932</v>
      </c>
      <c r="K96" s="1114">
        <f>I50*F96*H96</f>
        <v>1.36</v>
      </c>
      <c r="L96" s="1115">
        <f>E50*E96*G96/(F50*100000)*F96*H96</f>
        <v>3870</v>
      </c>
      <c r="M96" s="1116">
        <f t="shared" si="2"/>
        <v>9932</v>
      </c>
      <c r="N96" s="1116">
        <f t="shared" si="3"/>
        <v>3870</v>
      </c>
    </row>
    <row r="97" spans="1:14" x14ac:dyDescent="0.35">
      <c r="B97" s="888" t="s">
        <v>2175</v>
      </c>
      <c r="C97" s="888" t="s">
        <v>2275</v>
      </c>
      <c r="D97" s="890" t="s">
        <v>356</v>
      </c>
      <c r="E97" s="908">
        <f>E$66</f>
        <v>2.5</v>
      </c>
      <c r="F97" s="909">
        <f>D$66</f>
        <v>2</v>
      </c>
      <c r="G97" s="910">
        <f>C51</f>
        <v>132000</v>
      </c>
      <c r="H97" s="911">
        <f t="shared" si="0"/>
        <v>1</v>
      </c>
      <c r="I97" s="912">
        <f t="shared" si="1"/>
        <v>3235.2950000000001</v>
      </c>
      <c r="J97" s="913">
        <f>H51*F97*H97</f>
        <v>9932</v>
      </c>
      <c r="K97" s="914">
        <f>I51*F97*H97</f>
        <v>1.36</v>
      </c>
      <c r="L97" s="915">
        <f>E51*E97*G97/(F51*100000)*F97*H97</f>
        <v>3547.5</v>
      </c>
      <c r="M97" s="916">
        <f t="shared" si="2"/>
        <v>9932</v>
      </c>
      <c r="N97" s="916">
        <f t="shared" si="3"/>
        <v>3547.5</v>
      </c>
    </row>
    <row r="98" spans="1:14" x14ac:dyDescent="0.35">
      <c r="B98" s="1106" t="s">
        <v>2175</v>
      </c>
      <c r="C98" s="1106" t="s">
        <v>2275</v>
      </c>
      <c r="D98" s="1107" t="s">
        <v>357</v>
      </c>
      <c r="E98" s="1108">
        <f>E$66</f>
        <v>2.5</v>
      </c>
      <c r="F98" s="1109">
        <f>D$66</f>
        <v>2</v>
      </c>
      <c r="G98" s="1110">
        <f>C52</f>
        <v>102000</v>
      </c>
      <c r="H98" s="1111">
        <f t="shared" si="0"/>
        <v>1</v>
      </c>
      <c r="I98" s="1112">
        <f t="shared" si="1"/>
        <v>3235.2950000000001</v>
      </c>
      <c r="J98" s="1113">
        <f>H52*F98*H98</f>
        <v>9932</v>
      </c>
      <c r="K98" s="1114">
        <f>I52*F98*H98</f>
        <v>1.36</v>
      </c>
      <c r="L98" s="1115">
        <f>E52*E98*G98/(F52*100000)*F98*H98</f>
        <v>2741.25</v>
      </c>
      <c r="M98" s="1116">
        <f t="shared" si="2"/>
        <v>9932</v>
      </c>
      <c r="N98" s="1116">
        <f t="shared" si="3"/>
        <v>2741.25</v>
      </c>
    </row>
    <row r="99" spans="1:14" x14ac:dyDescent="0.35">
      <c r="B99" s="888" t="s">
        <v>2175</v>
      </c>
      <c r="C99" s="888" t="s">
        <v>2275</v>
      </c>
      <c r="D99" s="897" t="s">
        <v>358</v>
      </c>
      <c r="E99" s="908">
        <f>E$66</f>
        <v>2.5</v>
      </c>
      <c r="F99" s="909">
        <f>D$66</f>
        <v>2</v>
      </c>
      <c r="G99" s="910">
        <f>C53</f>
        <v>104000</v>
      </c>
      <c r="H99" s="911">
        <f t="shared" si="0"/>
        <v>1</v>
      </c>
      <c r="I99" s="912">
        <f t="shared" si="1"/>
        <v>3235.2950000000001</v>
      </c>
      <c r="J99" s="913">
        <f>H53*F99*H99</f>
        <v>9932</v>
      </c>
      <c r="K99" s="914">
        <f>I53*F99*H99</f>
        <v>1.36</v>
      </c>
      <c r="L99" s="915">
        <f>E53*E99*G99/(F53*100000)*F99*H99</f>
        <v>2795</v>
      </c>
      <c r="M99" s="916">
        <f t="shared" si="2"/>
        <v>9932</v>
      </c>
      <c r="N99" s="916">
        <f t="shared" si="3"/>
        <v>2795</v>
      </c>
    </row>
    <row r="100" spans="1:14" x14ac:dyDescent="0.35">
      <c r="B100" s="1106" t="s">
        <v>2175</v>
      </c>
      <c r="C100" s="1106" t="s">
        <v>2276</v>
      </c>
      <c r="D100" s="1107" t="s">
        <v>354</v>
      </c>
      <c r="E100" s="1108">
        <f>E$67</f>
        <v>7.5</v>
      </c>
      <c r="F100" s="1109">
        <f>D$67</f>
        <v>2</v>
      </c>
      <c r="G100" s="1110">
        <f>C49</f>
        <v>154000</v>
      </c>
      <c r="H100" s="1111">
        <f t="shared" si="0"/>
        <v>0</v>
      </c>
      <c r="I100" s="1112">
        <f t="shared" si="1"/>
        <v>0</v>
      </c>
      <c r="J100" s="1113">
        <f>H49*F100*H100</f>
        <v>0</v>
      </c>
      <c r="K100" s="1114">
        <f>I49*F100*H100</f>
        <v>0</v>
      </c>
      <c r="L100" s="1115">
        <f>E49*E100*G100/(F49*100000)*F100*H100</f>
        <v>0</v>
      </c>
      <c r="M100" s="1116">
        <f t="shared" si="2"/>
        <v>0</v>
      </c>
      <c r="N100" s="1116">
        <f t="shared" si="3"/>
        <v>0</v>
      </c>
    </row>
    <row r="101" spans="1:14" x14ac:dyDescent="0.35">
      <c r="B101" s="888" t="s">
        <v>2175</v>
      </c>
      <c r="C101" s="888" t="s">
        <v>2276</v>
      </c>
      <c r="D101" s="897" t="s">
        <v>355</v>
      </c>
      <c r="E101" s="908">
        <f>E$67</f>
        <v>7.5</v>
      </c>
      <c r="F101" s="909">
        <f>D$67</f>
        <v>2</v>
      </c>
      <c r="G101" s="910">
        <f>C50</f>
        <v>144000</v>
      </c>
      <c r="H101" s="911">
        <f t="shared" si="0"/>
        <v>3</v>
      </c>
      <c r="I101" s="912">
        <f t="shared" si="1"/>
        <v>29117.654999999999</v>
      </c>
      <c r="J101" s="913">
        <f>H50*F101*H101</f>
        <v>29796</v>
      </c>
      <c r="K101" s="914">
        <f>I50*F101*H101</f>
        <v>4.08</v>
      </c>
      <c r="L101" s="915">
        <f>E50*E101*G101/(F50*100000)*F101*H101</f>
        <v>34830</v>
      </c>
      <c r="M101" s="916">
        <f t="shared" si="2"/>
        <v>9932</v>
      </c>
      <c r="N101" s="916">
        <f t="shared" si="3"/>
        <v>11610</v>
      </c>
    </row>
    <row r="102" spans="1:14" x14ac:dyDescent="0.35">
      <c r="B102" s="1106" t="s">
        <v>2175</v>
      </c>
      <c r="C102" s="1106" t="s">
        <v>2276</v>
      </c>
      <c r="D102" s="1107" t="s">
        <v>356</v>
      </c>
      <c r="E102" s="1108">
        <f>E$67</f>
        <v>7.5</v>
      </c>
      <c r="F102" s="1109">
        <f>D$67</f>
        <v>2</v>
      </c>
      <c r="G102" s="1110">
        <f>C51</f>
        <v>132000</v>
      </c>
      <c r="H102" s="1111">
        <f t="shared" si="0"/>
        <v>3</v>
      </c>
      <c r="I102" s="1112">
        <f t="shared" si="1"/>
        <v>29117.654999999999</v>
      </c>
      <c r="J102" s="1113">
        <f>H51*F102*H102</f>
        <v>29796</v>
      </c>
      <c r="K102" s="1114">
        <f>I51*F102*H102</f>
        <v>4.08</v>
      </c>
      <c r="L102" s="1115">
        <f>E51*E102*G102/(F51*100000)*F102*H102</f>
        <v>31927.5</v>
      </c>
      <c r="M102" s="1116">
        <f t="shared" si="2"/>
        <v>9932</v>
      </c>
      <c r="N102" s="1116">
        <f t="shared" si="3"/>
        <v>10642.5</v>
      </c>
    </row>
    <row r="103" spans="1:14" x14ac:dyDescent="0.35">
      <c r="B103" s="888" t="s">
        <v>2175</v>
      </c>
      <c r="C103" s="888" t="s">
        <v>2276</v>
      </c>
      <c r="D103" s="897" t="s">
        <v>357</v>
      </c>
      <c r="E103" s="908">
        <f>E$67</f>
        <v>7.5</v>
      </c>
      <c r="F103" s="909">
        <f>D$67</f>
        <v>2</v>
      </c>
      <c r="G103" s="910">
        <f>C52</f>
        <v>102000</v>
      </c>
      <c r="H103" s="911">
        <f t="shared" si="0"/>
        <v>3</v>
      </c>
      <c r="I103" s="912">
        <f t="shared" si="1"/>
        <v>29117.654999999999</v>
      </c>
      <c r="J103" s="913">
        <f>H52*F103*H103</f>
        <v>29796</v>
      </c>
      <c r="K103" s="914">
        <f>I52*F103*H103</f>
        <v>4.08</v>
      </c>
      <c r="L103" s="915">
        <f>E52*E103*G103/(F52*100000)*F103*H103</f>
        <v>24671.25</v>
      </c>
      <c r="M103" s="916">
        <f t="shared" si="2"/>
        <v>9932</v>
      </c>
      <c r="N103" s="916">
        <f t="shared" si="3"/>
        <v>8223.75</v>
      </c>
    </row>
    <row r="104" spans="1:14" x14ac:dyDescent="0.35">
      <c r="B104" s="1117" t="s">
        <v>2175</v>
      </c>
      <c r="C104" s="1117" t="s">
        <v>2276</v>
      </c>
      <c r="D104" s="1118" t="s">
        <v>358</v>
      </c>
      <c r="E104" s="1119">
        <f>E$67</f>
        <v>7.5</v>
      </c>
      <c r="F104" s="1120">
        <f>D$67</f>
        <v>2</v>
      </c>
      <c r="G104" s="1121">
        <f>C53</f>
        <v>104000</v>
      </c>
      <c r="H104" s="1122">
        <f t="shared" si="0"/>
        <v>3</v>
      </c>
      <c r="I104" s="1123">
        <f t="shared" si="1"/>
        <v>29117.654999999999</v>
      </c>
      <c r="J104" s="1124">
        <f>H53*F104*H104</f>
        <v>29796</v>
      </c>
      <c r="K104" s="1125">
        <f>I53*F104*H104</f>
        <v>4.08</v>
      </c>
      <c r="L104" s="1126">
        <f>E53*E104*G104/(F53*100000)*F104*H104</f>
        <v>25155</v>
      </c>
      <c r="M104" s="1127">
        <f t="shared" si="2"/>
        <v>9932</v>
      </c>
      <c r="N104" s="1127">
        <f t="shared" si="3"/>
        <v>8385</v>
      </c>
    </row>
    <row r="105" spans="1:14" x14ac:dyDescent="0.35">
      <c r="B105" s="1106" t="s">
        <v>2175</v>
      </c>
      <c r="C105" s="1106" t="s">
        <v>2277</v>
      </c>
      <c r="D105" s="1107" t="s">
        <v>354</v>
      </c>
      <c r="E105" s="1108">
        <f>E$68</f>
        <v>17.5</v>
      </c>
      <c r="F105" s="1109">
        <f>D$68</f>
        <v>2</v>
      </c>
      <c r="G105" s="1110">
        <f>C49</f>
        <v>154000</v>
      </c>
      <c r="H105" s="1111">
        <f t="shared" si="0"/>
        <v>0</v>
      </c>
      <c r="I105" s="1112">
        <f t="shared" si="1"/>
        <v>0</v>
      </c>
      <c r="J105" s="1113">
        <f>H49*F105*H105</f>
        <v>0</v>
      </c>
      <c r="K105" s="1114">
        <f>I49*F105*H105</f>
        <v>0</v>
      </c>
      <c r="L105" s="1115">
        <f>E49*E105*G105/(F49*100000)*F105*H105</f>
        <v>0</v>
      </c>
      <c r="M105" s="1116">
        <f t="shared" si="2"/>
        <v>0</v>
      </c>
      <c r="N105" s="1116">
        <f t="shared" si="3"/>
        <v>0</v>
      </c>
    </row>
    <row r="106" spans="1:14" x14ac:dyDescent="0.35">
      <c r="B106" s="888" t="s">
        <v>2175</v>
      </c>
      <c r="C106" s="888" t="s">
        <v>2277</v>
      </c>
      <c r="D106" s="897" t="s">
        <v>355</v>
      </c>
      <c r="E106" s="908">
        <f>E$68</f>
        <v>17.5</v>
      </c>
      <c r="F106" s="909">
        <f>D$68</f>
        <v>2</v>
      </c>
      <c r="G106" s="910">
        <f>C50</f>
        <v>144000</v>
      </c>
      <c r="H106" s="911">
        <f t="shared" si="0"/>
        <v>1</v>
      </c>
      <c r="I106" s="912">
        <f t="shared" si="1"/>
        <v>22647.064999999999</v>
      </c>
      <c r="J106" s="913">
        <f>H50*F106*H106</f>
        <v>9932</v>
      </c>
      <c r="K106" s="914">
        <f>I50*F106*H106</f>
        <v>1.36</v>
      </c>
      <c r="L106" s="915">
        <f>E50*E106*G106/(F50*100000)*F106*H106</f>
        <v>27090</v>
      </c>
      <c r="M106" s="916">
        <f t="shared" si="2"/>
        <v>9932</v>
      </c>
      <c r="N106" s="916">
        <f t="shared" si="3"/>
        <v>27090</v>
      </c>
    </row>
    <row r="107" spans="1:14" x14ac:dyDescent="0.35">
      <c r="B107" s="1106" t="s">
        <v>2175</v>
      </c>
      <c r="C107" s="1106" t="s">
        <v>2277</v>
      </c>
      <c r="D107" s="1107" t="s">
        <v>356</v>
      </c>
      <c r="E107" s="1108">
        <f>E$68</f>
        <v>17.5</v>
      </c>
      <c r="F107" s="1109">
        <f>D$68</f>
        <v>2</v>
      </c>
      <c r="G107" s="1110">
        <f>C51</f>
        <v>132000</v>
      </c>
      <c r="H107" s="1111">
        <f t="shared" si="0"/>
        <v>1</v>
      </c>
      <c r="I107" s="1112">
        <f t="shared" si="1"/>
        <v>22647.064999999999</v>
      </c>
      <c r="J107" s="1113">
        <f>H51*F107*H107</f>
        <v>9932</v>
      </c>
      <c r="K107" s="1114">
        <f>I51*F107*H107</f>
        <v>1.36</v>
      </c>
      <c r="L107" s="1115">
        <f>E51*E107*G107/(F51*100000)*F107*H107</f>
        <v>24832.5</v>
      </c>
      <c r="M107" s="1116">
        <f t="shared" si="2"/>
        <v>9932</v>
      </c>
      <c r="N107" s="1116">
        <f t="shared" si="3"/>
        <v>24832.5</v>
      </c>
    </row>
    <row r="108" spans="1:14" x14ac:dyDescent="0.35">
      <c r="B108" s="888" t="s">
        <v>2175</v>
      </c>
      <c r="C108" s="888" t="s">
        <v>2277</v>
      </c>
      <c r="D108" s="897" t="s">
        <v>357</v>
      </c>
      <c r="E108" s="908">
        <f>E$68</f>
        <v>17.5</v>
      </c>
      <c r="F108" s="909">
        <f>D$68</f>
        <v>2</v>
      </c>
      <c r="G108" s="910">
        <f>C52</f>
        <v>102000</v>
      </c>
      <c r="H108" s="911">
        <f t="shared" si="0"/>
        <v>1</v>
      </c>
      <c r="I108" s="912">
        <f t="shared" si="1"/>
        <v>22647.064999999999</v>
      </c>
      <c r="J108" s="913">
        <f>H52*F108*H108</f>
        <v>9932</v>
      </c>
      <c r="K108" s="914">
        <f>I52*F108*H108</f>
        <v>1.36</v>
      </c>
      <c r="L108" s="915">
        <f>E52*E108*G108/(F52*100000)*F108*H108</f>
        <v>19188.75</v>
      </c>
      <c r="M108" s="916">
        <f t="shared" si="2"/>
        <v>9932</v>
      </c>
      <c r="N108" s="916">
        <f t="shared" si="3"/>
        <v>19188.75</v>
      </c>
    </row>
    <row r="109" spans="1:14" x14ac:dyDescent="0.35">
      <c r="B109" s="1117" t="s">
        <v>2175</v>
      </c>
      <c r="C109" s="1117" t="s">
        <v>2277</v>
      </c>
      <c r="D109" s="1118" t="s">
        <v>358</v>
      </c>
      <c r="E109" s="1119">
        <f>E$68</f>
        <v>17.5</v>
      </c>
      <c r="F109" s="1120">
        <f>D$68</f>
        <v>2</v>
      </c>
      <c r="G109" s="1121">
        <f>C53</f>
        <v>104000</v>
      </c>
      <c r="H109" s="1122">
        <f t="shared" si="0"/>
        <v>1</v>
      </c>
      <c r="I109" s="1123">
        <f t="shared" si="1"/>
        <v>22647.064999999999</v>
      </c>
      <c r="J109" s="1124">
        <f>H53*F109*H109</f>
        <v>9932</v>
      </c>
      <c r="K109" s="1125">
        <f>I53*F109*H109</f>
        <v>1.36</v>
      </c>
      <c r="L109" s="1126">
        <f>E53*E109*G109/(F53*100000)*F109*H109</f>
        <v>19565</v>
      </c>
      <c r="M109" s="1127">
        <f t="shared" si="2"/>
        <v>9932</v>
      </c>
      <c r="N109" s="1127">
        <f t="shared" si="3"/>
        <v>19565</v>
      </c>
    </row>
    <row r="112" spans="1:14" ht="21" x14ac:dyDescent="0.5">
      <c r="A112" s="704" t="s">
        <v>377</v>
      </c>
    </row>
    <row r="114" spans="2:3" x14ac:dyDescent="0.35">
      <c r="B114" s="899"/>
      <c r="C114" s="900"/>
    </row>
    <row r="115" spans="2:3" x14ac:dyDescent="0.35">
      <c r="B115" s="997" t="s">
        <v>2178</v>
      </c>
      <c r="C115" s="997" t="s">
        <v>2283</v>
      </c>
    </row>
    <row r="116" spans="2:3" x14ac:dyDescent="0.35">
      <c r="B116" s="995" t="s">
        <v>2284</v>
      </c>
      <c r="C116" s="1128">
        <v>1988</v>
      </c>
    </row>
    <row r="117" spans="2:3" x14ac:dyDescent="0.35">
      <c r="B117" s="996" t="s">
        <v>2285</v>
      </c>
      <c r="C117" s="1129">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Z259"/>
  <sheetViews>
    <sheetView zoomScale="70" zoomScaleNormal="70" workbookViewId="0"/>
  </sheetViews>
  <sheetFormatPr defaultColWidth="9.1796875" defaultRowHeight="14.5" x14ac:dyDescent="0.35"/>
  <cols>
    <col min="1" max="1" width="13.81640625" style="675" customWidth="1"/>
    <col min="2" max="2" width="31.1796875" style="675" customWidth="1"/>
    <col min="3" max="9" width="18.1796875" style="675" customWidth="1"/>
    <col min="10" max="10" width="11" style="675" customWidth="1"/>
    <col min="11" max="11" width="16.54296875" style="675" customWidth="1"/>
    <col min="12" max="12" width="14.81640625" style="675" customWidth="1"/>
    <col min="13" max="13" width="12.26953125" style="675" customWidth="1"/>
    <col min="14" max="14" width="13.26953125" style="675" customWidth="1"/>
    <col min="15" max="15" width="13.7265625" style="675" customWidth="1"/>
    <col min="16" max="16" width="13.1796875" style="675" customWidth="1"/>
    <col min="17" max="18" width="11" style="675" customWidth="1"/>
    <col min="19" max="19" width="10.26953125" style="675" customWidth="1"/>
    <col min="20" max="20" width="13" style="675" customWidth="1"/>
    <col min="21" max="21" width="10.81640625" style="675" customWidth="1"/>
    <col min="22" max="22" width="10.26953125" style="675" customWidth="1"/>
    <col min="23" max="27" width="9.7265625" style="675" customWidth="1"/>
    <col min="28" max="28" width="10.7265625" style="675" customWidth="1"/>
    <col min="29" max="29" width="12.26953125" style="675" customWidth="1"/>
    <col min="30" max="30" width="9.81640625" style="675" customWidth="1"/>
    <col min="31" max="31" width="10.26953125" style="675" customWidth="1"/>
    <col min="32" max="32" width="10.1796875" style="675" customWidth="1"/>
    <col min="33" max="16384" width="9.1796875" style="675"/>
  </cols>
  <sheetData>
    <row r="1" spans="1:9" ht="21" x14ac:dyDescent="0.5">
      <c r="A1" s="674" t="s">
        <v>2286</v>
      </c>
    </row>
    <row r="3" spans="1:9" ht="21" x14ac:dyDescent="0.5">
      <c r="A3" s="704" t="s">
        <v>2287</v>
      </c>
    </row>
    <row r="5" spans="1:9" ht="15" customHeight="1" x14ac:dyDescent="0.35">
      <c r="B5" s="834" t="s">
        <v>1947</v>
      </c>
      <c r="C5" s="1130">
        <f>SUM(D233:D252)</f>
        <v>32.5</v>
      </c>
      <c r="D5" s="680"/>
      <c r="E5" s="680"/>
      <c r="F5" s="680"/>
      <c r="G5" s="675" t="s">
        <v>1960</v>
      </c>
      <c r="I5" s="1081">
        <f>SUM(M233:M252)</f>
        <v>19642.676249999997</v>
      </c>
    </row>
    <row r="6" spans="1:9" ht="15" customHeight="1" x14ac:dyDescent="0.35">
      <c r="B6" s="836" t="s">
        <v>2107</v>
      </c>
      <c r="C6" s="1131">
        <f>SUM(D233:D252)</f>
        <v>32.5</v>
      </c>
      <c r="D6" s="680"/>
      <c r="E6" s="680"/>
      <c r="F6" s="680"/>
      <c r="G6" s="675" t="s">
        <v>2238</v>
      </c>
      <c r="I6" s="1081">
        <f>I5/C6</f>
        <v>604.39003846153832</v>
      </c>
    </row>
    <row r="7" spans="1:9" x14ac:dyDescent="0.35">
      <c r="B7" s="838" t="s">
        <v>2052</v>
      </c>
      <c r="C7" s="839">
        <v>0</v>
      </c>
      <c r="D7" s="683"/>
      <c r="E7" s="683"/>
      <c r="F7" s="683"/>
      <c r="G7" s="675" t="s">
        <v>2154</v>
      </c>
      <c r="I7" s="1081" t="e">
        <f>I5/C7</f>
        <v>#DIV/0!</v>
      </c>
    </row>
    <row r="8" spans="1:9" x14ac:dyDescent="0.35">
      <c r="B8" s="841" t="s">
        <v>1951</v>
      </c>
      <c r="C8" s="842">
        <v>0</v>
      </c>
      <c r="D8" s="683"/>
      <c r="E8" s="683"/>
      <c r="F8" s="683"/>
      <c r="G8" s="680" t="s">
        <v>2239</v>
      </c>
      <c r="I8" s="1081">
        <f>I5/C9</f>
        <v>0.40080164374614952</v>
      </c>
    </row>
    <row r="9" spans="1:9" x14ac:dyDescent="0.35">
      <c r="B9" s="838" t="s">
        <v>1952</v>
      </c>
      <c r="C9" s="839">
        <f>SUM(K233:K252)</f>
        <v>49008.47228670754</v>
      </c>
      <c r="D9" s="683"/>
      <c r="E9" s="683"/>
      <c r="F9" s="683"/>
      <c r="G9" s="675" t="s">
        <v>2240</v>
      </c>
      <c r="I9" s="828">
        <f>C$10/C$6*I11</f>
        <v>0</v>
      </c>
    </row>
    <row r="10" spans="1:9" x14ac:dyDescent="0.35">
      <c r="B10" s="841" t="s">
        <v>2053</v>
      </c>
      <c r="C10" s="843">
        <f>SUM(L233:L252)</f>
        <v>28399.049999999996</v>
      </c>
      <c r="D10" s="686"/>
      <c r="E10" s="686"/>
      <c r="F10" s="686"/>
      <c r="G10" s="675" t="s">
        <v>2241</v>
      </c>
      <c r="I10" s="828">
        <f>C$10/C$6*I12</f>
        <v>873.81692307692299</v>
      </c>
    </row>
    <row r="11" spans="1:9" x14ac:dyDescent="0.35">
      <c r="B11" s="838" t="s">
        <v>2054</v>
      </c>
      <c r="C11" s="844">
        <f>C7/$C$6</f>
        <v>0</v>
      </c>
      <c r="D11" s="686"/>
      <c r="E11" s="686"/>
      <c r="F11" s="686"/>
      <c r="G11" s="675" t="s">
        <v>2242</v>
      </c>
      <c r="I11" s="1082">
        <v>0</v>
      </c>
    </row>
    <row r="12" spans="1:9" x14ac:dyDescent="0.35">
      <c r="B12" s="841" t="s">
        <v>2055</v>
      </c>
      <c r="C12" s="846">
        <f>C8/$C$6</f>
        <v>0</v>
      </c>
      <c r="D12" s="686"/>
      <c r="E12" s="686"/>
      <c r="F12" s="686"/>
      <c r="G12" s="675" t="s">
        <v>2243</v>
      </c>
      <c r="I12" s="1082">
        <f>1-I11</f>
        <v>1</v>
      </c>
    </row>
    <row r="13" spans="1:9" x14ac:dyDescent="0.35">
      <c r="B13" s="838" t="s">
        <v>2056</v>
      </c>
      <c r="C13" s="1132">
        <f>C9/$C$6</f>
        <v>1507.9529934371551</v>
      </c>
      <c r="D13" s="1133"/>
      <c r="E13" s="686"/>
      <c r="F13" s="686"/>
    </row>
    <row r="14" spans="1:9" x14ac:dyDescent="0.35">
      <c r="B14" s="841" t="s">
        <v>2288</v>
      </c>
      <c r="C14" s="847">
        <f>C10/C9</f>
        <v>0.57947225601852947</v>
      </c>
      <c r="D14" s="690"/>
      <c r="E14" s="690"/>
      <c r="F14" s="690"/>
    </row>
    <row r="15" spans="1:9" x14ac:dyDescent="0.35">
      <c r="B15" s="838" t="s">
        <v>2289</v>
      </c>
      <c r="C15" s="839">
        <f>C9/C5</f>
        <v>1507.9529934371551</v>
      </c>
      <c r="D15" s="683"/>
      <c r="E15" s="683"/>
      <c r="F15" s="683"/>
    </row>
    <row r="16" spans="1:9" x14ac:dyDescent="0.35">
      <c r="B16" s="855" t="s">
        <v>2290</v>
      </c>
      <c r="C16" s="985">
        <f>C10/C5</f>
        <v>873.81692307692299</v>
      </c>
      <c r="D16" s="706"/>
      <c r="E16" s="706"/>
      <c r="F16" s="706"/>
    </row>
    <row r="17" spans="1:7" x14ac:dyDescent="0.35">
      <c r="B17" s="694" t="s">
        <v>1961</v>
      </c>
      <c r="C17" s="695"/>
      <c r="D17" s="680"/>
      <c r="E17" s="696"/>
      <c r="F17" s="680"/>
      <c r="G17" s="696"/>
    </row>
    <row r="18" spans="1:7" x14ac:dyDescent="0.35">
      <c r="B18" s="834" t="s">
        <v>2063</v>
      </c>
      <c r="C18" s="852">
        <f>1-C50+C51+C52</f>
        <v>0.8</v>
      </c>
      <c r="D18" s="680"/>
      <c r="E18" s="698"/>
      <c r="F18" s="680"/>
    </row>
    <row r="19" spans="1:7" x14ac:dyDescent="0.35">
      <c r="B19" s="841" t="s">
        <v>1965</v>
      </c>
      <c r="C19" s="842">
        <v>0</v>
      </c>
      <c r="D19" s="683"/>
      <c r="E19" s="683"/>
      <c r="F19" s="683"/>
    </row>
    <row r="20" spans="1:7" x14ac:dyDescent="0.35">
      <c r="B20" s="838" t="s">
        <v>1966</v>
      </c>
      <c r="C20" s="839">
        <v>0</v>
      </c>
      <c r="D20" s="683"/>
      <c r="E20" s="683"/>
      <c r="F20" s="683"/>
    </row>
    <row r="21" spans="1:7" x14ac:dyDescent="0.35">
      <c r="B21" s="841" t="s">
        <v>1967</v>
      </c>
      <c r="C21" s="842">
        <f>C18*C9</f>
        <v>39206.77782936603</v>
      </c>
      <c r="D21" s="683"/>
      <c r="E21" s="701"/>
      <c r="F21" s="683"/>
    </row>
    <row r="22" spans="1:7" x14ac:dyDescent="0.35">
      <c r="B22" s="838" t="s">
        <v>1969</v>
      </c>
      <c r="C22" s="854">
        <f>C10/C21</f>
        <v>0.72434032002316184</v>
      </c>
      <c r="D22" s="690"/>
      <c r="E22" s="690"/>
      <c r="F22" s="690"/>
    </row>
    <row r="23" spans="1:7" x14ac:dyDescent="0.35">
      <c r="B23" s="855" t="s">
        <v>1970</v>
      </c>
      <c r="C23" s="856">
        <v>3</v>
      </c>
      <c r="D23" s="680"/>
      <c r="E23" s="680"/>
      <c r="F23" s="680"/>
    </row>
    <row r="24" spans="1:7" x14ac:dyDescent="0.35">
      <c r="B24" s="703"/>
      <c r="C24" s="703"/>
    </row>
    <row r="25" spans="1:7" ht="58" x14ac:dyDescent="0.35">
      <c r="A25" s="1134" t="s">
        <v>2291</v>
      </c>
      <c r="B25" s="1134" t="s">
        <v>2292</v>
      </c>
      <c r="C25" s="1135" t="s">
        <v>2293</v>
      </c>
      <c r="D25" s="998" t="s">
        <v>2294</v>
      </c>
    </row>
    <row r="26" spans="1:7" x14ac:dyDescent="0.35">
      <c r="A26" s="1136" t="s">
        <v>2295</v>
      </c>
      <c r="B26" s="1136" t="s">
        <v>2296</v>
      </c>
      <c r="C26" s="986" t="s">
        <v>2297</v>
      </c>
      <c r="D26" s="1137">
        <f t="shared" ref="D26:D45" si="0">K233</f>
        <v>77.57995950920261</v>
      </c>
    </row>
    <row r="27" spans="1:7" x14ac:dyDescent="0.35">
      <c r="A27" s="1138" t="s">
        <v>2295</v>
      </c>
      <c r="B27" s="1138" t="s">
        <v>2296</v>
      </c>
      <c r="C27" s="1139" t="s">
        <v>2298</v>
      </c>
      <c r="D27" s="1140">
        <f t="shared" si="0"/>
        <v>170.94303720141014</v>
      </c>
    </row>
    <row r="28" spans="1:7" x14ac:dyDescent="0.35">
      <c r="A28" s="1141" t="s">
        <v>2295</v>
      </c>
      <c r="B28" s="1141" t="s">
        <v>2296</v>
      </c>
      <c r="C28" s="1142" t="s">
        <v>2299</v>
      </c>
      <c r="D28" s="1143">
        <f t="shared" si="0"/>
        <v>3843.1470429447932</v>
      </c>
    </row>
    <row r="29" spans="1:7" x14ac:dyDescent="0.35">
      <c r="A29" s="1138" t="s">
        <v>2295</v>
      </c>
      <c r="B29" s="1138" t="s">
        <v>2296</v>
      </c>
      <c r="C29" s="1139" t="s">
        <v>2300</v>
      </c>
      <c r="D29" s="1140">
        <f t="shared" si="0"/>
        <v>2186.0018573032289</v>
      </c>
    </row>
    <row r="30" spans="1:7" x14ac:dyDescent="0.35">
      <c r="A30" s="1144" t="s">
        <v>2295</v>
      </c>
      <c r="B30" s="1144" t="s">
        <v>2296</v>
      </c>
      <c r="C30" s="1145" t="s">
        <v>2301</v>
      </c>
      <c r="D30" s="1143">
        <f t="shared" si="0"/>
        <v>0</v>
      </c>
    </row>
    <row r="31" spans="1:7" x14ac:dyDescent="0.35">
      <c r="A31" s="1146" t="s">
        <v>2295</v>
      </c>
      <c r="B31" s="1146" t="s">
        <v>2302</v>
      </c>
      <c r="C31" s="1147" t="s">
        <v>2297</v>
      </c>
      <c r="D31" s="1140">
        <f t="shared" si="0"/>
        <v>332.48737553844217</v>
      </c>
    </row>
    <row r="32" spans="1:7" x14ac:dyDescent="0.35">
      <c r="A32" s="1144" t="s">
        <v>2295</v>
      </c>
      <c r="B32" s="1144" t="s">
        <v>2302</v>
      </c>
      <c r="C32" s="1145" t="s">
        <v>2298</v>
      </c>
      <c r="D32" s="1143">
        <f t="shared" si="0"/>
        <v>0</v>
      </c>
    </row>
    <row r="33" spans="1:4" x14ac:dyDescent="0.35">
      <c r="A33" s="1148" t="s">
        <v>2295</v>
      </c>
      <c r="B33" s="1148" t="s">
        <v>2302</v>
      </c>
      <c r="C33" s="1149" t="s">
        <v>2299</v>
      </c>
      <c r="D33" s="1140">
        <f t="shared" si="0"/>
        <v>335.65709437410322</v>
      </c>
    </row>
    <row r="34" spans="1:4" x14ac:dyDescent="0.35">
      <c r="A34" s="1150" t="s">
        <v>2295</v>
      </c>
      <c r="B34" s="1150" t="s">
        <v>2302</v>
      </c>
      <c r="C34" s="1151" t="s">
        <v>2300</v>
      </c>
      <c r="D34" s="1143">
        <f t="shared" si="0"/>
        <v>600.27568202584644</v>
      </c>
    </row>
    <row r="35" spans="1:4" x14ac:dyDescent="0.35">
      <c r="A35" s="886" t="s">
        <v>2295</v>
      </c>
      <c r="B35" s="886" t="s">
        <v>2302</v>
      </c>
      <c r="C35" s="1152" t="s">
        <v>2301</v>
      </c>
      <c r="D35" s="1153">
        <f t="shared" si="0"/>
        <v>0</v>
      </c>
    </row>
    <row r="36" spans="1:4" x14ac:dyDescent="0.35">
      <c r="A36" s="1136" t="s">
        <v>2303</v>
      </c>
      <c r="B36" s="1136" t="s">
        <v>2296</v>
      </c>
      <c r="C36" s="986" t="s">
        <v>2297</v>
      </c>
      <c r="D36" s="1154">
        <f t="shared" si="0"/>
        <v>503.69717233656155</v>
      </c>
    </row>
    <row r="37" spans="1:4" x14ac:dyDescent="0.35">
      <c r="A37" s="1138" t="s">
        <v>2303</v>
      </c>
      <c r="B37" s="1138" t="s">
        <v>2296</v>
      </c>
      <c r="C37" s="1139" t="s">
        <v>2298</v>
      </c>
      <c r="D37" s="1155">
        <f t="shared" si="0"/>
        <v>873.80509461864381</v>
      </c>
    </row>
    <row r="38" spans="1:4" x14ac:dyDescent="0.35">
      <c r="A38" s="1141" t="s">
        <v>2303</v>
      </c>
      <c r="B38" s="1141" t="s">
        <v>2296</v>
      </c>
      <c r="C38" s="1142" t="s">
        <v>2299</v>
      </c>
      <c r="D38" s="1156">
        <f t="shared" si="0"/>
        <v>21455.747551372879</v>
      </c>
    </row>
    <row r="39" spans="1:4" x14ac:dyDescent="0.35">
      <c r="A39" s="1138" t="s">
        <v>2303</v>
      </c>
      <c r="B39" s="1138" t="s">
        <v>2296</v>
      </c>
      <c r="C39" s="1139" t="s">
        <v>2300</v>
      </c>
      <c r="D39" s="1155">
        <f t="shared" si="0"/>
        <v>12511.399763299029</v>
      </c>
    </row>
    <row r="40" spans="1:4" x14ac:dyDescent="0.35">
      <c r="A40" s="1144" t="s">
        <v>2303</v>
      </c>
      <c r="B40" s="1144" t="s">
        <v>2296</v>
      </c>
      <c r="C40" s="1145" t="s">
        <v>2301</v>
      </c>
      <c r="D40" s="1157">
        <f t="shared" si="0"/>
        <v>0</v>
      </c>
    </row>
    <row r="41" spans="1:4" x14ac:dyDescent="0.35">
      <c r="A41" s="1146" t="s">
        <v>2303</v>
      </c>
      <c r="B41" s="1146" t="s">
        <v>2302</v>
      </c>
      <c r="C41" s="1147" t="s">
        <v>2297</v>
      </c>
      <c r="D41" s="1158">
        <f t="shared" si="0"/>
        <v>1737.7552445611379</v>
      </c>
    </row>
    <row r="42" spans="1:4" x14ac:dyDescent="0.35">
      <c r="A42" s="1144" t="s">
        <v>2303</v>
      </c>
      <c r="B42" s="1144" t="s">
        <v>2302</v>
      </c>
      <c r="C42" s="1145" t="s">
        <v>2298</v>
      </c>
      <c r="D42" s="1157">
        <f t="shared" si="0"/>
        <v>0</v>
      </c>
    </row>
    <row r="43" spans="1:4" x14ac:dyDescent="0.35">
      <c r="A43" s="1148" t="s">
        <v>2303</v>
      </c>
      <c r="B43" s="1148" t="s">
        <v>2302</v>
      </c>
      <c r="C43" s="1149" t="s">
        <v>2299</v>
      </c>
      <c r="D43" s="1159">
        <f t="shared" si="0"/>
        <v>1094.9938529055689</v>
      </c>
    </row>
    <row r="44" spans="1:4" x14ac:dyDescent="0.35">
      <c r="A44" s="1150" t="s">
        <v>2303</v>
      </c>
      <c r="B44" s="1150" t="s">
        <v>2302</v>
      </c>
      <c r="C44" s="1151" t="s">
        <v>2300</v>
      </c>
      <c r="D44" s="1160">
        <f t="shared" si="0"/>
        <v>3284.9815587167063</v>
      </c>
    </row>
    <row r="45" spans="1:4" x14ac:dyDescent="0.35">
      <c r="A45" s="886" t="s">
        <v>2303</v>
      </c>
      <c r="B45" s="886" t="s">
        <v>2302</v>
      </c>
      <c r="C45" s="1152" t="s">
        <v>2301</v>
      </c>
      <c r="D45" s="1161">
        <f t="shared" si="0"/>
        <v>0</v>
      </c>
    </row>
    <row r="46" spans="1:4" x14ac:dyDescent="0.35">
      <c r="B46" s="703"/>
      <c r="C46" s="703"/>
    </row>
    <row r="47" spans="1:4" ht="21" x14ac:dyDescent="0.5">
      <c r="A47" s="704" t="s">
        <v>2064</v>
      </c>
      <c r="B47" s="703"/>
      <c r="C47" s="703"/>
    </row>
    <row r="49" spans="1:6" ht="15" customHeight="1" x14ac:dyDescent="0.35">
      <c r="B49" s="3004" t="s">
        <v>2065</v>
      </c>
      <c r="C49" s="3005"/>
    </row>
    <row r="50" spans="1:6" x14ac:dyDescent="0.35">
      <c r="B50" s="857" t="s">
        <v>1416</v>
      </c>
      <c r="C50" s="858">
        <v>0.4</v>
      </c>
    </row>
    <row r="51" spans="1:6" x14ac:dyDescent="0.35">
      <c r="B51" s="859" t="s">
        <v>2066</v>
      </c>
      <c r="C51" s="860">
        <v>0.2</v>
      </c>
    </row>
    <row r="52" spans="1:6" x14ac:dyDescent="0.35">
      <c r="B52" s="861" t="s">
        <v>2067</v>
      </c>
      <c r="C52" s="862">
        <v>0</v>
      </c>
    </row>
    <row r="54" spans="1:6" ht="21" x14ac:dyDescent="0.5">
      <c r="A54" s="704" t="s">
        <v>1977</v>
      </c>
    </row>
    <row r="56" spans="1:6" ht="18" customHeight="1" x14ac:dyDescent="0.35">
      <c r="B56" s="3009" t="s">
        <v>2304</v>
      </c>
      <c r="C56" s="3010"/>
      <c r="D56" s="3011"/>
    </row>
    <row r="57" spans="1:6" ht="58" x14ac:dyDescent="0.35">
      <c r="B57" s="1162" t="s">
        <v>2292</v>
      </c>
      <c r="C57" s="1163" t="s">
        <v>2305</v>
      </c>
      <c r="D57" s="1163" t="s">
        <v>2306</v>
      </c>
      <c r="E57" s="1163" t="s">
        <v>2307</v>
      </c>
      <c r="F57" s="1163" t="s">
        <v>2308</v>
      </c>
    </row>
    <row r="58" spans="1:6" x14ac:dyDescent="0.35">
      <c r="B58" s="1136" t="s">
        <v>2296</v>
      </c>
      <c r="C58" s="986" t="s">
        <v>2297</v>
      </c>
      <c r="D58" s="1164">
        <v>0.82</v>
      </c>
      <c r="E58" s="986">
        <v>0</v>
      </c>
      <c r="F58" s="1165">
        <v>8766</v>
      </c>
    </row>
    <row r="59" spans="1:6" x14ac:dyDescent="0.35">
      <c r="B59" s="1138" t="s">
        <v>2296</v>
      </c>
      <c r="C59" s="1139" t="s">
        <v>2298</v>
      </c>
      <c r="D59" s="1166">
        <v>0.8</v>
      </c>
      <c r="E59" s="1139">
        <v>0</v>
      </c>
      <c r="F59" s="1167">
        <v>8766</v>
      </c>
    </row>
    <row r="60" spans="1:6" x14ac:dyDescent="0.35">
      <c r="B60" s="1141" t="s">
        <v>2296</v>
      </c>
      <c r="C60" s="1142" t="s">
        <v>2299</v>
      </c>
      <c r="D60" s="1168">
        <v>0.8</v>
      </c>
      <c r="E60" s="1142">
        <v>0</v>
      </c>
      <c r="F60" s="1167">
        <v>8766</v>
      </c>
    </row>
    <row r="61" spans="1:6" x14ac:dyDescent="0.35">
      <c r="B61" s="1138" t="s">
        <v>2296</v>
      </c>
      <c r="C61" s="1139" t="s">
        <v>2300</v>
      </c>
      <c r="D61" s="1166">
        <v>0.8</v>
      </c>
      <c r="E61" s="1139">
        <v>0</v>
      </c>
      <c r="F61" s="1167">
        <v>8766</v>
      </c>
    </row>
    <row r="62" spans="1:6" x14ac:dyDescent="0.35">
      <c r="B62" s="1144" t="s">
        <v>2296</v>
      </c>
      <c r="C62" s="1145" t="s">
        <v>2301</v>
      </c>
      <c r="D62" s="1169">
        <v>0.8</v>
      </c>
      <c r="E62" s="1145">
        <v>0</v>
      </c>
      <c r="F62" s="1167">
        <v>8766</v>
      </c>
    </row>
    <row r="63" spans="1:6" x14ac:dyDescent="0.35">
      <c r="B63" s="1146" t="s">
        <v>2302</v>
      </c>
      <c r="C63" s="1147" t="s">
        <v>2297</v>
      </c>
      <c r="D63" s="1170">
        <v>0.8</v>
      </c>
      <c r="E63" s="1171">
        <v>0.41899999999999998</v>
      </c>
      <c r="F63" s="1172">
        <v>8766</v>
      </c>
    </row>
    <row r="64" spans="1:6" x14ac:dyDescent="0.35">
      <c r="B64" s="1144" t="s">
        <v>2302</v>
      </c>
      <c r="C64" s="1145" t="s">
        <v>2298</v>
      </c>
      <c r="D64" s="1169">
        <v>0.79</v>
      </c>
      <c r="E64" s="1173">
        <v>0.41899999999999998</v>
      </c>
      <c r="F64" s="1174">
        <v>8766</v>
      </c>
    </row>
    <row r="65" spans="2:18" x14ac:dyDescent="0.35">
      <c r="B65" s="1148" t="s">
        <v>2302</v>
      </c>
      <c r="C65" s="1149" t="s">
        <v>2299</v>
      </c>
      <c r="D65" s="1175">
        <v>0.79</v>
      </c>
      <c r="E65" s="1176">
        <v>0.41899999999999998</v>
      </c>
      <c r="F65" s="1177">
        <v>8766</v>
      </c>
    </row>
    <row r="66" spans="2:18" x14ac:dyDescent="0.35">
      <c r="B66" s="1150" t="s">
        <v>2302</v>
      </c>
      <c r="C66" s="1151" t="s">
        <v>2300</v>
      </c>
      <c r="D66" s="1178">
        <v>0.79</v>
      </c>
      <c r="E66" s="1176">
        <v>0.41899999999999998</v>
      </c>
      <c r="F66" s="1177">
        <v>8766</v>
      </c>
    </row>
    <row r="67" spans="2:18" x14ac:dyDescent="0.35">
      <c r="B67" s="886" t="s">
        <v>2302</v>
      </c>
      <c r="C67" s="1152" t="s">
        <v>2301</v>
      </c>
      <c r="D67" s="1179">
        <v>0.79</v>
      </c>
      <c r="E67" s="1180">
        <v>0.41899999999999998</v>
      </c>
      <c r="F67" s="1181">
        <v>8766</v>
      </c>
    </row>
    <row r="68" spans="2:18" x14ac:dyDescent="0.35">
      <c r="M68" s="698"/>
    </row>
    <row r="69" spans="2:18" ht="18.5" x14ac:dyDescent="0.45">
      <c r="C69" s="3033" t="s">
        <v>3904</v>
      </c>
      <c r="D69" s="3034"/>
      <c r="E69" s="3034"/>
      <c r="F69" s="3034"/>
      <c r="G69" s="3034"/>
      <c r="H69" s="3035"/>
    </row>
    <row r="70" spans="2:18" ht="30" customHeight="1" x14ac:dyDescent="0.35">
      <c r="B70" s="997" t="s">
        <v>2019</v>
      </c>
      <c r="C70" s="1182" t="s">
        <v>2309</v>
      </c>
      <c r="D70" s="1183" t="s">
        <v>2310</v>
      </c>
      <c r="E70" s="1183" t="s">
        <v>2311</v>
      </c>
      <c r="F70" s="1183" t="s">
        <v>2312</v>
      </c>
      <c r="G70" s="1184" t="s">
        <v>2313</v>
      </c>
      <c r="H70" s="1185" t="s">
        <v>2314</v>
      </c>
      <c r="J70" s="3036" t="s">
        <v>2315</v>
      </c>
      <c r="K70" s="3037"/>
      <c r="L70" s="3037"/>
      <c r="M70" s="3037"/>
      <c r="N70" s="3037"/>
      <c r="O70" s="3037"/>
      <c r="P70" s="3037"/>
      <c r="Q70" s="3037"/>
      <c r="R70" s="3038"/>
    </row>
    <row r="71" spans="2:18" x14ac:dyDescent="0.35">
      <c r="B71" s="1136" t="s">
        <v>2180</v>
      </c>
      <c r="C71" s="1186">
        <v>1787</v>
      </c>
      <c r="D71" s="1187">
        <v>1831</v>
      </c>
      <c r="E71" s="1187">
        <v>1635</v>
      </c>
      <c r="F71" s="1187">
        <v>1089</v>
      </c>
      <c r="G71" s="1188">
        <v>1669</v>
      </c>
      <c r="H71" s="1189">
        <f t="array" ref="H71">SUMPRODUCT(C71:G71,TRANSPOSE($C$127:$C$131))</f>
        <v>1621.8936170212764</v>
      </c>
      <c r="J71" s="869" t="s">
        <v>1981</v>
      </c>
      <c r="K71" s="870"/>
      <c r="L71" s="870"/>
      <c r="M71" s="870"/>
      <c r="N71" s="870"/>
      <c r="O71" s="870"/>
      <c r="P71" s="870"/>
      <c r="Q71" s="870"/>
      <c r="R71" s="871"/>
    </row>
    <row r="72" spans="2:18" x14ac:dyDescent="0.35">
      <c r="B72" s="1148" t="s">
        <v>2071</v>
      </c>
      <c r="C72" s="2722">
        <v>1683</v>
      </c>
      <c r="D72" s="2723">
        <v>1646</v>
      </c>
      <c r="E72" s="2723">
        <v>1446</v>
      </c>
      <c r="F72" s="2723">
        <v>1063</v>
      </c>
      <c r="G72" s="2724">
        <v>1277</v>
      </c>
      <c r="H72" s="2719">
        <f t="array" ref="H72">SUMPRODUCT(C72:G72,TRANSPOSE($C$127:$C$131))</f>
        <v>1447.446808510638</v>
      </c>
      <c r="J72" s="873" t="s">
        <v>2316</v>
      </c>
      <c r="K72" s="698"/>
      <c r="L72" s="698"/>
      <c r="M72" s="698"/>
      <c r="N72" s="698"/>
      <c r="O72" s="698" t="s">
        <v>2317</v>
      </c>
      <c r="P72" s="698"/>
      <c r="Q72" s="698"/>
      <c r="R72" s="874"/>
    </row>
    <row r="73" spans="2:18" x14ac:dyDescent="0.35">
      <c r="B73" s="2683" t="s">
        <v>3906</v>
      </c>
      <c r="C73" s="2684">
        <v>2981</v>
      </c>
      <c r="D73" s="2684">
        <v>2950</v>
      </c>
      <c r="E73" s="2684">
        <v>2694</v>
      </c>
      <c r="F73" s="2684">
        <v>2368</v>
      </c>
      <c r="G73" s="2684">
        <v>2437</v>
      </c>
      <c r="H73" s="2720">
        <f t="array" ref="H73">SUMPRODUCT(C73:G73,TRANSPOSE($C$127:$C$131))</f>
        <v>2709.8297872340422</v>
      </c>
      <c r="J73" s="873" t="s">
        <v>2318</v>
      </c>
      <c r="K73" s="698"/>
      <c r="L73" s="698"/>
      <c r="M73" s="698"/>
      <c r="N73" s="698"/>
      <c r="O73" s="698" t="s">
        <v>2319</v>
      </c>
      <c r="P73" s="698"/>
      <c r="Q73" s="698"/>
      <c r="R73" s="874"/>
    </row>
    <row r="74" spans="2:18" x14ac:dyDescent="0.35">
      <c r="B74" s="2680" t="s">
        <v>2157</v>
      </c>
      <c r="C74" s="2681">
        <v>1256</v>
      </c>
      <c r="D74" s="2681">
        <v>1293</v>
      </c>
      <c r="E74" s="2681">
        <v>1138</v>
      </c>
      <c r="F74" s="2681">
        <v>1116</v>
      </c>
      <c r="G74" s="2681">
        <v>1131</v>
      </c>
      <c r="H74" s="2720">
        <f t="array" ref="H74">SUMPRODUCT(C74:G74,TRANSPOSE($C$127:$C$131))</f>
        <v>1162.5106382978722</v>
      </c>
      <c r="J74" s="873"/>
      <c r="K74" s="1193"/>
      <c r="L74" s="1193"/>
      <c r="M74" s="698"/>
      <c r="N74" s="698"/>
      <c r="O74" s="698"/>
      <c r="P74" s="698"/>
      <c r="Q74" s="698"/>
      <c r="R74" s="874"/>
    </row>
    <row r="75" spans="2:18" x14ac:dyDescent="0.35">
      <c r="B75" s="1148" t="s">
        <v>2158</v>
      </c>
      <c r="C75" s="2722">
        <v>1481</v>
      </c>
      <c r="D75" s="2723">
        <v>1368</v>
      </c>
      <c r="E75" s="2723">
        <v>1214</v>
      </c>
      <c r="F75" s="2723">
        <v>871</v>
      </c>
      <c r="G75" s="2724">
        <v>973</v>
      </c>
      <c r="H75" s="2721">
        <f t="array" ref="H75">SUMPRODUCT(C75:G75,TRANSPOSE($C$127:$C$131))</f>
        <v>1211.0212765957444</v>
      </c>
      <c r="J75" s="873"/>
      <c r="K75" s="1193"/>
      <c r="L75" s="1193"/>
      <c r="M75" s="2686"/>
      <c r="N75" s="2686"/>
      <c r="O75" s="2686"/>
      <c r="P75" s="2686"/>
      <c r="Q75" s="2686"/>
      <c r="R75" s="874"/>
    </row>
    <row r="76" spans="2:18" x14ac:dyDescent="0.35">
      <c r="B76" s="2683" t="s">
        <v>3907</v>
      </c>
      <c r="C76" s="2684">
        <v>2848</v>
      </c>
      <c r="D76" s="2684">
        <v>2947</v>
      </c>
      <c r="E76" s="2684">
        <v>2568</v>
      </c>
      <c r="F76" s="2684">
        <v>2362</v>
      </c>
      <c r="G76" s="2684">
        <v>2516</v>
      </c>
      <c r="H76" s="2720">
        <f t="array" ref="H76">SUMPRODUCT(C76:G76,TRANSPOSE($C$127:$C$131))</f>
        <v>2614.9787234042551</v>
      </c>
      <c r="J76" s="873"/>
      <c r="K76" s="1193"/>
      <c r="L76" s="1193"/>
      <c r="M76" s="698"/>
      <c r="N76" s="698"/>
      <c r="O76" s="698"/>
      <c r="P76" s="698"/>
      <c r="Q76" s="698"/>
      <c r="R76" s="874"/>
    </row>
    <row r="77" spans="2:18" x14ac:dyDescent="0.35">
      <c r="B77" s="2680" t="s">
        <v>2028</v>
      </c>
      <c r="C77" s="2681">
        <v>1614</v>
      </c>
      <c r="D77" s="2681">
        <v>1603</v>
      </c>
      <c r="E77" s="2681">
        <v>1409</v>
      </c>
      <c r="F77" s="2681">
        <v>1209</v>
      </c>
      <c r="G77" s="2681">
        <v>1269</v>
      </c>
      <c r="H77" s="2720">
        <f t="array" ref="H77">SUMPRODUCT(C77:G77,TRANSPOSE($C$127:$C$131))</f>
        <v>1425.0000000000002</v>
      </c>
      <c r="J77" s="1194"/>
      <c r="K77" s="1195"/>
      <c r="L77" s="1195"/>
      <c r="M77" s="698"/>
      <c r="N77" s="698"/>
      <c r="O77" s="698"/>
      <c r="P77" s="698"/>
      <c r="Q77" s="698"/>
      <c r="R77" s="874"/>
    </row>
    <row r="78" spans="2:18" x14ac:dyDescent="0.35">
      <c r="B78" s="1146" t="s">
        <v>2109</v>
      </c>
      <c r="C78" s="1190">
        <v>985</v>
      </c>
      <c r="D78" s="1191">
        <v>969</v>
      </c>
      <c r="E78" s="1191">
        <v>852</v>
      </c>
      <c r="F78" s="1191">
        <v>680</v>
      </c>
      <c r="G78" s="1192">
        <v>752</v>
      </c>
      <c r="H78" s="2721">
        <f t="array" ref="H78">SUMPRODUCT(C78:G78,TRANSPOSE($C$127:$C$131))</f>
        <v>857.27659574468078</v>
      </c>
      <c r="J78" s="1194"/>
      <c r="K78" s="1193"/>
      <c r="L78" s="1193"/>
      <c r="M78" s="698"/>
      <c r="N78" s="698"/>
      <c r="O78" s="698"/>
      <c r="P78" s="698"/>
      <c r="Q78" s="698"/>
      <c r="R78" s="874"/>
    </row>
    <row r="79" spans="2:18" x14ac:dyDescent="0.35">
      <c r="B79" s="2680" t="s">
        <v>2026</v>
      </c>
      <c r="C79" s="2681">
        <v>1467</v>
      </c>
      <c r="D79" s="2681">
        <v>1551</v>
      </c>
      <c r="E79" s="2681">
        <v>1364</v>
      </c>
      <c r="F79" s="2681">
        <v>1367</v>
      </c>
      <c r="G79" s="2681">
        <v>1375</v>
      </c>
      <c r="H79" s="2720">
        <f t="array" ref="H79">SUMPRODUCT(C79:G79,TRANSPOSE($C$127:$C$131))</f>
        <v>1396.0851063829787</v>
      </c>
      <c r="J79" s="1194"/>
      <c r="K79" s="1193"/>
      <c r="L79" s="1193"/>
      <c r="M79" s="698"/>
      <c r="N79" s="698"/>
      <c r="O79" s="698"/>
      <c r="P79" s="698"/>
      <c r="Q79" s="698"/>
      <c r="R79" s="874"/>
    </row>
    <row r="80" spans="2:18" x14ac:dyDescent="0.35">
      <c r="B80" s="2680" t="s">
        <v>2075</v>
      </c>
      <c r="C80" s="2681">
        <v>1446</v>
      </c>
      <c r="D80" s="2681">
        <v>1526</v>
      </c>
      <c r="E80" s="2681">
        <v>1452</v>
      </c>
      <c r="F80" s="2681">
        <v>1553</v>
      </c>
      <c r="G80" s="2681">
        <v>1574</v>
      </c>
      <c r="H80" s="2720">
        <f t="array" ref="H80">SUMPRODUCT(C80:G80,TRANSPOSE($C$127:$C$131))</f>
        <v>1473.1914893617022</v>
      </c>
      <c r="J80" s="1196"/>
      <c r="K80" s="1197"/>
      <c r="L80" s="1197"/>
      <c r="M80" s="1198"/>
      <c r="N80" s="1198"/>
      <c r="O80" s="1198"/>
      <c r="P80" s="1198"/>
      <c r="Q80" s="1197"/>
      <c r="R80" s="1199"/>
    </row>
    <row r="81" spans="2:18" x14ac:dyDescent="0.35">
      <c r="B81" s="2680" t="s">
        <v>2029</v>
      </c>
      <c r="C81" s="2681">
        <v>1807</v>
      </c>
      <c r="D81" s="2681">
        <v>1855</v>
      </c>
      <c r="E81" s="2681">
        <v>1649</v>
      </c>
      <c r="F81" s="2681">
        <v>1591</v>
      </c>
      <c r="G81" s="2681">
        <v>1622</v>
      </c>
      <c r="H81" s="2720">
        <f t="array" ref="H81">SUMPRODUCT(C81:G81,TRANSPOSE($C$127:$C$131))</f>
        <v>1679.127659574468</v>
      </c>
      <c r="J81" s="869" t="s">
        <v>1990</v>
      </c>
      <c r="K81" s="870"/>
      <c r="L81" s="870"/>
      <c r="M81" s="1203"/>
      <c r="N81" s="1203"/>
      <c r="O81" s="1203"/>
      <c r="P81" s="1203"/>
      <c r="Q81" s="1204"/>
      <c r="R81" s="1205"/>
    </row>
    <row r="82" spans="2:18" x14ac:dyDescent="0.35">
      <c r="B82" s="2680" t="s">
        <v>2159</v>
      </c>
      <c r="C82" s="2681">
        <v>1216</v>
      </c>
      <c r="D82" s="2681">
        <v>1220</v>
      </c>
      <c r="E82" s="2681">
        <v>1072</v>
      </c>
      <c r="F82" s="2681">
        <v>1001</v>
      </c>
      <c r="G82" s="2681">
        <v>1028</v>
      </c>
      <c r="H82" s="2720">
        <f t="array" ref="H82">SUMPRODUCT(C82:G82,TRANSPOSE($C$127:$C$131))</f>
        <v>1091.1489361702127</v>
      </c>
      <c r="J82" s="873" t="s">
        <v>1365</v>
      </c>
      <c r="K82" s="698" t="s">
        <v>1992</v>
      </c>
      <c r="L82" s="698" t="s">
        <v>2320</v>
      </c>
      <c r="M82" s="1206"/>
      <c r="N82" s="1206"/>
      <c r="O82" s="1206"/>
      <c r="P82" s="1206"/>
      <c r="Q82" s="1193"/>
      <c r="R82" s="1207"/>
    </row>
    <row r="83" spans="2:18" x14ac:dyDescent="0.35">
      <c r="B83" s="2680" t="s">
        <v>2160</v>
      </c>
      <c r="C83" s="2681">
        <v>1387</v>
      </c>
      <c r="D83" s="2681">
        <v>1398</v>
      </c>
      <c r="E83" s="2681">
        <v>1252</v>
      </c>
      <c r="F83" s="2681">
        <v>1222</v>
      </c>
      <c r="G83" s="2681">
        <v>1269</v>
      </c>
      <c r="H83" s="2720">
        <f t="array" ref="H83">SUMPRODUCT(C83:G83,TRANSPOSE($C$127:$C$131))</f>
        <v>1274.2978723404256</v>
      </c>
      <c r="J83" s="873" t="s">
        <v>2321</v>
      </c>
      <c r="K83" s="698"/>
      <c r="L83" s="698" t="s">
        <v>2322</v>
      </c>
      <c r="M83" s="1206"/>
      <c r="N83" s="1206"/>
      <c r="O83" s="1206"/>
      <c r="P83" s="1206"/>
      <c r="Q83" s="1193"/>
      <c r="R83" s="1207"/>
    </row>
    <row r="84" spans="2:18" x14ac:dyDescent="0.35">
      <c r="B84" s="2680" t="s">
        <v>2161</v>
      </c>
      <c r="C84" s="2682">
        <v>665</v>
      </c>
      <c r="D84" s="2682">
        <v>697</v>
      </c>
      <c r="E84" s="2682">
        <v>628</v>
      </c>
      <c r="F84" s="2682">
        <v>646</v>
      </c>
      <c r="G84" s="2682">
        <v>615</v>
      </c>
      <c r="H84" s="2720">
        <f t="array" ref="H84">SUMPRODUCT(C84:G84,TRANSPOSE($C$127:$C$131))</f>
        <v>641.27659574468089</v>
      </c>
      <c r="J84" s="873" t="s">
        <v>2323</v>
      </c>
      <c r="K84" s="698" t="s">
        <v>2112</v>
      </c>
      <c r="L84" s="698" t="s">
        <v>2324</v>
      </c>
      <c r="M84" s="1206"/>
      <c r="N84" s="1206"/>
      <c r="O84" s="1206"/>
      <c r="P84" s="1206"/>
      <c r="Q84" s="1193"/>
      <c r="R84" s="1207"/>
    </row>
    <row r="85" spans="2:18" x14ac:dyDescent="0.35">
      <c r="B85" s="2680" t="s">
        <v>2162</v>
      </c>
      <c r="C85" s="2681">
        <v>1622</v>
      </c>
      <c r="D85" s="2681">
        <v>1571</v>
      </c>
      <c r="E85" s="2681">
        <v>1374</v>
      </c>
      <c r="F85" s="2681">
        <v>1220</v>
      </c>
      <c r="G85" s="2681">
        <v>1281</v>
      </c>
      <c r="H85" s="2720">
        <f t="array" ref="H85">SUMPRODUCT(C85:G85,TRANSPOSE($C$127:$C$131))</f>
        <v>1394.4255319148938</v>
      </c>
      <c r="J85" s="1208" t="s">
        <v>2326</v>
      </c>
      <c r="K85" s="1206" t="s">
        <v>2112</v>
      </c>
      <c r="L85" s="1193" t="s">
        <v>2327</v>
      </c>
      <c r="M85" s="1206"/>
      <c r="N85" s="1206"/>
      <c r="O85" s="1206"/>
      <c r="P85" s="1206"/>
      <c r="Q85" s="1193"/>
      <c r="R85" s="1207"/>
    </row>
    <row r="86" spans="2:18" x14ac:dyDescent="0.35">
      <c r="B86" s="2680" t="s">
        <v>2325</v>
      </c>
      <c r="C86" s="2681">
        <v>1597</v>
      </c>
      <c r="D86" s="2681">
        <v>1634</v>
      </c>
      <c r="E86" s="2681">
        <v>1468</v>
      </c>
      <c r="F86" s="2681">
        <v>1376</v>
      </c>
      <c r="G86" s="2681">
        <v>1451</v>
      </c>
      <c r="H86" s="2720">
        <f t="array" ref="H86">SUMPRODUCT(C86:G86,TRANSPOSE($C$127:$C$131))</f>
        <v>1488.4255319148933</v>
      </c>
      <c r="J86" s="1208" t="s">
        <v>2328</v>
      </c>
      <c r="K86" s="1206"/>
      <c r="L86" s="1193" t="s">
        <v>2329</v>
      </c>
      <c r="M86" s="1206"/>
      <c r="N86" s="1206"/>
      <c r="O86" s="1206"/>
      <c r="P86" s="1206"/>
      <c r="Q86" s="1193"/>
      <c r="R86" s="1207"/>
    </row>
    <row r="87" spans="2:18" x14ac:dyDescent="0.35">
      <c r="B87" s="2680" t="s">
        <v>2073</v>
      </c>
      <c r="C87" s="2681">
        <v>1670</v>
      </c>
      <c r="D87" s="2681">
        <v>1733</v>
      </c>
      <c r="E87" s="2681">
        <v>1549</v>
      </c>
      <c r="F87" s="2681">
        <v>1496</v>
      </c>
      <c r="G87" s="2681">
        <v>1557</v>
      </c>
      <c r="H87" s="2720">
        <f t="array" ref="H87">SUMPRODUCT(C87:G87,TRANSPOSE($C$127:$C$131))</f>
        <v>1575.8085106382978</v>
      </c>
      <c r="J87" s="1208" t="s">
        <v>2330</v>
      </c>
      <c r="K87" s="1206" t="s">
        <v>2112</v>
      </c>
      <c r="L87" s="1193" t="s">
        <v>2331</v>
      </c>
      <c r="M87" s="1206"/>
      <c r="N87" s="1206"/>
      <c r="O87" s="1206"/>
      <c r="P87" s="1206"/>
      <c r="Q87" s="1193"/>
      <c r="R87" s="1207"/>
    </row>
    <row r="88" spans="2:18" x14ac:dyDescent="0.35">
      <c r="B88" s="2680" t="s">
        <v>2166</v>
      </c>
      <c r="C88" s="2681">
        <v>1555</v>
      </c>
      <c r="D88" s="2681">
        <v>1597</v>
      </c>
      <c r="E88" s="2681">
        <v>1433</v>
      </c>
      <c r="F88" s="2681">
        <v>1316</v>
      </c>
      <c r="G88" s="2681">
        <v>1400</v>
      </c>
      <c r="H88" s="2720">
        <f t="array" ref="H88">SUMPRODUCT(C88:G88,TRANSPOSE($C$127:$C$131))</f>
        <v>1450.9574468085107</v>
      </c>
      <c r="J88" s="1194" t="s">
        <v>2332</v>
      </c>
      <c r="K88" s="1193" t="s">
        <v>2112</v>
      </c>
      <c r="L88" s="1206" t="s">
        <v>2333</v>
      </c>
      <c r="M88" s="1206"/>
      <c r="N88" s="1206"/>
      <c r="O88" s="1206"/>
      <c r="P88" s="1206"/>
      <c r="Q88" s="1193"/>
      <c r="R88" s="1207"/>
    </row>
    <row r="89" spans="2:18" x14ac:dyDescent="0.35">
      <c r="B89" s="1144" t="s">
        <v>2163</v>
      </c>
      <c r="C89" s="1200">
        <v>1048</v>
      </c>
      <c r="D89" s="1201">
        <v>1013</v>
      </c>
      <c r="E89" s="1201">
        <v>939</v>
      </c>
      <c r="F89" s="1201">
        <v>567</v>
      </c>
      <c r="G89" s="1202">
        <v>634</v>
      </c>
      <c r="H89" s="2721">
        <f t="array" ref="H89">SUMPRODUCT(C89:G89,TRANSPOSE($C$127:$C$131))</f>
        <v>919.936170212766</v>
      </c>
      <c r="J89" s="933" t="s">
        <v>2334</v>
      </c>
      <c r="K89" s="934" t="s">
        <v>2112</v>
      </c>
      <c r="L89" s="934" t="s">
        <v>2335</v>
      </c>
      <c r="M89" s="1198"/>
      <c r="N89" s="1198"/>
      <c r="O89" s="1198"/>
      <c r="P89" s="1198"/>
      <c r="Q89" s="1197"/>
      <c r="R89" s="1199"/>
    </row>
    <row r="90" spans="2:18" x14ac:dyDescent="0.35">
      <c r="B90" s="2683" t="s">
        <v>2181</v>
      </c>
      <c r="C90" s="2684">
        <v>1565</v>
      </c>
      <c r="D90" s="2684">
        <v>1540</v>
      </c>
      <c r="E90" s="2684">
        <v>1448</v>
      </c>
      <c r="F90" s="2684">
        <v>1089</v>
      </c>
      <c r="G90" s="2684">
        <v>1125</v>
      </c>
      <c r="H90" s="2720">
        <f t="array" ref="H90">SUMPRODUCT(C90:G90,TRANSPOSE($C$127:$C$131))</f>
        <v>1433.1063829787233</v>
      </c>
    </row>
    <row r="91" spans="2:18" x14ac:dyDescent="0.35">
      <c r="B91" s="2683" t="s">
        <v>2164</v>
      </c>
      <c r="C91" s="2685">
        <v>537</v>
      </c>
      <c r="D91" s="2685">
        <v>558</v>
      </c>
      <c r="E91" s="2685">
        <v>501</v>
      </c>
      <c r="F91" s="2685">
        <v>480</v>
      </c>
      <c r="G91" s="2685">
        <v>499</v>
      </c>
      <c r="H91" s="2720">
        <f t="array" ref="H91">SUMPRODUCT(C91:G91,TRANSPOSE($C$127:$C$131))</f>
        <v>508.91489361702128</v>
      </c>
      <c r="J91" s="698"/>
      <c r="K91" s="698"/>
      <c r="L91" s="698"/>
      <c r="M91" s="698"/>
      <c r="N91" s="698"/>
      <c r="O91" s="698"/>
      <c r="P91" s="698"/>
      <c r="Q91" s="698"/>
      <c r="R91" s="698"/>
    </row>
    <row r="92" spans="2:18" x14ac:dyDescent="0.35">
      <c r="B92" s="2683" t="s">
        <v>2336</v>
      </c>
      <c r="C92" s="2684">
        <v>1665</v>
      </c>
      <c r="D92" s="2684">
        <v>1666</v>
      </c>
      <c r="E92" s="2684">
        <v>1512</v>
      </c>
      <c r="F92" s="2684">
        <v>1145</v>
      </c>
      <c r="G92" s="2684">
        <v>1207</v>
      </c>
      <c r="H92" s="2720">
        <f t="array" ref="H92">SUMPRODUCT(C92:G92,TRANSPOSE($C$127:$C$131))</f>
        <v>1506.9787234042553</v>
      </c>
      <c r="J92" s="698"/>
      <c r="K92" s="698"/>
      <c r="L92" s="698"/>
      <c r="M92" s="698"/>
      <c r="N92" s="698"/>
      <c r="O92" s="698"/>
      <c r="P92" s="698"/>
      <c r="Q92" s="698"/>
      <c r="R92" s="698"/>
    </row>
    <row r="93" spans="2:18" x14ac:dyDescent="0.35">
      <c r="B93" s="2683" t="s">
        <v>2165</v>
      </c>
      <c r="C93" s="2684">
        <v>1730</v>
      </c>
      <c r="D93" s="2684">
        <v>1782</v>
      </c>
      <c r="E93" s="2684">
        <v>1589</v>
      </c>
      <c r="F93" s="2684">
        <v>1538</v>
      </c>
      <c r="G93" s="2684">
        <v>1560</v>
      </c>
      <c r="H93" s="2720">
        <f t="array" ref="H93">SUMPRODUCT(C93:G93,TRANSPOSE($C$127:$C$131))</f>
        <v>1617.5106382978724</v>
      </c>
      <c r="J93" s="698"/>
      <c r="K93" s="698"/>
      <c r="L93" s="698"/>
      <c r="M93" s="698"/>
      <c r="N93" s="698"/>
      <c r="O93" s="698"/>
      <c r="P93" s="698"/>
      <c r="Q93" s="698"/>
      <c r="R93" s="698"/>
    </row>
    <row r="94" spans="2:18" x14ac:dyDescent="0.35">
      <c r="B94" s="1146" t="s">
        <v>2167</v>
      </c>
      <c r="C94" s="1200">
        <v>1916</v>
      </c>
      <c r="D94" s="1201">
        <v>1905</v>
      </c>
      <c r="E94" s="1201">
        <v>1718</v>
      </c>
      <c r="F94" s="1201">
        <v>1288</v>
      </c>
      <c r="G94" s="1202">
        <v>1538</v>
      </c>
      <c r="H94" s="2721">
        <f t="array" ref="H94">SUMPRODUCT(C94:G94,TRANSPOSE($C$127:$C$131))</f>
        <v>1713.2340425531916</v>
      </c>
      <c r="J94" s="698"/>
      <c r="K94" s="698"/>
      <c r="L94" s="698"/>
      <c r="M94" s="698"/>
      <c r="N94" s="698"/>
      <c r="O94" s="698"/>
      <c r="P94" s="698"/>
      <c r="Q94" s="698"/>
      <c r="R94" s="698"/>
    </row>
    <row r="95" spans="2:18" x14ac:dyDescent="0.35">
      <c r="B95" s="2683" t="s">
        <v>2168</v>
      </c>
      <c r="C95" s="2685">
        <v>995</v>
      </c>
      <c r="D95" s="2684">
        <v>1036</v>
      </c>
      <c r="E95" s="2685">
        <v>933</v>
      </c>
      <c r="F95" s="2685">
        <v>786</v>
      </c>
      <c r="G95" s="2685">
        <v>832</v>
      </c>
      <c r="H95" s="2720">
        <f t="array" ref="H95">SUMPRODUCT(C95:G95,TRANSPOSE($C$127:$C$131))</f>
        <v>938.02127659574455</v>
      </c>
      <c r="J95" s="698"/>
      <c r="K95" s="698"/>
      <c r="L95" s="698"/>
      <c r="M95" s="698"/>
      <c r="N95" s="698"/>
      <c r="O95" s="698"/>
      <c r="P95" s="698"/>
      <c r="Q95" s="698"/>
      <c r="R95" s="698"/>
    </row>
    <row r="96" spans="2:18" x14ac:dyDescent="0.35">
      <c r="B96" s="2683" t="s">
        <v>2169</v>
      </c>
      <c r="C96" s="2684">
        <v>2244</v>
      </c>
      <c r="D96" s="2684">
        <v>2237</v>
      </c>
      <c r="E96" s="2684">
        <v>2024</v>
      </c>
      <c r="F96" s="2684">
        <v>1553</v>
      </c>
      <c r="G96" s="2684">
        <v>1608</v>
      </c>
      <c r="H96" s="2720">
        <f t="array" ref="H96">SUMPRODUCT(C96:G96,TRANSPOSE($C$127:$C$131))</f>
        <v>2020.1702127659573</v>
      </c>
      <c r="J96" s="698"/>
      <c r="K96" s="698"/>
      <c r="L96" s="698"/>
      <c r="M96" s="698"/>
      <c r="N96" s="698"/>
      <c r="O96" s="698"/>
      <c r="P96" s="698"/>
      <c r="Q96" s="698"/>
      <c r="R96" s="698"/>
    </row>
    <row r="97" spans="1:18" x14ac:dyDescent="0.35">
      <c r="B97" s="2683" t="s">
        <v>2170</v>
      </c>
      <c r="C97" s="2684">
        <v>1552</v>
      </c>
      <c r="D97" s="2684">
        <v>1432</v>
      </c>
      <c r="E97" s="2684">
        <v>1239</v>
      </c>
      <c r="F97" s="2684">
        <v>1077</v>
      </c>
      <c r="G97" s="2684">
        <v>1098</v>
      </c>
      <c r="H97" s="2720">
        <f t="array" ref="H97">SUMPRODUCT(C97:G97,TRANSPOSE($C$127:$C$131))</f>
        <v>1258.063829787234</v>
      </c>
      <c r="I97" s="675" t="s">
        <v>396</v>
      </c>
      <c r="J97" s="698"/>
      <c r="K97" s="698"/>
      <c r="L97" s="698"/>
      <c r="M97" s="698"/>
      <c r="N97" s="698"/>
      <c r="O97" s="698"/>
      <c r="P97" s="698"/>
      <c r="Q97" s="698"/>
      <c r="R97" s="698"/>
    </row>
    <row r="98" spans="1:18" x14ac:dyDescent="0.35">
      <c r="B98" s="2683" t="s">
        <v>2171</v>
      </c>
      <c r="C98" s="2684">
        <v>1015</v>
      </c>
      <c r="D98" s="2685">
        <v>993</v>
      </c>
      <c r="E98" s="2685">
        <v>899</v>
      </c>
      <c r="F98" s="2685">
        <v>773</v>
      </c>
      <c r="G98" s="2685">
        <v>809</v>
      </c>
      <c r="H98" s="2720">
        <f t="array" ref="H98">SUMPRODUCT(C98:G98,TRANSPOSE($C$127:$C$131))</f>
        <v>904.27659574468089</v>
      </c>
      <c r="J98" s="698"/>
      <c r="K98" s="698"/>
      <c r="L98" s="698"/>
      <c r="M98" s="698"/>
      <c r="N98" s="698"/>
      <c r="O98" s="698"/>
      <c r="P98" s="698"/>
      <c r="Q98" s="698"/>
      <c r="R98" s="698"/>
    </row>
    <row r="99" spans="1:18" x14ac:dyDescent="0.35">
      <c r="B99" s="2683" t="s">
        <v>2172</v>
      </c>
      <c r="C99" s="2684">
        <v>2825</v>
      </c>
      <c r="D99" s="2684">
        <v>2625</v>
      </c>
      <c r="E99" s="2684">
        <v>2365</v>
      </c>
      <c r="F99" s="2684">
        <v>2007</v>
      </c>
      <c r="G99" s="2684">
        <v>2040</v>
      </c>
      <c r="H99" s="2720">
        <f t="array" ref="H99">SUMPRODUCT(C99:G99,TRANSPOSE($C$127:$C$131))</f>
        <v>2378.7872340425529</v>
      </c>
      <c r="J99" s="698"/>
      <c r="K99" s="698"/>
      <c r="L99" s="698"/>
      <c r="M99" s="698"/>
      <c r="N99" s="698"/>
      <c r="O99" s="698"/>
      <c r="P99" s="698"/>
      <c r="Q99" s="698"/>
      <c r="R99" s="698"/>
    </row>
    <row r="100" spans="1:18" x14ac:dyDescent="0.35">
      <c r="B100" s="2683" t="s">
        <v>2173</v>
      </c>
      <c r="C100" s="2684">
        <v>1672</v>
      </c>
      <c r="D100" s="2684">
        <v>1629</v>
      </c>
      <c r="E100" s="2684">
        <v>1454</v>
      </c>
      <c r="F100" s="2684">
        <v>1356</v>
      </c>
      <c r="G100" s="2684">
        <v>1399</v>
      </c>
      <c r="H100" s="2720">
        <f t="array" ref="H100">SUMPRODUCT(C100:G100,TRANSPOSE($C$127:$C$131))</f>
        <v>1475.4468085106382</v>
      </c>
      <c r="J100" s="698"/>
      <c r="K100" s="698"/>
      <c r="L100" s="698"/>
      <c r="M100" s="698"/>
      <c r="N100" s="698"/>
      <c r="O100" s="698"/>
      <c r="P100" s="698"/>
      <c r="Q100" s="698"/>
      <c r="R100" s="698"/>
    </row>
    <row r="101" spans="1:18" x14ac:dyDescent="0.35">
      <c r="B101" s="2683" t="s">
        <v>3908</v>
      </c>
      <c r="C101" s="2684">
        <v>2757</v>
      </c>
      <c r="D101" s="2684">
        <v>2670</v>
      </c>
      <c r="E101" s="2684">
        <v>2383</v>
      </c>
      <c r="F101" s="2684">
        <v>2149</v>
      </c>
      <c r="G101" s="2684">
        <v>2186</v>
      </c>
      <c r="H101" s="2720">
        <f t="array" ref="H101">SUMPRODUCT(C101:G101,TRANSPOSE($C$127:$C$131))</f>
        <v>2411.9361702127658</v>
      </c>
      <c r="J101" s="2686"/>
      <c r="K101" s="2686"/>
      <c r="L101" s="2686"/>
      <c r="M101" s="2686"/>
      <c r="N101" s="2686"/>
      <c r="O101" s="2686"/>
      <c r="P101" s="2686"/>
      <c r="Q101" s="2686"/>
      <c r="R101" s="2686"/>
    </row>
    <row r="102" spans="1:18" x14ac:dyDescent="0.35">
      <c r="B102" s="1141" t="s">
        <v>2174</v>
      </c>
      <c r="C102" s="1200">
        <v>1603</v>
      </c>
      <c r="D102" s="1201">
        <v>1504</v>
      </c>
      <c r="E102" s="1201">
        <v>1440</v>
      </c>
      <c r="F102" s="1201">
        <v>1054</v>
      </c>
      <c r="G102" s="1202">
        <v>1205</v>
      </c>
      <c r="H102" s="2721">
        <f t="array" ref="H102">SUMPRODUCT(C102:G102,TRANSPOSE($C$127:$C$131))</f>
        <v>1418.0425531914893</v>
      </c>
      <c r="J102" s="698"/>
      <c r="K102" s="698"/>
      <c r="L102" s="698"/>
      <c r="M102" s="698"/>
      <c r="N102" s="698"/>
      <c r="O102" s="698"/>
      <c r="P102" s="698"/>
      <c r="Q102" s="698"/>
      <c r="R102" s="698"/>
    </row>
    <row r="103" spans="1:18" x14ac:dyDescent="0.35">
      <c r="B103" s="2683" t="s">
        <v>2175</v>
      </c>
      <c r="C103" s="2684">
        <v>1326</v>
      </c>
      <c r="D103" s="2684">
        <v>1328</v>
      </c>
      <c r="E103" s="2684">
        <v>1179</v>
      </c>
      <c r="F103" s="2684">
        <v>1091</v>
      </c>
      <c r="G103" s="2684">
        <v>1122</v>
      </c>
      <c r="H103" s="2720">
        <f t="array" ref="H103">SUMPRODUCT(C103:G103,TRANSPOSE($C$127:$C$131))</f>
        <v>1196.872340425532</v>
      </c>
      <c r="J103" s="698"/>
      <c r="K103" s="698"/>
      <c r="L103" s="698"/>
      <c r="M103" s="698"/>
      <c r="N103" s="698"/>
      <c r="O103" s="698"/>
      <c r="P103" s="698"/>
      <c r="Q103" s="698"/>
      <c r="R103" s="698"/>
    </row>
    <row r="104" spans="1:18" x14ac:dyDescent="0.35">
      <c r="B104" s="2683" t="s">
        <v>2176</v>
      </c>
      <c r="C104" s="2684">
        <v>1365</v>
      </c>
      <c r="D104" s="2684">
        <v>1322</v>
      </c>
      <c r="E104" s="2684">
        <v>1193</v>
      </c>
      <c r="F104" s="2684">
        <v>1034</v>
      </c>
      <c r="G104" s="2684">
        <v>1088</v>
      </c>
      <c r="H104" s="2720">
        <f t="array" ref="H104">SUMPRODUCT(C104:G104,TRANSPOSE($C$127:$C$131))</f>
        <v>1201.4255319148936</v>
      </c>
      <c r="J104" s="698"/>
      <c r="K104" s="698"/>
      <c r="L104" s="698"/>
      <c r="M104" s="698"/>
      <c r="N104" s="698"/>
      <c r="O104" s="698"/>
      <c r="P104" s="698"/>
      <c r="Q104" s="698"/>
      <c r="R104" s="698"/>
    </row>
    <row r="105" spans="1:18" x14ac:dyDescent="0.35">
      <c r="B105" s="2683" t="s">
        <v>2177</v>
      </c>
      <c r="C105" s="2684">
        <v>1347</v>
      </c>
      <c r="D105" s="2684">
        <v>1325</v>
      </c>
      <c r="E105" s="2684">
        <v>1183</v>
      </c>
      <c r="F105" s="2684">
        <v>1064</v>
      </c>
      <c r="G105" s="2684">
        <v>1096</v>
      </c>
      <c r="H105" s="2720">
        <f t="array" ref="H105">SUMPRODUCT(C105:G105,TRANSPOSE($C$127:$C$131))</f>
        <v>1197.0425531914893</v>
      </c>
    </row>
    <row r="106" spans="1:18" x14ac:dyDescent="0.35">
      <c r="B106" s="2683" t="s">
        <v>2027</v>
      </c>
      <c r="C106" s="2684">
        <v>1285</v>
      </c>
      <c r="D106" s="2684">
        <v>1286</v>
      </c>
      <c r="E106" s="2684">
        <v>1180</v>
      </c>
      <c r="F106" s="2684">
        <v>1147</v>
      </c>
      <c r="G106" s="2684">
        <v>1224</v>
      </c>
      <c r="H106" s="2720">
        <f t="array" ref="H106">SUMPRODUCT(C106:G106,TRANSPOSE($C$127:$C$131))</f>
        <v>1195.2340425531916</v>
      </c>
    </row>
    <row r="107" spans="1:18" x14ac:dyDescent="0.35">
      <c r="B107" s="2683" t="s">
        <v>536</v>
      </c>
      <c r="C107" s="2684">
        <v>1709</v>
      </c>
      <c r="D107" s="2684">
        <v>1678</v>
      </c>
      <c r="E107" s="2684">
        <v>1508</v>
      </c>
      <c r="F107" s="2684">
        <v>1287</v>
      </c>
      <c r="G107" s="2684">
        <v>1411</v>
      </c>
      <c r="H107" s="2720">
        <f t="array" ref="H107">SUMPRODUCT(C107:G107,TRANSPOSE($C$127:$C$131))</f>
        <v>1518.1276595744682</v>
      </c>
    </row>
    <row r="108" spans="1:18" x14ac:dyDescent="0.35">
      <c r="C108" s="675" t="s">
        <v>2337</v>
      </c>
      <c r="M108" s="698"/>
    </row>
    <row r="109" spans="1:18" x14ac:dyDescent="0.35">
      <c r="M109" s="698"/>
    </row>
    <row r="110" spans="1:18" ht="21" x14ac:dyDescent="0.5">
      <c r="A110" s="704" t="s">
        <v>2012</v>
      </c>
      <c r="M110" s="698"/>
    </row>
    <row r="111" spans="1:18" ht="21" x14ac:dyDescent="0.5">
      <c r="A111" s="704"/>
      <c r="B111" s="698"/>
      <c r="C111" s="735"/>
      <c r="M111" s="698"/>
    </row>
    <row r="112" spans="1:18" ht="29" x14ac:dyDescent="0.35">
      <c r="B112" s="1209" t="s">
        <v>2338</v>
      </c>
      <c r="C112" s="1209" t="s">
        <v>2339</v>
      </c>
      <c r="D112" s="1008" t="s">
        <v>2340</v>
      </c>
      <c r="E112" s="3039"/>
      <c r="F112" s="3039"/>
      <c r="G112" s="840"/>
      <c r="H112" s="840"/>
      <c r="I112" s="840"/>
      <c r="J112" s="840"/>
      <c r="K112" s="840"/>
      <c r="L112" s="840"/>
    </row>
    <row r="113" spans="1:13" x14ac:dyDescent="0.35">
      <c r="B113" s="1136" t="s">
        <v>2341</v>
      </c>
      <c r="C113" s="1136" t="s">
        <v>2342</v>
      </c>
      <c r="D113" s="1210">
        <v>1</v>
      </c>
      <c r="E113" s="739"/>
      <c r="F113" s="739"/>
      <c r="G113" s="840"/>
      <c r="H113" s="840"/>
      <c r="I113" s="840"/>
      <c r="J113" s="840"/>
      <c r="K113" s="840"/>
      <c r="L113" s="840"/>
    </row>
    <row r="114" spans="1:13" x14ac:dyDescent="0.35">
      <c r="B114" s="1146" t="s">
        <v>2341</v>
      </c>
      <c r="C114" s="1146" t="s">
        <v>2343</v>
      </c>
      <c r="D114" s="1211">
        <v>1</v>
      </c>
      <c r="E114" s="739"/>
      <c r="F114" s="739"/>
      <c r="G114" s="840"/>
      <c r="H114" s="840"/>
      <c r="I114" s="840"/>
      <c r="J114" s="840"/>
      <c r="K114" s="840"/>
      <c r="L114" s="840"/>
    </row>
    <row r="115" spans="1:13" x14ac:dyDescent="0.35">
      <c r="B115" s="1144" t="s">
        <v>2341</v>
      </c>
      <c r="C115" s="1144" t="s">
        <v>2344</v>
      </c>
      <c r="D115" s="1212">
        <v>1</v>
      </c>
      <c r="E115" s="739"/>
      <c r="F115" s="739"/>
      <c r="G115" s="840"/>
      <c r="H115" s="840"/>
      <c r="I115" s="840"/>
      <c r="J115" s="840"/>
      <c r="K115" s="840"/>
      <c r="L115" s="840"/>
    </row>
    <row r="116" spans="1:13" x14ac:dyDescent="0.35">
      <c r="B116" s="1146" t="s">
        <v>2341</v>
      </c>
      <c r="C116" s="1146" t="s">
        <v>2345</v>
      </c>
      <c r="D116" s="1211">
        <v>1</v>
      </c>
      <c r="E116" s="739"/>
      <c r="F116" s="739"/>
      <c r="G116" s="840"/>
      <c r="H116" s="840"/>
      <c r="I116" s="840"/>
      <c r="J116" s="840"/>
      <c r="K116" s="840"/>
      <c r="L116" s="840"/>
    </row>
    <row r="117" spans="1:13" x14ac:dyDescent="0.35">
      <c r="B117" s="1213" t="s">
        <v>2341</v>
      </c>
      <c r="C117" s="1213" t="s">
        <v>2346</v>
      </c>
      <c r="D117" s="1214">
        <v>1</v>
      </c>
      <c r="E117" s="739"/>
      <c r="F117" s="739"/>
      <c r="G117" s="840"/>
      <c r="H117" s="840"/>
      <c r="I117" s="840"/>
      <c r="J117" s="840"/>
      <c r="K117" s="840"/>
      <c r="L117" s="840"/>
    </row>
    <row r="118" spans="1:13" x14ac:dyDescent="0.35">
      <c r="B118" s="1136" t="s">
        <v>2347</v>
      </c>
      <c r="C118" s="1136" t="s">
        <v>2342</v>
      </c>
      <c r="D118" s="1210">
        <v>2</v>
      </c>
      <c r="E118" s="739"/>
      <c r="F118" s="739"/>
      <c r="G118" s="840"/>
      <c r="H118" s="840"/>
      <c r="I118" s="840"/>
      <c r="J118" s="840"/>
      <c r="K118" s="840"/>
      <c r="L118" s="840"/>
    </row>
    <row r="119" spans="1:13" x14ac:dyDescent="0.35">
      <c r="B119" s="1146" t="s">
        <v>2347</v>
      </c>
      <c r="C119" s="1146" t="s">
        <v>2343</v>
      </c>
      <c r="D119" s="1211">
        <v>2</v>
      </c>
      <c r="E119" s="739"/>
      <c r="F119" s="739"/>
      <c r="G119" s="840"/>
      <c r="H119" s="840"/>
      <c r="I119" s="840"/>
      <c r="J119" s="840"/>
      <c r="K119" s="840"/>
      <c r="L119" s="840"/>
    </row>
    <row r="120" spans="1:13" x14ac:dyDescent="0.35">
      <c r="B120" s="1144" t="s">
        <v>2347</v>
      </c>
      <c r="C120" s="1144" t="s">
        <v>2344</v>
      </c>
      <c r="D120" s="1212">
        <v>2</v>
      </c>
      <c r="E120" s="739"/>
      <c r="F120" s="739"/>
      <c r="G120" s="840"/>
      <c r="H120" s="840"/>
      <c r="I120" s="840"/>
      <c r="J120" s="840"/>
      <c r="K120" s="840"/>
      <c r="L120" s="840"/>
    </row>
    <row r="121" spans="1:13" x14ac:dyDescent="0.35">
      <c r="B121" s="1146" t="s">
        <v>2347</v>
      </c>
      <c r="C121" s="1146" t="s">
        <v>2345</v>
      </c>
      <c r="D121" s="1211">
        <v>2</v>
      </c>
      <c r="E121" s="739"/>
      <c r="F121" s="739"/>
      <c r="G121" s="840"/>
      <c r="H121" s="840"/>
      <c r="I121" s="840"/>
      <c r="J121" s="840"/>
      <c r="K121" s="840"/>
      <c r="L121" s="840"/>
    </row>
    <row r="122" spans="1:13" x14ac:dyDescent="0.35">
      <c r="B122" s="1213" t="s">
        <v>2347</v>
      </c>
      <c r="C122" s="1213" t="s">
        <v>2346</v>
      </c>
      <c r="D122" s="1214">
        <v>2</v>
      </c>
      <c r="E122" s="739"/>
      <c r="F122" s="739"/>
      <c r="G122" s="840"/>
      <c r="H122" s="840"/>
      <c r="I122" s="840"/>
      <c r="J122" s="840"/>
      <c r="K122" s="840"/>
      <c r="L122" s="840"/>
    </row>
    <row r="123" spans="1:13" x14ac:dyDescent="0.35">
      <c r="F123" s="840"/>
      <c r="G123" s="840"/>
      <c r="H123" s="840"/>
      <c r="I123" s="840"/>
      <c r="J123" s="840"/>
      <c r="K123" s="840"/>
      <c r="M123" s="698"/>
    </row>
    <row r="124" spans="1:13" ht="21" x14ac:dyDescent="0.5">
      <c r="A124" s="704" t="s">
        <v>2014</v>
      </c>
      <c r="F124" s="840"/>
      <c r="G124" s="840"/>
      <c r="H124" s="840"/>
      <c r="I124" s="840"/>
      <c r="J124" s="840"/>
      <c r="K124" s="840"/>
    </row>
    <row r="125" spans="1:13" x14ac:dyDescent="0.35">
      <c r="F125" s="840"/>
      <c r="G125" s="840"/>
      <c r="H125" s="840"/>
      <c r="I125" s="840"/>
      <c r="J125" s="840"/>
      <c r="K125" s="840"/>
    </row>
    <row r="126" spans="1:13" ht="29" x14ac:dyDescent="0.35">
      <c r="B126" s="1215" t="s">
        <v>2280</v>
      </c>
      <c r="C126" s="1008" t="s">
        <v>2348</v>
      </c>
      <c r="E126" s="1215" t="s">
        <v>2338</v>
      </c>
      <c r="F126" s="1008" t="s">
        <v>2348</v>
      </c>
      <c r="G126" s="840"/>
      <c r="H126" s="840"/>
      <c r="I126" s="840"/>
      <c r="J126" s="840"/>
      <c r="K126" s="840"/>
    </row>
    <row r="127" spans="1:13" x14ac:dyDescent="0.35">
      <c r="B127" s="1136" t="s">
        <v>2349</v>
      </c>
      <c r="C127" s="1216">
        <v>0</v>
      </c>
      <c r="E127" s="1136" t="s">
        <v>2350</v>
      </c>
      <c r="F127" s="1216">
        <v>0.8</v>
      </c>
      <c r="G127" s="840"/>
      <c r="H127" s="840"/>
      <c r="I127" s="840"/>
      <c r="J127" s="840"/>
      <c r="K127" s="840"/>
    </row>
    <row r="128" spans="1:13" x14ac:dyDescent="0.35">
      <c r="B128" s="1146" t="s">
        <v>2351</v>
      </c>
      <c r="C128" s="1217">
        <v>0.1702127659574468</v>
      </c>
      <c r="E128" s="886" t="s">
        <v>2347</v>
      </c>
      <c r="F128" s="1218">
        <v>0.2</v>
      </c>
      <c r="G128" s="840"/>
      <c r="H128" s="840"/>
      <c r="I128" s="840"/>
      <c r="J128" s="840"/>
      <c r="K128" s="840"/>
    </row>
    <row r="129" spans="1:11" x14ac:dyDescent="0.35">
      <c r="B129" s="1144" t="s">
        <v>2352</v>
      </c>
      <c r="C129" s="1219">
        <v>0.74468085106382975</v>
      </c>
      <c r="F129" s="840"/>
      <c r="G129" s="840"/>
      <c r="H129" s="840"/>
      <c r="I129" s="840"/>
      <c r="J129" s="840"/>
      <c r="K129" s="840"/>
    </row>
    <row r="130" spans="1:11" x14ac:dyDescent="0.35">
      <c r="B130" s="1146" t="s">
        <v>2353</v>
      </c>
      <c r="C130" s="1217">
        <v>8.5106382978723402E-2</v>
      </c>
      <c r="F130" s="840"/>
      <c r="G130" s="840"/>
      <c r="H130" s="840"/>
      <c r="I130" s="840"/>
      <c r="J130" s="840"/>
      <c r="K130" s="840"/>
    </row>
    <row r="131" spans="1:11" x14ac:dyDescent="0.35">
      <c r="B131" s="1213" t="s">
        <v>2354</v>
      </c>
      <c r="C131" s="1220">
        <v>0</v>
      </c>
      <c r="F131" s="840"/>
      <c r="G131" s="840"/>
      <c r="H131" s="840"/>
      <c r="I131" s="840"/>
      <c r="J131" s="840"/>
      <c r="K131" s="840"/>
    </row>
    <row r="132" spans="1:11" x14ac:dyDescent="0.35">
      <c r="B132" s="886" t="s">
        <v>284</v>
      </c>
      <c r="C132" s="1221">
        <f>SUM(C127:C131)</f>
        <v>1</v>
      </c>
      <c r="D132" s="1222" t="str">
        <f>IF(C132&lt;&gt;1,"Participation must add up to 100%","")</f>
        <v/>
      </c>
      <c r="F132" s="840"/>
      <c r="G132" s="840"/>
      <c r="H132" s="840"/>
      <c r="I132" s="840"/>
      <c r="J132" s="840"/>
      <c r="K132" s="840"/>
    </row>
    <row r="133" spans="1:11" x14ac:dyDescent="0.35">
      <c r="F133" s="840"/>
      <c r="G133" s="840"/>
      <c r="H133" s="840"/>
      <c r="I133" s="840"/>
      <c r="J133" s="840"/>
      <c r="K133" s="840"/>
    </row>
    <row r="134" spans="1:11" ht="18.5" x14ac:dyDescent="0.45">
      <c r="C134" s="3040" t="s">
        <v>2355</v>
      </c>
      <c r="D134" s="3041"/>
      <c r="E134" s="3041"/>
      <c r="F134" s="3041"/>
      <c r="G134" s="3042"/>
    </row>
    <row r="135" spans="1:11" x14ac:dyDescent="0.35">
      <c r="B135" s="1223" t="s">
        <v>2019</v>
      </c>
      <c r="C135" s="1224" t="s">
        <v>2342</v>
      </c>
      <c r="D135" s="1225" t="s">
        <v>2343</v>
      </c>
      <c r="E135" s="1225" t="s">
        <v>2344</v>
      </c>
      <c r="F135" s="1225" t="s">
        <v>2345</v>
      </c>
      <c r="G135" s="1226" t="s">
        <v>2346</v>
      </c>
    </row>
    <row r="136" spans="1:11" x14ac:dyDescent="0.35">
      <c r="A136" s="1227"/>
      <c r="B136" s="1136" t="s">
        <v>2180</v>
      </c>
      <c r="C136" s="1228">
        <v>0</v>
      </c>
      <c r="D136" s="1229">
        <v>0</v>
      </c>
      <c r="E136" s="1229">
        <v>0</v>
      </c>
      <c r="F136" s="1229">
        <v>0</v>
      </c>
      <c r="G136" s="1230">
        <v>0</v>
      </c>
    </row>
    <row r="137" spans="1:11" x14ac:dyDescent="0.35">
      <c r="A137" s="1227"/>
      <c r="B137" s="1146" t="s">
        <v>2071</v>
      </c>
      <c r="C137" s="2725">
        <v>0</v>
      </c>
      <c r="D137" s="2726">
        <v>0</v>
      </c>
      <c r="E137" s="2726">
        <v>0</v>
      </c>
      <c r="F137" s="2726">
        <v>0</v>
      </c>
      <c r="G137" s="2727">
        <v>0</v>
      </c>
    </row>
    <row r="138" spans="1:11" x14ac:dyDescent="0.35">
      <c r="A138" s="1227"/>
      <c r="B138" s="2683" t="s">
        <v>3906</v>
      </c>
      <c r="C138" s="2731">
        <v>0</v>
      </c>
      <c r="D138" s="2731">
        <v>0</v>
      </c>
      <c r="E138" s="2731">
        <v>0</v>
      </c>
      <c r="F138" s="2731">
        <v>0</v>
      </c>
      <c r="G138" s="2731">
        <v>0</v>
      </c>
    </row>
    <row r="139" spans="1:11" x14ac:dyDescent="0.35">
      <c r="A139" s="1227"/>
      <c r="B139" s="1144" t="s">
        <v>2157</v>
      </c>
      <c r="C139" s="2728">
        <v>0</v>
      </c>
      <c r="D139" s="2729">
        <v>0</v>
      </c>
      <c r="E139" s="2729">
        <v>2</v>
      </c>
      <c r="F139" s="2729">
        <v>2</v>
      </c>
      <c r="G139" s="2730">
        <v>0</v>
      </c>
    </row>
    <row r="140" spans="1:11" x14ac:dyDescent="0.35">
      <c r="A140" s="1227"/>
      <c r="B140" s="1146" t="s">
        <v>2158</v>
      </c>
      <c r="C140" s="1231">
        <v>0</v>
      </c>
      <c r="D140" s="1232">
        <v>0</v>
      </c>
      <c r="E140" s="1232">
        <v>0</v>
      </c>
      <c r="F140" s="1232">
        <v>0</v>
      </c>
      <c r="G140" s="1233">
        <v>0</v>
      </c>
    </row>
    <row r="141" spans="1:11" x14ac:dyDescent="0.35">
      <c r="A141" s="1227"/>
      <c r="B141" s="2683" t="s">
        <v>3907</v>
      </c>
      <c r="C141" s="2731">
        <v>0</v>
      </c>
      <c r="D141" s="2731">
        <v>0</v>
      </c>
      <c r="E141" s="2731">
        <v>0</v>
      </c>
      <c r="F141" s="2731">
        <v>0</v>
      </c>
      <c r="G141" s="2731">
        <v>0</v>
      </c>
    </row>
    <row r="142" spans="1:11" x14ac:dyDescent="0.35">
      <c r="A142" s="1227"/>
      <c r="B142" s="1144" t="s">
        <v>2028</v>
      </c>
      <c r="C142" s="1234">
        <v>0</v>
      </c>
      <c r="D142" s="1235">
        <v>0</v>
      </c>
      <c r="E142" s="1235">
        <v>1</v>
      </c>
      <c r="F142" s="1235">
        <v>0</v>
      </c>
      <c r="G142" s="1236">
        <v>0</v>
      </c>
    </row>
    <row r="143" spans="1:11" x14ac:dyDescent="0.35">
      <c r="A143" s="1227"/>
      <c r="B143" s="1146" t="s">
        <v>2109</v>
      </c>
      <c r="C143" s="1231">
        <v>0</v>
      </c>
      <c r="D143" s="1232">
        <v>0</v>
      </c>
      <c r="E143" s="1232">
        <v>0</v>
      </c>
      <c r="F143" s="1232">
        <v>0</v>
      </c>
      <c r="G143" s="1233">
        <v>0</v>
      </c>
    </row>
    <row r="144" spans="1:11" x14ac:dyDescent="0.35">
      <c r="A144" s="1227"/>
      <c r="B144" s="1144" t="s">
        <v>2026</v>
      </c>
      <c r="C144" s="1234">
        <v>0</v>
      </c>
      <c r="D144" s="1235">
        <v>0</v>
      </c>
      <c r="E144" s="1235">
        <v>0</v>
      </c>
      <c r="F144" s="1235">
        <v>0</v>
      </c>
      <c r="G144" s="1236">
        <v>0</v>
      </c>
    </row>
    <row r="145" spans="1:7" x14ac:dyDescent="0.35">
      <c r="A145" s="1227"/>
      <c r="B145" s="1146" t="s">
        <v>2075</v>
      </c>
      <c r="C145" s="1231">
        <v>0</v>
      </c>
      <c r="D145" s="1232">
        <v>0</v>
      </c>
      <c r="E145" s="1232">
        <v>0</v>
      </c>
      <c r="F145" s="1232">
        <v>0</v>
      </c>
      <c r="G145" s="1233">
        <v>0</v>
      </c>
    </row>
    <row r="146" spans="1:7" x14ac:dyDescent="0.35">
      <c r="A146" s="1227"/>
      <c r="B146" s="1144" t="s">
        <v>2029</v>
      </c>
      <c r="C146" s="1234">
        <v>0</v>
      </c>
      <c r="D146" s="1235">
        <v>0</v>
      </c>
      <c r="E146" s="1235">
        <v>0</v>
      </c>
      <c r="F146" s="1235">
        <v>0</v>
      </c>
      <c r="G146" s="1236">
        <v>0</v>
      </c>
    </row>
    <row r="147" spans="1:7" x14ac:dyDescent="0.35">
      <c r="A147" s="1227"/>
      <c r="B147" s="1146" t="s">
        <v>2356</v>
      </c>
      <c r="C147" s="1231">
        <v>0</v>
      </c>
      <c r="D147" s="1232">
        <v>0</v>
      </c>
      <c r="E147" s="1232">
        <v>0</v>
      </c>
      <c r="F147" s="1232">
        <v>0</v>
      </c>
      <c r="G147" s="1233">
        <v>0</v>
      </c>
    </row>
    <row r="148" spans="1:7" x14ac:dyDescent="0.35">
      <c r="A148" s="1227"/>
      <c r="B148" s="1144" t="s">
        <v>2357</v>
      </c>
      <c r="C148" s="1234">
        <v>0</v>
      </c>
      <c r="D148" s="1235">
        <v>0</v>
      </c>
      <c r="E148" s="1235">
        <v>0</v>
      </c>
      <c r="F148" s="1235">
        <v>0</v>
      </c>
      <c r="G148" s="1236">
        <v>0</v>
      </c>
    </row>
    <row r="149" spans="1:7" x14ac:dyDescent="0.35">
      <c r="A149" s="1227"/>
      <c r="B149" s="1146" t="s">
        <v>2358</v>
      </c>
      <c r="C149" s="1231">
        <v>0</v>
      </c>
      <c r="D149" s="1232">
        <v>0</v>
      </c>
      <c r="E149" s="1232">
        <v>0</v>
      </c>
      <c r="F149" s="1232">
        <v>0</v>
      </c>
      <c r="G149" s="1233">
        <v>0</v>
      </c>
    </row>
    <row r="150" spans="1:7" x14ac:dyDescent="0.35">
      <c r="A150" s="1227"/>
      <c r="B150" s="1144" t="s">
        <v>2162</v>
      </c>
      <c r="C150" s="1234">
        <v>0</v>
      </c>
      <c r="D150" s="1235">
        <v>0</v>
      </c>
      <c r="E150" s="1235">
        <v>0</v>
      </c>
      <c r="F150" s="1235">
        <v>0</v>
      </c>
      <c r="G150" s="1236">
        <v>0</v>
      </c>
    </row>
    <row r="151" spans="1:7" x14ac:dyDescent="0.35">
      <c r="A151" s="1227"/>
      <c r="B151" s="1146" t="s">
        <v>2325</v>
      </c>
      <c r="C151" s="1231">
        <v>0</v>
      </c>
      <c r="D151" s="1232">
        <v>0</v>
      </c>
      <c r="E151" s="1232">
        <v>0</v>
      </c>
      <c r="F151" s="1232">
        <v>0</v>
      </c>
      <c r="G151" s="1233">
        <v>0</v>
      </c>
    </row>
    <row r="152" spans="1:7" x14ac:dyDescent="0.35">
      <c r="A152" s="1227"/>
      <c r="B152" s="1144" t="s">
        <v>2073</v>
      </c>
      <c r="C152" s="1234">
        <v>0</v>
      </c>
      <c r="D152" s="1235">
        <v>0</v>
      </c>
      <c r="E152" s="1235">
        <v>0</v>
      </c>
      <c r="F152" s="1235">
        <v>0</v>
      </c>
      <c r="G152" s="1236">
        <v>0</v>
      </c>
    </row>
    <row r="153" spans="1:7" x14ac:dyDescent="0.35">
      <c r="A153" s="1227"/>
      <c r="B153" s="1146" t="s">
        <v>2166</v>
      </c>
      <c r="C153" s="1231">
        <v>0</v>
      </c>
      <c r="D153" s="1232">
        <v>0</v>
      </c>
      <c r="E153" s="1232">
        <v>0</v>
      </c>
      <c r="F153" s="1232">
        <v>0</v>
      </c>
      <c r="G153" s="1233">
        <v>0</v>
      </c>
    </row>
    <row r="154" spans="1:7" x14ac:dyDescent="0.35">
      <c r="A154" s="1227"/>
      <c r="B154" s="1144" t="s">
        <v>2163</v>
      </c>
      <c r="C154" s="1234">
        <v>0</v>
      </c>
      <c r="D154" s="1235">
        <v>0</v>
      </c>
      <c r="E154" s="1235">
        <v>0</v>
      </c>
      <c r="F154" s="1235">
        <v>0</v>
      </c>
      <c r="G154" s="1236">
        <v>0</v>
      </c>
    </row>
    <row r="155" spans="1:7" x14ac:dyDescent="0.35">
      <c r="A155" s="1227"/>
      <c r="B155" s="1146" t="s">
        <v>2181</v>
      </c>
      <c r="C155" s="1231">
        <v>0</v>
      </c>
      <c r="D155" s="1232">
        <v>0</v>
      </c>
      <c r="E155" s="1232">
        <v>0</v>
      </c>
      <c r="F155" s="1232">
        <v>0</v>
      </c>
      <c r="G155" s="1233">
        <v>0</v>
      </c>
    </row>
    <row r="156" spans="1:7" x14ac:dyDescent="0.35">
      <c r="A156" s="1227"/>
      <c r="B156" s="1144" t="s">
        <v>2164</v>
      </c>
      <c r="C156" s="1234">
        <v>0</v>
      </c>
      <c r="D156" s="1235">
        <v>0</v>
      </c>
      <c r="E156" s="1235">
        <v>0</v>
      </c>
      <c r="F156" s="1235">
        <v>0</v>
      </c>
      <c r="G156" s="1236">
        <v>0</v>
      </c>
    </row>
    <row r="157" spans="1:7" x14ac:dyDescent="0.35">
      <c r="A157" s="1227"/>
      <c r="B157" s="1146" t="s">
        <v>2336</v>
      </c>
      <c r="C157" s="1231">
        <v>0</v>
      </c>
      <c r="D157" s="1232">
        <v>0</v>
      </c>
      <c r="E157" s="1232">
        <v>0</v>
      </c>
      <c r="F157" s="1232">
        <v>0</v>
      </c>
      <c r="G157" s="1233">
        <v>0</v>
      </c>
    </row>
    <row r="158" spans="1:7" x14ac:dyDescent="0.35">
      <c r="A158" s="1227"/>
      <c r="B158" s="1144" t="s">
        <v>2165</v>
      </c>
      <c r="C158" s="1234">
        <v>0</v>
      </c>
      <c r="D158" s="1235">
        <v>0</v>
      </c>
      <c r="E158" s="1235">
        <v>0</v>
      </c>
      <c r="F158" s="1235">
        <v>0</v>
      </c>
      <c r="G158" s="1236">
        <v>0</v>
      </c>
    </row>
    <row r="159" spans="1:7" x14ac:dyDescent="0.35">
      <c r="A159" s="1227"/>
      <c r="B159" s="1146" t="s">
        <v>2167</v>
      </c>
      <c r="C159" s="1231">
        <v>0</v>
      </c>
      <c r="D159" s="1232">
        <v>0</v>
      </c>
      <c r="E159" s="1232">
        <v>0</v>
      </c>
      <c r="F159" s="1232">
        <v>0</v>
      </c>
      <c r="G159" s="1233">
        <v>0</v>
      </c>
    </row>
    <row r="160" spans="1:7" x14ac:dyDescent="0.35">
      <c r="A160" s="1227"/>
      <c r="B160" s="1144" t="s">
        <v>2168</v>
      </c>
      <c r="C160" s="1234">
        <v>0</v>
      </c>
      <c r="D160" s="1235">
        <v>0</v>
      </c>
      <c r="E160" s="1235">
        <v>0</v>
      </c>
      <c r="F160" s="1235">
        <v>0</v>
      </c>
      <c r="G160" s="1236">
        <v>0</v>
      </c>
    </row>
    <row r="161" spans="1:7" x14ac:dyDescent="0.35">
      <c r="A161" s="1227"/>
      <c r="B161" s="1146" t="s">
        <v>2169</v>
      </c>
      <c r="C161" s="1231">
        <v>0</v>
      </c>
      <c r="D161" s="1232">
        <v>0</v>
      </c>
      <c r="E161" s="1232">
        <v>0</v>
      </c>
      <c r="F161" s="1232">
        <v>0</v>
      </c>
      <c r="G161" s="1233">
        <v>0</v>
      </c>
    </row>
    <row r="162" spans="1:7" x14ac:dyDescent="0.35">
      <c r="A162" s="1227"/>
      <c r="B162" s="1144" t="s">
        <v>2170</v>
      </c>
      <c r="C162" s="1234">
        <v>0</v>
      </c>
      <c r="D162" s="1235">
        <v>0</v>
      </c>
      <c r="E162" s="1235">
        <v>0</v>
      </c>
      <c r="F162" s="1235">
        <v>0</v>
      </c>
      <c r="G162" s="1236">
        <v>0</v>
      </c>
    </row>
    <row r="163" spans="1:7" x14ac:dyDescent="0.35">
      <c r="A163" s="1227"/>
      <c r="B163" s="1146" t="s">
        <v>2171</v>
      </c>
      <c r="C163" s="1231">
        <v>0</v>
      </c>
      <c r="D163" s="1232">
        <v>0</v>
      </c>
      <c r="E163" s="1232">
        <v>0</v>
      </c>
      <c r="F163" s="1232">
        <v>0</v>
      </c>
      <c r="G163" s="1233">
        <v>0</v>
      </c>
    </row>
    <row r="164" spans="1:7" x14ac:dyDescent="0.35">
      <c r="A164" s="1227"/>
      <c r="B164" s="1144" t="s">
        <v>2172</v>
      </c>
      <c r="C164" s="1234">
        <v>0</v>
      </c>
      <c r="D164" s="1235">
        <v>0</v>
      </c>
      <c r="E164" s="1235"/>
      <c r="F164" s="1235">
        <v>0</v>
      </c>
      <c r="G164" s="1236">
        <v>0</v>
      </c>
    </row>
    <row r="165" spans="1:7" x14ac:dyDescent="0.35">
      <c r="A165" s="1227"/>
      <c r="B165" s="1146" t="s">
        <v>2173</v>
      </c>
      <c r="C165" s="1231">
        <v>0</v>
      </c>
      <c r="D165" s="1232">
        <v>0</v>
      </c>
      <c r="E165" s="1232">
        <v>2</v>
      </c>
      <c r="F165" s="1232">
        <v>0</v>
      </c>
      <c r="G165" s="1233">
        <v>0</v>
      </c>
    </row>
    <row r="166" spans="1:7" x14ac:dyDescent="0.35">
      <c r="A166" s="1227"/>
      <c r="B166" s="2683" t="s">
        <v>3908</v>
      </c>
      <c r="C166" s="2731">
        <v>0</v>
      </c>
      <c r="D166" s="2731">
        <v>0</v>
      </c>
      <c r="E166" s="2731">
        <v>0</v>
      </c>
      <c r="F166" s="2731">
        <v>0</v>
      </c>
      <c r="G166" s="2731">
        <v>0</v>
      </c>
    </row>
    <row r="167" spans="1:7" x14ac:dyDescent="0.35">
      <c r="A167" s="1227"/>
      <c r="B167" s="1144" t="s">
        <v>2174</v>
      </c>
      <c r="C167" s="1234"/>
      <c r="D167" s="1235"/>
      <c r="E167" s="1235">
        <v>9</v>
      </c>
      <c r="F167" s="1235">
        <v>1</v>
      </c>
      <c r="G167" s="1236">
        <v>0</v>
      </c>
    </row>
    <row r="168" spans="1:7" x14ac:dyDescent="0.35">
      <c r="A168" s="1227"/>
      <c r="B168" s="1146" t="s">
        <v>2175</v>
      </c>
      <c r="C168" s="1231">
        <v>0</v>
      </c>
      <c r="D168" s="1232">
        <v>0</v>
      </c>
      <c r="E168" s="1232">
        <v>0</v>
      </c>
      <c r="F168" s="1232">
        <v>0</v>
      </c>
      <c r="G168" s="1233">
        <v>0</v>
      </c>
    </row>
    <row r="169" spans="1:7" x14ac:dyDescent="0.35">
      <c r="A169" s="1227"/>
      <c r="B169" s="1144" t="s">
        <v>2176</v>
      </c>
      <c r="C169" s="1234">
        <v>0</v>
      </c>
      <c r="D169" s="1235">
        <v>0</v>
      </c>
      <c r="E169" s="1235">
        <v>0</v>
      </c>
      <c r="F169" s="1235">
        <v>0</v>
      </c>
      <c r="G169" s="1236">
        <v>0</v>
      </c>
    </row>
    <row r="170" spans="1:7" x14ac:dyDescent="0.35">
      <c r="A170" s="1227"/>
      <c r="B170" s="1146" t="s">
        <v>2177</v>
      </c>
      <c r="C170" s="1231">
        <v>0</v>
      </c>
      <c r="D170" s="1232">
        <v>0</v>
      </c>
      <c r="E170" s="1232">
        <v>0</v>
      </c>
      <c r="F170" s="1232">
        <v>0</v>
      </c>
      <c r="G170" s="1233">
        <v>0</v>
      </c>
    </row>
    <row r="171" spans="1:7" x14ac:dyDescent="0.35">
      <c r="A171" s="1227"/>
      <c r="B171" s="1144" t="s">
        <v>2027</v>
      </c>
      <c r="C171" s="1234">
        <v>1</v>
      </c>
      <c r="D171" s="1235"/>
      <c r="E171" s="1235"/>
      <c r="F171" s="1235">
        <v>0</v>
      </c>
      <c r="G171" s="1236">
        <v>0</v>
      </c>
    </row>
    <row r="172" spans="1:7" x14ac:dyDescent="0.35">
      <c r="A172" s="1227"/>
      <c r="B172" s="1146" t="s">
        <v>536</v>
      </c>
      <c r="C172" s="1231"/>
      <c r="D172" s="1232">
        <v>1</v>
      </c>
      <c r="E172" s="1232">
        <v>0</v>
      </c>
      <c r="F172" s="1232">
        <v>2</v>
      </c>
      <c r="G172" s="1233">
        <v>0</v>
      </c>
    </row>
    <row r="173" spans="1:7" x14ac:dyDescent="0.35">
      <c r="B173" s="981" t="s">
        <v>2359</v>
      </c>
    </row>
    <row r="174" spans="1:7" x14ac:dyDescent="0.35">
      <c r="B174" s="981"/>
    </row>
    <row r="175" spans="1:7" ht="18.5" x14ac:dyDescent="0.45">
      <c r="C175" s="3040" t="s">
        <v>2360</v>
      </c>
      <c r="D175" s="3041"/>
      <c r="E175" s="3041"/>
      <c r="F175" s="3041"/>
      <c r="G175" s="3042"/>
    </row>
    <row r="176" spans="1:7" x14ac:dyDescent="0.35">
      <c r="B176" s="1223" t="s">
        <v>2019</v>
      </c>
      <c r="C176" s="1224" t="s">
        <v>2342</v>
      </c>
      <c r="D176" s="1225" t="s">
        <v>2343</v>
      </c>
      <c r="E176" s="1225" t="s">
        <v>2344</v>
      </c>
      <c r="F176" s="1225" t="s">
        <v>2345</v>
      </c>
      <c r="G176" s="1226" t="s">
        <v>2346</v>
      </c>
    </row>
    <row r="177" spans="1:7" x14ac:dyDescent="0.35">
      <c r="B177" s="1136" t="s">
        <v>2180</v>
      </c>
      <c r="C177" s="1228">
        <v>0</v>
      </c>
      <c r="D177" s="1229">
        <v>0</v>
      </c>
      <c r="E177" s="1229">
        <v>0</v>
      </c>
      <c r="F177" s="1229">
        <v>0</v>
      </c>
      <c r="G177" s="1230">
        <v>0</v>
      </c>
    </row>
    <row r="178" spans="1:7" x14ac:dyDescent="0.35">
      <c r="B178" s="1146" t="s">
        <v>2071</v>
      </c>
      <c r="C178" s="1231">
        <v>0</v>
      </c>
      <c r="D178" s="1232">
        <v>0</v>
      </c>
      <c r="E178" s="1232">
        <v>0</v>
      </c>
      <c r="F178" s="1232">
        <v>0</v>
      </c>
      <c r="G178" s="1233">
        <v>0</v>
      </c>
    </row>
    <row r="179" spans="1:7" x14ac:dyDescent="0.35">
      <c r="A179" s="1227"/>
      <c r="B179" s="2683" t="s">
        <v>3906</v>
      </c>
      <c r="C179" s="2731">
        <v>0</v>
      </c>
      <c r="D179" s="2731">
        <v>0</v>
      </c>
      <c r="E179" s="2731">
        <v>0</v>
      </c>
      <c r="F179" s="2731">
        <v>0</v>
      </c>
      <c r="G179" s="2731">
        <v>0</v>
      </c>
    </row>
    <row r="180" spans="1:7" x14ac:dyDescent="0.35">
      <c r="B180" s="1144" t="s">
        <v>2157</v>
      </c>
      <c r="C180" s="1234">
        <v>0</v>
      </c>
      <c r="D180" s="1235">
        <v>0</v>
      </c>
      <c r="E180" s="1235">
        <v>0</v>
      </c>
      <c r="F180" s="1235">
        <v>0</v>
      </c>
      <c r="G180" s="1236">
        <v>0</v>
      </c>
    </row>
    <row r="181" spans="1:7" x14ac:dyDescent="0.35">
      <c r="B181" s="1146" t="s">
        <v>2158</v>
      </c>
      <c r="C181" s="1231">
        <v>0</v>
      </c>
      <c r="D181" s="1232">
        <v>0</v>
      </c>
      <c r="E181" s="1232">
        <v>0</v>
      </c>
      <c r="F181" s="1232">
        <v>0</v>
      </c>
      <c r="G181" s="1233">
        <v>0</v>
      </c>
    </row>
    <row r="182" spans="1:7" x14ac:dyDescent="0.35">
      <c r="A182" s="1227"/>
      <c r="B182" s="2683" t="s">
        <v>3907</v>
      </c>
      <c r="C182" s="2731">
        <v>0</v>
      </c>
      <c r="D182" s="2731">
        <v>0</v>
      </c>
      <c r="E182" s="2731">
        <v>0</v>
      </c>
      <c r="F182" s="2731">
        <v>0</v>
      </c>
      <c r="G182" s="2731">
        <v>0</v>
      </c>
    </row>
    <row r="183" spans="1:7" x14ac:dyDescent="0.35">
      <c r="B183" s="1144" t="s">
        <v>2028</v>
      </c>
      <c r="C183" s="1234">
        <v>0</v>
      </c>
      <c r="D183" s="1235">
        <v>0</v>
      </c>
      <c r="E183" s="1235">
        <v>0</v>
      </c>
      <c r="F183" s="1235">
        <v>0</v>
      </c>
      <c r="G183" s="1236">
        <v>0</v>
      </c>
    </row>
    <row r="184" spans="1:7" x14ac:dyDescent="0.35">
      <c r="B184" s="1146" t="s">
        <v>2109</v>
      </c>
      <c r="C184" s="1231">
        <v>0</v>
      </c>
      <c r="D184" s="1232">
        <v>0</v>
      </c>
      <c r="E184" s="1232">
        <v>0</v>
      </c>
      <c r="F184" s="1232">
        <v>0</v>
      </c>
      <c r="G184" s="1233">
        <v>0</v>
      </c>
    </row>
    <row r="185" spans="1:7" x14ac:dyDescent="0.35">
      <c r="B185" s="1144" t="s">
        <v>2026</v>
      </c>
      <c r="C185" s="1234">
        <v>0</v>
      </c>
      <c r="D185" s="1235">
        <v>0</v>
      </c>
      <c r="E185" s="1235">
        <v>0</v>
      </c>
      <c r="F185" s="1235">
        <v>0</v>
      </c>
      <c r="G185" s="1236">
        <v>0</v>
      </c>
    </row>
    <row r="186" spans="1:7" x14ac:dyDescent="0.35">
      <c r="B186" s="1146" t="s">
        <v>2075</v>
      </c>
      <c r="C186" s="1231">
        <v>0</v>
      </c>
      <c r="D186" s="1232">
        <v>0</v>
      </c>
      <c r="E186" s="1232">
        <v>0</v>
      </c>
      <c r="F186" s="1232">
        <v>0</v>
      </c>
      <c r="G186" s="1233">
        <v>0</v>
      </c>
    </row>
    <row r="187" spans="1:7" x14ac:dyDescent="0.35">
      <c r="B187" s="1144" t="s">
        <v>2029</v>
      </c>
      <c r="C187" s="1234">
        <v>0</v>
      </c>
      <c r="D187" s="1235">
        <v>0</v>
      </c>
      <c r="E187" s="1235">
        <v>0</v>
      </c>
      <c r="F187" s="1235">
        <v>0</v>
      </c>
      <c r="G187" s="1236">
        <v>0</v>
      </c>
    </row>
    <row r="188" spans="1:7" x14ac:dyDescent="0.35">
      <c r="B188" s="1146" t="s">
        <v>2356</v>
      </c>
      <c r="C188" s="1231">
        <v>0</v>
      </c>
      <c r="D188" s="1232">
        <v>0</v>
      </c>
      <c r="E188" s="1232">
        <v>0</v>
      </c>
      <c r="F188" s="1232">
        <v>0</v>
      </c>
      <c r="G188" s="1233">
        <v>0</v>
      </c>
    </row>
    <row r="189" spans="1:7" x14ac:dyDescent="0.35">
      <c r="B189" s="1144" t="s">
        <v>2357</v>
      </c>
      <c r="C189" s="1234">
        <v>0</v>
      </c>
      <c r="D189" s="1235">
        <v>0</v>
      </c>
      <c r="E189" s="1235">
        <v>0</v>
      </c>
      <c r="F189" s="1235">
        <v>0</v>
      </c>
      <c r="G189" s="1236">
        <v>0</v>
      </c>
    </row>
    <row r="190" spans="1:7" x14ac:dyDescent="0.35">
      <c r="B190" s="1146" t="s">
        <v>2358</v>
      </c>
      <c r="C190" s="1231">
        <v>0</v>
      </c>
      <c r="D190" s="1232">
        <v>0</v>
      </c>
      <c r="E190" s="1232">
        <v>0</v>
      </c>
      <c r="F190" s="1232">
        <v>0</v>
      </c>
      <c r="G190" s="1233">
        <v>0</v>
      </c>
    </row>
    <row r="191" spans="1:7" x14ac:dyDescent="0.35">
      <c r="B191" s="1144" t="s">
        <v>2162</v>
      </c>
      <c r="C191" s="1234">
        <v>0</v>
      </c>
      <c r="D191" s="1235">
        <v>0</v>
      </c>
      <c r="E191" s="1235">
        <v>0</v>
      </c>
      <c r="F191" s="1235">
        <v>0</v>
      </c>
      <c r="G191" s="1236">
        <v>0</v>
      </c>
    </row>
    <row r="192" spans="1:7" x14ac:dyDescent="0.35">
      <c r="B192" s="1146" t="s">
        <v>2325</v>
      </c>
      <c r="C192" s="1231">
        <v>0</v>
      </c>
      <c r="D192" s="1232">
        <v>0</v>
      </c>
      <c r="E192" s="1232">
        <v>0</v>
      </c>
      <c r="F192" s="1232">
        <v>0</v>
      </c>
      <c r="G192" s="1233">
        <v>0</v>
      </c>
    </row>
    <row r="193" spans="1:7" x14ac:dyDescent="0.35">
      <c r="B193" s="1144" t="s">
        <v>2073</v>
      </c>
      <c r="C193" s="1234">
        <v>0</v>
      </c>
      <c r="D193" s="1235">
        <v>0</v>
      </c>
      <c r="E193" s="1235">
        <v>0</v>
      </c>
      <c r="F193" s="1235">
        <v>0</v>
      </c>
      <c r="G193" s="1236">
        <v>0</v>
      </c>
    </row>
    <row r="194" spans="1:7" x14ac:dyDescent="0.35">
      <c r="B194" s="1146" t="s">
        <v>2166</v>
      </c>
      <c r="C194" s="1231">
        <v>0</v>
      </c>
      <c r="D194" s="1232">
        <v>0</v>
      </c>
      <c r="E194" s="1232">
        <v>0</v>
      </c>
      <c r="F194" s="1232">
        <v>0</v>
      </c>
      <c r="G194" s="1233">
        <v>0</v>
      </c>
    </row>
    <row r="195" spans="1:7" x14ac:dyDescent="0.35">
      <c r="B195" s="1144" t="s">
        <v>2163</v>
      </c>
      <c r="C195" s="1234">
        <v>0</v>
      </c>
      <c r="D195" s="1235">
        <v>0</v>
      </c>
      <c r="E195" s="1235">
        <v>0</v>
      </c>
      <c r="F195" s="1235">
        <v>0</v>
      </c>
      <c r="G195" s="1236">
        <v>0</v>
      </c>
    </row>
    <row r="196" spans="1:7" x14ac:dyDescent="0.35">
      <c r="B196" s="1146" t="s">
        <v>2181</v>
      </c>
      <c r="C196" s="1231">
        <v>0</v>
      </c>
      <c r="D196" s="1232">
        <v>0</v>
      </c>
      <c r="E196" s="1232">
        <v>0</v>
      </c>
      <c r="F196" s="1232">
        <v>0</v>
      </c>
      <c r="G196" s="1233">
        <v>0</v>
      </c>
    </row>
    <row r="197" spans="1:7" x14ac:dyDescent="0.35">
      <c r="B197" s="1144" t="s">
        <v>2164</v>
      </c>
      <c r="C197" s="1234">
        <v>0</v>
      </c>
      <c r="D197" s="1235">
        <v>0</v>
      </c>
      <c r="E197" s="1235">
        <v>0</v>
      </c>
      <c r="F197" s="1235">
        <v>0</v>
      </c>
      <c r="G197" s="1236">
        <v>0</v>
      </c>
    </row>
    <row r="198" spans="1:7" x14ac:dyDescent="0.35">
      <c r="B198" s="1146" t="s">
        <v>2336</v>
      </c>
      <c r="C198" s="1231">
        <v>0</v>
      </c>
      <c r="D198" s="1232">
        <v>0</v>
      </c>
      <c r="E198" s="1232">
        <v>0</v>
      </c>
      <c r="F198" s="1232">
        <v>0</v>
      </c>
      <c r="G198" s="1233">
        <v>0</v>
      </c>
    </row>
    <row r="199" spans="1:7" x14ac:dyDescent="0.35">
      <c r="B199" s="1144" t="s">
        <v>2165</v>
      </c>
      <c r="C199" s="1234">
        <v>0</v>
      </c>
      <c r="D199" s="1235">
        <v>0</v>
      </c>
      <c r="E199" s="1235">
        <v>0</v>
      </c>
      <c r="F199" s="1235">
        <v>0</v>
      </c>
      <c r="G199" s="1236">
        <v>0</v>
      </c>
    </row>
    <row r="200" spans="1:7" x14ac:dyDescent="0.35">
      <c r="B200" s="1146" t="s">
        <v>2167</v>
      </c>
      <c r="C200" s="1231">
        <v>0</v>
      </c>
      <c r="D200" s="1232">
        <v>0</v>
      </c>
      <c r="E200" s="1232">
        <v>0</v>
      </c>
      <c r="F200" s="1232">
        <v>0</v>
      </c>
      <c r="G200" s="1233">
        <v>0</v>
      </c>
    </row>
    <row r="201" spans="1:7" x14ac:dyDescent="0.35">
      <c r="B201" s="1144" t="s">
        <v>2168</v>
      </c>
      <c r="C201" s="1234">
        <v>0</v>
      </c>
      <c r="D201" s="1235">
        <v>0</v>
      </c>
      <c r="E201" s="1235">
        <v>0</v>
      </c>
      <c r="F201" s="1235">
        <v>0</v>
      </c>
      <c r="G201" s="1236">
        <v>0</v>
      </c>
    </row>
    <row r="202" spans="1:7" x14ac:dyDescent="0.35">
      <c r="B202" s="1146" t="s">
        <v>2169</v>
      </c>
      <c r="C202" s="1231">
        <v>0</v>
      </c>
      <c r="D202" s="1232">
        <v>0</v>
      </c>
      <c r="E202" s="1232">
        <v>0</v>
      </c>
      <c r="F202" s="1232">
        <v>0</v>
      </c>
      <c r="G202" s="1233">
        <v>0</v>
      </c>
    </row>
    <row r="203" spans="1:7" x14ac:dyDescent="0.35">
      <c r="B203" s="1144" t="s">
        <v>2170</v>
      </c>
      <c r="C203" s="1234">
        <v>0</v>
      </c>
      <c r="D203" s="1235">
        <v>0</v>
      </c>
      <c r="E203" s="1235">
        <v>0</v>
      </c>
      <c r="F203" s="1235">
        <v>0</v>
      </c>
      <c r="G203" s="1236">
        <v>0</v>
      </c>
    </row>
    <row r="204" spans="1:7" x14ac:dyDescent="0.35">
      <c r="B204" s="1146" t="s">
        <v>2171</v>
      </c>
      <c r="C204" s="1231">
        <v>0</v>
      </c>
      <c r="D204" s="1232">
        <v>0</v>
      </c>
      <c r="E204" s="1232">
        <v>0</v>
      </c>
      <c r="F204" s="1232">
        <v>0</v>
      </c>
      <c r="G204" s="1233">
        <v>0</v>
      </c>
    </row>
    <row r="205" spans="1:7" x14ac:dyDescent="0.35">
      <c r="B205" s="1144" t="s">
        <v>2172</v>
      </c>
      <c r="C205" s="1234">
        <v>0</v>
      </c>
      <c r="D205" s="1235">
        <v>0</v>
      </c>
      <c r="E205" s="1235">
        <v>1</v>
      </c>
      <c r="F205" s="1235">
        <v>0</v>
      </c>
      <c r="G205" s="1236">
        <v>0</v>
      </c>
    </row>
    <row r="206" spans="1:7" x14ac:dyDescent="0.35">
      <c r="B206" s="1146" t="s">
        <v>2173</v>
      </c>
      <c r="C206" s="1231">
        <v>0</v>
      </c>
      <c r="D206" s="1232">
        <v>0</v>
      </c>
      <c r="E206" s="1232">
        <v>0</v>
      </c>
      <c r="F206" s="1232">
        <v>0</v>
      </c>
      <c r="G206" s="1233">
        <v>0</v>
      </c>
    </row>
    <row r="207" spans="1:7" x14ac:dyDescent="0.35">
      <c r="A207" s="1227"/>
      <c r="B207" s="2683" t="s">
        <v>3908</v>
      </c>
      <c r="C207" s="2731">
        <v>0</v>
      </c>
      <c r="D207" s="2731">
        <v>0</v>
      </c>
      <c r="E207" s="2731">
        <v>0</v>
      </c>
      <c r="F207" s="2731">
        <v>0</v>
      </c>
      <c r="G207" s="2731">
        <v>0</v>
      </c>
    </row>
    <row r="208" spans="1:7" x14ac:dyDescent="0.35">
      <c r="B208" s="1144" t="s">
        <v>2174</v>
      </c>
      <c r="C208" s="1234">
        <v>1</v>
      </c>
      <c r="D208" s="1235">
        <v>0</v>
      </c>
      <c r="E208" s="1235">
        <v>0</v>
      </c>
      <c r="F208" s="1235">
        <v>1</v>
      </c>
      <c r="G208" s="1236">
        <v>0</v>
      </c>
    </row>
    <row r="209" spans="2:26" x14ac:dyDescent="0.35">
      <c r="B209" s="1146" t="s">
        <v>2175</v>
      </c>
      <c r="C209" s="1231">
        <v>0</v>
      </c>
      <c r="D209" s="1232">
        <v>0</v>
      </c>
      <c r="E209" s="1232">
        <v>0</v>
      </c>
      <c r="F209" s="1232">
        <v>0</v>
      </c>
      <c r="G209" s="1233">
        <v>0</v>
      </c>
    </row>
    <row r="210" spans="2:26" x14ac:dyDescent="0.35">
      <c r="B210" s="1144" t="s">
        <v>2176</v>
      </c>
      <c r="C210" s="1234">
        <v>0</v>
      </c>
      <c r="D210" s="1235">
        <v>0</v>
      </c>
      <c r="E210" s="1235">
        <v>0</v>
      </c>
      <c r="F210" s="1235">
        <v>0</v>
      </c>
      <c r="G210" s="1236">
        <v>0</v>
      </c>
    </row>
    <row r="211" spans="2:26" x14ac:dyDescent="0.35">
      <c r="B211" s="1146" t="s">
        <v>2177</v>
      </c>
      <c r="C211" s="1231">
        <v>0</v>
      </c>
      <c r="D211" s="1232">
        <v>0</v>
      </c>
      <c r="E211" s="1232">
        <v>0</v>
      </c>
      <c r="F211" s="1232">
        <v>0</v>
      </c>
      <c r="G211" s="1233">
        <v>0</v>
      </c>
    </row>
    <row r="212" spans="2:26" x14ac:dyDescent="0.35">
      <c r="B212" s="1144" t="s">
        <v>2027</v>
      </c>
      <c r="C212" s="1234">
        <v>0</v>
      </c>
      <c r="D212" s="1235">
        <v>0</v>
      </c>
      <c r="E212" s="1235">
        <v>0</v>
      </c>
      <c r="F212" s="1235">
        <v>0</v>
      </c>
      <c r="G212" s="1236">
        <v>0</v>
      </c>
    </row>
    <row r="213" spans="2:26" x14ac:dyDescent="0.35">
      <c r="B213" s="1146" t="s">
        <v>536</v>
      </c>
      <c r="C213" s="1231">
        <v>2</v>
      </c>
      <c r="D213" s="1232">
        <v>0</v>
      </c>
      <c r="E213" s="1232">
        <v>0</v>
      </c>
      <c r="F213" s="1232">
        <v>0</v>
      </c>
      <c r="G213" s="1233">
        <v>0</v>
      </c>
    </row>
    <row r="214" spans="2:26" x14ac:dyDescent="0.35">
      <c r="B214" s="981" t="s">
        <v>2359</v>
      </c>
    </row>
    <row r="215" spans="2:26" ht="18.5" x14ac:dyDescent="0.45">
      <c r="B215" s="748"/>
      <c r="F215" s="779"/>
      <c r="G215" s="779"/>
      <c r="H215" s="779"/>
      <c r="I215" s="779"/>
      <c r="J215" s="779"/>
      <c r="K215" s="779"/>
      <c r="L215" s="779"/>
      <c r="M215" s="779"/>
      <c r="N215" s="779"/>
      <c r="O215" s="779"/>
      <c r="P215" s="779"/>
      <c r="Q215" s="779"/>
      <c r="R215" s="779"/>
      <c r="S215" s="779"/>
      <c r="T215" s="779"/>
      <c r="U215" s="779"/>
      <c r="V215" s="779"/>
      <c r="W215" s="779"/>
      <c r="X215" s="779"/>
      <c r="Y215" s="779"/>
      <c r="Z215" s="779"/>
    </row>
    <row r="216" spans="2:26" ht="34.5" customHeight="1" x14ac:dyDescent="0.35">
      <c r="B216" s="1003"/>
      <c r="D216" s="3043" t="s">
        <v>2361</v>
      </c>
      <c r="E216" s="3044"/>
      <c r="F216" s="753"/>
      <c r="G216" s="753"/>
      <c r="H216" s="753"/>
      <c r="I216" s="753"/>
      <c r="J216" s="876"/>
      <c r="K216" s="876"/>
      <c r="L216" s="753"/>
      <c r="M216" s="753"/>
      <c r="N216" s="753"/>
      <c r="O216" s="876"/>
      <c r="P216" s="876"/>
      <c r="Q216" s="876"/>
      <c r="R216" s="753"/>
      <c r="S216" s="753"/>
      <c r="T216" s="753"/>
      <c r="U216" s="753"/>
      <c r="V216" s="753"/>
    </row>
    <row r="217" spans="2:26" ht="59.25" customHeight="1" x14ac:dyDescent="0.35">
      <c r="B217" s="1237" t="s">
        <v>2292</v>
      </c>
      <c r="C217" s="904" t="s">
        <v>2362</v>
      </c>
      <c r="D217" s="864" t="s">
        <v>2363</v>
      </c>
      <c r="E217" s="867" t="s">
        <v>2364</v>
      </c>
      <c r="F217" s="867" t="s">
        <v>2365</v>
      </c>
      <c r="G217" s="864" t="s">
        <v>2366</v>
      </c>
      <c r="H217" s="753"/>
      <c r="I217" s="753"/>
      <c r="J217" s="876"/>
      <c r="K217" s="876"/>
      <c r="L217" s="753"/>
      <c r="M217" s="753"/>
      <c r="N217" s="753"/>
      <c r="O217" s="876"/>
      <c r="P217" s="876"/>
      <c r="Q217" s="876"/>
      <c r="R217" s="753"/>
      <c r="S217" s="753"/>
      <c r="T217" s="753"/>
      <c r="U217" s="753"/>
      <c r="V217" s="753"/>
    </row>
    <row r="218" spans="2:26" x14ac:dyDescent="0.35">
      <c r="B218" s="1238" t="s">
        <v>2296</v>
      </c>
      <c r="C218" s="986" t="s">
        <v>2297</v>
      </c>
      <c r="D218" s="1239">
        <v>230</v>
      </c>
      <c r="E218" s="1240">
        <f t="shared" ref="E218:E227" si="1">D58</f>
        <v>0.82</v>
      </c>
      <c r="F218" s="1240">
        <f>E218-G218</f>
        <v>0.80499999999999994</v>
      </c>
      <c r="G218" s="1240">
        <v>1.4999999999999999E-2</v>
      </c>
      <c r="H218" s="880"/>
      <c r="I218" s="769"/>
      <c r="J218" s="769"/>
      <c r="K218" s="769"/>
      <c r="L218" s="770"/>
      <c r="M218" s="759"/>
      <c r="N218" s="759"/>
      <c r="O218" s="759"/>
      <c r="P218" s="759"/>
      <c r="Q218" s="759"/>
      <c r="R218" s="760"/>
      <c r="S218" s="761"/>
      <c r="T218" s="762"/>
      <c r="U218" s="763"/>
      <c r="V218" s="764"/>
    </row>
    <row r="219" spans="2:26" x14ac:dyDescent="0.35">
      <c r="B219" s="1241" t="s">
        <v>2296</v>
      </c>
      <c r="C219" s="1139" t="s">
        <v>2298</v>
      </c>
      <c r="D219" s="1242">
        <v>399</v>
      </c>
      <c r="E219" s="1243">
        <f t="shared" si="1"/>
        <v>0.8</v>
      </c>
      <c r="F219" s="1243">
        <f t="shared" ref="F219:F227" si="2">E219-G219</f>
        <v>0.78500000000000003</v>
      </c>
      <c r="G219" s="1243">
        <v>1.4999999999999999E-2</v>
      </c>
      <c r="H219" s="880"/>
      <c r="I219" s="769"/>
      <c r="J219" s="769"/>
      <c r="K219" s="769"/>
      <c r="L219" s="770"/>
      <c r="M219" s="759"/>
      <c r="N219" s="759"/>
      <c r="O219" s="759"/>
      <c r="P219" s="759"/>
      <c r="Q219" s="759"/>
      <c r="R219" s="760"/>
      <c r="S219" s="761"/>
      <c r="T219" s="762"/>
      <c r="U219" s="763"/>
      <c r="V219" s="764"/>
    </row>
    <row r="220" spans="2:26" x14ac:dyDescent="0.35">
      <c r="B220" s="1244" t="s">
        <v>2296</v>
      </c>
      <c r="C220" s="1142" t="s">
        <v>2299</v>
      </c>
      <c r="D220" s="1245">
        <v>699.8</v>
      </c>
      <c r="E220" s="1246">
        <f t="shared" si="1"/>
        <v>0.8</v>
      </c>
      <c r="F220" s="1246">
        <f t="shared" si="2"/>
        <v>0.78500000000000003</v>
      </c>
      <c r="G220" s="1246">
        <v>1.4999999999999999E-2</v>
      </c>
      <c r="H220" s="880"/>
      <c r="I220" s="769"/>
      <c r="J220" s="769"/>
      <c r="K220" s="769"/>
      <c r="L220" s="770"/>
      <c r="M220" s="759"/>
      <c r="N220" s="759"/>
      <c r="O220" s="759"/>
      <c r="P220" s="759"/>
      <c r="Q220" s="759"/>
      <c r="R220" s="760"/>
      <c r="S220" s="761"/>
      <c r="T220" s="762"/>
      <c r="U220" s="763"/>
      <c r="V220" s="764"/>
    </row>
    <row r="221" spans="2:26" x14ac:dyDescent="0.35">
      <c r="B221" s="1241" t="s">
        <v>2296</v>
      </c>
      <c r="C221" s="1139" t="s">
        <v>2300</v>
      </c>
      <c r="D221" s="1242">
        <v>1142.5999999999999</v>
      </c>
      <c r="E221" s="1243">
        <f t="shared" si="1"/>
        <v>0.8</v>
      </c>
      <c r="F221" s="1243">
        <f t="shared" si="2"/>
        <v>0.78500000000000003</v>
      </c>
      <c r="G221" s="1243">
        <v>1.4999999999999999E-2</v>
      </c>
      <c r="H221" s="880"/>
      <c r="I221" s="769"/>
      <c r="J221" s="769"/>
      <c r="K221" s="769"/>
      <c r="L221" s="770"/>
      <c r="M221" s="759"/>
      <c r="N221" s="759"/>
      <c r="O221" s="759"/>
      <c r="P221" s="759"/>
      <c r="Q221" s="759"/>
      <c r="R221" s="760"/>
      <c r="S221" s="761"/>
      <c r="T221" s="762"/>
      <c r="U221" s="763"/>
      <c r="V221" s="764"/>
    </row>
    <row r="222" spans="2:26" x14ac:dyDescent="0.35">
      <c r="B222" s="1247" t="s">
        <v>2296</v>
      </c>
      <c r="C222" s="1145" t="s">
        <v>2301</v>
      </c>
      <c r="D222" s="1248">
        <v>1779.2528</v>
      </c>
      <c r="E222" s="1249">
        <f t="shared" si="1"/>
        <v>0.8</v>
      </c>
      <c r="F222" s="1249">
        <f t="shared" si="2"/>
        <v>0.78500000000000003</v>
      </c>
      <c r="G222" s="1249">
        <v>1.4999999999999999E-2</v>
      </c>
      <c r="H222" s="880"/>
      <c r="I222" s="769"/>
      <c r="J222" s="769"/>
      <c r="K222" s="769"/>
      <c r="L222" s="770"/>
      <c r="M222" s="759"/>
      <c r="N222" s="759"/>
      <c r="O222" s="759"/>
      <c r="P222" s="759"/>
      <c r="Q222" s="759"/>
      <c r="R222" s="760"/>
      <c r="S222" s="761"/>
      <c r="T222" s="762"/>
      <c r="U222" s="763"/>
      <c r="V222" s="764"/>
    </row>
    <row r="223" spans="2:26" x14ac:dyDescent="0.35">
      <c r="B223" s="1250" t="s">
        <v>2302</v>
      </c>
      <c r="C223" s="1147" t="s">
        <v>2297</v>
      </c>
      <c r="D223" s="1251">
        <v>264.5</v>
      </c>
      <c r="E223" s="1252">
        <f t="shared" si="1"/>
        <v>0.8</v>
      </c>
      <c r="F223" s="1252">
        <f t="shared" si="2"/>
        <v>0.78500000000000003</v>
      </c>
      <c r="G223" s="1252">
        <v>1.4999999999999999E-2</v>
      </c>
      <c r="H223" s="880"/>
      <c r="I223" s="769"/>
      <c r="J223" s="769"/>
      <c r="K223" s="769"/>
      <c r="L223" s="770"/>
      <c r="M223" s="759"/>
      <c r="N223" s="759"/>
      <c r="O223" s="759"/>
      <c r="P223" s="759"/>
      <c r="Q223" s="759"/>
      <c r="R223" s="760"/>
      <c r="S223" s="761"/>
      <c r="T223" s="762"/>
      <c r="U223" s="763"/>
      <c r="V223" s="764"/>
    </row>
    <row r="224" spans="2:26" x14ac:dyDescent="0.35">
      <c r="B224" s="1247" t="s">
        <v>2302</v>
      </c>
      <c r="C224" s="1145" t="s">
        <v>2298</v>
      </c>
      <c r="D224" s="1248">
        <v>322.962580705883</v>
      </c>
      <c r="E224" s="1249">
        <f t="shared" si="1"/>
        <v>0.79</v>
      </c>
      <c r="F224" s="1249">
        <f t="shared" si="2"/>
        <v>0.77500000000000002</v>
      </c>
      <c r="G224" s="1249">
        <v>1.4999999999999999E-2</v>
      </c>
      <c r="H224" s="880"/>
      <c r="I224" s="769"/>
      <c r="J224" s="769"/>
      <c r="K224" s="769"/>
      <c r="L224" s="770"/>
      <c r="M224" s="759"/>
      <c r="N224" s="759"/>
      <c r="O224" s="759"/>
      <c r="P224" s="759"/>
      <c r="Q224" s="759"/>
      <c r="R224" s="760"/>
      <c r="S224" s="761"/>
      <c r="T224" s="762"/>
      <c r="U224" s="763"/>
      <c r="V224" s="764"/>
    </row>
    <row r="225" spans="1:22" x14ac:dyDescent="0.35">
      <c r="B225" s="1253" t="s">
        <v>2302</v>
      </c>
      <c r="C225" s="1149" t="s">
        <v>2299</v>
      </c>
      <c r="D225" s="1254">
        <v>500</v>
      </c>
      <c r="E225" s="1255">
        <f t="shared" si="1"/>
        <v>0.79</v>
      </c>
      <c r="F225" s="1255">
        <f t="shared" si="2"/>
        <v>0.77500000000000002</v>
      </c>
      <c r="G225" s="1255">
        <v>1.4999999999999999E-2</v>
      </c>
      <c r="H225" s="880"/>
      <c r="I225" s="769"/>
      <c r="J225" s="769"/>
      <c r="K225" s="769"/>
      <c r="L225" s="770"/>
      <c r="M225" s="759"/>
      <c r="N225" s="759"/>
      <c r="O225" s="759"/>
      <c r="P225" s="759"/>
      <c r="Q225" s="759"/>
      <c r="R225" s="760"/>
      <c r="S225" s="761"/>
      <c r="T225" s="762"/>
      <c r="U225" s="763"/>
      <c r="V225" s="764"/>
    </row>
    <row r="226" spans="1:22" x14ac:dyDescent="0.35">
      <c r="B226" s="1256" t="s">
        <v>2302</v>
      </c>
      <c r="C226" s="1151" t="s">
        <v>2300</v>
      </c>
      <c r="D226" s="1257">
        <v>1500</v>
      </c>
      <c r="E226" s="1258">
        <f t="shared" si="1"/>
        <v>0.79</v>
      </c>
      <c r="F226" s="1258">
        <f t="shared" si="2"/>
        <v>0.77500000000000002</v>
      </c>
      <c r="G226" s="1258">
        <v>1.4999999999999999E-2</v>
      </c>
      <c r="H226" s="880"/>
      <c r="I226" s="769"/>
      <c r="J226" s="769"/>
      <c r="K226" s="769"/>
      <c r="L226" s="770"/>
      <c r="M226" s="759"/>
      <c r="N226" s="759"/>
      <c r="O226" s="759"/>
      <c r="P226" s="759"/>
      <c r="Q226" s="759"/>
      <c r="R226" s="760"/>
      <c r="S226" s="761"/>
      <c r="T226" s="762"/>
      <c r="U226" s="763"/>
      <c r="V226" s="764"/>
    </row>
    <row r="227" spans="1:22" x14ac:dyDescent="0.35">
      <c r="B227" s="1259" t="s">
        <v>2302</v>
      </c>
      <c r="C227" s="1152" t="s">
        <v>2301</v>
      </c>
      <c r="D227" s="1260">
        <v>1779.2528</v>
      </c>
      <c r="E227" s="1261">
        <f t="shared" si="1"/>
        <v>0.79</v>
      </c>
      <c r="F227" s="1261">
        <f t="shared" si="2"/>
        <v>0.77500000000000002</v>
      </c>
      <c r="G227" s="1261">
        <v>1.4999999999999999E-2</v>
      </c>
      <c r="H227" s="880"/>
      <c r="I227" s="769"/>
      <c r="J227" s="769"/>
      <c r="K227" s="769"/>
      <c r="L227" s="770"/>
      <c r="M227" s="759"/>
      <c r="N227" s="759"/>
      <c r="O227" s="759"/>
      <c r="P227" s="759"/>
      <c r="Q227" s="759"/>
      <c r="R227" s="760"/>
      <c r="S227" s="761"/>
      <c r="T227" s="762"/>
      <c r="U227" s="763"/>
      <c r="V227" s="764"/>
    </row>
    <row r="229" spans="1:22" ht="21" x14ac:dyDescent="0.5">
      <c r="A229" s="704" t="s">
        <v>2036</v>
      </c>
    </row>
    <row r="231" spans="1:22" ht="26.25" customHeight="1" x14ac:dyDescent="0.6">
      <c r="B231" s="3032"/>
      <c r="C231" s="3045"/>
      <c r="D231" s="3046" t="s">
        <v>2038</v>
      </c>
      <c r="E231" s="3047"/>
      <c r="F231" s="3047"/>
      <c r="G231" s="3047"/>
      <c r="H231" s="3048"/>
      <c r="I231" s="1262" t="s">
        <v>2039</v>
      </c>
      <c r="J231" s="3049" t="s">
        <v>2040</v>
      </c>
      <c r="K231" s="3050"/>
      <c r="L231" s="779"/>
      <c r="M231" s="779"/>
      <c r="N231" s="779"/>
      <c r="O231" s="779"/>
      <c r="P231" s="779"/>
      <c r="Q231" s="779"/>
      <c r="R231" s="779"/>
    </row>
    <row r="232" spans="1:22" ht="52.5" customHeight="1" x14ac:dyDescent="0.35">
      <c r="A232" s="1263" t="s">
        <v>2291</v>
      </c>
      <c r="B232" s="863" t="s">
        <v>2292</v>
      </c>
      <c r="C232" s="882" t="s">
        <v>2305</v>
      </c>
      <c r="D232" s="905" t="s">
        <v>1947</v>
      </c>
      <c r="E232" s="907" t="s">
        <v>2184</v>
      </c>
      <c r="F232" s="907" t="s">
        <v>2363</v>
      </c>
      <c r="G232" s="904" t="s">
        <v>2365</v>
      </c>
      <c r="H232" s="1264" t="s">
        <v>2367</v>
      </c>
      <c r="I232" s="906" t="s">
        <v>2368</v>
      </c>
      <c r="J232" s="903" t="s">
        <v>2369</v>
      </c>
      <c r="K232" s="864" t="s">
        <v>2370</v>
      </c>
      <c r="L232" s="867" t="s">
        <v>2371</v>
      </c>
      <c r="M232" s="867" t="s">
        <v>2372</v>
      </c>
      <c r="N232" s="712"/>
      <c r="O232" s="712"/>
      <c r="P232" s="712"/>
      <c r="Q232" s="712"/>
      <c r="R232" s="712"/>
    </row>
    <row r="233" spans="1:22" x14ac:dyDescent="0.35">
      <c r="A233" s="1136" t="s">
        <v>2295</v>
      </c>
      <c r="B233" s="1136" t="s">
        <v>2296</v>
      </c>
      <c r="C233" s="1265" t="s">
        <v>2297</v>
      </c>
      <c r="D233" s="1266">
        <f>SUM(C136:C172)</f>
        <v>1</v>
      </c>
      <c r="E233" s="1267">
        <f>D113*D218</f>
        <v>230</v>
      </c>
      <c r="F233" s="1268">
        <f t="shared" ref="F233:F242" si="3">D218</f>
        <v>230</v>
      </c>
      <c r="G233" s="2814">
        <v>0.81499999999999995</v>
      </c>
      <c r="H233" s="2814">
        <f>G233+2.3%</f>
        <v>0.83799999999999997</v>
      </c>
      <c r="I233" s="1269"/>
      <c r="J233" s="1270">
        <f>ROUND(IFERROR(SUMPRODUCT(C$136:C$172,$H$71:$H$107)/$D233,0),2)</f>
        <v>1195.23</v>
      </c>
      <c r="K233" s="1270">
        <f>IFERROR(J233*F233*1000*(((H233)/G233)-1)/100000*D233,0)</f>
        <v>77.57995950920261</v>
      </c>
      <c r="L233" s="1267">
        <f t="shared" ref="L233:L252" si="4">D233*E233</f>
        <v>230</v>
      </c>
      <c r="M233" s="1267">
        <f>F233*D233*C$258</f>
        <v>190.89999999999998</v>
      </c>
      <c r="N233" s="1271"/>
      <c r="O233" s="1271"/>
      <c r="P233" s="1272"/>
      <c r="Q233" s="796"/>
      <c r="R233" s="796"/>
    </row>
    <row r="234" spans="1:22" x14ac:dyDescent="0.35">
      <c r="A234" s="1138" t="s">
        <v>2295</v>
      </c>
      <c r="B234" s="1138" t="s">
        <v>2296</v>
      </c>
      <c r="C234" s="1273" t="s">
        <v>2298</v>
      </c>
      <c r="D234" s="1274">
        <f>SUM(D136:D172)</f>
        <v>1</v>
      </c>
      <c r="E234" s="1275">
        <f>D114*D219</f>
        <v>399</v>
      </c>
      <c r="F234" s="1276">
        <f t="shared" si="3"/>
        <v>399</v>
      </c>
      <c r="G234" s="2815">
        <v>0.81499999999999995</v>
      </c>
      <c r="H234" s="2815">
        <f t="shared" ref="H234:H242" si="5">G234+2.3%</f>
        <v>0.83799999999999997</v>
      </c>
      <c r="I234" s="1277"/>
      <c r="J234" s="1278">
        <f>IFERROR(SUMPRODUCT(D$136:D$172,$H$71:$H$107)/$D234,0)</f>
        <v>1518.1276595744682</v>
      </c>
      <c r="K234" s="1278">
        <f t="shared" ref="K234:K242" si="6">IFERROR(J234*F234*1000*(((H234)/G234)-1)/100000*D234,0)</f>
        <v>170.94303720141014</v>
      </c>
      <c r="L234" s="1275">
        <f t="shared" si="4"/>
        <v>399</v>
      </c>
      <c r="M234" s="1275">
        <f t="shared" ref="M234:M242" si="7">F234*D234*C$258</f>
        <v>331.16999999999996</v>
      </c>
      <c r="N234" s="1271"/>
      <c r="O234" s="1271"/>
      <c r="P234" s="1272"/>
      <c r="Q234" s="796"/>
      <c r="R234" s="796"/>
    </row>
    <row r="235" spans="1:22" x14ac:dyDescent="0.35">
      <c r="A235" s="1141" t="s">
        <v>2295</v>
      </c>
      <c r="B235" s="1141" t="s">
        <v>2296</v>
      </c>
      <c r="C235" s="1279" t="s">
        <v>2299</v>
      </c>
      <c r="D235" s="1280">
        <f>SUM(E136:E172)</f>
        <v>14</v>
      </c>
      <c r="E235" s="1281">
        <f>D115*D220</f>
        <v>699.8</v>
      </c>
      <c r="F235" s="1282">
        <f t="shared" si="3"/>
        <v>699.8</v>
      </c>
      <c r="G235" s="2815">
        <v>0.81499999999999995</v>
      </c>
      <c r="H235" s="2815">
        <f t="shared" si="5"/>
        <v>0.83799999999999997</v>
      </c>
      <c r="I235" s="1283"/>
      <c r="J235" s="1284">
        <f>ROUND(IFERROR(SUMPRODUCT(E$136:E$172,$H$71:$H$107)/$D235,0),0)</f>
        <v>1390</v>
      </c>
      <c r="K235" s="1284">
        <f t="shared" si="6"/>
        <v>3843.1470429447932</v>
      </c>
      <c r="L235" s="1281">
        <f t="shared" si="4"/>
        <v>9797.1999999999989</v>
      </c>
      <c r="M235" s="1281">
        <f t="shared" si="7"/>
        <v>8131.6759999999986</v>
      </c>
      <c r="N235" s="1271"/>
      <c r="O235" s="1271"/>
      <c r="P235" s="1272"/>
      <c r="Q235" s="796"/>
      <c r="R235" s="796"/>
    </row>
    <row r="236" spans="1:22" x14ac:dyDescent="0.35">
      <c r="A236" s="1138" t="s">
        <v>2295</v>
      </c>
      <c r="B236" s="1138" t="s">
        <v>2296</v>
      </c>
      <c r="C236" s="1273" t="s">
        <v>2300</v>
      </c>
      <c r="D236" s="1274">
        <f>SUM(F136:F172)</f>
        <v>5</v>
      </c>
      <c r="E236" s="1275">
        <f>D116*D221</f>
        <v>1142.5999999999999</v>
      </c>
      <c r="F236" s="1276">
        <f t="shared" si="3"/>
        <v>1142.5999999999999</v>
      </c>
      <c r="G236" s="2815">
        <v>0.81499999999999995</v>
      </c>
      <c r="H236" s="2815">
        <f t="shared" si="5"/>
        <v>0.83799999999999997</v>
      </c>
      <c r="I236" s="1277"/>
      <c r="J236" s="1278">
        <f>IFERROR(SUMPRODUCT(F$136:F$172,$H$71:$H$107)/$D236,0)</f>
        <v>1355.8638297872342</v>
      </c>
      <c r="K236" s="1278">
        <f t="shared" si="6"/>
        <v>2186.0018573032289</v>
      </c>
      <c r="L236" s="1275">
        <f t="shared" si="4"/>
        <v>5713</v>
      </c>
      <c r="M236" s="1275">
        <f t="shared" si="7"/>
        <v>4741.79</v>
      </c>
      <c r="N236" s="1271"/>
      <c r="O236" s="1271"/>
      <c r="P236" s="1272"/>
      <c r="Q236" s="796"/>
      <c r="R236" s="796"/>
    </row>
    <row r="237" spans="1:22" x14ac:dyDescent="0.35">
      <c r="A237" s="1144" t="s">
        <v>2295</v>
      </c>
      <c r="B237" s="1144" t="s">
        <v>2296</v>
      </c>
      <c r="C237" s="1285" t="s">
        <v>2301</v>
      </c>
      <c r="D237" s="1280">
        <f>SUM(G136:G172)</f>
        <v>0</v>
      </c>
      <c r="E237" s="1281">
        <f>D117*D222</f>
        <v>1779.2528</v>
      </c>
      <c r="F237" s="1282">
        <f t="shared" si="3"/>
        <v>1779.2528</v>
      </c>
      <c r="G237" s="2815">
        <v>0.81499999999999995</v>
      </c>
      <c r="H237" s="2815">
        <f t="shared" si="5"/>
        <v>0.83799999999999997</v>
      </c>
      <c r="I237" s="1283"/>
      <c r="J237" s="1284">
        <f>IFERROR(SUMPRODUCT(G$136:G$172,$H$71:$H$107)/$D237,0)</f>
        <v>0</v>
      </c>
      <c r="K237" s="1284">
        <f t="shared" si="6"/>
        <v>0</v>
      </c>
      <c r="L237" s="1281">
        <f t="shared" si="4"/>
        <v>0</v>
      </c>
      <c r="M237" s="1281">
        <f t="shared" si="7"/>
        <v>0</v>
      </c>
      <c r="N237" s="1271"/>
      <c r="O237" s="1271"/>
      <c r="P237" s="1272"/>
      <c r="Q237" s="796"/>
      <c r="R237" s="796"/>
    </row>
    <row r="238" spans="1:22" x14ac:dyDescent="0.35">
      <c r="A238" s="1146" t="s">
        <v>2295</v>
      </c>
      <c r="B238" s="1146" t="s">
        <v>2302</v>
      </c>
      <c r="C238" s="1286" t="s">
        <v>2297</v>
      </c>
      <c r="D238" s="1274">
        <f>SUM(C177:C213)</f>
        <v>3</v>
      </c>
      <c r="E238" s="1275">
        <f>D113*D223</f>
        <v>264.5</v>
      </c>
      <c r="F238" s="1276">
        <f t="shared" si="3"/>
        <v>264.5</v>
      </c>
      <c r="G238" s="2815">
        <v>0.81499999999999995</v>
      </c>
      <c r="H238" s="2815">
        <f t="shared" si="5"/>
        <v>0.83799999999999997</v>
      </c>
      <c r="I238" s="1277"/>
      <c r="J238" s="1278">
        <f>IFERROR(SUMPRODUCT(C$177:C$213,$H$71:$H$107)/$D238,0)</f>
        <v>1484.7659574468087</v>
      </c>
      <c r="K238" s="1278">
        <f t="shared" si="6"/>
        <v>332.48737553844217</v>
      </c>
      <c r="L238" s="1275">
        <f t="shared" si="4"/>
        <v>793.5</v>
      </c>
      <c r="M238" s="1275">
        <f t="shared" si="7"/>
        <v>658.60500000000002</v>
      </c>
      <c r="N238" s="1271"/>
      <c r="O238" s="1271"/>
      <c r="P238" s="1272"/>
      <c r="Q238" s="796"/>
      <c r="R238" s="796"/>
    </row>
    <row r="239" spans="1:22" x14ac:dyDescent="0.35">
      <c r="A239" s="1144" t="s">
        <v>2295</v>
      </c>
      <c r="B239" s="1144" t="s">
        <v>2302</v>
      </c>
      <c r="C239" s="1285" t="s">
        <v>2298</v>
      </c>
      <c r="D239" s="1287">
        <f>SUM(D177:D213)</f>
        <v>0</v>
      </c>
      <c r="E239" s="1288">
        <f>D114*D224</f>
        <v>322.962580705883</v>
      </c>
      <c r="F239" s="1289">
        <f t="shared" si="3"/>
        <v>322.962580705883</v>
      </c>
      <c r="G239" s="2816">
        <v>0.81499999999999995</v>
      </c>
      <c r="H239" s="2816">
        <f t="shared" si="5"/>
        <v>0.83799999999999997</v>
      </c>
      <c r="I239" s="1290"/>
      <c r="J239" s="1291">
        <f>IFERROR(SUMPRODUCT(D$177:D$213,$H$71:$H$107)/$D239,0)</f>
        <v>0</v>
      </c>
      <c r="K239" s="1291">
        <f t="shared" si="6"/>
        <v>0</v>
      </c>
      <c r="L239" s="1288">
        <f t="shared" si="4"/>
        <v>0</v>
      </c>
      <c r="M239" s="1288">
        <f t="shared" si="7"/>
        <v>0</v>
      </c>
      <c r="N239" s="1271"/>
      <c r="O239" s="1271"/>
      <c r="P239" s="1272"/>
      <c r="Q239" s="796"/>
      <c r="R239" s="796"/>
    </row>
    <row r="240" spans="1:22" x14ac:dyDescent="0.35">
      <c r="A240" s="1148" t="s">
        <v>2295</v>
      </c>
      <c r="B240" s="1148" t="s">
        <v>2302</v>
      </c>
      <c r="C240" s="1292" t="s">
        <v>2299</v>
      </c>
      <c r="D240" s="1293">
        <f>SUM(E177:E213)</f>
        <v>1</v>
      </c>
      <c r="E240" s="1294">
        <f>D115*D225</f>
        <v>500</v>
      </c>
      <c r="F240" s="1295">
        <f t="shared" si="3"/>
        <v>500</v>
      </c>
      <c r="G240" s="2816">
        <v>0.81499999999999995</v>
      </c>
      <c r="H240" s="2816">
        <f t="shared" si="5"/>
        <v>0.83799999999999997</v>
      </c>
      <c r="I240" s="1296"/>
      <c r="J240" s="1297">
        <f>IFERROR(SUMPRODUCT(E$177:E$213,$H$71:$H$107)/$D240,0)</f>
        <v>2378.7872340425529</v>
      </c>
      <c r="K240" s="1297">
        <f t="shared" si="6"/>
        <v>335.65709437410322</v>
      </c>
      <c r="L240" s="1294">
        <f t="shared" si="4"/>
        <v>500</v>
      </c>
      <c r="M240" s="1294">
        <f t="shared" si="7"/>
        <v>415</v>
      </c>
      <c r="N240" s="1271"/>
      <c r="O240" s="1271"/>
      <c r="P240" s="1272"/>
      <c r="Q240" s="796"/>
      <c r="R240" s="796"/>
    </row>
    <row r="241" spans="1:18" x14ac:dyDescent="0.35">
      <c r="A241" s="1150" t="s">
        <v>2295</v>
      </c>
      <c r="B241" s="1150" t="s">
        <v>2302</v>
      </c>
      <c r="C241" s="1298" t="s">
        <v>2300</v>
      </c>
      <c r="D241" s="1287">
        <f>SUM(F177:F213)</f>
        <v>1</v>
      </c>
      <c r="E241" s="1288">
        <f>D116*D226</f>
        <v>1500</v>
      </c>
      <c r="F241" s="1289">
        <f t="shared" si="3"/>
        <v>1500</v>
      </c>
      <c r="G241" s="2816">
        <v>0.81499999999999995</v>
      </c>
      <c r="H241" s="2816">
        <f t="shared" si="5"/>
        <v>0.83799999999999997</v>
      </c>
      <c r="I241" s="1290"/>
      <c r="J241" s="1291">
        <f>IFERROR(SUMPRODUCT(F$177:F$213,$H$71:$H$107)/$D241,0)</f>
        <v>1418.0425531914893</v>
      </c>
      <c r="K241" s="1291">
        <f t="shared" si="6"/>
        <v>600.27568202584644</v>
      </c>
      <c r="L241" s="1288">
        <f t="shared" si="4"/>
        <v>1500</v>
      </c>
      <c r="M241" s="1288">
        <f t="shared" si="7"/>
        <v>1245</v>
      </c>
      <c r="N241" s="1271"/>
      <c r="O241" s="1271"/>
      <c r="P241" s="1272"/>
      <c r="Q241" s="796"/>
      <c r="R241" s="796"/>
    </row>
    <row r="242" spans="1:18" x14ac:dyDescent="0.35">
      <c r="A242" s="886" t="s">
        <v>2295</v>
      </c>
      <c r="B242" s="886" t="s">
        <v>2302</v>
      </c>
      <c r="C242" s="1299" t="s">
        <v>2301</v>
      </c>
      <c r="D242" s="1300">
        <f>SUM(G177:G213)</f>
        <v>0</v>
      </c>
      <c r="E242" s="1301">
        <f>D117*D227</f>
        <v>1779.2528</v>
      </c>
      <c r="F242" s="1302">
        <f t="shared" si="3"/>
        <v>1779.2528</v>
      </c>
      <c r="G242" s="2817">
        <v>0.81499999999999995</v>
      </c>
      <c r="H242" s="2817">
        <f t="shared" si="5"/>
        <v>0.83799999999999997</v>
      </c>
      <c r="I242" s="1303"/>
      <c r="J242" s="1304">
        <f>IFERROR(SUMPRODUCT(G$177:G$213,$H$71:$H$107)/$D242,0)</f>
        <v>0</v>
      </c>
      <c r="K242" s="1304">
        <f t="shared" si="6"/>
        <v>0</v>
      </c>
      <c r="L242" s="1301">
        <f t="shared" si="4"/>
        <v>0</v>
      </c>
      <c r="M242" s="1301">
        <f t="shared" si="7"/>
        <v>0</v>
      </c>
      <c r="N242" s="1271"/>
      <c r="O242" s="1271"/>
      <c r="P242" s="1272"/>
      <c r="Q242" s="796"/>
      <c r="R242" s="796"/>
    </row>
    <row r="243" spans="1:18" x14ac:dyDescent="0.35">
      <c r="A243" s="1136" t="s">
        <v>2303</v>
      </c>
      <c r="B243" s="1136" t="s">
        <v>2296</v>
      </c>
      <c r="C243" s="1265" t="s">
        <v>2297</v>
      </c>
      <c r="D243" s="1266">
        <f>D233*F$128/F$127</f>
        <v>0.25</v>
      </c>
      <c r="E243" s="1267">
        <f>D118*D218</f>
        <v>460</v>
      </c>
      <c r="F243" s="1268">
        <f>D218</f>
        <v>230</v>
      </c>
      <c r="G243" s="2814">
        <v>0.80300000000000005</v>
      </c>
      <c r="H243" s="2814">
        <v>0.82599999999999996</v>
      </c>
      <c r="I243" s="1269">
        <f>E63</f>
        <v>0.41899999999999998</v>
      </c>
      <c r="J243" s="1270">
        <f t="shared" ref="J243:J252" si="8">F58</f>
        <v>8766</v>
      </c>
      <c r="K243" s="1270">
        <f>IFERROR(F243*8766*I243/100*((1-G243)/H243)*D243,0)</f>
        <v>503.69717233656155</v>
      </c>
      <c r="L243" s="1267">
        <f t="shared" si="4"/>
        <v>115</v>
      </c>
      <c r="M243" s="1267">
        <f>F243*D243*C$259</f>
        <v>47.724999999999994</v>
      </c>
    </row>
    <row r="244" spans="1:18" x14ac:dyDescent="0.35">
      <c r="A244" s="1138" t="s">
        <v>2303</v>
      </c>
      <c r="B244" s="1138" t="s">
        <v>2296</v>
      </c>
      <c r="C244" s="1273" t="s">
        <v>2298</v>
      </c>
      <c r="D244" s="1274">
        <f t="shared" ref="D244:D252" si="9">D234*F$128/F$127</f>
        <v>0.25</v>
      </c>
      <c r="E244" s="1275">
        <f>D119*D219</f>
        <v>798</v>
      </c>
      <c r="F244" s="1276">
        <f t="shared" ref="F244:F252" si="10">D219</f>
        <v>399</v>
      </c>
      <c r="G244" s="2815">
        <v>0.80300000000000005</v>
      </c>
      <c r="H244" s="2815">
        <v>0.82599999999999996</v>
      </c>
      <c r="I244" s="1277">
        <f>E64</f>
        <v>0.41899999999999998</v>
      </c>
      <c r="J244" s="1278">
        <f t="shared" si="8"/>
        <v>8766</v>
      </c>
      <c r="K244" s="1278">
        <f t="shared" ref="K244:K252" si="11">IFERROR(F244*8766*I244/100*((1-G244)/H244)*D244,0)</f>
        <v>873.80509461864381</v>
      </c>
      <c r="L244" s="1275">
        <f t="shared" si="4"/>
        <v>199.5</v>
      </c>
      <c r="M244" s="1275">
        <f t="shared" ref="M244:M252" si="12">F244*D244*C$259</f>
        <v>82.79249999999999</v>
      </c>
    </row>
    <row r="245" spans="1:18" x14ac:dyDescent="0.35">
      <c r="A245" s="1141" t="s">
        <v>2303</v>
      </c>
      <c r="B245" s="1141" t="s">
        <v>2296</v>
      </c>
      <c r="C245" s="1279" t="s">
        <v>2299</v>
      </c>
      <c r="D245" s="1280">
        <f t="shared" si="9"/>
        <v>3.5</v>
      </c>
      <c r="E245" s="1281">
        <f>D120*D220</f>
        <v>1399.6</v>
      </c>
      <c r="F245" s="1282">
        <f t="shared" si="10"/>
        <v>699.8</v>
      </c>
      <c r="G245" s="2815">
        <v>0.80300000000000005</v>
      </c>
      <c r="H245" s="2815">
        <v>0.82599999999999996</v>
      </c>
      <c r="I245" s="1283">
        <f>E65</f>
        <v>0.41899999999999998</v>
      </c>
      <c r="J245" s="1284">
        <f t="shared" si="8"/>
        <v>8766</v>
      </c>
      <c r="K245" s="1284">
        <f t="shared" si="11"/>
        <v>21455.747551372879</v>
      </c>
      <c r="L245" s="1281">
        <f t="shared" si="4"/>
        <v>4898.5999999999995</v>
      </c>
      <c r="M245" s="1281">
        <f t="shared" si="12"/>
        <v>2032.9189999999996</v>
      </c>
    </row>
    <row r="246" spans="1:18" x14ac:dyDescent="0.35">
      <c r="A246" s="1138" t="s">
        <v>2303</v>
      </c>
      <c r="B246" s="1138" t="s">
        <v>2296</v>
      </c>
      <c r="C246" s="1273" t="s">
        <v>2300</v>
      </c>
      <c r="D246" s="1274">
        <f t="shared" si="9"/>
        <v>1.25</v>
      </c>
      <c r="E246" s="1275">
        <f>D121*D221</f>
        <v>2285.1999999999998</v>
      </c>
      <c r="F246" s="1276">
        <f t="shared" si="10"/>
        <v>1142.5999999999999</v>
      </c>
      <c r="G246" s="2815">
        <v>0.80300000000000005</v>
      </c>
      <c r="H246" s="2815">
        <v>0.82599999999999996</v>
      </c>
      <c r="I246" s="1277">
        <f>E66</f>
        <v>0.41899999999999998</v>
      </c>
      <c r="J246" s="1278">
        <f t="shared" si="8"/>
        <v>8766</v>
      </c>
      <c r="K246" s="1278">
        <f t="shared" si="11"/>
        <v>12511.399763299029</v>
      </c>
      <c r="L246" s="1275">
        <f t="shared" si="4"/>
        <v>2856.5</v>
      </c>
      <c r="M246" s="1275">
        <f t="shared" si="12"/>
        <v>1185.4475</v>
      </c>
    </row>
    <row r="247" spans="1:18" x14ac:dyDescent="0.35">
      <c r="A247" s="1144" t="s">
        <v>2303</v>
      </c>
      <c r="B247" s="1144" t="s">
        <v>2296</v>
      </c>
      <c r="C247" s="1285" t="s">
        <v>2301</v>
      </c>
      <c r="D247" s="1280">
        <f t="shared" si="9"/>
        <v>0</v>
      </c>
      <c r="E247" s="1281">
        <f>D122*D222</f>
        <v>3558.5056</v>
      </c>
      <c r="F247" s="1282">
        <f t="shared" si="10"/>
        <v>1779.2528</v>
      </c>
      <c r="G247" s="2815">
        <v>0.80300000000000005</v>
      </c>
      <c r="H247" s="2815">
        <v>0.82599999999999996</v>
      </c>
      <c r="I247" s="1283">
        <f>E67</f>
        <v>0.41899999999999998</v>
      </c>
      <c r="J247" s="1284">
        <f t="shared" si="8"/>
        <v>8766</v>
      </c>
      <c r="K247" s="1284">
        <f t="shared" si="11"/>
        <v>0</v>
      </c>
      <c r="L247" s="1281">
        <f t="shared" si="4"/>
        <v>0</v>
      </c>
      <c r="M247" s="1281">
        <f t="shared" si="12"/>
        <v>0</v>
      </c>
    </row>
    <row r="248" spans="1:18" x14ac:dyDescent="0.35">
      <c r="A248" s="1146" t="s">
        <v>2303</v>
      </c>
      <c r="B248" s="1146" t="s">
        <v>2302</v>
      </c>
      <c r="C248" s="1286" t="s">
        <v>2297</v>
      </c>
      <c r="D248" s="1274">
        <f t="shared" si="9"/>
        <v>0.75000000000000011</v>
      </c>
      <c r="E248" s="1275">
        <f>D118*D223</f>
        <v>529</v>
      </c>
      <c r="F248" s="1276">
        <f t="shared" si="10"/>
        <v>264.5</v>
      </c>
      <c r="G248" s="2815">
        <v>0.80300000000000005</v>
      </c>
      <c r="H248" s="2815">
        <v>0.82599999999999996</v>
      </c>
      <c r="I248" s="1277">
        <f>E63</f>
        <v>0.41899999999999998</v>
      </c>
      <c r="J248" s="1278">
        <f t="shared" si="8"/>
        <v>8766</v>
      </c>
      <c r="K248" s="1278">
        <f t="shared" si="11"/>
        <v>1737.7552445611379</v>
      </c>
      <c r="L248" s="1275">
        <f t="shared" si="4"/>
        <v>396.75000000000006</v>
      </c>
      <c r="M248" s="1275">
        <f t="shared" si="12"/>
        <v>164.65125</v>
      </c>
    </row>
    <row r="249" spans="1:18" x14ac:dyDescent="0.35">
      <c r="A249" s="1144" t="s">
        <v>2303</v>
      </c>
      <c r="B249" s="1144" t="s">
        <v>2302</v>
      </c>
      <c r="C249" s="1285" t="s">
        <v>2298</v>
      </c>
      <c r="D249" s="1287">
        <f t="shared" si="9"/>
        <v>0</v>
      </c>
      <c r="E249" s="1288">
        <f>D119*D224</f>
        <v>645.925161411766</v>
      </c>
      <c r="F249" s="1289">
        <f t="shared" si="10"/>
        <v>322.962580705883</v>
      </c>
      <c r="G249" s="2816">
        <v>0.80300000000000005</v>
      </c>
      <c r="H249" s="2816">
        <v>0.82599999999999996</v>
      </c>
      <c r="I249" s="1290">
        <f t="shared" ref="I249:I252" si="13">E64</f>
        <v>0.41899999999999998</v>
      </c>
      <c r="J249" s="1291">
        <f t="shared" si="8"/>
        <v>8766</v>
      </c>
      <c r="K249" s="1291">
        <f t="shared" si="11"/>
        <v>0</v>
      </c>
      <c r="L249" s="1288">
        <f t="shared" si="4"/>
        <v>0</v>
      </c>
      <c r="M249" s="1288">
        <f t="shared" si="12"/>
        <v>0</v>
      </c>
    </row>
    <row r="250" spans="1:18" x14ac:dyDescent="0.35">
      <c r="A250" s="1148" t="s">
        <v>2303</v>
      </c>
      <c r="B250" s="1148" t="s">
        <v>2302</v>
      </c>
      <c r="C250" s="1292" t="s">
        <v>2299</v>
      </c>
      <c r="D250" s="1293">
        <f t="shared" si="9"/>
        <v>0.25</v>
      </c>
      <c r="E250" s="1294">
        <f>D120*D225</f>
        <v>1000</v>
      </c>
      <c r="F250" s="1295">
        <f t="shared" si="10"/>
        <v>500</v>
      </c>
      <c r="G250" s="2816">
        <v>0.80300000000000005</v>
      </c>
      <c r="H250" s="2816">
        <v>0.82599999999999996</v>
      </c>
      <c r="I250" s="1296">
        <f t="shared" si="13"/>
        <v>0.41899999999999998</v>
      </c>
      <c r="J250" s="1297">
        <f t="shared" si="8"/>
        <v>8766</v>
      </c>
      <c r="K250" s="1297">
        <f t="shared" si="11"/>
        <v>1094.9938529055689</v>
      </c>
      <c r="L250" s="1294">
        <f t="shared" si="4"/>
        <v>250</v>
      </c>
      <c r="M250" s="1294">
        <f t="shared" si="12"/>
        <v>103.75</v>
      </c>
    </row>
    <row r="251" spans="1:18" x14ac:dyDescent="0.35">
      <c r="A251" s="1150" t="s">
        <v>2303</v>
      </c>
      <c r="B251" s="1150" t="s">
        <v>2302</v>
      </c>
      <c r="C251" s="1298" t="s">
        <v>2300</v>
      </c>
      <c r="D251" s="1287">
        <f t="shared" si="9"/>
        <v>0.25</v>
      </c>
      <c r="E251" s="1288">
        <f>D121*D226</f>
        <v>3000</v>
      </c>
      <c r="F251" s="1289">
        <f t="shared" si="10"/>
        <v>1500</v>
      </c>
      <c r="G251" s="2816">
        <v>0.80300000000000005</v>
      </c>
      <c r="H251" s="2816">
        <v>0.82599999999999996</v>
      </c>
      <c r="I251" s="1290">
        <f t="shared" si="13"/>
        <v>0.41899999999999998</v>
      </c>
      <c r="J251" s="1291">
        <f t="shared" si="8"/>
        <v>8766</v>
      </c>
      <c r="K251" s="1291">
        <f t="shared" si="11"/>
        <v>3284.9815587167063</v>
      </c>
      <c r="L251" s="1288">
        <f t="shared" si="4"/>
        <v>750</v>
      </c>
      <c r="M251" s="1288">
        <f t="shared" si="12"/>
        <v>311.25</v>
      </c>
    </row>
    <row r="252" spans="1:18" x14ac:dyDescent="0.35">
      <c r="A252" s="886" t="s">
        <v>2303</v>
      </c>
      <c r="B252" s="886" t="s">
        <v>2302</v>
      </c>
      <c r="C252" s="1299" t="s">
        <v>2301</v>
      </c>
      <c r="D252" s="1300">
        <f t="shared" si="9"/>
        <v>0</v>
      </c>
      <c r="E252" s="1301">
        <f>D122*D227</f>
        <v>3558.5056</v>
      </c>
      <c r="F252" s="1302">
        <f t="shared" si="10"/>
        <v>1779.2528</v>
      </c>
      <c r="G252" s="2817">
        <v>0.80300000000000005</v>
      </c>
      <c r="H252" s="2817">
        <v>0.82599999999999996</v>
      </c>
      <c r="I252" s="1303">
        <f t="shared" si="13"/>
        <v>0.41899999999999998</v>
      </c>
      <c r="J252" s="1304">
        <f t="shared" si="8"/>
        <v>8766</v>
      </c>
      <c r="K252" s="1304">
        <f t="shared" si="11"/>
        <v>0</v>
      </c>
      <c r="L252" s="1301">
        <f t="shared" si="4"/>
        <v>0</v>
      </c>
      <c r="M252" s="1301">
        <f t="shared" si="12"/>
        <v>0</v>
      </c>
    </row>
    <row r="254" spans="1:18" ht="21" x14ac:dyDescent="0.5">
      <c r="A254" s="704" t="s">
        <v>377</v>
      </c>
    </row>
    <row r="256" spans="1:18" ht="26" x14ac:dyDescent="0.6">
      <c r="B256" s="3032"/>
      <c r="C256" s="3032"/>
      <c r="D256" s="698"/>
    </row>
    <row r="257" spans="1:3" ht="29" x14ac:dyDescent="0.35">
      <c r="A257" s="1047"/>
      <c r="B257" s="863" t="s">
        <v>2291</v>
      </c>
      <c r="C257" s="882" t="s">
        <v>2373</v>
      </c>
    </row>
    <row r="258" spans="1:3" x14ac:dyDescent="0.35">
      <c r="A258" s="680"/>
      <c r="B258" s="1136" t="s">
        <v>2341</v>
      </c>
      <c r="C258" s="1305">
        <v>0.83</v>
      </c>
    </row>
    <row r="259" spans="1:3" x14ac:dyDescent="0.35">
      <c r="A259" s="680"/>
      <c r="B259" s="1093" t="s">
        <v>2347</v>
      </c>
      <c r="C259" s="1306">
        <v>0.83</v>
      </c>
    </row>
  </sheetData>
  <sheetProtection selectLockedCells="1"/>
  <mergeCells count="12">
    <mergeCell ref="B256:C256"/>
    <mergeCell ref="B49:C49"/>
    <mergeCell ref="B56:D56"/>
    <mergeCell ref="C69:H69"/>
    <mergeCell ref="J70:R70"/>
    <mergeCell ref="E112:F112"/>
    <mergeCell ref="C134:G134"/>
    <mergeCell ref="C175:G175"/>
    <mergeCell ref="D216:E216"/>
    <mergeCell ref="B231:C231"/>
    <mergeCell ref="D231:H231"/>
    <mergeCell ref="J231:K231"/>
  </mergeCells>
  <conditionalFormatting sqref="C132">
    <cfRule type="cellIs" dxfId="299" priority="5" operator="notEqual">
      <formula>1</formula>
    </cfRule>
  </conditionalFormatting>
  <conditionalFormatting sqref="I136:I172">
    <cfRule type="cellIs" dxfId="298" priority="4" operator="equal">
      <formula>TRUE</formula>
    </cfRule>
  </conditionalFormatting>
  <conditionalFormatting sqref="B71:H107">
    <cfRule type="expression" dxfId="297" priority="6">
      <formula>B71&lt;&gt;#REF!</formula>
    </cfRule>
  </conditionalFormatting>
  <conditionalFormatting sqref="I179">
    <cfRule type="cellIs" dxfId="296" priority="3" operator="equal">
      <formula>TRUE</formula>
    </cfRule>
  </conditionalFormatting>
  <conditionalFormatting sqref="I182">
    <cfRule type="cellIs" dxfId="295" priority="2" operator="equal">
      <formula>TRUE</formula>
    </cfRule>
  </conditionalFormatting>
  <conditionalFormatting sqref="I207">
    <cfRule type="cellIs" dxfId="294" priority="1" operator="equal">
      <formula>TRUE</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pageSetUpPr fitToPage="1"/>
  </sheetPr>
  <dimension ref="A1:Z259"/>
  <sheetViews>
    <sheetView zoomScale="70" zoomScaleNormal="70" workbookViewId="0"/>
  </sheetViews>
  <sheetFormatPr defaultColWidth="9.1796875" defaultRowHeight="14.5" x14ac:dyDescent="0.35"/>
  <cols>
    <col min="1" max="1" width="13.81640625" style="675" customWidth="1"/>
    <col min="2" max="2" width="31.1796875" style="675" customWidth="1"/>
    <col min="3" max="9" width="18.1796875" style="675" customWidth="1"/>
    <col min="10" max="10" width="11" style="675" customWidth="1"/>
    <col min="11" max="11" width="16.54296875" style="675" customWidth="1"/>
    <col min="12" max="12" width="14.81640625" style="675" customWidth="1"/>
    <col min="13" max="13" width="12.26953125" style="675" customWidth="1"/>
    <col min="14" max="14" width="13.26953125" style="675" customWidth="1"/>
    <col min="15" max="15" width="13.7265625" style="675" customWidth="1"/>
    <col min="16" max="16" width="13.1796875" style="675" customWidth="1"/>
    <col min="17" max="18" width="11" style="675" customWidth="1"/>
    <col min="19" max="19" width="10.26953125" style="675" customWidth="1"/>
    <col min="20" max="20" width="13" style="675" customWidth="1"/>
    <col min="21" max="21" width="10.81640625" style="675" customWidth="1"/>
    <col min="22" max="22" width="10.26953125" style="675" customWidth="1"/>
    <col min="23" max="27" width="9.7265625" style="675" customWidth="1"/>
    <col min="28" max="28" width="10.7265625" style="675" customWidth="1"/>
    <col min="29" max="29" width="12.26953125" style="675" customWidth="1"/>
    <col min="30" max="30" width="9.81640625" style="675" customWidth="1"/>
    <col min="31" max="31" width="10.26953125" style="675" customWidth="1"/>
    <col min="32" max="32" width="10.1796875" style="675" customWidth="1"/>
    <col min="33" max="16384" width="9.1796875" style="675"/>
  </cols>
  <sheetData>
    <row r="1" spans="1:9" ht="21" x14ac:dyDescent="0.5">
      <c r="A1" s="674" t="s">
        <v>2286</v>
      </c>
    </row>
    <row r="3" spans="1:9" ht="21" x14ac:dyDescent="0.5">
      <c r="A3" s="704" t="s">
        <v>2287</v>
      </c>
    </row>
    <row r="5" spans="1:9" ht="15" customHeight="1" x14ac:dyDescent="0.35">
      <c r="B5" s="834" t="s">
        <v>1947</v>
      </c>
      <c r="C5" s="1130">
        <f>SUM(D233:D252)</f>
        <v>25</v>
      </c>
      <c r="D5" s="680"/>
      <c r="E5" s="680"/>
      <c r="F5" s="680"/>
      <c r="G5" s="675" t="s">
        <v>1960</v>
      </c>
      <c r="I5" s="1081">
        <f>SUM(M233:M252)</f>
        <v>15109.813020000001</v>
      </c>
    </row>
    <row r="6" spans="1:9" ht="15" customHeight="1" x14ac:dyDescent="0.35">
      <c r="B6" s="836" t="s">
        <v>2107</v>
      </c>
      <c r="C6" s="1131">
        <f>SUM(D233:D252)</f>
        <v>25</v>
      </c>
      <c r="D6" s="680"/>
      <c r="E6" s="680"/>
      <c r="F6" s="680"/>
      <c r="G6" s="675" t="s">
        <v>2238</v>
      </c>
      <c r="I6" s="1081">
        <f>I5/C6</f>
        <v>604.39252080000006</v>
      </c>
    </row>
    <row r="7" spans="1:9" x14ac:dyDescent="0.35">
      <c r="B7" s="838" t="s">
        <v>2052</v>
      </c>
      <c r="C7" s="839">
        <v>0</v>
      </c>
      <c r="D7" s="683"/>
      <c r="E7" s="683"/>
      <c r="F7" s="683"/>
      <c r="G7" s="675" t="s">
        <v>2154</v>
      </c>
      <c r="I7" s="1081" t="e">
        <f>I5/C7</f>
        <v>#DIV/0!</v>
      </c>
    </row>
    <row r="8" spans="1:9" x14ac:dyDescent="0.35">
      <c r="B8" s="841" t="s">
        <v>1951</v>
      </c>
      <c r="C8" s="842">
        <v>0</v>
      </c>
      <c r="D8" s="683"/>
      <c r="E8" s="683"/>
      <c r="F8" s="683"/>
      <c r="G8" s="680" t="s">
        <v>2239</v>
      </c>
      <c r="I8" s="1081">
        <f>I5/C9</f>
        <v>0.39708134454626176</v>
      </c>
    </row>
    <row r="9" spans="1:9" x14ac:dyDescent="0.35">
      <c r="B9" s="838" t="s">
        <v>1952</v>
      </c>
      <c r="C9" s="839">
        <f>SUM(K233:K252)</f>
        <v>38052.185597552394</v>
      </c>
      <c r="D9" s="683"/>
      <c r="E9" s="683"/>
      <c r="F9" s="683"/>
      <c r="G9" s="675" t="s">
        <v>2240</v>
      </c>
      <c r="I9" s="828">
        <f>C$10/C$6*I11</f>
        <v>0</v>
      </c>
    </row>
    <row r="10" spans="1:9" x14ac:dyDescent="0.35">
      <c r="B10" s="841" t="s">
        <v>2053</v>
      </c>
      <c r="C10" s="843">
        <f>SUM(L233:L252)</f>
        <v>21845.305499999999</v>
      </c>
      <c r="D10" s="686"/>
      <c r="E10" s="686"/>
      <c r="F10" s="686"/>
      <c r="G10" s="675" t="s">
        <v>2241</v>
      </c>
      <c r="I10" s="828">
        <f>C$10/C$6*I12</f>
        <v>873.81221999999991</v>
      </c>
    </row>
    <row r="11" spans="1:9" x14ac:dyDescent="0.35">
      <c r="B11" s="838" t="s">
        <v>2054</v>
      </c>
      <c r="C11" s="844">
        <f>C7/$C$6</f>
        <v>0</v>
      </c>
      <c r="D11" s="686"/>
      <c r="E11" s="686"/>
      <c r="F11" s="686"/>
      <c r="G11" s="675" t="s">
        <v>2242</v>
      </c>
      <c r="I11" s="1082">
        <v>0</v>
      </c>
    </row>
    <row r="12" spans="1:9" x14ac:dyDescent="0.35">
      <c r="B12" s="841" t="s">
        <v>2055</v>
      </c>
      <c r="C12" s="846">
        <f>C8/$C$6</f>
        <v>0</v>
      </c>
      <c r="D12" s="686"/>
      <c r="E12" s="686"/>
      <c r="F12" s="686"/>
      <c r="G12" s="675" t="s">
        <v>2243</v>
      </c>
      <c r="I12" s="1082">
        <f>1-I11</f>
        <v>1</v>
      </c>
    </row>
    <row r="13" spans="1:9" x14ac:dyDescent="0.35">
      <c r="B13" s="838" t="s">
        <v>2056</v>
      </c>
      <c r="C13" s="1132">
        <f>C9/$C$6</f>
        <v>1522.0874239020957</v>
      </c>
      <c r="D13" s="1133"/>
      <c r="E13" s="686"/>
      <c r="F13" s="686"/>
    </row>
    <row r="14" spans="1:9" x14ac:dyDescent="0.35">
      <c r="B14" s="841" t="s">
        <v>2288</v>
      </c>
      <c r="C14" s="847">
        <f>C10/C9</f>
        <v>0.57408806240567534</v>
      </c>
      <c r="D14" s="690"/>
      <c r="E14" s="690"/>
      <c r="F14" s="690"/>
    </row>
    <row r="15" spans="1:9" x14ac:dyDescent="0.35">
      <c r="B15" s="838" t="s">
        <v>2289</v>
      </c>
      <c r="C15" s="839">
        <f>C9/C5</f>
        <v>1522.0874239020957</v>
      </c>
      <c r="D15" s="683"/>
      <c r="E15" s="683"/>
      <c r="F15" s="683"/>
    </row>
    <row r="16" spans="1:9" x14ac:dyDescent="0.35">
      <c r="B16" s="855" t="s">
        <v>2290</v>
      </c>
      <c r="C16" s="985">
        <f>C10/C5</f>
        <v>873.81221999999991</v>
      </c>
      <c r="D16" s="706"/>
      <c r="E16" s="706"/>
      <c r="F16" s="706"/>
    </row>
    <row r="17" spans="1:7" x14ac:dyDescent="0.35">
      <c r="B17" s="694" t="s">
        <v>1961</v>
      </c>
      <c r="C17" s="695"/>
      <c r="D17" s="680"/>
      <c r="E17" s="696"/>
      <c r="F17" s="680"/>
      <c r="G17" s="696"/>
    </row>
    <row r="18" spans="1:7" x14ac:dyDescent="0.35">
      <c r="B18" s="834" t="s">
        <v>2063</v>
      </c>
      <c r="C18" s="852">
        <f>1-C50+C51+C52</f>
        <v>0.8</v>
      </c>
      <c r="D18" s="680"/>
      <c r="E18" s="698"/>
      <c r="F18" s="680"/>
    </row>
    <row r="19" spans="1:7" x14ac:dyDescent="0.35">
      <c r="B19" s="841" t="s">
        <v>1965</v>
      </c>
      <c r="C19" s="842">
        <v>0</v>
      </c>
      <c r="D19" s="683"/>
      <c r="E19" s="683"/>
      <c r="F19" s="683"/>
    </row>
    <row r="20" spans="1:7" x14ac:dyDescent="0.35">
      <c r="B20" s="838" t="s">
        <v>1966</v>
      </c>
      <c r="C20" s="839">
        <v>0</v>
      </c>
      <c r="D20" s="683"/>
      <c r="E20" s="683"/>
      <c r="F20" s="683"/>
    </row>
    <row r="21" spans="1:7" x14ac:dyDescent="0.35">
      <c r="B21" s="841" t="s">
        <v>1967</v>
      </c>
      <c r="C21" s="842">
        <f>C18*C9</f>
        <v>30441.748478041918</v>
      </c>
      <c r="D21" s="683"/>
      <c r="E21" s="701"/>
      <c r="F21" s="683"/>
    </row>
    <row r="22" spans="1:7" x14ac:dyDescent="0.35">
      <c r="B22" s="838" t="s">
        <v>1969</v>
      </c>
      <c r="C22" s="854">
        <f>C10/C21</f>
        <v>0.71761007800709409</v>
      </c>
      <c r="D22" s="690"/>
      <c r="E22" s="690"/>
      <c r="F22" s="690"/>
    </row>
    <row r="23" spans="1:7" x14ac:dyDescent="0.35">
      <c r="B23" s="855" t="s">
        <v>1970</v>
      </c>
      <c r="C23" s="856">
        <v>3</v>
      </c>
      <c r="D23" s="680"/>
      <c r="E23" s="680"/>
      <c r="F23" s="680"/>
    </row>
    <row r="24" spans="1:7" x14ac:dyDescent="0.35">
      <c r="B24" s="703"/>
      <c r="C24" s="703"/>
    </row>
    <row r="25" spans="1:7" ht="58" x14ac:dyDescent="0.35">
      <c r="A25" s="1134" t="s">
        <v>2291</v>
      </c>
      <c r="B25" s="1134" t="s">
        <v>2292</v>
      </c>
      <c r="C25" s="1135" t="s">
        <v>2293</v>
      </c>
      <c r="D25" s="998" t="s">
        <v>2294</v>
      </c>
    </row>
    <row r="26" spans="1:7" x14ac:dyDescent="0.35">
      <c r="A26" s="1136" t="s">
        <v>2295</v>
      </c>
      <c r="B26" s="1136" t="s">
        <v>2296</v>
      </c>
      <c r="C26" s="986" t="s">
        <v>2297</v>
      </c>
      <c r="D26" s="1137">
        <f t="shared" ref="D26:D45" si="0">K233</f>
        <v>77.57995950920261</v>
      </c>
    </row>
    <row r="27" spans="1:7" x14ac:dyDescent="0.35">
      <c r="A27" s="1138" t="s">
        <v>2295</v>
      </c>
      <c r="B27" s="1138" t="s">
        <v>2296</v>
      </c>
      <c r="C27" s="1139" t="s">
        <v>2298</v>
      </c>
      <c r="D27" s="1140">
        <f t="shared" si="0"/>
        <v>170.94303720141014</v>
      </c>
    </row>
    <row r="28" spans="1:7" x14ac:dyDescent="0.35">
      <c r="A28" s="1141" t="s">
        <v>2295</v>
      </c>
      <c r="B28" s="1141" t="s">
        <v>2296</v>
      </c>
      <c r="C28" s="1142" t="s">
        <v>2299</v>
      </c>
      <c r="D28" s="1143">
        <f t="shared" si="0"/>
        <v>1323.1801226993891</v>
      </c>
    </row>
    <row r="29" spans="1:7" x14ac:dyDescent="0.35">
      <c r="A29" s="1138" t="s">
        <v>2295</v>
      </c>
      <c r="B29" s="1138" t="s">
        <v>2296</v>
      </c>
      <c r="C29" s="1139" t="s">
        <v>2300</v>
      </c>
      <c r="D29" s="1140">
        <f t="shared" si="0"/>
        <v>2985.318045424885</v>
      </c>
    </row>
    <row r="30" spans="1:7" x14ac:dyDescent="0.35">
      <c r="A30" s="1144" t="s">
        <v>2295</v>
      </c>
      <c r="B30" s="1144" t="s">
        <v>2296</v>
      </c>
      <c r="C30" s="1145" t="s">
        <v>2301</v>
      </c>
      <c r="D30" s="1143">
        <f t="shared" si="0"/>
        <v>0</v>
      </c>
    </row>
    <row r="31" spans="1:7" x14ac:dyDescent="0.35">
      <c r="A31" s="1146" t="s">
        <v>2295</v>
      </c>
      <c r="B31" s="1146" t="s">
        <v>2302</v>
      </c>
      <c r="C31" s="1147" t="s">
        <v>2297</v>
      </c>
      <c r="D31" s="1140">
        <f t="shared" si="0"/>
        <v>438.75050084845418</v>
      </c>
    </row>
    <row r="32" spans="1:7" x14ac:dyDescent="0.35">
      <c r="A32" s="1144" t="s">
        <v>2295</v>
      </c>
      <c r="B32" s="1144" t="s">
        <v>2302</v>
      </c>
      <c r="C32" s="1145" t="s">
        <v>2298</v>
      </c>
      <c r="D32" s="1143">
        <f t="shared" si="0"/>
        <v>0</v>
      </c>
    </row>
    <row r="33" spans="1:4" x14ac:dyDescent="0.35">
      <c r="A33" s="1148" t="s">
        <v>2295</v>
      </c>
      <c r="B33" s="1148" t="s">
        <v>2302</v>
      </c>
      <c r="C33" s="1149" t="s">
        <v>2299</v>
      </c>
      <c r="D33" s="1140">
        <f t="shared" si="0"/>
        <v>499.69233781490766</v>
      </c>
    </row>
    <row r="34" spans="1:4" x14ac:dyDescent="0.35">
      <c r="A34" s="1150" t="s">
        <v>2295</v>
      </c>
      <c r="B34" s="1150" t="s">
        <v>2302</v>
      </c>
      <c r="C34" s="1151" t="s">
        <v>2300</v>
      </c>
      <c r="D34" s="1143">
        <f t="shared" si="0"/>
        <v>710.79637123091129</v>
      </c>
    </row>
    <row r="35" spans="1:4" x14ac:dyDescent="0.35">
      <c r="A35" s="886" t="s">
        <v>2295</v>
      </c>
      <c r="B35" s="886" t="s">
        <v>2302</v>
      </c>
      <c r="C35" s="1152" t="s">
        <v>2301</v>
      </c>
      <c r="D35" s="1153">
        <f t="shared" si="0"/>
        <v>0</v>
      </c>
    </row>
    <row r="36" spans="1:4" x14ac:dyDescent="0.35">
      <c r="A36" s="1136" t="s">
        <v>2303</v>
      </c>
      <c r="B36" s="1136" t="s">
        <v>2296</v>
      </c>
      <c r="C36" s="986" t="s">
        <v>2297</v>
      </c>
      <c r="D36" s="1154">
        <f t="shared" si="0"/>
        <v>503.69717233656155</v>
      </c>
    </row>
    <row r="37" spans="1:4" x14ac:dyDescent="0.35">
      <c r="A37" s="1138" t="s">
        <v>2303</v>
      </c>
      <c r="B37" s="1138" t="s">
        <v>2296</v>
      </c>
      <c r="C37" s="1139" t="s">
        <v>2298</v>
      </c>
      <c r="D37" s="1155">
        <f t="shared" si="0"/>
        <v>873.80509461864381</v>
      </c>
    </row>
    <row r="38" spans="1:4" x14ac:dyDescent="0.35">
      <c r="A38" s="1141" t="s">
        <v>2303</v>
      </c>
      <c r="B38" s="1141" t="s">
        <v>2296</v>
      </c>
      <c r="C38" s="1142" t="s">
        <v>2299</v>
      </c>
      <c r="D38" s="1156">
        <f t="shared" si="0"/>
        <v>7662.7669826331712</v>
      </c>
    </row>
    <row r="39" spans="1:4" x14ac:dyDescent="0.35">
      <c r="A39" s="1138" t="s">
        <v>2303</v>
      </c>
      <c r="B39" s="1138" t="s">
        <v>2296</v>
      </c>
      <c r="C39" s="1139" t="s">
        <v>2300</v>
      </c>
      <c r="D39" s="1155">
        <f t="shared" si="0"/>
        <v>15013.679715958835</v>
      </c>
    </row>
    <row r="40" spans="1:4" x14ac:dyDescent="0.35">
      <c r="A40" s="1144" t="s">
        <v>2303</v>
      </c>
      <c r="B40" s="1144" t="s">
        <v>2296</v>
      </c>
      <c r="C40" s="1145" t="s">
        <v>2301</v>
      </c>
      <c r="D40" s="1157">
        <f t="shared" si="0"/>
        <v>0</v>
      </c>
    </row>
    <row r="41" spans="1:4" x14ac:dyDescent="0.35">
      <c r="A41" s="1146" t="s">
        <v>2303</v>
      </c>
      <c r="B41" s="1146" t="s">
        <v>2302</v>
      </c>
      <c r="C41" s="1147" t="s">
        <v>2297</v>
      </c>
      <c r="D41" s="1158">
        <f t="shared" si="0"/>
        <v>2317.0069927481836</v>
      </c>
    </row>
    <row r="42" spans="1:4" x14ac:dyDescent="0.35">
      <c r="A42" s="1144" t="s">
        <v>2303</v>
      </c>
      <c r="B42" s="1144" t="s">
        <v>2302</v>
      </c>
      <c r="C42" s="1145" t="s">
        <v>2298</v>
      </c>
      <c r="D42" s="1157">
        <f t="shared" si="0"/>
        <v>0</v>
      </c>
    </row>
    <row r="43" spans="1:4" x14ac:dyDescent="0.35">
      <c r="A43" s="1148" t="s">
        <v>2303</v>
      </c>
      <c r="B43" s="1148" t="s">
        <v>2302</v>
      </c>
      <c r="C43" s="1149" t="s">
        <v>2299</v>
      </c>
      <c r="D43" s="1159">
        <f t="shared" si="0"/>
        <v>2189.9877058111379</v>
      </c>
    </row>
    <row r="44" spans="1:4" x14ac:dyDescent="0.35">
      <c r="A44" s="1150" t="s">
        <v>2303</v>
      </c>
      <c r="B44" s="1150" t="s">
        <v>2302</v>
      </c>
      <c r="C44" s="1151" t="s">
        <v>2300</v>
      </c>
      <c r="D44" s="1160">
        <f t="shared" si="0"/>
        <v>3284.9815587167063</v>
      </c>
    </row>
    <row r="45" spans="1:4" x14ac:dyDescent="0.35">
      <c r="A45" s="886" t="s">
        <v>2303</v>
      </c>
      <c r="B45" s="886" t="s">
        <v>2302</v>
      </c>
      <c r="C45" s="1152" t="s">
        <v>2301</v>
      </c>
      <c r="D45" s="1161">
        <f t="shared" si="0"/>
        <v>0</v>
      </c>
    </row>
    <row r="46" spans="1:4" x14ac:dyDescent="0.35">
      <c r="B46" s="703"/>
      <c r="C46" s="703"/>
    </row>
    <row r="47" spans="1:4" ht="21" x14ac:dyDescent="0.5">
      <c r="A47" s="704" t="s">
        <v>2064</v>
      </c>
      <c r="B47" s="703"/>
      <c r="C47" s="703"/>
    </row>
    <row r="49" spans="1:6" ht="15" customHeight="1" x14ac:dyDescent="0.35">
      <c r="B49" s="3004" t="s">
        <v>2065</v>
      </c>
      <c r="C49" s="3005"/>
    </row>
    <row r="50" spans="1:6" x14ac:dyDescent="0.35">
      <c r="B50" s="857" t="s">
        <v>1416</v>
      </c>
      <c r="C50" s="858">
        <v>0.4</v>
      </c>
    </row>
    <row r="51" spans="1:6" x14ac:dyDescent="0.35">
      <c r="B51" s="859" t="s">
        <v>2066</v>
      </c>
      <c r="C51" s="860">
        <v>0.2</v>
      </c>
    </row>
    <row r="52" spans="1:6" x14ac:dyDescent="0.35">
      <c r="B52" s="861" t="s">
        <v>2067</v>
      </c>
      <c r="C52" s="862">
        <v>0</v>
      </c>
    </row>
    <row r="54" spans="1:6" ht="21" x14ac:dyDescent="0.5">
      <c r="A54" s="704" t="s">
        <v>1977</v>
      </c>
    </row>
    <row r="56" spans="1:6" ht="18" customHeight="1" x14ac:dyDescent="0.35">
      <c r="B56" s="3009" t="s">
        <v>2304</v>
      </c>
      <c r="C56" s="3010"/>
      <c r="D56" s="3011"/>
    </row>
    <row r="57" spans="1:6" ht="58" x14ac:dyDescent="0.35">
      <c r="B57" s="1162" t="s">
        <v>2292</v>
      </c>
      <c r="C57" s="1163" t="s">
        <v>2305</v>
      </c>
      <c r="D57" s="1163" t="s">
        <v>2306</v>
      </c>
      <c r="E57" s="1163" t="s">
        <v>2307</v>
      </c>
      <c r="F57" s="1163" t="s">
        <v>2308</v>
      </c>
    </row>
    <row r="58" spans="1:6" x14ac:dyDescent="0.35">
      <c r="B58" s="1136" t="s">
        <v>2296</v>
      </c>
      <c r="C58" s="986" t="s">
        <v>2297</v>
      </c>
      <c r="D58" s="1164">
        <v>0.82</v>
      </c>
      <c r="E58" s="986">
        <v>0</v>
      </c>
      <c r="F58" s="1165">
        <v>8766</v>
      </c>
    </row>
    <row r="59" spans="1:6" x14ac:dyDescent="0.35">
      <c r="B59" s="1138" t="s">
        <v>2296</v>
      </c>
      <c r="C59" s="1139" t="s">
        <v>2298</v>
      </c>
      <c r="D59" s="1166">
        <v>0.8</v>
      </c>
      <c r="E59" s="1139">
        <v>0</v>
      </c>
      <c r="F59" s="1167">
        <v>8766</v>
      </c>
    </row>
    <row r="60" spans="1:6" x14ac:dyDescent="0.35">
      <c r="B60" s="1141" t="s">
        <v>2296</v>
      </c>
      <c r="C60" s="1142" t="s">
        <v>2299</v>
      </c>
      <c r="D60" s="1168">
        <v>0.8</v>
      </c>
      <c r="E60" s="1142">
        <v>0</v>
      </c>
      <c r="F60" s="1167">
        <v>8766</v>
      </c>
    </row>
    <row r="61" spans="1:6" x14ac:dyDescent="0.35">
      <c r="B61" s="1138" t="s">
        <v>2296</v>
      </c>
      <c r="C61" s="1139" t="s">
        <v>2300</v>
      </c>
      <c r="D61" s="1166">
        <v>0.8</v>
      </c>
      <c r="E61" s="1139">
        <v>0</v>
      </c>
      <c r="F61" s="1167">
        <v>8766</v>
      </c>
    </row>
    <row r="62" spans="1:6" x14ac:dyDescent="0.35">
      <c r="B62" s="1144" t="s">
        <v>2296</v>
      </c>
      <c r="C62" s="1145" t="s">
        <v>2301</v>
      </c>
      <c r="D62" s="1169">
        <v>0.8</v>
      </c>
      <c r="E62" s="1145">
        <v>0</v>
      </c>
      <c r="F62" s="1167">
        <v>8766</v>
      </c>
    </row>
    <row r="63" spans="1:6" x14ac:dyDescent="0.35">
      <c r="B63" s="1146" t="s">
        <v>2302</v>
      </c>
      <c r="C63" s="1147" t="s">
        <v>2297</v>
      </c>
      <c r="D63" s="1170">
        <v>0.8</v>
      </c>
      <c r="E63" s="1171">
        <v>0.41899999999999998</v>
      </c>
      <c r="F63" s="1172">
        <v>8766</v>
      </c>
    </row>
    <row r="64" spans="1:6" x14ac:dyDescent="0.35">
      <c r="B64" s="1144" t="s">
        <v>2302</v>
      </c>
      <c r="C64" s="1145" t="s">
        <v>2298</v>
      </c>
      <c r="D64" s="1169">
        <v>0.79</v>
      </c>
      <c r="E64" s="1173">
        <v>0.41899999999999998</v>
      </c>
      <c r="F64" s="1174">
        <v>8766</v>
      </c>
    </row>
    <row r="65" spans="2:18" x14ac:dyDescent="0.35">
      <c r="B65" s="1148" t="s">
        <v>2302</v>
      </c>
      <c r="C65" s="1149" t="s">
        <v>2299</v>
      </c>
      <c r="D65" s="1175">
        <v>0.79</v>
      </c>
      <c r="E65" s="1176">
        <v>0.41899999999999998</v>
      </c>
      <c r="F65" s="1177">
        <v>8766</v>
      </c>
    </row>
    <row r="66" spans="2:18" x14ac:dyDescent="0.35">
      <c r="B66" s="1150" t="s">
        <v>2302</v>
      </c>
      <c r="C66" s="1151" t="s">
        <v>2300</v>
      </c>
      <c r="D66" s="1178">
        <v>0.79</v>
      </c>
      <c r="E66" s="1176">
        <v>0.41899999999999998</v>
      </c>
      <c r="F66" s="1177">
        <v>8766</v>
      </c>
    </row>
    <row r="67" spans="2:18" x14ac:dyDescent="0.35">
      <c r="B67" s="886" t="s">
        <v>2302</v>
      </c>
      <c r="C67" s="1152" t="s">
        <v>2301</v>
      </c>
      <c r="D67" s="1179">
        <v>0.79</v>
      </c>
      <c r="E67" s="1180">
        <v>0.41899999999999998</v>
      </c>
      <c r="F67" s="1181">
        <v>8766</v>
      </c>
    </row>
    <row r="68" spans="2:18" x14ac:dyDescent="0.35">
      <c r="M68" s="698"/>
    </row>
    <row r="69" spans="2:18" ht="18.5" x14ac:dyDescent="0.45">
      <c r="C69" s="3033" t="s">
        <v>3904</v>
      </c>
      <c r="D69" s="3034"/>
      <c r="E69" s="3034"/>
      <c r="F69" s="3034"/>
      <c r="G69" s="3034"/>
      <c r="H69" s="3051"/>
    </row>
    <row r="70" spans="2:18" ht="30" customHeight="1" x14ac:dyDescent="0.35">
      <c r="B70" s="997" t="s">
        <v>2019</v>
      </c>
      <c r="C70" s="1182" t="s">
        <v>2309</v>
      </c>
      <c r="D70" s="1183" t="s">
        <v>2310</v>
      </c>
      <c r="E70" s="1183" t="s">
        <v>2311</v>
      </c>
      <c r="F70" s="1183" t="s">
        <v>2312</v>
      </c>
      <c r="G70" s="1184" t="s">
        <v>2313</v>
      </c>
      <c r="H70" s="1185" t="s">
        <v>2314</v>
      </c>
      <c r="J70" s="3036" t="s">
        <v>2315</v>
      </c>
      <c r="K70" s="3037"/>
      <c r="L70" s="3037"/>
      <c r="M70" s="3037"/>
      <c r="N70" s="3037"/>
      <c r="O70" s="3037"/>
      <c r="P70" s="3037"/>
      <c r="Q70" s="3037"/>
      <c r="R70" s="3038"/>
    </row>
    <row r="71" spans="2:18" x14ac:dyDescent="0.35">
      <c r="B71" s="1136" t="s">
        <v>2180</v>
      </c>
      <c r="C71" s="1186">
        <v>1787</v>
      </c>
      <c r="D71" s="1187">
        <v>1831</v>
      </c>
      <c r="E71" s="1187">
        <v>1635</v>
      </c>
      <c r="F71" s="1187">
        <v>1089</v>
      </c>
      <c r="G71" s="1188">
        <v>1669</v>
      </c>
      <c r="H71" s="1189">
        <f t="array" ref="H71">SUMPRODUCT(C71:G71,TRANSPOSE($C$127:$C$131))</f>
        <v>1621.8936170212764</v>
      </c>
      <c r="J71" s="869" t="s">
        <v>1981</v>
      </c>
      <c r="K71" s="870"/>
      <c r="L71" s="870"/>
      <c r="M71" s="870"/>
      <c r="N71" s="870"/>
      <c r="O71" s="870"/>
      <c r="P71" s="870"/>
      <c r="Q71" s="870"/>
      <c r="R71" s="871"/>
    </row>
    <row r="72" spans="2:18" x14ac:dyDescent="0.35">
      <c r="B72" s="1148" t="s">
        <v>2071</v>
      </c>
      <c r="C72" s="2722">
        <v>1683</v>
      </c>
      <c r="D72" s="2723">
        <v>1646</v>
      </c>
      <c r="E72" s="2723">
        <v>1446</v>
      </c>
      <c r="F72" s="2723">
        <v>1063</v>
      </c>
      <c r="G72" s="2724">
        <v>1277</v>
      </c>
      <c r="H72" s="2719">
        <f t="array" ref="H72">SUMPRODUCT(C72:G72,TRANSPOSE($C$127:$C$131))</f>
        <v>1447.446808510638</v>
      </c>
      <c r="J72" s="873" t="s">
        <v>2316</v>
      </c>
      <c r="K72" s="698"/>
      <c r="L72" s="698"/>
      <c r="M72" s="698"/>
      <c r="N72" s="698"/>
      <c r="O72" s="698" t="s">
        <v>2317</v>
      </c>
      <c r="P72" s="698"/>
      <c r="Q72" s="698"/>
      <c r="R72" s="874"/>
    </row>
    <row r="73" spans="2:18" x14ac:dyDescent="0.35">
      <c r="B73" s="2683" t="s">
        <v>3906</v>
      </c>
      <c r="C73" s="2684">
        <v>2981</v>
      </c>
      <c r="D73" s="2684">
        <v>2950</v>
      </c>
      <c r="E73" s="2684">
        <v>2694</v>
      </c>
      <c r="F73" s="2684">
        <v>2368</v>
      </c>
      <c r="G73" s="2684">
        <v>2437</v>
      </c>
      <c r="H73" s="2720">
        <f t="array" ref="H73">SUMPRODUCT(C73:G73,TRANSPOSE($C$127:$C$131))</f>
        <v>2709.8297872340422</v>
      </c>
      <c r="J73" s="873" t="s">
        <v>2318</v>
      </c>
      <c r="K73" s="698"/>
      <c r="L73" s="698"/>
      <c r="M73" s="698"/>
      <c r="N73" s="698"/>
      <c r="O73" s="698" t="s">
        <v>2319</v>
      </c>
      <c r="P73" s="698"/>
      <c r="Q73" s="698"/>
      <c r="R73" s="874"/>
    </row>
    <row r="74" spans="2:18" x14ac:dyDescent="0.35">
      <c r="B74" s="2680" t="s">
        <v>2157</v>
      </c>
      <c r="C74" s="2681">
        <v>1256</v>
      </c>
      <c r="D74" s="2681">
        <v>1293</v>
      </c>
      <c r="E74" s="2681">
        <v>1138</v>
      </c>
      <c r="F74" s="2681">
        <v>1116</v>
      </c>
      <c r="G74" s="2681">
        <v>1131</v>
      </c>
      <c r="H74" s="2720">
        <f t="array" ref="H74">SUMPRODUCT(C74:G74,TRANSPOSE($C$127:$C$131))</f>
        <v>1162.5106382978722</v>
      </c>
      <c r="J74" s="873"/>
      <c r="K74" s="1193"/>
      <c r="L74" s="1193"/>
      <c r="M74" s="698"/>
      <c r="N74" s="698"/>
      <c r="O74" s="698"/>
      <c r="P74" s="698"/>
      <c r="Q74" s="698"/>
      <c r="R74" s="874"/>
    </row>
    <row r="75" spans="2:18" x14ac:dyDescent="0.35">
      <c r="B75" s="1148" t="s">
        <v>2158</v>
      </c>
      <c r="C75" s="2722">
        <v>1481</v>
      </c>
      <c r="D75" s="2723">
        <v>1368</v>
      </c>
      <c r="E75" s="2723">
        <v>1214</v>
      </c>
      <c r="F75" s="2723">
        <v>871</v>
      </c>
      <c r="G75" s="2724">
        <v>973</v>
      </c>
      <c r="H75" s="2721">
        <f t="array" ref="H75">SUMPRODUCT(C75:G75,TRANSPOSE($C$127:$C$131))</f>
        <v>1211.0212765957444</v>
      </c>
      <c r="J75" s="873"/>
      <c r="K75" s="1193"/>
      <c r="L75" s="1193"/>
      <c r="M75" s="2686"/>
      <c r="N75" s="2686"/>
      <c r="O75" s="2686"/>
      <c r="P75" s="2686"/>
      <c r="Q75" s="2686"/>
      <c r="R75" s="874"/>
    </row>
    <row r="76" spans="2:18" x14ac:dyDescent="0.35">
      <c r="B76" s="2683" t="s">
        <v>3907</v>
      </c>
      <c r="C76" s="2684">
        <v>2848</v>
      </c>
      <c r="D76" s="2684">
        <v>2947</v>
      </c>
      <c r="E76" s="2684">
        <v>2568</v>
      </c>
      <c r="F76" s="2684">
        <v>2362</v>
      </c>
      <c r="G76" s="2684">
        <v>2516</v>
      </c>
      <c r="H76" s="2720">
        <f t="array" ref="H76">SUMPRODUCT(C76:G76,TRANSPOSE($C$127:$C$131))</f>
        <v>2614.9787234042551</v>
      </c>
      <c r="J76" s="873"/>
      <c r="K76" s="1193"/>
      <c r="L76" s="1193"/>
      <c r="M76" s="698"/>
      <c r="N76" s="698"/>
      <c r="O76" s="698"/>
      <c r="P76" s="698"/>
      <c r="Q76" s="698"/>
      <c r="R76" s="874"/>
    </row>
    <row r="77" spans="2:18" x14ac:dyDescent="0.35">
      <c r="B77" s="2680" t="s">
        <v>2028</v>
      </c>
      <c r="C77" s="2681">
        <v>1614</v>
      </c>
      <c r="D77" s="2681">
        <v>1603</v>
      </c>
      <c r="E77" s="2681">
        <v>1409</v>
      </c>
      <c r="F77" s="2681">
        <v>1209</v>
      </c>
      <c r="G77" s="2681">
        <v>1269</v>
      </c>
      <c r="H77" s="2720">
        <f t="array" ref="H77">SUMPRODUCT(C77:G77,TRANSPOSE($C$127:$C$131))</f>
        <v>1425.0000000000002</v>
      </c>
      <c r="J77" s="1194"/>
      <c r="K77" s="1195"/>
      <c r="L77" s="1195"/>
      <c r="M77" s="698"/>
      <c r="N77" s="698"/>
      <c r="O77" s="698"/>
      <c r="P77" s="698"/>
      <c r="Q77" s="698"/>
      <c r="R77" s="874"/>
    </row>
    <row r="78" spans="2:18" x14ac:dyDescent="0.35">
      <c r="B78" s="1146" t="s">
        <v>2109</v>
      </c>
      <c r="C78" s="1190">
        <v>985</v>
      </c>
      <c r="D78" s="1191">
        <v>969</v>
      </c>
      <c r="E78" s="1191">
        <v>852</v>
      </c>
      <c r="F78" s="1191">
        <v>680</v>
      </c>
      <c r="G78" s="1192">
        <v>752</v>
      </c>
      <c r="H78" s="2721">
        <f t="array" ref="H78">SUMPRODUCT(C78:G78,TRANSPOSE($C$127:$C$131))</f>
        <v>857.27659574468078</v>
      </c>
      <c r="J78" s="1194"/>
      <c r="K78" s="1193"/>
      <c r="L78" s="1193"/>
      <c r="M78" s="698"/>
      <c r="N78" s="698"/>
      <c r="O78" s="698"/>
      <c r="P78" s="698"/>
      <c r="Q78" s="698"/>
      <c r="R78" s="874"/>
    </row>
    <row r="79" spans="2:18" x14ac:dyDescent="0.35">
      <c r="B79" s="2680" t="s">
        <v>2026</v>
      </c>
      <c r="C79" s="2681">
        <v>1467</v>
      </c>
      <c r="D79" s="2681">
        <v>1551</v>
      </c>
      <c r="E79" s="2681">
        <v>1364</v>
      </c>
      <c r="F79" s="2681">
        <v>1367</v>
      </c>
      <c r="G79" s="2681">
        <v>1375</v>
      </c>
      <c r="H79" s="2720">
        <f t="array" ref="H79">SUMPRODUCT(C79:G79,TRANSPOSE($C$127:$C$131))</f>
        <v>1396.0851063829787</v>
      </c>
      <c r="J79" s="1194"/>
      <c r="K79" s="1193"/>
      <c r="L79" s="1193"/>
      <c r="M79" s="698"/>
      <c r="N79" s="698"/>
      <c r="O79" s="698"/>
      <c r="P79" s="698"/>
      <c r="Q79" s="698"/>
      <c r="R79" s="874"/>
    </row>
    <row r="80" spans="2:18" x14ac:dyDescent="0.35">
      <c r="B80" s="2680" t="s">
        <v>2075</v>
      </c>
      <c r="C80" s="2681">
        <v>1446</v>
      </c>
      <c r="D80" s="2681">
        <v>1526</v>
      </c>
      <c r="E80" s="2681">
        <v>1452</v>
      </c>
      <c r="F80" s="2681">
        <v>1553</v>
      </c>
      <c r="G80" s="2681">
        <v>1574</v>
      </c>
      <c r="H80" s="2720">
        <f t="array" ref="H80">SUMPRODUCT(C80:G80,TRANSPOSE($C$127:$C$131))</f>
        <v>1473.1914893617022</v>
      </c>
      <c r="J80" s="1196"/>
      <c r="K80" s="1197"/>
      <c r="L80" s="1197"/>
      <c r="M80" s="1198"/>
      <c r="N80" s="1198"/>
      <c r="O80" s="1198"/>
      <c r="P80" s="1198"/>
      <c r="Q80" s="1197"/>
      <c r="R80" s="1199"/>
    </row>
    <row r="81" spans="2:18" x14ac:dyDescent="0.35">
      <c r="B81" s="2680" t="s">
        <v>2029</v>
      </c>
      <c r="C81" s="2681">
        <v>1807</v>
      </c>
      <c r="D81" s="2681">
        <v>1855</v>
      </c>
      <c r="E81" s="2681">
        <v>1649</v>
      </c>
      <c r="F81" s="2681">
        <v>1591</v>
      </c>
      <c r="G81" s="2681">
        <v>1622</v>
      </c>
      <c r="H81" s="2720">
        <f t="array" ref="H81">SUMPRODUCT(C81:G81,TRANSPOSE($C$127:$C$131))</f>
        <v>1679.127659574468</v>
      </c>
      <c r="J81" s="869" t="s">
        <v>1990</v>
      </c>
      <c r="K81" s="870"/>
      <c r="L81" s="870"/>
      <c r="M81" s="1203"/>
      <c r="N81" s="1203"/>
      <c r="O81" s="1203"/>
      <c r="P81" s="1203"/>
      <c r="Q81" s="1204"/>
      <c r="R81" s="1205"/>
    </row>
    <row r="82" spans="2:18" x14ac:dyDescent="0.35">
      <c r="B82" s="2680" t="s">
        <v>2159</v>
      </c>
      <c r="C82" s="2681">
        <v>1216</v>
      </c>
      <c r="D82" s="2681">
        <v>1220</v>
      </c>
      <c r="E82" s="2681">
        <v>1072</v>
      </c>
      <c r="F82" s="2681">
        <v>1001</v>
      </c>
      <c r="G82" s="2681">
        <v>1028</v>
      </c>
      <c r="H82" s="2720">
        <f t="array" ref="H82">SUMPRODUCT(C82:G82,TRANSPOSE($C$127:$C$131))</f>
        <v>1091.1489361702127</v>
      </c>
      <c r="J82" s="873" t="s">
        <v>1365</v>
      </c>
      <c r="K82" s="698" t="s">
        <v>1992</v>
      </c>
      <c r="L82" s="698" t="s">
        <v>2320</v>
      </c>
      <c r="M82" s="1206"/>
      <c r="N82" s="1206"/>
      <c r="O82" s="1206"/>
      <c r="P82" s="1206"/>
      <c r="Q82" s="1193"/>
      <c r="R82" s="1207"/>
    </row>
    <row r="83" spans="2:18" x14ac:dyDescent="0.35">
      <c r="B83" s="2680" t="s">
        <v>2160</v>
      </c>
      <c r="C83" s="2681">
        <v>1387</v>
      </c>
      <c r="D83" s="2681">
        <v>1398</v>
      </c>
      <c r="E83" s="2681">
        <v>1252</v>
      </c>
      <c r="F83" s="2681">
        <v>1222</v>
      </c>
      <c r="G83" s="2681">
        <v>1269</v>
      </c>
      <c r="H83" s="2720">
        <f t="array" ref="H83">SUMPRODUCT(C83:G83,TRANSPOSE($C$127:$C$131))</f>
        <v>1274.2978723404256</v>
      </c>
      <c r="J83" s="873" t="s">
        <v>2321</v>
      </c>
      <c r="K83" s="698"/>
      <c r="L83" s="698" t="s">
        <v>2322</v>
      </c>
      <c r="M83" s="1206"/>
      <c r="N83" s="1206"/>
      <c r="O83" s="1206"/>
      <c r="P83" s="1206"/>
      <c r="Q83" s="1193"/>
      <c r="R83" s="1207"/>
    </row>
    <row r="84" spans="2:18" x14ac:dyDescent="0.35">
      <c r="B84" s="2680" t="s">
        <v>2161</v>
      </c>
      <c r="C84" s="2682">
        <v>665</v>
      </c>
      <c r="D84" s="2682">
        <v>697</v>
      </c>
      <c r="E84" s="2682">
        <v>628</v>
      </c>
      <c r="F84" s="2682">
        <v>646</v>
      </c>
      <c r="G84" s="2682">
        <v>615</v>
      </c>
      <c r="H84" s="2720">
        <f t="array" ref="H84">SUMPRODUCT(C84:G84,TRANSPOSE($C$127:$C$131))</f>
        <v>641.27659574468089</v>
      </c>
      <c r="J84" s="873" t="s">
        <v>2323</v>
      </c>
      <c r="K84" s="698" t="s">
        <v>2112</v>
      </c>
      <c r="L84" s="698" t="s">
        <v>2324</v>
      </c>
      <c r="M84" s="1206"/>
      <c r="N84" s="1206"/>
      <c r="O84" s="1206"/>
      <c r="P84" s="1206"/>
      <c r="Q84" s="1193"/>
      <c r="R84" s="1207"/>
    </row>
    <row r="85" spans="2:18" x14ac:dyDescent="0.35">
      <c r="B85" s="2680" t="s">
        <v>2162</v>
      </c>
      <c r="C85" s="2681">
        <v>1622</v>
      </c>
      <c r="D85" s="2681">
        <v>1571</v>
      </c>
      <c r="E85" s="2681">
        <v>1374</v>
      </c>
      <c r="F85" s="2681">
        <v>1220</v>
      </c>
      <c r="G85" s="2681">
        <v>1281</v>
      </c>
      <c r="H85" s="2720">
        <f t="array" ref="H85">SUMPRODUCT(C85:G85,TRANSPOSE($C$127:$C$131))</f>
        <v>1394.4255319148938</v>
      </c>
      <c r="J85" s="1208" t="s">
        <v>2326</v>
      </c>
      <c r="K85" s="1206" t="s">
        <v>2112</v>
      </c>
      <c r="L85" s="1193" t="s">
        <v>2327</v>
      </c>
      <c r="M85" s="1206"/>
      <c r="N85" s="1206"/>
      <c r="O85" s="1206"/>
      <c r="P85" s="1206"/>
      <c r="Q85" s="1193"/>
      <c r="R85" s="1207"/>
    </row>
    <row r="86" spans="2:18" x14ac:dyDescent="0.35">
      <c r="B86" s="2680" t="s">
        <v>2325</v>
      </c>
      <c r="C86" s="2681">
        <v>1597</v>
      </c>
      <c r="D86" s="2681">
        <v>1634</v>
      </c>
      <c r="E86" s="2681">
        <v>1468</v>
      </c>
      <c r="F86" s="2681">
        <v>1376</v>
      </c>
      <c r="G86" s="2681">
        <v>1451</v>
      </c>
      <c r="H86" s="2720">
        <f t="array" ref="H86">SUMPRODUCT(C86:G86,TRANSPOSE($C$127:$C$131))</f>
        <v>1488.4255319148933</v>
      </c>
      <c r="J86" s="1208" t="s">
        <v>2328</v>
      </c>
      <c r="K86" s="1206"/>
      <c r="L86" s="1193" t="s">
        <v>2329</v>
      </c>
      <c r="M86" s="1206"/>
      <c r="N86" s="1206"/>
      <c r="O86" s="1206"/>
      <c r="P86" s="1206"/>
      <c r="Q86" s="1193"/>
      <c r="R86" s="1207"/>
    </row>
    <row r="87" spans="2:18" x14ac:dyDescent="0.35">
      <c r="B87" s="2680" t="s">
        <v>2073</v>
      </c>
      <c r="C87" s="2681">
        <v>1670</v>
      </c>
      <c r="D87" s="2681">
        <v>1733</v>
      </c>
      <c r="E87" s="2681">
        <v>1549</v>
      </c>
      <c r="F87" s="2681">
        <v>1496</v>
      </c>
      <c r="G87" s="2681">
        <v>1557</v>
      </c>
      <c r="H87" s="2720">
        <f t="array" ref="H87">SUMPRODUCT(C87:G87,TRANSPOSE($C$127:$C$131))</f>
        <v>1575.8085106382978</v>
      </c>
      <c r="J87" s="1208" t="s">
        <v>2330</v>
      </c>
      <c r="K87" s="1206" t="s">
        <v>2112</v>
      </c>
      <c r="L87" s="1193" t="s">
        <v>2331</v>
      </c>
      <c r="M87" s="1206"/>
      <c r="N87" s="1206"/>
      <c r="O87" s="1206"/>
      <c r="P87" s="1206"/>
      <c r="Q87" s="1193"/>
      <c r="R87" s="1207"/>
    </row>
    <row r="88" spans="2:18" x14ac:dyDescent="0.35">
      <c r="B88" s="2680" t="s">
        <v>2166</v>
      </c>
      <c r="C88" s="2681">
        <v>1555</v>
      </c>
      <c r="D88" s="2681">
        <v>1597</v>
      </c>
      <c r="E88" s="2681">
        <v>1433</v>
      </c>
      <c r="F88" s="2681">
        <v>1316</v>
      </c>
      <c r="G88" s="2681">
        <v>1400</v>
      </c>
      <c r="H88" s="2720">
        <f t="array" ref="H88">SUMPRODUCT(C88:G88,TRANSPOSE($C$127:$C$131))</f>
        <v>1450.9574468085107</v>
      </c>
      <c r="J88" s="1194" t="s">
        <v>2332</v>
      </c>
      <c r="K88" s="1193" t="s">
        <v>2112</v>
      </c>
      <c r="L88" s="1206" t="s">
        <v>2333</v>
      </c>
      <c r="M88" s="1206"/>
      <c r="N88" s="1206"/>
      <c r="O88" s="1206"/>
      <c r="P88" s="1206"/>
      <c r="Q88" s="1193"/>
      <c r="R88" s="1207"/>
    </row>
    <row r="89" spans="2:18" x14ac:dyDescent="0.35">
      <c r="B89" s="1144" t="s">
        <v>2163</v>
      </c>
      <c r="C89" s="1200">
        <v>1048</v>
      </c>
      <c r="D89" s="1201">
        <v>1013</v>
      </c>
      <c r="E89" s="1201">
        <v>939</v>
      </c>
      <c r="F89" s="1201">
        <v>567</v>
      </c>
      <c r="G89" s="1202">
        <v>634</v>
      </c>
      <c r="H89" s="2721">
        <f t="array" ref="H89">SUMPRODUCT(C89:G89,TRANSPOSE($C$127:$C$131))</f>
        <v>919.936170212766</v>
      </c>
      <c r="J89" s="933" t="s">
        <v>2334</v>
      </c>
      <c r="K89" s="934" t="s">
        <v>2112</v>
      </c>
      <c r="L89" s="934" t="s">
        <v>2335</v>
      </c>
      <c r="M89" s="1198"/>
      <c r="N89" s="1198"/>
      <c r="O89" s="1198"/>
      <c r="P89" s="1198"/>
      <c r="Q89" s="1197"/>
      <c r="R89" s="1199"/>
    </row>
    <row r="90" spans="2:18" x14ac:dyDescent="0.35">
      <c r="B90" s="2683" t="s">
        <v>2181</v>
      </c>
      <c r="C90" s="2684">
        <v>1565</v>
      </c>
      <c r="D90" s="2684">
        <v>1540</v>
      </c>
      <c r="E90" s="2684">
        <v>1448</v>
      </c>
      <c r="F90" s="2684">
        <v>1089</v>
      </c>
      <c r="G90" s="2684">
        <v>1125</v>
      </c>
      <c r="H90" s="2720">
        <f t="array" ref="H90">SUMPRODUCT(C90:G90,TRANSPOSE($C$127:$C$131))</f>
        <v>1433.1063829787233</v>
      </c>
    </row>
    <row r="91" spans="2:18" x14ac:dyDescent="0.35">
      <c r="B91" s="2683" t="s">
        <v>2164</v>
      </c>
      <c r="C91" s="2685">
        <v>537</v>
      </c>
      <c r="D91" s="2685">
        <v>558</v>
      </c>
      <c r="E91" s="2685">
        <v>501</v>
      </c>
      <c r="F91" s="2685">
        <v>480</v>
      </c>
      <c r="G91" s="2685">
        <v>499</v>
      </c>
      <c r="H91" s="2720">
        <f t="array" ref="H91">SUMPRODUCT(C91:G91,TRANSPOSE($C$127:$C$131))</f>
        <v>508.91489361702128</v>
      </c>
      <c r="J91" s="698"/>
      <c r="K91" s="698"/>
      <c r="L91" s="698"/>
      <c r="M91" s="698"/>
      <c r="N91" s="698"/>
      <c r="O91" s="698"/>
      <c r="P91" s="698"/>
      <c r="Q91" s="698"/>
      <c r="R91" s="698"/>
    </row>
    <row r="92" spans="2:18" x14ac:dyDescent="0.35">
      <c r="B92" s="2683" t="s">
        <v>2336</v>
      </c>
      <c r="C92" s="2684">
        <v>1665</v>
      </c>
      <c r="D92" s="2684">
        <v>1666</v>
      </c>
      <c r="E92" s="2684">
        <v>1512</v>
      </c>
      <c r="F92" s="2684">
        <v>1145</v>
      </c>
      <c r="G92" s="2684">
        <v>1207</v>
      </c>
      <c r="H92" s="2720">
        <f t="array" ref="H92">SUMPRODUCT(C92:G92,TRANSPOSE($C$127:$C$131))</f>
        <v>1506.9787234042553</v>
      </c>
      <c r="J92" s="698"/>
      <c r="K92" s="698"/>
      <c r="L92" s="698"/>
      <c r="M92" s="698"/>
      <c r="N92" s="698"/>
      <c r="O92" s="698"/>
      <c r="P92" s="698"/>
      <c r="Q92" s="698"/>
      <c r="R92" s="698"/>
    </row>
    <row r="93" spans="2:18" x14ac:dyDescent="0.35">
      <c r="B93" s="2683" t="s">
        <v>2165</v>
      </c>
      <c r="C93" s="2684">
        <v>1730</v>
      </c>
      <c r="D93" s="2684">
        <v>1782</v>
      </c>
      <c r="E93" s="2684">
        <v>1589</v>
      </c>
      <c r="F93" s="2684">
        <v>1538</v>
      </c>
      <c r="G93" s="2684">
        <v>1560</v>
      </c>
      <c r="H93" s="2720">
        <f t="array" ref="H93">SUMPRODUCT(C93:G93,TRANSPOSE($C$127:$C$131))</f>
        <v>1617.5106382978724</v>
      </c>
      <c r="J93" s="698"/>
      <c r="K93" s="698"/>
      <c r="L93" s="698"/>
      <c r="M93" s="698"/>
      <c r="N93" s="698"/>
      <c r="O93" s="698"/>
      <c r="P93" s="698"/>
      <c r="Q93" s="698"/>
      <c r="R93" s="698"/>
    </row>
    <row r="94" spans="2:18" x14ac:dyDescent="0.35">
      <c r="B94" s="1146" t="s">
        <v>2167</v>
      </c>
      <c r="C94" s="1200">
        <v>1916</v>
      </c>
      <c r="D94" s="1201">
        <v>1905</v>
      </c>
      <c r="E94" s="1201">
        <v>1718</v>
      </c>
      <c r="F94" s="1201">
        <v>1288</v>
      </c>
      <c r="G94" s="1202">
        <v>1538</v>
      </c>
      <c r="H94" s="2721">
        <f t="array" ref="H94">SUMPRODUCT(C94:G94,TRANSPOSE($C$127:$C$131))</f>
        <v>1713.2340425531916</v>
      </c>
      <c r="J94" s="698"/>
      <c r="K94" s="698"/>
      <c r="L94" s="698"/>
      <c r="M94" s="698"/>
      <c r="N94" s="698"/>
      <c r="O94" s="698"/>
      <c r="P94" s="698"/>
      <c r="Q94" s="698"/>
      <c r="R94" s="698"/>
    </row>
    <row r="95" spans="2:18" x14ac:dyDescent="0.35">
      <c r="B95" s="2683" t="s">
        <v>2168</v>
      </c>
      <c r="C95" s="2685">
        <v>995</v>
      </c>
      <c r="D95" s="2684">
        <v>1036</v>
      </c>
      <c r="E95" s="2685">
        <v>933</v>
      </c>
      <c r="F95" s="2685">
        <v>786</v>
      </c>
      <c r="G95" s="2685">
        <v>832</v>
      </c>
      <c r="H95" s="2720">
        <f t="array" ref="H95">SUMPRODUCT(C95:G95,TRANSPOSE($C$127:$C$131))</f>
        <v>938.02127659574455</v>
      </c>
      <c r="J95" s="698"/>
      <c r="K95" s="698"/>
      <c r="L95" s="698"/>
      <c r="M95" s="698"/>
      <c r="N95" s="698"/>
      <c r="O95" s="698"/>
      <c r="P95" s="698"/>
      <c r="Q95" s="698"/>
      <c r="R95" s="698"/>
    </row>
    <row r="96" spans="2:18" x14ac:dyDescent="0.35">
      <c r="B96" s="2683" t="s">
        <v>2169</v>
      </c>
      <c r="C96" s="2684">
        <v>2244</v>
      </c>
      <c r="D96" s="2684">
        <v>2237</v>
      </c>
      <c r="E96" s="2684">
        <v>2024</v>
      </c>
      <c r="F96" s="2684">
        <v>1553</v>
      </c>
      <c r="G96" s="2684">
        <v>1608</v>
      </c>
      <c r="H96" s="2720">
        <f t="array" ref="H96">SUMPRODUCT(C96:G96,TRANSPOSE($C$127:$C$131))</f>
        <v>2020.1702127659573</v>
      </c>
      <c r="J96" s="698"/>
      <c r="K96" s="698"/>
      <c r="L96" s="698"/>
      <c r="M96" s="698"/>
      <c r="N96" s="698"/>
      <c r="O96" s="698"/>
      <c r="P96" s="698"/>
      <c r="Q96" s="698"/>
      <c r="R96" s="698"/>
    </row>
    <row r="97" spans="1:18" x14ac:dyDescent="0.35">
      <c r="B97" s="2683" t="s">
        <v>2170</v>
      </c>
      <c r="C97" s="2684">
        <v>1552</v>
      </c>
      <c r="D97" s="2684">
        <v>1432</v>
      </c>
      <c r="E97" s="2684">
        <v>1239</v>
      </c>
      <c r="F97" s="2684">
        <v>1077</v>
      </c>
      <c r="G97" s="2684">
        <v>1098</v>
      </c>
      <c r="H97" s="2720">
        <f t="array" ref="H97">SUMPRODUCT(C97:G97,TRANSPOSE($C$127:$C$131))</f>
        <v>1258.063829787234</v>
      </c>
      <c r="I97" s="675" t="s">
        <v>396</v>
      </c>
      <c r="J97" s="698"/>
      <c r="K97" s="698"/>
      <c r="L97" s="698"/>
      <c r="M97" s="698"/>
      <c r="N97" s="698"/>
      <c r="O97" s="698"/>
      <c r="P97" s="698"/>
      <c r="Q97" s="698"/>
      <c r="R97" s="698"/>
    </row>
    <row r="98" spans="1:18" x14ac:dyDescent="0.35">
      <c r="B98" s="2683" t="s">
        <v>2171</v>
      </c>
      <c r="C98" s="2684">
        <v>1015</v>
      </c>
      <c r="D98" s="2685">
        <v>993</v>
      </c>
      <c r="E98" s="2685">
        <v>899</v>
      </c>
      <c r="F98" s="2685">
        <v>773</v>
      </c>
      <c r="G98" s="2685">
        <v>809</v>
      </c>
      <c r="H98" s="2720">
        <f t="array" ref="H98">SUMPRODUCT(C98:G98,TRANSPOSE($C$127:$C$131))</f>
        <v>904.27659574468089</v>
      </c>
      <c r="J98" s="698"/>
      <c r="K98" s="698"/>
      <c r="L98" s="698"/>
      <c r="M98" s="698"/>
      <c r="N98" s="698"/>
      <c r="O98" s="698"/>
      <c r="P98" s="698"/>
      <c r="Q98" s="698"/>
      <c r="R98" s="698"/>
    </row>
    <row r="99" spans="1:18" x14ac:dyDescent="0.35">
      <c r="B99" s="2683" t="s">
        <v>2172</v>
      </c>
      <c r="C99" s="2684">
        <v>2825</v>
      </c>
      <c r="D99" s="2684">
        <v>2625</v>
      </c>
      <c r="E99" s="2684">
        <v>2365</v>
      </c>
      <c r="F99" s="2684">
        <v>2007</v>
      </c>
      <c r="G99" s="2684">
        <v>2040</v>
      </c>
      <c r="H99" s="2720">
        <f t="array" ref="H99">SUMPRODUCT(C99:G99,TRANSPOSE($C$127:$C$131))</f>
        <v>2378.7872340425529</v>
      </c>
      <c r="J99" s="698"/>
      <c r="K99" s="698"/>
      <c r="L99" s="698"/>
      <c r="M99" s="698"/>
      <c r="N99" s="698"/>
      <c r="O99" s="698"/>
      <c r="P99" s="698"/>
      <c r="Q99" s="698"/>
      <c r="R99" s="698"/>
    </row>
    <row r="100" spans="1:18" x14ac:dyDescent="0.35">
      <c r="B100" s="2683" t="s">
        <v>2173</v>
      </c>
      <c r="C100" s="2684">
        <v>1672</v>
      </c>
      <c r="D100" s="2684">
        <v>1629</v>
      </c>
      <c r="E100" s="2684">
        <v>1454</v>
      </c>
      <c r="F100" s="2684">
        <v>1356</v>
      </c>
      <c r="G100" s="2684">
        <v>1399</v>
      </c>
      <c r="H100" s="2720">
        <f t="array" ref="H100">SUMPRODUCT(C100:G100,TRANSPOSE($C$127:$C$131))</f>
        <v>1475.4468085106382</v>
      </c>
      <c r="J100" s="698"/>
      <c r="K100" s="698"/>
      <c r="L100" s="698"/>
      <c r="M100" s="698"/>
      <c r="N100" s="698"/>
      <c r="O100" s="698"/>
      <c r="P100" s="698"/>
      <c r="Q100" s="698"/>
      <c r="R100" s="698"/>
    </row>
    <row r="101" spans="1:18" x14ac:dyDescent="0.35">
      <c r="B101" s="2683" t="s">
        <v>3908</v>
      </c>
      <c r="C101" s="2684">
        <v>2757</v>
      </c>
      <c r="D101" s="2684">
        <v>2670</v>
      </c>
      <c r="E101" s="2684">
        <v>2383</v>
      </c>
      <c r="F101" s="2684">
        <v>2149</v>
      </c>
      <c r="G101" s="2684">
        <v>2186</v>
      </c>
      <c r="H101" s="2720">
        <f t="array" ref="H101">SUMPRODUCT(C101:G101,TRANSPOSE($C$127:$C$131))</f>
        <v>2411.9361702127658</v>
      </c>
      <c r="J101" s="2686"/>
      <c r="K101" s="2686"/>
      <c r="L101" s="2686"/>
      <c r="M101" s="2686"/>
      <c r="N101" s="2686"/>
      <c r="O101" s="2686"/>
      <c r="P101" s="2686"/>
      <c r="Q101" s="2686"/>
      <c r="R101" s="2686"/>
    </row>
    <row r="102" spans="1:18" x14ac:dyDescent="0.35">
      <c r="B102" s="1141" t="s">
        <v>2174</v>
      </c>
      <c r="C102" s="1200">
        <v>1603</v>
      </c>
      <c r="D102" s="1201">
        <v>1504</v>
      </c>
      <c r="E102" s="1201">
        <v>1440</v>
      </c>
      <c r="F102" s="1201">
        <v>1054</v>
      </c>
      <c r="G102" s="1202">
        <v>1205</v>
      </c>
      <c r="H102" s="2721">
        <f t="array" ref="H102">SUMPRODUCT(C102:G102,TRANSPOSE($C$127:$C$131))</f>
        <v>1418.0425531914893</v>
      </c>
      <c r="J102" s="698"/>
      <c r="K102" s="698"/>
      <c r="L102" s="698"/>
      <c r="M102" s="698"/>
      <c r="N102" s="698"/>
      <c r="O102" s="698"/>
      <c r="P102" s="698"/>
      <c r="Q102" s="698"/>
      <c r="R102" s="698"/>
    </row>
    <row r="103" spans="1:18" x14ac:dyDescent="0.35">
      <c r="B103" s="2683" t="s">
        <v>2175</v>
      </c>
      <c r="C103" s="2684">
        <v>1326</v>
      </c>
      <c r="D103" s="2684">
        <v>1328</v>
      </c>
      <c r="E103" s="2684">
        <v>1179</v>
      </c>
      <c r="F103" s="2684">
        <v>1091</v>
      </c>
      <c r="G103" s="2684">
        <v>1122</v>
      </c>
      <c r="H103" s="2720">
        <f t="array" ref="H103">SUMPRODUCT(C103:G103,TRANSPOSE($C$127:$C$131))</f>
        <v>1196.872340425532</v>
      </c>
      <c r="J103" s="698"/>
      <c r="K103" s="698"/>
      <c r="L103" s="698"/>
      <c r="M103" s="698"/>
      <c r="N103" s="698"/>
      <c r="O103" s="698"/>
      <c r="P103" s="698"/>
      <c r="Q103" s="698"/>
      <c r="R103" s="698"/>
    </row>
    <row r="104" spans="1:18" x14ac:dyDescent="0.35">
      <c r="B104" s="2683" t="s">
        <v>2176</v>
      </c>
      <c r="C104" s="2684">
        <v>1365</v>
      </c>
      <c r="D104" s="2684">
        <v>1322</v>
      </c>
      <c r="E104" s="2684">
        <v>1193</v>
      </c>
      <c r="F104" s="2684">
        <v>1034</v>
      </c>
      <c r="G104" s="2684">
        <v>1088</v>
      </c>
      <c r="H104" s="2720">
        <f t="array" ref="H104">SUMPRODUCT(C104:G104,TRANSPOSE($C$127:$C$131))</f>
        <v>1201.4255319148936</v>
      </c>
      <c r="J104" s="698"/>
      <c r="K104" s="698"/>
      <c r="L104" s="698"/>
      <c r="M104" s="698"/>
      <c r="N104" s="698"/>
      <c r="O104" s="698"/>
      <c r="P104" s="698"/>
      <c r="Q104" s="698"/>
      <c r="R104" s="698"/>
    </row>
    <row r="105" spans="1:18" x14ac:dyDescent="0.35">
      <c r="B105" s="2683" t="s">
        <v>2177</v>
      </c>
      <c r="C105" s="2684">
        <v>1347</v>
      </c>
      <c r="D105" s="2684">
        <v>1325</v>
      </c>
      <c r="E105" s="2684">
        <v>1183</v>
      </c>
      <c r="F105" s="2684">
        <v>1064</v>
      </c>
      <c r="G105" s="2684">
        <v>1096</v>
      </c>
      <c r="H105" s="2720">
        <f t="array" ref="H105">SUMPRODUCT(C105:G105,TRANSPOSE($C$127:$C$131))</f>
        <v>1197.0425531914893</v>
      </c>
    </row>
    <row r="106" spans="1:18" x14ac:dyDescent="0.35">
      <c r="B106" s="2683" t="s">
        <v>2027</v>
      </c>
      <c r="C106" s="2684">
        <v>1285</v>
      </c>
      <c r="D106" s="2684">
        <v>1286</v>
      </c>
      <c r="E106" s="2684">
        <v>1180</v>
      </c>
      <c r="F106" s="2684">
        <v>1147</v>
      </c>
      <c r="G106" s="2684">
        <v>1224</v>
      </c>
      <c r="H106" s="2720">
        <f t="array" ref="H106">SUMPRODUCT(C106:G106,TRANSPOSE($C$127:$C$131))</f>
        <v>1195.2340425531916</v>
      </c>
    </row>
    <row r="107" spans="1:18" x14ac:dyDescent="0.35">
      <c r="B107" s="2683" t="s">
        <v>536</v>
      </c>
      <c r="C107" s="2684">
        <v>1709</v>
      </c>
      <c r="D107" s="2684">
        <v>1678</v>
      </c>
      <c r="E107" s="2684">
        <v>1508</v>
      </c>
      <c r="F107" s="2684">
        <v>1287</v>
      </c>
      <c r="G107" s="2684">
        <v>1411</v>
      </c>
      <c r="H107" s="2720">
        <f t="array" ref="H107">SUMPRODUCT(C107:G107,TRANSPOSE($C$127:$C$131))</f>
        <v>1518.1276595744682</v>
      </c>
    </row>
    <row r="108" spans="1:18" x14ac:dyDescent="0.35">
      <c r="C108" s="675" t="s">
        <v>2337</v>
      </c>
      <c r="M108" s="698"/>
    </row>
    <row r="109" spans="1:18" x14ac:dyDescent="0.35">
      <c r="M109" s="698"/>
    </row>
    <row r="110" spans="1:18" ht="21" x14ac:dyDescent="0.5">
      <c r="A110" s="704" t="s">
        <v>2012</v>
      </c>
      <c r="M110" s="698"/>
    </row>
    <row r="111" spans="1:18" ht="21" x14ac:dyDescent="0.5">
      <c r="A111" s="704"/>
      <c r="B111" s="698"/>
      <c r="C111" s="735"/>
      <c r="M111" s="698"/>
    </row>
    <row r="112" spans="1:18" ht="29" x14ac:dyDescent="0.35">
      <c r="B112" s="1209" t="s">
        <v>2338</v>
      </c>
      <c r="C112" s="1209" t="s">
        <v>2339</v>
      </c>
      <c r="D112" s="1008" t="s">
        <v>2340</v>
      </c>
      <c r="E112" s="3039"/>
      <c r="F112" s="3039"/>
      <c r="G112" s="840"/>
      <c r="H112" s="840"/>
      <c r="I112" s="840"/>
      <c r="J112" s="840"/>
      <c r="K112" s="840"/>
      <c r="L112" s="840"/>
    </row>
    <row r="113" spans="1:13" x14ac:dyDescent="0.35">
      <c r="B113" s="1136" t="s">
        <v>2341</v>
      </c>
      <c r="C113" s="1136" t="s">
        <v>2342</v>
      </c>
      <c r="D113" s="1210">
        <v>1.01</v>
      </c>
      <c r="E113" s="739"/>
      <c r="F113" s="739"/>
      <c r="G113" s="840"/>
      <c r="H113" s="840"/>
      <c r="I113" s="840"/>
      <c r="J113" s="840"/>
      <c r="K113" s="840"/>
      <c r="L113" s="840"/>
    </row>
    <row r="114" spans="1:13" x14ac:dyDescent="0.35">
      <c r="B114" s="1146" t="s">
        <v>2341</v>
      </c>
      <c r="C114" s="1146" t="s">
        <v>2343</v>
      </c>
      <c r="D114" s="1211">
        <v>1.0169999999999999</v>
      </c>
      <c r="E114" s="983">
        <v>-4.7030769230786973E-3</v>
      </c>
      <c r="F114" s="739"/>
      <c r="G114" s="840"/>
      <c r="H114" s="840"/>
      <c r="I114" s="840"/>
      <c r="J114" s="840"/>
      <c r="K114" s="840"/>
      <c r="L114" s="840"/>
    </row>
    <row r="115" spans="1:13" x14ac:dyDescent="0.35">
      <c r="B115" s="1144" t="s">
        <v>2341</v>
      </c>
      <c r="C115" s="1144" t="s">
        <v>2344</v>
      </c>
      <c r="D115" s="1212">
        <v>1</v>
      </c>
      <c r="E115" s="739"/>
      <c r="F115" s="739"/>
      <c r="G115" s="840"/>
      <c r="H115" s="840"/>
      <c r="I115" s="840"/>
      <c r="J115" s="840"/>
      <c r="K115" s="840"/>
      <c r="L115" s="840"/>
    </row>
    <row r="116" spans="1:13" x14ac:dyDescent="0.35">
      <c r="B116" s="1146" t="s">
        <v>2341</v>
      </c>
      <c r="C116" s="1146" t="s">
        <v>2345</v>
      </c>
      <c r="D116" s="1211">
        <v>1</v>
      </c>
      <c r="E116" s="739"/>
      <c r="F116" s="739"/>
      <c r="G116" s="840"/>
      <c r="H116" s="840"/>
      <c r="I116" s="840"/>
      <c r="J116" s="840"/>
      <c r="K116" s="840"/>
      <c r="L116" s="840"/>
    </row>
    <row r="117" spans="1:13" x14ac:dyDescent="0.35">
      <c r="B117" s="1213" t="s">
        <v>2341</v>
      </c>
      <c r="C117" s="1213" t="s">
        <v>2346</v>
      </c>
      <c r="D117" s="1214">
        <v>1</v>
      </c>
      <c r="E117" s="739"/>
      <c r="F117" s="739"/>
      <c r="G117" s="840"/>
      <c r="H117" s="840"/>
      <c r="I117" s="840"/>
      <c r="J117" s="840"/>
      <c r="K117" s="840"/>
      <c r="L117" s="840"/>
    </row>
    <row r="118" spans="1:13" x14ac:dyDescent="0.35">
      <c r="B118" s="1136" t="s">
        <v>2347</v>
      </c>
      <c r="C118" s="1136" t="s">
        <v>2342</v>
      </c>
      <c r="D118" s="1210">
        <v>2</v>
      </c>
      <c r="E118" s="739"/>
      <c r="F118" s="983"/>
      <c r="G118" s="840"/>
      <c r="H118" s="840"/>
      <c r="I118" s="840"/>
      <c r="J118" s="840"/>
      <c r="K118" s="840"/>
      <c r="L118" s="840"/>
    </row>
    <row r="119" spans="1:13" x14ac:dyDescent="0.35">
      <c r="B119" s="1146" t="s">
        <v>2347</v>
      </c>
      <c r="C119" s="1146" t="s">
        <v>2343</v>
      </c>
      <c r="D119" s="1211">
        <v>2.02</v>
      </c>
      <c r="E119" s="739"/>
      <c r="F119" s="739"/>
      <c r="G119" s="840"/>
      <c r="H119" s="840"/>
      <c r="I119" s="840"/>
      <c r="J119" s="840"/>
      <c r="K119" s="840"/>
      <c r="L119" s="840"/>
    </row>
    <row r="120" spans="1:13" x14ac:dyDescent="0.35">
      <c r="B120" s="1144" t="s">
        <v>2347</v>
      </c>
      <c r="C120" s="1144" t="s">
        <v>2344</v>
      </c>
      <c r="D120" s="1212">
        <v>2.0099999999999998</v>
      </c>
      <c r="E120" s="739"/>
      <c r="F120" s="739"/>
      <c r="G120" s="840"/>
      <c r="H120" s="840"/>
      <c r="I120" s="840"/>
      <c r="J120" s="840"/>
      <c r="K120" s="840"/>
      <c r="L120" s="840"/>
    </row>
    <row r="121" spans="1:13" x14ac:dyDescent="0.35">
      <c r="B121" s="1146" t="s">
        <v>2347</v>
      </c>
      <c r="C121" s="1146" t="s">
        <v>2345</v>
      </c>
      <c r="D121" s="1211">
        <v>2</v>
      </c>
      <c r="E121" s="739"/>
      <c r="F121" s="739"/>
      <c r="G121" s="840"/>
      <c r="H121" s="840"/>
      <c r="I121" s="840"/>
      <c r="J121" s="840"/>
      <c r="K121" s="840"/>
      <c r="L121" s="840"/>
    </row>
    <row r="122" spans="1:13" x14ac:dyDescent="0.35">
      <c r="B122" s="1213" t="s">
        <v>2347</v>
      </c>
      <c r="C122" s="1213" t="s">
        <v>2346</v>
      </c>
      <c r="D122" s="1214">
        <v>2</v>
      </c>
      <c r="E122" s="739"/>
      <c r="F122" s="739"/>
      <c r="G122" s="840"/>
      <c r="H122" s="840"/>
      <c r="I122" s="840"/>
      <c r="J122" s="840"/>
      <c r="K122" s="840"/>
      <c r="L122" s="840"/>
    </row>
    <row r="123" spans="1:13" x14ac:dyDescent="0.35">
      <c r="F123" s="840"/>
      <c r="G123" s="840"/>
      <c r="H123" s="840"/>
      <c r="I123" s="840"/>
      <c r="J123" s="840"/>
      <c r="K123" s="840"/>
      <c r="M123" s="698"/>
    </row>
    <row r="124" spans="1:13" ht="21" x14ac:dyDescent="0.5">
      <c r="A124" s="704" t="s">
        <v>2014</v>
      </c>
      <c r="F124" s="840"/>
      <c r="G124" s="840"/>
      <c r="H124" s="840"/>
      <c r="I124" s="840"/>
      <c r="J124" s="840"/>
      <c r="K124" s="840"/>
    </row>
    <row r="125" spans="1:13" x14ac:dyDescent="0.35">
      <c r="F125" s="840"/>
      <c r="G125" s="840"/>
      <c r="H125" s="840"/>
      <c r="I125" s="840"/>
      <c r="J125" s="840"/>
      <c r="K125" s="840"/>
    </row>
    <row r="126" spans="1:13" ht="29" x14ac:dyDescent="0.35">
      <c r="B126" s="1215" t="s">
        <v>2280</v>
      </c>
      <c r="C126" s="1008" t="s">
        <v>2348</v>
      </c>
      <c r="E126" s="1215" t="s">
        <v>2338</v>
      </c>
      <c r="F126" s="1008" t="s">
        <v>2348</v>
      </c>
      <c r="G126" s="840"/>
      <c r="H126" s="840"/>
      <c r="I126" s="840"/>
      <c r="J126" s="840"/>
      <c r="K126" s="840"/>
    </row>
    <row r="127" spans="1:13" x14ac:dyDescent="0.35">
      <c r="B127" s="1136" t="s">
        <v>2349</v>
      </c>
      <c r="C127" s="1216">
        <v>0</v>
      </c>
      <c r="E127" s="1136" t="s">
        <v>2350</v>
      </c>
      <c r="F127" s="1216">
        <v>0.8</v>
      </c>
      <c r="G127" s="840"/>
      <c r="H127" s="840"/>
      <c r="I127" s="840"/>
      <c r="J127" s="840"/>
      <c r="K127" s="840"/>
    </row>
    <row r="128" spans="1:13" x14ac:dyDescent="0.35">
      <c r="B128" s="1146" t="s">
        <v>2351</v>
      </c>
      <c r="C128" s="1217">
        <v>0.1702127659574468</v>
      </c>
      <c r="E128" s="886" t="s">
        <v>2347</v>
      </c>
      <c r="F128" s="1218">
        <v>0.2</v>
      </c>
      <c r="G128" s="840"/>
      <c r="H128" s="840"/>
      <c r="I128" s="840"/>
      <c r="J128" s="840"/>
      <c r="K128" s="840"/>
    </row>
    <row r="129" spans="1:11" x14ac:dyDescent="0.35">
      <c r="B129" s="1144" t="s">
        <v>2352</v>
      </c>
      <c r="C129" s="1219">
        <v>0.74468085106382975</v>
      </c>
      <c r="F129" s="840"/>
      <c r="G129" s="840"/>
      <c r="H129" s="840"/>
      <c r="I129" s="840"/>
      <c r="J129" s="840"/>
      <c r="K129" s="840"/>
    </row>
    <row r="130" spans="1:11" x14ac:dyDescent="0.35">
      <c r="B130" s="1146" t="s">
        <v>2353</v>
      </c>
      <c r="C130" s="1217">
        <v>8.5106382978723402E-2</v>
      </c>
      <c r="F130" s="840"/>
      <c r="G130" s="840"/>
      <c r="H130" s="840"/>
      <c r="I130" s="840"/>
      <c r="J130" s="840"/>
      <c r="K130" s="840"/>
    </row>
    <row r="131" spans="1:11" x14ac:dyDescent="0.35">
      <c r="B131" s="1213" t="s">
        <v>2354</v>
      </c>
      <c r="C131" s="1220">
        <v>0</v>
      </c>
      <c r="F131" s="840"/>
      <c r="G131" s="840"/>
      <c r="H131" s="840"/>
      <c r="I131" s="840"/>
      <c r="J131" s="840"/>
      <c r="K131" s="840"/>
    </row>
    <row r="132" spans="1:11" x14ac:dyDescent="0.35">
      <c r="B132" s="886" t="s">
        <v>284</v>
      </c>
      <c r="C132" s="1221">
        <f>SUM(C127:C131)</f>
        <v>1</v>
      </c>
      <c r="D132" s="1222" t="str">
        <f>IF(C132&lt;&gt;1,"Participation must add up to 100%","")</f>
        <v/>
      </c>
      <c r="F132" s="840"/>
      <c r="G132" s="840"/>
      <c r="H132" s="840"/>
      <c r="I132" s="840"/>
      <c r="J132" s="840"/>
      <c r="K132" s="840"/>
    </row>
    <row r="133" spans="1:11" x14ac:dyDescent="0.35">
      <c r="F133" s="840"/>
      <c r="G133" s="840"/>
      <c r="H133" s="840"/>
      <c r="I133" s="840"/>
      <c r="J133" s="840"/>
      <c r="K133" s="840"/>
    </row>
    <row r="134" spans="1:11" ht="18.5" x14ac:dyDescent="0.45">
      <c r="C134" s="3040" t="s">
        <v>2355</v>
      </c>
      <c r="D134" s="3041"/>
      <c r="E134" s="3041"/>
      <c r="F134" s="3041"/>
      <c r="G134" s="3042"/>
    </row>
    <row r="135" spans="1:11" x14ac:dyDescent="0.35">
      <c r="B135" s="1223" t="s">
        <v>2019</v>
      </c>
      <c r="C135" s="1224" t="s">
        <v>2342</v>
      </c>
      <c r="D135" s="1225" t="s">
        <v>2343</v>
      </c>
      <c r="E135" s="1225" t="s">
        <v>2344</v>
      </c>
      <c r="F135" s="1225" t="s">
        <v>2345</v>
      </c>
      <c r="G135" s="1226" t="s">
        <v>2346</v>
      </c>
    </row>
    <row r="136" spans="1:11" x14ac:dyDescent="0.35">
      <c r="A136" s="1227"/>
      <c r="B136" s="1136" t="s">
        <v>2180</v>
      </c>
      <c r="C136" s="1228">
        <v>0</v>
      </c>
      <c r="D136" s="1229">
        <v>0</v>
      </c>
      <c r="E136" s="1229">
        <v>0</v>
      </c>
      <c r="F136" s="1229">
        <v>0</v>
      </c>
      <c r="G136" s="1230">
        <v>0</v>
      </c>
    </row>
    <row r="137" spans="1:11" x14ac:dyDescent="0.35">
      <c r="A137" s="1227"/>
      <c r="B137" s="1146" t="s">
        <v>2071</v>
      </c>
      <c r="C137" s="1231">
        <v>0</v>
      </c>
      <c r="D137" s="1232">
        <v>0</v>
      </c>
      <c r="E137" s="1232">
        <v>0</v>
      </c>
      <c r="F137" s="1232">
        <v>0</v>
      </c>
      <c r="G137" s="1233">
        <v>0</v>
      </c>
    </row>
    <row r="138" spans="1:11" x14ac:dyDescent="0.35">
      <c r="A138" s="1227"/>
      <c r="B138" s="2683" t="s">
        <v>3906</v>
      </c>
      <c r="C138" s="2731">
        <v>0</v>
      </c>
      <c r="D138" s="2731">
        <v>0</v>
      </c>
      <c r="E138" s="2731">
        <v>0</v>
      </c>
      <c r="F138" s="2731">
        <v>0</v>
      </c>
      <c r="G138" s="2731">
        <v>0</v>
      </c>
    </row>
    <row r="139" spans="1:11" x14ac:dyDescent="0.35">
      <c r="A139" s="1227"/>
      <c r="B139" s="1144" t="s">
        <v>2157</v>
      </c>
      <c r="C139" s="1234">
        <v>0</v>
      </c>
      <c r="D139" s="1235">
        <v>0</v>
      </c>
      <c r="E139" s="1235">
        <v>2</v>
      </c>
      <c r="F139" s="1235">
        <v>2</v>
      </c>
      <c r="G139" s="1236">
        <v>0</v>
      </c>
    </row>
    <row r="140" spans="1:11" x14ac:dyDescent="0.35">
      <c r="A140" s="1227"/>
      <c r="B140" s="1146" t="s">
        <v>2158</v>
      </c>
      <c r="C140" s="1231">
        <v>0</v>
      </c>
      <c r="D140" s="1232">
        <v>0</v>
      </c>
      <c r="E140" s="1232">
        <v>0</v>
      </c>
      <c r="F140" s="1232">
        <v>0</v>
      </c>
      <c r="G140" s="1233">
        <v>0</v>
      </c>
    </row>
    <row r="141" spans="1:11" x14ac:dyDescent="0.35">
      <c r="A141" s="1227"/>
      <c r="B141" s="2683" t="s">
        <v>3907</v>
      </c>
      <c r="C141" s="2731">
        <v>0</v>
      </c>
      <c r="D141" s="2731">
        <v>0</v>
      </c>
      <c r="E141" s="2731">
        <v>0</v>
      </c>
      <c r="F141" s="2731">
        <v>0</v>
      </c>
      <c r="G141" s="2731">
        <v>0</v>
      </c>
    </row>
    <row r="142" spans="1:11" x14ac:dyDescent="0.35">
      <c r="A142" s="1227"/>
      <c r="B142" s="1144" t="s">
        <v>2028</v>
      </c>
      <c r="C142" s="1234">
        <v>0</v>
      </c>
      <c r="D142" s="1235">
        <v>0</v>
      </c>
      <c r="E142" s="1235">
        <v>1</v>
      </c>
      <c r="F142" s="1235">
        <v>0</v>
      </c>
      <c r="G142" s="1236">
        <v>0</v>
      </c>
    </row>
    <row r="143" spans="1:11" x14ac:dyDescent="0.35">
      <c r="A143" s="1227"/>
      <c r="B143" s="1146" t="s">
        <v>2109</v>
      </c>
      <c r="C143" s="1231">
        <v>0</v>
      </c>
      <c r="D143" s="1232">
        <v>0</v>
      </c>
      <c r="E143" s="1232">
        <v>0</v>
      </c>
      <c r="F143" s="1232">
        <v>0</v>
      </c>
      <c r="G143" s="1233">
        <v>0</v>
      </c>
    </row>
    <row r="144" spans="1:11" x14ac:dyDescent="0.35">
      <c r="A144" s="1227"/>
      <c r="B144" s="1144" t="s">
        <v>2026</v>
      </c>
      <c r="C144" s="1234">
        <v>0</v>
      </c>
      <c r="D144" s="1235">
        <v>0</v>
      </c>
      <c r="E144" s="1235">
        <v>0</v>
      </c>
      <c r="F144" s="1235">
        <v>0</v>
      </c>
      <c r="G144" s="1236">
        <v>0</v>
      </c>
    </row>
    <row r="145" spans="1:9" x14ac:dyDescent="0.35">
      <c r="A145" s="1227"/>
      <c r="B145" s="1146" t="s">
        <v>2075</v>
      </c>
      <c r="C145" s="1231">
        <v>0</v>
      </c>
      <c r="D145" s="1232">
        <v>0</v>
      </c>
      <c r="E145" s="1232">
        <v>0</v>
      </c>
      <c r="F145" s="1232">
        <v>0</v>
      </c>
      <c r="G145" s="1233">
        <v>0</v>
      </c>
    </row>
    <row r="146" spans="1:9" x14ac:dyDescent="0.35">
      <c r="A146" s="1227"/>
      <c r="B146" s="1144" t="s">
        <v>2029</v>
      </c>
      <c r="C146" s="1234">
        <v>0</v>
      </c>
      <c r="D146" s="1235">
        <v>0</v>
      </c>
      <c r="E146" s="1235">
        <v>0</v>
      </c>
      <c r="F146" s="1235">
        <v>0</v>
      </c>
      <c r="G146" s="1236">
        <v>0</v>
      </c>
    </row>
    <row r="147" spans="1:9" x14ac:dyDescent="0.35">
      <c r="A147" s="1227"/>
      <c r="B147" s="1146" t="s">
        <v>2356</v>
      </c>
      <c r="C147" s="1231">
        <v>0</v>
      </c>
      <c r="D147" s="1232">
        <v>0</v>
      </c>
      <c r="E147" s="1232">
        <v>0</v>
      </c>
      <c r="F147" s="1232">
        <v>0</v>
      </c>
      <c r="G147" s="1233">
        <v>0</v>
      </c>
    </row>
    <row r="148" spans="1:9" x14ac:dyDescent="0.35">
      <c r="A148" s="1227"/>
      <c r="B148" s="1144" t="s">
        <v>2357</v>
      </c>
      <c r="C148" s="1234">
        <v>0</v>
      </c>
      <c r="D148" s="1235">
        <v>0</v>
      </c>
      <c r="E148" s="1235">
        <v>0</v>
      </c>
      <c r="F148" s="1235">
        <v>0</v>
      </c>
      <c r="G148" s="1236">
        <v>0</v>
      </c>
    </row>
    <row r="149" spans="1:9" x14ac:dyDescent="0.35">
      <c r="A149" s="1227"/>
      <c r="B149" s="1146" t="s">
        <v>2358</v>
      </c>
      <c r="C149" s="1231">
        <v>0</v>
      </c>
      <c r="D149" s="1232">
        <v>0</v>
      </c>
      <c r="E149" s="1232">
        <v>0</v>
      </c>
      <c r="F149" s="1232">
        <v>0</v>
      </c>
      <c r="G149" s="1233">
        <v>0</v>
      </c>
    </row>
    <row r="150" spans="1:9" x14ac:dyDescent="0.35">
      <c r="A150" s="1227"/>
      <c r="B150" s="1144" t="s">
        <v>2162</v>
      </c>
      <c r="C150" s="1234">
        <v>0</v>
      </c>
      <c r="D150" s="1235">
        <v>0</v>
      </c>
      <c r="E150" s="1235">
        <v>0</v>
      </c>
      <c r="F150" s="1235">
        <v>0</v>
      </c>
      <c r="G150" s="1236">
        <v>0</v>
      </c>
      <c r="I150" s="1307"/>
    </row>
    <row r="151" spans="1:9" x14ac:dyDescent="0.35">
      <c r="A151" s="1227"/>
      <c r="B151" s="1146" t="s">
        <v>2325</v>
      </c>
      <c r="C151" s="1231">
        <v>0</v>
      </c>
      <c r="D151" s="1232">
        <v>0</v>
      </c>
      <c r="E151" s="1232">
        <v>0</v>
      </c>
      <c r="F151" s="1232">
        <v>0</v>
      </c>
      <c r="G151" s="1233">
        <v>0</v>
      </c>
      <c r="I151" s="1307"/>
    </row>
    <row r="152" spans="1:9" x14ac:dyDescent="0.35">
      <c r="A152" s="1227"/>
      <c r="B152" s="1144" t="s">
        <v>2073</v>
      </c>
      <c r="C152" s="1234">
        <v>0</v>
      </c>
      <c r="D152" s="1235">
        <v>0</v>
      </c>
      <c r="E152" s="1235">
        <v>0</v>
      </c>
      <c r="F152" s="1235">
        <v>0</v>
      </c>
      <c r="G152" s="1236">
        <v>0</v>
      </c>
    </row>
    <row r="153" spans="1:9" x14ac:dyDescent="0.35">
      <c r="A153" s="1227"/>
      <c r="B153" s="1146" t="s">
        <v>2166</v>
      </c>
      <c r="C153" s="1231">
        <v>0</v>
      </c>
      <c r="D153" s="1232">
        <v>0</v>
      </c>
      <c r="E153" s="1232">
        <v>0</v>
      </c>
      <c r="F153" s="1232">
        <v>0</v>
      </c>
      <c r="G153" s="1233">
        <v>0</v>
      </c>
    </row>
    <row r="154" spans="1:9" x14ac:dyDescent="0.35">
      <c r="A154" s="1227"/>
      <c r="B154" s="1144" t="s">
        <v>2163</v>
      </c>
      <c r="C154" s="1234">
        <v>0</v>
      </c>
      <c r="D154" s="1235">
        <v>0</v>
      </c>
      <c r="E154" s="1235">
        <v>0</v>
      </c>
      <c r="F154" s="1235">
        <v>0</v>
      </c>
      <c r="G154" s="1236">
        <v>0</v>
      </c>
    </row>
    <row r="155" spans="1:9" x14ac:dyDescent="0.35">
      <c r="A155" s="1227"/>
      <c r="B155" s="1146" t="s">
        <v>2181</v>
      </c>
      <c r="C155" s="1231">
        <v>0</v>
      </c>
      <c r="D155" s="1232">
        <v>0</v>
      </c>
      <c r="E155" s="1232">
        <v>0</v>
      </c>
      <c r="F155" s="1232">
        <v>0</v>
      </c>
      <c r="G155" s="1233">
        <v>0</v>
      </c>
    </row>
    <row r="156" spans="1:9" x14ac:dyDescent="0.35">
      <c r="A156" s="1227"/>
      <c r="B156" s="1144" t="s">
        <v>2164</v>
      </c>
      <c r="C156" s="1234">
        <v>0</v>
      </c>
      <c r="D156" s="1235">
        <v>0</v>
      </c>
      <c r="E156" s="1235">
        <v>0</v>
      </c>
      <c r="F156" s="1235">
        <v>0</v>
      </c>
      <c r="G156" s="1236">
        <v>0</v>
      </c>
    </row>
    <row r="157" spans="1:9" x14ac:dyDescent="0.35">
      <c r="A157" s="1227"/>
      <c r="B157" s="1146" t="s">
        <v>2336</v>
      </c>
      <c r="C157" s="1231">
        <v>0</v>
      </c>
      <c r="D157" s="1232">
        <v>0</v>
      </c>
      <c r="E157" s="1232">
        <v>0</v>
      </c>
      <c r="F157" s="1232">
        <v>0</v>
      </c>
      <c r="G157" s="1233">
        <v>0</v>
      </c>
    </row>
    <row r="158" spans="1:9" x14ac:dyDescent="0.35">
      <c r="A158" s="1227"/>
      <c r="B158" s="1144" t="s">
        <v>2165</v>
      </c>
      <c r="C158" s="1234">
        <v>0</v>
      </c>
      <c r="D158" s="1235">
        <v>0</v>
      </c>
      <c r="E158" s="1235">
        <v>0</v>
      </c>
      <c r="F158" s="1235">
        <v>0</v>
      </c>
      <c r="G158" s="1236">
        <v>0</v>
      </c>
    </row>
    <row r="159" spans="1:9" x14ac:dyDescent="0.35">
      <c r="A159" s="1227"/>
      <c r="B159" s="1146" t="s">
        <v>2167</v>
      </c>
      <c r="C159" s="1231">
        <v>0</v>
      </c>
      <c r="D159" s="1232">
        <v>0</v>
      </c>
      <c r="E159" s="1232">
        <v>0</v>
      </c>
      <c r="F159" s="1232">
        <v>0</v>
      </c>
      <c r="G159" s="1233">
        <v>0</v>
      </c>
    </row>
    <row r="160" spans="1:9" x14ac:dyDescent="0.35">
      <c r="A160" s="1227"/>
      <c r="B160" s="1144" t="s">
        <v>2168</v>
      </c>
      <c r="C160" s="1234">
        <v>0</v>
      </c>
      <c r="D160" s="1235">
        <v>0</v>
      </c>
      <c r="E160" s="1235">
        <v>0</v>
      </c>
      <c r="F160" s="1235">
        <v>0</v>
      </c>
      <c r="G160" s="1236">
        <v>0</v>
      </c>
    </row>
    <row r="161" spans="1:7" x14ac:dyDescent="0.35">
      <c r="A161" s="1227"/>
      <c r="B161" s="1146" t="s">
        <v>2169</v>
      </c>
      <c r="C161" s="1231">
        <v>0</v>
      </c>
      <c r="D161" s="1232">
        <v>0</v>
      </c>
      <c r="E161" s="1232">
        <v>0</v>
      </c>
      <c r="F161" s="1232">
        <v>0</v>
      </c>
      <c r="G161" s="1233">
        <v>0</v>
      </c>
    </row>
    <row r="162" spans="1:7" x14ac:dyDescent="0.35">
      <c r="A162" s="1227"/>
      <c r="B162" s="1144" t="s">
        <v>2170</v>
      </c>
      <c r="C162" s="1234">
        <v>0</v>
      </c>
      <c r="D162" s="1235">
        <v>0</v>
      </c>
      <c r="E162" s="1235">
        <v>0</v>
      </c>
      <c r="F162" s="1235">
        <v>0</v>
      </c>
      <c r="G162" s="1236">
        <v>0</v>
      </c>
    </row>
    <row r="163" spans="1:7" x14ac:dyDescent="0.35">
      <c r="A163" s="1227"/>
      <c r="B163" s="1146" t="s">
        <v>2171</v>
      </c>
      <c r="C163" s="1231">
        <v>0</v>
      </c>
      <c r="D163" s="1232">
        <v>0</v>
      </c>
      <c r="E163" s="1232">
        <v>0</v>
      </c>
      <c r="F163" s="1232">
        <v>0</v>
      </c>
      <c r="G163" s="1233">
        <v>0</v>
      </c>
    </row>
    <row r="164" spans="1:7" x14ac:dyDescent="0.35">
      <c r="A164" s="1227"/>
      <c r="B164" s="1144" t="s">
        <v>2172</v>
      </c>
      <c r="C164" s="1234">
        <v>0</v>
      </c>
      <c r="D164" s="1235">
        <v>0</v>
      </c>
      <c r="E164" s="1235"/>
      <c r="F164" s="1235">
        <v>1</v>
      </c>
      <c r="G164" s="1236">
        <v>0</v>
      </c>
    </row>
    <row r="165" spans="1:7" x14ac:dyDescent="0.35">
      <c r="A165" s="1227"/>
      <c r="B165" s="1146" t="s">
        <v>2173</v>
      </c>
      <c r="C165" s="1231">
        <v>0</v>
      </c>
      <c r="D165" s="1232">
        <v>0</v>
      </c>
      <c r="E165" s="1232">
        <v>2</v>
      </c>
      <c r="F165" s="1232">
        <v>0</v>
      </c>
      <c r="G165" s="1233">
        <v>0</v>
      </c>
    </row>
    <row r="166" spans="1:7" x14ac:dyDescent="0.35">
      <c r="A166" s="1227"/>
      <c r="B166" s="2683" t="s">
        <v>3908</v>
      </c>
      <c r="C166" s="2731">
        <v>0</v>
      </c>
      <c r="D166" s="2731">
        <v>0</v>
      </c>
      <c r="E166" s="2731">
        <v>0</v>
      </c>
      <c r="F166" s="2731">
        <v>0</v>
      </c>
      <c r="G166" s="2731">
        <v>0</v>
      </c>
    </row>
    <row r="167" spans="1:7" x14ac:dyDescent="0.35">
      <c r="A167" s="1227"/>
      <c r="B167" s="1144" t="s">
        <v>2174</v>
      </c>
      <c r="C167" s="1234"/>
      <c r="D167" s="1235"/>
      <c r="E167" s="1235">
        <v>0</v>
      </c>
      <c r="F167" s="1235">
        <v>0</v>
      </c>
      <c r="G167" s="1236">
        <v>0</v>
      </c>
    </row>
    <row r="168" spans="1:7" x14ac:dyDescent="0.35">
      <c r="A168" s="1227"/>
      <c r="B168" s="1146" t="s">
        <v>2175</v>
      </c>
      <c r="C168" s="1231">
        <v>0</v>
      </c>
      <c r="D168" s="1232">
        <v>0</v>
      </c>
      <c r="E168" s="1232">
        <v>0</v>
      </c>
      <c r="F168" s="1232">
        <v>0</v>
      </c>
      <c r="G168" s="1233">
        <v>0</v>
      </c>
    </row>
    <row r="169" spans="1:7" x14ac:dyDescent="0.35">
      <c r="A169" s="1227"/>
      <c r="B169" s="1144" t="s">
        <v>2176</v>
      </c>
      <c r="C169" s="1234">
        <v>0</v>
      </c>
      <c r="D169" s="1235">
        <v>0</v>
      </c>
      <c r="E169" s="1235">
        <v>0</v>
      </c>
      <c r="F169" s="1235">
        <v>0</v>
      </c>
      <c r="G169" s="1236">
        <v>0</v>
      </c>
    </row>
    <row r="170" spans="1:7" x14ac:dyDescent="0.35">
      <c r="A170" s="1227"/>
      <c r="B170" s="1146" t="s">
        <v>2177</v>
      </c>
      <c r="C170" s="1231">
        <v>0</v>
      </c>
      <c r="D170" s="1232">
        <v>0</v>
      </c>
      <c r="E170" s="1232">
        <v>0</v>
      </c>
      <c r="F170" s="1232">
        <v>0</v>
      </c>
      <c r="G170" s="1233">
        <v>0</v>
      </c>
    </row>
    <row r="171" spans="1:7" x14ac:dyDescent="0.35">
      <c r="A171" s="1227"/>
      <c r="B171" s="1144" t="s">
        <v>2027</v>
      </c>
      <c r="C171" s="1234">
        <v>1</v>
      </c>
      <c r="D171" s="1235">
        <v>0</v>
      </c>
      <c r="E171" s="1235"/>
      <c r="F171" s="1235">
        <v>0</v>
      </c>
      <c r="G171" s="1236">
        <v>0</v>
      </c>
    </row>
    <row r="172" spans="1:7" x14ac:dyDescent="0.35">
      <c r="A172" s="1227"/>
      <c r="B172" s="1146" t="s">
        <v>536</v>
      </c>
      <c r="C172" s="1231">
        <v>0</v>
      </c>
      <c r="D172" s="1232">
        <v>1</v>
      </c>
      <c r="E172" s="1232">
        <v>0</v>
      </c>
      <c r="F172" s="1232">
        <v>3</v>
      </c>
      <c r="G172" s="1233">
        <v>0</v>
      </c>
    </row>
    <row r="173" spans="1:7" x14ac:dyDescent="0.35">
      <c r="B173" s="981" t="s">
        <v>2359</v>
      </c>
    </row>
    <row r="174" spans="1:7" x14ac:dyDescent="0.35">
      <c r="B174" s="981"/>
    </row>
    <row r="175" spans="1:7" ht="18.5" x14ac:dyDescent="0.45">
      <c r="C175" s="3040" t="s">
        <v>2360</v>
      </c>
      <c r="D175" s="3041"/>
      <c r="E175" s="3041"/>
      <c r="F175" s="3041"/>
      <c r="G175" s="3042"/>
    </row>
    <row r="176" spans="1:7" x14ac:dyDescent="0.35">
      <c r="B176" s="1223" t="s">
        <v>2019</v>
      </c>
      <c r="C176" s="1224" t="s">
        <v>2342</v>
      </c>
      <c r="D176" s="1225" t="s">
        <v>2343</v>
      </c>
      <c r="E176" s="1225" t="s">
        <v>2344</v>
      </c>
      <c r="F176" s="1225" t="s">
        <v>2345</v>
      </c>
      <c r="G176" s="1226" t="s">
        <v>2346</v>
      </c>
    </row>
    <row r="177" spans="2:7" x14ac:dyDescent="0.35">
      <c r="B177" s="1136" t="s">
        <v>2180</v>
      </c>
      <c r="C177" s="1228">
        <v>0</v>
      </c>
      <c r="D177" s="1229">
        <v>0</v>
      </c>
      <c r="E177" s="1229">
        <v>0</v>
      </c>
      <c r="F177" s="1229">
        <v>0</v>
      </c>
      <c r="G177" s="1230">
        <v>0</v>
      </c>
    </row>
    <row r="178" spans="2:7" x14ac:dyDescent="0.35">
      <c r="B178" s="1146" t="s">
        <v>2071</v>
      </c>
      <c r="C178" s="1231">
        <v>0</v>
      </c>
      <c r="D178" s="1232">
        <v>0</v>
      </c>
      <c r="E178" s="1232">
        <v>0</v>
      </c>
      <c r="F178" s="1232">
        <v>0</v>
      </c>
      <c r="G178" s="1233">
        <v>0</v>
      </c>
    </row>
    <row r="179" spans="2:7" x14ac:dyDescent="0.35">
      <c r="B179" s="2683" t="s">
        <v>3906</v>
      </c>
      <c r="C179" s="2731">
        <v>0</v>
      </c>
      <c r="D179" s="2731">
        <v>0</v>
      </c>
      <c r="E179" s="2731">
        <v>0</v>
      </c>
      <c r="F179" s="2731">
        <v>0</v>
      </c>
      <c r="G179" s="2731">
        <v>0</v>
      </c>
    </row>
    <row r="180" spans="2:7" x14ac:dyDescent="0.35">
      <c r="B180" s="1144" t="s">
        <v>2157</v>
      </c>
      <c r="C180" s="1234">
        <v>1</v>
      </c>
      <c r="D180" s="1235">
        <v>0</v>
      </c>
      <c r="E180" s="1235">
        <v>1</v>
      </c>
      <c r="F180" s="1235">
        <v>0</v>
      </c>
      <c r="G180" s="1236">
        <v>0</v>
      </c>
    </row>
    <row r="181" spans="2:7" x14ac:dyDescent="0.35">
      <c r="B181" s="1146" t="s">
        <v>2158</v>
      </c>
      <c r="C181" s="1231">
        <v>0</v>
      </c>
      <c r="D181" s="1232">
        <v>0</v>
      </c>
      <c r="E181" s="1232">
        <v>0</v>
      </c>
      <c r="F181" s="1232">
        <v>0</v>
      </c>
      <c r="G181" s="1233">
        <v>0</v>
      </c>
    </row>
    <row r="182" spans="2:7" x14ac:dyDescent="0.35">
      <c r="B182" s="2683" t="s">
        <v>3907</v>
      </c>
      <c r="C182" s="2731">
        <v>0</v>
      </c>
      <c r="D182" s="2731">
        <v>0</v>
      </c>
      <c r="E182" s="2731">
        <v>0</v>
      </c>
      <c r="F182" s="2731">
        <v>0</v>
      </c>
      <c r="G182" s="2731">
        <v>0</v>
      </c>
    </row>
    <row r="183" spans="2:7" x14ac:dyDescent="0.35">
      <c r="B183" s="1144" t="s">
        <v>2028</v>
      </c>
      <c r="C183" s="1234">
        <v>0</v>
      </c>
      <c r="D183" s="1235">
        <v>0</v>
      </c>
      <c r="E183" s="1235">
        <v>0</v>
      </c>
      <c r="F183" s="1235">
        <v>0</v>
      </c>
      <c r="G183" s="1236">
        <v>0</v>
      </c>
    </row>
    <row r="184" spans="2:7" x14ac:dyDescent="0.35">
      <c r="B184" s="1146" t="s">
        <v>2109</v>
      </c>
      <c r="C184" s="1231">
        <v>0</v>
      </c>
      <c r="D184" s="1232">
        <v>0</v>
      </c>
      <c r="E184" s="1232">
        <v>0</v>
      </c>
      <c r="F184" s="1232">
        <v>0</v>
      </c>
      <c r="G184" s="1233">
        <v>0</v>
      </c>
    </row>
    <row r="185" spans="2:7" x14ac:dyDescent="0.35">
      <c r="B185" s="1144" t="s">
        <v>2026</v>
      </c>
      <c r="C185" s="1234">
        <v>0</v>
      </c>
      <c r="D185" s="1235">
        <v>0</v>
      </c>
      <c r="E185" s="1235">
        <v>0</v>
      </c>
      <c r="F185" s="1235">
        <v>0</v>
      </c>
      <c r="G185" s="1236">
        <v>0</v>
      </c>
    </row>
    <row r="186" spans="2:7" x14ac:dyDescent="0.35">
      <c r="B186" s="1146" t="s">
        <v>2075</v>
      </c>
      <c r="C186" s="1231">
        <v>0</v>
      </c>
      <c r="D186" s="1232">
        <v>0</v>
      </c>
      <c r="E186" s="1232">
        <v>0</v>
      </c>
      <c r="F186" s="1232">
        <v>0</v>
      </c>
      <c r="G186" s="1233">
        <v>0</v>
      </c>
    </row>
    <row r="187" spans="2:7" x14ac:dyDescent="0.35">
      <c r="B187" s="1144" t="s">
        <v>2029</v>
      </c>
      <c r="C187" s="1234">
        <v>1</v>
      </c>
      <c r="D187" s="1235">
        <v>0</v>
      </c>
      <c r="E187" s="1235">
        <v>0</v>
      </c>
      <c r="F187" s="1235">
        <v>1</v>
      </c>
      <c r="G187" s="1236">
        <v>0</v>
      </c>
    </row>
    <row r="188" spans="2:7" x14ac:dyDescent="0.35">
      <c r="B188" s="1146" t="s">
        <v>2356</v>
      </c>
      <c r="C188" s="1231">
        <v>0</v>
      </c>
      <c r="D188" s="1232">
        <v>0</v>
      </c>
      <c r="E188" s="1232">
        <v>0</v>
      </c>
      <c r="F188" s="1232">
        <v>0</v>
      </c>
      <c r="G188" s="1233">
        <v>0</v>
      </c>
    </row>
    <row r="189" spans="2:7" x14ac:dyDescent="0.35">
      <c r="B189" s="1144" t="s">
        <v>2357</v>
      </c>
      <c r="C189" s="1234">
        <v>0</v>
      </c>
      <c r="D189" s="1235">
        <v>0</v>
      </c>
      <c r="E189" s="1235">
        <v>0</v>
      </c>
      <c r="F189" s="1235">
        <v>0</v>
      </c>
      <c r="G189" s="1236">
        <v>0</v>
      </c>
    </row>
    <row r="190" spans="2:7" x14ac:dyDescent="0.35">
      <c r="B190" s="1146" t="s">
        <v>2358</v>
      </c>
      <c r="C190" s="1231">
        <v>0</v>
      </c>
      <c r="D190" s="1232">
        <v>0</v>
      </c>
      <c r="E190" s="1232">
        <v>0</v>
      </c>
      <c r="F190" s="1232">
        <v>0</v>
      </c>
      <c r="G190" s="1233">
        <v>0</v>
      </c>
    </row>
    <row r="191" spans="2:7" x14ac:dyDescent="0.35">
      <c r="B191" s="1144" t="s">
        <v>2162</v>
      </c>
      <c r="C191" s="1234">
        <v>0</v>
      </c>
      <c r="D191" s="1235">
        <v>0</v>
      </c>
      <c r="E191" s="1235">
        <v>0</v>
      </c>
      <c r="F191" s="1235">
        <v>0</v>
      </c>
      <c r="G191" s="1236">
        <v>0</v>
      </c>
    </row>
    <row r="192" spans="2:7" x14ac:dyDescent="0.35">
      <c r="B192" s="1146" t="s">
        <v>2325</v>
      </c>
      <c r="C192" s="1231">
        <v>0</v>
      </c>
      <c r="D192" s="1232">
        <v>0</v>
      </c>
      <c r="E192" s="1232">
        <v>0</v>
      </c>
      <c r="F192" s="1232">
        <v>0</v>
      </c>
      <c r="G192" s="1233">
        <v>0</v>
      </c>
    </row>
    <row r="193" spans="2:9" x14ac:dyDescent="0.35">
      <c r="B193" s="1144" t="s">
        <v>2073</v>
      </c>
      <c r="C193" s="1234">
        <v>0</v>
      </c>
      <c r="D193" s="1235">
        <v>0</v>
      </c>
      <c r="E193" s="1235">
        <v>0</v>
      </c>
      <c r="F193" s="1235">
        <v>0</v>
      </c>
      <c r="G193" s="1236">
        <v>0</v>
      </c>
    </row>
    <row r="194" spans="2:9" x14ac:dyDescent="0.35">
      <c r="B194" s="1146" t="s">
        <v>2166</v>
      </c>
      <c r="C194" s="1231">
        <v>0</v>
      </c>
      <c r="D194" s="1232">
        <v>0</v>
      </c>
      <c r="E194" s="1232">
        <v>0</v>
      </c>
      <c r="F194" s="1232">
        <v>0</v>
      </c>
      <c r="G194" s="1233">
        <v>0</v>
      </c>
    </row>
    <row r="195" spans="2:9" x14ac:dyDescent="0.35">
      <c r="B195" s="1144" t="s">
        <v>2163</v>
      </c>
      <c r="C195" s="1234">
        <v>0</v>
      </c>
      <c r="D195" s="1235">
        <v>0</v>
      </c>
      <c r="E195" s="1235">
        <v>0</v>
      </c>
      <c r="F195" s="1235">
        <v>0</v>
      </c>
      <c r="G195" s="1236">
        <v>0</v>
      </c>
      <c r="I195" s="1307"/>
    </row>
    <row r="196" spans="2:9" x14ac:dyDescent="0.35">
      <c r="B196" s="1146" t="s">
        <v>2181</v>
      </c>
      <c r="C196" s="1231">
        <v>0</v>
      </c>
      <c r="D196" s="1232">
        <v>0</v>
      </c>
      <c r="E196" s="1232">
        <v>0</v>
      </c>
      <c r="F196" s="1232">
        <v>0</v>
      </c>
      <c r="G196" s="1233">
        <v>0</v>
      </c>
      <c r="I196" s="1307"/>
    </row>
    <row r="197" spans="2:9" x14ac:dyDescent="0.35">
      <c r="B197" s="1144" t="s">
        <v>2164</v>
      </c>
      <c r="C197" s="1234">
        <v>0</v>
      </c>
      <c r="D197" s="1235">
        <v>0</v>
      </c>
      <c r="E197" s="1235">
        <v>0</v>
      </c>
      <c r="F197" s="1235">
        <v>0</v>
      </c>
      <c r="G197" s="1236">
        <v>0</v>
      </c>
    </row>
    <row r="198" spans="2:9" x14ac:dyDescent="0.35">
      <c r="B198" s="1146" t="s">
        <v>2336</v>
      </c>
      <c r="C198" s="1231">
        <v>0</v>
      </c>
      <c r="D198" s="1232">
        <v>0</v>
      </c>
      <c r="E198" s="1232">
        <v>0</v>
      </c>
      <c r="F198" s="1232">
        <v>0</v>
      </c>
      <c r="G198" s="1233">
        <v>0</v>
      </c>
    </row>
    <row r="199" spans="2:9" x14ac:dyDescent="0.35">
      <c r="B199" s="1144" t="s">
        <v>2165</v>
      </c>
      <c r="C199" s="1234">
        <v>0</v>
      </c>
      <c r="D199" s="1235">
        <v>0</v>
      </c>
      <c r="E199" s="1235">
        <v>0</v>
      </c>
      <c r="F199" s="1235">
        <v>0</v>
      </c>
      <c r="G199" s="1236">
        <v>0</v>
      </c>
    </row>
    <row r="200" spans="2:9" x14ac:dyDescent="0.35">
      <c r="B200" s="1146" t="s">
        <v>2167</v>
      </c>
      <c r="C200" s="1231">
        <v>0</v>
      </c>
      <c r="D200" s="1232">
        <v>0</v>
      </c>
      <c r="E200" s="1232">
        <v>0</v>
      </c>
      <c r="F200" s="1232">
        <v>0</v>
      </c>
      <c r="G200" s="1233">
        <v>0</v>
      </c>
    </row>
    <row r="201" spans="2:9" x14ac:dyDescent="0.35">
      <c r="B201" s="1144" t="s">
        <v>2168</v>
      </c>
      <c r="C201" s="1234">
        <v>0</v>
      </c>
      <c r="D201" s="1235">
        <v>0</v>
      </c>
      <c r="E201" s="1235">
        <v>0</v>
      </c>
      <c r="F201" s="1235">
        <v>0</v>
      </c>
      <c r="G201" s="1236">
        <v>0</v>
      </c>
    </row>
    <row r="202" spans="2:9" x14ac:dyDescent="0.35">
      <c r="B202" s="1146" t="s">
        <v>2169</v>
      </c>
      <c r="C202" s="1231">
        <v>0</v>
      </c>
      <c r="D202" s="1232">
        <v>0</v>
      </c>
      <c r="E202" s="1232">
        <v>0</v>
      </c>
      <c r="F202" s="1232">
        <v>0</v>
      </c>
      <c r="G202" s="1233">
        <v>0</v>
      </c>
    </row>
    <row r="203" spans="2:9" x14ac:dyDescent="0.35">
      <c r="B203" s="1144" t="s">
        <v>2170</v>
      </c>
      <c r="C203" s="1234">
        <v>0</v>
      </c>
      <c r="D203" s="1235">
        <v>0</v>
      </c>
      <c r="E203" s="1235">
        <v>0</v>
      </c>
      <c r="F203" s="1235">
        <v>0</v>
      </c>
      <c r="G203" s="1236">
        <v>0</v>
      </c>
    </row>
    <row r="204" spans="2:9" x14ac:dyDescent="0.35">
      <c r="B204" s="1146" t="s">
        <v>2171</v>
      </c>
      <c r="C204" s="1231">
        <v>0</v>
      </c>
      <c r="D204" s="1232">
        <v>0</v>
      </c>
      <c r="E204" s="1232">
        <v>0</v>
      </c>
      <c r="F204" s="1232">
        <v>0</v>
      </c>
      <c r="G204" s="1233">
        <v>0</v>
      </c>
    </row>
    <row r="205" spans="2:9" x14ac:dyDescent="0.35">
      <c r="B205" s="1144" t="s">
        <v>2172</v>
      </c>
      <c r="C205" s="1234">
        <v>0</v>
      </c>
      <c r="D205" s="1235">
        <v>0</v>
      </c>
      <c r="E205" s="1235">
        <v>1</v>
      </c>
      <c r="F205" s="1235">
        <v>0</v>
      </c>
      <c r="G205" s="1236">
        <v>0</v>
      </c>
    </row>
    <row r="206" spans="2:9" x14ac:dyDescent="0.35">
      <c r="B206" s="1146" t="s">
        <v>2173</v>
      </c>
      <c r="C206" s="1231">
        <v>0</v>
      </c>
      <c r="D206" s="1232">
        <v>0</v>
      </c>
      <c r="E206" s="1232">
        <v>0</v>
      </c>
      <c r="F206" s="1232">
        <v>0</v>
      </c>
      <c r="G206" s="1233">
        <v>0</v>
      </c>
    </row>
    <row r="207" spans="2:9" x14ac:dyDescent="0.35">
      <c r="B207" s="2683" t="s">
        <v>3908</v>
      </c>
      <c r="C207" s="2731">
        <v>0</v>
      </c>
      <c r="D207" s="2731">
        <v>0</v>
      </c>
      <c r="E207" s="2731">
        <v>0</v>
      </c>
      <c r="F207" s="2731">
        <v>0</v>
      </c>
      <c r="G207" s="2731">
        <v>0</v>
      </c>
    </row>
    <row r="208" spans="2:9" x14ac:dyDescent="0.35">
      <c r="B208" s="1144" t="s">
        <v>2174</v>
      </c>
      <c r="C208" s="1234">
        <v>0</v>
      </c>
      <c r="D208" s="1235">
        <v>0</v>
      </c>
      <c r="E208" s="1235">
        <v>0</v>
      </c>
      <c r="F208" s="1235">
        <v>0</v>
      </c>
      <c r="G208" s="1236">
        <v>0</v>
      </c>
    </row>
    <row r="209" spans="2:26" x14ac:dyDescent="0.35">
      <c r="B209" s="1146" t="s">
        <v>2175</v>
      </c>
      <c r="C209" s="1231">
        <v>0</v>
      </c>
      <c r="D209" s="1232">
        <v>0</v>
      </c>
      <c r="E209" s="1232">
        <v>0</v>
      </c>
      <c r="F209" s="1232">
        <v>0</v>
      </c>
      <c r="G209" s="1233">
        <v>0</v>
      </c>
    </row>
    <row r="210" spans="2:26" x14ac:dyDescent="0.35">
      <c r="B210" s="1144" t="s">
        <v>2176</v>
      </c>
      <c r="C210" s="1234">
        <v>0</v>
      </c>
      <c r="D210" s="1235">
        <v>0</v>
      </c>
      <c r="E210" s="1235">
        <v>0</v>
      </c>
      <c r="F210" s="1235">
        <v>0</v>
      </c>
      <c r="G210" s="1236">
        <v>0</v>
      </c>
    </row>
    <row r="211" spans="2:26" x14ac:dyDescent="0.35">
      <c r="B211" s="1146" t="s">
        <v>2177</v>
      </c>
      <c r="C211" s="1231">
        <v>0</v>
      </c>
      <c r="D211" s="1232">
        <v>0</v>
      </c>
      <c r="E211" s="1232">
        <v>0</v>
      </c>
      <c r="F211" s="1232">
        <v>0</v>
      </c>
      <c r="G211" s="1233">
        <v>0</v>
      </c>
    </row>
    <row r="212" spans="2:26" x14ac:dyDescent="0.35">
      <c r="B212" s="1144" t="s">
        <v>2027</v>
      </c>
      <c r="C212" s="1234">
        <v>0</v>
      </c>
      <c r="D212" s="1235">
        <v>0</v>
      </c>
      <c r="E212" s="1235">
        <v>0</v>
      </c>
      <c r="F212" s="1235">
        <v>0</v>
      </c>
      <c r="G212" s="1236">
        <v>0</v>
      </c>
    </row>
    <row r="213" spans="2:26" x14ac:dyDescent="0.35">
      <c r="B213" s="1146" t="s">
        <v>536</v>
      </c>
      <c r="C213" s="1231">
        <v>2</v>
      </c>
      <c r="D213" s="1232">
        <v>0</v>
      </c>
      <c r="E213" s="1232">
        <v>0</v>
      </c>
      <c r="F213" s="1232">
        <v>0</v>
      </c>
      <c r="G213" s="1233">
        <v>0</v>
      </c>
    </row>
    <row r="214" spans="2:26" x14ac:dyDescent="0.35">
      <c r="B214" s="981" t="s">
        <v>2359</v>
      </c>
    </row>
    <row r="215" spans="2:26" ht="18.5" x14ac:dyDescent="0.45">
      <c r="B215" s="748"/>
      <c r="F215" s="779"/>
      <c r="G215" s="779"/>
      <c r="H215" s="779"/>
      <c r="I215" s="779"/>
      <c r="J215" s="779"/>
      <c r="K215" s="779"/>
      <c r="L215" s="779"/>
      <c r="M215" s="779"/>
      <c r="N215" s="779"/>
      <c r="O215" s="779"/>
      <c r="P215" s="779"/>
      <c r="Q215" s="779"/>
      <c r="R215" s="779"/>
      <c r="S215" s="779"/>
      <c r="T215" s="779"/>
      <c r="U215" s="779"/>
      <c r="V215" s="779"/>
      <c r="W215" s="779"/>
      <c r="X215" s="779"/>
      <c r="Y215" s="779"/>
      <c r="Z215" s="779"/>
    </row>
    <row r="216" spans="2:26" ht="34.5" customHeight="1" x14ac:dyDescent="0.35">
      <c r="B216" s="1003"/>
      <c r="D216" s="3043" t="s">
        <v>2361</v>
      </c>
      <c r="E216" s="3044"/>
      <c r="F216" s="753"/>
      <c r="G216" s="753"/>
      <c r="H216" s="753"/>
      <c r="I216" s="753"/>
      <c r="J216" s="876"/>
      <c r="K216" s="876"/>
      <c r="L216" s="753"/>
      <c r="M216" s="753"/>
      <c r="N216" s="753"/>
      <c r="O216" s="876"/>
      <c r="P216" s="876"/>
      <c r="Q216" s="876"/>
      <c r="R216" s="753"/>
      <c r="S216" s="753"/>
      <c r="T216" s="753"/>
      <c r="U216" s="753"/>
      <c r="V216" s="753"/>
    </row>
    <row r="217" spans="2:26" ht="59.25" customHeight="1" x14ac:dyDescent="0.35">
      <c r="B217" s="1237" t="s">
        <v>2292</v>
      </c>
      <c r="C217" s="904" t="s">
        <v>2362</v>
      </c>
      <c r="D217" s="864" t="s">
        <v>2363</v>
      </c>
      <c r="E217" s="867" t="s">
        <v>2364</v>
      </c>
      <c r="F217" s="867" t="s">
        <v>2365</v>
      </c>
      <c r="G217" s="864" t="s">
        <v>2366</v>
      </c>
      <c r="H217" s="753"/>
      <c r="I217" s="753"/>
      <c r="J217" s="876"/>
      <c r="K217" s="876"/>
      <c r="L217" s="753"/>
      <c r="M217" s="753"/>
      <c r="N217" s="753"/>
      <c r="O217" s="876"/>
      <c r="P217" s="876"/>
      <c r="Q217" s="876"/>
      <c r="R217" s="753"/>
      <c r="S217" s="753"/>
      <c r="T217" s="753"/>
      <c r="U217" s="753"/>
      <c r="V217" s="753"/>
    </row>
    <row r="218" spans="2:26" x14ac:dyDescent="0.35">
      <c r="B218" s="1238" t="s">
        <v>2296</v>
      </c>
      <c r="C218" s="986" t="s">
        <v>2297</v>
      </c>
      <c r="D218" s="1239">
        <v>230</v>
      </c>
      <c r="E218" s="1240">
        <f t="shared" ref="E218:E227" si="1">D58</f>
        <v>0.82</v>
      </c>
      <c r="F218" s="1240">
        <f>E218-G218</f>
        <v>0.80499999999999994</v>
      </c>
      <c r="G218" s="1240">
        <v>1.4999999999999999E-2</v>
      </c>
      <c r="H218" s="880"/>
      <c r="I218" s="769"/>
      <c r="J218" s="769"/>
      <c r="K218" s="769"/>
      <c r="L218" s="770"/>
      <c r="M218" s="759"/>
      <c r="N218" s="759"/>
      <c r="O218" s="759"/>
      <c r="P218" s="759"/>
      <c r="Q218" s="759"/>
      <c r="R218" s="760"/>
      <c r="S218" s="761"/>
      <c r="T218" s="762"/>
      <c r="U218" s="763"/>
      <c r="V218" s="764"/>
    </row>
    <row r="219" spans="2:26" x14ac:dyDescent="0.35">
      <c r="B219" s="1241" t="s">
        <v>2296</v>
      </c>
      <c r="C219" s="1139" t="s">
        <v>2298</v>
      </c>
      <c r="D219" s="1242">
        <v>399</v>
      </c>
      <c r="E219" s="1243">
        <f t="shared" si="1"/>
        <v>0.8</v>
      </c>
      <c r="F219" s="1243">
        <f t="shared" ref="F219:F227" si="2">E219-G219</f>
        <v>0.78500000000000003</v>
      </c>
      <c r="G219" s="1243">
        <v>1.4999999999999999E-2</v>
      </c>
      <c r="H219" s="880"/>
      <c r="I219" s="769"/>
      <c r="J219" s="769"/>
      <c r="K219" s="769"/>
      <c r="L219" s="770"/>
      <c r="M219" s="759"/>
      <c r="N219" s="759"/>
      <c r="O219" s="759"/>
      <c r="P219" s="759"/>
      <c r="Q219" s="759"/>
      <c r="R219" s="760"/>
      <c r="S219" s="761"/>
      <c r="T219" s="762"/>
      <c r="U219" s="763"/>
      <c r="V219" s="764"/>
    </row>
    <row r="220" spans="2:26" x14ac:dyDescent="0.35">
      <c r="B220" s="1244" t="s">
        <v>2296</v>
      </c>
      <c r="C220" s="1142" t="s">
        <v>2299</v>
      </c>
      <c r="D220" s="1245">
        <v>699.8</v>
      </c>
      <c r="E220" s="1246">
        <f t="shared" si="1"/>
        <v>0.8</v>
      </c>
      <c r="F220" s="1246">
        <f t="shared" si="2"/>
        <v>0.78500000000000003</v>
      </c>
      <c r="G220" s="1246">
        <v>1.4999999999999999E-2</v>
      </c>
      <c r="H220" s="880"/>
      <c r="I220" s="769"/>
      <c r="J220" s="769"/>
      <c r="K220" s="769"/>
      <c r="L220" s="770"/>
      <c r="M220" s="759"/>
      <c r="N220" s="759"/>
      <c r="O220" s="759"/>
      <c r="P220" s="759"/>
      <c r="Q220" s="759"/>
      <c r="R220" s="760"/>
      <c r="S220" s="761"/>
      <c r="T220" s="762"/>
      <c r="U220" s="763"/>
      <c r="V220" s="764"/>
    </row>
    <row r="221" spans="2:26" x14ac:dyDescent="0.35">
      <c r="B221" s="1241" t="s">
        <v>2296</v>
      </c>
      <c r="C221" s="1139" t="s">
        <v>2300</v>
      </c>
      <c r="D221" s="1242">
        <v>1142.5999999999999</v>
      </c>
      <c r="E221" s="1243">
        <f t="shared" si="1"/>
        <v>0.8</v>
      </c>
      <c r="F221" s="1243">
        <f t="shared" si="2"/>
        <v>0.78500000000000003</v>
      </c>
      <c r="G221" s="1243">
        <v>1.4999999999999999E-2</v>
      </c>
      <c r="H221" s="880"/>
      <c r="I221" s="769"/>
      <c r="J221" s="769"/>
      <c r="K221" s="769"/>
      <c r="L221" s="770"/>
      <c r="M221" s="759"/>
      <c r="N221" s="759"/>
      <c r="O221" s="759"/>
      <c r="P221" s="759"/>
      <c r="Q221" s="759"/>
      <c r="R221" s="760"/>
      <c r="S221" s="761"/>
      <c r="T221" s="762"/>
      <c r="U221" s="763"/>
      <c r="V221" s="764"/>
    </row>
    <row r="222" spans="2:26" x14ac:dyDescent="0.35">
      <c r="B222" s="1247" t="s">
        <v>2296</v>
      </c>
      <c r="C222" s="1145" t="s">
        <v>2301</v>
      </c>
      <c r="D222" s="1248">
        <v>1779.2528</v>
      </c>
      <c r="E222" s="1249">
        <f t="shared" si="1"/>
        <v>0.8</v>
      </c>
      <c r="F222" s="1249">
        <f t="shared" si="2"/>
        <v>0.78500000000000003</v>
      </c>
      <c r="G222" s="1249">
        <v>1.4999999999999999E-2</v>
      </c>
      <c r="H222" s="880"/>
      <c r="I222" s="769"/>
      <c r="J222" s="769"/>
      <c r="K222" s="769"/>
      <c r="L222" s="770"/>
      <c r="M222" s="759"/>
      <c r="N222" s="759"/>
      <c r="O222" s="759"/>
      <c r="P222" s="759"/>
      <c r="Q222" s="759"/>
      <c r="R222" s="760"/>
      <c r="S222" s="761"/>
      <c r="T222" s="762"/>
      <c r="U222" s="763"/>
      <c r="V222" s="764"/>
    </row>
    <row r="223" spans="2:26" x14ac:dyDescent="0.35">
      <c r="B223" s="1250" t="s">
        <v>2302</v>
      </c>
      <c r="C223" s="1147" t="s">
        <v>2297</v>
      </c>
      <c r="D223" s="1251">
        <v>264.5</v>
      </c>
      <c r="E223" s="1252">
        <f t="shared" si="1"/>
        <v>0.8</v>
      </c>
      <c r="F223" s="1252">
        <f t="shared" si="2"/>
        <v>0.78500000000000003</v>
      </c>
      <c r="G223" s="1252">
        <v>1.4999999999999999E-2</v>
      </c>
      <c r="H223" s="880"/>
      <c r="I223" s="769"/>
      <c r="J223" s="769"/>
      <c r="K223" s="769"/>
      <c r="L223" s="770"/>
      <c r="M223" s="759"/>
      <c r="N223" s="759"/>
      <c r="O223" s="759"/>
      <c r="P223" s="759"/>
      <c r="Q223" s="759"/>
      <c r="R223" s="760"/>
      <c r="S223" s="761"/>
      <c r="T223" s="762"/>
      <c r="U223" s="763"/>
      <c r="V223" s="764"/>
    </row>
    <row r="224" spans="2:26" x14ac:dyDescent="0.35">
      <c r="B224" s="1247" t="s">
        <v>2302</v>
      </c>
      <c r="C224" s="1145" t="s">
        <v>2298</v>
      </c>
      <c r="D224" s="1248">
        <v>322.962580705883</v>
      </c>
      <c r="E224" s="1249">
        <f t="shared" si="1"/>
        <v>0.79</v>
      </c>
      <c r="F224" s="1249">
        <f t="shared" si="2"/>
        <v>0.77500000000000002</v>
      </c>
      <c r="G224" s="1249">
        <v>1.4999999999999999E-2</v>
      </c>
      <c r="H224" s="880"/>
      <c r="I224" s="769"/>
      <c r="J224" s="769"/>
      <c r="K224" s="769"/>
      <c r="L224" s="770"/>
      <c r="M224" s="759"/>
      <c r="N224" s="759"/>
      <c r="O224" s="759"/>
      <c r="P224" s="759"/>
      <c r="Q224" s="759"/>
      <c r="R224" s="760"/>
      <c r="S224" s="761"/>
      <c r="T224" s="762"/>
      <c r="U224" s="763"/>
      <c r="V224" s="764"/>
    </row>
    <row r="225" spans="1:22" x14ac:dyDescent="0.35">
      <c r="B225" s="1253" t="s">
        <v>2302</v>
      </c>
      <c r="C225" s="1149" t="s">
        <v>2299</v>
      </c>
      <c r="D225" s="1254">
        <v>500</v>
      </c>
      <c r="E225" s="1255">
        <f t="shared" si="1"/>
        <v>0.79</v>
      </c>
      <c r="F225" s="1255">
        <f t="shared" si="2"/>
        <v>0.77500000000000002</v>
      </c>
      <c r="G225" s="1255">
        <v>1.4999999999999999E-2</v>
      </c>
      <c r="H225" s="880"/>
      <c r="I225" s="769"/>
      <c r="J225" s="769"/>
      <c r="K225" s="769"/>
      <c r="L225" s="770"/>
      <c r="M225" s="759"/>
      <c r="N225" s="759"/>
      <c r="O225" s="759"/>
      <c r="P225" s="759"/>
      <c r="Q225" s="759"/>
      <c r="R225" s="760"/>
      <c r="S225" s="761"/>
      <c r="T225" s="762"/>
      <c r="U225" s="763"/>
      <c r="V225" s="764"/>
    </row>
    <row r="226" spans="1:22" x14ac:dyDescent="0.35">
      <c r="B226" s="1256" t="s">
        <v>2302</v>
      </c>
      <c r="C226" s="1151" t="s">
        <v>2300</v>
      </c>
      <c r="D226" s="1257">
        <v>1500</v>
      </c>
      <c r="E226" s="1258">
        <f t="shared" si="1"/>
        <v>0.79</v>
      </c>
      <c r="F226" s="1258">
        <f t="shared" si="2"/>
        <v>0.77500000000000002</v>
      </c>
      <c r="G226" s="1258">
        <v>1.4999999999999999E-2</v>
      </c>
      <c r="H226" s="880"/>
      <c r="I226" s="769"/>
      <c r="J226" s="769"/>
      <c r="K226" s="769"/>
      <c r="L226" s="770"/>
      <c r="M226" s="759"/>
      <c r="N226" s="759"/>
      <c r="O226" s="759"/>
      <c r="P226" s="759"/>
      <c r="Q226" s="759"/>
      <c r="R226" s="760"/>
      <c r="S226" s="761"/>
      <c r="T226" s="762"/>
      <c r="U226" s="763"/>
      <c r="V226" s="764"/>
    </row>
    <row r="227" spans="1:22" x14ac:dyDescent="0.35">
      <c r="B227" s="1259" t="s">
        <v>2302</v>
      </c>
      <c r="C227" s="1152" t="s">
        <v>2301</v>
      </c>
      <c r="D227" s="1260">
        <v>1779.2528</v>
      </c>
      <c r="E227" s="1261">
        <f t="shared" si="1"/>
        <v>0.79</v>
      </c>
      <c r="F227" s="1261">
        <f t="shared" si="2"/>
        <v>0.77500000000000002</v>
      </c>
      <c r="G227" s="1261">
        <v>1.4999999999999999E-2</v>
      </c>
      <c r="H227" s="880"/>
      <c r="I227" s="769"/>
      <c r="J227" s="769"/>
      <c r="K227" s="769"/>
      <c r="L227" s="770"/>
      <c r="M227" s="759"/>
      <c r="N227" s="759"/>
      <c r="O227" s="759"/>
      <c r="P227" s="759"/>
      <c r="Q227" s="759"/>
      <c r="R227" s="760"/>
      <c r="S227" s="761"/>
      <c r="T227" s="762"/>
      <c r="U227" s="763"/>
      <c r="V227" s="764"/>
    </row>
    <row r="229" spans="1:22" ht="21" x14ac:dyDescent="0.5">
      <c r="A229" s="704" t="s">
        <v>2036</v>
      </c>
    </row>
    <row r="231" spans="1:22" ht="26.25" customHeight="1" x14ac:dyDescent="0.6">
      <c r="B231" s="3032"/>
      <c r="C231" s="3045"/>
      <c r="D231" s="3046" t="s">
        <v>2038</v>
      </c>
      <c r="E231" s="3047"/>
      <c r="F231" s="3047"/>
      <c r="G231" s="3047"/>
      <c r="H231" s="3048"/>
      <c r="I231" s="1262" t="s">
        <v>2039</v>
      </c>
      <c r="J231" s="3049" t="s">
        <v>2040</v>
      </c>
      <c r="K231" s="3050"/>
      <c r="L231" s="779"/>
      <c r="M231" s="779"/>
      <c r="N231" s="779"/>
      <c r="O231" s="779"/>
      <c r="P231" s="779"/>
      <c r="Q231" s="779"/>
      <c r="R231" s="779"/>
    </row>
    <row r="232" spans="1:22" ht="52.5" customHeight="1" x14ac:dyDescent="0.35">
      <c r="A232" s="1263" t="s">
        <v>2291</v>
      </c>
      <c r="B232" s="863" t="s">
        <v>2292</v>
      </c>
      <c r="C232" s="882" t="s">
        <v>2305</v>
      </c>
      <c r="D232" s="905" t="s">
        <v>1947</v>
      </c>
      <c r="E232" s="907" t="s">
        <v>2184</v>
      </c>
      <c r="F232" s="907" t="s">
        <v>2363</v>
      </c>
      <c r="G232" s="904" t="s">
        <v>2365</v>
      </c>
      <c r="H232" s="1264" t="s">
        <v>2367</v>
      </c>
      <c r="I232" s="906" t="s">
        <v>2368</v>
      </c>
      <c r="J232" s="903" t="s">
        <v>2369</v>
      </c>
      <c r="K232" s="864" t="s">
        <v>2370</v>
      </c>
      <c r="L232" s="867" t="s">
        <v>2371</v>
      </c>
      <c r="M232" s="867" t="s">
        <v>2372</v>
      </c>
      <c r="N232" s="712"/>
      <c r="O232" s="712"/>
      <c r="P232" s="712"/>
      <c r="Q232" s="712"/>
      <c r="R232" s="712"/>
    </row>
    <row r="233" spans="1:22" x14ac:dyDescent="0.35">
      <c r="A233" s="1136" t="s">
        <v>2295</v>
      </c>
      <c r="B233" s="1136" t="s">
        <v>2296</v>
      </c>
      <c r="C233" s="1265" t="s">
        <v>2297</v>
      </c>
      <c r="D233" s="1266">
        <f>SUM(C136:C172)</f>
        <v>1</v>
      </c>
      <c r="E233" s="1267">
        <f>D113*D218</f>
        <v>232.3</v>
      </c>
      <c r="F233" s="1268">
        <f t="shared" ref="F233:F242" si="3">D218</f>
        <v>230</v>
      </c>
      <c r="G233" s="2814">
        <v>0.81499999999999995</v>
      </c>
      <c r="H233" s="2814">
        <f>G233+2.3%</f>
        <v>0.83799999999999997</v>
      </c>
      <c r="I233" s="1269"/>
      <c r="J233" s="1270">
        <f>ROUND(IFERROR(SUMPRODUCT(C$136:C$172,$H$71:$H$107)/$D233,0),2)</f>
        <v>1195.23</v>
      </c>
      <c r="K233" s="1270">
        <f>IFERROR(J233*F233*1000*(((H233)/G233)-1)/100000*D233,0)</f>
        <v>77.57995950920261</v>
      </c>
      <c r="L233" s="1267">
        <f t="shared" ref="L233:L252" si="4">D233*E233</f>
        <v>232.3</v>
      </c>
      <c r="M233" s="1267">
        <f>F233*D233*C$258</f>
        <v>191.19900000000001</v>
      </c>
      <c r="N233" s="1271"/>
      <c r="O233" s="1271"/>
      <c r="P233" s="1272"/>
      <c r="Q233" s="796"/>
      <c r="R233" s="796"/>
    </row>
    <row r="234" spans="1:22" x14ac:dyDescent="0.35">
      <c r="A234" s="1138" t="s">
        <v>2295</v>
      </c>
      <c r="B234" s="1138" t="s">
        <v>2296</v>
      </c>
      <c r="C234" s="1273" t="s">
        <v>2298</v>
      </c>
      <c r="D234" s="1274">
        <f>SUM(D136:D172)</f>
        <v>1</v>
      </c>
      <c r="E234" s="1275">
        <f>D114*D219</f>
        <v>405.78299999999996</v>
      </c>
      <c r="F234" s="1276">
        <f t="shared" si="3"/>
        <v>399</v>
      </c>
      <c r="G234" s="2815">
        <v>0.81499999999999995</v>
      </c>
      <c r="H234" s="2815">
        <f t="shared" ref="H234:H242" si="5">G234+2.3%</f>
        <v>0.83799999999999997</v>
      </c>
      <c r="I234" s="1277"/>
      <c r="J234" s="1278">
        <f>IFERROR(SUMPRODUCT(D$136:D$172,$H$71:$H$107)/$D234,0)</f>
        <v>1518.1276595744682</v>
      </c>
      <c r="K234" s="1278">
        <f t="shared" ref="K234:K242" si="6">IFERROR(J234*F234*1000*(((H234)/G234)-1)/100000*D234,0)</f>
        <v>170.94303720141014</v>
      </c>
      <c r="L234" s="1275">
        <f t="shared" si="4"/>
        <v>405.78299999999996</v>
      </c>
      <c r="M234" s="1275">
        <f t="shared" ref="M234:M242" si="7">F234*D234*C$258</f>
        <v>331.68870000000004</v>
      </c>
      <c r="N234" s="1271"/>
      <c r="O234" s="1271"/>
      <c r="P234" s="1272"/>
      <c r="Q234" s="796"/>
      <c r="R234" s="796"/>
    </row>
    <row r="235" spans="1:22" x14ac:dyDescent="0.35">
      <c r="A235" s="1141" t="s">
        <v>2295</v>
      </c>
      <c r="B235" s="1141" t="s">
        <v>2296</v>
      </c>
      <c r="C235" s="1279" t="s">
        <v>2299</v>
      </c>
      <c r="D235" s="1280">
        <f>SUM(E136:E172)</f>
        <v>5</v>
      </c>
      <c r="E235" s="1281">
        <f>D115*D220</f>
        <v>699.8</v>
      </c>
      <c r="F235" s="1282">
        <f t="shared" si="3"/>
        <v>699.8</v>
      </c>
      <c r="G235" s="2815">
        <v>0.81499999999999995</v>
      </c>
      <c r="H235" s="2815">
        <f t="shared" si="5"/>
        <v>0.83799999999999997</v>
      </c>
      <c r="I235" s="1283"/>
      <c r="J235" s="1284">
        <f>ROUND(IFERROR(SUMPRODUCT(E$136:E$172,$H$71:$H$107)/$D235,0),0)</f>
        <v>1340</v>
      </c>
      <c r="K235" s="1284">
        <f t="shared" si="6"/>
        <v>1323.1801226993891</v>
      </c>
      <c r="L235" s="1281">
        <f t="shared" si="4"/>
        <v>3499</v>
      </c>
      <c r="M235" s="1281">
        <f t="shared" si="7"/>
        <v>2908.7187000000004</v>
      </c>
      <c r="N235" s="1271"/>
      <c r="O235" s="1271"/>
      <c r="P235" s="1272"/>
      <c r="Q235" s="796"/>
      <c r="R235" s="796"/>
    </row>
    <row r="236" spans="1:22" x14ac:dyDescent="0.35">
      <c r="A236" s="1138" t="s">
        <v>2295</v>
      </c>
      <c r="B236" s="1138" t="s">
        <v>2296</v>
      </c>
      <c r="C236" s="1273" t="s">
        <v>2300</v>
      </c>
      <c r="D236" s="1274">
        <f>SUM(F136:F172)</f>
        <v>6</v>
      </c>
      <c r="E236" s="1275">
        <f>D116*D221</f>
        <v>1142.5999999999999</v>
      </c>
      <c r="F236" s="1276">
        <f t="shared" si="3"/>
        <v>1142.5999999999999</v>
      </c>
      <c r="G236" s="2815">
        <v>0.81499999999999995</v>
      </c>
      <c r="H236" s="2815">
        <f t="shared" si="5"/>
        <v>0.83799999999999997</v>
      </c>
      <c r="I236" s="1277"/>
      <c r="J236" s="1278">
        <f>IFERROR(SUMPRODUCT(F$136:F$172,$H$71:$H$107)/$D236,0)</f>
        <v>1543.0319148936169</v>
      </c>
      <c r="K236" s="1278">
        <f t="shared" si="6"/>
        <v>2985.318045424885</v>
      </c>
      <c r="L236" s="1275">
        <f t="shared" si="4"/>
        <v>6855.5999999999995</v>
      </c>
      <c r="M236" s="1275">
        <f t="shared" si="7"/>
        <v>5699.0602799999997</v>
      </c>
      <c r="N236" s="1271"/>
      <c r="O236" s="1271"/>
      <c r="P236" s="1272"/>
      <c r="Q236" s="796"/>
      <c r="R236" s="796"/>
    </row>
    <row r="237" spans="1:22" x14ac:dyDescent="0.35">
      <c r="A237" s="1144" t="s">
        <v>2295</v>
      </c>
      <c r="B237" s="1144" t="s">
        <v>2296</v>
      </c>
      <c r="C237" s="1285" t="s">
        <v>2301</v>
      </c>
      <c r="D237" s="1280">
        <f>SUM(G136:G172)</f>
        <v>0</v>
      </c>
      <c r="E237" s="1281">
        <f>D117*D222</f>
        <v>1779.2528</v>
      </c>
      <c r="F237" s="1282">
        <f t="shared" si="3"/>
        <v>1779.2528</v>
      </c>
      <c r="G237" s="2815">
        <v>0.81499999999999995</v>
      </c>
      <c r="H237" s="2815">
        <f t="shared" si="5"/>
        <v>0.83799999999999997</v>
      </c>
      <c r="I237" s="1283"/>
      <c r="J237" s="1284">
        <f>IFERROR(SUMPRODUCT(G$136:G$172,$H$71:$H$107)/$D237,0)</f>
        <v>0</v>
      </c>
      <c r="K237" s="1284">
        <f t="shared" si="6"/>
        <v>0</v>
      </c>
      <c r="L237" s="1281">
        <f t="shared" si="4"/>
        <v>0</v>
      </c>
      <c r="M237" s="1281">
        <f t="shared" si="7"/>
        <v>0</v>
      </c>
      <c r="N237" s="1271"/>
      <c r="O237" s="1271"/>
      <c r="P237" s="1272"/>
      <c r="Q237" s="796"/>
      <c r="R237" s="796"/>
    </row>
    <row r="238" spans="1:22" x14ac:dyDescent="0.35">
      <c r="A238" s="1146" t="s">
        <v>2295</v>
      </c>
      <c r="B238" s="1146" t="s">
        <v>2302</v>
      </c>
      <c r="C238" s="1286" t="s">
        <v>2297</v>
      </c>
      <c r="D238" s="1274">
        <f>SUM(C177:C213)</f>
        <v>4</v>
      </c>
      <c r="E238" s="1275">
        <f>D113*D223</f>
        <v>267.14499999999998</v>
      </c>
      <c r="F238" s="1276">
        <f t="shared" si="3"/>
        <v>264.5</v>
      </c>
      <c r="G238" s="2815">
        <v>0.81499999999999995</v>
      </c>
      <c r="H238" s="2815">
        <f t="shared" si="5"/>
        <v>0.83799999999999997</v>
      </c>
      <c r="I238" s="1277"/>
      <c r="J238" s="1278">
        <f>IFERROR(SUMPRODUCT(C$177:C$213,$H$71:$H$107)/$D238,0)</f>
        <v>1469.4734042553191</v>
      </c>
      <c r="K238" s="1278">
        <f t="shared" si="6"/>
        <v>438.75050084845418</v>
      </c>
      <c r="L238" s="1275">
        <f t="shared" si="4"/>
        <v>1068.58</v>
      </c>
      <c r="M238" s="1275">
        <f t="shared" si="7"/>
        <v>879.5154</v>
      </c>
      <c r="N238" s="1271"/>
      <c r="O238" s="1271"/>
      <c r="P238" s="1272"/>
      <c r="Q238" s="796"/>
      <c r="R238" s="796"/>
    </row>
    <row r="239" spans="1:22" x14ac:dyDescent="0.35">
      <c r="A239" s="1144" t="s">
        <v>2295</v>
      </c>
      <c r="B239" s="1144" t="s">
        <v>2302</v>
      </c>
      <c r="C239" s="1285" t="s">
        <v>2298</v>
      </c>
      <c r="D239" s="1287">
        <f>SUM(D177:D213)</f>
        <v>0</v>
      </c>
      <c r="E239" s="1288">
        <f>D114*D224</f>
        <v>328.45294457788299</v>
      </c>
      <c r="F239" s="1289">
        <f t="shared" si="3"/>
        <v>322.962580705883</v>
      </c>
      <c r="G239" s="2816">
        <v>0.81499999999999995</v>
      </c>
      <c r="H239" s="2816">
        <f t="shared" si="5"/>
        <v>0.83799999999999997</v>
      </c>
      <c r="I239" s="1290"/>
      <c r="J239" s="1291">
        <f>IFERROR(SUMPRODUCT(D$177:D$213,$H$71:$H$107)/$D239,0)</f>
        <v>0</v>
      </c>
      <c r="K239" s="1291">
        <f t="shared" si="6"/>
        <v>0</v>
      </c>
      <c r="L239" s="1288">
        <f t="shared" si="4"/>
        <v>0</v>
      </c>
      <c r="M239" s="1288">
        <f t="shared" si="7"/>
        <v>0</v>
      </c>
      <c r="N239" s="1271"/>
      <c r="O239" s="1271"/>
      <c r="P239" s="1272"/>
      <c r="Q239" s="796"/>
      <c r="R239" s="796"/>
    </row>
    <row r="240" spans="1:22" x14ac:dyDescent="0.35">
      <c r="A240" s="1148" t="s">
        <v>2295</v>
      </c>
      <c r="B240" s="1148" t="s">
        <v>2302</v>
      </c>
      <c r="C240" s="1292" t="s">
        <v>2299</v>
      </c>
      <c r="D240" s="1293">
        <f>SUM(E177:E213)</f>
        <v>2</v>
      </c>
      <c r="E240" s="1294">
        <f>D115*D225</f>
        <v>500</v>
      </c>
      <c r="F240" s="1295">
        <f t="shared" si="3"/>
        <v>500</v>
      </c>
      <c r="G240" s="2816">
        <v>0.81499999999999995</v>
      </c>
      <c r="H240" s="2816">
        <f t="shared" si="5"/>
        <v>0.83799999999999997</v>
      </c>
      <c r="I240" s="1296"/>
      <c r="J240" s="1297">
        <f>IFERROR(SUMPRODUCT(E$177:E$213,$H$71:$H$107)/$D240,0)</f>
        <v>1770.6489361702124</v>
      </c>
      <c r="K240" s="1297">
        <f t="shared" si="6"/>
        <v>499.69233781490766</v>
      </c>
      <c r="L240" s="1294">
        <f t="shared" si="4"/>
        <v>1000</v>
      </c>
      <c r="M240" s="1294">
        <f t="shared" si="7"/>
        <v>831.30000000000007</v>
      </c>
      <c r="N240" s="1271"/>
      <c r="O240" s="1271"/>
      <c r="P240" s="1272"/>
      <c r="Q240" s="796"/>
      <c r="R240" s="796"/>
    </row>
    <row r="241" spans="1:18" x14ac:dyDescent="0.35">
      <c r="A241" s="1150" t="s">
        <v>2295</v>
      </c>
      <c r="B241" s="1150" t="s">
        <v>2302</v>
      </c>
      <c r="C241" s="1298" t="s">
        <v>2300</v>
      </c>
      <c r="D241" s="1287">
        <f>SUM(F177:F213)</f>
        <v>1</v>
      </c>
      <c r="E241" s="1288">
        <f>D116*D226</f>
        <v>1500</v>
      </c>
      <c r="F241" s="1289">
        <f t="shared" si="3"/>
        <v>1500</v>
      </c>
      <c r="G241" s="2816">
        <v>0.81499999999999995</v>
      </c>
      <c r="H241" s="2816">
        <f t="shared" si="5"/>
        <v>0.83799999999999997</v>
      </c>
      <c r="I241" s="1290"/>
      <c r="J241" s="1291">
        <f>IFERROR(SUMPRODUCT(F$177:F$213,$H$71:$H$107)/$D241,0)</f>
        <v>1679.127659574468</v>
      </c>
      <c r="K241" s="1291">
        <f t="shared" si="6"/>
        <v>710.79637123091129</v>
      </c>
      <c r="L241" s="1288">
        <f t="shared" si="4"/>
        <v>1500</v>
      </c>
      <c r="M241" s="1288">
        <f t="shared" si="7"/>
        <v>1246.95</v>
      </c>
      <c r="N241" s="1271"/>
      <c r="O241" s="1271"/>
      <c r="P241" s="1272"/>
      <c r="Q241" s="796"/>
      <c r="R241" s="796"/>
    </row>
    <row r="242" spans="1:18" x14ac:dyDescent="0.35">
      <c r="A242" s="886" t="s">
        <v>2295</v>
      </c>
      <c r="B242" s="886" t="s">
        <v>2302</v>
      </c>
      <c r="C242" s="1299" t="s">
        <v>2301</v>
      </c>
      <c r="D242" s="1300">
        <f>SUM(G177:G213)</f>
        <v>0</v>
      </c>
      <c r="E242" s="1301">
        <f>D117*D227</f>
        <v>1779.2528</v>
      </c>
      <c r="F242" s="1302">
        <f t="shared" si="3"/>
        <v>1779.2528</v>
      </c>
      <c r="G242" s="2817">
        <v>0.81499999999999995</v>
      </c>
      <c r="H242" s="2817">
        <f t="shared" si="5"/>
        <v>0.83799999999999997</v>
      </c>
      <c r="I242" s="1303"/>
      <c r="J242" s="1304">
        <f>IFERROR(SUMPRODUCT(G$177:G$213,$H$71:$H$107)/$D242,0)</f>
        <v>0</v>
      </c>
      <c r="K242" s="1304">
        <f t="shared" si="6"/>
        <v>0</v>
      </c>
      <c r="L242" s="1301">
        <f t="shared" si="4"/>
        <v>0</v>
      </c>
      <c r="M242" s="1301">
        <f t="shared" si="7"/>
        <v>0</v>
      </c>
      <c r="N242" s="1271"/>
      <c r="O242" s="1271"/>
      <c r="P242" s="1272"/>
      <c r="Q242" s="796"/>
      <c r="R242" s="796"/>
    </row>
    <row r="243" spans="1:18" x14ac:dyDescent="0.35">
      <c r="A243" s="1136" t="s">
        <v>2303</v>
      </c>
      <c r="B243" s="1136" t="s">
        <v>2296</v>
      </c>
      <c r="C243" s="1265" t="s">
        <v>2297</v>
      </c>
      <c r="D243" s="1266">
        <f>D233*F$128/F$127</f>
        <v>0.25</v>
      </c>
      <c r="E243" s="1267">
        <f>D118*D218</f>
        <v>460</v>
      </c>
      <c r="F243" s="1268">
        <f>D218</f>
        <v>230</v>
      </c>
      <c r="G243" s="2814">
        <v>0.80300000000000005</v>
      </c>
      <c r="H243" s="2814">
        <v>0.82599999999999996</v>
      </c>
      <c r="I243" s="1269">
        <f>E63</f>
        <v>0.41899999999999998</v>
      </c>
      <c r="J243" s="1270">
        <f t="shared" ref="J243:J252" si="8">F58</f>
        <v>8766</v>
      </c>
      <c r="K243" s="1270">
        <f>IFERROR(F243*8766*I243/100*((1-G243)/H243)*D243,0)</f>
        <v>503.69717233656155</v>
      </c>
      <c r="L243" s="1267">
        <f t="shared" si="4"/>
        <v>115</v>
      </c>
      <c r="M243" s="1267">
        <f>F243*D243*C$259</f>
        <v>47.788249999999998</v>
      </c>
    </row>
    <row r="244" spans="1:18" x14ac:dyDescent="0.35">
      <c r="A244" s="1138" t="s">
        <v>2303</v>
      </c>
      <c r="B244" s="1138" t="s">
        <v>2296</v>
      </c>
      <c r="C244" s="1273" t="s">
        <v>2298</v>
      </c>
      <c r="D244" s="1274">
        <f t="shared" ref="D244:D252" si="9">D234*F$128/F$127</f>
        <v>0.25</v>
      </c>
      <c r="E244" s="1275">
        <f>D119*D219</f>
        <v>805.98</v>
      </c>
      <c r="F244" s="1276">
        <f t="shared" ref="F244:F252" si="10">D219</f>
        <v>399</v>
      </c>
      <c r="G244" s="2815">
        <v>0.80300000000000005</v>
      </c>
      <c r="H244" s="2815">
        <v>0.82599999999999996</v>
      </c>
      <c r="I244" s="1277">
        <f>E64</f>
        <v>0.41899999999999998</v>
      </c>
      <c r="J244" s="1278">
        <f t="shared" si="8"/>
        <v>8766</v>
      </c>
      <c r="K244" s="1278">
        <f t="shared" ref="K244:K252" si="11">IFERROR(F244*8766*I244/100*((1-G244)/H244)*D244,0)</f>
        <v>873.80509461864381</v>
      </c>
      <c r="L244" s="1275">
        <f t="shared" si="4"/>
        <v>201.495</v>
      </c>
      <c r="M244" s="1275">
        <f t="shared" ref="M244:M252" si="12">F244*D244*C$259</f>
        <v>82.902225000000001</v>
      </c>
    </row>
    <row r="245" spans="1:18" x14ac:dyDescent="0.35">
      <c r="A245" s="1141" t="s">
        <v>2303</v>
      </c>
      <c r="B245" s="1141" t="s">
        <v>2296</v>
      </c>
      <c r="C245" s="1279" t="s">
        <v>2299</v>
      </c>
      <c r="D245" s="1280">
        <f t="shared" si="9"/>
        <v>1.25</v>
      </c>
      <c r="E245" s="1281">
        <f>D120*D220</f>
        <v>1406.5979999999997</v>
      </c>
      <c r="F245" s="1282">
        <f t="shared" si="10"/>
        <v>699.8</v>
      </c>
      <c r="G245" s="2815">
        <v>0.80300000000000005</v>
      </c>
      <c r="H245" s="2815">
        <v>0.82599999999999996</v>
      </c>
      <c r="I245" s="1283">
        <f>E65</f>
        <v>0.41899999999999998</v>
      </c>
      <c r="J245" s="1284">
        <f t="shared" si="8"/>
        <v>8766</v>
      </c>
      <c r="K245" s="1284">
        <f t="shared" si="11"/>
        <v>7662.7669826331712</v>
      </c>
      <c r="L245" s="1281">
        <f t="shared" si="4"/>
        <v>1758.2474999999997</v>
      </c>
      <c r="M245" s="1281">
        <f t="shared" si="12"/>
        <v>727.00472500000001</v>
      </c>
    </row>
    <row r="246" spans="1:18" x14ac:dyDescent="0.35">
      <c r="A246" s="1138" t="s">
        <v>2303</v>
      </c>
      <c r="B246" s="1138" t="s">
        <v>2296</v>
      </c>
      <c r="C246" s="1273" t="s">
        <v>2300</v>
      </c>
      <c r="D246" s="1274">
        <f t="shared" si="9"/>
        <v>1.5000000000000002</v>
      </c>
      <c r="E246" s="1275">
        <f>D121*D221</f>
        <v>2285.1999999999998</v>
      </c>
      <c r="F246" s="1276">
        <f t="shared" si="10"/>
        <v>1142.5999999999999</v>
      </c>
      <c r="G246" s="2815">
        <v>0.80300000000000005</v>
      </c>
      <c r="H246" s="2815">
        <v>0.82599999999999996</v>
      </c>
      <c r="I246" s="1277">
        <f>E66</f>
        <v>0.41899999999999998</v>
      </c>
      <c r="J246" s="1278">
        <f t="shared" si="8"/>
        <v>8766</v>
      </c>
      <c r="K246" s="1278">
        <f t="shared" si="11"/>
        <v>15013.679715958835</v>
      </c>
      <c r="L246" s="1275">
        <f t="shared" si="4"/>
        <v>3427.8</v>
      </c>
      <c r="M246" s="1275">
        <f t="shared" si="12"/>
        <v>1424.42229</v>
      </c>
    </row>
    <row r="247" spans="1:18" x14ac:dyDescent="0.35">
      <c r="A247" s="1144" t="s">
        <v>2303</v>
      </c>
      <c r="B247" s="1144" t="s">
        <v>2296</v>
      </c>
      <c r="C247" s="1285" t="s">
        <v>2301</v>
      </c>
      <c r="D247" s="1280">
        <f t="shared" si="9"/>
        <v>0</v>
      </c>
      <c r="E247" s="1281">
        <f>D122*D222</f>
        <v>3558.5056</v>
      </c>
      <c r="F247" s="1282">
        <f t="shared" si="10"/>
        <v>1779.2528</v>
      </c>
      <c r="G247" s="2815">
        <v>0.80300000000000005</v>
      </c>
      <c r="H247" s="2815">
        <v>0.82599999999999996</v>
      </c>
      <c r="I247" s="1283">
        <f>E67</f>
        <v>0.41899999999999998</v>
      </c>
      <c r="J247" s="1284">
        <f t="shared" si="8"/>
        <v>8766</v>
      </c>
      <c r="K247" s="1284">
        <f t="shared" si="11"/>
        <v>0</v>
      </c>
      <c r="L247" s="1281">
        <f t="shared" si="4"/>
        <v>0</v>
      </c>
      <c r="M247" s="1281">
        <f t="shared" si="12"/>
        <v>0</v>
      </c>
    </row>
    <row r="248" spans="1:18" x14ac:dyDescent="0.35">
      <c r="A248" s="1146" t="s">
        <v>2303</v>
      </c>
      <c r="B248" s="1146" t="s">
        <v>2302</v>
      </c>
      <c r="C248" s="1286" t="s">
        <v>2297</v>
      </c>
      <c r="D248" s="1274">
        <f t="shared" si="9"/>
        <v>1</v>
      </c>
      <c r="E248" s="1275">
        <f>D118*D223</f>
        <v>529</v>
      </c>
      <c r="F248" s="1276">
        <f t="shared" si="10"/>
        <v>264.5</v>
      </c>
      <c r="G248" s="2815">
        <v>0.80300000000000005</v>
      </c>
      <c r="H248" s="2815">
        <v>0.82599999999999996</v>
      </c>
      <c r="I248" s="1277">
        <f>E63</f>
        <v>0.41899999999999998</v>
      </c>
      <c r="J248" s="1278">
        <f t="shared" si="8"/>
        <v>8766</v>
      </c>
      <c r="K248" s="1278">
        <f t="shared" si="11"/>
        <v>2317.0069927481836</v>
      </c>
      <c r="L248" s="1275">
        <f t="shared" si="4"/>
        <v>529</v>
      </c>
      <c r="M248" s="1275">
        <f t="shared" si="12"/>
        <v>219.82594999999998</v>
      </c>
    </row>
    <row r="249" spans="1:18" x14ac:dyDescent="0.35">
      <c r="A249" s="1144" t="s">
        <v>2303</v>
      </c>
      <c r="B249" s="1144" t="s">
        <v>2302</v>
      </c>
      <c r="C249" s="1285" t="s">
        <v>2298</v>
      </c>
      <c r="D249" s="1287">
        <f t="shared" si="9"/>
        <v>0</v>
      </c>
      <c r="E249" s="1288">
        <f>D119*D224</f>
        <v>652.38441302588365</v>
      </c>
      <c r="F249" s="1289">
        <f t="shared" si="10"/>
        <v>322.962580705883</v>
      </c>
      <c r="G249" s="2816">
        <v>0.80300000000000005</v>
      </c>
      <c r="H249" s="2816">
        <v>0.82599999999999996</v>
      </c>
      <c r="I249" s="1290">
        <f t="shared" ref="I249:I252" si="13">E64</f>
        <v>0.41899999999999998</v>
      </c>
      <c r="J249" s="1291">
        <f t="shared" si="8"/>
        <v>8766</v>
      </c>
      <c r="K249" s="1291">
        <f t="shared" si="11"/>
        <v>0</v>
      </c>
      <c r="L249" s="1288">
        <f t="shared" si="4"/>
        <v>0</v>
      </c>
      <c r="M249" s="1288">
        <f t="shared" si="12"/>
        <v>0</v>
      </c>
    </row>
    <row r="250" spans="1:18" x14ac:dyDescent="0.35">
      <c r="A250" s="1148" t="s">
        <v>2303</v>
      </c>
      <c r="B250" s="1148" t="s">
        <v>2302</v>
      </c>
      <c r="C250" s="1292" t="s">
        <v>2299</v>
      </c>
      <c r="D250" s="1293">
        <f t="shared" si="9"/>
        <v>0.5</v>
      </c>
      <c r="E250" s="1294">
        <f>D120*D225</f>
        <v>1004.9999999999999</v>
      </c>
      <c r="F250" s="1295">
        <f t="shared" si="10"/>
        <v>500</v>
      </c>
      <c r="G250" s="2816">
        <v>0.80300000000000005</v>
      </c>
      <c r="H250" s="2816">
        <v>0.82599999999999996</v>
      </c>
      <c r="I250" s="1296">
        <f t="shared" si="13"/>
        <v>0.41899999999999998</v>
      </c>
      <c r="J250" s="1297">
        <f t="shared" si="8"/>
        <v>8766</v>
      </c>
      <c r="K250" s="1297">
        <f t="shared" si="11"/>
        <v>2189.9877058111379</v>
      </c>
      <c r="L250" s="1294">
        <f t="shared" si="4"/>
        <v>502.49999999999994</v>
      </c>
      <c r="M250" s="1294">
        <f t="shared" si="12"/>
        <v>207.77499999999998</v>
      </c>
    </row>
    <row r="251" spans="1:18" x14ac:dyDescent="0.35">
      <c r="A251" s="1150" t="s">
        <v>2303</v>
      </c>
      <c r="B251" s="1150" t="s">
        <v>2302</v>
      </c>
      <c r="C251" s="1298" t="s">
        <v>2300</v>
      </c>
      <c r="D251" s="1287">
        <f t="shared" si="9"/>
        <v>0.25</v>
      </c>
      <c r="E251" s="1288">
        <f>D121*D226</f>
        <v>3000</v>
      </c>
      <c r="F251" s="1289">
        <f t="shared" si="10"/>
        <v>1500</v>
      </c>
      <c r="G251" s="2816">
        <v>0.80300000000000005</v>
      </c>
      <c r="H251" s="2816">
        <v>0.82599999999999996</v>
      </c>
      <c r="I251" s="1290">
        <f t="shared" si="13"/>
        <v>0.41899999999999998</v>
      </c>
      <c r="J251" s="1291">
        <f t="shared" si="8"/>
        <v>8766</v>
      </c>
      <c r="K251" s="1291">
        <f t="shared" si="11"/>
        <v>3284.9815587167063</v>
      </c>
      <c r="L251" s="1288">
        <f t="shared" si="4"/>
        <v>750</v>
      </c>
      <c r="M251" s="1288">
        <f t="shared" si="12"/>
        <v>311.66249999999997</v>
      </c>
    </row>
    <row r="252" spans="1:18" x14ac:dyDescent="0.35">
      <c r="A252" s="886" t="s">
        <v>2303</v>
      </c>
      <c r="B252" s="886" t="s">
        <v>2302</v>
      </c>
      <c r="C252" s="1299" t="s">
        <v>2301</v>
      </c>
      <c r="D252" s="1300">
        <f t="shared" si="9"/>
        <v>0</v>
      </c>
      <c r="E252" s="1301">
        <f>D122*D227</f>
        <v>3558.5056</v>
      </c>
      <c r="F252" s="1302">
        <f t="shared" si="10"/>
        <v>1779.2528</v>
      </c>
      <c r="G252" s="2817">
        <v>0.80300000000000005</v>
      </c>
      <c r="H252" s="2817">
        <v>0.82599999999999996</v>
      </c>
      <c r="I252" s="1303">
        <f t="shared" si="13"/>
        <v>0.41899999999999998</v>
      </c>
      <c r="J252" s="1304">
        <f t="shared" si="8"/>
        <v>8766</v>
      </c>
      <c r="K252" s="1304">
        <f t="shared" si="11"/>
        <v>0</v>
      </c>
      <c r="L252" s="1301">
        <f t="shared" si="4"/>
        <v>0</v>
      </c>
      <c r="M252" s="1301">
        <f t="shared" si="12"/>
        <v>0</v>
      </c>
    </row>
    <row r="254" spans="1:18" ht="21" x14ac:dyDescent="0.5">
      <c r="A254" s="704" t="s">
        <v>377</v>
      </c>
    </row>
    <row r="256" spans="1:18" ht="26" x14ac:dyDescent="0.6">
      <c r="B256" s="3032"/>
      <c r="C256" s="3032"/>
      <c r="D256" s="698"/>
    </row>
    <row r="257" spans="1:5" ht="29" x14ac:dyDescent="0.35">
      <c r="A257" s="1047"/>
      <c r="B257" s="863" t="s">
        <v>2291</v>
      </c>
      <c r="C257" s="882" t="s">
        <v>2373</v>
      </c>
    </row>
    <row r="258" spans="1:5" x14ac:dyDescent="0.35">
      <c r="A258" s="680"/>
      <c r="B258" s="1136" t="s">
        <v>2341</v>
      </c>
      <c r="C258" s="1305">
        <v>0.83130000000000004</v>
      </c>
      <c r="E258" s="828"/>
    </row>
    <row r="259" spans="1:5" x14ac:dyDescent="0.35">
      <c r="A259" s="680"/>
      <c r="B259" s="1093" t="s">
        <v>2347</v>
      </c>
      <c r="C259" s="1306">
        <v>0.83109999999999995</v>
      </c>
      <c r="E259" s="941"/>
    </row>
  </sheetData>
  <sheetProtection selectLockedCells="1"/>
  <mergeCells count="12">
    <mergeCell ref="B256:C256"/>
    <mergeCell ref="B49:C49"/>
    <mergeCell ref="B56:D56"/>
    <mergeCell ref="C69:H69"/>
    <mergeCell ref="J70:R70"/>
    <mergeCell ref="E112:F112"/>
    <mergeCell ref="C134:G134"/>
    <mergeCell ref="C175:G175"/>
    <mergeCell ref="D216:E216"/>
    <mergeCell ref="B231:C231"/>
    <mergeCell ref="D231:H231"/>
    <mergeCell ref="J231:K231"/>
  </mergeCells>
  <conditionalFormatting sqref="C132">
    <cfRule type="cellIs" dxfId="293" priority="6" operator="notEqual">
      <formula>1</formula>
    </cfRule>
  </conditionalFormatting>
  <conditionalFormatting sqref="I136:I172">
    <cfRule type="cellIs" dxfId="292" priority="5" operator="equal">
      <formula>TRUE</formula>
    </cfRule>
  </conditionalFormatting>
  <conditionalFormatting sqref="B71:H107">
    <cfRule type="expression" dxfId="291" priority="1">
      <formula>B71&lt;&gt;#REF!</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Z237"/>
  <sheetViews>
    <sheetView zoomScale="70" zoomScaleNormal="70" workbookViewId="0"/>
  </sheetViews>
  <sheetFormatPr defaultColWidth="9.1796875" defaultRowHeight="14.5" x14ac:dyDescent="0.35"/>
  <cols>
    <col min="1" max="1" width="9.1796875" style="675"/>
    <col min="2" max="2" width="31.1796875" style="675" customWidth="1"/>
    <col min="3" max="9" width="18.1796875" style="675" customWidth="1"/>
    <col min="10" max="12" width="11" style="675" customWidth="1"/>
    <col min="13" max="13" width="12.26953125" style="675" customWidth="1"/>
    <col min="14" max="14" width="13.26953125" style="675" customWidth="1"/>
    <col min="15" max="15" width="13.7265625" style="675" customWidth="1"/>
    <col min="16" max="16" width="13.1796875" style="675" customWidth="1"/>
    <col min="17" max="18" width="11" style="675" customWidth="1"/>
    <col min="19" max="19" width="10.26953125" style="675" customWidth="1"/>
    <col min="20" max="20" width="13" style="675" customWidth="1"/>
    <col min="21" max="21" width="10.81640625" style="675" customWidth="1"/>
    <col min="22" max="22" width="10.26953125" style="675" customWidth="1"/>
    <col min="23" max="27" width="9.7265625" style="675" customWidth="1"/>
    <col min="28" max="28" width="10.7265625" style="675" customWidth="1"/>
    <col min="29" max="29" width="12.26953125" style="675" customWidth="1"/>
    <col min="30" max="30" width="9.81640625" style="675" customWidth="1"/>
    <col min="31" max="31" width="10.26953125" style="675" customWidth="1"/>
    <col min="32" max="32" width="10.1796875" style="675" customWidth="1"/>
    <col min="33" max="16384" width="9.1796875" style="675"/>
  </cols>
  <sheetData>
    <row r="1" spans="1:7" ht="21" x14ac:dyDescent="0.5">
      <c r="A1" s="674" t="s">
        <v>2374</v>
      </c>
    </row>
    <row r="3" spans="1:7" ht="21" x14ac:dyDescent="0.5">
      <c r="A3" s="704" t="s">
        <v>2375</v>
      </c>
    </row>
    <row r="5" spans="1:7" ht="15" customHeight="1" x14ac:dyDescent="0.35">
      <c r="B5" s="857" t="s">
        <v>1947</v>
      </c>
      <c r="C5" s="835">
        <f>SUM(D227:D236)</f>
        <v>25.5</v>
      </c>
      <c r="D5" s="680"/>
      <c r="E5" s="680"/>
      <c r="F5" s="680"/>
    </row>
    <row r="6" spans="1:7" x14ac:dyDescent="0.35">
      <c r="B6" s="859" t="s">
        <v>1950</v>
      </c>
      <c r="C6" s="842">
        <v>0</v>
      </c>
      <c r="D6" s="683"/>
      <c r="E6" s="683"/>
      <c r="F6" s="683"/>
    </row>
    <row r="7" spans="1:7" x14ac:dyDescent="0.35">
      <c r="B7" s="927" t="s">
        <v>1951</v>
      </c>
      <c r="C7" s="839">
        <v>0</v>
      </c>
      <c r="D7" s="683"/>
      <c r="E7" s="683"/>
      <c r="F7" s="683"/>
    </row>
    <row r="8" spans="1:7" x14ac:dyDescent="0.35">
      <c r="B8" s="859" t="s">
        <v>1952</v>
      </c>
      <c r="C8" s="842">
        <f>SUM(J227:J236)</f>
        <v>30124.704723234852</v>
      </c>
      <c r="D8" s="683"/>
      <c r="E8" s="683"/>
      <c r="F8" s="683"/>
    </row>
    <row r="9" spans="1:7" x14ac:dyDescent="0.35">
      <c r="B9" s="927" t="s">
        <v>1953</v>
      </c>
      <c r="C9" s="1308">
        <f>SUM(K227:K236)</f>
        <v>58250</v>
      </c>
      <c r="D9" s="686"/>
      <c r="E9" s="686"/>
      <c r="F9" s="686"/>
    </row>
    <row r="10" spans="1:7" x14ac:dyDescent="0.35">
      <c r="B10" s="859" t="s">
        <v>2288</v>
      </c>
      <c r="C10" s="847">
        <f>C9/C8</f>
        <v>1.9336289113921976</v>
      </c>
      <c r="D10" s="690"/>
      <c r="E10" s="690"/>
      <c r="F10" s="690"/>
    </row>
    <row r="11" spans="1:7" x14ac:dyDescent="0.35">
      <c r="B11" s="927" t="s">
        <v>2108</v>
      </c>
      <c r="C11" s="1309">
        <f>SUM(N227:N236)</f>
        <v>71385</v>
      </c>
      <c r="D11" s="683"/>
      <c r="E11" s="683"/>
      <c r="F11" s="683"/>
    </row>
    <row r="12" spans="1:7" x14ac:dyDescent="0.35">
      <c r="B12" s="928" t="s">
        <v>1970</v>
      </c>
      <c r="C12" s="953">
        <v>20</v>
      </c>
      <c r="D12" s="706"/>
      <c r="E12" s="706"/>
      <c r="F12" s="706"/>
    </row>
    <row r="13" spans="1:7" x14ac:dyDescent="0.35">
      <c r="B13" s="694" t="s">
        <v>1961</v>
      </c>
      <c r="C13" s="695"/>
      <c r="D13" s="680"/>
      <c r="E13" s="696"/>
      <c r="F13" s="680"/>
      <c r="G13" s="696"/>
    </row>
    <row r="14" spans="1:7" x14ac:dyDescent="0.35">
      <c r="B14" s="834" t="s">
        <v>2063</v>
      </c>
      <c r="C14" s="852">
        <f>1-C42+C43+C44</f>
        <v>0.8</v>
      </c>
      <c r="D14" s="680"/>
      <c r="E14" s="698"/>
      <c r="F14" s="680"/>
    </row>
    <row r="15" spans="1:7" x14ac:dyDescent="0.35">
      <c r="B15" s="841" t="s">
        <v>1965</v>
      </c>
      <c r="C15" s="842">
        <v>0</v>
      </c>
      <c r="D15" s="683"/>
      <c r="E15" s="683"/>
      <c r="F15" s="683"/>
    </row>
    <row r="16" spans="1:7" x14ac:dyDescent="0.35">
      <c r="B16" s="838" t="s">
        <v>1966</v>
      </c>
      <c r="C16" s="839">
        <v>0</v>
      </c>
      <c r="D16" s="683"/>
      <c r="E16" s="683"/>
      <c r="F16" s="683"/>
    </row>
    <row r="17" spans="1:6" x14ac:dyDescent="0.35">
      <c r="B17" s="841" t="s">
        <v>1967</v>
      </c>
      <c r="C17" s="842">
        <f>C14*C8</f>
        <v>24099.763778587883</v>
      </c>
      <c r="D17" s="683"/>
      <c r="E17" s="701"/>
      <c r="F17" s="683"/>
    </row>
    <row r="18" spans="1:6" x14ac:dyDescent="0.35">
      <c r="B18" s="838" t="s">
        <v>1969</v>
      </c>
      <c r="C18" s="854">
        <f>C9/C17</f>
        <v>2.4170361392402469</v>
      </c>
      <c r="D18" s="690"/>
      <c r="E18" s="690"/>
      <c r="F18" s="690"/>
    </row>
    <row r="19" spans="1:6" x14ac:dyDescent="0.35">
      <c r="B19" s="855" t="s">
        <v>1970</v>
      </c>
      <c r="C19" s="856">
        <v>20</v>
      </c>
      <c r="D19" s="680"/>
      <c r="E19" s="680"/>
      <c r="F19" s="680"/>
    </row>
    <row r="20" spans="1:6" x14ac:dyDescent="0.35">
      <c r="B20" s="703"/>
      <c r="C20" s="703"/>
    </row>
    <row r="21" spans="1:6" ht="21" x14ac:dyDescent="0.5">
      <c r="A21" s="704" t="s">
        <v>1971</v>
      </c>
      <c r="B21" s="703"/>
      <c r="C21" s="703"/>
    </row>
    <row r="22" spans="1:6" x14ac:dyDescent="0.35">
      <c r="B22" s="703"/>
      <c r="C22" s="703"/>
    </row>
    <row r="23" spans="1:6" x14ac:dyDescent="0.35">
      <c r="B23" s="940" t="s">
        <v>2289</v>
      </c>
      <c r="C23" s="1087">
        <f>C8/C5</f>
        <v>1181.3609695386217</v>
      </c>
    </row>
    <row r="24" spans="1:6" x14ac:dyDescent="0.35">
      <c r="B24" s="936" t="s">
        <v>2290</v>
      </c>
      <c r="C24" s="992">
        <f>C9/C5</f>
        <v>2284.3137254901962</v>
      </c>
    </row>
    <row r="25" spans="1:6" x14ac:dyDescent="0.35">
      <c r="B25" s="929" t="s">
        <v>2155</v>
      </c>
      <c r="C25" s="1310">
        <f>C11/C5</f>
        <v>2799.4117647058824</v>
      </c>
    </row>
    <row r="26" spans="1:6" x14ac:dyDescent="0.35">
      <c r="B26" s="703"/>
      <c r="C26" s="703"/>
    </row>
    <row r="27" spans="1:6" ht="58" x14ac:dyDescent="0.35">
      <c r="B27" s="1134" t="s">
        <v>2292</v>
      </c>
      <c r="C27" s="1135" t="s">
        <v>2293</v>
      </c>
      <c r="D27" s="998" t="s">
        <v>2294</v>
      </c>
    </row>
    <row r="28" spans="1:6" x14ac:dyDescent="0.35">
      <c r="B28" s="1136" t="s">
        <v>2296</v>
      </c>
      <c r="C28" s="986" t="s">
        <v>2297</v>
      </c>
      <c r="D28" s="1311">
        <f t="shared" ref="D28:D37" si="0">J227</f>
        <v>7095.6671707317064</v>
      </c>
    </row>
    <row r="29" spans="1:6" x14ac:dyDescent="0.35">
      <c r="B29" s="1138" t="s">
        <v>2296</v>
      </c>
      <c r="C29" s="1139" t="s">
        <v>2298</v>
      </c>
      <c r="D29" s="1312">
        <f t="shared" si="0"/>
        <v>2633.9610937499983</v>
      </c>
    </row>
    <row r="30" spans="1:6" x14ac:dyDescent="0.35">
      <c r="B30" s="1141" t="s">
        <v>2296</v>
      </c>
      <c r="C30" s="1142" t="s">
        <v>2299</v>
      </c>
      <c r="D30" s="1313">
        <f t="shared" si="0"/>
        <v>8695.2949199999948</v>
      </c>
    </row>
    <row r="31" spans="1:6" x14ac:dyDescent="0.35">
      <c r="B31" s="1138" t="s">
        <v>2296</v>
      </c>
      <c r="C31" s="1139" t="s">
        <v>2300</v>
      </c>
      <c r="D31" s="1312">
        <f t="shared" si="0"/>
        <v>7353.1101778749944</v>
      </c>
    </row>
    <row r="32" spans="1:6" x14ac:dyDescent="0.35">
      <c r="B32" s="1144" t="s">
        <v>2296</v>
      </c>
      <c r="C32" s="1145" t="s">
        <v>2301</v>
      </c>
      <c r="D32" s="1313">
        <f t="shared" si="0"/>
        <v>0</v>
      </c>
    </row>
    <row r="33" spans="1:4" x14ac:dyDescent="0.35">
      <c r="B33" s="1146" t="s">
        <v>2302</v>
      </c>
      <c r="C33" s="1147" t="s">
        <v>2297</v>
      </c>
      <c r="D33" s="1312">
        <f t="shared" si="0"/>
        <v>1011.6017406249993</v>
      </c>
    </row>
    <row r="34" spans="1:4" x14ac:dyDescent="0.35">
      <c r="B34" s="1144" t="s">
        <v>2302</v>
      </c>
      <c r="C34" s="1145" t="s">
        <v>2298</v>
      </c>
      <c r="D34" s="1313">
        <f t="shared" si="0"/>
        <v>0</v>
      </c>
    </row>
    <row r="35" spans="1:4" x14ac:dyDescent="0.35">
      <c r="B35" s="1148" t="s">
        <v>2302</v>
      </c>
      <c r="C35" s="1149" t="s">
        <v>2299</v>
      </c>
      <c r="D35" s="1312">
        <f t="shared" si="0"/>
        <v>1107.9351265822779</v>
      </c>
    </row>
    <row r="36" spans="1:4" x14ac:dyDescent="0.35">
      <c r="B36" s="1150" t="s">
        <v>2302</v>
      </c>
      <c r="C36" s="1151" t="s">
        <v>2300</v>
      </c>
      <c r="D36" s="1313">
        <f t="shared" si="0"/>
        <v>2227.1344936708851</v>
      </c>
    </row>
    <row r="37" spans="1:4" x14ac:dyDescent="0.35">
      <c r="B37" s="886" t="s">
        <v>2302</v>
      </c>
      <c r="C37" s="1152" t="s">
        <v>2301</v>
      </c>
      <c r="D37" s="1314">
        <f t="shared" si="0"/>
        <v>0</v>
      </c>
    </row>
    <row r="38" spans="1:4" x14ac:dyDescent="0.35">
      <c r="B38" s="703"/>
      <c r="C38" s="703"/>
    </row>
    <row r="39" spans="1:4" ht="21" hidden="1" x14ac:dyDescent="0.5">
      <c r="A39" s="704" t="s">
        <v>2064</v>
      </c>
      <c r="B39" s="703"/>
      <c r="C39" s="703"/>
    </row>
    <row r="40" spans="1:4" hidden="1" x14ac:dyDescent="0.35"/>
    <row r="41" spans="1:4" ht="15" hidden="1" customHeight="1" x14ac:dyDescent="0.35">
      <c r="B41" s="3004" t="s">
        <v>2065</v>
      </c>
      <c r="C41" s="3005"/>
    </row>
    <row r="42" spans="1:4" hidden="1" x14ac:dyDescent="0.35">
      <c r="B42" s="857" t="s">
        <v>1416</v>
      </c>
      <c r="C42" s="858">
        <v>0.4</v>
      </c>
    </row>
    <row r="43" spans="1:4" hidden="1" x14ac:dyDescent="0.35">
      <c r="B43" s="859" t="s">
        <v>2066</v>
      </c>
      <c r="C43" s="860">
        <v>0.2</v>
      </c>
    </row>
    <row r="44" spans="1:4" hidden="1" x14ac:dyDescent="0.35">
      <c r="B44" s="861" t="s">
        <v>2067</v>
      </c>
      <c r="C44" s="862">
        <v>0</v>
      </c>
    </row>
    <row r="46" spans="1:4" ht="21" x14ac:dyDescent="0.5">
      <c r="A46" s="704" t="s">
        <v>1977</v>
      </c>
    </row>
    <row r="48" spans="1:4" ht="18" customHeight="1" x14ac:dyDescent="0.35">
      <c r="B48" s="3009" t="s">
        <v>2039</v>
      </c>
      <c r="C48" s="3010"/>
      <c r="D48" s="3011"/>
    </row>
    <row r="49" spans="2:18" ht="29" x14ac:dyDescent="0.35">
      <c r="B49" s="1162" t="s">
        <v>2292</v>
      </c>
      <c r="C49" s="1163" t="s">
        <v>2305</v>
      </c>
      <c r="D49" s="998" t="s">
        <v>2376</v>
      </c>
    </row>
    <row r="50" spans="2:18" x14ac:dyDescent="0.35">
      <c r="B50" s="1136" t="s">
        <v>2296</v>
      </c>
      <c r="C50" s="986" t="s">
        <v>2297</v>
      </c>
      <c r="D50" s="1315">
        <v>0.82</v>
      </c>
    </row>
    <row r="51" spans="2:18" x14ac:dyDescent="0.35">
      <c r="B51" s="1138" t="s">
        <v>2296</v>
      </c>
      <c r="C51" s="1139" t="s">
        <v>2298</v>
      </c>
      <c r="D51" s="1316">
        <v>0.8</v>
      </c>
    </row>
    <row r="52" spans="2:18" x14ac:dyDescent="0.35">
      <c r="B52" s="1141" t="s">
        <v>2296</v>
      </c>
      <c r="C52" s="1142" t="s">
        <v>2299</v>
      </c>
      <c r="D52" s="1316">
        <v>0.8</v>
      </c>
    </row>
    <row r="53" spans="2:18" x14ac:dyDescent="0.35">
      <c r="B53" s="1138" t="s">
        <v>2296</v>
      </c>
      <c r="C53" s="1139" t="s">
        <v>2300</v>
      </c>
      <c r="D53" s="1316">
        <v>0.8</v>
      </c>
    </row>
    <row r="54" spans="2:18" x14ac:dyDescent="0.35">
      <c r="B54" s="1144" t="s">
        <v>2296</v>
      </c>
      <c r="C54" s="1145" t="s">
        <v>2301</v>
      </c>
      <c r="D54" s="1316">
        <v>0.8</v>
      </c>
    </row>
    <row r="55" spans="2:18" x14ac:dyDescent="0.35">
      <c r="B55" s="1146" t="s">
        <v>2302</v>
      </c>
      <c r="C55" s="1147" t="s">
        <v>2297</v>
      </c>
      <c r="D55" s="1316">
        <v>0.8</v>
      </c>
    </row>
    <row r="56" spans="2:18" x14ac:dyDescent="0.35">
      <c r="B56" s="1144" t="s">
        <v>2302</v>
      </c>
      <c r="C56" s="1145" t="s">
        <v>2298</v>
      </c>
      <c r="D56" s="1316">
        <v>0.79</v>
      </c>
    </row>
    <row r="57" spans="2:18" x14ac:dyDescent="0.35">
      <c r="B57" s="1148" t="s">
        <v>2302</v>
      </c>
      <c r="C57" s="1149" t="s">
        <v>2299</v>
      </c>
      <c r="D57" s="1317">
        <v>0.79</v>
      </c>
    </row>
    <row r="58" spans="2:18" x14ac:dyDescent="0.35">
      <c r="B58" s="1150" t="s">
        <v>2302</v>
      </c>
      <c r="C58" s="1151" t="s">
        <v>2300</v>
      </c>
      <c r="D58" s="1317">
        <v>0.79</v>
      </c>
    </row>
    <row r="59" spans="2:18" x14ac:dyDescent="0.35">
      <c r="B59" s="886" t="s">
        <v>2302</v>
      </c>
      <c r="C59" s="1152" t="s">
        <v>2301</v>
      </c>
      <c r="D59" s="1318">
        <v>0.79</v>
      </c>
    </row>
    <row r="60" spans="2:18" x14ac:dyDescent="0.35">
      <c r="M60" s="698"/>
    </row>
    <row r="61" spans="2:18" ht="18.5" x14ac:dyDescent="0.45">
      <c r="C61" s="3033" t="s">
        <v>3904</v>
      </c>
      <c r="D61" s="3034"/>
      <c r="E61" s="3034"/>
      <c r="F61" s="3034"/>
      <c r="G61" s="3051"/>
    </row>
    <row r="62" spans="2:18" ht="28" x14ac:dyDescent="0.35">
      <c r="B62" s="997" t="s">
        <v>2019</v>
      </c>
      <c r="C62" s="1182" t="s">
        <v>2309</v>
      </c>
      <c r="D62" s="1183" t="s">
        <v>2310</v>
      </c>
      <c r="E62" s="1183" t="s">
        <v>2311</v>
      </c>
      <c r="F62" s="1183" t="s">
        <v>2312</v>
      </c>
      <c r="G62" s="1319" t="s">
        <v>2313</v>
      </c>
      <c r="J62" s="3036" t="s">
        <v>2377</v>
      </c>
      <c r="K62" s="3037"/>
      <c r="L62" s="3037"/>
      <c r="M62" s="3037"/>
      <c r="N62" s="3037"/>
      <c r="O62" s="3037"/>
      <c r="P62" s="3037"/>
      <c r="Q62" s="3037"/>
      <c r="R62" s="3038"/>
    </row>
    <row r="63" spans="2:18" x14ac:dyDescent="0.35">
      <c r="B63" s="1136" t="s">
        <v>2180</v>
      </c>
      <c r="C63" s="1186">
        <v>1787</v>
      </c>
      <c r="D63" s="1187">
        <v>1831</v>
      </c>
      <c r="E63" s="1187">
        <v>1635</v>
      </c>
      <c r="F63" s="1187">
        <v>1089</v>
      </c>
      <c r="G63" s="1320">
        <v>1669</v>
      </c>
      <c r="J63" s="869" t="s">
        <v>1981</v>
      </c>
      <c r="K63" s="870"/>
      <c r="L63" s="870"/>
      <c r="M63" s="870"/>
      <c r="N63" s="870"/>
      <c r="O63" s="870"/>
      <c r="P63" s="870"/>
      <c r="Q63" s="870"/>
      <c r="R63" s="871"/>
    </row>
    <row r="64" spans="2:18" x14ac:dyDescent="0.35">
      <c r="B64" s="1146" t="s">
        <v>2071</v>
      </c>
      <c r="C64" s="1190">
        <v>1683</v>
      </c>
      <c r="D64" s="1191">
        <v>1646</v>
      </c>
      <c r="E64" s="1191">
        <v>1446</v>
      </c>
      <c r="F64" s="1191">
        <v>1063</v>
      </c>
      <c r="G64" s="1321">
        <v>1277</v>
      </c>
      <c r="J64" s="933" t="s">
        <v>2378</v>
      </c>
      <c r="K64" s="934"/>
      <c r="L64" s="934"/>
      <c r="M64" s="934"/>
      <c r="N64" s="934"/>
      <c r="O64" s="934"/>
      <c r="P64" s="934"/>
      <c r="Q64" s="934"/>
      <c r="R64" s="935"/>
    </row>
    <row r="65" spans="2:18" x14ac:dyDescent="0.35">
      <c r="B65" s="2683" t="s">
        <v>3906</v>
      </c>
      <c r="C65" s="2684">
        <v>2981</v>
      </c>
      <c r="D65" s="2684">
        <v>2950</v>
      </c>
      <c r="E65" s="2684">
        <v>2694</v>
      </c>
      <c r="F65" s="2684">
        <v>2368</v>
      </c>
      <c r="G65" s="2684">
        <v>2437</v>
      </c>
      <c r="J65" s="869" t="s">
        <v>1990</v>
      </c>
      <c r="K65" s="870"/>
      <c r="L65" s="870"/>
      <c r="M65" s="870"/>
      <c r="N65" s="870"/>
      <c r="O65" s="870"/>
      <c r="P65" s="870"/>
      <c r="Q65" s="870"/>
      <c r="R65" s="871"/>
    </row>
    <row r="66" spans="2:18" x14ac:dyDescent="0.35">
      <c r="B66" s="2680" t="s">
        <v>2157</v>
      </c>
      <c r="C66" s="2681">
        <v>1256</v>
      </c>
      <c r="D66" s="2681">
        <v>1293</v>
      </c>
      <c r="E66" s="2681">
        <v>1138</v>
      </c>
      <c r="F66" s="2681">
        <v>1116</v>
      </c>
      <c r="G66" s="2681">
        <v>1131</v>
      </c>
      <c r="J66" s="873" t="s">
        <v>1365</v>
      </c>
      <c r="K66" s="698" t="s">
        <v>1992</v>
      </c>
      <c r="L66" s="698" t="s">
        <v>2320</v>
      </c>
      <c r="M66" s="698"/>
      <c r="N66" s="698"/>
      <c r="O66" s="698"/>
      <c r="P66" s="698"/>
      <c r="Q66" s="698"/>
      <c r="R66" s="874"/>
    </row>
    <row r="67" spans="2:18" x14ac:dyDescent="0.35">
      <c r="B67" s="1146" t="s">
        <v>2158</v>
      </c>
      <c r="C67" s="1190">
        <v>1481</v>
      </c>
      <c r="D67" s="1191">
        <v>1368</v>
      </c>
      <c r="E67" s="1191">
        <v>1214</v>
      </c>
      <c r="F67" s="1191">
        <v>871</v>
      </c>
      <c r="G67" s="1321">
        <v>973</v>
      </c>
      <c r="J67" s="873"/>
      <c r="K67" s="2686"/>
      <c r="L67" s="2686"/>
      <c r="M67" s="2686"/>
      <c r="N67" s="2686"/>
      <c r="O67" s="2686"/>
      <c r="P67" s="2686"/>
      <c r="Q67" s="2686"/>
      <c r="R67" s="874"/>
    </row>
    <row r="68" spans="2:18" x14ac:dyDescent="0.35">
      <c r="B68" s="2683" t="s">
        <v>3907</v>
      </c>
      <c r="C68" s="2684">
        <v>2848</v>
      </c>
      <c r="D68" s="2684">
        <v>2947</v>
      </c>
      <c r="E68" s="2684">
        <v>2568</v>
      </c>
      <c r="F68" s="2684">
        <v>2362</v>
      </c>
      <c r="G68" s="2684">
        <v>2516</v>
      </c>
      <c r="J68" s="873" t="s">
        <v>2379</v>
      </c>
      <c r="K68" s="698" t="s">
        <v>1992</v>
      </c>
      <c r="L68" s="698" t="s">
        <v>2380</v>
      </c>
      <c r="M68" s="698"/>
      <c r="N68" s="698"/>
      <c r="O68" s="698"/>
      <c r="P68" s="698"/>
      <c r="Q68" s="698"/>
      <c r="R68" s="874"/>
    </row>
    <row r="69" spans="2:18" x14ac:dyDescent="0.35">
      <c r="B69" s="2680" t="s">
        <v>2028</v>
      </c>
      <c r="C69" s="2681">
        <v>1614</v>
      </c>
      <c r="D69" s="2681">
        <v>1603</v>
      </c>
      <c r="E69" s="2681">
        <v>1409</v>
      </c>
      <c r="F69" s="2681">
        <v>1209</v>
      </c>
      <c r="G69" s="2681">
        <v>1269</v>
      </c>
      <c r="J69" s="873" t="s">
        <v>2334</v>
      </c>
      <c r="K69" s="698" t="s">
        <v>2112</v>
      </c>
      <c r="L69" s="698" t="s">
        <v>2381</v>
      </c>
      <c r="M69" s="698"/>
      <c r="N69" s="698"/>
      <c r="O69" s="698"/>
      <c r="P69" s="698"/>
      <c r="Q69" s="698"/>
      <c r="R69" s="874"/>
    </row>
    <row r="70" spans="2:18" x14ac:dyDescent="0.35">
      <c r="B70" s="1146" t="s">
        <v>2109</v>
      </c>
      <c r="C70" s="1190">
        <v>985</v>
      </c>
      <c r="D70" s="1191">
        <v>969</v>
      </c>
      <c r="E70" s="1191">
        <v>852</v>
      </c>
      <c r="F70" s="1191">
        <v>680</v>
      </c>
      <c r="G70" s="1321">
        <v>752</v>
      </c>
      <c r="J70" s="873" t="s">
        <v>2382</v>
      </c>
      <c r="K70" s="698" t="s">
        <v>2112</v>
      </c>
      <c r="L70" s="698" t="s">
        <v>2383</v>
      </c>
      <c r="M70" s="698"/>
      <c r="N70" s="698"/>
      <c r="O70" s="698"/>
      <c r="P70" s="698"/>
      <c r="Q70" s="698"/>
      <c r="R70" s="874"/>
    </row>
    <row r="71" spans="2:18" x14ac:dyDescent="0.35">
      <c r="B71" s="2680" t="s">
        <v>2026</v>
      </c>
      <c r="C71" s="2681">
        <v>1467</v>
      </c>
      <c r="D71" s="2681">
        <v>1551</v>
      </c>
      <c r="E71" s="2681">
        <v>1364</v>
      </c>
      <c r="F71" s="2681">
        <v>1367</v>
      </c>
      <c r="G71" s="2681">
        <v>1375</v>
      </c>
      <c r="J71" s="870"/>
      <c r="K71" s="870"/>
      <c r="L71" s="870"/>
      <c r="M71" s="870"/>
      <c r="N71" s="870"/>
      <c r="O71" s="870"/>
      <c r="P71" s="870"/>
      <c r="Q71" s="870"/>
      <c r="R71" s="870"/>
    </row>
    <row r="72" spans="2:18" x14ac:dyDescent="0.35">
      <c r="B72" s="2680" t="s">
        <v>2075</v>
      </c>
      <c r="C72" s="2681">
        <v>1446</v>
      </c>
      <c r="D72" s="2681">
        <v>1526</v>
      </c>
      <c r="E72" s="2681">
        <v>1452</v>
      </c>
      <c r="F72" s="2681">
        <v>1553</v>
      </c>
      <c r="G72" s="2681">
        <v>1574</v>
      </c>
      <c r="J72" s="698"/>
      <c r="K72" s="698"/>
      <c r="L72" s="698"/>
      <c r="M72" s="698"/>
      <c r="N72" s="698"/>
      <c r="O72" s="698"/>
      <c r="P72" s="698"/>
      <c r="Q72" s="698"/>
      <c r="R72" s="698"/>
    </row>
    <row r="73" spans="2:18" x14ac:dyDescent="0.35">
      <c r="B73" s="2680" t="s">
        <v>2029</v>
      </c>
      <c r="C73" s="2681">
        <v>1807</v>
      </c>
      <c r="D73" s="2681">
        <v>1855</v>
      </c>
      <c r="E73" s="2681">
        <v>1649</v>
      </c>
      <c r="F73" s="2681">
        <v>1591</v>
      </c>
      <c r="G73" s="2681">
        <v>1622</v>
      </c>
      <c r="J73" s="698"/>
      <c r="K73" s="698"/>
      <c r="L73" s="698"/>
      <c r="M73" s="698"/>
      <c r="N73" s="698"/>
      <c r="O73" s="698"/>
      <c r="P73" s="698"/>
      <c r="Q73" s="698"/>
      <c r="R73" s="698"/>
    </row>
    <row r="74" spans="2:18" x14ac:dyDescent="0.35">
      <c r="B74" s="2680" t="s">
        <v>2159</v>
      </c>
      <c r="C74" s="2681">
        <v>1216</v>
      </c>
      <c r="D74" s="2681">
        <v>1220</v>
      </c>
      <c r="E74" s="2681">
        <v>1072</v>
      </c>
      <c r="F74" s="2681">
        <v>1001</v>
      </c>
      <c r="G74" s="2681">
        <v>1028</v>
      </c>
      <c r="J74" s="698"/>
      <c r="K74" s="698"/>
      <c r="L74" s="698"/>
      <c r="M74" s="698"/>
      <c r="N74" s="698"/>
      <c r="O74" s="698"/>
      <c r="P74" s="698"/>
      <c r="Q74" s="698"/>
      <c r="R74" s="698"/>
    </row>
    <row r="75" spans="2:18" x14ac:dyDescent="0.35">
      <c r="B75" s="2680" t="s">
        <v>2160</v>
      </c>
      <c r="C75" s="2681">
        <v>1387</v>
      </c>
      <c r="D75" s="2681">
        <v>1398</v>
      </c>
      <c r="E75" s="2681">
        <v>1252</v>
      </c>
      <c r="F75" s="2681">
        <v>1222</v>
      </c>
      <c r="G75" s="2681">
        <v>1269</v>
      </c>
    </row>
    <row r="76" spans="2:18" x14ac:dyDescent="0.35">
      <c r="B76" s="2680" t="s">
        <v>2161</v>
      </c>
      <c r="C76" s="2682">
        <v>665</v>
      </c>
      <c r="D76" s="2682">
        <v>697</v>
      </c>
      <c r="E76" s="2682">
        <v>628</v>
      </c>
      <c r="F76" s="2682">
        <v>646</v>
      </c>
      <c r="G76" s="2682">
        <v>615</v>
      </c>
      <c r="J76" s="698"/>
      <c r="K76" s="698"/>
      <c r="L76" s="698"/>
      <c r="M76" s="698"/>
      <c r="N76" s="698"/>
      <c r="O76" s="698"/>
      <c r="P76" s="698"/>
      <c r="Q76" s="698"/>
      <c r="R76" s="698"/>
    </row>
    <row r="77" spans="2:18" x14ac:dyDescent="0.35">
      <c r="B77" s="2680" t="s">
        <v>2162</v>
      </c>
      <c r="C77" s="2681">
        <v>1622</v>
      </c>
      <c r="D77" s="2681">
        <v>1571</v>
      </c>
      <c r="E77" s="2681">
        <v>1374</v>
      </c>
      <c r="F77" s="2681">
        <v>1220</v>
      </c>
      <c r="G77" s="2681">
        <v>1281</v>
      </c>
      <c r="J77" s="698"/>
      <c r="K77" s="698"/>
      <c r="L77" s="698"/>
      <c r="M77" s="698"/>
      <c r="N77" s="698"/>
      <c r="O77" s="698"/>
      <c r="P77" s="698"/>
      <c r="Q77" s="698"/>
      <c r="R77" s="698"/>
    </row>
    <row r="78" spans="2:18" x14ac:dyDescent="0.35">
      <c r="B78" s="2680" t="s">
        <v>2325</v>
      </c>
      <c r="C78" s="2681">
        <v>1597</v>
      </c>
      <c r="D78" s="2681">
        <v>1634</v>
      </c>
      <c r="E78" s="2681">
        <v>1468</v>
      </c>
      <c r="F78" s="2681">
        <v>1376</v>
      </c>
      <c r="G78" s="2681">
        <v>1451</v>
      </c>
      <c r="J78" s="698"/>
      <c r="K78" s="698"/>
      <c r="L78" s="698"/>
      <c r="M78" s="698"/>
      <c r="N78" s="698"/>
      <c r="O78" s="698"/>
      <c r="P78" s="698"/>
      <c r="Q78" s="698"/>
      <c r="R78" s="698"/>
    </row>
    <row r="79" spans="2:18" x14ac:dyDescent="0.35">
      <c r="B79" s="2680" t="s">
        <v>2073</v>
      </c>
      <c r="C79" s="2681">
        <v>1670</v>
      </c>
      <c r="D79" s="2681">
        <v>1733</v>
      </c>
      <c r="E79" s="2681">
        <v>1549</v>
      </c>
      <c r="F79" s="2681">
        <v>1496</v>
      </c>
      <c r="G79" s="2681">
        <v>1557</v>
      </c>
      <c r="J79" s="698"/>
      <c r="K79" s="698"/>
      <c r="L79" s="698"/>
      <c r="M79" s="698"/>
      <c r="N79" s="698"/>
      <c r="O79" s="698"/>
      <c r="P79" s="698"/>
      <c r="Q79" s="698"/>
      <c r="R79" s="698"/>
    </row>
    <row r="80" spans="2:18" x14ac:dyDescent="0.35">
      <c r="B80" s="2680" t="s">
        <v>2166</v>
      </c>
      <c r="C80" s="2681">
        <v>1555</v>
      </c>
      <c r="D80" s="2681">
        <v>1597</v>
      </c>
      <c r="E80" s="2681">
        <v>1433</v>
      </c>
      <c r="F80" s="2681">
        <v>1316</v>
      </c>
      <c r="G80" s="2681">
        <v>1400</v>
      </c>
      <c r="J80" s="698"/>
      <c r="K80" s="698"/>
      <c r="L80" s="698"/>
      <c r="M80" s="698"/>
      <c r="N80" s="698"/>
      <c r="O80" s="698"/>
      <c r="P80" s="698"/>
      <c r="Q80" s="698"/>
      <c r="R80" s="698"/>
    </row>
    <row r="81" spans="2:18" x14ac:dyDescent="0.35">
      <c r="B81" s="1144" t="s">
        <v>2163</v>
      </c>
      <c r="C81" s="1200">
        <v>1048</v>
      </c>
      <c r="D81" s="1201">
        <v>1013</v>
      </c>
      <c r="E81" s="1201">
        <v>939</v>
      </c>
      <c r="F81" s="1201">
        <v>567</v>
      </c>
      <c r="G81" s="1322">
        <v>634</v>
      </c>
      <c r="J81" s="698"/>
      <c r="K81" s="698"/>
      <c r="L81" s="698"/>
      <c r="M81" s="698"/>
      <c r="N81" s="698"/>
      <c r="O81" s="698"/>
      <c r="P81" s="698"/>
      <c r="Q81" s="698"/>
      <c r="R81" s="698"/>
    </row>
    <row r="82" spans="2:18" x14ac:dyDescent="0.35">
      <c r="B82" s="2683" t="s">
        <v>2181</v>
      </c>
      <c r="C82" s="2684">
        <v>1565</v>
      </c>
      <c r="D82" s="2684">
        <v>1540</v>
      </c>
      <c r="E82" s="2684">
        <v>1448</v>
      </c>
      <c r="F82" s="2684">
        <v>1089</v>
      </c>
      <c r="G82" s="2684">
        <v>1125</v>
      </c>
      <c r="J82" s="698"/>
      <c r="K82" s="698"/>
      <c r="L82" s="698"/>
      <c r="M82" s="698"/>
      <c r="N82" s="698"/>
      <c r="O82" s="698"/>
      <c r="P82" s="698"/>
      <c r="Q82" s="698"/>
      <c r="R82" s="698"/>
    </row>
    <row r="83" spans="2:18" x14ac:dyDescent="0.35">
      <c r="B83" s="2683" t="s">
        <v>2164</v>
      </c>
      <c r="C83" s="2685">
        <v>537</v>
      </c>
      <c r="D83" s="2685">
        <v>558</v>
      </c>
      <c r="E83" s="2685">
        <v>501</v>
      </c>
      <c r="F83" s="2685">
        <v>480</v>
      </c>
      <c r="G83" s="2685">
        <v>499</v>
      </c>
      <c r="J83" s="698"/>
      <c r="K83" s="698"/>
      <c r="L83" s="698"/>
      <c r="M83" s="698"/>
      <c r="N83" s="698"/>
      <c r="O83" s="698"/>
      <c r="P83" s="698"/>
      <c r="Q83" s="698"/>
      <c r="R83" s="698"/>
    </row>
    <row r="84" spans="2:18" x14ac:dyDescent="0.35">
      <c r="B84" s="2683" t="s">
        <v>2336</v>
      </c>
      <c r="C84" s="2684">
        <v>1665</v>
      </c>
      <c r="D84" s="2684">
        <v>1666</v>
      </c>
      <c r="E84" s="2684">
        <v>1512</v>
      </c>
      <c r="F84" s="2684">
        <v>1145</v>
      </c>
      <c r="G84" s="2684">
        <v>1207</v>
      </c>
      <c r="J84" s="698"/>
      <c r="K84" s="698"/>
      <c r="L84" s="698"/>
      <c r="M84" s="698"/>
      <c r="N84" s="698"/>
      <c r="O84" s="698"/>
      <c r="P84" s="698"/>
      <c r="Q84" s="698"/>
      <c r="R84" s="698"/>
    </row>
    <row r="85" spans="2:18" x14ac:dyDescent="0.35">
      <c r="B85" s="2683" t="s">
        <v>2165</v>
      </c>
      <c r="C85" s="2684">
        <v>1730</v>
      </c>
      <c r="D85" s="2684">
        <v>1782</v>
      </c>
      <c r="E85" s="2684">
        <v>1589</v>
      </c>
      <c r="F85" s="2684">
        <v>1538</v>
      </c>
      <c r="G85" s="2684">
        <v>1560</v>
      </c>
      <c r="J85" s="698"/>
      <c r="K85" s="698"/>
      <c r="L85" s="698"/>
      <c r="M85" s="698"/>
      <c r="N85" s="698"/>
      <c r="O85" s="698"/>
      <c r="P85" s="698"/>
      <c r="Q85" s="698"/>
      <c r="R85" s="698"/>
    </row>
    <row r="86" spans="2:18" x14ac:dyDescent="0.35">
      <c r="B86" s="1146" t="s">
        <v>2167</v>
      </c>
      <c r="C86" s="1200">
        <v>1916</v>
      </c>
      <c r="D86" s="1201">
        <v>1905</v>
      </c>
      <c r="E86" s="1201">
        <v>1718</v>
      </c>
      <c r="F86" s="1201">
        <v>1288</v>
      </c>
      <c r="G86" s="1322">
        <v>1538</v>
      </c>
      <c r="J86" s="698"/>
      <c r="K86" s="698"/>
      <c r="L86" s="698"/>
      <c r="M86" s="698"/>
      <c r="N86" s="698"/>
      <c r="O86" s="698"/>
      <c r="P86" s="698"/>
      <c r="Q86" s="698"/>
      <c r="R86" s="698"/>
    </row>
    <row r="87" spans="2:18" x14ac:dyDescent="0.35">
      <c r="B87" s="2683" t="s">
        <v>2168</v>
      </c>
      <c r="C87" s="2685">
        <v>995</v>
      </c>
      <c r="D87" s="2684">
        <v>1036</v>
      </c>
      <c r="E87" s="2685">
        <v>933</v>
      </c>
      <c r="F87" s="2685">
        <v>786</v>
      </c>
      <c r="G87" s="2685">
        <v>832</v>
      </c>
      <c r="J87" s="698"/>
      <c r="K87" s="698"/>
      <c r="L87" s="698"/>
      <c r="M87" s="698"/>
      <c r="N87" s="698"/>
      <c r="O87" s="698"/>
      <c r="P87" s="698"/>
      <c r="Q87" s="698"/>
      <c r="R87" s="698"/>
    </row>
    <row r="88" spans="2:18" x14ac:dyDescent="0.35">
      <c r="B88" s="2683" t="s">
        <v>2169</v>
      </c>
      <c r="C88" s="2684">
        <v>2244</v>
      </c>
      <c r="D88" s="2684">
        <v>2237</v>
      </c>
      <c r="E88" s="2684">
        <v>2024</v>
      </c>
      <c r="F88" s="2684">
        <v>1553</v>
      </c>
      <c r="G88" s="2684">
        <v>1608</v>
      </c>
      <c r="J88" s="698"/>
      <c r="K88" s="698"/>
      <c r="L88" s="698"/>
      <c r="M88" s="698"/>
      <c r="N88" s="698"/>
      <c r="O88" s="698"/>
      <c r="P88" s="698"/>
      <c r="Q88" s="698"/>
      <c r="R88" s="698"/>
    </row>
    <row r="89" spans="2:18" x14ac:dyDescent="0.35">
      <c r="B89" s="2683" t="s">
        <v>2170</v>
      </c>
      <c r="C89" s="2684">
        <v>1552</v>
      </c>
      <c r="D89" s="2684">
        <v>1432</v>
      </c>
      <c r="E89" s="2684">
        <v>1239</v>
      </c>
      <c r="F89" s="2684">
        <v>1077</v>
      </c>
      <c r="G89" s="2684">
        <v>1098</v>
      </c>
      <c r="J89" s="698"/>
      <c r="K89" s="698"/>
      <c r="L89" s="698"/>
      <c r="M89" s="698"/>
      <c r="N89" s="698"/>
      <c r="O89" s="698"/>
      <c r="P89" s="698"/>
      <c r="Q89" s="698"/>
      <c r="R89" s="698"/>
    </row>
    <row r="90" spans="2:18" x14ac:dyDescent="0.35">
      <c r="B90" s="2683" t="s">
        <v>2171</v>
      </c>
      <c r="C90" s="2684">
        <v>1015</v>
      </c>
      <c r="D90" s="2685">
        <v>993</v>
      </c>
      <c r="E90" s="2685">
        <v>899</v>
      </c>
      <c r="F90" s="2685">
        <v>773</v>
      </c>
      <c r="G90" s="2685">
        <v>809</v>
      </c>
      <c r="J90" s="698"/>
      <c r="K90" s="698"/>
      <c r="L90" s="698"/>
      <c r="M90" s="698"/>
      <c r="N90" s="698"/>
      <c r="O90" s="698"/>
      <c r="P90" s="698"/>
      <c r="Q90" s="698"/>
      <c r="R90" s="698"/>
    </row>
    <row r="91" spans="2:18" x14ac:dyDescent="0.35">
      <c r="B91" s="2683" t="s">
        <v>2172</v>
      </c>
      <c r="C91" s="2684">
        <v>2825</v>
      </c>
      <c r="D91" s="2684">
        <v>2625</v>
      </c>
      <c r="E91" s="2684">
        <v>2365</v>
      </c>
      <c r="F91" s="2684">
        <v>2007</v>
      </c>
      <c r="G91" s="2684">
        <v>2040</v>
      </c>
      <c r="J91" s="698"/>
      <c r="K91" s="698"/>
      <c r="L91" s="698"/>
      <c r="M91" s="698"/>
      <c r="N91" s="698"/>
      <c r="O91" s="698"/>
      <c r="P91" s="698"/>
      <c r="Q91" s="698"/>
      <c r="R91" s="698"/>
    </row>
    <row r="92" spans="2:18" x14ac:dyDescent="0.35">
      <c r="B92" s="2683" t="s">
        <v>2173</v>
      </c>
      <c r="C92" s="2684">
        <v>1672</v>
      </c>
      <c r="D92" s="2684">
        <v>1629</v>
      </c>
      <c r="E92" s="2684">
        <v>1454</v>
      </c>
      <c r="F92" s="2684">
        <v>1356</v>
      </c>
      <c r="G92" s="2684">
        <v>1399</v>
      </c>
      <c r="J92" s="698"/>
      <c r="K92" s="698"/>
      <c r="L92" s="698"/>
      <c r="M92" s="698"/>
      <c r="N92" s="698"/>
      <c r="O92" s="698"/>
      <c r="P92" s="698"/>
      <c r="Q92" s="698"/>
      <c r="R92" s="698"/>
    </row>
    <row r="93" spans="2:18" x14ac:dyDescent="0.35">
      <c r="B93" s="2683" t="s">
        <v>3908</v>
      </c>
      <c r="C93" s="2684">
        <v>2757</v>
      </c>
      <c r="D93" s="2684">
        <v>2670</v>
      </c>
      <c r="E93" s="2684">
        <v>2383</v>
      </c>
      <c r="F93" s="2684">
        <v>2149</v>
      </c>
      <c r="G93" s="2684">
        <v>2186</v>
      </c>
      <c r="J93" s="2686"/>
      <c r="K93" s="2686"/>
      <c r="L93" s="2686"/>
      <c r="M93" s="2686"/>
      <c r="N93" s="2686"/>
      <c r="O93" s="2686"/>
      <c r="P93" s="2686"/>
      <c r="Q93" s="2686"/>
      <c r="R93" s="2686"/>
    </row>
    <row r="94" spans="2:18" x14ac:dyDescent="0.35">
      <c r="B94" s="1144" t="s">
        <v>2174</v>
      </c>
      <c r="C94" s="1200">
        <v>1603</v>
      </c>
      <c r="D94" s="1201">
        <v>1504</v>
      </c>
      <c r="E94" s="1201">
        <v>1440</v>
      </c>
      <c r="F94" s="1201">
        <v>1054</v>
      </c>
      <c r="G94" s="1322">
        <v>1205</v>
      </c>
      <c r="J94" s="698"/>
      <c r="K94" s="698"/>
      <c r="L94" s="698"/>
      <c r="M94" s="698"/>
      <c r="N94" s="698"/>
      <c r="O94" s="698"/>
      <c r="P94" s="698"/>
      <c r="Q94" s="698"/>
      <c r="R94" s="698"/>
    </row>
    <row r="95" spans="2:18" x14ac:dyDescent="0.35">
      <c r="B95" s="2683" t="s">
        <v>2175</v>
      </c>
      <c r="C95" s="2684">
        <v>1326</v>
      </c>
      <c r="D95" s="2684">
        <v>1328</v>
      </c>
      <c r="E95" s="2684">
        <v>1179</v>
      </c>
      <c r="F95" s="2684">
        <v>1091</v>
      </c>
      <c r="G95" s="2684">
        <v>1122</v>
      </c>
      <c r="J95" s="698"/>
      <c r="K95" s="698"/>
      <c r="L95" s="698"/>
      <c r="M95" s="698"/>
      <c r="N95" s="698"/>
      <c r="O95" s="698"/>
      <c r="P95" s="698"/>
      <c r="Q95" s="698"/>
      <c r="R95" s="698"/>
    </row>
    <row r="96" spans="2:18" x14ac:dyDescent="0.35">
      <c r="B96" s="2683" t="s">
        <v>2176</v>
      </c>
      <c r="C96" s="2684">
        <v>1365</v>
      </c>
      <c r="D96" s="2684">
        <v>1322</v>
      </c>
      <c r="E96" s="2684">
        <v>1193</v>
      </c>
      <c r="F96" s="2684">
        <v>1034</v>
      </c>
      <c r="G96" s="2684">
        <v>1088</v>
      </c>
      <c r="J96" s="698"/>
      <c r="K96" s="698"/>
      <c r="L96" s="698"/>
      <c r="M96" s="698"/>
      <c r="N96" s="698"/>
      <c r="O96" s="698"/>
      <c r="P96" s="698"/>
      <c r="Q96" s="698"/>
      <c r="R96" s="698"/>
    </row>
    <row r="97" spans="1:13" x14ac:dyDescent="0.35">
      <c r="B97" s="2683" t="s">
        <v>2177</v>
      </c>
      <c r="C97" s="2684">
        <v>1347</v>
      </c>
      <c r="D97" s="2684">
        <v>1325</v>
      </c>
      <c r="E97" s="2684">
        <v>1183</v>
      </c>
      <c r="F97" s="2684">
        <v>1064</v>
      </c>
      <c r="G97" s="2684">
        <v>1096</v>
      </c>
    </row>
    <row r="98" spans="1:13" x14ac:dyDescent="0.35">
      <c r="B98" s="2683" t="s">
        <v>2027</v>
      </c>
      <c r="C98" s="2684">
        <v>1285</v>
      </c>
      <c r="D98" s="2684">
        <v>1286</v>
      </c>
      <c r="E98" s="2684">
        <v>1180</v>
      </c>
      <c r="F98" s="2684">
        <v>1147</v>
      </c>
      <c r="G98" s="2684">
        <v>1224</v>
      </c>
    </row>
    <row r="99" spans="1:13" x14ac:dyDescent="0.35">
      <c r="B99" s="2683" t="s">
        <v>536</v>
      </c>
      <c r="C99" s="2684">
        <v>1709</v>
      </c>
      <c r="D99" s="2684">
        <v>1678</v>
      </c>
      <c r="E99" s="2684">
        <v>1508</v>
      </c>
      <c r="F99" s="2684">
        <v>1287</v>
      </c>
      <c r="G99" s="2684">
        <v>1411</v>
      </c>
    </row>
    <row r="100" spans="1:13" x14ac:dyDescent="0.35">
      <c r="M100" s="698"/>
    </row>
    <row r="101" spans="1:13" ht="21" x14ac:dyDescent="0.5">
      <c r="A101" s="704" t="s">
        <v>2111</v>
      </c>
      <c r="M101" s="698"/>
    </row>
    <row r="102" spans="1:13" x14ac:dyDescent="0.35">
      <c r="M102" s="698"/>
    </row>
    <row r="103" spans="1:13" x14ac:dyDescent="0.35">
      <c r="B103" s="1323" t="s">
        <v>2384</v>
      </c>
      <c r="C103" s="1324" t="s">
        <v>377</v>
      </c>
      <c r="M103" s="698"/>
    </row>
    <row r="104" spans="1:13" x14ac:dyDescent="0.35">
      <c r="B104" s="1325">
        <v>0.88</v>
      </c>
      <c r="C104" s="1326">
        <v>1470</v>
      </c>
      <c r="M104" s="698"/>
    </row>
    <row r="105" spans="1:13" x14ac:dyDescent="0.35">
      <c r="B105" s="1327">
        <v>0.9</v>
      </c>
      <c r="C105" s="1326">
        <v>2400</v>
      </c>
      <c r="M105" s="698"/>
    </row>
    <row r="106" spans="1:13" x14ac:dyDescent="0.35">
      <c r="B106" s="1325">
        <v>0.95</v>
      </c>
      <c r="C106" s="1326">
        <v>3370</v>
      </c>
      <c r="M106" s="698"/>
    </row>
    <row r="107" spans="1:13" x14ac:dyDescent="0.35">
      <c r="B107" s="1328">
        <v>0.96</v>
      </c>
      <c r="C107" s="1329">
        <v>4340</v>
      </c>
      <c r="M107" s="698"/>
    </row>
    <row r="108" spans="1:13" x14ac:dyDescent="0.35">
      <c r="M108" s="698"/>
    </row>
    <row r="109" spans="1:13" ht="21" x14ac:dyDescent="0.5">
      <c r="A109" s="704" t="s">
        <v>2012</v>
      </c>
      <c r="M109" s="698"/>
    </row>
    <row r="110" spans="1:13" ht="21" x14ac:dyDescent="0.5">
      <c r="A110" s="704"/>
      <c r="B110" s="698"/>
      <c r="C110" s="735"/>
      <c r="M110" s="698"/>
    </row>
    <row r="111" spans="1:13" ht="15" customHeight="1" x14ac:dyDescent="0.35">
      <c r="B111" s="1209" t="s">
        <v>2339</v>
      </c>
      <c r="C111" s="1008" t="s">
        <v>2184</v>
      </c>
      <c r="D111" s="3039"/>
      <c r="E111" s="3039"/>
      <c r="F111" s="840"/>
      <c r="G111" s="840"/>
      <c r="H111" s="840"/>
      <c r="I111" s="840"/>
      <c r="J111" s="840"/>
      <c r="K111" s="840"/>
    </row>
    <row r="112" spans="1:13" x14ac:dyDescent="0.35">
      <c r="B112" s="1136" t="s">
        <v>2342</v>
      </c>
      <c r="C112" s="1210">
        <v>1500</v>
      </c>
      <c r="D112" s="739"/>
      <c r="E112" s="739"/>
      <c r="F112" s="840"/>
      <c r="G112" s="840"/>
      <c r="H112" s="840"/>
      <c r="I112" s="840"/>
      <c r="J112" s="840"/>
      <c r="K112" s="840"/>
    </row>
    <row r="113" spans="1:13" x14ac:dyDescent="0.35">
      <c r="B113" s="1146" t="s">
        <v>2343</v>
      </c>
      <c r="C113" s="1211">
        <v>2500</v>
      </c>
      <c r="D113" s="739"/>
      <c r="E113" s="739"/>
      <c r="F113" s="840"/>
      <c r="G113" s="840"/>
      <c r="H113" s="840"/>
      <c r="I113" s="840"/>
      <c r="J113" s="840"/>
      <c r="K113" s="840"/>
    </row>
    <row r="114" spans="1:13" x14ac:dyDescent="0.35">
      <c r="B114" s="1144" t="s">
        <v>2344</v>
      </c>
      <c r="C114" s="1212">
        <v>3500</v>
      </c>
      <c r="D114" s="739"/>
      <c r="E114" s="739"/>
      <c r="F114" s="840"/>
      <c r="G114" s="840"/>
      <c r="H114" s="840"/>
      <c r="I114" s="840"/>
      <c r="J114" s="840"/>
      <c r="K114" s="840"/>
    </row>
    <row r="115" spans="1:13" x14ac:dyDescent="0.35">
      <c r="B115" s="1146" t="s">
        <v>2345</v>
      </c>
      <c r="C115" s="1211">
        <v>4000</v>
      </c>
      <c r="D115" s="739"/>
      <c r="E115" s="739"/>
      <c r="F115" s="840"/>
      <c r="G115" s="840"/>
      <c r="H115" s="840"/>
      <c r="I115" s="840"/>
      <c r="J115" s="840"/>
      <c r="K115" s="840"/>
    </row>
    <row r="116" spans="1:13" x14ac:dyDescent="0.35">
      <c r="B116" s="1213" t="s">
        <v>2346</v>
      </c>
      <c r="C116" s="1214">
        <v>5000</v>
      </c>
      <c r="D116" s="739"/>
      <c r="E116" s="739"/>
      <c r="F116" s="840"/>
      <c r="G116" s="840"/>
      <c r="H116" s="840"/>
      <c r="I116" s="840"/>
      <c r="J116" s="840"/>
      <c r="K116" s="840"/>
    </row>
    <row r="117" spans="1:13" x14ac:dyDescent="0.35">
      <c r="F117" s="840"/>
      <c r="G117" s="840"/>
      <c r="H117" s="840"/>
      <c r="I117" s="840"/>
      <c r="J117" s="840"/>
      <c r="K117" s="840"/>
      <c r="M117" s="698"/>
    </row>
    <row r="118" spans="1:13" ht="21" x14ac:dyDescent="0.5">
      <c r="A118" s="704" t="s">
        <v>2014</v>
      </c>
      <c r="F118" s="840"/>
      <c r="G118" s="840"/>
      <c r="H118" s="840"/>
      <c r="I118" s="840"/>
      <c r="J118" s="840"/>
      <c r="K118" s="840"/>
    </row>
    <row r="119" spans="1:13" x14ac:dyDescent="0.35">
      <c r="F119" s="840"/>
      <c r="G119" s="840"/>
      <c r="H119" s="840"/>
      <c r="I119" s="840"/>
      <c r="J119" s="840"/>
      <c r="K119" s="840"/>
    </row>
    <row r="120" spans="1:13" ht="29" x14ac:dyDescent="0.35">
      <c r="B120" s="1215" t="s">
        <v>2280</v>
      </c>
      <c r="C120" s="1008" t="s">
        <v>2348</v>
      </c>
      <c r="F120" s="840"/>
      <c r="G120" s="840"/>
      <c r="I120" s="997" t="s">
        <v>2019</v>
      </c>
      <c r="J120" s="1330" t="s">
        <v>1392</v>
      </c>
      <c r="K120" s="840"/>
    </row>
    <row r="121" spans="1:13" x14ac:dyDescent="0.35">
      <c r="B121" s="1136" t="s">
        <v>2349</v>
      </c>
      <c r="C121" s="1216">
        <v>0</v>
      </c>
      <c r="F121" s="840"/>
      <c r="G121" s="840"/>
      <c r="I121" s="1136" t="s">
        <v>2180</v>
      </c>
      <c r="J121" s="1331">
        <f t="array" ref="J121">SUMPRODUCT(C63:G63,TRANSPOSE($C$121:$C$125))</f>
        <v>1584.2</v>
      </c>
      <c r="K121" s="840"/>
    </row>
    <row r="122" spans="1:13" x14ac:dyDescent="0.35">
      <c r="B122" s="1146" t="s">
        <v>2351</v>
      </c>
      <c r="C122" s="1217">
        <v>0.15</v>
      </c>
      <c r="F122" s="840"/>
      <c r="G122" s="840"/>
      <c r="I122" s="1148" t="s">
        <v>2071</v>
      </c>
      <c r="J122" s="2732">
        <f t="array" ref="J122">SUMPRODUCT(C64:G64,TRANSPOSE($C$121:$C$125))</f>
        <v>1410.1</v>
      </c>
      <c r="K122" s="840"/>
    </row>
    <row r="123" spans="1:13" x14ac:dyDescent="0.35">
      <c r="B123" s="1144" t="s">
        <v>2352</v>
      </c>
      <c r="C123" s="1219">
        <v>0.65</v>
      </c>
      <c r="F123" s="840"/>
      <c r="G123" s="840"/>
      <c r="I123" s="2683" t="s">
        <v>3906</v>
      </c>
      <c r="J123" s="2735">
        <f t="array" ref="J123">SUMPRODUCT(C65:G65,TRANSPOSE($C$121:$C$125))</f>
        <v>2670.65</v>
      </c>
      <c r="K123" s="840"/>
    </row>
    <row r="124" spans="1:13" x14ac:dyDescent="0.35">
      <c r="B124" s="1146" t="s">
        <v>2353</v>
      </c>
      <c r="C124" s="1217">
        <v>0.15</v>
      </c>
      <c r="F124" s="840"/>
      <c r="G124" s="840"/>
      <c r="I124" s="2680" t="s">
        <v>2157</v>
      </c>
      <c r="J124" s="2733">
        <f t="array" ref="J124">SUMPRODUCT(C66:G66,TRANSPOSE($C$121:$C$125))</f>
        <v>1157.6000000000001</v>
      </c>
      <c r="K124" s="840"/>
    </row>
    <row r="125" spans="1:13" x14ac:dyDescent="0.35">
      <c r="B125" s="1213" t="s">
        <v>2354</v>
      </c>
      <c r="C125" s="1220">
        <v>0.05</v>
      </c>
      <c r="F125" s="840"/>
      <c r="G125" s="840"/>
      <c r="I125" s="1085" t="s">
        <v>2158</v>
      </c>
      <c r="J125" s="2734">
        <f t="array" ref="J125">SUMPRODUCT(C67:G67,TRANSPOSE($C$121:$C$125))</f>
        <v>1173.6000000000001</v>
      </c>
      <c r="K125" s="840"/>
    </row>
    <row r="126" spans="1:13" x14ac:dyDescent="0.35">
      <c r="B126" s="886" t="s">
        <v>284</v>
      </c>
      <c r="C126" s="1221">
        <f>SUM(C121:C125)</f>
        <v>1</v>
      </c>
      <c r="D126" s="1222" t="str">
        <f>IF(C126&lt;&gt;1,"Participation must add up to 100%","")</f>
        <v/>
      </c>
      <c r="F126" s="840"/>
      <c r="G126" s="840"/>
      <c r="I126" s="2683" t="s">
        <v>3907</v>
      </c>
      <c r="J126" s="2735">
        <f t="array" ref="J126">SUMPRODUCT(C68:G68,TRANSPOSE($C$121:$C$125))</f>
        <v>2591.3500000000004</v>
      </c>
      <c r="K126" s="840"/>
    </row>
    <row r="127" spans="1:13" x14ac:dyDescent="0.35">
      <c r="F127" s="840"/>
      <c r="G127" s="840"/>
      <c r="I127" s="2680" t="s">
        <v>2028</v>
      </c>
      <c r="J127" s="2733">
        <f t="array" ref="J127">SUMPRODUCT(C69:G69,TRANSPOSE($C$121:$C$125))</f>
        <v>1401.1</v>
      </c>
      <c r="K127" s="840"/>
    </row>
    <row r="128" spans="1:13" ht="18.5" x14ac:dyDescent="0.45">
      <c r="C128" s="3040" t="s">
        <v>2355</v>
      </c>
      <c r="D128" s="3041"/>
      <c r="E128" s="3041"/>
      <c r="F128" s="3041"/>
      <c r="G128" s="3042"/>
      <c r="I128" s="1085" t="s">
        <v>2109</v>
      </c>
      <c r="J128" s="2734">
        <f t="array" ref="J128">SUMPRODUCT(C70:G70,TRANSPOSE($C$121:$C$125))</f>
        <v>838.75000000000011</v>
      </c>
    </row>
    <row r="129" spans="1:10" x14ac:dyDescent="0.35">
      <c r="B129" s="1223" t="s">
        <v>2019</v>
      </c>
      <c r="C129" s="1224" t="s">
        <v>2342</v>
      </c>
      <c r="D129" s="1225" t="s">
        <v>2343</v>
      </c>
      <c r="E129" s="1225" t="s">
        <v>2344</v>
      </c>
      <c r="F129" s="1225" t="s">
        <v>2345</v>
      </c>
      <c r="G129" s="1226" t="s">
        <v>2346</v>
      </c>
      <c r="I129" s="2680" t="s">
        <v>2026</v>
      </c>
      <c r="J129" s="2733">
        <f t="array" ref="J129">SUMPRODUCT(C71:G71,TRANSPOSE($C$121:$C$125))</f>
        <v>1393.05</v>
      </c>
    </row>
    <row r="130" spans="1:10" x14ac:dyDescent="0.35">
      <c r="A130" s="1227"/>
      <c r="B130" s="1136" t="s">
        <v>2180</v>
      </c>
      <c r="C130" s="1332">
        <v>0</v>
      </c>
      <c r="D130" s="1333">
        <v>0</v>
      </c>
      <c r="E130" s="1333">
        <v>0</v>
      </c>
      <c r="F130" s="1333">
        <v>0</v>
      </c>
      <c r="G130" s="1334">
        <v>0</v>
      </c>
      <c r="I130" s="2680" t="s">
        <v>2075</v>
      </c>
      <c r="J130" s="2733">
        <f t="array" ref="J130">SUMPRODUCT(C72:G72,TRANSPOSE($C$121:$C$125))</f>
        <v>1484.3500000000001</v>
      </c>
    </row>
    <row r="131" spans="1:10" x14ac:dyDescent="0.35">
      <c r="A131" s="1227"/>
      <c r="B131" s="1146" t="s">
        <v>2071</v>
      </c>
      <c r="C131" s="1335">
        <v>0</v>
      </c>
      <c r="D131" s="1336">
        <v>0</v>
      </c>
      <c r="E131" s="1336">
        <v>0</v>
      </c>
      <c r="F131" s="1336">
        <v>0</v>
      </c>
      <c r="G131" s="1337">
        <v>0</v>
      </c>
      <c r="I131" s="2680" t="s">
        <v>2029</v>
      </c>
      <c r="J131" s="2733">
        <f t="array" ref="J131">SUMPRODUCT(C73:G73,TRANSPOSE($C$121:$C$125))</f>
        <v>1669.85</v>
      </c>
    </row>
    <row r="132" spans="1:10" x14ac:dyDescent="0.35">
      <c r="A132" s="1227"/>
      <c r="B132" s="2683" t="s">
        <v>3906</v>
      </c>
      <c r="C132" s="2731">
        <v>0</v>
      </c>
      <c r="D132" s="2731">
        <v>0</v>
      </c>
      <c r="E132" s="2731">
        <v>0</v>
      </c>
      <c r="F132" s="2731">
        <v>0</v>
      </c>
      <c r="G132" s="2731">
        <v>0</v>
      </c>
      <c r="I132" s="2680" t="s">
        <v>2159</v>
      </c>
      <c r="J132" s="2733">
        <f t="array" ref="J132">SUMPRODUCT(C74:G74,TRANSPOSE($C$121:$C$125))</f>
        <v>1081.3500000000001</v>
      </c>
    </row>
    <row r="133" spans="1:10" x14ac:dyDescent="0.35">
      <c r="A133" s="1227"/>
      <c r="B133" s="1144" t="s">
        <v>2157</v>
      </c>
      <c r="C133" s="1338">
        <v>1</v>
      </c>
      <c r="D133" s="1339">
        <v>0</v>
      </c>
      <c r="E133" s="1339">
        <v>1</v>
      </c>
      <c r="F133" s="1339">
        <v>1</v>
      </c>
      <c r="G133" s="1340">
        <v>0</v>
      </c>
      <c r="I133" s="2680" t="s">
        <v>2160</v>
      </c>
      <c r="J133" s="2733">
        <f t="array" ref="J133">SUMPRODUCT(C75:G75,TRANSPOSE($C$121:$C$125))</f>
        <v>1270.25</v>
      </c>
    </row>
    <row r="134" spans="1:10" x14ac:dyDescent="0.35">
      <c r="A134" s="1227"/>
      <c r="B134" s="1146" t="s">
        <v>2158</v>
      </c>
      <c r="C134" s="1335">
        <v>0</v>
      </c>
      <c r="D134" s="1336">
        <v>0</v>
      </c>
      <c r="E134" s="1336">
        <v>0</v>
      </c>
      <c r="F134" s="1336">
        <v>0</v>
      </c>
      <c r="G134" s="1337">
        <v>0</v>
      </c>
      <c r="I134" s="2680" t="s">
        <v>2161</v>
      </c>
      <c r="J134" s="2733">
        <f t="array" ref="J134">SUMPRODUCT(C76:G76,TRANSPOSE($C$121:$C$125))</f>
        <v>640.4</v>
      </c>
    </row>
    <row r="135" spans="1:10" x14ac:dyDescent="0.35">
      <c r="A135" s="1227"/>
      <c r="B135" s="2683" t="s">
        <v>3907</v>
      </c>
      <c r="C135" s="2731">
        <v>0</v>
      </c>
      <c r="D135" s="2731">
        <v>0</v>
      </c>
      <c r="E135" s="2731">
        <v>0</v>
      </c>
      <c r="F135" s="2731">
        <v>0</v>
      </c>
      <c r="G135" s="2731">
        <v>0</v>
      </c>
      <c r="I135" s="2680" t="s">
        <v>2162</v>
      </c>
      <c r="J135" s="2733">
        <f t="array" ref="J135">SUMPRODUCT(C77:G77,TRANSPOSE($C$121:$C$125))</f>
        <v>1375.8</v>
      </c>
    </row>
    <row r="136" spans="1:10" x14ac:dyDescent="0.35">
      <c r="A136" s="1227"/>
      <c r="B136" s="1144" t="s">
        <v>2028</v>
      </c>
      <c r="C136" s="1338">
        <v>1</v>
      </c>
      <c r="D136" s="1339">
        <v>0</v>
      </c>
      <c r="E136" s="1339">
        <v>0.5</v>
      </c>
      <c r="F136" s="1339">
        <v>0</v>
      </c>
      <c r="G136" s="1340">
        <v>0</v>
      </c>
      <c r="I136" s="2680" t="s">
        <v>2325</v>
      </c>
      <c r="J136" s="2733">
        <f t="array" ref="J136">SUMPRODUCT(C78:G78,TRANSPOSE($C$121:$C$125))</f>
        <v>1478.25</v>
      </c>
    </row>
    <row r="137" spans="1:10" x14ac:dyDescent="0.35">
      <c r="A137" s="1227"/>
      <c r="B137" s="1146" t="s">
        <v>2109</v>
      </c>
      <c r="C137" s="1335">
        <v>0</v>
      </c>
      <c r="D137" s="1336">
        <v>0</v>
      </c>
      <c r="E137" s="1336">
        <v>0</v>
      </c>
      <c r="F137" s="1336">
        <v>0</v>
      </c>
      <c r="G137" s="1337">
        <v>0</v>
      </c>
      <c r="I137" s="2680" t="s">
        <v>2073</v>
      </c>
      <c r="J137" s="2733">
        <f t="array" ref="J137">SUMPRODUCT(C79:G79,TRANSPOSE($C$121:$C$125))</f>
        <v>1569.05</v>
      </c>
    </row>
    <row r="138" spans="1:10" x14ac:dyDescent="0.35">
      <c r="A138" s="1227"/>
      <c r="B138" s="1144" t="s">
        <v>2026</v>
      </c>
      <c r="C138" s="1338">
        <v>0</v>
      </c>
      <c r="D138" s="1339">
        <v>1</v>
      </c>
      <c r="E138" s="1339">
        <v>0</v>
      </c>
      <c r="F138" s="1339">
        <v>0</v>
      </c>
      <c r="G138" s="1340">
        <v>0</v>
      </c>
      <c r="I138" s="2680" t="s">
        <v>2166</v>
      </c>
      <c r="J138" s="2733">
        <f t="array" ref="J138">SUMPRODUCT(C80:G80,TRANSPOSE($C$121:$C$125))</f>
        <v>1438.4</v>
      </c>
    </row>
    <row r="139" spans="1:10" x14ac:dyDescent="0.35">
      <c r="A139" s="1227"/>
      <c r="B139" s="1146" t="s">
        <v>2075</v>
      </c>
      <c r="C139" s="1335">
        <v>1</v>
      </c>
      <c r="D139" s="1336">
        <v>0</v>
      </c>
      <c r="E139" s="1336">
        <v>0</v>
      </c>
      <c r="F139" s="1336">
        <v>0</v>
      </c>
      <c r="G139" s="1337">
        <v>0</v>
      </c>
      <c r="I139" s="884" t="s">
        <v>2163</v>
      </c>
      <c r="J139" s="2734">
        <f t="array" ref="J139">SUMPRODUCT(C81:G81,TRANSPOSE($C$121:$C$125))</f>
        <v>879.05</v>
      </c>
    </row>
    <row r="140" spans="1:10" x14ac:dyDescent="0.35">
      <c r="A140" s="1227"/>
      <c r="B140" s="1144" t="s">
        <v>2029</v>
      </c>
      <c r="C140" s="1338">
        <v>0</v>
      </c>
      <c r="D140" s="1339">
        <v>0</v>
      </c>
      <c r="E140" s="1339">
        <v>1</v>
      </c>
      <c r="F140" s="1339">
        <v>0</v>
      </c>
      <c r="G140" s="1340">
        <v>0</v>
      </c>
      <c r="I140" s="2683" t="s">
        <v>2181</v>
      </c>
      <c r="J140" s="2733">
        <f t="array" ref="J140">SUMPRODUCT(C82:G82,TRANSPOSE($C$121:$C$125))</f>
        <v>1391.8</v>
      </c>
    </row>
    <row r="141" spans="1:10" x14ac:dyDescent="0.35">
      <c r="A141" s="1227"/>
      <c r="B141" s="1146" t="s">
        <v>2356</v>
      </c>
      <c r="C141" s="1335">
        <v>0</v>
      </c>
      <c r="D141" s="1336">
        <v>0</v>
      </c>
      <c r="E141" s="1336">
        <v>0</v>
      </c>
      <c r="F141" s="1336">
        <v>0</v>
      </c>
      <c r="G141" s="1337">
        <v>0</v>
      </c>
      <c r="I141" s="2683" t="s">
        <v>2164</v>
      </c>
      <c r="J141" s="2733">
        <f t="array" ref="J141">SUMPRODUCT(C83:G83,TRANSPOSE($C$121:$C$125))</f>
        <v>506.3</v>
      </c>
    </row>
    <row r="142" spans="1:10" x14ac:dyDescent="0.35">
      <c r="A142" s="1227"/>
      <c r="B142" s="1144" t="s">
        <v>2357</v>
      </c>
      <c r="C142" s="1338">
        <v>0</v>
      </c>
      <c r="D142" s="1339">
        <v>0</v>
      </c>
      <c r="E142" s="1339">
        <v>0</v>
      </c>
      <c r="F142" s="1339">
        <v>0</v>
      </c>
      <c r="G142" s="1340">
        <v>0</v>
      </c>
      <c r="I142" s="2683" t="s">
        <v>2336</v>
      </c>
      <c r="J142" s="2733">
        <f t="array" ref="J142">SUMPRODUCT(C84:G84,TRANSPOSE($C$121:$C$125))</f>
        <v>1464.8</v>
      </c>
    </row>
    <row r="143" spans="1:10" x14ac:dyDescent="0.35">
      <c r="A143" s="1227"/>
      <c r="B143" s="1146" t="s">
        <v>2358</v>
      </c>
      <c r="C143" s="1335">
        <v>0</v>
      </c>
      <c r="D143" s="1336">
        <v>0</v>
      </c>
      <c r="E143" s="1336">
        <v>0</v>
      </c>
      <c r="F143" s="1336">
        <v>0</v>
      </c>
      <c r="G143" s="1337">
        <v>0</v>
      </c>
      <c r="I143" s="2683" t="s">
        <v>2165</v>
      </c>
      <c r="J143" s="2733">
        <f t="array" ref="J143">SUMPRODUCT(C85:G85,TRANSPOSE($C$121:$C$125))</f>
        <v>1608.8500000000001</v>
      </c>
    </row>
    <row r="144" spans="1:10" x14ac:dyDescent="0.35">
      <c r="A144" s="1227"/>
      <c r="B144" s="1144" t="s">
        <v>2162</v>
      </c>
      <c r="C144" s="1338">
        <v>0</v>
      </c>
      <c r="D144" s="1339">
        <v>0</v>
      </c>
      <c r="E144" s="1339">
        <v>0</v>
      </c>
      <c r="F144" s="1339">
        <v>0</v>
      </c>
      <c r="G144" s="1340">
        <v>0</v>
      </c>
      <c r="I144" s="1085" t="s">
        <v>2167</v>
      </c>
      <c r="J144" s="2734">
        <f t="array" ref="J144">SUMPRODUCT(C86:G86,TRANSPOSE($C$121:$C$125))</f>
        <v>1672.5500000000002</v>
      </c>
    </row>
    <row r="145" spans="1:10" x14ac:dyDescent="0.35">
      <c r="A145" s="1227"/>
      <c r="B145" s="1146" t="s">
        <v>2325</v>
      </c>
      <c r="C145" s="1335">
        <v>0</v>
      </c>
      <c r="D145" s="1336">
        <v>0</v>
      </c>
      <c r="E145" s="1336">
        <v>0</v>
      </c>
      <c r="F145" s="1336">
        <v>0</v>
      </c>
      <c r="G145" s="1337">
        <v>0</v>
      </c>
      <c r="I145" s="2683" t="s">
        <v>2168</v>
      </c>
      <c r="J145" s="2733">
        <f t="array" ref="J145">SUMPRODUCT(C87:G87,TRANSPOSE($C$121:$C$125))</f>
        <v>921.35</v>
      </c>
    </row>
    <row r="146" spans="1:10" x14ac:dyDescent="0.35">
      <c r="A146" s="1227"/>
      <c r="B146" s="1144" t="s">
        <v>2073</v>
      </c>
      <c r="C146" s="1338">
        <v>0</v>
      </c>
      <c r="D146" s="1339">
        <v>0</v>
      </c>
      <c r="E146" s="1339">
        <v>0</v>
      </c>
      <c r="F146" s="1339">
        <v>0</v>
      </c>
      <c r="G146" s="1340">
        <v>0</v>
      </c>
      <c r="I146" s="2683" t="s">
        <v>2169</v>
      </c>
      <c r="J146" s="2733">
        <f t="array" ref="J146">SUMPRODUCT(C88:G88,TRANSPOSE($C$121:$C$125))</f>
        <v>1964.5000000000002</v>
      </c>
    </row>
    <row r="147" spans="1:10" x14ac:dyDescent="0.35">
      <c r="A147" s="1227"/>
      <c r="B147" s="1146" t="s">
        <v>2166</v>
      </c>
      <c r="C147" s="1335">
        <v>0</v>
      </c>
      <c r="D147" s="1336">
        <v>0</v>
      </c>
      <c r="E147" s="1336">
        <v>0</v>
      </c>
      <c r="F147" s="1336">
        <v>0</v>
      </c>
      <c r="G147" s="1337">
        <v>0</v>
      </c>
      <c r="I147" s="2683" t="s">
        <v>2170</v>
      </c>
      <c r="J147" s="2733">
        <f t="array" ref="J147">SUMPRODUCT(C89:G89,TRANSPOSE($C$121:$C$125))</f>
        <v>1236.6000000000001</v>
      </c>
    </row>
    <row r="148" spans="1:10" x14ac:dyDescent="0.35">
      <c r="A148" s="1227"/>
      <c r="B148" s="1144" t="s">
        <v>2163</v>
      </c>
      <c r="C148" s="1338">
        <v>1</v>
      </c>
      <c r="D148" s="1339">
        <v>0</v>
      </c>
      <c r="E148" s="1339">
        <v>0</v>
      </c>
      <c r="F148" s="1339">
        <v>0</v>
      </c>
      <c r="G148" s="1340">
        <v>0</v>
      </c>
      <c r="I148" s="2683" t="s">
        <v>2171</v>
      </c>
      <c r="J148" s="2733">
        <f t="array" ref="J148">SUMPRODUCT(C90:G90,TRANSPOSE($C$121:$C$125))</f>
        <v>889.7</v>
      </c>
    </row>
    <row r="149" spans="1:10" x14ac:dyDescent="0.35">
      <c r="A149" s="1227"/>
      <c r="B149" s="1146" t="s">
        <v>2181</v>
      </c>
      <c r="C149" s="1335">
        <v>0</v>
      </c>
      <c r="D149" s="1336">
        <v>0</v>
      </c>
      <c r="E149" s="1336">
        <v>0</v>
      </c>
      <c r="F149" s="1336">
        <v>0</v>
      </c>
      <c r="G149" s="1337">
        <v>0</v>
      </c>
      <c r="I149" s="2683" t="s">
        <v>2172</v>
      </c>
      <c r="J149" s="2733">
        <f t="array" ref="J149">SUMPRODUCT(C91:G91,TRANSPOSE($C$121:$C$125))</f>
        <v>2334.0500000000002</v>
      </c>
    </row>
    <row r="150" spans="1:10" x14ac:dyDescent="0.35">
      <c r="A150" s="1227"/>
      <c r="B150" s="1144" t="s">
        <v>2164</v>
      </c>
      <c r="C150" s="1338">
        <v>0</v>
      </c>
      <c r="D150" s="1339">
        <v>0</v>
      </c>
      <c r="E150" s="1339">
        <v>0</v>
      </c>
      <c r="F150" s="1339">
        <v>0</v>
      </c>
      <c r="G150" s="1340">
        <v>0</v>
      </c>
      <c r="I150" s="2683" t="s">
        <v>2173</v>
      </c>
      <c r="J150" s="2733">
        <f t="array" ref="J150">SUMPRODUCT(C92:G92,TRANSPOSE($C$121:$C$125))</f>
        <v>1462.8000000000002</v>
      </c>
    </row>
    <row r="151" spans="1:10" x14ac:dyDescent="0.35">
      <c r="A151" s="1227"/>
      <c r="B151" s="1146" t="s">
        <v>2336</v>
      </c>
      <c r="C151" s="1335">
        <v>0</v>
      </c>
      <c r="D151" s="1336">
        <v>0</v>
      </c>
      <c r="E151" s="1336">
        <v>0</v>
      </c>
      <c r="F151" s="1336">
        <v>0</v>
      </c>
      <c r="G151" s="1337">
        <v>0</v>
      </c>
      <c r="I151" s="2683" t="s">
        <v>3908</v>
      </c>
      <c r="J151" s="2735">
        <f t="array" ref="J151">SUMPRODUCT(C93:G93,TRANSPOSE($C$121:$C$125))</f>
        <v>2381.1000000000004</v>
      </c>
    </row>
    <row r="152" spans="1:10" x14ac:dyDescent="0.35">
      <c r="A152" s="1227"/>
      <c r="B152" s="1144" t="s">
        <v>2165</v>
      </c>
      <c r="C152" s="1338">
        <v>1</v>
      </c>
      <c r="D152" s="1339">
        <v>0</v>
      </c>
      <c r="E152" s="1339">
        <v>0</v>
      </c>
      <c r="F152" s="1339">
        <v>0</v>
      </c>
      <c r="G152" s="1340">
        <v>0</v>
      </c>
      <c r="I152" s="884" t="s">
        <v>2174</v>
      </c>
      <c r="J152" s="2734">
        <f t="array" ref="J152">SUMPRODUCT(C94:G94,TRANSPOSE($C$121:$C$125))</f>
        <v>1379.9499999999998</v>
      </c>
    </row>
    <row r="153" spans="1:10" x14ac:dyDescent="0.35">
      <c r="A153" s="1227"/>
      <c r="B153" s="1146" t="s">
        <v>2167</v>
      </c>
      <c r="C153" s="1335">
        <v>0</v>
      </c>
      <c r="D153" s="1336">
        <v>0</v>
      </c>
      <c r="E153" s="1336">
        <v>0</v>
      </c>
      <c r="F153" s="1336">
        <v>0</v>
      </c>
      <c r="G153" s="1337">
        <v>0</v>
      </c>
      <c r="I153" s="2683" t="s">
        <v>2175</v>
      </c>
      <c r="J153" s="2733">
        <f t="array" ref="J153">SUMPRODUCT(C95:G95,TRANSPOSE($C$121:$C$125))</f>
        <v>1185.3</v>
      </c>
    </row>
    <row r="154" spans="1:10" x14ac:dyDescent="0.35">
      <c r="A154" s="1227"/>
      <c r="B154" s="1144" t="s">
        <v>2168</v>
      </c>
      <c r="C154" s="1338">
        <v>0</v>
      </c>
      <c r="D154" s="1339">
        <v>0</v>
      </c>
      <c r="E154" s="1339">
        <v>0</v>
      </c>
      <c r="F154" s="1339">
        <v>0</v>
      </c>
      <c r="G154" s="1340">
        <v>0</v>
      </c>
      <c r="I154" s="2683" t="s">
        <v>2176</v>
      </c>
      <c r="J154" s="2733">
        <f t="array" ref="J154">SUMPRODUCT(C96:G96,TRANSPOSE($C$121:$C$125))</f>
        <v>1183.25</v>
      </c>
    </row>
    <row r="155" spans="1:10" x14ac:dyDescent="0.35">
      <c r="A155" s="1227"/>
      <c r="B155" s="1146" t="s">
        <v>2169</v>
      </c>
      <c r="C155" s="1335">
        <v>0</v>
      </c>
      <c r="D155" s="1336">
        <v>0</v>
      </c>
      <c r="E155" s="1336">
        <v>0</v>
      </c>
      <c r="F155" s="1336">
        <v>0</v>
      </c>
      <c r="G155" s="1337">
        <v>0</v>
      </c>
      <c r="I155" s="2683" t="s">
        <v>2177</v>
      </c>
      <c r="J155" s="2733">
        <f t="array" ref="J155">SUMPRODUCT(C97:G97,TRANSPOSE($C$121:$C$125))</f>
        <v>1182.0999999999999</v>
      </c>
    </row>
    <row r="156" spans="1:10" x14ac:dyDescent="0.35">
      <c r="A156" s="1227"/>
      <c r="B156" s="1144" t="s">
        <v>2170</v>
      </c>
      <c r="C156" s="1338">
        <v>0</v>
      </c>
      <c r="D156" s="1339">
        <v>0</v>
      </c>
      <c r="E156" s="1339">
        <v>0</v>
      </c>
      <c r="F156" s="1339">
        <v>0</v>
      </c>
      <c r="G156" s="1340">
        <v>0</v>
      </c>
      <c r="I156" s="2683" t="s">
        <v>2027</v>
      </c>
      <c r="J156" s="2733">
        <f t="array" ref="J156">SUMPRODUCT(C98:G98,TRANSPOSE($C$121:$C$125))</f>
        <v>1193.1500000000001</v>
      </c>
    </row>
    <row r="157" spans="1:10" x14ac:dyDescent="0.35">
      <c r="A157" s="1227"/>
      <c r="B157" s="1146" t="s">
        <v>2171</v>
      </c>
      <c r="C157" s="1335">
        <v>0</v>
      </c>
      <c r="D157" s="1336">
        <v>0</v>
      </c>
      <c r="E157" s="1336">
        <v>0</v>
      </c>
      <c r="F157" s="1336">
        <v>0</v>
      </c>
      <c r="G157" s="1337">
        <v>0</v>
      </c>
      <c r="I157" s="2683" t="s">
        <v>536</v>
      </c>
      <c r="J157" s="2733">
        <f t="array" ref="J157">SUMPRODUCT(C99:G99,TRANSPOSE($C$121:$C$125))</f>
        <v>1495.5</v>
      </c>
    </row>
    <row r="158" spans="1:10" x14ac:dyDescent="0.35">
      <c r="A158" s="1227"/>
      <c r="B158" s="1144" t="s">
        <v>2172</v>
      </c>
      <c r="C158" s="1338">
        <v>3</v>
      </c>
      <c r="D158" s="1339">
        <v>0</v>
      </c>
      <c r="E158" s="1339"/>
      <c r="F158" s="1339">
        <v>0</v>
      </c>
      <c r="G158" s="1340">
        <v>0</v>
      </c>
    </row>
    <row r="159" spans="1:10" x14ac:dyDescent="0.35">
      <c r="A159" s="1227"/>
      <c r="B159" s="1146" t="s">
        <v>2173</v>
      </c>
      <c r="C159" s="1335">
        <v>3</v>
      </c>
      <c r="D159" s="1336">
        <v>0</v>
      </c>
      <c r="E159" s="1336">
        <v>1</v>
      </c>
      <c r="F159" s="1336">
        <v>0</v>
      </c>
      <c r="G159" s="1337">
        <v>0</v>
      </c>
    </row>
    <row r="160" spans="1:10" x14ac:dyDescent="0.35">
      <c r="A160" s="1227"/>
      <c r="B160" s="2683" t="s">
        <v>3908</v>
      </c>
      <c r="C160" s="2731">
        <v>0</v>
      </c>
      <c r="D160" s="2731">
        <v>0</v>
      </c>
      <c r="E160" s="2731">
        <v>0</v>
      </c>
      <c r="F160" s="2731">
        <v>0</v>
      </c>
      <c r="G160" s="2731">
        <v>0</v>
      </c>
    </row>
    <row r="161" spans="1:7" x14ac:dyDescent="0.35">
      <c r="A161" s="1227"/>
      <c r="B161" s="1144" t="s">
        <v>2174</v>
      </c>
      <c r="C161" s="1338">
        <v>1</v>
      </c>
      <c r="D161" s="1339">
        <v>1</v>
      </c>
      <c r="E161" s="1339">
        <v>1</v>
      </c>
      <c r="F161" s="1339">
        <v>0.5</v>
      </c>
      <c r="G161" s="1340">
        <v>0</v>
      </c>
    </row>
    <row r="162" spans="1:7" x14ac:dyDescent="0.35">
      <c r="A162" s="1227"/>
      <c r="B162" s="1146" t="s">
        <v>2175</v>
      </c>
      <c r="C162" s="1335">
        <v>0</v>
      </c>
      <c r="D162" s="1336">
        <v>0</v>
      </c>
      <c r="E162" s="1336">
        <v>0</v>
      </c>
      <c r="F162" s="1336">
        <v>0</v>
      </c>
      <c r="G162" s="1337">
        <v>0</v>
      </c>
    </row>
    <row r="163" spans="1:7" x14ac:dyDescent="0.35">
      <c r="A163" s="1227"/>
      <c r="B163" s="1144" t="s">
        <v>2176</v>
      </c>
      <c r="C163" s="1338">
        <v>1</v>
      </c>
      <c r="D163" s="1339">
        <v>0</v>
      </c>
      <c r="E163" s="1339">
        <v>0</v>
      </c>
      <c r="F163" s="1339">
        <v>0</v>
      </c>
      <c r="G163" s="1340">
        <v>0</v>
      </c>
    </row>
    <row r="164" spans="1:7" x14ac:dyDescent="0.35">
      <c r="A164" s="1227"/>
      <c r="B164" s="1146" t="s">
        <v>2177</v>
      </c>
      <c r="C164" s="1335">
        <v>0</v>
      </c>
      <c r="D164" s="1336">
        <v>0</v>
      </c>
      <c r="E164" s="1336">
        <v>0</v>
      </c>
      <c r="F164" s="1336">
        <v>0</v>
      </c>
      <c r="G164" s="1337">
        <v>0</v>
      </c>
    </row>
    <row r="165" spans="1:7" x14ac:dyDescent="0.35">
      <c r="A165" s="1227"/>
      <c r="B165" s="1144" t="s">
        <v>2027</v>
      </c>
      <c r="C165" s="1338">
        <v>0.5</v>
      </c>
      <c r="D165" s="1339"/>
      <c r="E165" s="1339"/>
      <c r="F165" s="1339">
        <v>0</v>
      </c>
      <c r="G165" s="1340">
        <v>0</v>
      </c>
    </row>
    <row r="166" spans="1:7" x14ac:dyDescent="0.35">
      <c r="A166" s="1227"/>
      <c r="B166" s="1146" t="s">
        <v>536</v>
      </c>
      <c r="C166" s="1335"/>
      <c r="D166" s="1336">
        <v>0.5</v>
      </c>
      <c r="E166" s="1336">
        <v>0</v>
      </c>
      <c r="F166" s="1336">
        <v>1</v>
      </c>
      <c r="G166" s="1337">
        <v>0</v>
      </c>
    </row>
    <row r="167" spans="1:7" x14ac:dyDescent="0.35">
      <c r="B167" s="981" t="s">
        <v>2359</v>
      </c>
    </row>
    <row r="168" spans="1:7" x14ac:dyDescent="0.35">
      <c r="B168" s="981"/>
    </row>
    <row r="169" spans="1:7" ht="18.5" x14ac:dyDescent="0.45">
      <c r="C169" s="3040" t="s">
        <v>2360</v>
      </c>
      <c r="D169" s="3041"/>
      <c r="E169" s="3041"/>
      <c r="F169" s="3041"/>
      <c r="G169" s="3042"/>
    </row>
    <row r="170" spans="1:7" x14ac:dyDescent="0.35">
      <c r="B170" s="1223" t="s">
        <v>2019</v>
      </c>
      <c r="C170" s="1224" t="s">
        <v>2342</v>
      </c>
      <c r="D170" s="1225" t="s">
        <v>2343</v>
      </c>
      <c r="E170" s="1225" t="s">
        <v>2344</v>
      </c>
      <c r="F170" s="1225" t="s">
        <v>2345</v>
      </c>
      <c r="G170" s="1226" t="s">
        <v>2346</v>
      </c>
    </row>
    <row r="171" spans="1:7" x14ac:dyDescent="0.35">
      <c r="B171" s="1136" t="s">
        <v>2180</v>
      </c>
      <c r="C171" s="1332">
        <v>0</v>
      </c>
      <c r="D171" s="1333">
        <v>0</v>
      </c>
      <c r="E171" s="1333">
        <v>0</v>
      </c>
      <c r="F171" s="1333">
        <v>0</v>
      </c>
      <c r="G171" s="1334">
        <v>0</v>
      </c>
    </row>
    <row r="172" spans="1:7" x14ac:dyDescent="0.35">
      <c r="B172" s="1146" t="s">
        <v>2071</v>
      </c>
      <c r="C172" s="1335">
        <v>0</v>
      </c>
      <c r="D172" s="1336">
        <v>0</v>
      </c>
      <c r="E172" s="1336">
        <v>0</v>
      </c>
      <c r="F172" s="1336">
        <v>0</v>
      </c>
      <c r="G172" s="1337">
        <v>0</v>
      </c>
    </row>
    <row r="173" spans="1:7" x14ac:dyDescent="0.35">
      <c r="B173" s="2683" t="s">
        <v>3906</v>
      </c>
      <c r="C173" s="2731">
        <v>0</v>
      </c>
      <c r="D173" s="2731">
        <v>0</v>
      </c>
      <c r="E173" s="2731">
        <v>0</v>
      </c>
      <c r="F173" s="2731">
        <v>0</v>
      </c>
      <c r="G173" s="2731">
        <v>0</v>
      </c>
    </row>
    <row r="174" spans="1:7" x14ac:dyDescent="0.35">
      <c r="B174" s="1144" t="s">
        <v>2157</v>
      </c>
      <c r="C174" s="1338">
        <v>0</v>
      </c>
      <c r="D174" s="1339">
        <v>0</v>
      </c>
      <c r="E174" s="1339">
        <v>0</v>
      </c>
      <c r="F174" s="1339">
        <v>0</v>
      </c>
      <c r="G174" s="1340">
        <v>0</v>
      </c>
    </row>
    <row r="175" spans="1:7" x14ac:dyDescent="0.35">
      <c r="B175" s="1146" t="s">
        <v>2158</v>
      </c>
      <c r="C175" s="1335">
        <v>0</v>
      </c>
      <c r="D175" s="1336">
        <v>0</v>
      </c>
      <c r="E175" s="1336">
        <v>0</v>
      </c>
      <c r="F175" s="1336">
        <v>0</v>
      </c>
      <c r="G175" s="1337">
        <v>0</v>
      </c>
    </row>
    <row r="176" spans="1:7" x14ac:dyDescent="0.35">
      <c r="B176" s="2683" t="s">
        <v>3907</v>
      </c>
      <c r="C176" s="2731">
        <v>0</v>
      </c>
      <c r="D176" s="2731">
        <v>0</v>
      </c>
      <c r="E176" s="2731">
        <v>0</v>
      </c>
      <c r="F176" s="2731">
        <v>0</v>
      </c>
      <c r="G176" s="2731">
        <v>0</v>
      </c>
    </row>
    <row r="177" spans="2:7" x14ac:dyDescent="0.35">
      <c r="B177" s="1144" t="s">
        <v>2028</v>
      </c>
      <c r="C177" s="1338">
        <v>0</v>
      </c>
      <c r="D177" s="1339">
        <v>0</v>
      </c>
      <c r="E177" s="1339">
        <v>0</v>
      </c>
      <c r="F177" s="1339">
        <v>0</v>
      </c>
      <c r="G177" s="1340">
        <v>0</v>
      </c>
    </row>
    <row r="178" spans="2:7" x14ac:dyDescent="0.35">
      <c r="B178" s="1146" t="s">
        <v>2109</v>
      </c>
      <c r="C178" s="1335">
        <v>0</v>
      </c>
      <c r="D178" s="1336">
        <v>0</v>
      </c>
      <c r="E178" s="1336">
        <v>0</v>
      </c>
      <c r="F178" s="1336">
        <v>0</v>
      </c>
      <c r="G178" s="1337">
        <v>0</v>
      </c>
    </row>
    <row r="179" spans="2:7" x14ac:dyDescent="0.35">
      <c r="B179" s="1144" t="s">
        <v>2026</v>
      </c>
      <c r="C179" s="1338">
        <v>0</v>
      </c>
      <c r="D179" s="1339">
        <v>0</v>
      </c>
      <c r="E179" s="1339">
        <v>0</v>
      </c>
      <c r="F179" s="1339">
        <v>0</v>
      </c>
      <c r="G179" s="1340">
        <v>0</v>
      </c>
    </row>
    <row r="180" spans="2:7" x14ac:dyDescent="0.35">
      <c r="B180" s="1146" t="s">
        <v>2075</v>
      </c>
      <c r="C180" s="1335">
        <v>0</v>
      </c>
      <c r="D180" s="1336">
        <v>0</v>
      </c>
      <c r="E180" s="1336">
        <v>0</v>
      </c>
      <c r="F180" s="1336">
        <v>0</v>
      </c>
      <c r="G180" s="1337">
        <v>0</v>
      </c>
    </row>
    <row r="181" spans="2:7" x14ac:dyDescent="0.35">
      <c r="B181" s="1144" t="s">
        <v>2029</v>
      </c>
      <c r="C181" s="1338">
        <v>0</v>
      </c>
      <c r="D181" s="1339">
        <v>0</v>
      </c>
      <c r="E181" s="1339">
        <v>0</v>
      </c>
      <c r="F181" s="1339">
        <v>0</v>
      </c>
      <c r="G181" s="1340">
        <v>0</v>
      </c>
    </row>
    <row r="182" spans="2:7" x14ac:dyDescent="0.35">
      <c r="B182" s="1146" t="s">
        <v>2356</v>
      </c>
      <c r="C182" s="1335">
        <v>0</v>
      </c>
      <c r="D182" s="1336">
        <v>0</v>
      </c>
      <c r="E182" s="1336">
        <v>0</v>
      </c>
      <c r="F182" s="1336">
        <v>0</v>
      </c>
      <c r="G182" s="1337">
        <v>0</v>
      </c>
    </row>
    <row r="183" spans="2:7" x14ac:dyDescent="0.35">
      <c r="B183" s="1144" t="s">
        <v>2357</v>
      </c>
      <c r="C183" s="1338">
        <v>0</v>
      </c>
      <c r="D183" s="1339">
        <v>0</v>
      </c>
      <c r="E183" s="1339">
        <v>0</v>
      </c>
      <c r="F183" s="1339">
        <v>0</v>
      </c>
      <c r="G183" s="1340">
        <v>0</v>
      </c>
    </row>
    <row r="184" spans="2:7" x14ac:dyDescent="0.35">
      <c r="B184" s="1146" t="s">
        <v>2358</v>
      </c>
      <c r="C184" s="1335">
        <v>0</v>
      </c>
      <c r="D184" s="1336">
        <v>0</v>
      </c>
      <c r="E184" s="1336">
        <v>0</v>
      </c>
      <c r="F184" s="1336">
        <v>0</v>
      </c>
      <c r="G184" s="1337">
        <v>0</v>
      </c>
    </row>
    <row r="185" spans="2:7" x14ac:dyDescent="0.35">
      <c r="B185" s="1144" t="s">
        <v>2162</v>
      </c>
      <c r="C185" s="1338">
        <v>0</v>
      </c>
      <c r="D185" s="1339">
        <v>0</v>
      </c>
      <c r="E185" s="1339">
        <v>0</v>
      </c>
      <c r="F185" s="1339">
        <v>0</v>
      </c>
      <c r="G185" s="1340">
        <v>0</v>
      </c>
    </row>
    <row r="186" spans="2:7" x14ac:dyDescent="0.35">
      <c r="B186" s="1146" t="s">
        <v>2325</v>
      </c>
      <c r="C186" s="1335">
        <v>0</v>
      </c>
      <c r="D186" s="1336">
        <v>0</v>
      </c>
      <c r="E186" s="1336">
        <v>0</v>
      </c>
      <c r="F186" s="1336">
        <v>0</v>
      </c>
      <c r="G186" s="1337">
        <v>0</v>
      </c>
    </row>
    <row r="187" spans="2:7" x14ac:dyDescent="0.35">
      <c r="B187" s="1144" t="s">
        <v>2073</v>
      </c>
      <c r="C187" s="1338">
        <v>0</v>
      </c>
      <c r="D187" s="1339">
        <v>0</v>
      </c>
      <c r="E187" s="1339">
        <v>0</v>
      </c>
      <c r="F187" s="1339">
        <v>0</v>
      </c>
      <c r="G187" s="1340">
        <v>0</v>
      </c>
    </row>
    <row r="188" spans="2:7" x14ac:dyDescent="0.35">
      <c r="B188" s="1146" t="s">
        <v>2166</v>
      </c>
      <c r="C188" s="1335">
        <v>0</v>
      </c>
      <c r="D188" s="1336">
        <v>0</v>
      </c>
      <c r="E188" s="1336">
        <v>0</v>
      </c>
      <c r="F188" s="1336">
        <v>0</v>
      </c>
      <c r="G188" s="1337">
        <v>0</v>
      </c>
    </row>
    <row r="189" spans="2:7" x14ac:dyDescent="0.35">
      <c r="B189" s="1144" t="s">
        <v>2163</v>
      </c>
      <c r="C189" s="1338">
        <v>0</v>
      </c>
      <c r="D189" s="1339">
        <v>0</v>
      </c>
      <c r="E189" s="1339">
        <v>0</v>
      </c>
      <c r="F189" s="1339">
        <v>0</v>
      </c>
      <c r="G189" s="1340">
        <v>0</v>
      </c>
    </row>
    <row r="190" spans="2:7" x14ac:dyDescent="0.35">
      <c r="B190" s="1146" t="s">
        <v>2181</v>
      </c>
      <c r="C190" s="1335">
        <v>0</v>
      </c>
      <c r="D190" s="1336">
        <v>0</v>
      </c>
      <c r="E190" s="1336">
        <v>0</v>
      </c>
      <c r="F190" s="1336">
        <v>0</v>
      </c>
      <c r="G190" s="1337">
        <v>0</v>
      </c>
    </row>
    <row r="191" spans="2:7" x14ac:dyDescent="0.35">
      <c r="B191" s="1144" t="s">
        <v>2164</v>
      </c>
      <c r="C191" s="1338">
        <v>0</v>
      </c>
      <c r="D191" s="1339">
        <v>0</v>
      </c>
      <c r="E191" s="1339">
        <v>0</v>
      </c>
      <c r="F191" s="1339">
        <v>0</v>
      </c>
      <c r="G191" s="1340">
        <v>0</v>
      </c>
    </row>
    <row r="192" spans="2:7" x14ac:dyDescent="0.35">
      <c r="B192" s="1146" t="s">
        <v>2336</v>
      </c>
      <c r="C192" s="1335">
        <v>0</v>
      </c>
      <c r="D192" s="1336">
        <v>0</v>
      </c>
      <c r="E192" s="1336">
        <v>0</v>
      </c>
      <c r="F192" s="1336">
        <v>0</v>
      </c>
      <c r="G192" s="1337">
        <v>0</v>
      </c>
    </row>
    <row r="193" spans="2:7" x14ac:dyDescent="0.35">
      <c r="B193" s="1144" t="s">
        <v>2165</v>
      </c>
      <c r="C193" s="1338">
        <v>0</v>
      </c>
      <c r="D193" s="1339">
        <v>0</v>
      </c>
      <c r="E193" s="1339">
        <v>0</v>
      </c>
      <c r="F193" s="1339">
        <v>0</v>
      </c>
      <c r="G193" s="1340">
        <v>0</v>
      </c>
    </row>
    <row r="194" spans="2:7" x14ac:dyDescent="0.35">
      <c r="B194" s="1146" t="s">
        <v>2167</v>
      </c>
      <c r="C194" s="1335">
        <v>0</v>
      </c>
      <c r="D194" s="1336">
        <v>0</v>
      </c>
      <c r="E194" s="1336">
        <v>0</v>
      </c>
      <c r="F194" s="1336">
        <v>0</v>
      </c>
      <c r="G194" s="1337">
        <v>0</v>
      </c>
    </row>
    <row r="195" spans="2:7" x14ac:dyDescent="0.35">
      <c r="B195" s="1144" t="s">
        <v>2168</v>
      </c>
      <c r="C195" s="1338">
        <v>0</v>
      </c>
      <c r="D195" s="1339">
        <v>0</v>
      </c>
      <c r="E195" s="1339">
        <v>0</v>
      </c>
      <c r="F195" s="1339">
        <v>0</v>
      </c>
      <c r="G195" s="1340">
        <v>0</v>
      </c>
    </row>
    <row r="196" spans="2:7" x14ac:dyDescent="0.35">
      <c r="B196" s="1146" t="s">
        <v>2169</v>
      </c>
      <c r="C196" s="1335">
        <v>0</v>
      </c>
      <c r="D196" s="1336">
        <v>0</v>
      </c>
      <c r="E196" s="1336">
        <v>0</v>
      </c>
      <c r="F196" s="1336">
        <v>0</v>
      </c>
      <c r="G196" s="1337">
        <v>0</v>
      </c>
    </row>
    <row r="197" spans="2:7" x14ac:dyDescent="0.35">
      <c r="B197" s="1144" t="s">
        <v>2170</v>
      </c>
      <c r="C197" s="1338">
        <v>0</v>
      </c>
      <c r="D197" s="1339">
        <v>0</v>
      </c>
      <c r="E197" s="1339">
        <v>0</v>
      </c>
      <c r="F197" s="1339">
        <v>0</v>
      </c>
      <c r="G197" s="1340">
        <v>0</v>
      </c>
    </row>
    <row r="198" spans="2:7" x14ac:dyDescent="0.35">
      <c r="B198" s="1146" t="s">
        <v>2171</v>
      </c>
      <c r="C198" s="1335">
        <v>0</v>
      </c>
      <c r="D198" s="1336">
        <v>0</v>
      </c>
      <c r="E198" s="1336">
        <v>0</v>
      </c>
      <c r="F198" s="1336">
        <v>0</v>
      </c>
      <c r="G198" s="1337">
        <v>0</v>
      </c>
    </row>
    <row r="199" spans="2:7" x14ac:dyDescent="0.35">
      <c r="B199" s="1144" t="s">
        <v>2172</v>
      </c>
      <c r="C199" s="1338">
        <v>0</v>
      </c>
      <c r="D199" s="1339">
        <v>0</v>
      </c>
      <c r="E199" s="1339">
        <v>0.5</v>
      </c>
      <c r="F199" s="1339">
        <v>0</v>
      </c>
      <c r="G199" s="1340">
        <v>0</v>
      </c>
    </row>
    <row r="200" spans="2:7" x14ac:dyDescent="0.35">
      <c r="B200" s="1146" t="s">
        <v>2173</v>
      </c>
      <c r="C200" s="1335">
        <v>0</v>
      </c>
      <c r="D200" s="1336">
        <v>0</v>
      </c>
      <c r="E200" s="1336">
        <v>0</v>
      </c>
      <c r="F200" s="1336">
        <v>0</v>
      </c>
      <c r="G200" s="1337">
        <v>0</v>
      </c>
    </row>
    <row r="201" spans="2:7" x14ac:dyDescent="0.35">
      <c r="B201" s="2683" t="s">
        <v>3908</v>
      </c>
      <c r="C201" s="2731">
        <v>0</v>
      </c>
      <c r="D201" s="2731">
        <v>0</v>
      </c>
      <c r="E201" s="2731">
        <v>0</v>
      </c>
      <c r="F201" s="2731">
        <v>0</v>
      </c>
      <c r="G201" s="2731">
        <v>0</v>
      </c>
    </row>
    <row r="202" spans="2:7" x14ac:dyDescent="0.35">
      <c r="B202" s="1144" t="s">
        <v>2174</v>
      </c>
      <c r="C202" s="1338">
        <v>0.5</v>
      </c>
      <c r="D202" s="1339">
        <v>0</v>
      </c>
      <c r="E202" s="1339">
        <v>0</v>
      </c>
      <c r="F202" s="1339">
        <v>0.5</v>
      </c>
      <c r="G202" s="1340">
        <v>0</v>
      </c>
    </row>
    <row r="203" spans="2:7" x14ac:dyDescent="0.35">
      <c r="B203" s="1146" t="s">
        <v>2175</v>
      </c>
      <c r="C203" s="1335">
        <v>0</v>
      </c>
      <c r="D203" s="1336">
        <v>0</v>
      </c>
      <c r="E203" s="1336">
        <v>0</v>
      </c>
      <c r="F203" s="1336">
        <v>0</v>
      </c>
      <c r="G203" s="1337">
        <v>0</v>
      </c>
    </row>
    <row r="204" spans="2:7" x14ac:dyDescent="0.35">
      <c r="B204" s="1144" t="s">
        <v>2176</v>
      </c>
      <c r="C204" s="1338">
        <v>0</v>
      </c>
      <c r="D204" s="1339">
        <v>0</v>
      </c>
      <c r="E204" s="1339">
        <v>0</v>
      </c>
      <c r="F204" s="1339">
        <v>0</v>
      </c>
      <c r="G204" s="1340">
        <v>0</v>
      </c>
    </row>
    <row r="205" spans="2:7" x14ac:dyDescent="0.35">
      <c r="B205" s="1146" t="s">
        <v>2177</v>
      </c>
      <c r="C205" s="1335">
        <v>0</v>
      </c>
      <c r="D205" s="1336">
        <v>0</v>
      </c>
      <c r="E205" s="1336">
        <v>0</v>
      </c>
      <c r="F205" s="1336">
        <v>0</v>
      </c>
      <c r="G205" s="1337">
        <v>0</v>
      </c>
    </row>
    <row r="206" spans="2:7" x14ac:dyDescent="0.35">
      <c r="B206" s="1144" t="s">
        <v>2027</v>
      </c>
      <c r="C206" s="1338">
        <v>0</v>
      </c>
      <c r="D206" s="1339">
        <v>0</v>
      </c>
      <c r="E206" s="1339">
        <v>0</v>
      </c>
      <c r="F206" s="1339">
        <v>0</v>
      </c>
      <c r="G206" s="1340">
        <v>0</v>
      </c>
    </row>
    <row r="207" spans="2:7" x14ac:dyDescent="0.35">
      <c r="B207" s="1146" t="s">
        <v>536</v>
      </c>
      <c r="C207" s="1335">
        <v>1</v>
      </c>
      <c r="D207" s="1336">
        <v>0</v>
      </c>
      <c r="E207" s="1336">
        <v>0</v>
      </c>
      <c r="F207" s="1336">
        <v>0</v>
      </c>
      <c r="G207" s="1337">
        <v>0</v>
      </c>
    </row>
    <row r="208" spans="2:7" x14ac:dyDescent="0.35">
      <c r="B208" s="981" t="s">
        <v>2359</v>
      </c>
    </row>
    <row r="209" spans="1:26" ht="18.5" x14ac:dyDescent="0.45">
      <c r="B209" s="748"/>
      <c r="F209" s="779"/>
      <c r="G209" s="779"/>
      <c r="H209" s="779"/>
      <c r="I209" s="779"/>
      <c r="J209" s="779"/>
      <c r="K209" s="779"/>
      <c r="L209" s="779"/>
      <c r="M209" s="779"/>
      <c r="N209" s="779"/>
      <c r="O209" s="779"/>
      <c r="P209" s="779"/>
      <c r="Q209" s="779"/>
      <c r="R209" s="779"/>
      <c r="S209" s="779"/>
      <c r="T209" s="779"/>
      <c r="U209" s="779"/>
      <c r="V209" s="779"/>
      <c r="W209" s="779"/>
      <c r="X209" s="779"/>
      <c r="Y209" s="779"/>
      <c r="Z209" s="779"/>
    </row>
    <row r="210" spans="1:26" ht="34.5" customHeight="1" x14ac:dyDescent="0.35">
      <c r="B210" s="1003"/>
      <c r="D210" s="3043" t="s">
        <v>2361</v>
      </c>
      <c r="E210" s="3044"/>
      <c r="F210" s="753"/>
      <c r="G210" s="753"/>
      <c r="H210" s="753"/>
      <c r="I210" s="753"/>
      <c r="J210" s="876"/>
      <c r="K210" s="876"/>
      <c r="L210" s="753"/>
      <c r="M210" s="753"/>
      <c r="N210" s="753"/>
      <c r="O210" s="876"/>
      <c r="P210" s="876"/>
      <c r="Q210" s="876"/>
      <c r="R210" s="753"/>
      <c r="S210" s="753"/>
      <c r="T210" s="753"/>
      <c r="U210" s="753"/>
      <c r="V210" s="753"/>
    </row>
    <row r="211" spans="1:26" ht="29" x14ac:dyDescent="0.35">
      <c r="B211" s="1237" t="s">
        <v>2292</v>
      </c>
      <c r="C211" s="904" t="s">
        <v>2362</v>
      </c>
      <c r="D211" s="864" t="s">
        <v>2363</v>
      </c>
      <c r="E211" s="867" t="s">
        <v>2385</v>
      </c>
      <c r="F211" s="754"/>
      <c r="G211" s="754"/>
      <c r="H211" s="753"/>
      <c r="I211" s="753"/>
      <c r="J211" s="876"/>
      <c r="K211" s="876"/>
      <c r="L211" s="753"/>
      <c r="M211" s="753"/>
      <c r="N211" s="753"/>
      <c r="O211" s="876"/>
      <c r="P211" s="876"/>
      <c r="Q211" s="876"/>
      <c r="R211" s="753"/>
      <c r="S211" s="753"/>
      <c r="T211" s="753"/>
      <c r="U211" s="753"/>
      <c r="V211" s="753"/>
    </row>
    <row r="212" spans="1:26" x14ac:dyDescent="0.35">
      <c r="B212" s="1238" t="s">
        <v>2296</v>
      </c>
      <c r="C212" s="986" t="s">
        <v>2297</v>
      </c>
      <c r="D212" s="1239">
        <v>230</v>
      </c>
      <c r="E212" s="1341">
        <v>0.94</v>
      </c>
      <c r="F212" s="984"/>
      <c r="G212" s="984"/>
      <c r="H212" s="880"/>
      <c r="I212" s="769"/>
      <c r="J212" s="769"/>
      <c r="K212" s="769"/>
      <c r="L212" s="770"/>
      <c r="M212" s="759"/>
      <c r="N212" s="759"/>
      <c r="O212" s="759"/>
      <c r="P212" s="759"/>
      <c r="Q212" s="759"/>
      <c r="R212" s="760"/>
      <c r="S212" s="761"/>
      <c r="T212" s="762"/>
      <c r="U212" s="763"/>
      <c r="V212" s="764"/>
    </row>
    <row r="213" spans="1:26" x14ac:dyDescent="0.35">
      <c r="B213" s="1241" t="s">
        <v>2296</v>
      </c>
      <c r="C213" s="1139" t="s">
        <v>2298</v>
      </c>
      <c r="D213" s="1242">
        <v>399</v>
      </c>
      <c r="E213" s="1342">
        <v>0.95</v>
      </c>
      <c r="F213" s="759"/>
      <c r="G213" s="759"/>
      <c r="H213" s="880"/>
      <c r="I213" s="769"/>
      <c r="J213" s="769"/>
      <c r="K213" s="769"/>
      <c r="L213" s="770"/>
      <c r="M213" s="759"/>
      <c r="N213" s="759"/>
      <c r="O213" s="759"/>
      <c r="P213" s="759"/>
      <c r="Q213" s="759"/>
      <c r="R213" s="760"/>
      <c r="S213" s="761"/>
      <c r="T213" s="762"/>
      <c r="U213" s="763"/>
      <c r="V213" s="764"/>
    </row>
    <row r="214" spans="1:26" x14ac:dyDescent="0.35">
      <c r="B214" s="1244" t="s">
        <v>2296</v>
      </c>
      <c r="C214" s="1142" t="s">
        <v>2299</v>
      </c>
      <c r="D214" s="1245">
        <v>699.8</v>
      </c>
      <c r="E214" s="1343">
        <v>0.95599999999999996</v>
      </c>
      <c r="F214" s="759"/>
      <c r="G214" s="759"/>
      <c r="H214" s="880"/>
      <c r="I214" s="769"/>
      <c r="J214" s="769"/>
      <c r="K214" s="769"/>
      <c r="L214" s="770"/>
      <c r="M214" s="759"/>
      <c r="N214" s="759"/>
      <c r="O214" s="759"/>
      <c r="P214" s="759"/>
      <c r="Q214" s="759"/>
      <c r="R214" s="760"/>
      <c r="S214" s="761"/>
      <c r="T214" s="762"/>
      <c r="U214" s="763"/>
      <c r="V214" s="764"/>
    </row>
    <row r="215" spans="1:26" x14ac:dyDescent="0.35">
      <c r="B215" s="1241" t="s">
        <v>2296</v>
      </c>
      <c r="C215" s="1139" t="s">
        <v>2300</v>
      </c>
      <c r="D215" s="1242">
        <v>1142.5999999999999</v>
      </c>
      <c r="E215" s="1342">
        <v>0.95399999999999996</v>
      </c>
      <c r="F215" s="759"/>
      <c r="G215" s="759"/>
      <c r="H215" s="880"/>
      <c r="I215" s="769"/>
      <c r="J215" s="769"/>
      <c r="K215" s="769"/>
      <c r="L215" s="770"/>
      <c r="M215" s="759"/>
      <c r="N215" s="759"/>
      <c r="O215" s="759"/>
      <c r="P215" s="759"/>
      <c r="Q215" s="759"/>
      <c r="R215" s="760"/>
      <c r="S215" s="761"/>
      <c r="T215" s="762"/>
      <c r="U215" s="763"/>
      <c r="V215" s="764"/>
    </row>
    <row r="216" spans="1:26" x14ac:dyDescent="0.35">
      <c r="B216" s="1247" t="s">
        <v>2296</v>
      </c>
      <c r="C216" s="1145" t="s">
        <v>2301</v>
      </c>
      <c r="D216" s="1248">
        <v>1779.2528</v>
      </c>
      <c r="E216" s="1344">
        <v>0.94</v>
      </c>
      <c r="F216" s="759"/>
      <c r="G216" s="759"/>
      <c r="H216" s="880"/>
      <c r="I216" s="769"/>
      <c r="J216" s="769"/>
      <c r="K216" s="769"/>
      <c r="L216" s="770"/>
      <c r="M216" s="759"/>
      <c r="N216" s="759"/>
      <c r="O216" s="759"/>
      <c r="P216" s="759"/>
      <c r="Q216" s="759"/>
      <c r="R216" s="760"/>
      <c r="S216" s="761"/>
      <c r="T216" s="762"/>
      <c r="U216" s="763"/>
      <c r="V216" s="764"/>
    </row>
    <row r="217" spans="1:26" x14ac:dyDescent="0.35">
      <c r="B217" s="1250" t="s">
        <v>2302</v>
      </c>
      <c r="C217" s="1147" t="s">
        <v>2297</v>
      </c>
      <c r="D217" s="1251">
        <v>264.5</v>
      </c>
      <c r="E217" s="1345">
        <v>0.94</v>
      </c>
      <c r="F217" s="759"/>
      <c r="G217" s="759"/>
      <c r="H217" s="880"/>
      <c r="I217" s="769"/>
      <c r="J217" s="769"/>
      <c r="K217" s="769"/>
      <c r="L217" s="770"/>
      <c r="M217" s="759"/>
      <c r="N217" s="759"/>
      <c r="O217" s="759"/>
      <c r="P217" s="759"/>
      <c r="Q217" s="759"/>
      <c r="R217" s="760"/>
      <c r="S217" s="761"/>
      <c r="T217" s="762"/>
      <c r="U217" s="763"/>
      <c r="V217" s="764"/>
    </row>
    <row r="218" spans="1:26" x14ac:dyDescent="0.35">
      <c r="B218" s="1247" t="s">
        <v>2302</v>
      </c>
      <c r="C218" s="1145" t="s">
        <v>2298</v>
      </c>
      <c r="D218" s="1248">
        <v>322.962580705883</v>
      </c>
      <c r="E218" s="1344">
        <v>0.94</v>
      </c>
      <c r="F218" s="759"/>
      <c r="G218" s="759"/>
      <c r="H218" s="880"/>
      <c r="I218" s="769"/>
      <c r="J218" s="769"/>
      <c r="K218" s="769"/>
      <c r="L218" s="770"/>
      <c r="M218" s="759"/>
      <c r="N218" s="759"/>
      <c r="O218" s="759"/>
      <c r="P218" s="759"/>
      <c r="Q218" s="759"/>
      <c r="R218" s="760"/>
      <c r="S218" s="761"/>
      <c r="T218" s="762"/>
      <c r="U218" s="763"/>
      <c r="V218" s="764"/>
    </row>
    <row r="219" spans="1:26" x14ac:dyDescent="0.35">
      <c r="B219" s="1253" t="s">
        <v>2302</v>
      </c>
      <c r="C219" s="1149" t="s">
        <v>2299</v>
      </c>
      <c r="D219" s="1254">
        <v>500</v>
      </c>
      <c r="E219" s="1346">
        <v>0.94</v>
      </c>
      <c r="F219" s="759"/>
      <c r="G219" s="759"/>
      <c r="H219" s="880"/>
      <c r="I219" s="769"/>
      <c r="J219" s="769"/>
      <c r="K219" s="769"/>
      <c r="L219" s="770"/>
      <c r="M219" s="759"/>
      <c r="N219" s="759"/>
      <c r="O219" s="759"/>
      <c r="P219" s="759"/>
      <c r="Q219" s="759"/>
      <c r="R219" s="760"/>
      <c r="S219" s="761"/>
      <c r="T219" s="762"/>
      <c r="U219" s="763"/>
      <c r="V219" s="764"/>
    </row>
    <row r="220" spans="1:26" x14ac:dyDescent="0.35">
      <c r="B220" s="1256" t="s">
        <v>2302</v>
      </c>
      <c r="C220" s="1151" t="s">
        <v>2300</v>
      </c>
      <c r="D220" s="1257">
        <v>1500</v>
      </c>
      <c r="E220" s="1347">
        <v>0.96</v>
      </c>
      <c r="F220" s="759"/>
      <c r="G220" s="759"/>
      <c r="H220" s="880"/>
      <c r="I220" s="769"/>
      <c r="J220" s="769"/>
      <c r="K220" s="769"/>
      <c r="L220" s="770"/>
      <c r="M220" s="759"/>
      <c r="N220" s="759"/>
      <c r="O220" s="759"/>
      <c r="P220" s="759"/>
      <c r="Q220" s="759"/>
      <c r="R220" s="760"/>
      <c r="S220" s="761"/>
      <c r="T220" s="762"/>
      <c r="U220" s="763"/>
      <c r="V220" s="764"/>
    </row>
    <row r="221" spans="1:26" x14ac:dyDescent="0.35">
      <c r="B221" s="1259" t="s">
        <v>2302</v>
      </c>
      <c r="C221" s="1152" t="s">
        <v>2301</v>
      </c>
      <c r="D221" s="1260">
        <v>1779.2528</v>
      </c>
      <c r="E221" s="1348">
        <v>0.94</v>
      </c>
      <c r="F221" s="759"/>
      <c r="G221" s="759"/>
      <c r="H221" s="880"/>
      <c r="I221" s="769"/>
      <c r="J221" s="769"/>
      <c r="K221" s="769"/>
      <c r="L221" s="770"/>
      <c r="M221" s="759"/>
      <c r="N221" s="759"/>
      <c r="O221" s="759"/>
      <c r="P221" s="759"/>
      <c r="Q221" s="759"/>
      <c r="R221" s="760"/>
      <c r="S221" s="761"/>
      <c r="T221" s="762"/>
      <c r="U221" s="763"/>
      <c r="V221" s="764"/>
    </row>
    <row r="223" spans="1:26" ht="21" x14ac:dyDescent="0.5">
      <c r="A223" s="704" t="s">
        <v>2036</v>
      </c>
    </row>
    <row r="225" spans="2:18" ht="26" x14ac:dyDescent="0.6">
      <c r="B225" s="3032"/>
      <c r="C225" s="3045"/>
      <c r="D225" s="3052" t="s">
        <v>2038</v>
      </c>
      <c r="E225" s="3053"/>
      <c r="F225" s="3053"/>
      <c r="G225" s="3054"/>
      <c r="H225" s="3052" t="s">
        <v>2039</v>
      </c>
      <c r="I225" s="3054"/>
      <c r="J225" s="3049" t="s">
        <v>2040</v>
      </c>
      <c r="K225" s="3050"/>
      <c r="L225" s="779"/>
      <c r="M225" s="779"/>
      <c r="N225" s="779"/>
      <c r="O225" s="779"/>
      <c r="P225" s="779"/>
      <c r="Q225" s="779"/>
      <c r="R225" s="779"/>
    </row>
    <row r="226" spans="2:18" ht="58" x14ac:dyDescent="0.35">
      <c r="B226" s="863" t="s">
        <v>2292</v>
      </c>
      <c r="C226" s="882" t="s">
        <v>2305</v>
      </c>
      <c r="D226" s="905" t="s">
        <v>1947</v>
      </c>
      <c r="E226" s="907" t="s">
        <v>2184</v>
      </c>
      <c r="F226" s="907" t="s">
        <v>2363</v>
      </c>
      <c r="G226" s="904" t="s">
        <v>2385</v>
      </c>
      <c r="H226" s="1264" t="s">
        <v>2376</v>
      </c>
      <c r="I226" s="903" t="s">
        <v>2369</v>
      </c>
      <c r="J226" s="864" t="s">
        <v>2370</v>
      </c>
      <c r="K226" s="867" t="s">
        <v>2371</v>
      </c>
      <c r="L226" s="712"/>
      <c r="M226" s="1349" t="s">
        <v>2244</v>
      </c>
      <c r="N226" s="1350" t="s">
        <v>2108</v>
      </c>
      <c r="O226" s="712"/>
      <c r="P226" s="712"/>
      <c r="Q226" s="712"/>
    </row>
    <row r="227" spans="2:18" x14ac:dyDescent="0.35">
      <c r="B227" s="1136" t="s">
        <v>2296</v>
      </c>
      <c r="C227" s="1265" t="s">
        <v>2297</v>
      </c>
      <c r="D227" s="1266">
        <f>SUM(C130:C166)</f>
        <v>13.5</v>
      </c>
      <c r="E227" s="1351">
        <f>C112</f>
        <v>1500</v>
      </c>
      <c r="F227" s="1352">
        <f t="shared" ref="F227:G236" si="1">D212</f>
        <v>230</v>
      </c>
      <c r="G227" s="1353">
        <f t="shared" si="1"/>
        <v>0.94</v>
      </c>
      <c r="H227" s="1354">
        <f t="shared" ref="H227:H236" si="2">D50</f>
        <v>0.82</v>
      </c>
      <c r="I227" s="2736">
        <f>ROUND(IFERROR(SUMPRODUCT(C$130:C$166,$J$121:$J$157)/$D227,0),2)</f>
        <v>1561.58</v>
      </c>
      <c r="J227" s="1355">
        <f t="shared" ref="J227:J236" si="3">IFERROR(D227*I227*F227*1000*(G227-H227)/H227/100000,0)</f>
        <v>7095.6671707317064</v>
      </c>
      <c r="K227" s="1356">
        <f t="shared" ref="K227:K236" si="4">D227*E227</f>
        <v>20250</v>
      </c>
      <c r="L227" s="1271"/>
      <c r="M227" s="1357">
        <f t="shared" ref="M227:M236" si="5">IFERROR(VLOOKUP(G227,B$104:C$107,2,TRUE),0)</f>
        <v>2400</v>
      </c>
      <c r="N227" s="1358">
        <f t="shared" ref="N227:N236" si="6">M227*D227</f>
        <v>32400</v>
      </c>
      <c r="O227" s="1272"/>
      <c r="P227" s="796"/>
      <c r="Q227" s="796"/>
    </row>
    <row r="228" spans="2:18" x14ac:dyDescent="0.35">
      <c r="B228" s="1138" t="s">
        <v>2296</v>
      </c>
      <c r="C228" s="1273" t="s">
        <v>2298</v>
      </c>
      <c r="D228" s="1274">
        <f>SUM(D130:D166)</f>
        <v>2.5</v>
      </c>
      <c r="E228" s="1359">
        <f>C113</f>
        <v>2500</v>
      </c>
      <c r="F228" s="1360">
        <f t="shared" si="1"/>
        <v>399</v>
      </c>
      <c r="G228" s="1361">
        <f t="shared" si="1"/>
        <v>0.95</v>
      </c>
      <c r="H228" s="1362">
        <f t="shared" si="2"/>
        <v>0.8</v>
      </c>
      <c r="I228" s="2737">
        <f>IFERROR(SUMPRODUCT(D$130:D$166,$J$121:$J$157)/$D228,0)</f>
        <v>1408.3</v>
      </c>
      <c r="J228" s="1363">
        <f t="shared" si="3"/>
        <v>2633.9610937499983</v>
      </c>
      <c r="K228" s="1364">
        <f t="shared" si="4"/>
        <v>6250</v>
      </c>
      <c r="L228" s="1271"/>
      <c r="M228" s="1365">
        <f t="shared" si="5"/>
        <v>3370</v>
      </c>
      <c r="N228" s="1366">
        <f t="shared" si="6"/>
        <v>8425</v>
      </c>
      <c r="O228" s="1272"/>
      <c r="P228" s="796"/>
      <c r="Q228" s="796"/>
    </row>
    <row r="229" spans="2:18" x14ac:dyDescent="0.35">
      <c r="B229" s="1141" t="s">
        <v>2296</v>
      </c>
      <c r="C229" s="1279" t="s">
        <v>2299</v>
      </c>
      <c r="D229" s="1280">
        <f>SUM(E130:E166)</f>
        <v>4.5</v>
      </c>
      <c r="E229" s="1367">
        <f>C114</f>
        <v>3500</v>
      </c>
      <c r="F229" s="1368">
        <f t="shared" si="1"/>
        <v>699.8</v>
      </c>
      <c r="G229" s="1369">
        <f t="shared" si="1"/>
        <v>0.95599999999999996</v>
      </c>
      <c r="H229" s="1370">
        <f t="shared" si="2"/>
        <v>0.8</v>
      </c>
      <c r="I229" s="2738">
        <f>ROUND(IFERROR(SUMPRODUCT(E$130:E$166,$J$121:$J$157)/$D229,0),0)</f>
        <v>1416</v>
      </c>
      <c r="J229" s="1355">
        <f t="shared" si="3"/>
        <v>8695.2949199999948</v>
      </c>
      <c r="K229" s="1371">
        <f t="shared" si="4"/>
        <v>15750</v>
      </c>
      <c r="L229" s="1271"/>
      <c r="M229" s="1357">
        <f t="shared" si="5"/>
        <v>3370</v>
      </c>
      <c r="N229" s="1358">
        <f t="shared" si="6"/>
        <v>15165</v>
      </c>
      <c r="O229" s="1272"/>
      <c r="P229" s="796"/>
      <c r="Q229" s="796"/>
    </row>
    <row r="230" spans="2:18" x14ac:dyDescent="0.35">
      <c r="B230" s="1138" t="s">
        <v>2296</v>
      </c>
      <c r="C230" s="1273" t="s">
        <v>2300</v>
      </c>
      <c r="D230" s="1274">
        <f>SUM(F130:F166)</f>
        <v>2.5</v>
      </c>
      <c r="E230" s="1359">
        <f>C115</f>
        <v>4000</v>
      </c>
      <c r="F230" s="1360">
        <f t="shared" si="1"/>
        <v>1142.5999999999999</v>
      </c>
      <c r="G230" s="1361">
        <f t="shared" si="1"/>
        <v>0.95399999999999996</v>
      </c>
      <c r="H230" s="1362">
        <f t="shared" si="2"/>
        <v>0.8</v>
      </c>
      <c r="I230" s="2737">
        <f>IFERROR(SUMPRODUCT(F$130:F$166,$J$121:$J$157)/$D230,0)</f>
        <v>1337.23</v>
      </c>
      <c r="J230" s="1363">
        <f t="shared" si="3"/>
        <v>7353.1101778749944</v>
      </c>
      <c r="K230" s="1372">
        <f t="shared" si="4"/>
        <v>10000</v>
      </c>
      <c r="L230" s="1271"/>
      <c r="M230" s="1365">
        <f t="shared" si="5"/>
        <v>3370</v>
      </c>
      <c r="N230" s="1366">
        <f t="shared" si="6"/>
        <v>8425</v>
      </c>
      <c r="O230" s="1272"/>
      <c r="P230" s="796"/>
      <c r="Q230" s="796"/>
    </row>
    <row r="231" spans="2:18" x14ac:dyDescent="0.35">
      <c r="B231" s="1144" t="s">
        <v>2296</v>
      </c>
      <c r="C231" s="1285" t="s">
        <v>2301</v>
      </c>
      <c r="D231" s="1280">
        <f>SUM(G130:G166)</f>
        <v>0</v>
      </c>
      <c r="E231" s="1367">
        <f>C116</f>
        <v>5000</v>
      </c>
      <c r="F231" s="1368">
        <f t="shared" si="1"/>
        <v>1779.2528</v>
      </c>
      <c r="G231" s="1369">
        <f t="shared" si="1"/>
        <v>0.94</v>
      </c>
      <c r="H231" s="1370">
        <f t="shared" si="2"/>
        <v>0.8</v>
      </c>
      <c r="I231" s="2738">
        <f>IFERROR(SUMPRODUCT(G$130:G$166,$J$121:$J$157)/$D231,0)</f>
        <v>0</v>
      </c>
      <c r="J231" s="1355">
        <f t="shared" si="3"/>
        <v>0</v>
      </c>
      <c r="K231" s="1371">
        <f t="shared" si="4"/>
        <v>0</v>
      </c>
      <c r="L231" s="1271"/>
      <c r="M231" s="1357">
        <f t="shared" si="5"/>
        <v>2400</v>
      </c>
      <c r="N231" s="1358">
        <f t="shared" si="6"/>
        <v>0</v>
      </c>
      <c r="O231" s="1272"/>
      <c r="P231" s="796"/>
      <c r="Q231" s="796"/>
    </row>
    <row r="232" spans="2:18" x14ac:dyDescent="0.35">
      <c r="B232" s="1146" t="s">
        <v>2302</v>
      </c>
      <c r="C232" s="1286" t="s">
        <v>2297</v>
      </c>
      <c r="D232" s="1274">
        <f>SUM(C171:C207)</f>
        <v>1.5</v>
      </c>
      <c r="E232" s="1359">
        <f>C112</f>
        <v>1500</v>
      </c>
      <c r="F232" s="1360">
        <f t="shared" si="1"/>
        <v>264.5</v>
      </c>
      <c r="G232" s="1361">
        <f t="shared" si="1"/>
        <v>0.94</v>
      </c>
      <c r="H232" s="1362">
        <f t="shared" si="2"/>
        <v>0.8</v>
      </c>
      <c r="I232" s="2737">
        <f>IFERROR(SUMPRODUCT(C$171:C$207,$J$121:$J$157)/$D232,0)</f>
        <v>1456.9833333333333</v>
      </c>
      <c r="J232" s="1363">
        <f t="shared" si="3"/>
        <v>1011.6017406249993</v>
      </c>
      <c r="K232" s="1372">
        <f t="shared" si="4"/>
        <v>2250</v>
      </c>
      <c r="L232" s="1271"/>
      <c r="M232" s="1365">
        <f t="shared" si="5"/>
        <v>2400</v>
      </c>
      <c r="N232" s="1366">
        <f t="shared" si="6"/>
        <v>3600</v>
      </c>
      <c r="O232" s="1272"/>
      <c r="P232" s="796"/>
      <c r="Q232" s="796"/>
    </row>
    <row r="233" spans="2:18" x14ac:dyDescent="0.35">
      <c r="B233" s="1144" t="s">
        <v>2302</v>
      </c>
      <c r="C233" s="1285" t="s">
        <v>2298</v>
      </c>
      <c r="D233" s="1287">
        <f>SUM(D171:D207)</f>
        <v>0</v>
      </c>
      <c r="E233" s="1373">
        <f>C113</f>
        <v>2500</v>
      </c>
      <c r="F233" s="1374">
        <f t="shared" si="1"/>
        <v>322.962580705883</v>
      </c>
      <c r="G233" s="1375">
        <f t="shared" si="1"/>
        <v>0.94</v>
      </c>
      <c r="H233" s="1376">
        <f t="shared" si="2"/>
        <v>0.79</v>
      </c>
      <c r="I233" s="2739">
        <f>IFERROR(SUMPRODUCT(D$171:D$207,$J$121:$J$157)/$D233,0)</f>
        <v>0</v>
      </c>
      <c r="J233" s="1377">
        <f t="shared" si="3"/>
        <v>0</v>
      </c>
      <c r="K233" s="1378">
        <f t="shared" si="4"/>
        <v>0</v>
      </c>
      <c r="L233" s="1271"/>
      <c r="M233" s="1357">
        <f t="shared" si="5"/>
        <v>2400</v>
      </c>
      <c r="N233" s="1358">
        <f t="shared" si="6"/>
        <v>0</v>
      </c>
      <c r="O233" s="1272"/>
      <c r="P233" s="796"/>
      <c r="Q233" s="796"/>
    </row>
    <row r="234" spans="2:18" x14ac:dyDescent="0.35">
      <c r="B234" s="1148" t="s">
        <v>2302</v>
      </c>
      <c r="C234" s="1292" t="s">
        <v>2299</v>
      </c>
      <c r="D234" s="1293">
        <f>SUM(E171:E207)</f>
        <v>0.5</v>
      </c>
      <c r="E234" s="1379">
        <f>C114</f>
        <v>3500</v>
      </c>
      <c r="F234" s="1380">
        <f t="shared" si="1"/>
        <v>500</v>
      </c>
      <c r="G234" s="1381">
        <f t="shared" si="1"/>
        <v>0.94</v>
      </c>
      <c r="H234" s="1382">
        <f t="shared" si="2"/>
        <v>0.79</v>
      </c>
      <c r="I234" s="2740">
        <f>IFERROR(SUMPRODUCT(E$171:E$207,$J$121:$J$157)/$D234,0)</f>
        <v>2334.0500000000002</v>
      </c>
      <c r="J234" s="1383">
        <f t="shared" si="3"/>
        <v>1107.9351265822779</v>
      </c>
      <c r="K234" s="1364">
        <f t="shared" si="4"/>
        <v>1750</v>
      </c>
      <c r="L234" s="1271"/>
      <c r="M234" s="1365">
        <f t="shared" si="5"/>
        <v>2400</v>
      </c>
      <c r="N234" s="1366">
        <f t="shared" si="6"/>
        <v>1200</v>
      </c>
      <c r="O234" s="1272"/>
      <c r="P234" s="796"/>
      <c r="Q234" s="796"/>
    </row>
    <row r="235" spans="2:18" x14ac:dyDescent="0.35">
      <c r="B235" s="1150" t="s">
        <v>2302</v>
      </c>
      <c r="C235" s="1298" t="s">
        <v>2300</v>
      </c>
      <c r="D235" s="1287">
        <f>SUM(F171:F207)</f>
        <v>0.5</v>
      </c>
      <c r="E235" s="1373">
        <f>C115</f>
        <v>4000</v>
      </c>
      <c r="F235" s="1374">
        <f t="shared" si="1"/>
        <v>1500</v>
      </c>
      <c r="G235" s="1375">
        <f t="shared" si="1"/>
        <v>0.96</v>
      </c>
      <c r="H235" s="1376">
        <f t="shared" si="2"/>
        <v>0.79</v>
      </c>
      <c r="I235" s="2739">
        <f>IFERROR(SUMPRODUCT(F$171:F$207,$J$121:$J$157)/$D235,0)</f>
        <v>1379.9499999999998</v>
      </c>
      <c r="J235" s="1377">
        <f t="shared" si="3"/>
        <v>2227.1344936708851</v>
      </c>
      <c r="K235" s="1378">
        <f t="shared" si="4"/>
        <v>2000</v>
      </c>
      <c r="L235" s="1271"/>
      <c r="M235" s="1357">
        <f t="shared" si="5"/>
        <v>4340</v>
      </c>
      <c r="N235" s="1358">
        <f t="shared" si="6"/>
        <v>2170</v>
      </c>
      <c r="O235" s="1272"/>
      <c r="P235" s="796"/>
      <c r="Q235" s="796"/>
    </row>
    <row r="236" spans="2:18" x14ac:dyDescent="0.35">
      <c r="B236" s="886" t="s">
        <v>2302</v>
      </c>
      <c r="C236" s="1299" t="s">
        <v>2301</v>
      </c>
      <c r="D236" s="1300">
        <f>SUM(G171:G207)</f>
        <v>0</v>
      </c>
      <c r="E236" s="1384">
        <f>C116</f>
        <v>5000</v>
      </c>
      <c r="F236" s="1385">
        <f t="shared" si="1"/>
        <v>1779.2528</v>
      </c>
      <c r="G236" s="1386">
        <f t="shared" si="1"/>
        <v>0.94</v>
      </c>
      <c r="H236" s="1387">
        <f t="shared" si="2"/>
        <v>0.79</v>
      </c>
      <c r="I236" s="2741">
        <f>IFERROR(SUMPRODUCT(G$171:G$207,$J$121:$J$157)/$D236,0)</f>
        <v>0</v>
      </c>
      <c r="J236" s="1388">
        <f t="shared" si="3"/>
        <v>0</v>
      </c>
      <c r="K236" s="1389">
        <f t="shared" si="4"/>
        <v>0</v>
      </c>
      <c r="L236" s="1271"/>
      <c r="M236" s="1390">
        <f t="shared" si="5"/>
        <v>2400</v>
      </c>
      <c r="N236" s="1391">
        <f t="shared" si="6"/>
        <v>0</v>
      </c>
      <c r="O236" s="1272"/>
      <c r="P236" s="796"/>
      <c r="Q236" s="796"/>
    </row>
    <row r="237" spans="2:18" x14ac:dyDescent="0.35">
      <c r="B237" s="698"/>
      <c r="C237" s="698"/>
      <c r="J237" s="853"/>
    </row>
  </sheetData>
  <mergeCells count="12">
    <mergeCell ref="J225:K225"/>
    <mergeCell ref="B41:C41"/>
    <mergeCell ref="B48:D48"/>
    <mergeCell ref="C61:G61"/>
    <mergeCell ref="J62:R62"/>
    <mergeCell ref="D111:E111"/>
    <mergeCell ref="C128:G128"/>
    <mergeCell ref="C169:G169"/>
    <mergeCell ref="D210:E210"/>
    <mergeCell ref="B225:C225"/>
    <mergeCell ref="D225:G225"/>
    <mergeCell ref="H225:I225"/>
  </mergeCells>
  <conditionalFormatting sqref="C126">
    <cfRule type="cellIs" dxfId="290" priority="15" operator="notEqual">
      <formula>1</formula>
    </cfRule>
  </conditionalFormatting>
  <conditionalFormatting sqref="I162:I166 I160">
    <cfRule type="cellIs" dxfId="289" priority="14" operator="equal">
      <formula>TRUE</formula>
    </cfRule>
  </conditionalFormatting>
  <conditionalFormatting sqref="J121:J122 J124:J125 J160 J152:J157 J127:J150">
    <cfRule type="expression" dxfId="288" priority="16">
      <formula>J121&lt;&gt;#REF!</formula>
    </cfRule>
  </conditionalFormatting>
  <conditionalFormatting sqref="B63:G64 B66:G67 B69:G92 B94:G99 I160 I152:I157 I127:I150">
    <cfRule type="expression" dxfId="287" priority="8">
      <formula>B63&lt;&gt;#REF!</formula>
    </cfRule>
  </conditionalFormatting>
  <conditionalFormatting sqref="B65:G65">
    <cfRule type="expression" dxfId="286" priority="7">
      <formula>B65&lt;&gt;#REF!</formula>
    </cfRule>
  </conditionalFormatting>
  <conditionalFormatting sqref="B68:G68">
    <cfRule type="expression" dxfId="285" priority="6">
      <formula>B68&lt;&gt;#REF!</formula>
    </cfRule>
  </conditionalFormatting>
  <conditionalFormatting sqref="B93:G93">
    <cfRule type="expression" dxfId="284" priority="5">
      <formula>B93&lt;&gt;#REF!</formula>
    </cfRule>
  </conditionalFormatting>
  <conditionalFormatting sqref="I121:I122 I124:I125">
    <cfRule type="expression" dxfId="283" priority="4">
      <formula>I121&lt;&gt;#REF!</formula>
    </cfRule>
  </conditionalFormatting>
  <conditionalFormatting sqref="I123">
    <cfRule type="expression" dxfId="282" priority="3">
      <formula>I123&lt;&gt;#REF!</formula>
    </cfRule>
  </conditionalFormatting>
  <conditionalFormatting sqref="I126">
    <cfRule type="expression" dxfId="281" priority="2">
      <formula>I126&lt;&gt;#REF!</formula>
    </cfRule>
  </conditionalFormatting>
  <conditionalFormatting sqref="I151">
    <cfRule type="expression" dxfId="280" priority="1">
      <formula>I151&lt;&gt;#REF!</formula>
    </cfRule>
  </conditionalFormatting>
  <pageMargins left="0.7" right="0.7" top="0.75" bottom="0.75" header="0.3" footer="0.3"/>
  <pageSetup scale="19" orientation="portrait" r:id="rId1"/>
  <headerFooter>
    <oddHeader>&amp;LAppendix G (Rev.)</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Z241"/>
  <sheetViews>
    <sheetView zoomScale="70" zoomScaleNormal="70" workbookViewId="0"/>
  </sheetViews>
  <sheetFormatPr defaultColWidth="9.1796875" defaultRowHeight="14.5" x14ac:dyDescent="0.35"/>
  <cols>
    <col min="1" max="1" width="9.1796875" style="675"/>
    <col min="2" max="2" width="31.1796875" style="675" customWidth="1"/>
    <col min="3" max="9" width="18.1796875" style="675" customWidth="1"/>
    <col min="10" max="12" width="11" style="675" customWidth="1"/>
    <col min="13" max="13" width="12.26953125" style="675" customWidth="1"/>
    <col min="14" max="14" width="13.26953125" style="675" customWidth="1"/>
    <col min="15" max="15" width="13.7265625" style="675" customWidth="1"/>
    <col min="16" max="16" width="13.1796875" style="675" customWidth="1"/>
    <col min="17" max="18" width="11" style="675" customWidth="1"/>
    <col min="19" max="19" width="10.26953125" style="675" customWidth="1"/>
    <col min="20" max="20" width="13" style="675" customWidth="1"/>
    <col min="21" max="21" width="10.81640625" style="675" customWidth="1"/>
    <col min="22" max="22" width="10.26953125" style="675" customWidth="1"/>
    <col min="23" max="27" width="9.7265625" style="675" customWidth="1"/>
    <col min="28" max="28" width="10.7265625" style="675" customWidth="1"/>
    <col min="29" max="29" width="12.26953125" style="675" customWidth="1"/>
    <col min="30" max="30" width="9.81640625" style="675" customWidth="1"/>
    <col min="31" max="31" width="10.26953125" style="675" customWidth="1"/>
    <col min="32" max="32" width="10.1796875" style="675" customWidth="1"/>
    <col min="33" max="16384" width="9.1796875" style="675"/>
  </cols>
  <sheetData>
    <row r="1" spans="1:7" ht="21" x14ac:dyDescent="0.5">
      <c r="A1" s="674" t="s">
        <v>2374</v>
      </c>
    </row>
    <row r="3" spans="1:7" ht="21" x14ac:dyDescent="0.5">
      <c r="A3" s="704" t="s">
        <v>2375</v>
      </c>
    </row>
    <row r="5" spans="1:7" ht="15" customHeight="1" x14ac:dyDescent="0.35">
      <c r="B5" s="857" t="s">
        <v>1947</v>
      </c>
      <c r="C5" s="835">
        <f>SUM(D227:D236)</f>
        <v>16</v>
      </c>
      <c r="D5" s="680"/>
      <c r="E5" s="680"/>
      <c r="F5" s="680"/>
    </row>
    <row r="6" spans="1:7" x14ac:dyDescent="0.35">
      <c r="B6" s="859" t="s">
        <v>1950</v>
      </c>
      <c r="C6" s="842">
        <v>0</v>
      </c>
      <c r="D6" s="683"/>
      <c r="E6" s="683"/>
      <c r="F6" s="683"/>
    </row>
    <row r="7" spans="1:7" x14ac:dyDescent="0.35">
      <c r="B7" s="927" t="s">
        <v>1951</v>
      </c>
      <c r="C7" s="839">
        <v>0</v>
      </c>
      <c r="D7" s="683"/>
      <c r="E7" s="683"/>
      <c r="F7" s="683"/>
    </row>
    <row r="8" spans="1:7" x14ac:dyDescent="0.35">
      <c r="B8" s="859" t="s">
        <v>1952</v>
      </c>
      <c r="C8" s="842">
        <f>SUM(J227:J236)</f>
        <v>33283.27037586816</v>
      </c>
      <c r="D8" s="683"/>
      <c r="E8" s="683"/>
      <c r="F8" s="683"/>
    </row>
    <row r="9" spans="1:7" x14ac:dyDescent="0.35">
      <c r="B9" s="927" t="s">
        <v>1953</v>
      </c>
      <c r="C9" s="1308">
        <f>SUM(K227:K236)</f>
        <v>36549.019607843205</v>
      </c>
      <c r="D9" s="686"/>
      <c r="E9" s="686"/>
      <c r="F9" s="686"/>
    </row>
    <row r="10" spans="1:7" x14ac:dyDescent="0.35">
      <c r="B10" s="859" t="s">
        <v>2288</v>
      </c>
      <c r="C10" s="847">
        <f>C9/C8</f>
        <v>1.0981198420436129</v>
      </c>
      <c r="D10" s="690"/>
      <c r="E10" s="690"/>
      <c r="F10" s="690"/>
    </row>
    <row r="11" spans="1:7" x14ac:dyDescent="0.35">
      <c r="B11" s="927" t="s">
        <v>2108</v>
      </c>
      <c r="C11" s="1309">
        <f>SUM(N227:N236)</f>
        <v>52950</v>
      </c>
      <c r="D11" s="683"/>
      <c r="E11" s="683"/>
      <c r="F11" s="683"/>
    </row>
    <row r="12" spans="1:7" x14ac:dyDescent="0.35">
      <c r="B12" s="928" t="s">
        <v>1970</v>
      </c>
      <c r="C12" s="953">
        <v>20</v>
      </c>
      <c r="D12" s="706"/>
      <c r="E12" s="706"/>
      <c r="F12" s="706"/>
    </row>
    <row r="13" spans="1:7" x14ac:dyDescent="0.35">
      <c r="B13" s="694" t="s">
        <v>1961</v>
      </c>
      <c r="C13" s="695"/>
      <c r="D13" s="680"/>
      <c r="E13" s="696"/>
      <c r="F13" s="680"/>
      <c r="G13" s="696"/>
    </row>
    <row r="14" spans="1:7" x14ac:dyDescent="0.35">
      <c r="B14" s="834" t="s">
        <v>2063</v>
      </c>
      <c r="C14" s="852">
        <f>1-C42+C43+C44</f>
        <v>0.8</v>
      </c>
      <c r="D14" s="680"/>
      <c r="E14" s="698"/>
      <c r="F14" s="680"/>
    </row>
    <row r="15" spans="1:7" x14ac:dyDescent="0.35">
      <c r="B15" s="841" t="s">
        <v>1965</v>
      </c>
      <c r="C15" s="842">
        <v>0</v>
      </c>
      <c r="D15" s="683"/>
      <c r="E15" s="683"/>
      <c r="F15" s="683"/>
    </row>
    <row r="16" spans="1:7" x14ac:dyDescent="0.35">
      <c r="B16" s="838" t="s">
        <v>1966</v>
      </c>
      <c r="C16" s="839">
        <v>0</v>
      </c>
      <c r="D16" s="683"/>
      <c r="E16" s="683"/>
      <c r="F16" s="683"/>
    </row>
    <row r="17" spans="1:6" x14ac:dyDescent="0.35">
      <c r="B17" s="841" t="s">
        <v>1967</v>
      </c>
      <c r="C17" s="842">
        <f>C14*C8</f>
        <v>26626.616300694528</v>
      </c>
      <c r="D17" s="683"/>
      <c r="E17" s="701"/>
      <c r="F17" s="683"/>
    </row>
    <row r="18" spans="1:6" x14ac:dyDescent="0.35">
      <c r="B18" s="838" t="s">
        <v>1969</v>
      </c>
      <c r="C18" s="854">
        <f>C9/C17</f>
        <v>1.3726498025545162</v>
      </c>
      <c r="D18" s="690"/>
      <c r="E18" s="690"/>
      <c r="F18" s="690"/>
    </row>
    <row r="19" spans="1:6" x14ac:dyDescent="0.35">
      <c r="B19" s="855" t="s">
        <v>1970</v>
      </c>
      <c r="C19" s="856">
        <v>20</v>
      </c>
      <c r="D19" s="680"/>
      <c r="E19" s="680"/>
      <c r="F19" s="680"/>
    </row>
    <row r="20" spans="1:6" x14ac:dyDescent="0.35">
      <c r="B20" s="703"/>
      <c r="C20" s="703"/>
    </row>
    <row r="21" spans="1:6" ht="21" x14ac:dyDescent="0.5">
      <c r="A21" s="704" t="s">
        <v>1971</v>
      </c>
      <c r="B21" s="703"/>
      <c r="C21" s="703"/>
    </row>
    <row r="22" spans="1:6" x14ac:dyDescent="0.35">
      <c r="B22" s="703"/>
      <c r="C22" s="703"/>
    </row>
    <row r="23" spans="1:6" x14ac:dyDescent="0.35">
      <c r="B23" s="940" t="s">
        <v>2289</v>
      </c>
      <c r="C23" s="1087">
        <f>C8/C5</f>
        <v>2080.20439849176</v>
      </c>
    </row>
    <row r="24" spans="1:6" x14ac:dyDescent="0.35">
      <c r="B24" s="936" t="s">
        <v>2290</v>
      </c>
      <c r="C24" s="992">
        <f>C9/C5</f>
        <v>2284.3137254902003</v>
      </c>
    </row>
    <row r="25" spans="1:6" x14ac:dyDescent="0.35">
      <c r="B25" s="929" t="s">
        <v>2155</v>
      </c>
      <c r="C25" s="1310">
        <f>C11/C5</f>
        <v>3309.375</v>
      </c>
    </row>
    <row r="26" spans="1:6" x14ac:dyDescent="0.35">
      <c r="B26" s="703"/>
      <c r="C26" s="703"/>
    </row>
    <row r="27" spans="1:6" ht="58" x14ac:dyDescent="0.35">
      <c r="B27" s="1134" t="s">
        <v>2292</v>
      </c>
      <c r="C27" s="1135" t="s">
        <v>2293</v>
      </c>
      <c r="D27" s="998" t="s">
        <v>2294</v>
      </c>
    </row>
    <row r="28" spans="1:6" x14ac:dyDescent="0.35">
      <c r="B28" s="1136" t="s">
        <v>2296</v>
      </c>
      <c r="C28" s="986" t="s">
        <v>2297</v>
      </c>
      <c r="D28" s="1311">
        <f t="shared" ref="D28:D37" si="0">J227</f>
        <v>201.14846341463416</v>
      </c>
    </row>
    <row r="29" spans="1:6" x14ac:dyDescent="0.35">
      <c r="B29" s="1138" t="s">
        <v>2296</v>
      </c>
      <c r="C29" s="1139" t="s">
        <v>2298</v>
      </c>
      <c r="D29" s="1312">
        <f t="shared" si="0"/>
        <v>3407.2477659574447</v>
      </c>
    </row>
    <row r="30" spans="1:6" x14ac:dyDescent="0.35">
      <c r="B30" s="1141" t="s">
        <v>2296</v>
      </c>
      <c r="C30" s="1142" t="s">
        <v>2299</v>
      </c>
      <c r="D30" s="1313">
        <f t="shared" si="0"/>
        <v>13707.507449999994</v>
      </c>
    </row>
    <row r="31" spans="1:6" x14ac:dyDescent="0.35">
      <c r="B31" s="1138" t="s">
        <v>2296</v>
      </c>
      <c r="C31" s="1139" t="s">
        <v>2300</v>
      </c>
      <c r="D31" s="1312">
        <f t="shared" si="0"/>
        <v>9235.2067172340358</v>
      </c>
    </row>
    <row r="32" spans="1:6" x14ac:dyDescent="0.35">
      <c r="B32" s="1144" t="s">
        <v>2296</v>
      </c>
      <c r="C32" s="1145" t="s">
        <v>2301</v>
      </c>
      <c r="D32" s="1313">
        <f t="shared" si="0"/>
        <v>0</v>
      </c>
    </row>
    <row r="33" spans="1:4" x14ac:dyDescent="0.35">
      <c r="B33" s="1146" t="s">
        <v>2302</v>
      </c>
      <c r="C33" s="1147" t="s">
        <v>2297</v>
      </c>
      <c r="D33" s="1312">
        <f t="shared" si="0"/>
        <v>702.70334042553145</v>
      </c>
    </row>
    <row r="34" spans="1:4" x14ac:dyDescent="0.35">
      <c r="B34" s="1144" t="s">
        <v>2302</v>
      </c>
      <c r="C34" s="1145" t="s">
        <v>2298</v>
      </c>
      <c r="D34" s="1313">
        <f t="shared" si="0"/>
        <v>0</v>
      </c>
    </row>
    <row r="35" spans="1:4" x14ac:dyDescent="0.35">
      <c r="B35" s="1148" t="s">
        <v>2302</v>
      </c>
      <c r="C35" s="1149" t="s">
        <v>2299</v>
      </c>
      <c r="D35" s="1312">
        <f t="shared" si="0"/>
        <v>1129.1711553999453</v>
      </c>
    </row>
    <row r="36" spans="1:4" x14ac:dyDescent="0.35">
      <c r="B36" s="1150" t="s">
        <v>2302</v>
      </c>
      <c r="C36" s="1151" t="s">
        <v>2300</v>
      </c>
      <c r="D36" s="1313">
        <f t="shared" si="0"/>
        <v>4900.2854834365735</v>
      </c>
    </row>
    <row r="37" spans="1:4" x14ac:dyDescent="0.35">
      <c r="B37" s="886" t="s">
        <v>2302</v>
      </c>
      <c r="C37" s="1152" t="s">
        <v>2301</v>
      </c>
      <c r="D37" s="1314">
        <f t="shared" si="0"/>
        <v>0</v>
      </c>
    </row>
    <row r="38" spans="1:4" x14ac:dyDescent="0.35">
      <c r="B38" s="703"/>
      <c r="C38" s="703"/>
    </row>
    <row r="39" spans="1:4" ht="21" hidden="1" x14ac:dyDescent="0.5">
      <c r="A39" s="704" t="s">
        <v>2064</v>
      </c>
      <c r="B39" s="703"/>
      <c r="C39" s="703"/>
    </row>
    <row r="40" spans="1:4" hidden="1" x14ac:dyDescent="0.35"/>
    <row r="41" spans="1:4" ht="15" hidden="1" customHeight="1" x14ac:dyDescent="0.35">
      <c r="B41" s="3004" t="s">
        <v>2065</v>
      </c>
      <c r="C41" s="3005"/>
    </row>
    <row r="42" spans="1:4" hidden="1" x14ac:dyDescent="0.35">
      <c r="B42" s="857" t="s">
        <v>1416</v>
      </c>
      <c r="C42" s="858">
        <v>0.4</v>
      </c>
    </row>
    <row r="43" spans="1:4" hidden="1" x14ac:dyDescent="0.35">
      <c r="B43" s="859" t="s">
        <v>2066</v>
      </c>
      <c r="C43" s="860">
        <v>0.2</v>
      </c>
    </row>
    <row r="44" spans="1:4" hidden="1" x14ac:dyDescent="0.35">
      <c r="B44" s="861" t="s">
        <v>2067</v>
      </c>
      <c r="C44" s="862">
        <v>0</v>
      </c>
    </row>
    <row r="46" spans="1:4" ht="21" x14ac:dyDescent="0.5">
      <c r="A46" s="704" t="s">
        <v>1977</v>
      </c>
    </row>
    <row r="48" spans="1:4" ht="18" customHeight="1" x14ac:dyDescent="0.35">
      <c r="B48" s="3009" t="s">
        <v>2039</v>
      </c>
      <c r="C48" s="3010"/>
      <c r="D48" s="3011"/>
    </row>
    <row r="49" spans="2:18" ht="29" x14ac:dyDescent="0.35">
      <c r="B49" s="1162" t="s">
        <v>2292</v>
      </c>
      <c r="C49" s="1163" t="s">
        <v>2305</v>
      </c>
      <c r="D49" s="998" t="s">
        <v>2376</v>
      </c>
    </row>
    <row r="50" spans="2:18" x14ac:dyDescent="0.35">
      <c r="B50" s="1136" t="s">
        <v>2296</v>
      </c>
      <c r="C50" s="986" t="s">
        <v>2297</v>
      </c>
      <c r="D50" s="1315">
        <v>0.82</v>
      </c>
    </row>
    <row r="51" spans="2:18" x14ac:dyDescent="0.35">
      <c r="B51" s="1138" t="s">
        <v>2296</v>
      </c>
      <c r="C51" s="1139" t="s">
        <v>2298</v>
      </c>
      <c r="D51" s="1316">
        <v>0.8</v>
      </c>
    </row>
    <row r="52" spans="2:18" x14ac:dyDescent="0.35">
      <c r="B52" s="1141" t="s">
        <v>2296</v>
      </c>
      <c r="C52" s="1142" t="s">
        <v>2299</v>
      </c>
      <c r="D52" s="1316">
        <v>0.8</v>
      </c>
    </row>
    <row r="53" spans="2:18" x14ac:dyDescent="0.35">
      <c r="B53" s="1138" t="s">
        <v>2296</v>
      </c>
      <c r="C53" s="1139" t="s">
        <v>2300</v>
      </c>
      <c r="D53" s="1316">
        <v>0.8</v>
      </c>
    </row>
    <row r="54" spans="2:18" x14ac:dyDescent="0.35">
      <c r="B54" s="1144" t="s">
        <v>2296</v>
      </c>
      <c r="C54" s="1145" t="s">
        <v>2301</v>
      </c>
      <c r="D54" s="1316">
        <v>0.8</v>
      </c>
    </row>
    <row r="55" spans="2:18" x14ac:dyDescent="0.35">
      <c r="B55" s="1146" t="s">
        <v>2302</v>
      </c>
      <c r="C55" s="1147" t="s">
        <v>2297</v>
      </c>
      <c r="D55" s="1316">
        <v>0.8</v>
      </c>
    </row>
    <row r="56" spans="2:18" x14ac:dyDescent="0.35">
      <c r="B56" s="1144" t="s">
        <v>2302</v>
      </c>
      <c r="C56" s="1145" t="s">
        <v>2298</v>
      </c>
      <c r="D56" s="1316">
        <v>0.79</v>
      </c>
    </row>
    <row r="57" spans="2:18" x14ac:dyDescent="0.35">
      <c r="B57" s="1148" t="s">
        <v>2302</v>
      </c>
      <c r="C57" s="1149" t="s">
        <v>2299</v>
      </c>
      <c r="D57" s="1317">
        <v>0.79</v>
      </c>
    </row>
    <row r="58" spans="2:18" x14ac:dyDescent="0.35">
      <c r="B58" s="1150" t="s">
        <v>2302</v>
      </c>
      <c r="C58" s="1151" t="s">
        <v>2300</v>
      </c>
      <c r="D58" s="1317">
        <v>0.79</v>
      </c>
    </row>
    <row r="59" spans="2:18" x14ac:dyDescent="0.35">
      <c r="B59" s="886" t="s">
        <v>2302</v>
      </c>
      <c r="C59" s="1152" t="s">
        <v>2301</v>
      </c>
      <c r="D59" s="1318">
        <v>0.79</v>
      </c>
    </row>
    <row r="60" spans="2:18" x14ac:dyDescent="0.35">
      <c r="M60" s="698"/>
    </row>
    <row r="61" spans="2:18" ht="18.5" x14ac:dyDescent="0.45">
      <c r="C61" s="3033" t="s">
        <v>3904</v>
      </c>
      <c r="D61" s="3034"/>
      <c r="E61" s="3034"/>
      <c r="F61" s="3034"/>
      <c r="G61" s="3051"/>
    </row>
    <row r="62" spans="2:18" ht="28.5" customHeight="1" x14ac:dyDescent="0.35">
      <c r="B62" s="997" t="s">
        <v>2019</v>
      </c>
      <c r="C62" s="1182" t="s">
        <v>2309</v>
      </c>
      <c r="D62" s="1183" t="s">
        <v>2310</v>
      </c>
      <c r="E62" s="1183" t="s">
        <v>2311</v>
      </c>
      <c r="F62" s="1183" t="s">
        <v>2312</v>
      </c>
      <c r="G62" s="1319" t="s">
        <v>2313</v>
      </c>
      <c r="J62" s="3036" t="s">
        <v>2377</v>
      </c>
      <c r="K62" s="3037"/>
      <c r="L62" s="3037"/>
      <c r="M62" s="3037"/>
      <c r="N62" s="3037"/>
      <c r="O62" s="3037"/>
      <c r="P62" s="3037"/>
      <c r="Q62" s="3037"/>
      <c r="R62" s="3038"/>
    </row>
    <row r="63" spans="2:18" x14ac:dyDescent="0.35">
      <c r="B63" s="1136" t="s">
        <v>2180</v>
      </c>
      <c r="C63" s="1186">
        <v>1787</v>
      </c>
      <c r="D63" s="1187">
        <v>1831</v>
      </c>
      <c r="E63" s="1187">
        <v>1635</v>
      </c>
      <c r="F63" s="1187">
        <v>1089</v>
      </c>
      <c r="G63" s="1320">
        <v>1669</v>
      </c>
      <c r="J63" s="869" t="s">
        <v>1981</v>
      </c>
      <c r="K63" s="2688"/>
      <c r="L63" s="2688"/>
      <c r="M63" s="2688"/>
      <c r="N63" s="2688"/>
      <c r="O63" s="2688"/>
      <c r="P63" s="2688"/>
      <c r="Q63" s="2688"/>
      <c r="R63" s="2689"/>
    </row>
    <row r="64" spans="2:18" x14ac:dyDescent="0.35">
      <c r="B64" s="1146" t="s">
        <v>2071</v>
      </c>
      <c r="C64" s="1190">
        <v>1683</v>
      </c>
      <c r="D64" s="1191">
        <v>1646</v>
      </c>
      <c r="E64" s="1191">
        <v>1446</v>
      </c>
      <c r="F64" s="1191">
        <v>1063</v>
      </c>
      <c r="G64" s="1321">
        <v>1277</v>
      </c>
      <c r="J64" s="2690" t="s">
        <v>2378</v>
      </c>
      <c r="K64" s="2691"/>
      <c r="L64" s="2691"/>
      <c r="M64" s="2691"/>
      <c r="N64" s="2691"/>
      <c r="O64" s="2691"/>
      <c r="P64" s="2691"/>
      <c r="Q64" s="2691"/>
      <c r="R64" s="2692"/>
    </row>
    <row r="65" spans="2:18" x14ac:dyDescent="0.35">
      <c r="B65" s="2683" t="s">
        <v>3906</v>
      </c>
      <c r="C65" s="2684">
        <v>2981</v>
      </c>
      <c r="D65" s="2684">
        <v>2950</v>
      </c>
      <c r="E65" s="2684">
        <v>2694</v>
      </c>
      <c r="F65" s="2684">
        <v>2368</v>
      </c>
      <c r="G65" s="2684">
        <v>2437</v>
      </c>
      <c r="J65" s="869" t="s">
        <v>1990</v>
      </c>
      <c r="K65" s="2688"/>
      <c r="L65" s="2688"/>
      <c r="M65" s="2688"/>
      <c r="N65" s="2688"/>
      <c r="O65" s="2688"/>
      <c r="P65" s="2688"/>
      <c r="Q65" s="2688"/>
      <c r="R65" s="2689"/>
    </row>
    <row r="66" spans="2:18" x14ac:dyDescent="0.35">
      <c r="B66" s="2680" t="s">
        <v>2157</v>
      </c>
      <c r="C66" s="2681">
        <v>1256</v>
      </c>
      <c r="D66" s="2681">
        <v>1293</v>
      </c>
      <c r="E66" s="2681">
        <v>1138</v>
      </c>
      <c r="F66" s="2681">
        <v>1116</v>
      </c>
      <c r="G66" s="2681">
        <v>1131</v>
      </c>
      <c r="J66" s="873" t="s">
        <v>1365</v>
      </c>
      <c r="K66" s="2686" t="s">
        <v>1992</v>
      </c>
      <c r="L66" s="2686" t="s">
        <v>2320</v>
      </c>
      <c r="M66" s="2686"/>
      <c r="N66" s="2686"/>
      <c r="O66" s="2686"/>
      <c r="P66" s="2686"/>
      <c r="Q66" s="2686"/>
      <c r="R66" s="874"/>
    </row>
    <row r="67" spans="2:18" x14ac:dyDescent="0.35">
      <c r="B67" s="1146" t="s">
        <v>2158</v>
      </c>
      <c r="C67" s="1190">
        <v>1481</v>
      </c>
      <c r="D67" s="1191">
        <v>1368</v>
      </c>
      <c r="E67" s="1191">
        <v>1214</v>
      </c>
      <c r="F67" s="1191">
        <v>871</v>
      </c>
      <c r="G67" s="1321">
        <v>973</v>
      </c>
      <c r="J67" s="873"/>
      <c r="K67" s="2686"/>
      <c r="L67" s="2686"/>
      <c r="M67" s="2686"/>
      <c r="N67" s="2686"/>
      <c r="O67" s="2686"/>
      <c r="P67" s="2686"/>
      <c r="Q67" s="2686"/>
      <c r="R67" s="874"/>
    </row>
    <row r="68" spans="2:18" x14ac:dyDescent="0.35">
      <c r="B68" s="2683" t="s">
        <v>3907</v>
      </c>
      <c r="C68" s="2684">
        <v>2848</v>
      </c>
      <c r="D68" s="2684">
        <v>2947</v>
      </c>
      <c r="E68" s="2684">
        <v>2568</v>
      </c>
      <c r="F68" s="2684">
        <v>2362</v>
      </c>
      <c r="G68" s="2684">
        <v>2516</v>
      </c>
      <c r="J68" s="873" t="s">
        <v>2379</v>
      </c>
      <c r="K68" s="2686" t="s">
        <v>1992</v>
      </c>
      <c r="L68" s="2686" t="s">
        <v>2380</v>
      </c>
      <c r="M68" s="2686"/>
      <c r="N68" s="2686"/>
      <c r="O68" s="2686"/>
      <c r="P68" s="2686"/>
      <c r="Q68" s="2686"/>
      <c r="R68" s="874"/>
    </row>
    <row r="69" spans="2:18" x14ac:dyDescent="0.35">
      <c r="B69" s="2680" t="s">
        <v>2028</v>
      </c>
      <c r="C69" s="2681">
        <v>1614</v>
      </c>
      <c r="D69" s="2681">
        <v>1603</v>
      </c>
      <c r="E69" s="2681">
        <v>1409</v>
      </c>
      <c r="F69" s="2681">
        <v>1209</v>
      </c>
      <c r="G69" s="2681">
        <v>1269</v>
      </c>
      <c r="J69" s="873" t="s">
        <v>2334</v>
      </c>
      <c r="K69" s="2686" t="s">
        <v>2112</v>
      </c>
      <c r="L69" s="2686" t="s">
        <v>2381</v>
      </c>
      <c r="M69" s="2686"/>
      <c r="N69" s="2686"/>
      <c r="O69" s="2686"/>
      <c r="P69" s="2686"/>
      <c r="Q69" s="2686"/>
      <c r="R69" s="874"/>
    </row>
    <row r="70" spans="2:18" x14ac:dyDescent="0.35">
      <c r="B70" s="1146" t="s">
        <v>2109</v>
      </c>
      <c r="C70" s="1190">
        <v>985</v>
      </c>
      <c r="D70" s="1191">
        <v>969</v>
      </c>
      <c r="E70" s="1191">
        <v>852</v>
      </c>
      <c r="F70" s="1191">
        <v>680</v>
      </c>
      <c r="G70" s="1321">
        <v>752</v>
      </c>
      <c r="J70" s="873" t="s">
        <v>2382</v>
      </c>
      <c r="K70" s="2686" t="s">
        <v>2112</v>
      </c>
      <c r="L70" s="2686" t="s">
        <v>2383</v>
      </c>
      <c r="M70" s="2686"/>
      <c r="N70" s="2686"/>
      <c r="O70" s="2686"/>
      <c r="P70" s="2686"/>
      <c r="Q70" s="2686"/>
      <c r="R70" s="874"/>
    </row>
    <row r="71" spans="2:18" x14ac:dyDescent="0.35">
      <c r="B71" s="2680" t="s">
        <v>2026</v>
      </c>
      <c r="C71" s="2681">
        <v>1467</v>
      </c>
      <c r="D71" s="2681">
        <v>1551</v>
      </c>
      <c r="E71" s="2681">
        <v>1364</v>
      </c>
      <c r="F71" s="2681">
        <v>1367</v>
      </c>
      <c r="G71" s="2681">
        <v>1375</v>
      </c>
      <c r="J71" s="2688"/>
      <c r="K71" s="2688"/>
      <c r="L71" s="2688"/>
      <c r="M71" s="2688"/>
      <c r="N71" s="2688"/>
      <c r="O71" s="2688"/>
      <c r="P71" s="2688"/>
      <c r="Q71" s="2688"/>
      <c r="R71" s="2688"/>
    </row>
    <row r="72" spans="2:18" x14ac:dyDescent="0.35">
      <c r="B72" s="2680" t="s">
        <v>2075</v>
      </c>
      <c r="C72" s="2681">
        <v>1446</v>
      </c>
      <c r="D72" s="2681">
        <v>1526</v>
      </c>
      <c r="E72" s="2681">
        <v>1452</v>
      </c>
      <c r="F72" s="2681">
        <v>1553</v>
      </c>
      <c r="G72" s="2681">
        <v>1574</v>
      </c>
      <c r="J72" s="2686"/>
      <c r="K72" s="2686"/>
      <c r="L72" s="2686"/>
      <c r="M72" s="2686"/>
      <c r="N72" s="2686"/>
      <c r="O72" s="2686"/>
      <c r="P72" s="2686"/>
      <c r="Q72" s="2686"/>
      <c r="R72" s="2686"/>
    </row>
    <row r="73" spans="2:18" x14ac:dyDescent="0.35">
      <c r="B73" s="2680" t="s">
        <v>2029</v>
      </c>
      <c r="C73" s="2681">
        <v>1807</v>
      </c>
      <c r="D73" s="2681">
        <v>1855</v>
      </c>
      <c r="E73" s="2681">
        <v>1649</v>
      </c>
      <c r="F73" s="2681">
        <v>1591</v>
      </c>
      <c r="G73" s="2681">
        <v>1622</v>
      </c>
      <c r="J73" s="2686"/>
      <c r="K73" s="2686"/>
      <c r="L73" s="2686"/>
      <c r="M73" s="2686"/>
      <c r="N73" s="2686"/>
      <c r="O73" s="2686"/>
      <c r="P73" s="2686"/>
      <c r="Q73" s="2686"/>
      <c r="R73" s="2686"/>
    </row>
    <row r="74" spans="2:18" x14ac:dyDescent="0.35">
      <c r="B74" s="2680" t="s">
        <v>2159</v>
      </c>
      <c r="C74" s="2681">
        <v>1216</v>
      </c>
      <c r="D74" s="2681">
        <v>1220</v>
      </c>
      <c r="E74" s="2681">
        <v>1072</v>
      </c>
      <c r="F74" s="2681">
        <v>1001</v>
      </c>
      <c r="G74" s="2681">
        <v>1028</v>
      </c>
      <c r="J74" s="2686"/>
      <c r="K74" s="2686"/>
      <c r="L74" s="2686"/>
      <c r="M74" s="2686"/>
      <c r="N74" s="2686"/>
      <c r="O74" s="2686"/>
      <c r="P74" s="2686"/>
      <c r="Q74" s="2686"/>
      <c r="R74" s="2686"/>
    </row>
    <row r="75" spans="2:18" x14ac:dyDescent="0.35">
      <c r="B75" s="2680" t="s">
        <v>2160</v>
      </c>
      <c r="C75" s="2681">
        <v>1387</v>
      </c>
      <c r="D75" s="2681">
        <v>1398</v>
      </c>
      <c r="E75" s="2681">
        <v>1252</v>
      </c>
      <c r="F75" s="2681">
        <v>1222</v>
      </c>
      <c r="G75" s="2681">
        <v>1269</v>
      </c>
    </row>
    <row r="76" spans="2:18" x14ac:dyDescent="0.35">
      <c r="B76" s="2680" t="s">
        <v>2161</v>
      </c>
      <c r="C76" s="2682">
        <v>665</v>
      </c>
      <c r="D76" s="2682">
        <v>697</v>
      </c>
      <c r="E76" s="2682">
        <v>628</v>
      </c>
      <c r="F76" s="2682">
        <v>646</v>
      </c>
      <c r="G76" s="2682">
        <v>615</v>
      </c>
      <c r="J76" s="2686"/>
      <c r="K76" s="2686"/>
      <c r="L76" s="2686"/>
      <c r="M76" s="2686"/>
      <c r="N76" s="2686"/>
      <c r="O76" s="2686"/>
      <c r="P76" s="2686"/>
      <c r="Q76" s="2686"/>
      <c r="R76" s="2686"/>
    </row>
    <row r="77" spans="2:18" x14ac:dyDescent="0.35">
      <c r="B77" s="2680" t="s">
        <v>2162</v>
      </c>
      <c r="C77" s="2681">
        <v>1622</v>
      </c>
      <c r="D77" s="2681">
        <v>1571</v>
      </c>
      <c r="E77" s="2681">
        <v>1374</v>
      </c>
      <c r="F77" s="2681">
        <v>1220</v>
      </c>
      <c r="G77" s="2681">
        <v>1281</v>
      </c>
      <c r="J77" s="2686"/>
      <c r="K77" s="2686"/>
      <c r="L77" s="2686"/>
      <c r="M77" s="2686"/>
      <c r="N77" s="2686"/>
      <c r="O77" s="2686"/>
      <c r="P77" s="2686"/>
      <c r="Q77" s="2686"/>
      <c r="R77" s="2686"/>
    </row>
    <row r="78" spans="2:18" x14ac:dyDescent="0.35">
      <c r="B78" s="2680" t="s">
        <v>2325</v>
      </c>
      <c r="C78" s="2681">
        <v>1597</v>
      </c>
      <c r="D78" s="2681">
        <v>1634</v>
      </c>
      <c r="E78" s="2681">
        <v>1468</v>
      </c>
      <c r="F78" s="2681">
        <v>1376</v>
      </c>
      <c r="G78" s="2681">
        <v>1451</v>
      </c>
      <c r="J78" s="2686"/>
      <c r="K78" s="2686"/>
      <c r="L78" s="2686"/>
      <c r="M78" s="2686"/>
      <c r="N78" s="2686"/>
      <c r="O78" s="2686"/>
      <c r="P78" s="2686"/>
      <c r="Q78" s="2686"/>
      <c r="R78" s="2686"/>
    </row>
    <row r="79" spans="2:18" x14ac:dyDescent="0.35">
      <c r="B79" s="2680" t="s">
        <v>2073</v>
      </c>
      <c r="C79" s="2681">
        <v>1670</v>
      </c>
      <c r="D79" s="2681">
        <v>1733</v>
      </c>
      <c r="E79" s="2681">
        <v>1549</v>
      </c>
      <c r="F79" s="2681">
        <v>1496</v>
      </c>
      <c r="G79" s="2681">
        <v>1557</v>
      </c>
      <c r="J79" s="2686"/>
      <c r="K79" s="2686"/>
      <c r="L79" s="2686"/>
      <c r="M79" s="2686"/>
      <c r="N79" s="2686"/>
      <c r="O79" s="2686"/>
      <c r="P79" s="2686"/>
      <c r="Q79" s="2686"/>
      <c r="R79" s="2686"/>
    </row>
    <row r="80" spans="2:18" x14ac:dyDescent="0.35">
      <c r="B80" s="2680" t="s">
        <v>2166</v>
      </c>
      <c r="C80" s="2681">
        <v>1555</v>
      </c>
      <c r="D80" s="2681">
        <v>1597</v>
      </c>
      <c r="E80" s="2681">
        <v>1433</v>
      </c>
      <c r="F80" s="2681">
        <v>1316</v>
      </c>
      <c r="G80" s="2681">
        <v>1400</v>
      </c>
      <c r="J80" s="2686"/>
      <c r="K80" s="2686"/>
      <c r="L80" s="2686"/>
      <c r="M80" s="2686"/>
      <c r="N80" s="2686"/>
      <c r="O80" s="2686"/>
      <c r="P80" s="2686"/>
      <c r="Q80" s="2686"/>
      <c r="R80" s="2686"/>
    </row>
    <row r="81" spans="2:18" x14ac:dyDescent="0.35">
      <c r="B81" s="1144" t="s">
        <v>2163</v>
      </c>
      <c r="C81" s="1200">
        <v>1048</v>
      </c>
      <c r="D81" s="1201">
        <v>1013</v>
      </c>
      <c r="E81" s="1201">
        <v>939</v>
      </c>
      <c r="F81" s="1201">
        <v>567</v>
      </c>
      <c r="G81" s="1322">
        <v>634</v>
      </c>
      <c r="J81" s="2686"/>
      <c r="K81" s="2686"/>
      <c r="L81" s="2686"/>
      <c r="M81" s="2686"/>
      <c r="N81" s="2686"/>
      <c r="O81" s="2686"/>
      <c r="P81" s="2686"/>
      <c r="Q81" s="2686"/>
      <c r="R81" s="2686"/>
    </row>
    <row r="82" spans="2:18" x14ac:dyDescent="0.35">
      <c r="B82" s="2683" t="s">
        <v>2181</v>
      </c>
      <c r="C82" s="2684">
        <v>1565</v>
      </c>
      <c r="D82" s="2684">
        <v>1540</v>
      </c>
      <c r="E82" s="2684">
        <v>1448</v>
      </c>
      <c r="F82" s="2684">
        <v>1089</v>
      </c>
      <c r="G82" s="2684">
        <v>1125</v>
      </c>
      <c r="J82" s="2686"/>
      <c r="K82" s="2686"/>
      <c r="L82" s="2686"/>
      <c r="M82" s="2686"/>
      <c r="N82" s="2686"/>
      <c r="O82" s="2686"/>
      <c r="P82" s="2686"/>
      <c r="Q82" s="2686"/>
      <c r="R82" s="2686"/>
    </row>
    <row r="83" spans="2:18" x14ac:dyDescent="0.35">
      <c r="B83" s="2683" t="s">
        <v>2164</v>
      </c>
      <c r="C83" s="2685">
        <v>537</v>
      </c>
      <c r="D83" s="2685">
        <v>558</v>
      </c>
      <c r="E83" s="2685">
        <v>501</v>
      </c>
      <c r="F83" s="2685">
        <v>480</v>
      </c>
      <c r="G83" s="2685">
        <v>499</v>
      </c>
      <c r="J83" s="2686"/>
      <c r="K83" s="2686"/>
      <c r="L83" s="2686"/>
      <c r="M83" s="2686"/>
      <c r="N83" s="2686"/>
      <c r="O83" s="2686"/>
      <c r="P83" s="2686"/>
      <c r="Q83" s="2686"/>
      <c r="R83" s="2686"/>
    </row>
    <row r="84" spans="2:18" x14ac:dyDescent="0.35">
      <c r="B84" s="2683" t="s">
        <v>2336</v>
      </c>
      <c r="C84" s="2684">
        <v>1665</v>
      </c>
      <c r="D84" s="2684">
        <v>1666</v>
      </c>
      <c r="E84" s="2684">
        <v>1512</v>
      </c>
      <c r="F84" s="2684">
        <v>1145</v>
      </c>
      <c r="G84" s="2684">
        <v>1207</v>
      </c>
      <c r="J84" s="2686"/>
      <c r="K84" s="2686"/>
      <c r="L84" s="2686"/>
      <c r="M84" s="2686"/>
      <c r="N84" s="2686"/>
      <c r="O84" s="2686"/>
      <c r="P84" s="2686"/>
      <c r="Q84" s="2686"/>
      <c r="R84" s="2686"/>
    </row>
    <row r="85" spans="2:18" x14ac:dyDescent="0.35">
      <c r="B85" s="2683" t="s">
        <v>2165</v>
      </c>
      <c r="C85" s="2684">
        <v>1730</v>
      </c>
      <c r="D85" s="2684">
        <v>1782</v>
      </c>
      <c r="E85" s="2684">
        <v>1589</v>
      </c>
      <c r="F85" s="2684">
        <v>1538</v>
      </c>
      <c r="G85" s="2684">
        <v>1560</v>
      </c>
      <c r="J85" s="2686"/>
      <c r="K85" s="2686"/>
      <c r="L85" s="2686"/>
      <c r="M85" s="2686"/>
      <c r="N85" s="2686"/>
      <c r="O85" s="2686"/>
      <c r="P85" s="2686"/>
      <c r="Q85" s="2686"/>
      <c r="R85" s="2686"/>
    </row>
    <row r="86" spans="2:18" x14ac:dyDescent="0.35">
      <c r="B86" s="1146" t="s">
        <v>2167</v>
      </c>
      <c r="C86" s="1200">
        <v>1916</v>
      </c>
      <c r="D86" s="1201">
        <v>1905</v>
      </c>
      <c r="E86" s="1201">
        <v>1718</v>
      </c>
      <c r="F86" s="1201">
        <v>1288</v>
      </c>
      <c r="G86" s="1322">
        <v>1538</v>
      </c>
      <c r="J86" s="2686"/>
      <c r="K86" s="2686"/>
      <c r="L86" s="2686"/>
      <c r="M86" s="2686"/>
      <c r="N86" s="2686"/>
      <c r="O86" s="2686"/>
      <c r="P86" s="2686"/>
      <c r="Q86" s="2686"/>
      <c r="R86" s="2686"/>
    </row>
    <row r="87" spans="2:18" x14ac:dyDescent="0.35">
      <c r="B87" s="2683" t="s">
        <v>2168</v>
      </c>
      <c r="C87" s="2685">
        <v>995</v>
      </c>
      <c r="D87" s="2684">
        <v>1036</v>
      </c>
      <c r="E87" s="2685">
        <v>933</v>
      </c>
      <c r="F87" s="2685">
        <v>786</v>
      </c>
      <c r="G87" s="2685">
        <v>832</v>
      </c>
      <c r="J87" s="2686"/>
      <c r="K87" s="2686"/>
      <c r="L87" s="2686"/>
      <c r="M87" s="2686"/>
      <c r="N87" s="2686"/>
      <c r="O87" s="2686"/>
      <c r="P87" s="2686"/>
      <c r="Q87" s="2686"/>
      <c r="R87" s="2686"/>
    </row>
    <row r="88" spans="2:18" x14ac:dyDescent="0.35">
      <c r="B88" s="2683" t="s">
        <v>2169</v>
      </c>
      <c r="C88" s="2684">
        <v>2244</v>
      </c>
      <c r="D88" s="2684">
        <v>2237</v>
      </c>
      <c r="E88" s="2684">
        <v>2024</v>
      </c>
      <c r="F88" s="2684">
        <v>1553</v>
      </c>
      <c r="G88" s="2684">
        <v>1608</v>
      </c>
      <c r="J88" s="2686"/>
      <c r="K88" s="2686"/>
      <c r="L88" s="2686"/>
      <c r="M88" s="2686"/>
      <c r="N88" s="2686"/>
      <c r="O88" s="2686"/>
      <c r="P88" s="2686"/>
      <c r="Q88" s="2686"/>
      <c r="R88" s="2686"/>
    </row>
    <row r="89" spans="2:18" x14ac:dyDescent="0.35">
      <c r="B89" s="2683" t="s">
        <v>2170</v>
      </c>
      <c r="C89" s="2684">
        <v>1552</v>
      </c>
      <c r="D89" s="2684">
        <v>1432</v>
      </c>
      <c r="E89" s="2684">
        <v>1239</v>
      </c>
      <c r="F89" s="2684">
        <v>1077</v>
      </c>
      <c r="G89" s="2684">
        <v>1098</v>
      </c>
      <c r="J89" s="2686"/>
      <c r="K89" s="2686"/>
      <c r="L89" s="2686"/>
      <c r="M89" s="2686"/>
      <c r="N89" s="2686"/>
      <c r="O89" s="2686"/>
      <c r="P89" s="2686"/>
      <c r="Q89" s="2686"/>
      <c r="R89" s="2686"/>
    </row>
    <row r="90" spans="2:18" x14ac:dyDescent="0.35">
      <c r="B90" s="2683" t="s">
        <v>2171</v>
      </c>
      <c r="C90" s="2684">
        <v>1015</v>
      </c>
      <c r="D90" s="2685">
        <v>993</v>
      </c>
      <c r="E90" s="2685">
        <v>899</v>
      </c>
      <c r="F90" s="2685">
        <v>773</v>
      </c>
      <c r="G90" s="2685">
        <v>809</v>
      </c>
      <c r="J90" s="2686"/>
      <c r="K90" s="2686"/>
      <c r="L90" s="2686"/>
      <c r="M90" s="2686"/>
      <c r="N90" s="2686"/>
      <c r="O90" s="2686"/>
      <c r="P90" s="2686"/>
      <c r="Q90" s="2686"/>
      <c r="R90" s="2686"/>
    </row>
    <row r="91" spans="2:18" x14ac:dyDescent="0.35">
      <c r="B91" s="2683" t="s">
        <v>2172</v>
      </c>
      <c r="C91" s="2684">
        <v>2825</v>
      </c>
      <c r="D91" s="2684">
        <v>2625</v>
      </c>
      <c r="E91" s="2684">
        <v>2365</v>
      </c>
      <c r="F91" s="2684">
        <v>2007</v>
      </c>
      <c r="G91" s="2684">
        <v>2040</v>
      </c>
      <c r="J91" s="2686"/>
      <c r="K91" s="2686"/>
      <c r="L91" s="2686"/>
      <c r="M91" s="2686"/>
      <c r="N91" s="2686"/>
      <c r="O91" s="2686"/>
      <c r="P91" s="2686"/>
      <c r="Q91" s="2686"/>
      <c r="R91" s="2686"/>
    </row>
    <row r="92" spans="2:18" x14ac:dyDescent="0.35">
      <c r="B92" s="2683" t="s">
        <v>2173</v>
      </c>
      <c r="C92" s="2684">
        <v>1672</v>
      </c>
      <c r="D92" s="2684">
        <v>1629</v>
      </c>
      <c r="E92" s="2684">
        <v>1454</v>
      </c>
      <c r="F92" s="2684">
        <v>1356</v>
      </c>
      <c r="G92" s="2684">
        <v>1399</v>
      </c>
      <c r="J92" s="2686"/>
      <c r="K92" s="2686"/>
      <c r="L92" s="2686"/>
      <c r="M92" s="2686"/>
      <c r="N92" s="2686"/>
      <c r="O92" s="2686"/>
      <c r="P92" s="2686"/>
      <c r="Q92" s="2686"/>
      <c r="R92" s="2686"/>
    </row>
    <row r="93" spans="2:18" x14ac:dyDescent="0.35">
      <c r="B93" s="2683" t="s">
        <v>3908</v>
      </c>
      <c r="C93" s="2684">
        <v>2757</v>
      </c>
      <c r="D93" s="2684">
        <v>2670</v>
      </c>
      <c r="E93" s="2684">
        <v>2383</v>
      </c>
      <c r="F93" s="2684">
        <v>2149</v>
      </c>
      <c r="G93" s="2684">
        <v>2186</v>
      </c>
      <c r="J93" s="2686"/>
      <c r="K93" s="2686"/>
      <c r="L93" s="2686"/>
      <c r="M93" s="2686"/>
      <c r="N93" s="2686"/>
      <c r="O93" s="2686"/>
      <c r="P93" s="2686"/>
      <c r="Q93" s="2686"/>
      <c r="R93" s="2686"/>
    </row>
    <row r="94" spans="2:18" x14ac:dyDescent="0.35">
      <c r="B94" s="1144" t="s">
        <v>2174</v>
      </c>
      <c r="C94" s="1200">
        <v>1603</v>
      </c>
      <c r="D94" s="1201">
        <v>1504</v>
      </c>
      <c r="E94" s="1201">
        <v>1440</v>
      </c>
      <c r="F94" s="1201">
        <v>1054</v>
      </c>
      <c r="G94" s="1322">
        <v>1205</v>
      </c>
      <c r="J94" s="2686"/>
      <c r="K94" s="2686"/>
      <c r="L94" s="2686"/>
      <c r="M94" s="2686"/>
      <c r="N94" s="2686"/>
      <c r="O94" s="2686"/>
      <c r="P94" s="2686"/>
      <c r="Q94" s="2686"/>
      <c r="R94" s="2686"/>
    </row>
    <row r="95" spans="2:18" x14ac:dyDescent="0.35">
      <c r="B95" s="2683" t="s">
        <v>2175</v>
      </c>
      <c r="C95" s="2684">
        <v>1326</v>
      </c>
      <c r="D95" s="2684">
        <v>1328</v>
      </c>
      <c r="E95" s="2684">
        <v>1179</v>
      </c>
      <c r="F95" s="2684">
        <v>1091</v>
      </c>
      <c r="G95" s="2684">
        <v>1122</v>
      </c>
      <c r="J95" s="2686"/>
      <c r="K95" s="2686"/>
      <c r="L95" s="2686"/>
      <c r="M95" s="2686"/>
      <c r="N95" s="2686"/>
      <c r="O95" s="2686"/>
      <c r="P95" s="2686"/>
      <c r="Q95" s="2686"/>
      <c r="R95" s="2686"/>
    </row>
    <row r="96" spans="2:18" x14ac:dyDescent="0.35">
      <c r="B96" s="2683" t="s">
        <v>2176</v>
      </c>
      <c r="C96" s="2684">
        <v>1365</v>
      </c>
      <c r="D96" s="2684">
        <v>1322</v>
      </c>
      <c r="E96" s="2684">
        <v>1193</v>
      </c>
      <c r="F96" s="2684">
        <v>1034</v>
      </c>
      <c r="G96" s="2684">
        <v>1088</v>
      </c>
      <c r="J96" s="2686"/>
      <c r="K96" s="2686"/>
      <c r="L96" s="2686"/>
      <c r="M96" s="2686"/>
      <c r="N96" s="2686"/>
      <c r="O96" s="2686"/>
      <c r="P96" s="2686"/>
      <c r="Q96" s="2686"/>
      <c r="R96" s="2686"/>
    </row>
    <row r="97" spans="1:13" x14ac:dyDescent="0.35">
      <c r="B97" s="2683" t="s">
        <v>2177</v>
      </c>
      <c r="C97" s="2684">
        <v>1347</v>
      </c>
      <c r="D97" s="2684">
        <v>1325</v>
      </c>
      <c r="E97" s="2684">
        <v>1183</v>
      </c>
      <c r="F97" s="2684">
        <v>1064</v>
      </c>
      <c r="G97" s="2684">
        <v>1096</v>
      </c>
    </row>
    <row r="98" spans="1:13" x14ac:dyDescent="0.35">
      <c r="B98" s="2683" t="s">
        <v>2027</v>
      </c>
      <c r="C98" s="2684">
        <v>1285</v>
      </c>
      <c r="D98" s="2684">
        <v>1286</v>
      </c>
      <c r="E98" s="2684">
        <v>1180</v>
      </c>
      <c r="F98" s="2684">
        <v>1147</v>
      </c>
      <c r="G98" s="2684">
        <v>1224</v>
      </c>
    </row>
    <row r="99" spans="1:13" x14ac:dyDescent="0.35">
      <c r="B99" s="2683" t="s">
        <v>536</v>
      </c>
      <c r="C99" s="2684">
        <v>1709</v>
      </c>
      <c r="D99" s="2684">
        <v>1678</v>
      </c>
      <c r="E99" s="2684">
        <v>1508</v>
      </c>
      <c r="F99" s="2684">
        <v>1287</v>
      </c>
      <c r="G99" s="2684">
        <v>1411</v>
      </c>
    </row>
    <row r="100" spans="1:13" x14ac:dyDescent="0.35">
      <c r="M100" s="698"/>
    </row>
    <row r="101" spans="1:13" ht="21" x14ac:dyDescent="0.5">
      <c r="A101" s="704" t="s">
        <v>2111</v>
      </c>
      <c r="M101" s="698"/>
    </row>
    <row r="102" spans="1:13" x14ac:dyDescent="0.35">
      <c r="M102" s="698"/>
    </row>
    <row r="103" spans="1:13" x14ac:dyDescent="0.35">
      <c r="B103" s="1323" t="s">
        <v>2384</v>
      </c>
      <c r="C103" s="1324" t="s">
        <v>377</v>
      </c>
      <c r="M103" s="698"/>
    </row>
    <row r="104" spans="1:13" x14ac:dyDescent="0.35">
      <c r="B104" s="1325">
        <v>0.88</v>
      </c>
      <c r="C104" s="1326">
        <v>1470</v>
      </c>
      <c r="M104" s="698"/>
    </row>
    <row r="105" spans="1:13" x14ac:dyDescent="0.35">
      <c r="B105" s="1327">
        <v>0.9</v>
      </c>
      <c r="C105" s="1326">
        <v>2400</v>
      </c>
      <c r="M105" s="698"/>
    </row>
    <row r="106" spans="1:13" x14ac:dyDescent="0.35">
      <c r="B106" s="1325">
        <v>0.95</v>
      </c>
      <c r="C106" s="1326">
        <v>3370</v>
      </c>
      <c r="M106" s="698"/>
    </row>
    <row r="107" spans="1:13" x14ac:dyDescent="0.35">
      <c r="B107" s="1328">
        <v>0.96</v>
      </c>
      <c r="C107" s="1329">
        <v>4340</v>
      </c>
      <c r="M107" s="698"/>
    </row>
    <row r="108" spans="1:13" x14ac:dyDescent="0.35">
      <c r="M108" s="698"/>
    </row>
    <row r="109" spans="1:13" ht="21" x14ac:dyDescent="0.5">
      <c r="A109" s="704" t="s">
        <v>2012</v>
      </c>
      <c r="M109" s="698"/>
    </row>
    <row r="110" spans="1:13" ht="21" x14ac:dyDescent="0.5">
      <c r="A110" s="704"/>
      <c r="B110" s="698"/>
      <c r="C110" s="735"/>
      <c r="M110" s="698"/>
    </row>
    <row r="111" spans="1:13" ht="15" customHeight="1" x14ac:dyDescent="0.35">
      <c r="B111" s="1209" t="s">
        <v>2339</v>
      </c>
      <c r="C111" s="1008" t="s">
        <v>2184</v>
      </c>
      <c r="D111" s="3039"/>
      <c r="E111" s="3039"/>
      <c r="F111" s="840"/>
      <c r="G111" s="840"/>
      <c r="H111" s="840"/>
      <c r="I111" s="840"/>
      <c r="J111" s="840"/>
      <c r="K111" s="840"/>
    </row>
    <row r="112" spans="1:13" x14ac:dyDescent="0.35">
      <c r="B112" s="1136" t="s">
        <v>2342</v>
      </c>
      <c r="C112" s="1210">
        <f>E241</f>
        <v>1040.5637254901999</v>
      </c>
      <c r="D112" s="739"/>
      <c r="E112" s="739"/>
      <c r="F112" s="840"/>
      <c r="G112" s="840"/>
      <c r="H112" s="840"/>
      <c r="I112" s="840"/>
      <c r="J112" s="840"/>
      <c r="K112" s="840"/>
    </row>
    <row r="113" spans="1:13" x14ac:dyDescent="0.35">
      <c r="B113" s="1146" t="s">
        <v>2343</v>
      </c>
      <c r="C113" s="1211">
        <f>C112+500</f>
        <v>1540.5637254901999</v>
      </c>
      <c r="D113" s="739"/>
      <c r="E113" s="739"/>
      <c r="F113" s="840"/>
      <c r="G113" s="840"/>
      <c r="H113" s="840"/>
      <c r="I113" s="840"/>
      <c r="J113" s="840"/>
      <c r="K113" s="840"/>
    </row>
    <row r="114" spans="1:13" x14ac:dyDescent="0.35">
      <c r="B114" s="1144" t="s">
        <v>2344</v>
      </c>
      <c r="C114" s="1212">
        <f>C112+1200</f>
        <v>2240.5637254901999</v>
      </c>
      <c r="D114" s="983"/>
      <c r="E114" s="739"/>
      <c r="F114" s="840"/>
      <c r="G114" s="840"/>
      <c r="H114" s="840"/>
      <c r="I114" s="840"/>
      <c r="J114" s="840"/>
      <c r="K114" s="840"/>
    </row>
    <row r="115" spans="1:13" x14ac:dyDescent="0.35">
      <c r="B115" s="1146" t="s">
        <v>2345</v>
      </c>
      <c r="C115" s="1211">
        <f>C112+2350</f>
        <v>3390.5637254901999</v>
      </c>
      <c r="D115" s="983"/>
      <c r="E115" s="739"/>
      <c r="F115" s="840"/>
      <c r="G115" s="840"/>
      <c r="H115" s="840"/>
      <c r="I115" s="840"/>
      <c r="J115" s="840"/>
      <c r="K115" s="840"/>
    </row>
    <row r="116" spans="1:13" x14ac:dyDescent="0.35">
      <c r="B116" s="1213" t="s">
        <v>2346</v>
      </c>
      <c r="C116" s="1214">
        <v>4351</v>
      </c>
      <c r="D116" s="739"/>
      <c r="E116" s="739"/>
      <c r="F116" s="840"/>
      <c r="G116" s="840"/>
      <c r="H116" s="840"/>
      <c r="I116" s="840"/>
      <c r="J116" s="840"/>
      <c r="K116" s="840"/>
    </row>
    <row r="117" spans="1:13" x14ac:dyDescent="0.35">
      <c r="F117" s="840"/>
      <c r="G117" s="840"/>
      <c r="H117" s="840"/>
      <c r="I117" s="840"/>
      <c r="J117" s="840"/>
      <c r="K117" s="840"/>
      <c r="M117" s="698"/>
    </row>
    <row r="118" spans="1:13" ht="21" x14ac:dyDescent="0.5">
      <c r="A118" s="704" t="s">
        <v>2014</v>
      </c>
      <c r="F118" s="840"/>
      <c r="G118" s="840"/>
      <c r="H118" s="840"/>
      <c r="I118" s="840"/>
      <c r="J118" s="840"/>
      <c r="K118" s="840"/>
    </row>
    <row r="119" spans="1:13" x14ac:dyDescent="0.35">
      <c r="F119" s="840"/>
      <c r="G119" s="840"/>
      <c r="H119" s="840"/>
      <c r="I119" s="840"/>
      <c r="J119" s="840"/>
      <c r="K119" s="840"/>
    </row>
    <row r="120" spans="1:13" ht="29" x14ac:dyDescent="0.35">
      <c r="B120" s="1215" t="s">
        <v>2280</v>
      </c>
      <c r="C120" s="1008" t="s">
        <v>2348</v>
      </c>
      <c r="F120" s="840"/>
      <c r="G120" s="840"/>
      <c r="I120" s="997" t="s">
        <v>2019</v>
      </c>
      <c r="J120" s="1330" t="s">
        <v>1392</v>
      </c>
      <c r="K120" s="840"/>
    </row>
    <row r="121" spans="1:13" x14ac:dyDescent="0.35">
      <c r="B121" s="1136" t="s">
        <v>2349</v>
      </c>
      <c r="C121" s="1216">
        <v>0</v>
      </c>
      <c r="F121" s="840"/>
      <c r="G121" s="840"/>
      <c r="I121" s="1136" t="s">
        <v>2180</v>
      </c>
      <c r="J121" s="1331">
        <f t="array" ref="J121">SUMPRODUCT(C63:G63,TRANSPOSE($C$121:$C$125))</f>
        <v>1621.8936170212764</v>
      </c>
      <c r="K121" s="840"/>
    </row>
    <row r="122" spans="1:13" x14ac:dyDescent="0.35">
      <c r="B122" s="1146" t="s">
        <v>2351</v>
      </c>
      <c r="C122" s="1217">
        <v>0.1702127659574468</v>
      </c>
      <c r="F122" s="840"/>
      <c r="G122" s="840"/>
      <c r="I122" s="1148" t="s">
        <v>2071</v>
      </c>
      <c r="J122" s="2732">
        <f t="array" ref="J122">SUMPRODUCT(C64:G64,TRANSPOSE($C$121:$C$125))</f>
        <v>1447.446808510638</v>
      </c>
      <c r="K122" s="840"/>
    </row>
    <row r="123" spans="1:13" x14ac:dyDescent="0.35">
      <c r="B123" s="1144" t="s">
        <v>2352</v>
      </c>
      <c r="C123" s="1219">
        <v>0.74468085106382975</v>
      </c>
      <c r="F123" s="840"/>
      <c r="G123" s="840"/>
      <c r="I123" s="2683" t="s">
        <v>3906</v>
      </c>
      <c r="J123" s="2735">
        <f t="array" ref="J123">SUMPRODUCT(C65:G65,TRANSPOSE($C$121:$C$125))</f>
        <v>2709.8297872340422</v>
      </c>
      <c r="K123" s="840"/>
    </row>
    <row r="124" spans="1:13" x14ac:dyDescent="0.35">
      <c r="B124" s="1146" t="s">
        <v>2353</v>
      </c>
      <c r="C124" s="1217">
        <v>8.5106382978723402E-2</v>
      </c>
      <c r="F124" s="840"/>
      <c r="G124" s="840"/>
      <c r="I124" s="2680" t="s">
        <v>2157</v>
      </c>
      <c r="J124" s="2733">
        <f t="array" ref="J124">SUMPRODUCT(C66:G66,TRANSPOSE($C$121:$C$125))</f>
        <v>1162.5106382978722</v>
      </c>
      <c r="K124" s="840"/>
    </row>
    <row r="125" spans="1:13" x14ac:dyDescent="0.35">
      <c r="B125" s="1213" t="s">
        <v>2354</v>
      </c>
      <c r="C125" s="1220">
        <v>0</v>
      </c>
      <c r="F125" s="840"/>
      <c r="G125" s="840"/>
      <c r="I125" s="1085" t="s">
        <v>2158</v>
      </c>
      <c r="J125" s="2734">
        <f t="array" ref="J125">SUMPRODUCT(C67:G67,TRANSPOSE($C$121:$C$125))</f>
        <v>1211.0212765957444</v>
      </c>
      <c r="K125" s="840"/>
    </row>
    <row r="126" spans="1:13" x14ac:dyDescent="0.35">
      <c r="B126" s="886" t="s">
        <v>284</v>
      </c>
      <c r="C126" s="1221">
        <f>SUM(C121:C125)</f>
        <v>1</v>
      </c>
      <c r="D126" s="1222" t="str">
        <f>IF(C126&lt;&gt;1,"Participation must add up to 100%","")</f>
        <v/>
      </c>
      <c r="F126" s="840"/>
      <c r="G126" s="840"/>
      <c r="I126" s="2683" t="s">
        <v>3907</v>
      </c>
      <c r="J126" s="2735">
        <f t="array" ref="J126">SUMPRODUCT(C68:G68,TRANSPOSE($C$121:$C$125))</f>
        <v>2614.9787234042551</v>
      </c>
      <c r="K126" s="840"/>
    </row>
    <row r="127" spans="1:13" x14ac:dyDescent="0.35">
      <c r="F127" s="840"/>
      <c r="G127" s="840"/>
      <c r="I127" s="2680" t="s">
        <v>2028</v>
      </c>
      <c r="J127" s="2733">
        <f t="array" ref="J127">SUMPRODUCT(C69:G69,TRANSPOSE($C$121:$C$125))</f>
        <v>1425.0000000000002</v>
      </c>
      <c r="K127" s="840"/>
    </row>
    <row r="128" spans="1:13" ht="18.5" x14ac:dyDescent="0.45">
      <c r="C128" s="3040" t="s">
        <v>2355</v>
      </c>
      <c r="D128" s="3041"/>
      <c r="E128" s="3041"/>
      <c r="F128" s="3041"/>
      <c r="G128" s="3042"/>
      <c r="I128" s="1085" t="s">
        <v>2109</v>
      </c>
      <c r="J128" s="2734">
        <f t="array" ref="J128">SUMPRODUCT(C70:G70,TRANSPOSE($C$121:$C$125))</f>
        <v>857.27659574468078</v>
      </c>
    </row>
    <row r="129" spans="1:10" x14ac:dyDescent="0.35">
      <c r="B129" s="1223" t="s">
        <v>2019</v>
      </c>
      <c r="C129" s="1224" t="s">
        <v>2342</v>
      </c>
      <c r="D129" s="1225" t="s">
        <v>2343</v>
      </c>
      <c r="E129" s="1225" t="s">
        <v>2344</v>
      </c>
      <c r="F129" s="1225" t="s">
        <v>2345</v>
      </c>
      <c r="G129" s="1226" t="s">
        <v>2346</v>
      </c>
      <c r="I129" s="2680" t="s">
        <v>2026</v>
      </c>
      <c r="J129" s="2733">
        <f t="array" ref="J129">SUMPRODUCT(C71:G71,TRANSPOSE($C$121:$C$125))</f>
        <v>1396.0851063829787</v>
      </c>
    </row>
    <row r="130" spans="1:10" x14ac:dyDescent="0.35">
      <c r="A130" s="1227"/>
      <c r="B130" s="1136" t="s">
        <v>2180</v>
      </c>
      <c r="C130" s="1332">
        <v>0</v>
      </c>
      <c r="D130" s="1333">
        <v>0</v>
      </c>
      <c r="E130" s="1333">
        <v>0</v>
      </c>
      <c r="F130" s="1333">
        <v>0</v>
      </c>
      <c r="G130" s="1334">
        <v>0</v>
      </c>
      <c r="I130" s="2680" t="s">
        <v>2075</v>
      </c>
      <c r="J130" s="2733">
        <f t="array" ref="J130">SUMPRODUCT(C72:G72,TRANSPOSE($C$121:$C$125))</f>
        <v>1473.1914893617022</v>
      </c>
    </row>
    <row r="131" spans="1:10" x14ac:dyDescent="0.35">
      <c r="A131" s="1227"/>
      <c r="B131" s="1146" t="s">
        <v>2071</v>
      </c>
      <c r="C131" s="1335">
        <v>0</v>
      </c>
      <c r="D131" s="1336">
        <v>0</v>
      </c>
      <c r="E131" s="1336">
        <v>0</v>
      </c>
      <c r="F131" s="1336">
        <v>0</v>
      </c>
      <c r="G131" s="1337">
        <v>0</v>
      </c>
      <c r="I131" s="2680" t="s">
        <v>2029</v>
      </c>
      <c r="J131" s="2733">
        <f t="array" ref="J131">SUMPRODUCT(C73:G73,TRANSPOSE($C$121:$C$125))</f>
        <v>1679.127659574468</v>
      </c>
    </row>
    <row r="132" spans="1:10" x14ac:dyDescent="0.35">
      <c r="A132" s="1227"/>
      <c r="B132" s="2683" t="s">
        <v>3906</v>
      </c>
      <c r="C132" s="2731">
        <v>0</v>
      </c>
      <c r="D132" s="2731">
        <v>0</v>
      </c>
      <c r="E132" s="2731">
        <v>0</v>
      </c>
      <c r="F132" s="2731">
        <v>0</v>
      </c>
      <c r="G132" s="2731">
        <v>0</v>
      </c>
      <c r="I132" s="2680" t="s">
        <v>2159</v>
      </c>
      <c r="J132" s="2733">
        <f t="array" ref="J132">SUMPRODUCT(C74:G74,TRANSPOSE($C$121:$C$125))</f>
        <v>1091.1489361702127</v>
      </c>
    </row>
    <row r="133" spans="1:10" x14ac:dyDescent="0.35">
      <c r="A133" s="1227"/>
      <c r="B133" s="1144" t="s">
        <v>2157</v>
      </c>
      <c r="C133" s="1338">
        <v>0</v>
      </c>
      <c r="D133" s="1339">
        <v>0</v>
      </c>
      <c r="E133" s="1339">
        <v>1</v>
      </c>
      <c r="F133" s="1339">
        <v>1</v>
      </c>
      <c r="G133" s="1340">
        <v>0</v>
      </c>
      <c r="I133" s="2680" t="s">
        <v>2160</v>
      </c>
      <c r="J133" s="2733">
        <f t="array" ref="J133">SUMPRODUCT(C75:G75,TRANSPOSE($C$121:$C$125))</f>
        <v>1274.2978723404256</v>
      </c>
    </row>
    <row r="134" spans="1:10" x14ac:dyDescent="0.35">
      <c r="A134" s="1227"/>
      <c r="B134" s="1146" t="s">
        <v>2158</v>
      </c>
      <c r="C134" s="1335">
        <v>0</v>
      </c>
      <c r="D134" s="1336">
        <v>0</v>
      </c>
      <c r="E134" s="1336">
        <v>0</v>
      </c>
      <c r="F134" s="1336">
        <v>0</v>
      </c>
      <c r="G134" s="1337">
        <v>0</v>
      </c>
      <c r="I134" s="2680" t="s">
        <v>2161</v>
      </c>
      <c r="J134" s="2733">
        <f t="array" ref="J134">SUMPRODUCT(C76:G76,TRANSPOSE($C$121:$C$125))</f>
        <v>641.27659574468089</v>
      </c>
    </row>
    <row r="135" spans="1:10" x14ac:dyDescent="0.35">
      <c r="A135" s="1227"/>
      <c r="B135" s="2683" t="s">
        <v>3907</v>
      </c>
      <c r="C135" s="2731">
        <v>0</v>
      </c>
      <c r="D135" s="2731">
        <v>0</v>
      </c>
      <c r="E135" s="2731">
        <v>0</v>
      </c>
      <c r="F135" s="2731">
        <v>0</v>
      </c>
      <c r="G135" s="2731">
        <v>0</v>
      </c>
      <c r="I135" s="2680" t="s">
        <v>2162</v>
      </c>
      <c r="J135" s="2733">
        <f t="array" ref="J135">SUMPRODUCT(C77:G77,TRANSPOSE($C$121:$C$125))</f>
        <v>1394.4255319148938</v>
      </c>
    </row>
    <row r="136" spans="1:10" x14ac:dyDescent="0.35">
      <c r="A136" s="1227"/>
      <c r="B136" s="1144" t="s">
        <v>2028</v>
      </c>
      <c r="C136" s="1338">
        <v>0</v>
      </c>
      <c r="D136" s="1339">
        <v>0</v>
      </c>
      <c r="E136" s="1339">
        <v>2</v>
      </c>
      <c r="F136" s="1339">
        <v>0</v>
      </c>
      <c r="G136" s="1340">
        <v>0</v>
      </c>
      <c r="I136" s="2680" t="s">
        <v>2325</v>
      </c>
      <c r="J136" s="2733">
        <f t="array" ref="J136">SUMPRODUCT(C78:G78,TRANSPOSE($C$121:$C$125))</f>
        <v>1488.4255319148933</v>
      </c>
    </row>
    <row r="137" spans="1:10" x14ac:dyDescent="0.35">
      <c r="A137" s="1227"/>
      <c r="B137" s="1146" t="s">
        <v>2109</v>
      </c>
      <c r="C137" s="1335">
        <v>0</v>
      </c>
      <c r="D137" s="1336">
        <v>0</v>
      </c>
      <c r="E137" s="1336">
        <v>0</v>
      </c>
      <c r="F137" s="1336">
        <v>0</v>
      </c>
      <c r="G137" s="1337">
        <v>0</v>
      </c>
      <c r="I137" s="2680" t="s">
        <v>2073</v>
      </c>
      <c r="J137" s="2733">
        <f t="array" ref="J137">SUMPRODUCT(C79:G79,TRANSPOSE($C$121:$C$125))</f>
        <v>1575.8085106382978</v>
      </c>
    </row>
    <row r="138" spans="1:10" x14ac:dyDescent="0.35">
      <c r="A138" s="1227"/>
      <c r="B138" s="1144" t="s">
        <v>2026</v>
      </c>
      <c r="C138" s="1338">
        <v>0</v>
      </c>
      <c r="D138" s="1339">
        <v>0</v>
      </c>
      <c r="E138" s="1339">
        <v>0</v>
      </c>
      <c r="F138" s="1339">
        <v>0</v>
      </c>
      <c r="G138" s="1340">
        <v>0</v>
      </c>
      <c r="I138" s="2680" t="s">
        <v>2166</v>
      </c>
      <c r="J138" s="2733">
        <f t="array" ref="J138">SUMPRODUCT(C80:G80,TRANSPOSE($C$121:$C$125))</f>
        <v>1450.9574468085107</v>
      </c>
    </row>
    <row r="139" spans="1:10" x14ac:dyDescent="0.35">
      <c r="A139" s="1227"/>
      <c r="B139" s="1146" t="s">
        <v>2075</v>
      </c>
      <c r="C139" s="1335">
        <v>0</v>
      </c>
      <c r="D139" s="1336">
        <v>0</v>
      </c>
      <c r="E139" s="1336">
        <v>0</v>
      </c>
      <c r="F139" s="1336">
        <v>0</v>
      </c>
      <c r="G139" s="1337">
        <v>0</v>
      </c>
      <c r="I139" s="884" t="s">
        <v>2163</v>
      </c>
      <c r="J139" s="2734">
        <f t="array" ref="J139">SUMPRODUCT(C81:G81,TRANSPOSE($C$121:$C$125))</f>
        <v>919.936170212766</v>
      </c>
    </row>
    <row r="140" spans="1:10" x14ac:dyDescent="0.35">
      <c r="A140" s="1227"/>
      <c r="B140" s="1144" t="s">
        <v>2029</v>
      </c>
      <c r="C140" s="1338">
        <v>0</v>
      </c>
      <c r="D140" s="1339">
        <v>0</v>
      </c>
      <c r="E140" s="1339">
        <v>0</v>
      </c>
      <c r="F140" s="1339">
        <v>0</v>
      </c>
      <c r="G140" s="1340">
        <v>0</v>
      </c>
      <c r="I140" s="2683" t="s">
        <v>2181</v>
      </c>
      <c r="J140" s="2733">
        <f t="array" ref="J140">SUMPRODUCT(C82:G82,TRANSPOSE($C$121:$C$125))</f>
        <v>1433.1063829787233</v>
      </c>
    </row>
    <row r="141" spans="1:10" x14ac:dyDescent="0.35">
      <c r="A141" s="1227"/>
      <c r="B141" s="1146" t="s">
        <v>2356</v>
      </c>
      <c r="C141" s="1335">
        <v>0</v>
      </c>
      <c r="D141" s="1336">
        <v>0</v>
      </c>
      <c r="E141" s="1336">
        <v>0</v>
      </c>
      <c r="F141" s="1336">
        <v>0</v>
      </c>
      <c r="G141" s="1337">
        <v>0</v>
      </c>
      <c r="I141" s="2683" t="s">
        <v>2164</v>
      </c>
      <c r="J141" s="2733">
        <f t="array" ref="J141">SUMPRODUCT(C83:G83,TRANSPOSE($C$121:$C$125))</f>
        <v>508.91489361702128</v>
      </c>
    </row>
    <row r="142" spans="1:10" x14ac:dyDescent="0.35">
      <c r="A142" s="1227"/>
      <c r="B142" s="1144" t="s">
        <v>2357</v>
      </c>
      <c r="C142" s="1338">
        <v>0</v>
      </c>
      <c r="D142" s="1339">
        <v>0</v>
      </c>
      <c r="E142" s="1339">
        <v>0</v>
      </c>
      <c r="F142" s="1339">
        <v>0</v>
      </c>
      <c r="G142" s="1340">
        <v>0</v>
      </c>
      <c r="I142" s="2683" t="s">
        <v>2336</v>
      </c>
      <c r="J142" s="2733">
        <f t="array" ref="J142">SUMPRODUCT(C84:G84,TRANSPOSE($C$121:$C$125))</f>
        <v>1506.9787234042553</v>
      </c>
    </row>
    <row r="143" spans="1:10" x14ac:dyDescent="0.35">
      <c r="A143" s="1227"/>
      <c r="B143" s="1146" t="s">
        <v>2358</v>
      </c>
      <c r="C143" s="1335">
        <v>0</v>
      </c>
      <c r="D143" s="1336">
        <v>0</v>
      </c>
      <c r="E143" s="1336">
        <v>0</v>
      </c>
      <c r="F143" s="1336">
        <v>0</v>
      </c>
      <c r="G143" s="1337">
        <v>0</v>
      </c>
      <c r="I143" s="2683" t="s">
        <v>2165</v>
      </c>
      <c r="J143" s="2733">
        <f t="array" ref="J143">SUMPRODUCT(C85:G85,TRANSPOSE($C$121:$C$125))</f>
        <v>1617.5106382978724</v>
      </c>
    </row>
    <row r="144" spans="1:10" x14ac:dyDescent="0.35">
      <c r="A144" s="1227"/>
      <c r="B144" s="1144" t="s">
        <v>2162</v>
      </c>
      <c r="C144" s="1338">
        <v>0</v>
      </c>
      <c r="D144" s="1339">
        <v>0</v>
      </c>
      <c r="E144" s="1339">
        <v>0</v>
      </c>
      <c r="F144" s="1339">
        <v>0</v>
      </c>
      <c r="G144" s="1340">
        <v>0</v>
      </c>
      <c r="I144" s="1085" t="s">
        <v>2167</v>
      </c>
      <c r="J144" s="2734">
        <f t="array" ref="J144">SUMPRODUCT(C86:G86,TRANSPOSE($C$121:$C$125))</f>
        <v>1713.2340425531916</v>
      </c>
    </row>
    <row r="145" spans="1:10" x14ac:dyDescent="0.35">
      <c r="A145" s="1227"/>
      <c r="B145" s="1146" t="s">
        <v>2325</v>
      </c>
      <c r="C145" s="1335">
        <v>0</v>
      </c>
      <c r="D145" s="1336">
        <v>0</v>
      </c>
      <c r="E145" s="1336">
        <v>0</v>
      </c>
      <c r="F145" s="1336">
        <v>0</v>
      </c>
      <c r="G145" s="1337">
        <v>0</v>
      </c>
      <c r="I145" s="2683" t="s">
        <v>2168</v>
      </c>
      <c r="J145" s="2733">
        <f t="array" ref="J145">SUMPRODUCT(C87:G87,TRANSPOSE($C$121:$C$125))</f>
        <v>938.02127659574455</v>
      </c>
    </row>
    <row r="146" spans="1:10" x14ac:dyDescent="0.35">
      <c r="A146" s="1227"/>
      <c r="B146" s="1144" t="s">
        <v>2073</v>
      </c>
      <c r="C146" s="1338">
        <v>0</v>
      </c>
      <c r="D146" s="1339">
        <v>0</v>
      </c>
      <c r="E146" s="1339">
        <v>0</v>
      </c>
      <c r="F146" s="1339">
        <v>0</v>
      </c>
      <c r="G146" s="1340">
        <v>0</v>
      </c>
      <c r="I146" s="2683" t="s">
        <v>2169</v>
      </c>
      <c r="J146" s="2733">
        <f t="array" ref="J146">SUMPRODUCT(C88:G88,TRANSPOSE($C$121:$C$125))</f>
        <v>2020.1702127659573</v>
      </c>
    </row>
    <row r="147" spans="1:10" x14ac:dyDescent="0.35">
      <c r="A147" s="1227"/>
      <c r="B147" s="1146" t="s">
        <v>2166</v>
      </c>
      <c r="C147" s="1335">
        <v>0</v>
      </c>
      <c r="D147" s="1336">
        <v>0</v>
      </c>
      <c r="E147" s="1336">
        <v>0</v>
      </c>
      <c r="F147" s="1336">
        <v>0</v>
      </c>
      <c r="G147" s="1337">
        <v>0</v>
      </c>
      <c r="I147" s="2683" t="s">
        <v>2170</v>
      </c>
      <c r="J147" s="2733">
        <f t="array" ref="J147">SUMPRODUCT(C89:G89,TRANSPOSE($C$121:$C$125))</f>
        <v>1258.063829787234</v>
      </c>
    </row>
    <row r="148" spans="1:10" x14ac:dyDescent="0.35">
      <c r="A148" s="1227"/>
      <c r="B148" s="1144" t="s">
        <v>2163</v>
      </c>
      <c r="C148" s="1338">
        <v>0</v>
      </c>
      <c r="D148" s="1339">
        <v>0</v>
      </c>
      <c r="E148" s="1339">
        <v>0</v>
      </c>
      <c r="F148" s="1339">
        <v>0</v>
      </c>
      <c r="G148" s="1340">
        <v>0</v>
      </c>
      <c r="I148" s="2683" t="s">
        <v>2171</v>
      </c>
      <c r="J148" s="2733">
        <f t="array" ref="J148">SUMPRODUCT(C90:G90,TRANSPOSE($C$121:$C$125))</f>
        <v>904.27659574468089</v>
      </c>
    </row>
    <row r="149" spans="1:10" x14ac:dyDescent="0.35">
      <c r="A149" s="1227"/>
      <c r="B149" s="1146" t="s">
        <v>2181</v>
      </c>
      <c r="C149" s="1335">
        <v>0</v>
      </c>
      <c r="D149" s="1336">
        <v>0</v>
      </c>
      <c r="E149" s="1336">
        <v>0</v>
      </c>
      <c r="F149" s="1336">
        <v>0</v>
      </c>
      <c r="G149" s="1337">
        <v>0</v>
      </c>
      <c r="I149" s="2683" t="s">
        <v>2172</v>
      </c>
      <c r="J149" s="2733">
        <f t="array" ref="J149">SUMPRODUCT(C91:G91,TRANSPOSE($C$121:$C$125))</f>
        <v>2378.7872340425529</v>
      </c>
    </row>
    <row r="150" spans="1:10" x14ac:dyDescent="0.35">
      <c r="A150" s="1227"/>
      <c r="B150" s="1144" t="s">
        <v>2164</v>
      </c>
      <c r="C150" s="1338">
        <v>0</v>
      </c>
      <c r="D150" s="1339">
        <v>0</v>
      </c>
      <c r="E150" s="1339">
        <v>0</v>
      </c>
      <c r="F150" s="1339">
        <v>0</v>
      </c>
      <c r="G150" s="1340">
        <v>0</v>
      </c>
      <c r="I150" s="2683" t="s">
        <v>2173</v>
      </c>
      <c r="J150" s="2733">
        <f t="array" ref="J150">SUMPRODUCT(C92:G92,TRANSPOSE($C$121:$C$125))</f>
        <v>1475.4468085106382</v>
      </c>
    </row>
    <row r="151" spans="1:10" x14ac:dyDescent="0.35">
      <c r="A151" s="1227"/>
      <c r="B151" s="1146" t="s">
        <v>2336</v>
      </c>
      <c r="C151" s="1335">
        <v>0</v>
      </c>
      <c r="D151" s="1336">
        <v>0</v>
      </c>
      <c r="E151" s="1336">
        <v>0</v>
      </c>
      <c r="F151" s="1336">
        <v>0</v>
      </c>
      <c r="G151" s="1337">
        <v>0</v>
      </c>
      <c r="I151" s="2683" t="s">
        <v>3908</v>
      </c>
      <c r="J151" s="2735">
        <f t="array" ref="J151">SUMPRODUCT(C93:G93,TRANSPOSE($C$121:$C$125))</f>
        <v>2411.9361702127658</v>
      </c>
    </row>
    <row r="152" spans="1:10" x14ac:dyDescent="0.35">
      <c r="A152" s="1227"/>
      <c r="B152" s="1144" t="s">
        <v>2165</v>
      </c>
      <c r="C152" s="1338">
        <v>0</v>
      </c>
      <c r="D152" s="1339">
        <v>0</v>
      </c>
      <c r="E152" s="1339">
        <v>0</v>
      </c>
      <c r="F152" s="1339">
        <v>0</v>
      </c>
      <c r="G152" s="1340">
        <v>0</v>
      </c>
      <c r="I152" s="884" t="s">
        <v>2174</v>
      </c>
      <c r="J152" s="2734">
        <f t="array" ref="J152">SUMPRODUCT(C94:G94,TRANSPOSE($C$121:$C$125))</f>
        <v>1418.0425531914893</v>
      </c>
    </row>
    <row r="153" spans="1:10" x14ac:dyDescent="0.35">
      <c r="A153" s="1227"/>
      <c r="B153" s="1146" t="s">
        <v>2167</v>
      </c>
      <c r="C153" s="1335">
        <v>0</v>
      </c>
      <c r="D153" s="1336">
        <v>0</v>
      </c>
      <c r="E153" s="1336">
        <v>0</v>
      </c>
      <c r="F153" s="1336">
        <v>0</v>
      </c>
      <c r="G153" s="1337">
        <v>0</v>
      </c>
      <c r="I153" s="2683" t="s">
        <v>2175</v>
      </c>
      <c r="J153" s="2733">
        <f t="array" ref="J153">SUMPRODUCT(C95:G95,TRANSPOSE($C$121:$C$125))</f>
        <v>1196.872340425532</v>
      </c>
    </row>
    <row r="154" spans="1:10" x14ac:dyDescent="0.35">
      <c r="A154" s="1227"/>
      <c r="B154" s="1144" t="s">
        <v>2168</v>
      </c>
      <c r="C154" s="1338">
        <v>0</v>
      </c>
      <c r="D154" s="1339">
        <v>0</v>
      </c>
      <c r="E154" s="1339">
        <v>0</v>
      </c>
      <c r="F154" s="1339">
        <v>0</v>
      </c>
      <c r="G154" s="1340">
        <v>0</v>
      </c>
      <c r="I154" s="2683" t="s">
        <v>2176</v>
      </c>
      <c r="J154" s="2733">
        <f t="array" ref="J154">SUMPRODUCT(C96:G96,TRANSPOSE($C$121:$C$125))</f>
        <v>1201.4255319148936</v>
      </c>
    </row>
    <row r="155" spans="1:10" x14ac:dyDescent="0.35">
      <c r="A155" s="1227"/>
      <c r="B155" s="1146" t="s">
        <v>2169</v>
      </c>
      <c r="C155" s="1335">
        <v>0</v>
      </c>
      <c r="D155" s="1336">
        <v>0</v>
      </c>
      <c r="E155" s="1336">
        <v>0</v>
      </c>
      <c r="F155" s="1336">
        <v>0</v>
      </c>
      <c r="G155" s="1337">
        <v>0</v>
      </c>
      <c r="I155" s="2683" t="s">
        <v>2177</v>
      </c>
      <c r="J155" s="2733">
        <f t="array" ref="J155">SUMPRODUCT(C97:G97,TRANSPOSE($C$121:$C$125))</f>
        <v>1197.0425531914893</v>
      </c>
    </row>
    <row r="156" spans="1:10" x14ac:dyDescent="0.35">
      <c r="A156" s="1227"/>
      <c r="B156" s="1144" t="s">
        <v>2170</v>
      </c>
      <c r="C156" s="1338">
        <v>0</v>
      </c>
      <c r="D156" s="1339">
        <v>0</v>
      </c>
      <c r="E156" s="1339">
        <v>0</v>
      </c>
      <c r="F156" s="1339">
        <v>0</v>
      </c>
      <c r="G156" s="1340">
        <v>0</v>
      </c>
      <c r="I156" s="2683" t="s">
        <v>2027</v>
      </c>
      <c r="J156" s="2733">
        <f t="array" ref="J156">SUMPRODUCT(C98:G98,TRANSPOSE($C$121:$C$125))</f>
        <v>1195.2340425531916</v>
      </c>
    </row>
    <row r="157" spans="1:10" x14ac:dyDescent="0.35">
      <c r="A157" s="1227"/>
      <c r="B157" s="1146" t="s">
        <v>2171</v>
      </c>
      <c r="C157" s="1335">
        <v>0</v>
      </c>
      <c r="D157" s="1336">
        <v>0</v>
      </c>
      <c r="E157" s="1336">
        <v>0</v>
      </c>
      <c r="F157" s="1336">
        <v>0</v>
      </c>
      <c r="G157" s="1337">
        <v>0</v>
      </c>
      <c r="H157" s="980"/>
      <c r="I157" s="2683" t="s">
        <v>536</v>
      </c>
      <c r="J157" s="2733">
        <f t="array" ref="J157">SUMPRODUCT(C99:G99,TRANSPOSE($C$121:$C$125))</f>
        <v>1518.1276595744682</v>
      </c>
    </row>
    <row r="158" spans="1:10" x14ac:dyDescent="0.35">
      <c r="A158" s="1227"/>
      <c r="B158" s="1144" t="s">
        <v>2172</v>
      </c>
      <c r="C158" s="1338">
        <v>0</v>
      </c>
      <c r="D158" s="1339">
        <v>0</v>
      </c>
      <c r="E158" s="1339"/>
      <c r="F158" s="1339">
        <v>0</v>
      </c>
      <c r="G158" s="1340">
        <v>0</v>
      </c>
      <c r="H158" s="980"/>
    </row>
    <row r="159" spans="1:10" x14ac:dyDescent="0.35">
      <c r="A159" s="1227"/>
      <c r="B159" s="1146" t="s">
        <v>2173</v>
      </c>
      <c r="C159" s="1335">
        <v>0</v>
      </c>
      <c r="D159" s="1336">
        <v>0</v>
      </c>
      <c r="E159" s="1336">
        <v>1</v>
      </c>
      <c r="F159" s="1336">
        <v>0</v>
      </c>
      <c r="G159" s="1337">
        <v>0</v>
      </c>
    </row>
    <row r="160" spans="1:10" x14ac:dyDescent="0.35">
      <c r="A160" s="1227"/>
      <c r="B160" s="2683" t="s">
        <v>3908</v>
      </c>
      <c r="C160" s="2731">
        <v>0</v>
      </c>
      <c r="D160" s="2731">
        <v>0</v>
      </c>
      <c r="E160" s="2731">
        <v>0</v>
      </c>
      <c r="F160" s="2731">
        <v>0</v>
      </c>
      <c r="G160" s="2731">
        <v>0</v>
      </c>
    </row>
    <row r="161" spans="1:8" x14ac:dyDescent="0.35">
      <c r="A161" s="1227"/>
      <c r="B161" s="1144" t="s">
        <v>2174</v>
      </c>
      <c r="C161" s="1338"/>
      <c r="D161" s="1339"/>
      <c r="E161" s="1339">
        <v>0</v>
      </c>
      <c r="F161" s="1339">
        <v>0</v>
      </c>
      <c r="G161" s="1340">
        <v>0</v>
      </c>
    </row>
    <row r="162" spans="1:8" x14ac:dyDescent="0.35">
      <c r="A162" s="1227"/>
      <c r="B162" s="1146" t="s">
        <v>2175</v>
      </c>
      <c r="C162" s="1335">
        <v>0</v>
      </c>
      <c r="D162" s="1336">
        <v>0</v>
      </c>
      <c r="E162" s="1336">
        <v>0</v>
      </c>
      <c r="F162" s="1336">
        <v>0</v>
      </c>
      <c r="G162" s="1337">
        <v>0</v>
      </c>
    </row>
    <row r="163" spans="1:8" x14ac:dyDescent="0.35">
      <c r="A163" s="1227"/>
      <c r="B163" s="1144" t="s">
        <v>2176</v>
      </c>
      <c r="C163" s="1338">
        <v>0</v>
      </c>
      <c r="D163" s="1339">
        <v>0</v>
      </c>
      <c r="E163" s="1339">
        <v>0</v>
      </c>
      <c r="F163" s="1339">
        <v>0</v>
      </c>
      <c r="G163" s="1340">
        <v>0</v>
      </c>
    </row>
    <row r="164" spans="1:8" x14ac:dyDescent="0.35">
      <c r="A164" s="1227"/>
      <c r="B164" s="1146" t="s">
        <v>2177</v>
      </c>
      <c r="C164" s="1335">
        <v>0</v>
      </c>
      <c r="D164" s="1336">
        <v>0</v>
      </c>
      <c r="E164" s="1336">
        <v>0</v>
      </c>
      <c r="F164" s="1336">
        <v>0</v>
      </c>
      <c r="G164" s="1337">
        <v>0</v>
      </c>
    </row>
    <row r="165" spans="1:8" x14ac:dyDescent="0.35">
      <c r="A165" s="1227"/>
      <c r="B165" s="1144" t="s">
        <v>2027</v>
      </c>
      <c r="C165" s="1338">
        <v>0.5</v>
      </c>
      <c r="D165" s="1339"/>
      <c r="E165" s="1339"/>
      <c r="F165" s="1339">
        <v>0</v>
      </c>
      <c r="G165" s="1340">
        <v>0</v>
      </c>
    </row>
    <row r="166" spans="1:8" x14ac:dyDescent="0.35">
      <c r="A166" s="1227"/>
      <c r="B166" s="1146" t="s">
        <v>536</v>
      </c>
      <c r="C166" s="1335">
        <v>0</v>
      </c>
      <c r="D166" s="1336">
        <v>3</v>
      </c>
      <c r="E166" s="1336">
        <v>3</v>
      </c>
      <c r="F166" s="1336">
        <v>2</v>
      </c>
      <c r="G166" s="1337">
        <v>0</v>
      </c>
    </row>
    <row r="167" spans="1:8" x14ac:dyDescent="0.35">
      <c r="B167" s="981" t="s">
        <v>2359</v>
      </c>
    </row>
    <row r="168" spans="1:8" x14ac:dyDescent="0.35">
      <c r="B168" s="981"/>
    </row>
    <row r="169" spans="1:8" ht="18.5" x14ac:dyDescent="0.45">
      <c r="C169" s="3040" t="s">
        <v>2360</v>
      </c>
      <c r="D169" s="3041"/>
      <c r="E169" s="3041"/>
      <c r="F169" s="3041"/>
      <c r="G169" s="3042"/>
    </row>
    <row r="170" spans="1:8" x14ac:dyDescent="0.35">
      <c r="B170" s="1223" t="s">
        <v>2019</v>
      </c>
      <c r="C170" s="1224" t="s">
        <v>2342</v>
      </c>
      <c r="D170" s="1225" t="s">
        <v>2343</v>
      </c>
      <c r="E170" s="1225" t="s">
        <v>2344</v>
      </c>
      <c r="F170" s="1225" t="s">
        <v>2345</v>
      </c>
      <c r="G170" s="1226" t="s">
        <v>2346</v>
      </c>
    </row>
    <row r="171" spans="1:8" x14ac:dyDescent="0.35">
      <c r="B171" s="1136" t="s">
        <v>2180</v>
      </c>
      <c r="C171" s="1332">
        <v>0</v>
      </c>
      <c r="D171" s="1333">
        <v>0</v>
      </c>
      <c r="E171" s="1333">
        <v>0</v>
      </c>
      <c r="F171" s="1333">
        <v>0</v>
      </c>
      <c r="G171" s="1334">
        <v>0</v>
      </c>
    </row>
    <row r="172" spans="1:8" x14ac:dyDescent="0.35">
      <c r="B172" s="1146" t="s">
        <v>2071</v>
      </c>
      <c r="C172" s="1335">
        <v>0</v>
      </c>
      <c r="D172" s="1336">
        <v>0</v>
      </c>
      <c r="E172" s="1336">
        <v>0</v>
      </c>
      <c r="F172" s="1336">
        <v>0</v>
      </c>
      <c r="G172" s="1337">
        <v>0</v>
      </c>
    </row>
    <row r="173" spans="1:8" x14ac:dyDescent="0.35">
      <c r="B173" s="2683" t="s">
        <v>3906</v>
      </c>
      <c r="C173" s="2731">
        <v>0</v>
      </c>
      <c r="D173" s="2731">
        <v>0</v>
      </c>
      <c r="E173" s="2731">
        <v>0</v>
      </c>
      <c r="F173" s="2731">
        <v>0</v>
      </c>
      <c r="G173" s="2731">
        <v>0</v>
      </c>
    </row>
    <row r="174" spans="1:8" x14ac:dyDescent="0.35">
      <c r="B174" s="1144" t="s">
        <v>2157</v>
      </c>
      <c r="C174" s="1338">
        <v>0</v>
      </c>
      <c r="D174" s="1339">
        <v>0</v>
      </c>
      <c r="E174" s="1339">
        <v>0</v>
      </c>
      <c r="F174" s="1339">
        <v>0</v>
      </c>
      <c r="G174" s="1340">
        <v>0</v>
      </c>
    </row>
    <row r="175" spans="1:8" x14ac:dyDescent="0.35">
      <c r="B175" s="1146" t="s">
        <v>2158</v>
      </c>
      <c r="C175" s="1335">
        <v>0</v>
      </c>
      <c r="D175" s="1336">
        <v>0</v>
      </c>
      <c r="E175" s="1336">
        <v>0</v>
      </c>
      <c r="F175" s="1336">
        <v>0</v>
      </c>
      <c r="G175" s="1337">
        <v>0</v>
      </c>
      <c r="H175" s="840"/>
    </row>
    <row r="176" spans="1:8" x14ac:dyDescent="0.35">
      <c r="B176" s="2683" t="s">
        <v>3907</v>
      </c>
      <c r="C176" s="2731">
        <v>0</v>
      </c>
      <c r="D176" s="2731">
        <v>0</v>
      </c>
      <c r="E176" s="2731">
        <v>0</v>
      </c>
      <c r="F176" s="2731">
        <v>0</v>
      </c>
      <c r="G176" s="2731">
        <v>0</v>
      </c>
      <c r="H176" s="840"/>
    </row>
    <row r="177" spans="2:8" x14ac:dyDescent="0.35">
      <c r="B177" s="1144" t="s">
        <v>2028</v>
      </c>
      <c r="C177" s="1338">
        <v>0</v>
      </c>
      <c r="D177" s="1339">
        <v>0</v>
      </c>
      <c r="E177" s="1339">
        <v>0</v>
      </c>
      <c r="F177" s="1339">
        <v>0</v>
      </c>
      <c r="G177" s="1340">
        <v>0</v>
      </c>
      <c r="H177" s="840"/>
    </row>
    <row r="178" spans="2:8" x14ac:dyDescent="0.35">
      <c r="B178" s="1146" t="s">
        <v>2109</v>
      </c>
      <c r="C178" s="1335">
        <v>0</v>
      </c>
      <c r="D178" s="1336">
        <v>0</v>
      </c>
      <c r="E178" s="1336">
        <v>0</v>
      </c>
      <c r="F178" s="1336">
        <v>0</v>
      </c>
      <c r="G178" s="1337">
        <v>0</v>
      </c>
    </row>
    <row r="179" spans="2:8" x14ac:dyDescent="0.35">
      <c r="B179" s="1144" t="s">
        <v>2026</v>
      </c>
      <c r="C179" s="1338">
        <v>0</v>
      </c>
      <c r="D179" s="1339">
        <v>0</v>
      </c>
      <c r="E179" s="1339">
        <v>0</v>
      </c>
      <c r="F179" s="1339">
        <v>0</v>
      </c>
      <c r="G179" s="1340">
        <v>0</v>
      </c>
    </row>
    <row r="180" spans="2:8" x14ac:dyDescent="0.35">
      <c r="B180" s="1146" t="s">
        <v>2075</v>
      </c>
      <c r="C180" s="1335">
        <v>0</v>
      </c>
      <c r="D180" s="1336">
        <v>0</v>
      </c>
      <c r="E180" s="1336">
        <v>0</v>
      </c>
      <c r="F180" s="1336">
        <v>0</v>
      </c>
      <c r="G180" s="1337">
        <v>0</v>
      </c>
    </row>
    <row r="181" spans="2:8" x14ac:dyDescent="0.35">
      <c r="B181" s="1144" t="s">
        <v>2029</v>
      </c>
      <c r="C181" s="1338">
        <v>0</v>
      </c>
      <c r="D181" s="1339">
        <v>0</v>
      </c>
      <c r="E181" s="1339">
        <v>0</v>
      </c>
      <c r="F181" s="1339">
        <v>0</v>
      </c>
      <c r="G181" s="1340">
        <v>0</v>
      </c>
    </row>
    <row r="182" spans="2:8" x14ac:dyDescent="0.35">
      <c r="B182" s="1146" t="s">
        <v>2356</v>
      </c>
      <c r="C182" s="1335">
        <v>0</v>
      </c>
      <c r="D182" s="1336">
        <v>0</v>
      </c>
      <c r="E182" s="1336">
        <v>0</v>
      </c>
      <c r="F182" s="1336">
        <v>0</v>
      </c>
      <c r="G182" s="1337">
        <v>0</v>
      </c>
    </row>
    <row r="183" spans="2:8" x14ac:dyDescent="0.35">
      <c r="B183" s="1144" t="s">
        <v>2357</v>
      </c>
      <c r="C183" s="1338">
        <v>0</v>
      </c>
      <c r="D183" s="1339">
        <v>0</v>
      </c>
      <c r="E183" s="1339">
        <v>0</v>
      </c>
      <c r="F183" s="1339">
        <v>0</v>
      </c>
      <c r="G183" s="1340">
        <v>0</v>
      </c>
    </row>
    <row r="184" spans="2:8" x14ac:dyDescent="0.35">
      <c r="B184" s="1146" t="s">
        <v>2358</v>
      </c>
      <c r="C184" s="1335">
        <v>0</v>
      </c>
      <c r="D184" s="1336">
        <v>0</v>
      </c>
      <c r="E184" s="1336">
        <v>0</v>
      </c>
      <c r="F184" s="1336">
        <v>0</v>
      </c>
      <c r="G184" s="1337">
        <v>0</v>
      </c>
    </row>
    <row r="185" spans="2:8" x14ac:dyDescent="0.35">
      <c r="B185" s="1144" t="s">
        <v>2162</v>
      </c>
      <c r="C185" s="1338">
        <v>0</v>
      </c>
      <c r="D185" s="1339">
        <v>0</v>
      </c>
      <c r="E185" s="1339">
        <v>0</v>
      </c>
      <c r="F185" s="1339">
        <v>0</v>
      </c>
      <c r="G185" s="1340">
        <v>0</v>
      </c>
    </row>
    <row r="186" spans="2:8" x14ac:dyDescent="0.35">
      <c r="B186" s="1146" t="s">
        <v>2325</v>
      </c>
      <c r="C186" s="1335">
        <v>0</v>
      </c>
      <c r="D186" s="1336">
        <v>0</v>
      </c>
      <c r="E186" s="1336">
        <v>0</v>
      </c>
      <c r="F186" s="1336">
        <v>0</v>
      </c>
      <c r="G186" s="1337">
        <v>0</v>
      </c>
    </row>
    <row r="187" spans="2:8" x14ac:dyDescent="0.35">
      <c r="B187" s="1144" t="s">
        <v>2073</v>
      </c>
      <c r="C187" s="1338">
        <v>0</v>
      </c>
      <c r="D187" s="1339">
        <v>0</v>
      </c>
      <c r="E187" s="1339">
        <v>0</v>
      </c>
      <c r="F187" s="1339">
        <v>0</v>
      </c>
      <c r="G187" s="1340">
        <v>0</v>
      </c>
    </row>
    <row r="188" spans="2:8" x14ac:dyDescent="0.35">
      <c r="B188" s="1146" t="s">
        <v>2166</v>
      </c>
      <c r="C188" s="1335">
        <v>0</v>
      </c>
      <c r="D188" s="1336">
        <v>0</v>
      </c>
      <c r="E188" s="1336">
        <v>0</v>
      </c>
      <c r="F188" s="1336">
        <v>0</v>
      </c>
      <c r="G188" s="1337">
        <v>0</v>
      </c>
    </row>
    <row r="189" spans="2:8" x14ac:dyDescent="0.35">
      <c r="B189" s="1144" t="s">
        <v>2163</v>
      </c>
      <c r="C189" s="1338">
        <v>0</v>
      </c>
      <c r="D189" s="1339">
        <v>0</v>
      </c>
      <c r="E189" s="1339">
        <v>0</v>
      </c>
      <c r="F189" s="1339">
        <v>0</v>
      </c>
      <c r="G189" s="1340">
        <v>0</v>
      </c>
    </row>
    <row r="190" spans="2:8" x14ac:dyDescent="0.35">
      <c r="B190" s="1146" t="s">
        <v>2181</v>
      </c>
      <c r="C190" s="1335">
        <v>0</v>
      </c>
      <c r="D190" s="1336">
        <v>0</v>
      </c>
      <c r="E190" s="1336">
        <v>0</v>
      </c>
      <c r="F190" s="1336">
        <v>0</v>
      </c>
      <c r="G190" s="1337">
        <v>0</v>
      </c>
    </row>
    <row r="191" spans="2:8" x14ac:dyDescent="0.35">
      <c r="B191" s="1144" t="s">
        <v>2164</v>
      </c>
      <c r="C191" s="1338">
        <v>0</v>
      </c>
      <c r="D191" s="1339">
        <v>0</v>
      </c>
      <c r="E191" s="1339">
        <v>0</v>
      </c>
      <c r="F191" s="1339">
        <v>0</v>
      </c>
      <c r="G191" s="1340">
        <v>0</v>
      </c>
    </row>
    <row r="192" spans="2:8" x14ac:dyDescent="0.35">
      <c r="B192" s="1146" t="s">
        <v>2336</v>
      </c>
      <c r="C192" s="1335">
        <v>0</v>
      </c>
      <c r="D192" s="1336">
        <v>0</v>
      </c>
      <c r="E192" s="1336">
        <v>0</v>
      </c>
      <c r="F192" s="1336">
        <v>0</v>
      </c>
      <c r="G192" s="1337">
        <v>0</v>
      </c>
    </row>
    <row r="193" spans="2:7" x14ac:dyDescent="0.35">
      <c r="B193" s="1144" t="s">
        <v>2165</v>
      </c>
      <c r="C193" s="1338">
        <v>0</v>
      </c>
      <c r="D193" s="1339">
        <v>0</v>
      </c>
      <c r="E193" s="1339">
        <v>0</v>
      </c>
      <c r="F193" s="1339">
        <v>0</v>
      </c>
      <c r="G193" s="1340">
        <v>0</v>
      </c>
    </row>
    <row r="194" spans="2:7" x14ac:dyDescent="0.35">
      <c r="B194" s="1146" t="s">
        <v>2167</v>
      </c>
      <c r="C194" s="1335">
        <v>0</v>
      </c>
      <c r="D194" s="1336">
        <v>0</v>
      </c>
      <c r="E194" s="1336">
        <v>0</v>
      </c>
      <c r="F194" s="1336">
        <v>0</v>
      </c>
      <c r="G194" s="1337">
        <v>0</v>
      </c>
    </row>
    <row r="195" spans="2:7" x14ac:dyDescent="0.35">
      <c r="B195" s="1144" t="s">
        <v>2168</v>
      </c>
      <c r="C195" s="1338">
        <v>0</v>
      </c>
      <c r="D195" s="1339">
        <v>0</v>
      </c>
      <c r="E195" s="1339">
        <v>0</v>
      </c>
      <c r="F195" s="1339">
        <v>0</v>
      </c>
      <c r="G195" s="1340">
        <v>0</v>
      </c>
    </row>
    <row r="196" spans="2:7" x14ac:dyDescent="0.35">
      <c r="B196" s="1146" t="s">
        <v>2169</v>
      </c>
      <c r="C196" s="1335">
        <v>0</v>
      </c>
      <c r="D196" s="1336">
        <v>0</v>
      </c>
      <c r="E196" s="1336">
        <v>0</v>
      </c>
      <c r="F196" s="1336">
        <v>0</v>
      </c>
      <c r="G196" s="1337">
        <v>0</v>
      </c>
    </row>
    <row r="197" spans="2:7" x14ac:dyDescent="0.35">
      <c r="B197" s="1144" t="s">
        <v>2170</v>
      </c>
      <c r="C197" s="1338">
        <v>0</v>
      </c>
      <c r="D197" s="1339">
        <v>0</v>
      </c>
      <c r="E197" s="1339">
        <v>0</v>
      </c>
      <c r="F197" s="1339">
        <v>0</v>
      </c>
      <c r="G197" s="1340">
        <v>0</v>
      </c>
    </row>
    <row r="198" spans="2:7" x14ac:dyDescent="0.35">
      <c r="B198" s="1146" t="s">
        <v>2171</v>
      </c>
      <c r="C198" s="1335">
        <v>0</v>
      </c>
      <c r="D198" s="1336">
        <v>0</v>
      </c>
      <c r="E198" s="1336">
        <v>0</v>
      </c>
      <c r="F198" s="1336">
        <v>0</v>
      </c>
      <c r="G198" s="1337">
        <v>0</v>
      </c>
    </row>
    <row r="199" spans="2:7" x14ac:dyDescent="0.35">
      <c r="B199" s="1144" t="s">
        <v>2172</v>
      </c>
      <c r="C199" s="1338">
        <v>0</v>
      </c>
      <c r="D199" s="1339">
        <v>0</v>
      </c>
      <c r="E199" s="1339">
        <v>0.5</v>
      </c>
      <c r="F199" s="1339">
        <v>0</v>
      </c>
      <c r="G199" s="1340">
        <v>0</v>
      </c>
    </row>
    <row r="200" spans="2:7" x14ac:dyDescent="0.35">
      <c r="B200" s="1146" t="s">
        <v>2173</v>
      </c>
      <c r="C200" s="1335">
        <v>0</v>
      </c>
      <c r="D200" s="1336">
        <v>0</v>
      </c>
      <c r="E200" s="1336">
        <v>0</v>
      </c>
      <c r="F200" s="1336">
        <v>0</v>
      </c>
      <c r="G200" s="1337">
        <v>0</v>
      </c>
    </row>
    <row r="201" spans="2:7" x14ac:dyDescent="0.35">
      <c r="B201" s="2683" t="s">
        <v>3908</v>
      </c>
      <c r="C201" s="2731">
        <v>0</v>
      </c>
      <c r="D201" s="2731">
        <v>0</v>
      </c>
      <c r="E201" s="2731">
        <v>0</v>
      </c>
      <c r="F201" s="2731">
        <v>0</v>
      </c>
      <c r="G201" s="2731">
        <v>0</v>
      </c>
    </row>
    <row r="202" spans="2:7" x14ac:dyDescent="0.35">
      <c r="B202" s="1144" t="s">
        <v>2174</v>
      </c>
      <c r="C202" s="1338">
        <v>0</v>
      </c>
      <c r="D202" s="1339">
        <v>0</v>
      </c>
      <c r="E202" s="1339">
        <v>0</v>
      </c>
      <c r="F202" s="1339"/>
      <c r="G202" s="1340">
        <v>0</v>
      </c>
    </row>
    <row r="203" spans="2:7" x14ac:dyDescent="0.35">
      <c r="B203" s="1146" t="s">
        <v>2175</v>
      </c>
      <c r="C203" s="1335">
        <v>0</v>
      </c>
      <c r="D203" s="1336">
        <v>0</v>
      </c>
      <c r="E203" s="1336">
        <v>0</v>
      </c>
      <c r="F203" s="1336">
        <v>0</v>
      </c>
      <c r="G203" s="1337">
        <v>0</v>
      </c>
    </row>
    <row r="204" spans="2:7" x14ac:dyDescent="0.35">
      <c r="B204" s="1144" t="s">
        <v>2176</v>
      </c>
      <c r="C204" s="1338">
        <v>0</v>
      </c>
      <c r="D204" s="1339">
        <v>0</v>
      </c>
      <c r="E204" s="1339">
        <v>0</v>
      </c>
      <c r="F204" s="1339">
        <v>0</v>
      </c>
      <c r="G204" s="1340">
        <v>0</v>
      </c>
    </row>
    <row r="205" spans="2:7" x14ac:dyDescent="0.35">
      <c r="B205" s="1146" t="s">
        <v>2177</v>
      </c>
      <c r="C205" s="1335">
        <v>0</v>
      </c>
      <c r="D205" s="1336">
        <v>0</v>
      </c>
      <c r="E205" s="1336">
        <v>0</v>
      </c>
      <c r="F205" s="1336">
        <v>0</v>
      </c>
      <c r="G205" s="1337">
        <v>0</v>
      </c>
    </row>
    <row r="206" spans="2:7" x14ac:dyDescent="0.35">
      <c r="B206" s="1144" t="s">
        <v>2027</v>
      </c>
      <c r="C206" s="1338">
        <v>0</v>
      </c>
      <c r="D206" s="1339">
        <v>0</v>
      </c>
      <c r="E206" s="1339">
        <v>0</v>
      </c>
      <c r="F206" s="1339">
        <v>0</v>
      </c>
      <c r="G206" s="1340">
        <v>0</v>
      </c>
    </row>
    <row r="207" spans="2:7" x14ac:dyDescent="0.35">
      <c r="B207" s="1146" t="s">
        <v>536</v>
      </c>
      <c r="C207" s="1335">
        <v>1</v>
      </c>
      <c r="D207" s="1336">
        <v>0</v>
      </c>
      <c r="E207" s="1336">
        <v>0</v>
      </c>
      <c r="F207" s="1336">
        <v>1</v>
      </c>
      <c r="G207" s="1337">
        <v>0</v>
      </c>
    </row>
    <row r="208" spans="2:7" x14ac:dyDescent="0.35">
      <c r="B208" s="981" t="s">
        <v>2359</v>
      </c>
    </row>
    <row r="209" spans="1:26" ht="18.5" x14ac:dyDescent="0.45">
      <c r="B209" s="748"/>
      <c r="F209" s="779"/>
      <c r="G209" s="779"/>
      <c r="H209" s="779"/>
      <c r="I209" s="779"/>
      <c r="J209" s="779"/>
      <c r="K209" s="779"/>
      <c r="L209" s="779"/>
      <c r="M209" s="779"/>
      <c r="N209" s="779"/>
      <c r="O209" s="779"/>
      <c r="P209" s="779"/>
      <c r="Q209" s="779"/>
      <c r="R209" s="779"/>
      <c r="S209" s="779"/>
      <c r="T209" s="779"/>
      <c r="U209" s="779"/>
      <c r="V209" s="779"/>
      <c r="W209" s="779"/>
      <c r="X209" s="779"/>
      <c r="Y209" s="779"/>
      <c r="Z209" s="779"/>
    </row>
    <row r="210" spans="1:26" ht="34.5" customHeight="1" x14ac:dyDescent="0.35">
      <c r="B210" s="1003"/>
      <c r="D210" s="3043" t="s">
        <v>2361</v>
      </c>
      <c r="E210" s="3044"/>
      <c r="F210" s="753"/>
      <c r="G210" s="753"/>
      <c r="H210" s="753"/>
      <c r="I210" s="753"/>
      <c r="J210" s="876"/>
      <c r="K210" s="876"/>
      <c r="L210" s="753"/>
      <c r="M210" s="753"/>
      <c r="N210" s="753"/>
      <c r="O210" s="876"/>
      <c r="P210" s="876"/>
      <c r="Q210" s="876"/>
      <c r="R210" s="753"/>
      <c r="S210" s="753"/>
      <c r="T210" s="753"/>
      <c r="U210" s="753"/>
      <c r="V210" s="753"/>
    </row>
    <row r="211" spans="1:26" ht="29" x14ac:dyDescent="0.35">
      <c r="B211" s="1237" t="s">
        <v>2292</v>
      </c>
      <c r="C211" s="904" t="s">
        <v>2362</v>
      </c>
      <c r="D211" s="864" t="s">
        <v>2363</v>
      </c>
      <c r="E211" s="867" t="s">
        <v>2385</v>
      </c>
      <c r="F211" s="754"/>
      <c r="G211" s="754"/>
      <c r="H211" s="753"/>
      <c r="I211" s="753"/>
      <c r="J211" s="876"/>
      <c r="K211" s="876"/>
      <c r="L211" s="753"/>
      <c r="M211" s="753"/>
      <c r="N211" s="753"/>
      <c r="O211" s="876"/>
      <c r="P211" s="876"/>
      <c r="Q211" s="876"/>
      <c r="R211" s="753"/>
      <c r="S211" s="753"/>
      <c r="T211" s="753"/>
      <c r="U211" s="753"/>
      <c r="V211" s="753"/>
    </row>
    <row r="212" spans="1:26" x14ac:dyDescent="0.35">
      <c r="B212" s="1238" t="s">
        <v>2296</v>
      </c>
      <c r="C212" s="986" t="s">
        <v>2297</v>
      </c>
      <c r="D212" s="1239">
        <v>230</v>
      </c>
      <c r="E212" s="1341">
        <v>0.94</v>
      </c>
      <c r="F212" s="984"/>
      <c r="G212" s="984"/>
      <c r="H212" s="880"/>
      <c r="I212" s="769"/>
      <c r="J212" s="769"/>
      <c r="K212" s="769"/>
      <c r="L212" s="770"/>
      <c r="M212" s="759"/>
      <c r="N212" s="759"/>
      <c r="O212" s="759"/>
      <c r="P212" s="759"/>
      <c r="Q212" s="759"/>
      <c r="R212" s="760"/>
      <c r="S212" s="761"/>
      <c r="T212" s="762"/>
      <c r="U212" s="763"/>
      <c r="V212" s="764"/>
    </row>
    <row r="213" spans="1:26" x14ac:dyDescent="0.35">
      <c r="B213" s="1241" t="s">
        <v>2296</v>
      </c>
      <c r="C213" s="1139" t="s">
        <v>2298</v>
      </c>
      <c r="D213" s="1242">
        <v>399</v>
      </c>
      <c r="E213" s="1342">
        <v>0.95</v>
      </c>
      <c r="F213" s="759"/>
      <c r="G213" s="759"/>
      <c r="H213" s="880"/>
      <c r="I213" s="769"/>
      <c r="J213" s="769"/>
      <c r="K213" s="769"/>
      <c r="L213" s="770"/>
      <c r="M213" s="759"/>
      <c r="N213" s="759"/>
      <c r="O213" s="759"/>
      <c r="P213" s="759"/>
      <c r="Q213" s="759"/>
      <c r="R213" s="760"/>
      <c r="S213" s="761"/>
      <c r="T213" s="762"/>
      <c r="U213" s="763"/>
      <c r="V213" s="764"/>
    </row>
    <row r="214" spans="1:26" x14ac:dyDescent="0.35">
      <c r="B214" s="1244" t="s">
        <v>2296</v>
      </c>
      <c r="C214" s="1142" t="s">
        <v>2299</v>
      </c>
      <c r="D214" s="1245">
        <v>699.8</v>
      </c>
      <c r="E214" s="1343">
        <v>0.95599999999999996</v>
      </c>
      <c r="F214" s="759"/>
      <c r="G214" s="759"/>
      <c r="H214" s="880"/>
      <c r="I214" s="769"/>
      <c r="J214" s="769"/>
      <c r="K214" s="769"/>
      <c r="L214" s="770"/>
      <c r="M214" s="759"/>
      <c r="N214" s="759"/>
      <c r="O214" s="759"/>
      <c r="P214" s="759"/>
      <c r="Q214" s="759"/>
      <c r="R214" s="760"/>
      <c r="S214" s="761"/>
      <c r="T214" s="762"/>
      <c r="U214" s="763"/>
      <c r="V214" s="764"/>
    </row>
    <row r="215" spans="1:26" x14ac:dyDescent="0.35">
      <c r="B215" s="1241" t="s">
        <v>2296</v>
      </c>
      <c r="C215" s="1139" t="s">
        <v>2300</v>
      </c>
      <c r="D215" s="1242">
        <v>1142.5999999999999</v>
      </c>
      <c r="E215" s="1342">
        <v>0.95399999999999996</v>
      </c>
      <c r="F215" s="759"/>
      <c r="G215" s="759"/>
      <c r="H215" s="880"/>
      <c r="I215" s="769"/>
      <c r="J215" s="769"/>
      <c r="K215" s="769"/>
      <c r="L215" s="770"/>
      <c r="M215" s="759"/>
      <c r="N215" s="759"/>
      <c r="O215" s="759"/>
      <c r="P215" s="759"/>
      <c r="Q215" s="759"/>
      <c r="R215" s="760"/>
      <c r="S215" s="761"/>
      <c r="T215" s="762"/>
      <c r="U215" s="763"/>
      <c r="V215" s="764"/>
    </row>
    <row r="216" spans="1:26" x14ac:dyDescent="0.35">
      <c r="B216" s="1247" t="s">
        <v>2296</v>
      </c>
      <c r="C216" s="1145" t="s">
        <v>2301</v>
      </c>
      <c r="D216" s="1248">
        <v>1779.2528</v>
      </c>
      <c r="E216" s="1344">
        <v>0.94</v>
      </c>
      <c r="F216" s="759"/>
      <c r="G216" s="759"/>
      <c r="H216" s="880"/>
      <c r="I216" s="769"/>
      <c r="J216" s="769"/>
      <c r="K216" s="769"/>
      <c r="L216" s="770"/>
      <c r="M216" s="759"/>
      <c r="N216" s="759"/>
      <c r="O216" s="759"/>
      <c r="P216" s="759"/>
      <c r="Q216" s="759"/>
      <c r="R216" s="760"/>
      <c r="S216" s="761"/>
      <c r="T216" s="762"/>
      <c r="U216" s="763"/>
      <c r="V216" s="764"/>
    </row>
    <row r="217" spans="1:26" x14ac:dyDescent="0.35">
      <c r="B217" s="1250" t="s">
        <v>2302</v>
      </c>
      <c r="C217" s="1147" t="s">
        <v>2297</v>
      </c>
      <c r="D217" s="1251">
        <v>264.5</v>
      </c>
      <c r="E217" s="1345">
        <v>0.94</v>
      </c>
      <c r="F217" s="759"/>
      <c r="G217" s="759"/>
      <c r="H217" s="880"/>
      <c r="I217" s="769"/>
      <c r="J217" s="769"/>
      <c r="K217" s="769"/>
      <c r="L217" s="770"/>
      <c r="M217" s="759"/>
      <c r="N217" s="759"/>
      <c r="O217" s="759"/>
      <c r="P217" s="759"/>
      <c r="Q217" s="759"/>
      <c r="R217" s="760"/>
      <c r="S217" s="761"/>
      <c r="T217" s="762"/>
      <c r="U217" s="763"/>
      <c r="V217" s="764"/>
    </row>
    <row r="218" spans="1:26" x14ac:dyDescent="0.35">
      <c r="B218" s="1247" t="s">
        <v>2302</v>
      </c>
      <c r="C218" s="1145" t="s">
        <v>2298</v>
      </c>
      <c r="D218" s="1248">
        <v>322.962580705883</v>
      </c>
      <c r="E218" s="1344">
        <v>0.94</v>
      </c>
      <c r="F218" s="759"/>
      <c r="G218" s="759"/>
      <c r="H218" s="880"/>
      <c r="I218" s="769"/>
      <c r="J218" s="769"/>
      <c r="K218" s="769"/>
      <c r="L218" s="770"/>
      <c r="M218" s="759"/>
      <c r="N218" s="759"/>
      <c r="O218" s="759"/>
      <c r="P218" s="759"/>
      <c r="Q218" s="759"/>
      <c r="R218" s="760"/>
      <c r="S218" s="761"/>
      <c r="T218" s="762"/>
      <c r="U218" s="763"/>
      <c r="V218" s="764"/>
    </row>
    <row r="219" spans="1:26" x14ac:dyDescent="0.35">
      <c r="B219" s="1253" t="s">
        <v>2302</v>
      </c>
      <c r="C219" s="1149" t="s">
        <v>2299</v>
      </c>
      <c r="D219" s="1254">
        <v>500</v>
      </c>
      <c r="E219" s="1346">
        <v>0.94</v>
      </c>
      <c r="F219" s="759"/>
      <c r="G219" s="759"/>
      <c r="H219" s="880"/>
      <c r="I219" s="769"/>
      <c r="J219" s="769"/>
      <c r="K219" s="769"/>
      <c r="L219" s="770"/>
      <c r="M219" s="759"/>
      <c r="N219" s="759"/>
      <c r="O219" s="759"/>
      <c r="P219" s="759"/>
      <c r="Q219" s="759"/>
      <c r="R219" s="760"/>
      <c r="S219" s="761"/>
      <c r="T219" s="762"/>
      <c r="U219" s="763"/>
      <c r="V219" s="764"/>
    </row>
    <row r="220" spans="1:26" x14ac:dyDescent="0.35">
      <c r="B220" s="1256" t="s">
        <v>2302</v>
      </c>
      <c r="C220" s="1151" t="s">
        <v>2300</v>
      </c>
      <c r="D220" s="1257">
        <v>1500</v>
      </c>
      <c r="E220" s="1347">
        <v>0.96</v>
      </c>
      <c r="F220" s="759"/>
      <c r="G220" s="759"/>
      <c r="H220" s="880"/>
      <c r="I220" s="769"/>
      <c r="J220" s="769"/>
      <c r="K220" s="769"/>
      <c r="L220" s="770"/>
      <c r="M220" s="759"/>
      <c r="N220" s="759"/>
      <c r="O220" s="759"/>
      <c r="P220" s="759"/>
      <c r="Q220" s="759"/>
      <c r="R220" s="760"/>
      <c r="S220" s="761"/>
      <c r="T220" s="762"/>
      <c r="U220" s="763"/>
      <c r="V220" s="764"/>
    </row>
    <row r="221" spans="1:26" x14ac:dyDescent="0.35">
      <c r="B221" s="1259" t="s">
        <v>2302</v>
      </c>
      <c r="C221" s="1152" t="s">
        <v>2301</v>
      </c>
      <c r="D221" s="1260">
        <v>1779.2528</v>
      </c>
      <c r="E221" s="1348">
        <v>0.94</v>
      </c>
      <c r="F221" s="759"/>
      <c r="G221" s="759"/>
      <c r="H221" s="880"/>
      <c r="I221" s="769"/>
      <c r="J221" s="769"/>
      <c r="K221" s="769"/>
      <c r="L221" s="770"/>
      <c r="M221" s="759"/>
      <c r="N221" s="759"/>
      <c r="O221" s="759"/>
      <c r="P221" s="759"/>
      <c r="Q221" s="759"/>
      <c r="R221" s="760"/>
      <c r="S221" s="761"/>
      <c r="T221" s="762"/>
      <c r="U221" s="763"/>
      <c r="V221" s="764"/>
    </row>
    <row r="223" spans="1:26" ht="21" x14ac:dyDescent="0.5">
      <c r="A223" s="704" t="s">
        <v>2036</v>
      </c>
    </row>
    <row r="225" spans="2:18" ht="26" x14ac:dyDescent="0.6">
      <c r="B225" s="3032"/>
      <c r="C225" s="3045"/>
      <c r="D225" s="3052" t="s">
        <v>2038</v>
      </c>
      <c r="E225" s="3053"/>
      <c r="F225" s="3053"/>
      <c r="G225" s="3054"/>
      <c r="H225" s="3052" t="s">
        <v>2039</v>
      </c>
      <c r="I225" s="3054"/>
      <c r="J225" s="3049" t="s">
        <v>2040</v>
      </c>
      <c r="K225" s="3050"/>
      <c r="L225" s="779"/>
      <c r="M225" s="779"/>
      <c r="N225" s="779"/>
      <c r="O225" s="779"/>
      <c r="P225" s="779"/>
      <c r="Q225" s="779"/>
      <c r="R225" s="779"/>
    </row>
    <row r="226" spans="2:18" ht="58" x14ac:dyDescent="0.35">
      <c r="B226" s="863" t="s">
        <v>2292</v>
      </c>
      <c r="C226" s="882" t="s">
        <v>2305</v>
      </c>
      <c r="D226" s="905" t="s">
        <v>1947</v>
      </c>
      <c r="E226" s="907" t="s">
        <v>2184</v>
      </c>
      <c r="F226" s="907" t="s">
        <v>2363</v>
      </c>
      <c r="G226" s="904" t="s">
        <v>2385</v>
      </c>
      <c r="H226" s="1264" t="s">
        <v>2376</v>
      </c>
      <c r="I226" s="903" t="s">
        <v>2369</v>
      </c>
      <c r="J226" s="864" t="s">
        <v>2370</v>
      </c>
      <c r="K226" s="867" t="s">
        <v>2371</v>
      </c>
      <c r="L226" s="712"/>
      <c r="M226" s="1349" t="s">
        <v>2244</v>
      </c>
      <c r="N226" s="1350" t="s">
        <v>2108</v>
      </c>
      <c r="O226" s="712"/>
      <c r="P226" s="712"/>
      <c r="Q226" s="712"/>
    </row>
    <row r="227" spans="2:18" x14ac:dyDescent="0.35">
      <c r="B227" s="1136" t="s">
        <v>2296</v>
      </c>
      <c r="C227" s="1265" t="s">
        <v>2297</v>
      </c>
      <c r="D227" s="1266">
        <f>SUM(C130:C166)</f>
        <v>0.5</v>
      </c>
      <c r="E227" s="1351">
        <f>C112</f>
        <v>1040.5637254901999</v>
      </c>
      <c r="F227" s="1352">
        <f t="shared" ref="F227:G236" si="1">D212</f>
        <v>230</v>
      </c>
      <c r="G227" s="1353">
        <f t="shared" si="1"/>
        <v>0.94</v>
      </c>
      <c r="H227" s="1354">
        <f t="shared" ref="H227:H236" si="2">D50</f>
        <v>0.82</v>
      </c>
      <c r="I227" s="2736">
        <f>ROUND(IFERROR(SUMPRODUCT(C$130:C$166,$J$121:$J$157)/$D227,0),2)</f>
        <v>1195.23</v>
      </c>
      <c r="J227" s="1355">
        <f t="shared" ref="J227:J236" si="3">IFERROR(D227*I227*F227*1000*(G227-H227)/H227/100000,0)</f>
        <v>201.14846341463416</v>
      </c>
      <c r="K227" s="1356">
        <f t="shared" ref="K227:K236" si="4">D227*E227</f>
        <v>520.28186274509994</v>
      </c>
      <c r="L227" s="1271"/>
      <c r="M227" s="1357">
        <f t="shared" ref="M227:M236" si="5">IFERROR(VLOOKUP(G227,B$104:C$107,2,TRUE),0)</f>
        <v>2400</v>
      </c>
      <c r="N227" s="1358">
        <f t="shared" ref="N227:N236" si="6">M227*D227</f>
        <v>1200</v>
      </c>
      <c r="O227" s="1272"/>
      <c r="P227" s="796"/>
      <c r="Q227" s="796"/>
    </row>
    <row r="228" spans="2:18" x14ac:dyDescent="0.35">
      <c r="B228" s="1138" t="s">
        <v>2296</v>
      </c>
      <c r="C228" s="1273" t="s">
        <v>2298</v>
      </c>
      <c r="D228" s="1274">
        <f>SUM(D130:D166)</f>
        <v>3</v>
      </c>
      <c r="E228" s="1359">
        <f>C113</f>
        <v>1540.5637254901999</v>
      </c>
      <c r="F228" s="1360">
        <f t="shared" si="1"/>
        <v>399</v>
      </c>
      <c r="G228" s="1361">
        <f t="shared" si="1"/>
        <v>0.95</v>
      </c>
      <c r="H228" s="1362">
        <f t="shared" si="2"/>
        <v>0.8</v>
      </c>
      <c r="I228" s="2737">
        <f>IFERROR(SUMPRODUCT(D$130:D$166,$J$121:$J$157)/$D228,0)</f>
        <v>1518.1276595744682</v>
      </c>
      <c r="J228" s="1363">
        <f t="shared" si="3"/>
        <v>3407.2477659574447</v>
      </c>
      <c r="K228" s="1364">
        <f t="shared" si="4"/>
        <v>4621.6911764706001</v>
      </c>
      <c r="L228" s="1271"/>
      <c r="M228" s="1365">
        <f t="shared" si="5"/>
        <v>3370</v>
      </c>
      <c r="N228" s="1366">
        <f t="shared" si="6"/>
        <v>10110</v>
      </c>
      <c r="O228" s="1272"/>
      <c r="P228" s="796"/>
      <c r="Q228" s="796"/>
    </row>
    <row r="229" spans="2:18" x14ac:dyDescent="0.35">
      <c r="B229" s="1141" t="s">
        <v>2296</v>
      </c>
      <c r="C229" s="1279" t="s">
        <v>2299</v>
      </c>
      <c r="D229" s="1280">
        <f>SUM(E130:E166)</f>
        <v>7</v>
      </c>
      <c r="E229" s="1367">
        <f>C114</f>
        <v>2240.5637254901999</v>
      </c>
      <c r="F229" s="1368">
        <f t="shared" si="1"/>
        <v>699.8</v>
      </c>
      <c r="G229" s="1369">
        <f t="shared" si="1"/>
        <v>0.95599999999999996</v>
      </c>
      <c r="H229" s="1370">
        <f t="shared" si="2"/>
        <v>0.8</v>
      </c>
      <c r="I229" s="2738">
        <f>ROUND(IFERROR(SUMPRODUCT(E$130:E$166,$J$121:$J$157)/$D229,0),0)</f>
        <v>1435</v>
      </c>
      <c r="J229" s="1355">
        <f t="shared" si="3"/>
        <v>13707.507449999994</v>
      </c>
      <c r="K229" s="1371">
        <f t="shared" si="4"/>
        <v>15683.9460784314</v>
      </c>
      <c r="L229" s="1271"/>
      <c r="M229" s="1357">
        <f t="shared" si="5"/>
        <v>3370</v>
      </c>
      <c r="N229" s="1358">
        <f t="shared" si="6"/>
        <v>23590</v>
      </c>
      <c r="O229" s="1272"/>
      <c r="P229" s="796"/>
      <c r="Q229" s="796"/>
    </row>
    <row r="230" spans="2:18" x14ac:dyDescent="0.35">
      <c r="B230" s="1138" t="s">
        <v>2296</v>
      </c>
      <c r="C230" s="1273" t="s">
        <v>2300</v>
      </c>
      <c r="D230" s="1274">
        <f>SUM(F130:F166)</f>
        <v>3</v>
      </c>
      <c r="E230" s="1359">
        <f>C115</f>
        <v>3390.5637254901999</v>
      </c>
      <c r="F230" s="1360">
        <f t="shared" si="1"/>
        <v>1142.5999999999999</v>
      </c>
      <c r="G230" s="1361">
        <f t="shared" si="1"/>
        <v>0.95399999999999996</v>
      </c>
      <c r="H230" s="1362">
        <f t="shared" si="2"/>
        <v>0.8</v>
      </c>
      <c r="I230" s="2737">
        <f>IFERROR(SUMPRODUCT(F$130:F$166,$J$121:$J$157)/$D230,0)</f>
        <v>1399.5886524822697</v>
      </c>
      <c r="J230" s="1363">
        <f t="shared" si="3"/>
        <v>9235.2067172340358</v>
      </c>
      <c r="K230" s="1372">
        <f t="shared" si="4"/>
        <v>10171.6911764706</v>
      </c>
      <c r="L230" s="1271"/>
      <c r="M230" s="1365">
        <f t="shared" si="5"/>
        <v>3370</v>
      </c>
      <c r="N230" s="1366">
        <f t="shared" si="6"/>
        <v>10110</v>
      </c>
      <c r="O230" s="1272"/>
      <c r="P230" s="796"/>
      <c r="Q230" s="796"/>
    </row>
    <row r="231" spans="2:18" x14ac:dyDescent="0.35">
      <c r="B231" s="1144" t="s">
        <v>2296</v>
      </c>
      <c r="C231" s="1285" t="s">
        <v>2301</v>
      </c>
      <c r="D231" s="1280">
        <f>SUM(G130:G166)</f>
        <v>0</v>
      </c>
      <c r="E231" s="1367">
        <f>C116</f>
        <v>4351</v>
      </c>
      <c r="F231" s="1368">
        <f t="shared" si="1"/>
        <v>1779.2528</v>
      </c>
      <c r="G231" s="1369">
        <f t="shared" si="1"/>
        <v>0.94</v>
      </c>
      <c r="H231" s="1370">
        <f t="shared" si="2"/>
        <v>0.8</v>
      </c>
      <c r="I231" s="2738">
        <f>IFERROR(SUMPRODUCT(G$130:G$166,$J$121:$J$157)/$D231,0)</f>
        <v>0</v>
      </c>
      <c r="J231" s="1355">
        <f t="shared" si="3"/>
        <v>0</v>
      </c>
      <c r="K231" s="1371">
        <f t="shared" si="4"/>
        <v>0</v>
      </c>
      <c r="L231" s="1271"/>
      <c r="M231" s="1357">
        <f t="shared" si="5"/>
        <v>2400</v>
      </c>
      <c r="N231" s="1358">
        <f t="shared" si="6"/>
        <v>0</v>
      </c>
      <c r="O231" s="1272"/>
      <c r="P231" s="796"/>
      <c r="Q231" s="796"/>
    </row>
    <row r="232" spans="2:18" x14ac:dyDescent="0.35">
      <c r="B232" s="1146" t="s">
        <v>2302</v>
      </c>
      <c r="C232" s="1286" t="s">
        <v>2297</v>
      </c>
      <c r="D232" s="1274">
        <f>SUM(C171:C207)</f>
        <v>1</v>
      </c>
      <c r="E232" s="1359">
        <f>C112</f>
        <v>1040.5637254901999</v>
      </c>
      <c r="F232" s="1360">
        <f t="shared" si="1"/>
        <v>264.5</v>
      </c>
      <c r="G232" s="1361">
        <f t="shared" si="1"/>
        <v>0.94</v>
      </c>
      <c r="H232" s="1362">
        <f t="shared" si="2"/>
        <v>0.8</v>
      </c>
      <c r="I232" s="2737">
        <f>IFERROR(SUMPRODUCT(C$171:C$207,$J$121:$J$157)/$D232,0)</f>
        <v>1518.1276595744682</v>
      </c>
      <c r="J232" s="1363">
        <f t="shared" si="3"/>
        <v>702.70334042553145</v>
      </c>
      <c r="K232" s="1372">
        <f t="shared" si="4"/>
        <v>1040.5637254901999</v>
      </c>
      <c r="L232" s="1271"/>
      <c r="M232" s="1365">
        <f t="shared" si="5"/>
        <v>2400</v>
      </c>
      <c r="N232" s="1366">
        <f t="shared" si="6"/>
        <v>2400</v>
      </c>
      <c r="O232" s="1272"/>
      <c r="P232" s="796"/>
      <c r="Q232" s="796"/>
    </row>
    <row r="233" spans="2:18" x14ac:dyDescent="0.35">
      <c r="B233" s="1144" t="s">
        <v>2302</v>
      </c>
      <c r="C233" s="1285" t="s">
        <v>2298</v>
      </c>
      <c r="D233" s="1287">
        <f>SUM(D171:D207)</f>
        <v>0</v>
      </c>
      <c r="E233" s="1373">
        <f>C113</f>
        <v>1540.5637254901999</v>
      </c>
      <c r="F233" s="1374">
        <f t="shared" si="1"/>
        <v>322.962580705883</v>
      </c>
      <c r="G233" s="1375">
        <f t="shared" si="1"/>
        <v>0.94</v>
      </c>
      <c r="H233" s="1376">
        <f t="shared" si="2"/>
        <v>0.79</v>
      </c>
      <c r="I233" s="2739">
        <f>IFERROR(SUMPRODUCT(D$171:D$207,$J$121:$J$157)/$D233,0)</f>
        <v>0</v>
      </c>
      <c r="J233" s="1377">
        <f t="shared" si="3"/>
        <v>0</v>
      </c>
      <c r="K233" s="1378">
        <f t="shared" si="4"/>
        <v>0</v>
      </c>
      <c r="L233" s="1271"/>
      <c r="M233" s="1357">
        <f t="shared" si="5"/>
        <v>2400</v>
      </c>
      <c r="N233" s="1358">
        <f t="shared" si="6"/>
        <v>0</v>
      </c>
      <c r="O233" s="1272"/>
      <c r="P233" s="796"/>
      <c r="Q233" s="796"/>
    </row>
    <row r="234" spans="2:18" x14ac:dyDescent="0.35">
      <c r="B234" s="1148" t="s">
        <v>2302</v>
      </c>
      <c r="C234" s="1292" t="s">
        <v>2299</v>
      </c>
      <c r="D234" s="1293">
        <f>SUM(E171:E207)</f>
        <v>0.5</v>
      </c>
      <c r="E234" s="1379">
        <f>C114</f>
        <v>2240.5637254901999</v>
      </c>
      <c r="F234" s="1380">
        <f t="shared" si="1"/>
        <v>500</v>
      </c>
      <c r="G234" s="1381">
        <f t="shared" si="1"/>
        <v>0.94</v>
      </c>
      <c r="H234" s="1382">
        <f t="shared" si="2"/>
        <v>0.79</v>
      </c>
      <c r="I234" s="2740">
        <f>IFERROR(SUMPRODUCT(E$171:E$207,$J$121:$J$157)/$D234,0)</f>
        <v>2378.7872340425529</v>
      </c>
      <c r="J234" s="1383">
        <f t="shared" si="3"/>
        <v>1129.1711553999453</v>
      </c>
      <c r="K234" s="1364">
        <f t="shared" si="4"/>
        <v>1120.2818627450999</v>
      </c>
      <c r="L234" s="1271"/>
      <c r="M234" s="1365">
        <f t="shared" si="5"/>
        <v>2400</v>
      </c>
      <c r="N234" s="1366">
        <f t="shared" si="6"/>
        <v>1200</v>
      </c>
      <c r="O234" s="1272"/>
      <c r="P234" s="796"/>
      <c r="Q234" s="796"/>
    </row>
    <row r="235" spans="2:18" x14ac:dyDescent="0.35">
      <c r="B235" s="1150" t="s">
        <v>2302</v>
      </c>
      <c r="C235" s="1298" t="s">
        <v>2300</v>
      </c>
      <c r="D235" s="1287">
        <f>SUM(F171:F207)</f>
        <v>1</v>
      </c>
      <c r="E235" s="1373">
        <f>C115</f>
        <v>3390.5637254901999</v>
      </c>
      <c r="F235" s="1374">
        <f t="shared" si="1"/>
        <v>1500</v>
      </c>
      <c r="G235" s="1375">
        <f t="shared" si="1"/>
        <v>0.96</v>
      </c>
      <c r="H235" s="1376">
        <f t="shared" si="2"/>
        <v>0.79</v>
      </c>
      <c r="I235" s="2739">
        <f>IFERROR(SUMPRODUCT(F$171:F$207,$J$121:$J$157)/$D235,0)</f>
        <v>1518.1276595744682</v>
      </c>
      <c r="J235" s="1377">
        <f t="shared" si="3"/>
        <v>4900.2854834365735</v>
      </c>
      <c r="K235" s="1378">
        <f t="shared" si="4"/>
        <v>3390.5637254901999</v>
      </c>
      <c r="L235" s="1271"/>
      <c r="M235" s="1357">
        <f t="shared" si="5"/>
        <v>4340</v>
      </c>
      <c r="N235" s="1358">
        <f t="shared" si="6"/>
        <v>4340</v>
      </c>
      <c r="O235" s="1272"/>
      <c r="P235" s="796"/>
      <c r="Q235" s="796"/>
    </row>
    <row r="236" spans="2:18" x14ac:dyDescent="0.35">
      <c r="B236" s="886" t="s">
        <v>2302</v>
      </c>
      <c r="C236" s="1299" t="s">
        <v>2301</v>
      </c>
      <c r="D236" s="1300">
        <f>SUM(G171:G207)</f>
        <v>0</v>
      </c>
      <c r="E236" s="1384">
        <f>C116</f>
        <v>4351</v>
      </c>
      <c r="F236" s="1385">
        <f t="shared" si="1"/>
        <v>1779.2528</v>
      </c>
      <c r="G236" s="1386">
        <f t="shared" si="1"/>
        <v>0.94</v>
      </c>
      <c r="H236" s="1387">
        <f t="shared" si="2"/>
        <v>0.79</v>
      </c>
      <c r="I236" s="2741">
        <f>IFERROR(SUMPRODUCT(G$171:G$207,$J$121:$J$157)/$D236,0)</f>
        <v>0</v>
      </c>
      <c r="J236" s="1388">
        <f t="shared" si="3"/>
        <v>0</v>
      </c>
      <c r="K236" s="1389">
        <f t="shared" si="4"/>
        <v>0</v>
      </c>
      <c r="L236" s="1271"/>
      <c r="M236" s="1390">
        <f t="shared" si="5"/>
        <v>2400</v>
      </c>
      <c r="N236" s="1391">
        <f t="shared" si="6"/>
        <v>0</v>
      </c>
      <c r="O236" s="1272"/>
      <c r="P236" s="796"/>
      <c r="Q236" s="796"/>
    </row>
    <row r="237" spans="2:18" x14ac:dyDescent="0.35">
      <c r="B237" s="698"/>
      <c r="C237" s="698"/>
      <c r="J237" s="853"/>
    </row>
    <row r="238" spans="2:18" x14ac:dyDescent="0.35">
      <c r="D238" s="1392"/>
    </row>
    <row r="239" spans="2:18" hidden="1" x14ac:dyDescent="0.35">
      <c r="E239" s="675">
        <f>2284.3137254902*16</f>
        <v>36549.019607843198</v>
      </c>
    </row>
    <row r="240" spans="2:18" hidden="1" x14ac:dyDescent="0.35">
      <c r="E240" s="675">
        <f>E239-1500-8400-7050-600-2350</f>
        <v>16649.019607843198</v>
      </c>
    </row>
    <row r="241" spans="5:5" hidden="1" x14ac:dyDescent="0.35">
      <c r="E241" s="675">
        <f>E240/16</f>
        <v>1040.5637254901999</v>
      </c>
    </row>
  </sheetData>
  <mergeCells count="12">
    <mergeCell ref="J225:K225"/>
    <mergeCell ref="B41:C41"/>
    <mergeCell ref="B48:D48"/>
    <mergeCell ref="C61:G61"/>
    <mergeCell ref="J62:R62"/>
    <mergeCell ref="D111:E111"/>
    <mergeCell ref="C128:G128"/>
    <mergeCell ref="C169:G169"/>
    <mergeCell ref="D210:E210"/>
    <mergeCell ref="B225:C225"/>
    <mergeCell ref="D225:G225"/>
    <mergeCell ref="H225:I225"/>
  </mergeCells>
  <conditionalFormatting sqref="C126">
    <cfRule type="cellIs" dxfId="279" priority="18" operator="notEqual">
      <formula>1</formula>
    </cfRule>
  </conditionalFormatting>
  <conditionalFormatting sqref="I158:I166">
    <cfRule type="cellIs" dxfId="278" priority="17" operator="equal">
      <formula>TRUE</formula>
    </cfRule>
  </conditionalFormatting>
  <conditionalFormatting sqref="B63:G64 B66:G67 B69:G92 B94:G99">
    <cfRule type="expression" dxfId="277" priority="10">
      <formula>B63&lt;&gt;#REF!</formula>
    </cfRule>
  </conditionalFormatting>
  <conditionalFormatting sqref="B65:G65">
    <cfRule type="expression" dxfId="276" priority="9">
      <formula>B65&lt;&gt;#REF!</formula>
    </cfRule>
  </conditionalFormatting>
  <conditionalFormatting sqref="B68:G68">
    <cfRule type="expression" dxfId="275" priority="8">
      <formula>B68&lt;&gt;#REF!</formula>
    </cfRule>
  </conditionalFormatting>
  <conditionalFormatting sqref="B93:G93">
    <cfRule type="expression" dxfId="274" priority="7">
      <formula>B93&lt;&gt;#REF!</formula>
    </cfRule>
  </conditionalFormatting>
  <conditionalFormatting sqref="J121:J122 J124:J125 J152:J157 J127:J150">
    <cfRule type="expression" dxfId="273" priority="6">
      <formula>J121&lt;&gt;#REF!</formula>
    </cfRule>
  </conditionalFormatting>
  <conditionalFormatting sqref="I152:I157 I127:I150">
    <cfRule type="expression" dxfId="272" priority="5">
      <formula>I127&lt;&gt;#REF!</formula>
    </cfRule>
  </conditionalFormatting>
  <conditionalFormatting sqref="I121:I122 I124:I125">
    <cfRule type="expression" dxfId="271" priority="4">
      <formula>I121&lt;&gt;#REF!</formula>
    </cfRule>
  </conditionalFormatting>
  <conditionalFormatting sqref="I123">
    <cfRule type="expression" dxfId="270" priority="3">
      <formula>I123&lt;&gt;#REF!</formula>
    </cfRule>
  </conditionalFormatting>
  <conditionalFormatting sqref="I126">
    <cfRule type="expression" dxfId="269" priority="2">
      <formula>I126&lt;&gt;#REF!</formula>
    </cfRule>
  </conditionalFormatting>
  <conditionalFormatting sqref="I151">
    <cfRule type="expression" dxfId="268" priority="1">
      <formula>I151&lt;&gt;#REF!</formula>
    </cfRule>
  </conditionalFormatting>
  <pageMargins left="0.7" right="0.7" top="0.75" bottom="0.75" header="0.3" footer="0.3"/>
  <pageSetup scale="19" orientation="portrait" r:id="rId1"/>
  <headerFooter>
    <oddHeader>&amp;LAppendix G (Rev.)</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AB293"/>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0.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195</v>
      </c>
    </row>
    <row r="2" spans="1:7" s="1394" customFormat="1" x14ac:dyDescent="0.35"/>
    <row r="3" spans="1:7" s="1394" customFormat="1" ht="21" x14ac:dyDescent="0.5">
      <c r="A3" s="1395" t="s">
        <v>2386</v>
      </c>
    </row>
    <row r="4" spans="1:7" s="1394" customFormat="1" x14ac:dyDescent="0.35"/>
    <row r="5" spans="1:7" s="1394" customFormat="1" x14ac:dyDescent="0.35">
      <c r="B5" s="1396" t="s">
        <v>1947</v>
      </c>
      <c r="C5" s="1397">
        <f>SUM(D222:D289)</f>
        <v>67</v>
      </c>
      <c r="D5" s="1398"/>
      <c r="E5" s="680"/>
      <c r="F5" s="680"/>
    </row>
    <row r="6" spans="1:7" s="1394" customFormat="1" x14ac:dyDescent="0.35">
      <c r="B6" s="724" t="s">
        <v>2052</v>
      </c>
      <c r="C6" s="989">
        <f>SUM(M222:M289)</f>
        <v>47296.588888888888</v>
      </c>
      <c r="D6" s="1399"/>
      <c r="E6" s="683"/>
      <c r="F6" s="683"/>
    </row>
    <row r="7" spans="1:7" s="1394" customFormat="1" x14ac:dyDescent="0.35">
      <c r="B7" s="936" t="s">
        <v>1951</v>
      </c>
      <c r="C7" s="1400">
        <f>SUM(N222:N289)</f>
        <v>7.981034781544035</v>
      </c>
      <c r="D7" s="1399"/>
      <c r="E7" s="683"/>
      <c r="F7" s="683"/>
    </row>
    <row r="8" spans="1:7" s="1394" customFormat="1" x14ac:dyDescent="0.35">
      <c r="B8" s="724" t="s">
        <v>1952</v>
      </c>
      <c r="C8" s="989">
        <f>SUM(L222:L289)</f>
        <v>20177.604497123637</v>
      </c>
      <c r="D8" s="1399"/>
      <c r="E8" s="683"/>
      <c r="F8" s="683"/>
    </row>
    <row r="9" spans="1:7" s="1394" customFormat="1" x14ac:dyDescent="0.35">
      <c r="B9" s="936" t="s">
        <v>2053</v>
      </c>
      <c r="C9" s="990">
        <f>SUM(O222:O289)</f>
        <v>67000</v>
      </c>
      <c r="D9" s="1401"/>
      <c r="E9" s="686"/>
      <c r="F9" s="686"/>
    </row>
    <row r="10" spans="1:7" s="1394" customFormat="1" x14ac:dyDescent="0.35">
      <c r="B10" s="724" t="s">
        <v>2288</v>
      </c>
      <c r="C10" s="1402">
        <f>C9/C8</f>
        <v>3.3205130970602084</v>
      </c>
      <c r="D10" s="1403"/>
      <c r="E10" s="690"/>
      <c r="F10" s="690"/>
    </row>
    <row r="11" spans="1:7" s="1394" customFormat="1" x14ac:dyDescent="0.35">
      <c r="B11" s="936" t="s">
        <v>1960</v>
      </c>
      <c r="C11" s="990">
        <f>SUM(R222:R289)</f>
        <v>105957</v>
      </c>
      <c r="D11" s="1404"/>
      <c r="E11" s="706"/>
      <c r="F11" s="706"/>
    </row>
    <row r="12" spans="1:7" s="1394" customFormat="1" x14ac:dyDescent="0.35">
      <c r="B12" s="732" t="s">
        <v>1970</v>
      </c>
      <c r="C12" s="1405">
        <v>16.5</v>
      </c>
      <c r="D12" s="1404"/>
      <c r="E12" s="706"/>
      <c r="F12" s="706"/>
    </row>
    <row r="13" spans="1:7" s="1394" customFormat="1" x14ac:dyDescent="0.35">
      <c r="B13" s="694" t="s">
        <v>1961</v>
      </c>
      <c r="C13" s="695"/>
      <c r="D13" s="1398"/>
      <c r="E13" s="1406"/>
      <c r="F13" s="680"/>
      <c r="G13" s="696"/>
    </row>
    <row r="14" spans="1:7" s="1394" customFormat="1" x14ac:dyDescent="0.35">
      <c r="B14" s="834" t="s">
        <v>2387</v>
      </c>
      <c r="C14" s="852">
        <f>1-C69+C70+C71</f>
        <v>0.8</v>
      </c>
      <c r="D14" s="1398"/>
      <c r="E14" s="1206"/>
      <c r="F14" s="680"/>
    </row>
    <row r="15" spans="1:7" s="1394" customFormat="1" x14ac:dyDescent="0.35">
      <c r="B15" s="841" t="s">
        <v>2388</v>
      </c>
      <c r="C15" s="1407">
        <f>1-D69+D70+D71</f>
        <v>1.01</v>
      </c>
      <c r="D15" s="1398"/>
      <c r="E15" s="1206"/>
      <c r="F15" s="680"/>
    </row>
    <row r="16" spans="1:7" s="1394" customFormat="1" x14ac:dyDescent="0.35">
      <c r="B16" s="838" t="s">
        <v>2389</v>
      </c>
      <c r="C16" s="1219">
        <f>1-E69+E70+E71</f>
        <v>1.01</v>
      </c>
      <c r="D16" s="1398"/>
      <c r="E16" s="1206"/>
      <c r="F16" s="680"/>
    </row>
    <row r="17" spans="2:6" s="1394" customFormat="1" x14ac:dyDescent="0.35">
      <c r="B17" s="841" t="s">
        <v>1965</v>
      </c>
      <c r="C17" s="842">
        <f>C6*C15</f>
        <v>47769.554777777776</v>
      </c>
      <c r="D17" s="1399"/>
      <c r="E17" s="701"/>
      <c r="F17" s="683"/>
    </row>
    <row r="18" spans="2:6" s="1394" customFormat="1" x14ac:dyDescent="0.35">
      <c r="B18" s="838" t="s">
        <v>1966</v>
      </c>
      <c r="C18" s="839">
        <f>C7*C16</f>
        <v>8.0608451293594747</v>
      </c>
      <c r="D18" s="1399"/>
      <c r="E18" s="683"/>
      <c r="F18" s="683"/>
    </row>
    <row r="19" spans="2:6" s="1394" customFormat="1" x14ac:dyDescent="0.35">
      <c r="B19" s="841" t="s">
        <v>1967</v>
      </c>
      <c r="C19" s="842">
        <f>C14*C8</f>
        <v>16142.083597698911</v>
      </c>
      <c r="D19" s="1399"/>
      <c r="E19" s="701"/>
      <c r="F19" s="683"/>
    </row>
    <row r="20" spans="2:6" s="1394" customFormat="1" x14ac:dyDescent="0.35">
      <c r="B20" s="838" t="s">
        <v>1969</v>
      </c>
      <c r="C20" s="854">
        <f>C9/C19</f>
        <v>4.1506413713252606</v>
      </c>
      <c r="D20" s="1403"/>
      <c r="E20" s="690"/>
      <c r="F20" s="690"/>
    </row>
    <row r="21" spans="2:6" s="1394" customFormat="1" x14ac:dyDescent="0.35">
      <c r="B21" s="855" t="s">
        <v>1970</v>
      </c>
      <c r="C21" s="856">
        <v>16.5</v>
      </c>
      <c r="D21" s="1398"/>
      <c r="E21" s="680"/>
      <c r="F21" s="680"/>
    </row>
    <row r="22" spans="2:6" s="1394" customFormat="1" x14ac:dyDescent="0.35">
      <c r="B22" s="1408"/>
      <c r="C22" s="1408"/>
    </row>
    <row r="23" spans="2:6" s="1394" customFormat="1" x14ac:dyDescent="0.35">
      <c r="B23" s="1408"/>
      <c r="C23" s="1408"/>
    </row>
    <row r="24" spans="2:6" s="1394" customFormat="1" x14ac:dyDescent="0.35">
      <c r="B24" s="940" t="s">
        <v>2390</v>
      </c>
      <c r="C24" s="1409">
        <f>C6/$C$5</f>
        <v>705.91923714759537</v>
      </c>
    </row>
    <row r="25" spans="2:6" s="1394" customFormat="1" x14ac:dyDescent="0.35">
      <c r="B25" s="936" t="s">
        <v>2391</v>
      </c>
      <c r="C25" s="991">
        <f>C7/C5</f>
        <v>0.11911992211259753</v>
      </c>
    </row>
    <row r="26" spans="2:6" s="1394" customFormat="1" x14ac:dyDescent="0.35">
      <c r="B26" s="724" t="s">
        <v>2289</v>
      </c>
      <c r="C26" s="989">
        <f>C8/C5</f>
        <v>301.15827607647219</v>
      </c>
    </row>
    <row r="27" spans="2:6" s="1394" customFormat="1" x14ac:dyDescent="0.35">
      <c r="B27" s="936" t="s">
        <v>2290</v>
      </c>
      <c r="C27" s="992">
        <f>C9/C5</f>
        <v>1000</v>
      </c>
    </row>
    <row r="28" spans="2:6" s="1394" customFormat="1" x14ac:dyDescent="0.35">
      <c r="B28" s="732" t="s">
        <v>2392</v>
      </c>
      <c r="C28" s="1410">
        <f>C11/C5</f>
        <v>1581.4477611940299</v>
      </c>
    </row>
    <row r="29" spans="2:6" s="1394" customFormat="1" x14ac:dyDescent="0.35">
      <c r="B29" s="1408"/>
      <c r="C29" s="1408"/>
    </row>
    <row r="30" spans="2:6" s="1394" customFormat="1" ht="58" x14ac:dyDescent="0.35">
      <c r="B30" s="1411" t="s">
        <v>2393</v>
      </c>
      <c r="C30" s="1412" t="s">
        <v>2394</v>
      </c>
    </row>
    <row r="31" spans="2:6" s="1394" customFormat="1" x14ac:dyDescent="0.35">
      <c r="B31" s="1413" t="s">
        <v>2180</v>
      </c>
      <c r="C31" s="1100">
        <f>IFERROR((L222+L256)/(D222+D256),0)</f>
        <v>0</v>
      </c>
    </row>
    <row r="32" spans="2:6" s="1394" customFormat="1" x14ac:dyDescent="0.35">
      <c r="B32" s="1414" t="s">
        <v>2071</v>
      </c>
      <c r="C32" s="885">
        <f>IFERROR((L223+L257)/(D223+D257),0)</f>
        <v>282.75037472766888</v>
      </c>
    </row>
    <row r="33" spans="2:3" s="1394" customFormat="1" x14ac:dyDescent="0.35">
      <c r="B33" s="1415" t="s">
        <v>2157</v>
      </c>
      <c r="C33" s="1004">
        <f t="shared" ref="C33:C64" si="0">IFERROR((L224+L258)/(D224+D258),0)</f>
        <v>0</v>
      </c>
    </row>
    <row r="34" spans="2:3" s="1394" customFormat="1" x14ac:dyDescent="0.35">
      <c r="B34" s="1414" t="s">
        <v>2158</v>
      </c>
      <c r="C34" s="885">
        <f t="shared" si="0"/>
        <v>191.91215686274498</v>
      </c>
    </row>
    <row r="35" spans="2:3" s="1394" customFormat="1" x14ac:dyDescent="0.35">
      <c r="B35" s="1415" t="s">
        <v>2028</v>
      </c>
      <c r="C35" s="1004">
        <f t="shared" si="0"/>
        <v>254.19834558823516</v>
      </c>
    </row>
    <row r="36" spans="2:3" s="1394" customFormat="1" x14ac:dyDescent="0.35">
      <c r="B36" s="1414" t="s">
        <v>2109</v>
      </c>
      <c r="C36" s="885">
        <f t="shared" si="0"/>
        <v>0</v>
      </c>
    </row>
    <row r="37" spans="2:3" s="1394" customFormat="1" x14ac:dyDescent="0.35">
      <c r="B37" s="1415" t="s">
        <v>2026</v>
      </c>
      <c r="C37" s="1004">
        <f t="shared" si="0"/>
        <v>0</v>
      </c>
    </row>
    <row r="38" spans="2:3" s="1394" customFormat="1" x14ac:dyDescent="0.35">
      <c r="B38" s="1414" t="s">
        <v>2075</v>
      </c>
      <c r="C38" s="885">
        <f t="shared" si="0"/>
        <v>242.28659926470573</v>
      </c>
    </row>
    <row r="39" spans="2:3" s="1394" customFormat="1" x14ac:dyDescent="0.35">
      <c r="B39" s="1415" t="s">
        <v>2029</v>
      </c>
      <c r="C39" s="1004">
        <f t="shared" si="0"/>
        <v>0</v>
      </c>
    </row>
    <row r="40" spans="2:3" s="1394" customFormat="1" x14ac:dyDescent="0.35">
      <c r="B40" s="1414" t="s">
        <v>2356</v>
      </c>
      <c r="C40" s="885">
        <f t="shared" si="0"/>
        <v>0</v>
      </c>
    </row>
    <row r="41" spans="2:3" s="1394" customFormat="1" x14ac:dyDescent="0.35">
      <c r="B41" s="1415" t="s">
        <v>2357</v>
      </c>
      <c r="C41" s="1004">
        <f t="shared" si="0"/>
        <v>0</v>
      </c>
    </row>
    <row r="42" spans="2:3" s="1394" customFormat="1" x14ac:dyDescent="0.35">
      <c r="B42" s="1414" t="s">
        <v>2358</v>
      </c>
      <c r="C42" s="885">
        <f t="shared" si="0"/>
        <v>0</v>
      </c>
    </row>
    <row r="43" spans="2:3" s="1394" customFormat="1" x14ac:dyDescent="0.35">
      <c r="B43" s="1415" t="s">
        <v>2162</v>
      </c>
      <c r="C43" s="1004">
        <f t="shared" si="0"/>
        <v>0</v>
      </c>
    </row>
    <row r="44" spans="2:3" s="1394" customFormat="1" x14ac:dyDescent="0.35">
      <c r="B44" s="1414" t="s">
        <v>2325</v>
      </c>
      <c r="C44" s="885">
        <f t="shared" si="0"/>
        <v>0</v>
      </c>
    </row>
    <row r="45" spans="2:3" s="1394" customFormat="1" x14ac:dyDescent="0.35">
      <c r="B45" s="1415" t="s">
        <v>2073</v>
      </c>
      <c r="C45" s="1004">
        <f t="shared" si="0"/>
        <v>0</v>
      </c>
    </row>
    <row r="46" spans="2:3" s="1394" customFormat="1" x14ac:dyDescent="0.35">
      <c r="B46" s="1414" t="s">
        <v>2166</v>
      </c>
      <c r="C46" s="885">
        <f t="shared" si="0"/>
        <v>0</v>
      </c>
    </row>
    <row r="47" spans="2:3" s="1394" customFormat="1" x14ac:dyDescent="0.35">
      <c r="B47" s="1415" t="s">
        <v>2163</v>
      </c>
      <c r="C47" s="1004">
        <f t="shared" si="0"/>
        <v>153.47886029411754</v>
      </c>
    </row>
    <row r="48" spans="2:3" s="1394" customFormat="1" x14ac:dyDescent="0.35">
      <c r="B48" s="1414" t="s">
        <v>2181</v>
      </c>
      <c r="C48" s="885">
        <f t="shared" si="0"/>
        <v>0</v>
      </c>
    </row>
    <row r="49" spans="2:3" s="1394" customFormat="1" x14ac:dyDescent="0.35">
      <c r="B49" s="1415" t="s">
        <v>2164</v>
      </c>
      <c r="C49" s="1004">
        <f t="shared" si="0"/>
        <v>0</v>
      </c>
    </row>
    <row r="50" spans="2:3" s="1394" customFormat="1" x14ac:dyDescent="0.35">
      <c r="B50" s="1414" t="s">
        <v>2336</v>
      </c>
      <c r="C50" s="885">
        <f t="shared" si="0"/>
        <v>0</v>
      </c>
    </row>
    <row r="51" spans="2:3" s="1394" customFormat="1" x14ac:dyDescent="0.35">
      <c r="B51" s="1415" t="s">
        <v>2165</v>
      </c>
      <c r="C51" s="1004">
        <f t="shared" si="0"/>
        <v>0</v>
      </c>
    </row>
    <row r="52" spans="2:3" s="1394" customFormat="1" x14ac:dyDescent="0.35">
      <c r="B52" s="1414" t="s">
        <v>2167</v>
      </c>
      <c r="C52" s="885">
        <f t="shared" si="0"/>
        <v>0</v>
      </c>
    </row>
    <row r="53" spans="2:3" s="1394" customFormat="1" x14ac:dyDescent="0.35">
      <c r="B53" s="1415" t="s">
        <v>2168</v>
      </c>
      <c r="C53" s="1004">
        <f t="shared" si="0"/>
        <v>0</v>
      </c>
    </row>
    <row r="54" spans="2:3" s="1394" customFormat="1" x14ac:dyDescent="0.35">
      <c r="B54" s="1414" t="s">
        <v>2169</v>
      </c>
      <c r="C54" s="885">
        <f t="shared" si="0"/>
        <v>0</v>
      </c>
    </row>
    <row r="55" spans="2:3" s="1394" customFormat="1" x14ac:dyDescent="0.35">
      <c r="B55" s="1415" t="s">
        <v>2170</v>
      </c>
      <c r="C55" s="1004">
        <f t="shared" si="0"/>
        <v>0</v>
      </c>
    </row>
    <row r="56" spans="2:3" s="1394" customFormat="1" x14ac:dyDescent="0.35">
      <c r="B56" s="1414" t="s">
        <v>2171</v>
      </c>
      <c r="C56" s="885">
        <f t="shared" si="0"/>
        <v>0</v>
      </c>
    </row>
    <row r="57" spans="2:3" s="1394" customFormat="1" x14ac:dyDescent="0.35">
      <c r="B57" s="1415" t="s">
        <v>2172</v>
      </c>
      <c r="C57" s="1004">
        <f t="shared" si="0"/>
        <v>388.90536183264697</v>
      </c>
    </row>
    <row r="58" spans="2:3" s="1394" customFormat="1" x14ac:dyDescent="0.35">
      <c r="B58" s="1414" t="s">
        <v>2173</v>
      </c>
      <c r="C58" s="885">
        <f t="shared" si="0"/>
        <v>244.73382352941158</v>
      </c>
    </row>
    <row r="59" spans="2:3" s="1394" customFormat="1" x14ac:dyDescent="0.35">
      <c r="B59" s="1415" t="s">
        <v>2174</v>
      </c>
      <c r="C59" s="1004">
        <f t="shared" si="0"/>
        <v>314.04705882352931</v>
      </c>
    </row>
    <row r="60" spans="2:3" s="1394" customFormat="1" x14ac:dyDescent="0.35">
      <c r="B60" s="1414" t="s">
        <v>2175</v>
      </c>
      <c r="C60" s="885">
        <f t="shared" si="0"/>
        <v>0</v>
      </c>
    </row>
    <row r="61" spans="2:3" s="1394" customFormat="1" x14ac:dyDescent="0.35">
      <c r="B61" s="1415" t="s">
        <v>2176</v>
      </c>
      <c r="C61" s="1004">
        <f t="shared" si="0"/>
        <v>232.68235294117633</v>
      </c>
    </row>
    <row r="62" spans="2:3" s="1394" customFormat="1" x14ac:dyDescent="0.35">
      <c r="B62" s="1414" t="s">
        <v>2177</v>
      </c>
      <c r="C62" s="885">
        <f t="shared" si="0"/>
        <v>288.12705882352924</v>
      </c>
    </row>
    <row r="63" spans="2:3" s="1394" customFormat="1" x14ac:dyDescent="0.35">
      <c r="B63" s="1415" t="s">
        <v>2027</v>
      </c>
      <c r="C63" s="1004">
        <f t="shared" si="0"/>
        <v>246.8285343137253</v>
      </c>
    </row>
    <row r="64" spans="2:3" s="1394" customFormat="1" x14ac:dyDescent="0.35">
      <c r="B64" s="1416" t="s">
        <v>536</v>
      </c>
      <c r="C64" s="1417">
        <f t="shared" si="0"/>
        <v>285.43666666666644</v>
      </c>
    </row>
    <row r="65" spans="1:13" s="1394" customFormat="1" x14ac:dyDescent="0.35">
      <c r="B65" s="1408"/>
      <c r="C65" s="1408"/>
    </row>
    <row r="66" spans="1:13" s="1394" customFormat="1" ht="21" hidden="1" x14ac:dyDescent="0.5">
      <c r="A66" s="1395" t="s">
        <v>2064</v>
      </c>
      <c r="B66" s="1408"/>
      <c r="C66" s="1408"/>
    </row>
    <row r="67" spans="1:13" s="1394" customFormat="1" hidden="1" x14ac:dyDescent="0.35"/>
    <row r="68" spans="1:13" s="1394" customFormat="1" ht="29" hidden="1" x14ac:dyDescent="0.35">
      <c r="C68" s="1418" t="s">
        <v>2395</v>
      </c>
      <c r="D68" s="1419" t="s">
        <v>2396</v>
      </c>
      <c r="E68" s="1420" t="s">
        <v>2397</v>
      </c>
    </row>
    <row r="69" spans="1:13" hidden="1" x14ac:dyDescent="0.35">
      <c r="A69" s="1394"/>
      <c r="B69" s="1421" t="s">
        <v>1416</v>
      </c>
      <c r="C69" s="1422">
        <v>0.4</v>
      </c>
      <c r="D69" s="1423">
        <v>0</v>
      </c>
      <c r="E69" s="1424">
        <v>0</v>
      </c>
      <c r="F69" s="1394"/>
      <c r="G69" s="1394"/>
      <c r="H69" s="1394"/>
    </row>
    <row r="70" spans="1:13" hidden="1" x14ac:dyDescent="0.35">
      <c r="A70" s="1394"/>
      <c r="B70" s="1425" t="s">
        <v>2066</v>
      </c>
      <c r="C70" s="1426">
        <v>0.2</v>
      </c>
      <c r="D70" s="1427">
        <v>0</v>
      </c>
      <c r="E70" s="1428">
        <v>0</v>
      </c>
      <c r="F70" s="1394"/>
      <c r="G70" s="1394"/>
      <c r="H70" s="1394"/>
    </row>
    <row r="71" spans="1:13" hidden="1" x14ac:dyDescent="0.35">
      <c r="A71" s="1394"/>
      <c r="B71" s="1429" t="s">
        <v>2067</v>
      </c>
      <c r="C71" s="1430">
        <v>0</v>
      </c>
      <c r="D71" s="1431">
        <v>0.01</v>
      </c>
      <c r="E71" s="1432">
        <v>0.01</v>
      </c>
      <c r="F71" s="1394"/>
      <c r="G71" s="1394"/>
      <c r="H71" s="1394"/>
    </row>
    <row r="72" spans="1:13" s="1394" customFormat="1" x14ac:dyDescent="0.35"/>
    <row r="73" spans="1:13" s="1394" customFormat="1" ht="21" x14ac:dyDescent="0.5">
      <c r="A73" s="1395" t="s">
        <v>1977</v>
      </c>
    </row>
    <row r="74" spans="1:13" s="1394" customFormat="1" x14ac:dyDescent="0.35"/>
    <row r="75" spans="1:13" s="1394" customFormat="1" ht="18" customHeight="1" x14ac:dyDescent="0.35">
      <c r="B75" s="3058" t="s">
        <v>2039</v>
      </c>
      <c r="C75" s="3059"/>
    </row>
    <row r="76" spans="1:13" s="1394" customFormat="1" x14ac:dyDescent="0.35">
      <c r="B76" s="1433" t="s">
        <v>2398</v>
      </c>
      <c r="C76" s="1434" t="s">
        <v>2399</v>
      </c>
    </row>
    <row r="77" spans="1:13" x14ac:dyDescent="0.35">
      <c r="A77" s="1394"/>
      <c r="B77" s="1435" t="s">
        <v>2400</v>
      </c>
      <c r="C77" s="1436">
        <v>0.8</v>
      </c>
      <c r="D77" s="1394"/>
      <c r="E77" s="1394"/>
    </row>
    <row r="78" spans="1:13" x14ac:dyDescent="0.35">
      <c r="A78" s="1394"/>
      <c r="B78" s="1437" t="s">
        <v>2401</v>
      </c>
      <c r="C78" s="1438">
        <v>0.8</v>
      </c>
      <c r="D78" s="1394"/>
      <c r="E78" s="1394"/>
    </row>
    <row r="79" spans="1:13" s="1394" customFormat="1" x14ac:dyDescent="0.35">
      <c r="J79" s="1195"/>
      <c r="K79" s="1195"/>
      <c r="M79" s="1206"/>
    </row>
    <row r="80" spans="1:13" s="1394" customFormat="1" ht="18.75" customHeight="1" x14ac:dyDescent="0.45">
      <c r="B80" s="675"/>
      <c r="E80" s="3033" t="s">
        <v>3904</v>
      </c>
      <c r="F80" s="3034"/>
      <c r="G80" s="3034"/>
      <c r="H80" s="3034"/>
      <c r="I80" s="3051"/>
    </row>
    <row r="81" spans="1:20" s="1394" customFormat="1" ht="29" x14ac:dyDescent="0.35">
      <c r="B81" s="997" t="s">
        <v>2019</v>
      </c>
      <c r="C81" s="2693" t="s">
        <v>2402</v>
      </c>
      <c r="D81" s="2694" t="s">
        <v>1368</v>
      </c>
      <c r="E81" s="1182" t="s">
        <v>2309</v>
      </c>
      <c r="F81" s="1183" t="s">
        <v>2310</v>
      </c>
      <c r="G81" s="1183" t="s">
        <v>2311</v>
      </c>
      <c r="H81" s="1183" t="s">
        <v>2312</v>
      </c>
      <c r="I81" s="1319" t="s">
        <v>2313</v>
      </c>
      <c r="L81" s="3036" t="s">
        <v>2403</v>
      </c>
      <c r="M81" s="3037"/>
      <c r="N81" s="3037"/>
      <c r="O81" s="3037"/>
      <c r="P81" s="3037"/>
      <c r="Q81" s="3037"/>
      <c r="R81" s="3037"/>
      <c r="S81" s="3037"/>
      <c r="T81" s="3038"/>
    </row>
    <row r="82" spans="1:20" x14ac:dyDescent="0.35">
      <c r="A82" s="1394"/>
      <c r="B82" s="1136" t="s">
        <v>2180</v>
      </c>
      <c r="C82" s="1439">
        <v>2150</v>
      </c>
      <c r="D82" s="1440">
        <v>0.48299999999999998</v>
      </c>
      <c r="E82" s="1186">
        <v>1787</v>
      </c>
      <c r="F82" s="1187">
        <v>1831</v>
      </c>
      <c r="G82" s="1187">
        <v>1635</v>
      </c>
      <c r="H82" s="1187">
        <v>1089</v>
      </c>
      <c r="I82" s="1320">
        <v>1669</v>
      </c>
      <c r="K82" s="1441"/>
      <c r="L82" s="869" t="s">
        <v>1981</v>
      </c>
      <c r="M82" s="870"/>
      <c r="N82" s="870"/>
      <c r="O82" s="870"/>
      <c r="P82" s="870"/>
      <c r="Q82" s="870"/>
      <c r="R82" s="870"/>
      <c r="S82" s="870"/>
      <c r="T82" s="871"/>
    </row>
    <row r="83" spans="1:20" x14ac:dyDescent="0.35">
      <c r="B83" s="1146" t="s">
        <v>2071</v>
      </c>
      <c r="C83" s="1443">
        <v>4373</v>
      </c>
      <c r="D83" s="1444">
        <v>0.52900000000000003</v>
      </c>
      <c r="E83" s="1190">
        <v>1683</v>
      </c>
      <c r="F83" s="1191">
        <v>1646</v>
      </c>
      <c r="G83" s="1191">
        <v>1446</v>
      </c>
      <c r="H83" s="1191">
        <v>1063</v>
      </c>
      <c r="I83" s="1321">
        <v>1277</v>
      </c>
      <c r="K83" s="1441"/>
      <c r="L83" s="873" t="s">
        <v>2404</v>
      </c>
      <c r="M83" s="698"/>
      <c r="N83" s="698"/>
      <c r="O83" s="698"/>
      <c r="P83" s="698"/>
      <c r="Q83" s="698"/>
      <c r="R83" s="698"/>
      <c r="S83" s="698"/>
      <c r="T83" s="874"/>
    </row>
    <row r="84" spans="1:20" x14ac:dyDescent="0.35">
      <c r="B84" s="2683" t="s">
        <v>3906</v>
      </c>
      <c r="C84" s="1443"/>
      <c r="D84" s="1444"/>
      <c r="E84" s="2684">
        <v>2981</v>
      </c>
      <c r="F84" s="2684">
        <v>2950</v>
      </c>
      <c r="G84" s="2684">
        <v>2694</v>
      </c>
      <c r="H84" s="2684">
        <v>2368</v>
      </c>
      <c r="I84" s="2684">
        <v>2437</v>
      </c>
      <c r="K84" s="1441"/>
      <c r="L84" s="873" t="s">
        <v>2405</v>
      </c>
      <c r="M84" s="1193"/>
      <c r="N84" s="1193"/>
      <c r="O84" s="698"/>
      <c r="P84" s="698"/>
      <c r="Q84" s="698"/>
      <c r="R84" s="698"/>
      <c r="S84" s="698"/>
      <c r="T84" s="874"/>
    </row>
    <row r="85" spans="1:20" x14ac:dyDescent="0.35">
      <c r="B85" s="2680" t="s">
        <v>2157</v>
      </c>
      <c r="C85" s="1443">
        <v>1605</v>
      </c>
      <c r="D85" s="1444">
        <v>0.14199999999999999</v>
      </c>
      <c r="E85" s="2681">
        <v>1256</v>
      </c>
      <c r="F85" s="2681">
        <v>1293</v>
      </c>
      <c r="G85" s="2681">
        <v>1138</v>
      </c>
      <c r="H85" s="2681">
        <v>1116</v>
      </c>
      <c r="I85" s="2681">
        <v>1131</v>
      </c>
      <c r="K85" s="1441"/>
      <c r="L85" s="873" t="s">
        <v>2406</v>
      </c>
      <c r="M85" s="1193"/>
      <c r="N85" s="1193"/>
      <c r="O85" s="698"/>
      <c r="P85" s="698"/>
      <c r="Q85" s="698"/>
      <c r="R85" s="698"/>
      <c r="S85" s="698"/>
      <c r="T85" s="874"/>
    </row>
    <row r="86" spans="1:20" x14ac:dyDescent="0.35">
      <c r="B86" s="1146" t="s">
        <v>2158</v>
      </c>
      <c r="C86" s="1443">
        <v>2084</v>
      </c>
      <c r="D86" s="1444">
        <v>0.57099999999999995</v>
      </c>
      <c r="E86" s="1190">
        <v>1481</v>
      </c>
      <c r="F86" s="1191">
        <v>1368</v>
      </c>
      <c r="G86" s="1191">
        <v>1214</v>
      </c>
      <c r="H86" s="1191">
        <v>871</v>
      </c>
      <c r="I86" s="1321">
        <v>973</v>
      </c>
      <c r="K86" s="1441"/>
      <c r="L86" s="1194" t="s">
        <v>2407</v>
      </c>
      <c r="M86" s="1193"/>
      <c r="N86" s="1193"/>
      <c r="O86" s="698"/>
      <c r="P86" s="698"/>
      <c r="Q86" s="698"/>
      <c r="R86" s="698"/>
      <c r="S86" s="698"/>
      <c r="T86" s="874"/>
    </row>
    <row r="87" spans="1:20" x14ac:dyDescent="0.35">
      <c r="B87" s="2683" t="s">
        <v>3907</v>
      </c>
      <c r="C87" s="1446"/>
      <c r="D87" s="1447"/>
      <c r="E87" s="2684">
        <v>2848</v>
      </c>
      <c r="F87" s="2684">
        <v>2947</v>
      </c>
      <c r="G87" s="2684">
        <v>2568</v>
      </c>
      <c r="H87" s="2684">
        <v>2362</v>
      </c>
      <c r="I87" s="2684">
        <v>2516</v>
      </c>
      <c r="K87" s="1441"/>
      <c r="L87" s="1194" t="s">
        <v>2408</v>
      </c>
      <c r="M87" s="1193"/>
      <c r="N87" s="1193"/>
      <c r="O87" s="698"/>
      <c r="P87" s="698"/>
      <c r="Q87" s="698"/>
      <c r="R87" s="698"/>
      <c r="S87" s="698"/>
      <c r="T87" s="874"/>
    </row>
    <row r="88" spans="1:20" x14ac:dyDescent="0.35">
      <c r="B88" s="2680" t="s">
        <v>2028</v>
      </c>
      <c r="C88" s="1446">
        <v>3276</v>
      </c>
      <c r="D88" s="1447">
        <v>0.33300000000000002</v>
      </c>
      <c r="E88" s="2681">
        <v>1614</v>
      </c>
      <c r="F88" s="2681">
        <v>1603</v>
      </c>
      <c r="G88" s="2681">
        <v>1409</v>
      </c>
      <c r="H88" s="2681">
        <v>1209</v>
      </c>
      <c r="I88" s="2681">
        <v>1269</v>
      </c>
      <c r="K88" s="1441"/>
      <c r="L88" s="1194" t="s">
        <v>2409</v>
      </c>
      <c r="M88" s="1193"/>
      <c r="N88" s="1193"/>
      <c r="O88" s="698" t="s">
        <v>2410</v>
      </c>
      <c r="P88" s="698"/>
      <c r="Q88" s="698"/>
      <c r="R88" s="698"/>
      <c r="S88" s="698"/>
      <c r="T88" s="874"/>
    </row>
    <row r="89" spans="1:20" x14ac:dyDescent="0.35">
      <c r="B89" s="1146" t="s">
        <v>2109</v>
      </c>
      <c r="C89" s="1443">
        <v>2102</v>
      </c>
      <c r="D89" s="1444">
        <v>0.61899999999999999</v>
      </c>
      <c r="E89" s="1190">
        <v>985</v>
      </c>
      <c r="F89" s="1191">
        <v>969</v>
      </c>
      <c r="G89" s="1191">
        <v>852</v>
      </c>
      <c r="H89" s="1191">
        <v>680</v>
      </c>
      <c r="I89" s="1321">
        <v>752</v>
      </c>
      <c r="K89" s="1441"/>
      <c r="L89" s="1196" t="s">
        <v>2411</v>
      </c>
      <c r="M89" s="1197"/>
      <c r="N89" s="1197"/>
      <c r="O89" s="1198"/>
      <c r="P89" s="1198"/>
      <c r="Q89" s="1198"/>
      <c r="R89" s="1198"/>
      <c r="S89" s="1197"/>
      <c r="T89" s="1199"/>
    </row>
    <row r="90" spans="1:20" x14ac:dyDescent="0.35">
      <c r="B90" s="2680" t="s">
        <v>2026</v>
      </c>
      <c r="C90" s="1443">
        <v>2096</v>
      </c>
      <c r="D90" s="1444">
        <v>0.47499999999999998</v>
      </c>
      <c r="E90" s="2681">
        <v>1467</v>
      </c>
      <c r="F90" s="2681">
        <v>1551</v>
      </c>
      <c r="G90" s="2681">
        <v>1364</v>
      </c>
      <c r="H90" s="2681">
        <v>1367</v>
      </c>
      <c r="I90" s="2681">
        <v>1375</v>
      </c>
      <c r="K90" s="1441"/>
      <c r="L90" s="869" t="s">
        <v>1990</v>
      </c>
      <c r="M90" s="870"/>
      <c r="N90" s="870"/>
      <c r="O90" s="1203"/>
      <c r="P90" s="1203"/>
      <c r="Q90" s="1203"/>
      <c r="R90" s="1203"/>
      <c r="S90" s="1204"/>
      <c r="T90" s="1205"/>
    </row>
    <row r="91" spans="1:20" x14ac:dyDescent="0.35">
      <c r="B91" s="2680" t="s">
        <v>2075</v>
      </c>
      <c r="C91" s="1443">
        <v>1987</v>
      </c>
      <c r="D91" s="1444">
        <v>0.61899999999999999</v>
      </c>
      <c r="E91" s="2681">
        <v>1446</v>
      </c>
      <c r="F91" s="2681">
        <v>1526</v>
      </c>
      <c r="G91" s="2681">
        <v>1452</v>
      </c>
      <c r="H91" s="2681">
        <v>1553</v>
      </c>
      <c r="I91" s="2681">
        <v>1574</v>
      </c>
      <c r="K91" s="1441"/>
      <c r="L91" s="873" t="s">
        <v>1365</v>
      </c>
      <c r="M91" s="698" t="s">
        <v>1992</v>
      </c>
      <c r="N91" s="698" t="s">
        <v>2320</v>
      </c>
      <c r="O91" s="1206"/>
      <c r="P91" s="1206"/>
      <c r="Q91" s="1206"/>
      <c r="R91" s="1206"/>
      <c r="S91" s="1193"/>
      <c r="T91" s="1207"/>
    </row>
    <row r="92" spans="1:20" x14ac:dyDescent="0.35">
      <c r="B92" s="2680" t="s">
        <v>2029</v>
      </c>
      <c r="C92" s="1443">
        <v>3141</v>
      </c>
      <c r="D92" s="1444">
        <v>0.28799999999999998</v>
      </c>
      <c r="E92" s="2681">
        <v>1807</v>
      </c>
      <c r="F92" s="2681">
        <v>1855</v>
      </c>
      <c r="G92" s="2681">
        <v>1649</v>
      </c>
      <c r="H92" s="2681">
        <v>1591</v>
      </c>
      <c r="I92" s="2681">
        <v>1622</v>
      </c>
      <c r="K92" s="1441"/>
      <c r="L92" s="873" t="s">
        <v>476</v>
      </c>
      <c r="M92" s="698" t="s">
        <v>1992</v>
      </c>
      <c r="N92" s="698" t="s">
        <v>1366</v>
      </c>
      <c r="O92" s="1206"/>
      <c r="P92" s="1206"/>
      <c r="Q92" s="1206"/>
      <c r="R92" s="1206"/>
      <c r="S92" s="1193"/>
      <c r="T92" s="1207"/>
    </row>
    <row r="93" spans="1:20" x14ac:dyDescent="0.35">
      <c r="B93" s="2680" t="s">
        <v>2159</v>
      </c>
      <c r="C93" s="1443">
        <v>8760</v>
      </c>
      <c r="D93" s="1444">
        <v>0.64800000000000002</v>
      </c>
      <c r="E93" s="2681">
        <v>1216</v>
      </c>
      <c r="F93" s="2681">
        <v>1220</v>
      </c>
      <c r="G93" s="2681">
        <v>1072</v>
      </c>
      <c r="H93" s="2681">
        <v>1001</v>
      </c>
      <c r="I93" s="2681">
        <v>1028</v>
      </c>
      <c r="K93" s="1441"/>
      <c r="L93" s="873" t="s">
        <v>440</v>
      </c>
      <c r="M93" s="698" t="s">
        <v>1992</v>
      </c>
      <c r="N93" s="698" t="s">
        <v>2412</v>
      </c>
      <c r="O93" s="1206"/>
      <c r="P93" s="1206"/>
      <c r="Q93" s="1206"/>
      <c r="R93" s="1206"/>
      <c r="S93" s="1193"/>
      <c r="T93" s="1207"/>
    </row>
    <row r="94" spans="1:20" x14ac:dyDescent="0.35">
      <c r="B94" s="2680" t="s">
        <v>2160</v>
      </c>
      <c r="C94" s="1443">
        <v>2881</v>
      </c>
      <c r="D94" s="1444">
        <v>0.61499999999999999</v>
      </c>
      <c r="E94" s="2681">
        <v>1387</v>
      </c>
      <c r="F94" s="2681">
        <v>1398</v>
      </c>
      <c r="G94" s="2681">
        <v>1252</v>
      </c>
      <c r="H94" s="2681">
        <v>1222</v>
      </c>
      <c r="I94" s="2681">
        <v>1269</v>
      </c>
      <c r="K94" s="1441"/>
      <c r="L94" s="1208" t="s">
        <v>2399</v>
      </c>
      <c r="M94" s="1206" t="s">
        <v>1992</v>
      </c>
      <c r="N94" s="1193" t="s">
        <v>2413</v>
      </c>
      <c r="O94" s="1206"/>
      <c r="P94" s="1206"/>
      <c r="Q94" s="1206"/>
      <c r="R94" s="1206"/>
      <c r="S94" s="1193"/>
      <c r="T94" s="1207"/>
    </row>
    <row r="95" spans="1:20" x14ac:dyDescent="0.35">
      <c r="B95" s="2680" t="s">
        <v>2161</v>
      </c>
      <c r="C95" s="1443">
        <v>2788</v>
      </c>
      <c r="D95" s="1444">
        <v>0.57599999999999996</v>
      </c>
      <c r="E95" s="2682">
        <v>665</v>
      </c>
      <c r="F95" s="2682">
        <v>697</v>
      </c>
      <c r="G95" s="2682">
        <v>628</v>
      </c>
      <c r="H95" s="2682">
        <v>646</v>
      </c>
      <c r="I95" s="2682">
        <v>615</v>
      </c>
      <c r="K95" s="1441"/>
      <c r="L95" s="1194" t="s">
        <v>2414</v>
      </c>
      <c r="M95" s="1193" t="s">
        <v>2112</v>
      </c>
      <c r="N95" s="1206" t="s">
        <v>2415</v>
      </c>
      <c r="O95" s="1206"/>
      <c r="P95" s="1206"/>
      <c r="Q95" s="1206"/>
      <c r="R95" s="1206"/>
      <c r="S95" s="1193"/>
      <c r="T95" s="1207"/>
    </row>
    <row r="96" spans="1:20" x14ac:dyDescent="0.35">
      <c r="B96" s="2680" t="s">
        <v>2162</v>
      </c>
      <c r="C96" s="1443">
        <v>8729</v>
      </c>
      <c r="D96" s="1444">
        <v>0.60899999999999999</v>
      </c>
      <c r="E96" s="2681">
        <v>1622</v>
      </c>
      <c r="F96" s="2681">
        <v>1571</v>
      </c>
      <c r="G96" s="2681">
        <v>1374</v>
      </c>
      <c r="H96" s="2681">
        <v>1220</v>
      </c>
      <c r="I96" s="2681">
        <v>1281</v>
      </c>
      <c r="K96" s="1441"/>
      <c r="L96" s="933" t="s">
        <v>2334</v>
      </c>
      <c r="M96" s="934" t="s">
        <v>2112</v>
      </c>
      <c r="N96" s="934" t="s">
        <v>2416</v>
      </c>
      <c r="O96" s="1198"/>
      <c r="P96" s="1198"/>
      <c r="Q96" s="1198"/>
      <c r="R96" s="1198"/>
      <c r="S96" s="1197"/>
      <c r="T96" s="1199"/>
    </row>
    <row r="97" spans="2:23" x14ac:dyDescent="0.35">
      <c r="B97" s="2680" t="s">
        <v>2325</v>
      </c>
      <c r="C97" s="1448">
        <v>8712</v>
      </c>
      <c r="D97" s="1449">
        <v>0.629</v>
      </c>
      <c r="E97" s="2681">
        <v>1597</v>
      </c>
      <c r="F97" s="2681">
        <v>1634</v>
      </c>
      <c r="G97" s="2681">
        <v>1468</v>
      </c>
      <c r="H97" s="2681">
        <v>1376</v>
      </c>
      <c r="I97" s="2681">
        <v>1451</v>
      </c>
      <c r="K97" s="1441"/>
      <c r="L97" s="1204"/>
      <c r="M97" s="1204"/>
      <c r="N97" s="1204"/>
      <c r="O97" s="870"/>
      <c r="P97" s="870"/>
      <c r="Q97" s="870"/>
      <c r="R97" s="870"/>
      <c r="S97" s="870"/>
      <c r="T97" s="870"/>
    </row>
    <row r="98" spans="2:23" x14ac:dyDescent="0.35">
      <c r="B98" s="2680" t="s">
        <v>2073</v>
      </c>
      <c r="C98" s="1443">
        <v>8712</v>
      </c>
      <c r="D98" s="1444">
        <v>0.64600000000000002</v>
      </c>
      <c r="E98" s="2681">
        <v>1670</v>
      </c>
      <c r="F98" s="2681">
        <v>1733</v>
      </c>
      <c r="G98" s="2681">
        <v>1549</v>
      </c>
      <c r="H98" s="2681">
        <v>1496</v>
      </c>
      <c r="I98" s="2681">
        <v>1557</v>
      </c>
      <c r="K98" s="1441"/>
      <c r="L98" s="1193"/>
      <c r="M98" s="1193"/>
      <c r="N98" s="1193"/>
      <c r="O98" s="698"/>
      <c r="P98" s="698"/>
      <c r="Q98" s="698"/>
      <c r="R98" s="698"/>
      <c r="S98" s="698"/>
      <c r="T98" s="698"/>
    </row>
    <row r="99" spans="2:23" x14ac:dyDescent="0.35">
      <c r="B99" s="2680" t="s">
        <v>2166</v>
      </c>
      <c r="C99" s="1443">
        <v>4479</v>
      </c>
      <c r="D99" s="1444">
        <v>0.629</v>
      </c>
      <c r="E99" s="2681">
        <v>1555</v>
      </c>
      <c r="F99" s="2681">
        <v>1597</v>
      </c>
      <c r="G99" s="2681">
        <v>1433</v>
      </c>
      <c r="H99" s="2681">
        <v>1316</v>
      </c>
      <c r="I99" s="2681">
        <v>1400</v>
      </c>
      <c r="K99" s="1441"/>
    </row>
    <row r="100" spans="2:23" x14ac:dyDescent="0.35">
      <c r="B100" s="1144" t="s">
        <v>2163</v>
      </c>
      <c r="C100" s="1443">
        <v>2805</v>
      </c>
      <c r="D100" s="1444">
        <v>0.433</v>
      </c>
      <c r="E100" s="1200">
        <v>1048</v>
      </c>
      <c r="F100" s="1201">
        <v>1013</v>
      </c>
      <c r="G100" s="1201">
        <v>939</v>
      </c>
      <c r="H100" s="1201">
        <v>567</v>
      </c>
      <c r="I100" s="1322">
        <v>634</v>
      </c>
      <c r="K100" s="1441"/>
    </row>
    <row r="101" spans="2:23" x14ac:dyDescent="0.35">
      <c r="B101" s="2683" t="s">
        <v>2181</v>
      </c>
      <c r="C101" s="1443">
        <v>4237</v>
      </c>
      <c r="D101" s="1449">
        <v>0.437</v>
      </c>
      <c r="E101" s="2684">
        <v>1565</v>
      </c>
      <c r="F101" s="2684">
        <v>1540</v>
      </c>
      <c r="G101" s="2684">
        <v>1448</v>
      </c>
      <c r="H101" s="2684">
        <v>1089</v>
      </c>
      <c r="I101" s="2684">
        <v>1125</v>
      </c>
      <c r="K101" s="1441"/>
      <c r="L101" s="1193"/>
      <c r="M101" s="1193"/>
      <c r="N101" s="1193"/>
      <c r="O101" s="698"/>
      <c r="P101" s="698"/>
      <c r="Q101" s="698"/>
      <c r="R101" s="698"/>
      <c r="S101" s="698"/>
      <c r="T101" s="698"/>
    </row>
    <row r="102" spans="2:23" x14ac:dyDescent="0.35">
      <c r="B102" s="2683" t="s">
        <v>2164</v>
      </c>
      <c r="C102" s="1448">
        <v>4237</v>
      </c>
      <c r="D102" s="1444">
        <v>0.437</v>
      </c>
      <c r="E102" s="2685">
        <v>537</v>
      </c>
      <c r="F102" s="2685">
        <v>558</v>
      </c>
      <c r="G102" s="2685">
        <v>501</v>
      </c>
      <c r="H102" s="2685">
        <v>480</v>
      </c>
      <c r="I102" s="2685">
        <v>499</v>
      </c>
      <c r="K102" s="1441"/>
      <c r="L102" s="1193"/>
      <c r="M102" s="1193"/>
      <c r="N102" s="1193"/>
      <c r="O102" s="698"/>
      <c r="P102" s="698"/>
      <c r="Q102" s="698"/>
      <c r="R102" s="698"/>
      <c r="S102" s="698"/>
      <c r="T102" s="698"/>
    </row>
    <row r="103" spans="2:23" x14ac:dyDescent="0.35">
      <c r="B103" s="2683" t="s">
        <v>2336</v>
      </c>
      <c r="C103" s="1448">
        <v>4237</v>
      </c>
      <c r="D103" s="1449">
        <v>0.43</v>
      </c>
      <c r="E103" s="2684">
        <v>1665</v>
      </c>
      <c r="F103" s="2684">
        <v>1666</v>
      </c>
      <c r="G103" s="2684">
        <v>1512</v>
      </c>
      <c r="H103" s="2684">
        <v>1145</v>
      </c>
      <c r="I103" s="2684">
        <v>1207</v>
      </c>
      <c r="K103" s="1441"/>
      <c r="L103" s="1193"/>
      <c r="M103" s="1193"/>
      <c r="N103" s="1193"/>
      <c r="O103" s="698"/>
      <c r="P103" s="698"/>
      <c r="Q103" s="698"/>
      <c r="R103" s="698"/>
      <c r="S103" s="698"/>
      <c r="T103" s="698"/>
    </row>
    <row r="104" spans="2:23" x14ac:dyDescent="0.35">
      <c r="B104" s="2683" t="s">
        <v>2165</v>
      </c>
      <c r="C104" s="1443">
        <v>2899</v>
      </c>
      <c r="D104" s="1444">
        <v>0.24299999999999999</v>
      </c>
      <c r="E104" s="2684">
        <v>1730</v>
      </c>
      <c r="F104" s="2684">
        <v>1782</v>
      </c>
      <c r="G104" s="2684">
        <v>1589</v>
      </c>
      <c r="H104" s="2684">
        <v>1538</v>
      </c>
      <c r="I104" s="2684">
        <v>1560</v>
      </c>
      <c r="K104" s="1441"/>
      <c r="L104" s="1193"/>
      <c r="M104" s="1193"/>
      <c r="N104" s="1193"/>
      <c r="O104" s="698"/>
      <c r="P104" s="698"/>
      <c r="Q104" s="698"/>
      <c r="R104" s="698"/>
      <c r="S104" s="698"/>
      <c r="T104" s="698"/>
    </row>
    <row r="105" spans="2:23" x14ac:dyDescent="0.35">
      <c r="B105" s="1146" t="s">
        <v>2167</v>
      </c>
      <c r="C105" s="1443">
        <v>2120</v>
      </c>
      <c r="D105" s="1444">
        <v>0.41899999999999998</v>
      </c>
      <c r="E105" s="1200">
        <v>1916</v>
      </c>
      <c r="F105" s="1201">
        <v>1905</v>
      </c>
      <c r="G105" s="1201">
        <v>1718</v>
      </c>
      <c r="H105" s="1201">
        <v>1288</v>
      </c>
      <c r="I105" s="1322">
        <v>1538</v>
      </c>
      <c r="K105" s="1441"/>
      <c r="L105" s="1193"/>
      <c r="M105" s="1193"/>
      <c r="N105" s="1450" t="s">
        <v>2417</v>
      </c>
      <c r="O105" s="1451"/>
      <c r="P105" s="698"/>
      <c r="Q105" s="1452" t="s">
        <v>2418</v>
      </c>
      <c r="R105" s="1451"/>
      <c r="S105" s="698"/>
      <c r="T105" s="698"/>
    </row>
    <row r="106" spans="2:23" x14ac:dyDescent="0.35">
      <c r="B106" s="2683" t="s">
        <v>2168</v>
      </c>
      <c r="C106" s="1443">
        <v>5682</v>
      </c>
      <c r="D106" s="1444">
        <v>0.503</v>
      </c>
      <c r="E106" s="2685">
        <v>995</v>
      </c>
      <c r="F106" s="2684">
        <v>1036</v>
      </c>
      <c r="G106" s="2685">
        <v>933</v>
      </c>
      <c r="H106" s="2685">
        <v>786</v>
      </c>
      <c r="I106" s="2685">
        <v>832</v>
      </c>
      <c r="K106" s="1441"/>
      <c r="L106" s="1193"/>
      <c r="M106" s="1193"/>
      <c r="N106" s="1453"/>
      <c r="O106" s="1454"/>
      <c r="P106" s="698"/>
      <c r="Q106" s="1455"/>
      <c r="R106" s="1454"/>
      <c r="S106" s="698"/>
      <c r="T106" s="698"/>
      <c r="U106" s="698"/>
      <c r="V106" s="698"/>
      <c r="W106" s="698"/>
    </row>
    <row r="107" spans="2:23" x14ac:dyDescent="0.35">
      <c r="B107" s="2683" t="s">
        <v>2169</v>
      </c>
      <c r="C107" s="1443">
        <v>4849</v>
      </c>
      <c r="D107" s="1444">
        <v>0.48299999999999998</v>
      </c>
      <c r="E107" s="2684">
        <v>2244</v>
      </c>
      <c r="F107" s="2684">
        <v>2237</v>
      </c>
      <c r="G107" s="2684">
        <v>2024</v>
      </c>
      <c r="H107" s="2684">
        <v>1553</v>
      </c>
      <c r="I107" s="2684">
        <v>1608</v>
      </c>
      <c r="K107" s="1441"/>
      <c r="L107" s="1193"/>
      <c r="M107" s="1193"/>
      <c r="N107" s="1453" t="s">
        <v>2019</v>
      </c>
      <c r="O107" s="1454" t="s">
        <v>2419</v>
      </c>
      <c r="P107" s="698"/>
      <c r="Q107" s="1453" t="s">
        <v>2019</v>
      </c>
      <c r="R107" s="1454" t="s">
        <v>2419</v>
      </c>
      <c r="S107" s="698"/>
      <c r="T107" s="698"/>
      <c r="U107" s="698"/>
      <c r="V107" s="698"/>
      <c r="W107" s="698"/>
    </row>
    <row r="108" spans="2:23" x14ac:dyDescent="0.35">
      <c r="B108" s="2683" t="s">
        <v>2170</v>
      </c>
      <c r="C108" s="1443">
        <v>2038</v>
      </c>
      <c r="D108" s="1444">
        <v>0.432</v>
      </c>
      <c r="E108" s="2684">
        <v>1552</v>
      </c>
      <c r="F108" s="2684">
        <v>1432</v>
      </c>
      <c r="G108" s="2684">
        <v>1239</v>
      </c>
      <c r="H108" s="2684">
        <v>1077</v>
      </c>
      <c r="I108" s="2684">
        <v>1098</v>
      </c>
      <c r="K108" s="1441"/>
      <c r="N108" s="1453" t="s">
        <v>2180</v>
      </c>
      <c r="O108" s="1456">
        <v>2150</v>
      </c>
      <c r="P108" s="698"/>
      <c r="Q108" s="1455" t="s">
        <v>2180</v>
      </c>
      <c r="R108" s="1454">
        <v>0.48299999999999998</v>
      </c>
      <c r="S108" s="698"/>
      <c r="T108" s="698"/>
      <c r="U108" s="698"/>
      <c r="V108" s="698"/>
      <c r="W108" s="698"/>
    </row>
    <row r="109" spans="2:23" x14ac:dyDescent="0.35">
      <c r="B109" s="2683" t="s">
        <v>2171</v>
      </c>
      <c r="C109" s="1443">
        <v>3069</v>
      </c>
      <c r="D109" s="1444">
        <v>0.46200000000000002</v>
      </c>
      <c r="E109" s="2684">
        <v>1015</v>
      </c>
      <c r="F109" s="2685">
        <v>993</v>
      </c>
      <c r="G109" s="2685">
        <v>899</v>
      </c>
      <c r="H109" s="2685">
        <v>773</v>
      </c>
      <c r="I109" s="2685">
        <v>809</v>
      </c>
      <c r="K109" s="1441"/>
      <c r="N109" s="1453" t="s">
        <v>2071</v>
      </c>
      <c r="O109" s="1456">
        <v>4373</v>
      </c>
      <c r="P109" s="698"/>
      <c r="Q109" s="1453" t="s">
        <v>2071</v>
      </c>
      <c r="R109" s="1456">
        <v>0.52900000000000003</v>
      </c>
      <c r="S109" s="698"/>
      <c r="T109" s="698"/>
      <c r="U109" s="698"/>
      <c r="V109" s="698"/>
      <c r="W109" s="698"/>
    </row>
    <row r="110" spans="2:23" x14ac:dyDescent="0.35">
      <c r="B110" s="2683" t="s">
        <v>2172</v>
      </c>
      <c r="C110" s="1457">
        <v>2481</v>
      </c>
      <c r="D110" s="1458">
        <v>0.47399999999999998</v>
      </c>
      <c r="E110" s="2684">
        <v>2825</v>
      </c>
      <c r="F110" s="2684">
        <v>2625</v>
      </c>
      <c r="G110" s="2684">
        <v>2365</v>
      </c>
      <c r="H110" s="2684">
        <v>2007</v>
      </c>
      <c r="I110" s="2684">
        <v>2040</v>
      </c>
      <c r="K110" s="1441"/>
      <c r="N110" s="1453" t="s">
        <v>2157</v>
      </c>
      <c r="O110" s="1456">
        <v>1605</v>
      </c>
      <c r="P110" s="698"/>
      <c r="Q110" s="1453" t="s">
        <v>2157</v>
      </c>
      <c r="R110" s="1456">
        <v>0.14199999999999999</v>
      </c>
      <c r="S110" s="698"/>
      <c r="T110" s="698"/>
      <c r="U110" s="698"/>
      <c r="V110" s="698"/>
      <c r="W110" s="698"/>
    </row>
    <row r="111" spans="2:23" x14ac:dyDescent="0.35">
      <c r="B111" s="2683" t="s">
        <v>2173</v>
      </c>
      <c r="C111" s="1443">
        <v>1881</v>
      </c>
      <c r="D111" s="1444">
        <v>0.42799999999999999</v>
      </c>
      <c r="E111" s="2684">
        <v>1672</v>
      </c>
      <c r="F111" s="2684">
        <v>1629</v>
      </c>
      <c r="G111" s="2684">
        <v>1454</v>
      </c>
      <c r="H111" s="2684">
        <v>1356</v>
      </c>
      <c r="I111" s="2684">
        <v>1399</v>
      </c>
      <c r="K111" s="1441"/>
      <c r="N111" s="1453" t="s">
        <v>2158</v>
      </c>
      <c r="O111" s="1456">
        <v>2084</v>
      </c>
      <c r="P111" s="698"/>
      <c r="Q111" s="1453" t="s">
        <v>2158</v>
      </c>
      <c r="R111" s="1456">
        <v>0.57099999999999995</v>
      </c>
      <c r="S111" s="698"/>
      <c r="T111" s="698"/>
      <c r="U111" s="698"/>
      <c r="V111" s="698"/>
      <c r="W111" s="698"/>
    </row>
    <row r="112" spans="2:23" x14ac:dyDescent="0.35">
      <c r="B112" s="2683" t="s">
        <v>3908</v>
      </c>
      <c r="C112" s="1443"/>
      <c r="D112" s="1444"/>
      <c r="E112" s="2684">
        <v>2757</v>
      </c>
      <c r="F112" s="2684">
        <v>2670</v>
      </c>
      <c r="G112" s="2684">
        <v>2383</v>
      </c>
      <c r="H112" s="2684">
        <v>2149</v>
      </c>
      <c r="I112" s="2684">
        <v>2186</v>
      </c>
      <c r="K112" s="1441"/>
      <c r="N112" s="1453" t="s">
        <v>2028</v>
      </c>
      <c r="O112" s="1456">
        <v>3276</v>
      </c>
      <c r="P112" s="698"/>
      <c r="Q112" s="1453" t="s">
        <v>2028</v>
      </c>
      <c r="R112" s="1456">
        <v>0.33300000000000002</v>
      </c>
      <c r="S112" s="2686"/>
      <c r="T112" s="2686"/>
      <c r="U112" s="2686"/>
      <c r="V112" s="2686"/>
      <c r="W112" s="2686"/>
    </row>
    <row r="113" spans="1:23" x14ac:dyDescent="0.35">
      <c r="B113" s="1144" t="s">
        <v>2174</v>
      </c>
      <c r="C113" s="1443">
        <v>2830</v>
      </c>
      <c r="D113" s="1444">
        <v>0.433</v>
      </c>
      <c r="E113" s="1200">
        <v>1603</v>
      </c>
      <c r="F113" s="1201">
        <v>1504</v>
      </c>
      <c r="G113" s="1201">
        <v>1440</v>
      </c>
      <c r="H113" s="1201">
        <v>1054</v>
      </c>
      <c r="I113" s="1322">
        <v>1205</v>
      </c>
      <c r="K113" s="1441"/>
      <c r="N113" s="1453" t="s">
        <v>2109</v>
      </c>
      <c r="O113" s="1456">
        <v>2102</v>
      </c>
      <c r="P113" s="698"/>
      <c r="Q113" s="1453" t="s">
        <v>2109</v>
      </c>
      <c r="R113" s="1456">
        <v>0.61899999999999999</v>
      </c>
      <c r="S113" s="698"/>
      <c r="T113" s="698"/>
      <c r="U113" s="698"/>
      <c r="V113" s="698"/>
      <c r="W113" s="698"/>
    </row>
    <row r="114" spans="1:23" x14ac:dyDescent="0.35">
      <c r="B114" s="2683" t="s">
        <v>2175</v>
      </c>
      <c r="C114" s="1446">
        <v>3350</v>
      </c>
      <c r="D114" s="1447">
        <v>0.48799999999999999</v>
      </c>
      <c r="E114" s="2684">
        <v>1326</v>
      </c>
      <c r="F114" s="2684">
        <v>1328</v>
      </c>
      <c r="G114" s="2684">
        <v>1179</v>
      </c>
      <c r="H114" s="2684">
        <v>1091</v>
      </c>
      <c r="I114" s="2684">
        <v>1122</v>
      </c>
      <c r="K114" s="1441"/>
      <c r="N114" s="1453" t="s">
        <v>2026</v>
      </c>
      <c r="O114" s="1456">
        <v>2096</v>
      </c>
      <c r="P114" s="698"/>
      <c r="Q114" s="1453" t="s">
        <v>2026</v>
      </c>
      <c r="R114" s="1456">
        <v>0.47499999999999998</v>
      </c>
      <c r="S114" s="698"/>
      <c r="T114" s="698"/>
      <c r="U114" s="698"/>
      <c r="V114" s="698"/>
      <c r="W114" s="698"/>
    </row>
    <row r="115" spans="1:23" x14ac:dyDescent="0.35">
      <c r="B115" s="2683" t="s">
        <v>2176</v>
      </c>
      <c r="C115" s="1443">
        <v>2528</v>
      </c>
      <c r="D115" s="1444">
        <v>0.505</v>
      </c>
      <c r="E115" s="2684">
        <v>1365</v>
      </c>
      <c r="F115" s="2684">
        <v>1322</v>
      </c>
      <c r="G115" s="2684">
        <v>1193</v>
      </c>
      <c r="H115" s="2684">
        <v>1034</v>
      </c>
      <c r="I115" s="2684">
        <v>1088</v>
      </c>
      <c r="K115" s="1441"/>
      <c r="N115" s="1453" t="s">
        <v>2075</v>
      </c>
      <c r="O115" s="1456">
        <v>1987</v>
      </c>
      <c r="P115" s="698"/>
      <c r="Q115" s="1453" t="s">
        <v>2075</v>
      </c>
      <c r="R115" s="1456">
        <v>0.61899999999999999</v>
      </c>
      <c r="S115" s="698"/>
      <c r="T115" s="698"/>
      <c r="U115" s="698"/>
      <c r="V115" s="698"/>
      <c r="W115" s="698"/>
    </row>
    <row r="116" spans="1:23" x14ac:dyDescent="0.35">
      <c r="B116" s="2683" t="s">
        <v>2177</v>
      </c>
      <c r="C116" s="1443">
        <v>2266</v>
      </c>
      <c r="D116" s="1444">
        <v>0.52800000000000002</v>
      </c>
      <c r="E116" s="2684">
        <v>1347</v>
      </c>
      <c r="F116" s="2684">
        <v>1325</v>
      </c>
      <c r="G116" s="2684">
        <v>1183</v>
      </c>
      <c r="H116" s="2684">
        <v>1064</v>
      </c>
      <c r="I116" s="2684">
        <v>1096</v>
      </c>
      <c r="K116" s="1441"/>
      <c r="N116" s="1459" t="s">
        <v>2029</v>
      </c>
      <c r="O116" s="1460">
        <v>3141</v>
      </c>
      <c r="P116" s="698"/>
      <c r="Q116" s="1453" t="s">
        <v>2029</v>
      </c>
      <c r="R116" s="1456">
        <v>0.28799999999999998</v>
      </c>
      <c r="S116" s="698"/>
      <c r="T116" s="698"/>
      <c r="U116" s="698"/>
      <c r="V116" s="698"/>
      <c r="W116" s="698"/>
    </row>
    <row r="117" spans="1:23" x14ac:dyDescent="0.35">
      <c r="B117" s="2683" t="s">
        <v>2027</v>
      </c>
      <c r="C117" s="1443">
        <v>770</v>
      </c>
      <c r="D117" s="1444">
        <v>0.22500000000000001</v>
      </c>
      <c r="E117" s="2684">
        <v>1285</v>
      </c>
      <c r="F117" s="2684">
        <v>1286</v>
      </c>
      <c r="G117" s="2684">
        <v>1180</v>
      </c>
      <c r="H117" s="2684">
        <v>1147</v>
      </c>
      <c r="I117" s="2684">
        <v>1224</v>
      </c>
      <c r="K117" s="1441"/>
      <c r="L117" s="1394"/>
      <c r="N117" s="1459" t="s">
        <v>2161</v>
      </c>
      <c r="O117" s="1460">
        <v>2788</v>
      </c>
      <c r="P117" s="698"/>
      <c r="Q117" s="1459" t="s">
        <v>2161</v>
      </c>
      <c r="R117" s="1460">
        <v>0.57599999999999996</v>
      </c>
      <c r="S117" s="698"/>
      <c r="T117" s="698"/>
      <c r="U117" s="698"/>
      <c r="V117" s="698"/>
      <c r="W117" s="698"/>
    </row>
    <row r="118" spans="1:23" x14ac:dyDescent="0.35">
      <c r="B118" s="2683" t="s">
        <v>536</v>
      </c>
      <c r="C118" s="1461">
        <v>2718</v>
      </c>
      <c r="D118" s="1462">
        <v>0.42399999999999999</v>
      </c>
      <c r="E118" s="2684">
        <v>1709</v>
      </c>
      <c r="F118" s="2684">
        <v>1678</v>
      </c>
      <c r="G118" s="2684">
        <v>1508</v>
      </c>
      <c r="H118" s="2684">
        <v>1287</v>
      </c>
      <c r="I118" s="2684">
        <v>1411</v>
      </c>
      <c r="K118" s="1441"/>
      <c r="L118" s="1394"/>
      <c r="N118" s="1459" t="s">
        <v>2160</v>
      </c>
      <c r="O118" s="1460">
        <v>2881</v>
      </c>
      <c r="P118" s="698"/>
      <c r="Q118" s="1459" t="s">
        <v>2160</v>
      </c>
      <c r="R118" s="1460">
        <v>0.61499999999999999</v>
      </c>
      <c r="S118" s="698"/>
      <c r="T118" s="698"/>
      <c r="U118" s="698"/>
      <c r="V118" s="698"/>
      <c r="W118" s="698"/>
    </row>
    <row r="119" spans="1:23" s="1394" customFormat="1" x14ac:dyDescent="0.35">
      <c r="A119" s="1195"/>
      <c r="C119" s="1463" t="s">
        <v>2420</v>
      </c>
      <c r="M119" s="1195"/>
      <c r="N119" s="1455" t="s">
        <v>2159</v>
      </c>
      <c r="O119" s="1454">
        <v>8760</v>
      </c>
      <c r="P119" s="698"/>
      <c r="Q119" s="1459" t="s">
        <v>2159</v>
      </c>
      <c r="R119" s="1460">
        <v>0.64800000000000002</v>
      </c>
      <c r="S119" s="698"/>
      <c r="T119" s="698"/>
      <c r="U119" s="698"/>
      <c r="V119" s="698"/>
      <c r="W119" s="698"/>
    </row>
    <row r="120" spans="1:23" s="675" customFormat="1" x14ac:dyDescent="0.35">
      <c r="M120" s="1195"/>
      <c r="N120" s="1455"/>
      <c r="O120" s="1454"/>
      <c r="P120" s="698"/>
      <c r="Q120" s="1459"/>
      <c r="R120" s="1460"/>
      <c r="S120" s="698"/>
      <c r="T120" s="698"/>
      <c r="U120" s="698"/>
      <c r="V120" s="698"/>
      <c r="W120" s="698"/>
    </row>
    <row r="121" spans="1:23" s="675" customFormat="1" ht="29" x14ac:dyDescent="0.35">
      <c r="B121" s="1464" t="s">
        <v>2384</v>
      </c>
      <c r="C121" s="1465" t="s">
        <v>2421</v>
      </c>
      <c r="M121" s="1195"/>
      <c r="N121" s="1455"/>
      <c r="O121" s="1454"/>
      <c r="P121" s="698"/>
      <c r="Q121" s="1459"/>
      <c r="R121" s="1460"/>
      <c r="S121" s="698"/>
      <c r="T121" s="698"/>
      <c r="U121" s="698"/>
      <c r="V121" s="698"/>
      <c r="W121" s="698"/>
    </row>
    <row r="122" spans="1:23" s="675" customFormat="1" x14ac:dyDescent="0.35">
      <c r="B122" s="1466">
        <v>0.94</v>
      </c>
      <c r="C122" s="1467">
        <v>1275</v>
      </c>
      <c r="M122" s="1195"/>
      <c r="N122" s="1455"/>
      <c r="O122" s="1454"/>
      <c r="P122" s="698"/>
      <c r="Q122" s="1459"/>
      <c r="R122" s="1460"/>
      <c r="S122" s="698"/>
      <c r="T122" s="698"/>
      <c r="U122" s="698"/>
      <c r="V122" s="698"/>
      <c r="W122" s="698"/>
    </row>
    <row r="123" spans="1:23" s="675" customFormat="1" x14ac:dyDescent="0.35">
      <c r="B123" s="1468">
        <v>0.95</v>
      </c>
      <c r="C123" s="1469">
        <v>1511</v>
      </c>
      <c r="M123" s="1195"/>
      <c r="N123" s="1455"/>
      <c r="O123" s="1454"/>
      <c r="P123" s="698"/>
      <c r="Q123" s="1459"/>
      <c r="R123" s="1460"/>
      <c r="S123" s="698"/>
      <c r="T123" s="698"/>
      <c r="U123" s="698"/>
      <c r="V123" s="698"/>
      <c r="W123" s="698"/>
    </row>
    <row r="124" spans="1:23" s="675" customFormat="1" x14ac:dyDescent="0.35">
      <c r="B124" s="1470">
        <v>0.96</v>
      </c>
      <c r="C124" s="1471">
        <v>1747</v>
      </c>
      <c r="M124" s="1195"/>
      <c r="N124" s="1455"/>
      <c r="O124" s="1454"/>
      <c r="P124" s="698"/>
      <c r="Q124" s="1459"/>
      <c r="R124" s="1460"/>
      <c r="S124" s="698"/>
      <c r="T124" s="698"/>
      <c r="U124" s="698"/>
      <c r="V124" s="698"/>
      <c r="W124" s="698"/>
    </row>
    <row r="125" spans="1:23" s="675" customFormat="1" x14ac:dyDescent="0.35">
      <c r="B125" s="1082"/>
      <c r="M125" s="1195"/>
      <c r="N125" s="1459" t="s">
        <v>2162</v>
      </c>
      <c r="O125" s="1460">
        <v>8729</v>
      </c>
      <c r="P125" s="698"/>
      <c r="Q125" s="1455" t="s">
        <v>2162</v>
      </c>
      <c r="R125" s="1454">
        <v>0.60899999999999999</v>
      </c>
      <c r="S125" s="698"/>
      <c r="T125" s="698"/>
      <c r="U125" s="698"/>
      <c r="V125" s="698"/>
      <c r="W125" s="698"/>
    </row>
    <row r="126" spans="1:23" s="1394" customFormat="1" ht="21" x14ac:dyDescent="0.5">
      <c r="A126" s="1395" t="s">
        <v>2012</v>
      </c>
      <c r="M126" s="1195"/>
      <c r="N126" s="1459" t="s">
        <v>2163</v>
      </c>
      <c r="O126" s="1460">
        <v>2805</v>
      </c>
      <c r="P126" s="698"/>
      <c r="Q126" s="1459" t="s">
        <v>2163</v>
      </c>
      <c r="R126" s="1460">
        <v>0.433</v>
      </c>
      <c r="S126" s="698"/>
      <c r="T126" s="698"/>
      <c r="U126" s="698"/>
      <c r="V126" s="698"/>
      <c r="W126" s="698"/>
    </row>
    <row r="127" spans="1:23" s="1394" customFormat="1" ht="21" x14ac:dyDescent="0.5">
      <c r="A127" s="1395"/>
      <c r="B127" s="1206"/>
      <c r="C127" s="1472"/>
      <c r="M127" s="1195"/>
      <c r="N127" s="1459" t="s">
        <v>2181</v>
      </c>
      <c r="O127" s="1460">
        <v>4237</v>
      </c>
      <c r="P127" s="698"/>
      <c r="Q127" s="1459" t="s">
        <v>2164</v>
      </c>
      <c r="R127" s="1460">
        <v>0.437</v>
      </c>
      <c r="S127" s="698"/>
      <c r="T127" s="698"/>
      <c r="U127" s="698"/>
      <c r="V127" s="698"/>
      <c r="W127" s="698"/>
    </row>
    <row r="128" spans="1:23" s="1394" customFormat="1" x14ac:dyDescent="0.35">
      <c r="D128" s="3060"/>
      <c r="E128" s="3060"/>
      <c r="K128" s="1206"/>
      <c r="M128" s="1195"/>
      <c r="N128" s="1459" t="s">
        <v>2165</v>
      </c>
      <c r="O128" s="1460">
        <v>2899</v>
      </c>
      <c r="P128" s="698"/>
      <c r="Q128" s="1459" t="s">
        <v>2165</v>
      </c>
      <c r="R128" s="1460">
        <v>0.24299999999999999</v>
      </c>
      <c r="S128" s="698"/>
      <c r="T128" s="698"/>
      <c r="U128" s="698"/>
      <c r="V128" s="698"/>
      <c r="W128" s="698"/>
    </row>
    <row r="129" spans="1:23" s="1394" customFormat="1" x14ac:dyDescent="0.35">
      <c r="B129" s="1473" t="s">
        <v>2422</v>
      </c>
      <c r="C129" s="1474" t="s">
        <v>2184</v>
      </c>
      <c r="D129" s="1475"/>
      <c r="E129" s="1476"/>
      <c r="F129" s="1476"/>
      <c r="G129" s="1476"/>
      <c r="H129" s="1476"/>
      <c r="I129" s="1476"/>
      <c r="J129" s="1476"/>
      <c r="K129" s="1476"/>
      <c r="L129" s="1476"/>
      <c r="M129" s="1195"/>
      <c r="N129" s="1459" t="s">
        <v>2424</v>
      </c>
      <c r="O129" s="1460">
        <v>4479</v>
      </c>
      <c r="P129" s="698"/>
      <c r="Q129" s="1459" t="s">
        <v>2166</v>
      </c>
      <c r="R129" s="1460">
        <v>0.629</v>
      </c>
      <c r="S129" s="698"/>
      <c r="T129" s="698"/>
      <c r="U129" s="698"/>
      <c r="V129" s="698"/>
      <c r="W129" s="698"/>
    </row>
    <row r="130" spans="1:23" s="1394" customFormat="1" x14ac:dyDescent="0.35">
      <c r="B130" s="1435" t="s">
        <v>2423</v>
      </c>
      <c r="C130" s="1477">
        <v>1000</v>
      </c>
      <c r="D130" s="1478"/>
      <c r="E130" s="1476"/>
      <c r="F130" s="1476"/>
      <c r="G130" s="1476"/>
      <c r="H130" s="1476"/>
      <c r="I130" s="1476"/>
      <c r="J130" s="1476"/>
      <c r="K130" s="1476"/>
      <c r="L130" s="1476"/>
      <c r="M130" s="1195"/>
      <c r="N130" s="1459" t="s">
        <v>2073</v>
      </c>
      <c r="O130" s="1460">
        <v>8712</v>
      </c>
      <c r="P130" s="698"/>
      <c r="Q130" s="1459" t="s">
        <v>2073</v>
      </c>
      <c r="R130" s="1460">
        <v>0.64600000000000002</v>
      </c>
      <c r="S130" s="698"/>
      <c r="T130" s="698"/>
      <c r="U130" s="698"/>
      <c r="V130" s="698"/>
      <c r="W130" s="698"/>
    </row>
    <row r="131" spans="1:23" s="1394" customFormat="1" x14ac:dyDescent="0.35">
      <c r="B131" s="1437" t="s">
        <v>2425</v>
      </c>
      <c r="C131" s="1479">
        <v>1500</v>
      </c>
      <c r="D131" s="1478"/>
      <c r="E131" s="1476"/>
      <c r="F131" s="1476"/>
      <c r="G131" s="1476"/>
      <c r="H131" s="1476"/>
      <c r="I131" s="1476"/>
      <c r="J131" s="1476"/>
      <c r="K131" s="1476"/>
      <c r="L131" s="1476"/>
      <c r="M131" s="1195"/>
      <c r="N131" s="1459" t="s">
        <v>2167</v>
      </c>
      <c r="O131" s="1460">
        <v>2120</v>
      </c>
      <c r="P131" s="698"/>
      <c r="Q131" s="1459" t="s">
        <v>2167</v>
      </c>
      <c r="R131" s="1460">
        <v>0.41899999999999998</v>
      </c>
      <c r="S131" s="698"/>
      <c r="T131" s="698"/>
      <c r="U131" s="698"/>
      <c r="V131" s="698"/>
      <c r="W131" s="698"/>
    </row>
    <row r="132" spans="1:23" s="1394" customFormat="1" x14ac:dyDescent="0.35">
      <c r="E132" s="1476"/>
      <c r="F132" s="1476"/>
      <c r="G132" s="1476"/>
      <c r="H132" s="1476"/>
      <c r="I132" s="1476"/>
      <c r="J132" s="1476"/>
      <c r="K132" s="1476"/>
      <c r="L132" s="1476"/>
      <c r="M132" s="1195"/>
      <c r="N132" s="1459" t="s">
        <v>2170</v>
      </c>
      <c r="O132" s="1460">
        <v>2038</v>
      </c>
      <c r="P132" s="698"/>
      <c r="Q132" s="1459" t="s">
        <v>2170</v>
      </c>
      <c r="R132" s="1460">
        <v>0.432</v>
      </c>
      <c r="S132" s="698"/>
      <c r="T132" s="698"/>
      <c r="U132" s="698"/>
      <c r="V132" s="698"/>
      <c r="W132" s="698"/>
    </row>
    <row r="133" spans="1:23" s="1394" customFormat="1" ht="21" x14ac:dyDescent="0.5">
      <c r="A133" s="1395" t="s">
        <v>2014</v>
      </c>
      <c r="E133" s="1476"/>
      <c r="F133" s="1476"/>
      <c r="G133" s="1476"/>
      <c r="H133" s="1476"/>
      <c r="I133" s="1476"/>
      <c r="J133" s="1476"/>
      <c r="K133" s="1476"/>
      <c r="L133" s="1476"/>
      <c r="M133" s="1195"/>
      <c r="N133" s="1459" t="s">
        <v>2169</v>
      </c>
      <c r="O133" s="1460">
        <v>4849</v>
      </c>
      <c r="P133" s="698"/>
      <c r="Q133" s="1459" t="s">
        <v>2169</v>
      </c>
      <c r="R133" s="1460">
        <v>0.48299999999999998</v>
      </c>
      <c r="S133" s="698"/>
      <c r="T133" s="698"/>
      <c r="U133" s="698"/>
      <c r="V133" s="698"/>
      <c r="W133" s="698"/>
    </row>
    <row r="134" spans="1:23" s="1394" customFormat="1" x14ac:dyDescent="0.35">
      <c r="E134" s="1476"/>
      <c r="F134" s="1476"/>
      <c r="G134" s="1476"/>
      <c r="H134" s="1476"/>
      <c r="I134" s="1476"/>
      <c r="J134" s="1476"/>
      <c r="K134" s="1476"/>
      <c r="L134" s="1476"/>
      <c r="M134" s="1195"/>
      <c r="N134" s="1459" t="s">
        <v>2168</v>
      </c>
      <c r="O134" s="1460">
        <v>5682</v>
      </c>
      <c r="P134" s="698"/>
      <c r="Q134" s="1459" t="s">
        <v>2168</v>
      </c>
      <c r="R134" s="1460">
        <v>0.503</v>
      </c>
      <c r="S134" s="698"/>
      <c r="T134" s="698"/>
      <c r="U134" s="698"/>
      <c r="V134" s="698"/>
      <c r="W134" s="698"/>
    </row>
    <row r="135" spans="1:23" s="1394" customFormat="1" ht="15" customHeight="1" x14ac:dyDescent="0.35">
      <c r="B135" s="1480"/>
      <c r="E135" s="1476"/>
      <c r="F135" s="1476"/>
      <c r="G135" s="1476"/>
      <c r="I135" s="1476"/>
      <c r="J135" s="1476"/>
      <c r="K135" s="1476"/>
      <c r="L135" s="1476"/>
      <c r="M135" s="1195"/>
      <c r="N135" s="1459" t="s">
        <v>2171</v>
      </c>
      <c r="O135" s="1460">
        <v>3069</v>
      </c>
      <c r="P135" s="698"/>
      <c r="Q135" s="1459" t="s">
        <v>2171</v>
      </c>
      <c r="R135" s="1460">
        <v>0.46200000000000002</v>
      </c>
      <c r="S135" s="698"/>
      <c r="T135" s="698"/>
      <c r="U135" s="698"/>
      <c r="V135" s="698"/>
      <c r="W135" s="698"/>
    </row>
    <row r="136" spans="1:23" s="1394" customFormat="1" ht="29" x14ac:dyDescent="0.35">
      <c r="B136" s="1481" t="s">
        <v>2280</v>
      </c>
      <c r="C136" s="1434" t="s">
        <v>2348</v>
      </c>
      <c r="E136" s="1476"/>
      <c r="F136" s="1476"/>
      <c r="G136" s="1476"/>
      <c r="I136" s="1482" t="s">
        <v>2019</v>
      </c>
      <c r="J136" s="1474" t="s">
        <v>2426</v>
      </c>
      <c r="K136" s="1476"/>
      <c r="L136" s="1476"/>
      <c r="M136" s="1195"/>
      <c r="N136" s="1459" t="s">
        <v>2172</v>
      </c>
      <c r="O136" s="1460">
        <v>2481</v>
      </c>
      <c r="P136" s="698"/>
      <c r="Q136" s="1459" t="s">
        <v>2172</v>
      </c>
      <c r="R136" s="1460">
        <v>0.47399999999999998</v>
      </c>
      <c r="S136" s="698"/>
      <c r="T136" s="698"/>
      <c r="U136" s="698"/>
      <c r="V136" s="698"/>
      <c r="W136" s="698"/>
    </row>
    <row r="137" spans="1:23" s="1394" customFormat="1" x14ac:dyDescent="0.35">
      <c r="B137" s="1435" t="s">
        <v>2349</v>
      </c>
      <c r="C137" s="1216">
        <v>0</v>
      </c>
      <c r="E137" s="1476"/>
      <c r="F137" s="1476"/>
      <c r="G137" s="1476"/>
      <c r="I137" s="1136" t="s">
        <v>2180</v>
      </c>
      <c r="J137" s="1483">
        <f t="array" ref="J137">SUMPRODUCT(E82:I82,TRANSPOSE($C$137:$C$141))</f>
        <v>1599.313725490196</v>
      </c>
      <c r="K137" s="1476"/>
      <c r="L137" s="1476"/>
      <c r="M137" s="1195"/>
      <c r="N137" s="2544" t="s">
        <v>2173</v>
      </c>
      <c r="O137" s="2545">
        <v>3036</v>
      </c>
      <c r="P137" s="698"/>
      <c r="Q137" s="1459" t="s">
        <v>2173</v>
      </c>
      <c r="R137" s="1460">
        <v>0.42799999999999999</v>
      </c>
      <c r="S137" s="698"/>
      <c r="T137" s="698"/>
      <c r="U137" s="698"/>
      <c r="V137" s="698"/>
      <c r="W137" s="698"/>
    </row>
    <row r="138" spans="1:23" s="1394" customFormat="1" x14ac:dyDescent="0.35">
      <c r="B138" s="1442" t="s">
        <v>2351</v>
      </c>
      <c r="C138" s="1217">
        <v>0.25490196078431371</v>
      </c>
      <c r="E138" s="1476"/>
      <c r="F138" s="1476"/>
      <c r="G138" s="1476"/>
      <c r="I138" s="1148" t="s">
        <v>2071</v>
      </c>
      <c r="J138" s="2742">
        <f t="array" ref="J138">SUMPRODUCT(E83:I83,TRANSPOSE($C$137:$C$141))</f>
        <v>1436.9019607843138</v>
      </c>
      <c r="K138" s="1476"/>
      <c r="L138" s="1476"/>
      <c r="M138" s="1195"/>
      <c r="N138" s="1459" t="s">
        <v>2174</v>
      </c>
      <c r="O138" s="1460">
        <v>2830</v>
      </c>
      <c r="P138" s="698"/>
      <c r="Q138" s="1459" t="s">
        <v>2174</v>
      </c>
      <c r="R138" s="1460">
        <v>0.433</v>
      </c>
      <c r="S138" s="698"/>
      <c r="T138" s="698"/>
      <c r="U138" s="698"/>
      <c r="V138" s="698"/>
      <c r="W138" s="698"/>
    </row>
    <row r="139" spans="1:23" s="1394" customFormat="1" x14ac:dyDescent="0.35">
      <c r="B139" s="1445" t="s">
        <v>2352</v>
      </c>
      <c r="C139" s="1219">
        <v>0.58823529411764708</v>
      </c>
      <c r="E139" s="1476"/>
      <c r="F139" s="1476"/>
      <c r="G139" s="1476"/>
      <c r="I139" s="2683" t="s">
        <v>3906</v>
      </c>
      <c r="J139" s="2743">
        <f t="array" ref="J139">SUMPRODUCT(E84:I84,TRANSPOSE($C$137:$C$141))</f>
        <v>2708.1176470588234</v>
      </c>
      <c r="K139" s="1476"/>
      <c r="L139" s="1476"/>
      <c r="M139" s="1195"/>
      <c r="N139" s="1459" t="s">
        <v>2175</v>
      </c>
      <c r="O139" s="1460">
        <v>3350</v>
      </c>
      <c r="P139" s="698"/>
      <c r="Q139" s="1459" t="s">
        <v>2175</v>
      </c>
      <c r="R139" s="1460">
        <v>0.48799999999999999</v>
      </c>
      <c r="S139" s="698"/>
      <c r="T139" s="698"/>
      <c r="U139" s="698"/>
      <c r="V139" s="698"/>
      <c r="W139" s="698"/>
    </row>
    <row r="140" spans="1:23" s="1394" customFormat="1" x14ac:dyDescent="0.35">
      <c r="B140" s="1442" t="s">
        <v>2353</v>
      </c>
      <c r="C140" s="1217">
        <v>0.15686274509803921</v>
      </c>
      <c r="I140" s="2680" t="s">
        <v>2157</v>
      </c>
      <c r="J140" s="2745">
        <f t="array" ref="J140">SUMPRODUCT(E85:I85,TRANSPOSE($C$137:$C$141))</f>
        <v>1174.0588235294117</v>
      </c>
      <c r="M140" s="1195"/>
      <c r="N140" s="1459" t="s">
        <v>2176</v>
      </c>
      <c r="O140" s="1460">
        <v>2528</v>
      </c>
      <c r="P140" s="698"/>
      <c r="Q140" s="1459" t="s">
        <v>2176</v>
      </c>
      <c r="R140" s="1460">
        <v>0.505</v>
      </c>
      <c r="S140" s="698"/>
      <c r="T140" s="698"/>
      <c r="U140" s="698"/>
      <c r="V140" s="698"/>
      <c r="W140" s="698"/>
    </row>
    <row r="141" spans="1:23" s="1394" customFormat="1" x14ac:dyDescent="0.35">
      <c r="B141" s="1486" t="s">
        <v>2354</v>
      </c>
      <c r="C141" s="1220">
        <v>0</v>
      </c>
      <c r="I141" s="1085" t="s">
        <v>2158</v>
      </c>
      <c r="J141" s="2744">
        <f t="array" ref="J141">SUMPRODUCT(E86:I86,TRANSPOSE($C$137:$C$141))</f>
        <v>1199.4509803921569</v>
      </c>
      <c r="M141" s="1195"/>
      <c r="N141" s="1459" t="s">
        <v>2177</v>
      </c>
      <c r="O141" s="1460">
        <v>2266</v>
      </c>
      <c r="P141" s="698"/>
      <c r="Q141" s="1459" t="s">
        <v>2177</v>
      </c>
      <c r="R141" s="1460">
        <v>0.52800000000000002</v>
      </c>
      <c r="S141" s="698"/>
      <c r="T141" s="698"/>
      <c r="U141" s="698"/>
      <c r="V141" s="698"/>
      <c r="W141" s="698"/>
    </row>
    <row r="142" spans="1:23" s="1394" customFormat="1" x14ac:dyDescent="0.35">
      <c r="B142" s="1437" t="s">
        <v>284</v>
      </c>
      <c r="C142" s="1221">
        <f>SUM(C137:C141)</f>
        <v>1</v>
      </c>
      <c r="D142" s="1487" t="str">
        <f>IF(C142&lt;&gt;1,"Participation must add up to 100%","")</f>
        <v/>
      </c>
      <c r="I142" s="2683" t="s">
        <v>3907</v>
      </c>
      <c r="J142" s="2743">
        <f t="array" ref="J142">SUMPRODUCT(E87:I87,TRANSPOSE($C$137:$C$141))</f>
        <v>2632.294117647059</v>
      </c>
      <c r="M142" s="1195"/>
      <c r="N142" s="1459" t="s">
        <v>2027</v>
      </c>
      <c r="O142" s="1460">
        <v>770</v>
      </c>
      <c r="P142" s="698"/>
      <c r="Q142" s="1459" t="s">
        <v>2027</v>
      </c>
      <c r="R142" s="1460">
        <v>0.22500000000000001</v>
      </c>
      <c r="S142" s="698"/>
      <c r="T142" s="698"/>
      <c r="U142" s="698"/>
      <c r="V142" s="698"/>
      <c r="W142" s="698"/>
    </row>
    <row r="143" spans="1:23" s="1394" customFormat="1" x14ac:dyDescent="0.35">
      <c r="I143" s="2680" t="s">
        <v>2028</v>
      </c>
      <c r="J143" s="2745">
        <f t="array" ref="J143">SUMPRODUCT(E88:I88,TRANSPOSE($C$137:$C$141))</f>
        <v>1427.0784313725492</v>
      </c>
      <c r="M143" s="1195"/>
      <c r="N143" s="1489" t="s">
        <v>536</v>
      </c>
      <c r="O143" s="1490">
        <v>2718</v>
      </c>
      <c r="P143" s="698"/>
      <c r="Q143" s="1489" t="s">
        <v>536</v>
      </c>
      <c r="R143" s="1490">
        <v>0.42399999999999999</v>
      </c>
      <c r="S143" s="698"/>
      <c r="T143" s="698"/>
      <c r="U143" s="698"/>
      <c r="V143" s="698"/>
      <c r="W143" s="698"/>
    </row>
    <row r="144" spans="1:23" s="1394" customFormat="1" x14ac:dyDescent="0.35">
      <c r="B144" s="1488"/>
      <c r="I144" s="1085" t="s">
        <v>2109</v>
      </c>
      <c r="J144" s="1484">
        <f t="array" ref="J144">SUMPRODUCT(E89:I89,TRANSPOSE($C$137:$C$141))</f>
        <v>854.84313725490188</v>
      </c>
      <c r="M144" s="1195"/>
      <c r="S144" s="698"/>
      <c r="T144" s="698"/>
      <c r="U144" s="698"/>
      <c r="V144" s="698"/>
      <c r="W144" s="698"/>
    </row>
    <row r="145" spans="2:28" s="1394" customFormat="1" ht="18.5" x14ac:dyDescent="0.45">
      <c r="B145" s="1491"/>
      <c r="C145" s="1491"/>
      <c r="I145" s="2680" t="s">
        <v>2026</v>
      </c>
      <c r="J145" s="2745">
        <f t="array" ref="J145">SUMPRODUCT(E90:I90,TRANSPOSE($C$137:$C$141))</f>
        <v>1412.1372549019609</v>
      </c>
      <c r="L145" s="1492"/>
      <c r="M145" s="1492"/>
      <c r="N145" s="1492"/>
      <c r="O145" s="1492"/>
      <c r="P145" s="1492"/>
      <c r="Q145" s="1492"/>
      <c r="R145" s="1492"/>
      <c r="S145" s="698"/>
      <c r="T145" s="698"/>
      <c r="U145" s="698"/>
      <c r="V145" s="698"/>
      <c r="W145" s="698"/>
      <c r="X145" s="1492"/>
      <c r="Y145" s="1492"/>
      <c r="Z145" s="1492"/>
      <c r="AA145" s="1492"/>
      <c r="AB145" s="1492"/>
    </row>
    <row r="146" spans="2:28" s="1394" customFormat="1" ht="15" customHeight="1" x14ac:dyDescent="0.45">
      <c r="B146" s="1493"/>
      <c r="C146" s="1493"/>
      <c r="D146" s="3061" t="s">
        <v>2361</v>
      </c>
      <c r="E146" s="3062"/>
      <c r="F146" s="3062"/>
      <c r="G146" s="3063"/>
      <c r="I146" s="2680" t="s">
        <v>2075</v>
      </c>
      <c r="J146" s="2745">
        <f t="array" ref="J146">SUMPRODUCT(E91:I91,TRANSPOSE($C$137:$C$141))</f>
        <v>1486.705882352941</v>
      </c>
      <c r="K146" s="1494"/>
      <c r="L146" s="1495"/>
      <c r="M146" s="1496"/>
      <c r="N146" s="1495"/>
      <c r="O146" s="1495"/>
      <c r="P146" s="1496"/>
      <c r="S146" s="698"/>
    </row>
    <row r="147" spans="2:28" s="1394" customFormat="1" ht="43.5" x14ac:dyDescent="0.35">
      <c r="B147" s="1497" t="s">
        <v>2393</v>
      </c>
      <c r="C147" s="1412" t="s">
        <v>2278</v>
      </c>
      <c r="D147" s="1418" t="s">
        <v>72</v>
      </c>
      <c r="E147" s="1419" t="s">
        <v>2427</v>
      </c>
      <c r="F147" s="1419" t="s">
        <v>2428</v>
      </c>
      <c r="G147" s="1420" t="s">
        <v>2429</v>
      </c>
      <c r="I147" s="2680" t="s">
        <v>2029</v>
      </c>
      <c r="J147" s="2745">
        <f t="array" ref="J147">SUMPRODUCT(E92:I92,TRANSPOSE($C$137:$C$141))</f>
        <v>1692.4117647058822</v>
      </c>
      <c r="K147" s="1498"/>
      <c r="L147" s="1495"/>
      <c r="M147" s="1495"/>
      <c r="N147" s="1495"/>
      <c r="O147" s="1495"/>
      <c r="P147" s="1496"/>
    </row>
    <row r="148" spans="2:28" s="1394" customFormat="1" x14ac:dyDescent="0.35">
      <c r="B148" s="1435" t="s">
        <v>2180</v>
      </c>
      <c r="C148" s="1499" t="s">
        <v>2400</v>
      </c>
      <c r="D148" s="1332">
        <v>0</v>
      </c>
      <c r="E148" s="1500">
        <v>0.95400000000000007</v>
      </c>
      <c r="F148" s="1229">
        <v>102.22222222222223</v>
      </c>
      <c r="G148" s="1501">
        <v>0.77777777777777779</v>
      </c>
      <c r="I148" s="2680" t="s">
        <v>2159</v>
      </c>
      <c r="J148" s="2745">
        <f t="array" ref="J148">SUMPRODUCT(E93:I93,TRANSPOSE($C$137:$C$141))</f>
        <v>1098.5882352941176</v>
      </c>
    </row>
    <row r="149" spans="2:28" s="1394" customFormat="1" x14ac:dyDescent="0.35">
      <c r="B149" s="1442" t="s">
        <v>2071</v>
      </c>
      <c r="C149" s="1502" t="s">
        <v>2400</v>
      </c>
      <c r="D149" s="1335">
        <v>1</v>
      </c>
      <c r="E149" s="1503">
        <v>0.95400000000000007</v>
      </c>
      <c r="F149" s="1232">
        <v>102.22222222222223</v>
      </c>
      <c r="G149" s="1504">
        <v>0.77777777777777779</v>
      </c>
      <c r="I149" s="2680" t="s">
        <v>2160</v>
      </c>
      <c r="J149" s="2745">
        <f t="array" ref="J149">SUMPRODUCT(E94:I94,TRANSPOSE($C$137:$C$141))</f>
        <v>1284.5098039215686</v>
      </c>
    </row>
    <row r="150" spans="2:28" s="1394" customFormat="1" x14ac:dyDescent="0.35">
      <c r="B150" s="1445" t="s">
        <v>2157</v>
      </c>
      <c r="C150" s="1505" t="s">
        <v>2400</v>
      </c>
      <c r="D150" s="1338">
        <v>0</v>
      </c>
      <c r="E150" s="1506">
        <v>0</v>
      </c>
      <c r="F150" s="1235">
        <v>0</v>
      </c>
      <c r="G150" s="1507">
        <v>0</v>
      </c>
      <c r="I150" s="2680" t="s">
        <v>2161</v>
      </c>
      <c r="J150" s="2745">
        <f t="array" ref="J150">SUMPRODUCT(E95:I95,TRANSPOSE($C$137:$C$141))</f>
        <v>648.41176470588243</v>
      </c>
    </row>
    <row r="151" spans="2:28" s="1394" customFormat="1" x14ac:dyDescent="0.35">
      <c r="B151" s="1442" t="s">
        <v>2158</v>
      </c>
      <c r="C151" s="1502" t="s">
        <v>2400</v>
      </c>
      <c r="D151" s="1335">
        <v>1</v>
      </c>
      <c r="E151" s="1503">
        <v>0.96</v>
      </c>
      <c r="F151" s="1232">
        <v>80</v>
      </c>
      <c r="G151" s="1504">
        <v>1</v>
      </c>
      <c r="I151" s="2680" t="s">
        <v>2162</v>
      </c>
      <c r="J151" s="2745">
        <f t="array" ref="J151">SUMPRODUCT(E96:I96,TRANSPOSE($C$137:$C$141))</f>
        <v>1400.0588235294117</v>
      </c>
    </row>
    <row r="152" spans="2:28" s="1394" customFormat="1" x14ac:dyDescent="0.35">
      <c r="B152" s="1445" t="s">
        <v>2028</v>
      </c>
      <c r="C152" s="1508" t="s">
        <v>2400</v>
      </c>
      <c r="D152" s="1509">
        <v>12</v>
      </c>
      <c r="E152" s="1510">
        <v>0.95</v>
      </c>
      <c r="F152" s="1511">
        <v>95</v>
      </c>
      <c r="G152" s="1512">
        <v>0.9</v>
      </c>
      <c r="I152" s="2680" t="s">
        <v>2325</v>
      </c>
      <c r="J152" s="2745">
        <f t="array" ref="J152">SUMPRODUCT(E97:I97,TRANSPOSE($C$137:$C$141))</f>
        <v>1495.8823529411764</v>
      </c>
    </row>
    <row r="153" spans="2:28" s="1394" customFormat="1" x14ac:dyDescent="0.35">
      <c r="B153" s="1442" t="s">
        <v>2109</v>
      </c>
      <c r="C153" s="1502" t="s">
        <v>2400</v>
      </c>
      <c r="D153" s="1335">
        <v>0</v>
      </c>
      <c r="E153" s="1503">
        <v>0.95400000000000007</v>
      </c>
      <c r="F153" s="1232">
        <v>102.22222222222223</v>
      </c>
      <c r="G153" s="1504">
        <v>0.77777777777777779</v>
      </c>
      <c r="I153" s="2680" t="s">
        <v>2073</v>
      </c>
      <c r="J153" s="2745">
        <f t="array" ref="J153">SUMPRODUCT(E98:I98,TRANSPOSE($C$137:$C$141))</f>
        <v>1587.5882352941178</v>
      </c>
    </row>
    <row r="154" spans="2:28" s="1394" customFormat="1" x14ac:dyDescent="0.35">
      <c r="B154" s="1445" t="s">
        <v>2026</v>
      </c>
      <c r="C154" s="1508" t="s">
        <v>2400</v>
      </c>
      <c r="D154" s="1509">
        <v>0</v>
      </c>
      <c r="E154" s="1510">
        <v>0</v>
      </c>
      <c r="F154" s="1511">
        <v>0</v>
      </c>
      <c r="G154" s="1512">
        <v>0</v>
      </c>
      <c r="I154" s="2680" t="s">
        <v>2166</v>
      </c>
      <c r="J154" s="2745">
        <f t="array" ref="J154">SUMPRODUCT(E99:I99,TRANSPOSE($C$137:$C$141))</f>
        <v>1456.4509803921569</v>
      </c>
    </row>
    <row r="155" spans="2:28" s="1394" customFormat="1" x14ac:dyDescent="0.35">
      <c r="B155" s="1442" t="s">
        <v>2075</v>
      </c>
      <c r="C155" s="1502" t="s">
        <v>2400</v>
      </c>
      <c r="D155" s="1335">
        <v>1</v>
      </c>
      <c r="E155" s="1503">
        <v>0.97499999999999998</v>
      </c>
      <c r="F155" s="1232">
        <v>74.5</v>
      </c>
      <c r="G155" s="1504">
        <v>0.5</v>
      </c>
      <c r="I155" s="884" t="s">
        <v>2163</v>
      </c>
      <c r="J155" s="1485">
        <f t="array" ref="J155">SUMPRODUCT(E100:I100,TRANSPOSE($C$137:$C$141))</f>
        <v>899.50980392156862</v>
      </c>
    </row>
    <row r="156" spans="2:28" s="1394" customFormat="1" x14ac:dyDescent="0.35">
      <c r="B156" s="1445" t="s">
        <v>2029</v>
      </c>
      <c r="C156" s="1508" t="s">
        <v>2400</v>
      </c>
      <c r="D156" s="1509">
        <v>0</v>
      </c>
      <c r="E156" s="1510">
        <v>0</v>
      </c>
      <c r="F156" s="1511">
        <v>0</v>
      </c>
      <c r="G156" s="1512">
        <v>0</v>
      </c>
      <c r="I156" s="2683" t="s">
        <v>2181</v>
      </c>
      <c r="J156" s="2745">
        <f t="array" ref="J156">SUMPRODUCT(E101:I101,TRANSPOSE($C$137:$C$141))</f>
        <v>1415.1372549019607</v>
      </c>
    </row>
    <row r="157" spans="2:28" s="1394" customFormat="1" x14ac:dyDescent="0.35">
      <c r="B157" s="1442" t="s">
        <v>2356</v>
      </c>
      <c r="C157" s="1502" t="s">
        <v>2400</v>
      </c>
      <c r="D157" s="1335">
        <v>0</v>
      </c>
      <c r="E157" s="1503">
        <v>0</v>
      </c>
      <c r="F157" s="1232">
        <v>0</v>
      </c>
      <c r="G157" s="1504">
        <v>0</v>
      </c>
      <c r="I157" s="2683" t="s">
        <v>2164</v>
      </c>
      <c r="J157" s="2745">
        <f t="array" ref="J157">SUMPRODUCT(E102:I102,TRANSPOSE($C$137:$C$141))</f>
        <v>512.23529411764696</v>
      </c>
    </row>
    <row r="158" spans="2:28" s="1394" customFormat="1" x14ac:dyDescent="0.35">
      <c r="B158" s="1445" t="s">
        <v>2357</v>
      </c>
      <c r="C158" s="1508" t="s">
        <v>2400</v>
      </c>
      <c r="D158" s="1509">
        <v>0</v>
      </c>
      <c r="E158" s="1510">
        <v>0</v>
      </c>
      <c r="F158" s="1511">
        <v>0</v>
      </c>
      <c r="G158" s="1512">
        <v>0</v>
      </c>
      <c r="I158" s="2683" t="s">
        <v>2336</v>
      </c>
      <c r="J158" s="2745">
        <f t="array" ref="J158">SUMPRODUCT(E103:I103,TRANSPOSE($C$137:$C$141))</f>
        <v>1493.6862745098038</v>
      </c>
    </row>
    <row r="159" spans="2:28" s="1394" customFormat="1" x14ac:dyDescent="0.35">
      <c r="B159" s="1442" t="s">
        <v>2358</v>
      </c>
      <c r="C159" s="1502" t="s">
        <v>2400</v>
      </c>
      <c r="D159" s="1335">
        <v>0</v>
      </c>
      <c r="E159" s="1503">
        <v>0</v>
      </c>
      <c r="F159" s="1232">
        <v>0</v>
      </c>
      <c r="G159" s="1504">
        <v>0</v>
      </c>
      <c r="I159" s="2683" t="s">
        <v>2165</v>
      </c>
      <c r="J159" s="2745">
        <f t="array" ref="J159">SUMPRODUCT(E104:I104,TRANSPOSE($C$137:$C$141))</f>
        <v>1630.1960784313726</v>
      </c>
    </row>
    <row r="160" spans="2:28" s="1394" customFormat="1" x14ac:dyDescent="0.35">
      <c r="B160" s="1445" t="s">
        <v>2162</v>
      </c>
      <c r="C160" s="1508" t="s">
        <v>2400</v>
      </c>
      <c r="D160" s="1509">
        <v>0</v>
      </c>
      <c r="E160" s="1510">
        <v>0</v>
      </c>
      <c r="F160" s="1511">
        <v>0</v>
      </c>
      <c r="G160" s="1512">
        <v>0</v>
      </c>
      <c r="I160" s="1085" t="s">
        <v>2167</v>
      </c>
      <c r="J160" s="1485">
        <f t="array" ref="J160">SUMPRODUCT(E105:I105,TRANSPOSE($C$137:$C$141))</f>
        <v>1698.2156862745098</v>
      </c>
    </row>
    <row r="161" spans="2:10" s="1394" customFormat="1" x14ac:dyDescent="0.35">
      <c r="B161" s="1442" t="s">
        <v>2325</v>
      </c>
      <c r="C161" s="1502" t="s">
        <v>2400</v>
      </c>
      <c r="D161" s="1335">
        <v>0</v>
      </c>
      <c r="E161" s="1503">
        <v>0</v>
      </c>
      <c r="F161" s="1232">
        <v>0</v>
      </c>
      <c r="G161" s="1504">
        <v>0</v>
      </c>
      <c r="I161" s="2683" t="s">
        <v>2168</v>
      </c>
      <c r="J161" s="2745">
        <f t="array" ref="J161">SUMPRODUCT(E106:I106,TRANSPOSE($C$137:$C$141))</f>
        <v>936.1960784313726</v>
      </c>
    </row>
    <row r="162" spans="2:10" s="1394" customFormat="1" x14ac:dyDescent="0.35">
      <c r="B162" s="1445" t="s">
        <v>2073</v>
      </c>
      <c r="C162" s="1508" t="s">
        <v>2400</v>
      </c>
      <c r="D162" s="1509">
        <v>0</v>
      </c>
      <c r="E162" s="1510">
        <v>0</v>
      </c>
      <c r="F162" s="1511">
        <v>0</v>
      </c>
      <c r="G162" s="1512">
        <v>0</v>
      </c>
      <c r="I162" s="2683" t="s">
        <v>2169</v>
      </c>
      <c r="J162" s="2745">
        <f t="array" ref="J162">SUMPRODUCT(E107:I107,TRANSPOSE($C$137:$C$141))</f>
        <v>2004.4117647058824</v>
      </c>
    </row>
    <row r="163" spans="2:10" s="1394" customFormat="1" x14ac:dyDescent="0.35">
      <c r="B163" s="1442" t="s">
        <v>2166</v>
      </c>
      <c r="C163" s="1502" t="s">
        <v>2400</v>
      </c>
      <c r="D163" s="1335">
        <v>0</v>
      </c>
      <c r="E163" s="1503">
        <v>0</v>
      </c>
      <c r="F163" s="1232">
        <v>0</v>
      </c>
      <c r="G163" s="1504">
        <v>0</v>
      </c>
      <c r="I163" s="2683" t="s">
        <v>2170</v>
      </c>
      <c r="J163" s="2745">
        <f t="array" ref="J163">SUMPRODUCT(E108:I108,TRANSPOSE($C$137:$C$141))</f>
        <v>1262.7843137254904</v>
      </c>
    </row>
    <row r="164" spans="2:10" s="1394" customFormat="1" x14ac:dyDescent="0.35">
      <c r="B164" s="1445" t="s">
        <v>2163</v>
      </c>
      <c r="C164" s="1508" t="s">
        <v>2400</v>
      </c>
      <c r="D164" s="1509">
        <v>6</v>
      </c>
      <c r="E164" s="1510">
        <v>0.95</v>
      </c>
      <c r="F164" s="1511">
        <v>91</v>
      </c>
      <c r="G164" s="1512">
        <v>0.1</v>
      </c>
      <c r="I164" s="2683" t="s">
        <v>2171</v>
      </c>
      <c r="J164" s="2745">
        <f t="array" ref="J164">SUMPRODUCT(E109:I109,TRANSPOSE($C$137:$C$141))</f>
        <v>903.1960784313726</v>
      </c>
    </row>
    <row r="165" spans="2:10" s="1394" customFormat="1" x14ac:dyDescent="0.35">
      <c r="B165" s="1442" t="s">
        <v>2181</v>
      </c>
      <c r="C165" s="1502" t="s">
        <v>2400</v>
      </c>
      <c r="D165" s="1335">
        <v>0</v>
      </c>
      <c r="E165" s="1503">
        <v>0</v>
      </c>
      <c r="F165" s="1232">
        <v>0</v>
      </c>
      <c r="G165" s="1504">
        <v>0</v>
      </c>
      <c r="I165" s="2683" t="s">
        <v>2172</v>
      </c>
      <c r="J165" s="2745">
        <f t="array" ref="J165">SUMPRODUCT(E110:I110,TRANSPOSE($C$137:$C$141))</f>
        <v>2375.1176470588239</v>
      </c>
    </row>
    <row r="166" spans="2:10" s="1394" customFormat="1" x14ac:dyDescent="0.35">
      <c r="B166" s="1445" t="s">
        <v>2164</v>
      </c>
      <c r="C166" s="1508" t="s">
        <v>2400</v>
      </c>
      <c r="D166" s="1509">
        <v>0</v>
      </c>
      <c r="E166" s="1510">
        <v>0</v>
      </c>
      <c r="F166" s="1511">
        <v>0</v>
      </c>
      <c r="G166" s="1512">
        <v>0</v>
      </c>
      <c r="I166" s="2683" t="s">
        <v>2173</v>
      </c>
      <c r="J166" s="2745">
        <f t="array" ref="J166">SUMPRODUCT(E111:I111,TRANSPOSE($C$137:$C$141))</f>
        <v>1483.2352941176471</v>
      </c>
    </row>
    <row r="167" spans="2:10" s="1394" customFormat="1" x14ac:dyDescent="0.35">
      <c r="B167" s="1442" t="s">
        <v>2336</v>
      </c>
      <c r="C167" s="1502" t="s">
        <v>2400</v>
      </c>
      <c r="D167" s="1335">
        <v>0</v>
      </c>
      <c r="E167" s="1503">
        <v>0</v>
      </c>
      <c r="F167" s="1232">
        <v>0</v>
      </c>
      <c r="G167" s="1504">
        <v>0</v>
      </c>
      <c r="I167" s="2683" t="s">
        <v>3908</v>
      </c>
      <c r="J167" s="2743">
        <f t="array" ref="J167">SUMPRODUCT(E112:I112,TRANSPOSE($C$137:$C$141))</f>
        <v>2419.4509803921565</v>
      </c>
    </row>
    <row r="168" spans="2:10" s="1394" customFormat="1" x14ac:dyDescent="0.35">
      <c r="B168" s="1445" t="s">
        <v>2165</v>
      </c>
      <c r="C168" s="1508" t="s">
        <v>2400</v>
      </c>
      <c r="D168" s="1509">
        <v>0</v>
      </c>
      <c r="E168" s="1510">
        <v>0</v>
      </c>
      <c r="F168" s="1511">
        <v>0</v>
      </c>
      <c r="G168" s="1512">
        <v>0</v>
      </c>
      <c r="I168" s="884" t="s">
        <v>2174</v>
      </c>
      <c r="J168" s="1484">
        <f t="array" ref="J168">SUMPRODUCT(E113:I113,TRANSPOSE($C$137:$C$141))</f>
        <v>1395.7647058823529</v>
      </c>
    </row>
    <row r="169" spans="2:10" s="1394" customFormat="1" x14ac:dyDescent="0.35">
      <c r="B169" s="1442" t="s">
        <v>2167</v>
      </c>
      <c r="C169" s="1502" t="s">
        <v>2400</v>
      </c>
      <c r="D169" s="1335">
        <v>8.0000000000000002E-3</v>
      </c>
      <c r="E169" s="1503">
        <v>0.95400000000000007</v>
      </c>
      <c r="F169" s="1232">
        <v>102.22222222222223</v>
      </c>
      <c r="G169" s="1504">
        <v>0.77777777777777779</v>
      </c>
      <c r="I169" s="2683" t="s">
        <v>2175</v>
      </c>
      <c r="J169" s="2745">
        <f t="array" ref="J169">SUMPRODUCT(E114:I114,TRANSPOSE($C$137:$C$141))</f>
        <v>1203.1764705882351</v>
      </c>
    </row>
    <row r="170" spans="2:10" s="1394" customFormat="1" x14ac:dyDescent="0.35">
      <c r="B170" s="1445" t="s">
        <v>2168</v>
      </c>
      <c r="C170" s="1508" t="s">
        <v>2400</v>
      </c>
      <c r="D170" s="1509">
        <v>0</v>
      </c>
      <c r="E170" s="1510">
        <v>0</v>
      </c>
      <c r="F170" s="1511">
        <v>0</v>
      </c>
      <c r="G170" s="1512">
        <v>0</v>
      </c>
      <c r="I170" s="2683" t="s">
        <v>2176</v>
      </c>
      <c r="J170" s="2745">
        <f t="array" ref="J170">SUMPRODUCT(E115:I115,TRANSPOSE($C$137:$C$141))</f>
        <v>1200.9411764705883</v>
      </c>
    </row>
    <row r="171" spans="2:10" s="1394" customFormat="1" x14ac:dyDescent="0.35">
      <c r="B171" s="1442" t="s">
        <v>2169</v>
      </c>
      <c r="C171" s="1502" t="s">
        <v>2400</v>
      </c>
      <c r="D171" s="1335">
        <v>0</v>
      </c>
      <c r="E171" s="1503">
        <v>0</v>
      </c>
      <c r="F171" s="1232">
        <v>0</v>
      </c>
      <c r="G171" s="1504">
        <v>0</v>
      </c>
      <c r="I171" s="2683" t="s">
        <v>2177</v>
      </c>
      <c r="J171" s="2745">
        <f t="array" ref="J171">SUMPRODUCT(E116:I116,TRANSPOSE($C$137:$C$141))</f>
        <v>1200.5294117647059</v>
      </c>
    </row>
    <row r="172" spans="2:10" s="1394" customFormat="1" x14ac:dyDescent="0.35">
      <c r="B172" s="1445" t="s">
        <v>2170</v>
      </c>
      <c r="C172" s="1508" t="s">
        <v>2400</v>
      </c>
      <c r="D172" s="1509">
        <v>0</v>
      </c>
      <c r="E172" s="1510">
        <v>0</v>
      </c>
      <c r="F172" s="1511">
        <v>0</v>
      </c>
      <c r="G172" s="1512">
        <v>0</v>
      </c>
      <c r="I172" s="2683" t="s">
        <v>2027</v>
      </c>
      <c r="J172" s="2745">
        <f t="array" ref="J172">SUMPRODUCT(E117:I117,TRANSPOSE($C$137:$C$141))</f>
        <v>1201.8431372549019</v>
      </c>
    </row>
    <row r="173" spans="2:10" s="1394" customFormat="1" x14ac:dyDescent="0.35">
      <c r="B173" s="1442" t="s">
        <v>2171</v>
      </c>
      <c r="C173" s="1502" t="s">
        <v>2400</v>
      </c>
      <c r="D173" s="1335">
        <v>0</v>
      </c>
      <c r="E173" s="1503">
        <v>0</v>
      </c>
      <c r="F173" s="1232">
        <v>0</v>
      </c>
      <c r="G173" s="1504">
        <v>0</v>
      </c>
      <c r="I173" s="2683" t="s">
        <v>536</v>
      </c>
      <c r="J173" s="2745">
        <f t="array" ref="J173">SUMPRODUCT(E118:I118,TRANSPOSE($C$137:$C$141))</f>
        <v>1516.6666666666665</v>
      </c>
    </row>
    <row r="174" spans="2:10" s="1394" customFormat="1" x14ac:dyDescent="0.35">
      <c r="B174" s="1445" t="s">
        <v>2172</v>
      </c>
      <c r="C174" s="1508" t="s">
        <v>2400</v>
      </c>
      <c r="D174" s="1509">
        <v>23</v>
      </c>
      <c r="E174" s="1510">
        <v>0.95594429999999997</v>
      </c>
      <c r="F174" s="1511">
        <v>84</v>
      </c>
      <c r="G174" s="1512">
        <v>0.9</v>
      </c>
    </row>
    <row r="175" spans="2:10" s="1394" customFormat="1" x14ac:dyDescent="0.35">
      <c r="B175" s="1442" t="s">
        <v>2173</v>
      </c>
      <c r="C175" s="1502" t="s">
        <v>2400</v>
      </c>
      <c r="D175" s="1335">
        <v>1</v>
      </c>
      <c r="E175" s="1503">
        <v>0.95</v>
      </c>
      <c r="F175" s="1232">
        <v>88</v>
      </c>
      <c r="G175" s="1504">
        <v>1</v>
      </c>
    </row>
    <row r="176" spans="2:10" s="1394" customFormat="1" x14ac:dyDescent="0.35">
      <c r="B176" s="1445" t="s">
        <v>2174</v>
      </c>
      <c r="C176" s="1508" t="s">
        <v>2400</v>
      </c>
      <c r="D176" s="1509">
        <v>7</v>
      </c>
      <c r="E176" s="1510">
        <v>0.96</v>
      </c>
      <c r="F176" s="1511">
        <v>112.5</v>
      </c>
      <c r="G176" s="1512">
        <v>0.9</v>
      </c>
    </row>
    <row r="177" spans="2:7" s="1394" customFormat="1" x14ac:dyDescent="0.35">
      <c r="B177" s="1442" t="s">
        <v>2175</v>
      </c>
      <c r="C177" s="1502" t="s">
        <v>2400</v>
      </c>
      <c r="D177" s="1335">
        <v>0</v>
      </c>
      <c r="E177" s="1503">
        <v>0.95</v>
      </c>
      <c r="F177" s="1232">
        <v>100</v>
      </c>
      <c r="G177" s="1504">
        <v>1</v>
      </c>
    </row>
    <row r="178" spans="2:7" s="1394" customFormat="1" x14ac:dyDescent="0.35">
      <c r="B178" s="1445" t="s">
        <v>2176</v>
      </c>
      <c r="C178" s="1508" t="s">
        <v>2400</v>
      </c>
      <c r="D178" s="1509">
        <v>2</v>
      </c>
      <c r="E178" s="1510">
        <v>0.95499999999999996</v>
      </c>
      <c r="F178" s="1511">
        <v>100</v>
      </c>
      <c r="G178" s="1512">
        <v>1</v>
      </c>
    </row>
    <row r="179" spans="2:7" s="1394" customFormat="1" x14ac:dyDescent="0.35">
      <c r="B179" s="1442" t="s">
        <v>2177</v>
      </c>
      <c r="C179" s="1502" t="s">
        <v>2400</v>
      </c>
      <c r="D179" s="1335">
        <v>1</v>
      </c>
      <c r="E179" s="1503">
        <v>0.96</v>
      </c>
      <c r="F179" s="1232">
        <v>120</v>
      </c>
      <c r="G179" s="1504">
        <v>1</v>
      </c>
    </row>
    <row r="180" spans="2:7" s="1394" customFormat="1" x14ac:dyDescent="0.35">
      <c r="B180" s="1445" t="s">
        <v>2027</v>
      </c>
      <c r="C180" s="1508" t="s">
        <v>2400</v>
      </c>
      <c r="D180" s="1509">
        <v>2</v>
      </c>
      <c r="E180" s="1510">
        <v>0.95499999999999996</v>
      </c>
      <c r="F180" s="1511">
        <v>106</v>
      </c>
      <c r="G180" s="1512">
        <v>0.1</v>
      </c>
    </row>
    <row r="181" spans="2:7" s="1394" customFormat="1" x14ac:dyDescent="0.35">
      <c r="B181" s="1442" t="s">
        <v>536</v>
      </c>
      <c r="C181" s="1502" t="s">
        <v>2400</v>
      </c>
      <c r="D181" s="1335">
        <v>10</v>
      </c>
      <c r="E181" s="1503">
        <v>0.96</v>
      </c>
      <c r="F181" s="1232">
        <v>94.1</v>
      </c>
      <c r="G181" s="1504">
        <v>0.9</v>
      </c>
    </row>
    <row r="182" spans="2:7" s="1394" customFormat="1" x14ac:dyDescent="0.35">
      <c r="B182" s="1435" t="s">
        <v>2180</v>
      </c>
      <c r="C182" s="1499" t="s">
        <v>2401</v>
      </c>
      <c r="D182" s="1332">
        <v>0</v>
      </c>
      <c r="E182" s="1333">
        <v>0</v>
      </c>
      <c r="F182" s="1333">
        <v>0</v>
      </c>
      <c r="G182" s="1501">
        <v>0</v>
      </c>
    </row>
    <row r="183" spans="2:7" s="1394" customFormat="1" x14ac:dyDescent="0.35">
      <c r="B183" s="1442" t="s">
        <v>2071</v>
      </c>
      <c r="C183" s="1502" t="s">
        <v>2401</v>
      </c>
      <c r="D183" s="1335">
        <v>0</v>
      </c>
      <c r="E183" s="1336">
        <v>0</v>
      </c>
      <c r="F183" s="1336">
        <v>0</v>
      </c>
      <c r="G183" s="1504">
        <v>0</v>
      </c>
    </row>
    <row r="184" spans="2:7" s="1394" customFormat="1" x14ac:dyDescent="0.35">
      <c r="B184" s="1445" t="s">
        <v>2157</v>
      </c>
      <c r="C184" s="1505" t="s">
        <v>2401</v>
      </c>
      <c r="D184" s="1338">
        <v>0</v>
      </c>
      <c r="E184" s="1339">
        <v>0</v>
      </c>
      <c r="F184" s="1339">
        <v>0</v>
      </c>
      <c r="G184" s="1507">
        <v>0</v>
      </c>
    </row>
    <row r="185" spans="2:7" s="1394" customFormat="1" x14ac:dyDescent="0.35">
      <c r="B185" s="1442" t="s">
        <v>2158</v>
      </c>
      <c r="C185" s="1502" t="s">
        <v>2401</v>
      </c>
      <c r="D185" s="1335">
        <v>0</v>
      </c>
      <c r="E185" s="1336">
        <v>0</v>
      </c>
      <c r="F185" s="1336">
        <v>0</v>
      </c>
      <c r="G185" s="1504">
        <v>0</v>
      </c>
    </row>
    <row r="186" spans="2:7" s="1394" customFormat="1" x14ac:dyDescent="0.35">
      <c r="B186" s="1445" t="s">
        <v>2028</v>
      </c>
      <c r="C186" s="1505" t="s">
        <v>2401</v>
      </c>
      <c r="D186" s="1338">
        <v>0</v>
      </c>
      <c r="E186" s="1339">
        <v>0</v>
      </c>
      <c r="F186" s="1339">
        <v>0</v>
      </c>
      <c r="G186" s="1507">
        <v>0</v>
      </c>
    </row>
    <row r="187" spans="2:7" s="1394" customFormat="1" x14ac:dyDescent="0.35">
      <c r="B187" s="1442" t="s">
        <v>2109</v>
      </c>
      <c r="C187" s="1502" t="s">
        <v>2401</v>
      </c>
      <c r="D187" s="1335">
        <v>0</v>
      </c>
      <c r="E187" s="1336">
        <v>0</v>
      </c>
      <c r="F187" s="1336">
        <v>0</v>
      </c>
      <c r="G187" s="1504">
        <v>0</v>
      </c>
    </row>
    <row r="188" spans="2:7" s="1394" customFormat="1" x14ac:dyDescent="0.35">
      <c r="B188" s="1445" t="s">
        <v>2026</v>
      </c>
      <c r="C188" s="1505" t="s">
        <v>2401</v>
      </c>
      <c r="D188" s="1338">
        <v>0</v>
      </c>
      <c r="E188" s="1339">
        <v>0</v>
      </c>
      <c r="F188" s="1339">
        <v>0</v>
      </c>
      <c r="G188" s="1507">
        <v>0</v>
      </c>
    </row>
    <row r="189" spans="2:7" s="1394" customFormat="1" x14ac:dyDescent="0.35">
      <c r="B189" s="1442" t="s">
        <v>2075</v>
      </c>
      <c r="C189" s="1502" t="s">
        <v>2401</v>
      </c>
      <c r="D189" s="1335">
        <v>0</v>
      </c>
      <c r="E189" s="1336">
        <v>0</v>
      </c>
      <c r="F189" s="1336">
        <v>0</v>
      </c>
      <c r="G189" s="1504">
        <v>0</v>
      </c>
    </row>
    <row r="190" spans="2:7" s="1394" customFormat="1" x14ac:dyDescent="0.35">
      <c r="B190" s="1445" t="s">
        <v>2029</v>
      </c>
      <c r="C190" s="1505" t="s">
        <v>2401</v>
      </c>
      <c r="D190" s="1338">
        <v>0</v>
      </c>
      <c r="E190" s="1339">
        <v>0</v>
      </c>
      <c r="F190" s="1339">
        <v>0</v>
      </c>
      <c r="G190" s="1507">
        <v>0</v>
      </c>
    </row>
    <row r="191" spans="2:7" s="1394" customFormat="1" x14ac:dyDescent="0.35">
      <c r="B191" s="1442" t="s">
        <v>2356</v>
      </c>
      <c r="C191" s="1502" t="s">
        <v>2401</v>
      </c>
      <c r="D191" s="1335">
        <v>0</v>
      </c>
      <c r="E191" s="1336">
        <v>0</v>
      </c>
      <c r="F191" s="1336">
        <v>0</v>
      </c>
      <c r="G191" s="1504">
        <v>0</v>
      </c>
    </row>
    <row r="192" spans="2:7" s="1394" customFormat="1" x14ac:dyDescent="0.35">
      <c r="B192" s="1445" t="s">
        <v>2357</v>
      </c>
      <c r="C192" s="1505" t="s">
        <v>2401</v>
      </c>
      <c r="D192" s="1338">
        <v>0</v>
      </c>
      <c r="E192" s="1339">
        <v>0</v>
      </c>
      <c r="F192" s="1339">
        <v>0</v>
      </c>
      <c r="G192" s="1507">
        <v>0</v>
      </c>
    </row>
    <row r="193" spans="2:7" s="1394" customFormat="1" x14ac:dyDescent="0.35">
      <c r="B193" s="1442" t="s">
        <v>2358</v>
      </c>
      <c r="C193" s="1502" t="s">
        <v>2401</v>
      </c>
      <c r="D193" s="1335">
        <v>0</v>
      </c>
      <c r="E193" s="1336">
        <v>0</v>
      </c>
      <c r="F193" s="1336">
        <v>0</v>
      </c>
      <c r="G193" s="1504">
        <v>0</v>
      </c>
    </row>
    <row r="194" spans="2:7" s="1394" customFormat="1" x14ac:dyDescent="0.35">
      <c r="B194" s="1445" t="s">
        <v>2162</v>
      </c>
      <c r="C194" s="1505" t="s">
        <v>2401</v>
      </c>
      <c r="D194" s="1338">
        <v>0</v>
      </c>
      <c r="E194" s="1339">
        <v>0</v>
      </c>
      <c r="F194" s="1339">
        <v>0</v>
      </c>
      <c r="G194" s="1507">
        <v>0</v>
      </c>
    </row>
    <row r="195" spans="2:7" s="1394" customFormat="1" x14ac:dyDescent="0.35">
      <c r="B195" s="1442" t="s">
        <v>2325</v>
      </c>
      <c r="C195" s="1502" t="s">
        <v>2401</v>
      </c>
      <c r="D195" s="1335">
        <v>0</v>
      </c>
      <c r="E195" s="1336">
        <v>0</v>
      </c>
      <c r="F195" s="1336">
        <v>0</v>
      </c>
      <c r="G195" s="1504">
        <v>0</v>
      </c>
    </row>
    <row r="196" spans="2:7" s="1394" customFormat="1" x14ac:dyDescent="0.35">
      <c r="B196" s="1445" t="s">
        <v>2073</v>
      </c>
      <c r="C196" s="1505" t="s">
        <v>2401</v>
      </c>
      <c r="D196" s="1338">
        <v>0</v>
      </c>
      <c r="E196" s="1339">
        <v>0</v>
      </c>
      <c r="F196" s="1339">
        <v>0</v>
      </c>
      <c r="G196" s="1507">
        <v>0</v>
      </c>
    </row>
    <row r="197" spans="2:7" s="1394" customFormat="1" x14ac:dyDescent="0.35">
      <c r="B197" s="1442" t="s">
        <v>2166</v>
      </c>
      <c r="C197" s="1502" t="s">
        <v>2401</v>
      </c>
      <c r="D197" s="1335">
        <v>0</v>
      </c>
      <c r="E197" s="1336">
        <v>0</v>
      </c>
      <c r="F197" s="1336">
        <v>0</v>
      </c>
      <c r="G197" s="1504">
        <v>0</v>
      </c>
    </row>
    <row r="198" spans="2:7" s="1394" customFormat="1" x14ac:dyDescent="0.35">
      <c r="B198" s="1445" t="s">
        <v>2163</v>
      </c>
      <c r="C198" s="1505" t="s">
        <v>2401</v>
      </c>
      <c r="D198" s="1338">
        <v>0</v>
      </c>
      <c r="E198" s="1339">
        <v>0</v>
      </c>
      <c r="F198" s="1339">
        <v>0</v>
      </c>
      <c r="G198" s="1507">
        <v>0</v>
      </c>
    </row>
    <row r="199" spans="2:7" s="1394" customFormat="1" x14ac:dyDescent="0.35">
      <c r="B199" s="1442" t="s">
        <v>2181</v>
      </c>
      <c r="C199" s="1502" t="s">
        <v>2401</v>
      </c>
      <c r="D199" s="1335">
        <v>0</v>
      </c>
      <c r="E199" s="1336">
        <v>0</v>
      </c>
      <c r="F199" s="1336">
        <v>0</v>
      </c>
      <c r="G199" s="1504">
        <v>0</v>
      </c>
    </row>
    <row r="200" spans="2:7" s="1394" customFormat="1" x14ac:dyDescent="0.35">
      <c r="B200" s="1445" t="s">
        <v>2164</v>
      </c>
      <c r="C200" s="1505" t="s">
        <v>2401</v>
      </c>
      <c r="D200" s="1338">
        <v>0</v>
      </c>
      <c r="E200" s="1339">
        <v>0</v>
      </c>
      <c r="F200" s="1339">
        <v>0</v>
      </c>
      <c r="G200" s="1507">
        <v>0</v>
      </c>
    </row>
    <row r="201" spans="2:7" s="1394" customFormat="1" x14ac:dyDescent="0.35">
      <c r="B201" s="1442" t="s">
        <v>2336</v>
      </c>
      <c r="C201" s="1502" t="s">
        <v>2401</v>
      </c>
      <c r="D201" s="1335">
        <v>0</v>
      </c>
      <c r="E201" s="1336">
        <v>0</v>
      </c>
      <c r="F201" s="1336">
        <v>0</v>
      </c>
      <c r="G201" s="1504">
        <v>0</v>
      </c>
    </row>
    <row r="202" spans="2:7" s="1394" customFormat="1" x14ac:dyDescent="0.35">
      <c r="B202" s="1445" t="s">
        <v>2165</v>
      </c>
      <c r="C202" s="1505" t="s">
        <v>2401</v>
      </c>
      <c r="D202" s="1338">
        <v>0</v>
      </c>
      <c r="E202" s="1339">
        <v>0</v>
      </c>
      <c r="F202" s="1339">
        <v>0</v>
      </c>
      <c r="G202" s="1507">
        <v>0</v>
      </c>
    </row>
    <row r="203" spans="2:7" s="1394" customFormat="1" x14ac:dyDescent="0.35">
      <c r="B203" s="1442" t="s">
        <v>2167</v>
      </c>
      <c r="C203" s="1502" t="s">
        <v>2401</v>
      </c>
      <c r="D203" s="1335">
        <v>0</v>
      </c>
      <c r="E203" s="1336">
        <v>0</v>
      </c>
      <c r="F203" s="1336">
        <v>0</v>
      </c>
      <c r="G203" s="1504">
        <v>0</v>
      </c>
    </row>
    <row r="204" spans="2:7" s="1394" customFormat="1" x14ac:dyDescent="0.35">
      <c r="B204" s="1445" t="s">
        <v>2168</v>
      </c>
      <c r="C204" s="1505" t="s">
        <v>2401</v>
      </c>
      <c r="D204" s="1338">
        <v>0</v>
      </c>
      <c r="E204" s="1339">
        <v>0</v>
      </c>
      <c r="F204" s="1339">
        <v>0</v>
      </c>
      <c r="G204" s="1507">
        <v>0</v>
      </c>
    </row>
    <row r="205" spans="2:7" s="1394" customFormat="1" x14ac:dyDescent="0.35">
      <c r="B205" s="1442" t="s">
        <v>2169</v>
      </c>
      <c r="C205" s="1502" t="s">
        <v>2401</v>
      </c>
      <c r="D205" s="1335">
        <v>0</v>
      </c>
      <c r="E205" s="1336">
        <v>0</v>
      </c>
      <c r="F205" s="1336">
        <v>0</v>
      </c>
      <c r="G205" s="1504">
        <v>0</v>
      </c>
    </row>
    <row r="206" spans="2:7" s="1394" customFormat="1" x14ac:dyDescent="0.35">
      <c r="B206" s="1445" t="s">
        <v>2170</v>
      </c>
      <c r="C206" s="1505" t="s">
        <v>2401</v>
      </c>
      <c r="D206" s="1338">
        <v>0</v>
      </c>
      <c r="E206" s="1339">
        <v>0</v>
      </c>
      <c r="F206" s="1339">
        <v>0</v>
      </c>
      <c r="G206" s="1507">
        <v>0</v>
      </c>
    </row>
    <row r="207" spans="2:7" s="1394" customFormat="1" x14ac:dyDescent="0.35">
      <c r="B207" s="1442" t="s">
        <v>2171</v>
      </c>
      <c r="C207" s="1502" t="s">
        <v>2401</v>
      </c>
      <c r="D207" s="1335">
        <v>0</v>
      </c>
      <c r="E207" s="1336">
        <v>0</v>
      </c>
      <c r="F207" s="1336">
        <v>0</v>
      </c>
      <c r="G207" s="1504">
        <v>0</v>
      </c>
    </row>
    <row r="208" spans="2:7" s="1394" customFormat="1" x14ac:dyDescent="0.35">
      <c r="B208" s="1445" t="s">
        <v>2172</v>
      </c>
      <c r="C208" s="1505" t="s">
        <v>2401</v>
      </c>
      <c r="D208" s="1338">
        <v>0</v>
      </c>
      <c r="E208" s="1339">
        <v>0</v>
      </c>
      <c r="F208" s="1339">
        <v>0</v>
      </c>
      <c r="G208" s="1507">
        <v>0</v>
      </c>
    </row>
    <row r="209" spans="1:18" s="1394" customFormat="1" x14ac:dyDescent="0.35">
      <c r="B209" s="1442" t="s">
        <v>2173</v>
      </c>
      <c r="C209" s="1502" t="s">
        <v>2401</v>
      </c>
      <c r="D209" s="1335">
        <v>0</v>
      </c>
      <c r="E209" s="1336">
        <v>0</v>
      </c>
      <c r="F209" s="1336">
        <v>0</v>
      </c>
      <c r="G209" s="1504">
        <v>0</v>
      </c>
    </row>
    <row r="210" spans="1:18" s="1394" customFormat="1" x14ac:dyDescent="0.35">
      <c r="B210" s="1445" t="s">
        <v>2174</v>
      </c>
      <c r="C210" s="1505" t="s">
        <v>2401</v>
      </c>
      <c r="D210" s="1338">
        <v>0</v>
      </c>
      <c r="E210" s="1339">
        <v>0</v>
      </c>
      <c r="F210" s="1339">
        <v>0</v>
      </c>
      <c r="G210" s="1507">
        <v>0</v>
      </c>
    </row>
    <row r="211" spans="1:18" s="1394" customFormat="1" x14ac:dyDescent="0.35">
      <c r="B211" s="1442" t="s">
        <v>2175</v>
      </c>
      <c r="C211" s="1502" t="s">
        <v>2401</v>
      </c>
      <c r="D211" s="1335">
        <v>0</v>
      </c>
      <c r="E211" s="1336">
        <v>0</v>
      </c>
      <c r="F211" s="1336">
        <v>0</v>
      </c>
      <c r="G211" s="1504">
        <v>0</v>
      </c>
    </row>
    <row r="212" spans="1:18" s="1394" customFormat="1" x14ac:dyDescent="0.35">
      <c r="B212" s="1445" t="s">
        <v>2176</v>
      </c>
      <c r="C212" s="1505" t="s">
        <v>2401</v>
      </c>
      <c r="D212" s="1338">
        <v>0</v>
      </c>
      <c r="E212" s="1339">
        <v>0</v>
      </c>
      <c r="F212" s="1339">
        <v>0</v>
      </c>
      <c r="G212" s="1507">
        <v>0</v>
      </c>
    </row>
    <row r="213" spans="1:18" s="1394" customFormat="1" x14ac:dyDescent="0.35">
      <c r="B213" s="1442" t="s">
        <v>2177</v>
      </c>
      <c r="C213" s="1502" t="s">
        <v>2401</v>
      </c>
      <c r="D213" s="1335">
        <v>0</v>
      </c>
      <c r="E213" s="1336">
        <v>0</v>
      </c>
      <c r="F213" s="1336">
        <v>0</v>
      </c>
      <c r="G213" s="1504">
        <v>0</v>
      </c>
    </row>
    <row r="214" spans="1:18" s="1394" customFormat="1" x14ac:dyDescent="0.35">
      <c r="B214" s="1445" t="s">
        <v>2027</v>
      </c>
      <c r="C214" s="1505" t="s">
        <v>2401</v>
      </c>
      <c r="D214" s="1338">
        <v>0</v>
      </c>
      <c r="E214" s="1339">
        <v>0</v>
      </c>
      <c r="F214" s="1339">
        <v>0</v>
      </c>
      <c r="G214" s="1507">
        <v>0</v>
      </c>
    </row>
    <row r="215" spans="1:18" s="1394" customFormat="1" x14ac:dyDescent="0.35">
      <c r="B215" s="1442" t="s">
        <v>536</v>
      </c>
      <c r="C215" s="1502" t="s">
        <v>2401</v>
      </c>
      <c r="D215" s="1335">
        <v>0</v>
      </c>
      <c r="E215" s="1336">
        <v>0</v>
      </c>
      <c r="F215" s="1336">
        <v>0</v>
      </c>
      <c r="G215" s="1504">
        <v>0</v>
      </c>
    </row>
    <row r="216" spans="1:18" s="1394" customFormat="1" x14ac:dyDescent="0.35"/>
    <row r="217" spans="1:18" s="1394" customFormat="1" x14ac:dyDescent="0.35"/>
    <row r="218" spans="1:18" s="1394" customFormat="1" ht="21" x14ac:dyDescent="0.5">
      <c r="A218" s="1395" t="s">
        <v>2036</v>
      </c>
    </row>
    <row r="219" spans="1:18" s="1394" customFormat="1" x14ac:dyDescent="0.35"/>
    <row r="220" spans="1:18" s="1394" customFormat="1" ht="26" x14ac:dyDescent="0.45">
      <c r="B220" s="3064"/>
      <c r="C220" s="3065"/>
      <c r="D220" s="3066" t="s">
        <v>2038</v>
      </c>
      <c r="E220" s="3067"/>
      <c r="F220" s="3067"/>
      <c r="G220" s="3068"/>
      <c r="H220" s="3066" t="s">
        <v>2039</v>
      </c>
      <c r="I220" s="3067"/>
      <c r="J220" s="3067"/>
      <c r="K220" s="3068"/>
      <c r="L220" s="3055" t="s">
        <v>2040</v>
      </c>
      <c r="M220" s="3056"/>
      <c r="N220" s="3056"/>
      <c r="O220" s="3057"/>
      <c r="P220" s="1492"/>
      <c r="Q220" s="1492"/>
      <c r="R220" s="1492"/>
    </row>
    <row r="221" spans="1:18" s="1394" customFormat="1" ht="43.5" x14ac:dyDescent="0.45">
      <c r="B221" s="1433" t="s">
        <v>2393</v>
      </c>
      <c r="C221" s="1412" t="s">
        <v>2278</v>
      </c>
      <c r="D221" s="1513" t="s">
        <v>1947</v>
      </c>
      <c r="E221" s="1514" t="s">
        <v>2430</v>
      </c>
      <c r="F221" s="1514" t="s">
        <v>2431</v>
      </c>
      <c r="G221" s="1515" t="s">
        <v>2432</v>
      </c>
      <c r="H221" s="1516" t="s">
        <v>2433</v>
      </c>
      <c r="I221" s="1517" t="s">
        <v>2369</v>
      </c>
      <c r="J221" s="1518" t="s">
        <v>2434</v>
      </c>
      <c r="K221" s="1515" t="s">
        <v>1368</v>
      </c>
      <c r="L221" s="1519" t="s">
        <v>2370</v>
      </c>
      <c r="M221" s="1419" t="s">
        <v>2435</v>
      </c>
      <c r="N221" s="1520" t="s">
        <v>2436</v>
      </c>
      <c r="O221" s="1420" t="s">
        <v>2371</v>
      </c>
      <c r="P221" s="1492"/>
      <c r="Q221" s="1521" t="s">
        <v>2437</v>
      </c>
      <c r="R221" s="1522" t="s">
        <v>1960</v>
      </c>
    </row>
    <row r="222" spans="1:18" s="1394" customFormat="1" ht="18.5" x14ac:dyDescent="0.45">
      <c r="B222" s="1435" t="s">
        <v>2180</v>
      </c>
      <c r="C222" s="1499" t="s">
        <v>2400</v>
      </c>
      <c r="D222" s="1266">
        <f t="shared" ref="D222:G237" si="1">D148</f>
        <v>0</v>
      </c>
      <c r="E222" s="1523">
        <f t="shared" si="1"/>
        <v>0.95400000000000007</v>
      </c>
      <c r="F222" s="1524">
        <f t="shared" si="1"/>
        <v>102.22222222222223</v>
      </c>
      <c r="G222" s="1353">
        <f t="shared" si="1"/>
        <v>0.77777777777777779</v>
      </c>
      <c r="H222" s="1354">
        <f t="shared" ref="H222:H255" si="2">$C$77</f>
        <v>0.8</v>
      </c>
      <c r="I222" s="1525">
        <f t="shared" ref="I222:I223" si="3">J137</f>
        <v>1599.313725490196</v>
      </c>
      <c r="J222" s="1526">
        <f>C82</f>
        <v>2150</v>
      </c>
      <c r="K222" s="1527">
        <f>D82</f>
        <v>0.48299999999999998</v>
      </c>
      <c r="L222" s="1528">
        <f>IFERROR(D222*I222*F222*1000*(E222-H222)/H222/100000,0)</f>
        <v>0</v>
      </c>
      <c r="M222" s="1529">
        <f>D222*(G222*721+(1-G222)*644)</f>
        <v>0</v>
      </c>
      <c r="N222" s="1530">
        <f>IFERROR(M222/J222*K222,0)</f>
        <v>0</v>
      </c>
      <c r="O222" s="1356">
        <f>D222*$C$130</f>
        <v>0</v>
      </c>
      <c r="P222" s="1492"/>
      <c r="Q222" s="1531">
        <f>IFERROR(VLOOKUP(E222,B$122:C$124,2,TRUE),0)</f>
        <v>1511</v>
      </c>
      <c r="R222" s="1532">
        <f>Q222*D222</f>
        <v>0</v>
      </c>
    </row>
    <row r="223" spans="1:18" s="1394" customFormat="1" ht="18.5" x14ac:dyDescent="0.45">
      <c r="B223" s="1442" t="s">
        <v>2071</v>
      </c>
      <c r="C223" s="1502" t="s">
        <v>2400</v>
      </c>
      <c r="D223" s="1293">
        <f t="shared" si="1"/>
        <v>1</v>
      </c>
      <c r="E223" s="1533">
        <f t="shared" si="1"/>
        <v>0.95400000000000007</v>
      </c>
      <c r="F223" s="1534">
        <f t="shared" si="1"/>
        <v>102.22222222222223</v>
      </c>
      <c r="G223" s="1381">
        <f t="shared" si="1"/>
        <v>0.77777777777777779</v>
      </c>
      <c r="H223" s="1382">
        <f t="shared" si="2"/>
        <v>0.8</v>
      </c>
      <c r="I223" s="1535">
        <f t="shared" si="3"/>
        <v>1436.9019607843138</v>
      </c>
      <c r="J223" s="1536">
        <f>C83</f>
        <v>4373</v>
      </c>
      <c r="K223" s="1537">
        <f>D83</f>
        <v>0.52900000000000003</v>
      </c>
      <c r="L223" s="1383">
        <f t="shared" ref="L223:L255" si="4">IFERROR(D223*I223*F223*1000*(E223-H223)/H223/100000,0)</f>
        <v>282.75037472766888</v>
      </c>
      <c r="M223" s="1538">
        <f t="shared" ref="M223:M255" si="5">D223*(G223*721+(1-G223)*644)</f>
        <v>703.88888888888891</v>
      </c>
      <c r="N223" s="1539">
        <f t="shared" ref="N223:N255" si="6">IFERROR(M223/J223*K223,0)</f>
        <v>8.514914754681506E-2</v>
      </c>
      <c r="O223" s="1364">
        <f t="shared" ref="O223:O255" si="7">D223*$C$130</f>
        <v>1000</v>
      </c>
      <c r="P223" s="1492"/>
      <c r="Q223" s="1365">
        <f>IFERROR(VLOOKUP(E223,B$122:C$124,2,TRUE),0)</f>
        <v>1511</v>
      </c>
      <c r="R223" s="1540">
        <f>Q223*D223</f>
        <v>1511</v>
      </c>
    </row>
    <row r="224" spans="1:18" s="1394" customFormat="1" ht="18.5" x14ac:dyDescent="0.45">
      <c r="B224" s="1445" t="s">
        <v>2157</v>
      </c>
      <c r="C224" s="1505" t="s">
        <v>2400</v>
      </c>
      <c r="D224" s="1287">
        <f t="shared" si="1"/>
        <v>0</v>
      </c>
      <c r="E224" s="1541">
        <f t="shared" si="1"/>
        <v>0</v>
      </c>
      <c r="F224" s="1542">
        <f t="shared" si="1"/>
        <v>0</v>
      </c>
      <c r="G224" s="1375">
        <f t="shared" si="1"/>
        <v>0</v>
      </c>
      <c r="H224" s="1376">
        <f t="shared" si="2"/>
        <v>0.8</v>
      </c>
      <c r="I224" s="1543">
        <f>J140</f>
        <v>1174.0588235294117</v>
      </c>
      <c r="J224" s="1544">
        <f>C85</f>
        <v>1605</v>
      </c>
      <c r="K224" s="1545">
        <f>D85</f>
        <v>0.14199999999999999</v>
      </c>
      <c r="L224" s="1377">
        <f t="shared" si="4"/>
        <v>0</v>
      </c>
      <c r="M224" s="1546">
        <f t="shared" si="5"/>
        <v>0</v>
      </c>
      <c r="N224" s="1547">
        <f t="shared" si="6"/>
        <v>0</v>
      </c>
      <c r="O224" s="1378">
        <f t="shared" si="7"/>
        <v>0</v>
      </c>
      <c r="P224" s="1492"/>
      <c r="Q224" s="1357">
        <f t="shared" ref="Q224:Q287" si="8">IFERROR(VLOOKUP(E224,B$122:C$124,2,TRUE),0)</f>
        <v>0</v>
      </c>
      <c r="R224" s="1548">
        <f t="shared" ref="R224:R287" si="9">Q224*D224</f>
        <v>0</v>
      </c>
    </row>
    <row r="225" spans="2:18" s="1394" customFormat="1" ht="18.5" x14ac:dyDescent="0.45">
      <c r="B225" s="1442" t="s">
        <v>2158</v>
      </c>
      <c r="C225" s="1502" t="s">
        <v>2400</v>
      </c>
      <c r="D225" s="1293">
        <f t="shared" si="1"/>
        <v>1</v>
      </c>
      <c r="E225" s="1533">
        <f t="shared" si="1"/>
        <v>0.96</v>
      </c>
      <c r="F225" s="1534">
        <f t="shared" si="1"/>
        <v>80</v>
      </c>
      <c r="G225" s="1381">
        <f t="shared" si="1"/>
        <v>1</v>
      </c>
      <c r="H225" s="1382">
        <f t="shared" si="2"/>
        <v>0.8</v>
      </c>
      <c r="I225" s="1535">
        <f>J141</f>
        <v>1199.4509803921569</v>
      </c>
      <c r="J225" s="1536">
        <f>C86</f>
        <v>2084</v>
      </c>
      <c r="K225" s="1537">
        <f>D86</f>
        <v>0.57099999999999995</v>
      </c>
      <c r="L225" s="1383">
        <f t="shared" si="4"/>
        <v>191.91215686274498</v>
      </c>
      <c r="M225" s="1538">
        <f t="shared" si="5"/>
        <v>721</v>
      </c>
      <c r="N225" s="1539">
        <f t="shared" si="6"/>
        <v>0.19754846449136274</v>
      </c>
      <c r="O225" s="1364">
        <f t="shared" si="7"/>
        <v>1000</v>
      </c>
      <c r="P225" s="1492"/>
      <c r="Q225" s="1365">
        <f t="shared" si="8"/>
        <v>1747</v>
      </c>
      <c r="R225" s="1540">
        <f t="shared" si="9"/>
        <v>1747</v>
      </c>
    </row>
    <row r="226" spans="2:18" s="1394" customFormat="1" ht="18.5" x14ac:dyDescent="0.45">
      <c r="B226" s="1445" t="s">
        <v>2028</v>
      </c>
      <c r="C226" s="1505" t="s">
        <v>2400</v>
      </c>
      <c r="D226" s="1287">
        <f t="shared" si="1"/>
        <v>12</v>
      </c>
      <c r="E226" s="1541">
        <f t="shared" si="1"/>
        <v>0.95</v>
      </c>
      <c r="F226" s="1542">
        <f t="shared" si="1"/>
        <v>95</v>
      </c>
      <c r="G226" s="1375">
        <f t="shared" si="1"/>
        <v>0.9</v>
      </c>
      <c r="H226" s="1376">
        <f t="shared" si="2"/>
        <v>0.8</v>
      </c>
      <c r="I226" s="1543">
        <f t="shared" ref="I226:I249" si="10">J143</f>
        <v>1427.0784313725492</v>
      </c>
      <c r="J226" s="1544">
        <f t="shared" ref="J226:J249" si="11">C88</f>
        <v>3276</v>
      </c>
      <c r="K226" s="1545">
        <f t="shared" ref="K226:K249" si="12">D88</f>
        <v>0.33300000000000002</v>
      </c>
      <c r="L226" s="1377">
        <f t="shared" si="4"/>
        <v>3050.3801470588219</v>
      </c>
      <c r="M226" s="1546">
        <f t="shared" si="5"/>
        <v>8559.5999999999985</v>
      </c>
      <c r="N226" s="1547">
        <f t="shared" si="6"/>
        <v>0.87006923076923071</v>
      </c>
      <c r="O226" s="1378">
        <f t="shared" si="7"/>
        <v>12000</v>
      </c>
      <c r="P226" s="1492"/>
      <c r="Q226" s="1357">
        <f t="shared" si="8"/>
        <v>1511</v>
      </c>
      <c r="R226" s="1548">
        <f t="shared" si="9"/>
        <v>18132</v>
      </c>
    </row>
    <row r="227" spans="2:18" s="1394" customFormat="1" ht="18.5" x14ac:dyDescent="0.45">
      <c r="B227" s="1442" t="s">
        <v>2109</v>
      </c>
      <c r="C227" s="1502" t="s">
        <v>2400</v>
      </c>
      <c r="D227" s="1293">
        <f t="shared" si="1"/>
        <v>0</v>
      </c>
      <c r="E227" s="1533">
        <f t="shared" si="1"/>
        <v>0.95400000000000007</v>
      </c>
      <c r="F227" s="1534">
        <f t="shared" si="1"/>
        <v>102.22222222222223</v>
      </c>
      <c r="G227" s="1381">
        <f t="shared" si="1"/>
        <v>0.77777777777777779</v>
      </c>
      <c r="H227" s="1382">
        <f t="shared" si="2"/>
        <v>0.8</v>
      </c>
      <c r="I227" s="1535">
        <f t="shared" si="10"/>
        <v>854.84313725490188</v>
      </c>
      <c r="J227" s="1536">
        <f t="shared" si="11"/>
        <v>2102</v>
      </c>
      <c r="K227" s="1537">
        <f t="shared" si="12"/>
        <v>0.61899999999999999</v>
      </c>
      <c r="L227" s="1383">
        <f t="shared" si="4"/>
        <v>0</v>
      </c>
      <c r="M227" s="1538">
        <f t="shared" si="5"/>
        <v>0</v>
      </c>
      <c r="N227" s="1539">
        <f t="shared" si="6"/>
        <v>0</v>
      </c>
      <c r="O227" s="1364">
        <f t="shared" si="7"/>
        <v>0</v>
      </c>
      <c r="P227" s="1492"/>
      <c r="Q227" s="1365">
        <f t="shared" si="8"/>
        <v>1511</v>
      </c>
      <c r="R227" s="1540">
        <f t="shared" si="9"/>
        <v>0</v>
      </c>
    </row>
    <row r="228" spans="2:18" s="1394" customFormat="1" ht="18.5" x14ac:dyDescent="0.45">
      <c r="B228" s="1445" t="s">
        <v>2026</v>
      </c>
      <c r="C228" s="1505" t="s">
        <v>2400</v>
      </c>
      <c r="D228" s="1287">
        <f t="shared" si="1"/>
        <v>0</v>
      </c>
      <c r="E228" s="1541">
        <f t="shared" si="1"/>
        <v>0</v>
      </c>
      <c r="F228" s="1542">
        <f t="shared" si="1"/>
        <v>0</v>
      </c>
      <c r="G228" s="1375">
        <f t="shared" si="1"/>
        <v>0</v>
      </c>
      <c r="H228" s="1376">
        <f t="shared" si="2"/>
        <v>0.8</v>
      </c>
      <c r="I228" s="1543">
        <f t="shared" si="10"/>
        <v>1412.1372549019609</v>
      </c>
      <c r="J228" s="1544">
        <f t="shared" si="11"/>
        <v>2096</v>
      </c>
      <c r="K228" s="1545">
        <f t="shared" si="12"/>
        <v>0.47499999999999998</v>
      </c>
      <c r="L228" s="1377">
        <f t="shared" si="4"/>
        <v>0</v>
      </c>
      <c r="M228" s="1546">
        <f t="shared" si="5"/>
        <v>0</v>
      </c>
      <c r="N228" s="1547">
        <f t="shared" si="6"/>
        <v>0</v>
      </c>
      <c r="O228" s="1378">
        <f t="shared" si="7"/>
        <v>0</v>
      </c>
      <c r="P228" s="1492"/>
      <c r="Q228" s="1357">
        <f t="shared" si="8"/>
        <v>0</v>
      </c>
      <c r="R228" s="1548">
        <f t="shared" si="9"/>
        <v>0</v>
      </c>
    </row>
    <row r="229" spans="2:18" s="1394" customFormat="1" ht="18.5" x14ac:dyDescent="0.45">
      <c r="B229" s="1442" t="s">
        <v>2075</v>
      </c>
      <c r="C229" s="1502" t="s">
        <v>2400</v>
      </c>
      <c r="D229" s="1293">
        <f t="shared" si="1"/>
        <v>1</v>
      </c>
      <c r="E229" s="1533">
        <f t="shared" si="1"/>
        <v>0.97499999999999998</v>
      </c>
      <c r="F229" s="1534">
        <f t="shared" si="1"/>
        <v>74.5</v>
      </c>
      <c r="G229" s="1381">
        <f t="shared" si="1"/>
        <v>0.5</v>
      </c>
      <c r="H229" s="1382">
        <f t="shared" si="2"/>
        <v>0.8</v>
      </c>
      <c r="I229" s="1535">
        <f t="shared" si="10"/>
        <v>1486.705882352941</v>
      </c>
      <c r="J229" s="1536">
        <f t="shared" si="11"/>
        <v>1987</v>
      </c>
      <c r="K229" s="1537">
        <f t="shared" si="12"/>
        <v>0.61899999999999999</v>
      </c>
      <c r="L229" s="1383">
        <f t="shared" si="4"/>
        <v>242.28659926470573</v>
      </c>
      <c r="M229" s="1538">
        <f t="shared" si="5"/>
        <v>682.5</v>
      </c>
      <c r="N229" s="1539">
        <f t="shared" si="6"/>
        <v>0.21261575239053851</v>
      </c>
      <c r="O229" s="1364">
        <f t="shared" si="7"/>
        <v>1000</v>
      </c>
      <c r="P229" s="1492"/>
      <c r="Q229" s="1365">
        <f t="shared" si="8"/>
        <v>1747</v>
      </c>
      <c r="R229" s="1540">
        <f t="shared" si="9"/>
        <v>1747</v>
      </c>
    </row>
    <row r="230" spans="2:18" s="1394" customFormat="1" ht="18.5" x14ac:dyDescent="0.45">
      <c r="B230" s="1445" t="s">
        <v>2029</v>
      </c>
      <c r="C230" s="1505" t="s">
        <v>2400</v>
      </c>
      <c r="D230" s="1287">
        <f t="shared" si="1"/>
        <v>0</v>
      </c>
      <c r="E230" s="1541">
        <f t="shared" si="1"/>
        <v>0</v>
      </c>
      <c r="F230" s="1542">
        <f t="shared" si="1"/>
        <v>0</v>
      </c>
      <c r="G230" s="1375">
        <f t="shared" si="1"/>
        <v>0</v>
      </c>
      <c r="H230" s="1376">
        <f t="shared" si="2"/>
        <v>0.8</v>
      </c>
      <c r="I230" s="1543">
        <f t="shared" si="10"/>
        <v>1692.4117647058822</v>
      </c>
      <c r="J230" s="1544">
        <f t="shared" si="11"/>
        <v>3141</v>
      </c>
      <c r="K230" s="1545">
        <f t="shared" si="12"/>
        <v>0.28799999999999998</v>
      </c>
      <c r="L230" s="1377">
        <f t="shared" si="4"/>
        <v>0</v>
      </c>
      <c r="M230" s="1546">
        <f t="shared" si="5"/>
        <v>0</v>
      </c>
      <c r="N230" s="1547">
        <f t="shared" si="6"/>
        <v>0</v>
      </c>
      <c r="O230" s="1378">
        <f t="shared" si="7"/>
        <v>0</v>
      </c>
      <c r="P230" s="1492"/>
      <c r="Q230" s="1357">
        <f t="shared" si="8"/>
        <v>0</v>
      </c>
      <c r="R230" s="1548">
        <f t="shared" si="9"/>
        <v>0</v>
      </c>
    </row>
    <row r="231" spans="2:18" s="1394" customFormat="1" ht="18.5" x14ac:dyDescent="0.45">
      <c r="B231" s="1442" t="s">
        <v>2356</v>
      </c>
      <c r="C231" s="1502" t="s">
        <v>2400</v>
      </c>
      <c r="D231" s="1293">
        <f t="shared" si="1"/>
        <v>0</v>
      </c>
      <c r="E231" s="1533">
        <f t="shared" si="1"/>
        <v>0</v>
      </c>
      <c r="F231" s="1534">
        <f t="shared" si="1"/>
        <v>0</v>
      </c>
      <c r="G231" s="1381">
        <f t="shared" si="1"/>
        <v>0</v>
      </c>
      <c r="H231" s="1382">
        <f t="shared" si="2"/>
        <v>0.8</v>
      </c>
      <c r="I231" s="1535">
        <f t="shared" si="10"/>
        <v>1098.5882352941176</v>
      </c>
      <c r="J231" s="1536">
        <f t="shared" si="11"/>
        <v>8760</v>
      </c>
      <c r="K231" s="1537">
        <f t="shared" si="12"/>
        <v>0.64800000000000002</v>
      </c>
      <c r="L231" s="1383">
        <f t="shared" si="4"/>
        <v>0</v>
      </c>
      <c r="M231" s="1538">
        <f t="shared" si="5"/>
        <v>0</v>
      </c>
      <c r="N231" s="1539">
        <f t="shared" si="6"/>
        <v>0</v>
      </c>
      <c r="O231" s="1364">
        <f t="shared" si="7"/>
        <v>0</v>
      </c>
      <c r="P231" s="1492"/>
      <c r="Q231" s="1365">
        <f t="shared" si="8"/>
        <v>0</v>
      </c>
      <c r="R231" s="1540">
        <f t="shared" si="9"/>
        <v>0</v>
      </c>
    </row>
    <row r="232" spans="2:18" s="1394" customFormat="1" ht="18.5" x14ac:dyDescent="0.45">
      <c r="B232" s="1445" t="s">
        <v>2357</v>
      </c>
      <c r="C232" s="1505" t="s">
        <v>2400</v>
      </c>
      <c r="D232" s="1287">
        <f t="shared" si="1"/>
        <v>0</v>
      </c>
      <c r="E232" s="1541">
        <f t="shared" si="1"/>
        <v>0</v>
      </c>
      <c r="F232" s="1542">
        <f t="shared" si="1"/>
        <v>0</v>
      </c>
      <c r="G232" s="1375">
        <f t="shared" si="1"/>
        <v>0</v>
      </c>
      <c r="H232" s="1376">
        <f t="shared" si="2"/>
        <v>0.8</v>
      </c>
      <c r="I232" s="1543">
        <f t="shared" si="10"/>
        <v>1284.5098039215686</v>
      </c>
      <c r="J232" s="1544">
        <f t="shared" si="11"/>
        <v>2881</v>
      </c>
      <c r="K232" s="1545">
        <f t="shared" si="12"/>
        <v>0.61499999999999999</v>
      </c>
      <c r="L232" s="1377">
        <f t="shared" si="4"/>
        <v>0</v>
      </c>
      <c r="M232" s="1546">
        <f t="shared" si="5"/>
        <v>0</v>
      </c>
      <c r="N232" s="1547">
        <f t="shared" si="6"/>
        <v>0</v>
      </c>
      <c r="O232" s="1378">
        <f t="shared" si="7"/>
        <v>0</v>
      </c>
      <c r="P232" s="1492"/>
      <c r="Q232" s="1357">
        <f t="shared" si="8"/>
        <v>0</v>
      </c>
      <c r="R232" s="1548">
        <f t="shared" si="9"/>
        <v>0</v>
      </c>
    </row>
    <row r="233" spans="2:18" s="1394" customFormat="1" ht="18.5" x14ac:dyDescent="0.45">
      <c r="B233" s="1442" t="s">
        <v>2358</v>
      </c>
      <c r="C233" s="1502" t="s">
        <v>2400</v>
      </c>
      <c r="D233" s="1293">
        <f t="shared" si="1"/>
        <v>0</v>
      </c>
      <c r="E233" s="1533">
        <f t="shared" si="1"/>
        <v>0</v>
      </c>
      <c r="F233" s="1534">
        <f t="shared" si="1"/>
        <v>0</v>
      </c>
      <c r="G233" s="1381">
        <f t="shared" si="1"/>
        <v>0</v>
      </c>
      <c r="H233" s="1382">
        <f t="shared" si="2"/>
        <v>0.8</v>
      </c>
      <c r="I233" s="1535">
        <f t="shared" si="10"/>
        <v>648.41176470588243</v>
      </c>
      <c r="J233" s="1536">
        <f t="shared" si="11"/>
        <v>2788</v>
      </c>
      <c r="K233" s="1537">
        <f t="shared" si="12"/>
        <v>0.57599999999999996</v>
      </c>
      <c r="L233" s="1383">
        <f t="shared" si="4"/>
        <v>0</v>
      </c>
      <c r="M233" s="1538">
        <f t="shared" si="5"/>
        <v>0</v>
      </c>
      <c r="N233" s="1539">
        <f t="shared" si="6"/>
        <v>0</v>
      </c>
      <c r="O233" s="1364">
        <f t="shared" si="7"/>
        <v>0</v>
      </c>
      <c r="P233" s="1492"/>
      <c r="Q233" s="1365">
        <f t="shared" si="8"/>
        <v>0</v>
      </c>
      <c r="R233" s="1540">
        <f t="shared" si="9"/>
        <v>0</v>
      </c>
    </row>
    <row r="234" spans="2:18" s="1394" customFormat="1" ht="18.5" x14ac:dyDescent="0.45">
      <c r="B234" s="1445" t="s">
        <v>2162</v>
      </c>
      <c r="C234" s="1505" t="s">
        <v>2400</v>
      </c>
      <c r="D234" s="1287">
        <f t="shared" si="1"/>
        <v>0</v>
      </c>
      <c r="E234" s="1541">
        <f t="shared" si="1"/>
        <v>0</v>
      </c>
      <c r="F234" s="1542">
        <f t="shared" si="1"/>
        <v>0</v>
      </c>
      <c r="G234" s="1375">
        <f t="shared" si="1"/>
        <v>0</v>
      </c>
      <c r="H234" s="1376">
        <f t="shared" si="2"/>
        <v>0.8</v>
      </c>
      <c r="I234" s="1543">
        <f t="shared" si="10"/>
        <v>1400.0588235294117</v>
      </c>
      <c r="J234" s="1544">
        <f t="shared" si="11"/>
        <v>8729</v>
      </c>
      <c r="K234" s="1545">
        <f t="shared" si="12"/>
        <v>0.60899999999999999</v>
      </c>
      <c r="L234" s="1377">
        <f t="shared" si="4"/>
        <v>0</v>
      </c>
      <c r="M234" s="1546">
        <f t="shared" si="5"/>
        <v>0</v>
      </c>
      <c r="N234" s="1547">
        <f t="shared" si="6"/>
        <v>0</v>
      </c>
      <c r="O234" s="1378">
        <f t="shared" si="7"/>
        <v>0</v>
      </c>
      <c r="P234" s="1492"/>
      <c r="Q234" s="1357">
        <f t="shared" si="8"/>
        <v>0</v>
      </c>
      <c r="R234" s="1548">
        <f t="shared" si="9"/>
        <v>0</v>
      </c>
    </row>
    <row r="235" spans="2:18" s="1394" customFormat="1" ht="18.5" x14ac:dyDescent="0.45">
      <c r="B235" s="1442" t="s">
        <v>2325</v>
      </c>
      <c r="C235" s="1502" t="s">
        <v>2400</v>
      </c>
      <c r="D235" s="1293">
        <f t="shared" si="1"/>
        <v>0</v>
      </c>
      <c r="E235" s="1533">
        <f t="shared" si="1"/>
        <v>0</v>
      </c>
      <c r="F235" s="1534">
        <f t="shared" si="1"/>
        <v>0</v>
      </c>
      <c r="G235" s="1381">
        <f t="shared" si="1"/>
        <v>0</v>
      </c>
      <c r="H235" s="1382">
        <f t="shared" si="2"/>
        <v>0.8</v>
      </c>
      <c r="I235" s="1535">
        <f t="shared" si="10"/>
        <v>1495.8823529411764</v>
      </c>
      <c r="J235" s="1536">
        <f t="shared" si="11"/>
        <v>8712</v>
      </c>
      <c r="K235" s="1537">
        <f t="shared" si="12"/>
        <v>0.629</v>
      </c>
      <c r="L235" s="1383">
        <f t="shared" si="4"/>
        <v>0</v>
      </c>
      <c r="M235" s="1538">
        <f t="shared" si="5"/>
        <v>0</v>
      </c>
      <c r="N235" s="1539">
        <f t="shared" si="6"/>
        <v>0</v>
      </c>
      <c r="O235" s="1364">
        <f t="shared" si="7"/>
        <v>0</v>
      </c>
      <c r="P235" s="1492"/>
      <c r="Q235" s="1365">
        <f t="shared" si="8"/>
        <v>0</v>
      </c>
      <c r="R235" s="1540">
        <f t="shared" si="9"/>
        <v>0</v>
      </c>
    </row>
    <row r="236" spans="2:18" s="1394" customFormat="1" ht="18.5" x14ac:dyDescent="0.45">
      <c r="B236" s="1445" t="s">
        <v>2073</v>
      </c>
      <c r="C236" s="1505" t="s">
        <v>2400</v>
      </c>
      <c r="D236" s="1287">
        <f t="shared" si="1"/>
        <v>0</v>
      </c>
      <c r="E236" s="1541">
        <f t="shared" si="1"/>
        <v>0</v>
      </c>
      <c r="F236" s="1542">
        <f t="shared" si="1"/>
        <v>0</v>
      </c>
      <c r="G236" s="1375">
        <f t="shared" si="1"/>
        <v>0</v>
      </c>
      <c r="H236" s="1376">
        <f t="shared" si="2"/>
        <v>0.8</v>
      </c>
      <c r="I236" s="1543">
        <f t="shared" si="10"/>
        <v>1587.5882352941178</v>
      </c>
      <c r="J236" s="1544">
        <f t="shared" si="11"/>
        <v>8712</v>
      </c>
      <c r="K236" s="1545">
        <f t="shared" si="12"/>
        <v>0.64600000000000002</v>
      </c>
      <c r="L236" s="1377">
        <f t="shared" si="4"/>
        <v>0</v>
      </c>
      <c r="M236" s="1546">
        <f t="shared" si="5"/>
        <v>0</v>
      </c>
      <c r="N236" s="1547">
        <f t="shared" si="6"/>
        <v>0</v>
      </c>
      <c r="O236" s="1378">
        <f t="shared" si="7"/>
        <v>0</v>
      </c>
      <c r="P236" s="1492"/>
      <c r="Q236" s="1357">
        <f t="shared" si="8"/>
        <v>0</v>
      </c>
      <c r="R236" s="1548">
        <f t="shared" si="9"/>
        <v>0</v>
      </c>
    </row>
    <row r="237" spans="2:18" s="1394" customFormat="1" ht="18.5" x14ac:dyDescent="0.45">
      <c r="B237" s="1442" t="s">
        <v>2166</v>
      </c>
      <c r="C237" s="1502" t="s">
        <v>2400</v>
      </c>
      <c r="D237" s="1293">
        <f t="shared" si="1"/>
        <v>0</v>
      </c>
      <c r="E237" s="1533">
        <f t="shared" si="1"/>
        <v>0</v>
      </c>
      <c r="F237" s="1534">
        <f t="shared" si="1"/>
        <v>0</v>
      </c>
      <c r="G237" s="1381">
        <f t="shared" si="1"/>
        <v>0</v>
      </c>
      <c r="H237" s="1382">
        <f t="shared" si="2"/>
        <v>0.8</v>
      </c>
      <c r="I237" s="1535">
        <f t="shared" si="10"/>
        <v>1456.4509803921569</v>
      </c>
      <c r="J237" s="1536">
        <f t="shared" si="11"/>
        <v>4479</v>
      </c>
      <c r="K237" s="1537">
        <f t="shared" si="12"/>
        <v>0.629</v>
      </c>
      <c r="L237" s="1383">
        <f t="shared" si="4"/>
        <v>0</v>
      </c>
      <c r="M237" s="1538">
        <f t="shared" si="5"/>
        <v>0</v>
      </c>
      <c r="N237" s="1539">
        <f t="shared" si="6"/>
        <v>0</v>
      </c>
      <c r="O237" s="1364">
        <f t="shared" si="7"/>
        <v>0</v>
      </c>
      <c r="P237" s="1492"/>
      <c r="Q237" s="1365">
        <f t="shared" si="8"/>
        <v>0</v>
      </c>
      <c r="R237" s="1540">
        <f t="shared" si="9"/>
        <v>0</v>
      </c>
    </row>
    <row r="238" spans="2:18" s="1394" customFormat="1" ht="18.5" x14ac:dyDescent="0.45">
      <c r="B238" s="1445" t="s">
        <v>2163</v>
      </c>
      <c r="C238" s="1505" t="s">
        <v>2400</v>
      </c>
      <c r="D238" s="1287">
        <f t="shared" ref="D238:G253" si="13">D164</f>
        <v>6</v>
      </c>
      <c r="E238" s="1541">
        <f t="shared" si="13"/>
        <v>0.95</v>
      </c>
      <c r="F238" s="1542">
        <f t="shared" si="13"/>
        <v>91</v>
      </c>
      <c r="G238" s="1375">
        <f t="shared" si="13"/>
        <v>0.1</v>
      </c>
      <c r="H238" s="1376">
        <f t="shared" si="2"/>
        <v>0.8</v>
      </c>
      <c r="I238" s="1543">
        <f t="shared" si="10"/>
        <v>899.50980392156862</v>
      </c>
      <c r="J238" s="1544">
        <f t="shared" si="11"/>
        <v>2805</v>
      </c>
      <c r="K238" s="1545">
        <f t="shared" si="12"/>
        <v>0.433</v>
      </c>
      <c r="L238" s="1377">
        <f t="shared" si="4"/>
        <v>920.87316176470529</v>
      </c>
      <c r="M238" s="1546">
        <f t="shared" si="5"/>
        <v>3910.2000000000003</v>
      </c>
      <c r="N238" s="1547">
        <f t="shared" si="6"/>
        <v>0.60360663101604284</v>
      </c>
      <c r="O238" s="1378">
        <f t="shared" si="7"/>
        <v>6000</v>
      </c>
      <c r="P238" s="1492"/>
      <c r="Q238" s="1357">
        <f t="shared" si="8"/>
        <v>1511</v>
      </c>
      <c r="R238" s="1548">
        <f t="shared" si="9"/>
        <v>9066</v>
      </c>
    </row>
    <row r="239" spans="2:18" s="1394" customFormat="1" ht="18.5" x14ac:dyDescent="0.45">
      <c r="B239" s="1442" t="s">
        <v>2181</v>
      </c>
      <c r="C239" s="1502" t="s">
        <v>2400</v>
      </c>
      <c r="D239" s="1293">
        <f t="shared" si="13"/>
        <v>0</v>
      </c>
      <c r="E239" s="1533">
        <f t="shared" si="13"/>
        <v>0</v>
      </c>
      <c r="F239" s="1534">
        <f t="shared" si="13"/>
        <v>0</v>
      </c>
      <c r="G239" s="1381">
        <f t="shared" si="13"/>
        <v>0</v>
      </c>
      <c r="H239" s="1382">
        <f t="shared" si="2"/>
        <v>0.8</v>
      </c>
      <c r="I239" s="1535">
        <f t="shared" si="10"/>
        <v>1415.1372549019607</v>
      </c>
      <c r="J239" s="1536">
        <f t="shared" si="11"/>
        <v>4237</v>
      </c>
      <c r="K239" s="1537">
        <f t="shared" si="12"/>
        <v>0.437</v>
      </c>
      <c r="L239" s="1383">
        <f t="shared" si="4"/>
        <v>0</v>
      </c>
      <c r="M239" s="1538">
        <f t="shared" si="5"/>
        <v>0</v>
      </c>
      <c r="N239" s="1539">
        <f t="shared" si="6"/>
        <v>0</v>
      </c>
      <c r="O239" s="1364">
        <f t="shared" si="7"/>
        <v>0</v>
      </c>
      <c r="P239" s="1492"/>
      <c r="Q239" s="1365">
        <f t="shared" si="8"/>
        <v>0</v>
      </c>
      <c r="R239" s="1540">
        <f t="shared" si="9"/>
        <v>0</v>
      </c>
    </row>
    <row r="240" spans="2:18" s="1394" customFormat="1" ht="18.5" x14ac:dyDescent="0.45">
      <c r="B240" s="1445" t="s">
        <v>2164</v>
      </c>
      <c r="C240" s="1505" t="s">
        <v>2400</v>
      </c>
      <c r="D240" s="1287">
        <f t="shared" si="13"/>
        <v>0</v>
      </c>
      <c r="E240" s="1541">
        <f t="shared" si="13"/>
        <v>0</v>
      </c>
      <c r="F240" s="1542">
        <f t="shared" si="13"/>
        <v>0</v>
      </c>
      <c r="G240" s="1375">
        <f t="shared" si="13"/>
        <v>0</v>
      </c>
      <c r="H240" s="1376">
        <f t="shared" si="2"/>
        <v>0.8</v>
      </c>
      <c r="I240" s="1543">
        <f t="shared" si="10"/>
        <v>512.23529411764696</v>
      </c>
      <c r="J240" s="1544">
        <f t="shared" si="11"/>
        <v>4237</v>
      </c>
      <c r="K240" s="1545">
        <f t="shared" si="12"/>
        <v>0.437</v>
      </c>
      <c r="L240" s="1377">
        <f t="shared" si="4"/>
        <v>0</v>
      </c>
      <c r="M240" s="1546">
        <f t="shared" si="5"/>
        <v>0</v>
      </c>
      <c r="N240" s="1547">
        <f t="shared" si="6"/>
        <v>0</v>
      </c>
      <c r="O240" s="1378">
        <f t="shared" si="7"/>
        <v>0</v>
      </c>
      <c r="P240" s="1492"/>
      <c r="Q240" s="1357">
        <f t="shared" si="8"/>
        <v>0</v>
      </c>
      <c r="R240" s="1548">
        <f t="shared" si="9"/>
        <v>0</v>
      </c>
    </row>
    <row r="241" spans="2:18" s="1394" customFormat="1" ht="18.5" x14ac:dyDescent="0.45">
      <c r="B241" s="1442" t="s">
        <v>2336</v>
      </c>
      <c r="C241" s="1502" t="s">
        <v>2400</v>
      </c>
      <c r="D241" s="1293">
        <f t="shared" si="13"/>
        <v>0</v>
      </c>
      <c r="E241" s="1533">
        <f t="shared" si="13"/>
        <v>0</v>
      </c>
      <c r="F241" s="1534">
        <f t="shared" si="13"/>
        <v>0</v>
      </c>
      <c r="G241" s="1381">
        <f t="shared" si="13"/>
        <v>0</v>
      </c>
      <c r="H241" s="1382">
        <f t="shared" si="2"/>
        <v>0.8</v>
      </c>
      <c r="I241" s="1535">
        <f t="shared" si="10"/>
        <v>1493.6862745098038</v>
      </c>
      <c r="J241" s="1536">
        <f t="shared" si="11"/>
        <v>4237</v>
      </c>
      <c r="K241" s="1537">
        <f t="shared" si="12"/>
        <v>0.43</v>
      </c>
      <c r="L241" s="1383">
        <f t="shared" si="4"/>
        <v>0</v>
      </c>
      <c r="M241" s="1538">
        <f t="shared" si="5"/>
        <v>0</v>
      </c>
      <c r="N241" s="1539">
        <f t="shared" si="6"/>
        <v>0</v>
      </c>
      <c r="O241" s="1364">
        <f t="shared" si="7"/>
        <v>0</v>
      </c>
      <c r="P241" s="1492"/>
      <c r="Q241" s="1365">
        <f t="shared" si="8"/>
        <v>0</v>
      </c>
      <c r="R241" s="1540">
        <f t="shared" si="9"/>
        <v>0</v>
      </c>
    </row>
    <row r="242" spans="2:18" s="1394" customFormat="1" ht="18.5" x14ac:dyDescent="0.45">
      <c r="B242" s="1445" t="s">
        <v>2165</v>
      </c>
      <c r="C242" s="1505" t="s">
        <v>2400</v>
      </c>
      <c r="D242" s="1287">
        <f t="shared" si="13"/>
        <v>0</v>
      </c>
      <c r="E242" s="1541">
        <f t="shared" si="13"/>
        <v>0</v>
      </c>
      <c r="F242" s="1542">
        <f t="shared" si="13"/>
        <v>0</v>
      </c>
      <c r="G242" s="1375">
        <f t="shared" si="13"/>
        <v>0</v>
      </c>
      <c r="H242" s="1376">
        <f t="shared" si="2"/>
        <v>0.8</v>
      </c>
      <c r="I242" s="1543">
        <f t="shared" si="10"/>
        <v>1630.1960784313726</v>
      </c>
      <c r="J242" s="1544">
        <f t="shared" si="11"/>
        <v>2899</v>
      </c>
      <c r="K242" s="1545">
        <f t="shared" si="12"/>
        <v>0.24299999999999999</v>
      </c>
      <c r="L242" s="1377">
        <f t="shared" si="4"/>
        <v>0</v>
      </c>
      <c r="M242" s="1546">
        <f t="shared" si="5"/>
        <v>0</v>
      </c>
      <c r="N242" s="1547">
        <f t="shared" si="6"/>
        <v>0</v>
      </c>
      <c r="O242" s="1378">
        <f t="shared" si="7"/>
        <v>0</v>
      </c>
      <c r="P242" s="1492"/>
      <c r="Q242" s="1357">
        <f t="shared" si="8"/>
        <v>0</v>
      </c>
      <c r="R242" s="1548">
        <f t="shared" si="9"/>
        <v>0</v>
      </c>
    </row>
    <row r="243" spans="2:18" s="1394" customFormat="1" ht="18.5" x14ac:dyDescent="0.45">
      <c r="B243" s="1442" t="s">
        <v>2167</v>
      </c>
      <c r="C243" s="1502" t="s">
        <v>2400</v>
      </c>
      <c r="D243" s="1293">
        <f>D1591</f>
        <v>0</v>
      </c>
      <c r="E243" s="1533">
        <f t="shared" si="13"/>
        <v>0.95400000000000007</v>
      </c>
      <c r="F243" s="1534">
        <f t="shared" si="13"/>
        <v>102.22222222222223</v>
      </c>
      <c r="G243" s="1381">
        <f t="shared" si="13"/>
        <v>0.77777777777777779</v>
      </c>
      <c r="H243" s="1382">
        <f t="shared" si="2"/>
        <v>0.8</v>
      </c>
      <c r="I243" s="1535">
        <f t="shared" si="10"/>
        <v>1698.2156862745098</v>
      </c>
      <c r="J243" s="1536">
        <f t="shared" si="11"/>
        <v>2120</v>
      </c>
      <c r="K243" s="1537">
        <f t="shared" si="12"/>
        <v>0.41899999999999998</v>
      </c>
      <c r="L243" s="1383">
        <f t="shared" si="4"/>
        <v>0</v>
      </c>
      <c r="M243" s="1538">
        <f t="shared" si="5"/>
        <v>0</v>
      </c>
      <c r="N243" s="1539">
        <f t="shared" si="6"/>
        <v>0</v>
      </c>
      <c r="O243" s="1364">
        <f t="shared" si="7"/>
        <v>0</v>
      </c>
      <c r="P243" s="1492"/>
      <c r="Q243" s="1365">
        <f t="shared" si="8"/>
        <v>1511</v>
      </c>
      <c r="R243" s="1540">
        <f t="shared" si="9"/>
        <v>0</v>
      </c>
    </row>
    <row r="244" spans="2:18" s="1394" customFormat="1" ht="18.5" x14ac:dyDescent="0.45">
      <c r="B244" s="1445" t="s">
        <v>2168</v>
      </c>
      <c r="C244" s="1505" t="s">
        <v>2400</v>
      </c>
      <c r="D244" s="1287">
        <f t="shared" si="13"/>
        <v>0</v>
      </c>
      <c r="E244" s="1541">
        <f t="shared" si="13"/>
        <v>0</v>
      </c>
      <c r="F244" s="1542">
        <f t="shared" si="13"/>
        <v>0</v>
      </c>
      <c r="G244" s="1375">
        <f t="shared" si="13"/>
        <v>0</v>
      </c>
      <c r="H244" s="1376">
        <f t="shared" si="2"/>
        <v>0.8</v>
      </c>
      <c r="I244" s="1543">
        <f t="shared" si="10"/>
        <v>936.1960784313726</v>
      </c>
      <c r="J244" s="1544">
        <f t="shared" si="11"/>
        <v>5682</v>
      </c>
      <c r="K244" s="1545">
        <f t="shared" si="12"/>
        <v>0.503</v>
      </c>
      <c r="L244" s="1377">
        <f t="shared" si="4"/>
        <v>0</v>
      </c>
      <c r="M244" s="1546">
        <f t="shared" si="5"/>
        <v>0</v>
      </c>
      <c r="N244" s="1547">
        <f t="shared" si="6"/>
        <v>0</v>
      </c>
      <c r="O244" s="1378">
        <f t="shared" si="7"/>
        <v>0</v>
      </c>
      <c r="P244" s="1492"/>
      <c r="Q244" s="1357">
        <f t="shared" si="8"/>
        <v>0</v>
      </c>
      <c r="R244" s="1548">
        <f t="shared" si="9"/>
        <v>0</v>
      </c>
    </row>
    <row r="245" spans="2:18" s="1394" customFormat="1" ht="18.5" x14ac:dyDescent="0.45">
      <c r="B245" s="1442" t="s">
        <v>2169</v>
      </c>
      <c r="C245" s="1502" t="s">
        <v>2400</v>
      </c>
      <c r="D245" s="1293">
        <f t="shared" si="13"/>
        <v>0</v>
      </c>
      <c r="E245" s="1533">
        <f t="shared" si="13"/>
        <v>0</v>
      </c>
      <c r="F245" s="1534">
        <f t="shared" si="13"/>
        <v>0</v>
      </c>
      <c r="G245" s="1381">
        <f t="shared" si="13"/>
        <v>0</v>
      </c>
      <c r="H245" s="1382">
        <f t="shared" si="2"/>
        <v>0.8</v>
      </c>
      <c r="I245" s="1535">
        <f t="shared" si="10"/>
        <v>2004.4117647058824</v>
      </c>
      <c r="J245" s="1536">
        <f t="shared" si="11"/>
        <v>4849</v>
      </c>
      <c r="K245" s="1537">
        <f t="shared" si="12"/>
        <v>0.48299999999999998</v>
      </c>
      <c r="L245" s="1383">
        <f t="shared" si="4"/>
        <v>0</v>
      </c>
      <c r="M245" s="1538">
        <f t="shared" si="5"/>
        <v>0</v>
      </c>
      <c r="N245" s="1539">
        <f t="shared" si="6"/>
        <v>0</v>
      </c>
      <c r="O245" s="1364">
        <f t="shared" si="7"/>
        <v>0</v>
      </c>
      <c r="P245" s="1492"/>
      <c r="Q245" s="1365">
        <f t="shared" si="8"/>
        <v>0</v>
      </c>
      <c r="R245" s="1540">
        <f t="shared" si="9"/>
        <v>0</v>
      </c>
    </row>
    <row r="246" spans="2:18" s="1394" customFormat="1" ht="18.5" x14ac:dyDescent="0.45">
      <c r="B246" s="1445" t="s">
        <v>2170</v>
      </c>
      <c r="C246" s="1505" t="s">
        <v>2400</v>
      </c>
      <c r="D246" s="1287">
        <f t="shared" si="13"/>
        <v>0</v>
      </c>
      <c r="E246" s="1541">
        <f t="shared" si="13"/>
        <v>0</v>
      </c>
      <c r="F246" s="1542">
        <f t="shared" si="13"/>
        <v>0</v>
      </c>
      <c r="G246" s="1375">
        <f t="shared" si="13"/>
        <v>0</v>
      </c>
      <c r="H246" s="1376">
        <f t="shared" si="2"/>
        <v>0.8</v>
      </c>
      <c r="I246" s="1543">
        <f t="shared" si="10"/>
        <v>1262.7843137254904</v>
      </c>
      <c r="J246" s="1544">
        <f t="shared" si="11"/>
        <v>2038</v>
      </c>
      <c r="K246" s="1545">
        <f t="shared" si="12"/>
        <v>0.432</v>
      </c>
      <c r="L246" s="1377">
        <f t="shared" si="4"/>
        <v>0</v>
      </c>
      <c r="M246" s="1546">
        <f t="shared" si="5"/>
        <v>0</v>
      </c>
      <c r="N246" s="1547">
        <f t="shared" si="6"/>
        <v>0</v>
      </c>
      <c r="O246" s="1378">
        <f t="shared" si="7"/>
        <v>0</v>
      </c>
      <c r="P246" s="1492"/>
      <c r="Q246" s="1357">
        <f t="shared" si="8"/>
        <v>0</v>
      </c>
      <c r="R246" s="1548">
        <f t="shared" si="9"/>
        <v>0</v>
      </c>
    </row>
    <row r="247" spans="2:18" s="1394" customFormat="1" ht="18.5" x14ac:dyDescent="0.45">
      <c r="B247" s="1442" t="s">
        <v>2171</v>
      </c>
      <c r="C247" s="1502" t="s">
        <v>2400</v>
      </c>
      <c r="D247" s="1293">
        <f t="shared" si="13"/>
        <v>0</v>
      </c>
      <c r="E247" s="1533">
        <f t="shared" si="13"/>
        <v>0</v>
      </c>
      <c r="F247" s="1534">
        <f t="shared" si="13"/>
        <v>0</v>
      </c>
      <c r="G247" s="1381">
        <f t="shared" si="13"/>
        <v>0</v>
      </c>
      <c r="H247" s="1382">
        <f t="shared" si="2"/>
        <v>0.8</v>
      </c>
      <c r="I247" s="1535">
        <f t="shared" si="10"/>
        <v>903.1960784313726</v>
      </c>
      <c r="J247" s="1536">
        <f t="shared" si="11"/>
        <v>3069</v>
      </c>
      <c r="K247" s="1537">
        <f t="shared" si="12"/>
        <v>0.46200000000000002</v>
      </c>
      <c r="L247" s="1383">
        <f t="shared" si="4"/>
        <v>0</v>
      </c>
      <c r="M247" s="1538">
        <f t="shared" si="5"/>
        <v>0</v>
      </c>
      <c r="N247" s="1539">
        <f t="shared" si="6"/>
        <v>0</v>
      </c>
      <c r="O247" s="1364">
        <f t="shared" si="7"/>
        <v>0</v>
      </c>
      <c r="P247" s="1492"/>
      <c r="Q247" s="1365">
        <f t="shared" si="8"/>
        <v>0</v>
      </c>
      <c r="R247" s="1540">
        <f t="shared" si="9"/>
        <v>0</v>
      </c>
    </row>
    <row r="248" spans="2:18" s="1394" customFormat="1" ht="18.5" x14ac:dyDescent="0.45">
      <c r="B248" s="1445" t="s">
        <v>2172</v>
      </c>
      <c r="C248" s="1505" t="s">
        <v>2400</v>
      </c>
      <c r="D248" s="1287">
        <f t="shared" si="13"/>
        <v>23</v>
      </c>
      <c r="E248" s="1541">
        <f t="shared" si="13"/>
        <v>0.95594429999999997</v>
      </c>
      <c r="F248" s="1542">
        <f t="shared" si="13"/>
        <v>84</v>
      </c>
      <c r="G248" s="1375">
        <f t="shared" si="13"/>
        <v>0.9</v>
      </c>
      <c r="H248" s="1376">
        <f t="shared" si="2"/>
        <v>0.8</v>
      </c>
      <c r="I248" s="1543">
        <f t="shared" si="10"/>
        <v>2375.1176470588239</v>
      </c>
      <c r="J248" s="1544">
        <f t="shared" si="11"/>
        <v>2481</v>
      </c>
      <c r="K248" s="1545">
        <f t="shared" si="12"/>
        <v>0.47399999999999998</v>
      </c>
      <c r="L248" s="1377">
        <f t="shared" si="4"/>
        <v>8944.8233221508799</v>
      </c>
      <c r="M248" s="1546">
        <f t="shared" si="5"/>
        <v>16405.899999999998</v>
      </c>
      <c r="N248" s="1547">
        <f t="shared" si="6"/>
        <v>3.1343799274486086</v>
      </c>
      <c r="O248" s="1378">
        <f t="shared" si="7"/>
        <v>23000</v>
      </c>
      <c r="P248" s="1492"/>
      <c r="Q248" s="1357">
        <f t="shared" si="8"/>
        <v>1511</v>
      </c>
      <c r="R248" s="1548">
        <f t="shared" si="9"/>
        <v>34753</v>
      </c>
    </row>
    <row r="249" spans="2:18" s="1394" customFormat="1" ht="18.5" x14ac:dyDescent="0.45">
      <c r="B249" s="1442" t="s">
        <v>2173</v>
      </c>
      <c r="C249" s="1502" t="s">
        <v>2400</v>
      </c>
      <c r="D249" s="1293">
        <f t="shared" si="13"/>
        <v>1</v>
      </c>
      <c r="E249" s="1533">
        <f t="shared" si="13"/>
        <v>0.95</v>
      </c>
      <c r="F249" s="1534">
        <f t="shared" si="13"/>
        <v>88</v>
      </c>
      <c r="G249" s="1381">
        <f t="shared" si="13"/>
        <v>1</v>
      </c>
      <c r="H249" s="1382">
        <f t="shared" si="2"/>
        <v>0.8</v>
      </c>
      <c r="I249" s="1535">
        <f t="shared" si="10"/>
        <v>1483.2352941176471</v>
      </c>
      <c r="J249" s="1536">
        <f t="shared" si="11"/>
        <v>1881</v>
      </c>
      <c r="K249" s="1537">
        <f t="shared" si="12"/>
        <v>0.42799999999999999</v>
      </c>
      <c r="L249" s="1383">
        <f t="shared" si="4"/>
        <v>244.73382352941158</v>
      </c>
      <c r="M249" s="1538">
        <f t="shared" si="5"/>
        <v>721</v>
      </c>
      <c r="N249" s="1539">
        <f t="shared" si="6"/>
        <v>0.16405528973950026</v>
      </c>
      <c r="O249" s="1364">
        <f t="shared" si="7"/>
        <v>1000</v>
      </c>
      <c r="P249" s="1492"/>
      <c r="Q249" s="1365">
        <f t="shared" si="8"/>
        <v>1511</v>
      </c>
      <c r="R249" s="1540">
        <f t="shared" si="9"/>
        <v>1511</v>
      </c>
    </row>
    <row r="250" spans="2:18" s="1394" customFormat="1" ht="18.5" x14ac:dyDescent="0.45">
      <c r="B250" s="1445" t="s">
        <v>2174</v>
      </c>
      <c r="C250" s="1505" t="s">
        <v>2400</v>
      </c>
      <c r="D250" s="1287">
        <f t="shared" si="13"/>
        <v>7</v>
      </c>
      <c r="E250" s="1541">
        <f t="shared" si="13"/>
        <v>0.96</v>
      </c>
      <c r="F250" s="1542">
        <f t="shared" si="13"/>
        <v>112.5</v>
      </c>
      <c r="G250" s="1375">
        <f t="shared" si="13"/>
        <v>0.9</v>
      </c>
      <c r="H250" s="1376">
        <f t="shared" si="2"/>
        <v>0.8</v>
      </c>
      <c r="I250" s="1543">
        <f t="shared" ref="I250:I255" si="14">J168</f>
        <v>1395.7647058823529</v>
      </c>
      <c r="J250" s="1544">
        <f t="shared" ref="J250:K255" si="15">C113</f>
        <v>2830</v>
      </c>
      <c r="K250" s="1545">
        <f t="shared" si="15"/>
        <v>0.433</v>
      </c>
      <c r="L250" s="1377">
        <f t="shared" si="4"/>
        <v>2198.3294117647051</v>
      </c>
      <c r="M250" s="1546">
        <f t="shared" si="5"/>
        <v>4993.0999999999995</v>
      </c>
      <c r="N250" s="1547">
        <f t="shared" si="6"/>
        <v>0.76396194346289747</v>
      </c>
      <c r="O250" s="1378">
        <f t="shared" si="7"/>
        <v>7000</v>
      </c>
      <c r="P250" s="1492"/>
      <c r="Q250" s="1357">
        <f t="shared" si="8"/>
        <v>1747</v>
      </c>
      <c r="R250" s="1548">
        <f t="shared" si="9"/>
        <v>12229</v>
      </c>
    </row>
    <row r="251" spans="2:18" s="1394" customFormat="1" ht="18.5" x14ac:dyDescent="0.45">
      <c r="B251" s="1442" t="s">
        <v>2175</v>
      </c>
      <c r="C251" s="1502" t="s">
        <v>2400</v>
      </c>
      <c r="D251" s="1293">
        <f t="shared" si="13"/>
        <v>0</v>
      </c>
      <c r="E251" s="1533">
        <f t="shared" si="13"/>
        <v>0.95</v>
      </c>
      <c r="F251" s="1534">
        <f t="shared" si="13"/>
        <v>100</v>
      </c>
      <c r="G251" s="1381">
        <f t="shared" si="13"/>
        <v>1</v>
      </c>
      <c r="H251" s="1382">
        <f t="shared" si="2"/>
        <v>0.8</v>
      </c>
      <c r="I251" s="1535">
        <f t="shared" si="14"/>
        <v>1203.1764705882351</v>
      </c>
      <c r="J251" s="1536">
        <f t="shared" si="15"/>
        <v>3350</v>
      </c>
      <c r="K251" s="1537">
        <f t="shared" si="15"/>
        <v>0.48799999999999999</v>
      </c>
      <c r="L251" s="1383">
        <f t="shared" si="4"/>
        <v>0</v>
      </c>
      <c r="M251" s="1538">
        <f t="shared" si="5"/>
        <v>0</v>
      </c>
      <c r="N251" s="1539">
        <f t="shared" si="6"/>
        <v>0</v>
      </c>
      <c r="O251" s="1364">
        <f t="shared" si="7"/>
        <v>0</v>
      </c>
      <c r="P251" s="1492"/>
      <c r="Q251" s="1365">
        <f t="shared" si="8"/>
        <v>1511</v>
      </c>
      <c r="R251" s="1540">
        <f t="shared" si="9"/>
        <v>0</v>
      </c>
    </row>
    <row r="252" spans="2:18" s="1394" customFormat="1" ht="18.5" x14ac:dyDescent="0.45">
      <c r="B252" s="1445" t="s">
        <v>2176</v>
      </c>
      <c r="C252" s="1505" t="s">
        <v>2400</v>
      </c>
      <c r="D252" s="1287">
        <f t="shared" si="13"/>
        <v>2</v>
      </c>
      <c r="E252" s="1541">
        <f t="shared" si="13"/>
        <v>0.95499999999999996</v>
      </c>
      <c r="F252" s="1542">
        <f t="shared" si="13"/>
        <v>100</v>
      </c>
      <c r="G252" s="1375">
        <f t="shared" si="13"/>
        <v>1</v>
      </c>
      <c r="H252" s="1376">
        <f t="shared" si="2"/>
        <v>0.8</v>
      </c>
      <c r="I252" s="1543">
        <f t="shared" si="14"/>
        <v>1200.9411764705883</v>
      </c>
      <c r="J252" s="1544">
        <f t="shared" si="15"/>
        <v>2528</v>
      </c>
      <c r="K252" s="1545">
        <f t="shared" si="15"/>
        <v>0.505</v>
      </c>
      <c r="L252" s="1377">
        <f t="shared" si="4"/>
        <v>465.36470588235267</v>
      </c>
      <c r="M252" s="1546">
        <f t="shared" si="5"/>
        <v>1442</v>
      </c>
      <c r="N252" s="1547">
        <f t="shared" si="6"/>
        <v>0.28805775316455701</v>
      </c>
      <c r="O252" s="1378">
        <f t="shared" si="7"/>
        <v>2000</v>
      </c>
      <c r="P252" s="1492"/>
      <c r="Q252" s="1357">
        <f t="shared" si="8"/>
        <v>1511</v>
      </c>
      <c r="R252" s="1548">
        <f t="shared" si="9"/>
        <v>3022</v>
      </c>
    </row>
    <row r="253" spans="2:18" s="1394" customFormat="1" ht="18.5" x14ac:dyDescent="0.45">
      <c r="B253" s="1442" t="s">
        <v>2177</v>
      </c>
      <c r="C253" s="1502" t="s">
        <v>2400</v>
      </c>
      <c r="D253" s="1293">
        <f t="shared" si="13"/>
        <v>1</v>
      </c>
      <c r="E253" s="1533">
        <f t="shared" si="13"/>
        <v>0.96</v>
      </c>
      <c r="F253" s="1534">
        <f t="shared" si="13"/>
        <v>120</v>
      </c>
      <c r="G253" s="1381">
        <f t="shared" si="13"/>
        <v>1</v>
      </c>
      <c r="H253" s="1382">
        <f t="shared" si="2"/>
        <v>0.8</v>
      </c>
      <c r="I253" s="1535">
        <f t="shared" si="14"/>
        <v>1200.5294117647059</v>
      </c>
      <c r="J253" s="1536">
        <f t="shared" si="15"/>
        <v>2266</v>
      </c>
      <c r="K253" s="1537">
        <f t="shared" si="15"/>
        <v>0.52800000000000002</v>
      </c>
      <c r="L253" s="1383">
        <f t="shared" si="4"/>
        <v>288.12705882352924</v>
      </c>
      <c r="M253" s="1538">
        <f t="shared" si="5"/>
        <v>721</v>
      </c>
      <c r="N253" s="1539">
        <f t="shared" si="6"/>
        <v>0.16800000000000001</v>
      </c>
      <c r="O253" s="1364">
        <f t="shared" si="7"/>
        <v>1000</v>
      </c>
      <c r="P253" s="1492"/>
      <c r="Q253" s="1365">
        <f t="shared" si="8"/>
        <v>1747</v>
      </c>
      <c r="R253" s="1540">
        <f t="shared" si="9"/>
        <v>1747</v>
      </c>
    </row>
    <row r="254" spans="2:18" s="1394" customFormat="1" ht="18.5" x14ac:dyDescent="0.45">
      <c r="B254" s="1445" t="s">
        <v>2027</v>
      </c>
      <c r="C254" s="1505" t="s">
        <v>2400</v>
      </c>
      <c r="D254" s="1287">
        <f t="shared" ref="D254:G269" si="16">D180</f>
        <v>2</v>
      </c>
      <c r="E254" s="1541">
        <f t="shared" si="16"/>
        <v>0.95499999999999996</v>
      </c>
      <c r="F254" s="1542">
        <f t="shared" si="16"/>
        <v>106</v>
      </c>
      <c r="G254" s="1375">
        <f t="shared" si="16"/>
        <v>0.1</v>
      </c>
      <c r="H254" s="1376">
        <f t="shared" si="2"/>
        <v>0.8</v>
      </c>
      <c r="I254" s="1543">
        <f t="shared" si="14"/>
        <v>1201.8431372549019</v>
      </c>
      <c r="J254" s="1544">
        <f t="shared" si="15"/>
        <v>770</v>
      </c>
      <c r="K254" s="1545">
        <f t="shared" si="15"/>
        <v>0.22500000000000001</v>
      </c>
      <c r="L254" s="1377">
        <f t="shared" si="4"/>
        <v>493.6570686274506</v>
      </c>
      <c r="M254" s="1546">
        <f t="shared" si="5"/>
        <v>1303.4000000000001</v>
      </c>
      <c r="N254" s="1547">
        <f t="shared" si="6"/>
        <v>0.3808636363636364</v>
      </c>
      <c r="O254" s="1378">
        <f t="shared" si="7"/>
        <v>2000</v>
      </c>
      <c r="P254" s="1492"/>
      <c r="Q254" s="1357">
        <f t="shared" si="8"/>
        <v>1511</v>
      </c>
      <c r="R254" s="1548">
        <f t="shared" si="9"/>
        <v>3022</v>
      </c>
    </row>
    <row r="255" spans="2:18" s="1394" customFormat="1" ht="18.5" x14ac:dyDescent="0.45">
      <c r="B255" s="1442" t="s">
        <v>536</v>
      </c>
      <c r="C255" s="1502" t="s">
        <v>2400</v>
      </c>
      <c r="D255" s="1293">
        <f t="shared" si="16"/>
        <v>10</v>
      </c>
      <c r="E255" s="1533">
        <f t="shared" si="16"/>
        <v>0.96</v>
      </c>
      <c r="F255" s="1534">
        <f t="shared" si="16"/>
        <v>94.1</v>
      </c>
      <c r="G255" s="1381">
        <f t="shared" si="16"/>
        <v>0.9</v>
      </c>
      <c r="H255" s="1382">
        <f t="shared" si="2"/>
        <v>0.8</v>
      </c>
      <c r="I255" s="1535">
        <f t="shared" si="14"/>
        <v>1516.6666666666665</v>
      </c>
      <c r="J255" s="1536">
        <f t="shared" si="15"/>
        <v>2718</v>
      </c>
      <c r="K255" s="1537">
        <f t="shared" si="15"/>
        <v>0.42399999999999999</v>
      </c>
      <c r="L255" s="1383">
        <f t="shared" si="4"/>
        <v>2854.3666666666645</v>
      </c>
      <c r="M255" s="1538">
        <f t="shared" si="5"/>
        <v>7133</v>
      </c>
      <c r="N255" s="1539">
        <f t="shared" si="6"/>
        <v>1.1127270051508462</v>
      </c>
      <c r="O255" s="1364">
        <f t="shared" si="7"/>
        <v>10000</v>
      </c>
      <c r="P255" s="1492"/>
      <c r="Q255" s="1365">
        <f t="shared" si="8"/>
        <v>1747</v>
      </c>
      <c r="R255" s="1540">
        <f t="shared" si="9"/>
        <v>17470</v>
      </c>
    </row>
    <row r="256" spans="2:18" s="1394" customFormat="1" ht="18.5" x14ac:dyDescent="0.45">
      <c r="B256" s="1435" t="s">
        <v>2180</v>
      </c>
      <c r="C256" s="1499" t="s">
        <v>2401</v>
      </c>
      <c r="D256" s="1549">
        <f t="shared" si="16"/>
        <v>0</v>
      </c>
      <c r="E256" s="1550">
        <f t="shared" si="16"/>
        <v>0</v>
      </c>
      <c r="F256" s="1551">
        <f t="shared" si="16"/>
        <v>0</v>
      </c>
      <c r="G256" s="1552">
        <f t="shared" si="16"/>
        <v>0</v>
      </c>
      <c r="H256" s="1553">
        <f t="shared" ref="H256:H289" si="17">$C$78</f>
        <v>0.8</v>
      </c>
      <c r="I256" s="1554">
        <f t="shared" ref="I256:I257" si="18">J137</f>
        <v>1599.313725490196</v>
      </c>
      <c r="J256" s="1555">
        <f>C82</f>
        <v>2150</v>
      </c>
      <c r="K256" s="1556">
        <f>D82</f>
        <v>0.48299999999999998</v>
      </c>
      <c r="L256" s="1557">
        <f>IFERROR(D256*I256*F256*1000*(E256-H256)/H256/100000,0)</f>
        <v>0</v>
      </c>
      <c r="M256" s="1558">
        <f>D256*(G256*721+(1-G256)*644)</f>
        <v>0</v>
      </c>
      <c r="N256" s="1559">
        <f>IFERROR(M256/J256*K256,0)</f>
        <v>0</v>
      </c>
      <c r="O256" s="1560">
        <f>D256*$C$131</f>
        <v>0</v>
      </c>
      <c r="P256" s="1492"/>
      <c r="Q256" s="1531">
        <f t="shared" si="8"/>
        <v>0</v>
      </c>
      <c r="R256" s="1532">
        <f t="shared" si="9"/>
        <v>0</v>
      </c>
    </row>
    <row r="257" spans="2:18" s="1394" customFormat="1" ht="18.5" x14ac:dyDescent="0.45">
      <c r="B257" s="1442" t="s">
        <v>2071</v>
      </c>
      <c r="C257" s="1502" t="s">
        <v>2401</v>
      </c>
      <c r="D257" s="1287">
        <f t="shared" si="16"/>
        <v>0</v>
      </c>
      <c r="E257" s="1541">
        <f t="shared" si="16"/>
        <v>0</v>
      </c>
      <c r="F257" s="1542">
        <f t="shared" si="16"/>
        <v>0</v>
      </c>
      <c r="G257" s="1375">
        <f t="shared" si="16"/>
        <v>0</v>
      </c>
      <c r="H257" s="1376">
        <f t="shared" si="17"/>
        <v>0.8</v>
      </c>
      <c r="I257" s="1543">
        <f t="shared" si="18"/>
        <v>1436.9019607843138</v>
      </c>
      <c r="J257" s="1544">
        <f>C83</f>
        <v>4373</v>
      </c>
      <c r="K257" s="1545">
        <f>D83</f>
        <v>0.52900000000000003</v>
      </c>
      <c r="L257" s="1377">
        <f t="shared" ref="L257:L289" si="19">IFERROR(D257*I257*F257*1000*(E257-H257)/H257/100000,0)</f>
        <v>0</v>
      </c>
      <c r="M257" s="1546">
        <f t="shared" ref="M257:M289" si="20">D257*(G257*721+(1-G257)*644)</f>
        <v>0</v>
      </c>
      <c r="N257" s="1547">
        <f t="shared" ref="N257:N289" si="21">IFERROR(M257/J257*K257,0)</f>
        <v>0</v>
      </c>
      <c r="O257" s="1378">
        <f t="shared" ref="O257:O289" si="22">D257*$C$131</f>
        <v>0</v>
      </c>
      <c r="P257" s="1492"/>
      <c r="Q257" s="1365">
        <f t="shared" si="8"/>
        <v>0</v>
      </c>
      <c r="R257" s="1540">
        <f t="shared" si="9"/>
        <v>0</v>
      </c>
    </row>
    <row r="258" spans="2:18" s="1394" customFormat="1" ht="18.5" x14ac:dyDescent="0.45">
      <c r="B258" s="1445" t="s">
        <v>2157</v>
      </c>
      <c r="C258" s="1505" t="s">
        <v>2401</v>
      </c>
      <c r="D258" s="1293">
        <f t="shared" si="16"/>
        <v>0</v>
      </c>
      <c r="E258" s="1533">
        <f t="shared" si="16"/>
        <v>0</v>
      </c>
      <c r="F258" s="1534">
        <f t="shared" si="16"/>
        <v>0</v>
      </c>
      <c r="G258" s="1381">
        <f t="shared" si="16"/>
        <v>0</v>
      </c>
      <c r="H258" s="1382">
        <f t="shared" si="17"/>
        <v>0.8</v>
      </c>
      <c r="I258" s="1535">
        <f>J140</f>
        <v>1174.0588235294117</v>
      </c>
      <c r="J258" s="1536">
        <f>C85</f>
        <v>1605</v>
      </c>
      <c r="K258" s="1537">
        <f>D85</f>
        <v>0.14199999999999999</v>
      </c>
      <c r="L258" s="1383">
        <f t="shared" si="19"/>
        <v>0</v>
      </c>
      <c r="M258" s="1538">
        <f t="shared" si="20"/>
        <v>0</v>
      </c>
      <c r="N258" s="1539">
        <f t="shared" si="21"/>
        <v>0</v>
      </c>
      <c r="O258" s="1364">
        <f t="shared" si="22"/>
        <v>0</v>
      </c>
      <c r="P258" s="1492"/>
      <c r="Q258" s="1357">
        <f t="shared" si="8"/>
        <v>0</v>
      </c>
      <c r="R258" s="1548">
        <f t="shared" si="9"/>
        <v>0</v>
      </c>
    </row>
    <row r="259" spans="2:18" s="1394" customFormat="1" ht="18.5" x14ac:dyDescent="0.45">
      <c r="B259" s="1442" t="s">
        <v>2158</v>
      </c>
      <c r="C259" s="1502" t="s">
        <v>2401</v>
      </c>
      <c r="D259" s="1287">
        <f t="shared" si="16"/>
        <v>0</v>
      </c>
      <c r="E259" s="1541">
        <f t="shared" si="16"/>
        <v>0</v>
      </c>
      <c r="F259" s="1542">
        <f t="shared" si="16"/>
        <v>0</v>
      </c>
      <c r="G259" s="1375">
        <f t="shared" si="16"/>
        <v>0</v>
      </c>
      <c r="H259" s="1376">
        <f t="shared" si="17"/>
        <v>0.8</v>
      </c>
      <c r="I259" s="1543">
        <f>J141</f>
        <v>1199.4509803921569</v>
      </c>
      <c r="J259" s="1544">
        <f>C86</f>
        <v>2084</v>
      </c>
      <c r="K259" s="1545">
        <f>D86</f>
        <v>0.57099999999999995</v>
      </c>
      <c r="L259" s="1377">
        <f t="shared" si="19"/>
        <v>0</v>
      </c>
      <c r="M259" s="1546">
        <f t="shared" si="20"/>
        <v>0</v>
      </c>
      <c r="N259" s="1547">
        <f t="shared" si="21"/>
        <v>0</v>
      </c>
      <c r="O259" s="1378">
        <f t="shared" si="22"/>
        <v>0</v>
      </c>
      <c r="P259" s="1492"/>
      <c r="Q259" s="1365">
        <f t="shared" si="8"/>
        <v>0</v>
      </c>
      <c r="R259" s="1540">
        <f t="shared" si="9"/>
        <v>0</v>
      </c>
    </row>
    <row r="260" spans="2:18" s="1394" customFormat="1" ht="18.5" x14ac:dyDescent="0.45">
      <c r="B260" s="1445" t="s">
        <v>2028</v>
      </c>
      <c r="C260" s="1505" t="s">
        <v>2401</v>
      </c>
      <c r="D260" s="1293">
        <f t="shared" si="16"/>
        <v>0</v>
      </c>
      <c r="E260" s="1533">
        <f t="shared" si="16"/>
        <v>0</v>
      </c>
      <c r="F260" s="1534">
        <f t="shared" si="16"/>
        <v>0</v>
      </c>
      <c r="G260" s="1381">
        <f t="shared" si="16"/>
        <v>0</v>
      </c>
      <c r="H260" s="1382">
        <f t="shared" si="17"/>
        <v>0.8</v>
      </c>
      <c r="I260" s="1535">
        <f t="shared" ref="I260:I283" si="23">J143</f>
        <v>1427.0784313725492</v>
      </c>
      <c r="J260" s="1536">
        <f t="shared" ref="J260:J283" si="24">C88</f>
        <v>3276</v>
      </c>
      <c r="K260" s="1537">
        <f t="shared" ref="K260:K283" si="25">D88</f>
        <v>0.33300000000000002</v>
      </c>
      <c r="L260" s="1383">
        <f t="shared" si="19"/>
        <v>0</v>
      </c>
      <c r="M260" s="1538">
        <f t="shared" si="20"/>
        <v>0</v>
      </c>
      <c r="N260" s="1539">
        <f t="shared" si="21"/>
        <v>0</v>
      </c>
      <c r="O260" s="1364">
        <f t="shared" si="22"/>
        <v>0</v>
      </c>
      <c r="P260" s="1492"/>
      <c r="Q260" s="1357">
        <f t="shared" si="8"/>
        <v>0</v>
      </c>
      <c r="R260" s="1548">
        <f t="shared" si="9"/>
        <v>0</v>
      </c>
    </row>
    <row r="261" spans="2:18" s="1394" customFormat="1" ht="18.5" x14ac:dyDescent="0.45">
      <c r="B261" s="1442" t="s">
        <v>2109</v>
      </c>
      <c r="C261" s="1502" t="s">
        <v>2401</v>
      </c>
      <c r="D261" s="1287">
        <f t="shared" si="16"/>
        <v>0</v>
      </c>
      <c r="E261" s="1541">
        <f t="shared" si="16"/>
        <v>0</v>
      </c>
      <c r="F261" s="1542">
        <f t="shared" si="16"/>
        <v>0</v>
      </c>
      <c r="G261" s="1375">
        <f t="shared" si="16"/>
        <v>0</v>
      </c>
      <c r="H261" s="1376">
        <f t="shared" si="17"/>
        <v>0.8</v>
      </c>
      <c r="I261" s="1543">
        <f t="shared" si="23"/>
        <v>854.84313725490188</v>
      </c>
      <c r="J261" s="1544">
        <f t="shared" si="24"/>
        <v>2102</v>
      </c>
      <c r="K261" s="1545">
        <f t="shared" si="25"/>
        <v>0.61899999999999999</v>
      </c>
      <c r="L261" s="1377">
        <f t="shared" si="19"/>
        <v>0</v>
      </c>
      <c r="M261" s="1546">
        <f t="shared" si="20"/>
        <v>0</v>
      </c>
      <c r="N261" s="1547">
        <f t="shared" si="21"/>
        <v>0</v>
      </c>
      <c r="O261" s="1378">
        <f t="shared" si="22"/>
        <v>0</v>
      </c>
      <c r="P261" s="1492"/>
      <c r="Q261" s="1365">
        <f t="shared" si="8"/>
        <v>0</v>
      </c>
      <c r="R261" s="1540">
        <f t="shared" si="9"/>
        <v>0</v>
      </c>
    </row>
    <row r="262" spans="2:18" s="1394" customFormat="1" ht="18.5" x14ac:dyDescent="0.45">
      <c r="B262" s="1445" t="s">
        <v>2026</v>
      </c>
      <c r="C262" s="1505" t="s">
        <v>2401</v>
      </c>
      <c r="D262" s="1293">
        <f t="shared" si="16"/>
        <v>0</v>
      </c>
      <c r="E262" s="1533">
        <f t="shared" si="16"/>
        <v>0</v>
      </c>
      <c r="F262" s="1534">
        <f t="shared" si="16"/>
        <v>0</v>
      </c>
      <c r="G262" s="1381">
        <f t="shared" si="16"/>
        <v>0</v>
      </c>
      <c r="H262" s="1382">
        <f t="shared" si="17"/>
        <v>0.8</v>
      </c>
      <c r="I262" s="1535">
        <f t="shared" si="23"/>
        <v>1412.1372549019609</v>
      </c>
      <c r="J262" s="1536">
        <f t="shared" si="24"/>
        <v>2096</v>
      </c>
      <c r="K262" s="1537">
        <f t="shared" si="25"/>
        <v>0.47499999999999998</v>
      </c>
      <c r="L262" s="1383">
        <f t="shared" si="19"/>
        <v>0</v>
      </c>
      <c r="M262" s="1538">
        <f t="shared" si="20"/>
        <v>0</v>
      </c>
      <c r="N262" s="1539">
        <f t="shared" si="21"/>
        <v>0</v>
      </c>
      <c r="O262" s="1364">
        <f t="shared" si="22"/>
        <v>0</v>
      </c>
      <c r="P262" s="1492"/>
      <c r="Q262" s="1357">
        <f t="shared" si="8"/>
        <v>0</v>
      </c>
      <c r="R262" s="1548">
        <f t="shared" si="9"/>
        <v>0</v>
      </c>
    </row>
    <row r="263" spans="2:18" s="1394" customFormat="1" ht="18.5" x14ac:dyDescent="0.45">
      <c r="B263" s="1442" t="s">
        <v>2075</v>
      </c>
      <c r="C263" s="1502" t="s">
        <v>2401</v>
      </c>
      <c r="D263" s="1287">
        <f t="shared" si="16"/>
        <v>0</v>
      </c>
      <c r="E263" s="1541">
        <f t="shared" si="16"/>
        <v>0</v>
      </c>
      <c r="F263" s="1542">
        <f t="shared" si="16"/>
        <v>0</v>
      </c>
      <c r="G263" s="1375">
        <f t="shared" si="16"/>
        <v>0</v>
      </c>
      <c r="H263" s="1376">
        <f t="shared" si="17"/>
        <v>0.8</v>
      </c>
      <c r="I263" s="1543">
        <f t="shared" si="23"/>
        <v>1486.705882352941</v>
      </c>
      <c r="J263" s="1544">
        <f t="shared" si="24"/>
        <v>1987</v>
      </c>
      <c r="K263" s="1545">
        <f t="shared" si="25"/>
        <v>0.61899999999999999</v>
      </c>
      <c r="L263" s="1377">
        <f t="shared" si="19"/>
        <v>0</v>
      </c>
      <c r="M263" s="1546">
        <f t="shared" si="20"/>
        <v>0</v>
      </c>
      <c r="N263" s="1547">
        <f t="shared" si="21"/>
        <v>0</v>
      </c>
      <c r="O263" s="1378">
        <f t="shared" si="22"/>
        <v>0</v>
      </c>
      <c r="P263" s="1492"/>
      <c r="Q263" s="1365">
        <f t="shared" si="8"/>
        <v>0</v>
      </c>
      <c r="R263" s="1540">
        <f t="shared" si="9"/>
        <v>0</v>
      </c>
    </row>
    <row r="264" spans="2:18" s="1394" customFormat="1" ht="18.5" x14ac:dyDescent="0.45">
      <c r="B264" s="1445" t="s">
        <v>2029</v>
      </c>
      <c r="C264" s="1505" t="s">
        <v>2401</v>
      </c>
      <c r="D264" s="1293">
        <f t="shared" si="16"/>
        <v>0</v>
      </c>
      <c r="E264" s="1533">
        <f t="shared" si="16"/>
        <v>0</v>
      </c>
      <c r="F264" s="1534">
        <f t="shared" si="16"/>
        <v>0</v>
      </c>
      <c r="G264" s="1381">
        <f t="shared" si="16"/>
        <v>0</v>
      </c>
      <c r="H264" s="1382">
        <f t="shared" si="17"/>
        <v>0.8</v>
      </c>
      <c r="I264" s="1535">
        <f t="shared" si="23"/>
        <v>1692.4117647058822</v>
      </c>
      <c r="J264" s="1536">
        <f t="shared" si="24"/>
        <v>3141</v>
      </c>
      <c r="K264" s="1537">
        <f t="shared" si="25"/>
        <v>0.28799999999999998</v>
      </c>
      <c r="L264" s="1383">
        <f t="shared" si="19"/>
        <v>0</v>
      </c>
      <c r="M264" s="1538">
        <f t="shared" si="20"/>
        <v>0</v>
      </c>
      <c r="N264" s="1539">
        <f t="shared" si="21"/>
        <v>0</v>
      </c>
      <c r="O264" s="1364">
        <f t="shared" si="22"/>
        <v>0</v>
      </c>
      <c r="P264" s="1492"/>
      <c r="Q264" s="1357">
        <f t="shared" si="8"/>
        <v>0</v>
      </c>
      <c r="R264" s="1548">
        <f t="shared" si="9"/>
        <v>0</v>
      </c>
    </row>
    <row r="265" spans="2:18" s="1394" customFormat="1" ht="18.5" x14ac:dyDescent="0.45">
      <c r="B265" s="1442" t="s">
        <v>2356</v>
      </c>
      <c r="C265" s="1502" t="s">
        <v>2401</v>
      </c>
      <c r="D265" s="1287">
        <f t="shared" si="16"/>
        <v>0</v>
      </c>
      <c r="E265" s="1541">
        <f t="shared" si="16"/>
        <v>0</v>
      </c>
      <c r="F265" s="1542">
        <f t="shared" si="16"/>
        <v>0</v>
      </c>
      <c r="G265" s="1375">
        <f t="shared" si="16"/>
        <v>0</v>
      </c>
      <c r="H265" s="1376">
        <f t="shared" si="17"/>
        <v>0.8</v>
      </c>
      <c r="I265" s="1543">
        <f t="shared" si="23"/>
        <v>1098.5882352941176</v>
      </c>
      <c r="J265" s="1544">
        <f t="shared" si="24"/>
        <v>8760</v>
      </c>
      <c r="K265" s="1545">
        <f t="shared" si="25"/>
        <v>0.64800000000000002</v>
      </c>
      <c r="L265" s="1377">
        <f t="shared" si="19"/>
        <v>0</v>
      </c>
      <c r="M265" s="1546">
        <f t="shared" si="20"/>
        <v>0</v>
      </c>
      <c r="N265" s="1547">
        <f t="shared" si="21"/>
        <v>0</v>
      </c>
      <c r="O265" s="1378">
        <f t="shared" si="22"/>
        <v>0</v>
      </c>
      <c r="P265" s="1492"/>
      <c r="Q265" s="1365">
        <f t="shared" si="8"/>
        <v>0</v>
      </c>
      <c r="R265" s="1540">
        <f t="shared" si="9"/>
        <v>0</v>
      </c>
    </row>
    <row r="266" spans="2:18" s="1394" customFormat="1" ht="18.5" x14ac:dyDescent="0.45">
      <c r="B266" s="1445" t="s">
        <v>2357</v>
      </c>
      <c r="C266" s="1505" t="s">
        <v>2401</v>
      </c>
      <c r="D266" s="1293">
        <f t="shared" si="16"/>
        <v>0</v>
      </c>
      <c r="E266" s="1533">
        <f t="shared" si="16"/>
        <v>0</v>
      </c>
      <c r="F266" s="1534">
        <f t="shared" si="16"/>
        <v>0</v>
      </c>
      <c r="G266" s="1381">
        <f t="shared" si="16"/>
        <v>0</v>
      </c>
      <c r="H266" s="1382">
        <f t="shared" si="17"/>
        <v>0.8</v>
      </c>
      <c r="I266" s="1535">
        <f t="shared" si="23"/>
        <v>1284.5098039215686</v>
      </c>
      <c r="J266" s="1536">
        <f t="shared" si="24"/>
        <v>2881</v>
      </c>
      <c r="K266" s="1537">
        <f t="shared" si="25"/>
        <v>0.61499999999999999</v>
      </c>
      <c r="L266" s="1383">
        <f t="shared" si="19"/>
        <v>0</v>
      </c>
      <c r="M266" s="1538">
        <f t="shared" si="20"/>
        <v>0</v>
      </c>
      <c r="N266" s="1539">
        <f t="shared" si="21"/>
        <v>0</v>
      </c>
      <c r="O266" s="1364">
        <f t="shared" si="22"/>
        <v>0</v>
      </c>
      <c r="P266" s="1492"/>
      <c r="Q266" s="1357">
        <f t="shared" si="8"/>
        <v>0</v>
      </c>
      <c r="R266" s="1548">
        <f t="shared" si="9"/>
        <v>0</v>
      </c>
    </row>
    <row r="267" spans="2:18" s="1394" customFormat="1" ht="18.5" x14ac:dyDescent="0.45">
      <c r="B267" s="1442" t="s">
        <v>2358</v>
      </c>
      <c r="C267" s="1502" t="s">
        <v>2401</v>
      </c>
      <c r="D267" s="1287">
        <f t="shared" si="16"/>
        <v>0</v>
      </c>
      <c r="E267" s="1541">
        <f t="shared" si="16"/>
        <v>0</v>
      </c>
      <c r="F267" s="1542">
        <f t="shared" si="16"/>
        <v>0</v>
      </c>
      <c r="G267" s="1375">
        <f t="shared" si="16"/>
        <v>0</v>
      </c>
      <c r="H267" s="1376">
        <f t="shared" si="17"/>
        <v>0.8</v>
      </c>
      <c r="I267" s="1543">
        <f t="shared" si="23"/>
        <v>648.41176470588243</v>
      </c>
      <c r="J267" s="1544">
        <f t="shared" si="24"/>
        <v>2788</v>
      </c>
      <c r="K267" s="1545">
        <f t="shared" si="25"/>
        <v>0.57599999999999996</v>
      </c>
      <c r="L267" s="1377">
        <f t="shared" si="19"/>
        <v>0</v>
      </c>
      <c r="M267" s="1546">
        <f t="shared" si="20"/>
        <v>0</v>
      </c>
      <c r="N267" s="1547">
        <f t="shared" si="21"/>
        <v>0</v>
      </c>
      <c r="O267" s="1378">
        <f t="shared" si="22"/>
        <v>0</v>
      </c>
      <c r="P267" s="1492"/>
      <c r="Q267" s="1365">
        <f t="shared" si="8"/>
        <v>0</v>
      </c>
      <c r="R267" s="1540">
        <f t="shared" si="9"/>
        <v>0</v>
      </c>
    </row>
    <row r="268" spans="2:18" s="1394" customFormat="1" ht="18.5" x14ac:dyDescent="0.45">
      <c r="B268" s="1445" t="s">
        <v>2162</v>
      </c>
      <c r="C268" s="1505" t="s">
        <v>2401</v>
      </c>
      <c r="D268" s="1293">
        <f t="shared" si="16"/>
        <v>0</v>
      </c>
      <c r="E268" s="1533">
        <f t="shared" si="16"/>
        <v>0</v>
      </c>
      <c r="F268" s="1534">
        <f t="shared" si="16"/>
        <v>0</v>
      </c>
      <c r="G268" s="1381">
        <f t="shared" si="16"/>
        <v>0</v>
      </c>
      <c r="H268" s="1382">
        <f t="shared" si="17"/>
        <v>0.8</v>
      </c>
      <c r="I268" s="1535">
        <f t="shared" si="23"/>
        <v>1400.0588235294117</v>
      </c>
      <c r="J268" s="1536">
        <f t="shared" si="24"/>
        <v>8729</v>
      </c>
      <c r="K268" s="1537">
        <f t="shared" si="25"/>
        <v>0.60899999999999999</v>
      </c>
      <c r="L268" s="1383">
        <f t="shared" si="19"/>
        <v>0</v>
      </c>
      <c r="M268" s="1538">
        <f t="shared" si="20"/>
        <v>0</v>
      </c>
      <c r="N268" s="1539">
        <f t="shared" si="21"/>
        <v>0</v>
      </c>
      <c r="O268" s="1364">
        <f t="shared" si="22"/>
        <v>0</v>
      </c>
      <c r="P268" s="1492"/>
      <c r="Q268" s="1357">
        <f t="shared" si="8"/>
        <v>0</v>
      </c>
      <c r="R268" s="1548">
        <f t="shared" si="9"/>
        <v>0</v>
      </c>
    </row>
    <row r="269" spans="2:18" s="1394" customFormat="1" ht="18.5" x14ac:dyDescent="0.45">
      <c r="B269" s="1442" t="s">
        <v>2325</v>
      </c>
      <c r="C269" s="1502" t="s">
        <v>2401</v>
      </c>
      <c r="D269" s="1287">
        <f t="shared" si="16"/>
        <v>0</v>
      </c>
      <c r="E269" s="1541">
        <f t="shared" si="16"/>
        <v>0</v>
      </c>
      <c r="F269" s="1542">
        <f t="shared" si="16"/>
        <v>0</v>
      </c>
      <c r="G269" s="1375">
        <f t="shared" si="16"/>
        <v>0</v>
      </c>
      <c r="H269" s="1376">
        <f t="shared" si="17"/>
        <v>0.8</v>
      </c>
      <c r="I269" s="1543">
        <f t="shared" si="23"/>
        <v>1495.8823529411764</v>
      </c>
      <c r="J269" s="1544">
        <f t="shared" si="24"/>
        <v>8712</v>
      </c>
      <c r="K269" s="1545">
        <f t="shared" si="25"/>
        <v>0.629</v>
      </c>
      <c r="L269" s="1377">
        <f t="shared" si="19"/>
        <v>0</v>
      </c>
      <c r="M269" s="1546">
        <f t="shared" si="20"/>
        <v>0</v>
      </c>
      <c r="N269" s="1547">
        <f t="shared" si="21"/>
        <v>0</v>
      </c>
      <c r="O269" s="1378">
        <f t="shared" si="22"/>
        <v>0</v>
      </c>
      <c r="P269" s="1492"/>
      <c r="Q269" s="1365">
        <f t="shared" si="8"/>
        <v>0</v>
      </c>
      <c r="R269" s="1540">
        <f t="shared" si="9"/>
        <v>0</v>
      </c>
    </row>
    <row r="270" spans="2:18" s="1394" customFormat="1" ht="18.5" x14ac:dyDescent="0.45">
      <c r="B270" s="1445" t="s">
        <v>2073</v>
      </c>
      <c r="C270" s="1505" t="s">
        <v>2401</v>
      </c>
      <c r="D270" s="1293">
        <f t="shared" ref="D270:G285" si="26">D196</f>
        <v>0</v>
      </c>
      <c r="E270" s="1533">
        <f t="shared" si="26"/>
        <v>0</v>
      </c>
      <c r="F270" s="1534">
        <f t="shared" si="26"/>
        <v>0</v>
      </c>
      <c r="G270" s="1381">
        <f t="shared" si="26"/>
        <v>0</v>
      </c>
      <c r="H270" s="1382">
        <f t="shared" si="17"/>
        <v>0.8</v>
      </c>
      <c r="I270" s="1535">
        <f t="shared" si="23"/>
        <v>1587.5882352941178</v>
      </c>
      <c r="J270" s="1536">
        <f t="shared" si="24"/>
        <v>8712</v>
      </c>
      <c r="K270" s="1537">
        <f t="shared" si="25"/>
        <v>0.64600000000000002</v>
      </c>
      <c r="L270" s="1383">
        <f t="shared" si="19"/>
        <v>0</v>
      </c>
      <c r="M270" s="1538">
        <f t="shared" si="20"/>
        <v>0</v>
      </c>
      <c r="N270" s="1539">
        <f t="shared" si="21"/>
        <v>0</v>
      </c>
      <c r="O270" s="1364">
        <f t="shared" si="22"/>
        <v>0</v>
      </c>
      <c r="P270" s="1492"/>
      <c r="Q270" s="1357">
        <f t="shared" si="8"/>
        <v>0</v>
      </c>
      <c r="R270" s="1548">
        <f t="shared" si="9"/>
        <v>0</v>
      </c>
    </row>
    <row r="271" spans="2:18" s="1394" customFormat="1" ht="18.5" x14ac:dyDescent="0.45">
      <c r="B271" s="1442" t="s">
        <v>2166</v>
      </c>
      <c r="C271" s="1502" t="s">
        <v>2401</v>
      </c>
      <c r="D271" s="1287">
        <f t="shared" si="26"/>
        <v>0</v>
      </c>
      <c r="E271" s="1541">
        <f t="shared" si="26"/>
        <v>0</v>
      </c>
      <c r="F271" s="1542">
        <f t="shared" si="26"/>
        <v>0</v>
      </c>
      <c r="G271" s="1375">
        <f t="shared" si="26"/>
        <v>0</v>
      </c>
      <c r="H271" s="1376">
        <f t="shared" si="17"/>
        <v>0.8</v>
      </c>
      <c r="I271" s="1543">
        <f t="shared" si="23"/>
        <v>1456.4509803921569</v>
      </c>
      <c r="J271" s="1544">
        <f t="shared" si="24"/>
        <v>4479</v>
      </c>
      <c r="K271" s="1545">
        <f t="shared" si="25"/>
        <v>0.629</v>
      </c>
      <c r="L271" s="1377">
        <f t="shared" si="19"/>
        <v>0</v>
      </c>
      <c r="M271" s="1546">
        <f t="shared" si="20"/>
        <v>0</v>
      </c>
      <c r="N271" s="1547">
        <f t="shared" si="21"/>
        <v>0</v>
      </c>
      <c r="O271" s="1378">
        <f t="shared" si="22"/>
        <v>0</v>
      </c>
      <c r="P271" s="1492"/>
      <c r="Q271" s="1365">
        <f t="shared" si="8"/>
        <v>0</v>
      </c>
      <c r="R271" s="1540">
        <f t="shared" si="9"/>
        <v>0</v>
      </c>
    </row>
    <row r="272" spans="2:18" s="1394" customFormat="1" ht="18.5" x14ac:dyDescent="0.45">
      <c r="B272" s="1445" t="s">
        <v>2163</v>
      </c>
      <c r="C272" s="1505" t="s">
        <v>2401</v>
      </c>
      <c r="D272" s="1293">
        <f t="shared" si="26"/>
        <v>0</v>
      </c>
      <c r="E272" s="1533">
        <f t="shared" si="26"/>
        <v>0</v>
      </c>
      <c r="F272" s="1534">
        <f t="shared" si="26"/>
        <v>0</v>
      </c>
      <c r="G272" s="1381">
        <f t="shared" si="26"/>
        <v>0</v>
      </c>
      <c r="H272" s="1382">
        <f t="shared" si="17"/>
        <v>0.8</v>
      </c>
      <c r="I272" s="1535">
        <f t="shared" si="23"/>
        <v>899.50980392156862</v>
      </c>
      <c r="J272" s="1536">
        <f t="shared" si="24"/>
        <v>2805</v>
      </c>
      <c r="K272" s="1537">
        <f t="shared" si="25"/>
        <v>0.433</v>
      </c>
      <c r="L272" s="1383">
        <f t="shared" si="19"/>
        <v>0</v>
      </c>
      <c r="M272" s="1538">
        <f t="shared" si="20"/>
        <v>0</v>
      </c>
      <c r="N272" s="1539">
        <f t="shared" si="21"/>
        <v>0</v>
      </c>
      <c r="O272" s="1364">
        <f t="shared" si="22"/>
        <v>0</v>
      </c>
      <c r="P272" s="1492"/>
      <c r="Q272" s="1357">
        <f t="shared" si="8"/>
        <v>0</v>
      </c>
      <c r="R272" s="1548">
        <f t="shared" si="9"/>
        <v>0</v>
      </c>
    </row>
    <row r="273" spans="2:18" s="1394" customFormat="1" ht="18.5" x14ac:dyDescent="0.45">
      <c r="B273" s="1442" t="s">
        <v>2181</v>
      </c>
      <c r="C273" s="1502" t="s">
        <v>2401</v>
      </c>
      <c r="D273" s="1287">
        <f t="shared" si="26"/>
        <v>0</v>
      </c>
      <c r="E273" s="1541">
        <f t="shared" si="26"/>
        <v>0</v>
      </c>
      <c r="F273" s="1542">
        <f t="shared" si="26"/>
        <v>0</v>
      </c>
      <c r="G273" s="1375">
        <f t="shared" si="26"/>
        <v>0</v>
      </c>
      <c r="H273" s="1376">
        <f t="shared" si="17"/>
        <v>0.8</v>
      </c>
      <c r="I273" s="1543">
        <f t="shared" si="23"/>
        <v>1415.1372549019607</v>
      </c>
      <c r="J273" s="1544">
        <f t="shared" si="24"/>
        <v>4237</v>
      </c>
      <c r="K273" s="1545">
        <f t="shared" si="25"/>
        <v>0.437</v>
      </c>
      <c r="L273" s="1377">
        <f t="shared" si="19"/>
        <v>0</v>
      </c>
      <c r="M273" s="1546">
        <f t="shared" si="20"/>
        <v>0</v>
      </c>
      <c r="N273" s="1547">
        <f t="shared" si="21"/>
        <v>0</v>
      </c>
      <c r="O273" s="1378">
        <f t="shared" si="22"/>
        <v>0</v>
      </c>
      <c r="P273" s="1492"/>
      <c r="Q273" s="1365">
        <f t="shared" si="8"/>
        <v>0</v>
      </c>
      <c r="R273" s="1540">
        <f t="shared" si="9"/>
        <v>0</v>
      </c>
    </row>
    <row r="274" spans="2:18" s="1394" customFormat="1" ht="18.5" x14ac:dyDescent="0.45">
      <c r="B274" s="1445" t="s">
        <v>2164</v>
      </c>
      <c r="C274" s="1505" t="s">
        <v>2401</v>
      </c>
      <c r="D274" s="1293">
        <f t="shared" si="26"/>
        <v>0</v>
      </c>
      <c r="E274" s="1533">
        <f t="shared" si="26"/>
        <v>0</v>
      </c>
      <c r="F274" s="1534">
        <f t="shared" si="26"/>
        <v>0</v>
      </c>
      <c r="G274" s="1381">
        <f t="shared" si="26"/>
        <v>0</v>
      </c>
      <c r="H274" s="1382">
        <f t="shared" si="17"/>
        <v>0.8</v>
      </c>
      <c r="I274" s="1535">
        <f t="shared" si="23"/>
        <v>512.23529411764696</v>
      </c>
      <c r="J274" s="1536">
        <f t="shared" si="24"/>
        <v>4237</v>
      </c>
      <c r="K274" s="1537">
        <f t="shared" si="25"/>
        <v>0.437</v>
      </c>
      <c r="L274" s="1383">
        <f t="shared" si="19"/>
        <v>0</v>
      </c>
      <c r="M274" s="1538">
        <f t="shared" si="20"/>
        <v>0</v>
      </c>
      <c r="N274" s="1539">
        <f t="shared" si="21"/>
        <v>0</v>
      </c>
      <c r="O274" s="1364">
        <f t="shared" si="22"/>
        <v>0</v>
      </c>
      <c r="P274" s="1492"/>
      <c r="Q274" s="1357">
        <f t="shared" si="8"/>
        <v>0</v>
      </c>
      <c r="R274" s="1548">
        <f t="shared" si="9"/>
        <v>0</v>
      </c>
    </row>
    <row r="275" spans="2:18" s="1394" customFormat="1" ht="18.5" x14ac:dyDescent="0.45">
      <c r="B275" s="1442" t="s">
        <v>2336</v>
      </c>
      <c r="C275" s="1502" t="s">
        <v>2401</v>
      </c>
      <c r="D275" s="1287">
        <f t="shared" si="26"/>
        <v>0</v>
      </c>
      <c r="E275" s="1541">
        <f t="shared" si="26"/>
        <v>0</v>
      </c>
      <c r="F275" s="1542">
        <f t="shared" si="26"/>
        <v>0</v>
      </c>
      <c r="G275" s="1375">
        <f t="shared" si="26"/>
        <v>0</v>
      </c>
      <c r="H275" s="1376">
        <f t="shared" si="17"/>
        <v>0.8</v>
      </c>
      <c r="I275" s="1543">
        <f t="shared" si="23"/>
        <v>1493.6862745098038</v>
      </c>
      <c r="J275" s="1544">
        <f t="shared" si="24"/>
        <v>4237</v>
      </c>
      <c r="K275" s="1545">
        <f t="shared" si="25"/>
        <v>0.43</v>
      </c>
      <c r="L275" s="1377">
        <f t="shared" si="19"/>
        <v>0</v>
      </c>
      <c r="M275" s="1546">
        <f t="shared" si="20"/>
        <v>0</v>
      </c>
      <c r="N275" s="1547">
        <f t="shared" si="21"/>
        <v>0</v>
      </c>
      <c r="O275" s="1378">
        <f t="shared" si="22"/>
        <v>0</v>
      </c>
      <c r="P275" s="1492"/>
      <c r="Q275" s="1365">
        <f t="shared" si="8"/>
        <v>0</v>
      </c>
      <c r="R275" s="1540">
        <f t="shared" si="9"/>
        <v>0</v>
      </c>
    </row>
    <row r="276" spans="2:18" s="1394" customFormat="1" ht="18.5" x14ac:dyDescent="0.45">
      <c r="B276" s="1445" t="s">
        <v>2165</v>
      </c>
      <c r="C276" s="1505" t="s">
        <v>2401</v>
      </c>
      <c r="D276" s="1293">
        <f t="shared" si="26"/>
        <v>0</v>
      </c>
      <c r="E276" s="1533">
        <f t="shared" si="26"/>
        <v>0</v>
      </c>
      <c r="F276" s="1534">
        <f t="shared" si="26"/>
        <v>0</v>
      </c>
      <c r="G276" s="1381">
        <f t="shared" si="26"/>
        <v>0</v>
      </c>
      <c r="H276" s="1382">
        <f t="shared" si="17"/>
        <v>0.8</v>
      </c>
      <c r="I276" s="1535">
        <f t="shared" si="23"/>
        <v>1630.1960784313726</v>
      </c>
      <c r="J276" s="1536">
        <f t="shared" si="24"/>
        <v>2899</v>
      </c>
      <c r="K276" s="1537">
        <f t="shared" si="25"/>
        <v>0.24299999999999999</v>
      </c>
      <c r="L276" s="1383">
        <f t="shared" si="19"/>
        <v>0</v>
      </c>
      <c r="M276" s="1538">
        <f t="shared" si="20"/>
        <v>0</v>
      </c>
      <c r="N276" s="1539">
        <f t="shared" si="21"/>
        <v>0</v>
      </c>
      <c r="O276" s="1364">
        <f t="shared" si="22"/>
        <v>0</v>
      </c>
      <c r="P276" s="1492"/>
      <c r="Q276" s="1357">
        <f t="shared" si="8"/>
        <v>0</v>
      </c>
      <c r="R276" s="1548">
        <f t="shared" si="9"/>
        <v>0</v>
      </c>
    </row>
    <row r="277" spans="2:18" s="1394" customFormat="1" ht="18.5" x14ac:dyDescent="0.45">
      <c r="B277" s="1442" t="s">
        <v>2167</v>
      </c>
      <c r="C277" s="1502" t="s">
        <v>2401</v>
      </c>
      <c r="D277" s="1287">
        <f t="shared" si="26"/>
        <v>0</v>
      </c>
      <c r="E277" s="1541">
        <f t="shared" si="26"/>
        <v>0</v>
      </c>
      <c r="F277" s="1542">
        <f t="shared" si="26"/>
        <v>0</v>
      </c>
      <c r="G277" s="1375">
        <f t="shared" si="26"/>
        <v>0</v>
      </c>
      <c r="H277" s="1376">
        <f t="shared" si="17"/>
        <v>0.8</v>
      </c>
      <c r="I277" s="1543">
        <f t="shared" si="23"/>
        <v>1698.2156862745098</v>
      </c>
      <c r="J277" s="1544">
        <f t="shared" si="24"/>
        <v>2120</v>
      </c>
      <c r="K277" s="1545">
        <f t="shared" si="25"/>
        <v>0.41899999999999998</v>
      </c>
      <c r="L277" s="1377">
        <f t="shared" si="19"/>
        <v>0</v>
      </c>
      <c r="M277" s="1546">
        <f t="shared" si="20"/>
        <v>0</v>
      </c>
      <c r="N277" s="1547">
        <f t="shared" si="21"/>
        <v>0</v>
      </c>
      <c r="O277" s="1378">
        <f t="shared" si="22"/>
        <v>0</v>
      </c>
      <c r="P277" s="1492"/>
      <c r="Q277" s="1365">
        <f t="shared" si="8"/>
        <v>0</v>
      </c>
      <c r="R277" s="1540">
        <f t="shared" si="9"/>
        <v>0</v>
      </c>
    </row>
    <row r="278" spans="2:18" s="1394" customFormat="1" ht="18.5" x14ac:dyDescent="0.45">
      <c r="B278" s="1445" t="s">
        <v>2168</v>
      </c>
      <c r="C278" s="1505" t="s">
        <v>2401</v>
      </c>
      <c r="D278" s="1293">
        <f t="shared" si="26"/>
        <v>0</v>
      </c>
      <c r="E278" s="1533">
        <f t="shared" si="26"/>
        <v>0</v>
      </c>
      <c r="F278" s="1534">
        <f t="shared" si="26"/>
        <v>0</v>
      </c>
      <c r="G278" s="1381">
        <f t="shared" si="26"/>
        <v>0</v>
      </c>
      <c r="H278" s="1382">
        <f t="shared" si="17"/>
        <v>0.8</v>
      </c>
      <c r="I278" s="1535">
        <f t="shared" si="23"/>
        <v>936.1960784313726</v>
      </c>
      <c r="J278" s="1536">
        <f t="shared" si="24"/>
        <v>5682</v>
      </c>
      <c r="K278" s="1537">
        <f t="shared" si="25"/>
        <v>0.503</v>
      </c>
      <c r="L278" s="1383">
        <f t="shared" si="19"/>
        <v>0</v>
      </c>
      <c r="M278" s="1538">
        <f t="shared" si="20"/>
        <v>0</v>
      </c>
      <c r="N278" s="1539">
        <f t="shared" si="21"/>
        <v>0</v>
      </c>
      <c r="O278" s="1364">
        <f t="shared" si="22"/>
        <v>0</v>
      </c>
      <c r="P278" s="1492"/>
      <c r="Q278" s="1357">
        <f t="shared" si="8"/>
        <v>0</v>
      </c>
      <c r="R278" s="1548">
        <f t="shared" si="9"/>
        <v>0</v>
      </c>
    </row>
    <row r="279" spans="2:18" s="1394" customFormat="1" ht="18.5" x14ac:dyDescent="0.45">
      <c r="B279" s="1442" t="s">
        <v>2169</v>
      </c>
      <c r="C279" s="1502" t="s">
        <v>2401</v>
      </c>
      <c r="D279" s="1287">
        <f t="shared" si="26"/>
        <v>0</v>
      </c>
      <c r="E279" s="1541">
        <f t="shared" si="26"/>
        <v>0</v>
      </c>
      <c r="F279" s="1542">
        <f t="shared" si="26"/>
        <v>0</v>
      </c>
      <c r="G279" s="1375">
        <f t="shared" si="26"/>
        <v>0</v>
      </c>
      <c r="H279" s="1376">
        <f t="shared" si="17"/>
        <v>0.8</v>
      </c>
      <c r="I279" s="1543">
        <f t="shared" si="23"/>
        <v>2004.4117647058824</v>
      </c>
      <c r="J279" s="1544">
        <f t="shared" si="24"/>
        <v>4849</v>
      </c>
      <c r="K279" s="1545">
        <f t="shared" si="25"/>
        <v>0.48299999999999998</v>
      </c>
      <c r="L279" s="1377">
        <f t="shared" si="19"/>
        <v>0</v>
      </c>
      <c r="M279" s="1546">
        <f t="shared" si="20"/>
        <v>0</v>
      </c>
      <c r="N279" s="1547">
        <f t="shared" si="21"/>
        <v>0</v>
      </c>
      <c r="O279" s="1378">
        <f t="shared" si="22"/>
        <v>0</v>
      </c>
      <c r="P279" s="1492"/>
      <c r="Q279" s="1365">
        <f t="shared" si="8"/>
        <v>0</v>
      </c>
      <c r="R279" s="1540">
        <f t="shared" si="9"/>
        <v>0</v>
      </c>
    </row>
    <row r="280" spans="2:18" s="1394" customFormat="1" ht="18.5" x14ac:dyDescent="0.45">
      <c r="B280" s="1445" t="s">
        <v>2170</v>
      </c>
      <c r="C280" s="1505" t="s">
        <v>2401</v>
      </c>
      <c r="D280" s="1293">
        <f t="shared" si="26"/>
        <v>0</v>
      </c>
      <c r="E280" s="1533">
        <f t="shared" si="26"/>
        <v>0</v>
      </c>
      <c r="F280" s="1534">
        <f t="shared" si="26"/>
        <v>0</v>
      </c>
      <c r="G280" s="1381">
        <f t="shared" si="26"/>
        <v>0</v>
      </c>
      <c r="H280" s="1382">
        <f t="shared" si="17"/>
        <v>0.8</v>
      </c>
      <c r="I280" s="1535">
        <f t="shared" si="23"/>
        <v>1262.7843137254904</v>
      </c>
      <c r="J280" s="1536">
        <f t="shared" si="24"/>
        <v>2038</v>
      </c>
      <c r="K280" s="1537">
        <f t="shared" si="25"/>
        <v>0.432</v>
      </c>
      <c r="L280" s="1383">
        <f t="shared" si="19"/>
        <v>0</v>
      </c>
      <c r="M280" s="1538">
        <f t="shared" si="20"/>
        <v>0</v>
      </c>
      <c r="N280" s="1539">
        <f t="shared" si="21"/>
        <v>0</v>
      </c>
      <c r="O280" s="1364">
        <f t="shared" si="22"/>
        <v>0</v>
      </c>
      <c r="P280" s="1492"/>
      <c r="Q280" s="1357">
        <f t="shared" si="8"/>
        <v>0</v>
      </c>
      <c r="R280" s="1548">
        <f t="shared" si="9"/>
        <v>0</v>
      </c>
    </row>
    <row r="281" spans="2:18" s="1394" customFormat="1" ht="18.5" x14ac:dyDescent="0.45">
      <c r="B281" s="1442" t="s">
        <v>2171</v>
      </c>
      <c r="C281" s="1502" t="s">
        <v>2401</v>
      </c>
      <c r="D281" s="1287">
        <f t="shared" si="26"/>
        <v>0</v>
      </c>
      <c r="E281" s="1541">
        <f t="shared" si="26"/>
        <v>0</v>
      </c>
      <c r="F281" s="1542">
        <f t="shared" si="26"/>
        <v>0</v>
      </c>
      <c r="G281" s="1375">
        <f t="shared" si="26"/>
        <v>0</v>
      </c>
      <c r="H281" s="1376">
        <f t="shared" si="17"/>
        <v>0.8</v>
      </c>
      <c r="I281" s="1543">
        <f t="shared" si="23"/>
        <v>903.1960784313726</v>
      </c>
      <c r="J281" s="1544">
        <f t="shared" si="24"/>
        <v>3069</v>
      </c>
      <c r="K281" s="1545">
        <f t="shared" si="25"/>
        <v>0.46200000000000002</v>
      </c>
      <c r="L281" s="1377">
        <f t="shared" si="19"/>
        <v>0</v>
      </c>
      <c r="M281" s="1546">
        <f t="shared" si="20"/>
        <v>0</v>
      </c>
      <c r="N281" s="1547">
        <f t="shared" si="21"/>
        <v>0</v>
      </c>
      <c r="O281" s="1378">
        <f t="shared" si="22"/>
        <v>0</v>
      </c>
      <c r="P281" s="1492"/>
      <c r="Q281" s="1365">
        <f t="shared" si="8"/>
        <v>0</v>
      </c>
      <c r="R281" s="1540">
        <f t="shared" si="9"/>
        <v>0</v>
      </c>
    </row>
    <row r="282" spans="2:18" s="1394" customFormat="1" ht="18.5" x14ac:dyDescent="0.45">
      <c r="B282" s="1445" t="s">
        <v>2172</v>
      </c>
      <c r="C282" s="1505" t="s">
        <v>2401</v>
      </c>
      <c r="D282" s="1293">
        <f t="shared" si="26"/>
        <v>0</v>
      </c>
      <c r="E282" s="1533">
        <f t="shared" si="26"/>
        <v>0</v>
      </c>
      <c r="F282" s="1534">
        <f t="shared" si="26"/>
        <v>0</v>
      </c>
      <c r="G282" s="1381">
        <f t="shared" si="26"/>
        <v>0</v>
      </c>
      <c r="H282" s="1382">
        <f t="shared" si="17"/>
        <v>0.8</v>
      </c>
      <c r="I282" s="1535">
        <f t="shared" si="23"/>
        <v>2375.1176470588239</v>
      </c>
      <c r="J282" s="1536">
        <f t="shared" si="24"/>
        <v>2481</v>
      </c>
      <c r="K282" s="1537">
        <f t="shared" si="25"/>
        <v>0.47399999999999998</v>
      </c>
      <c r="L282" s="1383">
        <f t="shared" si="19"/>
        <v>0</v>
      </c>
      <c r="M282" s="1538">
        <f t="shared" si="20"/>
        <v>0</v>
      </c>
      <c r="N282" s="1539">
        <f t="shared" si="21"/>
        <v>0</v>
      </c>
      <c r="O282" s="1364">
        <f t="shared" si="22"/>
        <v>0</v>
      </c>
      <c r="P282" s="1492"/>
      <c r="Q282" s="1357">
        <f t="shared" si="8"/>
        <v>0</v>
      </c>
      <c r="R282" s="1548">
        <f t="shared" si="9"/>
        <v>0</v>
      </c>
    </row>
    <row r="283" spans="2:18" s="1394" customFormat="1" ht="18.5" x14ac:dyDescent="0.45">
      <c r="B283" s="1442" t="s">
        <v>2173</v>
      </c>
      <c r="C283" s="1502" t="s">
        <v>2401</v>
      </c>
      <c r="D283" s="1287">
        <f t="shared" si="26"/>
        <v>0</v>
      </c>
      <c r="E283" s="1541">
        <f t="shared" si="26"/>
        <v>0</v>
      </c>
      <c r="F283" s="1542">
        <f t="shared" si="26"/>
        <v>0</v>
      </c>
      <c r="G283" s="1375">
        <f t="shared" si="26"/>
        <v>0</v>
      </c>
      <c r="H283" s="1376">
        <f t="shared" si="17"/>
        <v>0.8</v>
      </c>
      <c r="I283" s="1543">
        <f t="shared" si="23"/>
        <v>1483.2352941176471</v>
      </c>
      <c r="J283" s="1544">
        <f t="shared" si="24"/>
        <v>1881</v>
      </c>
      <c r="K283" s="1545">
        <f t="shared" si="25"/>
        <v>0.42799999999999999</v>
      </c>
      <c r="L283" s="1377">
        <f t="shared" si="19"/>
        <v>0</v>
      </c>
      <c r="M283" s="1546">
        <f t="shared" si="20"/>
        <v>0</v>
      </c>
      <c r="N283" s="1547">
        <f t="shared" si="21"/>
        <v>0</v>
      </c>
      <c r="O283" s="1378">
        <f t="shared" si="22"/>
        <v>0</v>
      </c>
      <c r="P283" s="1492"/>
      <c r="Q283" s="1365">
        <f t="shared" si="8"/>
        <v>0</v>
      </c>
      <c r="R283" s="1540">
        <f t="shared" si="9"/>
        <v>0</v>
      </c>
    </row>
    <row r="284" spans="2:18" s="1394" customFormat="1" ht="18.5" x14ac:dyDescent="0.45">
      <c r="B284" s="1445" t="s">
        <v>2174</v>
      </c>
      <c r="C284" s="1505" t="s">
        <v>2401</v>
      </c>
      <c r="D284" s="1293">
        <f t="shared" si="26"/>
        <v>0</v>
      </c>
      <c r="E284" s="1533">
        <f t="shared" si="26"/>
        <v>0</v>
      </c>
      <c r="F284" s="1534">
        <f t="shared" si="26"/>
        <v>0</v>
      </c>
      <c r="G284" s="1381">
        <f t="shared" si="26"/>
        <v>0</v>
      </c>
      <c r="H284" s="1382">
        <f t="shared" si="17"/>
        <v>0.8</v>
      </c>
      <c r="I284" s="1535">
        <f t="shared" ref="I284:I289" si="27">J168</f>
        <v>1395.7647058823529</v>
      </c>
      <c r="J284" s="1536">
        <f t="shared" ref="J284:K289" si="28">C113</f>
        <v>2830</v>
      </c>
      <c r="K284" s="1537">
        <f t="shared" si="28"/>
        <v>0.433</v>
      </c>
      <c r="L284" s="1383">
        <f t="shared" si="19"/>
        <v>0</v>
      </c>
      <c r="M284" s="1538">
        <f t="shared" si="20"/>
        <v>0</v>
      </c>
      <c r="N284" s="1539">
        <f t="shared" si="21"/>
        <v>0</v>
      </c>
      <c r="O284" s="1364">
        <f t="shared" si="22"/>
        <v>0</v>
      </c>
      <c r="P284" s="1492"/>
      <c r="Q284" s="1357">
        <f t="shared" si="8"/>
        <v>0</v>
      </c>
      <c r="R284" s="1548">
        <f t="shared" si="9"/>
        <v>0</v>
      </c>
    </row>
    <row r="285" spans="2:18" s="1394" customFormat="1" ht="18.5" x14ac:dyDescent="0.45">
      <c r="B285" s="1442" t="s">
        <v>2175</v>
      </c>
      <c r="C285" s="1502" t="s">
        <v>2401</v>
      </c>
      <c r="D285" s="1287">
        <f t="shared" si="26"/>
        <v>0</v>
      </c>
      <c r="E285" s="1541">
        <f t="shared" si="26"/>
        <v>0</v>
      </c>
      <c r="F285" s="1542">
        <f t="shared" si="26"/>
        <v>0</v>
      </c>
      <c r="G285" s="1375">
        <f t="shared" si="26"/>
        <v>0</v>
      </c>
      <c r="H285" s="1376">
        <f t="shared" si="17"/>
        <v>0.8</v>
      </c>
      <c r="I285" s="1543">
        <f t="shared" si="27"/>
        <v>1203.1764705882351</v>
      </c>
      <c r="J285" s="1544">
        <f t="shared" si="28"/>
        <v>3350</v>
      </c>
      <c r="K285" s="1545">
        <f t="shared" si="28"/>
        <v>0.48799999999999999</v>
      </c>
      <c r="L285" s="1377">
        <f t="shared" si="19"/>
        <v>0</v>
      </c>
      <c r="M285" s="1546">
        <f t="shared" si="20"/>
        <v>0</v>
      </c>
      <c r="N285" s="1547">
        <f t="shared" si="21"/>
        <v>0</v>
      </c>
      <c r="O285" s="1378">
        <f t="shared" si="22"/>
        <v>0</v>
      </c>
      <c r="P285" s="1492"/>
      <c r="Q285" s="1365">
        <f t="shared" si="8"/>
        <v>0</v>
      </c>
      <c r="R285" s="1540">
        <f t="shared" si="9"/>
        <v>0</v>
      </c>
    </row>
    <row r="286" spans="2:18" s="1394" customFormat="1" ht="18.5" x14ac:dyDescent="0.45">
      <c r="B286" s="1445" t="s">
        <v>2176</v>
      </c>
      <c r="C286" s="1505" t="s">
        <v>2401</v>
      </c>
      <c r="D286" s="1293">
        <f t="shared" ref="D286:G289" si="29">D212</f>
        <v>0</v>
      </c>
      <c r="E286" s="1533">
        <f t="shared" si="29"/>
        <v>0</v>
      </c>
      <c r="F286" s="1534">
        <f t="shared" si="29"/>
        <v>0</v>
      </c>
      <c r="G286" s="1381">
        <f t="shared" si="29"/>
        <v>0</v>
      </c>
      <c r="H286" s="1382">
        <f t="shared" si="17"/>
        <v>0.8</v>
      </c>
      <c r="I286" s="1535">
        <f t="shared" si="27"/>
        <v>1200.9411764705883</v>
      </c>
      <c r="J286" s="1536">
        <f t="shared" si="28"/>
        <v>2528</v>
      </c>
      <c r="K286" s="1537">
        <f t="shared" si="28"/>
        <v>0.505</v>
      </c>
      <c r="L286" s="1383">
        <f t="shared" si="19"/>
        <v>0</v>
      </c>
      <c r="M286" s="1538">
        <f t="shared" si="20"/>
        <v>0</v>
      </c>
      <c r="N286" s="1539">
        <f t="shared" si="21"/>
        <v>0</v>
      </c>
      <c r="O286" s="1364">
        <f t="shared" si="22"/>
        <v>0</v>
      </c>
      <c r="P286" s="1492"/>
      <c r="Q286" s="1357">
        <f t="shared" si="8"/>
        <v>0</v>
      </c>
      <c r="R286" s="1548">
        <f t="shared" si="9"/>
        <v>0</v>
      </c>
    </row>
    <row r="287" spans="2:18" s="1394" customFormat="1" ht="18.5" x14ac:dyDescent="0.45">
      <c r="B287" s="1442" t="s">
        <v>2177</v>
      </c>
      <c r="C287" s="1502" t="s">
        <v>2401</v>
      </c>
      <c r="D287" s="1287">
        <f t="shared" si="29"/>
        <v>0</v>
      </c>
      <c r="E287" s="1541">
        <f t="shared" si="29"/>
        <v>0</v>
      </c>
      <c r="F287" s="1542">
        <f t="shared" si="29"/>
        <v>0</v>
      </c>
      <c r="G287" s="1375">
        <f t="shared" si="29"/>
        <v>0</v>
      </c>
      <c r="H287" s="1376">
        <f t="shared" si="17"/>
        <v>0.8</v>
      </c>
      <c r="I287" s="1543">
        <f t="shared" si="27"/>
        <v>1200.5294117647059</v>
      </c>
      <c r="J287" s="1544">
        <f t="shared" si="28"/>
        <v>2266</v>
      </c>
      <c r="K287" s="1545">
        <f t="shared" si="28"/>
        <v>0.52800000000000002</v>
      </c>
      <c r="L287" s="1377">
        <f t="shared" si="19"/>
        <v>0</v>
      </c>
      <c r="M287" s="1546">
        <f t="shared" si="20"/>
        <v>0</v>
      </c>
      <c r="N287" s="1547">
        <f t="shared" si="21"/>
        <v>0</v>
      </c>
      <c r="O287" s="1378">
        <f t="shared" si="22"/>
        <v>0</v>
      </c>
      <c r="P287" s="1492"/>
      <c r="Q287" s="1365">
        <f t="shared" si="8"/>
        <v>0</v>
      </c>
      <c r="R287" s="1540">
        <f t="shared" si="9"/>
        <v>0</v>
      </c>
    </row>
    <row r="288" spans="2:18" s="1394" customFormat="1" ht="18.5" x14ac:dyDescent="0.45">
      <c r="B288" s="1445" t="s">
        <v>2027</v>
      </c>
      <c r="C288" s="1505" t="s">
        <v>2401</v>
      </c>
      <c r="D288" s="1293">
        <f t="shared" si="29"/>
        <v>0</v>
      </c>
      <c r="E288" s="1533">
        <f t="shared" si="29"/>
        <v>0</v>
      </c>
      <c r="F288" s="1534">
        <f t="shared" si="29"/>
        <v>0</v>
      </c>
      <c r="G288" s="1381">
        <f t="shared" si="29"/>
        <v>0</v>
      </c>
      <c r="H288" s="1382">
        <f t="shared" si="17"/>
        <v>0.8</v>
      </c>
      <c r="I288" s="1535">
        <f t="shared" si="27"/>
        <v>1201.8431372549019</v>
      </c>
      <c r="J288" s="1536">
        <f t="shared" si="28"/>
        <v>770</v>
      </c>
      <c r="K288" s="1537">
        <f t="shared" si="28"/>
        <v>0.22500000000000001</v>
      </c>
      <c r="L288" s="1383">
        <f t="shared" si="19"/>
        <v>0</v>
      </c>
      <c r="M288" s="1538">
        <f t="shared" si="20"/>
        <v>0</v>
      </c>
      <c r="N288" s="1539">
        <f t="shared" si="21"/>
        <v>0</v>
      </c>
      <c r="O288" s="1364">
        <f t="shared" si="22"/>
        <v>0</v>
      </c>
      <c r="P288" s="1492"/>
      <c r="Q288" s="1357">
        <f t="shared" ref="Q288:Q289" si="30">IFERROR(VLOOKUP(E288,B$122:C$124,2,TRUE),0)</f>
        <v>0</v>
      </c>
      <c r="R288" s="1548">
        <f t="shared" ref="R288:R289" si="31">Q288*D288</f>
        <v>0</v>
      </c>
    </row>
    <row r="289" spans="2:18" s="1394" customFormat="1" ht="18.5" x14ac:dyDescent="0.45">
      <c r="B289" s="1442" t="s">
        <v>536</v>
      </c>
      <c r="C289" s="1502" t="s">
        <v>2401</v>
      </c>
      <c r="D289" s="1287">
        <f t="shared" si="29"/>
        <v>0</v>
      </c>
      <c r="E289" s="1541">
        <f t="shared" si="29"/>
        <v>0</v>
      </c>
      <c r="F289" s="1542">
        <f t="shared" si="29"/>
        <v>0</v>
      </c>
      <c r="G289" s="1375">
        <f t="shared" si="29"/>
        <v>0</v>
      </c>
      <c r="H289" s="1376">
        <f t="shared" si="17"/>
        <v>0.8</v>
      </c>
      <c r="I289" s="1543">
        <f t="shared" si="27"/>
        <v>1516.6666666666665</v>
      </c>
      <c r="J289" s="1544">
        <f t="shared" si="28"/>
        <v>2718</v>
      </c>
      <c r="K289" s="1545">
        <f t="shared" si="28"/>
        <v>0.42399999999999999</v>
      </c>
      <c r="L289" s="1377">
        <f t="shared" si="19"/>
        <v>0</v>
      </c>
      <c r="M289" s="1546">
        <f t="shared" si="20"/>
        <v>0</v>
      </c>
      <c r="N289" s="1547">
        <f t="shared" si="21"/>
        <v>0</v>
      </c>
      <c r="O289" s="1378">
        <f t="shared" si="22"/>
        <v>0</v>
      </c>
      <c r="P289" s="1492"/>
      <c r="Q289" s="1390">
        <f t="shared" si="30"/>
        <v>0</v>
      </c>
      <c r="R289" s="1561">
        <f t="shared" si="31"/>
        <v>0</v>
      </c>
    </row>
    <row r="290" spans="2:18" s="1394" customFormat="1" x14ac:dyDescent="0.35"/>
    <row r="291" spans="2:18" s="1394" customFormat="1" x14ac:dyDescent="0.35"/>
    <row r="292" spans="2:18" s="1394" customFormat="1" x14ac:dyDescent="0.35"/>
    <row r="293" spans="2:18" s="1394" customFormat="1" x14ac:dyDescent="0.35"/>
  </sheetData>
  <mergeCells count="9">
    <mergeCell ref="L220:O220"/>
    <mergeCell ref="B75:C75"/>
    <mergeCell ref="E80:I80"/>
    <mergeCell ref="L81:T81"/>
    <mergeCell ref="D128:E128"/>
    <mergeCell ref="D146:G146"/>
    <mergeCell ref="B220:C220"/>
    <mergeCell ref="D220:G220"/>
    <mergeCell ref="H220:K220"/>
  </mergeCells>
  <conditionalFormatting sqref="B82:B83 B85:B86 B88:B111 B113:B118">
    <cfRule type="expression" dxfId="267" priority="13">
      <formula>B82&lt;&gt;#REF!</formula>
    </cfRule>
  </conditionalFormatting>
  <conditionalFormatting sqref="B84">
    <cfRule type="expression" dxfId="266" priority="12">
      <formula>B84&lt;&gt;#REF!</formula>
    </cfRule>
  </conditionalFormatting>
  <conditionalFormatting sqref="B87">
    <cfRule type="expression" dxfId="265" priority="11">
      <formula>B87&lt;&gt;#REF!</formula>
    </cfRule>
  </conditionalFormatting>
  <conditionalFormatting sqref="B112">
    <cfRule type="expression" dxfId="264" priority="10">
      <formula>B112&lt;&gt;#REF!</formula>
    </cfRule>
  </conditionalFormatting>
  <conditionalFormatting sqref="E82:I83 E85:I86 E88:I111 E113:I118">
    <cfRule type="expression" dxfId="263" priority="9">
      <formula>E82&lt;&gt;#REF!</formula>
    </cfRule>
  </conditionalFormatting>
  <conditionalFormatting sqref="E84:I84">
    <cfRule type="expression" dxfId="262" priority="8">
      <formula>E84&lt;&gt;#REF!</formula>
    </cfRule>
  </conditionalFormatting>
  <conditionalFormatting sqref="E87:I87">
    <cfRule type="expression" dxfId="261" priority="7">
      <formula>E87&lt;&gt;#REF!</formula>
    </cfRule>
  </conditionalFormatting>
  <conditionalFormatting sqref="E112:I112">
    <cfRule type="expression" dxfId="260" priority="6">
      <formula>E112&lt;&gt;#REF!</formula>
    </cfRule>
  </conditionalFormatting>
  <conditionalFormatting sqref="I168:I173 I143:I166">
    <cfRule type="expression" dxfId="259" priority="5">
      <formula>I143&lt;&gt;#REF!</formula>
    </cfRule>
  </conditionalFormatting>
  <conditionalFormatting sqref="I137:I138 I140:I141">
    <cfRule type="expression" dxfId="258" priority="4">
      <formula>I137&lt;&gt;#REF!</formula>
    </cfRule>
  </conditionalFormatting>
  <conditionalFormatting sqref="I139">
    <cfRule type="expression" dxfId="257" priority="3">
      <formula>I139&lt;&gt;#REF!</formula>
    </cfRule>
  </conditionalFormatting>
  <conditionalFormatting sqref="I142">
    <cfRule type="expression" dxfId="256" priority="2">
      <formula>I142&lt;&gt;#REF!</formula>
    </cfRule>
  </conditionalFormatting>
  <conditionalFormatting sqref="I167">
    <cfRule type="expression" dxfId="255" priority="1">
      <formula>I167&lt;&gt;#REF!</formula>
    </cfRule>
  </conditionalFormatting>
  <pageMargins left="0.7" right="0.7" top="0.75" bottom="0.75" header="0.3" footer="0.3"/>
  <pageSetup scale="14" orientation="portrait" r:id="rId1"/>
  <headerFooter>
    <oddHeader>&amp;LAppendix G (Rev.)</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30"/>
  <sheetViews>
    <sheetView zoomScale="70" zoomScaleNormal="70" workbookViewId="0">
      <pane xSplit="4" ySplit="6" topLeftCell="E7" activePane="bottomRight" state="frozen"/>
      <selection pane="topRight" activeCell="E1" sqref="E1"/>
      <selection pane="bottomLeft" activeCell="A7" sqref="A7"/>
      <selection pane="bottomRight"/>
    </sheetView>
  </sheetViews>
  <sheetFormatPr defaultColWidth="9.1796875" defaultRowHeight="14.5" x14ac:dyDescent="0.35"/>
  <cols>
    <col min="1" max="1" width="41.81640625" style="600" customWidth="1"/>
    <col min="2" max="2" width="8.453125" style="600" customWidth="1"/>
    <col min="3" max="3" width="19.1796875" style="600" customWidth="1"/>
    <col min="4" max="4" width="57" style="600" customWidth="1"/>
    <col min="5" max="5" width="14.1796875" style="600" customWidth="1"/>
    <col min="6" max="6" width="12.7265625" style="600" customWidth="1"/>
    <col min="7" max="7" width="14.453125" style="600" customWidth="1"/>
    <col min="8" max="11" width="18" style="600" customWidth="1"/>
    <col min="12" max="12" width="15.81640625" style="600" customWidth="1"/>
    <col min="13" max="13" width="27.453125" style="600" customWidth="1"/>
    <col min="14" max="14" width="15.453125" style="600" customWidth="1"/>
    <col min="15" max="15" width="15.7265625" style="600" customWidth="1"/>
    <col min="16" max="18" width="15" style="600" customWidth="1"/>
    <col min="19" max="19" width="14.7265625" style="600" customWidth="1"/>
    <col min="20" max="21" width="14.1796875" style="600" customWidth="1"/>
    <col min="22" max="22" width="15.81640625" style="600" customWidth="1"/>
    <col min="23" max="23" width="17.1796875" style="600" customWidth="1"/>
    <col min="24" max="25" width="16.1796875" style="600" customWidth="1"/>
    <col min="26" max="26" width="19.81640625" style="600" customWidth="1"/>
    <col min="27" max="27" width="29.1796875" style="600" customWidth="1"/>
    <col min="28" max="28" width="28.7265625" style="600" customWidth="1"/>
    <col min="29" max="29" width="15.1796875" style="600" customWidth="1"/>
    <col min="30" max="30" width="39.453125" style="600" customWidth="1"/>
    <col min="31" max="31" width="22.453125" style="600" customWidth="1"/>
    <col min="32" max="32" width="24" style="600" customWidth="1"/>
    <col min="33" max="33" width="29.26953125" style="600" customWidth="1"/>
    <col min="34" max="34" width="29.1796875" style="600" customWidth="1"/>
    <col min="35" max="35" width="20.26953125" style="600" customWidth="1"/>
    <col min="36" max="36" width="40.453125" style="600" customWidth="1"/>
    <col min="37" max="37" width="20.453125" style="600" customWidth="1"/>
    <col min="38" max="38" width="24.1796875" style="600" customWidth="1"/>
    <col min="39" max="39" width="29" style="600" customWidth="1"/>
    <col min="40" max="40" width="29.26953125" style="600" customWidth="1"/>
    <col min="41" max="41" width="13.54296875" style="600" customWidth="1"/>
    <col min="42" max="42" width="42.453125" style="600" customWidth="1"/>
    <col min="43" max="43" width="23" style="600" customWidth="1"/>
    <col min="44" max="44" width="25.7265625" style="600" customWidth="1"/>
    <col min="45" max="45" width="29" style="600" customWidth="1"/>
    <col min="46" max="46" width="29.26953125" style="600" customWidth="1"/>
    <col min="47" max="47" width="13.54296875" style="600" customWidth="1"/>
    <col min="48" max="48" width="42.453125" style="600" customWidth="1"/>
    <col min="49" max="49" width="23" style="600" customWidth="1"/>
    <col min="50" max="50" width="25.7265625" style="600" customWidth="1"/>
    <col min="51" max="55" width="43.453125" style="600" customWidth="1"/>
    <col min="56" max="56" width="118.54296875" style="600" customWidth="1"/>
    <col min="57" max="57" width="64.54296875" style="600" customWidth="1"/>
    <col min="58" max="58" width="18.54296875" style="600" customWidth="1"/>
    <col min="59" max="16384" width="9.1796875" style="600"/>
  </cols>
  <sheetData>
    <row r="1" spans="1:58" ht="24" customHeight="1" x14ac:dyDescent="0.35">
      <c r="C1" s="324" t="s">
        <v>3295</v>
      </c>
      <c r="D1" s="325"/>
    </row>
    <row r="2" spans="1:58" ht="18.75" customHeight="1" x14ac:dyDescent="0.35">
      <c r="C2" s="2765" t="s">
        <v>4391</v>
      </c>
      <c r="D2" s="325"/>
      <c r="AY2" s="585"/>
    </row>
    <row r="3" spans="1:58" s="327" customFormat="1" ht="18.75" customHeight="1" x14ac:dyDescent="0.35">
      <c r="C3" s="326" t="s">
        <v>1147</v>
      </c>
      <c r="D3" s="327" t="s">
        <v>3292</v>
      </c>
    </row>
    <row r="4" spans="1:58" s="357" customFormat="1" ht="31.5" customHeight="1" x14ac:dyDescent="0.35">
      <c r="C4" s="378"/>
      <c r="D4" s="379"/>
      <c r="E4" s="379"/>
      <c r="F4" s="379"/>
      <c r="G4" s="2846" t="s">
        <v>1140</v>
      </c>
      <c r="H4" s="2847"/>
      <c r="I4" s="2847"/>
      <c r="J4" s="2847"/>
      <c r="K4" s="2853"/>
      <c r="L4" s="2854" t="s">
        <v>1176</v>
      </c>
      <c r="M4" s="2855"/>
      <c r="N4" s="2855"/>
      <c r="O4" s="2855"/>
      <c r="P4" s="2855"/>
      <c r="Q4" s="2856"/>
      <c r="R4" s="2854" t="s">
        <v>1176</v>
      </c>
      <c r="S4" s="2855"/>
      <c r="T4" s="2855"/>
      <c r="U4" s="2855"/>
      <c r="V4" s="2855"/>
      <c r="W4" s="2855"/>
      <c r="X4" s="2855"/>
      <c r="Y4" s="2855"/>
      <c r="Z4" s="2856"/>
      <c r="AA4" s="2857" t="s">
        <v>1177</v>
      </c>
      <c r="AB4" s="2858"/>
      <c r="AC4" s="2858"/>
      <c r="AD4" s="2858"/>
      <c r="AE4" s="2858"/>
      <c r="AF4" s="2859"/>
      <c r="AG4" s="2860" t="s">
        <v>1178</v>
      </c>
      <c r="AH4" s="2861"/>
      <c r="AI4" s="2861"/>
      <c r="AJ4" s="2861"/>
      <c r="AK4" s="2861"/>
      <c r="AL4" s="2862"/>
      <c r="AM4" s="2850" t="s">
        <v>1179</v>
      </c>
      <c r="AN4" s="2851"/>
      <c r="AO4" s="2851"/>
      <c r="AP4" s="2851"/>
      <c r="AQ4" s="2851"/>
      <c r="AR4" s="2852"/>
      <c r="AS4" s="2837" t="s">
        <v>1180</v>
      </c>
      <c r="AT4" s="2838"/>
      <c r="AU4" s="2838"/>
      <c r="AV4" s="2838"/>
      <c r="AW4" s="2838"/>
      <c r="AX4" s="2839"/>
      <c r="AY4" s="2840" t="s">
        <v>1181</v>
      </c>
      <c r="AZ4" s="2841"/>
      <c r="BA4" s="2841"/>
      <c r="BB4" s="2841"/>
      <c r="BC4" s="2842"/>
      <c r="BD4" s="2846" t="s">
        <v>1182</v>
      </c>
      <c r="BE4" s="2847"/>
      <c r="BF4" s="380"/>
    </row>
    <row r="5" spans="1:58" s="338" customFormat="1" ht="49.5" customHeight="1" x14ac:dyDescent="0.35">
      <c r="C5" s="381"/>
      <c r="D5" s="382"/>
      <c r="E5" s="382"/>
      <c r="F5" s="382"/>
      <c r="G5" s="2863" t="s">
        <v>1141</v>
      </c>
      <c r="H5" s="2864"/>
      <c r="I5" s="2864"/>
      <c r="J5" s="2864"/>
      <c r="K5" s="2865"/>
      <c r="L5" s="2854" t="s">
        <v>3545</v>
      </c>
      <c r="M5" s="2855"/>
      <c r="N5" s="2855"/>
      <c r="O5" s="2855"/>
      <c r="P5" s="2855"/>
      <c r="Q5" s="2856"/>
      <c r="R5" s="2863" t="s">
        <v>1183</v>
      </c>
      <c r="S5" s="2864"/>
      <c r="T5" s="2864"/>
      <c r="U5" s="2865"/>
      <c r="V5" s="2854" t="s">
        <v>3546</v>
      </c>
      <c r="W5" s="2855"/>
      <c r="X5" s="2855"/>
      <c r="Y5" s="2855"/>
      <c r="Z5" s="2856"/>
      <c r="AA5" s="2866" t="s">
        <v>1184</v>
      </c>
      <c r="AB5" s="2867"/>
      <c r="AC5" s="2867"/>
      <c r="AD5" s="2868"/>
      <c r="AE5" s="332" t="s">
        <v>3547</v>
      </c>
      <c r="AF5" s="332" t="s">
        <v>3548</v>
      </c>
      <c r="AG5" s="2848" t="s">
        <v>1185</v>
      </c>
      <c r="AH5" s="2827"/>
      <c r="AI5" s="2827"/>
      <c r="AJ5" s="2849"/>
      <c r="AK5" s="333" t="s">
        <v>3547</v>
      </c>
      <c r="AL5" s="333" t="s">
        <v>3548</v>
      </c>
      <c r="AM5" s="2828" t="s">
        <v>1186</v>
      </c>
      <c r="AN5" s="2829"/>
      <c r="AO5" s="2829"/>
      <c r="AP5" s="2830"/>
      <c r="AQ5" s="335" t="s">
        <v>3547</v>
      </c>
      <c r="AR5" s="335" t="s">
        <v>3548</v>
      </c>
      <c r="AS5" s="2834" t="s">
        <v>1187</v>
      </c>
      <c r="AT5" s="2835"/>
      <c r="AU5" s="2835"/>
      <c r="AV5" s="2836"/>
      <c r="AW5" s="336" t="s">
        <v>3547</v>
      </c>
      <c r="AX5" s="336" t="s">
        <v>3548</v>
      </c>
      <c r="AY5" s="2843"/>
      <c r="AZ5" s="2844"/>
      <c r="BA5" s="2844"/>
      <c r="BB5" s="2844"/>
      <c r="BC5" s="2845"/>
      <c r="BD5" s="383" t="s">
        <v>1188</v>
      </c>
      <c r="BE5" s="384" t="s">
        <v>1189</v>
      </c>
      <c r="BF5" s="385"/>
    </row>
    <row r="6" spans="1:58" s="338" customFormat="1" ht="59.25" customHeight="1" x14ac:dyDescent="0.35">
      <c r="C6" s="386" t="s">
        <v>3294</v>
      </c>
      <c r="D6" s="386" t="s">
        <v>568</v>
      </c>
      <c r="E6" s="321" t="s">
        <v>1138</v>
      </c>
      <c r="F6" s="321" t="s">
        <v>1139</v>
      </c>
      <c r="G6" s="322" t="s">
        <v>1142</v>
      </c>
      <c r="H6" s="323" t="s">
        <v>1143</v>
      </c>
      <c r="I6" s="323" t="s">
        <v>1144</v>
      </c>
      <c r="J6" s="323" t="s">
        <v>1145</v>
      </c>
      <c r="K6" s="323" t="s">
        <v>1146</v>
      </c>
      <c r="L6" s="387" t="s">
        <v>1190</v>
      </c>
      <c r="M6" s="387" t="s">
        <v>1191</v>
      </c>
      <c r="N6" s="387" t="s">
        <v>1192</v>
      </c>
      <c r="O6" s="387" t="s">
        <v>1193</v>
      </c>
      <c r="P6" s="387" t="s">
        <v>1194</v>
      </c>
      <c r="Q6" s="387" t="s">
        <v>1195</v>
      </c>
      <c r="R6" s="323" t="s">
        <v>1196</v>
      </c>
      <c r="S6" s="323" t="s">
        <v>1197</v>
      </c>
      <c r="T6" s="323" t="s">
        <v>1198</v>
      </c>
      <c r="U6" s="323" t="s">
        <v>1199</v>
      </c>
      <c r="V6" s="387" t="s">
        <v>1200</v>
      </c>
      <c r="W6" s="387" t="s">
        <v>1201</v>
      </c>
      <c r="X6" s="387" t="s">
        <v>1202</v>
      </c>
      <c r="Y6" s="387" t="s">
        <v>1203</v>
      </c>
      <c r="Z6" s="387" t="s">
        <v>1204</v>
      </c>
      <c r="AA6" s="388" t="s">
        <v>1205</v>
      </c>
      <c r="AB6" s="388" t="s">
        <v>1191</v>
      </c>
      <c r="AC6" s="388" t="s">
        <v>3549</v>
      </c>
      <c r="AD6" s="388" t="s">
        <v>1206</v>
      </c>
      <c r="AE6" s="388" t="s">
        <v>1207</v>
      </c>
      <c r="AF6" s="388" t="s">
        <v>1208</v>
      </c>
      <c r="AG6" s="389" t="s">
        <v>1209</v>
      </c>
      <c r="AH6" s="389" t="s">
        <v>1191</v>
      </c>
      <c r="AI6" s="389" t="s">
        <v>1210</v>
      </c>
      <c r="AJ6" s="389" t="s">
        <v>1206</v>
      </c>
      <c r="AK6" s="389" t="s">
        <v>1211</v>
      </c>
      <c r="AL6" s="389" t="s">
        <v>1212</v>
      </c>
      <c r="AM6" s="390" t="s">
        <v>1213</v>
      </c>
      <c r="AN6" s="390" t="s">
        <v>1191</v>
      </c>
      <c r="AO6" s="390" t="s">
        <v>1214</v>
      </c>
      <c r="AP6" s="390" t="s">
        <v>1206</v>
      </c>
      <c r="AQ6" s="390" t="s">
        <v>1215</v>
      </c>
      <c r="AR6" s="390" t="s">
        <v>1216</v>
      </c>
      <c r="AS6" s="391" t="s">
        <v>1217</v>
      </c>
      <c r="AT6" s="391" t="s">
        <v>1191</v>
      </c>
      <c r="AU6" s="391" t="s">
        <v>1218</v>
      </c>
      <c r="AV6" s="391" t="s">
        <v>1206</v>
      </c>
      <c r="AW6" s="391" t="s">
        <v>1219</v>
      </c>
      <c r="AX6" s="391" t="s">
        <v>1220</v>
      </c>
      <c r="AY6" s="2174" t="s">
        <v>1221</v>
      </c>
      <c r="AZ6" s="392" t="s">
        <v>1222</v>
      </c>
      <c r="BA6" s="2175" t="s">
        <v>1223</v>
      </c>
      <c r="BB6" s="2176" t="s">
        <v>1224</v>
      </c>
      <c r="BC6" s="393" t="s">
        <v>1225</v>
      </c>
      <c r="BD6" s="394" t="s">
        <v>1226</v>
      </c>
      <c r="BE6" s="395" t="s">
        <v>1227</v>
      </c>
      <c r="BF6" s="385"/>
    </row>
    <row r="7" spans="1:58" s="409" customFormat="1" ht="32.25" customHeight="1" x14ac:dyDescent="0.35">
      <c r="A7" s="409" t="s">
        <v>3281</v>
      </c>
      <c r="B7" s="409" t="s">
        <v>3282</v>
      </c>
      <c r="C7" s="396" t="s">
        <v>1155</v>
      </c>
      <c r="D7" s="396" t="s">
        <v>1156</v>
      </c>
      <c r="E7" s="396" t="s">
        <v>1157</v>
      </c>
      <c r="F7" s="396" t="s">
        <v>1228</v>
      </c>
      <c r="G7" s="397" t="s">
        <v>1159</v>
      </c>
      <c r="H7" s="397" t="s">
        <v>1160</v>
      </c>
      <c r="I7" s="397" t="s">
        <v>1161</v>
      </c>
      <c r="J7" s="397" t="s">
        <v>1229</v>
      </c>
      <c r="K7" s="397" t="s">
        <v>1163</v>
      </c>
      <c r="L7" s="398" t="s">
        <v>1164</v>
      </c>
      <c r="M7" s="398" t="s">
        <v>1165</v>
      </c>
      <c r="N7" s="398" t="s">
        <v>1230</v>
      </c>
      <c r="O7" s="398" t="s">
        <v>1167</v>
      </c>
      <c r="P7" s="398" t="s">
        <v>1168</v>
      </c>
      <c r="Q7" s="398" t="s">
        <v>1169</v>
      </c>
      <c r="R7" s="397" t="s">
        <v>1231</v>
      </c>
      <c r="S7" s="397" t="s">
        <v>1171</v>
      </c>
      <c r="T7" s="397" t="s">
        <v>1232</v>
      </c>
      <c r="U7" s="397" t="s">
        <v>1233</v>
      </c>
      <c r="V7" s="398" t="s">
        <v>1234</v>
      </c>
      <c r="W7" s="398" t="s">
        <v>1235</v>
      </c>
      <c r="X7" s="398" t="s">
        <v>1236</v>
      </c>
      <c r="Y7" s="398" t="s">
        <v>1237</v>
      </c>
      <c r="Z7" s="398" t="s">
        <v>1238</v>
      </c>
      <c r="AA7" s="399" t="s">
        <v>1239</v>
      </c>
      <c r="AB7" s="399" t="s">
        <v>1240</v>
      </c>
      <c r="AC7" s="399" t="s">
        <v>1241</v>
      </c>
      <c r="AD7" s="399" t="s">
        <v>1242</v>
      </c>
      <c r="AE7" s="399" t="s">
        <v>1243</v>
      </c>
      <c r="AF7" s="399" t="s">
        <v>1244</v>
      </c>
      <c r="AG7" s="400" t="s">
        <v>1245</v>
      </c>
      <c r="AH7" s="400" t="s">
        <v>1246</v>
      </c>
      <c r="AI7" s="400" t="s">
        <v>1247</v>
      </c>
      <c r="AJ7" s="400" t="s">
        <v>1248</v>
      </c>
      <c r="AK7" s="400" t="s">
        <v>1249</v>
      </c>
      <c r="AL7" s="400" t="s">
        <v>1250</v>
      </c>
      <c r="AM7" s="401" t="s">
        <v>1251</v>
      </c>
      <c r="AN7" s="401" t="s">
        <v>1252</v>
      </c>
      <c r="AO7" s="401" t="s">
        <v>1253</v>
      </c>
      <c r="AP7" s="401" t="s">
        <v>1254</v>
      </c>
      <c r="AQ7" s="401" t="s">
        <v>1255</v>
      </c>
      <c r="AR7" s="402" t="s">
        <v>1256</v>
      </c>
      <c r="AS7" s="403" t="s">
        <v>1257</v>
      </c>
      <c r="AT7" s="403" t="s">
        <v>1258</v>
      </c>
      <c r="AU7" s="403" t="s">
        <v>1259</v>
      </c>
      <c r="AV7" s="403" t="s">
        <v>1260</v>
      </c>
      <c r="AW7" s="403" t="s">
        <v>1261</v>
      </c>
      <c r="AX7" s="404" t="s">
        <v>1262</v>
      </c>
      <c r="AY7" s="399" t="s">
        <v>1263</v>
      </c>
      <c r="AZ7" s="400" t="s">
        <v>1264</v>
      </c>
      <c r="BA7" s="401" t="s">
        <v>1265</v>
      </c>
      <c r="BB7" s="403" t="s">
        <v>1266</v>
      </c>
      <c r="BC7" s="405" t="s">
        <v>1267</v>
      </c>
      <c r="BD7" s="406" t="s">
        <v>1268</v>
      </c>
      <c r="BE7" s="407" t="s">
        <v>1269</v>
      </c>
      <c r="BF7" s="408"/>
    </row>
    <row r="8" spans="1:58" s="327" customFormat="1" ht="17.5" x14ac:dyDescent="0.35">
      <c r="C8" s="410"/>
      <c r="D8" s="410"/>
      <c r="E8" s="411"/>
      <c r="F8" s="410"/>
      <c r="G8" s="410"/>
      <c r="H8" s="412"/>
      <c r="I8" s="412"/>
      <c r="J8" s="412"/>
      <c r="K8" s="412"/>
      <c r="L8" s="410"/>
      <c r="M8" s="410"/>
      <c r="N8" s="413"/>
      <c r="O8" s="413"/>
      <c r="P8" s="413"/>
      <c r="Q8" s="413"/>
      <c r="R8" s="411"/>
      <c r="S8" s="411"/>
      <c r="T8" s="411"/>
      <c r="U8" s="411"/>
      <c r="V8" s="414"/>
      <c r="W8" s="414"/>
      <c r="X8" s="414"/>
      <c r="Y8" s="414"/>
      <c r="Z8" s="411"/>
      <c r="AA8" s="410"/>
      <c r="AB8" s="410"/>
      <c r="AC8" s="415"/>
      <c r="AD8" s="416"/>
      <c r="AE8" s="414"/>
      <c r="AF8" s="410"/>
      <c r="AG8" s="410"/>
      <c r="AH8" s="410"/>
      <c r="AI8" s="413"/>
      <c r="AJ8" s="416"/>
      <c r="AK8" s="414"/>
      <c r="AL8" s="410"/>
      <c r="AM8" s="410"/>
      <c r="AN8" s="410"/>
      <c r="AO8" s="413"/>
      <c r="AP8" s="416"/>
      <c r="AQ8" s="414"/>
      <c r="AR8" s="410"/>
      <c r="AS8" s="410"/>
      <c r="AT8" s="410"/>
      <c r="AU8" s="413"/>
      <c r="AV8" s="416"/>
      <c r="AW8" s="414"/>
      <c r="AX8" s="410"/>
      <c r="AY8" s="417"/>
      <c r="AZ8" s="418"/>
      <c r="BA8" s="418"/>
      <c r="BB8" s="418"/>
      <c r="BC8" s="419"/>
      <c r="BD8" s="410"/>
      <c r="BE8" s="420"/>
      <c r="BF8" s="421"/>
    </row>
    <row r="9" spans="1:58" s="327" customFormat="1" ht="18" customHeight="1" x14ac:dyDescent="0.35">
      <c r="A9" s="660">
        <v>522</v>
      </c>
      <c r="B9" s="660" t="str">
        <f>VLOOKUP($A9,'Measure Level Adjustments Tab'!$A$5:$CL$272,6,FALSE)</f>
        <v>HVAC</v>
      </c>
      <c r="C9" s="659" t="s">
        <v>20</v>
      </c>
      <c r="D9" s="659" t="s">
        <v>58</v>
      </c>
      <c r="E9" s="411">
        <f>VLOOKUP($A9,'Measure Level Adjustments Tab'!$A$5:$CL$272,13,FALSE)</f>
        <v>1</v>
      </c>
      <c r="F9" s="411" t="str">
        <f>VLOOKUP($A9,'Measure Level Adjustments Tab'!$A$5:$CL$272,11,FALSE)</f>
        <v>5.3.11</v>
      </c>
      <c r="G9" s="411">
        <f>VLOOKUP($A9,'Measure Level Adjustments Tab'!$A$5:$CL$272,14,FALSE)</f>
        <v>0</v>
      </c>
      <c r="H9" s="663">
        <f>VLOOKUP($A9,'Measure Level Adjustments Tab'!$A$5:$CL$272,54,FALSE)</f>
        <v>2412</v>
      </c>
      <c r="I9" s="663">
        <f>VLOOKUP($A9,'Measure Level Adjustments Tab'!$A$5:$CL$272,55,FALSE)</f>
        <v>2412</v>
      </c>
      <c r="J9" s="663">
        <f>VLOOKUP($A9,'Measure Level Adjustments Tab'!$A$5:$CL$272,56,FALSE)</f>
        <v>2412</v>
      </c>
      <c r="K9" s="663">
        <f>VLOOKUP($A9,'Measure Level Adjustments Tab'!$A$5:$CL$272,57,FALSE)</f>
        <v>2412</v>
      </c>
      <c r="L9" s="411" t="str">
        <f>VLOOKUP($A9,'Measure Level Adjustments Tab'!$A$5:$CL$272,12,FALSE)</f>
        <v>RS-HVC-PROG-V04-180101</v>
      </c>
      <c r="M9" s="422"/>
      <c r="N9" s="662">
        <v>53.381999999999991</v>
      </c>
      <c r="O9" s="662">
        <v>53.381999999999991</v>
      </c>
      <c r="P9" s="662">
        <v>53.381999999999991</v>
      </c>
      <c r="Q9" s="662">
        <v>53.381999999999991</v>
      </c>
      <c r="R9" s="661">
        <f>VLOOKUP($A9,'Measure Level Adjustments Tab'!$A$5:$CL$272,46,FALSE)</f>
        <v>0.87</v>
      </c>
      <c r="S9" s="661">
        <f>VLOOKUP($A9,'Measure Level Adjustments Tab'!$A$5:$CL$272,47,FALSE)</f>
        <v>0.87</v>
      </c>
      <c r="T9" s="661">
        <f>VLOOKUP($A9,'Measure Level Adjustments Tab'!$A$5:$CL$272,48,FALSE)</f>
        <v>0.87</v>
      </c>
      <c r="U9" s="661">
        <f>VLOOKUP($A9,'Measure Level Adjustments Tab'!$A$5:$CL$272,49,FALSE)</f>
        <v>0.87</v>
      </c>
      <c r="V9" s="418">
        <f>H9*N9*R9</f>
        <v>112018.92407999998</v>
      </c>
      <c r="W9" s="418">
        <f>I9*O9*S9</f>
        <v>112018.92407999998</v>
      </c>
      <c r="X9" s="418">
        <f>J9*P9*T9</f>
        <v>112018.92407999998</v>
      </c>
      <c r="Y9" s="418">
        <f>K9*Q9*U9</f>
        <v>112018.92407999998</v>
      </c>
      <c r="Z9" s="418">
        <f>V9+W9+X9+Y9</f>
        <v>448075.69631999993</v>
      </c>
      <c r="AA9" s="410"/>
      <c r="AB9" s="422"/>
      <c r="AC9" s="415">
        <v>53.381999999999991</v>
      </c>
      <c r="AD9" s="416"/>
      <c r="AE9" s="414">
        <f>H9*AC9*R9</f>
        <v>112018.92407999998</v>
      </c>
      <c r="AF9" s="412">
        <f>AE9-V9</f>
        <v>0</v>
      </c>
      <c r="AG9" s="410"/>
      <c r="AH9" s="422"/>
      <c r="AI9" s="413">
        <v>53.381999999999991</v>
      </c>
      <c r="AJ9" s="2669" t="s">
        <v>3542</v>
      </c>
      <c r="AK9" s="414">
        <f>I9*AI9*S9</f>
        <v>112018.92407999998</v>
      </c>
      <c r="AL9" s="412">
        <f>AK9-W9</f>
        <v>0</v>
      </c>
      <c r="AM9" s="410"/>
      <c r="AN9" s="422"/>
      <c r="AO9" s="413">
        <v>53.381999999999991</v>
      </c>
      <c r="AP9" s="2669" t="s">
        <v>304</v>
      </c>
      <c r="AQ9" s="414">
        <f>J9*AO9*T9</f>
        <v>112018.92407999998</v>
      </c>
      <c r="AR9" s="412">
        <f>AQ9-X9</f>
        <v>0</v>
      </c>
      <c r="AS9" s="410"/>
      <c r="AT9" s="422"/>
      <c r="AU9" s="413">
        <f>VLOOKUP($A9,'Measure Level Adjustments Tab'!$A$5:$CL$272,53,FALSE)/U9</f>
        <v>53.381999999999991</v>
      </c>
      <c r="AV9" s="2669" t="s">
        <v>304</v>
      </c>
      <c r="AW9" s="414">
        <f>K9*AU9*U9</f>
        <v>112018.92407999998</v>
      </c>
      <c r="AX9" s="412">
        <f>AW9-Y9</f>
        <v>0</v>
      </c>
      <c r="AY9" s="418">
        <f>IF(E9=1,AE9,V9)</f>
        <v>112018.92407999998</v>
      </c>
      <c r="AZ9" s="418">
        <f>IF(E9=1,AK9,W9)</f>
        <v>112018.92407999998</v>
      </c>
      <c r="BA9" s="418">
        <f>IF(E9=1,AQ9,X9)</f>
        <v>112018.92407999998</v>
      </c>
      <c r="BB9" s="418">
        <f>IF(E9=1,AW9,Y9)</f>
        <v>112018.92407999998</v>
      </c>
      <c r="BC9" s="419">
        <f>AY9+AZ9+BA9+BB9</f>
        <v>448075.69631999993</v>
      </c>
      <c r="BD9" s="410" t="s">
        <v>1271</v>
      </c>
      <c r="BE9" s="423" t="s">
        <v>1272</v>
      </c>
      <c r="BF9" s="421"/>
    </row>
    <row r="10" spans="1:58" s="327" customFormat="1" ht="18" customHeight="1" x14ac:dyDescent="0.35">
      <c r="A10" s="660">
        <v>524</v>
      </c>
      <c r="B10" s="660" t="str">
        <f>VLOOKUP($A10,'Measure Level Adjustments Tab'!$A$5:$CL$272,6,FALSE)</f>
        <v>HVAC</v>
      </c>
      <c r="C10" s="659" t="s">
        <v>20</v>
      </c>
      <c r="D10" s="659" t="s">
        <v>1935</v>
      </c>
      <c r="E10" s="411">
        <f>VLOOKUP($A10,'Measure Level Adjustments Tab'!$A$5:$CL$272,13,FALSE)</f>
        <v>1</v>
      </c>
      <c r="F10" s="411" t="str">
        <f>VLOOKUP($A10,'Measure Level Adjustments Tab'!$A$5:$CL$272,11,FALSE)</f>
        <v>5.3.16</v>
      </c>
      <c r="G10" s="411">
        <f>VLOOKUP($A10,'Measure Level Adjustments Tab'!$A$5:$CL$272,14,FALSE)</f>
        <v>0</v>
      </c>
      <c r="H10" s="663">
        <f>VLOOKUP($A10,'Measure Level Adjustments Tab'!$A$5:$CL$272,54,FALSE)</f>
        <v>1450</v>
      </c>
      <c r="I10" s="663">
        <f>VLOOKUP($A10,'Measure Level Adjustments Tab'!$A$5:$CL$272,55,FALSE)</f>
        <v>1450</v>
      </c>
      <c r="J10" s="663">
        <f>VLOOKUP($A10,'Measure Level Adjustments Tab'!$A$5:$CL$272,56,FALSE)</f>
        <v>1450</v>
      </c>
      <c r="K10" s="663">
        <f>VLOOKUP($A10,'Measure Level Adjustments Tab'!$A$5:$CL$272,57,FALSE)</f>
        <v>1450</v>
      </c>
      <c r="L10" s="411" t="str">
        <f>VLOOKUP($A10,'Measure Level Adjustments Tab'!$A$5:$CL$272,12,FALSE)</f>
        <v>RS-HVC-ADTH-V02-180101</v>
      </c>
      <c r="M10" s="422"/>
      <c r="N10" s="662">
        <v>63.71</v>
      </c>
      <c r="O10" s="662">
        <v>63.71</v>
      </c>
      <c r="P10" s="662">
        <v>63.71</v>
      </c>
      <c r="Q10" s="662">
        <v>63.71</v>
      </c>
      <c r="R10" s="661">
        <f>VLOOKUP($A10,'Measure Level Adjustments Tab'!$A$5:$CL$272,46,FALSE)</f>
        <v>0.87</v>
      </c>
      <c r="S10" s="661">
        <f>VLOOKUP($A10,'Measure Level Adjustments Tab'!$A$5:$CL$272,47,FALSE)</f>
        <v>0.87</v>
      </c>
      <c r="T10" s="661">
        <f>VLOOKUP($A10,'Measure Level Adjustments Tab'!$A$5:$CL$272,48,FALSE)</f>
        <v>0.87</v>
      </c>
      <c r="U10" s="661">
        <f>VLOOKUP($A10,'Measure Level Adjustments Tab'!$A$5:$CL$272,49,FALSE)</f>
        <v>0.87</v>
      </c>
      <c r="V10" s="418">
        <f t="shared" ref="V10:Y57" si="0">H10*N10*R10</f>
        <v>80370.164999999994</v>
      </c>
      <c r="W10" s="418">
        <f t="shared" si="0"/>
        <v>80370.164999999994</v>
      </c>
      <c r="X10" s="418">
        <f t="shared" si="0"/>
        <v>80370.164999999994</v>
      </c>
      <c r="Y10" s="418">
        <f t="shared" si="0"/>
        <v>80370.164999999994</v>
      </c>
      <c r="Z10" s="418">
        <f t="shared" ref="Z10:Z57" si="1">V10+W10+X10+Y10</f>
        <v>321480.65999999997</v>
      </c>
      <c r="AA10" s="410"/>
      <c r="AB10" s="422"/>
      <c r="AC10" s="415">
        <v>63.71</v>
      </c>
      <c r="AD10" s="416"/>
      <c r="AE10" s="414">
        <f t="shared" ref="AE10:AE57" si="2">H10*AC10*R10</f>
        <v>80370.164999999994</v>
      </c>
      <c r="AF10" s="412">
        <f t="shared" ref="AF10:AF57" si="3">AE10-V10</f>
        <v>0</v>
      </c>
      <c r="AG10" s="410"/>
      <c r="AH10" s="422"/>
      <c r="AI10" s="413">
        <v>63.71</v>
      </c>
      <c r="AJ10" s="2669" t="s">
        <v>3508</v>
      </c>
      <c r="AK10" s="414">
        <f t="shared" ref="AK10:AK57" si="4">I10*AI10*S10</f>
        <v>80370.164999999994</v>
      </c>
      <c r="AL10" s="412">
        <f t="shared" ref="AL10:AL57" si="5">AK10-W10</f>
        <v>0</v>
      </c>
      <c r="AM10" s="410"/>
      <c r="AN10" s="422"/>
      <c r="AO10" s="413">
        <v>63.71</v>
      </c>
      <c r="AP10" s="2669" t="s">
        <v>304</v>
      </c>
      <c r="AQ10" s="414">
        <f t="shared" ref="AQ10:AQ57" si="6">J10*AO10*T10</f>
        <v>80370.164999999994</v>
      </c>
      <c r="AR10" s="412">
        <f t="shared" ref="AR10:AR57" si="7">AQ10-X10</f>
        <v>0</v>
      </c>
      <c r="AS10" s="410"/>
      <c r="AT10" s="422"/>
      <c r="AU10" s="413">
        <f>VLOOKUP($A10,'Measure Level Adjustments Tab'!$A$5:$CL$272,53,FALSE)/U10</f>
        <v>74.050000000000011</v>
      </c>
      <c r="AV10" s="2669" t="s">
        <v>4216</v>
      </c>
      <c r="AW10" s="414">
        <f t="shared" ref="AW10:AW55" si="8">K10*AU10*U10</f>
        <v>93414.075000000012</v>
      </c>
      <c r="AX10" s="412">
        <f t="shared" ref="AX10:AX57" si="9">AW10-Y10</f>
        <v>13043.910000000018</v>
      </c>
      <c r="AY10" s="418">
        <f t="shared" ref="AY10:AY57" si="10">IF(E10=1,AE10,V10)</f>
        <v>80370.164999999994</v>
      </c>
      <c r="AZ10" s="418">
        <f t="shared" ref="AZ10:AZ57" si="11">IF(E10=1,AK10,W10)</f>
        <v>80370.164999999994</v>
      </c>
      <c r="BA10" s="418">
        <f t="shared" ref="BA10:BA57" si="12">IF(E10=1,AQ10,X10)</f>
        <v>80370.164999999994</v>
      </c>
      <c r="BB10" s="418">
        <f t="shared" ref="BB10:BB57" si="13">IF(E10=1,AW10,Y10)</f>
        <v>93414.075000000012</v>
      </c>
      <c r="BC10" s="419">
        <f t="shared" ref="BC10:BC57" si="14">AY10+AZ10+BA10+BB10</f>
        <v>334524.57</v>
      </c>
      <c r="BD10" s="410" t="s">
        <v>1271</v>
      </c>
      <c r="BE10" s="423" t="s">
        <v>1272</v>
      </c>
      <c r="BF10" s="421"/>
    </row>
    <row r="11" spans="1:58" s="327" customFormat="1" ht="18" customHeight="1" x14ac:dyDescent="0.35">
      <c r="A11" s="660">
        <v>843</v>
      </c>
      <c r="B11" s="660" t="str">
        <f>VLOOKUP($A11,'Measure Level Adjustments Tab'!$A$5:$CL$272,6,FALSE)</f>
        <v>Multifamily</v>
      </c>
      <c r="C11" s="659" t="s">
        <v>8</v>
      </c>
      <c r="D11" s="659" t="s">
        <v>18</v>
      </c>
      <c r="E11" s="411">
        <f>VLOOKUP($A11,'Measure Level Adjustments Tab'!$A$5:$CL$272,13,FALSE)</f>
        <v>1</v>
      </c>
      <c r="F11" s="411" t="str">
        <f>VLOOKUP($A11,'Measure Level Adjustments Tab'!$A$5:$CL$272,11,FALSE)</f>
        <v>5.4.5</v>
      </c>
      <c r="G11" s="411">
        <f>VLOOKUP($A11,'Measure Level Adjustments Tab'!$A$5:$CL$272,14,FALSE)</f>
        <v>0</v>
      </c>
      <c r="H11" s="663">
        <f>VLOOKUP($A11,'Measure Level Adjustments Tab'!$A$5:$CL$272,54,FALSE)</f>
        <v>2287</v>
      </c>
      <c r="I11" s="663">
        <f>VLOOKUP($A11,'Measure Level Adjustments Tab'!$A$5:$CL$272,55,FALSE)</f>
        <v>2287</v>
      </c>
      <c r="J11" s="663">
        <f>VLOOKUP($A11,'Measure Level Adjustments Tab'!$A$5:$CL$272,56,FALSE)</f>
        <v>2634</v>
      </c>
      <c r="K11" s="663">
        <f>VLOOKUP($A11,'Measure Level Adjustments Tab'!$A$5:$CL$272,57,FALSE)</f>
        <v>2634</v>
      </c>
      <c r="L11" s="411" t="str">
        <f>VLOOKUP($A11,'Measure Level Adjustments Tab'!$A$5:$CL$272,12,FALSE)</f>
        <v>RS-HWE-LFSH-V05-180101</v>
      </c>
      <c r="M11" s="422"/>
      <c r="N11" s="662">
        <v>14.07</v>
      </c>
      <c r="O11" s="662">
        <v>14.07</v>
      </c>
      <c r="P11" s="662">
        <v>14.07</v>
      </c>
      <c r="Q11" s="662">
        <v>14.07</v>
      </c>
      <c r="R11" s="661">
        <f>VLOOKUP($A11,'Measure Level Adjustments Tab'!$A$5:$CL$272,46,FALSE)</f>
        <v>1</v>
      </c>
      <c r="S11" s="661">
        <f>VLOOKUP($A11,'Measure Level Adjustments Tab'!$A$5:$CL$272,47,FALSE)</f>
        <v>1</v>
      </c>
      <c r="T11" s="661">
        <f>VLOOKUP($A11,'Measure Level Adjustments Tab'!$A$5:$CL$272,48,FALSE)</f>
        <v>1</v>
      </c>
      <c r="U11" s="661">
        <f>VLOOKUP($A11,'Measure Level Adjustments Tab'!$A$5:$CL$272,49,FALSE)</f>
        <v>1</v>
      </c>
      <c r="V11" s="418">
        <f t="shared" si="0"/>
        <v>32178.09</v>
      </c>
      <c r="W11" s="418">
        <f t="shared" si="0"/>
        <v>32178.09</v>
      </c>
      <c r="X11" s="418">
        <f t="shared" si="0"/>
        <v>37060.379999999997</v>
      </c>
      <c r="Y11" s="418">
        <f t="shared" si="0"/>
        <v>37060.379999999997</v>
      </c>
      <c r="Z11" s="418">
        <f t="shared" si="1"/>
        <v>138476.94</v>
      </c>
      <c r="AA11" s="410"/>
      <c r="AB11" s="422"/>
      <c r="AC11" s="415">
        <v>14.07</v>
      </c>
      <c r="AD11" s="416"/>
      <c r="AE11" s="414">
        <f t="shared" si="2"/>
        <v>32178.09</v>
      </c>
      <c r="AF11" s="412">
        <f t="shared" si="3"/>
        <v>0</v>
      </c>
      <c r="AG11" s="410"/>
      <c r="AH11" s="422"/>
      <c r="AI11" s="413">
        <v>7.49</v>
      </c>
      <c r="AJ11" s="2669" t="s">
        <v>3516</v>
      </c>
      <c r="AK11" s="414">
        <f t="shared" si="4"/>
        <v>17129.63</v>
      </c>
      <c r="AL11" s="412">
        <f t="shared" si="5"/>
        <v>-15048.46</v>
      </c>
      <c r="AM11" s="410"/>
      <c r="AN11" s="422"/>
      <c r="AO11" s="413">
        <v>7.49</v>
      </c>
      <c r="AP11" s="2669" t="s">
        <v>304</v>
      </c>
      <c r="AQ11" s="414">
        <f t="shared" si="6"/>
        <v>19728.66</v>
      </c>
      <c r="AR11" s="412">
        <f t="shared" si="7"/>
        <v>-17331.719999999998</v>
      </c>
      <c r="AS11" s="410"/>
      <c r="AT11" s="422"/>
      <c r="AU11" s="413">
        <f>VLOOKUP($A11,'Measure Level Adjustments Tab'!$A$5:$CL$272,53,FALSE)/U11</f>
        <v>7.49</v>
      </c>
      <c r="AV11" s="2669" t="s">
        <v>304</v>
      </c>
      <c r="AW11" s="414">
        <f t="shared" si="8"/>
        <v>19728.66</v>
      </c>
      <c r="AX11" s="412">
        <f t="shared" si="9"/>
        <v>-17331.719999999998</v>
      </c>
      <c r="AY11" s="418">
        <f t="shared" si="10"/>
        <v>32178.09</v>
      </c>
      <c r="AZ11" s="418">
        <f t="shared" si="11"/>
        <v>17129.63</v>
      </c>
      <c r="BA11" s="418">
        <f t="shared" si="12"/>
        <v>19728.66</v>
      </c>
      <c r="BB11" s="418">
        <f t="shared" si="13"/>
        <v>19728.66</v>
      </c>
      <c r="BC11" s="419">
        <f t="shared" si="14"/>
        <v>88765.040000000008</v>
      </c>
      <c r="BD11" s="410" t="s">
        <v>1271</v>
      </c>
      <c r="BE11" s="423" t="s">
        <v>1272</v>
      </c>
      <c r="BF11" s="421"/>
    </row>
    <row r="12" spans="1:58" s="327" customFormat="1" ht="18" customHeight="1" x14ac:dyDescent="0.35">
      <c r="A12" s="660">
        <v>841</v>
      </c>
      <c r="B12" s="660" t="str">
        <f>VLOOKUP($A12,'Measure Level Adjustments Tab'!$A$5:$CL$272,6,FALSE)</f>
        <v>Multifamily</v>
      </c>
      <c r="C12" s="659" t="s">
        <v>8</v>
      </c>
      <c r="D12" s="659" t="s">
        <v>19</v>
      </c>
      <c r="E12" s="411">
        <f>VLOOKUP($A12,'Measure Level Adjustments Tab'!$A$5:$CL$272,13,FALSE)</f>
        <v>1</v>
      </c>
      <c r="F12" s="411" t="str">
        <f>VLOOKUP($A12,'Measure Level Adjustments Tab'!$A$5:$CL$272,11,FALSE)</f>
        <v>5.4.4</v>
      </c>
      <c r="G12" s="411">
        <f>VLOOKUP($A12,'Measure Level Adjustments Tab'!$A$5:$CL$272,14,FALSE)</f>
        <v>0</v>
      </c>
      <c r="H12" s="663">
        <f>VLOOKUP($A12,'Measure Level Adjustments Tab'!$A$5:$CL$272,54,FALSE)</f>
        <v>4574</v>
      </c>
      <c r="I12" s="663">
        <f>VLOOKUP($A12,'Measure Level Adjustments Tab'!$A$5:$CL$272,55,FALSE)</f>
        <v>4574</v>
      </c>
      <c r="J12" s="663">
        <f>VLOOKUP($A12,'Measure Level Adjustments Tab'!$A$5:$CL$272,56,FALSE)</f>
        <v>5268</v>
      </c>
      <c r="K12" s="663">
        <f>VLOOKUP($A12,'Measure Level Adjustments Tab'!$A$5:$CL$272,57,FALSE)</f>
        <v>5268</v>
      </c>
      <c r="L12" s="411" t="str">
        <f>VLOOKUP($A12,'Measure Level Adjustments Tab'!$A$5:$CL$272,12,FALSE)</f>
        <v>RS-HWE-LFFA-V06-180101</v>
      </c>
      <c r="M12" s="422"/>
      <c r="N12" s="662">
        <v>3.22</v>
      </c>
      <c r="O12" s="662">
        <v>3.22</v>
      </c>
      <c r="P12" s="662">
        <v>3.22</v>
      </c>
      <c r="Q12" s="662">
        <v>3.22</v>
      </c>
      <c r="R12" s="661">
        <f>VLOOKUP($A12,'Measure Level Adjustments Tab'!$A$5:$CL$272,46,FALSE)</f>
        <v>1</v>
      </c>
      <c r="S12" s="661">
        <f>VLOOKUP($A12,'Measure Level Adjustments Tab'!$A$5:$CL$272,47,FALSE)</f>
        <v>1</v>
      </c>
      <c r="T12" s="661">
        <f>VLOOKUP($A12,'Measure Level Adjustments Tab'!$A$5:$CL$272,48,FALSE)</f>
        <v>1</v>
      </c>
      <c r="U12" s="661">
        <f>VLOOKUP($A12,'Measure Level Adjustments Tab'!$A$5:$CL$272,49,FALSE)</f>
        <v>1</v>
      </c>
      <c r="V12" s="418">
        <f t="shared" si="0"/>
        <v>14728.28</v>
      </c>
      <c r="W12" s="418">
        <f t="shared" si="0"/>
        <v>14728.28</v>
      </c>
      <c r="X12" s="418">
        <f t="shared" si="0"/>
        <v>16962.960000000003</v>
      </c>
      <c r="Y12" s="418">
        <f t="shared" si="0"/>
        <v>16962.960000000003</v>
      </c>
      <c r="Z12" s="418">
        <f t="shared" si="1"/>
        <v>63382.48000000001</v>
      </c>
      <c r="AA12" s="410"/>
      <c r="AB12" s="422"/>
      <c r="AC12" s="415">
        <v>3.22</v>
      </c>
      <c r="AD12" s="416"/>
      <c r="AE12" s="414">
        <f t="shared" si="2"/>
        <v>14728.28</v>
      </c>
      <c r="AF12" s="412">
        <f t="shared" si="3"/>
        <v>0</v>
      </c>
      <c r="AG12" s="410"/>
      <c r="AH12" s="422"/>
      <c r="AI12" s="413">
        <v>4.58</v>
      </c>
      <c r="AJ12" s="2669" t="s">
        <v>3514</v>
      </c>
      <c r="AK12" s="414">
        <f t="shared" si="4"/>
        <v>20948.920000000002</v>
      </c>
      <c r="AL12" s="412">
        <f t="shared" si="5"/>
        <v>6220.6400000000012</v>
      </c>
      <c r="AM12" s="410"/>
      <c r="AN12" s="422"/>
      <c r="AO12" s="413">
        <v>4.58</v>
      </c>
      <c r="AP12" s="2669" t="s">
        <v>304</v>
      </c>
      <c r="AQ12" s="414">
        <f t="shared" si="6"/>
        <v>24127.439999999999</v>
      </c>
      <c r="AR12" s="412">
        <f t="shared" si="7"/>
        <v>7164.4799999999959</v>
      </c>
      <c r="AS12" s="410"/>
      <c r="AT12" s="422"/>
      <c r="AU12" s="413">
        <f>VLOOKUP($A12,'Measure Level Adjustments Tab'!$A$5:$CL$272,53,FALSE)/U12</f>
        <v>4.58</v>
      </c>
      <c r="AV12" s="2669" t="s">
        <v>304</v>
      </c>
      <c r="AW12" s="414">
        <f t="shared" si="8"/>
        <v>24127.439999999999</v>
      </c>
      <c r="AX12" s="412">
        <f t="shared" si="9"/>
        <v>7164.4799999999959</v>
      </c>
      <c r="AY12" s="418">
        <f t="shared" si="10"/>
        <v>14728.28</v>
      </c>
      <c r="AZ12" s="418">
        <f t="shared" si="11"/>
        <v>20948.920000000002</v>
      </c>
      <c r="BA12" s="418">
        <f t="shared" si="12"/>
        <v>24127.439999999999</v>
      </c>
      <c r="BB12" s="418">
        <f t="shared" si="13"/>
        <v>24127.439999999999</v>
      </c>
      <c r="BC12" s="419">
        <f t="shared" si="14"/>
        <v>83932.08</v>
      </c>
      <c r="BD12" s="410" t="s">
        <v>1271</v>
      </c>
      <c r="BE12" s="423" t="s">
        <v>1272</v>
      </c>
      <c r="BF12" s="421"/>
    </row>
    <row r="13" spans="1:58" s="327" customFormat="1" ht="18" customHeight="1" x14ac:dyDescent="0.35">
      <c r="A13" s="660">
        <v>820</v>
      </c>
      <c r="B13" s="660" t="str">
        <f>VLOOKUP($A13,'Measure Level Adjustments Tab'!$A$5:$CL$272,6,FALSE)</f>
        <v>Multifamily</v>
      </c>
      <c r="C13" s="659" t="s">
        <v>8</v>
      </c>
      <c r="D13" s="659" t="s">
        <v>22</v>
      </c>
      <c r="E13" s="411">
        <f>VLOOKUP($A13,'Measure Level Adjustments Tab'!$A$5:$CL$272,13,FALSE)</f>
        <v>1</v>
      </c>
      <c r="F13" s="411" t="str">
        <f>VLOOKUP($A13,'Measure Level Adjustments Tab'!$A$5:$CL$272,11,FALSE)</f>
        <v>5.3.11</v>
      </c>
      <c r="G13" s="411">
        <f>VLOOKUP($A13,'Measure Level Adjustments Tab'!$A$5:$CL$272,14,FALSE)</f>
        <v>0</v>
      </c>
      <c r="H13" s="663">
        <f>VLOOKUP($A13,'Measure Level Adjustments Tab'!$A$5:$CL$272,54,FALSE)</f>
        <v>794</v>
      </c>
      <c r="I13" s="663">
        <f>VLOOKUP($A13,'Measure Level Adjustments Tab'!$A$5:$CL$272,55,FALSE)</f>
        <v>794</v>
      </c>
      <c r="J13" s="663">
        <f>VLOOKUP($A13,'Measure Level Adjustments Tab'!$A$5:$CL$272,56,FALSE)</f>
        <v>915</v>
      </c>
      <c r="K13" s="663">
        <f>VLOOKUP($A13,'Measure Level Adjustments Tab'!$A$5:$CL$272,57,FALSE)</f>
        <v>915</v>
      </c>
      <c r="L13" s="411" t="str">
        <f>VLOOKUP($A13,'Measure Level Adjustments Tab'!$A$5:$CL$272,12,FALSE)</f>
        <v>RS-HVC-PROG-V04-180101</v>
      </c>
      <c r="M13" s="422"/>
      <c r="N13" s="662">
        <v>34.698300000000003</v>
      </c>
      <c r="O13" s="662">
        <v>34.698300000000003</v>
      </c>
      <c r="P13" s="662">
        <v>34.698300000000003</v>
      </c>
      <c r="Q13" s="662">
        <v>34.698300000000003</v>
      </c>
      <c r="R13" s="661">
        <f>VLOOKUP($A13,'Measure Level Adjustments Tab'!$A$5:$CL$272,46,FALSE)</f>
        <v>1</v>
      </c>
      <c r="S13" s="661">
        <f>VLOOKUP($A13,'Measure Level Adjustments Tab'!$A$5:$CL$272,47,FALSE)</f>
        <v>1</v>
      </c>
      <c r="T13" s="661">
        <f>VLOOKUP($A13,'Measure Level Adjustments Tab'!$A$5:$CL$272,48,FALSE)</f>
        <v>1</v>
      </c>
      <c r="U13" s="661">
        <f>VLOOKUP($A13,'Measure Level Adjustments Tab'!$A$5:$CL$272,49,FALSE)</f>
        <v>1</v>
      </c>
      <c r="V13" s="418">
        <f t="shared" si="0"/>
        <v>27550.450200000003</v>
      </c>
      <c r="W13" s="418">
        <f t="shared" si="0"/>
        <v>27550.450200000003</v>
      </c>
      <c r="X13" s="418">
        <f t="shared" si="0"/>
        <v>31748.944500000001</v>
      </c>
      <c r="Y13" s="418">
        <f t="shared" si="0"/>
        <v>31748.944500000001</v>
      </c>
      <c r="Z13" s="418">
        <f t="shared" si="1"/>
        <v>118598.78940000001</v>
      </c>
      <c r="AA13" s="410"/>
      <c r="AB13" s="422"/>
      <c r="AC13" s="415">
        <v>34.698300000000003</v>
      </c>
      <c r="AD13" s="416"/>
      <c r="AE13" s="414">
        <f t="shared" si="2"/>
        <v>27550.450200000003</v>
      </c>
      <c r="AF13" s="412">
        <f t="shared" si="3"/>
        <v>0</v>
      </c>
      <c r="AG13" s="410"/>
      <c r="AH13" s="422"/>
      <c r="AI13" s="413">
        <v>34.698300000000003</v>
      </c>
      <c r="AJ13" s="2669" t="s">
        <v>3542</v>
      </c>
      <c r="AK13" s="414">
        <f t="shared" si="4"/>
        <v>27550.450200000003</v>
      </c>
      <c r="AL13" s="412">
        <f t="shared" si="5"/>
        <v>0</v>
      </c>
      <c r="AM13" s="410"/>
      <c r="AN13" s="422"/>
      <c r="AO13" s="413">
        <v>34.698300000000003</v>
      </c>
      <c r="AP13" s="2669" t="s">
        <v>304</v>
      </c>
      <c r="AQ13" s="414">
        <f t="shared" si="6"/>
        <v>31748.944500000001</v>
      </c>
      <c r="AR13" s="412">
        <f t="shared" si="7"/>
        <v>0</v>
      </c>
      <c r="AS13" s="410"/>
      <c r="AT13" s="422"/>
      <c r="AU13" s="413">
        <f>VLOOKUP($A13,'Measure Level Adjustments Tab'!$A$5:$CL$272,53,FALSE)/U13</f>
        <v>34.698300000000003</v>
      </c>
      <c r="AV13" s="2669" t="s">
        <v>304</v>
      </c>
      <c r="AW13" s="414">
        <f t="shared" si="8"/>
        <v>31748.944500000001</v>
      </c>
      <c r="AX13" s="412">
        <f t="shared" si="9"/>
        <v>0</v>
      </c>
      <c r="AY13" s="418">
        <f t="shared" si="10"/>
        <v>27550.450200000003</v>
      </c>
      <c r="AZ13" s="418">
        <f t="shared" si="11"/>
        <v>27550.450200000003</v>
      </c>
      <c r="BA13" s="418">
        <f t="shared" si="12"/>
        <v>31748.944500000001</v>
      </c>
      <c r="BB13" s="418">
        <f t="shared" si="13"/>
        <v>31748.944500000001</v>
      </c>
      <c r="BC13" s="419">
        <f t="shared" si="14"/>
        <v>118598.78940000001</v>
      </c>
      <c r="BD13" s="410" t="s">
        <v>1271</v>
      </c>
      <c r="BE13" s="423" t="s">
        <v>1272</v>
      </c>
      <c r="BF13" s="421"/>
    </row>
    <row r="14" spans="1:58" s="327" customFormat="1" ht="18" customHeight="1" x14ac:dyDescent="0.35">
      <c r="A14" s="660">
        <v>838</v>
      </c>
      <c r="B14" s="660" t="str">
        <f>VLOOKUP($A14,'Measure Level Adjustments Tab'!$A$5:$CL$272,6,FALSE)</f>
        <v>Multifamily</v>
      </c>
      <c r="C14" s="659" t="s">
        <v>8</v>
      </c>
      <c r="D14" s="659" t="s">
        <v>54</v>
      </c>
      <c r="E14" s="411">
        <f>VLOOKUP($A14,'Measure Level Adjustments Tab'!$A$5:$CL$272,13,FALSE)</f>
        <v>1</v>
      </c>
      <c r="F14" s="411" t="str">
        <f>VLOOKUP($A14,'Measure Level Adjustments Tab'!$A$5:$CL$272,11,FALSE)</f>
        <v>5.4.1</v>
      </c>
      <c r="G14" s="411">
        <f>VLOOKUP($A14,'Measure Level Adjustments Tab'!$A$5:$CL$272,14,FALSE)</f>
        <v>0</v>
      </c>
      <c r="H14" s="663">
        <f>VLOOKUP($A14,'Measure Level Adjustments Tab'!$A$5:$CL$272,54,FALSE)</f>
        <v>1060</v>
      </c>
      <c r="I14" s="663">
        <f>VLOOKUP($A14,'Measure Level Adjustments Tab'!$A$5:$CL$272,55,FALSE)</f>
        <v>1060</v>
      </c>
      <c r="J14" s="663">
        <f>VLOOKUP($A14,'Measure Level Adjustments Tab'!$A$5:$CL$272,56,FALSE)</f>
        <v>1643</v>
      </c>
      <c r="K14" s="663">
        <f>VLOOKUP($A14,'Measure Level Adjustments Tab'!$A$5:$CL$272,57,FALSE)</f>
        <v>1643</v>
      </c>
      <c r="L14" s="411" t="str">
        <f>VLOOKUP($A14,'Measure Level Adjustments Tab'!$A$5:$CL$272,12,FALSE)</f>
        <v>RS-HWE-PINS-V02-150601</v>
      </c>
      <c r="M14" s="422"/>
      <c r="N14" s="662">
        <v>5.2865723076923077</v>
      </c>
      <c r="O14" s="662">
        <v>5.2865723076923077</v>
      </c>
      <c r="P14" s="662">
        <v>5.2865723076923077</v>
      </c>
      <c r="Q14" s="662">
        <v>5.2865723076923077</v>
      </c>
      <c r="R14" s="661">
        <f>VLOOKUP($A14,'Measure Level Adjustments Tab'!$A$5:$CL$272,46,FALSE)</f>
        <v>0.70700000000000007</v>
      </c>
      <c r="S14" s="661">
        <f>VLOOKUP($A14,'Measure Level Adjustments Tab'!$A$5:$CL$272,47,FALSE)</f>
        <v>0.70700000000000007</v>
      </c>
      <c r="T14" s="661">
        <f>VLOOKUP($A14,'Measure Level Adjustments Tab'!$A$5:$CL$272,48,FALSE)</f>
        <v>0.70700000000000007</v>
      </c>
      <c r="U14" s="661">
        <f>VLOOKUP($A14,'Measure Level Adjustments Tab'!$A$5:$CL$272,49,FALSE)</f>
        <v>0.70700000000000007</v>
      </c>
      <c r="V14" s="418">
        <f t="shared" si="0"/>
        <v>3961.8630188307698</v>
      </c>
      <c r="W14" s="418">
        <f t="shared" si="0"/>
        <v>3961.8630188307698</v>
      </c>
      <c r="X14" s="418">
        <f t="shared" si="0"/>
        <v>6140.8876791876919</v>
      </c>
      <c r="Y14" s="418">
        <f t="shared" si="0"/>
        <v>6140.8876791876919</v>
      </c>
      <c r="Z14" s="418">
        <f t="shared" si="1"/>
        <v>20205.501396036925</v>
      </c>
      <c r="AA14" s="410"/>
      <c r="AB14" s="422"/>
      <c r="AC14" s="415">
        <v>5.2865723076923077</v>
      </c>
      <c r="AD14" s="416"/>
      <c r="AE14" s="414">
        <f t="shared" si="2"/>
        <v>3961.8630188307698</v>
      </c>
      <c r="AF14" s="412">
        <f t="shared" si="3"/>
        <v>0</v>
      </c>
      <c r="AG14" s="410"/>
      <c r="AH14" s="422"/>
      <c r="AI14" s="413">
        <v>4.4032292307692309</v>
      </c>
      <c r="AJ14" s="2669" t="s">
        <v>3510</v>
      </c>
      <c r="AK14" s="414">
        <f t="shared" si="4"/>
        <v>3299.8680501230774</v>
      </c>
      <c r="AL14" s="412">
        <f t="shared" si="5"/>
        <v>-661.99496870769235</v>
      </c>
      <c r="AM14" s="410"/>
      <c r="AN14" s="422"/>
      <c r="AO14" s="413">
        <v>4.4032292307692309</v>
      </c>
      <c r="AP14" s="2669" t="s">
        <v>304</v>
      </c>
      <c r="AQ14" s="414">
        <f t="shared" si="6"/>
        <v>5114.79547769077</v>
      </c>
      <c r="AR14" s="412">
        <f t="shared" si="7"/>
        <v>-1026.0922014969219</v>
      </c>
      <c r="AS14" s="410"/>
      <c r="AT14" s="422"/>
      <c r="AU14" s="413">
        <f>VLOOKUP($A14,'Measure Level Adjustments Tab'!$A$5:$CL$272,53,FALSE)/U14</f>
        <v>4.4032292307692309</v>
      </c>
      <c r="AV14" s="2669" t="s">
        <v>304</v>
      </c>
      <c r="AW14" s="414">
        <f t="shared" si="8"/>
        <v>5114.79547769077</v>
      </c>
      <c r="AX14" s="412">
        <f t="shared" si="9"/>
        <v>-1026.0922014969219</v>
      </c>
      <c r="AY14" s="418">
        <f t="shared" si="10"/>
        <v>3961.8630188307698</v>
      </c>
      <c r="AZ14" s="418">
        <f t="shared" si="11"/>
        <v>3299.8680501230774</v>
      </c>
      <c r="BA14" s="418">
        <f t="shared" si="12"/>
        <v>5114.79547769077</v>
      </c>
      <c r="BB14" s="418">
        <f t="shared" si="13"/>
        <v>5114.79547769077</v>
      </c>
      <c r="BC14" s="419">
        <f t="shared" si="14"/>
        <v>17491.322024335386</v>
      </c>
      <c r="BD14" s="410" t="s">
        <v>1271</v>
      </c>
      <c r="BE14" s="423" t="s">
        <v>1272</v>
      </c>
      <c r="BF14" s="421"/>
    </row>
    <row r="15" spans="1:58" s="327" customFormat="1" ht="18" customHeight="1" x14ac:dyDescent="0.35">
      <c r="A15" s="660">
        <v>499</v>
      </c>
      <c r="B15" s="660" t="str">
        <f>VLOOKUP($A15,'Measure Level Adjustments Tab'!$A$5:$CL$272,6,FALSE)</f>
        <v>Direct Distribution of Efficient Products</v>
      </c>
      <c r="C15" s="659" t="s">
        <v>33</v>
      </c>
      <c r="D15" s="659" t="s">
        <v>39</v>
      </c>
      <c r="E15" s="411">
        <f>VLOOKUP($A15,'Measure Level Adjustments Tab'!$A$5:$CL$272,13,FALSE)</f>
        <v>1</v>
      </c>
      <c r="F15" s="411" t="str">
        <f>VLOOKUP($A15,'Measure Level Adjustments Tab'!$A$5:$CL$272,11,FALSE)</f>
        <v>5.4.5</v>
      </c>
      <c r="G15" s="411">
        <f>VLOOKUP($A15,'Measure Level Adjustments Tab'!$A$5:$CL$272,14,FALSE)</f>
        <v>0</v>
      </c>
      <c r="H15" s="663">
        <f>VLOOKUP($A15,'Measure Level Adjustments Tab'!$A$5:$CL$272,54,FALSE)</f>
        <v>6300</v>
      </c>
      <c r="I15" s="663">
        <f>VLOOKUP($A15,'Measure Level Adjustments Tab'!$A$5:$CL$272,55,FALSE)</f>
        <v>6300</v>
      </c>
      <c r="J15" s="663">
        <f>VLOOKUP($A15,'Measure Level Adjustments Tab'!$A$5:$CL$272,56,FALSE)</f>
        <v>6300</v>
      </c>
      <c r="K15" s="663">
        <f>VLOOKUP($A15,'Measure Level Adjustments Tab'!$A$5:$CL$272,57,FALSE)</f>
        <v>6300</v>
      </c>
      <c r="L15" s="411" t="str">
        <f>VLOOKUP($A15,'Measure Level Adjustments Tab'!$A$5:$CL$272,12,FALSE)</f>
        <v>RS-HWE-LFSH-V05-180101</v>
      </c>
      <c r="M15" s="422"/>
      <c r="N15" s="662">
        <v>3.38</v>
      </c>
      <c r="O15" s="662">
        <v>3.38</v>
      </c>
      <c r="P15" s="662">
        <v>3.38</v>
      </c>
      <c r="Q15" s="662">
        <v>3.38</v>
      </c>
      <c r="R15" s="661">
        <f>VLOOKUP($A15,'Measure Level Adjustments Tab'!$A$5:$CL$272,46,FALSE)</f>
        <v>1.05</v>
      </c>
      <c r="S15" s="661">
        <f>VLOOKUP($A15,'Measure Level Adjustments Tab'!$A$5:$CL$272,47,FALSE)</f>
        <v>1.05</v>
      </c>
      <c r="T15" s="661">
        <f>VLOOKUP($A15,'Measure Level Adjustments Tab'!$A$5:$CL$272,48,FALSE)</f>
        <v>1.05</v>
      </c>
      <c r="U15" s="661">
        <f>VLOOKUP($A15,'Measure Level Adjustments Tab'!$A$5:$CL$272,49,FALSE)</f>
        <v>1.05</v>
      </c>
      <c r="V15" s="418">
        <f t="shared" si="0"/>
        <v>22358.7</v>
      </c>
      <c r="W15" s="418">
        <f t="shared" si="0"/>
        <v>22358.7</v>
      </c>
      <c r="X15" s="418">
        <f t="shared" si="0"/>
        <v>22358.7</v>
      </c>
      <c r="Y15" s="418">
        <f t="shared" si="0"/>
        <v>22358.7</v>
      </c>
      <c r="Z15" s="418">
        <f t="shared" si="1"/>
        <v>89434.8</v>
      </c>
      <c r="AA15" s="410"/>
      <c r="AB15" s="422"/>
      <c r="AC15" s="415">
        <v>3.38</v>
      </c>
      <c r="AD15" s="416"/>
      <c r="AE15" s="414">
        <f t="shared" si="2"/>
        <v>22358.7</v>
      </c>
      <c r="AF15" s="412">
        <f t="shared" si="3"/>
        <v>0</v>
      </c>
      <c r="AG15" s="410"/>
      <c r="AH15" s="422"/>
      <c r="AI15" s="413">
        <v>3.38</v>
      </c>
      <c r="AJ15" s="2669" t="s">
        <v>3516</v>
      </c>
      <c r="AK15" s="414">
        <f t="shared" si="4"/>
        <v>22358.7</v>
      </c>
      <c r="AL15" s="412">
        <f t="shared" si="5"/>
        <v>0</v>
      </c>
      <c r="AM15" s="410"/>
      <c r="AN15" s="422"/>
      <c r="AO15" s="413">
        <v>1.84</v>
      </c>
      <c r="AP15" s="2669" t="s">
        <v>4324</v>
      </c>
      <c r="AQ15" s="414">
        <f t="shared" si="6"/>
        <v>12171.6</v>
      </c>
      <c r="AR15" s="412">
        <f t="shared" si="7"/>
        <v>-10187.1</v>
      </c>
      <c r="AS15" s="410"/>
      <c r="AT15" s="422"/>
      <c r="AU15" s="413">
        <f>VLOOKUP($A15,'Measure Level Adjustments Tab'!$A$5:$CL$272,53,FALSE)/U15</f>
        <v>1.84</v>
      </c>
      <c r="AV15" s="2669" t="s">
        <v>304</v>
      </c>
      <c r="AW15" s="414">
        <f t="shared" si="8"/>
        <v>12171.6</v>
      </c>
      <c r="AX15" s="412">
        <f t="shared" si="9"/>
        <v>-10187.1</v>
      </c>
      <c r="AY15" s="418">
        <f t="shared" si="10"/>
        <v>22358.7</v>
      </c>
      <c r="AZ15" s="418">
        <f t="shared" si="11"/>
        <v>22358.7</v>
      </c>
      <c r="BA15" s="418">
        <f t="shared" si="12"/>
        <v>12171.6</v>
      </c>
      <c r="BB15" s="418">
        <f t="shared" si="13"/>
        <v>12171.6</v>
      </c>
      <c r="BC15" s="419">
        <f t="shared" si="14"/>
        <v>69060.600000000006</v>
      </c>
      <c r="BD15" s="410" t="s">
        <v>1271</v>
      </c>
      <c r="BE15" s="423" t="s">
        <v>1272</v>
      </c>
      <c r="BF15" s="421"/>
    </row>
    <row r="16" spans="1:58" s="327" customFormat="1" ht="18" customHeight="1" x14ac:dyDescent="0.35">
      <c r="A16" s="660">
        <v>495</v>
      </c>
      <c r="B16" s="660" t="str">
        <f>VLOOKUP($A16,'Measure Level Adjustments Tab'!$A$5:$CL$272,6,FALSE)</f>
        <v>Direct Distribution of Efficient Products</v>
      </c>
      <c r="C16" s="659" t="s">
        <v>33</v>
      </c>
      <c r="D16" s="659" t="s">
        <v>40</v>
      </c>
      <c r="E16" s="411">
        <f>VLOOKUP($A16,'Measure Level Adjustments Tab'!$A$5:$CL$272,13,FALSE)</f>
        <v>1</v>
      </c>
      <c r="F16" s="411" t="str">
        <f>VLOOKUP($A16,'Measure Level Adjustments Tab'!$A$5:$CL$272,11,FALSE)</f>
        <v>5.4.4</v>
      </c>
      <c r="G16" s="411">
        <f>VLOOKUP($A16,'Measure Level Adjustments Tab'!$A$5:$CL$272,14,FALSE)</f>
        <v>0</v>
      </c>
      <c r="H16" s="663">
        <f>VLOOKUP($A16,'Measure Level Adjustments Tab'!$A$5:$CL$272,54,FALSE)</f>
        <v>6300</v>
      </c>
      <c r="I16" s="663">
        <f>VLOOKUP($A16,'Measure Level Adjustments Tab'!$A$5:$CL$272,55,FALSE)</f>
        <v>6300</v>
      </c>
      <c r="J16" s="663">
        <f>VLOOKUP($A16,'Measure Level Adjustments Tab'!$A$5:$CL$272,56,FALSE)</f>
        <v>6300</v>
      </c>
      <c r="K16" s="663">
        <f>VLOOKUP($A16,'Measure Level Adjustments Tab'!$A$5:$CL$272,57,FALSE)</f>
        <v>6300</v>
      </c>
      <c r="L16" s="411" t="str">
        <f>VLOOKUP($A16,'Measure Level Adjustments Tab'!$A$5:$CL$272,12,FALSE)</f>
        <v>RS-HWE-LFFA-V06-180101</v>
      </c>
      <c r="M16" s="422"/>
      <c r="N16" s="662">
        <v>0.35</v>
      </c>
      <c r="O16" s="662">
        <v>0.35</v>
      </c>
      <c r="P16" s="662">
        <v>0.35</v>
      </c>
      <c r="Q16" s="662">
        <v>0.35</v>
      </c>
      <c r="R16" s="661">
        <f>VLOOKUP($A16,'Measure Level Adjustments Tab'!$A$5:$CL$272,46,FALSE)</f>
        <v>1.04</v>
      </c>
      <c r="S16" s="661">
        <f>VLOOKUP($A16,'Measure Level Adjustments Tab'!$A$5:$CL$272,47,FALSE)</f>
        <v>1.04</v>
      </c>
      <c r="T16" s="661">
        <f>VLOOKUP($A16,'Measure Level Adjustments Tab'!$A$5:$CL$272,48,FALSE)</f>
        <v>1.04</v>
      </c>
      <c r="U16" s="661">
        <f>VLOOKUP($A16,'Measure Level Adjustments Tab'!$A$5:$CL$272,49,FALSE)</f>
        <v>1.04</v>
      </c>
      <c r="V16" s="418">
        <f t="shared" si="0"/>
        <v>2293.2000000000003</v>
      </c>
      <c r="W16" s="418">
        <f t="shared" si="0"/>
        <v>2293.2000000000003</v>
      </c>
      <c r="X16" s="418">
        <f t="shared" si="0"/>
        <v>2293.2000000000003</v>
      </c>
      <c r="Y16" s="418">
        <f t="shared" si="0"/>
        <v>2293.2000000000003</v>
      </c>
      <c r="Z16" s="418">
        <f t="shared" si="1"/>
        <v>9172.8000000000011</v>
      </c>
      <c r="AA16" s="410"/>
      <c r="AB16" s="422"/>
      <c r="AC16" s="415">
        <v>0.35</v>
      </c>
      <c r="AD16" s="416"/>
      <c r="AE16" s="414">
        <f t="shared" si="2"/>
        <v>2293.2000000000003</v>
      </c>
      <c r="AF16" s="412">
        <f t="shared" si="3"/>
        <v>0</v>
      </c>
      <c r="AG16" s="410"/>
      <c r="AH16" s="422"/>
      <c r="AI16" s="413">
        <v>0.45</v>
      </c>
      <c r="AJ16" s="2669" t="s">
        <v>3514</v>
      </c>
      <c r="AK16" s="414">
        <f t="shared" si="4"/>
        <v>2948.4</v>
      </c>
      <c r="AL16" s="412">
        <f t="shared" si="5"/>
        <v>655.19999999999982</v>
      </c>
      <c r="AM16" s="410"/>
      <c r="AN16" s="422"/>
      <c r="AO16" s="413">
        <v>0.3</v>
      </c>
      <c r="AP16" s="2669" t="s">
        <v>4324</v>
      </c>
      <c r="AQ16" s="414">
        <f t="shared" si="6"/>
        <v>1965.6000000000001</v>
      </c>
      <c r="AR16" s="412">
        <f t="shared" si="7"/>
        <v>-327.60000000000014</v>
      </c>
      <c r="AS16" s="410"/>
      <c r="AT16" s="422"/>
      <c r="AU16" s="413">
        <f>VLOOKUP($A16,'Measure Level Adjustments Tab'!$A$5:$CL$272,53,FALSE)/U16</f>
        <v>0.3</v>
      </c>
      <c r="AV16" s="2669" t="s">
        <v>304</v>
      </c>
      <c r="AW16" s="414">
        <f t="shared" si="8"/>
        <v>1965.6000000000001</v>
      </c>
      <c r="AX16" s="412">
        <f t="shared" si="9"/>
        <v>-327.60000000000014</v>
      </c>
      <c r="AY16" s="418">
        <f t="shared" si="10"/>
        <v>2293.2000000000003</v>
      </c>
      <c r="AZ16" s="418">
        <f t="shared" si="11"/>
        <v>2948.4</v>
      </c>
      <c r="BA16" s="418">
        <f t="shared" si="12"/>
        <v>1965.6000000000001</v>
      </c>
      <c r="BB16" s="418">
        <f t="shared" si="13"/>
        <v>1965.6000000000001</v>
      </c>
      <c r="BC16" s="419">
        <f t="shared" si="14"/>
        <v>9172.8000000000011</v>
      </c>
      <c r="BD16" s="410" t="s">
        <v>1271</v>
      </c>
      <c r="BE16" s="423" t="s">
        <v>1272</v>
      </c>
      <c r="BF16" s="421"/>
    </row>
    <row r="17" spans="1:58" s="327" customFormat="1" ht="18" customHeight="1" x14ac:dyDescent="0.35">
      <c r="A17" s="660">
        <v>497</v>
      </c>
      <c r="B17" s="660" t="str">
        <f>VLOOKUP($A17,'Measure Level Adjustments Tab'!$A$5:$CL$272,6,FALSE)</f>
        <v>Direct Distribution of Efficient Products</v>
      </c>
      <c r="C17" s="659" t="s">
        <v>33</v>
      </c>
      <c r="D17" s="659" t="s">
        <v>41</v>
      </c>
      <c r="E17" s="411">
        <f>VLOOKUP($A17,'Measure Level Adjustments Tab'!$A$5:$CL$272,13,FALSE)</f>
        <v>1</v>
      </c>
      <c r="F17" s="411" t="str">
        <f>VLOOKUP($A17,'Measure Level Adjustments Tab'!$A$5:$CL$272,11,FALSE)</f>
        <v>5.4.4</v>
      </c>
      <c r="G17" s="411">
        <f>VLOOKUP($A17,'Measure Level Adjustments Tab'!$A$5:$CL$272,14,FALSE)</f>
        <v>0</v>
      </c>
      <c r="H17" s="663">
        <f>VLOOKUP($A17,'Measure Level Adjustments Tab'!$A$5:$CL$272,54,FALSE)</f>
        <v>6300</v>
      </c>
      <c r="I17" s="663">
        <f>VLOOKUP($A17,'Measure Level Adjustments Tab'!$A$5:$CL$272,55,FALSE)</f>
        <v>6300</v>
      </c>
      <c r="J17" s="663">
        <f>VLOOKUP($A17,'Measure Level Adjustments Tab'!$A$5:$CL$272,56,FALSE)</f>
        <v>6300</v>
      </c>
      <c r="K17" s="663">
        <f>VLOOKUP($A17,'Measure Level Adjustments Tab'!$A$5:$CL$272,57,FALSE)</f>
        <v>6300</v>
      </c>
      <c r="L17" s="411" t="str">
        <f>VLOOKUP($A17,'Measure Level Adjustments Tab'!$A$5:$CL$272,12,FALSE)</f>
        <v>RS-HWE-LFFA-V06-180101</v>
      </c>
      <c r="M17" s="422"/>
      <c r="N17" s="662">
        <v>2.41</v>
      </c>
      <c r="O17" s="662">
        <v>2.41</v>
      </c>
      <c r="P17" s="662">
        <v>2.41</v>
      </c>
      <c r="Q17" s="662">
        <v>2.41</v>
      </c>
      <c r="R17" s="661">
        <f>VLOOKUP($A17,'Measure Level Adjustments Tab'!$A$5:$CL$272,46,FALSE)</f>
        <v>1</v>
      </c>
      <c r="S17" s="661">
        <f>VLOOKUP($A17,'Measure Level Adjustments Tab'!$A$5:$CL$272,47,FALSE)</f>
        <v>1</v>
      </c>
      <c r="T17" s="661">
        <f>VLOOKUP($A17,'Measure Level Adjustments Tab'!$A$5:$CL$272,48,FALSE)</f>
        <v>1</v>
      </c>
      <c r="U17" s="661">
        <f>VLOOKUP($A17,'Measure Level Adjustments Tab'!$A$5:$CL$272,49,FALSE)</f>
        <v>1</v>
      </c>
      <c r="V17" s="418">
        <f t="shared" si="0"/>
        <v>15183</v>
      </c>
      <c r="W17" s="418">
        <f t="shared" si="0"/>
        <v>15183</v>
      </c>
      <c r="X17" s="418">
        <f t="shared" si="0"/>
        <v>15183</v>
      </c>
      <c r="Y17" s="418">
        <f t="shared" si="0"/>
        <v>15183</v>
      </c>
      <c r="Z17" s="418">
        <f t="shared" si="1"/>
        <v>60732</v>
      </c>
      <c r="AA17" s="410"/>
      <c r="AB17" s="422"/>
      <c r="AC17" s="415">
        <v>2.41</v>
      </c>
      <c r="AD17" s="416"/>
      <c r="AE17" s="414">
        <f t="shared" si="2"/>
        <v>15183</v>
      </c>
      <c r="AF17" s="412">
        <f t="shared" si="3"/>
        <v>0</v>
      </c>
      <c r="AG17" s="410"/>
      <c r="AH17" s="422"/>
      <c r="AI17" s="413">
        <v>3.69</v>
      </c>
      <c r="AJ17" s="2669" t="s">
        <v>3514</v>
      </c>
      <c r="AK17" s="414">
        <f t="shared" si="4"/>
        <v>23247</v>
      </c>
      <c r="AL17" s="412">
        <f t="shared" si="5"/>
        <v>8064</v>
      </c>
      <c r="AM17" s="410"/>
      <c r="AN17" s="422"/>
      <c r="AO17" s="413">
        <v>2.3199999999999998</v>
      </c>
      <c r="AP17" s="2669" t="s">
        <v>4324</v>
      </c>
      <c r="AQ17" s="414">
        <f t="shared" si="6"/>
        <v>14615.999999999998</v>
      </c>
      <c r="AR17" s="412">
        <f t="shared" si="7"/>
        <v>-567.00000000000182</v>
      </c>
      <c r="AS17" s="410"/>
      <c r="AT17" s="422"/>
      <c r="AU17" s="413">
        <f>VLOOKUP($A17,'Measure Level Adjustments Tab'!$A$5:$CL$272,53,FALSE)/U17</f>
        <v>2.3199999999999998</v>
      </c>
      <c r="AV17" s="2669" t="s">
        <v>304</v>
      </c>
      <c r="AW17" s="414">
        <f t="shared" si="8"/>
        <v>14615.999999999998</v>
      </c>
      <c r="AX17" s="412">
        <f t="shared" si="9"/>
        <v>-567.00000000000182</v>
      </c>
      <c r="AY17" s="418">
        <f t="shared" si="10"/>
        <v>15183</v>
      </c>
      <c r="AZ17" s="418">
        <f t="shared" si="11"/>
        <v>23247</v>
      </c>
      <c r="BA17" s="418">
        <f t="shared" si="12"/>
        <v>14615.999999999998</v>
      </c>
      <c r="BB17" s="418">
        <f t="shared" si="13"/>
        <v>14615.999999999998</v>
      </c>
      <c r="BC17" s="419">
        <f t="shared" si="14"/>
        <v>67662</v>
      </c>
      <c r="BD17" s="410" t="s">
        <v>1271</v>
      </c>
      <c r="BE17" s="423" t="s">
        <v>1272</v>
      </c>
      <c r="BF17" s="421"/>
    </row>
    <row r="18" spans="1:58" s="327" customFormat="1" ht="18" customHeight="1" x14ac:dyDescent="0.35">
      <c r="A18" s="660">
        <v>502</v>
      </c>
      <c r="B18" s="660" t="str">
        <f>VLOOKUP($A18,'Measure Level Adjustments Tab'!$A$5:$CL$272,6,FALSE)</f>
        <v>Direct Distribution of Efficient Products</v>
      </c>
      <c r="C18" s="659" t="s">
        <v>33</v>
      </c>
      <c r="D18" s="659" t="s">
        <v>42</v>
      </c>
      <c r="E18" s="411">
        <f>VLOOKUP($A18,'Measure Level Adjustments Tab'!$A$5:$CL$272,13,FALSE)</f>
        <v>1</v>
      </c>
      <c r="F18" s="411" t="str">
        <f>VLOOKUP($A18,'Measure Level Adjustments Tab'!$A$5:$CL$272,11,FALSE)</f>
        <v>5.4.6</v>
      </c>
      <c r="G18" s="411">
        <f>VLOOKUP($A18,'Measure Level Adjustments Tab'!$A$5:$CL$272,14,FALSE)</f>
        <v>0</v>
      </c>
      <c r="H18" s="663">
        <f>VLOOKUP($A18,'Measure Level Adjustments Tab'!$A$5:$CL$272,54,FALSE)</f>
        <v>6300</v>
      </c>
      <c r="I18" s="663">
        <f>VLOOKUP($A18,'Measure Level Adjustments Tab'!$A$5:$CL$272,55,FALSE)</f>
        <v>6300</v>
      </c>
      <c r="J18" s="663">
        <f>VLOOKUP($A18,'Measure Level Adjustments Tab'!$A$5:$CL$272,56,FALSE)</f>
        <v>6300</v>
      </c>
      <c r="K18" s="663">
        <f>VLOOKUP($A18,'Measure Level Adjustments Tab'!$A$5:$CL$272,57,FALSE)</f>
        <v>6300</v>
      </c>
      <c r="L18" s="411" t="str">
        <f>VLOOKUP($A18,'Measure Level Adjustments Tab'!$A$5:$CL$272,12,FALSE)</f>
        <v>RS-HWE-TMPS-V05-160601</v>
      </c>
      <c r="M18" s="422"/>
      <c r="N18" s="662">
        <v>1.6151727892153844</v>
      </c>
      <c r="O18" s="662">
        <v>1.6151727892153844</v>
      </c>
      <c r="P18" s="662">
        <v>1.6151727892153844</v>
      </c>
      <c r="Q18" s="662">
        <v>1.6151727892153844</v>
      </c>
      <c r="R18" s="661">
        <f>VLOOKUP($A18,'Measure Level Adjustments Tab'!$A$5:$CL$272,46,FALSE)</f>
        <v>1</v>
      </c>
      <c r="S18" s="661">
        <f>VLOOKUP($A18,'Measure Level Adjustments Tab'!$A$5:$CL$272,47,FALSE)</f>
        <v>1</v>
      </c>
      <c r="T18" s="661">
        <f>VLOOKUP($A18,'Measure Level Adjustments Tab'!$A$5:$CL$272,48,FALSE)</f>
        <v>1</v>
      </c>
      <c r="U18" s="661">
        <f>VLOOKUP($A18,'Measure Level Adjustments Tab'!$A$5:$CL$272,49,FALSE)</f>
        <v>1</v>
      </c>
      <c r="V18" s="418">
        <f t="shared" si="0"/>
        <v>10175.588572056922</v>
      </c>
      <c r="W18" s="418">
        <f t="shared" si="0"/>
        <v>10175.588572056922</v>
      </c>
      <c r="X18" s="418">
        <f t="shared" si="0"/>
        <v>10175.588572056922</v>
      </c>
      <c r="Y18" s="418">
        <f t="shared" si="0"/>
        <v>10175.588572056922</v>
      </c>
      <c r="Z18" s="418">
        <f t="shared" si="1"/>
        <v>40702.354288227689</v>
      </c>
      <c r="AA18" s="410"/>
      <c r="AB18" s="422"/>
      <c r="AC18" s="415">
        <v>1.6151727892153844</v>
      </c>
      <c r="AD18" s="416"/>
      <c r="AE18" s="414">
        <f t="shared" si="2"/>
        <v>10175.588572056922</v>
      </c>
      <c r="AF18" s="412">
        <f t="shared" si="3"/>
        <v>0</v>
      </c>
      <c r="AG18" s="410"/>
      <c r="AH18" s="422"/>
      <c r="AI18" s="413">
        <v>1.6151727892153844</v>
      </c>
      <c r="AJ18" s="2669" t="s">
        <v>820</v>
      </c>
      <c r="AK18" s="414">
        <f t="shared" si="4"/>
        <v>10175.588572056922</v>
      </c>
      <c r="AL18" s="412">
        <f t="shared" si="5"/>
        <v>0</v>
      </c>
      <c r="AM18" s="410"/>
      <c r="AN18" s="422"/>
      <c r="AO18" s="413">
        <v>1.6151727892153844</v>
      </c>
      <c r="AP18" s="2669" t="s">
        <v>304</v>
      </c>
      <c r="AQ18" s="414">
        <f t="shared" si="6"/>
        <v>10175.588572056922</v>
      </c>
      <c r="AR18" s="412">
        <f t="shared" si="7"/>
        <v>0</v>
      </c>
      <c r="AS18" s="410"/>
      <c r="AT18" s="422"/>
      <c r="AU18" s="413">
        <f>VLOOKUP($A18,'Measure Level Adjustments Tab'!$A$5:$CL$272,53,FALSE)/U18</f>
        <v>0.42163145099999999</v>
      </c>
      <c r="AV18" s="2669" t="s">
        <v>4358</v>
      </c>
      <c r="AW18" s="414">
        <f t="shared" si="8"/>
        <v>2656.2781412999998</v>
      </c>
      <c r="AX18" s="412">
        <f t="shared" si="9"/>
        <v>-7519.3104307569229</v>
      </c>
      <c r="AY18" s="418">
        <f t="shared" si="10"/>
        <v>10175.588572056922</v>
      </c>
      <c r="AZ18" s="418">
        <f t="shared" si="11"/>
        <v>10175.588572056922</v>
      </c>
      <c r="BA18" s="418">
        <f t="shared" si="12"/>
        <v>10175.588572056922</v>
      </c>
      <c r="BB18" s="418">
        <f t="shared" si="13"/>
        <v>2656.2781412999998</v>
      </c>
      <c r="BC18" s="419">
        <f t="shared" si="14"/>
        <v>33183.043857470766</v>
      </c>
      <c r="BD18" s="410" t="s">
        <v>1271</v>
      </c>
      <c r="BE18" s="423" t="s">
        <v>1272</v>
      </c>
      <c r="BF18" s="421"/>
    </row>
    <row r="19" spans="1:58" s="327" customFormat="1" ht="18" customHeight="1" x14ac:dyDescent="0.35">
      <c r="A19" s="660">
        <v>1049</v>
      </c>
      <c r="B19" s="660" t="str">
        <f>VLOOKUP($A19,'Measure Level Adjustments Tab'!$A$5:$CL$272,6,FALSE)</f>
        <v>Retail Products</v>
      </c>
      <c r="C19" s="659" t="s">
        <v>1864</v>
      </c>
      <c r="D19" s="659" t="s">
        <v>3</v>
      </c>
      <c r="E19" s="411">
        <f>VLOOKUP($A19,'Measure Level Adjustments Tab'!$A$5:$CL$272,13,FALSE)</f>
        <v>1</v>
      </c>
      <c r="F19" s="411" t="str">
        <f>VLOOKUP($A19,'Measure Level Adjustments Tab'!$A$5:$CL$272,11,FALSE)</f>
        <v>5.3.16</v>
      </c>
      <c r="G19" s="411">
        <f>VLOOKUP($A19,'Measure Level Adjustments Tab'!$A$5:$CL$272,14,FALSE)</f>
        <v>0</v>
      </c>
      <c r="H19" s="663">
        <f>VLOOKUP($A19,'Measure Level Adjustments Tab'!$A$5:$CL$272,54,FALSE)</f>
        <v>6000</v>
      </c>
      <c r="I19" s="663">
        <f>VLOOKUP($A19,'Measure Level Adjustments Tab'!$A$5:$CL$272,55,FALSE)</f>
        <v>6000</v>
      </c>
      <c r="J19" s="663">
        <f>VLOOKUP($A19,'Measure Level Adjustments Tab'!$A$5:$CL$272,56,FALSE)</f>
        <v>7500</v>
      </c>
      <c r="K19" s="663">
        <f>VLOOKUP($A19,'Measure Level Adjustments Tab'!$A$5:$CL$272,57,FALSE)</f>
        <v>7500</v>
      </c>
      <c r="L19" s="411" t="str">
        <f>VLOOKUP($A19,'Measure Level Adjustments Tab'!$A$5:$CL$272,12,FALSE)</f>
        <v>RS-HVC-ADTH-V02-180101</v>
      </c>
      <c r="M19" s="422"/>
      <c r="N19" s="662">
        <v>63.71</v>
      </c>
      <c r="O19" s="662">
        <v>63.71</v>
      </c>
      <c r="P19" s="662">
        <v>63.71</v>
      </c>
      <c r="Q19" s="662">
        <v>63.71</v>
      </c>
      <c r="R19" s="661">
        <f>VLOOKUP($A19,'Measure Level Adjustments Tab'!$A$5:$CL$272,46,FALSE)</f>
        <v>0.8</v>
      </c>
      <c r="S19" s="661">
        <f>VLOOKUP($A19,'Measure Level Adjustments Tab'!$A$5:$CL$272,47,FALSE)</f>
        <v>0.8</v>
      </c>
      <c r="T19" s="661">
        <f>VLOOKUP($A19,'Measure Level Adjustments Tab'!$A$5:$CL$272,48,FALSE)</f>
        <v>0.8</v>
      </c>
      <c r="U19" s="661">
        <f>VLOOKUP($A19,'Measure Level Adjustments Tab'!$A$5:$CL$272,49,FALSE)</f>
        <v>0.8</v>
      </c>
      <c r="V19" s="418">
        <f t="shared" si="0"/>
        <v>305808</v>
      </c>
      <c r="W19" s="418">
        <f t="shared" si="0"/>
        <v>305808</v>
      </c>
      <c r="X19" s="418">
        <f t="shared" si="0"/>
        <v>382260</v>
      </c>
      <c r="Y19" s="418">
        <f t="shared" si="0"/>
        <v>382260</v>
      </c>
      <c r="Z19" s="418">
        <f t="shared" si="1"/>
        <v>1376136</v>
      </c>
      <c r="AA19" s="410"/>
      <c r="AB19" s="422"/>
      <c r="AC19" s="415">
        <v>63.71</v>
      </c>
      <c r="AD19" s="416"/>
      <c r="AE19" s="414">
        <f t="shared" si="2"/>
        <v>305808</v>
      </c>
      <c r="AF19" s="412">
        <f t="shared" si="3"/>
        <v>0</v>
      </c>
      <c r="AG19" s="410"/>
      <c r="AH19" s="422"/>
      <c r="AI19" s="413">
        <v>63.71</v>
      </c>
      <c r="AJ19" s="2669" t="s">
        <v>3508</v>
      </c>
      <c r="AK19" s="414">
        <f t="shared" si="4"/>
        <v>305808</v>
      </c>
      <c r="AL19" s="412">
        <f t="shared" si="5"/>
        <v>0</v>
      </c>
      <c r="AM19" s="410"/>
      <c r="AN19" s="422"/>
      <c r="AO19" s="413">
        <v>63.71</v>
      </c>
      <c r="AP19" s="2669" t="s">
        <v>304</v>
      </c>
      <c r="AQ19" s="414">
        <f t="shared" si="6"/>
        <v>382260</v>
      </c>
      <c r="AR19" s="412">
        <f t="shared" si="7"/>
        <v>0</v>
      </c>
      <c r="AS19" s="410"/>
      <c r="AT19" s="422"/>
      <c r="AU19" s="413">
        <f>VLOOKUP($A19,'Measure Level Adjustments Tab'!$A$5:$CL$272,53,FALSE)/U19</f>
        <v>66.64</v>
      </c>
      <c r="AV19" s="2812" t="s">
        <v>4355</v>
      </c>
      <c r="AW19" s="414">
        <f t="shared" si="8"/>
        <v>399840</v>
      </c>
      <c r="AX19" s="412">
        <f t="shared" si="9"/>
        <v>17580</v>
      </c>
      <c r="AY19" s="418">
        <f t="shared" si="10"/>
        <v>305808</v>
      </c>
      <c r="AZ19" s="418">
        <f t="shared" si="11"/>
        <v>305808</v>
      </c>
      <c r="BA19" s="418">
        <f t="shared" si="12"/>
        <v>382260</v>
      </c>
      <c r="BB19" s="418">
        <f t="shared" si="13"/>
        <v>399840</v>
      </c>
      <c r="BC19" s="419">
        <f t="shared" si="14"/>
        <v>1393716</v>
      </c>
      <c r="BD19" s="410" t="s">
        <v>1271</v>
      </c>
      <c r="BE19" s="423" t="s">
        <v>1272</v>
      </c>
      <c r="BF19" s="421"/>
    </row>
    <row r="20" spans="1:58" s="327" customFormat="1" ht="18" customHeight="1" x14ac:dyDescent="0.35">
      <c r="A20" s="660">
        <v>911</v>
      </c>
      <c r="B20" s="660" t="str">
        <f>VLOOKUP($A20,'Measure Level Adjustments Tab'!$A$5:$CL$272,6,FALSE)</f>
        <v>Public Housing</v>
      </c>
      <c r="C20" s="659" t="s">
        <v>1072</v>
      </c>
      <c r="D20" s="659" t="s">
        <v>1753</v>
      </c>
      <c r="E20" s="411">
        <f>VLOOKUP($A20,'Measure Level Adjustments Tab'!$A$5:$CL$272,13,FALSE)</f>
        <v>1</v>
      </c>
      <c r="F20" s="411" t="str">
        <f>VLOOKUP($A20,'Measure Level Adjustments Tab'!$A$5:$CL$272,11,FALSE)</f>
        <v>5.4.5</v>
      </c>
      <c r="G20" s="411">
        <f>VLOOKUP($A20,'Measure Level Adjustments Tab'!$A$5:$CL$272,14,FALSE)</f>
        <v>0</v>
      </c>
      <c r="H20" s="663">
        <f>VLOOKUP($A20,'Measure Level Adjustments Tab'!$A$5:$CL$272,54,FALSE)</f>
        <v>226</v>
      </c>
      <c r="I20" s="663">
        <f>VLOOKUP($A20,'Measure Level Adjustments Tab'!$A$5:$CL$272,55,FALSE)</f>
        <v>226</v>
      </c>
      <c r="J20" s="663">
        <f>VLOOKUP($A20,'Measure Level Adjustments Tab'!$A$5:$CL$272,56,FALSE)</f>
        <v>226</v>
      </c>
      <c r="K20" s="663">
        <f>VLOOKUP($A20,'Measure Level Adjustments Tab'!$A$5:$CL$272,57,FALSE)</f>
        <v>226</v>
      </c>
      <c r="L20" s="411" t="str">
        <f>VLOOKUP($A20,'Measure Level Adjustments Tab'!$A$5:$CL$272,12,FALSE)</f>
        <v>RS-HWE-LFSH-V05-180101</v>
      </c>
      <c r="M20" s="422"/>
      <c r="N20" s="662">
        <v>11.04</v>
      </c>
      <c r="O20" s="662">
        <v>11.04</v>
      </c>
      <c r="P20" s="662">
        <v>11.04</v>
      </c>
      <c r="Q20" s="662">
        <v>11.04</v>
      </c>
      <c r="R20" s="661">
        <f>VLOOKUP($A20,'Measure Level Adjustments Tab'!$A$5:$CL$272,46,FALSE)</f>
        <v>1</v>
      </c>
      <c r="S20" s="661">
        <f>VLOOKUP($A20,'Measure Level Adjustments Tab'!$A$5:$CL$272,47,FALSE)</f>
        <v>1</v>
      </c>
      <c r="T20" s="661">
        <f>VLOOKUP($A20,'Measure Level Adjustments Tab'!$A$5:$CL$272,48,FALSE)</f>
        <v>1</v>
      </c>
      <c r="U20" s="661">
        <f>VLOOKUP($A20,'Measure Level Adjustments Tab'!$A$5:$CL$272,49,FALSE)</f>
        <v>1</v>
      </c>
      <c r="V20" s="418">
        <f t="shared" si="0"/>
        <v>2495.04</v>
      </c>
      <c r="W20" s="418">
        <f t="shared" si="0"/>
        <v>2495.04</v>
      </c>
      <c r="X20" s="418">
        <f t="shared" si="0"/>
        <v>2495.04</v>
      </c>
      <c r="Y20" s="418">
        <f t="shared" si="0"/>
        <v>2495.04</v>
      </c>
      <c r="Z20" s="418">
        <f t="shared" si="1"/>
        <v>9980.16</v>
      </c>
      <c r="AA20" s="410"/>
      <c r="AB20" s="422"/>
      <c r="AC20" s="415">
        <v>11.04</v>
      </c>
      <c r="AD20" s="416"/>
      <c r="AE20" s="414">
        <f t="shared" si="2"/>
        <v>2495.04</v>
      </c>
      <c r="AF20" s="412">
        <f t="shared" si="3"/>
        <v>0</v>
      </c>
      <c r="AG20" s="410"/>
      <c r="AH20" s="422"/>
      <c r="AI20" s="413">
        <v>5.88</v>
      </c>
      <c r="AJ20" s="2669" t="s">
        <v>3516</v>
      </c>
      <c r="AK20" s="414">
        <f t="shared" si="4"/>
        <v>1328.8799999999999</v>
      </c>
      <c r="AL20" s="412">
        <f t="shared" si="5"/>
        <v>-1166.1600000000001</v>
      </c>
      <c r="AM20" s="410"/>
      <c r="AN20" s="422"/>
      <c r="AO20" s="413">
        <v>5.82</v>
      </c>
      <c r="AP20" s="2669" t="s">
        <v>304</v>
      </c>
      <c r="AQ20" s="414">
        <f t="shared" si="6"/>
        <v>1315.3200000000002</v>
      </c>
      <c r="AR20" s="412">
        <f t="shared" si="7"/>
        <v>-1179.7199999999998</v>
      </c>
      <c r="AS20" s="410"/>
      <c r="AT20" s="422"/>
      <c r="AU20" s="413">
        <f>VLOOKUP($A20,'Measure Level Adjustments Tab'!$A$5:$CL$272,53,FALSE)/U20</f>
        <v>5.82</v>
      </c>
      <c r="AV20" s="2669" t="s">
        <v>304</v>
      </c>
      <c r="AW20" s="414">
        <f t="shared" si="8"/>
        <v>1315.3200000000002</v>
      </c>
      <c r="AX20" s="412">
        <f t="shared" si="9"/>
        <v>-1179.7199999999998</v>
      </c>
      <c r="AY20" s="418">
        <f t="shared" si="10"/>
        <v>2495.04</v>
      </c>
      <c r="AZ20" s="418">
        <f t="shared" si="11"/>
        <v>1328.8799999999999</v>
      </c>
      <c r="BA20" s="418">
        <f t="shared" si="12"/>
        <v>1315.3200000000002</v>
      </c>
      <c r="BB20" s="418">
        <f t="shared" si="13"/>
        <v>1315.3200000000002</v>
      </c>
      <c r="BC20" s="419">
        <f t="shared" si="14"/>
        <v>6454.5599999999995</v>
      </c>
      <c r="BD20" s="410" t="s">
        <v>1271</v>
      </c>
      <c r="BE20" s="423" t="s">
        <v>1272</v>
      </c>
      <c r="BF20" s="421"/>
    </row>
    <row r="21" spans="1:58" s="327" customFormat="1" ht="18" customHeight="1" x14ac:dyDescent="0.35">
      <c r="A21" s="660">
        <v>896</v>
      </c>
      <c r="B21" s="660" t="str">
        <f>VLOOKUP($A21,'Measure Level Adjustments Tab'!$A$5:$CL$272,6,FALSE)</f>
        <v>Public Housing</v>
      </c>
      <c r="C21" s="659" t="s">
        <v>1072</v>
      </c>
      <c r="D21" s="659" t="s">
        <v>1754</v>
      </c>
      <c r="E21" s="411">
        <f>VLOOKUP($A21,'Measure Level Adjustments Tab'!$A$5:$CL$272,13,FALSE)</f>
        <v>1</v>
      </c>
      <c r="F21" s="411" t="str">
        <f>VLOOKUP($A21,'Measure Level Adjustments Tab'!$A$5:$CL$272,11,FALSE)</f>
        <v>5.4.4</v>
      </c>
      <c r="G21" s="411">
        <f>VLOOKUP($A21,'Measure Level Adjustments Tab'!$A$5:$CL$272,14,FALSE)</f>
        <v>0</v>
      </c>
      <c r="H21" s="663">
        <f>VLOOKUP($A21,'Measure Level Adjustments Tab'!$A$5:$CL$272,54,FALSE)</f>
        <v>452</v>
      </c>
      <c r="I21" s="663">
        <f>VLOOKUP($A21,'Measure Level Adjustments Tab'!$A$5:$CL$272,55,FALSE)</f>
        <v>452</v>
      </c>
      <c r="J21" s="663">
        <f>VLOOKUP($A21,'Measure Level Adjustments Tab'!$A$5:$CL$272,56,FALSE)</f>
        <v>452</v>
      </c>
      <c r="K21" s="663">
        <f>VLOOKUP($A21,'Measure Level Adjustments Tab'!$A$5:$CL$272,57,FALSE)</f>
        <v>452</v>
      </c>
      <c r="L21" s="411" t="str">
        <f>VLOOKUP($A21,'Measure Level Adjustments Tab'!$A$5:$CL$272,12,FALSE)</f>
        <v>RS-HWE-LFFA-V06-180101</v>
      </c>
      <c r="M21" s="422"/>
      <c r="N21" s="662">
        <v>2.94</v>
      </c>
      <c r="O21" s="662">
        <v>2.94</v>
      </c>
      <c r="P21" s="662">
        <v>2.94</v>
      </c>
      <c r="Q21" s="662">
        <v>2.94</v>
      </c>
      <c r="R21" s="661">
        <f>VLOOKUP($A21,'Measure Level Adjustments Tab'!$A$5:$CL$272,46,FALSE)</f>
        <v>1</v>
      </c>
      <c r="S21" s="661">
        <f>VLOOKUP($A21,'Measure Level Adjustments Tab'!$A$5:$CL$272,47,FALSE)</f>
        <v>1</v>
      </c>
      <c r="T21" s="661">
        <f>VLOOKUP($A21,'Measure Level Adjustments Tab'!$A$5:$CL$272,48,FALSE)</f>
        <v>1</v>
      </c>
      <c r="U21" s="661">
        <f>VLOOKUP($A21,'Measure Level Adjustments Tab'!$A$5:$CL$272,49,FALSE)</f>
        <v>1</v>
      </c>
      <c r="V21" s="418">
        <f t="shared" si="0"/>
        <v>1328.8799999999999</v>
      </c>
      <c r="W21" s="418">
        <f t="shared" si="0"/>
        <v>1328.8799999999999</v>
      </c>
      <c r="X21" s="418">
        <f t="shared" si="0"/>
        <v>1328.8799999999999</v>
      </c>
      <c r="Y21" s="418">
        <f t="shared" si="0"/>
        <v>1328.8799999999999</v>
      </c>
      <c r="Z21" s="418">
        <f t="shared" si="1"/>
        <v>5315.5199999999995</v>
      </c>
      <c r="AA21" s="410"/>
      <c r="AB21" s="422"/>
      <c r="AC21" s="415">
        <v>2.94</v>
      </c>
      <c r="AD21" s="416"/>
      <c r="AE21" s="414">
        <f t="shared" si="2"/>
        <v>1328.8799999999999</v>
      </c>
      <c r="AF21" s="412">
        <f t="shared" si="3"/>
        <v>0</v>
      </c>
      <c r="AG21" s="410"/>
      <c r="AH21" s="422"/>
      <c r="AI21" s="413">
        <v>4.18</v>
      </c>
      <c r="AJ21" s="2669" t="s">
        <v>3514</v>
      </c>
      <c r="AK21" s="414">
        <f t="shared" si="4"/>
        <v>1889.36</v>
      </c>
      <c r="AL21" s="412">
        <f t="shared" si="5"/>
        <v>560.48</v>
      </c>
      <c r="AM21" s="410"/>
      <c r="AN21" s="422"/>
      <c r="AO21" s="413">
        <v>4.18</v>
      </c>
      <c r="AP21" s="2669" t="s">
        <v>304</v>
      </c>
      <c r="AQ21" s="414">
        <f t="shared" si="6"/>
        <v>1889.36</v>
      </c>
      <c r="AR21" s="412">
        <f t="shared" si="7"/>
        <v>560.48</v>
      </c>
      <c r="AS21" s="410"/>
      <c r="AT21" s="422"/>
      <c r="AU21" s="413">
        <f>VLOOKUP($A21,'Measure Level Adjustments Tab'!$A$5:$CL$272,53,FALSE)/U21</f>
        <v>4.18</v>
      </c>
      <c r="AV21" s="2669" t="s">
        <v>304</v>
      </c>
      <c r="AW21" s="414">
        <f t="shared" si="8"/>
        <v>1889.36</v>
      </c>
      <c r="AX21" s="412">
        <f t="shared" si="9"/>
        <v>560.48</v>
      </c>
      <c r="AY21" s="418">
        <f t="shared" si="10"/>
        <v>1328.8799999999999</v>
      </c>
      <c r="AZ21" s="418">
        <f t="shared" si="11"/>
        <v>1889.36</v>
      </c>
      <c r="BA21" s="418">
        <f t="shared" si="12"/>
        <v>1889.36</v>
      </c>
      <c r="BB21" s="418">
        <f t="shared" si="13"/>
        <v>1889.36</v>
      </c>
      <c r="BC21" s="419">
        <f t="shared" si="14"/>
        <v>6996.9599999999991</v>
      </c>
      <c r="BD21" s="410" t="s">
        <v>1271</v>
      </c>
      <c r="BE21" s="423" t="s">
        <v>1272</v>
      </c>
      <c r="BF21" s="421"/>
    </row>
    <row r="22" spans="1:58" s="327" customFormat="1" ht="18" customHeight="1" x14ac:dyDescent="0.35">
      <c r="A22" s="660">
        <v>856</v>
      </c>
      <c r="B22" s="660" t="str">
        <f>VLOOKUP($A22,'Measure Level Adjustments Tab'!$A$5:$CL$272,6,FALSE)</f>
        <v>Public Housing</v>
      </c>
      <c r="C22" s="659" t="s">
        <v>1072</v>
      </c>
      <c r="D22" s="659" t="s">
        <v>1759</v>
      </c>
      <c r="E22" s="411">
        <f>VLOOKUP($A22,'Measure Level Adjustments Tab'!$A$5:$CL$272,13,FALSE)</f>
        <v>1</v>
      </c>
      <c r="F22" s="411" t="str">
        <f>VLOOKUP($A22,'Measure Level Adjustments Tab'!$A$5:$CL$272,11,FALSE)</f>
        <v>5.6.1</v>
      </c>
      <c r="G22" s="411">
        <f>VLOOKUP($A22,'Measure Level Adjustments Tab'!$A$5:$CL$272,14,FALSE)</f>
        <v>0</v>
      </c>
      <c r="H22" s="663">
        <f>VLOOKUP($A22,'Measure Level Adjustments Tab'!$A$5:$CL$272,54,FALSE)</f>
        <v>76</v>
      </c>
      <c r="I22" s="663">
        <f>VLOOKUP($A22,'Measure Level Adjustments Tab'!$A$5:$CL$272,55,FALSE)</f>
        <v>76</v>
      </c>
      <c r="J22" s="663">
        <f>VLOOKUP($A22,'Measure Level Adjustments Tab'!$A$5:$CL$272,56,FALSE)</f>
        <v>76</v>
      </c>
      <c r="K22" s="663">
        <f>VLOOKUP($A22,'Measure Level Adjustments Tab'!$A$5:$CL$272,57,FALSE)</f>
        <v>76</v>
      </c>
      <c r="L22" s="411" t="str">
        <f>VLOOKUP($A22,'Measure Level Adjustments Tab'!$A$5:$CL$272,12,FALSE)</f>
        <v>RS-SHL-AIRS-V06-180101</v>
      </c>
      <c r="M22" s="422"/>
      <c r="N22" s="662">
        <v>115.48339534883723</v>
      </c>
      <c r="O22" s="662">
        <v>115.48339534883723</v>
      </c>
      <c r="P22" s="662">
        <v>115.48339534883723</v>
      </c>
      <c r="Q22" s="662">
        <v>115.48339534883723</v>
      </c>
      <c r="R22" s="661">
        <f>VLOOKUP($A22,'Measure Level Adjustments Tab'!$A$5:$CL$272,46,FALSE)</f>
        <v>1</v>
      </c>
      <c r="S22" s="661">
        <f>VLOOKUP($A22,'Measure Level Adjustments Tab'!$A$5:$CL$272,47,FALSE)</f>
        <v>1</v>
      </c>
      <c r="T22" s="661">
        <f>VLOOKUP($A22,'Measure Level Adjustments Tab'!$A$5:$CL$272,48,FALSE)</f>
        <v>1</v>
      </c>
      <c r="U22" s="661">
        <f>VLOOKUP($A22,'Measure Level Adjustments Tab'!$A$5:$CL$272,49,FALSE)</f>
        <v>1</v>
      </c>
      <c r="V22" s="418">
        <f t="shared" si="0"/>
        <v>8776.7380465116294</v>
      </c>
      <c r="W22" s="418">
        <f t="shared" si="0"/>
        <v>8776.7380465116294</v>
      </c>
      <c r="X22" s="418">
        <f t="shared" si="0"/>
        <v>8776.7380465116294</v>
      </c>
      <c r="Y22" s="418">
        <f t="shared" si="0"/>
        <v>8776.7380465116294</v>
      </c>
      <c r="Z22" s="418">
        <f t="shared" si="1"/>
        <v>35106.952186046517</v>
      </c>
      <c r="AA22" s="410"/>
      <c r="AB22" s="422"/>
      <c r="AC22" s="415">
        <v>115.48339534883723</v>
      </c>
      <c r="AD22" s="416"/>
      <c r="AE22" s="414">
        <f t="shared" si="2"/>
        <v>8776.7380465116294</v>
      </c>
      <c r="AF22" s="412">
        <f t="shared" si="3"/>
        <v>0</v>
      </c>
      <c r="AG22" s="410"/>
      <c r="AH22" s="422"/>
      <c r="AI22" s="413">
        <v>107.9192329534884</v>
      </c>
      <c r="AJ22" s="2669" t="s">
        <v>3533</v>
      </c>
      <c r="AK22" s="414">
        <f t="shared" si="4"/>
        <v>8201.8617044651182</v>
      </c>
      <c r="AL22" s="412">
        <f t="shared" si="5"/>
        <v>-574.87634204651113</v>
      </c>
      <c r="AM22" s="410"/>
      <c r="AN22" s="422"/>
      <c r="AO22" s="413">
        <v>118.71115624883724</v>
      </c>
      <c r="AP22" s="2669" t="s">
        <v>3922</v>
      </c>
      <c r="AQ22" s="414">
        <f t="shared" si="6"/>
        <v>9022.0478749116301</v>
      </c>
      <c r="AR22" s="412">
        <f t="shared" si="7"/>
        <v>245.3098284000007</v>
      </c>
      <c r="AS22" s="410"/>
      <c r="AT22" s="422"/>
      <c r="AU22" s="413">
        <f>VLOOKUP($A22,'Measure Level Adjustments Tab'!$A$5:$CL$272,53,FALSE)/U22</f>
        <v>118.71115624883724</v>
      </c>
      <c r="AV22" s="2669" t="s">
        <v>304</v>
      </c>
      <c r="AW22" s="414">
        <f t="shared" si="8"/>
        <v>9022.0478749116301</v>
      </c>
      <c r="AX22" s="412">
        <f t="shared" si="9"/>
        <v>245.3098284000007</v>
      </c>
      <c r="AY22" s="418">
        <f t="shared" si="10"/>
        <v>8776.7380465116294</v>
      </c>
      <c r="AZ22" s="418">
        <f t="shared" si="11"/>
        <v>8201.8617044651182</v>
      </c>
      <c r="BA22" s="418">
        <f t="shared" si="12"/>
        <v>9022.0478749116301</v>
      </c>
      <c r="BB22" s="418">
        <f t="shared" si="13"/>
        <v>9022.0478749116301</v>
      </c>
      <c r="BC22" s="419">
        <f t="shared" si="14"/>
        <v>35022.695500800008</v>
      </c>
      <c r="BD22" s="410" t="s">
        <v>1271</v>
      </c>
      <c r="BE22" s="423" t="s">
        <v>1272</v>
      </c>
      <c r="BF22" s="421"/>
    </row>
    <row r="23" spans="1:58" s="327" customFormat="1" ht="18" customHeight="1" x14ac:dyDescent="0.35">
      <c r="A23" s="660">
        <v>907</v>
      </c>
      <c r="B23" s="660" t="str">
        <f>VLOOKUP($A23,'Measure Level Adjustments Tab'!$A$5:$CL$272,6,FALSE)</f>
        <v>Public Housing</v>
      </c>
      <c r="C23" s="659" t="s">
        <v>1072</v>
      </c>
      <c r="D23" s="659" t="s">
        <v>1760</v>
      </c>
      <c r="E23" s="411">
        <f>VLOOKUP($A23,'Measure Level Adjustments Tab'!$A$5:$CL$272,13,FALSE)</f>
        <v>1</v>
      </c>
      <c r="F23" s="411" t="str">
        <f>VLOOKUP($A23,'Measure Level Adjustments Tab'!$A$5:$CL$272,11,FALSE)</f>
        <v>5.6.4</v>
      </c>
      <c r="G23" s="411">
        <f>VLOOKUP($A23,'Measure Level Adjustments Tab'!$A$5:$CL$272,14,FALSE)</f>
        <v>0</v>
      </c>
      <c r="H23" s="663">
        <f>VLOOKUP($A23,'Measure Level Adjustments Tab'!$A$5:$CL$272,54,FALSE)</f>
        <v>37</v>
      </c>
      <c r="I23" s="663">
        <f>VLOOKUP($A23,'Measure Level Adjustments Tab'!$A$5:$CL$272,55,FALSE)</f>
        <v>37</v>
      </c>
      <c r="J23" s="663">
        <f>VLOOKUP($A23,'Measure Level Adjustments Tab'!$A$5:$CL$272,56,FALSE)</f>
        <v>37</v>
      </c>
      <c r="K23" s="663">
        <f>VLOOKUP($A23,'Measure Level Adjustments Tab'!$A$5:$CL$272,57,FALSE)</f>
        <v>37</v>
      </c>
      <c r="L23" s="411" t="str">
        <f>VLOOKUP($A23,'Measure Level Adjustments Tab'!$A$5:$CL$272,12,FALSE)</f>
        <v>RS-SHL-AINS-V07-180101</v>
      </c>
      <c r="M23" s="422"/>
      <c r="N23" s="662">
        <v>52.704917843226852</v>
      </c>
      <c r="O23" s="662">
        <v>52.704917843226852</v>
      </c>
      <c r="P23" s="662">
        <v>52.704917843226852</v>
      </c>
      <c r="Q23" s="662">
        <v>52.704917843226852</v>
      </c>
      <c r="R23" s="661">
        <f>VLOOKUP($A23,'Measure Level Adjustments Tab'!$A$5:$CL$272,46,FALSE)</f>
        <v>1</v>
      </c>
      <c r="S23" s="661">
        <f>VLOOKUP($A23,'Measure Level Adjustments Tab'!$A$5:$CL$272,47,FALSE)</f>
        <v>1</v>
      </c>
      <c r="T23" s="661">
        <f>VLOOKUP($A23,'Measure Level Adjustments Tab'!$A$5:$CL$272,48,FALSE)</f>
        <v>1</v>
      </c>
      <c r="U23" s="661">
        <f>VLOOKUP($A23,'Measure Level Adjustments Tab'!$A$5:$CL$272,49,FALSE)</f>
        <v>1</v>
      </c>
      <c r="V23" s="418">
        <f t="shared" si="0"/>
        <v>1950.0819601993935</v>
      </c>
      <c r="W23" s="418">
        <f t="shared" si="0"/>
        <v>1950.0819601993935</v>
      </c>
      <c r="X23" s="418">
        <f t="shared" si="0"/>
        <v>1950.0819601993935</v>
      </c>
      <c r="Y23" s="418">
        <f t="shared" si="0"/>
        <v>1950.0819601993935</v>
      </c>
      <c r="Z23" s="418">
        <f t="shared" si="1"/>
        <v>7800.327840797574</v>
      </c>
      <c r="AA23" s="410"/>
      <c r="AB23" s="422"/>
      <c r="AC23" s="415">
        <v>52.704917843226852</v>
      </c>
      <c r="AD23" s="416"/>
      <c r="AE23" s="414">
        <f t="shared" si="2"/>
        <v>1950.0819601993935</v>
      </c>
      <c r="AF23" s="412">
        <f t="shared" si="3"/>
        <v>0</v>
      </c>
      <c r="AG23" s="410"/>
      <c r="AH23" s="422"/>
      <c r="AI23" s="413">
        <v>52.704917843226852</v>
      </c>
      <c r="AJ23" s="2669" t="s">
        <v>3536</v>
      </c>
      <c r="AK23" s="414">
        <f t="shared" si="4"/>
        <v>1950.0819601993935</v>
      </c>
      <c r="AL23" s="412">
        <f t="shared" si="5"/>
        <v>0</v>
      </c>
      <c r="AM23" s="410"/>
      <c r="AN23" s="422"/>
      <c r="AO23" s="413">
        <v>52.704917843226852</v>
      </c>
      <c r="AP23" s="2669" t="s">
        <v>304</v>
      </c>
      <c r="AQ23" s="414">
        <f t="shared" si="6"/>
        <v>1950.0819601993935</v>
      </c>
      <c r="AR23" s="412">
        <f t="shared" si="7"/>
        <v>0</v>
      </c>
      <c r="AS23" s="410"/>
      <c r="AT23" s="422"/>
      <c r="AU23" s="413">
        <f>VLOOKUP($A23,'Measure Level Adjustments Tab'!$A$5:$CL$272,53,FALSE)/U23</f>
        <v>52.704917843226852</v>
      </c>
      <c r="AV23" s="2669" t="s">
        <v>304</v>
      </c>
      <c r="AW23" s="414">
        <f t="shared" si="8"/>
        <v>1950.0819601993935</v>
      </c>
      <c r="AX23" s="412">
        <f t="shared" si="9"/>
        <v>0</v>
      </c>
      <c r="AY23" s="418">
        <f t="shared" si="10"/>
        <v>1950.0819601993935</v>
      </c>
      <c r="AZ23" s="418">
        <f t="shared" si="11"/>
        <v>1950.0819601993935</v>
      </c>
      <c r="BA23" s="418">
        <f t="shared" si="12"/>
        <v>1950.0819601993935</v>
      </c>
      <c r="BB23" s="418">
        <f t="shared" si="13"/>
        <v>1950.0819601993935</v>
      </c>
      <c r="BC23" s="419">
        <f t="shared" si="14"/>
        <v>7800.327840797574</v>
      </c>
      <c r="BD23" s="410" t="s">
        <v>1271</v>
      </c>
      <c r="BE23" s="423" t="s">
        <v>1272</v>
      </c>
      <c r="BF23" s="421"/>
    </row>
    <row r="24" spans="1:58" s="327" customFormat="1" ht="18" customHeight="1" x14ac:dyDescent="0.35">
      <c r="A24" s="660">
        <v>909</v>
      </c>
      <c r="B24" s="660" t="str">
        <f>VLOOKUP($A24,'Measure Level Adjustments Tab'!$A$5:$CL$272,6,FALSE)</f>
        <v>Public Housing</v>
      </c>
      <c r="C24" s="659" t="s">
        <v>1072</v>
      </c>
      <c r="D24" s="659" t="s">
        <v>1761</v>
      </c>
      <c r="E24" s="411">
        <f>VLOOKUP($A24,'Measure Level Adjustments Tab'!$A$5:$CL$272,13,FALSE)</f>
        <v>1</v>
      </c>
      <c r="F24" s="411" t="str">
        <f>VLOOKUP($A24,'Measure Level Adjustments Tab'!$A$5:$CL$272,11,FALSE)</f>
        <v>5.6.6</v>
      </c>
      <c r="G24" s="411">
        <f>VLOOKUP($A24,'Measure Level Adjustments Tab'!$A$5:$CL$272,14,FALSE)</f>
        <v>0</v>
      </c>
      <c r="H24" s="663">
        <f>VLOOKUP($A24,'Measure Level Adjustments Tab'!$A$5:$CL$272,54,FALSE)</f>
        <v>59</v>
      </c>
      <c r="I24" s="663">
        <f>VLOOKUP($A24,'Measure Level Adjustments Tab'!$A$5:$CL$272,55,FALSE)</f>
        <v>59</v>
      </c>
      <c r="J24" s="663">
        <f>VLOOKUP($A24,'Measure Level Adjustments Tab'!$A$5:$CL$272,56,FALSE)</f>
        <v>59</v>
      </c>
      <c r="K24" s="663">
        <f>VLOOKUP($A24,'Measure Level Adjustments Tab'!$A$5:$CL$272,57,FALSE)</f>
        <v>59</v>
      </c>
      <c r="L24" s="411" t="str">
        <f>VLOOKUP($A24,'Measure Level Adjustments Tab'!$A$5:$CL$272,12,FALSE)</f>
        <v>RS-SHL-AINS-V07-180101</v>
      </c>
      <c r="M24" s="422"/>
      <c r="N24" s="662">
        <v>2.7096845113773766</v>
      </c>
      <c r="O24" s="662">
        <v>2.7096845113773766</v>
      </c>
      <c r="P24" s="662">
        <v>2.7096845113773766</v>
      </c>
      <c r="Q24" s="662">
        <v>2.7096845113773766</v>
      </c>
      <c r="R24" s="661">
        <f>VLOOKUP($A24,'Measure Level Adjustments Tab'!$A$5:$CL$272,46,FALSE)</f>
        <v>1</v>
      </c>
      <c r="S24" s="661">
        <f>VLOOKUP($A24,'Measure Level Adjustments Tab'!$A$5:$CL$272,47,FALSE)</f>
        <v>1</v>
      </c>
      <c r="T24" s="661">
        <f>VLOOKUP($A24,'Measure Level Adjustments Tab'!$A$5:$CL$272,48,FALSE)</f>
        <v>1</v>
      </c>
      <c r="U24" s="661">
        <f>VLOOKUP($A24,'Measure Level Adjustments Tab'!$A$5:$CL$272,49,FALSE)</f>
        <v>1</v>
      </c>
      <c r="V24" s="418">
        <f t="shared" si="0"/>
        <v>159.87138617126521</v>
      </c>
      <c r="W24" s="418">
        <f t="shared" si="0"/>
        <v>159.87138617126521</v>
      </c>
      <c r="X24" s="418">
        <f t="shared" si="0"/>
        <v>159.87138617126521</v>
      </c>
      <c r="Y24" s="418">
        <f t="shared" si="0"/>
        <v>159.87138617126521</v>
      </c>
      <c r="Z24" s="418">
        <f t="shared" si="1"/>
        <v>639.48554468506086</v>
      </c>
      <c r="AA24" s="410"/>
      <c r="AB24" s="422"/>
      <c r="AC24" s="415">
        <v>2.7096845113773766</v>
      </c>
      <c r="AD24" s="416"/>
      <c r="AE24" s="414">
        <f t="shared" si="2"/>
        <v>159.87138617126521</v>
      </c>
      <c r="AF24" s="412">
        <f t="shared" si="3"/>
        <v>0</v>
      </c>
      <c r="AG24" s="410"/>
      <c r="AH24" s="422"/>
      <c r="AI24" s="413">
        <v>2.7096845113773766</v>
      </c>
      <c r="AJ24" s="2669" t="s">
        <v>3543</v>
      </c>
      <c r="AK24" s="414">
        <f t="shared" si="4"/>
        <v>159.87138617126521</v>
      </c>
      <c r="AL24" s="412">
        <f t="shared" si="5"/>
        <v>0</v>
      </c>
      <c r="AM24" s="410"/>
      <c r="AN24" s="422"/>
      <c r="AO24" s="413">
        <v>2.7096845113773766</v>
      </c>
      <c r="AP24" s="2669" t="s">
        <v>304</v>
      </c>
      <c r="AQ24" s="414">
        <f t="shared" si="6"/>
        <v>159.87138617126521</v>
      </c>
      <c r="AR24" s="412">
        <f t="shared" si="7"/>
        <v>0</v>
      </c>
      <c r="AS24" s="410"/>
      <c r="AT24" s="422"/>
      <c r="AU24" s="413">
        <f>VLOOKUP($A24,'Measure Level Adjustments Tab'!$A$5:$CL$272,53,FALSE)/U24</f>
        <v>2.7096845113773766</v>
      </c>
      <c r="AV24" s="2669" t="s">
        <v>304</v>
      </c>
      <c r="AW24" s="414">
        <f t="shared" si="8"/>
        <v>159.87138617126521</v>
      </c>
      <c r="AX24" s="412">
        <f t="shared" si="9"/>
        <v>0</v>
      </c>
      <c r="AY24" s="418">
        <f t="shared" si="10"/>
        <v>159.87138617126521</v>
      </c>
      <c r="AZ24" s="418">
        <f t="shared" si="11"/>
        <v>159.87138617126521</v>
      </c>
      <c r="BA24" s="418">
        <f t="shared" si="12"/>
        <v>159.87138617126521</v>
      </c>
      <c r="BB24" s="418">
        <f t="shared" si="13"/>
        <v>159.87138617126521</v>
      </c>
      <c r="BC24" s="419">
        <f t="shared" si="14"/>
        <v>639.48554468506086</v>
      </c>
      <c r="BD24" s="410" t="s">
        <v>1271</v>
      </c>
      <c r="BE24" s="423" t="s">
        <v>1272</v>
      </c>
      <c r="BF24" s="421"/>
    </row>
    <row r="25" spans="1:58" s="327" customFormat="1" ht="18" customHeight="1" x14ac:dyDescent="0.35">
      <c r="A25" s="660">
        <v>882</v>
      </c>
      <c r="B25" s="660" t="str">
        <f>VLOOKUP($A25,'Measure Level Adjustments Tab'!$A$5:$CL$272,6,FALSE)</f>
        <v>Public Housing</v>
      </c>
      <c r="C25" s="659" t="s">
        <v>1072</v>
      </c>
      <c r="D25" s="659" t="s">
        <v>1762</v>
      </c>
      <c r="E25" s="411">
        <f>VLOOKUP($A25,'Measure Level Adjustments Tab'!$A$5:$CL$272,13,FALSE)</f>
        <v>1</v>
      </c>
      <c r="F25" s="411" t="str">
        <f>VLOOKUP($A25,'Measure Level Adjustments Tab'!$A$5:$CL$272,11,FALSE)</f>
        <v>5.6.2</v>
      </c>
      <c r="G25" s="411">
        <f>VLOOKUP($A25,'Measure Level Adjustments Tab'!$A$5:$CL$272,14,FALSE)</f>
        <v>0</v>
      </c>
      <c r="H25" s="663">
        <f>VLOOKUP($A25,'Measure Level Adjustments Tab'!$A$5:$CL$272,54,FALSE)</f>
        <v>16</v>
      </c>
      <c r="I25" s="663">
        <f>VLOOKUP($A25,'Measure Level Adjustments Tab'!$A$5:$CL$272,55,FALSE)</f>
        <v>16</v>
      </c>
      <c r="J25" s="663">
        <f>VLOOKUP($A25,'Measure Level Adjustments Tab'!$A$5:$CL$272,56,FALSE)</f>
        <v>16</v>
      </c>
      <c r="K25" s="663">
        <f>VLOOKUP($A25,'Measure Level Adjustments Tab'!$A$5:$CL$272,57,FALSE)</f>
        <v>16</v>
      </c>
      <c r="L25" s="411" t="str">
        <f>VLOOKUP($A25,'Measure Level Adjustments Tab'!$A$5:$CL$272,12,FALSE)</f>
        <v>RS-SHL-BINS-V08-180101</v>
      </c>
      <c r="M25" s="422"/>
      <c r="N25" s="662">
        <v>86.055308345348962</v>
      </c>
      <c r="O25" s="662">
        <v>86.055308345348962</v>
      </c>
      <c r="P25" s="662">
        <v>86.055308345348962</v>
      </c>
      <c r="Q25" s="662">
        <v>86.055308345348962</v>
      </c>
      <c r="R25" s="661">
        <f>VLOOKUP($A25,'Measure Level Adjustments Tab'!$A$5:$CL$272,46,FALSE)</f>
        <v>1</v>
      </c>
      <c r="S25" s="661">
        <f>VLOOKUP($A25,'Measure Level Adjustments Tab'!$A$5:$CL$272,47,FALSE)</f>
        <v>1</v>
      </c>
      <c r="T25" s="661">
        <f>VLOOKUP($A25,'Measure Level Adjustments Tab'!$A$5:$CL$272,48,FALSE)</f>
        <v>1</v>
      </c>
      <c r="U25" s="661">
        <f>VLOOKUP($A25,'Measure Level Adjustments Tab'!$A$5:$CL$272,49,FALSE)</f>
        <v>1</v>
      </c>
      <c r="V25" s="418">
        <f t="shared" si="0"/>
        <v>1376.8849335255834</v>
      </c>
      <c r="W25" s="418">
        <f t="shared" si="0"/>
        <v>1376.8849335255834</v>
      </c>
      <c r="X25" s="418">
        <f t="shared" si="0"/>
        <v>1376.8849335255834</v>
      </c>
      <c r="Y25" s="418">
        <f t="shared" si="0"/>
        <v>1376.8849335255834</v>
      </c>
      <c r="Z25" s="418">
        <f t="shared" si="1"/>
        <v>5507.5397341023336</v>
      </c>
      <c r="AA25" s="410"/>
      <c r="AB25" s="422"/>
      <c r="AC25" s="415">
        <v>86.055308345348962</v>
      </c>
      <c r="AD25" s="416"/>
      <c r="AE25" s="414">
        <f t="shared" si="2"/>
        <v>1376.8849335255834</v>
      </c>
      <c r="AF25" s="412">
        <f t="shared" si="3"/>
        <v>0</v>
      </c>
      <c r="AG25" s="410"/>
      <c r="AH25" s="422"/>
      <c r="AI25" s="413">
        <v>11.869697702806754</v>
      </c>
      <c r="AJ25" s="2669" t="s">
        <v>820</v>
      </c>
      <c r="AK25" s="414">
        <f t="shared" si="4"/>
        <v>189.91516324490806</v>
      </c>
      <c r="AL25" s="412">
        <f t="shared" si="5"/>
        <v>-1186.9697702806752</v>
      </c>
      <c r="AM25" s="410"/>
      <c r="AN25" s="422"/>
      <c r="AO25" s="413">
        <v>11.869697702806754</v>
      </c>
      <c r="AP25" s="2669" t="s">
        <v>304</v>
      </c>
      <c r="AQ25" s="414">
        <f t="shared" si="6"/>
        <v>189.91516324490806</v>
      </c>
      <c r="AR25" s="412">
        <f t="shared" si="7"/>
        <v>-1186.9697702806752</v>
      </c>
      <c r="AS25" s="410"/>
      <c r="AT25" s="422"/>
      <c r="AU25" s="413">
        <f>VLOOKUP($A25,'Measure Level Adjustments Tab'!$A$5:$CL$272,53,FALSE)/U25</f>
        <v>11.869697702806754</v>
      </c>
      <c r="AV25" s="2669" t="s">
        <v>304</v>
      </c>
      <c r="AW25" s="414">
        <f t="shared" si="8"/>
        <v>189.91516324490806</v>
      </c>
      <c r="AX25" s="412">
        <f t="shared" si="9"/>
        <v>-1186.9697702806752</v>
      </c>
      <c r="AY25" s="418">
        <f t="shared" si="10"/>
        <v>1376.8849335255834</v>
      </c>
      <c r="AZ25" s="418">
        <f t="shared" si="11"/>
        <v>189.91516324490806</v>
      </c>
      <c r="BA25" s="418">
        <f t="shared" si="12"/>
        <v>189.91516324490806</v>
      </c>
      <c r="BB25" s="418">
        <f t="shared" si="13"/>
        <v>189.91516324490806</v>
      </c>
      <c r="BC25" s="419">
        <f t="shared" si="14"/>
        <v>1946.6304232603075</v>
      </c>
      <c r="BD25" s="410" t="s">
        <v>1271</v>
      </c>
      <c r="BE25" s="423" t="s">
        <v>1272</v>
      </c>
      <c r="BF25" s="421"/>
    </row>
    <row r="26" spans="1:58" s="327" customFormat="1" ht="18" customHeight="1" x14ac:dyDescent="0.35">
      <c r="A26" s="660">
        <v>863</v>
      </c>
      <c r="B26" s="660" t="str">
        <f>VLOOKUP($A26,'Measure Level Adjustments Tab'!$A$5:$CL$272,6,FALSE)</f>
        <v>Public Housing</v>
      </c>
      <c r="C26" s="659" t="s">
        <v>1072</v>
      </c>
      <c r="D26" s="659" t="s">
        <v>1765</v>
      </c>
      <c r="E26" s="411">
        <f>VLOOKUP($A26,'Measure Level Adjustments Tab'!$A$5:$CL$272,13,FALSE)</f>
        <v>1</v>
      </c>
      <c r="F26" s="411" t="str">
        <f>VLOOKUP($A26,'Measure Level Adjustments Tab'!$A$5:$CL$272,11,FALSE)</f>
        <v>5.3.6</v>
      </c>
      <c r="G26" s="411">
        <f>VLOOKUP($A26,'Measure Level Adjustments Tab'!$A$5:$CL$272,14,FALSE)</f>
        <v>0</v>
      </c>
      <c r="H26" s="663">
        <f>VLOOKUP($A26,'Measure Level Adjustments Tab'!$A$5:$CL$272,54,FALSE)</f>
        <v>3</v>
      </c>
      <c r="I26" s="663">
        <f>VLOOKUP($A26,'Measure Level Adjustments Tab'!$A$5:$CL$272,55,FALSE)</f>
        <v>3</v>
      </c>
      <c r="J26" s="663">
        <f>VLOOKUP($A26,'Measure Level Adjustments Tab'!$A$5:$CL$272,56,FALSE)</f>
        <v>3</v>
      </c>
      <c r="K26" s="663">
        <f>VLOOKUP($A26,'Measure Level Adjustments Tab'!$A$5:$CL$272,57,FALSE)</f>
        <v>3</v>
      </c>
      <c r="L26" s="411" t="str">
        <f>VLOOKUP($A26,'Measure Level Adjustments Tab'!$A$5:$CL$272,12,FALSE)</f>
        <v>RS-HVC-GHEB-V06-180101</v>
      </c>
      <c r="M26" s="422"/>
      <c r="N26" s="662">
        <v>144.38</v>
      </c>
      <c r="O26" s="662">
        <v>144.38</v>
      </c>
      <c r="P26" s="662">
        <v>144.38</v>
      </c>
      <c r="Q26" s="662">
        <v>144.38</v>
      </c>
      <c r="R26" s="661">
        <f>VLOOKUP($A26,'Measure Level Adjustments Tab'!$A$5:$CL$272,46,FALSE)</f>
        <v>1</v>
      </c>
      <c r="S26" s="661">
        <f>VLOOKUP($A26,'Measure Level Adjustments Tab'!$A$5:$CL$272,47,FALSE)</f>
        <v>1</v>
      </c>
      <c r="T26" s="661">
        <f>VLOOKUP($A26,'Measure Level Adjustments Tab'!$A$5:$CL$272,48,FALSE)</f>
        <v>1</v>
      </c>
      <c r="U26" s="661">
        <f>VLOOKUP($A26,'Measure Level Adjustments Tab'!$A$5:$CL$272,49,FALSE)</f>
        <v>1</v>
      </c>
      <c r="V26" s="418">
        <f t="shared" si="0"/>
        <v>433.14</v>
      </c>
      <c r="W26" s="418">
        <f t="shared" si="0"/>
        <v>433.14</v>
      </c>
      <c r="X26" s="418">
        <f t="shared" si="0"/>
        <v>433.14</v>
      </c>
      <c r="Y26" s="418">
        <f t="shared" si="0"/>
        <v>433.14</v>
      </c>
      <c r="Z26" s="418">
        <f t="shared" si="1"/>
        <v>1732.56</v>
      </c>
      <c r="AA26" s="410"/>
      <c r="AB26" s="422"/>
      <c r="AC26" s="415">
        <v>144.38</v>
      </c>
      <c r="AD26" s="416"/>
      <c r="AE26" s="414">
        <f t="shared" si="2"/>
        <v>433.14</v>
      </c>
      <c r="AF26" s="412">
        <f t="shared" si="3"/>
        <v>0</v>
      </c>
      <c r="AG26" s="410"/>
      <c r="AH26" s="422"/>
      <c r="AI26" s="413">
        <v>107.05</v>
      </c>
      <c r="AJ26" s="2669" t="s">
        <v>3499</v>
      </c>
      <c r="AK26" s="414">
        <f t="shared" si="4"/>
        <v>321.14999999999998</v>
      </c>
      <c r="AL26" s="412">
        <f t="shared" si="5"/>
        <v>-111.99000000000001</v>
      </c>
      <c r="AM26" s="410"/>
      <c r="AN26" s="422"/>
      <c r="AO26" s="413">
        <v>107.05</v>
      </c>
      <c r="AP26" s="2669" t="s">
        <v>304</v>
      </c>
      <c r="AQ26" s="414">
        <f t="shared" si="6"/>
        <v>321.14999999999998</v>
      </c>
      <c r="AR26" s="412">
        <f t="shared" si="7"/>
        <v>-111.99000000000001</v>
      </c>
      <c r="AS26" s="410"/>
      <c r="AT26" s="422"/>
      <c r="AU26" s="413">
        <f>VLOOKUP($A26,'Measure Level Adjustments Tab'!$A$5:$CL$272,53,FALSE)/U26</f>
        <v>107.05</v>
      </c>
      <c r="AV26" s="2669" t="s">
        <v>304</v>
      </c>
      <c r="AW26" s="414">
        <f t="shared" si="8"/>
        <v>321.14999999999998</v>
      </c>
      <c r="AX26" s="412">
        <f t="shared" si="9"/>
        <v>-111.99000000000001</v>
      </c>
      <c r="AY26" s="418">
        <f t="shared" si="10"/>
        <v>433.14</v>
      </c>
      <c r="AZ26" s="418">
        <f t="shared" si="11"/>
        <v>321.14999999999998</v>
      </c>
      <c r="BA26" s="418">
        <f t="shared" si="12"/>
        <v>321.14999999999998</v>
      </c>
      <c r="BB26" s="418">
        <f t="shared" si="13"/>
        <v>321.14999999999998</v>
      </c>
      <c r="BC26" s="419">
        <f t="shared" si="14"/>
        <v>1396.5900000000001</v>
      </c>
      <c r="BD26" s="410" t="s">
        <v>1271</v>
      </c>
      <c r="BE26" s="423" t="s">
        <v>1272</v>
      </c>
      <c r="BF26" s="421"/>
    </row>
    <row r="27" spans="1:58" s="327" customFormat="1" ht="18" customHeight="1" x14ac:dyDescent="0.35">
      <c r="A27" s="660">
        <v>905</v>
      </c>
      <c r="B27" s="660" t="str">
        <f>VLOOKUP($A27,'Measure Level Adjustments Tab'!$A$5:$CL$272,6,FALSE)</f>
        <v>Public Housing</v>
      </c>
      <c r="C27" s="659" t="s">
        <v>1072</v>
      </c>
      <c r="D27" s="659" t="s">
        <v>1766</v>
      </c>
      <c r="E27" s="411">
        <f>VLOOKUP($A27,'Measure Level Adjustments Tab'!$A$5:$CL$272,13,FALSE)</f>
        <v>1</v>
      </c>
      <c r="F27" s="411" t="str">
        <f>VLOOKUP($A27,'Measure Level Adjustments Tab'!$A$5:$CL$272,11,FALSE)</f>
        <v>5.3.11</v>
      </c>
      <c r="G27" s="411">
        <f>VLOOKUP($A27,'Measure Level Adjustments Tab'!$A$5:$CL$272,14,FALSE)</f>
        <v>0</v>
      </c>
      <c r="H27" s="663">
        <f>VLOOKUP($A27,'Measure Level Adjustments Tab'!$A$5:$CL$272,54,FALSE)</f>
        <v>35</v>
      </c>
      <c r="I27" s="663">
        <f>VLOOKUP($A27,'Measure Level Adjustments Tab'!$A$5:$CL$272,55,FALSE)</f>
        <v>35</v>
      </c>
      <c r="J27" s="663">
        <f>VLOOKUP($A27,'Measure Level Adjustments Tab'!$A$5:$CL$272,56,FALSE)</f>
        <v>35</v>
      </c>
      <c r="K27" s="663">
        <f>VLOOKUP($A27,'Measure Level Adjustments Tab'!$A$5:$CL$272,57,FALSE)</f>
        <v>35</v>
      </c>
      <c r="L27" s="411" t="str">
        <f>VLOOKUP($A27,'Measure Level Adjustments Tab'!$A$5:$CL$272,12,FALSE)</f>
        <v>RS-HVC-PROG-V04-180101</v>
      </c>
      <c r="M27" s="422"/>
      <c r="N27" s="662">
        <v>53.381999999999998</v>
      </c>
      <c r="O27" s="662">
        <v>53.381999999999998</v>
      </c>
      <c r="P27" s="662">
        <v>53.381999999999998</v>
      </c>
      <c r="Q27" s="662">
        <v>53.381999999999998</v>
      </c>
      <c r="R27" s="661">
        <f>VLOOKUP($A27,'Measure Level Adjustments Tab'!$A$5:$CL$272,46,FALSE)</f>
        <v>1</v>
      </c>
      <c r="S27" s="661">
        <f>VLOOKUP($A27,'Measure Level Adjustments Tab'!$A$5:$CL$272,47,FALSE)</f>
        <v>1</v>
      </c>
      <c r="T27" s="661">
        <f>VLOOKUP($A27,'Measure Level Adjustments Tab'!$A$5:$CL$272,48,FALSE)</f>
        <v>1</v>
      </c>
      <c r="U27" s="661">
        <f>VLOOKUP($A27,'Measure Level Adjustments Tab'!$A$5:$CL$272,49,FALSE)</f>
        <v>1</v>
      </c>
      <c r="V27" s="418">
        <f t="shared" si="0"/>
        <v>1868.37</v>
      </c>
      <c r="W27" s="418">
        <f t="shared" si="0"/>
        <v>1868.37</v>
      </c>
      <c r="X27" s="418">
        <f t="shared" si="0"/>
        <v>1868.37</v>
      </c>
      <c r="Y27" s="418">
        <f t="shared" si="0"/>
        <v>1868.37</v>
      </c>
      <c r="Z27" s="418">
        <f t="shared" si="1"/>
        <v>7473.48</v>
      </c>
      <c r="AA27" s="410"/>
      <c r="AB27" s="422"/>
      <c r="AC27" s="415">
        <v>53.381999999999998</v>
      </c>
      <c r="AD27" s="416"/>
      <c r="AE27" s="414">
        <f t="shared" si="2"/>
        <v>1868.37</v>
      </c>
      <c r="AF27" s="412">
        <f t="shared" si="3"/>
        <v>0</v>
      </c>
      <c r="AG27" s="410"/>
      <c r="AH27" s="422"/>
      <c r="AI27" s="413">
        <v>53.381999999999998</v>
      </c>
      <c r="AJ27" s="2669" t="s">
        <v>3542</v>
      </c>
      <c r="AK27" s="414">
        <f t="shared" si="4"/>
        <v>1868.37</v>
      </c>
      <c r="AL27" s="412">
        <f t="shared" si="5"/>
        <v>0</v>
      </c>
      <c r="AM27" s="410"/>
      <c r="AN27" s="422"/>
      <c r="AO27" s="413">
        <v>53.381999999999998</v>
      </c>
      <c r="AP27" s="2669" t="s">
        <v>304</v>
      </c>
      <c r="AQ27" s="414">
        <f t="shared" si="6"/>
        <v>1868.37</v>
      </c>
      <c r="AR27" s="412">
        <f t="shared" si="7"/>
        <v>0</v>
      </c>
      <c r="AS27" s="410"/>
      <c r="AT27" s="422"/>
      <c r="AU27" s="413">
        <f>VLOOKUP($A27,'Measure Level Adjustments Tab'!$A$5:$CL$272,53,FALSE)/U27</f>
        <v>53.381999999999998</v>
      </c>
      <c r="AV27" s="2669" t="s">
        <v>304</v>
      </c>
      <c r="AW27" s="414">
        <f t="shared" si="8"/>
        <v>1868.37</v>
      </c>
      <c r="AX27" s="412">
        <f t="shared" si="9"/>
        <v>0</v>
      </c>
      <c r="AY27" s="418">
        <f t="shared" si="10"/>
        <v>1868.37</v>
      </c>
      <c r="AZ27" s="418">
        <f t="shared" si="11"/>
        <v>1868.37</v>
      </c>
      <c r="BA27" s="418">
        <f t="shared" si="12"/>
        <v>1868.37</v>
      </c>
      <c r="BB27" s="418">
        <f t="shared" si="13"/>
        <v>1868.37</v>
      </c>
      <c r="BC27" s="419">
        <f t="shared" si="14"/>
        <v>7473.48</v>
      </c>
      <c r="BD27" s="410" t="s">
        <v>1271</v>
      </c>
      <c r="BE27" s="423" t="s">
        <v>1272</v>
      </c>
      <c r="BF27" s="421"/>
    </row>
    <row r="28" spans="1:58" s="327" customFormat="1" ht="18" customHeight="1" x14ac:dyDescent="0.35">
      <c r="A28" s="660">
        <v>889</v>
      </c>
      <c r="B28" s="660" t="str">
        <f>VLOOKUP($A28,'Measure Level Adjustments Tab'!$A$5:$CL$272,6,FALSE)</f>
        <v>Public Housing</v>
      </c>
      <c r="C28" s="659" t="s">
        <v>1072</v>
      </c>
      <c r="D28" s="659" t="s">
        <v>1770</v>
      </c>
      <c r="E28" s="411">
        <f>VLOOKUP($A28,'Measure Level Adjustments Tab'!$A$5:$CL$272,13,FALSE)</f>
        <v>1</v>
      </c>
      <c r="F28" s="411" t="str">
        <f>VLOOKUP($A28,'Measure Level Adjustments Tab'!$A$5:$CL$272,11,FALSE)</f>
        <v>5.3.4</v>
      </c>
      <c r="G28" s="411">
        <f>VLOOKUP($A28,'Measure Level Adjustments Tab'!$A$5:$CL$272,14,FALSE)</f>
        <v>0</v>
      </c>
      <c r="H28" s="663">
        <f>VLOOKUP($A28,'Measure Level Adjustments Tab'!$A$5:$CL$272,54,FALSE)</f>
        <v>9</v>
      </c>
      <c r="I28" s="663">
        <f>VLOOKUP($A28,'Measure Level Adjustments Tab'!$A$5:$CL$272,55,FALSE)</f>
        <v>9</v>
      </c>
      <c r="J28" s="663">
        <f>VLOOKUP($A28,'Measure Level Adjustments Tab'!$A$5:$CL$272,56,FALSE)</f>
        <v>9</v>
      </c>
      <c r="K28" s="663">
        <f>VLOOKUP($A28,'Measure Level Adjustments Tab'!$A$5:$CL$272,57,FALSE)</f>
        <v>9</v>
      </c>
      <c r="L28" s="411" t="str">
        <f>VLOOKUP($A28,'Measure Level Adjustments Tab'!$A$5:$CL$272,12,FALSE)</f>
        <v>RS-HVC-DINS-V06-160601</v>
      </c>
      <c r="M28" s="422"/>
      <c r="N28" s="662">
        <v>183.45506482091847</v>
      </c>
      <c r="O28" s="662">
        <v>183.45506482091847</v>
      </c>
      <c r="P28" s="662">
        <v>183.45506482091847</v>
      </c>
      <c r="Q28" s="662">
        <v>183.45506482091847</v>
      </c>
      <c r="R28" s="661">
        <f>VLOOKUP($A28,'Measure Level Adjustments Tab'!$A$5:$CL$272,46,FALSE)</f>
        <v>1</v>
      </c>
      <c r="S28" s="661">
        <f>VLOOKUP($A28,'Measure Level Adjustments Tab'!$A$5:$CL$272,47,FALSE)</f>
        <v>1</v>
      </c>
      <c r="T28" s="661">
        <f>VLOOKUP($A28,'Measure Level Adjustments Tab'!$A$5:$CL$272,48,FALSE)</f>
        <v>1</v>
      </c>
      <c r="U28" s="661">
        <f>VLOOKUP($A28,'Measure Level Adjustments Tab'!$A$5:$CL$272,49,FALSE)</f>
        <v>1</v>
      </c>
      <c r="V28" s="418">
        <f t="shared" si="0"/>
        <v>1651.0955833882663</v>
      </c>
      <c r="W28" s="418">
        <f t="shared" si="0"/>
        <v>1651.0955833882663</v>
      </c>
      <c r="X28" s="418">
        <f t="shared" si="0"/>
        <v>1651.0955833882663</v>
      </c>
      <c r="Y28" s="418">
        <f t="shared" si="0"/>
        <v>1651.0955833882663</v>
      </c>
      <c r="Z28" s="418">
        <f t="shared" si="1"/>
        <v>6604.3823335530651</v>
      </c>
      <c r="AA28" s="410"/>
      <c r="AB28" s="422"/>
      <c r="AC28" s="415">
        <v>183.45506482091847</v>
      </c>
      <c r="AD28" s="416"/>
      <c r="AE28" s="414">
        <f t="shared" si="2"/>
        <v>1651.0955833882663</v>
      </c>
      <c r="AF28" s="412">
        <f t="shared" si="3"/>
        <v>0</v>
      </c>
      <c r="AG28" s="410"/>
      <c r="AH28" s="422"/>
      <c r="AI28" s="413">
        <v>183.45506482091847</v>
      </c>
      <c r="AJ28" s="2669" t="s">
        <v>820</v>
      </c>
      <c r="AK28" s="414">
        <f t="shared" si="4"/>
        <v>1651.0955833882663</v>
      </c>
      <c r="AL28" s="412">
        <f t="shared" si="5"/>
        <v>0</v>
      </c>
      <c r="AM28" s="410"/>
      <c r="AN28" s="422"/>
      <c r="AO28" s="413">
        <v>183.45506482091847</v>
      </c>
      <c r="AP28" s="2669" t="s">
        <v>304</v>
      </c>
      <c r="AQ28" s="414">
        <f t="shared" si="6"/>
        <v>1651.0955833882663</v>
      </c>
      <c r="AR28" s="412">
        <f t="shared" si="7"/>
        <v>0</v>
      </c>
      <c r="AS28" s="410"/>
      <c r="AT28" s="422"/>
      <c r="AU28" s="413">
        <f>VLOOKUP($A28,'Measure Level Adjustments Tab'!$A$5:$CL$272,53,FALSE)/U28</f>
        <v>183.45506482091847</v>
      </c>
      <c r="AV28" s="2669" t="s">
        <v>304</v>
      </c>
      <c r="AW28" s="414">
        <f t="shared" si="8"/>
        <v>1651.0955833882663</v>
      </c>
      <c r="AX28" s="412">
        <f t="shared" si="9"/>
        <v>0</v>
      </c>
      <c r="AY28" s="418">
        <f t="shared" si="10"/>
        <v>1651.0955833882663</v>
      </c>
      <c r="AZ28" s="418">
        <f t="shared" si="11"/>
        <v>1651.0955833882663</v>
      </c>
      <c r="BA28" s="418">
        <f t="shared" si="12"/>
        <v>1651.0955833882663</v>
      </c>
      <c r="BB28" s="418">
        <f t="shared" si="13"/>
        <v>1651.0955833882663</v>
      </c>
      <c r="BC28" s="419">
        <f t="shared" si="14"/>
        <v>6604.3823335530651</v>
      </c>
      <c r="BD28" s="410" t="s">
        <v>1271</v>
      </c>
      <c r="BE28" s="423" t="s">
        <v>1272</v>
      </c>
      <c r="BF28" s="421"/>
    </row>
    <row r="29" spans="1:58" s="327" customFormat="1" ht="18" customHeight="1" x14ac:dyDescent="0.35">
      <c r="A29" s="660">
        <v>854</v>
      </c>
      <c r="B29" s="660" t="str">
        <f>VLOOKUP($A29,'Measure Level Adjustments Tab'!$A$5:$CL$272,6,FALSE)</f>
        <v>Public Housing</v>
      </c>
      <c r="C29" s="659" t="s">
        <v>1072</v>
      </c>
      <c r="D29" s="659" t="s">
        <v>1778</v>
      </c>
      <c r="E29" s="411">
        <f>VLOOKUP($A29,'Measure Level Adjustments Tab'!$A$5:$CL$272,13,FALSE)</f>
        <v>1</v>
      </c>
      <c r="F29" s="411" t="str">
        <f>VLOOKUP($A29,'Measure Level Adjustments Tab'!$A$5:$CL$272,11,FALSE)</f>
        <v>5.3.7</v>
      </c>
      <c r="G29" s="411">
        <f>VLOOKUP($A29,'Measure Level Adjustments Tab'!$A$5:$CL$272,14,FALSE)</f>
        <v>0</v>
      </c>
      <c r="H29" s="663">
        <f>VLOOKUP($A29,'Measure Level Adjustments Tab'!$A$5:$CL$272,54,FALSE)</f>
        <v>5</v>
      </c>
      <c r="I29" s="663">
        <f>VLOOKUP($A29,'Measure Level Adjustments Tab'!$A$5:$CL$272,55,FALSE)</f>
        <v>5</v>
      </c>
      <c r="J29" s="663">
        <f>VLOOKUP($A29,'Measure Level Adjustments Tab'!$A$5:$CL$272,56,FALSE)</f>
        <v>5</v>
      </c>
      <c r="K29" s="663">
        <f>VLOOKUP($A29,'Measure Level Adjustments Tab'!$A$5:$CL$272,57,FALSE)</f>
        <v>5</v>
      </c>
      <c r="L29" s="411" t="str">
        <f>VLOOKUP($A29,'Measure Level Adjustments Tab'!$A$5:$CL$272,12,FALSE)</f>
        <v>RS-HVC-GHEF-V07-180101</v>
      </c>
      <c r="M29" s="422"/>
      <c r="N29" s="662">
        <v>140.92105263157899</v>
      </c>
      <c r="O29" s="662">
        <v>140.92105263157899</v>
      </c>
      <c r="P29" s="662">
        <v>140.92105263157899</v>
      </c>
      <c r="Q29" s="662">
        <v>140.92105263157899</v>
      </c>
      <c r="R29" s="661">
        <f>VLOOKUP($A29,'Measure Level Adjustments Tab'!$A$5:$CL$272,46,FALSE)</f>
        <v>1</v>
      </c>
      <c r="S29" s="661">
        <f>VLOOKUP($A29,'Measure Level Adjustments Tab'!$A$5:$CL$272,47,FALSE)</f>
        <v>1</v>
      </c>
      <c r="T29" s="661">
        <f>VLOOKUP($A29,'Measure Level Adjustments Tab'!$A$5:$CL$272,48,FALSE)</f>
        <v>1</v>
      </c>
      <c r="U29" s="661">
        <f>VLOOKUP($A29,'Measure Level Adjustments Tab'!$A$5:$CL$272,49,FALSE)</f>
        <v>1</v>
      </c>
      <c r="V29" s="418">
        <f t="shared" si="0"/>
        <v>704.60526315789491</v>
      </c>
      <c r="W29" s="418">
        <f t="shared" si="0"/>
        <v>704.60526315789491</v>
      </c>
      <c r="X29" s="418">
        <f t="shared" si="0"/>
        <v>704.60526315789491</v>
      </c>
      <c r="Y29" s="418">
        <f t="shared" si="0"/>
        <v>704.60526315789491</v>
      </c>
      <c r="Z29" s="418">
        <f t="shared" si="1"/>
        <v>2818.4210526315796</v>
      </c>
      <c r="AA29" s="410"/>
      <c r="AB29" s="422"/>
      <c r="AC29" s="415">
        <v>140.92105263157899</v>
      </c>
      <c r="AD29" s="416"/>
      <c r="AE29" s="414">
        <f t="shared" si="2"/>
        <v>704.60526315789491</v>
      </c>
      <c r="AF29" s="412">
        <f t="shared" si="3"/>
        <v>0</v>
      </c>
      <c r="AG29" s="410"/>
      <c r="AH29" s="422"/>
      <c r="AI29" s="413">
        <v>133.97435897435881</v>
      </c>
      <c r="AJ29" s="2669" t="s">
        <v>3499</v>
      </c>
      <c r="AK29" s="414">
        <f t="shared" si="4"/>
        <v>669.87179487179401</v>
      </c>
      <c r="AL29" s="412">
        <f t="shared" si="5"/>
        <v>-34.733468286100901</v>
      </c>
      <c r="AM29" s="410"/>
      <c r="AN29" s="422"/>
      <c r="AO29" s="413">
        <v>133.97435897435881</v>
      </c>
      <c r="AP29" s="2669" t="s">
        <v>304</v>
      </c>
      <c r="AQ29" s="414">
        <f t="shared" si="6"/>
        <v>669.87179487179401</v>
      </c>
      <c r="AR29" s="412">
        <f t="shared" si="7"/>
        <v>-34.733468286100901</v>
      </c>
      <c r="AS29" s="410"/>
      <c r="AT29" s="422"/>
      <c r="AU29" s="413">
        <f>VLOOKUP($A29,'Measure Level Adjustments Tab'!$A$5:$CL$272,53,FALSE)/U29</f>
        <v>149.11346153846137</v>
      </c>
      <c r="AV29" s="2669" t="s">
        <v>4387</v>
      </c>
      <c r="AW29" s="414">
        <f t="shared" si="8"/>
        <v>745.56730769230683</v>
      </c>
      <c r="AX29" s="412">
        <f t="shared" si="9"/>
        <v>40.962044534411916</v>
      </c>
      <c r="AY29" s="418">
        <f t="shared" si="10"/>
        <v>704.60526315789491</v>
      </c>
      <c r="AZ29" s="418">
        <f t="shared" si="11"/>
        <v>669.87179487179401</v>
      </c>
      <c r="BA29" s="418">
        <f t="shared" si="12"/>
        <v>669.87179487179401</v>
      </c>
      <c r="BB29" s="418">
        <f t="shared" si="13"/>
        <v>745.56730769230683</v>
      </c>
      <c r="BC29" s="419">
        <f t="shared" si="14"/>
        <v>2789.9161605937898</v>
      </c>
      <c r="BD29" s="410" t="s">
        <v>1271</v>
      </c>
      <c r="BE29" s="423" t="s">
        <v>1272</v>
      </c>
      <c r="BF29" s="421"/>
    </row>
    <row r="30" spans="1:58" s="327" customFormat="1" ht="18" customHeight="1" x14ac:dyDescent="0.35">
      <c r="A30" s="660">
        <v>916</v>
      </c>
      <c r="B30" s="660" t="str">
        <f>VLOOKUP($A30,'Measure Level Adjustments Tab'!$A$5:$CL$272,6,FALSE)</f>
        <v>Public Housing</v>
      </c>
      <c r="C30" s="659" t="s">
        <v>1072</v>
      </c>
      <c r="D30" s="659" t="s">
        <v>1781</v>
      </c>
      <c r="E30" s="411">
        <f>VLOOKUP($A30,'Measure Level Adjustments Tab'!$A$5:$CL$272,13,FALSE)</f>
        <v>1</v>
      </c>
      <c r="F30" s="411" t="str">
        <f>VLOOKUP($A30,'Measure Level Adjustments Tab'!$A$5:$CL$272,11,FALSE)</f>
        <v>5.3.16</v>
      </c>
      <c r="G30" s="411">
        <f>VLOOKUP($A30,'Measure Level Adjustments Tab'!$A$5:$CL$272,14,FALSE)</f>
        <v>0</v>
      </c>
      <c r="H30" s="663">
        <f>VLOOKUP($A30,'Measure Level Adjustments Tab'!$A$5:$CL$272,54,FALSE)</f>
        <v>25</v>
      </c>
      <c r="I30" s="663">
        <f>VLOOKUP($A30,'Measure Level Adjustments Tab'!$A$5:$CL$272,55,FALSE)</f>
        <v>25</v>
      </c>
      <c r="J30" s="663">
        <f>VLOOKUP($A30,'Measure Level Adjustments Tab'!$A$5:$CL$272,56,FALSE)</f>
        <v>25</v>
      </c>
      <c r="K30" s="663">
        <f>VLOOKUP($A30,'Measure Level Adjustments Tab'!$A$5:$CL$272,57,FALSE)</f>
        <v>25</v>
      </c>
      <c r="L30" s="411" t="str">
        <f>VLOOKUP($A30,'Measure Level Adjustments Tab'!$A$5:$CL$272,12,FALSE)</f>
        <v>RS-HVC-ADTH-V02-180101</v>
      </c>
      <c r="M30" s="422"/>
      <c r="N30" s="662">
        <v>63.713999999999999</v>
      </c>
      <c r="O30" s="662">
        <v>63.713999999999999</v>
      </c>
      <c r="P30" s="662">
        <v>63.713999999999999</v>
      </c>
      <c r="Q30" s="662">
        <v>63.713999999999999</v>
      </c>
      <c r="R30" s="661">
        <f>VLOOKUP($A30,'Measure Level Adjustments Tab'!$A$5:$CL$272,46,FALSE)</f>
        <v>1</v>
      </c>
      <c r="S30" s="661">
        <f>VLOOKUP($A30,'Measure Level Adjustments Tab'!$A$5:$CL$272,47,FALSE)</f>
        <v>1</v>
      </c>
      <c r="T30" s="661">
        <f>VLOOKUP($A30,'Measure Level Adjustments Tab'!$A$5:$CL$272,48,FALSE)</f>
        <v>1</v>
      </c>
      <c r="U30" s="661">
        <f>VLOOKUP($A30,'Measure Level Adjustments Tab'!$A$5:$CL$272,49,FALSE)</f>
        <v>1</v>
      </c>
      <c r="V30" s="418">
        <f t="shared" si="0"/>
        <v>1592.85</v>
      </c>
      <c r="W30" s="418">
        <f t="shared" si="0"/>
        <v>1592.85</v>
      </c>
      <c r="X30" s="418">
        <f t="shared" si="0"/>
        <v>1592.85</v>
      </c>
      <c r="Y30" s="418">
        <f t="shared" si="0"/>
        <v>1592.85</v>
      </c>
      <c r="Z30" s="418">
        <f t="shared" si="1"/>
        <v>6371.4</v>
      </c>
      <c r="AA30" s="410"/>
      <c r="AB30" s="422"/>
      <c r="AC30" s="415">
        <v>63.713999999999999</v>
      </c>
      <c r="AD30" s="416"/>
      <c r="AE30" s="414">
        <f t="shared" si="2"/>
        <v>1592.85</v>
      </c>
      <c r="AF30" s="412">
        <f t="shared" si="3"/>
        <v>0</v>
      </c>
      <c r="AG30" s="410"/>
      <c r="AH30" s="422"/>
      <c r="AI30" s="413">
        <v>63.713999999999999</v>
      </c>
      <c r="AJ30" s="2669" t="s">
        <v>3508</v>
      </c>
      <c r="AK30" s="414">
        <f t="shared" si="4"/>
        <v>1592.85</v>
      </c>
      <c r="AL30" s="412">
        <f t="shared" si="5"/>
        <v>0</v>
      </c>
      <c r="AM30" s="410"/>
      <c r="AN30" s="422"/>
      <c r="AO30" s="413">
        <v>63.713999999999999</v>
      </c>
      <c r="AP30" s="2669" t="s">
        <v>304</v>
      </c>
      <c r="AQ30" s="414">
        <f t="shared" si="6"/>
        <v>1592.85</v>
      </c>
      <c r="AR30" s="412">
        <f t="shared" si="7"/>
        <v>0</v>
      </c>
      <c r="AS30" s="410"/>
      <c r="AT30" s="422"/>
      <c r="AU30" s="413">
        <f>VLOOKUP($A30,'Measure Level Adjustments Tab'!$A$5:$CL$272,53,FALSE)/U30</f>
        <v>74.045999999999992</v>
      </c>
      <c r="AV30" s="2669" t="s">
        <v>4216</v>
      </c>
      <c r="AW30" s="414">
        <f t="shared" si="8"/>
        <v>1851.1499999999999</v>
      </c>
      <c r="AX30" s="412">
        <f t="shared" si="9"/>
        <v>258.29999999999995</v>
      </c>
      <c r="AY30" s="418">
        <f t="shared" si="10"/>
        <v>1592.85</v>
      </c>
      <c r="AZ30" s="418">
        <f t="shared" si="11"/>
        <v>1592.85</v>
      </c>
      <c r="BA30" s="418">
        <f t="shared" si="12"/>
        <v>1592.85</v>
      </c>
      <c r="BB30" s="418">
        <f t="shared" si="13"/>
        <v>1851.1499999999999</v>
      </c>
      <c r="BC30" s="419">
        <f t="shared" si="14"/>
        <v>6629.6999999999989</v>
      </c>
      <c r="BD30" s="410" t="s">
        <v>1271</v>
      </c>
      <c r="BE30" s="423" t="s">
        <v>1272</v>
      </c>
      <c r="BF30" s="421"/>
    </row>
    <row r="31" spans="1:58" s="327" customFormat="1" ht="18" customHeight="1" x14ac:dyDescent="0.35">
      <c r="A31" s="660">
        <v>915</v>
      </c>
      <c r="B31" s="660" t="str">
        <f>VLOOKUP($A31,'Measure Level Adjustments Tab'!$A$5:$CL$272,6,FALSE)</f>
        <v>Public Housing</v>
      </c>
      <c r="C31" s="659" t="s">
        <v>1072</v>
      </c>
      <c r="D31" s="659" t="s">
        <v>1782</v>
      </c>
      <c r="E31" s="411">
        <f>VLOOKUP($A31,'Measure Level Adjustments Tab'!$A$5:$CL$272,13,FALSE)</f>
        <v>1</v>
      </c>
      <c r="F31" s="411" t="str">
        <f>VLOOKUP($A31,'Measure Level Adjustments Tab'!$A$5:$CL$272,11,FALSE)</f>
        <v>5.3.16</v>
      </c>
      <c r="G31" s="411">
        <f>VLOOKUP($A31,'Measure Level Adjustments Tab'!$A$5:$CL$272,14,FALSE)</f>
        <v>0</v>
      </c>
      <c r="H31" s="663">
        <f>VLOOKUP($A31,'Measure Level Adjustments Tab'!$A$5:$CL$272,54,FALSE)</f>
        <v>3</v>
      </c>
      <c r="I31" s="663">
        <f>VLOOKUP($A31,'Measure Level Adjustments Tab'!$A$5:$CL$272,55,FALSE)</f>
        <v>3</v>
      </c>
      <c r="J31" s="663">
        <f>VLOOKUP($A31,'Measure Level Adjustments Tab'!$A$5:$CL$272,56,FALSE)</f>
        <v>3</v>
      </c>
      <c r="K31" s="663">
        <f>VLOOKUP($A31,'Measure Level Adjustments Tab'!$A$5:$CL$272,57,FALSE)</f>
        <v>3</v>
      </c>
      <c r="L31" s="411" t="str">
        <f>VLOOKUP($A31,'Measure Level Adjustments Tab'!$A$5:$CL$272,12,FALSE)</f>
        <v>RS-HVC-ADTH-V02-180101</v>
      </c>
      <c r="M31" s="422"/>
      <c r="N31" s="662">
        <v>63.713999999999999</v>
      </c>
      <c r="O31" s="662">
        <v>63.713999999999999</v>
      </c>
      <c r="P31" s="662">
        <v>63.713999999999999</v>
      </c>
      <c r="Q31" s="662">
        <v>63.713999999999999</v>
      </c>
      <c r="R31" s="661">
        <f>VLOOKUP($A31,'Measure Level Adjustments Tab'!$A$5:$CL$272,46,FALSE)</f>
        <v>1</v>
      </c>
      <c r="S31" s="661">
        <f>VLOOKUP($A31,'Measure Level Adjustments Tab'!$A$5:$CL$272,47,FALSE)</f>
        <v>1</v>
      </c>
      <c r="T31" s="661">
        <f>VLOOKUP($A31,'Measure Level Adjustments Tab'!$A$5:$CL$272,48,FALSE)</f>
        <v>1</v>
      </c>
      <c r="U31" s="661">
        <f>VLOOKUP($A31,'Measure Level Adjustments Tab'!$A$5:$CL$272,49,FALSE)</f>
        <v>1</v>
      </c>
      <c r="V31" s="418">
        <f t="shared" si="0"/>
        <v>191.142</v>
      </c>
      <c r="W31" s="418">
        <f t="shared" si="0"/>
        <v>191.142</v>
      </c>
      <c r="X31" s="418">
        <f t="shared" si="0"/>
        <v>191.142</v>
      </c>
      <c r="Y31" s="418">
        <f t="shared" si="0"/>
        <v>191.142</v>
      </c>
      <c r="Z31" s="418">
        <f t="shared" si="1"/>
        <v>764.56799999999998</v>
      </c>
      <c r="AA31" s="410"/>
      <c r="AB31" s="422"/>
      <c r="AC31" s="415">
        <v>63.713999999999999</v>
      </c>
      <c r="AD31" s="416"/>
      <c r="AE31" s="414">
        <f t="shared" si="2"/>
        <v>191.142</v>
      </c>
      <c r="AF31" s="412">
        <f t="shared" si="3"/>
        <v>0</v>
      </c>
      <c r="AG31" s="410"/>
      <c r="AH31" s="422"/>
      <c r="AI31" s="413">
        <v>63.713999999999999</v>
      </c>
      <c r="AJ31" s="2669" t="s">
        <v>3508</v>
      </c>
      <c r="AK31" s="414">
        <f t="shared" si="4"/>
        <v>191.142</v>
      </c>
      <c r="AL31" s="412">
        <f t="shared" si="5"/>
        <v>0</v>
      </c>
      <c r="AM31" s="410"/>
      <c r="AN31" s="422"/>
      <c r="AO31" s="413">
        <v>63.713999999999999</v>
      </c>
      <c r="AP31" s="2669" t="s">
        <v>304</v>
      </c>
      <c r="AQ31" s="414">
        <f t="shared" si="6"/>
        <v>191.142</v>
      </c>
      <c r="AR31" s="412">
        <f t="shared" si="7"/>
        <v>0</v>
      </c>
      <c r="AS31" s="410"/>
      <c r="AT31" s="422"/>
      <c r="AU31" s="413">
        <f>VLOOKUP($A31,'Measure Level Adjustments Tab'!$A$5:$CL$272,53,FALSE)/U31</f>
        <v>74.045999999999992</v>
      </c>
      <c r="AV31" s="2669" t="s">
        <v>4216</v>
      </c>
      <c r="AW31" s="414">
        <f t="shared" si="8"/>
        <v>222.13799999999998</v>
      </c>
      <c r="AX31" s="412">
        <f t="shared" si="9"/>
        <v>30.995999999999981</v>
      </c>
      <c r="AY31" s="418">
        <f t="shared" si="10"/>
        <v>191.142</v>
      </c>
      <c r="AZ31" s="418">
        <f t="shared" si="11"/>
        <v>191.142</v>
      </c>
      <c r="BA31" s="418">
        <f t="shared" si="12"/>
        <v>191.142</v>
      </c>
      <c r="BB31" s="418">
        <f t="shared" si="13"/>
        <v>222.13799999999998</v>
      </c>
      <c r="BC31" s="419">
        <f t="shared" si="14"/>
        <v>795.56399999999985</v>
      </c>
      <c r="BD31" s="410" t="s">
        <v>1271</v>
      </c>
      <c r="BE31" s="423" t="s">
        <v>1272</v>
      </c>
      <c r="BF31" s="421"/>
    </row>
    <row r="32" spans="1:58" s="327" customFormat="1" ht="18" customHeight="1" x14ac:dyDescent="0.35">
      <c r="A32" s="660">
        <v>888</v>
      </c>
      <c r="B32" s="660" t="str">
        <f>VLOOKUP($A32,'Measure Level Adjustments Tab'!$A$5:$CL$272,6,FALSE)</f>
        <v>Public Housing</v>
      </c>
      <c r="C32" s="659" t="s">
        <v>1072</v>
      </c>
      <c r="D32" s="659" t="s">
        <v>1785</v>
      </c>
      <c r="E32" s="411">
        <f>VLOOKUP($A32,'Measure Level Adjustments Tab'!$A$5:$CL$272,13,FALSE)</f>
        <v>1</v>
      </c>
      <c r="F32" s="411" t="str">
        <f>VLOOKUP($A32,'Measure Level Adjustments Tab'!$A$5:$CL$272,11,FALSE)</f>
        <v>5.3.4</v>
      </c>
      <c r="G32" s="411">
        <f>VLOOKUP($A32,'Measure Level Adjustments Tab'!$A$5:$CL$272,14,FALSE)</f>
        <v>0</v>
      </c>
      <c r="H32" s="663">
        <f>VLOOKUP($A32,'Measure Level Adjustments Tab'!$A$5:$CL$272,54,FALSE)</f>
        <v>9</v>
      </c>
      <c r="I32" s="663">
        <f>VLOOKUP($A32,'Measure Level Adjustments Tab'!$A$5:$CL$272,55,FALSE)</f>
        <v>9</v>
      </c>
      <c r="J32" s="663">
        <f>VLOOKUP($A32,'Measure Level Adjustments Tab'!$A$5:$CL$272,56,FALSE)</f>
        <v>9</v>
      </c>
      <c r="K32" s="663">
        <f>VLOOKUP($A32,'Measure Level Adjustments Tab'!$A$5:$CL$272,57,FALSE)</f>
        <v>9</v>
      </c>
      <c r="L32" s="411" t="str">
        <f>VLOOKUP($A32,'Measure Level Adjustments Tab'!$A$5:$CL$272,12,FALSE)</f>
        <v>RS-HVC-DINS-V06-160601</v>
      </c>
      <c r="M32" s="422"/>
      <c r="N32" s="662">
        <v>183.45506482091847</v>
      </c>
      <c r="O32" s="662">
        <v>183.45506482091847</v>
      </c>
      <c r="P32" s="662">
        <v>183.45506482091847</v>
      </c>
      <c r="Q32" s="662">
        <v>183.45506482091847</v>
      </c>
      <c r="R32" s="661">
        <f>VLOOKUP($A32,'Measure Level Adjustments Tab'!$A$5:$CL$272,46,FALSE)</f>
        <v>1</v>
      </c>
      <c r="S32" s="661">
        <f>VLOOKUP($A32,'Measure Level Adjustments Tab'!$A$5:$CL$272,47,FALSE)</f>
        <v>1</v>
      </c>
      <c r="T32" s="661">
        <f>VLOOKUP($A32,'Measure Level Adjustments Tab'!$A$5:$CL$272,48,FALSE)</f>
        <v>1</v>
      </c>
      <c r="U32" s="661">
        <f>VLOOKUP($A32,'Measure Level Adjustments Tab'!$A$5:$CL$272,49,FALSE)</f>
        <v>1</v>
      </c>
      <c r="V32" s="418">
        <f t="shared" si="0"/>
        <v>1651.0955833882663</v>
      </c>
      <c r="W32" s="418">
        <f t="shared" si="0"/>
        <v>1651.0955833882663</v>
      </c>
      <c r="X32" s="418">
        <f t="shared" si="0"/>
        <v>1651.0955833882663</v>
      </c>
      <c r="Y32" s="418">
        <f t="shared" si="0"/>
        <v>1651.0955833882663</v>
      </c>
      <c r="Z32" s="418">
        <f t="shared" si="1"/>
        <v>6604.3823335530651</v>
      </c>
      <c r="AA32" s="410"/>
      <c r="AB32" s="422"/>
      <c r="AC32" s="415">
        <v>183.45506482091847</v>
      </c>
      <c r="AD32" s="416"/>
      <c r="AE32" s="414">
        <f t="shared" si="2"/>
        <v>1651.0955833882663</v>
      </c>
      <c r="AF32" s="412">
        <f t="shared" si="3"/>
        <v>0</v>
      </c>
      <c r="AG32" s="410"/>
      <c r="AH32" s="422"/>
      <c r="AI32" s="413">
        <v>183.45506482091847</v>
      </c>
      <c r="AJ32" s="2669" t="s">
        <v>820</v>
      </c>
      <c r="AK32" s="414">
        <f t="shared" si="4"/>
        <v>1651.0955833882663</v>
      </c>
      <c r="AL32" s="412">
        <f t="shared" si="5"/>
        <v>0</v>
      </c>
      <c r="AM32" s="410"/>
      <c r="AN32" s="422"/>
      <c r="AO32" s="413">
        <v>183.45506482091847</v>
      </c>
      <c r="AP32" s="2669" t="s">
        <v>304</v>
      </c>
      <c r="AQ32" s="414">
        <f t="shared" si="6"/>
        <v>1651.0955833882663</v>
      </c>
      <c r="AR32" s="412">
        <f t="shared" si="7"/>
        <v>0</v>
      </c>
      <c r="AS32" s="410"/>
      <c r="AT32" s="422"/>
      <c r="AU32" s="413">
        <f>VLOOKUP($A32,'Measure Level Adjustments Tab'!$A$5:$CL$272,53,FALSE)/U32</f>
        <v>183.45506482091847</v>
      </c>
      <c r="AV32" s="2669" t="s">
        <v>304</v>
      </c>
      <c r="AW32" s="414">
        <f t="shared" si="8"/>
        <v>1651.0955833882663</v>
      </c>
      <c r="AX32" s="412">
        <f t="shared" si="9"/>
        <v>0</v>
      </c>
      <c r="AY32" s="418">
        <f t="shared" si="10"/>
        <v>1651.0955833882663</v>
      </c>
      <c r="AZ32" s="418">
        <f t="shared" si="11"/>
        <v>1651.0955833882663</v>
      </c>
      <c r="BA32" s="418">
        <f t="shared" si="12"/>
        <v>1651.0955833882663</v>
      </c>
      <c r="BB32" s="418">
        <f t="shared" si="13"/>
        <v>1651.0955833882663</v>
      </c>
      <c r="BC32" s="419">
        <f t="shared" si="14"/>
        <v>6604.3823335530651</v>
      </c>
      <c r="BD32" s="410" t="s">
        <v>1271</v>
      </c>
      <c r="BE32" s="423" t="s">
        <v>1272</v>
      </c>
      <c r="BF32" s="421"/>
    </row>
    <row r="33" spans="1:58" s="327" customFormat="1" ht="18" customHeight="1" x14ac:dyDescent="0.35">
      <c r="A33" s="660">
        <v>890</v>
      </c>
      <c r="B33" s="660" t="str">
        <f>VLOOKUP($A33,'Measure Level Adjustments Tab'!$A$5:$CL$272,6,FALSE)</f>
        <v>Public Housing</v>
      </c>
      <c r="C33" s="659" t="s">
        <v>1072</v>
      </c>
      <c r="D33" s="659" t="s">
        <v>1786</v>
      </c>
      <c r="E33" s="411">
        <f>VLOOKUP($A33,'Measure Level Adjustments Tab'!$A$5:$CL$272,13,FALSE)</f>
        <v>1</v>
      </c>
      <c r="F33" s="411" t="str">
        <f>VLOOKUP($A33,'Measure Level Adjustments Tab'!$A$5:$CL$272,11,FALSE)</f>
        <v>5.3.4</v>
      </c>
      <c r="G33" s="411">
        <f>VLOOKUP($A33,'Measure Level Adjustments Tab'!$A$5:$CL$272,14,FALSE)</f>
        <v>0</v>
      </c>
      <c r="H33" s="663">
        <f>VLOOKUP($A33,'Measure Level Adjustments Tab'!$A$5:$CL$272,54,FALSE)</f>
        <v>94</v>
      </c>
      <c r="I33" s="663">
        <f>VLOOKUP($A33,'Measure Level Adjustments Tab'!$A$5:$CL$272,55,FALSE)</f>
        <v>94</v>
      </c>
      <c r="J33" s="663">
        <f>VLOOKUP($A33,'Measure Level Adjustments Tab'!$A$5:$CL$272,56,FALSE)</f>
        <v>94</v>
      </c>
      <c r="K33" s="663">
        <f>VLOOKUP($A33,'Measure Level Adjustments Tab'!$A$5:$CL$272,57,FALSE)</f>
        <v>94</v>
      </c>
      <c r="L33" s="411" t="str">
        <f>VLOOKUP($A33,'Measure Level Adjustments Tab'!$A$5:$CL$272,12,FALSE)</f>
        <v>RS-HVC-DINS-V06-160601</v>
      </c>
      <c r="M33" s="422"/>
      <c r="N33" s="662">
        <v>183.45506482091847</v>
      </c>
      <c r="O33" s="662">
        <v>183.45506482091847</v>
      </c>
      <c r="P33" s="662">
        <v>183.45506482091847</v>
      </c>
      <c r="Q33" s="662">
        <v>183.45506482091847</v>
      </c>
      <c r="R33" s="661">
        <f>VLOOKUP($A33,'Measure Level Adjustments Tab'!$A$5:$CL$272,46,FALSE)</f>
        <v>1</v>
      </c>
      <c r="S33" s="661">
        <f>VLOOKUP($A33,'Measure Level Adjustments Tab'!$A$5:$CL$272,47,FALSE)</f>
        <v>1</v>
      </c>
      <c r="T33" s="661">
        <f>VLOOKUP($A33,'Measure Level Adjustments Tab'!$A$5:$CL$272,48,FALSE)</f>
        <v>1</v>
      </c>
      <c r="U33" s="661">
        <f>VLOOKUP($A33,'Measure Level Adjustments Tab'!$A$5:$CL$272,49,FALSE)</f>
        <v>1</v>
      </c>
      <c r="V33" s="418">
        <f t="shared" si="0"/>
        <v>17244.776093166336</v>
      </c>
      <c r="W33" s="418">
        <f t="shared" si="0"/>
        <v>17244.776093166336</v>
      </c>
      <c r="X33" s="418">
        <f t="shared" si="0"/>
        <v>17244.776093166336</v>
      </c>
      <c r="Y33" s="418">
        <f t="shared" si="0"/>
        <v>17244.776093166336</v>
      </c>
      <c r="Z33" s="418">
        <f t="shared" si="1"/>
        <v>68979.104372665344</v>
      </c>
      <c r="AA33" s="410"/>
      <c r="AB33" s="422"/>
      <c r="AC33" s="415">
        <v>183.45506482091847</v>
      </c>
      <c r="AD33" s="416"/>
      <c r="AE33" s="414">
        <f t="shared" si="2"/>
        <v>17244.776093166336</v>
      </c>
      <c r="AF33" s="412">
        <f t="shared" si="3"/>
        <v>0</v>
      </c>
      <c r="AG33" s="410"/>
      <c r="AH33" s="422"/>
      <c r="AI33" s="413">
        <v>183.45506482091847</v>
      </c>
      <c r="AJ33" s="2669" t="s">
        <v>820</v>
      </c>
      <c r="AK33" s="414">
        <f t="shared" si="4"/>
        <v>17244.776093166336</v>
      </c>
      <c r="AL33" s="412">
        <f t="shared" si="5"/>
        <v>0</v>
      </c>
      <c r="AM33" s="410"/>
      <c r="AN33" s="422"/>
      <c r="AO33" s="413">
        <v>183.45506482091847</v>
      </c>
      <c r="AP33" s="2669" t="s">
        <v>304</v>
      </c>
      <c r="AQ33" s="414">
        <f t="shared" si="6"/>
        <v>17244.776093166336</v>
      </c>
      <c r="AR33" s="412">
        <f t="shared" si="7"/>
        <v>0</v>
      </c>
      <c r="AS33" s="410"/>
      <c r="AT33" s="422"/>
      <c r="AU33" s="413">
        <f>VLOOKUP($A33,'Measure Level Adjustments Tab'!$A$5:$CL$272,53,FALSE)/U33</f>
        <v>183.45506482091847</v>
      </c>
      <c r="AV33" s="2669" t="s">
        <v>304</v>
      </c>
      <c r="AW33" s="414">
        <f t="shared" si="8"/>
        <v>17244.776093166336</v>
      </c>
      <c r="AX33" s="412">
        <f t="shared" si="9"/>
        <v>0</v>
      </c>
      <c r="AY33" s="418">
        <f t="shared" si="10"/>
        <v>17244.776093166336</v>
      </c>
      <c r="AZ33" s="418">
        <f t="shared" si="11"/>
        <v>17244.776093166336</v>
      </c>
      <c r="BA33" s="418">
        <f t="shared" si="12"/>
        <v>17244.776093166336</v>
      </c>
      <c r="BB33" s="418">
        <f t="shared" si="13"/>
        <v>17244.776093166336</v>
      </c>
      <c r="BC33" s="419">
        <f t="shared" si="14"/>
        <v>68979.104372665344</v>
      </c>
      <c r="BD33" s="410" t="s">
        <v>1271</v>
      </c>
      <c r="BE33" s="423" t="s">
        <v>1272</v>
      </c>
      <c r="BF33" s="421"/>
    </row>
    <row r="34" spans="1:58" s="327" customFormat="1" ht="18" customHeight="1" x14ac:dyDescent="0.35">
      <c r="A34" s="660">
        <v>857</v>
      </c>
      <c r="B34" s="660" t="str">
        <f>VLOOKUP($A34,'Measure Level Adjustments Tab'!$A$5:$CL$272,6,FALSE)</f>
        <v>Public Housing</v>
      </c>
      <c r="C34" s="659" t="s">
        <v>1072</v>
      </c>
      <c r="D34" s="659" t="s">
        <v>1787</v>
      </c>
      <c r="E34" s="411">
        <f>VLOOKUP($A34,'Measure Level Adjustments Tab'!$A$5:$CL$272,13,FALSE)</f>
        <v>1</v>
      </c>
      <c r="F34" s="411" t="str">
        <f>VLOOKUP($A34,'Measure Level Adjustments Tab'!$A$5:$CL$272,11,FALSE)</f>
        <v>5.6.1</v>
      </c>
      <c r="G34" s="411">
        <f>VLOOKUP($A34,'Measure Level Adjustments Tab'!$A$5:$CL$272,14,FALSE)</f>
        <v>0</v>
      </c>
      <c r="H34" s="663">
        <f>VLOOKUP($A34,'Measure Level Adjustments Tab'!$A$5:$CL$272,54,FALSE)</f>
        <v>12</v>
      </c>
      <c r="I34" s="663">
        <f>VLOOKUP($A34,'Measure Level Adjustments Tab'!$A$5:$CL$272,55,FALSE)</f>
        <v>12</v>
      </c>
      <c r="J34" s="663">
        <f>VLOOKUP($A34,'Measure Level Adjustments Tab'!$A$5:$CL$272,56,FALSE)</f>
        <v>12</v>
      </c>
      <c r="K34" s="663">
        <f>VLOOKUP($A34,'Measure Level Adjustments Tab'!$A$5:$CL$272,57,FALSE)</f>
        <v>12</v>
      </c>
      <c r="L34" s="411" t="str">
        <f>VLOOKUP($A34,'Measure Level Adjustments Tab'!$A$5:$CL$272,12,FALSE)</f>
        <v>RS-SHL-AIRS-V06-180101</v>
      </c>
      <c r="M34" s="422"/>
      <c r="N34" s="662">
        <v>115.48339534883723</v>
      </c>
      <c r="O34" s="662">
        <v>115.48339534883723</v>
      </c>
      <c r="P34" s="662">
        <v>115.48339534883723</v>
      </c>
      <c r="Q34" s="662">
        <v>115.48339534883723</v>
      </c>
      <c r="R34" s="661">
        <f>VLOOKUP($A34,'Measure Level Adjustments Tab'!$A$5:$CL$272,46,FALSE)</f>
        <v>1</v>
      </c>
      <c r="S34" s="661">
        <f>VLOOKUP($A34,'Measure Level Adjustments Tab'!$A$5:$CL$272,47,FALSE)</f>
        <v>1</v>
      </c>
      <c r="T34" s="661">
        <f>VLOOKUP($A34,'Measure Level Adjustments Tab'!$A$5:$CL$272,48,FALSE)</f>
        <v>1</v>
      </c>
      <c r="U34" s="661">
        <f>VLOOKUP($A34,'Measure Level Adjustments Tab'!$A$5:$CL$272,49,FALSE)</f>
        <v>1</v>
      </c>
      <c r="V34" s="418">
        <f t="shared" si="0"/>
        <v>1385.8007441860468</v>
      </c>
      <c r="W34" s="418">
        <f t="shared" si="0"/>
        <v>1385.8007441860468</v>
      </c>
      <c r="X34" s="418">
        <f t="shared" si="0"/>
        <v>1385.8007441860468</v>
      </c>
      <c r="Y34" s="418">
        <f t="shared" si="0"/>
        <v>1385.8007441860468</v>
      </c>
      <c r="Z34" s="418">
        <f t="shared" si="1"/>
        <v>5543.2029767441873</v>
      </c>
      <c r="AA34" s="410"/>
      <c r="AB34" s="422"/>
      <c r="AC34" s="415">
        <v>115.48339534883723</v>
      </c>
      <c r="AD34" s="416"/>
      <c r="AE34" s="414">
        <f t="shared" si="2"/>
        <v>1385.8007441860468</v>
      </c>
      <c r="AF34" s="412">
        <f t="shared" si="3"/>
        <v>0</v>
      </c>
      <c r="AG34" s="410"/>
      <c r="AH34" s="422"/>
      <c r="AI34" s="413">
        <v>107.9192329534884</v>
      </c>
      <c r="AJ34" s="2669" t="s">
        <v>3533</v>
      </c>
      <c r="AK34" s="414">
        <f t="shared" si="4"/>
        <v>1295.0307954418608</v>
      </c>
      <c r="AL34" s="412">
        <f t="shared" si="5"/>
        <v>-90.769948744185967</v>
      </c>
      <c r="AM34" s="410"/>
      <c r="AN34" s="422"/>
      <c r="AO34" s="413">
        <v>118.71115624883724</v>
      </c>
      <c r="AP34" s="2669" t="s">
        <v>3922</v>
      </c>
      <c r="AQ34" s="414">
        <f t="shared" si="6"/>
        <v>1424.5338749860468</v>
      </c>
      <c r="AR34" s="412">
        <f t="shared" si="7"/>
        <v>38.733130800000026</v>
      </c>
      <c r="AS34" s="410"/>
      <c r="AT34" s="422"/>
      <c r="AU34" s="413">
        <f>VLOOKUP($A34,'Measure Level Adjustments Tab'!$A$5:$CL$272,53,FALSE)/U34</f>
        <v>118.71115624883724</v>
      </c>
      <c r="AV34" s="2669" t="s">
        <v>304</v>
      </c>
      <c r="AW34" s="414">
        <f t="shared" si="8"/>
        <v>1424.5338749860468</v>
      </c>
      <c r="AX34" s="412">
        <f t="shared" si="9"/>
        <v>38.733130800000026</v>
      </c>
      <c r="AY34" s="418">
        <f t="shared" si="10"/>
        <v>1385.8007441860468</v>
      </c>
      <c r="AZ34" s="418">
        <f t="shared" si="11"/>
        <v>1295.0307954418608</v>
      </c>
      <c r="BA34" s="418">
        <f t="shared" si="12"/>
        <v>1424.5338749860468</v>
      </c>
      <c r="BB34" s="418">
        <f t="shared" si="13"/>
        <v>1424.5338749860468</v>
      </c>
      <c r="BC34" s="419">
        <f t="shared" si="14"/>
        <v>5529.8992896000009</v>
      </c>
      <c r="BD34" s="410" t="s">
        <v>1271</v>
      </c>
      <c r="BE34" s="423" t="s">
        <v>1272</v>
      </c>
      <c r="BF34" s="421"/>
    </row>
    <row r="35" spans="1:58" s="327" customFormat="1" ht="18" customHeight="1" x14ac:dyDescent="0.35">
      <c r="A35" s="660">
        <v>866</v>
      </c>
      <c r="B35" s="660" t="str">
        <f>VLOOKUP($A35,'Measure Level Adjustments Tab'!$A$5:$CL$272,6,FALSE)</f>
        <v>Public Housing</v>
      </c>
      <c r="C35" s="659" t="s">
        <v>1072</v>
      </c>
      <c r="D35" s="659" t="s">
        <v>1788</v>
      </c>
      <c r="E35" s="411">
        <f>VLOOKUP($A35,'Measure Level Adjustments Tab'!$A$5:$CL$272,13,FALSE)</f>
        <v>1</v>
      </c>
      <c r="F35" s="411" t="str">
        <f>VLOOKUP($A35,'Measure Level Adjustments Tab'!$A$5:$CL$272,11,FALSE)</f>
        <v>5.6.5</v>
      </c>
      <c r="G35" s="411">
        <f>VLOOKUP($A35,'Measure Level Adjustments Tab'!$A$5:$CL$272,14,FALSE)</f>
        <v>0</v>
      </c>
      <c r="H35" s="663">
        <f>VLOOKUP($A35,'Measure Level Adjustments Tab'!$A$5:$CL$272,54,FALSE)</f>
        <v>11</v>
      </c>
      <c r="I35" s="663">
        <f>VLOOKUP($A35,'Measure Level Adjustments Tab'!$A$5:$CL$272,55,FALSE)</f>
        <v>11</v>
      </c>
      <c r="J35" s="663">
        <f>VLOOKUP($A35,'Measure Level Adjustments Tab'!$A$5:$CL$272,56,FALSE)</f>
        <v>11</v>
      </c>
      <c r="K35" s="663">
        <f>VLOOKUP($A35,'Measure Level Adjustments Tab'!$A$5:$CL$272,57,FALSE)</f>
        <v>11</v>
      </c>
      <c r="L35" s="411" t="str">
        <f>VLOOKUP($A35,'Measure Level Adjustments Tab'!$A$5:$CL$272,12,FALSE)</f>
        <v>RS-SHL-AINS-V07-180101</v>
      </c>
      <c r="M35" s="422"/>
      <c r="N35" s="662">
        <v>71.502857869916156</v>
      </c>
      <c r="O35" s="662">
        <v>71.502857869916156</v>
      </c>
      <c r="P35" s="662">
        <v>71.502857869916156</v>
      </c>
      <c r="Q35" s="662">
        <v>71.502857869916156</v>
      </c>
      <c r="R35" s="661">
        <f>VLOOKUP($A35,'Measure Level Adjustments Tab'!$A$5:$CL$272,46,FALSE)</f>
        <v>1</v>
      </c>
      <c r="S35" s="661">
        <f>VLOOKUP($A35,'Measure Level Adjustments Tab'!$A$5:$CL$272,47,FALSE)</f>
        <v>1</v>
      </c>
      <c r="T35" s="661">
        <f>VLOOKUP($A35,'Measure Level Adjustments Tab'!$A$5:$CL$272,48,FALSE)</f>
        <v>1</v>
      </c>
      <c r="U35" s="661">
        <f>VLOOKUP($A35,'Measure Level Adjustments Tab'!$A$5:$CL$272,49,FALSE)</f>
        <v>1</v>
      </c>
      <c r="V35" s="418">
        <f t="shared" si="0"/>
        <v>786.53143656907775</v>
      </c>
      <c r="W35" s="418">
        <f t="shared" si="0"/>
        <v>786.53143656907775</v>
      </c>
      <c r="X35" s="418">
        <f t="shared" si="0"/>
        <v>786.53143656907775</v>
      </c>
      <c r="Y35" s="418">
        <f t="shared" si="0"/>
        <v>786.53143656907775</v>
      </c>
      <c r="Z35" s="418">
        <f t="shared" si="1"/>
        <v>3146.125746276311</v>
      </c>
      <c r="AA35" s="410"/>
      <c r="AB35" s="422"/>
      <c r="AC35" s="415">
        <v>71.502857869916156</v>
      </c>
      <c r="AD35" s="416"/>
      <c r="AE35" s="414">
        <f t="shared" si="2"/>
        <v>786.53143656907775</v>
      </c>
      <c r="AF35" s="412">
        <f t="shared" si="3"/>
        <v>0</v>
      </c>
      <c r="AG35" s="410"/>
      <c r="AH35" s="422"/>
      <c r="AI35" s="413">
        <v>85.803429443899404</v>
      </c>
      <c r="AJ35" s="2669" t="s">
        <v>3538</v>
      </c>
      <c r="AK35" s="414">
        <f t="shared" si="4"/>
        <v>943.83772388289344</v>
      </c>
      <c r="AL35" s="412">
        <f t="shared" si="5"/>
        <v>157.30628731381569</v>
      </c>
      <c r="AM35" s="410"/>
      <c r="AN35" s="422"/>
      <c r="AO35" s="413">
        <v>94.383772388289358</v>
      </c>
      <c r="AP35" s="2669" t="s">
        <v>3922</v>
      </c>
      <c r="AQ35" s="414">
        <f t="shared" si="6"/>
        <v>1038.221496271183</v>
      </c>
      <c r="AR35" s="412">
        <f t="shared" si="7"/>
        <v>251.69005970210526</v>
      </c>
      <c r="AS35" s="410"/>
      <c r="AT35" s="422"/>
      <c r="AU35" s="413">
        <f>VLOOKUP($A35,'Measure Level Adjustments Tab'!$A$5:$CL$272,53,FALSE)/U35</f>
        <v>94.383772388289358</v>
      </c>
      <c r="AV35" s="2669" t="s">
        <v>304</v>
      </c>
      <c r="AW35" s="414">
        <f t="shared" si="8"/>
        <v>1038.221496271183</v>
      </c>
      <c r="AX35" s="412">
        <f t="shared" si="9"/>
        <v>251.69005970210526</v>
      </c>
      <c r="AY35" s="418">
        <f t="shared" si="10"/>
        <v>786.53143656907775</v>
      </c>
      <c r="AZ35" s="418">
        <f t="shared" si="11"/>
        <v>943.83772388289344</v>
      </c>
      <c r="BA35" s="418">
        <f t="shared" si="12"/>
        <v>1038.221496271183</v>
      </c>
      <c r="BB35" s="418">
        <f t="shared" si="13"/>
        <v>1038.221496271183</v>
      </c>
      <c r="BC35" s="419">
        <f t="shared" si="14"/>
        <v>3806.8121529943373</v>
      </c>
      <c r="BD35" s="410" t="s">
        <v>1271</v>
      </c>
      <c r="BE35" s="423" t="s">
        <v>1272</v>
      </c>
      <c r="BF35" s="421"/>
    </row>
    <row r="36" spans="1:58" s="327" customFormat="1" ht="18" customHeight="1" x14ac:dyDescent="0.35">
      <c r="A36" s="660">
        <v>874</v>
      </c>
      <c r="B36" s="660" t="str">
        <f>VLOOKUP($A36,'Measure Level Adjustments Tab'!$A$5:$CL$272,6,FALSE)</f>
        <v>Public Housing</v>
      </c>
      <c r="C36" s="659" t="s">
        <v>1072</v>
      </c>
      <c r="D36" s="659" t="s">
        <v>1789</v>
      </c>
      <c r="E36" s="411">
        <f>VLOOKUP($A36,'Measure Level Adjustments Tab'!$A$5:$CL$272,13,FALSE)</f>
        <v>1</v>
      </c>
      <c r="F36" s="411" t="str">
        <f>VLOOKUP($A36,'Measure Level Adjustments Tab'!$A$5:$CL$272,11,FALSE)</f>
        <v>5.6.5</v>
      </c>
      <c r="G36" s="411">
        <f>VLOOKUP($A36,'Measure Level Adjustments Tab'!$A$5:$CL$272,14,FALSE)</f>
        <v>0</v>
      </c>
      <c r="H36" s="663">
        <f>VLOOKUP($A36,'Measure Level Adjustments Tab'!$A$5:$CL$272,54,FALSE)</f>
        <v>3</v>
      </c>
      <c r="I36" s="663">
        <f>VLOOKUP($A36,'Measure Level Adjustments Tab'!$A$5:$CL$272,55,FALSE)</f>
        <v>3</v>
      </c>
      <c r="J36" s="663">
        <f>VLOOKUP($A36,'Measure Level Adjustments Tab'!$A$5:$CL$272,56,FALSE)</f>
        <v>3</v>
      </c>
      <c r="K36" s="663">
        <f>VLOOKUP($A36,'Measure Level Adjustments Tab'!$A$5:$CL$272,57,FALSE)</f>
        <v>3</v>
      </c>
      <c r="L36" s="411" t="str">
        <f>VLOOKUP($A36,'Measure Level Adjustments Tab'!$A$5:$CL$272,12,FALSE)</f>
        <v>RS-SHL-AINS-V07-180101</v>
      </c>
      <c r="M36" s="422"/>
      <c r="N36" s="662">
        <v>192.26324005021897</v>
      </c>
      <c r="O36" s="662">
        <v>192.26324005021897</v>
      </c>
      <c r="P36" s="662">
        <v>192.26324005021897</v>
      </c>
      <c r="Q36" s="662">
        <v>192.26324005021897</v>
      </c>
      <c r="R36" s="661">
        <f>VLOOKUP($A36,'Measure Level Adjustments Tab'!$A$5:$CL$272,46,FALSE)</f>
        <v>1</v>
      </c>
      <c r="S36" s="661">
        <f>VLOOKUP($A36,'Measure Level Adjustments Tab'!$A$5:$CL$272,47,FALSE)</f>
        <v>1</v>
      </c>
      <c r="T36" s="661">
        <f>VLOOKUP($A36,'Measure Level Adjustments Tab'!$A$5:$CL$272,48,FALSE)</f>
        <v>1</v>
      </c>
      <c r="U36" s="661">
        <f>VLOOKUP($A36,'Measure Level Adjustments Tab'!$A$5:$CL$272,49,FALSE)</f>
        <v>1</v>
      </c>
      <c r="V36" s="418">
        <f t="shared" si="0"/>
        <v>576.78972015065688</v>
      </c>
      <c r="W36" s="418">
        <f t="shared" si="0"/>
        <v>576.78972015065688</v>
      </c>
      <c r="X36" s="418">
        <f t="shared" si="0"/>
        <v>576.78972015065688</v>
      </c>
      <c r="Y36" s="418">
        <f t="shared" si="0"/>
        <v>576.78972015065688</v>
      </c>
      <c r="Z36" s="418">
        <f t="shared" si="1"/>
        <v>2307.1588806026275</v>
      </c>
      <c r="AA36" s="410"/>
      <c r="AB36" s="422"/>
      <c r="AC36" s="415">
        <v>192.26324005021897</v>
      </c>
      <c r="AD36" s="416"/>
      <c r="AE36" s="414">
        <f t="shared" si="2"/>
        <v>576.78972015065688</v>
      </c>
      <c r="AF36" s="412">
        <f t="shared" si="3"/>
        <v>0</v>
      </c>
      <c r="AG36" s="410"/>
      <c r="AH36" s="422"/>
      <c r="AI36" s="413">
        <v>230.71588806026276</v>
      </c>
      <c r="AJ36" s="2669" t="s">
        <v>3538</v>
      </c>
      <c r="AK36" s="414">
        <f t="shared" si="4"/>
        <v>692.1476641807883</v>
      </c>
      <c r="AL36" s="412">
        <f t="shared" si="5"/>
        <v>115.35794403013142</v>
      </c>
      <c r="AM36" s="410"/>
      <c r="AN36" s="422"/>
      <c r="AO36" s="413">
        <v>253.78747686628907</v>
      </c>
      <c r="AP36" s="2669" t="s">
        <v>3922</v>
      </c>
      <c r="AQ36" s="414">
        <f t="shared" si="6"/>
        <v>761.36243059886715</v>
      </c>
      <c r="AR36" s="412">
        <f t="shared" si="7"/>
        <v>184.57271044821027</v>
      </c>
      <c r="AS36" s="410"/>
      <c r="AT36" s="422"/>
      <c r="AU36" s="413">
        <f>VLOOKUP($A36,'Measure Level Adjustments Tab'!$A$5:$CL$272,53,FALSE)/U36</f>
        <v>253.78747686628907</v>
      </c>
      <c r="AV36" s="2669" t="s">
        <v>304</v>
      </c>
      <c r="AW36" s="414">
        <f t="shared" si="8"/>
        <v>761.36243059886715</v>
      </c>
      <c r="AX36" s="412">
        <f t="shared" si="9"/>
        <v>184.57271044821027</v>
      </c>
      <c r="AY36" s="418">
        <f t="shared" si="10"/>
        <v>576.78972015065688</v>
      </c>
      <c r="AZ36" s="418">
        <f t="shared" si="11"/>
        <v>692.1476641807883</v>
      </c>
      <c r="BA36" s="418">
        <f t="shared" si="12"/>
        <v>761.36243059886715</v>
      </c>
      <c r="BB36" s="418">
        <f t="shared" si="13"/>
        <v>761.36243059886715</v>
      </c>
      <c r="BC36" s="419">
        <f t="shared" si="14"/>
        <v>2791.6622455291795</v>
      </c>
      <c r="BD36" s="410" t="s">
        <v>1271</v>
      </c>
      <c r="BE36" s="423" t="s">
        <v>1272</v>
      </c>
      <c r="BF36" s="421"/>
    </row>
    <row r="37" spans="1:58" s="327" customFormat="1" ht="18" customHeight="1" x14ac:dyDescent="0.35">
      <c r="A37" s="660">
        <v>865</v>
      </c>
      <c r="B37" s="660" t="str">
        <f>VLOOKUP($A37,'Measure Level Adjustments Tab'!$A$5:$CL$272,6,FALSE)</f>
        <v>Public Housing</v>
      </c>
      <c r="C37" s="659" t="s">
        <v>1072</v>
      </c>
      <c r="D37" s="659" t="s">
        <v>1790</v>
      </c>
      <c r="E37" s="411">
        <f>VLOOKUP($A37,'Measure Level Adjustments Tab'!$A$5:$CL$272,13,FALSE)</f>
        <v>1</v>
      </c>
      <c r="F37" s="411" t="str">
        <f>VLOOKUP($A37,'Measure Level Adjustments Tab'!$A$5:$CL$272,11,FALSE)</f>
        <v>5.6.5</v>
      </c>
      <c r="G37" s="411">
        <f>VLOOKUP($A37,'Measure Level Adjustments Tab'!$A$5:$CL$272,14,FALSE)</f>
        <v>0</v>
      </c>
      <c r="H37" s="663">
        <f>VLOOKUP($A37,'Measure Level Adjustments Tab'!$A$5:$CL$272,54,FALSE)</f>
        <v>58</v>
      </c>
      <c r="I37" s="663">
        <f>VLOOKUP($A37,'Measure Level Adjustments Tab'!$A$5:$CL$272,55,FALSE)</f>
        <v>58</v>
      </c>
      <c r="J37" s="663">
        <f>VLOOKUP($A37,'Measure Level Adjustments Tab'!$A$5:$CL$272,56,FALSE)</f>
        <v>58</v>
      </c>
      <c r="K37" s="663">
        <f>VLOOKUP($A37,'Measure Level Adjustments Tab'!$A$5:$CL$272,57,FALSE)</f>
        <v>58</v>
      </c>
      <c r="L37" s="411" t="str">
        <f>VLOOKUP($A37,'Measure Level Adjustments Tab'!$A$5:$CL$272,12,FALSE)</f>
        <v>RS-SHL-AINS-V07-180101</v>
      </c>
      <c r="M37" s="422"/>
      <c r="N37" s="662">
        <v>71.502857869916156</v>
      </c>
      <c r="O37" s="662">
        <v>71.502857869916156</v>
      </c>
      <c r="P37" s="662">
        <v>71.502857869916156</v>
      </c>
      <c r="Q37" s="662">
        <v>71.502857869916156</v>
      </c>
      <c r="R37" s="661">
        <f>VLOOKUP($A37,'Measure Level Adjustments Tab'!$A$5:$CL$272,46,FALSE)</f>
        <v>1</v>
      </c>
      <c r="S37" s="661">
        <f>VLOOKUP($A37,'Measure Level Adjustments Tab'!$A$5:$CL$272,47,FALSE)</f>
        <v>1</v>
      </c>
      <c r="T37" s="661">
        <f>VLOOKUP($A37,'Measure Level Adjustments Tab'!$A$5:$CL$272,48,FALSE)</f>
        <v>1</v>
      </c>
      <c r="U37" s="661">
        <f>VLOOKUP($A37,'Measure Level Adjustments Tab'!$A$5:$CL$272,49,FALSE)</f>
        <v>1</v>
      </c>
      <c r="V37" s="418">
        <f t="shared" si="0"/>
        <v>4147.1657564551369</v>
      </c>
      <c r="W37" s="418">
        <f t="shared" si="0"/>
        <v>4147.1657564551369</v>
      </c>
      <c r="X37" s="418">
        <f t="shared" si="0"/>
        <v>4147.1657564551369</v>
      </c>
      <c r="Y37" s="418">
        <f t="shared" si="0"/>
        <v>4147.1657564551369</v>
      </c>
      <c r="Z37" s="418">
        <f t="shared" si="1"/>
        <v>16588.663025820548</v>
      </c>
      <c r="AA37" s="410"/>
      <c r="AB37" s="422"/>
      <c r="AC37" s="415">
        <v>71.502857869916156</v>
      </c>
      <c r="AD37" s="416"/>
      <c r="AE37" s="414">
        <f t="shared" si="2"/>
        <v>4147.1657564551369</v>
      </c>
      <c r="AF37" s="412">
        <f t="shared" si="3"/>
        <v>0</v>
      </c>
      <c r="AG37" s="410"/>
      <c r="AH37" s="422"/>
      <c r="AI37" s="413">
        <v>85.803429443899404</v>
      </c>
      <c r="AJ37" s="2669" t="s">
        <v>3538</v>
      </c>
      <c r="AK37" s="414">
        <f t="shared" si="4"/>
        <v>4976.5989077461654</v>
      </c>
      <c r="AL37" s="412">
        <f t="shared" si="5"/>
        <v>829.43315129102848</v>
      </c>
      <c r="AM37" s="410"/>
      <c r="AN37" s="422"/>
      <c r="AO37" s="413">
        <v>94.383772388289358</v>
      </c>
      <c r="AP37" s="2669" t="s">
        <v>3922</v>
      </c>
      <c r="AQ37" s="414">
        <f t="shared" si="6"/>
        <v>5474.2587985207829</v>
      </c>
      <c r="AR37" s="412">
        <f t="shared" si="7"/>
        <v>1327.0930420656459</v>
      </c>
      <c r="AS37" s="410"/>
      <c r="AT37" s="422"/>
      <c r="AU37" s="413">
        <f>VLOOKUP($A37,'Measure Level Adjustments Tab'!$A$5:$CL$272,53,FALSE)/U37</f>
        <v>94.383772388289358</v>
      </c>
      <c r="AV37" s="2669" t="s">
        <v>304</v>
      </c>
      <c r="AW37" s="414">
        <f t="shared" si="8"/>
        <v>5474.2587985207829</v>
      </c>
      <c r="AX37" s="412">
        <f t="shared" si="9"/>
        <v>1327.0930420656459</v>
      </c>
      <c r="AY37" s="418">
        <f t="shared" si="10"/>
        <v>4147.1657564551369</v>
      </c>
      <c r="AZ37" s="418">
        <f t="shared" si="11"/>
        <v>4976.5989077461654</v>
      </c>
      <c r="BA37" s="418">
        <f t="shared" si="12"/>
        <v>5474.2587985207829</v>
      </c>
      <c r="BB37" s="418">
        <f t="shared" si="13"/>
        <v>5474.2587985207829</v>
      </c>
      <c r="BC37" s="419">
        <f t="shared" si="14"/>
        <v>20072.282261242868</v>
      </c>
      <c r="BD37" s="410" t="s">
        <v>1271</v>
      </c>
      <c r="BE37" s="423" t="s">
        <v>1272</v>
      </c>
      <c r="BF37" s="421"/>
    </row>
    <row r="38" spans="1:58" s="327" customFormat="1" ht="18" customHeight="1" x14ac:dyDescent="0.35">
      <c r="A38" s="660">
        <v>873</v>
      </c>
      <c r="B38" s="660" t="str">
        <f>VLOOKUP($A38,'Measure Level Adjustments Tab'!$A$5:$CL$272,6,FALSE)</f>
        <v>Public Housing</v>
      </c>
      <c r="C38" s="659" t="s">
        <v>1072</v>
      </c>
      <c r="D38" s="659" t="s">
        <v>1791</v>
      </c>
      <c r="E38" s="411">
        <f>VLOOKUP($A38,'Measure Level Adjustments Tab'!$A$5:$CL$272,13,FALSE)</f>
        <v>1</v>
      </c>
      <c r="F38" s="411" t="str">
        <f>VLOOKUP($A38,'Measure Level Adjustments Tab'!$A$5:$CL$272,11,FALSE)</f>
        <v>5.6.5</v>
      </c>
      <c r="G38" s="411">
        <f>VLOOKUP($A38,'Measure Level Adjustments Tab'!$A$5:$CL$272,14,FALSE)</f>
        <v>0</v>
      </c>
      <c r="H38" s="663">
        <f>VLOOKUP($A38,'Measure Level Adjustments Tab'!$A$5:$CL$272,54,FALSE)</f>
        <v>15</v>
      </c>
      <c r="I38" s="663">
        <f>VLOOKUP($A38,'Measure Level Adjustments Tab'!$A$5:$CL$272,55,FALSE)</f>
        <v>15</v>
      </c>
      <c r="J38" s="663">
        <f>VLOOKUP($A38,'Measure Level Adjustments Tab'!$A$5:$CL$272,56,FALSE)</f>
        <v>15</v>
      </c>
      <c r="K38" s="663">
        <f>VLOOKUP($A38,'Measure Level Adjustments Tab'!$A$5:$CL$272,57,FALSE)</f>
        <v>15</v>
      </c>
      <c r="L38" s="411" t="str">
        <f>VLOOKUP($A38,'Measure Level Adjustments Tab'!$A$5:$CL$272,12,FALSE)</f>
        <v>RS-SHL-AINS-V07-180101</v>
      </c>
      <c r="M38" s="422"/>
      <c r="N38" s="662">
        <v>192.26324005021897</v>
      </c>
      <c r="O38" s="662">
        <v>192.26324005021897</v>
      </c>
      <c r="P38" s="662">
        <v>192.26324005021897</v>
      </c>
      <c r="Q38" s="662">
        <v>192.26324005021897</v>
      </c>
      <c r="R38" s="661">
        <f>VLOOKUP($A38,'Measure Level Adjustments Tab'!$A$5:$CL$272,46,FALSE)</f>
        <v>1</v>
      </c>
      <c r="S38" s="661">
        <f>VLOOKUP($A38,'Measure Level Adjustments Tab'!$A$5:$CL$272,47,FALSE)</f>
        <v>1</v>
      </c>
      <c r="T38" s="661">
        <f>VLOOKUP($A38,'Measure Level Adjustments Tab'!$A$5:$CL$272,48,FALSE)</f>
        <v>1</v>
      </c>
      <c r="U38" s="661">
        <f>VLOOKUP($A38,'Measure Level Adjustments Tab'!$A$5:$CL$272,49,FALSE)</f>
        <v>1</v>
      </c>
      <c r="V38" s="418">
        <f t="shared" si="0"/>
        <v>2883.9486007532846</v>
      </c>
      <c r="W38" s="418">
        <f t="shared" si="0"/>
        <v>2883.9486007532846</v>
      </c>
      <c r="X38" s="418">
        <f t="shared" si="0"/>
        <v>2883.9486007532846</v>
      </c>
      <c r="Y38" s="418">
        <f t="shared" si="0"/>
        <v>2883.9486007532846</v>
      </c>
      <c r="Z38" s="418">
        <f t="shared" si="1"/>
        <v>11535.794403013138</v>
      </c>
      <c r="AA38" s="410"/>
      <c r="AB38" s="422"/>
      <c r="AC38" s="415">
        <v>192.26324005021897</v>
      </c>
      <c r="AD38" s="416"/>
      <c r="AE38" s="414">
        <f t="shared" si="2"/>
        <v>2883.9486007532846</v>
      </c>
      <c r="AF38" s="412">
        <f t="shared" si="3"/>
        <v>0</v>
      </c>
      <c r="AG38" s="410"/>
      <c r="AH38" s="422"/>
      <c r="AI38" s="413">
        <v>230.71588806026276</v>
      </c>
      <c r="AJ38" s="2669" t="s">
        <v>3538</v>
      </c>
      <c r="AK38" s="414">
        <f t="shared" si="4"/>
        <v>3460.7383209039413</v>
      </c>
      <c r="AL38" s="412">
        <f t="shared" si="5"/>
        <v>576.78972015065665</v>
      </c>
      <c r="AM38" s="410"/>
      <c r="AN38" s="422"/>
      <c r="AO38" s="413">
        <v>253.78747686628907</v>
      </c>
      <c r="AP38" s="2669" t="s">
        <v>3922</v>
      </c>
      <c r="AQ38" s="414">
        <f t="shared" si="6"/>
        <v>3806.812152994336</v>
      </c>
      <c r="AR38" s="412">
        <f t="shared" si="7"/>
        <v>922.86355224105137</v>
      </c>
      <c r="AS38" s="410"/>
      <c r="AT38" s="422"/>
      <c r="AU38" s="413">
        <f>VLOOKUP($A38,'Measure Level Adjustments Tab'!$A$5:$CL$272,53,FALSE)/U38</f>
        <v>253.78747686628907</v>
      </c>
      <c r="AV38" s="2669" t="s">
        <v>304</v>
      </c>
      <c r="AW38" s="414">
        <f t="shared" si="8"/>
        <v>3806.812152994336</v>
      </c>
      <c r="AX38" s="412">
        <f t="shared" si="9"/>
        <v>922.86355224105137</v>
      </c>
      <c r="AY38" s="418">
        <f t="shared" si="10"/>
        <v>2883.9486007532846</v>
      </c>
      <c r="AZ38" s="418">
        <f t="shared" si="11"/>
        <v>3460.7383209039413</v>
      </c>
      <c r="BA38" s="418">
        <f t="shared" si="12"/>
        <v>3806.812152994336</v>
      </c>
      <c r="BB38" s="418">
        <f t="shared" si="13"/>
        <v>3806.812152994336</v>
      </c>
      <c r="BC38" s="419">
        <f t="shared" si="14"/>
        <v>13958.311227645898</v>
      </c>
      <c r="BD38" s="410" t="s">
        <v>1271</v>
      </c>
      <c r="BE38" s="423" t="s">
        <v>1272</v>
      </c>
      <c r="BF38" s="421"/>
    </row>
    <row r="39" spans="1:58" s="327" customFormat="1" ht="18" customHeight="1" x14ac:dyDescent="0.35">
      <c r="A39" s="660">
        <v>903</v>
      </c>
      <c r="B39" s="660" t="str">
        <f>VLOOKUP($A39,'Measure Level Adjustments Tab'!$A$5:$CL$272,6,FALSE)</f>
        <v>Public Housing</v>
      </c>
      <c r="C39" s="659" t="s">
        <v>1072</v>
      </c>
      <c r="D39" s="659" t="s">
        <v>1793</v>
      </c>
      <c r="E39" s="411">
        <f>VLOOKUP($A39,'Measure Level Adjustments Tab'!$A$5:$CL$272,13,FALSE)</f>
        <v>1</v>
      </c>
      <c r="F39" s="411" t="str">
        <f>VLOOKUP($A39,'Measure Level Adjustments Tab'!$A$5:$CL$272,11,FALSE)</f>
        <v>5.4.1</v>
      </c>
      <c r="G39" s="411">
        <f>VLOOKUP($A39,'Measure Level Adjustments Tab'!$A$5:$CL$272,14,FALSE)</f>
        <v>0</v>
      </c>
      <c r="H39" s="663">
        <f>VLOOKUP($A39,'Measure Level Adjustments Tab'!$A$5:$CL$272,54,FALSE)</f>
        <v>158</v>
      </c>
      <c r="I39" s="663">
        <f>VLOOKUP($A39,'Measure Level Adjustments Tab'!$A$5:$CL$272,55,FALSE)</f>
        <v>158</v>
      </c>
      <c r="J39" s="663">
        <f>VLOOKUP($A39,'Measure Level Adjustments Tab'!$A$5:$CL$272,56,FALSE)</f>
        <v>158</v>
      </c>
      <c r="K39" s="663">
        <f>VLOOKUP($A39,'Measure Level Adjustments Tab'!$A$5:$CL$272,57,FALSE)</f>
        <v>158</v>
      </c>
      <c r="L39" s="411" t="str">
        <f>VLOOKUP($A39,'Measure Level Adjustments Tab'!$A$5:$CL$272,12,FALSE)</f>
        <v>RS-HWE-PINS-V02-150601</v>
      </c>
      <c r="M39" s="422"/>
      <c r="N39" s="662">
        <v>5.2865723076923077</v>
      </c>
      <c r="O39" s="662">
        <v>5.2865723076923077</v>
      </c>
      <c r="P39" s="662">
        <v>5.2865723076923077</v>
      </c>
      <c r="Q39" s="662">
        <v>5.2865723076923077</v>
      </c>
      <c r="R39" s="661">
        <f>VLOOKUP($A39,'Measure Level Adjustments Tab'!$A$5:$CL$272,46,FALSE)</f>
        <v>1</v>
      </c>
      <c r="S39" s="661">
        <f>VLOOKUP($A39,'Measure Level Adjustments Tab'!$A$5:$CL$272,47,FALSE)</f>
        <v>1</v>
      </c>
      <c r="T39" s="661">
        <f>VLOOKUP($A39,'Measure Level Adjustments Tab'!$A$5:$CL$272,48,FALSE)</f>
        <v>1</v>
      </c>
      <c r="U39" s="661">
        <f>VLOOKUP($A39,'Measure Level Adjustments Tab'!$A$5:$CL$272,49,FALSE)</f>
        <v>1</v>
      </c>
      <c r="V39" s="418">
        <f t="shared" si="0"/>
        <v>835.27842461538467</v>
      </c>
      <c r="W39" s="418">
        <f t="shared" si="0"/>
        <v>835.27842461538467</v>
      </c>
      <c r="X39" s="418">
        <f t="shared" si="0"/>
        <v>835.27842461538467</v>
      </c>
      <c r="Y39" s="418">
        <f t="shared" si="0"/>
        <v>835.27842461538467</v>
      </c>
      <c r="Z39" s="418">
        <f t="shared" si="1"/>
        <v>3341.1136984615387</v>
      </c>
      <c r="AA39" s="410"/>
      <c r="AB39" s="422"/>
      <c r="AC39" s="415">
        <v>5.2865723076923077</v>
      </c>
      <c r="AD39" s="416"/>
      <c r="AE39" s="414">
        <f t="shared" si="2"/>
        <v>835.27842461538467</v>
      </c>
      <c r="AF39" s="412">
        <f t="shared" si="3"/>
        <v>0</v>
      </c>
      <c r="AG39" s="410"/>
      <c r="AH39" s="422"/>
      <c r="AI39" s="413">
        <v>4.4032292307692309</v>
      </c>
      <c r="AJ39" s="2669" t="s">
        <v>3510</v>
      </c>
      <c r="AK39" s="414">
        <f t="shared" si="4"/>
        <v>695.71021846153849</v>
      </c>
      <c r="AL39" s="412">
        <f t="shared" si="5"/>
        <v>-139.56820615384618</v>
      </c>
      <c r="AM39" s="410"/>
      <c r="AN39" s="422"/>
      <c r="AO39" s="413">
        <v>4.4032292307692309</v>
      </c>
      <c r="AP39" s="2669" t="s">
        <v>304</v>
      </c>
      <c r="AQ39" s="414">
        <f t="shared" si="6"/>
        <v>695.71021846153849</v>
      </c>
      <c r="AR39" s="412">
        <f t="shared" si="7"/>
        <v>-139.56820615384618</v>
      </c>
      <c r="AS39" s="410"/>
      <c r="AT39" s="422"/>
      <c r="AU39" s="413">
        <f>VLOOKUP($A39,'Measure Level Adjustments Tab'!$A$5:$CL$272,53,FALSE)/U39</f>
        <v>4.4032292307692309</v>
      </c>
      <c r="AV39" s="2669" t="s">
        <v>304</v>
      </c>
      <c r="AW39" s="414">
        <f t="shared" si="8"/>
        <v>695.71021846153849</v>
      </c>
      <c r="AX39" s="412">
        <f t="shared" si="9"/>
        <v>-139.56820615384618</v>
      </c>
      <c r="AY39" s="418">
        <f t="shared" si="10"/>
        <v>835.27842461538467</v>
      </c>
      <c r="AZ39" s="418">
        <f t="shared" si="11"/>
        <v>695.71021846153849</v>
      </c>
      <c r="BA39" s="418">
        <f t="shared" si="12"/>
        <v>695.71021846153849</v>
      </c>
      <c r="BB39" s="418">
        <f t="shared" si="13"/>
        <v>695.71021846153849</v>
      </c>
      <c r="BC39" s="419">
        <f t="shared" si="14"/>
        <v>2922.4090800000004</v>
      </c>
      <c r="BD39" s="410" t="s">
        <v>1271</v>
      </c>
      <c r="BE39" s="423" t="s">
        <v>1272</v>
      </c>
      <c r="BF39" s="421"/>
    </row>
    <row r="40" spans="1:58" s="327" customFormat="1" ht="18" customHeight="1" x14ac:dyDescent="0.35">
      <c r="A40" s="660">
        <v>470</v>
      </c>
      <c r="B40" s="660" t="str">
        <f>VLOOKUP($A40,'Measure Level Adjustments Tab'!$A$5:$CL$272,6,FALSE)</f>
        <v>Behavior Modification</v>
      </c>
      <c r="C40" s="659" t="s">
        <v>838</v>
      </c>
      <c r="D40" s="659" t="s">
        <v>987</v>
      </c>
      <c r="E40" s="411">
        <f>VLOOKUP($A40,'Measure Level Adjustments Tab'!$A$5:$CL$272,13,FALSE)</f>
        <v>1</v>
      </c>
      <c r="F40" s="411" t="str">
        <f>VLOOKUP($A40,'Measure Level Adjustments Tab'!$A$5:$CL$272,11,FALSE)</f>
        <v>Custom</v>
      </c>
      <c r="G40" s="411">
        <f>VLOOKUP($A40,'Measure Level Adjustments Tab'!$A$5:$CL$272,14,FALSE)</f>
        <v>0</v>
      </c>
      <c r="H40" s="663">
        <f>VLOOKUP($A40,'Measure Level Adjustments Tab'!$A$5:$CL$272,54,FALSE)</f>
        <v>50000</v>
      </c>
      <c r="I40" s="663">
        <f>VLOOKUP($A40,'Measure Level Adjustments Tab'!$A$5:$CL$272,55,FALSE)</f>
        <v>0</v>
      </c>
      <c r="J40" s="663">
        <f>VLOOKUP($A40,'Measure Level Adjustments Tab'!$A$5:$CL$272,56,FALSE)</f>
        <v>0</v>
      </c>
      <c r="K40" s="663">
        <f>VLOOKUP($A40,'Measure Level Adjustments Tab'!$A$5:$CL$272,57,FALSE)</f>
        <v>0</v>
      </c>
      <c r="L40" s="411">
        <f>VLOOKUP($A40,'Measure Level Adjustments Tab'!$A$5:$CL$272,12,FALSE)</f>
        <v>0</v>
      </c>
      <c r="M40" s="422"/>
      <c r="N40" s="662">
        <v>4.5999999999999996</v>
      </c>
      <c r="O40" s="662">
        <v>4.5999999999999996</v>
      </c>
      <c r="P40" s="662">
        <v>4.5999999999999996</v>
      </c>
      <c r="Q40" s="662">
        <v>4.5999999999999996</v>
      </c>
      <c r="R40" s="661">
        <f>VLOOKUP($A40,'Measure Level Adjustments Tab'!$A$5:$CL$272,46,FALSE)</f>
        <v>1</v>
      </c>
      <c r="S40" s="661">
        <f>VLOOKUP($A40,'Measure Level Adjustments Tab'!$A$5:$CL$272,47,FALSE)</f>
        <v>1</v>
      </c>
      <c r="T40" s="661">
        <f>VLOOKUP($A40,'Measure Level Adjustments Tab'!$A$5:$CL$272,48,FALSE)</f>
        <v>1</v>
      </c>
      <c r="U40" s="661">
        <f>VLOOKUP($A40,'Measure Level Adjustments Tab'!$A$5:$CL$272,49,FALSE)</f>
        <v>1</v>
      </c>
      <c r="V40" s="418">
        <f t="shared" si="0"/>
        <v>229999.99999999997</v>
      </c>
      <c r="W40" s="418">
        <f t="shared" si="0"/>
        <v>0</v>
      </c>
      <c r="X40" s="418">
        <f t="shared" si="0"/>
        <v>0</v>
      </c>
      <c r="Y40" s="418">
        <f t="shared" si="0"/>
        <v>0</v>
      </c>
      <c r="Z40" s="418">
        <f t="shared" si="1"/>
        <v>229999.99999999997</v>
      </c>
      <c r="AA40" s="410"/>
      <c r="AB40" s="422"/>
      <c r="AC40" s="415">
        <v>4.5999999999999996</v>
      </c>
      <c r="AD40" s="416"/>
      <c r="AE40" s="414">
        <f t="shared" si="2"/>
        <v>229999.99999999997</v>
      </c>
      <c r="AF40" s="412">
        <f t="shared" si="3"/>
        <v>0</v>
      </c>
      <c r="AG40" s="410"/>
      <c r="AH40" s="422"/>
      <c r="AI40" s="413">
        <v>4.5999999999999996</v>
      </c>
      <c r="AJ40" s="2669" t="s">
        <v>820</v>
      </c>
      <c r="AK40" s="414">
        <f t="shared" si="4"/>
        <v>0</v>
      </c>
      <c r="AL40" s="412">
        <f t="shared" si="5"/>
        <v>0</v>
      </c>
      <c r="AM40" s="410"/>
      <c r="AN40" s="422"/>
      <c r="AO40" s="413">
        <v>4.5999999999999996</v>
      </c>
      <c r="AP40" s="2669" t="s">
        <v>304</v>
      </c>
      <c r="AQ40" s="414">
        <f t="shared" si="6"/>
        <v>0</v>
      </c>
      <c r="AR40" s="412">
        <f t="shared" si="7"/>
        <v>0</v>
      </c>
      <c r="AS40" s="410"/>
      <c r="AT40" s="422"/>
      <c r="AU40" s="413">
        <f>VLOOKUP($A40,'Measure Level Adjustments Tab'!$A$5:$CL$272,53,FALSE)/U40</f>
        <v>4.5999999999999996</v>
      </c>
      <c r="AV40" s="2669" t="s">
        <v>304</v>
      </c>
      <c r="AW40" s="414">
        <f t="shared" si="8"/>
        <v>0</v>
      </c>
      <c r="AX40" s="412">
        <f t="shared" si="9"/>
        <v>0</v>
      </c>
      <c r="AY40" s="418">
        <f t="shared" si="10"/>
        <v>229999.99999999997</v>
      </c>
      <c r="AZ40" s="418">
        <f t="shared" si="11"/>
        <v>0</v>
      </c>
      <c r="BA40" s="418">
        <f t="shared" si="12"/>
        <v>0</v>
      </c>
      <c r="BB40" s="418">
        <f t="shared" si="13"/>
        <v>0</v>
      </c>
      <c r="BC40" s="419">
        <f t="shared" si="14"/>
        <v>229999.99999999997</v>
      </c>
      <c r="BD40" s="410" t="s">
        <v>1271</v>
      </c>
      <c r="BE40" s="423" t="s">
        <v>1272</v>
      </c>
      <c r="BF40" s="421"/>
    </row>
    <row r="41" spans="1:58" s="327" customFormat="1" ht="18" customHeight="1" x14ac:dyDescent="0.35">
      <c r="A41" s="660">
        <v>475</v>
      </c>
      <c r="B41" s="660" t="str">
        <f>VLOOKUP($A41,'Measure Level Adjustments Tab'!$A$5:$CL$272,6,FALSE)</f>
        <v>Behavior Modification</v>
      </c>
      <c r="C41" s="659" t="s">
        <v>838</v>
      </c>
      <c r="D41" s="659" t="s">
        <v>988</v>
      </c>
      <c r="E41" s="411">
        <f>VLOOKUP($A41,'Measure Level Adjustments Tab'!$A$5:$CL$272,13,FALSE)</f>
        <v>1</v>
      </c>
      <c r="F41" s="411" t="str">
        <f>VLOOKUP($A41,'Measure Level Adjustments Tab'!$A$5:$CL$272,11,FALSE)</f>
        <v>Custom</v>
      </c>
      <c r="G41" s="411">
        <f>VLOOKUP($A41,'Measure Level Adjustments Tab'!$A$5:$CL$272,14,FALSE)</f>
        <v>0</v>
      </c>
      <c r="H41" s="663">
        <f>VLOOKUP($A41,'Measure Level Adjustments Tab'!$A$5:$CL$272,54,FALSE)</f>
        <v>0</v>
      </c>
      <c r="I41" s="663">
        <f>VLOOKUP($A41,'Measure Level Adjustments Tab'!$A$5:$CL$272,55,FALSE)</f>
        <v>50000</v>
      </c>
      <c r="J41" s="663">
        <f>VLOOKUP($A41,'Measure Level Adjustments Tab'!$A$5:$CL$272,56,FALSE)</f>
        <v>0</v>
      </c>
      <c r="K41" s="663">
        <f>VLOOKUP($A41,'Measure Level Adjustments Tab'!$A$5:$CL$272,57,FALSE)</f>
        <v>0</v>
      </c>
      <c r="L41" s="411">
        <f>VLOOKUP($A41,'Measure Level Adjustments Tab'!$A$5:$CL$272,12,FALSE)</f>
        <v>0</v>
      </c>
      <c r="M41" s="422"/>
      <c r="N41" s="662">
        <v>4.5999999999999996</v>
      </c>
      <c r="O41" s="662">
        <v>4.5999999999999996</v>
      </c>
      <c r="P41" s="662">
        <v>4.5999999999999996</v>
      </c>
      <c r="Q41" s="662">
        <v>4.5999999999999996</v>
      </c>
      <c r="R41" s="661">
        <f>VLOOKUP($A41,'Measure Level Adjustments Tab'!$A$5:$CL$272,46,FALSE)</f>
        <v>1</v>
      </c>
      <c r="S41" s="661">
        <f>VLOOKUP($A41,'Measure Level Adjustments Tab'!$A$5:$CL$272,47,FALSE)</f>
        <v>1</v>
      </c>
      <c r="T41" s="661">
        <f>VLOOKUP($A41,'Measure Level Adjustments Tab'!$A$5:$CL$272,48,FALSE)</f>
        <v>1</v>
      </c>
      <c r="U41" s="661">
        <f>VLOOKUP($A41,'Measure Level Adjustments Tab'!$A$5:$CL$272,49,FALSE)</f>
        <v>1</v>
      </c>
      <c r="V41" s="418">
        <f t="shared" si="0"/>
        <v>0</v>
      </c>
      <c r="W41" s="418">
        <f t="shared" si="0"/>
        <v>229999.99999999997</v>
      </c>
      <c r="X41" s="418">
        <f t="shared" si="0"/>
        <v>0</v>
      </c>
      <c r="Y41" s="418">
        <f t="shared" si="0"/>
        <v>0</v>
      </c>
      <c r="Z41" s="418">
        <f t="shared" si="1"/>
        <v>229999.99999999997</v>
      </c>
      <c r="AA41" s="410"/>
      <c r="AB41" s="422"/>
      <c r="AC41" s="415">
        <v>4.5999999999999996</v>
      </c>
      <c r="AD41" s="416"/>
      <c r="AE41" s="414">
        <f t="shared" si="2"/>
        <v>0</v>
      </c>
      <c r="AF41" s="412">
        <f t="shared" si="3"/>
        <v>0</v>
      </c>
      <c r="AG41" s="410"/>
      <c r="AH41" s="422"/>
      <c r="AI41" s="413">
        <v>4.5999999999999996</v>
      </c>
      <c r="AJ41" s="2669" t="s">
        <v>820</v>
      </c>
      <c r="AK41" s="414">
        <f t="shared" si="4"/>
        <v>229999.99999999997</v>
      </c>
      <c r="AL41" s="412">
        <f t="shared" si="5"/>
        <v>0</v>
      </c>
      <c r="AM41" s="410"/>
      <c r="AN41" s="422"/>
      <c r="AO41" s="413">
        <v>4.5999999999999996</v>
      </c>
      <c r="AP41" s="2669" t="s">
        <v>304</v>
      </c>
      <c r="AQ41" s="414">
        <f t="shared" si="6"/>
        <v>0</v>
      </c>
      <c r="AR41" s="412">
        <f t="shared" si="7"/>
        <v>0</v>
      </c>
      <c r="AS41" s="410"/>
      <c r="AT41" s="422"/>
      <c r="AU41" s="413">
        <f>VLOOKUP($A41,'Measure Level Adjustments Tab'!$A$5:$CL$272,53,FALSE)/U41</f>
        <v>4.5999999999999996</v>
      </c>
      <c r="AV41" s="2669" t="s">
        <v>304</v>
      </c>
      <c r="AW41" s="414">
        <f t="shared" si="8"/>
        <v>0</v>
      </c>
      <c r="AX41" s="412">
        <f t="shared" si="9"/>
        <v>0</v>
      </c>
      <c r="AY41" s="418">
        <f t="shared" si="10"/>
        <v>0</v>
      </c>
      <c r="AZ41" s="418">
        <f t="shared" si="11"/>
        <v>229999.99999999997</v>
      </c>
      <c r="BA41" s="418">
        <f t="shared" si="12"/>
        <v>0</v>
      </c>
      <c r="BB41" s="418">
        <f t="shared" si="13"/>
        <v>0</v>
      </c>
      <c r="BC41" s="419">
        <f t="shared" si="14"/>
        <v>229999.99999999997</v>
      </c>
      <c r="BD41" s="410" t="s">
        <v>1271</v>
      </c>
      <c r="BE41" s="423" t="s">
        <v>1272</v>
      </c>
      <c r="BF41" s="421"/>
    </row>
    <row r="42" spans="1:58" s="327" customFormat="1" ht="18" customHeight="1" x14ac:dyDescent="0.35">
      <c r="A42" s="660">
        <v>480</v>
      </c>
      <c r="B42" s="660" t="str">
        <f>VLOOKUP($A42,'Measure Level Adjustments Tab'!$A$5:$CL$272,6,FALSE)</f>
        <v>Behavior Modification</v>
      </c>
      <c r="C42" s="659" t="s">
        <v>838</v>
      </c>
      <c r="D42" s="659" t="s">
        <v>989</v>
      </c>
      <c r="E42" s="411">
        <f>VLOOKUP($A42,'Measure Level Adjustments Tab'!$A$5:$CL$272,13,FALSE)</f>
        <v>1</v>
      </c>
      <c r="F42" s="411" t="str">
        <f>VLOOKUP($A42,'Measure Level Adjustments Tab'!$A$5:$CL$272,11,FALSE)</f>
        <v>Custom</v>
      </c>
      <c r="G42" s="411">
        <f>VLOOKUP($A42,'Measure Level Adjustments Tab'!$A$5:$CL$272,14,FALSE)</f>
        <v>0</v>
      </c>
      <c r="H42" s="663">
        <f>VLOOKUP($A42,'Measure Level Adjustments Tab'!$A$5:$CL$272,54,FALSE)</f>
        <v>0</v>
      </c>
      <c r="I42" s="663">
        <f>VLOOKUP($A42,'Measure Level Adjustments Tab'!$A$5:$CL$272,55,FALSE)</f>
        <v>0</v>
      </c>
      <c r="J42" s="663">
        <f>VLOOKUP($A42,'Measure Level Adjustments Tab'!$A$5:$CL$272,56,FALSE)</f>
        <v>50000</v>
      </c>
      <c r="K42" s="663">
        <f>VLOOKUP($A42,'Measure Level Adjustments Tab'!$A$5:$CL$272,57,FALSE)</f>
        <v>0</v>
      </c>
      <c r="L42" s="411">
        <f>VLOOKUP($A42,'Measure Level Adjustments Tab'!$A$5:$CL$272,12,FALSE)</f>
        <v>0</v>
      </c>
      <c r="M42" s="422"/>
      <c r="N42" s="662">
        <v>4.5999999999999996</v>
      </c>
      <c r="O42" s="662">
        <v>4.5999999999999996</v>
      </c>
      <c r="P42" s="662">
        <v>4.5999999999999996</v>
      </c>
      <c r="Q42" s="662">
        <v>4.5999999999999996</v>
      </c>
      <c r="R42" s="661">
        <f>VLOOKUP($A42,'Measure Level Adjustments Tab'!$A$5:$CL$272,46,FALSE)</f>
        <v>1</v>
      </c>
      <c r="S42" s="661">
        <f>VLOOKUP($A42,'Measure Level Adjustments Tab'!$A$5:$CL$272,47,FALSE)</f>
        <v>1</v>
      </c>
      <c r="T42" s="661">
        <f>VLOOKUP($A42,'Measure Level Adjustments Tab'!$A$5:$CL$272,48,FALSE)</f>
        <v>1</v>
      </c>
      <c r="U42" s="661">
        <f>VLOOKUP($A42,'Measure Level Adjustments Tab'!$A$5:$CL$272,49,FALSE)</f>
        <v>1</v>
      </c>
      <c r="V42" s="418">
        <f t="shared" si="0"/>
        <v>0</v>
      </c>
      <c r="W42" s="418">
        <f t="shared" si="0"/>
        <v>0</v>
      </c>
      <c r="X42" s="418">
        <f t="shared" si="0"/>
        <v>229999.99999999997</v>
      </c>
      <c r="Y42" s="418">
        <f t="shared" si="0"/>
        <v>0</v>
      </c>
      <c r="Z42" s="418">
        <f t="shared" si="1"/>
        <v>229999.99999999997</v>
      </c>
      <c r="AA42" s="410"/>
      <c r="AB42" s="422"/>
      <c r="AC42" s="415">
        <v>4.5999999999999996</v>
      </c>
      <c r="AD42" s="416"/>
      <c r="AE42" s="414">
        <f t="shared" si="2"/>
        <v>0</v>
      </c>
      <c r="AF42" s="412">
        <f t="shared" si="3"/>
        <v>0</v>
      </c>
      <c r="AG42" s="410"/>
      <c r="AH42" s="422"/>
      <c r="AI42" s="413">
        <v>4.5999999999999996</v>
      </c>
      <c r="AJ42" s="2669" t="s">
        <v>820</v>
      </c>
      <c r="AK42" s="414">
        <f t="shared" si="4"/>
        <v>0</v>
      </c>
      <c r="AL42" s="412">
        <f t="shared" si="5"/>
        <v>0</v>
      </c>
      <c r="AM42" s="410"/>
      <c r="AN42" s="422"/>
      <c r="AO42" s="413">
        <v>4.5999999999999996</v>
      </c>
      <c r="AP42" s="2669" t="s">
        <v>304</v>
      </c>
      <c r="AQ42" s="414">
        <f t="shared" si="6"/>
        <v>229999.99999999997</v>
      </c>
      <c r="AR42" s="412">
        <f t="shared" si="7"/>
        <v>0</v>
      </c>
      <c r="AS42" s="410"/>
      <c r="AT42" s="422"/>
      <c r="AU42" s="413">
        <f>VLOOKUP($A42,'Measure Level Adjustments Tab'!$A$5:$CL$272,53,FALSE)/U42</f>
        <v>4.5999999999999996</v>
      </c>
      <c r="AV42" s="2669" t="s">
        <v>304</v>
      </c>
      <c r="AW42" s="414">
        <f t="shared" si="8"/>
        <v>0</v>
      </c>
      <c r="AX42" s="412">
        <f t="shared" si="9"/>
        <v>0</v>
      </c>
      <c r="AY42" s="418">
        <f t="shared" si="10"/>
        <v>0</v>
      </c>
      <c r="AZ42" s="418">
        <f t="shared" si="11"/>
        <v>0</v>
      </c>
      <c r="BA42" s="418">
        <f t="shared" si="12"/>
        <v>229999.99999999997</v>
      </c>
      <c r="BB42" s="418">
        <f t="shared" si="13"/>
        <v>0</v>
      </c>
      <c r="BC42" s="419">
        <f t="shared" si="14"/>
        <v>229999.99999999997</v>
      </c>
      <c r="BD42" s="410" t="s">
        <v>1271</v>
      </c>
      <c r="BE42" s="423" t="s">
        <v>1272</v>
      </c>
      <c r="BF42" s="421"/>
    </row>
    <row r="43" spans="1:58" s="327" customFormat="1" ht="18" customHeight="1" x14ac:dyDescent="0.35">
      <c r="A43" s="660">
        <v>485</v>
      </c>
      <c r="B43" s="660" t="str">
        <f>VLOOKUP($A43,'Measure Level Adjustments Tab'!$A$5:$CL$272,6,FALSE)</f>
        <v>Behavior Modification</v>
      </c>
      <c r="C43" s="659" t="s">
        <v>838</v>
      </c>
      <c r="D43" s="659" t="s">
        <v>990</v>
      </c>
      <c r="E43" s="411">
        <f>VLOOKUP($A43,'Measure Level Adjustments Tab'!$A$5:$CL$272,13,FALSE)</f>
        <v>1</v>
      </c>
      <c r="F43" s="411" t="str">
        <f>VLOOKUP($A43,'Measure Level Adjustments Tab'!$A$5:$CL$272,11,FALSE)</f>
        <v>Custom</v>
      </c>
      <c r="G43" s="411">
        <f>VLOOKUP($A43,'Measure Level Adjustments Tab'!$A$5:$CL$272,14,FALSE)</f>
        <v>0</v>
      </c>
      <c r="H43" s="663">
        <f>VLOOKUP($A43,'Measure Level Adjustments Tab'!$A$5:$CL$272,54,FALSE)</f>
        <v>0</v>
      </c>
      <c r="I43" s="663">
        <f>VLOOKUP($A43,'Measure Level Adjustments Tab'!$A$5:$CL$272,55,FALSE)</f>
        <v>0</v>
      </c>
      <c r="J43" s="663">
        <f>VLOOKUP($A43,'Measure Level Adjustments Tab'!$A$5:$CL$272,56,FALSE)</f>
        <v>0</v>
      </c>
      <c r="K43" s="663">
        <f>VLOOKUP($A43,'Measure Level Adjustments Tab'!$A$5:$CL$272,57,FALSE)</f>
        <v>50000</v>
      </c>
      <c r="L43" s="411">
        <f>VLOOKUP($A43,'Measure Level Adjustments Tab'!$A$5:$CL$272,12,FALSE)</f>
        <v>0</v>
      </c>
      <c r="M43" s="422"/>
      <c r="N43" s="662">
        <v>4.5999999999999996</v>
      </c>
      <c r="O43" s="662">
        <v>4.5999999999999996</v>
      </c>
      <c r="P43" s="662">
        <v>4.5999999999999996</v>
      </c>
      <c r="Q43" s="662">
        <v>4.5999999999999996</v>
      </c>
      <c r="R43" s="661">
        <f>VLOOKUP($A43,'Measure Level Adjustments Tab'!$A$5:$CL$272,46,FALSE)</f>
        <v>1</v>
      </c>
      <c r="S43" s="661">
        <f>VLOOKUP($A43,'Measure Level Adjustments Tab'!$A$5:$CL$272,47,FALSE)</f>
        <v>1</v>
      </c>
      <c r="T43" s="661">
        <f>VLOOKUP($A43,'Measure Level Adjustments Tab'!$A$5:$CL$272,48,FALSE)</f>
        <v>1</v>
      </c>
      <c r="U43" s="661">
        <f>VLOOKUP($A43,'Measure Level Adjustments Tab'!$A$5:$CL$272,49,FALSE)</f>
        <v>1</v>
      </c>
      <c r="V43" s="418">
        <f t="shared" si="0"/>
        <v>0</v>
      </c>
      <c r="W43" s="418">
        <f t="shared" si="0"/>
        <v>0</v>
      </c>
      <c r="X43" s="418">
        <f t="shared" si="0"/>
        <v>0</v>
      </c>
      <c r="Y43" s="418">
        <f t="shared" si="0"/>
        <v>229999.99999999997</v>
      </c>
      <c r="Z43" s="418">
        <f t="shared" si="1"/>
        <v>229999.99999999997</v>
      </c>
      <c r="AA43" s="410"/>
      <c r="AB43" s="422"/>
      <c r="AC43" s="415">
        <v>4.5999999999999996</v>
      </c>
      <c r="AD43" s="416"/>
      <c r="AE43" s="414">
        <f t="shared" si="2"/>
        <v>0</v>
      </c>
      <c r="AF43" s="412">
        <f t="shared" si="3"/>
        <v>0</v>
      </c>
      <c r="AG43" s="410"/>
      <c r="AH43" s="422"/>
      <c r="AI43" s="413">
        <v>4.5999999999999996</v>
      </c>
      <c r="AJ43" s="2669" t="s">
        <v>820</v>
      </c>
      <c r="AK43" s="414">
        <f t="shared" si="4"/>
        <v>0</v>
      </c>
      <c r="AL43" s="412">
        <f t="shared" si="5"/>
        <v>0</v>
      </c>
      <c r="AM43" s="410"/>
      <c r="AN43" s="422"/>
      <c r="AO43" s="413">
        <v>4.5999999999999996</v>
      </c>
      <c r="AP43" s="2669" t="s">
        <v>304</v>
      </c>
      <c r="AQ43" s="414">
        <f t="shared" si="6"/>
        <v>0</v>
      </c>
      <c r="AR43" s="412">
        <f t="shared" si="7"/>
        <v>0</v>
      </c>
      <c r="AS43" s="410"/>
      <c r="AT43" s="422"/>
      <c r="AU43" s="413">
        <f>VLOOKUP($A43,'Measure Level Adjustments Tab'!$A$5:$CL$272,53,FALSE)/U43</f>
        <v>4.5999999999999996</v>
      </c>
      <c r="AV43" s="2669" t="s">
        <v>304</v>
      </c>
      <c r="AW43" s="414">
        <f t="shared" si="8"/>
        <v>229999.99999999997</v>
      </c>
      <c r="AX43" s="412">
        <f t="shared" si="9"/>
        <v>0</v>
      </c>
      <c r="AY43" s="418">
        <f t="shared" si="10"/>
        <v>0</v>
      </c>
      <c r="AZ43" s="418">
        <f t="shared" si="11"/>
        <v>0</v>
      </c>
      <c r="BA43" s="418">
        <f t="shared" si="12"/>
        <v>0</v>
      </c>
      <c r="BB43" s="418">
        <f t="shared" si="13"/>
        <v>229999.99999999997</v>
      </c>
      <c r="BC43" s="419">
        <f t="shared" si="14"/>
        <v>229999.99999999997</v>
      </c>
      <c r="BD43" s="410" t="s">
        <v>1271</v>
      </c>
      <c r="BE43" s="423" t="s">
        <v>1272</v>
      </c>
      <c r="BF43" s="421"/>
    </row>
    <row r="44" spans="1:58" s="327" customFormat="1" ht="18" customHeight="1" x14ac:dyDescent="0.35">
      <c r="A44" s="660">
        <v>471</v>
      </c>
      <c r="B44" s="660" t="str">
        <f>VLOOKUP($A44,'Measure Level Adjustments Tab'!$A$5:$CL$272,6,FALSE)</f>
        <v>Behavior Modification</v>
      </c>
      <c r="C44" s="659" t="s">
        <v>838</v>
      </c>
      <c r="D44" s="659" t="s">
        <v>991</v>
      </c>
      <c r="E44" s="411">
        <f>VLOOKUP($A44,'Measure Level Adjustments Tab'!$A$5:$CL$272,13,FALSE)</f>
        <v>1</v>
      </c>
      <c r="F44" s="411" t="str">
        <f>VLOOKUP($A44,'Measure Level Adjustments Tab'!$A$5:$CL$272,11,FALSE)</f>
        <v>Custom</v>
      </c>
      <c r="G44" s="411">
        <f>VLOOKUP($A44,'Measure Level Adjustments Tab'!$A$5:$CL$272,14,FALSE)</f>
        <v>0</v>
      </c>
      <c r="H44" s="663">
        <f>VLOOKUP($A44,'Measure Level Adjustments Tab'!$A$5:$CL$272,54,FALSE)</f>
        <v>50000</v>
      </c>
      <c r="I44" s="663">
        <f>VLOOKUP($A44,'Measure Level Adjustments Tab'!$A$5:$CL$272,55,FALSE)</f>
        <v>0</v>
      </c>
      <c r="J44" s="663">
        <f>VLOOKUP($A44,'Measure Level Adjustments Tab'!$A$5:$CL$272,56,FALSE)</f>
        <v>0</v>
      </c>
      <c r="K44" s="663">
        <f>VLOOKUP($A44,'Measure Level Adjustments Tab'!$A$5:$CL$272,57,FALSE)</f>
        <v>0</v>
      </c>
      <c r="L44" s="411">
        <f>VLOOKUP($A44,'Measure Level Adjustments Tab'!$A$5:$CL$272,12,FALSE)</f>
        <v>0</v>
      </c>
      <c r="M44" s="422"/>
      <c r="N44" s="662">
        <v>2.0699999999999998</v>
      </c>
      <c r="O44" s="662">
        <v>2.0699999999999998</v>
      </c>
      <c r="P44" s="662">
        <v>2.0699999999999998</v>
      </c>
      <c r="Q44" s="662">
        <v>2.0699999999999998</v>
      </c>
      <c r="R44" s="661">
        <f>VLOOKUP($A44,'Measure Level Adjustments Tab'!$A$5:$CL$272,46,FALSE)</f>
        <v>1</v>
      </c>
      <c r="S44" s="661">
        <f>VLOOKUP($A44,'Measure Level Adjustments Tab'!$A$5:$CL$272,47,FALSE)</f>
        <v>1</v>
      </c>
      <c r="T44" s="661">
        <f>VLOOKUP($A44,'Measure Level Adjustments Tab'!$A$5:$CL$272,48,FALSE)</f>
        <v>1</v>
      </c>
      <c r="U44" s="661">
        <f>VLOOKUP($A44,'Measure Level Adjustments Tab'!$A$5:$CL$272,49,FALSE)</f>
        <v>1</v>
      </c>
      <c r="V44" s="418">
        <v>0</v>
      </c>
      <c r="W44" s="418">
        <f t="shared" si="0"/>
        <v>0</v>
      </c>
      <c r="X44" s="418">
        <f t="shared" si="0"/>
        <v>0</v>
      </c>
      <c r="Y44" s="418">
        <f t="shared" si="0"/>
        <v>0</v>
      </c>
      <c r="Z44" s="418">
        <f t="shared" si="1"/>
        <v>0</v>
      </c>
      <c r="AA44" s="410"/>
      <c r="AB44" s="422"/>
      <c r="AC44" s="415">
        <v>2.0699999999999998</v>
      </c>
      <c r="AD44" s="416"/>
      <c r="AE44" s="414">
        <v>0</v>
      </c>
      <c r="AF44" s="412">
        <f t="shared" si="3"/>
        <v>0</v>
      </c>
      <c r="AG44" s="410"/>
      <c r="AH44" s="422"/>
      <c r="AI44" s="413">
        <v>2.0699999999999998</v>
      </c>
      <c r="AJ44" s="2669" t="s">
        <v>820</v>
      </c>
      <c r="AK44" s="414">
        <f t="shared" si="4"/>
        <v>0</v>
      </c>
      <c r="AL44" s="412">
        <f t="shared" si="5"/>
        <v>0</v>
      </c>
      <c r="AM44" s="410"/>
      <c r="AN44" s="422"/>
      <c r="AO44" s="413">
        <v>2.0699999999999998</v>
      </c>
      <c r="AP44" s="2669" t="s">
        <v>304</v>
      </c>
      <c r="AQ44" s="414">
        <f t="shared" si="6"/>
        <v>0</v>
      </c>
      <c r="AR44" s="412">
        <f t="shared" si="7"/>
        <v>0</v>
      </c>
      <c r="AS44" s="410"/>
      <c r="AT44" s="422"/>
      <c r="AU44" s="413">
        <f>VLOOKUP($A44,'Measure Level Adjustments Tab'!$A$5:$CL$272,53,FALSE)/U44</f>
        <v>2.0699999999999998</v>
      </c>
      <c r="AV44" s="2669" t="s">
        <v>304</v>
      </c>
      <c r="AW44" s="414">
        <f t="shared" si="8"/>
        <v>0</v>
      </c>
      <c r="AX44" s="412">
        <f t="shared" si="9"/>
        <v>0</v>
      </c>
      <c r="AY44" s="418">
        <f t="shared" si="10"/>
        <v>0</v>
      </c>
      <c r="AZ44" s="418">
        <f t="shared" si="11"/>
        <v>0</v>
      </c>
      <c r="BA44" s="418">
        <f t="shared" si="12"/>
        <v>0</v>
      </c>
      <c r="BB44" s="418">
        <f t="shared" si="13"/>
        <v>0</v>
      </c>
      <c r="BC44" s="419">
        <f t="shared" si="14"/>
        <v>0</v>
      </c>
      <c r="BD44" s="410" t="s">
        <v>1271</v>
      </c>
      <c r="BE44" s="423" t="s">
        <v>1272</v>
      </c>
      <c r="BF44" s="421"/>
    </row>
    <row r="45" spans="1:58" s="327" customFormat="1" ht="18" customHeight="1" x14ac:dyDescent="0.35">
      <c r="A45" s="660">
        <v>472</v>
      </c>
      <c r="B45" s="660" t="str">
        <f>VLOOKUP($A45,'Measure Level Adjustments Tab'!$A$5:$CL$272,6,FALSE)</f>
        <v>Behavior Modification</v>
      </c>
      <c r="C45" s="659" t="s">
        <v>838</v>
      </c>
      <c r="D45" s="659" t="s">
        <v>992</v>
      </c>
      <c r="E45" s="411">
        <f>VLOOKUP($A45,'Measure Level Adjustments Tab'!$A$5:$CL$272,13,FALSE)</f>
        <v>1</v>
      </c>
      <c r="F45" s="411" t="str">
        <f>VLOOKUP($A45,'Measure Level Adjustments Tab'!$A$5:$CL$272,11,FALSE)</f>
        <v>Custom</v>
      </c>
      <c r="G45" s="411">
        <f>VLOOKUP($A45,'Measure Level Adjustments Tab'!$A$5:$CL$272,14,FALSE)</f>
        <v>0</v>
      </c>
      <c r="H45" s="663">
        <f>VLOOKUP($A45,'Measure Level Adjustments Tab'!$A$5:$CL$272,54,FALSE)</f>
        <v>50000</v>
      </c>
      <c r="I45" s="663">
        <f>VLOOKUP($A45,'Measure Level Adjustments Tab'!$A$5:$CL$272,55,FALSE)</f>
        <v>0</v>
      </c>
      <c r="J45" s="663">
        <f>VLOOKUP($A45,'Measure Level Adjustments Tab'!$A$5:$CL$272,56,FALSE)</f>
        <v>0</v>
      </c>
      <c r="K45" s="663">
        <f>VLOOKUP($A45,'Measure Level Adjustments Tab'!$A$5:$CL$272,57,FALSE)</f>
        <v>0</v>
      </c>
      <c r="L45" s="411">
        <f>VLOOKUP($A45,'Measure Level Adjustments Tab'!$A$5:$CL$272,12,FALSE)</f>
        <v>0</v>
      </c>
      <c r="M45" s="422"/>
      <c r="N45" s="662">
        <v>0.91999999999999993</v>
      </c>
      <c r="O45" s="662">
        <v>0.91999999999999993</v>
      </c>
      <c r="P45" s="662">
        <v>0.91999999999999993</v>
      </c>
      <c r="Q45" s="662">
        <v>0.91999999999999993</v>
      </c>
      <c r="R45" s="661">
        <f>VLOOKUP($A45,'Measure Level Adjustments Tab'!$A$5:$CL$272,46,FALSE)</f>
        <v>1</v>
      </c>
      <c r="S45" s="661">
        <f>VLOOKUP($A45,'Measure Level Adjustments Tab'!$A$5:$CL$272,47,FALSE)</f>
        <v>1</v>
      </c>
      <c r="T45" s="661">
        <f>VLOOKUP($A45,'Measure Level Adjustments Tab'!$A$5:$CL$272,48,FALSE)</f>
        <v>1</v>
      </c>
      <c r="U45" s="661">
        <f>VLOOKUP($A45,'Measure Level Adjustments Tab'!$A$5:$CL$272,49,FALSE)</f>
        <v>1</v>
      </c>
      <c r="V45" s="418">
        <v>0</v>
      </c>
      <c r="W45" s="418">
        <f t="shared" si="0"/>
        <v>0</v>
      </c>
      <c r="X45" s="418">
        <f t="shared" si="0"/>
        <v>0</v>
      </c>
      <c r="Y45" s="418">
        <f t="shared" si="0"/>
        <v>0</v>
      </c>
      <c r="Z45" s="418">
        <f t="shared" si="1"/>
        <v>0</v>
      </c>
      <c r="AA45" s="410"/>
      <c r="AB45" s="422"/>
      <c r="AC45" s="415">
        <v>0.91999999999999993</v>
      </c>
      <c r="AD45" s="416"/>
      <c r="AE45" s="414">
        <v>0</v>
      </c>
      <c r="AF45" s="412">
        <f t="shared" si="3"/>
        <v>0</v>
      </c>
      <c r="AG45" s="410"/>
      <c r="AH45" s="422"/>
      <c r="AI45" s="413">
        <v>0.91999999999999993</v>
      </c>
      <c r="AJ45" s="2669" t="s">
        <v>820</v>
      </c>
      <c r="AK45" s="414">
        <f t="shared" si="4"/>
        <v>0</v>
      </c>
      <c r="AL45" s="412">
        <f t="shared" si="5"/>
        <v>0</v>
      </c>
      <c r="AM45" s="410"/>
      <c r="AN45" s="422"/>
      <c r="AO45" s="413">
        <v>0.91999999999999993</v>
      </c>
      <c r="AP45" s="2669" t="s">
        <v>304</v>
      </c>
      <c r="AQ45" s="414">
        <f t="shared" si="6"/>
        <v>0</v>
      </c>
      <c r="AR45" s="412">
        <f t="shared" si="7"/>
        <v>0</v>
      </c>
      <c r="AS45" s="410"/>
      <c r="AT45" s="422"/>
      <c r="AU45" s="413">
        <f>VLOOKUP($A45,'Measure Level Adjustments Tab'!$A$5:$CL$272,53,FALSE)/U45</f>
        <v>0.91999999999999993</v>
      </c>
      <c r="AV45" s="2669" t="s">
        <v>304</v>
      </c>
      <c r="AW45" s="414">
        <f t="shared" si="8"/>
        <v>0</v>
      </c>
      <c r="AX45" s="412">
        <f t="shared" si="9"/>
        <v>0</v>
      </c>
      <c r="AY45" s="418">
        <f t="shared" si="10"/>
        <v>0</v>
      </c>
      <c r="AZ45" s="418">
        <f t="shared" si="11"/>
        <v>0</v>
      </c>
      <c r="BA45" s="418">
        <f t="shared" si="12"/>
        <v>0</v>
      </c>
      <c r="BB45" s="418">
        <f t="shared" si="13"/>
        <v>0</v>
      </c>
      <c r="BC45" s="419">
        <f t="shared" si="14"/>
        <v>0</v>
      </c>
      <c r="BD45" s="410" t="s">
        <v>1271</v>
      </c>
      <c r="BE45" s="423" t="s">
        <v>1272</v>
      </c>
      <c r="BF45" s="421"/>
    </row>
    <row r="46" spans="1:58" s="327" customFormat="1" ht="18" customHeight="1" x14ac:dyDescent="0.35">
      <c r="A46" s="660">
        <v>473</v>
      </c>
      <c r="B46" s="660" t="str">
        <f>VLOOKUP($A46,'Measure Level Adjustments Tab'!$A$5:$CL$272,6,FALSE)</f>
        <v>Behavior Modification</v>
      </c>
      <c r="C46" s="659" t="s">
        <v>838</v>
      </c>
      <c r="D46" s="659" t="s">
        <v>993</v>
      </c>
      <c r="E46" s="411">
        <f>VLOOKUP($A46,'Measure Level Adjustments Tab'!$A$5:$CL$272,13,FALSE)</f>
        <v>1</v>
      </c>
      <c r="F46" s="411" t="str">
        <f>VLOOKUP($A46,'Measure Level Adjustments Tab'!$A$5:$CL$272,11,FALSE)</f>
        <v>Custom</v>
      </c>
      <c r="G46" s="411">
        <f>VLOOKUP($A46,'Measure Level Adjustments Tab'!$A$5:$CL$272,14,FALSE)</f>
        <v>0</v>
      </c>
      <c r="H46" s="663">
        <f>VLOOKUP($A46,'Measure Level Adjustments Tab'!$A$5:$CL$272,54,FALSE)</f>
        <v>50000</v>
      </c>
      <c r="I46" s="663">
        <f>VLOOKUP($A46,'Measure Level Adjustments Tab'!$A$5:$CL$272,55,FALSE)</f>
        <v>0</v>
      </c>
      <c r="J46" s="663">
        <f>VLOOKUP($A46,'Measure Level Adjustments Tab'!$A$5:$CL$272,56,FALSE)</f>
        <v>0</v>
      </c>
      <c r="K46" s="663">
        <f>VLOOKUP($A46,'Measure Level Adjustments Tab'!$A$5:$CL$272,57,FALSE)</f>
        <v>0</v>
      </c>
      <c r="L46" s="411">
        <f>VLOOKUP($A46,'Measure Level Adjustments Tab'!$A$5:$CL$272,12,FALSE)</f>
        <v>0</v>
      </c>
      <c r="M46" s="422"/>
      <c r="N46" s="662">
        <v>0.41399999999999998</v>
      </c>
      <c r="O46" s="662">
        <v>0.41399999999999998</v>
      </c>
      <c r="P46" s="662">
        <v>0.41399999999999998</v>
      </c>
      <c r="Q46" s="662">
        <v>0.41399999999999998</v>
      </c>
      <c r="R46" s="661">
        <f>VLOOKUP($A46,'Measure Level Adjustments Tab'!$A$5:$CL$272,46,FALSE)</f>
        <v>1</v>
      </c>
      <c r="S46" s="661">
        <f>VLOOKUP($A46,'Measure Level Adjustments Tab'!$A$5:$CL$272,47,FALSE)</f>
        <v>1</v>
      </c>
      <c r="T46" s="661">
        <f>VLOOKUP($A46,'Measure Level Adjustments Tab'!$A$5:$CL$272,48,FALSE)</f>
        <v>1</v>
      </c>
      <c r="U46" s="661">
        <f>VLOOKUP($A46,'Measure Level Adjustments Tab'!$A$5:$CL$272,49,FALSE)</f>
        <v>1</v>
      </c>
      <c r="V46" s="418">
        <v>0</v>
      </c>
      <c r="W46" s="418">
        <f t="shared" si="0"/>
        <v>0</v>
      </c>
      <c r="X46" s="418">
        <f>J46*P46*T46</f>
        <v>0</v>
      </c>
      <c r="Y46" s="418">
        <f t="shared" si="0"/>
        <v>0</v>
      </c>
      <c r="Z46" s="418">
        <f t="shared" si="1"/>
        <v>0</v>
      </c>
      <c r="AA46" s="410"/>
      <c r="AB46" s="422"/>
      <c r="AC46" s="415">
        <v>0.41399999999999998</v>
      </c>
      <c r="AD46" s="416"/>
      <c r="AE46" s="414">
        <v>0</v>
      </c>
      <c r="AF46" s="412">
        <f t="shared" si="3"/>
        <v>0</v>
      </c>
      <c r="AG46" s="410"/>
      <c r="AH46" s="422"/>
      <c r="AI46" s="413">
        <v>0.41399999999999998</v>
      </c>
      <c r="AJ46" s="2669" t="s">
        <v>820</v>
      </c>
      <c r="AK46" s="414">
        <f t="shared" si="4"/>
        <v>0</v>
      </c>
      <c r="AL46" s="412">
        <f t="shared" si="5"/>
        <v>0</v>
      </c>
      <c r="AM46" s="410"/>
      <c r="AN46" s="422"/>
      <c r="AO46" s="413">
        <v>0.41399999999999998</v>
      </c>
      <c r="AP46" s="2669" t="s">
        <v>304</v>
      </c>
      <c r="AQ46" s="414">
        <f t="shared" si="6"/>
        <v>0</v>
      </c>
      <c r="AR46" s="412">
        <f t="shared" si="7"/>
        <v>0</v>
      </c>
      <c r="AS46" s="410"/>
      <c r="AT46" s="422"/>
      <c r="AU46" s="413">
        <f>VLOOKUP($A46,'Measure Level Adjustments Tab'!$A$5:$CL$272,53,FALSE)/U46</f>
        <v>0.41399999999999998</v>
      </c>
      <c r="AV46" s="2669" t="s">
        <v>304</v>
      </c>
      <c r="AW46" s="414">
        <f t="shared" si="8"/>
        <v>0</v>
      </c>
      <c r="AX46" s="412">
        <f t="shared" si="9"/>
        <v>0</v>
      </c>
      <c r="AY46" s="418">
        <f t="shared" si="10"/>
        <v>0</v>
      </c>
      <c r="AZ46" s="418">
        <f t="shared" si="11"/>
        <v>0</v>
      </c>
      <c r="BA46" s="418">
        <f t="shared" si="12"/>
        <v>0</v>
      </c>
      <c r="BB46" s="418">
        <f t="shared" si="13"/>
        <v>0</v>
      </c>
      <c r="BC46" s="419">
        <f t="shared" si="14"/>
        <v>0</v>
      </c>
      <c r="BD46" s="410" t="s">
        <v>1271</v>
      </c>
      <c r="BE46" s="423" t="s">
        <v>1272</v>
      </c>
      <c r="BF46" s="421"/>
    </row>
    <row r="47" spans="1:58" s="327" customFormat="1" ht="18" customHeight="1" x14ac:dyDescent="0.35">
      <c r="A47" s="660">
        <v>474</v>
      </c>
      <c r="B47" s="660" t="str">
        <f>VLOOKUP($A47,'Measure Level Adjustments Tab'!$A$5:$CL$272,6,FALSE)</f>
        <v>Behavior Modification</v>
      </c>
      <c r="C47" s="659" t="s">
        <v>838</v>
      </c>
      <c r="D47" s="659" t="s">
        <v>994</v>
      </c>
      <c r="E47" s="411">
        <f>VLOOKUP($A47,'Measure Level Adjustments Tab'!$A$5:$CL$272,13,FALSE)</f>
        <v>1</v>
      </c>
      <c r="F47" s="411" t="str">
        <f>VLOOKUP($A47,'Measure Level Adjustments Tab'!$A$5:$CL$272,11,FALSE)</f>
        <v>Custom</v>
      </c>
      <c r="G47" s="411">
        <f>VLOOKUP($A47,'Measure Level Adjustments Tab'!$A$5:$CL$272,14,FALSE)</f>
        <v>0</v>
      </c>
      <c r="H47" s="663">
        <f>VLOOKUP($A47,'Measure Level Adjustments Tab'!$A$5:$CL$272,54,FALSE)</f>
        <v>50000</v>
      </c>
      <c r="I47" s="663">
        <f>VLOOKUP($A47,'Measure Level Adjustments Tab'!$A$5:$CL$272,55,FALSE)</f>
        <v>0</v>
      </c>
      <c r="J47" s="663">
        <f>VLOOKUP($A47,'Measure Level Adjustments Tab'!$A$5:$CL$272,56,FALSE)</f>
        <v>0</v>
      </c>
      <c r="K47" s="663">
        <f>VLOOKUP($A47,'Measure Level Adjustments Tab'!$A$5:$CL$272,57,FALSE)</f>
        <v>0</v>
      </c>
      <c r="L47" s="411">
        <f>VLOOKUP($A47,'Measure Level Adjustments Tab'!$A$5:$CL$272,12,FALSE)</f>
        <v>0</v>
      </c>
      <c r="M47" s="422"/>
      <c r="N47" s="662">
        <v>0.184</v>
      </c>
      <c r="O47" s="662">
        <v>0.184</v>
      </c>
      <c r="P47" s="662">
        <v>0.184</v>
      </c>
      <c r="Q47" s="662">
        <v>0.184</v>
      </c>
      <c r="R47" s="661">
        <f>VLOOKUP($A47,'Measure Level Adjustments Tab'!$A$5:$CL$272,46,FALSE)</f>
        <v>1</v>
      </c>
      <c r="S47" s="661">
        <f>VLOOKUP($A47,'Measure Level Adjustments Tab'!$A$5:$CL$272,47,FALSE)</f>
        <v>1</v>
      </c>
      <c r="T47" s="661">
        <f>VLOOKUP($A47,'Measure Level Adjustments Tab'!$A$5:$CL$272,48,FALSE)</f>
        <v>1</v>
      </c>
      <c r="U47" s="661">
        <f>VLOOKUP($A47,'Measure Level Adjustments Tab'!$A$5:$CL$272,49,FALSE)</f>
        <v>1</v>
      </c>
      <c r="V47" s="418">
        <v>0</v>
      </c>
      <c r="W47" s="418">
        <f t="shared" si="0"/>
        <v>0</v>
      </c>
      <c r="X47" s="418">
        <f t="shared" ref="X47" si="15">J47*P47*T47</f>
        <v>0</v>
      </c>
      <c r="Y47" s="418">
        <f t="shared" ref="Y47" si="16">K47*Q47*U47</f>
        <v>0</v>
      </c>
      <c r="Z47" s="418">
        <f t="shared" si="1"/>
        <v>0</v>
      </c>
      <c r="AA47" s="410"/>
      <c r="AB47" s="422"/>
      <c r="AC47" s="415">
        <v>0.184</v>
      </c>
      <c r="AD47" s="416"/>
      <c r="AE47" s="414">
        <v>0</v>
      </c>
      <c r="AF47" s="412">
        <f t="shared" si="3"/>
        <v>0</v>
      </c>
      <c r="AG47" s="410"/>
      <c r="AH47" s="422"/>
      <c r="AI47" s="413">
        <v>0.184</v>
      </c>
      <c r="AJ47" s="2669" t="s">
        <v>820</v>
      </c>
      <c r="AK47" s="414">
        <f t="shared" si="4"/>
        <v>0</v>
      </c>
      <c r="AL47" s="412">
        <f t="shared" si="5"/>
        <v>0</v>
      </c>
      <c r="AM47" s="410"/>
      <c r="AN47" s="422"/>
      <c r="AO47" s="413">
        <v>0.184</v>
      </c>
      <c r="AP47" s="2669" t="s">
        <v>304</v>
      </c>
      <c r="AQ47" s="414">
        <f t="shared" si="6"/>
        <v>0</v>
      </c>
      <c r="AR47" s="412">
        <f t="shared" si="7"/>
        <v>0</v>
      </c>
      <c r="AS47" s="410"/>
      <c r="AT47" s="422"/>
      <c r="AU47" s="413">
        <f>VLOOKUP($A47,'Measure Level Adjustments Tab'!$A$5:$CL$272,53,FALSE)/U47</f>
        <v>0.184</v>
      </c>
      <c r="AV47" s="2669" t="s">
        <v>304</v>
      </c>
      <c r="AW47" s="414">
        <f t="shared" si="8"/>
        <v>0</v>
      </c>
      <c r="AX47" s="412">
        <f t="shared" si="9"/>
        <v>0</v>
      </c>
      <c r="AY47" s="418">
        <f t="shared" si="10"/>
        <v>0</v>
      </c>
      <c r="AZ47" s="418">
        <f t="shared" si="11"/>
        <v>0</v>
      </c>
      <c r="BA47" s="418">
        <f t="shared" si="12"/>
        <v>0</v>
      </c>
      <c r="BB47" s="418">
        <f t="shared" si="13"/>
        <v>0</v>
      </c>
      <c r="BC47" s="419">
        <f t="shared" si="14"/>
        <v>0</v>
      </c>
      <c r="BD47" s="410" t="s">
        <v>1271</v>
      </c>
      <c r="BE47" s="423" t="s">
        <v>1272</v>
      </c>
      <c r="BF47" s="421"/>
    </row>
    <row r="48" spans="1:58" s="327" customFormat="1" ht="18" customHeight="1" x14ac:dyDescent="0.35">
      <c r="A48" s="660">
        <v>476</v>
      </c>
      <c r="B48" s="660" t="str">
        <f>VLOOKUP($A48,'Measure Level Adjustments Tab'!$A$5:$CL$272,6,FALSE)</f>
        <v>Behavior Modification</v>
      </c>
      <c r="C48" s="659" t="s">
        <v>838</v>
      </c>
      <c r="D48" s="659" t="s">
        <v>995</v>
      </c>
      <c r="E48" s="411">
        <f>VLOOKUP($A48,'Measure Level Adjustments Tab'!$A$5:$CL$272,13,FALSE)</f>
        <v>1</v>
      </c>
      <c r="F48" s="411" t="str">
        <f>VLOOKUP($A48,'Measure Level Adjustments Tab'!$A$5:$CL$272,11,FALSE)</f>
        <v>Custom</v>
      </c>
      <c r="G48" s="411">
        <f>VLOOKUP($A48,'Measure Level Adjustments Tab'!$A$5:$CL$272,14,FALSE)</f>
        <v>0</v>
      </c>
      <c r="H48" s="663">
        <f>VLOOKUP($A48,'Measure Level Adjustments Tab'!$A$5:$CL$272,54,FALSE)</f>
        <v>0</v>
      </c>
      <c r="I48" s="663">
        <f>VLOOKUP($A48,'Measure Level Adjustments Tab'!$A$5:$CL$272,55,FALSE)</f>
        <v>50000</v>
      </c>
      <c r="J48" s="663">
        <f>VLOOKUP($A48,'Measure Level Adjustments Tab'!$A$5:$CL$272,56,FALSE)</f>
        <v>0</v>
      </c>
      <c r="K48" s="663">
        <f>VLOOKUP($A48,'Measure Level Adjustments Tab'!$A$5:$CL$272,57,FALSE)</f>
        <v>0</v>
      </c>
      <c r="L48" s="411">
        <f>VLOOKUP($A48,'Measure Level Adjustments Tab'!$A$5:$CL$272,12,FALSE)</f>
        <v>0</v>
      </c>
      <c r="M48" s="422"/>
      <c r="N48" s="662">
        <v>2.3220000000000001</v>
      </c>
      <c r="O48" s="662">
        <v>2.3220000000000001</v>
      </c>
      <c r="P48" s="662">
        <v>2.3220000000000001</v>
      </c>
      <c r="Q48" s="662">
        <v>2.3220000000000001</v>
      </c>
      <c r="R48" s="661">
        <f>VLOOKUP($A48,'Measure Level Adjustments Tab'!$A$5:$CL$272,46,FALSE)</f>
        <v>1</v>
      </c>
      <c r="S48" s="661">
        <f>VLOOKUP($A48,'Measure Level Adjustments Tab'!$A$5:$CL$272,47,FALSE)</f>
        <v>1</v>
      </c>
      <c r="T48" s="661">
        <f>VLOOKUP($A48,'Measure Level Adjustments Tab'!$A$5:$CL$272,48,FALSE)</f>
        <v>1</v>
      </c>
      <c r="U48" s="661">
        <f>VLOOKUP($A48,'Measure Level Adjustments Tab'!$A$5:$CL$272,49,FALSE)</f>
        <v>1</v>
      </c>
      <c r="V48" s="418">
        <v>0</v>
      </c>
      <c r="W48" s="418">
        <v>0</v>
      </c>
      <c r="X48" s="418">
        <f t="shared" ref="X48:X59" si="17">J48*P48*T48</f>
        <v>0</v>
      </c>
      <c r="Y48" s="418">
        <f t="shared" ref="Y48:Y55" si="18">K48*Q48*U48</f>
        <v>0</v>
      </c>
      <c r="Z48" s="418">
        <f t="shared" si="1"/>
        <v>0</v>
      </c>
      <c r="AA48" s="410"/>
      <c r="AB48" s="422"/>
      <c r="AC48" s="415">
        <v>2.3220000000000001</v>
      </c>
      <c r="AD48" s="416"/>
      <c r="AE48" s="414">
        <f t="shared" si="2"/>
        <v>0</v>
      </c>
      <c r="AF48" s="412">
        <f t="shared" si="3"/>
        <v>0</v>
      </c>
      <c r="AG48" s="410"/>
      <c r="AH48" s="422"/>
      <c r="AI48" s="413">
        <v>2.3220000000000001</v>
      </c>
      <c r="AJ48" s="2669" t="s">
        <v>820</v>
      </c>
      <c r="AK48" s="414">
        <v>0</v>
      </c>
      <c r="AL48" s="412">
        <f t="shared" si="5"/>
        <v>0</v>
      </c>
      <c r="AM48" s="410"/>
      <c r="AN48" s="422"/>
      <c r="AO48" s="413">
        <v>2.3220000000000001</v>
      </c>
      <c r="AP48" s="2669" t="s">
        <v>304</v>
      </c>
      <c r="AQ48" s="414">
        <f t="shared" si="6"/>
        <v>0</v>
      </c>
      <c r="AR48" s="412">
        <f t="shared" si="7"/>
        <v>0</v>
      </c>
      <c r="AS48" s="410"/>
      <c r="AT48" s="422"/>
      <c r="AU48" s="413">
        <f>VLOOKUP($A48,'Measure Level Adjustments Tab'!$A$5:$CL$272,53,FALSE)/U48</f>
        <v>2.3220000000000001</v>
      </c>
      <c r="AV48" s="2669" t="s">
        <v>304</v>
      </c>
      <c r="AW48" s="414">
        <f t="shared" si="8"/>
        <v>0</v>
      </c>
      <c r="AX48" s="412">
        <f t="shared" si="9"/>
        <v>0</v>
      </c>
      <c r="AY48" s="418">
        <f t="shared" si="10"/>
        <v>0</v>
      </c>
      <c r="AZ48" s="418">
        <f t="shared" si="11"/>
        <v>0</v>
      </c>
      <c r="BA48" s="418">
        <f t="shared" si="12"/>
        <v>0</v>
      </c>
      <c r="BB48" s="418">
        <f t="shared" si="13"/>
        <v>0</v>
      </c>
      <c r="BC48" s="419">
        <f t="shared" si="14"/>
        <v>0</v>
      </c>
      <c r="BD48" s="410" t="s">
        <v>1271</v>
      </c>
      <c r="BE48" s="423" t="s">
        <v>1272</v>
      </c>
      <c r="BF48" s="421"/>
    </row>
    <row r="49" spans="1:58" s="327" customFormat="1" ht="18" customHeight="1" x14ac:dyDescent="0.35">
      <c r="A49" s="660">
        <v>477</v>
      </c>
      <c r="B49" s="660" t="str">
        <f>VLOOKUP($A49,'Measure Level Adjustments Tab'!$A$5:$CL$272,6,FALSE)</f>
        <v>Behavior Modification</v>
      </c>
      <c r="C49" s="659" t="s">
        <v>838</v>
      </c>
      <c r="D49" s="659" t="s">
        <v>996</v>
      </c>
      <c r="E49" s="411">
        <f>VLOOKUP($A49,'Measure Level Adjustments Tab'!$A$5:$CL$272,13,FALSE)</f>
        <v>1</v>
      </c>
      <c r="F49" s="411" t="str">
        <f>VLOOKUP($A49,'Measure Level Adjustments Tab'!$A$5:$CL$272,11,FALSE)</f>
        <v>Custom</v>
      </c>
      <c r="G49" s="411">
        <f>VLOOKUP($A49,'Measure Level Adjustments Tab'!$A$5:$CL$272,14,FALSE)</f>
        <v>0</v>
      </c>
      <c r="H49" s="663">
        <f>VLOOKUP($A49,'Measure Level Adjustments Tab'!$A$5:$CL$272,54,FALSE)</f>
        <v>0</v>
      </c>
      <c r="I49" s="663">
        <f>VLOOKUP($A49,'Measure Level Adjustments Tab'!$A$5:$CL$272,55,FALSE)</f>
        <v>50000</v>
      </c>
      <c r="J49" s="663">
        <f>VLOOKUP($A49,'Measure Level Adjustments Tab'!$A$5:$CL$272,56,FALSE)</f>
        <v>0</v>
      </c>
      <c r="K49" s="663">
        <f>VLOOKUP($A49,'Measure Level Adjustments Tab'!$A$5:$CL$272,57,FALSE)</f>
        <v>0</v>
      </c>
      <c r="L49" s="411">
        <f>VLOOKUP($A49,'Measure Level Adjustments Tab'!$A$5:$CL$272,12,FALSE)</f>
        <v>0</v>
      </c>
      <c r="M49" s="422"/>
      <c r="N49" s="662">
        <v>1.032</v>
      </c>
      <c r="O49" s="662">
        <v>1.032</v>
      </c>
      <c r="P49" s="662">
        <v>1.032</v>
      </c>
      <c r="Q49" s="662">
        <v>1.032</v>
      </c>
      <c r="R49" s="661">
        <f>VLOOKUP($A49,'Measure Level Adjustments Tab'!$A$5:$CL$272,46,FALSE)</f>
        <v>1</v>
      </c>
      <c r="S49" s="661">
        <f>VLOOKUP($A49,'Measure Level Adjustments Tab'!$A$5:$CL$272,47,FALSE)</f>
        <v>1</v>
      </c>
      <c r="T49" s="661">
        <f>VLOOKUP($A49,'Measure Level Adjustments Tab'!$A$5:$CL$272,48,FALSE)</f>
        <v>1</v>
      </c>
      <c r="U49" s="661">
        <f>VLOOKUP($A49,'Measure Level Adjustments Tab'!$A$5:$CL$272,49,FALSE)</f>
        <v>1</v>
      </c>
      <c r="V49" s="418">
        <v>0</v>
      </c>
      <c r="W49" s="418">
        <v>0</v>
      </c>
      <c r="X49" s="418">
        <f t="shared" si="17"/>
        <v>0</v>
      </c>
      <c r="Y49" s="418">
        <f t="shared" si="18"/>
        <v>0</v>
      </c>
      <c r="Z49" s="418">
        <f t="shared" si="1"/>
        <v>0</v>
      </c>
      <c r="AA49" s="410"/>
      <c r="AB49" s="422"/>
      <c r="AC49" s="415">
        <v>1.032</v>
      </c>
      <c r="AD49" s="416"/>
      <c r="AE49" s="414">
        <f t="shared" si="2"/>
        <v>0</v>
      </c>
      <c r="AF49" s="412">
        <f t="shared" si="3"/>
        <v>0</v>
      </c>
      <c r="AG49" s="410"/>
      <c r="AH49" s="422"/>
      <c r="AI49" s="413">
        <v>1.032</v>
      </c>
      <c r="AJ49" s="2669" t="s">
        <v>820</v>
      </c>
      <c r="AK49" s="414">
        <v>0</v>
      </c>
      <c r="AL49" s="412">
        <f t="shared" si="5"/>
        <v>0</v>
      </c>
      <c r="AM49" s="410"/>
      <c r="AN49" s="422"/>
      <c r="AO49" s="413">
        <v>1.032</v>
      </c>
      <c r="AP49" s="2669" t="s">
        <v>304</v>
      </c>
      <c r="AQ49" s="414">
        <f t="shared" si="6"/>
        <v>0</v>
      </c>
      <c r="AR49" s="412">
        <f t="shared" si="7"/>
        <v>0</v>
      </c>
      <c r="AS49" s="410"/>
      <c r="AT49" s="422"/>
      <c r="AU49" s="413">
        <f>VLOOKUP($A49,'Measure Level Adjustments Tab'!$A$5:$CL$272,53,FALSE)/U49</f>
        <v>1.032</v>
      </c>
      <c r="AV49" s="2669" t="s">
        <v>304</v>
      </c>
      <c r="AW49" s="414">
        <f t="shared" si="8"/>
        <v>0</v>
      </c>
      <c r="AX49" s="412">
        <f t="shared" si="9"/>
        <v>0</v>
      </c>
      <c r="AY49" s="418">
        <f t="shared" si="10"/>
        <v>0</v>
      </c>
      <c r="AZ49" s="418">
        <f t="shared" si="11"/>
        <v>0</v>
      </c>
      <c r="BA49" s="418">
        <f t="shared" si="12"/>
        <v>0</v>
      </c>
      <c r="BB49" s="418">
        <f t="shared" si="13"/>
        <v>0</v>
      </c>
      <c r="BC49" s="419">
        <f t="shared" si="14"/>
        <v>0</v>
      </c>
      <c r="BD49" s="410" t="s">
        <v>1271</v>
      </c>
      <c r="BE49" s="423" t="s">
        <v>1272</v>
      </c>
      <c r="BF49" s="421"/>
    </row>
    <row r="50" spans="1:58" s="327" customFormat="1" ht="18" customHeight="1" x14ac:dyDescent="0.35">
      <c r="A50" s="660">
        <v>478</v>
      </c>
      <c r="B50" s="660" t="str">
        <f>VLOOKUP($A50,'Measure Level Adjustments Tab'!$A$5:$CL$272,6,FALSE)</f>
        <v>Behavior Modification</v>
      </c>
      <c r="C50" s="659" t="s">
        <v>838</v>
      </c>
      <c r="D50" s="659" t="s">
        <v>997</v>
      </c>
      <c r="E50" s="411">
        <f>VLOOKUP($A50,'Measure Level Adjustments Tab'!$A$5:$CL$272,13,FALSE)</f>
        <v>1</v>
      </c>
      <c r="F50" s="411" t="str">
        <f>VLOOKUP($A50,'Measure Level Adjustments Tab'!$A$5:$CL$272,11,FALSE)</f>
        <v>Custom</v>
      </c>
      <c r="G50" s="411">
        <f>VLOOKUP($A50,'Measure Level Adjustments Tab'!$A$5:$CL$272,14,FALSE)</f>
        <v>0</v>
      </c>
      <c r="H50" s="663">
        <f>VLOOKUP($A50,'Measure Level Adjustments Tab'!$A$5:$CL$272,54,FALSE)</f>
        <v>0</v>
      </c>
      <c r="I50" s="663">
        <f>VLOOKUP($A50,'Measure Level Adjustments Tab'!$A$5:$CL$272,55,FALSE)</f>
        <v>50000</v>
      </c>
      <c r="J50" s="663">
        <f>VLOOKUP($A50,'Measure Level Adjustments Tab'!$A$5:$CL$272,56,FALSE)</f>
        <v>0</v>
      </c>
      <c r="K50" s="663">
        <f>VLOOKUP($A50,'Measure Level Adjustments Tab'!$A$5:$CL$272,57,FALSE)</f>
        <v>0</v>
      </c>
      <c r="L50" s="411">
        <f>VLOOKUP($A50,'Measure Level Adjustments Tab'!$A$5:$CL$272,12,FALSE)</f>
        <v>0</v>
      </c>
      <c r="M50" s="422"/>
      <c r="N50" s="662">
        <v>0.46439999999999998</v>
      </c>
      <c r="O50" s="662">
        <v>0.46439999999999998</v>
      </c>
      <c r="P50" s="662">
        <v>0.46439999999999998</v>
      </c>
      <c r="Q50" s="662">
        <v>0.46439999999999998</v>
      </c>
      <c r="R50" s="661">
        <f>VLOOKUP($A50,'Measure Level Adjustments Tab'!$A$5:$CL$272,46,FALSE)</f>
        <v>1</v>
      </c>
      <c r="S50" s="661">
        <f>VLOOKUP($A50,'Measure Level Adjustments Tab'!$A$5:$CL$272,47,FALSE)</f>
        <v>1</v>
      </c>
      <c r="T50" s="661">
        <f>VLOOKUP($A50,'Measure Level Adjustments Tab'!$A$5:$CL$272,48,FALSE)</f>
        <v>1</v>
      </c>
      <c r="U50" s="661">
        <f>VLOOKUP($A50,'Measure Level Adjustments Tab'!$A$5:$CL$272,49,FALSE)</f>
        <v>1</v>
      </c>
      <c r="V50" s="418">
        <f t="shared" si="0"/>
        <v>0</v>
      </c>
      <c r="W50" s="418">
        <v>0</v>
      </c>
      <c r="X50" s="418">
        <f t="shared" si="17"/>
        <v>0</v>
      </c>
      <c r="Y50" s="418">
        <f t="shared" si="18"/>
        <v>0</v>
      </c>
      <c r="Z50" s="418">
        <f t="shared" si="1"/>
        <v>0</v>
      </c>
      <c r="AA50" s="410"/>
      <c r="AB50" s="422"/>
      <c r="AC50" s="415">
        <v>0.46439999999999998</v>
      </c>
      <c r="AD50" s="416"/>
      <c r="AE50" s="414">
        <f t="shared" si="2"/>
        <v>0</v>
      </c>
      <c r="AF50" s="412">
        <f t="shared" si="3"/>
        <v>0</v>
      </c>
      <c r="AG50" s="410"/>
      <c r="AH50" s="422"/>
      <c r="AI50" s="413">
        <v>0.46439999999999998</v>
      </c>
      <c r="AJ50" s="2669" t="s">
        <v>820</v>
      </c>
      <c r="AK50" s="414">
        <v>0</v>
      </c>
      <c r="AL50" s="412">
        <f t="shared" si="5"/>
        <v>0</v>
      </c>
      <c r="AM50" s="410"/>
      <c r="AN50" s="422"/>
      <c r="AO50" s="413">
        <v>0.46439999999999998</v>
      </c>
      <c r="AP50" s="2669" t="s">
        <v>304</v>
      </c>
      <c r="AQ50" s="414">
        <f t="shared" si="6"/>
        <v>0</v>
      </c>
      <c r="AR50" s="412">
        <f t="shared" si="7"/>
        <v>0</v>
      </c>
      <c r="AS50" s="410"/>
      <c r="AT50" s="422"/>
      <c r="AU50" s="413">
        <f>VLOOKUP($A50,'Measure Level Adjustments Tab'!$A$5:$CL$272,53,FALSE)/U50</f>
        <v>0.46439999999999998</v>
      </c>
      <c r="AV50" s="2669" t="s">
        <v>304</v>
      </c>
      <c r="AW50" s="414">
        <f t="shared" si="8"/>
        <v>0</v>
      </c>
      <c r="AX50" s="412">
        <f t="shared" si="9"/>
        <v>0</v>
      </c>
      <c r="AY50" s="418">
        <f t="shared" si="10"/>
        <v>0</v>
      </c>
      <c r="AZ50" s="418">
        <f t="shared" si="11"/>
        <v>0</v>
      </c>
      <c r="BA50" s="418">
        <f t="shared" si="12"/>
        <v>0</v>
      </c>
      <c r="BB50" s="418">
        <f t="shared" si="13"/>
        <v>0</v>
      </c>
      <c r="BC50" s="419">
        <f t="shared" si="14"/>
        <v>0</v>
      </c>
      <c r="BD50" s="410" t="s">
        <v>1271</v>
      </c>
      <c r="BE50" s="423" t="s">
        <v>1272</v>
      </c>
      <c r="BF50" s="421"/>
    </row>
    <row r="51" spans="1:58" s="327" customFormat="1" ht="18" customHeight="1" x14ac:dyDescent="0.35">
      <c r="A51" s="660">
        <v>479</v>
      </c>
      <c r="B51" s="660" t="str">
        <f>VLOOKUP($A51,'Measure Level Adjustments Tab'!$A$5:$CL$272,6,FALSE)</f>
        <v>Behavior Modification</v>
      </c>
      <c r="C51" s="659" t="s">
        <v>838</v>
      </c>
      <c r="D51" s="659" t="s">
        <v>998</v>
      </c>
      <c r="E51" s="411">
        <f>VLOOKUP($A51,'Measure Level Adjustments Tab'!$A$5:$CL$272,13,FALSE)</f>
        <v>1</v>
      </c>
      <c r="F51" s="411" t="str">
        <f>VLOOKUP($A51,'Measure Level Adjustments Tab'!$A$5:$CL$272,11,FALSE)</f>
        <v>Custom</v>
      </c>
      <c r="G51" s="411">
        <f>VLOOKUP($A51,'Measure Level Adjustments Tab'!$A$5:$CL$272,14,FALSE)</f>
        <v>0</v>
      </c>
      <c r="H51" s="663">
        <f>VLOOKUP($A51,'Measure Level Adjustments Tab'!$A$5:$CL$272,54,FALSE)</f>
        <v>0</v>
      </c>
      <c r="I51" s="663">
        <f>VLOOKUP($A51,'Measure Level Adjustments Tab'!$A$5:$CL$272,55,FALSE)</f>
        <v>50000</v>
      </c>
      <c r="J51" s="663">
        <f>VLOOKUP($A51,'Measure Level Adjustments Tab'!$A$5:$CL$272,56,FALSE)</f>
        <v>0</v>
      </c>
      <c r="K51" s="663">
        <f>VLOOKUP($A51,'Measure Level Adjustments Tab'!$A$5:$CL$272,57,FALSE)</f>
        <v>0</v>
      </c>
      <c r="L51" s="411">
        <f>VLOOKUP($A51,'Measure Level Adjustments Tab'!$A$5:$CL$272,12,FALSE)</f>
        <v>0</v>
      </c>
      <c r="M51" s="422"/>
      <c r="N51" s="662">
        <v>0.2064</v>
      </c>
      <c r="O51" s="662">
        <v>0.2064</v>
      </c>
      <c r="P51" s="662">
        <v>0.2064</v>
      </c>
      <c r="Q51" s="662">
        <v>0.2064</v>
      </c>
      <c r="R51" s="661">
        <f>VLOOKUP($A51,'Measure Level Adjustments Tab'!$A$5:$CL$272,46,FALSE)</f>
        <v>1</v>
      </c>
      <c r="S51" s="661">
        <f>VLOOKUP($A51,'Measure Level Adjustments Tab'!$A$5:$CL$272,47,FALSE)</f>
        <v>1</v>
      </c>
      <c r="T51" s="661">
        <f>VLOOKUP($A51,'Measure Level Adjustments Tab'!$A$5:$CL$272,48,FALSE)</f>
        <v>1</v>
      </c>
      <c r="U51" s="661">
        <f>VLOOKUP($A51,'Measure Level Adjustments Tab'!$A$5:$CL$272,49,FALSE)</f>
        <v>1</v>
      </c>
      <c r="V51" s="418">
        <f t="shared" si="0"/>
        <v>0</v>
      </c>
      <c r="W51" s="418">
        <v>0</v>
      </c>
      <c r="X51" s="418">
        <f t="shared" si="17"/>
        <v>0</v>
      </c>
      <c r="Y51" s="418">
        <f t="shared" si="18"/>
        <v>0</v>
      </c>
      <c r="Z51" s="418">
        <f t="shared" si="1"/>
        <v>0</v>
      </c>
      <c r="AA51" s="410"/>
      <c r="AB51" s="422"/>
      <c r="AC51" s="415">
        <v>0.2064</v>
      </c>
      <c r="AD51" s="416"/>
      <c r="AE51" s="414">
        <f t="shared" si="2"/>
        <v>0</v>
      </c>
      <c r="AF51" s="412">
        <f t="shared" si="3"/>
        <v>0</v>
      </c>
      <c r="AG51" s="410"/>
      <c r="AH51" s="422"/>
      <c r="AI51" s="413">
        <v>0.2064</v>
      </c>
      <c r="AJ51" s="2669" t="s">
        <v>820</v>
      </c>
      <c r="AK51" s="414">
        <v>0</v>
      </c>
      <c r="AL51" s="412">
        <f t="shared" si="5"/>
        <v>0</v>
      </c>
      <c r="AM51" s="410"/>
      <c r="AN51" s="422"/>
      <c r="AO51" s="413">
        <v>0.2064</v>
      </c>
      <c r="AP51" s="2669" t="s">
        <v>304</v>
      </c>
      <c r="AQ51" s="414">
        <f t="shared" si="6"/>
        <v>0</v>
      </c>
      <c r="AR51" s="412">
        <f t="shared" si="7"/>
        <v>0</v>
      </c>
      <c r="AS51" s="410"/>
      <c r="AT51" s="422"/>
      <c r="AU51" s="413">
        <f>VLOOKUP($A51,'Measure Level Adjustments Tab'!$A$5:$CL$272,53,FALSE)/U51</f>
        <v>0.2064</v>
      </c>
      <c r="AV51" s="2669" t="s">
        <v>304</v>
      </c>
      <c r="AW51" s="414">
        <f t="shared" si="8"/>
        <v>0</v>
      </c>
      <c r="AX51" s="412">
        <f t="shared" si="9"/>
        <v>0</v>
      </c>
      <c r="AY51" s="418">
        <f t="shared" si="10"/>
        <v>0</v>
      </c>
      <c r="AZ51" s="418">
        <f t="shared" si="11"/>
        <v>0</v>
      </c>
      <c r="BA51" s="418">
        <f t="shared" si="12"/>
        <v>0</v>
      </c>
      <c r="BB51" s="418">
        <f t="shared" si="13"/>
        <v>0</v>
      </c>
      <c r="BC51" s="419">
        <f t="shared" si="14"/>
        <v>0</v>
      </c>
      <c r="BD51" s="410" t="s">
        <v>1271</v>
      </c>
      <c r="BE51" s="423" t="s">
        <v>1272</v>
      </c>
      <c r="BF51" s="421"/>
    </row>
    <row r="52" spans="1:58" s="327" customFormat="1" ht="18" customHeight="1" x14ac:dyDescent="0.35">
      <c r="A52" s="660">
        <v>481</v>
      </c>
      <c r="B52" s="660" t="str">
        <f>VLOOKUP($A52,'Measure Level Adjustments Tab'!$A$5:$CL$272,6,FALSE)</f>
        <v>Behavior Modification</v>
      </c>
      <c r="C52" s="659" t="s">
        <v>838</v>
      </c>
      <c r="D52" s="659" t="s">
        <v>999</v>
      </c>
      <c r="E52" s="411">
        <f>VLOOKUP($A52,'Measure Level Adjustments Tab'!$A$5:$CL$272,13,FALSE)</f>
        <v>1</v>
      </c>
      <c r="F52" s="411" t="str">
        <f>VLOOKUP($A52,'Measure Level Adjustments Tab'!$A$5:$CL$272,11,FALSE)</f>
        <v>Custom</v>
      </c>
      <c r="G52" s="411">
        <f>VLOOKUP($A52,'Measure Level Adjustments Tab'!$A$5:$CL$272,14,FALSE)</f>
        <v>0</v>
      </c>
      <c r="H52" s="663">
        <f>VLOOKUP($A52,'Measure Level Adjustments Tab'!$A$5:$CL$272,54,FALSE)</f>
        <v>0</v>
      </c>
      <c r="I52" s="663">
        <f>VLOOKUP($A52,'Measure Level Adjustments Tab'!$A$5:$CL$272,55,FALSE)</f>
        <v>0</v>
      </c>
      <c r="J52" s="663">
        <f>VLOOKUP($A52,'Measure Level Adjustments Tab'!$A$5:$CL$272,56,FALSE)</f>
        <v>50000</v>
      </c>
      <c r="K52" s="663">
        <f>VLOOKUP($A52,'Measure Level Adjustments Tab'!$A$5:$CL$272,57,FALSE)</f>
        <v>0</v>
      </c>
      <c r="L52" s="411">
        <f>VLOOKUP($A52,'Measure Level Adjustments Tab'!$A$5:$CL$272,12,FALSE)</f>
        <v>0</v>
      </c>
      <c r="M52" s="422"/>
      <c r="N52" s="662">
        <v>2.3220000000000001</v>
      </c>
      <c r="O52" s="662">
        <v>2.3220000000000001</v>
      </c>
      <c r="P52" s="662">
        <v>2.3220000000000001</v>
      </c>
      <c r="Q52" s="662">
        <v>2.3220000000000001</v>
      </c>
      <c r="R52" s="661">
        <f>VLOOKUP($A52,'Measure Level Adjustments Tab'!$A$5:$CL$272,46,FALSE)</f>
        <v>1</v>
      </c>
      <c r="S52" s="661">
        <f>VLOOKUP($A52,'Measure Level Adjustments Tab'!$A$5:$CL$272,47,FALSE)</f>
        <v>1</v>
      </c>
      <c r="T52" s="661">
        <f>VLOOKUP($A52,'Measure Level Adjustments Tab'!$A$5:$CL$272,48,FALSE)</f>
        <v>1</v>
      </c>
      <c r="U52" s="661">
        <f>VLOOKUP($A52,'Measure Level Adjustments Tab'!$A$5:$CL$272,49,FALSE)</f>
        <v>1</v>
      </c>
      <c r="V52" s="418">
        <f t="shared" si="0"/>
        <v>0</v>
      </c>
      <c r="W52" s="418">
        <f t="shared" ref="W52:W59" si="19">I52*O52*S52</f>
        <v>0</v>
      </c>
      <c r="X52" s="418">
        <v>0</v>
      </c>
      <c r="Y52" s="418">
        <f t="shared" si="18"/>
        <v>0</v>
      </c>
      <c r="Z52" s="418">
        <f t="shared" si="1"/>
        <v>0</v>
      </c>
      <c r="AA52" s="410"/>
      <c r="AB52" s="422"/>
      <c r="AC52" s="415">
        <v>2.3220000000000001</v>
      </c>
      <c r="AD52" s="416"/>
      <c r="AE52" s="414">
        <f t="shared" si="2"/>
        <v>0</v>
      </c>
      <c r="AF52" s="412">
        <f t="shared" si="3"/>
        <v>0</v>
      </c>
      <c r="AG52" s="410"/>
      <c r="AH52" s="422"/>
      <c r="AI52" s="413">
        <v>2.3220000000000001</v>
      </c>
      <c r="AJ52" s="2669" t="s">
        <v>820</v>
      </c>
      <c r="AK52" s="414">
        <f t="shared" si="4"/>
        <v>0</v>
      </c>
      <c r="AL52" s="412">
        <f t="shared" si="5"/>
        <v>0</v>
      </c>
      <c r="AM52" s="410"/>
      <c r="AN52" s="422"/>
      <c r="AO52" s="413">
        <v>2.3220000000000001</v>
      </c>
      <c r="AP52" s="2669" t="s">
        <v>304</v>
      </c>
      <c r="AQ52" s="414">
        <v>0</v>
      </c>
      <c r="AR52" s="412">
        <f t="shared" si="7"/>
        <v>0</v>
      </c>
      <c r="AS52" s="410"/>
      <c r="AT52" s="422"/>
      <c r="AU52" s="413">
        <f>VLOOKUP($A52,'Measure Level Adjustments Tab'!$A$5:$CL$272,53,FALSE)/U52</f>
        <v>2.3220000000000001</v>
      </c>
      <c r="AV52" s="2669" t="s">
        <v>304</v>
      </c>
      <c r="AW52" s="414">
        <f t="shared" si="8"/>
        <v>0</v>
      </c>
      <c r="AX52" s="412">
        <f t="shared" si="9"/>
        <v>0</v>
      </c>
      <c r="AY52" s="418">
        <f t="shared" si="10"/>
        <v>0</v>
      </c>
      <c r="AZ52" s="418">
        <f t="shared" si="11"/>
        <v>0</v>
      </c>
      <c r="BA52" s="418">
        <f t="shared" si="12"/>
        <v>0</v>
      </c>
      <c r="BB52" s="418">
        <f t="shared" si="13"/>
        <v>0</v>
      </c>
      <c r="BC52" s="419">
        <f t="shared" si="14"/>
        <v>0</v>
      </c>
      <c r="BD52" s="410" t="s">
        <v>1271</v>
      </c>
      <c r="BE52" s="423" t="s">
        <v>1272</v>
      </c>
      <c r="BF52" s="421"/>
    </row>
    <row r="53" spans="1:58" s="327" customFormat="1" ht="18" customHeight="1" x14ac:dyDescent="0.35">
      <c r="A53" s="660">
        <v>482</v>
      </c>
      <c r="B53" s="660" t="str">
        <f>VLOOKUP($A53,'Measure Level Adjustments Tab'!$A$5:$CL$272,6,FALSE)</f>
        <v>Behavior Modification</v>
      </c>
      <c r="C53" s="659" t="s">
        <v>838</v>
      </c>
      <c r="D53" s="659" t="s">
        <v>1000</v>
      </c>
      <c r="E53" s="411">
        <f>VLOOKUP($A53,'Measure Level Adjustments Tab'!$A$5:$CL$272,13,FALSE)</f>
        <v>1</v>
      </c>
      <c r="F53" s="411" t="str">
        <f>VLOOKUP($A53,'Measure Level Adjustments Tab'!$A$5:$CL$272,11,FALSE)</f>
        <v>Custom</v>
      </c>
      <c r="G53" s="411">
        <f>VLOOKUP($A53,'Measure Level Adjustments Tab'!$A$5:$CL$272,14,FALSE)</f>
        <v>0</v>
      </c>
      <c r="H53" s="663">
        <f>VLOOKUP($A53,'Measure Level Adjustments Tab'!$A$5:$CL$272,54,FALSE)</f>
        <v>0</v>
      </c>
      <c r="I53" s="663">
        <f>VLOOKUP($A53,'Measure Level Adjustments Tab'!$A$5:$CL$272,55,FALSE)</f>
        <v>0</v>
      </c>
      <c r="J53" s="663">
        <f>VLOOKUP($A53,'Measure Level Adjustments Tab'!$A$5:$CL$272,56,FALSE)</f>
        <v>50000</v>
      </c>
      <c r="K53" s="663">
        <f>VLOOKUP($A53,'Measure Level Adjustments Tab'!$A$5:$CL$272,57,FALSE)</f>
        <v>0</v>
      </c>
      <c r="L53" s="411">
        <f>VLOOKUP($A53,'Measure Level Adjustments Tab'!$A$5:$CL$272,12,FALSE)</f>
        <v>0</v>
      </c>
      <c r="M53" s="422"/>
      <c r="N53" s="662">
        <v>1.032</v>
      </c>
      <c r="O53" s="662">
        <v>1.032</v>
      </c>
      <c r="P53" s="662">
        <v>1.032</v>
      </c>
      <c r="Q53" s="662">
        <v>1.032</v>
      </c>
      <c r="R53" s="661">
        <f>VLOOKUP($A53,'Measure Level Adjustments Tab'!$A$5:$CL$272,46,FALSE)</f>
        <v>1</v>
      </c>
      <c r="S53" s="661">
        <f>VLOOKUP($A53,'Measure Level Adjustments Tab'!$A$5:$CL$272,47,FALSE)</f>
        <v>1</v>
      </c>
      <c r="T53" s="661">
        <f>VLOOKUP($A53,'Measure Level Adjustments Tab'!$A$5:$CL$272,48,FALSE)</f>
        <v>1</v>
      </c>
      <c r="U53" s="661">
        <f>VLOOKUP($A53,'Measure Level Adjustments Tab'!$A$5:$CL$272,49,FALSE)</f>
        <v>1</v>
      </c>
      <c r="V53" s="418">
        <f t="shared" si="0"/>
        <v>0</v>
      </c>
      <c r="W53" s="418">
        <f t="shared" si="19"/>
        <v>0</v>
      </c>
      <c r="X53" s="418">
        <v>0</v>
      </c>
      <c r="Y53" s="418">
        <f t="shared" si="18"/>
        <v>0</v>
      </c>
      <c r="Z53" s="418">
        <f t="shared" si="1"/>
        <v>0</v>
      </c>
      <c r="AA53" s="410"/>
      <c r="AB53" s="422"/>
      <c r="AC53" s="415">
        <v>1.032</v>
      </c>
      <c r="AD53" s="416"/>
      <c r="AE53" s="414">
        <f t="shared" si="2"/>
        <v>0</v>
      </c>
      <c r="AF53" s="412">
        <f t="shared" si="3"/>
        <v>0</v>
      </c>
      <c r="AG53" s="410"/>
      <c r="AH53" s="422"/>
      <c r="AI53" s="413">
        <v>1.032</v>
      </c>
      <c r="AJ53" s="2669" t="s">
        <v>820</v>
      </c>
      <c r="AK53" s="414">
        <f t="shared" si="4"/>
        <v>0</v>
      </c>
      <c r="AL53" s="412">
        <f t="shared" si="5"/>
        <v>0</v>
      </c>
      <c r="AM53" s="410"/>
      <c r="AN53" s="422"/>
      <c r="AO53" s="413">
        <v>1.032</v>
      </c>
      <c r="AP53" s="2669" t="s">
        <v>304</v>
      </c>
      <c r="AQ53" s="414">
        <v>0</v>
      </c>
      <c r="AR53" s="412">
        <f t="shared" si="7"/>
        <v>0</v>
      </c>
      <c r="AS53" s="410"/>
      <c r="AT53" s="422"/>
      <c r="AU53" s="413">
        <f>VLOOKUP($A53,'Measure Level Adjustments Tab'!$A$5:$CL$272,53,FALSE)/U53</f>
        <v>1.032</v>
      </c>
      <c r="AV53" s="2669" t="s">
        <v>304</v>
      </c>
      <c r="AW53" s="414">
        <f t="shared" si="8"/>
        <v>0</v>
      </c>
      <c r="AX53" s="412">
        <f t="shared" si="9"/>
        <v>0</v>
      </c>
      <c r="AY53" s="418">
        <f t="shared" si="10"/>
        <v>0</v>
      </c>
      <c r="AZ53" s="418">
        <f t="shared" si="11"/>
        <v>0</v>
      </c>
      <c r="BA53" s="418">
        <f t="shared" si="12"/>
        <v>0</v>
      </c>
      <c r="BB53" s="418">
        <f t="shared" si="13"/>
        <v>0</v>
      </c>
      <c r="BC53" s="419">
        <f t="shared" si="14"/>
        <v>0</v>
      </c>
      <c r="BD53" s="410" t="s">
        <v>1271</v>
      </c>
      <c r="BE53" s="423" t="s">
        <v>1272</v>
      </c>
      <c r="BF53" s="421"/>
    </row>
    <row r="54" spans="1:58" s="327" customFormat="1" ht="18" customHeight="1" x14ac:dyDescent="0.35">
      <c r="A54" s="660">
        <v>483</v>
      </c>
      <c r="B54" s="660" t="str">
        <f>VLOOKUP($A54,'Measure Level Adjustments Tab'!$A$5:$CL$272,6,FALSE)</f>
        <v>Behavior Modification</v>
      </c>
      <c r="C54" s="659" t="s">
        <v>838</v>
      </c>
      <c r="D54" s="659" t="s">
        <v>1001</v>
      </c>
      <c r="E54" s="411">
        <f>VLOOKUP($A54,'Measure Level Adjustments Tab'!$A$5:$CL$272,13,FALSE)</f>
        <v>1</v>
      </c>
      <c r="F54" s="411" t="str">
        <f>VLOOKUP($A54,'Measure Level Adjustments Tab'!$A$5:$CL$272,11,FALSE)</f>
        <v>Custom</v>
      </c>
      <c r="G54" s="411">
        <f>VLOOKUP($A54,'Measure Level Adjustments Tab'!$A$5:$CL$272,14,FALSE)</f>
        <v>0</v>
      </c>
      <c r="H54" s="663">
        <f>VLOOKUP($A54,'Measure Level Adjustments Tab'!$A$5:$CL$272,54,FALSE)</f>
        <v>0</v>
      </c>
      <c r="I54" s="663">
        <f>VLOOKUP($A54,'Measure Level Adjustments Tab'!$A$5:$CL$272,55,FALSE)</f>
        <v>0</v>
      </c>
      <c r="J54" s="663">
        <f>VLOOKUP($A54,'Measure Level Adjustments Tab'!$A$5:$CL$272,56,FALSE)</f>
        <v>50000</v>
      </c>
      <c r="K54" s="663">
        <f>VLOOKUP($A54,'Measure Level Adjustments Tab'!$A$5:$CL$272,57,FALSE)</f>
        <v>0</v>
      </c>
      <c r="L54" s="411">
        <f>VLOOKUP($A54,'Measure Level Adjustments Tab'!$A$5:$CL$272,12,FALSE)</f>
        <v>0</v>
      </c>
      <c r="M54" s="422"/>
      <c r="N54" s="662">
        <v>0.46439999999999998</v>
      </c>
      <c r="O54" s="662">
        <v>0.46439999999999998</v>
      </c>
      <c r="P54" s="662">
        <v>0.46439999999999998</v>
      </c>
      <c r="Q54" s="662">
        <v>0.46439999999999998</v>
      </c>
      <c r="R54" s="661">
        <f>VLOOKUP($A54,'Measure Level Adjustments Tab'!$A$5:$CL$272,46,FALSE)</f>
        <v>1</v>
      </c>
      <c r="S54" s="661">
        <f>VLOOKUP($A54,'Measure Level Adjustments Tab'!$A$5:$CL$272,47,FALSE)</f>
        <v>1</v>
      </c>
      <c r="T54" s="661">
        <f>VLOOKUP($A54,'Measure Level Adjustments Tab'!$A$5:$CL$272,48,FALSE)</f>
        <v>1</v>
      </c>
      <c r="U54" s="661">
        <f>VLOOKUP($A54,'Measure Level Adjustments Tab'!$A$5:$CL$272,49,FALSE)</f>
        <v>1</v>
      </c>
      <c r="V54" s="418">
        <f t="shared" si="0"/>
        <v>0</v>
      </c>
      <c r="W54" s="418">
        <f t="shared" si="19"/>
        <v>0</v>
      </c>
      <c r="X54" s="418">
        <v>0</v>
      </c>
      <c r="Y54" s="418">
        <f t="shared" si="18"/>
        <v>0</v>
      </c>
      <c r="Z54" s="418">
        <f t="shared" si="1"/>
        <v>0</v>
      </c>
      <c r="AA54" s="410"/>
      <c r="AB54" s="422"/>
      <c r="AC54" s="415">
        <v>0.46439999999999998</v>
      </c>
      <c r="AD54" s="416"/>
      <c r="AE54" s="414">
        <f t="shared" si="2"/>
        <v>0</v>
      </c>
      <c r="AF54" s="412">
        <f t="shared" si="3"/>
        <v>0</v>
      </c>
      <c r="AG54" s="410"/>
      <c r="AH54" s="422"/>
      <c r="AI54" s="413">
        <v>0.46439999999999998</v>
      </c>
      <c r="AJ54" s="2669" t="s">
        <v>820</v>
      </c>
      <c r="AK54" s="414">
        <f t="shared" si="4"/>
        <v>0</v>
      </c>
      <c r="AL54" s="412">
        <f t="shared" si="5"/>
        <v>0</v>
      </c>
      <c r="AM54" s="410"/>
      <c r="AN54" s="422"/>
      <c r="AO54" s="413">
        <v>0.46439999999999998</v>
      </c>
      <c r="AP54" s="2669" t="s">
        <v>304</v>
      </c>
      <c r="AQ54" s="414">
        <v>0</v>
      </c>
      <c r="AR54" s="412">
        <f t="shared" si="7"/>
        <v>0</v>
      </c>
      <c r="AS54" s="410"/>
      <c r="AT54" s="422"/>
      <c r="AU54" s="413">
        <f>VLOOKUP($A54,'Measure Level Adjustments Tab'!$A$5:$CL$272,53,FALSE)/U54</f>
        <v>0.46439999999999998</v>
      </c>
      <c r="AV54" s="2669" t="s">
        <v>304</v>
      </c>
      <c r="AW54" s="414">
        <f t="shared" si="8"/>
        <v>0</v>
      </c>
      <c r="AX54" s="412">
        <f t="shared" si="9"/>
        <v>0</v>
      </c>
      <c r="AY54" s="418">
        <f t="shared" si="10"/>
        <v>0</v>
      </c>
      <c r="AZ54" s="418">
        <f t="shared" si="11"/>
        <v>0</v>
      </c>
      <c r="BA54" s="418">
        <f t="shared" si="12"/>
        <v>0</v>
      </c>
      <c r="BB54" s="418">
        <f t="shared" si="13"/>
        <v>0</v>
      </c>
      <c r="BC54" s="419">
        <f t="shared" si="14"/>
        <v>0</v>
      </c>
      <c r="BD54" s="410" t="s">
        <v>1271</v>
      </c>
      <c r="BE54" s="423" t="s">
        <v>1272</v>
      </c>
      <c r="BF54" s="421"/>
    </row>
    <row r="55" spans="1:58" s="327" customFormat="1" ht="18" customHeight="1" x14ac:dyDescent="0.35">
      <c r="A55" s="660">
        <v>484</v>
      </c>
      <c r="B55" s="660" t="str">
        <f>VLOOKUP($A55,'Measure Level Adjustments Tab'!$A$5:$CL$272,6,FALSE)</f>
        <v>Behavior Modification</v>
      </c>
      <c r="C55" s="659" t="s">
        <v>838</v>
      </c>
      <c r="D55" s="659" t="s">
        <v>1002</v>
      </c>
      <c r="E55" s="411">
        <f>VLOOKUP($A55,'Measure Level Adjustments Tab'!$A$5:$CL$272,13,FALSE)</f>
        <v>1</v>
      </c>
      <c r="F55" s="411" t="str">
        <f>VLOOKUP($A55,'Measure Level Adjustments Tab'!$A$5:$CL$272,11,FALSE)</f>
        <v>Custom</v>
      </c>
      <c r="G55" s="411">
        <f>VLOOKUP($A55,'Measure Level Adjustments Tab'!$A$5:$CL$272,14,FALSE)</f>
        <v>0</v>
      </c>
      <c r="H55" s="663">
        <f>VLOOKUP($A55,'Measure Level Adjustments Tab'!$A$5:$CL$272,54,FALSE)</f>
        <v>0</v>
      </c>
      <c r="I55" s="663">
        <f>VLOOKUP($A55,'Measure Level Adjustments Tab'!$A$5:$CL$272,55,FALSE)</f>
        <v>0</v>
      </c>
      <c r="J55" s="663">
        <f>VLOOKUP($A55,'Measure Level Adjustments Tab'!$A$5:$CL$272,56,FALSE)</f>
        <v>50000</v>
      </c>
      <c r="K55" s="663">
        <f>VLOOKUP($A55,'Measure Level Adjustments Tab'!$A$5:$CL$272,57,FALSE)</f>
        <v>0</v>
      </c>
      <c r="L55" s="411">
        <f>VLOOKUP($A55,'Measure Level Adjustments Tab'!$A$5:$CL$272,12,FALSE)</f>
        <v>0</v>
      </c>
      <c r="M55" s="422"/>
      <c r="N55" s="662">
        <v>0.2064</v>
      </c>
      <c r="O55" s="662">
        <v>0.2064</v>
      </c>
      <c r="P55" s="662">
        <v>0.2064</v>
      </c>
      <c r="Q55" s="662">
        <v>0.2064</v>
      </c>
      <c r="R55" s="661">
        <f>VLOOKUP($A55,'Measure Level Adjustments Tab'!$A$5:$CL$272,46,FALSE)</f>
        <v>1</v>
      </c>
      <c r="S55" s="661">
        <f>VLOOKUP($A55,'Measure Level Adjustments Tab'!$A$5:$CL$272,47,FALSE)</f>
        <v>1</v>
      </c>
      <c r="T55" s="661">
        <f>VLOOKUP($A55,'Measure Level Adjustments Tab'!$A$5:$CL$272,48,FALSE)</f>
        <v>1</v>
      </c>
      <c r="U55" s="661">
        <f>VLOOKUP($A55,'Measure Level Adjustments Tab'!$A$5:$CL$272,49,FALSE)</f>
        <v>1</v>
      </c>
      <c r="V55" s="418">
        <f t="shared" si="0"/>
        <v>0</v>
      </c>
      <c r="W55" s="418">
        <f t="shared" si="19"/>
        <v>0</v>
      </c>
      <c r="X55" s="418">
        <v>0</v>
      </c>
      <c r="Y55" s="418">
        <f t="shared" si="18"/>
        <v>0</v>
      </c>
      <c r="Z55" s="418">
        <f t="shared" si="1"/>
        <v>0</v>
      </c>
      <c r="AA55" s="410"/>
      <c r="AB55" s="422"/>
      <c r="AC55" s="415">
        <v>0.2064</v>
      </c>
      <c r="AD55" s="416"/>
      <c r="AE55" s="414">
        <f t="shared" si="2"/>
        <v>0</v>
      </c>
      <c r="AF55" s="412">
        <f t="shared" si="3"/>
        <v>0</v>
      </c>
      <c r="AG55" s="410"/>
      <c r="AH55" s="422"/>
      <c r="AI55" s="413">
        <v>0.2064</v>
      </c>
      <c r="AJ55" s="2669" t="s">
        <v>820</v>
      </c>
      <c r="AK55" s="414">
        <f t="shared" si="4"/>
        <v>0</v>
      </c>
      <c r="AL55" s="412">
        <f t="shared" si="5"/>
        <v>0</v>
      </c>
      <c r="AM55" s="410"/>
      <c r="AN55" s="422"/>
      <c r="AO55" s="413">
        <v>0.2064</v>
      </c>
      <c r="AP55" s="2669" t="s">
        <v>304</v>
      </c>
      <c r="AQ55" s="414">
        <v>0</v>
      </c>
      <c r="AR55" s="412">
        <f t="shared" si="7"/>
        <v>0</v>
      </c>
      <c r="AS55" s="410"/>
      <c r="AT55" s="422"/>
      <c r="AU55" s="413">
        <f>VLOOKUP($A55,'Measure Level Adjustments Tab'!$A$5:$CL$272,53,FALSE)/U55</f>
        <v>0.2064</v>
      </c>
      <c r="AV55" s="2669" t="s">
        <v>304</v>
      </c>
      <c r="AW55" s="414">
        <f t="shared" si="8"/>
        <v>0</v>
      </c>
      <c r="AX55" s="412">
        <f t="shared" si="9"/>
        <v>0</v>
      </c>
      <c r="AY55" s="418">
        <f t="shared" si="10"/>
        <v>0</v>
      </c>
      <c r="AZ55" s="418">
        <f t="shared" si="11"/>
        <v>0</v>
      </c>
      <c r="BA55" s="418">
        <f t="shared" si="12"/>
        <v>0</v>
      </c>
      <c r="BB55" s="418">
        <f t="shared" si="13"/>
        <v>0</v>
      </c>
      <c r="BC55" s="419">
        <f t="shared" si="14"/>
        <v>0</v>
      </c>
      <c r="BD55" s="410" t="s">
        <v>1271</v>
      </c>
      <c r="BE55" s="423" t="s">
        <v>1272</v>
      </c>
      <c r="BF55" s="421"/>
    </row>
    <row r="56" spans="1:58" s="327" customFormat="1" ht="18" customHeight="1" x14ac:dyDescent="0.35">
      <c r="A56" s="660">
        <v>486</v>
      </c>
      <c r="B56" s="660" t="str">
        <f>VLOOKUP($A56,'Measure Level Adjustments Tab'!$A$5:$CL$272,6,FALSE)</f>
        <v>Behavior Modification</v>
      </c>
      <c r="C56" s="659" t="s">
        <v>838</v>
      </c>
      <c r="D56" s="659" t="s">
        <v>1003</v>
      </c>
      <c r="E56" s="411">
        <f>VLOOKUP($A56,'Measure Level Adjustments Tab'!$A$5:$CL$272,13,FALSE)</f>
        <v>1</v>
      </c>
      <c r="F56" s="411" t="str">
        <f>VLOOKUP($A56,'Measure Level Adjustments Tab'!$A$5:$CL$272,11,FALSE)</f>
        <v>Custom</v>
      </c>
      <c r="G56" s="411">
        <f>VLOOKUP($A56,'Measure Level Adjustments Tab'!$A$5:$CL$272,14,FALSE)</f>
        <v>0</v>
      </c>
      <c r="H56" s="663">
        <f>VLOOKUP($A56,'Measure Level Adjustments Tab'!$A$5:$CL$272,54,FALSE)</f>
        <v>0</v>
      </c>
      <c r="I56" s="663">
        <f>VLOOKUP($A56,'Measure Level Adjustments Tab'!$A$5:$CL$272,55,FALSE)</f>
        <v>0</v>
      </c>
      <c r="J56" s="663">
        <f>VLOOKUP($A56,'Measure Level Adjustments Tab'!$A$5:$CL$272,56,FALSE)</f>
        <v>0</v>
      </c>
      <c r="K56" s="663">
        <f>VLOOKUP($A56,'Measure Level Adjustments Tab'!$A$5:$CL$272,57,FALSE)</f>
        <v>50000</v>
      </c>
      <c r="L56" s="411">
        <f>VLOOKUP($A56,'Measure Level Adjustments Tab'!$A$5:$CL$272,12,FALSE)</f>
        <v>0</v>
      </c>
      <c r="M56" s="422"/>
      <c r="N56" s="662">
        <v>2.3220000000000001</v>
      </c>
      <c r="O56" s="662">
        <v>2.3220000000000001</v>
      </c>
      <c r="P56" s="662">
        <v>2.3220000000000001</v>
      </c>
      <c r="Q56" s="662">
        <v>2.3220000000000001</v>
      </c>
      <c r="R56" s="661">
        <f>VLOOKUP($A56,'Measure Level Adjustments Tab'!$A$5:$CL$272,46,FALSE)</f>
        <v>1</v>
      </c>
      <c r="S56" s="661">
        <f>VLOOKUP($A56,'Measure Level Adjustments Tab'!$A$5:$CL$272,47,FALSE)</f>
        <v>1</v>
      </c>
      <c r="T56" s="661">
        <f>VLOOKUP($A56,'Measure Level Adjustments Tab'!$A$5:$CL$272,48,FALSE)</f>
        <v>1</v>
      </c>
      <c r="U56" s="661">
        <f>VLOOKUP($A56,'Measure Level Adjustments Tab'!$A$5:$CL$272,49,FALSE)</f>
        <v>1</v>
      </c>
      <c r="V56" s="418">
        <f t="shared" si="0"/>
        <v>0</v>
      </c>
      <c r="W56" s="418">
        <f t="shared" si="19"/>
        <v>0</v>
      </c>
      <c r="X56" s="418">
        <v>0</v>
      </c>
      <c r="Y56" s="418">
        <v>0</v>
      </c>
      <c r="Z56" s="418">
        <f t="shared" si="1"/>
        <v>0</v>
      </c>
      <c r="AA56" s="410"/>
      <c r="AB56" s="422"/>
      <c r="AC56" s="415">
        <v>2.3220000000000001</v>
      </c>
      <c r="AD56" s="416"/>
      <c r="AE56" s="414">
        <f t="shared" si="2"/>
        <v>0</v>
      </c>
      <c r="AF56" s="412">
        <f t="shared" si="3"/>
        <v>0</v>
      </c>
      <c r="AG56" s="410"/>
      <c r="AH56" s="422"/>
      <c r="AI56" s="413">
        <v>2.3220000000000001</v>
      </c>
      <c r="AJ56" s="2669" t="s">
        <v>820</v>
      </c>
      <c r="AK56" s="414">
        <f t="shared" si="4"/>
        <v>0</v>
      </c>
      <c r="AL56" s="412">
        <f t="shared" si="5"/>
        <v>0</v>
      </c>
      <c r="AM56" s="410"/>
      <c r="AN56" s="422"/>
      <c r="AO56" s="413">
        <v>2.3220000000000001</v>
      </c>
      <c r="AP56" s="2669" t="s">
        <v>304</v>
      </c>
      <c r="AQ56" s="414">
        <f t="shared" si="6"/>
        <v>0</v>
      </c>
      <c r="AR56" s="412">
        <f t="shared" si="7"/>
        <v>0</v>
      </c>
      <c r="AS56" s="410"/>
      <c r="AT56" s="422"/>
      <c r="AU56" s="413">
        <f>VLOOKUP($A56,'Measure Level Adjustments Tab'!$A$5:$CL$272,53,FALSE)/U56</f>
        <v>2.3220000000000001</v>
      </c>
      <c r="AV56" s="2669" t="s">
        <v>304</v>
      </c>
      <c r="AW56" s="414">
        <v>0</v>
      </c>
      <c r="AX56" s="412">
        <f t="shared" si="9"/>
        <v>0</v>
      </c>
      <c r="AY56" s="418">
        <f t="shared" si="10"/>
        <v>0</v>
      </c>
      <c r="AZ56" s="418">
        <f t="shared" si="11"/>
        <v>0</v>
      </c>
      <c r="BA56" s="418">
        <f t="shared" si="12"/>
        <v>0</v>
      </c>
      <c r="BB56" s="418">
        <f t="shared" si="13"/>
        <v>0</v>
      </c>
      <c r="BC56" s="419">
        <f t="shared" si="14"/>
        <v>0</v>
      </c>
      <c r="BD56" s="410" t="s">
        <v>1271</v>
      </c>
      <c r="BE56" s="423" t="s">
        <v>1272</v>
      </c>
      <c r="BF56" s="421"/>
    </row>
    <row r="57" spans="1:58" s="327" customFormat="1" ht="18" customHeight="1" x14ac:dyDescent="0.35">
      <c r="A57" s="660">
        <v>487</v>
      </c>
      <c r="B57" s="660" t="str">
        <f>VLOOKUP($A57,'Measure Level Adjustments Tab'!$A$5:$CL$272,6,FALSE)</f>
        <v>Behavior Modification</v>
      </c>
      <c r="C57" s="659" t="s">
        <v>838</v>
      </c>
      <c r="D57" s="659" t="s">
        <v>1004</v>
      </c>
      <c r="E57" s="411">
        <f>VLOOKUP($A57,'Measure Level Adjustments Tab'!$A$5:$CL$272,13,FALSE)</f>
        <v>1</v>
      </c>
      <c r="F57" s="411" t="str">
        <f>VLOOKUP($A57,'Measure Level Adjustments Tab'!$A$5:$CL$272,11,FALSE)</f>
        <v>Custom</v>
      </c>
      <c r="G57" s="411">
        <f>VLOOKUP($A57,'Measure Level Adjustments Tab'!$A$5:$CL$272,14,FALSE)</f>
        <v>0</v>
      </c>
      <c r="H57" s="663">
        <f>VLOOKUP($A57,'Measure Level Adjustments Tab'!$A$5:$CL$272,54,FALSE)</f>
        <v>0</v>
      </c>
      <c r="I57" s="663">
        <f>VLOOKUP($A57,'Measure Level Adjustments Tab'!$A$5:$CL$272,55,FALSE)</f>
        <v>0</v>
      </c>
      <c r="J57" s="663">
        <f>VLOOKUP($A57,'Measure Level Adjustments Tab'!$A$5:$CL$272,56,FALSE)</f>
        <v>0</v>
      </c>
      <c r="K57" s="663">
        <f>VLOOKUP($A57,'Measure Level Adjustments Tab'!$A$5:$CL$272,57,FALSE)</f>
        <v>50000</v>
      </c>
      <c r="L57" s="411">
        <f>VLOOKUP($A57,'Measure Level Adjustments Tab'!$A$5:$CL$272,12,FALSE)</f>
        <v>0</v>
      </c>
      <c r="M57" s="422"/>
      <c r="N57" s="662">
        <v>1.032</v>
      </c>
      <c r="O57" s="662">
        <v>1.032</v>
      </c>
      <c r="P57" s="662">
        <v>1.032</v>
      </c>
      <c r="Q57" s="662">
        <v>1.032</v>
      </c>
      <c r="R57" s="661">
        <f>VLOOKUP($A57,'Measure Level Adjustments Tab'!$A$5:$CL$272,46,FALSE)</f>
        <v>1</v>
      </c>
      <c r="S57" s="661">
        <f>VLOOKUP($A57,'Measure Level Adjustments Tab'!$A$5:$CL$272,47,FALSE)</f>
        <v>1</v>
      </c>
      <c r="T57" s="661">
        <f>VLOOKUP($A57,'Measure Level Adjustments Tab'!$A$5:$CL$272,48,FALSE)</f>
        <v>1</v>
      </c>
      <c r="U57" s="661">
        <f>VLOOKUP($A57,'Measure Level Adjustments Tab'!$A$5:$CL$272,49,FALSE)</f>
        <v>1</v>
      </c>
      <c r="V57" s="418">
        <f t="shared" si="0"/>
        <v>0</v>
      </c>
      <c r="W57" s="418">
        <f t="shared" si="19"/>
        <v>0</v>
      </c>
      <c r="X57" s="418">
        <v>0</v>
      </c>
      <c r="Y57" s="418">
        <v>0</v>
      </c>
      <c r="Z57" s="418">
        <f t="shared" si="1"/>
        <v>0</v>
      </c>
      <c r="AA57" s="410"/>
      <c r="AB57" s="422"/>
      <c r="AC57" s="415">
        <v>1.032</v>
      </c>
      <c r="AD57" s="416"/>
      <c r="AE57" s="414">
        <f t="shared" si="2"/>
        <v>0</v>
      </c>
      <c r="AF57" s="412">
        <f t="shared" si="3"/>
        <v>0</v>
      </c>
      <c r="AG57" s="410"/>
      <c r="AH57" s="422"/>
      <c r="AI57" s="413">
        <v>1.032</v>
      </c>
      <c r="AJ57" s="2669" t="s">
        <v>820</v>
      </c>
      <c r="AK57" s="414">
        <f t="shared" si="4"/>
        <v>0</v>
      </c>
      <c r="AL57" s="412">
        <f t="shared" si="5"/>
        <v>0</v>
      </c>
      <c r="AM57" s="410"/>
      <c r="AN57" s="422"/>
      <c r="AO57" s="413">
        <v>1.032</v>
      </c>
      <c r="AP57" s="2669" t="s">
        <v>304</v>
      </c>
      <c r="AQ57" s="414">
        <f t="shared" si="6"/>
        <v>0</v>
      </c>
      <c r="AR57" s="412">
        <f t="shared" si="7"/>
        <v>0</v>
      </c>
      <c r="AS57" s="410"/>
      <c r="AT57" s="422"/>
      <c r="AU57" s="413">
        <f>VLOOKUP($A57,'Measure Level Adjustments Tab'!$A$5:$CL$272,53,FALSE)/U57</f>
        <v>1.032</v>
      </c>
      <c r="AV57" s="2669" t="s">
        <v>304</v>
      </c>
      <c r="AW57" s="414">
        <v>0</v>
      </c>
      <c r="AX57" s="412">
        <f t="shared" si="9"/>
        <v>0</v>
      </c>
      <c r="AY57" s="418">
        <f t="shared" si="10"/>
        <v>0</v>
      </c>
      <c r="AZ57" s="418">
        <f t="shared" si="11"/>
        <v>0</v>
      </c>
      <c r="BA57" s="418">
        <f t="shared" si="12"/>
        <v>0</v>
      </c>
      <c r="BB57" s="418">
        <f t="shared" si="13"/>
        <v>0</v>
      </c>
      <c r="BC57" s="419">
        <f t="shared" si="14"/>
        <v>0</v>
      </c>
      <c r="BD57" s="410" t="s">
        <v>1271</v>
      </c>
      <c r="BE57" s="423" t="s">
        <v>1272</v>
      </c>
      <c r="BF57" s="421"/>
    </row>
    <row r="58" spans="1:58" s="327" customFormat="1" ht="18" customHeight="1" x14ac:dyDescent="0.35">
      <c r="A58" s="660">
        <v>488</v>
      </c>
      <c r="B58" s="660" t="str">
        <f>VLOOKUP($A58,'Measure Level Adjustments Tab'!$A$5:$CL$272,6,FALSE)</f>
        <v>Behavior Modification</v>
      </c>
      <c r="C58" s="659" t="s">
        <v>838</v>
      </c>
      <c r="D58" s="659" t="s">
        <v>1005</v>
      </c>
      <c r="E58" s="411">
        <f>VLOOKUP($A58,'Measure Level Adjustments Tab'!$A$5:$CL$272,13,FALSE)</f>
        <v>1</v>
      </c>
      <c r="F58" s="411" t="str">
        <f>VLOOKUP($A58,'Measure Level Adjustments Tab'!$A$5:$CL$272,11,FALSE)</f>
        <v>Custom</v>
      </c>
      <c r="G58" s="411">
        <f>VLOOKUP($A58,'Measure Level Adjustments Tab'!$A$5:$CL$272,14,FALSE)</f>
        <v>0</v>
      </c>
      <c r="H58" s="663">
        <f>VLOOKUP($A58,'Measure Level Adjustments Tab'!$A$5:$CL$272,54,FALSE)</f>
        <v>0</v>
      </c>
      <c r="I58" s="663">
        <f>VLOOKUP($A58,'Measure Level Adjustments Tab'!$A$5:$CL$272,55,FALSE)</f>
        <v>0</v>
      </c>
      <c r="J58" s="663">
        <f>VLOOKUP($A58,'Measure Level Adjustments Tab'!$A$5:$CL$272,56,FALSE)</f>
        <v>0</v>
      </c>
      <c r="K58" s="663">
        <f>VLOOKUP($A58,'Measure Level Adjustments Tab'!$A$5:$CL$272,57,FALSE)</f>
        <v>50000</v>
      </c>
      <c r="L58" s="411">
        <f>VLOOKUP($A58,'Measure Level Adjustments Tab'!$A$5:$CL$272,12,FALSE)</f>
        <v>0</v>
      </c>
      <c r="M58" s="422"/>
      <c r="N58" s="662">
        <v>0.46439999999999998</v>
      </c>
      <c r="O58" s="662">
        <v>0.46439999999999998</v>
      </c>
      <c r="P58" s="662">
        <v>0.46439999999999998</v>
      </c>
      <c r="Q58" s="662">
        <v>0.46439999999999998</v>
      </c>
      <c r="R58" s="661">
        <f>VLOOKUP($A58,'Measure Level Adjustments Tab'!$A$5:$CL$272,46,FALSE)</f>
        <v>1</v>
      </c>
      <c r="S58" s="661">
        <f>VLOOKUP($A58,'Measure Level Adjustments Tab'!$A$5:$CL$272,47,FALSE)</f>
        <v>1</v>
      </c>
      <c r="T58" s="661">
        <f>VLOOKUP($A58,'Measure Level Adjustments Tab'!$A$5:$CL$272,48,FALSE)</f>
        <v>1</v>
      </c>
      <c r="U58" s="661">
        <f>VLOOKUP($A58,'Measure Level Adjustments Tab'!$A$5:$CL$272,49,FALSE)</f>
        <v>1</v>
      </c>
      <c r="V58" s="418">
        <f t="shared" ref="V58:Y121" si="20">H58*N58*R58</f>
        <v>0</v>
      </c>
      <c r="W58" s="418">
        <f t="shared" si="19"/>
        <v>0</v>
      </c>
      <c r="X58" s="418">
        <f t="shared" si="17"/>
        <v>0</v>
      </c>
      <c r="Y58" s="418">
        <v>0</v>
      </c>
      <c r="Z58" s="418">
        <f t="shared" ref="Z58:Z121" si="21">V58+W58+X58+Y58</f>
        <v>0</v>
      </c>
      <c r="AA58" s="410"/>
      <c r="AB58" s="422"/>
      <c r="AC58" s="415">
        <v>0.46439999999999998</v>
      </c>
      <c r="AD58" s="416"/>
      <c r="AE58" s="414">
        <f t="shared" ref="AE58:AE121" si="22">H58*AC58*R58</f>
        <v>0</v>
      </c>
      <c r="AF58" s="412">
        <f t="shared" ref="AF58:AF121" si="23">AE58-V58</f>
        <v>0</v>
      </c>
      <c r="AG58" s="410"/>
      <c r="AH58" s="422"/>
      <c r="AI58" s="413">
        <v>0.46439999999999998</v>
      </c>
      <c r="AJ58" s="2669" t="s">
        <v>820</v>
      </c>
      <c r="AK58" s="414">
        <f t="shared" ref="AK58:AK121" si="24">I58*AI58*S58</f>
        <v>0</v>
      </c>
      <c r="AL58" s="412">
        <f t="shared" ref="AL58:AL121" si="25">AK58-W58</f>
        <v>0</v>
      </c>
      <c r="AM58" s="410"/>
      <c r="AN58" s="422"/>
      <c r="AO58" s="413">
        <v>0.46439999999999998</v>
      </c>
      <c r="AP58" s="2669" t="s">
        <v>304</v>
      </c>
      <c r="AQ58" s="414">
        <f t="shared" ref="AQ58:AQ121" si="26">J58*AO58*T58</f>
        <v>0</v>
      </c>
      <c r="AR58" s="412">
        <f t="shared" ref="AR58:AR121" si="27">AQ58-X58</f>
        <v>0</v>
      </c>
      <c r="AS58" s="410"/>
      <c r="AT58" s="422"/>
      <c r="AU58" s="413">
        <f>VLOOKUP($A58,'Measure Level Adjustments Tab'!$A$5:$CL$272,53,FALSE)/U58</f>
        <v>0.46439999999999998</v>
      </c>
      <c r="AV58" s="2669" t="s">
        <v>304</v>
      </c>
      <c r="AW58" s="414">
        <v>0</v>
      </c>
      <c r="AX58" s="412">
        <f t="shared" ref="AX58:AX121" si="28">AW58-Y58</f>
        <v>0</v>
      </c>
      <c r="AY58" s="418">
        <f t="shared" ref="AY58:AY121" si="29">IF(E58=1,AE58,V58)</f>
        <v>0</v>
      </c>
      <c r="AZ58" s="418">
        <f t="shared" ref="AZ58:AZ121" si="30">IF(E58=1,AK58,W58)</f>
        <v>0</v>
      </c>
      <c r="BA58" s="418">
        <f t="shared" ref="BA58:BA121" si="31">IF(E58=1,AQ58,X58)</f>
        <v>0</v>
      </c>
      <c r="BB58" s="418">
        <f t="shared" ref="BB58:BB121" si="32">IF(E58=1,AW58,Y58)</f>
        <v>0</v>
      </c>
      <c r="BC58" s="419">
        <f t="shared" ref="BC58:BC121" si="33">AY58+AZ58+BA58+BB58</f>
        <v>0</v>
      </c>
      <c r="BD58" s="410" t="s">
        <v>1271</v>
      </c>
      <c r="BE58" s="423" t="s">
        <v>1272</v>
      </c>
      <c r="BF58" s="421"/>
    </row>
    <row r="59" spans="1:58" s="327" customFormat="1" ht="18" customHeight="1" x14ac:dyDescent="0.35">
      <c r="A59" s="660">
        <v>489</v>
      </c>
      <c r="B59" s="660" t="str">
        <f>VLOOKUP($A59,'Measure Level Adjustments Tab'!$A$5:$CL$272,6,FALSE)</f>
        <v>Behavior Modification</v>
      </c>
      <c r="C59" s="659" t="s">
        <v>838</v>
      </c>
      <c r="D59" s="659" t="s">
        <v>1006</v>
      </c>
      <c r="E59" s="411">
        <f>VLOOKUP($A59,'Measure Level Adjustments Tab'!$A$5:$CL$272,13,FALSE)</f>
        <v>1</v>
      </c>
      <c r="F59" s="411" t="str">
        <f>VLOOKUP($A59,'Measure Level Adjustments Tab'!$A$5:$CL$272,11,FALSE)</f>
        <v>Custom</v>
      </c>
      <c r="G59" s="411">
        <f>VLOOKUP($A59,'Measure Level Adjustments Tab'!$A$5:$CL$272,14,FALSE)</f>
        <v>0</v>
      </c>
      <c r="H59" s="663">
        <f>VLOOKUP($A59,'Measure Level Adjustments Tab'!$A$5:$CL$272,54,FALSE)</f>
        <v>0</v>
      </c>
      <c r="I59" s="663">
        <f>VLOOKUP($A59,'Measure Level Adjustments Tab'!$A$5:$CL$272,55,FALSE)</f>
        <v>0</v>
      </c>
      <c r="J59" s="663">
        <f>VLOOKUP($A59,'Measure Level Adjustments Tab'!$A$5:$CL$272,56,FALSE)</f>
        <v>0</v>
      </c>
      <c r="K59" s="663">
        <f>VLOOKUP($A59,'Measure Level Adjustments Tab'!$A$5:$CL$272,57,FALSE)</f>
        <v>50000</v>
      </c>
      <c r="L59" s="411">
        <f>VLOOKUP($A59,'Measure Level Adjustments Tab'!$A$5:$CL$272,12,FALSE)</f>
        <v>0</v>
      </c>
      <c r="M59" s="422"/>
      <c r="N59" s="662">
        <v>0.2064</v>
      </c>
      <c r="O59" s="662">
        <v>0.2064</v>
      </c>
      <c r="P59" s="662">
        <v>0.2064</v>
      </c>
      <c r="Q59" s="662">
        <v>0.2064</v>
      </c>
      <c r="R59" s="661">
        <f>VLOOKUP($A59,'Measure Level Adjustments Tab'!$A$5:$CL$272,46,FALSE)</f>
        <v>1</v>
      </c>
      <c r="S59" s="661">
        <f>VLOOKUP($A59,'Measure Level Adjustments Tab'!$A$5:$CL$272,47,FALSE)</f>
        <v>1</v>
      </c>
      <c r="T59" s="661">
        <f>VLOOKUP($A59,'Measure Level Adjustments Tab'!$A$5:$CL$272,48,FALSE)</f>
        <v>1</v>
      </c>
      <c r="U59" s="661">
        <f>VLOOKUP($A59,'Measure Level Adjustments Tab'!$A$5:$CL$272,49,FALSE)</f>
        <v>1</v>
      </c>
      <c r="V59" s="418">
        <f t="shared" si="20"/>
        <v>0</v>
      </c>
      <c r="W59" s="418">
        <f t="shared" si="19"/>
        <v>0</v>
      </c>
      <c r="X59" s="418">
        <f t="shared" si="17"/>
        <v>0</v>
      </c>
      <c r="Y59" s="418">
        <v>0</v>
      </c>
      <c r="Z59" s="418">
        <f t="shared" si="21"/>
        <v>0</v>
      </c>
      <c r="AA59" s="410"/>
      <c r="AB59" s="422"/>
      <c r="AC59" s="415">
        <v>0.2064</v>
      </c>
      <c r="AD59" s="416"/>
      <c r="AE59" s="414">
        <f t="shared" si="22"/>
        <v>0</v>
      </c>
      <c r="AF59" s="412">
        <f t="shared" si="23"/>
        <v>0</v>
      </c>
      <c r="AG59" s="410"/>
      <c r="AH59" s="422"/>
      <c r="AI59" s="413">
        <v>0.2064</v>
      </c>
      <c r="AJ59" s="2669" t="s">
        <v>820</v>
      </c>
      <c r="AK59" s="414">
        <f t="shared" si="24"/>
        <v>0</v>
      </c>
      <c r="AL59" s="412">
        <f t="shared" si="25"/>
        <v>0</v>
      </c>
      <c r="AM59" s="410"/>
      <c r="AN59" s="422"/>
      <c r="AO59" s="413">
        <v>0.2064</v>
      </c>
      <c r="AP59" s="2669" t="s">
        <v>304</v>
      </c>
      <c r="AQ59" s="414">
        <f t="shared" si="26"/>
        <v>0</v>
      </c>
      <c r="AR59" s="412">
        <f t="shared" si="27"/>
        <v>0</v>
      </c>
      <c r="AS59" s="410"/>
      <c r="AT59" s="422"/>
      <c r="AU59" s="413">
        <f>VLOOKUP($A59,'Measure Level Adjustments Tab'!$A$5:$CL$272,53,FALSE)/U59</f>
        <v>0.2064</v>
      </c>
      <c r="AV59" s="2669" t="s">
        <v>304</v>
      </c>
      <c r="AW59" s="414">
        <v>0</v>
      </c>
      <c r="AX59" s="412">
        <f t="shared" si="28"/>
        <v>0</v>
      </c>
      <c r="AY59" s="418">
        <f t="shared" si="29"/>
        <v>0</v>
      </c>
      <c r="AZ59" s="418">
        <f t="shared" si="30"/>
        <v>0</v>
      </c>
      <c r="BA59" s="418">
        <f t="shared" si="31"/>
        <v>0</v>
      </c>
      <c r="BB59" s="418">
        <f t="shared" si="32"/>
        <v>0</v>
      </c>
      <c r="BC59" s="419">
        <f t="shared" si="33"/>
        <v>0</v>
      </c>
      <c r="BD59" s="410" t="s">
        <v>1271</v>
      </c>
      <c r="BE59" s="423" t="s">
        <v>1272</v>
      </c>
      <c r="BF59" s="421"/>
    </row>
    <row r="60" spans="1:58" s="327" customFormat="1" ht="18" customHeight="1" x14ac:dyDescent="0.35">
      <c r="A60" s="660">
        <v>615</v>
      </c>
      <c r="B60" s="660" t="str">
        <f>VLOOKUP($A60,'Measure Level Adjustments Tab'!$A$5:$CL$272,6,FALSE)</f>
        <v>Income Qualified</v>
      </c>
      <c r="C60" s="659" t="s">
        <v>1933</v>
      </c>
      <c r="D60" s="659" t="s">
        <v>39</v>
      </c>
      <c r="E60" s="411">
        <f>VLOOKUP($A60,'Measure Level Adjustments Tab'!$A$5:$CL$272,13,FALSE)</f>
        <v>1</v>
      </c>
      <c r="F60" s="411" t="str">
        <f>VLOOKUP($A60,'Measure Level Adjustments Tab'!$A$5:$CL$272,11,FALSE)</f>
        <v>5.4.5</v>
      </c>
      <c r="G60" s="411">
        <f>VLOOKUP($A60,'Measure Level Adjustments Tab'!$A$5:$CL$272,14,FALSE)</f>
        <v>0</v>
      </c>
      <c r="H60" s="663">
        <f>VLOOKUP($A60,'Measure Level Adjustments Tab'!$A$5:$CL$272,54,FALSE)</f>
        <v>1625.75</v>
      </c>
      <c r="I60" s="663">
        <f>VLOOKUP($A60,'Measure Level Adjustments Tab'!$A$5:$CL$272,55,FALSE)</f>
        <v>1631.4374999999998</v>
      </c>
      <c r="J60" s="663">
        <f>VLOOKUP($A60,'Measure Level Adjustments Tab'!$A$5:$CL$272,56,FALSE)</f>
        <v>1504.125</v>
      </c>
      <c r="K60" s="663">
        <f>VLOOKUP($A60,'Measure Level Adjustments Tab'!$A$5:$CL$272,57,FALSE)</f>
        <v>1613.4505624999999</v>
      </c>
      <c r="L60" s="411" t="str">
        <f>VLOOKUP($A60,'Measure Level Adjustments Tab'!$A$5:$CL$272,12,FALSE)</f>
        <v>RS-HWE-LFSH-V05-180101</v>
      </c>
      <c r="M60" s="422"/>
      <c r="N60" s="662">
        <v>11.04</v>
      </c>
      <c r="O60" s="662">
        <v>11.04</v>
      </c>
      <c r="P60" s="662">
        <v>11.04</v>
      </c>
      <c r="Q60" s="662">
        <v>11.04</v>
      </c>
      <c r="R60" s="661">
        <f>VLOOKUP($A60,'Measure Level Adjustments Tab'!$A$5:$CL$272,46,FALSE)</f>
        <v>1</v>
      </c>
      <c r="S60" s="661">
        <f>VLOOKUP($A60,'Measure Level Adjustments Tab'!$A$5:$CL$272,47,FALSE)</f>
        <v>1</v>
      </c>
      <c r="T60" s="661">
        <f>VLOOKUP($A60,'Measure Level Adjustments Tab'!$A$5:$CL$272,48,FALSE)</f>
        <v>1</v>
      </c>
      <c r="U60" s="661">
        <f>VLOOKUP($A60,'Measure Level Adjustments Tab'!$A$5:$CL$272,49,FALSE)</f>
        <v>1</v>
      </c>
      <c r="V60" s="418">
        <f t="shared" si="20"/>
        <v>17948.28</v>
      </c>
      <c r="W60" s="418">
        <f t="shared" si="20"/>
        <v>18011.069999999996</v>
      </c>
      <c r="X60" s="418">
        <f t="shared" si="20"/>
        <v>16605.539999999997</v>
      </c>
      <c r="Y60" s="418">
        <f t="shared" ref="Y60:Y120" si="34">K60*Q60*U60</f>
        <v>17812.494209999997</v>
      </c>
      <c r="Z60" s="418">
        <f t="shared" si="21"/>
        <v>70377.384209999989</v>
      </c>
      <c r="AA60" s="410"/>
      <c r="AB60" s="422"/>
      <c r="AC60" s="415">
        <v>11.04</v>
      </c>
      <c r="AD60" s="416"/>
      <c r="AE60" s="414">
        <f t="shared" si="22"/>
        <v>17948.28</v>
      </c>
      <c r="AF60" s="412">
        <f t="shared" si="23"/>
        <v>0</v>
      </c>
      <c r="AG60" s="410"/>
      <c r="AH60" s="422"/>
      <c r="AI60" s="413">
        <v>5.88</v>
      </c>
      <c r="AJ60" s="2669" t="s">
        <v>3516</v>
      </c>
      <c r="AK60" s="414">
        <f t="shared" si="24"/>
        <v>9592.8524999999991</v>
      </c>
      <c r="AL60" s="412">
        <f t="shared" si="25"/>
        <v>-8418.217499999997</v>
      </c>
      <c r="AM60" s="410"/>
      <c r="AN60" s="422"/>
      <c r="AO60" s="413">
        <v>5.82</v>
      </c>
      <c r="AP60" s="2669" t="s">
        <v>304</v>
      </c>
      <c r="AQ60" s="414">
        <f t="shared" si="26"/>
        <v>8754.0074999999997</v>
      </c>
      <c r="AR60" s="412">
        <f t="shared" si="27"/>
        <v>-7851.5324999999975</v>
      </c>
      <c r="AS60" s="410"/>
      <c r="AT60" s="422"/>
      <c r="AU60" s="413">
        <f>VLOOKUP($A60,'Measure Level Adjustments Tab'!$A$5:$CL$272,53,FALSE)/U60</f>
        <v>5.82</v>
      </c>
      <c r="AV60" s="2669" t="s">
        <v>304</v>
      </c>
      <c r="AW60" s="414">
        <f t="shared" ref="AW60:AW121" si="35">K60*AU60*U60</f>
        <v>9390.282273750001</v>
      </c>
      <c r="AX60" s="412">
        <f t="shared" si="28"/>
        <v>-8422.2119362499961</v>
      </c>
      <c r="AY60" s="418">
        <f t="shared" si="29"/>
        <v>17948.28</v>
      </c>
      <c r="AZ60" s="418">
        <f t="shared" si="30"/>
        <v>9592.8524999999991</v>
      </c>
      <c r="BA60" s="418">
        <f t="shared" si="31"/>
        <v>8754.0074999999997</v>
      </c>
      <c r="BB60" s="418">
        <f t="shared" si="32"/>
        <v>9390.282273750001</v>
      </c>
      <c r="BC60" s="419">
        <f t="shared" si="33"/>
        <v>45685.422273750002</v>
      </c>
      <c r="BD60" s="410" t="s">
        <v>1271</v>
      </c>
      <c r="BE60" s="423" t="s">
        <v>1272</v>
      </c>
      <c r="BF60" s="421"/>
    </row>
    <row r="61" spans="1:58" s="327" customFormat="1" ht="18" customHeight="1" x14ac:dyDescent="0.35">
      <c r="A61" s="660">
        <v>600</v>
      </c>
      <c r="B61" s="660" t="str">
        <f>VLOOKUP($A61,'Measure Level Adjustments Tab'!$A$5:$CL$272,6,FALSE)</f>
        <v>Income Qualified</v>
      </c>
      <c r="C61" s="659" t="s">
        <v>1933</v>
      </c>
      <c r="D61" s="659" t="s">
        <v>1802</v>
      </c>
      <c r="E61" s="411">
        <f>VLOOKUP($A61,'Measure Level Adjustments Tab'!$A$5:$CL$272,13,FALSE)</f>
        <v>1</v>
      </c>
      <c r="F61" s="411" t="str">
        <f>VLOOKUP($A61,'Measure Level Adjustments Tab'!$A$5:$CL$272,11,FALSE)</f>
        <v>5.4.4</v>
      </c>
      <c r="G61" s="411">
        <f>VLOOKUP($A61,'Measure Level Adjustments Tab'!$A$5:$CL$272,14,FALSE)</f>
        <v>0</v>
      </c>
      <c r="H61" s="663">
        <f>VLOOKUP($A61,'Measure Level Adjustments Tab'!$A$5:$CL$272,54,FALSE)</f>
        <v>2601</v>
      </c>
      <c r="I61" s="663">
        <f>VLOOKUP($A61,'Measure Level Adjustments Tab'!$A$5:$CL$272,55,FALSE)</f>
        <v>2610</v>
      </c>
      <c r="J61" s="663">
        <f>VLOOKUP($A61,'Measure Level Adjustments Tab'!$A$5:$CL$272,56,FALSE)</f>
        <v>2407</v>
      </c>
      <c r="K61" s="663">
        <f>VLOOKUP($A61,'Measure Level Adjustments Tab'!$A$5:$CL$272,57,FALSE)</f>
        <v>2582</v>
      </c>
      <c r="L61" s="411" t="str">
        <f>VLOOKUP($A61,'Measure Level Adjustments Tab'!$A$5:$CL$272,12,FALSE)</f>
        <v>RS-HWE-LFFA-V06-180101</v>
      </c>
      <c r="M61" s="422"/>
      <c r="N61" s="662">
        <v>2.94</v>
      </c>
      <c r="O61" s="662">
        <v>2.94</v>
      </c>
      <c r="P61" s="662">
        <v>2.94</v>
      </c>
      <c r="Q61" s="662">
        <v>2.94</v>
      </c>
      <c r="R61" s="661">
        <f>VLOOKUP($A61,'Measure Level Adjustments Tab'!$A$5:$CL$272,46,FALSE)</f>
        <v>1</v>
      </c>
      <c r="S61" s="661">
        <f>VLOOKUP($A61,'Measure Level Adjustments Tab'!$A$5:$CL$272,47,FALSE)</f>
        <v>1</v>
      </c>
      <c r="T61" s="661">
        <f>VLOOKUP($A61,'Measure Level Adjustments Tab'!$A$5:$CL$272,48,FALSE)</f>
        <v>1</v>
      </c>
      <c r="U61" s="661">
        <f>VLOOKUP($A61,'Measure Level Adjustments Tab'!$A$5:$CL$272,49,FALSE)</f>
        <v>1</v>
      </c>
      <c r="V61" s="418">
        <f t="shared" si="20"/>
        <v>7646.94</v>
      </c>
      <c r="W61" s="418">
        <f t="shared" si="20"/>
        <v>7673.4</v>
      </c>
      <c r="X61" s="418">
        <f t="shared" si="20"/>
        <v>7076.58</v>
      </c>
      <c r="Y61" s="418">
        <f t="shared" si="34"/>
        <v>7591.08</v>
      </c>
      <c r="Z61" s="418">
        <f t="shared" si="21"/>
        <v>29988</v>
      </c>
      <c r="AA61" s="410"/>
      <c r="AB61" s="422"/>
      <c r="AC61" s="415">
        <v>2.94</v>
      </c>
      <c r="AD61" s="416"/>
      <c r="AE61" s="414">
        <f t="shared" si="22"/>
        <v>7646.94</v>
      </c>
      <c r="AF61" s="412">
        <f t="shared" si="23"/>
        <v>0</v>
      </c>
      <c r="AG61" s="410"/>
      <c r="AH61" s="422"/>
      <c r="AI61" s="413">
        <v>4.18</v>
      </c>
      <c r="AJ61" s="2669" t="s">
        <v>3514</v>
      </c>
      <c r="AK61" s="414">
        <f t="shared" si="24"/>
        <v>10909.8</v>
      </c>
      <c r="AL61" s="412">
        <f t="shared" si="25"/>
        <v>3236.3999999999996</v>
      </c>
      <c r="AM61" s="410"/>
      <c r="AN61" s="422"/>
      <c r="AO61" s="413">
        <v>4.18</v>
      </c>
      <c r="AP61" s="2669" t="s">
        <v>304</v>
      </c>
      <c r="AQ61" s="414">
        <f t="shared" si="26"/>
        <v>10061.26</v>
      </c>
      <c r="AR61" s="412">
        <f t="shared" si="27"/>
        <v>2984.6800000000003</v>
      </c>
      <c r="AS61" s="410"/>
      <c r="AT61" s="422"/>
      <c r="AU61" s="413">
        <f>VLOOKUP($A61,'Measure Level Adjustments Tab'!$A$5:$CL$272,53,FALSE)/U61</f>
        <v>4.18</v>
      </c>
      <c r="AV61" s="2669" t="s">
        <v>304</v>
      </c>
      <c r="AW61" s="414">
        <f t="shared" si="35"/>
        <v>10792.759999999998</v>
      </c>
      <c r="AX61" s="412">
        <f t="shared" si="28"/>
        <v>3201.6799999999985</v>
      </c>
      <c r="AY61" s="418">
        <f t="shared" si="29"/>
        <v>7646.94</v>
      </c>
      <c r="AZ61" s="418">
        <f t="shared" si="30"/>
        <v>10909.8</v>
      </c>
      <c r="BA61" s="418">
        <f t="shared" si="31"/>
        <v>10061.26</v>
      </c>
      <c r="BB61" s="418">
        <f t="shared" si="32"/>
        <v>10792.759999999998</v>
      </c>
      <c r="BC61" s="419">
        <f t="shared" si="33"/>
        <v>39410.759999999995</v>
      </c>
      <c r="BD61" s="410" t="s">
        <v>1271</v>
      </c>
      <c r="BE61" s="423" t="s">
        <v>1272</v>
      </c>
      <c r="BF61" s="421"/>
    </row>
    <row r="62" spans="1:58" s="327" customFormat="1" ht="18" customHeight="1" x14ac:dyDescent="0.35">
      <c r="A62" s="660">
        <v>560</v>
      </c>
      <c r="B62" s="660" t="str">
        <f>VLOOKUP($A62,'Measure Level Adjustments Tab'!$A$5:$CL$272,6,FALSE)</f>
        <v>Income Qualified</v>
      </c>
      <c r="C62" s="659" t="s">
        <v>1933</v>
      </c>
      <c r="D62" s="659" t="s">
        <v>1807</v>
      </c>
      <c r="E62" s="411">
        <f>VLOOKUP($A62,'Measure Level Adjustments Tab'!$A$5:$CL$272,13,FALSE)</f>
        <v>1</v>
      </c>
      <c r="F62" s="411" t="str">
        <f>VLOOKUP($A62,'Measure Level Adjustments Tab'!$A$5:$CL$272,11,FALSE)</f>
        <v>5.6.1</v>
      </c>
      <c r="G62" s="411">
        <f>VLOOKUP($A62,'Measure Level Adjustments Tab'!$A$5:$CL$272,14,FALSE)</f>
        <v>0</v>
      </c>
      <c r="H62" s="663">
        <f>VLOOKUP($A62,'Measure Level Adjustments Tab'!$A$5:$CL$272,54,FALSE)</f>
        <v>718</v>
      </c>
      <c r="I62" s="663">
        <f>VLOOKUP($A62,'Measure Level Adjustments Tab'!$A$5:$CL$272,55,FALSE)</f>
        <v>720</v>
      </c>
      <c r="J62" s="663">
        <f>VLOOKUP($A62,'Measure Level Adjustments Tab'!$A$5:$CL$272,56,FALSE)</f>
        <v>664</v>
      </c>
      <c r="K62" s="663">
        <f>VLOOKUP($A62,'Measure Level Adjustments Tab'!$A$5:$CL$272,57,FALSE)</f>
        <v>712</v>
      </c>
      <c r="L62" s="411" t="str">
        <f>VLOOKUP($A62,'Measure Level Adjustments Tab'!$A$5:$CL$272,12,FALSE)</f>
        <v>RS-SHL-AIRS-V06-180101</v>
      </c>
      <c r="M62" s="422"/>
      <c r="N62" s="662">
        <v>115.48339534883723</v>
      </c>
      <c r="O62" s="662">
        <v>115.48339534883723</v>
      </c>
      <c r="P62" s="662">
        <v>115.48339534883723</v>
      </c>
      <c r="Q62" s="662">
        <v>115.48339534883723</v>
      </c>
      <c r="R62" s="661">
        <f>VLOOKUP($A62,'Measure Level Adjustments Tab'!$A$5:$CL$272,46,FALSE)</f>
        <v>1</v>
      </c>
      <c r="S62" s="661">
        <f>VLOOKUP($A62,'Measure Level Adjustments Tab'!$A$5:$CL$272,47,FALSE)</f>
        <v>1</v>
      </c>
      <c r="T62" s="661">
        <f>VLOOKUP($A62,'Measure Level Adjustments Tab'!$A$5:$CL$272,48,FALSE)</f>
        <v>1</v>
      </c>
      <c r="U62" s="661">
        <f>VLOOKUP($A62,'Measure Level Adjustments Tab'!$A$5:$CL$272,49,FALSE)</f>
        <v>1</v>
      </c>
      <c r="V62" s="418">
        <f t="shared" si="20"/>
        <v>82917.077860465128</v>
      </c>
      <c r="W62" s="418">
        <f t="shared" si="20"/>
        <v>83148.044651162811</v>
      </c>
      <c r="X62" s="418">
        <f t="shared" si="20"/>
        <v>76680.974511627923</v>
      </c>
      <c r="Y62" s="418">
        <f t="shared" si="34"/>
        <v>82224.177488372108</v>
      </c>
      <c r="Z62" s="418">
        <f t="shared" si="21"/>
        <v>324970.27451162797</v>
      </c>
      <c r="AA62" s="410"/>
      <c r="AB62" s="422"/>
      <c r="AC62" s="415">
        <v>115.48339534883723</v>
      </c>
      <c r="AD62" s="416"/>
      <c r="AE62" s="414">
        <f t="shared" si="22"/>
        <v>82917.077860465128</v>
      </c>
      <c r="AF62" s="412">
        <f t="shared" si="23"/>
        <v>0</v>
      </c>
      <c r="AG62" s="410"/>
      <c r="AH62" s="422"/>
      <c r="AI62" s="413">
        <v>107.9192329534884</v>
      </c>
      <c r="AJ62" s="2669" t="s">
        <v>3533</v>
      </c>
      <c r="AK62" s="414">
        <f t="shared" si="24"/>
        <v>77701.847726511653</v>
      </c>
      <c r="AL62" s="412">
        <f t="shared" si="25"/>
        <v>-5446.196924651158</v>
      </c>
      <c r="AM62" s="410"/>
      <c r="AN62" s="422"/>
      <c r="AO62" s="413">
        <v>118.71115624883724</v>
      </c>
      <c r="AP62" s="2669" t="s">
        <v>3922</v>
      </c>
      <c r="AQ62" s="414">
        <f t="shared" si="26"/>
        <v>78824.207749227935</v>
      </c>
      <c r="AR62" s="412">
        <f t="shared" si="27"/>
        <v>2143.2332376000122</v>
      </c>
      <c r="AS62" s="410"/>
      <c r="AT62" s="422"/>
      <c r="AU62" s="413">
        <f>VLOOKUP($A62,'Measure Level Adjustments Tab'!$A$5:$CL$272,53,FALSE)/U62</f>
        <v>118.71115624883724</v>
      </c>
      <c r="AV62" s="2669" t="s">
        <v>304</v>
      </c>
      <c r="AW62" s="414">
        <f t="shared" si="35"/>
        <v>84522.343249172118</v>
      </c>
      <c r="AX62" s="412">
        <f t="shared" si="28"/>
        <v>2298.1657608000096</v>
      </c>
      <c r="AY62" s="418">
        <f t="shared" si="29"/>
        <v>82917.077860465128</v>
      </c>
      <c r="AZ62" s="418">
        <f t="shared" si="30"/>
        <v>77701.847726511653</v>
      </c>
      <c r="BA62" s="418">
        <f t="shared" si="31"/>
        <v>78824.207749227935</v>
      </c>
      <c r="BB62" s="418">
        <f t="shared" si="32"/>
        <v>84522.343249172118</v>
      </c>
      <c r="BC62" s="419">
        <f t="shared" si="33"/>
        <v>323965.47658537683</v>
      </c>
      <c r="BD62" s="410" t="s">
        <v>1271</v>
      </c>
      <c r="BE62" s="423" t="s">
        <v>1272</v>
      </c>
      <c r="BF62" s="421"/>
    </row>
    <row r="63" spans="1:58" s="327" customFormat="1" ht="18" customHeight="1" x14ac:dyDescent="0.35">
      <c r="A63" s="660">
        <v>611</v>
      </c>
      <c r="B63" s="660" t="str">
        <f>VLOOKUP($A63,'Measure Level Adjustments Tab'!$A$5:$CL$272,6,FALSE)</f>
        <v>Income Qualified</v>
      </c>
      <c r="C63" s="659" t="s">
        <v>1933</v>
      </c>
      <c r="D63" s="659" t="s">
        <v>1808</v>
      </c>
      <c r="E63" s="411">
        <f>VLOOKUP($A63,'Measure Level Adjustments Tab'!$A$5:$CL$272,13,FALSE)</f>
        <v>1</v>
      </c>
      <c r="F63" s="411" t="str">
        <f>VLOOKUP($A63,'Measure Level Adjustments Tab'!$A$5:$CL$272,11,FALSE)</f>
        <v>5.6.4</v>
      </c>
      <c r="G63" s="411">
        <f>VLOOKUP($A63,'Measure Level Adjustments Tab'!$A$5:$CL$272,14,FALSE)</f>
        <v>0</v>
      </c>
      <c r="H63" s="663">
        <f>VLOOKUP($A63,'Measure Level Adjustments Tab'!$A$5:$CL$272,54,FALSE)</f>
        <v>135</v>
      </c>
      <c r="I63" s="663">
        <f>VLOOKUP($A63,'Measure Level Adjustments Tab'!$A$5:$CL$272,55,FALSE)</f>
        <v>135</v>
      </c>
      <c r="J63" s="663">
        <f>VLOOKUP($A63,'Measure Level Adjustments Tab'!$A$5:$CL$272,56,FALSE)</f>
        <v>125</v>
      </c>
      <c r="K63" s="663">
        <f>VLOOKUP($A63,'Measure Level Adjustments Tab'!$A$5:$CL$272,57,FALSE)</f>
        <v>134</v>
      </c>
      <c r="L63" s="411" t="str">
        <f>VLOOKUP($A63,'Measure Level Adjustments Tab'!$A$5:$CL$272,12,FALSE)</f>
        <v>RS-SHL-AINS-V07-180101</v>
      </c>
      <c r="M63" s="422"/>
      <c r="N63" s="662">
        <v>52.704917843226852</v>
      </c>
      <c r="O63" s="662">
        <v>52.704917843226852</v>
      </c>
      <c r="P63" s="662">
        <v>52.704917843226852</v>
      </c>
      <c r="Q63" s="662">
        <v>52.704917843226852</v>
      </c>
      <c r="R63" s="661">
        <f>VLOOKUP($A63,'Measure Level Adjustments Tab'!$A$5:$CL$272,46,FALSE)</f>
        <v>1</v>
      </c>
      <c r="S63" s="661">
        <f>VLOOKUP($A63,'Measure Level Adjustments Tab'!$A$5:$CL$272,47,FALSE)</f>
        <v>1</v>
      </c>
      <c r="T63" s="661">
        <f>VLOOKUP($A63,'Measure Level Adjustments Tab'!$A$5:$CL$272,48,FALSE)</f>
        <v>1</v>
      </c>
      <c r="U63" s="661">
        <f>VLOOKUP($A63,'Measure Level Adjustments Tab'!$A$5:$CL$272,49,FALSE)</f>
        <v>1</v>
      </c>
      <c r="V63" s="418">
        <f t="shared" si="20"/>
        <v>7115.1639088356251</v>
      </c>
      <c r="W63" s="418">
        <f t="shared" si="20"/>
        <v>7115.1639088356251</v>
      </c>
      <c r="X63" s="418">
        <f t="shared" si="20"/>
        <v>6588.1147304033566</v>
      </c>
      <c r="Y63" s="418">
        <f t="shared" si="34"/>
        <v>7062.458990992398</v>
      </c>
      <c r="Z63" s="418">
        <f t="shared" si="21"/>
        <v>27880.901539067003</v>
      </c>
      <c r="AA63" s="410"/>
      <c r="AB63" s="422"/>
      <c r="AC63" s="415">
        <v>52.704917843226852</v>
      </c>
      <c r="AD63" s="416"/>
      <c r="AE63" s="414">
        <f t="shared" si="22"/>
        <v>7115.1639088356251</v>
      </c>
      <c r="AF63" s="412">
        <f t="shared" si="23"/>
        <v>0</v>
      </c>
      <c r="AG63" s="410"/>
      <c r="AH63" s="422"/>
      <c r="AI63" s="413">
        <v>52.704917843226852</v>
      </c>
      <c r="AJ63" s="2669" t="s">
        <v>3536</v>
      </c>
      <c r="AK63" s="414">
        <f t="shared" si="24"/>
        <v>7115.1639088356251</v>
      </c>
      <c r="AL63" s="412">
        <f t="shared" si="25"/>
        <v>0</v>
      </c>
      <c r="AM63" s="410"/>
      <c r="AN63" s="422"/>
      <c r="AO63" s="413">
        <v>52.704917843226852</v>
      </c>
      <c r="AP63" s="2669" t="s">
        <v>304</v>
      </c>
      <c r="AQ63" s="414">
        <f t="shared" si="26"/>
        <v>6588.1147304033566</v>
      </c>
      <c r="AR63" s="412">
        <f t="shared" si="27"/>
        <v>0</v>
      </c>
      <c r="AS63" s="410"/>
      <c r="AT63" s="422"/>
      <c r="AU63" s="413">
        <f>VLOOKUP($A63,'Measure Level Adjustments Tab'!$A$5:$CL$272,53,FALSE)/U63</f>
        <v>52.704917843226852</v>
      </c>
      <c r="AV63" s="2669" t="s">
        <v>304</v>
      </c>
      <c r="AW63" s="414">
        <f t="shared" si="35"/>
        <v>7062.458990992398</v>
      </c>
      <c r="AX63" s="412">
        <f t="shared" si="28"/>
        <v>0</v>
      </c>
      <c r="AY63" s="418">
        <f t="shared" si="29"/>
        <v>7115.1639088356251</v>
      </c>
      <c r="AZ63" s="418">
        <f t="shared" si="30"/>
        <v>7115.1639088356251</v>
      </c>
      <c r="BA63" s="418">
        <f t="shared" si="31"/>
        <v>6588.1147304033566</v>
      </c>
      <c r="BB63" s="418">
        <f t="shared" si="32"/>
        <v>7062.458990992398</v>
      </c>
      <c r="BC63" s="419">
        <f t="shared" si="33"/>
        <v>27880.901539067003</v>
      </c>
      <c r="BD63" s="410" t="s">
        <v>1271</v>
      </c>
      <c r="BE63" s="423" t="s">
        <v>1272</v>
      </c>
      <c r="BF63" s="421"/>
    </row>
    <row r="64" spans="1:58" s="327" customFormat="1" ht="18" customHeight="1" x14ac:dyDescent="0.35">
      <c r="A64" s="660">
        <v>613</v>
      </c>
      <c r="B64" s="660" t="str">
        <f>VLOOKUP($A64,'Measure Level Adjustments Tab'!$A$5:$CL$272,6,FALSE)</f>
        <v>Income Qualified</v>
      </c>
      <c r="C64" s="659" t="s">
        <v>1933</v>
      </c>
      <c r="D64" s="659" t="s">
        <v>1809</v>
      </c>
      <c r="E64" s="411">
        <f>VLOOKUP($A64,'Measure Level Adjustments Tab'!$A$5:$CL$272,13,FALSE)</f>
        <v>1</v>
      </c>
      <c r="F64" s="411" t="str">
        <f>VLOOKUP($A64,'Measure Level Adjustments Tab'!$A$5:$CL$272,11,FALSE)</f>
        <v>5.6.6</v>
      </c>
      <c r="G64" s="411">
        <f>VLOOKUP($A64,'Measure Level Adjustments Tab'!$A$5:$CL$272,14,FALSE)</f>
        <v>0</v>
      </c>
      <c r="H64" s="663">
        <f>VLOOKUP($A64,'Measure Level Adjustments Tab'!$A$5:$CL$272,54,FALSE)</f>
        <v>314</v>
      </c>
      <c r="I64" s="663">
        <f>VLOOKUP($A64,'Measure Level Adjustments Tab'!$A$5:$CL$272,55,FALSE)</f>
        <v>315</v>
      </c>
      <c r="J64" s="663">
        <f>VLOOKUP($A64,'Measure Level Adjustments Tab'!$A$5:$CL$272,56,FALSE)</f>
        <v>291</v>
      </c>
      <c r="K64" s="663">
        <f>VLOOKUP($A64,'Measure Level Adjustments Tab'!$A$5:$CL$272,57,FALSE)</f>
        <v>312</v>
      </c>
      <c r="L64" s="411" t="str">
        <f>VLOOKUP($A64,'Measure Level Adjustments Tab'!$A$5:$CL$272,12,FALSE)</f>
        <v>RS-SHL-AINS-V07-180101</v>
      </c>
      <c r="M64" s="422"/>
      <c r="N64" s="662">
        <v>2.7096845113773766</v>
      </c>
      <c r="O64" s="662">
        <v>2.7096845113773766</v>
      </c>
      <c r="P64" s="662">
        <v>2.7096845113773766</v>
      </c>
      <c r="Q64" s="662">
        <v>2.7096845113773766</v>
      </c>
      <c r="R64" s="661">
        <f>VLOOKUP($A64,'Measure Level Adjustments Tab'!$A$5:$CL$272,46,FALSE)</f>
        <v>1</v>
      </c>
      <c r="S64" s="661">
        <f>VLOOKUP($A64,'Measure Level Adjustments Tab'!$A$5:$CL$272,47,FALSE)</f>
        <v>1</v>
      </c>
      <c r="T64" s="661">
        <f>VLOOKUP($A64,'Measure Level Adjustments Tab'!$A$5:$CL$272,48,FALSE)</f>
        <v>1</v>
      </c>
      <c r="U64" s="661">
        <f>VLOOKUP($A64,'Measure Level Adjustments Tab'!$A$5:$CL$272,49,FALSE)</f>
        <v>1</v>
      </c>
      <c r="V64" s="418">
        <f t="shared" si="20"/>
        <v>850.84093657249628</v>
      </c>
      <c r="W64" s="418">
        <f t="shared" si="20"/>
        <v>853.55062108387369</v>
      </c>
      <c r="X64" s="418">
        <f t="shared" si="20"/>
        <v>788.51819281081657</v>
      </c>
      <c r="Y64" s="418">
        <f t="shared" si="34"/>
        <v>845.42156754974155</v>
      </c>
      <c r="Z64" s="418">
        <f t="shared" si="21"/>
        <v>3338.331318016928</v>
      </c>
      <c r="AA64" s="410"/>
      <c r="AB64" s="422"/>
      <c r="AC64" s="415">
        <v>2.7096845113773766</v>
      </c>
      <c r="AD64" s="416"/>
      <c r="AE64" s="414">
        <f t="shared" si="22"/>
        <v>850.84093657249628</v>
      </c>
      <c r="AF64" s="412">
        <f t="shared" si="23"/>
        <v>0</v>
      </c>
      <c r="AG64" s="410"/>
      <c r="AH64" s="422"/>
      <c r="AI64" s="413">
        <v>2.7096845113773766</v>
      </c>
      <c r="AJ64" s="2669" t="s">
        <v>3543</v>
      </c>
      <c r="AK64" s="414">
        <f t="shared" si="24"/>
        <v>853.55062108387369</v>
      </c>
      <c r="AL64" s="412">
        <f t="shared" si="25"/>
        <v>0</v>
      </c>
      <c r="AM64" s="410"/>
      <c r="AN64" s="422"/>
      <c r="AO64" s="413">
        <v>2.7096845113773766</v>
      </c>
      <c r="AP64" s="2669" t="s">
        <v>304</v>
      </c>
      <c r="AQ64" s="414">
        <f t="shared" si="26"/>
        <v>788.51819281081657</v>
      </c>
      <c r="AR64" s="412">
        <f t="shared" si="27"/>
        <v>0</v>
      </c>
      <c r="AS64" s="410"/>
      <c r="AT64" s="422"/>
      <c r="AU64" s="413">
        <f>VLOOKUP($A64,'Measure Level Adjustments Tab'!$A$5:$CL$272,53,FALSE)/U64</f>
        <v>2.7096845113773766</v>
      </c>
      <c r="AV64" s="2669" t="s">
        <v>304</v>
      </c>
      <c r="AW64" s="414">
        <f t="shared" si="35"/>
        <v>845.42156754974155</v>
      </c>
      <c r="AX64" s="412">
        <f t="shared" si="28"/>
        <v>0</v>
      </c>
      <c r="AY64" s="418">
        <f t="shared" si="29"/>
        <v>850.84093657249628</v>
      </c>
      <c r="AZ64" s="418">
        <f t="shared" si="30"/>
        <v>853.55062108387369</v>
      </c>
      <c r="BA64" s="418">
        <f t="shared" si="31"/>
        <v>788.51819281081657</v>
      </c>
      <c r="BB64" s="418">
        <f t="shared" si="32"/>
        <v>845.42156754974155</v>
      </c>
      <c r="BC64" s="419">
        <f t="shared" si="33"/>
        <v>3338.331318016928</v>
      </c>
      <c r="BD64" s="410" t="s">
        <v>1271</v>
      </c>
      <c r="BE64" s="423" t="s">
        <v>1272</v>
      </c>
      <c r="BF64" s="421"/>
    </row>
    <row r="65" spans="1:58" s="327" customFormat="1" ht="18" customHeight="1" x14ac:dyDescent="0.35">
      <c r="A65" s="660">
        <v>586</v>
      </c>
      <c r="B65" s="660" t="str">
        <f>VLOOKUP($A65,'Measure Level Adjustments Tab'!$A$5:$CL$272,6,FALSE)</f>
        <v>Income Qualified</v>
      </c>
      <c r="C65" s="659" t="s">
        <v>1933</v>
      </c>
      <c r="D65" s="659" t="s">
        <v>1810</v>
      </c>
      <c r="E65" s="411">
        <f>VLOOKUP($A65,'Measure Level Adjustments Tab'!$A$5:$CL$272,13,FALSE)</f>
        <v>1</v>
      </c>
      <c r="F65" s="411" t="str">
        <f>VLOOKUP($A65,'Measure Level Adjustments Tab'!$A$5:$CL$272,11,FALSE)</f>
        <v>5.6.2</v>
      </c>
      <c r="G65" s="411">
        <f>VLOOKUP($A65,'Measure Level Adjustments Tab'!$A$5:$CL$272,14,FALSE)</f>
        <v>0</v>
      </c>
      <c r="H65" s="663">
        <f>VLOOKUP($A65,'Measure Level Adjustments Tab'!$A$5:$CL$272,54,FALSE)</f>
        <v>45</v>
      </c>
      <c r="I65" s="663">
        <f>VLOOKUP($A65,'Measure Level Adjustments Tab'!$A$5:$CL$272,55,FALSE)</f>
        <v>45</v>
      </c>
      <c r="J65" s="663">
        <f>VLOOKUP($A65,'Measure Level Adjustments Tab'!$A$5:$CL$272,56,FALSE)</f>
        <v>42</v>
      </c>
      <c r="K65" s="663">
        <f>VLOOKUP($A65,'Measure Level Adjustments Tab'!$A$5:$CL$272,57,FALSE)</f>
        <v>45</v>
      </c>
      <c r="L65" s="411" t="str">
        <f>VLOOKUP($A65,'Measure Level Adjustments Tab'!$A$5:$CL$272,12,FALSE)</f>
        <v>RS-SHL-BINS-V08-180101</v>
      </c>
      <c r="M65" s="422"/>
      <c r="N65" s="662">
        <v>86.055308345348962</v>
      </c>
      <c r="O65" s="662">
        <v>86.055308345348962</v>
      </c>
      <c r="P65" s="662">
        <v>86.055308345348962</v>
      </c>
      <c r="Q65" s="662">
        <v>86.055308345348962</v>
      </c>
      <c r="R65" s="661">
        <f>VLOOKUP($A65,'Measure Level Adjustments Tab'!$A$5:$CL$272,46,FALSE)</f>
        <v>1</v>
      </c>
      <c r="S65" s="661">
        <f>VLOOKUP($A65,'Measure Level Adjustments Tab'!$A$5:$CL$272,47,FALSE)</f>
        <v>1</v>
      </c>
      <c r="T65" s="661">
        <f>VLOOKUP($A65,'Measure Level Adjustments Tab'!$A$5:$CL$272,48,FALSE)</f>
        <v>1</v>
      </c>
      <c r="U65" s="661">
        <f>VLOOKUP($A65,'Measure Level Adjustments Tab'!$A$5:$CL$272,49,FALSE)</f>
        <v>1</v>
      </c>
      <c r="V65" s="418">
        <f t="shared" si="20"/>
        <v>3872.4888755407032</v>
      </c>
      <c r="W65" s="418">
        <f t="shared" si="20"/>
        <v>3872.4888755407032</v>
      </c>
      <c r="X65" s="418">
        <f t="shared" si="20"/>
        <v>3614.3229505046565</v>
      </c>
      <c r="Y65" s="418">
        <f t="shared" si="34"/>
        <v>3872.4888755407032</v>
      </c>
      <c r="Z65" s="418">
        <f t="shared" si="21"/>
        <v>15231.789577126767</v>
      </c>
      <c r="AA65" s="410"/>
      <c r="AB65" s="422"/>
      <c r="AC65" s="415">
        <v>86.055308345348962</v>
      </c>
      <c r="AD65" s="416"/>
      <c r="AE65" s="414">
        <f t="shared" si="22"/>
        <v>3872.4888755407032</v>
      </c>
      <c r="AF65" s="412">
        <f t="shared" si="23"/>
        <v>0</v>
      </c>
      <c r="AG65" s="410"/>
      <c r="AH65" s="422"/>
      <c r="AI65" s="413">
        <v>11.869697702806754</v>
      </c>
      <c r="AJ65" s="2669" t="s">
        <v>820</v>
      </c>
      <c r="AK65" s="414">
        <f t="shared" si="24"/>
        <v>534.13639662630396</v>
      </c>
      <c r="AL65" s="412">
        <f t="shared" si="25"/>
        <v>-3338.3524789143994</v>
      </c>
      <c r="AM65" s="410"/>
      <c r="AN65" s="422"/>
      <c r="AO65" s="413">
        <v>11.869697702806754</v>
      </c>
      <c r="AP65" s="2669" t="s">
        <v>304</v>
      </c>
      <c r="AQ65" s="414">
        <f t="shared" si="26"/>
        <v>498.52730351788364</v>
      </c>
      <c r="AR65" s="412">
        <f t="shared" si="27"/>
        <v>-3115.7956469867731</v>
      </c>
      <c r="AS65" s="410"/>
      <c r="AT65" s="422"/>
      <c r="AU65" s="413">
        <f>VLOOKUP($A65,'Measure Level Adjustments Tab'!$A$5:$CL$272,53,FALSE)/U65</f>
        <v>11.869697702806754</v>
      </c>
      <c r="AV65" s="2669" t="s">
        <v>304</v>
      </c>
      <c r="AW65" s="414">
        <f t="shared" si="35"/>
        <v>534.13639662630396</v>
      </c>
      <c r="AX65" s="412">
        <f t="shared" si="28"/>
        <v>-3338.3524789143994</v>
      </c>
      <c r="AY65" s="418">
        <f t="shared" si="29"/>
        <v>3872.4888755407032</v>
      </c>
      <c r="AZ65" s="418">
        <f t="shared" si="30"/>
        <v>534.13639662630396</v>
      </c>
      <c r="BA65" s="418">
        <f t="shared" si="31"/>
        <v>498.52730351788364</v>
      </c>
      <c r="BB65" s="418">
        <f t="shared" si="32"/>
        <v>534.13639662630396</v>
      </c>
      <c r="BC65" s="419">
        <f t="shared" si="33"/>
        <v>5439.2889723111948</v>
      </c>
      <c r="BD65" s="410" t="s">
        <v>1271</v>
      </c>
      <c r="BE65" s="423" t="s">
        <v>1272</v>
      </c>
      <c r="BF65" s="421"/>
    </row>
    <row r="66" spans="1:58" s="327" customFormat="1" ht="18" customHeight="1" x14ac:dyDescent="0.35">
      <c r="A66" s="660">
        <v>567</v>
      </c>
      <c r="B66" s="660" t="str">
        <f>VLOOKUP($A66,'Measure Level Adjustments Tab'!$A$5:$CL$272,6,FALSE)</f>
        <v>Income Qualified</v>
      </c>
      <c r="C66" s="659" t="s">
        <v>1933</v>
      </c>
      <c r="D66" s="659" t="s">
        <v>1070</v>
      </c>
      <c r="E66" s="411">
        <f>VLOOKUP($A66,'Measure Level Adjustments Tab'!$A$5:$CL$272,13,FALSE)</f>
        <v>1</v>
      </c>
      <c r="F66" s="411" t="str">
        <f>VLOOKUP($A66,'Measure Level Adjustments Tab'!$A$5:$CL$272,11,FALSE)</f>
        <v>5.3.6</v>
      </c>
      <c r="G66" s="411">
        <f>VLOOKUP($A66,'Measure Level Adjustments Tab'!$A$5:$CL$272,14,FALSE)</f>
        <v>0</v>
      </c>
      <c r="H66" s="663">
        <f>VLOOKUP($A66,'Measure Level Adjustments Tab'!$A$5:$CL$272,54,FALSE)</f>
        <v>3</v>
      </c>
      <c r="I66" s="663">
        <f>VLOOKUP($A66,'Measure Level Adjustments Tab'!$A$5:$CL$272,55,FALSE)</f>
        <v>3</v>
      </c>
      <c r="J66" s="663">
        <f>VLOOKUP($A66,'Measure Level Adjustments Tab'!$A$5:$CL$272,56,FALSE)</f>
        <v>3</v>
      </c>
      <c r="K66" s="663">
        <f>VLOOKUP($A66,'Measure Level Adjustments Tab'!$A$5:$CL$272,57,FALSE)</f>
        <v>3</v>
      </c>
      <c r="L66" s="411" t="str">
        <f>VLOOKUP($A66,'Measure Level Adjustments Tab'!$A$5:$CL$272,12,FALSE)</f>
        <v>RS-HVC-GHEB-V06-180101</v>
      </c>
      <c r="M66" s="422"/>
      <c r="N66" s="662">
        <v>144.38</v>
      </c>
      <c r="O66" s="662">
        <v>144.38</v>
      </c>
      <c r="P66" s="662">
        <v>144.38</v>
      </c>
      <c r="Q66" s="662">
        <v>144.38</v>
      </c>
      <c r="R66" s="661">
        <f>VLOOKUP($A66,'Measure Level Adjustments Tab'!$A$5:$CL$272,46,FALSE)</f>
        <v>1</v>
      </c>
      <c r="S66" s="661">
        <f>VLOOKUP($A66,'Measure Level Adjustments Tab'!$A$5:$CL$272,47,FALSE)</f>
        <v>1</v>
      </c>
      <c r="T66" s="661">
        <f>VLOOKUP($A66,'Measure Level Adjustments Tab'!$A$5:$CL$272,48,FALSE)</f>
        <v>1</v>
      </c>
      <c r="U66" s="661">
        <f>VLOOKUP($A66,'Measure Level Adjustments Tab'!$A$5:$CL$272,49,FALSE)</f>
        <v>1</v>
      </c>
      <c r="V66" s="418">
        <f t="shared" si="20"/>
        <v>433.14</v>
      </c>
      <c r="W66" s="418">
        <f t="shared" si="20"/>
        <v>433.14</v>
      </c>
      <c r="X66" s="418">
        <f t="shared" si="20"/>
        <v>433.14</v>
      </c>
      <c r="Y66" s="418">
        <f t="shared" si="34"/>
        <v>433.14</v>
      </c>
      <c r="Z66" s="418">
        <f t="shared" si="21"/>
        <v>1732.56</v>
      </c>
      <c r="AA66" s="410"/>
      <c r="AB66" s="422"/>
      <c r="AC66" s="415">
        <v>144.38</v>
      </c>
      <c r="AD66" s="416"/>
      <c r="AE66" s="414">
        <f t="shared" si="22"/>
        <v>433.14</v>
      </c>
      <c r="AF66" s="412">
        <f t="shared" si="23"/>
        <v>0</v>
      </c>
      <c r="AG66" s="410"/>
      <c r="AH66" s="422"/>
      <c r="AI66" s="413">
        <v>107.05</v>
      </c>
      <c r="AJ66" s="2669" t="s">
        <v>3499</v>
      </c>
      <c r="AK66" s="414">
        <f t="shared" si="24"/>
        <v>321.14999999999998</v>
      </c>
      <c r="AL66" s="412">
        <f t="shared" si="25"/>
        <v>-111.99000000000001</v>
      </c>
      <c r="AM66" s="410"/>
      <c r="AN66" s="422"/>
      <c r="AO66" s="413">
        <v>107.05</v>
      </c>
      <c r="AP66" s="2669" t="s">
        <v>304</v>
      </c>
      <c r="AQ66" s="414">
        <f t="shared" si="26"/>
        <v>321.14999999999998</v>
      </c>
      <c r="AR66" s="412">
        <f t="shared" si="27"/>
        <v>-111.99000000000001</v>
      </c>
      <c r="AS66" s="410"/>
      <c r="AT66" s="422"/>
      <c r="AU66" s="413">
        <f>VLOOKUP($A66,'Measure Level Adjustments Tab'!$A$5:$CL$272,53,FALSE)/U66</f>
        <v>107.05</v>
      </c>
      <c r="AV66" s="2669" t="s">
        <v>304</v>
      </c>
      <c r="AW66" s="414">
        <f t="shared" si="35"/>
        <v>321.14999999999998</v>
      </c>
      <c r="AX66" s="412">
        <f t="shared" si="28"/>
        <v>-111.99000000000001</v>
      </c>
      <c r="AY66" s="418">
        <f t="shared" si="29"/>
        <v>433.14</v>
      </c>
      <c r="AZ66" s="418">
        <f t="shared" si="30"/>
        <v>321.14999999999998</v>
      </c>
      <c r="BA66" s="418">
        <f t="shared" si="31"/>
        <v>321.14999999999998</v>
      </c>
      <c r="BB66" s="418">
        <f t="shared" si="32"/>
        <v>321.14999999999998</v>
      </c>
      <c r="BC66" s="419">
        <f t="shared" si="33"/>
        <v>1396.5900000000001</v>
      </c>
      <c r="BD66" s="410" t="s">
        <v>1271</v>
      </c>
      <c r="BE66" s="423" t="s">
        <v>1272</v>
      </c>
      <c r="BF66" s="421"/>
    </row>
    <row r="67" spans="1:58" s="327" customFormat="1" ht="18" customHeight="1" x14ac:dyDescent="0.35">
      <c r="A67" s="660">
        <v>609</v>
      </c>
      <c r="B67" s="660" t="str">
        <f>VLOOKUP($A67,'Measure Level Adjustments Tab'!$A$5:$CL$272,6,FALSE)</f>
        <v>Income Qualified</v>
      </c>
      <c r="C67" s="659" t="s">
        <v>1933</v>
      </c>
      <c r="D67" s="659" t="s">
        <v>1813</v>
      </c>
      <c r="E67" s="411">
        <f>VLOOKUP($A67,'Measure Level Adjustments Tab'!$A$5:$CL$272,13,FALSE)</f>
        <v>1</v>
      </c>
      <c r="F67" s="411" t="str">
        <f>VLOOKUP($A67,'Measure Level Adjustments Tab'!$A$5:$CL$272,11,FALSE)</f>
        <v>5.3.11</v>
      </c>
      <c r="G67" s="411">
        <f>VLOOKUP($A67,'Measure Level Adjustments Tab'!$A$5:$CL$272,14,FALSE)</f>
        <v>0</v>
      </c>
      <c r="H67" s="663">
        <f>VLOOKUP($A67,'Measure Level Adjustments Tab'!$A$5:$CL$272,54,FALSE)</f>
        <v>1171</v>
      </c>
      <c r="I67" s="663">
        <f>VLOOKUP($A67,'Measure Level Adjustments Tab'!$A$5:$CL$272,55,FALSE)</f>
        <v>1175</v>
      </c>
      <c r="J67" s="663">
        <f>VLOOKUP($A67,'Measure Level Adjustments Tab'!$A$5:$CL$272,56,FALSE)</f>
        <v>1083</v>
      </c>
      <c r="K67" s="663">
        <f>VLOOKUP($A67,'Measure Level Adjustments Tab'!$A$5:$CL$272,57,FALSE)</f>
        <v>1161.684405</v>
      </c>
      <c r="L67" s="411" t="str">
        <f>VLOOKUP($A67,'Measure Level Adjustments Tab'!$A$5:$CL$272,12,FALSE)</f>
        <v>RS-HVC-PROG-V04-180101</v>
      </c>
      <c r="M67" s="422"/>
      <c r="N67" s="662">
        <v>53.381999999999998</v>
      </c>
      <c r="O67" s="662">
        <v>53.381999999999998</v>
      </c>
      <c r="P67" s="662">
        <v>53.381999999999998</v>
      </c>
      <c r="Q67" s="662">
        <v>53.381999999999998</v>
      </c>
      <c r="R67" s="661">
        <f>VLOOKUP($A67,'Measure Level Adjustments Tab'!$A$5:$CL$272,46,FALSE)</f>
        <v>1</v>
      </c>
      <c r="S67" s="661">
        <f>VLOOKUP($A67,'Measure Level Adjustments Tab'!$A$5:$CL$272,47,FALSE)</f>
        <v>1</v>
      </c>
      <c r="T67" s="661">
        <f>VLOOKUP($A67,'Measure Level Adjustments Tab'!$A$5:$CL$272,48,FALSE)</f>
        <v>1</v>
      </c>
      <c r="U67" s="661">
        <f>VLOOKUP($A67,'Measure Level Adjustments Tab'!$A$5:$CL$272,49,FALSE)</f>
        <v>1</v>
      </c>
      <c r="V67" s="418">
        <f t="shared" si="20"/>
        <v>62510.322</v>
      </c>
      <c r="W67" s="418">
        <f t="shared" si="20"/>
        <v>62723.85</v>
      </c>
      <c r="X67" s="418">
        <f t="shared" si="20"/>
        <v>57812.705999999998</v>
      </c>
      <c r="Y67" s="418">
        <f t="shared" si="34"/>
        <v>62013.036907709997</v>
      </c>
      <c r="Z67" s="418">
        <f t="shared" si="21"/>
        <v>245059.91490770999</v>
      </c>
      <c r="AA67" s="410"/>
      <c r="AB67" s="422"/>
      <c r="AC67" s="415">
        <v>53.381999999999998</v>
      </c>
      <c r="AD67" s="416"/>
      <c r="AE67" s="414">
        <f t="shared" si="22"/>
        <v>62510.322</v>
      </c>
      <c r="AF67" s="412">
        <f t="shared" si="23"/>
        <v>0</v>
      </c>
      <c r="AG67" s="410"/>
      <c r="AH67" s="422"/>
      <c r="AI67" s="413">
        <v>53.381999999999998</v>
      </c>
      <c r="AJ67" s="2669" t="s">
        <v>3542</v>
      </c>
      <c r="AK67" s="414">
        <f t="shared" si="24"/>
        <v>62723.85</v>
      </c>
      <c r="AL67" s="412">
        <f t="shared" si="25"/>
        <v>0</v>
      </c>
      <c r="AM67" s="410"/>
      <c r="AN67" s="422"/>
      <c r="AO67" s="413">
        <v>53.381999999999998</v>
      </c>
      <c r="AP67" s="2669" t="s">
        <v>304</v>
      </c>
      <c r="AQ67" s="414">
        <f t="shared" si="26"/>
        <v>57812.705999999998</v>
      </c>
      <c r="AR67" s="412">
        <f t="shared" si="27"/>
        <v>0</v>
      </c>
      <c r="AS67" s="410"/>
      <c r="AT67" s="422"/>
      <c r="AU67" s="413">
        <f>VLOOKUP($A67,'Measure Level Adjustments Tab'!$A$5:$CL$272,53,FALSE)/U67</f>
        <v>53.381999999999998</v>
      </c>
      <c r="AV67" s="2669" t="s">
        <v>304</v>
      </c>
      <c r="AW67" s="414">
        <f t="shared" si="35"/>
        <v>62013.036907709997</v>
      </c>
      <c r="AX67" s="412">
        <f t="shared" si="28"/>
        <v>0</v>
      </c>
      <c r="AY67" s="418">
        <f t="shared" si="29"/>
        <v>62510.322</v>
      </c>
      <c r="AZ67" s="418">
        <f t="shared" si="30"/>
        <v>62723.85</v>
      </c>
      <c r="BA67" s="418">
        <f t="shared" si="31"/>
        <v>57812.705999999998</v>
      </c>
      <c r="BB67" s="418">
        <f t="shared" si="32"/>
        <v>62013.036907709997</v>
      </c>
      <c r="BC67" s="419">
        <f t="shared" si="33"/>
        <v>245059.91490770999</v>
      </c>
      <c r="BD67" s="410" t="s">
        <v>1271</v>
      </c>
      <c r="BE67" s="423" t="s">
        <v>1272</v>
      </c>
      <c r="BF67" s="421"/>
    </row>
    <row r="68" spans="1:58" s="327" customFormat="1" ht="18" customHeight="1" x14ac:dyDescent="0.35">
      <c r="A68" s="660">
        <v>592</v>
      </c>
      <c r="B68" s="660" t="str">
        <f>VLOOKUP($A68,'Measure Level Adjustments Tab'!$A$5:$CL$272,6,FALSE)</f>
        <v>Income Qualified</v>
      </c>
      <c r="C68" s="659" t="s">
        <v>1933</v>
      </c>
      <c r="D68" s="659" t="s">
        <v>1785</v>
      </c>
      <c r="E68" s="411">
        <f>VLOOKUP($A68,'Measure Level Adjustments Tab'!$A$5:$CL$272,13,FALSE)</f>
        <v>1</v>
      </c>
      <c r="F68" s="411" t="str">
        <f>VLOOKUP($A68,'Measure Level Adjustments Tab'!$A$5:$CL$272,11,FALSE)</f>
        <v>5.3.4</v>
      </c>
      <c r="G68" s="411">
        <f>VLOOKUP($A68,'Measure Level Adjustments Tab'!$A$5:$CL$272,14,FALSE)</f>
        <v>0</v>
      </c>
      <c r="H68" s="663">
        <f>VLOOKUP($A68,'Measure Level Adjustments Tab'!$A$5:$CL$272,54,FALSE)</f>
        <v>45</v>
      </c>
      <c r="I68" s="663">
        <f>VLOOKUP($A68,'Measure Level Adjustments Tab'!$A$5:$CL$272,55,FALSE)</f>
        <v>180</v>
      </c>
      <c r="J68" s="663">
        <f>VLOOKUP($A68,'Measure Level Adjustments Tab'!$A$5:$CL$272,56,FALSE)</f>
        <v>42</v>
      </c>
      <c r="K68" s="663">
        <f>VLOOKUP($A68,'Measure Level Adjustments Tab'!$A$5:$CL$272,57,FALSE)</f>
        <v>45</v>
      </c>
      <c r="L68" s="411" t="str">
        <f>VLOOKUP($A68,'Measure Level Adjustments Tab'!$A$5:$CL$272,12,FALSE)</f>
        <v>RS-HVC-DINS-V06-160601</v>
      </c>
      <c r="M68" s="422"/>
      <c r="N68" s="662">
        <v>183.45506482091847</v>
      </c>
      <c r="O68" s="662">
        <v>183.45506482091847</v>
      </c>
      <c r="P68" s="662">
        <v>183.45506482091847</v>
      </c>
      <c r="Q68" s="662">
        <v>183.45506482091847</v>
      </c>
      <c r="R68" s="661">
        <f>VLOOKUP($A68,'Measure Level Adjustments Tab'!$A$5:$CL$272,46,FALSE)</f>
        <v>1</v>
      </c>
      <c r="S68" s="661">
        <f>VLOOKUP($A68,'Measure Level Adjustments Tab'!$A$5:$CL$272,47,FALSE)</f>
        <v>1</v>
      </c>
      <c r="T68" s="661">
        <f>VLOOKUP($A68,'Measure Level Adjustments Tab'!$A$5:$CL$272,48,FALSE)</f>
        <v>1</v>
      </c>
      <c r="U68" s="661">
        <f>VLOOKUP($A68,'Measure Level Adjustments Tab'!$A$5:$CL$272,49,FALSE)</f>
        <v>1</v>
      </c>
      <c r="V68" s="418">
        <f t="shared" si="20"/>
        <v>8255.4779169413305</v>
      </c>
      <c r="W68" s="418">
        <f t="shared" si="20"/>
        <v>33021.911667765322</v>
      </c>
      <c r="X68" s="418">
        <f t="shared" si="20"/>
        <v>7705.112722478576</v>
      </c>
      <c r="Y68" s="418">
        <f t="shared" si="34"/>
        <v>8255.4779169413305</v>
      </c>
      <c r="Z68" s="418">
        <f t="shared" si="21"/>
        <v>57237.980224126557</v>
      </c>
      <c r="AA68" s="410"/>
      <c r="AB68" s="422"/>
      <c r="AC68" s="415">
        <v>183.45506482091847</v>
      </c>
      <c r="AD68" s="416"/>
      <c r="AE68" s="414">
        <f t="shared" si="22"/>
        <v>8255.4779169413305</v>
      </c>
      <c r="AF68" s="412">
        <f t="shared" si="23"/>
        <v>0</v>
      </c>
      <c r="AG68" s="410"/>
      <c r="AH68" s="422"/>
      <c r="AI68" s="413">
        <v>183.45506482091847</v>
      </c>
      <c r="AJ68" s="2669" t="s">
        <v>820</v>
      </c>
      <c r="AK68" s="414">
        <f t="shared" si="24"/>
        <v>33021.911667765322</v>
      </c>
      <c r="AL68" s="412">
        <f t="shared" si="25"/>
        <v>0</v>
      </c>
      <c r="AM68" s="410"/>
      <c r="AN68" s="422"/>
      <c r="AO68" s="413">
        <v>183.45506482091847</v>
      </c>
      <c r="AP68" s="2669" t="s">
        <v>304</v>
      </c>
      <c r="AQ68" s="414">
        <f t="shared" si="26"/>
        <v>7705.112722478576</v>
      </c>
      <c r="AR68" s="412">
        <f t="shared" si="27"/>
        <v>0</v>
      </c>
      <c r="AS68" s="410"/>
      <c r="AT68" s="422"/>
      <c r="AU68" s="413">
        <f>VLOOKUP($A68,'Measure Level Adjustments Tab'!$A$5:$CL$272,53,FALSE)/U68</f>
        <v>183.45506482091847</v>
      </c>
      <c r="AV68" s="2669" t="s">
        <v>304</v>
      </c>
      <c r="AW68" s="414">
        <f t="shared" si="35"/>
        <v>8255.4779169413305</v>
      </c>
      <c r="AX68" s="412">
        <f t="shared" si="28"/>
        <v>0</v>
      </c>
      <c r="AY68" s="418">
        <f t="shared" si="29"/>
        <v>8255.4779169413305</v>
      </c>
      <c r="AZ68" s="418">
        <f t="shared" si="30"/>
        <v>33021.911667765322</v>
      </c>
      <c r="BA68" s="418">
        <f t="shared" si="31"/>
        <v>7705.112722478576</v>
      </c>
      <c r="BB68" s="418">
        <f t="shared" si="32"/>
        <v>8255.4779169413305</v>
      </c>
      <c r="BC68" s="419">
        <f t="shared" si="33"/>
        <v>57237.980224126557</v>
      </c>
      <c r="BD68" s="410" t="s">
        <v>1271</v>
      </c>
      <c r="BE68" s="423" t="s">
        <v>1272</v>
      </c>
      <c r="BF68" s="421"/>
    </row>
    <row r="69" spans="1:58" s="327" customFormat="1" ht="18" customHeight="1" x14ac:dyDescent="0.35">
      <c r="A69" s="660">
        <v>594</v>
      </c>
      <c r="B69" s="660" t="str">
        <f>VLOOKUP($A69,'Measure Level Adjustments Tab'!$A$5:$CL$272,6,FALSE)</f>
        <v>Income Qualified</v>
      </c>
      <c r="C69" s="659" t="s">
        <v>1933</v>
      </c>
      <c r="D69" s="659" t="s">
        <v>1786</v>
      </c>
      <c r="E69" s="411">
        <f>VLOOKUP($A69,'Measure Level Adjustments Tab'!$A$5:$CL$272,13,FALSE)</f>
        <v>1</v>
      </c>
      <c r="F69" s="411" t="str">
        <f>VLOOKUP($A69,'Measure Level Adjustments Tab'!$A$5:$CL$272,11,FALSE)</f>
        <v>5.3.4</v>
      </c>
      <c r="G69" s="411">
        <f>VLOOKUP($A69,'Measure Level Adjustments Tab'!$A$5:$CL$272,14,FALSE)</f>
        <v>0</v>
      </c>
      <c r="H69" s="663">
        <f>VLOOKUP($A69,'Measure Level Adjustments Tab'!$A$5:$CL$272,54,FALSE)</f>
        <v>179</v>
      </c>
      <c r="I69" s="663">
        <f>VLOOKUP($A69,'Measure Level Adjustments Tab'!$A$5:$CL$272,55,FALSE)</f>
        <v>180</v>
      </c>
      <c r="J69" s="663">
        <f>VLOOKUP($A69,'Measure Level Adjustments Tab'!$A$5:$CL$272,56,FALSE)</f>
        <v>166</v>
      </c>
      <c r="K69" s="663">
        <f>VLOOKUP($A69,'Measure Level Adjustments Tab'!$A$5:$CL$272,57,FALSE)</f>
        <v>178</v>
      </c>
      <c r="L69" s="411" t="str">
        <f>VLOOKUP($A69,'Measure Level Adjustments Tab'!$A$5:$CL$272,12,FALSE)</f>
        <v>RS-HVC-DINS-V06-160601</v>
      </c>
      <c r="M69" s="422"/>
      <c r="N69" s="662">
        <v>183.45506482091847</v>
      </c>
      <c r="O69" s="662">
        <v>183.45506482091847</v>
      </c>
      <c r="P69" s="662">
        <v>183.45506482091847</v>
      </c>
      <c r="Q69" s="662">
        <v>183.45506482091847</v>
      </c>
      <c r="R69" s="661">
        <f>VLOOKUP($A69,'Measure Level Adjustments Tab'!$A$5:$CL$272,46,FALSE)</f>
        <v>1</v>
      </c>
      <c r="S69" s="661">
        <f>VLOOKUP($A69,'Measure Level Adjustments Tab'!$A$5:$CL$272,47,FALSE)</f>
        <v>1</v>
      </c>
      <c r="T69" s="661">
        <f>VLOOKUP($A69,'Measure Level Adjustments Tab'!$A$5:$CL$272,48,FALSE)</f>
        <v>1</v>
      </c>
      <c r="U69" s="661">
        <f>VLOOKUP($A69,'Measure Level Adjustments Tab'!$A$5:$CL$272,49,FALSE)</f>
        <v>1</v>
      </c>
      <c r="V69" s="418">
        <f t="shared" si="20"/>
        <v>32838.456602944403</v>
      </c>
      <c r="W69" s="418">
        <f t="shared" si="20"/>
        <v>33021.911667765322</v>
      </c>
      <c r="X69" s="418">
        <f t="shared" si="20"/>
        <v>30453.540760272466</v>
      </c>
      <c r="Y69" s="418">
        <f t="shared" si="34"/>
        <v>32655.001538123488</v>
      </c>
      <c r="Z69" s="418">
        <f t="shared" si="21"/>
        <v>128968.91056910569</v>
      </c>
      <c r="AA69" s="410"/>
      <c r="AB69" s="422"/>
      <c r="AC69" s="415">
        <v>183.45506482091847</v>
      </c>
      <c r="AD69" s="416"/>
      <c r="AE69" s="414">
        <f t="shared" si="22"/>
        <v>32838.456602944403</v>
      </c>
      <c r="AF69" s="412">
        <f t="shared" si="23"/>
        <v>0</v>
      </c>
      <c r="AG69" s="410"/>
      <c r="AH69" s="422"/>
      <c r="AI69" s="413">
        <v>183.45506482091847</v>
      </c>
      <c r="AJ69" s="2669" t="s">
        <v>820</v>
      </c>
      <c r="AK69" s="414">
        <f t="shared" si="24"/>
        <v>33021.911667765322</v>
      </c>
      <c r="AL69" s="412">
        <f t="shared" si="25"/>
        <v>0</v>
      </c>
      <c r="AM69" s="410"/>
      <c r="AN69" s="422"/>
      <c r="AO69" s="413">
        <v>183.45506482091847</v>
      </c>
      <c r="AP69" s="2669" t="s">
        <v>304</v>
      </c>
      <c r="AQ69" s="414">
        <f t="shared" si="26"/>
        <v>30453.540760272466</v>
      </c>
      <c r="AR69" s="412">
        <f t="shared" si="27"/>
        <v>0</v>
      </c>
      <c r="AS69" s="410"/>
      <c r="AT69" s="422"/>
      <c r="AU69" s="413">
        <f>VLOOKUP($A69,'Measure Level Adjustments Tab'!$A$5:$CL$272,53,FALSE)/U69</f>
        <v>183.45506482091847</v>
      </c>
      <c r="AV69" s="2669" t="s">
        <v>304</v>
      </c>
      <c r="AW69" s="414">
        <f t="shared" si="35"/>
        <v>32655.001538123488</v>
      </c>
      <c r="AX69" s="412">
        <f t="shared" si="28"/>
        <v>0</v>
      </c>
      <c r="AY69" s="418">
        <f t="shared" si="29"/>
        <v>32838.456602944403</v>
      </c>
      <c r="AZ69" s="418">
        <f t="shared" si="30"/>
        <v>33021.911667765322</v>
      </c>
      <c r="BA69" s="418">
        <f t="shared" si="31"/>
        <v>30453.540760272466</v>
      </c>
      <c r="BB69" s="418">
        <f t="shared" si="32"/>
        <v>32655.001538123488</v>
      </c>
      <c r="BC69" s="419">
        <f t="shared" si="33"/>
        <v>128968.91056910569</v>
      </c>
      <c r="BD69" s="410" t="s">
        <v>1271</v>
      </c>
      <c r="BE69" s="423" t="s">
        <v>1272</v>
      </c>
      <c r="BF69" s="421"/>
    </row>
    <row r="70" spans="1:58" s="327" customFormat="1" ht="18" customHeight="1" x14ac:dyDescent="0.35">
      <c r="A70" s="660">
        <v>558</v>
      </c>
      <c r="B70" s="660" t="str">
        <f>VLOOKUP($A70,'Measure Level Adjustments Tab'!$A$5:$CL$272,6,FALSE)</f>
        <v>Income Qualified</v>
      </c>
      <c r="C70" s="659" t="s">
        <v>1933</v>
      </c>
      <c r="D70" s="659" t="s">
        <v>1831</v>
      </c>
      <c r="E70" s="411">
        <f>VLOOKUP($A70,'Measure Level Adjustments Tab'!$A$5:$CL$272,13,FALSE)</f>
        <v>1</v>
      </c>
      <c r="F70" s="411" t="str">
        <f>VLOOKUP($A70,'Measure Level Adjustments Tab'!$A$5:$CL$272,11,FALSE)</f>
        <v>5.3.7</v>
      </c>
      <c r="G70" s="411">
        <f>VLOOKUP($A70,'Measure Level Adjustments Tab'!$A$5:$CL$272,14,FALSE)</f>
        <v>0</v>
      </c>
      <c r="H70" s="663">
        <f>VLOOKUP($A70,'Measure Level Adjustments Tab'!$A$5:$CL$272,54,FALSE)</f>
        <v>585.27</v>
      </c>
      <c r="I70" s="663">
        <f>VLOOKUP($A70,'Measure Level Adjustments Tab'!$A$5:$CL$272,55,FALSE)</f>
        <v>587.3175</v>
      </c>
      <c r="J70" s="663">
        <f>VLOOKUP($A70,'Measure Level Adjustments Tab'!$A$5:$CL$272,56,FALSE)</f>
        <v>541.48500000000001</v>
      </c>
      <c r="K70" s="663">
        <f>VLOOKUP($A70,'Measure Level Adjustments Tab'!$A$5:$CL$272,57,FALSE)</f>
        <v>580.84220249999998</v>
      </c>
      <c r="L70" s="411" t="str">
        <f>VLOOKUP($A70,'Measure Level Adjustments Tab'!$A$5:$CL$272,12,FALSE)</f>
        <v>RS-HVC-GHEF-V07-180101</v>
      </c>
      <c r="M70" s="422"/>
      <c r="N70" s="662">
        <v>140.92105263157899</v>
      </c>
      <c r="O70" s="662">
        <v>140.92105263157899</v>
      </c>
      <c r="P70" s="662">
        <v>140.92105263157899</v>
      </c>
      <c r="Q70" s="662">
        <v>140.92105263157899</v>
      </c>
      <c r="R70" s="661">
        <f>VLOOKUP($A70,'Measure Level Adjustments Tab'!$A$5:$CL$272,46,FALSE)</f>
        <v>1</v>
      </c>
      <c r="S70" s="661">
        <f>VLOOKUP($A70,'Measure Level Adjustments Tab'!$A$5:$CL$272,47,FALSE)</f>
        <v>1</v>
      </c>
      <c r="T70" s="661">
        <f>VLOOKUP($A70,'Measure Level Adjustments Tab'!$A$5:$CL$272,48,FALSE)</f>
        <v>1</v>
      </c>
      <c r="U70" s="661">
        <f>VLOOKUP($A70,'Measure Level Adjustments Tab'!$A$5:$CL$272,49,FALSE)</f>
        <v>1</v>
      </c>
      <c r="V70" s="418">
        <f t="shared" si="20"/>
        <v>82476.864473684225</v>
      </c>
      <c r="W70" s="418">
        <f t="shared" si="20"/>
        <v>82765.400328947391</v>
      </c>
      <c r="X70" s="418">
        <f t="shared" si="20"/>
        <v>76306.636184210554</v>
      </c>
      <c r="Y70" s="418">
        <f t="shared" si="34"/>
        <v>81852.894589144751</v>
      </c>
      <c r="Z70" s="418">
        <f t="shared" si="21"/>
        <v>323401.79557598691</v>
      </c>
      <c r="AA70" s="410"/>
      <c r="AB70" s="422"/>
      <c r="AC70" s="415">
        <v>140.92105263157899</v>
      </c>
      <c r="AD70" s="416"/>
      <c r="AE70" s="414">
        <f t="shared" si="22"/>
        <v>82476.864473684225</v>
      </c>
      <c r="AF70" s="412">
        <f t="shared" si="23"/>
        <v>0</v>
      </c>
      <c r="AG70" s="410"/>
      <c r="AH70" s="422"/>
      <c r="AI70" s="413">
        <v>133.97435897435881</v>
      </c>
      <c r="AJ70" s="2669" t="s">
        <v>3499</v>
      </c>
      <c r="AK70" s="414">
        <f t="shared" si="24"/>
        <v>78685.485576922976</v>
      </c>
      <c r="AL70" s="412">
        <f t="shared" si="25"/>
        <v>-4079.9147520244151</v>
      </c>
      <c r="AM70" s="410"/>
      <c r="AN70" s="422"/>
      <c r="AO70" s="413">
        <v>133.97435897435881</v>
      </c>
      <c r="AP70" s="2669" t="s">
        <v>304</v>
      </c>
      <c r="AQ70" s="414">
        <f t="shared" si="26"/>
        <v>72545.105769230679</v>
      </c>
      <c r="AR70" s="412">
        <f t="shared" si="27"/>
        <v>-3761.5304149798758</v>
      </c>
      <c r="AS70" s="410"/>
      <c r="AT70" s="422"/>
      <c r="AU70" s="413">
        <f>VLOOKUP($A70,'Measure Level Adjustments Tab'!$A$5:$CL$272,53,FALSE)/U70</f>
        <v>149.11346153846137</v>
      </c>
      <c r="AV70" s="2669" t="s">
        <v>4387</v>
      </c>
      <c r="AW70" s="414">
        <f t="shared" si="35"/>
        <v>86611.391422398941</v>
      </c>
      <c r="AX70" s="412">
        <f t="shared" si="28"/>
        <v>4758.4968332541903</v>
      </c>
      <c r="AY70" s="418">
        <f t="shared" si="29"/>
        <v>82476.864473684225</v>
      </c>
      <c r="AZ70" s="418">
        <f t="shared" si="30"/>
        <v>78685.485576922976</v>
      </c>
      <c r="BA70" s="418">
        <f t="shared" si="31"/>
        <v>72545.105769230679</v>
      </c>
      <c r="BB70" s="418">
        <f t="shared" si="32"/>
        <v>86611.391422398941</v>
      </c>
      <c r="BC70" s="419">
        <f t="shared" si="33"/>
        <v>320318.84724223684</v>
      </c>
      <c r="BD70" s="410" t="s">
        <v>1271</v>
      </c>
      <c r="BE70" s="423" t="s">
        <v>1272</v>
      </c>
      <c r="BF70" s="421"/>
    </row>
    <row r="71" spans="1:58" s="327" customFormat="1" ht="18" customHeight="1" x14ac:dyDescent="0.35">
      <c r="A71" s="660">
        <v>619</v>
      </c>
      <c r="B71" s="660" t="str">
        <f>VLOOKUP($A71,'Measure Level Adjustments Tab'!$A$5:$CL$272,6,FALSE)</f>
        <v>Income Qualified</v>
      </c>
      <c r="C71" s="659" t="s">
        <v>1933</v>
      </c>
      <c r="D71" s="659" t="s">
        <v>1836</v>
      </c>
      <c r="E71" s="411">
        <f>VLOOKUP($A71,'Measure Level Adjustments Tab'!$A$5:$CL$272,13,FALSE)</f>
        <v>1</v>
      </c>
      <c r="F71" s="411" t="str">
        <f>VLOOKUP($A71,'Measure Level Adjustments Tab'!$A$5:$CL$272,11,FALSE)</f>
        <v>5.3.16</v>
      </c>
      <c r="G71" s="411">
        <f>VLOOKUP($A71,'Measure Level Adjustments Tab'!$A$5:$CL$272,14,FALSE)</f>
        <v>0</v>
      </c>
      <c r="H71" s="663">
        <f>VLOOKUP($A71,'Measure Level Adjustments Tab'!$A$5:$CL$272,54,FALSE)</f>
        <v>45</v>
      </c>
      <c r="I71" s="663">
        <f>VLOOKUP($A71,'Measure Level Adjustments Tab'!$A$5:$CL$272,55,FALSE)</f>
        <v>45</v>
      </c>
      <c r="J71" s="663">
        <f>VLOOKUP($A71,'Measure Level Adjustments Tab'!$A$5:$CL$272,56,FALSE)</f>
        <v>42</v>
      </c>
      <c r="K71" s="663">
        <f>VLOOKUP($A71,'Measure Level Adjustments Tab'!$A$5:$CL$272,57,FALSE)</f>
        <v>45</v>
      </c>
      <c r="L71" s="411" t="str">
        <f>VLOOKUP($A71,'Measure Level Adjustments Tab'!$A$5:$CL$272,12,FALSE)</f>
        <v>RS-HVC-ADTH-V02-180101</v>
      </c>
      <c r="M71" s="422"/>
      <c r="N71" s="662">
        <v>63.713999999999999</v>
      </c>
      <c r="O71" s="662">
        <v>63.713999999999999</v>
      </c>
      <c r="P71" s="662">
        <v>63.713999999999999</v>
      </c>
      <c r="Q71" s="662">
        <v>63.713999999999999</v>
      </c>
      <c r="R71" s="661">
        <f>VLOOKUP($A71,'Measure Level Adjustments Tab'!$A$5:$CL$272,46,FALSE)</f>
        <v>1</v>
      </c>
      <c r="S71" s="661">
        <f>VLOOKUP($A71,'Measure Level Adjustments Tab'!$A$5:$CL$272,47,FALSE)</f>
        <v>1</v>
      </c>
      <c r="T71" s="661">
        <f>VLOOKUP($A71,'Measure Level Adjustments Tab'!$A$5:$CL$272,48,FALSE)</f>
        <v>1</v>
      </c>
      <c r="U71" s="661">
        <f>VLOOKUP($A71,'Measure Level Adjustments Tab'!$A$5:$CL$272,49,FALSE)</f>
        <v>1</v>
      </c>
      <c r="V71" s="418">
        <f t="shared" si="20"/>
        <v>2867.13</v>
      </c>
      <c r="W71" s="418">
        <f t="shared" si="20"/>
        <v>2867.13</v>
      </c>
      <c r="X71" s="418">
        <f t="shared" si="20"/>
        <v>2675.9879999999998</v>
      </c>
      <c r="Y71" s="418">
        <f t="shared" si="34"/>
        <v>2867.13</v>
      </c>
      <c r="Z71" s="418">
        <f t="shared" si="21"/>
        <v>11277.378000000001</v>
      </c>
      <c r="AA71" s="410"/>
      <c r="AB71" s="422"/>
      <c r="AC71" s="415">
        <v>63.713999999999999</v>
      </c>
      <c r="AD71" s="416"/>
      <c r="AE71" s="414">
        <f t="shared" si="22"/>
        <v>2867.13</v>
      </c>
      <c r="AF71" s="412">
        <f t="shared" si="23"/>
        <v>0</v>
      </c>
      <c r="AG71" s="410"/>
      <c r="AH71" s="422"/>
      <c r="AI71" s="413">
        <v>63.713999999999999</v>
      </c>
      <c r="AJ71" s="2669" t="s">
        <v>3508</v>
      </c>
      <c r="AK71" s="414">
        <f t="shared" si="24"/>
        <v>2867.13</v>
      </c>
      <c r="AL71" s="412">
        <f t="shared" si="25"/>
        <v>0</v>
      </c>
      <c r="AM71" s="410"/>
      <c r="AN71" s="422"/>
      <c r="AO71" s="413">
        <v>63.713999999999999</v>
      </c>
      <c r="AP71" s="2669" t="s">
        <v>304</v>
      </c>
      <c r="AQ71" s="414">
        <f t="shared" si="26"/>
        <v>2675.9879999999998</v>
      </c>
      <c r="AR71" s="412">
        <f t="shared" si="27"/>
        <v>0</v>
      </c>
      <c r="AS71" s="410"/>
      <c r="AT71" s="422"/>
      <c r="AU71" s="413">
        <f>VLOOKUP($A71,'Measure Level Adjustments Tab'!$A$5:$CL$272,53,FALSE)/U71</f>
        <v>74.045999999999992</v>
      </c>
      <c r="AV71" s="2669" t="s">
        <v>4216</v>
      </c>
      <c r="AW71" s="414">
        <f t="shared" si="35"/>
        <v>3332.0699999999997</v>
      </c>
      <c r="AX71" s="412">
        <f t="shared" si="28"/>
        <v>464.9399999999996</v>
      </c>
      <c r="AY71" s="418">
        <f t="shared" si="29"/>
        <v>2867.13</v>
      </c>
      <c r="AZ71" s="418">
        <f t="shared" si="30"/>
        <v>2867.13</v>
      </c>
      <c r="BA71" s="418">
        <f t="shared" si="31"/>
        <v>2675.9879999999998</v>
      </c>
      <c r="BB71" s="418">
        <f t="shared" si="32"/>
        <v>3332.0699999999997</v>
      </c>
      <c r="BC71" s="419">
        <f t="shared" si="33"/>
        <v>11742.317999999999</v>
      </c>
      <c r="BD71" s="410" t="s">
        <v>1271</v>
      </c>
      <c r="BE71" s="423" t="s">
        <v>1272</v>
      </c>
      <c r="BF71" s="421"/>
    </row>
    <row r="72" spans="1:58" s="327" customFormat="1" ht="18" customHeight="1" x14ac:dyDescent="0.35">
      <c r="A72" s="660">
        <v>620</v>
      </c>
      <c r="B72" s="660" t="str">
        <f>VLOOKUP($A72,'Measure Level Adjustments Tab'!$A$5:$CL$272,6,FALSE)</f>
        <v>Income Qualified</v>
      </c>
      <c r="C72" s="659" t="s">
        <v>1933</v>
      </c>
      <c r="D72" s="659" t="s">
        <v>1837</v>
      </c>
      <c r="E72" s="411">
        <f>VLOOKUP($A72,'Measure Level Adjustments Tab'!$A$5:$CL$272,13,FALSE)</f>
        <v>1</v>
      </c>
      <c r="F72" s="411" t="str">
        <f>VLOOKUP($A72,'Measure Level Adjustments Tab'!$A$5:$CL$272,11,FALSE)</f>
        <v>5.3.16</v>
      </c>
      <c r="G72" s="411">
        <f>VLOOKUP($A72,'Measure Level Adjustments Tab'!$A$5:$CL$272,14,FALSE)</f>
        <v>0</v>
      </c>
      <c r="H72" s="663">
        <f>VLOOKUP($A72,'Measure Level Adjustments Tab'!$A$5:$CL$272,54,FALSE)</f>
        <v>45</v>
      </c>
      <c r="I72" s="663">
        <f>VLOOKUP($A72,'Measure Level Adjustments Tab'!$A$5:$CL$272,55,FALSE)</f>
        <v>45</v>
      </c>
      <c r="J72" s="663">
        <f>VLOOKUP($A72,'Measure Level Adjustments Tab'!$A$5:$CL$272,56,FALSE)</f>
        <v>42</v>
      </c>
      <c r="K72" s="663">
        <f>VLOOKUP($A72,'Measure Level Adjustments Tab'!$A$5:$CL$272,57,FALSE)</f>
        <v>45</v>
      </c>
      <c r="L72" s="411" t="str">
        <f>VLOOKUP($A72,'Measure Level Adjustments Tab'!$A$5:$CL$272,12,FALSE)</f>
        <v>RS-HVC-ADTH-V02-180101</v>
      </c>
      <c r="M72" s="422"/>
      <c r="N72" s="662">
        <v>63.713999999999999</v>
      </c>
      <c r="O72" s="662">
        <v>63.713999999999999</v>
      </c>
      <c r="P72" s="662">
        <v>63.713999999999999</v>
      </c>
      <c r="Q72" s="662">
        <v>63.713999999999999</v>
      </c>
      <c r="R72" s="661">
        <f>VLOOKUP($A72,'Measure Level Adjustments Tab'!$A$5:$CL$272,46,FALSE)</f>
        <v>1</v>
      </c>
      <c r="S72" s="661">
        <f>VLOOKUP($A72,'Measure Level Adjustments Tab'!$A$5:$CL$272,47,FALSE)</f>
        <v>1</v>
      </c>
      <c r="T72" s="661">
        <f>VLOOKUP($A72,'Measure Level Adjustments Tab'!$A$5:$CL$272,48,FALSE)</f>
        <v>1</v>
      </c>
      <c r="U72" s="661">
        <f>VLOOKUP($A72,'Measure Level Adjustments Tab'!$A$5:$CL$272,49,FALSE)</f>
        <v>1</v>
      </c>
      <c r="V72" s="418">
        <f t="shared" si="20"/>
        <v>2867.13</v>
      </c>
      <c r="W72" s="418">
        <f t="shared" si="20"/>
        <v>2867.13</v>
      </c>
      <c r="X72" s="418">
        <f t="shared" si="20"/>
        <v>2675.9879999999998</v>
      </c>
      <c r="Y72" s="418">
        <f t="shared" si="34"/>
        <v>2867.13</v>
      </c>
      <c r="Z72" s="418">
        <f t="shared" si="21"/>
        <v>11277.378000000001</v>
      </c>
      <c r="AA72" s="410"/>
      <c r="AB72" s="422"/>
      <c r="AC72" s="415">
        <v>63.713999999999999</v>
      </c>
      <c r="AD72" s="416"/>
      <c r="AE72" s="414">
        <f t="shared" si="22"/>
        <v>2867.13</v>
      </c>
      <c r="AF72" s="412">
        <f t="shared" si="23"/>
        <v>0</v>
      </c>
      <c r="AG72" s="410"/>
      <c r="AH72" s="422"/>
      <c r="AI72" s="413">
        <v>63.713999999999999</v>
      </c>
      <c r="AJ72" s="2669" t="s">
        <v>3508</v>
      </c>
      <c r="AK72" s="414">
        <f t="shared" si="24"/>
        <v>2867.13</v>
      </c>
      <c r="AL72" s="412">
        <f t="shared" si="25"/>
        <v>0</v>
      </c>
      <c r="AM72" s="410"/>
      <c r="AN72" s="422"/>
      <c r="AO72" s="413">
        <v>63.713999999999999</v>
      </c>
      <c r="AP72" s="2669" t="s">
        <v>304</v>
      </c>
      <c r="AQ72" s="414">
        <f t="shared" si="26"/>
        <v>2675.9879999999998</v>
      </c>
      <c r="AR72" s="412">
        <f t="shared" si="27"/>
        <v>0</v>
      </c>
      <c r="AS72" s="410"/>
      <c r="AT72" s="422"/>
      <c r="AU72" s="413">
        <f>VLOOKUP($A72,'Measure Level Adjustments Tab'!$A$5:$CL$272,53,FALSE)/U72</f>
        <v>74.045999999999992</v>
      </c>
      <c r="AV72" s="2669" t="s">
        <v>4216</v>
      </c>
      <c r="AW72" s="414">
        <f t="shared" si="35"/>
        <v>3332.0699999999997</v>
      </c>
      <c r="AX72" s="412">
        <f t="shared" si="28"/>
        <v>464.9399999999996</v>
      </c>
      <c r="AY72" s="418">
        <f t="shared" si="29"/>
        <v>2867.13</v>
      </c>
      <c r="AZ72" s="418">
        <f t="shared" si="30"/>
        <v>2867.13</v>
      </c>
      <c r="BA72" s="418">
        <f t="shared" si="31"/>
        <v>2675.9879999999998</v>
      </c>
      <c r="BB72" s="418">
        <f t="shared" si="32"/>
        <v>3332.0699999999997</v>
      </c>
      <c r="BC72" s="419">
        <f t="shared" si="33"/>
        <v>11742.317999999999</v>
      </c>
      <c r="BD72" s="410" t="s">
        <v>1271</v>
      </c>
      <c r="BE72" s="423" t="s">
        <v>1272</v>
      </c>
      <c r="BF72" s="421"/>
    </row>
    <row r="73" spans="1:58" s="327" customFormat="1" ht="18" customHeight="1" x14ac:dyDescent="0.35">
      <c r="A73" s="660">
        <v>591</v>
      </c>
      <c r="B73" s="660" t="str">
        <f>VLOOKUP($A73,'Measure Level Adjustments Tab'!$A$5:$CL$272,6,FALSE)</f>
        <v>Income Qualified</v>
      </c>
      <c r="C73" s="659" t="s">
        <v>1933</v>
      </c>
      <c r="D73" s="659" t="s">
        <v>1839</v>
      </c>
      <c r="E73" s="411">
        <f>VLOOKUP($A73,'Measure Level Adjustments Tab'!$A$5:$CL$272,13,FALSE)</f>
        <v>1</v>
      </c>
      <c r="F73" s="411" t="str">
        <f>VLOOKUP($A73,'Measure Level Adjustments Tab'!$A$5:$CL$272,11,FALSE)</f>
        <v>5.3.4</v>
      </c>
      <c r="G73" s="411">
        <f>VLOOKUP($A73,'Measure Level Adjustments Tab'!$A$5:$CL$272,14,FALSE)</f>
        <v>0</v>
      </c>
      <c r="H73" s="663">
        <f>VLOOKUP($A73,'Measure Level Adjustments Tab'!$A$5:$CL$272,54,FALSE)</f>
        <v>16</v>
      </c>
      <c r="I73" s="663">
        <f>VLOOKUP($A73,'Measure Level Adjustments Tab'!$A$5:$CL$272,55,FALSE)</f>
        <v>16</v>
      </c>
      <c r="J73" s="663">
        <f>VLOOKUP($A73,'Measure Level Adjustments Tab'!$A$5:$CL$272,56,FALSE)</f>
        <v>15</v>
      </c>
      <c r="K73" s="663">
        <f>VLOOKUP($A73,'Measure Level Adjustments Tab'!$A$5:$CL$272,57,FALSE)</f>
        <v>16</v>
      </c>
      <c r="L73" s="411" t="str">
        <f>VLOOKUP($A73,'Measure Level Adjustments Tab'!$A$5:$CL$272,12,FALSE)</f>
        <v>RS-HVC-DINS-V06-160601</v>
      </c>
      <c r="M73" s="422"/>
      <c r="N73" s="662">
        <v>183.45506482091847</v>
      </c>
      <c r="O73" s="662">
        <v>183.45506482091847</v>
      </c>
      <c r="P73" s="662">
        <v>183.45506482091847</v>
      </c>
      <c r="Q73" s="662">
        <v>183.45506482091847</v>
      </c>
      <c r="R73" s="661">
        <f>VLOOKUP($A73,'Measure Level Adjustments Tab'!$A$5:$CL$272,46,FALSE)</f>
        <v>1</v>
      </c>
      <c r="S73" s="661">
        <f>VLOOKUP($A73,'Measure Level Adjustments Tab'!$A$5:$CL$272,47,FALSE)</f>
        <v>1</v>
      </c>
      <c r="T73" s="661">
        <f>VLOOKUP($A73,'Measure Level Adjustments Tab'!$A$5:$CL$272,48,FALSE)</f>
        <v>1</v>
      </c>
      <c r="U73" s="661">
        <f>VLOOKUP($A73,'Measure Level Adjustments Tab'!$A$5:$CL$272,49,FALSE)</f>
        <v>1</v>
      </c>
      <c r="V73" s="418">
        <f t="shared" si="20"/>
        <v>2935.2810371346955</v>
      </c>
      <c r="W73" s="418">
        <f t="shared" si="20"/>
        <v>2935.2810371346955</v>
      </c>
      <c r="X73" s="418">
        <f t="shared" si="20"/>
        <v>2751.8259723137771</v>
      </c>
      <c r="Y73" s="418">
        <f t="shared" si="34"/>
        <v>2935.2810371346955</v>
      </c>
      <c r="Z73" s="418">
        <f t="shared" si="21"/>
        <v>11557.669083717863</v>
      </c>
      <c r="AA73" s="410"/>
      <c r="AB73" s="422"/>
      <c r="AC73" s="415">
        <v>183.45506482091847</v>
      </c>
      <c r="AD73" s="416"/>
      <c r="AE73" s="414">
        <f t="shared" si="22"/>
        <v>2935.2810371346955</v>
      </c>
      <c r="AF73" s="412">
        <f t="shared" si="23"/>
        <v>0</v>
      </c>
      <c r="AG73" s="410"/>
      <c r="AH73" s="422"/>
      <c r="AI73" s="413">
        <v>183.45506482091847</v>
      </c>
      <c r="AJ73" s="2669" t="s">
        <v>820</v>
      </c>
      <c r="AK73" s="414">
        <f t="shared" si="24"/>
        <v>2935.2810371346955</v>
      </c>
      <c r="AL73" s="412">
        <f t="shared" si="25"/>
        <v>0</v>
      </c>
      <c r="AM73" s="410"/>
      <c r="AN73" s="422"/>
      <c r="AO73" s="413">
        <v>183.45506482091847</v>
      </c>
      <c r="AP73" s="2669" t="s">
        <v>304</v>
      </c>
      <c r="AQ73" s="414">
        <f t="shared" si="26"/>
        <v>2751.8259723137771</v>
      </c>
      <c r="AR73" s="412">
        <f t="shared" si="27"/>
        <v>0</v>
      </c>
      <c r="AS73" s="410"/>
      <c r="AT73" s="422"/>
      <c r="AU73" s="413">
        <f>VLOOKUP($A73,'Measure Level Adjustments Tab'!$A$5:$CL$272,53,FALSE)/U73</f>
        <v>183.45506482091847</v>
      </c>
      <c r="AV73" s="2669" t="s">
        <v>304</v>
      </c>
      <c r="AW73" s="414">
        <f t="shared" si="35"/>
        <v>2935.2810371346955</v>
      </c>
      <c r="AX73" s="412">
        <f t="shared" si="28"/>
        <v>0</v>
      </c>
      <c r="AY73" s="418">
        <f t="shared" si="29"/>
        <v>2935.2810371346955</v>
      </c>
      <c r="AZ73" s="418">
        <f t="shared" si="30"/>
        <v>2935.2810371346955</v>
      </c>
      <c r="BA73" s="418">
        <f t="shared" si="31"/>
        <v>2751.8259723137771</v>
      </c>
      <c r="BB73" s="418">
        <f t="shared" si="32"/>
        <v>2935.2810371346955</v>
      </c>
      <c r="BC73" s="419">
        <f t="shared" si="33"/>
        <v>11557.669083717863</v>
      </c>
      <c r="BD73" s="410" t="s">
        <v>1271</v>
      </c>
      <c r="BE73" s="423" t="s">
        <v>1272</v>
      </c>
      <c r="BF73" s="421"/>
    </row>
    <row r="74" spans="1:58" s="327" customFormat="1" ht="18" customHeight="1" x14ac:dyDescent="0.35">
      <c r="A74" s="660">
        <v>593</v>
      </c>
      <c r="B74" s="660" t="str">
        <f>VLOOKUP($A74,'Measure Level Adjustments Tab'!$A$5:$CL$272,6,FALSE)</f>
        <v>Income Qualified</v>
      </c>
      <c r="C74" s="659" t="s">
        <v>1933</v>
      </c>
      <c r="D74" s="659" t="s">
        <v>1770</v>
      </c>
      <c r="E74" s="411">
        <f>VLOOKUP($A74,'Measure Level Adjustments Tab'!$A$5:$CL$272,13,FALSE)</f>
        <v>1</v>
      </c>
      <c r="F74" s="411" t="str">
        <f>VLOOKUP($A74,'Measure Level Adjustments Tab'!$A$5:$CL$272,11,FALSE)</f>
        <v>5.3.4</v>
      </c>
      <c r="G74" s="411">
        <f>VLOOKUP($A74,'Measure Level Adjustments Tab'!$A$5:$CL$272,14,FALSE)</f>
        <v>0</v>
      </c>
      <c r="H74" s="663">
        <f>VLOOKUP($A74,'Measure Level Adjustments Tab'!$A$5:$CL$272,54,FALSE)</f>
        <v>65</v>
      </c>
      <c r="I74" s="663">
        <f>VLOOKUP($A74,'Measure Level Adjustments Tab'!$A$5:$CL$272,55,FALSE)</f>
        <v>65</v>
      </c>
      <c r="J74" s="663">
        <f>VLOOKUP($A74,'Measure Level Adjustments Tab'!$A$5:$CL$272,56,FALSE)</f>
        <v>60</v>
      </c>
      <c r="K74" s="663">
        <f>VLOOKUP($A74,'Measure Level Adjustments Tab'!$A$5:$CL$272,57,FALSE)</f>
        <v>64</v>
      </c>
      <c r="L74" s="411" t="str">
        <f>VLOOKUP($A74,'Measure Level Adjustments Tab'!$A$5:$CL$272,12,FALSE)</f>
        <v>RS-HVC-DINS-V06-160601</v>
      </c>
      <c r="M74" s="422"/>
      <c r="N74" s="662">
        <v>183.45506482091847</v>
      </c>
      <c r="O74" s="662">
        <v>183.45506482091847</v>
      </c>
      <c r="P74" s="662">
        <v>183.45506482091847</v>
      </c>
      <c r="Q74" s="662">
        <v>183.45506482091847</v>
      </c>
      <c r="R74" s="661">
        <f>VLOOKUP($A74,'Measure Level Adjustments Tab'!$A$5:$CL$272,46,FALSE)</f>
        <v>1</v>
      </c>
      <c r="S74" s="661">
        <f>VLOOKUP($A74,'Measure Level Adjustments Tab'!$A$5:$CL$272,47,FALSE)</f>
        <v>1</v>
      </c>
      <c r="T74" s="661">
        <f>VLOOKUP($A74,'Measure Level Adjustments Tab'!$A$5:$CL$272,48,FALSE)</f>
        <v>1</v>
      </c>
      <c r="U74" s="661">
        <f>VLOOKUP($A74,'Measure Level Adjustments Tab'!$A$5:$CL$272,49,FALSE)</f>
        <v>1</v>
      </c>
      <c r="V74" s="418">
        <f t="shared" si="20"/>
        <v>11924.579213359701</v>
      </c>
      <c r="W74" s="418">
        <f t="shared" si="20"/>
        <v>11924.579213359701</v>
      </c>
      <c r="X74" s="418">
        <f t="shared" si="20"/>
        <v>11007.303889255109</v>
      </c>
      <c r="Y74" s="418">
        <f t="shared" si="34"/>
        <v>11741.124148538782</v>
      </c>
      <c r="Z74" s="418">
        <f t="shared" si="21"/>
        <v>46597.58646451329</v>
      </c>
      <c r="AA74" s="410"/>
      <c r="AB74" s="422"/>
      <c r="AC74" s="415">
        <v>183.45506482091847</v>
      </c>
      <c r="AD74" s="416"/>
      <c r="AE74" s="414">
        <f t="shared" si="22"/>
        <v>11924.579213359701</v>
      </c>
      <c r="AF74" s="412">
        <f t="shared" si="23"/>
        <v>0</v>
      </c>
      <c r="AG74" s="410"/>
      <c r="AH74" s="422"/>
      <c r="AI74" s="413">
        <v>183.45506482091847</v>
      </c>
      <c r="AJ74" s="2669" t="s">
        <v>820</v>
      </c>
      <c r="AK74" s="414">
        <f t="shared" si="24"/>
        <v>11924.579213359701</v>
      </c>
      <c r="AL74" s="412">
        <f t="shared" si="25"/>
        <v>0</v>
      </c>
      <c r="AM74" s="410"/>
      <c r="AN74" s="422"/>
      <c r="AO74" s="413">
        <v>183.45506482091847</v>
      </c>
      <c r="AP74" s="2669" t="s">
        <v>304</v>
      </c>
      <c r="AQ74" s="414">
        <f t="shared" si="26"/>
        <v>11007.303889255109</v>
      </c>
      <c r="AR74" s="412">
        <f t="shared" si="27"/>
        <v>0</v>
      </c>
      <c r="AS74" s="410"/>
      <c r="AT74" s="422"/>
      <c r="AU74" s="413">
        <f>VLOOKUP($A74,'Measure Level Adjustments Tab'!$A$5:$CL$272,53,FALSE)/U74</f>
        <v>183.45506482091847</v>
      </c>
      <c r="AV74" s="2669" t="s">
        <v>304</v>
      </c>
      <c r="AW74" s="414">
        <f t="shared" si="35"/>
        <v>11741.124148538782</v>
      </c>
      <c r="AX74" s="412">
        <f t="shared" si="28"/>
        <v>0</v>
      </c>
      <c r="AY74" s="418">
        <f t="shared" si="29"/>
        <v>11924.579213359701</v>
      </c>
      <c r="AZ74" s="418">
        <f t="shared" si="30"/>
        <v>11924.579213359701</v>
      </c>
      <c r="BA74" s="418">
        <f t="shared" si="31"/>
        <v>11007.303889255109</v>
      </c>
      <c r="BB74" s="418">
        <f t="shared" si="32"/>
        <v>11741.124148538782</v>
      </c>
      <c r="BC74" s="419">
        <f t="shared" si="33"/>
        <v>46597.58646451329</v>
      </c>
      <c r="BD74" s="410" t="s">
        <v>1271</v>
      </c>
      <c r="BE74" s="423" t="s">
        <v>1272</v>
      </c>
      <c r="BF74" s="421"/>
    </row>
    <row r="75" spans="1:58" s="327" customFormat="1" ht="18" customHeight="1" x14ac:dyDescent="0.35">
      <c r="A75" s="660">
        <v>561</v>
      </c>
      <c r="B75" s="660" t="str">
        <f>VLOOKUP($A75,'Measure Level Adjustments Tab'!$A$5:$CL$272,6,FALSE)</f>
        <v>Income Qualified</v>
      </c>
      <c r="C75" s="659" t="s">
        <v>1933</v>
      </c>
      <c r="D75" s="659" t="s">
        <v>1840</v>
      </c>
      <c r="E75" s="411">
        <f>VLOOKUP($A75,'Measure Level Adjustments Tab'!$A$5:$CL$272,13,FALSE)</f>
        <v>1</v>
      </c>
      <c r="F75" s="411" t="str">
        <f>VLOOKUP($A75,'Measure Level Adjustments Tab'!$A$5:$CL$272,11,FALSE)</f>
        <v>5.6.1</v>
      </c>
      <c r="G75" s="411">
        <f>VLOOKUP($A75,'Measure Level Adjustments Tab'!$A$5:$CL$272,14,FALSE)</f>
        <v>0</v>
      </c>
      <c r="H75" s="663">
        <f>VLOOKUP($A75,'Measure Level Adjustments Tab'!$A$5:$CL$272,54,FALSE)</f>
        <v>718</v>
      </c>
      <c r="I75" s="663">
        <f>VLOOKUP($A75,'Measure Level Adjustments Tab'!$A$5:$CL$272,55,FALSE)</f>
        <v>720</v>
      </c>
      <c r="J75" s="663">
        <f>VLOOKUP($A75,'Measure Level Adjustments Tab'!$A$5:$CL$272,56,FALSE)</f>
        <v>664</v>
      </c>
      <c r="K75" s="663">
        <f>VLOOKUP($A75,'Measure Level Adjustments Tab'!$A$5:$CL$272,57,FALSE)</f>
        <v>712</v>
      </c>
      <c r="L75" s="411" t="str">
        <f>VLOOKUP($A75,'Measure Level Adjustments Tab'!$A$5:$CL$272,12,FALSE)</f>
        <v>RS-SHL-AIRS-V06-180101</v>
      </c>
      <c r="M75" s="422"/>
      <c r="N75" s="662">
        <v>115.48339534883723</v>
      </c>
      <c r="O75" s="662">
        <v>115.48339534883723</v>
      </c>
      <c r="P75" s="662">
        <v>115.48339534883723</v>
      </c>
      <c r="Q75" s="662">
        <v>115.48339534883723</v>
      </c>
      <c r="R75" s="661">
        <f>VLOOKUP($A75,'Measure Level Adjustments Tab'!$A$5:$CL$272,46,FALSE)</f>
        <v>1</v>
      </c>
      <c r="S75" s="661">
        <f>VLOOKUP($A75,'Measure Level Adjustments Tab'!$A$5:$CL$272,47,FALSE)</f>
        <v>1</v>
      </c>
      <c r="T75" s="661">
        <f>VLOOKUP($A75,'Measure Level Adjustments Tab'!$A$5:$CL$272,48,FALSE)</f>
        <v>1</v>
      </c>
      <c r="U75" s="661">
        <f>VLOOKUP($A75,'Measure Level Adjustments Tab'!$A$5:$CL$272,49,FALSE)</f>
        <v>1</v>
      </c>
      <c r="V75" s="418">
        <f t="shared" si="20"/>
        <v>82917.077860465128</v>
      </c>
      <c r="W75" s="418">
        <f t="shared" si="20"/>
        <v>83148.044651162811</v>
      </c>
      <c r="X75" s="418">
        <f t="shared" si="20"/>
        <v>76680.974511627923</v>
      </c>
      <c r="Y75" s="418">
        <f t="shared" si="34"/>
        <v>82224.177488372108</v>
      </c>
      <c r="Z75" s="418">
        <f t="shared" si="21"/>
        <v>324970.27451162797</v>
      </c>
      <c r="AA75" s="410"/>
      <c r="AB75" s="422"/>
      <c r="AC75" s="415">
        <v>115.48339534883723</v>
      </c>
      <c r="AD75" s="416"/>
      <c r="AE75" s="414">
        <f t="shared" si="22"/>
        <v>82917.077860465128</v>
      </c>
      <c r="AF75" s="412">
        <f t="shared" si="23"/>
        <v>0</v>
      </c>
      <c r="AG75" s="410"/>
      <c r="AH75" s="422"/>
      <c r="AI75" s="413">
        <v>107.9192329534884</v>
      </c>
      <c r="AJ75" s="2669" t="s">
        <v>3533</v>
      </c>
      <c r="AK75" s="414">
        <f t="shared" si="24"/>
        <v>77701.847726511653</v>
      </c>
      <c r="AL75" s="412">
        <f t="shared" si="25"/>
        <v>-5446.196924651158</v>
      </c>
      <c r="AM75" s="410"/>
      <c r="AN75" s="422"/>
      <c r="AO75" s="413">
        <v>118.71115624883724</v>
      </c>
      <c r="AP75" s="2669" t="s">
        <v>3922</v>
      </c>
      <c r="AQ75" s="414">
        <f t="shared" si="26"/>
        <v>78824.207749227935</v>
      </c>
      <c r="AR75" s="412">
        <f t="shared" si="27"/>
        <v>2143.2332376000122</v>
      </c>
      <c r="AS75" s="410"/>
      <c r="AT75" s="422"/>
      <c r="AU75" s="413">
        <f>VLOOKUP($A75,'Measure Level Adjustments Tab'!$A$5:$CL$272,53,FALSE)/U75</f>
        <v>118.71115624883724</v>
      </c>
      <c r="AV75" s="2669" t="s">
        <v>304</v>
      </c>
      <c r="AW75" s="414">
        <f t="shared" si="35"/>
        <v>84522.343249172118</v>
      </c>
      <c r="AX75" s="412">
        <f t="shared" si="28"/>
        <v>2298.1657608000096</v>
      </c>
      <c r="AY75" s="418">
        <f t="shared" si="29"/>
        <v>82917.077860465128</v>
      </c>
      <c r="AZ75" s="418">
        <f t="shared" si="30"/>
        <v>77701.847726511653</v>
      </c>
      <c r="BA75" s="418">
        <f t="shared" si="31"/>
        <v>78824.207749227935</v>
      </c>
      <c r="BB75" s="418">
        <f t="shared" si="32"/>
        <v>84522.343249172118</v>
      </c>
      <c r="BC75" s="419">
        <f t="shared" si="33"/>
        <v>323965.47658537683</v>
      </c>
      <c r="BD75" s="410" t="s">
        <v>1271</v>
      </c>
      <c r="BE75" s="423" t="s">
        <v>1272</v>
      </c>
      <c r="BF75" s="421"/>
    </row>
    <row r="76" spans="1:58" s="327" customFormat="1" ht="18" customHeight="1" x14ac:dyDescent="0.35">
      <c r="A76" s="660">
        <v>570</v>
      </c>
      <c r="B76" s="660" t="str">
        <f>VLOOKUP($A76,'Measure Level Adjustments Tab'!$A$5:$CL$272,6,FALSE)</f>
        <v>Income Qualified</v>
      </c>
      <c r="C76" s="659" t="s">
        <v>1933</v>
      </c>
      <c r="D76" s="659" t="s">
        <v>1841</v>
      </c>
      <c r="E76" s="411">
        <f>VLOOKUP($A76,'Measure Level Adjustments Tab'!$A$5:$CL$272,13,FALSE)</f>
        <v>1</v>
      </c>
      <c r="F76" s="411" t="str">
        <f>VLOOKUP($A76,'Measure Level Adjustments Tab'!$A$5:$CL$272,11,FALSE)</f>
        <v>5.6.5</v>
      </c>
      <c r="G76" s="411">
        <f>VLOOKUP($A76,'Measure Level Adjustments Tab'!$A$5:$CL$272,14,FALSE)</f>
        <v>0</v>
      </c>
      <c r="H76" s="663">
        <f>VLOOKUP($A76,'Measure Level Adjustments Tab'!$A$5:$CL$272,54,FALSE)</f>
        <v>179</v>
      </c>
      <c r="I76" s="663">
        <f>VLOOKUP($A76,'Measure Level Adjustments Tab'!$A$5:$CL$272,55,FALSE)</f>
        <v>180</v>
      </c>
      <c r="J76" s="663">
        <f>VLOOKUP($A76,'Measure Level Adjustments Tab'!$A$5:$CL$272,56,FALSE)</f>
        <v>166</v>
      </c>
      <c r="K76" s="663">
        <f>VLOOKUP($A76,'Measure Level Adjustments Tab'!$A$5:$CL$272,57,FALSE)</f>
        <v>178</v>
      </c>
      <c r="L76" s="411" t="str">
        <f>VLOOKUP($A76,'Measure Level Adjustments Tab'!$A$5:$CL$272,12,FALSE)</f>
        <v>RS-SHL-AINS-V07-180101</v>
      </c>
      <c r="M76" s="422"/>
      <c r="N76" s="662">
        <v>71.502857869916156</v>
      </c>
      <c r="O76" s="662">
        <v>71.502857869916156</v>
      </c>
      <c r="P76" s="662">
        <v>71.502857869916156</v>
      </c>
      <c r="Q76" s="662">
        <v>71.502857869916156</v>
      </c>
      <c r="R76" s="661">
        <f>VLOOKUP($A76,'Measure Level Adjustments Tab'!$A$5:$CL$272,46,FALSE)</f>
        <v>1</v>
      </c>
      <c r="S76" s="661">
        <f>VLOOKUP($A76,'Measure Level Adjustments Tab'!$A$5:$CL$272,47,FALSE)</f>
        <v>1</v>
      </c>
      <c r="T76" s="661">
        <f>VLOOKUP($A76,'Measure Level Adjustments Tab'!$A$5:$CL$272,48,FALSE)</f>
        <v>1</v>
      </c>
      <c r="U76" s="661">
        <f>VLOOKUP($A76,'Measure Level Adjustments Tab'!$A$5:$CL$272,49,FALSE)</f>
        <v>1</v>
      </c>
      <c r="V76" s="418">
        <f t="shared" si="20"/>
        <v>12799.011558714992</v>
      </c>
      <c r="W76" s="418">
        <f t="shared" si="20"/>
        <v>12870.514416584909</v>
      </c>
      <c r="X76" s="418">
        <f t="shared" si="20"/>
        <v>11869.474406406081</v>
      </c>
      <c r="Y76" s="418">
        <f t="shared" si="34"/>
        <v>12727.508700845076</v>
      </c>
      <c r="Z76" s="418">
        <f t="shared" si="21"/>
        <v>50266.509082551056</v>
      </c>
      <c r="AA76" s="410"/>
      <c r="AB76" s="422"/>
      <c r="AC76" s="415">
        <v>71.502857869916156</v>
      </c>
      <c r="AD76" s="416"/>
      <c r="AE76" s="414">
        <f t="shared" si="22"/>
        <v>12799.011558714992</v>
      </c>
      <c r="AF76" s="412">
        <f t="shared" si="23"/>
        <v>0</v>
      </c>
      <c r="AG76" s="410"/>
      <c r="AH76" s="422"/>
      <c r="AI76" s="413">
        <v>85.803429443899404</v>
      </c>
      <c r="AJ76" s="2669" t="s">
        <v>3538</v>
      </c>
      <c r="AK76" s="414">
        <f t="shared" si="24"/>
        <v>15444.617299901893</v>
      </c>
      <c r="AL76" s="412">
        <f t="shared" si="25"/>
        <v>2574.1028833169839</v>
      </c>
      <c r="AM76" s="410"/>
      <c r="AN76" s="422"/>
      <c r="AO76" s="413">
        <v>94.383772388289358</v>
      </c>
      <c r="AP76" s="2669" t="s">
        <v>3922</v>
      </c>
      <c r="AQ76" s="414">
        <f t="shared" si="26"/>
        <v>15667.706216456034</v>
      </c>
      <c r="AR76" s="412">
        <f t="shared" si="27"/>
        <v>3798.2318100499524</v>
      </c>
      <c r="AS76" s="410"/>
      <c r="AT76" s="422"/>
      <c r="AU76" s="413">
        <f>VLOOKUP($A76,'Measure Level Adjustments Tab'!$A$5:$CL$272,53,FALSE)/U76</f>
        <v>94.383772388289358</v>
      </c>
      <c r="AV76" s="2669" t="s">
        <v>304</v>
      </c>
      <c r="AW76" s="414">
        <f t="shared" si="35"/>
        <v>16800.311485115504</v>
      </c>
      <c r="AX76" s="412">
        <f t="shared" si="28"/>
        <v>4072.8027842704287</v>
      </c>
      <c r="AY76" s="418">
        <f t="shared" si="29"/>
        <v>12799.011558714992</v>
      </c>
      <c r="AZ76" s="418">
        <f t="shared" si="30"/>
        <v>15444.617299901893</v>
      </c>
      <c r="BA76" s="418">
        <f t="shared" si="31"/>
        <v>15667.706216456034</v>
      </c>
      <c r="BB76" s="418">
        <f t="shared" si="32"/>
        <v>16800.311485115504</v>
      </c>
      <c r="BC76" s="419">
        <f t="shared" si="33"/>
        <v>60711.646560188419</v>
      </c>
      <c r="BD76" s="410" t="s">
        <v>1271</v>
      </c>
      <c r="BE76" s="423" t="s">
        <v>1272</v>
      </c>
      <c r="BF76" s="421"/>
    </row>
    <row r="77" spans="1:58" s="327" customFormat="1" ht="18" customHeight="1" x14ac:dyDescent="0.35">
      <c r="A77" s="660">
        <v>578</v>
      </c>
      <c r="B77" s="660" t="str">
        <f>VLOOKUP($A77,'Measure Level Adjustments Tab'!$A$5:$CL$272,6,FALSE)</f>
        <v>Income Qualified</v>
      </c>
      <c r="C77" s="659" t="s">
        <v>1933</v>
      </c>
      <c r="D77" s="659" t="s">
        <v>1842</v>
      </c>
      <c r="E77" s="411">
        <f>VLOOKUP($A77,'Measure Level Adjustments Tab'!$A$5:$CL$272,13,FALSE)</f>
        <v>1</v>
      </c>
      <c r="F77" s="411" t="str">
        <f>VLOOKUP($A77,'Measure Level Adjustments Tab'!$A$5:$CL$272,11,FALSE)</f>
        <v>5.6.5</v>
      </c>
      <c r="G77" s="411">
        <f>VLOOKUP($A77,'Measure Level Adjustments Tab'!$A$5:$CL$272,14,FALSE)</f>
        <v>0</v>
      </c>
      <c r="H77" s="663">
        <f>VLOOKUP($A77,'Measure Level Adjustments Tab'!$A$5:$CL$272,54,FALSE)</f>
        <v>45</v>
      </c>
      <c r="I77" s="663">
        <f>VLOOKUP($A77,'Measure Level Adjustments Tab'!$A$5:$CL$272,55,FALSE)</f>
        <v>45</v>
      </c>
      <c r="J77" s="663">
        <f>VLOOKUP($A77,'Measure Level Adjustments Tab'!$A$5:$CL$272,56,FALSE)</f>
        <v>42</v>
      </c>
      <c r="K77" s="663">
        <f>VLOOKUP($A77,'Measure Level Adjustments Tab'!$A$5:$CL$272,57,FALSE)</f>
        <v>45</v>
      </c>
      <c r="L77" s="411" t="str">
        <f>VLOOKUP($A77,'Measure Level Adjustments Tab'!$A$5:$CL$272,12,FALSE)</f>
        <v>RS-SHL-AINS-V07-180101</v>
      </c>
      <c r="M77" s="422"/>
      <c r="N77" s="662">
        <v>192.26324005021897</v>
      </c>
      <c r="O77" s="662">
        <v>192.26324005021897</v>
      </c>
      <c r="P77" s="662">
        <v>192.26324005021897</v>
      </c>
      <c r="Q77" s="662">
        <v>192.26324005021897</v>
      </c>
      <c r="R77" s="661">
        <f>VLOOKUP($A77,'Measure Level Adjustments Tab'!$A$5:$CL$272,46,FALSE)</f>
        <v>1</v>
      </c>
      <c r="S77" s="661">
        <f>VLOOKUP($A77,'Measure Level Adjustments Tab'!$A$5:$CL$272,47,FALSE)</f>
        <v>1</v>
      </c>
      <c r="T77" s="661">
        <f>VLOOKUP($A77,'Measure Level Adjustments Tab'!$A$5:$CL$272,48,FALSE)</f>
        <v>1</v>
      </c>
      <c r="U77" s="661">
        <f>VLOOKUP($A77,'Measure Level Adjustments Tab'!$A$5:$CL$272,49,FALSE)</f>
        <v>1</v>
      </c>
      <c r="V77" s="418">
        <f t="shared" si="20"/>
        <v>8651.8458022598534</v>
      </c>
      <c r="W77" s="418">
        <f t="shared" si="20"/>
        <v>8651.8458022598534</v>
      </c>
      <c r="X77" s="418">
        <f t="shared" si="20"/>
        <v>8075.0560821091967</v>
      </c>
      <c r="Y77" s="418">
        <f t="shared" si="34"/>
        <v>8651.8458022598534</v>
      </c>
      <c r="Z77" s="418">
        <f t="shared" si="21"/>
        <v>34030.593488888757</v>
      </c>
      <c r="AA77" s="410"/>
      <c r="AB77" s="422"/>
      <c r="AC77" s="415">
        <v>192.26324005021897</v>
      </c>
      <c r="AD77" s="416"/>
      <c r="AE77" s="414">
        <f t="shared" si="22"/>
        <v>8651.8458022598534</v>
      </c>
      <c r="AF77" s="412">
        <f t="shared" si="23"/>
        <v>0</v>
      </c>
      <c r="AG77" s="410"/>
      <c r="AH77" s="422"/>
      <c r="AI77" s="413">
        <v>230.71588806026276</v>
      </c>
      <c r="AJ77" s="2669" t="s">
        <v>3538</v>
      </c>
      <c r="AK77" s="414">
        <f t="shared" si="24"/>
        <v>10382.214962711823</v>
      </c>
      <c r="AL77" s="412">
        <f t="shared" si="25"/>
        <v>1730.3691604519699</v>
      </c>
      <c r="AM77" s="410"/>
      <c r="AN77" s="422"/>
      <c r="AO77" s="413">
        <v>253.78747686628907</v>
      </c>
      <c r="AP77" s="2669" t="s">
        <v>3922</v>
      </c>
      <c r="AQ77" s="414">
        <f t="shared" si="26"/>
        <v>10659.074028384141</v>
      </c>
      <c r="AR77" s="412">
        <f t="shared" si="27"/>
        <v>2584.0179462749438</v>
      </c>
      <c r="AS77" s="410"/>
      <c r="AT77" s="422"/>
      <c r="AU77" s="413">
        <f>VLOOKUP($A77,'Measure Level Adjustments Tab'!$A$5:$CL$272,53,FALSE)/U77</f>
        <v>253.78747686628907</v>
      </c>
      <c r="AV77" s="2669" t="s">
        <v>304</v>
      </c>
      <c r="AW77" s="414">
        <f t="shared" si="35"/>
        <v>11420.436458983007</v>
      </c>
      <c r="AX77" s="412">
        <f t="shared" si="28"/>
        <v>2768.5906567231541</v>
      </c>
      <c r="AY77" s="418">
        <f t="shared" si="29"/>
        <v>8651.8458022598534</v>
      </c>
      <c r="AZ77" s="418">
        <f t="shared" si="30"/>
        <v>10382.214962711823</v>
      </c>
      <c r="BA77" s="418">
        <f t="shared" si="31"/>
        <v>10659.074028384141</v>
      </c>
      <c r="BB77" s="418">
        <f t="shared" si="32"/>
        <v>11420.436458983007</v>
      </c>
      <c r="BC77" s="419">
        <f t="shared" si="33"/>
        <v>41113.571252338821</v>
      </c>
      <c r="BD77" s="410" t="s">
        <v>1271</v>
      </c>
      <c r="BE77" s="423" t="s">
        <v>1272</v>
      </c>
      <c r="BF77" s="421"/>
    </row>
    <row r="78" spans="1:58" s="327" customFormat="1" ht="18" customHeight="1" x14ac:dyDescent="0.35">
      <c r="A78" s="660">
        <v>569</v>
      </c>
      <c r="B78" s="660" t="str">
        <f>VLOOKUP($A78,'Measure Level Adjustments Tab'!$A$5:$CL$272,6,FALSE)</f>
        <v>Income Qualified</v>
      </c>
      <c r="C78" s="659" t="s">
        <v>1933</v>
      </c>
      <c r="D78" s="659" t="s">
        <v>1790</v>
      </c>
      <c r="E78" s="411">
        <f>VLOOKUP($A78,'Measure Level Adjustments Tab'!$A$5:$CL$272,13,FALSE)</f>
        <v>1</v>
      </c>
      <c r="F78" s="411" t="str">
        <f>VLOOKUP($A78,'Measure Level Adjustments Tab'!$A$5:$CL$272,11,FALSE)</f>
        <v>5.6.5</v>
      </c>
      <c r="G78" s="411">
        <f>VLOOKUP($A78,'Measure Level Adjustments Tab'!$A$5:$CL$272,14,FALSE)</f>
        <v>0</v>
      </c>
      <c r="H78" s="663">
        <f>VLOOKUP($A78,'Measure Level Adjustments Tab'!$A$5:$CL$272,54,FALSE)</f>
        <v>80.637200000000007</v>
      </c>
      <c r="I78" s="663">
        <f>VLOOKUP($A78,'Measure Level Adjustments Tab'!$A$5:$CL$272,55,FALSE)</f>
        <v>80.919300000000007</v>
      </c>
      <c r="J78" s="663">
        <f>VLOOKUP($A78,'Measure Level Adjustments Tab'!$A$5:$CL$272,56,FALSE)</f>
        <v>74.604599999999991</v>
      </c>
      <c r="K78" s="663">
        <f>VLOOKUP($A78,'Measure Level Adjustments Tab'!$A$5:$CL$272,57,FALSE)</f>
        <v>80.027147899999989</v>
      </c>
      <c r="L78" s="411" t="str">
        <f>VLOOKUP($A78,'Measure Level Adjustments Tab'!$A$5:$CL$272,12,FALSE)</f>
        <v>RS-SHL-AINS-V07-180101</v>
      </c>
      <c r="M78" s="422"/>
      <c r="N78" s="662">
        <v>71.502857869916156</v>
      </c>
      <c r="O78" s="662">
        <v>71.502857869916156</v>
      </c>
      <c r="P78" s="662">
        <v>71.502857869916156</v>
      </c>
      <c r="Q78" s="662">
        <v>71.502857869916156</v>
      </c>
      <c r="R78" s="661">
        <f>VLOOKUP($A78,'Measure Level Adjustments Tab'!$A$5:$CL$272,46,FALSE)</f>
        <v>1</v>
      </c>
      <c r="S78" s="661">
        <f>VLOOKUP($A78,'Measure Level Adjustments Tab'!$A$5:$CL$272,47,FALSE)</f>
        <v>1</v>
      </c>
      <c r="T78" s="661">
        <f>VLOOKUP($A78,'Measure Level Adjustments Tab'!$A$5:$CL$272,48,FALSE)</f>
        <v>1</v>
      </c>
      <c r="U78" s="661">
        <f>VLOOKUP($A78,'Measure Level Adjustments Tab'!$A$5:$CL$272,49,FALSE)</f>
        <v>1</v>
      </c>
      <c r="V78" s="418">
        <f t="shared" si="20"/>
        <v>5765.7902506280034</v>
      </c>
      <c r="W78" s="418">
        <f t="shared" si="20"/>
        <v>5785.9612068331071</v>
      </c>
      <c r="X78" s="418">
        <f t="shared" si="20"/>
        <v>5334.4421102419465</v>
      </c>
      <c r="Y78" s="418">
        <f t="shared" si="34"/>
        <v>5722.169782028458</v>
      </c>
      <c r="Z78" s="418">
        <f t="shared" si="21"/>
        <v>22608.363349731513</v>
      </c>
      <c r="AA78" s="410"/>
      <c r="AB78" s="422"/>
      <c r="AC78" s="415">
        <v>71.502857869916156</v>
      </c>
      <c r="AD78" s="416"/>
      <c r="AE78" s="414">
        <f t="shared" si="22"/>
        <v>5765.7902506280034</v>
      </c>
      <c r="AF78" s="412">
        <f t="shared" si="23"/>
        <v>0</v>
      </c>
      <c r="AG78" s="410"/>
      <c r="AH78" s="422"/>
      <c r="AI78" s="413">
        <v>85.803429443899404</v>
      </c>
      <c r="AJ78" s="2669" t="s">
        <v>3538</v>
      </c>
      <c r="AK78" s="414">
        <f t="shared" si="24"/>
        <v>6943.1534481997296</v>
      </c>
      <c r="AL78" s="412">
        <f t="shared" si="25"/>
        <v>1157.1922413666225</v>
      </c>
      <c r="AM78" s="410"/>
      <c r="AN78" s="422"/>
      <c r="AO78" s="413">
        <v>94.383772388289358</v>
      </c>
      <c r="AP78" s="2669" t="s">
        <v>3922</v>
      </c>
      <c r="AQ78" s="414">
        <f t="shared" si="26"/>
        <v>7041.463585519371</v>
      </c>
      <c r="AR78" s="412">
        <f t="shared" si="27"/>
        <v>1707.0214752774245</v>
      </c>
      <c r="AS78" s="410"/>
      <c r="AT78" s="422"/>
      <c r="AU78" s="413">
        <f>VLOOKUP($A78,'Measure Level Adjustments Tab'!$A$5:$CL$272,53,FALSE)/U78</f>
        <v>94.383772388289358</v>
      </c>
      <c r="AV78" s="2669" t="s">
        <v>304</v>
      </c>
      <c r="AW78" s="414">
        <f t="shared" si="35"/>
        <v>7553.2641122775676</v>
      </c>
      <c r="AX78" s="412">
        <f t="shared" si="28"/>
        <v>1831.0943302491096</v>
      </c>
      <c r="AY78" s="418">
        <f t="shared" si="29"/>
        <v>5765.7902506280034</v>
      </c>
      <c r="AZ78" s="418">
        <f t="shared" si="30"/>
        <v>6943.1534481997296</v>
      </c>
      <c r="BA78" s="418">
        <f t="shared" si="31"/>
        <v>7041.463585519371</v>
      </c>
      <c r="BB78" s="418">
        <f t="shared" si="32"/>
        <v>7553.2641122775676</v>
      </c>
      <c r="BC78" s="419">
        <f t="shared" si="33"/>
        <v>27303.671396624672</v>
      </c>
      <c r="BD78" s="410" t="s">
        <v>1271</v>
      </c>
      <c r="BE78" s="423" t="s">
        <v>1272</v>
      </c>
      <c r="BF78" s="421"/>
    </row>
    <row r="79" spans="1:58" s="327" customFormat="1" ht="18" customHeight="1" x14ac:dyDescent="0.35">
      <c r="A79" s="660">
        <v>577</v>
      </c>
      <c r="B79" s="660" t="str">
        <f>VLOOKUP($A79,'Measure Level Adjustments Tab'!$A$5:$CL$272,6,FALSE)</f>
        <v>Income Qualified</v>
      </c>
      <c r="C79" s="659" t="s">
        <v>1933</v>
      </c>
      <c r="D79" s="659" t="s">
        <v>1791</v>
      </c>
      <c r="E79" s="411">
        <f>VLOOKUP($A79,'Measure Level Adjustments Tab'!$A$5:$CL$272,13,FALSE)</f>
        <v>1</v>
      </c>
      <c r="F79" s="411" t="str">
        <f>VLOOKUP($A79,'Measure Level Adjustments Tab'!$A$5:$CL$272,11,FALSE)</f>
        <v>5.6.5</v>
      </c>
      <c r="G79" s="411">
        <f>VLOOKUP($A79,'Measure Level Adjustments Tab'!$A$5:$CL$272,14,FALSE)</f>
        <v>0</v>
      </c>
      <c r="H79" s="663">
        <f>VLOOKUP($A79,'Measure Level Adjustments Tab'!$A$5:$CL$272,54,FALSE)</f>
        <v>20.159300000000002</v>
      </c>
      <c r="I79" s="663">
        <f>VLOOKUP($A79,'Measure Level Adjustments Tab'!$A$5:$CL$272,55,FALSE)</f>
        <v>20.229825000000002</v>
      </c>
      <c r="J79" s="663">
        <f>VLOOKUP($A79,'Measure Level Adjustments Tab'!$A$5:$CL$272,56,FALSE)</f>
        <v>18.651149999999998</v>
      </c>
      <c r="K79" s="663">
        <f>VLOOKUP($A79,'Measure Level Adjustments Tab'!$A$5:$CL$272,57,FALSE)</f>
        <v>20.006786974999997</v>
      </c>
      <c r="L79" s="411" t="str">
        <f>VLOOKUP($A79,'Measure Level Adjustments Tab'!$A$5:$CL$272,12,FALSE)</f>
        <v>RS-SHL-AINS-V07-180101</v>
      </c>
      <c r="M79" s="422"/>
      <c r="N79" s="662">
        <v>192.26324005021897</v>
      </c>
      <c r="O79" s="662">
        <v>192.26324005021897</v>
      </c>
      <c r="P79" s="662">
        <v>192.26324005021897</v>
      </c>
      <c r="Q79" s="662">
        <v>192.26324005021897</v>
      </c>
      <c r="R79" s="661">
        <f>VLOOKUP($A79,'Measure Level Adjustments Tab'!$A$5:$CL$272,46,FALSE)</f>
        <v>1</v>
      </c>
      <c r="S79" s="661">
        <f>VLOOKUP($A79,'Measure Level Adjustments Tab'!$A$5:$CL$272,47,FALSE)</f>
        <v>1</v>
      </c>
      <c r="T79" s="661">
        <f>VLOOKUP($A79,'Measure Level Adjustments Tab'!$A$5:$CL$272,48,FALSE)</f>
        <v>1</v>
      </c>
      <c r="U79" s="661">
        <f>VLOOKUP($A79,'Measure Level Adjustments Tab'!$A$5:$CL$272,49,FALSE)</f>
        <v>1</v>
      </c>
      <c r="V79" s="418">
        <f t="shared" si="20"/>
        <v>3875.8923351443796</v>
      </c>
      <c r="W79" s="418">
        <f t="shared" si="20"/>
        <v>3889.4517001489212</v>
      </c>
      <c r="X79" s="418">
        <f t="shared" si="20"/>
        <v>3585.9305296626412</v>
      </c>
      <c r="Y79" s="418">
        <f t="shared" si="34"/>
        <v>3846.5696868080186</v>
      </c>
      <c r="Z79" s="418">
        <f t="shared" si="21"/>
        <v>15197.84425176396</v>
      </c>
      <c r="AA79" s="410"/>
      <c r="AB79" s="422"/>
      <c r="AC79" s="415">
        <v>192.26324005021897</v>
      </c>
      <c r="AD79" s="416"/>
      <c r="AE79" s="414">
        <f t="shared" si="22"/>
        <v>3875.8923351443796</v>
      </c>
      <c r="AF79" s="412">
        <f t="shared" si="23"/>
        <v>0</v>
      </c>
      <c r="AG79" s="410"/>
      <c r="AH79" s="422"/>
      <c r="AI79" s="413">
        <v>230.71588806026276</v>
      </c>
      <c r="AJ79" s="2669" t="s">
        <v>3538</v>
      </c>
      <c r="AK79" s="414">
        <f t="shared" si="24"/>
        <v>4667.3420401787052</v>
      </c>
      <c r="AL79" s="412">
        <f t="shared" si="25"/>
        <v>777.89034002978406</v>
      </c>
      <c r="AM79" s="410"/>
      <c r="AN79" s="422"/>
      <c r="AO79" s="413">
        <v>253.78747686628907</v>
      </c>
      <c r="AP79" s="2669" t="s">
        <v>3922</v>
      </c>
      <c r="AQ79" s="414">
        <f t="shared" si="26"/>
        <v>4733.428299154687</v>
      </c>
      <c r="AR79" s="412">
        <f t="shared" si="27"/>
        <v>1147.4977694920458</v>
      </c>
      <c r="AS79" s="410"/>
      <c r="AT79" s="422"/>
      <c r="AU79" s="413">
        <f>VLOOKUP($A79,'Measure Level Adjustments Tab'!$A$5:$CL$272,53,FALSE)/U79</f>
        <v>253.78747686628907</v>
      </c>
      <c r="AV79" s="2669" t="s">
        <v>304</v>
      </c>
      <c r="AW79" s="414">
        <f t="shared" si="35"/>
        <v>5077.4719865865854</v>
      </c>
      <c r="AX79" s="412">
        <f t="shared" si="28"/>
        <v>1230.9022997785669</v>
      </c>
      <c r="AY79" s="418">
        <f t="shared" si="29"/>
        <v>3875.8923351443796</v>
      </c>
      <c r="AZ79" s="418">
        <f t="shared" si="30"/>
        <v>4667.3420401787052</v>
      </c>
      <c r="BA79" s="418">
        <f t="shared" si="31"/>
        <v>4733.428299154687</v>
      </c>
      <c r="BB79" s="418">
        <f t="shared" si="32"/>
        <v>5077.4719865865854</v>
      </c>
      <c r="BC79" s="419">
        <f t="shared" si="33"/>
        <v>18354.134661064356</v>
      </c>
      <c r="BD79" s="410" t="s">
        <v>1271</v>
      </c>
      <c r="BE79" s="423" t="s">
        <v>1272</v>
      </c>
      <c r="BF79" s="421"/>
    </row>
    <row r="80" spans="1:58" s="327" customFormat="1" ht="18" customHeight="1" x14ac:dyDescent="0.35">
      <c r="A80" s="660">
        <v>607</v>
      </c>
      <c r="B80" s="660" t="str">
        <f>VLOOKUP($A80,'Measure Level Adjustments Tab'!$A$5:$CL$272,6,FALSE)</f>
        <v>Income Qualified</v>
      </c>
      <c r="C80" s="659" t="s">
        <v>1933</v>
      </c>
      <c r="D80" s="659" t="s">
        <v>1844</v>
      </c>
      <c r="E80" s="411">
        <f>VLOOKUP($A80,'Measure Level Adjustments Tab'!$A$5:$CL$272,13,FALSE)</f>
        <v>1</v>
      </c>
      <c r="F80" s="411" t="str">
        <f>VLOOKUP($A80,'Measure Level Adjustments Tab'!$A$5:$CL$272,11,FALSE)</f>
        <v>5.4.1</v>
      </c>
      <c r="G80" s="411">
        <f>VLOOKUP($A80,'Measure Level Adjustments Tab'!$A$5:$CL$272,14,FALSE)</f>
        <v>0</v>
      </c>
      <c r="H80" s="663">
        <f>VLOOKUP($A80,'Measure Level Adjustments Tab'!$A$5:$CL$272,54,FALSE)</f>
        <v>650</v>
      </c>
      <c r="I80" s="663">
        <f>VLOOKUP($A80,'Measure Level Adjustments Tab'!$A$5:$CL$272,55,FALSE)</f>
        <v>653</v>
      </c>
      <c r="J80" s="663">
        <f>VLOOKUP($A80,'Measure Level Adjustments Tab'!$A$5:$CL$272,56,FALSE)</f>
        <v>602</v>
      </c>
      <c r="K80" s="663">
        <f>VLOOKUP($A80,'Measure Level Adjustments Tab'!$A$5:$CL$272,57,FALSE)</f>
        <v>645</v>
      </c>
      <c r="L80" s="411" t="str">
        <f>VLOOKUP($A80,'Measure Level Adjustments Tab'!$A$5:$CL$272,12,FALSE)</f>
        <v>RS-HWE-PINS-V02-150601</v>
      </c>
      <c r="M80" s="422"/>
      <c r="N80" s="662">
        <v>5.2865723076923077</v>
      </c>
      <c r="O80" s="662">
        <v>5.2865723076923077</v>
      </c>
      <c r="P80" s="662">
        <v>5.2865723076923077</v>
      </c>
      <c r="Q80" s="662">
        <v>5.2865723076923077</v>
      </c>
      <c r="R80" s="661">
        <f>VLOOKUP($A80,'Measure Level Adjustments Tab'!$A$5:$CL$272,46,FALSE)</f>
        <v>1</v>
      </c>
      <c r="S80" s="661">
        <f>VLOOKUP($A80,'Measure Level Adjustments Tab'!$A$5:$CL$272,47,FALSE)</f>
        <v>1</v>
      </c>
      <c r="T80" s="661">
        <f>VLOOKUP($A80,'Measure Level Adjustments Tab'!$A$5:$CL$272,48,FALSE)</f>
        <v>1</v>
      </c>
      <c r="U80" s="661">
        <f>VLOOKUP($A80,'Measure Level Adjustments Tab'!$A$5:$CL$272,49,FALSE)</f>
        <v>1</v>
      </c>
      <c r="V80" s="418">
        <f t="shared" si="20"/>
        <v>3436.2719999999999</v>
      </c>
      <c r="W80" s="418">
        <f t="shared" si="20"/>
        <v>3452.131716923077</v>
      </c>
      <c r="X80" s="418">
        <f t="shared" si="20"/>
        <v>3182.5165292307693</v>
      </c>
      <c r="Y80" s="418">
        <f t="shared" si="34"/>
        <v>3409.8391384615384</v>
      </c>
      <c r="Z80" s="418">
        <f t="shared" si="21"/>
        <v>13480.759384615385</v>
      </c>
      <c r="AA80" s="410"/>
      <c r="AB80" s="422"/>
      <c r="AC80" s="415">
        <v>5.2865723076923077</v>
      </c>
      <c r="AD80" s="416"/>
      <c r="AE80" s="414">
        <f t="shared" si="22"/>
        <v>3436.2719999999999</v>
      </c>
      <c r="AF80" s="412">
        <f t="shared" si="23"/>
        <v>0</v>
      </c>
      <c r="AG80" s="410"/>
      <c r="AH80" s="422"/>
      <c r="AI80" s="413">
        <v>4.4032292307692309</v>
      </c>
      <c r="AJ80" s="2669" t="s">
        <v>3510</v>
      </c>
      <c r="AK80" s="414">
        <f t="shared" si="24"/>
        <v>2875.3086876923076</v>
      </c>
      <c r="AL80" s="412">
        <f t="shared" si="25"/>
        <v>-576.82302923076941</v>
      </c>
      <c r="AM80" s="410"/>
      <c r="AN80" s="422"/>
      <c r="AO80" s="413">
        <v>4.4032292307692309</v>
      </c>
      <c r="AP80" s="2669" t="s">
        <v>304</v>
      </c>
      <c r="AQ80" s="414">
        <f t="shared" si="26"/>
        <v>2650.7439969230768</v>
      </c>
      <c r="AR80" s="412">
        <f t="shared" si="27"/>
        <v>-531.77253230769247</v>
      </c>
      <c r="AS80" s="410"/>
      <c r="AT80" s="422"/>
      <c r="AU80" s="413">
        <f>VLOOKUP($A80,'Measure Level Adjustments Tab'!$A$5:$CL$272,53,FALSE)/U80</f>
        <v>4.4032292307692309</v>
      </c>
      <c r="AV80" s="2669" t="s">
        <v>304</v>
      </c>
      <c r="AW80" s="414">
        <f t="shared" si="35"/>
        <v>2840.0828538461537</v>
      </c>
      <c r="AX80" s="412">
        <f t="shared" si="28"/>
        <v>-569.75628461538463</v>
      </c>
      <c r="AY80" s="418">
        <f t="shared" si="29"/>
        <v>3436.2719999999999</v>
      </c>
      <c r="AZ80" s="418">
        <f t="shared" si="30"/>
        <v>2875.3086876923076</v>
      </c>
      <c r="BA80" s="418">
        <f t="shared" si="31"/>
        <v>2650.7439969230768</v>
      </c>
      <c r="BB80" s="418">
        <f t="shared" si="32"/>
        <v>2840.0828538461537</v>
      </c>
      <c r="BC80" s="419">
        <f t="shared" si="33"/>
        <v>11802.407538461537</v>
      </c>
      <c r="BD80" s="410" t="s">
        <v>1271</v>
      </c>
      <c r="BE80" s="423" t="s">
        <v>1272</v>
      </c>
      <c r="BF80" s="421"/>
    </row>
    <row r="81" spans="1:58" s="327" customFormat="1" ht="18" customHeight="1" x14ac:dyDescent="0.35">
      <c r="A81" s="660">
        <v>698</v>
      </c>
      <c r="B81" s="660" t="str">
        <f>VLOOKUP($A81,'Measure Level Adjustments Tab'!$A$5:$CL$272,6,FALSE)</f>
        <v>Income Qualified</v>
      </c>
      <c r="C81" s="659" t="s">
        <v>1933</v>
      </c>
      <c r="D81" s="659" t="s">
        <v>39</v>
      </c>
      <c r="E81" s="411">
        <f>VLOOKUP($A81,'Measure Level Adjustments Tab'!$A$5:$CL$272,13,FALSE)</f>
        <v>1</v>
      </c>
      <c r="F81" s="411" t="str">
        <f>VLOOKUP($A81,'Measure Level Adjustments Tab'!$A$5:$CL$272,11,FALSE)</f>
        <v>5.4.5</v>
      </c>
      <c r="G81" s="411">
        <f>VLOOKUP($A81,'Measure Level Adjustments Tab'!$A$5:$CL$272,14,FALSE)</f>
        <v>0</v>
      </c>
      <c r="H81" s="663">
        <f>VLOOKUP($A81,'Measure Level Adjustments Tab'!$A$5:$CL$272,54,FALSE)</f>
        <v>1122</v>
      </c>
      <c r="I81" s="663">
        <f>VLOOKUP($A81,'Measure Level Adjustments Tab'!$A$5:$CL$272,55,FALSE)</f>
        <v>1126</v>
      </c>
      <c r="J81" s="663">
        <f>VLOOKUP($A81,'Measure Level Adjustments Tab'!$A$5:$CL$272,56,FALSE)</f>
        <v>1038</v>
      </c>
      <c r="K81" s="663">
        <f>VLOOKUP($A81,'Measure Level Adjustments Tab'!$A$5:$CL$272,57,FALSE)</f>
        <v>1113</v>
      </c>
      <c r="L81" s="411" t="str">
        <f>VLOOKUP($A81,'Measure Level Adjustments Tab'!$A$5:$CL$272,12,FALSE)</f>
        <v>RS-HWE-LFSH-V05-180101</v>
      </c>
      <c r="M81" s="422"/>
      <c r="N81" s="662">
        <v>11.04</v>
      </c>
      <c r="O81" s="662">
        <v>11.04</v>
      </c>
      <c r="P81" s="662">
        <v>11.04</v>
      </c>
      <c r="Q81" s="662">
        <v>11.04</v>
      </c>
      <c r="R81" s="661">
        <f>VLOOKUP($A81,'Measure Level Adjustments Tab'!$A$5:$CL$272,46,FALSE)</f>
        <v>1</v>
      </c>
      <c r="S81" s="661">
        <f>VLOOKUP($A81,'Measure Level Adjustments Tab'!$A$5:$CL$272,47,FALSE)</f>
        <v>1</v>
      </c>
      <c r="T81" s="661">
        <f>VLOOKUP($A81,'Measure Level Adjustments Tab'!$A$5:$CL$272,48,FALSE)</f>
        <v>1</v>
      </c>
      <c r="U81" s="661">
        <f>VLOOKUP($A81,'Measure Level Adjustments Tab'!$A$5:$CL$272,49,FALSE)</f>
        <v>1</v>
      </c>
      <c r="V81" s="418">
        <f t="shared" si="20"/>
        <v>12386.88</v>
      </c>
      <c r="W81" s="418">
        <f t="shared" si="20"/>
        <v>12431.039999999999</v>
      </c>
      <c r="X81" s="418">
        <f t="shared" si="20"/>
        <v>11459.519999999999</v>
      </c>
      <c r="Y81" s="418">
        <f t="shared" si="34"/>
        <v>12287.519999999999</v>
      </c>
      <c r="Z81" s="418">
        <f t="shared" si="21"/>
        <v>48564.959999999992</v>
      </c>
      <c r="AA81" s="410"/>
      <c r="AB81" s="422"/>
      <c r="AC81" s="415">
        <v>11.04</v>
      </c>
      <c r="AD81" s="416"/>
      <c r="AE81" s="414">
        <f t="shared" si="22"/>
        <v>12386.88</v>
      </c>
      <c r="AF81" s="412">
        <f t="shared" si="23"/>
        <v>0</v>
      </c>
      <c r="AG81" s="410"/>
      <c r="AH81" s="422"/>
      <c r="AI81" s="413">
        <v>5.88</v>
      </c>
      <c r="AJ81" s="2669" t="s">
        <v>3516</v>
      </c>
      <c r="AK81" s="414">
        <f t="shared" si="24"/>
        <v>6620.88</v>
      </c>
      <c r="AL81" s="412">
        <f t="shared" si="25"/>
        <v>-5810.1599999999989</v>
      </c>
      <c r="AM81" s="410"/>
      <c r="AN81" s="422"/>
      <c r="AO81" s="413">
        <v>5.82</v>
      </c>
      <c r="AP81" s="2669" t="s">
        <v>304</v>
      </c>
      <c r="AQ81" s="414">
        <f t="shared" si="26"/>
        <v>6041.16</v>
      </c>
      <c r="AR81" s="412">
        <f t="shared" si="27"/>
        <v>-5418.3599999999988</v>
      </c>
      <c r="AS81" s="410"/>
      <c r="AT81" s="422"/>
      <c r="AU81" s="413">
        <f>VLOOKUP($A81,'Measure Level Adjustments Tab'!$A$5:$CL$272,53,FALSE)/U81</f>
        <v>5.82</v>
      </c>
      <c r="AV81" s="2669" t="s">
        <v>304</v>
      </c>
      <c r="AW81" s="414">
        <f t="shared" si="35"/>
        <v>6477.6600000000008</v>
      </c>
      <c r="AX81" s="412">
        <f t="shared" si="28"/>
        <v>-5809.8599999999979</v>
      </c>
      <c r="AY81" s="418">
        <f t="shared" si="29"/>
        <v>12386.88</v>
      </c>
      <c r="AZ81" s="418">
        <f t="shared" si="30"/>
        <v>6620.88</v>
      </c>
      <c r="BA81" s="418">
        <f t="shared" si="31"/>
        <v>6041.16</v>
      </c>
      <c r="BB81" s="418">
        <f t="shared" si="32"/>
        <v>6477.6600000000008</v>
      </c>
      <c r="BC81" s="419">
        <f t="shared" si="33"/>
        <v>31526.579999999998</v>
      </c>
      <c r="BD81" s="410" t="s">
        <v>1271</v>
      </c>
      <c r="BE81" s="423" t="s">
        <v>1272</v>
      </c>
      <c r="BF81" s="421"/>
    </row>
    <row r="82" spans="1:58" s="327" customFormat="1" ht="18" customHeight="1" x14ac:dyDescent="0.35">
      <c r="A82" s="660">
        <v>677</v>
      </c>
      <c r="B82" s="660" t="str">
        <f>VLOOKUP($A82,'Measure Level Adjustments Tab'!$A$5:$CL$272,6,FALSE)</f>
        <v>Income Qualified</v>
      </c>
      <c r="C82" s="659" t="s">
        <v>1933</v>
      </c>
      <c r="D82" s="659" t="s">
        <v>1802</v>
      </c>
      <c r="E82" s="411">
        <f>VLOOKUP($A82,'Measure Level Adjustments Tab'!$A$5:$CL$272,13,FALSE)</f>
        <v>1</v>
      </c>
      <c r="F82" s="411" t="str">
        <f>VLOOKUP($A82,'Measure Level Adjustments Tab'!$A$5:$CL$272,11,FALSE)</f>
        <v>5.4.4</v>
      </c>
      <c r="G82" s="411">
        <f>VLOOKUP($A82,'Measure Level Adjustments Tab'!$A$5:$CL$272,14,FALSE)</f>
        <v>0</v>
      </c>
      <c r="H82" s="663">
        <f>VLOOKUP($A82,'Measure Level Adjustments Tab'!$A$5:$CL$272,54,FALSE)</f>
        <v>1795</v>
      </c>
      <c r="I82" s="663">
        <f>VLOOKUP($A82,'Measure Level Adjustments Tab'!$A$5:$CL$272,55,FALSE)</f>
        <v>1801</v>
      </c>
      <c r="J82" s="663">
        <f>VLOOKUP($A82,'Measure Level Adjustments Tab'!$A$5:$CL$272,56,FALSE)</f>
        <v>1661</v>
      </c>
      <c r="K82" s="663">
        <f>VLOOKUP($A82,'Measure Level Adjustments Tab'!$A$5:$CL$272,57,FALSE)</f>
        <v>1781</v>
      </c>
      <c r="L82" s="411" t="str">
        <f>VLOOKUP($A82,'Measure Level Adjustments Tab'!$A$5:$CL$272,12,FALSE)</f>
        <v>RS-HWE-LFFA-V06-180101</v>
      </c>
      <c r="M82" s="422"/>
      <c r="N82" s="662">
        <v>2.94</v>
      </c>
      <c r="O82" s="662">
        <v>2.94</v>
      </c>
      <c r="P82" s="662">
        <v>2.94</v>
      </c>
      <c r="Q82" s="662">
        <v>2.94</v>
      </c>
      <c r="R82" s="661">
        <f>VLOOKUP($A82,'Measure Level Adjustments Tab'!$A$5:$CL$272,46,FALSE)</f>
        <v>1</v>
      </c>
      <c r="S82" s="661">
        <f>VLOOKUP($A82,'Measure Level Adjustments Tab'!$A$5:$CL$272,47,FALSE)</f>
        <v>1</v>
      </c>
      <c r="T82" s="661">
        <f>VLOOKUP($A82,'Measure Level Adjustments Tab'!$A$5:$CL$272,48,FALSE)</f>
        <v>1</v>
      </c>
      <c r="U82" s="661">
        <f>VLOOKUP($A82,'Measure Level Adjustments Tab'!$A$5:$CL$272,49,FALSE)</f>
        <v>1</v>
      </c>
      <c r="V82" s="418">
        <f t="shared" si="20"/>
        <v>5277.3</v>
      </c>
      <c r="W82" s="418">
        <f t="shared" si="20"/>
        <v>5294.94</v>
      </c>
      <c r="X82" s="418">
        <f t="shared" si="20"/>
        <v>4883.34</v>
      </c>
      <c r="Y82" s="418">
        <f t="shared" si="34"/>
        <v>5236.1400000000003</v>
      </c>
      <c r="Z82" s="418">
        <f t="shared" si="21"/>
        <v>20691.72</v>
      </c>
      <c r="AA82" s="410"/>
      <c r="AB82" s="422"/>
      <c r="AC82" s="415">
        <v>2.94</v>
      </c>
      <c r="AD82" s="416"/>
      <c r="AE82" s="414">
        <f t="shared" si="22"/>
        <v>5277.3</v>
      </c>
      <c r="AF82" s="412">
        <f t="shared" si="23"/>
        <v>0</v>
      </c>
      <c r="AG82" s="410"/>
      <c r="AH82" s="422"/>
      <c r="AI82" s="413">
        <v>4.18</v>
      </c>
      <c r="AJ82" s="2669" t="s">
        <v>3514</v>
      </c>
      <c r="AK82" s="414">
        <f t="shared" si="24"/>
        <v>7528.1799999999994</v>
      </c>
      <c r="AL82" s="412">
        <f t="shared" si="25"/>
        <v>2233.2399999999998</v>
      </c>
      <c r="AM82" s="410"/>
      <c r="AN82" s="422"/>
      <c r="AO82" s="413">
        <v>4.18</v>
      </c>
      <c r="AP82" s="2669" t="s">
        <v>304</v>
      </c>
      <c r="AQ82" s="414">
        <f t="shared" si="26"/>
        <v>6942.98</v>
      </c>
      <c r="AR82" s="412">
        <f t="shared" si="27"/>
        <v>2059.6399999999994</v>
      </c>
      <c r="AS82" s="410"/>
      <c r="AT82" s="422"/>
      <c r="AU82" s="413">
        <f>VLOOKUP($A82,'Measure Level Adjustments Tab'!$A$5:$CL$272,53,FALSE)/U82</f>
        <v>4.18</v>
      </c>
      <c r="AV82" s="2669" t="s">
        <v>304</v>
      </c>
      <c r="AW82" s="414">
        <f t="shared" si="35"/>
        <v>7444.58</v>
      </c>
      <c r="AX82" s="412">
        <f t="shared" si="28"/>
        <v>2208.4399999999996</v>
      </c>
      <c r="AY82" s="418">
        <f t="shared" si="29"/>
        <v>5277.3</v>
      </c>
      <c r="AZ82" s="418">
        <f t="shared" si="30"/>
        <v>7528.1799999999994</v>
      </c>
      <c r="BA82" s="418">
        <f t="shared" si="31"/>
        <v>6942.98</v>
      </c>
      <c r="BB82" s="418">
        <f t="shared" si="32"/>
        <v>7444.58</v>
      </c>
      <c r="BC82" s="419">
        <f t="shared" si="33"/>
        <v>27193.040000000001</v>
      </c>
      <c r="BD82" s="410" t="s">
        <v>1271</v>
      </c>
      <c r="BE82" s="423" t="s">
        <v>1272</v>
      </c>
      <c r="BF82" s="421"/>
    </row>
    <row r="83" spans="1:58" s="327" customFormat="1" ht="18" customHeight="1" x14ac:dyDescent="0.35">
      <c r="A83" s="660">
        <v>637</v>
      </c>
      <c r="B83" s="660" t="str">
        <f>VLOOKUP($A83,'Measure Level Adjustments Tab'!$A$5:$CL$272,6,FALSE)</f>
        <v>Income Qualified</v>
      </c>
      <c r="C83" s="659" t="s">
        <v>1933</v>
      </c>
      <c r="D83" s="659" t="s">
        <v>1807</v>
      </c>
      <c r="E83" s="411">
        <f>VLOOKUP($A83,'Measure Level Adjustments Tab'!$A$5:$CL$272,13,FALSE)</f>
        <v>1</v>
      </c>
      <c r="F83" s="411" t="str">
        <f>VLOOKUP($A83,'Measure Level Adjustments Tab'!$A$5:$CL$272,11,FALSE)</f>
        <v>5.6.1</v>
      </c>
      <c r="G83" s="411">
        <f>VLOOKUP($A83,'Measure Level Adjustments Tab'!$A$5:$CL$272,14,FALSE)</f>
        <v>0</v>
      </c>
      <c r="H83" s="663">
        <f>VLOOKUP($A83,'Measure Level Adjustments Tab'!$A$5:$CL$272,54,FALSE)</f>
        <v>718</v>
      </c>
      <c r="I83" s="663">
        <f>VLOOKUP($A83,'Measure Level Adjustments Tab'!$A$5:$CL$272,55,FALSE)</f>
        <v>720</v>
      </c>
      <c r="J83" s="663">
        <f>VLOOKUP($A83,'Measure Level Adjustments Tab'!$A$5:$CL$272,56,FALSE)</f>
        <v>664</v>
      </c>
      <c r="K83" s="663">
        <f>VLOOKUP($A83,'Measure Level Adjustments Tab'!$A$5:$CL$272,57,FALSE)</f>
        <v>712</v>
      </c>
      <c r="L83" s="411" t="str">
        <f>VLOOKUP($A83,'Measure Level Adjustments Tab'!$A$5:$CL$272,12,FALSE)</f>
        <v>RS-SHL-AIRS-V06-180101</v>
      </c>
      <c r="M83" s="422"/>
      <c r="N83" s="662">
        <v>115.48339534883723</v>
      </c>
      <c r="O83" s="662">
        <v>115.48339534883723</v>
      </c>
      <c r="P83" s="662">
        <v>115.48339534883723</v>
      </c>
      <c r="Q83" s="662">
        <v>115.48339534883723</v>
      </c>
      <c r="R83" s="661">
        <f>VLOOKUP($A83,'Measure Level Adjustments Tab'!$A$5:$CL$272,46,FALSE)</f>
        <v>1</v>
      </c>
      <c r="S83" s="661">
        <f>VLOOKUP($A83,'Measure Level Adjustments Tab'!$A$5:$CL$272,47,FALSE)</f>
        <v>1</v>
      </c>
      <c r="T83" s="661">
        <f>VLOOKUP($A83,'Measure Level Adjustments Tab'!$A$5:$CL$272,48,FALSE)</f>
        <v>1</v>
      </c>
      <c r="U83" s="661">
        <f>VLOOKUP($A83,'Measure Level Adjustments Tab'!$A$5:$CL$272,49,FALSE)</f>
        <v>1</v>
      </c>
      <c r="V83" s="418">
        <f t="shared" si="20"/>
        <v>82917.077860465128</v>
      </c>
      <c r="W83" s="418">
        <f t="shared" si="20"/>
        <v>83148.044651162811</v>
      </c>
      <c r="X83" s="418">
        <f t="shared" si="20"/>
        <v>76680.974511627923</v>
      </c>
      <c r="Y83" s="418">
        <f t="shared" si="34"/>
        <v>82224.177488372108</v>
      </c>
      <c r="Z83" s="418">
        <f t="shared" si="21"/>
        <v>324970.27451162797</v>
      </c>
      <c r="AA83" s="410"/>
      <c r="AB83" s="422"/>
      <c r="AC83" s="415">
        <v>115.48339534883723</v>
      </c>
      <c r="AD83" s="416"/>
      <c r="AE83" s="414">
        <f t="shared" si="22"/>
        <v>82917.077860465128</v>
      </c>
      <c r="AF83" s="412">
        <f t="shared" si="23"/>
        <v>0</v>
      </c>
      <c r="AG83" s="410"/>
      <c r="AH83" s="422"/>
      <c r="AI83" s="413">
        <v>107.9192329534884</v>
      </c>
      <c r="AJ83" s="2669" t="s">
        <v>3533</v>
      </c>
      <c r="AK83" s="414">
        <f t="shared" si="24"/>
        <v>77701.847726511653</v>
      </c>
      <c r="AL83" s="412">
        <f t="shared" si="25"/>
        <v>-5446.196924651158</v>
      </c>
      <c r="AM83" s="410"/>
      <c r="AN83" s="422"/>
      <c r="AO83" s="413">
        <v>118.71115624883724</v>
      </c>
      <c r="AP83" s="2669" t="s">
        <v>3922</v>
      </c>
      <c r="AQ83" s="414">
        <f t="shared" si="26"/>
        <v>78824.207749227935</v>
      </c>
      <c r="AR83" s="412">
        <f t="shared" si="27"/>
        <v>2143.2332376000122</v>
      </c>
      <c r="AS83" s="410"/>
      <c r="AT83" s="422"/>
      <c r="AU83" s="413">
        <f>VLOOKUP($A83,'Measure Level Adjustments Tab'!$A$5:$CL$272,53,FALSE)/U83</f>
        <v>118.71115624883724</v>
      </c>
      <c r="AV83" s="2669" t="s">
        <v>304</v>
      </c>
      <c r="AW83" s="414">
        <f t="shared" si="35"/>
        <v>84522.343249172118</v>
      </c>
      <c r="AX83" s="412">
        <f t="shared" si="28"/>
        <v>2298.1657608000096</v>
      </c>
      <c r="AY83" s="418">
        <f t="shared" si="29"/>
        <v>82917.077860465128</v>
      </c>
      <c r="AZ83" s="418">
        <f t="shared" si="30"/>
        <v>77701.847726511653</v>
      </c>
      <c r="BA83" s="418">
        <f t="shared" si="31"/>
        <v>78824.207749227935</v>
      </c>
      <c r="BB83" s="418">
        <f t="shared" si="32"/>
        <v>84522.343249172118</v>
      </c>
      <c r="BC83" s="419">
        <f t="shared" si="33"/>
        <v>323965.47658537683</v>
      </c>
      <c r="BD83" s="410" t="s">
        <v>1271</v>
      </c>
      <c r="BE83" s="423" t="s">
        <v>1272</v>
      </c>
      <c r="BF83" s="421"/>
    </row>
    <row r="84" spans="1:58" s="327" customFormat="1" ht="18" customHeight="1" x14ac:dyDescent="0.35">
      <c r="A84" s="660">
        <v>693</v>
      </c>
      <c r="B84" s="660" t="str">
        <f>VLOOKUP($A84,'Measure Level Adjustments Tab'!$A$5:$CL$272,6,FALSE)</f>
        <v>Income Qualified</v>
      </c>
      <c r="C84" s="659" t="s">
        <v>1933</v>
      </c>
      <c r="D84" s="659" t="s">
        <v>1808</v>
      </c>
      <c r="E84" s="411">
        <f>VLOOKUP($A84,'Measure Level Adjustments Tab'!$A$5:$CL$272,13,FALSE)</f>
        <v>1</v>
      </c>
      <c r="F84" s="411" t="str">
        <f>VLOOKUP($A84,'Measure Level Adjustments Tab'!$A$5:$CL$272,11,FALSE)</f>
        <v>5.6.4</v>
      </c>
      <c r="G84" s="411">
        <f>VLOOKUP($A84,'Measure Level Adjustments Tab'!$A$5:$CL$272,14,FALSE)</f>
        <v>0</v>
      </c>
      <c r="H84" s="663">
        <f>VLOOKUP($A84,'Measure Level Adjustments Tab'!$A$5:$CL$272,54,FALSE)</f>
        <v>135</v>
      </c>
      <c r="I84" s="663">
        <f>VLOOKUP($A84,'Measure Level Adjustments Tab'!$A$5:$CL$272,55,FALSE)</f>
        <v>135</v>
      </c>
      <c r="J84" s="663">
        <f>VLOOKUP($A84,'Measure Level Adjustments Tab'!$A$5:$CL$272,56,FALSE)</f>
        <v>125</v>
      </c>
      <c r="K84" s="663">
        <f>VLOOKUP($A84,'Measure Level Adjustments Tab'!$A$5:$CL$272,57,FALSE)</f>
        <v>134</v>
      </c>
      <c r="L84" s="411" t="str">
        <f>VLOOKUP($A84,'Measure Level Adjustments Tab'!$A$5:$CL$272,12,FALSE)</f>
        <v>RS-SHL-AINS-V07-180101</v>
      </c>
      <c r="M84" s="422"/>
      <c r="N84" s="662">
        <v>52.704917843226852</v>
      </c>
      <c r="O84" s="662">
        <v>52.704917843226852</v>
      </c>
      <c r="P84" s="662">
        <v>52.704917843226852</v>
      </c>
      <c r="Q84" s="662">
        <v>52.704917843226852</v>
      </c>
      <c r="R84" s="661">
        <f>VLOOKUP($A84,'Measure Level Adjustments Tab'!$A$5:$CL$272,46,FALSE)</f>
        <v>1</v>
      </c>
      <c r="S84" s="661">
        <f>VLOOKUP($A84,'Measure Level Adjustments Tab'!$A$5:$CL$272,47,FALSE)</f>
        <v>1</v>
      </c>
      <c r="T84" s="661">
        <f>VLOOKUP($A84,'Measure Level Adjustments Tab'!$A$5:$CL$272,48,FALSE)</f>
        <v>1</v>
      </c>
      <c r="U84" s="661">
        <f>VLOOKUP($A84,'Measure Level Adjustments Tab'!$A$5:$CL$272,49,FALSE)</f>
        <v>1</v>
      </c>
      <c r="V84" s="418">
        <f t="shared" si="20"/>
        <v>7115.1639088356251</v>
      </c>
      <c r="W84" s="418">
        <f t="shared" si="20"/>
        <v>7115.1639088356251</v>
      </c>
      <c r="X84" s="418">
        <f t="shared" si="20"/>
        <v>6588.1147304033566</v>
      </c>
      <c r="Y84" s="418">
        <f t="shared" si="34"/>
        <v>7062.458990992398</v>
      </c>
      <c r="Z84" s="418">
        <f t="shared" si="21"/>
        <v>27880.901539067003</v>
      </c>
      <c r="AA84" s="410"/>
      <c r="AB84" s="422"/>
      <c r="AC84" s="415">
        <v>52.704917843226852</v>
      </c>
      <c r="AD84" s="416"/>
      <c r="AE84" s="414">
        <f t="shared" si="22"/>
        <v>7115.1639088356251</v>
      </c>
      <c r="AF84" s="412">
        <f t="shared" si="23"/>
        <v>0</v>
      </c>
      <c r="AG84" s="410"/>
      <c r="AH84" s="422"/>
      <c r="AI84" s="413">
        <v>52.704917843226852</v>
      </c>
      <c r="AJ84" s="2669" t="s">
        <v>3536</v>
      </c>
      <c r="AK84" s="414">
        <f t="shared" si="24"/>
        <v>7115.1639088356251</v>
      </c>
      <c r="AL84" s="412">
        <f t="shared" si="25"/>
        <v>0</v>
      </c>
      <c r="AM84" s="410"/>
      <c r="AN84" s="422"/>
      <c r="AO84" s="413">
        <v>52.704917843226852</v>
      </c>
      <c r="AP84" s="2669" t="s">
        <v>304</v>
      </c>
      <c r="AQ84" s="414">
        <f t="shared" si="26"/>
        <v>6588.1147304033566</v>
      </c>
      <c r="AR84" s="412">
        <f t="shared" si="27"/>
        <v>0</v>
      </c>
      <c r="AS84" s="410"/>
      <c r="AT84" s="422"/>
      <c r="AU84" s="413">
        <f>VLOOKUP($A84,'Measure Level Adjustments Tab'!$A$5:$CL$272,53,FALSE)/U84</f>
        <v>52.704917843226852</v>
      </c>
      <c r="AV84" s="2669" t="s">
        <v>304</v>
      </c>
      <c r="AW84" s="414">
        <f t="shared" si="35"/>
        <v>7062.458990992398</v>
      </c>
      <c r="AX84" s="412">
        <f t="shared" si="28"/>
        <v>0</v>
      </c>
      <c r="AY84" s="418">
        <f t="shared" si="29"/>
        <v>7115.1639088356251</v>
      </c>
      <c r="AZ84" s="418">
        <f t="shared" si="30"/>
        <v>7115.1639088356251</v>
      </c>
      <c r="BA84" s="418">
        <f t="shared" si="31"/>
        <v>6588.1147304033566</v>
      </c>
      <c r="BB84" s="418">
        <f t="shared" si="32"/>
        <v>7062.458990992398</v>
      </c>
      <c r="BC84" s="419">
        <f t="shared" si="33"/>
        <v>27880.901539067003</v>
      </c>
      <c r="BD84" s="410" t="s">
        <v>1271</v>
      </c>
      <c r="BE84" s="423" t="s">
        <v>1272</v>
      </c>
      <c r="BF84" s="421"/>
    </row>
    <row r="85" spans="1:58" s="327" customFormat="1" ht="18" customHeight="1" x14ac:dyDescent="0.35">
      <c r="A85" s="660">
        <v>695</v>
      </c>
      <c r="B85" s="660" t="str">
        <f>VLOOKUP($A85,'Measure Level Adjustments Tab'!$A$5:$CL$272,6,FALSE)</f>
        <v>Income Qualified</v>
      </c>
      <c r="C85" s="659" t="s">
        <v>1933</v>
      </c>
      <c r="D85" s="659" t="s">
        <v>1809</v>
      </c>
      <c r="E85" s="411">
        <f>VLOOKUP($A85,'Measure Level Adjustments Tab'!$A$5:$CL$272,13,FALSE)</f>
        <v>1</v>
      </c>
      <c r="F85" s="411" t="str">
        <f>VLOOKUP($A85,'Measure Level Adjustments Tab'!$A$5:$CL$272,11,FALSE)</f>
        <v>5.6.6</v>
      </c>
      <c r="G85" s="411">
        <f>VLOOKUP($A85,'Measure Level Adjustments Tab'!$A$5:$CL$272,14,FALSE)</f>
        <v>0</v>
      </c>
      <c r="H85" s="663">
        <f>VLOOKUP($A85,'Measure Level Adjustments Tab'!$A$5:$CL$272,54,FALSE)</f>
        <v>314</v>
      </c>
      <c r="I85" s="663">
        <f>VLOOKUP($A85,'Measure Level Adjustments Tab'!$A$5:$CL$272,55,FALSE)</f>
        <v>315</v>
      </c>
      <c r="J85" s="663">
        <f>VLOOKUP($A85,'Measure Level Adjustments Tab'!$A$5:$CL$272,56,FALSE)</f>
        <v>291</v>
      </c>
      <c r="K85" s="663">
        <f>VLOOKUP($A85,'Measure Level Adjustments Tab'!$A$5:$CL$272,57,FALSE)</f>
        <v>312</v>
      </c>
      <c r="L85" s="411" t="str">
        <f>VLOOKUP($A85,'Measure Level Adjustments Tab'!$A$5:$CL$272,12,FALSE)</f>
        <v>RS-SHL-AINS-V07-180101</v>
      </c>
      <c r="M85" s="422"/>
      <c r="N85" s="662">
        <v>2.7096845113773766</v>
      </c>
      <c r="O85" s="662">
        <v>2.7096845113773766</v>
      </c>
      <c r="P85" s="662">
        <v>2.7096845113773766</v>
      </c>
      <c r="Q85" s="662">
        <v>2.7096845113773766</v>
      </c>
      <c r="R85" s="661">
        <f>VLOOKUP($A85,'Measure Level Adjustments Tab'!$A$5:$CL$272,46,FALSE)</f>
        <v>1</v>
      </c>
      <c r="S85" s="661">
        <f>VLOOKUP($A85,'Measure Level Adjustments Tab'!$A$5:$CL$272,47,FALSE)</f>
        <v>1</v>
      </c>
      <c r="T85" s="661">
        <f>VLOOKUP($A85,'Measure Level Adjustments Tab'!$A$5:$CL$272,48,FALSE)</f>
        <v>1</v>
      </c>
      <c r="U85" s="661">
        <f>VLOOKUP($A85,'Measure Level Adjustments Tab'!$A$5:$CL$272,49,FALSE)</f>
        <v>1</v>
      </c>
      <c r="V85" s="418">
        <f t="shared" si="20"/>
        <v>850.84093657249628</v>
      </c>
      <c r="W85" s="418">
        <f t="shared" si="20"/>
        <v>853.55062108387369</v>
      </c>
      <c r="X85" s="418">
        <f t="shared" si="20"/>
        <v>788.51819281081657</v>
      </c>
      <c r="Y85" s="418">
        <f t="shared" si="34"/>
        <v>845.42156754974155</v>
      </c>
      <c r="Z85" s="418">
        <f t="shared" si="21"/>
        <v>3338.331318016928</v>
      </c>
      <c r="AA85" s="410"/>
      <c r="AB85" s="422"/>
      <c r="AC85" s="415">
        <v>2.7096845113773766</v>
      </c>
      <c r="AD85" s="416"/>
      <c r="AE85" s="414">
        <f t="shared" si="22"/>
        <v>850.84093657249628</v>
      </c>
      <c r="AF85" s="412">
        <f t="shared" si="23"/>
        <v>0</v>
      </c>
      <c r="AG85" s="410"/>
      <c r="AH85" s="422"/>
      <c r="AI85" s="413">
        <v>2.7096845113773766</v>
      </c>
      <c r="AJ85" s="2669" t="s">
        <v>3543</v>
      </c>
      <c r="AK85" s="414">
        <f t="shared" si="24"/>
        <v>853.55062108387369</v>
      </c>
      <c r="AL85" s="412">
        <f t="shared" si="25"/>
        <v>0</v>
      </c>
      <c r="AM85" s="410"/>
      <c r="AN85" s="422"/>
      <c r="AO85" s="413">
        <v>2.7096845113773766</v>
      </c>
      <c r="AP85" s="2669" t="s">
        <v>304</v>
      </c>
      <c r="AQ85" s="414">
        <f t="shared" si="26"/>
        <v>788.51819281081657</v>
      </c>
      <c r="AR85" s="412">
        <f t="shared" si="27"/>
        <v>0</v>
      </c>
      <c r="AS85" s="410"/>
      <c r="AT85" s="422"/>
      <c r="AU85" s="413">
        <f>VLOOKUP($A85,'Measure Level Adjustments Tab'!$A$5:$CL$272,53,FALSE)/U85</f>
        <v>2.7096845113773766</v>
      </c>
      <c r="AV85" s="2669" t="s">
        <v>304</v>
      </c>
      <c r="AW85" s="414">
        <f t="shared" si="35"/>
        <v>845.42156754974155</v>
      </c>
      <c r="AX85" s="412">
        <f t="shared" si="28"/>
        <v>0</v>
      </c>
      <c r="AY85" s="418">
        <f t="shared" si="29"/>
        <v>850.84093657249628</v>
      </c>
      <c r="AZ85" s="418">
        <f t="shared" si="30"/>
        <v>853.55062108387369</v>
      </c>
      <c r="BA85" s="418">
        <f t="shared" si="31"/>
        <v>788.51819281081657</v>
      </c>
      <c r="BB85" s="418">
        <f t="shared" si="32"/>
        <v>845.42156754974155</v>
      </c>
      <c r="BC85" s="419">
        <f t="shared" si="33"/>
        <v>3338.331318016928</v>
      </c>
      <c r="BD85" s="410" t="s">
        <v>1271</v>
      </c>
      <c r="BE85" s="423" t="s">
        <v>1272</v>
      </c>
      <c r="BF85" s="421"/>
    </row>
    <row r="86" spans="1:58" s="327" customFormat="1" ht="18" customHeight="1" x14ac:dyDescent="0.35">
      <c r="A86" s="660">
        <v>663</v>
      </c>
      <c r="B86" s="660" t="str">
        <f>VLOOKUP($A86,'Measure Level Adjustments Tab'!$A$5:$CL$272,6,FALSE)</f>
        <v>Income Qualified</v>
      </c>
      <c r="C86" s="659" t="s">
        <v>1933</v>
      </c>
      <c r="D86" s="659" t="s">
        <v>1810</v>
      </c>
      <c r="E86" s="411">
        <f>VLOOKUP($A86,'Measure Level Adjustments Tab'!$A$5:$CL$272,13,FALSE)</f>
        <v>1</v>
      </c>
      <c r="F86" s="411" t="str">
        <f>VLOOKUP($A86,'Measure Level Adjustments Tab'!$A$5:$CL$272,11,FALSE)</f>
        <v>5.6.2</v>
      </c>
      <c r="G86" s="411">
        <f>VLOOKUP($A86,'Measure Level Adjustments Tab'!$A$5:$CL$272,14,FALSE)</f>
        <v>0</v>
      </c>
      <c r="H86" s="663">
        <f>VLOOKUP($A86,'Measure Level Adjustments Tab'!$A$5:$CL$272,54,FALSE)</f>
        <v>45</v>
      </c>
      <c r="I86" s="663">
        <f>VLOOKUP($A86,'Measure Level Adjustments Tab'!$A$5:$CL$272,55,FALSE)</f>
        <v>45</v>
      </c>
      <c r="J86" s="663">
        <f>VLOOKUP($A86,'Measure Level Adjustments Tab'!$A$5:$CL$272,56,FALSE)</f>
        <v>42</v>
      </c>
      <c r="K86" s="663">
        <f>VLOOKUP($A86,'Measure Level Adjustments Tab'!$A$5:$CL$272,57,FALSE)</f>
        <v>45</v>
      </c>
      <c r="L86" s="411" t="str">
        <f>VLOOKUP($A86,'Measure Level Adjustments Tab'!$A$5:$CL$272,12,FALSE)</f>
        <v>RS-SHL-BINS-V08-180101</v>
      </c>
      <c r="M86" s="422"/>
      <c r="N86" s="662">
        <v>86.055308345348962</v>
      </c>
      <c r="O86" s="662">
        <v>86.055308345348962</v>
      </c>
      <c r="P86" s="662">
        <v>86.055308345348962</v>
      </c>
      <c r="Q86" s="662">
        <v>86.055308345348962</v>
      </c>
      <c r="R86" s="661">
        <f>VLOOKUP($A86,'Measure Level Adjustments Tab'!$A$5:$CL$272,46,FALSE)</f>
        <v>1</v>
      </c>
      <c r="S86" s="661">
        <f>VLOOKUP($A86,'Measure Level Adjustments Tab'!$A$5:$CL$272,47,FALSE)</f>
        <v>1</v>
      </c>
      <c r="T86" s="661">
        <f>VLOOKUP($A86,'Measure Level Adjustments Tab'!$A$5:$CL$272,48,FALSE)</f>
        <v>1</v>
      </c>
      <c r="U86" s="661">
        <f>VLOOKUP($A86,'Measure Level Adjustments Tab'!$A$5:$CL$272,49,FALSE)</f>
        <v>1</v>
      </c>
      <c r="V86" s="418">
        <f t="shared" si="20"/>
        <v>3872.4888755407032</v>
      </c>
      <c r="W86" s="418">
        <f t="shared" si="20"/>
        <v>3872.4888755407032</v>
      </c>
      <c r="X86" s="418">
        <f t="shared" si="20"/>
        <v>3614.3229505046565</v>
      </c>
      <c r="Y86" s="418">
        <f t="shared" si="34"/>
        <v>3872.4888755407032</v>
      </c>
      <c r="Z86" s="418">
        <f t="shared" si="21"/>
        <v>15231.789577126767</v>
      </c>
      <c r="AA86" s="410"/>
      <c r="AB86" s="422"/>
      <c r="AC86" s="415">
        <v>86.055308345348962</v>
      </c>
      <c r="AD86" s="416"/>
      <c r="AE86" s="414">
        <f t="shared" si="22"/>
        <v>3872.4888755407032</v>
      </c>
      <c r="AF86" s="412">
        <f t="shared" si="23"/>
        <v>0</v>
      </c>
      <c r="AG86" s="410"/>
      <c r="AH86" s="422"/>
      <c r="AI86" s="413">
        <v>11.869697702806754</v>
      </c>
      <c r="AJ86" s="2669" t="s">
        <v>820</v>
      </c>
      <c r="AK86" s="414">
        <f t="shared" si="24"/>
        <v>534.13639662630396</v>
      </c>
      <c r="AL86" s="412">
        <f t="shared" si="25"/>
        <v>-3338.3524789143994</v>
      </c>
      <c r="AM86" s="410"/>
      <c r="AN86" s="422"/>
      <c r="AO86" s="413">
        <v>11.869697702806754</v>
      </c>
      <c r="AP86" s="2669" t="s">
        <v>304</v>
      </c>
      <c r="AQ86" s="414">
        <f t="shared" si="26"/>
        <v>498.52730351788364</v>
      </c>
      <c r="AR86" s="412">
        <f t="shared" si="27"/>
        <v>-3115.7956469867731</v>
      </c>
      <c r="AS86" s="410"/>
      <c r="AT86" s="422"/>
      <c r="AU86" s="413">
        <f>VLOOKUP($A86,'Measure Level Adjustments Tab'!$A$5:$CL$272,53,FALSE)/U86</f>
        <v>11.869697702806754</v>
      </c>
      <c r="AV86" s="2669" t="s">
        <v>304</v>
      </c>
      <c r="AW86" s="414">
        <f t="shared" si="35"/>
        <v>534.13639662630396</v>
      </c>
      <c r="AX86" s="412">
        <f t="shared" si="28"/>
        <v>-3338.3524789143994</v>
      </c>
      <c r="AY86" s="418">
        <f t="shared" si="29"/>
        <v>3872.4888755407032</v>
      </c>
      <c r="AZ86" s="418">
        <f t="shared" si="30"/>
        <v>534.13639662630396</v>
      </c>
      <c r="BA86" s="418">
        <f t="shared" si="31"/>
        <v>498.52730351788364</v>
      </c>
      <c r="BB86" s="418">
        <f t="shared" si="32"/>
        <v>534.13639662630396</v>
      </c>
      <c r="BC86" s="419">
        <f t="shared" si="33"/>
        <v>5439.2889723111948</v>
      </c>
      <c r="BD86" s="410" t="s">
        <v>1271</v>
      </c>
      <c r="BE86" s="423" t="s">
        <v>1272</v>
      </c>
      <c r="BF86" s="421"/>
    </row>
    <row r="87" spans="1:58" s="327" customFormat="1" ht="18" customHeight="1" x14ac:dyDescent="0.35">
      <c r="A87" s="660">
        <v>644</v>
      </c>
      <c r="B87" s="660" t="str">
        <f>VLOOKUP($A87,'Measure Level Adjustments Tab'!$A$5:$CL$272,6,FALSE)</f>
        <v>Income Qualified</v>
      </c>
      <c r="C87" s="659" t="s">
        <v>1933</v>
      </c>
      <c r="D87" s="659" t="s">
        <v>1070</v>
      </c>
      <c r="E87" s="411">
        <f>VLOOKUP($A87,'Measure Level Adjustments Tab'!$A$5:$CL$272,13,FALSE)</f>
        <v>1</v>
      </c>
      <c r="F87" s="411" t="str">
        <f>VLOOKUP($A87,'Measure Level Adjustments Tab'!$A$5:$CL$272,11,FALSE)</f>
        <v>5.3.6</v>
      </c>
      <c r="G87" s="411">
        <f>VLOOKUP($A87,'Measure Level Adjustments Tab'!$A$5:$CL$272,14,FALSE)</f>
        <v>0</v>
      </c>
      <c r="H87" s="663">
        <f>VLOOKUP($A87,'Measure Level Adjustments Tab'!$A$5:$CL$272,54,FALSE)</f>
        <v>3</v>
      </c>
      <c r="I87" s="663">
        <f>VLOOKUP($A87,'Measure Level Adjustments Tab'!$A$5:$CL$272,55,FALSE)</f>
        <v>3</v>
      </c>
      <c r="J87" s="663">
        <f>VLOOKUP($A87,'Measure Level Adjustments Tab'!$A$5:$CL$272,56,FALSE)</f>
        <v>3</v>
      </c>
      <c r="K87" s="663">
        <f>VLOOKUP($A87,'Measure Level Adjustments Tab'!$A$5:$CL$272,57,FALSE)</f>
        <v>3</v>
      </c>
      <c r="L87" s="411" t="str">
        <f>VLOOKUP($A87,'Measure Level Adjustments Tab'!$A$5:$CL$272,12,FALSE)</f>
        <v>RS-HVC-GHEB-V06-180101</v>
      </c>
      <c r="M87" s="422"/>
      <c r="N87" s="662">
        <v>144.38</v>
      </c>
      <c r="O87" s="662">
        <v>144.38</v>
      </c>
      <c r="P87" s="662">
        <v>144.38</v>
      </c>
      <c r="Q87" s="662">
        <v>144.38</v>
      </c>
      <c r="R87" s="661">
        <f>VLOOKUP($A87,'Measure Level Adjustments Tab'!$A$5:$CL$272,46,FALSE)</f>
        <v>1</v>
      </c>
      <c r="S87" s="661">
        <f>VLOOKUP($A87,'Measure Level Adjustments Tab'!$A$5:$CL$272,47,FALSE)</f>
        <v>1</v>
      </c>
      <c r="T87" s="661">
        <f>VLOOKUP($A87,'Measure Level Adjustments Tab'!$A$5:$CL$272,48,FALSE)</f>
        <v>1</v>
      </c>
      <c r="U87" s="661">
        <f>VLOOKUP($A87,'Measure Level Adjustments Tab'!$A$5:$CL$272,49,FALSE)</f>
        <v>1</v>
      </c>
      <c r="V87" s="418">
        <f t="shared" si="20"/>
        <v>433.14</v>
      </c>
      <c r="W87" s="418">
        <f t="shared" si="20"/>
        <v>433.14</v>
      </c>
      <c r="X87" s="418">
        <f t="shared" si="20"/>
        <v>433.14</v>
      </c>
      <c r="Y87" s="418">
        <f t="shared" si="34"/>
        <v>433.14</v>
      </c>
      <c r="Z87" s="418">
        <f t="shared" si="21"/>
        <v>1732.56</v>
      </c>
      <c r="AA87" s="410"/>
      <c r="AB87" s="422"/>
      <c r="AC87" s="415">
        <v>144.38</v>
      </c>
      <c r="AD87" s="416"/>
      <c r="AE87" s="414">
        <f t="shared" si="22"/>
        <v>433.14</v>
      </c>
      <c r="AF87" s="412">
        <f t="shared" si="23"/>
        <v>0</v>
      </c>
      <c r="AG87" s="410"/>
      <c r="AH87" s="422"/>
      <c r="AI87" s="413">
        <v>107.05</v>
      </c>
      <c r="AJ87" s="2669" t="s">
        <v>3499</v>
      </c>
      <c r="AK87" s="414">
        <f t="shared" si="24"/>
        <v>321.14999999999998</v>
      </c>
      <c r="AL87" s="412">
        <f t="shared" si="25"/>
        <v>-111.99000000000001</v>
      </c>
      <c r="AM87" s="410"/>
      <c r="AN87" s="422"/>
      <c r="AO87" s="413">
        <v>107.05</v>
      </c>
      <c r="AP87" s="2669" t="s">
        <v>304</v>
      </c>
      <c r="AQ87" s="414">
        <f t="shared" si="26"/>
        <v>321.14999999999998</v>
      </c>
      <c r="AR87" s="412">
        <f t="shared" si="27"/>
        <v>-111.99000000000001</v>
      </c>
      <c r="AS87" s="410"/>
      <c r="AT87" s="422"/>
      <c r="AU87" s="413">
        <f>VLOOKUP($A87,'Measure Level Adjustments Tab'!$A$5:$CL$272,53,FALSE)/U87</f>
        <v>107.05</v>
      </c>
      <c r="AV87" s="2669" t="s">
        <v>304</v>
      </c>
      <c r="AW87" s="414">
        <f t="shared" si="35"/>
        <v>321.14999999999998</v>
      </c>
      <c r="AX87" s="412">
        <f t="shared" si="28"/>
        <v>-111.99000000000001</v>
      </c>
      <c r="AY87" s="418">
        <f t="shared" si="29"/>
        <v>433.14</v>
      </c>
      <c r="AZ87" s="418">
        <f t="shared" si="30"/>
        <v>321.14999999999998</v>
      </c>
      <c r="BA87" s="418">
        <f t="shared" si="31"/>
        <v>321.14999999999998</v>
      </c>
      <c r="BB87" s="418">
        <f t="shared" si="32"/>
        <v>321.14999999999998</v>
      </c>
      <c r="BC87" s="419">
        <f t="shared" si="33"/>
        <v>1396.5900000000001</v>
      </c>
      <c r="BD87" s="410" t="s">
        <v>1271</v>
      </c>
      <c r="BE87" s="423" t="s">
        <v>1272</v>
      </c>
      <c r="BF87" s="421"/>
    </row>
    <row r="88" spans="1:58" s="327" customFormat="1" ht="18" customHeight="1" x14ac:dyDescent="0.35">
      <c r="A88" s="660">
        <v>691</v>
      </c>
      <c r="B88" s="660" t="str">
        <f>VLOOKUP($A88,'Measure Level Adjustments Tab'!$A$5:$CL$272,6,FALSE)</f>
        <v>Income Qualified</v>
      </c>
      <c r="C88" s="659" t="s">
        <v>1933</v>
      </c>
      <c r="D88" s="659" t="s">
        <v>1853</v>
      </c>
      <c r="E88" s="411">
        <f>VLOOKUP($A88,'Measure Level Adjustments Tab'!$A$5:$CL$272,13,FALSE)</f>
        <v>1</v>
      </c>
      <c r="F88" s="411" t="str">
        <f>VLOOKUP($A88,'Measure Level Adjustments Tab'!$A$5:$CL$272,11,FALSE)</f>
        <v>5.3.11</v>
      </c>
      <c r="G88" s="411">
        <f>VLOOKUP($A88,'Measure Level Adjustments Tab'!$A$5:$CL$272,14,FALSE)</f>
        <v>0</v>
      </c>
      <c r="H88" s="663">
        <f>VLOOKUP($A88,'Measure Level Adjustments Tab'!$A$5:$CL$272,54,FALSE)</f>
        <v>1170.54</v>
      </c>
      <c r="I88" s="663">
        <f>VLOOKUP($A88,'Measure Level Adjustments Tab'!$A$5:$CL$272,55,FALSE)</f>
        <v>1174.635</v>
      </c>
      <c r="J88" s="663">
        <f>VLOOKUP($A88,'Measure Level Adjustments Tab'!$A$5:$CL$272,56,FALSE)</f>
        <v>1082.97</v>
      </c>
      <c r="K88" s="663">
        <f>VLOOKUP($A88,'Measure Level Adjustments Tab'!$A$5:$CL$272,57,FALSE)</f>
        <v>580.84220249999998</v>
      </c>
      <c r="L88" s="411" t="str">
        <f>VLOOKUP($A88,'Measure Level Adjustments Tab'!$A$5:$CL$272,12,FALSE)</f>
        <v>RS-HVC-PROG-V04-180101</v>
      </c>
      <c r="M88" s="422"/>
      <c r="N88" s="662">
        <v>53.381999999999998</v>
      </c>
      <c r="O88" s="662">
        <v>53.381999999999998</v>
      </c>
      <c r="P88" s="662">
        <v>53.381999999999998</v>
      </c>
      <c r="Q88" s="662">
        <v>53.381999999999998</v>
      </c>
      <c r="R88" s="661">
        <f>VLOOKUP($A88,'Measure Level Adjustments Tab'!$A$5:$CL$272,46,FALSE)</f>
        <v>1</v>
      </c>
      <c r="S88" s="661">
        <f>VLOOKUP($A88,'Measure Level Adjustments Tab'!$A$5:$CL$272,47,FALSE)</f>
        <v>1</v>
      </c>
      <c r="T88" s="661">
        <f>VLOOKUP($A88,'Measure Level Adjustments Tab'!$A$5:$CL$272,48,FALSE)</f>
        <v>1</v>
      </c>
      <c r="U88" s="661">
        <f>VLOOKUP($A88,'Measure Level Adjustments Tab'!$A$5:$CL$272,49,FALSE)</f>
        <v>1</v>
      </c>
      <c r="V88" s="418">
        <f t="shared" si="20"/>
        <v>62485.766279999996</v>
      </c>
      <c r="W88" s="418">
        <f t="shared" si="20"/>
        <v>62704.365569999994</v>
      </c>
      <c r="X88" s="418">
        <f t="shared" si="20"/>
        <v>57811.10454</v>
      </c>
      <c r="Y88" s="418">
        <f t="shared" si="34"/>
        <v>31006.518453854998</v>
      </c>
      <c r="Z88" s="418">
        <f t="shared" si="21"/>
        <v>214007.75484385499</v>
      </c>
      <c r="AA88" s="410"/>
      <c r="AB88" s="422"/>
      <c r="AC88" s="415">
        <v>53.381999999999998</v>
      </c>
      <c r="AD88" s="416"/>
      <c r="AE88" s="414">
        <f t="shared" si="22"/>
        <v>62485.766279999996</v>
      </c>
      <c r="AF88" s="412">
        <f t="shared" si="23"/>
        <v>0</v>
      </c>
      <c r="AG88" s="410"/>
      <c r="AH88" s="422"/>
      <c r="AI88" s="413">
        <v>53.381999999999998</v>
      </c>
      <c r="AJ88" s="2669" t="s">
        <v>3542</v>
      </c>
      <c r="AK88" s="414">
        <f t="shared" si="24"/>
        <v>62704.365569999994</v>
      </c>
      <c r="AL88" s="412">
        <f t="shared" si="25"/>
        <v>0</v>
      </c>
      <c r="AM88" s="410"/>
      <c r="AN88" s="422"/>
      <c r="AO88" s="413">
        <v>53.381999999999998</v>
      </c>
      <c r="AP88" s="2669" t="s">
        <v>304</v>
      </c>
      <c r="AQ88" s="414">
        <f t="shared" si="26"/>
        <v>57811.10454</v>
      </c>
      <c r="AR88" s="412">
        <f t="shared" si="27"/>
        <v>0</v>
      </c>
      <c r="AS88" s="410"/>
      <c r="AT88" s="422"/>
      <c r="AU88" s="413">
        <f>VLOOKUP($A88,'Measure Level Adjustments Tab'!$A$5:$CL$272,53,FALSE)/U88</f>
        <v>53.381999999999998</v>
      </c>
      <c r="AV88" s="2669" t="s">
        <v>304</v>
      </c>
      <c r="AW88" s="414">
        <f t="shared" si="35"/>
        <v>31006.518453854998</v>
      </c>
      <c r="AX88" s="412">
        <f t="shared" si="28"/>
        <v>0</v>
      </c>
      <c r="AY88" s="418">
        <f t="shared" si="29"/>
        <v>62485.766279999996</v>
      </c>
      <c r="AZ88" s="418">
        <f t="shared" si="30"/>
        <v>62704.365569999994</v>
      </c>
      <c r="BA88" s="418">
        <f t="shared" si="31"/>
        <v>57811.10454</v>
      </c>
      <c r="BB88" s="418">
        <f t="shared" si="32"/>
        <v>31006.518453854998</v>
      </c>
      <c r="BC88" s="419">
        <f t="shared" si="33"/>
        <v>214007.75484385499</v>
      </c>
      <c r="BD88" s="410" t="s">
        <v>1271</v>
      </c>
      <c r="BE88" s="423" t="s">
        <v>1272</v>
      </c>
      <c r="BF88" s="421"/>
    </row>
    <row r="89" spans="1:58" s="327" customFormat="1" ht="18" customHeight="1" x14ac:dyDescent="0.35">
      <c r="A89" s="660">
        <v>669</v>
      </c>
      <c r="B89" s="660" t="str">
        <f>VLOOKUP($A89,'Measure Level Adjustments Tab'!$A$5:$CL$272,6,FALSE)</f>
        <v>Income Qualified</v>
      </c>
      <c r="C89" s="659" t="s">
        <v>1933</v>
      </c>
      <c r="D89" s="659" t="s">
        <v>1785</v>
      </c>
      <c r="E89" s="411">
        <f>VLOOKUP($A89,'Measure Level Adjustments Tab'!$A$5:$CL$272,13,FALSE)</f>
        <v>1</v>
      </c>
      <c r="F89" s="411" t="str">
        <f>VLOOKUP($A89,'Measure Level Adjustments Tab'!$A$5:$CL$272,11,FALSE)</f>
        <v>5.3.4</v>
      </c>
      <c r="G89" s="411">
        <f>VLOOKUP($A89,'Measure Level Adjustments Tab'!$A$5:$CL$272,14,FALSE)</f>
        <v>0</v>
      </c>
      <c r="H89" s="663">
        <f>VLOOKUP($A89,'Measure Level Adjustments Tab'!$A$5:$CL$272,54,FALSE)</f>
        <v>179</v>
      </c>
      <c r="I89" s="663">
        <f>VLOOKUP($A89,'Measure Level Adjustments Tab'!$A$5:$CL$272,55,FALSE)</f>
        <v>180</v>
      </c>
      <c r="J89" s="663">
        <f>VLOOKUP($A89,'Measure Level Adjustments Tab'!$A$5:$CL$272,56,FALSE)</f>
        <v>166</v>
      </c>
      <c r="K89" s="663">
        <f>VLOOKUP($A89,'Measure Level Adjustments Tab'!$A$5:$CL$272,57,FALSE)</f>
        <v>178</v>
      </c>
      <c r="L89" s="411" t="str">
        <f>VLOOKUP($A89,'Measure Level Adjustments Tab'!$A$5:$CL$272,12,FALSE)</f>
        <v>RS-HVC-DINS-V06-160601</v>
      </c>
      <c r="M89" s="422"/>
      <c r="N89" s="662">
        <v>183.45506482091847</v>
      </c>
      <c r="O89" s="662">
        <v>183.45506482091847</v>
      </c>
      <c r="P89" s="662">
        <v>183.45506482091847</v>
      </c>
      <c r="Q89" s="662">
        <v>183.45506482091847</v>
      </c>
      <c r="R89" s="661">
        <f>VLOOKUP($A89,'Measure Level Adjustments Tab'!$A$5:$CL$272,46,FALSE)</f>
        <v>1</v>
      </c>
      <c r="S89" s="661">
        <f>VLOOKUP($A89,'Measure Level Adjustments Tab'!$A$5:$CL$272,47,FALSE)</f>
        <v>1</v>
      </c>
      <c r="T89" s="661">
        <f>VLOOKUP($A89,'Measure Level Adjustments Tab'!$A$5:$CL$272,48,FALSE)</f>
        <v>1</v>
      </c>
      <c r="U89" s="661">
        <f>VLOOKUP($A89,'Measure Level Adjustments Tab'!$A$5:$CL$272,49,FALSE)</f>
        <v>1</v>
      </c>
      <c r="V89" s="418">
        <f t="shared" si="20"/>
        <v>32838.456602944403</v>
      </c>
      <c r="W89" s="418">
        <f t="shared" si="20"/>
        <v>33021.911667765322</v>
      </c>
      <c r="X89" s="418">
        <f t="shared" si="20"/>
        <v>30453.540760272466</v>
      </c>
      <c r="Y89" s="418">
        <f t="shared" si="34"/>
        <v>32655.001538123488</v>
      </c>
      <c r="Z89" s="418">
        <f t="shared" si="21"/>
        <v>128968.91056910569</v>
      </c>
      <c r="AA89" s="410"/>
      <c r="AB89" s="422"/>
      <c r="AC89" s="415">
        <v>183.45506482091847</v>
      </c>
      <c r="AD89" s="416"/>
      <c r="AE89" s="414">
        <f t="shared" si="22"/>
        <v>32838.456602944403</v>
      </c>
      <c r="AF89" s="412">
        <f t="shared" si="23"/>
        <v>0</v>
      </c>
      <c r="AG89" s="410"/>
      <c r="AH89" s="422"/>
      <c r="AI89" s="413">
        <v>183.45506482091847</v>
      </c>
      <c r="AJ89" s="2669" t="s">
        <v>820</v>
      </c>
      <c r="AK89" s="414">
        <f t="shared" si="24"/>
        <v>33021.911667765322</v>
      </c>
      <c r="AL89" s="412">
        <f t="shared" si="25"/>
        <v>0</v>
      </c>
      <c r="AM89" s="410"/>
      <c r="AN89" s="422"/>
      <c r="AO89" s="413">
        <v>183.45506482091847</v>
      </c>
      <c r="AP89" s="2669" t="s">
        <v>304</v>
      </c>
      <c r="AQ89" s="414">
        <f t="shared" si="26"/>
        <v>30453.540760272466</v>
      </c>
      <c r="AR89" s="412">
        <f t="shared" si="27"/>
        <v>0</v>
      </c>
      <c r="AS89" s="410"/>
      <c r="AT89" s="422"/>
      <c r="AU89" s="413">
        <f>VLOOKUP($A89,'Measure Level Adjustments Tab'!$A$5:$CL$272,53,FALSE)/U89</f>
        <v>183.45506482091847</v>
      </c>
      <c r="AV89" s="2669" t="s">
        <v>304</v>
      </c>
      <c r="AW89" s="414">
        <f t="shared" si="35"/>
        <v>32655.001538123488</v>
      </c>
      <c r="AX89" s="412">
        <f t="shared" si="28"/>
        <v>0</v>
      </c>
      <c r="AY89" s="418">
        <f t="shared" si="29"/>
        <v>32838.456602944403</v>
      </c>
      <c r="AZ89" s="418">
        <f t="shared" si="30"/>
        <v>33021.911667765322</v>
      </c>
      <c r="BA89" s="418">
        <f t="shared" si="31"/>
        <v>30453.540760272466</v>
      </c>
      <c r="BB89" s="418">
        <f t="shared" si="32"/>
        <v>32655.001538123488</v>
      </c>
      <c r="BC89" s="419">
        <f t="shared" si="33"/>
        <v>128968.91056910569</v>
      </c>
      <c r="BD89" s="410" t="s">
        <v>1271</v>
      </c>
      <c r="BE89" s="423" t="s">
        <v>1272</v>
      </c>
      <c r="BF89" s="421"/>
    </row>
    <row r="90" spans="1:58" s="327" customFormat="1" ht="18" customHeight="1" x14ac:dyDescent="0.35">
      <c r="A90" s="660">
        <v>671</v>
      </c>
      <c r="B90" s="660" t="str">
        <f>VLOOKUP($A90,'Measure Level Adjustments Tab'!$A$5:$CL$272,6,FALSE)</f>
        <v>Income Qualified</v>
      </c>
      <c r="C90" s="659" t="s">
        <v>1933</v>
      </c>
      <c r="D90" s="659" t="s">
        <v>1786</v>
      </c>
      <c r="E90" s="411">
        <f>VLOOKUP($A90,'Measure Level Adjustments Tab'!$A$5:$CL$272,13,FALSE)</f>
        <v>1</v>
      </c>
      <c r="F90" s="411" t="str">
        <f>VLOOKUP($A90,'Measure Level Adjustments Tab'!$A$5:$CL$272,11,FALSE)</f>
        <v>5.3.4</v>
      </c>
      <c r="G90" s="411">
        <f>VLOOKUP($A90,'Measure Level Adjustments Tab'!$A$5:$CL$272,14,FALSE)</f>
        <v>0</v>
      </c>
      <c r="H90" s="663">
        <f>VLOOKUP($A90,'Measure Level Adjustments Tab'!$A$5:$CL$272,54,FALSE)</f>
        <v>179</v>
      </c>
      <c r="I90" s="663">
        <f>VLOOKUP($A90,'Measure Level Adjustments Tab'!$A$5:$CL$272,55,FALSE)</f>
        <v>180</v>
      </c>
      <c r="J90" s="663">
        <f>VLOOKUP($A90,'Measure Level Adjustments Tab'!$A$5:$CL$272,56,FALSE)</f>
        <v>166</v>
      </c>
      <c r="K90" s="663">
        <f>VLOOKUP($A90,'Measure Level Adjustments Tab'!$A$5:$CL$272,57,FALSE)</f>
        <v>178</v>
      </c>
      <c r="L90" s="411" t="str">
        <f>VLOOKUP($A90,'Measure Level Adjustments Tab'!$A$5:$CL$272,12,FALSE)</f>
        <v>RS-HVC-DINS-V06-160601</v>
      </c>
      <c r="M90" s="422"/>
      <c r="N90" s="662">
        <v>183.45506482091847</v>
      </c>
      <c r="O90" s="662">
        <v>183.45506482091847</v>
      </c>
      <c r="P90" s="662">
        <v>183.45506482091847</v>
      </c>
      <c r="Q90" s="662">
        <v>183.45506482091847</v>
      </c>
      <c r="R90" s="661">
        <f>VLOOKUP($A90,'Measure Level Adjustments Tab'!$A$5:$CL$272,46,FALSE)</f>
        <v>1</v>
      </c>
      <c r="S90" s="661">
        <f>VLOOKUP($A90,'Measure Level Adjustments Tab'!$A$5:$CL$272,47,FALSE)</f>
        <v>1</v>
      </c>
      <c r="T90" s="661">
        <f>VLOOKUP($A90,'Measure Level Adjustments Tab'!$A$5:$CL$272,48,FALSE)</f>
        <v>1</v>
      </c>
      <c r="U90" s="661">
        <f>VLOOKUP($A90,'Measure Level Adjustments Tab'!$A$5:$CL$272,49,FALSE)</f>
        <v>1</v>
      </c>
      <c r="V90" s="418">
        <f t="shared" si="20"/>
        <v>32838.456602944403</v>
      </c>
      <c r="W90" s="418">
        <f t="shared" si="20"/>
        <v>33021.911667765322</v>
      </c>
      <c r="X90" s="418">
        <f t="shared" si="20"/>
        <v>30453.540760272466</v>
      </c>
      <c r="Y90" s="418">
        <f t="shared" si="34"/>
        <v>32655.001538123488</v>
      </c>
      <c r="Z90" s="418">
        <f t="shared" si="21"/>
        <v>128968.91056910569</v>
      </c>
      <c r="AA90" s="410"/>
      <c r="AB90" s="422"/>
      <c r="AC90" s="415">
        <v>183.45506482091847</v>
      </c>
      <c r="AD90" s="416"/>
      <c r="AE90" s="414">
        <f t="shared" si="22"/>
        <v>32838.456602944403</v>
      </c>
      <c r="AF90" s="412">
        <f t="shared" si="23"/>
        <v>0</v>
      </c>
      <c r="AG90" s="410"/>
      <c r="AH90" s="422"/>
      <c r="AI90" s="413">
        <v>183.45506482091847</v>
      </c>
      <c r="AJ90" s="2669" t="s">
        <v>820</v>
      </c>
      <c r="AK90" s="414">
        <f t="shared" si="24"/>
        <v>33021.911667765322</v>
      </c>
      <c r="AL90" s="412">
        <f t="shared" si="25"/>
        <v>0</v>
      </c>
      <c r="AM90" s="410"/>
      <c r="AN90" s="422"/>
      <c r="AO90" s="413">
        <v>183.45506482091847</v>
      </c>
      <c r="AP90" s="2669" t="s">
        <v>304</v>
      </c>
      <c r="AQ90" s="414">
        <f t="shared" si="26"/>
        <v>30453.540760272466</v>
      </c>
      <c r="AR90" s="412">
        <f t="shared" si="27"/>
        <v>0</v>
      </c>
      <c r="AS90" s="410"/>
      <c r="AT90" s="422"/>
      <c r="AU90" s="413">
        <f>VLOOKUP($A90,'Measure Level Adjustments Tab'!$A$5:$CL$272,53,FALSE)/U90</f>
        <v>183.45506482091847</v>
      </c>
      <c r="AV90" s="2669" t="s">
        <v>304</v>
      </c>
      <c r="AW90" s="414">
        <f t="shared" si="35"/>
        <v>32655.001538123488</v>
      </c>
      <c r="AX90" s="412">
        <f t="shared" si="28"/>
        <v>0</v>
      </c>
      <c r="AY90" s="418">
        <f t="shared" si="29"/>
        <v>32838.456602944403</v>
      </c>
      <c r="AZ90" s="418">
        <f t="shared" si="30"/>
        <v>33021.911667765322</v>
      </c>
      <c r="BA90" s="418">
        <f t="shared" si="31"/>
        <v>30453.540760272466</v>
      </c>
      <c r="BB90" s="418">
        <f t="shared" si="32"/>
        <v>32655.001538123488</v>
      </c>
      <c r="BC90" s="419">
        <f t="shared" si="33"/>
        <v>128968.91056910569</v>
      </c>
      <c r="BD90" s="410" t="s">
        <v>1271</v>
      </c>
      <c r="BE90" s="423" t="s">
        <v>1272</v>
      </c>
      <c r="BF90" s="421"/>
    </row>
    <row r="91" spans="1:58" s="327" customFormat="1" ht="18" customHeight="1" x14ac:dyDescent="0.35">
      <c r="A91" s="660">
        <v>634</v>
      </c>
      <c r="B91" s="660" t="str">
        <f>VLOOKUP($A91,'Measure Level Adjustments Tab'!$A$5:$CL$272,6,FALSE)</f>
        <v>Income Qualified</v>
      </c>
      <c r="C91" s="659" t="s">
        <v>1933</v>
      </c>
      <c r="D91" s="659" t="s">
        <v>1855</v>
      </c>
      <c r="E91" s="411">
        <f>VLOOKUP($A91,'Measure Level Adjustments Tab'!$A$5:$CL$272,13,FALSE)</f>
        <v>1</v>
      </c>
      <c r="F91" s="411" t="str">
        <f>VLOOKUP($A91,'Measure Level Adjustments Tab'!$A$5:$CL$272,11,FALSE)</f>
        <v>5.3.7</v>
      </c>
      <c r="G91" s="411">
        <f>VLOOKUP($A91,'Measure Level Adjustments Tab'!$A$5:$CL$272,14,FALSE)</f>
        <v>0</v>
      </c>
      <c r="H91" s="663">
        <f>VLOOKUP($A91,'Measure Level Adjustments Tab'!$A$5:$CL$272,54,FALSE)</f>
        <v>585.27</v>
      </c>
      <c r="I91" s="663">
        <f>VLOOKUP($A91,'Measure Level Adjustments Tab'!$A$5:$CL$272,55,FALSE)</f>
        <v>587.3175</v>
      </c>
      <c r="J91" s="663">
        <f>VLOOKUP($A91,'Measure Level Adjustments Tab'!$A$5:$CL$272,56,FALSE)</f>
        <v>541.48500000000001</v>
      </c>
      <c r="K91" s="663">
        <f>VLOOKUP($A91,'Measure Level Adjustments Tab'!$A$5:$CL$272,57,FALSE)</f>
        <v>580.84220249999998</v>
      </c>
      <c r="L91" s="411" t="str">
        <f>VLOOKUP($A91,'Measure Level Adjustments Tab'!$A$5:$CL$272,12,FALSE)</f>
        <v>RS-HVC-GHEF-V07-180101</v>
      </c>
      <c r="M91" s="422"/>
      <c r="N91" s="662">
        <v>140.92105263157899</v>
      </c>
      <c r="O91" s="662">
        <v>140.92105263157899</v>
      </c>
      <c r="P91" s="662">
        <v>140.92105263157899</v>
      </c>
      <c r="Q91" s="662">
        <v>140.92105263157899</v>
      </c>
      <c r="R91" s="661">
        <f>VLOOKUP($A91,'Measure Level Adjustments Tab'!$A$5:$CL$272,46,FALSE)</f>
        <v>1</v>
      </c>
      <c r="S91" s="661">
        <f>VLOOKUP($A91,'Measure Level Adjustments Tab'!$A$5:$CL$272,47,FALSE)</f>
        <v>1</v>
      </c>
      <c r="T91" s="661">
        <f>VLOOKUP($A91,'Measure Level Adjustments Tab'!$A$5:$CL$272,48,FALSE)</f>
        <v>1</v>
      </c>
      <c r="U91" s="661">
        <f>VLOOKUP($A91,'Measure Level Adjustments Tab'!$A$5:$CL$272,49,FALSE)</f>
        <v>1</v>
      </c>
      <c r="V91" s="418">
        <f t="shared" si="20"/>
        <v>82476.864473684225</v>
      </c>
      <c r="W91" s="418">
        <f t="shared" si="20"/>
        <v>82765.400328947391</v>
      </c>
      <c r="X91" s="418">
        <f t="shared" si="20"/>
        <v>76306.636184210554</v>
      </c>
      <c r="Y91" s="418">
        <f t="shared" si="34"/>
        <v>81852.894589144751</v>
      </c>
      <c r="Z91" s="418">
        <f t="shared" si="21"/>
        <v>323401.79557598691</v>
      </c>
      <c r="AA91" s="410"/>
      <c r="AB91" s="422"/>
      <c r="AC91" s="415">
        <v>140.92105263157899</v>
      </c>
      <c r="AD91" s="416"/>
      <c r="AE91" s="414">
        <f t="shared" si="22"/>
        <v>82476.864473684225</v>
      </c>
      <c r="AF91" s="412">
        <f t="shared" si="23"/>
        <v>0</v>
      </c>
      <c r="AG91" s="410"/>
      <c r="AH91" s="422"/>
      <c r="AI91" s="413">
        <v>133.97435897435881</v>
      </c>
      <c r="AJ91" s="2669" t="s">
        <v>3499</v>
      </c>
      <c r="AK91" s="414">
        <f t="shared" si="24"/>
        <v>78685.485576922976</v>
      </c>
      <c r="AL91" s="412">
        <f t="shared" si="25"/>
        <v>-4079.9147520244151</v>
      </c>
      <c r="AM91" s="410"/>
      <c r="AN91" s="422"/>
      <c r="AO91" s="413">
        <v>133.97435897435881</v>
      </c>
      <c r="AP91" s="2669" t="s">
        <v>304</v>
      </c>
      <c r="AQ91" s="414">
        <f t="shared" si="26"/>
        <v>72545.105769230679</v>
      </c>
      <c r="AR91" s="412">
        <f t="shared" si="27"/>
        <v>-3761.5304149798758</v>
      </c>
      <c r="AS91" s="410"/>
      <c r="AT91" s="422"/>
      <c r="AU91" s="413">
        <f>VLOOKUP($A91,'Measure Level Adjustments Tab'!$A$5:$CL$272,53,FALSE)/U91</f>
        <v>149.11346153846137</v>
      </c>
      <c r="AV91" s="2669" t="s">
        <v>4387</v>
      </c>
      <c r="AW91" s="414">
        <f t="shared" si="35"/>
        <v>86611.391422398941</v>
      </c>
      <c r="AX91" s="412">
        <f t="shared" si="28"/>
        <v>4758.4968332541903</v>
      </c>
      <c r="AY91" s="418">
        <f t="shared" si="29"/>
        <v>82476.864473684225</v>
      </c>
      <c r="AZ91" s="418">
        <f t="shared" si="30"/>
        <v>78685.485576922976</v>
      </c>
      <c r="BA91" s="418">
        <f t="shared" si="31"/>
        <v>72545.105769230679</v>
      </c>
      <c r="BB91" s="418">
        <f t="shared" si="32"/>
        <v>86611.391422398941</v>
      </c>
      <c r="BC91" s="419">
        <f t="shared" si="33"/>
        <v>320318.84724223684</v>
      </c>
      <c r="BD91" s="410" t="s">
        <v>1271</v>
      </c>
      <c r="BE91" s="423" t="s">
        <v>1272</v>
      </c>
      <c r="BF91" s="421"/>
    </row>
    <row r="92" spans="1:58" s="327" customFormat="1" ht="18" customHeight="1" x14ac:dyDescent="0.35">
      <c r="A92" s="660">
        <v>702</v>
      </c>
      <c r="B92" s="660" t="str">
        <f>VLOOKUP($A92,'Measure Level Adjustments Tab'!$A$5:$CL$272,6,FALSE)</f>
        <v>Income Qualified</v>
      </c>
      <c r="C92" s="659" t="s">
        <v>1933</v>
      </c>
      <c r="D92" s="659" t="s">
        <v>1836</v>
      </c>
      <c r="E92" s="411">
        <f>VLOOKUP($A92,'Measure Level Adjustments Tab'!$A$5:$CL$272,13,FALSE)</f>
        <v>1</v>
      </c>
      <c r="F92" s="411" t="str">
        <f>VLOOKUP($A92,'Measure Level Adjustments Tab'!$A$5:$CL$272,11,FALSE)</f>
        <v>5.3.16</v>
      </c>
      <c r="G92" s="411">
        <f>VLOOKUP($A92,'Measure Level Adjustments Tab'!$A$5:$CL$272,14,FALSE)</f>
        <v>0</v>
      </c>
      <c r="H92" s="663">
        <f>VLOOKUP($A92,'Measure Level Adjustments Tab'!$A$5:$CL$272,54,FALSE)</f>
        <v>45</v>
      </c>
      <c r="I92" s="663">
        <f>VLOOKUP($A92,'Measure Level Adjustments Tab'!$A$5:$CL$272,55,FALSE)</f>
        <v>45</v>
      </c>
      <c r="J92" s="663">
        <f>VLOOKUP($A92,'Measure Level Adjustments Tab'!$A$5:$CL$272,56,FALSE)</f>
        <v>42</v>
      </c>
      <c r="K92" s="663">
        <f>VLOOKUP($A92,'Measure Level Adjustments Tab'!$A$5:$CL$272,57,FALSE)</f>
        <v>45</v>
      </c>
      <c r="L92" s="411" t="str">
        <f>VLOOKUP($A92,'Measure Level Adjustments Tab'!$A$5:$CL$272,12,FALSE)</f>
        <v>RS-HVC-ADTH-V02-180101</v>
      </c>
      <c r="M92" s="422"/>
      <c r="N92" s="662">
        <v>63.713999999999999</v>
      </c>
      <c r="O92" s="662">
        <v>63.713999999999999</v>
      </c>
      <c r="P92" s="662">
        <v>63.713999999999999</v>
      </c>
      <c r="Q92" s="662">
        <v>63.713999999999999</v>
      </c>
      <c r="R92" s="661">
        <f>VLOOKUP($A92,'Measure Level Adjustments Tab'!$A$5:$CL$272,46,FALSE)</f>
        <v>1</v>
      </c>
      <c r="S92" s="661">
        <f>VLOOKUP($A92,'Measure Level Adjustments Tab'!$A$5:$CL$272,47,FALSE)</f>
        <v>1</v>
      </c>
      <c r="T92" s="661">
        <f>VLOOKUP($A92,'Measure Level Adjustments Tab'!$A$5:$CL$272,48,FALSE)</f>
        <v>1</v>
      </c>
      <c r="U92" s="661">
        <f>VLOOKUP($A92,'Measure Level Adjustments Tab'!$A$5:$CL$272,49,FALSE)</f>
        <v>1</v>
      </c>
      <c r="V92" s="418">
        <f t="shared" si="20"/>
        <v>2867.13</v>
      </c>
      <c r="W92" s="418">
        <f t="shared" si="20"/>
        <v>2867.13</v>
      </c>
      <c r="X92" s="418">
        <f t="shared" si="20"/>
        <v>2675.9879999999998</v>
      </c>
      <c r="Y92" s="418">
        <f t="shared" si="34"/>
        <v>2867.13</v>
      </c>
      <c r="Z92" s="418">
        <f t="shared" si="21"/>
        <v>11277.378000000001</v>
      </c>
      <c r="AA92" s="410"/>
      <c r="AB92" s="422"/>
      <c r="AC92" s="415">
        <v>63.713999999999999</v>
      </c>
      <c r="AD92" s="416"/>
      <c r="AE92" s="414">
        <f t="shared" si="22"/>
        <v>2867.13</v>
      </c>
      <c r="AF92" s="412">
        <f t="shared" si="23"/>
        <v>0</v>
      </c>
      <c r="AG92" s="410"/>
      <c r="AH92" s="422"/>
      <c r="AI92" s="413">
        <v>63.713999999999999</v>
      </c>
      <c r="AJ92" s="2669" t="s">
        <v>3508</v>
      </c>
      <c r="AK92" s="414">
        <f t="shared" si="24"/>
        <v>2867.13</v>
      </c>
      <c r="AL92" s="412">
        <f t="shared" si="25"/>
        <v>0</v>
      </c>
      <c r="AM92" s="410"/>
      <c r="AN92" s="422"/>
      <c r="AO92" s="413">
        <v>63.713999999999999</v>
      </c>
      <c r="AP92" s="2669" t="s">
        <v>304</v>
      </c>
      <c r="AQ92" s="414">
        <f t="shared" si="26"/>
        <v>2675.9879999999998</v>
      </c>
      <c r="AR92" s="412">
        <f t="shared" si="27"/>
        <v>0</v>
      </c>
      <c r="AS92" s="410"/>
      <c r="AT92" s="422"/>
      <c r="AU92" s="413">
        <f>VLOOKUP($A92,'Measure Level Adjustments Tab'!$A$5:$CL$272,53,FALSE)/U92</f>
        <v>74.045999999999992</v>
      </c>
      <c r="AV92" s="2669" t="s">
        <v>4216</v>
      </c>
      <c r="AW92" s="414">
        <f t="shared" si="35"/>
        <v>3332.0699999999997</v>
      </c>
      <c r="AX92" s="412">
        <f t="shared" si="28"/>
        <v>464.9399999999996</v>
      </c>
      <c r="AY92" s="418">
        <f t="shared" si="29"/>
        <v>2867.13</v>
      </c>
      <c r="AZ92" s="418">
        <f t="shared" si="30"/>
        <v>2867.13</v>
      </c>
      <c r="BA92" s="418">
        <f t="shared" si="31"/>
        <v>2675.9879999999998</v>
      </c>
      <c r="BB92" s="418">
        <f t="shared" si="32"/>
        <v>3332.0699999999997</v>
      </c>
      <c r="BC92" s="419">
        <f t="shared" si="33"/>
        <v>11742.317999999999</v>
      </c>
      <c r="BD92" s="410" t="s">
        <v>1271</v>
      </c>
      <c r="BE92" s="423" t="s">
        <v>1272</v>
      </c>
      <c r="BF92" s="421"/>
    </row>
    <row r="93" spans="1:58" s="327" customFormat="1" ht="18" customHeight="1" x14ac:dyDescent="0.35">
      <c r="A93" s="660">
        <v>703</v>
      </c>
      <c r="B93" s="660" t="str">
        <f>VLOOKUP($A93,'Measure Level Adjustments Tab'!$A$5:$CL$272,6,FALSE)</f>
        <v>Income Qualified</v>
      </c>
      <c r="C93" s="659" t="s">
        <v>1933</v>
      </c>
      <c r="D93" s="659" t="s">
        <v>1837</v>
      </c>
      <c r="E93" s="411">
        <f>VLOOKUP($A93,'Measure Level Adjustments Tab'!$A$5:$CL$272,13,FALSE)</f>
        <v>1</v>
      </c>
      <c r="F93" s="411" t="str">
        <f>VLOOKUP($A93,'Measure Level Adjustments Tab'!$A$5:$CL$272,11,FALSE)</f>
        <v>5.3.16</v>
      </c>
      <c r="G93" s="411">
        <f>VLOOKUP($A93,'Measure Level Adjustments Tab'!$A$5:$CL$272,14,FALSE)</f>
        <v>0</v>
      </c>
      <c r="H93" s="663">
        <f>VLOOKUP($A93,'Measure Level Adjustments Tab'!$A$5:$CL$272,54,FALSE)</f>
        <v>45</v>
      </c>
      <c r="I93" s="663">
        <f>VLOOKUP($A93,'Measure Level Adjustments Tab'!$A$5:$CL$272,55,FALSE)</f>
        <v>45</v>
      </c>
      <c r="J93" s="663">
        <f>VLOOKUP($A93,'Measure Level Adjustments Tab'!$A$5:$CL$272,56,FALSE)</f>
        <v>42</v>
      </c>
      <c r="K93" s="663">
        <f>VLOOKUP($A93,'Measure Level Adjustments Tab'!$A$5:$CL$272,57,FALSE)</f>
        <v>45</v>
      </c>
      <c r="L93" s="411" t="str">
        <f>VLOOKUP($A93,'Measure Level Adjustments Tab'!$A$5:$CL$272,12,FALSE)</f>
        <v>RS-HVC-ADTH-V02-180101</v>
      </c>
      <c r="M93" s="422"/>
      <c r="N93" s="662">
        <v>63.713999999999999</v>
      </c>
      <c r="O93" s="662">
        <v>63.713999999999999</v>
      </c>
      <c r="P93" s="662">
        <v>63.713999999999999</v>
      </c>
      <c r="Q93" s="662">
        <v>63.713999999999999</v>
      </c>
      <c r="R93" s="661">
        <f>VLOOKUP($A93,'Measure Level Adjustments Tab'!$A$5:$CL$272,46,FALSE)</f>
        <v>1</v>
      </c>
      <c r="S93" s="661">
        <f>VLOOKUP($A93,'Measure Level Adjustments Tab'!$A$5:$CL$272,47,FALSE)</f>
        <v>1</v>
      </c>
      <c r="T93" s="661">
        <f>VLOOKUP($A93,'Measure Level Adjustments Tab'!$A$5:$CL$272,48,FALSE)</f>
        <v>1</v>
      </c>
      <c r="U93" s="661">
        <f>VLOOKUP($A93,'Measure Level Adjustments Tab'!$A$5:$CL$272,49,FALSE)</f>
        <v>1</v>
      </c>
      <c r="V93" s="418">
        <f t="shared" si="20"/>
        <v>2867.13</v>
      </c>
      <c r="W93" s="418">
        <f t="shared" si="20"/>
        <v>2867.13</v>
      </c>
      <c r="X93" s="418">
        <f t="shared" si="20"/>
        <v>2675.9879999999998</v>
      </c>
      <c r="Y93" s="418">
        <f t="shared" si="34"/>
        <v>2867.13</v>
      </c>
      <c r="Z93" s="418">
        <f t="shared" si="21"/>
        <v>11277.378000000001</v>
      </c>
      <c r="AA93" s="410"/>
      <c r="AB93" s="422"/>
      <c r="AC93" s="415">
        <v>63.713999999999999</v>
      </c>
      <c r="AD93" s="416"/>
      <c r="AE93" s="414">
        <f t="shared" si="22"/>
        <v>2867.13</v>
      </c>
      <c r="AF93" s="412">
        <f t="shared" si="23"/>
        <v>0</v>
      </c>
      <c r="AG93" s="410"/>
      <c r="AH93" s="422"/>
      <c r="AI93" s="413">
        <v>63.713999999999999</v>
      </c>
      <c r="AJ93" s="2669" t="s">
        <v>3508</v>
      </c>
      <c r="AK93" s="414">
        <f t="shared" si="24"/>
        <v>2867.13</v>
      </c>
      <c r="AL93" s="412">
        <f t="shared" si="25"/>
        <v>0</v>
      </c>
      <c r="AM93" s="410"/>
      <c r="AN93" s="422"/>
      <c r="AO93" s="413">
        <v>63.713999999999999</v>
      </c>
      <c r="AP93" s="2669" t="s">
        <v>304</v>
      </c>
      <c r="AQ93" s="414">
        <f t="shared" si="26"/>
        <v>2675.9879999999998</v>
      </c>
      <c r="AR93" s="412">
        <f t="shared" si="27"/>
        <v>0</v>
      </c>
      <c r="AS93" s="410"/>
      <c r="AT93" s="422"/>
      <c r="AU93" s="413">
        <f>VLOOKUP($A93,'Measure Level Adjustments Tab'!$A$5:$CL$272,53,FALSE)/U93</f>
        <v>74.045999999999992</v>
      </c>
      <c r="AV93" s="2669" t="s">
        <v>4216</v>
      </c>
      <c r="AW93" s="414">
        <f t="shared" si="35"/>
        <v>3332.0699999999997</v>
      </c>
      <c r="AX93" s="412">
        <f t="shared" si="28"/>
        <v>464.9399999999996</v>
      </c>
      <c r="AY93" s="418">
        <f t="shared" si="29"/>
        <v>2867.13</v>
      </c>
      <c r="AZ93" s="418">
        <f t="shared" si="30"/>
        <v>2867.13</v>
      </c>
      <c r="BA93" s="418">
        <f t="shared" si="31"/>
        <v>2675.9879999999998</v>
      </c>
      <c r="BB93" s="418">
        <f t="shared" si="32"/>
        <v>3332.0699999999997</v>
      </c>
      <c r="BC93" s="419">
        <f t="shared" si="33"/>
        <v>11742.317999999999</v>
      </c>
      <c r="BD93" s="410" t="s">
        <v>1271</v>
      </c>
      <c r="BE93" s="423" t="s">
        <v>1272</v>
      </c>
      <c r="BF93" s="421"/>
    </row>
    <row r="94" spans="1:58" s="327" customFormat="1" ht="18" customHeight="1" x14ac:dyDescent="0.35">
      <c r="A94" s="660">
        <v>668</v>
      </c>
      <c r="B94" s="660" t="str">
        <f>VLOOKUP($A94,'Measure Level Adjustments Tab'!$A$5:$CL$272,6,FALSE)</f>
        <v>Income Qualified</v>
      </c>
      <c r="C94" s="659" t="s">
        <v>1933</v>
      </c>
      <c r="D94" s="659" t="s">
        <v>1839</v>
      </c>
      <c r="E94" s="411">
        <f>VLOOKUP($A94,'Measure Level Adjustments Tab'!$A$5:$CL$272,13,FALSE)</f>
        <v>1</v>
      </c>
      <c r="F94" s="411" t="str">
        <f>VLOOKUP($A94,'Measure Level Adjustments Tab'!$A$5:$CL$272,11,FALSE)</f>
        <v>5.3.4</v>
      </c>
      <c r="G94" s="411">
        <f>VLOOKUP($A94,'Measure Level Adjustments Tab'!$A$5:$CL$272,14,FALSE)</f>
        <v>0</v>
      </c>
      <c r="H94" s="663">
        <f>VLOOKUP($A94,'Measure Level Adjustments Tab'!$A$5:$CL$272,54,FALSE)</f>
        <v>81</v>
      </c>
      <c r="I94" s="663">
        <f>VLOOKUP($A94,'Measure Level Adjustments Tab'!$A$5:$CL$272,55,FALSE)</f>
        <v>81</v>
      </c>
      <c r="J94" s="663">
        <f>VLOOKUP($A94,'Measure Level Adjustments Tab'!$A$5:$CL$272,56,FALSE)</f>
        <v>75</v>
      </c>
      <c r="K94" s="663">
        <f>VLOOKUP($A94,'Measure Level Adjustments Tab'!$A$5:$CL$272,57,FALSE)</f>
        <v>80</v>
      </c>
      <c r="L94" s="411" t="str">
        <f>VLOOKUP($A94,'Measure Level Adjustments Tab'!$A$5:$CL$272,12,FALSE)</f>
        <v>RS-HVC-DINS-V06-160601</v>
      </c>
      <c r="M94" s="422"/>
      <c r="N94" s="662">
        <v>183.45506482091847</v>
      </c>
      <c r="O94" s="662">
        <v>183.45506482091847</v>
      </c>
      <c r="P94" s="662">
        <v>183.45506482091847</v>
      </c>
      <c r="Q94" s="662">
        <v>183.45506482091847</v>
      </c>
      <c r="R94" s="661">
        <f>VLOOKUP($A94,'Measure Level Adjustments Tab'!$A$5:$CL$272,46,FALSE)</f>
        <v>1</v>
      </c>
      <c r="S94" s="661">
        <f>VLOOKUP($A94,'Measure Level Adjustments Tab'!$A$5:$CL$272,47,FALSE)</f>
        <v>1</v>
      </c>
      <c r="T94" s="661">
        <f>VLOOKUP($A94,'Measure Level Adjustments Tab'!$A$5:$CL$272,48,FALSE)</f>
        <v>1</v>
      </c>
      <c r="U94" s="661">
        <f>VLOOKUP($A94,'Measure Level Adjustments Tab'!$A$5:$CL$272,49,FALSE)</f>
        <v>1</v>
      </c>
      <c r="V94" s="418">
        <f t="shared" si="20"/>
        <v>14859.860250494396</v>
      </c>
      <c r="W94" s="418">
        <f t="shared" si="20"/>
        <v>14859.860250494396</v>
      </c>
      <c r="X94" s="418">
        <f t="shared" si="20"/>
        <v>13759.129861568885</v>
      </c>
      <c r="Y94" s="418">
        <f t="shared" si="34"/>
        <v>14676.405185673477</v>
      </c>
      <c r="Z94" s="418">
        <f t="shared" si="21"/>
        <v>58155.255548231158</v>
      </c>
      <c r="AA94" s="410"/>
      <c r="AB94" s="422"/>
      <c r="AC94" s="415">
        <v>183.45506482091847</v>
      </c>
      <c r="AD94" s="416"/>
      <c r="AE94" s="414">
        <f t="shared" si="22"/>
        <v>14859.860250494396</v>
      </c>
      <c r="AF94" s="412">
        <f t="shared" si="23"/>
        <v>0</v>
      </c>
      <c r="AG94" s="410"/>
      <c r="AH94" s="422"/>
      <c r="AI94" s="413">
        <v>183.45506482091847</v>
      </c>
      <c r="AJ94" s="2669" t="s">
        <v>820</v>
      </c>
      <c r="AK94" s="414">
        <f t="shared" si="24"/>
        <v>14859.860250494396</v>
      </c>
      <c r="AL94" s="412">
        <f t="shared" si="25"/>
        <v>0</v>
      </c>
      <c r="AM94" s="410"/>
      <c r="AN94" s="422"/>
      <c r="AO94" s="413">
        <v>183.45506482091847</v>
      </c>
      <c r="AP94" s="2669" t="s">
        <v>304</v>
      </c>
      <c r="AQ94" s="414">
        <f t="shared" si="26"/>
        <v>13759.129861568885</v>
      </c>
      <c r="AR94" s="412">
        <f t="shared" si="27"/>
        <v>0</v>
      </c>
      <c r="AS94" s="410"/>
      <c r="AT94" s="422"/>
      <c r="AU94" s="413">
        <f>VLOOKUP($A94,'Measure Level Adjustments Tab'!$A$5:$CL$272,53,FALSE)/U94</f>
        <v>183.45506482091847</v>
      </c>
      <c r="AV94" s="2669" t="s">
        <v>304</v>
      </c>
      <c r="AW94" s="414">
        <f t="shared" si="35"/>
        <v>14676.405185673477</v>
      </c>
      <c r="AX94" s="412">
        <f t="shared" si="28"/>
        <v>0</v>
      </c>
      <c r="AY94" s="418">
        <f t="shared" si="29"/>
        <v>14859.860250494396</v>
      </c>
      <c r="AZ94" s="418">
        <f t="shared" si="30"/>
        <v>14859.860250494396</v>
      </c>
      <c r="BA94" s="418">
        <f t="shared" si="31"/>
        <v>13759.129861568885</v>
      </c>
      <c r="BB94" s="418">
        <f t="shared" si="32"/>
        <v>14676.405185673477</v>
      </c>
      <c r="BC94" s="419">
        <f t="shared" si="33"/>
        <v>58155.255548231158</v>
      </c>
      <c r="BD94" s="410" t="s">
        <v>1271</v>
      </c>
      <c r="BE94" s="423" t="s">
        <v>1272</v>
      </c>
      <c r="BF94" s="421"/>
    </row>
    <row r="95" spans="1:58" s="327" customFormat="1" ht="18" customHeight="1" x14ac:dyDescent="0.35">
      <c r="A95" s="660">
        <v>670</v>
      </c>
      <c r="B95" s="660" t="str">
        <f>VLOOKUP($A95,'Measure Level Adjustments Tab'!$A$5:$CL$272,6,FALSE)</f>
        <v>Income Qualified</v>
      </c>
      <c r="C95" s="659" t="s">
        <v>1933</v>
      </c>
      <c r="D95" s="659" t="s">
        <v>1770</v>
      </c>
      <c r="E95" s="411">
        <f>VLOOKUP($A95,'Measure Level Adjustments Tab'!$A$5:$CL$272,13,FALSE)</f>
        <v>1</v>
      </c>
      <c r="F95" s="411" t="str">
        <f>VLOOKUP($A95,'Measure Level Adjustments Tab'!$A$5:$CL$272,11,FALSE)</f>
        <v>5.3.4</v>
      </c>
      <c r="G95" s="411">
        <f>VLOOKUP($A95,'Measure Level Adjustments Tab'!$A$5:$CL$272,14,FALSE)</f>
        <v>0</v>
      </c>
      <c r="H95" s="663">
        <f>VLOOKUP($A95,'Measure Level Adjustments Tab'!$A$5:$CL$272,54,FALSE)</f>
        <v>81</v>
      </c>
      <c r="I95" s="663">
        <f>VLOOKUP($A95,'Measure Level Adjustments Tab'!$A$5:$CL$272,55,FALSE)</f>
        <v>81</v>
      </c>
      <c r="J95" s="663">
        <f>VLOOKUP($A95,'Measure Level Adjustments Tab'!$A$5:$CL$272,56,FALSE)</f>
        <v>75</v>
      </c>
      <c r="K95" s="663">
        <f>VLOOKUP($A95,'Measure Level Adjustments Tab'!$A$5:$CL$272,57,FALSE)</f>
        <v>80</v>
      </c>
      <c r="L95" s="411" t="str">
        <f>VLOOKUP($A95,'Measure Level Adjustments Tab'!$A$5:$CL$272,12,FALSE)</f>
        <v>RS-HVC-DINS-V06-160601</v>
      </c>
      <c r="M95" s="422"/>
      <c r="N95" s="662">
        <v>183.45506482091847</v>
      </c>
      <c r="O95" s="662">
        <v>183.45506482091847</v>
      </c>
      <c r="P95" s="662">
        <v>183.45506482091847</v>
      </c>
      <c r="Q95" s="662">
        <v>183.45506482091847</v>
      </c>
      <c r="R95" s="661">
        <f>VLOOKUP($A95,'Measure Level Adjustments Tab'!$A$5:$CL$272,46,FALSE)</f>
        <v>1</v>
      </c>
      <c r="S95" s="661">
        <f>VLOOKUP($A95,'Measure Level Adjustments Tab'!$A$5:$CL$272,47,FALSE)</f>
        <v>1</v>
      </c>
      <c r="T95" s="661">
        <f>VLOOKUP($A95,'Measure Level Adjustments Tab'!$A$5:$CL$272,48,FALSE)</f>
        <v>1</v>
      </c>
      <c r="U95" s="661">
        <f>VLOOKUP($A95,'Measure Level Adjustments Tab'!$A$5:$CL$272,49,FALSE)</f>
        <v>1</v>
      </c>
      <c r="V95" s="418">
        <f t="shared" si="20"/>
        <v>14859.860250494396</v>
      </c>
      <c r="W95" s="418">
        <f t="shared" si="20"/>
        <v>14859.860250494396</v>
      </c>
      <c r="X95" s="418">
        <f t="shared" si="20"/>
        <v>13759.129861568885</v>
      </c>
      <c r="Y95" s="418">
        <f t="shared" si="34"/>
        <v>14676.405185673477</v>
      </c>
      <c r="Z95" s="418">
        <f t="shared" si="21"/>
        <v>58155.255548231158</v>
      </c>
      <c r="AA95" s="410"/>
      <c r="AB95" s="422"/>
      <c r="AC95" s="415">
        <v>183.45506482091847</v>
      </c>
      <c r="AD95" s="416"/>
      <c r="AE95" s="414">
        <f t="shared" si="22"/>
        <v>14859.860250494396</v>
      </c>
      <c r="AF95" s="412">
        <f t="shared" si="23"/>
        <v>0</v>
      </c>
      <c r="AG95" s="410"/>
      <c r="AH95" s="422"/>
      <c r="AI95" s="413">
        <v>183.45506482091847</v>
      </c>
      <c r="AJ95" s="2669" t="s">
        <v>820</v>
      </c>
      <c r="AK95" s="414">
        <f t="shared" si="24"/>
        <v>14859.860250494396</v>
      </c>
      <c r="AL95" s="412">
        <f t="shared" si="25"/>
        <v>0</v>
      </c>
      <c r="AM95" s="410"/>
      <c r="AN95" s="422"/>
      <c r="AO95" s="413">
        <v>183.45506482091847</v>
      </c>
      <c r="AP95" s="2669" t="s">
        <v>304</v>
      </c>
      <c r="AQ95" s="414">
        <f t="shared" si="26"/>
        <v>13759.129861568885</v>
      </c>
      <c r="AR95" s="412">
        <f t="shared" si="27"/>
        <v>0</v>
      </c>
      <c r="AS95" s="410"/>
      <c r="AT95" s="422"/>
      <c r="AU95" s="413">
        <f>VLOOKUP($A95,'Measure Level Adjustments Tab'!$A$5:$CL$272,53,FALSE)/U95</f>
        <v>183.45506482091847</v>
      </c>
      <c r="AV95" s="2669" t="s">
        <v>304</v>
      </c>
      <c r="AW95" s="414">
        <f t="shared" si="35"/>
        <v>14676.405185673477</v>
      </c>
      <c r="AX95" s="412">
        <f t="shared" si="28"/>
        <v>0</v>
      </c>
      <c r="AY95" s="418">
        <f t="shared" si="29"/>
        <v>14859.860250494396</v>
      </c>
      <c r="AZ95" s="418">
        <f t="shared" si="30"/>
        <v>14859.860250494396</v>
      </c>
      <c r="BA95" s="418">
        <f t="shared" si="31"/>
        <v>13759.129861568885</v>
      </c>
      <c r="BB95" s="418">
        <f t="shared" si="32"/>
        <v>14676.405185673477</v>
      </c>
      <c r="BC95" s="419">
        <f t="shared" si="33"/>
        <v>58155.255548231158</v>
      </c>
      <c r="BD95" s="410" t="s">
        <v>1271</v>
      </c>
      <c r="BE95" s="423" t="s">
        <v>1272</v>
      </c>
      <c r="BF95" s="421"/>
    </row>
    <row r="96" spans="1:58" s="327" customFormat="1" ht="18" customHeight="1" x14ac:dyDescent="0.35">
      <c r="A96" s="660">
        <v>638</v>
      </c>
      <c r="B96" s="660" t="str">
        <f>VLOOKUP($A96,'Measure Level Adjustments Tab'!$A$5:$CL$272,6,FALSE)</f>
        <v>Income Qualified</v>
      </c>
      <c r="C96" s="659" t="s">
        <v>1933</v>
      </c>
      <c r="D96" s="659" t="s">
        <v>1840</v>
      </c>
      <c r="E96" s="411">
        <f>VLOOKUP($A96,'Measure Level Adjustments Tab'!$A$5:$CL$272,13,FALSE)</f>
        <v>1</v>
      </c>
      <c r="F96" s="411" t="str">
        <f>VLOOKUP($A96,'Measure Level Adjustments Tab'!$A$5:$CL$272,11,FALSE)</f>
        <v>5.6.1</v>
      </c>
      <c r="G96" s="411">
        <f>VLOOKUP($A96,'Measure Level Adjustments Tab'!$A$5:$CL$272,14,FALSE)</f>
        <v>0</v>
      </c>
      <c r="H96" s="663">
        <f>VLOOKUP($A96,'Measure Level Adjustments Tab'!$A$5:$CL$272,54,FALSE)</f>
        <v>718</v>
      </c>
      <c r="I96" s="663">
        <f>VLOOKUP($A96,'Measure Level Adjustments Tab'!$A$5:$CL$272,55,FALSE)</f>
        <v>720</v>
      </c>
      <c r="J96" s="663">
        <f>VLOOKUP($A96,'Measure Level Adjustments Tab'!$A$5:$CL$272,56,FALSE)</f>
        <v>664</v>
      </c>
      <c r="K96" s="663">
        <f>VLOOKUP($A96,'Measure Level Adjustments Tab'!$A$5:$CL$272,57,FALSE)</f>
        <v>712</v>
      </c>
      <c r="L96" s="411" t="str">
        <f>VLOOKUP($A96,'Measure Level Adjustments Tab'!$A$5:$CL$272,12,FALSE)</f>
        <v>RS-SHL-AIRS-V06-180101</v>
      </c>
      <c r="M96" s="422"/>
      <c r="N96" s="662">
        <v>115.48339534883723</v>
      </c>
      <c r="O96" s="662">
        <v>115.48339534883723</v>
      </c>
      <c r="P96" s="662">
        <v>115.48339534883723</v>
      </c>
      <c r="Q96" s="662">
        <v>115.48339534883723</v>
      </c>
      <c r="R96" s="661">
        <f>VLOOKUP($A96,'Measure Level Adjustments Tab'!$A$5:$CL$272,46,FALSE)</f>
        <v>1</v>
      </c>
      <c r="S96" s="661">
        <f>VLOOKUP($A96,'Measure Level Adjustments Tab'!$A$5:$CL$272,47,FALSE)</f>
        <v>1</v>
      </c>
      <c r="T96" s="661">
        <f>VLOOKUP($A96,'Measure Level Adjustments Tab'!$A$5:$CL$272,48,FALSE)</f>
        <v>1</v>
      </c>
      <c r="U96" s="661">
        <f>VLOOKUP($A96,'Measure Level Adjustments Tab'!$A$5:$CL$272,49,FALSE)</f>
        <v>1</v>
      </c>
      <c r="V96" s="418">
        <f t="shared" si="20"/>
        <v>82917.077860465128</v>
      </c>
      <c r="W96" s="418">
        <f t="shared" si="20"/>
        <v>83148.044651162811</v>
      </c>
      <c r="X96" s="418">
        <f t="shared" si="20"/>
        <v>76680.974511627923</v>
      </c>
      <c r="Y96" s="418">
        <f t="shared" si="34"/>
        <v>82224.177488372108</v>
      </c>
      <c r="Z96" s="418">
        <f t="shared" si="21"/>
        <v>324970.27451162797</v>
      </c>
      <c r="AA96" s="410"/>
      <c r="AB96" s="422"/>
      <c r="AC96" s="415">
        <v>115.48339534883723</v>
      </c>
      <c r="AD96" s="416"/>
      <c r="AE96" s="414">
        <f t="shared" si="22"/>
        <v>82917.077860465128</v>
      </c>
      <c r="AF96" s="412">
        <f t="shared" si="23"/>
        <v>0</v>
      </c>
      <c r="AG96" s="410"/>
      <c r="AH96" s="422"/>
      <c r="AI96" s="413">
        <v>107.9192329534884</v>
      </c>
      <c r="AJ96" s="2669" t="s">
        <v>3533</v>
      </c>
      <c r="AK96" s="414">
        <f t="shared" si="24"/>
        <v>77701.847726511653</v>
      </c>
      <c r="AL96" s="412">
        <f t="shared" si="25"/>
        <v>-5446.196924651158</v>
      </c>
      <c r="AM96" s="410"/>
      <c r="AN96" s="422"/>
      <c r="AO96" s="413">
        <v>118.71115624883724</v>
      </c>
      <c r="AP96" s="2669" t="s">
        <v>3922</v>
      </c>
      <c r="AQ96" s="414">
        <f t="shared" si="26"/>
        <v>78824.207749227935</v>
      </c>
      <c r="AR96" s="412">
        <f t="shared" si="27"/>
        <v>2143.2332376000122</v>
      </c>
      <c r="AS96" s="410"/>
      <c r="AT96" s="422"/>
      <c r="AU96" s="413">
        <f>VLOOKUP($A96,'Measure Level Adjustments Tab'!$A$5:$CL$272,53,FALSE)/U96</f>
        <v>118.71115624883724</v>
      </c>
      <c r="AV96" s="2669" t="s">
        <v>304</v>
      </c>
      <c r="AW96" s="414">
        <f t="shared" si="35"/>
        <v>84522.343249172118</v>
      </c>
      <c r="AX96" s="412">
        <f t="shared" si="28"/>
        <v>2298.1657608000096</v>
      </c>
      <c r="AY96" s="418">
        <f t="shared" si="29"/>
        <v>82917.077860465128</v>
      </c>
      <c r="AZ96" s="418">
        <f t="shared" si="30"/>
        <v>77701.847726511653</v>
      </c>
      <c r="BA96" s="418">
        <f t="shared" si="31"/>
        <v>78824.207749227935</v>
      </c>
      <c r="BB96" s="418">
        <f t="shared" si="32"/>
        <v>84522.343249172118</v>
      </c>
      <c r="BC96" s="419">
        <f t="shared" si="33"/>
        <v>323965.47658537683</v>
      </c>
      <c r="BD96" s="410" t="s">
        <v>1271</v>
      </c>
      <c r="BE96" s="423" t="s">
        <v>1272</v>
      </c>
      <c r="BF96" s="421"/>
    </row>
    <row r="97" spans="1:58" s="327" customFormat="1" ht="18" customHeight="1" x14ac:dyDescent="0.35">
      <c r="A97" s="660">
        <v>647</v>
      </c>
      <c r="B97" s="660" t="str">
        <f>VLOOKUP($A97,'Measure Level Adjustments Tab'!$A$5:$CL$272,6,FALSE)</f>
        <v>Income Qualified</v>
      </c>
      <c r="C97" s="659" t="s">
        <v>1933</v>
      </c>
      <c r="D97" s="659" t="s">
        <v>1841</v>
      </c>
      <c r="E97" s="411">
        <f>VLOOKUP($A97,'Measure Level Adjustments Tab'!$A$5:$CL$272,13,FALSE)</f>
        <v>1</v>
      </c>
      <c r="F97" s="411" t="str">
        <f>VLOOKUP($A97,'Measure Level Adjustments Tab'!$A$5:$CL$272,11,FALSE)</f>
        <v>5.6.5</v>
      </c>
      <c r="G97" s="411">
        <f>VLOOKUP($A97,'Measure Level Adjustments Tab'!$A$5:$CL$272,14,FALSE)</f>
        <v>0</v>
      </c>
      <c r="H97" s="663">
        <f>VLOOKUP($A97,'Measure Level Adjustments Tab'!$A$5:$CL$272,54,FALSE)</f>
        <v>144</v>
      </c>
      <c r="I97" s="663">
        <f>VLOOKUP($A97,'Measure Level Adjustments Tab'!$A$5:$CL$272,55,FALSE)</f>
        <v>144</v>
      </c>
      <c r="J97" s="663">
        <f>VLOOKUP($A97,'Measure Level Adjustments Tab'!$A$5:$CL$272,56,FALSE)</f>
        <v>133</v>
      </c>
      <c r="K97" s="663">
        <f>VLOOKUP($A97,'Measure Level Adjustments Tab'!$A$5:$CL$272,57,FALSE)</f>
        <v>142</v>
      </c>
      <c r="L97" s="411" t="str">
        <f>VLOOKUP($A97,'Measure Level Adjustments Tab'!$A$5:$CL$272,12,FALSE)</f>
        <v>RS-SHL-AINS-V07-180101</v>
      </c>
      <c r="M97" s="422"/>
      <c r="N97" s="662">
        <v>71.502857869916156</v>
      </c>
      <c r="O97" s="662">
        <v>71.502857869916156</v>
      </c>
      <c r="P97" s="662">
        <v>71.502857869916156</v>
      </c>
      <c r="Q97" s="662">
        <v>71.502857869916156</v>
      </c>
      <c r="R97" s="661">
        <f>VLOOKUP($A97,'Measure Level Adjustments Tab'!$A$5:$CL$272,46,FALSE)</f>
        <v>1</v>
      </c>
      <c r="S97" s="661">
        <f>VLOOKUP($A97,'Measure Level Adjustments Tab'!$A$5:$CL$272,47,FALSE)</f>
        <v>1</v>
      </c>
      <c r="T97" s="661">
        <f>VLOOKUP($A97,'Measure Level Adjustments Tab'!$A$5:$CL$272,48,FALSE)</f>
        <v>1</v>
      </c>
      <c r="U97" s="661">
        <f>VLOOKUP($A97,'Measure Level Adjustments Tab'!$A$5:$CL$272,49,FALSE)</f>
        <v>1</v>
      </c>
      <c r="V97" s="418">
        <f t="shared" si="20"/>
        <v>10296.411533267927</v>
      </c>
      <c r="W97" s="418">
        <f t="shared" si="20"/>
        <v>10296.411533267927</v>
      </c>
      <c r="X97" s="418">
        <f t="shared" si="20"/>
        <v>9509.8800966988492</v>
      </c>
      <c r="Y97" s="418">
        <f t="shared" si="34"/>
        <v>10153.405817528093</v>
      </c>
      <c r="Z97" s="418">
        <f t="shared" si="21"/>
        <v>40256.108980762794</v>
      </c>
      <c r="AA97" s="410"/>
      <c r="AB97" s="422"/>
      <c r="AC97" s="415">
        <v>71.502857869916156</v>
      </c>
      <c r="AD97" s="416"/>
      <c r="AE97" s="414">
        <f t="shared" si="22"/>
        <v>10296.411533267927</v>
      </c>
      <c r="AF97" s="412">
        <f t="shared" si="23"/>
        <v>0</v>
      </c>
      <c r="AG97" s="410"/>
      <c r="AH97" s="422"/>
      <c r="AI97" s="413">
        <v>85.803429443899404</v>
      </c>
      <c r="AJ97" s="2669" t="s">
        <v>3538</v>
      </c>
      <c r="AK97" s="414">
        <f t="shared" si="24"/>
        <v>12355.693839921514</v>
      </c>
      <c r="AL97" s="412">
        <f t="shared" si="25"/>
        <v>2059.2823066535875</v>
      </c>
      <c r="AM97" s="410"/>
      <c r="AN97" s="422"/>
      <c r="AO97" s="413">
        <v>94.383772388289358</v>
      </c>
      <c r="AP97" s="2669" t="s">
        <v>3922</v>
      </c>
      <c r="AQ97" s="414">
        <f t="shared" si="26"/>
        <v>12553.041727642485</v>
      </c>
      <c r="AR97" s="412">
        <f t="shared" si="27"/>
        <v>3043.1616309436358</v>
      </c>
      <c r="AS97" s="410"/>
      <c r="AT97" s="422"/>
      <c r="AU97" s="413">
        <f>VLOOKUP($A97,'Measure Level Adjustments Tab'!$A$5:$CL$272,53,FALSE)/U97</f>
        <v>94.383772388289358</v>
      </c>
      <c r="AV97" s="2669" t="s">
        <v>304</v>
      </c>
      <c r="AW97" s="414">
        <f t="shared" si="35"/>
        <v>13402.49567913709</v>
      </c>
      <c r="AX97" s="412">
        <f t="shared" si="28"/>
        <v>3249.0898616089962</v>
      </c>
      <c r="AY97" s="418">
        <f t="shared" si="29"/>
        <v>10296.411533267927</v>
      </c>
      <c r="AZ97" s="418">
        <f t="shared" si="30"/>
        <v>12355.693839921514</v>
      </c>
      <c r="BA97" s="418">
        <f t="shared" si="31"/>
        <v>12553.041727642485</v>
      </c>
      <c r="BB97" s="418">
        <f t="shared" si="32"/>
        <v>13402.49567913709</v>
      </c>
      <c r="BC97" s="419">
        <f t="shared" si="33"/>
        <v>48607.642779969014</v>
      </c>
      <c r="BD97" s="410" t="s">
        <v>1271</v>
      </c>
      <c r="BE97" s="423" t="s">
        <v>1272</v>
      </c>
      <c r="BF97" s="421"/>
    </row>
    <row r="98" spans="1:58" s="327" customFormat="1" ht="18" customHeight="1" x14ac:dyDescent="0.35">
      <c r="A98" s="660">
        <v>655</v>
      </c>
      <c r="B98" s="660" t="str">
        <f>VLOOKUP($A98,'Measure Level Adjustments Tab'!$A$5:$CL$272,6,FALSE)</f>
        <v>Income Qualified</v>
      </c>
      <c r="C98" s="659" t="s">
        <v>1933</v>
      </c>
      <c r="D98" s="659" t="s">
        <v>1842</v>
      </c>
      <c r="E98" s="411">
        <f>VLOOKUP($A98,'Measure Level Adjustments Tab'!$A$5:$CL$272,13,FALSE)</f>
        <v>1</v>
      </c>
      <c r="F98" s="411" t="str">
        <f>VLOOKUP($A98,'Measure Level Adjustments Tab'!$A$5:$CL$272,11,FALSE)</f>
        <v>5.6.5</v>
      </c>
      <c r="G98" s="411">
        <f>VLOOKUP($A98,'Measure Level Adjustments Tab'!$A$5:$CL$272,14,FALSE)</f>
        <v>0</v>
      </c>
      <c r="H98" s="663">
        <f>VLOOKUP($A98,'Measure Level Adjustments Tab'!$A$5:$CL$272,54,FALSE)</f>
        <v>36</v>
      </c>
      <c r="I98" s="663">
        <f>VLOOKUP($A98,'Measure Level Adjustments Tab'!$A$5:$CL$272,55,FALSE)</f>
        <v>36</v>
      </c>
      <c r="J98" s="663">
        <f>VLOOKUP($A98,'Measure Level Adjustments Tab'!$A$5:$CL$272,56,FALSE)</f>
        <v>33</v>
      </c>
      <c r="K98" s="663">
        <f>VLOOKUP($A98,'Measure Level Adjustments Tab'!$A$5:$CL$272,57,FALSE)</f>
        <v>36</v>
      </c>
      <c r="L98" s="411" t="str">
        <f>VLOOKUP($A98,'Measure Level Adjustments Tab'!$A$5:$CL$272,12,FALSE)</f>
        <v>RS-SHL-AINS-V07-180101</v>
      </c>
      <c r="M98" s="422"/>
      <c r="N98" s="662">
        <v>192.26324005021897</v>
      </c>
      <c r="O98" s="662">
        <v>192.26324005021897</v>
      </c>
      <c r="P98" s="662">
        <v>192.26324005021897</v>
      </c>
      <c r="Q98" s="662">
        <v>192.26324005021897</v>
      </c>
      <c r="R98" s="661">
        <f>VLOOKUP($A98,'Measure Level Adjustments Tab'!$A$5:$CL$272,46,FALSE)</f>
        <v>1</v>
      </c>
      <c r="S98" s="661">
        <f>VLOOKUP($A98,'Measure Level Adjustments Tab'!$A$5:$CL$272,47,FALSE)</f>
        <v>1</v>
      </c>
      <c r="T98" s="661">
        <f>VLOOKUP($A98,'Measure Level Adjustments Tab'!$A$5:$CL$272,48,FALSE)</f>
        <v>1</v>
      </c>
      <c r="U98" s="661">
        <f>VLOOKUP($A98,'Measure Level Adjustments Tab'!$A$5:$CL$272,49,FALSE)</f>
        <v>1</v>
      </c>
      <c r="V98" s="418">
        <f t="shared" si="20"/>
        <v>6921.4766418078825</v>
      </c>
      <c r="W98" s="418">
        <f t="shared" si="20"/>
        <v>6921.4766418078825</v>
      </c>
      <c r="X98" s="418">
        <f t="shared" si="20"/>
        <v>6344.6869216572259</v>
      </c>
      <c r="Y98" s="418">
        <f t="shared" si="34"/>
        <v>6921.4766418078825</v>
      </c>
      <c r="Z98" s="418">
        <f t="shared" si="21"/>
        <v>27109.116847080873</v>
      </c>
      <c r="AA98" s="410"/>
      <c r="AB98" s="422"/>
      <c r="AC98" s="415">
        <v>192.26324005021897</v>
      </c>
      <c r="AD98" s="416"/>
      <c r="AE98" s="414">
        <f t="shared" si="22"/>
        <v>6921.4766418078825</v>
      </c>
      <c r="AF98" s="412">
        <f t="shared" si="23"/>
        <v>0</v>
      </c>
      <c r="AG98" s="410"/>
      <c r="AH98" s="422"/>
      <c r="AI98" s="413">
        <v>230.71588806026276</v>
      </c>
      <c r="AJ98" s="2669" t="s">
        <v>3538</v>
      </c>
      <c r="AK98" s="414">
        <f t="shared" si="24"/>
        <v>8305.7719701694587</v>
      </c>
      <c r="AL98" s="412">
        <f t="shared" si="25"/>
        <v>1384.2953283615761</v>
      </c>
      <c r="AM98" s="410"/>
      <c r="AN98" s="422"/>
      <c r="AO98" s="413">
        <v>253.78747686628907</v>
      </c>
      <c r="AP98" s="2669" t="s">
        <v>3922</v>
      </c>
      <c r="AQ98" s="414">
        <f t="shared" si="26"/>
        <v>8374.9867365875398</v>
      </c>
      <c r="AR98" s="412">
        <f t="shared" si="27"/>
        <v>2030.2998149303139</v>
      </c>
      <c r="AS98" s="410"/>
      <c r="AT98" s="422"/>
      <c r="AU98" s="413">
        <f>VLOOKUP($A98,'Measure Level Adjustments Tab'!$A$5:$CL$272,53,FALSE)/U98</f>
        <v>253.78747686628907</v>
      </c>
      <c r="AV98" s="2669" t="s">
        <v>304</v>
      </c>
      <c r="AW98" s="414">
        <f t="shared" si="35"/>
        <v>9136.3491671864067</v>
      </c>
      <c r="AX98" s="412">
        <f t="shared" si="28"/>
        <v>2214.8725253785242</v>
      </c>
      <c r="AY98" s="418">
        <f t="shared" si="29"/>
        <v>6921.4766418078825</v>
      </c>
      <c r="AZ98" s="418">
        <f t="shared" si="30"/>
        <v>8305.7719701694587</v>
      </c>
      <c r="BA98" s="418">
        <f t="shared" si="31"/>
        <v>8374.9867365875398</v>
      </c>
      <c r="BB98" s="418">
        <f t="shared" si="32"/>
        <v>9136.3491671864067</v>
      </c>
      <c r="BC98" s="419">
        <f t="shared" si="33"/>
        <v>32738.584515751289</v>
      </c>
      <c r="BD98" s="410" t="s">
        <v>1271</v>
      </c>
      <c r="BE98" s="423" t="s">
        <v>1272</v>
      </c>
      <c r="BF98" s="421"/>
    </row>
    <row r="99" spans="1:58" s="327" customFormat="1" ht="18" customHeight="1" x14ac:dyDescent="0.35">
      <c r="A99" s="660">
        <v>646</v>
      </c>
      <c r="B99" s="660" t="str">
        <f>VLOOKUP($A99,'Measure Level Adjustments Tab'!$A$5:$CL$272,6,FALSE)</f>
        <v>Income Qualified</v>
      </c>
      <c r="C99" s="659" t="s">
        <v>1933</v>
      </c>
      <c r="D99" s="659" t="s">
        <v>1790</v>
      </c>
      <c r="E99" s="411">
        <f>VLOOKUP($A99,'Measure Level Adjustments Tab'!$A$5:$CL$272,13,FALSE)</f>
        <v>1</v>
      </c>
      <c r="F99" s="411" t="str">
        <f>VLOOKUP($A99,'Measure Level Adjustments Tab'!$A$5:$CL$272,11,FALSE)</f>
        <v>5.6.5</v>
      </c>
      <c r="G99" s="411">
        <f>VLOOKUP($A99,'Measure Level Adjustments Tab'!$A$5:$CL$272,14,FALSE)</f>
        <v>0</v>
      </c>
      <c r="H99" s="663">
        <f>VLOOKUP($A99,'Measure Level Adjustments Tab'!$A$5:$CL$272,54,FALSE)</f>
        <v>80.637200000000007</v>
      </c>
      <c r="I99" s="663">
        <f>VLOOKUP($A99,'Measure Level Adjustments Tab'!$A$5:$CL$272,55,FALSE)</f>
        <v>80.919300000000007</v>
      </c>
      <c r="J99" s="663">
        <f>VLOOKUP($A99,'Measure Level Adjustments Tab'!$A$5:$CL$272,56,FALSE)</f>
        <v>74.604599999999991</v>
      </c>
      <c r="K99" s="663">
        <f>VLOOKUP($A99,'Measure Level Adjustments Tab'!$A$5:$CL$272,57,FALSE)</f>
        <v>80.027147899999989</v>
      </c>
      <c r="L99" s="411" t="str">
        <f>VLOOKUP($A99,'Measure Level Adjustments Tab'!$A$5:$CL$272,12,FALSE)</f>
        <v>RS-SHL-AINS-V07-180101</v>
      </c>
      <c r="M99" s="422"/>
      <c r="N99" s="662">
        <v>71.502857869916156</v>
      </c>
      <c r="O99" s="662">
        <v>71.502857869916156</v>
      </c>
      <c r="P99" s="662">
        <v>71.502857869916156</v>
      </c>
      <c r="Q99" s="662">
        <v>71.502857869916156</v>
      </c>
      <c r="R99" s="661">
        <f>VLOOKUP($A99,'Measure Level Adjustments Tab'!$A$5:$CL$272,46,FALSE)</f>
        <v>1</v>
      </c>
      <c r="S99" s="661">
        <f>VLOOKUP($A99,'Measure Level Adjustments Tab'!$A$5:$CL$272,47,FALSE)</f>
        <v>1</v>
      </c>
      <c r="T99" s="661">
        <f>VLOOKUP($A99,'Measure Level Adjustments Tab'!$A$5:$CL$272,48,FALSE)</f>
        <v>1</v>
      </c>
      <c r="U99" s="661">
        <f>VLOOKUP($A99,'Measure Level Adjustments Tab'!$A$5:$CL$272,49,FALSE)</f>
        <v>1</v>
      </c>
      <c r="V99" s="418">
        <f t="shared" si="20"/>
        <v>5765.7902506280034</v>
      </c>
      <c r="W99" s="418">
        <f t="shared" si="20"/>
        <v>5785.9612068331071</v>
      </c>
      <c r="X99" s="418">
        <f t="shared" si="20"/>
        <v>5334.4421102419465</v>
      </c>
      <c r="Y99" s="418">
        <f t="shared" si="34"/>
        <v>5722.169782028458</v>
      </c>
      <c r="Z99" s="418">
        <f t="shared" si="21"/>
        <v>22608.363349731513</v>
      </c>
      <c r="AA99" s="410"/>
      <c r="AB99" s="422"/>
      <c r="AC99" s="415">
        <v>71.502857869916156</v>
      </c>
      <c r="AD99" s="416"/>
      <c r="AE99" s="414">
        <f t="shared" si="22"/>
        <v>5765.7902506280034</v>
      </c>
      <c r="AF99" s="412">
        <f t="shared" si="23"/>
        <v>0</v>
      </c>
      <c r="AG99" s="410"/>
      <c r="AH99" s="422"/>
      <c r="AI99" s="413">
        <v>85.803429443899404</v>
      </c>
      <c r="AJ99" s="2669" t="s">
        <v>3538</v>
      </c>
      <c r="AK99" s="414">
        <f t="shared" si="24"/>
        <v>6943.1534481997296</v>
      </c>
      <c r="AL99" s="412">
        <f t="shared" si="25"/>
        <v>1157.1922413666225</v>
      </c>
      <c r="AM99" s="410"/>
      <c r="AN99" s="422"/>
      <c r="AO99" s="413">
        <v>94.383772388289358</v>
      </c>
      <c r="AP99" s="2669" t="s">
        <v>3922</v>
      </c>
      <c r="AQ99" s="414">
        <f t="shared" si="26"/>
        <v>7041.463585519371</v>
      </c>
      <c r="AR99" s="412">
        <f t="shared" si="27"/>
        <v>1707.0214752774245</v>
      </c>
      <c r="AS99" s="410"/>
      <c r="AT99" s="422"/>
      <c r="AU99" s="413">
        <f>VLOOKUP($A99,'Measure Level Adjustments Tab'!$A$5:$CL$272,53,FALSE)/U99</f>
        <v>94.383772388289358</v>
      </c>
      <c r="AV99" s="2669" t="s">
        <v>304</v>
      </c>
      <c r="AW99" s="414">
        <f t="shared" si="35"/>
        <v>7553.2641122775676</v>
      </c>
      <c r="AX99" s="412">
        <f t="shared" si="28"/>
        <v>1831.0943302491096</v>
      </c>
      <c r="AY99" s="418">
        <f t="shared" si="29"/>
        <v>5765.7902506280034</v>
      </c>
      <c r="AZ99" s="418">
        <f t="shared" si="30"/>
        <v>6943.1534481997296</v>
      </c>
      <c r="BA99" s="418">
        <f t="shared" si="31"/>
        <v>7041.463585519371</v>
      </c>
      <c r="BB99" s="418">
        <f t="shared" si="32"/>
        <v>7553.2641122775676</v>
      </c>
      <c r="BC99" s="419">
        <f t="shared" si="33"/>
        <v>27303.671396624672</v>
      </c>
      <c r="BD99" s="410" t="s">
        <v>1271</v>
      </c>
      <c r="BE99" s="423" t="s">
        <v>1272</v>
      </c>
      <c r="BF99" s="421"/>
    </row>
    <row r="100" spans="1:58" s="327" customFormat="1" ht="18" customHeight="1" x14ac:dyDescent="0.35">
      <c r="A100" s="660">
        <v>654</v>
      </c>
      <c r="B100" s="660" t="str">
        <f>VLOOKUP($A100,'Measure Level Adjustments Tab'!$A$5:$CL$272,6,FALSE)</f>
        <v>Income Qualified</v>
      </c>
      <c r="C100" s="659" t="s">
        <v>1933</v>
      </c>
      <c r="D100" s="659" t="s">
        <v>1791</v>
      </c>
      <c r="E100" s="411">
        <f>VLOOKUP($A100,'Measure Level Adjustments Tab'!$A$5:$CL$272,13,FALSE)</f>
        <v>1</v>
      </c>
      <c r="F100" s="411" t="str">
        <f>VLOOKUP($A100,'Measure Level Adjustments Tab'!$A$5:$CL$272,11,FALSE)</f>
        <v>5.6.5</v>
      </c>
      <c r="G100" s="411">
        <f>VLOOKUP($A100,'Measure Level Adjustments Tab'!$A$5:$CL$272,14,FALSE)</f>
        <v>0</v>
      </c>
      <c r="H100" s="663">
        <f>VLOOKUP($A100,'Measure Level Adjustments Tab'!$A$5:$CL$272,54,FALSE)</f>
        <v>20.159300000000002</v>
      </c>
      <c r="I100" s="663">
        <f>VLOOKUP($A100,'Measure Level Adjustments Tab'!$A$5:$CL$272,55,FALSE)</f>
        <v>20.229825000000002</v>
      </c>
      <c r="J100" s="663">
        <f>VLOOKUP($A100,'Measure Level Adjustments Tab'!$A$5:$CL$272,56,FALSE)</f>
        <v>18.651149999999998</v>
      </c>
      <c r="K100" s="663">
        <f>VLOOKUP($A100,'Measure Level Adjustments Tab'!$A$5:$CL$272,57,FALSE)</f>
        <v>20.006786974999997</v>
      </c>
      <c r="L100" s="411" t="str">
        <f>VLOOKUP($A100,'Measure Level Adjustments Tab'!$A$5:$CL$272,12,FALSE)</f>
        <v>RS-SHL-AINS-V07-180101</v>
      </c>
      <c r="M100" s="422"/>
      <c r="N100" s="662">
        <v>192.26324005021897</v>
      </c>
      <c r="O100" s="662">
        <v>192.26324005021897</v>
      </c>
      <c r="P100" s="662">
        <v>192.26324005021897</v>
      </c>
      <c r="Q100" s="662">
        <v>192.26324005021897</v>
      </c>
      <c r="R100" s="661">
        <f>VLOOKUP($A100,'Measure Level Adjustments Tab'!$A$5:$CL$272,46,FALSE)</f>
        <v>1</v>
      </c>
      <c r="S100" s="661">
        <f>VLOOKUP($A100,'Measure Level Adjustments Tab'!$A$5:$CL$272,47,FALSE)</f>
        <v>1</v>
      </c>
      <c r="T100" s="661">
        <f>VLOOKUP($A100,'Measure Level Adjustments Tab'!$A$5:$CL$272,48,FALSE)</f>
        <v>1</v>
      </c>
      <c r="U100" s="661">
        <f>VLOOKUP($A100,'Measure Level Adjustments Tab'!$A$5:$CL$272,49,FALSE)</f>
        <v>1</v>
      </c>
      <c r="V100" s="418">
        <f t="shared" si="20"/>
        <v>3875.8923351443796</v>
      </c>
      <c r="W100" s="418">
        <f t="shared" si="20"/>
        <v>3889.4517001489212</v>
      </c>
      <c r="X100" s="418">
        <f t="shared" si="20"/>
        <v>3585.9305296626412</v>
      </c>
      <c r="Y100" s="418">
        <f t="shared" si="34"/>
        <v>3846.5696868080186</v>
      </c>
      <c r="Z100" s="418">
        <f t="shared" si="21"/>
        <v>15197.84425176396</v>
      </c>
      <c r="AA100" s="410"/>
      <c r="AB100" s="422"/>
      <c r="AC100" s="415">
        <v>192.26324005021897</v>
      </c>
      <c r="AD100" s="416"/>
      <c r="AE100" s="414">
        <f t="shared" si="22"/>
        <v>3875.8923351443796</v>
      </c>
      <c r="AF100" s="412">
        <f t="shared" si="23"/>
        <v>0</v>
      </c>
      <c r="AG100" s="410"/>
      <c r="AH100" s="422"/>
      <c r="AI100" s="413">
        <v>230.71588806026276</v>
      </c>
      <c r="AJ100" s="2669" t="s">
        <v>3538</v>
      </c>
      <c r="AK100" s="414">
        <f t="shared" si="24"/>
        <v>4667.3420401787052</v>
      </c>
      <c r="AL100" s="412">
        <f t="shared" si="25"/>
        <v>777.89034002978406</v>
      </c>
      <c r="AM100" s="410"/>
      <c r="AN100" s="422"/>
      <c r="AO100" s="413">
        <v>253.78747686628907</v>
      </c>
      <c r="AP100" s="2669" t="s">
        <v>3922</v>
      </c>
      <c r="AQ100" s="414">
        <f t="shared" si="26"/>
        <v>4733.428299154687</v>
      </c>
      <c r="AR100" s="412">
        <f t="shared" si="27"/>
        <v>1147.4977694920458</v>
      </c>
      <c r="AS100" s="410"/>
      <c r="AT100" s="422"/>
      <c r="AU100" s="413">
        <f>VLOOKUP($A100,'Measure Level Adjustments Tab'!$A$5:$CL$272,53,FALSE)/U100</f>
        <v>253.78747686628907</v>
      </c>
      <c r="AV100" s="2669" t="s">
        <v>304</v>
      </c>
      <c r="AW100" s="414">
        <f t="shared" si="35"/>
        <v>5077.4719865865854</v>
      </c>
      <c r="AX100" s="412">
        <f t="shared" si="28"/>
        <v>1230.9022997785669</v>
      </c>
      <c r="AY100" s="418">
        <f t="shared" si="29"/>
        <v>3875.8923351443796</v>
      </c>
      <c r="AZ100" s="418">
        <f t="shared" si="30"/>
        <v>4667.3420401787052</v>
      </c>
      <c r="BA100" s="418">
        <f t="shared" si="31"/>
        <v>4733.428299154687</v>
      </c>
      <c r="BB100" s="418">
        <f t="shared" si="32"/>
        <v>5077.4719865865854</v>
      </c>
      <c r="BC100" s="419">
        <f t="shared" si="33"/>
        <v>18354.134661064356</v>
      </c>
      <c r="BD100" s="410" t="s">
        <v>1271</v>
      </c>
      <c r="BE100" s="423" t="s">
        <v>1272</v>
      </c>
      <c r="BF100" s="421"/>
    </row>
    <row r="101" spans="1:58" s="327" customFormat="1" ht="18" customHeight="1" x14ac:dyDescent="0.35">
      <c r="A101" s="660">
        <v>689</v>
      </c>
      <c r="B101" s="660" t="str">
        <f>VLOOKUP($A101,'Measure Level Adjustments Tab'!$A$5:$CL$272,6,FALSE)</f>
        <v>Income Qualified</v>
      </c>
      <c r="C101" s="659" t="s">
        <v>1933</v>
      </c>
      <c r="D101" s="659" t="s">
        <v>1844</v>
      </c>
      <c r="E101" s="411">
        <f>VLOOKUP($A101,'Measure Level Adjustments Tab'!$A$5:$CL$272,13,FALSE)</f>
        <v>1</v>
      </c>
      <c r="F101" s="411" t="str">
        <f>VLOOKUP($A101,'Measure Level Adjustments Tab'!$A$5:$CL$272,11,FALSE)</f>
        <v>5.4.1</v>
      </c>
      <c r="G101" s="411">
        <f>VLOOKUP($A101,'Measure Level Adjustments Tab'!$A$5:$CL$272,14,FALSE)</f>
        <v>0</v>
      </c>
      <c r="H101" s="663">
        <f>VLOOKUP($A101,'Measure Level Adjustments Tab'!$A$5:$CL$272,54,FALSE)</f>
        <v>650</v>
      </c>
      <c r="I101" s="663">
        <f>VLOOKUP($A101,'Measure Level Adjustments Tab'!$A$5:$CL$272,55,FALSE)</f>
        <v>653</v>
      </c>
      <c r="J101" s="663">
        <f>VLOOKUP($A101,'Measure Level Adjustments Tab'!$A$5:$CL$272,56,FALSE)</f>
        <v>602</v>
      </c>
      <c r="K101" s="663">
        <f>VLOOKUP($A101,'Measure Level Adjustments Tab'!$A$5:$CL$272,57,FALSE)</f>
        <v>645</v>
      </c>
      <c r="L101" s="411" t="str">
        <f>VLOOKUP($A101,'Measure Level Adjustments Tab'!$A$5:$CL$272,12,FALSE)</f>
        <v>RS-HWE-PINS-V02-150601</v>
      </c>
      <c r="M101" s="422"/>
      <c r="N101" s="662">
        <v>5.2865723076923077</v>
      </c>
      <c r="O101" s="662">
        <v>5.2865723076923077</v>
      </c>
      <c r="P101" s="662">
        <v>5.2865723076923077</v>
      </c>
      <c r="Q101" s="662">
        <v>5.2865723076923077</v>
      </c>
      <c r="R101" s="661">
        <f>VLOOKUP($A101,'Measure Level Adjustments Tab'!$A$5:$CL$272,46,FALSE)</f>
        <v>1</v>
      </c>
      <c r="S101" s="661">
        <f>VLOOKUP($A101,'Measure Level Adjustments Tab'!$A$5:$CL$272,47,FALSE)</f>
        <v>1</v>
      </c>
      <c r="T101" s="661">
        <f>VLOOKUP($A101,'Measure Level Adjustments Tab'!$A$5:$CL$272,48,FALSE)</f>
        <v>1</v>
      </c>
      <c r="U101" s="661">
        <f>VLOOKUP($A101,'Measure Level Adjustments Tab'!$A$5:$CL$272,49,FALSE)</f>
        <v>1</v>
      </c>
      <c r="V101" s="418">
        <f t="shared" si="20"/>
        <v>3436.2719999999999</v>
      </c>
      <c r="W101" s="418">
        <f t="shared" si="20"/>
        <v>3452.131716923077</v>
      </c>
      <c r="X101" s="418">
        <f t="shared" si="20"/>
        <v>3182.5165292307693</v>
      </c>
      <c r="Y101" s="418">
        <f t="shared" si="34"/>
        <v>3409.8391384615384</v>
      </c>
      <c r="Z101" s="418">
        <f t="shared" si="21"/>
        <v>13480.759384615385</v>
      </c>
      <c r="AA101" s="410"/>
      <c r="AB101" s="422"/>
      <c r="AC101" s="415">
        <v>5.2865723076923077</v>
      </c>
      <c r="AD101" s="416"/>
      <c r="AE101" s="414">
        <f t="shared" si="22"/>
        <v>3436.2719999999999</v>
      </c>
      <c r="AF101" s="412">
        <f t="shared" si="23"/>
        <v>0</v>
      </c>
      <c r="AG101" s="410"/>
      <c r="AH101" s="422"/>
      <c r="AI101" s="413">
        <v>4.4032292307692309</v>
      </c>
      <c r="AJ101" s="2669" t="s">
        <v>3510</v>
      </c>
      <c r="AK101" s="414">
        <f t="shared" si="24"/>
        <v>2875.3086876923076</v>
      </c>
      <c r="AL101" s="412">
        <f t="shared" si="25"/>
        <v>-576.82302923076941</v>
      </c>
      <c r="AM101" s="410"/>
      <c r="AN101" s="422"/>
      <c r="AO101" s="413">
        <v>4.4032292307692309</v>
      </c>
      <c r="AP101" s="2669" t="s">
        <v>304</v>
      </c>
      <c r="AQ101" s="414">
        <f t="shared" si="26"/>
        <v>2650.7439969230768</v>
      </c>
      <c r="AR101" s="412">
        <f t="shared" si="27"/>
        <v>-531.77253230769247</v>
      </c>
      <c r="AS101" s="410"/>
      <c r="AT101" s="422"/>
      <c r="AU101" s="413">
        <f>VLOOKUP($A101,'Measure Level Adjustments Tab'!$A$5:$CL$272,53,FALSE)/U101</f>
        <v>4.4032292307692309</v>
      </c>
      <c r="AV101" s="2669" t="s">
        <v>304</v>
      </c>
      <c r="AW101" s="414">
        <f t="shared" si="35"/>
        <v>2840.0828538461537</v>
      </c>
      <c r="AX101" s="412">
        <f t="shared" si="28"/>
        <v>-569.75628461538463</v>
      </c>
      <c r="AY101" s="418">
        <f t="shared" si="29"/>
        <v>3436.2719999999999</v>
      </c>
      <c r="AZ101" s="418">
        <f t="shared" si="30"/>
        <v>2875.3086876923076</v>
      </c>
      <c r="BA101" s="418">
        <f t="shared" si="31"/>
        <v>2650.7439969230768</v>
      </c>
      <c r="BB101" s="418">
        <f t="shared" si="32"/>
        <v>2840.0828538461537</v>
      </c>
      <c r="BC101" s="419">
        <f t="shared" si="33"/>
        <v>11802.407538461537</v>
      </c>
      <c r="BD101" s="410" t="s">
        <v>1271</v>
      </c>
      <c r="BE101" s="423" t="s">
        <v>1272</v>
      </c>
      <c r="BF101" s="421"/>
    </row>
    <row r="102" spans="1:58" s="327" customFormat="1" ht="18" customHeight="1" x14ac:dyDescent="0.35">
      <c r="A102" s="660">
        <v>555</v>
      </c>
      <c r="B102" s="660" t="str">
        <f>VLOOKUP($A102,'Measure Level Adjustments Tab'!$A$5:$CL$272,6,FALSE)</f>
        <v>Income Qualified</v>
      </c>
      <c r="C102" s="659" t="s">
        <v>1933</v>
      </c>
      <c r="D102" s="659" t="s">
        <v>1938</v>
      </c>
      <c r="E102" s="411">
        <f>VLOOKUP($A102,'Measure Level Adjustments Tab'!$A$5:$CL$272,13,FALSE)</f>
        <v>1</v>
      </c>
      <c r="F102" s="411" t="str">
        <f>VLOOKUP($A102,'Measure Level Adjustments Tab'!$A$5:$CL$272,11,FALSE)</f>
        <v>5.3.7</v>
      </c>
      <c r="G102" s="411">
        <f>VLOOKUP($A102,'Measure Level Adjustments Tab'!$A$5:$CL$272,14,FALSE)</f>
        <v>0</v>
      </c>
      <c r="H102" s="663">
        <f>VLOOKUP($A102,'Measure Level Adjustments Tab'!$A$5:$CL$272,54,FALSE)</f>
        <v>50</v>
      </c>
      <c r="I102" s="663">
        <f>VLOOKUP($A102,'Measure Level Adjustments Tab'!$A$5:$CL$272,55,FALSE)</f>
        <v>50</v>
      </c>
      <c r="J102" s="663">
        <f>VLOOKUP($A102,'Measure Level Adjustments Tab'!$A$5:$CL$272,56,FALSE)</f>
        <v>50</v>
      </c>
      <c r="K102" s="663">
        <f>VLOOKUP($A102,'Measure Level Adjustments Tab'!$A$5:$CL$272,57,FALSE)</f>
        <v>50</v>
      </c>
      <c r="L102" s="411" t="str">
        <f>VLOOKUP($A102,'Measure Level Adjustments Tab'!$A$5:$CL$272,12,FALSE)</f>
        <v>RS-HVC-GHEF-V07-180101</v>
      </c>
      <c r="M102" s="422"/>
      <c r="N102" s="662">
        <v>140.92105263157899</v>
      </c>
      <c r="O102" s="662">
        <v>140.92105263157899</v>
      </c>
      <c r="P102" s="662">
        <v>140.92105263157899</v>
      </c>
      <c r="Q102" s="662">
        <v>140.92105263157899</v>
      </c>
      <c r="R102" s="661">
        <f>VLOOKUP($A102,'Measure Level Adjustments Tab'!$A$5:$CL$272,46,FALSE)</f>
        <v>1</v>
      </c>
      <c r="S102" s="661">
        <f>VLOOKUP($A102,'Measure Level Adjustments Tab'!$A$5:$CL$272,47,FALSE)</f>
        <v>1</v>
      </c>
      <c r="T102" s="661">
        <f>VLOOKUP($A102,'Measure Level Adjustments Tab'!$A$5:$CL$272,48,FALSE)</f>
        <v>1</v>
      </c>
      <c r="U102" s="661">
        <f>VLOOKUP($A102,'Measure Level Adjustments Tab'!$A$5:$CL$272,49,FALSE)</f>
        <v>1</v>
      </c>
      <c r="V102" s="418">
        <f t="shared" si="20"/>
        <v>7046.0526315789493</v>
      </c>
      <c r="W102" s="418">
        <f t="shared" si="20"/>
        <v>7046.0526315789493</v>
      </c>
      <c r="X102" s="418">
        <f t="shared" si="20"/>
        <v>7046.0526315789493</v>
      </c>
      <c r="Y102" s="418">
        <f t="shared" si="34"/>
        <v>7046.0526315789493</v>
      </c>
      <c r="Z102" s="418">
        <f t="shared" si="21"/>
        <v>28184.210526315797</v>
      </c>
      <c r="AA102" s="410"/>
      <c r="AB102" s="422"/>
      <c r="AC102" s="415">
        <v>140.92105263157899</v>
      </c>
      <c r="AD102" s="416"/>
      <c r="AE102" s="414">
        <f t="shared" si="22"/>
        <v>7046.0526315789493</v>
      </c>
      <c r="AF102" s="412">
        <f t="shared" si="23"/>
        <v>0</v>
      </c>
      <c r="AG102" s="410"/>
      <c r="AH102" s="422"/>
      <c r="AI102" s="413">
        <v>133.97435897435881</v>
      </c>
      <c r="AJ102" s="2669" t="s">
        <v>3499</v>
      </c>
      <c r="AK102" s="414">
        <f t="shared" si="24"/>
        <v>6698.7179487179401</v>
      </c>
      <c r="AL102" s="412">
        <f t="shared" si="25"/>
        <v>-347.33468286100924</v>
      </c>
      <c r="AM102" s="410"/>
      <c r="AN102" s="422"/>
      <c r="AO102" s="413">
        <v>133.97435897435881</v>
      </c>
      <c r="AP102" s="2669" t="s">
        <v>304</v>
      </c>
      <c r="AQ102" s="414">
        <f t="shared" si="26"/>
        <v>6698.7179487179401</v>
      </c>
      <c r="AR102" s="412">
        <f t="shared" si="27"/>
        <v>-347.33468286100924</v>
      </c>
      <c r="AS102" s="410"/>
      <c r="AT102" s="422"/>
      <c r="AU102" s="413">
        <f>VLOOKUP($A102,'Measure Level Adjustments Tab'!$A$5:$CL$272,53,FALSE)/U102</f>
        <v>149.11346153846137</v>
      </c>
      <c r="AV102" s="2669" t="s">
        <v>4387</v>
      </c>
      <c r="AW102" s="414">
        <f t="shared" si="35"/>
        <v>7455.673076923068</v>
      </c>
      <c r="AX102" s="412">
        <f t="shared" si="28"/>
        <v>409.62044534411871</v>
      </c>
      <c r="AY102" s="418">
        <f t="shared" si="29"/>
        <v>7046.0526315789493</v>
      </c>
      <c r="AZ102" s="418">
        <f t="shared" si="30"/>
        <v>6698.7179487179401</v>
      </c>
      <c r="BA102" s="418">
        <f t="shared" si="31"/>
        <v>6698.7179487179401</v>
      </c>
      <c r="BB102" s="418">
        <f t="shared" si="32"/>
        <v>7455.673076923068</v>
      </c>
      <c r="BC102" s="419">
        <f t="shared" si="33"/>
        <v>27899.161605937898</v>
      </c>
      <c r="BD102" s="410" t="s">
        <v>1271</v>
      </c>
      <c r="BE102" s="423" t="s">
        <v>1272</v>
      </c>
      <c r="BF102" s="421"/>
    </row>
    <row r="103" spans="1:58" s="327" customFormat="1" ht="18" customHeight="1" x14ac:dyDescent="0.35">
      <c r="A103" s="660">
        <v>551</v>
      </c>
      <c r="B103" s="660" t="str">
        <f>VLOOKUP($A103,'Measure Level Adjustments Tab'!$A$5:$CL$272,6,FALSE)</f>
        <v>Income Qualified</v>
      </c>
      <c r="C103" s="659" t="s">
        <v>1933</v>
      </c>
      <c r="D103" s="659" t="s">
        <v>39</v>
      </c>
      <c r="E103" s="411">
        <f>VLOOKUP($A103,'Measure Level Adjustments Tab'!$A$5:$CL$272,13,FALSE)</f>
        <v>1</v>
      </c>
      <c r="F103" s="411" t="str">
        <f>VLOOKUP($A103,'Measure Level Adjustments Tab'!$A$5:$CL$272,11,FALSE)</f>
        <v>5.4.5</v>
      </c>
      <c r="G103" s="411">
        <f>VLOOKUP($A103,'Measure Level Adjustments Tab'!$A$5:$CL$272,14,FALSE)</f>
        <v>0</v>
      </c>
      <c r="H103" s="663">
        <f>VLOOKUP($A103,'Measure Level Adjustments Tab'!$A$5:$CL$272,54,FALSE)</f>
        <v>1663.1999999999998</v>
      </c>
      <c r="I103" s="663">
        <f>VLOOKUP($A103,'Measure Level Adjustments Tab'!$A$5:$CL$272,55,FALSE)</f>
        <v>1649.1999999999998</v>
      </c>
      <c r="J103" s="663">
        <f>VLOOKUP($A103,'Measure Level Adjustments Tab'!$A$5:$CL$272,56,FALSE)</f>
        <v>5593</v>
      </c>
      <c r="K103" s="663">
        <f>VLOOKUP($A103,'Measure Level Adjustments Tab'!$A$5:$CL$272,57,FALSE)</f>
        <v>3747.1</v>
      </c>
      <c r="L103" s="411" t="str">
        <f>VLOOKUP($A103,'Measure Level Adjustments Tab'!$A$5:$CL$272,12,FALSE)</f>
        <v>RS-HWE-LFSH-V05-180101</v>
      </c>
      <c r="M103" s="422"/>
      <c r="N103" s="662">
        <v>3.38</v>
      </c>
      <c r="O103" s="662">
        <v>3.38</v>
      </c>
      <c r="P103" s="662">
        <v>3.38</v>
      </c>
      <c r="Q103" s="662">
        <v>3.38</v>
      </c>
      <c r="R103" s="661">
        <f>VLOOKUP($A103,'Measure Level Adjustments Tab'!$A$5:$CL$272,46,FALSE)</f>
        <v>1</v>
      </c>
      <c r="S103" s="661">
        <f>VLOOKUP($A103,'Measure Level Adjustments Tab'!$A$5:$CL$272,47,FALSE)</f>
        <v>1</v>
      </c>
      <c r="T103" s="661">
        <f>VLOOKUP($A103,'Measure Level Adjustments Tab'!$A$5:$CL$272,48,FALSE)</f>
        <v>1</v>
      </c>
      <c r="U103" s="661">
        <f>VLOOKUP($A103,'Measure Level Adjustments Tab'!$A$5:$CL$272,49,FALSE)</f>
        <v>1</v>
      </c>
      <c r="V103" s="418">
        <f t="shared" si="20"/>
        <v>5621.6159999999991</v>
      </c>
      <c r="W103" s="418">
        <f t="shared" si="20"/>
        <v>5574.2959999999994</v>
      </c>
      <c r="X103" s="418">
        <f t="shared" si="20"/>
        <v>18904.34</v>
      </c>
      <c r="Y103" s="418">
        <f t="shared" si="34"/>
        <v>12665.197999999999</v>
      </c>
      <c r="Z103" s="418">
        <f t="shared" si="21"/>
        <v>42765.45</v>
      </c>
      <c r="AA103" s="410"/>
      <c r="AB103" s="422"/>
      <c r="AC103" s="415">
        <v>3.38</v>
      </c>
      <c r="AD103" s="416"/>
      <c r="AE103" s="414">
        <f t="shared" si="22"/>
        <v>5621.6159999999991</v>
      </c>
      <c r="AF103" s="412">
        <f t="shared" si="23"/>
        <v>0</v>
      </c>
      <c r="AG103" s="410"/>
      <c r="AH103" s="422"/>
      <c r="AI103" s="413">
        <v>3.38</v>
      </c>
      <c r="AJ103" s="2669" t="s">
        <v>3516</v>
      </c>
      <c r="AK103" s="414">
        <f t="shared" si="24"/>
        <v>5574.2959999999994</v>
      </c>
      <c r="AL103" s="412">
        <f t="shared" si="25"/>
        <v>0</v>
      </c>
      <c r="AM103" s="410"/>
      <c r="AN103" s="422"/>
      <c r="AO103" s="413">
        <v>4.5599999999999996</v>
      </c>
      <c r="AP103" s="2669" t="s">
        <v>304</v>
      </c>
      <c r="AQ103" s="414">
        <f t="shared" si="26"/>
        <v>25504.079999999998</v>
      </c>
      <c r="AR103" s="412">
        <f t="shared" si="27"/>
        <v>6599.739999999998</v>
      </c>
      <c r="AS103" s="410"/>
      <c r="AT103" s="422"/>
      <c r="AU103" s="413">
        <f>VLOOKUP($A103,'Measure Level Adjustments Tab'!$A$5:$CL$272,53,FALSE)/U103</f>
        <v>4.5599999999999996</v>
      </c>
      <c r="AV103" s="2669" t="s">
        <v>304</v>
      </c>
      <c r="AW103" s="414">
        <f t="shared" si="35"/>
        <v>17086.775999999998</v>
      </c>
      <c r="AX103" s="412">
        <f t="shared" si="28"/>
        <v>4421.5779999999995</v>
      </c>
      <c r="AY103" s="418">
        <f t="shared" si="29"/>
        <v>5621.6159999999991</v>
      </c>
      <c r="AZ103" s="418">
        <f t="shared" si="30"/>
        <v>5574.2959999999994</v>
      </c>
      <c r="BA103" s="418">
        <f t="shared" si="31"/>
        <v>25504.079999999998</v>
      </c>
      <c r="BB103" s="418">
        <f t="shared" si="32"/>
        <v>17086.775999999998</v>
      </c>
      <c r="BC103" s="419">
        <f t="shared" si="33"/>
        <v>53786.767999999996</v>
      </c>
      <c r="BD103" s="410" t="s">
        <v>1271</v>
      </c>
      <c r="BE103" s="423" t="s">
        <v>1272</v>
      </c>
      <c r="BF103" s="421"/>
    </row>
    <row r="104" spans="1:58" s="327" customFormat="1" ht="18" customHeight="1" x14ac:dyDescent="0.35">
      <c r="A104" s="660">
        <v>547</v>
      </c>
      <c r="B104" s="660" t="str">
        <f>VLOOKUP($A104,'Measure Level Adjustments Tab'!$A$5:$CL$272,6,FALSE)</f>
        <v>Income Qualified</v>
      </c>
      <c r="C104" s="659" t="s">
        <v>1933</v>
      </c>
      <c r="D104" s="659" t="s">
        <v>40</v>
      </c>
      <c r="E104" s="411">
        <f>VLOOKUP($A104,'Measure Level Adjustments Tab'!$A$5:$CL$272,13,FALSE)</f>
        <v>1</v>
      </c>
      <c r="F104" s="411" t="str">
        <f>VLOOKUP($A104,'Measure Level Adjustments Tab'!$A$5:$CL$272,11,FALSE)</f>
        <v>5.4.4</v>
      </c>
      <c r="G104" s="411">
        <f>VLOOKUP($A104,'Measure Level Adjustments Tab'!$A$5:$CL$272,14,FALSE)</f>
        <v>0</v>
      </c>
      <c r="H104" s="663">
        <f>VLOOKUP($A104,'Measure Level Adjustments Tab'!$A$5:$CL$272,54,FALSE)</f>
        <v>1663.1999999999998</v>
      </c>
      <c r="I104" s="663">
        <f>VLOOKUP($A104,'Measure Level Adjustments Tab'!$A$5:$CL$272,55,FALSE)</f>
        <v>1649.1999999999998</v>
      </c>
      <c r="J104" s="663">
        <f>VLOOKUP($A104,'Measure Level Adjustments Tab'!$A$5:$CL$272,56,FALSE)</f>
        <v>5593</v>
      </c>
      <c r="K104" s="663">
        <f>VLOOKUP($A104,'Measure Level Adjustments Tab'!$A$5:$CL$272,57,FALSE)</f>
        <v>3747.1</v>
      </c>
      <c r="L104" s="411" t="str">
        <f>VLOOKUP($A104,'Measure Level Adjustments Tab'!$A$5:$CL$272,12,FALSE)</f>
        <v>RS-HWE-LFFA-V06-180101</v>
      </c>
      <c r="M104" s="422"/>
      <c r="N104" s="662">
        <v>0.35</v>
      </c>
      <c r="O104" s="662">
        <v>0.35</v>
      </c>
      <c r="P104" s="662">
        <v>0.35</v>
      </c>
      <c r="Q104" s="662">
        <v>0.35</v>
      </c>
      <c r="R104" s="661">
        <f>VLOOKUP($A104,'Measure Level Adjustments Tab'!$A$5:$CL$272,46,FALSE)</f>
        <v>1</v>
      </c>
      <c r="S104" s="661">
        <f>VLOOKUP($A104,'Measure Level Adjustments Tab'!$A$5:$CL$272,47,FALSE)</f>
        <v>1</v>
      </c>
      <c r="T104" s="661">
        <f>VLOOKUP($A104,'Measure Level Adjustments Tab'!$A$5:$CL$272,48,FALSE)</f>
        <v>1</v>
      </c>
      <c r="U104" s="661">
        <f>VLOOKUP($A104,'Measure Level Adjustments Tab'!$A$5:$CL$272,49,FALSE)</f>
        <v>1</v>
      </c>
      <c r="V104" s="418">
        <f t="shared" si="20"/>
        <v>582.11999999999989</v>
      </c>
      <c r="W104" s="418">
        <f t="shared" si="20"/>
        <v>577.21999999999991</v>
      </c>
      <c r="X104" s="418">
        <f t="shared" si="20"/>
        <v>1957.55</v>
      </c>
      <c r="Y104" s="418">
        <f t="shared" si="34"/>
        <v>1311.4849999999999</v>
      </c>
      <c r="Z104" s="418">
        <f t="shared" si="21"/>
        <v>4428.3749999999991</v>
      </c>
      <c r="AA104" s="410"/>
      <c r="AB104" s="422"/>
      <c r="AC104" s="415">
        <v>0.35</v>
      </c>
      <c r="AD104" s="416"/>
      <c r="AE104" s="414">
        <f t="shared" si="22"/>
        <v>582.11999999999989</v>
      </c>
      <c r="AF104" s="412">
        <f t="shared" si="23"/>
        <v>0</v>
      </c>
      <c r="AG104" s="410"/>
      <c r="AH104" s="422"/>
      <c r="AI104" s="413">
        <v>0.45</v>
      </c>
      <c r="AJ104" s="2669" t="s">
        <v>3514</v>
      </c>
      <c r="AK104" s="414">
        <f t="shared" si="24"/>
        <v>742.14</v>
      </c>
      <c r="AL104" s="412">
        <f t="shared" si="25"/>
        <v>164.92000000000007</v>
      </c>
      <c r="AM104" s="410"/>
      <c r="AN104" s="422"/>
      <c r="AO104" s="413">
        <v>0.67</v>
      </c>
      <c r="AP104" s="2669" t="s">
        <v>304</v>
      </c>
      <c r="AQ104" s="414">
        <f t="shared" si="26"/>
        <v>3747.3100000000004</v>
      </c>
      <c r="AR104" s="412">
        <f t="shared" si="27"/>
        <v>1789.7600000000004</v>
      </c>
      <c r="AS104" s="410"/>
      <c r="AT104" s="422"/>
      <c r="AU104" s="413">
        <f>VLOOKUP($A104,'Measure Level Adjustments Tab'!$A$5:$CL$272,53,FALSE)/U104</f>
        <v>0.67</v>
      </c>
      <c r="AV104" s="2669" t="s">
        <v>304</v>
      </c>
      <c r="AW104" s="414">
        <f t="shared" si="35"/>
        <v>2510.5570000000002</v>
      </c>
      <c r="AX104" s="412">
        <f t="shared" si="28"/>
        <v>1199.0720000000003</v>
      </c>
      <c r="AY104" s="418">
        <f t="shared" si="29"/>
        <v>582.11999999999989</v>
      </c>
      <c r="AZ104" s="418">
        <f t="shared" si="30"/>
        <v>742.14</v>
      </c>
      <c r="BA104" s="418">
        <f t="shared" si="31"/>
        <v>3747.3100000000004</v>
      </c>
      <c r="BB104" s="418">
        <f t="shared" si="32"/>
        <v>2510.5570000000002</v>
      </c>
      <c r="BC104" s="419">
        <f t="shared" si="33"/>
        <v>7582.1270000000004</v>
      </c>
      <c r="BD104" s="410" t="s">
        <v>1271</v>
      </c>
      <c r="BE104" s="423" t="s">
        <v>1272</v>
      </c>
      <c r="BF104" s="421"/>
    </row>
    <row r="105" spans="1:58" s="327" customFormat="1" ht="18" customHeight="1" x14ac:dyDescent="0.35">
      <c r="A105" s="660">
        <v>549</v>
      </c>
      <c r="B105" s="660" t="str">
        <f>VLOOKUP($A105,'Measure Level Adjustments Tab'!$A$5:$CL$272,6,FALSE)</f>
        <v>Income Qualified</v>
      </c>
      <c r="C105" s="659" t="s">
        <v>1933</v>
      </c>
      <c r="D105" s="659" t="s">
        <v>41</v>
      </c>
      <c r="E105" s="411">
        <f>VLOOKUP($A105,'Measure Level Adjustments Tab'!$A$5:$CL$272,13,FALSE)</f>
        <v>1</v>
      </c>
      <c r="F105" s="411" t="str">
        <f>VLOOKUP($A105,'Measure Level Adjustments Tab'!$A$5:$CL$272,11,FALSE)</f>
        <v>5.4.4</v>
      </c>
      <c r="G105" s="411">
        <f>VLOOKUP($A105,'Measure Level Adjustments Tab'!$A$5:$CL$272,14,FALSE)</f>
        <v>0</v>
      </c>
      <c r="H105" s="663">
        <f>VLOOKUP($A105,'Measure Level Adjustments Tab'!$A$5:$CL$272,54,FALSE)</f>
        <v>1663.1999999999998</v>
      </c>
      <c r="I105" s="663">
        <f>VLOOKUP($A105,'Measure Level Adjustments Tab'!$A$5:$CL$272,55,FALSE)</f>
        <v>1649.1999999999998</v>
      </c>
      <c r="J105" s="663">
        <f>VLOOKUP($A105,'Measure Level Adjustments Tab'!$A$5:$CL$272,56,FALSE)</f>
        <v>5593</v>
      </c>
      <c r="K105" s="663">
        <f>VLOOKUP($A105,'Measure Level Adjustments Tab'!$A$5:$CL$272,57,FALSE)</f>
        <v>3747.1</v>
      </c>
      <c r="L105" s="411" t="str">
        <f>VLOOKUP($A105,'Measure Level Adjustments Tab'!$A$5:$CL$272,12,FALSE)</f>
        <v>RS-HWE-LFFA-V06-180101</v>
      </c>
      <c r="M105" s="422"/>
      <c r="N105" s="662">
        <v>2.41</v>
      </c>
      <c r="O105" s="662">
        <v>2.41</v>
      </c>
      <c r="P105" s="662">
        <v>2.41</v>
      </c>
      <c r="Q105" s="662">
        <v>2.41</v>
      </c>
      <c r="R105" s="661">
        <f>VLOOKUP($A105,'Measure Level Adjustments Tab'!$A$5:$CL$272,46,FALSE)</f>
        <v>1</v>
      </c>
      <c r="S105" s="661">
        <f>VLOOKUP($A105,'Measure Level Adjustments Tab'!$A$5:$CL$272,47,FALSE)</f>
        <v>1</v>
      </c>
      <c r="T105" s="661">
        <f>VLOOKUP($A105,'Measure Level Adjustments Tab'!$A$5:$CL$272,48,FALSE)</f>
        <v>1</v>
      </c>
      <c r="U105" s="661">
        <f>VLOOKUP($A105,'Measure Level Adjustments Tab'!$A$5:$CL$272,49,FALSE)</f>
        <v>1</v>
      </c>
      <c r="V105" s="418">
        <f t="shared" si="20"/>
        <v>4008.3119999999999</v>
      </c>
      <c r="W105" s="418">
        <f t="shared" si="20"/>
        <v>3974.5719999999997</v>
      </c>
      <c r="X105" s="418">
        <f t="shared" si="20"/>
        <v>13479.130000000001</v>
      </c>
      <c r="Y105" s="418">
        <f t="shared" si="34"/>
        <v>9030.5110000000004</v>
      </c>
      <c r="Z105" s="418">
        <f t="shared" si="21"/>
        <v>30492.525000000001</v>
      </c>
      <c r="AA105" s="410"/>
      <c r="AB105" s="422"/>
      <c r="AC105" s="415">
        <v>2.41</v>
      </c>
      <c r="AD105" s="416"/>
      <c r="AE105" s="414">
        <f t="shared" si="22"/>
        <v>4008.3119999999999</v>
      </c>
      <c r="AF105" s="412">
        <f t="shared" si="23"/>
        <v>0</v>
      </c>
      <c r="AG105" s="410"/>
      <c r="AH105" s="422"/>
      <c r="AI105" s="413">
        <v>3.69</v>
      </c>
      <c r="AJ105" s="2669" t="s">
        <v>3514</v>
      </c>
      <c r="AK105" s="414">
        <f t="shared" si="24"/>
        <v>6085.5479999999989</v>
      </c>
      <c r="AL105" s="412">
        <f t="shared" si="25"/>
        <v>2110.9759999999992</v>
      </c>
      <c r="AM105" s="410"/>
      <c r="AN105" s="422"/>
      <c r="AO105" s="413">
        <v>4.9800000000000004</v>
      </c>
      <c r="AP105" s="2669" t="s">
        <v>304</v>
      </c>
      <c r="AQ105" s="414">
        <f t="shared" si="26"/>
        <v>27853.140000000003</v>
      </c>
      <c r="AR105" s="412">
        <f t="shared" si="27"/>
        <v>14374.010000000002</v>
      </c>
      <c r="AS105" s="410"/>
      <c r="AT105" s="422"/>
      <c r="AU105" s="413">
        <f>VLOOKUP($A105,'Measure Level Adjustments Tab'!$A$5:$CL$272,53,FALSE)/U105</f>
        <v>4.9800000000000004</v>
      </c>
      <c r="AV105" s="2669" t="s">
        <v>304</v>
      </c>
      <c r="AW105" s="414">
        <f t="shared" si="35"/>
        <v>18660.558000000001</v>
      </c>
      <c r="AX105" s="412">
        <f t="shared" si="28"/>
        <v>9630.0470000000005</v>
      </c>
      <c r="AY105" s="418">
        <f t="shared" si="29"/>
        <v>4008.3119999999999</v>
      </c>
      <c r="AZ105" s="418">
        <f t="shared" si="30"/>
        <v>6085.5479999999989</v>
      </c>
      <c r="BA105" s="418">
        <f t="shared" si="31"/>
        <v>27853.140000000003</v>
      </c>
      <c r="BB105" s="418">
        <f t="shared" si="32"/>
        <v>18660.558000000001</v>
      </c>
      <c r="BC105" s="419">
        <f t="shared" si="33"/>
        <v>56607.558000000005</v>
      </c>
      <c r="BD105" s="410" t="s">
        <v>1271</v>
      </c>
      <c r="BE105" s="423" t="s">
        <v>1272</v>
      </c>
      <c r="BF105" s="421"/>
    </row>
    <row r="106" spans="1:58" s="327" customFormat="1" ht="18" customHeight="1" x14ac:dyDescent="0.35">
      <c r="A106" s="660">
        <v>554</v>
      </c>
      <c r="B106" s="660" t="str">
        <f>VLOOKUP($A106,'Measure Level Adjustments Tab'!$A$5:$CL$272,6,FALSE)</f>
        <v>Income Qualified</v>
      </c>
      <c r="C106" s="659" t="s">
        <v>1933</v>
      </c>
      <c r="D106" s="659" t="s">
        <v>42</v>
      </c>
      <c r="E106" s="411">
        <f>VLOOKUP($A106,'Measure Level Adjustments Tab'!$A$5:$CL$272,13,FALSE)</f>
        <v>1</v>
      </c>
      <c r="F106" s="411" t="str">
        <f>VLOOKUP($A106,'Measure Level Adjustments Tab'!$A$5:$CL$272,11,FALSE)</f>
        <v>5.4.6</v>
      </c>
      <c r="G106" s="411">
        <f>VLOOKUP($A106,'Measure Level Adjustments Tab'!$A$5:$CL$272,14,FALSE)</f>
        <v>0</v>
      </c>
      <c r="H106" s="663">
        <f>VLOOKUP($A106,'Measure Level Adjustments Tab'!$A$5:$CL$272,54,FALSE)</f>
        <v>1663.1999999999998</v>
      </c>
      <c r="I106" s="663">
        <f>VLOOKUP($A106,'Measure Level Adjustments Tab'!$A$5:$CL$272,55,FALSE)</f>
        <v>1649.1999999999998</v>
      </c>
      <c r="J106" s="663">
        <f>VLOOKUP($A106,'Measure Level Adjustments Tab'!$A$5:$CL$272,56,FALSE)</f>
        <v>5593</v>
      </c>
      <c r="K106" s="663">
        <f>VLOOKUP($A106,'Measure Level Adjustments Tab'!$A$5:$CL$272,57,FALSE)</f>
        <v>3747.1</v>
      </c>
      <c r="L106" s="411" t="str">
        <f>VLOOKUP($A106,'Measure Level Adjustments Tab'!$A$5:$CL$272,12,FALSE)</f>
        <v>RS-HWE-TMPS-V05-160601</v>
      </c>
      <c r="M106" s="422"/>
      <c r="N106" s="662">
        <v>1.6151727892153844</v>
      </c>
      <c r="O106" s="662">
        <v>1.6151727892153844</v>
      </c>
      <c r="P106" s="662">
        <v>1.6151727892153844</v>
      </c>
      <c r="Q106" s="662">
        <v>1.6151727892153844</v>
      </c>
      <c r="R106" s="661">
        <f>VLOOKUP($A106,'Measure Level Adjustments Tab'!$A$5:$CL$272,46,FALSE)</f>
        <v>1</v>
      </c>
      <c r="S106" s="661">
        <f>VLOOKUP($A106,'Measure Level Adjustments Tab'!$A$5:$CL$272,47,FALSE)</f>
        <v>1</v>
      </c>
      <c r="T106" s="661">
        <f>VLOOKUP($A106,'Measure Level Adjustments Tab'!$A$5:$CL$272,48,FALSE)</f>
        <v>1</v>
      </c>
      <c r="U106" s="661">
        <f>VLOOKUP($A106,'Measure Level Adjustments Tab'!$A$5:$CL$272,49,FALSE)</f>
        <v>1</v>
      </c>
      <c r="V106" s="418">
        <f t="shared" si="20"/>
        <v>2686.3553830230271</v>
      </c>
      <c r="W106" s="418">
        <f t="shared" si="20"/>
        <v>2663.7429639740117</v>
      </c>
      <c r="X106" s="418">
        <f t="shared" si="20"/>
        <v>9033.661410081646</v>
      </c>
      <c r="Y106" s="418">
        <f t="shared" si="34"/>
        <v>6052.2139584689667</v>
      </c>
      <c r="Z106" s="418">
        <f t="shared" si="21"/>
        <v>20435.973715547654</v>
      </c>
      <c r="AA106" s="410"/>
      <c r="AB106" s="422"/>
      <c r="AC106" s="415">
        <v>1.6151727892153844</v>
      </c>
      <c r="AD106" s="416"/>
      <c r="AE106" s="414">
        <f t="shared" si="22"/>
        <v>2686.3553830230271</v>
      </c>
      <c r="AF106" s="412">
        <f t="shared" si="23"/>
        <v>0</v>
      </c>
      <c r="AG106" s="410"/>
      <c r="AH106" s="422"/>
      <c r="AI106" s="413">
        <v>1.6151727892153844</v>
      </c>
      <c r="AJ106" s="2669" t="s">
        <v>820</v>
      </c>
      <c r="AK106" s="414">
        <f t="shared" si="24"/>
        <v>2663.7429639740117</v>
      </c>
      <c r="AL106" s="412">
        <f t="shared" si="25"/>
        <v>0</v>
      </c>
      <c r="AM106" s="410"/>
      <c r="AN106" s="422"/>
      <c r="AO106" s="413">
        <v>1.6151727892153844</v>
      </c>
      <c r="AP106" s="2669" t="s">
        <v>304</v>
      </c>
      <c r="AQ106" s="414">
        <f t="shared" si="26"/>
        <v>9033.661410081646</v>
      </c>
      <c r="AR106" s="412">
        <f t="shared" si="27"/>
        <v>0</v>
      </c>
      <c r="AS106" s="410"/>
      <c r="AT106" s="422"/>
      <c r="AU106" s="413">
        <f>VLOOKUP($A106,'Measure Level Adjustments Tab'!$A$5:$CL$272,53,FALSE)/U106</f>
        <v>0.32433188538461538</v>
      </c>
      <c r="AV106" s="2669" t="s">
        <v>4358</v>
      </c>
      <c r="AW106" s="414">
        <f t="shared" si="35"/>
        <v>1215.3040077246922</v>
      </c>
      <c r="AX106" s="412">
        <f t="shared" si="28"/>
        <v>-4836.9099507442743</v>
      </c>
      <c r="AY106" s="418">
        <f t="shared" si="29"/>
        <v>2686.3553830230271</v>
      </c>
      <c r="AZ106" s="418">
        <f t="shared" si="30"/>
        <v>2663.7429639740117</v>
      </c>
      <c r="BA106" s="418">
        <f t="shared" si="31"/>
        <v>9033.661410081646</v>
      </c>
      <c r="BB106" s="418">
        <f t="shared" si="32"/>
        <v>1215.3040077246922</v>
      </c>
      <c r="BC106" s="419">
        <f t="shared" si="33"/>
        <v>15599.063764803377</v>
      </c>
      <c r="BD106" s="410" t="s">
        <v>1271</v>
      </c>
      <c r="BE106" s="423" t="s">
        <v>1272</v>
      </c>
      <c r="BF106" s="421"/>
    </row>
    <row r="107" spans="1:58" s="327" customFormat="1" ht="18" customHeight="1" x14ac:dyDescent="0.35">
      <c r="A107" s="660">
        <v>629</v>
      </c>
      <c r="B107" s="660" t="str">
        <f>VLOOKUP($A107,'Measure Level Adjustments Tab'!$A$5:$CL$272,6,FALSE)</f>
        <v>Income Qualified</v>
      </c>
      <c r="C107" s="659" t="s">
        <v>1933</v>
      </c>
      <c r="D107" s="659" t="s">
        <v>39</v>
      </c>
      <c r="E107" s="411">
        <f>VLOOKUP($A107,'Measure Level Adjustments Tab'!$A$5:$CL$272,13,FALSE)</f>
        <v>1</v>
      </c>
      <c r="F107" s="411" t="str">
        <f>VLOOKUP($A107,'Measure Level Adjustments Tab'!$A$5:$CL$272,11,FALSE)</f>
        <v>5.4.5</v>
      </c>
      <c r="G107" s="411">
        <f>VLOOKUP($A107,'Measure Level Adjustments Tab'!$A$5:$CL$272,14,FALSE)</f>
        <v>0</v>
      </c>
      <c r="H107" s="663">
        <f>VLOOKUP($A107,'Measure Level Adjustments Tab'!$A$5:$CL$272,54,FALSE)</f>
        <v>1663.1999999999998</v>
      </c>
      <c r="I107" s="663">
        <f>VLOOKUP($A107,'Measure Level Adjustments Tab'!$A$5:$CL$272,55,FALSE)</f>
        <v>1649.1999999999998</v>
      </c>
      <c r="J107" s="663">
        <f>VLOOKUP($A107,'Measure Level Adjustments Tab'!$A$5:$CL$272,56,FALSE)</f>
        <v>5593</v>
      </c>
      <c r="K107" s="663">
        <f>VLOOKUP($A107,'Measure Level Adjustments Tab'!$A$5:$CL$272,57,FALSE)</f>
        <v>3747.1</v>
      </c>
      <c r="L107" s="411" t="str">
        <f>VLOOKUP($A107,'Measure Level Adjustments Tab'!$A$5:$CL$272,12,FALSE)</f>
        <v>RS-HWE-LFSH-V05-180101</v>
      </c>
      <c r="M107" s="422"/>
      <c r="N107" s="662">
        <v>3.38</v>
      </c>
      <c r="O107" s="662">
        <v>3.38</v>
      </c>
      <c r="P107" s="662">
        <v>3.38</v>
      </c>
      <c r="Q107" s="662">
        <v>3.38</v>
      </c>
      <c r="R107" s="661">
        <f>VLOOKUP($A107,'Measure Level Adjustments Tab'!$A$5:$CL$272,46,FALSE)</f>
        <v>1</v>
      </c>
      <c r="S107" s="661">
        <f>VLOOKUP($A107,'Measure Level Adjustments Tab'!$A$5:$CL$272,47,FALSE)</f>
        <v>1</v>
      </c>
      <c r="T107" s="661">
        <f>VLOOKUP($A107,'Measure Level Adjustments Tab'!$A$5:$CL$272,48,FALSE)</f>
        <v>1</v>
      </c>
      <c r="U107" s="661">
        <f>VLOOKUP($A107,'Measure Level Adjustments Tab'!$A$5:$CL$272,49,FALSE)</f>
        <v>1</v>
      </c>
      <c r="V107" s="418">
        <f t="shared" si="20"/>
        <v>5621.6159999999991</v>
      </c>
      <c r="W107" s="418">
        <f t="shared" si="20"/>
        <v>5574.2959999999994</v>
      </c>
      <c r="X107" s="418">
        <f t="shared" si="20"/>
        <v>18904.34</v>
      </c>
      <c r="Y107" s="418">
        <f t="shared" si="34"/>
        <v>12665.197999999999</v>
      </c>
      <c r="Z107" s="418">
        <f t="shared" si="21"/>
        <v>42765.45</v>
      </c>
      <c r="AA107" s="410"/>
      <c r="AB107" s="422"/>
      <c r="AC107" s="415">
        <v>3.38</v>
      </c>
      <c r="AD107" s="416"/>
      <c r="AE107" s="414">
        <f t="shared" si="22"/>
        <v>5621.6159999999991</v>
      </c>
      <c r="AF107" s="412">
        <f t="shared" si="23"/>
        <v>0</v>
      </c>
      <c r="AG107" s="410"/>
      <c r="AH107" s="422"/>
      <c r="AI107" s="413">
        <v>3.38</v>
      </c>
      <c r="AJ107" s="2669" t="s">
        <v>3516</v>
      </c>
      <c r="AK107" s="414">
        <f t="shared" si="24"/>
        <v>5574.2959999999994</v>
      </c>
      <c r="AL107" s="412">
        <f t="shared" si="25"/>
        <v>0</v>
      </c>
      <c r="AM107" s="410"/>
      <c r="AN107" s="422"/>
      <c r="AO107" s="413">
        <v>4.5599999999999996</v>
      </c>
      <c r="AP107" s="2669" t="s">
        <v>304</v>
      </c>
      <c r="AQ107" s="414">
        <f t="shared" si="26"/>
        <v>25504.079999999998</v>
      </c>
      <c r="AR107" s="412">
        <f t="shared" si="27"/>
        <v>6599.739999999998</v>
      </c>
      <c r="AS107" s="410"/>
      <c r="AT107" s="422"/>
      <c r="AU107" s="413">
        <f>VLOOKUP($A107,'Measure Level Adjustments Tab'!$A$5:$CL$272,53,FALSE)/U107</f>
        <v>4.5599999999999996</v>
      </c>
      <c r="AV107" s="2669" t="s">
        <v>304</v>
      </c>
      <c r="AW107" s="414">
        <f t="shared" si="35"/>
        <v>17086.775999999998</v>
      </c>
      <c r="AX107" s="412">
        <f t="shared" si="28"/>
        <v>4421.5779999999995</v>
      </c>
      <c r="AY107" s="418">
        <f t="shared" si="29"/>
        <v>5621.6159999999991</v>
      </c>
      <c r="AZ107" s="418">
        <f t="shared" si="30"/>
        <v>5574.2959999999994</v>
      </c>
      <c r="BA107" s="418">
        <f t="shared" si="31"/>
        <v>25504.079999999998</v>
      </c>
      <c r="BB107" s="418">
        <f t="shared" si="32"/>
        <v>17086.775999999998</v>
      </c>
      <c r="BC107" s="419">
        <f t="shared" si="33"/>
        <v>53786.767999999996</v>
      </c>
      <c r="BD107" s="410" t="s">
        <v>1271</v>
      </c>
      <c r="BE107" s="423" t="s">
        <v>1272</v>
      </c>
      <c r="BF107" s="421"/>
    </row>
    <row r="108" spans="1:58" s="327" customFormat="1" ht="18" customHeight="1" x14ac:dyDescent="0.35">
      <c r="A108" s="660">
        <v>625</v>
      </c>
      <c r="B108" s="660" t="str">
        <f>VLOOKUP($A108,'Measure Level Adjustments Tab'!$A$5:$CL$272,6,FALSE)</f>
        <v>Income Qualified</v>
      </c>
      <c r="C108" s="659" t="s">
        <v>1933</v>
      </c>
      <c r="D108" s="659" t="s">
        <v>40</v>
      </c>
      <c r="E108" s="411">
        <f>VLOOKUP($A108,'Measure Level Adjustments Tab'!$A$5:$CL$272,13,FALSE)</f>
        <v>1</v>
      </c>
      <c r="F108" s="411" t="str">
        <f>VLOOKUP($A108,'Measure Level Adjustments Tab'!$A$5:$CL$272,11,FALSE)</f>
        <v>5.4.4</v>
      </c>
      <c r="G108" s="411">
        <f>VLOOKUP($A108,'Measure Level Adjustments Tab'!$A$5:$CL$272,14,FALSE)</f>
        <v>0</v>
      </c>
      <c r="H108" s="663">
        <f>VLOOKUP($A108,'Measure Level Adjustments Tab'!$A$5:$CL$272,54,FALSE)</f>
        <v>1663.1999999999998</v>
      </c>
      <c r="I108" s="663">
        <f>VLOOKUP($A108,'Measure Level Adjustments Tab'!$A$5:$CL$272,55,FALSE)</f>
        <v>1649.1999999999998</v>
      </c>
      <c r="J108" s="663">
        <f>VLOOKUP($A108,'Measure Level Adjustments Tab'!$A$5:$CL$272,56,FALSE)</f>
        <v>5593</v>
      </c>
      <c r="K108" s="663">
        <f>VLOOKUP($A108,'Measure Level Adjustments Tab'!$A$5:$CL$272,57,FALSE)</f>
        <v>3747.1</v>
      </c>
      <c r="L108" s="411" t="str">
        <f>VLOOKUP($A108,'Measure Level Adjustments Tab'!$A$5:$CL$272,12,FALSE)</f>
        <v>RS-HWE-LFFA-V06-180101</v>
      </c>
      <c r="M108" s="422"/>
      <c r="N108" s="662">
        <v>0.35</v>
      </c>
      <c r="O108" s="662">
        <v>0.35</v>
      </c>
      <c r="P108" s="662">
        <v>0.35</v>
      </c>
      <c r="Q108" s="662">
        <v>0.35</v>
      </c>
      <c r="R108" s="661">
        <f>VLOOKUP($A108,'Measure Level Adjustments Tab'!$A$5:$CL$272,46,FALSE)</f>
        <v>1</v>
      </c>
      <c r="S108" s="661">
        <f>VLOOKUP($A108,'Measure Level Adjustments Tab'!$A$5:$CL$272,47,FALSE)</f>
        <v>1</v>
      </c>
      <c r="T108" s="661">
        <f>VLOOKUP($A108,'Measure Level Adjustments Tab'!$A$5:$CL$272,48,FALSE)</f>
        <v>1</v>
      </c>
      <c r="U108" s="661">
        <f>VLOOKUP($A108,'Measure Level Adjustments Tab'!$A$5:$CL$272,49,FALSE)</f>
        <v>1</v>
      </c>
      <c r="V108" s="418">
        <f t="shared" si="20"/>
        <v>582.11999999999989</v>
      </c>
      <c r="W108" s="418">
        <f t="shared" si="20"/>
        <v>577.21999999999991</v>
      </c>
      <c r="X108" s="418">
        <f t="shared" si="20"/>
        <v>1957.55</v>
      </c>
      <c r="Y108" s="418">
        <f t="shared" si="34"/>
        <v>1311.4849999999999</v>
      </c>
      <c r="Z108" s="418">
        <f t="shared" si="21"/>
        <v>4428.3749999999991</v>
      </c>
      <c r="AA108" s="410"/>
      <c r="AB108" s="422"/>
      <c r="AC108" s="415">
        <v>0.35</v>
      </c>
      <c r="AD108" s="416"/>
      <c r="AE108" s="414">
        <f t="shared" si="22"/>
        <v>582.11999999999989</v>
      </c>
      <c r="AF108" s="412">
        <f t="shared" si="23"/>
        <v>0</v>
      </c>
      <c r="AG108" s="410"/>
      <c r="AH108" s="422"/>
      <c r="AI108" s="413">
        <v>0.45</v>
      </c>
      <c r="AJ108" s="2669" t="s">
        <v>3514</v>
      </c>
      <c r="AK108" s="414">
        <f t="shared" si="24"/>
        <v>742.14</v>
      </c>
      <c r="AL108" s="412">
        <f t="shared" si="25"/>
        <v>164.92000000000007</v>
      </c>
      <c r="AM108" s="410"/>
      <c r="AN108" s="422"/>
      <c r="AO108" s="413">
        <v>0.67</v>
      </c>
      <c r="AP108" s="2669" t="s">
        <v>304</v>
      </c>
      <c r="AQ108" s="414">
        <f t="shared" si="26"/>
        <v>3747.3100000000004</v>
      </c>
      <c r="AR108" s="412">
        <f t="shared" si="27"/>
        <v>1789.7600000000004</v>
      </c>
      <c r="AS108" s="410"/>
      <c r="AT108" s="422"/>
      <c r="AU108" s="413">
        <f>VLOOKUP($A108,'Measure Level Adjustments Tab'!$A$5:$CL$272,53,FALSE)/U108</f>
        <v>0.67</v>
      </c>
      <c r="AV108" s="2669" t="s">
        <v>304</v>
      </c>
      <c r="AW108" s="414">
        <f t="shared" si="35"/>
        <v>2510.5570000000002</v>
      </c>
      <c r="AX108" s="412">
        <f t="shared" si="28"/>
        <v>1199.0720000000003</v>
      </c>
      <c r="AY108" s="418">
        <f t="shared" si="29"/>
        <v>582.11999999999989</v>
      </c>
      <c r="AZ108" s="418">
        <f t="shared" si="30"/>
        <v>742.14</v>
      </c>
      <c r="BA108" s="418">
        <f t="shared" si="31"/>
        <v>3747.3100000000004</v>
      </c>
      <c r="BB108" s="418">
        <f t="shared" si="32"/>
        <v>2510.5570000000002</v>
      </c>
      <c r="BC108" s="419">
        <f t="shared" si="33"/>
        <v>7582.1270000000004</v>
      </c>
      <c r="BD108" s="410" t="s">
        <v>1271</v>
      </c>
      <c r="BE108" s="423" t="s">
        <v>1272</v>
      </c>
      <c r="BF108" s="421"/>
    </row>
    <row r="109" spans="1:58" s="327" customFormat="1" ht="18" customHeight="1" x14ac:dyDescent="0.35">
      <c r="A109" s="660">
        <v>627</v>
      </c>
      <c r="B109" s="660" t="str">
        <f>VLOOKUP($A109,'Measure Level Adjustments Tab'!$A$5:$CL$272,6,FALSE)</f>
        <v>Income Qualified</v>
      </c>
      <c r="C109" s="659" t="s">
        <v>1933</v>
      </c>
      <c r="D109" s="659" t="s">
        <v>41</v>
      </c>
      <c r="E109" s="411">
        <f>VLOOKUP($A109,'Measure Level Adjustments Tab'!$A$5:$CL$272,13,FALSE)</f>
        <v>1</v>
      </c>
      <c r="F109" s="411" t="str">
        <f>VLOOKUP($A109,'Measure Level Adjustments Tab'!$A$5:$CL$272,11,FALSE)</f>
        <v>5.4.4</v>
      </c>
      <c r="G109" s="411">
        <f>VLOOKUP($A109,'Measure Level Adjustments Tab'!$A$5:$CL$272,14,FALSE)</f>
        <v>0</v>
      </c>
      <c r="H109" s="663">
        <f>VLOOKUP($A109,'Measure Level Adjustments Tab'!$A$5:$CL$272,54,FALSE)</f>
        <v>1663.1999999999998</v>
      </c>
      <c r="I109" s="663">
        <f>VLOOKUP($A109,'Measure Level Adjustments Tab'!$A$5:$CL$272,55,FALSE)</f>
        <v>1649.1999999999998</v>
      </c>
      <c r="J109" s="663">
        <f>VLOOKUP($A109,'Measure Level Adjustments Tab'!$A$5:$CL$272,56,FALSE)</f>
        <v>5593</v>
      </c>
      <c r="K109" s="663">
        <f>VLOOKUP($A109,'Measure Level Adjustments Tab'!$A$5:$CL$272,57,FALSE)</f>
        <v>3747.1</v>
      </c>
      <c r="L109" s="411" t="str">
        <f>VLOOKUP($A109,'Measure Level Adjustments Tab'!$A$5:$CL$272,12,FALSE)</f>
        <v>RS-HWE-LFFA-V06-180101</v>
      </c>
      <c r="M109" s="422"/>
      <c r="N109" s="662">
        <v>2.41</v>
      </c>
      <c r="O109" s="662">
        <v>2.41</v>
      </c>
      <c r="P109" s="662">
        <v>2.41</v>
      </c>
      <c r="Q109" s="662">
        <v>2.41</v>
      </c>
      <c r="R109" s="661">
        <f>VLOOKUP($A109,'Measure Level Adjustments Tab'!$A$5:$CL$272,46,FALSE)</f>
        <v>1</v>
      </c>
      <c r="S109" s="661">
        <f>VLOOKUP($A109,'Measure Level Adjustments Tab'!$A$5:$CL$272,47,FALSE)</f>
        <v>1</v>
      </c>
      <c r="T109" s="661">
        <f>VLOOKUP($A109,'Measure Level Adjustments Tab'!$A$5:$CL$272,48,FALSE)</f>
        <v>1</v>
      </c>
      <c r="U109" s="661">
        <f>VLOOKUP($A109,'Measure Level Adjustments Tab'!$A$5:$CL$272,49,FALSE)</f>
        <v>1</v>
      </c>
      <c r="V109" s="418">
        <f t="shared" si="20"/>
        <v>4008.3119999999999</v>
      </c>
      <c r="W109" s="418">
        <f t="shared" si="20"/>
        <v>3974.5719999999997</v>
      </c>
      <c r="X109" s="418">
        <f t="shared" si="20"/>
        <v>13479.130000000001</v>
      </c>
      <c r="Y109" s="418">
        <f t="shared" si="34"/>
        <v>9030.5110000000004</v>
      </c>
      <c r="Z109" s="418">
        <f t="shared" si="21"/>
        <v>30492.525000000001</v>
      </c>
      <c r="AA109" s="410"/>
      <c r="AB109" s="422"/>
      <c r="AC109" s="415">
        <v>2.41</v>
      </c>
      <c r="AD109" s="416"/>
      <c r="AE109" s="414">
        <f t="shared" si="22"/>
        <v>4008.3119999999999</v>
      </c>
      <c r="AF109" s="412">
        <f t="shared" si="23"/>
        <v>0</v>
      </c>
      <c r="AG109" s="410"/>
      <c r="AH109" s="422"/>
      <c r="AI109" s="413">
        <v>3.69</v>
      </c>
      <c r="AJ109" s="2669" t="s">
        <v>3514</v>
      </c>
      <c r="AK109" s="414">
        <f t="shared" si="24"/>
        <v>6085.5479999999989</v>
      </c>
      <c r="AL109" s="412">
        <f t="shared" si="25"/>
        <v>2110.9759999999992</v>
      </c>
      <c r="AM109" s="410"/>
      <c r="AN109" s="422"/>
      <c r="AO109" s="413">
        <v>4.9800000000000004</v>
      </c>
      <c r="AP109" s="2669" t="s">
        <v>304</v>
      </c>
      <c r="AQ109" s="414">
        <f t="shared" si="26"/>
        <v>27853.140000000003</v>
      </c>
      <c r="AR109" s="412">
        <f t="shared" si="27"/>
        <v>14374.010000000002</v>
      </c>
      <c r="AS109" s="410"/>
      <c r="AT109" s="422"/>
      <c r="AU109" s="413">
        <f>VLOOKUP($A109,'Measure Level Adjustments Tab'!$A$5:$CL$272,53,FALSE)/U109</f>
        <v>4.9800000000000004</v>
      </c>
      <c r="AV109" s="2669" t="s">
        <v>304</v>
      </c>
      <c r="AW109" s="414">
        <f t="shared" si="35"/>
        <v>18660.558000000001</v>
      </c>
      <c r="AX109" s="412">
        <f t="shared" si="28"/>
        <v>9630.0470000000005</v>
      </c>
      <c r="AY109" s="418">
        <f t="shared" si="29"/>
        <v>4008.3119999999999</v>
      </c>
      <c r="AZ109" s="418">
        <f t="shared" si="30"/>
        <v>6085.5479999999989</v>
      </c>
      <c r="BA109" s="418">
        <f t="shared" si="31"/>
        <v>27853.140000000003</v>
      </c>
      <c r="BB109" s="418">
        <f t="shared" si="32"/>
        <v>18660.558000000001</v>
      </c>
      <c r="BC109" s="419">
        <f t="shared" si="33"/>
        <v>56607.558000000005</v>
      </c>
      <c r="BD109" s="410" t="s">
        <v>1271</v>
      </c>
      <c r="BE109" s="423" t="s">
        <v>1272</v>
      </c>
      <c r="BF109" s="421"/>
    </row>
    <row r="110" spans="1:58" s="327" customFormat="1" ht="18" customHeight="1" x14ac:dyDescent="0.35">
      <c r="A110" s="660">
        <v>632</v>
      </c>
      <c r="B110" s="660" t="str">
        <f>VLOOKUP($A110,'Measure Level Adjustments Tab'!$A$5:$CL$272,6,FALSE)</f>
        <v>Income Qualified</v>
      </c>
      <c r="C110" s="659" t="s">
        <v>1933</v>
      </c>
      <c r="D110" s="659" t="s">
        <v>42</v>
      </c>
      <c r="E110" s="411">
        <f>VLOOKUP($A110,'Measure Level Adjustments Tab'!$A$5:$CL$272,13,FALSE)</f>
        <v>1</v>
      </c>
      <c r="F110" s="411" t="str">
        <f>VLOOKUP($A110,'Measure Level Adjustments Tab'!$A$5:$CL$272,11,FALSE)</f>
        <v>5.4.6</v>
      </c>
      <c r="G110" s="411">
        <f>VLOOKUP($A110,'Measure Level Adjustments Tab'!$A$5:$CL$272,14,FALSE)</f>
        <v>0</v>
      </c>
      <c r="H110" s="663">
        <f>VLOOKUP($A110,'Measure Level Adjustments Tab'!$A$5:$CL$272,54,FALSE)</f>
        <v>1663.1999999999998</v>
      </c>
      <c r="I110" s="663">
        <f>VLOOKUP($A110,'Measure Level Adjustments Tab'!$A$5:$CL$272,55,FALSE)</f>
        <v>1649.1999999999998</v>
      </c>
      <c r="J110" s="663">
        <f>VLOOKUP($A110,'Measure Level Adjustments Tab'!$A$5:$CL$272,56,FALSE)</f>
        <v>5593</v>
      </c>
      <c r="K110" s="663">
        <f>VLOOKUP($A110,'Measure Level Adjustments Tab'!$A$5:$CL$272,57,FALSE)</f>
        <v>3747.1</v>
      </c>
      <c r="L110" s="411" t="str">
        <f>VLOOKUP($A110,'Measure Level Adjustments Tab'!$A$5:$CL$272,12,FALSE)</f>
        <v>RS-HWE-TMPS-V05-160601</v>
      </c>
      <c r="M110" s="422"/>
      <c r="N110" s="662">
        <v>1.6151727892153844</v>
      </c>
      <c r="O110" s="662">
        <v>1.6151727892153844</v>
      </c>
      <c r="P110" s="662">
        <v>1.6151727892153844</v>
      </c>
      <c r="Q110" s="662">
        <v>1.6151727892153844</v>
      </c>
      <c r="R110" s="661">
        <f>VLOOKUP($A110,'Measure Level Adjustments Tab'!$A$5:$CL$272,46,FALSE)</f>
        <v>1</v>
      </c>
      <c r="S110" s="661">
        <f>VLOOKUP($A110,'Measure Level Adjustments Tab'!$A$5:$CL$272,47,FALSE)</f>
        <v>1</v>
      </c>
      <c r="T110" s="661">
        <f>VLOOKUP($A110,'Measure Level Adjustments Tab'!$A$5:$CL$272,48,FALSE)</f>
        <v>1</v>
      </c>
      <c r="U110" s="661">
        <f>VLOOKUP($A110,'Measure Level Adjustments Tab'!$A$5:$CL$272,49,FALSE)</f>
        <v>1</v>
      </c>
      <c r="V110" s="418">
        <f t="shared" si="20"/>
        <v>2686.3553830230271</v>
      </c>
      <c r="W110" s="418">
        <f t="shared" si="20"/>
        <v>2663.7429639740117</v>
      </c>
      <c r="X110" s="418">
        <f t="shared" si="20"/>
        <v>9033.661410081646</v>
      </c>
      <c r="Y110" s="418">
        <f t="shared" si="34"/>
        <v>6052.2139584689667</v>
      </c>
      <c r="Z110" s="418">
        <f t="shared" si="21"/>
        <v>20435.973715547654</v>
      </c>
      <c r="AA110" s="410"/>
      <c r="AB110" s="422"/>
      <c r="AC110" s="415">
        <v>1.6151727892153844</v>
      </c>
      <c r="AD110" s="416"/>
      <c r="AE110" s="414">
        <f t="shared" si="22"/>
        <v>2686.3553830230271</v>
      </c>
      <c r="AF110" s="412">
        <f t="shared" si="23"/>
        <v>0</v>
      </c>
      <c r="AG110" s="410"/>
      <c r="AH110" s="422"/>
      <c r="AI110" s="413">
        <v>1.6151727892153844</v>
      </c>
      <c r="AJ110" s="2669" t="s">
        <v>820</v>
      </c>
      <c r="AK110" s="414">
        <f t="shared" si="24"/>
        <v>2663.7429639740117</v>
      </c>
      <c r="AL110" s="412">
        <f t="shared" si="25"/>
        <v>0</v>
      </c>
      <c r="AM110" s="410"/>
      <c r="AN110" s="422"/>
      <c r="AO110" s="413">
        <v>1.6151727892153844</v>
      </c>
      <c r="AP110" s="2669" t="s">
        <v>304</v>
      </c>
      <c r="AQ110" s="414">
        <f t="shared" si="26"/>
        <v>9033.661410081646</v>
      </c>
      <c r="AR110" s="412">
        <f t="shared" si="27"/>
        <v>0</v>
      </c>
      <c r="AS110" s="410"/>
      <c r="AT110" s="422"/>
      <c r="AU110" s="413">
        <f>VLOOKUP($A110,'Measure Level Adjustments Tab'!$A$5:$CL$272,53,FALSE)/U110</f>
        <v>0.32433188538461538</v>
      </c>
      <c r="AV110" s="2669" t="s">
        <v>4358</v>
      </c>
      <c r="AW110" s="414">
        <f t="shared" si="35"/>
        <v>1215.3040077246922</v>
      </c>
      <c r="AX110" s="412">
        <f t="shared" si="28"/>
        <v>-4836.9099507442743</v>
      </c>
      <c r="AY110" s="418">
        <f t="shared" si="29"/>
        <v>2686.3553830230271</v>
      </c>
      <c r="AZ110" s="418">
        <f t="shared" si="30"/>
        <v>2663.7429639740117</v>
      </c>
      <c r="BA110" s="418">
        <f t="shared" si="31"/>
        <v>9033.661410081646</v>
      </c>
      <c r="BB110" s="418">
        <f t="shared" si="32"/>
        <v>1215.3040077246922</v>
      </c>
      <c r="BC110" s="419">
        <f t="shared" si="33"/>
        <v>15599.063764803377</v>
      </c>
      <c r="BD110" s="410" t="s">
        <v>1271</v>
      </c>
      <c r="BE110" s="423" t="s">
        <v>1272</v>
      </c>
      <c r="BF110" s="421"/>
    </row>
    <row r="111" spans="1:58" s="327" customFormat="1" ht="18" customHeight="1" x14ac:dyDescent="0.35">
      <c r="A111" s="660">
        <v>530</v>
      </c>
      <c r="B111" s="660" t="str">
        <f>VLOOKUP($A111,'Measure Level Adjustments Tab'!$A$5:$CL$272,6,FALSE)</f>
        <v>Income Qualified</v>
      </c>
      <c r="C111" s="659" t="s">
        <v>1933</v>
      </c>
      <c r="D111" s="659" t="s">
        <v>39</v>
      </c>
      <c r="E111" s="411">
        <f>VLOOKUP($A111,'Measure Level Adjustments Tab'!$A$5:$CL$272,13,FALSE)</f>
        <v>1</v>
      </c>
      <c r="F111" s="411" t="str">
        <f>VLOOKUP($A111,'Measure Level Adjustments Tab'!$A$5:$CL$272,11,FALSE)</f>
        <v>5.4.5</v>
      </c>
      <c r="G111" s="411">
        <f>VLOOKUP($A111,'Measure Level Adjustments Tab'!$A$5:$CL$272,14,FALSE)</f>
        <v>0</v>
      </c>
      <c r="H111" s="663">
        <f>VLOOKUP($A111,'Measure Level Adjustments Tab'!$A$5:$CL$272,54,FALSE)</f>
        <v>182.806765159836</v>
      </c>
      <c r="I111" s="663">
        <f>VLOOKUP($A111,'Measure Level Adjustments Tab'!$A$5:$CL$272,55,FALSE)</f>
        <v>208.26095179132699</v>
      </c>
      <c r="J111" s="663">
        <f>VLOOKUP($A111,'Measure Level Adjustments Tab'!$A$5:$CL$272,56,FALSE)</f>
        <v>658.22524413985502</v>
      </c>
      <c r="K111" s="663">
        <f>VLOOKUP($A111,'Measure Level Adjustments Tab'!$A$5:$CL$272,57,FALSE)</f>
        <v>514.30229512222604</v>
      </c>
      <c r="L111" s="411" t="str">
        <f>VLOOKUP($A111,'Measure Level Adjustments Tab'!$A$5:$CL$272,12,FALSE)</f>
        <v>RS-HWE-LFSH-V05-180101</v>
      </c>
      <c r="M111" s="422"/>
      <c r="N111" s="662">
        <v>11.04</v>
      </c>
      <c r="O111" s="662">
        <v>11.04</v>
      </c>
      <c r="P111" s="662">
        <v>11.04</v>
      </c>
      <c r="Q111" s="662">
        <v>11.04</v>
      </c>
      <c r="R111" s="661">
        <f>VLOOKUP($A111,'Measure Level Adjustments Tab'!$A$5:$CL$272,46,FALSE)</f>
        <v>1</v>
      </c>
      <c r="S111" s="661">
        <f>VLOOKUP($A111,'Measure Level Adjustments Tab'!$A$5:$CL$272,47,FALSE)</f>
        <v>1</v>
      </c>
      <c r="T111" s="661">
        <f>VLOOKUP($A111,'Measure Level Adjustments Tab'!$A$5:$CL$272,48,FALSE)</f>
        <v>1</v>
      </c>
      <c r="U111" s="661">
        <f>VLOOKUP($A111,'Measure Level Adjustments Tab'!$A$5:$CL$272,49,FALSE)</f>
        <v>1</v>
      </c>
      <c r="V111" s="418">
        <f t="shared" si="20"/>
        <v>2018.1866873645893</v>
      </c>
      <c r="W111" s="418">
        <f t="shared" si="20"/>
        <v>2299.2009077762496</v>
      </c>
      <c r="X111" s="418">
        <f t="shared" si="20"/>
        <v>7266.8066953039988</v>
      </c>
      <c r="Y111" s="418">
        <f t="shared" si="34"/>
        <v>5677.8973381493752</v>
      </c>
      <c r="Z111" s="418">
        <f t="shared" si="21"/>
        <v>17262.091628594211</v>
      </c>
      <c r="AA111" s="410"/>
      <c r="AB111" s="422"/>
      <c r="AC111" s="415">
        <v>11.04</v>
      </c>
      <c r="AD111" s="416"/>
      <c r="AE111" s="414">
        <f t="shared" si="22"/>
        <v>2018.1866873645893</v>
      </c>
      <c r="AF111" s="412">
        <f t="shared" si="23"/>
        <v>0</v>
      </c>
      <c r="AG111" s="410"/>
      <c r="AH111" s="422"/>
      <c r="AI111" s="413">
        <v>5.88</v>
      </c>
      <c r="AJ111" s="2669" t="s">
        <v>3516</v>
      </c>
      <c r="AK111" s="414">
        <f t="shared" si="24"/>
        <v>1224.5743965330028</v>
      </c>
      <c r="AL111" s="412">
        <f t="shared" si="25"/>
        <v>-1074.6265112432468</v>
      </c>
      <c r="AM111" s="410"/>
      <c r="AN111" s="422"/>
      <c r="AO111" s="413">
        <v>5.82</v>
      </c>
      <c r="AP111" s="2669" t="s">
        <v>304</v>
      </c>
      <c r="AQ111" s="414">
        <f t="shared" si="26"/>
        <v>3830.8709208939563</v>
      </c>
      <c r="AR111" s="412">
        <f t="shared" si="27"/>
        <v>-3435.9357744100425</v>
      </c>
      <c r="AS111" s="410"/>
      <c r="AT111" s="422"/>
      <c r="AU111" s="413">
        <f>VLOOKUP($A111,'Measure Level Adjustments Tab'!$A$5:$CL$272,53,FALSE)/U111</f>
        <v>5.82</v>
      </c>
      <c r="AV111" s="2669" t="s">
        <v>304</v>
      </c>
      <c r="AW111" s="414">
        <f t="shared" si="35"/>
        <v>2993.2393576113559</v>
      </c>
      <c r="AX111" s="412">
        <f t="shared" si="28"/>
        <v>-2684.6579805380193</v>
      </c>
      <c r="AY111" s="418">
        <f t="shared" si="29"/>
        <v>2018.1866873645893</v>
      </c>
      <c r="AZ111" s="418">
        <f t="shared" si="30"/>
        <v>1224.5743965330028</v>
      </c>
      <c r="BA111" s="418">
        <f t="shared" si="31"/>
        <v>3830.8709208939563</v>
      </c>
      <c r="BB111" s="418">
        <f t="shared" si="32"/>
        <v>2993.2393576113559</v>
      </c>
      <c r="BC111" s="419">
        <f t="shared" si="33"/>
        <v>10066.871362402904</v>
      </c>
      <c r="BD111" s="410" t="s">
        <v>1271</v>
      </c>
      <c r="BE111" s="423" t="s">
        <v>1272</v>
      </c>
      <c r="BF111" s="421"/>
    </row>
    <row r="112" spans="1:58" s="327" customFormat="1" ht="18" customHeight="1" x14ac:dyDescent="0.35">
      <c r="A112" s="660">
        <v>533</v>
      </c>
      <c r="B112" s="660" t="str">
        <f>VLOOKUP($A112,'Measure Level Adjustments Tab'!$A$5:$CL$272,6,FALSE)</f>
        <v>Income Qualified</v>
      </c>
      <c r="C112" s="659" t="s">
        <v>1933</v>
      </c>
      <c r="D112" s="659" t="s">
        <v>42</v>
      </c>
      <c r="E112" s="411">
        <f>VLOOKUP($A112,'Measure Level Adjustments Tab'!$A$5:$CL$272,13,FALSE)</f>
        <v>1</v>
      </c>
      <c r="F112" s="411" t="str">
        <f>VLOOKUP($A112,'Measure Level Adjustments Tab'!$A$5:$CL$272,11,FALSE)</f>
        <v>5.4.6</v>
      </c>
      <c r="G112" s="411">
        <f>VLOOKUP($A112,'Measure Level Adjustments Tab'!$A$5:$CL$272,14,FALSE)</f>
        <v>0</v>
      </c>
      <c r="H112" s="663">
        <f>VLOOKUP($A112,'Measure Level Adjustments Tab'!$A$5:$CL$272,54,FALSE)</f>
        <v>3713</v>
      </c>
      <c r="I112" s="663">
        <f>VLOOKUP($A112,'Measure Level Adjustments Tab'!$A$5:$CL$272,55,FALSE)</f>
        <v>3730</v>
      </c>
      <c r="J112" s="663">
        <f>VLOOKUP($A112,'Measure Level Adjustments Tab'!$A$5:$CL$272,56,FALSE)</f>
        <v>3730</v>
      </c>
      <c r="K112" s="663">
        <f>VLOOKUP($A112,'Measure Level Adjustments Tab'!$A$5:$CL$272,57,FALSE)</f>
        <v>3730</v>
      </c>
      <c r="L112" s="411" t="str">
        <f>VLOOKUP($A112,'Measure Level Adjustments Tab'!$A$5:$CL$272,12,FALSE)</f>
        <v>RS-HWE-TMPS-V05-160601</v>
      </c>
      <c r="M112" s="422"/>
      <c r="N112" s="662">
        <v>1.6151727892153844</v>
      </c>
      <c r="O112" s="662">
        <v>1.6151727892153844</v>
      </c>
      <c r="P112" s="662">
        <v>1.6151727892153844</v>
      </c>
      <c r="Q112" s="662">
        <v>1.6151727892153844</v>
      </c>
      <c r="R112" s="661">
        <f>VLOOKUP($A112,'Measure Level Adjustments Tab'!$A$5:$CL$272,46,FALSE)</f>
        <v>1</v>
      </c>
      <c r="S112" s="661">
        <f>VLOOKUP($A112,'Measure Level Adjustments Tab'!$A$5:$CL$272,47,FALSE)</f>
        <v>1</v>
      </c>
      <c r="T112" s="661">
        <f>VLOOKUP($A112,'Measure Level Adjustments Tab'!$A$5:$CL$272,48,FALSE)</f>
        <v>1</v>
      </c>
      <c r="U112" s="661">
        <f>VLOOKUP($A112,'Measure Level Adjustments Tab'!$A$5:$CL$272,49,FALSE)</f>
        <v>1</v>
      </c>
      <c r="V112" s="418">
        <f t="shared" si="20"/>
        <v>5997.1365663567221</v>
      </c>
      <c r="W112" s="418">
        <f t="shared" si="20"/>
        <v>6024.5945037733836</v>
      </c>
      <c r="X112" s="418">
        <f t="shared" si="20"/>
        <v>6024.5945037733836</v>
      </c>
      <c r="Y112" s="418">
        <f t="shared" si="34"/>
        <v>6024.5945037733836</v>
      </c>
      <c r="Z112" s="418">
        <f t="shared" si="21"/>
        <v>24070.920077676874</v>
      </c>
      <c r="AA112" s="410"/>
      <c r="AB112" s="422"/>
      <c r="AC112" s="415">
        <v>1.6151727892153844</v>
      </c>
      <c r="AD112" s="416"/>
      <c r="AE112" s="414">
        <f t="shared" si="22"/>
        <v>5997.1365663567221</v>
      </c>
      <c r="AF112" s="412">
        <f t="shared" si="23"/>
        <v>0</v>
      </c>
      <c r="AG112" s="410"/>
      <c r="AH112" s="422"/>
      <c r="AI112" s="413">
        <v>1.6151727892153844</v>
      </c>
      <c r="AJ112" s="2669" t="s">
        <v>820</v>
      </c>
      <c r="AK112" s="414">
        <f t="shared" si="24"/>
        <v>6024.5945037733836</v>
      </c>
      <c r="AL112" s="412">
        <f t="shared" si="25"/>
        <v>0</v>
      </c>
      <c r="AM112" s="410"/>
      <c r="AN112" s="422"/>
      <c r="AO112" s="413">
        <v>1.6151727892153844</v>
      </c>
      <c r="AP112" s="2669" t="s">
        <v>304</v>
      </c>
      <c r="AQ112" s="414">
        <f t="shared" si="26"/>
        <v>6024.5945037733836</v>
      </c>
      <c r="AR112" s="412">
        <f t="shared" si="27"/>
        <v>0</v>
      </c>
      <c r="AS112" s="410"/>
      <c r="AT112" s="422"/>
      <c r="AU112" s="413">
        <f>VLOOKUP($A112,'Measure Level Adjustments Tab'!$A$5:$CL$272,53,FALSE)/U112</f>
        <v>3.2433188538461537</v>
      </c>
      <c r="AV112" s="2669" t="s">
        <v>4358</v>
      </c>
      <c r="AW112" s="414">
        <f t="shared" si="35"/>
        <v>12097.579324846154</v>
      </c>
      <c r="AX112" s="412">
        <f t="shared" si="28"/>
        <v>6072.9848210727705</v>
      </c>
      <c r="AY112" s="418">
        <f t="shared" si="29"/>
        <v>5997.1365663567221</v>
      </c>
      <c r="AZ112" s="418">
        <f t="shared" si="30"/>
        <v>6024.5945037733836</v>
      </c>
      <c r="BA112" s="418">
        <f t="shared" si="31"/>
        <v>6024.5945037733836</v>
      </c>
      <c r="BB112" s="418">
        <f t="shared" si="32"/>
        <v>12097.579324846154</v>
      </c>
      <c r="BC112" s="419">
        <f t="shared" si="33"/>
        <v>30143.904898749643</v>
      </c>
      <c r="BD112" s="410" t="s">
        <v>1271</v>
      </c>
      <c r="BE112" s="423" t="s">
        <v>1272</v>
      </c>
      <c r="BF112" s="421"/>
    </row>
    <row r="113" spans="1:58" s="327" customFormat="1" ht="18" customHeight="1" x14ac:dyDescent="0.35">
      <c r="A113" s="660">
        <v>490</v>
      </c>
      <c r="B113" s="660" t="e">
        <f>VLOOKUP($A113,'Measure Level Adjustments Tab'!$A$5:$CL$272,6,FALSE)</f>
        <v>#N/A</v>
      </c>
      <c r="C113" s="659" t="s">
        <v>1858</v>
      </c>
      <c r="D113" s="659" t="s">
        <v>1008</v>
      </c>
      <c r="E113" s="411">
        <f>VLOOKUP($A113,'Measure Level Adjustments Tab'!$A$5:$CL$272,13,FALSE)</f>
        <v>1</v>
      </c>
      <c r="F113" s="411" t="str">
        <f>VLOOKUP($A113,'Measure Level Adjustments Tab'!$A$5:$CL$272,11,FALSE)</f>
        <v>Custom</v>
      </c>
      <c r="G113" s="411">
        <f>VLOOKUP($A113,'Measure Level Adjustments Tab'!$A$5:$CL$272,14,FALSE)</f>
        <v>0</v>
      </c>
      <c r="H113" s="663">
        <f>VLOOKUP($A113,'Measure Level Adjustments Tab'!$A$5:$CL$272,54,FALSE)</f>
        <v>1</v>
      </c>
      <c r="I113" s="663">
        <f>VLOOKUP($A113,'Measure Level Adjustments Tab'!$A$5:$CL$272,55,FALSE)</f>
        <v>0</v>
      </c>
      <c r="J113" s="663">
        <f>VLOOKUP($A113,'Measure Level Adjustments Tab'!$A$5:$CL$272,56,FALSE)</f>
        <v>0</v>
      </c>
      <c r="K113" s="663">
        <f>VLOOKUP($A113,'Measure Level Adjustments Tab'!$A$5:$CL$272,57,FALSE)</f>
        <v>0</v>
      </c>
      <c r="L113" s="411">
        <f>VLOOKUP($A113,'Measure Level Adjustments Tab'!$A$5:$CL$272,12,FALSE)</f>
        <v>0</v>
      </c>
      <c r="M113" s="422"/>
      <c r="N113" s="662">
        <v>11400</v>
      </c>
      <c r="O113" s="662">
        <v>11400</v>
      </c>
      <c r="P113" s="662">
        <v>11400</v>
      </c>
      <c r="Q113" s="662">
        <v>11400</v>
      </c>
      <c r="R113" s="661">
        <f>VLOOKUP($A113,'Measure Level Adjustments Tab'!$A$5:$CL$272,46,FALSE)</f>
        <v>0.78</v>
      </c>
      <c r="S113" s="661">
        <f>VLOOKUP($A113,'Measure Level Adjustments Tab'!$A$5:$CL$272,47,FALSE)</f>
        <v>0.78</v>
      </c>
      <c r="T113" s="661">
        <f>VLOOKUP($A113,'Measure Level Adjustments Tab'!$A$5:$CL$272,48,FALSE)</f>
        <v>0.78</v>
      </c>
      <c r="U113" s="661">
        <f>VLOOKUP($A113,'Measure Level Adjustments Tab'!$A$5:$CL$272,49,FALSE)</f>
        <v>0.78</v>
      </c>
      <c r="V113" s="418">
        <f t="shared" si="20"/>
        <v>8892</v>
      </c>
      <c r="W113" s="418">
        <f t="shared" si="20"/>
        <v>0</v>
      </c>
      <c r="X113" s="418">
        <f t="shared" si="20"/>
        <v>0</v>
      </c>
      <c r="Y113" s="418">
        <f t="shared" si="34"/>
        <v>0</v>
      </c>
      <c r="Z113" s="418">
        <f t="shared" si="21"/>
        <v>8892</v>
      </c>
      <c r="AA113" s="410"/>
      <c r="AB113" s="422"/>
      <c r="AC113" s="415">
        <v>11400</v>
      </c>
      <c r="AD113" s="416"/>
      <c r="AE113" s="414">
        <f t="shared" si="22"/>
        <v>8892</v>
      </c>
      <c r="AF113" s="412">
        <f t="shared" si="23"/>
        <v>0</v>
      </c>
      <c r="AG113" s="410"/>
      <c r="AH113" s="422"/>
      <c r="AI113" s="413">
        <v>11400</v>
      </c>
      <c r="AJ113" s="2669" t="s">
        <v>820</v>
      </c>
      <c r="AK113" s="414">
        <f t="shared" si="24"/>
        <v>0</v>
      </c>
      <c r="AL113" s="412">
        <f t="shared" si="25"/>
        <v>0</v>
      </c>
      <c r="AM113" s="410"/>
      <c r="AN113" s="422"/>
      <c r="AO113" s="413">
        <v>11400</v>
      </c>
      <c r="AP113" s="2669" t="s">
        <v>304</v>
      </c>
      <c r="AQ113" s="414">
        <f t="shared" si="26"/>
        <v>0</v>
      </c>
      <c r="AR113" s="412">
        <f t="shared" si="27"/>
        <v>0</v>
      </c>
      <c r="AS113" s="410"/>
      <c r="AT113" s="422"/>
      <c r="AU113" s="413">
        <f>VLOOKUP($A113,'Measure Level Adjustments Tab'!$A$5:$CL$272,53,FALSE)/U113</f>
        <v>11400</v>
      </c>
      <c r="AV113" s="2669" t="s">
        <v>304</v>
      </c>
      <c r="AW113" s="414">
        <f t="shared" si="35"/>
        <v>0</v>
      </c>
      <c r="AX113" s="412">
        <f t="shared" si="28"/>
        <v>0</v>
      </c>
      <c r="AY113" s="418">
        <f t="shared" si="29"/>
        <v>8892</v>
      </c>
      <c r="AZ113" s="418">
        <f t="shared" si="30"/>
        <v>0</v>
      </c>
      <c r="BA113" s="418">
        <f t="shared" si="31"/>
        <v>0</v>
      </c>
      <c r="BB113" s="418">
        <f t="shared" si="32"/>
        <v>0</v>
      </c>
      <c r="BC113" s="419">
        <f t="shared" si="33"/>
        <v>8892</v>
      </c>
      <c r="BD113" s="410" t="s">
        <v>1271</v>
      </c>
      <c r="BE113" s="423" t="s">
        <v>1272</v>
      </c>
      <c r="BF113" s="421"/>
    </row>
    <row r="114" spans="1:58" s="327" customFormat="1" ht="18" customHeight="1" x14ac:dyDescent="0.35">
      <c r="A114" s="660">
        <v>35</v>
      </c>
      <c r="B114" s="660" t="str">
        <f>VLOOKUP($A114,'Measure Level Adjustments Tab'!$A$5:$CL$272,6,FALSE)</f>
        <v>Standard</v>
      </c>
      <c r="C114" s="659" t="s">
        <v>81</v>
      </c>
      <c r="D114" s="659" t="s">
        <v>135</v>
      </c>
      <c r="E114" s="411">
        <f>VLOOKUP($A114,'Measure Level Adjustments Tab'!$A$5:$CL$272,13,FALSE)</f>
        <v>1</v>
      </c>
      <c r="F114" s="411" t="str">
        <f>VLOOKUP($A114,'Measure Level Adjustments Tab'!$A$5:$CL$272,11,FALSE)</f>
        <v>4.2.6</v>
      </c>
      <c r="G114" s="411">
        <f>VLOOKUP($A114,'Measure Level Adjustments Tab'!$A$5:$CL$272,14,FALSE)</f>
        <v>0</v>
      </c>
      <c r="H114" s="663">
        <f>VLOOKUP($A114,'Measure Level Adjustments Tab'!$A$5:$CL$272,54,FALSE)</f>
        <v>9</v>
      </c>
      <c r="I114" s="663">
        <f>VLOOKUP($A114,'Measure Level Adjustments Tab'!$A$5:$CL$272,55,FALSE)</f>
        <v>8</v>
      </c>
      <c r="J114" s="663">
        <f>VLOOKUP($A114,'Measure Level Adjustments Tab'!$A$5:$CL$272,56,FALSE)</f>
        <v>8</v>
      </c>
      <c r="K114" s="663">
        <f>VLOOKUP($A114,'Measure Level Adjustments Tab'!$A$5:$CL$272,57,FALSE)</f>
        <v>8</v>
      </c>
      <c r="L114" s="411" t="str">
        <f>VLOOKUP($A114,'Measure Level Adjustments Tab'!$A$5:$CL$272,12,FALSE)</f>
        <v>CI-FSE-ESDW-V03-180101</v>
      </c>
      <c r="M114" s="422"/>
      <c r="N114" s="662">
        <v>279</v>
      </c>
      <c r="O114" s="662">
        <v>279</v>
      </c>
      <c r="P114" s="662">
        <v>279</v>
      </c>
      <c r="Q114" s="662">
        <v>279</v>
      </c>
      <c r="R114" s="661">
        <f>VLOOKUP($A114,'Measure Level Adjustments Tab'!$A$5:$CL$272,46,FALSE)</f>
        <v>0.67500000000000004</v>
      </c>
      <c r="S114" s="661">
        <f>VLOOKUP($A114,'Measure Level Adjustments Tab'!$A$5:$CL$272,47,FALSE)</f>
        <v>0.67500000000000004</v>
      </c>
      <c r="T114" s="661">
        <f>VLOOKUP($A114,'Measure Level Adjustments Tab'!$A$5:$CL$272,48,FALSE)</f>
        <v>0.67500000000000004</v>
      </c>
      <c r="U114" s="661">
        <f>VLOOKUP($A114,'Measure Level Adjustments Tab'!$A$5:$CL$272,49,FALSE)</f>
        <v>0.67500000000000004</v>
      </c>
      <c r="V114" s="418">
        <f t="shared" si="20"/>
        <v>1694.9250000000002</v>
      </c>
      <c r="W114" s="418">
        <f t="shared" si="20"/>
        <v>1506.6000000000001</v>
      </c>
      <c r="X114" s="418">
        <f t="shared" si="20"/>
        <v>1506.6000000000001</v>
      </c>
      <c r="Y114" s="418">
        <f t="shared" si="34"/>
        <v>1506.6000000000001</v>
      </c>
      <c r="Z114" s="418">
        <f t="shared" si="21"/>
        <v>6214.7250000000013</v>
      </c>
      <c r="AA114" s="410"/>
      <c r="AB114" s="422"/>
      <c r="AC114" s="415">
        <v>279</v>
      </c>
      <c r="AD114" s="416"/>
      <c r="AE114" s="414">
        <f t="shared" si="22"/>
        <v>1694.9250000000002</v>
      </c>
      <c r="AF114" s="412">
        <f t="shared" si="23"/>
        <v>0</v>
      </c>
      <c r="AG114" s="410"/>
      <c r="AH114" s="422"/>
      <c r="AI114" s="413">
        <v>279</v>
      </c>
      <c r="AJ114" s="2669" t="s">
        <v>820</v>
      </c>
      <c r="AK114" s="414">
        <f t="shared" si="24"/>
        <v>1506.6000000000001</v>
      </c>
      <c r="AL114" s="412">
        <f t="shared" si="25"/>
        <v>0</v>
      </c>
      <c r="AM114" s="410"/>
      <c r="AN114" s="422"/>
      <c r="AO114" s="413">
        <v>279</v>
      </c>
      <c r="AP114" s="2669" t="s">
        <v>304</v>
      </c>
      <c r="AQ114" s="414">
        <f t="shared" si="26"/>
        <v>1506.6000000000001</v>
      </c>
      <c r="AR114" s="412">
        <f t="shared" si="27"/>
        <v>0</v>
      </c>
      <c r="AS114" s="410"/>
      <c r="AT114" s="422"/>
      <c r="AU114" s="413">
        <f>VLOOKUP($A114,'Measure Level Adjustments Tab'!$A$5:$CL$272,53,FALSE)/U114</f>
        <v>279</v>
      </c>
      <c r="AV114" s="2669" t="s">
        <v>304</v>
      </c>
      <c r="AW114" s="414">
        <f t="shared" si="35"/>
        <v>1506.6000000000001</v>
      </c>
      <c r="AX114" s="412">
        <f t="shared" si="28"/>
        <v>0</v>
      </c>
      <c r="AY114" s="418">
        <f t="shared" si="29"/>
        <v>1694.9250000000002</v>
      </c>
      <c r="AZ114" s="418">
        <f t="shared" si="30"/>
        <v>1506.6000000000001</v>
      </c>
      <c r="BA114" s="418">
        <f t="shared" si="31"/>
        <v>1506.6000000000001</v>
      </c>
      <c r="BB114" s="418">
        <f t="shared" si="32"/>
        <v>1506.6000000000001</v>
      </c>
      <c r="BC114" s="419">
        <f t="shared" si="33"/>
        <v>6214.7250000000013</v>
      </c>
      <c r="BD114" s="410" t="s">
        <v>1271</v>
      </c>
      <c r="BE114" s="423" t="s">
        <v>1272</v>
      </c>
      <c r="BF114" s="421"/>
    </row>
    <row r="115" spans="1:58" s="327" customFormat="1" ht="18" customHeight="1" x14ac:dyDescent="0.35">
      <c r="A115" s="660">
        <v>244</v>
      </c>
      <c r="B115" s="660" t="str">
        <f>VLOOKUP($A115,'Measure Level Adjustments Tab'!$A$5:$CL$272,6,FALSE)</f>
        <v>Standard</v>
      </c>
      <c r="C115" s="659" t="s">
        <v>81</v>
      </c>
      <c r="D115" s="659" t="s">
        <v>139</v>
      </c>
      <c r="E115" s="411">
        <f>VLOOKUP($A115,'Measure Level Adjustments Tab'!$A$5:$CL$272,13,FALSE)</f>
        <v>1</v>
      </c>
      <c r="F115" s="411" t="str">
        <f>VLOOKUP($A115,'Measure Level Adjustments Tab'!$A$5:$CL$272,11,FALSE)</f>
        <v>4.2.11</v>
      </c>
      <c r="G115" s="411">
        <f>VLOOKUP($A115,'Measure Level Adjustments Tab'!$A$5:$CL$272,14,FALSE)</f>
        <v>0</v>
      </c>
      <c r="H115" s="663">
        <f>VLOOKUP($A115,'Measure Level Adjustments Tab'!$A$5:$CL$272,54,FALSE)</f>
        <v>20</v>
      </c>
      <c r="I115" s="663">
        <f>VLOOKUP($A115,'Measure Level Adjustments Tab'!$A$5:$CL$272,55,FALSE)</f>
        <v>20</v>
      </c>
      <c r="J115" s="663">
        <f>VLOOKUP($A115,'Measure Level Adjustments Tab'!$A$5:$CL$272,56,FALSE)</f>
        <v>35</v>
      </c>
      <c r="K115" s="663">
        <f>VLOOKUP($A115,'Measure Level Adjustments Tab'!$A$5:$CL$272,57,FALSE)</f>
        <v>35</v>
      </c>
      <c r="L115" s="411" t="str">
        <f>VLOOKUP($A115,'Measure Level Adjustments Tab'!$A$5:$CL$272,12,FALSE)</f>
        <v>CI-FSE-SPRY-V04-180101</v>
      </c>
      <c r="M115" s="422"/>
      <c r="N115" s="662">
        <v>172</v>
      </c>
      <c r="O115" s="662">
        <v>172</v>
      </c>
      <c r="P115" s="662">
        <v>172</v>
      </c>
      <c r="Q115" s="662">
        <v>172</v>
      </c>
      <c r="R115" s="661">
        <f>VLOOKUP($A115,'Measure Level Adjustments Tab'!$A$5:$CL$272,46,FALSE)</f>
        <v>0.89</v>
      </c>
      <c r="S115" s="661">
        <f>VLOOKUP($A115,'Measure Level Adjustments Tab'!$A$5:$CL$272,47,FALSE)</f>
        <v>0.89</v>
      </c>
      <c r="T115" s="661">
        <f>VLOOKUP($A115,'Measure Level Adjustments Tab'!$A$5:$CL$272,48,FALSE)</f>
        <v>0.89</v>
      </c>
      <c r="U115" s="661">
        <f>VLOOKUP($A115,'Measure Level Adjustments Tab'!$A$5:$CL$272,49,FALSE)</f>
        <v>0.89</v>
      </c>
      <c r="V115" s="418">
        <f t="shared" si="20"/>
        <v>3061.6</v>
      </c>
      <c r="W115" s="418">
        <f t="shared" si="20"/>
        <v>3061.6</v>
      </c>
      <c r="X115" s="418">
        <f t="shared" si="20"/>
        <v>5357.8</v>
      </c>
      <c r="Y115" s="418">
        <f t="shared" si="34"/>
        <v>5357.8</v>
      </c>
      <c r="Z115" s="418">
        <f t="shared" si="21"/>
        <v>16838.8</v>
      </c>
      <c r="AA115" s="410"/>
      <c r="AB115" s="422"/>
      <c r="AC115" s="415">
        <v>172</v>
      </c>
      <c r="AD115" s="416"/>
      <c r="AE115" s="414">
        <f t="shared" si="22"/>
        <v>3061.6</v>
      </c>
      <c r="AF115" s="412">
        <f t="shared" si="23"/>
        <v>0</v>
      </c>
      <c r="AG115" s="410"/>
      <c r="AH115" s="422"/>
      <c r="AI115" s="413">
        <v>172</v>
      </c>
      <c r="AJ115" s="2669" t="s">
        <v>820</v>
      </c>
      <c r="AK115" s="414">
        <f t="shared" si="24"/>
        <v>3061.6</v>
      </c>
      <c r="AL115" s="412">
        <f t="shared" si="25"/>
        <v>0</v>
      </c>
      <c r="AM115" s="410"/>
      <c r="AN115" s="422"/>
      <c r="AO115" s="413">
        <v>172</v>
      </c>
      <c r="AP115" s="2669" t="s">
        <v>304</v>
      </c>
      <c r="AQ115" s="414">
        <f t="shared" si="26"/>
        <v>5357.8</v>
      </c>
      <c r="AR115" s="412">
        <f t="shared" si="27"/>
        <v>0</v>
      </c>
      <c r="AS115" s="410"/>
      <c r="AT115" s="422"/>
      <c r="AU115" s="413">
        <f>VLOOKUP($A115,'Measure Level Adjustments Tab'!$A$5:$CL$272,53,FALSE)/U115</f>
        <v>172</v>
      </c>
      <c r="AV115" s="2669" t="s">
        <v>304</v>
      </c>
      <c r="AW115" s="414">
        <f t="shared" si="35"/>
        <v>5357.8</v>
      </c>
      <c r="AX115" s="412">
        <f t="shared" si="28"/>
        <v>0</v>
      </c>
      <c r="AY115" s="418">
        <f t="shared" si="29"/>
        <v>3061.6</v>
      </c>
      <c r="AZ115" s="418">
        <f t="shared" si="30"/>
        <v>3061.6</v>
      </c>
      <c r="BA115" s="418">
        <f t="shared" si="31"/>
        <v>5357.8</v>
      </c>
      <c r="BB115" s="418">
        <f t="shared" si="32"/>
        <v>5357.8</v>
      </c>
      <c r="BC115" s="419">
        <f t="shared" si="33"/>
        <v>16838.8</v>
      </c>
      <c r="BD115" s="410" t="s">
        <v>1271</v>
      </c>
      <c r="BE115" s="423" t="s">
        <v>1272</v>
      </c>
      <c r="BF115" s="421"/>
    </row>
    <row r="116" spans="1:58" s="327" customFormat="1" ht="18" customHeight="1" x14ac:dyDescent="0.35">
      <c r="A116" s="660">
        <v>61</v>
      </c>
      <c r="B116" s="660" t="str">
        <f>VLOOKUP($A116,'Measure Level Adjustments Tab'!$A$5:$CL$272,6,FALSE)</f>
        <v>Standard</v>
      </c>
      <c r="C116" s="659" t="s">
        <v>81</v>
      </c>
      <c r="D116" s="659" t="s">
        <v>140</v>
      </c>
      <c r="E116" s="411">
        <f>VLOOKUP($A116,'Measure Level Adjustments Tab'!$A$5:$CL$272,13,FALSE)</f>
        <v>1</v>
      </c>
      <c r="F116" s="411" t="str">
        <f>VLOOKUP($A116,'Measure Level Adjustments Tab'!$A$5:$CL$272,11,FALSE)</f>
        <v>4.4.11</v>
      </c>
      <c r="G116" s="411">
        <f>VLOOKUP($A116,'Measure Level Adjustments Tab'!$A$5:$CL$272,14,FALSE)</f>
        <v>0</v>
      </c>
      <c r="H116" s="663">
        <f>VLOOKUP($A116,'Measure Level Adjustments Tab'!$A$5:$CL$272,54,FALSE)</f>
        <v>70</v>
      </c>
      <c r="I116" s="663">
        <f>VLOOKUP($A116,'Measure Level Adjustments Tab'!$A$5:$CL$272,55,FALSE)</f>
        <v>60</v>
      </c>
      <c r="J116" s="663">
        <f>VLOOKUP($A116,'Measure Level Adjustments Tab'!$A$5:$CL$272,56,FALSE)</f>
        <v>62</v>
      </c>
      <c r="K116" s="663">
        <f>VLOOKUP($A116,'Measure Level Adjustments Tab'!$A$5:$CL$272,57,FALSE)</f>
        <v>64</v>
      </c>
      <c r="L116" s="411" t="str">
        <f>VLOOKUP($A116,'Measure Level Adjustments Tab'!$A$5:$CL$272,12,FALSE)</f>
        <v>CI-HVC-FRNC-V07-180101</v>
      </c>
      <c r="M116" s="422"/>
      <c r="N116" s="662">
        <v>542.52473385463566</v>
      </c>
      <c r="O116" s="662">
        <v>542.52473385463566</v>
      </c>
      <c r="P116" s="662">
        <v>542.52473385463566</v>
      </c>
      <c r="Q116" s="662">
        <v>542.52473385463566</v>
      </c>
      <c r="R116" s="661">
        <f>VLOOKUP($A116,'Measure Level Adjustments Tab'!$A$5:$CL$272,46,FALSE)</f>
        <v>0.49399999999999999</v>
      </c>
      <c r="S116" s="661">
        <f>VLOOKUP($A116,'Measure Level Adjustments Tab'!$A$5:$CL$272,47,FALSE)</f>
        <v>0.49399999999999999</v>
      </c>
      <c r="T116" s="661">
        <f>VLOOKUP($A116,'Measure Level Adjustments Tab'!$A$5:$CL$272,48,FALSE)</f>
        <v>0.49399999999999999</v>
      </c>
      <c r="U116" s="661">
        <f>VLOOKUP($A116,'Measure Level Adjustments Tab'!$A$5:$CL$272,49,FALSE)</f>
        <v>0.49399999999999999</v>
      </c>
      <c r="V116" s="418">
        <f t="shared" si="20"/>
        <v>18760.505296693304</v>
      </c>
      <c r="W116" s="418">
        <f t="shared" si="20"/>
        <v>16080.433111451401</v>
      </c>
      <c r="X116" s="418">
        <f t="shared" si="20"/>
        <v>16616.447548499782</v>
      </c>
      <c r="Y116" s="418">
        <f t="shared" si="34"/>
        <v>17152.461985548161</v>
      </c>
      <c r="Z116" s="418">
        <f t="shared" si="21"/>
        <v>68609.847942192646</v>
      </c>
      <c r="AA116" s="410"/>
      <c r="AB116" s="422"/>
      <c r="AC116" s="415">
        <v>542.52473385463566</v>
      </c>
      <c r="AD116" s="416"/>
      <c r="AE116" s="414">
        <f t="shared" si="22"/>
        <v>18760.505296693304</v>
      </c>
      <c r="AF116" s="412">
        <f t="shared" si="23"/>
        <v>0</v>
      </c>
      <c r="AG116" s="410"/>
      <c r="AH116" s="422"/>
      <c r="AI116" s="413">
        <v>522.6146428408108</v>
      </c>
      <c r="AJ116" s="2669" t="s">
        <v>3432</v>
      </c>
      <c r="AK116" s="414">
        <f t="shared" si="24"/>
        <v>15490.298013801632</v>
      </c>
      <c r="AL116" s="412">
        <f t="shared" si="25"/>
        <v>-590.1350976497688</v>
      </c>
      <c r="AM116" s="410"/>
      <c r="AN116" s="422"/>
      <c r="AO116" s="413">
        <v>691.15747535750711</v>
      </c>
      <c r="AP116" s="2669" t="s">
        <v>4325</v>
      </c>
      <c r="AQ116" s="414">
        <f t="shared" si="26"/>
        <v>21168.771155249728</v>
      </c>
      <c r="AR116" s="412">
        <f t="shared" si="27"/>
        <v>4552.3236067499456</v>
      </c>
      <c r="AS116" s="410"/>
      <c r="AT116" s="422"/>
      <c r="AU116" s="413">
        <f>VLOOKUP($A116,'Measure Level Adjustments Tab'!$A$5:$CL$272,53,FALSE)/U116</f>
        <v>691.15747535750711</v>
      </c>
      <c r="AV116" s="2669" t="s">
        <v>304</v>
      </c>
      <c r="AW116" s="414">
        <f t="shared" si="35"/>
        <v>21851.634740902944</v>
      </c>
      <c r="AX116" s="412">
        <f t="shared" si="28"/>
        <v>4699.1727553547826</v>
      </c>
      <c r="AY116" s="418">
        <f t="shared" si="29"/>
        <v>18760.505296693304</v>
      </c>
      <c r="AZ116" s="418">
        <f t="shared" si="30"/>
        <v>15490.298013801632</v>
      </c>
      <c r="BA116" s="418">
        <f t="shared" si="31"/>
        <v>21168.771155249728</v>
      </c>
      <c r="BB116" s="418">
        <f t="shared" si="32"/>
        <v>21851.634740902944</v>
      </c>
      <c r="BC116" s="419">
        <f t="shared" si="33"/>
        <v>77271.209206647603</v>
      </c>
      <c r="BD116" s="410" t="s">
        <v>1271</v>
      </c>
      <c r="BE116" s="423" t="s">
        <v>1272</v>
      </c>
      <c r="BF116" s="421"/>
    </row>
    <row r="117" spans="1:58" s="327" customFormat="1" ht="18" customHeight="1" x14ac:dyDescent="0.35">
      <c r="A117" s="660">
        <v>52</v>
      </c>
      <c r="B117" s="660" t="str">
        <f>VLOOKUP($A117,'Measure Level Adjustments Tab'!$A$5:$CL$272,6,FALSE)</f>
        <v>Standard</v>
      </c>
      <c r="C117" s="659" t="s">
        <v>81</v>
      </c>
      <c r="D117" s="659" t="s">
        <v>141</v>
      </c>
      <c r="E117" s="411">
        <f>VLOOKUP($A117,'Measure Level Adjustments Tab'!$A$5:$CL$272,13,FALSE)</f>
        <v>1</v>
      </c>
      <c r="F117" s="411" t="str">
        <f>VLOOKUP($A117,'Measure Level Adjustments Tab'!$A$5:$CL$272,11,FALSE)</f>
        <v>4.4.4</v>
      </c>
      <c r="G117" s="411">
        <f>VLOOKUP($A117,'Measure Level Adjustments Tab'!$A$5:$CL$272,14,FALSE)</f>
        <v>0</v>
      </c>
      <c r="H117" s="663">
        <f>VLOOKUP($A117,'Measure Level Adjustments Tab'!$A$5:$CL$272,54,FALSE)</f>
        <v>18</v>
      </c>
      <c r="I117" s="663">
        <f>VLOOKUP($A117,'Measure Level Adjustments Tab'!$A$5:$CL$272,55,FALSE)</f>
        <v>16</v>
      </c>
      <c r="J117" s="663">
        <f>VLOOKUP($A117,'Measure Level Adjustments Tab'!$A$5:$CL$272,56,FALSE)</f>
        <v>23</v>
      </c>
      <c r="K117" s="663">
        <f>VLOOKUP($A117,'Measure Level Adjustments Tab'!$A$5:$CL$272,57,FALSE)</f>
        <v>24</v>
      </c>
      <c r="L117" s="411" t="str">
        <f>VLOOKUP($A117,'Measure Level Adjustments Tab'!$A$5:$CL$272,12,FALSE)</f>
        <v>CI-HVC-BLRC-V03-150601</v>
      </c>
      <c r="M117" s="422"/>
      <c r="N117" s="662">
        <v>1337.7267780000002</v>
      </c>
      <c r="O117" s="662">
        <v>1337.7267780000002</v>
      </c>
      <c r="P117" s="662">
        <v>1337.7267780000002</v>
      </c>
      <c r="Q117" s="662">
        <v>1337.7267780000002</v>
      </c>
      <c r="R117" s="661">
        <f>VLOOKUP($A117,'Measure Level Adjustments Tab'!$A$5:$CL$272,46,FALSE)</f>
        <v>0.49399999999999999</v>
      </c>
      <c r="S117" s="661">
        <f>VLOOKUP($A117,'Measure Level Adjustments Tab'!$A$5:$CL$272,47,FALSE)</f>
        <v>0.49399999999999999</v>
      </c>
      <c r="T117" s="661">
        <f>VLOOKUP($A117,'Measure Level Adjustments Tab'!$A$5:$CL$272,48,FALSE)</f>
        <v>0.49399999999999999</v>
      </c>
      <c r="U117" s="661">
        <f>VLOOKUP($A117,'Measure Level Adjustments Tab'!$A$5:$CL$272,49,FALSE)</f>
        <v>0.49399999999999999</v>
      </c>
      <c r="V117" s="418">
        <f t="shared" si="20"/>
        <v>11895.066509976001</v>
      </c>
      <c r="W117" s="418">
        <f t="shared" si="20"/>
        <v>10573.392453312001</v>
      </c>
      <c r="X117" s="418">
        <f t="shared" si="20"/>
        <v>15199.251651636003</v>
      </c>
      <c r="Y117" s="418">
        <f t="shared" si="34"/>
        <v>15860.088679968003</v>
      </c>
      <c r="Z117" s="418">
        <f t="shared" si="21"/>
        <v>53527.799294892007</v>
      </c>
      <c r="AA117" s="410"/>
      <c r="AB117" s="422"/>
      <c r="AC117" s="415">
        <v>1337.7267780000002</v>
      </c>
      <c r="AD117" s="416"/>
      <c r="AE117" s="414">
        <f t="shared" si="22"/>
        <v>11895.066509976001</v>
      </c>
      <c r="AF117" s="412">
        <f t="shared" si="23"/>
        <v>0</v>
      </c>
      <c r="AG117" s="410"/>
      <c r="AH117" s="422"/>
      <c r="AI117" s="413">
        <v>1338.656442</v>
      </c>
      <c r="AJ117" s="2669" t="s">
        <v>820</v>
      </c>
      <c r="AK117" s="414">
        <f t="shared" si="24"/>
        <v>10580.740517568</v>
      </c>
      <c r="AL117" s="412">
        <f t="shared" si="25"/>
        <v>7.3480642559989064</v>
      </c>
      <c r="AM117" s="410"/>
      <c r="AN117" s="422"/>
      <c r="AO117" s="413">
        <v>1422.9771820000001</v>
      </c>
      <c r="AP117" s="2669" t="s">
        <v>4325</v>
      </c>
      <c r="AQ117" s="414">
        <f t="shared" si="26"/>
        <v>16167.866741884001</v>
      </c>
      <c r="AR117" s="412">
        <f t="shared" si="27"/>
        <v>968.61509024799852</v>
      </c>
      <c r="AS117" s="410"/>
      <c r="AT117" s="422"/>
      <c r="AU117" s="413">
        <f>VLOOKUP($A117,'Measure Level Adjustments Tab'!$A$5:$CL$272,53,FALSE)/U117</f>
        <v>1422.9771820000001</v>
      </c>
      <c r="AV117" s="2669" t="s">
        <v>304</v>
      </c>
      <c r="AW117" s="414">
        <f t="shared" si="35"/>
        <v>16870.817469792</v>
      </c>
      <c r="AX117" s="412">
        <f t="shared" si="28"/>
        <v>1010.7287898239974</v>
      </c>
      <c r="AY117" s="418">
        <f t="shared" si="29"/>
        <v>11895.066509976001</v>
      </c>
      <c r="AZ117" s="418">
        <f t="shared" si="30"/>
        <v>10580.740517568</v>
      </c>
      <c r="BA117" s="418">
        <f t="shared" si="31"/>
        <v>16167.866741884001</v>
      </c>
      <c r="BB117" s="418">
        <f t="shared" si="32"/>
        <v>16870.817469792</v>
      </c>
      <c r="BC117" s="419">
        <f t="shared" si="33"/>
        <v>55514.491239220006</v>
      </c>
      <c r="BD117" s="410" t="s">
        <v>1271</v>
      </c>
      <c r="BE117" s="423" t="s">
        <v>1272</v>
      </c>
      <c r="BF117" s="421"/>
    </row>
    <row r="118" spans="1:58" s="327" customFormat="1" ht="18" customHeight="1" x14ac:dyDescent="0.35">
      <c r="A118" s="660">
        <v>74</v>
      </c>
      <c r="B118" s="660" t="str">
        <f>VLOOKUP($A118,'Measure Level Adjustments Tab'!$A$5:$CL$272,6,FALSE)</f>
        <v>Standard</v>
      </c>
      <c r="C118" s="659" t="s">
        <v>81</v>
      </c>
      <c r="D118" s="659" t="s">
        <v>142</v>
      </c>
      <c r="E118" s="411">
        <f>VLOOKUP($A118,'Measure Level Adjustments Tab'!$A$5:$CL$272,13,FALSE)</f>
        <v>1</v>
      </c>
      <c r="F118" s="411" t="str">
        <f>VLOOKUP($A118,'Measure Level Adjustments Tab'!$A$5:$CL$272,11,FALSE)</f>
        <v>4.4.12</v>
      </c>
      <c r="G118" s="411">
        <f>VLOOKUP($A118,'Measure Level Adjustments Tab'!$A$5:$CL$272,14,FALSE)</f>
        <v>0</v>
      </c>
      <c r="H118" s="663">
        <f>VLOOKUP($A118,'Measure Level Adjustments Tab'!$A$5:$CL$272,54,FALSE)</f>
        <v>18</v>
      </c>
      <c r="I118" s="663">
        <f>VLOOKUP($A118,'Measure Level Adjustments Tab'!$A$5:$CL$272,55,FALSE)</f>
        <v>16</v>
      </c>
      <c r="J118" s="663">
        <f>VLOOKUP($A118,'Measure Level Adjustments Tab'!$A$5:$CL$272,56,FALSE)</f>
        <v>23</v>
      </c>
      <c r="K118" s="663">
        <f>VLOOKUP($A118,'Measure Level Adjustments Tab'!$A$5:$CL$272,57,FALSE)</f>
        <v>30</v>
      </c>
      <c r="L118" s="411" t="str">
        <f>VLOOKUP($A118,'Measure Level Adjustments Tab'!$A$5:$CL$272,12,FALSE)</f>
        <v>CI-HVC-IRHT-V01-120601</v>
      </c>
      <c r="M118" s="422"/>
      <c r="N118" s="662">
        <v>451</v>
      </c>
      <c r="O118" s="662">
        <v>451</v>
      </c>
      <c r="P118" s="662">
        <v>451</v>
      </c>
      <c r="Q118" s="662">
        <v>451</v>
      </c>
      <c r="R118" s="661">
        <f>VLOOKUP($A118,'Measure Level Adjustments Tab'!$A$5:$CL$272,46,FALSE)</f>
        <v>0.49399999999999999</v>
      </c>
      <c r="S118" s="661">
        <f>VLOOKUP($A118,'Measure Level Adjustments Tab'!$A$5:$CL$272,47,FALSE)</f>
        <v>0.49399999999999999</v>
      </c>
      <c r="T118" s="661">
        <f>VLOOKUP($A118,'Measure Level Adjustments Tab'!$A$5:$CL$272,48,FALSE)</f>
        <v>0.49399999999999999</v>
      </c>
      <c r="U118" s="661">
        <f>VLOOKUP($A118,'Measure Level Adjustments Tab'!$A$5:$CL$272,49,FALSE)</f>
        <v>0.49399999999999999</v>
      </c>
      <c r="V118" s="418">
        <f t="shared" si="20"/>
        <v>4010.2919999999999</v>
      </c>
      <c r="W118" s="418">
        <f t="shared" si="20"/>
        <v>3564.7040000000002</v>
      </c>
      <c r="X118" s="418">
        <f t="shared" si="20"/>
        <v>5124.2619999999997</v>
      </c>
      <c r="Y118" s="418">
        <f t="shared" si="34"/>
        <v>6683.82</v>
      </c>
      <c r="Z118" s="418">
        <f t="shared" si="21"/>
        <v>19383.078000000001</v>
      </c>
      <c r="AA118" s="410"/>
      <c r="AB118" s="422"/>
      <c r="AC118" s="415">
        <v>451</v>
      </c>
      <c r="AD118" s="416"/>
      <c r="AE118" s="414">
        <f t="shared" si="22"/>
        <v>4010.2919999999999</v>
      </c>
      <c r="AF118" s="412">
        <f t="shared" si="23"/>
        <v>0</v>
      </c>
      <c r="AG118" s="410"/>
      <c r="AH118" s="422"/>
      <c r="AI118" s="413">
        <v>451</v>
      </c>
      <c r="AJ118" s="2669" t="s">
        <v>820</v>
      </c>
      <c r="AK118" s="414">
        <f t="shared" si="24"/>
        <v>3564.7040000000002</v>
      </c>
      <c r="AL118" s="412">
        <f t="shared" si="25"/>
        <v>0</v>
      </c>
      <c r="AM118" s="410"/>
      <c r="AN118" s="422"/>
      <c r="AO118" s="413">
        <v>451</v>
      </c>
      <c r="AP118" s="2669" t="s">
        <v>304</v>
      </c>
      <c r="AQ118" s="414">
        <f t="shared" si="26"/>
        <v>5124.2619999999997</v>
      </c>
      <c r="AR118" s="412">
        <f t="shared" si="27"/>
        <v>0</v>
      </c>
      <c r="AS118" s="410"/>
      <c r="AT118" s="422"/>
      <c r="AU118" s="413">
        <f>VLOOKUP($A118,'Measure Level Adjustments Tab'!$A$5:$CL$272,53,FALSE)/U118</f>
        <v>332.64705882352928</v>
      </c>
      <c r="AV118" s="2669" t="s">
        <v>4008</v>
      </c>
      <c r="AW118" s="414">
        <f t="shared" si="35"/>
        <v>4929.8294117647038</v>
      </c>
      <c r="AX118" s="412">
        <f t="shared" si="28"/>
        <v>-1753.9905882352959</v>
      </c>
      <c r="AY118" s="418">
        <f t="shared" si="29"/>
        <v>4010.2919999999999</v>
      </c>
      <c r="AZ118" s="418">
        <f t="shared" si="30"/>
        <v>3564.7040000000002</v>
      </c>
      <c r="BA118" s="418">
        <f t="shared" si="31"/>
        <v>5124.2619999999997</v>
      </c>
      <c r="BB118" s="418">
        <f t="shared" si="32"/>
        <v>4929.8294117647038</v>
      </c>
      <c r="BC118" s="419">
        <f t="shared" si="33"/>
        <v>17629.087411764704</v>
      </c>
      <c r="BD118" s="410" t="s">
        <v>1271</v>
      </c>
      <c r="BE118" s="423" t="s">
        <v>1272</v>
      </c>
      <c r="BF118" s="421"/>
    </row>
    <row r="119" spans="1:58" s="327" customFormat="1" ht="18" customHeight="1" x14ac:dyDescent="0.35">
      <c r="A119" s="660">
        <v>230</v>
      </c>
      <c r="B119" s="660" t="str">
        <f>VLOOKUP($A119,'Measure Level Adjustments Tab'!$A$5:$CL$272,6,FALSE)</f>
        <v>Standard</v>
      </c>
      <c r="C119" s="659" t="s">
        <v>81</v>
      </c>
      <c r="D119" s="659" t="s">
        <v>143</v>
      </c>
      <c r="E119" s="411">
        <f>VLOOKUP($A119,'Measure Level Adjustments Tab'!$A$5:$CL$272,13,FALSE)</f>
        <v>1</v>
      </c>
      <c r="F119" s="411" t="str">
        <f>VLOOKUP($A119,'Measure Level Adjustments Tab'!$A$5:$CL$272,11,FALSE)</f>
        <v>4.4.5</v>
      </c>
      <c r="G119" s="411">
        <f>VLOOKUP($A119,'Measure Level Adjustments Tab'!$A$5:$CL$272,14,FALSE)</f>
        <v>0</v>
      </c>
      <c r="H119" s="663">
        <f>VLOOKUP($A119,'Measure Level Adjustments Tab'!$A$5:$CL$272,54,FALSE)</f>
        <v>4</v>
      </c>
      <c r="I119" s="663">
        <f>VLOOKUP($A119,'Measure Level Adjustments Tab'!$A$5:$CL$272,55,FALSE)</f>
        <v>3</v>
      </c>
      <c r="J119" s="663">
        <f>VLOOKUP($A119,'Measure Level Adjustments Tab'!$A$5:$CL$272,56,FALSE)</f>
        <v>5</v>
      </c>
      <c r="K119" s="663">
        <f>VLOOKUP($A119,'Measure Level Adjustments Tab'!$A$5:$CL$272,57,FALSE)</f>
        <v>10</v>
      </c>
      <c r="L119" s="411" t="str">
        <f>VLOOKUP($A119,'Measure Level Adjustments Tab'!$A$5:$CL$272,12,FALSE)</f>
        <v>CI-HVC-CUHT-V01-120601</v>
      </c>
      <c r="M119" s="422"/>
      <c r="N119" s="662">
        <v>266</v>
      </c>
      <c r="O119" s="662">
        <v>266</v>
      </c>
      <c r="P119" s="662">
        <v>266</v>
      </c>
      <c r="Q119" s="662">
        <v>266</v>
      </c>
      <c r="R119" s="661">
        <f>VLOOKUP($A119,'Measure Level Adjustments Tab'!$A$5:$CL$272,46,FALSE)</f>
        <v>0.49399999999999999</v>
      </c>
      <c r="S119" s="661">
        <f>VLOOKUP($A119,'Measure Level Adjustments Tab'!$A$5:$CL$272,47,FALSE)</f>
        <v>0.49399999999999999</v>
      </c>
      <c r="T119" s="661">
        <f>VLOOKUP($A119,'Measure Level Adjustments Tab'!$A$5:$CL$272,48,FALSE)</f>
        <v>0.49399999999999999</v>
      </c>
      <c r="U119" s="661">
        <f>VLOOKUP($A119,'Measure Level Adjustments Tab'!$A$5:$CL$272,49,FALSE)</f>
        <v>0.49399999999999999</v>
      </c>
      <c r="V119" s="418">
        <f t="shared" si="20"/>
        <v>525.61599999999999</v>
      </c>
      <c r="W119" s="418">
        <f t="shared" si="20"/>
        <v>394.21199999999999</v>
      </c>
      <c r="X119" s="418">
        <f t="shared" si="20"/>
        <v>657.02</v>
      </c>
      <c r="Y119" s="418">
        <f t="shared" si="34"/>
        <v>1314.04</v>
      </c>
      <c r="Z119" s="418">
        <f t="shared" si="21"/>
        <v>2890.8879999999999</v>
      </c>
      <c r="AA119" s="410"/>
      <c r="AB119" s="422"/>
      <c r="AC119" s="415">
        <v>266</v>
      </c>
      <c r="AD119" s="416"/>
      <c r="AE119" s="414">
        <f t="shared" si="22"/>
        <v>525.61599999999999</v>
      </c>
      <c r="AF119" s="412">
        <f t="shared" si="23"/>
        <v>0</v>
      </c>
      <c r="AG119" s="410"/>
      <c r="AH119" s="422"/>
      <c r="AI119" s="413">
        <v>266</v>
      </c>
      <c r="AJ119" s="2669" t="s">
        <v>820</v>
      </c>
      <c r="AK119" s="414">
        <f t="shared" si="24"/>
        <v>394.21199999999999</v>
      </c>
      <c r="AL119" s="412">
        <f t="shared" si="25"/>
        <v>0</v>
      </c>
      <c r="AM119" s="410"/>
      <c r="AN119" s="422"/>
      <c r="AO119" s="413">
        <v>266</v>
      </c>
      <c r="AP119" s="2669" t="s">
        <v>304</v>
      </c>
      <c r="AQ119" s="414">
        <f t="shared" si="26"/>
        <v>657.02</v>
      </c>
      <c r="AR119" s="412">
        <f t="shared" si="27"/>
        <v>0</v>
      </c>
      <c r="AS119" s="410"/>
      <c r="AT119" s="422"/>
      <c r="AU119" s="413">
        <f>VLOOKUP($A119,'Measure Level Adjustments Tab'!$A$5:$CL$272,53,FALSE)/U119</f>
        <v>266</v>
      </c>
      <c r="AV119" s="2669" t="s">
        <v>304</v>
      </c>
      <c r="AW119" s="414">
        <f t="shared" si="35"/>
        <v>1314.04</v>
      </c>
      <c r="AX119" s="412">
        <f t="shared" si="28"/>
        <v>0</v>
      </c>
      <c r="AY119" s="418">
        <f t="shared" si="29"/>
        <v>525.61599999999999</v>
      </c>
      <c r="AZ119" s="418">
        <f t="shared" si="30"/>
        <v>394.21199999999999</v>
      </c>
      <c r="BA119" s="418">
        <f t="shared" si="31"/>
        <v>657.02</v>
      </c>
      <c r="BB119" s="418">
        <f t="shared" si="32"/>
        <v>1314.04</v>
      </c>
      <c r="BC119" s="419">
        <f t="shared" si="33"/>
        <v>2890.8879999999999</v>
      </c>
      <c r="BD119" s="410" t="s">
        <v>1271</v>
      </c>
      <c r="BE119" s="423" t="s">
        <v>1272</v>
      </c>
      <c r="BF119" s="421"/>
    </row>
    <row r="120" spans="1:58" s="327" customFormat="1" ht="18" customHeight="1" x14ac:dyDescent="0.35">
      <c r="A120" s="660">
        <v>177</v>
      </c>
      <c r="B120" s="660" t="str">
        <f>VLOOKUP($A120,'Measure Level Adjustments Tab'!$A$5:$CL$272,6,FALSE)</f>
        <v>Standard</v>
      </c>
      <c r="C120" s="659" t="s">
        <v>81</v>
      </c>
      <c r="D120" s="659" t="s">
        <v>144</v>
      </c>
      <c r="E120" s="411">
        <f>VLOOKUP($A120,'Measure Level Adjustments Tab'!$A$5:$CL$272,13,FALSE)</f>
        <v>1</v>
      </c>
      <c r="F120" s="411" t="str">
        <f>VLOOKUP($A120,'Measure Level Adjustments Tab'!$A$5:$CL$272,11,FALSE)</f>
        <v>4.3.4</v>
      </c>
      <c r="G120" s="411">
        <f>VLOOKUP($A120,'Measure Level Adjustments Tab'!$A$5:$CL$272,14,FALSE)</f>
        <v>0</v>
      </c>
      <c r="H120" s="663">
        <f>VLOOKUP($A120,'Measure Level Adjustments Tab'!$A$5:$CL$272,54,FALSE)</f>
        <v>6</v>
      </c>
      <c r="I120" s="663">
        <f>VLOOKUP($A120,'Measure Level Adjustments Tab'!$A$5:$CL$272,55,FALSE)</f>
        <v>5</v>
      </c>
      <c r="J120" s="663">
        <f>VLOOKUP($A120,'Measure Level Adjustments Tab'!$A$5:$CL$272,56,FALSE)</f>
        <v>7</v>
      </c>
      <c r="K120" s="663">
        <f>VLOOKUP($A120,'Measure Level Adjustments Tab'!$A$5:$CL$272,57,FALSE)</f>
        <v>9</v>
      </c>
      <c r="L120" s="411" t="str">
        <f>VLOOKUP($A120,'Measure Level Adjustments Tab'!$A$5:$CL$272,12,FALSE)</f>
        <v>CI-HWE-PLCV-V01-130601</v>
      </c>
      <c r="M120" s="422"/>
      <c r="N120" s="662">
        <v>587.29999999999995</v>
      </c>
      <c r="O120" s="662">
        <v>587.29999999999995</v>
      </c>
      <c r="P120" s="662">
        <v>587.29999999999995</v>
      </c>
      <c r="Q120" s="662">
        <v>587.29999999999995</v>
      </c>
      <c r="R120" s="661">
        <f>VLOOKUP($A120,'Measure Level Adjustments Tab'!$A$5:$CL$272,46,FALSE)</f>
        <v>0.67500000000000004</v>
      </c>
      <c r="S120" s="661">
        <f>VLOOKUP($A120,'Measure Level Adjustments Tab'!$A$5:$CL$272,47,FALSE)</f>
        <v>0.67500000000000004</v>
      </c>
      <c r="T120" s="661">
        <f>VLOOKUP($A120,'Measure Level Adjustments Tab'!$A$5:$CL$272,48,FALSE)</f>
        <v>0.67500000000000004</v>
      </c>
      <c r="U120" s="661">
        <f>VLOOKUP($A120,'Measure Level Adjustments Tab'!$A$5:$CL$272,49,FALSE)</f>
        <v>0.67500000000000004</v>
      </c>
      <c r="V120" s="418">
        <f t="shared" si="20"/>
        <v>2378.5650000000001</v>
      </c>
      <c r="W120" s="418">
        <f t="shared" si="20"/>
        <v>1982.1375</v>
      </c>
      <c r="X120" s="418">
        <f t="shared" si="20"/>
        <v>2774.9924999999998</v>
      </c>
      <c r="Y120" s="418">
        <f t="shared" si="34"/>
        <v>3567.8475000000003</v>
      </c>
      <c r="Z120" s="418">
        <f t="shared" si="21"/>
        <v>10703.5425</v>
      </c>
      <c r="AA120" s="410"/>
      <c r="AB120" s="422"/>
      <c r="AC120" s="415">
        <v>587.29999999999995</v>
      </c>
      <c r="AD120" s="416"/>
      <c r="AE120" s="414">
        <f t="shared" si="22"/>
        <v>2378.5650000000001</v>
      </c>
      <c r="AF120" s="412">
        <f t="shared" si="23"/>
        <v>0</v>
      </c>
      <c r="AG120" s="410"/>
      <c r="AH120" s="422"/>
      <c r="AI120" s="413">
        <v>587.29999999999995</v>
      </c>
      <c r="AJ120" s="2669" t="s">
        <v>820</v>
      </c>
      <c r="AK120" s="414">
        <f t="shared" si="24"/>
        <v>1982.1375</v>
      </c>
      <c r="AL120" s="412">
        <f t="shared" si="25"/>
        <v>0</v>
      </c>
      <c r="AM120" s="410"/>
      <c r="AN120" s="422"/>
      <c r="AO120" s="413">
        <v>587.29999999999995</v>
      </c>
      <c r="AP120" s="2669" t="s">
        <v>304</v>
      </c>
      <c r="AQ120" s="414">
        <f t="shared" si="26"/>
        <v>2774.9924999999998</v>
      </c>
      <c r="AR120" s="412">
        <f t="shared" si="27"/>
        <v>0</v>
      </c>
      <c r="AS120" s="410"/>
      <c r="AT120" s="422"/>
      <c r="AU120" s="413">
        <f>VLOOKUP($A120,'Measure Level Adjustments Tab'!$A$5:$CL$272,53,FALSE)/U120</f>
        <v>587.29999999999995</v>
      </c>
      <c r="AV120" s="2669" t="s">
        <v>304</v>
      </c>
      <c r="AW120" s="414">
        <f t="shared" si="35"/>
        <v>3567.8475000000003</v>
      </c>
      <c r="AX120" s="412">
        <f t="shared" si="28"/>
        <v>0</v>
      </c>
      <c r="AY120" s="418">
        <f t="shared" si="29"/>
        <v>2378.5650000000001</v>
      </c>
      <c r="AZ120" s="418">
        <f t="shared" si="30"/>
        <v>1982.1375</v>
      </c>
      <c r="BA120" s="418">
        <f t="shared" si="31"/>
        <v>2774.9924999999998</v>
      </c>
      <c r="BB120" s="418">
        <f t="shared" si="32"/>
        <v>3567.8475000000003</v>
      </c>
      <c r="BC120" s="419">
        <f t="shared" si="33"/>
        <v>10703.5425</v>
      </c>
      <c r="BD120" s="410" t="s">
        <v>1271</v>
      </c>
      <c r="BE120" s="423" t="s">
        <v>1272</v>
      </c>
      <c r="BF120" s="421"/>
    </row>
    <row r="121" spans="1:58" s="327" customFormat="1" ht="18" customHeight="1" x14ac:dyDescent="0.35">
      <c r="A121" s="660">
        <v>112</v>
      </c>
      <c r="B121" s="660" t="str">
        <f>VLOOKUP($A121,'Measure Level Adjustments Tab'!$A$5:$CL$272,6,FALSE)</f>
        <v>Standard</v>
      </c>
      <c r="C121" s="659" t="s">
        <v>81</v>
      </c>
      <c r="D121" s="659" t="s">
        <v>149</v>
      </c>
      <c r="E121" s="411">
        <f>VLOOKUP($A121,'Measure Level Adjustments Tab'!$A$5:$CL$272,13,FALSE)</f>
        <v>1</v>
      </c>
      <c r="F121" s="411" t="str">
        <f>VLOOKUP($A121,'Measure Level Adjustments Tab'!$A$5:$CL$272,11,FALSE)</f>
        <v>4.2.15</v>
      </c>
      <c r="G121" s="411">
        <f>VLOOKUP($A121,'Measure Level Adjustments Tab'!$A$5:$CL$272,14,FALSE)</f>
        <v>0</v>
      </c>
      <c r="H121" s="663">
        <f>VLOOKUP($A121,'Measure Level Adjustments Tab'!$A$5:$CL$272,54,FALSE)</f>
        <v>1</v>
      </c>
      <c r="I121" s="663">
        <f>VLOOKUP($A121,'Measure Level Adjustments Tab'!$A$5:$CL$272,55,FALSE)</f>
        <v>1</v>
      </c>
      <c r="J121" s="663">
        <f>VLOOKUP($A121,'Measure Level Adjustments Tab'!$A$5:$CL$272,56,FALSE)</f>
        <v>1</v>
      </c>
      <c r="K121" s="663">
        <f>VLOOKUP($A121,'Measure Level Adjustments Tab'!$A$5:$CL$272,57,FALSE)</f>
        <v>2</v>
      </c>
      <c r="L121" s="411" t="str">
        <f>VLOOKUP($A121,'Measure Level Adjustments Tab'!$A$5:$CL$272,12,FALSE)</f>
        <v>CI-FSE-IRUB-V02-180101</v>
      </c>
      <c r="M121" s="422"/>
      <c r="N121" s="662">
        <v>1089</v>
      </c>
      <c r="O121" s="662">
        <v>1089</v>
      </c>
      <c r="P121" s="662">
        <v>1089</v>
      </c>
      <c r="Q121" s="662">
        <v>1089</v>
      </c>
      <c r="R121" s="661">
        <f>VLOOKUP($A121,'Measure Level Adjustments Tab'!$A$5:$CL$272,46,FALSE)</f>
        <v>0.67500000000000004</v>
      </c>
      <c r="S121" s="661">
        <f>VLOOKUP($A121,'Measure Level Adjustments Tab'!$A$5:$CL$272,47,FALSE)</f>
        <v>0.67500000000000004</v>
      </c>
      <c r="T121" s="661">
        <f>VLOOKUP($A121,'Measure Level Adjustments Tab'!$A$5:$CL$272,48,FALSE)</f>
        <v>0.67500000000000004</v>
      </c>
      <c r="U121" s="661">
        <f>VLOOKUP($A121,'Measure Level Adjustments Tab'!$A$5:$CL$272,49,FALSE)</f>
        <v>0.67500000000000004</v>
      </c>
      <c r="V121" s="418">
        <f t="shared" si="20"/>
        <v>735.07500000000005</v>
      </c>
      <c r="W121" s="418">
        <f t="shared" si="20"/>
        <v>735.07500000000005</v>
      </c>
      <c r="X121" s="418">
        <f t="shared" si="20"/>
        <v>735.07500000000005</v>
      </c>
      <c r="Y121" s="418">
        <f t="shared" si="20"/>
        <v>1470.15</v>
      </c>
      <c r="Z121" s="418">
        <f t="shared" si="21"/>
        <v>3675.3750000000005</v>
      </c>
      <c r="AA121" s="410"/>
      <c r="AB121" s="422"/>
      <c r="AC121" s="415">
        <v>1089</v>
      </c>
      <c r="AD121" s="416"/>
      <c r="AE121" s="414">
        <f t="shared" si="22"/>
        <v>735.07500000000005</v>
      </c>
      <c r="AF121" s="412">
        <f t="shared" si="23"/>
        <v>0</v>
      </c>
      <c r="AG121" s="410"/>
      <c r="AH121" s="422"/>
      <c r="AI121" s="413">
        <v>1089</v>
      </c>
      <c r="AJ121" s="2669" t="s">
        <v>820</v>
      </c>
      <c r="AK121" s="414">
        <f t="shared" si="24"/>
        <v>735.07500000000005</v>
      </c>
      <c r="AL121" s="412">
        <f t="shared" si="25"/>
        <v>0</v>
      </c>
      <c r="AM121" s="410"/>
      <c r="AN121" s="422"/>
      <c r="AO121" s="413">
        <v>1089</v>
      </c>
      <c r="AP121" s="2669" t="s">
        <v>304</v>
      </c>
      <c r="AQ121" s="414">
        <f t="shared" si="26"/>
        <v>735.07500000000005</v>
      </c>
      <c r="AR121" s="412">
        <f t="shared" si="27"/>
        <v>0</v>
      </c>
      <c r="AS121" s="410"/>
      <c r="AT121" s="422"/>
      <c r="AU121" s="413">
        <f>VLOOKUP($A121,'Measure Level Adjustments Tab'!$A$5:$CL$272,53,FALSE)/U121</f>
        <v>1089</v>
      </c>
      <c r="AV121" s="2669" t="s">
        <v>304</v>
      </c>
      <c r="AW121" s="414">
        <f t="shared" si="35"/>
        <v>1470.15</v>
      </c>
      <c r="AX121" s="412">
        <f t="shared" si="28"/>
        <v>0</v>
      </c>
      <c r="AY121" s="418">
        <f t="shared" si="29"/>
        <v>735.07500000000005</v>
      </c>
      <c r="AZ121" s="418">
        <f t="shared" si="30"/>
        <v>735.07500000000005</v>
      </c>
      <c r="BA121" s="418">
        <f t="shared" si="31"/>
        <v>735.07500000000005</v>
      </c>
      <c r="BB121" s="418">
        <f t="shared" si="32"/>
        <v>1470.15</v>
      </c>
      <c r="BC121" s="419">
        <f t="shared" si="33"/>
        <v>3675.3750000000005</v>
      </c>
      <c r="BD121" s="410" t="s">
        <v>1271</v>
      </c>
      <c r="BE121" s="423" t="s">
        <v>1272</v>
      </c>
      <c r="BF121" s="421"/>
    </row>
    <row r="122" spans="1:58" s="327" customFormat="1" ht="18" customHeight="1" x14ac:dyDescent="0.35">
      <c r="A122" s="660">
        <v>111</v>
      </c>
      <c r="B122" s="660" t="str">
        <f>VLOOKUP($A122,'Measure Level Adjustments Tab'!$A$5:$CL$272,6,FALSE)</f>
        <v>Standard</v>
      </c>
      <c r="C122" s="659" t="s">
        <v>81</v>
      </c>
      <c r="D122" s="659" t="s">
        <v>150</v>
      </c>
      <c r="E122" s="411">
        <f>VLOOKUP($A122,'Measure Level Adjustments Tab'!$A$5:$CL$272,13,FALSE)</f>
        <v>1</v>
      </c>
      <c r="F122" s="411" t="str">
        <f>VLOOKUP($A122,'Measure Level Adjustments Tab'!$A$5:$CL$272,11,FALSE)</f>
        <v>4.2.14</v>
      </c>
      <c r="G122" s="411">
        <f>VLOOKUP($A122,'Measure Level Adjustments Tab'!$A$5:$CL$272,14,FALSE)</f>
        <v>0</v>
      </c>
      <c r="H122" s="663">
        <f>VLOOKUP($A122,'Measure Level Adjustments Tab'!$A$5:$CL$272,54,FALSE)</f>
        <v>1</v>
      </c>
      <c r="I122" s="663">
        <f>VLOOKUP($A122,'Measure Level Adjustments Tab'!$A$5:$CL$272,55,FALSE)</f>
        <v>1</v>
      </c>
      <c r="J122" s="663">
        <f>VLOOKUP($A122,'Measure Level Adjustments Tab'!$A$5:$CL$272,56,FALSE)</f>
        <v>1</v>
      </c>
      <c r="K122" s="663">
        <f>VLOOKUP($A122,'Measure Level Adjustments Tab'!$A$5:$CL$272,57,FALSE)</f>
        <v>1</v>
      </c>
      <c r="L122" s="411" t="str">
        <f>VLOOKUP($A122,'Measure Level Adjustments Tab'!$A$5:$CL$272,12,FALSE)</f>
        <v>CI-FSE-IRBL-V02-180101</v>
      </c>
      <c r="M122" s="422"/>
      <c r="N122" s="662">
        <v>239</v>
      </c>
      <c r="O122" s="662">
        <v>239</v>
      </c>
      <c r="P122" s="662">
        <v>239</v>
      </c>
      <c r="Q122" s="662">
        <v>239</v>
      </c>
      <c r="R122" s="661">
        <f>VLOOKUP($A122,'Measure Level Adjustments Tab'!$A$5:$CL$272,46,FALSE)</f>
        <v>0.67500000000000004</v>
      </c>
      <c r="S122" s="661">
        <f>VLOOKUP($A122,'Measure Level Adjustments Tab'!$A$5:$CL$272,47,FALSE)</f>
        <v>0.67500000000000004</v>
      </c>
      <c r="T122" s="661">
        <f>VLOOKUP($A122,'Measure Level Adjustments Tab'!$A$5:$CL$272,48,FALSE)</f>
        <v>0.67500000000000004</v>
      </c>
      <c r="U122" s="661">
        <f>VLOOKUP($A122,'Measure Level Adjustments Tab'!$A$5:$CL$272,49,FALSE)</f>
        <v>0.67500000000000004</v>
      </c>
      <c r="V122" s="418">
        <f t="shared" ref="V122:Y185" si="36">H122*N122*R122</f>
        <v>161.32500000000002</v>
      </c>
      <c r="W122" s="418">
        <f t="shared" si="36"/>
        <v>161.32500000000002</v>
      </c>
      <c r="X122" s="418">
        <f t="shared" si="36"/>
        <v>161.32500000000002</v>
      </c>
      <c r="Y122" s="418">
        <f t="shared" si="36"/>
        <v>161.32500000000002</v>
      </c>
      <c r="Z122" s="418">
        <f t="shared" ref="Z122:Z185" si="37">V122+W122+X122+Y122</f>
        <v>645.30000000000007</v>
      </c>
      <c r="AA122" s="410"/>
      <c r="AB122" s="422"/>
      <c r="AC122" s="415">
        <v>239</v>
      </c>
      <c r="AD122" s="416"/>
      <c r="AE122" s="414">
        <f t="shared" ref="AE122:AE185" si="38">H122*AC122*R122</f>
        <v>161.32500000000002</v>
      </c>
      <c r="AF122" s="412">
        <f t="shared" ref="AF122:AF185" si="39">AE122-V122</f>
        <v>0</v>
      </c>
      <c r="AG122" s="410"/>
      <c r="AH122" s="422"/>
      <c r="AI122" s="413">
        <v>239</v>
      </c>
      <c r="AJ122" s="2669" t="s">
        <v>820</v>
      </c>
      <c r="AK122" s="414">
        <f t="shared" ref="AK122:AK185" si="40">I122*AI122*S122</f>
        <v>161.32500000000002</v>
      </c>
      <c r="AL122" s="412">
        <f t="shared" ref="AL122:AL185" si="41">AK122-W122</f>
        <v>0</v>
      </c>
      <c r="AM122" s="410"/>
      <c r="AN122" s="422"/>
      <c r="AO122" s="413">
        <v>239</v>
      </c>
      <c r="AP122" s="2669" t="s">
        <v>304</v>
      </c>
      <c r="AQ122" s="414">
        <f t="shared" ref="AQ122:AQ185" si="42">J122*AO122*T122</f>
        <v>161.32500000000002</v>
      </c>
      <c r="AR122" s="412">
        <f t="shared" ref="AR122:AR185" si="43">AQ122-X122</f>
        <v>0</v>
      </c>
      <c r="AS122" s="410"/>
      <c r="AT122" s="422"/>
      <c r="AU122" s="413">
        <f>VLOOKUP($A122,'Measure Level Adjustments Tab'!$A$5:$CL$272,53,FALSE)/U122</f>
        <v>239</v>
      </c>
      <c r="AV122" s="2669" t="s">
        <v>304</v>
      </c>
      <c r="AW122" s="414">
        <f t="shared" ref="AW122:AW185" si="44">K122*AU122*U122</f>
        <v>161.32500000000002</v>
      </c>
      <c r="AX122" s="412">
        <f t="shared" ref="AX122:AX185" si="45">AW122-Y122</f>
        <v>0</v>
      </c>
      <c r="AY122" s="418">
        <f t="shared" ref="AY122:AY185" si="46">IF(E122=1,AE122,V122)</f>
        <v>161.32500000000002</v>
      </c>
      <c r="AZ122" s="418">
        <f t="shared" ref="AZ122:AZ185" si="47">IF(E122=1,AK122,W122)</f>
        <v>161.32500000000002</v>
      </c>
      <c r="BA122" s="418">
        <f t="shared" ref="BA122:BA185" si="48">IF(E122=1,AQ122,X122)</f>
        <v>161.32500000000002</v>
      </c>
      <c r="BB122" s="418">
        <f t="shared" ref="BB122:BB185" si="49">IF(E122=1,AW122,Y122)</f>
        <v>161.32500000000002</v>
      </c>
      <c r="BC122" s="419">
        <f t="shared" ref="BC122:BC185" si="50">AY122+AZ122+BA122+BB122</f>
        <v>645.30000000000007</v>
      </c>
      <c r="BD122" s="410" t="s">
        <v>1271</v>
      </c>
      <c r="BE122" s="423" t="s">
        <v>1272</v>
      </c>
      <c r="BF122" s="421"/>
    </row>
    <row r="123" spans="1:58" s="327" customFormat="1" ht="18" customHeight="1" x14ac:dyDescent="0.35">
      <c r="A123" s="660">
        <v>109</v>
      </c>
      <c r="B123" s="660" t="str">
        <f>VLOOKUP($A123,'Measure Level Adjustments Tab'!$A$5:$CL$272,6,FALSE)</f>
        <v>Standard</v>
      </c>
      <c r="C123" s="659" t="s">
        <v>81</v>
      </c>
      <c r="D123" s="659" t="s">
        <v>151</v>
      </c>
      <c r="E123" s="411">
        <f>VLOOKUP($A123,'Measure Level Adjustments Tab'!$A$5:$CL$272,13,FALSE)</f>
        <v>1</v>
      </c>
      <c r="F123" s="411" t="str">
        <f>VLOOKUP($A123,'Measure Level Adjustments Tab'!$A$5:$CL$272,11,FALSE)</f>
        <v>4.2.12</v>
      </c>
      <c r="G123" s="411">
        <f>VLOOKUP($A123,'Measure Level Adjustments Tab'!$A$5:$CL$272,14,FALSE)</f>
        <v>0</v>
      </c>
      <c r="H123" s="663">
        <f>VLOOKUP($A123,'Measure Level Adjustments Tab'!$A$5:$CL$272,54,FALSE)</f>
        <v>1</v>
      </c>
      <c r="I123" s="663">
        <f>VLOOKUP($A123,'Measure Level Adjustments Tab'!$A$5:$CL$272,55,FALSE)</f>
        <v>1</v>
      </c>
      <c r="J123" s="663">
        <f>VLOOKUP($A123,'Measure Level Adjustments Tab'!$A$5:$CL$272,56,FALSE)</f>
        <v>1</v>
      </c>
      <c r="K123" s="663">
        <f>VLOOKUP($A123,'Measure Level Adjustments Tab'!$A$5:$CL$272,57,FALSE)</f>
        <v>1</v>
      </c>
      <c r="L123" s="411" t="str">
        <f>VLOOKUP($A123,'Measure Level Adjustments Tab'!$A$5:$CL$272,12,FALSE)</f>
        <v>CI-FSE-IRCB-V02-180101</v>
      </c>
      <c r="M123" s="422"/>
      <c r="N123" s="662">
        <v>661</v>
      </c>
      <c r="O123" s="662">
        <v>661</v>
      </c>
      <c r="P123" s="662">
        <v>661</v>
      </c>
      <c r="Q123" s="662">
        <v>661</v>
      </c>
      <c r="R123" s="661">
        <f>VLOOKUP($A123,'Measure Level Adjustments Tab'!$A$5:$CL$272,46,FALSE)</f>
        <v>0.67500000000000004</v>
      </c>
      <c r="S123" s="661">
        <f>VLOOKUP($A123,'Measure Level Adjustments Tab'!$A$5:$CL$272,47,FALSE)</f>
        <v>0.67500000000000004</v>
      </c>
      <c r="T123" s="661">
        <f>VLOOKUP($A123,'Measure Level Adjustments Tab'!$A$5:$CL$272,48,FALSE)</f>
        <v>0.67500000000000004</v>
      </c>
      <c r="U123" s="661">
        <f>VLOOKUP($A123,'Measure Level Adjustments Tab'!$A$5:$CL$272,49,FALSE)</f>
        <v>0.67500000000000004</v>
      </c>
      <c r="V123" s="418">
        <f t="shared" si="36"/>
        <v>446.17500000000001</v>
      </c>
      <c r="W123" s="418">
        <f t="shared" si="36"/>
        <v>446.17500000000001</v>
      </c>
      <c r="X123" s="418">
        <f t="shared" si="36"/>
        <v>446.17500000000001</v>
      </c>
      <c r="Y123" s="418">
        <f t="shared" si="36"/>
        <v>446.17500000000001</v>
      </c>
      <c r="Z123" s="418">
        <f t="shared" si="37"/>
        <v>1784.7</v>
      </c>
      <c r="AA123" s="410"/>
      <c r="AB123" s="422"/>
      <c r="AC123" s="415">
        <v>661</v>
      </c>
      <c r="AD123" s="416"/>
      <c r="AE123" s="414">
        <f t="shared" si="38"/>
        <v>446.17500000000001</v>
      </c>
      <c r="AF123" s="412">
        <f t="shared" si="39"/>
        <v>0</v>
      </c>
      <c r="AG123" s="410"/>
      <c r="AH123" s="422"/>
      <c r="AI123" s="413">
        <v>661</v>
      </c>
      <c r="AJ123" s="2669" t="s">
        <v>820</v>
      </c>
      <c r="AK123" s="414">
        <f t="shared" si="40"/>
        <v>446.17500000000001</v>
      </c>
      <c r="AL123" s="412">
        <f t="shared" si="41"/>
        <v>0</v>
      </c>
      <c r="AM123" s="410"/>
      <c r="AN123" s="422"/>
      <c r="AO123" s="413">
        <v>661</v>
      </c>
      <c r="AP123" s="2669" t="s">
        <v>304</v>
      </c>
      <c r="AQ123" s="414">
        <f t="shared" si="42"/>
        <v>446.17500000000001</v>
      </c>
      <c r="AR123" s="412">
        <f t="shared" si="43"/>
        <v>0</v>
      </c>
      <c r="AS123" s="410"/>
      <c r="AT123" s="422"/>
      <c r="AU123" s="413">
        <f>VLOOKUP($A123,'Measure Level Adjustments Tab'!$A$5:$CL$272,53,FALSE)/U123</f>
        <v>661</v>
      </c>
      <c r="AV123" s="2669" t="s">
        <v>304</v>
      </c>
      <c r="AW123" s="414">
        <f t="shared" si="44"/>
        <v>446.17500000000001</v>
      </c>
      <c r="AX123" s="412">
        <f t="shared" si="45"/>
        <v>0</v>
      </c>
      <c r="AY123" s="418">
        <f t="shared" si="46"/>
        <v>446.17500000000001</v>
      </c>
      <c r="AZ123" s="418">
        <f t="shared" si="47"/>
        <v>446.17500000000001</v>
      </c>
      <c r="BA123" s="418">
        <f t="shared" si="48"/>
        <v>446.17500000000001</v>
      </c>
      <c r="BB123" s="418">
        <f t="shared" si="49"/>
        <v>446.17500000000001</v>
      </c>
      <c r="BC123" s="419">
        <f t="shared" si="50"/>
        <v>1784.7</v>
      </c>
      <c r="BD123" s="410" t="s">
        <v>1271</v>
      </c>
      <c r="BE123" s="423" t="s">
        <v>1272</v>
      </c>
      <c r="BF123" s="421"/>
    </row>
    <row r="124" spans="1:58" s="327" customFormat="1" ht="18" customHeight="1" x14ac:dyDescent="0.35">
      <c r="A124" s="660">
        <v>110</v>
      </c>
      <c r="B124" s="660" t="str">
        <f>VLOOKUP($A124,'Measure Level Adjustments Tab'!$A$5:$CL$272,6,FALSE)</f>
        <v>Standard</v>
      </c>
      <c r="C124" s="659" t="s">
        <v>81</v>
      </c>
      <c r="D124" s="659" t="s">
        <v>152</v>
      </c>
      <c r="E124" s="411">
        <f>VLOOKUP($A124,'Measure Level Adjustments Tab'!$A$5:$CL$272,13,FALSE)</f>
        <v>1</v>
      </c>
      <c r="F124" s="411" t="str">
        <f>VLOOKUP($A124,'Measure Level Adjustments Tab'!$A$5:$CL$272,11,FALSE)</f>
        <v>4.2.13</v>
      </c>
      <c r="G124" s="411">
        <f>VLOOKUP($A124,'Measure Level Adjustments Tab'!$A$5:$CL$272,14,FALSE)</f>
        <v>0</v>
      </c>
      <c r="H124" s="663">
        <f>VLOOKUP($A124,'Measure Level Adjustments Tab'!$A$5:$CL$272,54,FALSE)</f>
        <v>1</v>
      </c>
      <c r="I124" s="663">
        <f>VLOOKUP($A124,'Measure Level Adjustments Tab'!$A$5:$CL$272,55,FALSE)</f>
        <v>1</v>
      </c>
      <c r="J124" s="663">
        <f>VLOOKUP($A124,'Measure Level Adjustments Tab'!$A$5:$CL$272,56,FALSE)</f>
        <v>1</v>
      </c>
      <c r="K124" s="663">
        <f>VLOOKUP($A124,'Measure Level Adjustments Tab'!$A$5:$CL$272,57,FALSE)</f>
        <v>1</v>
      </c>
      <c r="L124" s="411" t="str">
        <f>VLOOKUP($A124,'Measure Level Adjustments Tab'!$A$5:$CL$272,12,FALSE)</f>
        <v>CI-FSE-IROV-V02-180101</v>
      </c>
      <c r="M124" s="422"/>
      <c r="N124" s="662">
        <v>554</v>
      </c>
      <c r="O124" s="662">
        <v>554</v>
      </c>
      <c r="P124" s="662">
        <v>554</v>
      </c>
      <c r="Q124" s="662">
        <v>554</v>
      </c>
      <c r="R124" s="661">
        <f>VLOOKUP($A124,'Measure Level Adjustments Tab'!$A$5:$CL$272,46,FALSE)</f>
        <v>0.67500000000000004</v>
      </c>
      <c r="S124" s="661">
        <f>VLOOKUP($A124,'Measure Level Adjustments Tab'!$A$5:$CL$272,47,FALSE)</f>
        <v>0.67500000000000004</v>
      </c>
      <c r="T124" s="661">
        <f>VLOOKUP($A124,'Measure Level Adjustments Tab'!$A$5:$CL$272,48,FALSE)</f>
        <v>0.67500000000000004</v>
      </c>
      <c r="U124" s="661">
        <f>VLOOKUP($A124,'Measure Level Adjustments Tab'!$A$5:$CL$272,49,FALSE)</f>
        <v>0.67500000000000004</v>
      </c>
      <c r="V124" s="418">
        <f t="shared" si="36"/>
        <v>373.95000000000005</v>
      </c>
      <c r="W124" s="418">
        <f t="shared" si="36"/>
        <v>373.95000000000005</v>
      </c>
      <c r="X124" s="418">
        <f t="shared" si="36"/>
        <v>373.95000000000005</v>
      </c>
      <c r="Y124" s="418">
        <f t="shared" si="36"/>
        <v>373.95000000000005</v>
      </c>
      <c r="Z124" s="418">
        <f t="shared" si="37"/>
        <v>1495.8000000000002</v>
      </c>
      <c r="AA124" s="410"/>
      <c r="AB124" s="422"/>
      <c r="AC124" s="415">
        <v>554</v>
      </c>
      <c r="AD124" s="416"/>
      <c r="AE124" s="414">
        <f t="shared" si="38"/>
        <v>373.95000000000005</v>
      </c>
      <c r="AF124" s="412">
        <f t="shared" si="39"/>
        <v>0</v>
      </c>
      <c r="AG124" s="410"/>
      <c r="AH124" s="422"/>
      <c r="AI124" s="413">
        <v>554</v>
      </c>
      <c r="AJ124" s="2669" t="s">
        <v>820</v>
      </c>
      <c r="AK124" s="414">
        <f t="shared" si="40"/>
        <v>373.95000000000005</v>
      </c>
      <c r="AL124" s="412">
        <f t="shared" si="41"/>
        <v>0</v>
      </c>
      <c r="AM124" s="410"/>
      <c r="AN124" s="422"/>
      <c r="AO124" s="413">
        <v>554</v>
      </c>
      <c r="AP124" s="2669" t="s">
        <v>304</v>
      </c>
      <c r="AQ124" s="414">
        <f t="shared" si="42"/>
        <v>373.95000000000005</v>
      </c>
      <c r="AR124" s="412">
        <f t="shared" si="43"/>
        <v>0</v>
      </c>
      <c r="AS124" s="410"/>
      <c r="AT124" s="422"/>
      <c r="AU124" s="413">
        <f>VLOOKUP($A124,'Measure Level Adjustments Tab'!$A$5:$CL$272,53,FALSE)/U124</f>
        <v>554</v>
      </c>
      <c r="AV124" s="2669" t="s">
        <v>304</v>
      </c>
      <c r="AW124" s="414">
        <f t="shared" si="44"/>
        <v>373.95000000000005</v>
      </c>
      <c r="AX124" s="412">
        <f t="shared" si="45"/>
        <v>0</v>
      </c>
      <c r="AY124" s="418">
        <f t="shared" si="46"/>
        <v>373.95000000000005</v>
      </c>
      <c r="AZ124" s="418">
        <f t="shared" si="47"/>
        <v>373.95000000000005</v>
      </c>
      <c r="BA124" s="418">
        <f t="shared" si="48"/>
        <v>373.95000000000005</v>
      </c>
      <c r="BB124" s="418">
        <f t="shared" si="49"/>
        <v>373.95000000000005</v>
      </c>
      <c r="BC124" s="419">
        <f t="shared" si="50"/>
        <v>1495.8000000000002</v>
      </c>
      <c r="BD124" s="410" t="s">
        <v>1271</v>
      </c>
      <c r="BE124" s="423" t="s">
        <v>1272</v>
      </c>
      <c r="BF124" s="421"/>
    </row>
    <row r="125" spans="1:58" s="327" customFormat="1" ht="18" customHeight="1" x14ac:dyDescent="0.35">
      <c r="A125" s="660">
        <v>113</v>
      </c>
      <c r="B125" s="660" t="str">
        <f>VLOOKUP($A125,'Measure Level Adjustments Tab'!$A$5:$CL$272,6,FALSE)</f>
        <v>Standard</v>
      </c>
      <c r="C125" s="659" t="s">
        <v>81</v>
      </c>
      <c r="D125" s="659" t="s">
        <v>153</v>
      </c>
      <c r="E125" s="411">
        <f>VLOOKUP($A125,'Measure Level Adjustments Tab'!$A$5:$CL$272,13,FALSE)</f>
        <v>1</v>
      </c>
      <c r="F125" s="411" t="str">
        <f>VLOOKUP($A125,'Measure Level Adjustments Tab'!$A$5:$CL$272,11,FALSE)</f>
        <v>4.2.17</v>
      </c>
      <c r="G125" s="411">
        <f>VLOOKUP($A125,'Measure Level Adjustments Tab'!$A$5:$CL$272,14,FALSE)</f>
        <v>0</v>
      </c>
      <c r="H125" s="663">
        <f>VLOOKUP($A125,'Measure Level Adjustments Tab'!$A$5:$CL$272,54,FALSE)</f>
        <v>1</v>
      </c>
      <c r="I125" s="663">
        <f>VLOOKUP($A125,'Measure Level Adjustments Tab'!$A$5:$CL$272,55,FALSE)</f>
        <v>0</v>
      </c>
      <c r="J125" s="663">
        <f>VLOOKUP($A125,'Measure Level Adjustments Tab'!$A$5:$CL$272,56,FALSE)</f>
        <v>2</v>
      </c>
      <c r="K125" s="663">
        <f>VLOOKUP($A125,'Measure Level Adjustments Tab'!$A$5:$CL$272,57,FALSE)</f>
        <v>2</v>
      </c>
      <c r="L125" s="411" t="str">
        <f>VLOOKUP($A125,'Measure Level Adjustments Tab'!$A$5:$CL$272,12,FALSE)</f>
        <v>CI-FSE-PCOK-V02-180101</v>
      </c>
      <c r="M125" s="422"/>
      <c r="N125" s="662">
        <v>1380</v>
      </c>
      <c r="O125" s="662">
        <v>1380</v>
      </c>
      <c r="P125" s="662">
        <v>1380</v>
      </c>
      <c r="Q125" s="662">
        <v>1380</v>
      </c>
      <c r="R125" s="661">
        <f>VLOOKUP($A125,'Measure Level Adjustments Tab'!$A$5:$CL$272,46,FALSE)</f>
        <v>0.67500000000000004</v>
      </c>
      <c r="S125" s="661">
        <f>VLOOKUP($A125,'Measure Level Adjustments Tab'!$A$5:$CL$272,47,FALSE)</f>
        <v>0.67500000000000004</v>
      </c>
      <c r="T125" s="661">
        <f>VLOOKUP($A125,'Measure Level Adjustments Tab'!$A$5:$CL$272,48,FALSE)</f>
        <v>0.67500000000000004</v>
      </c>
      <c r="U125" s="661">
        <f>VLOOKUP($A125,'Measure Level Adjustments Tab'!$A$5:$CL$272,49,FALSE)</f>
        <v>0.67500000000000004</v>
      </c>
      <c r="V125" s="418">
        <f t="shared" si="36"/>
        <v>931.50000000000011</v>
      </c>
      <c r="W125" s="418">
        <f t="shared" si="36"/>
        <v>0</v>
      </c>
      <c r="X125" s="418">
        <f t="shared" si="36"/>
        <v>1863.0000000000002</v>
      </c>
      <c r="Y125" s="418">
        <f t="shared" si="36"/>
        <v>1863.0000000000002</v>
      </c>
      <c r="Z125" s="418">
        <f t="shared" si="37"/>
        <v>4657.5000000000009</v>
      </c>
      <c r="AA125" s="410"/>
      <c r="AB125" s="422"/>
      <c r="AC125" s="415">
        <v>1380</v>
      </c>
      <c r="AD125" s="416"/>
      <c r="AE125" s="414">
        <f t="shared" si="38"/>
        <v>931.50000000000011</v>
      </c>
      <c r="AF125" s="412">
        <f t="shared" si="39"/>
        <v>0</v>
      </c>
      <c r="AG125" s="410"/>
      <c r="AH125" s="422"/>
      <c r="AI125" s="413">
        <v>1380</v>
      </c>
      <c r="AJ125" s="2669" t="s">
        <v>820</v>
      </c>
      <c r="AK125" s="414">
        <f t="shared" si="40"/>
        <v>0</v>
      </c>
      <c r="AL125" s="412">
        <f t="shared" si="41"/>
        <v>0</v>
      </c>
      <c r="AM125" s="410"/>
      <c r="AN125" s="422"/>
      <c r="AO125" s="413">
        <v>1380</v>
      </c>
      <c r="AP125" s="2669" t="s">
        <v>304</v>
      </c>
      <c r="AQ125" s="414">
        <f t="shared" si="42"/>
        <v>1863.0000000000002</v>
      </c>
      <c r="AR125" s="412">
        <f t="shared" si="43"/>
        <v>0</v>
      </c>
      <c r="AS125" s="410"/>
      <c r="AT125" s="422"/>
      <c r="AU125" s="413">
        <f>VLOOKUP($A125,'Measure Level Adjustments Tab'!$A$5:$CL$272,53,FALSE)/U125</f>
        <v>1380</v>
      </c>
      <c r="AV125" s="2669" t="s">
        <v>304</v>
      </c>
      <c r="AW125" s="414">
        <f t="shared" si="44"/>
        <v>1863.0000000000002</v>
      </c>
      <c r="AX125" s="412">
        <f t="shared" si="45"/>
        <v>0</v>
      </c>
      <c r="AY125" s="418">
        <f t="shared" si="46"/>
        <v>931.50000000000011</v>
      </c>
      <c r="AZ125" s="418">
        <f t="shared" si="47"/>
        <v>0</v>
      </c>
      <c r="BA125" s="418">
        <f t="shared" si="48"/>
        <v>1863.0000000000002</v>
      </c>
      <c r="BB125" s="418">
        <f t="shared" si="49"/>
        <v>1863.0000000000002</v>
      </c>
      <c r="BC125" s="419">
        <f t="shared" si="50"/>
        <v>4657.5000000000009</v>
      </c>
      <c r="BD125" s="410" t="s">
        <v>1271</v>
      </c>
      <c r="BE125" s="423" t="s">
        <v>1272</v>
      </c>
      <c r="BF125" s="421"/>
    </row>
    <row r="126" spans="1:58" s="327" customFormat="1" ht="18" customHeight="1" x14ac:dyDescent="0.35">
      <c r="A126" s="660">
        <v>114</v>
      </c>
      <c r="B126" s="660" t="str">
        <f>VLOOKUP($A126,'Measure Level Adjustments Tab'!$A$5:$CL$272,6,FALSE)</f>
        <v>Standard</v>
      </c>
      <c r="C126" s="659" t="s">
        <v>81</v>
      </c>
      <c r="D126" s="659" t="s">
        <v>154</v>
      </c>
      <c r="E126" s="411">
        <f>VLOOKUP($A126,'Measure Level Adjustments Tab'!$A$5:$CL$272,13,FALSE)</f>
        <v>1</v>
      </c>
      <c r="F126" s="411" t="str">
        <f>VLOOKUP($A126,'Measure Level Adjustments Tab'!$A$5:$CL$272,11,FALSE)</f>
        <v>4.2.18</v>
      </c>
      <c r="G126" s="411">
        <f>VLOOKUP($A126,'Measure Level Adjustments Tab'!$A$5:$CL$272,14,FALSE)</f>
        <v>0</v>
      </c>
      <c r="H126" s="663">
        <f>VLOOKUP($A126,'Measure Level Adjustments Tab'!$A$5:$CL$272,54,FALSE)</f>
        <v>1</v>
      </c>
      <c r="I126" s="663">
        <f>VLOOKUP($A126,'Measure Level Adjustments Tab'!$A$5:$CL$272,55,FALSE)</f>
        <v>1</v>
      </c>
      <c r="J126" s="663">
        <f>VLOOKUP($A126,'Measure Level Adjustments Tab'!$A$5:$CL$272,56,FALSE)</f>
        <v>1</v>
      </c>
      <c r="K126" s="663">
        <f>VLOOKUP($A126,'Measure Level Adjustments Tab'!$A$5:$CL$272,57,FALSE)</f>
        <v>2</v>
      </c>
      <c r="L126" s="411" t="str">
        <f>VLOOKUP($A126,'Measure Level Adjustments Tab'!$A$5:$CL$272,12,FALSE)</f>
        <v>CI-FSE-RKOV-VO2-180101</v>
      </c>
      <c r="M126" s="422"/>
      <c r="N126" s="662">
        <v>2064</v>
      </c>
      <c r="O126" s="662">
        <v>2064</v>
      </c>
      <c r="P126" s="662">
        <v>2064</v>
      </c>
      <c r="Q126" s="662">
        <v>2064</v>
      </c>
      <c r="R126" s="661">
        <f>VLOOKUP($A126,'Measure Level Adjustments Tab'!$A$5:$CL$272,46,FALSE)</f>
        <v>0.67500000000000004</v>
      </c>
      <c r="S126" s="661">
        <f>VLOOKUP($A126,'Measure Level Adjustments Tab'!$A$5:$CL$272,47,FALSE)</f>
        <v>0.67500000000000004</v>
      </c>
      <c r="T126" s="661">
        <f>VLOOKUP($A126,'Measure Level Adjustments Tab'!$A$5:$CL$272,48,FALSE)</f>
        <v>0.67500000000000004</v>
      </c>
      <c r="U126" s="661">
        <f>VLOOKUP($A126,'Measure Level Adjustments Tab'!$A$5:$CL$272,49,FALSE)</f>
        <v>0.67500000000000004</v>
      </c>
      <c r="V126" s="418">
        <f t="shared" si="36"/>
        <v>1393.2</v>
      </c>
      <c r="W126" s="418">
        <f t="shared" si="36"/>
        <v>1393.2</v>
      </c>
      <c r="X126" s="418">
        <f t="shared" si="36"/>
        <v>1393.2</v>
      </c>
      <c r="Y126" s="418">
        <f t="shared" si="36"/>
        <v>2786.4</v>
      </c>
      <c r="Z126" s="418">
        <f t="shared" si="37"/>
        <v>6966</v>
      </c>
      <c r="AA126" s="410"/>
      <c r="AB126" s="422"/>
      <c r="AC126" s="415">
        <v>2064</v>
      </c>
      <c r="AD126" s="416"/>
      <c r="AE126" s="414">
        <f t="shared" si="38"/>
        <v>1393.2</v>
      </c>
      <c r="AF126" s="412">
        <f t="shared" si="39"/>
        <v>0</v>
      </c>
      <c r="AG126" s="410"/>
      <c r="AH126" s="422"/>
      <c r="AI126" s="413">
        <v>2064</v>
      </c>
      <c r="AJ126" s="2669" t="s">
        <v>820</v>
      </c>
      <c r="AK126" s="414">
        <f t="shared" si="40"/>
        <v>1393.2</v>
      </c>
      <c r="AL126" s="412">
        <f t="shared" si="41"/>
        <v>0</v>
      </c>
      <c r="AM126" s="410"/>
      <c r="AN126" s="422"/>
      <c r="AO126" s="413">
        <v>2064</v>
      </c>
      <c r="AP126" s="2669" t="s">
        <v>304</v>
      </c>
      <c r="AQ126" s="414">
        <f t="shared" si="42"/>
        <v>1393.2</v>
      </c>
      <c r="AR126" s="412">
        <f t="shared" si="43"/>
        <v>0</v>
      </c>
      <c r="AS126" s="410"/>
      <c r="AT126" s="422"/>
      <c r="AU126" s="413">
        <f>VLOOKUP($A126,'Measure Level Adjustments Tab'!$A$5:$CL$272,53,FALSE)/U126</f>
        <v>2064</v>
      </c>
      <c r="AV126" s="2669" t="s">
        <v>304</v>
      </c>
      <c r="AW126" s="414">
        <f t="shared" si="44"/>
        <v>2786.4</v>
      </c>
      <c r="AX126" s="412">
        <f t="shared" si="45"/>
        <v>0</v>
      </c>
      <c r="AY126" s="418">
        <f t="shared" si="46"/>
        <v>1393.2</v>
      </c>
      <c r="AZ126" s="418">
        <f t="shared" si="47"/>
        <v>1393.2</v>
      </c>
      <c r="BA126" s="418">
        <f t="shared" si="48"/>
        <v>1393.2</v>
      </c>
      <c r="BB126" s="418">
        <f t="shared" si="49"/>
        <v>2786.4</v>
      </c>
      <c r="BC126" s="419">
        <f t="shared" si="50"/>
        <v>6966</v>
      </c>
      <c r="BD126" s="410" t="s">
        <v>1271</v>
      </c>
      <c r="BE126" s="423" t="s">
        <v>1272</v>
      </c>
      <c r="BF126" s="421"/>
    </row>
    <row r="127" spans="1:58" s="327" customFormat="1" ht="18" customHeight="1" x14ac:dyDescent="0.35">
      <c r="A127" s="660">
        <v>191</v>
      </c>
      <c r="B127" s="660" t="str">
        <f>VLOOKUP($A127,'Measure Level Adjustments Tab'!$A$5:$CL$272,6,FALSE)</f>
        <v>Standard</v>
      </c>
      <c r="C127" s="659" t="s">
        <v>81</v>
      </c>
      <c r="D127" s="659" t="s">
        <v>155</v>
      </c>
      <c r="E127" s="411">
        <f>VLOOKUP($A127,'Measure Level Adjustments Tab'!$A$5:$CL$272,13,FALSE)</f>
        <v>1</v>
      </c>
      <c r="F127" s="411" t="str">
        <f>VLOOKUP($A127,'Measure Level Adjustments Tab'!$A$5:$CL$272,11,FALSE)</f>
        <v>4.3.6</v>
      </c>
      <c r="G127" s="411">
        <f>VLOOKUP($A127,'Measure Level Adjustments Tab'!$A$5:$CL$272,14,FALSE)</f>
        <v>0</v>
      </c>
      <c r="H127" s="663">
        <f>VLOOKUP($A127,'Measure Level Adjustments Tab'!$A$5:$CL$272,54,FALSE)</f>
        <v>3</v>
      </c>
      <c r="I127" s="663">
        <f>VLOOKUP($A127,'Measure Level Adjustments Tab'!$A$5:$CL$272,55,FALSE)</f>
        <v>3</v>
      </c>
      <c r="J127" s="663">
        <f>VLOOKUP($A127,'Measure Level Adjustments Tab'!$A$5:$CL$272,56,FALSE)</f>
        <v>4</v>
      </c>
      <c r="K127" s="663">
        <f>VLOOKUP($A127,'Measure Level Adjustments Tab'!$A$5:$CL$272,57,FALSE)</f>
        <v>4</v>
      </c>
      <c r="L127" s="411" t="str">
        <f>VLOOKUP($A127,'Measure Level Adjustments Tab'!$A$5:$CL$272,12,FALSE)</f>
        <v>CI-HWE-OZLD-VO1-140601</v>
      </c>
      <c r="M127" s="422"/>
      <c r="N127" s="662">
        <v>4026.8310515999997</v>
      </c>
      <c r="O127" s="662">
        <v>4026.8310515999997</v>
      </c>
      <c r="P127" s="662">
        <v>4026.8310515999997</v>
      </c>
      <c r="Q127" s="662">
        <v>4026.8310515999997</v>
      </c>
      <c r="R127" s="661">
        <f>VLOOKUP($A127,'Measure Level Adjustments Tab'!$A$5:$CL$272,46,FALSE)</f>
        <v>0.67500000000000004</v>
      </c>
      <c r="S127" s="661">
        <f>VLOOKUP($A127,'Measure Level Adjustments Tab'!$A$5:$CL$272,47,FALSE)</f>
        <v>0.67500000000000004</v>
      </c>
      <c r="T127" s="661">
        <f>VLOOKUP($A127,'Measure Level Adjustments Tab'!$A$5:$CL$272,48,FALSE)</f>
        <v>0.67500000000000004</v>
      </c>
      <c r="U127" s="661">
        <f>VLOOKUP($A127,'Measure Level Adjustments Tab'!$A$5:$CL$272,49,FALSE)</f>
        <v>0.67500000000000004</v>
      </c>
      <c r="V127" s="418">
        <f t="shared" si="36"/>
        <v>8154.3328794899999</v>
      </c>
      <c r="W127" s="418">
        <f t="shared" si="36"/>
        <v>8154.3328794899999</v>
      </c>
      <c r="X127" s="418">
        <f t="shared" si="36"/>
        <v>10872.44383932</v>
      </c>
      <c r="Y127" s="418">
        <f t="shared" si="36"/>
        <v>10872.44383932</v>
      </c>
      <c r="Z127" s="418">
        <f t="shared" si="37"/>
        <v>38053.553437619994</v>
      </c>
      <c r="AA127" s="410"/>
      <c r="AB127" s="422"/>
      <c r="AC127" s="415">
        <v>4026.8310515999997</v>
      </c>
      <c r="AD127" s="416"/>
      <c r="AE127" s="414">
        <f t="shared" si="38"/>
        <v>8154.3328794899999</v>
      </c>
      <c r="AF127" s="412">
        <f t="shared" si="39"/>
        <v>0</v>
      </c>
      <c r="AG127" s="410"/>
      <c r="AH127" s="422"/>
      <c r="AI127" s="413">
        <v>4530.1849330499999</v>
      </c>
      <c r="AJ127" s="2669" t="s">
        <v>3423</v>
      </c>
      <c r="AK127" s="414">
        <f t="shared" si="40"/>
        <v>9173.6244894262491</v>
      </c>
      <c r="AL127" s="412">
        <f t="shared" si="41"/>
        <v>1019.2916099362492</v>
      </c>
      <c r="AM127" s="410"/>
      <c r="AN127" s="422"/>
      <c r="AO127" s="413">
        <v>4530.1849330499999</v>
      </c>
      <c r="AP127" s="2669" t="s">
        <v>304</v>
      </c>
      <c r="AQ127" s="414">
        <f t="shared" si="42"/>
        <v>12231.499319235001</v>
      </c>
      <c r="AR127" s="412">
        <f t="shared" si="43"/>
        <v>1359.0554799150013</v>
      </c>
      <c r="AS127" s="410"/>
      <c r="AT127" s="422"/>
      <c r="AU127" s="413">
        <f>VLOOKUP($A127,'Measure Level Adjustments Tab'!$A$5:$CL$272,53,FALSE)/U127</f>
        <v>4530.1849330499999</v>
      </c>
      <c r="AV127" s="2669" t="s">
        <v>304</v>
      </c>
      <c r="AW127" s="414">
        <f t="shared" si="44"/>
        <v>12231.499319235001</v>
      </c>
      <c r="AX127" s="412">
        <f t="shared" si="45"/>
        <v>1359.0554799150013</v>
      </c>
      <c r="AY127" s="418">
        <f t="shared" si="46"/>
        <v>8154.3328794899999</v>
      </c>
      <c r="AZ127" s="418">
        <f t="shared" si="47"/>
        <v>9173.6244894262491</v>
      </c>
      <c r="BA127" s="418">
        <f t="shared" si="48"/>
        <v>12231.499319235001</v>
      </c>
      <c r="BB127" s="418">
        <f t="shared" si="49"/>
        <v>12231.499319235001</v>
      </c>
      <c r="BC127" s="419">
        <f t="shared" si="50"/>
        <v>41790.956007386252</v>
      </c>
      <c r="BD127" s="410" t="s">
        <v>1271</v>
      </c>
      <c r="BE127" s="423" t="s">
        <v>1272</v>
      </c>
      <c r="BF127" s="421"/>
    </row>
    <row r="128" spans="1:58" s="327" customFormat="1" ht="18" customHeight="1" x14ac:dyDescent="0.35">
      <c r="A128" s="660">
        <v>75</v>
      </c>
      <c r="B128" s="660" t="str">
        <f>VLOOKUP($A128,'Measure Level Adjustments Tab'!$A$5:$CL$272,6,FALSE)</f>
        <v>Standard</v>
      </c>
      <c r="C128" s="659" t="s">
        <v>81</v>
      </c>
      <c r="D128" s="659" t="s">
        <v>158</v>
      </c>
      <c r="E128" s="411">
        <f>VLOOKUP($A128,'Measure Level Adjustments Tab'!$A$5:$CL$272,13,FALSE)</f>
        <v>1</v>
      </c>
      <c r="F128" s="411" t="str">
        <f>VLOOKUP($A128,'Measure Level Adjustments Tab'!$A$5:$CL$272,11,FALSE)</f>
        <v>4.2.16</v>
      </c>
      <c r="G128" s="411">
        <f>VLOOKUP($A128,'Measure Level Adjustments Tab'!$A$5:$CL$272,14,FALSE)</f>
        <v>0</v>
      </c>
      <c r="H128" s="663">
        <f>VLOOKUP($A128,'Measure Level Adjustments Tab'!$A$5:$CL$272,54,FALSE)</f>
        <v>4</v>
      </c>
      <c r="I128" s="663">
        <f>VLOOKUP($A128,'Measure Level Adjustments Tab'!$A$5:$CL$272,55,FALSE)</f>
        <v>3</v>
      </c>
      <c r="J128" s="663">
        <f>VLOOKUP($A128,'Measure Level Adjustments Tab'!$A$5:$CL$272,56,FALSE)</f>
        <v>3</v>
      </c>
      <c r="K128" s="663">
        <f>VLOOKUP($A128,'Measure Level Adjustments Tab'!$A$5:$CL$272,57,FALSE)</f>
        <v>3</v>
      </c>
      <c r="L128" s="411" t="str">
        <f>VLOOKUP($A128,'Measure Level Adjustments Tab'!$A$5:$CL$272,12,FALSE)</f>
        <v>CI-FSE-VENT-V03-160601</v>
      </c>
      <c r="M128" s="422"/>
      <c r="N128" s="662">
        <v>5505.34375</v>
      </c>
      <c r="O128" s="662">
        <v>5505.34375</v>
      </c>
      <c r="P128" s="662">
        <v>5505.34375</v>
      </c>
      <c r="Q128" s="662">
        <v>5505.34375</v>
      </c>
      <c r="R128" s="661">
        <f>VLOOKUP($A128,'Measure Level Adjustments Tab'!$A$5:$CL$272,46,FALSE)</f>
        <v>0.67500000000000004</v>
      </c>
      <c r="S128" s="661">
        <f>VLOOKUP($A128,'Measure Level Adjustments Tab'!$A$5:$CL$272,47,FALSE)</f>
        <v>0.67500000000000004</v>
      </c>
      <c r="T128" s="661">
        <f>VLOOKUP($A128,'Measure Level Adjustments Tab'!$A$5:$CL$272,48,FALSE)</f>
        <v>0.67500000000000004</v>
      </c>
      <c r="U128" s="661">
        <f>VLOOKUP($A128,'Measure Level Adjustments Tab'!$A$5:$CL$272,49,FALSE)</f>
        <v>0.67500000000000004</v>
      </c>
      <c r="V128" s="418">
        <f t="shared" si="36"/>
        <v>14864.428125</v>
      </c>
      <c r="W128" s="418">
        <f t="shared" si="36"/>
        <v>11148.321093750001</v>
      </c>
      <c r="X128" s="418">
        <f t="shared" si="36"/>
        <v>11148.321093750001</v>
      </c>
      <c r="Y128" s="418">
        <f t="shared" si="36"/>
        <v>11148.321093750001</v>
      </c>
      <c r="Z128" s="418">
        <f t="shared" si="37"/>
        <v>48309.391406249997</v>
      </c>
      <c r="AA128" s="410"/>
      <c r="AB128" s="422"/>
      <c r="AC128" s="415">
        <v>5505.34375</v>
      </c>
      <c r="AD128" s="416"/>
      <c r="AE128" s="414">
        <f t="shared" si="38"/>
        <v>14864.428125</v>
      </c>
      <c r="AF128" s="412">
        <f t="shared" si="39"/>
        <v>0</v>
      </c>
      <c r="AG128" s="410"/>
      <c r="AH128" s="422"/>
      <c r="AI128" s="413">
        <v>5505.34375</v>
      </c>
      <c r="AJ128" s="2669" t="s">
        <v>820</v>
      </c>
      <c r="AK128" s="414">
        <f t="shared" si="40"/>
        <v>11148.321093750001</v>
      </c>
      <c r="AL128" s="412">
        <f t="shared" si="41"/>
        <v>0</v>
      </c>
      <c r="AM128" s="410"/>
      <c r="AN128" s="422"/>
      <c r="AO128" s="413">
        <v>5505.34375</v>
      </c>
      <c r="AP128" s="2669" t="s">
        <v>304</v>
      </c>
      <c r="AQ128" s="414">
        <f t="shared" si="42"/>
        <v>11148.321093750001</v>
      </c>
      <c r="AR128" s="412">
        <f t="shared" si="43"/>
        <v>0</v>
      </c>
      <c r="AS128" s="410"/>
      <c r="AT128" s="422"/>
      <c r="AU128" s="413">
        <f>VLOOKUP($A128,'Measure Level Adjustments Tab'!$A$5:$CL$272,53,FALSE)/U128</f>
        <v>5505.34375</v>
      </c>
      <c r="AV128" s="2669" t="s">
        <v>304</v>
      </c>
      <c r="AW128" s="414">
        <f t="shared" si="44"/>
        <v>11148.321093750001</v>
      </c>
      <c r="AX128" s="412">
        <f t="shared" si="45"/>
        <v>0</v>
      </c>
      <c r="AY128" s="418">
        <f t="shared" si="46"/>
        <v>14864.428125</v>
      </c>
      <c r="AZ128" s="418">
        <f t="shared" si="47"/>
        <v>11148.321093750001</v>
      </c>
      <c r="BA128" s="418">
        <f t="shared" si="48"/>
        <v>11148.321093750001</v>
      </c>
      <c r="BB128" s="418">
        <f t="shared" si="49"/>
        <v>11148.321093750001</v>
      </c>
      <c r="BC128" s="419">
        <f t="shared" si="50"/>
        <v>48309.391406249997</v>
      </c>
      <c r="BD128" s="410" t="s">
        <v>1271</v>
      </c>
      <c r="BE128" s="423" t="s">
        <v>1272</v>
      </c>
      <c r="BF128" s="421"/>
    </row>
    <row r="129" spans="1:58" s="327" customFormat="1" ht="18" customHeight="1" x14ac:dyDescent="0.35">
      <c r="A129" s="660">
        <v>186</v>
      </c>
      <c r="B129" s="660" t="str">
        <f>VLOOKUP($A129,'Measure Level Adjustments Tab'!$A$5:$CL$272,6,FALSE)</f>
        <v>Standard</v>
      </c>
      <c r="C129" s="659" t="s">
        <v>81</v>
      </c>
      <c r="D129" s="659" t="s">
        <v>241</v>
      </c>
      <c r="E129" s="411">
        <f>VLOOKUP($A129,'Measure Level Adjustments Tab'!$A$5:$CL$272,13,FALSE)</f>
        <v>1</v>
      </c>
      <c r="F129" s="411" t="str">
        <f>VLOOKUP($A129,'Measure Level Adjustments Tab'!$A$5:$CL$272,11,FALSE)</f>
        <v>4.4.27</v>
      </c>
      <c r="G129" s="411">
        <f>VLOOKUP($A129,'Measure Level Adjustments Tab'!$A$5:$CL$272,14,FALSE)</f>
        <v>0</v>
      </c>
      <c r="H129" s="663">
        <f>VLOOKUP($A129,'Measure Level Adjustments Tab'!$A$5:$CL$272,54,FALSE)</f>
        <v>10100</v>
      </c>
      <c r="I129" s="663">
        <f>VLOOKUP($A129,'Measure Level Adjustments Tab'!$A$5:$CL$272,55,FALSE)</f>
        <v>6500</v>
      </c>
      <c r="J129" s="663">
        <f>VLOOKUP($A129,'Measure Level Adjustments Tab'!$A$5:$CL$272,56,FALSE)</f>
        <v>25400</v>
      </c>
      <c r="K129" s="663">
        <f>VLOOKUP($A129,'Measure Level Adjustments Tab'!$A$5:$CL$272,57,FALSE)</f>
        <v>34200</v>
      </c>
      <c r="L129" s="411" t="str">
        <f>VLOOKUP($A129,'Measure Level Adjustments Tab'!$A$5:$CL$272,12,FALSE)</f>
        <v>CI-HVC-ERVE-V02-160601</v>
      </c>
      <c r="M129" s="422"/>
      <c r="N129" s="662">
        <v>5.1875000000000004E-2</v>
      </c>
      <c r="O129" s="662">
        <v>5.1875000000000004E-2</v>
      </c>
      <c r="P129" s="662">
        <v>5.1875000000000004E-2</v>
      </c>
      <c r="Q129" s="662">
        <v>5.1875000000000004E-2</v>
      </c>
      <c r="R129" s="661">
        <f>VLOOKUP($A129,'Measure Level Adjustments Tab'!$A$5:$CL$272,46,FALSE)</f>
        <v>0.49399999999999999</v>
      </c>
      <c r="S129" s="661">
        <f>VLOOKUP($A129,'Measure Level Adjustments Tab'!$A$5:$CL$272,47,FALSE)</f>
        <v>0.49399999999999999</v>
      </c>
      <c r="T129" s="661">
        <f>VLOOKUP($A129,'Measure Level Adjustments Tab'!$A$5:$CL$272,48,FALSE)</f>
        <v>0.49399999999999999</v>
      </c>
      <c r="U129" s="661">
        <f>VLOOKUP($A129,'Measure Level Adjustments Tab'!$A$5:$CL$272,49,FALSE)</f>
        <v>0.49399999999999999</v>
      </c>
      <c r="V129" s="418">
        <f t="shared" si="36"/>
        <v>258.82512500000001</v>
      </c>
      <c r="W129" s="418">
        <f t="shared" si="36"/>
        <v>166.57062500000004</v>
      </c>
      <c r="X129" s="418">
        <f t="shared" si="36"/>
        <v>650.90674999999999</v>
      </c>
      <c r="Y129" s="418">
        <f t="shared" si="36"/>
        <v>876.41775000000007</v>
      </c>
      <c r="Z129" s="418">
        <f t="shared" si="37"/>
        <v>1952.7202500000001</v>
      </c>
      <c r="AA129" s="410"/>
      <c r="AB129" s="422"/>
      <c r="AC129" s="415">
        <v>5.1875000000000004E-2</v>
      </c>
      <c r="AD129" s="416"/>
      <c r="AE129" s="414">
        <f t="shared" si="38"/>
        <v>258.82512500000001</v>
      </c>
      <c r="AF129" s="412">
        <f t="shared" si="39"/>
        <v>0</v>
      </c>
      <c r="AG129" s="410"/>
      <c r="AH129" s="422"/>
      <c r="AI129" s="413">
        <v>5.1875000000000004E-2</v>
      </c>
      <c r="AJ129" s="2669" t="s">
        <v>820</v>
      </c>
      <c r="AK129" s="414">
        <f t="shared" si="40"/>
        <v>166.57062500000004</v>
      </c>
      <c r="AL129" s="412">
        <f t="shared" si="41"/>
        <v>0</v>
      </c>
      <c r="AM129" s="410"/>
      <c r="AN129" s="422"/>
      <c r="AO129" s="413">
        <v>5.1875000000000004E-2</v>
      </c>
      <c r="AP129" s="2669" t="s">
        <v>304</v>
      </c>
      <c r="AQ129" s="414">
        <f t="shared" si="42"/>
        <v>650.90674999999999</v>
      </c>
      <c r="AR129" s="412">
        <f t="shared" si="43"/>
        <v>0</v>
      </c>
      <c r="AS129" s="410"/>
      <c r="AT129" s="422"/>
      <c r="AU129" s="413">
        <f>VLOOKUP($A129,'Measure Level Adjustments Tab'!$A$5:$CL$272,53,FALSE)/U129</f>
        <v>5.1875000000000004E-2</v>
      </c>
      <c r="AV129" s="2669" t="s">
        <v>304</v>
      </c>
      <c r="AW129" s="414">
        <f t="shared" si="44"/>
        <v>876.41775000000007</v>
      </c>
      <c r="AX129" s="412">
        <f t="shared" si="45"/>
        <v>0</v>
      </c>
      <c r="AY129" s="418">
        <f t="shared" si="46"/>
        <v>258.82512500000001</v>
      </c>
      <c r="AZ129" s="418">
        <f t="shared" si="47"/>
        <v>166.57062500000004</v>
      </c>
      <c r="BA129" s="418">
        <f t="shared" si="48"/>
        <v>650.90674999999999</v>
      </c>
      <c r="BB129" s="418">
        <f t="shared" si="49"/>
        <v>876.41775000000007</v>
      </c>
      <c r="BC129" s="419">
        <f t="shared" si="50"/>
        <v>1952.7202500000001</v>
      </c>
      <c r="BD129" s="410" t="s">
        <v>1271</v>
      </c>
      <c r="BE129" s="423" t="s">
        <v>1272</v>
      </c>
      <c r="BF129" s="421"/>
    </row>
    <row r="130" spans="1:58" s="327" customFormat="1" ht="18" customHeight="1" x14ac:dyDescent="0.35">
      <c r="A130" s="660">
        <v>80</v>
      </c>
      <c r="B130" s="660" t="str">
        <f>VLOOKUP($A130,'Measure Level Adjustments Tab'!$A$5:$CL$272,6,FALSE)</f>
        <v>Standard</v>
      </c>
      <c r="C130" s="659" t="s">
        <v>81</v>
      </c>
      <c r="D130" s="659" t="s">
        <v>167</v>
      </c>
      <c r="E130" s="411">
        <f>VLOOKUP($A130,'Measure Level Adjustments Tab'!$A$5:$CL$272,13,FALSE)</f>
        <v>1</v>
      </c>
      <c r="F130" s="411" t="str">
        <f>VLOOKUP($A130,'Measure Level Adjustments Tab'!$A$5:$CL$272,11,FALSE)</f>
        <v>4.4.18</v>
      </c>
      <c r="G130" s="411">
        <f>VLOOKUP($A130,'Measure Level Adjustments Tab'!$A$5:$CL$272,14,FALSE)</f>
        <v>0</v>
      </c>
      <c r="H130" s="663">
        <f>VLOOKUP($A130,'Measure Level Adjustments Tab'!$A$5:$CL$272,54,FALSE)</f>
        <v>19</v>
      </c>
      <c r="I130" s="663">
        <f>VLOOKUP($A130,'Measure Level Adjustments Tab'!$A$5:$CL$272,55,FALSE)</f>
        <v>6</v>
      </c>
      <c r="J130" s="663">
        <f>VLOOKUP($A130,'Measure Level Adjustments Tab'!$A$5:$CL$272,56,FALSE)</f>
        <v>1</v>
      </c>
      <c r="K130" s="663">
        <f>VLOOKUP($A130,'Measure Level Adjustments Tab'!$A$5:$CL$272,57,FALSE)</f>
        <v>1</v>
      </c>
      <c r="L130" s="411" t="str">
        <f>VLOOKUP($A130,'Measure Level Adjustments Tab'!$A$5:$CL$272,12,FALSE)</f>
        <v>CI-HVC-PROG-V02-150601</v>
      </c>
      <c r="M130" s="422"/>
      <c r="N130" s="662">
        <v>73.599999999999994</v>
      </c>
      <c r="O130" s="662">
        <v>73.599999999999994</v>
      </c>
      <c r="P130" s="662">
        <v>73.599999999999994</v>
      </c>
      <c r="Q130" s="662">
        <v>73.599999999999994</v>
      </c>
      <c r="R130" s="661">
        <f>VLOOKUP($A130,'Measure Level Adjustments Tab'!$A$5:$CL$272,46,FALSE)</f>
        <v>0.49399999999999999</v>
      </c>
      <c r="S130" s="661">
        <f>VLOOKUP($A130,'Measure Level Adjustments Tab'!$A$5:$CL$272,47,FALSE)</f>
        <v>0.49399999999999999</v>
      </c>
      <c r="T130" s="661">
        <f>VLOOKUP($A130,'Measure Level Adjustments Tab'!$A$5:$CL$272,48,FALSE)</f>
        <v>0.49399999999999999</v>
      </c>
      <c r="U130" s="661">
        <f>VLOOKUP($A130,'Measure Level Adjustments Tab'!$A$5:$CL$272,49,FALSE)</f>
        <v>0.49399999999999999</v>
      </c>
      <c r="V130" s="418">
        <f t="shared" si="36"/>
        <v>690.80959999999993</v>
      </c>
      <c r="W130" s="418">
        <f t="shared" si="36"/>
        <v>218.15039999999999</v>
      </c>
      <c r="X130" s="418">
        <f t="shared" si="36"/>
        <v>36.358399999999996</v>
      </c>
      <c r="Y130" s="418">
        <f t="shared" si="36"/>
        <v>36.358399999999996</v>
      </c>
      <c r="Z130" s="418">
        <f t="shared" si="37"/>
        <v>981.67679999999984</v>
      </c>
      <c r="AA130" s="410"/>
      <c r="AB130" s="422"/>
      <c r="AC130" s="415">
        <v>73.599999999999994</v>
      </c>
      <c r="AD130" s="416"/>
      <c r="AE130" s="414">
        <f t="shared" si="38"/>
        <v>690.80959999999993</v>
      </c>
      <c r="AF130" s="412">
        <f t="shared" si="39"/>
        <v>0</v>
      </c>
      <c r="AG130" s="410"/>
      <c r="AH130" s="422"/>
      <c r="AI130" s="413">
        <v>73.599999999999994</v>
      </c>
      <c r="AJ130" s="2669" t="s">
        <v>820</v>
      </c>
      <c r="AK130" s="414">
        <f t="shared" si="40"/>
        <v>218.15039999999999</v>
      </c>
      <c r="AL130" s="412">
        <f t="shared" si="41"/>
        <v>0</v>
      </c>
      <c r="AM130" s="410"/>
      <c r="AN130" s="422"/>
      <c r="AO130" s="413">
        <v>73.599999999999994</v>
      </c>
      <c r="AP130" s="2669" t="s">
        <v>304</v>
      </c>
      <c r="AQ130" s="414">
        <f t="shared" si="42"/>
        <v>36.358399999999996</v>
      </c>
      <c r="AR130" s="412">
        <f t="shared" si="43"/>
        <v>0</v>
      </c>
      <c r="AS130" s="410"/>
      <c r="AT130" s="422"/>
      <c r="AU130" s="413">
        <f>VLOOKUP($A130,'Measure Level Adjustments Tab'!$A$5:$CL$272,53,FALSE)/U130</f>
        <v>73.599999999999994</v>
      </c>
      <c r="AV130" s="2669" t="s">
        <v>304</v>
      </c>
      <c r="AW130" s="414">
        <f t="shared" si="44"/>
        <v>36.358399999999996</v>
      </c>
      <c r="AX130" s="412">
        <f t="shared" si="45"/>
        <v>0</v>
      </c>
      <c r="AY130" s="418">
        <f t="shared" si="46"/>
        <v>690.80959999999993</v>
      </c>
      <c r="AZ130" s="418">
        <f t="shared" si="47"/>
        <v>218.15039999999999</v>
      </c>
      <c r="BA130" s="418">
        <f t="shared" si="48"/>
        <v>36.358399999999996</v>
      </c>
      <c r="BB130" s="418">
        <f t="shared" si="49"/>
        <v>36.358399999999996</v>
      </c>
      <c r="BC130" s="419">
        <f t="shared" si="50"/>
        <v>981.67679999999984</v>
      </c>
      <c r="BD130" s="410" t="s">
        <v>1271</v>
      </c>
      <c r="BE130" s="423" t="s">
        <v>1272</v>
      </c>
      <c r="BF130" s="421"/>
    </row>
    <row r="131" spans="1:58" s="327" customFormat="1" ht="18" customHeight="1" x14ac:dyDescent="0.35">
      <c r="A131" s="660">
        <v>241</v>
      </c>
      <c r="B131" s="660" t="str">
        <f>VLOOKUP($A131,'Measure Level Adjustments Tab'!$A$5:$CL$272,6,FALSE)</f>
        <v>Standard</v>
      </c>
      <c r="C131" s="659" t="s">
        <v>81</v>
      </c>
      <c r="D131" s="659" t="s">
        <v>242</v>
      </c>
      <c r="E131" s="411">
        <f>VLOOKUP($A131,'Measure Level Adjustments Tab'!$A$5:$CL$272,13,FALSE)</f>
        <v>1</v>
      </c>
      <c r="F131" s="411" t="str">
        <f>VLOOKUP($A131,'Measure Level Adjustments Tab'!$A$5:$CL$272,11,FALSE)</f>
        <v>4.3.7</v>
      </c>
      <c r="G131" s="411">
        <f>VLOOKUP($A131,'Measure Level Adjustments Tab'!$A$5:$CL$272,14,FALSE)</f>
        <v>0</v>
      </c>
      <c r="H131" s="663">
        <f>VLOOKUP($A131,'Measure Level Adjustments Tab'!$A$5:$CL$272,54,FALSE)</f>
        <v>0</v>
      </c>
      <c r="I131" s="663">
        <f>VLOOKUP($A131,'Measure Level Adjustments Tab'!$A$5:$CL$272,55,FALSE)</f>
        <v>0</v>
      </c>
      <c r="J131" s="663">
        <f>VLOOKUP($A131,'Measure Level Adjustments Tab'!$A$5:$CL$272,56,FALSE)</f>
        <v>1</v>
      </c>
      <c r="K131" s="663">
        <f>VLOOKUP($A131,'Measure Level Adjustments Tab'!$A$5:$CL$272,57,FALSE)</f>
        <v>0</v>
      </c>
      <c r="L131" s="411" t="str">
        <f>VLOOKUP($A131,'Measure Level Adjustments Tab'!$A$5:$CL$272,12,FALSE)</f>
        <v>CI-HWE-MDHW-V02-160601</v>
      </c>
      <c r="M131" s="422"/>
      <c r="N131" s="662">
        <v>9.9999999999999982</v>
      </c>
      <c r="O131" s="662">
        <v>9.9999999999999982</v>
      </c>
      <c r="P131" s="662">
        <v>9.9999999999999982</v>
      </c>
      <c r="Q131" s="662">
        <v>9.9999999999999982</v>
      </c>
      <c r="R131" s="661">
        <f>VLOOKUP($A131,'Measure Level Adjustments Tab'!$A$5:$CL$272,46,FALSE)</f>
        <v>0.49399999999999999</v>
      </c>
      <c r="S131" s="661">
        <f>VLOOKUP($A131,'Measure Level Adjustments Tab'!$A$5:$CL$272,47,FALSE)</f>
        <v>0.49399999999999999</v>
      </c>
      <c r="T131" s="661">
        <f>VLOOKUP($A131,'Measure Level Adjustments Tab'!$A$5:$CL$272,48,FALSE)</f>
        <v>0.49399999999999999</v>
      </c>
      <c r="U131" s="661">
        <f>VLOOKUP($A131,'Measure Level Adjustments Tab'!$A$5:$CL$272,49,FALSE)</f>
        <v>0.49399999999999999</v>
      </c>
      <c r="V131" s="418">
        <f t="shared" si="36"/>
        <v>0</v>
      </c>
      <c r="W131" s="418">
        <f t="shared" si="36"/>
        <v>0</v>
      </c>
      <c r="X131" s="418">
        <f t="shared" si="36"/>
        <v>4.9399999999999995</v>
      </c>
      <c r="Y131" s="418">
        <f t="shared" si="36"/>
        <v>0</v>
      </c>
      <c r="Z131" s="418">
        <f t="shared" si="37"/>
        <v>4.9399999999999995</v>
      </c>
      <c r="AA131" s="410"/>
      <c r="AB131" s="422"/>
      <c r="AC131" s="415">
        <v>9.9999999999999982</v>
      </c>
      <c r="AD131" s="416"/>
      <c r="AE131" s="414">
        <f t="shared" si="38"/>
        <v>0</v>
      </c>
      <c r="AF131" s="412">
        <f t="shared" si="39"/>
        <v>0</v>
      </c>
      <c r="AG131" s="410"/>
      <c r="AH131" s="422"/>
      <c r="AI131" s="413">
        <v>9.9999999999999982</v>
      </c>
      <c r="AJ131" s="2669" t="s">
        <v>820</v>
      </c>
      <c r="AK131" s="414">
        <f t="shared" si="40"/>
        <v>0</v>
      </c>
      <c r="AL131" s="412">
        <f t="shared" si="41"/>
        <v>0</v>
      </c>
      <c r="AM131" s="410"/>
      <c r="AN131" s="422"/>
      <c r="AO131" s="413">
        <v>9.9999999999999982</v>
      </c>
      <c r="AP131" s="2669" t="s">
        <v>304</v>
      </c>
      <c r="AQ131" s="414">
        <f t="shared" si="42"/>
        <v>4.9399999999999995</v>
      </c>
      <c r="AR131" s="412">
        <f t="shared" si="43"/>
        <v>0</v>
      </c>
      <c r="AS131" s="410"/>
      <c r="AT131" s="422"/>
      <c r="AU131" s="413">
        <f>VLOOKUP($A131,'Measure Level Adjustments Tab'!$A$5:$CL$272,53,FALSE)/U131</f>
        <v>9.9999999999999982</v>
      </c>
      <c r="AV131" s="2669" t="s">
        <v>304</v>
      </c>
      <c r="AW131" s="414">
        <f t="shared" si="44"/>
        <v>0</v>
      </c>
      <c r="AX131" s="412">
        <f t="shared" si="45"/>
        <v>0</v>
      </c>
      <c r="AY131" s="418">
        <f t="shared" si="46"/>
        <v>0</v>
      </c>
      <c r="AZ131" s="418">
        <f t="shared" si="47"/>
        <v>0</v>
      </c>
      <c r="BA131" s="418">
        <f t="shared" si="48"/>
        <v>4.9399999999999995</v>
      </c>
      <c r="BB131" s="418">
        <f t="shared" si="49"/>
        <v>0</v>
      </c>
      <c r="BC131" s="419">
        <f t="shared" si="50"/>
        <v>4.9399999999999995</v>
      </c>
      <c r="BD131" s="410" t="s">
        <v>1271</v>
      </c>
      <c r="BE131" s="423" t="s">
        <v>1272</v>
      </c>
      <c r="BF131" s="421"/>
    </row>
    <row r="132" spans="1:58" s="327" customFormat="1" ht="18" customHeight="1" x14ac:dyDescent="0.35">
      <c r="A132" s="660">
        <v>231</v>
      </c>
      <c r="B132" s="660" t="str">
        <f>VLOOKUP($A132,'Measure Level Adjustments Tab'!$A$5:$CL$272,6,FALSE)</f>
        <v>Standard</v>
      </c>
      <c r="C132" s="659" t="s">
        <v>81</v>
      </c>
      <c r="D132" s="659" t="s">
        <v>243</v>
      </c>
      <c r="E132" s="411">
        <f>VLOOKUP($A132,'Measure Level Adjustments Tab'!$A$5:$CL$272,13,FALSE)</f>
        <v>1</v>
      </c>
      <c r="F132" s="411" t="str">
        <f>VLOOKUP($A132,'Measure Level Adjustments Tab'!$A$5:$CL$272,11,FALSE)</f>
        <v>4.3.7</v>
      </c>
      <c r="G132" s="411">
        <f>VLOOKUP($A132,'Measure Level Adjustments Tab'!$A$5:$CL$272,14,FALSE)</f>
        <v>0</v>
      </c>
      <c r="H132" s="663">
        <f>VLOOKUP($A132,'Measure Level Adjustments Tab'!$A$5:$CL$272,54,FALSE)</f>
        <v>1</v>
      </c>
      <c r="I132" s="663">
        <f>VLOOKUP($A132,'Measure Level Adjustments Tab'!$A$5:$CL$272,55,FALSE)</f>
        <v>0</v>
      </c>
      <c r="J132" s="663">
        <f>VLOOKUP($A132,'Measure Level Adjustments Tab'!$A$5:$CL$272,56,FALSE)</f>
        <v>1</v>
      </c>
      <c r="K132" s="663">
        <f>VLOOKUP($A132,'Measure Level Adjustments Tab'!$A$5:$CL$272,57,FALSE)</f>
        <v>0</v>
      </c>
      <c r="L132" s="411" t="str">
        <f>VLOOKUP($A132,'Measure Level Adjustments Tab'!$A$5:$CL$272,12,FALSE)</f>
        <v>CI-HWE-MDHW-V02-160601</v>
      </c>
      <c r="M132" s="422"/>
      <c r="N132" s="662">
        <v>559</v>
      </c>
      <c r="O132" s="662">
        <v>559</v>
      </c>
      <c r="P132" s="662">
        <v>559</v>
      </c>
      <c r="Q132" s="662">
        <v>559</v>
      </c>
      <c r="R132" s="661">
        <f>VLOOKUP($A132,'Measure Level Adjustments Tab'!$A$5:$CL$272,46,FALSE)</f>
        <v>0.49399999999999999</v>
      </c>
      <c r="S132" s="661">
        <f>VLOOKUP($A132,'Measure Level Adjustments Tab'!$A$5:$CL$272,47,FALSE)</f>
        <v>0.49399999999999999</v>
      </c>
      <c r="T132" s="661">
        <f>VLOOKUP($A132,'Measure Level Adjustments Tab'!$A$5:$CL$272,48,FALSE)</f>
        <v>0.49399999999999999</v>
      </c>
      <c r="U132" s="661">
        <f>VLOOKUP($A132,'Measure Level Adjustments Tab'!$A$5:$CL$272,49,FALSE)</f>
        <v>0.49399999999999999</v>
      </c>
      <c r="V132" s="418">
        <f t="shared" si="36"/>
        <v>276.14600000000002</v>
      </c>
      <c r="W132" s="418">
        <f t="shared" si="36"/>
        <v>0</v>
      </c>
      <c r="X132" s="418">
        <f t="shared" si="36"/>
        <v>276.14600000000002</v>
      </c>
      <c r="Y132" s="418">
        <f t="shared" si="36"/>
        <v>0</v>
      </c>
      <c r="Z132" s="418">
        <f t="shared" si="37"/>
        <v>552.29200000000003</v>
      </c>
      <c r="AA132" s="410"/>
      <c r="AB132" s="422"/>
      <c r="AC132" s="415">
        <v>559</v>
      </c>
      <c r="AD132" s="416"/>
      <c r="AE132" s="414">
        <f t="shared" si="38"/>
        <v>276.14600000000002</v>
      </c>
      <c r="AF132" s="412">
        <f t="shared" si="39"/>
        <v>0</v>
      </c>
      <c r="AG132" s="410"/>
      <c r="AH132" s="422"/>
      <c r="AI132" s="413">
        <v>559</v>
      </c>
      <c r="AJ132" s="2669" t="s">
        <v>820</v>
      </c>
      <c r="AK132" s="414">
        <f t="shared" si="40"/>
        <v>0</v>
      </c>
      <c r="AL132" s="412">
        <f t="shared" si="41"/>
        <v>0</v>
      </c>
      <c r="AM132" s="410"/>
      <c r="AN132" s="422"/>
      <c r="AO132" s="413">
        <v>559</v>
      </c>
      <c r="AP132" s="2669" t="s">
        <v>304</v>
      </c>
      <c r="AQ132" s="414">
        <f t="shared" si="42"/>
        <v>276.14600000000002</v>
      </c>
      <c r="AR132" s="412">
        <f t="shared" si="43"/>
        <v>0</v>
      </c>
      <c r="AS132" s="410"/>
      <c r="AT132" s="422"/>
      <c r="AU132" s="413">
        <f>VLOOKUP($A132,'Measure Level Adjustments Tab'!$A$5:$CL$272,53,FALSE)/U132</f>
        <v>559</v>
      </c>
      <c r="AV132" s="2669" t="s">
        <v>304</v>
      </c>
      <c r="AW132" s="414">
        <f t="shared" si="44"/>
        <v>0</v>
      </c>
      <c r="AX132" s="412">
        <f t="shared" si="45"/>
        <v>0</v>
      </c>
      <c r="AY132" s="418">
        <f t="shared" si="46"/>
        <v>276.14600000000002</v>
      </c>
      <c r="AZ132" s="418">
        <f t="shared" si="47"/>
        <v>0</v>
      </c>
      <c r="BA132" s="418">
        <f t="shared" si="48"/>
        <v>276.14600000000002</v>
      </c>
      <c r="BB132" s="418">
        <f t="shared" si="49"/>
        <v>0</v>
      </c>
      <c r="BC132" s="419">
        <f t="shared" si="50"/>
        <v>552.29200000000003</v>
      </c>
      <c r="BD132" s="410" t="s">
        <v>1271</v>
      </c>
      <c r="BE132" s="423" t="s">
        <v>1272</v>
      </c>
      <c r="BF132" s="421"/>
    </row>
    <row r="133" spans="1:58" s="327" customFormat="1" ht="18" customHeight="1" x14ac:dyDescent="0.35">
      <c r="A133" s="660">
        <v>53</v>
      </c>
      <c r="B133" s="660" t="str">
        <f>VLOOKUP($A133,'Measure Level Adjustments Tab'!$A$5:$CL$272,6,FALSE)</f>
        <v>Standard</v>
      </c>
      <c r="C133" s="659" t="s">
        <v>81</v>
      </c>
      <c r="D133" s="659" t="s">
        <v>168</v>
      </c>
      <c r="E133" s="411">
        <f>VLOOKUP($A133,'Measure Level Adjustments Tab'!$A$5:$CL$272,13,FALSE)</f>
        <v>1</v>
      </c>
      <c r="F133" s="411" t="str">
        <f>VLOOKUP($A133,'Measure Level Adjustments Tab'!$A$5:$CL$272,11,FALSE)</f>
        <v>4.4.19</v>
      </c>
      <c r="G133" s="411">
        <f>VLOOKUP($A133,'Measure Level Adjustments Tab'!$A$5:$CL$272,14,FALSE)</f>
        <v>0</v>
      </c>
      <c r="H133" s="663">
        <f>VLOOKUP($A133,'Measure Level Adjustments Tab'!$A$5:$CL$272,54,FALSE)</f>
        <v>30</v>
      </c>
      <c r="I133" s="663">
        <f>VLOOKUP($A133,'Measure Level Adjustments Tab'!$A$5:$CL$272,55,FALSE)</f>
        <v>19</v>
      </c>
      <c r="J133" s="663">
        <f>VLOOKUP($A133,'Measure Level Adjustments Tab'!$A$5:$CL$272,56,FALSE)</f>
        <v>30</v>
      </c>
      <c r="K133" s="663">
        <f>VLOOKUP($A133,'Measure Level Adjustments Tab'!$A$5:$CL$272,57,FALSE)</f>
        <v>30</v>
      </c>
      <c r="L133" s="411" t="str">
        <f>VLOOKUP($A133,'Measure Level Adjustments Tab'!$A$5:$CL$272,12,FALSE)</f>
        <v>CI-HVC-DCV-V04-180101</v>
      </c>
      <c r="M133" s="422"/>
      <c r="N133" s="662">
        <v>623</v>
      </c>
      <c r="O133" s="662">
        <v>623</v>
      </c>
      <c r="P133" s="662">
        <v>623</v>
      </c>
      <c r="Q133" s="662">
        <v>623</v>
      </c>
      <c r="R133" s="661">
        <f>VLOOKUP($A133,'Measure Level Adjustments Tab'!$A$5:$CL$272,46,FALSE)</f>
        <v>0.49399999999999999</v>
      </c>
      <c r="S133" s="661">
        <f>VLOOKUP($A133,'Measure Level Adjustments Tab'!$A$5:$CL$272,47,FALSE)</f>
        <v>0.49399999999999999</v>
      </c>
      <c r="T133" s="661">
        <f>VLOOKUP($A133,'Measure Level Adjustments Tab'!$A$5:$CL$272,48,FALSE)</f>
        <v>0.49399999999999999</v>
      </c>
      <c r="U133" s="661">
        <f>VLOOKUP($A133,'Measure Level Adjustments Tab'!$A$5:$CL$272,49,FALSE)</f>
        <v>0.49399999999999999</v>
      </c>
      <c r="V133" s="418">
        <f t="shared" si="36"/>
        <v>9232.86</v>
      </c>
      <c r="W133" s="418">
        <f t="shared" si="36"/>
        <v>5847.4780000000001</v>
      </c>
      <c r="X133" s="418">
        <f t="shared" si="36"/>
        <v>9232.86</v>
      </c>
      <c r="Y133" s="418">
        <f t="shared" si="36"/>
        <v>9232.86</v>
      </c>
      <c r="Z133" s="418">
        <f t="shared" si="37"/>
        <v>33546.058000000005</v>
      </c>
      <c r="AA133" s="410"/>
      <c r="AB133" s="422"/>
      <c r="AC133" s="415">
        <v>623</v>
      </c>
      <c r="AD133" s="416"/>
      <c r="AE133" s="414">
        <f t="shared" si="38"/>
        <v>9232.86</v>
      </c>
      <c r="AF133" s="412">
        <f t="shared" si="39"/>
        <v>0</v>
      </c>
      <c r="AG133" s="410"/>
      <c r="AH133" s="422"/>
      <c r="AI133" s="413">
        <v>623</v>
      </c>
      <c r="AJ133" s="2669" t="s">
        <v>820</v>
      </c>
      <c r="AK133" s="414">
        <f t="shared" si="40"/>
        <v>5847.4780000000001</v>
      </c>
      <c r="AL133" s="412">
        <f t="shared" si="41"/>
        <v>0</v>
      </c>
      <c r="AM133" s="410"/>
      <c r="AN133" s="422"/>
      <c r="AO133" s="413">
        <v>623</v>
      </c>
      <c r="AP133" s="2669" t="s">
        <v>304</v>
      </c>
      <c r="AQ133" s="414">
        <f t="shared" si="42"/>
        <v>9232.86</v>
      </c>
      <c r="AR133" s="412">
        <f t="shared" si="43"/>
        <v>0</v>
      </c>
      <c r="AS133" s="410"/>
      <c r="AT133" s="422"/>
      <c r="AU133" s="413">
        <f>VLOOKUP($A133,'Measure Level Adjustments Tab'!$A$5:$CL$272,53,FALSE)/U133</f>
        <v>623</v>
      </c>
      <c r="AV133" s="2669" t="s">
        <v>304</v>
      </c>
      <c r="AW133" s="414">
        <f t="shared" si="44"/>
        <v>9232.86</v>
      </c>
      <c r="AX133" s="412">
        <f t="shared" si="45"/>
        <v>0</v>
      </c>
      <c r="AY133" s="418">
        <f t="shared" si="46"/>
        <v>9232.86</v>
      </c>
      <c r="AZ133" s="418">
        <f t="shared" si="47"/>
        <v>5847.4780000000001</v>
      </c>
      <c r="BA133" s="418">
        <f t="shared" si="48"/>
        <v>9232.86</v>
      </c>
      <c r="BB133" s="418">
        <f t="shared" si="49"/>
        <v>9232.86</v>
      </c>
      <c r="BC133" s="419">
        <f t="shared" si="50"/>
        <v>33546.058000000005</v>
      </c>
      <c r="BD133" s="410" t="s">
        <v>1271</v>
      </c>
      <c r="BE133" s="423" t="s">
        <v>1272</v>
      </c>
      <c r="BF133" s="421"/>
    </row>
    <row r="134" spans="1:58" s="327" customFormat="1" ht="18" customHeight="1" x14ac:dyDescent="0.35">
      <c r="A134" s="660">
        <v>240</v>
      </c>
      <c r="B134" s="660" t="str">
        <f>VLOOKUP($A134,'Measure Level Adjustments Tab'!$A$5:$CL$272,6,FALSE)</f>
        <v>Standard</v>
      </c>
      <c r="C134" s="659" t="s">
        <v>81</v>
      </c>
      <c r="D134" s="659" t="s">
        <v>1016</v>
      </c>
      <c r="E134" s="411">
        <f>VLOOKUP($A134,'Measure Level Adjustments Tab'!$A$5:$CL$272,13,FALSE)</f>
        <v>1</v>
      </c>
      <c r="F134" s="411" t="str">
        <f>VLOOKUP($A134,'Measure Level Adjustments Tab'!$A$5:$CL$272,11,FALSE)</f>
        <v>4.3.3</v>
      </c>
      <c r="G134" s="411">
        <f>VLOOKUP($A134,'Measure Level Adjustments Tab'!$A$5:$CL$272,14,FALSE)</f>
        <v>0</v>
      </c>
      <c r="H134" s="663">
        <f>VLOOKUP($A134,'Measure Level Adjustments Tab'!$A$5:$CL$272,54,FALSE)</f>
        <v>22</v>
      </c>
      <c r="I134" s="663">
        <f>VLOOKUP($A134,'Measure Level Adjustments Tab'!$A$5:$CL$272,55,FALSE)</f>
        <v>23</v>
      </c>
      <c r="J134" s="663">
        <f>VLOOKUP($A134,'Measure Level Adjustments Tab'!$A$5:$CL$272,56,FALSE)</f>
        <v>24</v>
      </c>
      <c r="K134" s="663">
        <f>VLOOKUP($A134,'Measure Level Adjustments Tab'!$A$5:$CL$272,57,FALSE)</f>
        <v>25</v>
      </c>
      <c r="L134" s="411" t="str">
        <f>VLOOKUP($A134,'Measure Level Adjustments Tab'!$A$5:$CL$272,12,FALSE)</f>
        <v>CI-HWE-LFSH-V04-180101</v>
      </c>
      <c r="M134" s="422"/>
      <c r="N134" s="662">
        <v>5.3588189352600013</v>
      </c>
      <c r="O134" s="662">
        <v>5.3588189352600013</v>
      </c>
      <c r="P134" s="662">
        <v>5.3588189352600013</v>
      </c>
      <c r="Q134" s="662">
        <v>5.3588189352600013</v>
      </c>
      <c r="R134" s="661">
        <f>VLOOKUP($A134,'Measure Level Adjustments Tab'!$A$5:$CL$272,46,FALSE)</f>
        <v>0.60399999999999998</v>
      </c>
      <c r="S134" s="661">
        <f>VLOOKUP($A134,'Measure Level Adjustments Tab'!$A$5:$CL$272,47,FALSE)</f>
        <v>0.60399999999999998</v>
      </c>
      <c r="T134" s="661">
        <f>VLOOKUP($A134,'Measure Level Adjustments Tab'!$A$5:$CL$272,48,FALSE)</f>
        <v>0.60399999999999998</v>
      </c>
      <c r="U134" s="661">
        <f>VLOOKUP($A134,'Measure Level Adjustments Tab'!$A$5:$CL$272,49,FALSE)</f>
        <v>0.60399999999999998</v>
      </c>
      <c r="V134" s="418">
        <f t="shared" si="36"/>
        <v>71.207986011734903</v>
      </c>
      <c r="W134" s="418">
        <f t="shared" si="36"/>
        <v>74.444712648631935</v>
      </c>
      <c r="X134" s="418">
        <f t="shared" si="36"/>
        <v>77.681439285528981</v>
      </c>
      <c r="Y134" s="418">
        <f t="shared" si="36"/>
        <v>80.918165922426013</v>
      </c>
      <c r="Z134" s="418">
        <f t="shared" si="37"/>
        <v>304.2523038683218</v>
      </c>
      <c r="AA134" s="410"/>
      <c r="AB134" s="422"/>
      <c r="AC134" s="415">
        <v>5.3588189352600013</v>
      </c>
      <c r="AD134" s="416"/>
      <c r="AE134" s="414">
        <f t="shared" si="38"/>
        <v>71.207986011734903</v>
      </c>
      <c r="AF134" s="412">
        <f t="shared" si="39"/>
        <v>0</v>
      </c>
      <c r="AG134" s="410"/>
      <c r="AH134" s="422"/>
      <c r="AI134" s="413">
        <v>5.3588189352600013</v>
      </c>
      <c r="AJ134" s="2669" t="s">
        <v>3418</v>
      </c>
      <c r="AK134" s="414">
        <f t="shared" si="40"/>
        <v>74.444712648631935</v>
      </c>
      <c r="AL134" s="412">
        <f t="shared" si="41"/>
        <v>0</v>
      </c>
      <c r="AM134" s="410"/>
      <c r="AN134" s="422"/>
      <c r="AO134" s="413">
        <v>4.9335158451599996</v>
      </c>
      <c r="AP134" s="2669" t="s">
        <v>3926</v>
      </c>
      <c r="AQ134" s="414">
        <f t="shared" si="42"/>
        <v>71.516245691439352</v>
      </c>
      <c r="AR134" s="412">
        <f t="shared" si="43"/>
        <v>-6.1651935940896294</v>
      </c>
      <c r="AS134" s="410"/>
      <c r="AT134" s="422"/>
      <c r="AU134" s="413">
        <f>VLOOKUP($A134,'Measure Level Adjustments Tab'!$A$5:$CL$272,53,FALSE)/U134</f>
        <v>4.9335158451599996</v>
      </c>
      <c r="AV134" s="2669" t="s">
        <v>304</v>
      </c>
      <c r="AW134" s="414">
        <f t="shared" si="44"/>
        <v>74.496089261915984</v>
      </c>
      <c r="AX134" s="412">
        <f t="shared" si="45"/>
        <v>-6.4220766605100295</v>
      </c>
      <c r="AY134" s="418">
        <f t="shared" si="46"/>
        <v>71.207986011734903</v>
      </c>
      <c r="AZ134" s="418">
        <f t="shared" si="47"/>
        <v>74.444712648631935</v>
      </c>
      <c r="BA134" s="418">
        <f t="shared" si="48"/>
        <v>71.516245691439352</v>
      </c>
      <c r="BB134" s="418">
        <f t="shared" si="49"/>
        <v>74.496089261915984</v>
      </c>
      <c r="BC134" s="419">
        <f t="shared" si="50"/>
        <v>291.66503361372219</v>
      </c>
      <c r="BD134" s="410" t="s">
        <v>1271</v>
      </c>
      <c r="BE134" s="423" t="s">
        <v>1272</v>
      </c>
      <c r="BF134" s="421"/>
    </row>
    <row r="135" spans="1:58" s="327" customFormat="1" ht="18" customHeight="1" x14ac:dyDescent="0.35">
      <c r="A135" s="660">
        <v>57</v>
      </c>
      <c r="B135" s="660" t="str">
        <f>VLOOKUP($A135,'Measure Level Adjustments Tab'!$A$5:$CL$272,6,FALSE)</f>
        <v>Standard</v>
      </c>
      <c r="C135" s="659" t="s">
        <v>81</v>
      </c>
      <c r="D135" s="659" t="s">
        <v>255</v>
      </c>
      <c r="E135" s="411">
        <f>VLOOKUP($A135,'Measure Level Adjustments Tab'!$A$5:$CL$272,13,FALSE)</f>
        <v>1</v>
      </c>
      <c r="F135" s="411" t="str">
        <f>VLOOKUP($A135,'Measure Level Adjustments Tab'!$A$5:$CL$272,11,FALSE)</f>
        <v>4.4.34</v>
      </c>
      <c r="G135" s="411">
        <f>VLOOKUP($A135,'Measure Level Adjustments Tab'!$A$5:$CL$272,14,FALSE)</f>
        <v>0</v>
      </c>
      <c r="H135" s="663">
        <f>VLOOKUP($A135,'Measure Level Adjustments Tab'!$A$5:$CL$272,54,FALSE)</f>
        <v>1</v>
      </c>
      <c r="I135" s="663">
        <f>VLOOKUP($A135,'Measure Level Adjustments Tab'!$A$5:$CL$272,55,FALSE)</f>
        <v>1</v>
      </c>
      <c r="J135" s="663">
        <f>VLOOKUP($A135,'Measure Level Adjustments Tab'!$A$5:$CL$272,56,FALSE)</f>
        <v>1</v>
      </c>
      <c r="K135" s="663">
        <f>VLOOKUP($A135,'Measure Level Adjustments Tab'!$A$5:$CL$272,57,FALSE)</f>
        <v>1</v>
      </c>
      <c r="L135" s="411" t="str">
        <f>VLOOKUP($A135,'Measure Level Adjustments Tab'!$A$5:$CL$272,12,FALSE)</f>
        <v>CI-HVC-DSFN-V02-180101</v>
      </c>
      <c r="M135" s="422"/>
      <c r="N135" s="662">
        <v>843.86062500000014</v>
      </c>
      <c r="O135" s="662">
        <v>843.86062500000014</v>
      </c>
      <c r="P135" s="662">
        <v>843.86062500000014</v>
      </c>
      <c r="Q135" s="662">
        <v>843.86062500000014</v>
      </c>
      <c r="R135" s="661">
        <f>VLOOKUP($A135,'Measure Level Adjustments Tab'!$A$5:$CL$272,46,FALSE)</f>
        <v>0.67500000000000004</v>
      </c>
      <c r="S135" s="661">
        <f>VLOOKUP($A135,'Measure Level Adjustments Tab'!$A$5:$CL$272,47,FALSE)</f>
        <v>0.67500000000000004</v>
      </c>
      <c r="T135" s="661">
        <f>VLOOKUP($A135,'Measure Level Adjustments Tab'!$A$5:$CL$272,48,FALSE)</f>
        <v>0.67500000000000004</v>
      </c>
      <c r="U135" s="661">
        <f>VLOOKUP($A135,'Measure Level Adjustments Tab'!$A$5:$CL$272,49,FALSE)</f>
        <v>0.67500000000000004</v>
      </c>
      <c r="V135" s="418">
        <f t="shared" si="36"/>
        <v>569.60592187500015</v>
      </c>
      <c r="W135" s="418">
        <f t="shared" si="36"/>
        <v>569.60592187500015</v>
      </c>
      <c r="X135" s="418">
        <f t="shared" si="36"/>
        <v>569.60592187500015</v>
      </c>
      <c r="Y135" s="418">
        <f t="shared" si="36"/>
        <v>569.60592187500015</v>
      </c>
      <c r="Z135" s="418">
        <f t="shared" si="37"/>
        <v>2278.4236875000006</v>
      </c>
      <c r="AA135" s="410"/>
      <c r="AB135" s="422"/>
      <c r="AC135" s="415">
        <v>843.86062500000014</v>
      </c>
      <c r="AD135" s="416"/>
      <c r="AE135" s="414">
        <f t="shared" si="38"/>
        <v>569.60592187500015</v>
      </c>
      <c r="AF135" s="412">
        <f t="shared" si="39"/>
        <v>0</v>
      </c>
      <c r="AG135" s="410"/>
      <c r="AH135" s="422"/>
      <c r="AI135" s="413">
        <v>843.86062500000014</v>
      </c>
      <c r="AJ135" s="2669" t="s">
        <v>820</v>
      </c>
      <c r="AK135" s="414">
        <f t="shared" si="40"/>
        <v>569.60592187500015</v>
      </c>
      <c r="AL135" s="412">
        <f t="shared" si="41"/>
        <v>0</v>
      </c>
      <c r="AM135" s="410"/>
      <c r="AN135" s="422"/>
      <c r="AO135" s="413">
        <v>843.86062500000014</v>
      </c>
      <c r="AP135" s="2669" t="s">
        <v>304</v>
      </c>
      <c r="AQ135" s="414">
        <f t="shared" si="42"/>
        <v>569.60592187500015</v>
      </c>
      <c r="AR135" s="412">
        <f t="shared" si="43"/>
        <v>0</v>
      </c>
      <c r="AS135" s="410"/>
      <c r="AT135" s="422"/>
      <c r="AU135" s="413">
        <f>VLOOKUP($A135,'Measure Level Adjustments Tab'!$A$5:$CL$272,53,FALSE)/U135</f>
        <v>843.86062500000014</v>
      </c>
      <c r="AV135" s="2669" t="s">
        <v>304</v>
      </c>
      <c r="AW135" s="414">
        <f t="shared" si="44"/>
        <v>569.60592187500015</v>
      </c>
      <c r="AX135" s="412">
        <f t="shared" si="45"/>
        <v>0</v>
      </c>
      <c r="AY135" s="418">
        <f t="shared" si="46"/>
        <v>569.60592187500015</v>
      </c>
      <c r="AZ135" s="418">
        <f t="shared" si="47"/>
        <v>569.60592187500015</v>
      </c>
      <c r="BA135" s="418">
        <f t="shared" si="48"/>
        <v>569.60592187500015</v>
      </c>
      <c r="BB135" s="418">
        <f t="shared" si="49"/>
        <v>569.60592187500015</v>
      </c>
      <c r="BC135" s="419">
        <f t="shared" si="50"/>
        <v>2278.4236875000006</v>
      </c>
      <c r="BD135" s="410" t="s">
        <v>1271</v>
      </c>
      <c r="BE135" s="423" t="s">
        <v>1272</v>
      </c>
      <c r="BF135" s="421"/>
    </row>
    <row r="136" spans="1:58" s="327" customFormat="1" ht="18" customHeight="1" x14ac:dyDescent="0.35">
      <c r="A136" s="660">
        <v>58</v>
      </c>
      <c r="B136" s="660" t="str">
        <f>VLOOKUP($A136,'Measure Level Adjustments Tab'!$A$5:$CL$272,6,FALSE)</f>
        <v>Standard</v>
      </c>
      <c r="C136" s="659" t="s">
        <v>81</v>
      </c>
      <c r="D136" s="659" t="s">
        <v>256</v>
      </c>
      <c r="E136" s="411">
        <f>VLOOKUP($A136,'Measure Level Adjustments Tab'!$A$5:$CL$272,13,FALSE)</f>
        <v>1</v>
      </c>
      <c r="F136" s="411" t="str">
        <f>VLOOKUP($A136,'Measure Level Adjustments Tab'!$A$5:$CL$272,11,FALSE)</f>
        <v>4.4.34</v>
      </c>
      <c r="G136" s="411">
        <f>VLOOKUP($A136,'Measure Level Adjustments Tab'!$A$5:$CL$272,14,FALSE)</f>
        <v>0</v>
      </c>
      <c r="H136" s="663">
        <f>VLOOKUP($A136,'Measure Level Adjustments Tab'!$A$5:$CL$272,54,FALSE)</f>
        <v>2</v>
      </c>
      <c r="I136" s="663">
        <f>VLOOKUP($A136,'Measure Level Adjustments Tab'!$A$5:$CL$272,55,FALSE)</f>
        <v>2</v>
      </c>
      <c r="J136" s="663">
        <f>VLOOKUP($A136,'Measure Level Adjustments Tab'!$A$5:$CL$272,56,FALSE)</f>
        <v>2</v>
      </c>
      <c r="K136" s="663">
        <f>VLOOKUP($A136,'Measure Level Adjustments Tab'!$A$5:$CL$272,57,FALSE)</f>
        <v>2</v>
      </c>
      <c r="L136" s="411" t="str">
        <f>VLOOKUP($A136,'Measure Level Adjustments Tab'!$A$5:$CL$272,12,FALSE)</f>
        <v>CI-HVC-DSFN-V02-180101</v>
      </c>
      <c r="M136" s="422"/>
      <c r="N136" s="662">
        <v>996.58237499999996</v>
      </c>
      <c r="O136" s="662">
        <v>996.58237499999996</v>
      </c>
      <c r="P136" s="662">
        <v>996.58237499999996</v>
      </c>
      <c r="Q136" s="662">
        <v>996.58237499999996</v>
      </c>
      <c r="R136" s="661">
        <f>VLOOKUP($A136,'Measure Level Adjustments Tab'!$A$5:$CL$272,46,FALSE)</f>
        <v>0.67500000000000004</v>
      </c>
      <c r="S136" s="661">
        <f>VLOOKUP($A136,'Measure Level Adjustments Tab'!$A$5:$CL$272,47,FALSE)</f>
        <v>0.67500000000000004</v>
      </c>
      <c r="T136" s="661">
        <f>VLOOKUP($A136,'Measure Level Adjustments Tab'!$A$5:$CL$272,48,FALSE)</f>
        <v>0.67500000000000004</v>
      </c>
      <c r="U136" s="661">
        <f>VLOOKUP($A136,'Measure Level Adjustments Tab'!$A$5:$CL$272,49,FALSE)</f>
        <v>0.67500000000000004</v>
      </c>
      <c r="V136" s="418">
        <f t="shared" si="36"/>
        <v>1345.38620625</v>
      </c>
      <c r="W136" s="418">
        <f t="shared" si="36"/>
        <v>1345.38620625</v>
      </c>
      <c r="X136" s="418">
        <f t="shared" si="36"/>
        <v>1345.38620625</v>
      </c>
      <c r="Y136" s="418">
        <f t="shared" si="36"/>
        <v>1345.38620625</v>
      </c>
      <c r="Z136" s="418">
        <f t="shared" si="37"/>
        <v>5381.5448249999999</v>
      </c>
      <c r="AA136" s="410"/>
      <c r="AB136" s="422"/>
      <c r="AC136" s="415">
        <v>996.58237499999996</v>
      </c>
      <c r="AD136" s="416"/>
      <c r="AE136" s="414">
        <f t="shared" si="38"/>
        <v>1345.38620625</v>
      </c>
      <c r="AF136" s="412">
        <f t="shared" si="39"/>
        <v>0</v>
      </c>
      <c r="AG136" s="410"/>
      <c r="AH136" s="422"/>
      <c r="AI136" s="413">
        <v>996.58237499999996</v>
      </c>
      <c r="AJ136" s="2669" t="s">
        <v>820</v>
      </c>
      <c r="AK136" s="414">
        <f t="shared" si="40"/>
        <v>1345.38620625</v>
      </c>
      <c r="AL136" s="412">
        <f t="shared" si="41"/>
        <v>0</v>
      </c>
      <c r="AM136" s="410"/>
      <c r="AN136" s="422"/>
      <c r="AO136" s="413">
        <v>996.58237499999996</v>
      </c>
      <c r="AP136" s="2669" t="s">
        <v>304</v>
      </c>
      <c r="AQ136" s="414">
        <f t="shared" si="42"/>
        <v>1345.38620625</v>
      </c>
      <c r="AR136" s="412">
        <f t="shared" si="43"/>
        <v>0</v>
      </c>
      <c r="AS136" s="410"/>
      <c r="AT136" s="422"/>
      <c r="AU136" s="413">
        <f>VLOOKUP($A136,'Measure Level Adjustments Tab'!$A$5:$CL$272,53,FALSE)/U136</f>
        <v>996.58237499999996</v>
      </c>
      <c r="AV136" s="2669" t="s">
        <v>304</v>
      </c>
      <c r="AW136" s="414">
        <f t="shared" si="44"/>
        <v>1345.38620625</v>
      </c>
      <c r="AX136" s="412">
        <f t="shared" si="45"/>
        <v>0</v>
      </c>
      <c r="AY136" s="418">
        <f t="shared" si="46"/>
        <v>1345.38620625</v>
      </c>
      <c r="AZ136" s="418">
        <f t="shared" si="47"/>
        <v>1345.38620625</v>
      </c>
      <c r="BA136" s="418">
        <f t="shared" si="48"/>
        <v>1345.38620625</v>
      </c>
      <c r="BB136" s="418">
        <f t="shared" si="49"/>
        <v>1345.38620625</v>
      </c>
      <c r="BC136" s="419">
        <f t="shared" si="50"/>
        <v>5381.5448249999999</v>
      </c>
      <c r="BD136" s="410" t="s">
        <v>1271</v>
      </c>
      <c r="BE136" s="423" t="s">
        <v>1272</v>
      </c>
      <c r="BF136" s="421"/>
    </row>
    <row r="137" spans="1:58" s="327" customFormat="1" ht="18" customHeight="1" x14ac:dyDescent="0.35">
      <c r="A137" s="660">
        <v>59</v>
      </c>
      <c r="B137" s="660" t="str">
        <f>VLOOKUP($A137,'Measure Level Adjustments Tab'!$A$5:$CL$272,6,FALSE)</f>
        <v>Standard</v>
      </c>
      <c r="C137" s="659" t="s">
        <v>81</v>
      </c>
      <c r="D137" s="659" t="s">
        <v>257</v>
      </c>
      <c r="E137" s="411">
        <f>VLOOKUP($A137,'Measure Level Adjustments Tab'!$A$5:$CL$272,13,FALSE)</f>
        <v>1</v>
      </c>
      <c r="F137" s="411" t="str">
        <f>VLOOKUP($A137,'Measure Level Adjustments Tab'!$A$5:$CL$272,11,FALSE)</f>
        <v>4.4.34</v>
      </c>
      <c r="G137" s="411">
        <f>VLOOKUP($A137,'Measure Level Adjustments Tab'!$A$5:$CL$272,14,FALSE)</f>
        <v>0</v>
      </c>
      <c r="H137" s="663">
        <f>VLOOKUP($A137,'Measure Level Adjustments Tab'!$A$5:$CL$272,54,FALSE)</f>
        <v>2</v>
      </c>
      <c r="I137" s="663">
        <f>VLOOKUP($A137,'Measure Level Adjustments Tab'!$A$5:$CL$272,55,FALSE)</f>
        <v>2</v>
      </c>
      <c r="J137" s="663">
        <f>VLOOKUP($A137,'Measure Level Adjustments Tab'!$A$5:$CL$272,56,FALSE)</f>
        <v>2</v>
      </c>
      <c r="K137" s="663">
        <f>VLOOKUP($A137,'Measure Level Adjustments Tab'!$A$5:$CL$272,57,FALSE)</f>
        <v>2</v>
      </c>
      <c r="L137" s="411" t="str">
        <f>VLOOKUP($A137,'Measure Level Adjustments Tab'!$A$5:$CL$272,12,FALSE)</f>
        <v>CI-HVC-DSFN-V02-180101</v>
      </c>
      <c r="M137" s="422"/>
      <c r="N137" s="662">
        <v>1089.48</v>
      </c>
      <c r="O137" s="662">
        <v>1089.48</v>
      </c>
      <c r="P137" s="662">
        <v>1089.48</v>
      </c>
      <c r="Q137" s="662">
        <v>1089.48</v>
      </c>
      <c r="R137" s="661">
        <f>VLOOKUP($A137,'Measure Level Adjustments Tab'!$A$5:$CL$272,46,FALSE)</f>
        <v>0.67500000000000004</v>
      </c>
      <c r="S137" s="661">
        <f>VLOOKUP($A137,'Measure Level Adjustments Tab'!$A$5:$CL$272,47,FALSE)</f>
        <v>0.67500000000000004</v>
      </c>
      <c r="T137" s="661">
        <f>VLOOKUP($A137,'Measure Level Adjustments Tab'!$A$5:$CL$272,48,FALSE)</f>
        <v>0.67500000000000004</v>
      </c>
      <c r="U137" s="661">
        <f>VLOOKUP($A137,'Measure Level Adjustments Tab'!$A$5:$CL$272,49,FALSE)</f>
        <v>0.67500000000000004</v>
      </c>
      <c r="V137" s="418">
        <f t="shared" si="36"/>
        <v>1470.7980000000002</v>
      </c>
      <c r="W137" s="418">
        <f t="shared" si="36"/>
        <v>1470.7980000000002</v>
      </c>
      <c r="X137" s="418">
        <f t="shared" si="36"/>
        <v>1470.7980000000002</v>
      </c>
      <c r="Y137" s="418">
        <f t="shared" si="36"/>
        <v>1470.7980000000002</v>
      </c>
      <c r="Z137" s="418">
        <f t="shared" si="37"/>
        <v>5883.1920000000009</v>
      </c>
      <c r="AA137" s="410"/>
      <c r="AB137" s="422"/>
      <c r="AC137" s="415">
        <v>1089.48</v>
      </c>
      <c r="AD137" s="416"/>
      <c r="AE137" s="414">
        <f t="shared" si="38"/>
        <v>1470.7980000000002</v>
      </c>
      <c r="AF137" s="412">
        <f t="shared" si="39"/>
        <v>0</v>
      </c>
      <c r="AG137" s="410"/>
      <c r="AH137" s="422"/>
      <c r="AI137" s="413">
        <v>1089.48</v>
      </c>
      <c r="AJ137" s="2669" t="s">
        <v>820</v>
      </c>
      <c r="AK137" s="414">
        <f t="shared" si="40"/>
        <v>1470.7980000000002</v>
      </c>
      <c r="AL137" s="412">
        <f t="shared" si="41"/>
        <v>0</v>
      </c>
      <c r="AM137" s="410"/>
      <c r="AN137" s="422"/>
      <c r="AO137" s="413">
        <v>1089.48</v>
      </c>
      <c r="AP137" s="2669" t="s">
        <v>304</v>
      </c>
      <c r="AQ137" s="414">
        <f t="shared" si="42"/>
        <v>1470.7980000000002</v>
      </c>
      <c r="AR137" s="412">
        <f t="shared" si="43"/>
        <v>0</v>
      </c>
      <c r="AS137" s="410"/>
      <c r="AT137" s="422"/>
      <c r="AU137" s="413">
        <f>VLOOKUP($A137,'Measure Level Adjustments Tab'!$A$5:$CL$272,53,FALSE)/U137</f>
        <v>1089.48</v>
      </c>
      <c r="AV137" s="2669" t="s">
        <v>304</v>
      </c>
      <c r="AW137" s="414">
        <f t="shared" si="44"/>
        <v>1470.7980000000002</v>
      </c>
      <c r="AX137" s="412">
        <f t="shared" si="45"/>
        <v>0</v>
      </c>
      <c r="AY137" s="418">
        <f t="shared" si="46"/>
        <v>1470.7980000000002</v>
      </c>
      <c r="AZ137" s="418">
        <f t="shared" si="47"/>
        <v>1470.7980000000002</v>
      </c>
      <c r="BA137" s="418">
        <f t="shared" si="48"/>
        <v>1470.7980000000002</v>
      </c>
      <c r="BB137" s="418">
        <f t="shared" si="49"/>
        <v>1470.7980000000002</v>
      </c>
      <c r="BC137" s="419">
        <f t="shared" si="50"/>
        <v>5883.1920000000009</v>
      </c>
      <c r="BD137" s="410" t="s">
        <v>1271</v>
      </c>
      <c r="BE137" s="423" t="s">
        <v>1272</v>
      </c>
      <c r="BF137" s="421"/>
    </row>
    <row r="138" spans="1:58" s="327" customFormat="1" ht="18" customHeight="1" x14ac:dyDescent="0.35">
      <c r="A138" s="660">
        <v>85</v>
      </c>
      <c r="B138" s="660" t="str">
        <f>VLOOKUP($A138,'Measure Level Adjustments Tab'!$A$5:$CL$272,6,FALSE)</f>
        <v>Standard</v>
      </c>
      <c r="C138" s="659" t="s">
        <v>81</v>
      </c>
      <c r="D138" s="659" t="s">
        <v>174</v>
      </c>
      <c r="E138" s="411">
        <f>VLOOKUP($A138,'Measure Level Adjustments Tab'!$A$5:$CL$272,13,FALSE)</f>
        <v>1</v>
      </c>
      <c r="F138" s="411" t="str">
        <f>VLOOKUP($A138,'Measure Level Adjustments Tab'!$A$5:$CL$272,11,FALSE)</f>
        <v>4.4.16</v>
      </c>
      <c r="G138" s="411">
        <f>VLOOKUP($A138,'Measure Level Adjustments Tab'!$A$5:$CL$272,14,FALSE)</f>
        <v>0</v>
      </c>
      <c r="H138" s="663">
        <f>VLOOKUP($A138,'Measure Level Adjustments Tab'!$A$5:$CL$272,54,FALSE)</f>
        <v>150</v>
      </c>
      <c r="I138" s="663">
        <f>VLOOKUP($A138,'Measure Level Adjustments Tab'!$A$5:$CL$272,55,FALSE)</f>
        <v>120</v>
      </c>
      <c r="J138" s="663">
        <f>VLOOKUP($A138,'Measure Level Adjustments Tab'!$A$5:$CL$272,56,FALSE)</f>
        <v>114</v>
      </c>
      <c r="K138" s="663">
        <f>VLOOKUP($A138,'Measure Level Adjustments Tab'!$A$5:$CL$272,57,FALSE)</f>
        <v>64</v>
      </c>
      <c r="L138" s="411" t="str">
        <f>VLOOKUP($A138,'Measure Level Adjustments Tab'!$A$5:$CL$272,12,FALSE)</f>
        <v>CI-HVC-STRE-V05-180101</v>
      </c>
      <c r="M138" s="422"/>
      <c r="N138" s="662">
        <v>208.55999999999997</v>
      </c>
      <c r="O138" s="662">
        <v>208.55999999999997</v>
      </c>
      <c r="P138" s="662">
        <v>208.55999999999997</v>
      </c>
      <c r="Q138" s="662">
        <v>208.55999999999997</v>
      </c>
      <c r="R138" s="661">
        <f>VLOOKUP($A138,'Measure Level Adjustments Tab'!$A$5:$CL$272,46,FALSE)</f>
        <v>0.60799999999999998</v>
      </c>
      <c r="S138" s="661">
        <f>VLOOKUP($A138,'Measure Level Adjustments Tab'!$A$5:$CL$272,47,FALSE)</f>
        <v>0.60799999999999998</v>
      </c>
      <c r="T138" s="661">
        <f>VLOOKUP($A138,'Measure Level Adjustments Tab'!$A$5:$CL$272,48,FALSE)</f>
        <v>0.60799999999999998</v>
      </c>
      <c r="U138" s="661">
        <f>VLOOKUP($A138,'Measure Level Adjustments Tab'!$A$5:$CL$272,49,FALSE)</f>
        <v>0.60799999999999998</v>
      </c>
      <c r="V138" s="418">
        <f t="shared" si="36"/>
        <v>19020.671999999999</v>
      </c>
      <c r="W138" s="418">
        <f t="shared" si="36"/>
        <v>15216.537599999998</v>
      </c>
      <c r="X138" s="418">
        <f t="shared" si="36"/>
        <v>14455.710719999997</v>
      </c>
      <c r="Y138" s="418">
        <f t="shared" si="36"/>
        <v>8115.486719999999</v>
      </c>
      <c r="Z138" s="418">
        <f t="shared" si="37"/>
        <v>56808.407039999991</v>
      </c>
      <c r="AA138" s="410"/>
      <c r="AB138" s="422"/>
      <c r="AC138" s="415">
        <v>208.55999999999997</v>
      </c>
      <c r="AD138" s="416"/>
      <c r="AE138" s="414">
        <f t="shared" si="38"/>
        <v>19020.671999999999</v>
      </c>
      <c r="AF138" s="412">
        <f t="shared" si="39"/>
        <v>0</v>
      </c>
      <c r="AG138" s="410"/>
      <c r="AH138" s="422"/>
      <c r="AI138" s="413">
        <v>208.55999999999997</v>
      </c>
      <c r="AJ138" s="2669" t="s">
        <v>820</v>
      </c>
      <c r="AK138" s="414">
        <f t="shared" si="40"/>
        <v>15216.537599999998</v>
      </c>
      <c r="AL138" s="412">
        <f t="shared" si="41"/>
        <v>0</v>
      </c>
      <c r="AM138" s="410"/>
      <c r="AN138" s="422"/>
      <c r="AO138" s="413">
        <v>208.55999999999997</v>
      </c>
      <c r="AP138" s="2669" t="s">
        <v>304</v>
      </c>
      <c r="AQ138" s="414">
        <f t="shared" si="42"/>
        <v>14455.710719999997</v>
      </c>
      <c r="AR138" s="412">
        <f t="shared" si="43"/>
        <v>0</v>
      </c>
      <c r="AS138" s="410"/>
      <c r="AT138" s="422"/>
      <c r="AU138" s="413">
        <f>VLOOKUP($A138,'Measure Level Adjustments Tab'!$A$5:$CL$272,53,FALSE)/U138</f>
        <v>208.55999999999997</v>
      </c>
      <c r="AV138" s="2669" t="s">
        <v>304</v>
      </c>
      <c r="AW138" s="414">
        <f t="shared" si="44"/>
        <v>8115.486719999999</v>
      </c>
      <c r="AX138" s="412">
        <f t="shared" si="45"/>
        <v>0</v>
      </c>
      <c r="AY138" s="418">
        <f t="shared" si="46"/>
        <v>19020.671999999999</v>
      </c>
      <c r="AZ138" s="418">
        <f t="shared" si="47"/>
        <v>15216.537599999998</v>
      </c>
      <c r="BA138" s="418">
        <f t="shared" si="48"/>
        <v>14455.710719999997</v>
      </c>
      <c r="BB138" s="418">
        <f t="shared" si="49"/>
        <v>8115.486719999999</v>
      </c>
      <c r="BC138" s="419">
        <f t="shared" si="50"/>
        <v>56808.407039999991</v>
      </c>
      <c r="BD138" s="410" t="s">
        <v>1271</v>
      </c>
      <c r="BE138" s="423" t="s">
        <v>1272</v>
      </c>
      <c r="BF138" s="421"/>
    </row>
    <row r="139" spans="1:58" s="327" customFormat="1" ht="18" customHeight="1" x14ac:dyDescent="0.35">
      <c r="A139" s="660">
        <v>239</v>
      </c>
      <c r="B139" s="660" t="str">
        <f>VLOOKUP($A139,'Measure Level Adjustments Tab'!$A$5:$CL$272,6,FALSE)</f>
        <v>Standard</v>
      </c>
      <c r="C139" s="659" t="s">
        <v>81</v>
      </c>
      <c r="D139" s="659" t="s">
        <v>1019</v>
      </c>
      <c r="E139" s="411">
        <f>VLOOKUP($A139,'Measure Level Adjustments Tab'!$A$5:$CL$272,13,FALSE)</f>
        <v>1</v>
      </c>
      <c r="F139" s="411" t="str">
        <f>VLOOKUP($A139,'Measure Level Adjustments Tab'!$A$5:$CL$272,11,FALSE)</f>
        <v>4.3.2</v>
      </c>
      <c r="G139" s="411">
        <f>VLOOKUP($A139,'Measure Level Adjustments Tab'!$A$5:$CL$272,14,FALSE)</f>
        <v>0</v>
      </c>
      <c r="H139" s="663">
        <f>VLOOKUP($A139,'Measure Level Adjustments Tab'!$A$5:$CL$272,54,FALSE)</f>
        <v>700</v>
      </c>
      <c r="I139" s="663">
        <f>VLOOKUP($A139,'Measure Level Adjustments Tab'!$A$5:$CL$272,55,FALSE)</f>
        <v>700</v>
      </c>
      <c r="J139" s="663">
        <f>VLOOKUP($A139,'Measure Level Adjustments Tab'!$A$5:$CL$272,56,FALSE)</f>
        <v>846</v>
      </c>
      <c r="K139" s="663">
        <f>VLOOKUP($A139,'Measure Level Adjustments Tab'!$A$5:$CL$272,57,FALSE)</f>
        <v>844</v>
      </c>
      <c r="L139" s="411" t="str">
        <f>VLOOKUP($A139,'Measure Level Adjustments Tab'!$A$5:$CL$272,12,FALSE)</f>
        <v>CI-HWE-LFFA-V07-180101</v>
      </c>
      <c r="M139" s="422"/>
      <c r="N139" s="662">
        <v>5.4316370902687714</v>
      </c>
      <c r="O139" s="662">
        <v>5.4316370902687714</v>
      </c>
      <c r="P139" s="662">
        <v>5.4316370902687714</v>
      </c>
      <c r="Q139" s="662">
        <v>5.4316370902687714</v>
      </c>
      <c r="R139" s="661">
        <f>VLOOKUP($A139,'Measure Level Adjustments Tab'!$A$5:$CL$272,46,FALSE)</f>
        <v>0.60399999999999998</v>
      </c>
      <c r="S139" s="661">
        <f>VLOOKUP($A139,'Measure Level Adjustments Tab'!$A$5:$CL$272,47,FALSE)</f>
        <v>0.60399999999999998</v>
      </c>
      <c r="T139" s="661">
        <f>VLOOKUP($A139,'Measure Level Adjustments Tab'!$A$5:$CL$272,48,FALSE)</f>
        <v>0.60399999999999998</v>
      </c>
      <c r="U139" s="661">
        <f>VLOOKUP($A139,'Measure Level Adjustments Tab'!$A$5:$CL$272,49,FALSE)</f>
        <v>0.60399999999999998</v>
      </c>
      <c r="V139" s="418">
        <f t="shared" si="36"/>
        <v>2296.4961617656363</v>
      </c>
      <c r="W139" s="418">
        <f t="shared" si="36"/>
        <v>2296.4961617656363</v>
      </c>
      <c r="X139" s="418">
        <f t="shared" si="36"/>
        <v>2775.4796469338976</v>
      </c>
      <c r="Y139" s="418">
        <f t="shared" si="36"/>
        <v>2768.9182293288532</v>
      </c>
      <c r="Z139" s="418">
        <f t="shared" si="37"/>
        <v>10137.390199794023</v>
      </c>
      <c r="AA139" s="410"/>
      <c r="AB139" s="422"/>
      <c r="AC139" s="415">
        <v>5.4316370902687714</v>
      </c>
      <c r="AD139" s="416"/>
      <c r="AE139" s="414">
        <f t="shared" si="38"/>
        <v>2296.4961617656363</v>
      </c>
      <c r="AF139" s="412">
        <f t="shared" si="39"/>
        <v>0</v>
      </c>
      <c r="AG139" s="410"/>
      <c r="AH139" s="422"/>
      <c r="AI139" s="413">
        <v>5.4316370902687714</v>
      </c>
      <c r="AJ139" s="2669" t="s">
        <v>3418</v>
      </c>
      <c r="AK139" s="414">
        <f t="shared" si="40"/>
        <v>2296.4961617656363</v>
      </c>
      <c r="AL139" s="412">
        <f t="shared" si="41"/>
        <v>0</v>
      </c>
      <c r="AM139" s="410"/>
      <c r="AN139" s="422"/>
      <c r="AO139" s="413">
        <v>5.4316370902687714</v>
      </c>
      <c r="AP139" s="2669" t="s">
        <v>304</v>
      </c>
      <c r="AQ139" s="414">
        <f t="shared" si="42"/>
        <v>2775.4796469338976</v>
      </c>
      <c r="AR139" s="412">
        <f t="shared" si="43"/>
        <v>0</v>
      </c>
      <c r="AS139" s="410"/>
      <c r="AT139" s="422"/>
      <c r="AU139" s="413">
        <f>VLOOKUP($A139,'Measure Level Adjustments Tab'!$A$5:$CL$272,53,FALSE)/U139</f>
        <v>5.4316370902687714</v>
      </c>
      <c r="AV139" s="2669" t="s">
        <v>304</v>
      </c>
      <c r="AW139" s="414">
        <f t="shared" si="44"/>
        <v>2768.9182293288532</v>
      </c>
      <c r="AX139" s="412">
        <f t="shared" si="45"/>
        <v>0</v>
      </c>
      <c r="AY139" s="418">
        <f t="shared" si="46"/>
        <v>2296.4961617656363</v>
      </c>
      <c r="AZ139" s="418">
        <f t="shared" si="47"/>
        <v>2296.4961617656363</v>
      </c>
      <c r="BA139" s="418">
        <f t="shared" si="48"/>
        <v>2775.4796469338976</v>
      </c>
      <c r="BB139" s="418">
        <f t="shared" si="49"/>
        <v>2768.9182293288532</v>
      </c>
      <c r="BC139" s="419">
        <f t="shared" si="50"/>
        <v>10137.390199794023</v>
      </c>
      <c r="BD139" s="410" t="s">
        <v>1271</v>
      </c>
      <c r="BE139" s="423" t="s">
        <v>1272</v>
      </c>
      <c r="BF139" s="421"/>
    </row>
    <row r="140" spans="1:58" s="327" customFormat="1" ht="18" customHeight="1" x14ac:dyDescent="0.35">
      <c r="A140" s="660">
        <v>238</v>
      </c>
      <c r="B140" s="660" t="str">
        <f>VLOOKUP($A140,'Measure Level Adjustments Tab'!$A$5:$CL$272,6,FALSE)</f>
        <v>Standard</v>
      </c>
      <c r="C140" s="659" t="s">
        <v>81</v>
      </c>
      <c r="D140" s="659" t="s">
        <v>1020</v>
      </c>
      <c r="E140" s="411">
        <f>VLOOKUP($A140,'Measure Level Adjustments Tab'!$A$5:$CL$272,13,FALSE)</f>
        <v>1</v>
      </c>
      <c r="F140" s="411" t="str">
        <f>VLOOKUP($A140,'Measure Level Adjustments Tab'!$A$5:$CL$272,11,FALSE)</f>
        <v>4.3.2</v>
      </c>
      <c r="G140" s="411">
        <f>VLOOKUP($A140,'Measure Level Adjustments Tab'!$A$5:$CL$272,14,FALSE)</f>
        <v>0</v>
      </c>
      <c r="H140" s="663">
        <f>VLOOKUP($A140,'Measure Level Adjustments Tab'!$A$5:$CL$272,54,FALSE)</f>
        <v>1200</v>
      </c>
      <c r="I140" s="663">
        <f>VLOOKUP($A140,'Measure Level Adjustments Tab'!$A$5:$CL$272,55,FALSE)</f>
        <v>1200</v>
      </c>
      <c r="J140" s="663">
        <f>VLOOKUP($A140,'Measure Level Adjustments Tab'!$A$5:$CL$272,56,FALSE)</f>
        <v>1692</v>
      </c>
      <c r="K140" s="663">
        <f>VLOOKUP($A140,'Measure Level Adjustments Tab'!$A$5:$CL$272,57,FALSE)</f>
        <v>1687</v>
      </c>
      <c r="L140" s="411" t="str">
        <f>VLOOKUP($A140,'Measure Level Adjustments Tab'!$A$5:$CL$272,12,FALSE)</f>
        <v>CI-HWE-LFFA-V07-180101</v>
      </c>
      <c r="M140" s="422"/>
      <c r="N140" s="662">
        <v>7.4894856389249345</v>
      </c>
      <c r="O140" s="662">
        <v>7.4894856389249345</v>
      </c>
      <c r="P140" s="662">
        <v>7.4894856389249345</v>
      </c>
      <c r="Q140" s="662">
        <v>7.4894856389249345</v>
      </c>
      <c r="R140" s="661">
        <f>VLOOKUP($A140,'Measure Level Adjustments Tab'!$A$5:$CL$272,46,FALSE)</f>
        <v>0.60399999999999998</v>
      </c>
      <c r="S140" s="661">
        <f>VLOOKUP($A140,'Measure Level Adjustments Tab'!$A$5:$CL$272,47,FALSE)</f>
        <v>0.60399999999999998</v>
      </c>
      <c r="T140" s="661">
        <f>VLOOKUP($A140,'Measure Level Adjustments Tab'!$A$5:$CL$272,48,FALSE)</f>
        <v>0.60399999999999998</v>
      </c>
      <c r="U140" s="661">
        <f>VLOOKUP($A140,'Measure Level Adjustments Tab'!$A$5:$CL$272,49,FALSE)</f>
        <v>0.60399999999999998</v>
      </c>
      <c r="V140" s="418">
        <f t="shared" si="36"/>
        <v>5428.3791910927921</v>
      </c>
      <c r="W140" s="418">
        <f t="shared" si="36"/>
        <v>5428.3791910927921</v>
      </c>
      <c r="X140" s="418">
        <f t="shared" si="36"/>
        <v>7654.014659440837</v>
      </c>
      <c r="Y140" s="418">
        <f t="shared" si="36"/>
        <v>7631.3964128112839</v>
      </c>
      <c r="Z140" s="418">
        <f t="shared" si="37"/>
        <v>26142.169454437702</v>
      </c>
      <c r="AA140" s="410"/>
      <c r="AB140" s="422"/>
      <c r="AC140" s="415">
        <v>7.4894856389249345</v>
      </c>
      <c r="AD140" s="416"/>
      <c r="AE140" s="414">
        <f t="shared" si="38"/>
        <v>5428.3791910927921</v>
      </c>
      <c r="AF140" s="412">
        <f t="shared" si="39"/>
        <v>0</v>
      </c>
      <c r="AG140" s="410"/>
      <c r="AH140" s="422"/>
      <c r="AI140" s="413">
        <v>7.4894856389249345</v>
      </c>
      <c r="AJ140" s="2669" t="s">
        <v>3418</v>
      </c>
      <c r="AK140" s="414">
        <f t="shared" si="40"/>
        <v>5428.3791910927921</v>
      </c>
      <c r="AL140" s="412">
        <f t="shared" si="41"/>
        <v>0</v>
      </c>
      <c r="AM140" s="410"/>
      <c r="AN140" s="422"/>
      <c r="AO140" s="413">
        <v>7.4894856389249345</v>
      </c>
      <c r="AP140" s="2669" t="s">
        <v>304</v>
      </c>
      <c r="AQ140" s="414">
        <f t="shared" si="42"/>
        <v>7654.014659440837</v>
      </c>
      <c r="AR140" s="412">
        <f t="shared" si="43"/>
        <v>0</v>
      </c>
      <c r="AS140" s="410"/>
      <c r="AT140" s="422"/>
      <c r="AU140" s="413">
        <f>VLOOKUP($A140,'Measure Level Adjustments Tab'!$A$5:$CL$272,53,FALSE)/U140</f>
        <v>7.4894856389249345</v>
      </c>
      <c r="AV140" s="2669" t="s">
        <v>304</v>
      </c>
      <c r="AW140" s="414">
        <f t="shared" si="44"/>
        <v>7631.3964128112839</v>
      </c>
      <c r="AX140" s="412">
        <f t="shared" si="45"/>
        <v>0</v>
      </c>
      <c r="AY140" s="418">
        <f t="shared" si="46"/>
        <v>5428.3791910927921</v>
      </c>
      <c r="AZ140" s="418">
        <f t="shared" si="47"/>
        <v>5428.3791910927921</v>
      </c>
      <c r="BA140" s="418">
        <f t="shared" si="48"/>
        <v>7654.014659440837</v>
      </c>
      <c r="BB140" s="418">
        <f t="shared" si="49"/>
        <v>7631.3964128112839</v>
      </c>
      <c r="BC140" s="419">
        <f t="shared" si="50"/>
        <v>26142.169454437702</v>
      </c>
      <c r="BD140" s="410" t="s">
        <v>1271</v>
      </c>
      <c r="BE140" s="423" t="s">
        <v>1272</v>
      </c>
      <c r="BF140" s="421"/>
    </row>
    <row r="141" spans="1:58" s="327" customFormat="1" ht="18" customHeight="1" x14ac:dyDescent="0.35">
      <c r="A141" s="660">
        <v>47</v>
      </c>
      <c r="B141" s="660" t="str">
        <f>VLOOKUP($A141,'Measure Level Adjustments Tab'!$A$5:$CL$272,6,FALSE)</f>
        <v>Standard</v>
      </c>
      <c r="C141" s="659" t="s">
        <v>81</v>
      </c>
      <c r="D141" s="659" t="s">
        <v>2957</v>
      </c>
      <c r="E141" s="411">
        <f>VLOOKUP($A141,'Measure Level Adjustments Tab'!$A$5:$CL$272,13,FALSE)</f>
        <v>1</v>
      </c>
      <c r="F141" s="411" t="str">
        <f>VLOOKUP($A141,'Measure Level Adjustments Tab'!$A$5:$CL$272,11,FALSE)</f>
        <v>n/a</v>
      </c>
      <c r="G141" s="411">
        <f>VLOOKUP($A141,'Measure Level Adjustments Tab'!$A$5:$CL$272,14,FALSE)</f>
        <v>0</v>
      </c>
      <c r="H141" s="663">
        <f>VLOOKUP($A141,'Measure Level Adjustments Tab'!$A$5:$CL$272,54,FALSE)</f>
        <v>65</v>
      </c>
      <c r="I141" s="663">
        <f>VLOOKUP($A141,'Measure Level Adjustments Tab'!$A$5:$CL$272,55,FALSE)</f>
        <v>0</v>
      </c>
      <c r="J141" s="663">
        <f>VLOOKUP($A141,'Measure Level Adjustments Tab'!$A$5:$CL$272,56,FALSE)</f>
        <v>0</v>
      </c>
      <c r="K141" s="663">
        <f>VLOOKUP($A141,'Measure Level Adjustments Tab'!$A$5:$CL$272,57,FALSE)</f>
        <v>0</v>
      </c>
      <c r="L141" s="411" t="str">
        <f>VLOOKUP($A141,'Measure Level Adjustments Tab'!$A$5:$CL$272,12,FALSE)</f>
        <v>n/a</v>
      </c>
      <c r="M141" s="422"/>
      <c r="N141" s="662">
        <v>61.482900000000001</v>
      </c>
      <c r="O141" s="662">
        <v>61.482900000000001</v>
      </c>
      <c r="P141" s="662">
        <v>61.482900000000001</v>
      </c>
      <c r="Q141" s="662">
        <v>61.482900000000001</v>
      </c>
      <c r="R141" s="661">
        <f>VLOOKUP($A141,'Measure Level Adjustments Tab'!$A$5:$CL$272,46,FALSE)</f>
        <v>0.49399999999999999</v>
      </c>
      <c r="S141" s="661">
        <f>VLOOKUP($A141,'Measure Level Adjustments Tab'!$A$5:$CL$272,47,FALSE)</f>
        <v>0.49399999999999999</v>
      </c>
      <c r="T141" s="661">
        <f>VLOOKUP($A141,'Measure Level Adjustments Tab'!$A$5:$CL$272,48,FALSE)</f>
        <v>0.49399999999999999</v>
      </c>
      <c r="U141" s="661">
        <f>VLOOKUP($A141,'Measure Level Adjustments Tab'!$A$5:$CL$272,49,FALSE)</f>
        <v>0.49399999999999999</v>
      </c>
      <c r="V141" s="418">
        <f t="shared" si="36"/>
        <v>1974.215919</v>
      </c>
      <c r="W141" s="418">
        <f t="shared" si="36"/>
        <v>0</v>
      </c>
      <c r="X141" s="418">
        <f t="shared" si="36"/>
        <v>0</v>
      </c>
      <c r="Y141" s="418">
        <f t="shared" si="36"/>
        <v>0</v>
      </c>
      <c r="Z141" s="418">
        <f t="shared" si="37"/>
        <v>1974.215919</v>
      </c>
      <c r="AA141" s="410"/>
      <c r="AB141" s="422"/>
      <c r="AC141" s="415">
        <v>61.482900000000001</v>
      </c>
      <c r="AD141" s="416"/>
      <c r="AE141" s="414">
        <f t="shared" si="38"/>
        <v>1974.215919</v>
      </c>
      <c r="AF141" s="412">
        <f t="shared" si="39"/>
        <v>0</v>
      </c>
      <c r="AG141" s="410"/>
      <c r="AH141" s="422"/>
      <c r="AI141" s="413">
        <v>61.482900000000001</v>
      </c>
      <c r="AJ141" s="2669" t="s">
        <v>820</v>
      </c>
      <c r="AK141" s="414">
        <f t="shared" si="40"/>
        <v>0</v>
      </c>
      <c r="AL141" s="412">
        <f t="shared" si="41"/>
        <v>0</v>
      </c>
      <c r="AM141" s="410"/>
      <c r="AN141" s="422"/>
      <c r="AO141" s="413">
        <v>61.482900000000001</v>
      </c>
      <c r="AP141" s="2669" t="s">
        <v>304</v>
      </c>
      <c r="AQ141" s="414">
        <f t="shared" si="42"/>
        <v>0</v>
      </c>
      <c r="AR141" s="412">
        <f t="shared" si="43"/>
        <v>0</v>
      </c>
      <c r="AS141" s="410"/>
      <c r="AT141" s="422"/>
      <c r="AU141" s="413">
        <f>VLOOKUP($A141,'Measure Level Adjustments Tab'!$A$5:$CL$272,53,FALSE)/U141</f>
        <v>61.482900000000001</v>
      </c>
      <c r="AV141" s="2669" t="s">
        <v>304</v>
      </c>
      <c r="AW141" s="414">
        <f t="shared" si="44"/>
        <v>0</v>
      </c>
      <c r="AX141" s="412">
        <f t="shared" si="45"/>
        <v>0</v>
      </c>
      <c r="AY141" s="418">
        <f t="shared" si="46"/>
        <v>1974.215919</v>
      </c>
      <c r="AZ141" s="418">
        <f t="shared" si="47"/>
        <v>0</v>
      </c>
      <c r="BA141" s="418">
        <f t="shared" si="48"/>
        <v>0</v>
      </c>
      <c r="BB141" s="418">
        <f t="shared" si="49"/>
        <v>0</v>
      </c>
      <c r="BC141" s="419">
        <f t="shared" si="50"/>
        <v>1974.215919</v>
      </c>
      <c r="BD141" s="410" t="s">
        <v>1271</v>
      </c>
      <c r="BE141" s="423" t="s">
        <v>1272</v>
      </c>
      <c r="BF141" s="421"/>
    </row>
    <row r="142" spans="1:58" s="327" customFormat="1" ht="18" customHeight="1" x14ac:dyDescent="0.35">
      <c r="A142" s="660">
        <v>242</v>
      </c>
      <c r="B142" s="660" t="str">
        <f>VLOOKUP($A142,'Measure Level Adjustments Tab'!$A$5:$CL$272,6,FALSE)</f>
        <v>Standard</v>
      </c>
      <c r="C142" s="659" t="s">
        <v>81</v>
      </c>
      <c r="D142" s="659" t="s">
        <v>176</v>
      </c>
      <c r="E142" s="411">
        <f>VLOOKUP($A142,'Measure Level Adjustments Tab'!$A$5:$CL$272,13,FALSE)</f>
        <v>1</v>
      </c>
      <c r="F142" s="411" t="str">
        <f>VLOOKUP($A142,'Measure Level Adjustments Tab'!$A$5:$CL$272,11,FALSE)</f>
        <v>4.4.14</v>
      </c>
      <c r="G142" s="411">
        <f>VLOOKUP($A142,'Measure Level Adjustments Tab'!$A$5:$CL$272,14,FALSE)</f>
        <v>0</v>
      </c>
      <c r="H142" s="663">
        <f>VLOOKUP($A142,'Measure Level Adjustments Tab'!$A$5:$CL$272,54,FALSE)</f>
        <v>6000</v>
      </c>
      <c r="I142" s="663">
        <f>VLOOKUP($A142,'Measure Level Adjustments Tab'!$A$5:$CL$272,55,FALSE)</f>
        <v>5000</v>
      </c>
      <c r="J142" s="663">
        <f>VLOOKUP($A142,'Measure Level Adjustments Tab'!$A$5:$CL$272,56,FALSE)</f>
        <v>9000</v>
      </c>
      <c r="K142" s="663">
        <f>VLOOKUP($A142,'Measure Level Adjustments Tab'!$A$5:$CL$272,57,FALSE)</f>
        <v>9000</v>
      </c>
      <c r="L142" s="411" t="str">
        <f>VLOOKUP($A142,'Measure Level Adjustments Tab'!$A$5:$CL$272,12,FALSE)</f>
        <v>CI-HVC-PINS-V04-160601</v>
      </c>
      <c r="M142" s="422"/>
      <c r="N142" s="662">
        <v>1.6</v>
      </c>
      <c r="O142" s="662">
        <v>1.6</v>
      </c>
      <c r="P142" s="662">
        <v>1.6</v>
      </c>
      <c r="Q142" s="662">
        <v>1.6</v>
      </c>
      <c r="R142" s="661">
        <f>VLOOKUP($A142,'Measure Level Adjustments Tab'!$A$5:$CL$272,46,FALSE)</f>
        <v>0.60399999999999998</v>
      </c>
      <c r="S142" s="661">
        <f>VLOOKUP($A142,'Measure Level Adjustments Tab'!$A$5:$CL$272,47,FALSE)</f>
        <v>0.60399999999999998</v>
      </c>
      <c r="T142" s="661">
        <f>VLOOKUP($A142,'Measure Level Adjustments Tab'!$A$5:$CL$272,48,FALSE)</f>
        <v>0.60399999999999998</v>
      </c>
      <c r="U142" s="661">
        <f>VLOOKUP($A142,'Measure Level Adjustments Tab'!$A$5:$CL$272,49,FALSE)</f>
        <v>0.60399999999999998</v>
      </c>
      <c r="V142" s="418">
        <f t="shared" si="36"/>
        <v>5798.4</v>
      </c>
      <c r="W142" s="418">
        <f t="shared" si="36"/>
        <v>4832</v>
      </c>
      <c r="X142" s="418">
        <f t="shared" si="36"/>
        <v>8697.6</v>
      </c>
      <c r="Y142" s="418">
        <f t="shared" si="36"/>
        <v>8697.6</v>
      </c>
      <c r="Z142" s="418">
        <f t="shared" si="37"/>
        <v>28025.599999999999</v>
      </c>
      <c r="AA142" s="410"/>
      <c r="AB142" s="422"/>
      <c r="AC142" s="415">
        <v>1.6</v>
      </c>
      <c r="AD142" s="416"/>
      <c r="AE142" s="414">
        <f t="shared" si="38"/>
        <v>5798.4</v>
      </c>
      <c r="AF142" s="412">
        <f t="shared" si="39"/>
        <v>0</v>
      </c>
      <c r="AG142" s="410"/>
      <c r="AH142" s="422"/>
      <c r="AI142" s="413">
        <v>1.6</v>
      </c>
      <c r="AJ142" s="2669" t="s">
        <v>820</v>
      </c>
      <c r="AK142" s="414">
        <f t="shared" si="40"/>
        <v>4832</v>
      </c>
      <c r="AL142" s="412">
        <f t="shared" si="41"/>
        <v>0</v>
      </c>
      <c r="AM142" s="410"/>
      <c r="AN142" s="422"/>
      <c r="AO142" s="413">
        <v>1.6</v>
      </c>
      <c r="AP142" s="2669" t="s">
        <v>304</v>
      </c>
      <c r="AQ142" s="414">
        <f t="shared" si="42"/>
        <v>8697.6</v>
      </c>
      <c r="AR142" s="412">
        <f t="shared" si="43"/>
        <v>0</v>
      </c>
      <c r="AS142" s="410"/>
      <c r="AT142" s="422"/>
      <c r="AU142" s="413">
        <f>VLOOKUP($A142,'Measure Level Adjustments Tab'!$A$5:$CL$272,53,FALSE)/U142</f>
        <v>1.6</v>
      </c>
      <c r="AV142" s="2669" t="s">
        <v>304</v>
      </c>
      <c r="AW142" s="414">
        <f t="shared" si="44"/>
        <v>8697.6</v>
      </c>
      <c r="AX142" s="412">
        <f t="shared" si="45"/>
        <v>0</v>
      </c>
      <c r="AY142" s="418">
        <f t="shared" si="46"/>
        <v>5798.4</v>
      </c>
      <c r="AZ142" s="418">
        <f t="shared" si="47"/>
        <v>4832</v>
      </c>
      <c r="BA142" s="418">
        <f t="shared" si="48"/>
        <v>8697.6</v>
      </c>
      <c r="BB142" s="418">
        <f t="shared" si="49"/>
        <v>8697.6</v>
      </c>
      <c r="BC142" s="419">
        <f t="shared" si="50"/>
        <v>28025.599999999999</v>
      </c>
      <c r="BD142" s="410" t="s">
        <v>1271</v>
      </c>
      <c r="BE142" s="423" t="s">
        <v>1272</v>
      </c>
      <c r="BF142" s="421"/>
    </row>
    <row r="143" spans="1:58" s="327" customFormat="1" ht="18" customHeight="1" x14ac:dyDescent="0.35">
      <c r="A143" s="660">
        <v>223</v>
      </c>
      <c r="B143" s="660" t="str">
        <f>VLOOKUP($A143,'Measure Level Adjustments Tab'!$A$5:$CL$272,6,FALSE)</f>
        <v>Standard</v>
      </c>
      <c r="C143" s="659" t="s">
        <v>81</v>
      </c>
      <c r="D143" s="659" t="s">
        <v>180</v>
      </c>
      <c r="E143" s="411">
        <f>VLOOKUP($A143,'Measure Level Adjustments Tab'!$A$5:$CL$272,13,FALSE)</f>
        <v>1</v>
      </c>
      <c r="F143" s="411" t="str">
        <f>VLOOKUP($A143,'Measure Level Adjustments Tab'!$A$5:$CL$272,11,FALSE)</f>
        <v>4.4.33</v>
      </c>
      <c r="G143" s="411">
        <f>VLOOKUP($A143,'Measure Level Adjustments Tab'!$A$5:$CL$272,14,FALSE)</f>
        <v>0</v>
      </c>
      <c r="H143" s="663">
        <f>VLOOKUP($A143,'Measure Level Adjustments Tab'!$A$5:$CL$272,54,FALSE)</f>
        <v>1</v>
      </c>
      <c r="I143" s="663">
        <f>VLOOKUP($A143,'Measure Level Adjustments Tab'!$A$5:$CL$272,55,FALSE)</f>
        <v>2</v>
      </c>
      <c r="J143" s="663">
        <f>VLOOKUP($A143,'Measure Level Adjustments Tab'!$A$5:$CL$272,56,FALSE)</f>
        <v>2</v>
      </c>
      <c r="K143" s="663">
        <f>VLOOKUP($A143,'Measure Level Adjustments Tab'!$A$5:$CL$272,57,FALSE)</f>
        <v>2</v>
      </c>
      <c r="L143" s="411" t="str">
        <f>VLOOKUP($A143,'Measure Level Adjustments Tab'!$A$5:$CL$272,12,FALSE)</f>
        <v>CI-MSC-AIRC-V01-160601</v>
      </c>
      <c r="M143" s="422"/>
      <c r="N143" s="662">
        <v>632.79999999999995</v>
      </c>
      <c r="O143" s="662">
        <v>632.79999999999995</v>
      </c>
      <c r="P143" s="662">
        <v>632.79999999999995</v>
      </c>
      <c r="Q143" s="662">
        <v>632.79999999999995</v>
      </c>
      <c r="R143" s="661">
        <f>VLOOKUP($A143,'Measure Level Adjustments Tab'!$A$5:$CL$272,46,FALSE)</f>
        <v>0.67500000000000004</v>
      </c>
      <c r="S143" s="661">
        <f>VLOOKUP($A143,'Measure Level Adjustments Tab'!$A$5:$CL$272,47,FALSE)</f>
        <v>0.67500000000000004</v>
      </c>
      <c r="T143" s="661">
        <f>VLOOKUP($A143,'Measure Level Adjustments Tab'!$A$5:$CL$272,48,FALSE)</f>
        <v>0.67500000000000004</v>
      </c>
      <c r="U143" s="661">
        <f>VLOOKUP($A143,'Measure Level Adjustments Tab'!$A$5:$CL$272,49,FALSE)</f>
        <v>0.67500000000000004</v>
      </c>
      <c r="V143" s="418">
        <f t="shared" si="36"/>
        <v>427.14</v>
      </c>
      <c r="W143" s="418">
        <f t="shared" si="36"/>
        <v>854.28</v>
      </c>
      <c r="X143" s="418">
        <f t="shared" si="36"/>
        <v>854.28</v>
      </c>
      <c r="Y143" s="418">
        <f t="shared" si="36"/>
        <v>854.28</v>
      </c>
      <c r="Z143" s="418">
        <f t="shared" si="37"/>
        <v>2989.9799999999996</v>
      </c>
      <c r="AA143" s="410"/>
      <c r="AB143" s="422"/>
      <c r="AC143" s="415">
        <v>632.79999999999995</v>
      </c>
      <c r="AD143" s="416"/>
      <c r="AE143" s="414">
        <f t="shared" si="38"/>
        <v>427.14</v>
      </c>
      <c r="AF143" s="412">
        <f t="shared" si="39"/>
        <v>0</v>
      </c>
      <c r="AG143" s="410"/>
      <c r="AH143" s="422"/>
      <c r="AI143" s="413">
        <v>632.79999999999995</v>
      </c>
      <c r="AJ143" s="2669" t="s">
        <v>820</v>
      </c>
      <c r="AK143" s="414">
        <f t="shared" si="40"/>
        <v>854.28</v>
      </c>
      <c r="AL143" s="412">
        <f t="shared" si="41"/>
        <v>0</v>
      </c>
      <c r="AM143" s="410"/>
      <c r="AN143" s="422"/>
      <c r="AO143" s="413">
        <v>632.79999999999995</v>
      </c>
      <c r="AP143" s="2669" t="s">
        <v>304</v>
      </c>
      <c r="AQ143" s="414">
        <f t="shared" si="42"/>
        <v>854.28</v>
      </c>
      <c r="AR143" s="412">
        <f t="shared" si="43"/>
        <v>0</v>
      </c>
      <c r="AS143" s="410"/>
      <c r="AT143" s="422"/>
      <c r="AU143" s="413">
        <f>VLOOKUP($A143,'Measure Level Adjustments Tab'!$A$5:$CL$272,53,FALSE)/U143</f>
        <v>632.79999999999995</v>
      </c>
      <c r="AV143" s="2669" t="s">
        <v>304</v>
      </c>
      <c r="AW143" s="414">
        <f t="shared" si="44"/>
        <v>854.28</v>
      </c>
      <c r="AX143" s="412">
        <f t="shared" si="45"/>
        <v>0</v>
      </c>
      <c r="AY143" s="418">
        <f t="shared" si="46"/>
        <v>427.14</v>
      </c>
      <c r="AZ143" s="418">
        <f t="shared" si="47"/>
        <v>854.28</v>
      </c>
      <c r="BA143" s="418">
        <f t="shared" si="48"/>
        <v>854.28</v>
      </c>
      <c r="BB143" s="418">
        <f t="shared" si="49"/>
        <v>854.28</v>
      </c>
      <c r="BC143" s="419">
        <f t="shared" si="50"/>
        <v>2989.9799999999996</v>
      </c>
      <c r="BD143" s="410" t="s">
        <v>1271</v>
      </c>
      <c r="BE143" s="423" t="s">
        <v>1272</v>
      </c>
      <c r="BF143" s="421"/>
    </row>
    <row r="144" spans="1:58" s="327" customFormat="1" ht="18" customHeight="1" x14ac:dyDescent="0.35">
      <c r="A144" s="660">
        <v>97</v>
      </c>
      <c r="B144" s="660" t="str">
        <f>VLOOKUP($A144,'Measure Level Adjustments Tab'!$A$5:$CL$272,6,FALSE)</f>
        <v>Standard</v>
      </c>
      <c r="C144" s="659" t="s">
        <v>81</v>
      </c>
      <c r="D144" s="659" t="s">
        <v>181</v>
      </c>
      <c r="E144" s="411">
        <f>VLOOKUP($A144,'Measure Level Adjustments Tab'!$A$5:$CL$272,13,FALSE)</f>
        <v>1</v>
      </c>
      <c r="F144" s="411" t="str">
        <f>VLOOKUP($A144,'Measure Level Adjustments Tab'!$A$5:$CL$272,11,FALSE)</f>
        <v>4.4.37</v>
      </c>
      <c r="G144" s="411">
        <f>VLOOKUP($A144,'Measure Level Adjustments Tab'!$A$5:$CL$272,14,FALSE)</f>
        <v>0</v>
      </c>
      <c r="H144" s="663">
        <f>VLOOKUP($A144,'Measure Level Adjustments Tab'!$A$5:$CL$272,54,FALSE)</f>
        <v>14</v>
      </c>
      <c r="I144" s="663">
        <f>VLOOKUP($A144,'Measure Level Adjustments Tab'!$A$5:$CL$272,55,FALSE)</f>
        <v>10</v>
      </c>
      <c r="J144" s="663">
        <f>VLOOKUP($A144,'Measure Level Adjustments Tab'!$A$5:$CL$272,56,FALSE)</f>
        <v>23</v>
      </c>
      <c r="K144" s="663">
        <f>VLOOKUP($A144,'Measure Level Adjustments Tab'!$A$5:$CL$272,57,FALSE)</f>
        <v>23</v>
      </c>
      <c r="L144" s="411" t="str">
        <f>VLOOKUP($A144,'Measure Level Adjustments Tab'!$A$5:$CL$272,12,FALSE)</f>
        <v>CI-HVC-DSFN-V02-180101</v>
      </c>
      <c r="M144" s="422"/>
      <c r="N144" s="662">
        <v>1410.9147306857637</v>
      </c>
      <c r="O144" s="662">
        <v>1410.9147306857637</v>
      </c>
      <c r="P144" s="662">
        <v>1410.9147306857637</v>
      </c>
      <c r="Q144" s="662">
        <v>1410.9147306857637</v>
      </c>
      <c r="R144" s="661">
        <f>VLOOKUP($A144,'Measure Level Adjustments Tab'!$A$5:$CL$272,46,FALSE)</f>
        <v>0.49399999999999999</v>
      </c>
      <c r="S144" s="661">
        <f>VLOOKUP($A144,'Measure Level Adjustments Tab'!$A$5:$CL$272,47,FALSE)</f>
        <v>0.49399999999999999</v>
      </c>
      <c r="T144" s="661">
        <f>VLOOKUP($A144,'Measure Level Adjustments Tab'!$A$5:$CL$272,48,FALSE)</f>
        <v>0.49399999999999999</v>
      </c>
      <c r="U144" s="661">
        <f>VLOOKUP($A144,'Measure Level Adjustments Tab'!$A$5:$CL$272,49,FALSE)</f>
        <v>0.49399999999999999</v>
      </c>
      <c r="V144" s="418">
        <f t="shared" si="36"/>
        <v>9757.8862774227418</v>
      </c>
      <c r="W144" s="418">
        <f t="shared" si="36"/>
        <v>6969.9187695876726</v>
      </c>
      <c r="X144" s="418">
        <f t="shared" si="36"/>
        <v>16030.813170051646</v>
      </c>
      <c r="Y144" s="418">
        <f t="shared" si="36"/>
        <v>16030.813170051646</v>
      </c>
      <c r="Z144" s="418">
        <f t="shared" si="37"/>
        <v>48789.431387113706</v>
      </c>
      <c r="AA144" s="410"/>
      <c r="AB144" s="422"/>
      <c r="AC144" s="415">
        <v>1410.9147306857637</v>
      </c>
      <c r="AD144" s="416"/>
      <c r="AE144" s="414">
        <f t="shared" si="38"/>
        <v>9757.8862774227418</v>
      </c>
      <c r="AF144" s="412">
        <f t="shared" si="39"/>
        <v>0</v>
      </c>
      <c r="AG144" s="410"/>
      <c r="AH144" s="422"/>
      <c r="AI144" s="413">
        <v>1410.9147306857637</v>
      </c>
      <c r="AJ144" s="2669" t="s">
        <v>820</v>
      </c>
      <c r="AK144" s="414">
        <f t="shared" si="40"/>
        <v>6969.9187695876726</v>
      </c>
      <c r="AL144" s="412">
        <f t="shared" si="41"/>
        <v>0</v>
      </c>
      <c r="AM144" s="410"/>
      <c r="AN144" s="422"/>
      <c r="AO144" s="413">
        <v>1410.9147306857637</v>
      </c>
      <c r="AP144" s="2669" t="s">
        <v>304</v>
      </c>
      <c r="AQ144" s="414">
        <f t="shared" si="42"/>
        <v>16030.813170051646</v>
      </c>
      <c r="AR144" s="412">
        <f t="shared" si="43"/>
        <v>0</v>
      </c>
      <c r="AS144" s="410"/>
      <c r="AT144" s="422"/>
      <c r="AU144" s="413">
        <f>VLOOKUP($A144,'Measure Level Adjustments Tab'!$A$5:$CL$272,53,FALSE)/U144</f>
        <v>1410.9147306857637</v>
      </c>
      <c r="AV144" s="2669" t="s">
        <v>304</v>
      </c>
      <c r="AW144" s="414">
        <f t="shared" si="44"/>
        <v>16030.813170051646</v>
      </c>
      <c r="AX144" s="412">
        <f t="shared" si="45"/>
        <v>0</v>
      </c>
      <c r="AY144" s="418">
        <f t="shared" si="46"/>
        <v>9757.8862774227418</v>
      </c>
      <c r="AZ144" s="418">
        <f t="shared" si="47"/>
        <v>6969.9187695876726</v>
      </c>
      <c r="BA144" s="418">
        <f t="shared" si="48"/>
        <v>16030.813170051646</v>
      </c>
      <c r="BB144" s="418">
        <f t="shared" si="49"/>
        <v>16030.813170051646</v>
      </c>
      <c r="BC144" s="419">
        <f t="shared" si="50"/>
        <v>48789.431387113706</v>
      </c>
      <c r="BD144" s="410" t="s">
        <v>1271</v>
      </c>
      <c r="BE144" s="423" t="s">
        <v>1272</v>
      </c>
      <c r="BF144" s="421"/>
    </row>
    <row r="145" spans="1:58" s="327" customFormat="1" ht="18" customHeight="1" x14ac:dyDescent="0.35">
      <c r="A145" s="660">
        <v>190</v>
      </c>
      <c r="B145" s="660" t="str">
        <f>VLOOKUP($A145,'Measure Level Adjustments Tab'!$A$5:$CL$272,6,FALSE)</f>
        <v>Standard</v>
      </c>
      <c r="C145" s="659" t="s">
        <v>81</v>
      </c>
      <c r="D145" s="659" t="s">
        <v>182</v>
      </c>
      <c r="E145" s="411">
        <f>VLOOKUP($A145,'Measure Level Adjustments Tab'!$A$5:$CL$272,13,FALSE)</f>
        <v>1</v>
      </c>
      <c r="F145" s="411" t="str">
        <f>VLOOKUP($A145,'Measure Level Adjustments Tab'!$A$5:$CL$272,11,FALSE)</f>
        <v>4.8.4</v>
      </c>
      <c r="G145" s="411">
        <f>VLOOKUP($A145,'Measure Level Adjustments Tab'!$A$5:$CL$272,14,FALSE)</f>
        <v>0</v>
      </c>
      <c r="H145" s="663">
        <f>VLOOKUP($A145,'Measure Level Adjustments Tab'!$A$5:$CL$272,54,FALSE)</f>
        <v>5</v>
      </c>
      <c r="I145" s="663">
        <f>VLOOKUP($A145,'Measure Level Adjustments Tab'!$A$5:$CL$272,55,FALSE)</f>
        <v>4</v>
      </c>
      <c r="J145" s="663">
        <f>VLOOKUP($A145,'Measure Level Adjustments Tab'!$A$5:$CL$272,56,FALSE)</f>
        <v>5</v>
      </c>
      <c r="K145" s="663">
        <f>VLOOKUP($A145,'Measure Level Adjustments Tab'!$A$5:$CL$272,57,FALSE)</f>
        <v>6</v>
      </c>
      <c r="L145" s="411" t="str">
        <f>VLOOKUP($A145,'Measure Level Adjustments Tab'!$A$5:$CL$272,12,FALSE)</f>
        <v>CI-MSC-MODD-V01-160601</v>
      </c>
      <c r="M145" s="422"/>
      <c r="N145" s="662">
        <v>405.14400000000006</v>
      </c>
      <c r="O145" s="662">
        <v>405.14400000000006</v>
      </c>
      <c r="P145" s="662">
        <v>405.14400000000006</v>
      </c>
      <c r="Q145" s="662">
        <v>405.14400000000006</v>
      </c>
      <c r="R145" s="661">
        <f>VLOOKUP($A145,'Measure Level Adjustments Tab'!$A$5:$CL$272,46,FALSE)</f>
        <v>0.67500000000000004</v>
      </c>
      <c r="S145" s="661">
        <f>VLOOKUP($A145,'Measure Level Adjustments Tab'!$A$5:$CL$272,47,FALSE)</f>
        <v>0.67500000000000004</v>
      </c>
      <c r="T145" s="661">
        <f>VLOOKUP($A145,'Measure Level Adjustments Tab'!$A$5:$CL$272,48,FALSE)</f>
        <v>0.67500000000000004</v>
      </c>
      <c r="U145" s="661">
        <f>VLOOKUP($A145,'Measure Level Adjustments Tab'!$A$5:$CL$272,49,FALSE)</f>
        <v>0.67500000000000004</v>
      </c>
      <c r="V145" s="418">
        <f t="shared" si="36"/>
        <v>1367.3610000000003</v>
      </c>
      <c r="W145" s="418">
        <f t="shared" si="36"/>
        <v>1093.8888000000002</v>
      </c>
      <c r="X145" s="418">
        <f t="shared" si="36"/>
        <v>1367.3610000000003</v>
      </c>
      <c r="Y145" s="418">
        <f t="shared" si="36"/>
        <v>1640.8332000000005</v>
      </c>
      <c r="Z145" s="418">
        <f t="shared" si="37"/>
        <v>5469.4440000000013</v>
      </c>
      <c r="AA145" s="410"/>
      <c r="AB145" s="422"/>
      <c r="AC145" s="415">
        <v>405.14400000000006</v>
      </c>
      <c r="AD145" s="416"/>
      <c r="AE145" s="414">
        <f t="shared" si="38"/>
        <v>1367.3610000000003</v>
      </c>
      <c r="AF145" s="412">
        <f t="shared" si="39"/>
        <v>0</v>
      </c>
      <c r="AG145" s="410"/>
      <c r="AH145" s="422"/>
      <c r="AI145" s="413">
        <v>405.14400000000006</v>
      </c>
      <c r="AJ145" s="2669" t="s">
        <v>820</v>
      </c>
      <c r="AK145" s="414">
        <f t="shared" si="40"/>
        <v>1093.8888000000002</v>
      </c>
      <c r="AL145" s="412">
        <f t="shared" si="41"/>
        <v>0</v>
      </c>
      <c r="AM145" s="410"/>
      <c r="AN145" s="422"/>
      <c r="AO145" s="413">
        <v>405.14400000000006</v>
      </c>
      <c r="AP145" s="2669" t="s">
        <v>304</v>
      </c>
      <c r="AQ145" s="414">
        <f t="shared" si="42"/>
        <v>1367.3610000000003</v>
      </c>
      <c r="AR145" s="412">
        <f t="shared" si="43"/>
        <v>0</v>
      </c>
      <c r="AS145" s="410"/>
      <c r="AT145" s="422"/>
      <c r="AU145" s="413">
        <f>VLOOKUP($A145,'Measure Level Adjustments Tab'!$A$5:$CL$272,53,FALSE)/U145</f>
        <v>405.14400000000006</v>
      </c>
      <c r="AV145" s="2669" t="s">
        <v>304</v>
      </c>
      <c r="AW145" s="414">
        <f t="shared" si="44"/>
        <v>1640.8332000000005</v>
      </c>
      <c r="AX145" s="412">
        <f t="shared" si="45"/>
        <v>0</v>
      </c>
      <c r="AY145" s="418">
        <f t="shared" si="46"/>
        <v>1367.3610000000003</v>
      </c>
      <c r="AZ145" s="418">
        <f t="shared" si="47"/>
        <v>1093.8888000000002</v>
      </c>
      <c r="BA145" s="418">
        <f t="shared" si="48"/>
        <v>1367.3610000000003</v>
      </c>
      <c r="BB145" s="418">
        <f t="shared" si="49"/>
        <v>1640.8332000000005</v>
      </c>
      <c r="BC145" s="419">
        <f t="shared" si="50"/>
        <v>5469.4440000000013</v>
      </c>
      <c r="BD145" s="410" t="s">
        <v>1271</v>
      </c>
      <c r="BE145" s="423" t="s">
        <v>1272</v>
      </c>
      <c r="BF145" s="421"/>
    </row>
    <row r="146" spans="1:58" s="327" customFormat="1" ht="18" customHeight="1" x14ac:dyDescent="0.35">
      <c r="A146" s="660">
        <v>66</v>
      </c>
      <c r="B146" s="660" t="str">
        <f>VLOOKUP($A146,'Measure Level Adjustments Tab'!$A$5:$CL$272,6,FALSE)</f>
        <v>Standard</v>
      </c>
      <c r="C146" s="659" t="s">
        <v>81</v>
      </c>
      <c r="D146" s="659" t="s">
        <v>193</v>
      </c>
      <c r="E146" s="411">
        <f>VLOOKUP($A146,'Measure Level Adjustments Tab'!$A$5:$CL$272,13,FALSE)</f>
        <v>1</v>
      </c>
      <c r="F146" s="411" t="str">
        <f>VLOOKUP($A146,'Measure Level Adjustments Tab'!$A$5:$CL$272,11,FALSE)</f>
        <v>4.4.3</v>
      </c>
      <c r="G146" s="411">
        <f>VLOOKUP($A146,'Measure Level Adjustments Tab'!$A$5:$CL$272,14,FALSE)</f>
        <v>0</v>
      </c>
      <c r="H146" s="663">
        <f>VLOOKUP($A146,'Measure Level Adjustments Tab'!$A$5:$CL$272,54,FALSE)</f>
        <v>26</v>
      </c>
      <c r="I146" s="663">
        <f>VLOOKUP($A146,'Measure Level Adjustments Tab'!$A$5:$CL$272,55,FALSE)</f>
        <v>20</v>
      </c>
      <c r="J146" s="663">
        <f>VLOOKUP($A146,'Measure Level Adjustments Tab'!$A$5:$CL$272,56,FALSE)</f>
        <v>28</v>
      </c>
      <c r="K146" s="663">
        <f>VLOOKUP($A146,'Measure Level Adjustments Tab'!$A$5:$CL$272,57,FALSE)</f>
        <v>35</v>
      </c>
      <c r="L146" s="411" t="str">
        <f>VLOOKUP($A146,'Measure Level Adjustments Tab'!$A$5:$CL$272,12,FALSE)</f>
        <v>CI-HVC-PBTU-V05-160601</v>
      </c>
      <c r="M146" s="422"/>
      <c r="N146" s="662">
        <v>1596.992328311999</v>
      </c>
      <c r="O146" s="662">
        <v>1596.992328311999</v>
      </c>
      <c r="P146" s="662">
        <v>1596.992328311999</v>
      </c>
      <c r="Q146" s="662">
        <v>1596.992328311999</v>
      </c>
      <c r="R146" s="661">
        <f>VLOOKUP($A146,'Measure Level Adjustments Tab'!$A$5:$CL$272,46,FALSE)</f>
        <v>0.49399999999999999</v>
      </c>
      <c r="S146" s="661">
        <f>VLOOKUP($A146,'Measure Level Adjustments Tab'!$A$5:$CL$272,47,FALSE)</f>
        <v>0.49399999999999999</v>
      </c>
      <c r="T146" s="661">
        <f>VLOOKUP($A146,'Measure Level Adjustments Tab'!$A$5:$CL$272,48,FALSE)</f>
        <v>0.49399999999999999</v>
      </c>
      <c r="U146" s="661">
        <f>VLOOKUP($A146,'Measure Level Adjustments Tab'!$A$5:$CL$272,49,FALSE)</f>
        <v>0.49399999999999999</v>
      </c>
      <c r="V146" s="418">
        <f t="shared" si="36"/>
        <v>20511.769464839315</v>
      </c>
      <c r="W146" s="418">
        <f t="shared" si="36"/>
        <v>15778.284203722549</v>
      </c>
      <c r="X146" s="418">
        <f t="shared" si="36"/>
        <v>22089.59788521157</v>
      </c>
      <c r="Y146" s="418">
        <f t="shared" si="36"/>
        <v>27611.997356514461</v>
      </c>
      <c r="Z146" s="418">
        <f t="shared" si="37"/>
        <v>85991.648910287899</v>
      </c>
      <c r="AA146" s="410"/>
      <c r="AB146" s="422"/>
      <c r="AC146" s="415">
        <v>1596.992328311999</v>
      </c>
      <c r="AD146" s="416"/>
      <c r="AE146" s="414">
        <f t="shared" si="38"/>
        <v>20511.769464839315</v>
      </c>
      <c r="AF146" s="412">
        <f t="shared" si="39"/>
        <v>0</v>
      </c>
      <c r="AG146" s="410"/>
      <c r="AH146" s="422"/>
      <c r="AI146" s="413">
        <v>1596.6213615870042</v>
      </c>
      <c r="AJ146" s="2669" t="s">
        <v>820</v>
      </c>
      <c r="AK146" s="414">
        <f t="shared" si="40"/>
        <v>15774.6190524796</v>
      </c>
      <c r="AL146" s="412">
        <f t="shared" si="41"/>
        <v>-3.665151242948923</v>
      </c>
      <c r="AM146" s="410"/>
      <c r="AN146" s="422"/>
      <c r="AO146" s="413">
        <v>1602.0730065793971</v>
      </c>
      <c r="AP146" s="2669" t="s">
        <v>4325</v>
      </c>
      <c r="AQ146" s="414">
        <f t="shared" si="42"/>
        <v>22159.87382700622</v>
      </c>
      <c r="AR146" s="412">
        <f t="shared" si="43"/>
        <v>70.275941794650862</v>
      </c>
      <c r="AS146" s="410"/>
      <c r="AT146" s="422"/>
      <c r="AU146" s="413">
        <f>VLOOKUP($A146,'Measure Level Adjustments Tab'!$A$5:$CL$272,53,FALSE)/U146</f>
        <v>1507.9529934371551</v>
      </c>
      <c r="AV146" s="2669" t="s">
        <v>4386</v>
      </c>
      <c r="AW146" s="414">
        <f t="shared" si="44"/>
        <v>26072.507256528414</v>
      </c>
      <c r="AX146" s="412">
        <f t="shared" si="45"/>
        <v>-1539.4900999860474</v>
      </c>
      <c r="AY146" s="418">
        <f t="shared" si="46"/>
        <v>20511.769464839315</v>
      </c>
      <c r="AZ146" s="418">
        <f t="shared" si="47"/>
        <v>15774.6190524796</v>
      </c>
      <c r="BA146" s="418">
        <f t="shared" si="48"/>
        <v>22159.87382700622</v>
      </c>
      <c r="BB146" s="418">
        <f t="shared" si="49"/>
        <v>26072.507256528414</v>
      </c>
      <c r="BC146" s="419">
        <f t="shared" si="50"/>
        <v>84518.769600853557</v>
      </c>
      <c r="BD146" s="410" t="s">
        <v>1271</v>
      </c>
      <c r="BE146" s="423" t="s">
        <v>1272</v>
      </c>
      <c r="BF146" s="421"/>
    </row>
    <row r="147" spans="1:58" s="327" customFormat="1" ht="18" customHeight="1" x14ac:dyDescent="0.35">
      <c r="A147" s="660">
        <v>65</v>
      </c>
      <c r="B147" s="660" t="str">
        <f>VLOOKUP($A147,'Measure Level Adjustments Tab'!$A$5:$CL$272,6,FALSE)</f>
        <v>Standard</v>
      </c>
      <c r="C147" s="659" t="s">
        <v>81</v>
      </c>
      <c r="D147" s="659" t="s">
        <v>194</v>
      </c>
      <c r="E147" s="411">
        <f>VLOOKUP($A147,'Measure Level Adjustments Tab'!$A$5:$CL$272,13,FALSE)</f>
        <v>1</v>
      </c>
      <c r="F147" s="411" t="str">
        <f>VLOOKUP($A147,'Measure Level Adjustments Tab'!$A$5:$CL$272,11,FALSE)</f>
        <v>4.4.10</v>
      </c>
      <c r="G147" s="411">
        <f>VLOOKUP($A147,'Measure Level Adjustments Tab'!$A$5:$CL$272,14,FALSE)</f>
        <v>0</v>
      </c>
      <c r="H147" s="663">
        <f>VLOOKUP($A147,'Measure Level Adjustments Tab'!$A$5:$CL$272,54,FALSE)</f>
        <v>30</v>
      </c>
      <c r="I147" s="663">
        <f>VLOOKUP($A147,'Measure Level Adjustments Tab'!$A$5:$CL$272,55,FALSE)</f>
        <v>24</v>
      </c>
      <c r="J147" s="663">
        <f>VLOOKUP($A147,'Measure Level Adjustments Tab'!$A$5:$CL$272,56,FALSE)</f>
        <v>29</v>
      </c>
      <c r="K147" s="663">
        <f>VLOOKUP($A147,'Measure Level Adjustments Tab'!$A$5:$CL$272,57,FALSE)</f>
        <v>33</v>
      </c>
      <c r="L147" s="411" t="str">
        <f>VLOOKUP($A147,'Measure Level Adjustments Tab'!$A$5:$CL$272,12,FALSE)</f>
        <v>CI-HVC-BOIL-V05-150601</v>
      </c>
      <c r="M147" s="422"/>
      <c r="N147" s="662">
        <v>1071.5740261700303</v>
      </c>
      <c r="O147" s="662">
        <v>1071.5740261700303</v>
      </c>
      <c r="P147" s="662">
        <v>1071.5740261700303</v>
      </c>
      <c r="Q147" s="662">
        <v>1071.5740261700303</v>
      </c>
      <c r="R147" s="661">
        <f>VLOOKUP($A147,'Measure Level Adjustments Tab'!$A$5:$CL$272,46,FALSE)</f>
        <v>0.49399999999999999</v>
      </c>
      <c r="S147" s="661">
        <f>VLOOKUP($A147,'Measure Level Adjustments Tab'!$A$5:$CL$272,47,FALSE)</f>
        <v>0.49399999999999999</v>
      </c>
      <c r="T147" s="661">
        <f>VLOOKUP($A147,'Measure Level Adjustments Tab'!$A$5:$CL$272,48,FALSE)</f>
        <v>0.49399999999999999</v>
      </c>
      <c r="U147" s="661">
        <f>VLOOKUP($A147,'Measure Level Adjustments Tab'!$A$5:$CL$272,49,FALSE)</f>
        <v>0.49399999999999999</v>
      </c>
      <c r="V147" s="418">
        <f t="shared" si="36"/>
        <v>15880.727067839849</v>
      </c>
      <c r="W147" s="418">
        <f t="shared" si="36"/>
        <v>12704.581654271879</v>
      </c>
      <c r="X147" s="418">
        <f t="shared" si="36"/>
        <v>15351.369498911854</v>
      </c>
      <c r="Y147" s="418">
        <f t="shared" si="36"/>
        <v>17468.799774623832</v>
      </c>
      <c r="Z147" s="418">
        <f t="shared" si="37"/>
        <v>61405.477995647416</v>
      </c>
      <c r="AA147" s="410"/>
      <c r="AB147" s="422"/>
      <c r="AC147" s="415">
        <v>1071.5740261700303</v>
      </c>
      <c r="AD147" s="416"/>
      <c r="AE147" s="414">
        <f t="shared" si="38"/>
        <v>15880.727067839849</v>
      </c>
      <c r="AF147" s="412">
        <f t="shared" si="39"/>
        <v>0</v>
      </c>
      <c r="AG147" s="410"/>
      <c r="AH147" s="422"/>
      <c r="AI147" s="413">
        <v>1071.7733394985812</v>
      </c>
      <c r="AJ147" s="2669" t="s">
        <v>820</v>
      </c>
      <c r="AK147" s="414">
        <f t="shared" si="40"/>
        <v>12706.944713095179</v>
      </c>
      <c r="AL147" s="412">
        <f t="shared" si="41"/>
        <v>2.3630588233008893</v>
      </c>
      <c r="AM147" s="410"/>
      <c r="AN147" s="422"/>
      <c r="AO147" s="413">
        <v>1181.3609695386217</v>
      </c>
      <c r="AP147" s="2669" t="s">
        <v>4325</v>
      </c>
      <c r="AQ147" s="414">
        <f t="shared" si="42"/>
        <v>16924.177249610297</v>
      </c>
      <c r="AR147" s="412">
        <f t="shared" si="43"/>
        <v>1572.8077506984428</v>
      </c>
      <c r="AS147" s="410"/>
      <c r="AT147" s="422"/>
      <c r="AU147" s="413">
        <f>VLOOKUP($A147,'Measure Level Adjustments Tab'!$A$5:$CL$272,53,FALSE)/U147</f>
        <v>1181.3609695386217</v>
      </c>
      <c r="AV147" s="2669" t="s">
        <v>304</v>
      </c>
      <c r="AW147" s="414">
        <f t="shared" si="44"/>
        <v>19258.546525418609</v>
      </c>
      <c r="AX147" s="412">
        <f t="shared" si="45"/>
        <v>1789.7467507947767</v>
      </c>
      <c r="AY147" s="418">
        <f t="shared" si="46"/>
        <v>15880.727067839849</v>
      </c>
      <c r="AZ147" s="418">
        <f t="shared" si="47"/>
        <v>12706.944713095179</v>
      </c>
      <c r="BA147" s="418">
        <f t="shared" si="48"/>
        <v>16924.177249610297</v>
      </c>
      <c r="BB147" s="418">
        <f t="shared" si="49"/>
        <v>19258.546525418609</v>
      </c>
      <c r="BC147" s="419">
        <f t="shared" si="50"/>
        <v>64770.395555963943</v>
      </c>
      <c r="BD147" s="410" t="s">
        <v>1271</v>
      </c>
      <c r="BE147" s="423" t="s">
        <v>1272</v>
      </c>
      <c r="BF147" s="421"/>
    </row>
    <row r="148" spans="1:58" s="327" customFormat="1" ht="18" customHeight="1" x14ac:dyDescent="0.35">
      <c r="A148" s="660">
        <v>68</v>
      </c>
      <c r="B148" s="660" t="str">
        <f>VLOOKUP($A148,'Measure Level Adjustments Tab'!$A$5:$CL$272,6,FALSE)</f>
        <v>Standard</v>
      </c>
      <c r="C148" s="659" t="s">
        <v>81</v>
      </c>
      <c r="D148" s="659" t="s">
        <v>195</v>
      </c>
      <c r="E148" s="411">
        <f>VLOOKUP($A148,'Measure Level Adjustments Tab'!$A$5:$CL$272,13,FALSE)</f>
        <v>1</v>
      </c>
      <c r="F148" s="411" t="str">
        <f>VLOOKUP($A148,'Measure Level Adjustments Tab'!$A$5:$CL$272,11,FALSE)</f>
        <v>4.4.11</v>
      </c>
      <c r="G148" s="411">
        <f>VLOOKUP($A148,'Measure Level Adjustments Tab'!$A$5:$CL$272,14,FALSE)</f>
        <v>0</v>
      </c>
      <c r="H148" s="663">
        <f>VLOOKUP($A148,'Measure Level Adjustments Tab'!$A$5:$CL$272,54,FALSE)</f>
        <v>60</v>
      </c>
      <c r="I148" s="663">
        <f>VLOOKUP($A148,'Measure Level Adjustments Tab'!$A$5:$CL$272,55,FALSE)</f>
        <v>55</v>
      </c>
      <c r="J148" s="663">
        <f>VLOOKUP($A148,'Measure Level Adjustments Tab'!$A$5:$CL$272,56,FALSE)</f>
        <v>60</v>
      </c>
      <c r="K148" s="663">
        <f>VLOOKUP($A148,'Measure Level Adjustments Tab'!$A$5:$CL$272,57,FALSE)</f>
        <v>60</v>
      </c>
      <c r="L148" s="411" t="str">
        <f>VLOOKUP($A148,'Measure Level Adjustments Tab'!$A$5:$CL$272,12,FALSE)</f>
        <v>CI-HVC-FRNC-V07-180101</v>
      </c>
      <c r="M148" s="422"/>
      <c r="N148" s="662">
        <v>228.88895164555328</v>
      </c>
      <c r="O148" s="662">
        <v>228.88895164555328</v>
      </c>
      <c r="P148" s="662">
        <v>228.88895164555328</v>
      </c>
      <c r="Q148" s="662">
        <v>228.88895164555328</v>
      </c>
      <c r="R148" s="661">
        <f>VLOOKUP($A148,'Measure Level Adjustments Tab'!$A$5:$CL$272,46,FALSE)</f>
        <v>0.49399999999999999</v>
      </c>
      <c r="S148" s="661">
        <f>VLOOKUP($A148,'Measure Level Adjustments Tab'!$A$5:$CL$272,47,FALSE)</f>
        <v>0.49399999999999999</v>
      </c>
      <c r="T148" s="661">
        <f>VLOOKUP($A148,'Measure Level Adjustments Tab'!$A$5:$CL$272,48,FALSE)</f>
        <v>0.49399999999999999</v>
      </c>
      <c r="U148" s="661">
        <f>VLOOKUP($A148,'Measure Level Adjustments Tab'!$A$5:$CL$272,49,FALSE)</f>
        <v>0.49399999999999999</v>
      </c>
      <c r="V148" s="418">
        <f t="shared" si="36"/>
        <v>6784.268526774199</v>
      </c>
      <c r="W148" s="418">
        <f t="shared" si="36"/>
        <v>6218.9128162096822</v>
      </c>
      <c r="X148" s="418">
        <f t="shared" si="36"/>
        <v>6784.268526774199</v>
      </c>
      <c r="Y148" s="418">
        <f t="shared" si="36"/>
        <v>6784.268526774199</v>
      </c>
      <c r="Z148" s="418">
        <f t="shared" si="37"/>
        <v>26571.718396532277</v>
      </c>
      <c r="AA148" s="410"/>
      <c r="AB148" s="422"/>
      <c r="AC148" s="415">
        <v>228.88895164555328</v>
      </c>
      <c r="AD148" s="416"/>
      <c r="AE148" s="414">
        <f t="shared" si="38"/>
        <v>6784.268526774199</v>
      </c>
      <c r="AF148" s="412">
        <f t="shared" si="39"/>
        <v>0</v>
      </c>
      <c r="AG148" s="410"/>
      <c r="AH148" s="422"/>
      <c r="AI148" s="413">
        <v>225.2670649759601</v>
      </c>
      <c r="AJ148" s="2669" t="s">
        <v>3432</v>
      </c>
      <c r="AK148" s="414">
        <f t="shared" si="40"/>
        <v>6120.5061553968362</v>
      </c>
      <c r="AL148" s="412">
        <f t="shared" si="41"/>
        <v>-98.406660812845985</v>
      </c>
      <c r="AM148" s="410"/>
      <c r="AN148" s="422"/>
      <c r="AO148" s="413">
        <v>301.15827607647219</v>
      </c>
      <c r="AP148" s="2669" t="s">
        <v>4325</v>
      </c>
      <c r="AQ148" s="414">
        <f t="shared" si="42"/>
        <v>8926.3313029066358</v>
      </c>
      <c r="AR148" s="412">
        <f t="shared" si="43"/>
        <v>2142.0627761324367</v>
      </c>
      <c r="AS148" s="410"/>
      <c r="AT148" s="422"/>
      <c r="AU148" s="413">
        <f>VLOOKUP($A148,'Measure Level Adjustments Tab'!$A$5:$CL$272,53,FALSE)/U148</f>
        <v>301.15827607647219</v>
      </c>
      <c r="AV148" s="2669" t="s">
        <v>304</v>
      </c>
      <c r="AW148" s="414">
        <f t="shared" si="44"/>
        <v>8926.3313029066358</v>
      </c>
      <c r="AX148" s="412">
        <f t="shared" si="45"/>
        <v>2142.0627761324367</v>
      </c>
      <c r="AY148" s="418">
        <f t="shared" si="46"/>
        <v>6784.268526774199</v>
      </c>
      <c r="AZ148" s="418">
        <f t="shared" si="47"/>
        <v>6120.5061553968362</v>
      </c>
      <c r="BA148" s="418">
        <f t="shared" si="48"/>
        <v>8926.3313029066358</v>
      </c>
      <c r="BB148" s="418">
        <f t="shared" si="49"/>
        <v>8926.3313029066358</v>
      </c>
      <c r="BC148" s="419">
        <f t="shared" si="50"/>
        <v>30757.437287984307</v>
      </c>
      <c r="BD148" s="410" t="s">
        <v>1271</v>
      </c>
      <c r="BE148" s="423" t="s">
        <v>1272</v>
      </c>
      <c r="BF148" s="421"/>
    </row>
    <row r="149" spans="1:58" s="327" customFormat="1" ht="18" customHeight="1" x14ac:dyDescent="0.35">
      <c r="A149" s="660">
        <v>236</v>
      </c>
      <c r="B149" s="660" t="str">
        <f>VLOOKUP($A149,'Measure Level Adjustments Tab'!$A$5:$CL$272,6,FALSE)</f>
        <v>Standard</v>
      </c>
      <c r="C149" s="659" t="s">
        <v>81</v>
      </c>
      <c r="D149" s="659" t="s">
        <v>196</v>
      </c>
      <c r="E149" s="411">
        <f>VLOOKUP($A149,'Measure Level Adjustments Tab'!$A$5:$CL$272,13,FALSE)</f>
        <v>1</v>
      </c>
      <c r="F149" s="411" t="str">
        <f>VLOOKUP($A149,'Measure Level Adjustments Tab'!$A$5:$CL$272,11,FALSE)</f>
        <v>4.3.5</v>
      </c>
      <c r="G149" s="411">
        <f>VLOOKUP($A149,'Measure Level Adjustments Tab'!$A$5:$CL$272,14,FALSE)</f>
        <v>0</v>
      </c>
      <c r="H149" s="663">
        <f>VLOOKUP($A149,'Measure Level Adjustments Tab'!$A$5:$CL$272,54,FALSE)</f>
        <v>15</v>
      </c>
      <c r="I149" s="663">
        <f>VLOOKUP($A149,'Measure Level Adjustments Tab'!$A$5:$CL$272,55,FALSE)</f>
        <v>12</v>
      </c>
      <c r="J149" s="663">
        <f>VLOOKUP($A149,'Measure Level Adjustments Tab'!$A$5:$CL$272,56,FALSE)</f>
        <v>15</v>
      </c>
      <c r="K149" s="663">
        <f>VLOOKUP($A149,'Measure Level Adjustments Tab'!$A$5:$CL$272,57,FALSE)</f>
        <v>15</v>
      </c>
      <c r="L149" s="411" t="str">
        <f>VLOOKUP($A149,'Measure Level Adjustments Tab'!$A$5:$CL$272,12,FALSE)</f>
        <v>CI-HWE-TKWH-V03-160601</v>
      </c>
      <c r="M149" s="422"/>
      <c r="N149" s="662">
        <v>172.09</v>
      </c>
      <c r="O149" s="662">
        <v>172.09</v>
      </c>
      <c r="P149" s="662">
        <v>172.09</v>
      </c>
      <c r="Q149" s="662">
        <v>172.09</v>
      </c>
      <c r="R149" s="661">
        <f>VLOOKUP($A149,'Measure Level Adjustments Tab'!$A$5:$CL$272,46,FALSE)</f>
        <v>0.49399999999999999</v>
      </c>
      <c r="S149" s="661">
        <f>VLOOKUP($A149,'Measure Level Adjustments Tab'!$A$5:$CL$272,47,FALSE)</f>
        <v>0.49399999999999999</v>
      </c>
      <c r="T149" s="661">
        <f>VLOOKUP($A149,'Measure Level Adjustments Tab'!$A$5:$CL$272,48,FALSE)</f>
        <v>0.49399999999999999</v>
      </c>
      <c r="U149" s="661">
        <f>VLOOKUP($A149,'Measure Level Adjustments Tab'!$A$5:$CL$272,49,FALSE)</f>
        <v>0.49399999999999999</v>
      </c>
      <c r="V149" s="418">
        <f t="shared" si="36"/>
        <v>1275.1868999999999</v>
      </c>
      <c r="W149" s="418">
        <f t="shared" si="36"/>
        <v>1020.1495199999999</v>
      </c>
      <c r="X149" s="418">
        <f t="shared" si="36"/>
        <v>1275.1868999999999</v>
      </c>
      <c r="Y149" s="418">
        <f t="shared" si="36"/>
        <v>1275.1868999999999</v>
      </c>
      <c r="Z149" s="418">
        <f t="shared" si="37"/>
        <v>4845.710219999999</v>
      </c>
      <c r="AA149" s="410"/>
      <c r="AB149" s="422"/>
      <c r="AC149" s="415">
        <v>172.09</v>
      </c>
      <c r="AD149" s="416"/>
      <c r="AE149" s="414">
        <f t="shared" si="38"/>
        <v>1275.1868999999999</v>
      </c>
      <c r="AF149" s="412">
        <f t="shared" si="39"/>
        <v>0</v>
      </c>
      <c r="AG149" s="410"/>
      <c r="AH149" s="422"/>
      <c r="AI149" s="413">
        <v>172.09</v>
      </c>
      <c r="AJ149" s="2669" t="s">
        <v>820</v>
      </c>
      <c r="AK149" s="414">
        <f t="shared" si="40"/>
        <v>1020.1495199999999</v>
      </c>
      <c r="AL149" s="412">
        <f t="shared" si="41"/>
        <v>0</v>
      </c>
      <c r="AM149" s="410"/>
      <c r="AN149" s="422"/>
      <c r="AO149" s="413">
        <v>172.09</v>
      </c>
      <c r="AP149" s="2669" t="s">
        <v>304</v>
      </c>
      <c r="AQ149" s="414">
        <f t="shared" si="42"/>
        <v>1275.1868999999999</v>
      </c>
      <c r="AR149" s="412">
        <f t="shared" si="43"/>
        <v>0</v>
      </c>
      <c r="AS149" s="410"/>
      <c r="AT149" s="422"/>
      <c r="AU149" s="413">
        <f>VLOOKUP($A149,'Measure Level Adjustments Tab'!$A$5:$CL$272,53,FALSE)/U149</f>
        <v>172.09</v>
      </c>
      <c r="AV149" s="2669" t="s">
        <v>304</v>
      </c>
      <c r="AW149" s="414">
        <f t="shared" si="44"/>
        <v>1275.1868999999999</v>
      </c>
      <c r="AX149" s="412">
        <f t="shared" si="45"/>
        <v>0</v>
      </c>
      <c r="AY149" s="418">
        <f t="shared" si="46"/>
        <v>1275.1868999999999</v>
      </c>
      <c r="AZ149" s="418">
        <f t="shared" si="47"/>
        <v>1020.1495199999999</v>
      </c>
      <c r="BA149" s="418">
        <f t="shared" si="48"/>
        <v>1275.1868999999999</v>
      </c>
      <c r="BB149" s="418">
        <f t="shared" si="49"/>
        <v>1275.1868999999999</v>
      </c>
      <c r="BC149" s="419">
        <f t="shared" si="50"/>
        <v>4845.710219999999</v>
      </c>
      <c r="BD149" s="410" t="s">
        <v>1271</v>
      </c>
      <c r="BE149" s="423" t="s">
        <v>1272</v>
      </c>
      <c r="BF149" s="421"/>
    </row>
    <row r="150" spans="1:58" s="327" customFormat="1" ht="18" customHeight="1" x14ac:dyDescent="0.35">
      <c r="A150" s="660">
        <v>233</v>
      </c>
      <c r="B150" s="660" t="str">
        <f>VLOOKUP($A150,'Measure Level Adjustments Tab'!$A$5:$CL$272,6,FALSE)</f>
        <v>Standard</v>
      </c>
      <c r="C150" s="659" t="s">
        <v>81</v>
      </c>
      <c r="D150" s="659" t="s">
        <v>197</v>
      </c>
      <c r="E150" s="411">
        <f>VLOOKUP($A150,'Measure Level Adjustments Tab'!$A$5:$CL$272,13,FALSE)</f>
        <v>1</v>
      </c>
      <c r="F150" s="411" t="str">
        <f>VLOOKUP($A150,'Measure Level Adjustments Tab'!$A$5:$CL$272,11,FALSE)</f>
        <v>4.3.1</v>
      </c>
      <c r="G150" s="411">
        <f>VLOOKUP($A150,'Measure Level Adjustments Tab'!$A$5:$CL$272,14,FALSE)</f>
        <v>0</v>
      </c>
      <c r="H150" s="663">
        <f>VLOOKUP($A150,'Measure Level Adjustments Tab'!$A$5:$CL$272,54,FALSE)</f>
        <v>35</v>
      </c>
      <c r="I150" s="663">
        <f>VLOOKUP($A150,'Measure Level Adjustments Tab'!$A$5:$CL$272,55,FALSE)</f>
        <v>30</v>
      </c>
      <c r="J150" s="663">
        <f>VLOOKUP($A150,'Measure Level Adjustments Tab'!$A$5:$CL$272,56,FALSE)</f>
        <v>42</v>
      </c>
      <c r="K150" s="663">
        <f>VLOOKUP($A150,'Measure Level Adjustments Tab'!$A$5:$CL$272,57,FALSE)</f>
        <v>42</v>
      </c>
      <c r="L150" s="411" t="str">
        <f>VLOOKUP($A150,'Measure Level Adjustments Tab'!$A$5:$CL$272,12,FALSE)</f>
        <v>CI-HWE-STWH-V03-180101</v>
      </c>
      <c r="M150" s="422"/>
      <c r="N150" s="662">
        <v>75.446948711455732</v>
      </c>
      <c r="O150" s="662">
        <v>75.446948711455732</v>
      </c>
      <c r="P150" s="662">
        <v>75.446948711455732</v>
      </c>
      <c r="Q150" s="662">
        <v>75.446948711455732</v>
      </c>
      <c r="R150" s="661">
        <f>VLOOKUP($A150,'Measure Level Adjustments Tab'!$A$5:$CL$272,46,FALSE)</f>
        <v>0.49399999999999999</v>
      </c>
      <c r="S150" s="661">
        <f>VLOOKUP($A150,'Measure Level Adjustments Tab'!$A$5:$CL$272,47,FALSE)</f>
        <v>0.49399999999999999</v>
      </c>
      <c r="T150" s="661">
        <f>VLOOKUP($A150,'Measure Level Adjustments Tab'!$A$5:$CL$272,48,FALSE)</f>
        <v>0.49399999999999999</v>
      </c>
      <c r="U150" s="661">
        <f>VLOOKUP($A150,'Measure Level Adjustments Tab'!$A$5:$CL$272,49,FALSE)</f>
        <v>0.49399999999999999</v>
      </c>
      <c r="V150" s="418">
        <f t="shared" si="36"/>
        <v>1304.4777432210694</v>
      </c>
      <c r="W150" s="418">
        <f t="shared" si="36"/>
        <v>1118.123779903774</v>
      </c>
      <c r="X150" s="418">
        <f t="shared" si="36"/>
        <v>1565.3732918652836</v>
      </c>
      <c r="Y150" s="418">
        <f t="shared" si="36"/>
        <v>1565.3732918652836</v>
      </c>
      <c r="Z150" s="418">
        <f t="shared" si="37"/>
        <v>5553.3481068554102</v>
      </c>
      <c r="AA150" s="410"/>
      <c r="AB150" s="422"/>
      <c r="AC150" s="415">
        <v>75.446948711455732</v>
      </c>
      <c r="AD150" s="416"/>
      <c r="AE150" s="414">
        <f t="shared" si="38"/>
        <v>1304.4777432210694</v>
      </c>
      <c r="AF150" s="412">
        <f t="shared" si="39"/>
        <v>0</v>
      </c>
      <c r="AG150" s="410"/>
      <c r="AH150" s="422"/>
      <c r="AI150" s="413">
        <v>260.01075890667784</v>
      </c>
      <c r="AJ150" s="2669" t="s">
        <v>3416</v>
      </c>
      <c r="AK150" s="414">
        <f t="shared" si="40"/>
        <v>3853.3594469969653</v>
      </c>
      <c r="AL150" s="412">
        <f t="shared" si="41"/>
        <v>2735.2356670931913</v>
      </c>
      <c r="AM150" s="410"/>
      <c r="AN150" s="422"/>
      <c r="AO150" s="413">
        <v>260.01075890667784</v>
      </c>
      <c r="AP150" s="2669" t="s">
        <v>304</v>
      </c>
      <c r="AQ150" s="414">
        <f t="shared" si="42"/>
        <v>5394.7032257957517</v>
      </c>
      <c r="AR150" s="412">
        <f t="shared" si="43"/>
        <v>3829.3299339304681</v>
      </c>
      <c r="AS150" s="410"/>
      <c r="AT150" s="422"/>
      <c r="AU150" s="413">
        <f>VLOOKUP($A150,'Measure Level Adjustments Tab'!$A$5:$CL$272,53,FALSE)/U150</f>
        <v>260.01075890667784</v>
      </c>
      <c r="AV150" s="2669" t="s">
        <v>304</v>
      </c>
      <c r="AW150" s="414">
        <f t="shared" si="44"/>
        <v>5394.7032257957517</v>
      </c>
      <c r="AX150" s="412">
        <f t="shared" si="45"/>
        <v>3829.3299339304681</v>
      </c>
      <c r="AY150" s="418">
        <f t="shared" si="46"/>
        <v>1304.4777432210694</v>
      </c>
      <c r="AZ150" s="418">
        <f t="shared" si="47"/>
        <v>3853.3594469969653</v>
      </c>
      <c r="BA150" s="418">
        <f t="shared" si="48"/>
        <v>5394.7032257957517</v>
      </c>
      <c r="BB150" s="418">
        <f t="shared" si="49"/>
        <v>5394.7032257957517</v>
      </c>
      <c r="BC150" s="419">
        <f t="shared" si="50"/>
        <v>15947.243641809539</v>
      </c>
      <c r="BD150" s="410" t="s">
        <v>1271</v>
      </c>
      <c r="BE150" s="423" t="s">
        <v>1272</v>
      </c>
      <c r="BF150" s="421"/>
    </row>
    <row r="151" spans="1:58" s="327" customFormat="1" ht="18" customHeight="1" x14ac:dyDescent="0.35">
      <c r="A151" s="660">
        <v>235</v>
      </c>
      <c r="B151" s="660" t="str">
        <f>VLOOKUP($A151,'Measure Level Adjustments Tab'!$A$5:$CL$272,6,FALSE)</f>
        <v>Standard</v>
      </c>
      <c r="C151" s="659" t="s">
        <v>81</v>
      </c>
      <c r="D151" s="659" t="s">
        <v>198</v>
      </c>
      <c r="E151" s="411">
        <f>VLOOKUP($A151,'Measure Level Adjustments Tab'!$A$5:$CL$272,13,FALSE)</f>
        <v>1</v>
      </c>
      <c r="F151" s="411" t="str">
        <f>VLOOKUP($A151,'Measure Level Adjustments Tab'!$A$5:$CL$272,11,FALSE)</f>
        <v>4.3.1</v>
      </c>
      <c r="G151" s="411">
        <f>VLOOKUP($A151,'Measure Level Adjustments Tab'!$A$5:$CL$272,14,FALSE)</f>
        <v>0</v>
      </c>
      <c r="H151" s="663">
        <f>VLOOKUP($A151,'Measure Level Adjustments Tab'!$A$5:$CL$272,54,FALSE)</f>
        <v>70</v>
      </c>
      <c r="I151" s="663">
        <f>VLOOKUP($A151,'Measure Level Adjustments Tab'!$A$5:$CL$272,55,FALSE)</f>
        <v>70</v>
      </c>
      <c r="J151" s="663">
        <f>VLOOKUP($A151,'Measure Level Adjustments Tab'!$A$5:$CL$272,56,FALSE)</f>
        <v>75</v>
      </c>
      <c r="K151" s="663">
        <f>VLOOKUP($A151,'Measure Level Adjustments Tab'!$A$5:$CL$272,57,FALSE)</f>
        <v>80</v>
      </c>
      <c r="L151" s="411" t="str">
        <f>VLOOKUP($A151,'Measure Level Adjustments Tab'!$A$5:$CL$272,12,FALSE)</f>
        <v>CI-HWE-STWH-V03-180101</v>
      </c>
      <c r="M151" s="422"/>
      <c r="N151" s="662">
        <v>62.806322167483358</v>
      </c>
      <c r="O151" s="662">
        <v>62.806322167483358</v>
      </c>
      <c r="P151" s="662">
        <v>62.806322167483358</v>
      </c>
      <c r="Q151" s="662">
        <v>62.806322167483358</v>
      </c>
      <c r="R151" s="661">
        <f>VLOOKUP($A151,'Measure Level Adjustments Tab'!$A$5:$CL$272,46,FALSE)</f>
        <v>0.49399999999999999</v>
      </c>
      <c r="S151" s="661">
        <f>VLOOKUP($A151,'Measure Level Adjustments Tab'!$A$5:$CL$272,47,FALSE)</f>
        <v>0.49399999999999999</v>
      </c>
      <c r="T151" s="661">
        <f>VLOOKUP($A151,'Measure Level Adjustments Tab'!$A$5:$CL$272,48,FALSE)</f>
        <v>0.49399999999999999</v>
      </c>
      <c r="U151" s="661">
        <f>VLOOKUP($A151,'Measure Level Adjustments Tab'!$A$5:$CL$272,49,FALSE)</f>
        <v>0.49399999999999999</v>
      </c>
      <c r="V151" s="418">
        <f t="shared" si="36"/>
        <v>2171.8426205515743</v>
      </c>
      <c r="W151" s="418">
        <f t="shared" si="36"/>
        <v>2171.8426205515743</v>
      </c>
      <c r="X151" s="418">
        <f t="shared" si="36"/>
        <v>2326.9742363052583</v>
      </c>
      <c r="Y151" s="418">
        <f t="shared" si="36"/>
        <v>2482.1058520589422</v>
      </c>
      <c r="Z151" s="418">
        <f t="shared" si="37"/>
        <v>9152.7653294673491</v>
      </c>
      <c r="AA151" s="410"/>
      <c r="AB151" s="422"/>
      <c r="AC151" s="415">
        <v>62.806322167483358</v>
      </c>
      <c r="AD151" s="416"/>
      <c r="AE151" s="414">
        <f t="shared" si="38"/>
        <v>2171.8426205515743</v>
      </c>
      <c r="AF151" s="412">
        <f t="shared" si="39"/>
        <v>0</v>
      </c>
      <c r="AG151" s="410"/>
      <c r="AH151" s="422"/>
      <c r="AI151" s="413">
        <v>247.37013236270545</v>
      </c>
      <c r="AJ151" s="2669" t="s">
        <v>3416</v>
      </c>
      <c r="AK151" s="414">
        <f t="shared" si="40"/>
        <v>8554.0591771023555</v>
      </c>
      <c r="AL151" s="412">
        <f t="shared" si="41"/>
        <v>6382.2165565507812</v>
      </c>
      <c r="AM151" s="410"/>
      <c r="AN151" s="422"/>
      <c r="AO151" s="413">
        <v>247.37013236270545</v>
      </c>
      <c r="AP151" s="2669" t="s">
        <v>304</v>
      </c>
      <c r="AQ151" s="414">
        <f t="shared" si="42"/>
        <v>9165.0634040382356</v>
      </c>
      <c r="AR151" s="412">
        <f t="shared" si="43"/>
        <v>6838.0891677329773</v>
      </c>
      <c r="AS151" s="410"/>
      <c r="AT151" s="422"/>
      <c r="AU151" s="413">
        <f>VLOOKUP($A151,'Measure Level Adjustments Tab'!$A$5:$CL$272,53,FALSE)/U151</f>
        <v>247.37013236270545</v>
      </c>
      <c r="AV151" s="2669" t="s">
        <v>304</v>
      </c>
      <c r="AW151" s="414">
        <f t="shared" si="44"/>
        <v>9776.0676309741193</v>
      </c>
      <c r="AX151" s="412">
        <f t="shared" si="45"/>
        <v>7293.9617789151771</v>
      </c>
      <c r="AY151" s="418">
        <f t="shared" si="46"/>
        <v>2171.8426205515743</v>
      </c>
      <c r="AZ151" s="418">
        <f t="shared" si="47"/>
        <v>8554.0591771023555</v>
      </c>
      <c r="BA151" s="418">
        <f t="shared" si="48"/>
        <v>9165.0634040382356</v>
      </c>
      <c r="BB151" s="418">
        <f t="shared" si="49"/>
        <v>9776.0676309741193</v>
      </c>
      <c r="BC151" s="419">
        <f t="shared" si="50"/>
        <v>29667.032832666286</v>
      </c>
      <c r="BD151" s="410" t="s">
        <v>1271</v>
      </c>
      <c r="BE151" s="423" t="s">
        <v>1272</v>
      </c>
      <c r="BF151" s="421"/>
    </row>
    <row r="152" spans="1:58" s="327" customFormat="1" ht="18" customHeight="1" x14ac:dyDescent="0.35">
      <c r="A152" s="660">
        <v>107</v>
      </c>
      <c r="B152" s="660" t="str">
        <f>VLOOKUP($A152,'Measure Level Adjustments Tab'!$A$5:$CL$272,6,FALSE)</f>
        <v>Standard</v>
      </c>
      <c r="C152" s="659" t="s">
        <v>81</v>
      </c>
      <c r="D152" s="659" t="s">
        <v>199</v>
      </c>
      <c r="E152" s="411">
        <f>VLOOKUP($A152,'Measure Level Adjustments Tab'!$A$5:$CL$272,13,FALSE)</f>
        <v>1</v>
      </c>
      <c r="F152" s="411" t="str">
        <f>VLOOKUP($A152,'Measure Level Adjustments Tab'!$A$5:$CL$272,11,FALSE)</f>
        <v>4.2.3</v>
      </c>
      <c r="G152" s="411">
        <f>VLOOKUP($A152,'Measure Level Adjustments Tab'!$A$5:$CL$272,14,FALSE)</f>
        <v>0</v>
      </c>
      <c r="H152" s="663">
        <f>VLOOKUP($A152,'Measure Level Adjustments Tab'!$A$5:$CL$272,54,FALSE)</f>
        <v>4</v>
      </c>
      <c r="I152" s="663">
        <f>VLOOKUP($A152,'Measure Level Adjustments Tab'!$A$5:$CL$272,55,FALSE)</f>
        <v>2</v>
      </c>
      <c r="J152" s="663">
        <f>VLOOKUP($A152,'Measure Level Adjustments Tab'!$A$5:$CL$272,56,FALSE)</f>
        <v>4</v>
      </c>
      <c r="K152" s="663">
        <f>VLOOKUP($A152,'Measure Level Adjustments Tab'!$A$5:$CL$272,57,FALSE)</f>
        <v>4</v>
      </c>
      <c r="L152" s="411" t="str">
        <f>VLOOKUP($A152,'Measure Level Adjustments Tab'!$A$5:$CL$272,12,FALSE)</f>
        <v>CI-FSE-STMC-V04-160601</v>
      </c>
      <c r="M152" s="422"/>
      <c r="N152" s="662">
        <v>1321</v>
      </c>
      <c r="O152" s="662">
        <v>1321</v>
      </c>
      <c r="P152" s="662">
        <v>1321</v>
      </c>
      <c r="Q152" s="662">
        <v>1321</v>
      </c>
      <c r="R152" s="661">
        <f>VLOOKUP($A152,'Measure Level Adjustments Tab'!$A$5:$CL$272,46,FALSE)</f>
        <v>0.67500000000000004</v>
      </c>
      <c r="S152" s="661">
        <f>VLOOKUP($A152,'Measure Level Adjustments Tab'!$A$5:$CL$272,47,FALSE)</f>
        <v>0.67500000000000004</v>
      </c>
      <c r="T152" s="661">
        <f>VLOOKUP($A152,'Measure Level Adjustments Tab'!$A$5:$CL$272,48,FALSE)</f>
        <v>0.67500000000000004</v>
      </c>
      <c r="U152" s="661">
        <f>VLOOKUP($A152,'Measure Level Adjustments Tab'!$A$5:$CL$272,49,FALSE)</f>
        <v>0.67500000000000004</v>
      </c>
      <c r="V152" s="418">
        <f t="shared" si="36"/>
        <v>3566.7000000000003</v>
      </c>
      <c r="W152" s="418">
        <f t="shared" si="36"/>
        <v>1783.3500000000001</v>
      </c>
      <c r="X152" s="418">
        <f t="shared" si="36"/>
        <v>3566.7000000000003</v>
      </c>
      <c r="Y152" s="418">
        <f t="shared" si="36"/>
        <v>3566.7000000000003</v>
      </c>
      <c r="Z152" s="418">
        <f t="shared" si="37"/>
        <v>12483.45</v>
      </c>
      <c r="AA152" s="410"/>
      <c r="AB152" s="422"/>
      <c r="AC152" s="415">
        <v>1321</v>
      </c>
      <c r="AD152" s="416"/>
      <c r="AE152" s="414">
        <f t="shared" si="38"/>
        <v>3566.7000000000003</v>
      </c>
      <c r="AF152" s="412">
        <f t="shared" si="39"/>
        <v>0</v>
      </c>
      <c r="AG152" s="410"/>
      <c r="AH152" s="422"/>
      <c r="AI152" s="413">
        <v>1321</v>
      </c>
      <c r="AJ152" s="2669" t="s">
        <v>820</v>
      </c>
      <c r="AK152" s="414">
        <f t="shared" si="40"/>
        <v>1783.3500000000001</v>
      </c>
      <c r="AL152" s="412">
        <f t="shared" si="41"/>
        <v>0</v>
      </c>
      <c r="AM152" s="410"/>
      <c r="AN152" s="422"/>
      <c r="AO152" s="413">
        <v>1321</v>
      </c>
      <c r="AP152" s="2669" t="s">
        <v>304</v>
      </c>
      <c r="AQ152" s="414">
        <f t="shared" si="42"/>
        <v>3566.7000000000003</v>
      </c>
      <c r="AR152" s="412">
        <f t="shared" si="43"/>
        <v>0</v>
      </c>
      <c r="AS152" s="410"/>
      <c r="AT152" s="422"/>
      <c r="AU152" s="413">
        <f>VLOOKUP($A152,'Measure Level Adjustments Tab'!$A$5:$CL$272,53,FALSE)/U152</f>
        <v>1321</v>
      </c>
      <c r="AV152" s="2669" t="s">
        <v>304</v>
      </c>
      <c r="AW152" s="414">
        <f t="shared" si="44"/>
        <v>3566.7000000000003</v>
      </c>
      <c r="AX152" s="412">
        <f t="shared" si="45"/>
        <v>0</v>
      </c>
      <c r="AY152" s="418">
        <f t="shared" si="46"/>
        <v>3566.7000000000003</v>
      </c>
      <c r="AZ152" s="418">
        <f t="shared" si="47"/>
        <v>1783.3500000000001</v>
      </c>
      <c r="BA152" s="418">
        <f t="shared" si="48"/>
        <v>3566.7000000000003</v>
      </c>
      <c r="BB152" s="418">
        <f t="shared" si="49"/>
        <v>3566.7000000000003</v>
      </c>
      <c r="BC152" s="419">
        <f t="shared" si="50"/>
        <v>12483.45</v>
      </c>
      <c r="BD152" s="410" t="s">
        <v>1271</v>
      </c>
      <c r="BE152" s="423" t="s">
        <v>1272</v>
      </c>
      <c r="BF152" s="421"/>
    </row>
    <row r="153" spans="1:58" s="327" customFormat="1" ht="18" customHeight="1" x14ac:dyDescent="0.35">
      <c r="A153" s="660">
        <v>108</v>
      </c>
      <c r="B153" s="660" t="str">
        <f>VLOOKUP($A153,'Measure Level Adjustments Tab'!$A$5:$CL$272,6,FALSE)</f>
        <v>Standard</v>
      </c>
      <c r="C153" s="659" t="s">
        <v>81</v>
      </c>
      <c r="D153" s="659" t="s">
        <v>200</v>
      </c>
      <c r="E153" s="411">
        <f>VLOOKUP($A153,'Measure Level Adjustments Tab'!$A$5:$CL$272,13,FALSE)</f>
        <v>1</v>
      </c>
      <c r="F153" s="411" t="str">
        <f>VLOOKUP($A153,'Measure Level Adjustments Tab'!$A$5:$CL$272,11,FALSE)</f>
        <v>4.2.3</v>
      </c>
      <c r="G153" s="411">
        <f>VLOOKUP($A153,'Measure Level Adjustments Tab'!$A$5:$CL$272,14,FALSE)</f>
        <v>0</v>
      </c>
      <c r="H153" s="663">
        <f>VLOOKUP($A153,'Measure Level Adjustments Tab'!$A$5:$CL$272,54,FALSE)</f>
        <v>4</v>
      </c>
      <c r="I153" s="663">
        <f>VLOOKUP($A153,'Measure Level Adjustments Tab'!$A$5:$CL$272,55,FALSE)</f>
        <v>2</v>
      </c>
      <c r="J153" s="663">
        <f>VLOOKUP($A153,'Measure Level Adjustments Tab'!$A$5:$CL$272,56,FALSE)</f>
        <v>4</v>
      </c>
      <c r="K153" s="663">
        <f>VLOOKUP($A153,'Measure Level Adjustments Tab'!$A$5:$CL$272,57,FALSE)</f>
        <v>4</v>
      </c>
      <c r="L153" s="411" t="str">
        <f>VLOOKUP($A153,'Measure Level Adjustments Tab'!$A$5:$CL$272,12,FALSE)</f>
        <v>CI-FSE-STMC-V04-160601</v>
      </c>
      <c r="M153" s="422"/>
      <c r="N153" s="662">
        <v>1591.0000000000002</v>
      </c>
      <c r="O153" s="662">
        <v>1591.0000000000002</v>
      </c>
      <c r="P153" s="662">
        <v>1591.0000000000002</v>
      </c>
      <c r="Q153" s="662">
        <v>1591.0000000000002</v>
      </c>
      <c r="R153" s="661">
        <f>VLOOKUP($A153,'Measure Level Adjustments Tab'!$A$5:$CL$272,46,FALSE)</f>
        <v>0.67500000000000004</v>
      </c>
      <c r="S153" s="661">
        <f>VLOOKUP($A153,'Measure Level Adjustments Tab'!$A$5:$CL$272,47,FALSE)</f>
        <v>0.67500000000000004</v>
      </c>
      <c r="T153" s="661">
        <f>VLOOKUP($A153,'Measure Level Adjustments Tab'!$A$5:$CL$272,48,FALSE)</f>
        <v>0.67500000000000004</v>
      </c>
      <c r="U153" s="661">
        <f>VLOOKUP($A153,'Measure Level Adjustments Tab'!$A$5:$CL$272,49,FALSE)</f>
        <v>0.67500000000000004</v>
      </c>
      <c r="V153" s="418">
        <f t="shared" si="36"/>
        <v>4295.7000000000007</v>
      </c>
      <c r="W153" s="418">
        <f t="shared" si="36"/>
        <v>2147.8500000000004</v>
      </c>
      <c r="X153" s="418">
        <f t="shared" si="36"/>
        <v>4295.7000000000007</v>
      </c>
      <c r="Y153" s="418">
        <f t="shared" si="36"/>
        <v>4295.7000000000007</v>
      </c>
      <c r="Z153" s="418">
        <f t="shared" si="37"/>
        <v>15034.950000000003</v>
      </c>
      <c r="AA153" s="410"/>
      <c r="AB153" s="422"/>
      <c r="AC153" s="415">
        <v>1591.0000000000002</v>
      </c>
      <c r="AD153" s="416"/>
      <c r="AE153" s="414">
        <f t="shared" si="38"/>
        <v>4295.7000000000007</v>
      </c>
      <c r="AF153" s="412">
        <f t="shared" si="39"/>
        <v>0</v>
      </c>
      <c r="AG153" s="410"/>
      <c r="AH153" s="422"/>
      <c r="AI153" s="413">
        <v>1591.0000000000002</v>
      </c>
      <c r="AJ153" s="2669" t="s">
        <v>820</v>
      </c>
      <c r="AK153" s="414">
        <f t="shared" si="40"/>
        <v>2147.8500000000004</v>
      </c>
      <c r="AL153" s="412">
        <f t="shared" si="41"/>
        <v>0</v>
      </c>
      <c r="AM153" s="410"/>
      <c r="AN153" s="422"/>
      <c r="AO153" s="413">
        <v>1591.0000000000002</v>
      </c>
      <c r="AP153" s="2669" t="s">
        <v>304</v>
      </c>
      <c r="AQ153" s="414">
        <f t="shared" si="42"/>
        <v>4295.7000000000007</v>
      </c>
      <c r="AR153" s="412">
        <f t="shared" si="43"/>
        <v>0</v>
      </c>
      <c r="AS153" s="410"/>
      <c r="AT153" s="422"/>
      <c r="AU153" s="413">
        <f>VLOOKUP($A153,'Measure Level Adjustments Tab'!$A$5:$CL$272,53,FALSE)/U153</f>
        <v>1591.0000000000002</v>
      </c>
      <c r="AV153" s="2669" t="s">
        <v>304</v>
      </c>
      <c r="AW153" s="414">
        <f t="shared" si="44"/>
        <v>4295.7000000000007</v>
      </c>
      <c r="AX153" s="412">
        <f t="shared" si="45"/>
        <v>0</v>
      </c>
      <c r="AY153" s="418">
        <f t="shared" si="46"/>
        <v>4295.7000000000007</v>
      </c>
      <c r="AZ153" s="418">
        <f t="shared" si="47"/>
        <v>2147.8500000000004</v>
      </c>
      <c r="BA153" s="418">
        <f t="shared" si="48"/>
        <v>4295.7000000000007</v>
      </c>
      <c r="BB153" s="418">
        <f t="shared" si="49"/>
        <v>4295.7000000000007</v>
      </c>
      <c r="BC153" s="419">
        <f t="shared" si="50"/>
        <v>15034.950000000003</v>
      </c>
      <c r="BD153" s="410" t="s">
        <v>1271</v>
      </c>
      <c r="BE153" s="423" t="s">
        <v>1272</v>
      </c>
      <c r="BF153" s="421"/>
    </row>
    <row r="154" spans="1:58" s="327" customFormat="1" ht="18" customHeight="1" x14ac:dyDescent="0.35">
      <c r="A154" s="660">
        <v>106</v>
      </c>
      <c r="B154" s="660" t="str">
        <f>VLOOKUP($A154,'Measure Level Adjustments Tab'!$A$5:$CL$272,6,FALSE)</f>
        <v>Standard</v>
      </c>
      <c r="C154" s="659" t="s">
        <v>81</v>
      </c>
      <c r="D154" s="659" t="s">
        <v>201</v>
      </c>
      <c r="E154" s="411">
        <f>VLOOKUP($A154,'Measure Level Adjustments Tab'!$A$5:$CL$272,13,FALSE)</f>
        <v>1</v>
      </c>
      <c r="F154" s="411" t="str">
        <f>VLOOKUP($A154,'Measure Level Adjustments Tab'!$A$5:$CL$272,11,FALSE)</f>
        <v>4.2.8</v>
      </c>
      <c r="G154" s="411">
        <f>VLOOKUP($A154,'Measure Level Adjustments Tab'!$A$5:$CL$272,14,FALSE)</f>
        <v>0</v>
      </c>
      <c r="H154" s="663">
        <f>VLOOKUP($A154,'Measure Level Adjustments Tab'!$A$5:$CL$272,54,FALSE)</f>
        <v>10</v>
      </c>
      <c r="I154" s="663">
        <f>VLOOKUP($A154,'Measure Level Adjustments Tab'!$A$5:$CL$272,55,FALSE)</f>
        <v>9</v>
      </c>
      <c r="J154" s="663">
        <f>VLOOKUP($A154,'Measure Level Adjustments Tab'!$A$5:$CL$272,56,FALSE)</f>
        <v>11</v>
      </c>
      <c r="K154" s="663">
        <f>VLOOKUP($A154,'Measure Level Adjustments Tab'!$A$5:$CL$272,57,FALSE)</f>
        <v>11</v>
      </c>
      <c r="L154" s="411" t="str">
        <f>VLOOKUP($A154,'Measure Level Adjustments Tab'!$A$5:$CL$272,12,FALSE)</f>
        <v>CI-FSE-ESGR-V02-160601</v>
      </c>
      <c r="M154" s="422"/>
      <c r="N154" s="662">
        <v>149</v>
      </c>
      <c r="O154" s="662">
        <v>149</v>
      </c>
      <c r="P154" s="662">
        <v>149</v>
      </c>
      <c r="Q154" s="662">
        <v>149</v>
      </c>
      <c r="R154" s="661">
        <f>VLOOKUP($A154,'Measure Level Adjustments Tab'!$A$5:$CL$272,46,FALSE)</f>
        <v>0.67500000000000004</v>
      </c>
      <c r="S154" s="661">
        <f>VLOOKUP($A154,'Measure Level Adjustments Tab'!$A$5:$CL$272,47,FALSE)</f>
        <v>0.67500000000000004</v>
      </c>
      <c r="T154" s="661">
        <f>VLOOKUP($A154,'Measure Level Adjustments Tab'!$A$5:$CL$272,48,FALSE)</f>
        <v>0.67500000000000004</v>
      </c>
      <c r="U154" s="661">
        <f>VLOOKUP($A154,'Measure Level Adjustments Tab'!$A$5:$CL$272,49,FALSE)</f>
        <v>0.67500000000000004</v>
      </c>
      <c r="V154" s="418">
        <f t="shared" si="36"/>
        <v>1005.7500000000001</v>
      </c>
      <c r="W154" s="418">
        <f t="shared" si="36"/>
        <v>905.17500000000007</v>
      </c>
      <c r="X154" s="418">
        <f t="shared" si="36"/>
        <v>1106.325</v>
      </c>
      <c r="Y154" s="418">
        <f t="shared" si="36"/>
        <v>1106.325</v>
      </c>
      <c r="Z154" s="418">
        <f t="shared" si="37"/>
        <v>4123.5749999999998</v>
      </c>
      <c r="AA154" s="410"/>
      <c r="AB154" s="422"/>
      <c r="AC154" s="415">
        <v>149</v>
      </c>
      <c r="AD154" s="416"/>
      <c r="AE154" s="414">
        <f t="shared" si="38"/>
        <v>1005.7500000000001</v>
      </c>
      <c r="AF154" s="412">
        <f t="shared" si="39"/>
        <v>0</v>
      </c>
      <c r="AG154" s="410"/>
      <c r="AH154" s="422"/>
      <c r="AI154" s="413">
        <v>149</v>
      </c>
      <c r="AJ154" s="2669" t="s">
        <v>820</v>
      </c>
      <c r="AK154" s="414">
        <f t="shared" si="40"/>
        <v>905.17500000000007</v>
      </c>
      <c r="AL154" s="412">
        <f t="shared" si="41"/>
        <v>0</v>
      </c>
      <c r="AM154" s="410"/>
      <c r="AN154" s="422"/>
      <c r="AO154" s="413">
        <v>149</v>
      </c>
      <c r="AP154" s="2669" t="s">
        <v>304</v>
      </c>
      <c r="AQ154" s="414">
        <f t="shared" si="42"/>
        <v>1106.325</v>
      </c>
      <c r="AR154" s="412">
        <f t="shared" si="43"/>
        <v>0</v>
      </c>
      <c r="AS154" s="410"/>
      <c r="AT154" s="422"/>
      <c r="AU154" s="413">
        <f>VLOOKUP($A154,'Measure Level Adjustments Tab'!$A$5:$CL$272,53,FALSE)/U154</f>
        <v>149</v>
      </c>
      <c r="AV154" s="2669" t="s">
        <v>304</v>
      </c>
      <c r="AW154" s="414">
        <f t="shared" si="44"/>
        <v>1106.325</v>
      </c>
      <c r="AX154" s="412">
        <f t="shared" si="45"/>
        <v>0</v>
      </c>
      <c r="AY154" s="418">
        <f t="shared" si="46"/>
        <v>1005.7500000000001</v>
      </c>
      <c r="AZ154" s="418">
        <f t="shared" si="47"/>
        <v>905.17500000000007</v>
      </c>
      <c r="BA154" s="418">
        <f t="shared" si="48"/>
        <v>1106.325</v>
      </c>
      <c r="BB154" s="418">
        <f t="shared" si="49"/>
        <v>1106.325</v>
      </c>
      <c r="BC154" s="419">
        <f t="shared" si="50"/>
        <v>4123.5749999999998</v>
      </c>
      <c r="BD154" s="410" t="s">
        <v>1271</v>
      </c>
      <c r="BE154" s="423" t="s">
        <v>1272</v>
      </c>
      <c r="BF154" s="421"/>
    </row>
    <row r="155" spans="1:58" s="327" customFormat="1" ht="18" customHeight="1" x14ac:dyDescent="0.35">
      <c r="A155" s="660">
        <v>105</v>
      </c>
      <c r="B155" s="660" t="str">
        <f>VLOOKUP($A155,'Measure Level Adjustments Tab'!$A$5:$CL$272,6,FALSE)</f>
        <v>Standard</v>
      </c>
      <c r="C155" s="659" t="s">
        <v>81</v>
      </c>
      <c r="D155" s="659" t="s">
        <v>202</v>
      </c>
      <c r="E155" s="411">
        <f>VLOOKUP($A155,'Measure Level Adjustments Tab'!$A$5:$CL$272,13,FALSE)</f>
        <v>1</v>
      </c>
      <c r="F155" s="411" t="str">
        <f>VLOOKUP($A155,'Measure Level Adjustments Tab'!$A$5:$CL$272,11,FALSE)</f>
        <v>4.2.7</v>
      </c>
      <c r="G155" s="411">
        <f>VLOOKUP($A155,'Measure Level Adjustments Tab'!$A$5:$CL$272,14,FALSE)</f>
        <v>0</v>
      </c>
      <c r="H155" s="663">
        <f>VLOOKUP($A155,'Measure Level Adjustments Tab'!$A$5:$CL$272,54,FALSE)</f>
        <v>17</v>
      </c>
      <c r="I155" s="663">
        <f>VLOOKUP($A155,'Measure Level Adjustments Tab'!$A$5:$CL$272,55,FALSE)</f>
        <v>16</v>
      </c>
      <c r="J155" s="663">
        <f>VLOOKUP($A155,'Measure Level Adjustments Tab'!$A$5:$CL$272,56,FALSE)</f>
        <v>20</v>
      </c>
      <c r="K155" s="663">
        <f>VLOOKUP($A155,'Measure Level Adjustments Tab'!$A$5:$CL$272,57,FALSE)</f>
        <v>22</v>
      </c>
      <c r="L155" s="411" t="str">
        <f>VLOOKUP($A155,'Measure Level Adjustments Tab'!$A$5:$CL$272,12,FALSE)</f>
        <v>CI-FSE-ESFR-V01-120601</v>
      </c>
      <c r="M155" s="422"/>
      <c r="N155" s="662">
        <v>505.2346714285714</v>
      </c>
      <c r="O155" s="662">
        <v>505.2346714285714</v>
      </c>
      <c r="P155" s="662">
        <v>505.2346714285714</v>
      </c>
      <c r="Q155" s="662">
        <v>505.2346714285714</v>
      </c>
      <c r="R155" s="661">
        <f>VLOOKUP($A155,'Measure Level Adjustments Tab'!$A$5:$CL$272,46,FALSE)</f>
        <v>0.67500000000000004</v>
      </c>
      <c r="S155" s="661">
        <f>VLOOKUP($A155,'Measure Level Adjustments Tab'!$A$5:$CL$272,47,FALSE)</f>
        <v>0.67500000000000004</v>
      </c>
      <c r="T155" s="661">
        <f>VLOOKUP($A155,'Measure Level Adjustments Tab'!$A$5:$CL$272,48,FALSE)</f>
        <v>0.67500000000000004</v>
      </c>
      <c r="U155" s="661">
        <f>VLOOKUP($A155,'Measure Level Adjustments Tab'!$A$5:$CL$272,49,FALSE)</f>
        <v>0.67500000000000004</v>
      </c>
      <c r="V155" s="418">
        <f t="shared" si="36"/>
        <v>5797.5678546428571</v>
      </c>
      <c r="W155" s="418">
        <f t="shared" si="36"/>
        <v>5456.5344514285716</v>
      </c>
      <c r="X155" s="418">
        <f t="shared" si="36"/>
        <v>6820.6680642857145</v>
      </c>
      <c r="Y155" s="418">
        <f t="shared" si="36"/>
        <v>7502.7348707142864</v>
      </c>
      <c r="Z155" s="418">
        <f t="shared" si="37"/>
        <v>25577.505241071427</v>
      </c>
      <c r="AA155" s="410"/>
      <c r="AB155" s="422"/>
      <c r="AC155" s="415">
        <v>505.2346714285714</v>
      </c>
      <c r="AD155" s="416"/>
      <c r="AE155" s="414">
        <f t="shared" si="38"/>
        <v>5797.5678546428571</v>
      </c>
      <c r="AF155" s="412">
        <f t="shared" si="39"/>
        <v>0</v>
      </c>
      <c r="AG155" s="410"/>
      <c r="AH155" s="422"/>
      <c r="AI155" s="413">
        <v>505.2346714285714</v>
      </c>
      <c r="AJ155" s="2669" t="s">
        <v>3411</v>
      </c>
      <c r="AK155" s="414">
        <f t="shared" si="40"/>
        <v>5456.5344514285716</v>
      </c>
      <c r="AL155" s="412">
        <f t="shared" si="41"/>
        <v>0</v>
      </c>
      <c r="AM155" s="410"/>
      <c r="AN155" s="422"/>
      <c r="AO155" s="413">
        <v>505.2346714285714</v>
      </c>
      <c r="AP155" s="2669" t="s">
        <v>304</v>
      </c>
      <c r="AQ155" s="414">
        <f t="shared" si="42"/>
        <v>6820.6680642857145</v>
      </c>
      <c r="AR155" s="412">
        <f t="shared" si="43"/>
        <v>0</v>
      </c>
      <c r="AS155" s="410"/>
      <c r="AT155" s="422"/>
      <c r="AU155" s="413">
        <f>VLOOKUP($A155,'Measure Level Adjustments Tab'!$A$5:$CL$272,53,FALSE)/U155</f>
        <v>505.2346714285714</v>
      </c>
      <c r="AV155" s="2669" t="s">
        <v>304</v>
      </c>
      <c r="AW155" s="414">
        <f t="shared" si="44"/>
        <v>7502.7348707142864</v>
      </c>
      <c r="AX155" s="412">
        <f t="shared" si="45"/>
        <v>0</v>
      </c>
      <c r="AY155" s="418">
        <f t="shared" si="46"/>
        <v>5797.5678546428571</v>
      </c>
      <c r="AZ155" s="418">
        <f t="shared" si="47"/>
        <v>5456.5344514285716</v>
      </c>
      <c r="BA155" s="418">
        <f t="shared" si="48"/>
        <v>6820.6680642857145</v>
      </c>
      <c r="BB155" s="418">
        <f t="shared" si="49"/>
        <v>7502.7348707142864</v>
      </c>
      <c r="BC155" s="419">
        <f t="shared" si="50"/>
        <v>25577.505241071427</v>
      </c>
      <c r="BD155" s="410" t="s">
        <v>1271</v>
      </c>
      <c r="BE155" s="423" t="s">
        <v>1272</v>
      </c>
      <c r="BF155" s="421"/>
    </row>
    <row r="156" spans="1:58" s="327" customFormat="1" ht="18" customHeight="1" x14ac:dyDescent="0.35">
      <c r="A156" s="660">
        <v>86</v>
      </c>
      <c r="B156" s="660" t="str">
        <f>VLOOKUP($A156,'Measure Level Adjustments Tab'!$A$5:$CL$272,6,FALSE)</f>
        <v>Standard</v>
      </c>
      <c r="C156" s="659" t="s">
        <v>81</v>
      </c>
      <c r="D156" s="659" t="s">
        <v>204</v>
      </c>
      <c r="E156" s="411">
        <f>VLOOKUP($A156,'Measure Level Adjustments Tab'!$A$5:$CL$272,13,FALSE)</f>
        <v>1</v>
      </c>
      <c r="F156" s="411" t="str">
        <f>VLOOKUP($A156,'Measure Level Adjustments Tab'!$A$5:$CL$272,11,FALSE)</f>
        <v>4.4.16</v>
      </c>
      <c r="G156" s="411">
        <f>VLOOKUP($A156,'Measure Level Adjustments Tab'!$A$5:$CL$272,14,FALSE)</f>
        <v>0</v>
      </c>
      <c r="H156" s="663">
        <f>VLOOKUP($A156,'Measure Level Adjustments Tab'!$A$5:$CL$272,54,FALSE)</f>
        <v>190</v>
      </c>
      <c r="I156" s="663">
        <f>VLOOKUP($A156,'Measure Level Adjustments Tab'!$A$5:$CL$272,55,FALSE)</f>
        <v>190</v>
      </c>
      <c r="J156" s="663">
        <f>VLOOKUP($A156,'Measure Level Adjustments Tab'!$A$5:$CL$272,56,FALSE)</f>
        <v>215</v>
      </c>
      <c r="K156" s="663">
        <f>VLOOKUP($A156,'Measure Level Adjustments Tab'!$A$5:$CL$272,57,FALSE)</f>
        <v>225</v>
      </c>
      <c r="L156" s="411" t="str">
        <f>VLOOKUP($A156,'Measure Level Adjustments Tab'!$A$5:$CL$272,12,FALSE)</f>
        <v>CI-HVC-STRE-V05-180101</v>
      </c>
      <c r="M156" s="422"/>
      <c r="N156" s="662">
        <v>297.65043171806178</v>
      </c>
      <c r="O156" s="662">
        <v>297.65043171806178</v>
      </c>
      <c r="P156" s="662">
        <v>297.65043171806178</v>
      </c>
      <c r="Q156" s="662">
        <v>297.65043171806178</v>
      </c>
      <c r="R156" s="661">
        <f>VLOOKUP($A156,'Measure Level Adjustments Tab'!$A$5:$CL$272,46,FALSE)</f>
        <v>0.60799999999999998</v>
      </c>
      <c r="S156" s="661">
        <f>VLOOKUP($A156,'Measure Level Adjustments Tab'!$A$5:$CL$272,47,FALSE)</f>
        <v>0.60799999999999998</v>
      </c>
      <c r="T156" s="661">
        <f>VLOOKUP($A156,'Measure Level Adjustments Tab'!$A$5:$CL$272,48,FALSE)</f>
        <v>0.60799999999999998</v>
      </c>
      <c r="U156" s="661">
        <f>VLOOKUP($A156,'Measure Level Adjustments Tab'!$A$5:$CL$272,49,FALSE)</f>
        <v>0.60799999999999998</v>
      </c>
      <c r="V156" s="418">
        <f t="shared" si="36"/>
        <v>34384.577872070498</v>
      </c>
      <c r="W156" s="418">
        <f t="shared" si="36"/>
        <v>34384.577872070498</v>
      </c>
      <c r="X156" s="418">
        <f t="shared" si="36"/>
        <v>38908.86443418503</v>
      </c>
      <c r="Y156" s="418">
        <f t="shared" si="36"/>
        <v>40718.579059030846</v>
      </c>
      <c r="Z156" s="418">
        <f t="shared" si="37"/>
        <v>148396.59923735686</v>
      </c>
      <c r="AA156" s="410"/>
      <c r="AB156" s="422"/>
      <c r="AC156" s="415">
        <v>297.65043171806178</v>
      </c>
      <c r="AD156" s="416"/>
      <c r="AE156" s="414">
        <f t="shared" si="38"/>
        <v>34384.577872070498</v>
      </c>
      <c r="AF156" s="412">
        <f t="shared" si="39"/>
        <v>0</v>
      </c>
      <c r="AG156" s="410"/>
      <c r="AH156" s="422"/>
      <c r="AI156" s="413">
        <v>297.65043171806178</v>
      </c>
      <c r="AJ156" s="2669" t="s">
        <v>820</v>
      </c>
      <c r="AK156" s="414">
        <f t="shared" si="40"/>
        <v>34384.577872070498</v>
      </c>
      <c r="AL156" s="412">
        <f t="shared" si="41"/>
        <v>0</v>
      </c>
      <c r="AM156" s="410"/>
      <c r="AN156" s="422"/>
      <c r="AO156" s="413">
        <v>297.65043171806178</v>
      </c>
      <c r="AP156" s="2669" t="s">
        <v>304</v>
      </c>
      <c r="AQ156" s="414">
        <f t="shared" si="42"/>
        <v>38908.86443418503</v>
      </c>
      <c r="AR156" s="412">
        <f t="shared" si="43"/>
        <v>0</v>
      </c>
      <c r="AS156" s="410"/>
      <c r="AT156" s="422"/>
      <c r="AU156" s="413">
        <f>VLOOKUP($A156,'Measure Level Adjustments Tab'!$A$5:$CL$272,53,FALSE)/U156</f>
        <v>297.65043171806178</v>
      </c>
      <c r="AV156" s="2669" t="s">
        <v>304</v>
      </c>
      <c r="AW156" s="414">
        <f t="shared" si="44"/>
        <v>40718.579059030846</v>
      </c>
      <c r="AX156" s="412">
        <f t="shared" si="45"/>
        <v>0</v>
      </c>
      <c r="AY156" s="418">
        <f t="shared" si="46"/>
        <v>34384.577872070498</v>
      </c>
      <c r="AZ156" s="418">
        <f t="shared" si="47"/>
        <v>34384.577872070498</v>
      </c>
      <c r="BA156" s="418">
        <f t="shared" si="48"/>
        <v>38908.86443418503</v>
      </c>
      <c r="BB156" s="418">
        <f t="shared" si="49"/>
        <v>40718.579059030846</v>
      </c>
      <c r="BC156" s="419">
        <f t="shared" si="50"/>
        <v>148396.59923735686</v>
      </c>
      <c r="BD156" s="410" t="s">
        <v>1271</v>
      </c>
      <c r="BE156" s="423" t="s">
        <v>1272</v>
      </c>
      <c r="BF156" s="421"/>
    </row>
    <row r="157" spans="1:58" s="327" customFormat="1" ht="18" customHeight="1" x14ac:dyDescent="0.35">
      <c r="A157" s="660">
        <v>87</v>
      </c>
      <c r="B157" s="660" t="str">
        <f>VLOOKUP($A157,'Measure Level Adjustments Tab'!$A$5:$CL$272,6,FALSE)</f>
        <v>Standard</v>
      </c>
      <c r="C157" s="659" t="s">
        <v>81</v>
      </c>
      <c r="D157" s="659" t="s">
        <v>206</v>
      </c>
      <c r="E157" s="411">
        <f>VLOOKUP($A157,'Measure Level Adjustments Tab'!$A$5:$CL$272,13,FALSE)</f>
        <v>1</v>
      </c>
      <c r="F157" s="411" t="str">
        <f>VLOOKUP($A157,'Measure Level Adjustments Tab'!$A$5:$CL$272,11,FALSE)</f>
        <v>4.4.16</v>
      </c>
      <c r="G157" s="411">
        <f>VLOOKUP($A157,'Measure Level Adjustments Tab'!$A$5:$CL$272,14,FALSE)</f>
        <v>0</v>
      </c>
      <c r="H157" s="663">
        <f>VLOOKUP($A157,'Measure Level Adjustments Tab'!$A$5:$CL$272,54,FALSE)</f>
        <v>285</v>
      </c>
      <c r="I157" s="663">
        <f>VLOOKUP($A157,'Measure Level Adjustments Tab'!$A$5:$CL$272,55,FALSE)</f>
        <v>269</v>
      </c>
      <c r="J157" s="663">
        <f>VLOOKUP($A157,'Measure Level Adjustments Tab'!$A$5:$CL$272,56,FALSE)</f>
        <v>0</v>
      </c>
      <c r="K157" s="663">
        <f>VLOOKUP($A157,'Measure Level Adjustments Tab'!$A$5:$CL$272,57,FALSE)</f>
        <v>0</v>
      </c>
      <c r="L157" s="411" t="str">
        <f>VLOOKUP($A157,'Measure Level Adjustments Tab'!$A$5:$CL$272,12,FALSE)</f>
        <v>CI-HVC-STRE-V05-180101</v>
      </c>
      <c r="M157" s="422"/>
      <c r="N157" s="662">
        <v>4382.0432722457281</v>
      </c>
      <c r="O157" s="662">
        <v>4382.0432722457281</v>
      </c>
      <c r="P157" s="662">
        <v>4382.0432722457281</v>
      </c>
      <c r="Q157" s="662">
        <v>4382.0432722457281</v>
      </c>
      <c r="R157" s="661">
        <f>VLOOKUP($A157,'Measure Level Adjustments Tab'!$A$5:$CL$272,46,FALSE)</f>
        <v>0.60799999999999998</v>
      </c>
      <c r="S157" s="661">
        <f>VLOOKUP($A157,'Measure Level Adjustments Tab'!$A$5:$CL$272,47,FALSE)</f>
        <v>0.60799999999999998</v>
      </c>
      <c r="T157" s="661">
        <f>VLOOKUP($A157,'Measure Level Adjustments Tab'!$A$5:$CL$272,48,FALSE)</f>
        <v>0.60799999999999998</v>
      </c>
      <c r="U157" s="661">
        <f>VLOOKUP($A157,'Measure Level Adjustments Tab'!$A$5:$CL$272,49,FALSE)</f>
        <v>0.60799999999999998</v>
      </c>
      <c r="V157" s="418">
        <f t="shared" si="36"/>
        <v>759320.4582147398</v>
      </c>
      <c r="W157" s="418">
        <f t="shared" si="36"/>
        <v>716691.9412623333</v>
      </c>
      <c r="X157" s="418">
        <f t="shared" si="36"/>
        <v>0</v>
      </c>
      <c r="Y157" s="418">
        <f t="shared" si="36"/>
        <v>0</v>
      </c>
      <c r="Z157" s="418">
        <f t="shared" si="37"/>
        <v>1476012.399477073</v>
      </c>
      <c r="AA157" s="410"/>
      <c r="AB157" s="422"/>
      <c r="AC157" s="415">
        <v>4382.0432722457281</v>
      </c>
      <c r="AD157" s="416"/>
      <c r="AE157" s="414">
        <f t="shared" si="38"/>
        <v>759320.4582147398</v>
      </c>
      <c r="AF157" s="412">
        <f t="shared" si="39"/>
        <v>0</v>
      </c>
      <c r="AG157" s="410"/>
      <c r="AH157" s="422"/>
      <c r="AI157" s="413">
        <v>4382.0432722457281</v>
      </c>
      <c r="AJ157" s="2669" t="s">
        <v>820</v>
      </c>
      <c r="AK157" s="414">
        <f t="shared" si="40"/>
        <v>716691.9412623333</v>
      </c>
      <c r="AL157" s="412">
        <f t="shared" si="41"/>
        <v>0</v>
      </c>
      <c r="AM157" s="410"/>
      <c r="AN157" s="422"/>
      <c r="AO157" s="413">
        <v>4382.0432722457281</v>
      </c>
      <c r="AP157" s="2669" t="s">
        <v>304</v>
      </c>
      <c r="AQ157" s="414">
        <f t="shared" si="42"/>
        <v>0</v>
      </c>
      <c r="AR157" s="412">
        <f t="shared" si="43"/>
        <v>0</v>
      </c>
      <c r="AS157" s="410"/>
      <c r="AT157" s="422"/>
      <c r="AU157" s="413">
        <f>VLOOKUP($A157,'Measure Level Adjustments Tab'!$A$5:$CL$272,53,FALSE)/U157</f>
        <v>4382.0432722457281</v>
      </c>
      <c r="AV157" s="2669" t="s">
        <v>304</v>
      </c>
      <c r="AW157" s="414">
        <f t="shared" si="44"/>
        <v>0</v>
      </c>
      <c r="AX157" s="412">
        <f t="shared" si="45"/>
        <v>0</v>
      </c>
      <c r="AY157" s="418">
        <f t="shared" si="46"/>
        <v>759320.4582147398</v>
      </c>
      <c r="AZ157" s="418">
        <f t="shared" si="47"/>
        <v>716691.9412623333</v>
      </c>
      <c r="BA157" s="418">
        <f t="shared" si="48"/>
        <v>0</v>
      </c>
      <c r="BB157" s="418">
        <f t="shared" si="49"/>
        <v>0</v>
      </c>
      <c r="BC157" s="419">
        <f t="shared" si="50"/>
        <v>1476012.399477073</v>
      </c>
      <c r="BD157" s="410" t="s">
        <v>1271</v>
      </c>
      <c r="BE157" s="423" t="s">
        <v>1272</v>
      </c>
      <c r="BF157" s="421"/>
    </row>
    <row r="158" spans="1:58" s="327" customFormat="1" ht="18" customHeight="1" x14ac:dyDescent="0.35">
      <c r="A158" s="660">
        <v>103</v>
      </c>
      <c r="B158" s="660" t="str">
        <f>VLOOKUP($A158,'Measure Level Adjustments Tab'!$A$5:$CL$272,6,FALSE)</f>
        <v>Standard</v>
      </c>
      <c r="C158" s="659" t="s">
        <v>81</v>
      </c>
      <c r="D158" s="659" t="s">
        <v>209</v>
      </c>
      <c r="E158" s="411">
        <f>VLOOKUP($A158,'Measure Level Adjustments Tab'!$A$5:$CL$272,13,FALSE)</f>
        <v>1</v>
      </c>
      <c r="F158" s="411" t="str">
        <f>VLOOKUP($A158,'Measure Level Adjustments Tab'!$A$5:$CL$272,11,FALSE)</f>
        <v>4.2.1</v>
      </c>
      <c r="G158" s="411">
        <f>VLOOKUP($A158,'Measure Level Adjustments Tab'!$A$5:$CL$272,14,FALSE)</f>
        <v>0</v>
      </c>
      <c r="H158" s="663">
        <f>VLOOKUP($A158,'Measure Level Adjustments Tab'!$A$5:$CL$272,54,FALSE)</f>
        <v>1</v>
      </c>
      <c r="I158" s="663">
        <f>VLOOKUP($A158,'Measure Level Adjustments Tab'!$A$5:$CL$272,55,FALSE)</f>
        <v>1</v>
      </c>
      <c r="J158" s="663">
        <f>VLOOKUP($A158,'Measure Level Adjustments Tab'!$A$5:$CL$272,56,FALSE)</f>
        <v>2</v>
      </c>
      <c r="K158" s="663">
        <f>VLOOKUP($A158,'Measure Level Adjustments Tab'!$A$5:$CL$272,57,FALSE)</f>
        <v>2</v>
      </c>
      <c r="L158" s="411" t="str">
        <f>VLOOKUP($A158,'Measure Level Adjustments Tab'!$A$5:$CL$272,12,FALSE)</f>
        <v>CI-FSE-CBOV-V02-160601</v>
      </c>
      <c r="M158" s="422"/>
      <c r="N158" s="662">
        <v>257</v>
      </c>
      <c r="O158" s="662">
        <v>257</v>
      </c>
      <c r="P158" s="662">
        <v>257</v>
      </c>
      <c r="Q158" s="662">
        <v>257</v>
      </c>
      <c r="R158" s="661">
        <f>VLOOKUP($A158,'Measure Level Adjustments Tab'!$A$5:$CL$272,46,FALSE)</f>
        <v>0.67500000000000004</v>
      </c>
      <c r="S158" s="661">
        <f>VLOOKUP($A158,'Measure Level Adjustments Tab'!$A$5:$CL$272,47,FALSE)</f>
        <v>0.67500000000000004</v>
      </c>
      <c r="T158" s="661">
        <f>VLOOKUP($A158,'Measure Level Adjustments Tab'!$A$5:$CL$272,48,FALSE)</f>
        <v>0.67500000000000004</v>
      </c>
      <c r="U158" s="661">
        <f>VLOOKUP($A158,'Measure Level Adjustments Tab'!$A$5:$CL$272,49,FALSE)</f>
        <v>0.67500000000000004</v>
      </c>
      <c r="V158" s="418">
        <f t="shared" si="36"/>
        <v>173.47500000000002</v>
      </c>
      <c r="W158" s="418">
        <f t="shared" si="36"/>
        <v>173.47500000000002</v>
      </c>
      <c r="X158" s="418">
        <f t="shared" si="36"/>
        <v>346.95000000000005</v>
      </c>
      <c r="Y158" s="418">
        <f t="shared" si="36"/>
        <v>346.95000000000005</v>
      </c>
      <c r="Z158" s="418">
        <f t="shared" si="37"/>
        <v>1040.8500000000001</v>
      </c>
      <c r="AA158" s="410"/>
      <c r="AB158" s="422"/>
      <c r="AC158" s="415">
        <v>257</v>
      </c>
      <c r="AD158" s="416"/>
      <c r="AE158" s="414">
        <f t="shared" si="38"/>
        <v>173.47500000000002</v>
      </c>
      <c r="AF158" s="412">
        <f t="shared" si="39"/>
        <v>0</v>
      </c>
      <c r="AG158" s="410"/>
      <c r="AH158" s="422"/>
      <c r="AI158" s="413">
        <v>257</v>
      </c>
      <c r="AJ158" s="2669" t="s">
        <v>820</v>
      </c>
      <c r="AK158" s="414">
        <f t="shared" si="40"/>
        <v>173.47500000000002</v>
      </c>
      <c r="AL158" s="412">
        <f t="shared" si="41"/>
        <v>0</v>
      </c>
      <c r="AM158" s="410"/>
      <c r="AN158" s="422"/>
      <c r="AO158" s="413">
        <v>257</v>
      </c>
      <c r="AP158" s="2669" t="s">
        <v>304</v>
      </c>
      <c r="AQ158" s="414">
        <f t="shared" si="42"/>
        <v>346.95000000000005</v>
      </c>
      <c r="AR158" s="412">
        <f t="shared" si="43"/>
        <v>0</v>
      </c>
      <c r="AS158" s="410"/>
      <c r="AT158" s="422"/>
      <c r="AU158" s="413">
        <f>VLOOKUP($A158,'Measure Level Adjustments Tab'!$A$5:$CL$272,53,FALSE)/U158</f>
        <v>257</v>
      </c>
      <c r="AV158" s="2669" t="s">
        <v>304</v>
      </c>
      <c r="AW158" s="414">
        <f t="shared" si="44"/>
        <v>346.95000000000005</v>
      </c>
      <c r="AX158" s="412">
        <f t="shared" si="45"/>
        <v>0</v>
      </c>
      <c r="AY158" s="418">
        <f t="shared" si="46"/>
        <v>173.47500000000002</v>
      </c>
      <c r="AZ158" s="418">
        <f t="shared" si="47"/>
        <v>173.47500000000002</v>
      </c>
      <c r="BA158" s="418">
        <f t="shared" si="48"/>
        <v>346.95000000000005</v>
      </c>
      <c r="BB158" s="418">
        <f t="shared" si="49"/>
        <v>346.95000000000005</v>
      </c>
      <c r="BC158" s="419">
        <f t="shared" si="50"/>
        <v>1040.8500000000001</v>
      </c>
      <c r="BD158" s="410" t="s">
        <v>1271</v>
      </c>
      <c r="BE158" s="423" t="s">
        <v>1272</v>
      </c>
      <c r="BF158" s="421"/>
    </row>
    <row r="159" spans="1:58" s="327" customFormat="1" ht="18" customHeight="1" x14ac:dyDescent="0.35">
      <c r="A159" s="660">
        <v>48</v>
      </c>
      <c r="B159" s="660" t="str">
        <f>VLOOKUP($A159,'Measure Level Adjustments Tab'!$A$5:$CL$272,6,FALSE)</f>
        <v>Standard</v>
      </c>
      <c r="C159" s="659" t="s">
        <v>81</v>
      </c>
      <c r="D159" s="659" t="s">
        <v>2957</v>
      </c>
      <c r="E159" s="411">
        <f>VLOOKUP($A159,'Measure Level Adjustments Tab'!$A$5:$CL$272,13,FALSE)</f>
        <v>1</v>
      </c>
      <c r="F159" s="411" t="str">
        <f>VLOOKUP($A159,'Measure Level Adjustments Tab'!$A$5:$CL$272,11,FALSE)</f>
        <v>n/a</v>
      </c>
      <c r="G159" s="411">
        <f>VLOOKUP($A159,'Measure Level Adjustments Tab'!$A$5:$CL$272,14,FALSE)</f>
        <v>0</v>
      </c>
      <c r="H159" s="663">
        <f>VLOOKUP($A159,'Measure Level Adjustments Tab'!$A$5:$CL$272,54,FALSE)</f>
        <v>0</v>
      </c>
      <c r="I159" s="663">
        <f>VLOOKUP($A159,'Measure Level Adjustments Tab'!$A$5:$CL$272,55,FALSE)</f>
        <v>66</v>
      </c>
      <c r="J159" s="663">
        <f>VLOOKUP($A159,'Measure Level Adjustments Tab'!$A$5:$CL$272,56,FALSE)</f>
        <v>91</v>
      </c>
      <c r="K159" s="663">
        <f>VLOOKUP($A159,'Measure Level Adjustments Tab'!$A$5:$CL$272,57,FALSE)</f>
        <v>95</v>
      </c>
      <c r="L159" s="411" t="str">
        <f>VLOOKUP($A159,'Measure Level Adjustments Tab'!$A$5:$CL$272,12,FALSE)</f>
        <v>n/a</v>
      </c>
      <c r="M159" s="422"/>
      <c r="N159" s="662">
        <v>61.482900000000001</v>
      </c>
      <c r="O159" s="662">
        <v>61.482900000000001</v>
      </c>
      <c r="P159" s="662">
        <v>61.482900000000001</v>
      </c>
      <c r="Q159" s="662">
        <v>61.482900000000001</v>
      </c>
      <c r="R159" s="661">
        <f>VLOOKUP($A159,'Measure Level Adjustments Tab'!$A$5:$CL$272,46,FALSE)</f>
        <v>0.49399999999999999</v>
      </c>
      <c r="S159" s="661">
        <f>VLOOKUP($A159,'Measure Level Adjustments Tab'!$A$5:$CL$272,47,FALSE)</f>
        <v>0.49399999999999999</v>
      </c>
      <c r="T159" s="661">
        <f>VLOOKUP($A159,'Measure Level Adjustments Tab'!$A$5:$CL$272,48,FALSE)</f>
        <v>0.49399999999999999</v>
      </c>
      <c r="U159" s="661">
        <f>VLOOKUP($A159,'Measure Level Adjustments Tab'!$A$5:$CL$272,49,FALSE)</f>
        <v>0.49399999999999999</v>
      </c>
      <c r="V159" s="418">
        <f t="shared" si="36"/>
        <v>0</v>
      </c>
      <c r="W159" s="418">
        <f t="shared" si="36"/>
        <v>2004.5884716</v>
      </c>
      <c r="X159" s="418">
        <f t="shared" si="36"/>
        <v>2763.9022866</v>
      </c>
      <c r="Y159" s="418">
        <f t="shared" si="36"/>
        <v>2885.3924969999998</v>
      </c>
      <c r="Z159" s="418">
        <f t="shared" si="37"/>
        <v>7653.8832551999994</v>
      </c>
      <c r="AA159" s="410"/>
      <c r="AB159" s="422"/>
      <c r="AC159" s="415">
        <v>61.482900000000001</v>
      </c>
      <c r="AD159" s="416"/>
      <c r="AE159" s="414">
        <f t="shared" si="38"/>
        <v>0</v>
      </c>
      <c r="AF159" s="412">
        <f t="shared" si="39"/>
        <v>0</v>
      </c>
      <c r="AG159" s="410"/>
      <c r="AH159" s="422"/>
      <c r="AI159" s="413">
        <v>61.482900000000001</v>
      </c>
      <c r="AJ159" s="2669" t="s">
        <v>820</v>
      </c>
      <c r="AK159" s="414">
        <f t="shared" si="40"/>
        <v>2004.5884716</v>
      </c>
      <c r="AL159" s="412">
        <f t="shared" si="41"/>
        <v>0</v>
      </c>
      <c r="AM159" s="410"/>
      <c r="AN159" s="422"/>
      <c r="AO159" s="413">
        <v>61.482900000000001</v>
      </c>
      <c r="AP159" s="2669" t="s">
        <v>304</v>
      </c>
      <c r="AQ159" s="414">
        <f t="shared" si="42"/>
        <v>2763.9022866</v>
      </c>
      <c r="AR159" s="412">
        <f t="shared" si="43"/>
        <v>0</v>
      </c>
      <c r="AS159" s="410"/>
      <c r="AT159" s="422"/>
      <c r="AU159" s="413">
        <f>VLOOKUP($A159,'Measure Level Adjustments Tab'!$A$5:$CL$272,53,FALSE)/U159</f>
        <v>61.482900000000001</v>
      </c>
      <c r="AV159" s="2669" t="s">
        <v>304</v>
      </c>
      <c r="AW159" s="414">
        <f t="shared" si="44"/>
        <v>2885.3924969999998</v>
      </c>
      <c r="AX159" s="412">
        <f t="shared" si="45"/>
        <v>0</v>
      </c>
      <c r="AY159" s="418">
        <f t="shared" si="46"/>
        <v>0</v>
      </c>
      <c r="AZ159" s="418">
        <f t="shared" si="47"/>
        <v>2004.5884716</v>
      </c>
      <c r="BA159" s="418">
        <f t="shared" si="48"/>
        <v>2763.9022866</v>
      </c>
      <c r="BB159" s="418">
        <f t="shared" si="49"/>
        <v>2885.3924969999998</v>
      </c>
      <c r="BC159" s="419">
        <f t="shared" si="50"/>
        <v>7653.8832551999994</v>
      </c>
      <c r="BD159" s="410" t="s">
        <v>1271</v>
      </c>
      <c r="BE159" s="423" t="s">
        <v>1272</v>
      </c>
      <c r="BF159" s="421"/>
    </row>
    <row r="160" spans="1:58" s="327" customFormat="1" ht="18" customHeight="1" x14ac:dyDescent="0.35">
      <c r="A160" s="660">
        <v>88</v>
      </c>
      <c r="B160" s="660" t="str">
        <f>VLOOKUP($A160,'Measure Level Adjustments Tab'!$A$5:$CL$272,6,FALSE)</f>
        <v>Standard</v>
      </c>
      <c r="C160" s="659" t="s">
        <v>81</v>
      </c>
      <c r="D160" s="659" t="s">
        <v>206</v>
      </c>
      <c r="E160" s="411">
        <f>VLOOKUP($A160,'Measure Level Adjustments Tab'!$A$5:$CL$272,13,FALSE)</f>
        <v>1</v>
      </c>
      <c r="F160" s="411" t="str">
        <f>VLOOKUP($A160,'Measure Level Adjustments Tab'!$A$5:$CL$272,11,FALSE)</f>
        <v>4.4.16</v>
      </c>
      <c r="G160" s="411">
        <f>VLOOKUP($A160,'Measure Level Adjustments Tab'!$A$5:$CL$272,14,FALSE)</f>
        <v>0</v>
      </c>
      <c r="H160" s="663">
        <f>VLOOKUP($A160,'Measure Level Adjustments Tab'!$A$5:$CL$272,54,FALSE)</f>
        <v>0</v>
      </c>
      <c r="I160" s="663">
        <f>VLOOKUP($A160,'Measure Level Adjustments Tab'!$A$5:$CL$272,55,FALSE)</f>
        <v>0</v>
      </c>
      <c r="J160" s="663">
        <f>VLOOKUP($A160,'Measure Level Adjustments Tab'!$A$5:$CL$272,56,FALSE)</f>
        <v>50</v>
      </c>
      <c r="K160" s="663">
        <f>VLOOKUP($A160,'Measure Level Adjustments Tab'!$A$5:$CL$272,57,FALSE)</f>
        <v>50</v>
      </c>
      <c r="L160" s="411" t="str">
        <f>VLOOKUP($A160,'Measure Level Adjustments Tab'!$A$5:$CL$272,12,FALSE)</f>
        <v>CI-HVC-STRE-V05-180101</v>
      </c>
      <c r="M160" s="422"/>
      <c r="N160" s="662">
        <v>4382.0432722457281</v>
      </c>
      <c r="O160" s="662">
        <v>4382.0432722457281</v>
      </c>
      <c r="P160" s="662">
        <v>4382.0432722457281</v>
      </c>
      <c r="Q160" s="662">
        <v>4382.0432722457281</v>
      </c>
      <c r="R160" s="661">
        <f>VLOOKUP($A160,'Measure Level Adjustments Tab'!$A$5:$CL$272,46,FALSE)</f>
        <v>0.60799999999999998</v>
      </c>
      <c r="S160" s="661">
        <f>VLOOKUP($A160,'Measure Level Adjustments Tab'!$A$5:$CL$272,47,FALSE)</f>
        <v>0.60799999999999998</v>
      </c>
      <c r="T160" s="661">
        <f>VLOOKUP($A160,'Measure Level Adjustments Tab'!$A$5:$CL$272,48,FALSE)</f>
        <v>0.60799999999999998</v>
      </c>
      <c r="U160" s="661">
        <f>VLOOKUP($A160,'Measure Level Adjustments Tab'!$A$5:$CL$272,49,FALSE)</f>
        <v>0.60799999999999998</v>
      </c>
      <c r="V160" s="418">
        <f t="shared" si="36"/>
        <v>0</v>
      </c>
      <c r="W160" s="418">
        <f t="shared" si="36"/>
        <v>0</v>
      </c>
      <c r="X160" s="418">
        <f t="shared" si="36"/>
        <v>133214.11547627015</v>
      </c>
      <c r="Y160" s="418">
        <f t="shared" si="36"/>
        <v>133214.11547627015</v>
      </c>
      <c r="Z160" s="418">
        <f t="shared" si="37"/>
        <v>266428.2309525403</v>
      </c>
      <c r="AA160" s="410"/>
      <c r="AB160" s="422"/>
      <c r="AC160" s="415">
        <v>4382.0432722457281</v>
      </c>
      <c r="AD160" s="416"/>
      <c r="AE160" s="414">
        <f t="shared" si="38"/>
        <v>0</v>
      </c>
      <c r="AF160" s="412">
        <f t="shared" si="39"/>
        <v>0</v>
      </c>
      <c r="AG160" s="410"/>
      <c r="AH160" s="422"/>
      <c r="AI160" s="413">
        <v>4382.0432722457281</v>
      </c>
      <c r="AJ160" s="2669" t="s">
        <v>820</v>
      </c>
      <c r="AK160" s="414">
        <f t="shared" si="40"/>
        <v>0</v>
      </c>
      <c r="AL160" s="412">
        <f t="shared" si="41"/>
        <v>0</v>
      </c>
      <c r="AM160" s="410"/>
      <c r="AN160" s="422"/>
      <c r="AO160" s="413">
        <v>4382.0432722457281</v>
      </c>
      <c r="AP160" s="2669" t="s">
        <v>304</v>
      </c>
      <c r="AQ160" s="414">
        <f t="shared" si="42"/>
        <v>133214.11547627015</v>
      </c>
      <c r="AR160" s="412">
        <f t="shared" si="43"/>
        <v>0</v>
      </c>
      <c r="AS160" s="410"/>
      <c r="AT160" s="422"/>
      <c r="AU160" s="413">
        <f>VLOOKUP($A160,'Measure Level Adjustments Tab'!$A$5:$CL$272,53,FALSE)/U160</f>
        <v>4382.0432722457281</v>
      </c>
      <c r="AV160" s="2669" t="s">
        <v>304</v>
      </c>
      <c r="AW160" s="414">
        <f t="shared" si="44"/>
        <v>133214.11547627015</v>
      </c>
      <c r="AX160" s="412">
        <f t="shared" si="45"/>
        <v>0</v>
      </c>
      <c r="AY160" s="418">
        <f t="shared" si="46"/>
        <v>0</v>
      </c>
      <c r="AZ160" s="418">
        <f t="shared" si="47"/>
        <v>0</v>
      </c>
      <c r="BA160" s="418">
        <f t="shared" si="48"/>
        <v>133214.11547627015</v>
      </c>
      <c r="BB160" s="418">
        <f t="shared" si="49"/>
        <v>133214.11547627015</v>
      </c>
      <c r="BC160" s="419">
        <f t="shared" si="50"/>
        <v>266428.2309525403</v>
      </c>
      <c r="BD160" s="410" t="s">
        <v>1271</v>
      </c>
      <c r="BE160" s="423" t="s">
        <v>1272</v>
      </c>
      <c r="BF160" s="421"/>
    </row>
    <row r="161" spans="1:58" s="327" customFormat="1" ht="18" customHeight="1" x14ac:dyDescent="0.35">
      <c r="A161" s="660">
        <v>336</v>
      </c>
      <c r="B161" s="660" t="str">
        <f>VLOOKUP($A161,'Measure Level Adjustments Tab'!$A$5:$CL$272,6,FALSE)</f>
        <v>Standard</v>
      </c>
      <c r="C161" s="659" t="s">
        <v>1054</v>
      </c>
      <c r="D161" s="659" t="s">
        <v>139</v>
      </c>
      <c r="E161" s="411">
        <f>VLOOKUP($A161,'Measure Level Adjustments Tab'!$A$5:$CL$272,13,FALSE)</f>
        <v>1</v>
      </c>
      <c r="F161" s="411" t="str">
        <f>VLOOKUP($A161,'Measure Level Adjustments Tab'!$A$5:$CL$272,11,FALSE)</f>
        <v>4.2.11</v>
      </c>
      <c r="G161" s="411">
        <f>VLOOKUP($A161,'Measure Level Adjustments Tab'!$A$5:$CL$272,14,FALSE)</f>
        <v>0</v>
      </c>
      <c r="H161" s="663">
        <f>VLOOKUP($A161,'Measure Level Adjustments Tab'!$A$5:$CL$272,54,FALSE)</f>
        <v>15</v>
      </c>
      <c r="I161" s="663">
        <f>VLOOKUP($A161,'Measure Level Adjustments Tab'!$A$5:$CL$272,55,FALSE)</f>
        <v>15</v>
      </c>
      <c r="J161" s="663">
        <f>VLOOKUP($A161,'Measure Level Adjustments Tab'!$A$5:$CL$272,56,FALSE)</f>
        <v>15</v>
      </c>
      <c r="K161" s="663">
        <f>VLOOKUP($A161,'Measure Level Adjustments Tab'!$A$5:$CL$272,57,FALSE)</f>
        <v>15</v>
      </c>
      <c r="L161" s="411" t="str">
        <f>VLOOKUP($A161,'Measure Level Adjustments Tab'!$A$5:$CL$272,12,FALSE)</f>
        <v>CI-FSE-SPRY-V04-180101</v>
      </c>
      <c r="M161" s="422"/>
      <c r="N161" s="662">
        <v>172</v>
      </c>
      <c r="O161" s="662">
        <v>172</v>
      </c>
      <c r="P161" s="662">
        <v>172</v>
      </c>
      <c r="Q161" s="662">
        <v>172</v>
      </c>
      <c r="R161" s="661">
        <f>VLOOKUP($A161,'Measure Level Adjustments Tab'!$A$5:$CL$272,46,FALSE)</f>
        <v>0.9</v>
      </c>
      <c r="S161" s="661">
        <f>VLOOKUP($A161,'Measure Level Adjustments Tab'!$A$5:$CL$272,47,FALSE)</f>
        <v>0.9</v>
      </c>
      <c r="T161" s="661">
        <f>VLOOKUP($A161,'Measure Level Adjustments Tab'!$A$5:$CL$272,48,FALSE)</f>
        <v>0.9</v>
      </c>
      <c r="U161" s="661">
        <f>VLOOKUP($A161,'Measure Level Adjustments Tab'!$A$5:$CL$272,49,FALSE)</f>
        <v>0.9</v>
      </c>
      <c r="V161" s="418">
        <f t="shared" si="36"/>
        <v>2322</v>
      </c>
      <c r="W161" s="418">
        <f t="shared" si="36"/>
        <v>2322</v>
      </c>
      <c r="X161" s="418">
        <f t="shared" si="36"/>
        <v>2322</v>
      </c>
      <c r="Y161" s="418">
        <f t="shared" si="36"/>
        <v>2322</v>
      </c>
      <c r="Z161" s="418">
        <f t="shared" si="37"/>
        <v>9288</v>
      </c>
      <c r="AA161" s="410"/>
      <c r="AB161" s="422"/>
      <c r="AC161" s="415">
        <v>172</v>
      </c>
      <c r="AD161" s="416"/>
      <c r="AE161" s="414">
        <f t="shared" si="38"/>
        <v>2322</v>
      </c>
      <c r="AF161" s="412">
        <f t="shared" si="39"/>
        <v>0</v>
      </c>
      <c r="AG161" s="410"/>
      <c r="AH161" s="422"/>
      <c r="AI161" s="413">
        <v>172</v>
      </c>
      <c r="AJ161" s="2669" t="s">
        <v>820</v>
      </c>
      <c r="AK161" s="414">
        <f t="shared" si="40"/>
        <v>2322</v>
      </c>
      <c r="AL161" s="412">
        <f t="shared" si="41"/>
        <v>0</v>
      </c>
      <c r="AM161" s="410"/>
      <c r="AN161" s="422"/>
      <c r="AO161" s="413">
        <v>172</v>
      </c>
      <c r="AP161" s="2669" t="s">
        <v>304</v>
      </c>
      <c r="AQ161" s="414">
        <f t="shared" si="42"/>
        <v>2322</v>
      </c>
      <c r="AR161" s="412">
        <f t="shared" si="43"/>
        <v>0</v>
      </c>
      <c r="AS161" s="410"/>
      <c r="AT161" s="422"/>
      <c r="AU161" s="413">
        <f>VLOOKUP($A161,'Measure Level Adjustments Tab'!$A$5:$CL$272,53,FALSE)/U161</f>
        <v>172</v>
      </c>
      <c r="AV161" s="2669" t="s">
        <v>304</v>
      </c>
      <c r="AW161" s="414">
        <f t="shared" si="44"/>
        <v>2322</v>
      </c>
      <c r="AX161" s="412">
        <f t="shared" si="45"/>
        <v>0</v>
      </c>
      <c r="AY161" s="418">
        <f t="shared" si="46"/>
        <v>2322</v>
      </c>
      <c r="AZ161" s="418">
        <f t="shared" si="47"/>
        <v>2322</v>
      </c>
      <c r="BA161" s="418">
        <f t="shared" si="48"/>
        <v>2322</v>
      </c>
      <c r="BB161" s="418">
        <f t="shared" si="49"/>
        <v>2322</v>
      </c>
      <c r="BC161" s="419">
        <f t="shared" si="50"/>
        <v>9288</v>
      </c>
      <c r="BD161" s="410" t="s">
        <v>1271</v>
      </c>
      <c r="BE161" s="423" t="s">
        <v>1272</v>
      </c>
      <c r="BF161" s="421"/>
    </row>
    <row r="162" spans="1:58" s="327" customFormat="1" ht="18" customHeight="1" x14ac:dyDescent="0.35">
      <c r="A162" s="660">
        <v>272</v>
      </c>
      <c r="B162" s="660" t="str">
        <f>VLOOKUP($A162,'Measure Level Adjustments Tab'!$A$5:$CL$272,6,FALSE)</f>
        <v>Standard</v>
      </c>
      <c r="C162" s="659" t="s">
        <v>1054</v>
      </c>
      <c r="D162" s="659" t="s">
        <v>144</v>
      </c>
      <c r="E162" s="411">
        <f>VLOOKUP($A162,'Measure Level Adjustments Tab'!$A$5:$CL$272,13,FALSE)</f>
        <v>1</v>
      </c>
      <c r="F162" s="411" t="str">
        <f>VLOOKUP($A162,'Measure Level Adjustments Tab'!$A$5:$CL$272,11,FALSE)</f>
        <v>4.3.4</v>
      </c>
      <c r="G162" s="411">
        <f>VLOOKUP($A162,'Measure Level Adjustments Tab'!$A$5:$CL$272,14,FALSE)</f>
        <v>0</v>
      </c>
      <c r="H162" s="663">
        <f>VLOOKUP($A162,'Measure Level Adjustments Tab'!$A$5:$CL$272,54,FALSE)</f>
        <v>5</v>
      </c>
      <c r="I162" s="663">
        <f>VLOOKUP($A162,'Measure Level Adjustments Tab'!$A$5:$CL$272,55,FALSE)</f>
        <v>5</v>
      </c>
      <c r="J162" s="663">
        <f>VLOOKUP($A162,'Measure Level Adjustments Tab'!$A$5:$CL$272,56,FALSE)</f>
        <v>5</v>
      </c>
      <c r="K162" s="663">
        <f>VLOOKUP($A162,'Measure Level Adjustments Tab'!$A$5:$CL$272,57,FALSE)</f>
        <v>5</v>
      </c>
      <c r="L162" s="411" t="str">
        <f>VLOOKUP($A162,'Measure Level Adjustments Tab'!$A$5:$CL$272,12,FALSE)</f>
        <v>CI-HWE-PLCV-V01-130601</v>
      </c>
      <c r="M162" s="422"/>
      <c r="N162" s="662">
        <v>587.29999999999995</v>
      </c>
      <c r="O162" s="662">
        <v>587.29999999999995</v>
      </c>
      <c r="P162" s="662">
        <v>587.29999999999995</v>
      </c>
      <c r="Q162" s="662">
        <v>587.29999999999995</v>
      </c>
      <c r="R162" s="661">
        <f>VLOOKUP($A162,'Measure Level Adjustments Tab'!$A$5:$CL$272,46,FALSE)</f>
        <v>0.9</v>
      </c>
      <c r="S162" s="661">
        <f>VLOOKUP($A162,'Measure Level Adjustments Tab'!$A$5:$CL$272,47,FALSE)</f>
        <v>0.9</v>
      </c>
      <c r="T162" s="661">
        <f>VLOOKUP($A162,'Measure Level Adjustments Tab'!$A$5:$CL$272,48,FALSE)</f>
        <v>0.9</v>
      </c>
      <c r="U162" s="661">
        <f>VLOOKUP($A162,'Measure Level Adjustments Tab'!$A$5:$CL$272,49,FALSE)</f>
        <v>0.9</v>
      </c>
      <c r="V162" s="418">
        <f t="shared" si="36"/>
        <v>2642.85</v>
      </c>
      <c r="W162" s="418">
        <f t="shared" si="36"/>
        <v>2642.85</v>
      </c>
      <c r="X162" s="418">
        <f t="shared" si="36"/>
        <v>2642.85</v>
      </c>
      <c r="Y162" s="418">
        <f t="shared" si="36"/>
        <v>2642.85</v>
      </c>
      <c r="Z162" s="418">
        <f t="shared" si="37"/>
        <v>10571.4</v>
      </c>
      <c r="AA162" s="410"/>
      <c r="AB162" s="422"/>
      <c r="AC162" s="415">
        <v>587.29999999999995</v>
      </c>
      <c r="AD162" s="416"/>
      <c r="AE162" s="414">
        <f t="shared" si="38"/>
        <v>2642.85</v>
      </c>
      <c r="AF162" s="412">
        <f t="shared" si="39"/>
        <v>0</v>
      </c>
      <c r="AG162" s="410"/>
      <c r="AH162" s="422"/>
      <c r="AI162" s="413">
        <v>587.29999999999995</v>
      </c>
      <c r="AJ162" s="2669" t="s">
        <v>820</v>
      </c>
      <c r="AK162" s="414">
        <f t="shared" si="40"/>
        <v>2642.85</v>
      </c>
      <c r="AL162" s="412">
        <f t="shared" si="41"/>
        <v>0</v>
      </c>
      <c r="AM162" s="410"/>
      <c r="AN162" s="422"/>
      <c r="AO162" s="413">
        <v>587.29999999999995</v>
      </c>
      <c r="AP162" s="2669" t="s">
        <v>304</v>
      </c>
      <c r="AQ162" s="414">
        <f t="shared" si="42"/>
        <v>2642.85</v>
      </c>
      <c r="AR162" s="412">
        <f t="shared" si="43"/>
        <v>0</v>
      </c>
      <c r="AS162" s="410"/>
      <c r="AT162" s="422"/>
      <c r="AU162" s="413">
        <f>VLOOKUP($A162,'Measure Level Adjustments Tab'!$A$5:$CL$272,53,FALSE)/U162</f>
        <v>587.29999999999995</v>
      </c>
      <c r="AV162" s="2669" t="s">
        <v>304</v>
      </c>
      <c r="AW162" s="414">
        <f t="shared" si="44"/>
        <v>2642.85</v>
      </c>
      <c r="AX162" s="412">
        <f t="shared" si="45"/>
        <v>0</v>
      </c>
      <c r="AY162" s="418">
        <f t="shared" si="46"/>
        <v>2642.85</v>
      </c>
      <c r="AZ162" s="418">
        <f t="shared" si="47"/>
        <v>2642.85</v>
      </c>
      <c r="BA162" s="418">
        <f t="shared" si="48"/>
        <v>2642.85</v>
      </c>
      <c r="BB162" s="418">
        <f t="shared" si="49"/>
        <v>2642.85</v>
      </c>
      <c r="BC162" s="419">
        <f t="shared" si="50"/>
        <v>10571.4</v>
      </c>
      <c r="BD162" s="410" t="s">
        <v>1271</v>
      </c>
      <c r="BE162" s="423" t="s">
        <v>1272</v>
      </c>
      <c r="BF162" s="421"/>
    </row>
    <row r="163" spans="1:58" s="327" customFormat="1" ht="18" customHeight="1" x14ac:dyDescent="0.35">
      <c r="A163" s="660">
        <v>310</v>
      </c>
      <c r="B163" s="660" t="str">
        <f>VLOOKUP($A163,'Measure Level Adjustments Tab'!$A$5:$CL$272,6,FALSE)</f>
        <v>Standard</v>
      </c>
      <c r="C163" s="659" t="s">
        <v>1054</v>
      </c>
      <c r="D163" s="659" t="s">
        <v>149</v>
      </c>
      <c r="E163" s="411">
        <f>VLOOKUP($A163,'Measure Level Adjustments Tab'!$A$5:$CL$272,13,FALSE)</f>
        <v>1</v>
      </c>
      <c r="F163" s="411" t="str">
        <f>VLOOKUP($A163,'Measure Level Adjustments Tab'!$A$5:$CL$272,11,FALSE)</f>
        <v>4.2.15</v>
      </c>
      <c r="G163" s="411">
        <f>VLOOKUP($A163,'Measure Level Adjustments Tab'!$A$5:$CL$272,14,FALSE)</f>
        <v>0</v>
      </c>
      <c r="H163" s="663">
        <f>VLOOKUP($A163,'Measure Level Adjustments Tab'!$A$5:$CL$272,54,FALSE)</f>
        <v>0</v>
      </c>
      <c r="I163" s="663">
        <f>VLOOKUP($A163,'Measure Level Adjustments Tab'!$A$5:$CL$272,55,FALSE)</f>
        <v>1</v>
      </c>
      <c r="J163" s="663">
        <f>VLOOKUP($A163,'Measure Level Adjustments Tab'!$A$5:$CL$272,56,FALSE)</f>
        <v>0</v>
      </c>
      <c r="K163" s="663">
        <f>VLOOKUP($A163,'Measure Level Adjustments Tab'!$A$5:$CL$272,57,FALSE)</f>
        <v>1</v>
      </c>
      <c r="L163" s="411" t="str">
        <f>VLOOKUP($A163,'Measure Level Adjustments Tab'!$A$5:$CL$272,12,FALSE)</f>
        <v>CI-FSE-IRUB-V02-180101</v>
      </c>
      <c r="M163" s="422"/>
      <c r="N163" s="662">
        <v>1089</v>
      </c>
      <c r="O163" s="662">
        <v>1089</v>
      </c>
      <c r="P163" s="662">
        <v>1089</v>
      </c>
      <c r="Q163" s="662">
        <v>1089</v>
      </c>
      <c r="R163" s="661">
        <f>VLOOKUP($A163,'Measure Level Adjustments Tab'!$A$5:$CL$272,46,FALSE)</f>
        <v>0.9</v>
      </c>
      <c r="S163" s="661">
        <f>VLOOKUP($A163,'Measure Level Adjustments Tab'!$A$5:$CL$272,47,FALSE)</f>
        <v>0.9</v>
      </c>
      <c r="T163" s="661">
        <f>VLOOKUP($A163,'Measure Level Adjustments Tab'!$A$5:$CL$272,48,FALSE)</f>
        <v>0.9</v>
      </c>
      <c r="U163" s="661">
        <f>VLOOKUP($A163,'Measure Level Adjustments Tab'!$A$5:$CL$272,49,FALSE)</f>
        <v>0.9</v>
      </c>
      <c r="V163" s="418">
        <f t="shared" si="36"/>
        <v>0</v>
      </c>
      <c r="W163" s="418">
        <f t="shared" si="36"/>
        <v>980.1</v>
      </c>
      <c r="X163" s="418">
        <f t="shared" si="36"/>
        <v>0</v>
      </c>
      <c r="Y163" s="418">
        <f t="shared" si="36"/>
        <v>980.1</v>
      </c>
      <c r="Z163" s="418">
        <f t="shared" si="37"/>
        <v>1960.2</v>
      </c>
      <c r="AA163" s="410"/>
      <c r="AB163" s="422"/>
      <c r="AC163" s="415">
        <v>1089</v>
      </c>
      <c r="AD163" s="416"/>
      <c r="AE163" s="414">
        <f t="shared" si="38"/>
        <v>0</v>
      </c>
      <c r="AF163" s="412">
        <f t="shared" si="39"/>
        <v>0</v>
      </c>
      <c r="AG163" s="410"/>
      <c r="AH163" s="422"/>
      <c r="AI163" s="413">
        <v>1089</v>
      </c>
      <c r="AJ163" s="2669" t="s">
        <v>820</v>
      </c>
      <c r="AK163" s="414">
        <f t="shared" si="40"/>
        <v>980.1</v>
      </c>
      <c r="AL163" s="412">
        <f t="shared" si="41"/>
        <v>0</v>
      </c>
      <c r="AM163" s="410"/>
      <c r="AN163" s="422"/>
      <c r="AO163" s="413">
        <v>1089</v>
      </c>
      <c r="AP163" s="2669" t="s">
        <v>304</v>
      </c>
      <c r="AQ163" s="414">
        <f t="shared" si="42"/>
        <v>0</v>
      </c>
      <c r="AR163" s="412">
        <f t="shared" si="43"/>
        <v>0</v>
      </c>
      <c r="AS163" s="410"/>
      <c r="AT163" s="422"/>
      <c r="AU163" s="413">
        <f>VLOOKUP($A163,'Measure Level Adjustments Tab'!$A$5:$CL$272,53,FALSE)/U163</f>
        <v>1089</v>
      </c>
      <c r="AV163" s="2669" t="s">
        <v>304</v>
      </c>
      <c r="AW163" s="414">
        <f t="shared" si="44"/>
        <v>980.1</v>
      </c>
      <c r="AX163" s="412">
        <f t="shared" si="45"/>
        <v>0</v>
      </c>
      <c r="AY163" s="418">
        <f t="shared" si="46"/>
        <v>0</v>
      </c>
      <c r="AZ163" s="418">
        <f t="shared" si="47"/>
        <v>980.1</v>
      </c>
      <c r="BA163" s="418">
        <f t="shared" si="48"/>
        <v>0</v>
      </c>
      <c r="BB163" s="418">
        <f t="shared" si="49"/>
        <v>980.1</v>
      </c>
      <c r="BC163" s="419">
        <f t="shared" si="50"/>
        <v>1960.2</v>
      </c>
      <c r="BD163" s="410" t="s">
        <v>1271</v>
      </c>
      <c r="BE163" s="423" t="s">
        <v>1272</v>
      </c>
      <c r="BF163" s="421"/>
    </row>
    <row r="164" spans="1:58" s="327" customFormat="1" ht="18" customHeight="1" x14ac:dyDescent="0.35">
      <c r="A164" s="660">
        <v>307</v>
      </c>
      <c r="B164" s="660" t="str">
        <f>VLOOKUP($A164,'Measure Level Adjustments Tab'!$A$5:$CL$272,6,FALSE)</f>
        <v>Standard</v>
      </c>
      <c r="C164" s="659" t="s">
        <v>1054</v>
      </c>
      <c r="D164" s="659" t="s">
        <v>151</v>
      </c>
      <c r="E164" s="411">
        <f>VLOOKUP($A164,'Measure Level Adjustments Tab'!$A$5:$CL$272,13,FALSE)</f>
        <v>1</v>
      </c>
      <c r="F164" s="411" t="str">
        <f>VLOOKUP($A164,'Measure Level Adjustments Tab'!$A$5:$CL$272,11,FALSE)</f>
        <v>4.2.12</v>
      </c>
      <c r="G164" s="411">
        <f>VLOOKUP($A164,'Measure Level Adjustments Tab'!$A$5:$CL$272,14,FALSE)</f>
        <v>0</v>
      </c>
      <c r="H164" s="663">
        <f>VLOOKUP($A164,'Measure Level Adjustments Tab'!$A$5:$CL$272,54,FALSE)</f>
        <v>0</v>
      </c>
      <c r="I164" s="663">
        <f>VLOOKUP($A164,'Measure Level Adjustments Tab'!$A$5:$CL$272,55,FALSE)</f>
        <v>0</v>
      </c>
      <c r="J164" s="663">
        <f>VLOOKUP($A164,'Measure Level Adjustments Tab'!$A$5:$CL$272,56,FALSE)</f>
        <v>0</v>
      </c>
      <c r="K164" s="663">
        <f>VLOOKUP($A164,'Measure Level Adjustments Tab'!$A$5:$CL$272,57,FALSE)</f>
        <v>1</v>
      </c>
      <c r="L164" s="411" t="str">
        <f>VLOOKUP($A164,'Measure Level Adjustments Tab'!$A$5:$CL$272,12,FALSE)</f>
        <v>CI-FSE-IRCB-V02-180101</v>
      </c>
      <c r="M164" s="422"/>
      <c r="N164" s="662">
        <v>661</v>
      </c>
      <c r="O164" s="662">
        <v>661</v>
      </c>
      <c r="P164" s="662">
        <v>661</v>
      </c>
      <c r="Q164" s="662">
        <v>661</v>
      </c>
      <c r="R164" s="661">
        <f>VLOOKUP($A164,'Measure Level Adjustments Tab'!$A$5:$CL$272,46,FALSE)</f>
        <v>0.9</v>
      </c>
      <c r="S164" s="661">
        <f>VLOOKUP($A164,'Measure Level Adjustments Tab'!$A$5:$CL$272,47,FALSE)</f>
        <v>0.9</v>
      </c>
      <c r="T164" s="661">
        <f>VLOOKUP($A164,'Measure Level Adjustments Tab'!$A$5:$CL$272,48,FALSE)</f>
        <v>0.9</v>
      </c>
      <c r="U164" s="661">
        <f>VLOOKUP($A164,'Measure Level Adjustments Tab'!$A$5:$CL$272,49,FALSE)</f>
        <v>0.9</v>
      </c>
      <c r="V164" s="418">
        <f t="shared" si="36"/>
        <v>0</v>
      </c>
      <c r="W164" s="418">
        <f t="shared" si="36"/>
        <v>0</v>
      </c>
      <c r="X164" s="418">
        <f t="shared" si="36"/>
        <v>0</v>
      </c>
      <c r="Y164" s="418">
        <f t="shared" si="36"/>
        <v>594.9</v>
      </c>
      <c r="Z164" s="418">
        <f t="shared" si="37"/>
        <v>594.9</v>
      </c>
      <c r="AA164" s="410"/>
      <c r="AB164" s="422"/>
      <c r="AC164" s="415">
        <v>661</v>
      </c>
      <c r="AD164" s="416"/>
      <c r="AE164" s="414">
        <f t="shared" si="38"/>
        <v>0</v>
      </c>
      <c r="AF164" s="412">
        <f t="shared" si="39"/>
        <v>0</v>
      </c>
      <c r="AG164" s="410"/>
      <c r="AH164" s="422"/>
      <c r="AI164" s="413">
        <v>661</v>
      </c>
      <c r="AJ164" s="2669" t="s">
        <v>820</v>
      </c>
      <c r="AK164" s="414">
        <f t="shared" si="40"/>
        <v>0</v>
      </c>
      <c r="AL164" s="412">
        <f t="shared" si="41"/>
        <v>0</v>
      </c>
      <c r="AM164" s="410"/>
      <c r="AN164" s="422"/>
      <c r="AO164" s="413">
        <v>661</v>
      </c>
      <c r="AP164" s="2669" t="s">
        <v>304</v>
      </c>
      <c r="AQ164" s="414">
        <f t="shared" si="42"/>
        <v>0</v>
      </c>
      <c r="AR164" s="412">
        <f t="shared" si="43"/>
        <v>0</v>
      </c>
      <c r="AS164" s="410"/>
      <c r="AT164" s="422"/>
      <c r="AU164" s="413">
        <f>VLOOKUP($A164,'Measure Level Adjustments Tab'!$A$5:$CL$272,53,FALSE)/U164</f>
        <v>661</v>
      </c>
      <c r="AV164" s="2669" t="s">
        <v>304</v>
      </c>
      <c r="AW164" s="414">
        <f t="shared" si="44"/>
        <v>594.9</v>
      </c>
      <c r="AX164" s="412">
        <f t="shared" si="45"/>
        <v>0</v>
      </c>
      <c r="AY164" s="418">
        <f t="shared" si="46"/>
        <v>0</v>
      </c>
      <c r="AZ164" s="418">
        <f t="shared" si="47"/>
        <v>0</v>
      </c>
      <c r="BA164" s="418">
        <f t="shared" si="48"/>
        <v>0</v>
      </c>
      <c r="BB164" s="418">
        <f t="shared" si="49"/>
        <v>594.9</v>
      </c>
      <c r="BC164" s="419">
        <f t="shared" si="50"/>
        <v>594.9</v>
      </c>
      <c r="BD164" s="410" t="s">
        <v>1271</v>
      </c>
      <c r="BE164" s="423" t="s">
        <v>1272</v>
      </c>
      <c r="BF164" s="421"/>
    </row>
    <row r="165" spans="1:58" s="327" customFormat="1" ht="18" customHeight="1" x14ac:dyDescent="0.35">
      <c r="A165" s="660">
        <v>333</v>
      </c>
      <c r="B165" s="660" t="str">
        <f>VLOOKUP($A165,'Measure Level Adjustments Tab'!$A$5:$CL$272,6,FALSE)</f>
        <v>Standard</v>
      </c>
      <c r="C165" s="659" t="s">
        <v>1054</v>
      </c>
      <c r="D165" s="659" t="s">
        <v>153</v>
      </c>
      <c r="E165" s="411">
        <f>VLOOKUP($A165,'Measure Level Adjustments Tab'!$A$5:$CL$272,13,FALSE)</f>
        <v>1</v>
      </c>
      <c r="F165" s="411" t="str">
        <f>VLOOKUP($A165,'Measure Level Adjustments Tab'!$A$5:$CL$272,11,FALSE)</f>
        <v>4.2.17</v>
      </c>
      <c r="G165" s="411">
        <f>VLOOKUP($A165,'Measure Level Adjustments Tab'!$A$5:$CL$272,14,FALSE)</f>
        <v>0</v>
      </c>
      <c r="H165" s="663">
        <f>VLOOKUP($A165,'Measure Level Adjustments Tab'!$A$5:$CL$272,54,FALSE)</f>
        <v>0</v>
      </c>
      <c r="I165" s="663">
        <f>VLOOKUP($A165,'Measure Level Adjustments Tab'!$A$5:$CL$272,55,FALSE)</f>
        <v>1</v>
      </c>
      <c r="J165" s="663">
        <f>VLOOKUP($A165,'Measure Level Adjustments Tab'!$A$5:$CL$272,56,FALSE)</f>
        <v>0</v>
      </c>
      <c r="K165" s="663">
        <f>VLOOKUP($A165,'Measure Level Adjustments Tab'!$A$5:$CL$272,57,FALSE)</f>
        <v>0</v>
      </c>
      <c r="L165" s="411" t="str">
        <f>VLOOKUP($A165,'Measure Level Adjustments Tab'!$A$5:$CL$272,12,FALSE)</f>
        <v>CI-FSE-PCOK-V02-180101</v>
      </c>
      <c r="M165" s="422"/>
      <c r="N165" s="662">
        <v>1380</v>
      </c>
      <c r="O165" s="662">
        <v>1380</v>
      </c>
      <c r="P165" s="662">
        <v>1380</v>
      </c>
      <c r="Q165" s="662">
        <v>1380</v>
      </c>
      <c r="R165" s="661">
        <f>VLOOKUP($A165,'Measure Level Adjustments Tab'!$A$5:$CL$272,46,FALSE)</f>
        <v>0.9</v>
      </c>
      <c r="S165" s="661">
        <f>VLOOKUP($A165,'Measure Level Adjustments Tab'!$A$5:$CL$272,47,FALSE)</f>
        <v>0.9</v>
      </c>
      <c r="T165" s="661">
        <f>VLOOKUP($A165,'Measure Level Adjustments Tab'!$A$5:$CL$272,48,FALSE)</f>
        <v>0.9</v>
      </c>
      <c r="U165" s="661">
        <f>VLOOKUP($A165,'Measure Level Adjustments Tab'!$A$5:$CL$272,49,FALSE)</f>
        <v>0.9</v>
      </c>
      <c r="V165" s="418">
        <f t="shared" si="36"/>
        <v>0</v>
      </c>
      <c r="W165" s="418">
        <f t="shared" si="36"/>
        <v>1242</v>
      </c>
      <c r="X165" s="418">
        <f t="shared" si="36"/>
        <v>0</v>
      </c>
      <c r="Y165" s="418">
        <f t="shared" si="36"/>
        <v>0</v>
      </c>
      <c r="Z165" s="418">
        <f t="shared" si="37"/>
        <v>1242</v>
      </c>
      <c r="AA165" s="410"/>
      <c r="AB165" s="422"/>
      <c r="AC165" s="415">
        <v>1380</v>
      </c>
      <c r="AD165" s="416"/>
      <c r="AE165" s="414">
        <f t="shared" si="38"/>
        <v>0</v>
      </c>
      <c r="AF165" s="412">
        <f t="shared" si="39"/>
        <v>0</v>
      </c>
      <c r="AG165" s="410"/>
      <c r="AH165" s="422"/>
      <c r="AI165" s="413">
        <v>1380</v>
      </c>
      <c r="AJ165" s="2669" t="s">
        <v>820</v>
      </c>
      <c r="AK165" s="414">
        <f t="shared" si="40"/>
        <v>1242</v>
      </c>
      <c r="AL165" s="412">
        <f t="shared" si="41"/>
        <v>0</v>
      </c>
      <c r="AM165" s="410"/>
      <c r="AN165" s="422"/>
      <c r="AO165" s="413">
        <v>1380</v>
      </c>
      <c r="AP165" s="2669" t="s">
        <v>304</v>
      </c>
      <c r="AQ165" s="414">
        <f t="shared" si="42"/>
        <v>0</v>
      </c>
      <c r="AR165" s="412">
        <f t="shared" si="43"/>
        <v>0</v>
      </c>
      <c r="AS165" s="410"/>
      <c r="AT165" s="422"/>
      <c r="AU165" s="413">
        <f>VLOOKUP($A165,'Measure Level Adjustments Tab'!$A$5:$CL$272,53,FALSE)/U165</f>
        <v>1380</v>
      </c>
      <c r="AV165" s="2669" t="s">
        <v>304</v>
      </c>
      <c r="AW165" s="414">
        <f t="shared" si="44"/>
        <v>0</v>
      </c>
      <c r="AX165" s="412">
        <f t="shared" si="45"/>
        <v>0</v>
      </c>
      <c r="AY165" s="418">
        <f t="shared" si="46"/>
        <v>0</v>
      </c>
      <c r="AZ165" s="418">
        <f t="shared" si="47"/>
        <v>1242</v>
      </c>
      <c r="BA165" s="418">
        <f t="shared" si="48"/>
        <v>0</v>
      </c>
      <c r="BB165" s="418">
        <f t="shared" si="49"/>
        <v>0</v>
      </c>
      <c r="BC165" s="419">
        <f t="shared" si="50"/>
        <v>1242</v>
      </c>
      <c r="BD165" s="410" t="s">
        <v>1271</v>
      </c>
      <c r="BE165" s="423" t="s">
        <v>1272</v>
      </c>
      <c r="BF165" s="421"/>
    </row>
    <row r="166" spans="1:58" s="327" customFormat="1" ht="18" customHeight="1" x14ac:dyDescent="0.35">
      <c r="A166" s="660">
        <v>338</v>
      </c>
      <c r="B166" s="660" t="str">
        <f>VLOOKUP($A166,'Measure Level Adjustments Tab'!$A$5:$CL$272,6,FALSE)</f>
        <v>Standard</v>
      </c>
      <c r="C166" s="659" t="s">
        <v>1054</v>
      </c>
      <c r="D166" s="659" t="s">
        <v>154</v>
      </c>
      <c r="E166" s="411">
        <f>VLOOKUP($A166,'Measure Level Adjustments Tab'!$A$5:$CL$272,13,FALSE)</f>
        <v>1</v>
      </c>
      <c r="F166" s="411" t="str">
        <f>VLOOKUP($A166,'Measure Level Adjustments Tab'!$A$5:$CL$272,11,FALSE)</f>
        <v>4.2.18</v>
      </c>
      <c r="G166" s="411">
        <f>VLOOKUP($A166,'Measure Level Adjustments Tab'!$A$5:$CL$272,14,FALSE)</f>
        <v>0</v>
      </c>
      <c r="H166" s="663">
        <f>VLOOKUP($A166,'Measure Level Adjustments Tab'!$A$5:$CL$272,54,FALSE)</f>
        <v>1</v>
      </c>
      <c r="I166" s="663">
        <f>VLOOKUP($A166,'Measure Level Adjustments Tab'!$A$5:$CL$272,55,FALSE)</f>
        <v>0</v>
      </c>
      <c r="J166" s="663">
        <f>VLOOKUP($A166,'Measure Level Adjustments Tab'!$A$5:$CL$272,56,FALSE)</f>
        <v>1</v>
      </c>
      <c r="K166" s="663">
        <f>VLOOKUP($A166,'Measure Level Adjustments Tab'!$A$5:$CL$272,57,FALSE)</f>
        <v>1</v>
      </c>
      <c r="L166" s="411" t="str">
        <f>VLOOKUP($A166,'Measure Level Adjustments Tab'!$A$5:$CL$272,12,FALSE)</f>
        <v>CI-FSE-RKOV-VO2-180101</v>
      </c>
      <c r="M166" s="422"/>
      <c r="N166" s="662">
        <v>2064</v>
      </c>
      <c r="O166" s="662">
        <v>2064</v>
      </c>
      <c r="P166" s="662">
        <v>2064</v>
      </c>
      <c r="Q166" s="662">
        <v>2064</v>
      </c>
      <c r="R166" s="661">
        <f>VLOOKUP($A166,'Measure Level Adjustments Tab'!$A$5:$CL$272,46,FALSE)</f>
        <v>0.9</v>
      </c>
      <c r="S166" s="661">
        <f>VLOOKUP($A166,'Measure Level Adjustments Tab'!$A$5:$CL$272,47,FALSE)</f>
        <v>0.9</v>
      </c>
      <c r="T166" s="661">
        <f>VLOOKUP($A166,'Measure Level Adjustments Tab'!$A$5:$CL$272,48,FALSE)</f>
        <v>0.9</v>
      </c>
      <c r="U166" s="661">
        <f>VLOOKUP($A166,'Measure Level Adjustments Tab'!$A$5:$CL$272,49,FALSE)</f>
        <v>0.9</v>
      </c>
      <c r="V166" s="418">
        <f t="shared" si="36"/>
        <v>1857.6000000000001</v>
      </c>
      <c r="W166" s="418">
        <f t="shared" si="36"/>
        <v>0</v>
      </c>
      <c r="X166" s="418">
        <f t="shared" si="36"/>
        <v>1857.6000000000001</v>
      </c>
      <c r="Y166" s="418">
        <f t="shared" si="36"/>
        <v>1857.6000000000001</v>
      </c>
      <c r="Z166" s="418">
        <f t="shared" si="37"/>
        <v>5572.8</v>
      </c>
      <c r="AA166" s="410"/>
      <c r="AB166" s="422"/>
      <c r="AC166" s="415">
        <v>2064</v>
      </c>
      <c r="AD166" s="416"/>
      <c r="AE166" s="414">
        <f t="shared" si="38"/>
        <v>1857.6000000000001</v>
      </c>
      <c r="AF166" s="412">
        <f t="shared" si="39"/>
        <v>0</v>
      </c>
      <c r="AG166" s="410"/>
      <c r="AH166" s="422"/>
      <c r="AI166" s="413">
        <v>2064</v>
      </c>
      <c r="AJ166" s="2669" t="s">
        <v>820</v>
      </c>
      <c r="AK166" s="414">
        <f t="shared" si="40"/>
        <v>0</v>
      </c>
      <c r="AL166" s="412">
        <f t="shared" si="41"/>
        <v>0</v>
      </c>
      <c r="AM166" s="410"/>
      <c r="AN166" s="422"/>
      <c r="AO166" s="413">
        <v>2064</v>
      </c>
      <c r="AP166" s="2669" t="s">
        <v>304</v>
      </c>
      <c r="AQ166" s="414">
        <f t="shared" si="42"/>
        <v>1857.6000000000001</v>
      </c>
      <c r="AR166" s="412">
        <f t="shared" si="43"/>
        <v>0</v>
      </c>
      <c r="AS166" s="410"/>
      <c r="AT166" s="422"/>
      <c r="AU166" s="413">
        <f>VLOOKUP($A166,'Measure Level Adjustments Tab'!$A$5:$CL$272,53,FALSE)/U166</f>
        <v>2064</v>
      </c>
      <c r="AV166" s="2669" t="s">
        <v>304</v>
      </c>
      <c r="AW166" s="414">
        <f t="shared" si="44"/>
        <v>1857.6000000000001</v>
      </c>
      <c r="AX166" s="412">
        <f t="shared" si="45"/>
        <v>0</v>
      </c>
      <c r="AY166" s="418">
        <f t="shared" si="46"/>
        <v>1857.6000000000001</v>
      </c>
      <c r="AZ166" s="418">
        <f t="shared" si="47"/>
        <v>0</v>
      </c>
      <c r="BA166" s="418">
        <f t="shared" si="48"/>
        <v>1857.6000000000001</v>
      </c>
      <c r="BB166" s="418">
        <f t="shared" si="49"/>
        <v>1857.6000000000001</v>
      </c>
      <c r="BC166" s="419">
        <f t="shared" si="50"/>
        <v>5572.8</v>
      </c>
      <c r="BD166" s="410" t="s">
        <v>1271</v>
      </c>
      <c r="BE166" s="423" t="s">
        <v>1272</v>
      </c>
      <c r="BF166" s="421"/>
    </row>
    <row r="167" spans="1:58" s="327" customFormat="1" ht="18" customHeight="1" x14ac:dyDescent="0.35">
      <c r="A167" s="660">
        <v>332</v>
      </c>
      <c r="B167" s="660" t="str">
        <f>VLOOKUP($A167,'Measure Level Adjustments Tab'!$A$5:$CL$272,6,FALSE)</f>
        <v>Standard</v>
      </c>
      <c r="C167" s="659" t="s">
        <v>1054</v>
      </c>
      <c r="D167" s="659" t="s">
        <v>155</v>
      </c>
      <c r="E167" s="411">
        <f>VLOOKUP($A167,'Measure Level Adjustments Tab'!$A$5:$CL$272,13,FALSE)</f>
        <v>1</v>
      </c>
      <c r="F167" s="411" t="str">
        <f>VLOOKUP($A167,'Measure Level Adjustments Tab'!$A$5:$CL$272,11,FALSE)</f>
        <v>4.3.6</v>
      </c>
      <c r="G167" s="411">
        <f>VLOOKUP($A167,'Measure Level Adjustments Tab'!$A$5:$CL$272,14,FALSE)</f>
        <v>0</v>
      </c>
      <c r="H167" s="663">
        <f>VLOOKUP($A167,'Measure Level Adjustments Tab'!$A$5:$CL$272,54,FALSE)</f>
        <v>2</v>
      </c>
      <c r="I167" s="663">
        <f>VLOOKUP($A167,'Measure Level Adjustments Tab'!$A$5:$CL$272,55,FALSE)</f>
        <v>2</v>
      </c>
      <c r="J167" s="663">
        <f>VLOOKUP($A167,'Measure Level Adjustments Tab'!$A$5:$CL$272,56,FALSE)</f>
        <v>2</v>
      </c>
      <c r="K167" s="663">
        <f>VLOOKUP($A167,'Measure Level Adjustments Tab'!$A$5:$CL$272,57,FALSE)</f>
        <v>2</v>
      </c>
      <c r="L167" s="411" t="str">
        <f>VLOOKUP($A167,'Measure Level Adjustments Tab'!$A$5:$CL$272,12,FALSE)</f>
        <v>CI-HWE-OZLD-VO1-140601</v>
      </c>
      <c r="M167" s="422"/>
      <c r="N167" s="662">
        <v>4026.8310515999997</v>
      </c>
      <c r="O167" s="662">
        <v>4026.8310515999997</v>
      </c>
      <c r="P167" s="662">
        <v>4026.8310515999997</v>
      </c>
      <c r="Q167" s="662">
        <v>4026.8310515999997</v>
      </c>
      <c r="R167" s="661">
        <f>VLOOKUP($A167,'Measure Level Adjustments Tab'!$A$5:$CL$272,46,FALSE)</f>
        <v>0.9</v>
      </c>
      <c r="S167" s="661">
        <f>VLOOKUP($A167,'Measure Level Adjustments Tab'!$A$5:$CL$272,47,FALSE)</f>
        <v>0.9</v>
      </c>
      <c r="T167" s="661">
        <f>VLOOKUP($A167,'Measure Level Adjustments Tab'!$A$5:$CL$272,48,FALSE)</f>
        <v>0.9</v>
      </c>
      <c r="U167" s="661">
        <f>VLOOKUP($A167,'Measure Level Adjustments Tab'!$A$5:$CL$272,49,FALSE)</f>
        <v>0.9</v>
      </c>
      <c r="V167" s="418">
        <f t="shared" si="36"/>
        <v>7248.2958928799999</v>
      </c>
      <c r="W167" s="418">
        <f t="shared" si="36"/>
        <v>7248.2958928799999</v>
      </c>
      <c r="X167" s="418">
        <f t="shared" si="36"/>
        <v>7248.2958928799999</v>
      </c>
      <c r="Y167" s="418">
        <f t="shared" si="36"/>
        <v>7248.2958928799999</v>
      </c>
      <c r="Z167" s="418">
        <f t="shared" si="37"/>
        <v>28993.18357152</v>
      </c>
      <c r="AA167" s="410"/>
      <c r="AB167" s="422"/>
      <c r="AC167" s="415">
        <v>4026.8310515999997</v>
      </c>
      <c r="AD167" s="416"/>
      <c r="AE167" s="414">
        <f t="shared" si="38"/>
        <v>7248.2958928799999</v>
      </c>
      <c r="AF167" s="412">
        <f t="shared" si="39"/>
        <v>0</v>
      </c>
      <c r="AG167" s="410"/>
      <c r="AH167" s="422"/>
      <c r="AI167" s="413">
        <v>4530.1849330499999</v>
      </c>
      <c r="AJ167" s="2669" t="s">
        <v>3423</v>
      </c>
      <c r="AK167" s="414">
        <f t="shared" si="40"/>
        <v>8154.3328794899999</v>
      </c>
      <c r="AL167" s="412">
        <f t="shared" si="41"/>
        <v>906.03698660999999</v>
      </c>
      <c r="AM167" s="410"/>
      <c r="AN167" s="422"/>
      <c r="AO167" s="413">
        <v>4530.1849330499999</v>
      </c>
      <c r="AP167" s="2669" t="s">
        <v>304</v>
      </c>
      <c r="AQ167" s="414">
        <f t="shared" si="42"/>
        <v>8154.3328794899999</v>
      </c>
      <c r="AR167" s="412">
        <f t="shared" si="43"/>
        <v>906.03698660999999</v>
      </c>
      <c r="AS167" s="410"/>
      <c r="AT167" s="422"/>
      <c r="AU167" s="413">
        <f>VLOOKUP($A167,'Measure Level Adjustments Tab'!$A$5:$CL$272,53,FALSE)/U167</f>
        <v>4530.1849330499999</v>
      </c>
      <c r="AV167" s="2669" t="s">
        <v>304</v>
      </c>
      <c r="AW167" s="414">
        <f t="shared" si="44"/>
        <v>8154.3328794899999</v>
      </c>
      <c r="AX167" s="412">
        <f t="shared" si="45"/>
        <v>906.03698660999999</v>
      </c>
      <c r="AY167" s="418">
        <f t="shared" si="46"/>
        <v>7248.2958928799999</v>
      </c>
      <c r="AZ167" s="418">
        <f t="shared" si="47"/>
        <v>8154.3328794899999</v>
      </c>
      <c r="BA167" s="418">
        <f t="shared" si="48"/>
        <v>8154.3328794899999</v>
      </c>
      <c r="BB167" s="418">
        <f t="shared" si="49"/>
        <v>8154.3328794899999</v>
      </c>
      <c r="BC167" s="419">
        <f t="shared" si="50"/>
        <v>31711.294531350002</v>
      </c>
      <c r="BD167" s="410" t="s">
        <v>1271</v>
      </c>
      <c r="BE167" s="423" t="s">
        <v>1272</v>
      </c>
      <c r="BF167" s="421"/>
    </row>
    <row r="168" spans="1:58" s="327" customFormat="1" ht="18" customHeight="1" x14ac:dyDescent="0.35">
      <c r="A168" s="660">
        <v>312</v>
      </c>
      <c r="B168" s="660" t="str">
        <f>VLOOKUP($A168,'Measure Level Adjustments Tab'!$A$5:$CL$272,6,FALSE)</f>
        <v>Standard</v>
      </c>
      <c r="C168" s="659" t="s">
        <v>1054</v>
      </c>
      <c r="D168" s="659" t="s">
        <v>158</v>
      </c>
      <c r="E168" s="411">
        <f>VLOOKUP($A168,'Measure Level Adjustments Tab'!$A$5:$CL$272,13,FALSE)</f>
        <v>1</v>
      </c>
      <c r="F168" s="411" t="str">
        <f>VLOOKUP($A168,'Measure Level Adjustments Tab'!$A$5:$CL$272,11,FALSE)</f>
        <v>4.2.16</v>
      </c>
      <c r="G168" s="411">
        <f>VLOOKUP($A168,'Measure Level Adjustments Tab'!$A$5:$CL$272,14,FALSE)</f>
        <v>0</v>
      </c>
      <c r="H168" s="663">
        <f>VLOOKUP($A168,'Measure Level Adjustments Tab'!$A$5:$CL$272,54,FALSE)</f>
        <v>7</v>
      </c>
      <c r="I168" s="663">
        <f>VLOOKUP($A168,'Measure Level Adjustments Tab'!$A$5:$CL$272,55,FALSE)</f>
        <v>7</v>
      </c>
      <c r="J168" s="663">
        <f>VLOOKUP($A168,'Measure Level Adjustments Tab'!$A$5:$CL$272,56,FALSE)</f>
        <v>7</v>
      </c>
      <c r="K168" s="663">
        <f>VLOOKUP($A168,'Measure Level Adjustments Tab'!$A$5:$CL$272,57,FALSE)</f>
        <v>7</v>
      </c>
      <c r="L168" s="411" t="str">
        <f>VLOOKUP($A168,'Measure Level Adjustments Tab'!$A$5:$CL$272,12,FALSE)</f>
        <v>CI-FSE-VENT-V03-160601</v>
      </c>
      <c r="M168" s="422"/>
      <c r="N168" s="662">
        <v>5505.34375</v>
      </c>
      <c r="O168" s="662">
        <v>5505.34375</v>
      </c>
      <c r="P168" s="662">
        <v>5505.34375</v>
      </c>
      <c r="Q168" s="662">
        <v>5505.34375</v>
      </c>
      <c r="R168" s="661">
        <f>VLOOKUP($A168,'Measure Level Adjustments Tab'!$A$5:$CL$272,46,FALSE)</f>
        <v>0.9</v>
      </c>
      <c r="S168" s="661">
        <f>VLOOKUP($A168,'Measure Level Adjustments Tab'!$A$5:$CL$272,47,FALSE)</f>
        <v>0.9</v>
      </c>
      <c r="T168" s="661">
        <f>VLOOKUP($A168,'Measure Level Adjustments Tab'!$A$5:$CL$272,48,FALSE)</f>
        <v>0.9</v>
      </c>
      <c r="U168" s="661">
        <f>VLOOKUP($A168,'Measure Level Adjustments Tab'!$A$5:$CL$272,49,FALSE)</f>
        <v>0.9</v>
      </c>
      <c r="V168" s="418">
        <f t="shared" si="36"/>
        <v>34683.665625000001</v>
      </c>
      <c r="W168" s="418">
        <f t="shared" si="36"/>
        <v>34683.665625000001</v>
      </c>
      <c r="X168" s="418">
        <f t="shared" si="36"/>
        <v>34683.665625000001</v>
      </c>
      <c r="Y168" s="418">
        <f t="shared" si="36"/>
        <v>34683.665625000001</v>
      </c>
      <c r="Z168" s="418">
        <f t="shared" si="37"/>
        <v>138734.66250000001</v>
      </c>
      <c r="AA168" s="410"/>
      <c r="AB168" s="422"/>
      <c r="AC168" s="415">
        <v>5505.34375</v>
      </c>
      <c r="AD168" s="416"/>
      <c r="AE168" s="414">
        <f t="shared" si="38"/>
        <v>34683.665625000001</v>
      </c>
      <c r="AF168" s="412">
        <f t="shared" si="39"/>
        <v>0</v>
      </c>
      <c r="AG168" s="410"/>
      <c r="AH168" s="422"/>
      <c r="AI168" s="413">
        <v>5505.34375</v>
      </c>
      <c r="AJ168" s="2669" t="s">
        <v>820</v>
      </c>
      <c r="AK168" s="414">
        <f t="shared" si="40"/>
        <v>34683.665625000001</v>
      </c>
      <c r="AL168" s="412">
        <f t="shared" si="41"/>
        <v>0</v>
      </c>
      <c r="AM168" s="410"/>
      <c r="AN168" s="422"/>
      <c r="AO168" s="413">
        <v>5505.34375</v>
      </c>
      <c r="AP168" s="2669" t="s">
        <v>304</v>
      </c>
      <c r="AQ168" s="414">
        <f t="shared" si="42"/>
        <v>34683.665625000001</v>
      </c>
      <c r="AR168" s="412">
        <f t="shared" si="43"/>
        <v>0</v>
      </c>
      <c r="AS168" s="410"/>
      <c r="AT168" s="422"/>
      <c r="AU168" s="413">
        <f>VLOOKUP($A168,'Measure Level Adjustments Tab'!$A$5:$CL$272,53,FALSE)/U168</f>
        <v>5505.34375</v>
      </c>
      <c r="AV168" s="2669" t="s">
        <v>304</v>
      </c>
      <c r="AW168" s="414">
        <f t="shared" si="44"/>
        <v>34683.665625000001</v>
      </c>
      <c r="AX168" s="412">
        <f t="shared" si="45"/>
        <v>0</v>
      </c>
      <c r="AY168" s="418">
        <f t="shared" si="46"/>
        <v>34683.665625000001</v>
      </c>
      <c r="AZ168" s="418">
        <f t="shared" si="47"/>
        <v>34683.665625000001</v>
      </c>
      <c r="BA168" s="418">
        <f t="shared" si="48"/>
        <v>34683.665625000001</v>
      </c>
      <c r="BB168" s="418">
        <f t="shared" si="49"/>
        <v>34683.665625000001</v>
      </c>
      <c r="BC168" s="419">
        <f t="shared" si="50"/>
        <v>138734.66250000001</v>
      </c>
      <c r="BD168" s="410" t="s">
        <v>1271</v>
      </c>
      <c r="BE168" s="423" t="s">
        <v>1272</v>
      </c>
      <c r="BF168" s="421"/>
    </row>
    <row r="169" spans="1:58" s="327" customFormat="1" ht="18" customHeight="1" x14ac:dyDescent="0.35">
      <c r="A169" s="660">
        <v>285</v>
      </c>
      <c r="B169" s="660" t="str">
        <f>VLOOKUP($A169,'Measure Level Adjustments Tab'!$A$5:$CL$272,6,FALSE)</f>
        <v>Standard</v>
      </c>
      <c r="C169" s="659" t="s">
        <v>1054</v>
      </c>
      <c r="D169" s="659" t="s">
        <v>241</v>
      </c>
      <c r="E169" s="411">
        <f>VLOOKUP($A169,'Measure Level Adjustments Tab'!$A$5:$CL$272,13,FALSE)</f>
        <v>1</v>
      </c>
      <c r="F169" s="411" t="str">
        <f>VLOOKUP($A169,'Measure Level Adjustments Tab'!$A$5:$CL$272,11,FALSE)</f>
        <v>4.4.27</v>
      </c>
      <c r="G169" s="411">
        <f>VLOOKUP($A169,'Measure Level Adjustments Tab'!$A$5:$CL$272,14,FALSE)</f>
        <v>0</v>
      </c>
      <c r="H169" s="663">
        <f>VLOOKUP($A169,'Measure Level Adjustments Tab'!$A$5:$CL$272,54,FALSE)</f>
        <v>15000</v>
      </c>
      <c r="I169" s="663">
        <f>VLOOKUP($A169,'Measure Level Adjustments Tab'!$A$5:$CL$272,55,FALSE)</f>
        <v>15000</v>
      </c>
      <c r="J169" s="663">
        <f>VLOOKUP($A169,'Measure Level Adjustments Tab'!$A$5:$CL$272,56,FALSE)</f>
        <v>15000</v>
      </c>
      <c r="K169" s="663">
        <f>VLOOKUP($A169,'Measure Level Adjustments Tab'!$A$5:$CL$272,57,FALSE)</f>
        <v>15000</v>
      </c>
      <c r="L169" s="411" t="str">
        <f>VLOOKUP($A169,'Measure Level Adjustments Tab'!$A$5:$CL$272,12,FALSE)</f>
        <v>CI-HVC-ERVE-V02-160601</v>
      </c>
      <c r="M169" s="422"/>
      <c r="N169" s="662">
        <v>5.1875000000000004E-2</v>
      </c>
      <c r="O169" s="662">
        <v>5.1875000000000004E-2</v>
      </c>
      <c r="P169" s="662">
        <v>5.1875000000000004E-2</v>
      </c>
      <c r="Q169" s="662">
        <v>5.1875000000000004E-2</v>
      </c>
      <c r="R169" s="661">
        <f>VLOOKUP($A169,'Measure Level Adjustments Tab'!$A$5:$CL$272,46,FALSE)</f>
        <v>0.9</v>
      </c>
      <c r="S169" s="661">
        <f>VLOOKUP($A169,'Measure Level Adjustments Tab'!$A$5:$CL$272,47,FALSE)</f>
        <v>0.9</v>
      </c>
      <c r="T169" s="661">
        <f>VLOOKUP($A169,'Measure Level Adjustments Tab'!$A$5:$CL$272,48,FALSE)</f>
        <v>0.9</v>
      </c>
      <c r="U169" s="661">
        <f>VLOOKUP($A169,'Measure Level Adjustments Tab'!$A$5:$CL$272,49,FALSE)</f>
        <v>0.9</v>
      </c>
      <c r="V169" s="418">
        <f t="shared" si="36"/>
        <v>700.31250000000011</v>
      </c>
      <c r="W169" s="418">
        <f t="shared" si="36"/>
        <v>700.31250000000011</v>
      </c>
      <c r="X169" s="418">
        <f t="shared" si="36"/>
        <v>700.31250000000011</v>
      </c>
      <c r="Y169" s="418">
        <f t="shared" si="36"/>
        <v>700.31250000000011</v>
      </c>
      <c r="Z169" s="418">
        <f t="shared" si="37"/>
        <v>2801.2500000000005</v>
      </c>
      <c r="AA169" s="410"/>
      <c r="AB169" s="422"/>
      <c r="AC169" s="415">
        <v>5.1875000000000004E-2</v>
      </c>
      <c r="AD169" s="416"/>
      <c r="AE169" s="414">
        <f t="shared" si="38"/>
        <v>700.31250000000011</v>
      </c>
      <c r="AF169" s="412">
        <f t="shared" si="39"/>
        <v>0</v>
      </c>
      <c r="AG169" s="410"/>
      <c r="AH169" s="422"/>
      <c r="AI169" s="413">
        <v>5.1875000000000004E-2</v>
      </c>
      <c r="AJ169" s="2669" t="s">
        <v>820</v>
      </c>
      <c r="AK169" s="414">
        <f t="shared" si="40"/>
        <v>700.31250000000011</v>
      </c>
      <c r="AL169" s="412">
        <f t="shared" si="41"/>
        <v>0</v>
      </c>
      <c r="AM169" s="410"/>
      <c r="AN169" s="422"/>
      <c r="AO169" s="413">
        <v>5.1875000000000004E-2</v>
      </c>
      <c r="AP169" s="2669" t="s">
        <v>304</v>
      </c>
      <c r="AQ169" s="414">
        <f t="shared" si="42"/>
        <v>700.31250000000011</v>
      </c>
      <c r="AR169" s="412">
        <f t="shared" si="43"/>
        <v>0</v>
      </c>
      <c r="AS169" s="410"/>
      <c r="AT169" s="422"/>
      <c r="AU169" s="413">
        <f>VLOOKUP($A169,'Measure Level Adjustments Tab'!$A$5:$CL$272,53,FALSE)/U169</f>
        <v>5.1875000000000004E-2</v>
      </c>
      <c r="AV169" s="2669" t="s">
        <v>304</v>
      </c>
      <c r="AW169" s="414">
        <f t="shared" si="44"/>
        <v>700.31250000000011</v>
      </c>
      <c r="AX169" s="412">
        <f t="shared" si="45"/>
        <v>0</v>
      </c>
      <c r="AY169" s="418">
        <f t="shared" si="46"/>
        <v>700.31250000000011</v>
      </c>
      <c r="AZ169" s="418">
        <f t="shared" si="47"/>
        <v>700.31250000000011</v>
      </c>
      <c r="BA169" s="418">
        <f t="shared" si="48"/>
        <v>700.31250000000011</v>
      </c>
      <c r="BB169" s="418">
        <f t="shared" si="49"/>
        <v>700.31250000000011</v>
      </c>
      <c r="BC169" s="419">
        <f t="shared" si="50"/>
        <v>2801.2500000000005</v>
      </c>
      <c r="BD169" s="410" t="s">
        <v>1271</v>
      </c>
      <c r="BE169" s="423" t="s">
        <v>1272</v>
      </c>
      <c r="BF169" s="421"/>
    </row>
    <row r="170" spans="1:58" s="327" customFormat="1" ht="18" customHeight="1" x14ac:dyDescent="0.35">
      <c r="A170" s="660">
        <v>337</v>
      </c>
      <c r="B170" s="660" t="str">
        <f>VLOOKUP($A170,'Measure Level Adjustments Tab'!$A$5:$CL$272,6,FALSE)</f>
        <v>Standard</v>
      </c>
      <c r="C170" s="659" t="s">
        <v>1054</v>
      </c>
      <c r="D170" s="659" t="s">
        <v>167</v>
      </c>
      <c r="E170" s="411">
        <f>VLOOKUP($A170,'Measure Level Adjustments Tab'!$A$5:$CL$272,13,FALSE)</f>
        <v>1</v>
      </c>
      <c r="F170" s="411" t="str">
        <f>VLOOKUP($A170,'Measure Level Adjustments Tab'!$A$5:$CL$272,11,FALSE)</f>
        <v>4.4.18</v>
      </c>
      <c r="G170" s="411">
        <f>VLOOKUP($A170,'Measure Level Adjustments Tab'!$A$5:$CL$272,14,FALSE)</f>
        <v>0</v>
      </c>
      <c r="H170" s="663">
        <f>VLOOKUP($A170,'Measure Level Adjustments Tab'!$A$5:$CL$272,54,FALSE)</f>
        <v>12</v>
      </c>
      <c r="I170" s="663">
        <f>VLOOKUP($A170,'Measure Level Adjustments Tab'!$A$5:$CL$272,55,FALSE)</f>
        <v>4</v>
      </c>
      <c r="J170" s="663">
        <f>VLOOKUP($A170,'Measure Level Adjustments Tab'!$A$5:$CL$272,56,FALSE)</f>
        <v>1</v>
      </c>
      <c r="K170" s="663">
        <f>VLOOKUP($A170,'Measure Level Adjustments Tab'!$A$5:$CL$272,57,FALSE)</f>
        <v>1</v>
      </c>
      <c r="L170" s="411" t="str">
        <f>VLOOKUP($A170,'Measure Level Adjustments Tab'!$A$5:$CL$272,12,FALSE)</f>
        <v>CI-HVC-PROG-V02-150601</v>
      </c>
      <c r="M170" s="422"/>
      <c r="N170" s="662">
        <v>73.599999999999994</v>
      </c>
      <c r="O170" s="662">
        <v>73.599999999999994</v>
      </c>
      <c r="P170" s="662">
        <v>73.599999999999994</v>
      </c>
      <c r="Q170" s="662">
        <v>73.599999999999994</v>
      </c>
      <c r="R170" s="661">
        <f>VLOOKUP($A170,'Measure Level Adjustments Tab'!$A$5:$CL$272,46,FALSE)</f>
        <v>0.9</v>
      </c>
      <c r="S170" s="661">
        <f>VLOOKUP($A170,'Measure Level Adjustments Tab'!$A$5:$CL$272,47,FALSE)</f>
        <v>0.9</v>
      </c>
      <c r="T170" s="661">
        <f>VLOOKUP($A170,'Measure Level Adjustments Tab'!$A$5:$CL$272,48,FALSE)</f>
        <v>0.9</v>
      </c>
      <c r="U170" s="661">
        <f>VLOOKUP($A170,'Measure Level Adjustments Tab'!$A$5:$CL$272,49,FALSE)</f>
        <v>0.9</v>
      </c>
      <c r="V170" s="418">
        <f t="shared" si="36"/>
        <v>794.88</v>
      </c>
      <c r="W170" s="418">
        <f t="shared" si="36"/>
        <v>264.95999999999998</v>
      </c>
      <c r="X170" s="418">
        <f t="shared" si="36"/>
        <v>66.239999999999995</v>
      </c>
      <c r="Y170" s="418">
        <f t="shared" si="36"/>
        <v>66.239999999999995</v>
      </c>
      <c r="Z170" s="418">
        <f t="shared" si="37"/>
        <v>1192.32</v>
      </c>
      <c r="AA170" s="410"/>
      <c r="AB170" s="422"/>
      <c r="AC170" s="415">
        <v>73.599999999999994</v>
      </c>
      <c r="AD170" s="416"/>
      <c r="AE170" s="414">
        <f t="shared" si="38"/>
        <v>794.88</v>
      </c>
      <c r="AF170" s="412">
        <f t="shared" si="39"/>
        <v>0</v>
      </c>
      <c r="AG170" s="410"/>
      <c r="AH170" s="422"/>
      <c r="AI170" s="413">
        <v>73.599999999999994</v>
      </c>
      <c r="AJ170" s="2669" t="s">
        <v>820</v>
      </c>
      <c r="AK170" s="414">
        <f t="shared" si="40"/>
        <v>264.95999999999998</v>
      </c>
      <c r="AL170" s="412">
        <f t="shared" si="41"/>
        <v>0</v>
      </c>
      <c r="AM170" s="410"/>
      <c r="AN170" s="422"/>
      <c r="AO170" s="413">
        <v>73.599999999999994</v>
      </c>
      <c r="AP170" s="2669" t="s">
        <v>304</v>
      </c>
      <c r="AQ170" s="414">
        <f t="shared" si="42"/>
        <v>66.239999999999995</v>
      </c>
      <c r="AR170" s="412">
        <f t="shared" si="43"/>
        <v>0</v>
      </c>
      <c r="AS170" s="410"/>
      <c r="AT170" s="422"/>
      <c r="AU170" s="413">
        <f>VLOOKUP($A170,'Measure Level Adjustments Tab'!$A$5:$CL$272,53,FALSE)/U170</f>
        <v>73.599999999999994</v>
      </c>
      <c r="AV170" s="2669" t="s">
        <v>304</v>
      </c>
      <c r="AW170" s="414">
        <f t="shared" si="44"/>
        <v>66.239999999999995</v>
      </c>
      <c r="AX170" s="412">
        <f t="shared" si="45"/>
        <v>0</v>
      </c>
      <c r="AY170" s="418">
        <f t="shared" si="46"/>
        <v>794.88</v>
      </c>
      <c r="AZ170" s="418">
        <f t="shared" si="47"/>
        <v>264.95999999999998</v>
      </c>
      <c r="BA170" s="418">
        <f t="shared" si="48"/>
        <v>66.239999999999995</v>
      </c>
      <c r="BB170" s="418">
        <f t="shared" si="49"/>
        <v>66.239999999999995</v>
      </c>
      <c r="BC170" s="419">
        <f t="shared" si="50"/>
        <v>1192.32</v>
      </c>
      <c r="BD170" s="410" t="s">
        <v>1271</v>
      </c>
      <c r="BE170" s="423" t="s">
        <v>1272</v>
      </c>
      <c r="BF170" s="421"/>
    </row>
    <row r="171" spans="1:58" s="327" customFormat="1" ht="18" customHeight="1" x14ac:dyDescent="0.35">
      <c r="A171" s="660">
        <v>273</v>
      </c>
      <c r="B171" s="660" t="str">
        <f>VLOOKUP($A171,'Measure Level Adjustments Tab'!$A$5:$CL$272,6,FALSE)</f>
        <v>Standard</v>
      </c>
      <c r="C171" s="659" t="s">
        <v>1054</v>
      </c>
      <c r="D171" s="659" t="s">
        <v>168</v>
      </c>
      <c r="E171" s="411">
        <f>VLOOKUP($A171,'Measure Level Adjustments Tab'!$A$5:$CL$272,13,FALSE)</f>
        <v>1</v>
      </c>
      <c r="F171" s="411" t="str">
        <f>VLOOKUP($A171,'Measure Level Adjustments Tab'!$A$5:$CL$272,11,FALSE)</f>
        <v>4.4.19</v>
      </c>
      <c r="G171" s="411">
        <f>VLOOKUP($A171,'Measure Level Adjustments Tab'!$A$5:$CL$272,14,FALSE)</f>
        <v>0</v>
      </c>
      <c r="H171" s="663">
        <f>VLOOKUP($A171,'Measure Level Adjustments Tab'!$A$5:$CL$272,54,FALSE)</f>
        <v>48</v>
      </c>
      <c r="I171" s="663">
        <f>VLOOKUP($A171,'Measure Level Adjustments Tab'!$A$5:$CL$272,55,FALSE)</f>
        <v>40</v>
      </c>
      <c r="J171" s="663">
        <f>VLOOKUP($A171,'Measure Level Adjustments Tab'!$A$5:$CL$272,56,FALSE)</f>
        <v>50</v>
      </c>
      <c r="K171" s="663">
        <f>VLOOKUP($A171,'Measure Level Adjustments Tab'!$A$5:$CL$272,57,FALSE)</f>
        <v>50</v>
      </c>
      <c r="L171" s="411" t="str">
        <f>VLOOKUP($A171,'Measure Level Adjustments Tab'!$A$5:$CL$272,12,FALSE)</f>
        <v>CI-HVC-DCV-V04-180101</v>
      </c>
      <c r="M171" s="422"/>
      <c r="N171" s="662">
        <v>623</v>
      </c>
      <c r="O171" s="662">
        <v>623</v>
      </c>
      <c r="P171" s="662">
        <v>623</v>
      </c>
      <c r="Q171" s="662">
        <v>623</v>
      </c>
      <c r="R171" s="661">
        <f>VLOOKUP($A171,'Measure Level Adjustments Tab'!$A$5:$CL$272,46,FALSE)</f>
        <v>0.9</v>
      </c>
      <c r="S171" s="661">
        <f>VLOOKUP($A171,'Measure Level Adjustments Tab'!$A$5:$CL$272,47,FALSE)</f>
        <v>0.9</v>
      </c>
      <c r="T171" s="661">
        <f>VLOOKUP($A171,'Measure Level Adjustments Tab'!$A$5:$CL$272,48,FALSE)</f>
        <v>0.9</v>
      </c>
      <c r="U171" s="661">
        <f>VLOOKUP($A171,'Measure Level Adjustments Tab'!$A$5:$CL$272,49,FALSE)</f>
        <v>0.9</v>
      </c>
      <c r="V171" s="418">
        <f t="shared" si="36"/>
        <v>26913.600000000002</v>
      </c>
      <c r="W171" s="418">
        <f t="shared" si="36"/>
        <v>22428</v>
      </c>
      <c r="X171" s="418">
        <f t="shared" si="36"/>
        <v>28035</v>
      </c>
      <c r="Y171" s="418">
        <f t="shared" si="36"/>
        <v>28035</v>
      </c>
      <c r="Z171" s="418">
        <f t="shared" si="37"/>
        <v>105411.6</v>
      </c>
      <c r="AA171" s="410"/>
      <c r="AB171" s="422"/>
      <c r="AC171" s="415">
        <v>623</v>
      </c>
      <c r="AD171" s="416"/>
      <c r="AE171" s="414">
        <f t="shared" si="38"/>
        <v>26913.600000000002</v>
      </c>
      <c r="AF171" s="412">
        <f t="shared" si="39"/>
        <v>0</v>
      </c>
      <c r="AG171" s="410"/>
      <c r="AH171" s="422"/>
      <c r="AI171" s="413">
        <v>623</v>
      </c>
      <c r="AJ171" s="2669" t="s">
        <v>820</v>
      </c>
      <c r="AK171" s="414">
        <f t="shared" si="40"/>
        <v>22428</v>
      </c>
      <c r="AL171" s="412">
        <f t="shared" si="41"/>
        <v>0</v>
      </c>
      <c r="AM171" s="410"/>
      <c r="AN171" s="422"/>
      <c r="AO171" s="413">
        <v>623</v>
      </c>
      <c r="AP171" s="2669" t="s">
        <v>304</v>
      </c>
      <c r="AQ171" s="414">
        <f t="shared" si="42"/>
        <v>28035</v>
      </c>
      <c r="AR171" s="412">
        <f t="shared" si="43"/>
        <v>0</v>
      </c>
      <c r="AS171" s="410"/>
      <c r="AT171" s="422"/>
      <c r="AU171" s="413">
        <f>VLOOKUP($A171,'Measure Level Adjustments Tab'!$A$5:$CL$272,53,FALSE)/U171</f>
        <v>623</v>
      </c>
      <c r="AV171" s="2669" t="s">
        <v>304</v>
      </c>
      <c r="AW171" s="414">
        <f t="shared" si="44"/>
        <v>28035</v>
      </c>
      <c r="AX171" s="412">
        <f t="shared" si="45"/>
        <v>0</v>
      </c>
      <c r="AY171" s="418">
        <f t="shared" si="46"/>
        <v>26913.600000000002</v>
      </c>
      <c r="AZ171" s="418">
        <f t="shared" si="47"/>
        <v>22428</v>
      </c>
      <c r="BA171" s="418">
        <f t="shared" si="48"/>
        <v>28035</v>
      </c>
      <c r="BB171" s="418">
        <f t="shared" si="49"/>
        <v>28035</v>
      </c>
      <c r="BC171" s="419">
        <f t="shared" si="50"/>
        <v>105411.6</v>
      </c>
      <c r="BD171" s="410" t="s">
        <v>1271</v>
      </c>
      <c r="BE171" s="423" t="s">
        <v>1272</v>
      </c>
      <c r="BF171" s="421"/>
    </row>
    <row r="172" spans="1:58" s="327" customFormat="1" ht="18" customHeight="1" x14ac:dyDescent="0.35">
      <c r="A172" s="660">
        <v>323</v>
      </c>
      <c r="B172" s="660" t="str">
        <f>VLOOKUP($A172,'Measure Level Adjustments Tab'!$A$5:$CL$272,6,FALSE)</f>
        <v>Standard</v>
      </c>
      <c r="C172" s="659" t="s">
        <v>1054</v>
      </c>
      <c r="D172" s="659" t="s">
        <v>1016</v>
      </c>
      <c r="E172" s="411">
        <f>VLOOKUP($A172,'Measure Level Adjustments Tab'!$A$5:$CL$272,13,FALSE)</f>
        <v>1</v>
      </c>
      <c r="F172" s="411" t="str">
        <f>VLOOKUP($A172,'Measure Level Adjustments Tab'!$A$5:$CL$272,11,FALSE)</f>
        <v>4.3.3</v>
      </c>
      <c r="G172" s="411">
        <f>VLOOKUP($A172,'Measure Level Adjustments Tab'!$A$5:$CL$272,14,FALSE)</f>
        <v>0</v>
      </c>
      <c r="H172" s="663">
        <f>VLOOKUP($A172,'Measure Level Adjustments Tab'!$A$5:$CL$272,54,FALSE)</f>
        <v>20</v>
      </c>
      <c r="I172" s="663">
        <f>VLOOKUP($A172,'Measure Level Adjustments Tab'!$A$5:$CL$272,55,FALSE)</f>
        <v>20</v>
      </c>
      <c r="J172" s="663">
        <f>VLOOKUP($A172,'Measure Level Adjustments Tab'!$A$5:$CL$272,56,FALSE)</f>
        <v>20</v>
      </c>
      <c r="K172" s="663">
        <f>VLOOKUP($A172,'Measure Level Adjustments Tab'!$A$5:$CL$272,57,FALSE)</f>
        <v>20</v>
      </c>
      <c r="L172" s="411" t="str">
        <f>VLOOKUP($A172,'Measure Level Adjustments Tab'!$A$5:$CL$272,12,FALSE)</f>
        <v>CI-HWE-LFSH-V04-180101</v>
      </c>
      <c r="M172" s="422"/>
      <c r="N172" s="662">
        <v>5.4165959588207562</v>
      </c>
      <c r="O172" s="662">
        <v>5.4165959588207562</v>
      </c>
      <c r="P172" s="662">
        <v>5.4165959588207562</v>
      </c>
      <c r="Q172" s="662">
        <v>5.4165959588207562</v>
      </c>
      <c r="R172" s="661">
        <f>VLOOKUP($A172,'Measure Level Adjustments Tab'!$A$5:$CL$272,46,FALSE)</f>
        <v>0.9</v>
      </c>
      <c r="S172" s="661">
        <f>VLOOKUP($A172,'Measure Level Adjustments Tab'!$A$5:$CL$272,47,FALSE)</f>
        <v>0.9</v>
      </c>
      <c r="T172" s="661">
        <f>VLOOKUP($A172,'Measure Level Adjustments Tab'!$A$5:$CL$272,48,FALSE)</f>
        <v>0.9</v>
      </c>
      <c r="U172" s="661">
        <f>VLOOKUP($A172,'Measure Level Adjustments Tab'!$A$5:$CL$272,49,FALSE)</f>
        <v>0.9</v>
      </c>
      <c r="V172" s="418">
        <f t="shared" si="36"/>
        <v>97.498727258773613</v>
      </c>
      <c r="W172" s="418">
        <f t="shared" si="36"/>
        <v>97.498727258773613</v>
      </c>
      <c r="X172" s="418">
        <f t="shared" si="36"/>
        <v>97.498727258773613</v>
      </c>
      <c r="Y172" s="418">
        <f t="shared" si="36"/>
        <v>97.498727258773613</v>
      </c>
      <c r="Z172" s="418">
        <f t="shared" si="37"/>
        <v>389.99490903509445</v>
      </c>
      <c r="AA172" s="410"/>
      <c r="AB172" s="422"/>
      <c r="AC172" s="415">
        <v>5.4165959588207562</v>
      </c>
      <c r="AD172" s="416"/>
      <c r="AE172" s="414">
        <f t="shared" si="38"/>
        <v>97.498727258773613</v>
      </c>
      <c r="AF172" s="412">
        <f t="shared" si="39"/>
        <v>0</v>
      </c>
      <c r="AG172" s="410"/>
      <c r="AH172" s="422"/>
      <c r="AI172" s="413">
        <v>5.4165959588207562</v>
      </c>
      <c r="AJ172" s="2669" t="s">
        <v>3418</v>
      </c>
      <c r="AK172" s="414">
        <f t="shared" si="40"/>
        <v>97.498727258773613</v>
      </c>
      <c r="AL172" s="412">
        <f t="shared" si="41"/>
        <v>0</v>
      </c>
      <c r="AM172" s="410"/>
      <c r="AN172" s="422"/>
      <c r="AO172" s="413">
        <v>4.9867073906603778</v>
      </c>
      <c r="AP172" s="2669" t="s">
        <v>3926</v>
      </c>
      <c r="AQ172" s="414">
        <f t="shared" si="42"/>
        <v>89.760733031886801</v>
      </c>
      <c r="AR172" s="412">
        <f t="shared" si="43"/>
        <v>-7.737994226886812</v>
      </c>
      <c r="AS172" s="410"/>
      <c r="AT172" s="422"/>
      <c r="AU172" s="413">
        <f>VLOOKUP($A172,'Measure Level Adjustments Tab'!$A$5:$CL$272,53,FALSE)/U172</f>
        <v>4.9867073906603778</v>
      </c>
      <c r="AV172" s="2669" t="s">
        <v>304</v>
      </c>
      <c r="AW172" s="414">
        <f t="shared" si="44"/>
        <v>89.760733031886801</v>
      </c>
      <c r="AX172" s="412">
        <f t="shared" si="45"/>
        <v>-7.737994226886812</v>
      </c>
      <c r="AY172" s="418">
        <f t="shared" si="46"/>
        <v>97.498727258773613</v>
      </c>
      <c r="AZ172" s="418">
        <f t="shared" si="47"/>
        <v>97.498727258773613</v>
      </c>
      <c r="BA172" s="418">
        <f t="shared" si="48"/>
        <v>89.760733031886801</v>
      </c>
      <c r="BB172" s="418">
        <f t="shared" si="49"/>
        <v>89.760733031886801</v>
      </c>
      <c r="BC172" s="419">
        <f t="shared" si="50"/>
        <v>374.5189205813208</v>
      </c>
      <c r="BD172" s="410" t="s">
        <v>1271</v>
      </c>
      <c r="BE172" s="423" t="s">
        <v>1272</v>
      </c>
      <c r="BF172" s="421"/>
    </row>
    <row r="173" spans="1:58" s="327" customFormat="1" ht="18" customHeight="1" x14ac:dyDescent="0.35">
      <c r="A173" s="660">
        <v>322</v>
      </c>
      <c r="B173" s="660" t="str">
        <f>VLOOKUP($A173,'Measure Level Adjustments Tab'!$A$5:$CL$272,6,FALSE)</f>
        <v>Standard</v>
      </c>
      <c r="C173" s="659" t="s">
        <v>1054</v>
      </c>
      <c r="D173" s="659" t="s">
        <v>1019</v>
      </c>
      <c r="E173" s="411">
        <f>VLOOKUP($A173,'Measure Level Adjustments Tab'!$A$5:$CL$272,13,FALSE)</f>
        <v>1</v>
      </c>
      <c r="F173" s="411" t="str">
        <f>VLOOKUP($A173,'Measure Level Adjustments Tab'!$A$5:$CL$272,11,FALSE)</f>
        <v>4.3.2</v>
      </c>
      <c r="G173" s="411">
        <f>VLOOKUP($A173,'Measure Level Adjustments Tab'!$A$5:$CL$272,14,FALSE)</f>
        <v>0</v>
      </c>
      <c r="H173" s="663">
        <f>VLOOKUP($A173,'Measure Level Adjustments Tab'!$A$5:$CL$272,54,FALSE)</f>
        <v>1173</v>
      </c>
      <c r="I173" s="663">
        <f>VLOOKUP($A173,'Measure Level Adjustments Tab'!$A$5:$CL$272,55,FALSE)</f>
        <v>1107</v>
      </c>
      <c r="J173" s="663">
        <f>VLOOKUP($A173,'Measure Level Adjustments Tab'!$A$5:$CL$272,56,FALSE)</f>
        <v>1110</v>
      </c>
      <c r="K173" s="663">
        <f>VLOOKUP($A173,'Measure Level Adjustments Tab'!$A$5:$CL$272,57,FALSE)</f>
        <v>1111</v>
      </c>
      <c r="L173" s="411" t="str">
        <f>VLOOKUP($A173,'Measure Level Adjustments Tab'!$A$5:$CL$272,12,FALSE)</f>
        <v>CI-HWE-LFFA-V07-180101</v>
      </c>
      <c r="M173" s="422"/>
      <c r="N173" s="662">
        <v>5.4316370902687714</v>
      </c>
      <c r="O173" s="662">
        <v>5.4316370902687714</v>
      </c>
      <c r="P173" s="662">
        <v>5.4316370902687714</v>
      </c>
      <c r="Q173" s="662">
        <v>5.4316370902687714</v>
      </c>
      <c r="R173" s="661">
        <f>VLOOKUP($A173,'Measure Level Adjustments Tab'!$A$5:$CL$272,46,FALSE)</f>
        <v>0.9</v>
      </c>
      <c r="S173" s="661">
        <f>VLOOKUP($A173,'Measure Level Adjustments Tab'!$A$5:$CL$272,47,FALSE)</f>
        <v>0.9</v>
      </c>
      <c r="T173" s="661">
        <f>VLOOKUP($A173,'Measure Level Adjustments Tab'!$A$5:$CL$272,48,FALSE)</f>
        <v>0.9</v>
      </c>
      <c r="U173" s="661">
        <f>VLOOKUP($A173,'Measure Level Adjustments Tab'!$A$5:$CL$272,49,FALSE)</f>
        <v>0.9</v>
      </c>
      <c r="V173" s="418">
        <f t="shared" si="36"/>
        <v>5734.1792761967417</v>
      </c>
      <c r="W173" s="418">
        <f t="shared" si="36"/>
        <v>5411.5400330347775</v>
      </c>
      <c r="X173" s="418">
        <f t="shared" si="36"/>
        <v>5426.2054531785034</v>
      </c>
      <c r="Y173" s="418">
        <f t="shared" si="36"/>
        <v>5431.0939265597444</v>
      </c>
      <c r="Z173" s="418">
        <f t="shared" si="37"/>
        <v>22003.018688969769</v>
      </c>
      <c r="AA173" s="410"/>
      <c r="AB173" s="422"/>
      <c r="AC173" s="415">
        <v>5.4316370902687714</v>
      </c>
      <c r="AD173" s="416"/>
      <c r="AE173" s="414">
        <f t="shared" si="38"/>
        <v>5734.1792761967417</v>
      </c>
      <c r="AF173" s="412">
        <f t="shared" si="39"/>
        <v>0</v>
      </c>
      <c r="AG173" s="410"/>
      <c r="AH173" s="422"/>
      <c r="AI173" s="413">
        <v>5.4316370902687714</v>
      </c>
      <c r="AJ173" s="2669" t="s">
        <v>3418</v>
      </c>
      <c r="AK173" s="414">
        <f t="shared" si="40"/>
        <v>5411.5400330347775</v>
      </c>
      <c r="AL173" s="412">
        <f t="shared" si="41"/>
        <v>0</v>
      </c>
      <c r="AM173" s="410"/>
      <c r="AN173" s="422"/>
      <c r="AO173" s="413">
        <v>5.4316370902687714</v>
      </c>
      <c r="AP173" s="2669" t="s">
        <v>304</v>
      </c>
      <c r="AQ173" s="414">
        <f t="shared" si="42"/>
        <v>5426.2054531785034</v>
      </c>
      <c r="AR173" s="412">
        <f t="shared" si="43"/>
        <v>0</v>
      </c>
      <c r="AS173" s="410"/>
      <c r="AT173" s="422"/>
      <c r="AU173" s="413">
        <f>VLOOKUP($A173,'Measure Level Adjustments Tab'!$A$5:$CL$272,53,FALSE)/U173</f>
        <v>5.4316370902687714</v>
      </c>
      <c r="AV173" s="2669" t="s">
        <v>304</v>
      </c>
      <c r="AW173" s="414">
        <f t="shared" si="44"/>
        <v>5431.0939265597444</v>
      </c>
      <c r="AX173" s="412">
        <f t="shared" si="45"/>
        <v>0</v>
      </c>
      <c r="AY173" s="418">
        <f t="shared" si="46"/>
        <v>5734.1792761967417</v>
      </c>
      <c r="AZ173" s="418">
        <f t="shared" si="47"/>
        <v>5411.5400330347775</v>
      </c>
      <c r="BA173" s="418">
        <f t="shared" si="48"/>
        <v>5426.2054531785034</v>
      </c>
      <c r="BB173" s="418">
        <f t="shared" si="49"/>
        <v>5431.0939265597444</v>
      </c>
      <c r="BC173" s="419">
        <f t="shared" si="50"/>
        <v>22003.018688969769</v>
      </c>
      <c r="BD173" s="410" t="s">
        <v>1271</v>
      </c>
      <c r="BE173" s="423" t="s">
        <v>1272</v>
      </c>
      <c r="BF173" s="421"/>
    </row>
    <row r="174" spans="1:58" s="327" customFormat="1" ht="18" customHeight="1" x14ac:dyDescent="0.35">
      <c r="A174" s="660">
        <v>313</v>
      </c>
      <c r="B174" s="660" t="str">
        <f>VLOOKUP($A174,'Measure Level Adjustments Tab'!$A$5:$CL$272,6,FALSE)</f>
        <v>Standard</v>
      </c>
      <c r="C174" s="659" t="s">
        <v>1054</v>
      </c>
      <c r="D174" s="659" t="s">
        <v>1020</v>
      </c>
      <c r="E174" s="411">
        <f>VLOOKUP($A174,'Measure Level Adjustments Tab'!$A$5:$CL$272,13,FALSE)</f>
        <v>1</v>
      </c>
      <c r="F174" s="411" t="str">
        <f>VLOOKUP($A174,'Measure Level Adjustments Tab'!$A$5:$CL$272,11,FALSE)</f>
        <v>4.3.2</v>
      </c>
      <c r="G174" s="411">
        <f>VLOOKUP($A174,'Measure Level Adjustments Tab'!$A$5:$CL$272,14,FALSE)</f>
        <v>0</v>
      </c>
      <c r="H174" s="663">
        <f>VLOOKUP($A174,'Measure Level Adjustments Tab'!$A$5:$CL$272,54,FALSE)</f>
        <v>236</v>
      </c>
      <c r="I174" s="663">
        <f>VLOOKUP($A174,'Measure Level Adjustments Tab'!$A$5:$CL$272,55,FALSE)</f>
        <v>222</v>
      </c>
      <c r="J174" s="663">
        <f>VLOOKUP($A174,'Measure Level Adjustments Tab'!$A$5:$CL$272,56,FALSE)</f>
        <v>222</v>
      </c>
      <c r="K174" s="663">
        <f>VLOOKUP($A174,'Measure Level Adjustments Tab'!$A$5:$CL$272,57,FALSE)</f>
        <v>223</v>
      </c>
      <c r="L174" s="411" t="str">
        <f>VLOOKUP($A174,'Measure Level Adjustments Tab'!$A$5:$CL$272,12,FALSE)</f>
        <v>CI-HWE-LFFA-V07-180101</v>
      </c>
      <c r="M174" s="422"/>
      <c r="N174" s="662">
        <v>7.4894856389249336</v>
      </c>
      <c r="O174" s="662">
        <v>7.4894856389249336</v>
      </c>
      <c r="P174" s="662">
        <v>7.4894856389249336</v>
      </c>
      <c r="Q174" s="662">
        <v>7.4894856389249336</v>
      </c>
      <c r="R174" s="661">
        <f>VLOOKUP($A174,'Measure Level Adjustments Tab'!$A$5:$CL$272,46,FALSE)</f>
        <v>0.9</v>
      </c>
      <c r="S174" s="661">
        <f>VLOOKUP($A174,'Measure Level Adjustments Tab'!$A$5:$CL$272,47,FALSE)</f>
        <v>0.9</v>
      </c>
      <c r="T174" s="661">
        <f>VLOOKUP($A174,'Measure Level Adjustments Tab'!$A$5:$CL$272,48,FALSE)</f>
        <v>0.9</v>
      </c>
      <c r="U174" s="661">
        <f>VLOOKUP($A174,'Measure Level Adjustments Tab'!$A$5:$CL$272,49,FALSE)</f>
        <v>0.9</v>
      </c>
      <c r="V174" s="418">
        <f t="shared" si="36"/>
        <v>1590.7667497076559</v>
      </c>
      <c r="W174" s="418">
        <f t="shared" si="36"/>
        <v>1496.3992306572018</v>
      </c>
      <c r="X174" s="418">
        <f t="shared" si="36"/>
        <v>1496.3992306572018</v>
      </c>
      <c r="Y174" s="418">
        <f t="shared" si="36"/>
        <v>1503.1397677322343</v>
      </c>
      <c r="Z174" s="418">
        <f t="shared" si="37"/>
        <v>6086.7049787542946</v>
      </c>
      <c r="AA174" s="410"/>
      <c r="AB174" s="422"/>
      <c r="AC174" s="415">
        <v>7.4894856389249336</v>
      </c>
      <c r="AD174" s="416"/>
      <c r="AE174" s="414">
        <f t="shared" si="38"/>
        <v>1590.7667497076559</v>
      </c>
      <c r="AF174" s="412">
        <f t="shared" si="39"/>
        <v>0</v>
      </c>
      <c r="AG174" s="410"/>
      <c r="AH174" s="422"/>
      <c r="AI174" s="413">
        <v>7.4894856389249336</v>
      </c>
      <c r="AJ174" s="2669" t="s">
        <v>3418</v>
      </c>
      <c r="AK174" s="414">
        <f t="shared" si="40"/>
        <v>1496.3992306572018</v>
      </c>
      <c r="AL174" s="412">
        <f t="shared" si="41"/>
        <v>0</v>
      </c>
      <c r="AM174" s="410"/>
      <c r="AN174" s="422"/>
      <c r="AO174" s="413">
        <v>7.4894856389249336</v>
      </c>
      <c r="AP174" s="2669" t="s">
        <v>304</v>
      </c>
      <c r="AQ174" s="414">
        <f t="shared" si="42"/>
        <v>1496.3992306572018</v>
      </c>
      <c r="AR174" s="412">
        <f t="shared" si="43"/>
        <v>0</v>
      </c>
      <c r="AS174" s="410"/>
      <c r="AT174" s="422"/>
      <c r="AU174" s="413">
        <f>VLOOKUP($A174,'Measure Level Adjustments Tab'!$A$5:$CL$272,53,FALSE)/U174</f>
        <v>7.4894856389249336</v>
      </c>
      <c r="AV174" s="2669" t="s">
        <v>304</v>
      </c>
      <c r="AW174" s="414">
        <f t="shared" si="44"/>
        <v>1503.1397677322343</v>
      </c>
      <c r="AX174" s="412">
        <f t="shared" si="45"/>
        <v>0</v>
      </c>
      <c r="AY174" s="418">
        <f t="shared" si="46"/>
        <v>1590.7667497076559</v>
      </c>
      <c r="AZ174" s="418">
        <f t="shared" si="47"/>
        <v>1496.3992306572018</v>
      </c>
      <c r="BA174" s="418">
        <f t="shared" si="48"/>
        <v>1496.3992306572018</v>
      </c>
      <c r="BB174" s="418">
        <f t="shared" si="49"/>
        <v>1503.1397677322343</v>
      </c>
      <c r="BC174" s="419">
        <f t="shared" si="50"/>
        <v>6086.7049787542946</v>
      </c>
      <c r="BD174" s="410" t="s">
        <v>1271</v>
      </c>
      <c r="BE174" s="423" t="s">
        <v>1272</v>
      </c>
      <c r="BF174" s="421"/>
    </row>
    <row r="175" spans="1:58" s="327" customFormat="1" ht="18" customHeight="1" x14ac:dyDescent="0.35">
      <c r="A175" s="660">
        <v>264</v>
      </c>
      <c r="B175" s="660" t="str">
        <f>VLOOKUP($A175,'Measure Level Adjustments Tab'!$A$5:$CL$272,6,FALSE)</f>
        <v>Standard</v>
      </c>
      <c r="C175" s="659" t="s">
        <v>1054</v>
      </c>
      <c r="D175" s="659" t="s">
        <v>1021</v>
      </c>
      <c r="E175" s="411">
        <f>VLOOKUP($A175,'Measure Level Adjustments Tab'!$A$5:$CL$272,13,FALSE)</f>
        <v>1</v>
      </c>
      <c r="F175" s="411" t="str">
        <f>VLOOKUP($A175,'Measure Level Adjustments Tab'!$A$5:$CL$272,11,FALSE)</f>
        <v>n/a</v>
      </c>
      <c r="G175" s="411">
        <f>VLOOKUP($A175,'Measure Level Adjustments Tab'!$A$5:$CL$272,14,FALSE)</f>
        <v>0</v>
      </c>
      <c r="H175" s="663">
        <f>VLOOKUP($A175,'Measure Level Adjustments Tab'!$A$5:$CL$272,54,FALSE)</f>
        <v>40</v>
      </c>
      <c r="I175" s="663">
        <f>VLOOKUP($A175,'Measure Level Adjustments Tab'!$A$5:$CL$272,55,FALSE)</f>
        <v>0</v>
      </c>
      <c r="J175" s="663">
        <f>VLOOKUP($A175,'Measure Level Adjustments Tab'!$A$5:$CL$272,56,FALSE)</f>
        <v>0</v>
      </c>
      <c r="K175" s="663">
        <f>VLOOKUP($A175,'Measure Level Adjustments Tab'!$A$5:$CL$272,57,FALSE)</f>
        <v>0</v>
      </c>
      <c r="L175" s="411" t="str">
        <f>VLOOKUP($A175,'Measure Level Adjustments Tab'!$A$5:$CL$272,12,FALSE)</f>
        <v>n/a</v>
      </c>
      <c r="M175" s="422"/>
      <c r="N175" s="662">
        <v>61.482900000000001</v>
      </c>
      <c r="O175" s="662">
        <v>61.482900000000001</v>
      </c>
      <c r="P175" s="662">
        <v>61.482900000000001</v>
      </c>
      <c r="Q175" s="662">
        <v>61.482900000000001</v>
      </c>
      <c r="R175" s="661">
        <f>VLOOKUP($A175,'Measure Level Adjustments Tab'!$A$5:$CL$272,46,FALSE)</f>
        <v>0.9</v>
      </c>
      <c r="S175" s="661">
        <f>VLOOKUP($A175,'Measure Level Adjustments Tab'!$A$5:$CL$272,47,FALSE)</f>
        <v>0.9</v>
      </c>
      <c r="T175" s="661">
        <f>VLOOKUP($A175,'Measure Level Adjustments Tab'!$A$5:$CL$272,48,FALSE)</f>
        <v>0.9</v>
      </c>
      <c r="U175" s="661">
        <f>VLOOKUP($A175,'Measure Level Adjustments Tab'!$A$5:$CL$272,49,FALSE)</f>
        <v>0.9</v>
      </c>
      <c r="V175" s="418">
        <f t="shared" si="36"/>
        <v>2213.3843999999999</v>
      </c>
      <c r="W175" s="418">
        <f t="shared" si="36"/>
        <v>0</v>
      </c>
      <c r="X175" s="418">
        <f t="shared" si="36"/>
        <v>0</v>
      </c>
      <c r="Y175" s="418">
        <f t="shared" si="36"/>
        <v>0</v>
      </c>
      <c r="Z175" s="418">
        <f t="shared" si="37"/>
        <v>2213.3843999999999</v>
      </c>
      <c r="AA175" s="410"/>
      <c r="AB175" s="422"/>
      <c r="AC175" s="415">
        <v>61.482900000000001</v>
      </c>
      <c r="AD175" s="416"/>
      <c r="AE175" s="414">
        <f t="shared" si="38"/>
        <v>2213.3843999999999</v>
      </c>
      <c r="AF175" s="412">
        <f t="shared" si="39"/>
        <v>0</v>
      </c>
      <c r="AG175" s="410"/>
      <c r="AH175" s="422"/>
      <c r="AI175" s="413">
        <v>61.482900000000001</v>
      </c>
      <c r="AJ175" s="2669" t="s">
        <v>820</v>
      </c>
      <c r="AK175" s="414">
        <f t="shared" si="40"/>
        <v>0</v>
      </c>
      <c r="AL175" s="412">
        <f t="shared" si="41"/>
        <v>0</v>
      </c>
      <c r="AM175" s="410"/>
      <c r="AN175" s="422"/>
      <c r="AO175" s="413">
        <v>61.482900000000001</v>
      </c>
      <c r="AP175" s="2669" t="s">
        <v>304</v>
      </c>
      <c r="AQ175" s="414">
        <f t="shared" si="42"/>
        <v>0</v>
      </c>
      <c r="AR175" s="412">
        <f t="shared" si="43"/>
        <v>0</v>
      </c>
      <c r="AS175" s="410"/>
      <c r="AT175" s="422"/>
      <c r="AU175" s="413">
        <f>VLOOKUP($A175,'Measure Level Adjustments Tab'!$A$5:$CL$272,53,FALSE)/U175</f>
        <v>61.482900000000001</v>
      </c>
      <c r="AV175" s="2669" t="s">
        <v>304</v>
      </c>
      <c r="AW175" s="414">
        <f t="shared" si="44"/>
        <v>0</v>
      </c>
      <c r="AX175" s="412">
        <f t="shared" si="45"/>
        <v>0</v>
      </c>
      <c r="AY175" s="418">
        <f t="shared" si="46"/>
        <v>2213.3843999999999</v>
      </c>
      <c r="AZ175" s="418">
        <f t="shared" si="47"/>
        <v>0</v>
      </c>
      <c r="BA175" s="418">
        <f t="shared" si="48"/>
        <v>0</v>
      </c>
      <c r="BB175" s="418">
        <f t="shared" si="49"/>
        <v>0</v>
      </c>
      <c r="BC175" s="419">
        <f t="shared" si="50"/>
        <v>2213.3843999999999</v>
      </c>
      <c r="BD175" s="410" t="s">
        <v>1271</v>
      </c>
      <c r="BE175" s="423" t="s">
        <v>1272</v>
      </c>
      <c r="BF175" s="421"/>
    </row>
    <row r="176" spans="1:58" s="327" customFormat="1" ht="18" customHeight="1" x14ac:dyDescent="0.35">
      <c r="A176" s="660">
        <v>362</v>
      </c>
      <c r="B176" s="660" t="str">
        <f>VLOOKUP($A176,'Measure Level Adjustments Tab'!$A$5:$CL$272,6,FALSE)</f>
        <v>Standard</v>
      </c>
      <c r="C176" s="659" t="s">
        <v>1054</v>
      </c>
      <c r="D176" s="659" t="s">
        <v>181</v>
      </c>
      <c r="E176" s="411">
        <f>VLOOKUP($A176,'Measure Level Adjustments Tab'!$A$5:$CL$272,13,FALSE)</f>
        <v>1</v>
      </c>
      <c r="F176" s="411" t="str">
        <f>VLOOKUP($A176,'Measure Level Adjustments Tab'!$A$5:$CL$272,11,FALSE)</f>
        <v>4.4.37</v>
      </c>
      <c r="G176" s="411">
        <f>VLOOKUP($A176,'Measure Level Adjustments Tab'!$A$5:$CL$272,14,FALSE)</f>
        <v>0</v>
      </c>
      <c r="H176" s="663">
        <f>VLOOKUP($A176,'Measure Level Adjustments Tab'!$A$5:$CL$272,54,FALSE)</f>
        <v>6</v>
      </c>
      <c r="I176" s="663">
        <f>VLOOKUP($A176,'Measure Level Adjustments Tab'!$A$5:$CL$272,55,FALSE)</f>
        <v>6</v>
      </c>
      <c r="J176" s="663">
        <f>VLOOKUP($A176,'Measure Level Adjustments Tab'!$A$5:$CL$272,56,FALSE)</f>
        <v>6</v>
      </c>
      <c r="K176" s="663">
        <f>VLOOKUP($A176,'Measure Level Adjustments Tab'!$A$5:$CL$272,57,FALSE)</f>
        <v>6</v>
      </c>
      <c r="L176" s="411" t="str">
        <f>VLOOKUP($A176,'Measure Level Adjustments Tab'!$A$5:$CL$272,12,FALSE)</f>
        <v>CI-HVC-DSFN-V02-180101</v>
      </c>
      <c r="M176" s="422"/>
      <c r="N176" s="662">
        <v>1410.9147306857637</v>
      </c>
      <c r="O176" s="662">
        <v>1410.9147306857637</v>
      </c>
      <c r="P176" s="662">
        <v>1410.9147306857637</v>
      </c>
      <c r="Q176" s="662">
        <v>1410.9147306857637</v>
      </c>
      <c r="R176" s="661">
        <f>VLOOKUP($A176,'Measure Level Adjustments Tab'!$A$5:$CL$272,46,FALSE)</f>
        <v>0.9</v>
      </c>
      <c r="S176" s="661">
        <f>VLOOKUP($A176,'Measure Level Adjustments Tab'!$A$5:$CL$272,47,FALSE)</f>
        <v>0.9</v>
      </c>
      <c r="T176" s="661">
        <f>VLOOKUP($A176,'Measure Level Adjustments Tab'!$A$5:$CL$272,48,FALSE)</f>
        <v>0.9</v>
      </c>
      <c r="U176" s="661">
        <f>VLOOKUP($A176,'Measure Level Adjustments Tab'!$A$5:$CL$272,49,FALSE)</f>
        <v>0.9</v>
      </c>
      <c r="V176" s="418">
        <f t="shared" si="36"/>
        <v>7618.9395457031242</v>
      </c>
      <c r="W176" s="418">
        <f t="shared" si="36"/>
        <v>7618.9395457031242</v>
      </c>
      <c r="X176" s="418">
        <f t="shared" si="36"/>
        <v>7618.9395457031242</v>
      </c>
      <c r="Y176" s="418">
        <f t="shared" si="36"/>
        <v>7618.9395457031242</v>
      </c>
      <c r="Z176" s="418">
        <f t="shared" si="37"/>
        <v>30475.758182812497</v>
      </c>
      <c r="AA176" s="410"/>
      <c r="AB176" s="422"/>
      <c r="AC176" s="415">
        <v>1410.9147306857637</v>
      </c>
      <c r="AD176" s="416"/>
      <c r="AE176" s="414">
        <f t="shared" si="38"/>
        <v>7618.9395457031242</v>
      </c>
      <c r="AF176" s="412">
        <f t="shared" si="39"/>
        <v>0</v>
      </c>
      <c r="AG176" s="410"/>
      <c r="AH176" s="422"/>
      <c r="AI176" s="413">
        <v>1410.9147306857637</v>
      </c>
      <c r="AJ176" s="2669" t="s">
        <v>820</v>
      </c>
      <c r="AK176" s="414">
        <f t="shared" si="40"/>
        <v>7618.9395457031242</v>
      </c>
      <c r="AL176" s="412">
        <f t="shared" si="41"/>
        <v>0</v>
      </c>
      <c r="AM176" s="410"/>
      <c r="AN176" s="422"/>
      <c r="AO176" s="413">
        <v>1410.9147306857637</v>
      </c>
      <c r="AP176" s="2669" t="s">
        <v>304</v>
      </c>
      <c r="AQ176" s="414">
        <f t="shared" si="42"/>
        <v>7618.9395457031242</v>
      </c>
      <c r="AR176" s="412">
        <f t="shared" si="43"/>
        <v>0</v>
      </c>
      <c r="AS176" s="410"/>
      <c r="AT176" s="422"/>
      <c r="AU176" s="413">
        <f>VLOOKUP($A176,'Measure Level Adjustments Tab'!$A$5:$CL$272,53,FALSE)/U176</f>
        <v>1410.9147306857637</v>
      </c>
      <c r="AV176" s="2669" t="s">
        <v>304</v>
      </c>
      <c r="AW176" s="414">
        <f t="shared" si="44"/>
        <v>7618.9395457031242</v>
      </c>
      <c r="AX176" s="412">
        <f t="shared" si="45"/>
        <v>0</v>
      </c>
      <c r="AY176" s="418">
        <f t="shared" si="46"/>
        <v>7618.9395457031242</v>
      </c>
      <c r="AZ176" s="418">
        <f t="shared" si="47"/>
        <v>7618.9395457031242</v>
      </c>
      <c r="BA176" s="418">
        <f t="shared" si="48"/>
        <v>7618.9395457031242</v>
      </c>
      <c r="BB176" s="418">
        <f t="shared" si="49"/>
        <v>7618.9395457031242</v>
      </c>
      <c r="BC176" s="419">
        <f t="shared" si="50"/>
        <v>30475.758182812497</v>
      </c>
      <c r="BD176" s="410" t="s">
        <v>1271</v>
      </c>
      <c r="BE176" s="423" t="s">
        <v>1272</v>
      </c>
      <c r="BF176" s="421"/>
    </row>
    <row r="177" spans="1:58" s="327" customFormat="1" ht="18" customHeight="1" x14ac:dyDescent="0.35">
      <c r="A177" s="660">
        <v>324</v>
      </c>
      <c r="B177" s="660" t="str">
        <f>VLOOKUP($A177,'Measure Level Adjustments Tab'!$A$5:$CL$272,6,FALSE)</f>
        <v>Standard</v>
      </c>
      <c r="C177" s="659" t="s">
        <v>1054</v>
      </c>
      <c r="D177" s="659" t="s">
        <v>182</v>
      </c>
      <c r="E177" s="411">
        <f>VLOOKUP($A177,'Measure Level Adjustments Tab'!$A$5:$CL$272,13,FALSE)</f>
        <v>1</v>
      </c>
      <c r="F177" s="411" t="str">
        <f>VLOOKUP($A177,'Measure Level Adjustments Tab'!$A$5:$CL$272,11,FALSE)</f>
        <v>4.8.4</v>
      </c>
      <c r="G177" s="411">
        <f>VLOOKUP($A177,'Measure Level Adjustments Tab'!$A$5:$CL$272,14,FALSE)</f>
        <v>0</v>
      </c>
      <c r="H177" s="663">
        <f>VLOOKUP($A177,'Measure Level Adjustments Tab'!$A$5:$CL$272,54,FALSE)</f>
        <v>2</v>
      </c>
      <c r="I177" s="663">
        <f>VLOOKUP($A177,'Measure Level Adjustments Tab'!$A$5:$CL$272,55,FALSE)</f>
        <v>2</v>
      </c>
      <c r="J177" s="663">
        <f>VLOOKUP($A177,'Measure Level Adjustments Tab'!$A$5:$CL$272,56,FALSE)</f>
        <v>3</v>
      </c>
      <c r="K177" s="663">
        <f>VLOOKUP($A177,'Measure Level Adjustments Tab'!$A$5:$CL$272,57,FALSE)</f>
        <v>2</v>
      </c>
      <c r="L177" s="411" t="str">
        <f>VLOOKUP($A177,'Measure Level Adjustments Tab'!$A$5:$CL$272,12,FALSE)</f>
        <v>CI-MSC-MODD-V01-160601</v>
      </c>
      <c r="M177" s="422"/>
      <c r="N177" s="662">
        <v>405.14400000000001</v>
      </c>
      <c r="O177" s="662">
        <v>405.14400000000001</v>
      </c>
      <c r="P177" s="662">
        <v>405.14400000000001</v>
      </c>
      <c r="Q177" s="662">
        <v>405.14400000000001</v>
      </c>
      <c r="R177" s="661">
        <f>VLOOKUP($A177,'Measure Level Adjustments Tab'!$A$5:$CL$272,46,FALSE)</f>
        <v>0.9</v>
      </c>
      <c r="S177" s="661">
        <f>VLOOKUP($A177,'Measure Level Adjustments Tab'!$A$5:$CL$272,47,FALSE)</f>
        <v>0.9</v>
      </c>
      <c r="T177" s="661">
        <f>VLOOKUP($A177,'Measure Level Adjustments Tab'!$A$5:$CL$272,48,FALSE)</f>
        <v>0.9</v>
      </c>
      <c r="U177" s="661">
        <f>VLOOKUP($A177,'Measure Level Adjustments Tab'!$A$5:$CL$272,49,FALSE)</f>
        <v>0.9</v>
      </c>
      <c r="V177" s="418">
        <f t="shared" si="36"/>
        <v>729.25920000000008</v>
      </c>
      <c r="W177" s="418">
        <f t="shared" si="36"/>
        <v>729.25920000000008</v>
      </c>
      <c r="X177" s="418">
        <f t="shared" si="36"/>
        <v>1093.8887999999999</v>
      </c>
      <c r="Y177" s="418">
        <f t="shared" si="36"/>
        <v>729.25920000000008</v>
      </c>
      <c r="Z177" s="418">
        <f t="shared" si="37"/>
        <v>3281.6664000000001</v>
      </c>
      <c r="AA177" s="410"/>
      <c r="AB177" s="422"/>
      <c r="AC177" s="415">
        <v>405.14400000000001</v>
      </c>
      <c r="AD177" s="416"/>
      <c r="AE177" s="414">
        <f t="shared" si="38"/>
        <v>729.25920000000008</v>
      </c>
      <c r="AF177" s="412">
        <f t="shared" si="39"/>
        <v>0</v>
      </c>
      <c r="AG177" s="410"/>
      <c r="AH177" s="422"/>
      <c r="AI177" s="413">
        <v>405.14400000000001</v>
      </c>
      <c r="AJ177" s="2669" t="s">
        <v>820</v>
      </c>
      <c r="AK177" s="414">
        <f t="shared" si="40"/>
        <v>729.25920000000008</v>
      </c>
      <c r="AL177" s="412">
        <f t="shared" si="41"/>
        <v>0</v>
      </c>
      <c r="AM177" s="410"/>
      <c r="AN177" s="422"/>
      <c r="AO177" s="413">
        <v>405.14400000000001</v>
      </c>
      <c r="AP177" s="2669" t="s">
        <v>304</v>
      </c>
      <c r="AQ177" s="414">
        <f t="shared" si="42"/>
        <v>1093.8887999999999</v>
      </c>
      <c r="AR177" s="412">
        <f t="shared" si="43"/>
        <v>0</v>
      </c>
      <c r="AS177" s="410"/>
      <c r="AT177" s="422"/>
      <c r="AU177" s="413">
        <f>VLOOKUP($A177,'Measure Level Adjustments Tab'!$A$5:$CL$272,53,FALSE)/U177</f>
        <v>405.14400000000001</v>
      </c>
      <c r="AV177" s="2669" t="s">
        <v>304</v>
      </c>
      <c r="AW177" s="414">
        <f t="shared" si="44"/>
        <v>729.25920000000008</v>
      </c>
      <c r="AX177" s="412">
        <f t="shared" si="45"/>
        <v>0</v>
      </c>
      <c r="AY177" s="418">
        <f t="shared" si="46"/>
        <v>729.25920000000008</v>
      </c>
      <c r="AZ177" s="418">
        <f t="shared" si="47"/>
        <v>729.25920000000008</v>
      </c>
      <c r="BA177" s="418">
        <f t="shared" si="48"/>
        <v>1093.8887999999999</v>
      </c>
      <c r="BB177" s="418">
        <f t="shared" si="49"/>
        <v>729.25920000000008</v>
      </c>
      <c r="BC177" s="419">
        <f t="shared" si="50"/>
        <v>3281.6664000000001</v>
      </c>
      <c r="BD177" s="410" t="s">
        <v>1271</v>
      </c>
      <c r="BE177" s="423" t="s">
        <v>1272</v>
      </c>
      <c r="BF177" s="421"/>
    </row>
    <row r="178" spans="1:58" s="327" customFormat="1" ht="18" customHeight="1" x14ac:dyDescent="0.35">
      <c r="A178" s="660">
        <v>291</v>
      </c>
      <c r="B178" s="660" t="str">
        <f>VLOOKUP($A178,'Measure Level Adjustments Tab'!$A$5:$CL$272,6,FALSE)</f>
        <v>Standard</v>
      </c>
      <c r="C178" s="659" t="s">
        <v>1054</v>
      </c>
      <c r="D178" s="659" t="s">
        <v>193</v>
      </c>
      <c r="E178" s="411">
        <f>VLOOKUP($A178,'Measure Level Adjustments Tab'!$A$5:$CL$272,13,FALSE)</f>
        <v>1</v>
      </c>
      <c r="F178" s="411" t="str">
        <f>VLOOKUP($A178,'Measure Level Adjustments Tab'!$A$5:$CL$272,11,FALSE)</f>
        <v>4.4.3</v>
      </c>
      <c r="G178" s="411">
        <f>VLOOKUP($A178,'Measure Level Adjustments Tab'!$A$5:$CL$272,14,FALSE)</f>
        <v>0</v>
      </c>
      <c r="H178" s="663">
        <f>VLOOKUP($A178,'Measure Level Adjustments Tab'!$A$5:$CL$272,54,FALSE)</f>
        <v>36</v>
      </c>
      <c r="I178" s="663">
        <f>VLOOKUP($A178,'Measure Level Adjustments Tab'!$A$5:$CL$272,55,FALSE)</f>
        <v>36</v>
      </c>
      <c r="J178" s="663">
        <f>VLOOKUP($A178,'Measure Level Adjustments Tab'!$A$5:$CL$272,56,FALSE)</f>
        <v>36</v>
      </c>
      <c r="K178" s="663">
        <f>VLOOKUP($A178,'Measure Level Adjustments Tab'!$A$5:$CL$272,57,FALSE)</f>
        <v>36</v>
      </c>
      <c r="L178" s="411" t="str">
        <f>VLOOKUP($A178,'Measure Level Adjustments Tab'!$A$5:$CL$272,12,FALSE)</f>
        <v>CI-HVC-PBTU-V05-160601</v>
      </c>
      <c r="M178" s="422"/>
      <c r="N178" s="662">
        <v>1596.992328311999</v>
      </c>
      <c r="O178" s="662">
        <v>1596.992328311999</v>
      </c>
      <c r="P178" s="662">
        <v>1596.992328311999</v>
      </c>
      <c r="Q178" s="662">
        <v>1596.992328311999</v>
      </c>
      <c r="R178" s="661">
        <f>VLOOKUP($A178,'Measure Level Adjustments Tab'!$A$5:$CL$272,46,FALSE)</f>
        <v>0.9</v>
      </c>
      <c r="S178" s="661">
        <f>VLOOKUP($A178,'Measure Level Adjustments Tab'!$A$5:$CL$272,47,FALSE)</f>
        <v>0.9</v>
      </c>
      <c r="T178" s="661">
        <f>VLOOKUP($A178,'Measure Level Adjustments Tab'!$A$5:$CL$272,48,FALSE)</f>
        <v>0.9</v>
      </c>
      <c r="U178" s="661">
        <f>VLOOKUP($A178,'Measure Level Adjustments Tab'!$A$5:$CL$272,49,FALSE)</f>
        <v>0.9</v>
      </c>
      <c r="V178" s="418">
        <f t="shared" si="36"/>
        <v>51742.551437308772</v>
      </c>
      <c r="W178" s="418">
        <f t="shared" si="36"/>
        <v>51742.551437308772</v>
      </c>
      <c r="X178" s="418">
        <f t="shared" si="36"/>
        <v>51742.551437308772</v>
      </c>
      <c r="Y178" s="418">
        <f t="shared" si="36"/>
        <v>51742.551437308772</v>
      </c>
      <c r="Z178" s="418">
        <f t="shared" si="37"/>
        <v>206970.20574923509</v>
      </c>
      <c r="AA178" s="410"/>
      <c r="AB178" s="422"/>
      <c r="AC178" s="415">
        <v>1596.992328311999</v>
      </c>
      <c r="AD178" s="416"/>
      <c r="AE178" s="414">
        <f t="shared" si="38"/>
        <v>51742.551437308772</v>
      </c>
      <c r="AF178" s="412">
        <f t="shared" si="39"/>
        <v>0</v>
      </c>
      <c r="AG178" s="410"/>
      <c r="AH178" s="422"/>
      <c r="AI178" s="413">
        <v>1596.6213615870042</v>
      </c>
      <c r="AJ178" s="2669" t="s">
        <v>820</v>
      </c>
      <c r="AK178" s="414">
        <f t="shared" si="40"/>
        <v>51730.532115418937</v>
      </c>
      <c r="AL178" s="412">
        <f t="shared" si="41"/>
        <v>-12.019321889834828</v>
      </c>
      <c r="AM178" s="410"/>
      <c r="AN178" s="422"/>
      <c r="AO178" s="413">
        <v>1602.0730065793971</v>
      </c>
      <c r="AP178" s="2669" t="s">
        <v>4325</v>
      </c>
      <c r="AQ178" s="414">
        <f t="shared" si="42"/>
        <v>51907.165413172472</v>
      </c>
      <c r="AR178" s="412">
        <f t="shared" si="43"/>
        <v>164.61397586370003</v>
      </c>
      <c r="AS178" s="410"/>
      <c r="AT178" s="422"/>
      <c r="AU178" s="413">
        <f>VLOOKUP($A178,'Measure Level Adjustments Tab'!$A$5:$CL$272,53,FALSE)/U178</f>
        <v>1507.9529934371551</v>
      </c>
      <c r="AV178" s="2669" t="s">
        <v>4386</v>
      </c>
      <c r="AW178" s="414">
        <f t="shared" si="44"/>
        <v>48857.676987363826</v>
      </c>
      <c r="AX178" s="412">
        <f t="shared" si="45"/>
        <v>-2884.8744499449458</v>
      </c>
      <c r="AY178" s="418">
        <f t="shared" si="46"/>
        <v>51742.551437308772</v>
      </c>
      <c r="AZ178" s="418">
        <f t="shared" si="47"/>
        <v>51730.532115418937</v>
      </c>
      <c r="BA178" s="418">
        <f t="shared" si="48"/>
        <v>51907.165413172472</v>
      </c>
      <c r="BB178" s="418">
        <f t="shared" si="49"/>
        <v>48857.676987363826</v>
      </c>
      <c r="BC178" s="419">
        <f t="shared" si="50"/>
        <v>204237.925953264</v>
      </c>
      <c r="BD178" s="410" t="s">
        <v>1271</v>
      </c>
      <c r="BE178" s="423" t="s">
        <v>1272</v>
      </c>
      <c r="BF178" s="421"/>
    </row>
    <row r="179" spans="1:58" s="327" customFormat="1" ht="18" customHeight="1" x14ac:dyDescent="0.35">
      <c r="A179" s="660">
        <v>290</v>
      </c>
      <c r="B179" s="660" t="str">
        <f>VLOOKUP($A179,'Measure Level Adjustments Tab'!$A$5:$CL$272,6,FALSE)</f>
        <v>Standard</v>
      </c>
      <c r="C179" s="659" t="s">
        <v>1054</v>
      </c>
      <c r="D179" s="659" t="s">
        <v>194</v>
      </c>
      <c r="E179" s="411">
        <f>VLOOKUP($A179,'Measure Level Adjustments Tab'!$A$5:$CL$272,13,FALSE)</f>
        <v>1</v>
      </c>
      <c r="F179" s="411" t="str">
        <f>VLOOKUP($A179,'Measure Level Adjustments Tab'!$A$5:$CL$272,11,FALSE)</f>
        <v>4.4.10</v>
      </c>
      <c r="G179" s="411">
        <f>VLOOKUP($A179,'Measure Level Adjustments Tab'!$A$5:$CL$272,14,FALSE)</f>
        <v>0</v>
      </c>
      <c r="H179" s="663">
        <f>VLOOKUP($A179,'Measure Level Adjustments Tab'!$A$5:$CL$272,54,FALSE)</f>
        <v>22</v>
      </c>
      <c r="I179" s="663">
        <f>VLOOKUP($A179,'Measure Level Adjustments Tab'!$A$5:$CL$272,55,FALSE)</f>
        <v>22</v>
      </c>
      <c r="J179" s="663">
        <f>VLOOKUP($A179,'Measure Level Adjustments Tab'!$A$5:$CL$272,56,FALSE)</f>
        <v>22</v>
      </c>
      <c r="K179" s="663">
        <f>VLOOKUP($A179,'Measure Level Adjustments Tab'!$A$5:$CL$272,57,FALSE)</f>
        <v>22</v>
      </c>
      <c r="L179" s="411" t="str">
        <f>VLOOKUP($A179,'Measure Level Adjustments Tab'!$A$5:$CL$272,12,FALSE)</f>
        <v>CI-HVC-BOIL-V05-150601</v>
      </c>
      <c r="M179" s="422"/>
      <c r="N179" s="662">
        <v>1071.5740261700303</v>
      </c>
      <c r="O179" s="662">
        <v>1071.5740261700303</v>
      </c>
      <c r="P179" s="662">
        <v>1071.5740261700303</v>
      </c>
      <c r="Q179" s="662">
        <v>1071.5740261700303</v>
      </c>
      <c r="R179" s="661">
        <f>VLOOKUP($A179,'Measure Level Adjustments Tab'!$A$5:$CL$272,46,FALSE)</f>
        <v>0.9</v>
      </c>
      <c r="S179" s="661">
        <f>VLOOKUP($A179,'Measure Level Adjustments Tab'!$A$5:$CL$272,47,FALSE)</f>
        <v>0.9</v>
      </c>
      <c r="T179" s="661">
        <f>VLOOKUP($A179,'Measure Level Adjustments Tab'!$A$5:$CL$272,48,FALSE)</f>
        <v>0.9</v>
      </c>
      <c r="U179" s="661">
        <f>VLOOKUP($A179,'Measure Level Adjustments Tab'!$A$5:$CL$272,49,FALSE)</f>
        <v>0.9</v>
      </c>
      <c r="V179" s="418">
        <f t="shared" si="36"/>
        <v>21217.165718166601</v>
      </c>
      <c r="W179" s="418">
        <f t="shared" si="36"/>
        <v>21217.165718166601</v>
      </c>
      <c r="X179" s="418">
        <f t="shared" si="36"/>
        <v>21217.165718166601</v>
      </c>
      <c r="Y179" s="418">
        <f t="shared" si="36"/>
        <v>21217.165718166601</v>
      </c>
      <c r="Z179" s="418">
        <f t="shared" si="37"/>
        <v>84868.662872666406</v>
      </c>
      <c r="AA179" s="410"/>
      <c r="AB179" s="422"/>
      <c r="AC179" s="415">
        <v>1071.5740261700303</v>
      </c>
      <c r="AD179" s="416"/>
      <c r="AE179" s="414">
        <f t="shared" si="38"/>
        <v>21217.165718166601</v>
      </c>
      <c r="AF179" s="412">
        <f t="shared" si="39"/>
        <v>0</v>
      </c>
      <c r="AG179" s="410"/>
      <c r="AH179" s="422"/>
      <c r="AI179" s="413">
        <v>1071.7733394985812</v>
      </c>
      <c r="AJ179" s="2669" t="s">
        <v>820</v>
      </c>
      <c r="AK179" s="414">
        <f t="shared" si="40"/>
        <v>21221.112122071911</v>
      </c>
      <c r="AL179" s="412">
        <f t="shared" si="41"/>
        <v>3.9464039053091255</v>
      </c>
      <c r="AM179" s="410"/>
      <c r="AN179" s="422"/>
      <c r="AO179" s="413">
        <v>1181.3609695386217</v>
      </c>
      <c r="AP179" s="2669" t="s">
        <v>4325</v>
      </c>
      <c r="AQ179" s="414">
        <f t="shared" si="42"/>
        <v>23390.947196864709</v>
      </c>
      <c r="AR179" s="412">
        <f t="shared" si="43"/>
        <v>2173.7814786981071</v>
      </c>
      <c r="AS179" s="410"/>
      <c r="AT179" s="422"/>
      <c r="AU179" s="413">
        <f>VLOOKUP($A179,'Measure Level Adjustments Tab'!$A$5:$CL$272,53,FALSE)/U179</f>
        <v>1181.3609695386217</v>
      </c>
      <c r="AV179" s="2669" t="s">
        <v>304</v>
      </c>
      <c r="AW179" s="414">
        <f t="shared" si="44"/>
        <v>23390.947196864709</v>
      </c>
      <c r="AX179" s="412">
        <f t="shared" si="45"/>
        <v>2173.7814786981071</v>
      </c>
      <c r="AY179" s="418">
        <f t="shared" si="46"/>
        <v>21217.165718166601</v>
      </c>
      <c r="AZ179" s="418">
        <f t="shared" si="47"/>
        <v>21221.112122071911</v>
      </c>
      <c r="BA179" s="418">
        <f t="shared" si="48"/>
        <v>23390.947196864709</v>
      </c>
      <c r="BB179" s="418">
        <f t="shared" si="49"/>
        <v>23390.947196864709</v>
      </c>
      <c r="BC179" s="419">
        <f t="shared" si="50"/>
        <v>89220.17223396794</v>
      </c>
      <c r="BD179" s="410" t="s">
        <v>1271</v>
      </c>
      <c r="BE179" s="423" t="s">
        <v>1272</v>
      </c>
      <c r="BF179" s="421"/>
    </row>
    <row r="180" spans="1:58" s="327" customFormat="1" ht="18" customHeight="1" x14ac:dyDescent="0.35">
      <c r="A180" s="660">
        <v>293</v>
      </c>
      <c r="B180" s="660" t="str">
        <f>VLOOKUP($A180,'Measure Level Adjustments Tab'!$A$5:$CL$272,6,FALSE)</f>
        <v>Standard</v>
      </c>
      <c r="C180" s="659" t="s">
        <v>1054</v>
      </c>
      <c r="D180" s="659" t="s">
        <v>195</v>
      </c>
      <c r="E180" s="411">
        <f>VLOOKUP($A180,'Measure Level Adjustments Tab'!$A$5:$CL$272,13,FALSE)</f>
        <v>1</v>
      </c>
      <c r="F180" s="411" t="str">
        <f>VLOOKUP($A180,'Measure Level Adjustments Tab'!$A$5:$CL$272,11,FALSE)</f>
        <v>4.4.11</v>
      </c>
      <c r="G180" s="411">
        <f>VLOOKUP($A180,'Measure Level Adjustments Tab'!$A$5:$CL$272,14,FALSE)</f>
        <v>0</v>
      </c>
      <c r="H180" s="663">
        <f>VLOOKUP($A180,'Measure Level Adjustments Tab'!$A$5:$CL$272,54,FALSE)</f>
        <v>36</v>
      </c>
      <c r="I180" s="663">
        <f>VLOOKUP($A180,'Measure Level Adjustments Tab'!$A$5:$CL$272,55,FALSE)</f>
        <v>32</v>
      </c>
      <c r="J180" s="663">
        <f>VLOOKUP($A180,'Measure Level Adjustments Tab'!$A$5:$CL$272,56,FALSE)</f>
        <v>32</v>
      </c>
      <c r="K180" s="663">
        <f>VLOOKUP($A180,'Measure Level Adjustments Tab'!$A$5:$CL$272,57,FALSE)</f>
        <v>29</v>
      </c>
      <c r="L180" s="411" t="str">
        <f>VLOOKUP($A180,'Measure Level Adjustments Tab'!$A$5:$CL$272,12,FALSE)</f>
        <v>CI-HVC-FRNC-V07-180101</v>
      </c>
      <c r="M180" s="422"/>
      <c r="N180" s="662">
        <v>228.88895164555328</v>
      </c>
      <c r="O180" s="662">
        <v>228.88895164555328</v>
      </c>
      <c r="P180" s="662">
        <v>228.88895164555328</v>
      </c>
      <c r="Q180" s="662">
        <v>228.88895164555328</v>
      </c>
      <c r="R180" s="661">
        <f>VLOOKUP($A180,'Measure Level Adjustments Tab'!$A$5:$CL$272,46,FALSE)</f>
        <v>0.9</v>
      </c>
      <c r="S180" s="661">
        <f>VLOOKUP($A180,'Measure Level Adjustments Tab'!$A$5:$CL$272,47,FALSE)</f>
        <v>0.9</v>
      </c>
      <c r="T180" s="661">
        <f>VLOOKUP($A180,'Measure Level Adjustments Tab'!$A$5:$CL$272,48,FALSE)</f>
        <v>0.9</v>
      </c>
      <c r="U180" s="661">
        <f>VLOOKUP($A180,'Measure Level Adjustments Tab'!$A$5:$CL$272,49,FALSE)</f>
        <v>0.9</v>
      </c>
      <c r="V180" s="418">
        <f t="shared" si="36"/>
        <v>7416.0020333159264</v>
      </c>
      <c r="W180" s="418">
        <f t="shared" si="36"/>
        <v>6592.0018073919346</v>
      </c>
      <c r="X180" s="418">
        <f t="shared" si="36"/>
        <v>6592.0018073919346</v>
      </c>
      <c r="Y180" s="418">
        <f t="shared" si="36"/>
        <v>5974.0016379489407</v>
      </c>
      <c r="Z180" s="418">
        <f t="shared" si="37"/>
        <v>26574.007286048734</v>
      </c>
      <c r="AA180" s="410"/>
      <c r="AB180" s="422"/>
      <c r="AC180" s="415">
        <v>228.88895164555328</v>
      </c>
      <c r="AD180" s="416"/>
      <c r="AE180" s="414">
        <f t="shared" si="38"/>
        <v>7416.0020333159264</v>
      </c>
      <c r="AF180" s="412">
        <f t="shared" si="39"/>
        <v>0</v>
      </c>
      <c r="AG180" s="410"/>
      <c r="AH180" s="422"/>
      <c r="AI180" s="413">
        <v>225.2670649759601</v>
      </c>
      <c r="AJ180" s="2669" t="s">
        <v>3432</v>
      </c>
      <c r="AK180" s="414">
        <f t="shared" si="40"/>
        <v>6487.6914713076512</v>
      </c>
      <c r="AL180" s="412">
        <f t="shared" si="41"/>
        <v>-104.31033608428334</v>
      </c>
      <c r="AM180" s="410"/>
      <c r="AN180" s="422"/>
      <c r="AO180" s="413">
        <v>301.15827607647219</v>
      </c>
      <c r="AP180" s="2669" t="s">
        <v>4325</v>
      </c>
      <c r="AQ180" s="414">
        <f t="shared" si="42"/>
        <v>8673.3583510024</v>
      </c>
      <c r="AR180" s="412">
        <f t="shared" si="43"/>
        <v>2081.3565436104655</v>
      </c>
      <c r="AS180" s="410"/>
      <c r="AT180" s="422"/>
      <c r="AU180" s="413">
        <f>VLOOKUP($A180,'Measure Level Adjustments Tab'!$A$5:$CL$272,53,FALSE)/U180</f>
        <v>301.15827607647219</v>
      </c>
      <c r="AV180" s="2669" t="s">
        <v>304</v>
      </c>
      <c r="AW180" s="414">
        <f t="shared" si="44"/>
        <v>7860.2310055959242</v>
      </c>
      <c r="AX180" s="412">
        <f t="shared" si="45"/>
        <v>1886.2293676469835</v>
      </c>
      <c r="AY180" s="418">
        <f t="shared" si="46"/>
        <v>7416.0020333159264</v>
      </c>
      <c r="AZ180" s="418">
        <f t="shared" si="47"/>
        <v>6487.6914713076512</v>
      </c>
      <c r="BA180" s="418">
        <f t="shared" si="48"/>
        <v>8673.3583510024</v>
      </c>
      <c r="BB180" s="418">
        <f t="shared" si="49"/>
        <v>7860.2310055959242</v>
      </c>
      <c r="BC180" s="419">
        <f t="shared" si="50"/>
        <v>30437.282861221902</v>
      </c>
      <c r="BD180" s="410" t="s">
        <v>1271</v>
      </c>
      <c r="BE180" s="423" t="s">
        <v>1272</v>
      </c>
      <c r="BF180" s="421"/>
    </row>
    <row r="181" spans="1:58" s="327" customFormat="1" ht="18" customHeight="1" x14ac:dyDescent="0.35">
      <c r="A181" s="660">
        <v>301</v>
      </c>
      <c r="B181" s="660" t="str">
        <f>VLOOKUP($A181,'Measure Level Adjustments Tab'!$A$5:$CL$272,6,FALSE)</f>
        <v>Standard</v>
      </c>
      <c r="C181" s="659" t="s">
        <v>1054</v>
      </c>
      <c r="D181" s="659" t="s">
        <v>196</v>
      </c>
      <c r="E181" s="411">
        <f>VLOOKUP($A181,'Measure Level Adjustments Tab'!$A$5:$CL$272,13,FALSE)</f>
        <v>1</v>
      </c>
      <c r="F181" s="411" t="str">
        <f>VLOOKUP($A181,'Measure Level Adjustments Tab'!$A$5:$CL$272,11,FALSE)</f>
        <v>4.3.5</v>
      </c>
      <c r="G181" s="411">
        <f>VLOOKUP($A181,'Measure Level Adjustments Tab'!$A$5:$CL$272,14,FALSE)</f>
        <v>0</v>
      </c>
      <c r="H181" s="663">
        <f>VLOOKUP($A181,'Measure Level Adjustments Tab'!$A$5:$CL$272,54,FALSE)</f>
        <v>1</v>
      </c>
      <c r="I181" s="663">
        <f>VLOOKUP($A181,'Measure Level Adjustments Tab'!$A$5:$CL$272,55,FALSE)</f>
        <v>1</v>
      </c>
      <c r="J181" s="663">
        <f>VLOOKUP($A181,'Measure Level Adjustments Tab'!$A$5:$CL$272,56,FALSE)</f>
        <v>1</v>
      </c>
      <c r="K181" s="663">
        <f>VLOOKUP($A181,'Measure Level Adjustments Tab'!$A$5:$CL$272,57,FALSE)</f>
        <v>1</v>
      </c>
      <c r="L181" s="411" t="str">
        <f>VLOOKUP($A181,'Measure Level Adjustments Tab'!$A$5:$CL$272,12,FALSE)</f>
        <v>CI-HWE-TKWH-V03-160601</v>
      </c>
      <c r="M181" s="422"/>
      <c r="N181" s="662">
        <v>172.09</v>
      </c>
      <c r="O181" s="662">
        <v>172.09</v>
      </c>
      <c r="P181" s="662">
        <v>172.09</v>
      </c>
      <c r="Q181" s="662">
        <v>172.09</v>
      </c>
      <c r="R181" s="661">
        <f>VLOOKUP($A181,'Measure Level Adjustments Tab'!$A$5:$CL$272,46,FALSE)</f>
        <v>0.9</v>
      </c>
      <c r="S181" s="661">
        <f>VLOOKUP($A181,'Measure Level Adjustments Tab'!$A$5:$CL$272,47,FALSE)</f>
        <v>0.9</v>
      </c>
      <c r="T181" s="661">
        <f>VLOOKUP($A181,'Measure Level Adjustments Tab'!$A$5:$CL$272,48,FALSE)</f>
        <v>0.9</v>
      </c>
      <c r="U181" s="661">
        <f>VLOOKUP($A181,'Measure Level Adjustments Tab'!$A$5:$CL$272,49,FALSE)</f>
        <v>0.9</v>
      </c>
      <c r="V181" s="418">
        <f t="shared" si="36"/>
        <v>154.881</v>
      </c>
      <c r="W181" s="418">
        <f t="shared" si="36"/>
        <v>154.881</v>
      </c>
      <c r="X181" s="418">
        <f t="shared" si="36"/>
        <v>154.881</v>
      </c>
      <c r="Y181" s="418">
        <f t="shared" si="36"/>
        <v>154.881</v>
      </c>
      <c r="Z181" s="418">
        <f t="shared" si="37"/>
        <v>619.524</v>
      </c>
      <c r="AA181" s="410"/>
      <c r="AB181" s="422"/>
      <c r="AC181" s="415">
        <v>172.09</v>
      </c>
      <c r="AD181" s="416"/>
      <c r="AE181" s="414">
        <f t="shared" si="38"/>
        <v>154.881</v>
      </c>
      <c r="AF181" s="412">
        <f t="shared" si="39"/>
        <v>0</v>
      </c>
      <c r="AG181" s="410"/>
      <c r="AH181" s="422"/>
      <c r="AI181" s="413">
        <v>172.09</v>
      </c>
      <c r="AJ181" s="2669" t="s">
        <v>820</v>
      </c>
      <c r="AK181" s="414">
        <f t="shared" si="40"/>
        <v>154.881</v>
      </c>
      <c r="AL181" s="412">
        <f t="shared" si="41"/>
        <v>0</v>
      </c>
      <c r="AM181" s="410"/>
      <c r="AN181" s="422"/>
      <c r="AO181" s="413">
        <v>172.09</v>
      </c>
      <c r="AP181" s="2669" t="s">
        <v>304</v>
      </c>
      <c r="AQ181" s="414">
        <f t="shared" si="42"/>
        <v>154.881</v>
      </c>
      <c r="AR181" s="412">
        <f t="shared" si="43"/>
        <v>0</v>
      </c>
      <c r="AS181" s="410"/>
      <c r="AT181" s="422"/>
      <c r="AU181" s="413">
        <f>VLOOKUP($A181,'Measure Level Adjustments Tab'!$A$5:$CL$272,53,FALSE)/U181</f>
        <v>172.09</v>
      </c>
      <c r="AV181" s="2669" t="s">
        <v>304</v>
      </c>
      <c r="AW181" s="414">
        <f t="shared" si="44"/>
        <v>154.881</v>
      </c>
      <c r="AX181" s="412">
        <f t="shared" si="45"/>
        <v>0</v>
      </c>
      <c r="AY181" s="418">
        <f t="shared" si="46"/>
        <v>154.881</v>
      </c>
      <c r="AZ181" s="418">
        <f t="shared" si="47"/>
        <v>154.881</v>
      </c>
      <c r="BA181" s="418">
        <f t="shared" si="48"/>
        <v>154.881</v>
      </c>
      <c r="BB181" s="418">
        <f t="shared" si="49"/>
        <v>154.881</v>
      </c>
      <c r="BC181" s="419">
        <f t="shared" si="50"/>
        <v>619.524</v>
      </c>
      <c r="BD181" s="410" t="s">
        <v>1271</v>
      </c>
      <c r="BE181" s="423" t="s">
        <v>1272</v>
      </c>
      <c r="BF181" s="421"/>
    </row>
    <row r="182" spans="1:58" s="327" customFormat="1" ht="18" customHeight="1" x14ac:dyDescent="0.35">
      <c r="A182" s="660">
        <v>297</v>
      </c>
      <c r="B182" s="660" t="str">
        <f>VLOOKUP($A182,'Measure Level Adjustments Tab'!$A$5:$CL$272,6,FALSE)</f>
        <v>Standard</v>
      </c>
      <c r="C182" s="659" t="s">
        <v>1054</v>
      </c>
      <c r="D182" s="659" t="s">
        <v>197</v>
      </c>
      <c r="E182" s="411">
        <f>VLOOKUP($A182,'Measure Level Adjustments Tab'!$A$5:$CL$272,13,FALSE)</f>
        <v>1</v>
      </c>
      <c r="F182" s="411" t="str">
        <f>VLOOKUP($A182,'Measure Level Adjustments Tab'!$A$5:$CL$272,11,FALSE)</f>
        <v>4.3.1</v>
      </c>
      <c r="G182" s="411">
        <f>VLOOKUP($A182,'Measure Level Adjustments Tab'!$A$5:$CL$272,14,FALSE)</f>
        <v>0</v>
      </c>
      <c r="H182" s="663">
        <f>VLOOKUP($A182,'Measure Level Adjustments Tab'!$A$5:$CL$272,54,FALSE)</f>
        <v>7</v>
      </c>
      <c r="I182" s="663">
        <f>VLOOKUP($A182,'Measure Level Adjustments Tab'!$A$5:$CL$272,55,FALSE)</f>
        <v>7</v>
      </c>
      <c r="J182" s="663">
        <f>VLOOKUP($A182,'Measure Level Adjustments Tab'!$A$5:$CL$272,56,FALSE)</f>
        <v>7</v>
      </c>
      <c r="K182" s="663">
        <f>VLOOKUP($A182,'Measure Level Adjustments Tab'!$A$5:$CL$272,57,FALSE)</f>
        <v>7</v>
      </c>
      <c r="L182" s="411" t="str">
        <f>VLOOKUP($A182,'Measure Level Adjustments Tab'!$A$5:$CL$272,12,FALSE)</f>
        <v>CI-HWE-STWH-V03-180101</v>
      </c>
      <c r="M182" s="422"/>
      <c r="N182" s="662">
        <v>75.446948711455732</v>
      </c>
      <c r="O182" s="662">
        <v>75.446948711455732</v>
      </c>
      <c r="P182" s="662">
        <v>75.446948711455732</v>
      </c>
      <c r="Q182" s="662">
        <v>75.446948711455732</v>
      </c>
      <c r="R182" s="661">
        <f>VLOOKUP($A182,'Measure Level Adjustments Tab'!$A$5:$CL$272,46,FALSE)</f>
        <v>0.9</v>
      </c>
      <c r="S182" s="661">
        <f>VLOOKUP($A182,'Measure Level Adjustments Tab'!$A$5:$CL$272,47,FALSE)</f>
        <v>0.9</v>
      </c>
      <c r="T182" s="661">
        <f>VLOOKUP($A182,'Measure Level Adjustments Tab'!$A$5:$CL$272,48,FALSE)</f>
        <v>0.9</v>
      </c>
      <c r="U182" s="661">
        <f>VLOOKUP($A182,'Measure Level Adjustments Tab'!$A$5:$CL$272,49,FALSE)</f>
        <v>0.9</v>
      </c>
      <c r="V182" s="418">
        <f t="shared" si="36"/>
        <v>475.31577688217106</v>
      </c>
      <c r="W182" s="418">
        <f t="shared" si="36"/>
        <v>475.31577688217106</v>
      </c>
      <c r="X182" s="418">
        <f t="shared" si="36"/>
        <v>475.31577688217106</v>
      </c>
      <c r="Y182" s="418">
        <f t="shared" si="36"/>
        <v>475.31577688217106</v>
      </c>
      <c r="Z182" s="418">
        <f t="shared" si="37"/>
        <v>1901.2631075286843</v>
      </c>
      <c r="AA182" s="410"/>
      <c r="AB182" s="422"/>
      <c r="AC182" s="415">
        <v>75.446948711455732</v>
      </c>
      <c r="AD182" s="416"/>
      <c r="AE182" s="414">
        <f t="shared" si="38"/>
        <v>475.31577688217106</v>
      </c>
      <c r="AF182" s="412">
        <f t="shared" si="39"/>
        <v>0</v>
      </c>
      <c r="AG182" s="410"/>
      <c r="AH182" s="422"/>
      <c r="AI182" s="413">
        <v>260.01075890667784</v>
      </c>
      <c r="AJ182" s="2669" t="s">
        <v>3416</v>
      </c>
      <c r="AK182" s="414">
        <f t="shared" si="40"/>
        <v>1638.0677811120704</v>
      </c>
      <c r="AL182" s="412">
        <f t="shared" si="41"/>
        <v>1162.7520042298993</v>
      </c>
      <c r="AM182" s="410"/>
      <c r="AN182" s="422"/>
      <c r="AO182" s="413">
        <v>260.01075890667784</v>
      </c>
      <c r="AP182" s="2669" t="s">
        <v>304</v>
      </c>
      <c r="AQ182" s="414">
        <f t="shared" si="42"/>
        <v>1638.0677811120704</v>
      </c>
      <c r="AR182" s="412">
        <f t="shared" si="43"/>
        <v>1162.7520042298993</v>
      </c>
      <c r="AS182" s="410"/>
      <c r="AT182" s="422"/>
      <c r="AU182" s="413">
        <f>VLOOKUP($A182,'Measure Level Adjustments Tab'!$A$5:$CL$272,53,FALSE)/U182</f>
        <v>260.01075890667784</v>
      </c>
      <c r="AV182" s="2669" t="s">
        <v>304</v>
      </c>
      <c r="AW182" s="414">
        <f t="shared" si="44"/>
        <v>1638.0677811120704</v>
      </c>
      <c r="AX182" s="412">
        <f t="shared" si="45"/>
        <v>1162.7520042298993</v>
      </c>
      <c r="AY182" s="418">
        <f t="shared" si="46"/>
        <v>475.31577688217106</v>
      </c>
      <c r="AZ182" s="418">
        <f t="shared" si="47"/>
        <v>1638.0677811120704</v>
      </c>
      <c r="BA182" s="418">
        <f t="shared" si="48"/>
        <v>1638.0677811120704</v>
      </c>
      <c r="BB182" s="418">
        <f t="shared" si="49"/>
        <v>1638.0677811120704</v>
      </c>
      <c r="BC182" s="419">
        <f t="shared" si="50"/>
        <v>5389.5191202183823</v>
      </c>
      <c r="BD182" s="410" t="s">
        <v>1271</v>
      </c>
      <c r="BE182" s="423" t="s">
        <v>1272</v>
      </c>
      <c r="BF182" s="421"/>
    </row>
    <row r="183" spans="1:58" s="327" customFormat="1" ht="18" customHeight="1" x14ac:dyDescent="0.35">
      <c r="A183" s="660">
        <v>300</v>
      </c>
      <c r="B183" s="660" t="str">
        <f>VLOOKUP($A183,'Measure Level Adjustments Tab'!$A$5:$CL$272,6,FALSE)</f>
        <v>Standard</v>
      </c>
      <c r="C183" s="659" t="s">
        <v>1054</v>
      </c>
      <c r="D183" s="659" t="s">
        <v>198</v>
      </c>
      <c r="E183" s="411">
        <f>VLOOKUP($A183,'Measure Level Adjustments Tab'!$A$5:$CL$272,13,FALSE)</f>
        <v>1</v>
      </c>
      <c r="F183" s="411" t="str">
        <f>VLOOKUP($A183,'Measure Level Adjustments Tab'!$A$5:$CL$272,11,FALSE)</f>
        <v>4.3.1</v>
      </c>
      <c r="G183" s="411">
        <f>VLOOKUP($A183,'Measure Level Adjustments Tab'!$A$5:$CL$272,14,FALSE)</f>
        <v>0</v>
      </c>
      <c r="H183" s="663">
        <f>VLOOKUP($A183,'Measure Level Adjustments Tab'!$A$5:$CL$272,54,FALSE)</f>
        <v>7</v>
      </c>
      <c r="I183" s="663">
        <f>VLOOKUP($A183,'Measure Level Adjustments Tab'!$A$5:$CL$272,55,FALSE)</f>
        <v>7</v>
      </c>
      <c r="J183" s="663">
        <f>VLOOKUP($A183,'Measure Level Adjustments Tab'!$A$5:$CL$272,56,FALSE)</f>
        <v>7</v>
      </c>
      <c r="K183" s="663">
        <f>VLOOKUP($A183,'Measure Level Adjustments Tab'!$A$5:$CL$272,57,FALSE)</f>
        <v>7</v>
      </c>
      <c r="L183" s="411" t="str">
        <f>VLOOKUP($A183,'Measure Level Adjustments Tab'!$A$5:$CL$272,12,FALSE)</f>
        <v>CI-HWE-STWH-V03-180101</v>
      </c>
      <c r="M183" s="422"/>
      <c r="N183" s="662">
        <v>62.806322167483358</v>
      </c>
      <c r="O183" s="662">
        <v>62.806322167483358</v>
      </c>
      <c r="P183" s="662">
        <v>62.806322167483358</v>
      </c>
      <c r="Q183" s="662">
        <v>62.806322167483358</v>
      </c>
      <c r="R183" s="661">
        <f>VLOOKUP($A183,'Measure Level Adjustments Tab'!$A$5:$CL$272,46,FALSE)</f>
        <v>0.9</v>
      </c>
      <c r="S183" s="661">
        <f>VLOOKUP($A183,'Measure Level Adjustments Tab'!$A$5:$CL$272,47,FALSE)</f>
        <v>0.9</v>
      </c>
      <c r="T183" s="661">
        <f>VLOOKUP($A183,'Measure Level Adjustments Tab'!$A$5:$CL$272,48,FALSE)</f>
        <v>0.9</v>
      </c>
      <c r="U183" s="661">
        <f>VLOOKUP($A183,'Measure Level Adjustments Tab'!$A$5:$CL$272,49,FALSE)</f>
        <v>0.9</v>
      </c>
      <c r="V183" s="418">
        <f t="shared" si="36"/>
        <v>395.67982965514517</v>
      </c>
      <c r="W183" s="418">
        <f t="shared" si="36"/>
        <v>395.67982965514517</v>
      </c>
      <c r="X183" s="418">
        <f t="shared" si="36"/>
        <v>395.67982965514517</v>
      </c>
      <c r="Y183" s="418">
        <f t="shared" si="36"/>
        <v>395.67982965514517</v>
      </c>
      <c r="Z183" s="418">
        <f t="shared" si="37"/>
        <v>1582.7193186205807</v>
      </c>
      <c r="AA183" s="410"/>
      <c r="AB183" s="422"/>
      <c r="AC183" s="415">
        <v>62.806322167483358</v>
      </c>
      <c r="AD183" s="416"/>
      <c r="AE183" s="414">
        <f t="shared" si="38"/>
        <v>395.67982965514517</v>
      </c>
      <c r="AF183" s="412">
        <f t="shared" si="39"/>
        <v>0</v>
      </c>
      <c r="AG183" s="410"/>
      <c r="AH183" s="422"/>
      <c r="AI183" s="413">
        <v>247.37013236270545</v>
      </c>
      <c r="AJ183" s="2669" t="s">
        <v>3416</v>
      </c>
      <c r="AK183" s="414">
        <f t="shared" si="40"/>
        <v>1558.4318338850444</v>
      </c>
      <c r="AL183" s="412">
        <f t="shared" si="41"/>
        <v>1162.7520042298993</v>
      </c>
      <c r="AM183" s="410"/>
      <c r="AN183" s="422"/>
      <c r="AO183" s="413">
        <v>247.37013236270545</v>
      </c>
      <c r="AP183" s="2669" t="s">
        <v>304</v>
      </c>
      <c r="AQ183" s="414">
        <f t="shared" si="42"/>
        <v>1558.4318338850444</v>
      </c>
      <c r="AR183" s="412">
        <f t="shared" si="43"/>
        <v>1162.7520042298993</v>
      </c>
      <c r="AS183" s="410"/>
      <c r="AT183" s="422"/>
      <c r="AU183" s="413">
        <f>VLOOKUP($A183,'Measure Level Adjustments Tab'!$A$5:$CL$272,53,FALSE)/U183</f>
        <v>247.37013236270545</v>
      </c>
      <c r="AV183" s="2669" t="s">
        <v>304</v>
      </c>
      <c r="AW183" s="414">
        <f t="shared" si="44"/>
        <v>1558.4318338850444</v>
      </c>
      <c r="AX183" s="412">
        <f t="shared" si="45"/>
        <v>1162.7520042298993</v>
      </c>
      <c r="AY183" s="418">
        <f t="shared" si="46"/>
        <v>395.67982965514517</v>
      </c>
      <c r="AZ183" s="418">
        <f t="shared" si="47"/>
        <v>1558.4318338850444</v>
      </c>
      <c r="BA183" s="418">
        <f t="shared" si="48"/>
        <v>1558.4318338850444</v>
      </c>
      <c r="BB183" s="418">
        <f t="shared" si="49"/>
        <v>1558.4318338850444</v>
      </c>
      <c r="BC183" s="419">
        <f t="shared" si="50"/>
        <v>5070.9753313102783</v>
      </c>
      <c r="BD183" s="410" t="s">
        <v>1271</v>
      </c>
      <c r="BE183" s="423" t="s">
        <v>1272</v>
      </c>
      <c r="BF183" s="421"/>
    </row>
    <row r="184" spans="1:58" s="327" customFormat="1" ht="18" customHeight="1" x14ac:dyDescent="0.35">
      <c r="A184" s="660">
        <v>295</v>
      </c>
      <c r="B184" s="660" t="str">
        <f>VLOOKUP($A184,'Measure Level Adjustments Tab'!$A$5:$CL$272,6,FALSE)</f>
        <v>Standard</v>
      </c>
      <c r="C184" s="659" t="s">
        <v>1054</v>
      </c>
      <c r="D184" s="659" t="s">
        <v>199</v>
      </c>
      <c r="E184" s="411">
        <f>VLOOKUP($A184,'Measure Level Adjustments Tab'!$A$5:$CL$272,13,FALSE)</f>
        <v>1</v>
      </c>
      <c r="F184" s="411" t="str">
        <f>VLOOKUP($A184,'Measure Level Adjustments Tab'!$A$5:$CL$272,11,FALSE)</f>
        <v>4.2.3</v>
      </c>
      <c r="G184" s="411">
        <f>VLOOKUP($A184,'Measure Level Adjustments Tab'!$A$5:$CL$272,14,FALSE)</f>
        <v>0</v>
      </c>
      <c r="H184" s="663">
        <f>VLOOKUP($A184,'Measure Level Adjustments Tab'!$A$5:$CL$272,54,FALSE)</f>
        <v>0</v>
      </c>
      <c r="I184" s="663">
        <f>VLOOKUP($A184,'Measure Level Adjustments Tab'!$A$5:$CL$272,55,FALSE)</f>
        <v>1</v>
      </c>
      <c r="J184" s="663">
        <f>VLOOKUP($A184,'Measure Level Adjustments Tab'!$A$5:$CL$272,56,FALSE)</f>
        <v>0</v>
      </c>
      <c r="K184" s="663">
        <f>VLOOKUP($A184,'Measure Level Adjustments Tab'!$A$5:$CL$272,57,FALSE)</f>
        <v>0</v>
      </c>
      <c r="L184" s="411" t="str">
        <f>VLOOKUP($A184,'Measure Level Adjustments Tab'!$A$5:$CL$272,12,FALSE)</f>
        <v>CI-FSE-STMC-V04-160601</v>
      </c>
      <c r="M184" s="422"/>
      <c r="N184" s="662">
        <v>1321</v>
      </c>
      <c r="O184" s="662">
        <v>1321</v>
      </c>
      <c r="P184" s="662">
        <v>1321</v>
      </c>
      <c r="Q184" s="662">
        <v>1321</v>
      </c>
      <c r="R184" s="661">
        <f>VLOOKUP($A184,'Measure Level Adjustments Tab'!$A$5:$CL$272,46,FALSE)</f>
        <v>0.9</v>
      </c>
      <c r="S184" s="661">
        <f>VLOOKUP($A184,'Measure Level Adjustments Tab'!$A$5:$CL$272,47,FALSE)</f>
        <v>0.9</v>
      </c>
      <c r="T184" s="661">
        <f>VLOOKUP($A184,'Measure Level Adjustments Tab'!$A$5:$CL$272,48,FALSE)</f>
        <v>0.9</v>
      </c>
      <c r="U184" s="661">
        <f>VLOOKUP($A184,'Measure Level Adjustments Tab'!$A$5:$CL$272,49,FALSE)</f>
        <v>0.9</v>
      </c>
      <c r="V184" s="418">
        <f t="shared" si="36"/>
        <v>0</v>
      </c>
      <c r="W184" s="418">
        <f t="shared" si="36"/>
        <v>1188.9000000000001</v>
      </c>
      <c r="X184" s="418">
        <f t="shared" si="36"/>
        <v>0</v>
      </c>
      <c r="Y184" s="418">
        <f t="shared" si="36"/>
        <v>0</v>
      </c>
      <c r="Z184" s="418">
        <f t="shared" si="37"/>
        <v>1188.9000000000001</v>
      </c>
      <c r="AA184" s="410"/>
      <c r="AB184" s="422"/>
      <c r="AC184" s="415">
        <v>1321</v>
      </c>
      <c r="AD184" s="416"/>
      <c r="AE184" s="414">
        <f t="shared" si="38"/>
        <v>0</v>
      </c>
      <c r="AF184" s="412">
        <f t="shared" si="39"/>
        <v>0</v>
      </c>
      <c r="AG184" s="410"/>
      <c r="AH184" s="422"/>
      <c r="AI184" s="413">
        <v>1321</v>
      </c>
      <c r="AJ184" s="2669" t="s">
        <v>820</v>
      </c>
      <c r="AK184" s="414">
        <f t="shared" si="40"/>
        <v>1188.9000000000001</v>
      </c>
      <c r="AL184" s="412">
        <f t="shared" si="41"/>
        <v>0</v>
      </c>
      <c r="AM184" s="410"/>
      <c r="AN184" s="422"/>
      <c r="AO184" s="413">
        <v>1321</v>
      </c>
      <c r="AP184" s="2669" t="s">
        <v>304</v>
      </c>
      <c r="AQ184" s="414">
        <f t="shared" si="42"/>
        <v>0</v>
      </c>
      <c r="AR184" s="412">
        <f t="shared" si="43"/>
        <v>0</v>
      </c>
      <c r="AS184" s="410"/>
      <c r="AT184" s="422"/>
      <c r="AU184" s="413">
        <f>VLOOKUP($A184,'Measure Level Adjustments Tab'!$A$5:$CL$272,53,FALSE)/U184</f>
        <v>1321</v>
      </c>
      <c r="AV184" s="2669" t="s">
        <v>304</v>
      </c>
      <c r="AW184" s="414">
        <f t="shared" si="44"/>
        <v>0</v>
      </c>
      <c r="AX184" s="412">
        <f t="shared" si="45"/>
        <v>0</v>
      </c>
      <c r="AY184" s="418">
        <f t="shared" si="46"/>
        <v>0</v>
      </c>
      <c r="AZ184" s="418">
        <f t="shared" si="47"/>
        <v>1188.9000000000001</v>
      </c>
      <c r="BA184" s="418">
        <f t="shared" si="48"/>
        <v>0</v>
      </c>
      <c r="BB184" s="418">
        <f t="shared" si="49"/>
        <v>0</v>
      </c>
      <c r="BC184" s="419">
        <f t="shared" si="50"/>
        <v>1188.9000000000001</v>
      </c>
      <c r="BD184" s="410" t="s">
        <v>1271</v>
      </c>
      <c r="BE184" s="423" t="s">
        <v>1272</v>
      </c>
      <c r="BF184" s="421"/>
    </row>
    <row r="185" spans="1:58" s="327" customFormat="1" ht="18" customHeight="1" x14ac:dyDescent="0.35">
      <c r="A185" s="660">
        <v>296</v>
      </c>
      <c r="B185" s="660" t="str">
        <f>VLOOKUP($A185,'Measure Level Adjustments Tab'!$A$5:$CL$272,6,FALSE)</f>
        <v>Standard</v>
      </c>
      <c r="C185" s="659" t="s">
        <v>1054</v>
      </c>
      <c r="D185" s="659" t="s">
        <v>200</v>
      </c>
      <c r="E185" s="411">
        <f>VLOOKUP($A185,'Measure Level Adjustments Tab'!$A$5:$CL$272,13,FALSE)</f>
        <v>1</v>
      </c>
      <c r="F185" s="411" t="str">
        <f>VLOOKUP($A185,'Measure Level Adjustments Tab'!$A$5:$CL$272,11,FALSE)</f>
        <v>4.2.3</v>
      </c>
      <c r="G185" s="411">
        <f>VLOOKUP($A185,'Measure Level Adjustments Tab'!$A$5:$CL$272,14,FALSE)</f>
        <v>0</v>
      </c>
      <c r="H185" s="663">
        <f>VLOOKUP($A185,'Measure Level Adjustments Tab'!$A$5:$CL$272,54,FALSE)</f>
        <v>0</v>
      </c>
      <c r="I185" s="663">
        <f>VLOOKUP($A185,'Measure Level Adjustments Tab'!$A$5:$CL$272,55,FALSE)</f>
        <v>0</v>
      </c>
      <c r="J185" s="663">
        <f>VLOOKUP($A185,'Measure Level Adjustments Tab'!$A$5:$CL$272,56,FALSE)</f>
        <v>1</v>
      </c>
      <c r="K185" s="663">
        <f>VLOOKUP($A185,'Measure Level Adjustments Tab'!$A$5:$CL$272,57,FALSE)</f>
        <v>1</v>
      </c>
      <c r="L185" s="411" t="str">
        <f>VLOOKUP($A185,'Measure Level Adjustments Tab'!$A$5:$CL$272,12,FALSE)</f>
        <v>CI-FSE-STMC-V04-160601</v>
      </c>
      <c r="M185" s="422"/>
      <c r="N185" s="662">
        <v>1591</v>
      </c>
      <c r="O185" s="662">
        <v>1591</v>
      </c>
      <c r="P185" s="662">
        <v>1591</v>
      </c>
      <c r="Q185" s="662">
        <v>1591</v>
      </c>
      <c r="R185" s="661">
        <f>VLOOKUP($A185,'Measure Level Adjustments Tab'!$A$5:$CL$272,46,FALSE)</f>
        <v>0.9</v>
      </c>
      <c r="S185" s="661">
        <f>VLOOKUP($A185,'Measure Level Adjustments Tab'!$A$5:$CL$272,47,FALSE)</f>
        <v>0.9</v>
      </c>
      <c r="T185" s="661">
        <f>VLOOKUP($A185,'Measure Level Adjustments Tab'!$A$5:$CL$272,48,FALSE)</f>
        <v>0.9</v>
      </c>
      <c r="U185" s="661">
        <f>VLOOKUP($A185,'Measure Level Adjustments Tab'!$A$5:$CL$272,49,FALSE)</f>
        <v>0.9</v>
      </c>
      <c r="V185" s="418">
        <f t="shared" si="36"/>
        <v>0</v>
      </c>
      <c r="W185" s="418">
        <f t="shared" si="36"/>
        <v>0</v>
      </c>
      <c r="X185" s="418">
        <f t="shared" si="36"/>
        <v>1431.9</v>
      </c>
      <c r="Y185" s="418">
        <f t="shared" ref="Y185:Y193" si="51">K185*Q185*U185</f>
        <v>1431.9</v>
      </c>
      <c r="Z185" s="418">
        <f t="shared" si="37"/>
        <v>2863.8</v>
      </c>
      <c r="AA185" s="410"/>
      <c r="AB185" s="422"/>
      <c r="AC185" s="415">
        <v>1591</v>
      </c>
      <c r="AD185" s="416"/>
      <c r="AE185" s="414">
        <f t="shared" si="38"/>
        <v>0</v>
      </c>
      <c r="AF185" s="412">
        <f t="shared" si="39"/>
        <v>0</v>
      </c>
      <c r="AG185" s="410"/>
      <c r="AH185" s="422"/>
      <c r="AI185" s="413">
        <v>1591</v>
      </c>
      <c r="AJ185" s="2669" t="s">
        <v>820</v>
      </c>
      <c r="AK185" s="414">
        <f t="shared" si="40"/>
        <v>0</v>
      </c>
      <c r="AL185" s="412">
        <f t="shared" si="41"/>
        <v>0</v>
      </c>
      <c r="AM185" s="410"/>
      <c r="AN185" s="422"/>
      <c r="AO185" s="413">
        <v>1591</v>
      </c>
      <c r="AP185" s="2669" t="s">
        <v>304</v>
      </c>
      <c r="AQ185" s="414">
        <f t="shared" si="42"/>
        <v>1431.9</v>
      </c>
      <c r="AR185" s="412">
        <f t="shared" si="43"/>
        <v>0</v>
      </c>
      <c r="AS185" s="410"/>
      <c r="AT185" s="422"/>
      <c r="AU185" s="413">
        <f>VLOOKUP($A185,'Measure Level Adjustments Tab'!$A$5:$CL$272,53,FALSE)/U185</f>
        <v>1591</v>
      </c>
      <c r="AV185" s="2669" t="s">
        <v>304</v>
      </c>
      <c r="AW185" s="414">
        <f t="shared" si="44"/>
        <v>1431.9</v>
      </c>
      <c r="AX185" s="412">
        <f t="shared" si="45"/>
        <v>0</v>
      </c>
      <c r="AY185" s="418">
        <f t="shared" si="46"/>
        <v>0</v>
      </c>
      <c r="AZ185" s="418">
        <f t="shared" si="47"/>
        <v>0</v>
      </c>
      <c r="BA185" s="418">
        <f t="shared" si="48"/>
        <v>1431.9</v>
      </c>
      <c r="BB185" s="418">
        <f t="shared" si="49"/>
        <v>1431.9</v>
      </c>
      <c r="BC185" s="419">
        <f t="shared" si="50"/>
        <v>2863.8</v>
      </c>
      <c r="BD185" s="410" t="s">
        <v>1271</v>
      </c>
      <c r="BE185" s="423" t="s">
        <v>1272</v>
      </c>
      <c r="BF185" s="421"/>
    </row>
    <row r="186" spans="1:58" s="327" customFormat="1" ht="18" customHeight="1" x14ac:dyDescent="0.35">
      <c r="A186" s="660">
        <v>294</v>
      </c>
      <c r="B186" s="660" t="str">
        <f>VLOOKUP($A186,'Measure Level Adjustments Tab'!$A$5:$CL$272,6,FALSE)</f>
        <v>Standard</v>
      </c>
      <c r="C186" s="659" t="s">
        <v>1054</v>
      </c>
      <c r="D186" s="659" t="s">
        <v>201</v>
      </c>
      <c r="E186" s="411">
        <f>VLOOKUP($A186,'Measure Level Adjustments Tab'!$A$5:$CL$272,13,FALSE)</f>
        <v>1</v>
      </c>
      <c r="F186" s="411" t="str">
        <f>VLOOKUP($A186,'Measure Level Adjustments Tab'!$A$5:$CL$272,11,FALSE)</f>
        <v>4.2.8</v>
      </c>
      <c r="G186" s="411">
        <f>VLOOKUP($A186,'Measure Level Adjustments Tab'!$A$5:$CL$272,14,FALSE)</f>
        <v>0</v>
      </c>
      <c r="H186" s="663">
        <f>VLOOKUP($A186,'Measure Level Adjustments Tab'!$A$5:$CL$272,54,FALSE)</f>
        <v>2</v>
      </c>
      <c r="I186" s="663">
        <f>VLOOKUP($A186,'Measure Level Adjustments Tab'!$A$5:$CL$272,55,FALSE)</f>
        <v>1</v>
      </c>
      <c r="J186" s="663">
        <f>VLOOKUP($A186,'Measure Level Adjustments Tab'!$A$5:$CL$272,56,FALSE)</f>
        <v>1</v>
      </c>
      <c r="K186" s="663">
        <f>VLOOKUP($A186,'Measure Level Adjustments Tab'!$A$5:$CL$272,57,FALSE)</f>
        <v>1</v>
      </c>
      <c r="L186" s="411" t="str">
        <f>VLOOKUP($A186,'Measure Level Adjustments Tab'!$A$5:$CL$272,12,FALSE)</f>
        <v>CI-FSE-ESGR-V02-160601</v>
      </c>
      <c r="M186" s="422"/>
      <c r="N186" s="662">
        <v>149</v>
      </c>
      <c r="O186" s="662">
        <v>149</v>
      </c>
      <c r="P186" s="662">
        <v>149</v>
      </c>
      <c r="Q186" s="662">
        <v>149</v>
      </c>
      <c r="R186" s="661">
        <f>VLOOKUP($A186,'Measure Level Adjustments Tab'!$A$5:$CL$272,46,FALSE)</f>
        <v>0.9</v>
      </c>
      <c r="S186" s="661">
        <f>VLOOKUP($A186,'Measure Level Adjustments Tab'!$A$5:$CL$272,47,FALSE)</f>
        <v>0.9</v>
      </c>
      <c r="T186" s="661">
        <f>VLOOKUP($A186,'Measure Level Adjustments Tab'!$A$5:$CL$272,48,FALSE)</f>
        <v>0.9</v>
      </c>
      <c r="U186" s="661">
        <f>VLOOKUP($A186,'Measure Level Adjustments Tab'!$A$5:$CL$272,49,FALSE)</f>
        <v>0.9</v>
      </c>
      <c r="V186" s="418">
        <f t="shared" ref="V186:X193" si="52">H186*N186*R186</f>
        <v>268.2</v>
      </c>
      <c r="W186" s="418">
        <f t="shared" si="52"/>
        <v>134.1</v>
      </c>
      <c r="X186" s="418">
        <f t="shared" si="52"/>
        <v>134.1</v>
      </c>
      <c r="Y186" s="418">
        <f t="shared" si="51"/>
        <v>134.1</v>
      </c>
      <c r="Z186" s="418">
        <f t="shared" ref="Z186:Z193" si="53">V186+W186+X186+Y186</f>
        <v>670.5</v>
      </c>
      <c r="AA186" s="410"/>
      <c r="AB186" s="422"/>
      <c r="AC186" s="415">
        <v>149</v>
      </c>
      <c r="AD186" s="416"/>
      <c r="AE186" s="414">
        <f t="shared" ref="AE186:AE193" si="54">H186*AC186*R186</f>
        <v>268.2</v>
      </c>
      <c r="AF186" s="412">
        <f t="shared" ref="AF186:AF193" si="55">AE186-V186</f>
        <v>0</v>
      </c>
      <c r="AG186" s="410"/>
      <c r="AH186" s="422"/>
      <c r="AI186" s="413">
        <v>149</v>
      </c>
      <c r="AJ186" s="2669" t="s">
        <v>820</v>
      </c>
      <c r="AK186" s="414">
        <f t="shared" ref="AK186:AK193" si="56">I186*AI186*S186</f>
        <v>134.1</v>
      </c>
      <c r="AL186" s="412">
        <f t="shared" ref="AL186:AL193" si="57">AK186-W186</f>
        <v>0</v>
      </c>
      <c r="AM186" s="410"/>
      <c r="AN186" s="422"/>
      <c r="AO186" s="413">
        <v>149</v>
      </c>
      <c r="AP186" s="2669" t="s">
        <v>304</v>
      </c>
      <c r="AQ186" s="414">
        <f t="shared" ref="AQ186:AQ193" si="58">J186*AO186*T186</f>
        <v>134.1</v>
      </c>
      <c r="AR186" s="412">
        <f t="shared" ref="AR186:AR193" si="59">AQ186-X186</f>
        <v>0</v>
      </c>
      <c r="AS186" s="410"/>
      <c r="AT186" s="422"/>
      <c r="AU186" s="413">
        <f>VLOOKUP($A186,'Measure Level Adjustments Tab'!$A$5:$CL$272,53,FALSE)/U186</f>
        <v>149</v>
      </c>
      <c r="AV186" s="2669" t="s">
        <v>304</v>
      </c>
      <c r="AW186" s="414">
        <f t="shared" ref="AW186:AW193" si="60">K186*AU186*U186</f>
        <v>134.1</v>
      </c>
      <c r="AX186" s="412">
        <f t="shared" ref="AX186:AX193" si="61">AW186-Y186</f>
        <v>0</v>
      </c>
      <c r="AY186" s="418">
        <f t="shared" ref="AY186:AY193" si="62">IF(E186=1,AE186,V186)</f>
        <v>268.2</v>
      </c>
      <c r="AZ186" s="418">
        <f t="shared" ref="AZ186:AZ193" si="63">IF(E186=1,AK186,W186)</f>
        <v>134.1</v>
      </c>
      <c r="BA186" s="418">
        <f t="shared" ref="BA186:BA193" si="64">IF(E186=1,AQ186,X186)</f>
        <v>134.1</v>
      </c>
      <c r="BB186" s="418">
        <f t="shared" ref="BB186:BB193" si="65">IF(E186=1,AW186,Y186)</f>
        <v>134.1</v>
      </c>
      <c r="BC186" s="419">
        <f t="shared" ref="BC186:BC193" si="66">AY186+AZ186+BA186+BB186</f>
        <v>670.5</v>
      </c>
      <c r="BD186" s="410" t="s">
        <v>1271</v>
      </c>
      <c r="BE186" s="423" t="s">
        <v>1272</v>
      </c>
      <c r="BF186" s="421"/>
    </row>
    <row r="187" spans="1:58" s="327" customFormat="1" ht="18" customHeight="1" x14ac:dyDescent="0.35">
      <c r="A187" s="660">
        <v>292</v>
      </c>
      <c r="B187" s="660" t="str">
        <f>VLOOKUP($A187,'Measure Level Adjustments Tab'!$A$5:$CL$272,6,FALSE)</f>
        <v>Standard</v>
      </c>
      <c r="C187" s="659" t="s">
        <v>1054</v>
      </c>
      <c r="D187" s="659" t="s">
        <v>202</v>
      </c>
      <c r="E187" s="411">
        <f>VLOOKUP($A187,'Measure Level Adjustments Tab'!$A$5:$CL$272,13,FALSE)</f>
        <v>1</v>
      </c>
      <c r="F187" s="411" t="str">
        <f>VLOOKUP($A187,'Measure Level Adjustments Tab'!$A$5:$CL$272,11,FALSE)</f>
        <v>4.2.7</v>
      </c>
      <c r="G187" s="411">
        <f>VLOOKUP($A187,'Measure Level Adjustments Tab'!$A$5:$CL$272,14,FALSE)</f>
        <v>0</v>
      </c>
      <c r="H187" s="663">
        <f>VLOOKUP($A187,'Measure Level Adjustments Tab'!$A$5:$CL$272,54,FALSE)</f>
        <v>2</v>
      </c>
      <c r="I187" s="663">
        <f>VLOOKUP($A187,'Measure Level Adjustments Tab'!$A$5:$CL$272,55,FALSE)</f>
        <v>1</v>
      </c>
      <c r="J187" s="663">
        <f>VLOOKUP($A187,'Measure Level Adjustments Tab'!$A$5:$CL$272,56,FALSE)</f>
        <v>1</v>
      </c>
      <c r="K187" s="663">
        <f>VLOOKUP($A187,'Measure Level Adjustments Tab'!$A$5:$CL$272,57,FALSE)</f>
        <v>1</v>
      </c>
      <c r="L187" s="411" t="str">
        <f>VLOOKUP($A187,'Measure Level Adjustments Tab'!$A$5:$CL$272,12,FALSE)</f>
        <v>CI-FSE-ESFR-V01-120601</v>
      </c>
      <c r="M187" s="422"/>
      <c r="N187" s="662">
        <v>505.23467142857135</v>
      </c>
      <c r="O187" s="662">
        <v>505.23467142857135</v>
      </c>
      <c r="P187" s="662">
        <v>505.23467142857135</v>
      </c>
      <c r="Q187" s="662">
        <v>505.23467142857135</v>
      </c>
      <c r="R187" s="661">
        <f>VLOOKUP($A187,'Measure Level Adjustments Tab'!$A$5:$CL$272,46,FALSE)</f>
        <v>0.9</v>
      </c>
      <c r="S187" s="661">
        <f>VLOOKUP($A187,'Measure Level Adjustments Tab'!$A$5:$CL$272,47,FALSE)</f>
        <v>0.9</v>
      </c>
      <c r="T187" s="661">
        <f>VLOOKUP($A187,'Measure Level Adjustments Tab'!$A$5:$CL$272,48,FALSE)</f>
        <v>0.9</v>
      </c>
      <c r="U187" s="661">
        <f>VLOOKUP($A187,'Measure Level Adjustments Tab'!$A$5:$CL$272,49,FALSE)</f>
        <v>0.9</v>
      </c>
      <c r="V187" s="418">
        <f t="shared" si="52"/>
        <v>909.42240857142849</v>
      </c>
      <c r="W187" s="418">
        <f t="shared" si="52"/>
        <v>454.71120428571425</v>
      </c>
      <c r="X187" s="418">
        <f t="shared" si="52"/>
        <v>454.71120428571425</v>
      </c>
      <c r="Y187" s="418">
        <f t="shared" si="51"/>
        <v>454.71120428571425</v>
      </c>
      <c r="Z187" s="418">
        <f t="shared" si="53"/>
        <v>2273.5560214285711</v>
      </c>
      <c r="AA187" s="410"/>
      <c r="AB187" s="422"/>
      <c r="AC187" s="415">
        <v>505.23467142857135</v>
      </c>
      <c r="AD187" s="416"/>
      <c r="AE187" s="414">
        <f t="shared" si="54"/>
        <v>909.42240857142849</v>
      </c>
      <c r="AF187" s="412">
        <f t="shared" si="55"/>
        <v>0</v>
      </c>
      <c r="AG187" s="410"/>
      <c r="AH187" s="422"/>
      <c r="AI187" s="413">
        <v>505.23467142857135</v>
      </c>
      <c r="AJ187" s="2669" t="s">
        <v>3411</v>
      </c>
      <c r="AK187" s="414">
        <f t="shared" si="56"/>
        <v>454.71120428571425</v>
      </c>
      <c r="AL187" s="412">
        <f t="shared" si="57"/>
        <v>0</v>
      </c>
      <c r="AM187" s="410"/>
      <c r="AN187" s="422"/>
      <c r="AO187" s="413">
        <v>505.23467142857135</v>
      </c>
      <c r="AP187" s="2669" t="s">
        <v>304</v>
      </c>
      <c r="AQ187" s="414">
        <f t="shared" si="58"/>
        <v>454.71120428571425</v>
      </c>
      <c r="AR187" s="412">
        <f t="shared" si="59"/>
        <v>0</v>
      </c>
      <c r="AS187" s="410"/>
      <c r="AT187" s="422"/>
      <c r="AU187" s="413">
        <f>VLOOKUP($A187,'Measure Level Adjustments Tab'!$A$5:$CL$272,53,FALSE)/U187</f>
        <v>505.23467142857135</v>
      </c>
      <c r="AV187" s="2669" t="s">
        <v>304</v>
      </c>
      <c r="AW187" s="414">
        <f t="shared" si="60"/>
        <v>454.71120428571425</v>
      </c>
      <c r="AX187" s="412">
        <f t="shared" si="61"/>
        <v>0</v>
      </c>
      <c r="AY187" s="418">
        <f t="shared" si="62"/>
        <v>909.42240857142849</v>
      </c>
      <c r="AZ187" s="418">
        <f t="shared" si="63"/>
        <v>454.71120428571425</v>
      </c>
      <c r="BA187" s="418">
        <f t="shared" si="64"/>
        <v>454.71120428571425</v>
      </c>
      <c r="BB187" s="418">
        <f t="shared" si="65"/>
        <v>454.71120428571425</v>
      </c>
      <c r="BC187" s="419">
        <f t="shared" si="66"/>
        <v>2273.5560214285711</v>
      </c>
      <c r="BD187" s="410" t="s">
        <v>1271</v>
      </c>
      <c r="BE187" s="423" t="s">
        <v>1272</v>
      </c>
      <c r="BF187" s="421"/>
    </row>
    <row r="188" spans="1:58" s="327" customFormat="1" ht="18" customHeight="1" x14ac:dyDescent="0.35">
      <c r="A188" s="660">
        <v>349</v>
      </c>
      <c r="B188" s="660" t="str">
        <f>VLOOKUP($A188,'Measure Level Adjustments Tab'!$A$5:$CL$272,6,FALSE)</f>
        <v>Standard</v>
      </c>
      <c r="C188" s="659" t="s">
        <v>1054</v>
      </c>
      <c r="D188" s="659" t="s">
        <v>204</v>
      </c>
      <c r="E188" s="411">
        <f>VLOOKUP($A188,'Measure Level Adjustments Tab'!$A$5:$CL$272,13,FALSE)</f>
        <v>1</v>
      </c>
      <c r="F188" s="411" t="str">
        <f>VLOOKUP($A188,'Measure Level Adjustments Tab'!$A$5:$CL$272,11,FALSE)</f>
        <v>4.4.16</v>
      </c>
      <c r="G188" s="411">
        <f>VLOOKUP($A188,'Measure Level Adjustments Tab'!$A$5:$CL$272,14,FALSE)</f>
        <v>0</v>
      </c>
      <c r="H188" s="663">
        <f>VLOOKUP($A188,'Measure Level Adjustments Tab'!$A$5:$CL$272,54,FALSE)</f>
        <v>100</v>
      </c>
      <c r="I188" s="663">
        <f>VLOOKUP($A188,'Measure Level Adjustments Tab'!$A$5:$CL$272,55,FALSE)</f>
        <v>100</v>
      </c>
      <c r="J188" s="663">
        <f>VLOOKUP($A188,'Measure Level Adjustments Tab'!$A$5:$CL$272,56,FALSE)</f>
        <v>100</v>
      </c>
      <c r="K188" s="663">
        <f>VLOOKUP($A188,'Measure Level Adjustments Tab'!$A$5:$CL$272,57,FALSE)</f>
        <v>100</v>
      </c>
      <c r="L188" s="411" t="str">
        <f>VLOOKUP($A188,'Measure Level Adjustments Tab'!$A$5:$CL$272,12,FALSE)</f>
        <v>CI-HVC-STRE-V05-180101</v>
      </c>
      <c r="M188" s="422"/>
      <c r="N188" s="662">
        <v>297.65043171806178</v>
      </c>
      <c r="O188" s="662">
        <v>297.65043171806178</v>
      </c>
      <c r="P188" s="662">
        <v>297.65043171806178</v>
      </c>
      <c r="Q188" s="662">
        <v>297.65043171806178</v>
      </c>
      <c r="R188" s="661">
        <f>VLOOKUP($A188,'Measure Level Adjustments Tab'!$A$5:$CL$272,46,FALSE)</f>
        <v>0.9</v>
      </c>
      <c r="S188" s="661">
        <f>VLOOKUP($A188,'Measure Level Adjustments Tab'!$A$5:$CL$272,47,FALSE)</f>
        <v>0.9</v>
      </c>
      <c r="T188" s="661">
        <f>VLOOKUP($A188,'Measure Level Adjustments Tab'!$A$5:$CL$272,48,FALSE)</f>
        <v>0.9</v>
      </c>
      <c r="U188" s="661">
        <f>VLOOKUP($A188,'Measure Level Adjustments Tab'!$A$5:$CL$272,49,FALSE)</f>
        <v>0.9</v>
      </c>
      <c r="V188" s="418">
        <f t="shared" si="52"/>
        <v>26788.53885462556</v>
      </c>
      <c r="W188" s="418">
        <f t="shared" si="52"/>
        <v>26788.53885462556</v>
      </c>
      <c r="X188" s="418">
        <f t="shared" si="52"/>
        <v>26788.53885462556</v>
      </c>
      <c r="Y188" s="418">
        <f t="shared" si="51"/>
        <v>26788.53885462556</v>
      </c>
      <c r="Z188" s="418">
        <f t="shared" si="53"/>
        <v>107154.15541850224</v>
      </c>
      <c r="AA188" s="410"/>
      <c r="AB188" s="422"/>
      <c r="AC188" s="415">
        <v>297.65043171806178</v>
      </c>
      <c r="AD188" s="416"/>
      <c r="AE188" s="414">
        <f t="shared" si="54"/>
        <v>26788.53885462556</v>
      </c>
      <c r="AF188" s="412">
        <f t="shared" si="55"/>
        <v>0</v>
      </c>
      <c r="AG188" s="410"/>
      <c r="AH188" s="422"/>
      <c r="AI188" s="413">
        <v>297.65043171806178</v>
      </c>
      <c r="AJ188" s="2669" t="s">
        <v>820</v>
      </c>
      <c r="AK188" s="414">
        <f t="shared" si="56"/>
        <v>26788.53885462556</v>
      </c>
      <c r="AL188" s="412">
        <f t="shared" si="57"/>
        <v>0</v>
      </c>
      <c r="AM188" s="410"/>
      <c r="AN188" s="422"/>
      <c r="AO188" s="413">
        <v>297.65043171806178</v>
      </c>
      <c r="AP188" s="2669" t="s">
        <v>304</v>
      </c>
      <c r="AQ188" s="414">
        <f t="shared" si="58"/>
        <v>26788.53885462556</v>
      </c>
      <c r="AR188" s="412">
        <f t="shared" si="59"/>
        <v>0</v>
      </c>
      <c r="AS188" s="410"/>
      <c r="AT188" s="422"/>
      <c r="AU188" s="413">
        <f>VLOOKUP($A188,'Measure Level Adjustments Tab'!$A$5:$CL$272,53,FALSE)/U188</f>
        <v>297.65043171806178</v>
      </c>
      <c r="AV188" s="2669" t="s">
        <v>304</v>
      </c>
      <c r="AW188" s="414">
        <f t="shared" si="60"/>
        <v>26788.53885462556</v>
      </c>
      <c r="AX188" s="412">
        <f t="shared" si="61"/>
        <v>0</v>
      </c>
      <c r="AY188" s="418">
        <f t="shared" si="62"/>
        <v>26788.53885462556</v>
      </c>
      <c r="AZ188" s="418">
        <f t="shared" si="63"/>
        <v>26788.53885462556</v>
      </c>
      <c r="BA188" s="418">
        <f t="shared" si="64"/>
        <v>26788.53885462556</v>
      </c>
      <c r="BB188" s="418">
        <f t="shared" si="65"/>
        <v>26788.53885462556</v>
      </c>
      <c r="BC188" s="419">
        <f t="shared" si="66"/>
        <v>107154.15541850224</v>
      </c>
      <c r="BD188" s="410" t="s">
        <v>1271</v>
      </c>
      <c r="BE188" s="423" t="s">
        <v>1272</v>
      </c>
      <c r="BF188" s="421"/>
    </row>
    <row r="189" spans="1:58" s="327" customFormat="1" ht="18" customHeight="1" x14ac:dyDescent="0.35">
      <c r="A189" s="660">
        <v>350</v>
      </c>
      <c r="B189" s="660" t="str">
        <f>VLOOKUP($A189,'Measure Level Adjustments Tab'!$A$5:$CL$272,6,FALSE)</f>
        <v>Standard</v>
      </c>
      <c r="C189" s="659" t="s">
        <v>1054</v>
      </c>
      <c r="D189" s="659" t="s">
        <v>206</v>
      </c>
      <c r="E189" s="411">
        <f>VLOOKUP($A189,'Measure Level Adjustments Tab'!$A$5:$CL$272,13,FALSE)</f>
        <v>1</v>
      </c>
      <c r="F189" s="411" t="str">
        <f>VLOOKUP($A189,'Measure Level Adjustments Tab'!$A$5:$CL$272,11,FALSE)</f>
        <v>4.4.16</v>
      </c>
      <c r="G189" s="411">
        <f>VLOOKUP($A189,'Measure Level Adjustments Tab'!$A$5:$CL$272,14,FALSE)</f>
        <v>0</v>
      </c>
      <c r="H189" s="663">
        <f>VLOOKUP($A189,'Measure Level Adjustments Tab'!$A$5:$CL$272,54,FALSE)</f>
        <v>5</v>
      </c>
      <c r="I189" s="663">
        <f>VLOOKUP($A189,'Measure Level Adjustments Tab'!$A$5:$CL$272,55,FALSE)</f>
        <v>5</v>
      </c>
      <c r="J189" s="663">
        <f>VLOOKUP($A189,'Measure Level Adjustments Tab'!$A$5:$CL$272,56,FALSE)</f>
        <v>5</v>
      </c>
      <c r="K189" s="663">
        <f>VLOOKUP($A189,'Measure Level Adjustments Tab'!$A$5:$CL$272,57,FALSE)</f>
        <v>5</v>
      </c>
      <c r="L189" s="411" t="str">
        <f>VLOOKUP($A189,'Measure Level Adjustments Tab'!$A$5:$CL$272,12,FALSE)</f>
        <v>CI-HVC-STRE-V05-180101</v>
      </c>
      <c r="M189" s="422"/>
      <c r="N189" s="662">
        <v>4382.0432722457281</v>
      </c>
      <c r="O189" s="662">
        <v>4382.0432722457281</v>
      </c>
      <c r="P189" s="662">
        <v>4382.0432722457281</v>
      </c>
      <c r="Q189" s="662">
        <v>4382.0432722457281</v>
      </c>
      <c r="R189" s="661">
        <f>VLOOKUP($A189,'Measure Level Adjustments Tab'!$A$5:$CL$272,46,FALSE)</f>
        <v>0.9</v>
      </c>
      <c r="S189" s="661">
        <f>VLOOKUP($A189,'Measure Level Adjustments Tab'!$A$5:$CL$272,47,FALSE)</f>
        <v>0.9</v>
      </c>
      <c r="T189" s="661">
        <f>VLOOKUP($A189,'Measure Level Adjustments Tab'!$A$5:$CL$272,48,FALSE)</f>
        <v>0.9</v>
      </c>
      <c r="U189" s="661">
        <f>VLOOKUP($A189,'Measure Level Adjustments Tab'!$A$5:$CL$272,49,FALSE)</f>
        <v>0.9</v>
      </c>
      <c r="V189" s="418">
        <f t="shared" si="52"/>
        <v>19719.194725105775</v>
      </c>
      <c r="W189" s="418">
        <f t="shared" si="52"/>
        <v>19719.194725105775</v>
      </c>
      <c r="X189" s="418">
        <f t="shared" si="52"/>
        <v>19719.194725105775</v>
      </c>
      <c r="Y189" s="418">
        <f t="shared" si="51"/>
        <v>19719.194725105775</v>
      </c>
      <c r="Z189" s="418">
        <f t="shared" si="53"/>
        <v>78876.778900423102</v>
      </c>
      <c r="AA189" s="410"/>
      <c r="AB189" s="422"/>
      <c r="AC189" s="415">
        <v>4382.0432722457281</v>
      </c>
      <c r="AD189" s="416"/>
      <c r="AE189" s="414">
        <f t="shared" si="54"/>
        <v>19719.194725105775</v>
      </c>
      <c r="AF189" s="412">
        <f t="shared" si="55"/>
        <v>0</v>
      </c>
      <c r="AG189" s="410"/>
      <c r="AH189" s="422"/>
      <c r="AI189" s="413">
        <v>4382.0432722457281</v>
      </c>
      <c r="AJ189" s="2669" t="s">
        <v>820</v>
      </c>
      <c r="AK189" s="414">
        <f t="shared" si="56"/>
        <v>19719.194725105775</v>
      </c>
      <c r="AL189" s="412">
        <f t="shared" si="57"/>
        <v>0</v>
      </c>
      <c r="AM189" s="410"/>
      <c r="AN189" s="422"/>
      <c r="AO189" s="413">
        <v>4382.0432722457281</v>
      </c>
      <c r="AP189" s="2669" t="s">
        <v>304</v>
      </c>
      <c r="AQ189" s="414">
        <f t="shared" si="58"/>
        <v>19719.194725105775</v>
      </c>
      <c r="AR189" s="412">
        <f t="shared" si="59"/>
        <v>0</v>
      </c>
      <c r="AS189" s="410"/>
      <c r="AT189" s="422"/>
      <c r="AU189" s="413">
        <f>VLOOKUP($A189,'Measure Level Adjustments Tab'!$A$5:$CL$272,53,FALSE)/U189</f>
        <v>4382.0432722457281</v>
      </c>
      <c r="AV189" s="2669" t="s">
        <v>304</v>
      </c>
      <c r="AW189" s="414">
        <f t="shared" si="60"/>
        <v>19719.194725105775</v>
      </c>
      <c r="AX189" s="412">
        <f t="shared" si="61"/>
        <v>0</v>
      </c>
      <c r="AY189" s="418">
        <f t="shared" si="62"/>
        <v>19719.194725105775</v>
      </c>
      <c r="AZ189" s="418">
        <f t="shared" si="63"/>
        <v>19719.194725105775</v>
      </c>
      <c r="BA189" s="418">
        <f t="shared" si="64"/>
        <v>19719.194725105775</v>
      </c>
      <c r="BB189" s="418">
        <f t="shared" si="65"/>
        <v>19719.194725105775</v>
      </c>
      <c r="BC189" s="419">
        <f t="shared" si="66"/>
        <v>78876.778900423102</v>
      </c>
      <c r="BD189" s="410" t="s">
        <v>1271</v>
      </c>
      <c r="BE189" s="423" t="s">
        <v>1272</v>
      </c>
      <c r="BF189" s="421"/>
    </row>
    <row r="190" spans="1:58" s="327" customFormat="1" ht="18" customHeight="1" x14ac:dyDescent="0.35">
      <c r="A190" s="660">
        <v>271</v>
      </c>
      <c r="B190" s="660" t="str">
        <f>VLOOKUP($A190,'Measure Level Adjustments Tab'!$A$5:$CL$272,6,FALSE)</f>
        <v>Standard</v>
      </c>
      <c r="C190" s="659" t="s">
        <v>1054</v>
      </c>
      <c r="D190" s="659" t="s">
        <v>209</v>
      </c>
      <c r="E190" s="411">
        <f>VLOOKUP($A190,'Measure Level Adjustments Tab'!$A$5:$CL$272,13,FALSE)</f>
        <v>1</v>
      </c>
      <c r="F190" s="411" t="str">
        <f>VLOOKUP($A190,'Measure Level Adjustments Tab'!$A$5:$CL$272,11,FALSE)</f>
        <v>4.2.1</v>
      </c>
      <c r="G190" s="411">
        <f>VLOOKUP($A190,'Measure Level Adjustments Tab'!$A$5:$CL$272,14,FALSE)</f>
        <v>0</v>
      </c>
      <c r="H190" s="663">
        <f>VLOOKUP($A190,'Measure Level Adjustments Tab'!$A$5:$CL$272,54,FALSE)</f>
        <v>1</v>
      </c>
      <c r="I190" s="663">
        <f>VLOOKUP($A190,'Measure Level Adjustments Tab'!$A$5:$CL$272,55,FALSE)</f>
        <v>0</v>
      </c>
      <c r="J190" s="663">
        <f>VLOOKUP($A190,'Measure Level Adjustments Tab'!$A$5:$CL$272,56,FALSE)</f>
        <v>1</v>
      </c>
      <c r="K190" s="663">
        <f>VLOOKUP($A190,'Measure Level Adjustments Tab'!$A$5:$CL$272,57,FALSE)</f>
        <v>1</v>
      </c>
      <c r="L190" s="411" t="str">
        <f>VLOOKUP($A190,'Measure Level Adjustments Tab'!$A$5:$CL$272,12,FALSE)</f>
        <v>CI-FSE-CBOV-V02-160601</v>
      </c>
      <c r="M190" s="422"/>
      <c r="N190" s="662">
        <v>257</v>
      </c>
      <c r="O190" s="662">
        <v>257</v>
      </c>
      <c r="P190" s="662">
        <v>257</v>
      </c>
      <c r="Q190" s="662">
        <v>257</v>
      </c>
      <c r="R190" s="661">
        <f>VLOOKUP($A190,'Measure Level Adjustments Tab'!$A$5:$CL$272,46,FALSE)</f>
        <v>0.9</v>
      </c>
      <c r="S190" s="661">
        <f>VLOOKUP($A190,'Measure Level Adjustments Tab'!$A$5:$CL$272,47,FALSE)</f>
        <v>0.9</v>
      </c>
      <c r="T190" s="661">
        <f>VLOOKUP($A190,'Measure Level Adjustments Tab'!$A$5:$CL$272,48,FALSE)</f>
        <v>0.9</v>
      </c>
      <c r="U190" s="661">
        <f>VLOOKUP($A190,'Measure Level Adjustments Tab'!$A$5:$CL$272,49,FALSE)</f>
        <v>0.9</v>
      </c>
      <c r="V190" s="418">
        <f t="shared" si="52"/>
        <v>231.3</v>
      </c>
      <c r="W190" s="418">
        <f t="shared" si="52"/>
        <v>0</v>
      </c>
      <c r="X190" s="418">
        <f t="shared" si="52"/>
        <v>231.3</v>
      </c>
      <c r="Y190" s="418">
        <f t="shared" si="51"/>
        <v>231.3</v>
      </c>
      <c r="Z190" s="418">
        <f t="shared" si="53"/>
        <v>693.90000000000009</v>
      </c>
      <c r="AA190" s="410"/>
      <c r="AB190" s="422"/>
      <c r="AC190" s="415">
        <v>257</v>
      </c>
      <c r="AD190" s="416"/>
      <c r="AE190" s="414">
        <f t="shared" si="54"/>
        <v>231.3</v>
      </c>
      <c r="AF190" s="412">
        <f t="shared" si="55"/>
        <v>0</v>
      </c>
      <c r="AG190" s="410"/>
      <c r="AH190" s="422"/>
      <c r="AI190" s="413">
        <v>257</v>
      </c>
      <c r="AJ190" s="2669" t="s">
        <v>820</v>
      </c>
      <c r="AK190" s="414">
        <f t="shared" si="56"/>
        <v>0</v>
      </c>
      <c r="AL190" s="412">
        <f t="shared" si="57"/>
        <v>0</v>
      </c>
      <c r="AM190" s="410"/>
      <c r="AN190" s="422"/>
      <c r="AO190" s="413">
        <v>257</v>
      </c>
      <c r="AP190" s="2669" t="s">
        <v>304</v>
      </c>
      <c r="AQ190" s="414">
        <f t="shared" si="58"/>
        <v>231.3</v>
      </c>
      <c r="AR190" s="412">
        <f t="shared" si="59"/>
        <v>0</v>
      </c>
      <c r="AS190" s="410"/>
      <c r="AT190" s="422"/>
      <c r="AU190" s="413">
        <f>VLOOKUP($A190,'Measure Level Adjustments Tab'!$A$5:$CL$272,53,FALSE)/U190</f>
        <v>257</v>
      </c>
      <c r="AV190" s="2669" t="s">
        <v>304</v>
      </c>
      <c r="AW190" s="414">
        <f t="shared" si="60"/>
        <v>231.3</v>
      </c>
      <c r="AX190" s="412">
        <f t="shared" si="61"/>
        <v>0</v>
      </c>
      <c r="AY190" s="418">
        <f t="shared" si="62"/>
        <v>231.3</v>
      </c>
      <c r="AZ190" s="418">
        <f t="shared" si="63"/>
        <v>0</v>
      </c>
      <c r="BA190" s="418">
        <f t="shared" si="64"/>
        <v>231.3</v>
      </c>
      <c r="BB190" s="418">
        <f t="shared" si="65"/>
        <v>231.3</v>
      </c>
      <c r="BC190" s="419">
        <f t="shared" si="66"/>
        <v>693.90000000000009</v>
      </c>
      <c r="BD190" s="410" t="s">
        <v>1271</v>
      </c>
      <c r="BE190" s="423" t="s">
        <v>1272</v>
      </c>
      <c r="BF190" s="421"/>
    </row>
    <row r="191" spans="1:58" s="327" customFormat="1" ht="18" customHeight="1" x14ac:dyDescent="0.35">
      <c r="A191" s="660">
        <v>366</v>
      </c>
      <c r="B191" s="660" t="str">
        <f>VLOOKUP($A191,'Measure Level Adjustments Tab'!$A$5:$CL$272,6,FALSE)</f>
        <v>Standard</v>
      </c>
      <c r="C191" s="659" t="s">
        <v>1054</v>
      </c>
      <c r="D191" s="659" t="s">
        <v>1123</v>
      </c>
      <c r="E191" s="411">
        <f>VLOOKUP($A191,'Measure Level Adjustments Tab'!$A$5:$CL$272,13,FALSE)</f>
        <v>1</v>
      </c>
      <c r="F191" s="411" t="str">
        <f>VLOOKUP($A191,'Measure Level Adjustments Tab'!$A$5:$CL$272,11,FALSE)</f>
        <v>n/a</v>
      </c>
      <c r="G191" s="411">
        <f>VLOOKUP($A191,'Measure Level Adjustments Tab'!$A$5:$CL$272,14,FALSE)</f>
        <v>0</v>
      </c>
      <c r="H191" s="663">
        <f>VLOOKUP($A191,'Measure Level Adjustments Tab'!$A$5:$CL$272,54,FALSE)</f>
        <v>0</v>
      </c>
      <c r="I191" s="663">
        <f>VLOOKUP($A191,'Measure Level Adjustments Tab'!$A$5:$CL$272,55,FALSE)</f>
        <v>35</v>
      </c>
      <c r="J191" s="663">
        <f>VLOOKUP($A191,'Measure Level Adjustments Tab'!$A$5:$CL$272,56,FALSE)</f>
        <v>45</v>
      </c>
      <c r="K191" s="663">
        <f>VLOOKUP($A191,'Measure Level Adjustments Tab'!$A$5:$CL$272,57,FALSE)</f>
        <v>45</v>
      </c>
      <c r="L191" s="411" t="str">
        <f>VLOOKUP($A191,'Measure Level Adjustments Tab'!$A$5:$CL$272,12,FALSE)</f>
        <v>n/a</v>
      </c>
      <c r="M191" s="422"/>
      <c r="N191" s="662">
        <v>61.482900000000001</v>
      </c>
      <c r="O191" s="662">
        <v>61.482900000000001</v>
      </c>
      <c r="P191" s="662">
        <v>61.482900000000001</v>
      </c>
      <c r="Q191" s="662">
        <v>61.482900000000001</v>
      </c>
      <c r="R191" s="661">
        <f>VLOOKUP($A191,'Measure Level Adjustments Tab'!$A$5:$CL$272,46,FALSE)</f>
        <v>0.9</v>
      </c>
      <c r="S191" s="661">
        <f>VLOOKUP($A191,'Measure Level Adjustments Tab'!$A$5:$CL$272,47,FALSE)</f>
        <v>0.9</v>
      </c>
      <c r="T191" s="661">
        <f>VLOOKUP($A191,'Measure Level Adjustments Tab'!$A$5:$CL$272,48,FALSE)</f>
        <v>0.9</v>
      </c>
      <c r="U191" s="661">
        <f>VLOOKUP($A191,'Measure Level Adjustments Tab'!$A$5:$CL$272,49,FALSE)</f>
        <v>0.9</v>
      </c>
      <c r="V191" s="418">
        <f t="shared" si="52"/>
        <v>0</v>
      </c>
      <c r="W191" s="418">
        <f t="shared" si="52"/>
        <v>1936.71135</v>
      </c>
      <c r="X191" s="418">
        <f t="shared" si="52"/>
        <v>2490.0574500000002</v>
      </c>
      <c r="Y191" s="418">
        <f t="shared" si="51"/>
        <v>2490.0574500000002</v>
      </c>
      <c r="Z191" s="418">
        <f t="shared" si="53"/>
        <v>6916.8262500000001</v>
      </c>
      <c r="AA191" s="410"/>
      <c r="AB191" s="422"/>
      <c r="AC191" s="415">
        <v>61.482900000000001</v>
      </c>
      <c r="AD191" s="416"/>
      <c r="AE191" s="414">
        <f t="shared" si="54"/>
        <v>0</v>
      </c>
      <c r="AF191" s="412">
        <f t="shared" si="55"/>
        <v>0</v>
      </c>
      <c r="AG191" s="410"/>
      <c r="AH191" s="422"/>
      <c r="AI191" s="413">
        <v>61.482900000000001</v>
      </c>
      <c r="AJ191" s="2669" t="s">
        <v>820</v>
      </c>
      <c r="AK191" s="414">
        <f t="shared" si="56"/>
        <v>1936.71135</v>
      </c>
      <c r="AL191" s="412">
        <f t="shared" si="57"/>
        <v>0</v>
      </c>
      <c r="AM191" s="410"/>
      <c r="AN191" s="422"/>
      <c r="AO191" s="413">
        <v>61.482900000000001</v>
      </c>
      <c r="AP191" s="2669" t="s">
        <v>304</v>
      </c>
      <c r="AQ191" s="414">
        <f t="shared" si="58"/>
        <v>2490.0574500000002</v>
      </c>
      <c r="AR191" s="412">
        <f t="shared" si="59"/>
        <v>0</v>
      </c>
      <c r="AS191" s="410"/>
      <c r="AT191" s="422"/>
      <c r="AU191" s="413">
        <f>VLOOKUP($A191,'Measure Level Adjustments Tab'!$A$5:$CL$272,53,FALSE)/U191</f>
        <v>61.482900000000001</v>
      </c>
      <c r="AV191" s="2669" t="s">
        <v>304</v>
      </c>
      <c r="AW191" s="414">
        <f t="shared" si="60"/>
        <v>2490.0574500000002</v>
      </c>
      <c r="AX191" s="412">
        <f t="shared" si="61"/>
        <v>0</v>
      </c>
      <c r="AY191" s="418">
        <f t="shared" si="62"/>
        <v>0</v>
      </c>
      <c r="AZ191" s="418">
        <f t="shared" si="63"/>
        <v>1936.71135</v>
      </c>
      <c r="BA191" s="418">
        <f t="shared" si="64"/>
        <v>2490.0574500000002</v>
      </c>
      <c r="BB191" s="418">
        <f t="shared" si="65"/>
        <v>2490.0574500000002</v>
      </c>
      <c r="BC191" s="419">
        <f t="shared" si="66"/>
        <v>6916.8262500000001</v>
      </c>
      <c r="BD191" s="410" t="s">
        <v>1271</v>
      </c>
      <c r="BE191" s="423" t="s">
        <v>1272</v>
      </c>
      <c r="BF191" s="421"/>
    </row>
    <row r="192" spans="1:58" s="327" customFormat="1" ht="18" customHeight="1" x14ac:dyDescent="0.35">
      <c r="A192" s="660">
        <v>274</v>
      </c>
      <c r="B192" s="660" t="str">
        <f>VLOOKUP($A192,'Measure Level Adjustments Tab'!$A$5:$CL$272,6,FALSE)</f>
        <v>Standard</v>
      </c>
      <c r="C192" s="659" t="s">
        <v>1054</v>
      </c>
      <c r="D192" s="659" t="s">
        <v>135</v>
      </c>
      <c r="E192" s="411">
        <f>VLOOKUP($A192,'Measure Level Adjustments Tab'!$A$5:$CL$272,13,FALSE)</f>
        <v>1</v>
      </c>
      <c r="F192" s="411" t="str">
        <f>VLOOKUP($A192,'Measure Level Adjustments Tab'!$A$5:$CL$272,11,FALSE)</f>
        <v>4.2.6</v>
      </c>
      <c r="G192" s="411">
        <f>VLOOKUP($A192,'Measure Level Adjustments Tab'!$A$5:$CL$272,14,FALSE)</f>
        <v>0</v>
      </c>
      <c r="H192" s="663">
        <f>VLOOKUP($A192,'Measure Level Adjustments Tab'!$A$5:$CL$272,54,FALSE)</f>
        <v>6</v>
      </c>
      <c r="I192" s="663">
        <f>VLOOKUP($A192,'Measure Level Adjustments Tab'!$A$5:$CL$272,55,FALSE)</f>
        <v>6</v>
      </c>
      <c r="J192" s="663">
        <f>VLOOKUP($A192,'Measure Level Adjustments Tab'!$A$5:$CL$272,56,FALSE)</f>
        <v>6</v>
      </c>
      <c r="K192" s="663">
        <f>VLOOKUP($A192,'Measure Level Adjustments Tab'!$A$5:$CL$272,57,FALSE)</f>
        <v>6</v>
      </c>
      <c r="L192" s="411" t="str">
        <f>VLOOKUP($A192,'Measure Level Adjustments Tab'!$A$5:$CL$272,12,FALSE)</f>
        <v>CI-FSE-ESDW-V03-180101</v>
      </c>
      <c r="M192" s="422"/>
      <c r="N192" s="662">
        <v>279</v>
      </c>
      <c r="O192" s="662">
        <v>279</v>
      </c>
      <c r="P192" s="662">
        <v>279</v>
      </c>
      <c r="Q192" s="662">
        <v>279</v>
      </c>
      <c r="R192" s="661">
        <f>VLOOKUP($A192,'Measure Level Adjustments Tab'!$A$5:$CL$272,46,FALSE)</f>
        <v>0.9</v>
      </c>
      <c r="S192" s="661">
        <f>VLOOKUP($A192,'Measure Level Adjustments Tab'!$A$5:$CL$272,47,FALSE)</f>
        <v>0.9</v>
      </c>
      <c r="T192" s="661">
        <f>VLOOKUP($A192,'Measure Level Adjustments Tab'!$A$5:$CL$272,48,FALSE)</f>
        <v>0.9</v>
      </c>
      <c r="U192" s="661">
        <f>VLOOKUP($A192,'Measure Level Adjustments Tab'!$A$5:$CL$272,49,FALSE)</f>
        <v>0.9</v>
      </c>
      <c r="V192" s="418">
        <f t="shared" si="52"/>
        <v>1506.6000000000001</v>
      </c>
      <c r="W192" s="418">
        <f t="shared" si="52"/>
        <v>1506.6000000000001</v>
      </c>
      <c r="X192" s="418">
        <f t="shared" si="52"/>
        <v>1506.6000000000001</v>
      </c>
      <c r="Y192" s="418">
        <f t="shared" si="51"/>
        <v>1506.6000000000001</v>
      </c>
      <c r="Z192" s="418">
        <f t="shared" si="53"/>
        <v>6026.4000000000005</v>
      </c>
      <c r="AA192" s="410"/>
      <c r="AB192" s="422"/>
      <c r="AC192" s="415">
        <v>279</v>
      </c>
      <c r="AD192" s="416"/>
      <c r="AE192" s="414">
        <f t="shared" si="54"/>
        <v>1506.6000000000001</v>
      </c>
      <c r="AF192" s="412">
        <f t="shared" si="55"/>
        <v>0</v>
      </c>
      <c r="AG192" s="410"/>
      <c r="AH192" s="422"/>
      <c r="AI192" s="413">
        <v>279</v>
      </c>
      <c r="AJ192" s="2669" t="s">
        <v>820</v>
      </c>
      <c r="AK192" s="414">
        <f t="shared" si="56"/>
        <v>1506.6000000000001</v>
      </c>
      <c r="AL192" s="412">
        <f t="shared" si="57"/>
        <v>0</v>
      </c>
      <c r="AM192" s="410"/>
      <c r="AN192" s="422"/>
      <c r="AO192" s="413">
        <v>279</v>
      </c>
      <c r="AP192" s="2669" t="s">
        <v>304</v>
      </c>
      <c r="AQ192" s="414">
        <f t="shared" si="58"/>
        <v>1506.6000000000001</v>
      </c>
      <c r="AR192" s="412">
        <f t="shared" si="59"/>
        <v>0</v>
      </c>
      <c r="AS192" s="410"/>
      <c r="AT192" s="422"/>
      <c r="AU192" s="413">
        <f>VLOOKUP($A192,'Measure Level Adjustments Tab'!$A$5:$CL$272,53,FALSE)/U192</f>
        <v>279</v>
      </c>
      <c r="AV192" s="2669" t="s">
        <v>304</v>
      </c>
      <c r="AW192" s="414">
        <f t="shared" si="60"/>
        <v>1506.6000000000001</v>
      </c>
      <c r="AX192" s="412">
        <f t="shared" si="61"/>
        <v>0</v>
      </c>
      <c r="AY192" s="418">
        <f t="shared" si="62"/>
        <v>1506.6000000000001</v>
      </c>
      <c r="AZ192" s="418">
        <f t="shared" si="63"/>
        <v>1506.6000000000001</v>
      </c>
      <c r="BA192" s="418">
        <f t="shared" si="64"/>
        <v>1506.6000000000001</v>
      </c>
      <c r="BB192" s="418">
        <f t="shared" si="65"/>
        <v>1506.6000000000001</v>
      </c>
      <c r="BC192" s="419">
        <f t="shared" si="66"/>
        <v>6026.4000000000005</v>
      </c>
      <c r="BD192" s="410" t="s">
        <v>1271</v>
      </c>
      <c r="BE192" s="423" t="s">
        <v>1272</v>
      </c>
      <c r="BF192" s="421"/>
    </row>
    <row r="193" spans="1:58" s="327" customFormat="1" ht="18" customHeight="1" x14ac:dyDescent="0.35">
      <c r="A193" s="660">
        <v>276</v>
      </c>
      <c r="B193" s="660" t="str">
        <f>VLOOKUP($A193,'Measure Level Adjustments Tab'!$A$5:$CL$272,6,FALSE)</f>
        <v>Standard</v>
      </c>
      <c r="C193" s="659" t="s">
        <v>1054</v>
      </c>
      <c r="D193" s="659" t="s">
        <v>140</v>
      </c>
      <c r="E193" s="411">
        <f>VLOOKUP($A193,'Measure Level Adjustments Tab'!$A$5:$CL$272,13,FALSE)</f>
        <v>1</v>
      </c>
      <c r="F193" s="411" t="str">
        <f>VLOOKUP($A193,'Measure Level Adjustments Tab'!$A$5:$CL$272,11,FALSE)</f>
        <v>4.4.11</v>
      </c>
      <c r="G193" s="411">
        <f>VLOOKUP($A193,'Measure Level Adjustments Tab'!$A$5:$CL$272,14,FALSE)</f>
        <v>0</v>
      </c>
      <c r="H193" s="663">
        <f>VLOOKUP($A193,'Measure Level Adjustments Tab'!$A$5:$CL$272,54,FALSE)</f>
        <v>34</v>
      </c>
      <c r="I193" s="663">
        <f>VLOOKUP($A193,'Measure Level Adjustments Tab'!$A$5:$CL$272,55,FALSE)</f>
        <v>30</v>
      </c>
      <c r="J193" s="663">
        <f>VLOOKUP($A193,'Measure Level Adjustments Tab'!$A$5:$CL$272,56,FALSE)</f>
        <v>30</v>
      </c>
      <c r="K193" s="663">
        <f>VLOOKUP($A193,'Measure Level Adjustments Tab'!$A$5:$CL$272,57,FALSE)</f>
        <v>30</v>
      </c>
      <c r="L193" s="411" t="str">
        <f>VLOOKUP($A193,'Measure Level Adjustments Tab'!$A$5:$CL$272,12,FALSE)</f>
        <v>CI-HVC-FRNC-V07-180101</v>
      </c>
      <c r="M193" s="422"/>
      <c r="N193" s="662">
        <v>542.52473385463566</v>
      </c>
      <c r="O193" s="662">
        <v>542.52473385463566</v>
      </c>
      <c r="P193" s="662">
        <v>542.52473385463566</v>
      </c>
      <c r="Q193" s="662">
        <v>542.52473385463566</v>
      </c>
      <c r="R193" s="661">
        <f>VLOOKUP($A193,'Measure Level Adjustments Tab'!$A$5:$CL$272,46,FALSE)</f>
        <v>0.9</v>
      </c>
      <c r="S193" s="661">
        <f>VLOOKUP($A193,'Measure Level Adjustments Tab'!$A$5:$CL$272,47,FALSE)</f>
        <v>0.9</v>
      </c>
      <c r="T193" s="661">
        <f>VLOOKUP($A193,'Measure Level Adjustments Tab'!$A$5:$CL$272,48,FALSE)</f>
        <v>0.9</v>
      </c>
      <c r="U193" s="661">
        <f>VLOOKUP($A193,'Measure Level Adjustments Tab'!$A$5:$CL$272,49,FALSE)</f>
        <v>0.9</v>
      </c>
      <c r="V193" s="418">
        <f t="shared" si="52"/>
        <v>16601.256855951851</v>
      </c>
      <c r="W193" s="418">
        <f t="shared" si="52"/>
        <v>14648.167814075163</v>
      </c>
      <c r="X193" s="418">
        <f t="shared" si="52"/>
        <v>14648.167814075163</v>
      </c>
      <c r="Y193" s="418">
        <f t="shared" si="51"/>
        <v>14648.167814075163</v>
      </c>
      <c r="Z193" s="418">
        <f t="shared" si="53"/>
        <v>60545.760298177338</v>
      </c>
      <c r="AA193" s="410"/>
      <c r="AB193" s="422"/>
      <c r="AC193" s="415">
        <v>542.52473385463566</v>
      </c>
      <c r="AD193" s="416"/>
      <c r="AE193" s="414">
        <f t="shared" si="54"/>
        <v>16601.256855951851</v>
      </c>
      <c r="AF193" s="412">
        <f t="shared" si="55"/>
        <v>0</v>
      </c>
      <c r="AG193" s="410"/>
      <c r="AH193" s="422"/>
      <c r="AI193" s="413">
        <v>522.6146428408108</v>
      </c>
      <c r="AJ193" s="2669" t="s">
        <v>3432</v>
      </c>
      <c r="AK193" s="414">
        <f t="shared" si="56"/>
        <v>14110.595356701891</v>
      </c>
      <c r="AL193" s="412">
        <f t="shared" si="57"/>
        <v>-537.57245737327139</v>
      </c>
      <c r="AM193" s="410"/>
      <c r="AN193" s="422"/>
      <c r="AO193" s="413">
        <v>691.15747535750722</v>
      </c>
      <c r="AP193" s="2669" t="s">
        <v>4325</v>
      </c>
      <c r="AQ193" s="414">
        <f t="shared" si="58"/>
        <v>18661.251834652696</v>
      </c>
      <c r="AR193" s="412">
        <f t="shared" si="59"/>
        <v>4013.084020577533</v>
      </c>
      <c r="AS193" s="410"/>
      <c r="AT193" s="422"/>
      <c r="AU193" s="413">
        <f>VLOOKUP($A193,'Measure Level Adjustments Tab'!$A$5:$CL$272,53,FALSE)/U193</f>
        <v>691.15747535750722</v>
      </c>
      <c r="AV193" s="2669" t="s">
        <v>304</v>
      </c>
      <c r="AW193" s="414">
        <f t="shared" si="60"/>
        <v>18661.251834652696</v>
      </c>
      <c r="AX193" s="412">
        <f t="shared" si="61"/>
        <v>4013.084020577533</v>
      </c>
      <c r="AY193" s="418">
        <f t="shared" si="62"/>
        <v>16601.256855951851</v>
      </c>
      <c r="AZ193" s="418">
        <f t="shared" si="63"/>
        <v>14110.595356701891</v>
      </c>
      <c r="BA193" s="418">
        <f t="shared" si="64"/>
        <v>18661.251834652696</v>
      </c>
      <c r="BB193" s="418">
        <f t="shared" si="65"/>
        <v>18661.251834652696</v>
      </c>
      <c r="BC193" s="419">
        <f t="shared" si="66"/>
        <v>68034.355881959127</v>
      </c>
      <c r="BD193" s="410" t="s">
        <v>1271</v>
      </c>
      <c r="BE193" s="423" t="s">
        <v>1272</v>
      </c>
      <c r="BF193" s="421"/>
    </row>
    <row r="194" spans="1:58" s="327" customFormat="1" ht="18" customHeight="1" x14ac:dyDescent="0.35">
      <c r="A194" s="660">
        <v>269</v>
      </c>
      <c r="B194" s="660" t="str">
        <f>VLOOKUP($A194,'Measure Level Adjustments Tab'!$A$5:$CL$272,6,FALSE)</f>
        <v>Standard</v>
      </c>
      <c r="C194" s="659" t="s">
        <v>1054</v>
      </c>
      <c r="D194" s="659" t="s">
        <v>141</v>
      </c>
      <c r="E194" s="411">
        <f>VLOOKUP($A194,'Measure Level Adjustments Tab'!$A$5:$CL$272,13,FALSE)</f>
        <v>1</v>
      </c>
      <c r="F194" s="411" t="str">
        <f>VLOOKUP($A194,'Measure Level Adjustments Tab'!$A$5:$CL$272,11,FALSE)</f>
        <v>4.4.4</v>
      </c>
      <c r="G194" s="411">
        <f>VLOOKUP($A194,'Measure Level Adjustments Tab'!$A$5:$CL$272,14,FALSE)</f>
        <v>0</v>
      </c>
      <c r="H194" s="663">
        <f>VLOOKUP($A194,'Measure Level Adjustments Tab'!$A$5:$CL$272,54,FALSE)</f>
        <v>29</v>
      </c>
      <c r="I194" s="663">
        <f>VLOOKUP($A194,'Measure Level Adjustments Tab'!$A$5:$CL$272,55,FALSE)</f>
        <v>25</v>
      </c>
      <c r="J194" s="663">
        <f>VLOOKUP($A194,'Measure Level Adjustments Tab'!$A$5:$CL$272,56,FALSE)</f>
        <v>30</v>
      </c>
      <c r="K194" s="663">
        <f>VLOOKUP($A194,'Measure Level Adjustments Tab'!$A$5:$CL$272,57,FALSE)</f>
        <v>30</v>
      </c>
      <c r="L194" s="411" t="str">
        <f>VLOOKUP($A194,'Measure Level Adjustments Tab'!$A$5:$CL$272,12,FALSE)</f>
        <v>CI-HVC-BLRC-V03-150601</v>
      </c>
      <c r="M194" s="422"/>
      <c r="N194" s="662">
        <v>1337.7267780000004</v>
      </c>
      <c r="O194" s="662">
        <v>1337.7267780000004</v>
      </c>
      <c r="P194" s="662">
        <v>1337.7267780000004</v>
      </c>
      <c r="Q194" s="662">
        <v>1337.7267780000004</v>
      </c>
      <c r="R194" s="661">
        <f>VLOOKUP($A194,'Measure Level Adjustments Tab'!$A$5:$CL$272,46,FALSE)</f>
        <v>0.9</v>
      </c>
      <c r="S194" s="661">
        <f>VLOOKUP($A194,'Measure Level Adjustments Tab'!$A$5:$CL$272,47,FALSE)</f>
        <v>0.9</v>
      </c>
      <c r="T194" s="661">
        <f>VLOOKUP($A194,'Measure Level Adjustments Tab'!$A$5:$CL$272,48,FALSE)</f>
        <v>0.9</v>
      </c>
      <c r="U194" s="661">
        <f>VLOOKUP($A194,'Measure Level Adjustments Tab'!$A$5:$CL$272,49,FALSE)</f>
        <v>0.9</v>
      </c>
      <c r="V194" s="418">
        <f t="shared" ref="V194:V219" si="67">H194*N194*R194</f>
        <v>34914.668905800012</v>
      </c>
      <c r="W194" s="418">
        <f t="shared" ref="W194:W219" si="68">I194*O194*S194</f>
        <v>30098.85250500001</v>
      </c>
      <c r="X194" s="418">
        <f t="shared" ref="X194:X219" si="69">J194*P194*T194</f>
        <v>36118.623006000016</v>
      </c>
      <c r="Y194" s="418">
        <f t="shared" ref="Y194:Y219" si="70">K194*Q194*U194</f>
        <v>36118.623006000016</v>
      </c>
      <c r="Z194" s="418">
        <f t="shared" ref="Z194:Z220" si="71">V194+W194+X194+Y194</f>
        <v>137250.76742280004</v>
      </c>
      <c r="AA194" s="410"/>
      <c r="AB194" s="422"/>
      <c r="AC194" s="415">
        <v>1337.7267780000004</v>
      </c>
      <c r="AD194" s="416"/>
      <c r="AE194" s="414">
        <f t="shared" ref="AE194:AE219" si="72">H194*AC194*R194</f>
        <v>34914.668905800012</v>
      </c>
      <c r="AF194" s="412">
        <f t="shared" ref="AF194:AF219" si="73">AE194-V194</f>
        <v>0</v>
      </c>
      <c r="AG194" s="410"/>
      <c r="AH194" s="422"/>
      <c r="AI194" s="413">
        <v>1338.656442</v>
      </c>
      <c r="AJ194" s="2669" t="s">
        <v>820</v>
      </c>
      <c r="AK194" s="414">
        <f t="shared" ref="AK194:AK219" si="74">I194*AI194*S194</f>
        <v>30119.769945000004</v>
      </c>
      <c r="AL194" s="412">
        <f t="shared" ref="AL194:AL219" si="75">AK194-W194</f>
        <v>20.917439999993803</v>
      </c>
      <c r="AM194" s="410"/>
      <c r="AN194" s="422"/>
      <c r="AO194" s="413">
        <v>1422.9771820000001</v>
      </c>
      <c r="AP194" s="2669" t="s">
        <v>4325</v>
      </c>
      <c r="AQ194" s="414">
        <f t="shared" ref="AQ194:AQ219" si="76">J194*AO194*T194</f>
        <v>38420.383914000005</v>
      </c>
      <c r="AR194" s="412">
        <f t="shared" ref="AR194:AR219" si="77">AQ194-X194</f>
        <v>2301.7609079999893</v>
      </c>
      <c r="AS194" s="410"/>
      <c r="AT194" s="422"/>
      <c r="AU194" s="413">
        <f>VLOOKUP($A194,'Measure Level Adjustments Tab'!$A$5:$CL$272,53,FALSE)/U194</f>
        <v>1422.9771820000001</v>
      </c>
      <c r="AV194" s="2669" t="s">
        <v>304</v>
      </c>
      <c r="AW194" s="414">
        <f t="shared" ref="AW194:AW219" si="78">K194*AU194*U194</f>
        <v>38420.383914000005</v>
      </c>
      <c r="AX194" s="412">
        <f t="shared" ref="AX194:AX219" si="79">AW194-Y194</f>
        <v>2301.7609079999893</v>
      </c>
      <c r="AY194" s="418">
        <f t="shared" ref="AY194:AY219" si="80">IF(E194=1,AE194,V194)</f>
        <v>34914.668905800012</v>
      </c>
      <c r="AZ194" s="418">
        <f t="shared" ref="AZ194:AZ219" si="81">IF(E194=1,AK194,W194)</f>
        <v>30119.769945000004</v>
      </c>
      <c r="BA194" s="418">
        <f t="shared" ref="BA194:BA219" si="82">IF(E194=1,AQ194,X194)</f>
        <v>38420.383914000005</v>
      </c>
      <c r="BB194" s="418">
        <f t="shared" ref="BB194:BB219" si="83">IF(E194=1,AW194,Y194)</f>
        <v>38420.383914000005</v>
      </c>
      <c r="BC194" s="419">
        <f t="shared" ref="BC194:BC219" si="84">AY194+AZ194+BA194+BB194</f>
        <v>141875.20667880002</v>
      </c>
      <c r="BD194" s="410" t="s">
        <v>1271</v>
      </c>
      <c r="BE194" s="423" t="s">
        <v>1272</v>
      </c>
      <c r="BF194" s="421"/>
    </row>
    <row r="195" spans="1:58" s="327" customFormat="1" ht="18" customHeight="1" x14ac:dyDescent="0.35">
      <c r="A195" s="660">
        <v>404</v>
      </c>
      <c r="B195" s="660" t="str">
        <f>VLOOKUP($A195,'Measure Level Adjustments Tab'!$A$5:$CL$272,6,FALSE)</f>
        <v>Standard</v>
      </c>
      <c r="C195" s="659" t="s">
        <v>1032</v>
      </c>
      <c r="D195" s="659" t="s">
        <v>141</v>
      </c>
      <c r="E195" s="411">
        <f>VLOOKUP($A195,'Measure Level Adjustments Tab'!$A$5:$CL$272,13,FALSE)</f>
        <v>1</v>
      </c>
      <c r="F195" s="411" t="str">
        <f>VLOOKUP($A195,'Measure Level Adjustments Tab'!$A$5:$CL$272,11,FALSE)</f>
        <v>4.4.4</v>
      </c>
      <c r="G195" s="411">
        <f>VLOOKUP($A195,'Measure Level Adjustments Tab'!$A$5:$CL$272,14,FALSE)</f>
        <v>0</v>
      </c>
      <c r="H195" s="663">
        <f>VLOOKUP($A195,'Measure Level Adjustments Tab'!$A$5:$CL$272,54,FALSE)</f>
        <v>20</v>
      </c>
      <c r="I195" s="663">
        <f>VLOOKUP($A195,'Measure Level Adjustments Tab'!$A$5:$CL$272,55,FALSE)</f>
        <v>20</v>
      </c>
      <c r="J195" s="663">
        <f>VLOOKUP($A195,'Measure Level Adjustments Tab'!$A$5:$CL$272,56,FALSE)</f>
        <v>20</v>
      </c>
      <c r="K195" s="663">
        <f>VLOOKUP($A195,'Measure Level Adjustments Tab'!$A$5:$CL$272,57,FALSE)</f>
        <v>20</v>
      </c>
      <c r="L195" s="411" t="str">
        <f>VLOOKUP($A195,'Measure Level Adjustments Tab'!$A$5:$CL$272,12,FALSE)</f>
        <v>CI-HVC-BLRC-V03-150601</v>
      </c>
      <c r="M195" s="422"/>
      <c r="N195" s="662">
        <v>1337.7267780000002</v>
      </c>
      <c r="O195" s="662">
        <v>1337.7267780000002</v>
      </c>
      <c r="P195" s="662">
        <v>1337.7267780000002</v>
      </c>
      <c r="Q195" s="662">
        <v>1337.7267780000002</v>
      </c>
      <c r="R195" s="661">
        <f>VLOOKUP($A195,'Measure Level Adjustments Tab'!$A$5:$CL$272,46,FALSE)</f>
        <v>0.96199999999999997</v>
      </c>
      <c r="S195" s="661">
        <f>VLOOKUP($A195,'Measure Level Adjustments Tab'!$A$5:$CL$272,47,FALSE)</f>
        <v>0.96199999999999997</v>
      </c>
      <c r="T195" s="661">
        <f>VLOOKUP($A195,'Measure Level Adjustments Tab'!$A$5:$CL$272,48,FALSE)</f>
        <v>0.96199999999999997</v>
      </c>
      <c r="U195" s="661">
        <f>VLOOKUP($A195,'Measure Level Adjustments Tab'!$A$5:$CL$272,49,FALSE)</f>
        <v>0.96199999999999997</v>
      </c>
      <c r="V195" s="418">
        <f t="shared" si="67"/>
        <v>25737.863208720002</v>
      </c>
      <c r="W195" s="418">
        <f t="shared" si="68"/>
        <v>25737.863208720002</v>
      </c>
      <c r="X195" s="418">
        <f t="shared" si="69"/>
        <v>25737.863208720002</v>
      </c>
      <c r="Y195" s="418">
        <f t="shared" si="70"/>
        <v>25737.863208720002</v>
      </c>
      <c r="Z195" s="418">
        <f t="shared" si="71"/>
        <v>102951.45283488001</v>
      </c>
      <c r="AA195" s="410"/>
      <c r="AB195" s="422"/>
      <c r="AC195" s="415">
        <v>1337.7267780000002</v>
      </c>
      <c r="AD195" s="416"/>
      <c r="AE195" s="414">
        <f t="shared" si="72"/>
        <v>25737.863208720002</v>
      </c>
      <c r="AF195" s="412">
        <f t="shared" si="73"/>
        <v>0</v>
      </c>
      <c r="AG195" s="410"/>
      <c r="AH195" s="422"/>
      <c r="AI195" s="413">
        <v>1338.656442</v>
      </c>
      <c r="AJ195" s="2669" t="s">
        <v>820</v>
      </c>
      <c r="AK195" s="414">
        <f t="shared" si="74"/>
        <v>25755.749944079998</v>
      </c>
      <c r="AL195" s="412">
        <f t="shared" si="75"/>
        <v>17.886735359996237</v>
      </c>
      <c r="AM195" s="410"/>
      <c r="AN195" s="422"/>
      <c r="AO195" s="413">
        <v>1422.9771820000001</v>
      </c>
      <c r="AP195" s="2669" t="s">
        <v>4325</v>
      </c>
      <c r="AQ195" s="414">
        <f t="shared" si="76"/>
        <v>27378.080981680003</v>
      </c>
      <c r="AR195" s="412">
        <f t="shared" si="77"/>
        <v>1640.2177729600007</v>
      </c>
      <c r="AS195" s="410"/>
      <c r="AT195" s="422"/>
      <c r="AU195" s="413">
        <f>VLOOKUP($A195,'Measure Level Adjustments Tab'!$A$5:$CL$272,53,FALSE)/U195</f>
        <v>1422.9771820000001</v>
      </c>
      <c r="AV195" s="2669" t="s">
        <v>304</v>
      </c>
      <c r="AW195" s="414">
        <f t="shared" si="78"/>
        <v>27378.080981680003</v>
      </c>
      <c r="AX195" s="412">
        <f t="shared" si="79"/>
        <v>1640.2177729600007</v>
      </c>
      <c r="AY195" s="418">
        <f t="shared" si="80"/>
        <v>25737.863208720002</v>
      </c>
      <c r="AZ195" s="418">
        <f t="shared" si="81"/>
        <v>25755.749944079998</v>
      </c>
      <c r="BA195" s="418">
        <f t="shared" si="82"/>
        <v>27378.080981680003</v>
      </c>
      <c r="BB195" s="418">
        <f t="shared" si="83"/>
        <v>27378.080981680003</v>
      </c>
      <c r="BC195" s="419">
        <f t="shared" si="84"/>
        <v>106249.77511616</v>
      </c>
      <c r="BD195" s="410" t="s">
        <v>1271</v>
      </c>
      <c r="BE195" s="423" t="s">
        <v>1272</v>
      </c>
      <c r="BF195" s="421"/>
    </row>
    <row r="196" spans="1:58" s="327" customFormat="1" ht="18" customHeight="1" x14ac:dyDescent="0.35">
      <c r="A196" s="660">
        <v>414</v>
      </c>
      <c r="B196" s="660" t="str">
        <f>VLOOKUP($A196,'Measure Level Adjustments Tab'!$A$5:$CL$272,6,FALSE)</f>
        <v>Standard</v>
      </c>
      <c r="C196" s="659" t="s">
        <v>1032</v>
      </c>
      <c r="D196" s="659" t="s">
        <v>158</v>
      </c>
      <c r="E196" s="411">
        <f>VLOOKUP($A196,'Measure Level Adjustments Tab'!$A$5:$CL$272,13,FALSE)</f>
        <v>1</v>
      </c>
      <c r="F196" s="411" t="str">
        <f>VLOOKUP($A196,'Measure Level Adjustments Tab'!$A$5:$CL$272,11,FALSE)</f>
        <v>4.2.16</v>
      </c>
      <c r="G196" s="411">
        <f>VLOOKUP($A196,'Measure Level Adjustments Tab'!$A$5:$CL$272,14,FALSE)</f>
        <v>0</v>
      </c>
      <c r="H196" s="663">
        <f>VLOOKUP($A196,'Measure Level Adjustments Tab'!$A$5:$CL$272,54,FALSE)</f>
        <v>23</v>
      </c>
      <c r="I196" s="663">
        <f>VLOOKUP($A196,'Measure Level Adjustments Tab'!$A$5:$CL$272,55,FALSE)</f>
        <v>16</v>
      </c>
      <c r="J196" s="663">
        <f>VLOOKUP($A196,'Measure Level Adjustments Tab'!$A$5:$CL$272,56,FALSE)</f>
        <v>16</v>
      </c>
      <c r="K196" s="663">
        <f>VLOOKUP($A196,'Measure Level Adjustments Tab'!$A$5:$CL$272,57,FALSE)</f>
        <v>23</v>
      </c>
      <c r="L196" s="411" t="str">
        <f>VLOOKUP($A196,'Measure Level Adjustments Tab'!$A$5:$CL$272,12,FALSE)</f>
        <v>CI-FSE-VENT-V03-160601</v>
      </c>
      <c r="M196" s="422"/>
      <c r="N196" s="662">
        <v>5505.34375</v>
      </c>
      <c r="O196" s="662">
        <v>5505.34375</v>
      </c>
      <c r="P196" s="662">
        <v>5505.34375</v>
      </c>
      <c r="Q196" s="662">
        <v>5505.34375</v>
      </c>
      <c r="R196" s="661">
        <f>VLOOKUP($A196,'Measure Level Adjustments Tab'!$A$5:$CL$272,46,FALSE)</f>
        <v>0.96199999999999997</v>
      </c>
      <c r="S196" s="661">
        <f>VLOOKUP($A196,'Measure Level Adjustments Tab'!$A$5:$CL$272,47,FALSE)</f>
        <v>0.96199999999999997</v>
      </c>
      <c r="T196" s="661">
        <f>VLOOKUP($A196,'Measure Level Adjustments Tab'!$A$5:$CL$272,48,FALSE)</f>
        <v>0.96199999999999997</v>
      </c>
      <c r="U196" s="661">
        <f>VLOOKUP($A196,'Measure Level Adjustments Tab'!$A$5:$CL$272,49,FALSE)</f>
        <v>0.96199999999999997</v>
      </c>
      <c r="V196" s="418">
        <f t="shared" si="67"/>
        <v>121811.2358125</v>
      </c>
      <c r="W196" s="418">
        <f t="shared" si="68"/>
        <v>84738.251000000004</v>
      </c>
      <c r="X196" s="418">
        <f t="shared" si="69"/>
        <v>84738.251000000004</v>
      </c>
      <c r="Y196" s="418">
        <f t="shared" si="70"/>
        <v>121811.2358125</v>
      </c>
      <c r="Z196" s="418">
        <f t="shared" si="71"/>
        <v>413098.97362499998</v>
      </c>
      <c r="AA196" s="410"/>
      <c r="AB196" s="422"/>
      <c r="AC196" s="415">
        <v>5505.34375</v>
      </c>
      <c r="AD196" s="416"/>
      <c r="AE196" s="414">
        <f t="shared" si="72"/>
        <v>121811.2358125</v>
      </c>
      <c r="AF196" s="412">
        <f t="shared" si="73"/>
        <v>0</v>
      </c>
      <c r="AG196" s="410"/>
      <c r="AH196" s="422"/>
      <c r="AI196" s="413">
        <v>5505.34375</v>
      </c>
      <c r="AJ196" s="2669" t="s">
        <v>820</v>
      </c>
      <c r="AK196" s="414">
        <f t="shared" si="74"/>
        <v>84738.251000000004</v>
      </c>
      <c r="AL196" s="412">
        <f t="shared" si="75"/>
        <v>0</v>
      </c>
      <c r="AM196" s="410"/>
      <c r="AN196" s="422"/>
      <c r="AO196" s="413">
        <v>5505.34375</v>
      </c>
      <c r="AP196" s="2669" t="s">
        <v>304</v>
      </c>
      <c r="AQ196" s="414">
        <f t="shared" si="76"/>
        <v>84738.251000000004</v>
      </c>
      <c r="AR196" s="412">
        <f t="shared" si="77"/>
        <v>0</v>
      </c>
      <c r="AS196" s="410"/>
      <c r="AT196" s="422"/>
      <c r="AU196" s="413">
        <f>VLOOKUP($A196,'Measure Level Adjustments Tab'!$A$5:$CL$272,53,FALSE)/U196</f>
        <v>5505.34375</v>
      </c>
      <c r="AV196" s="2669" t="s">
        <v>304</v>
      </c>
      <c r="AW196" s="414">
        <f t="shared" si="78"/>
        <v>121811.2358125</v>
      </c>
      <c r="AX196" s="412">
        <f t="shared" si="79"/>
        <v>0</v>
      </c>
      <c r="AY196" s="418">
        <f t="shared" si="80"/>
        <v>121811.2358125</v>
      </c>
      <c r="AZ196" s="418">
        <f t="shared" si="81"/>
        <v>84738.251000000004</v>
      </c>
      <c r="BA196" s="418">
        <f t="shared" si="82"/>
        <v>84738.251000000004</v>
      </c>
      <c r="BB196" s="418">
        <f t="shared" si="83"/>
        <v>121811.2358125</v>
      </c>
      <c r="BC196" s="419">
        <f t="shared" si="84"/>
        <v>413098.97362499998</v>
      </c>
      <c r="BD196" s="410" t="s">
        <v>1271</v>
      </c>
      <c r="BE196" s="423" t="s">
        <v>1272</v>
      </c>
      <c r="BF196" s="421"/>
    </row>
    <row r="197" spans="1:58" s="327" customFormat="1" ht="18" customHeight="1" x14ac:dyDescent="0.35">
      <c r="A197" s="660">
        <v>424</v>
      </c>
      <c r="B197" s="660" t="str">
        <f>VLOOKUP($A197,'Measure Level Adjustments Tab'!$A$5:$CL$272,6,FALSE)</f>
        <v>Standard</v>
      </c>
      <c r="C197" s="659" t="s">
        <v>1032</v>
      </c>
      <c r="D197" s="659" t="s">
        <v>167</v>
      </c>
      <c r="E197" s="411">
        <f>VLOOKUP($A197,'Measure Level Adjustments Tab'!$A$5:$CL$272,13,FALSE)</f>
        <v>1</v>
      </c>
      <c r="F197" s="411" t="str">
        <f>VLOOKUP($A197,'Measure Level Adjustments Tab'!$A$5:$CL$272,11,FALSE)</f>
        <v>4.4.18</v>
      </c>
      <c r="G197" s="411">
        <f>VLOOKUP($A197,'Measure Level Adjustments Tab'!$A$5:$CL$272,14,FALSE)</f>
        <v>0</v>
      </c>
      <c r="H197" s="663">
        <f>VLOOKUP($A197,'Measure Level Adjustments Tab'!$A$5:$CL$272,54,FALSE)</f>
        <v>34</v>
      </c>
      <c r="I197" s="663">
        <f>VLOOKUP($A197,'Measure Level Adjustments Tab'!$A$5:$CL$272,55,FALSE)</f>
        <v>1</v>
      </c>
      <c r="J197" s="663">
        <f>VLOOKUP($A197,'Measure Level Adjustments Tab'!$A$5:$CL$272,56,FALSE)</f>
        <v>1</v>
      </c>
      <c r="K197" s="663">
        <f>VLOOKUP($A197,'Measure Level Adjustments Tab'!$A$5:$CL$272,57,FALSE)</f>
        <v>1</v>
      </c>
      <c r="L197" s="411" t="str">
        <f>VLOOKUP($A197,'Measure Level Adjustments Tab'!$A$5:$CL$272,12,FALSE)</f>
        <v>CI-HVC-PROG-V02-150601</v>
      </c>
      <c r="M197" s="422"/>
      <c r="N197" s="662">
        <v>73.599999999999994</v>
      </c>
      <c r="O197" s="662">
        <v>73.599999999999994</v>
      </c>
      <c r="P197" s="662">
        <v>73.599999999999994</v>
      </c>
      <c r="Q197" s="662">
        <v>73.599999999999994</v>
      </c>
      <c r="R197" s="661">
        <f>VLOOKUP($A197,'Measure Level Adjustments Tab'!$A$5:$CL$272,46,FALSE)</f>
        <v>0.96199999999999997</v>
      </c>
      <c r="S197" s="661">
        <f>VLOOKUP($A197,'Measure Level Adjustments Tab'!$A$5:$CL$272,47,FALSE)</f>
        <v>0.96199999999999997</v>
      </c>
      <c r="T197" s="661">
        <f>VLOOKUP($A197,'Measure Level Adjustments Tab'!$A$5:$CL$272,48,FALSE)</f>
        <v>0.96199999999999997</v>
      </c>
      <c r="U197" s="661">
        <f>VLOOKUP($A197,'Measure Level Adjustments Tab'!$A$5:$CL$272,49,FALSE)</f>
        <v>0.96199999999999997</v>
      </c>
      <c r="V197" s="418">
        <f t="shared" si="67"/>
        <v>2407.3087999999998</v>
      </c>
      <c r="W197" s="418">
        <f t="shared" si="68"/>
        <v>70.80319999999999</v>
      </c>
      <c r="X197" s="418">
        <f t="shared" si="69"/>
        <v>70.80319999999999</v>
      </c>
      <c r="Y197" s="418">
        <f t="shared" si="70"/>
        <v>70.80319999999999</v>
      </c>
      <c r="Z197" s="418">
        <f t="shared" si="71"/>
        <v>2619.7183999999993</v>
      </c>
      <c r="AA197" s="410"/>
      <c r="AB197" s="422"/>
      <c r="AC197" s="415">
        <v>73.599999999999994</v>
      </c>
      <c r="AD197" s="416"/>
      <c r="AE197" s="414">
        <f t="shared" si="72"/>
        <v>2407.3087999999998</v>
      </c>
      <c r="AF197" s="412">
        <f t="shared" si="73"/>
        <v>0</v>
      </c>
      <c r="AG197" s="410"/>
      <c r="AH197" s="422"/>
      <c r="AI197" s="413">
        <v>73.599999999999994</v>
      </c>
      <c r="AJ197" s="2669" t="s">
        <v>820</v>
      </c>
      <c r="AK197" s="414">
        <f t="shared" si="74"/>
        <v>70.80319999999999</v>
      </c>
      <c r="AL197" s="412">
        <f t="shared" si="75"/>
        <v>0</v>
      </c>
      <c r="AM197" s="410"/>
      <c r="AN197" s="422"/>
      <c r="AO197" s="413">
        <v>73.599999999999994</v>
      </c>
      <c r="AP197" s="2669" t="s">
        <v>304</v>
      </c>
      <c r="AQ197" s="414">
        <f t="shared" si="76"/>
        <v>70.80319999999999</v>
      </c>
      <c r="AR197" s="412">
        <f t="shared" si="77"/>
        <v>0</v>
      </c>
      <c r="AS197" s="410"/>
      <c r="AT197" s="422"/>
      <c r="AU197" s="413">
        <f>VLOOKUP($A197,'Measure Level Adjustments Tab'!$A$5:$CL$272,53,FALSE)/U197</f>
        <v>73.599999999999994</v>
      </c>
      <c r="AV197" s="2669" t="s">
        <v>304</v>
      </c>
      <c r="AW197" s="414">
        <f t="shared" si="78"/>
        <v>70.80319999999999</v>
      </c>
      <c r="AX197" s="412">
        <f t="shared" si="79"/>
        <v>0</v>
      </c>
      <c r="AY197" s="418">
        <f t="shared" si="80"/>
        <v>2407.3087999999998</v>
      </c>
      <c r="AZ197" s="418">
        <f t="shared" si="81"/>
        <v>70.80319999999999</v>
      </c>
      <c r="BA197" s="418">
        <f t="shared" si="82"/>
        <v>70.80319999999999</v>
      </c>
      <c r="BB197" s="418">
        <f t="shared" si="83"/>
        <v>70.80319999999999</v>
      </c>
      <c r="BC197" s="419">
        <f t="shared" si="84"/>
        <v>2619.7183999999993</v>
      </c>
      <c r="BD197" s="410" t="s">
        <v>1271</v>
      </c>
      <c r="BE197" s="423" t="s">
        <v>1272</v>
      </c>
      <c r="BF197" s="421"/>
    </row>
    <row r="198" spans="1:58" s="327" customFormat="1" ht="18" customHeight="1" x14ac:dyDescent="0.35">
      <c r="A198" s="660">
        <v>406</v>
      </c>
      <c r="B198" s="660" t="str">
        <f>VLOOKUP($A198,'Measure Level Adjustments Tab'!$A$5:$CL$272,6,FALSE)</f>
        <v>Standard</v>
      </c>
      <c r="C198" s="659" t="s">
        <v>1032</v>
      </c>
      <c r="D198" s="659" t="s">
        <v>168</v>
      </c>
      <c r="E198" s="411">
        <f>VLOOKUP($A198,'Measure Level Adjustments Tab'!$A$5:$CL$272,13,FALSE)</f>
        <v>1</v>
      </c>
      <c r="F198" s="411" t="str">
        <f>VLOOKUP($A198,'Measure Level Adjustments Tab'!$A$5:$CL$272,11,FALSE)</f>
        <v>4.4.19</v>
      </c>
      <c r="G198" s="411">
        <f>VLOOKUP($A198,'Measure Level Adjustments Tab'!$A$5:$CL$272,14,FALSE)</f>
        <v>0</v>
      </c>
      <c r="H198" s="663">
        <f>VLOOKUP($A198,'Measure Level Adjustments Tab'!$A$5:$CL$272,54,FALSE)</f>
        <v>40</v>
      </c>
      <c r="I198" s="663">
        <f>VLOOKUP($A198,'Measure Level Adjustments Tab'!$A$5:$CL$272,55,FALSE)</f>
        <v>37</v>
      </c>
      <c r="J198" s="663">
        <f>VLOOKUP($A198,'Measure Level Adjustments Tab'!$A$5:$CL$272,56,FALSE)</f>
        <v>44</v>
      </c>
      <c r="K198" s="663">
        <f>VLOOKUP($A198,'Measure Level Adjustments Tab'!$A$5:$CL$272,57,FALSE)</f>
        <v>37</v>
      </c>
      <c r="L198" s="411" t="str">
        <f>VLOOKUP($A198,'Measure Level Adjustments Tab'!$A$5:$CL$272,12,FALSE)</f>
        <v>CI-HVC-DCV-V04-180101</v>
      </c>
      <c r="M198" s="422"/>
      <c r="N198" s="662">
        <v>623</v>
      </c>
      <c r="O198" s="662">
        <v>623</v>
      </c>
      <c r="P198" s="662">
        <v>623</v>
      </c>
      <c r="Q198" s="662">
        <v>623</v>
      </c>
      <c r="R198" s="661">
        <f>VLOOKUP($A198,'Measure Level Adjustments Tab'!$A$5:$CL$272,46,FALSE)</f>
        <v>0.96199999999999997</v>
      </c>
      <c r="S198" s="661">
        <f>VLOOKUP($A198,'Measure Level Adjustments Tab'!$A$5:$CL$272,47,FALSE)</f>
        <v>0.96199999999999997</v>
      </c>
      <c r="T198" s="661">
        <f>VLOOKUP($A198,'Measure Level Adjustments Tab'!$A$5:$CL$272,48,FALSE)</f>
        <v>0.96199999999999997</v>
      </c>
      <c r="U198" s="661">
        <f>VLOOKUP($A198,'Measure Level Adjustments Tab'!$A$5:$CL$272,49,FALSE)</f>
        <v>0.96199999999999997</v>
      </c>
      <c r="V198" s="418">
        <f t="shared" si="67"/>
        <v>23973.040000000001</v>
      </c>
      <c r="W198" s="418">
        <f t="shared" si="68"/>
        <v>22175.061999999998</v>
      </c>
      <c r="X198" s="418">
        <f t="shared" si="69"/>
        <v>26370.343999999997</v>
      </c>
      <c r="Y198" s="418">
        <f t="shared" si="70"/>
        <v>22175.061999999998</v>
      </c>
      <c r="Z198" s="418">
        <f t="shared" si="71"/>
        <v>94693.508000000002</v>
      </c>
      <c r="AA198" s="410"/>
      <c r="AB198" s="422"/>
      <c r="AC198" s="415">
        <v>623</v>
      </c>
      <c r="AD198" s="416"/>
      <c r="AE198" s="414">
        <f t="shared" si="72"/>
        <v>23973.040000000001</v>
      </c>
      <c r="AF198" s="412">
        <f t="shared" si="73"/>
        <v>0</v>
      </c>
      <c r="AG198" s="410"/>
      <c r="AH198" s="422"/>
      <c r="AI198" s="413">
        <v>623</v>
      </c>
      <c r="AJ198" s="2669" t="s">
        <v>820</v>
      </c>
      <c r="AK198" s="414">
        <f t="shared" si="74"/>
        <v>22175.061999999998</v>
      </c>
      <c r="AL198" s="412">
        <f t="shared" si="75"/>
        <v>0</v>
      </c>
      <c r="AM198" s="410"/>
      <c r="AN198" s="422"/>
      <c r="AO198" s="413">
        <v>623</v>
      </c>
      <c r="AP198" s="2669" t="s">
        <v>304</v>
      </c>
      <c r="AQ198" s="414">
        <f t="shared" si="76"/>
        <v>26370.343999999997</v>
      </c>
      <c r="AR198" s="412">
        <f t="shared" si="77"/>
        <v>0</v>
      </c>
      <c r="AS198" s="410"/>
      <c r="AT198" s="422"/>
      <c r="AU198" s="413">
        <f>VLOOKUP($A198,'Measure Level Adjustments Tab'!$A$5:$CL$272,53,FALSE)/U198</f>
        <v>623</v>
      </c>
      <c r="AV198" s="2669" t="s">
        <v>304</v>
      </c>
      <c r="AW198" s="414">
        <f t="shared" si="78"/>
        <v>22175.061999999998</v>
      </c>
      <c r="AX198" s="412">
        <f t="shared" si="79"/>
        <v>0</v>
      </c>
      <c r="AY198" s="418">
        <f t="shared" si="80"/>
        <v>23973.040000000001</v>
      </c>
      <c r="AZ198" s="418">
        <f t="shared" si="81"/>
        <v>22175.061999999998</v>
      </c>
      <c r="BA198" s="418">
        <f t="shared" si="82"/>
        <v>26370.343999999997</v>
      </c>
      <c r="BB198" s="418">
        <f t="shared" si="83"/>
        <v>22175.061999999998</v>
      </c>
      <c r="BC198" s="419">
        <f t="shared" si="84"/>
        <v>94693.508000000002</v>
      </c>
      <c r="BD198" s="410" t="s">
        <v>1271</v>
      </c>
      <c r="BE198" s="423" t="s">
        <v>1272</v>
      </c>
      <c r="BF198" s="421"/>
    </row>
    <row r="199" spans="1:58" s="327" customFormat="1" ht="18" customHeight="1" x14ac:dyDescent="0.35">
      <c r="A199" s="660">
        <v>419</v>
      </c>
      <c r="B199" s="660" t="str">
        <f>VLOOKUP($A199,'Measure Level Adjustments Tab'!$A$5:$CL$272,6,FALSE)</f>
        <v>Standard</v>
      </c>
      <c r="C199" s="659" t="s">
        <v>1032</v>
      </c>
      <c r="D199" s="659" t="s">
        <v>1016</v>
      </c>
      <c r="E199" s="411">
        <f>VLOOKUP($A199,'Measure Level Adjustments Tab'!$A$5:$CL$272,13,FALSE)</f>
        <v>1</v>
      </c>
      <c r="F199" s="411" t="str">
        <f>VLOOKUP($A199,'Measure Level Adjustments Tab'!$A$5:$CL$272,11,FALSE)</f>
        <v>4.3.3</v>
      </c>
      <c r="G199" s="411">
        <f>VLOOKUP($A199,'Measure Level Adjustments Tab'!$A$5:$CL$272,14,FALSE)</f>
        <v>0</v>
      </c>
      <c r="H199" s="663">
        <f>VLOOKUP($A199,'Measure Level Adjustments Tab'!$A$5:$CL$272,54,FALSE)</f>
        <v>150</v>
      </c>
      <c r="I199" s="663">
        <f>VLOOKUP($A199,'Measure Level Adjustments Tab'!$A$5:$CL$272,55,FALSE)</f>
        <v>150</v>
      </c>
      <c r="J199" s="663">
        <f>VLOOKUP($A199,'Measure Level Adjustments Tab'!$A$5:$CL$272,56,FALSE)</f>
        <v>150</v>
      </c>
      <c r="K199" s="663">
        <f>VLOOKUP($A199,'Measure Level Adjustments Tab'!$A$5:$CL$272,57,FALSE)</f>
        <v>150</v>
      </c>
      <c r="L199" s="411" t="str">
        <f>VLOOKUP($A199,'Measure Level Adjustments Tab'!$A$5:$CL$272,12,FALSE)</f>
        <v>CI-HWE-LFSH-V04-180101</v>
      </c>
      <c r="M199" s="422"/>
      <c r="N199" s="662">
        <v>5.3588189352600013</v>
      </c>
      <c r="O199" s="662">
        <v>5.3588189352600013</v>
      </c>
      <c r="P199" s="662">
        <v>5.3588189352600013</v>
      </c>
      <c r="Q199" s="662">
        <v>5.3588189352600013</v>
      </c>
      <c r="R199" s="661">
        <f>VLOOKUP($A199,'Measure Level Adjustments Tab'!$A$5:$CL$272,46,FALSE)</f>
        <v>0.96199999999999997</v>
      </c>
      <c r="S199" s="661">
        <f>VLOOKUP($A199,'Measure Level Adjustments Tab'!$A$5:$CL$272,47,FALSE)</f>
        <v>0.96199999999999997</v>
      </c>
      <c r="T199" s="661">
        <f>VLOOKUP($A199,'Measure Level Adjustments Tab'!$A$5:$CL$272,48,FALSE)</f>
        <v>0.96199999999999997</v>
      </c>
      <c r="U199" s="661">
        <f>VLOOKUP($A199,'Measure Level Adjustments Tab'!$A$5:$CL$272,49,FALSE)</f>
        <v>0.96199999999999997</v>
      </c>
      <c r="V199" s="418">
        <f t="shared" si="67"/>
        <v>773.27757235801812</v>
      </c>
      <c r="W199" s="418">
        <f t="shared" si="68"/>
        <v>773.27757235801812</v>
      </c>
      <c r="X199" s="418">
        <f t="shared" si="69"/>
        <v>773.27757235801812</v>
      </c>
      <c r="Y199" s="418">
        <f t="shared" si="70"/>
        <v>773.27757235801812</v>
      </c>
      <c r="Z199" s="418">
        <f t="shared" si="71"/>
        <v>3093.1102894320725</v>
      </c>
      <c r="AA199" s="410"/>
      <c r="AB199" s="422"/>
      <c r="AC199" s="415">
        <v>5.3588189352600013</v>
      </c>
      <c r="AD199" s="416"/>
      <c r="AE199" s="414">
        <f t="shared" si="72"/>
        <v>773.27757235801812</v>
      </c>
      <c r="AF199" s="412">
        <f t="shared" si="73"/>
        <v>0</v>
      </c>
      <c r="AG199" s="410"/>
      <c r="AH199" s="422"/>
      <c r="AI199" s="413">
        <v>5.3588189352600013</v>
      </c>
      <c r="AJ199" s="2669" t="s">
        <v>3418</v>
      </c>
      <c r="AK199" s="414">
        <f t="shared" si="74"/>
        <v>773.27757235801812</v>
      </c>
      <c r="AL199" s="412">
        <f t="shared" si="75"/>
        <v>0</v>
      </c>
      <c r="AM199" s="410"/>
      <c r="AN199" s="422"/>
      <c r="AO199" s="413">
        <v>4.9335158451599996</v>
      </c>
      <c r="AP199" s="2669" t="s">
        <v>3926</v>
      </c>
      <c r="AQ199" s="414">
        <f t="shared" si="76"/>
        <v>711.90633645658784</v>
      </c>
      <c r="AR199" s="412">
        <f t="shared" si="77"/>
        <v>-61.371235901430282</v>
      </c>
      <c r="AS199" s="410"/>
      <c r="AT199" s="422"/>
      <c r="AU199" s="413">
        <f>VLOOKUP($A199,'Measure Level Adjustments Tab'!$A$5:$CL$272,53,FALSE)/U199</f>
        <v>4.9335158451599996</v>
      </c>
      <c r="AV199" s="2669" t="s">
        <v>304</v>
      </c>
      <c r="AW199" s="414">
        <f t="shared" si="78"/>
        <v>711.90633645658784</v>
      </c>
      <c r="AX199" s="412">
        <f t="shared" si="79"/>
        <v>-61.371235901430282</v>
      </c>
      <c r="AY199" s="418">
        <f t="shared" si="80"/>
        <v>773.27757235801812</v>
      </c>
      <c r="AZ199" s="418">
        <f t="shared" si="81"/>
        <v>773.27757235801812</v>
      </c>
      <c r="BA199" s="418">
        <f t="shared" si="82"/>
        <v>711.90633645658784</v>
      </c>
      <c r="BB199" s="418">
        <f t="shared" si="83"/>
        <v>711.90633645658784</v>
      </c>
      <c r="BC199" s="419">
        <f t="shared" si="84"/>
        <v>2970.3678176292119</v>
      </c>
      <c r="BD199" s="410" t="s">
        <v>1271</v>
      </c>
      <c r="BE199" s="423" t="s">
        <v>1272</v>
      </c>
      <c r="BF199" s="421"/>
    </row>
    <row r="200" spans="1:58" s="327" customFormat="1" ht="18" customHeight="1" x14ac:dyDescent="0.35">
      <c r="A200" s="660">
        <v>467</v>
      </c>
      <c r="B200" s="660" t="str">
        <f>VLOOKUP($A200,'Measure Level Adjustments Tab'!$A$5:$CL$272,6,FALSE)</f>
        <v>Standard</v>
      </c>
      <c r="C200" s="659" t="s">
        <v>1032</v>
      </c>
      <c r="D200" s="659" t="s">
        <v>1019</v>
      </c>
      <c r="E200" s="411">
        <f>VLOOKUP($A200,'Measure Level Adjustments Tab'!$A$5:$CL$272,13,FALSE)</f>
        <v>1</v>
      </c>
      <c r="F200" s="411" t="str">
        <f>VLOOKUP($A200,'Measure Level Adjustments Tab'!$A$5:$CL$272,11,FALSE)</f>
        <v>4.3.2</v>
      </c>
      <c r="G200" s="411">
        <f>VLOOKUP($A200,'Measure Level Adjustments Tab'!$A$5:$CL$272,14,FALSE)</f>
        <v>0</v>
      </c>
      <c r="H200" s="663">
        <f>VLOOKUP($A200,'Measure Level Adjustments Tab'!$A$5:$CL$272,54,FALSE)</f>
        <v>620</v>
      </c>
      <c r="I200" s="663">
        <f>VLOOKUP($A200,'Measure Level Adjustments Tab'!$A$5:$CL$272,55,FALSE)</f>
        <v>450</v>
      </c>
      <c r="J200" s="663">
        <f>VLOOKUP($A200,'Measure Level Adjustments Tab'!$A$5:$CL$272,56,FALSE)</f>
        <v>526</v>
      </c>
      <c r="K200" s="663">
        <f>VLOOKUP($A200,'Measure Level Adjustments Tab'!$A$5:$CL$272,57,FALSE)</f>
        <v>518</v>
      </c>
      <c r="L200" s="411" t="str">
        <f>VLOOKUP($A200,'Measure Level Adjustments Tab'!$A$5:$CL$272,12,FALSE)</f>
        <v>CI-HWE-LFFA-V07-180101</v>
      </c>
      <c r="M200" s="422"/>
      <c r="N200" s="662">
        <v>5.4316370902687714</v>
      </c>
      <c r="O200" s="662">
        <v>5.4316370902687714</v>
      </c>
      <c r="P200" s="662">
        <v>5.4316370902687714</v>
      </c>
      <c r="Q200" s="662">
        <v>5.4316370902687714</v>
      </c>
      <c r="R200" s="661">
        <f>VLOOKUP($A200,'Measure Level Adjustments Tab'!$A$5:$CL$272,46,FALSE)</f>
        <v>0.96199999999999997</v>
      </c>
      <c r="S200" s="661">
        <f>VLOOKUP($A200,'Measure Level Adjustments Tab'!$A$5:$CL$272,47,FALSE)</f>
        <v>0.96199999999999997</v>
      </c>
      <c r="T200" s="661">
        <f>VLOOKUP($A200,'Measure Level Adjustments Tab'!$A$5:$CL$272,48,FALSE)</f>
        <v>0.96199999999999997</v>
      </c>
      <c r="U200" s="661">
        <f>VLOOKUP($A200,'Measure Level Adjustments Tab'!$A$5:$CL$272,49,FALSE)</f>
        <v>0.96199999999999997</v>
      </c>
      <c r="V200" s="418">
        <f t="shared" si="67"/>
        <v>3239.645626119906</v>
      </c>
      <c r="W200" s="418">
        <f t="shared" si="68"/>
        <v>2351.3556963773513</v>
      </c>
      <c r="X200" s="418">
        <f t="shared" si="69"/>
        <v>2748.4735473210817</v>
      </c>
      <c r="Y200" s="418">
        <f t="shared" si="70"/>
        <v>2706.6716682743731</v>
      </c>
      <c r="Z200" s="418">
        <f t="shared" si="71"/>
        <v>11046.146538092713</v>
      </c>
      <c r="AA200" s="410"/>
      <c r="AB200" s="422"/>
      <c r="AC200" s="415">
        <v>5.4316370902687714</v>
      </c>
      <c r="AD200" s="416"/>
      <c r="AE200" s="414">
        <f t="shared" si="72"/>
        <v>3239.645626119906</v>
      </c>
      <c r="AF200" s="412">
        <f t="shared" si="73"/>
        <v>0</v>
      </c>
      <c r="AG200" s="410"/>
      <c r="AH200" s="422"/>
      <c r="AI200" s="413">
        <v>5.4316370902687714</v>
      </c>
      <c r="AJ200" s="2669" t="s">
        <v>3418</v>
      </c>
      <c r="AK200" s="414">
        <f t="shared" si="74"/>
        <v>2351.3556963773513</v>
      </c>
      <c r="AL200" s="412">
        <f t="shared" si="75"/>
        <v>0</v>
      </c>
      <c r="AM200" s="410"/>
      <c r="AN200" s="422"/>
      <c r="AO200" s="413">
        <v>5.4316370902687714</v>
      </c>
      <c r="AP200" s="2669" t="s">
        <v>304</v>
      </c>
      <c r="AQ200" s="414">
        <f t="shared" si="76"/>
        <v>2748.4735473210817</v>
      </c>
      <c r="AR200" s="412">
        <f t="shared" si="77"/>
        <v>0</v>
      </c>
      <c r="AS200" s="410"/>
      <c r="AT200" s="422"/>
      <c r="AU200" s="413">
        <f>VLOOKUP($A200,'Measure Level Adjustments Tab'!$A$5:$CL$272,53,FALSE)/U200</f>
        <v>5.4316370902687714</v>
      </c>
      <c r="AV200" s="2669" t="s">
        <v>304</v>
      </c>
      <c r="AW200" s="414">
        <f t="shared" si="78"/>
        <v>2706.6716682743731</v>
      </c>
      <c r="AX200" s="412">
        <f t="shared" si="79"/>
        <v>0</v>
      </c>
      <c r="AY200" s="418">
        <f t="shared" si="80"/>
        <v>3239.645626119906</v>
      </c>
      <c r="AZ200" s="418">
        <f t="shared" si="81"/>
        <v>2351.3556963773513</v>
      </c>
      <c r="BA200" s="418">
        <f t="shared" si="82"/>
        <v>2748.4735473210817</v>
      </c>
      <c r="BB200" s="418">
        <f t="shared" si="83"/>
        <v>2706.6716682743731</v>
      </c>
      <c r="BC200" s="419">
        <f t="shared" si="84"/>
        <v>11046.146538092713</v>
      </c>
      <c r="BD200" s="410" t="s">
        <v>1271</v>
      </c>
      <c r="BE200" s="423" t="s">
        <v>1272</v>
      </c>
      <c r="BF200" s="421"/>
    </row>
    <row r="201" spans="1:58" s="327" customFormat="1" ht="18" customHeight="1" x14ac:dyDescent="0.35">
      <c r="A201" s="660">
        <v>466</v>
      </c>
      <c r="B201" s="660" t="str">
        <f>VLOOKUP($A201,'Measure Level Adjustments Tab'!$A$5:$CL$272,6,FALSE)</f>
        <v>Standard</v>
      </c>
      <c r="C201" s="659" t="s">
        <v>1032</v>
      </c>
      <c r="D201" s="659" t="s">
        <v>1020</v>
      </c>
      <c r="E201" s="411">
        <f>VLOOKUP($A201,'Measure Level Adjustments Tab'!$A$5:$CL$272,13,FALSE)</f>
        <v>1</v>
      </c>
      <c r="F201" s="411" t="str">
        <f>VLOOKUP($A201,'Measure Level Adjustments Tab'!$A$5:$CL$272,11,FALSE)</f>
        <v>4.3.2</v>
      </c>
      <c r="G201" s="411">
        <f>VLOOKUP($A201,'Measure Level Adjustments Tab'!$A$5:$CL$272,14,FALSE)</f>
        <v>0</v>
      </c>
      <c r="H201" s="663">
        <f>VLOOKUP($A201,'Measure Level Adjustments Tab'!$A$5:$CL$272,54,FALSE)</f>
        <v>620</v>
      </c>
      <c r="I201" s="663">
        <f>VLOOKUP($A201,'Measure Level Adjustments Tab'!$A$5:$CL$272,55,FALSE)</f>
        <v>450</v>
      </c>
      <c r="J201" s="663">
        <f>VLOOKUP($A201,'Measure Level Adjustments Tab'!$A$5:$CL$272,56,FALSE)</f>
        <v>526</v>
      </c>
      <c r="K201" s="663">
        <f>VLOOKUP($A201,'Measure Level Adjustments Tab'!$A$5:$CL$272,57,FALSE)</f>
        <v>518</v>
      </c>
      <c r="L201" s="411" t="str">
        <f>VLOOKUP($A201,'Measure Level Adjustments Tab'!$A$5:$CL$272,12,FALSE)</f>
        <v>CI-HWE-LFFA-V07-180101</v>
      </c>
      <c r="M201" s="422"/>
      <c r="N201" s="662">
        <v>7.4894856389249336</v>
      </c>
      <c r="O201" s="662">
        <v>7.4894856389249336</v>
      </c>
      <c r="P201" s="662">
        <v>7.4894856389249336</v>
      </c>
      <c r="Q201" s="662">
        <v>7.4894856389249336</v>
      </c>
      <c r="R201" s="661">
        <f>VLOOKUP($A201,'Measure Level Adjustments Tab'!$A$5:$CL$272,46,FALSE)</f>
        <v>0.96199999999999997</v>
      </c>
      <c r="S201" s="661">
        <f>VLOOKUP($A201,'Measure Level Adjustments Tab'!$A$5:$CL$272,47,FALSE)</f>
        <v>0.96199999999999997</v>
      </c>
      <c r="T201" s="661">
        <f>VLOOKUP($A201,'Measure Level Adjustments Tab'!$A$5:$CL$272,48,FALSE)</f>
        <v>0.96199999999999997</v>
      </c>
      <c r="U201" s="661">
        <f>VLOOKUP($A201,'Measure Level Adjustments Tab'!$A$5:$CL$272,49,FALSE)</f>
        <v>0.96199999999999997</v>
      </c>
      <c r="V201" s="418">
        <f t="shared" si="67"/>
        <v>4467.0288144803872</v>
      </c>
      <c r="W201" s="418">
        <f t="shared" si="68"/>
        <v>3242.1983330906037</v>
      </c>
      <c r="X201" s="418">
        <f t="shared" si="69"/>
        <v>3789.7696071236833</v>
      </c>
      <c r="Y201" s="418">
        <f t="shared" si="70"/>
        <v>3732.1305256465171</v>
      </c>
      <c r="Z201" s="418">
        <f t="shared" si="71"/>
        <v>15231.127280341192</v>
      </c>
      <c r="AA201" s="410"/>
      <c r="AB201" s="422"/>
      <c r="AC201" s="415">
        <v>7.4894856389249336</v>
      </c>
      <c r="AD201" s="416"/>
      <c r="AE201" s="414">
        <f t="shared" si="72"/>
        <v>4467.0288144803872</v>
      </c>
      <c r="AF201" s="412">
        <f t="shared" si="73"/>
        <v>0</v>
      </c>
      <c r="AG201" s="410"/>
      <c r="AH201" s="422"/>
      <c r="AI201" s="413">
        <v>7.4894856389249336</v>
      </c>
      <c r="AJ201" s="2669" t="s">
        <v>3418</v>
      </c>
      <c r="AK201" s="414">
        <f t="shared" si="74"/>
        <v>3242.1983330906037</v>
      </c>
      <c r="AL201" s="412">
        <f t="shared" si="75"/>
        <v>0</v>
      </c>
      <c r="AM201" s="410"/>
      <c r="AN201" s="422"/>
      <c r="AO201" s="413">
        <v>7.4894856389249336</v>
      </c>
      <c r="AP201" s="2669" t="s">
        <v>304</v>
      </c>
      <c r="AQ201" s="414">
        <f t="shared" si="76"/>
        <v>3789.7696071236833</v>
      </c>
      <c r="AR201" s="412">
        <f t="shared" si="77"/>
        <v>0</v>
      </c>
      <c r="AS201" s="410"/>
      <c r="AT201" s="422"/>
      <c r="AU201" s="413">
        <f>VLOOKUP($A201,'Measure Level Adjustments Tab'!$A$5:$CL$272,53,FALSE)/U201</f>
        <v>7.4894856389249336</v>
      </c>
      <c r="AV201" s="2669" t="s">
        <v>304</v>
      </c>
      <c r="AW201" s="414">
        <f t="shared" si="78"/>
        <v>3732.1305256465171</v>
      </c>
      <c r="AX201" s="412">
        <f t="shared" si="79"/>
        <v>0</v>
      </c>
      <c r="AY201" s="418">
        <f t="shared" si="80"/>
        <v>4467.0288144803872</v>
      </c>
      <c r="AZ201" s="418">
        <f t="shared" si="81"/>
        <v>3242.1983330906037</v>
      </c>
      <c r="BA201" s="418">
        <f t="shared" si="82"/>
        <v>3789.7696071236833</v>
      </c>
      <c r="BB201" s="418">
        <f t="shared" si="83"/>
        <v>3732.1305256465171</v>
      </c>
      <c r="BC201" s="419">
        <f t="shared" si="84"/>
        <v>15231.127280341192</v>
      </c>
      <c r="BD201" s="410" t="s">
        <v>1271</v>
      </c>
      <c r="BE201" s="423" t="s">
        <v>1272</v>
      </c>
      <c r="BF201" s="421"/>
    </row>
    <row r="202" spans="1:58" s="327" customFormat="1" ht="18" customHeight="1" x14ac:dyDescent="0.35">
      <c r="A202" s="660">
        <v>433</v>
      </c>
      <c r="B202" s="660" t="str">
        <f>VLOOKUP($A202,'Measure Level Adjustments Tab'!$A$5:$CL$272,6,FALSE)</f>
        <v>Standard</v>
      </c>
      <c r="C202" s="659" t="s">
        <v>1032</v>
      </c>
      <c r="D202" s="659" t="s">
        <v>1021</v>
      </c>
      <c r="E202" s="411">
        <f>VLOOKUP($A202,'Measure Level Adjustments Tab'!$A$5:$CL$272,13,FALSE)</f>
        <v>1</v>
      </c>
      <c r="F202" s="411" t="str">
        <f>VLOOKUP($A202,'Measure Level Adjustments Tab'!$A$5:$CL$272,11,FALSE)</f>
        <v>n/a</v>
      </c>
      <c r="G202" s="411">
        <f>VLOOKUP($A202,'Measure Level Adjustments Tab'!$A$5:$CL$272,14,FALSE)</f>
        <v>0</v>
      </c>
      <c r="H202" s="663">
        <f>VLOOKUP($A202,'Measure Level Adjustments Tab'!$A$5:$CL$272,54,FALSE)</f>
        <v>75</v>
      </c>
      <c r="I202" s="663">
        <f>VLOOKUP($A202,'Measure Level Adjustments Tab'!$A$5:$CL$272,55,FALSE)</f>
        <v>0</v>
      </c>
      <c r="J202" s="663">
        <f>VLOOKUP($A202,'Measure Level Adjustments Tab'!$A$5:$CL$272,56,FALSE)</f>
        <v>0</v>
      </c>
      <c r="K202" s="663">
        <f>VLOOKUP($A202,'Measure Level Adjustments Tab'!$A$5:$CL$272,57,FALSE)</f>
        <v>0</v>
      </c>
      <c r="L202" s="411" t="str">
        <f>VLOOKUP($A202,'Measure Level Adjustments Tab'!$A$5:$CL$272,12,FALSE)</f>
        <v>n/a</v>
      </c>
      <c r="M202" s="422"/>
      <c r="N202" s="662">
        <v>61.482900000000001</v>
      </c>
      <c r="O202" s="662">
        <v>61.482900000000001</v>
      </c>
      <c r="P202" s="662">
        <v>61.482900000000001</v>
      </c>
      <c r="Q202" s="662">
        <v>61.482900000000001</v>
      </c>
      <c r="R202" s="661">
        <f>VLOOKUP($A202,'Measure Level Adjustments Tab'!$A$5:$CL$272,46,FALSE)</f>
        <v>0.96199999999999997</v>
      </c>
      <c r="S202" s="661">
        <f>VLOOKUP($A202,'Measure Level Adjustments Tab'!$A$5:$CL$272,47,FALSE)</f>
        <v>0.96199999999999997</v>
      </c>
      <c r="T202" s="661">
        <f>VLOOKUP($A202,'Measure Level Adjustments Tab'!$A$5:$CL$272,48,FALSE)</f>
        <v>0.96199999999999997</v>
      </c>
      <c r="U202" s="661">
        <f>VLOOKUP($A202,'Measure Level Adjustments Tab'!$A$5:$CL$272,49,FALSE)</f>
        <v>0.96199999999999997</v>
      </c>
      <c r="V202" s="418">
        <f t="shared" si="67"/>
        <v>4435.9912349999995</v>
      </c>
      <c r="W202" s="418">
        <f t="shared" si="68"/>
        <v>0</v>
      </c>
      <c r="X202" s="418">
        <f t="shared" si="69"/>
        <v>0</v>
      </c>
      <c r="Y202" s="418">
        <f t="shared" si="70"/>
        <v>0</v>
      </c>
      <c r="Z202" s="418">
        <f t="shared" si="71"/>
        <v>4435.9912349999995</v>
      </c>
      <c r="AA202" s="410"/>
      <c r="AB202" s="422"/>
      <c r="AC202" s="415">
        <v>61.482900000000001</v>
      </c>
      <c r="AD202" s="416"/>
      <c r="AE202" s="414">
        <f t="shared" si="72"/>
        <v>4435.9912349999995</v>
      </c>
      <c r="AF202" s="412">
        <f t="shared" si="73"/>
        <v>0</v>
      </c>
      <c r="AG202" s="410"/>
      <c r="AH202" s="422"/>
      <c r="AI202" s="413">
        <v>61.482900000000001</v>
      </c>
      <c r="AJ202" s="2669" t="s">
        <v>820</v>
      </c>
      <c r="AK202" s="414">
        <f t="shared" si="74"/>
        <v>0</v>
      </c>
      <c r="AL202" s="412">
        <f t="shared" si="75"/>
        <v>0</v>
      </c>
      <c r="AM202" s="410"/>
      <c r="AN202" s="422"/>
      <c r="AO202" s="413">
        <v>61.482900000000001</v>
      </c>
      <c r="AP202" s="2669" t="s">
        <v>304</v>
      </c>
      <c r="AQ202" s="414">
        <f t="shared" si="76"/>
        <v>0</v>
      </c>
      <c r="AR202" s="412">
        <f t="shared" si="77"/>
        <v>0</v>
      </c>
      <c r="AS202" s="410"/>
      <c r="AT202" s="422"/>
      <c r="AU202" s="413">
        <f>VLOOKUP($A202,'Measure Level Adjustments Tab'!$A$5:$CL$272,53,FALSE)/U202</f>
        <v>61.482900000000001</v>
      </c>
      <c r="AV202" s="2669" t="s">
        <v>304</v>
      </c>
      <c r="AW202" s="414">
        <f t="shared" si="78"/>
        <v>0</v>
      </c>
      <c r="AX202" s="412">
        <f t="shared" si="79"/>
        <v>0</v>
      </c>
      <c r="AY202" s="418">
        <f t="shared" si="80"/>
        <v>4435.9912349999995</v>
      </c>
      <c r="AZ202" s="418">
        <f t="shared" si="81"/>
        <v>0</v>
      </c>
      <c r="BA202" s="418">
        <f t="shared" si="82"/>
        <v>0</v>
      </c>
      <c r="BB202" s="418">
        <f t="shared" si="83"/>
        <v>0</v>
      </c>
      <c r="BC202" s="419">
        <f t="shared" si="84"/>
        <v>4435.9912349999995</v>
      </c>
      <c r="BD202" s="410" t="s">
        <v>1271</v>
      </c>
      <c r="BE202" s="423" t="s">
        <v>1272</v>
      </c>
      <c r="BF202" s="421"/>
    </row>
    <row r="203" spans="1:58" s="327" customFormat="1" ht="18" customHeight="1" x14ac:dyDescent="0.35">
      <c r="A203" s="660">
        <v>432</v>
      </c>
      <c r="B203" s="660" t="str">
        <f>VLOOKUP($A203,'Measure Level Adjustments Tab'!$A$5:$CL$272,6,FALSE)</f>
        <v>Standard</v>
      </c>
      <c r="C203" s="659" t="s">
        <v>1032</v>
      </c>
      <c r="D203" s="659" t="s">
        <v>1123</v>
      </c>
      <c r="E203" s="411">
        <f>VLOOKUP($A203,'Measure Level Adjustments Tab'!$A$5:$CL$272,13,FALSE)</f>
        <v>1</v>
      </c>
      <c r="F203" s="411" t="str">
        <f>VLOOKUP($A203,'Measure Level Adjustments Tab'!$A$5:$CL$272,11,FALSE)</f>
        <v>n/a</v>
      </c>
      <c r="G203" s="411">
        <f>VLOOKUP($A203,'Measure Level Adjustments Tab'!$A$5:$CL$272,14,FALSE)</f>
        <v>0</v>
      </c>
      <c r="H203" s="663">
        <f>VLOOKUP($A203,'Measure Level Adjustments Tab'!$A$5:$CL$272,54,FALSE)</f>
        <v>0</v>
      </c>
      <c r="I203" s="663">
        <f>VLOOKUP($A203,'Measure Level Adjustments Tab'!$A$5:$CL$272,55,FALSE)</f>
        <v>70</v>
      </c>
      <c r="J203" s="663">
        <f>VLOOKUP($A203,'Measure Level Adjustments Tab'!$A$5:$CL$272,56,FALSE)</f>
        <v>75</v>
      </c>
      <c r="K203" s="663">
        <f>VLOOKUP($A203,'Measure Level Adjustments Tab'!$A$5:$CL$272,57,FALSE)</f>
        <v>70</v>
      </c>
      <c r="L203" s="411" t="str">
        <f>VLOOKUP($A203,'Measure Level Adjustments Tab'!$A$5:$CL$272,12,FALSE)</f>
        <v>n/a</v>
      </c>
      <c r="M203" s="422"/>
      <c r="N203" s="662">
        <v>61.482900000000001</v>
      </c>
      <c r="O203" s="662">
        <v>61.482900000000001</v>
      </c>
      <c r="P203" s="662">
        <v>61.482900000000001</v>
      </c>
      <c r="Q203" s="662">
        <v>61.482900000000001</v>
      </c>
      <c r="R203" s="661">
        <f>VLOOKUP($A203,'Measure Level Adjustments Tab'!$A$5:$CL$272,46,FALSE)</f>
        <v>0.96199999999999997</v>
      </c>
      <c r="S203" s="661">
        <f>VLOOKUP($A203,'Measure Level Adjustments Tab'!$A$5:$CL$272,47,FALSE)</f>
        <v>0.96199999999999997</v>
      </c>
      <c r="T203" s="661">
        <f>VLOOKUP($A203,'Measure Level Adjustments Tab'!$A$5:$CL$272,48,FALSE)</f>
        <v>0.96199999999999997</v>
      </c>
      <c r="U203" s="661">
        <f>VLOOKUP($A203,'Measure Level Adjustments Tab'!$A$5:$CL$272,49,FALSE)</f>
        <v>0.96199999999999997</v>
      </c>
      <c r="V203" s="418">
        <f t="shared" si="67"/>
        <v>0</v>
      </c>
      <c r="W203" s="418">
        <f t="shared" si="68"/>
        <v>4140.2584859999997</v>
      </c>
      <c r="X203" s="418">
        <f t="shared" si="69"/>
        <v>4435.9912349999995</v>
      </c>
      <c r="Y203" s="418">
        <f t="shared" si="70"/>
        <v>4140.2584859999997</v>
      </c>
      <c r="Z203" s="418">
        <f t="shared" si="71"/>
        <v>12716.508206999999</v>
      </c>
      <c r="AA203" s="410"/>
      <c r="AB203" s="422"/>
      <c r="AC203" s="415">
        <v>61.482900000000001</v>
      </c>
      <c r="AD203" s="416"/>
      <c r="AE203" s="414">
        <f t="shared" si="72"/>
        <v>0</v>
      </c>
      <c r="AF203" s="412">
        <f t="shared" si="73"/>
        <v>0</v>
      </c>
      <c r="AG203" s="410"/>
      <c r="AH203" s="422"/>
      <c r="AI203" s="413">
        <v>61.482900000000001</v>
      </c>
      <c r="AJ203" s="2669" t="s">
        <v>820</v>
      </c>
      <c r="AK203" s="414">
        <f t="shared" si="74"/>
        <v>4140.2584859999997</v>
      </c>
      <c r="AL203" s="412">
        <f t="shared" si="75"/>
        <v>0</v>
      </c>
      <c r="AM203" s="410"/>
      <c r="AN203" s="422"/>
      <c r="AO203" s="413">
        <v>61.482900000000001</v>
      </c>
      <c r="AP203" s="2669" t="s">
        <v>304</v>
      </c>
      <c r="AQ203" s="414">
        <f t="shared" si="76"/>
        <v>4435.9912349999995</v>
      </c>
      <c r="AR203" s="412">
        <f t="shared" si="77"/>
        <v>0</v>
      </c>
      <c r="AS203" s="410"/>
      <c r="AT203" s="422"/>
      <c r="AU203" s="413">
        <f>VLOOKUP($A203,'Measure Level Adjustments Tab'!$A$5:$CL$272,53,FALSE)/U203</f>
        <v>61.482900000000001</v>
      </c>
      <c r="AV203" s="2669" t="s">
        <v>304</v>
      </c>
      <c r="AW203" s="414">
        <f t="shared" si="78"/>
        <v>4140.2584859999997</v>
      </c>
      <c r="AX203" s="412">
        <f t="shared" si="79"/>
        <v>0</v>
      </c>
      <c r="AY203" s="418">
        <f t="shared" si="80"/>
        <v>0</v>
      </c>
      <c r="AZ203" s="418">
        <f t="shared" si="81"/>
        <v>4140.2584859999997</v>
      </c>
      <c r="BA203" s="418">
        <f t="shared" si="82"/>
        <v>4435.9912349999995</v>
      </c>
      <c r="BB203" s="418">
        <f t="shared" si="83"/>
        <v>4140.2584859999997</v>
      </c>
      <c r="BC203" s="419">
        <f t="shared" si="84"/>
        <v>12716.508206999999</v>
      </c>
      <c r="BD203" s="410" t="s">
        <v>1271</v>
      </c>
      <c r="BE203" s="423" t="s">
        <v>1272</v>
      </c>
      <c r="BF203" s="421"/>
    </row>
    <row r="204" spans="1:58" s="327" customFormat="1" ht="18" customHeight="1" x14ac:dyDescent="0.35">
      <c r="A204" s="660">
        <v>11</v>
      </c>
      <c r="B204" s="660" t="str">
        <f>VLOOKUP($A204,'Measure Level Adjustments Tab'!$A$5:$CL$272,6,FALSE)</f>
        <v>Custom</v>
      </c>
      <c r="C204" s="659" t="s">
        <v>211</v>
      </c>
      <c r="D204" s="659" t="s">
        <v>1026</v>
      </c>
      <c r="E204" s="411">
        <f>VLOOKUP($A204,'Measure Level Adjustments Tab'!$A$5:$CL$272,13,FALSE)</f>
        <v>1</v>
      </c>
      <c r="F204" s="411" t="str">
        <f>VLOOKUP($A204,'Measure Level Adjustments Tab'!$A$5:$CL$272,11,FALSE)</f>
        <v>n/a</v>
      </c>
      <c r="G204" s="411">
        <f>VLOOKUP($A204,'Measure Level Adjustments Tab'!$A$5:$CL$272,14,FALSE)</f>
        <v>0</v>
      </c>
      <c r="H204" s="663">
        <f>VLOOKUP($A204,'Measure Level Adjustments Tab'!$A$5:$CL$272,54,FALSE)</f>
        <v>1</v>
      </c>
      <c r="I204" s="663">
        <f>VLOOKUP($A204,'Measure Level Adjustments Tab'!$A$5:$CL$272,55,FALSE)</f>
        <v>0</v>
      </c>
      <c r="J204" s="663">
        <f>VLOOKUP($A204,'Measure Level Adjustments Tab'!$A$5:$CL$272,56,FALSE)</f>
        <v>0</v>
      </c>
      <c r="K204" s="663">
        <f>VLOOKUP($A204,'Measure Level Adjustments Tab'!$A$5:$CL$272,57,FALSE)</f>
        <v>0</v>
      </c>
      <c r="L204" s="411" t="str">
        <f>VLOOKUP($A204,'Measure Level Adjustments Tab'!$A$5:$CL$272,12,FALSE)</f>
        <v>n/a</v>
      </c>
      <c r="M204" s="422"/>
      <c r="N204" s="662">
        <v>438059.39999999997</v>
      </c>
      <c r="O204" s="662">
        <v>438059.39999999997</v>
      </c>
      <c r="P204" s="662">
        <v>438059.39999999997</v>
      </c>
      <c r="Q204" s="662">
        <v>438059.39999999997</v>
      </c>
      <c r="R204" s="661">
        <f>VLOOKUP($A204,'Measure Level Adjustments Tab'!$A$5:$CL$272,46,FALSE)</f>
        <v>0.93899999999999995</v>
      </c>
      <c r="S204" s="661">
        <f>VLOOKUP($A204,'Measure Level Adjustments Tab'!$A$5:$CL$272,47,FALSE)</f>
        <v>0.93899999999999995</v>
      </c>
      <c r="T204" s="661">
        <f>VLOOKUP($A204,'Measure Level Adjustments Tab'!$A$5:$CL$272,48,FALSE)</f>
        <v>0.93899999999999995</v>
      </c>
      <c r="U204" s="661">
        <f>VLOOKUP($A204,'Measure Level Adjustments Tab'!$A$5:$CL$272,49,FALSE)</f>
        <v>0.93899999999999995</v>
      </c>
      <c r="V204" s="418">
        <f t="shared" si="67"/>
        <v>411337.77659999992</v>
      </c>
      <c r="W204" s="418">
        <f t="shared" si="68"/>
        <v>0</v>
      </c>
      <c r="X204" s="418">
        <f t="shared" si="69"/>
        <v>0</v>
      </c>
      <c r="Y204" s="418">
        <f t="shared" si="70"/>
        <v>0</v>
      </c>
      <c r="Z204" s="418">
        <f t="shared" si="71"/>
        <v>411337.77659999992</v>
      </c>
      <c r="AA204" s="410"/>
      <c r="AB204" s="422"/>
      <c r="AC204" s="415">
        <v>438059.39999999997</v>
      </c>
      <c r="AD204" s="416"/>
      <c r="AE204" s="414">
        <f t="shared" si="72"/>
        <v>411337.77659999992</v>
      </c>
      <c r="AF204" s="412">
        <f t="shared" si="73"/>
        <v>0</v>
      </c>
      <c r="AG204" s="410"/>
      <c r="AH204" s="422"/>
      <c r="AI204" s="413">
        <v>438059.39999999997</v>
      </c>
      <c r="AJ204" s="2669" t="s">
        <v>820</v>
      </c>
      <c r="AK204" s="414">
        <f t="shared" si="74"/>
        <v>0</v>
      </c>
      <c r="AL204" s="412">
        <f t="shared" si="75"/>
        <v>0</v>
      </c>
      <c r="AM204" s="410"/>
      <c r="AN204" s="422"/>
      <c r="AO204" s="413">
        <v>438059.39999999997</v>
      </c>
      <c r="AP204" s="2669" t="s">
        <v>304</v>
      </c>
      <c r="AQ204" s="414">
        <f t="shared" si="76"/>
        <v>0</v>
      </c>
      <c r="AR204" s="412">
        <f t="shared" si="77"/>
        <v>0</v>
      </c>
      <c r="AS204" s="410"/>
      <c r="AT204" s="422"/>
      <c r="AU204" s="413">
        <f>VLOOKUP($A204,'Measure Level Adjustments Tab'!$A$5:$CL$272,53,FALSE)/U204</f>
        <v>438059.39999999997</v>
      </c>
      <c r="AV204" s="2669" t="s">
        <v>304</v>
      </c>
      <c r="AW204" s="414">
        <f t="shared" si="78"/>
        <v>0</v>
      </c>
      <c r="AX204" s="412">
        <f t="shared" si="79"/>
        <v>0</v>
      </c>
      <c r="AY204" s="418">
        <f t="shared" si="80"/>
        <v>411337.77659999992</v>
      </c>
      <c r="AZ204" s="418">
        <f t="shared" si="81"/>
        <v>0</v>
      </c>
      <c r="BA204" s="418">
        <f t="shared" si="82"/>
        <v>0</v>
      </c>
      <c r="BB204" s="418">
        <f t="shared" si="83"/>
        <v>0</v>
      </c>
      <c r="BC204" s="419">
        <f t="shared" si="84"/>
        <v>411337.77659999992</v>
      </c>
      <c r="BD204" s="410" t="s">
        <v>1271</v>
      </c>
      <c r="BE204" s="423" t="s">
        <v>1272</v>
      </c>
      <c r="BF204" s="421"/>
    </row>
    <row r="205" spans="1:58" s="327" customFormat="1" ht="18" customHeight="1" x14ac:dyDescent="0.35">
      <c r="A205" s="660">
        <v>12</v>
      </c>
      <c r="B205" s="660" t="str">
        <f>VLOOKUP($A205,'Measure Level Adjustments Tab'!$A$5:$CL$272,6,FALSE)</f>
        <v>Custom</v>
      </c>
      <c r="C205" s="659" t="s">
        <v>211</v>
      </c>
      <c r="D205" s="659" t="s">
        <v>1027</v>
      </c>
      <c r="E205" s="411">
        <f>VLOOKUP($A205,'Measure Level Adjustments Tab'!$A$5:$CL$272,13,FALSE)</f>
        <v>1</v>
      </c>
      <c r="F205" s="411" t="str">
        <f>VLOOKUP($A205,'Measure Level Adjustments Tab'!$A$5:$CL$272,11,FALSE)</f>
        <v>n/a</v>
      </c>
      <c r="G205" s="411">
        <f>VLOOKUP($A205,'Measure Level Adjustments Tab'!$A$5:$CL$272,14,FALSE)</f>
        <v>0</v>
      </c>
      <c r="H205" s="663">
        <f>VLOOKUP($A205,'Measure Level Adjustments Tab'!$A$5:$CL$272,54,FALSE)</f>
        <v>0</v>
      </c>
      <c r="I205" s="663">
        <f>VLOOKUP($A205,'Measure Level Adjustments Tab'!$A$5:$CL$272,55,FALSE)</f>
        <v>1</v>
      </c>
      <c r="J205" s="663">
        <f>VLOOKUP($A205,'Measure Level Adjustments Tab'!$A$5:$CL$272,56,FALSE)</f>
        <v>0</v>
      </c>
      <c r="K205" s="663">
        <f>VLOOKUP($A205,'Measure Level Adjustments Tab'!$A$5:$CL$272,57,FALSE)</f>
        <v>0</v>
      </c>
      <c r="L205" s="411" t="str">
        <f>VLOOKUP($A205,'Measure Level Adjustments Tab'!$A$5:$CL$272,12,FALSE)</f>
        <v>n/a</v>
      </c>
      <c r="M205" s="422"/>
      <c r="N205" s="662">
        <v>374503.19999999995</v>
      </c>
      <c r="O205" s="662">
        <v>374503.19999999995</v>
      </c>
      <c r="P205" s="662">
        <v>374503.19999999995</v>
      </c>
      <c r="Q205" s="662">
        <v>374503.19999999995</v>
      </c>
      <c r="R205" s="661">
        <f>VLOOKUP($A205,'Measure Level Adjustments Tab'!$A$5:$CL$272,46,FALSE)</f>
        <v>0.93899999999999995</v>
      </c>
      <c r="S205" s="661">
        <f>VLOOKUP($A205,'Measure Level Adjustments Tab'!$A$5:$CL$272,47,FALSE)</f>
        <v>0.93899999999999995</v>
      </c>
      <c r="T205" s="661">
        <f>VLOOKUP($A205,'Measure Level Adjustments Tab'!$A$5:$CL$272,48,FALSE)</f>
        <v>0.93899999999999995</v>
      </c>
      <c r="U205" s="661">
        <f>VLOOKUP($A205,'Measure Level Adjustments Tab'!$A$5:$CL$272,49,FALSE)</f>
        <v>0.93899999999999995</v>
      </c>
      <c r="V205" s="418">
        <f t="shared" si="67"/>
        <v>0</v>
      </c>
      <c r="W205" s="418">
        <f t="shared" si="68"/>
        <v>351658.50479999994</v>
      </c>
      <c r="X205" s="418">
        <f t="shared" si="69"/>
        <v>0</v>
      </c>
      <c r="Y205" s="418">
        <f t="shared" si="70"/>
        <v>0</v>
      </c>
      <c r="Z205" s="418">
        <f t="shared" si="71"/>
        <v>351658.50479999994</v>
      </c>
      <c r="AA205" s="410"/>
      <c r="AB205" s="422"/>
      <c r="AC205" s="415">
        <v>374503.19999999995</v>
      </c>
      <c r="AD205" s="416"/>
      <c r="AE205" s="414">
        <f t="shared" si="72"/>
        <v>0</v>
      </c>
      <c r="AF205" s="412">
        <f t="shared" si="73"/>
        <v>0</v>
      </c>
      <c r="AG205" s="410"/>
      <c r="AH205" s="422"/>
      <c r="AI205" s="413">
        <v>374503.19999999995</v>
      </c>
      <c r="AJ205" s="2669" t="s">
        <v>820</v>
      </c>
      <c r="AK205" s="414">
        <f t="shared" si="74"/>
        <v>351658.50479999994</v>
      </c>
      <c r="AL205" s="412">
        <f t="shared" si="75"/>
        <v>0</v>
      </c>
      <c r="AM205" s="410"/>
      <c r="AN205" s="422"/>
      <c r="AO205" s="413">
        <v>374503.19999999995</v>
      </c>
      <c r="AP205" s="2669" t="s">
        <v>304</v>
      </c>
      <c r="AQ205" s="414">
        <f t="shared" si="76"/>
        <v>0</v>
      </c>
      <c r="AR205" s="412">
        <f t="shared" si="77"/>
        <v>0</v>
      </c>
      <c r="AS205" s="410"/>
      <c r="AT205" s="422"/>
      <c r="AU205" s="413">
        <f>VLOOKUP($A205,'Measure Level Adjustments Tab'!$A$5:$CL$272,53,FALSE)/U205</f>
        <v>374503.19999999995</v>
      </c>
      <c r="AV205" s="2669" t="s">
        <v>304</v>
      </c>
      <c r="AW205" s="414">
        <f t="shared" si="78"/>
        <v>0</v>
      </c>
      <c r="AX205" s="412">
        <f t="shared" si="79"/>
        <v>0</v>
      </c>
      <c r="AY205" s="418">
        <f t="shared" si="80"/>
        <v>0</v>
      </c>
      <c r="AZ205" s="418">
        <f t="shared" si="81"/>
        <v>351658.50479999994</v>
      </c>
      <c r="BA205" s="418">
        <f t="shared" si="82"/>
        <v>0</v>
      </c>
      <c r="BB205" s="418">
        <f t="shared" si="83"/>
        <v>0</v>
      </c>
      <c r="BC205" s="419">
        <f t="shared" si="84"/>
        <v>351658.50479999994</v>
      </c>
      <c r="BD205" s="410" t="s">
        <v>1271</v>
      </c>
      <c r="BE205" s="423" t="s">
        <v>1272</v>
      </c>
      <c r="BF205" s="421"/>
    </row>
    <row r="206" spans="1:58" s="327" customFormat="1" ht="18" customHeight="1" x14ac:dyDescent="0.35">
      <c r="A206" s="660">
        <v>13</v>
      </c>
      <c r="B206" s="660" t="str">
        <f>VLOOKUP($A206,'Measure Level Adjustments Tab'!$A$5:$CL$272,6,FALSE)</f>
        <v>Custom</v>
      </c>
      <c r="C206" s="659" t="s">
        <v>211</v>
      </c>
      <c r="D206" s="659" t="s">
        <v>1028</v>
      </c>
      <c r="E206" s="411">
        <f>VLOOKUP($A206,'Measure Level Adjustments Tab'!$A$5:$CL$272,13,FALSE)</f>
        <v>1</v>
      </c>
      <c r="F206" s="411" t="str">
        <f>VLOOKUP($A206,'Measure Level Adjustments Tab'!$A$5:$CL$272,11,FALSE)</f>
        <v>n/a</v>
      </c>
      <c r="G206" s="411">
        <f>VLOOKUP($A206,'Measure Level Adjustments Tab'!$A$5:$CL$272,14,FALSE)</f>
        <v>0</v>
      </c>
      <c r="H206" s="663">
        <f>VLOOKUP($A206,'Measure Level Adjustments Tab'!$A$5:$CL$272,54,FALSE)</f>
        <v>0</v>
      </c>
      <c r="I206" s="663">
        <f>VLOOKUP($A206,'Measure Level Adjustments Tab'!$A$5:$CL$272,55,FALSE)</f>
        <v>0</v>
      </c>
      <c r="J206" s="663">
        <f>VLOOKUP($A206,'Measure Level Adjustments Tab'!$A$5:$CL$272,56,FALSE)</f>
        <v>1</v>
      </c>
      <c r="K206" s="663">
        <f>VLOOKUP($A206,'Measure Level Adjustments Tab'!$A$5:$CL$272,57,FALSE)</f>
        <v>0</v>
      </c>
      <c r="L206" s="411" t="str">
        <f>VLOOKUP($A206,'Measure Level Adjustments Tab'!$A$5:$CL$272,12,FALSE)</f>
        <v>n/a</v>
      </c>
      <c r="M206" s="422"/>
      <c r="N206" s="662">
        <v>356051.4</v>
      </c>
      <c r="O206" s="662">
        <v>356051.4</v>
      </c>
      <c r="P206" s="662">
        <v>356051.4</v>
      </c>
      <c r="Q206" s="662">
        <v>356051.4</v>
      </c>
      <c r="R206" s="661">
        <f>VLOOKUP($A206,'Measure Level Adjustments Tab'!$A$5:$CL$272,46,FALSE)</f>
        <v>0.93899999999999995</v>
      </c>
      <c r="S206" s="661">
        <f>VLOOKUP($A206,'Measure Level Adjustments Tab'!$A$5:$CL$272,47,FALSE)</f>
        <v>0.93899999999999995</v>
      </c>
      <c r="T206" s="661">
        <f>VLOOKUP($A206,'Measure Level Adjustments Tab'!$A$5:$CL$272,48,FALSE)</f>
        <v>0.93899999999999995</v>
      </c>
      <c r="U206" s="661">
        <f>VLOOKUP($A206,'Measure Level Adjustments Tab'!$A$5:$CL$272,49,FALSE)</f>
        <v>0.93899999999999995</v>
      </c>
      <c r="V206" s="418">
        <f t="shared" si="67"/>
        <v>0</v>
      </c>
      <c r="W206" s="418">
        <f t="shared" si="68"/>
        <v>0</v>
      </c>
      <c r="X206" s="418">
        <f t="shared" si="69"/>
        <v>334332.26459999999</v>
      </c>
      <c r="Y206" s="418">
        <f t="shared" si="70"/>
        <v>0</v>
      </c>
      <c r="Z206" s="418">
        <f t="shared" si="71"/>
        <v>334332.26459999999</v>
      </c>
      <c r="AA206" s="410"/>
      <c r="AB206" s="422"/>
      <c r="AC206" s="415">
        <v>356051.4</v>
      </c>
      <c r="AD206" s="416"/>
      <c r="AE206" s="414">
        <f t="shared" si="72"/>
        <v>0</v>
      </c>
      <c r="AF206" s="412">
        <f t="shared" si="73"/>
        <v>0</v>
      </c>
      <c r="AG206" s="410"/>
      <c r="AH206" s="422"/>
      <c r="AI206" s="413">
        <v>356051.4</v>
      </c>
      <c r="AJ206" s="2669" t="s">
        <v>820</v>
      </c>
      <c r="AK206" s="414">
        <f t="shared" si="74"/>
        <v>0</v>
      </c>
      <c r="AL206" s="412">
        <f t="shared" si="75"/>
        <v>0</v>
      </c>
      <c r="AM206" s="410"/>
      <c r="AN206" s="422"/>
      <c r="AO206" s="413">
        <v>356051.4</v>
      </c>
      <c r="AP206" s="2669" t="s">
        <v>304</v>
      </c>
      <c r="AQ206" s="414">
        <f t="shared" si="76"/>
        <v>334332.26459999999</v>
      </c>
      <c r="AR206" s="412">
        <f t="shared" si="77"/>
        <v>0</v>
      </c>
      <c r="AS206" s="410"/>
      <c r="AT206" s="422"/>
      <c r="AU206" s="413">
        <f>VLOOKUP($A206,'Measure Level Adjustments Tab'!$A$5:$CL$272,53,FALSE)/U206</f>
        <v>356051.4</v>
      </c>
      <c r="AV206" s="2669" t="s">
        <v>304</v>
      </c>
      <c r="AW206" s="414">
        <f t="shared" si="78"/>
        <v>0</v>
      </c>
      <c r="AX206" s="412">
        <f t="shared" si="79"/>
        <v>0</v>
      </c>
      <c r="AY206" s="418">
        <f t="shared" si="80"/>
        <v>0</v>
      </c>
      <c r="AZ206" s="418">
        <f t="shared" si="81"/>
        <v>0</v>
      </c>
      <c r="BA206" s="418">
        <f t="shared" si="82"/>
        <v>334332.26459999999</v>
      </c>
      <c r="BB206" s="418">
        <f t="shared" si="83"/>
        <v>0</v>
      </c>
      <c r="BC206" s="419">
        <f t="shared" si="84"/>
        <v>334332.26459999999</v>
      </c>
      <c r="BD206" s="410" t="s">
        <v>1271</v>
      </c>
      <c r="BE206" s="423" t="s">
        <v>1272</v>
      </c>
      <c r="BF206" s="421"/>
    </row>
    <row r="207" spans="1:58" s="327" customFormat="1" ht="18" customHeight="1" x14ac:dyDescent="0.35">
      <c r="A207" s="660">
        <v>10</v>
      </c>
      <c r="B207" s="660" t="str">
        <f>VLOOKUP($A207,'Measure Level Adjustments Tab'!$A$5:$CL$272,6,FALSE)</f>
        <v>Custom</v>
      </c>
      <c r="C207" s="659" t="s">
        <v>211</v>
      </c>
      <c r="D207" s="659" t="s">
        <v>1083</v>
      </c>
      <c r="E207" s="411">
        <f>VLOOKUP($A207,'Measure Level Adjustments Tab'!$A$5:$CL$272,13,FALSE)</f>
        <v>1</v>
      </c>
      <c r="F207" s="411" t="str">
        <f>VLOOKUP($A207,'Measure Level Adjustments Tab'!$A$5:$CL$272,11,FALSE)</f>
        <v>n/a</v>
      </c>
      <c r="G207" s="411">
        <f>VLOOKUP($A207,'Measure Level Adjustments Tab'!$A$5:$CL$272,14,FALSE)</f>
        <v>0</v>
      </c>
      <c r="H207" s="663">
        <f>VLOOKUP($A207,'Measure Level Adjustments Tab'!$A$5:$CL$272,54,FALSE)</f>
        <v>0</v>
      </c>
      <c r="I207" s="663">
        <f>VLOOKUP($A207,'Measure Level Adjustments Tab'!$A$5:$CL$272,55,FALSE)</f>
        <v>0</v>
      </c>
      <c r="J207" s="663">
        <f>VLOOKUP($A207,'Measure Level Adjustments Tab'!$A$5:$CL$272,56,FALSE)</f>
        <v>0</v>
      </c>
      <c r="K207" s="663">
        <f>VLOOKUP($A207,'Measure Level Adjustments Tab'!$A$5:$CL$272,57,FALSE)</f>
        <v>1</v>
      </c>
      <c r="L207" s="411" t="str">
        <f>VLOOKUP($A207,'Measure Level Adjustments Tab'!$A$5:$CL$272,12,FALSE)</f>
        <v>n/a</v>
      </c>
      <c r="M207" s="422"/>
      <c r="N207" s="662">
        <v>365619</v>
      </c>
      <c r="O207" s="662">
        <v>365619</v>
      </c>
      <c r="P207" s="662">
        <v>365619</v>
      </c>
      <c r="Q207" s="662">
        <v>365619</v>
      </c>
      <c r="R207" s="661">
        <f>VLOOKUP($A207,'Measure Level Adjustments Tab'!$A$5:$CL$272,46,FALSE)</f>
        <v>0.93899999999999995</v>
      </c>
      <c r="S207" s="661">
        <f>VLOOKUP($A207,'Measure Level Adjustments Tab'!$A$5:$CL$272,47,FALSE)</f>
        <v>0.93899999999999995</v>
      </c>
      <c r="T207" s="661">
        <f>VLOOKUP($A207,'Measure Level Adjustments Tab'!$A$5:$CL$272,48,FALSE)</f>
        <v>0.93899999999999995</v>
      </c>
      <c r="U207" s="661">
        <f>VLOOKUP($A207,'Measure Level Adjustments Tab'!$A$5:$CL$272,49,FALSE)</f>
        <v>0.93899999999999995</v>
      </c>
      <c r="V207" s="418">
        <f t="shared" si="67"/>
        <v>0</v>
      </c>
      <c r="W207" s="418">
        <f t="shared" si="68"/>
        <v>0</v>
      </c>
      <c r="X207" s="418">
        <f t="shared" si="69"/>
        <v>0</v>
      </c>
      <c r="Y207" s="418">
        <f t="shared" si="70"/>
        <v>343316.24099999998</v>
      </c>
      <c r="Z207" s="418">
        <f t="shared" si="71"/>
        <v>343316.24099999998</v>
      </c>
      <c r="AA207" s="410"/>
      <c r="AB207" s="422"/>
      <c r="AC207" s="415">
        <v>365619</v>
      </c>
      <c r="AD207" s="416"/>
      <c r="AE207" s="414">
        <f t="shared" si="72"/>
        <v>0</v>
      </c>
      <c r="AF207" s="412">
        <f t="shared" si="73"/>
        <v>0</v>
      </c>
      <c r="AG207" s="410"/>
      <c r="AH207" s="422"/>
      <c r="AI207" s="413">
        <v>365619</v>
      </c>
      <c r="AJ207" s="2669" t="s">
        <v>820</v>
      </c>
      <c r="AK207" s="414">
        <f t="shared" si="74"/>
        <v>0</v>
      </c>
      <c r="AL207" s="412">
        <f t="shared" si="75"/>
        <v>0</v>
      </c>
      <c r="AM207" s="410"/>
      <c r="AN207" s="422"/>
      <c r="AO207" s="413">
        <v>365619</v>
      </c>
      <c r="AP207" s="2669" t="s">
        <v>304</v>
      </c>
      <c r="AQ207" s="414">
        <f t="shared" si="76"/>
        <v>0</v>
      </c>
      <c r="AR207" s="412">
        <f t="shared" si="77"/>
        <v>0</v>
      </c>
      <c r="AS207" s="410"/>
      <c r="AT207" s="422"/>
      <c r="AU207" s="413">
        <f>VLOOKUP($A207,'Measure Level Adjustments Tab'!$A$5:$CL$272,53,FALSE)/U207</f>
        <v>365619</v>
      </c>
      <c r="AV207" s="2669" t="s">
        <v>304</v>
      </c>
      <c r="AW207" s="414">
        <f t="shared" si="78"/>
        <v>343316.24099999998</v>
      </c>
      <c r="AX207" s="412">
        <f t="shared" si="79"/>
        <v>0</v>
      </c>
      <c r="AY207" s="418">
        <f t="shared" si="80"/>
        <v>0</v>
      </c>
      <c r="AZ207" s="418">
        <f t="shared" si="81"/>
        <v>0</v>
      </c>
      <c r="BA207" s="418">
        <f t="shared" si="82"/>
        <v>0</v>
      </c>
      <c r="BB207" s="418">
        <f t="shared" si="83"/>
        <v>343316.24099999998</v>
      </c>
      <c r="BC207" s="419">
        <f t="shared" si="84"/>
        <v>343316.24099999998</v>
      </c>
      <c r="BD207" s="410" t="s">
        <v>1271</v>
      </c>
      <c r="BE207" s="423" t="s">
        <v>1272</v>
      </c>
      <c r="BF207" s="421"/>
    </row>
    <row r="208" spans="1:58" s="327" customFormat="1" ht="18" customHeight="1" x14ac:dyDescent="0.35">
      <c r="A208" s="660">
        <v>16</v>
      </c>
      <c r="B208" s="660" t="str">
        <f>VLOOKUP($A208,'Measure Level Adjustments Tab'!$A$5:$CL$272,6,FALSE)</f>
        <v>Custom</v>
      </c>
      <c r="C208" s="659" t="s">
        <v>1084</v>
      </c>
      <c r="D208" s="659" t="s">
        <v>1085</v>
      </c>
      <c r="E208" s="411">
        <f>VLOOKUP($A208,'Measure Level Adjustments Tab'!$A$5:$CL$272,13,FALSE)</f>
        <v>1</v>
      </c>
      <c r="F208" s="411" t="str">
        <f>VLOOKUP($A208,'Measure Level Adjustments Tab'!$A$5:$CL$272,11,FALSE)</f>
        <v>n/a</v>
      </c>
      <c r="G208" s="411">
        <f>VLOOKUP($A208,'Measure Level Adjustments Tab'!$A$5:$CL$272,14,FALSE)</f>
        <v>0</v>
      </c>
      <c r="H208" s="663">
        <f>VLOOKUP($A208,'Measure Level Adjustments Tab'!$A$5:$CL$272,54,FALSE)</f>
        <v>1</v>
      </c>
      <c r="I208" s="663">
        <f>VLOOKUP($A208,'Measure Level Adjustments Tab'!$A$5:$CL$272,55,FALSE)</f>
        <v>0</v>
      </c>
      <c r="J208" s="663">
        <f>VLOOKUP($A208,'Measure Level Adjustments Tab'!$A$5:$CL$272,56,FALSE)</f>
        <v>0</v>
      </c>
      <c r="K208" s="663">
        <f>VLOOKUP($A208,'Measure Level Adjustments Tab'!$A$5:$CL$272,57,FALSE)</f>
        <v>0</v>
      </c>
      <c r="L208" s="411" t="str">
        <f>VLOOKUP($A208,'Measure Level Adjustments Tab'!$A$5:$CL$272,12,FALSE)</f>
        <v>n/a</v>
      </c>
      <c r="M208" s="422"/>
      <c r="N208" s="662">
        <v>137118.07692307688</v>
      </c>
      <c r="O208" s="662">
        <v>137118.07692307688</v>
      </c>
      <c r="P208" s="662">
        <v>137118.07692307688</v>
      </c>
      <c r="Q208" s="662">
        <v>137118.07692307688</v>
      </c>
      <c r="R208" s="661">
        <f>VLOOKUP($A208,'Measure Level Adjustments Tab'!$A$5:$CL$272,46,FALSE)</f>
        <v>0.70200000000000007</v>
      </c>
      <c r="S208" s="661">
        <f>VLOOKUP($A208,'Measure Level Adjustments Tab'!$A$5:$CL$272,47,FALSE)</f>
        <v>0.70200000000000007</v>
      </c>
      <c r="T208" s="661">
        <f>VLOOKUP($A208,'Measure Level Adjustments Tab'!$A$5:$CL$272,48,FALSE)</f>
        <v>0.70200000000000007</v>
      </c>
      <c r="U208" s="661">
        <f>VLOOKUP($A208,'Measure Level Adjustments Tab'!$A$5:$CL$272,49,FALSE)</f>
        <v>0.70200000000000007</v>
      </c>
      <c r="V208" s="418">
        <f t="shared" si="67"/>
        <v>96256.889999999985</v>
      </c>
      <c r="W208" s="418">
        <f t="shared" si="68"/>
        <v>0</v>
      </c>
      <c r="X208" s="418">
        <f t="shared" si="69"/>
        <v>0</v>
      </c>
      <c r="Y208" s="418">
        <f t="shared" si="70"/>
        <v>0</v>
      </c>
      <c r="Z208" s="418">
        <f t="shared" si="71"/>
        <v>96256.889999999985</v>
      </c>
      <c r="AA208" s="410"/>
      <c r="AB208" s="422"/>
      <c r="AC208" s="415">
        <v>137118.07692307688</v>
      </c>
      <c r="AD208" s="416"/>
      <c r="AE208" s="414">
        <f t="shared" si="72"/>
        <v>96256.889999999985</v>
      </c>
      <c r="AF208" s="412">
        <f t="shared" si="73"/>
        <v>0</v>
      </c>
      <c r="AG208" s="410"/>
      <c r="AH208" s="422"/>
      <c r="AI208" s="413">
        <v>137118.07692307688</v>
      </c>
      <c r="AJ208" s="2669" t="s">
        <v>820</v>
      </c>
      <c r="AK208" s="414">
        <f t="shared" si="74"/>
        <v>0</v>
      </c>
      <c r="AL208" s="412">
        <f t="shared" si="75"/>
        <v>0</v>
      </c>
      <c r="AM208" s="410"/>
      <c r="AN208" s="422"/>
      <c r="AO208" s="413">
        <v>137118.07692307688</v>
      </c>
      <c r="AP208" s="2669" t="s">
        <v>304</v>
      </c>
      <c r="AQ208" s="414">
        <f t="shared" si="76"/>
        <v>0</v>
      </c>
      <c r="AR208" s="412">
        <f t="shared" si="77"/>
        <v>0</v>
      </c>
      <c r="AS208" s="410"/>
      <c r="AT208" s="422"/>
      <c r="AU208" s="413">
        <f>VLOOKUP($A208,'Measure Level Adjustments Tab'!$A$5:$CL$272,53,FALSE)/U208</f>
        <v>137118.07692307688</v>
      </c>
      <c r="AV208" s="2669" t="s">
        <v>304</v>
      </c>
      <c r="AW208" s="414">
        <f t="shared" si="78"/>
        <v>0</v>
      </c>
      <c r="AX208" s="412">
        <f t="shared" si="79"/>
        <v>0</v>
      </c>
      <c r="AY208" s="418">
        <f t="shared" si="80"/>
        <v>96256.889999999985</v>
      </c>
      <c r="AZ208" s="418">
        <f t="shared" si="81"/>
        <v>0</v>
      </c>
      <c r="BA208" s="418">
        <f t="shared" si="82"/>
        <v>0</v>
      </c>
      <c r="BB208" s="418">
        <f t="shared" si="83"/>
        <v>0</v>
      </c>
      <c r="BC208" s="419">
        <f t="shared" si="84"/>
        <v>96256.889999999985</v>
      </c>
      <c r="BD208" s="410" t="s">
        <v>1271</v>
      </c>
      <c r="BE208" s="423" t="s">
        <v>1272</v>
      </c>
      <c r="BF208" s="421"/>
    </row>
    <row r="209" spans="1:58" s="327" customFormat="1" ht="18" customHeight="1" x14ac:dyDescent="0.35">
      <c r="A209" s="660">
        <v>17</v>
      </c>
      <c r="B209" s="660" t="str">
        <f>VLOOKUP($A209,'Measure Level Adjustments Tab'!$A$5:$CL$272,6,FALSE)</f>
        <v>Custom</v>
      </c>
      <c r="C209" s="659" t="s">
        <v>1084</v>
      </c>
      <c r="D209" s="659" t="s">
        <v>1086</v>
      </c>
      <c r="E209" s="411">
        <f>VLOOKUP($A209,'Measure Level Adjustments Tab'!$A$5:$CL$272,13,FALSE)</f>
        <v>1</v>
      </c>
      <c r="F209" s="411" t="str">
        <f>VLOOKUP($A209,'Measure Level Adjustments Tab'!$A$5:$CL$272,11,FALSE)</f>
        <v>n/a</v>
      </c>
      <c r="G209" s="411">
        <f>VLOOKUP($A209,'Measure Level Adjustments Tab'!$A$5:$CL$272,14,FALSE)</f>
        <v>0</v>
      </c>
      <c r="H209" s="663">
        <f>VLOOKUP($A209,'Measure Level Adjustments Tab'!$A$5:$CL$272,54,FALSE)</f>
        <v>0</v>
      </c>
      <c r="I209" s="663">
        <f>VLOOKUP($A209,'Measure Level Adjustments Tab'!$A$5:$CL$272,55,FALSE)</f>
        <v>1</v>
      </c>
      <c r="J209" s="663">
        <f>VLOOKUP($A209,'Measure Level Adjustments Tab'!$A$5:$CL$272,56,FALSE)</f>
        <v>0</v>
      </c>
      <c r="K209" s="663">
        <f>VLOOKUP($A209,'Measure Level Adjustments Tab'!$A$5:$CL$272,57,FALSE)</f>
        <v>0</v>
      </c>
      <c r="L209" s="411" t="str">
        <f>VLOOKUP($A209,'Measure Level Adjustments Tab'!$A$5:$CL$272,12,FALSE)</f>
        <v>n/a</v>
      </c>
      <c r="M209" s="422"/>
      <c r="N209" s="662">
        <v>124523.79042690813</v>
      </c>
      <c r="O209" s="662">
        <v>124523.79042690813</v>
      </c>
      <c r="P209" s="662">
        <v>124523.79042690813</v>
      </c>
      <c r="Q209" s="662">
        <v>124523.79042690813</v>
      </c>
      <c r="R209" s="661">
        <f>VLOOKUP($A209,'Measure Level Adjustments Tab'!$A$5:$CL$272,46,FALSE)</f>
        <v>0.77300000000000002</v>
      </c>
      <c r="S209" s="661">
        <f>VLOOKUP($A209,'Measure Level Adjustments Tab'!$A$5:$CL$272,47,FALSE)</f>
        <v>0.77300000000000002</v>
      </c>
      <c r="T209" s="661">
        <f>VLOOKUP($A209,'Measure Level Adjustments Tab'!$A$5:$CL$272,48,FALSE)</f>
        <v>0.77300000000000002</v>
      </c>
      <c r="U209" s="661">
        <f>VLOOKUP($A209,'Measure Level Adjustments Tab'!$A$5:$CL$272,49,FALSE)</f>
        <v>0.77300000000000002</v>
      </c>
      <c r="V209" s="418">
        <f t="shared" si="67"/>
        <v>0</v>
      </c>
      <c r="W209" s="418">
        <f t="shared" si="68"/>
        <v>96256.889999999985</v>
      </c>
      <c r="X209" s="418">
        <f t="shared" si="69"/>
        <v>0</v>
      </c>
      <c r="Y209" s="418">
        <f t="shared" si="70"/>
        <v>0</v>
      </c>
      <c r="Z209" s="418">
        <f t="shared" si="71"/>
        <v>96256.889999999985</v>
      </c>
      <c r="AA209" s="410"/>
      <c r="AB209" s="422"/>
      <c r="AC209" s="415">
        <v>124523.79042690813</v>
      </c>
      <c r="AD209" s="416"/>
      <c r="AE209" s="414">
        <f t="shared" si="72"/>
        <v>0</v>
      </c>
      <c r="AF209" s="412">
        <f t="shared" si="73"/>
        <v>0</v>
      </c>
      <c r="AG209" s="410"/>
      <c r="AH209" s="422"/>
      <c r="AI209" s="413">
        <v>124523.79042690813</v>
      </c>
      <c r="AJ209" s="2669" t="s">
        <v>820</v>
      </c>
      <c r="AK209" s="414">
        <f t="shared" si="74"/>
        <v>96256.889999999985</v>
      </c>
      <c r="AL209" s="412">
        <f t="shared" si="75"/>
        <v>0</v>
      </c>
      <c r="AM209" s="410"/>
      <c r="AN209" s="422"/>
      <c r="AO209" s="413">
        <v>124523.79042690813</v>
      </c>
      <c r="AP209" s="2669" t="s">
        <v>304</v>
      </c>
      <c r="AQ209" s="414">
        <f t="shared" si="76"/>
        <v>0</v>
      </c>
      <c r="AR209" s="412">
        <f t="shared" si="77"/>
        <v>0</v>
      </c>
      <c r="AS209" s="410"/>
      <c r="AT209" s="422"/>
      <c r="AU209" s="413">
        <f>VLOOKUP($A209,'Measure Level Adjustments Tab'!$A$5:$CL$272,53,FALSE)/U209</f>
        <v>124523.79042690813</v>
      </c>
      <c r="AV209" s="2669" t="s">
        <v>304</v>
      </c>
      <c r="AW209" s="414">
        <f t="shared" si="78"/>
        <v>0</v>
      </c>
      <c r="AX209" s="412">
        <f t="shared" si="79"/>
        <v>0</v>
      </c>
      <c r="AY209" s="418">
        <f t="shared" si="80"/>
        <v>0</v>
      </c>
      <c r="AZ209" s="418">
        <f t="shared" si="81"/>
        <v>96256.889999999985</v>
      </c>
      <c r="BA209" s="418">
        <f t="shared" si="82"/>
        <v>0</v>
      </c>
      <c r="BB209" s="418">
        <f t="shared" si="83"/>
        <v>0</v>
      </c>
      <c r="BC209" s="419">
        <f t="shared" si="84"/>
        <v>96256.889999999985</v>
      </c>
      <c r="BD209" s="410" t="s">
        <v>1271</v>
      </c>
      <c r="BE209" s="423" t="s">
        <v>1272</v>
      </c>
      <c r="BF209" s="421"/>
    </row>
    <row r="210" spans="1:58" s="327" customFormat="1" ht="18" customHeight="1" x14ac:dyDescent="0.35">
      <c r="A210" s="660">
        <v>18</v>
      </c>
      <c r="B210" s="660" t="str">
        <f>VLOOKUP($A210,'Measure Level Adjustments Tab'!$A$5:$CL$272,6,FALSE)</f>
        <v>Custom</v>
      </c>
      <c r="C210" s="659" t="s">
        <v>1084</v>
      </c>
      <c r="D210" s="659" t="s">
        <v>1087</v>
      </c>
      <c r="E210" s="411">
        <f>VLOOKUP($A210,'Measure Level Adjustments Tab'!$A$5:$CL$272,13,FALSE)</f>
        <v>1</v>
      </c>
      <c r="F210" s="411" t="str">
        <f>VLOOKUP($A210,'Measure Level Adjustments Tab'!$A$5:$CL$272,11,FALSE)</f>
        <v>n/a</v>
      </c>
      <c r="G210" s="411">
        <f>VLOOKUP($A210,'Measure Level Adjustments Tab'!$A$5:$CL$272,14,FALSE)</f>
        <v>0</v>
      </c>
      <c r="H210" s="663">
        <f>VLOOKUP($A210,'Measure Level Adjustments Tab'!$A$5:$CL$272,54,FALSE)</f>
        <v>0</v>
      </c>
      <c r="I210" s="663">
        <f>VLOOKUP($A210,'Measure Level Adjustments Tab'!$A$5:$CL$272,55,FALSE)</f>
        <v>0</v>
      </c>
      <c r="J210" s="663">
        <f>VLOOKUP($A210,'Measure Level Adjustments Tab'!$A$5:$CL$272,56,FALSE)</f>
        <v>1</v>
      </c>
      <c r="K210" s="663">
        <f>VLOOKUP($A210,'Measure Level Adjustments Tab'!$A$5:$CL$272,57,FALSE)</f>
        <v>0</v>
      </c>
      <c r="L210" s="411" t="str">
        <f>VLOOKUP($A210,'Measure Level Adjustments Tab'!$A$5:$CL$272,12,FALSE)</f>
        <v>n/a</v>
      </c>
      <c r="M210" s="422"/>
      <c r="N210" s="662">
        <v>124523.79042690813</v>
      </c>
      <c r="O210" s="662">
        <v>124523.79042690813</v>
      </c>
      <c r="P210" s="662">
        <v>124523.79042690813</v>
      </c>
      <c r="Q210" s="662">
        <v>124523.79042690813</v>
      </c>
      <c r="R210" s="661">
        <f>VLOOKUP($A210,'Measure Level Adjustments Tab'!$A$5:$CL$272,46,FALSE)</f>
        <v>0.77300000000000002</v>
      </c>
      <c r="S210" s="661">
        <f>VLOOKUP($A210,'Measure Level Adjustments Tab'!$A$5:$CL$272,47,FALSE)</f>
        <v>0.77300000000000002</v>
      </c>
      <c r="T210" s="661">
        <f>VLOOKUP($A210,'Measure Level Adjustments Tab'!$A$5:$CL$272,48,FALSE)</f>
        <v>0.77300000000000002</v>
      </c>
      <c r="U210" s="661">
        <f>VLOOKUP($A210,'Measure Level Adjustments Tab'!$A$5:$CL$272,49,FALSE)</f>
        <v>0.77300000000000002</v>
      </c>
      <c r="V210" s="418">
        <f t="shared" si="67"/>
        <v>0</v>
      </c>
      <c r="W210" s="418">
        <f t="shared" si="68"/>
        <v>0</v>
      </c>
      <c r="X210" s="418">
        <f t="shared" si="69"/>
        <v>96256.889999999985</v>
      </c>
      <c r="Y210" s="418">
        <f t="shared" si="70"/>
        <v>0</v>
      </c>
      <c r="Z210" s="418">
        <f t="shared" si="71"/>
        <v>96256.889999999985</v>
      </c>
      <c r="AA210" s="410"/>
      <c r="AB210" s="422"/>
      <c r="AC210" s="415">
        <v>124523.79042690813</v>
      </c>
      <c r="AD210" s="416"/>
      <c r="AE210" s="414">
        <f t="shared" si="72"/>
        <v>0</v>
      </c>
      <c r="AF210" s="412">
        <f t="shared" si="73"/>
        <v>0</v>
      </c>
      <c r="AG210" s="410"/>
      <c r="AH210" s="422"/>
      <c r="AI210" s="413">
        <v>124523.79042690813</v>
      </c>
      <c r="AJ210" s="2669" t="s">
        <v>820</v>
      </c>
      <c r="AK210" s="414">
        <f t="shared" si="74"/>
        <v>0</v>
      </c>
      <c r="AL210" s="412">
        <f t="shared" si="75"/>
        <v>0</v>
      </c>
      <c r="AM210" s="410"/>
      <c r="AN210" s="422"/>
      <c r="AO210" s="413">
        <v>124523.79042690813</v>
      </c>
      <c r="AP210" s="2669" t="s">
        <v>304</v>
      </c>
      <c r="AQ210" s="414">
        <f t="shared" si="76"/>
        <v>96256.889999999985</v>
      </c>
      <c r="AR210" s="412">
        <f t="shared" si="77"/>
        <v>0</v>
      </c>
      <c r="AS210" s="410"/>
      <c r="AT210" s="422"/>
      <c r="AU210" s="413">
        <f>VLOOKUP($A210,'Measure Level Adjustments Tab'!$A$5:$CL$272,53,FALSE)/U210</f>
        <v>124523.79042690813</v>
      </c>
      <c r="AV210" s="2669" t="s">
        <v>304</v>
      </c>
      <c r="AW210" s="414">
        <f t="shared" si="78"/>
        <v>0</v>
      </c>
      <c r="AX210" s="412">
        <f t="shared" si="79"/>
        <v>0</v>
      </c>
      <c r="AY210" s="418">
        <f t="shared" si="80"/>
        <v>0</v>
      </c>
      <c r="AZ210" s="418">
        <f t="shared" si="81"/>
        <v>0</v>
      </c>
      <c r="BA210" s="418">
        <f t="shared" si="82"/>
        <v>96256.889999999985</v>
      </c>
      <c r="BB210" s="418">
        <f t="shared" si="83"/>
        <v>0</v>
      </c>
      <c r="BC210" s="419">
        <f t="shared" si="84"/>
        <v>96256.889999999985</v>
      </c>
      <c r="BD210" s="410" t="s">
        <v>1271</v>
      </c>
      <c r="BE210" s="423" t="s">
        <v>1272</v>
      </c>
      <c r="BF210" s="421"/>
    </row>
    <row r="211" spans="1:58" s="327" customFormat="1" ht="18" customHeight="1" x14ac:dyDescent="0.35">
      <c r="A211" s="660">
        <v>19</v>
      </c>
      <c r="B211" s="660" t="str">
        <f>VLOOKUP($A211,'Measure Level Adjustments Tab'!$A$5:$CL$272,6,FALSE)</f>
        <v>Custom</v>
      </c>
      <c r="C211" s="659" t="s">
        <v>1084</v>
      </c>
      <c r="D211" s="659" t="s">
        <v>1088</v>
      </c>
      <c r="E211" s="411">
        <f>VLOOKUP($A211,'Measure Level Adjustments Tab'!$A$5:$CL$272,13,FALSE)</f>
        <v>1</v>
      </c>
      <c r="F211" s="411" t="str">
        <f>VLOOKUP($A211,'Measure Level Adjustments Tab'!$A$5:$CL$272,11,FALSE)</f>
        <v>n/a</v>
      </c>
      <c r="G211" s="411">
        <f>VLOOKUP($A211,'Measure Level Adjustments Tab'!$A$5:$CL$272,14,FALSE)</f>
        <v>0</v>
      </c>
      <c r="H211" s="663">
        <f>VLOOKUP($A211,'Measure Level Adjustments Tab'!$A$5:$CL$272,54,FALSE)</f>
        <v>0</v>
      </c>
      <c r="I211" s="663">
        <f>VLOOKUP($A211,'Measure Level Adjustments Tab'!$A$5:$CL$272,55,FALSE)</f>
        <v>0</v>
      </c>
      <c r="J211" s="663">
        <f>VLOOKUP($A211,'Measure Level Adjustments Tab'!$A$5:$CL$272,56,FALSE)</f>
        <v>0</v>
      </c>
      <c r="K211" s="663">
        <f>VLOOKUP($A211,'Measure Level Adjustments Tab'!$A$5:$CL$272,57,FALSE)</f>
        <v>1</v>
      </c>
      <c r="L211" s="411" t="str">
        <f>VLOOKUP($A211,'Measure Level Adjustments Tab'!$A$5:$CL$272,12,FALSE)</f>
        <v>n/a</v>
      </c>
      <c r="M211" s="422"/>
      <c r="N211" s="662">
        <v>162553.0261589404</v>
      </c>
      <c r="O211" s="662">
        <v>162553.0261589404</v>
      </c>
      <c r="P211" s="662">
        <v>162553.0261589404</v>
      </c>
      <c r="Q211" s="662">
        <v>162553.0261589404</v>
      </c>
      <c r="R211" s="661">
        <f>VLOOKUP($A211,'Measure Level Adjustments Tab'!$A$5:$CL$272,46,FALSE)</f>
        <v>0.60399999999999998</v>
      </c>
      <c r="S211" s="661">
        <f>VLOOKUP($A211,'Measure Level Adjustments Tab'!$A$5:$CL$272,47,FALSE)</f>
        <v>0.60399999999999998</v>
      </c>
      <c r="T211" s="661">
        <f>VLOOKUP($A211,'Measure Level Adjustments Tab'!$A$5:$CL$272,48,FALSE)</f>
        <v>0.60399999999999998</v>
      </c>
      <c r="U211" s="661">
        <f>VLOOKUP($A211,'Measure Level Adjustments Tab'!$A$5:$CL$272,49,FALSE)</f>
        <v>0.60399999999999998</v>
      </c>
      <c r="V211" s="418">
        <f t="shared" si="67"/>
        <v>0</v>
      </c>
      <c r="W211" s="418">
        <f t="shared" si="68"/>
        <v>0</v>
      </c>
      <c r="X211" s="418">
        <f t="shared" si="69"/>
        <v>0</v>
      </c>
      <c r="Y211" s="418">
        <f t="shared" si="70"/>
        <v>98182.027799999996</v>
      </c>
      <c r="Z211" s="418">
        <f t="shared" si="71"/>
        <v>98182.027799999996</v>
      </c>
      <c r="AA211" s="410"/>
      <c r="AB211" s="422"/>
      <c r="AC211" s="415">
        <v>162553.0261589404</v>
      </c>
      <c r="AD211" s="416"/>
      <c r="AE211" s="414">
        <f t="shared" si="72"/>
        <v>0</v>
      </c>
      <c r="AF211" s="412">
        <f t="shared" si="73"/>
        <v>0</v>
      </c>
      <c r="AG211" s="410"/>
      <c r="AH211" s="422"/>
      <c r="AI211" s="413">
        <v>162553.0261589404</v>
      </c>
      <c r="AJ211" s="2669" t="s">
        <v>820</v>
      </c>
      <c r="AK211" s="414">
        <f t="shared" si="74"/>
        <v>0</v>
      </c>
      <c r="AL211" s="412">
        <f t="shared" si="75"/>
        <v>0</v>
      </c>
      <c r="AM211" s="410"/>
      <c r="AN211" s="422"/>
      <c r="AO211" s="413">
        <v>162553.0261589404</v>
      </c>
      <c r="AP211" s="2669" t="s">
        <v>304</v>
      </c>
      <c r="AQ211" s="414">
        <f t="shared" si="76"/>
        <v>0</v>
      </c>
      <c r="AR211" s="412">
        <f t="shared" si="77"/>
        <v>0</v>
      </c>
      <c r="AS211" s="410"/>
      <c r="AT211" s="422"/>
      <c r="AU211" s="413">
        <f>VLOOKUP($A211,'Measure Level Adjustments Tab'!$A$5:$CL$272,53,FALSE)/U211</f>
        <v>162553.0261589404</v>
      </c>
      <c r="AV211" s="2669" t="s">
        <v>304</v>
      </c>
      <c r="AW211" s="414">
        <f t="shared" si="78"/>
        <v>98182.027799999996</v>
      </c>
      <c r="AX211" s="412">
        <f t="shared" si="79"/>
        <v>0</v>
      </c>
      <c r="AY211" s="418">
        <f t="shared" si="80"/>
        <v>0</v>
      </c>
      <c r="AZ211" s="418">
        <f t="shared" si="81"/>
        <v>0</v>
      </c>
      <c r="BA211" s="418">
        <f t="shared" si="82"/>
        <v>0</v>
      </c>
      <c r="BB211" s="418">
        <f t="shared" si="83"/>
        <v>98182.027799999996</v>
      </c>
      <c r="BC211" s="419">
        <f t="shared" si="84"/>
        <v>98182.027799999996</v>
      </c>
      <c r="BD211" s="410" t="s">
        <v>1271</v>
      </c>
      <c r="BE211" s="423" t="s">
        <v>1272</v>
      </c>
      <c r="BF211" s="421"/>
    </row>
    <row r="212" spans="1:58" s="327" customFormat="1" ht="18" customHeight="1" x14ac:dyDescent="0.35">
      <c r="A212" s="660">
        <v>21</v>
      </c>
      <c r="B212" s="660" t="str">
        <f>VLOOKUP($A212,'Measure Level Adjustments Tab'!$A$5:$CL$272,6,FALSE)</f>
        <v>Retro-commissioning</v>
      </c>
      <c r="C212" s="659" t="s">
        <v>212</v>
      </c>
      <c r="D212" s="659" t="s">
        <v>1029</v>
      </c>
      <c r="E212" s="411">
        <f>VLOOKUP($A212,'Measure Level Adjustments Tab'!$A$5:$CL$272,13,FALSE)</f>
        <v>1</v>
      </c>
      <c r="F212" s="411" t="str">
        <f>VLOOKUP($A212,'Measure Level Adjustments Tab'!$A$5:$CL$272,11,FALSE)</f>
        <v>n/a</v>
      </c>
      <c r="G212" s="411">
        <f>VLOOKUP($A212,'Measure Level Adjustments Tab'!$A$5:$CL$272,14,FALSE)</f>
        <v>0</v>
      </c>
      <c r="H212" s="663">
        <f>VLOOKUP($A212,'Measure Level Adjustments Tab'!$A$5:$CL$272,54,FALSE)</f>
        <v>1</v>
      </c>
      <c r="I212" s="663">
        <f>VLOOKUP($A212,'Measure Level Adjustments Tab'!$A$5:$CL$272,55,FALSE)</f>
        <v>0</v>
      </c>
      <c r="J212" s="663">
        <f>VLOOKUP($A212,'Measure Level Adjustments Tab'!$A$5:$CL$272,56,FALSE)</f>
        <v>0</v>
      </c>
      <c r="K212" s="663">
        <f>VLOOKUP($A212,'Measure Level Adjustments Tab'!$A$5:$CL$272,57,FALSE)</f>
        <v>0</v>
      </c>
      <c r="L212" s="411" t="str">
        <f>VLOOKUP($A212,'Measure Level Adjustments Tab'!$A$5:$CL$272,12,FALSE)</f>
        <v>n/a</v>
      </c>
      <c r="M212" s="422"/>
      <c r="N212" s="662">
        <v>306816</v>
      </c>
      <c r="O212" s="662">
        <v>306816</v>
      </c>
      <c r="P212" s="662">
        <v>306816</v>
      </c>
      <c r="Q212" s="662">
        <v>306816</v>
      </c>
      <c r="R212" s="661">
        <f>VLOOKUP($A212,'Measure Level Adjustments Tab'!$A$5:$CL$272,46,FALSE)</f>
        <v>0.91400000000000003</v>
      </c>
      <c r="S212" s="661">
        <f>VLOOKUP($A212,'Measure Level Adjustments Tab'!$A$5:$CL$272,47,FALSE)</f>
        <v>0.91400000000000003</v>
      </c>
      <c r="T212" s="661">
        <f>VLOOKUP($A212,'Measure Level Adjustments Tab'!$A$5:$CL$272,48,FALSE)</f>
        <v>0.91400000000000003</v>
      </c>
      <c r="U212" s="661">
        <f>VLOOKUP($A212,'Measure Level Adjustments Tab'!$A$5:$CL$272,49,FALSE)</f>
        <v>0.91400000000000003</v>
      </c>
      <c r="V212" s="418">
        <f t="shared" si="67"/>
        <v>280429.82400000002</v>
      </c>
      <c r="W212" s="418">
        <f t="shared" si="68"/>
        <v>0</v>
      </c>
      <c r="X212" s="418">
        <f t="shared" si="69"/>
        <v>0</v>
      </c>
      <c r="Y212" s="418">
        <f t="shared" si="70"/>
        <v>0</v>
      </c>
      <c r="Z212" s="418">
        <f t="shared" si="71"/>
        <v>280429.82400000002</v>
      </c>
      <c r="AA212" s="410"/>
      <c r="AB212" s="422"/>
      <c r="AC212" s="415">
        <v>306816</v>
      </c>
      <c r="AD212" s="416"/>
      <c r="AE212" s="414">
        <f t="shared" si="72"/>
        <v>280429.82400000002</v>
      </c>
      <c r="AF212" s="412">
        <f t="shared" si="73"/>
        <v>0</v>
      </c>
      <c r="AG212" s="410"/>
      <c r="AH212" s="422"/>
      <c r="AI212" s="413">
        <v>306816</v>
      </c>
      <c r="AJ212" s="2669" t="s">
        <v>820</v>
      </c>
      <c r="AK212" s="414">
        <f t="shared" si="74"/>
        <v>0</v>
      </c>
      <c r="AL212" s="412">
        <f t="shared" si="75"/>
        <v>0</v>
      </c>
      <c r="AM212" s="410"/>
      <c r="AN212" s="422"/>
      <c r="AO212" s="413">
        <v>306816</v>
      </c>
      <c r="AP212" s="2669" t="s">
        <v>304</v>
      </c>
      <c r="AQ212" s="414">
        <f t="shared" si="76"/>
        <v>0</v>
      </c>
      <c r="AR212" s="412">
        <f t="shared" si="77"/>
        <v>0</v>
      </c>
      <c r="AS212" s="410"/>
      <c r="AT212" s="422"/>
      <c r="AU212" s="413">
        <f>VLOOKUP($A212,'Measure Level Adjustments Tab'!$A$5:$CL$272,53,FALSE)/U212</f>
        <v>306816</v>
      </c>
      <c r="AV212" s="2669" t="s">
        <v>304</v>
      </c>
      <c r="AW212" s="414">
        <f t="shared" si="78"/>
        <v>0</v>
      </c>
      <c r="AX212" s="412">
        <f t="shared" si="79"/>
        <v>0</v>
      </c>
      <c r="AY212" s="418">
        <f t="shared" si="80"/>
        <v>280429.82400000002</v>
      </c>
      <c r="AZ212" s="418">
        <f t="shared" si="81"/>
        <v>0</v>
      </c>
      <c r="BA212" s="418">
        <f t="shared" si="82"/>
        <v>0</v>
      </c>
      <c r="BB212" s="418">
        <f t="shared" si="83"/>
        <v>0</v>
      </c>
      <c r="BC212" s="419">
        <f t="shared" si="84"/>
        <v>280429.82400000002</v>
      </c>
      <c r="BD212" s="410" t="s">
        <v>1271</v>
      </c>
      <c r="BE212" s="423" t="s">
        <v>1272</v>
      </c>
      <c r="BF212" s="421"/>
    </row>
    <row r="213" spans="1:58" s="327" customFormat="1" ht="18" customHeight="1" x14ac:dyDescent="0.35">
      <c r="A213" s="660">
        <v>22</v>
      </c>
      <c r="B213" s="660" t="str">
        <f>VLOOKUP($A213,'Measure Level Adjustments Tab'!$A$5:$CL$272,6,FALSE)</f>
        <v>Retro-commissioning</v>
      </c>
      <c r="C213" s="659" t="s">
        <v>212</v>
      </c>
      <c r="D213" s="659" t="s">
        <v>1030</v>
      </c>
      <c r="E213" s="411">
        <f>VLOOKUP($A213,'Measure Level Adjustments Tab'!$A$5:$CL$272,13,FALSE)</f>
        <v>1</v>
      </c>
      <c r="F213" s="411" t="str">
        <f>VLOOKUP($A213,'Measure Level Adjustments Tab'!$A$5:$CL$272,11,FALSE)</f>
        <v>n/a</v>
      </c>
      <c r="G213" s="411">
        <f>VLOOKUP($A213,'Measure Level Adjustments Tab'!$A$5:$CL$272,14,FALSE)</f>
        <v>0</v>
      </c>
      <c r="H213" s="663">
        <f>VLOOKUP($A213,'Measure Level Adjustments Tab'!$A$5:$CL$272,54,FALSE)</f>
        <v>0</v>
      </c>
      <c r="I213" s="663">
        <f>VLOOKUP($A213,'Measure Level Adjustments Tab'!$A$5:$CL$272,55,FALSE)</f>
        <v>1</v>
      </c>
      <c r="J213" s="663">
        <f>VLOOKUP($A213,'Measure Level Adjustments Tab'!$A$5:$CL$272,56,FALSE)</f>
        <v>0</v>
      </c>
      <c r="K213" s="663">
        <f>VLOOKUP($A213,'Measure Level Adjustments Tab'!$A$5:$CL$272,57,FALSE)</f>
        <v>0</v>
      </c>
      <c r="L213" s="411" t="str">
        <f>VLOOKUP($A213,'Measure Level Adjustments Tab'!$A$5:$CL$272,12,FALSE)</f>
        <v>n/a</v>
      </c>
      <c r="M213" s="422"/>
      <c r="N213" s="662">
        <v>287640</v>
      </c>
      <c r="O213" s="662">
        <v>287640</v>
      </c>
      <c r="P213" s="662">
        <v>287640</v>
      </c>
      <c r="Q213" s="662">
        <v>287640</v>
      </c>
      <c r="R213" s="661">
        <f>VLOOKUP($A213,'Measure Level Adjustments Tab'!$A$5:$CL$272,46,FALSE)</f>
        <v>0.91400000000000003</v>
      </c>
      <c r="S213" s="661">
        <f>VLOOKUP($A213,'Measure Level Adjustments Tab'!$A$5:$CL$272,47,FALSE)</f>
        <v>0.91400000000000003</v>
      </c>
      <c r="T213" s="661">
        <f>VLOOKUP($A213,'Measure Level Adjustments Tab'!$A$5:$CL$272,48,FALSE)</f>
        <v>0.91400000000000003</v>
      </c>
      <c r="U213" s="661">
        <f>VLOOKUP($A213,'Measure Level Adjustments Tab'!$A$5:$CL$272,49,FALSE)</f>
        <v>0.91400000000000003</v>
      </c>
      <c r="V213" s="418">
        <f t="shared" si="67"/>
        <v>0</v>
      </c>
      <c r="W213" s="418">
        <f t="shared" si="68"/>
        <v>262902.96000000002</v>
      </c>
      <c r="X213" s="418">
        <f t="shared" si="69"/>
        <v>0</v>
      </c>
      <c r="Y213" s="418">
        <f t="shared" si="70"/>
        <v>0</v>
      </c>
      <c r="Z213" s="418">
        <f t="shared" si="71"/>
        <v>262902.96000000002</v>
      </c>
      <c r="AA213" s="410"/>
      <c r="AB213" s="422"/>
      <c r="AC213" s="415">
        <v>287640</v>
      </c>
      <c r="AD213" s="416"/>
      <c r="AE213" s="414">
        <f t="shared" si="72"/>
        <v>0</v>
      </c>
      <c r="AF213" s="412">
        <f t="shared" si="73"/>
        <v>0</v>
      </c>
      <c r="AG213" s="410"/>
      <c r="AH213" s="422"/>
      <c r="AI213" s="413">
        <v>287640</v>
      </c>
      <c r="AJ213" s="2669" t="s">
        <v>820</v>
      </c>
      <c r="AK213" s="414">
        <f t="shared" si="74"/>
        <v>262902.96000000002</v>
      </c>
      <c r="AL213" s="412">
        <f t="shared" si="75"/>
        <v>0</v>
      </c>
      <c r="AM213" s="410"/>
      <c r="AN213" s="422"/>
      <c r="AO213" s="413">
        <v>287640</v>
      </c>
      <c r="AP213" s="2669" t="s">
        <v>304</v>
      </c>
      <c r="AQ213" s="414">
        <f t="shared" si="76"/>
        <v>0</v>
      </c>
      <c r="AR213" s="412">
        <f t="shared" si="77"/>
        <v>0</v>
      </c>
      <c r="AS213" s="410"/>
      <c r="AT213" s="422"/>
      <c r="AU213" s="413">
        <f>VLOOKUP($A213,'Measure Level Adjustments Tab'!$A$5:$CL$272,53,FALSE)/U213</f>
        <v>287640</v>
      </c>
      <c r="AV213" s="2669" t="s">
        <v>304</v>
      </c>
      <c r="AW213" s="414">
        <f t="shared" si="78"/>
        <v>0</v>
      </c>
      <c r="AX213" s="412">
        <f t="shared" si="79"/>
        <v>0</v>
      </c>
      <c r="AY213" s="418">
        <f t="shared" si="80"/>
        <v>0</v>
      </c>
      <c r="AZ213" s="418">
        <f t="shared" si="81"/>
        <v>262902.96000000002</v>
      </c>
      <c r="BA213" s="418">
        <f t="shared" si="82"/>
        <v>0</v>
      </c>
      <c r="BB213" s="418">
        <f t="shared" si="83"/>
        <v>0</v>
      </c>
      <c r="BC213" s="419">
        <f t="shared" si="84"/>
        <v>262902.96000000002</v>
      </c>
      <c r="BD213" s="410" t="s">
        <v>1271</v>
      </c>
      <c r="BE213" s="423" t="s">
        <v>1272</v>
      </c>
      <c r="BF213" s="421"/>
    </row>
    <row r="214" spans="1:58" s="327" customFormat="1" ht="18" customHeight="1" x14ac:dyDescent="0.35">
      <c r="A214" s="660">
        <v>23</v>
      </c>
      <c r="B214" s="660" t="str">
        <f>VLOOKUP($A214,'Measure Level Adjustments Tab'!$A$5:$CL$272,6,FALSE)</f>
        <v>Retro-commissioning</v>
      </c>
      <c r="C214" s="659" t="s">
        <v>212</v>
      </c>
      <c r="D214" s="659" t="s">
        <v>1031</v>
      </c>
      <c r="E214" s="411">
        <f>VLOOKUP($A214,'Measure Level Adjustments Tab'!$A$5:$CL$272,13,FALSE)</f>
        <v>1</v>
      </c>
      <c r="F214" s="411" t="str">
        <f>VLOOKUP($A214,'Measure Level Adjustments Tab'!$A$5:$CL$272,11,FALSE)</f>
        <v>n/a</v>
      </c>
      <c r="G214" s="411">
        <f>VLOOKUP($A214,'Measure Level Adjustments Tab'!$A$5:$CL$272,14,FALSE)</f>
        <v>0</v>
      </c>
      <c r="H214" s="663">
        <f>VLOOKUP($A214,'Measure Level Adjustments Tab'!$A$5:$CL$272,54,FALSE)</f>
        <v>0</v>
      </c>
      <c r="I214" s="663">
        <f>VLOOKUP($A214,'Measure Level Adjustments Tab'!$A$5:$CL$272,55,FALSE)</f>
        <v>0</v>
      </c>
      <c r="J214" s="663">
        <f>VLOOKUP($A214,'Measure Level Adjustments Tab'!$A$5:$CL$272,56,FALSE)</f>
        <v>1</v>
      </c>
      <c r="K214" s="663">
        <f>VLOOKUP($A214,'Measure Level Adjustments Tab'!$A$5:$CL$272,57,FALSE)</f>
        <v>0</v>
      </c>
      <c r="L214" s="411" t="str">
        <f>VLOOKUP($A214,'Measure Level Adjustments Tab'!$A$5:$CL$272,12,FALSE)</f>
        <v>n/a</v>
      </c>
      <c r="M214" s="422"/>
      <c r="N214" s="662">
        <v>306816</v>
      </c>
      <c r="O214" s="662">
        <v>306816</v>
      </c>
      <c r="P214" s="662">
        <v>306816</v>
      </c>
      <c r="Q214" s="662">
        <v>306816</v>
      </c>
      <c r="R214" s="661">
        <f>VLOOKUP($A214,'Measure Level Adjustments Tab'!$A$5:$CL$272,46,FALSE)</f>
        <v>0.91400000000000003</v>
      </c>
      <c r="S214" s="661">
        <f>VLOOKUP($A214,'Measure Level Adjustments Tab'!$A$5:$CL$272,47,FALSE)</f>
        <v>0.91400000000000003</v>
      </c>
      <c r="T214" s="661">
        <f>VLOOKUP($A214,'Measure Level Adjustments Tab'!$A$5:$CL$272,48,FALSE)</f>
        <v>0.91400000000000003</v>
      </c>
      <c r="U214" s="661">
        <f>VLOOKUP($A214,'Measure Level Adjustments Tab'!$A$5:$CL$272,49,FALSE)</f>
        <v>0.91400000000000003</v>
      </c>
      <c r="V214" s="418">
        <f t="shared" si="67"/>
        <v>0</v>
      </c>
      <c r="W214" s="418">
        <f t="shared" si="68"/>
        <v>0</v>
      </c>
      <c r="X214" s="418">
        <f t="shared" si="69"/>
        <v>280429.82400000002</v>
      </c>
      <c r="Y214" s="418">
        <f t="shared" si="70"/>
        <v>0</v>
      </c>
      <c r="Z214" s="418">
        <f t="shared" si="71"/>
        <v>280429.82400000002</v>
      </c>
      <c r="AA214" s="410"/>
      <c r="AB214" s="422"/>
      <c r="AC214" s="415">
        <v>306816</v>
      </c>
      <c r="AD214" s="416"/>
      <c r="AE214" s="414">
        <f t="shared" si="72"/>
        <v>0</v>
      </c>
      <c r="AF214" s="412">
        <f t="shared" si="73"/>
        <v>0</v>
      </c>
      <c r="AG214" s="410"/>
      <c r="AH214" s="422"/>
      <c r="AI214" s="413">
        <v>306816</v>
      </c>
      <c r="AJ214" s="2669" t="s">
        <v>820</v>
      </c>
      <c r="AK214" s="414">
        <f t="shared" si="74"/>
        <v>0</v>
      </c>
      <c r="AL214" s="412">
        <f t="shared" si="75"/>
        <v>0</v>
      </c>
      <c r="AM214" s="410"/>
      <c r="AN214" s="422"/>
      <c r="AO214" s="413">
        <v>306816</v>
      </c>
      <c r="AP214" s="2669" t="s">
        <v>304</v>
      </c>
      <c r="AQ214" s="414">
        <f t="shared" si="76"/>
        <v>280429.82400000002</v>
      </c>
      <c r="AR214" s="412">
        <f t="shared" si="77"/>
        <v>0</v>
      </c>
      <c r="AS214" s="410"/>
      <c r="AT214" s="422"/>
      <c r="AU214" s="413">
        <f>VLOOKUP($A214,'Measure Level Adjustments Tab'!$A$5:$CL$272,53,FALSE)/U214</f>
        <v>306816</v>
      </c>
      <c r="AV214" s="2669" t="s">
        <v>304</v>
      </c>
      <c r="AW214" s="414">
        <f t="shared" si="78"/>
        <v>0</v>
      </c>
      <c r="AX214" s="412">
        <f t="shared" si="79"/>
        <v>0</v>
      </c>
      <c r="AY214" s="418">
        <f t="shared" si="80"/>
        <v>0</v>
      </c>
      <c r="AZ214" s="418">
        <f t="shared" si="81"/>
        <v>0</v>
      </c>
      <c r="BA214" s="418">
        <f t="shared" si="82"/>
        <v>280429.82400000002</v>
      </c>
      <c r="BB214" s="418">
        <f t="shared" si="83"/>
        <v>0</v>
      </c>
      <c r="BC214" s="419">
        <f t="shared" si="84"/>
        <v>280429.82400000002</v>
      </c>
      <c r="BD214" s="410" t="s">
        <v>1271</v>
      </c>
      <c r="BE214" s="423" t="s">
        <v>1272</v>
      </c>
      <c r="BF214" s="421"/>
    </row>
    <row r="215" spans="1:58" s="327" customFormat="1" ht="18" customHeight="1" x14ac:dyDescent="0.35">
      <c r="A215" s="660">
        <v>20</v>
      </c>
      <c r="B215" s="660" t="str">
        <f>VLOOKUP($A215,'Measure Level Adjustments Tab'!$A$5:$CL$272,6,FALSE)</f>
        <v>Retro-commissioning</v>
      </c>
      <c r="C215" s="659" t="s">
        <v>212</v>
      </c>
      <c r="D215" s="659" t="s">
        <v>1089</v>
      </c>
      <c r="E215" s="411">
        <f>VLOOKUP($A215,'Measure Level Adjustments Tab'!$A$5:$CL$272,13,FALSE)</f>
        <v>1</v>
      </c>
      <c r="F215" s="411" t="str">
        <f>VLOOKUP($A215,'Measure Level Adjustments Tab'!$A$5:$CL$272,11,FALSE)</f>
        <v>n/a</v>
      </c>
      <c r="G215" s="411">
        <f>VLOOKUP($A215,'Measure Level Adjustments Tab'!$A$5:$CL$272,14,FALSE)</f>
        <v>0</v>
      </c>
      <c r="H215" s="663">
        <f>VLOOKUP($A215,'Measure Level Adjustments Tab'!$A$5:$CL$272,54,FALSE)</f>
        <v>0</v>
      </c>
      <c r="I215" s="663">
        <f>VLOOKUP($A215,'Measure Level Adjustments Tab'!$A$5:$CL$272,55,FALSE)</f>
        <v>0</v>
      </c>
      <c r="J215" s="663">
        <f>VLOOKUP($A215,'Measure Level Adjustments Tab'!$A$5:$CL$272,56,FALSE)</f>
        <v>0</v>
      </c>
      <c r="K215" s="663">
        <f>VLOOKUP($A215,'Measure Level Adjustments Tab'!$A$5:$CL$272,57,FALSE)</f>
        <v>1</v>
      </c>
      <c r="L215" s="411" t="str">
        <f>VLOOKUP($A215,'Measure Level Adjustments Tab'!$A$5:$CL$272,12,FALSE)</f>
        <v>n/a</v>
      </c>
      <c r="M215" s="422"/>
      <c r="N215" s="662">
        <v>306816</v>
      </c>
      <c r="O215" s="662">
        <v>306816</v>
      </c>
      <c r="P215" s="662">
        <v>306816</v>
      </c>
      <c r="Q215" s="662">
        <v>306816</v>
      </c>
      <c r="R215" s="661">
        <f>VLOOKUP($A215,'Measure Level Adjustments Tab'!$A$5:$CL$272,46,FALSE)</f>
        <v>0.91400000000000003</v>
      </c>
      <c r="S215" s="661">
        <f>VLOOKUP($A215,'Measure Level Adjustments Tab'!$A$5:$CL$272,47,FALSE)</f>
        <v>0.91400000000000003</v>
      </c>
      <c r="T215" s="661">
        <f>VLOOKUP($A215,'Measure Level Adjustments Tab'!$A$5:$CL$272,48,FALSE)</f>
        <v>0.91400000000000003</v>
      </c>
      <c r="U215" s="661">
        <f>VLOOKUP($A215,'Measure Level Adjustments Tab'!$A$5:$CL$272,49,FALSE)</f>
        <v>0.91400000000000003</v>
      </c>
      <c r="V215" s="418">
        <f t="shared" si="67"/>
        <v>0</v>
      </c>
      <c r="W215" s="418">
        <f t="shared" si="68"/>
        <v>0</v>
      </c>
      <c r="X215" s="418">
        <f t="shared" si="69"/>
        <v>0</v>
      </c>
      <c r="Y215" s="418">
        <f t="shared" si="70"/>
        <v>280429.82400000002</v>
      </c>
      <c r="Z215" s="418">
        <f t="shared" si="71"/>
        <v>280429.82400000002</v>
      </c>
      <c r="AA215" s="410"/>
      <c r="AB215" s="422"/>
      <c r="AC215" s="415">
        <v>306816</v>
      </c>
      <c r="AD215" s="416"/>
      <c r="AE215" s="414">
        <f t="shared" si="72"/>
        <v>0</v>
      </c>
      <c r="AF215" s="412">
        <f t="shared" si="73"/>
        <v>0</v>
      </c>
      <c r="AG215" s="410"/>
      <c r="AH215" s="422"/>
      <c r="AI215" s="413">
        <v>306816</v>
      </c>
      <c r="AJ215" s="2669" t="s">
        <v>820</v>
      </c>
      <c r="AK215" s="414">
        <f t="shared" si="74"/>
        <v>0</v>
      </c>
      <c r="AL215" s="412">
        <f t="shared" si="75"/>
        <v>0</v>
      </c>
      <c r="AM215" s="410"/>
      <c r="AN215" s="422"/>
      <c r="AO215" s="413">
        <v>306816</v>
      </c>
      <c r="AP215" s="2669" t="s">
        <v>304</v>
      </c>
      <c r="AQ215" s="414">
        <f t="shared" si="76"/>
        <v>0</v>
      </c>
      <c r="AR215" s="412">
        <f t="shared" si="77"/>
        <v>0</v>
      </c>
      <c r="AS215" s="410"/>
      <c r="AT215" s="422"/>
      <c r="AU215" s="413">
        <f>VLOOKUP($A215,'Measure Level Adjustments Tab'!$A$5:$CL$272,53,FALSE)/U215</f>
        <v>306816</v>
      </c>
      <c r="AV215" s="2669" t="s">
        <v>304</v>
      </c>
      <c r="AW215" s="414">
        <f t="shared" si="78"/>
        <v>280429.82400000002</v>
      </c>
      <c r="AX215" s="412">
        <f t="shared" si="79"/>
        <v>0</v>
      </c>
      <c r="AY215" s="418">
        <f t="shared" si="80"/>
        <v>0</v>
      </c>
      <c r="AZ215" s="418">
        <f t="shared" si="81"/>
        <v>0</v>
      </c>
      <c r="BA215" s="418">
        <f t="shared" si="82"/>
        <v>0</v>
      </c>
      <c r="BB215" s="418">
        <f t="shared" si="83"/>
        <v>280429.82400000002</v>
      </c>
      <c r="BC215" s="419">
        <f t="shared" si="84"/>
        <v>280429.82400000002</v>
      </c>
      <c r="BD215" s="410" t="s">
        <v>1271</v>
      </c>
      <c r="BE215" s="423" t="s">
        <v>1272</v>
      </c>
      <c r="BF215" s="421"/>
    </row>
    <row r="216" spans="1:58" s="327" customFormat="1" ht="18" customHeight="1" x14ac:dyDescent="0.35">
      <c r="A216" s="660">
        <v>26</v>
      </c>
      <c r="B216" s="660" t="str">
        <f>VLOOKUP($A216,'Measure Level Adjustments Tab'!$A$5:$CL$272,6,FALSE)</f>
        <v>Retro-commissioning</v>
      </c>
      <c r="C216" s="659" t="s">
        <v>1090</v>
      </c>
      <c r="D216" s="659" t="s">
        <v>1091</v>
      </c>
      <c r="E216" s="411">
        <f>VLOOKUP($A216,'Measure Level Adjustments Tab'!$A$5:$CL$272,13,FALSE)</f>
        <v>1</v>
      </c>
      <c r="F216" s="411" t="str">
        <f>VLOOKUP($A216,'Measure Level Adjustments Tab'!$A$5:$CL$272,11,FALSE)</f>
        <v>n/a</v>
      </c>
      <c r="G216" s="411">
        <f>VLOOKUP($A216,'Measure Level Adjustments Tab'!$A$5:$CL$272,14,FALSE)</f>
        <v>0</v>
      </c>
      <c r="H216" s="663">
        <f>VLOOKUP($A216,'Measure Level Adjustments Tab'!$A$5:$CL$272,54,FALSE)</f>
        <v>1</v>
      </c>
      <c r="I216" s="663">
        <f>VLOOKUP($A216,'Measure Level Adjustments Tab'!$A$5:$CL$272,55,FALSE)</f>
        <v>0</v>
      </c>
      <c r="J216" s="663">
        <f>VLOOKUP($A216,'Measure Level Adjustments Tab'!$A$5:$CL$272,56,FALSE)</f>
        <v>0</v>
      </c>
      <c r="K216" s="663">
        <f>VLOOKUP($A216,'Measure Level Adjustments Tab'!$A$5:$CL$272,57,FALSE)</f>
        <v>0</v>
      </c>
      <c r="L216" s="411" t="str">
        <f>VLOOKUP($A216,'Measure Level Adjustments Tab'!$A$5:$CL$272,12,FALSE)</f>
        <v>n/a</v>
      </c>
      <c r="M216" s="422"/>
      <c r="N216" s="662">
        <v>47940</v>
      </c>
      <c r="O216" s="662">
        <v>47940</v>
      </c>
      <c r="P216" s="662">
        <v>47940</v>
      </c>
      <c r="Q216" s="662">
        <v>47940</v>
      </c>
      <c r="R216" s="661">
        <f>VLOOKUP($A216,'Measure Level Adjustments Tab'!$A$5:$CL$272,46,FALSE)</f>
        <v>0.91400000000000003</v>
      </c>
      <c r="S216" s="661">
        <f>VLOOKUP($A216,'Measure Level Adjustments Tab'!$A$5:$CL$272,47,FALSE)</f>
        <v>0.91400000000000003</v>
      </c>
      <c r="T216" s="661">
        <f>VLOOKUP($A216,'Measure Level Adjustments Tab'!$A$5:$CL$272,48,FALSE)</f>
        <v>0.91400000000000003</v>
      </c>
      <c r="U216" s="661">
        <f>VLOOKUP($A216,'Measure Level Adjustments Tab'!$A$5:$CL$272,49,FALSE)</f>
        <v>0.91400000000000003</v>
      </c>
      <c r="V216" s="418">
        <f t="shared" si="67"/>
        <v>43817.16</v>
      </c>
      <c r="W216" s="418">
        <f t="shared" si="68"/>
        <v>0</v>
      </c>
      <c r="X216" s="418">
        <f t="shared" si="69"/>
        <v>0</v>
      </c>
      <c r="Y216" s="418">
        <f t="shared" si="70"/>
        <v>0</v>
      </c>
      <c r="Z216" s="418">
        <f t="shared" si="71"/>
        <v>43817.16</v>
      </c>
      <c r="AA216" s="410"/>
      <c r="AB216" s="422"/>
      <c r="AC216" s="415">
        <v>47940</v>
      </c>
      <c r="AD216" s="416"/>
      <c r="AE216" s="414">
        <f t="shared" si="72"/>
        <v>43817.16</v>
      </c>
      <c r="AF216" s="412">
        <f t="shared" si="73"/>
        <v>0</v>
      </c>
      <c r="AG216" s="410"/>
      <c r="AH216" s="422"/>
      <c r="AI216" s="413">
        <v>47940</v>
      </c>
      <c r="AJ216" s="2669" t="s">
        <v>820</v>
      </c>
      <c r="AK216" s="414">
        <f t="shared" si="74"/>
        <v>0</v>
      </c>
      <c r="AL216" s="412">
        <f t="shared" si="75"/>
        <v>0</v>
      </c>
      <c r="AM216" s="410"/>
      <c r="AN216" s="422"/>
      <c r="AO216" s="413">
        <v>47940</v>
      </c>
      <c r="AP216" s="2669" t="s">
        <v>304</v>
      </c>
      <c r="AQ216" s="414">
        <f t="shared" si="76"/>
        <v>0</v>
      </c>
      <c r="AR216" s="412">
        <f t="shared" si="77"/>
        <v>0</v>
      </c>
      <c r="AS216" s="410"/>
      <c r="AT216" s="422"/>
      <c r="AU216" s="413">
        <f>VLOOKUP($A216,'Measure Level Adjustments Tab'!$A$5:$CL$272,53,FALSE)/U216</f>
        <v>47940</v>
      </c>
      <c r="AV216" s="2669" t="s">
        <v>304</v>
      </c>
      <c r="AW216" s="414">
        <f t="shared" si="78"/>
        <v>0</v>
      </c>
      <c r="AX216" s="412">
        <f t="shared" si="79"/>
        <v>0</v>
      </c>
      <c r="AY216" s="418">
        <f t="shared" si="80"/>
        <v>43817.16</v>
      </c>
      <c r="AZ216" s="418">
        <f t="shared" si="81"/>
        <v>0</v>
      </c>
      <c r="BA216" s="418">
        <f t="shared" si="82"/>
        <v>0</v>
      </c>
      <c r="BB216" s="418">
        <f t="shared" si="83"/>
        <v>0</v>
      </c>
      <c r="BC216" s="419">
        <f t="shared" si="84"/>
        <v>43817.16</v>
      </c>
      <c r="BD216" s="410" t="s">
        <v>1271</v>
      </c>
      <c r="BE216" s="423" t="s">
        <v>1272</v>
      </c>
      <c r="BF216" s="421"/>
    </row>
    <row r="217" spans="1:58" s="327" customFormat="1" ht="18" customHeight="1" x14ac:dyDescent="0.35">
      <c r="A217" s="660">
        <v>27</v>
      </c>
      <c r="B217" s="660" t="str">
        <f>VLOOKUP($A217,'Measure Level Adjustments Tab'!$A$5:$CL$272,6,FALSE)</f>
        <v>Retro-commissioning</v>
      </c>
      <c r="C217" s="659" t="s">
        <v>1090</v>
      </c>
      <c r="D217" s="659" t="s">
        <v>1092</v>
      </c>
      <c r="E217" s="411">
        <f>VLOOKUP($A217,'Measure Level Adjustments Tab'!$A$5:$CL$272,13,FALSE)</f>
        <v>1</v>
      </c>
      <c r="F217" s="411" t="str">
        <f>VLOOKUP($A217,'Measure Level Adjustments Tab'!$A$5:$CL$272,11,FALSE)</f>
        <v>n/a</v>
      </c>
      <c r="G217" s="411">
        <f>VLOOKUP($A217,'Measure Level Adjustments Tab'!$A$5:$CL$272,14,FALSE)</f>
        <v>0</v>
      </c>
      <c r="H217" s="663">
        <f>VLOOKUP($A217,'Measure Level Adjustments Tab'!$A$5:$CL$272,54,FALSE)</f>
        <v>0</v>
      </c>
      <c r="I217" s="663">
        <f>VLOOKUP($A217,'Measure Level Adjustments Tab'!$A$5:$CL$272,55,FALSE)</f>
        <v>1</v>
      </c>
      <c r="J217" s="663">
        <f>VLOOKUP($A217,'Measure Level Adjustments Tab'!$A$5:$CL$272,56,FALSE)</f>
        <v>0</v>
      </c>
      <c r="K217" s="663">
        <f>VLOOKUP($A217,'Measure Level Adjustments Tab'!$A$5:$CL$272,57,FALSE)</f>
        <v>0</v>
      </c>
      <c r="L217" s="411" t="str">
        <f>VLOOKUP($A217,'Measure Level Adjustments Tab'!$A$5:$CL$272,12,FALSE)</f>
        <v>n/a</v>
      </c>
      <c r="M217" s="422"/>
      <c r="N217" s="662">
        <v>47940</v>
      </c>
      <c r="O217" s="662">
        <v>47940</v>
      </c>
      <c r="P217" s="662">
        <v>47940</v>
      </c>
      <c r="Q217" s="662">
        <v>47940</v>
      </c>
      <c r="R217" s="661">
        <f>VLOOKUP($A217,'Measure Level Adjustments Tab'!$A$5:$CL$272,46,FALSE)</f>
        <v>0.91400000000000003</v>
      </c>
      <c r="S217" s="661">
        <f>VLOOKUP($A217,'Measure Level Adjustments Tab'!$A$5:$CL$272,47,FALSE)</f>
        <v>0.91400000000000003</v>
      </c>
      <c r="T217" s="661">
        <f>VLOOKUP($A217,'Measure Level Adjustments Tab'!$A$5:$CL$272,48,FALSE)</f>
        <v>0.91400000000000003</v>
      </c>
      <c r="U217" s="661">
        <f>VLOOKUP($A217,'Measure Level Adjustments Tab'!$A$5:$CL$272,49,FALSE)</f>
        <v>0.91400000000000003</v>
      </c>
      <c r="V217" s="418">
        <f t="shared" si="67"/>
        <v>0</v>
      </c>
      <c r="W217" s="418">
        <f t="shared" si="68"/>
        <v>43817.16</v>
      </c>
      <c r="X217" s="418">
        <f t="shared" si="69"/>
        <v>0</v>
      </c>
      <c r="Y217" s="418">
        <f t="shared" si="70"/>
        <v>0</v>
      </c>
      <c r="Z217" s="418">
        <f t="shared" si="71"/>
        <v>43817.16</v>
      </c>
      <c r="AA217" s="410"/>
      <c r="AB217" s="422"/>
      <c r="AC217" s="415">
        <v>47940</v>
      </c>
      <c r="AD217" s="416"/>
      <c r="AE217" s="414">
        <f t="shared" si="72"/>
        <v>0</v>
      </c>
      <c r="AF217" s="412">
        <f t="shared" si="73"/>
        <v>0</v>
      </c>
      <c r="AG217" s="410"/>
      <c r="AH217" s="422"/>
      <c r="AI217" s="413">
        <v>47940</v>
      </c>
      <c r="AJ217" s="2669" t="s">
        <v>820</v>
      </c>
      <c r="AK217" s="414">
        <f t="shared" si="74"/>
        <v>43817.16</v>
      </c>
      <c r="AL217" s="412">
        <f t="shared" si="75"/>
        <v>0</v>
      </c>
      <c r="AM217" s="410"/>
      <c r="AN217" s="422"/>
      <c r="AO217" s="413">
        <v>47940</v>
      </c>
      <c r="AP217" s="2669" t="s">
        <v>304</v>
      </c>
      <c r="AQ217" s="414">
        <f t="shared" si="76"/>
        <v>0</v>
      </c>
      <c r="AR217" s="412">
        <f t="shared" si="77"/>
        <v>0</v>
      </c>
      <c r="AS217" s="410"/>
      <c r="AT217" s="422"/>
      <c r="AU217" s="413">
        <f>VLOOKUP($A217,'Measure Level Adjustments Tab'!$A$5:$CL$272,53,FALSE)/U217</f>
        <v>47940</v>
      </c>
      <c r="AV217" s="2669" t="s">
        <v>304</v>
      </c>
      <c r="AW217" s="414">
        <f t="shared" si="78"/>
        <v>0</v>
      </c>
      <c r="AX217" s="412">
        <f t="shared" si="79"/>
        <v>0</v>
      </c>
      <c r="AY217" s="418">
        <f t="shared" si="80"/>
        <v>0</v>
      </c>
      <c r="AZ217" s="418">
        <f t="shared" si="81"/>
        <v>43817.16</v>
      </c>
      <c r="BA217" s="418">
        <f t="shared" si="82"/>
        <v>0</v>
      </c>
      <c r="BB217" s="418">
        <f t="shared" si="83"/>
        <v>0</v>
      </c>
      <c r="BC217" s="419">
        <f t="shared" si="84"/>
        <v>43817.16</v>
      </c>
      <c r="BD217" s="410" t="s">
        <v>1271</v>
      </c>
      <c r="BE217" s="423" t="s">
        <v>1272</v>
      </c>
      <c r="BF217" s="421"/>
    </row>
    <row r="218" spans="1:58" s="327" customFormat="1" ht="18" customHeight="1" x14ac:dyDescent="0.35">
      <c r="A218" s="660">
        <v>28</v>
      </c>
      <c r="B218" s="660" t="str">
        <f>VLOOKUP($A218,'Measure Level Adjustments Tab'!$A$5:$CL$272,6,FALSE)</f>
        <v>Retro-commissioning</v>
      </c>
      <c r="C218" s="659" t="s">
        <v>1090</v>
      </c>
      <c r="D218" s="659" t="s">
        <v>1093</v>
      </c>
      <c r="E218" s="411">
        <f>VLOOKUP($A218,'Measure Level Adjustments Tab'!$A$5:$CL$272,13,FALSE)</f>
        <v>1</v>
      </c>
      <c r="F218" s="411" t="str">
        <f>VLOOKUP($A218,'Measure Level Adjustments Tab'!$A$5:$CL$272,11,FALSE)</f>
        <v>n/a</v>
      </c>
      <c r="G218" s="411">
        <f>VLOOKUP($A218,'Measure Level Adjustments Tab'!$A$5:$CL$272,14,FALSE)</f>
        <v>0</v>
      </c>
      <c r="H218" s="663">
        <f>VLOOKUP($A218,'Measure Level Adjustments Tab'!$A$5:$CL$272,54,FALSE)</f>
        <v>0</v>
      </c>
      <c r="I218" s="663">
        <f>VLOOKUP($A218,'Measure Level Adjustments Tab'!$A$5:$CL$272,55,FALSE)</f>
        <v>0</v>
      </c>
      <c r="J218" s="663">
        <f>VLOOKUP($A218,'Measure Level Adjustments Tab'!$A$5:$CL$272,56,FALSE)</f>
        <v>1</v>
      </c>
      <c r="K218" s="663">
        <f>VLOOKUP($A218,'Measure Level Adjustments Tab'!$A$5:$CL$272,57,FALSE)</f>
        <v>0</v>
      </c>
      <c r="L218" s="411" t="str">
        <f>VLOOKUP($A218,'Measure Level Adjustments Tab'!$A$5:$CL$272,12,FALSE)</f>
        <v>n/a</v>
      </c>
      <c r="M218" s="422"/>
      <c r="N218" s="662">
        <v>47940</v>
      </c>
      <c r="O218" s="662">
        <v>47940</v>
      </c>
      <c r="P218" s="662">
        <v>47940</v>
      </c>
      <c r="Q218" s="662">
        <v>47940</v>
      </c>
      <c r="R218" s="661">
        <f>VLOOKUP($A218,'Measure Level Adjustments Tab'!$A$5:$CL$272,46,FALSE)</f>
        <v>0.91400000000000003</v>
      </c>
      <c r="S218" s="661">
        <f>VLOOKUP($A218,'Measure Level Adjustments Tab'!$A$5:$CL$272,47,FALSE)</f>
        <v>0.91400000000000003</v>
      </c>
      <c r="T218" s="661">
        <f>VLOOKUP($A218,'Measure Level Adjustments Tab'!$A$5:$CL$272,48,FALSE)</f>
        <v>0.91400000000000003</v>
      </c>
      <c r="U218" s="661">
        <f>VLOOKUP($A218,'Measure Level Adjustments Tab'!$A$5:$CL$272,49,FALSE)</f>
        <v>0.91400000000000003</v>
      </c>
      <c r="V218" s="418">
        <f t="shared" si="67"/>
        <v>0</v>
      </c>
      <c r="W218" s="418">
        <f t="shared" si="68"/>
        <v>0</v>
      </c>
      <c r="X218" s="418">
        <f t="shared" si="69"/>
        <v>43817.16</v>
      </c>
      <c r="Y218" s="418">
        <f t="shared" si="70"/>
        <v>0</v>
      </c>
      <c r="Z218" s="418">
        <f t="shared" si="71"/>
        <v>43817.16</v>
      </c>
      <c r="AA218" s="410"/>
      <c r="AB218" s="422"/>
      <c r="AC218" s="415">
        <v>47940</v>
      </c>
      <c r="AD218" s="416"/>
      <c r="AE218" s="414">
        <f t="shared" si="72"/>
        <v>0</v>
      </c>
      <c r="AF218" s="412">
        <f t="shared" si="73"/>
        <v>0</v>
      </c>
      <c r="AG218" s="410"/>
      <c r="AH218" s="422"/>
      <c r="AI218" s="413">
        <v>47940</v>
      </c>
      <c r="AJ218" s="2669" t="s">
        <v>820</v>
      </c>
      <c r="AK218" s="414">
        <f t="shared" si="74"/>
        <v>0</v>
      </c>
      <c r="AL218" s="412">
        <f t="shared" si="75"/>
        <v>0</v>
      </c>
      <c r="AM218" s="410"/>
      <c r="AN218" s="422"/>
      <c r="AO218" s="413">
        <v>47940</v>
      </c>
      <c r="AP218" s="2669" t="s">
        <v>304</v>
      </c>
      <c r="AQ218" s="414">
        <f t="shared" si="76"/>
        <v>43817.16</v>
      </c>
      <c r="AR218" s="412">
        <f t="shared" si="77"/>
        <v>0</v>
      </c>
      <c r="AS218" s="410"/>
      <c r="AT218" s="422"/>
      <c r="AU218" s="413">
        <f>VLOOKUP($A218,'Measure Level Adjustments Tab'!$A$5:$CL$272,53,FALSE)/U218</f>
        <v>47940</v>
      </c>
      <c r="AV218" s="2669" t="s">
        <v>304</v>
      </c>
      <c r="AW218" s="414">
        <f t="shared" si="78"/>
        <v>0</v>
      </c>
      <c r="AX218" s="412">
        <f t="shared" si="79"/>
        <v>0</v>
      </c>
      <c r="AY218" s="418">
        <f t="shared" si="80"/>
        <v>0</v>
      </c>
      <c r="AZ218" s="418">
        <f t="shared" si="81"/>
        <v>0</v>
      </c>
      <c r="BA218" s="418">
        <f t="shared" si="82"/>
        <v>43817.16</v>
      </c>
      <c r="BB218" s="418">
        <f t="shared" si="83"/>
        <v>0</v>
      </c>
      <c r="BC218" s="419">
        <f t="shared" si="84"/>
        <v>43817.16</v>
      </c>
      <c r="BD218" s="410" t="s">
        <v>1271</v>
      </c>
      <c r="BE218" s="423" t="s">
        <v>1272</v>
      </c>
      <c r="BF218" s="421"/>
    </row>
    <row r="219" spans="1:58" s="327" customFormat="1" ht="18" customHeight="1" x14ac:dyDescent="0.35">
      <c r="A219" s="660">
        <v>29</v>
      </c>
      <c r="B219" s="660" t="str">
        <f>VLOOKUP($A219,'Measure Level Adjustments Tab'!$A$5:$CL$272,6,FALSE)</f>
        <v>Retro-commissioning</v>
      </c>
      <c r="C219" s="659" t="s">
        <v>1090</v>
      </c>
      <c r="D219" s="659" t="s">
        <v>1094</v>
      </c>
      <c r="E219" s="411">
        <f>VLOOKUP($A219,'Measure Level Adjustments Tab'!$A$5:$CL$272,13,FALSE)</f>
        <v>1</v>
      </c>
      <c r="F219" s="411" t="str">
        <f>VLOOKUP($A219,'Measure Level Adjustments Tab'!$A$5:$CL$272,11,FALSE)</f>
        <v>n/a</v>
      </c>
      <c r="G219" s="411">
        <f>VLOOKUP($A219,'Measure Level Adjustments Tab'!$A$5:$CL$272,14,FALSE)</f>
        <v>0</v>
      </c>
      <c r="H219" s="663">
        <f>VLOOKUP($A219,'Measure Level Adjustments Tab'!$A$5:$CL$272,54,FALSE)</f>
        <v>0</v>
      </c>
      <c r="I219" s="663">
        <f>VLOOKUP($A219,'Measure Level Adjustments Tab'!$A$5:$CL$272,55,FALSE)</f>
        <v>0</v>
      </c>
      <c r="J219" s="663">
        <f>VLOOKUP($A219,'Measure Level Adjustments Tab'!$A$5:$CL$272,56,FALSE)</f>
        <v>0</v>
      </c>
      <c r="K219" s="663">
        <f>VLOOKUP($A219,'Measure Level Adjustments Tab'!$A$5:$CL$272,57,FALSE)</f>
        <v>1</v>
      </c>
      <c r="L219" s="411" t="str">
        <f>VLOOKUP($A219,'Measure Level Adjustments Tab'!$A$5:$CL$272,12,FALSE)</f>
        <v>n/a</v>
      </c>
      <c r="M219" s="422"/>
      <c r="N219" s="662">
        <v>47940</v>
      </c>
      <c r="O219" s="662">
        <v>47940</v>
      </c>
      <c r="P219" s="662">
        <v>47940</v>
      </c>
      <c r="Q219" s="662">
        <v>47940</v>
      </c>
      <c r="R219" s="661">
        <f>VLOOKUP($A219,'Measure Level Adjustments Tab'!$A$5:$CL$272,46,FALSE)</f>
        <v>0.91400000000000003</v>
      </c>
      <c r="S219" s="661">
        <f>VLOOKUP($A219,'Measure Level Adjustments Tab'!$A$5:$CL$272,47,FALSE)</f>
        <v>0.91400000000000003</v>
      </c>
      <c r="T219" s="661">
        <f>VLOOKUP($A219,'Measure Level Adjustments Tab'!$A$5:$CL$272,48,FALSE)</f>
        <v>0.91400000000000003</v>
      </c>
      <c r="U219" s="661">
        <f>VLOOKUP($A219,'Measure Level Adjustments Tab'!$A$5:$CL$272,49,FALSE)</f>
        <v>0.91400000000000003</v>
      </c>
      <c r="V219" s="418">
        <f t="shared" si="67"/>
        <v>0</v>
      </c>
      <c r="W219" s="418">
        <f t="shared" si="68"/>
        <v>0</v>
      </c>
      <c r="X219" s="418">
        <f t="shared" si="69"/>
        <v>0</v>
      </c>
      <c r="Y219" s="418">
        <f t="shared" si="70"/>
        <v>43817.16</v>
      </c>
      <c r="Z219" s="418">
        <f t="shared" si="71"/>
        <v>43817.16</v>
      </c>
      <c r="AA219" s="410"/>
      <c r="AB219" s="422"/>
      <c r="AC219" s="415">
        <v>47940</v>
      </c>
      <c r="AD219" s="416"/>
      <c r="AE219" s="414">
        <f t="shared" si="72"/>
        <v>0</v>
      </c>
      <c r="AF219" s="412">
        <f t="shared" si="73"/>
        <v>0</v>
      </c>
      <c r="AG219" s="410"/>
      <c r="AH219" s="422"/>
      <c r="AI219" s="413">
        <v>47940</v>
      </c>
      <c r="AJ219" s="2669" t="s">
        <v>820</v>
      </c>
      <c r="AK219" s="414">
        <f t="shared" si="74"/>
        <v>0</v>
      </c>
      <c r="AL219" s="412">
        <f t="shared" si="75"/>
        <v>0</v>
      </c>
      <c r="AM219" s="410"/>
      <c r="AN219" s="422"/>
      <c r="AO219" s="413">
        <v>47940</v>
      </c>
      <c r="AP219" s="2669" t="s">
        <v>304</v>
      </c>
      <c r="AQ219" s="414">
        <f t="shared" si="76"/>
        <v>0</v>
      </c>
      <c r="AR219" s="412">
        <f t="shared" si="77"/>
        <v>0</v>
      </c>
      <c r="AS219" s="410"/>
      <c r="AT219" s="422"/>
      <c r="AU219" s="413">
        <f>VLOOKUP($A219,'Measure Level Adjustments Tab'!$A$5:$CL$272,53,FALSE)/U219</f>
        <v>47940</v>
      </c>
      <c r="AV219" s="2669" t="s">
        <v>304</v>
      </c>
      <c r="AW219" s="414">
        <f t="shared" si="78"/>
        <v>43817.16</v>
      </c>
      <c r="AX219" s="412">
        <f t="shared" si="79"/>
        <v>0</v>
      </c>
      <c r="AY219" s="418">
        <f t="shared" si="80"/>
        <v>0</v>
      </c>
      <c r="AZ219" s="418">
        <f t="shared" si="81"/>
        <v>0</v>
      </c>
      <c r="BA219" s="418">
        <f t="shared" si="82"/>
        <v>0</v>
      </c>
      <c r="BB219" s="418">
        <f t="shared" si="83"/>
        <v>43817.16</v>
      </c>
      <c r="BC219" s="419">
        <f t="shared" si="84"/>
        <v>43817.16</v>
      </c>
      <c r="BD219" s="410" t="s">
        <v>1271</v>
      </c>
      <c r="BE219" s="423" t="s">
        <v>1272</v>
      </c>
      <c r="BF219" s="421"/>
    </row>
    <row r="220" spans="1:58" s="327" customFormat="1" ht="18" customHeight="1" x14ac:dyDescent="0.35">
      <c r="A220" s="660"/>
      <c r="B220" s="660"/>
      <c r="C220" s="659"/>
      <c r="D220" s="659" t="e">
        <f>#REF!</f>
        <v>#REF!</v>
      </c>
      <c r="E220" s="411">
        <v>0</v>
      </c>
      <c r="F220" s="411" t="e">
        <f>VLOOKUP($A220,'Measure Level Adjustments Tab'!$A$5:$CL$272,11,FALSE)</f>
        <v>#N/A</v>
      </c>
      <c r="G220" s="411" t="e">
        <f>VLOOKUP($A220,'Measure Level Adjustments Tab'!$A$5:$CL$272,14,FALSE)</f>
        <v>#N/A</v>
      </c>
      <c r="H220" s="663"/>
      <c r="I220" s="663"/>
      <c r="J220" s="663"/>
      <c r="K220" s="663"/>
      <c r="L220" s="411"/>
      <c r="M220" s="422"/>
      <c r="N220" s="662"/>
      <c r="O220" s="662"/>
      <c r="P220" s="662"/>
      <c r="Q220" s="662"/>
      <c r="R220" s="661"/>
      <c r="S220" s="661"/>
      <c r="T220" s="661"/>
      <c r="U220" s="661"/>
      <c r="V220" s="418">
        <f>'Portfolio Summary'!$O$26</f>
        <v>-441008.82304895925</v>
      </c>
      <c r="W220" s="418">
        <f>'Portfolio Summary'!$O$26</f>
        <v>-441008.82304895925</v>
      </c>
      <c r="X220" s="418">
        <f>'Portfolio Summary'!$O$26</f>
        <v>-441008.82304895925</v>
      </c>
      <c r="Y220" s="418">
        <f>'Portfolio Summary'!$O$26</f>
        <v>-441008.82304895925</v>
      </c>
      <c r="Z220" s="418">
        <f t="shared" si="71"/>
        <v>-1764035.292195837</v>
      </c>
      <c r="AA220" s="410"/>
      <c r="AB220" s="422"/>
      <c r="AC220" s="415"/>
      <c r="AD220" s="416"/>
      <c r="AE220" s="414"/>
      <c r="AF220" s="412"/>
      <c r="AG220" s="410"/>
      <c r="AH220" s="422"/>
      <c r="AI220" s="413"/>
      <c r="AJ220" s="2669"/>
      <c r="AK220" s="414"/>
      <c r="AL220" s="412"/>
      <c r="AM220" s="410"/>
      <c r="AN220" s="422"/>
      <c r="AO220" s="413"/>
      <c r="AP220" s="2669"/>
      <c r="AQ220" s="414"/>
      <c r="AR220" s="412"/>
      <c r="AS220" s="410"/>
      <c r="AT220" s="422"/>
      <c r="AU220" s="413"/>
      <c r="AV220" s="2669"/>
      <c r="AW220" s="414"/>
      <c r="AX220" s="412"/>
      <c r="AY220" s="418">
        <f t="shared" ref="AY220" si="85">IF(E220=1,AE220,V220)</f>
        <v>-441008.82304895925</v>
      </c>
      <c r="AZ220" s="418">
        <f t="shared" ref="AZ220" si="86">IF(E220=1,AK220,W220)</f>
        <v>-441008.82304895925</v>
      </c>
      <c r="BA220" s="418">
        <f t="shared" ref="BA220" si="87">IF(E220=1,AQ220,X220)</f>
        <v>-441008.82304895925</v>
      </c>
      <c r="BB220" s="418">
        <f t="shared" ref="BB220" si="88">IF(E220=1,AW220,Y220)</f>
        <v>-441008.82304895925</v>
      </c>
      <c r="BC220" s="419">
        <f t="shared" ref="BC220" si="89">AY220+AZ220+BA220+BB220</f>
        <v>-1764035.292195837</v>
      </c>
      <c r="BD220" s="410"/>
      <c r="BE220" s="423"/>
      <c r="BF220" s="421"/>
    </row>
    <row r="221" spans="1:58" ht="18" customHeight="1" x14ac:dyDescent="0.35">
      <c r="A221" s="660"/>
      <c r="B221" s="660"/>
      <c r="C221" s="599"/>
      <c r="D221" s="599"/>
      <c r="E221" s="411"/>
      <c r="F221" s="411"/>
      <c r="G221" s="411"/>
      <c r="H221" s="663"/>
      <c r="I221" s="663"/>
      <c r="J221" s="663"/>
      <c r="K221" s="663"/>
      <c r="L221" s="411"/>
      <c r="M221" s="422"/>
      <c r="N221" s="662"/>
      <c r="O221" s="662"/>
      <c r="P221" s="662"/>
      <c r="Q221" s="662"/>
      <c r="R221" s="661"/>
      <c r="S221" s="661"/>
      <c r="T221" s="661"/>
      <c r="U221" s="661"/>
      <c r="V221" s="418"/>
      <c r="W221" s="418"/>
      <c r="X221" s="418"/>
      <c r="Y221" s="418"/>
      <c r="Z221" s="418"/>
      <c r="AA221" s="410"/>
      <c r="AB221" s="422"/>
      <c r="AC221" s="415"/>
      <c r="AD221" s="416"/>
      <c r="AE221" s="414"/>
      <c r="AF221" s="412"/>
      <c r="AG221" s="410"/>
      <c r="AH221" s="422"/>
      <c r="AI221" s="413"/>
      <c r="AJ221" s="416"/>
      <c r="AK221" s="414"/>
      <c r="AL221" s="412"/>
      <c r="AM221" s="410"/>
      <c r="AN221" s="422"/>
      <c r="AO221" s="413"/>
      <c r="AP221" s="416"/>
      <c r="AQ221" s="414"/>
      <c r="AR221" s="412"/>
      <c r="AS221" s="410"/>
      <c r="AT221" s="422"/>
      <c r="AU221" s="413"/>
      <c r="AV221" s="416"/>
      <c r="AW221" s="414"/>
      <c r="AX221" s="412"/>
      <c r="AY221" s="418"/>
      <c r="AZ221" s="418"/>
      <c r="BA221" s="418"/>
      <c r="BB221" s="418"/>
      <c r="BC221" s="419"/>
      <c r="BD221" s="410"/>
      <c r="BE221" s="423"/>
    </row>
    <row r="222" spans="1:58" ht="18" customHeight="1" x14ac:dyDescent="0.35">
      <c r="A222" s="660"/>
      <c r="B222" s="660"/>
      <c r="C222" s="599"/>
      <c r="D222" s="599"/>
      <c r="E222" s="411"/>
      <c r="F222" s="411"/>
      <c r="G222" s="411"/>
      <c r="H222" s="663"/>
      <c r="I222" s="663"/>
      <c r="J222" s="663"/>
      <c r="K222" s="663"/>
      <c r="L222" s="411"/>
      <c r="M222" s="422"/>
      <c r="N222" s="662"/>
      <c r="O222" s="662"/>
      <c r="P222" s="662"/>
      <c r="Q222" s="662"/>
      <c r="R222" s="661"/>
      <c r="S222" s="661"/>
      <c r="T222" s="661"/>
      <c r="U222" s="661"/>
      <c r="V222" s="418"/>
      <c r="W222" s="418"/>
      <c r="X222" s="418"/>
      <c r="Y222" s="418"/>
      <c r="Z222" s="418"/>
      <c r="AA222" s="410"/>
      <c r="AB222" s="422"/>
      <c r="AC222" s="415"/>
      <c r="AD222" s="416"/>
      <c r="AE222" s="414"/>
      <c r="AF222" s="412"/>
      <c r="AG222" s="410"/>
      <c r="AH222" s="422"/>
      <c r="AI222" s="413"/>
      <c r="AJ222" s="416"/>
      <c r="AK222" s="414"/>
      <c r="AL222" s="412"/>
      <c r="AM222" s="410"/>
      <c r="AN222" s="422"/>
      <c r="AO222" s="413"/>
      <c r="AP222" s="416"/>
      <c r="AQ222" s="414"/>
      <c r="AR222" s="412"/>
      <c r="AS222" s="410"/>
      <c r="AT222" s="422"/>
      <c r="AU222" s="413"/>
      <c r="AV222" s="416"/>
      <c r="AW222" s="414"/>
      <c r="AX222" s="412"/>
      <c r="AY222" s="418"/>
      <c r="AZ222" s="418"/>
      <c r="BA222" s="418"/>
      <c r="BB222" s="418"/>
      <c r="BC222" s="419"/>
      <c r="BD222" s="410"/>
      <c r="BE222" s="423"/>
    </row>
    <row r="223" spans="1:58" ht="18" customHeight="1" x14ac:dyDescent="0.35">
      <c r="A223" s="660"/>
      <c r="B223" s="660"/>
      <c r="C223" s="599"/>
      <c r="D223" s="599"/>
      <c r="E223" s="411"/>
      <c r="F223" s="411"/>
      <c r="G223" s="411"/>
      <c r="H223" s="663"/>
      <c r="I223" s="663"/>
      <c r="J223" s="663"/>
      <c r="K223" s="663"/>
      <c r="L223" s="411"/>
      <c r="M223" s="422"/>
      <c r="N223" s="662"/>
      <c r="O223" s="662"/>
      <c r="P223" s="662"/>
      <c r="Q223" s="662"/>
      <c r="R223" s="661"/>
      <c r="S223" s="661"/>
      <c r="T223" s="661"/>
      <c r="U223" s="661"/>
      <c r="V223" s="418"/>
      <c r="W223" s="418"/>
      <c r="X223" s="418"/>
      <c r="Y223" s="418"/>
      <c r="Z223" s="418"/>
      <c r="AA223" s="410"/>
      <c r="AB223" s="422"/>
      <c r="AC223" s="415"/>
      <c r="AD223" s="416"/>
      <c r="AE223" s="414"/>
      <c r="AF223" s="412"/>
      <c r="AG223" s="410"/>
      <c r="AH223" s="422"/>
      <c r="AI223" s="413"/>
      <c r="AJ223" s="416"/>
      <c r="AK223" s="414"/>
      <c r="AL223" s="412"/>
      <c r="AM223" s="410"/>
      <c r="AN223" s="422"/>
      <c r="AO223" s="413"/>
      <c r="AP223" s="416"/>
      <c r="AQ223" s="414"/>
      <c r="AR223" s="412"/>
      <c r="AS223" s="410"/>
      <c r="AT223" s="422"/>
      <c r="AU223" s="413"/>
      <c r="AV223" s="416"/>
      <c r="AW223" s="414"/>
      <c r="AX223" s="412"/>
      <c r="AY223" s="418"/>
      <c r="AZ223" s="418"/>
      <c r="BA223" s="418"/>
      <c r="BB223" s="418"/>
      <c r="BC223" s="419"/>
      <c r="BD223" s="410"/>
      <c r="BE223" s="423"/>
    </row>
    <row r="224" spans="1:58" ht="18" customHeight="1" x14ac:dyDescent="0.35">
      <c r="A224" s="660"/>
      <c r="B224" s="660"/>
      <c r="C224" s="599"/>
      <c r="D224" s="599"/>
      <c r="E224" s="411"/>
      <c r="F224" s="411"/>
      <c r="G224" s="411"/>
      <c r="H224" s="663"/>
      <c r="I224" s="663"/>
      <c r="J224" s="663"/>
      <c r="K224" s="663"/>
      <c r="L224" s="411"/>
      <c r="M224" s="422"/>
      <c r="N224" s="662"/>
      <c r="O224" s="662"/>
      <c r="P224" s="662"/>
      <c r="Q224" s="662"/>
      <c r="R224" s="661"/>
      <c r="S224" s="661"/>
      <c r="T224" s="661"/>
      <c r="U224" s="661"/>
      <c r="V224" s="418"/>
      <c r="W224" s="418"/>
      <c r="X224" s="418"/>
      <c r="Y224" s="418"/>
      <c r="Z224" s="418"/>
      <c r="AA224" s="410"/>
      <c r="AB224" s="422"/>
      <c r="AC224" s="415"/>
      <c r="AD224" s="416"/>
      <c r="AE224" s="414"/>
      <c r="AF224" s="412"/>
      <c r="AG224" s="410"/>
      <c r="AH224" s="422"/>
      <c r="AI224" s="413"/>
      <c r="AJ224" s="416"/>
      <c r="AK224" s="414"/>
      <c r="AL224" s="412"/>
      <c r="AM224" s="410"/>
      <c r="AN224" s="422"/>
      <c r="AO224" s="413"/>
      <c r="AP224" s="416"/>
      <c r="AQ224" s="414"/>
      <c r="AR224" s="412"/>
      <c r="AS224" s="410"/>
      <c r="AT224" s="422"/>
      <c r="AU224" s="413"/>
      <c r="AV224" s="416"/>
      <c r="AW224" s="414"/>
      <c r="AX224" s="412"/>
      <c r="AY224" s="418"/>
      <c r="AZ224" s="418"/>
      <c r="BA224" s="418"/>
      <c r="BB224" s="418"/>
      <c r="BC224" s="419"/>
      <c r="BD224" s="410"/>
      <c r="BE224" s="423"/>
    </row>
    <row r="225" spans="1:57" ht="18" customHeight="1" x14ac:dyDescent="0.35">
      <c r="A225" s="660"/>
      <c r="B225" s="660"/>
      <c r="C225" s="599"/>
      <c r="D225" s="599"/>
      <c r="E225" s="411"/>
      <c r="F225" s="411"/>
      <c r="G225" s="411"/>
      <c r="H225" s="663"/>
      <c r="I225" s="663"/>
      <c r="J225" s="663"/>
      <c r="K225" s="663"/>
      <c r="L225" s="411"/>
      <c r="M225" s="422"/>
      <c r="N225" s="662"/>
      <c r="O225" s="662"/>
      <c r="P225" s="662"/>
      <c r="Q225" s="662"/>
      <c r="R225" s="661"/>
      <c r="S225" s="661"/>
      <c r="T225" s="661"/>
      <c r="U225" s="661"/>
      <c r="V225" s="418"/>
      <c r="W225" s="418"/>
      <c r="X225" s="418"/>
      <c r="Y225" s="418"/>
      <c r="Z225" s="418"/>
      <c r="AA225" s="410"/>
      <c r="AB225" s="422"/>
      <c r="AC225" s="415"/>
      <c r="AD225" s="416"/>
      <c r="AE225" s="414"/>
      <c r="AF225" s="412"/>
      <c r="AG225" s="410"/>
      <c r="AH225" s="422"/>
      <c r="AI225" s="413"/>
      <c r="AJ225" s="416"/>
      <c r="AK225" s="414"/>
      <c r="AL225" s="412"/>
      <c r="AM225" s="410"/>
      <c r="AN225" s="422"/>
      <c r="AO225" s="413"/>
      <c r="AP225" s="416"/>
      <c r="AQ225" s="414"/>
      <c r="AR225" s="412"/>
      <c r="AS225" s="410"/>
      <c r="AT225" s="422"/>
      <c r="AU225" s="413"/>
      <c r="AV225" s="416"/>
      <c r="AW225" s="414"/>
      <c r="AX225" s="412"/>
      <c r="AY225" s="418"/>
      <c r="AZ225" s="418"/>
      <c r="BA225" s="418"/>
      <c r="BB225" s="418"/>
      <c r="BC225" s="419"/>
      <c r="BD225" s="410"/>
      <c r="BE225" s="423"/>
    </row>
    <row r="226" spans="1:57" ht="15" thickBot="1" x14ac:dyDescent="0.4"/>
    <row r="227" spans="1:57" ht="23.5" thickTop="1" x14ac:dyDescent="0.5">
      <c r="C227" s="425" t="s">
        <v>1175</v>
      </c>
      <c r="D227" s="426"/>
      <c r="E227" s="427"/>
      <c r="F227" s="428"/>
      <c r="G227" s="428"/>
      <c r="H227" s="428"/>
      <c r="I227" s="428"/>
      <c r="J227" s="428"/>
      <c r="K227" s="428"/>
      <c r="L227" s="428"/>
      <c r="M227" s="428"/>
      <c r="N227" s="428"/>
      <c r="O227" s="428"/>
      <c r="P227" s="428"/>
      <c r="Q227" s="428"/>
      <c r="R227" s="428"/>
      <c r="S227" s="428"/>
      <c r="T227" s="429"/>
      <c r="U227" s="429"/>
      <c r="V227" s="430">
        <f>SUM(V9:V225)</f>
        <v>3716492.4028970562</v>
      </c>
      <c r="W227" s="430">
        <f>SUM(W9:W225)</f>
        <v>3524551.006184876</v>
      </c>
      <c r="X227" s="430">
        <f>SUM(X9:X225)</f>
        <v>3074613.3316170089</v>
      </c>
      <c r="Y227" s="430">
        <f>SUM(Y9:Y225)</f>
        <v>3129203.8553342065</v>
      </c>
      <c r="Z227" s="431">
        <f>SUM(V227:Y227)</f>
        <v>13444860.596033148</v>
      </c>
      <c r="AA227" s="432"/>
      <c r="AB227" s="433"/>
      <c r="AC227" s="433"/>
      <c r="AD227" s="433"/>
      <c r="AE227" s="434"/>
      <c r="AF227" s="435">
        <f>SUM(AF9:AF225)</f>
        <v>0</v>
      </c>
      <c r="AG227" s="432"/>
      <c r="AH227" s="433"/>
      <c r="AI227" s="433"/>
      <c r="AJ227" s="433"/>
      <c r="AK227" s="434"/>
      <c r="AL227" s="435">
        <f>SUM(AL9:AL225)</f>
        <v>-21771.318166962847</v>
      </c>
      <c r="AM227" s="432"/>
      <c r="AN227" s="433"/>
      <c r="AO227" s="433"/>
      <c r="AP227" s="433"/>
      <c r="AQ227" s="434"/>
      <c r="AR227" s="435">
        <f>SUM(AR9:AR225)</f>
        <v>59680.052192016679</v>
      </c>
      <c r="AS227" s="432"/>
      <c r="AT227" s="433"/>
      <c r="AU227" s="433"/>
      <c r="AV227" s="433"/>
      <c r="AW227" s="434"/>
      <c r="AX227" s="435">
        <f>SUM(AX9:AX225)</f>
        <v>79951.243841192627</v>
      </c>
      <c r="AY227" s="436">
        <f>SUM(AY9:AY225)</f>
        <v>3716492.4028970562</v>
      </c>
      <c r="AZ227" s="437">
        <f t="shared" ref="AZ227:BC227" si="90">SUM(AZ9:AZ225)</f>
        <v>3502779.6880179131</v>
      </c>
      <c r="BA227" s="438">
        <f t="shared" si="90"/>
        <v>3134293.3838090245</v>
      </c>
      <c r="BB227" s="439">
        <f t="shared" si="90"/>
        <v>3209155.0991754001</v>
      </c>
      <c r="BC227" s="440">
        <f t="shared" si="90"/>
        <v>13562720.573899392</v>
      </c>
      <c r="BD227" s="432"/>
      <c r="BE227" s="441"/>
    </row>
    <row r="228" spans="1:57" x14ac:dyDescent="0.35">
      <c r="AY228" s="600" t="b">
        <f>AY227='Program-Level Adj Gas'!E22</f>
        <v>1</v>
      </c>
      <c r="AZ228" s="600" t="b">
        <f>AZ227='Program-Level Adj Gas'!I22</f>
        <v>1</v>
      </c>
      <c r="BA228" s="600" t="b">
        <f>BA227='Program-Level Adj Gas'!M22</f>
        <v>1</v>
      </c>
      <c r="BB228" s="600" t="b">
        <f>BB227='Program-Level Adj Gas'!S22</f>
        <v>1</v>
      </c>
    </row>
    <row r="229" spans="1:57" x14ac:dyDescent="0.35">
      <c r="V229" s="442"/>
    </row>
    <row r="230" spans="1:57" x14ac:dyDescent="0.35">
      <c r="H230" s="2319">
        <f>SUM(H9:H225)</f>
        <v>367425.82976515993</v>
      </c>
      <c r="I230" s="2319">
        <f>SUM(I9:I225)</f>
        <v>362322.86670179141</v>
      </c>
      <c r="J230" s="2319">
        <f>SUM(J9:J225)</f>
        <v>419740.80174413981</v>
      </c>
      <c r="K230" s="2319">
        <f>SUM(K9:K225)</f>
        <v>414187.83173987205</v>
      </c>
      <c r="V230" s="442"/>
    </row>
  </sheetData>
  <autoFilter ref="A7:BE220" xr:uid="{00000000-0009-0000-0000-000003000000}"/>
  <mergeCells count="17">
    <mergeCell ref="G5:K5"/>
    <mergeCell ref="L5:Q5"/>
    <mergeCell ref="R5:U5"/>
    <mergeCell ref="V5:Z5"/>
    <mergeCell ref="AA5:AD5"/>
    <mergeCell ref="G4:K4"/>
    <mergeCell ref="L4:Q4"/>
    <mergeCell ref="R4:Z4"/>
    <mergeCell ref="AA4:AF4"/>
    <mergeCell ref="AG4:AL4"/>
    <mergeCell ref="AS5:AV5"/>
    <mergeCell ref="AS4:AX4"/>
    <mergeCell ref="AY4:BC5"/>
    <mergeCell ref="BD4:BE4"/>
    <mergeCell ref="AG5:AJ5"/>
    <mergeCell ref="AM5:AP5"/>
    <mergeCell ref="AM4:AR4"/>
  </mergeCells>
  <printOptions headings="1" gridLines="1"/>
  <pageMargins left="0.25" right="0.25" top="0.75" bottom="0.75" header="0.3" footer="0.3"/>
  <pageSetup scale="21" fitToWidth="5" fitToHeight="5" orientation="landscape" r:id="rId1"/>
  <headerFooter>
    <oddHeader>&amp;LAppendix G (Rev.)&amp;CProgram-Level Adj Gas</oddHeader>
    <oddFooter>&amp;L&amp;"Arial,Regular"&amp;14&amp;A
&amp;F&amp;C&amp;"Arial,Regular"&amp;14&amp;P</oddFooter>
  </headerFooter>
  <colBreaks count="7" manualBreakCount="7">
    <brk id="17" max="26" man="1"/>
    <brk id="26" max="26" man="1"/>
    <brk id="32" max="26" man="1"/>
    <brk id="38" max="26" man="1"/>
    <brk id="44" max="20" man="1"/>
    <brk id="50" max="26" man="1"/>
    <brk id="55" max="26"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AB293"/>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0.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195</v>
      </c>
    </row>
    <row r="2" spans="1:7" s="1394" customFormat="1" x14ac:dyDescent="0.35"/>
    <row r="3" spans="1:7" s="1394" customFormat="1" ht="21" x14ac:dyDescent="0.5">
      <c r="A3" s="1395" t="s">
        <v>2386</v>
      </c>
    </row>
    <row r="4" spans="1:7" s="1394" customFormat="1" x14ac:dyDescent="0.35"/>
    <row r="5" spans="1:7" s="1394" customFormat="1" x14ac:dyDescent="0.35">
      <c r="B5" s="1396" t="s">
        <v>1947</v>
      </c>
      <c r="C5" s="1397">
        <f>SUM(D222:D289)</f>
        <v>61</v>
      </c>
      <c r="D5" s="1398"/>
      <c r="E5" s="680"/>
      <c r="F5" s="680"/>
    </row>
    <row r="6" spans="1:7" s="1394" customFormat="1" x14ac:dyDescent="0.35">
      <c r="B6" s="724" t="s">
        <v>2052</v>
      </c>
      <c r="C6" s="989">
        <f>SUM(M222:M289)</f>
        <v>43619.1</v>
      </c>
      <c r="D6" s="1399"/>
      <c r="E6" s="683"/>
      <c r="F6" s="683"/>
    </row>
    <row r="7" spans="1:7" s="1394" customFormat="1" x14ac:dyDescent="0.35">
      <c r="B7" s="936" t="s">
        <v>1951</v>
      </c>
      <c r="C7" s="1400">
        <f>SUM(N222:N289)</f>
        <v>7.0644905353473124</v>
      </c>
      <c r="D7" s="1399"/>
      <c r="E7" s="683"/>
      <c r="F7" s="683"/>
    </row>
    <row r="8" spans="1:7" s="1394" customFormat="1" x14ac:dyDescent="0.35">
      <c r="B8" s="724" t="s">
        <v>1952</v>
      </c>
      <c r="C8" s="989">
        <f>SUM(L222:L289)</f>
        <v>19265.593872709011</v>
      </c>
      <c r="D8" s="1399"/>
      <c r="E8" s="683"/>
      <c r="F8" s="683"/>
    </row>
    <row r="9" spans="1:7" s="1394" customFormat="1" x14ac:dyDescent="0.35">
      <c r="B9" s="936" t="s">
        <v>2053</v>
      </c>
      <c r="C9" s="990">
        <f>SUM(O222:O289)</f>
        <v>61000</v>
      </c>
      <c r="D9" s="1401"/>
      <c r="E9" s="686"/>
      <c r="F9" s="686"/>
    </row>
    <row r="10" spans="1:7" s="1394" customFormat="1" x14ac:dyDescent="0.35">
      <c r="B10" s="724" t="s">
        <v>2288</v>
      </c>
      <c r="C10" s="1402">
        <f>C9/C8</f>
        <v>3.1662662673695485</v>
      </c>
      <c r="D10" s="1403"/>
      <c r="E10" s="690"/>
      <c r="F10" s="690"/>
    </row>
    <row r="11" spans="1:7" s="1394" customFormat="1" x14ac:dyDescent="0.35">
      <c r="B11" s="936" t="s">
        <v>1960</v>
      </c>
      <c r="C11" s="990">
        <f>SUM(R222:R289)</f>
        <v>96419</v>
      </c>
      <c r="D11" s="1404"/>
      <c r="E11" s="706"/>
      <c r="F11" s="706"/>
    </row>
    <row r="12" spans="1:7" s="1394" customFormat="1" x14ac:dyDescent="0.35">
      <c r="B12" s="732" t="s">
        <v>1970</v>
      </c>
      <c r="C12" s="1405">
        <v>16.5</v>
      </c>
      <c r="D12" s="1404"/>
      <c r="E12" s="706"/>
      <c r="F12" s="706"/>
    </row>
    <row r="13" spans="1:7" s="1394" customFormat="1" x14ac:dyDescent="0.35">
      <c r="B13" s="694" t="s">
        <v>1961</v>
      </c>
      <c r="C13" s="695"/>
      <c r="D13" s="1398"/>
      <c r="E13" s="1406"/>
      <c r="F13" s="680"/>
      <c r="G13" s="696"/>
    </row>
    <row r="14" spans="1:7" s="1394" customFormat="1" x14ac:dyDescent="0.35">
      <c r="B14" s="834" t="s">
        <v>2387</v>
      </c>
      <c r="C14" s="852">
        <f>1-C69+C70+C71</f>
        <v>0.8</v>
      </c>
      <c r="D14" s="1398"/>
      <c r="E14" s="1206"/>
      <c r="F14" s="680"/>
    </row>
    <row r="15" spans="1:7" s="1394" customFormat="1" x14ac:dyDescent="0.35">
      <c r="B15" s="841" t="s">
        <v>2388</v>
      </c>
      <c r="C15" s="1407">
        <f>1-D69+D70+D71</f>
        <v>1.01</v>
      </c>
      <c r="D15" s="1398"/>
      <c r="E15" s="1206"/>
      <c r="F15" s="680"/>
    </row>
    <row r="16" spans="1:7" s="1394" customFormat="1" x14ac:dyDescent="0.35">
      <c r="B16" s="838" t="s">
        <v>2389</v>
      </c>
      <c r="C16" s="1219">
        <f>1-E69+E70+E71</f>
        <v>1.01</v>
      </c>
      <c r="D16" s="1398"/>
      <c r="E16" s="1206"/>
      <c r="F16" s="680"/>
    </row>
    <row r="17" spans="2:6" s="1394" customFormat="1" x14ac:dyDescent="0.35">
      <c r="B17" s="841" t="s">
        <v>1965</v>
      </c>
      <c r="C17" s="842">
        <f>C6*C15</f>
        <v>44055.290999999997</v>
      </c>
      <c r="D17" s="1399"/>
      <c r="E17" s="701"/>
      <c r="F17" s="683"/>
    </row>
    <row r="18" spans="2:6" s="1394" customFormat="1" x14ac:dyDescent="0.35">
      <c r="B18" s="838" t="s">
        <v>1966</v>
      </c>
      <c r="C18" s="839">
        <f>C7*C16</f>
        <v>7.1351354407007852</v>
      </c>
      <c r="D18" s="1399"/>
      <c r="E18" s="683"/>
      <c r="F18" s="683"/>
    </row>
    <row r="19" spans="2:6" s="1394" customFormat="1" x14ac:dyDescent="0.35">
      <c r="B19" s="841" t="s">
        <v>1967</v>
      </c>
      <c r="C19" s="842">
        <f>C14*C8</f>
        <v>15412.47509816721</v>
      </c>
      <c r="D19" s="1399"/>
      <c r="E19" s="701"/>
      <c r="F19" s="683"/>
    </row>
    <row r="20" spans="2:6" s="1394" customFormat="1" x14ac:dyDescent="0.35">
      <c r="B20" s="838" t="s">
        <v>1969</v>
      </c>
      <c r="C20" s="854">
        <f>C9/C19</f>
        <v>3.9578328342119353</v>
      </c>
      <c r="D20" s="1403"/>
      <c r="E20" s="690"/>
      <c r="F20" s="690"/>
    </row>
    <row r="21" spans="2:6" s="1394" customFormat="1" x14ac:dyDescent="0.35">
      <c r="B21" s="855" t="s">
        <v>1970</v>
      </c>
      <c r="C21" s="856">
        <v>16.5</v>
      </c>
      <c r="D21" s="1398"/>
      <c r="E21" s="680"/>
      <c r="F21" s="680"/>
    </row>
    <row r="22" spans="2:6" s="1394" customFormat="1" x14ac:dyDescent="0.35">
      <c r="B22" s="1408"/>
      <c r="C22" s="1408"/>
    </row>
    <row r="23" spans="2:6" s="1394" customFormat="1" x14ac:dyDescent="0.35">
      <c r="B23" s="1408"/>
      <c r="C23" s="1408"/>
    </row>
    <row r="24" spans="2:6" s="1394" customFormat="1" x14ac:dyDescent="0.35">
      <c r="B24" s="940" t="s">
        <v>2390</v>
      </c>
      <c r="C24" s="1409">
        <f>C6/$C$5</f>
        <v>715.06721311475405</v>
      </c>
    </row>
    <row r="25" spans="2:6" s="1394" customFormat="1" x14ac:dyDescent="0.35">
      <c r="B25" s="936" t="s">
        <v>2391</v>
      </c>
      <c r="C25" s="991">
        <f>C7/C5</f>
        <v>0.11581132025159528</v>
      </c>
    </row>
    <row r="26" spans="2:6" s="1394" customFormat="1" x14ac:dyDescent="0.35">
      <c r="B26" s="724" t="s">
        <v>2289</v>
      </c>
      <c r="C26" s="989">
        <f>C8/C5</f>
        <v>315.82940774932803</v>
      </c>
    </row>
    <row r="27" spans="2:6" s="1394" customFormat="1" x14ac:dyDescent="0.35">
      <c r="B27" s="936" t="s">
        <v>2290</v>
      </c>
      <c r="C27" s="992">
        <f>C9/C5</f>
        <v>1000</v>
      </c>
    </row>
    <row r="28" spans="2:6" s="1394" customFormat="1" x14ac:dyDescent="0.35">
      <c r="B28" s="732" t="s">
        <v>2392</v>
      </c>
      <c r="C28" s="1410">
        <f>C11/C5</f>
        <v>1580.639344262295</v>
      </c>
    </row>
    <row r="29" spans="2:6" s="1394" customFormat="1" x14ac:dyDescent="0.35">
      <c r="B29" s="1408"/>
      <c r="C29" s="1408"/>
    </row>
    <row r="30" spans="2:6" s="1394" customFormat="1" ht="58" x14ac:dyDescent="0.35">
      <c r="B30" s="1411" t="s">
        <v>2393</v>
      </c>
      <c r="C30" s="1412" t="s">
        <v>2394</v>
      </c>
    </row>
    <row r="31" spans="2:6" s="1394" customFormat="1" x14ac:dyDescent="0.35">
      <c r="B31" s="1413" t="s">
        <v>2180</v>
      </c>
      <c r="C31" s="1100">
        <f>IFERROR((L222+L256)/(D222+D256),0)</f>
        <v>0</v>
      </c>
    </row>
    <row r="32" spans="2:6" s="1394" customFormat="1" x14ac:dyDescent="0.35">
      <c r="B32" s="1414" t="s">
        <v>2071</v>
      </c>
      <c r="C32" s="885">
        <f>IFERROR((L223+L257)/(D223+D257),0)</f>
        <v>0</v>
      </c>
    </row>
    <row r="33" spans="2:3" s="1394" customFormat="1" x14ac:dyDescent="0.35">
      <c r="B33" s="1415" t="s">
        <v>2157</v>
      </c>
      <c r="C33" s="1004">
        <f t="shared" ref="C33:C64" si="0">IFERROR((L224+L258)/(D224+D258),0)</f>
        <v>0</v>
      </c>
    </row>
    <row r="34" spans="2:3" s="1394" customFormat="1" x14ac:dyDescent="0.35">
      <c r="B34" s="1414" t="s">
        <v>2158</v>
      </c>
      <c r="C34" s="885">
        <f t="shared" si="0"/>
        <v>0</v>
      </c>
    </row>
    <row r="35" spans="2:3" s="1394" customFormat="1" x14ac:dyDescent="0.35">
      <c r="B35" s="1415" t="s">
        <v>2028</v>
      </c>
      <c r="C35" s="1004">
        <f t="shared" si="0"/>
        <v>254.19834558823513</v>
      </c>
    </row>
    <row r="36" spans="2:3" s="1394" customFormat="1" x14ac:dyDescent="0.35">
      <c r="B36" s="1414" t="s">
        <v>2109</v>
      </c>
      <c r="C36" s="885">
        <f t="shared" si="0"/>
        <v>0</v>
      </c>
    </row>
    <row r="37" spans="2:3" s="1394" customFormat="1" x14ac:dyDescent="0.35">
      <c r="B37" s="1415" t="s">
        <v>2026</v>
      </c>
      <c r="C37" s="1004">
        <f t="shared" si="0"/>
        <v>0</v>
      </c>
    </row>
    <row r="38" spans="2:3" s="1394" customFormat="1" x14ac:dyDescent="0.35">
      <c r="B38" s="1414" t="s">
        <v>2075</v>
      </c>
      <c r="C38" s="885">
        <f t="shared" si="0"/>
        <v>0</v>
      </c>
    </row>
    <row r="39" spans="2:3" s="1394" customFormat="1" x14ac:dyDescent="0.35">
      <c r="B39" s="1415" t="s">
        <v>2029</v>
      </c>
      <c r="C39" s="1004">
        <f t="shared" si="0"/>
        <v>0</v>
      </c>
    </row>
    <row r="40" spans="2:3" s="1394" customFormat="1" x14ac:dyDescent="0.35">
      <c r="B40" s="1414" t="s">
        <v>2356</v>
      </c>
      <c r="C40" s="885">
        <f t="shared" si="0"/>
        <v>0</v>
      </c>
    </row>
    <row r="41" spans="2:3" s="1394" customFormat="1" x14ac:dyDescent="0.35">
      <c r="B41" s="1415" t="s">
        <v>2357</v>
      </c>
      <c r="C41" s="1004">
        <f t="shared" si="0"/>
        <v>0</v>
      </c>
    </row>
    <row r="42" spans="2:3" s="1394" customFormat="1" x14ac:dyDescent="0.35">
      <c r="B42" s="1414" t="s">
        <v>2358</v>
      </c>
      <c r="C42" s="885">
        <f t="shared" si="0"/>
        <v>0</v>
      </c>
    </row>
    <row r="43" spans="2:3" s="1394" customFormat="1" x14ac:dyDescent="0.35">
      <c r="B43" s="1415" t="s">
        <v>2162</v>
      </c>
      <c r="C43" s="1004">
        <f t="shared" si="0"/>
        <v>0</v>
      </c>
    </row>
    <row r="44" spans="2:3" s="1394" customFormat="1" x14ac:dyDescent="0.35">
      <c r="B44" s="1414" t="s">
        <v>2325</v>
      </c>
      <c r="C44" s="885">
        <f t="shared" si="0"/>
        <v>0</v>
      </c>
    </row>
    <row r="45" spans="2:3" s="1394" customFormat="1" x14ac:dyDescent="0.35">
      <c r="B45" s="1415" t="s">
        <v>2073</v>
      </c>
      <c r="C45" s="1004">
        <f t="shared" si="0"/>
        <v>0</v>
      </c>
    </row>
    <row r="46" spans="2:3" s="1394" customFormat="1" x14ac:dyDescent="0.35">
      <c r="B46" s="1414" t="s">
        <v>2166</v>
      </c>
      <c r="C46" s="885">
        <f t="shared" si="0"/>
        <v>0</v>
      </c>
    </row>
    <row r="47" spans="2:3" s="1394" customFormat="1" x14ac:dyDescent="0.35">
      <c r="B47" s="1415" t="s">
        <v>2163</v>
      </c>
      <c r="C47" s="1004">
        <f t="shared" si="0"/>
        <v>0</v>
      </c>
    </row>
    <row r="48" spans="2:3" s="1394" customFormat="1" x14ac:dyDescent="0.35">
      <c r="B48" s="1414" t="s">
        <v>2181</v>
      </c>
      <c r="C48" s="885">
        <f t="shared" si="0"/>
        <v>0</v>
      </c>
    </row>
    <row r="49" spans="2:3" s="1394" customFormat="1" x14ac:dyDescent="0.35">
      <c r="B49" s="1415" t="s">
        <v>2164</v>
      </c>
      <c r="C49" s="1004">
        <f t="shared" si="0"/>
        <v>0</v>
      </c>
    </row>
    <row r="50" spans="2:3" s="1394" customFormat="1" x14ac:dyDescent="0.35">
      <c r="B50" s="1414" t="s">
        <v>2336</v>
      </c>
      <c r="C50" s="885">
        <f t="shared" si="0"/>
        <v>0</v>
      </c>
    </row>
    <row r="51" spans="2:3" s="1394" customFormat="1" x14ac:dyDescent="0.35">
      <c r="B51" s="1415" t="s">
        <v>2165</v>
      </c>
      <c r="C51" s="1004">
        <f t="shared" si="0"/>
        <v>0</v>
      </c>
    </row>
    <row r="52" spans="2:3" s="1394" customFormat="1" x14ac:dyDescent="0.35">
      <c r="B52" s="1414" t="s">
        <v>2167</v>
      </c>
      <c r="C52" s="885">
        <f t="shared" si="0"/>
        <v>0</v>
      </c>
    </row>
    <row r="53" spans="2:3" s="1394" customFormat="1" x14ac:dyDescent="0.35">
      <c r="B53" s="1415" t="s">
        <v>2168</v>
      </c>
      <c r="C53" s="1004">
        <f t="shared" si="0"/>
        <v>0</v>
      </c>
    </row>
    <row r="54" spans="2:3" s="1394" customFormat="1" x14ac:dyDescent="0.35">
      <c r="B54" s="1414" t="s">
        <v>2169</v>
      </c>
      <c r="C54" s="885">
        <f t="shared" si="0"/>
        <v>0</v>
      </c>
    </row>
    <row r="55" spans="2:3" s="1394" customFormat="1" x14ac:dyDescent="0.35">
      <c r="B55" s="1415" t="s">
        <v>2170</v>
      </c>
      <c r="C55" s="1004">
        <f t="shared" si="0"/>
        <v>0</v>
      </c>
    </row>
    <row r="56" spans="2:3" s="1394" customFormat="1" x14ac:dyDescent="0.35">
      <c r="B56" s="1414" t="s">
        <v>2171</v>
      </c>
      <c r="C56" s="885">
        <f t="shared" si="0"/>
        <v>0</v>
      </c>
    </row>
    <row r="57" spans="2:3" s="1394" customFormat="1" x14ac:dyDescent="0.35">
      <c r="B57" s="1415" t="s">
        <v>2172</v>
      </c>
      <c r="C57" s="1004">
        <f t="shared" si="0"/>
        <v>388.90536183264686</v>
      </c>
    </row>
    <row r="58" spans="2:3" s="1394" customFormat="1" x14ac:dyDescent="0.35">
      <c r="B58" s="1414" t="s">
        <v>2173</v>
      </c>
      <c r="C58" s="885">
        <f t="shared" si="0"/>
        <v>244.73382352941158</v>
      </c>
    </row>
    <row r="59" spans="2:3" s="1394" customFormat="1" x14ac:dyDescent="0.35">
      <c r="B59" s="1415" t="s">
        <v>2174</v>
      </c>
      <c r="C59" s="1004">
        <f t="shared" si="0"/>
        <v>0</v>
      </c>
    </row>
    <row r="60" spans="2:3" s="1394" customFormat="1" x14ac:dyDescent="0.35">
      <c r="B60" s="1414" t="s">
        <v>2175</v>
      </c>
      <c r="C60" s="885">
        <f t="shared" si="0"/>
        <v>0</v>
      </c>
    </row>
    <row r="61" spans="2:3" s="1394" customFormat="1" x14ac:dyDescent="0.35">
      <c r="B61" s="1415" t="s">
        <v>2176</v>
      </c>
      <c r="C61" s="1004">
        <f t="shared" si="0"/>
        <v>0</v>
      </c>
    </row>
    <row r="62" spans="2:3" s="1394" customFormat="1" x14ac:dyDescent="0.35">
      <c r="B62" s="1414" t="s">
        <v>2177</v>
      </c>
      <c r="C62" s="885">
        <f t="shared" si="0"/>
        <v>0</v>
      </c>
    </row>
    <row r="63" spans="2:3" s="1394" customFormat="1" x14ac:dyDescent="0.35">
      <c r="B63" s="1415" t="s">
        <v>2027</v>
      </c>
      <c r="C63" s="1004">
        <f t="shared" si="0"/>
        <v>246.8285343137253</v>
      </c>
    </row>
    <row r="64" spans="2:3" s="1394" customFormat="1" x14ac:dyDescent="0.35">
      <c r="B64" s="1416" t="s">
        <v>536</v>
      </c>
      <c r="C64" s="1417">
        <f t="shared" si="0"/>
        <v>285.43666666666644</v>
      </c>
    </row>
    <row r="65" spans="1:13" s="1394" customFormat="1" x14ac:dyDescent="0.35">
      <c r="B65" s="1408"/>
      <c r="C65" s="1408"/>
    </row>
    <row r="66" spans="1:13" s="1394" customFormat="1" ht="21" hidden="1" x14ac:dyDescent="0.5">
      <c r="A66" s="1395" t="s">
        <v>2064</v>
      </c>
      <c r="B66" s="1408"/>
      <c r="C66" s="1408"/>
    </row>
    <row r="67" spans="1:13" s="1394" customFormat="1" hidden="1" x14ac:dyDescent="0.35"/>
    <row r="68" spans="1:13" s="1394" customFormat="1" ht="29" hidden="1" x14ac:dyDescent="0.35">
      <c r="C68" s="1418" t="s">
        <v>2395</v>
      </c>
      <c r="D68" s="1419" t="s">
        <v>2396</v>
      </c>
      <c r="E68" s="1420" t="s">
        <v>2397</v>
      </c>
    </row>
    <row r="69" spans="1:13" hidden="1" x14ac:dyDescent="0.35">
      <c r="A69" s="1394"/>
      <c r="B69" s="1421" t="s">
        <v>1416</v>
      </c>
      <c r="C69" s="1422">
        <v>0.4</v>
      </c>
      <c r="D69" s="1423">
        <v>0</v>
      </c>
      <c r="E69" s="1424">
        <v>0</v>
      </c>
      <c r="F69" s="1394"/>
      <c r="G69" s="1394"/>
      <c r="H69" s="1394"/>
    </row>
    <row r="70" spans="1:13" hidden="1" x14ac:dyDescent="0.35">
      <c r="A70" s="1394"/>
      <c r="B70" s="1425" t="s">
        <v>2066</v>
      </c>
      <c r="C70" s="1426">
        <v>0.2</v>
      </c>
      <c r="D70" s="1427">
        <v>0</v>
      </c>
      <c r="E70" s="1428">
        <v>0</v>
      </c>
      <c r="F70" s="1394"/>
      <c r="G70" s="1394"/>
      <c r="H70" s="1394"/>
    </row>
    <row r="71" spans="1:13" hidden="1" x14ac:dyDescent="0.35">
      <c r="A71" s="1394"/>
      <c r="B71" s="1429" t="s">
        <v>2067</v>
      </c>
      <c r="C71" s="1430">
        <v>0</v>
      </c>
      <c r="D71" s="1431">
        <v>0.01</v>
      </c>
      <c r="E71" s="1432">
        <v>0.01</v>
      </c>
      <c r="F71" s="1394"/>
      <c r="G71" s="1394"/>
      <c r="H71" s="1394"/>
    </row>
    <row r="72" spans="1:13" s="1394" customFormat="1" x14ac:dyDescent="0.35"/>
    <row r="73" spans="1:13" s="1394" customFormat="1" ht="21" x14ac:dyDescent="0.5">
      <c r="A73" s="1395" t="s">
        <v>1977</v>
      </c>
    </row>
    <row r="74" spans="1:13" s="1394" customFormat="1" x14ac:dyDescent="0.35"/>
    <row r="75" spans="1:13" s="1394" customFormat="1" ht="18" customHeight="1" x14ac:dyDescent="0.35">
      <c r="B75" s="3058" t="s">
        <v>2039</v>
      </c>
      <c r="C75" s="3059"/>
    </row>
    <row r="76" spans="1:13" s="1394" customFormat="1" x14ac:dyDescent="0.35">
      <c r="B76" s="1433" t="s">
        <v>2398</v>
      </c>
      <c r="C76" s="1434" t="s">
        <v>2399</v>
      </c>
    </row>
    <row r="77" spans="1:13" x14ac:dyDescent="0.35">
      <c r="A77" s="1394"/>
      <c r="B77" s="1435" t="s">
        <v>2400</v>
      </c>
      <c r="C77" s="1436">
        <v>0.8</v>
      </c>
      <c r="D77" s="1394"/>
      <c r="E77" s="1394"/>
    </row>
    <row r="78" spans="1:13" x14ac:dyDescent="0.35">
      <c r="A78" s="1394"/>
      <c r="B78" s="1437" t="s">
        <v>2401</v>
      </c>
      <c r="C78" s="1438">
        <v>0.8</v>
      </c>
      <c r="D78" s="1394"/>
      <c r="E78" s="1394"/>
    </row>
    <row r="79" spans="1:13" s="1394" customFormat="1" x14ac:dyDescent="0.35">
      <c r="J79" s="1195"/>
      <c r="K79" s="1195"/>
      <c r="M79" s="1206"/>
    </row>
    <row r="80" spans="1:13" s="1394" customFormat="1" ht="18.75" customHeight="1" x14ac:dyDescent="0.45">
      <c r="B80" s="675"/>
      <c r="E80" s="3033" t="s">
        <v>3904</v>
      </c>
      <c r="F80" s="3034"/>
      <c r="G80" s="3034"/>
      <c r="H80" s="3034"/>
      <c r="I80" s="3051"/>
    </row>
    <row r="81" spans="1:20" s="1394" customFormat="1" ht="29" x14ac:dyDescent="0.35">
      <c r="B81" s="997" t="s">
        <v>2019</v>
      </c>
      <c r="C81" s="2693" t="s">
        <v>2402</v>
      </c>
      <c r="D81" s="2694" t="s">
        <v>1368</v>
      </c>
      <c r="E81" s="1182" t="s">
        <v>2309</v>
      </c>
      <c r="F81" s="1183" t="s">
        <v>2310</v>
      </c>
      <c r="G81" s="1183" t="s">
        <v>2311</v>
      </c>
      <c r="H81" s="1183" t="s">
        <v>2312</v>
      </c>
      <c r="I81" s="1319" t="s">
        <v>2313</v>
      </c>
      <c r="L81" s="3036" t="s">
        <v>2403</v>
      </c>
      <c r="M81" s="3037"/>
      <c r="N81" s="3037"/>
      <c r="O81" s="3037"/>
      <c r="P81" s="3037"/>
      <c r="Q81" s="3037"/>
      <c r="R81" s="3037"/>
      <c r="S81" s="3037"/>
      <c r="T81" s="3038"/>
    </row>
    <row r="82" spans="1:20" x14ac:dyDescent="0.35">
      <c r="A82" s="1394"/>
      <c r="B82" s="1136" t="s">
        <v>2180</v>
      </c>
      <c r="C82" s="1439">
        <v>2150</v>
      </c>
      <c r="D82" s="1440">
        <v>0.48299999999999998</v>
      </c>
      <c r="E82" s="1186">
        <v>1787</v>
      </c>
      <c r="F82" s="1187">
        <v>1831</v>
      </c>
      <c r="G82" s="1187">
        <v>1635</v>
      </c>
      <c r="H82" s="1187">
        <v>1089</v>
      </c>
      <c r="I82" s="1320">
        <v>1669</v>
      </c>
      <c r="K82" s="1441"/>
      <c r="L82" s="869" t="s">
        <v>1981</v>
      </c>
      <c r="M82" s="870"/>
      <c r="N82" s="870"/>
      <c r="O82" s="870"/>
      <c r="P82" s="870"/>
      <c r="Q82" s="870"/>
      <c r="R82" s="870"/>
      <c r="S82" s="870"/>
      <c r="T82" s="871"/>
    </row>
    <row r="83" spans="1:20" x14ac:dyDescent="0.35">
      <c r="B83" s="1146" t="s">
        <v>2071</v>
      </c>
      <c r="C83" s="1443">
        <v>4373</v>
      </c>
      <c r="D83" s="1444">
        <v>0.52900000000000003</v>
      </c>
      <c r="E83" s="1190">
        <v>1683</v>
      </c>
      <c r="F83" s="1191">
        <v>1646</v>
      </c>
      <c r="G83" s="1191">
        <v>1446</v>
      </c>
      <c r="H83" s="1191">
        <v>1063</v>
      </c>
      <c r="I83" s="1321">
        <v>1277</v>
      </c>
      <c r="K83" s="1441"/>
      <c r="L83" s="873" t="s">
        <v>2404</v>
      </c>
      <c r="M83" s="698"/>
      <c r="N83" s="698"/>
      <c r="O83" s="698"/>
      <c r="P83" s="698"/>
      <c r="Q83" s="698"/>
      <c r="R83" s="698"/>
      <c r="S83" s="698"/>
      <c r="T83" s="874"/>
    </row>
    <row r="84" spans="1:20" x14ac:dyDescent="0.35">
      <c r="B84" s="2683" t="s">
        <v>3906</v>
      </c>
      <c r="C84" s="1443"/>
      <c r="D84" s="1444"/>
      <c r="E84" s="2684">
        <v>2981</v>
      </c>
      <c r="F84" s="2684">
        <v>2950</v>
      </c>
      <c r="G84" s="2684">
        <v>2694</v>
      </c>
      <c r="H84" s="2684">
        <v>2368</v>
      </c>
      <c r="I84" s="2684">
        <v>2437</v>
      </c>
      <c r="K84" s="1441"/>
      <c r="L84" s="873" t="s">
        <v>2405</v>
      </c>
      <c r="M84" s="1193"/>
      <c r="N84" s="1193"/>
      <c r="O84" s="698"/>
      <c r="P84" s="698"/>
      <c r="Q84" s="698"/>
      <c r="R84" s="698"/>
      <c r="S84" s="698"/>
      <c r="T84" s="874"/>
    </row>
    <row r="85" spans="1:20" x14ac:dyDescent="0.35">
      <c r="B85" s="2680" t="s">
        <v>2157</v>
      </c>
      <c r="C85" s="1443">
        <v>1605</v>
      </c>
      <c r="D85" s="1444">
        <v>0.14199999999999999</v>
      </c>
      <c r="E85" s="2681">
        <v>1256</v>
      </c>
      <c r="F85" s="2681">
        <v>1293</v>
      </c>
      <c r="G85" s="2681">
        <v>1138</v>
      </c>
      <c r="H85" s="2681">
        <v>1116</v>
      </c>
      <c r="I85" s="2681">
        <v>1131</v>
      </c>
      <c r="K85" s="1441"/>
      <c r="L85" s="873" t="s">
        <v>2406</v>
      </c>
      <c r="M85" s="1193"/>
      <c r="N85" s="1193"/>
      <c r="O85" s="698"/>
      <c r="P85" s="698"/>
      <c r="Q85" s="698"/>
      <c r="R85" s="698"/>
      <c r="S85" s="698"/>
      <c r="T85" s="874"/>
    </row>
    <row r="86" spans="1:20" x14ac:dyDescent="0.35">
      <c r="B86" s="1146" t="s">
        <v>2158</v>
      </c>
      <c r="C86" s="1443">
        <v>2084</v>
      </c>
      <c r="D86" s="1444">
        <v>0.57099999999999995</v>
      </c>
      <c r="E86" s="1190">
        <v>1481</v>
      </c>
      <c r="F86" s="1191">
        <v>1368</v>
      </c>
      <c r="G86" s="1191">
        <v>1214</v>
      </c>
      <c r="H86" s="1191">
        <v>871</v>
      </c>
      <c r="I86" s="1321">
        <v>973</v>
      </c>
      <c r="K86" s="1441"/>
      <c r="L86" s="1194" t="s">
        <v>2407</v>
      </c>
      <c r="M86" s="1193"/>
      <c r="N86" s="1193"/>
      <c r="O86" s="698"/>
      <c r="P86" s="698"/>
      <c r="Q86" s="698"/>
      <c r="R86" s="698"/>
      <c r="S86" s="698"/>
      <c r="T86" s="874"/>
    </row>
    <row r="87" spans="1:20" x14ac:dyDescent="0.35">
      <c r="B87" s="2683" t="s">
        <v>3907</v>
      </c>
      <c r="C87" s="1446"/>
      <c r="D87" s="1447"/>
      <c r="E87" s="2684">
        <v>2848</v>
      </c>
      <c r="F87" s="2684">
        <v>2947</v>
      </c>
      <c r="G87" s="2684">
        <v>2568</v>
      </c>
      <c r="H87" s="2684">
        <v>2362</v>
      </c>
      <c r="I87" s="2684">
        <v>2516</v>
      </c>
      <c r="K87" s="1441"/>
      <c r="L87" s="1194" t="s">
        <v>2408</v>
      </c>
      <c r="M87" s="1193"/>
      <c r="N87" s="1193"/>
      <c r="O87" s="698"/>
      <c r="P87" s="698"/>
      <c r="Q87" s="698"/>
      <c r="R87" s="698"/>
      <c r="S87" s="698"/>
      <c r="T87" s="874"/>
    </row>
    <row r="88" spans="1:20" x14ac:dyDescent="0.35">
      <c r="B88" s="2680" t="s">
        <v>2028</v>
      </c>
      <c r="C88" s="1446">
        <v>3276</v>
      </c>
      <c r="D88" s="1447">
        <v>0.33300000000000002</v>
      </c>
      <c r="E88" s="2681">
        <v>1614</v>
      </c>
      <c r="F88" s="2681">
        <v>1603</v>
      </c>
      <c r="G88" s="2681">
        <v>1409</v>
      </c>
      <c r="H88" s="2681">
        <v>1209</v>
      </c>
      <c r="I88" s="2681">
        <v>1269</v>
      </c>
      <c r="K88" s="1441"/>
      <c r="L88" s="1194" t="s">
        <v>2409</v>
      </c>
      <c r="M88" s="1193"/>
      <c r="N88" s="1193"/>
      <c r="O88" s="698" t="s">
        <v>2410</v>
      </c>
      <c r="P88" s="698"/>
      <c r="Q88" s="698"/>
      <c r="R88" s="698"/>
      <c r="S88" s="698"/>
      <c r="T88" s="874"/>
    </row>
    <row r="89" spans="1:20" x14ac:dyDescent="0.35">
      <c r="B89" s="1146" t="s">
        <v>2109</v>
      </c>
      <c r="C89" s="1443">
        <v>2102</v>
      </c>
      <c r="D89" s="1444">
        <v>0.61899999999999999</v>
      </c>
      <c r="E89" s="1190">
        <v>985</v>
      </c>
      <c r="F89" s="1191">
        <v>969</v>
      </c>
      <c r="G89" s="1191">
        <v>852</v>
      </c>
      <c r="H89" s="1191">
        <v>680</v>
      </c>
      <c r="I89" s="1321">
        <v>752</v>
      </c>
      <c r="K89" s="1441"/>
      <c r="L89" s="1196" t="s">
        <v>2411</v>
      </c>
      <c r="M89" s="1197"/>
      <c r="N89" s="1197"/>
      <c r="O89" s="1198"/>
      <c r="P89" s="1198"/>
      <c r="Q89" s="1198"/>
      <c r="R89" s="1198"/>
      <c r="S89" s="1197"/>
      <c r="T89" s="1199"/>
    </row>
    <row r="90" spans="1:20" x14ac:dyDescent="0.35">
      <c r="B90" s="2680" t="s">
        <v>2026</v>
      </c>
      <c r="C90" s="1443">
        <v>2096</v>
      </c>
      <c r="D90" s="1444">
        <v>0.47499999999999998</v>
      </c>
      <c r="E90" s="2681">
        <v>1467</v>
      </c>
      <c r="F90" s="2681">
        <v>1551</v>
      </c>
      <c r="G90" s="2681">
        <v>1364</v>
      </c>
      <c r="H90" s="2681">
        <v>1367</v>
      </c>
      <c r="I90" s="2681">
        <v>1375</v>
      </c>
      <c r="K90" s="1441"/>
      <c r="L90" s="869" t="s">
        <v>1990</v>
      </c>
      <c r="M90" s="870"/>
      <c r="N90" s="870"/>
      <c r="O90" s="1203"/>
      <c r="P90" s="1203"/>
      <c r="Q90" s="1203"/>
      <c r="R90" s="1203"/>
      <c r="S90" s="1204"/>
      <c r="T90" s="1205"/>
    </row>
    <row r="91" spans="1:20" x14ac:dyDescent="0.35">
      <c r="B91" s="2680" t="s">
        <v>2075</v>
      </c>
      <c r="C91" s="1443">
        <v>1987</v>
      </c>
      <c r="D91" s="1444">
        <v>0.61899999999999999</v>
      </c>
      <c r="E91" s="2681">
        <v>1446</v>
      </c>
      <c r="F91" s="2681">
        <v>1526</v>
      </c>
      <c r="G91" s="2681">
        <v>1452</v>
      </c>
      <c r="H91" s="2681">
        <v>1553</v>
      </c>
      <c r="I91" s="2681">
        <v>1574</v>
      </c>
      <c r="K91" s="1441"/>
      <c r="L91" s="873" t="s">
        <v>1365</v>
      </c>
      <c r="M91" s="698" t="s">
        <v>1992</v>
      </c>
      <c r="N91" s="698" t="s">
        <v>2320</v>
      </c>
      <c r="O91" s="1206"/>
      <c r="P91" s="1206"/>
      <c r="Q91" s="1206"/>
      <c r="R91" s="1206"/>
      <c r="S91" s="1193"/>
      <c r="T91" s="1207"/>
    </row>
    <row r="92" spans="1:20" x14ac:dyDescent="0.35">
      <c r="B92" s="2680" t="s">
        <v>2029</v>
      </c>
      <c r="C92" s="1443">
        <v>3141</v>
      </c>
      <c r="D92" s="1444">
        <v>0.28799999999999998</v>
      </c>
      <c r="E92" s="2681">
        <v>1807</v>
      </c>
      <c r="F92" s="2681">
        <v>1855</v>
      </c>
      <c r="G92" s="2681">
        <v>1649</v>
      </c>
      <c r="H92" s="2681">
        <v>1591</v>
      </c>
      <c r="I92" s="2681">
        <v>1622</v>
      </c>
      <c r="K92" s="1441"/>
      <c r="L92" s="873" t="s">
        <v>476</v>
      </c>
      <c r="M92" s="698" t="s">
        <v>1992</v>
      </c>
      <c r="N92" s="698" t="s">
        <v>1366</v>
      </c>
      <c r="O92" s="1206"/>
      <c r="P92" s="1206"/>
      <c r="Q92" s="1206"/>
      <c r="R92" s="1206"/>
      <c r="S92" s="1193"/>
      <c r="T92" s="1207"/>
    </row>
    <row r="93" spans="1:20" x14ac:dyDescent="0.35">
      <c r="B93" s="2680" t="s">
        <v>2159</v>
      </c>
      <c r="C93" s="1443">
        <v>8760</v>
      </c>
      <c r="D93" s="1444">
        <v>0.64800000000000002</v>
      </c>
      <c r="E93" s="2681">
        <v>1216</v>
      </c>
      <c r="F93" s="2681">
        <v>1220</v>
      </c>
      <c r="G93" s="2681">
        <v>1072</v>
      </c>
      <c r="H93" s="2681">
        <v>1001</v>
      </c>
      <c r="I93" s="2681">
        <v>1028</v>
      </c>
      <c r="K93" s="1441"/>
      <c r="L93" s="873" t="s">
        <v>440</v>
      </c>
      <c r="M93" s="698" t="s">
        <v>1992</v>
      </c>
      <c r="N93" s="698" t="s">
        <v>2412</v>
      </c>
      <c r="O93" s="1206"/>
      <c r="P93" s="1206"/>
      <c r="Q93" s="1206"/>
      <c r="R93" s="1206"/>
      <c r="S93" s="1193"/>
      <c r="T93" s="1207"/>
    </row>
    <row r="94" spans="1:20" x14ac:dyDescent="0.35">
      <c r="B94" s="2680" t="s">
        <v>2160</v>
      </c>
      <c r="C94" s="1443">
        <v>2881</v>
      </c>
      <c r="D94" s="1444">
        <v>0.61499999999999999</v>
      </c>
      <c r="E94" s="2681">
        <v>1387</v>
      </c>
      <c r="F94" s="2681">
        <v>1398</v>
      </c>
      <c r="G94" s="2681">
        <v>1252</v>
      </c>
      <c r="H94" s="2681">
        <v>1222</v>
      </c>
      <c r="I94" s="2681">
        <v>1269</v>
      </c>
      <c r="K94" s="1441"/>
      <c r="L94" s="1208" t="s">
        <v>2399</v>
      </c>
      <c r="M94" s="1206" t="s">
        <v>1992</v>
      </c>
      <c r="N94" s="1193" t="s">
        <v>2413</v>
      </c>
      <c r="O94" s="1206"/>
      <c r="P94" s="1206"/>
      <c r="Q94" s="1206"/>
      <c r="R94" s="1206"/>
      <c r="S94" s="1193"/>
      <c r="T94" s="1207"/>
    </row>
    <row r="95" spans="1:20" x14ac:dyDescent="0.35">
      <c r="B95" s="2680" t="s">
        <v>2161</v>
      </c>
      <c r="C95" s="1443">
        <v>2788</v>
      </c>
      <c r="D95" s="1444">
        <v>0.57599999999999996</v>
      </c>
      <c r="E95" s="2682">
        <v>665</v>
      </c>
      <c r="F95" s="2682">
        <v>697</v>
      </c>
      <c r="G95" s="2682">
        <v>628</v>
      </c>
      <c r="H95" s="2682">
        <v>646</v>
      </c>
      <c r="I95" s="2682">
        <v>615</v>
      </c>
      <c r="K95" s="1441"/>
      <c r="L95" s="1194" t="s">
        <v>2414</v>
      </c>
      <c r="M95" s="1193" t="s">
        <v>2112</v>
      </c>
      <c r="N95" s="1206" t="s">
        <v>2415</v>
      </c>
      <c r="O95" s="1206"/>
      <c r="P95" s="1206"/>
      <c r="Q95" s="1206"/>
      <c r="R95" s="1206"/>
      <c r="S95" s="1193"/>
      <c r="T95" s="1207"/>
    </row>
    <row r="96" spans="1:20" x14ac:dyDescent="0.35">
      <c r="B96" s="2680" t="s">
        <v>2162</v>
      </c>
      <c r="C96" s="1443">
        <v>8729</v>
      </c>
      <c r="D96" s="1444">
        <v>0.60899999999999999</v>
      </c>
      <c r="E96" s="2681">
        <v>1622</v>
      </c>
      <c r="F96" s="2681">
        <v>1571</v>
      </c>
      <c r="G96" s="2681">
        <v>1374</v>
      </c>
      <c r="H96" s="2681">
        <v>1220</v>
      </c>
      <c r="I96" s="2681">
        <v>1281</v>
      </c>
      <c r="K96" s="1441"/>
      <c r="L96" s="933" t="s">
        <v>2334</v>
      </c>
      <c r="M96" s="934" t="s">
        <v>2112</v>
      </c>
      <c r="N96" s="934" t="s">
        <v>2416</v>
      </c>
      <c r="O96" s="1198"/>
      <c r="P96" s="1198"/>
      <c r="Q96" s="1198"/>
      <c r="R96" s="1198"/>
      <c r="S96" s="1197"/>
      <c r="T96" s="1199"/>
    </row>
    <row r="97" spans="2:23" x14ac:dyDescent="0.35">
      <c r="B97" s="2680" t="s">
        <v>2325</v>
      </c>
      <c r="C97" s="1448">
        <v>8712</v>
      </c>
      <c r="D97" s="1449">
        <v>0.629</v>
      </c>
      <c r="E97" s="2681">
        <v>1597</v>
      </c>
      <c r="F97" s="2681">
        <v>1634</v>
      </c>
      <c r="G97" s="2681">
        <v>1468</v>
      </c>
      <c r="H97" s="2681">
        <v>1376</v>
      </c>
      <c r="I97" s="2681">
        <v>1451</v>
      </c>
      <c r="K97" s="1441"/>
      <c r="L97" s="1204"/>
      <c r="M97" s="1204"/>
      <c r="N97" s="1204"/>
      <c r="O97" s="870"/>
      <c r="P97" s="870"/>
      <c r="Q97" s="870"/>
      <c r="R97" s="870"/>
      <c r="S97" s="870"/>
      <c r="T97" s="870"/>
    </row>
    <row r="98" spans="2:23" x14ac:dyDescent="0.35">
      <c r="B98" s="2680" t="s">
        <v>2073</v>
      </c>
      <c r="C98" s="1443">
        <v>8712</v>
      </c>
      <c r="D98" s="1444">
        <v>0.64600000000000002</v>
      </c>
      <c r="E98" s="2681">
        <v>1670</v>
      </c>
      <c r="F98" s="2681">
        <v>1733</v>
      </c>
      <c r="G98" s="2681">
        <v>1549</v>
      </c>
      <c r="H98" s="2681">
        <v>1496</v>
      </c>
      <c r="I98" s="2681">
        <v>1557</v>
      </c>
      <c r="K98" s="1441"/>
      <c r="L98" s="1193"/>
      <c r="M98" s="1193"/>
      <c r="N98" s="1193"/>
      <c r="O98" s="698"/>
      <c r="P98" s="698"/>
      <c r="Q98" s="698"/>
      <c r="R98" s="698"/>
      <c r="S98" s="698"/>
      <c r="T98" s="698"/>
    </row>
    <row r="99" spans="2:23" x14ac:dyDescent="0.35">
      <c r="B99" s="2680" t="s">
        <v>2166</v>
      </c>
      <c r="C99" s="1443">
        <v>4479</v>
      </c>
      <c r="D99" s="1444">
        <v>0.629</v>
      </c>
      <c r="E99" s="2681">
        <v>1555</v>
      </c>
      <c r="F99" s="2681">
        <v>1597</v>
      </c>
      <c r="G99" s="2681">
        <v>1433</v>
      </c>
      <c r="H99" s="2681">
        <v>1316</v>
      </c>
      <c r="I99" s="2681">
        <v>1400</v>
      </c>
      <c r="K99" s="1441"/>
    </row>
    <row r="100" spans="2:23" x14ac:dyDescent="0.35">
      <c r="B100" s="1144" t="s">
        <v>2163</v>
      </c>
      <c r="C100" s="1443">
        <v>2805</v>
      </c>
      <c r="D100" s="1444">
        <v>0.433</v>
      </c>
      <c r="E100" s="1200">
        <v>1048</v>
      </c>
      <c r="F100" s="1201">
        <v>1013</v>
      </c>
      <c r="G100" s="1201">
        <v>939</v>
      </c>
      <c r="H100" s="1201">
        <v>567</v>
      </c>
      <c r="I100" s="1322">
        <v>634</v>
      </c>
      <c r="K100" s="1441"/>
    </row>
    <row r="101" spans="2:23" x14ac:dyDescent="0.35">
      <c r="B101" s="2683" t="s">
        <v>2181</v>
      </c>
      <c r="C101" s="1443">
        <v>4237</v>
      </c>
      <c r="D101" s="1449">
        <v>0.437</v>
      </c>
      <c r="E101" s="2684">
        <v>1565</v>
      </c>
      <c r="F101" s="2684">
        <v>1540</v>
      </c>
      <c r="G101" s="2684">
        <v>1448</v>
      </c>
      <c r="H101" s="2684">
        <v>1089</v>
      </c>
      <c r="I101" s="2684">
        <v>1125</v>
      </c>
      <c r="K101" s="1441"/>
      <c r="L101" s="1193"/>
      <c r="M101" s="1193"/>
      <c r="N101" s="1193"/>
      <c r="O101" s="698"/>
      <c r="P101" s="698"/>
      <c r="Q101" s="698"/>
      <c r="R101" s="698"/>
      <c r="S101" s="698"/>
      <c r="T101" s="698"/>
    </row>
    <row r="102" spans="2:23" x14ac:dyDescent="0.35">
      <c r="B102" s="2683" t="s">
        <v>2164</v>
      </c>
      <c r="C102" s="1448">
        <v>4237</v>
      </c>
      <c r="D102" s="1444">
        <v>0.437</v>
      </c>
      <c r="E102" s="2685">
        <v>537</v>
      </c>
      <c r="F102" s="2685">
        <v>558</v>
      </c>
      <c r="G102" s="2685">
        <v>501</v>
      </c>
      <c r="H102" s="2685">
        <v>480</v>
      </c>
      <c r="I102" s="2685">
        <v>499</v>
      </c>
      <c r="K102" s="1441"/>
      <c r="L102" s="1193"/>
      <c r="M102" s="1193"/>
      <c r="N102" s="1193"/>
      <c r="O102" s="698"/>
      <c r="P102" s="698"/>
      <c r="Q102" s="698"/>
      <c r="R102" s="698"/>
      <c r="S102" s="698"/>
      <c r="T102" s="698"/>
    </row>
    <row r="103" spans="2:23" x14ac:dyDescent="0.35">
      <c r="B103" s="2683" t="s">
        <v>2336</v>
      </c>
      <c r="C103" s="1448">
        <v>4237</v>
      </c>
      <c r="D103" s="1449">
        <v>0.43</v>
      </c>
      <c r="E103" s="2684">
        <v>1665</v>
      </c>
      <c r="F103" s="2684">
        <v>1666</v>
      </c>
      <c r="G103" s="2684">
        <v>1512</v>
      </c>
      <c r="H103" s="2684">
        <v>1145</v>
      </c>
      <c r="I103" s="2684">
        <v>1207</v>
      </c>
      <c r="K103" s="1441"/>
      <c r="L103" s="1193"/>
      <c r="M103" s="1193"/>
      <c r="N103" s="1193"/>
      <c r="O103" s="698"/>
      <c r="P103" s="698"/>
      <c r="Q103" s="698"/>
      <c r="R103" s="698"/>
      <c r="S103" s="698"/>
      <c r="T103" s="698"/>
    </row>
    <row r="104" spans="2:23" x14ac:dyDescent="0.35">
      <c r="B104" s="2683" t="s">
        <v>2165</v>
      </c>
      <c r="C104" s="1443">
        <v>2899</v>
      </c>
      <c r="D104" s="1444">
        <v>0.24299999999999999</v>
      </c>
      <c r="E104" s="2684">
        <v>1730</v>
      </c>
      <c r="F104" s="2684">
        <v>1782</v>
      </c>
      <c r="G104" s="2684">
        <v>1589</v>
      </c>
      <c r="H104" s="2684">
        <v>1538</v>
      </c>
      <c r="I104" s="2684">
        <v>1560</v>
      </c>
      <c r="K104" s="1441"/>
      <c r="L104" s="1193"/>
      <c r="M104" s="1193"/>
      <c r="N104" s="1193"/>
      <c r="O104" s="698"/>
      <c r="P104" s="698"/>
      <c r="Q104" s="698"/>
      <c r="R104" s="698"/>
      <c r="S104" s="698"/>
      <c r="T104" s="698"/>
    </row>
    <row r="105" spans="2:23" x14ac:dyDescent="0.35">
      <c r="B105" s="1146" t="s">
        <v>2167</v>
      </c>
      <c r="C105" s="1443">
        <v>2120</v>
      </c>
      <c r="D105" s="1444">
        <v>0.41899999999999998</v>
      </c>
      <c r="E105" s="1200">
        <v>1916</v>
      </c>
      <c r="F105" s="1201">
        <v>1905</v>
      </c>
      <c r="G105" s="1201">
        <v>1718</v>
      </c>
      <c r="H105" s="1201">
        <v>1288</v>
      </c>
      <c r="I105" s="1322">
        <v>1538</v>
      </c>
      <c r="K105" s="1441"/>
      <c r="L105" s="1193"/>
      <c r="M105" s="1193"/>
      <c r="N105" s="1450" t="s">
        <v>2417</v>
      </c>
      <c r="O105" s="1451"/>
      <c r="P105" s="698"/>
      <c r="Q105" s="1452" t="s">
        <v>2418</v>
      </c>
      <c r="R105" s="1451"/>
      <c r="S105" s="698"/>
      <c r="T105" s="698"/>
    </row>
    <row r="106" spans="2:23" x14ac:dyDescent="0.35">
      <c r="B106" s="2683" t="s">
        <v>2168</v>
      </c>
      <c r="C106" s="1443">
        <v>5682</v>
      </c>
      <c r="D106" s="1444">
        <v>0.503</v>
      </c>
      <c r="E106" s="2685">
        <v>995</v>
      </c>
      <c r="F106" s="2684">
        <v>1036</v>
      </c>
      <c r="G106" s="2685">
        <v>933</v>
      </c>
      <c r="H106" s="2685">
        <v>786</v>
      </c>
      <c r="I106" s="2685">
        <v>832</v>
      </c>
      <c r="K106" s="1441"/>
      <c r="L106" s="1193"/>
      <c r="M106" s="1193"/>
      <c r="N106" s="1453"/>
      <c r="O106" s="1454"/>
      <c r="P106" s="698"/>
      <c r="Q106" s="1455"/>
      <c r="R106" s="1454"/>
      <c r="S106" s="698"/>
      <c r="T106" s="698"/>
      <c r="U106" s="698"/>
      <c r="V106" s="698"/>
      <c r="W106" s="698"/>
    </row>
    <row r="107" spans="2:23" x14ac:dyDescent="0.35">
      <c r="B107" s="2683" t="s">
        <v>2169</v>
      </c>
      <c r="C107" s="1443">
        <v>4849</v>
      </c>
      <c r="D107" s="1444">
        <v>0.48299999999999998</v>
      </c>
      <c r="E107" s="2684">
        <v>2244</v>
      </c>
      <c r="F107" s="2684">
        <v>2237</v>
      </c>
      <c r="G107" s="2684">
        <v>2024</v>
      </c>
      <c r="H107" s="2684">
        <v>1553</v>
      </c>
      <c r="I107" s="2684">
        <v>1608</v>
      </c>
      <c r="K107" s="1441"/>
      <c r="L107" s="1193"/>
      <c r="M107" s="1193"/>
      <c r="N107" s="1453" t="s">
        <v>2019</v>
      </c>
      <c r="O107" s="1454" t="s">
        <v>2419</v>
      </c>
      <c r="P107" s="698"/>
      <c r="Q107" s="1453" t="s">
        <v>2019</v>
      </c>
      <c r="R107" s="1454" t="s">
        <v>2419</v>
      </c>
      <c r="S107" s="698"/>
      <c r="T107" s="698"/>
      <c r="U107" s="698"/>
      <c r="V107" s="698"/>
      <c r="W107" s="698"/>
    </row>
    <row r="108" spans="2:23" x14ac:dyDescent="0.35">
      <c r="B108" s="2683" t="s">
        <v>2170</v>
      </c>
      <c r="C108" s="1443">
        <v>2038</v>
      </c>
      <c r="D108" s="1444">
        <v>0.432</v>
      </c>
      <c r="E108" s="2684">
        <v>1552</v>
      </c>
      <c r="F108" s="2684">
        <v>1432</v>
      </c>
      <c r="G108" s="2684">
        <v>1239</v>
      </c>
      <c r="H108" s="2684">
        <v>1077</v>
      </c>
      <c r="I108" s="2684">
        <v>1098</v>
      </c>
      <c r="K108" s="1441"/>
      <c r="N108" s="1453" t="s">
        <v>2180</v>
      </c>
      <c r="O108" s="1456">
        <v>2150</v>
      </c>
      <c r="P108" s="698"/>
      <c r="Q108" s="1455" t="s">
        <v>2180</v>
      </c>
      <c r="R108" s="1454">
        <v>0.48299999999999998</v>
      </c>
      <c r="S108" s="698"/>
      <c r="T108" s="698"/>
      <c r="U108" s="698"/>
      <c r="V108" s="698"/>
      <c r="W108" s="698"/>
    </row>
    <row r="109" spans="2:23" x14ac:dyDescent="0.35">
      <c r="B109" s="2683" t="s">
        <v>2171</v>
      </c>
      <c r="C109" s="1443">
        <v>3069</v>
      </c>
      <c r="D109" s="1444">
        <v>0.46200000000000002</v>
      </c>
      <c r="E109" s="2684">
        <v>1015</v>
      </c>
      <c r="F109" s="2685">
        <v>993</v>
      </c>
      <c r="G109" s="2685">
        <v>899</v>
      </c>
      <c r="H109" s="2685">
        <v>773</v>
      </c>
      <c r="I109" s="2685">
        <v>809</v>
      </c>
      <c r="K109" s="1441"/>
      <c r="N109" s="1453" t="s">
        <v>2071</v>
      </c>
      <c r="O109" s="1456">
        <v>4373</v>
      </c>
      <c r="P109" s="698"/>
      <c r="Q109" s="1453" t="s">
        <v>2071</v>
      </c>
      <c r="R109" s="1456">
        <v>0.52900000000000003</v>
      </c>
      <c r="S109" s="698"/>
      <c r="T109" s="698"/>
      <c r="U109" s="698"/>
      <c r="V109" s="698"/>
      <c r="W109" s="698"/>
    </row>
    <row r="110" spans="2:23" x14ac:dyDescent="0.35">
      <c r="B110" s="2683" t="s">
        <v>2172</v>
      </c>
      <c r="C110" s="1457">
        <v>2481</v>
      </c>
      <c r="D110" s="1458">
        <v>0.47399999999999998</v>
      </c>
      <c r="E110" s="2684">
        <v>2825</v>
      </c>
      <c r="F110" s="2684">
        <v>2625</v>
      </c>
      <c r="G110" s="2684">
        <v>2365</v>
      </c>
      <c r="H110" s="2684">
        <v>2007</v>
      </c>
      <c r="I110" s="2684">
        <v>2040</v>
      </c>
      <c r="K110" s="1441"/>
      <c r="N110" s="1453" t="s">
        <v>2157</v>
      </c>
      <c r="O110" s="1456">
        <v>1605</v>
      </c>
      <c r="P110" s="698"/>
      <c r="Q110" s="1453" t="s">
        <v>2157</v>
      </c>
      <c r="R110" s="1456">
        <v>0.14199999999999999</v>
      </c>
      <c r="S110" s="698"/>
      <c r="T110" s="698"/>
      <c r="U110" s="698"/>
      <c r="V110" s="698"/>
      <c r="W110" s="698"/>
    </row>
    <row r="111" spans="2:23" x14ac:dyDescent="0.35">
      <c r="B111" s="2683" t="s">
        <v>2173</v>
      </c>
      <c r="C111" s="1443">
        <v>1881</v>
      </c>
      <c r="D111" s="1444">
        <v>0.42799999999999999</v>
      </c>
      <c r="E111" s="2684">
        <v>1672</v>
      </c>
      <c r="F111" s="2684">
        <v>1629</v>
      </c>
      <c r="G111" s="2684">
        <v>1454</v>
      </c>
      <c r="H111" s="2684">
        <v>1356</v>
      </c>
      <c r="I111" s="2684">
        <v>1399</v>
      </c>
      <c r="K111" s="1441"/>
      <c r="N111" s="1453" t="s">
        <v>2158</v>
      </c>
      <c r="O111" s="1456">
        <v>2084</v>
      </c>
      <c r="P111" s="698"/>
      <c r="Q111" s="1453" t="s">
        <v>2158</v>
      </c>
      <c r="R111" s="1456">
        <v>0.57099999999999995</v>
      </c>
      <c r="S111" s="698"/>
      <c r="T111" s="698"/>
      <c r="U111" s="698"/>
      <c r="V111" s="698"/>
      <c r="W111" s="698"/>
    </row>
    <row r="112" spans="2:23" x14ac:dyDescent="0.35">
      <c r="B112" s="2683" t="s">
        <v>3908</v>
      </c>
      <c r="C112" s="1443"/>
      <c r="D112" s="1444"/>
      <c r="E112" s="2684">
        <v>2757</v>
      </c>
      <c r="F112" s="2684">
        <v>2670</v>
      </c>
      <c r="G112" s="2684">
        <v>2383</v>
      </c>
      <c r="H112" s="2684">
        <v>2149</v>
      </c>
      <c r="I112" s="2684">
        <v>2186</v>
      </c>
      <c r="K112" s="1441"/>
      <c r="N112" s="1453" t="s">
        <v>2028</v>
      </c>
      <c r="O112" s="1456">
        <v>3276</v>
      </c>
      <c r="P112" s="698"/>
      <c r="Q112" s="1453" t="s">
        <v>2028</v>
      </c>
      <c r="R112" s="1456">
        <v>0.33300000000000002</v>
      </c>
      <c r="S112" s="2686"/>
      <c r="T112" s="2686"/>
      <c r="U112" s="2686"/>
      <c r="V112" s="2686"/>
      <c r="W112" s="2686"/>
    </row>
    <row r="113" spans="1:23" x14ac:dyDescent="0.35">
      <c r="B113" s="1144" t="s">
        <v>2174</v>
      </c>
      <c r="C113" s="1443">
        <v>2830</v>
      </c>
      <c r="D113" s="1444">
        <v>0.433</v>
      </c>
      <c r="E113" s="1200">
        <v>1603</v>
      </c>
      <c r="F113" s="1201">
        <v>1504</v>
      </c>
      <c r="G113" s="1201">
        <v>1440</v>
      </c>
      <c r="H113" s="1201">
        <v>1054</v>
      </c>
      <c r="I113" s="1322">
        <v>1205</v>
      </c>
      <c r="K113" s="1441"/>
      <c r="N113" s="1453" t="s">
        <v>2109</v>
      </c>
      <c r="O113" s="1456">
        <v>2102</v>
      </c>
      <c r="P113" s="698"/>
      <c r="Q113" s="1453" t="s">
        <v>2109</v>
      </c>
      <c r="R113" s="1456">
        <v>0.61899999999999999</v>
      </c>
      <c r="S113" s="698"/>
      <c r="T113" s="698"/>
      <c r="U113" s="698"/>
      <c r="V113" s="698"/>
      <c r="W113" s="698"/>
    </row>
    <row r="114" spans="1:23" x14ac:dyDescent="0.35">
      <c r="B114" s="2683" t="s">
        <v>2175</v>
      </c>
      <c r="C114" s="1446">
        <v>3350</v>
      </c>
      <c r="D114" s="1447">
        <v>0.48799999999999999</v>
      </c>
      <c r="E114" s="2684">
        <v>1326</v>
      </c>
      <c r="F114" s="2684">
        <v>1328</v>
      </c>
      <c r="G114" s="2684">
        <v>1179</v>
      </c>
      <c r="H114" s="2684">
        <v>1091</v>
      </c>
      <c r="I114" s="2684">
        <v>1122</v>
      </c>
      <c r="K114" s="1441"/>
      <c r="N114" s="1453" t="s">
        <v>2026</v>
      </c>
      <c r="O114" s="1456">
        <v>2096</v>
      </c>
      <c r="P114" s="698"/>
      <c r="Q114" s="1453" t="s">
        <v>2026</v>
      </c>
      <c r="R114" s="1456">
        <v>0.47499999999999998</v>
      </c>
      <c r="S114" s="698"/>
      <c r="T114" s="698"/>
      <c r="U114" s="698"/>
      <c r="V114" s="698"/>
      <c r="W114" s="698"/>
    </row>
    <row r="115" spans="1:23" x14ac:dyDescent="0.35">
      <c r="B115" s="2683" t="s">
        <v>2176</v>
      </c>
      <c r="C115" s="1443">
        <v>2528</v>
      </c>
      <c r="D115" s="1444">
        <v>0.505</v>
      </c>
      <c r="E115" s="2684">
        <v>1365</v>
      </c>
      <c r="F115" s="2684">
        <v>1322</v>
      </c>
      <c r="G115" s="2684">
        <v>1193</v>
      </c>
      <c r="H115" s="2684">
        <v>1034</v>
      </c>
      <c r="I115" s="2684">
        <v>1088</v>
      </c>
      <c r="K115" s="1441"/>
      <c r="N115" s="1453" t="s">
        <v>2075</v>
      </c>
      <c r="O115" s="1456">
        <v>1987</v>
      </c>
      <c r="P115" s="698"/>
      <c r="Q115" s="1453" t="s">
        <v>2075</v>
      </c>
      <c r="R115" s="1456">
        <v>0.61899999999999999</v>
      </c>
      <c r="S115" s="698"/>
      <c r="T115" s="698"/>
      <c r="U115" s="698"/>
      <c r="V115" s="698"/>
      <c r="W115" s="698"/>
    </row>
    <row r="116" spans="1:23" x14ac:dyDescent="0.35">
      <c r="B116" s="2683" t="s">
        <v>2177</v>
      </c>
      <c r="C116" s="1443">
        <v>2266</v>
      </c>
      <c r="D116" s="1444">
        <v>0.52800000000000002</v>
      </c>
      <c r="E116" s="2684">
        <v>1347</v>
      </c>
      <c r="F116" s="2684">
        <v>1325</v>
      </c>
      <c r="G116" s="2684">
        <v>1183</v>
      </c>
      <c r="H116" s="2684">
        <v>1064</v>
      </c>
      <c r="I116" s="2684">
        <v>1096</v>
      </c>
      <c r="K116" s="1441"/>
      <c r="N116" s="1459" t="s">
        <v>2029</v>
      </c>
      <c r="O116" s="1460">
        <v>3141</v>
      </c>
      <c r="P116" s="698"/>
      <c r="Q116" s="1453" t="s">
        <v>2029</v>
      </c>
      <c r="R116" s="1456">
        <v>0.28799999999999998</v>
      </c>
      <c r="S116" s="698"/>
      <c r="T116" s="698"/>
      <c r="U116" s="698"/>
      <c r="V116" s="698"/>
      <c r="W116" s="698"/>
    </row>
    <row r="117" spans="1:23" x14ac:dyDescent="0.35">
      <c r="B117" s="2683" t="s">
        <v>2027</v>
      </c>
      <c r="C117" s="1443">
        <v>770</v>
      </c>
      <c r="D117" s="1444">
        <v>0.22500000000000001</v>
      </c>
      <c r="E117" s="2684">
        <v>1285</v>
      </c>
      <c r="F117" s="2684">
        <v>1286</v>
      </c>
      <c r="G117" s="2684">
        <v>1180</v>
      </c>
      <c r="H117" s="2684">
        <v>1147</v>
      </c>
      <c r="I117" s="2684">
        <v>1224</v>
      </c>
      <c r="K117" s="1441"/>
      <c r="L117" s="1394"/>
      <c r="N117" s="1459" t="s">
        <v>2161</v>
      </c>
      <c r="O117" s="1460">
        <v>2788</v>
      </c>
      <c r="P117" s="698"/>
      <c r="Q117" s="1459" t="s">
        <v>2161</v>
      </c>
      <c r="R117" s="1460">
        <v>0.57599999999999996</v>
      </c>
      <c r="S117" s="698"/>
      <c r="T117" s="698"/>
      <c r="U117" s="698"/>
      <c r="V117" s="698"/>
      <c r="W117" s="698"/>
    </row>
    <row r="118" spans="1:23" x14ac:dyDescent="0.35">
      <c r="B118" s="2683" t="s">
        <v>536</v>
      </c>
      <c r="C118" s="1461">
        <v>2718</v>
      </c>
      <c r="D118" s="1462">
        <v>0.42399999999999999</v>
      </c>
      <c r="E118" s="2684">
        <v>1709</v>
      </c>
      <c r="F118" s="2684">
        <v>1678</v>
      </c>
      <c r="G118" s="2684">
        <v>1508</v>
      </c>
      <c r="H118" s="2684">
        <v>1287</v>
      </c>
      <c r="I118" s="2684">
        <v>1411</v>
      </c>
      <c r="K118" s="1441"/>
      <c r="L118" s="1394"/>
      <c r="N118" s="1459" t="s">
        <v>2160</v>
      </c>
      <c r="O118" s="1460">
        <v>2881</v>
      </c>
      <c r="P118" s="698"/>
      <c r="Q118" s="1459" t="s">
        <v>2160</v>
      </c>
      <c r="R118" s="1460">
        <v>0.61499999999999999</v>
      </c>
      <c r="S118" s="698"/>
      <c r="T118" s="698"/>
      <c r="U118" s="698"/>
      <c r="V118" s="698"/>
      <c r="W118" s="698"/>
    </row>
    <row r="119" spans="1:23" s="1394" customFormat="1" x14ac:dyDescent="0.35">
      <c r="A119" s="1195"/>
      <c r="C119" s="1463" t="s">
        <v>2420</v>
      </c>
      <c r="M119" s="1195"/>
      <c r="N119" s="1455" t="s">
        <v>2159</v>
      </c>
      <c r="O119" s="1454">
        <v>8760</v>
      </c>
      <c r="P119" s="698"/>
      <c r="Q119" s="1459" t="s">
        <v>2159</v>
      </c>
      <c r="R119" s="1460">
        <v>0.64800000000000002</v>
      </c>
      <c r="S119" s="698"/>
      <c r="T119" s="698"/>
      <c r="U119" s="698"/>
      <c r="V119" s="698"/>
      <c r="W119" s="698"/>
    </row>
    <row r="120" spans="1:23" s="675" customFormat="1" x14ac:dyDescent="0.35">
      <c r="M120" s="1195"/>
      <c r="N120" s="1455"/>
      <c r="O120" s="1454"/>
      <c r="P120" s="698"/>
      <c r="Q120" s="1459"/>
      <c r="R120" s="1460"/>
      <c r="S120" s="698"/>
      <c r="T120" s="698"/>
      <c r="U120" s="698"/>
      <c r="V120" s="698"/>
      <c r="W120" s="698"/>
    </row>
    <row r="121" spans="1:23" s="675" customFormat="1" ht="29" x14ac:dyDescent="0.35">
      <c r="B121" s="1464" t="s">
        <v>2384</v>
      </c>
      <c r="C121" s="1465" t="s">
        <v>2421</v>
      </c>
      <c r="M121" s="1195"/>
      <c r="N121" s="1455"/>
      <c r="O121" s="1454"/>
      <c r="P121" s="698"/>
      <c r="Q121" s="1459"/>
      <c r="R121" s="1460"/>
      <c r="S121" s="698"/>
      <c r="T121" s="698"/>
      <c r="U121" s="698"/>
      <c r="V121" s="698"/>
      <c r="W121" s="698"/>
    </row>
    <row r="122" spans="1:23" s="675" customFormat="1" x14ac:dyDescent="0.35">
      <c r="B122" s="1466">
        <v>0.94</v>
      </c>
      <c r="C122" s="1467">
        <v>1275</v>
      </c>
      <c r="M122" s="1195"/>
      <c r="N122" s="1455"/>
      <c r="O122" s="1454"/>
      <c r="P122" s="698"/>
      <c r="Q122" s="1459"/>
      <c r="R122" s="1460"/>
      <c r="S122" s="698"/>
      <c r="T122" s="698"/>
      <c r="U122" s="698"/>
      <c r="V122" s="698"/>
      <c r="W122" s="698"/>
    </row>
    <row r="123" spans="1:23" s="675" customFormat="1" x14ac:dyDescent="0.35">
      <c r="B123" s="1468">
        <v>0.95</v>
      </c>
      <c r="C123" s="1469">
        <v>1511</v>
      </c>
      <c r="M123" s="1195"/>
      <c r="N123" s="1455"/>
      <c r="O123" s="1454"/>
      <c r="P123" s="698"/>
      <c r="Q123" s="1459"/>
      <c r="R123" s="1460"/>
      <c r="S123" s="698"/>
      <c r="T123" s="698"/>
      <c r="U123" s="698"/>
      <c r="V123" s="698"/>
      <c r="W123" s="698"/>
    </row>
    <row r="124" spans="1:23" s="675" customFormat="1" x14ac:dyDescent="0.35">
      <c r="B124" s="1470">
        <v>0.96</v>
      </c>
      <c r="C124" s="1471">
        <v>1747</v>
      </c>
      <c r="M124" s="1195"/>
      <c r="N124" s="1455"/>
      <c r="O124" s="1454"/>
      <c r="P124" s="698"/>
      <c r="Q124" s="1459"/>
      <c r="R124" s="1460"/>
      <c r="S124" s="698"/>
      <c r="T124" s="698"/>
      <c r="U124" s="698"/>
      <c r="V124" s="698"/>
      <c r="W124" s="698"/>
    </row>
    <row r="125" spans="1:23" s="675" customFormat="1" x14ac:dyDescent="0.35">
      <c r="B125" s="1082"/>
      <c r="M125" s="1195"/>
      <c r="N125" s="1459" t="s">
        <v>2162</v>
      </c>
      <c r="O125" s="1460">
        <v>8729</v>
      </c>
      <c r="P125" s="698"/>
      <c r="Q125" s="1455" t="s">
        <v>2162</v>
      </c>
      <c r="R125" s="1454">
        <v>0.60899999999999999</v>
      </c>
      <c r="S125" s="698"/>
      <c r="T125" s="698"/>
      <c r="U125" s="698"/>
      <c r="V125" s="698"/>
      <c r="W125" s="698"/>
    </row>
    <row r="126" spans="1:23" s="1394" customFormat="1" ht="21" x14ac:dyDescent="0.5">
      <c r="A126" s="1395" t="s">
        <v>2012</v>
      </c>
      <c r="M126" s="1195"/>
      <c r="N126" s="1459" t="s">
        <v>2163</v>
      </c>
      <c r="O126" s="1460">
        <v>2805</v>
      </c>
      <c r="P126" s="698"/>
      <c r="Q126" s="1459" t="s">
        <v>2163</v>
      </c>
      <c r="R126" s="1460">
        <v>0.433</v>
      </c>
      <c r="S126" s="698"/>
      <c r="T126" s="698"/>
      <c r="U126" s="698"/>
      <c r="V126" s="698"/>
      <c r="W126" s="698"/>
    </row>
    <row r="127" spans="1:23" s="1394" customFormat="1" ht="21" x14ac:dyDescent="0.5">
      <c r="A127" s="1395"/>
      <c r="B127" s="1206"/>
      <c r="C127" s="1472"/>
      <c r="M127" s="1195"/>
      <c r="N127" s="1459" t="s">
        <v>2181</v>
      </c>
      <c r="O127" s="1460">
        <v>4237</v>
      </c>
      <c r="P127" s="698"/>
      <c r="Q127" s="1459" t="s">
        <v>2164</v>
      </c>
      <c r="R127" s="1460">
        <v>0.437</v>
      </c>
      <c r="S127" s="698"/>
      <c r="T127" s="698"/>
      <c r="U127" s="698"/>
      <c r="V127" s="698"/>
      <c r="W127" s="698"/>
    </row>
    <row r="128" spans="1:23" s="1394" customFormat="1" x14ac:dyDescent="0.35">
      <c r="D128" s="3060"/>
      <c r="E128" s="3060"/>
      <c r="K128" s="1206"/>
      <c r="M128" s="1195"/>
      <c r="N128" s="1459" t="s">
        <v>2165</v>
      </c>
      <c r="O128" s="1460">
        <v>2899</v>
      </c>
      <c r="P128" s="698"/>
      <c r="Q128" s="1459" t="s">
        <v>2165</v>
      </c>
      <c r="R128" s="1460">
        <v>0.24299999999999999</v>
      </c>
      <c r="S128" s="698"/>
      <c r="T128" s="698"/>
      <c r="U128" s="698"/>
      <c r="V128" s="698"/>
      <c r="W128" s="698"/>
    </row>
    <row r="129" spans="1:23" s="1394" customFormat="1" x14ac:dyDescent="0.35">
      <c r="B129" s="1473" t="s">
        <v>2422</v>
      </c>
      <c r="C129" s="1474" t="s">
        <v>2184</v>
      </c>
      <c r="D129" s="1475"/>
      <c r="E129" s="1476"/>
      <c r="F129" s="1476"/>
      <c r="G129" s="1476"/>
      <c r="H129" s="1476"/>
      <c r="I129" s="1476"/>
      <c r="J129" s="1476"/>
      <c r="K129" s="1476"/>
      <c r="L129" s="1476"/>
      <c r="M129" s="1195"/>
      <c r="N129" s="1459" t="s">
        <v>2424</v>
      </c>
      <c r="O129" s="1460">
        <v>4479</v>
      </c>
      <c r="P129" s="698"/>
      <c r="Q129" s="1459" t="s">
        <v>2166</v>
      </c>
      <c r="R129" s="1460">
        <v>0.629</v>
      </c>
      <c r="S129" s="698"/>
      <c r="T129" s="698"/>
      <c r="U129" s="698"/>
      <c r="V129" s="698"/>
      <c r="W129" s="698"/>
    </row>
    <row r="130" spans="1:23" s="1394" customFormat="1" x14ac:dyDescent="0.35">
      <c r="B130" s="1435" t="s">
        <v>2423</v>
      </c>
      <c r="C130" s="1477">
        <v>1000</v>
      </c>
      <c r="D130" s="1478"/>
      <c r="E130" s="1476"/>
      <c r="F130" s="1476"/>
      <c r="G130" s="1476"/>
      <c r="H130" s="1476"/>
      <c r="I130" s="1476"/>
      <c r="J130" s="1476"/>
      <c r="K130" s="1476"/>
      <c r="L130" s="1476"/>
      <c r="M130" s="1195"/>
      <c r="N130" s="1459" t="s">
        <v>2073</v>
      </c>
      <c r="O130" s="1460">
        <v>8712</v>
      </c>
      <c r="P130" s="698"/>
      <c r="Q130" s="1459" t="s">
        <v>2073</v>
      </c>
      <c r="R130" s="1460">
        <v>0.64600000000000002</v>
      </c>
      <c r="S130" s="698"/>
      <c r="T130" s="698"/>
      <c r="U130" s="698"/>
      <c r="V130" s="698"/>
      <c r="W130" s="698"/>
    </row>
    <row r="131" spans="1:23" s="1394" customFormat="1" x14ac:dyDescent="0.35">
      <c r="B131" s="1437" t="s">
        <v>2425</v>
      </c>
      <c r="C131" s="1479">
        <v>1500</v>
      </c>
      <c r="D131" s="1478"/>
      <c r="E131" s="1476"/>
      <c r="F131" s="1476"/>
      <c r="G131" s="1476"/>
      <c r="H131" s="1476"/>
      <c r="I131" s="1476"/>
      <c r="J131" s="1476"/>
      <c r="K131" s="1476"/>
      <c r="L131" s="1476"/>
      <c r="M131" s="1195"/>
      <c r="N131" s="1459" t="s">
        <v>2167</v>
      </c>
      <c r="O131" s="1460">
        <v>2120</v>
      </c>
      <c r="P131" s="698"/>
      <c r="Q131" s="1459" t="s">
        <v>2167</v>
      </c>
      <c r="R131" s="1460">
        <v>0.41899999999999998</v>
      </c>
      <c r="S131" s="698"/>
      <c r="T131" s="698"/>
      <c r="U131" s="698"/>
      <c r="V131" s="698"/>
      <c r="W131" s="698"/>
    </row>
    <row r="132" spans="1:23" s="1394" customFormat="1" x14ac:dyDescent="0.35">
      <c r="E132" s="1476"/>
      <c r="F132" s="1476"/>
      <c r="G132" s="1476"/>
      <c r="H132" s="1476"/>
      <c r="I132" s="1476"/>
      <c r="J132" s="1476"/>
      <c r="K132" s="1476"/>
      <c r="L132" s="1476"/>
      <c r="M132" s="1195"/>
      <c r="N132" s="1459" t="s">
        <v>2170</v>
      </c>
      <c r="O132" s="1460">
        <v>2038</v>
      </c>
      <c r="P132" s="698"/>
      <c r="Q132" s="1459" t="s">
        <v>2170</v>
      </c>
      <c r="R132" s="1460">
        <v>0.432</v>
      </c>
      <c r="S132" s="698"/>
      <c r="T132" s="698"/>
      <c r="U132" s="698"/>
      <c r="V132" s="698"/>
      <c r="W132" s="698"/>
    </row>
    <row r="133" spans="1:23" s="1394" customFormat="1" ht="21" x14ac:dyDescent="0.5">
      <c r="A133" s="1395" t="s">
        <v>2014</v>
      </c>
      <c r="E133" s="1476"/>
      <c r="F133" s="1476"/>
      <c r="G133" s="1476"/>
      <c r="H133" s="1476"/>
      <c r="I133" s="1476"/>
      <c r="J133" s="1476"/>
      <c r="K133" s="1476"/>
      <c r="L133" s="1476"/>
      <c r="M133" s="1195"/>
      <c r="N133" s="1459" t="s">
        <v>2169</v>
      </c>
      <c r="O133" s="1460">
        <v>4849</v>
      </c>
      <c r="P133" s="698"/>
      <c r="Q133" s="1459" t="s">
        <v>2169</v>
      </c>
      <c r="R133" s="1460">
        <v>0.48299999999999998</v>
      </c>
      <c r="S133" s="698"/>
      <c r="T133" s="698"/>
      <c r="U133" s="698"/>
      <c r="V133" s="698"/>
      <c r="W133" s="698"/>
    </row>
    <row r="134" spans="1:23" s="1394" customFormat="1" x14ac:dyDescent="0.35">
      <c r="E134" s="1476"/>
      <c r="F134" s="1476"/>
      <c r="G134" s="1476"/>
      <c r="H134" s="1476"/>
      <c r="I134" s="1476"/>
      <c r="J134" s="1476"/>
      <c r="K134" s="1476"/>
      <c r="L134" s="1476"/>
      <c r="M134" s="1195"/>
      <c r="N134" s="1459" t="s">
        <v>2168</v>
      </c>
      <c r="O134" s="1460">
        <v>5682</v>
      </c>
      <c r="P134" s="698"/>
      <c r="Q134" s="1459" t="s">
        <v>2168</v>
      </c>
      <c r="R134" s="1460">
        <v>0.503</v>
      </c>
      <c r="S134" s="698"/>
      <c r="T134" s="698"/>
      <c r="U134" s="698"/>
      <c r="V134" s="698"/>
      <c r="W134" s="698"/>
    </row>
    <row r="135" spans="1:23" s="1394" customFormat="1" ht="15" customHeight="1" x14ac:dyDescent="0.35">
      <c r="B135" s="1480"/>
      <c r="E135" s="1476"/>
      <c r="F135" s="1476"/>
      <c r="G135" s="1476"/>
      <c r="I135" s="1476"/>
      <c r="J135" s="1476"/>
      <c r="K135" s="1476"/>
      <c r="L135" s="1476"/>
      <c r="M135" s="1195"/>
      <c r="N135" s="1459" t="s">
        <v>2171</v>
      </c>
      <c r="O135" s="1460">
        <v>3069</v>
      </c>
      <c r="P135" s="698"/>
      <c r="Q135" s="1459" t="s">
        <v>2171</v>
      </c>
      <c r="R135" s="1460">
        <v>0.46200000000000002</v>
      </c>
      <c r="S135" s="698"/>
      <c r="T135" s="698"/>
      <c r="U135" s="698"/>
      <c r="V135" s="698"/>
      <c r="W135" s="698"/>
    </row>
    <row r="136" spans="1:23" s="1394" customFormat="1" ht="29" x14ac:dyDescent="0.35">
      <c r="B136" s="1481" t="s">
        <v>2280</v>
      </c>
      <c r="C136" s="1434" t="s">
        <v>2348</v>
      </c>
      <c r="E136" s="1476"/>
      <c r="F136" s="1476"/>
      <c r="G136" s="1476"/>
      <c r="I136" s="1482" t="s">
        <v>2019</v>
      </c>
      <c r="J136" s="1474" t="s">
        <v>2426</v>
      </c>
      <c r="K136" s="1476"/>
      <c r="L136" s="1476"/>
      <c r="M136" s="1195"/>
      <c r="N136" s="1459" t="s">
        <v>2172</v>
      </c>
      <c r="O136" s="1460">
        <v>2481</v>
      </c>
      <c r="P136" s="698"/>
      <c r="Q136" s="1459" t="s">
        <v>2172</v>
      </c>
      <c r="R136" s="1460">
        <v>0.47399999999999998</v>
      </c>
      <c r="S136" s="698"/>
      <c r="T136" s="698"/>
      <c r="U136" s="698"/>
      <c r="V136" s="698"/>
      <c r="W136" s="698"/>
    </row>
    <row r="137" spans="1:23" s="1394" customFormat="1" x14ac:dyDescent="0.35">
      <c r="B137" s="1435" t="s">
        <v>2349</v>
      </c>
      <c r="C137" s="1216">
        <v>0</v>
      </c>
      <c r="E137" s="1476"/>
      <c r="F137" s="1476"/>
      <c r="G137" s="1476"/>
      <c r="I137" s="1136" t="s">
        <v>2180</v>
      </c>
      <c r="J137" s="1483">
        <f t="array" ref="J137">SUMPRODUCT(E82:I82,TRANSPOSE($C$137:$C$141))</f>
        <v>1599.313725490196</v>
      </c>
      <c r="K137" s="1476"/>
      <c r="L137" s="1476"/>
      <c r="M137" s="1195"/>
      <c r="N137" s="2544" t="s">
        <v>2173</v>
      </c>
      <c r="O137" s="2545">
        <v>3036</v>
      </c>
      <c r="P137" s="698"/>
      <c r="Q137" s="1459" t="s">
        <v>2173</v>
      </c>
      <c r="R137" s="1460">
        <v>0.42799999999999999</v>
      </c>
      <c r="S137" s="698"/>
      <c r="T137" s="698"/>
      <c r="U137" s="698"/>
      <c r="V137" s="698"/>
      <c r="W137" s="698"/>
    </row>
    <row r="138" spans="1:23" s="1394" customFormat="1" x14ac:dyDescent="0.35">
      <c r="B138" s="1442" t="s">
        <v>2351</v>
      </c>
      <c r="C138" s="1217">
        <v>0.25490196078431371</v>
      </c>
      <c r="E138" s="1476"/>
      <c r="F138" s="1476"/>
      <c r="G138" s="1476"/>
      <c r="I138" s="1148" t="s">
        <v>2071</v>
      </c>
      <c r="J138" s="2742">
        <f t="array" ref="J138">SUMPRODUCT(E83:I83,TRANSPOSE($C$137:$C$141))</f>
        <v>1436.9019607843138</v>
      </c>
      <c r="K138" s="1476"/>
      <c r="L138" s="1476"/>
      <c r="M138" s="1195"/>
      <c r="N138" s="1459" t="s">
        <v>2174</v>
      </c>
      <c r="O138" s="1460">
        <v>2830</v>
      </c>
      <c r="P138" s="698"/>
      <c r="Q138" s="1459" t="s">
        <v>2174</v>
      </c>
      <c r="R138" s="1460">
        <v>0.433</v>
      </c>
      <c r="S138" s="698"/>
      <c r="T138" s="698"/>
      <c r="U138" s="698"/>
      <c r="V138" s="698"/>
      <c r="W138" s="698"/>
    </row>
    <row r="139" spans="1:23" s="1394" customFormat="1" x14ac:dyDescent="0.35">
      <c r="B139" s="1445" t="s">
        <v>2352</v>
      </c>
      <c r="C139" s="1219">
        <v>0.58823529411764708</v>
      </c>
      <c r="E139" s="1476"/>
      <c r="F139" s="1476"/>
      <c r="G139" s="1476"/>
      <c r="I139" s="2683" t="s">
        <v>3906</v>
      </c>
      <c r="J139" s="2743">
        <f t="array" ref="J139">SUMPRODUCT(E84:I84,TRANSPOSE($C$137:$C$141))</f>
        <v>2708.1176470588234</v>
      </c>
      <c r="K139" s="1476"/>
      <c r="L139" s="1476"/>
      <c r="M139" s="1195"/>
      <c r="N139" s="1459" t="s">
        <v>2175</v>
      </c>
      <c r="O139" s="1460">
        <v>3350</v>
      </c>
      <c r="P139" s="698"/>
      <c r="Q139" s="1459" t="s">
        <v>2175</v>
      </c>
      <c r="R139" s="1460">
        <v>0.48799999999999999</v>
      </c>
      <c r="S139" s="698"/>
      <c r="T139" s="698"/>
      <c r="U139" s="698"/>
      <c r="V139" s="698"/>
      <c r="W139" s="698"/>
    </row>
    <row r="140" spans="1:23" s="1394" customFormat="1" x14ac:dyDescent="0.35">
      <c r="B140" s="1442" t="s">
        <v>2353</v>
      </c>
      <c r="C140" s="1217">
        <v>0.15686274509803921</v>
      </c>
      <c r="I140" s="2680" t="s">
        <v>2157</v>
      </c>
      <c r="J140" s="2745">
        <f t="array" ref="J140">SUMPRODUCT(E85:I85,TRANSPOSE($C$137:$C$141))</f>
        <v>1174.0588235294117</v>
      </c>
      <c r="M140" s="1195"/>
      <c r="N140" s="1459" t="s">
        <v>2176</v>
      </c>
      <c r="O140" s="1460">
        <v>2528</v>
      </c>
      <c r="P140" s="698"/>
      <c r="Q140" s="1459" t="s">
        <v>2176</v>
      </c>
      <c r="R140" s="1460">
        <v>0.505</v>
      </c>
      <c r="S140" s="698"/>
      <c r="T140" s="698"/>
      <c r="U140" s="698"/>
      <c r="V140" s="698"/>
      <c r="W140" s="698"/>
    </row>
    <row r="141" spans="1:23" s="1394" customFormat="1" x14ac:dyDescent="0.35">
      <c r="B141" s="1486" t="s">
        <v>2354</v>
      </c>
      <c r="C141" s="1220">
        <v>0</v>
      </c>
      <c r="I141" s="1085" t="s">
        <v>2158</v>
      </c>
      <c r="J141" s="2744">
        <f t="array" ref="J141">SUMPRODUCT(E86:I86,TRANSPOSE($C$137:$C$141))</f>
        <v>1199.4509803921569</v>
      </c>
      <c r="M141" s="1195"/>
      <c r="N141" s="1459" t="s">
        <v>2177</v>
      </c>
      <c r="O141" s="1460">
        <v>2266</v>
      </c>
      <c r="P141" s="698"/>
      <c r="Q141" s="1459" t="s">
        <v>2177</v>
      </c>
      <c r="R141" s="1460">
        <v>0.52800000000000002</v>
      </c>
      <c r="S141" s="698"/>
      <c r="T141" s="698"/>
      <c r="U141" s="698"/>
      <c r="V141" s="698"/>
      <c r="W141" s="698"/>
    </row>
    <row r="142" spans="1:23" s="1394" customFormat="1" x14ac:dyDescent="0.35">
      <c r="B142" s="1437" t="s">
        <v>284</v>
      </c>
      <c r="C142" s="1221">
        <f>SUM(C137:C141)</f>
        <v>1</v>
      </c>
      <c r="D142" s="1487" t="str">
        <f>IF(C142&lt;&gt;1,"Participation must add up to 100%","")</f>
        <v/>
      </c>
      <c r="I142" s="2683" t="s">
        <v>3907</v>
      </c>
      <c r="J142" s="2743">
        <f t="array" ref="J142">SUMPRODUCT(E87:I87,TRANSPOSE($C$137:$C$141))</f>
        <v>2632.294117647059</v>
      </c>
      <c r="M142" s="1195"/>
      <c r="N142" s="1459" t="s">
        <v>2027</v>
      </c>
      <c r="O142" s="1460">
        <v>770</v>
      </c>
      <c r="P142" s="698"/>
      <c r="Q142" s="1459" t="s">
        <v>2027</v>
      </c>
      <c r="R142" s="1460">
        <v>0.22500000000000001</v>
      </c>
      <c r="S142" s="698"/>
      <c r="T142" s="698"/>
      <c r="U142" s="698"/>
      <c r="V142" s="698"/>
      <c r="W142" s="698"/>
    </row>
    <row r="143" spans="1:23" s="1394" customFormat="1" x14ac:dyDescent="0.35">
      <c r="I143" s="2680" t="s">
        <v>2028</v>
      </c>
      <c r="J143" s="2745">
        <f t="array" ref="J143">SUMPRODUCT(E88:I88,TRANSPOSE($C$137:$C$141))</f>
        <v>1427.0784313725492</v>
      </c>
      <c r="M143" s="1195"/>
      <c r="N143" s="1489" t="s">
        <v>536</v>
      </c>
      <c r="O143" s="1490">
        <v>2718</v>
      </c>
      <c r="P143" s="698"/>
      <c r="Q143" s="1489" t="s">
        <v>536</v>
      </c>
      <c r="R143" s="1490">
        <v>0.42399999999999999</v>
      </c>
      <c r="S143" s="698"/>
      <c r="T143" s="698"/>
      <c r="U143" s="698"/>
      <c r="V143" s="698"/>
      <c r="W143" s="698"/>
    </row>
    <row r="144" spans="1:23" s="1394" customFormat="1" ht="18.5" x14ac:dyDescent="0.45">
      <c r="B144" s="1488"/>
      <c r="I144" s="1085" t="s">
        <v>2109</v>
      </c>
      <c r="J144" s="1484">
        <f t="array" ref="J144">SUMPRODUCT(E89:I89,TRANSPOSE($C$137:$C$141))</f>
        <v>854.84313725490188</v>
      </c>
      <c r="M144" s="1195"/>
      <c r="N144" s="1492"/>
      <c r="O144" s="1492"/>
      <c r="P144" s="1492"/>
      <c r="Q144" s="1492"/>
      <c r="R144" s="1492"/>
      <c r="S144" s="698"/>
      <c r="T144" s="698"/>
      <c r="U144" s="698"/>
      <c r="V144" s="698"/>
      <c r="W144" s="698"/>
    </row>
    <row r="145" spans="2:28" s="1394" customFormat="1" ht="18.5" x14ac:dyDescent="0.45">
      <c r="B145" s="1491"/>
      <c r="C145" s="1491"/>
      <c r="I145" s="2680" t="s">
        <v>2026</v>
      </c>
      <c r="J145" s="2745">
        <f t="array" ref="J145">SUMPRODUCT(E90:I90,TRANSPOSE($C$137:$C$141))</f>
        <v>1412.1372549019609</v>
      </c>
      <c r="L145" s="1492"/>
      <c r="M145" s="1492"/>
      <c r="S145" s="698"/>
      <c r="T145" s="698"/>
      <c r="U145" s="698"/>
      <c r="V145" s="698"/>
      <c r="W145" s="698"/>
      <c r="X145" s="1492"/>
      <c r="Y145" s="1492"/>
      <c r="Z145" s="1492"/>
      <c r="AA145" s="1492"/>
      <c r="AB145" s="1492"/>
    </row>
    <row r="146" spans="2:28" s="1394" customFormat="1" ht="15" customHeight="1" x14ac:dyDescent="0.45">
      <c r="B146" s="1493"/>
      <c r="C146" s="1493"/>
      <c r="D146" s="3061" t="s">
        <v>2361</v>
      </c>
      <c r="E146" s="3062"/>
      <c r="F146" s="3062"/>
      <c r="G146" s="3063"/>
      <c r="I146" s="2680" t="s">
        <v>2075</v>
      </c>
      <c r="J146" s="2745">
        <f t="array" ref="J146">SUMPRODUCT(E91:I91,TRANSPOSE($C$137:$C$141))</f>
        <v>1486.705882352941</v>
      </c>
      <c r="K146" s="1494"/>
      <c r="L146" s="1495"/>
      <c r="M146" s="1496"/>
      <c r="N146" s="1495"/>
      <c r="O146" s="1495"/>
      <c r="P146" s="1496"/>
      <c r="S146" s="698"/>
    </row>
    <row r="147" spans="2:28" s="1394" customFormat="1" ht="43.5" x14ac:dyDescent="0.35">
      <c r="B147" s="1497" t="s">
        <v>2393</v>
      </c>
      <c r="C147" s="1412" t="s">
        <v>2278</v>
      </c>
      <c r="D147" s="1418" t="s">
        <v>72</v>
      </c>
      <c r="E147" s="1419" t="s">
        <v>2427</v>
      </c>
      <c r="F147" s="1419" t="s">
        <v>2428</v>
      </c>
      <c r="G147" s="1420" t="s">
        <v>2429</v>
      </c>
      <c r="I147" s="2680" t="s">
        <v>2029</v>
      </c>
      <c r="J147" s="2745">
        <f t="array" ref="J147">SUMPRODUCT(E92:I92,TRANSPOSE($C$137:$C$141))</f>
        <v>1692.4117647058822</v>
      </c>
      <c r="K147" s="1498"/>
      <c r="L147" s="1495"/>
      <c r="M147" s="1495"/>
      <c r="N147" s="1495"/>
      <c r="O147" s="1495"/>
      <c r="P147" s="1496"/>
    </row>
    <row r="148" spans="2:28" s="1394" customFormat="1" x14ac:dyDescent="0.35">
      <c r="B148" s="1435" t="s">
        <v>2180</v>
      </c>
      <c r="C148" s="1499" t="s">
        <v>2400</v>
      </c>
      <c r="D148" s="1332">
        <v>0</v>
      </c>
      <c r="E148" s="1500">
        <v>0.95400000000000007</v>
      </c>
      <c r="F148" s="1229">
        <v>102.22222222222223</v>
      </c>
      <c r="G148" s="1501">
        <v>0.77777777777777779</v>
      </c>
      <c r="I148" s="2680" t="s">
        <v>2159</v>
      </c>
      <c r="J148" s="2745">
        <f t="array" ref="J148">SUMPRODUCT(E93:I93,TRANSPOSE($C$137:$C$141))</f>
        <v>1098.5882352941176</v>
      </c>
    </row>
    <row r="149" spans="2:28" s="1394" customFormat="1" x14ac:dyDescent="0.35">
      <c r="B149" s="1442" t="s">
        <v>2071</v>
      </c>
      <c r="C149" s="1502" t="s">
        <v>2400</v>
      </c>
      <c r="D149" s="1335">
        <v>0</v>
      </c>
      <c r="E149" s="1503">
        <v>0.95400000000000007</v>
      </c>
      <c r="F149" s="1232">
        <v>102.22222222222223</v>
      </c>
      <c r="G149" s="1504">
        <v>0.77777777777777779</v>
      </c>
      <c r="I149" s="2680" t="s">
        <v>2160</v>
      </c>
      <c r="J149" s="2745">
        <f t="array" ref="J149">SUMPRODUCT(E94:I94,TRANSPOSE($C$137:$C$141))</f>
        <v>1284.5098039215686</v>
      </c>
    </row>
    <row r="150" spans="2:28" s="1394" customFormat="1" x14ac:dyDescent="0.35">
      <c r="B150" s="1445" t="s">
        <v>2157</v>
      </c>
      <c r="C150" s="1505" t="s">
        <v>2400</v>
      </c>
      <c r="D150" s="1338">
        <v>0</v>
      </c>
      <c r="E150" s="1506">
        <v>0</v>
      </c>
      <c r="F150" s="1235">
        <v>0</v>
      </c>
      <c r="G150" s="1507">
        <v>0</v>
      </c>
      <c r="I150" s="2680" t="s">
        <v>2161</v>
      </c>
      <c r="J150" s="2745">
        <f t="array" ref="J150">SUMPRODUCT(E95:I95,TRANSPOSE($C$137:$C$141))</f>
        <v>648.41176470588243</v>
      </c>
    </row>
    <row r="151" spans="2:28" s="1394" customFormat="1" x14ac:dyDescent="0.35">
      <c r="B151" s="1442" t="s">
        <v>2158</v>
      </c>
      <c r="C151" s="1502" t="s">
        <v>2400</v>
      </c>
      <c r="D151" s="1335">
        <v>0</v>
      </c>
      <c r="E151" s="1503">
        <v>0.96</v>
      </c>
      <c r="F151" s="1232">
        <v>80</v>
      </c>
      <c r="G151" s="1504">
        <v>1</v>
      </c>
      <c r="I151" s="2680" t="s">
        <v>2162</v>
      </c>
      <c r="J151" s="2745">
        <f t="array" ref="J151">SUMPRODUCT(E96:I96,TRANSPOSE($C$137:$C$141))</f>
        <v>1400.0588235294117</v>
      </c>
    </row>
    <row r="152" spans="2:28" s="1394" customFormat="1" x14ac:dyDescent="0.35">
      <c r="B152" s="1445" t="s">
        <v>2028</v>
      </c>
      <c r="C152" s="1508" t="s">
        <v>2400</v>
      </c>
      <c r="D152" s="1509">
        <v>15</v>
      </c>
      <c r="E152" s="1510">
        <v>0.95</v>
      </c>
      <c r="F152" s="1511">
        <v>95</v>
      </c>
      <c r="G152" s="1512">
        <v>1</v>
      </c>
      <c r="I152" s="2680" t="s">
        <v>2325</v>
      </c>
      <c r="J152" s="2745">
        <f t="array" ref="J152">SUMPRODUCT(E97:I97,TRANSPOSE($C$137:$C$141))</f>
        <v>1495.8823529411764</v>
      </c>
    </row>
    <row r="153" spans="2:28" s="1394" customFormat="1" x14ac:dyDescent="0.35">
      <c r="B153" s="1442" t="s">
        <v>2109</v>
      </c>
      <c r="C153" s="1502" t="s">
        <v>2400</v>
      </c>
      <c r="D153" s="1335">
        <v>0</v>
      </c>
      <c r="E153" s="1503">
        <v>0.95400000000000007</v>
      </c>
      <c r="F153" s="1232">
        <v>102.22222222222223</v>
      </c>
      <c r="G153" s="1504">
        <v>0.77777777777777779</v>
      </c>
      <c r="I153" s="2680" t="s">
        <v>2073</v>
      </c>
      <c r="J153" s="2745">
        <f t="array" ref="J153">SUMPRODUCT(E98:I98,TRANSPOSE($C$137:$C$141))</f>
        <v>1587.5882352941178</v>
      </c>
    </row>
    <row r="154" spans="2:28" s="1394" customFormat="1" x14ac:dyDescent="0.35">
      <c r="B154" s="1445" t="s">
        <v>2026</v>
      </c>
      <c r="C154" s="1508" t="s">
        <v>2400</v>
      </c>
      <c r="D154" s="1509">
        <v>0</v>
      </c>
      <c r="E154" s="1510">
        <v>0</v>
      </c>
      <c r="F154" s="1511">
        <v>0</v>
      </c>
      <c r="G154" s="1512">
        <v>0</v>
      </c>
      <c r="I154" s="2680" t="s">
        <v>2166</v>
      </c>
      <c r="J154" s="2745">
        <f t="array" ref="J154">SUMPRODUCT(E99:I99,TRANSPOSE($C$137:$C$141))</f>
        <v>1456.4509803921569</v>
      </c>
    </row>
    <row r="155" spans="2:28" s="1394" customFormat="1" x14ac:dyDescent="0.35">
      <c r="B155" s="1442" t="s">
        <v>2075</v>
      </c>
      <c r="C155" s="1502" t="s">
        <v>2400</v>
      </c>
      <c r="D155" s="1335">
        <v>0</v>
      </c>
      <c r="E155" s="1503">
        <v>0.97499999999999998</v>
      </c>
      <c r="F155" s="1232">
        <v>74.5</v>
      </c>
      <c r="G155" s="1504">
        <v>0.5</v>
      </c>
      <c r="I155" s="884" t="s">
        <v>2163</v>
      </c>
      <c r="J155" s="1485">
        <f t="array" ref="J155">SUMPRODUCT(E100:I100,TRANSPOSE($C$137:$C$141))</f>
        <v>899.50980392156862</v>
      </c>
    </row>
    <row r="156" spans="2:28" s="1394" customFormat="1" x14ac:dyDescent="0.35">
      <c r="B156" s="1445" t="s">
        <v>2029</v>
      </c>
      <c r="C156" s="1508" t="s">
        <v>2400</v>
      </c>
      <c r="D156" s="1509">
        <v>0</v>
      </c>
      <c r="E156" s="1510">
        <v>0</v>
      </c>
      <c r="F156" s="1511">
        <v>0</v>
      </c>
      <c r="G156" s="1512">
        <v>0</v>
      </c>
      <c r="I156" s="2683" t="s">
        <v>2181</v>
      </c>
      <c r="J156" s="2745">
        <f t="array" ref="J156">SUMPRODUCT(E101:I101,TRANSPOSE($C$137:$C$141))</f>
        <v>1415.1372549019607</v>
      </c>
    </row>
    <row r="157" spans="2:28" s="1394" customFormat="1" x14ac:dyDescent="0.35">
      <c r="B157" s="1442" t="s">
        <v>2356</v>
      </c>
      <c r="C157" s="1502" t="s">
        <v>2400</v>
      </c>
      <c r="D157" s="1335">
        <v>0</v>
      </c>
      <c r="E157" s="1503">
        <v>0</v>
      </c>
      <c r="F157" s="1232">
        <v>0</v>
      </c>
      <c r="G157" s="1504">
        <v>0</v>
      </c>
      <c r="I157" s="2683" t="s">
        <v>2164</v>
      </c>
      <c r="J157" s="2745">
        <f t="array" ref="J157">SUMPRODUCT(E102:I102,TRANSPOSE($C$137:$C$141))</f>
        <v>512.23529411764696</v>
      </c>
    </row>
    <row r="158" spans="2:28" s="1394" customFormat="1" x14ac:dyDescent="0.35">
      <c r="B158" s="1445" t="s">
        <v>2357</v>
      </c>
      <c r="C158" s="1508" t="s">
        <v>2400</v>
      </c>
      <c r="D158" s="1509">
        <v>0</v>
      </c>
      <c r="E158" s="1510">
        <v>0</v>
      </c>
      <c r="F158" s="1511">
        <v>0</v>
      </c>
      <c r="G158" s="1512">
        <v>0</v>
      </c>
      <c r="I158" s="2683" t="s">
        <v>2336</v>
      </c>
      <c r="J158" s="2745">
        <f t="array" ref="J158">SUMPRODUCT(E103:I103,TRANSPOSE($C$137:$C$141))</f>
        <v>1493.6862745098038</v>
      </c>
    </row>
    <row r="159" spans="2:28" s="1394" customFormat="1" x14ac:dyDescent="0.35">
      <c r="B159" s="1442" t="s">
        <v>2358</v>
      </c>
      <c r="C159" s="1502" t="s">
        <v>2400</v>
      </c>
      <c r="D159" s="1335">
        <v>0</v>
      </c>
      <c r="E159" s="1503">
        <v>0</v>
      </c>
      <c r="F159" s="1232">
        <v>0</v>
      </c>
      <c r="G159" s="1504">
        <v>0</v>
      </c>
      <c r="I159" s="2683" t="s">
        <v>2165</v>
      </c>
      <c r="J159" s="2745">
        <f t="array" ref="J159">SUMPRODUCT(E104:I104,TRANSPOSE($C$137:$C$141))</f>
        <v>1630.1960784313726</v>
      </c>
    </row>
    <row r="160" spans="2:28" s="1394" customFormat="1" x14ac:dyDescent="0.35">
      <c r="B160" s="1445" t="s">
        <v>2162</v>
      </c>
      <c r="C160" s="1508" t="s">
        <v>2400</v>
      </c>
      <c r="D160" s="1509">
        <v>0</v>
      </c>
      <c r="E160" s="1510">
        <v>0</v>
      </c>
      <c r="F160" s="1511">
        <v>0</v>
      </c>
      <c r="G160" s="1512">
        <v>0</v>
      </c>
      <c r="I160" s="1085" t="s">
        <v>2167</v>
      </c>
      <c r="J160" s="1485">
        <f t="array" ref="J160">SUMPRODUCT(E105:I105,TRANSPOSE($C$137:$C$141))</f>
        <v>1698.2156862745098</v>
      </c>
    </row>
    <row r="161" spans="1:10" s="1394" customFormat="1" x14ac:dyDescent="0.35">
      <c r="B161" s="1442" t="s">
        <v>2325</v>
      </c>
      <c r="C161" s="1502" t="s">
        <v>2400</v>
      </c>
      <c r="D161" s="1335">
        <v>0</v>
      </c>
      <c r="E161" s="1503">
        <v>0</v>
      </c>
      <c r="F161" s="1232">
        <v>0</v>
      </c>
      <c r="G161" s="1504">
        <v>0</v>
      </c>
      <c r="I161" s="2683" t="s">
        <v>2168</v>
      </c>
      <c r="J161" s="2745">
        <f t="array" ref="J161">SUMPRODUCT(E106:I106,TRANSPOSE($C$137:$C$141))</f>
        <v>936.1960784313726</v>
      </c>
    </row>
    <row r="162" spans="1:10" s="1394" customFormat="1" x14ac:dyDescent="0.35">
      <c r="A162" s="1562"/>
      <c r="B162" s="1445" t="s">
        <v>2073</v>
      </c>
      <c r="C162" s="1508" t="s">
        <v>2400</v>
      </c>
      <c r="D162" s="1509">
        <v>0</v>
      </c>
      <c r="E162" s="1510">
        <v>0</v>
      </c>
      <c r="F162" s="1511">
        <v>0</v>
      </c>
      <c r="G162" s="1512">
        <v>0</v>
      </c>
      <c r="I162" s="2683" t="s">
        <v>2169</v>
      </c>
      <c r="J162" s="2745">
        <f t="array" ref="J162">SUMPRODUCT(E107:I107,TRANSPOSE($C$137:$C$141))</f>
        <v>2004.4117647058824</v>
      </c>
    </row>
    <row r="163" spans="1:10" s="1394" customFormat="1" x14ac:dyDescent="0.35">
      <c r="B163" s="1442" t="s">
        <v>2166</v>
      </c>
      <c r="C163" s="1502" t="s">
        <v>2400</v>
      </c>
      <c r="D163" s="1335">
        <v>0</v>
      </c>
      <c r="E163" s="1503">
        <v>0</v>
      </c>
      <c r="F163" s="1232">
        <v>0</v>
      </c>
      <c r="G163" s="1504">
        <v>0</v>
      </c>
      <c r="I163" s="2683" t="s">
        <v>2170</v>
      </c>
      <c r="J163" s="2745">
        <f t="array" ref="J163">SUMPRODUCT(E108:I108,TRANSPOSE($C$137:$C$141))</f>
        <v>1262.7843137254904</v>
      </c>
    </row>
    <row r="164" spans="1:10" s="1394" customFormat="1" x14ac:dyDescent="0.35">
      <c r="B164" s="1445" t="s">
        <v>2163</v>
      </c>
      <c r="C164" s="1508" t="s">
        <v>2400</v>
      </c>
      <c r="D164" s="1509">
        <v>0</v>
      </c>
      <c r="E164" s="1510">
        <v>0.95</v>
      </c>
      <c r="F164" s="1511">
        <v>91</v>
      </c>
      <c r="G164" s="1512">
        <v>1</v>
      </c>
      <c r="I164" s="2683" t="s">
        <v>2171</v>
      </c>
      <c r="J164" s="2745">
        <f t="array" ref="J164">SUMPRODUCT(E109:I109,TRANSPOSE($C$137:$C$141))</f>
        <v>903.1960784313726</v>
      </c>
    </row>
    <row r="165" spans="1:10" s="1394" customFormat="1" x14ac:dyDescent="0.35">
      <c r="B165" s="1442" t="s">
        <v>2181</v>
      </c>
      <c r="C165" s="1502" t="s">
        <v>2400</v>
      </c>
      <c r="D165" s="1335">
        <v>0</v>
      </c>
      <c r="E165" s="1503">
        <v>0</v>
      </c>
      <c r="F165" s="1232">
        <v>0</v>
      </c>
      <c r="G165" s="1504">
        <v>0</v>
      </c>
      <c r="I165" s="2683" t="s">
        <v>2172</v>
      </c>
      <c r="J165" s="2745">
        <f t="array" ref="J165">SUMPRODUCT(E110:I110,TRANSPOSE($C$137:$C$141))</f>
        <v>2375.1176470588239</v>
      </c>
    </row>
    <row r="166" spans="1:10" s="1394" customFormat="1" x14ac:dyDescent="0.35">
      <c r="B166" s="1445" t="s">
        <v>2164</v>
      </c>
      <c r="C166" s="1508" t="s">
        <v>2400</v>
      </c>
      <c r="D166" s="1509">
        <v>0</v>
      </c>
      <c r="E166" s="1510">
        <v>0</v>
      </c>
      <c r="F166" s="1511">
        <v>0</v>
      </c>
      <c r="G166" s="1512">
        <v>0</v>
      </c>
      <c r="I166" s="2683" t="s">
        <v>2173</v>
      </c>
      <c r="J166" s="2745">
        <f t="array" ref="J166">SUMPRODUCT(E111:I111,TRANSPOSE($C$137:$C$141))</f>
        <v>1483.2352941176471</v>
      </c>
    </row>
    <row r="167" spans="1:10" s="1394" customFormat="1" x14ac:dyDescent="0.35">
      <c r="B167" s="1442" t="s">
        <v>2336</v>
      </c>
      <c r="C167" s="1502" t="s">
        <v>2400</v>
      </c>
      <c r="D167" s="1335">
        <v>0</v>
      </c>
      <c r="E167" s="1503">
        <v>0</v>
      </c>
      <c r="F167" s="1232">
        <v>0</v>
      </c>
      <c r="G167" s="1504">
        <v>0</v>
      </c>
      <c r="I167" s="2683" t="s">
        <v>3908</v>
      </c>
      <c r="J167" s="2743">
        <f t="array" ref="J167">SUMPRODUCT(E112:I112,TRANSPOSE($C$137:$C$141))</f>
        <v>2419.4509803921565</v>
      </c>
    </row>
    <row r="168" spans="1:10" s="1394" customFormat="1" x14ac:dyDescent="0.35">
      <c r="B168" s="1445" t="s">
        <v>2165</v>
      </c>
      <c r="C168" s="1508" t="s">
        <v>2400</v>
      </c>
      <c r="D168" s="1509">
        <v>0</v>
      </c>
      <c r="E168" s="1510">
        <v>0</v>
      </c>
      <c r="F168" s="1511">
        <v>0</v>
      </c>
      <c r="G168" s="1512">
        <v>0</v>
      </c>
      <c r="I168" s="884" t="s">
        <v>2174</v>
      </c>
      <c r="J168" s="1484">
        <f t="array" ref="J168">SUMPRODUCT(E113:I113,TRANSPOSE($C$137:$C$141))</f>
        <v>1395.7647058823529</v>
      </c>
    </row>
    <row r="169" spans="1:10" s="1394" customFormat="1" x14ac:dyDescent="0.35">
      <c r="B169" s="1442" t="s">
        <v>2167</v>
      </c>
      <c r="C169" s="1502" t="s">
        <v>2400</v>
      </c>
      <c r="D169" s="1335">
        <v>0</v>
      </c>
      <c r="E169" s="1503">
        <v>0.95400000000000007</v>
      </c>
      <c r="F169" s="1232">
        <v>102.22222222222223</v>
      </c>
      <c r="G169" s="1504">
        <v>0.77777777777777779</v>
      </c>
      <c r="I169" s="2683" t="s">
        <v>2175</v>
      </c>
      <c r="J169" s="2745">
        <f t="array" ref="J169">SUMPRODUCT(E114:I114,TRANSPOSE($C$137:$C$141))</f>
        <v>1203.1764705882351</v>
      </c>
    </row>
    <row r="170" spans="1:10" s="1394" customFormat="1" x14ac:dyDescent="0.35">
      <c r="B170" s="1445" t="s">
        <v>2168</v>
      </c>
      <c r="C170" s="1508" t="s">
        <v>2400</v>
      </c>
      <c r="D170" s="1509">
        <v>0</v>
      </c>
      <c r="E170" s="1510">
        <v>0</v>
      </c>
      <c r="F170" s="1511">
        <v>0</v>
      </c>
      <c r="G170" s="1512">
        <v>0</v>
      </c>
      <c r="I170" s="2683" t="s">
        <v>2176</v>
      </c>
      <c r="J170" s="2745">
        <f t="array" ref="J170">SUMPRODUCT(E115:I115,TRANSPOSE($C$137:$C$141))</f>
        <v>1200.9411764705883</v>
      </c>
    </row>
    <row r="171" spans="1:10" s="1394" customFormat="1" x14ac:dyDescent="0.35">
      <c r="B171" s="1442" t="s">
        <v>2169</v>
      </c>
      <c r="C171" s="1502" t="s">
        <v>2400</v>
      </c>
      <c r="D171" s="1335">
        <v>0</v>
      </c>
      <c r="E171" s="1503">
        <v>0</v>
      </c>
      <c r="F171" s="1232">
        <v>0</v>
      </c>
      <c r="G171" s="1504">
        <v>0</v>
      </c>
      <c r="I171" s="2683" t="s">
        <v>2177</v>
      </c>
      <c r="J171" s="2745">
        <f t="array" ref="J171">SUMPRODUCT(E116:I116,TRANSPOSE($C$137:$C$141))</f>
        <v>1200.5294117647059</v>
      </c>
    </row>
    <row r="172" spans="1:10" s="1394" customFormat="1" x14ac:dyDescent="0.35">
      <c r="B172" s="1445" t="s">
        <v>2170</v>
      </c>
      <c r="C172" s="1508" t="s">
        <v>2400</v>
      </c>
      <c r="D172" s="1509">
        <v>0</v>
      </c>
      <c r="E172" s="1510">
        <v>0</v>
      </c>
      <c r="F172" s="1511">
        <v>0</v>
      </c>
      <c r="G172" s="1512">
        <v>0</v>
      </c>
      <c r="I172" s="2683" t="s">
        <v>2027</v>
      </c>
      <c r="J172" s="2745">
        <f t="array" ref="J172">SUMPRODUCT(E117:I117,TRANSPOSE($C$137:$C$141))</f>
        <v>1201.8431372549019</v>
      </c>
    </row>
    <row r="173" spans="1:10" s="1394" customFormat="1" x14ac:dyDescent="0.35">
      <c r="B173" s="1442" t="s">
        <v>2171</v>
      </c>
      <c r="C173" s="1502" t="s">
        <v>2400</v>
      </c>
      <c r="D173" s="1335">
        <v>0</v>
      </c>
      <c r="E173" s="1503">
        <v>0</v>
      </c>
      <c r="F173" s="1232">
        <v>0</v>
      </c>
      <c r="G173" s="1504">
        <v>0</v>
      </c>
      <c r="I173" s="2683" t="s">
        <v>536</v>
      </c>
      <c r="J173" s="2745">
        <f t="array" ref="J173">SUMPRODUCT(E118:I118,TRANSPOSE($C$137:$C$141))</f>
        <v>1516.6666666666665</v>
      </c>
    </row>
    <row r="174" spans="1:10" s="1394" customFormat="1" x14ac:dyDescent="0.35">
      <c r="B174" s="1445" t="s">
        <v>2172</v>
      </c>
      <c r="C174" s="1508" t="s">
        <v>2400</v>
      </c>
      <c r="D174" s="1509">
        <v>24</v>
      </c>
      <c r="E174" s="1510">
        <v>0.95594429999999997</v>
      </c>
      <c r="F174" s="1511">
        <v>84</v>
      </c>
      <c r="G174" s="1512">
        <v>0.9</v>
      </c>
    </row>
    <row r="175" spans="1:10" s="1394" customFormat="1" x14ac:dyDescent="0.35">
      <c r="B175" s="1442" t="s">
        <v>2173</v>
      </c>
      <c r="C175" s="1502" t="s">
        <v>2400</v>
      </c>
      <c r="D175" s="1335">
        <v>3</v>
      </c>
      <c r="E175" s="1503">
        <v>0.95</v>
      </c>
      <c r="F175" s="1232">
        <v>88</v>
      </c>
      <c r="G175" s="1504">
        <v>1</v>
      </c>
    </row>
    <row r="176" spans="1:10" s="1394" customFormat="1" x14ac:dyDescent="0.35">
      <c r="B176" s="1445" t="s">
        <v>2174</v>
      </c>
      <c r="C176" s="1508" t="s">
        <v>2400</v>
      </c>
      <c r="D176" s="1509">
        <v>0</v>
      </c>
      <c r="E176" s="1510">
        <v>0.96</v>
      </c>
      <c r="F176" s="1511">
        <v>112.5</v>
      </c>
      <c r="G176" s="1512">
        <v>0.9</v>
      </c>
    </row>
    <row r="177" spans="2:7" s="1394" customFormat="1" x14ac:dyDescent="0.35">
      <c r="B177" s="1442" t="s">
        <v>2175</v>
      </c>
      <c r="C177" s="1502" t="s">
        <v>2400</v>
      </c>
      <c r="D177" s="1335">
        <v>0</v>
      </c>
      <c r="E177" s="1503">
        <v>0.95</v>
      </c>
      <c r="F177" s="1232">
        <v>100</v>
      </c>
      <c r="G177" s="1504">
        <v>1</v>
      </c>
    </row>
    <row r="178" spans="2:7" s="1394" customFormat="1" x14ac:dyDescent="0.35">
      <c r="B178" s="1445" t="s">
        <v>2176</v>
      </c>
      <c r="C178" s="1508" t="s">
        <v>2400</v>
      </c>
      <c r="D178" s="1509">
        <v>0</v>
      </c>
      <c r="E178" s="1510">
        <v>0.95499999999999996</v>
      </c>
      <c r="F178" s="1511">
        <v>100</v>
      </c>
      <c r="G178" s="1512">
        <v>1</v>
      </c>
    </row>
    <row r="179" spans="2:7" s="1394" customFormat="1" x14ac:dyDescent="0.35">
      <c r="B179" s="1442" t="s">
        <v>2177</v>
      </c>
      <c r="C179" s="1502" t="s">
        <v>2400</v>
      </c>
      <c r="D179" s="1335">
        <v>0</v>
      </c>
      <c r="E179" s="1503">
        <v>0.96</v>
      </c>
      <c r="F179" s="1232">
        <v>120</v>
      </c>
      <c r="G179" s="1504">
        <v>1</v>
      </c>
    </row>
    <row r="180" spans="2:7" s="1394" customFormat="1" x14ac:dyDescent="0.35">
      <c r="B180" s="1445" t="s">
        <v>2027</v>
      </c>
      <c r="C180" s="1508" t="s">
        <v>2400</v>
      </c>
      <c r="D180" s="1509">
        <v>1</v>
      </c>
      <c r="E180" s="1510">
        <v>0.95499999999999996</v>
      </c>
      <c r="F180" s="1511">
        <v>106</v>
      </c>
      <c r="G180" s="1512">
        <v>0.5</v>
      </c>
    </row>
    <row r="181" spans="2:7" s="1394" customFormat="1" x14ac:dyDescent="0.35">
      <c r="B181" s="1442" t="s">
        <v>536</v>
      </c>
      <c r="C181" s="1502" t="s">
        <v>2400</v>
      </c>
      <c r="D181" s="1335">
        <v>18</v>
      </c>
      <c r="E181" s="1503">
        <v>0.96</v>
      </c>
      <c r="F181" s="1232">
        <v>94.1</v>
      </c>
      <c r="G181" s="1504">
        <v>0.9</v>
      </c>
    </row>
    <row r="182" spans="2:7" s="1394" customFormat="1" x14ac:dyDescent="0.35">
      <c r="B182" s="1435" t="s">
        <v>2180</v>
      </c>
      <c r="C182" s="1499" t="s">
        <v>2401</v>
      </c>
      <c r="D182" s="1332">
        <v>0</v>
      </c>
      <c r="E182" s="1333">
        <v>0</v>
      </c>
      <c r="F182" s="1333">
        <v>0</v>
      </c>
      <c r="G182" s="1501">
        <v>0</v>
      </c>
    </row>
    <row r="183" spans="2:7" s="1394" customFormat="1" x14ac:dyDescent="0.35">
      <c r="B183" s="1442" t="s">
        <v>2071</v>
      </c>
      <c r="C183" s="1502" t="s">
        <v>2401</v>
      </c>
      <c r="D183" s="1335">
        <v>0</v>
      </c>
      <c r="E183" s="1336">
        <v>0</v>
      </c>
      <c r="F183" s="1336">
        <v>0</v>
      </c>
      <c r="G183" s="1504">
        <v>0</v>
      </c>
    </row>
    <row r="184" spans="2:7" s="1394" customFormat="1" x14ac:dyDescent="0.35">
      <c r="B184" s="1445" t="s">
        <v>2157</v>
      </c>
      <c r="C184" s="1505" t="s">
        <v>2401</v>
      </c>
      <c r="D184" s="1338">
        <v>0</v>
      </c>
      <c r="E184" s="1339">
        <v>0</v>
      </c>
      <c r="F184" s="1339">
        <v>0</v>
      </c>
      <c r="G184" s="1507">
        <v>0</v>
      </c>
    </row>
    <row r="185" spans="2:7" s="1394" customFormat="1" x14ac:dyDescent="0.35">
      <c r="B185" s="1442" t="s">
        <v>2158</v>
      </c>
      <c r="C185" s="1502" t="s">
        <v>2401</v>
      </c>
      <c r="D185" s="1335">
        <v>0</v>
      </c>
      <c r="E185" s="1336">
        <v>0</v>
      </c>
      <c r="F185" s="1336">
        <v>0</v>
      </c>
      <c r="G185" s="1504">
        <v>0</v>
      </c>
    </row>
    <row r="186" spans="2:7" s="1394" customFormat="1" x14ac:dyDescent="0.35">
      <c r="B186" s="1445" t="s">
        <v>2028</v>
      </c>
      <c r="C186" s="1505" t="s">
        <v>2401</v>
      </c>
      <c r="D186" s="1338">
        <v>0</v>
      </c>
      <c r="E186" s="1339">
        <v>0</v>
      </c>
      <c r="F186" s="1339">
        <v>0</v>
      </c>
      <c r="G186" s="1507">
        <v>0</v>
      </c>
    </row>
    <row r="187" spans="2:7" s="1394" customFormat="1" x14ac:dyDescent="0.35">
      <c r="B187" s="1442" t="s">
        <v>2109</v>
      </c>
      <c r="C187" s="1502" t="s">
        <v>2401</v>
      </c>
      <c r="D187" s="1335">
        <v>0</v>
      </c>
      <c r="E187" s="1336">
        <v>0</v>
      </c>
      <c r="F187" s="1336">
        <v>0</v>
      </c>
      <c r="G187" s="1504">
        <v>0</v>
      </c>
    </row>
    <row r="188" spans="2:7" s="1394" customFormat="1" x14ac:dyDescent="0.35">
      <c r="B188" s="1445" t="s">
        <v>2026</v>
      </c>
      <c r="C188" s="1505" t="s">
        <v>2401</v>
      </c>
      <c r="D188" s="1338">
        <v>0</v>
      </c>
      <c r="E188" s="1339">
        <v>0</v>
      </c>
      <c r="F188" s="1339">
        <v>0</v>
      </c>
      <c r="G188" s="1507">
        <v>0</v>
      </c>
    </row>
    <row r="189" spans="2:7" s="1394" customFormat="1" x14ac:dyDescent="0.35">
      <c r="B189" s="1442" t="s">
        <v>2075</v>
      </c>
      <c r="C189" s="1502" t="s">
        <v>2401</v>
      </c>
      <c r="D189" s="1335">
        <v>0</v>
      </c>
      <c r="E189" s="1336">
        <v>0</v>
      </c>
      <c r="F189" s="1336">
        <v>0</v>
      </c>
      <c r="G189" s="1504">
        <v>0</v>
      </c>
    </row>
    <row r="190" spans="2:7" s="1394" customFormat="1" x14ac:dyDescent="0.35">
      <c r="B190" s="1445" t="s">
        <v>2029</v>
      </c>
      <c r="C190" s="1505" t="s">
        <v>2401</v>
      </c>
      <c r="D190" s="1338">
        <v>0</v>
      </c>
      <c r="E190" s="1339">
        <v>0</v>
      </c>
      <c r="F190" s="1339">
        <v>0</v>
      </c>
      <c r="G190" s="1507">
        <v>0</v>
      </c>
    </row>
    <row r="191" spans="2:7" s="1394" customFormat="1" x14ac:dyDescent="0.35">
      <c r="B191" s="1442" t="s">
        <v>2356</v>
      </c>
      <c r="C191" s="1502" t="s">
        <v>2401</v>
      </c>
      <c r="D191" s="1335">
        <v>0</v>
      </c>
      <c r="E191" s="1336">
        <v>0</v>
      </c>
      <c r="F191" s="1336">
        <v>0</v>
      </c>
      <c r="G191" s="1504">
        <v>0</v>
      </c>
    </row>
    <row r="192" spans="2:7" s="1394" customFormat="1" x14ac:dyDescent="0.35">
      <c r="B192" s="1445" t="s">
        <v>2357</v>
      </c>
      <c r="C192" s="1505" t="s">
        <v>2401</v>
      </c>
      <c r="D192" s="1338">
        <v>0</v>
      </c>
      <c r="E192" s="1339">
        <v>0</v>
      </c>
      <c r="F192" s="1339">
        <v>0</v>
      </c>
      <c r="G192" s="1507">
        <v>0</v>
      </c>
    </row>
    <row r="193" spans="2:7" s="1394" customFormat="1" x14ac:dyDescent="0.35">
      <c r="B193" s="1442" t="s">
        <v>2358</v>
      </c>
      <c r="C193" s="1502" t="s">
        <v>2401</v>
      </c>
      <c r="D193" s="1335">
        <v>0</v>
      </c>
      <c r="E193" s="1336">
        <v>0</v>
      </c>
      <c r="F193" s="1336">
        <v>0</v>
      </c>
      <c r="G193" s="1504">
        <v>0</v>
      </c>
    </row>
    <row r="194" spans="2:7" s="1394" customFormat="1" x14ac:dyDescent="0.35">
      <c r="B194" s="1445" t="s">
        <v>2162</v>
      </c>
      <c r="C194" s="1505" t="s">
        <v>2401</v>
      </c>
      <c r="D194" s="1338">
        <v>0</v>
      </c>
      <c r="E194" s="1339">
        <v>0</v>
      </c>
      <c r="F194" s="1339">
        <v>0</v>
      </c>
      <c r="G194" s="1507">
        <v>0</v>
      </c>
    </row>
    <row r="195" spans="2:7" s="1394" customFormat="1" x14ac:dyDescent="0.35">
      <c r="B195" s="1442" t="s">
        <v>2325</v>
      </c>
      <c r="C195" s="1502" t="s">
        <v>2401</v>
      </c>
      <c r="D195" s="1335">
        <v>0</v>
      </c>
      <c r="E195" s="1336">
        <v>0</v>
      </c>
      <c r="F195" s="1336">
        <v>0</v>
      </c>
      <c r="G195" s="1504">
        <v>0</v>
      </c>
    </row>
    <row r="196" spans="2:7" s="1394" customFormat="1" x14ac:dyDescent="0.35">
      <c r="B196" s="1445" t="s">
        <v>2073</v>
      </c>
      <c r="C196" s="1505" t="s">
        <v>2401</v>
      </c>
      <c r="D196" s="1338">
        <v>0</v>
      </c>
      <c r="E196" s="1339">
        <v>0</v>
      </c>
      <c r="F196" s="1339">
        <v>0</v>
      </c>
      <c r="G196" s="1507">
        <v>0</v>
      </c>
    </row>
    <row r="197" spans="2:7" s="1394" customFormat="1" x14ac:dyDescent="0.35">
      <c r="B197" s="1442" t="s">
        <v>2166</v>
      </c>
      <c r="C197" s="1502" t="s">
        <v>2401</v>
      </c>
      <c r="D197" s="1335">
        <v>0</v>
      </c>
      <c r="E197" s="1336">
        <v>0</v>
      </c>
      <c r="F197" s="1336">
        <v>0</v>
      </c>
      <c r="G197" s="1504">
        <v>0</v>
      </c>
    </row>
    <row r="198" spans="2:7" s="1394" customFormat="1" x14ac:dyDescent="0.35">
      <c r="B198" s="1445" t="s">
        <v>2163</v>
      </c>
      <c r="C198" s="1505" t="s">
        <v>2401</v>
      </c>
      <c r="D198" s="1338">
        <v>0</v>
      </c>
      <c r="E198" s="1339">
        <v>0</v>
      </c>
      <c r="F198" s="1339">
        <v>0</v>
      </c>
      <c r="G198" s="1507">
        <v>0</v>
      </c>
    </row>
    <row r="199" spans="2:7" s="1394" customFormat="1" x14ac:dyDescent="0.35">
      <c r="B199" s="1442" t="s">
        <v>2181</v>
      </c>
      <c r="C199" s="1502" t="s">
        <v>2401</v>
      </c>
      <c r="D199" s="1335">
        <v>0</v>
      </c>
      <c r="E199" s="1336">
        <v>0</v>
      </c>
      <c r="F199" s="1336">
        <v>0</v>
      </c>
      <c r="G199" s="1504">
        <v>0</v>
      </c>
    </row>
    <row r="200" spans="2:7" s="1394" customFormat="1" x14ac:dyDescent="0.35">
      <c r="B200" s="1445" t="s">
        <v>2164</v>
      </c>
      <c r="C200" s="1505" t="s">
        <v>2401</v>
      </c>
      <c r="D200" s="1338">
        <v>0</v>
      </c>
      <c r="E200" s="1339">
        <v>0</v>
      </c>
      <c r="F200" s="1339">
        <v>0</v>
      </c>
      <c r="G200" s="1507">
        <v>0</v>
      </c>
    </row>
    <row r="201" spans="2:7" s="1394" customFormat="1" x14ac:dyDescent="0.35">
      <c r="B201" s="1442" t="s">
        <v>2336</v>
      </c>
      <c r="C201" s="1502" t="s">
        <v>2401</v>
      </c>
      <c r="D201" s="1335">
        <v>0</v>
      </c>
      <c r="E201" s="1336">
        <v>0</v>
      </c>
      <c r="F201" s="1336">
        <v>0</v>
      </c>
      <c r="G201" s="1504">
        <v>0</v>
      </c>
    </row>
    <row r="202" spans="2:7" s="1394" customFormat="1" x14ac:dyDescent="0.35">
      <c r="B202" s="1445" t="s">
        <v>2165</v>
      </c>
      <c r="C202" s="1505" t="s">
        <v>2401</v>
      </c>
      <c r="D202" s="1338">
        <v>0</v>
      </c>
      <c r="E202" s="1339">
        <v>0</v>
      </c>
      <c r="F202" s="1339">
        <v>0</v>
      </c>
      <c r="G202" s="1507">
        <v>0</v>
      </c>
    </row>
    <row r="203" spans="2:7" s="1394" customFormat="1" x14ac:dyDescent="0.35">
      <c r="B203" s="1442" t="s">
        <v>2167</v>
      </c>
      <c r="C203" s="1502" t="s">
        <v>2401</v>
      </c>
      <c r="D203" s="1335">
        <v>0</v>
      </c>
      <c r="E203" s="1336">
        <v>0</v>
      </c>
      <c r="F203" s="1336">
        <v>0</v>
      </c>
      <c r="G203" s="1504">
        <v>0</v>
      </c>
    </row>
    <row r="204" spans="2:7" s="1394" customFormat="1" x14ac:dyDescent="0.35">
      <c r="B204" s="1445" t="s">
        <v>2168</v>
      </c>
      <c r="C204" s="1505" t="s">
        <v>2401</v>
      </c>
      <c r="D204" s="1338">
        <v>0</v>
      </c>
      <c r="E204" s="1339">
        <v>0</v>
      </c>
      <c r="F204" s="1339">
        <v>0</v>
      </c>
      <c r="G204" s="1507">
        <v>0</v>
      </c>
    </row>
    <row r="205" spans="2:7" s="1394" customFormat="1" x14ac:dyDescent="0.35">
      <c r="B205" s="1442" t="s">
        <v>2169</v>
      </c>
      <c r="C205" s="1502" t="s">
        <v>2401</v>
      </c>
      <c r="D205" s="1335">
        <v>0</v>
      </c>
      <c r="E205" s="1336">
        <v>0</v>
      </c>
      <c r="F205" s="1336">
        <v>0</v>
      </c>
      <c r="G205" s="1504">
        <v>0</v>
      </c>
    </row>
    <row r="206" spans="2:7" s="1394" customFormat="1" x14ac:dyDescent="0.35">
      <c r="B206" s="1445" t="s">
        <v>2170</v>
      </c>
      <c r="C206" s="1505" t="s">
        <v>2401</v>
      </c>
      <c r="D206" s="1338">
        <v>0</v>
      </c>
      <c r="E206" s="1339">
        <v>0</v>
      </c>
      <c r="F206" s="1339">
        <v>0</v>
      </c>
      <c r="G206" s="1507">
        <v>0</v>
      </c>
    </row>
    <row r="207" spans="2:7" s="1394" customFormat="1" x14ac:dyDescent="0.35">
      <c r="B207" s="1442" t="s">
        <v>2171</v>
      </c>
      <c r="C207" s="1502" t="s">
        <v>2401</v>
      </c>
      <c r="D207" s="1335">
        <v>0</v>
      </c>
      <c r="E207" s="1336">
        <v>0</v>
      </c>
      <c r="F207" s="1336">
        <v>0</v>
      </c>
      <c r="G207" s="1504">
        <v>0</v>
      </c>
    </row>
    <row r="208" spans="2:7" s="1394" customFormat="1" x14ac:dyDescent="0.35">
      <c r="B208" s="1445" t="s">
        <v>2172</v>
      </c>
      <c r="C208" s="1505" t="s">
        <v>2401</v>
      </c>
      <c r="D208" s="1338">
        <v>0</v>
      </c>
      <c r="E208" s="1339">
        <v>0</v>
      </c>
      <c r="F208" s="1339">
        <v>0</v>
      </c>
      <c r="G208" s="1507">
        <v>0</v>
      </c>
    </row>
    <row r="209" spans="1:18" s="1394" customFormat="1" x14ac:dyDescent="0.35">
      <c r="B209" s="1442" t="s">
        <v>2173</v>
      </c>
      <c r="C209" s="1502" t="s">
        <v>2401</v>
      </c>
      <c r="D209" s="1335">
        <v>0</v>
      </c>
      <c r="E209" s="1336">
        <v>0</v>
      </c>
      <c r="F209" s="1336">
        <v>0</v>
      </c>
      <c r="G209" s="1504">
        <v>0</v>
      </c>
    </row>
    <row r="210" spans="1:18" s="1394" customFormat="1" x14ac:dyDescent="0.35">
      <c r="B210" s="1445" t="s">
        <v>2174</v>
      </c>
      <c r="C210" s="1505" t="s">
        <v>2401</v>
      </c>
      <c r="D210" s="1338">
        <v>0</v>
      </c>
      <c r="E210" s="1339">
        <v>0</v>
      </c>
      <c r="F210" s="1339">
        <v>0</v>
      </c>
      <c r="G210" s="1507">
        <v>0</v>
      </c>
    </row>
    <row r="211" spans="1:18" s="1394" customFormat="1" x14ac:dyDescent="0.35">
      <c r="B211" s="1442" t="s">
        <v>2175</v>
      </c>
      <c r="C211" s="1502" t="s">
        <v>2401</v>
      </c>
      <c r="D211" s="1335">
        <v>0</v>
      </c>
      <c r="E211" s="1336">
        <v>0</v>
      </c>
      <c r="F211" s="1336">
        <v>0</v>
      </c>
      <c r="G211" s="1504">
        <v>0</v>
      </c>
    </row>
    <row r="212" spans="1:18" s="1394" customFormat="1" x14ac:dyDescent="0.35">
      <c r="B212" s="1445" t="s">
        <v>2176</v>
      </c>
      <c r="C212" s="1505" t="s">
        <v>2401</v>
      </c>
      <c r="D212" s="1338">
        <v>0</v>
      </c>
      <c r="E212" s="1339">
        <v>0</v>
      </c>
      <c r="F212" s="1339">
        <v>0</v>
      </c>
      <c r="G212" s="1507">
        <v>0</v>
      </c>
    </row>
    <row r="213" spans="1:18" s="1394" customFormat="1" x14ac:dyDescent="0.35">
      <c r="B213" s="1442" t="s">
        <v>2177</v>
      </c>
      <c r="C213" s="1502" t="s">
        <v>2401</v>
      </c>
      <c r="D213" s="1335">
        <v>0</v>
      </c>
      <c r="E213" s="1336">
        <v>0</v>
      </c>
      <c r="F213" s="1336">
        <v>0</v>
      </c>
      <c r="G213" s="1504">
        <v>0</v>
      </c>
    </row>
    <row r="214" spans="1:18" s="1394" customFormat="1" x14ac:dyDescent="0.35">
      <c r="B214" s="1445" t="s">
        <v>2027</v>
      </c>
      <c r="C214" s="1505" t="s">
        <v>2401</v>
      </c>
      <c r="D214" s="1338">
        <v>0</v>
      </c>
      <c r="E214" s="1339">
        <v>0</v>
      </c>
      <c r="F214" s="1339">
        <v>0</v>
      </c>
      <c r="G214" s="1507">
        <v>0</v>
      </c>
    </row>
    <row r="215" spans="1:18" s="1394" customFormat="1" x14ac:dyDescent="0.35">
      <c r="B215" s="1442" t="s">
        <v>536</v>
      </c>
      <c r="C215" s="1502" t="s">
        <v>2401</v>
      </c>
      <c r="D215" s="1335">
        <v>0</v>
      </c>
      <c r="E215" s="1336">
        <v>0</v>
      </c>
      <c r="F215" s="1336">
        <v>0</v>
      </c>
      <c r="G215" s="1504">
        <v>0</v>
      </c>
    </row>
    <row r="216" spans="1:18" s="1394" customFormat="1" x14ac:dyDescent="0.35"/>
    <row r="217" spans="1:18" s="1394" customFormat="1" x14ac:dyDescent="0.35"/>
    <row r="218" spans="1:18" s="1394" customFormat="1" ht="21" x14ac:dyDescent="0.5">
      <c r="A218" s="1395" t="s">
        <v>2036</v>
      </c>
    </row>
    <row r="219" spans="1:18" s="1394" customFormat="1" x14ac:dyDescent="0.35"/>
    <row r="220" spans="1:18" s="1394" customFormat="1" ht="26" x14ac:dyDescent="0.45">
      <c r="B220" s="3064"/>
      <c r="C220" s="3065"/>
      <c r="D220" s="3066" t="s">
        <v>2038</v>
      </c>
      <c r="E220" s="3067"/>
      <c r="F220" s="3067"/>
      <c r="G220" s="3068"/>
      <c r="H220" s="3066" t="s">
        <v>2039</v>
      </c>
      <c r="I220" s="3067"/>
      <c r="J220" s="3067"/>
      <c r="K220" s="3068"/>
      <c r="L220" s="3055" t="s">
        <v>2040</v>
      </c>
      <c r="M220" s="3056"/>
      <c r="N220" s="3056"/>
      <c r="O220" s="3057"/>
      <c r="P220" s="1492"/>
      <c r="Q220" s="1492"/>
      <c r="R220" s="1492"/>
    </row>
    <row r="221" spans="1:18" s="1394" customFormat="1" ht="43.5" x14ac:dyDescent="0.45">
      <c r="B221" s="1433" t="s">
        <v>2393</v>
      </c>
      <c r="C221" s="1412" t="s">
        <v>2278</v>
      </c>
      <c r="D221" s="1513" t="s">
        <v>1947</v>
      </c>
      <c r="E221" s="1514" t="s">
        <v>2430</v>
      </c>
      <c r="F221" s="1514" t="s">
        <v>2431</v>
      </c>
      <c r="G221" s="1515" t="s">
        <v>2432</v>
      </c>
      <c r="H221" s="1516" t="s">
        <v>2433</v>
      </c>
      <c r="I221" s="1517" t="s">
        <v>2369</v>
      </c>
      <c r="J221" s="1518" t="s">
        <v>2434</v>
      </c>
      <c r="K221" s="1515" t="s">
        <v>1368</v>
      </c>
      <c r="L221" s="1519" t="s">
        <v>2370</v>
      </c>
      <c r="M221" s="1419" t="s">
        <v>2435</v>
      </c>
      <c r="N221" s="1520" t="s">
        <v>2436</v>
      </c>
      <c r="O221" s="1420" t="s">
        <v>2371</v>
      </c>
      <c r="P221" s="1492"/>
      <c r="Q221" s="1521" t="s">
        <v>2437</v>
      </c>
      <c r="R221" s="1522" t="s">
        <v>1960</v>
      </c>
    </row>
    <row r="222" spans="1:18" s="1394" customFormat="1" ht="18.5" x14ac:dyDescent="0.45">
      <c r="B222" s="1435" t="s">
        <v>2180</v>
      </c>
      <c r="C222" s="1499" t="s">
        <v>2400</v>
      </c>
      <c r="D222" s="1266">
        <f t="shared" ref="D222:G237" si="1">D148</f>
        <v>0</v>
      </c>
      <c r="E222" s="1523">
        <f t="shared" si="1"/>
        <v>0.95400000000000007</v>
      </c>
      <c r="F222" s="1524">
        <f t="shared" si="1"/>
        <v>102.22222222222223</v>
      </c>
      <c r="G222" s="1353">
        <f t="shared" si="1"/>
        <v>0.77777777777777779</v>
      </c>
      <c r="H222" s="1354">
        <f t="shared" ref="H222:H255" si="2">$C$77</f>
        <v>0.8</v>
      </c>
      <c r="I222" s="1525">
        <f t="shared" ref="I222:I223" si="3">J137</f>
        <v>1599.313725490196</v>
      </c>
      <c r="J222" s="1526">
        <f>C82</f>
        <v>2150</v>
      </c>
      <c r="K222" s="1527">
        <f>D82</f>
        <v>0.48299999999999998</v>
      </c>
      <c r="L222" s="1528">
        <f>IFERROR(D222*I222*F222*1000*(E222-H222)/H222/100000,0)</f>
        <v>0</v>
      </c>
      <c r="M222" s="1529">
        <f>D222*(G222*721+(1-G222)*644)</f>
        <v>0</v>
      </c>
      <c r="N222" s="1530">
        <f>IFERROR(M222/J222*K222,0)</f>
        <v>0</v>
      </c>
      <c r="O222" s="1356">
        <f>D222*$C$130</f>
        <v>0</v>
      </c>
      <c r="P222" s="1492"/>
      <c r="Q222" s="1531">
        <f>IFERROR(VLOOKUP(E222,B$122:C$124,2,TRUE),0)</f>
        <v>1511</v>
      </c>
      <c r="R222" s="1532">
        <f>Q222*D222</f>
        <v>0</v>
      </c>
    </row>
    <row r="223" spans="1:18" s="1394" customFormat="1" ht="18.5" x14ac:dyDescent="0.45">
      <c r="B223" s="1442" t="s">
        <v>2071</v>
      </c>
      <c r="C223" s="1502" t="s">
        <v>2400</v>
      </c>
      <c r="D223" s="1293">
        <f t="shared" si="1"/>
        <v>0</v>
      </c>
      <c r="E223" s="1533">
        <f t="shared" si="1"/>
        <v>0.95400000000000007</v>
      </c>
      <c r="F223" s="1534">
        <f t="shared" si="1"/>
        <v>102.22222222222223</v>
      </c>
      <c r="G223" s="1381">
        <f t="shared" si="1"/>
        <v>0.77777777777777779</v>
      </c>
      <c r="H223" s="1382">
        <f t="shared" si="2"/>
        <v>0.8</v>
      </c>
      <c r="I223" s="1535">
        <f t="shared" si="3"/>
        <v>1436.9019607843138</v>
      </c>
      <c r="J223" s="1536">
        <f>C83</f>
        <v>4373</v>
      </c>
      <c r="K223" s="1537">
        <f>D83</f>
        <v>0.52900000000000003</v>
      </c>
      <c r="L223" s="1383">
        <f t="shared" ref="L223:L255" si="4">IFERROR(D223*I223*F223*1000*(E223-H223)/H223/100000,0)</f>
        <v>0</v>
      </c>
      <c r="M223" s="1538">
        <f t="shared" ref="M223:M255" si="5">D223*(G223*721+(1-G223)*644)</f>
        <v>0</v>
      </c>
      <c r="N223" s="1539">
        <f t="shared" ref="N223:N255" si="6">IFERROR(M223/J223*K223,0)</f>
        <v>0</v>
      </c>
      <c r="O223" s="1364">
        <f t="shared" ref="O223:O255" si="7">D223*$C$130</f>
        <v>0</v>
      </c>
      <c r="P223" s="1492"/>
      <c r="Q223" s="1365">
        <f>IFERROR(VLOOKUP(E223,B$122:C$124,2,TRUE),0)</f>
        <v>1511</v>
      </c>
      <c r="R223" s="1540">
        <f>Q223*D223</f>
        <v>0</v>
      </c>
    </row>
    <row r="224" spans="1:18" s="1394" customFormat="1" ht="18.5" x14ac:dyDescent="0.45">
      <c r="B224" s="1445" t="s">
        <v>2157</v>
      </c>
      <c r="C224" s="1505" t="s">
        <v>2400</v>
      </c>
      <c r="D224" s="1287">
        <f t="shared" si="1"/>
        <v>0</v>
      </c>
      <c r="E224" s="1541">
        <f t="shared" si="1"/>
        <v>0</v>
      </c>
      <c r="F224" s="1542">
        <f t="shared" si="1"/>
        <v>0</v>
      </c>
      <c r="G224" s="1375">
        <f t="shared" si="1"/>
        <v>0</v>
      </c>
      <c r="H224" s="1376">
        <f t="shared" si="2"/>
        <v>0.8</v>
      </c>
      <c r="I224" s="1543">
        <f>J140</f>
        <v>1174.0588235294117</v>
      </c>
      <c r="J224" s="1544">
        <f>C85</f>
        <v>1605</v>
      </c>
      <c r="K224" s="1545">
        <f>D85</f>
        <v>0.14199999999999999</v>
      </c>
      <c r="L224" s="1377">
        <f t="shared" si="4"/>
        <v>0</v>
      </c>
      <c r="M224" s="1546">
        <f t="shared" si="5"/>
        <v>0</v>
      </c>
      <c r="N224" s="1547">
        <f t="shared" si="6"/>
        <v>0</v>
      </c>
      <c r="O224" s="1378">
        <f t="shared" si="7"/>
        <v>0</v>
      </c>
      <c r="P224" s="1492"/>
      <c r="Q224" s="1357">
        <f t="shared" ref="Q224:Q287" si="8">IFERROR(VLOOKUP(E224,B$122:C$124,2,TRUE),0)</f>
        <v>0</v>
      </c>
      <c r="R224" s="1548">
        <f t="shared" ref="R224:R287" si="9">Q224*D224</f>
        <v>0</v>
      </c>
    </row>
    <row r="225" spans="2:18" s="1394" customFormat="1" ht="18.5" x14ac:dyDescent="0.45">
      <c r="B225" s="1442" t="s">
        <v>2158</v>
      </c>
      <c r="C225" s="1502" t="s">
        <v>2400</v>
      </c>
      <c r="D225" s="1293">
        <f t="shared" si="1"/>
        <v>0</v>
      </c>
      <c r="E225" s="1533">
        <f t="shared" si="1"/>
        <v>0.96</v>
      </c>
      <c r="F225" s="1534">
        <f t="shared" si="1"/>
        <v>80</v>
      </c>
      <c r="G225" s="1381">
        <f t="shared" si="1"/>
        <v>1</v>
      </c>
      <c r="H225" s="1382">
        <f t="shared" si="2"/>
        <v>0.8</v>
      </c>
      <c r="I225" s="1535">
        <f>J141</f>
        <v>1199.4509803921569</v>
      </c>
      <c r="J225" s="1536">
        <f>C86</f>
        <v>2084</v>
      </c>
      <c r="K225" s="1537">
        <f>D86</f>
        <v>0.57099999999999995</v>
      </c>
      <c r="L225" s="1383">
        <f t="shared" si="4"/>
        <v>0</v>
      </c>
      <c r="M225" s="1538">
        <f t="shared" si="5"/>
        <v>0</v>
      </c>
      <c r="N225" s="1539">
        <f t="shared" si="6"/>
        <v>0</v>
      </c>
      <c r="O225" s="1364">
        <f t="shared" si="7"/>
        <v>0</v>
      </c>
      <c r="P225" s="1492"/>
      <c r="Q225" s="1365">
        <f t="shared" si="8"/>
        <v>1747</v>
      </c>
      <c r="R225" s="1540">
        <f t="shared" si="9"/>
        <v>0</v>
      </c>
    </row>
    <row r="226" spans="2:18" s="1394" customFormat="1" ht="18.5" x14ac:dyDescent="0.45">
      <c r="B226" s="1445" t="s">
        <v>2028</v>
      </c>
      <c r="C226" s="1505" t="s">
        <v>2400</v>
      </c>
      <c r="D226" s="1287">
        <f t="shared" si="1"/>
        <v>15</v>
      </c>
      <c r="E226" s="1541">
        <f t="shared" si="1"/>
        <v>0.95</v>
      </c>
      <c r="F226" s="1542">
        <f t="shared" si="1"/>
        <v>95</v>
      </c>
      <c r="G226" s="1375">
        <f t="shared" si="1"/>
        <v>1</v>
      </c>
      <c r="H226" s="1376">
        <f t="shared" si="2"/>
        <v>0.8</v>
      </c>
      <c r="I226" s="1543">
        <f t="shared" ref="I226:I249" si="10">J143</f>
        <v>1427.0784313725492</v>
      </c>
      <c r="J226" s="1544">
        <f t="shared" ref="J226:J249" si="11">C88</f>
        <v>3276</v>
      </c>
      <c r="K226" s="1545">
        <f t="shared" ref="K226:K249" si="12">D88</f>
        <v>0.33300000000000002</v>
      </c>
      <c r="L226" s="1377">
        <f t="shared" si="4"/>
        <v>3812.975183823527</v>
      </c>
      <c r="M226" s="1546">
        <f t="shared" si="5"/>
        <v>10815</v>
      </c>
      <c r="N226" s="1547">
        <f t="shared" si="6"/>
        <v>1.0993269230769231</v>
      </c>
      <c r="O226" s="1378">
        <f t="shared" si="7"/>
        <v>15000</v>
      </c>
      <c r="P226" s="1492"/>
      <c r="Q226" s="1357">
        <f t="shared" si="8"/>
        <v>1511</v>
      </c>
      <c r="R226" s="1548">
        <f t="shared" si="9"/>
        <v>22665</v>
      </c>
    </row>
    <row r="227" spans="2:18" s="1394" customFormat="1" ht="18.5" x14ac:dyDescent="0.45">
      <c r="B227" s="1442" t="s">
        <v>2109</v>
      </c>
      <c r="C227" s="1502" t="s">
        <v>2400</v>
      </c>
      <c r="D227" s="1293">
        <f t="shared" si="1"/>
        <v>0</v>
      </c>
      <c r="E227" s="1533">
        <f t="shared" si="1"/>
        <v>0.95400000000000007</v>
      </c>
      <c r="F227" s="1534">
        <f t="shared" si="1"/>
        <v>102.22222222222223</v>
      </c>
      <c r="G227" s="1381">
        <f t="shared" si="1"/>
        <v>0.77777777777777779</v>
      </c>
      <c r="H227" s="1382">
        <f t="shared" si="2"/>
        <v>0.8</v>
      </c>
      <c r="I227" s="1535">
        <f t="shared" si="10"/>
        <v>854.84313725490188</v>
      </c>
      <c r="J227" s="1536">
        <f t="shared" si="11"/>
        <v>2102</v>
      </c>
      <c r="K227" s="1537">
        <f t="shared" si="12"/>
        <v>0.61899999999999999</v>
      </c>
      <c r="L227" s="1383">
        <f t="shared" si="4"/>
        <v>0</v>
      </c>
      <c r="M227" s="1538">
        <f t="shared" si="5"/>
        <v>0</v>
      </c>
      <c r="N227" s="1539">
        <f t="shared" si="6"/>
        <v>0</v>
      </c>
      <c r="O227" s="1364">
        <f t="shared" si="7"/>
        <v>0</v>
      </c>
      <c r="P227" s="1492"/>
      <c r="Q227" s="1365">
        <f t="shared" si="8"/>
        <v>1511</v>
      </c>
      <c r="R227" s="1540">
        <f t="shared" si="9"/>
        <v>0</v>
      </c>
    </row>
    <row r="228" spans="2:18" s="1394" customFormat="1" ht="18.5" x14ac:dyDescent="0.45">
      <c r="B228" s="1445" t="s">
        <v>2026</v>
      </c>
      <c r="C228" s="1505" t="s">
        <v>2400</v>
      </c>
      <c r="D228" s="1287">
        <f t="shared" si="1"/>
        <v>0</v>
      </c>
      <c r="E228" s="1541">
        <f t="shared" si="1"/>
        <v>0</v>
      </c>
      <c r="F228" s="1542">
        <f t="shared" si="1"/>
        <v>0</v>
      </c>
      <c r="G228" s="1375">
        <f t="shared" si="1"/>
        <v>0</v>
      </c>
      <c r="H228" s="1376">
        <f t="shared" si="2"/>
        <v>0.8</v>
      </c>
      <c r="I228" s="1543">
        <f t="shared" si="10"/>
        <v>1412.1372549019609</v>
      </c>
      <c r="J228" s="1544">
        <f t="shared" si="11"/>
        <v>2096</v>
      </c>
      <c r="K228" s="1545">
        <f t="shared" si="12"/>
        <v>0.47499999999999998</v>
      </c>
      <c r="L228" s="1377">
        <f t="shared" si="4"/>
        <v>0</v>
      </c>
      <c r="M228" s="1546">
        <f t="shared" si="5"/>
        <v>0</v>
      </c>
      <c r="N228" s="1547">
        <f t="shared" si="6"/>
        <v>0</v>
      </c>
      <c r="O228" s="1378">
        <f t="shared" si="7"/>
        <v>0</v>
      </c>
      <c r="P228" s="1492"/>
      <c r="Q228" s="1357">
        <f t="shared" si="8"/>
        <v>0</v>
      </c>
      <c r="R228" s="1548">
        <f t="shared" si="9"/>
        <v>0</v>
      </c>
    </row>
    <row r="229" spans="2:18" s="1394" customFormat="1" ht="18.5" x14ac:dyDescent="0.45">
      <c r="B229" s="1442" t="s">
        <v>2075</v>
      </c>
      <c r="C229" s="1502" t="s">
        <v>2400</v>
      </c>
      <c r="D229" s="1293">
        <f t="shared" si="1"/>
        <v>0</v>
      </c>
      <c r="E229" s="1533">
        <f t="shared" si="1"/>
        <v>0.97499999999999998</v>
      </c>
      <c r="F229" s="1534">
        <f t="shared" si="1"/>
        <v>74.5</v>
      </c>
      <c r="G229" s="1381">
        <f t="shared" si="1"/>
        <v>0.5</v>
      </c>
      <c r="H229" s="1382">
        <f t="shared" si="2"/>
        <v>0.8</v>
      </c>
      <c r="I229" s="1535">
        <f t="shared" si="10"/>
        <v>1486.705882352941</v>
      </c>
      <c r="J229" s="1536">
        <f t="shared" si="11"/>
        <v>1987</v>
      </c>
      <c r="K229" s="1537">
        <f t="shared" si="12"/>
        <v>0.61899999999999999</v>
      </c>
      <c r="L229" s="1383">
        <f t="shared" si="4"/>
        <v>0</v>
      </c>
      <c r="M229" s="1538">
        <f t="shared" si="5"/>
        <v>0</v>
      </c>
      <c r="N229" s="1539">
        <f t="shared" si="6"/>
        <v>0</v>
      </c>
      <c r="O229" s="1364">
        <f t="shared" si="7"/>
        <v>0</v>
      </c>
      <c r="P229" s="1492"/>
      <c r="Q229" s="1365">
        <f t="shared" si="8"/>
        <v>1747</v>
      </c>
      <c r="R229" s="1540">
        <f t="shared" si="9"/>
        <v>0</v>
      </c>
    </row>
    <row r="230" spans="2:18" s="1394" customFormat="1" ht="18.5" x14ac:dyDescent="0.45">
      <c r="B230" s="1445" t="s">
        <v>2029</v>
      </c>
      <c r="C230" s="1505" t="s">
        <v>2400</v>
      </c>
      <c r="D230" s="1287">
        <f t="shared" si="1"/>
        <v>0</v>
      </c>
      <c r="E230" s="1541">
        <f t="shared" si="1"/>
        <v>0</v>
      </c>
      <c r="F230" s="1542">
        <f t="shared" si="1"/>
        <v>0</v>
      </c>
      <c r="G230" s="1375">
        <f t="shared" si="1"/>
        <v>0</v>
      </c>
      <c r="H230" s="1376">
        <f t="shared" si="2"/>
        <v>0.8</v>
      </c>
      <c r="I230" s="1543">
        <f t="shared" si="10"/>
        <v>1692.4117647058822</v>
      </c>
      <c r="J230" s="1544">
        <f t="shared" si="11"/>
        <v>3141</v>
      </c>
      <c r="K230" s="1545">
        <f t="shared" si="12"/>
        <v>0.28799999999999998</v>
      </c>
      <c r="L230" s="1377">
        <f t="shared" si="4"/>
        <v>0</v>
      </c>
      <c r="M230" s="1546">
        <f t="shared" si="5"/>
        <v>0</v>
      </c>
      <c r="N230" s="1547">
        <f t="shared" si="6"/>
        <v>0</v>
      </c>
      <c r="O230" s="1378">
        <f t="shared" si="7"/>
        <v>0</v>
      </c>
      <c r="P230" s="1492"/>
      <c r="Q230" s="1357">
        <f t="shared" si="8"/>
        <v>0</v>
      </c>
      <c r="R230" s="1548">
        <f t="shared" si="9"/>
        <v>0</v>
      </c>
    </row>
    <row r="231" spans="2:18" s="1394" customFormat="1" ht="18.5" x14ac:dyDescent="0.45">
      <c r="B231" s="1442" t="s">
        <v>2356</v>
      </c>
      <c r="C231" s="1502" t="s">
        <v>2400</v>
      </c>
      <c r="D231" s="1293">
        <f t="shared" si="1"/>
        <v>0</v>
      </c>
      <c r="E231" s="1533">
        <f t="shared" si="1"/>
        <v>0</v>
      </c>
      <c r="F231" s="1534">
        <f t="shared" si="1"/>
        <v>0</v>
      </c>
      <c r="G231" s="1381">
        <f t="shared" si="1"/>
        <v>0</v>
      </c>
      <c r="H231" s="1382">
        <f t="shared" si="2"/>
        <v>0.8</v>
      </c>
      <c r="I231" s="1535">
        <f t="shared" si="10"/>
        <v>1098.5882352941176</v>
      </c>
      <c r="J231" s="1536">
        <f t="shared" si="11"/>
        <v>8760</v>
      </c>
      <c r="K231" s="1537">
        <f t="shared" si="12"/>
        <v>0.64800000000000002</v>
      </c>
      <c r="L231" s="1383">
        <f t="shared" si="4"/>
        <v>0</v>
      </c>
      <c r="M231" s="1538">
        <f t="shared" si="5"/>
        <v>0</v>
      </c>
      <c r="N231" s="1539">
        <f t="shared" si="6"/>
        <v>0</v>
      </c>
      <c r="O231" s="1364">
        <f t="shared" si="7"/>
        <v>0</v>
      </c>
      <c r="P231" s="1492"/>
      <c r="Q231" s="1365">
        <f t="shared" si="8"/>
        <v>0</v>
      </c>
      <c r="R231" s="1540">
        <f t="shared" si="9"/>
        <v>0</v>
      </c>
    </row>
    <row r="232" spans="2:18" s="1394" customFormat="1" ht="18.5" x14ac:dyDescent="0.45">
      <c r="B232" s="1445" t="s">
        <v>2357</v>
      </c>
      <c r="C232" s="1505" t="s">
        <v>2400</v>
      </c>
      <c r="D232" s="1287">
        <f t="shared" si="1"/>
        <v>0</v>
      </c>
      <c r="E232" s="1541">
        <f t="shared" si="1"/>
        <v>0</v>
      </c>
      <c r="F232" s="1542">
        <f t="shared" si="1"/>
        <v>0</v>
      </c>
      <c r="G232" s="1375">
        <f t="shared" si="1"/>
        <v>0</v>
      </c>
      <c r="H232" s="1376">
        <f t="shared" si="2"/>
        <v>0.8</v>
      </c>
      <c r="I232" s="1543">
        <f t="shared" si="10"/>
        <v>1284.5098039215686</v>
      </c>
      <c r="J232" s="1544">
        <f t="shared" si="11"/>
        <v>2881</v>
      </c>
      <c r="K232" s="1545">
        <f t="shared" si="12"/>
        <v>0.61499999999999999</v>
      </c>
      <c r="L232" s="1377">
        <f t="shared" si="4"/>
        <v>0</v>
      </c>
      <c r="M232" s="1546">
        <f t="shared" si="5"/>
        <v>0</v>
      </c>
      <c r="N232" s="1547">
        <f t="shared" si="6"/>
        <v>0</v>
      </c>
      <c r="O232" s="1378">
        <f t="shared" si="7"/>
        <v>0</v>
      </c>
      <c r="P232" s="1492"/>
      <c r="Q232" s="1357">
        <f t="shared" si="8"/>
        <v>0</v>
      </c>
      <c r="R232" s="1548">
        <f t="shared" si="9"/>
        <v>0</v>
      </c>
    </row>
    <row r="233" spans="2:18" s="1394" customFormat="1" ht="18.5" x14ac:dyDescent="0.45">
      <c r="B233" s="1442" t="s">
        <v>2358</v>
      </c>
      <c r="C233" s="1502" t="s">
        <v>2400</v>
      </c>
      <c r="D233" s="1293">
        <f t="shared" si="1"/>
        <v>0</v>
      </c>
      <c r="E233" s="1533">
        <f t="shared" si="1"/>
        <v>0</v>
      </c>
      <c r="F233" s="1534">
        <f t="shared" si="1"/>
        <v>0</v>
      </c>
      <c r="G233" s="1381">
        <f t="shared" si="1"/>
        <v>0</v>
      </c>
      <c r="H233" s="1382">
        <f t="shared" si="2"/>
        <v>0.8</v>
      </c>
      <c r="I233" s="1535">
        <f t="shared" si="10"/>
        <v>648.41176470588243</v>
      </c>
      <c r="J233" s="1536">
        <f t="shared" si="11"/>
        <v>2788</v>
      </c>
      <c r="K233" s="1537">
        <f t="shared" si="12"/>
        <v>0.57599999999999996</v>
      </c>
      <c r="L233" s="1383">
        <f t="shared" si="4"/>
        <v>0</v>
      </c>
      <c r="M233" s="1538">
        <f t="shared" si="5"/>
        <v>0</v>
      </c>
      <c r="N233" s="1539">
        <f t="shared" si="6"/>
        <v>0</v>
      </c>
      <c r="O233" s="1364">
        <f t="shared" si="7"/>
        <v>0</v>
      </c>
      <c r="P233" s="1492"/>
      <c r="Q233" s="1365">
        <f t="shared" si="8"/>
        <v>0</v>
      </c>
      <c r="R233" s="1540">
        <f t="shared" si="9"/>
        <v>0</v>
      </c>
    </row>
    <row r="234" spans="2:18" s="1394" customFormat="1" ht="18.5" x14ac:dyDescent="0.45">
      <c r="B234" s="1445" t="s">
        <v>2162</v>
      </c>
      <c r="C234" s="1505" t="s">
        <v>2400</v>
      </c>
      <c r="D234" s="1287">
        <f t="shared" si="1"/>
        <v>0</v>
      </c>
      <c r="E234" s="1541">
        <f t="shared" si="1"/>
        <v>0</v>
      </c>
      <c r="F234" s="1542">
        <f t="shared" si="1"/>
        <v>0</v>
      </c>
      <c r="G234" s="1375">
        <f t="shared" si="1"/>
        <v>0</v>
      </c>
      <c r="H234" s="1376">
        <f t="shared" si="2"/>
        <v>0.8</v>
      </c>
      <c r="I234" s="1543">
        <f t="shared" si="10"/>
        <v>1400.0588235294117</v>
      </c>
      <c r="J234" s="1544">
        <f t="shared" si="11"/>
        <v>8729</v>
      </c>
      <c r="K234" s="1545">
        <f t="shared" si="12"/>
        <v>0.60899999999999999</v>
      </c>
      <c r="L234" s="1377">
        <f t="shared" si="4"/>
        <v>0</v>
      </c>
      <c r="M234" s="1546">
        <f t="shared" si="5"/>
        <v>0</v>
      </c>
      <c r="N234" s="1547">
        <f t="shared" si="6"/>
        <v>0</v>
      </c>
      <c r="O234" s="1378">
        <f t="shared" si="7"/>
        <v>0</v>
      </c>
      <c r="P234" s="1492"/>
      <c r="Q234" s="1357">
        <f t="shared" si="8"/>
        <v>0</v>
      </c>
      <c r="R234" s="1548">
        <f t="shared" si="9"/>
        <v>0</v>
      </c>
    </row>
    <row r="235" spans="2:18" s="1394" customFormat="1" ht="18.5" x14ac:dyDescent="0.45">
      <c r="B235" s="1442" t="s">
        <v>2325</v>
      </c>
      <c r="C235" s="1502" t="s">
        <v>2400</v>
      </c>
      <c r="D235" s="1293">
        <f t="shared" si="1"/>
        <v>0</v>
      </c>
      <c r="E235" s="1533">
        <f t="shared" si="1"/>
        <v>0</v>
      </c>
      <c r="F235" s="1534">
        <f t="shared" si="1"/>
        <v>0</v>
      </c>
      <c r="G235" s="1381">
        <f t="shared" si="1"/>
        <v>0</v>
      </c>
      <c r="H235" s="1382">
        <f t="shared" si="2"/>
        <v>0.8</v>
      </c>
      <c r="I235" s="1535">
        <f t="shared" si="10"/>
        <v>1495.8823529411764</v>
      </c>
      <c r="J235" s="1536">
        <f t="shared" si="11"/>
        <v>8712</v>
      </c>
      <c r="K235" s="1537">
        <f t="shared" si="12"/>
        <v>0.629</v>
      </c>
      <c r="L235" s="1383">
        <f t="shared" si="4"/>
        <v>0</v>
      </c>
      <c r="M235" s="1538">
        <f t="shared" si="5"/>
        <v>0</v>
      </c>
      <c r="N235" s="1539">
        <f t="shared" si="6"/>
        <v>0</v>
      </c>
      <c r="O235" s="1364">
        <f t="shared" si="7"/>
        <v>0</v>
      </c>
      <c r="P235" s="1492"/>
      <c r="Q235" s="1365">
        <f t="shared" si="8"/>
        <v>0</v>
      </c>
      <c r="R235" s="1540">
        <f t="shared" si="9"/>
        <v>0</v>
      </c>
    </row>
    <row r="236" spans="2:18" s="1394" customFormat="1" ht="18.5" x14ac:dyDescent="0.45">
      <c r="B236" s="1445" t="s">
        <v>2073</v>
      </c>
      <c r="C236" s="1505" t="s">
        <v>2400</v>
      </c>
      <c r="D236" s="1287">
        <f t="shared" si="1"/>
        <v>0</v>
      </c>
      <c r="E236" s="1541">
        <f t="shared" si="1"/>
        <v>0</v>
      </c>
      <c r="F236" s="1542">
        <f t="shared" si="1"/>
        <v>0</v>
      </c>
      <c r="G236" s="1375">
        <f t="shared" si="1"/>
        <v>0</v>
      </c>
      <c r="H236" s="1376">
        <f t="shared" si="2"/>
        <v>0.8</v>
      </c>
      <c r="I236" s="1543">
        <f t="shared" si="10"/>
        <v>1587.5882352941178</v>
      </c>
      <c r="J236" s="1544">
        <f t="shared" si="11"/>
        <v>8712</v>
      </c>
      <c r="K236" s="1545">
        <f t="shared" si="12"/>
        <v>0.64600000000000002</v>
      </c>
      <c r="L236" s="1377">
        <f t="shared" si="4"/>
        <v>0</v>
      </c>
      <c r="M236" s="1546">
        <f t="shared" si="5"/>
        <v>0</v>
      </c>
      <c r="N236" s="1547">
        <f t="shared" si="6"/>
        <v>0</v>
      </c>
      <c r="O236" s="1378">
        <f t="shared" si="7"/>
        <v>0</v>
      </c>
      <c r="P236" s="1492"/>
      <c r="Q236" s="1357">
        <f t="shared" si="8"/>
        <v>0</v>
      </c>
      <c r="R236" s="1548">
        <f t="shared" si="9"/>
        <v>0</v>
      </c>
    </row>
    <row r="237" spans="2:18" s="1394" customFormat="1" ht="18.5" x14ac:dyDescent="0.45">
      <c r="B237" s="1442" t="s">
        <v>2166</v>
      </c>
      <c r="C237" s="1502" t="s">
        <v>2400</v>
      </c>
      <c r="D237" s="1293">
        <f t="shared" si="1"/>
        <v>0</v>
      </c>
      <c r="E237" s="1533">
        <f t="shared" si="1"/>
        <v>0</v>
      </c>
      <c r="F237" s="1534">
        <f t="shared" si="1"/>
        <v>0</v>
      </c>
      <c r="G237" s="1381">
        <f t="shared" si="1"/>
        <v>0</v>
      </c>
      <c r="H237" s="1382">
        <f t="shared" si="2"/>
        <v>0.8</v>
      </c>
      <c r="I237" s="1535">
        <f t="shared" si="10"/>
        <v>1456.4509803921569</v>
      </c>
      <c r="J237" s="1536">
        <f t="shared" si="11"/>
        <v>4479</v>
      </c>
      <c r="K237" s="1537">
        <f t="shared" si="12"/>
        <v>0.629</v>
      </c>
      <c r="L237" s="1383">
        <f t="shared" si="4"/>
        <v>0</v>
      </c>
      <c r="M237" s="1538">
        <f t="shared" si="5"/>
        <v>0</v>
      </c>
      <c r="N237" s="1539">
        <f t="shared" si="6"/>
        <v>0</v>
      </c>
      <c r="O237" s="1364">
        <f t="shared" si="7"/>
        <v>0</v>
      </c>
      <c r="P237" s="1492"/>
      <c r="Q237" s="1365">
        <f t="shared" si="8"/>
        <v>0</v>
      </c>
      <c r="R237" s="1540">
        <f t="shared" si="9"/>
        <v>0</v>
      </c>
    </row>
    <row r="238" spans="2:18" s="1394" customFormat="1" ht="18.5" x14ac:dyDescent="0.45">
      <c r="B238" s="1445" t="s">
        <v>2163</v>
      </c>
      <c r="C238" s="1505" t="s">
        <v>2400</v>
      </c>
      <c r="D238" s="1287">
        <f t="shared" ref="D238:G253" si="13">D164</f>
        <v>0</v>
      </c>
      <c r="E238" s="1541">
        <f t="shared" si="13"/>
        <v>0.95</v>
      </c>
      <c r="F238" s="1542">
        <f t="shared" si="13"/>
        <v>91</v>
      </c>
      <c r="G238" s="1375">
        <f t="shared" si="13"/>
        <v>1</v>
      </c>
      <c r="H238" s="1376">
        <f t="shared" si="2"/>
        <v>0.8</v>
      </c>
      <c r="I238" s="1543">
        <f t="shared" si="10"/>
        <v>899.50980392156862</v>
      </c>
      <c r="J238" s="1544">
        <f t="shared" si="11"/>
        <v>2805</v>
      </c>
      <c r="K238" s="1545">
        <f t="shared" si="12"/>
        <v>0.433</v>
      </c>
      <c r="L238" s="1377">
        <f t="shared" si="4"/>
        <v>0</v>
      </c>
      <c r="M238" s="1546">
        <f t="shared" si="5"/>
        <v>0</v>
      </c>
      <c r="N238" s="1547">
        <f t="shared" si="6"/>
        <v>0</v>
      </c>
      <c r="O238" s="1378">
        <f t="shared" si="7"/>
        <v>0</v>
      </c>
      <c r="P238" s="1492"/>
      <c r="Q238" s="1357">
        <f t="shared" si="8"/>
        <v>1511</v>
      </c>
      <c r="R238" s="1548">
        <f t="shared" si="9"/>
        <v>0</v>
      </c>
    </row>
    <row r="239" spans="2:18" s="1394" customFormat="1" ht="18.5" x14ac:dyDescent="0.45">
      <c r="B239" s="1442" t="s">
        <v>2181</v>
      </c>
      <c r="C239" s="1502" t="s">
        <v>2400</v>
      </c>
      <c r="D239" s="1293">
        <f t="shared" si="13"/>
        <v>0</v>
      </c>
      <c r="E239" s="1533">
        <f t="shared" si="13"/>
        <v>0</v>
      </c>
      <c r="F239" s="1534">
        <f t="shared" si="13"/>
        <v>0</v>
      </c>
      <c r="G239" s="1381">
        <f t="shared" si="13"/>
        <v>0</v>
      </c>
      <c r="H239" s="1382">
        <f t="shared" si="2"/>
        <v>0.8</v>
      </c>
      <c r="I239" s="1535">
        <f t="shared" si="10"/>
        <v>1415.1372549019607</v>
      </c>
      <c r="J239" s="1536">
        <f t="shared" si="11"/>
        <v>4237</v>
      </c>
      <c r="K239" s="1537">
        <f t="shared" si="12"/>
        <v>0.437</v>
      </c>
      <c r="L239" s="1383">
        <f t="shared" si="4"/>
        <v>0</v>
      </c>
      <c r="M239" s="1538">
        <f t="shared" si="5"/>
        <v>0</v>
      </c>
      <c r="N239" s="1539">
        <f t="shared" si="6"/>
        <v>0</v>
      </c>
      <c r="O239" s="1364">
        <f t="shared" si="7"/>
        <v>0</v>
      </c>
      <c r="P239" s="1492"/>
      <c r="Q239" s="1365">
        <f t="shared" si="8"/>
        <v>0</v>
      </c>
      <c r="R239" s="1540">
        <f t="shared" si="9"/>
        <v>0</v>
      </c>
    </row>
    <row r="240" spans="2:18" s="1394" customFormat="1" ht="18.5" x14ac:dyDescent="0.45">
      <c r="B240" s="1445" t="s">
        <v>2164</v>
      </c>
      <c r="C240" s="1505" t="s">
        <v>2400</v>
      </c>
      <c r="D240" s="1287">
        <f t="shared" si="13"/>
        <v>0</v>
      </c>
      <c r="E240" s="1541">
        <f t="shared" si="13"/>
        <v>0</v>
      </c>
      <c r="F240" s="1542">
        <f t="shared" si="13"/>
        <v>0</v>
      </c>
      <c r="G240" s="1375">
        <f t="shared" si="13"/>
        <v>0</v>
      </c>
      <c r="H240" s="1376">
        <f t="shared" si="2"/>
        <v>0.8</v>
      </c>
      <c r="I240" s="1543">
        <f t="shared" si="10"/>
        <v>512.23529411764696</v>
      </c>
      <c r="J240" s="1544">
        <f t="shared" si="11"/>
        <v>4237</v>
      </c>
      <c r="K240" s="1545">
        <f t="shared" si="12"/>
        <v>0.437</v>
      </c>
      <c r="L240" s="1377">
        <f t="shared" si="4"/>
        <v>0</v>
      </c>
      <c r="M240" s="1546">
        <f t="shared" si="5"/>
        <v>0</v>
      </c>
      <c r="N240" s="1547">
        <f t="shared" si="6"/>
        <v>0</v>
      </c>
      <c r="O240" s="1378">
        <f t="shared" si="7"/>
        <v>0</v>
      </c>
      <c r="P240" s="1492"/>
      <c r="Q240" s="1357">
        <f t="shared" si="8"/>
        <v>0</v>
      </c>
      <c r="R240" s="1548">
        <f t="shared" si="9"/>
        <v>0</v>
      </c>
    </row>
    <row r="241" spans="2:18" s="1394" customFormat="1" ht="18.5" x14ac:dyDescent="0.45">
      <c r="B241" s="1442" t="s">
        <v>2336</v>
      </c>
      <c r="C241" s="1502" t="s">
        <v>2400</v>
      </c>
      <c r="D241" s="1293">
        <f t="shared" si="13"/>
        <v>0</v>
      </c>
      <c r="E241" s="1533">
        <f t="shared" si="13"/>
        <v>0</v>
      </c>
      <c r="F241" s="1534">
        <f t="shared" si="13"/>
        <v>0</v>
      </c>
      <c r="G241" s="1381">
        <f t="shared" si="13"/>
        <v>0</v>
      </c>
      <c r="H241" s="1382">
        <f t="shared" si="2"/>
        <v>0.8</v>
      </c>
      <c r="I241" s="1535">
        <f t="shared" si="10"/>
        <v>1493.6862745098038</v>
      </c>
      <c r="J241" s="1536">
        <f t="shared" si="11"/>
        <v>4237</v>
      </c>
      <c r="K241" s="1537">
        <f t="shared" si="12"/>
        <v>0.43</v>
      </c>
      <c r="L241" s="1383">
        <f t="shared" si="4"/>
        <v>0</v>
      </c>
      <c r="M241" s="1538">
        <f t="shared" si="5"/>
        <v>0</v>
      </c>
      <c r="N241" s="1539">
        <f t="shared" si="6"/>
        <v>0</v>
      </c>
      <c r="O241" s="1364">
        <f t="shared" si="7"/>
        <v>0</v>
      </c>
      <c r="P241" s="1492"/>
      <c r="Q241" s="1365">
        <f t="shared" si="8"/>
        <v>0</v>
      </c>
      <c r="R241" s="1540">
        <f t="shared" si="9"/>
        <v>0</v>
      </c>
    </row>
    <row r="242" spans="2:18" s="1394" customFormat="1" ht="18.5" x14ac:dyDescent="0.45">
      <c r="B242" s="1445" t="s">
        <v>2165</v>
      </c>
      <c r="C242" s="1505" t="s">
        <v>2400</v>
      </c>
      <c r="D242" s="1287">
        <f t="shared" si="13"/>
        <v>0</v>
      </c>
      <c r="E242" s="1541">
        <f t="shared" si="13"/>
        <v>0</v>
      </c>
      <c r="F242" s="1542">
        <f t="shared" si="13"/>
        <v>0</v>
      </c>
      <c r="G242" s="1375">
        <f t="shared" si="13"/>
        <v>0</v>
      </c>
      <c r="H242" s="1376">
        <f t="shared" si="2"/>
        <v>0.8</v>
      </c>
      <c r="I242" s="1543">
        <f t="shared" si="10"/>
        <v>1630.1960784313726</v>
      </c>
      <c r="J242" s="1544">
        <f t="shared" si="11"/>
        <v>2899</v>
      </c>
      <c r="K242" s="1545">
        <f t="shared" si="12"/>
        <v>0.24299999999999999</v>
      </c>
      <c r="L242" s="1377">
        <f t="shared" si="4"/>
        <v>0</v>
      </c>
      <c r="M242" s="1546">
        <f t="shared" si="5"/>
        <v>0</v>
      </c>
      <c r="N242" s="1547">
        <f t="shared" si="6"/>
        <v>0</v>
      </c>
      <c r="O242" s="1378">
        <f t="shared" si="7"/>
        <v>0</v>
      </c>
      <c r="P242" s="1492"/>
      <c r="Q242" s="1357">
        <f t="shared" si="8"/>
        <v>0</v>
      </c>
      <c r="R242" s="1548">
        <f t="shared" si="9"/>
        <v>0</v>
      </c>
    </row>
    <row r="243" spans="2:18" s="1394" customFormat="1" ht="18.5" x14ac:dyDescent="0.45">
      <c r="B243" s="1442" t="s">
        <v>2167</v>
      </c>
      <c r="C243" s="1502" t="s">
        <v>2400</v>
      </c>
      <c r="D243" s="1293">
        <f>D1591</f>
        <v>0</v>
      </c>
      <c r="E243" s="1533">
        <f t="shared" si="13"/>
        <v>0.95400000000000007</v>
      </c>
      <c r="F243" s="1534">
        <f t="shared" si="13"/>
        <v>102.22222222222223</v>
      </c>
      <c r="G243" s="1381">
        <f t="shared" si="13"/>
        <v>0.77777777777777779</v>
      </c>
      <c r="H243" s="1382">
        <f t="shared" si="2"/>
        <v>0.8</v>
      </c>
      <c r="I243" s="1535">
        <f t="shared" si="10"/>
        <v>1698.2156862745098</v>
      </c>
      <c r="J243" s="1536">
        <f t="shared" si="11"/>
        <v>2120</v>
      </c>
      <c r="K243" s="1537">
        <f t="shared" si="12"/>
        <v>0.41899999999999998</v>
      </c>
      <c r="L243" s="1383">
        <f t="shared" si="4"/>
        <v>0</v>
      </c>
      <c r="M243" s="1538">
        <f t="shared" si="5"/>
        <v>0</v>
      </c>
      <c r="N243" s="1539">
        <f t="shared" si="6"/>
        <v>0</v>
      </c>
      <c r="O243" s="1364">
        <f t="shared" si="7"/>
        <v>0</v>
      </c>
      <c r="P243" s="1492"/>
      <c r="Q243" s="1365">
        <f t="shared" si="8"/>
        <v>1511</v>
      </c>
      <c r="R243" s="1540">
        <f t="shared" si="9"/>
        <v>0</v>
      </c>
    </row>
    <row r="244" spans="2:18" s="1394" customFormat="1" ht="18.5" x14ac:dyDescent="0.45">
      <c r="B244" s="1445" t="s">
        <v>2168</v>
      </c>
      <c r="C244" s="1505" t="s">
        <v>2400</v>
      </c>
      <c r="D244" s="1287">
        <f t="shared" si="13"/>
        <v>0</v>
      </c>
      <c r="E244" s="1541">
        <f t="shared" si="13"/>
        <v>0</v>
      </c>
      <c r="F244" s="1542">
        <f t="shared" si="13"/>
        <v>0</v>
      </c>
      <c r="G244" s="1375">
        <f t="shared" si="13"/>
        <v>0</v>
      </c>
      <c r="H244" s="1376">
        <f t="shared" si="2"/>
        <v>0.8</v>
      </c>
      <c r="I244" s="1543">
        <f t="shared" si="10"/>
        <v>936.1960784313726</v>
      </c>
      <c r="J244" s="1544">
        <f t="shared" si="11"/>
        <v>5682</v>
      </c>
      <c r="K244" s="1545">
        <f t="shared" si="12"/>
        <v>0.503</v>
      </c>
      <c r="L244" s="1377">
        <f t="shared" si="4"/>
        <v>0</v>
      </c>
      <c r="M244" s="1546">
        <f t="shared" si="5"/>
        <v>0</v>
      </c>
      <c r="N244" s="1547">
        <f t="shared" si="6"/>
        <v>0</v>
      </c>
      <c r="O244" s="1378">
        <f t="shared" si="7"/>
        <v>0</v>
      </c>
      <c r="P244" s="1492"/>
      <c r="Q244" s="1357">
        <f t="shared" si="8"/>
        <v>0</v>
      </c>
      <c r="R244" s="1548">
        <f t="shared" si="9"/>
        <v>0</v>
      </c>
    </row>
    <row r="245" spans="2:18" s="1394" customFormat="1" ht="18.5" x14ac:dyDescent="0.45">
      <c r="B245" s="1442" t="s">
        <v>2169</v>
      </c>
      <c r="C245" s="1502" t="s">
        <v>2400</v>
      </c>
      <c r="D245" s="1293">
        <f t="shared" si="13"/>
        <v>0</v>
      </c>
      <c r="E245" s="1533">
        <f t="shared" si="13"/>
        <v>0</v>
      </c>
      <c r="F245" s="1534">
        <f t="shared" si="13"/>
        <v>0</v>
      </c>
      <c r="G245" s="1381">
        <f t="shared" si="13"/>
        <v>0</v>
      </c>
      <c r="H245" s="1382">
        <f t="shared" si="2"/>
        <v>0.8</v>
      </c>
      <c r="I245" s="1535">
        <f t="shared" si="10"/>
        <v>2004.4117647058824</v>
      </c>
      <c r="J245" s="1536">
        <f t="shared" si="11"/>
        <v>4849</v>
      </c>
      <c r="K245" s="1537">
        <f t="shared" si="12"/>
        <v>0.48299999999999998</v>
      </c>
      <c r="L245" s="1383">
        <f t="shared" si="4"/>
        <v>0</v>
      </c>
      <c r="M245" s="1538">
        <f t="shared" si="5"/>
        <v>0</v>
      </c>
      <c r="N245" s="1539">
        <f t="shared" si="6"/>
        <v>0</v>
      </c>
      <c r="O245" s="1364">
        <f t="shared" si="7"/>
        <v>0</v>
      </c>
      <c r="P245" s="1492"/>
      <c r="Q245" s="1365">
        <f t="shared" si="8"/>
        <v>0</v>
      </c>
      <c r="R245" s="1540">
        <f t="shared" si="9"/>
        <v>0</v>
      </c>
    </row>
    <row r="246" spans="2:18" s="1394" customFormat="1" ht="18.5" x14ac:dyDescent="0.45">
      <c r="B246" s="1445" t="s">
        <v>2170</v>
      </c>
      <c r="C246" s="1505" t="s">
        <v>2400</v>
      </c>
      <c r="D246" s="1287">
        <f t="shared" si="13"/>
        <v>0</v>
      </c>
      <c r="E246" s="1541">
        <f t="shared" si="13"/>
        <v>0</v>
      </c>
      <c r="F246" s="1542">
        <f t="shared" si="13"/>
        <v>0</v>
      </c>
      <c r="G246" s="1375">
        <f t="shared" si="13"/>
        <v>0</v>
      </c>
      <c r="H246" s="1376">
        <f t="shared" si="2"/>
        <v>0.8</v>
      </c>
      <c r="I246" s="1543">
        <f t="shared" si="10"/>
        <v>1262.7843137254904</v>
      </c>
      <c r="J246" s="1544">
        <f t="shared" si="11"/>
        <v>2038</v>
      </c>
      <c r="K246" s="1545">
        <f t="shared" si="12"/>
        <v>0.432</v>
      </c>
      <c r="L246" s="1377">
        <f t="shared" si="4"/>
        <v>0</v>
      </c>
      <c r="M246" s="1546">
        <f t="shared" si="5"/>
        <v>0</v>
      </c>
      <c r="N246" s="1547">
        <f t="shared" si="6"/>
        <v>0</v>
      </c>
      <c r="O246" s="1378">
        <f t="shared" si="7"/>
        <v>0</v>
      </c>
      <c r="P246" s="1492"/>
      <c r="Q246" s="1357">
        <f t="shared" si="8"/>
        <v>0</v>
      </c>
      <c r="R246" s="1548">
        <f t="shared" si="9"/>
        <v>0</v>
      </c>
    </row>
    <row r="247" spans="2:18" s="1394" customFormat="1" ht="18.5" x14ac:dyDescent="0.45">
      <c r="B247" s="1442" t="s">
        <v>2171</v>
      </c>
      <c r="C247" s="1502" t="s">
        <v>2400</v>
      </c>
      <c r="D247" s="1293">
        <f t="shared" si="13"/>
        <v>0</v>
      </c>
      <c r="E247" s="1533">
        <f t="shared" si="13"/>
        <v>0</v>
      </c>
      <c r="F247" s="1534">
        <f t="shared" si="13"/>
        <v>0</v>
      </c>
      <c r="G247" s="1381">
        <f t="shared" si="13"/>
        <v>0</v>
      </c>
      <c r="H247" s="1382">
        <f t="shared" si="2"/>
        <v>0.8</v>
      </c>
      <c r="I247" s="1535">
        <f t="shared" si="10"/>
        <v>903.1960784313726</v>
      </c>
      <c r="J247" s="1536">
        <f t="shared" si="11"/>
        <v>3069</v>
      </c>
      <c r="K247" s="1537">
        <f t="shared" si="12"/>
        <v>0.46200000000000002</v>
      </c>
      <c r="L247" s="1383">
        <f t="shared" si="4"/>
        <v>0</v>
      </c>
      <c r="M247" s="1538">
        <f t="shared" si="5"/>
        <v>0</v>
      </c>
      <c r="N247" s="1539">
        <f t="shared" si="6"/>
        <v>0</v>
      </c>
      <c r="O247" s="1364">
        <f t="shared" si="7"/>
        <v>0</v>
      </c>
      <c r="P247" s="1492"/>
      <c r="Q247" s="1365">
        <f t="shared" si="8"/>
        <v>0</v>
      </c>
      <c r="R247" s="1540">
        <f t="shared" si="9"/>
        <v>0</v>
      </c>
    </row>
    <row r="248" spans="2:18" s="1394" customFormat="1" ht="18.5" x14ac:dyDescent="0.45">
      <c r="B248" s="1445" t="s">
        <v>2172</v>
      </c>
      <c r="C248" s="1505" t="s">
        <v>2400</v>
      </c>
      <c r="D248" s="1287">
        <f t="shared" si="13"/>
        <v>24</v>
      </c>
      <c r="E248" s="1541">
        <f t="shared" si="13"/>
        <v>0.95594429999999997</v>
      </c>
      <c r="F248" s="1542">
        <f t="shared" si="13"/>
        <v>84</v>
      </c>
      <c r="G248" s="1375">
        <f t="shared" si="13"/>
        <v>0.9</v>
      </c>
      <c r="H248" s="1376">
        <f t="shared" si="2"/>
        <v>0.8</v>
      </c>
      <c r="I248" s="1543">
        <f t="shared" si="10"/>
        <v>2375.1176470588239</v>
      </c>
      <c r="J248" s="1544">
        <f t="shared" si="11"/>
        <v>2481</v>
      </c>
      <c r="K248" s="1545">
        <f t="shared" si="12"/>
        <v>0.47399999999999998</v>
      </c>
      <c r="L248" s="1377">
        <f t="shared" si="4"/>
        <v>9333.7286839835251</v>
      </c>
      <c r="M248" s="1546">
        <f t="shared" si="5"/>
        <v>17119.199999999997</v>
      </c>
      <c r="N248" s="1547">
        <f t="shared" si="6"/>
        <v>3.2706573155985481</v>
      </c>
      <c r="O248" s="1378">
        <f t="shared" si="7"/>
        <v>24000</v>
      </c>
      <c r="P248" s="1492"/>
      <c r="Q248" s="1357">
        <f t="shared" si="8"/>
        <v>1511</v>
      </c>
      <c r="R248" s="1548">
        <f t="shared" si="9"/>
        <v>36264</v>
      </c>
    </row>
    <row r="249" spans="2:18" s="1394" customFormat="1" ht="18.5" x14ac:dyDescent="0.45">
      <c r="B249" s="1442" t="s">
        <v>2173</v>
      </c>
      <c r="C249" s="1502" t="s">
        <v>2400</v>
      </c>
      <c r="D249" s="1293">
        <f t="shared" si="13"/>
        <v>3</v>
      </c>
      <c r="E249" s="1533">
        <f t="shared" si="13"/>
        <v>0.95</v>
      </c>
      <c r="F249" s="1534">
        <f t="shared" si="13"/>
        <v>88</v>
      </c>
      <c r="G249" s="1381">
        <f t="shared" si="13"/>
        <v>1</v>
      </c>
      <c r="H249" s="1382">
        <f t="shared" si="2"/>
        <v>0.8</v>
      </c>
      <c r="I249" s="1535">
        <f t="shared" si="10"/>
        <v>1483.2352941176471</v>
      </c>
      <c r="J249" s="1536">
        <f t="shared" si="11"/>
        <v>1881</v>
      </c>
      <c r="K249" s="1537">
        <f t="shared" si="12"/>
        <v>0.42799999999999999</v>
      </c>
      <c r="L249" s="1383">
        <f t="shared" si="4"/>
        <v>734.20147058823477</v>
      </c>
      <c r="M249" s="1538">
        <f t="shared" si="5"/>
        <v>2163</v>
      </c>
      <c r="N249" s="1539">
        <f t="shared" si="6"/>
        <v>0.49216586921850081</v>
      </c>
      <c r="O249" s="1364">
        <f t="shared" si="7"/>
        <v>3000</v>
      </c>
      <c r="P249" s="1492"/>
      <c r="Q249" s="1365">
        <f t="shared" si="8"/>
        <v>1511</v>
      </c>
      <c r="R249" s="1540">
        <f t="shared" si="9"/>
        <v>4533</v>
      </c>
    </row>
    <row r="250" spans="2:18" s="1394" customFormat="1" ht="18.5" x14ac:dyDescent="0.45">
      <c r="B250" s="1445" t="s">
        <v>2174</v>
      </c>
      <c r="C250" s="1505" t="s">
        <v>2400</v>
      </c>
      <c r="D250" s="1287">
        <f t="shared" si="13"/>
        <v>0</v>
      </c>
      <c r="E250" s="1541">
        <f t="shared" si="13"/>
        <v>0.96</v>
      </c>
      <c r="F250" s="1542">
        <f t="shared" si="13"/>
        <v>112.5</v>
      </c>
      <c r="G250" s="1375">
        <f t="shared" si="13"/>
        <v>0.9</v>
      </c>
      <c r="H250" s="1376">
        <f t="shared" si="2"/>
        <v>0.8</v>
      </c>
      <c r="I250" s="1543">
        <f t="shared" ref="I250:I255" si="14">J168</f>
        <v>1395.7647058823529</v>
      </c>
      <c r="J250" s="1544">
        <f t="shared" ref="J250:K255" si="15">C113</f>
        <v>2830</v>
      </c>
      <c r="K250" s="1545">
        <f t="shared" si="15"/>
        <v>0.433</v>
      </c>
      <c r="L250" s="1377">
        <f t="shared" si="4"/>
        <v>0</v>
      </c>
      <c r="M250" s="1546">
        <f t="shared" si="5"/>
        <v>0</v>
      </c>
      <c r="N250" s="1547">
        <f t="shared" si="6"/>
        <v>0</v>
      </c>
      <c r="O250" s="1378">
        <f t="shared" si="7"/>
        <v>0</v>
      </c>
      <c r="P250" s="1492"/>
      <c r="Q250" s="1357">
        <f t="shared" si="8"/>
        <v>1747</v>
      </c>
      <c r="R250" s="1548">
        <f t="shared" si="9"/>
        <v>0</v>
      </c>
    </row>
    <row r="251" spans="2:18" s="1394" customFormat="1" ht="18.5" x14ac:dyDescent="0.45">
      <c r="B251" s="1442" t="s">
        <v>2175</v>
      </c>
      <c r="C251" s="1502" t="s">
        <v>2400</v>
      </c>
      <c r="D251" s="1293">
        <f t="shared" si="13"/>
        <v>0</v>
      </c>
      <c r="E251" s="1533">
        <f t="shared" si="13"/>
        <v>0.95</v>
      </c>
      <c r="F251" s="1534">
        <f t="shared" si="13"/>
        <v>100</v>
      </c>
      <c r="G251" s="1381">
        <f t="shared" si="13"/>
        <v>1</v>
      </c>
      <c r="H251" s="1382">
        <f t="shared" si="2"/>
        <v>0.8</v>
      </c>
      <c r="I251" s="1535">
        <f t="shared" si="14"/>
        <v>1203.1764705882351</v>
      </c>
      <c r="J251" s="1536">
        <f t="shared" si="15"/>
        <v>3350</v>
      </c>
      <c r="K251" s="1537">
        <f t="shared" si="15"/>
        <v>0.48799999999999999</v>
      </c>
      <c r="L251" s="1383">
        <f t="shared" si="4"/>
        <v>0</v>
      </c>
      <c r="M251" s="1538">
        <f t="shared" si="5"/>
        <v>0</v>
      </c>
      <c r="N251" s="1539">
        <f t="shared" si="6"/>
        <v>0</v>
      </c>
      <c r="O251" s="1364">
        <f t="shared" si="7"/>
        <v>0</v>
      </c>
      <c r="P251" s="1492"/>
      <c r="Q251" s="1365">
        <f t="shared" si="8"/>
        <v>1511</v>
      </c>
      <c r="R251" s="1540">
        <f t="shared" si="9"/>
        <v>0</v>
      </c>
    </row>
    <row r="252" spans="2:18" s="1394" customFormat="1" ht="18.5" x14ac:dyDescent="0.45">
      <c r="B252" s="1445" t="s">
        <v>2176</v>
      </c>
      <c r="C252" s="1505" t="s">
        <v>2400</v>
      </c>
      <c r="D252" s="1287">
        <f t="shared" si="13"/>
        <v>0</v>
      </c>
      <c r="E252" s="1541">
        <f t="shared" si="13"/>
        <v>0.95499999999999996</v>
      </c>
      <c r="F252" s="1542">
        <f t="shared" si="13"/>
        <v>100</v>
      </c>
      <c r="G252" s="1375">
        <f t="shared" si="13"/>
        <v>1</v>
      </c>
      <c r="H252" s="1376">
        <f t="shared" si="2"/>
        <v>0.8</v>
      </c>
      <c r="I252" s="1543">
        <f t="shared" si="14"/>
        <v>1200.9411764705883</v>
      </c>
      <c r="J252" s="1544">
        <f t="shared" si="15"/>
        <v>2528</v>
      </c>
      <c r="K252" s="1545">
        <f t="shared" si="15"/>
        <v>0.505</v>
      </c>
      <c r="L252" s="1377">
        <f t="shared" si="4"/>
        <v>0</v>
      </c>
      <c r="M252" s="1546">
        <f t="shared" si="5"/>
        <v>0</v>
      </c>
      <c r="N252" s="1547">
        <f t="shared" si="6"/>
        <v>0</v>
      </c>
      <c r="O252" s="1378">
        <f t="shared" si="7"/>
        <v>0</v>
      </c>
      <c r="P252" s="1492"/>
      <c r="Q252" s="1357">
        <f t="shared" si="8"/>
        <v>1511</v>
      </c>
      <c r="R252" s="1548">
        <f t="shared" si="9"/>
        <v>0</v>
      </c>
    </row>
    <row r="253" spans="2:18" s="1394" customFormat="1" ht="18.5" x14ac:dyDescent="0.45">
      <c r="B253" s="1442" t="s">
        <v>2177</v>
      </c>
      <c r="C253" s="1502" t="s">
        <v>2400</v>
      </c>
      <c r="D253" s="1293">
        <f t="shared" si="13"/>
        <v>0</v>
      </c>
      <c r="E253" s="1533">
        <f t="shared" si="13"/>
        <v>0.96</v>
      </c>
      <c r="F253" s="1534">
        <f t="shared" si="13"/>
        <v>120</v>
      </c>
      <c r="G253" s="1381">
        <f t="shared" si="13"/>
        <v>1</v>
      </c>
      <c r="H253" s="1382">
        <f t="shared" si="2"/>
        <v>0.8</v>
      </c>
      <c r="I253" s="1535">
        <f t="shared" si="14"/>
        <v>1200.5294117647059</v>
      </c>
      <c r="J253" s="1536">
        <f t="shared" si="15"/>
        <v>2266</v>
      </c>
      <c r="K253" s="1537">
        <f t="shared" si="15"/>
        <v>0.52800000000000002</v>
      </c>
      <c r="L253" s="1383">
        <f t="shared" si="4"/>
        <v>0</v>
      </c>
      <c r="M253" s="1538">
        <f t="shared" si="5"/>
        <v>0</v>
      </c>
      <c r="N253" s="1539">
        <f t="shared" si="6"/>
        <v>0</v>
      </c>
      <c r="O253" s="1364">
        <f t="shared" si="7"/>
        <v>0</v>
      </c>
      <c r="P253" s="1492"/>
      <c r="Q253" s="1365">
        <f t="shared" si="8"/>
        <v>1747</v>
      </c>
      <c r="R253" s="1540">
        <f t="shared" si="9"/>
        <v>0</v>
      </c>
    </row>
    <row r="254" spans="2:18" s="1394" customFormat="1" ht="18.5" x14ac:dyDescent="0.45">
      <c r="B254" s="1445" t="s">
        <v>2027</v>
      </c>
      <c r="C254" s="1505" t="s">
        <v>2400</v>
      </c>
      <c r="D254" s="1287">
        <f t="shared" ref="D254:G269" si="16">D180</f>
        <v>1</v>
      </c>
      <c r="E254" s="1541">
        <f t="shared" si="16"/>
        <v>0.95499999999999996</v>
      </c>
      <c r="F254" s="1542">
        <f t="shared" si="16"/>
        <v>106</v>
      </c>
      <c r="G254" s="1375">
        <f t="shared" si="16"/>
        <v>0.5</v>
      </c>
      <c r="H254" s="1376">
        <f t="shared" si="2"/>
        <v>0.8</v>
      </c>
      <c r="I254" s="1543">
        <f t="shared" si="14"/>
        <v>1201.8431372549019</v>
      </c>
      <c r="J254" s="1544">
        <f t="shared" si="15"/>
        <v>770</v>
      </c>
      <c r="K254" s="1545">
        <f t="shared" si="15"/>
        <v>0.22500000000000001</v>
      </c>
      <c r="L254" s="1377">
        <f t="shared" si="4"/>
        <v>246.8285343137253</v>
      </c>
      <c r="M254" s="1546">
        <f t="shared" si="5"/>
        <v>682.5</v>
      </c>
      <c r="N254" s="1547">
        <f t="shared" si="6"/>
        <v>0.19943181818181818</v>
      </c>
      <c r="O254" s="1378">
        <f t="shared" si="7"/>
        <v>1000</v>
      </c>
      <c r="P254" s="1492"/>
      <c r="Q254" s="1357">
        <f t="shared" si="8"/>
        <v>1511</v>
      </c>
      <c r="R254" s="1548">
        <f t="shared" si="9"/>
        <v>1511</v>
      </c>
    </row>
    <row r="255" spans="2:18" s="1394" customFormat="1" ht="18.5" x14ac:dyDescent="0.45">
      <c r="B255" s="1442" t="s">
        <v>536</v>
      </c>
      <c r="C255" s="1502" t="s">
        <v>2400</v>
      </c>
      <c r="D255" s="1293">
        <f t="shared" si="16"/>
        <v>18</v>
      </c>
      <c r="E255" s="1533">
        <f t="shared" si="16"/>
        <v>0.96</v>
      </c>
      <c r="F255" s="1534">
        <f t="shared" si="16"/>
        <v>94.1</v>
      </c>
      <c r="G255" s="1381">
        <f t="shared" si="16"/>
        <v>0.9</v>
      </c>
      <c r="H255" s="1382">
        <f t="shared" si="2"/>
        <v>0.8</v>
      </c>
      <c r="I255" s="1535">
        <f t="shared" si="14"/>
        <v>1516.6666666666665</v>
      </c>
      <c r="J255" s="1536">
        <f t="shared" si="15"/>
        <v>2718</v>
      </c>
      <c r="K255" s="1537">
        <f t="shared" si="15"/>
        <v>0.42399999999999999</v>
      </c>
      <c r="L255" s="1383">
        <f t="shared" si="4"/>
        <v>5137.859999999996</v>
      </c>
      <c r="M255" s="1538">
        <f t="shared" si="5"/>
        <v>12839.4</v>
      </c>
      <c r="N255" s="1539">
        <f t="shared" si="6"/>
        <v>2.0029086092715231</v>
      </c>
      <c r="O255" s="1364">
        <f t="shared" si="7"/>
        <v>18000</v>
      </c>
      <c r="P255" s="1492"/>
      <c r="Q255" s="1365">
        <f t="shared" si="8"/>
        <v>1747</v>
      </c>
      <c r="R255" s="1540">
        <f t="shared" si="9"/>
        <v>31446</v>
      </c>
    </row>
    <row r="256" spans="2:18" s="1394" customFormat="1" ht="18.5" x14ac:dyDescent="0.45">
      <c r="B256" s="1435" t="s">
        <v>2180</v>
      </c>
      <c r="C256" s="1499" t="s">
        <v>2401</v>
      </c>
      <c r="D256" s="1549">
        <f t="shared" si="16"/>
        <v>0</v>
      </c>
      <c r="E256" s="1550">
        <f t="shared" si="16"/>
        <v>0</v>
      </c>
      <c r="F256" s="1551">
        <f t="shared" si="16"/>
        <v>0</v>
      </c>
      <c r="G256" s="1552">
        <f t="shared" si="16"/>
        <v>0</v>
      </c>
      <c r="H256" s="1553">
        <f t="shared" ref="H256:H289" si="17">$C$78</f>
        <v>0.8</v>
      </c>
      <c r="I256" s="1554">
        <f t="shared" ref="I256:I257" si="18">J137</f>
        <v>1599.313725490196</v>
      </c>
      <c r="J256" s="1555">
        <f>C82</f>
        <v>2150</v>
      </c>
      <c r="K256" s="1556">
        <f>D82</f>
        <v>0.48299999999999998</v>
      </c>
      <c r="L256" s="1557">
        <f>IFERROR(D256*I256*F256*1000*(E256-H256)/H256/100000,0)</f>
        <v>0</v>
      </c>
      <c r="M256" s="1558">
        <f>D256*(G256*721+(1-G256)*644)</f>
        <v>0</v>
      </c>
      <c r="N256" s="1559">
        <f>IFERROR(M256/J256*K256,0)</f>
        <v>0</v>
      </c>
      <c r="O256" s="1560">
        <f>D256*$C$131</f>
        <v>0</v>
      </c>
      <c r="P256" s="1492"/>
      <c r="Q256" s="1531">
        <f t="shared" si="8"/>
        <v>0</v>
      </c>
      <c r="R256" s="1532">
        <f t="shared" si="9"/>
        <v>0</v>
      </c>
    </row>
    <row r="257" spans="2:18" s="1394" customFormat="1" ht="18.5" x14ac:dyDescent="0.45">
      <c r="B257" s="1442" t="s">
        <v>2071</v>
      </c>
      <c r="C257" s="1502" t="s">
        <v>2401</v>
      </c>
      <c r="D257" s="1287">
        <f t="shared" si="16"/>
        <v>0</v>
      </c>
      <c r="E257" s="1541">
        <f t="shared" si="16"/>
        <v>0</v>
      </c>
      <c r="F257" s="1542">
        <f t="shared" si="16"/>
        <v>0</v>
      </c>
      <c r="G257" s="1375">
        <f t="shared" si="16"/>
        <v>0</v>
      </c>
      <c r="H257" s="1376">
        <f t="shared" si="17"/>
        <v>0.8</v>
      </c>
      <c r="I257" s="1543">
        <f t="shared" si="18"/>
        <v>1436.9019607843138</v>
      </c>
      <c r="J257" s="1544">
        <f>C83</f>
        <v>4373</v>
      </c>
      <c r="K257" s="1545">
        <f>D83</f>
        <v>0.52900000000000003</v>
      </c>
      <c r="L257" s="1377">
        <f t="shared" ref="L257:L289" si="19">IFERROR(D257*I257*F257*1000*(E257-H257)/H257/100000,0)</f>
        <v>0</v>
      </c>
      <c r="M257" s="1546">
        <f t="shared" ref="M257:M289" si="20">D257*(G257*721+(1-G257)*644)</f>
        <v>0</v>
      </c>
      <c r="N257" s="1547">
        <f t="shared" ref="N257:N289" si="21">IFERROR(M257/J257*K257,0)</f>
        <v>0</v>
      </c>
      <c r="O257" s="1378">
        <f t="shared" ref="O257:O289" si="22">D257*$C$131</f>
        <v>0</v>
      </c>
      <c r="P257" s="1492"/>
      <c r="Q257" s="1365">
        <f t="shared" si="8"/>
        <v>0</v>
      </c>
      <c r="R257" s="1540">
        <f t="shared" si="9"/>
        <v>0</v>
      </c>
    </row>
    <row r="258" spans="2:18" s="1394" customFormat="1" ht="18.5" x14ac:dyDescent="0.45">
      <c r="B258" s="1445" t="s">
        <v>2157</v>
      </c>
      <c r="C258" s="1505" t="s">
        <v>2401</v>
      </c>
      <c r="D258" s="1293">
        <f t="shared" si="16"/>
        <v>0</v>
      </c>
      <c r="E258" s="1533">
        <f t="shared" si="16"/>
        <v>0</v>
      </c>
      <c r="F258" s="1534">
        <f t="shared" si="16"/>
        <v>0</v>
      </c>
      <c r="G258" s="1381">
        <f t="shared" si="16"/>
        <v>0</v>
      </c>
      <c r="H258" s="1382">
        <f t="shared" si="17"/>
        <v>0.8</v>
      </c>
      <c r="I258" s="1535">
        <f>J140</f>
        <v>1174.0588235294117</v>
      </c>
      <c r="J258" s="1536">
        <f>C85</f>
        <v>1605</v>
      </c>
      <c r="K258" s="1537">
        <f>D85</f>
        <v>0.14199999999999999</v>
      </c>
      <c r="L258" s="1383">
        <f t="shared" si="19"/>
        <v>0</v>
      </c>
      <c r="M258" s="1538">
        <f t="shared" si="20"/>
        <v>0</v>
      </c>
      <c r="N258" s="1539">
        <f t="shared" si="21"/>
        <v>0</v>
      </c>
      <c r="O258" s="1364">
        <f t="shared" si="22"/>
        <v>0</v>
      </c>
      <c r="P258" s="1492"/>
      <c r="Q258" s="1357">
        <f t="shared" si="8"/>
        <v>0</v>
      </c>
      <c r="R258" s="1548">
        <f t="shared" si="9"/>
        <v>0</v>
      </c>
    </row>
    <row r="259" spans="2:18" s="1394" customFormat="1" ht="18.5" x14ac:dyDescent="0.45">
      <c r="B259" s="1442" t="s">
        <v>2158</v>
      </c>
      <c r="C259" s="1502" t="s">
        <v>2401</v>
      </c>
      <c r="D259" s="1287">
        <f t="shared" si="16"/>
        <v>0</v>
      </c>
      <c r="E259" s="1541">
        <f t="shared" si="16"/>
        <v>0</v>
      </c>
      <c r="F259" s="1542">
        <f t="shared" si="16"/>
        <v>0</v>
      </c>
      <c r="G259" s="1375">
        <f t="shared" si="16"/>
        <v>0</v>
      </c>
      <c r="H259" s="1376">
        <f t="shared" si="17"/>
        <v>0.8</v>
      </c>
      <c r="I259" s="1543">
        <f>J141</f>
        <v>1199.4509803921569</v>
      </c>
      <c r="J259" s="1544">
        <f>C86</f>
        <v>2084</v>
      </c>
      <c r="K259" s="1545">
        <f>D86</f>
        <v>0.57099999999999995</v>
      </c>
      <c r="L259" s="1377">
        <f t="shared" si="19"/>
        <v>0</v>
      </c>
      <c r="M259" s="1546">
        <f t="shared" si="20"/>
        <v>0</v>
      </c>
      <c r="N259" s="1547">
        <f t="shared" si="21"/>
        <v>0</v>
      </c>
      <c r="O259" s="1378">
        <f t="shared" si="22"/>
        <v>0</v>
      </c>
      <c r="P259" s="1492"/>
      <c r="Q259" s="1365">
        <f t="shared" si="8"/>
        <v>0</v>
      </c>
      <c r="R259" s="1540">
        <f t="shared" si="9"/>
        <v>0</v>
      </c>
    </row>
    <row r="260" spans="2:18" s="1394" customFormat="1" ht="18.5" x14ac:dyDescent="0.45">
      <c r="B260" s="1445" t="s">
        <v>2028</v>
      </c>
      <c r="C260" s="1505" t="s">
        <v>2401</v>
      </c>
      <c r="D260" s="1293">
        <f t="shared" si="16"/>
        <v>0</v>
      </c>
      <c r="E260" s="1533">
        <f t="shared" si="16"/>
        <v>0</v>
      </c>
      <c r="F260" s="1534">
        <f t="shared" si="16"/>
        <v>0</v>
      </c>
      <c r="G260" s="1381">
        <f t="shared" si="16"/>
        <v>0</v>
      </c>
      <c r="H260" s="1382">
        <f t="shared" si="17"/>
        <v>0.8</v>
      </c>
      <c r="I260" s="1535">
        <f t="shared" ref="I260:I283" si="23">J143</f>
        <v>1427.0784313725492</v>
      </c>
      <c r="J260" s="1536">
        <f t="shared" ref="J260:J283" si="24">C88</f>
        <v>3276</v>
      </c>
      <c r="K260" s="1537">
        <f t="shared" ref="K260:K283" si="25">D88</f>
        <v>0.33300000000000002</v>
      </c>
      <c r="L260" s="1383">
        <f t="shared" si="19"/>
        <v>0</v>
      </c>
      <c r="M260" s="1538">
        <f t="shared" si="20"/>
        <v>0</v>
      </c>
      <c r="N260" s="1539">
        <f t="shared" si="21"/>
        <v>0</v>
      </c>
      <c r="O260" s="1364">
        <f t="shared" si="22"/>
        <v>0</v>
      </c>
      <c r="P260" s="1492"/>
      <c r="Q260" s="1357">
        <f t="shared" si="8"/>
        <v>0</v>
      </c>
      <c r="R260" s="1548">
        <f t="shared" si="9"/>
        <v>0</v>
      </c>
    </row>
    <row r="261" spans="2:18" s="1394" customFormat="1" ht="18.5" x14ac:dyDescent="0.45">
      <c r="B261" s="1442" t="s">
        <v>2109</v>
      </c>
      <c r="C261" s="1502" t="s">
        <v>2401</v>
      </c>
      <c r="D261" s="1287">
        <f t="shared" si="16"/>
        <v>0</v>
      </c>
      <c r="E261" s="1541">
        <f t="shared" si="16"/>
        <v>0</v>
      </c>
      <c r="F261" s="1542">
        <f t="shared" si="16"/>
        <v>0</v>
      </c>
      <c r="G261" s="1375">
        <f t="shared" si="16"/>
        <v>0</v>
      </c>
      <c r="H261" s="1376">
        <f t="shared" si="17"/>
        <v>0.8</v>
      </c>
      <c r="I261" s="1543">
        <f t="shared" si="23"/>
        <v>854.84313725490188</v>
      </c>
      <c r="J261" s="1544">
        <f t="shared" si="24"/>
        <v>2102</v>
      </c>
      <c r="K261" s="1545">
        <f t="shared" si="25"/>
        <v>0.61899999999999999</v>
      </c>
      <c r="L261" s="1377">
        <f t="shared" si="19"/>
        <v>0</v>
      </c>
      <c r="M261" s="1546">
        <f t="shared" si="20"/>
        <v>0</v>
      </c>
      <c r="N261" s="1547">
        <f t="shared" si="21"/>
        <v>0</v>
      </c>
      <c r="O261" s="1378">
        <f t="shared" si="22"/>
        <v>0</v>
      </c>
      <c r="P261" s="1492"/>
      <c r="Q261" s="1365">
        <f t="shared" si="8"/>
        <v>0</v>
      </c>
      <c r="R261" s="1540">
        <f t="shared" si="9"/>
        <v>0</v>
      </c>
    </row>
    <row r="262" spans="2:18" s="1394" customFormat="1" ht="18.5" x14ac:dyDescent="0.45">
      <c r="B262" s="1445" t="s">
        <v>2026</v>
      </c>
      <c r="C262" s="1505" t="s">
        <v>2401</v>
      </c>
      <c r="D262" s="1293">
        <f t="shared" si="16"/>
        <v>0</v>
      </c>
      <c r="E262" s="1533">
        <f t="shared" si="16"/>
        <v>0</v>
      </c>
      <c r="F262" s="1534">
        <f t="shared" si="16"/>
        <v>0</v>
      </c>
      <c r="G262" s="1381">
        <f t="shared" si="16"/>
        <v>0</v>
      </c>
      <c r="H262" s="1382">
        <f t="shared" si="17"/>
        <v>0.8</v>
      </c>
      <c r="I262" s="1535">
        <f t="shared" si="23"/>
        <v>1412.1372549019609</v>
      </c>
      <c r="J262" s="1536">
        <f t="shared" si="24"/>
        <v>2096</v>
      </c>
      <c r="K262" s="1537">
        <f t="shared" si="25"/>
        <v>0.47499999999999998</v>
      </c>
      <c r="L262" s="1383">
        <f t="shared" si="19"/>
        <v>0</v>
      </c>
      <c r="M262" s="1538">
        <f t="shared" si="20"/>
        <v>0</v>
      </c>
      <c r="N262" s="1539">
        <f t="shared" si="21"/>
        <v>0</v>
      </c>
      <c r="O262" s="1364">
        <f t="shared" si="22"/>
        <v>0</v>
      </c>
      <c r="P262" s="1492"/>
      <c r="Q262" s="1357">
        <f t="shared" si="8"/>
        <v>0</v>
      </c>
      <c r="R262" s="1548">
        <f t="shared" si="9"/>
        <v>0</v>
      </c>
    </row>
    <row r="263" spans="2:18" s="1394" customFormat="1" ht="18.5" x14ac:dyDescent="0.45">
      <c r="B263" s="1442" t="s">
        <v>2075</v>
      </c>
      <c r="C263" s="1502" t="s">
        <v>2401</v>
      </c>
      <c r="D263" s="1287">
        <f t="shared" si="16"/>
        <v>0</v>
      </c>
      <c r="E263" s="1541">
        <f t="shared" si="16"/>
        <v>0</v>
      </c>
      <c r="F263" s="1542">
        <f t="shared" si="16"/>
        <v>0</v>
      </c>
      <c r="G263" s="1375">
        <f t="shared" si="16"/>
        <v>0</v>
      </c>
      <c r="H263" s="1376">
        <f t="shared" si="17"/>
        <v>0.8</v>
      </c>
      <c r="I263" s="1543">
        <f t="shared" si="23"/>
        <v>1486.705882352941</v>
      </c>
      <c r="J263" s="1544">
        <f t="shared" si="24"/>
        <v>1987</v>
      </c>
      <c r="K263" s="1545">
        <f t="shared" si="25"/>
        <v>0.61899999999999999</v>
      </c>
      <c r="L263" s="1377">
        <f t="shared" si="19"/>
        <v>0</v>
      </c>
      <c r="M263" s="1546">
        <f t="shared" si="20"/>
        <v>0</v>
      </c>
      <c r="N263" s="1547">
        <f t="shared" si="21"/>
        <v>0</v>
      </c>
      <c r="O263" s="1378">
        <f t="shared" si="22"/>
        <v>0</v>
      </c>
      <c r="P263" s="1492"/>
      <c r="Q263" s="1365">
        <f t="shared" si="8"/>
        <v>0</v>
      </c>
      <c r="R263" s="1540">
        <f t="shared" si="9"/>
        <v>0</v>
      </c>
    </row>
    <row r="264" spans="2:18" s="1394" customFormat="1" ht="18.5" x14ac:dyDescent="0.45">
      <c r="B264" s="1445" t="s">
        <v>2029</v>
      </c>
      <c r="C264" s="1505" t="s">
        <v>2401</v>
      </c>
      <c r="D264" s="1293">
        <f t="shared" si="16"/>
        <v>0</v>
      </c>
      <c r="E264" s="1533">
        <f t="shared" si="16"/>
        <v>0</v>
      </c>
      <c r="F264" s="1534">
        <f t="shared" si="16"/>
        <v>0</v>
      </c>
      <c r="G264" s="1381">
        <f t="shared" si="16"/>
        <v>0</v>
      </c>
      <c r="H264" s="1382">
        <f t="shared" si="17"/>
        <v>0.8</v>
      </c>
      <c r="I264" s="1535">
        <f t="shared" si="23"/>
        <v>1692.4117647058822</v>
      </c>
      <c r="J264" s="1536">
        <f t="shared" si="24"/>
        <v>3141</v>
      </c>
      <c r="K264" s="1537">
        <f t="shared" si="25"/>
        <v>0.28799999999999998</v>
      </c>
      <c r="L264" s="1383">
        <f t="shared" si="19"/>
        <v>0</v>
      </c>
      <c r="M264" s="1538">
        <f t="shared" si="20"/>
        <v>0</v>
      </c>
      <c r="N264" s="1539">
        <f t="shared" si="21"/>
        <v>0</v>
      </c>
      <c r="O264" s="1364">
        <f t="shared" si="22"/>
        <v>0</v>
      </c>
      <c r="P264" s="1492"/>
      <c r="Q264" s="1357">
        <f t="shared" si="8"/>
        <v>0</v>
      </c>
      <c r="R264" s="1548">
        <f t="shared" si="9"/>
        <v>0</v>
      </c>
    </row>
    <row r="265" spans="2:18" s="1394" customFormat="1" ht="18.5" x14ac:dyDescent="0.45">
      <c r="B265" s="1442" t="s">
        <v>2356</v>
      </c>
      <c r="C265" s="1502" t="s">
        <v>2401</v>
      </c>
      <c r="D265" s="1287">
        <f t="shared" si="16"/>
        <v>0</v>
      </c>
      <c r="E265" s="1541">
        <f t="shared" si="16"/>
        <v>0</v>
      </c>
      <c r="F265" s="1542">
        <f t="shared" si="16"/>
        <v>0</v>
      </c>
      <c r="G265" s="1375">
        <f t="shared" si="16"/>
        <v>0</v>
      </c>
      <c r="H265" s="1376">
        <f t="shared" si="17"/>
        <v>0.8</v>
      </c>
      <c r="I265" s="1543">
        <f t="shared" si="23"/>
        <v>1098.5882352941176</v>
      </c>
      <c r="J265" s="1544">
        <f t="shared" si="24"/>
        <v>8760</v>
      </c>
      <c r="K265" s="1545">
        <f t="shared" si="25"/>
        <v>0.64800000000000002</v>
      </c>
      <c r="L265" s="1377">
        <f t="shared" si="19"/>
        <v>0</v>
      </c>
      <c r="M265" s="1546">
        <f t="shared" si="20"/>
        <v>0</v>
      </c>
      <c r="N265" s="1547">
        <f t="shared" si="21"/>
        <v>0</v>
      </c>
      <c r="O265" s="1378">
        <f t="shared" si="22"/>
        <v>0</v>
      </c>
      <c r="P265" s="1492"/>
      <c r="Q265" s="1365">
        <f t="shared" si="8"/>
        <v>0</v>
      </c>
      <c r="R265" s="1540">
        <f t="shared" si="9"/>
        <v>0</v>
      </c>
    </row>
    <row r="266" spans="2:18" s="1394" customFormat="1" ht="18.5" x14ac:dyDescent="0.45">
      <c r="B266" s="1445" t="s">
        <v>2357</v>
      </c>
      <c r="C266" s="1505" t="s">
        <v>2401</v>
      </c>
      <c r="D266" s="1293">
        <f t="shared" si="16"/>
        <v>0</v>
      </c>
      <c r="E266" s="1533">
        <f t="shared" si="16"/>
        <v>0</v>
      </c>
      <c r="F266" s="1534">
        <f t="shared" si="16"/>
        <v>0</v>
      </c>
      <c r="G266" s="1381">
        <f t="shared" si="16"/>
        <v>0</v>
      </c>
      <c r="H266" s="1382">
        <f t="shared" si="17"/>
        <v>0.8</v>
      </c>
      <c r="I266" s="1535">
        <f t="shared" si="23"/>
        <v>1284.5098039215686</v>
      </c>
      <c r="J266" s="1536">
        <f t="shared" si="24"/>
        <v>2881</v>
      </c>
      <c r="K266" s="1537">
        <f t="shared" si="25"/>
        <v>0.61499999999999999</v>
      </c>
      <c r="L266" s="1383">
        <f t="shared" si="19"/>
        <v>0</v>
      </c>
      <c r="M266" s="1538">
        <f t="shared" si="20"/>
        <v>0</v>
      </c>
      <c r="N266" s="1539">
        <f t="shared" si="21"/>
        <v>0</v>
      </c>
      <c r="O266" s="1364">
        <f t="shared" si="22"/>
        <v>0</v>
      </c>
      <c r="P266" s="1492"/>
      <c r="Q266" s="1357">
        <f t="shared" si="8"/>
        <v>0</v>
      </c>
      <c r="R266" s="1548">
        <f t="shared" si="9"/>
        <v>0</v>
      </c>
    </row>
    <row r="267" spans="2:18" s="1394" customFormat="1" ht="18.5" x14ac:dyDescent="0.45">
      <c r="B267" s="1442" t="s">
        <v>2358</v>
      </c>
      <c r="C267" s="1502" t="s">
        <v>2401</v>
      </c>
      <c r="D267" s="1287">
        <f t="shared" si="16"/>
        <v>0</v>
      </c>
      <c r="E267" s="1541">
        <f t="shared" si="16"/>
        <v>0</v>
      </c>
      <c r="F267" s="1542">
        <f t="shared" si="16"/>
        <v>0</v>
      </c>
      <c r="G267" s="1375">
        <f t="shared" si="16"/>
        <v>0</v>
      </c>
      <c r="H267" s="1376">
        <f t="shared" si="17"/>
        <v>0.8</v>
      </c>
      <c r="I267" s="1543">
        <f t="shared" si="23"/>
        <v>648.41176470588243</v>
      </c>
      <c r="J267" s="1544">
        <f t="shared" si="24"/>
        <v>2788</v>
      </c>
      <c r="K267" s="1545">
        <f t="shared" si="25"/>
        <v>0.57599999999999996</v>
      </c>
      <c r="L267" s="1377">
        <f t="shared" si="19"/>
        <v>0</v>
      </c>
      <c r="M267" s="1546">
        <f t="shared" si="20"/>
        <v>0</v>
      </c>
      <c r="N267" s="1547">
        <f t="shared" si="21"/>
        <v>0</v>
      </c>
      <c r="O267" s="1378">
        <f t="shared" si="22"/>
        <v>0</v>
      </c>
      <c r="P267" s="1492"/>
      <c r="Q267" s="1365">
        <f t="shared" si="8"/>
        <v>0</v>
      </c>
      <c r="R267" s="1540">
        <f t="shared" si="9"/>
        <v>0</v>
      </c>
    </row>
    <row r="268" spans="2:18" s="1394" customFormat="1" ht="18.5" x14ac:dyDescent="0.45">
      <c r="B268" s="1445" t="s">
        <v>2162</v>
      </c>
      <c r="C268" s="1505" t="s">
        <v>2401</v>
      </c>
      <c r="D268" s="1293">
        <f t="shared" si="16"/>
        <v>0</v>
      </c>
      <c r="E268" s="1533">
        <f t="shared" si="16"/>
        <v>0</v>
      </c>
      <c r="F268" s="1534">
        <f t="shared" si="16"/>
        <v>0</v>
      </c>
      <c r="G268" s="1381">
        <f t="shared" si="16"/>
        <v>0</v>
      </c>
      <c r="H268" s="1382">
        <f t="shared" si="17"/>
        <v>0.8</v>
      </c>
      <c r="I268" s="1535">
        <f t="shared" si="23"/>
        <v>1400.0588235294117</v>
      </c>
      <c r="J268" s="1536">
        <f t="shared" si="24"/>
        <v>8729</v>
      </c>
      <c r="K268" s="1537">
        <f t="shared" si="25"/>
        <v>0.60899999999999999</v>
      </c>
      <c r="L268" s="1383">
        <f t="shared" si="19"/>
        <v>0</v>
      </c>
      <c r="M268" s="1538">
        <f t="shared" si="20"/>
        <v>0</v>
      </c>
      <c r="N268" s="1539">
        <f t="shared" si="21"/>
        <v>0</v>
      </c>
      <c r="O268" s="1364">
        <f t="shared" si="22"/>
        <v>0</v>
      </c>
      <c r="P268" s="1492"/>
      <c r="Q268" s="1357">
        <f t="shared" si="8"/>
        <v>0</v>
      </c>
      <c r="R268" s="1548">
        <f t="shared" si="9"/>
        <v>0</v>
      </c>
    </row>
    <row r="269" spans="2:18" s="1394" customFormat="1" ht="18.5" x14ac:dyDescent="0.45">
      <c r="B269" s="1442" t="s">
        <v>2325</v>
      </c>
      <c r="C269" s="1502" t="s">
        <v>2401</v>
      </c>
      <c r="D269" s="1287">
        <f t="shared" si="16"/>
        <v>0</v>
      </c>
      <c r="E269" s="1541">
        <f t="shared" si="16"/>
        <v>0</v>
      </c>
      <c r="F269" s="1542">
        <f t="shared" si="16"/>
        <v>0</v>
      </c>
      <c r="G269" s="1375">
        <f t="shared" si="16"/>
        <v>0</v>
      </c>
      <c r="H269" s="1376">
        <f t="shared" si="17"/>
        <v>0.8</v>
      </c>
      <c r="I269" s="1543">
        <f t="shared" si="23"/>
        <v>1495.8823529411764</v>
      </c>
      <c r="J269" s="1544">
        <f t="shared" si="24"/>
        <v>8712</v>
      </c>
      <c r="K269" s="1545">
        <f t="shared" si="25"/>
        <v>0.629</v>
      </c>
      <c r="L269" s="1377">
        <f t="shared" si="19"/>
        <v>0</v>
      </c>
      <c r="M269" s="1546">
        <f t="shared" si="20"/>
        <v>0</v>
      </c>
      <c r="N269" s="1547">
        <f t="shared" si="21"/>
        <v>0</v>
      </c>
      <c r="O269" s="1378">
        <f t="shared" si="22"/>
        <v>0</v>
      </c>
      <c r="P269" s="1492"/>
      <c r="Q269" s="1365">
        <f t="shared" si="8"/>
        <v>0</v>
      </c>
      <c r="R269" s="1540">
        <f t="shared" si="9"/>
        <v>0</v>
      </c>
    </row>
    <row r="270" spans="2:18" s="1394" customFormat="1" ht="18.5" x14ac:dyDescent="0.45">
      <c r="B270" s="1445" t="s">
        <v>2073</v>
      </c>
      <c r="C270" s="1505" t="s">
        <v>2401</v>
      </c>
      <c r="D270" s="1293">
        <f t="shared" ref="D270:G285" si="26">D196</f>
        <v>0</v>
      </c>
      <c r="E270" s="1533">
        <f t="shared" si="26"/>
        <v>0</v>
      </c>
      <c r="F270" s="1534">
        <f t="shared" si="26"/>
        <v>0</v>
      </c>
      <c r="G270" s="1381">
        <f t="shared" si="26"/>
        <v>0</v>
      </c>
      <c r="H270" s="1382">
        <f t="shared" si="17"/>
        <v>0.8</v>
      </c>
      <c r="I270" s="1535">
        <f t="shared" si="23"/>
        <v>1587.5882352941178</v>
      </c>
      <c r="J270" s="1536">
        <f t="shared" si="24"/>
        <v>8712</v>
      </c>
      <c r="K270" s="1537">
        <f t="shared" si="25"/>
        <v>0.64600000000000002</v>
      </c>
      <c r="L270" s="1383">
        <f t="shared" si="19"/>
        <v>0</v>
      </c>
      <c r="M270" s="1538">
        <f t="shared" si="20"/>
        <v>0</v>
      </c>
      <c r="N270" s="1539">
        <f t="shared" si="21"/>
        <v>0</v>
      </c>
      <c r="O270" s="1364">
        <f t="shared" si="22"/>
        <v>0</v>
      </c>
      <c r="P270" s="1492"/>
      <c r="Q270" s="1357">
        <f t="shared" si="8"/>
        <v>0</v>
      </c>
      <c r="R270" s="1548">
        <f t="shared" si="9"/>
        <v>0</v>
      </c>
    </row>
    <row r="271" spans="2:18" s="1394" customFormat="1" ht="18.5" x14ac:dyDescent="0.45">
      <c r="B271" s="1442" t="s">
        <v>2166</v>
      </c>
      <c r="C271" s="1502" t="s">
        <v>2401</v>
      </c>
      <c r="D271" s="1287">
        <f t="shared" si="26"/>
        <v>0</v>
      </c>
      <c r="E271" s="1541">
        <f t="shared" si="26"/>
        <v>0</v>
      </c>
      <c r="F271" s="1542">
        <f t="shared" si="26"/>
        <v>0</v>
      </c>
      <c r="G271" s="1375">
        <f t="shared" si="26"/>
        <v>0</v>
      </c>
      <c r="H271" s="1376">
        <f t="shared" si="17"/>
        <v>0.8</v>
      </c>
      <c r="I271" s="1543">
        <f t="shared" si="23"/>
        <v>1456.4509803921569</v>
      </c>
      <c r="J271" s="1544">
        <f t="shared" si="24"/>
        <v>4479</v>
      </c>
      <c r="K271" s="1545">
        <f t="shared" si="25"/>
        <v>0.629</v>
      </c>
      <c r="L271" s="1377">
        <f t="shared" si="19"/>
        <v>0</v>
      </c>
      <c r="M271" s="1546">
        <f t="shared" si="20"/>
        <v>0</v>
      </c>
      <c r="N271" s="1547">
        <f t="shared" si="21"/>
        <v>0</v>
      </c>
      <c r="O271" s="1378">
        <f t="shared" si="22"/>
        <v>0</v>
      </c>
      <c r="P271" s="1492"/>
      <c r="Q271" s="1365">
        <f t="shared" si="8"/>
        <v>0</v>
      </c>
      <c r="R271" s="1540">
        <f t="shared" si="9"/>
        <v>0</v>
      </c>
    </row>
    <row r="272" spans="2:18" s="1394" customFormat="1" ht="18.5" x14ac:dyDescent="0.45">
      <c r="B272" s="1445" t="s">
        <v>2163</v>
      </c>
      <c r="C272" s="1505" t="s">
        <v>2401</v>
      </c>
      <c r="D272" s="1293">
        <f t="shared" si="26"/>
        <v>0</v>
      </c>
      <c r="E272" s="1533">
        <f t="shared" si="26"/>
        <v>0</v>
      </c>
      <c r="F272" s="1534">
        <f t="shared" si="26"/>
        <v>0</v>
      </c>
      <c r="G272" s="1381">
        <f t="shared" si="26"/>
        <v>0</v>
      </c>
      <c r="H272" s="1382">
        <f t="shared" si="17"/>
        <v>0.8</v>
      </c>
      <c r="I272" s="1535">
        <f t="shared" si="23"/>
        <v>899.50980392156862</v>
      </c>
      <c r="J272" s="1536">
        <f t="shared" si="24"/>
        <v>2805</v>
      </c>
      <c r="K272" s="1537">
        <f t="shared" si="25"/>
        <v>0.433</v>
      </c>
      <c r="L272" s="1383">
        <f t="shared" si="19"/>
        <v>0</v>
      </c>
      <c r="M272" s="1538">
        <f t="shared" si="20"/>
        <v>0</v>
      </c>
      <c r="N272" s="1539">
        <f t="shared" si="21"/>
        <v>0</v>
      </c>
      <c r="O272" s="1364">
        <f t="shared" si="22"/>
        <v>0</v>
      </c>
      <c r="P272" s="1492"/>
      <c r="Q272" s="1357">
        <f t="shared" si="8"/>
        <v>0</v>
      </c>
      <c r="R272" s="1548">
        <f t="shared" si="9"/>
        <v>0</v>
      </c>
    </row>
    <row r="273" spans="2:18" s="1394" customFormat="1" ht="18.5" x14ac:dyDescent="0.45">
      <c r="B273" s="1442" t="s">
        <v>2181</v>
      </c>
      <c r="C273" s="1502" t="s">
        <v>2401</v>
      </c>
      <c r="D273" s="1287">
        <f t="shared" si="26"/>
        <v>0</v>
      </c>
      <c r="E273" s="1541">
        <f t="shared" si="26"/>
        <v>0</v>
      </c>
      <c r="F273" s="1542">
        <f t="shared" si="26"/>
        <v>0</v>
      </c>
      <c r="G273" s="1375">
        <f t="shared" si="26"/>
        <v>0</v>
      </c>
      <c r="H273" s="1376">
        <f t="shared" si="17"/>
        <v>0.8</v>
      </c>
      <c r="I273" s="1543">
        <f t="shared" si="23"/>
        <v>1415.1372549019607</v>
      </c>
      <c r="J273" s="1544">
        <f t="shared" si="24"/>
        <v>4237</v>
      </c>
      <c r="K273" s="1545">
        <f t="shared" si="25"/>
        <v>0.437</v>
      </c>
      <c r="L273" s="1377">
        <f t="shared" si="19"/>
        <v>0</v>
      </c>
      <c r="M273" s="1546">
        <f t="shared" si="20"/>
        <v>0</v>
      </c>
      <c r="N273" s="1547">
        <f t="shared" si="21"/>
        <v>0</v>
      </c>
      <c r="O273" s="1378">
        <f t="shared" si="22"/>
        <v>0</v>
      </c>
      <c r="P273" s="1492"/>
      <c r="Q273" s="1365">
        <f t="shared" si="8"/>
        <v>0</v>
      </c>
      <c r="R273" s="1540">
        <f t="shared" si="9"/>
        <v>0</v>
      </c>
    </row>
    <row r="274" spans="2:18" s="1394" customFormat="1" ht="18.5" x14ac:dyDescent="0.45">
      <c r="B274" s="1445" t="s">
        <v>2164</v>
      </c>
      <c r="C274" s="1505" t="s">
        <v>2401</v>
      </c>
      <c r="D274" s="1293">
        <f t="shared" si="26"/>
        <v>0</v>
      </c>
      <c r="E274" s="1533">
        <f t="shared" si="26"/>
        <v>0</v>
      </c>
      <c r="F274" s="1534">
        <f t="shared" si="26"/>
        <v>0</v>
      </c>
      <c r="G274" s="1381">
        <f t="shared" si="26"/>
        <v>0</v>
      </c>
      <c r="H274" s="1382">
        <f t="shared" si="17"/>
        <v>0.8</v>
      </c>
      <c r="I274" s="1535">
        <f t="shared" si="23"/>
        <v>512.23529411764696</v>
      </c>
      <c r="J274" s="1536">
        <f t="shared" si="24"/>
        <v>4237</v>
      </c>
      <c r="K274" s="1537">
        <f t="shared" si="25"/>
        <v>0.437</v>
      </c>
      <c r="L274" s="1383">
        <f t="shared" si="19"/>
        <v>0</v>
      </c>
      <c r="M274" s="1538">
        <f t="shared" si="20"/>
        <v>0</v>
      </c>
      <c r="N274" s="1539">
        <f t="shared" si="21"/>
        <v>0</v>
      </c>
      <c r="O274" s="1364">
        <f t="shared" si="22"/>
        <v>0</v>
      </c>
      <c r="P274" s="1492"/>
      <c r="Q274" s="1357">
        <f t="shared" si="8"/>
        <v>0</v>
      </c>
      <c r="R274" s="1548">
        <f t="shared" si="9"/>
        <v>0</v>
      </c>
    </row>
    <row r="275" spans="2:18" s="1394" customFormat="1" ht="18.5" x14ac:dyDescent="0.45">
      <c r="B275" s="1442" t="s">
        <v>2336</v>
      </c>
      <c r="C275" s="1502" t="s">
        <v>2401</v>
      </c>
      <c r="D275" s="1287">
        <f t="shared" si="26"/>
        <v>0</v>
      </c>
      <c r="E275" s="1541">
        <f t="shared" si="26"/>
        <v>0</v>
      </c>
      <c r="F275" s="1542">
        <f t="shared" si="26"/>
        <v>0</v>
      </c>
      <c r="G275" s="1375">
        <f t="shared" si="26"/>
        <v>0</v>
      </c>
      <c r="H275" s="1376">
        <f t="shared" si="17"/>
        <v>0.8</v>
      </c>
      <c r="I275" s="1543">
        <f t="shared" si="23"/>
        <v>1493.6862745098038</v>
      </c>
      <c r="J275" s="1544">
        <f t="shared" si="24"/>
        <v>4237</v>
      </c>
      <c r="K275" s="1545">
        <f t="shared" si="25"/>
        <v>0.43</v>
      </c>
      <c r="L275" s="1377">
        <f t="shared" si="19"/>
        <v>0</v>
      </c>
      <c r="M275" s="1546">
        <f t="shared" si="20"/>
        <v>0</v>
      </c>
      <c r="N275" s="1547">
        <f t="shared" si="21"/>
        <v>0</v>
      </c>
      <c r="O275" s="1378">
        <f t="shared" si="22"/>
        <v>0</v>
      </c>
      <c r="P275" s="1492"/>
      <c r="Q275" s="1365">
        <f t="shared" si="8"/>
        <v>0</v>
      </c>
      <c r="R275" s="1540">
        <f t="shared" si="9"/>
        <v>0</v>
      </c>
    </row>
    <row r="276" spans="2:18" s="1394" customFormat="1" ht="18.5" x14ac:dyDescent="0.45">
      <c r="B276" s="1445" t="s">
        <v>2165</v>
      </c>
      <c r="C276" s="1505" t="s">
        <v>2401</v>
      </c>
      <c r="D276" s="1293">
        <f t="shared" si="26"/>
        <v>0</v>
      </c>
      <c r="E276" s="1533">
        <f t="shared" si="26"/>
        <v>0</v>
      </c>
      <c r="F276" s="1534">
        <f t="shared" si="26"/>
        <v>0</v>
      </c>
      <c r="G276" s="1381">
        <f t="shared" si="26"/>
        <v>0</v>
      </c>
      <c r="H276" s="1382">
        <f t="shared" si="17"/>
        <v>0.8</v>
      </c>
      <c r="I276" s="1535">
        <f t="shared" si="23"/>
        <v>1630.1960784313726</v>
      </c>
      <c r="J276" s="1536">
        <f t="shared" si="24"/>
        <v>2899</v>
      </c>
      <c r="K276" s="1537">
        <f t="shared" si="25"/>
        <v>0.24299999999999999</v>
      </c>
      <c r="L276" s="1383">
        <f t="shared" si="19"/>
        <v>0</v>
      </c>
      <c r="M276" s="1538">
        <f t="shared" si="20"/>
        <v>0</v>
      </c>
      <c r="N276" s="1539">
        <f t="shared" si="21"/>
        <v>0</v>
      </c>
      <c r="O276" s="1364">
        <f t="shared" si="22"/>
        <v>0</v>
      </c>
      <c r="P276" s="1492"/>
      <c r="Q276" s="1357">
        <f t="shared" si="8"/>
        <v>0</v>
      </c>
      <c r="R276" s="1548">
        <f t="shared" si="9"/>
        <v>0</v>
      </c>
    </row>
    <row r="277" spans="2:18" s="1394" customFormat="1" ht="18.5" x14ac:dyDescent="0.45">
      <c r="B277" s="1442" t="s">
        <v>2167</v>
      </c>
      <c r="C277" s="1502" t="s">
        <v>2401</v>
      </c>
      <c r="D277" s="1287">
        <f t="shared" si="26"/>
        <v>0</v>
      </c>
      <c r="E277" s="1541">
        <f t="shared" si="26"/>
        <v>0</v>
      </c>
      <c r="F277" s="1542">
        <f t="shared" si="26"/>
        <v>0</v>
      </c>
      <c r="G277" s="1375">
        <f t="shared" si="26"/>
        <v>0</v>
      </c>
      <c r="H277" s="1376">
        <f t="shared" si="17"/>
        <v>0.8</v>
      </c>
      <c r="I277" s="1543">
        <f t="shared" si="23"/>
        <v>1698.2156862745098</v>
      </c>
      <c r="J277" s="1544">
        <f t="shared" si="24"/>
        <v>2120</v>
      </c>
      <c r="K277" s="1545">
        <f t="shared" si="25"/>
        <v>0.41899999999999998</v>
      </c>
      <c r="L277" s="1377">
        <f t="shared" si="19"/>
        <v>0</v>
      </c>
      <c r="M277" s="1546">
        <f t="shared" si="20"/>
        <v>0</v>
      </c>
      <c r="N277" s="1547">
        <f t="shared" si="21"/>
        <v>0</v>
      </c>
      <c r="O277" s="1378">
        <f t="shared" si="22"/>
        <v>0</v>
      </c>
      <c r="P277" s="1492"/>
      <c r="Q277" s="1365">
        <f t="shared" si="8"/>
        <v>0</v>
      </c>
      <c r="R277" s="1540">
        <f t="shared" si="9"/>
        <v>0</v>
      </c>
    </row>
    <row r="278" spans="2:18" s="1394" customFormat="1" ht="18.5" x14ac:dyDescent="0.45">
      <c r="B278" s="1445" t="s">
        <v>2168</v>
      </c>
      <c r="C278" s="1505" t="s">
        <v>2401</v>
      </c>
      <c r="D278" s="1293">
        <f t="shared" si="26"/>
        <v>0</v>
      </c>
      <c r="E278" s="1533">
        <f t="shared" si="26"/>
        <v>0</v>
      </c>
      <c r="F278" s="1534">
        <f t="shared" si="26"/>
        <v>0</v>
      </c>
      <c r="G278" s="1381">
        <f t="shared" si="26"/>
        <v>0</v>
      </c>
      <c r="H278" s="1382">
        <f t="shared" si="17"/>
        <v>0.8</v>
      </c>
      <c r="I278" s="1535">
        <f t="shared" si="23"/>
        <v>936.1960784313726</v>
      </c>
      <c r="J278" s="1536">
        <f t="shared" si="24"/>
        <v>5682</v>
      </c>
      <c r="K278" s="1537">
        <f t="shared" si="25"/>
        <v>0.503</v>
      </c>
      <c r="L278" s="1383">
        <f t="shared" si="19"/>
        <v>0</v>
      </c>
      <c r="M278" s="1538">
        <f t="shared" si="20"/>
        <v>0</v>
      </c>
      <c r="N278" s="1539">
        <f t="shared" si="21"/>
        <v>0</v>
      </c>
      <c r="O278" s="1364">
        <f t="shared" si="22"/>
        <v>0</v>
      </c>
      <c r="P278" s="1492"/>
      <c r="Q278" s="1357">
        <f t="shared" si="8"/>
        <v>0</v>
      </c>
      <c r="R278" s="1548">
        <f t="shared" si="9"/>
        <v>0</v>
      </c>
    </row>
    <row r="279" spans="2:18" s="1394" customFormat="1" ht="18.5" x14ac:dyDescent="0.45">
      <c r="B279" s="1442" t="s">
        <v>2169</v>
      </c>
      <c r="C279" s="1502" t="s">
        <v>2401</v>
      </c>
      <c r="D279" s="1287">
        <f t="shared" si="26"/>
        <v>0</v>
      </c>
      <c r="E279" s="1541">
        <f t="shared" si="26"/>
        <v>0</v>
      </c>
      <c r="F279" s="1542">
        <f t="shared" si="26"/>
        <v>0</v>
      </c>
      <c r="G279" s="1375">
        <f t="shared" si="26"/>
        <v>0</v>
      </c>
      <c r="H279" s="1376">
        <f t="shared" si="17"/>
        <v>0.8</v>
      </c>
      <c r="I279" s="1543">
        <f t="shared" si="23"/>
        <v>2004.4117647058824</v>
      </c>
      <c r="J279" s="1544">
        <f t="shared" si="24"/>
        <v>4849</v>
      </c>
      <c r="K279" s="1545">
        <f t="shared" si="25"/>
        <v>0.48299999999999998</v>
      </c>
      <c r="L279" s="1377">
        <f t="shared" si="19"/>
        <v>0</v>
      </c>
      <c r="M279" s="1546">
        <f t="shared" si="20"/>
        <v>0</v>
      </c>
      <c r="N279" s="1547">
        <f t="shared" si="21"/>
        <v>0</v>
      </c>
      <c r="O279" s="1378">
        <f t="shared" si="22"/>
        <v>0</v>
      </c>
      <c r="P279" s="1492"/>
      <c r="Q279" s="1365">
        <f t="shared" si="8"/>
        <v>0</v>
      </c>
      <c r="R279" s="1540">
        <f t="shared" si="9"/>
        <v>0</v>
      </c>
    </row>
    <row r="280" spans="2:18" s="1394" customFormat="1" ht="18.5" x14ac:dyDescent="0.45">
      <c r="B280" s="1445" t="s">
        <v>2170</v>
      </c>
      <c r="C280" s="1505" t="s">
        <v>2401</v>
      </c>
      <c r="D280" s="1293">
        <f t="shared" si="26"/>
        <v>0</v>
      </c>
      <c r="E280" s="1533">
        <f t="shared" si="26"/>
        <v>0</v>
      </c>
      <c r="F280" s="1534">
        <f t="shared" si="26"/>
        <v>0</v>
      </c>
      <c r="G280" s="1381">
        <f t="shared" si="26"/>
        <v>0</v>
      </c>
      <c r="H280" s="1382">
        <f t="shared" si="17"/>
        <v>0.8</v>
      </c>
      <c r="I280" s="1535">
        <f t="shared" si="23"/>
        <v>1262.7843137254904</v>
      </c>
      <c r="J280" s="1536">
        <f t="shared" si="24"/>
        <v>2038</v>
      </c>
      <c r="K280" s="1537">
        <f t="shared" si="25"/>
        <v>0.432</v>
      </c>
      <c r="L280" s="1383">
        <f t="shared" si="19"/>
        <v>0</v>
      </c>
      <c r="M280" s="1538">
        <f t="shared" si="20"/>
        <v>0</v>
      </c>
      <c r="N280" s="1539">
        <f t="shared" si="21"/>
        <v>0</v>
      </c>
      <c r="O280" s="1364">
        <f t="shared" si="22"/>
        <v>0</v>
      </c>
      <c r="P280" s="1492"/>
      <c r="Q280" s="1357">
        <f t="shared" si="8"/>
        <v>0</v>
      </c>
      <c r="R280" s="1548">
        <f t="shared" si="9"/>
        <v>0</v>
      </c>
    </row>
    <row r="281" spans="2:18" s="1394" customFormat="1" ht="18.5" x14ac:dyDescent="0.45">
      <c r="B281" s="1442" t="s">
        <v>2171</v>
      </c>
      <c r="C281" s="1502" t="s">
        <v>2401</v>
      </c>
      <c r="D281" s="1287">
        <f t="shared" si="26"/>
        <v>0</v>
      </c>
      <c r="E281" s="1541">
        <f t="shared" si="26"/>
        <v>0</v>
      </c>
      <c r="F281" s="1542">
        <f t="shared" si="26"/>
        <v>0</v>
      </c>
      <c r="G281" s="1375">
        <f t="shared" si="26"/>
        <v>0</v>
      </c>
      <c r="H281" s="1376">
        <f t="shared" si="17"/>
        <v>0.8</v>
      </c>
      <c r="I281" s="1543">
        <f t="shared" si="23"/>
        <v>903.1960784313726</v>
      </c>
      <c r="J281" s="1544">
        <f t="shared" si="24"/>
        <v>3069</v>
      </c>
      <c r="K281" s="1545">
        <f t="shared" si="25"/>
        <v>0.46200000000000002</v>
      </c>
      <c r="L281" s="1377">
        <f t="shared" si="19"/>
        <v>0</v>
      </c>
      <c r="M281" s="1546">
        <f t="shared" si="20"/>
        <v>0</v>
      </c>
      <c r="N281" s="1547">
        <f t="shared" si="21"/>
        <v>0</v>
      </c>
      <c r="O281" s="1378">
        <f t="shared" si="22"/>
        <v>0</v>
      </c>
      <c r="P281" s="1492"/>
      <c r="Q281" s="1365">
        <f t="shared" si="8"/>
        <v>0</v>
      </c>
      <c r="R281" s="1540">
        <f t="shared" si="9"/>
        <v>0</v>
      </c>
    </row>
    <row r="282" spans="2:18" s="1394" customFormat="1" ht="18.5" x14ac:dyDescent="0.45">
      <c r="B282" s="1445" t="s">
        <v>2172</v>
      </c>
      <c r="C282" s="1505" t="s">
        <v>2401</v>
      </c>
      <c r="D282" s="1293">
        <f t="shared" si="26"/>
        <v>0</v>
      </c>
      <c r="E282" s="1533">
        <f t="shared" si="26"/>
        <v>0</v>
      </c>
      <c r="F282" s="1534">
        <f t="shared" si="26"/>
        <v>0</v>
      </c>
      <c r="G282" s="1381">
        <f t="shared" si="26"/>
        <v>0</v>
      </c>
      <c r="H282" s="1382">
        <f t="shared" si="17"/>
        <v>0.8</v>
      </c>
      <c r="I282" s="1535">
        <f t="shared" si="23"/>
        <v>2375.1176470588239</v>
      </c>
      <c r="J282" s="1536">
        <f t="shared" si="24"/>
        <v>2481</v>
      </c>
      <c r="K282" s="1537">
        <f t="shared" si="25"/>
        <v>0.47399999999999998</v>
      </c>
      <c r="L282" s="1383">
        <f t="shared" si="19"/>
        <v>0</v>
      </c>
      <c r="M282" s="1538">
        <f t="shared" si="20"/>
        <v>0</v>
      </c>
      <c r="N282" s="1539">
        <f t="shared" si="21"/>
        <v>0</v>
      </c>
      <c r="O282" s="1364">
        <f t="shared" si="22"/>
        <v>0</v>
      </c>
      <c r="P282" s="1492"/>
      <c r="Q282" s="1357">
        <f t="shared" si="8"/>
        <v>0</v>
      </c>
      <c r="R282" s="1548">
        <f t="shared" si="9"/>
        <v>0</v>
      </c>
    </row>
    <row r="283" spans="2:18" s="1394" customFormat="1" ht="18.5" x14ac:dyDescent="0.45">
      <c r="B283" s="1442" t="s">
        <v>2173</v>
      </c>
      <c r="C283" s="1502" t="s">
        <v>2401</v>
      </c>
      <c r="D283" s="1287">
        <f t="shared" si="26"/>
        <v>0</v>
      </c>
      <c r="E283" s="1541">
        <f t="shared" si="26"/>
        <v>0</v>
      </c>
      <c r="F283" s="1542">
        <f t="shared" si="26"/>
        <v>0</v>
      </c>
      <c r="G283" s="1375">
        <f t="shared" si="26"/>
        <v>0</v>
      </c>
      <c r="H283" s="1376">
        <f t="shared" si="17"/>
        <v>0.8</v>
      </c>
      <c r="I283" s="1543">
        <f t="shared" si="23"/>
        <v>1483.2352941176471</v>
      </c>
      <c r="J283" s="1544">
        <f t="shared" si="24"/>
        <v>1881</v>
      </c>
      <c r="K283" s="1545">
        <f t="shared" si="25"/>
        <v>0.42799999999999999</v>
      </c>
      <c r="L283" s="1377">
        <f t="shared" si="19"/>
        <v>0</v>
      </c>
      <c r="M283" s="1546">
        <f t="shared" si="20"/>
        <v>0</v>
      </c>
      <c r="N283" s="1547">
        <f t="shared" si="21"/>
        <v>0</v>
      </c>
      <c r="O283" s="1378">
        <f t="shared" si="22"/>
        <v>0</v>
      </c>
      <c r="P283" s="1492"/>
      <c r="Q283" s="1365">
        <f t="shared" si="8"/>
        <v>0</v>
      </c>
      <c r="R283" s="1540">
        <f t="shared" si="9"/>
        <v>0</v>
      </c>
    </row>
    <row r="284" spans="2:18" s="1394" customFormat="1" ht="18.5" x14ac:dyDescent="0.45">
      <c r="B284" s="1445" t="s">
        <v>2174</v>
      </c>
      <c r="C284" s="1505" t="s">
        <v>2401</v>
      </c>
      <c r="D284" s="1293">
        <f t="shared" si="26"/>
        <v>0</v>
      </c>
      <c r="E284" s="1533">
        <f t="shared" si="26"/>
        <v>0</v>
      </c>
      <c r="F284" s="1534">
        <f t="shared" si="26"/>
        <v>0</v>
      </c>
      <c r="G284" s="1381">
        <f t="shared" si="26"/>
        <v>0</v>
      </c>
      <c r="H284" s="1382">
        <f t="shared" si="17"/>
        <v>0.8</v>
      </c>
      <c r="I284" s="1535">
        <f t="shared" ref="I284:I289" si="27">J168</f>
        <v>1395.7647058823529</v>
      </c>
      <c r="J284" s="1536">
        <f t="shared" ref="J284:K289" si="28">C113</f>
        <v>2830</v>
      </c>
      <c r="K284" s="1537">
        <f t="shared" si="28"/>
        <v>0.433</v>
      </c>
      <c r="L284" s="1383">
        <f t="shared" si="19"/>
        <v>0</v>
      </c>
      <c r="M284" s="1538">
        <f t="shared" si="20"/>
        <v>0</v>
      </c>
      <c r="N284" s="1539">
        <f t="shared" si="21"/>
        <v>0</v>
      </c>
      <c r="O284" s="1364">
        <f t="shared" si="22"/>
        <v>0</v>
      </c>
      <c r="P284" s="1492"/>
      <c r="Q284" s="1357">
        <f t="shared" si="8"/>
        <v>0</v>
      </c>
      <c r="R284" s="1548">
        <f t="shared" si="9"/>
        <v>0</v>
      </c>
    </row>
    <row r="285" spans="2:18" s="1394" customFormat="1" ht="18.5" x14ac:dyDescent="0.45">
      <c r="B285" s="1442" t="s">
        <v>2175</v>
      </c>
      <c r="C285" s="1502" t="s">
        <v>2401</v>
      </c>
      <c r="D285" s="1287">
        <f t="shared" si="26"/>
        <v>0</v>
      </c>
      <c r="E285" s="1541">
        <f t="shared" si="26"/>
        <v>0</v>
      </c>
      <c r="F285" s="1542">
        <f t="shared" si="26"/>
        <v>0</v>
      </c>
      <c r="G285" s="1375">
        <f t="shared" si="26"/>
        <v>0</v>
      </c>
      <c r="H285" s="1376">
        <f t="shared" si="17"/>
        <v>0.8</v>
      </c>
      <c r="I285" s="1543">
        <f t="shared" si="27"/>
        <v>1203.1764705882351</v>
      </c>
      <c r="J285" s="1544">
        <f t="shared" si="28"/>
        <v>3350</v>
      </c>
      <c r="K285" s="1545">
        <f t="shared" si="28"/>
        <v>0.48799999999999999</v>
      </c>
      <c r="L285" s="1377">
        <f t="shared" si="19"/>
        <v>0</v>
      </c>
      <c r="M285" s="1546">
        <f t="shared" si="20"/>
        <v>0</v>
      </c>
      <c r="N285" s="1547">
        <f t="shared" si="21"/>
        <v>0</v>
      </c>
      <c r="O285" s="1378">
        <f t="shared" si="22"/>
        <v>0</v>
      </c>
      <c r="P285" s="1492"/>
      <c r="Q285" s="1365">
        <f t="shared" si="8"/>
        <v>0</v>
      </c>
      <c r="R285" s="1540">
        <f t="shared" si="9"/>
        <v>0</v>
      </c>
    </row>
    <row r="286" spans="2:18" s="1394" customFormat="1" ht="18.5" x14ac:dyDescent="0.45">
      <c r="B286" s="1445" t="s">
        <v>2176</v>
      </c>
      <c r="C286" s="1505" t="s">
        <v>2401</v>
      </c>
      <c r="D286" s="1293">
        <f t="shared" ref="D286:G289" si="29">D212</f>
        <v>0</v>
      </c>
      <c r="E286" s="1533">
        <f t="shared" si="29"/>
        <v>0</v>
      </c>
      <c r="F286" s="1534">
        <f t="shared" si="29"/>
        <v>0</v>
      </c>
      <c r="G286" s="1381">
        <f t="shared" si="29"/>
        <v>0</v>
      </c>
      <c r="H286" s="1382">
        <f t="shared" si="17"/>
        <v>0.8</v>
      </c>
      <c r="I286" s="1535">
        <f t="shared" si="27"/>
        <v>1200.9411764705883</v>
      </c>
      <c r="J286" s="1536">
        <f t="shared" si="28"/>
        <v>2528</v>
      </c>
      <c r="K286" s="1537">
        <f t="shared" si="28"/>
        <v>0.505</v>
      </c>
      <c r="L286" s="1383">
        <f t="shared" si="19"/>
        <v>0</v>
      </c>
      <c r="M286" s="1538">
        <f t="shared" si="20"/>
        <v>0</v>
      </c>
      <c r="N286" s="1539">
        <f t="shared" si="21"/>
        <v>0</v>
      </c>
      <c r="O286" s="1364">
        <f t="shared" si="22"/>
        <v>0</v>
      </c>
      <c r="P286" s="1492"/>
      <c r="Q286" s="1357">
        <f t="shared" si="8"/>
        <v>0</v>
      </c>
      <c r="R286" s="1548">
        <f t="shared" si="9"/>
        <v>0</v>
      </c>
    </row>
    <row r="287" spans="2:18" s="1394" customFormat="1" ht="18.5" x14ac:dyDescent="0.45">
      <c r="B287" s="1442" t="s">
        <v>2177</v>
      </c>
      <c r="C287" s="1502" t="s">
        <v>2401</v>
      </c>
      <c r="D287" s="1287">
        <f t="shared" si="29"/>
        <v>0</v>
      </c>
      <c r="E287" s="1541">
        <f t="shared" si="29"/>
        <v>0</v>
      </c>
      <c r="F287" s="1542">
        <f t="shared" si="29"/>
        <v>0</v>
      </c>
      <c r="G287" s="1375">
        <f t="shared" si="29"/>
        <v>0</v>
      </c>
      <c r="H287" s="1376">
        <f t="shared" si="17"/>
        <v>0.8</v>
      </c>
      <c r="I287" s="1543">
        <f t="shared" si="27"/>
        <v>1200.5294117647059</v>
      </c>
      <c r="J287" s="1544">
        <f t="shared" si="28"/>
        <v>2266</v>
      </c>
      <c r="K287" s="1545">
        <f t="shared" si="28"/>
        <v>0.52800000000000002</v>
      </c>
      <c r="L287" s="1377">
        <f t="shared" si="19"/>
        <v>0</v>
      </c>
      <c r="M287" s="1546">
        <f t="shared" si="20"/>
        <v>0</v>
      </c>
      <c r="N287" s="1547">
        <f t="shared" si="21"/>
        <v>0</v>
      </c>
      <c r="O287" s="1378">
        <f t="shared" si="22"/>
        <v>0</v>
      </c>
      <c r="P287" s="1492"/>
      <c r="Q287" s="1365">
        <f t="shared" si="8"/>
        <v>0</v>
      </c>
      <c r="R287" s="1540">
        <f t="shared" si="9"/>
        <v>0</v>
      </c>
    </row>
    <row r="288" spans="2:18" s="1394" customFormat="1" ht="18.5" x14ac:dyDescent="0.45">
      <c r="B288" s="1445" t="s">
        <v>2027</v>
      </c>
      <c r="C288" s="1505" t="s">
        <v>2401</v>
      </c>
      <c r="D288" s="1293">
        <f t="shared" si="29"/>
        <v>0</v>
      </c>
      <c r="E288" s="1533">
        <f t="shared" si="29"/>
        <v>0</v>
      </c>
      <c r="F288" s="1534">
        <f t="shared" si="29"/>
        <v>0</v>
      </c>
      <c r="G288" s="1381">
        <f t="shared" si="29"/>
        <v>0</v>
      </c>
      <c r="H288" s="1382">
        <f t="shared" si="17"/>
        <v>0.8</v>
      </c>
      <c r="I288" s="1535">
        <f t="shared" si="27"/>
        <v>1201.8431372549019</v>
      </c>
      <c r="J288" s="1536">
        <f t="shared" si="28"/>
        <v>770</v>
      </c>
      <c r="K288" s="1537">
        <f t="shared" si="28"/>
        <v>0.22500000000000001</v>
      </c>
      <c r="L288" s="1383">
        <f t="shared" si="19"/>
        <v>0</v>
      </c>
      <c r="M288" s="1538">
        <f t="shared" si="20"/>
        <v>0</v>
      </c>
      <c r="N288" s="1539">
        <f t="shared" si="21"/>
        <v>0</v>
      </c>
      <c r="O288" s="1364">
        <f t="shared" si="22"/>
        <v>0</v>
      </c>
      <c r="P288" s="1492"/>
      <c r="Q288" s="1357">
        <f t="shared" ref="Q288:Q289" si="30">IFERROR(VLOOKUP(E288,B$122:C$124,2,TRUE),0)</f>
        <v>0</v>
      </c>
      <c r="R288" s="1548">
        <f t="shared" ref="R288:R289" si="31">Q288*D288</f>
        <v>0</v>
      </c>
    </row>
    <row r="289" spans="2:18" s="1394" customFormat="1" ht="18.5" x14ac:dyDescent="0.45">
      <c r="B289" s="1442" t="s">
        <v>536</v>
      </c>
      <c r="C289" s="1502" t="s">
        <v>2401</v>
      </c>
      <c r="D289" s="1287">
        <f t="shared" si="29"/>
        <v>0</v>
      </c>
      <c r="E289" s="1541">
        <f t="shared" si="29"/>
        <v>0</v>
      </c>
      <c r="F289" s="1542">
        <f t="shared" si="29"/>
        <v>0</v>
      </c>
      <c r="G289" s="1375">
        <f t="shared" si="29"/>
        <v>0</v>
      </c>
      <c r="H289" s="1376">
        <f t="shared" si="17"/>
        <v>0.8</v>
      </c>
      <c r="I289" s="1543">
        <f t="shared" si="27"/>
        <v>1516.6666666666665</v>
      </c>
      <c r="J289" s="1544">
        <f t="shared" si="28"/>
        <v>2718</v>
      </c>
      <c r="K289" s="1545">
        <f t="shared" si="28"/>
        <v>0.42399999999999999</v>
      </c>
      <c r="L289" s="1377">
        <f t="shared" si="19"/>
        <v>0</v>
      </c>
      <c r="M289" s="1546">
        <f t="shared" si="20"/>
        <v>0</v>
      </c>
      <c r="N289" s="1547">
        <f t="shared" si="21"/>
        <v>0</v>
      </c>
      <c r="O289" s="1378">
        <f t="shared" si="22"/>
        <v>0</v>
      </c>
      <c r="P289" s="1492"/>
      <c r="Q289" s="1390">
        <f t="shared" si="30"/>
        <v>0</v>
      </c>
      <c r="R289" s="1561">
        <f t="shared" si="31"/>
        <v>0</v>
      </c>
    </row>
    <row r="290" spans="2:18" s="1394" customFormat="1" x14ac:dyDescent="0.35"/>
    <row r="291" spans="2:18" s="1394" customFormat="1" x14ac:dyDescent="0.35"/>
    <row r="292" spans="2:18" s="1394" customFormat="1" x14ac:dyDescent="0.35"/>
    <row r="293" spans="2:18" s="1394" customFormat="1" x14ac:dyDescent="0.35"/>
  </sheetData>
  <mergeCells count="9">
    <mergeCell ref="L220:O220"/>
    <mergeCell ref="B75:C75"/>
    <mergeCell ref="E80:I80"/>
    <mergeCell ref="L81:T81"/>
    <mergeCell ref="D128:E128"/>
    <mergeCell ref="D146:G146"/>
    <mergeCell ref="B220:C220"/>
    <mergeCell ref="D220:G220"/>
    <mergeCell ref="H220:K220"/>
  </mergeCells>
  <conditionalFormatting sqref="B82:B83 B85:B86 B88:B111 B113:B118">
    <cfRule type="expression" dxfId="254" priority="13">
      <formula>B82&lt;&gt;#REF!</formula>
    </cfRule>
  </conditionalFormatting>
  <conditionalFormatting sqref="B84">
    <cfRule type="expression" dxfId="253" priority="12">
      <formula>B84&lt;&gt;#REF!</formula>
    </cfRule>
  </conditionalFormatting>
  <conditionalFormatting sqref="B87">
    <cfRule type="expression" dxfId="252" priority="11">
      <formula>B87&lt;&gt;#REF!</formula>
    </cfRule>
  </conditionalFormatting>
  <conditionalFormatting sqref="B112">
    <cfRule type="expression" dxfId="251" priority="10">
      <formula>B112&lt;&gt;#REF!</formula>
    </cfRule>
  </conditionalFormatting>
  <conditionalFormatting sqref="E82:I83 E85:I86 E88:I111 E113:I118">
    <cfRule type="expression" dxfId="250" priority="9">
      <formula>E82&lt;&gt;#REF!</formula>
    </cfRule>
  </conditionalFormatting>
  <conditionalFormatting sqref="E84:I84">
    <cfRule type="expression" dxfId="249" priority="8">
      <formula>E84&lt;&gt;#REF!</formula>
    </cfRule>
  </conditionalFormatting>
  <conditionalFormatting sqref="E87:I87">
    <cfRule type="expression" dxfId="248" priority="7">
      <formula>E87&lt;&gt;#REF!</formula>
    </cfRule>
  </conditionalFormatting>
  <conditionalFormatting sqref="E112:I112">
    <cfRule type="expression" dxfId="247" priority="6">
      <formula>E112&lt;&gt;#REF!</formula>
    </cfRule>
  </conditionalFormatting>
  <conditionalFormatting sqref="I168:I173 I143:I166">
    <cfRule type="expression" dxfId="246" priority="5">
      <formula>I143&lt;&gt;#REF!</formula>
    </cfRule>
  </conditionalFormatting>
  <conditionalFormatting sqref="I137:I138 I140:I141">
    <cfRule type="expression" dxfId="245" priority="4">
      <formula>I137&lt;&gt;#REF!</formula>
    </cfRule>
  </conditionalFormatting>
  <conditionalFormatting sqref="I139">
    <cfRule type="expression" dxfId="244" priority="3">
      <formula>I139&lt;&gt;#REF!</formula>
    </cfRule>
  </conditionalFormatting>
  <conditionalFormatting sqref="I142">
    <cfRule type="expression" dxfId="243" priority="2">
      <formula>I142&lt;&gt;#REF!</formula>
    </cfRule>
  </conditionalFormatting>
  <conditionalFormatting sqref="I167">
    <cfRule type="expression" dxfId="242" priority="1">
      <formula>I167&lt;&gt;#REF!</formula>
    </cfRule>
  </conditionalFormatting>
  <pageMargins left="0.7" right="0.7" top="0.75" bottom="0.75" header="0.3" footer="0.3"/>
  <pageSetup scale="14" orientation="portrait" r:id="rId1"/>
  <headerFooter>
    <oddHeader>&amp;LAppendix G (Rev.)</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pageSetUpPr fitToPage="1"/>
  </sheetPr>
  <dimension ref="A1:AB293"/>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0.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2438</v>
      </c>
    </row>
    <row r="2" spans="1:7" s="1394" customFormat="1" x14ac:dyDescent="0.35"/>
    <row r="3" spans="1:7" s="1394" customFormat="1" ht="21" x14ac:dyDescent="0.5">
      <c r="A3" s="1395" t="s">
        <v>2386</v>
      </c>
    </row>
    <row r="4" spans="1:7" s="1394" customFormat="1" x14ac:dyDescent="0.35"/>
    <row r="5" spans="1:7" s="1394" customFormat="1" x14ac:dyDescent="0.35">
      <c r="B5" s="1396" t="s">
        <v>1947</v>
      </c>
      <c r="C5" s="1397">
        <f>SUM(D222:D289)</f>
        <v>62</v>
      </c>
      <c r="D5" s="1398"/>
      <c r="E5" s="680"/>
      <c r="F5" s="680"/>
    </row>
    <row r="6" spans="1:7" s="1394" customFormat="1" x14ac:dyDescent="0.35">
      <c r="B6" s="724" t="s">
        <v>2052</v>
      </c>
      <c r="C6" s="989">
        <f>SUM(M222:M289)</f>
        <v>43614.161111111105</v>
      </c>
      <c r="D6" s="1399"/>
      <c r="E6" s="683"/>
      <c r="F6" s="683"/>
    </row>
    <row r="7" spans="1:7" s="1394" customFormat="1" x14ac:dyDescent="0.35">
      <c r="B7" s="936" t="s">
        <v>1951</v>
      </c>
      <c r="C7" s="1400">
        <f>SUM(N222:N289)</f>
        <v>8.6047444380993348</v>
      </c>
      <c r="D7" s="1399"/>
      <c r="E7" s="683"/>
      <c r="F7" s="683"/>
    </row>
    <row r="8" spans="1:7" s="1394" customFormat="1" x14ac:dyDescent="0.35">
      <c r="B8" s="724" t="s">
        <v>1952</v>
      </c>
      <c r="C8" s="989">
        <f>SUM(L222:L289)</f>
        <v>42851.763472165439</v>
      </c>
      <c r="D8" s="1399"/>
      <c r="E8" s="683"/>
      <c r="F8" s="683"/>
    </row>
    <row r="9" spans="1:7" s="1394" customFormat="1" x14ac:dyDescent="0.35">
      <c r="B9" s="936" t="s">
        <v>2053</v>
      </c>
      <c r="C9" s="990">
        <f>SUM(O222:O289)</f>
        <v>99200</v>
      </c>
      <c r="D9" s="1401"/>
      <c r="E9" s="686"/>
      <c r="F9" s="686"/>
    </row>
    <row r="10" spans="1:7" s="1394" customFormat="1" x14ac:dyDescent="0.35">
      <c r="B10" s="724" t="s">
        <v>2288</v>
      </c>
      <c r="C10" s="1402">
        <f>C9/C8</f>
        <v>2.3149572377443888</v>
      </c>
      <c r="D10" s="1403"/>
      <c r="E10" s="690"/>
      <c r="F10" s="690"/>
    </row>
    <row r="11" spans="1:7" s="1394" customFormat="1" x14ac:dyDescent="0.35">
      <c r="B11" s="936" t="s">
        <v>1960</v>
      </c>
      <c r="C11" s="990">
        <f>SUM(R222:R289)</f>
        <v>104470.28927086185</v>
      </c>
      <c r="D11" s="1404"/>
      <c r="E11" s="706"/>
      <c r="F11" s="706"/>
    </row>
    <row r="12" spans="1:7" s="1394" customFormat="1" x14ac:dyDescent="0.35">
      <c r="B12" s="732" t="s">
        <v>1970</v>
      </c>
      <c r="C12" s="1405">
        <v>5.5</v>
      </c>
      <c r="D12" s="1404" t="s">
        <v>2439</v>
      </c>
      <c r="E12" s="706"/>
      <c r="F12" s="706"/>
    </row>
    <row r="13" spans="1:7" s="1394" customFormat="1" x14ac:dyDescent="0.35">
      <c r="B13" s="694" t="s">
        <v>1961</v>
      </c>
      <c r="C13" s="695"/>
      <c r="D13" s="1398"/>
      <c r="E13" s="1406"/>
      <c r="F13" s="680"/>
      <c r="G13" s="696"/>
    </row>
    <row r="14" spans="1:7" s="1394" customFormat="1" hidden="1" x14ac:dyDescent="0.35">
      <c r="B14" s="834" t="s">
        <v>2387</v>
      </c>
      <c r="C14" s="852">
        <f>1-C69+C70+C71</f>
        <v>0.8</v>
      </c>
      <c r="D14" s="1398"/>
      <c r="E14" s="1206"/>
      <c r="F14" s="680"/>
    </row>
    <row r="15" spans="1:7" s="1394" customFormat="1" hidden="1" x14ac:dyDescent="0.35">
      <c r="B15" s="841" t="s">
        <v>2388</v>
      </c>
      <c r="C15" s="1407">
        <f>1-D69+D70+D71</f>
        <v>1.01</v>
      </c>
      <c r="D15" s="1398"/>
      <c r="E15" s="1206"/>
      <c r="F15" s="680"/>
    </row>
    <row r="16" spans="1:7" s="1394" customFormat="1" hidden="1" x14ac:dyDescent="0.35">
      <c r="B16" s="838" t="s">
        <v>2389</v>
      </c>
      <c r="C16" s="1219">
        <f>1-E69+E70+E71</f>
        <v>1.01</v>
      </c>
      <c r="D16" s="1398"/>
      <c r="E16" s="1206"/>
      <c r="F16" s="680"/>
    </row>
    <row r="17" spans="1:6" s="1394" customFormat="1" hidden="1" x14ac:dyDescent="0.35">
      <c r="B17" s="841" t="s">
        <v>1965</v>
      </c>
      <c r="C17" s="842">
        <f>C6*C15</f>
        <v>44050.302722222215</v>
      </c>
      <c r="D17" s="1399"/>
      <c r="E17" s="701"/>
      <c r="F17" s="683"/>
    </row>
    <row r="18" spans="1:6" s="1394" customFormat="1" hidden="1" x14ac:dyDescent="0.35">
      <c r="B18" s="838" t="s">
        <v>1966</v>
      </c>
      <c r="C18" s="839">
        <f>C7*C16</f>
        <v>8.6907918824803279</v>
      </c>
      <c r="D18" s="1399"/>
      <c r="E18" s="683"/>
      <c r="F18" s="683"/>
    </row>
    <row r="19" spans="1:6" s="1394" customFormat="1" hidden="1" x14ac:dyDescent="0.35">
      <c r="B19" s="841" t="s">
        <v>1967</v>
      </c>
      <c r="C19" s="842">
        <f>C14*C8</f>
        <v>34281.410777732352</v>
      </c>
      <c r="D19" s="1399"/>
      <c r="E19" s="701"/>
      <c r="F19" s="683"/>
    </row>
    <row r="20" spans="1:6" s="1394" customFormat="1" hidden="1" x14ac:dyDescent="0.35">
      <c r="B20" s="838" t="s">
        <v>1969</v>
      </c>
      <c r="C20" s="854">
        <f>C9/C19</f>
        <v>2.8936965471804861</v>
      </c>
      <c r="D20" s="1403"/>
      <c r="E20" s="690"/>
      <c r="F20" s="690"/>
    </row>
    <row r="21" spans="1:6" s="1394" customFormat="1" hidden="1" x14ac:dyDescent="0.35">
      <c r="B21" s="855" t="s">
        <v>1970</v>
      </c>
      <c r="C21" s="856">
        <v>16.5</v>
      </c>
      <c r="D21" s="1398"/>
      <c r="E21" s="680"/>
      <c r="F21" s="680"/>
    </row>
    <row r="22" spans="1:6" s="1394" customFormat="1" x14ac:dyDescent="0.35">
      <c r="B22" s="1408"/>
      <c r="C22" s="1408"/>
    </row>
    <row r="23" spans="1:6" s="1394" customFormat="1" ht="21" x14ac:dyDescent="0.5">
      <c r="A23" s="704" t="s">
        <v>1971</v>
      </c>
      <c r="B23" s="1408"/>
      <c r="C23" s="1408"/>
    </row>
    <row r="24" spans="1:6" s="1394" customFormat="1" x14ac:dyDescent="0.35">
      <c r="B24" s="940" t="s">
        <v>2390</v>
      </c>
      <c r="C24" s="1409">
        <f>C6/$C$5</f>
        <v>703.4542114695339</v>
      </c>
    </row>
    <row r="25" spans="1:6" s="1394" customFormat="1" x14ac:dyDescent="0.35">
      <c r="B25" s="936" t="s">
        <v>2391</v>
      </c>
      <c r="C25" s="991">
        <f>C7/C5</f>
        <v>0.13878620061450539</v>
      </c>
    </row>
    <row r="26" spans="1:6" s="1394" customFormat="1" x14ac:dyDescent="0.35">
      <c r="B26" s="724" t="s">
        <v>2289</v>
      </c>
      <c r="C26" s="989">
        <f>C8/C5</f>
        <v>691.15747535750711</v>
      </c>
    </row>
    <row r="27" spans="1:6" s="1394" customFormat="1" x14ac:dyDescent="0.35">
      <c r="B27" s="936" t="s">
        <v>2290</v>
      </c>
      <c r="C27" s="992">
        <f>C9/C5</f>
        <v>1600</v>
      </c>
    </row>
    <row r="28" spans="1:6" s="1394" customFormat="1" x14ac:dyDescent="0.35">
      <c r="B28" s="732" t="s">
        <v>2392</v>
      </c>
      <c r="C28" s="1410">
        <f>C11/C5</f>
        <v>1685.0046656590621</v>
      </c>
    </row>
    <row r="29" spans="1:6" s="1394" customFormat="1" x14ac:dyDescent="0.35">
      <c r="B29" s="1408"/>
      <c r="C29" s="1408"/>
    </row>
    <row r="30" spans="1:6" s="1394" customFormat="1" ht="58" x14ac:dyDescent="0.35">
      <c r="B30" s="1411" t="s">
        <v>2393</v>
      </c>
      <c r="C30" s="1412" t="s">
        <v>2394</v>
      </c>
    </row>
    <row r="31" spans="1:6" s="1394" customFormat="1" x14ac:dyDescent="0.35">
      <c r="B31" s="1413" t="s">
        <v>2180</v>
      </c>
      <c r="C31" s="1100">
        <f>IFERROR((L222+L256)/(D222+D256),0)</f>
        <v>630.94012422360231</v>
      </c>
    </row>
    <row r="32" spans="1:6" s="1394" customFormat="1" x14ac:dyDescent="0.35">
      <c r="B32" s="1414" t="s">
        <v>2071</v>
      </c>
      <c r="C32" s="885">
        <f>IFERROR((L223+L257)/(D223+D257),0)</f>
        <v>704.60047619047612</v>
      </c>
    </row>
    <row r="33" spans="2:3" s="1394" customFormat="1" x14ac:dyDescent="0.35">
      <c r="B33" s="1415" t="s">
        <v>2157</v>
      </c>
      <c r="C33" s="1004">
        <f t="shared" ref="C33:C64" si="0">IFERROR((L224+L258)/(D224+D258),0)</f>
        <v>576.58523809523808</v>
      </c>
    </row>
    <row r="34" spans="2:3" s="1394" customFormat="1" x14ac:dyDescent="0.35">
      <c r="B34" s="1414" t="s">
        <v>2158</v>
      </c>
      <c r="C34" s="885">
        <f t="shared" si="0"/>
        <v>467.47980124223596</v>
      </c>
    </row>
    <row r="35" spans="2:3" s="1394" customFormat="1" x14ac:dyDescent="0.35">
      <c r="B35" s="1415" t="s">
        <v>2028</v>
      </c>
      <c r="C35" s="1004">
        <f t="shared" si="0"/>
        <v>699.00571428571448</v>
      </c>
    </row>
    <row r="36" spans="2:3" s="1394" customFormat="1" x14ac:dyDescent="0.35">
      <c r="B36" s="1414" t="s">
        <v>2109</v>
      </c>
      <c r="C36" s="885">
        <f t="shared" si="0"/>
        <v>418.74603174603186</v>
      </c>
    </row>
    <row r="37" spans="2:3" s="1394" customFormat="1" x14ac:dyDescent="0.35">
      <c r="B37" s="1415" t="s">
        <v>2026</v>
      </c>
      <c r="C37" s="1004">
        <f t="shared" si="0"/>
        <v>553.43180124223591</v>
      </c>
    </row>
    <row r="38" spans="2:3" s="1394" customFormat="1" x14ac:dyDescent="0.35">
      <c r="B38" s="1414" t="s">
        <v>2075</v>
      </c>
      <c r="C38" s="885">
        <f t="shared" si="0"/>
        <v>570.53812111801233</v>
      </c>
    </row>
    <row r="39" spans="2:3" s="1394" customFormat="1" x14ac:dyDescent="0.35">
      <c r="B39" s="1415" t="s">
        <v>2029</v>
      </c>
      <c r="C39" s="1004">
        <f t="shared" si="0"/>
        <v>0</v>
      </c>
    </row>
    <row r="40" spans="2:3" s="1394" customFormat="1" x14ac:dyDescent="0.35">
      <c r="B40" s="1414" t="s">
        <v>2356</v>
      </c>
      <c r="C40" s="885">
        <f t="shared" si="0"/>
        <v>0</v>
      </c>
    </row>
    <row r="41" spans="2:3" s="1394" customFormat="1" x14ac:dyDescent="0.35">
      <c r="B41" s="1415" t="s">
        <v>2357</v>
      </c>
      <c r="C41" s="1004">
        <f t="shared" si="0"/>
        <v>0</v>
      </c>
    </row>
    <row r="42" spans="2:3" s="1394" customFormat="1" x14ac:dyDescent="0.35">
      <c r="B42" s="1414" t="s">
        <v>2358</v>
      </c>
      <c r="C42" s="885">
        <f t="shared" si="0"/>
        <v>0</v>
      </c>
    </row>
    <row r="43" spans="2:3" s="1394" customFormat="1" x14ac:dyDescent="0.35">
      <c r="B43" s="1415" t="s">
        <v>2162</v>
      </c>
      <c r="C43" s="1004">
        <f t="shared" si="0"/>
        <v>0</v>
      </c>
    </row>
    <row r="44" spans="2:3" s="1394" customFormat="1" x14ac:dyDescent="0.35">
      <c r="B44" s="1414" t="s">
        <v>2325</v>
      </c>
      <c r="C44" s="885">
        <f t="shared" si="0"/>
        <v>0</v>
      </c>
    </row>
    <row r="45" spans="2:3" s="1394" customFormat="1" x14ac:dyDescent="0.35">
      <c r="B45" s="1415" t="s">
        <v>2073</v>
      </c>
      <c r="C45" s="1004">
        <f t="shared" si="0"/>
        <v>780.48158730158741</v>
      </c>
    </row>
    <row r="46" spans="2:3" s="1394" customFormat="1" x14ac:dyDescent="0.35">
      <c r="B46" s="1414" t="s">
        <v>2166</v>
      </c>
      <c r="C46" s="885">
        <f t="shared" si="0"/>
        <v>0</v>
      </c>
    </row>
    <row r="47" spans="2:3" s="1394" customFormat="1" x14ac:dyDescent="0.35">
      <c r="B47" s="1415" t="s">
        <v>2163</v>
      </c>
      <c r="C47" s="1004">
        <f t="shared" si="0"/>
        <v>437.65603174603183</v>
      </c>
    </row>
    <row r="48" spans="2:3" s="1394" customFormat="1" x14ac:dyDescent="0.35">
      <c r="B48" s="1414" t="s">
        <v>2181</v>
      </c>
      <c r="C48" s="885">
        <f t="shared" si="0"/>
        <v>0</v>
      </c>
    </row>
    <row r="49" spans="2:3" s="1394" customFormat="1" x14ac:dyDescent="0.35">
      <c r="B49" s="1415" t="s">
        <v>2164</v>
      </c>
      <c r="C49" s="1004">
        <f t="shared" si="0"/>
        <v>0</v>
      </c>
    </row>
    <row r="50" spans="2:3" s="1394" customFormat="1" x14ac:dyDescent="0.35">
      <c r="B50" s="1414" t="s">
        <v>2336</v>
      </c>
      <c r="C50" s="885">
        <f t="shared" si="0"/>
        <v>0</v>
      </c>
    </row>
    <row r="51" spans="2:3" s="1394" customFormat="1" x14ac:dyDescent="0.35">
      <c r="B51" s="1415" t="s">
        <v>2165</v>
      </c>
      <c r="C51" s="1004">
        <f t="shared" si="0"/>
        <v>0</v>
      </c>
    </row>
    <row r="52" spans="2:3" s="1394" customFormat="1" x14ac:dyDescent="0.35">
      <c r="B52" s="1414" t="s">
        <v>2167</v>
      </c>
      <c r="C52" s="885">
        <f t="shared" si="0"/>
        <v>0</v>
      </c>
    </row>
    <row r="53" spans="2:3" s="1394" customFormat="1" x14ac:dyDescent="0.35">
      <c r="B53" s="1415" t="s">
        <v>2168</v>
      </c>
      <c r="C53" s="1004">
        <f t="shared" si="0"/>
        <v>0</v>
      </c>
    </row>
    <row r="54" spans="2:3" s="1394" customFormat="1" x14ac:dyDescent="0.35">
      <c r="B54" s="1414" t="s">
        <v>2169</v>
      </c>
      <c r="C54" s="885">
        <f t="shared" si="0"/>
        <v>0</v>
      </c>
    </row>
    <row r="55" spans="2:3" s="1394" customFormat="1" x14ac:dyDescent="0.35">
      <c r="B55" s="1415" t="s">
        <v>2170</v>
      </c>
      <c r="C55" s="1004">
        <f t="shared" si="0"/>
        <v>0</v>
      </c>
    </row>
    <row r="56" spans="2:3" s="1394" customFormat="1" x14ac:dyDescent="0.35">
      <c r="B56" s="1414" t="s">
        <v>2171</v>
      </c>
      <c r="C56" s="885">
        <f t="shared" si="0"/>
        <v>0</v>
      </c>
    </row>
    <row r="57" spans="2:3" s="1394" customFormat="1" x14ac:dyDescent="0.35">
      <c r="B57" s="1415" t="s">
        <v>2172</v>
      </c>
      <c r="C57" s="1004">
        <f t="shared" si="0"/>
        <v>1063.5934178338039</v>
      </c>
    </row>
    <row r="58" spans="2:3" s="1394" customFormat="1" x14ac:dyDescent="0.35">
      <c r="B58" s="1414" t="s">
        <v>2173</v>
      </c>
      <c r="C58" s="885">
        <f t="shared" si="0"/>
        <v>0</v>
      </c>
    </row>
    <row r="59" spans="2:3" s="1394" customFormat="1" x14ac:dyDescent="0.35">
      <c r="B59" s="1415" t="s">
        <v>2174</v>
      </c>
      <c r="C59" s="1004">
        <f t="shared" si="0"/>
        <v>668.20192173913028</v>
      </c>
    </row>
    <row r="60" spans="2:3" s="1394" customFormat="1" x14ac:dyDescent="0.35">
      <c r="B60" s="1414" t="s">
        <v>2175</v>
      </c>
      <c r="C60" s="885">
        <f t="shared" si="0"/>
        <v>706.34243478260839</v>
      </c>
    </row>
    <row r="61" spans="2:3" s="1394" customFormat="1" x14ac:dyDescent="0.35">
      <c r="B61" s="1415" t="s">
        <v>2176</v>
      </c>
      <c r="C61" s="1004">
        <f t="shared" si="0"/>
        <v>635.5676164596274</v>
      </c>
    </row>
    <row r="62" spans="2:3" s="1394" customFormat="1" x14ac:dyDescent="0.35">
      <c r="B62" s="1414" t="s">
        <v>2177</v>
      </c>
      <c r="C62" s="885">
        <f t="shared" si="0"/>
        <v>542.87462888198741</v>
      </c>
    </row>
    <row r="63" spans="2:3" s="1394" customFormat="1" x14ac:dyDescent="0.35">
      <c r="B63" s="1415" t="s">
        <v>2027</v>
      </c>
      <c r="C63" s="1004">
        <f t="shared" si="0"/>
        <v>464.76921739130427</v>
      </c>
    </row>
    <row r="64" spans="2:3" s="1394" customFormat="1" x14ac:dyDescent="0.35">
      <c r="B64" s="1416" t="s">
        <v>536</v>
      </c>
      <c r="C64" s="1417">
        <f t="shared" si="0"/>
        <v>712.71228819875773</v>
      </c>
    </row>
    <row r="65" spans="1:13" s="1394" customFormat="1" x14ac:dyDescent="0.35">
      <c r="B65" s="1408"/>
      <c r="C65" s="1408"/>
    </row>
    <row r="66" spans="1:13" s="1394" customFormat="1" ht="21" hidden="1" x14ac:dyDescent="0.5">
      <c r="A66" s="1395" t="s">
        <v>2064</v>
      </c>
      <c r="B66" s="1408"/>
      <c r="C66" s="1408"/>
    </row>
    <row r="67" spans="1:13" s="1394" customFormat="1" hidden="1" x14ac:dyDescent="0.35"/>
    <row r="68" spans="1:13" s="1394" customFormat="1" ht="29" hidden="1" x14ac:dyDescent="0.35">
      <c r="C68" s="1418" t="s">
        <v>2395</v>
      </c>
      <c r="D68" s="1419" t="s">
        <v>2396</v>
      </c>
      <c r="E68" s="1420" t="s">
        <v>2397</v>
      </c>
    </row>
    <row r="69" spans="1:13" hidden="1" x14ac:dyDescent="0.35">
      <c r="A69" s="1394"/>
      <c r="B69" s="1421" t="s">
        <v>1416</v>
      </c>
      <c r="C69" s="1422">
        <v>0.4</v>
      </c>
      <c r="D69" s="1423">
        <v>0</v>
      </c>
      <c r="E69" s="1424">
        <v>0</v>
      </c>
      <c r="F69" s="1394"/>
      <c r="G69" s="1394"/>
      <c r="H69" s="1394"/>
    </row>
    <row r="70" spans="1:13" hidden="1" x14ac:dyDescent="0.35">
      <c r="A70" s="1394"/>
      <c r="B70" s="1425" t="s">
        <v>2066</v>
      </c>
      <c r="C70" s="1426">
        <v>0.2</v>
      </c>
      <c r="D70" s="1427">
        <v>0</v>
      </c>
      <c r="E70" s="1428">
        <v>0</v>
      </c>
      <c r="F70" s="1394"/>
      <c r="G70" s="1394"/>
      <c r="H70" s="1394"/>
    </row>
    <row r="71" spans="1:13" hidden="1" x14ac:dyDescent="0.35">
      <c r="A71" s="1394"/>
      <c r="B71" s="1429" t="s">
        <v>2067</v>
      </c>
      <c r="C71" s="1430">
        <v>0</v>
      </c>
      <c r="D71" s="1431">
        <v>0.01</v>
      </c>
      <c r="E71" s="1432">
        <v>0.01</v>
      </c>
      <c r="F71" s="1394"/>
      <c r="G71" s="1394"/>
      <c r="H71" s="1394"/>
    </row>
    <row r="72" spans="1:13" s="1394" customFormat="1" x14ac:dyDescent="0.35"/>
    <row r="73" spans="1:13" s="1394" customFormat="1" ht="21" x14ac:dyDescent="0.5">
      <c r="A73" s="1395" t="s">
        <v>1977</v>
      </c>
    </row>
    <row r="74" spans="1:13" s="1394" customFormat="1" x14ac:dyDescent="0.35"/>
    <row r="75" spans="1:13" s="1394" customFormat="1" ht="18" customHeight="1" x14ac:dyDescent="0.35">
      <c r="B75" s="3058" t="s">
        <v>2039</v>
      </c>
      <c r="C75" s="3059"/>
    </row>
    <row r="76" spans="1:13" s="1394" customFormat="1" x14ac:dyDescent="0.35">
      <c r="B76" s="1433" t="s">
        <v>2398</v>
      </c>
      <c r="C76" s="1434" t="s">
        <v>2440</v>
      </c>
    </row>
    <row r="77" spans="1:13" x14ac:dyDescent="0.35">
      <c r="A77" s="1394"/>
      <c r="B77" s="1435" t="s">
        <v>2400</v>
      </c>
      <c r="C77" s="1436">
        <v>0.64400000000000002</v>
      </c>
      <c r="D77" s="1394"/>
      <c r="E77" s="1394"/>
    </row>
    <row r="78" spans="1:13" x14ac:dyDescent="0.35">
      <c r="A78" s="1394"/>
      <c r="B78" s="1437" t="s">
        <v>2401</v>
      </c>
      <c r="C78" s="1438">
        <v>0.64400000000000002</v>
      </c>
      <c r="D78" s="1394"/>
      <c r="E78" s="1394"/>
    </row>
    <row r="79" spans="1:13" s="1394" customFormat="1" x14ac:dyDescent="0.35">
      <c r="J79" s="1195"/>
      <c r="K79" s="1195"/>
      <c r="M79" s="1206"/>
    </row>
    <row r="80" spans="1:13" s="1394" customFormat="1" ht="18.75" customHeight="1" x14ac:dyDescent="0.45">
      <c r="B80" s="675"/>
      <c r="E80" s="3033" t="s">
        <v>3904</v>
      </c>
      <c r="F80" s="3034"/>
      <c r="G80" s="3034"/>
      <c r="H80" s="3034"/>
      <c r="I80" s="3051"/>
    </row>
    <row r="81" spans="1:20" s="1394" customFormat="1" ht="29" x14ac:dyDescent="0.35">
      <c r="B81" s="997" t="s">
        <v>2019</v>
      </c>
      <c r="C81" s="2693" t="s">
        <v>2402</v>
      </c>
      <c r="D81" s="2694" t="s">
        <v>1368</v>
      </c>
      <c r="E81" s="1182" t="s">
        <v>2309</v>
      </c>
      <c r="F81" s="1183" t="s">
        <v>2310</v>
      </c>
      <c r="G81" s="1183" t="s">
        <v>2311</v>
      </c>
      <c r="H81" s="1183" t="s">
        <v>2312</v>
      </c>
      <c r="I81" s="1319" t="s">
        <v>2313</v>
      </c>
      <c r="L81" s="3036" t="s">
        <v>2403</v>
      </c>
      <c r="M81" s="3037"/>
      <c r="N81" s="3037"/>
      <c r="O81" s="3037"/>
      <c r="P81" s="3037"/>
      <c r="Q81" s="3037"/>
      <c r="R81" s="3037"/>
      <c r="S81" s="3037"/>
      <c r="T81" s="3038"/>
    </row>
    <row r="82" spans="1:20" x14ac:dyDescent="0.35">
      <c r="A82" s="1394"/>
      <c r="B82" s="1136" t="s">
        <v>2180</v>
      </c>
      <c r="C82" s="1439">
        <v>2150</v>
      </c>
      <c r="D82" s="1440">
        <v>0.48299999999999998</v>
      </c>
      <c r="E82" s="1186">
        <v>1787</v>
      </c>
      <c r="F82" s="1187">
        <v>1831</v>
      </c>
      <c r="G82" s="1187">
        <v>1635</v>
      </c>
      <c r="H82" s="1187">
        <v>1089</v>
      </c>
      <c r="I82" s="1320">
        <v>1669</v>
      </c>
      <c r="K82" s="1441"/>
      <c r="L82" s="869" t="s">
        <v>1981</v>
      </c>
      <c r="M82" s="870"/>
      <c r="N82" s="870"/>
      <c r="O82" s="870"/>
      <c r="P82" s="870"/>
      <c r="Q82" s="870"/>
      <c r="R82" s="870"/>
      <c r="S82" s="870"/>
      <c r="T82" s="871"/>
    </row>
    <row r="83" spans="1:20" x14ac:dyDescent="0.35">
      <c r="B83" s="1146" t="s">
        <v>2071</v>
      </c>
      <c r="C83" s="1443">
        <v>4373</v>
      </c>
      <c r="D83" s="1444">
        <v>0.52900000000000003</v>
      </c>
      <c r="E83" s="1190">
        <v>1683</v>
      </c>
      <c r="F83" s="1191">
        <v>1646</v>
      </c>
      <c r="G83" s="1191">
        <v>1446</v>
      </c>
      <c r="H83" s="1191">
        <v>1063</v>
      </c>
      <c r="I83" s="1321">
        <v>1277</v>
      </c>
      <c r="K83" s="1441"/>
      <c r="L83" s="873" t="s">
        <v>2404</v>
      </c>
      <c r="M83" s="698"/>
      <c r="N83" s="698"/>
      <c r="O83" s="698"/>
      <c r="P83" s="698"/>
      <c r="Q83" s="698"/>
      <c r="R83" s="698"/>
      <c r="S83" s="698"/>
      <c r="T83" s="874"/>
    </row>
    <row r="84" spans="1:20" x14ac:dyDescent="0.35">
      <c r="B84" s="2683" t="s">
        <v>3906</v>
      </c>
      <c r="C84" s="1443"/>
      <c r="D84" s="1444"/>
      <c r="E84" s="2684">
        <v>2981</v>
      </c>
      <c r="F84" s="2684">
        <v>2950</v>
      </c>
      <c r="G84" s="2684">
        <v>2694</v>
      </c>
      <c r="H84" s="2684">
        <v>2368</v>
      </c>
      <c r="I84" s="2684">
        <v>2437</v>
      </c>
      <c r="K84" s="1441"/>
      <c r="L84" s="873" t="s">
        <v>2405</v>
      </c>
      <c r="M84" s="1193"/>
      <c r="N84" s="1193"/>
      <c r="O84" s="698"/>
      <c r="P84" s="698"/>
      <c r="Q84" s="698"/>
      <c r="R84" s="698"/>
      <c r="S84" s="698"/>
      <c r="T84" s="874"/>
    </row>
    <row r="85" spans="1:20" x14ac:dyDescent="0.35">
      <c r="B85" s="2680" t="s">
        <v>2157</v>
      </c>
      <c r="C85" s="1443">
        <v>1605</v>
      </c>
      <c r="D85" s="1444">
        <v>0.14199999999999999</v>
      </c>
      <c r="E85" s="2681">
        <v>1256</v>
      </c>
      <c r="F85" s="2681">
        <v>1293</v>
      </c>
      <c r="G85" s="2681">
        <v>1138</v>
      </c>
      <c r="H85" s="2681">
        <v>1116</v>
      </c>
      <c r="I85" s="2681">
        <v>1131</v>
      </c>
      <c r="K85" s="1441"/>
      <c r="L85" s="873" t="s">
        <v>2406</v>
      </c>
      <c r="M85" s="1193"/>
      <c r="N85" s="1193"/>
      <c r="O85" s="698"/>
      <c r="P85" s="698"/>
      <c r="Q85" s="698"/>
      <c r="R85" s="698"/>
      <c r="S85" s="698"/>
      <c r="T85" s="874"/>
    </row>
    <row r="86" spans="1:20" x14ac:dyDescent="0.35">
      <c r="B86" s="1146" t="s">
        <v>2158</v>
      </c>
      <c r="C86" s="1443">
        <v>2084</v>
      </c>
      <c r="D86" s="1444">
        <v>0.57099999999999995</v>
      </c>
      <c r="E86" s="1190">
        <v>1481</v>
      </c>
      <c r="F86" s="1191">
        <v>1368</v>
      </c>
      <c r="G86" s="1191">
        <v>1214</v>
      </c>
      <c r="H86" s="1191">
        <v>871</v>
      </c>
      <c r="I86" s="1321">
        <v>973</v>
      </c>
      <c r="K86" s="1441"/>
      <c r="L86" s="1194" t="s">
        <v>2407</v>
      </c>
      <c r="M86" s="1193"/>
      <c r="N86" s="1193"/>
      <c r="O86" s="698"/>
      <c r="P86" s="698"/>
      <c r="Q86" s="698"/>
      <c r="R86" s="698"/>
      <c r="S86" s="698"/>
      <c r="T86" s="874"/>
    </row>
    <row r="87" spans="1:20" x14ac:dyDescent="0.35">
      <c r="B87" s="2683" t="s">
        <v>3907</v>
      </c>
      <c r="C87" s="1446"/>
      <c r="D87" s="1447"/>
      <c r="E87" s="2684">
        <v>2848</v>
      </c>
      <c r="F87" s="2684">
        <v>2947</v>
      </c>
      <c r="G87" s="2684">
        <v>2568</v>
      </c>
      <c r="H87" s="2684">
        <v>2362</v>
      </c>
      <c r="I87" s="2684">
        <v>2516</v>
      </c>
      <c r="K87" s="1441"/>
      <c r="L87" s="1194" t="s">
        <v>2408</v>
      </c>
      <c r="M87" s="1193"/>
      <c r="N87" s="1193"/>
      <c r="O87" s="698"/>
      <c r="P87" s="698"/>
      <c r="Q87" s="698"/>
      <c r="R87" s="698"/>
      <c r="S87" s="698"/>
      <c r="T87" s="874"/>
    </row>
    <row r="88" spans="1:20" x14ac:dyDescent="0.35">
      <c r="B88" s="2680" t="s">
        <v>2028</v>
      </c>
      <c r="C88" s="1446">
        <v>3276</v>
      </c>
      <c r="D88" s="1447">
        <v>0.33300000000000002</v>
      </c>
      <c r="E88" s="2681">
        <v>1614</v>
      </c>
      <c r="F88" s="2681">
        <v>1603</v>
      </c>
      <c r="G88" s="2681">
        <v>1409</v>
      </c>
      <c r="H88" s="2681">
        <v>1209</v>
      </c>
      <c r="I88" s="2681">
        <v>1269</v>
      </c>
      <c r="K88" s="1441"/>
      <c r="L88" s="1194" t="s">
        <v>2409</v>
      </c>
      <c r="M88" s="1193"/>
      <c r="N88" s="1193"/>
      <c r="O88" s="698" t="s">
        <v>2410</v>
      </c>
      <c r="P88" s="698"/>
      <c r="Q88" s="698"/>
      <c r="R88" s="698"/>
      <c r="S88" s="698"/>
      <c r="T88" s="874"/>
    </row>
    <row r="89" spans="1:20" x14ac:dyDescent="0.35">
      <c r="B89" s="1146" t="s">
        <v>2109</v>
      </c>
      <c r="C89" s="1443">
        <v>2102</v>
      </c>
      <c r="D89" s="1444">
        <v>0.61899999999999999</v>
      </c>
      <c r="E89" s="1190">
        <v>985</v>
      </c>
      <c r="F89" s="1191">
        <v>969</v>
      </c>
      <c r="G89" s="1191">
        <v>852</v>
      </c>
      <c r="H89" s="1191">
        <v>680</v>
      </c>
      <c r="I89" s="1321">
        <v>752</v>
      </c>
      <c r="K89" s="1441"/>
      <c r="L89" s="1196" t="s">
        <v>2411</v>
      </c>
      <c r="M89" s="1197"/>
      <c r="N89" s="1197"/>
      <c r="O89" s="1198"/>
      <c r="P89" s="1198"/>
      <c r="Q89" s="1198"/>
      <c r="R89" s="1198"/>
      <c r="S89" s="1197"/>
      <c r="T89" s="1199"/>
    </row>
    <row r="90" spans="1:20" x14ac:dyDescent="0.35">
      <c r="B90" s="2680" t="s">
        <v>2026</v>
      </c>
      <c r="C90" s="1443">
        <v>2096</v>
      </c>
      <c r="D90" s="1444">
        <v>0.47499999999999998</v>
      </c>
      <c r="E90" s="2681">
        <v>1467</v>
      </c>
      <c r="F90" s="2681">
        <v>1551</v>
      </c>
      <c r="G90" s="2681">
        <v>1364</v>
      </c>
      <c r="H90" s="2681">
        <v>1367</v>
      </c>
      <c r="I90" s="2681">
        <v>1375</v>
      </c>
      <c r="K90" s="1441"/>
      <c r="L90" s="869" t="s">
        <v>1990</v>
      </c>
      <c r="M90" s="870"/>
      <c r="N90" s="870"/>
      <c r="O90" s="1203"/>
      <c r="P90" s="1203"/>
      <c r="Q90" s="1203"/>
      <c r="R90" s="1203"/>
      <c r="S90" s="1204"/>
      <c r="T90" s="1205"/>
    </row>
    <row r="91" spans="1:20" x14ac:dyDescent="0.35">
      <c r="B91" s="2680" t="s">
        <v>2075</v>
      </c>
      <c r="C91" s="1443">
        <v>1987</v>
      </c>
      <c r="D91" s="1444">
        <v>0.61899999999999999</v>
      </c>
      <c r="E91" s="2681">
        <v>1446</v>
      </c>
      <c r="F91" s="2681">
        <v>1526</v>
      </c>
      <c r="G91" s="2681">
        <v>1452</v>
      </c>
      <c r="H91" s="2681">
        <v>1553</v>
      </c>
      <c r="I91" s="2681">
        <v>1574</v>
      </c>
      <c r="K91" s="1441"/>
      <c r="L91" s="873" t="s">
        <v>1365</v>
      </c>
      <c r="M91" s="698" t="s">
        <v>1992</v>
      </c>
      <c r="N91" s="698" t="s">
        <v>2320</v>
      </c>
      <c r="O91" s="1206"/>
      <c r="P91" s="1206"/>
      <c r="Q91" s="1206"/>
      <c r="R91" s="1206"/>
      <c r="S91" s="1193"/>
      <c r="T91" s="1207"/>
    </row>
    <row r="92" spans="1:20" x14ac:dyDescent="0.35">
      <c r="B92" s="2680" t="s">
        <v>2029</v>
      </c>
      <c r="C92" s="1443">
        <v>3141</v>
      </c>
      <c r="D92" s="1444">
        <v>0.28799999999999998</v>
      </c>
      <c r="E92" s="2681">
        <v>1807</v>
      </c>
      <c r="F92" s="2681">
        <v>1855</v>
      </c>
      <c r="G92" s="2681">
        <v>1649</v>
      </c>
      <c r="H92" s="2681">
        <v>1591</v>
      </c>
      <c r="I92" s="2681">
        <v>1622</v>
      </c>
      <c r="K92" s="1441"/>
      <c r="L92" s="873" t="s">
        <v>476</v>
      </c>
      <c r="M92" s="698" t="s">
        <v>1992</v>
      </c>
      <c r="N92" s="698" t="s">
        <v>1366</v>
      </c>
      <c r="O92" s="1206"/>
      <c r="P92" s="1206"/>
      <c r="Q92" s="1206"/>
      <c r="R92" s="1206"/>
      <c r="S92" s="1193"/>
      <c r="T92" s="1207"/>
    </row>
    <row r="93" spans="1:20" x14ac:dyDescent="0.35">
      <c r="B93" s="2680" t="s">
        <v>2159</v>
      </c>
      <c r="C93" s="1443">
        <v>8760</v>
      </c>
      <c r="D93" s="1444">
        <v>0.64800000000000002</v>
      </c>
      <c r="E93" s="2681">
        <v>1216</v>
      </c>
      <c r="F93" s="2681">
        <v>1220</v>
      </c>
      <c r="G93" s="2681">
        <v>1072</v>
      </c>
      <c r="H93" s="2681">
        <v>1001</v>
      </c>
      <c r="I93" s="2681">
        <v>1028</v>
      </c>
      <c r="K93" s="1441"/>
      <c r="L93" s="873" t="s">
        <v>440</v>
      </c>
      <c r="M93" s="698" t="s">
        <v>1992</v>
      </c>
      <c r="N93" s="698" t="s">
        <v>2412</v>
      </c>
      <c r="O93" s="1206"/>
      <c r="P93" s="1206"/>
      <c r="Q93" s="1206"/>
      <c r="R93" s="1206"/>
      <c r="S93" s="1193"/>
      <c r="T93" s="1207"/>
    </row>
    <row r="94" spans="1:20" x14ac:dyDescent="0.35">
      <c r="B94" s="2680" t="s">
        <v>2160</v>
      </c>
      <c r="C94" s="1443">
        <v>2881</v>
      </c>
      <c r="D94" s="1444">
        <v>0.61499999999999999</v>
      </c>
      <c r="E94" s="2681">
        <v>1387</v>
      </c>
      <c r="F94" s="2681">
        <v>1398</v>
      </c>
      <c r="G94" s="2681">
        <v>1252</v>
      </c>
      <c r="H94" s="2681">
        <v>1222</v>
      </c>
      <c r="I94" s="2681">
        <v>1269</v>
      </c>
      <c r="K94" s="1441"/>
      <c r="L94" s="1208" t="s">
        <v>2399</v>
      </c>
      <c r="M94" s="1206" t="s">
        <v>1992</v>
      </c>
      <c r="N94" s="1193" t="s">
        <v>2413</v>
      </c>
      <c r="O94" s="1206"/>
      <c r="P94" s="1206"/>
      <c r="Q94" s="1206"/>
      <c r="R94" s="1206"/>
      <c r="S94" s="1193"/>
      <c r="T94" s="1207"/>
    </row>
    <row r="95" spans="1:20" x14ac:dyDescent="0.35">
      <c r="B95" s="2680" t="s">
        <v>2161</v>
      </c>
      <c r="C95" s="1443">
        <v>2788</v>
      </c>
      <c r="D95" s="1444">
        <v>0.57599999999999996</v>
      </c>
      <c r="E95" s="2682">
        <v>665</v>
      </c>
      <c r="F95" s="2682">
        <v>697</v>
      </c>
      <c r="G95" s="2682">
        <v>628</v>
      </c>
      <c r="H95" s="2682">
        <v>646</v>
      </c>
      <c r="I95" s="2682">
        <v>615</v>
      </c>
      <c r="K95" s="1441"/>
      <c r="L95" s="1194" t="s">
        <v>2414</v>
      </c>
      <c r="M95" s="1193" t="s">
        <v>2112</v>
      </c>
      <c r="N95" s="1206" t="s">
        <v>2415</v>
      </c>
      <c r="O95" s="1206"/>
      <c r="P95" s="1206"/>
      <c r="Q95" s="1206"/>
      <c r="R95" s="1206"/>
      <c r="S95" s="1193"/>
      <c r="T95" s="1207"/>
    </row>
    <row r="96" spans="1:20" x14ac:dyDescent="0.35">
      <c r="B96" s="2680" t="s">
        <v>2162</v>
      </c>
      <c r="C96" s="1443">
        <v>8729</v>
      </c>
      <c r="D96" s="1444">
        <v>0.60899999999999999</v>
      </c>
      <c r="E96" s="2681">
        <v>1622</v>
      </c>
      <c r="F96" s="2681">
        <v>1571</v>
      </c>
      <c r="G96" s="2681">
        <v>1374</v>
      </c>
      <c r="H96" s="2681">
        <v>1220</v>
      </c>
      <c r="I96" s="2681">
        <v>1281</v>
      </c>
      <c r="K96" s="1441"/>
      <c r="L96" s="933" t="s">
        <v>2334</v>
      </c>
      <c r="M96" s="934" t="s">
        <v>2112</v>
      </c>
      <c r="N96" s="934" t="s">
        <v>2416</v>
      </c>
      <c r="O96" s="1198"/>
      <c r="P96" s="1198"/>
      <c r="Q96" s="1198"/>
      <c r="R96" s="1198"/>
      <c r="S96" s="1197"/>
      <c r="T96" s="1199"/>
    </row>
    <row r="97" spans="2:23" x14ac:dyDescent="0.35">
      <c r="B97" s="2680" t="s">
        <v>2325</v>
      </c>
      <c r="C97" s="1448">
        <v>8712</v>
      </c>
      <c r="D97" s="1449">
        <v>0.629</v>
      </c>
      <c r="E97" s="2681">
        <v>1597</v>
      </c>
      <c r="F97" s="2681">
        <v>1634</v>
      </c>
      <c r="G97" s="2681">
        <v>1468</v>
      </c>
      <c r="H97" s="2681">
        <v>1376</v>
      </c>
      <c r="I97" s="2681">
        <v>1451</v>
      </c>
      <c r="K97" s="1441"/>
      <c r="L97" s="1204"/>
      <c r="M97" s="1204"/>
      <c r="N97" s="1204"/>
      <c r="O97" s="870"/>
      <c r="P97" s="870"/>
      <c r="Q97" s="870"/>
      <c r="R97" s="870"/>
      <c r="S97" s="870"/>
      <c r="T97" s="870"/>
    </row>
    <row r="98" spans="2:23" x14ac:dyDescent="0.35">
      <c r="B98" s="2680" t="s">
        <v>2073</v>
      </c>
      <c r="C98" s="1443">
        <v>8712</v>
      </c>
      <c r="D98" s="1444">
        <v>0.64600000000000002</v>
      </c>
      <c r="E98" s="2681">
        <v>1670</v>
      </c>
      <c r="F98" s="2681">
        <v>1733</v>
      </c>
      <c r="G98" s="2681">
        <v>1549</v>
      </c>
      <c r="H98" s="2681">
        <v>1496</v>
      </c>
      <c r="I98" s="2681">
        <v>1557</v>
      </c>
      <c r="K98" s="1441"/>
    </row>
    <row r="99" spans="2:23" x14ac:dyDescent="0.35">
      <c r="B99" s="2680" t="s">
        <v>2166</v>
      </c>
      <c r="C99" s="1443">
        <v>4479</v>
      </c>
      <c r="D99" s="1444">
        <v>0.629</v>
      </c>
      <c r="E99" s="2681">
        <v>1555</v>
      </c>
      <c r="F99" s="2681">
        <v>1597</v>
      </c>
      <c r="G99" s="2681">
        <v>1433</v>
      </c>
      <c r="H99" s="2681">
        <v>1316</v>
      </c>
      <c r="I99" s="2681">
        <v>1400</v>
      </c>
      <c r="K99" s="1441"/>
      <c r="L99" s="1193"/>
      <c r="M99" s="1193"/>
      <c r="N99" s="1193"/>
      <c r="O99" s="698"/>
      <c r="P99" s="698"/>
      <c r="Q99" s="698"/>
      <c r="R99" s="698"/>
      <c r="S99" s="698"/>
      <c r="T99" s="698"/>
    </row>
    <row r="100" spans="2:23" x14ac:dyDescent="0.35">
      <c r="B100" s="1144" t="s">
        <v>2163</v>
      </c>
      <c r="C100" s="1443">
        <v>2805</v>
      </c>
      <c r="D100" s="1444">
        <v>0.433</v>
      </c>
      <c r="E100" s="1200">
        <v>1048</v>
      </c>
      <c r="F100" s="1201">
        <v>1013</v>
      </c>
      <c r="G100" s="1201">
        <v>939</v>
      </c>
      <c r="H100" s="1201">
        <v>567</v>
      </c>
      <c r="I100" s="1322">
        <v>634</v>
      </c>
      <c r="K100" s="1441"/>
      <c r="L100" s="1193"/>
      <c r="M100" s="1193"/>
      <c r="N100" s="1193"/>
      <c r="O100" s="698"/>
      <c r="P100" s="698"/>
      <c r="Q100" s="698"/>
      <c r="R100" s="698"/>
      <c r="S100" s="698"/>
      <c r="T100" s="698"/>
    </row>
    <row r="101" spans="2:23" x14ac:dyDescent="0.35">
      <c r="B101" s="2683" t="s">
        <v>2181</v>
      </c>
      <c r="C101" s="1443">
        <v>4237</v>
      </c>
      <c r="D101" s="1449">
        <v>0.437</v>
      </c>
      <c r="E101" s="2684">
        <v>1565</v>
      </c>
      <c r="F101" s="2684">
        <v>1540</v>
      </c>
      <c r="G101" s="2684">
        <v>1448</v>
      </c>
      <c r="H101" s="2684">
        <v>1089</v>
      </c>
      <c r="I101" s="2684">
        <v>1125</v>
      </c>
      <c r="K101" s="1441"/>
    </row>
    <row r="102" spans="2:23" x14ac:dyDescent="0.35">
      <c r="B102" s="2683" t="s">
        <v>2164</v>
      </c>
      <c r="C102" s="1448">
        <v>4237</v>
      </c>
      <c r="D102" s="1444">
        <v>0.437</v>
      </c>
      <c r="E102" s="2685">
        <v>537</v>
      </c>
      <c r="F102" s="2685">
        <v>558</v>
      </c>
      <c r="G102" s="2685">
        <v>501</v>
      </c>
      <c r="H102" s="2685">
        <v>480</v>
      </c>
      <c r="I102" s="2685">
        <v>499</v>
      </c>
      <c r="K102" s="1441"/>
      <c r="L102" s="1193"/>
      <c r="M102" s="1193"/>
      <c r="N102" s="1193"/>
      <c r="O102" s="698"/>
      <c r="P102" s="698"/>
      <c r="Q102" s="698"/>
      <c r="R102" s="698"/>
      <c r="S102" s="698"/>
      <c r="T102" s="698"/>
    </row>
    <row r="103" spans="2:23" x14ac:dyDescent="0.35">
      <c r="B103" s="2683" t="s">
        <v>2336</v>
      </c>
      <c r="C103" s="1448">
        <v>4237</v>
      </c>
      <c r="D103" s="1449">
        <v>0.43</v>
      </c>
      <c r="E103" s="2684">
        <v>1665</v>
      </c>
      <c r="F103" s="2684">
        <v>1666</v>
      </c>
      <c r="G103" s="2684">
        <v>1512</v>
      </c>
      <c r="H103" s="2684">
        <v>1145</v>
      </c>
      <c r="I103" s="2684">
        <v>1207</v>
      </c>
      <c r="K103" s="1441"/>
      <c r="L103" s="1193"/>
      <c r="M103" s="1193"/>
      <c r="N103" s="1193"/>
      <c r="O103" s="698"/>
      <c r="P103" s="698"/>
      <c r="Q103" s="698"/>
      <c r="R103" s="698"/>
      <c r="S103" s="698"/>
      <c r="T103" s="698"/>
    </row>
    <row r="104" spans="2:23" x14ac:dyDescent="0.35">
      <c r="B104" s="2683" t="s">
        <v>2165</v>
      </c>
      <c r="C104" s="1443">
        <v>2899</v>
      </c>
      <c r="D104" s="1444">
        <v>0.24299999999999999</v>
      </c>
      <c r="E104" s="2684">
        <v>1730</v>
      </c>
      <c r="F104" s="2684">
        <v>1782</v>
      </c>
      <c r="G104" s="2684">
        <v>1589</v>
      </c>
      <c r="H104" s="2684">
        <v>1538</v>
      </c>
      <c r="I104" s="2684">
        <v>1560</v>
      </c>
      <c r="K104" s="1441"/>
      <c r="L104" s="1193"/>
      <c r="M104" s="1193"/>
      <c r="N104" s="1193"/>
      <c r="O104" s="698"/>
      <c r="P104" s="698"/>
      <c r="Q104" s="698"/>
      <c r="R104" s="698"/>
      <c r="S104" s="698"/>
      <c r="T104" s="698"/>
    </row>
    <row r="105" spans="2:23" x14ac:dyDescent="0.35">
      <c r="B105" s="1146" t="s">
        <v>2167</v>
      </c>
      <c r="C105" s="1443">
        <v>2120</v>
      </c>
      <c r="D105" s="1444">
        <v>0.41899999999999998</v>
      </c>
      <c r="E105" s="1200">
        <v>1916</v>
      </c>
      <c r="F105" s="1201">
        <v>1905</v>
      </c>
      <c r="G105" s="1201">
        <v>1718</v>
      </c>
      <c r="H105" s="1201">
        <v>1288</v>
      </c>
      <c r="I105" s="1322">
        <v>1538</v>
      </c>
      <c r="K105" s="1441"/>
      <c r="L105" s="1193"/>
      <c r="M105" s="1193"/>
      <c r="N105" s="1450" t="s">
        <v>2417</v>
      </c>
      <c r="O105" s="1451"/>
      <c r="P105" s="698"/>
      <c r="Q105" s="1452" t="s">
        <v>2418</v>
      </c>
      <c r="R105" s="1451"/>
      <c r="S105" s="698"/>
      <c r="T105" s="698"/>
    </row>
    <row r="106" spans="2:23" x14ac:dyDescent="0.35">
      <c r="B106" s="2683" t="s">
        <v>2168</v>
      </c>
      <c r="C106" s="1443">
        <v>5682</v>
      </c>
      <c r="D106" s="1444">
        <v>0.503</v>
      </c>
      <c r="E106" s="2685">
        <v>995</v>
      </c>
      <c r="F106" s="2684">
        <v>1036</v>
      </c>
      <c r="G106" s="2685">
        <v>933</v>
      </c>
      <c r="H106" s="2685">
        <v>786</v>
      </c>
      <c r="I106" s="2685">
        <v>832</v>
      </c>
      <c r="K106" s="1441"/>
      <c r="L106" s="1193"/>
      <c r="M106" s="1193"/>
      <c r="N106" s="1453"/>
      <c r="O106" s="1454"/>
      <c r="P106" s="698"/>
      <c r="Q106" s="1455"/>
      <c r="R106" s="1454"/>
      <c r="S106" s="698"/>
      <c r="T106" s="698"/>
      <c r="U106" s="698"/>
      <c r="V106" s="698"/>
      <c r="W106" s="698"/>
    </row>
    <row r="107" spans="2:23" x14ac:dyDescent="0.35">
      <c r="B107" s="2683" t="s">
        <v>2169</v>
      </c>
      <c r="C107" s="1443">
        <v>4849</v>
      </c>
      <c r="D107" s="1444">
        <v>0.48299999999999998</v>
      </c>
      <c r="E107" s="2684">
        <v>2244</v>
      </c>
      <c r="F107" s="2684">
        <v>2237</v>
      </c>
      <c r="G107" s="2684">
        <v>2024</v>
      </c>
      <c r="H107" s="2684">
        <v>1553</v>
      </c>
      <c r="I107" s="2684">
        <v>1608</v>
      </c>
      <c r="K107" s="1441"/>
      <c r="L107" s="1193"/>
      <c r="M107" s="1193"/>
      <c r="N107" s="1453" t="s">
        <v>2019</v>
      </c>
      <c r="O107" s="1454" t="s">
        <v>2419</v>
      </c>
      <c r="P107" s="698"/>
      <c r="Q107" s="1453" t="s">
        <v>2019</v>
      </c>
      <c r="R107" s="1454" t="s">
        <v>2419</v>
      </c>
      <c r="S107" s="698"/>
      <c r="T107" s="698"/>
      <c r="U107" s="698"/>
      <c r="V107" s="698"/>
      <c r="W107" s="698"/>
    </row>
    <row r="108" spans="2:23" x14ac:dyDescent="0.35">
      <c r="B108" s="2683" t="s">
        <v>2170</v>
      </c>
      <c r="C108" s="1443">
        <v>2038</v>
      </c>
      <c r="D108" s="1444">
        <v>0.432</v>
      </c>
      <c r="E108" s="2684">
        <v>1552</v>
      </c>
      <c r="F108" s="2684">
        <v>1432</v>
      </c>
      <c r="G108" s="2684">
        <v>1239</v>
      </c>
      <c r="H108" s="2684">
        <v>1077</v>
      </c>
      <c r="I108" s="2684">
        <v>1098</v>
      </c>
      <c r="K108" s="1441"/>
      <c r="N108" s="1453" t="s">
        <v>2180</v>
      </c>
      <c r="O108" s="1456">
        <v>2150</v>
      </c>
      <c r="P108" s="698"/>
      <c r="Q108" s="1455" t="s">
        <v>2180</v>
      </c>
      <c r="R108" s="1454">
        <v>0.48299999999999998</v>
      </c>
      <c r="S108" s="698"/>
      <c r="T108" s="698"/>
      <c r="U108" s="698"/>
      <c r="V108" s="698"/>
      <c r="W108" s="698"/>
    </row>
    <row r="109" spans="2:23" x14ac:dyDescent="0.35">
      <c r="B109" s="2683" t="s">
        <v>2171</v>
      </c>
      <c r="C109" s="1443">
        <v>3069</v>
      </c>
      <c r="D109" s="1444">
        <v>0.46200000000000002</v>
      </c>
      <c r="E109" s="2684">
        <v>1015</v>
      </c>
      <c r="F109" s="2685">
        <v>993</v>
      </c>
      <c r="G109" s="2685">
        <v>899</v>
      </c>
      <c r="H109" s="2685">
        <v>773</v>
      </c>
      <c r="I109" s="2685">
        <v>809</v>
      </c>
      <c r="K109" s="1441"/>
      <c r="N109" s="1453" t="s">
        <v>2071</v>
      </c>
      <c r="O109" s="1456">
        <v>4373</v>
      </c>
      <c r="P109" s="698"/>
      <c r="Q109" s="1453" t="s">
        <v>2071</v>
      </c>
      <c r="R109" s="1456">
        <v>0.52900000000000003</v>
      </c>
      <c r="S109" s="698"/>
      <c r="T109" s="698"/>
      <c r="U109" s="698"/>
      <c r="V109" s="698"/>
      <c r="W109" s="698"/>
    </row>
    <row r="110" spans="2:23" x14ac:dyDescent="0.35">
      <c r="B110" s="2683" t="s">
        <v>2172</v>
      </c>
      <c r="C110" s="1457">
        <v>2481</v>
      </c>
      <c r="D110" s="1458">
        <v>0.47399999999999998</v>
      </c>
      <c r="E110" s="2684">
        <v>2825</v>
      </c>
      <c r="F110" s="2684">
        <v>2625</v>
      </c>
      <c r="G110" s="2684">
        <v>2365</v>
      </c>
      <c r="H110" s="2684">
        <v>2007</v>
      </c>
      <c r="I110" s="2684">
        <v>2040</v>
      </c>
      <c r="K110" s="1441"/>
      <c r="N110" s="1453" t="s">
        <v>2157</v>
      </c>
      <c r="O110" s="1456">
        <v>1605</v>
      </c>
      <c r="P110" s="698"/>
      <c r="Q110" s="1453" t="s">
        <v>2157</v>
      </c>
      <c r="R110" s="1456">
        <v>0.14199999999999999</v>
      </c>
      <c r="S110" s="698"/>
      <c r="T110" s="698"/>
      <c r="U110" s="698"/>
      <c r="V110" s="698"/>
      <c r="W110" s="698"/>
    </row>
    <row r="111" spans="2:23" x14ac:dyDescent="0.35">
      <c r="B111" s="2683" t="s">
        <v>2173</v>
      </c>
      <c r="C111" s="1443">
        <v>1881</v>
      </c>
      <c r="D111" s="1444">
        <v>0.42799999999999999</v>
      </c>
      <c r="E111" s="2684">
        <v>1672</v>
      </c>
      <c r="F111" s="2684">
        <v>1629</v>
      </c>
      <c r="G111" s="2684">
        <v>1454</v>
      </c>
      <c r="H111" s="2684">
        <v>1356</v>
      </c>
      <c r="I111" s="2684">
        <v>1399</v>
      </c>
      <c r="K111" s="1441"/>
      <c r="N111" s="1453" t="s">
        <v>2158</v>
      </c>
      <c r="O111" s="1456">
        <v>2084</v>
      </c>
      <c r="P111" s="698"/>
      <c r="Q111" s="1453" t="s">
        <v>2158</v>
      </c>
      <c r="R111" s="1456">
        <v>0.57099999999999995</v>
      </c>
      <c r="S111" s="698"/>
      <c r="T111" s="698"/>
      <c r="U111" s="698"/>
      <c r="V111" s="698"/>
      <c r="W111" s="698"/>
    </row>
    <row r="112" spans="2:23" x14ac:dyDescent="0.35">
      <c r="B112" s="2683" t="s">
        <v>3908</v>
      </c>
      <c r="C112" s="1443"/>
      <c r="D112" s="1444"/>
      <c r="E112" s="2684">
        <v>2757</v>
      </c>
      <c r="F112" s="2684">
        <v>2670</v>
      </c>
      <c r="G112" s="2684">
        <v>2383</v>
      </c>
      <c r="H112" s="2684">
        <v>2149</v>
      </c>
      <c r="I112" s="2684">
        <v>2186</v>
      </c>
      <c r="K112" s="1441"/>
      <c r="N112" s="1453" t="s">
        <v>2028</v>
      </c>
      <c r="O112" s="1456">
        <v>3276</v>
      </c>
      <c r="P112" s="698"/>
      <c r="Q112" s="1453" t="s">
        <v>2028</v>
      </c>
      <c r="R112" s="1456">
        <v>0.33300000000000002</v>
      </c>
      <c r="S112" s="2686"/>
      <c r="T112" s="2686"/>
      <c r="U112" s="2686"/>
      <c r="V112" s="2686"/>
      <c r="W112" s="2686"/>
    </row>
    <row r="113" spans="1:23" x14ac:dyDescent="0.35">
      <c r="B113" s="1144" t="s">
        <v>2174</v>
      </c>
      <c r="C113" s="1443">
        <v>2830</v>
      </c>
      <c r="D113" s="1444">
        <v>0.433</v>
      </c>
      <c r="E113" s="1200">
        <v>1603</v>
      </c>
      <c r="F113" s="1201">
        <v>1504</v>
      </c>
      <c r="G113" s="1201">
        <v>1440</v>
      </c>
      <c r="H113" s="1201">
        <v>1054</v>
      </c>
      <c r="I113" s="1322">
        <v>1205</v>
      </c>
      <c r="K113" s="1441"/>
      <c r="N113" s="1453" t="s">
        <v>2109</v>
      </c>
      <c r="O113" s="1456">
        <v>2102</v>
      </c>
      <c r="P113" s="698"/>
      <c r="Q113" s="1453" t="s">
        <v>2109</v>
      </c>
      <c r="R113" s="1456">
        <v>0.61899999999999999</v>
      </c>
      <c r="S113" s="698"/>
      <c r="T113" s="698"/>
      <c r="U113" s="698"/>
      <c r="V113" s="698"/>
      <c r="W113" s="698"/>
    </row>
    <row r="114" spans="1:23" x14ac:dyDescent="0.35">
      <c r="B114" s="2683" t="s">
        <v>2175</v>
      </c>
      <c r="C114" s="1446">
        <v>3350</v>
      </c>
      <c r="D114" s="1447">
        <v>0.48799999999999999</v>
      </c>
      <c r="E114" s="2684">
        <v>1326</v>
      </c>
      <c r="F114" s="2684">
        <v>1328</v>
      </c>
      <c r="G114" s="2684">
        <v>1179</v>
      </c>
      <c r="H114" s="2684">
        <v>1091</v>
      </c>
      <c r="I114" s="2684">
        <v>1122</v>
      </c>
      <c r="K114" s="1441"/>
      <c r="N114" s="1453" t="s">
        <v>2026</v>
      </c>
      <c r="O114" s="1456">
        <v>2096</v>
      </c>
      <c r="P114" s="698"/>
      <c r="Q114" s="1453" t="s">
        <v>2026</v>
      </c>
      <c r="R114" s="1456">
        <v>0.47499999999999998</v>
      </c>
      <c r="S114" s="698"/>
      <c r="T114" s="698"/>
      <c r="U114" s="698"/>
      <c r="V114" s="698"/>
      <c r="W114" s="698"/>
    </row>
    <row r="115" spans="1:23" x14ac:dyDescent="0.35">
      <c r="B115" s="2683" t="s">
        <v>2176</v>
      </c>
      <c r="C115" s="1443">
        <v>2528</v>
      </c>
      <c r="D115" s="1444">
        <v>0.505</v>
      </c>
      <c r="E115" s="2684">
        <v>1365</v>
      </c>
      <c r="F115" s="2684">
        <v>1322</v>
      </c>
      <c r="G115" s="2684">
        <v>1193</v>
      </c>
      <c r="H115" s="2684">
        <v>1034</v>
      </c>
      <c r="I115" s="2684">
        <v>1088</v>
      </c>
      <c r="K115" s="1441"/>
      <c r="N115" s="1453" t="s">
        <v>2075</v>
      </c>
      <c r="O115" s="1456">
        <v>1987</v>
      </c>
      <c r="P115" s="698"/>
      <c r="Q115" s="1453" t="s">
        <v>2075</v>
      </c>
      <c r="R115" s="1456">
        <v>0.61899999999999999</v>
      </c>
      <c r="S115" s="698"/>
      <c r="T115" s="698"/>
      <c r="U115" s="698"/>
      <c r="V115" s="698"/>
      <c r="W115" s="698"/>
    </row>
    <row r="116" spans="1:23" x14ac:dyDescent="0.35">
      <c r="B116" s="2683" t="s">
        <v>2177</v>
      </c>
      <c r="C116" s="1443">
        <v>2266</v>
      </c>
      <c r="D116" s="1444">
        <v>0.52800000000000002</v>
      </c>
      <c r="E116" s="2684">
        <v>1347</v>
      </c>
      <c r="F116" s="2684">
        <v>1325</v>
      </c>
      <c r="G116" s="2684">
        <v>1183</v>
      </c>
      <c r="H116" s="2684">
        <v>1064</v>
      </c>
      <c r="I116" s="2684">
        <v>1096</v>
      </c>
      <c r="K116" s="1441"/>
      <c r="N116" s="1459" t="s">
        <v>2029</v>
      </c>
      <c r="O116" s="1460">
        <v>3141</v>
      </c>
      <c r="P116" s="698"/>
      <c r="Q116" s="1453" t="s">
        <v>2029</v>
      </c>
      <c r="R116" s="1456">
        <v>0.28799999999999998</v>
      </c>
      <c r="S116" s="698"/>
      <c r="T116" s="698"/>
      <c r="U116" s="698"/>
      <c r="V116" s="698"/>
      <c r="W116" s="698"/>
    </row>
    <row r="117" spans="1:23" x14ac:dyDescent="0.35">
      <c r="B117" s="2683" t="s">
        <v>2027</v>
      </c>
      <c r="C117" s="1443">
        <v>770</v>
      </c>
      <c r="D117" s="1444">
        <v>0.22500000000000001</v>
      </c>
      <c r="E117" s="2684">
        <v>1285</v>
      </c>
      <c r="F117" s="2684">
        <v>1286</v>
      </c>
      <c r="G117" s="2684">
        <v>1180</v>
      </c>
      <c r="H117" s="2684">
        <v>1147</v>
      </c>
      <c r="I117" s="2684">
        <v>1224</v>
      </c>
      <c r="K117" s="1441"/>
      <c r="L117" s="1394"/>
      <c r="N117" s="1459" t="s">
        <v>2161</v>
      </c>
      <c r="O117" s="1460">
        <v>2788</v>
      </c>
      <c r="P117" s="698"/>
      <c r="Q117" s="1459" t="s">
        <v>2161</v>
      </c>
      <c r="R117" s="1460">
        <v>0.57599999999999996</v>
      </c>
      <c r="S117" s="698"/>
      <c r="T117" s="698"/>
      <c r="U117" s="698"/>
      <c r="V117" s="698"/>
      <c r="W117" s="698"/>
    </row>
    <row r="118" spans="1:23" x14ac:dyDescent="0.35">
      <c r="B118" s="2683" t="s">
        <v>536</v>
      </c>
      <c r="C118" s="1461">
        <v>2718</v>
      </c>
      <c r="D118" s="1462">
        <v>0.42399999999999999</v>
      </c>
      <c r="E118" s="2684">
        <v>1709</v>
      </c>
      <c r="F118" s="2684">
        <v>1678</v>
      </c>
      <c r="G118" s="2684">
        <v>1508</v>
      </c>
      <c r="H118" s="2684">
        <v>1287</v>
      </c>
      <c r="I118" s="2684">
        <v>1411</v>
      </c>
      <c r="K118" s="1441"/>
      <c r="L118" s="1394"/>
      <c r="N118" s="1459" t="s">
        <v>2160</v>
      </c>
      <c r="O118" s="1460">
        <v>2881</v>
      </c>
      <c r="P118" s="698"/>
      <c r="Q118" s="1459" t="s">
        <v>2160</v>
      </c>
      <c r="R118" s="1460">
        <v>0.61499999999999999</v>
      </c>
      <c r="S118" s="698"/>
      <c r="T118" s="698"/>
      <c r="U118" s="698"/>
      <c r="V118" s="698"/>
      <c r="W118" s="698"/>
    </row>
    <row r="119" spans="1:23" s="1394" customFormat="1" x14ac:dyDescent="0.35">
      <c r="A119" s="1195"/>
      <c r="C119" s="1463" t="s">
        <v>2420</v>
      </c>
      <c r="M119" s="1195"/>
      <c r="N119" s="1455" t="s">
        <v>2159</v>
      </c>
      <c r="O119" s="1454">
        <v>8760</v>
      </c>
      <c r="P119" s="698"/>
      <c r="Q119" s="1459" t="s">
        <v>2159</v>
      </c>
      <c r="R119" s="1460">
        <v>0.64800000000000002</v>
      </c>
      <c r="S119" s="698"/>
      <c r="T119" s="698"/>
      <c r="U119" s="698"/>
      <c r="V119" s="698"/>
      <c r="W119" s="698"/>
    </row>
    <row r="120" spans="1:23" s="675" customFormat="1" x14ac:dyDescent="0.35">
      <c r="M120" s="1195"/>
      <c r="N120" s="1455"/>
      <c r="O120" s="1454"/>
      <c r="P120" s="698"/>
      <c r="Q120" s="1459"/>
      <c r="R120" s="1460"/>
      <c r="S120" s="698"/>
      <c r="T120" s="698"/>
      <c r="U120" s="698"/>
      <c r="V120" s="698"/>
      <c r="W120" s="698"/>
    </row>
    <row r="121" spans="1:23" s="675" customFormat="1" ht="29" x14ac:dyDescent="0.35">
      <c r="B121" s="1563" t="s">
        <v>2384</v>
      </c>
      <c r="C121" s="1564" t="s">
        <v>2441</v>
      </c>
      <c r="D121" s="931" t="s">
        <v>2442</v>
      </c>
      <c r="E121" s="932" t="s">
        <v>2421</v>
      </c>
      <c r="M121" s="1195"/>
      <c r="N121" s="1455"/>
      <c r="O121" s="1454"/>
      <c r="P121" s="698"/>
      <c r="Q121" s="1459"/>
      <c r="R121" s="1460"/>
      <c r="S121" s="698"/>
      <c r="T121" s="698"/>
      <c r="U121" s="698"/>
      <c r="V121" s="698"/>
      <c r="W121" s="698"/>
    </row>
    <row r="122" spans="1:23" s="675" customFormat="1" x14ac:dyDescent="0.35">
      <c r="B122" s="1565">
        <v>0.94</v>
      </c>
      <c r="C122" s="1566">
        <v>3286</v>
      </c>
      <c r="D122" s="1567">
        <f>2876/(1.075^5.5)</f>
        <v>1932.1566246635184</v>
      </c>
      <c r="E122" s="1568">
        <f>C122-D122</f>
        <v>1353.8433753364816</v>
      </c>
      <c r="F122" s="675" t="s">
        <v>2443</v>
      </c>
      <c r="M122" s="1195"/>
      <c r="N122" s="1455"/>
      <c r="O122" s="1454"/>
      <c r="P122" s="698"/>
      <c r="Q122" s="1459"/>
      <c r="R122" s="1460"/>
      <c r="S122" s="698"/>
      <c r="T122" s="698"/>
      <c r="U122" s="698"/>
      <c r="V122" s="698"/>
      <c r="W122" s="698"/>
    </row>
    <row r="123" spans="1:23" s="675" customFormat="1" x14ac:dyDescent="0.35">
      <c r="B123" s="1468">
        <v>0.95</v>
      </c>
      <c r="C123" s="1566">
        <v>3522</v>
      </c>
      <c r="D123" s="1567">
        <f>2876/(1.075^5.5)</f>
        <v>1932.1566246635184</v>
      </c>
      <c r="E123" s="1569">
        <f>C123-D123</f>
        <v>1589.8433753364816</v>
      </c>
      <c r="M123" s="1195"/>
      <c r="N123" s="1455"/>
      <c r="O123" s="1454"/>
      <c r="P123" s="698"/>
      <c r="Q123" s="1459"/>
      <c r="R123" s="1460"/>
      <c r="S123" s="698"/>
      <c r="T123" s="698"/>
      <c r="U123" s="698"/>
      <c r="V123" s="698"/>
      <c r="W123" s="698"/>
    </row>
    <row r="124" spans="1:23" s="675" customFormat="1" x14ac:dyDescent="0.35">
      <c r="B124" s="1470">
        <v>0.96</v>
      </c>
      <c r="C124" s="1570">
        <v>3758</v>
      </c>
      <c r="D124" s="1571">
        <f>2876/(1.075^5.5)</f>
        <v>1932.1566246635184</v>
      </c>
      <c r="E124" s="1572">
        <f>C124-D124</f>
        <v>1825.8433753364816</v>
      </c>
      <c r="M124" s="1195"/>
      <c r="N124" s="1455"/>
      <c r="O124" s="1454"/>
      <c r="P124" s="698"/>
      <c r="Q124" s="1459"/>
      <c r="R124" s="1460"/>
      <c r="S124" s="698"/>
      <c r="T124" s="698"/>
      <c r="U124" s="698"/>
      <c r="V124" s="698"/>
      <c r="W124" s="698"/>
    </row>
    <row r="125" spans="1:23" s="675" customFormat="1" x14ac:dyDescent="0.35">
      <c r="B125" s="1082"/>
      <c r="M125" s="1195"/>
      <c r="N125" s="1459" t="s">
        <v>2162</v>
      </c>
      <c r="O125" s="1460">
        <v>8729</v>
      </c>
      <c r="P125" s="698"/>
      <c r="Q125" s="1455" t="s">
        <v>2162</v>
      </c>
      <c r="R125" s="1454">
        <v>0.60899999999999999</v>
      </c>
      <c r="S125" s="698"/>
      <c r="T125" s="698"/>
      <c r="U125" s="698"/>
      <c r="V125" s="698"/>
      <c r="W125" s="698"/>
    </row>
    <row r="126" spans="1:23" s="1394" customFormat="1" ht="21" x14ac:dyDescent="0.5">
      <c r="A126" s="1395" t="s">
        <v>2012</v>
      </c>
      <c r="M126" s="1195"/>
      <c r="N126" s="1459" t="s">
        <v>2163</v>
      </c>
      <c r="O126" s="1460">
        <v>2805</v>
      </c>
      <c r="P126" s="698"/>
      <c r="Q126" s="1459" t="s">
        <v>2163</v>
      </c>
      <c r="R126" s="1460">
        <v>0.433</v>
      </c>
      <c r="S126" s="698"/>
      <c r="T126" s="698"/>
      <c r="U126" s="698"/>
      <c r="V126" s="698"/>
      <c r="W126" s="698"/>
    </row>
    <row r="127" spans="1:23" s="1394" customFormat="1" ht="21" x14ac:dyDescent="0.5">
      <c r="A127" s="1395"/>
      <c r="B127" s="1206"/>
      <c r="C127" s="1472"/>
      <c r="M127" s="1195"/>
      <c r="N127" s="1459" t="s">
        <v>2181</v>
      </c>
      <c r="O127" s="1460">
        <v>4237</v>
      </c>
      <c r="P127" s="698"/>
      <c r="Q127" s="1459" t="s">
        <v>2164</v>
      </c>
      <c r="R127" s="1460">
        <v>0.437</v>
      </c>
      <c r="S127" s="698"/>
      <c r="T127" s="698"/>
      <c r="U127" s="698"/>
      <c r="V127" s="698"/>
      <c r="W127" s="698"/>
    </row>
    <row r="128" spans="1:23" s="1394" customFormat="1" x14ac:dyDescent="0.35">
      <c r="D128" s="3060"/>
      <c r="E128" s="3060"/>
      <c r="K128" s="1206"/>
      <c r="M128" s="1195"/>
      <c r="N128" s="1459" t="s">
        <v>2165</v>
      </c>
      <c r="O128" s="1460">
        <v>2899</v>
      </c>
      <c r="P128" s="698"/>
      <c r="Q128" s="1459" t="s">
        <v>2165</v>
      </c>
      <c r="R128" s="1460">
        <v>0.24299999999999999</v>
      </c>
      <c r="S128" s="698"/>
      <c r="T128" s="698"/>
      <c r="U128" s="698"/>
      <c r="V128" s="698"/>
      <c r="W128" s="698"/>
    </row>
    <row r="129" spans="1:23" s="1394" customFormat="1" x14ac:dyDescent="0.35">
      <c r="B129" s="1473" t="s">
        <v>2422</v>
      </c>
      <c r="C129" s="1474" t="s">
        <v>2184</v>
      </c>
      <c r="D129" s="1475"/>
      <c r="E129" s="1476"/>
      <c r="F129" s="1476"/>
      <c r="G129" s="1476"/>
      <c r="H129" s="1476"/>
      <c r="I129" s="1476"/>
      <c r="J129" s="1476"/>
      <c r="K129" s="1476"/>
      <c r="L129" s="1476"/>
      <c r="M129" s="1195"/>
      <c r="N129" s="1459" t="s">
        <v>2424</v>
      </c>
      <c r="O129" s="1460">
        <v>4479</v>
      </c>
      <c r="P129" s="698"/>
      <c r="Q129" s="1459" t="s">
        <v>2166</v>
      </c>
      <c r="R129" s="1460">
        <v>0.629</v>
      </c>
      <c r="S129" s="698"/>
      <c r="T129" s="698"/>
      <c r="U129" s="698"/>
      <c r="V129" s="698"/>
      <c r="W129" s="698"/>
    </row>
    <row r="130" spans="1:23" s="1394" customFormat="1" x14ac:dyDescent="0.35">
      <c r="B130" s="1435" t="s">
        <v>2423</v>
      </c>
      <c r="C130" s="1477">
        <v>1600</v>
      </c>
      <c r="D130" s="1478"/>
      <c r="E130" s="1476"/>
      <c r="F130" s="1476"/>
      <c r="G130" s="1476"/>
      <c r="H130" s="1476"/>
      <c r="I130" s="1476"/>
      <c r="J130" s="1476"/>
      <c r="K130" s="1476"/>
      <c r="L130" s="1476"/>
      <c r="M130" s="1195"/>
      <c r="N130" s="1459" t="s">
        <v>2073</v>
      </c>
      <c r="O130" s="1460">
        <v>8712</v>
      </c>
      <c r="P130" s="698"/>
      <c r="Q130" s="1459" t="s">
        <v>2073</v>
      </c>
      <c r="R130" s="1460">
        <v>0.64600000000000002</v>
      </c>
      <c r="S130" s="698"/>
      <c r="T130" s="698"/>
      <c r="U130" s="698"/>
      <c r="V130" s="698"/>
      <c r="W130" s="698"/>
    </row>
    <row r="131" spans="1:23" s="1394" customFormat="1" x14ac:dyDescent="0.35">
      <c r="B131" s="1437" t="s">
        <v>2425</v>
      </c>
      <c r="C131" s="1479">
        <v>2000</v>
      </c>
      <c r="D131" s="1478"/>
      <c r="E131" s="1476"/>
      <c r="F131" s="1476"/>
      <c r="G131" s="1476"/>
      <c r="H131" s="1476"/>
      <c r="I131" s="1476"/>
      <c r="J131" s="1476"/>
      <c r="K131" s="1476"/>
      <c r="L131" s="1476"/>
      <c r="M131" s="1195"/>
      <c r="N131" s="1459" t="s">
        <v>2167</v>
      </c>
      <c r="O131" s="1460">
        <v>2120</v>
      </c>
      <c r="P131" s="698"/>
      <c r="Q131" s="1459" t="s">
        <v>2167</v>
      </c>
      <c r="R131" s="1460">
        <v>0.41899999999999998</v>
      </c>
      <c r="S131" s="698"/>
      <c r="T131" s="698"/>
      <c r="U131" s="698"/>
      <c r="V131" s="698"/>
      <c r="W131" s="698"/>
    </row>
    <row r="132" spans="1:23" s="1394" customFormat="1" x14ac:dyDescent="0.35">
      <c r="E132" s="1476"/>
      <c r="F132" s="1476"/>
      <c r="G132" s="1476"/>
      <c r="H132" s="1476"/>
      <c r="I132" s="1476"/>
      <c r="J132" s="1476"/>
      <c r="K132" s="1476"/>
      <c r="L132" s="1476"/>
      <c r="M132" s="1195"/>
      <c r="N132" s="1459" t="s">
        <v>2170</v>
      </c>
      <c r="O132" s="1460">
        <v>2038</v>
      </c>
      <c r="P132" s="698"/>
      <c r="Q132" s="1459" t="s">
        <v>2170</v>
      </c>
      <c r="R132" s="1460">
        <v>0.432</v>
      </c>
      <c r="S132" s="698"/>
      <c r="T132" s="698"/>
      <c r="U132" s="698"/>
      <c r="V132" s="698"/>
      <c r="W132" s="698"/>
    </row>
    <row r="133" spans="1:23" s="1394" customFormat="1" ht="21" x14ac:dyDescent="0.5">
      <c r="A133" s="1395" t="s">
        <v>2014</v>
      </c>
      <c r="E133" s="1476"/>
      <c r="F133" s="1476"/>
      <c r="G133" s="1476"/>
      <c r="H133" s="1476"/>
      <c r="I133" s="1476"/>
      <c r="J133" s="1476"/>
      <c r="K133" s="1476"/>
      <c r="L133" s="1476"/>
      <c r="M133" s="1195"/>
      <c r="N133" s="1459" t="s">
        <v>2169</v>
      </c>
      <c r="O133" s="1460">
        <v>4849</v>
      </c>
      <c r="P133" s="698"/>
      <c r="Q133" s="1459" t="s">
        <v>2169</v>
      </c>
      <c r="R133" s="1460">
        <v>0.48299999999999998</v>
      </c>
      <c r="S133" s="698"/>
      <c r="T133" s="698"/>
      <c r="U133" s="698"/>
      <c r="V133" s="698"/>
      <c r="W133" s="698"/>
    </row>
    <row r="134" spans="1:23" s="1394" customFormat="1" x14ac:dyDescent="0.35">
      <c r="E134" s="1476"/>
      <c r="F134" s="1476"/>
      <c r="G134" s="1476"/>
      <c r="H134" s="1476"/>
      <c r="I134" s="1476"/>
      <c r="J134" s="1476"/>
      <c r="K134" s="1476"/>
      <c r="L134" s="1476"/>
      <c r="M134" s="1195"/>
      <c r="N134" s="1459" t="s">
        <v>2168</v>
      </c>
      <c r="O134" s="1460">
        <v>5682</v>
      </c>
      <c r="P134" s="698"/>
      <c r="Q134" s="1459" t="s">
        <v>2168</v>
      </c>
      <c r="R134" s="1460">
        <v>0.503</v>
      </c>
      <c r="S134" s="698"/>
      <c r="T134" s="698"/>
      <c r="U134" s="698"/>
      <c r="V134" s="698"/>
      <c r="W134" s="698"/>
    </row>
    <row r="135" spans="1:23" s="1394" customFormat="1" ht="15" customHeight="1" x14ac:dyDescent="0.35">
      <c r="B135" s="1480"/>
      <c r="E135" s="1476"/>
      <c r="F135" s="1476"/>
      <c r="G135" s="1476"/>
      <c r="I135" s="1476"/>
      <c r="J135" s="1476"/>
      <c r="K135" s="1476"/>
      <c r="L135" s="1476"/>
      <c r="M135" s="1195"/>
      <c r="N135" s="1459" t="s">
        <v>2171</v>
      </c>
      <c r="O135" s="1460">
        <v>3069</v>
      </c>
      <c r="P135" s="698"/>
      <c r="Q135" s="1459" t="s">
        <v>2171</v>
      </c>
      <c r="R135" s="1460">
        <v>0.46200000000000002</v>
      </c>
      <c r="S135" s="698"/>
      <c r="T135" s="698"/>
      <c r="U135" s="698"/>
      <c r="V135" s="698"/>
      <c r="W135" s="698"/>
    </row>
    <row r="136" spans="1:23" s="1394" customFormat="1" ht="29" x14ac:dyDescent="0.35">
      <c r="B136" s="1481" t="s">
        <v>2280</v>
      </c>
      <c r="C136" s="1434" t="s">
        <v>2348</v>
      </c>
      <c r="E136" s="1476"/>
      <c r="F136" s="1476"/>
      <c r="G136" s="1476"/>
      <c r="I136" s="1482" t="s">
        <v>2019</v>
      </c>
      <c r="J136" s="1474" t="s">
        <v>2426</v>
      </c>
      <c r="K136" s="1476"/>
      <c r="L136" s="1476"/>
      <c r="M136" s="1195"/>
      <c r="N136" s="1459" t="s">
        <v>2172</v>
      </c>
      <c r="O136" s="1460">
        <v>2481</v>
      </c>
      <c r="P136" s="698"/>
      <c r="Q136" s="1459" t="s">
        <v>2172</v>
      </c>
      <c r="R136" s="1460">
        <v>0.47399999999999998</v>
      </c>
      <c r="S136" s="698"/>
      <c r="T136" s="698"/>
      <c r="U136" s="698"/>
      <c r="V136" s="698"/>
      <c r="W136" s="698"/>
    </row>
    <row r="137" spans="1:23" s="1394" customFormat="1" x14ac:dyDescent="0.35">
      <c r="B137" s="1435" t="s">
        <v>2349</v>
      </c>
      <c r="C137" s="1216">
        <v>0</v>
      </c>
      <c r="E137" s="1476"/>
      <c r="F137" s="1476"/>
      <c r="G137" s="1476"/>
      <c r="I137" s="1136" t="s">
        <v>2180</v>
      </c>
      <c r="J137" s="1483">
        <f t="array" ref="J137">SUMPRODUCT(E82:I82,TRANSPOSE($C$137:$C$141))</f>
        <v>1607.3</v>
      </c>
      <c r="K137" s="1476"/>
      <c r="L137" s="1476"/>
      <c r="M137" s="1195"/>
      <c r="N137" s="2544" t="s">
        <v>2173</v>
      </c>
      <c r="O137" s="2545">
        <v>3036</v>
      </c>
      <c r="P137" s="698"/>
      <c r="Q137" s="1459" t="s">
        <v>2173</v>
      </c>
      <c r="R137" s="1460">
        <v>0.42799999999999999</v>
      </c>
      <c r="S137" s="698"/>
      <c r="T137" s="698"/>
      <c r="U137" s="698"/>
      <c r="V137" s="698"/>
      <c r="W137" s="698"/>
    </row>
    <row r="138" spans="1:23" s="1394" customFormat="1" x14ac:dyDescent="0.35">
      <c r="B138" s="1442" t="s">
        <v>2351</v>
      </c>
      <c r="C138" s="1217">
        <v>0.24</v>
      </c>
      <c r="E138" s="1476"/>
      <c r="F138" s="1476"/>
      <c r="G138" s="1476"/>
      <c r="I138" s="1148" t="s">
        <v>2071</v>
      </c>
      <c r="J138" s="2742">
        <f t="array" ref="J138">SUMPRODUCT(E83:I83,TRANSPOSE($C$137:$C$141))</f>
        <v>1431.9299999999996</v>
      </c>
      <c r="K138" s="1476"/>
      <c r="L138" s="1476"/>
      <c r="M138" s="1195"/>
      <c r="N138" s="1459" t="s">
        <v>2174</v>
      </c>
      <c r="O138" s="1460">
        <v>2830</v>
      </c>
      <c r="P138" s="698"/>
      <c r="Q138" s="1459" t="s">
        <v>2174</v>
      </c>
      <c r="R138" s="1460">
        <v>0.433</v>
      </c>
      <c r="S138" s="698"/>
      <c r="T138" s="698"/>
      <c r="U138" s="698"/>
      <c r="V138" s="698"/>
      <c r="W138" s="698"/>
    </row>
    <row r="139" spans="1:23" s="1394" customFormat="1" x14ac:dyDescent="0.35">
      <c r="B139" s="1445" t="s">
        <v>2352</v>
      </c>
      <c r="C139" s="1219">
        <v>0.56999999999999995</v>
      </c>
      <c r="E139" s="1476"/>
      <c r="F139" s="1476"/>
      <c r="G139" s="1476"/>
      <c r="I139" s="2683" t="s">
        <v>3906</v>
      </c>
      <c r="J139" s="2743">
        <f t="array" ref="J139">SUMPRODUCT(E84:I84,TRANSPOSE($C$137:$C$141))</f>
        <v>2696.95</v>
      </c>
      <c r="K139" s="1476"/>
      <c r="L139" s="1476"/>
      <c r="M139" s="1195"/>
      <c r="N139" s="1459" t="s">
        <v>2175</v>
      </c>
      <c r="O139" s="1460">
        <v>3350</v>
      </c>
      <c r="P139" s="698"/>
      <c r="Q139" s="1459" t="s">
        <v>2175</v>
      </c>
      <c r="R139" s="1460">
        <v>0.48799999999999999</v>
      </c>
      <c r="S139" s="698"/>
      <c r="T139" s="698"/>
      <c r="U139" s="698"/>
      <c r="V139" s="698"/>
      <c r="W139" s="698"/>
    </row>
    <row r="140" spans="1:23" s="1394" customFormat="1" x14ac:dyDescent="0.35">
      <c r="B140" s="1442" t="s">
        <v>2353</v>
      </c>
      <c r="C140" s="1217">
        <v>0.14000000000000001</v>
      </c>
      <c r="I140" s="2680" t="s">
        <v>2157</v>
      </c>
      <c r="J140" s="2745">
        <f t="array" ref="J140">SUMPRODUCT(E85:I85,TRANSPOSE($C$137:$C$141))</f>
        <v>1171.77</v>
      </c>
      <c r="M140" s="1195"/>
      <c r="N140" s="1459" t="s">
        <v>2176</v>
      </c>
      <c r="O140" s="1460">
        <v>2528</v>
      </c>
      <c r="P140" s="698"/>
      <c r="Q140" s="1459" t="s">
        <v>2176</v>
      </c>
      <c r="R140" s="1460">
        <v>0.505</v>
      </c>
      <c r="S140" s="698"/>
      <c r="T140" s="698"/>
      <c r="U140" s="698"/>
      <c r="V140" s="698"/>
      <c r="W140" s="698"/>
    </row>
    <row r="141" spans="1:23" s="1394" customFormat="1" x14ac:dyDescent="0.35">
      <c r="B141" s="1486" t="s">
        <v>2354</v>
      </c>
      <c r="C141" s="1220">
        <v>0.05</v>
      </c>
      <c r="I141" s="1085" t="s">
        <v>2158</v>
      </c>
      <c r="J141" s="2744">
        <f t="array" ref="J141">SUMPRODUCT(E86:I86,TRANSPOSE($C$137:$C$141))</f>
        <v>1190.8900000000001</v>
      </c>
      <c r="M141" s="1195"/>
      <c r="N141" s="1459" t="s">
        <v>2177</v>
      </c>
      <c r="O141" s="1460">
        <v>2266</v>
      </c>
      <c r="P141" s="698"/>
      <c r="Q141" s="1459" t="s">
        <v>2177</v>
      </c>
      <c r="R141" s="1460">
        <v>0.52800000000000002</v>
      </c>
      <c r="S141" s="698"/>
      <c r="T141" s="698"/>
      <c r="U141" s="698"/>
      <c r="V141" s="698"/>
      <c r="W141" s="698"/>
    </row>
    <row r="142" spans="1:23" s="1394" customFormat="1" x14ac:dyDescent="0.35">
      <c r="B142" s="1437" t="s">
        <v>284</v>
      </c>
      <c r="C142" s="1221">
        <f>SUM(C137:C141)</f>
        <v>1</v>
      </c>
      <c r="D142" s="1487" t="str">
        <f>IF(C142&lt;&gt;1,"Participation must add up to 100%","")</f>
        <v/>
      </c>
      <c r="I142" s="2683" t="s">
        <v>3907</v>
      </c>
      <c r="J142" s="2743">
        <f t="array" ref="J142">SUMPRODUCT(E87:I87,TRANSPOSE($C$137:$C$141))</f>
        <v>2627.52</v>
      </c>
      <c r="M142" s="1195"/>
      <c r="N142" s="1459" t="s">
        <v>2027</v>
      </c>
      <c r="O142" s="1460">
        <v>770</v>
      </c>
      <c r="P142" s="698"/>
      <c r="Q142" s="1459" t="s">
        <v>2027</v>
      </c>
      <c r="R142" s="1460">
        <v>0.22500000000000001</v>
      </c>
      <c r="S142" s="698"/>
      <c r="T142" s="698"/>
      <c r="U142" s="698"/>
      <c r="V142" s="698"/>
      <c r="W142" s="698"/>
    </row>
    <row r="143" spans="1:23" s="1394" customFormat="1" x14ac:dyDescent="0.35">
      <c r="I143" s="2680" t="s">
        <v>2028</v>
      </c>
      <c r="J143" s="2745">
        <f t="array" ref="J143">SUMPRODUCT(E88:I88,TRANSPOSE($C$137:$C$141))</f>
        <v>1420.56</v>
      </c>
      <c r="M143" s="1195"/>
      <c r="N143" s="1489" t="s">
        <v>536</v>
      </c>
      <c r="O143" s="1490">
        <v>2718</v>
      </c>
      <c r="P143" s="698"/>
      <c r="Q143" s="1489" t="s">
        <v>536</v>
      </c>
      <c r="R143" s="1490">
        <v>0.42399999999999999</v>
      </c>
      <c r="S143" s="698"/>
      <c r="T143" s="698"/>
      <c r="U143" s="698"/>
      <c r="V143" s="698"/>
      <c r="W143" s="698"/>
    </row>
    <row r="144" spans="1:23" s="1394" customFormat="1" ht="18.5" x14ac:dyDescent="0.45">
      <c r="B144" s="1488"/>
      <c r="I144" s="1085" t="s">
        <v>2109</v>
      </c>
      <c r="J144" s="1484">
        <f t="array" ref="J144">SUMPRODUCT(E89:I89,TRANSPOSE($C$137:$C$141))</f>
        <v>851.00000000000011</v>
      </c>
      <c r="M144" s="1195"/>
      <c r="N144" s="1492"/>
      <c r="O144" s="1492"/>
      <c r="P144" s="1492"/>
      <c r="Q144" s="1492"/>
      <c r="R144" s="1492"/>
      <c r="S144" s="698"/>
      <c r="T144" s="698"/>
      <c r="U144" s="698"/>
      <c r="V144" s="698"/>
      <c r="W144" s="698"/>
    </row>
    <row r="145" spans="2:28" s="1394" customFormat="1" ht="18.5" x14ac:dyDescent="0.45">
      <c r="B145" s="1491"/>
      <c r="C145" s="1491"/>
      <c r="I145" s="2680" t="s">
        <v>2026</v>
      </c>
      <c r="J145" s="2745">
        <f t="array" ref="J145">SUMPRODUCT(E90:I90,TRANSPOSE($C$137:$C$141))</f>
        <v>1409.85</v>
      </c>
      <c r="L145" s="1492"/>
      <c r="M145" s="1492"/>
      <c r="N145" s="1495"/>
      <c r="O145" s="1495"/>
      <c r="P145" s="1496"/>
      <c r="S145" s="698"/>
      <c r="T145" s="698"/>
      <c r="U145" s="698"/>
      <c r="V145" s="698"/>
      <c r="W145" s="698"/>
      <c r="X145" s="1492"/>
      <c r="Y145" s="1492"/>
      <c r="Z145" s="1492"/>
      <c r="AA145" s="1492"/>
      <c r="AB145" s="1492"/>
    </row>
    <row r="146" spans="2:28" s="1394" customFormat="1" ht="15" customHeight="1" x14ac:dyDescent="0.45">
      <c r="B146" s="1493"/>
      <c r="C146" s="1493"/>
      <c r="D146" s="3061" t="s">
        <v>2361</v>
      </c>
      <c r="E146" s="3062"/>
      <c r="F146" s="3062"/>
      <c r="G146" s="3063"/>
      <c r="I146" s="2680" t="s">
        <v>2075</v>
      </c>
      <c r="J146" s="2745">
        <f t="array" ref="J146">SUMPRODUCT(E91:I91,TRANSPOSE($C$137:$C$141))</f>
        <v>1490</v>
      </c>
      <c r="K146" s="1494"/>
      <c r="L146" s="1495"/>
      <c r="M146" s="1496"/>
      <c r="S146" s="698"/>
    </row>
    <row r="147" spans="2:28" s="1394" customFormat="1" ht="43.5" x14ac:dyDescent="0.35">
      <c r="B147" s="1497" t="s">
        <v>2393</v>
      </c>
      <c r="C147" s="1412" t="s">
        <v>2278</v>
      </c>
      <c r="D147" s="1418" t="s">
        <v>72</v>
      </c>
      <c r="E147" s="1419" t="s">
        <v>2427</v>
      </c>
      <c r="F147" s="1419" t="s">
        <v>2428</v>
      </c>
      <c r="G147" s="1420" t="s">
        <v>2429</v>
      </c>
      <c r="I147" s="2680" t="s">
        <v>2029</v>
      </c>
      <c r="J147" s="2745">
        <f t="array" ref="J147">SUMPRODUCT(E92:I92,TRANSPOSE($C$137:$C$141))</f>
        <v>1688.9699999999998</v>
      </c>
      <c r="K147" s="1498"/>
      <c r="L147" s="1495"/>
      <c r="M147" s="1495"/>
      <c r="N147" s="1495"/>
      <c r="O147" s="1495"/>
      <c r="P147" s="1496"/>
    </row>
    <row r="148" spans="2:28" s="1394" customFormat="1" x14ac:dyDescent="0.35">
      <c r="B148" s="1435" t="s">
        <v>2180</v>
      </c>
      <c r="C148" s="1499" t="s">
        <v>2400</v>
      </c>
      <c r="D148" s="1332">
        <v>2</v>
      </c>
      <c r="E148" s="1500">
        <v>0.96</v>
      </c>
      <c r="F148" s="1229">
        <v>80</v>
      </c>
      <c r="G148" s="1501">
        <v>1</v>
      </c>
      <c r="I148" s="2680" t="s">
        <v>2159</v>
      </c>
      <c r="J148" s="2745">
        <f t="array" ref="J148">SUMPRODUCT(E93:I93,TRANSPOSE($C$137:$C$141))</f>
        <v>1095.3800000000001</v>
      </c>
    </row>
    <row r="149" spans="2:28" s="1394" customFormat="1" x14ac:dyDescent="0.35">
      <c r="B149" s="1442" t="s">
        <v>2071</v>
      </c>
      <c r="C149" s="1502" t="s">
        <v>2400</v>
      </c>
      <c r="D149" s="1335">
        <v>1</v>
      </c>
      <c r="E149" s="1503">
        <v>0.95400000000000007</v>
      </c>
      <c r="F149" s="1232">
        <v>102.22222222222223</v>
      </c>
      <c r="G149" s="1504">
        <v>0.77777777777777779</v>
      </c>
      <c r="I149" s="2680" t="s">
        <v>2160</v>
      </c>
      <c r="J149" s="2745">
        <f t="array" ref="J149">SUMPRODUCT(E94:I94,TRANSPOSE($C$137:$C$141))</f>
        <v>1283.6899999999998</v>
      </c>
    </row>
    <row r="150" spans="2:28" s="1394" customFormat="1" x14ac:dyDescent="0.35">
      <c r="B150" s="1445" t="s">
        <v>2157</v>
      </c>
      <c r="C150" s="1505" t="s">
        <v>2400</v>
      </c>
      <c r="D150" s="1338">
        <v>3</v>
      </c>
      <c r="E150" s="1503">
        <v>0.95400000000000007</v>
      </c>
      <c r="F150" s="1232">
        <v>102.22222222222223</v>
      </c>
      <c r="G150" s="1504">
        <v>0.77777777777777779</v>
      </c>
      <c r="I150" s="2680" t="s">
        <v>2161</v>
      </c>
      <c r="J150" s="2745">
        <f t="array" ref="J150">SUMPRODUCT(E95:I95,TRANSPOSE($C$137:$C$141))</f>
        <v>646.43000000000006</v>
      </c>
    </row>
    <row r="151" spans="2:28" s="1394" customFormat="1" x14ac:dyDescent="0.35">
      <c r="B151" s="1442" t="s">
        <v>2158</v>
      </c>
      <c r="C151" s="1502" t="s">
        <v>2400</v>
      </c>
      <c r="D151" s="1335">
        <v>1</v>
      </c>
      <c r="E151" s="1503">
        <v>0.96</v>
      </c>
      <c r="F151" s="1232">
        <v>80</v>
      </c>
      <c r="G151" s="1504">
        <v>1</v>
      </c>
      <c r="I151" s="2680" t="s">
        <v>2162</v>
      </c>
      <c r="J151" s="2745">
        <f t="array" ref="J151">SUMPRODUCT(E96:I96,TRANSPOSE($C$137:$C$141))</f>
        <v>1395.0699999999997</v>
      </c>
    </row>
    <row r="152" spans="2:28" s="1394" customFormat="1" x14ac:dyDescent="0.35">
      <c r="B152" s="1445" t="s">
        <v>2028</v>
      </c>
      <c r="C152" s="1508" t="s">
        <v>2400</v>
      </c>
      <c r="D152" s="1509">
        <v>1</v>
      </c>
      <c r="E152" s="1510">
        <v>0.95400000000000007</v>
      </c>
      <c r="F152" s="1511">
        <v>102.22222222222223</v>
      </c>
      <c r="G152" s="1512">
        <v>0.77777777777777779</v>
      </c>
      <c r="I152" s="2680" t="s">
        <v>2325</v>
      </c>
      <c r="J152" s="2745">
        <f t="array" ref="J152">SUMPRODUCT(E97:I97,TRANSPOSE($C$137:$C$141))</f>
        <v>1494.11</v>
      </c>
    </row>
    <row r="153" spans="2:28" s="1394" customFormat="1" x14ac:dyDescent="0.35">
      <c r="B153" s="1442" t="s">
        <v>2109</v>
      </c>
      <c r="C153" s="1502" t="s">
        <v>2400</v>
      </c>
      <c r="D153" s="1335">
        <v>2</v>
      </c>
      <c r="E153" s="1503">
        <v>0.95400000000000007</v>
      </c>
      <c r="F153" s="1232">
        <v>102.22222222222223</v>
      </c>
      <c r="G153" s="1504">
        <v>0.77777777777777779</v>
      </c>
      <c r="I153" s="2680" t="s">
        <v>2073</v>
      </c>
      <c r="J153" s="2745">
        <f t="array" ref="J153">SUMPRODUCT(E98:I98,TRANSPOSE($C$137:$C$141))</f>
        <v>1586.1399999999999</v>
      </c>
    </row>
    <row r="154" spans="2:28" s="1394" customFormat="1" x14ac:dyDescent="0.35">
      <c r="B154" s="1445" t="s">
        <v>2026</v>
      </c>
      <c r="C154" s="1508" t="s">
        <v>2400</v>
      </c>
      <c r="D154" s="1509">
        <v>1</v>
      </c>
      <c r="E154" s="1510">
        <v>0.96</v>
      </c>
      <c r="F154" s="1511">
        <v>80</v>
      </c>
      <c r="G154" s="1512">
        <v>1</v>
      </c>
      <c r="I154" s="2680" t="s">
        <v>2166</v>
      </c>
      <c r="J154" s="2745">
        <f t="array" ref="J154">SUMPRODUCT(E99:I99,TRANSPOSE($C$137:$C$141))</f>
        <v>1454.33</v>
      </c>
    </row>
    <row r="155" spans="2:28" s="1394" customFormat="1" x14ac:dyDescent="0.35">
      <c r="B155" s="1442" t="s">
        <v>2075</v>
      </c>
      <c r="C155" s="1502" t="s">
        <v>2400</v>
      </c>
      <c r="D155" s="1335">
        <v>1</v>
      </c>
      <c r="E155" s="1503">
        <v>0.97499999999999998</v>
      </c>
      <c r="F155" s="1232">
        <v>74.5</v>
      </c>
      <c r="G155" s="1504">
        <v>0.5</v>
      </c>
      <c r="I155" s="884" t="s">
        <v>2163</v>
      </c>
      <c r="J155" s="1485">
        <f t="array" ref="J155">SUMPRODUCT(E100:I100,TRANSPOSE($C$137:$C$141))</f>
        <v>889.43</v>
      </c>
    </row>
    <row r="156" spans="2:28" s="1394" customFormat="1" x14ac:dyDescent="0.35">
      <c r="B156" s="1445" t="s">
        <v>2029</v>
      </c>
      <c r="C156" s="1508" t="s">
        <v>2400</v>
      </c>
      <c r="D156" s="1509">
        <v>0</v>
      </c>
      <c r="E156" s="1510">
        <v>0</v>
      </c>
      <c r="F156" s="1511">
        <v>0</v>
      </c>
      <c r="G156" s="1512">
        <v>0</v>
      </c>
      <c r="I156" s="2683" t="s">
        <v>2181</v>
      </c>
      <c r="J156" s="2745">
        <f t="array" ref="J156">SUMPRODUCT(E101:I101,TRANSPOSE($C$137:$C$141))</f>
        <v>1403.6699999999998</v>
      </c>
    </row>
    <row r="157" spans="2:28" s="1394" customFormat="1" x14ac:dyDescent="0.35">
      <c r="B157" s="1442" t="s">
        <v>2356</v>
      </c>
      <c r="C157" s="1502" t="s">
        <v>2400</v>
      </c>
      <c r="D157" s="1335">
        <v>0</v>
      </c>
      <c r="E157" s="1503">
        <v>0</v>
      </c>
      <c r="F157" s="1232">
        <v>0</v>
      </c>
      <c r="G157" s="1504">
        <v>0</v>
      </c>
      <c r="I157" s="2683" t="s">
        <v>2164</v>
      </c>
      <c r="J157" s="2745">
        <f t="array" ref="J157">SUMPRODUCT(E102:I102,TRANSPOSE($C$137:$C$141))</f>
        <v>511.64</v>
      </c>
    </row>
    <row r="158" spans="2:28" s="1394" customFormat="1" x14ac:dyDescent="0.35">
      <c r="B158" s="1445" t="s">
        <v>2357</v>
      </c>
      <c r="C158" s="1508" t="s">
        <v>2400</v>
      </c>
      <c r="D158" s="1509">
        <v>0</v>
      </c>
      <c r="E158" s="1510">
        <v>0</v>
      </c>
      <c r="F158" s="1511">
        <v>0</v>
      </c>
      <c r="G158" s="1512">
        <v>0</v>
      </c>
      <c r="I158" s="2683" t="s">
        <v>2336</v>
      </c>
      <c r="J158" s="2745">
        <f t="array" ref="J158">SUMPRODUCT(E103:I103,TRANSPOSE($C$137:$C$141))</f>
        <v>1482.3299999999997</v>
      </c>
    </row>
    <row r="159" spans="2:28" s="1394" customFormat="1" x14ac:dyDescent="0.35">
      <c r="B159" s="1442" t="s">
        <v>2358</v>
      </c>
      <c r="C159" s="1502" t="s">
        <v>2400</v>
      </c>
      <c r="D159" s="1335">
        <v>0</v>
      </c>
      <c r="E159" s="1503">
        <v>0</v>
      </c>
      <c r="F159" s="1232">
        <v>0</v>
      </c>
      <c r="G159" s="1504">
        <v>0</v>
      </c>
      <c r="I159" s="2683" t="s">
        <v>2165</v>
      </c>
      <c r="J159" s="2745">
        <f t="array" ref="J159">SUMPRODUCT(E104:I104,TRANSPOSE($C$137:$C$141))</f>
        <v>1626.7299999999998</v>
      </c>
    </row>
    <row r="160" spans="2:28" s="1394" customFormat="1" x14ac:dyDescent="0.35">
      <c r="B160" s="1445" t="s">
        <v>2162</v>
      </c>
      <c r="C160" s="1508" t="s">
        <v>2400</v>
      </c>
      <c r="D160" s="1509">
        <v>0</v>
      </c>
      <c r="E160" s="1510">
        <v>0</v>
      </c>
      <c r="F160" s="1511">
        <v>0</v>
      </c>
      <c r="G160" s="1512">
        <v>0</v>
      </c>
      <c r="I160" s="1085" t="s">
        <v>2167</v>
      </c>
      <c r="J160" s="1485">
        <f t="array" ref="J160">SUMPRODUCT(E105:I105,TRANSPOSE($C$137:$C$141))</f>
        <v>1693.6799999999998</v>
      </c>
    </row>
    <row r="161" spans="2:10" s="1394" customFormat="1" x14ac:dyDescent="0.35">
      <c r="B161" s="1442" t="s">
        <v>2325</v>
      </c>
      <c r="C161" s="1502" t="s">
        <v>2400</v>
      </c>
      <c r="D161" s="1335">
        <v>0</v>
      </c>
      <c r="E161" s="1503">
        <v>0</v>
      </c>
      <c r="F161" s="1232">
        <v>0</v>
      </c>
      <c r="G161" s="1504">
        <v>0</v>
      </c>
      <c r="I161" s="2683" t="s">
        <v>2168</v>
      </c>
      <c r="J161" s="2745">
        <f t="array" ref="J161">SUMPRODUCT(E106:I106,TRANSPOSE($C$137:$C$141))</f>
        <v>932.08999999999992</v>
      </c>
    </row>
    <row r="162" spans="2:10" s="1394" customFormat="1" x14ac:dyDescent="0.35">
      <c r="B162" s="1445" t="s">
        <v>2073</v>
      </c>
      <c r="C162" s="1508" t="s">
        <v>2400</v>
      </c>
      <c r="D162" s="1509">
        <v>1</v>
      </c>
      <c r="E162" s="1510">
        <v>0.95400000000000007</v>
      </c>
      <c r="F162" s="1511">
        <v>102.22222222222223</v>
      </c>
      <c r="G162" s="1512">
        <v>0.77777777777777779</v>
      </c>
      <c r="I162" s="2683" t="s">
        <v>2169</v>
      </c>
      <c r="J162" s="2745">
        <f t="array" ref="J162">SUMPRODUCT(E107:I107,TRANSPOSE($C$137:$C$141))</f>
        <v>1988.38</v>
      </c>
    </row>
    <row r="163" spans="2:10" s="1394" customFormat="1" x14ac:dyDescent="0.35">
      <c r="B163" s="1442" t="s">
        <v>2166</v>
      </c>
      <c r="C163" s="1502" t="s">
        <v>2400</v>
      </c>
      <c r="D163" s="1335">
        <v>0</v>
      </c>
      <c r="E163" s="1503">
        <v>0</v>
      </c>
      <c r="F163" s="1232">
        <v>0</v>
      </c>
      <c r="G163" s="1504">
        <v>0</v>
      </c>
      <c r="I163" s="2683" t="s">
        <v>2170</v>
      </c>
      <c r="J163" s="2745">
        <f t="array" ref="J163">SUMPRODUCT(E108:I108,TRANSPOSE($C$137:$C$141))</f>
        <v>1255.5899999999999</v>
      </c>
    </row>
    <row r="164" spans="2:10" s="1394" customFormat="1" x14ac:dyDescent="0.35">
      <c r="B164" s="1445" t="s">
        <v>2163</v>
      </c>
      <c r="C164" s="1508" t="s">
        <v>2400</v>
      </c>
      <c r="D164" s="1509">
        <v>5</v>
      </c>
      <c r="E164" s="1510">
        <v>0.95400000000000007</v>
      </c>
      <c r="F164" s="1511">
        <v>102.22222222222223</v>
      </c>
      <c r="G164" s="1512">
        <v>0.1</v>
      </c>
      <c r="I164" s="2683" t="s">
        <v>2171</v>
      </c>
      <c r="J164" s="2745">
        <f t="array" ref="J164">SUMPRODUCT(E109:I109,TRANSPOSE($C$137:$C$141))</f>
        <v>899.42000000000007</v>
      </c>
    </row>
    <row r="165" spans="2:10" s="1394" customFormat="1" x14ac:dyDescent="0.35">
      <c r="B165" s="1442" t="s">
        <v>2181</v>
      </c>
      <c r="C165" s="1502" t="s">
        <v>2400</v>
      </c>
      <c r="D165" s="1335">
        <v>0</v>
      </c>
      <c r="E165" s="1503">
        <v>0</v>
      </c>
      <c r="F165" s="1232">
        <v>0</v>
      </c>
      <c r="G165" s="1504">
        <v>0</v>
      </c>
      <c r="I165" s="2683" t="s">
        <v>2172</v>
      </c>
      <c r="J165" s="2745">
        <f t="array" ref="J165">SUMPRODUCT(E110:I110,TRANSPOSE($C$137:$C$141))</f>
        <v>2361.0299999999997</v>
      </c>
    </row>
    <row r="166" spans="2:10" s="1394" customFormat="1" x14ac:dyDescent="0.35">
      <c r="B166" s="1445" t="s">
        <v>2164</v>
      </c>
      <c r="C166" s="1508" t="s">
        <v>2400</v>
      </c>
      <c r="D166" s="1509">
        <v>0</v>
      </c>
      <c r="E166" s="1510">
        <v>0</v>
      </c>
      <c r="F166" s="1511">
        <v>0</v>
      </c>
      <c r="G166" s="1512">
        <v>0</v>
      </c>
      <c r="I166" s="2683" t="s">
        <v>2173</v>
      </c>
      <c r="J166" s="2745">
        <f t="array" ref="J166">SUMPRODUCT(E111:I111,TRANSPOSE($C$137:$C$141))</f>
        <v>1479.53</v>
      </c>
    </row>
    <row r="167" spans="2:10" s="1394" customFormat="1" x14ac:dyDescent="0.35">
      <c r="B167" s="1442" t="s">
        <v>2336</v>
      </c>
      <c r="C167" s="1502" t="s">
        <v>2400</v>
      </c>
      <c r="D167" s="1335">
        <v>0</v>
      </c>
      <c r="E167" s="1503">
        <v>0</v>
      </c>
      <c r="F167" s="1232">
        <v>0</v>
      </c>
      <c r="G167" s="1504">
        <v>0</v>
      </c>
      <c r="I167" s="2683" t="s">
        <v>3908</v>
      </c>
      <c r="J167" s="2743">
        <f t="array" ref="J167">SUMPRODUCT(E112:I112,TRANSPOSE($C$137:$C$141))</f>
        <v>2409.27</v>
      </c>
    </row>
    <row r="168" spans="2:10" s="1394" customFormat="1" x14ac:dyDescent="0.35">
      <c r="B168" s="1445" t="s">
        <v>2165</v>
      </c>
      <c r="C168" s="1508" t="s">
        <v>2400</v>
      </c>
      <c r="D168" s="1509">
        <v>0</v>
      </c>
      <c r="E168" s="1510">
        <v>0</v>
      </c>
      <c r="F168" s="1511">
        <v>0</v>
      </c>
      <c r="G168" s="1512">
        <v>0</v>
      </c>
      <c r="I168" s="884" t="s">
        <v>2174</v>
      </c>
      <c r="J168" s="1484">
        <f t="array" ref="J168">SUMPRODUCT(E113:I113,TRANSPOSE($C$137:$C$141))</f>
        <v>1389.57</v>
      </c>
    </row>
    <row r="169" spans="2:10" s="1394" customFormat="1" x14ac:dyDescent="0.35">
      <c r="B169" s="1442" t="s">
        <v>2167</v>
      </c>
      <c r="C169" s="1502" t="s">
        <v>2400</v>
      </c>
      <c r="D169" s="1335">
        <v>0</v>
      </c>
      <c r="E169" s="1503">
        <v>0.95400000000000007</v>
      </c>
      <c r="F169" s="1232">
        <v>102.22222222222223</v>
      </c>
      <c r="G169" s="1504">
        <v>0.77777777777777779</v>
      </c>
      <c r="I169" s="2683" t="s">
        <v>2175</v>
      </c>
      <c r="J169" s="2745">
        <f t="array" ref="J169">SUMPRODUCT(E114:I114,TRANSPOSE($C$137:$C$141))</f>
        <v>1199.5899999999999</v>
      </c>
    </row>
    <row r="170" spans="2:10" s="1394" customFormat="1" x14ac:dyDescent="0.35">
      <c r="B170" s="1445" t="s">
        <v>2168</v>
      </c>
      <c r="C170" s="1508" t="s">
        <v>2400</v>
      </c>
      <c r="D170" s="1509">
        <v>0</v>
      </c>
      <c r="E170" s="1510">
        <v>0</v>
      </c>
      <c r="F170" s="1511">
        <v>0</v>
      </c>
      <c r="G170" s="1512">
        <v>0</v>
      </c>
      <c r="I170" s="2683" t="s">
        <v>2176</v>
      </c>
      <c r="J170" s="2745">
        <f t="array" ref="J170">SUMPRODUCT(E115:I115,TRANSPOSE($C$137:$C$141))</f>
        <v>1196.45</v>
      </c>
    </row>
    <row r="171" spans="2:10" s="1394" customFormat="1" x14ac:dyDescent="0.35">
      <c r="B171" s="1442" t="s">
        <v>2169</v>
      </c>
      <c r="C171" s="1502" t="s">
        <v>2400</v>
      </c>
      <c r="D171" s="1335">
        <v>0</v>
      </c>
      <c r="E171" s="1503">
        <v>0</v>
      </c>
      <c r="F171" s="1232">
        <v>0</v>
      </c>
      <c r="G171" s="1504">
        <v>0</v>
      </c>
      <c r="I171" s="2683" t="s">
        <v>2177</v>
      </c>
      <c r="J171" s="2745">
        <f t="array" ref="J171">SUMPRODUCT(E116:I116,TRANSPOSE($C$137:$C$141))</f>
        <v>1196.07</v>
      </c>
    </row>
    <row r="172" spans="2:10" s="1394" customFormat="1" x14ac:dyDescent="0.35">
      <c r="B172" s="1445" t="s">
        <v>2170</v>
      </c>
      <c r="C172" s="1508" t="s">
        <v>2400</v>
      </c>
      <c r="D172" s="1509">
        <v>0</v>
      </c>
      <c r="E172" s="1510">
        <v>0</v>
      </c>
      <c r="F172" s="1511">
        <v>0</v>
      </c>
      <c r="G172" s="1512">
        <v>0</v>
      </c>
      <c r="I172" s="2683" t="s">
        <v>2027</v>
      </c>
      <c r="J172" s="2745">
        <f t="array" ref="J172">SUMPRODUCT(E117:I117,TRANSPOSE($C$137:$C$141))</f>
        <v>1203.02</v>
      </c>
    </row>
    <row r="173" spans="2:10" s="1394" customFormat="1" x14ac:dyDescent="0.35">
      <c r="B173" s="1442" t="s">
        <v>2171</v>
      </c>
      <c r="C173" s="1502" t="s">
        <v>2400</v>
      </c>
      <c r="D173" s="1335">
        <v>0</v>
      </c>
      <c r="E173" s="1503">
        <v>0</v>
      </c>
      <c r="F173" s="1232">
        <v>0</v>
      </c>
      <c r="G173" s="1504">
        <v>0</v>
      </c>
      <c r="I173" s="2683" t="s">
        <v>536</v>
      </c>
      <c r="J173" s="2745">
        <f t="array" ref="J173">SUMPRODUCT(E118:I118,TRANSPOSE($C$137:$C$141))</f>
        <v>1513.01</v>
      </c>
    </row>
    <row r="174" spans="2:10" s="1394" customFormat="1" x14ac:dyDescent="0.35">
      <c r="B174" s="1445" t="s">
        <v>2172</v>
      </c>
      <c r="C174" s="1508" t="s">
        <v>2400</v>
      </c>
      <c r="D174" s="1509">
        <v>15</v>
      </c>
      <c r="E174" s="1510">
        <v>0.95594429999999997</v>
      </c>
      <c r="F174" s="1511">
        <v>93</v>
      </c>
      <c r="G174" s="1512">
        <v>1</v>
      </c>
    </row>
    <row r="175" spans="2:10" s="1394" customFormat="1" x14ac:dyDescent="0.35">
      <c r="B175" s="1442" t="s">
        <v>2173</v>
      </c>
      <c r="C175" s="1502" t="s">
        <v>2400</v>
      </c>
      <c r="D175" s="1335">
        <v>0</v>
      </c>
      <c r="E175" s="1503">
        <v>0.96</v>
      </c>
      <c r="F175" s="1232">
        <v>88</v>
      </c>
      <c r="G175" s="1504">
        <v>1</v>
      </c>
    </row>
    <row r="176" spans="2:10" s="1394" customFormat="1" x14ac:dyDescent="0.35">
      <c r="B176" s="1445" t="s">
        <v>2174</v>
      </c>
      <c r="C176" s="1508" t="s">
        <v>2400</v>
      </c>
      <c r="D176" s="1509">
        <v>3</v>
      </c>
      <c r="E176" s="1510">
        <v>0.96</v>
      </c>
      <c r="F176" s="1511">
        <v>98</v>
      </c>
      <c r="G176" s="1512">
        <v>0.95</v>
      </c>
    </row>
    <row r="177" spans="2:7" s="1394" customFormat="1" x14ac:dyDescent="0.35">
      <c r="B177" s="1442" t="s">
        <v>2175</v>
      </c>
      <c r="C177" s="1502" t="s">
        <v>2400</v>
      </c>
      <c r="D177" s="1335">
        <v>2</v>
      </c>
      <c r="E177" s="1503">
        <v>0.96</v>
      </c>
      <c r="F177" s="1232">
        <v>120</v>
      </c>
      <c r="G177" s="1504">
        <v>1</v>
      </c>
    </row>
    <row r="178" spans="2:7" s="1394" customFormat="1" x14ac:dyDescent="0.35">
      <c r="B178" s="1445" t="s">
        <v>2176</v>
      </c>
      <c r="C178" s="1508" t="s">
        <v>2400</v>
      </c>
      <c r="D178" s="1509">
        <v>3</v>
      </c>
      <c r="E178" s="1510">
        <v>0.95499999999999996</v>
      </c>
      <c r="F178" s="1511">
        <v>110</v>
      </c>
      <c r="G178" s="1512">
        <v>0.9</v>
      </c>
    </row>
    <row r="179" spans="2:7" s="1394" customFormat="1" x14ac:dyDescent="0.35">
      <c r="B179" s="1442" t="s">
        <v>2177</v>
      </c>
      <c r="C179" s="1502" t="s">
        <v>2400</v>
      </c>
      <c r="D179" s="1335">
        <v>10</v>
      </c>
      <c r="E179" s="1503">
        <v>0.96</v>
      </c>
      <c r="F179" s="1232">
        <v>92.5</v>
      </c>
      <c r="G179" s="1504">
        <v>0.9</v>
      </c>
    </row>
    <row r="180" spans="2:7" s="1394" customFormat="1" x14ac:dyDescent="0.35">
      <c r="B180" s="1445" t="s">
        <v>2027</v>
      </c>
      <c r="C180" s="1508" t="s">
        <v>2400</v>
      </c>
      <c r="D180" s="1509">
        <v>6</v>
      </c>
      <c r="E180" s="1510">
        <v>0.95499999999999996</v>
      </c>
      <c r="F180" s="1511">
        <v>80</v>
      </c>
      <c r="G180" s="1512">
        <v>0.1</v>
      </c>
    </row>
    <row r="181" spans="2:7" s="1394" customFormat="1" x14ac:dyDescent="0.35">
      <c r="B181" s="1442" t="s">
        <v>536</v>
      </c>
      <c r="C181" s="1502" t="s">
        <v>2400</v>
      </c>
      <c r="D181" s="1335">
        <v>5</v>
      </c>
      <c r="E181" s="1503">
        <v>0.96</v>
      </c>
      <c r="F181" s="1232">
        <v>96</v>
      </c>
      <c r="G181" s="1504">
        <v>0.9</v>
      </c>
    </row>
    <row r="182" spans="2:7" s="1394" customFormat="1" x14ac:dyDescent="0.35">
      <c r="B182" s="1435" t="s">
        <v>2180</v>
      </c>
      <c r="C182" s="1499" t="s">
        <v>2401</v>
      </c>
      <c r="D182" s="1332">
        <v>0</v>
      </c>
      <c r="E182" s="1333">
        <v>0</v>
      </c>
      <c r="F182" s="1333">
        <v>0</v>
      </c>
      <c r="G182" s="1501">
        <v>0</v>
      </c>
    </row>
    <row r="183" spans="2:7" s="1394" customFormat="1" x14ac:dyDescent="0.35">
      <c r="B183" s="1442" t="s">
        <v>2071</v>
      </c>
      <c r="C183" s="1502" t="s">
        <v>2401</v>
      </c>
      <c r="D183" s="1335">
        <v>0</v>
      </c>
      <c r="E183" s="1336">
        <v>0</v>
      </c>
      <c r="F183" s="1336">
        <v>0</v>
      </c>
      <c r="G183" s="1504">
        <v>0</v>
      </c>
    </row>
    <row r="184" spans="2:7" s="1394" customFormat="1" x14ac:dyDescent="0.35">
      <c r="B184" s="1445" t="s">
        <v>2157</v>
      </c>
      <c r="C184" s="1505" t="s">
        <v>2401</v>
      </c>
      <c r="D184" s="1338">
        <v>0</v>
      </c>
      <c r="E184" s="1339">
        <v>0</v>
      </c>
      <c r="F184" s="1339">
        <v>0</v>
      </c>
      <c r="G184" s="1507">
        <v>0</v>
      </c>
    </row>
    <row r="185" spans="2:7" s="1394" customFormat="1" x14ac:dyDescent="0.35">
      <c r="B185" s="1442" t="s">
        <v>2158</v>
      </c>
      <c r="C185" s="1502" t="s">
        <v>2401</v>
      </c>
      <c r="D185" s="1335">
        <v>0</v>
      </c>
      <c r="E185" s="1336">
        <v>0</v>
      </c>
      <c r="F185" s="1336">
        <v>0</v>
      </c>
      <c r="G185" s="1504">
        <v>0</v>
      </c>
    </row>
    <row r="186" spans="2:7" s="1394" customFormat="1" x14ac:dyDescent="0.35">
      <c r="B186" s="1445" t="s">
        <v>2028</v>
      </c>
      <c r="C186" s="1505" t="s">
        <v>2401</v>
      </c>
      <c r="D186" s="1338">
        <v>0</v>
      </c>
      <c r="E186" s="1339">
        <v>0</v>
      </c>
      <c r="F186" s="1339">
        <v>0</v>
      </c>
      <c r="G186" s="1507">
        <v>0</v>
      </c>
    </row>
    <row r="187" spans="2:7" s="1394" customFormat="1" x14ac:dyDescent="0.35">
      <c r="B187" s="1442" t="s">
        <v>2109</v>
      </c>
      <c r="C187" s="1502" t="s">
        <v>2401</v>
      </c>
      <c r="D187" s="1335">
        <v>0</v>
      </c>
      <c r="E187" s="1336">
        <v>0</v>
      </c>
      <c r="F187" s="1336">
        <v>0</v>
      </c>
      <c r="G187" s="1504">
        <v>0</v>
      </c>
    </row>
    <row r="188" spans="2:7" s="1394" customFormat="1" x14ac:dyDescent="0.35">
      <c r="B188" s="1445" t="s">
        <v>2026</v>
      </c>
      <c r="C188" s="1505" t="s">
        <v>2401</v>
      </c>
      <c r="D188" s="1338">
        <v>0</v>
      </c>
      <c r="E188" s="1339">
        <v>0</v>
      </c>
      <c r="F188" s="1339">
        <v>0</v>
      </c>
      <c r="G188" s="1507">
        <v>0</v>
      </c>
    </row>
    <row r="189" spans="2:7" s="1394" customFormat="1" x14ac:dyDescent="0.35">
      <c r="B189" s="1442" t="s">
        <v>2075</v>
      </c>
      <c r="C189" s="1502" t="s">
        <v>2401</v>
      </c>
      <c r="D189" s="1335">
        <v>0</v>
      </c>
      <c r="E189" s="1336">
        <v>0</v>
      </c>
      <c r="F189" s="1336">
        <v>0</v>
      </c>
      <c r="G189" s="1504">
        <v>0</v>
      </c>
    </row>
    <row r="190" spans="2:7" s="1394" customFormat="1" x14ac:dyDescent="0.35">
      <c r="B190" s="1445" t="s">
        <v>2029</v>
      </c>
      <c r="C190" s="1505" t="s">
        <v>2401</v>
      </c>
      <c r="D190" s="1338">
        <v>0</v>
      </c>
      <c r="E190" s="1339">
        <v>0</v>
      </c>
      <c r="F190" s="1339">
        <v>0</v>
      </c>
      <c r="G190" s="1507">
        <v>0</v>
      </c>
    </row>
    <row r="191" spans="2:7" s="1394" customFormat="1" x14ac:dyDescent="0.35">
      <c r="B191" s="1442" t="s">
        <v>2356</v>
      </c>
      <c r="C191" s="1502" t="s">
        <v>2401</v>
      </c>
      <c r="D191" s="1335">
        <v>0</v>
      </c>
      <c r="E191" s="1336">
        <v>0</v>
      </c>
      <c r="F191" s="1336">
        <v>0</v>
      </c>
      <c r="G191" s="1504">
        <v>0</v>
      </c>
    </row>
    <row r="192" spans="2:7" s="1394" customFormat="1" x14ac:dyDescent="0.35">
      <c r="B192" s="1445" t="s">
        <v>2357</v>
      </c>
      <c r="C192" s="1505" t="s">
        <v>2401</v>
      </c>
      <c r="D192" s="1338">
        <v>0</v>
      </c>
      <c r="E192" s="1339">
        <v>0</v>
      </c>
      <c r="F192" s="1339">
        <v>0</v>
      </c>
      <c r="G192" s="1507">
        <v>0</v>
      </c>
    </row>
    <row r="193" spans="2:7" s="1394" customFormat="1" x14ac:dyDescent="0.35">
      <c r="B193" s="1442" t="s">
        <v>2358</v>
      </c>
      <c r="C193" s="1502" t="s">
        <v>2401</v>
      </c>
      <c r="D193" s="1335">
        <v>0</v>
      </c>
      <c r="E193" s="1336">
        <v>0</v>
      </c>
      <c r="F193" s="1336">
        <v>0</v>
      </c>
      <c r="G193" s="1504">
        <v>0</v>
      </c>
    </row>
    <row r="194" spans="2:7" s="1394" customFormat="1" x14ac:dyDescent="0.35">
      <c r="B194" s="1445" t="s">
        <v>2162</v>
      </c>
      <c r="C194" s="1505" t="s">
        <v>2401</v>
      </c>
      <c r="D194" s="1338">
        <v>0</v>
      </c>
      <c r="E194" s="1339">
        <v>0</v>
      </c>
      <c r="F194" s="1339">
        <v>0</v>
      </c>
      <c r="G194" s="1507">
        <v>0</v>
      </c>
    </row>
    <row r="195" spans="2:7" s="1394" customFormat="1" x14ac:dyDescent="0.35">
      <c r="B195" s="1442" t="s">
        <v>2325</v>
      </c>
      <c r="C195" s="1502" t="s">
        <v>2401</v>
      </c>
      <c r="D195" s="1335">
        <v>0</v>
      </c>
      <c r="E195" s="1336">
        <v>0</v>
      </c>
      <c r="F195" s="1336">
        <v>0</v>
      </c>
      <c r="G195" s="1504">
        <v>0</v>
      </c>
    </row>
    <row r="196" spans="2:7" s="1394" customFormat="1" x14ac:dyDescent="0.35">
      <c r="B196" s="1445" t="s">
        <v>2073</v>
      </c>
      <c r="C196" s="1505" t="s">
        <v>2401</v>
      </c>
      <c r="D196" s="1338">
        <v>0</v>
      </c>
      <c r="E196" s="1339">
        <v>0</v>
      </c>
      <c r="F196" s="1339">
        <v>0</v>
      </c>
      <c r="G196" s="1507">
        <v>0</v>
      </c>
    </row>
    <row r="197" spans="2:7" s="1394" customFormat="1" x14ac:dyDescent="0.35">
      <c r="B197" s="1442" t="s">
        <v>2166</v>
      </c>
      <c r="C197" s="1502" t="s">
        <v>2401</v>
      </c>
      <c r="D197" s="1335">
        <v>0</v>
      </c>
      <c r="E197" s="1336">
        <v>0</v>
      </c>
      <c r="F197" s="1336">
        <v>0</v>
      </c>
      <c r="G197" s="1504">
        <v>0</v>
      </c>
    </row>
    <row r="198" spans="2:7" s="1394" customFormat="1" x14ac:dyDescent="0.35">
      <c r="B198" s="1445" t="s">
        <v>2163</v>
      </c>
      <c r="C198" s="1505" t="s">
        <v>2401</v>
      </c>
      <c r="D198" s="1338">
        <v>0</v>
      </c>
      <c r="E198" s="1339">
        <v>0</v>
      </c>
      <c r="F198" s="1339">
        <v>0</v>
      </c>
      <c r="G198" s="1507">
        <v>0</v>
      </c>
    </row>
    <row r="199" spans="2:7" s="1394" customFormat="1" x14ac:dyDescent="0.35">
      <c r="B199" s="1442" t="s">
        <v>2181</v>
      </c>
      <c r="C199" s="1502" t="s">
        <v>2401</v>
      </c>
      <c r="D199" s="1335">
        <v>0</v>
      </c>
      <c r="E199" s="1336">
        <v>0</v>
      </c>
      <c r="F199" s="1336">
        <v>0</v>
      </c>
      <c r="G199" s="1504">
        <v>0</v>
      </c>
    </row>
    <row r="200" spans="2:7" s="1394" customFormat="1" x14ac:dyDescent="0.35">
      <c r="B200" s="1445" t="s">
        <v>2164</v>
      </c>
      <c r="C200" s="1505" t="s">
        <v>2401</v>
      </c>
      <c r="D200" s="1338">
        <v>0</v>
      </c>
      <c r="E200" s="1339">
        <v>0</v>
      </c>
      <c r="F200" s="1339">
        <v>0</v>
      </c>
      <c r="G200" s="1507">
        <v>0</v>
      </c>
    </row>
    <row r="201" spans="2:7" s="1394" customFormat="1" x14ac:dyDescent="0.35">
      <c r="B201" s="1442" t="s">
        <v>2336</v>
      </c>
      <c r="C201" s="1502" t="s">
        <v>2401</v>
      </c>
      <c r="D201" s="1335">
        <v>0</v>
      </c>
      <c r="E201" s="1336">
        <v>0</v>
      </c>
      <c r="F201" s="1336">
        <v>0</v>
      </c>
      <c r="G201" s="1504">
        <v>0</v>
      </c>
    </row>
    <row r="202" spans="2:7" s="1394" customFormat="1" x14ac:dyDescent="0.35">
      <c r="B202" s="1445" t="s">
        <v>2165</v>
      </c>
      <c r="C202" s="1505" t="s">
        <v>2401</v>
      </c>
      <c r="D202" s="1338">
        <v>0</v>
      </c>
      <c r="E202" s="1339">
        <v>0</v>
      </c>
      <c r="F202" s="1339">
        <v>0</v>
      </c>
      <c r="G202" s="1507">
        <v>0</v>
      </c>
    </row>
    <row r="203" spans="2:7" s="1394" customFormat="1" x14ac:dyDescent="0.35">
      <c r="B203" s="1442" t="s">
        <v>2167</v>
      </c>
      <c r="C203" s="1502" t="s">
        <v>2401</v>
      </c>
      <c r="D203" s="1335">
        <v>0</v>
      </c>
      <c r="E203" s="1336">
        <v>0</v>
      </c>
      <c r="F203" s="1336">
        <v>0</v>
      </c>
      <c r="G203" s="1504">
        <v>0</v>
      </c>
    </row>
    <row r="204" spans="2:7" s="1394" customFormat="1" x14ac:dyDescent="0.35">
      <c r="B204" s="1445" t="s">
        <v>2168</v>
      </c>
      <c r="C204" s="1505" t="s">
        <v>2401</v>
      </c>
      <c r="D204" s="1338">
        <v>0</v>
      </c>
      <c r="E204" s="1339">
        <v>0</v>
      </c>
      <c r="F204" s="1339">
        <v>0</v>
      </c>
      <c r="G204" s="1507">
        <v>0</v>
      </c>
    </row>
    <row r="205" spans="2:7" s="1394" customFormat="1" x14ac:dyDescent="0.35">
      <c r="B205" s="1442" t="s">
        <v>2169</v>
      </c>
      <c r="C205" s="1502" t="s">
        <v>2401</v>
      </c>
      <c r="D205" s="1335">
        <v>0</v>
      </c>
      <c r="E205" s="1336">
        <v>0</v>
      </c>
      <c r="F205" s="1336">
        <v>0</v>
      </c>
      <c r="G205" s="1504">
        <v>0</v>
      </c>
    </row>
    <row r="206" spans="2:7" s="1394" customFormat="1" x14ac:dyDescent="0.35">
      <c r="B206" s="1445" t="s">
        <v>2170</v>
      </c>
      <c r="C206" s="1505" t="s">
        <v>2401</v>
      </c>
      <c r="D206" s="1338">
        <v>0</v>
      </c>
      <c r="E206" s="1339">
        <v>0</v>
      </c>
      <c r="F206" s="1339">
        <v>0</v>
      </c>
      <c r="G206" s="1507">
        <v>0</v>
      </c>
    </row>
    <row r="207" spans="2:7" s="1394" customFormat="1" x14ac:dyDescent="0.35">
      <c r="B207" s="1442" t="s">
        <v>2171</v>
      </c>
      <c r="C207" s="1502" t="s">
        <v>2401</v>
      </c>
      <c r="D207" s="1335">
        <v>0</v>
      </c>
      <c r="E207" s="1336">
        <v>0</v>
      </c>
      <c r="F207" s="1336">
        <v>0</v>
      </c>
      <c r="G207" s="1504">
        <v>0</v>
      </c>
    </row>
    <row r="208" spans="2:7" s="1394" customFormat="1" x14ac:dyDescent="0.35">
      <c r="B208" s="1445" t="s">
        <v>2172</v>
      </c>
      <c r="C208" s="1505" t="s">
        <v>2401</v>
      </c>
      <c r="D208" s="1338">
        <v>0</v>
      </c>
      <c r="E208" s="1339">
        <v>0</v>
      </c>
      <c r="F208" s="1339">
        <v>0</v>
      </c>
      <c r="G208" s="1507">
        <v>0</v>
      </c>
    </row>
    <row r="209" spans="1:18" s="1394" customFormat="1" x14ac:dyDescent="0.35">
      <c r="B209" s="1442" t="s">
        <v>2173</v>
      </c>
      <c r="C209" s="1502" t="s">
        <v>2401</v>
      </c>
      <c r="D209" s="1335">
        <v>0</v>
      </c>
      <c r="E209" s="1336">
        <v>0</v>
      </c>
      <c r="F209" s="1336">
        <v>0</v>
      </c>
      <c r="G209" s="1504">
        <v>0</v>
      </c>
    </row>
    <row r="210" spans="1:18" s="1394" customFormat="1" x14ac:dyDescent="0.35">
      <c r="B210" s="1445" t="s">
        <v>2174</v>
      </c>
      <c r="C210" s="1505" t="s">
        <v>2401</v>
      </c>
      <c r="D210" s="1338">
        <v>0</v>
      </c>
      <c r="E210" s="1339">
        <v>0</v>
      </c>
      <c r="F210" s="1339">
        <v>0</v>
      </c>
      <c r="G210" s="1507">
        <v>0</v>
      </c>
    </row>
    <row r="211" spans="1:18" s="1394" customFormat="1" x14ac:dyDescent="0.35">
      <c r="B211" s="1442" t="s">
        <v>2175</v>
      </c>
      <c r="C211" s="1502" t="s">
        <v>2401</v>
      </c>
      <c r="D211" s="1335">
        <v>0</v>
      </c>
      <c r="E211" s="1336">
        <v>0</v>
      </c>
      <c r="F211" s="1336">
        <v>0</v>
      </c>
      <c r="G211" s="1504">
        <v>0</v>
      </c>
    </row>
    <row r="212" spans="1:18" s="1394" customFormat="1" x14ac:dyDescent="0.35">
      <c r="B212" s="1445" t="s">
        <v>2176</v>
      </c>
      <c r="C212" s="1505" t="s">
        <v>2401</v>
      </c>
      <c r="D212" s="1338">
        <v>0</v>
      </c>
      <c r="E212" s="1339">
        <v>0</v>
      </c>
      <c r="F212" s="1339">
        <v>0</v>
      </c>
      <c r="G212" s="1507">
        <v>0</v>
      </c>
    </row>
    <row r="213" spans="1:18" s="1394" customFormat="1" x14ac:dyDescent="0.35">
      <c r="B213" s="1442" t="s">
        <v>2177</v>
      </c>
      <c r="C213" s="1502" t="s">
        <v>2401</v>
      </c>
      <c r="D213" s="1335">
        <v>0</v>
      </c>
      <c r="E213" s="1336">
        <v>0</v>
      </c>
      <c r="F213" s="1336">
        <v>0</v>
      </c>
      <c r="G213" s="1504">
        <v>0</v>
      </c>
    </row>
    <row r="214" spans="1:18" s="1394" customFormat="1" x14ac:dyDescent="0.35">
      <c r="B214" s="1445" t="s">
        <v>2027</v>
      </c>
      <c r="C214" s="1505" t="s">
        <v>2401</v>
      </c>
      <c r="D214" s="1338">
        <v>0</v>
      </c>
      <c r="E214" s="1339">
        <v>0</v>
      </c>
      <c r="F214" s="1339">
        <v>0</v>
      </c>
      <c r="G214" s="1507">
        <v>0</v>
      </c>
    </row>
    <row r="215" spans="1:18" s="1394" customFormat="1" x14ac:dyDescent="0.35">
      <c r="B215" s="1442" t="s">
        <v>536</v>
      </c>
      <c r="C215" s="1502" t="s">
        <v>2401</v>
      </c>
      <c r="D215" s="1335">
        <v>0</v>
      </c>
      <c r="E215" s="1336">
        <v>0</v>
      </c>
      <c r="F215" s="1336">
        <v>0</v>
      </c>
      <c r="G215" s="1504">
        <v>0</v>
      </c>
    </row>
    <row r="216" spans="1:18" s="1394" customFormat="1" x14ac:dyDescent="0.35"/>
    <row r="217" spans="1:18" s="1394" customFormat="1" x14ac:dyDescent="0.35"/>
    <row r="218" spans="1:18" s="1394" customFormat="1" ht="21" x14ac:dyDescent="0.5">
      <c r="A218" s="1395" t="s">
        <v>2036</v>
      </c>
    </row>
    <row r="219" spans="1:18" s="1394" customFormat="1" x14ac:dyDescent="0.35"/>
    <row r="220" spans="1:18" s="1394" customFormat="1" ht="26" x14ac:dyDescent="0.45">
      <c r="B220" s="3064"/>
      <c r="C220" s="3065"/>
      <c r="D220" s="3066" t="s">
        <v>2038</v>
      </c>
      <c r="E220" s="3067"/>
      <c r="F220" s="3067"/>
      <c r="G220" s="3068"/>
      <c r="H220" s="3066" t="s">
        <v>2039</v>
      </c>
      <c r="I220" s="3067"/>
      <c r="J220" s="3067"/>
      <c r="K220" s="3068"/>
      <c r="L220" s="3055" t="s">
        <v>2040</v>
      </c>
      <c r="M220" s="3056"/>
      <c r="N220" s="3056"/>
      <c r="O220" s="3057"/>
      <c r="P220" s="1492"/>
      <c r="Q220" s="1492"/>
      <c r="R220" s="1492"/>
    </row>
    <row r="221" spans="1:18" s="1394" customFormat="1" ht="43.5" x14ac:dyDescent="0.45">
      <c r="B221" s="1433" t="s">
        <v>2393</v>
      </c>
      <c r="C221" s="1412" t="s">
        <v>2278</v>
      </c>
      <c r="D221" s="1513" t="s">
        <v>1947</v>
      </c>
      <c r="E221" s="1514" t="s">
        <v>2430</v>
      </c>
      <c r="F221" s="1514" t="s">
        <v>2431</v>
      </c>
      <c r="G221" s="1515" t="s">
        <v>2432</v>
      </c>
      <c r="H221" s="1516" t="s">
        <v>2433</v>
      </c>
      <c r="I221" s="1517" t="s">
        <v>2369</v>
      </c>
      <c r="J221" s="1518" t="s">
        <v>2434</v>
      </c>
      <c r="K221" s="1515" t="s">
        <v>1368</v>
      </c>
      <c r="L221" s="1519" t="s">
        <v>2370</v>
      </c>
      <c r="M221" s="1419" t="s">
        <v>2435</v>
      </c>
      <c r="N221" s="1520" t="s">
        <v>2436</v>
      </c>
      <c r="O221" s="1420" t="s">
        <v>2371</v>
      </c>
      <c r="P221" s="1492"/>
      <c r="Q221" s="1521" t="s">
        <v>2437</v>
      </c>
      <c r="R221" s="1522" t="s">
        <v>1960</v>
      </c>
    </row>
    <row r="222" spans="1:18" s="1394" customFormat="1" ht="18.5" x14ac:dyDescent="0.45">
      <c r="B222" s="1435" t="s">
        <v>2180</v>
      </c>
      <c r="C222" s="1499" t="s">
        <v>2400</v>
      </c>
      <c r="D222" s="1266">
        <f t="shared" ref="D222:G237" si="1">D148</f>
        <v>2</v>
      </c>
      <c r="E222" s="1523">
        <f t="shared" si="1"/>
        <v>0.96</v>
      </c>
      <c r="F222" s="1524">
        <f t="shared" si="1"/>
        <v>80</v>
      </c>
      <c r="G222" s="1353">
        <f t="shared" si="1"/>
        <v>1</v>
      </c>
      <c r="H222" s="1354">
        <f t="shared" ref="H222:H255" si="2">$C$77</f>
        <v>0.64400000000000002</v>
      </c>
      <c r="I222" s="1525">
        <f t="shared" ref="I222:I223" si="3">J137</f>
        <v>1607.3</v>
      </c>
      <c r="J222" s="1526">
        <f>C82</f>
        <v>2150</v>
      </c>
      <c r="K222" s="1527">
        <f>D82</f>
        <v>0.48299999999999998</v>
      </c>
      <c r="L222" s="1528">
        <f>IFERROR(D222*I222*F222*1000*(E222-H222)/H222/100000,0)</f>
        <v>1261.8802484472046</v>
      </c>
      <c r="M222" s="1529">
        <f>D222*(G222*721+(1-G222)*644)</f>
        <v>1442</v>
      </c>
      <c r="N222" s="1530">
        <f>IFERROR(M222/J222*K222,0)</f>
        <v>0.32394697674418604</v>
      </c>
      <c r="O222" s="1356">
        <f>D222*$C$130</f>
        <v>3200</v>
      </c>
      <c r="P222" s="1492"/>
      <c r="Q222" s="1531">
        <f>IFERROR(VLOOKUP(E222,B$122:E$124,4,TRUE),0)</f>
        <v>1825.8433753364816</v>
      </c>
      <c r="R222" s="1532">
        <f>Q222*D222</f>
        <v>3651.6867506729632</v>
      </c>
    </row>
    <row r="223" spans="1:18" s="1394" customFormat="1" ht="18.5" x14ac:dyDescent="0.45">
      <c r="B223" s="1442" t="s">
        <v>2071</v>
      </c>
      <c r="C223" s="1502" t="s">
        <v>2400</v>
      </c>
      <c r="D223" s="1293">
        <f t="shared" si="1"/>
        <v>1</v>
      </c>
      <c r="E223" s="1533">
        <f t="shared" si="1"/>
        <v>0.95400000000000007</v>
      </c>
      <c r="F223" s="1534">
        <f t="shared" si="1"/>
        <v>102.22222222222223</v>
      </c>
      <c r="G223" s="1381">
        <f t="shared" si="1"/>
        <v>0.77777777777777779</v>
      </c>
      <c r="H223" s="1382">
        <f t="shared" si="2"/>
        <v>0.64400000000000002</v>
      </c>
      <c r="I223" s="1535">
        <f t="shared" si="3"/>
        <v>1431.9299999999996</v>
      </c>
      <c r="J223" s="1536">
        <f>C83</f>
        <v>4373</v>
      </c>
      <c r="K223" s="1537">
        <f>D83</f>
        <v>0.52900000000000003</v>
      </c>
      <c r="L223" s="1383">
        <f t="shared" ref="L223:L255" si="4">IFERROR(D223*I223*F223*1000*(E223-H223)/H223/100000,0)</f>
        <v>704.60047619047612</v>
      </c>
      <c r="M223" s="1538">
        <f t="shared" ref="M223:M255" si="5">D223*(G223*721+(1-G223)*644)</f>
        <v>703.88888888888891</v>
      </c>
      <c r="N223" s="1539">
        <f t="shared" ref="N223:N255" si="6">IFERROR(M223/J223*K223,0)</f>
        <v>8.514914754681506E-2</v>
      </c>
      <c r="O223" s="1364">
        <f t="shared" ref="O223:O255" si="7">D223*$C$130</f>
        <v>1600</v>
      </c>
      <c r="P223" s="1492"/>
      <c r="Q223" s="1365">
        <f>IFERROR(VLOOKUP(E223,B$122:E$124,4,TRUE),0)</f>
        <v>1589.8433753364816</v>
      </c>
      <c r="R223" s="1540">
        <f>Q223*D223</f>
        <v>1589.8433753364816</v>
      </c>
    </row>
    <row r="224" spans="1:18" s="1394" customFormat="1" ht="18.5" x14ac:dyDescent="0.45">
      <c r="B224" s="1445" t="s">
        <v>2157</v>
      </c>
      <c r="C224" s="1505" t="s">
        <v>2400</v>
      </c>
      <c r="D224" s="1287">
        <f t="shared" si="1"/>
        <v>3</v>
      </c>
      <c r="E224" s="1541">
        <f t="shared" si="1"/>
        <v>0.95400000000000007</v>
      </c>
      <c r="F224" s="1542">
        <f t="shared" si="1"/>
        <v>102.22222222222223</v>
      </c>
      <c r="G224" s="1375">
        <f t="shared" si="1"/>
        <v>0.77777777777777779</v>
      </c>
      <c r="H224" s="1376">
        <f t="shared" si="2"/>
        <v>0.64400000000000002</v>
      </c>
      <c r="I224" s="1543">
        <f>J140</f>
        <v>1171.77</v>
      </c>
      <c r="J224" s="1544">
        <f>C85</f>
        <v>1605</v>
      </c>
      <c r="K224" s="1545">
        <f>D85</f>
        <v>0.14199999999999999</v>
      </c>
      <c r="L224" s="1377">
        <f t="shared" si="4"/>
        <v>1729.7557142857142</v>
      </c>
      <c r="M224" s="1546">
        <f t="shared" si="5"/>
        <v>2111.666666666667</v>
      </c>
      <c r="N224" s="1547">
        <f t="shared" si="6"/>
        <v>0.18682658359293874</v>
      </c>
      <c r="O224" s="1378">
        <f t="shared" si="7"/>
        <v>4800</v>
      </c>
      <c r="P224" s="1492"/>
      <c r="Q224" s="1357">
        <f>IFERROR(VLOOKUP(E224,B$122:E$124,4,TRUE),0)</f>
        <v>1589.8433753364816</v>
      </c>
      <c r="R224" s="1548">
        <f t="shared" ref="R224:R287" si="8">Q224*D224</f>
        <v>4769.5301260094448</v>
      </c>
    </row>
    <row r="225" spans="2:18" s="1394" customFormat="1" ht="18.5" x14ac:dyDescent="0.45">
      <c r="B225" s="1442" t="s">
        <v>2158</v>
      </c>
      <c r="C225" s="1502" t="s">
        <v>2400</v>
      </c>
      <c r="D225" s="1293">
        <f t="shared" si="1"/>
        <v>1</v>
      </c>
      <c r="E225" s="1533">
        <f t="shared" si="1"/>
        <v>0.96</v>
      </c>
      <c r="F225" s="1534">
        <f t="shared" si="1"/>
        <v>80</v>
      </c>
      <c r="G225" s="1381">
        <f t="shared" si="1"/>
        <v>1</v>
      </c>
      <c r="H225" s="1382">
        <f t="shared" si="2"/>
        <v>0.64400000000000002</v>
      </c>
      <c r="I225" s="1535">
        <f>J141</f>
        <v>1190.8900000000001</v>
      </c>
      <c r="J225" s="1536">
        <f>C86</f>
        <v>2084</v>
      </c>
      <c r="K225" s="1537">
        <f>D86</f>
        <v>0.57099999999999995</v>
      </c>
      <c r="L225" s="1383">
        <f t="shared" si="4"/>
        <v>467.47980124223596</v>
      </c>
      <c r="M225" s="1538">
        <f t="shared" si="5"/>
        <v>721</v>
      </c>
      <c r="N225" s="1539">
        <f t="shared" si="6"/>
        <v>0.19754846449136274</v>
      </c>
      <c r="O225" s="1364">
        <f t="shared" si="7"/>
        <v>1600</v>
      </c>
      <c r="P225" s="1492"/>
      <c r="Q225" s="1365">
        <f t="shared" ref="Q225:Q288" si="9">IFERROR(VLOOKUP(E225,B$122:E$124,4,TRUE),0)</f>
        <v>1825.8433753364816</v>
      </c>
      <c r="R225" s="1540">
        <f t="shared" si="8"/>
        <v>1825.8433753364816</v>
      </c>
    </row>
    <row r="226" spans="2:18" s="1394" customFormat="1" ht="18.5" x14ac:dyDescent="0.45">
      <c r="B226" s="1445" t="s">
        <v>2028</v>
      </c>
      <c r="C226" s="1505" t="s">
        <v>2400</v>
      </c>
      <c r="D226" s="1287">
        <f t="shared" si="1"/>
        <v>1</v>
      </c>
      <c r="E226" s="1541">
        <f t="shared" si="1"/>
        <v>0.95400000000000007</v>
      </c>
      <c r="F226" s="1542">
        <f t="shared" si="1"/>
        <v>102.22222222222223</v>
      </c>
      <c r="G226" s="1375">
        <f t="shared" si="1"/>
        <v>0.77777777777777779</v>
      </c>
      <c r="H226" s="1376">
        <f t="shared" si="2"/>
        <v>0.64400000000000002</v>
      </c>
      <c r="I226" s="1543">
        <f t="shared" ref="I226:I249" si="10">J143</f>
        <v>1420.56</v>
      </c>
      <c r="J226" s="1544">
        <f t="shared" ref="J226:J249" si="11">C88</f>
        <v>3276</v>
      </c>
      <c r="K226" s="1545">
        <f t="shared" ref="K226:K249" si="12">D88</f>
        <v>0.33300000000000002</v>
      </c>
      <c r="L226" s="1377">
        <f t="shared" si="4"/>
        <v>699.00571428571448</v>
      </c>
      <c r="M226" s="1546">
        <f t="shared" si="5"/>
        <v>703.88888888888891</v>
      </c>
      <c r="N226" s="1547">
        <f t="shared" si="6"/>
        <v>7.1549145299145314E-2</v>
      </c>
      <c r="O226" s="1378">
        <f t="shared" si="7"/>
        <v>1600</v>
      </c>
      <c r="P226" s="1492"/>
      <c r="Q226" s="1357">
        <f t="shared" si="9"/>
        <v>1589.8433753364816</v>
      </c>
      <c r="R226" s="1548">
        <f t="shared" si="8"/>
        <v>1589.8433753364816</v>
      </c>
    </row>
    <row r="227" spans="2:18" s="1394" customFormat="1" ht="18.5" x14ac:dyDescent="0.45">
      <c r="B227" s="1442" t="s">
        <v>2109</v>
      </c>
      <c r="C227" s="1502" t="s">
        <v>2400</v>
      </c>
      <c r="D227" s="1293">
        <f t="shared" si="1"/>
        <v>2</v>
      </c>
      <c r="E227" s="1533">
        <f t="shared" si="1"/>
        <v>0.95400000000000007</v>
      </c>
      <c r="F227" s="1534">
        <f t="shared" si="1"/>
        <v>102.22222222222223</v>
      </c>
      <c r="G227" s="1381">
        <f t="shared" si="1"/>
        <v>0.77777777777777779</v>
      </c>
      <c r="H227" s="1382">
        <f t="shared" si="2"/>
        <v>0.64400000000000002</v>
      </c>
      <c r="I227" s="1535">
        <f t="shared" si="10"/>
        <v>851.00000000000011</v>
      </c>
      <c r="J227" s="1536">
        <f t="shared" si="11"/>
        <v>2102</v>
      </c>
      <c r="K227" s="1537">
        <f t="shared" si="12"/>
        <v>0.61899999999999999</v>
      </c>
      <c r="L227" s="1383">
        <f t="shared" si="4"/>
        <v>837.49206349206372</v>
      </c>
      <c r="M227" s="1538">
        <f t="shared" si="5"/>
        <v>1407.7777777777778</v>
      </c>
      <c r="N227" s="1539">
        <f t="shared" si="6"/>
        <v>0.4145644359868908</v>
      </c>
      <c r="O227" s="1364">
        <f t="shared" si="7"/>
        <v>3200</v>
      </c>
      <c r="P227" s="1492"/>
      <c r="Q227" s="1365">
        <f t="shared" si="9"/>
        <v>1589.8433753364816</v>
      </c>
      <c r="R227" s="1540">
        <f t="shared" si="8"/>
        <v>3179.6867506729632</v>
      </c>
    </row>
    <row r="228" spans="2:18" s="1394" customFormat="1" ht="18.5" x14ac:dyDescent="0.45">
      <c r="B228" s="1445" t="s">
        <v>2026</v>
      </c>
      <c r="C228" s="1505" t="s">
        <v>2400</v>
      </c>
      <c r="D228" s="1287">
        <f t="shared" si="1"/>
        <v>1</v>
      </c>
      <c r="E228" s="1541">
        <f t="shared" si="1"/>
        <v>0.96</v>
      </c>
      <c r="F228" s="1542">
        <f t="shared" si="1"/>
        <v>80</v>
      </c>
      <c r="G228" s="1375">
        <f t="shared" si="1"/>
        <v>1</v>
      </c>
      <c r="H228" s="1376">
        <f t="shared" si="2"/>
        <v>0.64400000000000002</v>
      </c>
      <c r="I228" s="1543">
        <f t="shared" si="10"/>
        <v>1409.85</v>
      </c>
      <c r="J228" s="1544">
        <f t="shared" si="11"/>
        <v>2096</v>
      </c>
      <c r="K228" s="1545">
        <f t="shared" si="12"/>
        <v>0.47499999999999998</v>
      </c>
      <c r="L228" s="1377">
        <f t="shared" si="4"/>
        <v>553.43180124223591</v>
      </c>
      <c r="M228" s="1546">
        <f t="shared" si="5"/>
        <v>721</v>
      </c>
      <c r="N228" s="1547">
        <f t="shared" si="6"/>
        <v>0.16339456106870229</v>
      </c>
      <c r="O228" s="1378">
        <f t="shared" si="7"/>
        <v>1600</v>
      </c>
      <c r="P228" s="1492"/>
      <c r="Q228" s="1357">
        <f t="shared" si="9"/>
        <v>1825.8433753364816</v>
      </c>
      <c r="R228" s="1548">
        <f t="shared" si="8"/>
        <v>1825.8433753364816</v>
      </c>
    </row>
    <row r="229" spans="2:18" s="1394" customFormat="1" ht="18.5" x14ac:dyDescent="0.45">
      <c r="B229" s="1442" t="s">
        <v>2075</v>
      </c>
      <c r="C229" s="1502" t="s">
        <v>2400</v>
      </c>
      <c r="D229" s="1293">
        <f t="shared" si="1"/>
        <v>1</v>
      </c>
      <c r="E229" s="1533">
        <f t="shared" si="1"/>
        <v>0.97499999999999998</v>
      </c>
      <c r="F229" s="1534">
        <f t="shared" si="1"/>
        <v>74.5</v>
      </c>
      <c r="G229" s="1381">
        <f t="shared" si="1"/>
        <v>0.5</v>
      </c>
      <c r="H229" s="1382">
        <f t="shared" si="2"/>
        <v>0.64400000000000002</v>
      </c>
      <c r="I229" s="1535">
        <f t="shared" si="10"/>
        <v>1490</v>
      </c>
      <c r="J229" s="1536">
        <f t="shared" si="11"/>
        <v>1987</v>
      </c>
      <c r="K229" s="1537">
        <f t="shared" si="12"/>
        <v>0.61899999999999999</v>
      </c>
      <c r="L229" s="1383">
        <f t="shared" si="4"/>
        <v>570.53812111801233</v>
      </c>
      <c r="M229" s="1538">
        <f t="shared" si="5"/>
        <v>682.5</v>
      </c>
      <c r="N229" s="1539">
        <f t="shared" si="6"/>
        <v>0.21261575239053851</v>
      </c>
      <c r="O229" s="1364">
        <f t="shared" si="7"/>
        <v>1600</v>
      </c>
      <c r="P229" s="1492"/>
      <c r="Q229" s="1365">
        <f t="shared" si="9"/>
        <v>1825.8433753364816</v>
      </c>
      <c r="R229" s="1540">
        <f t="shared" si="8"/>
        <v>1825.8433753364816</v>
      </c>
    </row>
    <row r="230" spans="2:18" s="1394" customFormat="1" ht="18.5" x14ac:dyDescent="0.45">
      <c r="B230" s="1445" t="s">
        <v>2029</v>
      </c>
      <c r="C230" s="1505" t="s">
        <v>2400</v>
      </c>
      <c r="D230" s="1287">
        <f t="shared" si="1"/>
        <v>0</v>
      </c>
      <c r="E230" s="1541">
        <f t="shared" si="1"/>
        <v>0</v>
      </c>
      <c r="F230" s="1542">
        <f t="shared" si="1"/>
        <v>0</v>
      </c>
      <c r="G230" s="1375">
        <f t="shared" si="1"/>
        <v>0</v>
      </c>
      <c r="H230" s="1376">
        <f t="shared" si="2"/>
        <v>0.64400000000000002</v>
      </c>
      <c r="I230" s="1543">
        <f t="shared" si="10"/>
        <v>1688.9699999999998</v>
      </c>
      <c r="J230" s="1544">
        <f t="shared" si="11"/>
        <v>3141</v>
      </c>
      <c r="K230" s="1545">
        <f t="shared" si="12"/>
        <v>0.28799999999999998</v>
      </c>
      <c r="L230" s="1377">
        <f t="shared" si="4"/>
        <v>0</v>
      </c>
      <c r="M230" s="1546">
        <f t="shared" si="5"/>
        <v>0</v>
      </c>
      <c r="N230" s="1547">
        <f t="shared" si="6"/>
        <v>0</v>
      </c>
      <c r="O230" s="1378">
        <f t="shared" si="7"/>
        <v>0</v>
      </c>
      <c r="P230" s="1492"/>
      <c r="Q230" s="1357">
        <f t="shared" si="9"/>
        <v>0</v>
      </c>
      <c r="R230" s="1548">
        <f t="shared" si="8"/>
        <v>0</v>
      </c>
    </row>
    <row r="231" spans="2:18" s="1394" customFormat="1" ht="18.5" x14ac:dyDescent="0.45">
      <c r="B231" s="1442" t="s">
        <v>2356</v>
      </c>
      <c r="C231" s="1502" t="s">
        <v>2400</v>
      </c>
      <c r="D231" s="1293">
        <f t="shared" si="1"/>
        <v>0</v>
      </c>
      <c r="E231" s="1533">
        <f t="shared" si="1"/>
        <v>0</v>
      </c>
      <c r="F231" s="1534">
        <f t="shared" si="1"/>
        <v>0</v>
      </c>
      <c r="G231" s="1381">
        <f t="shared" si="1"/>
        <v>0</v>
      </c>
      <c r="H231" s="1382">
        <f t="shared" si="2"/>
        <v>0.64400000000000002</v>
      </c>
      <c r="I231" s="1535">
        <f t="shared" si="10"/>
        <v>1095.3800000000001</v>
      </c>
      <c r="J231" s="1536">
        <f t="shared" si="11"/>
        <v>8760</v>
      </c>
      <c r="K231" s="1537">
        <f t="shared" si="12"/>
        <v>0.64800000000000002</v>
      </c>
      <c r="L231" s="1383">
        <f t="shared" si="4"/>
        <v>0</v>
      </c>
      <c r="M231" s="1538">
        <f t="shared" si="5"/>
        <v>0</v>
      </c>
      <c r="N231" s="1539">
        <f t="shared" si="6"/>
        <v>0</v>
      </c>
      <c r="O231" s="1364">
        <f t="shared" si="7"/>
        <v>0</v>
      </c>
      <c r="P231" s="1492"/>
      <c r="Q231" s="1365">
        <f t="shared" si="9"/>
        <v>0</v>
      </c>
      <c r="R231" s="1540">
        <f t="shared" si="8"/>
        <v>0</v>
      </c>
    </row>
    <row r="232" spans="2:18" s="1394" customFormat="1" ht="18.5" x14ac:dyDescent="0.45">
      <c r="B232" s="1445" t="s">
        <v>2357</v>
      </c>
      <c r="C232" s="1505" t="s">
        <v>2400</v>
      </c>
      <c r="D232" s="1287">
        <f t="shared" si="1"/>
        <v>0</v>
      </c>
      <c r="E232" s="1541">
        <f t="shared" si="1"/>
        <v>0</v>
      </c>
      <c r="F232" s="1542">
        <f t="shared" si="1"/>
        <v>0</v>
      </c>
      <c r="G232" s="1375">
        <f t="shared" si="1"/>
        <v>0</v>
      </c>
      <c r="H232" s="1376">
        <f t="shared" si="2"/>
        <v>0.64400000000000002</v>
      </c>
      <c r="I232" s="1543">
        <f t="shared" si="10"/>
        <v>1283.6899999999998</v>
      </c>
      <c r="J232" s="1544">
        <f t="shared" si="11"/>
        <v>2881</v>
      </c>
      <c r="K232" s="1545">
        <f t="shared" si="12"/>
        <v>0.61499999999999999</v>
      </c>
      <c r="L232" s="1377">
        <f t="shared" si="4"/>
        <v>0</v>
      </c>
      <c r="M232" s="1546">
        <f t="shared" si="5"/>
        <v>0</v>
      </c>
      <c r="N232" s="1547">
        <f t="shared" si="6"/>
        <v>0</v>
      </c>
      <c r="O232" s="1378">
        <f t="shared" si="7"/>
        <v>0</v>
      </c>
      <c r="P232" s="1492"/>
      <c r="Q232" s="1357">
        <f t="shared" si="9"/>
        <v>0</v>
      </c>
      <c r="R232" s="1548">
        <f t="shared" si="8"/>
        <v>0</v>
      </c>
    </row>
    <row r="233" spans="2:18" s="1394" customFormat="1" ht="18.5" x14ac:dyDescent="0.45">
      <c r="B233" s="1442" t="s">
        <v>2358</v>
      </c>
      <c r="C233" s="1502" t="s">
        <v>2400</v>
      </c>
      <c r="D233" s="1293">
        <f t="shared" si="1"/>
        <v>0</v>
      </c>
      <c r="E233" s="1533">
        <f t="shared" si="1"/>
        <v>0</v>
      </c>
      <c r="F233" s="1534">
        <f t="shared" si="1"/>
        <v>0</v>
      </c>
      <c r="G233" s="1381">
        <f t="shared" si="1"/>
        <v>0</v>
      </c>
      <c r="H233" s="1382">
        <f t="shared" si="2"/>
        <v>0.64400000000000002</v>
      </c>
      <c r="I233" s="1535">
        <f t="shared" si="10"/>
        <v>646.43000000000006</v>
      </c>
      <c r="J233" s="1536">
        <f t="shared" si="11"/>
        <v>2788</v>
      </c>
      <c r="K233" s="1537">
        <f t="shared" si="12"/>
        <v>0.57599999999999996</v>
      </c>
      <c r="L233" s="1383">
        <f t="shared" si="4"/>
        <v>0</v>
      </c>
      <c r="M233" s="1538">
        <f t="shared" si="5"/>
        <v>0</v>
      </c>
      <c r="N233" s="1539">
        <f t="shared" si="6"/>
        <v>0</v>
      </c>
      <c r="O233" s="1364">
        <f t="shared" si="7"/>
        <v>0</v>
      </c>
      <c r="P233" s="1492"/>
      <c r="Q233" s="1365">
        <f t="shared" si="9"/>
        <v>0</v>
      </c>
      <c r="R233" s="1540">
        <f t="shared" si="8"/>
        <v>0</v>
      </c>
    </row>
    <row r="234" spans="2:18" s="1394" customFormat="1" ht="18.5" x14ac:dyDescent="0.45">
      <c r="B234" s="1445" t="s">
        <v>2162</v>
      </c>
      <c r="C234" s="1505" t="s">
        <v>2400</v>
      </c>
      <c r="D234" s="1287">
        <f t="shared" si="1"/>
        <v>0</v>
      </c>
      <c r="E234" s="1541">
        <f t="shared" si="1"/>
        <v>0</v>
      </c>
      <c r="F234" s="1542">
        <f t="shared" si="1"/>
        <v>0</v>
      </c>
      <c r="G234" s="1375">
        <f t="shared" si="1"/>
        <v>0</v>
      </c>
      <c r="H234" s="1376">
        <f t="shared" si="2"/>
        <v>0.64400000000000002</v>
      </c>
      <c r="I234" s="1543">
        <f t="shared" si="10"/>
        <v>1395.0699999999997</v>
      </c>
      <c r="J234" s="1544">
        <f t="shared" si="11"/>
        <v>8729</v>
      </c>
      <c r="K234" s="1545">
        <f t="shared" si="12"/>
        <v>0.60899999999999999</v>
      </c>
      <c r="L234" s="1377">
        <f t="shared" si="4"/>
        <v>0</v>
      </c>
      <c r="M234" s="1546">
        <f t="shared" si="5"/>
        <v>0</v>
      </c>
      <c r="N234" s="1547">
        <f t="shared" si="6"/>
        <v>0</v>
      </c>
      <c r="O234" s="1378">
        <f t="shared" si="7"/>
        <v>0</v>
      </c>
      <c r="P234" s="1492"/>
      <c r="Q234" s="1357">
        <f t="shared" si="9"/>
        <v>0</v>
      </c>
      <c r="R234" s="1548">
        <f t="shared" si="8"/>
        <v>0</v>
      </c>
    </row>
    <row r="235" spans="2:18" s="1394" customFormat="1" ht="18.5" x14ac:dyDescent="0.45">
      <c r="B235" s="1442" t="s">
        <v>2325</v>
      </c>
      <c r="C235" s="1502" t="s">
        <v>2400</v>
      </c>
      <c r="D235" s="1293">
        <f t="shared" si="1"/>
        <v>0</v>
      </c>
      <c r="E235" s="1533">
        <f t="shared" si="1"/>
        <v>0</v>
      </c>
      <c r="F235" s="1534">
        <f t="shared" si="1"/>
        <v>0</v>
      </c>
      <c r="G235" s="1381">
        <f t="shared" si="1"/>
        <v>0</v>
      </c>
      <c r="H235" s="1382">
        <f t="shared" si="2"/>
        <v>0.64400000000000002</v>
      </c>
      <c r="I235" s="1535">
        <f t="shared" si="10"/>
        <v>1494.11</v>
      </c>
      <c r="J235" s="1536">
        <f t="shared" si="11"/>
        <v>8712</v>
      </c>
      <c r="K235" s="1537">
        <f t="shared" si="12"/>
        <v>0.629</v>
      </c>
      <c r="L235" s="1383">
        <f t="shared" si="4"/>
        <v>0</v>
      </c>
      <c r="M235" s="1538">
        <f t="shared" si="5"/>
        <v>0</v>
      </c>
      <c r="N235" s="1539">
        <f t="shared" si="6"/>
        <v>0</v>
      </c>
      <c r="O235" s="1364">
        <f t="shared" si="7"/>
        <v>0</v>
      </c>
      <c r="P235" s="1492"/>
      <c r="Q235" s="1365">
        <f t="shared" si="9"/>
        <v>0</v>
      </c>
      <c r="R235" s="1540">
        <f t="shared" si="8"/>
        <v>0</v>
      </c>
    </row>
    <row r="236" spans="2:18" s="1394" customFormat="1" ht="18.5" x14ac:dyDescent="0.45">
      <c r="B236" s="1445" t="s">
        <v>2073</v>
      </c>
      <c r="C236" s="1505" t="s">
        <v>2400</v>
      </c>
      <c r="D236" s="1287">
        <f t="shared" si="1"/>
        <v>1</v>
      </c>
      <c r="E236" s="1541">
        <f t="shared" si="1"/>
        <v>0.95400000000000007</v>
      </c>
      <c r="F236" s="1542">
        <f t="shared" si="1"/>
        <v>102.22222222222223</v>
      </c>
      <c r="G236" s="1375">
        <f t="shared" si="1"/>
        <v>0.77777777777777779</v>
      </c>
      <c r="H236" s="1376">
        <f t="shared" si="2"/>
        <v>0.64400000000000002</v>
      </c>
      <c r="I236" s="1543">
        <f t="shared" si="10"/>
        <v>1586.1399999999999</v>
      </c>
      <c r="J236" s="1544">
        <f t="shared" si="11"/>
        <v>8712</v>
      </c>
      <c r="K236" s="1545">
        <f t="shared" si="12"/>
        <v>0.64600000000000002</v>
      </c>
      <c r="L236" s="1377">
        <f t="shared" si="4"/>
        <v>780.48158730158741</v>
      </c>
      <c r="M236" s="1546">
        <f t="shared" si="5"/>
        <v>703.88888888888891</v>
      </c>
      <c r="N236" s="1547">
        <f t="shared" si="6"/>
        <v>5.2193781246811552E-2</v>
      </c>
      <c r="O236" s="1378">
        <f t="shared" si="7"/>
        <v>1600</v>
      </c>
      <c r="P236" s="1492"/>
      <c r="Q236" s="1357">
        <f t="shared" si="9"/>
        <v>1589.8433753364816</v>
      </c>
      <c r="R236" s="1548">
        <f t="shared" si="8"/>
        <v>1589.8433753364816</v>
      </c>
    </row>
    <row r="237" spans="2:18" s="1394" customFormat="1" ht="18.5" x14ac:dyDescent="0.45">
      <c r="B237" s="1442" t="s">
        <v>2166</v>
      </c>
      <c r="C237" s="1502" t="s">
        <v>2400</v>
      </c>
      <c r="D237" s="1293">
        <f t="shared" si="1"/>
        <v>0</v>
      </c>
      <c r="E237" s="1533">
        <f t="shared" si="1"/>
        <v>0</v>
      </c>
      <c r="F237" s="1534">
        <f t="shared" si="1"/>
        <v>0</v>
      </c>
      <c r="G237" s="1381">
        <f t="shared" si="1"/>
        <v>0</v>
      </c>
      <c r="H237" s="1382">
        <f t="shared" si="2"/>
        <v>0.64400000000000002</v>
      </c>
      <c r="I237" s="1535">
        <f t="shared" si="10"/>
        <v>1454.33</v>
      </c>
      <c r="J237" s="1536">
        <f t="shared" si="11"/>
        <v>4479</v>
      </c>
      <c r="K237" s="1537">
        <f t="shared" si="12"/>
        <v>0.629</v>
      </c>
      <c r="L237" s="1383">
        <f t="shared" si="4"/>
        <v>0</v>
      </c>
      <c r="M237" s="1538">
        <f t="shared" si="5"/>
        <v>0</v>
      </c>
      <c r="N237" s="1539">
        <f t="shared" si="6"/>
        <v>0</v>
      </c>
      <c r="O237" s="1364">
        <f t="shared" si="7"/>
        <v>0</v>
      </c>
      <c r="P237" s="1492"/>
      <c r="Q237" s="1365">
        <f t="shared" si="9"/>
        <v>0</v>
      </c>
      <c r="R237" s="1540">
        <f t="shared" si="8"/>
        <v>0</v>
      </c>
    </row>
    <row r="238" spans="2:18" s="1394" customFormat="1" ht="18.5" x14ac:dyDescent="0.45">
      <c r="B238" s="1445" t="s">
        <v>2163</v>
      </c>
      <c r="C238" s="1505" t="s">
        <v>2400</v>
      </c>
      <c r="D238" s="1287">
        <f t="shared" ref="D238:G253" si="13">D164</f>
        <v>5</v>
      </c>
      <c r="E238" s="1541">
        <f t="shared" si="13"/>
        <v>0.95400000000000007</v>
      </c>
      <c r="F238" s="1542">
        <f t="shared" si="13"/>
        <v>102.22222222222223</v>
      </c>
      <c r="G238" s="1375">
        <f t="shared" si="13"/>
        <v>0.1</v>
      </c>
      <c r="H238" s="1376">
        <f t="shared" si="2"/>
        <v>0.64400000000000002</v>
      </c>
      <c r="I238" s="1543">
        <f t="shared" si="10"/>
        <v>889.43</v>
      </c>
      <c r="J238" s="1544">
        <f t="shared" si="11"/>
        <v>2805</v>
      </c>
      <c r="K238" s="1545">
        <f t="shared" si="12"/>
        <v>0.433</v>
      </c>
      <c r="L238" s="1377">
        <f t="shared" si="4"/>
        <v>2188.2801587301592</v>
      </c>
      <c r="M238" s="1546">
        <f t="shared" si="5"/>
        <v>3258.5</v>
      </c>
      <c r="N238" s="1547">
        <f t="shared" si="6"/>
        <v>0.50300552584670233</v>
      </c>
      <c r="O238" s="1378">
        <f t="shared" si="7"/>
        <v>8000</v>
      </c>
      <c r="P238" s="1492"/>
      <c r="Q238" s="1357">
        <f t="shared" si="9"/>
        <v>1589.8433753364816</v>
      </c>
      <c r="R238" s="1548">
        <f t="shared" si="8"/>
        <v>7949.2168766824079</v>
      </c>
    </row>
    <row r="239" spans="2:18" s="1394" customFormat="1" ht="18.5" x14ac:dyDescent="0.45">
      <c r="B239" s="1442" t="s">
        <v>2181</v>
      </c>
      <c r="C239" s="1502" t="s">
        <v>2400</v>
      </c>
      <c r="D239" s="1293">
        <f t="shared" si="13"/>
        <v>0</v>
      </c>
      <c r="E239" s="1533">
        <f t="shared" si="13"/>
        <v>0</v>
      </c>
      <c r="F239" s="1534">
        <f t="shared" si="13"/>
        <v>0</v>
      </c>
      <c r="G239" s="1381">
        <f t="shared" si="13"/>
        <v>0</v>
      </c>
      <c r="H239" s="1382">
        <f t="shared" si="2"/>
        <v>0.64400000000000002</v>
      </c>
      <c r="I239" s="1535">
        <f t="shared" si="10"/>
        <v>1403.6699999999998</v>
      </c>
      <c r="J239" s="1536">
        <f t="shared" si="11"/>
        <v>4237</v>
      </c>
      <c r="K239" s="1537">
        <f t="shared" si="12"/>
        <v>0.437</v>
      </c>
      <c r="L239" s="1383">
        <f t="shared" si="4"/>
        <v>0</v>
      </c>
      <c r="M239" s="1538">
        <f t="shared" si="5"/>
        <v>0</v>
      </c>
      <c r="N239" s="1539">
        <f t="shared" si="6"/>
        <v>0</v>
      </c>
      <c r="O239" s="1364">
        <f t="shared" si="7"/>
        <v>0</v>
      </c>
      <c r="P239" s="1492"/>
      <c r="Q239" s="1365">
        <f t="shared" si="9"/>
        <v>0</v>
      </c>
      <c r="R239" s="1540">
        <f t="shared" si="8"/>
        <v>0</v>
      </c>
    </row>
    <row r="240" spans="2:18" s="1394" customFormat="1" ht="18.5" x14ac:dyDescent="0.45">
      <c r="B240" s="1445" t="s">
        <v>2164</v>
      </c>
      <c r="C240" s="1505" t="s">
        <v>2400</v>
      </c>
      <c r="D240" s="1287">
        <f t="shared" si="13"/>
        <v>0</v>
      </c>
      <c r="E240" s="1541">
        <f t="shared" si="13"/>
        <v>0</v>
      </c>
      <c r="F240" s="1542">
        <f t="shared" si="13"/>
        <v>0</v>
      </c>
      <c r="G240" s="1375">
        <f t="shared" si="13"/>
        <v>0</v>
      </c>
      <c r="H240" s="1376">
        <f t="shared" si="2"/>
        <v>0.64400000000000002</v>
      </c>
      <c r="I240" s="1543">
        <f t="shared" si="10"/>
        <v>511.64</v>
      </c>
      <c r="J240" s="1544">
        <f t="shared" si="11"/>
        <v>4237</v>
      </c>
      <c r="K240" s="1545">
        <f t="shared" si="12"/>
        <v>0.437</v>
      </c>
      <c r="L240" s="1377">
        <f t="shared" si="4"/>
        <v>0</v>
      </c>
      <c r="M240" s="1546">
        <f t="shared" si="5"/>
        <v>0</v>
      </c>
      <c r="N240" s="1547">
        <f t="shared" si="6"/>
        <v>0</v>
      </c>
      <c r="O240" s="1378">
        <f t="shared" si="7"/>
        <v>0</v>
      </c>
      <c r="P240" s="1492"/>
      <c r="Q240" s="1357">
        <f t="shared" si="9"/>
        <v>0</v>
      </c>
      <c r="R240" s="1548">
        <f t="shared" si="8"/>
        <v>0</v>
      </c>
    </row>
    <row r="241" spans="2:18" s="1394" customFormat="1" ht="18.5" x14ac:dyDescent="0.45">
      <c r="B241" s="1442" t="s">
        <v>2336</v>
      </c>
      <c r="C241" s="1502" t="s">
        <v>2400</v>
      </c>
      <c r="D241" s="1293">
        <f t="shared" si="13"/>
        <v>0</v>
      </c>
      <c r="E241" s="1533">
        <f t="shared" si="13"/>
        <v>0</v>
      </c>
      <c r="F241" s="1534">
        <f t="shared" si="13"/>
        <v>0</v>
      </c>
      <c r="G241" s="1381">
        <f t="shared" si="13"/>
        <v>0</v>
      </c>
      <c r="H241" s="1382">
        <f t="shared" si="2"/>
        <v>0.64400000000000002</v>
      </c>
      <c r="I241" s="1535">
        <f t="shared" si="10"/>
        <v>1482.3299999999997</v>
      </c>
      <c r="J241" s="1536">
        <f t="shared" si="11"/>
        <v>4237</v>
      </c>
      <c r="K241" s="1537">
        <f t="shared" si="12"/>
        <v>0.43</v>
      </c>
      <c r="L241" s="1383">
        <f t="shared" si="4"/>
        <v>0</v>
      </c>
      <c r="M241" s="1538">
        <f t="shared" si="5"/>
        <v>0</v>
      </c>
      <c r="N241" s="1539">
        <f t="shared" si="6"/>
        <v>0</v>
      </c>
      <c r="O241" s="1364">
        <f t="shared" si="7"/>
        <v>0</v>
      </c>
      <c r="P241" s="1492"/>
      <c r="Q241" s="1365">
        <f t="shared" si="9"/>
        <v>0</v>
      </c>
      <c r="R241" s="1540">
        <f t="shared" si="8"/>
        <v>0</v>
      </c>
    </row>
    <row r="242" spans="2:18" s="1394" customFormat="1" ht="18.5" x14ac:dyDescent="0.45">
      <c r="B242" s="1445" t="s">
        <v>2165</v>
      </c>
      <c r="C242" s="1505" t="s">
        <v>2400</v>
      </c>
      <c r="D242" s="1287">
        <f t="shared" si="13"/>
        <v>0</v>
      </c>
      <c r="E242" s="1541">
        <f t="shared" si="13"/>
        <v>0</v>
      </c>
      <c r="F242" s="1542">
        <f t="shared" si="13"/>
        <v>0</v>
      </c>
      <c r="G242" s="1375">
        <f t="shared" si="13"/>
        <v>0</v>
      </c>
      <c r="H242" s="1376">
        <f t="shared" si="2"/>
        <v>0.64400000000000002</v>
      </c>
      <c r="I242" s="1543">
        <f t="shared" si="10"/>
        <v>1626.7299999999998</v>
      </c>
      <c r="J242" s="1544">
        <f t="shared" si="11"/>
        <v>2899</v>
      </c>
      <c r="K242" s="1545">
        <f t="shared" si="12"/>
        <v>0.24299999999999999</v>
      </c>
      <c r="L242" s="1377">
        <f t="shared" si="4"/>
        <v>0</v>
      </c>
      <c r="M242" s="1546">
        <f t="shared" si="5"/>
        <v>0</v>
      </c>
      <c r="N242" s="1547">
        <f t="shared" si="6"/>
        <v>0</v>
      </c>
      <c r="O242" s="1378">
        <f t="shared" si="7"/>
        <v>0</v>
      </c>
      <c r="P242" s="1492"/>
      <c r="Q242" s="1357">
        <f t="shared" si="9"/>
        <v>0</v>
      </c>
      <c r="R242" s="1548">
        <f t="shared" si="8"/>
        <v>0</v>
      </c>
    </row>
    <row r="243" spans="2:18" s="1394" customFormat="1" ht="18.5" x14ac:dyDescent="0.45">
      <c r="B243" s="1442" t="s">
        <v>2167</v>
      </c>
      <c r="C243" s="1502" t="s">
        <v>2400</v>
      </c>
      <c r="D243" s="1293">
        <f>D1591</f>
        <v>0</v>
      </c>
      <c r="E243" s="1533">
        <f t="shared" si="13"/>
        <v>0.95400000000000007</v>
      </c>
      <c r="F243" s="1534">
        <f t="shared" si="13"/>
        <v>102.22222222222223</v>
      </c>
      <c r="G243" s="1381">
        <f t="shared" si="13"/>
        <v>0.77777777777777779</v>
      </c>
      <c r="H243" s="1382">
        <f t="shared" si="2"/>
        <v>0.64400000000000002</v>
      </c>
      <c r="I243" s="1535">
        <f t="shared" si="10"/>
        <v>1693.6799999999998</v>
      </c>
      <c r="J243" s="1536">
        <f t="shared" si="11"/>
        <v>2120</v>
      </c>
      <c r="K243" s="1537">
        <f t="shared" si="12"/>
        <v>0.41899999999999998</v>
      </c>
      <c r="L243" s="1383">
        <f t="shared" si="4"/>
        <v>0</v>
      </c>
      <c r="M243" s="1538">
        <f t="shared" si="5"/>
        <v>0</v>
      </c>
      <c r="N243" s="1539">
        <f t="shared" si="6"/>
        <v>0</v>
      </c>
      <c r="O243" s="1364">
        <f t="shared" si="7"/>
        <v>0</v>
      </c>
      <c r="P243" s="1492"/>
      <c r="Q243" s="1365">
        <f t="shared" si="9"/>
        <v>1589.8433753364816</v>
      </c>
      <c r="R243" s="1540">
        <f t="shared" si="8"/>
        <v>0</v>
      </c>
    </row>
    <row r="244" spans="2:18" s="1394" customFormat="1" ht="18.5" x14ac:dyDescent="0.45">
      <c r="B244" s="1445" t="s">
        <v>2168</v>
      </c>
      <c r="C244" s="1505" t="s">
        <v>2400</v>
      </c>
      <c r="D244" s="1287">
        <f t="shared" si="13"/>
        <v>0</v>
      </c>
      <c r="E244" s="1541">
        <f t="shared" si="13"/>
        <v>0</v>
      </c>
      <c r="F244" s="1542">
        <f t="shared" si="13"/>
        <v>0</v>
      </c>
      <c r="G244" s="1375">
        <f t="shared" si="13"/>
        <v>0</v>
      </c>
      <c r="H244" s="1376">
        <f t="shared" si="2"/>
        <v>0.64400000000000002</v>
      </c>
      <c r="I244" s="1543">
        <f t="shared" si="10"/>
        <v>932.08999999999992</v>
      </c>
      <c r="J244" s="1544">
        <f t="shared" si="11"/>
        <v>5682</v>
      </c>
      <c r="K244" s="1545">
        <f t="shared" si="12"/>
        <v>0.503</v>
      </c>
      <c r="L244" s="1377">
        <f t="shared" si="4"/>
        <v>0</v>
      </c>
      <c r="M244" s="1546">
        <f t="shared" si="5"/>
        <v>0</v>
      </c>
      <c r="N244" s="1547">
        <f t="shared" si="6"/>
        <v>0</v>
      </c>
      <c r="O244" s="1378">
        <f t="shared" si="7"/>
        <v>0</v>
      </c>
      <c r="P244" s="1492"/>
      <c r="Q244" s="1357">
        <f t="shared" si="9"/>
        <v>0</v>
      </c>
      <c r="R244" s="1548">
        <f t="shared" si="8"/>
        <v>0</v>
      </c>
    </row>
    <row r="245" spans="2:18" s="1394" customFormat="1" ht="18.5" x14ac:dyDescent="0.45">
      <c r="B245" s="1442" t="s">
        <v>2169</v>
      </c>
      <c r="C245" s="1502" t="s">
        <v>2400</v>
      </c>
      <c r="D245" s="1293">
        <f t="shared" si="13"/>
        <v>0</v>
      </c>
      <c r="E245" s="1533">
        <f t="shared" si="13"/>
        <v>0</v>
      </c>
      <c r="F245" s="1534">
        <f t="shared" si="13"/>
        <v>0</v>
      </c>
      <c r="G245" s="1381">
        <f t="shared" si="13"/>
        <v>0</v>
      </c>
      <c r="H245" s="1382">
        <f t="shared" si="2"/>
        <v>0.64400000000000002</v>
      </c>
      <c r="I245" s="1535">
        <f t="shared" si="10"/>
        <v>1988.38</v>
      </c>
      <c r="J245" s="1536">
        <f t="shared" si="11"/>
        <v>4849</v>
      </c>
      <c r="K245" s="1537">
        <f t="shared" si="12"/>
        <v>0.48299999999999998</v>
      </c>
      <c r="L245" s="1383">
        <f t="shared" si="4"/>
        <v>0</v>
      </c>
      <c r="M245" s="1538">
        <f t="shared" si="5"/>
        <v>0</v>
      </c>
      <c r="N245" s="1539">
        <f t="shared" si="6"/>
        <v>0</v>
      </c>
      <c r="O245" s="1364">
        <f t="shared" si="7"/>
        <v>0</v>
      </c>
      <c r="P245" s="1492"/>
      <c r="Q245" s="1365">
        <f t="shared" si="9"/>
        <v>0</v>
      </c>
      <c r="R245" s="1540">
        <f t="shared" si="8"/>
        <v>0</v>
      </c>
    </row>
    <row r="246" spans="2:18" s="1394" customFormat="1" ht="18.5" x14ac:dyDescent="0.45">
      <c r="B246" s="1445" t="s">
        <v>2170</v>
      </c>
      <c r="C246" s="1505" t="s">
        <v>2400</v>
      </c>
      <c r="D246" s="1287">
        <f t="shared" si="13"/>
        <v>0</v>
      </c>
      <c r="E246" s="1541">
        <f t="shared" si="13"/>
        <v>0</v>
      </c>
      <c r="F246" s="1542">
        <f t="shared" si="13"/>
        <v>0</v>
      </c>
      <c r="G246" s="1375">
        <f t="shared" si="13"/>
        <v>0</v>
      </c>
      <c r="H246" s="1376">
        <f t="shared" si="2"/>
        <v>0.64400000000000002</v>
      </c>
      <c r="I246" s="1543">
        <f t="shared" si="10"/>
        <v>1255.5899999999999</v>
      </c>
      <c r="J246" s="1544">
        <f t="shared" si="11"/>
        <v>2038</v>
      </c>
      <c r="K246" s="1545">
        <f t="shared" si="12"/>
        <v>0.432</v>
      </c>
      <c r="L246" s="1377">
        <f t="shared" si="4"/>
        <v>0</v>
      </c>
      <c r="M246" s="1546">
        <f t="shared" si="5"/>
        <v>0</v>
      </c>
      <c r="N246" s="1547">
        <f t="shared" si="6"/>
        <v>0</v>
      </c>
      <c r="O246" s="1378">
        <f t="shared" si="7"/>
        <v>0</v>
      </c>
      <c r="P246" s="1492"/>
      <c r="Q246" s="1357">
        <f t="shared" si="9"/>
        <v>0</v>
      </c>
      <c r="R246" s="1548">
        <f t="shared" si="8"/>
        <v>0</v>
      </c>
    </row>
    <row r="247" spans="2:18" s="1394" customFormat="1" ht="18.5" x14ac:dyDescent="0.45">
      <c r="B247" s="1442" t="s">
        <v>2171</v>
      </c>
      <c r="C247" s="1502" t="s">
        <v>2400</v>
      </c>
      <c r="D247" s="1293">
        <f t="shared" si="13"/>
        <v>0</v>
      </c>
      <c r="E247" s="1533">
        <f t="shared" si="13"/>
        <v>0</v>
      </c>
      <c r="F247" s="1534">
        <f t="shared" si="13"/>
        <v>0</v>
      </c>
      <c r="G247" s="1381">
        <f t="shared" si="13"/>
        <v>0</v>
      </c>
      <c r="H247" s="1382">
        <f t="shared" si="2"/>
        <v>0.64400000000000002</v>
      </c>
      <c r="I247" s="1535">
        <f t="shared" si="10"/>
        <v>899.42000000000007</v>
      </c>
      <c r="J247" s="1536">
        <f t="shared" si="11"/>
        <v>3069</v>
      </c>
      <c r="K247" s="1537">
        <f t="shared" si="12"/>
        <v>0.46200000000000002</v>
      </c>
      <c r="L247" s="1383">
        <f t="shared" si="4"/>
        <v>0</v>
      </c>
      <c r="M247" s="1538">
        <f t="shared" si="5"/>
        <v>0</v>
      </c>
      <c r="N247" s="1539">
        <f t="shared" si="6"/>
        <v>0</v>
      </c>
      <c r="O247" s="1364">
        <f t="shared" si="7"/>
        <v>0</v>
      </c>
      <c r="P247" s="1492"/>
      <c r="Q247" s="1365">
        <f t="shared" si="9"/>
        <v>0</v>
      </c>
      <c r="R247" s="1540">
        <f t="shared" si="8"/>
        <v>0</v>
      </c>
    </row>
    <row r="248" spans="2:18" s="1394" customFormat="1" ht="18.5" x14ac:dyDescent="0.45">
      <c r="B248" s="1445" t="s">
        <v>2172</v>
      </c>
      <c r="C248" s="1505" t="s">
        <v>2400</v>
      </c>
      <c r="D248" s="1287">
        <f t="shared" si="13"/>
        <v>15</v>
      </c>
      <c r="E248" s="1541">
        <f t="shared" si="13"/>
        <v>0.95594429999999997</v>
      </c>
      <c r="F248" s="1542">
        <f t="shared" si="13"/>
        <v>93</v>
      </c>
      <c r="G248" s="1375">
        <f t="shared" si="13"/>
        <v>1</v>
      </c>
      <c r="H248" s="1376">
        <f t="shared" si="2"/>
        <v>0.64400000000000002</v>
      </c>
      <c r="I248" s="1543">
        <f t="shared" si="10"/>
        <v>2361.0299999999997</v>
      </c>
      <c r="J248" s="1544">
        <f t="shared" si="11"/>
        <v>2481</v>
      </c>
      <c r="K248" s="1545">
        <f t="shared" si="12"/>
        <v>0.47399999999999998</v>
      </c>
      <c r="L248" s="1377">
        <f t="shared" si="4"/>
        <v>15953.901267507059</v>
      </c>
      <c r="M248" s="1546">
        <f t="shared" si="5"/>
        <v>10815</v>
      </c>
      <c r="N248" s="1547">
        <f t="shared" si="6"/>
        <v>2.0662273276904477</v>
      </c>
      <c r="O248" s="1378">
        <f t="shared" si="7"/>
        <v>24000</v>
      </c>
      <c r="P248" s="1492"/>
      <c r="Q248" s="1357">
        <f t="shared" si="9"/>
        <v>1589.8433753364816</v>
      </c>
      <c r="R248" s="1548">
        <f t="shared" si="8"/>
        <v>23847.650630047225</v>
      </c>
    </row>
    <row r="249" spans="2:18" s="1394" customFormat="1" ht="18.5" x14ac:dyDescent="0.45">
      <c r="B249" s="1442" t="s">
        <v>2173</v>
      </c>
      <c r="C249" s="1502" t="s">
        <v>2400</v>
      </c>
      <c r="D249" s="1293">
        <f t="shared" si="13"/>
        <v>0</v>
      </c>
      <c r="E249" s="1533">
        <f t="shared" si="13"/>
        <v>0.96</v>
      </c>
      <c r="F249" s="1534">
        <f t="shared" si="13"/>
        <v>88</v>
      </c>
      <c r="G249" s="1381">
        <f t="shared" si="13"/>
        <v>1</v>
      </c>
      <c r="H249" s="1382">
        <f t="shared" si="2"/>
        <v>0.64400000000000002</v>
      </c>
      <c r="I249" s="1535">
        <f t="shared" si="10"/>
        <v>1479.53</v>
      </c>
      <c r="J249" s="1536">
        <f t="shared" si="11"/>
        <v>1881</v>
      </c>
      <c r="K249" s="1537">
        <f t="shared" si="12"/>
        <v>0.42799999999999999</v>
      </c>
      <c r="L249" s="1383">
        <f t="shared" si="4"/>
        <v>0</v>
      </c>
      <c r="M249" s="1538">
        <f t="shared" si="5"/>
        <v>0</v>
      </c>
      <c r="N249" s="1539">
        <f t="shared" si="6"/>
        <v>0</v>
      </c>
      <c r="O249" s="1364">
        <f t="shared" si="7"/>
        <v>0</v>
      </c>
      <c r="P249" s="1492"/>
      <c r="Q249" s="1365">
        <f t="shared" si="9"/>
        <v>1825.8433753364816</v>
      </c>
      <c r="R249" s="1540">
        <f t="shared" si="8"/>
        <v>0</v>
      </c>
    </row>
    <row r="250" spans="2:18" s="1394" customFormat="1" ht="18.5" x14ac:dyDescent="0.45">
      <c r="B250" s="1445" t="s">
        <v>2174</v>
      </c>
      <c r="C250" s="1505" t="s">
        <v>2400</v>
      </c>
      <c r="D250" s="1287">
        <f t="shared" si="13"/>
        <v>3</v>
      </c>
      <c r="E250" s="1541">
        <f t="shared" si="13"/>
        <v>0.96</v>
      </c>
      <c r="F250" s="1542">
        <f t="shared" si="13"/>
        <v>98</v>
      </c>
      <c r="G250" s="1375">
        <f t="shared" si="13"/>
        <v>0.95</v>
      </c>
      <c r="H250" s="1376">
        <f t="shared" si="2"/>
        <v>0.64400000000000002</v>
      </c>
      <c r="I250" s="1543">
        <f t="shared" ref="I250:I255" si="14">J168</f>
        <v>1389.57</v>
      </c>
      <c r="J250" s="1544">
        <f t="shared" ref="J250:K255" si="15">C113</f>
        <v>2830</v>
      </c>
      <c r="K250" s="1545">
        <f t="shared" si="15"/>
        <v>0.433</v>
      </c>
      <c r="L250" s="1377">
        <f t="shared" si="4"/>
        <v>2004.6057652173909</v>
      </c>
      <c r="M250" s="1546">
        <f t="shared" si="5"/>
        <v>2151.4499999999998</v>
      </c>
      <c r="N250" s="1547">
        <f t="shared" si="6"/>
        <v>0.32917945229681972</v>
      </c>
      <c r="O250" s="1378">
        <f t="shared" si="7"/>
        <v>4800</v>
      </c>
      <c r="P250" s="1492"/>
      <c r="Q250" s="1357">
        <f t="shared" si="9"/>
        <v>1825.8433753364816</v>
      </c>
      <c r="R250" s="1548">
        <f t="shared" si="8"/>
        <v>5477.5301260094448</v>
      </c>
    </row>
    <row r="251" spans="2:18" s="1394" customFormat="1" ht="18.5" x14ac:dyDescent="0.45">
      <c r="B251" s="1442" t="s">
        <v>2175</v>
      </c>
      <c r="C251" s="1502" t="s">
        <v>2400</v>
      </c>
      <c r="D251" s="1293">
        <f t="shared" si="13"/>
        <v>2</v>
      </c>
      <c r="E251" s="1533">
        <f t="shared" si="13"/>
        <v>0.96</v>
      </c>
      <c r="F251" s="1534">
        <f t="shared" si="13"/>
        <v>120</v>
      </c>
      <c r="G251" s="1381">
        <f t="shared" si="13"/>
        <v>1</v>
      </c>
      <c r="H251" s="1382">
        <f t="shared" si="2"/>
        <v>0.64400000000000002</v>
      </c>
      <c r="I251" s="1535">
        <f t="shared" si="14"/>
        <v>1199.5899999999999</v>
      </c>
      <c r="J251" s="1536">
        <f t="shared" si="15"/>
        <v>3350</v>
      </c>
      <c r="K251" s="1537">
        <f t="shared" si="15"/>
        <v>0.48799999999999999</v>
      </c>
      <c r="L251" s="1383">
        <f t="shared" si="4"/>
        <v>1412.6848695652168</v>
      </c>
      <c r="M251" s="1538">
        <f t="shared" si="5"/>
        <v>1442</v>
      </c>
      <c r="N251" s="1539">
        <f t="shared" si="6"/>
        <v>0.21005850746268656</v>
      </c>
      <c r="O251" s="1364">
        <f t="shared" si="7"/>
        <v>3200</v>
      </c>
      <c r="P251" s="1492"/>
      <c r="Q251" s="1365">
        <f t="shared" si="9"/>
        <v>1825.8433753364816</v>
      </c>
      <c r="R251" s="1540">
        <f t="shared" si="8"/>
        <v>3651.6867506729632</v>
      </c>
    </row>
    <row r="252" spans="2:18" s="1394" customFormat="1" ht="18.5" x14ac:dyDescent="0.45">
      <c r="B252" s="1445" t="s">
        <v>2176</v>
      </c>
      <c r="C252" s="1505" t="s">
        <v>2400</v>
      </c>
      <c r="D252" s="1287">
        <f t="shared" si="13"/>
        <v>3</v>
      </c>
      <c r="E252" s="1541">
        <f t="shared" si="13"/>
        <v>0.95499999999999996</v>
      </c>
      <c r="F252" s="1542">
        <f t="shared" si="13"/>
        <v>110</v>
      </c>
      <c r="G252" s="1375">
        <f t="shared" si="13"/>
        <v>0.9</v>
      </c>
      <c r="H252" s="1376">
        <f t="shared" si="2"/>
        <v>0.64400000000000002</v>
      </c>
      <c r="I252" s="1543">
        <f t="shared" si="14"/>
        <v>1196.45</v>
      </c>
      <c r="J252" s="1544">
        <f t="shared" si="15"/>
        <v>2528</v>
      </c>
      <c r="K252" s="1545">
        <f t="shared" si="15"/>
        <v>0.505</v>
      </c>
      <c r="L252" s="1377">
        <f t="shared" si="4"/>
        <v>1906.7028493788821</v>
      </c>
      <c r="M252" s="1546">
        <f t="shared" si="5"/>
        <v>2139.8999999999996</v>
      </c>
      <c r="N252" s="1547">
        <f t="shared" si="6"/>
        <v>0.42747211234177207</v>
      </c>
      <c r="O252" s="1378">
        <f t="shared" si="7"/>
        <v>4800</v>
      </c>
      <c r="P252" s="1492"/>
      <c r="Q252" s="1357">
        <f t="shared" si="9"/>
        <v>1589.8433753364816</v>
      </c>
      <c r="R252" s="1548">
        <f t="shared" si="8"/>
        <v>4769.5301260094448</v>
      </c>
    </row>
    <row r="253" spans="2:18" s="1394" customFormat="1" ht="18.5" x14ac:dyDescent="0.45">
      <c r="B253" s="1442" t="s">
        <v>2177</v>
      </c>
      <c r="C253" s="1502" t="s">
        <v>2400</v>
      </c>
      <c r="D253" s="1293">
        <f t="shared" si="13"/>
        <v>10</v>
      </c>
      <c r="E253" s="1533">
        <f t="shared" si="13"/>
        <v>0.96</v>
      </c>
      <c r="F253" s="1534">
        <f t="shared" si="13"/>
        <v>92.5</v>
      </c>
      <c r="G253" s="1381">
        <f t="shared" si="13"/>
        <v>0.9</v>
      </c>
      <c r="H253" s="1382">
        <f t="shared" si="2"/>
        <v>0.64400000000000002</v>
      </c>
      <c r="I253" s="1535">
        <f t="shared" si="14"/>
        <v>1196.07</v>
      </c>
      <c r="J253" s="1536">
        <f t="shared" si="15"/>
        <v>2266</v>
      </c>
      <c r="K253" s="1537">
        <f t="shared" si="15"/>
        <v>0.52800000000000002</v>
      </c>
      <c r="L253" s="1383">
        <f t="shared" si="4"/>
        <v>5428.7462888198743</v>
      </c>
      <c r="M253" s="1538">
        <f t="shared" si="5"/>
        <v>7133</v>
      </c>
      <c r="N253" s="1539">
        <f t="shared" si="6"/>
        <v>1.6620582524271845</v>
      </c>
      <c r="O253" s="1364">
        <f t="shared" si="7"/>
        <v>16000</v>
      </c>
      <c r="P253" s="1492"/>
      <c r="Q253" s="1365">
        <f t="shared" si="9"/>
        <v>1825.8433753364816</v>
      </c>
      <c r="R253" s="1540">
        <f t="shared" si="8"/>
        <v>18258.433753364814</v>
      </c>
    </row>
    <row r="254" spans="2:18" s="1394" customFormat="1" ht="18.5" x14ac:dyDescent="0.45">
      <c r="B254" s="1445" t="s">
        <v>2027</v>
      </c>
      <c r="C254" s="1505" t="s">
        <v>2400</v>
      </c>
      <c r="D254" s="1287">
        <f t="shared" ref="D254:G269" si="16">D180</f>
        <v>6</v>
      </c>
      <c r="E254" s="1541">
        <f t="shared" si="16"/>
        <v>0.95499999999999996</v>
      </c>
      <c r="F254" s="1542">
        <f t="shared" si="16"/>
        <v>80</v>
      </c>
      <c r="G254" s="1375">
        <f t="shared" si="16"/>
        <v>0.1</v>
      </c>
      <c r="H254" s="1376">
        <f t="shared" si="2"/>
        <v>0.64400000000000002</v>
      </c>
      <c r="I254" s="1543">
        <f t="shared" si="14"/>
        <v>1203.02</v>
      </c>
      <c r="J254" s="1544">
        <f t="shared" si="15"/>
        <v>770</v>
      </c>
      <c r="K254" s="1545">
        <f t="shared" si="15"/>
        <v>0.22500000000000001</v>
      </c>
      <c r="L254" s="1377">
        <f t="shared" si="4"/>
        <v>2788.6153043478257</v>
      </c>
      <c r="M254" s="1546">
        <f t="shared" si="5"/>
        <v>3910.2000000000003</v>
      </c>
      <c r="N254" s="1547">
        <f t="shared" si="6"/>
        <v>1.1425909090909092</v>
      </c>
      <c r="O254" s="1378">
        <f t="shared" si="7"/>
        <v>9600</v>
      </c>
      <c r="P254" s="1492"/>
      <c r="Q254" s="1357">
        <f t="shared" si="9"/>
        <v>1589.8433753364816</v>
      </c>
      <c r="R254" s="1548">
        <f t="shared" si="8"/>
        <v>9539.0602520188895</v>
      </c>
    </row>
    <row r="255" spans="2:18" s="1394" customFormat="1" ht="18.5" x14ac:dyDescent="0.45">
      <c r="B255" s="1442" t="s">
        <v>536</v>
      </c>
      <c r="C255" s="1502" t="s">
        <v>2400</v>
      </c>
      <c r="D255" s="1293">
        <f t="shared" si="16"/>
        <v>5</v>
      </c>
      <c r="E255" s="1533">
        <f t="shared" si="16"/>
        <v>0.96</v>
      </c>
      <c r="F255" s="1534">
        <f t="shared" si="16"/>
        <v>96</v>
      </c>
      <c r="G255" s="1381">
        <f t="shared" si="16"/>
        <v>0.9</v>
      </c>
      <c r="H255" s="1382">
        <f t="shared" si="2"/>
        <v>0.64400000000000002</v>
      </c>
      <c r="I255" s="1535">
        <f t="shared" si="14"/>
        <v>1513.01</v>
      </c>
      <c r="J255" s="1536">
        <f t="shared" si="15"/>
        <v>2718</v>
      </c>
      <c r="K255" s="1537">
        <f t="shared" si="15"/>
        <v>0.42399999999999999</v>
      </c>
      <c r="L255" s="1383">
        <f t="shared" si="4"/>
        <v>3563.5614409937884</v>
      </c>
      <c r="M255" s="1538">
        <f t="shared" si="5"/>
        <v>3566.5</v>
      </c>
      <c r="N255" s="1539">
        <f t="shared" si="6"/>
        <v>0.55636350257542311</v>
      </c>
      <c r="O255" s="1364">
        <f t="shared" si="7"/>
        <v>8000</v>
      </c>
      <c r="P255" s="1492"/>
      <c r="Q255" s="1390">
        <f t="shared" si="9"/>
        <v>1825.8433753364816</v>
      </c>
      <c r="R255" s="1561">
        <f t="shared" si="8"/>
        <v>9129.216876682407</v>
      </c>
    </row>
    <row r="256" spans="2:18" s="1394" customFormat="1" ht="18.5" x14ac:dyDescent="0.45">
      <c r="B256" s="1435" t="s">
        <v>2180</v>
      </c>
      <c r="C256" s="1499" t="s">
        <v>2401</v>
      </c>
      <c r="D256" s="1549">
        <f t="shared" si="16"/>
        <v>0</v>
      </c>
      <c r="E256" s="1550">
        <f t="shared" si="16"/>
        <v>0</v>
      </c>
      <c r="F256" s="1551">
        <f t="shared" si="16"/>
        <v>0</v>
      </c>
      <c r="G256" s="1552">
        <f t="shared" si="16"/>
        <v>0</v>
      </c>
      <c r="H256" s="1553">
        <f t="shared" ref="H256:H289" si="17">$C$78</f>
        <v>0.64400000000000002</v>
      </c>
      <c r="I256" s="1554">
        <f t="shared" ref="I256:I257" si="18">J137</f>
        <v>1607.3</v>
      </c>
      <c r="J256" s="1555">
        <f>C82</f>
        <v>2150</v>
      </c>
      <c r="K256" s="1556">
        <f>D82</f>
        <v>0.48299999999999998</v>
      </c>
      <c r="L256" s="1557">
        <f>IFERROR(D256*I256*F256*1000*(E256-H256)/H256/100000,0)</f>
        <v>0</v>
      </c>
      <c r="M256" s="1558">
        <f>D256*(G256*721+(1-G256)*644)</f>
        <v>0</v>
      </c>
      <c r="N256" s="1559">
        <f>IFERROR(M256/J256*K256,0)</f>
        <v>0</v>
      </c>
      <c r="O256" s="1560">
        <f>D256*$C$131</f>
        <v>0</v>
      </c>
      <c r="P256" s="1492"/>
      <c r="Q256" s="1357">
        <f t="shared" si="9"/>
        <v>0</v>
      </c>
      <c r="R256" s="1548">
        <f t="shared" si="8"/>
        <v>0</v>
      </c>
    </row>
    <row r="257" spans="2:18" s="1394" customFormat="1" ht="18.5" x14ac:dyDescent="0.45">
      <c r="B257" s="1442" t="s">
        <v>2071</v>
      </c>
      <c r="C257" s="1502" t="s">
        <v>2401</v>
      </c>
      <c r="D257" s="1287">
        <f t="shared" si="16"/>
        <v>0</v>
      </c>
      <c r="E257" s="1541">
        <f t="shared" si="16"/>
        <v>0</v>
      </c>
      <c r="F257" s="1542">
        <f t="shared" si="16"/>
        <v>0</v>
      </c>
      <c r="G257" s="1375">
        <f t="shared" si="16"/>
        <v>0</v>
      </c>
      <c r="H257" s="1376">
        <f t="shared" si="17"/>
        <v>0.64400000000000002</v>
      </c>
      <c r="I257" s="1543">
        <f t="shared" si="18"/>
        <v>1431.9299999999996</v>
      </c>
      <c r="J257" s="1544">
        <f>C83</f>
        <v>4373</v>
      </c>
      <c r="K257" s="1545">
        <f>D83</f>
        <v>0.52900000000000003</v>
      </c>
      <c r="L257" s="1377">
        <f t="shared" ref="L257:L289" si="19">IFERROR(D257*I257*F257*1000*(E257-H257)/H257/100000,0)</f>
        <v>0</v>
      </c>
      <c r="M257" s="1546">
        <f t="shared" ref="M257:M289" si="20">D257*(G257*721+(1-G257)*644)</f>
        <v>0</v>
      </c>
      <c r="N257" s="1547">
        <f t="shared" ref="N257:N289" si="21">IFERROR(M257/J257*K257,0)</f>
        <v>0</v>
      </c>
      <c r="O257" s="1378">
        <f t="shared" ref="O257:O289" si="22">D257*$C$131</f>
        <v>0</v>
      </c>
      <c r="P257" s="1492"/>
      <c r="Q257" s="1365">
        <f t="shared" si="9"/>
        <v>0</v>
      </c>
      <c r="R257" s="1540">
        <f t="shared" si="8"/>
        <v>0</v>
      </c>
    </row>
    <row r="258" spans="2:18" s="1394" customFormat="1" ht="18.5" x14ac:dyDescent="0.45">
      <c r="B258" s="1445" t="s">
        <v>2157</v>
      </c>
      <c r="C258" s="1505" t="s">
        <v>2401</v>
      </c>
      <c r="D258" s="1293">
        <f t="shared" si="16"/>
        <v>0</v>
      </c>
      <c r="E258" s="1533">
        <f t="shared" si="16"/>
        <v>0</v>
      </c>
      <c r="F258" s="1534">
        <f t="shared" si="16"/>
        <v>0</v>
      </c>
      <c r="G258" s="1381">
        <f t="shared" si="16"/>
        <v>0</v>
      </c>
      <c r="H258" s="1382">
        <f t="shared" si="17"/>
        <v>0.64400000000000002</v>
      </c>
      <c r="I258" s="1535">
        <f>J140</f>
        <v>1171.77</v>
      </c>
      <c r="J258" s="1536">
        <f>C85</f>
        <v>1605</v>
      </c>
      <c r="K258" s="1537">
        <f>D85</f>
        <v>0.14199999999999999</v>
      </c>
      <c r="L258" s="1383">
        <f t="shared" si="19"/>
        <v>0</v>
      </c>
      <c r="M258" s="1538">
        <f t="shared" si="20"/>
        <v>0</v>
      </c>
      <c r="N258" s="1539">
        <f t="shared" si="21"/>
        <v>0</v>
      </c>
      <c r="O258" s="1364">
        <f t="shared" si="22"/>
        <v>0</v>
      </c>
      <c r="P258" s="1492"/>
      <c r="Q258" s="1357">
        <f t="shared" si="9"/>
        <v>0</v>
      </c>
      <c r="R258" s="1548">
        <f t="shared" si="8"/>
        <v>0</v>
      </c>
    </row>
    <row r="259" spans="2:18" s="1394" customFormat="1" ht="18.5" x14ac:dyDescent="0.45">
      <c r="B259" s="1442" t="s">
        <v>2158</v>
      </c>
      <c r="C259" s="1502" t="s">
        <v>2401</v>
      </c>
      <c r="D259" s="1287">
        <f t="shared" si="16"/>
        <v>0</v>
      </c>
      <c r="E259" s="1541">
        <f t="shared" si="16"/>
        <v>0</v>
      </c>
      <c r="F259" s="1542">
        <f t="shared" si="16"/>
        <v>0</v>
      </c>
      <c r="G259" s="1375">
        <f t="shared" si="16"/>
        <v>0</v>
      </c>
      <c r="H259" s="1376">
        <f t="shared" si="17"/>
        <v>0.64400000000000002</v>
      </c>
      <c r="I259" s="1543">
        <f>J141</f>
        <v>1190.8900000000001</v>
      </c>
      <c r="J259" s="1544">
        <f>C86</f>
        <v>2084</v>
      </c>
      <c r="K259" s="1545">
        <f>D86</f>
        <v>0.57099999999999995</v>
      </c>
      <c r="L259" s="1377">
        <f t="shared" si="19"/>
        <v>0</v>
      </c>
      <c r="M259" s="1546">
        <f t="shared" si="20"/>
        <v>0</v>
      </c>
      <c r="N259" s="1547">
        <f t="shared" si="21"/>
        <v>0</v>
      </c>
      <c r="O259" s="1378">
        <f t="shared" si="22"/>
        <v>0</v>
      </c>
      <c r="P259" s="1492"/>
      <c r="Q259" s="1365">
        <f t="shared" si="9"/>
        <v>0</v>
      </c>
      <c r="R259" s="1540">
        <f t="shared" si="8"/>
        <v>0</v>
      </c>
    </row>
    <row r="260" spans="2:18" s="1394" customFormat="1" ht="18.5" x14ac:dyDescent="0.45">
      <c r="B260" s="1445" t="s">
        <v>2028</v>
      </c>
      <c r="C260" s="1505" t="s">
        <v>2401</v>
      </c>
      <c r="D260" s="1293">
        <f t="shared" si="16"/>
        <v>0</v>
      </c>
      <c r="E260" s="1533">
        <f t="shared" si="16"/>
        <v>0</v>
      </c>
      <c r="F260" s="1534">
        <f t="shared" si="16"/>
        <v>0</v>
      </c>
      <c r="G260" s="1381">
        <f t="shared" si="16"/>
        <v>0</v>
      </c>
      <c r="H260" s="1382">
        <f t="shared" si="17"/>
        <v>0.64400000000000002</v>
      </c>
      <c r="I260" s="1535">
        <f t="shared" ref="I260:I283" si="23">J143</f>
        <v>1420.56</v>
      </c>
      <c r="J260" s="1536">
        <f t="shared" ref="J260:J283" si="24">C88</f>
        <v>3276</v>
      </c>
      <c r="K260" s="1537">
        <f t="shared" ref="K260:K283" si="25">D88</f>
        <v>0.33300000000000002</v>
      </c>
      <c r="L260" s="1383">
        <f t="shared" si="19"/>
        <v>0</v>
      </c>
      <c r="M260" s="1538">
        <f t="shared" si="20"/>
        <v>0</v>
      </c>
      <c r="N260" s="1539">
        <f t="shared" si="21"/>
        <v>0</v>
      </c>
      <c r="O260" s="1364">
        <f t="shared" si="22"/>
        <v>0</v>
      </c>
      <c r="P260" s="1492"/>
      <c r="Q260" s="1357">
        <f t="shared" si="9"/>
        <v>0</v>
      </c>
      <c r="R260" s="1548">
        <f t="shared" si="8"/>
        <v>0</v>
      </c>
    </row>
    <row r="261" spans="2:18" s="1394" customFormat="1" ht="18.5" x14ac:dyDescent="0.45">
      <c r="B261" s="1442" t="s">
        <v>2109</v>
      </c>
      <c r="C261" s="1502" t="s">
        <v>2401</v>
      </c>
      <c r="D261" s="1287">
        <f t="shared" si="16"/>
        <v>0</v>
      </c>
      <c r="E261" s="1541">
        <f t="shared" si="16"/>
        <v>0</v>
      </c>
      <c r="F261" s="1542">
        <f t="shared" si="16"/>
        <v>0</v>
      </c>
      <c r="G261" s="1375">
        <f t="shared" si="16"/>
        <v>0</v>
      </c>
      <c r="H261" s="1376">
        <f t="shared" si="17"/>
        <v>0.64400000000000002</v>
      </c>
      <c r="I261" s="1543">
        <f t="shared" si="23"/>
        <v>851.00000000000011</v>
      </c>
      <c r="J261" s="1544">
        <f t="shared" si="24"/>
        <v>2102</v>
      </c>
      <c r="K261" s="1545">
        <f t="shared" si="25"/>
        <v>0.61899999999999999</v>
      </c>
      <c r="L261" s="1377">
        <f t="shared" si="19"/>
        <v>0</v>
      </c>
      <c r="M261" s="1546">
        <f t="shared" si="20"/>
        <v>0</v>
      </c>
      <c r="N261" s="1547">
        <f t="shared" si="21"/>
        <v>0</v>
      </c>
      <c r="O261" s="1378">
        <f t="shared" si="22"/>
        <v>0</v>
      </c>
      <c r="P261" s="1492"/>
      <c r="Q261" s="1365">
        <f t="shared" si="9"/>
        <v>0</v>
      </c>
      <c r="R261" s="1540">
        <f t="shared" si="8"/>
        <v>0</v>
      </c>
    </row>
    <row r="262" spans="2:18" s="1394" customFormat="1" ht="18.5" x14ac:dyDescent="0.45">
      <c r="B262" s="1445" t="s">
        <v>2026</v>
      </c>
      <c r="C262" s="1505" t="s">
        <v>2401</v>
      </c>
      <c r="D262" s="1293">
        <f t="shared" si="16"/>
        <v>0</v>
      </c>
      <c r="E262" s="1533">
        <f t="shared" si="16"/>
        <v>0</v>
      </c>
      <c r="F262" s="1534">
        <f t="shared" si="16"/>
        <v>0</v>
      </c>
      <c r="G262" s="1381">
        <f t="shared" si="16"/>
        <v>0</v>
      </c>
      <c r="H262" s="1382">
        <f t="shared" si="17"/>
        <v>0.64400000000000002</v>
      </c>
      <c r="I262" s="1535">
        <f t="shared" si="23"/>
        <v>1409.85</v>
      </c>
      <c r="J262" s="1536">
        <f t="shared" si="24"/>
        <v>2096</v>
      </c>
      <c r="K262" s="1537">
        <f t="shared" si="25"/>
        <v>0.47499999999999998</v>
      </c>
      <c r="L262" s="1383">
        <f t="shared" si="19"/>
        <v>0</v>
      </c>
      <c r="M262" s="1538">
        <f t="shared" si="20"/>
        <v>0</v>
      </c>
      <c r="N262" s="1539">
        <f t="shared" si="21"/>
        <v>0</v>
      </c>
      <c r="O262" s="1364">
        <f t="shared" si="22"/>
        <v>0</v>
      </c>
      <c r="P262" s="1492"/>
      <c r="Q262" s="1357">
        <f t="shared" si="9"/>
        <v>0</v>
      </c>
      <c r="R262" s="1548">
        <f t="shared" si="8"/>
        <v>0</v>
      </c>
    </row>
    <row r="263" spans="2:18" s="1394" customFormat="1" ht="18.5" x14ac:dyDescent="0.45">
      <c r="B263" s="1442" t="s">
        <v>2075</v>
      </c>
      <c r="C263" s="1502" t="s">
        <v>2401</v>
      </c>
      <c r="D263" s="1287">
        <f t="shared" si="16"/>
        <v>0</v>
      </c>
      <c r="E263" s="1541">
        <f t="shared" si="16"/>
        <v>0</v>
      </c>
      <c r="F263" s="1542">
        <f t="shared" si="16"/>
        <v>0</v>
      </c>
      <c r="G263" s="1375">
        <f t="shared" si="16"/>
        <v>0</v>
      </c>
      <c r="H263" s="1376">
        <f t="shared" si="17"/>
        <v>0.64400000000000002</v>
      </c>
      <c r="I263" s="1543">
        <f t="shared" si="23"/>
        <v>1490</v>
      </c>
      <c r="J263" s="1544">
        <f t="shared" si="24"/>
        <v>1987</v>
      </c>
      <c r="K263" s="1545">
        <f t="shared" si="25"/>
        <v>0.61899999999999999</v>
      </c>
      <c r="L263" s="1377">
        <f t="shared" si="19"/>
        <v>0</v>
      </c>
      <c r="M263" s="1546">
        <f t="shared" si="20"/>
        <v>0</v>
      </c>
      <c r="N263" s="1547">
        <f t="shared" si="21"/>
        <v>0</v>
      </c>
      <c r="O263" s="1378">
        <f t="shared" si="22"/>
        <v>0</v>
      </c>
      <c r="P263" s="1492"/>
      <c r="Q263" s="1365">
        <f t="shared" si="9"/>
        <v>0</v>
      </c>
      <c r="R263" s="1540">
        <f t="shared" si="8"/>
        <v>0</v>
      </c>
    </row>
    <row r="264" spans="2:18" s="1394" customFormat="1" ht="18.5" x14ac:dyDescent="0.45">
      <c r="B264" s="1445" t="s">
        <v>2029</v>
      </c>
      <c r="C264" s="1505" t="s">
        <v>2401</v>
      </c>
      <c r="D264" s="1293">
        <f t="shared" si="16"/>
        <v>0</v>
      </c>
      <c r="E264" s="1533">
        <f t="shared" si="16"/>
        <v>0</v>
      </c>
      <c r="F264" s="1534">
        <f t="shared" si="16"/>
        <v>0</v>
      </c>
      <c r="G264" s="1381">
        <f t="shared" si="16"/>
        <v>0</v>
      </c>
      <c r="H264" s="1382">
        <f t="shared" si="17"/>
        <v>0.64400000000000002</v>
      </c>
      <c r="I264" s="1535">
        <f t="shared" si="23"/>
        <v>1688.9699999999998</v>
      </c>
      <c r="J264" s="1536">
        <f t="shared" si="24"/>
        <v>3141</v>
      </c>
      <c r="K264" s="1537">
        <f t="shared" si="25"/>
        <v>0.28799999999999998</v>
      </c>
      <c r="L264" s="1383">
        <f t="shared" si="19"/>
        <v>0</v>
      </c>
      <c r="M264" s="1538">
        <f t="shared" si="20"/>
        <v>0</v>
      </c>
      <c r="N264" s="1539">
        <f t="shared" si="21"/>
        <v>0</v>
      </c>
      <c r="O264" s="1364">
        <f t="shared" si="22"/>
        <v>0</v>
      </c>
      <c r="P264" s="1492"/>
      <c r="Q264" s="1357">
        <f t="shared" si="9"/>
        <v>0</v>
      </c>
      <c r="R264" s="1548">
        <f t="shared" si="8"/>
        <v>0</v>
      </c>
    </row>
    <row r="265" spans="2:18" s="1394" customFormat="1" ht="18.5" x14ac:dyDescent="0.45">
      <c r="B265" s="1442" t="s">
        <v>2356</v>
      </c>
      <c r="C265" s="1502" t="s">
        <v>2401</v>
      </c>
      <c r="D265" s="1287">
        <f t="shared" si="16"/>
        <v>0</v>
      </c>
      <c r="E265" s="1541">
        <f t="shared" si="16"/>
        <v>0</v>
      </c>
      <c r="F265" s="1542">
        <f t="shared" si="16"/>
        <v>0</v>
      </c>
      <c r="G265" s="1375">
        <f t="shared" si="16"/>
        <v>0</v>
      </c>
      <c r="H265" s="1376">
        <f t="shared" si="17"/>
        <v>0.64400000000000002</v>
      </c>
      <c r="I265" s="1543">
        <f t="shared" si="23"/>
        <v>1095.3800000000001</v>
      </c>
      <c r="J265" s="1544">
        <f t="shared" si="24"/>
        <v>8760</v>
      </c>
      <c r="K265" s="1545">
        <f t="shared" si="25"/>
        <v>0.64800000000000002</v>
      </c>
      <c r="L265" s="1377">
        <f t="shared" si="19"/>
        <v>0</v>
      </c>
      <c r="M265" s="1546">
        <f t="shared" si="20"/>
        <v>0</v>
      </c>
      <c r="N265" s="1547">
        <f t="shared" si="21"/>
        <v>0</v>
      </c>
      <c r="O265" s="1378">
        <f t="shared" si="22"/>
        <v>0</v>
      </c>
      <c r="P265" s="1492"/>
      <c r="Q265" s="1365">
        <f t="shared" si="9"/>
        <v>0</v>
      </c>
      <c r="R265" s="1540">
        <f t="shared" si="8"/>
        <v>0</v>
      </c>
    </row>
    <row r="266" spans="2:18" s="1394" customFormat="1" ht="18.5" x14ac:dyDescent="0.45">
      <c r="B266" s="1445" t="s">
        <v>2357</v>
      </c>
      <c r="C266" s="1505" t="s">
        <v>2401</v>
      </c>
      <c r="D266" s="1293">
        <f t="shared" si="16"/>
        <v>0</v>
      </c>
      <c r="E266" s="1533">
        <f t="shared" si="16"/>
        <v>0</v>
      </c>
      <c r="F266" s="1534">
        <f t="shared" si="16"/>
        <v>0</v>
      </c>
      <c r="G266" s="1381">
        <f t="shared" si="16"/>
        <v>0</v>
      </c>
      <c r="H266" s="1382">
        <f t="shared" si="17"/>
        <v>0.64400000000000002</v>
      </c>
      <c r="I266" s="1535">
        <f t="shared" si="23"/>
        <v>1283.6899999999998</v>
      </c>
      <c r="J266" s="1536">
        <f t="shared" si="24"/>
        <v>2881</v>
      </c>
      <c r="K266" s="1537">
        <f t="shared" si="25"/>
        <v>0.61499999999999999</v>
      </c>
      <c r="L266" s="1383">
        <f t="shared" si="19"/>
        <v>0</v>
      </c>
      <c r="M266" s="1538">
        <f t="shared" si="20"/>
        <v>0</v>
      </c>
      <c r="N266" s="1539">
        <f t="shared" si="21"/>
        <v>0</v>
      </c>
      <c r="O266" s="1364">
        <f t="shared" si="22"/>
        <v>0</v>
      </c>
      <c r="P266" s="1492"/>
      <c r="Q266" s="1357">
        <f t="shared" si="9"/>
        <v>0</v>
      </c>
      <c r="R266" s="1548">
        <f t="shared" si="8"/>
        <v>0</v>
      </c>
    </row>
    <row r="267" spans="2:18" s="1394" customFormat="1" ht="18.5" x14ac:dyDescent="0.45">
      <c r="B267" s="1442" t="s">
        <v>2358</v>
      </c>
      <c r="C267" s="1502" t="s">
        <v>2401</v>
      </c>
      <c r="D267" s="1287">
        <f t="shared" si="16"/>
        <v>0</v>
      </c>
      <c r="E267" s="1541">
        <f t="shared" si="16"/>
        <v>0</v>
      </c>
      <c r="F267" s="1542">
        <f t="shared" si="16"/>
        <v>0</v>
      </c>
      <c r="G267" s="1375">
        <f t="shared" si="16"/>
        <v>0</v>
      </c>
      <c r="H267" s="1376">
        <f t="shared" si="17"/>
        <v>0.64400000000000002</v>
      </c>
      <c r="I267" s="1543">
        <f t="shared" si="23"/>
        <v>646.43000000000006</v>
      </c>
      <c r="J267" s="1544">
        <f t="shared" si="24"/>
        <v>2788</v>
      </c>
      <c r="K267" s="1545">
        <f t="shared" si="25"/>
        <v>0.57599999999999996</v>
      </c>
      <c r="L267" s="1377">
        <f t="shared" si="19"/>
        <v>0</v>
      </c>
      <c r="M267" s="1546">
        <f t="shared" si="20"/>
        <v>0</v>
      </c>
      <c r="N267" s="1547">
        <f t="shared" si="21"/>
        <v>0</v>
      </c>
      <c r="O267" s="1378">
        <f t="shared" si="22"/>
        <v>0</v>
      </c>
      <c r="P267" s="1492"/>
      <c r="Q267" s="1365">
        <f t="shared" si="9"/>
        <v>0</v>
      </c>
      <c r="R267" s="1540">
        <f t="shared" si="8"/>
        <v>0</v>
      </c>
    </row>
    <row r="268" spans="2:18" s="1394" customFormat="1" ht="18.5" x14ac:dyDescent="0.45">
      <c r="B268" s="1445" t="s">
        <v>2162</v>
      </c>
      <c r="C268" s="1505" t="s">
        <v>2401</v>
      </c>
      <c r="D268" s="1293">
        <f t="shared" si="16"/>
        <v>0</v>
      </c>
      <c r="E268" s="1533">
        <f t="shared" si="16"/>
        <v>0</v>
      </c>
      <c r="F268" s="1534">
        <f t="shared" si="16"/>
        <v>0</v>
      </c>
      <c r="G268" s="1381">
        <f t="shared" si="16"/>
        <v>0</v>
      </c>
      <c r="H268" s="1382">
        <f t="shared" si="17"/>
        <v>0.64400000000000002</v>
      </c>
      <c r="I268" s="1535">
        <f t="shared" si="23"/>
        <v>1395.0699999999997</v>
      </c>
      <c r="J268" s="1536">
        <f t="shared" si="24"/>
        <v>8729</v>
      </c>
      <c r="K268" s="1537">
        <f t="shared" si="25"/>
        <v>0.60899999999999999</v>
      </c>
      <c r="L268" s="1383">
        <f t="shared" si="19"/>
        <v>0</v>
      </c>
      <c r="M268" s="1538">
        <f t="shared" si="20"/>
        <v>0</v>
      </c>
      <c r="N268" s="1539">
        <f t="shared" si="21"/>
        <v>0</v>
      </c>
      <c r="O268" s="1364">
        <f t="shared" si="22"/>
        <v>0</v>
      </c>
      <c r="P268" s="1492"/>
      <c r="Q268" s="1357">
        <f t="shared" si="9"/>
        <v>0</v>
      </c>
      <c r="R268" s="1548">
        <f t="shared" si="8"/>
        <v>0</v>
      </c>
    </row>
    <row r="269" spans="2:18" s="1394" customFormat="1" ht="18.5" x14ac:dyDescent="0.45">
      <c r="B269" s="1442" t="s">
        <v>2325</v>
      </c>
      <c r="C269" s="1502" t="s">
        <v>2401</v>
      </c>
      <c r="D269" s="1287">
        <f t="shared" si="16"/>
        <v>0</v>
      </c>
      <c r="E269" s="1541">
        <f t="shared" si="16"/>
        <v>0</v>
      </c>
      <c r="F269" s="1542">
        <f t="shared" si="16"/>
        <v>0</v>
      </c>
      <c r="G269" s="1375">
        <f t="shared" si="16"/>
        <v>0</v>
      </c>
      <c r="H269" s="1376">
        <f t="shared" si="17"/>
        <v>0.64400000000000002</v>
      </c>
      <c r="I269" s="1543">
        <f t="shared" si="23"/>
        <v>1494.11</v>
      </c>
      <c r="J269" s="1544">
        <f t="shared" si="24"/>
        <v>8712</v>
      </c>
      <c r="K269" s="1545">
        <f t="shared" si="25"/>
        <v>0.629</v>
      </c>
      <c r="L269" s="1377">
        <f t="shared" si="19"/>
        <v>0</v>
      </c>
      <c r="M269" s="1546">
        <f t="shared" si="20"/>
        <v>0</v>
      </c>
      <c r="N269" s="1547">
        <f t="shared" si="21"/>
        <v>0</v>
      </c>
      <c r="O269" s="1378">
        <f t="shared" si="22"/>
        <v>0</v>
      </c>
      <c r="P269" s="1492"/>
      <c r="Q269" s="1365">
        <f t="shared" si="9"/>
        <v>0</v>
      </c>
      <c r="R269" s="1540">
        <f t="shared" si="8"/>
        <v>0</v>
      </c>
    </row>
    <row r="270" spans="2:18" s="1394" customFormat="1" ht="18.5" x14ac:dyDescent="0.45">
      <c r="B270" s="1445" t="s">
        <v>2073</v>
      </c>
      <c r="C270" s="1505" t="s">
        <v>2401</v>
      </c>
      <c r="D270" s="1293">
        <f t="shared" ref="D270:G285" si="26">D196</f>
        <v>0</v>
      </c>
      <c r="E270" s="1533">
        <f t="shared" si="26"/>
        <v>0</v>
      </c>
      <c r="F270" s="1534">
        <f t="shared" si="26"/>
        <v>0</v>
      </c>
      <c r="G270" s="1381">
        <f t="shared" si="26"/>
        <v>0</v>
      </c>
      <c r="H270" s="1382">
        <f t="shared" si="17"/>
        <v>0.64400000000000002</v>
      </c>
      <c r="I270" s="1535">
        <f t="shared" si="23"/>
        <v>1586.1399999999999</v>
      </c>
      <c r="J270" s="1536">
        <f t="shared" si="24"/>
        <v>8712</v>
      </c>
      <c r="K270" s="1537">
        <f t="shared" si="25"/>
        <v>0.64600000000000002</v>
      </c>
      <c r="L270" s="1383">
        <f t="shared" si="19"/>
        <v>0</v>
      </c>
      <c r="M270" s="1538">
        <f t="shared" si="20"/>
        <v>0</v>
      </c>
      <c r="N270" s="1539">
        <f t="shared" si="21"/>
        <v>0</v>
      </c>
      <c r="O270" s="1364">
        <f t="shared" si="22"/>
        <v>0</v>
      </c>
      <c r="P270" s="1492"/>
      <c r="Q270" s="1357">
        <f t="shared" si="9"/>
        <v>0</v>
      </c>
      <c r="R270" s="1548">
        <f t="shared" si="8"/>
        <v>0</v>
      </c>
    </row>
    <row r="271" spans="2:18" s="1394" customFormat="1" ht="18.5" x14ac:dyDescent="0.45">
      <c r="B271" s="1442" t="s">
        <v>2166</v>
      </c>
      <c r="C271" s="1502" t="s">
        <v>2401</v>
      </c>
      <c r="D271" s="1287">
        <f t="shared" si="26"/>
        <v>0</v>
      </c>
      <c r="E271" s="1541">
        <f t="shared" si="26"/>
        <v>0</v>
      </c>
      <c r="F271" s="1542">
        <f t="shared" si="26"/>
        <v>0</v>
      </c>
      <c r="G271" s="1375">
        <f t="shared" si="26"/>
        <v>0</v>
      </c>
      <c r="H271" s="1376">
        <f t="shared" si="17"/>
        <v>0.64400000000000002</v>
      </c>
      <c r="I271" s="1543">
        <f t="shared" si="23"/>
        <v>1454.33</v>
      </c>
      <c r="J271" s="1544">
        <f t="shared" si="24"/>
        <v>4479</v>
      </c>
      <c r="K271" s="1545">
        <f t="shared" si="25"/>
        <v>0.629</v>
      </c>
      <c r="L271" s="1377">
        <f t="shared" si="19"/>
        <v>0</v>
      </c>
      <c r="M271" s="1546">
        <f t="shared" si="20"/>
        <v>0</v>
      </c>
      <c r="N271" s="1547">
        <f t="shared" si="21"/>
        <v>0</v>
      </c>
      <c r="O271" s="1378">
        <f t="shared" si="22"/>
        <v>0</v>
      </c>
      <c r="P271" s="1492"/>
      <c r="Q271" s="1365">
        <f t="shared" si="9"/>
        <v>0</v>
      </c>
      <c r="R271" s="1540">
        <f t="shared" si="8"/>
        <v>0</v>
      </c>
    </row>
    <row r="272" spans="2:18" s="1394" customFormat="1" ht="18.5" x14ac:dyDescent="0.45">
      <c r="B272" s="1445" t="s">
        <v>2163</v>
      </c>
      <c r="C272" s="1505" t="s">
        <v>2401</v>
      </c>
      <c r="D272" s="1293">
        <f t="shared" si="26"/>
        <v>0</v>
      </c>
      <c r="E272" s="1533">
        <f t="shared" si="26"/>
        <v>0</v>
      </c>
      <c r="F272" s="1534">
        <f t="shared" si="26"/>
        <v>0</v>
      </c>
      <c r="G272" s="1381">
        <f t="shared" si="26"/>
        <v>0</v>
      </c>
      <c r="H272" s="1382">
        <f t="shared" si="17"/>
        <v>0.64400000000000002</v>
      </c>
      <c r="I272" s="1535">
        <f t="shared" si="23"/>
        <v>889.43</v>
      </c>
      <c r="J272" s="1536">
        <f t="shared" si="24"/>
        <v>2805</v>
      </c>
      <c r="K272" s="1537">
        <f t="shared" si="25"/>
        <v>0.433</v>
      </c>
      <c r="L272" s="1383">
        <f t="shared" si="19"/>
        <v>0</v>
      </c>
      <c r="M272" s="1538">
        <f t="shared" si="20"/>
        <v>0</v>
      </c>
      <c r="N272" s="1539">
        <f t="shared" si="21"/>
        <v>0</v>
      </c>
      <c r="O272" s="1364">
        <f t="shared" si="22"/>
        <v>0</v>
      </c>
      <c r="P272" s="1492"/>
      <c r="Q272" s="1357">
        <f t="shared" si="9"/>
        <v>0</v>
      </c>
      <c r="R272" s="1548">
        <f t="shared" si="8"/>
        <v>0</v>
      </c>
    </row>
    <row r="273" spans="2:18" s="1394" customFormat="1" ht="18.5" x14ac:dyDescent="0.45">
      <c r="B273" s="1442" t="s">
        <v>2181</v>
      </c>
      <c r="C273" s="1502" t="s">
        <v>2401</v>
      </c>
      <c r="D273" s="1287">
        <f t="shared" si="26"/>
        <v>0</v>
      </c>
      <c r="E273" s="1541">
        <f t="shared" si="26"/>
        <v>0</v>
      </c>
      <c r="F273" s="1542">
        <f t="shared" si="26"/>
        <v>0</v>
      </c>
      <c r="G273" s="1375">
        <f t="shared" si="26"/>
        <v>0</v>
      </c>
      <c r="H273" s="1376">
        <f t="shared" si="17"/>
        <v>0.64400000000000002</v>
      </c>
      <c r="I273" s="1543">
        <f t="shared" si="23"/>
        <v>1403.6699999999998</v>
      </c>
      <c r="J273" s="1544">
        <f t="shared" si="24"/>
        <v>4237</v>
      </c>
      <c r="K273" s="1545">
        <f t="shared" si="25"/>
        <v>0.437</v>
      </c>
      <c r="L273" s="1377">
        <f t="shared" si="19"/>
        <v>0</v>
      </c>
      <c r="M273" s="1546">
        <f t="shared" si="20"/>
        <v>0</v>
      </c>
      <c r="N273" s="1547">
        <f t="shared" si="21"/>
        <v>0</v>
      </c>
      <c r="O273" s="1378">
        <f t="shared" si="22"/>
        <v>0</v>
      </c>
      <c r="P273" s="1492"/>
      <c r="Q273" s="1365">
        <f t="shared" si="9"/>
        <v>0</v>
      </c>
      <c r="R273" s="1540">
        <f t="shared" si="8"/>
        <v>0</v>
      </c>
    </row>
    <row r="274" spans="2:18" s="1394" customFormat="1" ht="18.5" x14ac:dyDescent="0.45">
      <c r="B274" s="1445" t="s">
        <v>2164</v>
      </c>
      <c r="C274" s="1505" t="s">
        <v>2401</v>
      </c>
      <c r="D274" s="1293">
        <f t="shared" si="26"/>
        <v>0</v>
      </c>
      <c r="E274" s="1533">
        <f t="shared" si="26"/>
        <v>0</v>
      </c>
      <c r="F274" s="1534">
        <f t="shared" si="26"/>
        <v>0</v>
      </c>
      <c r="G274" s="1381">
        <f t="shared" si="26"/>
        <v>0</v>
      </c>
      <c r="H274" s="1382">
        <f t="shared" si="17"/>
        <v>0.64400000000000002</v>
      </c>
      <c r="I274" s="1535">
        <f t="shared" si="23"/>
        <v>511.64</v>
      </c>
      <c r="J274" s="1536">
        <f t="shared" si="24"/>
        <v>4237</v>
      </c>
      <c r="K274" s="1537">
        <f t="shared" si="25"/>
        <v>0.437</v>
      </c>
      <c r="L274" s="1383">
        <f t="shared" si="19"/>
        <v>0</v>
      </c>
      <c r="M274" s="1538">
        <f t="shared" si="20"/>
        <v>0</v>
      </c>
      <c r="N274" s="1539">
        <f t="shared" si="21"/>
        <v>0</v>
      </c>
      <c r="O274" s="1364">
        <f t="shared" si="22"/>
        <v>0</v>
      </c>
      <c r="P274" s="1492"/>
      <c r="Q274" s="1357">
        <f t="shared" si="9"/>
        <v>0</v>
      </c>
      <c r="R274" s="1548">
        <f t="shared" si="8"/>
        <v>0</v>
      </c>
    </row>
    <row r="275" spans="2:18" s="1394" customFormat="1" ht="18.5" x14ac:dyDescent="0.45">
      <c r="B275" s="1442" t="s">
        <v>2336</v>
      </c>
      <c r="C275" s="1502" t="s">
        <v>2401</v>
      </c>
      <c r="D275" s="1287">
        <f t="shared" si="26"/>
        <v>0</v>
      </c>
      <c r="E275" s="1541">
        <f t="shared" si="26"/>
        <v>0</v>
      </c>
      <c r="F275" s="1542">
        <f t="shared" si="26"/>
        <v>0</v>
      </c>
      <c r="G275" s="1375">
        <f t="shared" si="26"/>
        <v>0</v>
      </c>
      <c r="H275" s="1376">
        <f t="shared" si="17"/>
        <v>0.64400000000000002</v>
      </c>
      <c r="I275" s="1543">
        <f t="shared" si="23"/>
        <v>1482.3299999999997</v>
      </c>
      <c r="J275" s="1544">
        <f t="shared" si="24"/>
        <v>4237</v>
      </c>
      <c r="K275" s="1545">
        <f t="shared" si="25"/>
        <v>0.43</v>
      </c>
      <c r="L275" s="1377">
        <f t="shared" si="19"/>
        <v>0</v>
      </c>
      <c r="M275" s="1546">
        <f t="shared" si="20"/>
        <v>0</v>
      </c>
      <c r="N275" s="1547">
        <f t="shared" si="21"/>
        <v>0</v>
      </c>
      <c r="O275" s="1378">
        <f t="shared" si="22"/>
        <v>0</v>
      </c>
      <c r="P275" s="1492"/>
      <c r="Q275" s="1365">
        <f t="shared" si="9"/>
        <v>0</v>
      </c>
      <c r="R275" s="1540">
        <f t="shared" si="8"/>
        <v>0</v>
      </c>
    </row>
    <row r="276" spans="2:18" s="1394" customFormat="1" ht="18.5" x14ac:dyDescent="0.45">
      <c r="B276" s="1445" t="s">
        <v>2165</v>
      </c>
      <c r="C276" s="1505" t="s">
        <v>2401</v>
      </c>
      <c r="D276" s="1293">
        <f t="shared" si="26"/>
        <v>0</v>
      </c>
      <c r="E276" s="1533">
        <f t="shared" si="26"/>
        <v>0</v>
      </c>
      <c r="F276" s="1534">
        <f t="shared" si="26"/>
        <v>0</v>
      </c>
      <c r="G276" s="1381">
        <f t="shared" si="26"/>
        <v>0</v>
      </c>
      <c r="H276" s="1382">
        <f t="shared" si="17"/>
        <v>0.64400000000000002</v>
      </c>
      <c r="I276" s="1535">
        <f t="shared" si="23"/>
        <v>1626.7299999999998</v>
      </c>
      <c r="J276" s="1536">
        <f t="shared" si="24"/>
        <v>2899</v>
      </c>
      <c r="K276" s="1537">
        <f t="shared" si="25"/>
        <v>0.24299999999999999</v>
      </c>
      <c r="L276" s="1383">
        <f t="shared" si="19"/>
        <v>0</v>
      </c>
      <c r="M276" s="1538">
        <f t="shared" si="20"/>
        <v>0</v>
      </c>
      <c r="N276" s="1539">
        <f t="shared" si="21"/>
        <v>0</v>
      </c>
      <c r="O276" s="1364">
        <f t="shared" si="22"/>
        <v>0</v>
      </c>
      <c r="P276" s="1492"/>
      <c r="Q276" s="1357">
        <f t="shared" si="9"/>
        <v>0</v>
      </c>
      <c r="R276" s="1548">
        <f t="shared" si="8"/>
        <v>0</v>
      </c>
    </row>
    <row r="277" spans="2:18" s="1394" customFormat="1" ht="18.5" x14ac:dyDescent="0.45">
      <c r="B277" s="1442" t="s">
        <v>2167</v>
      </c>
      <c r="C277" s="1502" t="s">
        <v>2401</v>
      </c>
      <c r="D277" s="1287">
        <f t="shared" si="26"/>
        <v>0</v>
      </c>
      <c r="E277" s="1541">
        <f t="shared" si="26"/>
        <v>0</v>
      </c>
      <c r="F277" s="1542">
        <f t="shared" si="26"/>
        <v>0</v>
      </c>
      <c r="G277" s="1375">
        <f t="shared" si="26"/>
        <v>0</v>
      </c>
      <c r="H277" s="1376">
        <f t="shared" si="17"/>
        <v>0.64400000000000002</v>
      </c>
      <c r="I277" s="1543">
        <f t="shared" si="23"/>
        <v>1693.6799999999998</v>
      </c>
      <c r="J277" s="1544">
        <f t="shared" si="24"/>
        <v>2120</v>
      </c>
      <c r="K277" s="1545">
        <f t="shared" si="25"/>
        <v>0.41899999999999998</v>
      </c>
      <c r="L277" s="1377">
        <f t="shared" si="19"/>
        <v>0</v>
      </c>
      <c r="M277" s="1546">
        <f t="shared" si="20"/>
        <v>0</v>
      </c>
      <c r="N277" s="1547">
        <f t="shared" si="21"/>
        <v>0</v>
      </c>
      <c r="O277" s="1378">
        <f t="shared" si="22"/>
        <v>0</v>
      </c>
      <c r="P277" s="1492"/>
      <c r="Q277" s="1365">
        <f t="shared" si="9"/>
        <v>0</v>
      </c>
      <c r="R277" s="1540">
        <f t="shared" si="8"/>
        <v>0</v>
      </c>
    </row>
    <row r="278" spans="2:18" s="1394" customFormat="1" ht="18.5" x14ac:dyDescent="0.45">
      <c r="B278" s="1445" t="s">
        <v>2168</v>
      </c>
      <c r="C278" s="1505" t="s">
        <v>2401</v>
      </c>
      <c r="D278" s="1293">
        <f t="shared" si="26"/>
        <v>0</v>
      </c>
      <c r="E278" s="1533">
        <f t="shared" si="26"/>
        <v>0</v>
      </c>
      <c r="F278" s="1534">
        <f t="shared" si="26"/>
        <v>0</v>
      </c>
      <c r="G278" s="1381">
        <f t="shared" si="26"/>
        <v>0</v>
      </c>
      <c r="H278" s="1382">
        <f t="shared" si="17"/>
        <v>0.64400000000000002</v>
      </c>
      <c r="I278" s="1535">
        <f t="shared" si="23"/>
        <v>932.08999999999992</v>
      </c>
      <c r="J278" s="1536">
        <f t="shared" si="24"/>
        <v>5682</v>
      </c>
      <c r="K278" s="1537">
        <f t="shared" si="25"/>
        <v>0.503</v>
      </c>
      <c r="L278" s="1383">
        <f t="shared" si="19"/>
        <v>0</v>
      </c>
      <c r="M278" s="1538">
        <f t="shared" si="20"/>
        <v>0</v>
      </c>
      <c r="N278" s="1539">
        <f t="shared" si="21"/>
        <v>0</v>
      </c>
      <c r="O278" s="1364">
        <f t="shared" si="22"/>
        <v>0</v>
      </c>
      <c r="P278" s="1492"/>
      <c r="Q278" s="1357">
        <f t="shared" si="9"/>
        <v>0</v>
      </c>
      <c r="R278" s="1548">
        <f t="shared" si="8"/>
        <v>0</v>
      </c>
    </row>
    <row r="279" spans="2:18" s="1394" customFormat="1" ht="18.5" x14ac:dyDescent="0.45">
      <c r="B279" s="1442" t="s">
        <v>2169</v>
      </c>
      <c r="C279" s="1502" t="s">
        <v>2401</v>
      </c>
      <c r="D279" s="1287">
        <f t="shared" si="26"/>
        <v>0</v>
      </c>
      <c r="E279" s="1541">
        <f t="shared" si="26"/>
        <v>0</v>
      </c>
      <c r="F279" s="1542">
        <f t="shared" si="26"/>
        <v>0</v>
      </c>
      <c r="G279" s="1375">
        <f t="shared" si="26"/>
        <v>0</v>
      </c>
      <c r="H279" s="1376">
        <f t="shared" si="17"/>
        <v>0.64400000000000002</v>
      </c>
      <c r="I279" s="1543">
        <f t="shared" si="23"/>
        <v>1988.38</v>
      </c>
      <c r="J279" s="1544">
        <f t="shared" si="24"/>
        <v>4849</v>
      </c>
      <c r="K279" s="1545">
        <f t="shared" si="25"/>
        <v>0.48299999999999998</v>
      </c>
      <c r="L279" s="1377">
        <f t="shared" si="19"/>
        <v>0</v>
      </c>
      <c r="M279" s="1546">
        <f t="shared" si="20"/>
        <v>0</v>
      </c>
      <c r="N279" s="1547">
        <f t="shared" si="21"/>
        <v>0</v>
      </c>
      <c r="O279" s="1378">
        <f t="shared" si="22"/>
        <v>0</v>
      </c>
      <c r="P279" s="1492"/>
      <c r="Q279" s="1365">
        <f t="shared" si="9"/>
        <v>0</v>
      </c>
      <c r="R279" s="1540">
        <f t="shared" si="8"/>
        <v>0</v>
      </c>
    </row>
    <row r="280" spans="2:18" s="1394" customFormat="1" ht="18.5" x14ac:dyDescent="0.45">
      <c r="B280" s="1445" t="s">
        <v>2170</v>
      </c>
      <c r="C280" s="1505" t="s">
        <v>2401</v>
      </c>
      <c r="D280" s="1293">
        <f t="shared" si="26"/>
        <v>0</v>
      </c>
      <c r="E280" s="1533">
        <f t="shared" si="26"/>
        <v>0</v>
      </c>
      <c r="F280" s="1534">
        <f t="shared" si="26"/>
        <v>0</v>
      </c>
      <c r="G280" s="1381">
        <f t="shared" si="26"/>
        <v>0</v>
      </c>
      <c r="H280" s="1382">
        <f t="shared" si="17"/>
        <v>0.64400000000000002</v>
      </c>
      <c r="I280" s="1535">
        <f t="shared" si="23"/>
        <v>1255.5899999999999</v>
      </c>
      <c r="J280" s="1536">
        <f t="shared" si="24"/>
        <v>2038</v>
      </c>
      <c r="K280" s="1537">
        <f t="shared" si="25"/>
        <v>0.432</v>
      </c>
      <c r="L280" s="1383">
        <f t="shared" si="19"/>
        <v>0</v>
      </c>
      <c r="M280" s="1538">
        <f t="shared" si="20"/>
        <v>0</v>
      </c>
      <c r="N280" s="1539">
        <f t="shared" si="21"/>
        <v>0</v>
      </c>
      <c r="O280" s="1364">
        <f t="shared" si="22"/>
        <v>0</v>
      </c>
      <c r="P280" s="1492"/>
      <c r="Q280" s="1357">
        <f t="shared" si="9"/>
        <v>0</v>
      </c>
      <c r="R280" s="1548">
        <f t="shared" si="8"/>
        <v>0</v>
      </c>
    </row>
    <row r="281" spans="2:18" s="1394" customFormat="1" ht="18.5" x14ac:dyDescent="0.45">
      <c r="B281" s="1442" t="s">
        <v>2171</v>
      </c>
      <c r="C281" s="1502" t="s">
        <v>2401</v>
      </c>
      <c r="D281" s="1287">
        <f t="shared" si="26"/>
        <v>0</v>
      </c>
      <c r="E281" s="1541">
        <f t="shared" si="26"/>
        <v>0</v>
      </c>
      <c r="F281" s="1542">
        <f t="shared" si="26"/>
        <v>0</v>
      </c>
      <c r="G281" s="1375">
        <f t="shared" si="26"/>
        <v>0</v>
      </c>
      <c r="H281" s="1376">
        <f t="shared" si="17"/>
        <v>0.64400000000000002</v>
      </c>
      <c r="I281" s="1543">
        <f t="shared" si="23"/>
        <v>899.42000000000007</v>
      </c>
      <c r="J281" s="1544">
        <f t="shared" si="24"/>
        <v>3069</v>
      </c>
      <c r="K281" s="1545">
        <f t="shared" si="25"/>
        <v>0.46200000000000002</v>
      </c>
      <c r="L281" s="1377">
        <f t="shared" si="19"/>
        <v>0</v>
      </c>
      <c r="M281" s="1546">
        <f t="shared" si="20"/>
        <v>0</v>
      </c>
      <c r="N281" s="1547">
        <f t="shared" si="21"/>
        <v>0</v>
      </c>
      <c r="O281" s="1378">
        <f t="shared" si="22"/>
        <v>0</v>
      </c>
      <c r="P281" s="1492"/>
      <c r="Q281" s="1365">
        <f t="shared" si="9"/>
        <v>0</v>
      </c>
      <c r="R281" s="1540">
        <f t="shared" si="8"/>
        <v>0</v>
      </c>
    </row>
    <row r="282" spans="2:18" s="1394" customFormat="1" ht="18.5" x14ac:dyDescent="0.45">
      <c r="B282" s="1445" t="s">
        <v>2172</v>
      </c>
      <c r="C282" s="1505" t="s">
        <v>2401</v>
      </c>
      <c r="D282" s="1293">
        <f t="shared" si="26"/>
        <v>0</v>
      </c>
      <c r="E282" s="1533">
        <f t="shared" si="26"/>
        <v>0</v>
      </c>
      <c r="F282" s="1534">
        <f t="shared" si="26"/>
        <v>0</v>
      </c>
      <c r="G282" s="1381">
        <f t="shared" si="26"/>
        <v>0</v>
      </c>
      <c r="H282" s="1382">
        <f t="shared" si="17"/>
        <v>0.64400000000000002</v>
      </c>
      <c r="I282" s="1535">
        <f t="shared" si="23"/>
        <v>2361.0299999999997</v>
      </c>
      <c r="J282" s="1536">
        <f t="shared" si="24"/>
        <v>2481</v>
      </c>
      <c r="K282" s="1537">
        <f t="shared" si="25"/>
        <v>0.47399999999999998</v>
      </c>
      <c r="L282" s="1383">
        <f t="shared" si="19"/>
        <v>0</v>
      </c>
      <c r="M282" s="1538">
        <f t="shared" si="20"/>
        <v>0</v>
      </c>
      <c r="N282" s="1539">
        <f t="shared" si="21"/>
        <v>0</v>
      </c>
      <c r="O282" s="1364">
        <f t="shared" si="22"/>
        <v>0</v>
      </c>
      <c r="P282" s="1492"/>
      <c r="Q282" s="1357">
        <f t="shared" si="9"/>
        <v>0</v>
      </c>
      <c r="R282" s="1548">
        <f t="shared" si="8"/>
        <v>0</v>
      </c>
    </row>
    <row r="283" spans="2:18" s="1394" customFormat="1" ht="18.5" x14ac:dyDescent="0.45">
      <c r="B283" s="1442" t="s">
        <v>2173</v>
      </c>
      <c r="C283" s="1502" t="s">
        <v>2401</v>
      </c>
      <c r="D283" s="1287">
        <f t="shared" si="26"/>
        <v>0</v>
      </c>
      <c r="E283" s="1541">
        <f t="shared" si="26"/>
        <v>0</v>
      </c>
      <c r="F283" s="1542">
        <f t="shared" si="26"/>
        <v>0</v>
      </c>
      <c r="G283" s="1375">
        <f t="shared" si="26"/>
        <v>0</v>
      </c>
      <c r="H283" s="1376">
        <f t="shared" si="17"/>
        <v>0.64400000000000002</v>
      </c>
      <c r="I283" s="1543">
        <f t="shared" si="23"/>
        <v>1479.53</v>
      </c>
      <c r="J283" s="1544">
        <f t="shared" si="24"/>
        <v>1881</v>
      </c>
      <c r="K283" s="1545">
        <f t="shared" si="25"/>
        <v>0.42799999999999999</v>
      </c>
      <c r="L283" s="1377">
        <f t="shared" si="19"/>
        <v>0</v>
      </c>
      <c r="M283" s="1546">
        <f t="shared" si="20"/>
        <v>0</v>
      </c>
      <c r="N283" s="1547">
        <f t="shared" si="21"/>
        <v>0</v>
      </c>
      <c r="O283" s="1378">
        <f t="shared" si="22"/>
        <v>0</v>
      </c>
      <c r="P283" s="1492"/>
      <c r="Q283" s="1365">
        <f t="shared" si="9"/>
        <v>0</v>
      </c>
      <c r="R283" s="1540">
        <f t="shared" si="8"/>
        <v>0</v>
      </c>
    </row>
    <row r="284" spans="2:18" s="1394" customFormat="1" ht="18.5" x14ac:dyDescent="0.45">
      <c r="B284" s="1445" t="s">
        <v>2174</v>
      </c>
      <c r="C284" s="1505" t="s">
        <v>2401</v>
      </c>
      <c r="D284" s="1293">
        <f t="shared" si="26"/>
        <v>0</v>
      </c>
      <c r="E284" s="1533">
        <f t="shared" si="26"/>
        <v>0</v>
      </c>
      <c r="F284" s="1534">
        <f t="shared" si="26"/>
        <v>0</v>
      </c>
      <c r="G284" s="1381">
        <f t="shared" si="26"/>
        <v>0</v>
      </c>
      <c r="H284" s="1382">
        <f t="shared" si="17"/>
        <v>0.64400000000000002</v>
      </c>
      <c r="I284" s="1535">
        <f t="shared" ref="I284:I289" si="27">J168</f>
        <v>1389.57</v>
      </c>
      <c r="J284" s="1536">
        <f t="shared" ref="J284:K289" si="28">C113</f>
        <v>2830</v>
      </c>
      <c r="K284" s="1537">
        <f t="shared" si="28"/>
        <v>0.433</v>
      </c>
      <c r="L284" s="1383">
        <f t="shared" si="19"/>
        <v>0</v>
      </c>
      <c r="M284" s="1538">
        <f t="shared" si="20"/>
        <v>0</v>
      </c>
      <c r="N284" s="1539">
        <f t="shared" si="21"/>
        <v>0</v>
      </c>
      <c r="O284" s="1364">
        <f t="shared" si="22"/>
        <v>0</v>
      </c>
      <c r="P284" s="1492"/>
      <c r="Q284" s="1357">
        <f t="shared" si="9"/>
        <v>0</v>
      </c>
      <c r="R284" s="1548">
        <f t="shared" si="8"/>
        <v>0</v>
      </c>
    </row>
    <row r="285" spans="2:18" s="1394" customFormat="1" ht="18.5" x14ac:dyDescent="0.45">
      <c r="B285" s="1442" t="s">
        <v>2175</v>
      </c>
      <c r="C285" s="1502" t="s">
        <v>2401</v>
      </c>
      <c r="D285" s="1287">
        <f t="shared" si="26"/>
        <v>0</v>
      </c>
      <c r="E285" s="1541">
        <f t="shared" si="26"/>
        <v>0</v>
      </c>
      <c r="F285" s="1542">
        <f t="shared" si="26"/>
        <v>0</v>
      </c>
      <c r="G285" s="1375">
        <f t="shared" si="26"/>
        <v>0</v>
      </c>
      <c r="H285" s="1376">
        <f t="shared" si="17"/>
        <v>0.64400000000000002</v>
      </c>
      <c r="I285" s="1543">
        <f t="shared" si="27"/>
        <v>1199.5899999999999</v>
      </c>
      <c r="J285" s="1544">
        <f t="shared" si="28"/>
        <v>3350</v>
      </c>
      <c r="K285" s="1545">
        <f t="shared" si="28"/>
        <v>0.48799999999999999</v>
      </c>
      <c r="L285" s="1377">
        <f t="shared" si="19"/>
        <v>0</v>
      </c>
      <c r="M285" s="1546">
        <f t="shared" si="20"/>
        <v>0</v>
      </c>
      <c r="N285" s="1547">
        <f t="shared" si="21"/>
        <v>0</v>
      </c>
      <c r="O285" s="1378">
        <f t="shared" si="22"/>
        <v>0</v>
      </c>
      <c r="P285" s="1492"/>
      <c r="Q285" s="1365">
        <f t="shared" si="9"/>
        <v>0</v>
      </c>
      <c r="R285" s="1540">
        <f t="shared" si="8"/>
        <v>0</v>
      </c>
    </row>
    <row r="286" spans="2:18" s="1394" customFormat="1" ht="18.5" x14ac:dyDescent="0.45">
      <c r="B286" s="1445" t="s">
        <v>2176</v>
      </c>
      <c r="C286" s="1505" t="s">
        <v>2401</v>
      </c>
      <c r="D286" s="1293">
        <f t="shared" ref="D286:G289" si="29">D212</f>
        <v>0</v>
      </c>
      <c r="E286" s="1533">
        <f t="shared" si="29"/>
        <v>0</v>
      </c>
      <c r="F286" s="1534">
        <f t="shared" si="29"/>
        <v>0</v>
      </c>
      <c r="G286" s="1381">
        <f t="shared" si="29"/>
        <v>0</v>
      </c>
      <c r="H286" s="1382">
        <f t="shared" si="17"/>
        <v>0.64400000000000002</v>
      </c>
      <c r="I286" s="1535">
        <f t="shared" si="27"/>
        <v>1196.45</v>
      </c>
      <c r="J286" s="1536">
        <f t="shared" si="28"/>
        <v>2528</v>
      </c>
      <c r="K286" s="1537">
        <f t="shared" si="28"/>
        <v>0.505</v>
      </c>
      <c r="L286" s="1383">
        <f t="shared" si="19"/>
        <v>0</v>
      </c>
      <c r="M286" s="1538">
        <f t="shared" si="20"/>
        <v>0</v>
      </c>
      <c r="N286" s="1539">
        <f t="shared" si="21"/>
        <v>0</v>
      </c>
      <c r="O286" s="1364">
        <f t="shared" si="22"/>
        <v>0</v>
      </c>
      <c r="P286" s="1492"/>
      <c r="Q286" s="1357">
        <f t="shared" si="9"/>
        <v>0</v>
      </c>
      <c r="R286" s="1548">
        <f t="shared" si="8"/>
        <v>0</v>
      </c>
    </row>
    <row r="287" spans="2:18" s="1394" customFormat="1" ht="18.5" x14ac:dyDescent="0.45">
      <c r="B287" s="1442" t="s">
        <v>2177</v>
      </c>
      <c r="C287" s="1502" t="s">
        <v>2401</v>
      </c>
      <c r="D287" s="1287">
        <f t="shared" si="29"/>
        <v>0</v>
      </c>
      <c r="E287" s="1541">
        <f t="shared" si="29"/>
        <v>0</v>
      </c>
      <c r="F287" s="1542">
        <f t="shared" si="29"/>
        <v>0</v>
      </c>
      <c r="G287" s="1375">
        <f t="shared" si="29"/>
        <v>0</v>
      </c>
      <c r="H287" s="1376">
        <f t="shared" si="17"/>
        <v>0.64400000000000002</v>
      </c>
      <c r="I287" s="1543">
        <f t="shared" si="27"/>
        <v>1196.07</v>
      </c>
      <c r="J287" s="1544">
        <f t="shared" si="28"/>
        <v>2266</v>
      </c>
      <c r="K287" s="1545">
        <f t="shared" si="28"/>
        <v>0.52800000000000002</v>
      </c>
      <c r="L287" s="1377">
        <f t="shared" si="19"/>
        <v>0</v>
      </c>
      <c r="M287" s="1546">
        <f t="shared" si="20"/>
        <v>0</v>
      </c>
      <c r="N287" s="1547">
        <f t="shared" si="21"/>
        <v>0</v>
      </c>
      <c r="O287" s="1378">
        <f t="shared" si="22"/>
        <v>0</v>
      </c>
      <c r="P287" s="1492"/>
      <c r="Q287" s="1365">
        <f t="shared" si="9"/>
        <v>0</v>
      </c>
      <c r="R287" s="1540">
        <f t="shared" si="8"/>
        <v>0</v>
      </c>
    </row>
    <row r="288" spans="2:18" s="1394" customFormat="1" ht="18.5" x14ac:dyDescent="0.45">
      <c r="B288" s="1445" t="s">
        <v>2027</v>
      </c>
      <c r="C288" s="1505" t="s">
        <v>2401</v>
      </c>
      <c r="D288" s="1293">
        <f t="shared" si="29"/>
        <v>0</v>
      </c>
      <c r="E288" s="1533">
        <f t="shared" si="29"/>
        <v>0</v>
      </c>
      <c r="F288" s="1534">
        <f t="shared" si="29"/>
        <v>0</v>
      </c>
      <c r="G288" s="1381">
        <f t="shared" si="29"/>
        <v>0</v>
      </c>
      <c r="H288" s="1382">
        <f t="shared" si="17"/>
        <v>0.64400000000000002</v>
      </c>
      <c r="I288" s="1535">
        <f t="shared" si="27"/>
        <v>1203.02</v>
      </c>
      <c r="J288" s="1536">
        <f t="shared" si="28"/>
        <v>770</v>
      </c>
      <c r="K288" s="1537">
        <f t="shared" si="28"/>
        <v>0.22500000000000001</v>
      </c>
      <c r="L288" s="1383">
        <f t="shared" si="19"/>
        <v>0</v>
      </c>
      <c r="M288" s="1538">
        <f t="shared" si="20"/>
        <v>0</v>
      </c>
      <c r="N288" s="1539">
        <f t="shared" si="21"/>
        <v>0</v>
      </c>
      <c r="O288" s="1364">
        <f t="shared" si="22"/>
        <v>0</v>
      </c>
      <c r="P288" s="1492"/>
      <c r="Q288" s="1357">
        <f t="shared" si="9"/>
        <v>0</v>
      </c>
      <c r="R288" s="1548">
        <f t="shared" ref="R288:R289" si="30">Q288*D288</f>
        <v>0</v>
      </c>
    </row>
    <row r="289" spans="2:18" s="1394" customFormat="1" ht="18.5" x14ac:dyDescent="0.45">
      <c r="B289" s="1442" t="s">
        <v>536</v>
      </c>
      <c r="C289" s="1502" t="s">
        <v>2401</v>
      </c>
      <c r="D289" s="1287">
        <f t="shared" si="29"/>
        <v>0</v>
      </c>
      <c r="E289" s="1541">
        <f t="shared" si="29"/>
        <v>0</v>
      </c>
      <c r="F289" s="1542">
        <f t="shared" si="29"/>
        <v>0</v>
      </c>
      <c r="G289" s="1375">
        <f t="shared" si="29"/>
        <v>0</v>
      </c>
      <c r="H289" s="1376">
        <f t="shared" si="17"/>
        <v>0.64400000000000002</v>
      </c>
      <c r="I289" s="1543">
        <f t="shared" si="27"/>
        <v>1513.01</v>
      </c>
      <c r="J289" s="1544">
        <f t="shared" si="28"/>
        <v>2718</v>
      </c>
      <c r="K289" s="1545">
        <f t="shared" si="28"/>
        <v>0.42399999999999999</v>
      </c>
      <c r="L289" s="1377">
        <f t="shared" si="19"/>
        <v>0</v>
      </c>
      <c r="M289" s="1546">
        <f t="shared" si="20"/>
        <v>0</v>
      </c>
      <c r="N289" s="1547">
        <f t="shared" si="21"/>
        <v>0</v>
      </c>
      <c r="O289" s="1378">
        <f t="shared" si="22"/>
        <v>0</v>
      </c>
      <c r="P289" s="1492"/>
      <c r="Q289" s="1365">
        <f t="shared" ref="Q289" si="31">IFERROR(VLOOKUP(E289,B$122:E$124,4,TRUE),0)</f>
        <v>0</v>
      </c>
      <c r="R289" s="1561">
        <f t="shared" si="30"/>
        <v>0</v>
      </c>
    </row>
    <row r="290" spans="2:18" s="1394" customFormat="1" x14ac:dyDescent="0.35"/>
    <row r="291" spans="2:18" s="1394" customFormat="1" x14ac:dyDescent="0.35"/>
    <row r="292" spans="2:18" s="1394" customFormat="1" x14ac:dyDescent="0.35"/>
    <row r="293" spans="2:18" s="1394" customFormat="1" x14ac:dyDescent="0.35"/>
  </sheetData>
  <mergeCells count="9">
    <mergeCell ref="L220:O220"/>
    <mergeCell ref="B75:C75"/>
    <mergeCell ref="E80:I80"/>
    <mergeCell ref="L81:T81"/>
    <mergeCell ref="D128:E128"/>
    <mergeCell ref="D146:G146"/>
    <mergeCell ref="B220:C220"/>
    <mergeCell ref="D220:G220"/>
    <mergeCell ref="H220:K220"/>
  </mergeCells>
  <conditionalFormatting sqref="B82:B83 B85:B86 B88:B111 B113:B118">
    <cfRule type="expression" dxfId="241" priority="13">
      <formula>B82&lt;&gt;#REF!</formula>
    </cfRule>
  </conditionalFormatting>
  <conditionalFormatting sqref="B84">
    <cfRule type="expression" dxfId="240" priority="12">
      <formula>B84&lt;&gt;#REF!</formula>
    </cfRule>
  </conditionalFormatting>
  <conditionalFormatting sqref="B87">
    <cfRule type="expression" dxfId="239" priority="11">
      <formula>B87&lt;&gt;#REF!</formula>
    </cfRule>
  </conditionalFormatting>
  <conditionalFormatting sqref="B112">
    <cfRule type="expression" dxfId="238" priority="10">
      <formula>B112&lt;&gt;#REF!</formula>
    </cfRule>
  </conditionalFormatting>
  <conditionalFormatting sqref="E82:I83 E85:I86 E88:I111 E113:I118">
    <cfRule type="expression" dxfId="237" priority="9">
      <formula>E82&lt;&gt;#REF!</formula>
    </cfRule>
  </conditionalFormatting>
  <conditionalFormatting sqref="E84:I84">
    <cfRule type="expression" dxfId="236" priority="8">
      <formula>E84&lt;&gt;#REF!</formula>
    </cfRule>
  </conditionalFormatting>
  <conditionalFormatting sqref="E87:I87">
    <cfRule type="expression" dxfId="235" priority="7">
      <formula>E87&lt;&gt;#REF!</formula>
    </cfRule>
  </conditionalFormatting>
  <conditionalFormatting sqref="E112:I112">
    <cfRule type="expression" dxfId="234" priority="6">
      <formula>E112&lt;&gt;#REF!</formula>
    </cfRule>
  </conditionalFormatting>
  <conditionalFormatting sqref="I168:I173 I143:I166">
    <cfRule type="expression" dxfId="233" priority="5">
      <formula>I143&lt;&gt;#REF!</formula>
    </cfRule>
  </conditionalFormatting>
  <conditionalFormatting sqref="I137:I138 I140:I141">
    <cfRule type="expression" dxfId="232" priority="4">
      <formula>I137&lt;&gt;#REF!</formula>
    </cfRule>
  </conditionalFormatting>
  <conditionalFormatting sqref="I139">
    <cfRule type="expression" dxfId="231" priority="3">
      <formula>I139&lt;&gt;#REF!</formula>
    </cfRule>
  </conditionalFormatting>
  <conditionalFormatting sqref="I142">
    <cfRule type="expression" dxfId="230" priority="2">
      <formula>I142&lt;&gt;#REF!</formula>
    </cfRule>
  </conditionalFormatting>
  <conditionalFormatting sqref="I167">
    <cfRule type="expression" dxfId="229" priority="1">
      <formula>I167&lt;&gt;#REF!</formula>
    </cfRule>
  </conditionalFormatting>
  <pageMargins left="0.7" right="0.7" top="0.75" bottom="0.75" header="0.3" footer="0.3"/>
  <pageSetup scale="15" orientation="portrait" r:id="rId1"/>
  <headerFooter>
    <oddHeader>&amp;LAppendix G (Rev.)</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X17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3.17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2444</v>
      </c>
    </row>
    <row r="3" spans="1:6" ht="21" x14ac:dyDescent="0.5">
      <c r="A3" s="704" t="s">
        <v>2445</v>
      </c>
    </row>
    <row r="4" spans="1:6" ht="15" thickBot="1" x14ac:dyDescent="0.4"/>
    <row r="5" spans="1:6" x14ac:dyDescent="0.35">
      <c r="B5" s="678" t="s">
        <v>1947</v>
      </c>
      <c r="C5" s="679">
        <f>C128</f>
        <v>19</v>
      </c>
      <c r="D5" s="680"/>
      <c r="E5" s="680"/>
      <c r="F5" s="680"/>
    </row>
    <row r="6" spans="1:6" x14ac:dyDescent="0.35">
      <c r="B6" s="681" t="s">
        <v>2446</v>
      </c>
      <c r="C6" s="682">
        <f>B128</f>
        <v>25555</v>
      </c>
      <c r="D6" s="680"/>
      <c r="E6" s="683"/>
      <c r="F6" s="680"/>
    </row>
    <row r="7" spans="1:6" x14ac:dyDescent="0.35">
      <c r="B7" s="681" t="s">
        <v>1950</v>
      </c>
      <c r="C7" s="684">
        <v>0</v>
      </c>
      <c r="D7" s="683"/>
      <c r="E7" s="683"/>
      <c r="F7" s="683"/>
    </row>
    <row r="8" spans="1:6" x14ac:dyDescent="0.35">
      <c r="B8" s="681" t="s">
        <v>1951</v>
      </c>
      <c r="C8" s="682">
        <v>0</v>
      </c>
      <c r="D8" s="683"/>
      <c r="E8" s="683"/>
      <c r="F8" s="683"/>
    </row>
    <row r="9" spans="1:6" x14ac:dyDescent="0.35">
      <c r="B9" s="681" t="s">
        <v>1952</v>
      </c>
      <c r="C9" s="684">
        <f>N174</f>
        <v>27036.566458000001</v>
      </c>
      <c r="D9" s="683"/>
      <c r="E9" s="683"/>
      <c r="F9" s="683"/>
    </row>
    <row r="10" spans="1:6" x14ac:dyDescent="0.35">
      <c r="B10" s="681" t="s">
        <v>1953</v>
      </c>
      <c r="C10" s="685">
        <f>O174</f>
        <v>22800.171000000002</v>
      </c>
      <c r="D10" s="686"/>
      <c r="E10" s="686"/>
      <c r="F10" s="686"/>
    </row>
    <row r="11" spans="1:6" x14ac:dyDescent="0.35">
      <c r="B11" s="681" t="s">
        <v>2447</v>
      </c>
      <c r="C11" s="687">
        <f>C9/C6</f>
        <v>1.0579756</v>
      </c>
      <c r="D11" s="830"/>
      <c r="E11" s="686"/>
      <c r="F11" s="686"/>
    </row>
    <row r="12" spans="1:6" x14ac:dyDescent="0.35">
      <c r="B12" s="681" t="s">
        <v>1958</v>
      </c>
      <c r="C12" s="689">
        <f>C10/C9</f>
        <v>0.84330867365939255</v>
      </c>
      <c r="D12" s="690"/>
      <c r="E12" s="690"/>
      <c r="F12" s="690"/>
    </row>
    <row r="13" spans="1:6" ht="15" thickBot="1" x14ac:dyDescent="0.4">
      <c r="B13" s="692" t="s">
        <v>2108</v>
      </c>
      <c r="C13" s="1028">
        <f>S135</f>
        <v>11799</v>
      </c>
      <c r="D13" s="690"/>
      <c r="E13" s="690"/>
      <c r="F13" s="690"/>
    </row>
    <row r="14" spans="1:6" x14ac:dyDescent="0.35">
      <c r="B14" s="694" t="s">
        <v>1961</v>
      </c>
      <c r="C14" s="695"/>
      <c r="D14" s="696"/>
      <c r="E14" s="680"/>
      <c r="F14" s="696"/>
    </row>
    <row r="15" spans="1:6" ht="15" thickBot="1" x14ac:dyDescent="0.4">
      <c r="C15" s="694"/>
      <c r="D15" s="696"/>
      <c r="E15" s="680"/>
      <c r="F15" s="696"/>
    </row>
    <row r="16" spans="1:6" x14ac:dyDescent="0.35">
      <c r="B16" s="678" t="s">
        <v>1964</v>
      </c>
      <c r="C16" s="1573">
        <v>0.49399999999999999</v>
      </c>
      <c r="D16" s="680"/>
      <c r="E16" s="698"/>
      <c r="F16" s="680"/>
    </row>
    <row r="17" spans="1:17" x14ac:dyDescent="0.35">
      <c r="B17" s="681" t="s">
        <v>1967</v>
      </c>
      <c r="C17" s="684">
        <f>C16*C9</f>
        <v>13356.063830252</v>
      </c>
      <c r="D17" s="683"/>
      <c r="E17" s="701"/>
      <c r="F17" s="683"/>
    </row>
    <row r="18" spans="1:17" x14ac:dyDescent="0.35">
      <c r="B18" s="681" t="s">
        <v>1969</v>
      </c>
      <c r="C18" s="689">
        <f>C10/C17</f>
        <v>1.7071025782578797</v>
      </c>
      <c r="D18" s="690"/>
      <c r="E18" s="690"/>
      <c r="F18" s="690"/>
    </row>
    <row r="19" spans="1:17" ht="15" thickBot="1" x14ac:dyDescent="0.4">
      <c r="B19" s="692" t="s">
        <v>1970</v>
      </c>
      <c r="C19" s="702">
        <v>20</v>
      </c>
      <c r="D19" s="680"/>
      <c r="E19" s="680"/>
      <c r="F19" s="680"/>
    </row>
    <row r="20" spans="1:17" x14ac:dyDescent="0.35">
      <c r="B20" s="703"/>
      <c r="C20" s="703"/>
    </row>
    <row r="21" spans="1:17" ht="21" x14ac:dyDescent="0.5">
      <c r="A21" s="704" t="s">
        <v>1971</v>
      </c>
      <c r="B21" s="703"/>
      <c r="C21" s="703"/>
    </row>
    <row r="22" spans="1:17" ht="15" customHeight="1" thickBot="1" x14ac:dyDescent="0.4"/>
    <row r="23" spans="1:17" x14ac:dyDescent="0.35">
      <c r="B23" s="678" t="s">
        <v>2448</v>
      </c>
      <c r="C23" s="705">
        <f>D128</f>
        <v>1345</v>
      </c>
      <c r="D23" s="683"/>
      <c r="E23" s="683"/>
      <c r="F23" s="683"/>
    </row>
    <row r="24" spans="1:17" x14ac:dyDescent="0.35">
      <c r="B24" s="681" t="s">
        <v>1973</v>
      </c>
      <c r="C24" s="684">
        <f>C9/C5</f>
        <v>1422.9771820000001</v>
      </c>
      <c r="D24" s="706"/>
      <c r="E24" s="706"/>
      <c r="F24" s="706"/>
    </row>
    <row r="25" spans="1:17" x14ac:dyDescent="0.35">
      <c r="B25" s="681" t="s">
        <v>1974</v>
      </c>
      <c r="C25" s="707">
        <f>C10/C5</f>
        <v>1200.009</v>
      </c>
    </row>
    <row r="26" spans="1:17" ht="15" thickBot="1" x14ac:dyDescent="0.4">
      <c r="B26" s="692" t="s">
        <v>377</v>
      </c>
      <c r="C26" s="1574">
        <f>C13/C5</f>
        <v>621</v>
      </c>
    </row>
    <row r="28" spans="1:17" ht="21" x14ac:dyDescent="0.5">
      <c r="A28" s="704" t="s">
        <v>1977</v>
      </c>
    </row>
    <row r="29" spans="1:17" ht="18" customHeight="1" thickBot="1" x14ac:dyDescent="0.4"/>
    <row r="30" spans="1:17" x14ac:dyDescent="0.35">
      <c r="B30" s="772" t="s">
        <v>1978</v>
      </c>
      <c r="C30" s="944" t="s">
        <v>1979</v>
      </c>
      <c r="D30" s="712"/>
      <c r="E30" s="712"/>
      <c r="F30" s="712"/>
      <c r="G30" s="698"/>
      <c r="J30" s="3020" t="s">
        <v>2117</v>
      </c>
      <c r="K30" s="3021"/>
      <c r="L30" s="3021"/>
      <c r="M30" s="3021"/>
      <c r="N30" s="3021"/>
      <c r="O30" s="3021"/>
      <c r="P30" s="3021"/>
      <c r="Q30" s="3022"/>
    </row>
    <row r="31" spans="1:17" ht="15" thickBot="1" x14ac:dyDescent="0.4">
      <c r="B31" s="692" t="s">
        <v>2449</v>
      </c>
      <c r="C31" s="1575">
        <v>0.08</v>
      </c>
      <c r="D31" s="1576"/>
      <c r="E31" s="715"/>
      <c r="F31" s="716"/>
      <c r="G31" s="698"/>
      <c r="J31" s="869" t="s">
        <v>1981</v>
      </c>
      <c r="K31" s="870"/>
      <c r="L31" s="870"/>
      <c r="M31" s="870"/>
      <c r="N31" s="870"/>
      <c r="O31" s="870"/>
      <c r="P31" s="870"/>
      <c r="Q31" s="871"/>
    </row>
    <row r="32" spans="1:17" x14ac:dyDescent="0.35">
      <c r="D32" s="698"/>
      <c r="E32" s="698"/>
      <c r="F32" s="718"/>
      <c r="G32" s="698"/>
      <c r="J32" s="873" t="s">
        <v>2450</v>
      </c>
      <c r="K32" s="698"/>
      <c r="L32" s="698"/>
      <c r="M32" s="698"/>
      <c r="N32" s="698"/>
      <c r="O32" s="698"/>
      <c r="P32" s="698"/>
      <c r="Q32" s="874"/>
    </row>
    <row r="33" spans="2:17" ht="18.5" x14ac:dyDescent="0.45">
      <c r="C33" s="3033" t="s">
        <v>3904</v>
      </c>
      <c r="D33" s="3034"/>
      <c r="E33" s="3034"/>
      <c r="F33" s="3034"/>
      <c r="G33" s="3051"/>
      <c r="J33" s="946" t="s">
        <v>1990</v>
      </c>
      <c r="K33" s="698"/>
      <c r="L33" s="698"/>
      <c r="M33" s="698"/>
      <c r="N33" s="698"/>
      <c r="O33" s="698"/>
      <c r="P33" s="698"/>
      <c r="Q33" s="874"/>
    </row>
    <row r="34" spans="2:17" ht="28" x14ac:dyDescent="0.35">
      <c r="B34" s="997" t="s">
        <v>2019</v>
      </c>
      <c r="C34" s="1182" t="s">
        <v>2309</v>
      </c>
      <c r="D34" s="1183" t="s">
        <v>2310</v>
      </c>
      <c r="E34" s="1183" t="s">
        <v>2311</v>
      </c>
      <c r="F34" s="1183" t="s">
        <v>2312</v>
      </c>
      <c r="G34" s="1319" t="s">
        <v>2313</v>
      </c>
      <c r="J34" s="873" t="s">
        <v>2455</v>
      </c>
      <c r="K34" s="698" t="s">
        <v>2112</v>
      </c>
      <c r="L34" s="698" t="s">
        <v>2456</v>
      </c>
      <c r="M34" s="698"/>
      <c r="N34" s="698"/>
      <c r="O34" s="698"/>
      <c r="P34" s="698"/>
      <c r="Q34" s="874"/>
    </row>
    <row r="35" spans="2:17" x14ac:dyDescent="0.35">
      <c r="B35" s="1136" t="s">
        <v>2180</v>
      </c>
      <c r="C35" s="1186">
        <v>1787</v>
      </c>
      <c r="D35" s="1187">
        <v>1831</v>
      </c>
      <c r="E35" s="1187">
        <v>1635</v>
      </c>
      <c r="F35" s="1187">
        <v>1089</v>
      </c>
      <c r="G35" s="1320">
        <v>1669</v>
      </c>
      <c r="J35" s="873" t="s">
        <v>294</v>
      </c>
      <c r="K35" s="698" t="s">
        <v>1992</v>
      </c>
      <c r="L35" s="698" t="s">
        <v>2457</v>
      </c>
      <c r="M35" s="698"/>
      <c r="N35" s="698"/>
      <c r="O35" s="698"/>
      <c r="P35" s="698"/>
      <c r="Q35" s="874"/>
    </row>
    <row r="36" spans="2:17" x14ac:dyDescent="0.35">
      <c r="B36" s="1146" t="s">
        <v>2071</v>
      </c>
      <c r="C36" s="1190">
        <v>1683</v>
      </c>
      <c r="D36" s="1191">
        <v>1646</v>
      </c>
      <c r="E36" s="1191">
        <v>1446</v>
      </c>
      <c r="F36" s="1191">
        <v>1063</v>
      </c>
      <c r="G36" s="1321">
        <v>1277</v>
      </c>
      <c r="J36" s="933" t="s">
        <v>1365</v>
      </c>
      <c r="K36" s="934" t="s">
        <v>1992</v>
      </c>
      <c r="L36" s="934" t="s">
        <v>2458</v>
      </c>
      <c r="M36" s="934"/>
      <c r="N36" s="934"/>
      <c r="O36" s="934"/>
      <c r="P36" s="934"/>
      <c r="Q36" s="935"/>
    </row>
    <row r="37" spans="2:17" x14ac:dyDescent="0.35">
      <c r="B37" s="2683" t="s">
        <v>3906</v>
      </c>
      <c r="C37" s="2684">
        <v>2981</v>
      </c>
      <c r="D37" s="2684">
        <v>2950</v>
      </c>
      <c r="E37" s="2684">
        <v>2694</v>
      </c>
      <c r="F37" s="2684">
        <v>2368</v>
      </c>
      <c r="G37" s="2684">
        <v>2437</v>
      </c>
      <c r="J37" s="2686"/>
      <c r="K37" s="2686"/>
      <c r="L37" s="2686"/>
      <c r="M37" s="2686"/>
      <c r="N37" s="2686"/>
      <c r="O37" s="2686"/>
      <c r="P37" s="2686"/>
      <c r="Q37" s="2686"/>
    </row>
    <row r="38" spans="2:17" x14ac:dyDescent="0.35">
      <c r="B38" s="2680" t="s">
        <v>2157</v>
      </c>
      <c r="C38" s="2681">
        <v>1256</v>
      </c>
      <c r="D38" s="2681">
        <v>1293</v>
      </c>
      <c r="E38" s="2681">
        <v>1138</v>
      </c>
      <c r="F38" s="2681">
        <v>1116</v>
      </c>
      <c r="G38" s="2681">
        <v>1131</v>
      </c>
    </row>
    <row r="39" spans="2:17" x14ac:dyDescent="0.35">
      <c r="B39" s="1146" t="s">
        <v>2158</v>
      </c>
      <c r="C39" s="1190">
        <v>1481</v>
      </c>
      <c r="D39" s="1191">
        <v>1368</v>
      </c>
      <c r="E39" s="1191">
        <v>1214</v>
      </c>
      <c r="F39" s="1191">
        <v>871</v>
      </c>
      <c r="G39" s="1321">
        <v>973</v>
      </c>
    </row>
    <row r="40" spans="2:17" x14ac:dyDescent="0.35">
      <c r="B40" s="2683" t="s">
        <v>3907</v>
      </c>
      <c r="C40" s="2684">
        <v>2848</v>
      </c>
      <c r="D40" s="2684">
        <v>2947</v>
      </c>
      <c r="E40" s="2684">
        <v>2568</v>
      </c>
      <c r="F40" s="2684">
        <v>2362</v>
      </c>
      <c r="G40" s="2684">
        <v>2516</v>
      </c>
    </row>
    <row r="41" spans="2:17" x14ac:dyDescent="0.35">
      <c r="B41" s="2680" t="s">
        <v>2028</v>
      </c>
      <c r="C41" s="2681">
        <v>1614</v>
      </c>
      <c r="D41" s="2681">
        <v>1603</v>
      </c>
      <c r="E41" s="2681">
        <v>1409</v>
      </c>
      <c r="F41" s="2681">
        <v>1209</v>
      </c>
      <c r="G41" s="2681">
        <v>1269</v>
      </c>
    </row>
    <row r="42" spans="2:17" x14ac:dyDescent="0.35">
      <c r="B42" s="1146" t="s">
        <v>2109</v>
      </c>
      <c r="C42" s="1190">
        <v>985</v>
      </c>
      <c r="D42" s="1191">
        <v>969</v>
      </c>
      <c r="E42" s="1191">
        <v>852</v>
      </c>
      <c r="F42" s="1191">
        <v>680</v>
      </c>
      <c r="G42" s="1321">
        <v>752</v>
      </c>
    </row>
    <row r="43" spans="2:17" x14ac:dyDescent="0.35">
      <c r="B43" s="2680" t="s">
        <v>2026</v>
      </c>
      <c r="C43" s="2681">
        <v>1467</v>
      </c>
      <c r="D43" s="2681">
        <v>1551</v>
      </c>
      <c r="E43" s="2681">
        <v>1364</v>
      </c>
      <c r="F43" s="2681">
        <v>1367</v>
      </c>
      <c r="G43" s="2681">
        <v>1375</v>
      </c>
    </row>
    <row r="44" spans="2:17" x14ac:dyDescent="0.35">
      <c r="B44" s="2680" t="s">
        <v>2075</v>
      </c>
      <c r="C44" s="2681">
        <v>1446</v>
      </c>
      <c r="D44" s="2681">
        <v>1526</v>
      </c>
      <c r="E44" s="2681">
        <v>1452</v>
      </c>
      <c r="F44" s="2681">
        <v>1553</v>
      </c>
      <c r="G44" s="2681">
        <v>1574</v>
      </c>
    </row>
    <row r="45" spans="2:17" x14ac:dyDescent="0.35">
      <c r="B45" s="2680" t="s">
        <v>2029</v>
      </c>
      <c r="C45" s="2681">
        <v>1807</v>
      </c>
      <c r="D45" s="2681">
        <v>1855</v>
      </c>
      <c r="E45" s="2681">
        <v>1649</v>
      </c>
      <c r="F45" s="2681">
        <v>1591</v>
      </c>
      <c r="G45" s="2681">
        <v>1622</v>
      </c>
    </row>
    <row r="46" spans="2:17" x14ac:dyDescent="0.35">
      <c r="B46" s="2680" t="s">
        <v>2159</v>
      </c>
      <c r="C46" s="2681">
        <v>1216</v>
      </c>
      <c r="D46" s="2681">
        <v>1220</v>
      </c>
      <c r="E46" s="2681">
        <v>1072</v>
      </c>
      <c r="F46" s="2681">
        <v>1001</v>
      </c>
      <c r="G46" s="2681">
        <v>1028</v>
      </c>
    </row>
    <row r="47" spans="2:17" x14ac:dyDescent="0.35">
      <c r="B47" s="2680" t="s">
        <v>2160</v>
      </c>
      <c r="C47" s="2681">
        <v>1387</v>
      </c>
      <c r="D47" s="2681">
        <v>1398</v>
      </c>
      <c r="E47" s="2681">
        <v>1252</v>
      </c>
      <c r="F47" s="2681">
        <v>1222</v>
      </c>
      <c r="G47" s="2681">
        <v>1269</v>
      </c>
    </row>
    <row r="48" spans="2:17" x14ac:dyDescent="0.35">
      <c r="B48" s="2680" t="s">
        <v>2161</v>
      </c>
      <c r="C48" s="2682">
        <v>665</v>
      </c>
      <c r="D48" s="2682">
        <v>697</v>
      </c>
      <c r="E48" s="2682">
        <v>628</v>
      </c>
      <c r="F48" s="2682">
        <v>646</v>
      </c>
      <c r="G48" s="2682">
        <v>615</v>
      </c>
    </row>
    <row r="49" spans="2:7" x14ac:dyDescent="0.35">
      <c r="B49" s="2680" t="s">
        <v>2162</v>
      </c>
      <c r="C49" s="2681">
        <v>1622</v>
      </c>
      <c r="D49" s="2681">
        <v>1571</v>
      </c>
      <c r="E49" s="2681">
        <v>1374</v>
      </c>
      <c r="F49" s="2681">
        <v>1220</v>
      </c>
      <c r="G49" s="2681">
        <v>1281</v>
      </c>
    </row>
    <row r="50" spans="2:7" x14ac:dyDescent="0.35">
      <c r="B50" s="2680" t="s">
        <v>2325</v>
      </c>
      <c r="C50" s="2681">
        <v>1597</v>
      </c>
      <c r="D50" s="2681">
        <v>1634</v>
      </c>
      <c r="E50" s="2681">
        <v>1468</v>
      </c>
      <c r="F50" s="2681">
        <v>1376</v>
      </c>
      <c r="G50" s="2681">
        <v>1451</v>
      </c>
    </row>
    <row r="51" spans="2:7" x14ac:dyDescent="0.35">
      <c r="B51" s="2680" t="s">
        <v>2073</v>
      </c>
      <c r="C51" s="2681">
        <v>1670</v>
      </c>
      <c r="D51" s="2681">
        <v>1733</v>
      </c>
      <c r="E51" s="2681">
        <v>1549</v>
      </c>
      <c r="F51" s="2681">
        <v>1496</v>
      </c>
      <c r="G51" s="2681">
        <v>1557</v>
      </c>
    </row>
    <row r="52" spans="2:7" x14ac:dyDescent="0.35">
      <c r="B52" s="2680" t="s">
        <v>2166</v>
      </c>
      <c r="C52" s="2681">
        <v>1555</v>
      </c>
      <c r="D52" s="2681">
        <v>1597</v>
      </c>
      <c r="E52" s="2681">
        <v>1433</v>
      </c>
      <c r="F52" s="2681">
        <v>1316</v>
      </c>
      <c r="G52" s="2681">
        <v>1400</v>
      </c>
    </row>
    <row r="53" spans="2:7" x14ac:dyDescent="0.35">
      <c r="B53" s="1144" t="s">
        <v>2163</v>
      </c>
      <c r="C53" s="1200">
        <v>1048</v>
      </c>
      <c r="D53" s="1201">
        <v>1013</v>
      </c>
      <c r="E53" s="1201">
        <v>939</v>
      </c>
      <c r="F53" s="1201">
        <v>567</v>
      </c>
      <c r="G53" s="1322">
        <v>634</v>
      </c>
    </row>
    <row r="54" spans="2:7" x14ac:dyDescent="0.35">
      <c r="B54" s="2683" t="s">
        <v>2181</v>
      </c>
      <c r="C54" s="2684">
        <v>1565</v>
      </c>
      <c r="D54" s="2684">
        <v>1540</v>
      </c>
      <c r="E54" s="2684">
        <v>1448</v>
      </c>
      <c r="F54" s="2684">
        <v>1089</v>
      </c>
      <c r="G54" s="2684">
        <v>1125</v>
      </c>
    </row>
    <row r="55" spans="2:7" x14ac:dyDescent="0.35">
      <c r="B55" s="2683" t="s">
        <v>2164</v>
      </c>
      <c r="C55" s="2685">
        <v>537</v>
      </c>
      <c r="D55" s="2685">
        <v>558</v>
      </c>
      <c r="E55" s="2685">
        <v>501</v>
      </c>
      <c r="F55" s="2685">
        <v>480</v>
      </c>
      <c r="G55" s="2685">
        <v>499</v>
      </c>
    </row>
    <row r="56" spans="2:7" x14ac:dyDescent="0.35">
      <c r="B56" s="2683" t="s">
        <v>2336</v>
      </c>
      <c r="C56" s="2684">
        <v>1665</v>
      </c>
      <c r="D56" s="2684">
        <v>1666</v>
      </c>
      <c r="E56" s="2684">
        <v>1512</v>
      </c>
      <c r="F56" s="2684">
        <v>1145</v>
      </c>
      <c r="G56" s="2684">
        <v>1207</v>
      </c>
    </row>
    <row r="57" spans="2:7" x14ac:dyDescent="0.35">
      <c r="B57" s="2683" t="s">
        <v>2165</v>
      </c>
      <c r="C57" s="2684">
        <v>1730</v>
      </c>
      <c r="D57" s="2684">
        <v>1782</v>
      </c>
      <c r="E57" s="2684">
        <v>1589</v>
      </c>
      <c r="F57" s="2684">
        <v>1538</v>
      </c>
      <c r="G57" s="2684">
        <v>1560</v>
      </c>
    </row>
    <row r="58" spans="2:7" x14ac:dyDescent="0.35">
      <c r="B58" s="1146" t="s">
        <v>2167</v>
      </c>
      <c r="C58" s="1200">
        <v>1916</v>
      </c>
      <c r="D58" s="1201">
        <v>1905</v>
      </c>
      <c r="E58" s="1201">
        <v>1718</v>
      </c>
      <c r="F58" s="1201">
        <v>1288</v>
      </c>
      <c r="G58" s="1322">
        <v>1538</v>
      </c>
    </row>
    <row r="59" spans="2:7" x14ac:dyDescent="0.35">
      <c r="B59" s="2683" t="s">
        <v>2168</v>
      </c>
      <c r="C59" s="2685">
        <v>995</v>
      </c>
      <c r="D59" s="2684">
        <v>1036</v>
      </c>
      <c r="E59" s="2685">
        <v>933</v>
      </c>
      <c r="F59" s="2685">
        <v>786</v>
      </c>
      <c r="G59" s="2685">
        <v>832</v>
      </c>
    </row>
    <row r="60" spans="2:7" x14ac:dyDescent="0.35">
      <c r="B60" s="2683" t="s">
        <v>2169</v>
      </c>
      <c r="C60" s="2684">
        <v>2244</v>
      </c>
      <c r="D60" s="2684">
        <v>2237</v>
      </c>
      <c r="E60" s="2684">
        <v>2024</v>
      </c>
      <c r="F60" s="2684">
        <v>1553</v>
      </c>
      <c r="G60" s="2684">
        <v>1608</v>
      </c>
    </row>
    <row r="61" spans="2:7" x14ac:dyDescent="0.35">
      <c r="B61" s="2683" t="s">
        <v>2170</v>
      </c>
      <c r="C61" s="2684">
        <v>1552</v>
      </c>
      <c r="D61" s="2684">
        <v>1432</v>
      </c>
      <c r="E61" s="2684">
        <v>1239</v>
      </c>
      <c r="F61" s="2684">
        <v>1077</v>
      </c>
      <c r="G61" s="2684">
        <v>1098</v>
      </c>
    </row>
    <row r="62" spans="2:7" x14ac:dyDescent="0.35">
      <c r="B62" s="2683" t="s">
        <v>2171</v>
      </c>
      <c r="C62" s="2684">
        <v>1015</v>
      </c>
      <c r="D62" s="2685">
        <v>993</v>
      </c>
      <c r="E62" s="2685">
        <v>899</v>
      </c>
      <c r="F62" s="2685">
        <v>773</v>
      </c>
      <c r="G62" s="2685">
        <v>809</v>
      </c>
    </row>
    <row r="63" spans="2:7" x14ac:dyDescent="0.35">
      <c r="B63" s="2683" t="s">
        <v>2172</v>
      </c>
      <c r="C63" s="2684">
        <v>2825</v>
      </c>
      <c r="D63" s="2684">
        <v>2625</v>
      </c>
      <c r="E63" s="2684">
        <v>2365</v>
      </c>
      <c r="F63" s="2684">
        <v>2007</v>
      </c>
      <c r="G63" s="2684">
        <v>2040</v>
      </c>
    </row>
    <row r="64" spans="2:7" x14ac:dyDescent="0.35">
      <c r="B64" s="2683" t="s">
        <v>2173</v>
      </c>
      <c r="C64" s="2684">
        <v>1672</v>
      </c>
      <c r="D64" s="2684">
        <v>1629</v>
      </c>
      <c r="E64" s="2684">
        <v>1454</v>
      </c>
      <c r="F64" s="2684">
        <v>1356</v>
      </c>
      <c r="G64" s="2684">
        <v>1399</v>
      </c>
    </row>
    <row r="65" spans="1:18" x14ac:dyDescent="0.35">
      <c r="B65" s="2683" t="s">
        <v>3908</v>
      </c>
      <c r="C65" s="2684">
        <v>2757</v>
      </c>
      <c r="D65" s="2684">
        <v>2670</v>
      </c>
      <c r="E65" s="2684">
        <v>2383</v>
      </c>
      <c r="F65" s="2684">
        <v>2149</v>
      </c>
      <c r="G65" s="2684">
        <v>2186</v>
      </c>
    </row>
    <row r="66" spans="1:18" x14ac:dyDescent="0.35">
      <c r="B66" s="1144" t="s">
        <v>2174</v>
      </c>
      <c r="C66" s="1200">
        <v>1603</v>
      </c>
      <c r="D66" s="1201">
        <v>1504</v>
      </c>
      <c r="E66" s="1201">
        <v>1440</v>
      </c>
      <c r="F66" s="1201">
        <v>1054</v>
      </c>
      <c r="G66" s="1322">
        <v>1205</v>
      </c>
    </row>
    <row r="67" spans="1:18" x14ac:dyDescent="0.35">
      <c r="B67" s="2683" t="s">
        <v>2175</v>
      </c>
      <c r="C67" s="2684">
        <v>1326</v>
      </c>
      <c r="D67" s="2684">
        <v>1328</v>
      </c>
      <c r="E67" s="2684">
        <v>1179</v>
      </c>
      <c r="F67" s="2684">
        <v>1091</v>
      </c>
      <c r="G67" s="2684">
        <v>1122</v>
      </c>
    </row>
    <row r="68" spans="1:18" x14ac:dyDescent="0.35">
      <c r="B68" s="2683" t="s">
        <v>2176</v>
      </c>
      <c r="C68" s="2684">
        <v>1365</v>
      </c>
      <c r="D68" s="2684">
        <v>1322</v>
      </c>
      <c r="E68" s="2684">
        <v>1193</v>
      </c>
      <c r="F68" s="2684">
        <v>1034</v>
      </c>
      <c r="G68" s="2684">
        <v>1088</v>
      </c>
      <c r="R68" s="698"/>
    </row>
    <row r="69" spans="1:18" x14ac:dyDescent="0.35">
      <c r="B69" s="2683" t="s">
        <v>2177</v>
      </c>
      <c r="C69" s="2684">
        <v>1347</v>
      </c>
      <c r="D69" s="2684">
        <v>1325</v>
      </c>
      <c r="E69" s="2684">
        <v>1183</v>
      </c>
      <c r="F69" s="2684">
        <v>1064</v>
      </c>
      <c r="G69" s="2684">
        <v>1096</v>
      </c>
      <c r="R69" s="698"/>
    </row>
    <row r="70" spans="1:18" x14ac:dyDescent="0.35">
      <c r="B70" s="2683" t="s">
        <v>2027</v>
      </c>
      <c r="C70" s="2684">
        <v>1285</v>
      </c>
      <c r="D70" s="2684">
        <v>1286</v>
      </c>
      <c r="E70" s="2684">
        <v>1180</v>
      </c>
      <c r="F70" s="2684">
        <v>1147</v>
      </c>
      <c r="G70" s="2684">
        <v>1224</v>
      </c>
      <c r="R70" s="698"/>
    </row>
    <row r="71" spans="1:18" x14ac:dyDescent="0.35">
      <c r="B71" s="2683" t="s">
        <v>536</v>
      </c>
      <c r="C71" s="2684">
        <v>1709</v>
      </c>
      <c r="D71" s="2684">
        <v>1678</v>
      </c>
      <c r="E71" s="2684">
        <v>1508</v>
      </c>
      <c r="F71" s="2684">
        <v>1287</v>
      </c>
      <c r="G71" s="2684">
        <v>1411</v>
      </c>
      <c r="R71" s="698"/>
    </row>
    <row r="72" spans="1:18" ht="15" thickBot="1" x14ac:dyDescent="0.4">
      <c r="J72" s="698"/>
      <c r="K72" s="698"/>
      <c r="L72" s="698"/>
      <c r="M72" s="698"/>
      <c r="N72" s="698"/>
      <c r="O72" s="698"/>
      <c r="P72" s="698"/>
      <c r="Q72" s="698"/>
    </row>
    <row r="73" spans="1:18" x14ac:dyDescent="0.35">
      <c r="B73" s="733" t="s">
        <v>2459</v>
      </c>
      <c r="J73" s="698"/>
      <c r="K73" s="698"/>
      <c r="L73" s="698"/>
      <c r="M73" s="698"/>
      <c r="N73" s="698"/>
      <c r="O73" s="698"/>
      <c r="P73" s="698"/>
      <c r="Q73" s="698"/>
    </row>
    <row r="74" spans="1:18" ht="15" thickBot="1" x14ac:dyDescent="0.4">
      <c r="B74" s="734">
        <v>621</v>
      </c>
      <c r="J74" s="698"/>
      <c r="K74" s="698"/>
      <c r="L74" s="698"/>
      <c r="M74" s="698"/>
      <c r="N74" s="698"/>
      <c r="O74" s="698"/>
      <c r="P74" s="698"/>
      <c r="Q74" s="698"/>
    </row>
    <row r="75" spans="1:18" x14ac:dyDescent="0.35">
      <c r="J75" s="698"/>
      <c r="K75" s="698"/>
      <c r="L75" s="698"/>
      <c r="M75" s="698"/>
      <c r="N75" s="698"/>
      <c r="O75" s="698"/>
      <c r="P75" s="698"/>
      <c r="Q75" s="698"/>
    </row>
    <row r="76" spans="1:18" ht="21" x14ac:dyDescent="0.5">
      <c r="A76" s="704" t="s">
        <v>2012</v>
      </c>
      <c r="J76" s="698"/>
      <c r="K76" s="698"/>
      <c r="L76" s="698"/>
      <c r="M76" s="698"/>
      <c r="N76" s="698"/>
      <c r="O76" s="698"/>
      <c r="P76" s="698"/>
      <c r="Q76" s="698"/>
    </row>
    <row r="77" spans="1:18" ht="21.5" thickBot="1" x14ac:dyDescent="0.55000000000000004">
      <c r="A77" s="704"/>
      <c r="B77" s="698"/>
      <c r="C77" s="735"/>
      <c r="J77" s="698"/>
      <c r="K77" s="698"/>
      <c r="L77" s="698"/>
      <c r="M77" s="698"/>
      <c r="N77" s="698"/>
      <c r="O77" s="698"/>
      <c r="P77" s="698"/>
      <c r="Q77" s="698"/>
    </row>
    <row r="78" spans="1:18" x14ac:dyDescent="0.35">
      <c r="B78" s="736" t="s">
        <v>2460</v>
      </c>
      <c r="E78" s="737"/>
      <c r="F78" s="737"/>
      <c r="G78" s="737"/>
    </row>
    <row r="79" spans="1:18" ht="15" thickBot="1" x14ac:dyDescent="0.4">
      <c r="B79" s="1581">
        <v>0.89219999999999999</v>
      </c>
      <c r="C79" s="675" t="s">
        <v>2461</v>
      </c>
      <c r="E79" s="739"/>
      <c r="F79" s="739"/>
      <c r="G79" s="739"/>
    </row>
    <row r="80" spans="1:18" x14ac:dyDescent="0.35">
      <c r="B80" s="739"/>
      <c r="C80" s="739"/>
      <c r="D80" s="739"/>
      <c r="E80" s="739"/>
      <c r="F80" s="739"/>
      <c r="G80" s="739"/>
    </row>
    <row r="81" spans="1:24" ht="21" x14ac:dyDescent="0.5">
      <c r="A81" s="704" t="s">
        <v>2014</v>
      </c>
      <c r="C81" s="675" t="s">
        <v>2015</v>
      </c>
    </row>
    <row r="82" spans="1:24" ht="21" x14ac:dyDescent="0.5">
      <c r="A82" s="704"/>
    </row>
    <row r="83" spans="1:24" ht="15.75" customHeight="1" thickBot="1" x14ac:dyDescent="0.4">
      <c r="D83" s="698"/>
      <c r="E83" s="987"/>
      <c r="F83" s="1044"/>
      <c r="G83" s="1044"/>
      <c r="H83" s="748"/>
      <c r="I83" s="748"/>
      <c r="J83" s="748"/>
      <c r="K83" s="698"/>
      <c r="L83" s="698"/>
      <c r="M83" s="698"/>
      <c r="N83" s="698"/>
      <c r="O83" s="698"/>
    </row>
    <row r="84" spans="1:24" ht="52" x14ac:dyDescent="0.35">
      <c r="B84" s="1582" t="s">
        <v>2019</v>
      </c>
      <c r="C84" s="1583" t="s">
        <v>2462</v>
      </c>
      <c r="D84" s="698"/>
      <c r="E84" s="987"/>
      <c r="F84" s="1044"/>
      <c r="G84" s="1044"/>
      <c r="H84" s="1044"/>
      <c r="I84" s="1044"/>
      <c r="J84" s="1044"/>
      <c r="K84" s="698"/>
      <c r="N84" s="1044"/>
      <c r="O84" s="698"/>
    </row>
    <row r="85" spans="1:24" x14ac:dyDescent="0.35">
      <c r="B85" s="1579" t="s">
        <v>2180</v>
      </c>
      <c r="C85" s="1584">
        <v>0.01</v>
      </c>
      <c r="D85" s="753"/>
      <c r="E85" s="1585"/>
      <c r="F85" s="753"/>
      <c r="G85" s="753"/>
      <c r="H85" s="753"/>
      <c r="I85" s="753"/>
      <c r="J85" s="753"/>
      <c r="K85" s="698"/>
      <c r="L85" s="698"/>
      <c r="M85" s="698"/>
      <c r="N85" s="753"/>
      <c r="O85" s="698"/>
      <c r="P85" s="698"/>
      <c r="Q85" s="698"/>
      <c r="R85" s="698"/>
      <c r="S85" s="698"/>
      <c r="U85" s="1586"/>
    </row>
    <row r="86" spans="1:24" x14ac:dyDescent="0.35">
      <c r="B86" s="1579" t="s">
        <v>2071</v>
      </c>
      <c r="C86" s="1584">
        <v>0.01</v>
      </c>
      <c r="D86" s="754"/>
      <c r="E86" s="1585"/>
      <c r="F86" s="753"/>
      <c r="G86" s="753"/>
      <c r="H86" s="753"/>
      <c r="I86" s="753"/>
      <c r="J86" s="753"/>
      <c r="K86" s="698"/>
      <c r="L86" s="698"/>
      <c r="M86" s="698"/>
      <c r="N86" s="753"/>
      <c r="O86" s="698"/>
      <c r="P86" s="698"/>
      <c r="Q86" s="698"/>
      <c r="R86" s="698"/>
      <c r="S86" s="698"/>
      <c r="U86" s="1586"/>
    </row>
    <row r="87" spans="1:24" x14ac:dyDescent="0.35">
      <c r="B87" s="2752" t="s">
        <v>3906</v>
      </c>
      <c r="C87" s="2753">
        <v>0</v>
      </c>
      <c r="D87" s="2687"/>
      <c r="E87" s="1585"/>
      <c r="F87" s="753"/>
      <c r="G87" s="753"/>
      <c r="H87" s="753"/>
      <c r="I87" s="753"/>
      <c r="J87" s="753"/>
      <c r="K87" s="2686"/>
      <c r="L87" s="2686"/>
      <c r="M87" s="2686"/>
      <c r="N87" s="753"/>
      <c r="O87" s="2686"/>
      <c r="P87" s="2686"/>
      <c r="Q87" s="2686"/>
      <c r="R87" s="2686"/>
      <c r="S87" s="2686"/>
      <c r="U87" s="1586"/>
    </row>
    <row r="88" spans="1:24" x14ac:dyDescent="0.35">
      <c r="B88" s="1579" t="s">
        <v>2157</v>
      </c>
      <c r="C88" s="1584">
        <v>0.04</v>
      </c>
      <c r="D88" s="758"/>
      <c r="E88" s="1585"/>
      <c r="F88" s="753"/>
      <c r="G88" s="753"/>
      <c r="H88" s="753"/>
      <c r="I88" s="753"/>
      <c r="J88" s="753"/>
      <c r="K88" s="698"/>
      <c r="L88" s="698"/>
      <c r="M88" s="698"/>
      <c r="N88" s="753"/>
      <c r="O88" s="698"/>
      <c r="P88" s="698"/>
      <c r="Q88" s="698"/>
      <c r="R88" s="698"/>
      <c r="S88" s="698"/>
      <c r="U88" s="1586"/>
    </row>
    <row r="89" spans="1:24" x14ac:dyDescent="0.35">
      <c r="B89" s="1579" t="s">
        <v>2158</v>
      </c>
      <c r="C89" s="1584">
        <v>0</v>
      </c>
      <c r="D89" s="758"/>
      <c r="E89" s="1585"/>
      <c r="F89" s="753"/>
      <c r="G89" s="753"/>
      <c r="H89" s="753"/>
      <c r="I89" s="753"/>
      <c r="J89" s="753"/>
      <c r="K89" s="698"/>
      <c r="L89" s="698"/>
      <c r="M89" s="698"/>
      <c r="N89" s="753"/>
      <c r="O89" s="698"/>
      <c r="P89" s="698"/>
      <c r="Q89" s="698"/>
      <c r="R89" s="698"/>
      <c r="S89" s="698"/>
      <c r="U89" s="1586"/>
    </row>
    <row r="90" spans="1:24" x14ac:dyDescent="0.35">
      <c r="B90" s="2752" t="s">
        <v>3907</v>
      </c>
      <c r="C90" s="2753">
        <v>0</v>
      </c>
      <c r="D90" s="758"/>
      <c r="E90" s="1585"/>
      <c r="F90" s="753"/>
      <c r="G90" s="753"/>
      <c r="H90" s="753"/>
      <c r="I90" s="753"/>
      <c r="J90" s="753"/>
      <c r="K90" s="2686"/>
      <c r="L90" s="2686"/>
      <c r="M90" s="2686"/>
      <c r="N90" s="753"/>
      <c r="O90" s="2686"/>
      <c r="P90" s="2686"/>
      <c r="Q90" s="2686"/>
      <c r="R90" s="2686"/>
      <c r="S90" s="2686"/>
      <c r="U90" s="1586"/>
    </row>
    <row r="91" spans="1:24" x14ac:dyDescent="0.35">
      <c r="B91" s="1579" t="s">
        <v>2028</v>
      </c>
      <c r="C91" s="1584">
        <v>0.03</v>
      </c>
      <c r="D91" s="758"/>
      <c r="E91" s="1585"/>
      <c r="F91" s="753"/>
      <c r="G91" s="753"/>
      <c r="H91" s="753"/>
      <c r="I91" s="753"/>
      <c r="J91" s="753"/>
      <c r="K91" s="698"/>
      <c r="L91" s="698"/>
      <c r="M91" s="698"/>
      <c r="N91" s="753"/>
      <c r="O91" s="698"/>
      <c r="P91" s="698"/>
      <c r="Q91" s="698"/>
      <c r="R91" s="698"/>
      <c r="S91" s="698"/>
      <c r="U91" s="1586"/>
    </row>
    <row r="92" spans="1:24" x14ac:dyDescent="0.35">
      <c r="B92" s="1579" t="s">
        <v>2109</v>
      </c>
      <c r="C92" s="1584">
        <v>0</v>
      </c>
      <c r="D92" s="758"/>
      <c r="E92" s="1587"/>
      <c r="F92" s="753"/>
      <c r="G92" s="753"/>
      <c r="H92" s="753"/>
      <c r="I92" s="753"/>
      <c r="J92" s="753"/>
      <c r="K92" s="698"/>
      <c r="L92" s="698"/>
      <c r="M92" s="698"/>
      <c r="N92" s="753"/>
      <c r="O92" s="698"/>
      <c r="P92" s="698"/>
      <c r="Q92" s="698"/>
      <c r="R92" s="698"/>
      <c r="S92" s="698"/>
      <c r="U92" s="1586"/>
    </row>
    <row r="93" spans="1:24" x14ac:dyDescent="0.35">
      <c r="B93" s="1579" t="s">
        <v>2026</v>
      </c>
      <c r="C93" s="1584">
        <v>0.01</v>
      </c>
      <c r="D93" s="758"/>
      <c r="E93" s="1587"/>
      <c r="F93" s="753"/>
      <c r="G93" s="753"/>
      <c r="H93" s="753"/>
      <c r="I93" s="753"/>
      <c r="J93" s="753"/>
      <c r="K93" s="698"/>
      <c r="L93" s="698"/>
      <c r="M93" s="698"/>
      <c r="N93" s="753"/>
      <c r="O93" s="698"/>
      <c r="P93" s="698"/>
      <c r="Q93" s="698"/>
      <c r="R93" s="698"/>
      <c r="S93" s="698"/>
      <c r="U93" s="1586"/>
      <c r="V93" s="762"/>
      <c r="W93" s="763"/>
      <c r="X93" s="764"/>
    </row>
    <row r="94" spans="1:24" x14ac:dyDescent="0.35">
      <c r="B94" s="1579" t="s">
        <v>2075</v>
      </c>
      <c r="C94" s="1584">
        <v>0.06</v>
      </c>
      <c r="D94" s="758"/>
      <c r="E94" s="1585"/>
      <c r="F94" s="753"/>
      <c r="G94" s="753"/>
      <c r="H94" s="753"/>
      <c r="I94" s="753"/>
      <c r="J94" s="753"/>
      <c r="K94" s="698"/>
      <c r="L94" s="698"/>
      <c r="M94" s="698"/>
      <c r="N94" s="753"/>
      <c r="O94" s="698"/>
      <c r="P94" s="698"/>
      <c r="Q94" s="698"/>
      <c r="R94" s="698"/>
      <c r="S94" s="698"/>
      <c r="U94" s="1586"/>
      <c r="V94" s="762"/>
      <c r="W94" s="763"/>
      <c r="X94" s="764"/>
    </row>
    <row r="95" spans="1:24" x14ac:dyDescent="0.35">
      <c r="B95" s="1579" t="s">
        <v>2029</v>
      </c>
      <c r="C95" s="1584">
        <v>0.03</v>
      </c>
      <c r="D95" s="758"/>
      <c r="E95" s="1585"/>
      <c r="F95" s="753"/>
      <c r="G95" s="753"/>
      <c r="H95" s="753"/>
      <c r="I95" s="753"/>
      <c r="J95" s="753"/>
      <c r="K95" s="698"/>
      <c r="L95" s="698"/>
      <c r="M95" s="698"/>
      <c r="N95" s="753"/>
      <c r="O95" s="698"/>
      <c r="P95" s="698"/>
      <c r="Q95" s="698"/>
      <c r="R95" s="698"/>
      <c r="S95" s="698"/>
      <c r="U95" s="1586"/>
      <c r="V95" s="762"/>
      <c r="W95" s="763"/>
      <c r="X95" s="764"/>
    </row>
    <row r="96" spans="1:24" x14ac:dyDescent="0.35">
      <c r="B96" s="749" t="s">
        <v>2159</v>
      </c>
      <c r="C96" s="1584">
        <v>0.02</v>
      </c>
      <c r="D96" s="758"/>
      <c r="E96" s="1585"/>
      <c r="F96" s="753"/>
      <c r="G96" s="753"/>
      <c r="H96" s="753"/>
      <c r="I96" s="753"/>
      <c r="J96" s="753"/>
      <c r="K96" s="698"/>
      <c r="L96" s="698"/>
      <c r="M96" s="698"/>
      <c r="N96" s="753"/>
      <c r="O96" s="698"/>
      <c r="P96" s="698"/>
      <c r="Q96" s="698"/>
      <c r="R96" s="698"/>
      <c r="S96" s="698"/>
      <c r="U96" s="1586"/>
      <c r="V96" s="762"/>
      <c r="W96" s="763"/>
      <c r="X96" s="764"/>
    </row>
    <row r="97" spans="2:24" x14ac:dyDescent="0.35">
      <c r="B97" s="749" t="s">
        <v>2160</v>
      </c>
      <c r="C97" s="1584">
        <v>0.02</v>
      </c>
      <c r="D97" s="758"/>
      <c r="E97" s="1585"/>
      <c r="F97" s="753"/>
      <c r="G97" s="753"/>
      <c r="H97" s="753"/>
      <c r="I97" s="753"/>
      <c r="J97" s="753"/>
      <c r="K97" s="698"/>
      <c r="L97" s="698"/>
      <c r="M97" s="698"/>
      <c r="N97" s="753"/>
      <c r="O97" s="698"/>
      <c r="P97" s="698"/>
      <c r="Q97" s="698"/>
      <c r="R97" s="698"/>
      <c r="S97" s="698"/>
      <c r="U97" s="1586"/>
      <c r="V97" s="762"/>
      <c r="W97" s="763"/>
      <c r="X97" s="764"/>
    </row>
    <row r="98" spans="2:24" ht="15" customHeight="1" x14ac:dyDescent="0.35">
      <c r="B98" s="749" t="s">
        <v>2161</v>
      </c>
      <c r="C98" s="1584">
        <v>0.06</v>
      </c>
      <c r="D98" s="758"/>
      <c r="E98" s="1585"/>
      <c r="F98" s="753"/>
      <c r="G98" s="753"/>
      <c r="H98" s="753"/>
      <c r="I98" s="753"/>
      <c r="J98" s="753"/>
      <c r="K98" s="698"/>
      <c r="L98" s="698"/>
      <c r="M98" s="698"/>
      <c r="N98" s="753"/>
      <c r="O98" s="698"/>
      <c r="P98" s="698"/>
      <c r="Q98" s="698"/>
      <c r="R98" s="698"/>
      <c r="S98" s="698"/>
      <c r="U98" s="1586"/>
      <c r="V98" s="762"/>
      <c r="W98" s="763"/>
      <c r="X98" s="764"/>
    </row>
    <row r="99" spans="2:24" x14ac:dyDescent="0.35">
      <c r="B99" s="1579" t="s">
        <v>2162</v>
      </c>
      <c r="C99" s="1584">
        <v>0.02</v>
      </c>
      <c r="D99" s="748"/>
      <c r="E99" s="1585"/>
      <c r="F99" s="753"/>
      <c r="G99" s="753"/>
      <c r="H99" s="753"/>
      <c r="I99" s="753"/>
      <c r="J99" s="753"/>
      <c r="K99" s="698"/>
      <c r="L99" s="698"/>
      <c r="M99" s="698"/>
      <c r="N99" s="753"/>
      <c r="O99" s="698"/>
      <c r="P99" s="698"/>
      <c r="Q99" s="698"/>
      <c r="R99" s="698"/>
      <c r="S99" s="698"/>
      <c r="U99" s="1586"/>
    </row>
    <row r="100" spans="2:24" x14ac:dyDescent="0.35">
      <c r="B100" s="1579" t="s">
        <v>2325</v>
      </c>
      <c r="C100" s="1584">
        <v>0.06</v>
      </c>
      <c r="D100" s="748"/>
      <c r="E100" s="1585"/>
      <c r="F100" s="753"/>
      <c r="G100" s="753"/>
      <c r="H100" s="753"/>
      <c r="I100" s="753"/>
      <c r="J100" s="753"/>
      <c r="K100" s="698"/>
      <c r="L100" s="698"/>
      <c r="M100" s="698"/>
      <c r="N100" s="753"/>
      <c r="O100" s="698"/>
      <c r="P100" s="698"/>
      <c r="Q100" s="698"/>
      <c r="R100" s="698"/>
      <c r="S100" s="698"/>
      <c r="U100" s="1586"/>
    </row>
    <row r="101" spans="2:24" x14ac:dyDescent="0.35">
      <c r="B101" s="1579" t="s">
        <v>2073</v>
      </c>
      <c r="C101" s="1584">
        <v>0</v>
      </c>
      <c r="D101" s="748"/>
      <c r="E101" s="1585"/>
      <c r="F101" s="753"/>
      <c r="G101" s="753"/>
      <c r="H101" s="753"/>
      <c r="I101" s="753"/>
      <c r="J101" s="753"/>
      <c r="K101" s="698"/>
      <c r="L101" s="698"/>
      <c r="M101" s="698"/>
      <c r="N101" s="753"/>
      <c r="O101" s="698"/>
      <c r="P101" s="698"/>
      <c r="Q101" s="698"/>
      <c r="R101" s="698"/>
      <c r="S101" s="698"/>
      <c r="U101" s="1586"/>
    </row>
    <row r="102" spans="2:24" x14ac:dyDescent="0.35">
      <c r="B102" s="1579" t="s">
        <v>2166</v>
      </c>
      <c r="C102" s="1584">
        <v>0</v>
      </c>
      <c r="D102" s="748"/>
      <c r="E102" s="1585"/>
      <c r="F102" s="753"/>
      <c r="G102" s="753"/>
      <c r="H102" s="753"/>
      <c r="I102" s="753"/>
      <c r="J102" s="753"/>
      <c r="K102" s="698"/>
      <c r="L102" s="698"/>
      <c r="M102" s="698"/>
      <c r="N102" s="753"/>
      <c r="O102" s="698"/>
      <c r="P102" s="698"/>
      <c r="Q102" s="698"/>
      <c r="R102" s="698"/>
      <c r="S102" s="698"/>
      <c r="U102" s="1586"/>
    </row>
    <row r="103" spans="2:24" x14ac:dyDescent="0.35">
      <c r="B103" s="1579" t="s">
        <v>2163</v>
      </c>
      <c r="C103" s="1584">
        <v>0.05</v>
      </c>
      <c r="D103" s="748"/>
      <c r="E103" s="1585"/>
      <c r="F103" s="753"/>
      <c r="G103" s="753"/>
      <c r="H103" s="753"/>
      <c r="I103" s="753"/>
      <c r="J103" s="753"/>
      <c r="K103" s="698"/>
      <c r="L103" s="698"/>
      <c r="M103" s="698"/>
      <c r="N103" s="753"/>
      <c r="O103" s="698"/>
      <c r="P103" s="698"/>
      <c r="Q103" s="698"/>
      <c r="R103" s="698"/>
      <c r="S103" s="698"/>
      <c r="U103" s="1586"/>
    </row>
    <row r="104" spans="2:24" x14ac:dyDescent="0.35">
      <c r="B104" s="1579" t="s">
        <v>2181</v>
      </c>
      <c r="C104" s="1584">
        <v>0.02</v>
      </c>
      <c r="D104" s="748"/>
      <c r="E104" s="1585"/>
      <c r="F104" s="753"/>
      <c r="G104" s="753"/>
      <c r="H104" s="753"/>
      <c r="I104" s="753"/>
      <c r="J104" s="753"/>
      <c r="K104" s="698"/>
      <c r="L104" s="698"/>
      <c r="M104" s="698"/>
      <c r="N104" s="753"/>
      <c r="O104" s="698"/>
      <c r="P104" s="698"/>
      <c r="Q104" s="698"/>
      <c r="R104" s="698"/>
      <c r="S104" s="698"/>
      <c r="U104" s="1586"/>
    </row>
    <row r="105" spans="2:24" x14ac:dyDescent="0.35">
      <c r="B105" s="1579" t="s">
        <v>2164</v>
      </c>
      <c r="C105" s="1584">
        <v>0</v>
      </c>
      <c r="D105" s="748"/>
      <c r="E105" s="1585"/>
      <c r="F105" s="753"/>
      <c r="G105" s="753"/>
      <c r="H105" s="753"/>
      <c r="I105" s="753"/>
      <c r="J105" s="753"/>
      <c r="K105" s="698"/>
      <c r="L105" s="698"/>
      <c r="M105" s="698"/>
      <c r="N105" s="753"/>
      <c r="O105" s="698"/>
      <c r="P105" s="698"/>
      <c r="Q105" s="698"/>
      <c r="R105" s="698"/>
      <c r="S105" s="698"/>
      <c r="U105" s="1586"/>
    </row>
    <row r="106" spans="2:24" x14ac:dyDescent="0.35">
      <c r="B106" s="1579" t="s">
        <v>2336</v>
      </c>
      <c r="C106" s="1584">
        <v>0</v>
      </c>
      <c r="D106" s="748"/>
      <c r="E106" s="1585"/>
      <c r="F106" s="753"/>
      <c r="G106" s="753"/>
      <c r="H106" s="753"/>
      <c r="I106" s="753"/>
      <c r="J106" s="753"/>
      <c r="K106" s="698"/>
      <c r="L106" s="698"/>
      <c r="M106" s="698"/>
      <c r="N106" s="753"/>
      <c r="O106" s="698"/>
      <c r="P106" s="698"/>
      <c r="Q106" s="698"/>
      <c r="R106" s="698"/>
      <c r="S106" s="698"/>
      <c r="U106" s="1586"/>
    </row>
    <row r="107" spans="2:24" x14ac:dyDescent="0.35">
      <c r="B107" s="1579" t="s">
        <v>2165</v>
      </c>
      <c r="C107" s="1584">
        <v>0.02</v>
      </c>
      <c r="D107" s="748"/>
      <c r="E107" s="1585"/>
      <c r="F107" s="753"/>
      <c r="G107" s="753"/>
      <c r="H107" s="753"/>
      <c r="I107" s="753"/>
      <c r="J107" s="753"/>
      <c r="K107" s="698"/>
      <c r="L107" s="698"/>
      <c r="M107" s="698"/>
      <c r="N107" s="753"/>
      <c r="O107" s="698"/>
      <c r="P107" s="698"/>
      <c r="Q107" s="698"/>
      <c r="R107" s="698"/>
      <c r="S107" s="698"/>
      <c r="U107" s="1586"/>
    </row>
    <row r="108" spans="2:24" x14ac:dyDescent="0.35">
      <c r="B108" s="1579" t="s">
        <v>2167</v>
      </c>
      <c r="C108" s="1584">
        <v>0</v>
      </c>
      <c r="D108" s="748"/>
      <c r="E108" s="1585"/>
      <c r="F108" s="753"/>
      <c r="G108" s="753"/>
      <c r="H108" s="753"/>
      <c r="I108" s="753"/>
      <c r="J108" s="753"/>
      <c r="K108" s="698"/>
      <c r="L108" s="698"/>
      <c r="M108" s="698"/>
      <c r="N108" s="753"/>
      <c r="O108" s="698"/>
      <c r="P108" s="698"/>
      <c r="Q108" s="698"/>
      <c r="R108" s="698"/>
      <c r="S108" s="698"/>
      <c r="U108" s="1586"/>
    </row>
    <row r="109" spans="2:24" x14ac:dyDescent="0.35">
      <c r="B109" s="1579" t="s">
        <v>2168</v>
      </c>
      <c r="C109" s="1584">
        <v>0.03</v>
      </c>
      <c r="D109" s="748"/>
      <c r="E109" s="1585"/>
      <c r="F109" s="753"/>
      <c r="G109" s="753"/>
      <c r="H109" s="753"/>
      <c r="I109" s="753"/>
      <c r="J109" s="753"/>
      <c r="K109" s="698"/>
      <c r="L109" s="698"/>
      <c r="M109" s="698"/>
      <c r="N109" s="753"/>
      <c r="O109" s="698"/>
      <c r="P109" s="698"/>
      <c r="Q109" s="698"/>
      <c r="R109" s="698"/>
      <c r="S109" s="698"/>
      <c r="U109" s="1586"/>
    </row>
    <row r="110" spans="2:24" x14ac:dyDescent="0.35">
      <c r="B110" s="1579" t="s">
        <v>2169</v>
      </c>
      <c r="C110" s="1584">
        <v>0.03</v>
      </c>
      <c r="D110" s="748"/>
      <c r="E110" s="1585"/>
      <c r="F110" s="753"/>
      <c r="G110" s="753"/>
      <c r="H110" s="753"/>
      <c r="I110" s="753"/>
      <c r="J110" s="753"/>
      <c r="K110" s="698"/>
      <c r="L110" s="698"/>
      <c r="M110" s="698"/>
      <c r="N110" s="753"/>
      <c r="O110" s="698"/>
      <c r="P110" s="698"/>
      <c r="Q110" s="698"/>
      <c r="R110" s="698"/>
      <c r="S110" s="698"/>
      <c r="U110" s="1586"/>
    </row>
    <row r="111" spans="2:24" x14ac:dyDescent="0.35">
      <c r="B111" s="1579" t="s">
        <v>2170</v>
      </c>
      <c r="C111" s="1584">
        <v>0.03</v>
      </c>
      <c r="D111" s="748"/>
      <c r="E111" s="1585"/>
      <c r="F111" s="753"/>
      <c r="G111" s="753"/>
      <c r="H111" s="753"/>
      <c r="I111" s="753"/>
      <c r="J111" s="753"/>
      <c r="K111" s="698"/>
      <c r="L111" s="698"/>
      <c r="M111" s="698"/>
      <c r="N111" s="753"/>
      <c r="O111" s="698"/>
      <c r="P111" s="698"/>
      <c r="Q111" s="698"/>
      <c r="R111" s="698"/>
      <c r="S111" s="698"/>
      <c r="U111" s="1586"/>
    </row>
    <row r="112" spans="2:24" x14ac:dyDescent="0.35">
      <c r="B112" s="1579" t="s">
        <v>2171</v>
      </c>
      <c r="C112" s="1584">
        <v>0.03</v>
      </c>
      <c r="D112" s="748"/>
      <c r="E112" s="1585"/>
      <c r="F112" s="753"/>
      <c r="G112" s="753"/>
      <c r="H112" s="753"/>
      <c r="I112" s="753"/>
      <c r="J112" s="753"/>
      <c r="K112" s="698"/>
      <c r="L112" s="698"/>
      <c r="M112" s="698"/>
      <c r="N112" s="753"/>
      <c r="O112" s="698"/>
      <c r="P112" s="698"/>
      <c r="Q112" s="698"/>
      <c r="R112" s="698"/>
      <c r="S112" s="698"/>
      <c r="U112" s="1586"/>
    </row>
    <row r="113" spans="2:21" x14ac:dyDescent="0.35">
      <c r="B113" s="1579" t="s">
        <v>2172</v>
      </c>
      <c r="C113" s="1584">
        <v>0</v>
      </c>
      <c r="D113" s="748"/>
      <c r="E113" s="1585"/>
      <c r="F113" s="753"/>
      <c r="G113" s="753"/>
      <c r="H113" s="753"/>
      <c r="I113" s="753"/>
      <c r="J113" s="753"/>
      <c r="K113" s="698"/>
      <c r="L113" s="698"/>
      <c r="M113" s="698"/>
      <c r="N113" s="753"/>
      <c r="O113" s="698"/>
      <c r="P113" s="698"/>
      <c r="Q113" s="698"/>
      <c r="R113" s="698"/>
      <c r="S113" s="698"/>
      <c r="U113" s="1586"/>
    </row>
    <row r="114" spans="2:21" x14ac:dyDescent="0.35">
      <c r="B114" s="1579" t="s">
        <v>2173</v>
      </c>
      <c r="C114" s="1584">
        <v>7.0000000000000007E-2</v>
      </c>
      <c r="D114" s="748"/>
      <c r="E114" s="1585"/>
      <c r="F114" s="753"/>
      <c r="G114" s="753"/>
      <c r="H114" s="753"/>
      <c r="I114" s="753"/>
      <c r="J114" s="753"/>
      <c r="K114" s="698"/>
      <c r="L114" s="698"/>
      <c r="M114" s="698"/>
      <c r="N114" s="753"/>
      <c r="O114" s="698"/>
      <c r="P114" s="698"/>
      <c r="Q114" s="698"/>
      <c r="R114" s="698"/>
      <c r="S114" s="698"/>
      <c r="U114" s="1586"/>
    </row>
    <row r="115" spans="2:21" x14ac:dyDescent="0.35">
      <c r="B115" s="2752" t="s">
        <v>3908</v>
      </c>
      <c r="C115" s="2753">
        <v>0</v>
      </c>
      <c r="D115" s="748"/>
      <c r="E115" s="1585"/>
      <c r="F115" s="753"/>
      <c r="G115" s="753"/>
      <c r="H115" s="753"/>
      <c r="I115" s="753"/>
      <c r="J115" s="753"/>
      <c r="K115" s="2686"/>
      <c r="L115" s="2686"/>
      <c r="M115" s="2686"/>
      <c r="N115" s="753"/>
      <c r="O115" s="2686"/>
      <c r="P115" s="2686"/>
      <c r="Q115" s="2686"/>
      <c r="R115" s="2686"/>
      <c r="S115" s="2686"/>
      <c r="U115" s="1586"/>
    </row>
    <row r="116" spans="2:21" x14ac:dyDescent="0.35">
      <c r="B116" s="1579" t="s">
        <v>2174</v>
      </c>
      <c r="C116" s="1584">
        <v>0.01</v>
      </c>
      <c r="D116" s="748"/>
      <c r="E116" s="1585"/>
      <c r="F116" s="753"/>
      <c r="G116" s="753"/>
      <c r="H116" s="753"/>
      <c r="I116" s="753"/>
      <c r="J116" s="753"/>
      <c r="K116" s="698"/>
      <c r="L116" s="698"/>
      <c r="M116" s="698"/>
      <c r="N116" s="753"/>
      <c r="O116" s="698"/>
      <c r="P116" s="698"/>
      <c r="Q116" s="698"/>
      <c r="R116" s="698"/>
      <c r="S116" s="698"/>
      <c r="U116" s="1586"/>
    </row>
    <row r="117" spans="2:21" x14ac:dyDescent="0.35">
      <c r="B117" s="1579" t="s">
        <v>2175</v>
      </c>
      <c r="C117" s="1584">
        <v>0.02</v>
      </c>
      <c r="D117" s="748"/>
      <c r="E117" s="1585"/>
      <c r="F117" s="753"/>
      <c r="G117" s="753"/>
      <c r="H117" s="753"/>
      <c r="I117" s="753"/>
      <c r="J117" s="753"/>
      <c r="K117" s="698"/>
      <c r="L117" s="698"/>
      <c r="M117" s="698"/>
      <c r="N117" s="753"/>
      <c r="O117" s="698"/>
      <c r="P117" s="698"/>
      <c r="Q117" s="698"/>
      <c r="R117" s="698"/>
      <c r="S117" s="698"/>
      <c r="U117" s="1586"/>
    </row>
    <row r="118" spans="2:21" x14ac:dyDescent="0.35">
      <c r="B118" s="1579" t="s">
        <v>2176</v>
      </c>
      <c r="C118" s="1584">
        <v>0.03</v>
      </c>
      <c r="D118" s="748"/>
      <c r="E118" s="1585"/>
      <c r="F118" s="753"/>
      <c r="G118" s="753"/>
      <c r="H118" s="753"/>
      <c r="I118" s="753"/>
      <c r="J118" s="753"/>
      <c r="K118" s="698"/>
      <c r="L118" s="698"/>
      <c r="M118" s="698"/>
      <c r="N118" s="753"/>
      <c r="O118" s="698"/>
      <c r="P118" s="698"/>
      <c r="Q118" s="698"/>
      <c r="R118" s="698"/>
      <c r="S118" s="698"/>
      <c r="U118" s="1586"/>
    </row>
    <row r="119" spans="2:21" x14ac:dyDescent="0.35">
      <c r="B119" s="1579" t="s">
        <v>2177</v>
      </c>
      <c r="C119" s="1584">
        <v>0.03</v>
      </c>
      <c r="D119" s="748"/>
      <c r="E119" s="1585"/>
      <c r="F119" s="753"/>
      <c r="G119" s="753"/>
      <c r="H119" s="753"/>
      <c r="I119" s="753"/>
      <c r="J119" s="753"/>
      <c r="K119" s="698"/>
      <c r="L119" s="698"/>
      <c r="M119" s="698"/>
      <c r="N119" s="753"/>
      <c r="O119" s="698"/>
      <c r="P119" s="698"/>
      <c r="Q119" s="698"/>
      <c r="R119" s="698"/>
      <c r="S119" s="698"/>
      <c r="U119" s="1586"/>
    </row>
    <row r="120" spans="2:21" x14ac:dyDescent="0.35">
      <c r="B120" s="1579" t="s">
        <v>2027</v>
      </c>
      <c r="C120" s="1584">
        <v>0.01</v>
      </c>
      <c r="D120" s="748"/>
      <c r="E120" s="1585"/>
      <c r="F120" s="753"/>
      <c r="G120" s="753"/>
      <c r="H120" s="753"/>
      <c r="I120" s="753"/>
      <c r="J120" s="753"/>
      <c r="K120" s="698"/>
      <c r="L120" s="698"/>
      <c r="M120" s="698"/>
      <c r="N120" s="753"/>
      <c r="O120" s="698"/>
      <c r="P120" s="698"/>
      <c r="Q120" s="698"/>
      <c r="R120" s="698"/>
      <c r="S120" s="698"/>
      <c r="U120" s="1586"/>
    </row>
    <row r="121" spans="2:21" ht="15" thickBot="1" x14ac:dyDescent="0.4">
      <c r="B121" s="1580" t="s">
        <v>536</v>
      </c>
      <c r="C121" s="1588">
        <v>0.25</v>
      </c>
      <c r="D121" s="748"/>
      <c r="E121" s="1585"/>
      <c r="F121" s="753"/>
      <c r="G121" s="753"/>
      <c r="H121" s="753"/>
      <c r="I121" s="753"/>
      <c r="J121" s="753"/>
      <c r="K121" s="698"/>
      <c r="L121" s="698"/>
      <c r="M121" s="698"/>
      <c r="N121" s="753"/>
      <c r="O121" s="698"/>
      <c r="P121" s="698"/>
      <c r="Q121" s="698"/>
      <c r="R121" s="698"/>
      <c r="S121" s="698"/>
      <c r="U121" s="1586"/>
    </row>
    <row r="122" spans="2:21" ht="15" thickBot="1" x14ac:dyDescent="0.4">
      <c r="B122" s="748"/>
      <c r="C122" s="1585"/>
      <c r="D122" s="753"/>
      <c r="E122" s="753"/>
      <c r="F122" s="753"/>
      <c r="G122" s="753"/>
      <c r="H122" s="748"/>
      <c r="I122" s="1585"/>
      <c r="J122" s="753"/>
      <c r="K122" s="753"/>
      <c r="L122" s="753"/>
      <c r="M122" s="753"/>
      <c r="N122" s="753"/>
      <c r="O122" s="698"/>
      <c r="P122" s="698"/>
      <c r="Q122" s="698"/>
      <c r="R122" s="698"/>
      <c r="S122" s="698"/>
      <c r="U122" s="1586"/>
    </row>
    <row r="123" spans="2:21" x14ac:dyDescent="0.35">
      <c r="B123" s="3077" t="s">
        <v>2463</v>
      </c>
      <c r="C123" s="3078"/>
      <c r="D123" s="3078"/>
      <c r="E123" s="3078"/>
      <c r="F123" s="3079"/>
      <c r="H123" s="748"/>
      <c r="N123" s="753"/>
      <c r="O123" s="698"/>
      <c r="P123" s="698"/>
      <c r="Q123" s="698"/>
      <c r="R123" s="698"/>
      <c r="S123" s="698"/>
      <c r="U123" s="1586"/>
    </row>
    <row r="124" spans="2:21" ht="26" x14ac:dyDescent="0.35">
      <c r="B124" s="1589" t="s">
        <v>2452</v>
      </c>
      <c r="C124" s="1577" t="s">
        <v>2453</v>
      </c>
      <c r="D124" s="1577" t="s">
        <v>2454</v>
      </c>
      <c r="E124" s="1577" t="s">
        <v>2353</v>
      </c>
      <c r="F124" s="1578" t="s">
        <v>2354</v>
      </c>
      <c r="H124" s="748"/>
      <c r="N124" s="753"/>
      <c r="O124" s="698"/>
      <c r="P124" s="698"/>
      <c r="Q124" s="698"/>
      <c r="R124" s="698"/>
      <c r="S124" s="698"/>
      <c r="U124" s="1586"/>
    </row>
    <row r="125" spans="2:21" ht="15" thickBot="1" x14ac:dyDescent="0.4">
      <c r="B125" s="1590">
        <v>0</v>
      </c>
      <c r="C125" s="1591">
        <v>0.3</v>
      </c>
      <c r="D125" s="1591">
        <v>0.3</v>
      </c>
      <c r="E125" s="1591">
        <v>0.25</v>
      </c>
      <c r="F125" s="1588">
        <v>0.15</v>
      </c>
      <c r="H125" s="748"/>
      <c r="N125" s="753"/>
      <c r="O125" s="698"/>
      <c r="P125" s="698"/>
      <c r="Q125" s="698"/>
      <c r="R125" s="698"/>
      <c r="S125" s="698"/>
      <c r="U125" s="1586"/>
    </row>
    <row r="126" spans="2:21" ht="15" thickBot="1" x14ac:dyDescent="0.4">
      <c r="C126" s="748"/>
      <c r="G126" s="748"/>
      <c r="H126" s="748"/>
      <c r="I126" s="748"/>
    </row>
    <row r="127" spans="2:21" ht="43.5" x14ac:dyDescent="0.35">
      <c r="B127" s="740" t="s">
        <v>2464</v>
      </c>
      <c r="C127" s="741" t="s">
        <v>2016</v>
      </c>
      <c r="D127" s="742" t="s">
        <v>2465</v>
      </c>
      <c r="G127" s="748"/>
      <c r="H127" s="748"/>
      <c r="I127" s="748"/>
    </row>
    <row r="128" spans="2:21" ht="15" thickBot="1" x14ac:dyDescent="0.4">
      <c r="B128" s="1592">
        <v>25555</v>
      </c>
      <c r="C128" s="744">
        <v>19</v>
      </c>
      <c r="D128" s="745">
        <f>B128/C128</f>
        <v>1345</v>
      </c>
      <c r="F128" s="1593"/>
      <c r="G128" s="748"/>
      <c r="H128" s="748"/>
      <c r="I128" s="748"/>
    </row>
    <row r="130" spans="1:21" ht="21" x14ac:dyDescent="0.5">
      <c r="A130" s="704" t="s">
        <v>2036</v>
      </c>
      <c r="C130" s="675" t="s">
        <v>2037</v>
      </c>
    </row>
    <row r="131" spans="1:21" ht="21" x14ac:dyDescent="0.5">
      <c r="A131" s="704"/>
    </row>
    <row r="132" spans="1:21" ht="15" customHeight="1" x14ac:dyDescent="0.5">
      <c r="A132" s="704"/>
    </row>
    <row r="133" spans="1:21" ht="15" customHeight="1" thickBot="1" x14ac:dyDescent="0.4"/>
    <row r="134" spans="1:21" ht="41.25" customHeight="1" thickBot="1" x14ac:dyDescent="0.5">
      <c r="B134" s="1003"/>
      <c r="C134" s="3080" t="s">
        <v>2038</v>
      </c>
      <c r="D134" s="3081"/>
      <c r="E134" s="3081"/>
      <c r="F134" s="3081"/>
      <c r="G134" s="3082"/>
      <c r="H134" s="3083" t="s">
        <v>2039</v>
      </c>
      <c r="I134" s="3084"/>
      <c r="J134" s="3084"/>
      <c r="K134" s="3084"/>
      <c r="L134" s="3084"/>
      <c r="M134" s="3085"/>
      <c r="N134" s="3083" t="s">
        <v>2040</v>
      </c>
      <c r="O134" s="3085"/>
      <c r="P134" s="779"/>
      <c r="Q134" s="783" t="s">
        <v>2459</v>
      </c>
      <c r="R134" s="747" t="s">
        <v>2016</v>
      </c>
      <c r="S134" s="773" t="s">
        <v>2150</v>
      </c>
      <c r="T134" s="779"/>
      <c r="U134" s="779"/>
    </row>
    <row r="135" spans="1:21" ht="29.5" thickBot="1" x14ac:dyDescent="0.4">
      <c r="B135" s="3069" t="s">
        <v>2019</v>
      </c>
      <c r="C135" s="3071" t="s">
        <v>2466</v>
      </c>
      <c r="D135" s="3072"/>
      <c r="E135" s="3072"/>
      <c r="F135" s="3072"/>
      <c r="G135" s="3073"/>
      <c r="H135" s="3074" t="s">
        <v>2451</v>
      </c>
      <c r="I135" s="3075"/>
      <c r="J135" s="3075"/>
      <c r="K135" s="3075"/>
      <c r="L135" s="3076"/>
      <c r="M135" s="1893" t="s">
        <v>2449</v>
      </c>
      <c r="N135" s="963" t="s">
        <v>2467</v>
      </c>
      <c r="O135" s="964" t="s">
        <v>2045</v>
      </c>
      <c r="P135" s="712"/>
      <c r="Q135" s="797">
        <f>B74</f>
        <v>621</v>
      </c>
      <c r="R135" s="744">
        <f>C128</f>
        <v>19</v>
      </c>
      <c r="S135" s="799">
        <f>Q135*R135</f>
        <v>11799</v>
      </c>
      <c r="T135" s="712"/>
    </row>
    <row r="136" spans="1:21" ht="29.5" thickBot="1" x14ac:dyDescent="0.4">
      <c r="B136" s="3070"/>
      <c r="C136" s="2697" t="s">
        <v>2452</v>
      </c>
      <c r="D136" s="2695" t="s">
        <v>2453</v>
      </c>
      <c r="E136" s="2695" t="s">
        <v>2454</v>
      </c>
      <c r="F136" s="2695" t="s">
        <v>2353</v>
      </c>
      <c r="G136" s="2696" t="s">
        <v>2354</v>
      </c>
      <c r="H136" s="2697" t="s">
        <v>2452</v>
      </c>
      <c r="I136" s="2695" t="s">
        <v>2453</v>
      </c>
      <c r="J136" s="2695" t="s">
        <v>2454</v>
      </c>
      <c r="K136" s="2695" t="s">
        <v>2353</v>
      </c>
      <c r="L136" s="2696" t="s">
        <v>2354</v>
      </c>
      <c r="M136" s="2708" t="s">
        <v>2468</v>
      </c>
      <c r="N136" s="969"/>
      <c r="O136" s="1595"/>
      <c r="P136" s="796"/>
      <c r="Q136" s="796"/>
      <c r="S136" s="796"/>
      <c r="T136" s="796"/>
    </row>
    <row r="137" spans="1:21" x14ac:dyDescent="0.35">
      <c r="B137" s="2704" t="s">
        <v>2180</v>
      </c>
      <c r="C137" s="2698">
        <f>$B$128*$C85*B$125</f>
        <v>0</v>
      </c>
      <c r="D137" s="2699">
        <f t="shared" ref="D137:G137" si="0">$B$128*$C85*C$125</f>
        <v>76.665000000000006</v>
      </c>
      <c r="E137" s="2699">
        <f t="shared" si="0"/>
        <v>76.665000000000006</v>
      </c>
      <c r="F137" s="2699">
        <f t="shared" si="0"/>
        <v>63.887500000000003</v>
      </c>
      <c r="G137" s="2700">
        <f t="shared" si="0"/>
        <v>38.332500000000003</v>
      </c>
      <c r="H137" s="2716">
        <v>1787</v>
      </c>
      <c r="I137" s="2717">
        <v>1831</v>
      </c>
      <c r="J137" s="2717">
        <v>1635</v>
      </c>
      <c r="K137" s="2717">
        <v>1089</v>
      </c>
      <c r="L137" s="2718">
        <v>1669</v>
      </c>
      <c r="M137" s="2709">
        <f>$C$31</f>
        <v>0.08</v>
      </c>
      <c r="N137" s="805">
        <f>SUMPRODUCT(C137:G137,H137:L137)*M137/100</f>
        <v>319.417056</v>
      </c>
      <c r="O137" s="1596">
        <f>SUM(C137:G137)*B$79</f>
        <v>228.00171000000003</v>
      </c>
      <c r="P137" s="796"/>
      <c r="S137" s="796"/>
      <c r="T137" s="796"/>
    </row>
    <row r="138" spans="1:21" x14ac:dyDescent="0.35">
      <c r="B138" s="2705" t="s">
        <v>2071</v>
      </c>
      <c r="C138" s="2698">
        <f t="shared" ref="C138:G138" si="1">$B$128*$C86*B$125</f>
        <v>0</v>
      </c>
      <c r="D138" s="2699">
        <f t="shared" si="1"/>
        <v>76.665000000000006</v>
      </c>
      <c r="E138" s="2699">
        <f t="shared" si="1"/>
        <v>76.665000000000006</v>
      </c>
      <c r="F138" s="2699">
        <f t="shared" si="1"/>
        <v>63.887500000000003</v>
      </c>
      <c r="G138" s="2700">
        <f t="shared" si="1"/>
        <v>38.332500000000003</v>
      </c>
      <c r="H138" s="2716">
        <v>1683</v>
      </c>
      <c r="I138" s="2717">
        <v>1646</v>
      </c>
      <c r="J138" s="2717">
        <v>1446</v>
      </c>
      <c r="K138" s="2717">
        <v>1063</v>
      </c>
      <c r="L138" s="2718">
        <v>1277</v>
      </c>
      <c r="M138" s="2709">
        <f t="shared" ref="M138:M173" si="2">$C$31</f>
        <v>0.08</v>
      </c>
      <c r="N138" s="805">
        <f t="shared" ref="N138:N173" si="3">SUMPRODUCT(C138:G138,H138:L138)*M138/100</f>
        <v>283.12895600000002</v>
      </c>
      <c r="O138" s="1596">
        <f t="shared" ref="O138:O173" si="4">SUM(C138:G138)*B$79</f>
        <v>228.00171000000003</v>
      </c>
      <c r="P138" s="796"/>
      <c r="S138" s="796"/>
      <c r="T138" s="796"/>
    </row>
    <row r="139" spans="1:21" x14ac:dyDescent="0.35">
      <c r="B139" s="2706" t="s">
        <v>3906</v>
      </c>
      <c r="C139" s="2746">
        <f t="shared" ref="C139" si="5">$B$128*$C87*B$125</f>
        <v>0</v>
      </c>
      <c r="D139" s="2747">
        <f t="shared" ref="D139" si="6">$B$128*$C87*C$125</f>
        <v>0</v>
      </c>
      <c r="E139" s="2747">
        <f t="shared" ref="E139" si="7">$B$128*$C87*D$125</f>
        <v>0</v>
      </c>
      <c r="F139" s="2747">
        <f t="shared" ref="F139" si="8">$B$128*$C87*E$125</f>
        <v>0</v>
      </c>
      <c r="G139" s="2748">
        <f t="shared" ref="G139" si="9">$B$128*$C87*F$125</f>
        <v>0</v>
      </c>
      <c r="H139" s="2711">
        <v>2981</v>
      </c>
      <c r="I139" s="2684">
        <v>2950</v>
      </c>
      <c r="J139" s="2684">
        <v>2694</v>
      </c>
      <c r="K139" s="2684">
        <v>2368</v>
      </c>
      <c r="L139" s="2712">
        <v>2437</v>
      </c>
      <c r="M139" s="2749">
        <f t="shared" si="2"/>
        <v>0.08</v>
      </c>
      <c r="N139" s="2750">
        <f t="shared" ref="N139" si="10">SUMPRODUCT(C139:G139,H139:L139)*M139/100</f>
        <v>0</v>
      </c>
      <c r="O139" s="2751">
        <f t="shared" ref="O139" si="11">SUM(C139:G139)*B$79</f>
        <v>0</v>
      </c>
      <c r="P139" s="796"/>
      <c r="S139" s="796"/>
      <c r="T139" s="796"/>
    </row>
    <row r="140" spans="1:21" x14ac:dyDescent="0.35">
      <c r="B140" s="2706" t="s">
        <v>2157</v>
      </c>
      <c r="C140" s="2698">
        <f t="shared" ref="C140:G141" si="12">$B$128*$C88*B$125</f>
        <v>0</v>
      </c>
      <c r="D140" s="2699">
        <f t="shared" si="12"/>
        <v>306.66000000000003</v>
      </c>
      <c r="E140" s="2699">
        <f t="shared" si="12"/>
        <v>306.66000000000003</v>
      </c>
      <c r="F140" s="2699">
        <f t="shared" si="12"/>
        <v>255.55</v>
      </c>
      <c r="G140" s="2700">
        <f t="shared" si="12"/>
        <v>153.33000000000001</v>
      </c>
      <c r="H140" s="2711">
        <v>1256</v>
      </c>
      <c r="I140" s="2684">
        <v>1293</v>
      </c>
      <c r="J140" s="2684">
        <v>1138</v>
      </c>
      <c r="K140" s="2684">
        <v>1116</v>
      </c>
      <c r="L140" s="2712">
        <v>1131</v>
      </c>
      <c r="M140" s="2709">
        <f t="shared" si="2"/>
        <v>0.08</v>
      </c>
      <c r="N140" s="805">
        <f t="shared" si="3"/>
        <v>963.28039200000001</v>
      </c>
      <c r="O140" s="1596">
        <f t="shared" si="4"/>
        <v>912.00684000000012</v>
      </c>
      <c r="P140" s="796"/>
      <c r="Q140" s="796"/>
      <c r="S140" s="796"/>
      <c r="T140" s="796"/>
    </row>
    <row r="141" spans="1:21" x14ac:dyDescent="0.35">
      <c r="B141" s="2705" t="s">
        <v>2158</v>
      </c>
      <c r="C141" s="2698">
        <f t="shared" si="12"/>
        <v>0</v>
      </c>
      <c r="D141" s="2699">
        <f t="shared" si="12"/>
        <v>0</v>
      </c>
      <c r="E141" s="2699">
        <f t="shared" si="12"/>
        <v>0</v>
      </c>
      <c r="F141" s="2699">
        <f t="shared" si="12"/>
        <v>0</v>
      </c>
      <c r="G141" s="2700">
        <f t="shared" si="12"/>
        <v>0</v>
      </c>
      <c r="H141" s="2716">
        <v>1481</v>
      </c>
      <c r="I141" s="2717">
        <v>1368</v>
      </c>
      <c r="J141" s="2717">
        <v>1214</v>
      </c>
      <c r="K141" s="2717">
        <v>871</v>
      </c>
      <c r="L141" s="2718">
        <v>973</v>
      </c>
      <c r="M141" s="2709">
        <f t="shared" si="2"/>
        <v>0.08</v>
      </c>
      <c r="N141" s="805">
        <f t="shared" si="3"/>
        <v>0</v>
      </c>
      <c r="O141" s="1596">
        <f t="shared" si="4"/>
        <v>0</v>
      </c>
      <c r="P141" s="796"/>
      <c r="Q141" s="796"/>
      <c r="S141" s="796"/>
      <c r="T141" s="796"/>
    </row>
    <row r="142" spans="1:21" x14ac:dyDescent="0.35">
      <c r="B142" s="2706" t="s">
        <v>3907</v>
      </c>
      <c r="C142" s="2746">
        <f t="shared" ref="C142" si="13">$B$128*$C90*B$125</f>
        <v>0</v>
      </c>
      <c r="D142" s="2747">
        <f t="shared" ref="D142" si="14">$B$128*$C90*C$125</f>
        <v>0</v>
      </c>
      <c r="E142" s="2747">
        <f t="shared" ref="E142" si="15">$B$128*$C90*D$125</f>
        <v>0</v>
      </c>
      <c r="F142" s="2747">
        <f t="shared" ref="F142" si="16">$B$128*$C90*E$125</f>
        <v>0</v>
      </c>
      <c r="G142" s="2748">
        <f t="shared" ref="G142" si="17">$B$128*$C90*F$125</f>
        <v>0</v>
      </c>
      <c r="H142" s="2711">
        <v>2848</v>
      </c>
      <c r="I142" s="2684">
        <v>2947</v>
      </c>
      <c r="J142" s="2684">
        <v>2568</v>
      </c>
      <c r="K142" s="2684">
        <v>2362</v>
      </c>
      <c r="L142" s="2712">
        <v>2516</v>
      </c>
      <c r="M142" s="2749">
        <f t="shared" si="2"/>
        <v>0.08</v>
      </c>
      <c r="N142" s="2750">
        <f t="shared" ref="N142" si="18">SUMPRODUCT(C142:G142,H142:L142)*M142/100</f>
        <v>0</v>
      </c>
      <c r="O142" s="2751">
        <f t="shared" ref="O142" si="19">SUM(C142:G142)*B$79</f>
        <v>0</v>
      </c>
      <c r="P142" s="796"/>
      <c r="Q142" s="796"/>
      <c r="S142" s="796"/>
      <c r="T142" s="796"/>
    </row>
    <row r="143" spans="1:21" x14ac:dyDescent="0.35">
      <c r="B143" s="2706" t="s">
        <v>2028</v>
      </c>
      <c r="C143" s="2698">
        <f t="shared" ref="C143:G152" si="20">$B$128*$C91*B$125</f>
        <v>0</v>
      </c>
      <c r="D143" s="2699">
        <f t="shared" si="20"/>
        <v>229.99499999999998</v>
      </c>
      <c r="E143" s="2699">
        <f t="shared" si="20"/>
        <v>229.99499999999998</v>
      </c>
      <c r="F143" s="2699">
        <f t="shared" si="20"/>
        <v>191.66249999999999</v>
      </c>
      <c r="G143" s="2700">
        <f t="shared" si="20"/>
        <v>114.99749999999999</v>
      </c>
      <c r="H143" s="2711">
        <v>1614</v>
      </c>
      <c r="I143" s="2684">
        <v>1603</v>
      </c>
      <c r="J143" s="2684">
        <v>1409</v>
      </c>
      <c r="K143" s="2684">
        <v>1209</v>
      </c>
      <c r="L143" s="2712">
        <v>1269</v>
      </c>
      <c r="M143" s="2709">
        <f t="shared" si="2"/>
        <v>0.08</v>
      </c>
      <c r="N143" s="805">
        <f t="shared" si="3"/>
        <v>856.31738400000006</v>
      </c>
      <c r="O143" s="1596">
        <f t="shared" si="4"/>
        <v>684.00512999999989</v>
      </c>
      <c r="P143" s="796"/>
      <c r="Q143" s="796"/>
      <c r="S143" s="796"/>
      <c r="T143" s="796"/>
    </row>
    <row r="144" spans="1:21" x14ac:dyDescent="0.35">
      <c r="B144" s="2705" t="s">
        <v>2109</v>
      </c>
      <c r="C144" s="2698">
        <f t="shared" si="20"/>
        <v>0</v>
      </c>
      <c r="D144" s="2699">
        <f t="shared" si="20"/>
        <v>0</v>
      </c>
      <c r="E144" s="2699">
        <f t="shared" si="20"/>
        <v>0</v>
      </c>
      <c r="F144" s="2699">
        <f t="shared" si="20"/>
        <v>0</v>
      </c>
      <c r="G144" s="2700">
        <f t="shared" si="20"/>
        <v>0</v>
      </c>
      <c r="H144" s="2716">
        <v>985</v>
      </c>
      <c r="I144" s="2717">
        <v>969</v>
      </c>
      <c r="J144" s="2717">
        <v>852</v>
      </c>
      <c r="K144" s="2717">
        <v>680</v>
      </c>
      <c r="L144" s="2718">
        <v>752</v>
      </c>
      <c r="M144" s="2709">
        <f t="shared" si="2"/>
        <v>0.08</v>
      </c>
      <c r="N144" s="805">
        <f t="shared" si="3"/>
        <v>0</v>
      </c>
      <c r="O144" s="1596">
        <f t="shared" si="4"/>
        <v>0</v>
      </c>
    </row>
    <row r="145" spans="2:15" x14ac:dyDescent="0.35">
      <c r="B145" s="2706" t="s">
        <v>2026</v>
      </c>
      <c r="C145" s="2698">
        <f t="shared" si="20"/>
        <v>0</v>
      </c>
      <c r="D145" s="2699">
        <f t="shared" si="20"/>
        <v>76.665000000000006</v>
      </c>
      <c r="E145" s="2699">
        <f t="shared" si="20"/>
        <v>76.665000000000006</v>
      </c>
      <c r="F145" s="2699">
        <f t="shared" si="20"/>
        <v>63.887500000000003</v>
      </c>
      <c r="G145" s="2700">
        <f t="shared" si="20"/>
        <v>38.332500000000003</v>
      </c>
      <c r="H145" s="2711">
        <v>1467</v>
      </c>
      <c r="I145" s="2684">
        <v>1551</v>
      </c>
      <c r="J145" s="2684">
        <v>1364</v>
      </c>
      <c r="K145" s="2684">
        <v>1367</v>
      </c>
      <c r="L145" s="2712">
        <v>1375</v>
      </c>
      <c r="M145" s="2709">
        <f t="shared" si="2"/>
        <v>0.08</v>
      </c>
      <c r="N145" s="805">
        <f t="shared" si="3"/>
        <v>290.81590000000006</v>
      </c>
      <c r="O145" s="1596">
        <f t="shared" si="4"/>
        <v>228.00171000000003</v>
      </c>
    </row>
    <row r="146" spans="2:15" x14ac:dyDescent="0.35">
      <c r="B146" s="2706" t="s">
        <v>2075</v>
      </c>
      <c r="C146" s="2698">
        <f t="shared" si="20"/>
        <v>0</v>
      </c>
      <c r="D146" s="2699">
        <f t="shared" si="20"/>
        <v>459.98999999999995</v>
      </c>
      <c r="E146" s="2699">
        <f t="shared" si="20"/>
        <v>459.98999999999995</v>
      </c>
      <c r="F146" s="2699">
        <f t="shared" si="20"/>
        <v>383.32499999999999</v>
      </c>
      <c r="G146" s="2700">
        <f t="shared" si="20"/>
        <v>229.99499999999998</v>
      </c>
      <c r="H146" s="2711">
        <v>1446</v>
      </c>
      <c r="I146" s="2684">
        <v>1526</v>
      </c>
      <c r="J146" s="2684">
        <v>1452</v>
      </c>
      <c r="K146" s="2684">
        <v>1553</v>
      </c>
      <c r="L146" s="2712">
        <v>1574</v>
      </c>
      <c r="M146" s="2709">
        <f t="shared" si="2"/>
        <v>0.08</v>
      </c>
      <c r="N146" s="805">
        <f t="shared" si="3"/>
        <v>1861.7328599999998</v>
      </c>
      <c r="O146" s="1596">
        <f t="shared" si="4"/>
        <v>1368.0102599999998</v>
      </c>
    </row>
    <row r="147" spans="2:15" x14ac:dyDescent="0.35">
      <c r="B147" s="2706" t="s">
        <v>2029</v>
      </c>
      <c r="C147" s="2698">
        <f t="shared" si="20"/>
        <v>0</v>
      </c>
      <c r="D147" s="2699">
        <f t="shared" si="20"/>
        <v>229.99499999999998</v>
      </c>
      <c r="E147" s="2699">
        <f t="shared" si="20"/>
        <v>229.99499999999998</v>
      </c>
      <c r="F147" s="2699">
        <f t="shared" si="20"/>
        <v>191.66249999999999</v>
      </c>
      <c r="G147" s="2700">
        <f t="shared" si="20"/>
        <v>114.99749999999999</v>
      </c>
      <c r="H147" s="2711">
        <v>1807</v>
      </c>
      <c r="I147" s="2684">
        <v>1855</v>
      </c>
      <c r="J147" s="2684">
        <v>1649</v>
      </c>
      <c r="K147" s="2684">
        <v>1591</v>
      </c>
      <c r="L147" s="2712">
        <v>1622</v>
      </c>
      <c r="M147" s="2709">
        <f t="shared" si="2"/>
        <v>0.08</v>
      </c>
      <c r="N147" s="805">
        <f t="shared" si="3"/>
        <v>1037.8907700000002</v>
      </c>
      <c r="O147" s="1596">
        <f t="shared" si="4"/>
        <v>684.00512999999989</v>
      </c>
    </row>
    <row r="148" spans="2:15" x14ac:dyDescent="0.35">
      <c r="B148" s="2706" t="s">
        <v>2159</v>
      </c>
      <c r="C148" s="2698">
        <f t="shared" si="20"/>
        <v>0</v>
      </c>
      <c r="D148" s="2699">
        <f t="shared" si="20"/>
        <v>153.33000000000001</v>
      </c>
      <c r="E148" s="2699">
        <f t="shared" si="20"/>
        <v>153.33000000000001</v>
      </c>
      <c r="F148" s="2699">
        <f t="shared" si="20"/>
        <v>127.77500000000001</v>
      </c>
      <c r="G148" s="2700">
        <f t="shared" si="20"/>
        <v>76.665000000000006</v>
      </c>
      <c r="H148" s="2711">
        <v>1216</v>
      </c>
      <c r="I148" s="2684">
        <v>1220</v>
      </c>
      <c r="J148" s="2684">
        <v>1072</v>
      </c>
      <c r="K148" s="2684">
        <v>1001</v>
      </c>
      <c r="L148" s="2712">
        <v>1028</v>
      </c>
      <c r="M148" s="2709">
        <f t="shared" si="2"/>
        <v>0.08</v>
      </c>
      <c r="N148" s="805">
        <f t="shared" si="3"/>
        <v>446.517404</v>
      </c>
      <c r="O148" s="1596">
        <f t="shared" si="4"/>
        <v>456.00342000000006</v>
      </c>
    </row>
    <row r="149" spans="2:15" x14ac:dyDescent="0.35">
      <c r="B149" s="2706" t="s">
        <v>2160</v>
      </c>
      <c r="C149" s="2698">
        <f t="shared" si="20"/>
        <v>0</v>
      </c>
      <c r="D149" s="2699">
        <f t="shared" si="20"/>
        <v>153.33000000000001</v>
      </c>
      <c r="E149" s="2699">
        <f t="shared" si="20"/>
        <v>153.33000000000001</v>
      </c>
      <c r="F149" s="2699">
        <f t="shared" si="20"/>
        <v>127.77500000000001</v>
      </c>
      <c r="G149" s="2700">
        <f t="shared" si="20"/>
        <v>76.665000000000006</v>
      </c>
      <c r="H149" s="2711">
        <v>1387</v>
      </c>
      <c r="I149" s="2684">
        <v>1398</v>
      </c>
      <c r="J149" s="2684">
        <v>1252</v>
      </c>
      <c r="K149" s="2684">
        <v>1222</v>
      </c>
      <c r="L149" s="2712">
        <v>1269</v>
      </c>
      <c r="M149" s="2709">
        <f t="shared" si="2"/>
        <v>0.08</v>
      </c>
      <c r="N149" s="805">
        <f t="shared" si="3"/>
        <v>527.80274800000007</v>
      </c>
      <c r="O149" s="1596">
        <f t="shared" si="4"/>
        <v>456.00342000000006</v>
      </c>
    </row>
    <row r="150" spans="2:15" x14ac:dyDescent="0.35">
      <c r="B150" s="2706" t="s">
        <v>2161</v>
      </c>
      <c r="C150" s="2698">
        <f t="shared" si="20"/>
        <v>0</v>
      </c>
      <c r="D150" s="2699">
        <f t="shared" si="20"/>
        <v>459.98999999999995</v>
      </c>
      <c r="E150" s="2699">
        <f t="shared" si="20"/>
        <v>459.98999999999995</v>
      </c>
      <c r="F150" s="2699">
        <f t="shared" si="20"/>
        <v>383.32499999999999</v>
      </c>
      <c r="G150" s="2700">
        <f t="shared" si="20"/>
        <v>229.99499999999998</v>
      </c>
      <c r="H150" s="2711">
        <v>665</v>
      </c>
      <c r="I150" s="2684">
        <v>697</v>
      </c>
      <c r="J150" s="2684">
        <v>628</v>
      </c>
      <c r="K150" s="2684">
        <v>646</v>
      </c>
      <c r="L150" s="2712">
        <v>615</v>
      </c>
      <c r="M150" s="2709">
        <f t="shared" si="2"/>
        <v>0.08</v>
      </c>
      <c r="N150" s="805">
        <f t="shared" si="3"/>
        <v>798.84930000000008</v>
      </c>
      <c r="O150" s="1596">
        <f t="shared" si="4"/>
        <v>1368.0102599999998</v>
      </c>
    </row>
    <row r="151" spans="2:15" x14ac:dyDescent="0.35">
      <c r="B151" s="2706" t="s">
        <v>2162</v>
      </c>
      <c r="C151" s="2698">
        <f t="shared" si="20"/>
        <v>0</v>
      </c>
      <c r="D151" s="2699">
        <f t="shared" si="20"/>
        <v>153.33000000000001</v>
      </c>
      <c r="E151" s="2699">
        <f t="shared" si="20"/>
        <v>153.33000000000001</v>
      </c>
      <c r="F151" s="2699">
        <f t="shared" si="20"/>
        <v>127.77500000000001</v>
      </c>
      <c r="G151" s="2700">
        <f t="shared" si="20"/>
        <v>76.665000000000006</v>
      </c>
      <c r="H151" s="2711">
        <v>1622</v>
      </c>
      <c r="I151" s="2684">
        <v>1571</v>
      </c>
      <c r="J151" s="2684">
        <v>1374</v>
      </c>
      <c r="K151" s="2684">
        <v>1220</v>
      </c>
      <c r="L151" s="2712">
        <v>1281</v>
      </c>
      <c r="M151" s="2709">
        <f t="shared" si="2"/>
        <v>0.08</v>
      </c>
      <c r="N151" s="805">
        <f t="shared" si="3"/>
        <v>564.52017200000012</v>
      </c>
      <c r="O151" s="1596">
        <f t="shared" si="4"/>
        <v>456.00342000000006</v>
      </c>
    </row>
    <row r="152" spans="2:15" x14ac:dyDescent="0.35">
      <c r="B152" s="2706" t="s">
        <v>2325</v>
      </c>
      <c r="C152" s="2698">
        <f t="shared" si="20"/>
        <v>0</v>
      </c>
      <c r="D152" s="2699">
        <f t="shared" si="20"/>
        <v>459.98999999999995</v>
      </c>
      <c r="E152" s="2699">
        <f t="shared" si="20"/>
        <v>459.98999999999995</v>
      </c>
      <c r="F152" s="2699">
        <f t="shared" si="20"/>
        <v>383.32499999999999</v>
      </c>
      <c r="G152" s="2700">
        <f t="shared" si="20"/>
        <v>229.99499999999998</v>
      </c>
      <c r="H152" s="2711">
        <v>1597</v>
      </c>
      <c r="I152" s="2684">
        <v>1634</v>
      </c>
      <c r="J152" s="2684">
        <v>1468</v>
      </c>
      <c r="K152" s="2684">
        <v>1376</v>
      </c>
      <c r="L152" s="2712">
        <v>1451</v>
      </c>
      <c r="M152" s="2709">
        <f t="shared" si="2"/>
        <v>0.08</v>
      </c>
      <c r="N152" s="805">
        <f t="shared" si="3"/>
        <v>1830.45354</v>
      </c>
      <c r="O152" s="1596">
        <f t="shared" si="4"/>
        <v>1368.0102599999998</v>
      </c>
    </row>
    <row r="153" spans="2:15" x14ac:dyDescent="0.35">
      <c r="B153" s="2706" t="s">
        <v>2073</v>
      </c>
      <c r="C153" s="2698">
        <f t="shared" ref="C153:G162" si="21">$B$128*$C101*B$125</f>
        <v>0</v>
      </c>
      <c r="D153" s="2699">
        <f t="shared" si="21"/>
        <v>0</v>
      </c>
      <c r="E153" s="2699">
        <f t="shared" si="21"/>
        <v>0</v>
      </c>
      <c r="F153" s="2699">
        <f t="shared" si="21"/>
        <v>0</v>
      </c>
      <c r="G153" s="2700">
        <f t="shared" si="21"/>
        <v>0</v>
      </c>
      <c r="H153" s="2711">
        <v>1670</v>
      </c>
      <c r="I153" s="2684">
        <v>1733</v>
      </c>
      <c r="J153" s="2684">
        <v>1549</v>
      </c>
      <c r="K153" s="2684">
        <v>1496</v>
      </c>
      <c r="L153" s="2712">
        <v>1557</v>
      </c>
      <c r="M153" s="2709">
        <f t="shared" si="2"/>
        <v>0.08</v>
      </c>
      <c r="N153" s="805">
        <f t="shared" si="3"/>
        <v>0</v>
      </c>
      <c r="O153" s="1596">
        <f t="shared" si="4"/>
        <v>0</v>
      </c>
    </row>
    <row r="154" spans="2:15" x14ac:dyDescent="0.35">
      <c r="B154" s="2706" t="s">
        <v>2166</v>
      </c>
      <c r="C154" s="2698">
        <f t="shared" si="21"/>
        <v>0</v>
      </c>
      <c r="D154" s="2699">
        <f t="shared" si="21"/>
        <v>0</v>
      </c>
      <c r="E154" s="2699">
        <f t="shared" si="21"/>
        <v>0</v>
      </c>
      <c r="F154" s="2699">
        <f t="shared" si="21"/>
        <v>0</v>
      </c>
      <c r="G154" s="2700">
        <f t="shared" si="21"/>
        <v>0</v>
      </c>
      <c r="H154" s="2711">
        <v>1555</v>
      </c>
      <c r="I154" s="2684">
        <v>1597</v>
      </c>
      <c r="J154" s="2684">
        <v>1433</v>
      </c>
      <c r="K154" s="2684">
        <v>1316</v>
      </c>
      <c r="L154" s="2712">
        <v>1400</v>
      </c>
      <c r="M154" s="2709">
        <f t="shared" si="2"/>
        <v>0.08</v>
      </c>
      <c r="N154" s="805">
        <f t="shared" si="3"/>
        <v>0</v>
      </c>
      <c r="O154" s="1596">
        <f t="shared" si="4"/>
        <v>0</v>
      </c>
    </row>
    <row r="155" spans="2:15" x14ac:dyDescent="0.35">
      <c r="B155" s="2705" t="s">
        <v>2163</v>
      </c>
      <c r="C155" s="2698">
        <f t="shared" si="21"/>
        <v>0</v>
      </c>
      <c r="D155" s="2699">
        <f t="shared" si="21"/>
        <v>383.32499999999999</v>
      </c>
      <c r="E155" s="2699">
        <f t="shared" si="21"/>
        <v>383.32499999999999</v>
      </c>
      <c r="F155" s="2699">
        <f t="shared" si="21"/>
        <v>319.4375</v>
      </c>
      <c r="G155" s="2700">
        <f t="shared" si="21"/>
        <v>191.66249999999999</v>
      </c>
      <c r="H155" s="2716">
        <v>1048</v>
      </c>
      <c r="I155" s="2717">
        <v>1013</v>
      </c>
      <c r="J155" s="2717">
        <v>939</v>
      </c>
      <c r="K155" s="2717">
        <v>567</v>
      </c>
      <c r="L155" s="2718">
        <v>634</v>
      </c>
      <c r="M155" s="2709">
        <f t="shared" si="2"/>
        <v>0.08</v>
      </c>
      <c r="N155" s="805">
        <f t="shared" si="3"/>
        <v>840.70838999999989</v>
      </c>
      <c r="O155" s="1596">
        <f t="shared" si="4"/>
        <v>1140.00855</v>
      </c>
    </row>
    <row r="156" spans="2:15" x14ac:dyDescent="0.35">
      <c r="B156" s="2706" t="s">
        <v>2181</v>
      </c>
      <c r="C156" s="2698">
        <f t="shared" si="21"/>
        <v>0</v>
      </c>
      <c r="D156" s="2699">
        <f t="shared" si="21"/>
        <v>153.33000000000001</v>
      </c>
      <c r="E156" s="2699">
        <f t="shared" si="21"/>
        <v>153.33000000000001</v>
      </c>
      <c r="F156" s="2699">
        <f t="shared" si="21"/>
        <v>127.77500000000001</v>
      </c>
      <c r="G156" s="2700">
        <f t="shared" si="21"/>
        <v>76.665000000000006</v>
      </c>
      <c r="H156" s="2711">
        <v>1565</v>
      </c>
      <c r="I156" s="2684">
        <v>1540</v>
      </c>
      <c r="J156" s="2684">
        <v>1448</v>
      </c>
      <c r="K156" s="2684">
        <v>1089</v>
      </c>
      <c r="L156" s="2712">
        <v>1125</v>
      </c>
      <c r="M156" s="2709">
        <f t="shared" si="2"/>
        <v>0.08</v>
      </c>
      <c r="N156" s="805">
        <f t="shared" si="3"/>
        <v>546.83611199999996</v>
      </c>
      <c r="O156" s="1596">
        <f t="shared" si="4"/>
        <v>456.00342000000006</v>
      </c>
    </row>
    <row r="157" spans="2:15" x14ac:dyDescent="0.35">
      <c r="B157" s="2706" t="s">
        <v>2164</v>
      </c>
      <c r="C157" s="2698">
        <f t="shared" si="21"/>
        <v>0</v>
      </c>
      <c r="D157" s="2699">
        <f t="shared" si="21"/>
        <v>0</v>
      </c>
      <c r="E157" s="2699">
        <f t="shared" si="21"/>
        <v>0</v>
      </c>
      <c r="F157" s="2699">
        <f t="shared" si="21"/>
        <v>0</v>
      </c>
      <c r="G157" s="2700">
        <f t="shared" si="21"/>
        <v>0</v>
      </c>
      <c r="H157" s="2711">
        <v>537</v>
      </c>
      <c r="I157" s="2684">
        <v>558</v>
      </c>
      <c r="J157" s="2684">
        <v>501</v>
      </c>
      <c r="K157" s="2684">
        <v>480</v>
      </c>
      <c r="L157" s="2712">
        <v>499</v>
      </c>
      <c r="M157" s="2709">
        <f t="shared" si="2"/>
        <v>0.08</v>
      </c>
      <c r="N157" s="805">
        <f t="shared" si="3"/>
        <v>0</v>
      </c>
      <c r="O157" s="1596">
        <f t="shared" si="4"/>
        <v>0</v>
      </c>
    </row>
    <row r="158" spans="2:15" x14ac:dyDescent="0.35">
      <c r="B158" s="2706" t="s">
        <v>2336</v>
      </c>
      <c r="C158" s="2698">
        <f t="shared" si="21"/>
        <v>0</v>
      </c>
      <c r="D158" s="2699">
        <f t="shared" si="21"/>
        <v>0</v>
      </c>
      <c r="E158" s="2699">
        <f t="shared" si="21"/>
        <v>0</v>
      </c>
      <c r="F158" s="2699">
        <f t="shared" si="21"/>
        <v>0</v>
      </c>
      <c r="G158" s="2700">
        <f t="shared" si="21"/>
        <v>0</v>
      </c>
      <c r="H158" s="2711">
        <v>1665</v>
      </c>
      <c r="I158" s="2684">
        <v>1666</v>
      </c>
      <c r="J158" s="2684">
        <v>1512</v>
      </c>
      <c r="K158" s="2684">
        <v>1145</v>
      </c>
      <c r="L158" s="2712">
        <v>1207</v>
      </c>
      <c r="M158" s="2709">
        <f t="shared" si="2"/>
        <v>0.08</v>
      </c>
      <c r="N158" s="805">
        <f t="shared" si="3"/>
        <v>0</v>
      </c>
      <c r="O158" s="1596">
        <f t="shared" si="4"/>
        <v>0</v>
      </c>
    </row>
    <row r="159" spans="2:15" x14ac:dyDescent="0.35">
      <c r="B159" s="2706" t="s">
        <v>2165</v>
      </c>
      <c r="C159" s="2698">
        <f t="shared" si="21"/>
        <v>0</v>
      </c>
      <c r="D159" s="2699">
        <f t="shared" si="21"/>
        <v>153.33000000000001</v>
      </c>
      <c r="E159" s="2699">
        <f t="shared" si="21"/>
        <v>153.33000000000001</v>
      </c>
      <c r="F159" s="2699">
        <f t="shared" si="21"/>
        <v>127.77500000000001</v>
      </c>
      <c r="G159" s="2700">
        <f t="shared" si="21"/>
        <v>76.665000000000006</v>
      </c>
      <c r="H159" s="2711">
        <v>1730</v>
      </c>
      <c r="I159" s="2684">
        <v>1782</v>
      </c>
      <c r="J159" s="2684">
        <v>1589</v>
      </c>
      <c r="K159" s="2684">
        <v>1538</v>
      </c>
      <c r="L159" s="2712">
        <v>1560</v>
      </c>
      <c r="M159" s="2709">
        <f t="shared" si="2"/>
        <v>0.08</v>
      </c>
      <c r="N159" s="805">
        <f t="shared" si="3"/>
        <v>666.39262400000007</v>
      </c>
      <c r="O159" s="1596">
        <f t="shared" si="4"/>
        <v>456.00342000000006</v>
      </c>
    </row>
    <row r="160" spans="2:15" x14ac:dyDescent="0.35">
      <c r="B160" s="2705" t="s">
        <v>2167</v>
      </c>
      <c r="C160" s="2698">
        <f t="shared" si="21"/>
        <v>0</v>
      </c>
      <c r="D160" s="2699">
        <f t="shared" si="21"/>
        <v>0</v>
      </c>
      <c r="E160" s="2699">
        <f t="shared" si="21"/>
        <v>0</v>
      </c>
      <c r="F160" s="2699">
        <f t="shared" si="21"/>
        <v>0</v>
      </c>
      <c r="G160" s="2700">
        <f t="shared" si="21"/>
        <v>0</v>
      </c>
      <c r="H160" s="2716">
        <v>1916</v>
      </c>
      <c r="I160" s="2717">
        <v>1905</v>
      </c>
      <c r="J160" s="2717">
        <v>1718</v>
      </c>
      <c r="K160" s="2717">
        <v>1288</v>
      </c>
      <c r="L160" s="2718">
        <v>1538</v>
      </c>
      <c r="M160" s="2709">
        <f t="shared" si="2"/>
        <v>0.08</v>
      </c>
      <c r="N160" s="805">
        <f t="shared" si="3"/>
        <v>0</v>
      </c>
      <c r="O160" s="1596">
        <f t="shared" si="4"/>
        <v>0</v>
      </c>
    </row>
    <row r="161" spans="2:15" x14ac:dyDescent="0.35">
      <c r="B161" s="2706" t="s">
        <v>2168</v>
      </c>
      <c r="C161" s="2698">
        <f t="shared" si="21"/>
        <v>0</v>
      </c>
      <c r="D161" s="2699">
        <f t="shared" si="21"/>
        <v>229.99499999999998</v>
      </c>
      <c r="E161" s="2699">
        <f t="shared" si="21"/>
        <v>229.99499999999998</v>
      </c>
      <c r="F161" s="2699">
        <f t="shared" si="21"/>
        <v>191.66249999999999</v>
      </c>
      <c r="G161" s="2700">
        <f t="shared" si="21"/>
        <v>114.99749999999999</v>
      </c>
      <c r="H161" s="2711">
        <v>995</v>
      </c>
      <c r="I161" s="2684">
        <v>1036</v>
      </c>
      <c r="J161" s="2684">
        <v>933</v>
      </c>
      <c r="K161" s="2684">
        <v>786</v>
      </c>
      <c r="L161" s="2712">
        <v>832</v>
      </c>
      <c r="M161" s="2709">
        <f t="shared" si="2"/>
        <v>0.08</v>
      </c>
      <c r="N161" s="805">
        <f t="shared" si="3"/>
        <v>559.34784000000002</v>
      </c>
      <c r="O161" s="1596">
        <f t="shared" si="4"/>
        <v>684.00512999999989</v>
      </c>
    </row>
    <row r="162" spans="2:15" x14ac:dyDescent="0.35">
      <c r="B162" s="2706" t="s">
        <v>2169</v>
      </c>
      <c r="C162" s="2698">
        <f t="shared" si="21"/>
        <v>0</v>
      </c>
      <c r="D162" s="2699">
        <f t="shared" si="21"/>
        <v>229.99499999999998</v>
      </c>
      <c r="E162" s="2699">
        <f t="shared" si="21"/>
        <v>229.99499999999998</v>
      </c>
      <c r="F162" s="2699">
        <f t="shared" si="21"/>
        <v>191.66249999999999</v>
      </c>
      <c r="G162" s="2700">
        <f t="shared" si="21"/>
        <v>114.99749999999999</v>
      </c>
      <c r="H162" s="2711">
        <v>2244</v>
      </c>
      <c r="I162" s="2684">
        <v>2237</v>
      </c>
      <c r="J162" s="2684">
        <v>2024</v>
      </c>
      <c r="K162" s="2684">
        <v>1553</v>
      </c>
      <c r="L162" s="2712">
        <v>1608</v>
      </c>
      <c r="M162" s="2709">
        <f t="shared" si="2"/>
        <v>0.08</v>
      </c>
      <c r="N162" s="805">
        <f t="shared" si="3"/>
        <v>1170.06123</v>
      </c>
      <c r="O162" s="1596">
        <f t="shared" si="4"/>
        <v>684.00512999999989</v>
      </c>
    </row>
    <row r="163" spans="2:15" x14ac:dyDescent="0.35">
      <c r="B163" s="2706" t="s">
        <v>2170</v>
      </c>
      <c r="C163" s="2698">
        <f t="shared" ref="C163:G166" si="22">$B$128*$C111*B$125</f>
        <v>0</v>
      </c>
      <c r="D163" s="2699">
        <f t="shared" si="22"/>
        <v>229.99499999999998</v>
      </c>
      <c r="E163" s="2699">
        <f t="shared" si="22"/>
        <v>229.99499999999998</v>
      </c>
      <c r="F163" s="2699">
        <f t="shared" si="22"/>
        <v>191.66249999999999</v>
      </c>
      <c r="G163" s="2700">
        <f t="shared" si="22"/>
        <v>114.99749999999999</v>
      </c>
      <c r="H163" s="2711">
        <v>1552</v>
      </c>
      <c r="I163" s="2684">
        <v>1432</v>
      </c>
      <c r="J163" s="2684">
        <v>1239</v>
      </c>
      <c r="K163" s="2684">
        <v>1077</v>
      </c>
      <c r="L163" s="2712">
        <v>1098</v>
      </c>
      <c r="M163" s="2709">
        <f t="shared" si="2"/>
        <v>0.08</v>
      </c>
      <c r="N163" s="805">
        <f t="shared" si="3"/>
        <v>757.60352999999998</v>
      </c>
      <c r="O163" s="1596">
        <f t="shared" si="4"/>
        <v>684.00512999999989</v>
      </c>
    </row>
    <row r="164" spans="2:15" x14ac:dyDescent="0.35">
      <c r="B164" s="2706" t="s">
        <v>2171</v>
      </c>
      <c r="C164" s="2698">
        <f t="shared" si="22"/>
        <v>0</v>
      </c>
      <c r="D164" s="2699">
        <f t="shared" si="22"/>
        <v>229.99499999999998</v>
      </c>
      <c r="E164" s="2699">
        <f t="shared" si="22"/>
        <v>229.99499999999998</v>
      </c>
      <c r="F164" s="2699">
        <f t="shared" si="22"/>
        <v>191.66249999999999</v>
      </c>
      <c r="G164" s="2700">
        <f t="shared" si="22"/>
        <v>114.99749999999999</v>
      </c>
      <c r="H164" s="2711">
        <v>1015</v>
      </c>
      <c r="I164" s="2684">
        <v>993</v>
      </c>
      <c r="J164" s="2684">
        <v>899</v>
      </c>
      <c r="K164" s="2684">
        <v>773</v>
      </c>
      <c r="L164" s="2712">
        <v>809</v>
      </c>
      <c r="M164" s="2709">
        <f t="shared" si="2"/>
        <v>0.08</v>
      </c>
      <c r="N164" s="805">
        <f t="shared" si="3"/>
        <v>541.07090399999993</v>
      </c>
      <c r="O164" s="1596">
        <f t="shared" si="4"/>
        <v>684.00512999999989</v>
      </c>
    </row>
    <row r="165" spans="2:15" x14ac:dyDescent="0.35">
      <c r="B165" s="2706" t="s">
        <v>2172</v>
      </c>
      <c r="C165" s="2698">
        <f t="shared" si="22"/>
        <v>0</v>
      </c>
      <c r="D165" s="2699">
        <f t="shared" si="22"/>
        <v>0</v>
      </c>
      <c r="E165" s="2699">
        <f t="shared" si="22"/>
        <v>0</v>
      </c>
      <c r="F165" s="2699">
        <f t="shared" si="22"/>
        <v>0</v>
      </c>
      <c r="G165" s="2700">
        <f t="shared" si="22"/>
        <v>0</v>
      </c>
      <c r="H165" s="2711">
        <v>2825</v>
      </c>
      <c r="I165" s="2684">
        <v>2625</v>
      </c>
      <c r="J165" s="2684">
        <v>2365</v>
      </c>
      <c r="K165" s="2684">
        <v>2007</v>
      </c>
      <c r="L165" s="2712">
        <v>2040</v>
      </c>
      <c r="M165" s="2709">
        <f t="shared" si="2"/>
        <v>0.08</v>
      </c>
      <c r="N165" s="805">
        <f t="shared" si="3"/>
        <v>0</v>
      </c>
      <c r="O165" s="1596">
        <f t="shared" si="4"/>
        <v>0</v>
      </c>
    </row>
    <row r="166" spans="2:15" x14ac:dyDescent="0.35">
      <c r="B166" s="2706" t="s">
        <v>2173</v>
      </c>
      <c r="C166" s="2698">
        <f t="shared" si="22"/>
        <v>0</v>
      </c>
      <c r="D166" s="2699">
        <f t="shared" si="22"/>
        <v>536.65499999999997</v>
      </c>
      <c r="E166" s="2699">
        <f t="shared" si="22"/>
        <v>536.65499999999997</v>
      </c>
      <c r="F166" s="2699">
        <f t="shared" si="22"/>
        <v>447.21250000000003</v>
      </c>
      <c r="G166" s="2700">
        <f t="shared" si="22"/>
        <v>268.32749999999999</v>
      </c>
      <c r="H166" s="2711">
        <v>1672</v>
      </c>
      <c r="I166" s="2684">
        <v>1629</v>
      </c>
      <c r="J166" s="2684">
        <v>1454</v>
      </c>
      <c r="K166" s="2684">
        <v>1356</v>
      </c>
      <c r="L166" s="2712">
        <v>1399</v>
      </c>
      <c r="M166" s="2709">
        <f t="shared" si="2"/>
        <v>0.08</v>
      </c>
      <c r="N166" s="805">
        <f t="shared" si="3"/>
        <v>2109.0541499999999</v>
      </c>
      <c r="O166" s="1596">
        <f t="shared" si="4"/>
        <v>1596.01197</v>
      </c>
    </row>
    <row r="167" spans="2:15" x14ac:dyDescent="0.35">
      <c r="B167" s="2706" t="s">
        <v>3908</v>
      </c>
      <c r="C167" s="2746">
        <f t="shared" ref="C167" si="23">$B$128*$C115*B$125</f>
        <v>0</v>
      </c>
      <c r="D167" s="2747">
        <f t="shared" ref="D167" si="24">$B$128*$C115*C$125</f>
        <v>0</v>
      </c>
      <c r="E167" s="2747">
        <f t="shared" ref="E167" si="25">$B$128*$C115*D$125</f>
        <v>0</v>
      </c>
      <c r="F167" s="2747">
        <f t="shared" ref="F167" si="26">$B$128*$C115*E$125</f>
        <v>0</v>
      </c>
      <c r="G167" s="2748">
        <f t="shared" ref="G167" si="27">$B$128*$C115*F$125</f>
        <v>0</v>
      </c>
      <c r="H167" s="2711">
        <v>2757</v>
      </c>
      <c r="I167" s="2684">
        <v>2670</v>
      </c>
      <c r="J167" s="2684">
        <v>2383</v>
      </c>
      <c r="K167" s="2684">
        <v>2149</v>
      </c>
      <c r="L167" s="2712">
        <v>2186</v>
      </c>
      <c r="M167" s="2749">
        <f t="shared" si="2"/>
        <v>0.08</v>
      </c>
      <c r="N167" s="2750">
        <f t="shared" ref="N167" si="28">SUMPRODUCT(C167:G167,H167:L167)*M167/100</f>
        <v>0</v>
      </c>
      <c r="O167" s="2751">
        <f t="shared" ref="O167" si="29">SUM(C167:G167)*B$79</f>
        <v>0</v>
      </c>
    </row>
    <row r="168" spans="2:15" x14ac:dyDescent="0.35">
      <c r="B168" s="2705" t="s">
        <v>2174</v>
      </c>
      <c r="C168" s="2698">
        <f t="shared" ref="C168:G172" si="30">$B$128*$C116*B$125</f>
        <v>0</v>
      </c>
      <c r="D168" s="2699">
        <f t="shared" si="30"/>
        <v>76.665000000000006</v>
      </c>
      <c r="E168" s="2699">
        <f t="shared" si="30"/>
        <v>76.665000000000006</v>
      </c>
      <c r="F168" s="2699">
        <f t="shared" si="30"/>
        <v>63.887500000000003</v>
      </c>
      <c r="G168" s="2700">
        <f t="shared" si="30"/>
        <v>38.332500000000003</v>
      </c>
      <c r="H168" s="2716">
        <v>1603</v>
      </c>
      <c r="I168" s="2717">
        <v>1504</v>
      </c>
      <c r="J168" s="2717">
        <v>1440</v>
      </c>
      <c r="K168" s="2717">
        <v>1054</v>
      </c>
      <c r="L168" s="2718">
        <v>1205</v>
      </c>
      <c r="M168" s="2709">
        <f t="shared" si="2"/>
        <v>0.08</v>
      </c>
      <c r="N168" s="805">
        <f t="shared" si="3"/>
        <v>271.38387800000004</v>
      </c>
      <c r="O168" s="1596">
        <f t="shared" si="4"/>
        <v>228.00171000000003</v>
      </c>
    </row>
    <row r="169" spans="2:15" x14ac:dyDescent="0.35">
      <c r="B169" s="2706" t="s">
        <v>2175</v>
      </c>
      <c r="C169" s="2698">
        <f t="shared" si="30"/>
        <v>0</v>
      </c>
      <c r="D169" s="2699">
        <f t="shared" si="30"/>
        <v>153.33000000000001</v>
      </c>
      <c r="E169" s="2699">
        <f t="shared" si="30"/>
        <v>153.33000000000001</v>
      </c>
      <c r="F169" s="2699">
        <f t="shared" si="30"/>
        <v>127.77500000000001</v>
      </c>
      <c r="G169" s="2700">
        <f t="shared" si="30"/>
        <v>76.665000000000006</v>
      </c>
      <c r="H169" s="2711">
        <v>1326</v>
      </c>
      <c r="I169" s="2684">
        <v>1328</v>
      </c>
      <c r="J169" s="2684">
        <v>1179</v>
      </c>
      <c r="K169" s="2684">
        <v>1091</v>
      </c>
      <c r="L169" s="2712">
        <v>1122</v>
      </c>
      <c r="M169" s="2709">
        <f t="shared" si="2"/>
        <v>0.08</v>
      </c>
      <c r="N169" s="805">
        <f t="shared" si="3"/>
        <v>487.8551720000001</v>
      </c>
      <c r="O169" s="1596">
        <f t="shared" si="4"/>
        <v>456.00342000000006</v>
      </c>
    </row>
    <row r="170" spans="2:15" x14ac:dyDescent="0.35">
      <c r="B170" s="2706" t="s">
        <v>2176</v>
      </c>
      <c r="C170" s="2698">
        <f t="shared" si="30"/>
        <v>0</v>
      </c>
      <c r="D170" s="2699">
        <f t="shared" si="30"/>
        <v>229.99499999999998</v>
      </c>
      <c r="E170" s="2699">
        <f t="shared" si="30"/>
        <v>229.99499999999998</v>
      </c>
      <c r="F170" s="2699">
        <f t="shared" si="30"/>
        <v>191.66249999999999</v>
      </c>
      <c r="G170" s="2700">
        <f t="shared" si="30"/>
        <v>114.99749999999999</v>
      </c>
      <c r="H170" s="2711">
        <v>1365</v>
      </c>
      <c r="I170" s="2684">
        <v>1322</v>
      </c>
      <c r="J170" s="2684">
        <v>1193</v>
      </c>
      <c r="K170" s="2684">
        <v>1034</v>
      </c>
      <c r="L170" s="2712">
        <v>1088</v>
      </c>
      <c r="M170" s="2709">
        <f t="shared" si="2"/>
        <v>0.08</v>
      </c>
      <c r="N170" s="805">
        <f t="shared" si="3"/>
        <v>721.38698399999998</v>
      </c>
      <c r="O170" s="1596">
        <f t="shared" si="4"/>
        <v>684.00512999999989</v>
      </c>
    </row>
    <row r="171" spans="2:15" x14ac:dyDescent="0.35">
      <c r="B171" s="2706" t="s">
        <v>2177</v>
      </c>
      <c r="C171" s="2698">
        <f t="shared" si="30"/>
        <v>0</v>
      </c>
      <c r="D171" s="2699">
        <f t="shared" si="30"/>
        <v>229.99499999999998</v>
      </c>
      <c r="E171" s="2699">
        <f t="shared" si="30"/>
        <v>229.99499999999998</v>
      </c>
      <c r="F171" s="2699">
        <f t="shared" si="30"/>
        <v>191.66249999999999</v>
      </c>
      <c r="G171" s="2700">
        <f t="shared" si="30"/>
        <v>114.99749999999999</v>
      </c>
      <c r="H171" s="2711">
        <v>1347</v>
      </c>
      <c r="I171" s="2684">
        <v>1325</v>
      </c>
      <c r="J171" s="2684">
        <v>1183</v>
      </c>
      <c r="K171" s="2684">
        <v>1064</v>
      </c>
      <c r="L171" s="2712">
        <v>1096</v>
      </c>
      <c r="M171" s="2709">
        <f t="shared" si="2"/>
        <v>0.08</v>
      </c>
      <c r="N171" s="805">
        <f t="shared" si="3"/>
        <v>725.43489599999998</v>
      </c>
      <c r="O171" s="1596">
        <f t="shared" si="4"/>
        <v>684.00512999999989</v>
      </c>
    </row>
    <row r="172" spans="2:15" x14ac:dyDescent="0.35">
      <c r="B172" s="2706" t="s">
        <v>2027</v>
      </c>
      <c r="C172" s="2698">
        <f t="shared" si="30"/>
        <v>0</v>
      </c>
      <c r="D172" s="2699">
        <f t="shared" si="30"/>
        <v>76.665000000000006</v>
      </c>
      <c r="E172" s="2699">
        <f t="shared" si="30"/>
        <v>76.665000000000006</v>
      </c>
      <c r="F172" s="2699">
        <f t="shared" si="30"/>
        <v>63.887500000000003</v>
      </c>
      <c r="G172" s="2700">
        <f t="shared" si="30"/>
        <v>38.332500000000003</v>
      </c>
      <c r="H172" s="2711">
        <v>1285</v>
      </c>
      <c r="I172" s="2684">
        <v>1286</v>
      </c>
      <c r="J172" s="2684">
        <v>1180</v>
      </c>
      <c r="K172" s="2684">
        <v>1147</v>
      </c>
      <c r="L172" s="2712">
        <v>1224</v>
      </c>
      <c r="M172" s="2709">
        <f t="shared" si="2"/>
        <v>0.08</v>
      </c>
      <c r="N172" s="805">
        <f t="shared" si="3"/>
        <v>247.40306600000002</v>
      </c>
      <c r="O172" s="1596">
        <f t="shared" si="4"/>
        <v>228.00171000000003</v>
      </c>
    </row>
    <row r="173" spans="2:15" ht="15" thickBot="1" x14ac:dyDescent="0.4">
      <c r="B173" s="2707" t="s">
        <v>536</v>
      </c>
      <c r="C173" s="2701">
        <f t="shared" ref="C173:G173" si="31">$B$128*$C121*B$125</f>
        <v>0</v>
      </c>
      <c r="D173" s="2702">
        <f t="shared" si="31"/>
        <v>1916.625</v>
      </c>
      <c r="E173" s="2702">
        <f t="shared" si="31"/>
        <v>1916.625</v>
      </c>
      <c r="F173" s="2702">
        <f t="shared" si="31"/>
        <v>1597.1875</v>
      </c>
      <c r="G173" s="2703">
        <f t="shared" si="31"/>
        <v>958.3125</v>
      </c>
      <c r="H173" s="2713">
        <v>1709</v>
      </c>
      <c r="I173" s="2714">
        <v>1678</v>
      </c>
      <c r="J173" s="2714">
        <v>1508</v>
      </c>
      <c r="K173" s="2714">
        <v>1287</v>
      </c>
      <c r="L173" s="2715">
        <v>1411</v>
      </c>
      <c r="M173" s="2710">
        <f t="shared" si="2"/>
        <v>0.08</v>
      </c>
      <c r="N173" s="816">
        <f t="shared" si="3"/>
        <v>7611.3011999999999</v>
      </c>
      <c r="O173" s="1597">
        <f t="shared" si="4"/>
        <v>5700.0427499999996</v>
      </c>
    </row>
    <row r="174" spans="2:15" ht="15" thickBot="1" x14ac:dyDescent="0.4">
      <c r="M174" s="1038" t="s">
        <v>2049</v>
      </c>
      <c r="N174" s="1598">
        <f>SUM(N137:N173)</f>
        <v>27036.566458000001</v>
      </c>
      <c r="O174" s="1599">
        <f>SUM(O137:O173)</f>
        <v>22800.171000000002</v>
      </c>
    </row>
    <row r="175" spans="2:15" x14ac:dyDescent="0.35">
      <c r="D175" s="840"/>
    </row>
  </sheetData>
  <mergeCells count="9">
    <mergeCell ref="B135:B136"/>
    <mergeCell ref="C135:G135"/>
    <mergeCell ref="H135:L135"/>
    <mergeCell ref="J30:Q30"/>
    <mergeCell ref="C33:G33"/>
    <mergeCell ref="B123:F123"/>
    <mergeCell ref="C134:G134"/>
    <mergeCell ref="H134:M134"/>
    <mergeCell ref="N134:O134"/>
  </mergeCells>
  <conditionalFormatting sqref="H159:L159">
    <cfRule type="expression" dxfId="228" priority="13">
      <formula>H159&lt;&gt;#REF!</formula>
    </cfRule>
  </conditionalFormatting>
  <conditionalFormatting sqref="H166:L167">
    <cfRule type="expression" dxfId="227" priority="12">
      <formula>H166&lt;&gt;#REF!</formula>
    </cfRule>
  </conditionalFormatting>
  <conditionalFormatting sqref="H170:L170">
    <cfRule type="expression" dxfId="226" priority="11">
      <formula>H170&lt;&gt;#REF!</formula>
    </cfRule>
  </conditionalFormatting>
  <conditionalFormatting sqref="H172:L172">
    <cfRule type="expression" dxfId="225" priority="10">
      <formula>H172&lt;&gt;#REF!</formula>
    </cfRule>
  </conditionalFormatting>
  <conditionalFormatting sqref="B159">
    <cfRule type="expression" dxfId="224" priority="9">
      <formula>B159&lt;&gt;#REF!</formula>
    </cfRule>
  </conditionalFormatting>
  <conditionalFormatting sqref="B166:B167">
    <cfRule type="expression" dxfId="223" priority="8">
      <formula>B166&lt;&gt;#REF!</formula>
    </cfRule>
  </conditionalFormatting>
  <conditionalFormatting sqref="B170">
    <cfRule type="expression" dxfId="222" priority="7">
      <formula>B170&lt;&gt;#REF!</formula>
    </cfRule>
  </conditionalFormatting>
  <conditionalFormatting sqref="B172">
    <cfRule type="expression" dxfId="221" priority="6">
      <formula>B172&lt;&gt;#REF!</formula>
    </cfRule>
  </conditionalFormatting>
  <conditionalFormatting sqref="B35:G36 B38:G39 B41:G64 B66:G71">
    <cfRule type="expression" dxfId="220" priority="4">
      <formula>B35&lt;&gt;#REF!</formula>
    </cfRule>
  </conditionalFormatting>
  <conditionalFormatting sqref="B37:G37">
    <cfRule type="expression" dxfId="219" priority="3">
      <formula>B37&lt;&gt;#REF!</formula>
    </cfRule>
  </conditionalFormatting>
  <conditionalFormatting sqref="B40:G40">
    <cfRule type="expression" dxfId="218" priority="2">
      <formula>B40&lt;&gt;#REF!</formula>
    </cfRule>
  </conditionalFormatting>
  <conditionalFormatting sqref="B65:G65">
    <cfRule type="expression" dxfId="217" priority="1">
      <formula>B65&lt;&gt;#REF!</formula>
    </cfRule>
  </conditionalFormatting>
  <pageMargins left="0.7" right="0.7" top="0.75" bottom="0.75" header="0.3" footer="0.3"/>
  <pageSetup scale="26" orientation="portrait" r:id="rId1"/>
  <headerFooter>
    <oddHeader>&amp;LAppendix G (Rev.)</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pageSetUpPr fitToPage="1"/>
  </sheetPr>
  <dimension ref="A1:AB293"/>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0.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2438</v>
      </c>
    </row>
    <row r="2" spans="1:7" s="1394" customFormat="1" x14ac:dyDescent="0.35"/>
    <row r="3" spans="1:7" s="1394" customFormat="1" ht="21" x14ac:dyDescent="0.5">
      <c r="A3" s="1395" t="s">
        <v>2386</v>
      </c>
    </row>
    <row r="4" spans="1:7" s="1394" customFormat="1" x14ac:dyDescent="0.35"/>
    <row r="5" spans="1:7" s="1394" customFormat="1" x14ac:dyDescent="0.35">
      <c r="B5" s="1396" t="s">
        <v>1947</v>
      </c>
      <c r="C5" s="1397">
        <f>SUM(D222:D289)</f>
        <v>713</v>
      </c>
      <c r="D5" s="1398"/>
      <c r="E5" s="680"/>
      <c r="F5" s="680"/>
    </row>
    <row r="6" spans="1:7" s="1394" customFormat="1" x14ac:dyDescent="0.35">
      <c r="B6" s="724" t="s">
        <v>2052</v>
      </c>
      <c r="C6" s="989">
        <f>SUM(M222:M289)</f>
        <v>511147</v>
      </c>
      <c r="D6" s="1399"/>
      <c r="E6" s="683"/>
      <c r="F6" s="683"/>
    </row>
    <row r="7" spans="1:7" s="1394" customFormat="1" x14ac:dyDescent="0.35">
      <c r="B7" s="936" t="s">
        <v>1951</v>
      </c>
      <c r="C7" s="1400">
        <f>SUM(N222:N289)</f>
        <v>97.417458055033563</v>
      </c>
      <c r="D7" s="1399"/>
      <c r="E7" s="683"/>
      <c r="F7" s="683"/>
    </row>
    <row r="8" spans="1:7" s="1394" customFormat="1" x14ac:dyDescent="0.35">
      <c r="B8" s="724" t="s">
        <v>1952</v>
      </c>
      <c r="C8" s="989">
        <f>SUM(L222:L289)</f>
        <v>553176.6410246559</v>
      </c>
      <c r="D8" s="1399"/>
      <c r="E8" s="683"/>
      <c r="F8" s="683"/>
    </row>
    <row r="9" spans="1:7" s="1394" customFormat="1" x14ac:dyDescent="0.35">
      <c r="B9" s="936" t="s">
        <v>2053</v>
      </c>
      <c r="C9" s="990">
        <f>SUM(O222:O289)</f>
        <v>1140800</v>
      </c>
      <c r="D9" s="1401"/>
      <c r="E9" s="686"/>
      <c r="F9" s="686"/>
    </row>
    <row r="10" spans="1:7" s="1394" customFormat="1" x14ac:dyDescent="0.35">
      <c r="B10" s="724" t="s">
        <v>2288</v>
      </c>
      <c r="C10" s="1402">
        <f>C9/C8</f>
        <v>2.0622707384875874</v>
      </c>
      <c r="D10" s="1403"/>
      <c r="E10" s="690"/>
      <c r="F10" s="690"/>
    </row>
    <row r="11" spans="1:7" s="1394" customFormat="1" x14ac:dyDescent="0.35">
      <c r="B11" s="936" t="s">
        <v>1960</v>
      </c>
      <c r="C11" s="990">
        <f>SUM(R222:R289)</f>
        <v>1232480.2061108735</v>
      </c>
      <c r="D11" s="1404"/>
      <c r="E11" s="706"/>
      <c r="F11" s="706"/>
    </row>
    <row r="12" spans="1:7" s="1394" customFormat="1" x14ac:dyDescent="0.35">
      <c r="B12" s="732" t="s">
        <v>1970</v>
      </c>
      <c r="C12" s="1405">
        <v>5.5</v>
      </c>
      <c r="D12" s="1404" t="s">
        <v>2439</v>
      </c>
      <c r="E12" s="706"/>
      <c r="F12" s="706"/>
    </row>
    <row r="13" spans="1:7" s="1394" customFormat="1" x14ac:dyDescent="0.35">
      <c r="B13" s="694" t="s">
        <v>1961</v>
      </c>
      <c r="C13" s="695"/>
      <c r="D13" s="1398"/>
      <c r="E13" s="1406"/>
      <c r="F13" s="680"/>
      <c r="G13" s="696"/>
    </row>
    <row r="14" spans="1:7" s="1394" customFormat="1" hidden="1" x14ac:dyDescent="0.35">
      <c r="B14" s="834" t="s">
        <v>2387</v>
      </c>
      <c r="C14" s="852">
        <f>1-C69+C70+C71</f>
        <v>0.8</v>
      </c>
      <c r="D14" s="1398"/>
      <c r="E14" s="1206"/>
      <c r="F14" s="680"/>
    </row>
    <row r="15" spans="1:7" s="1394" customFormat="1" hidden="1" x14ac:dyDescent="0.35">
      <c r="B15" s="841" t="s">
        <v>2388</v>
      </c>
      <c r="C15" s="1407">
        <f>1-D69+D70+D71</f>
        <v>1.01</v>
      </c>
      <c r="D15" s="1398"/>
      <c r="E15" s="1206"/>
      <c r="F15" s="680"/>
    </row>
    <row r="16" spans="1:7" s="1394" customFormat="1" hidden="1" x14ac:dyDescent="0.35">
      <c r="B16" s="838" t="s">
        <v>2389</v>
      </c>
      <c r="C16" s="1219">
        <f>1-E69+E70+E71</f>
        <v>1.01</v>
      </c>
      <c r="D16" s="1398"/>
      <c r="E16" s="1206"/>
      <c r="F16" s="680"/>
    </row>
    <row r="17" spans="1:6" s="1394" customFormat="1" hidden="1" x14ac:dyDescent="0.35">
      <c r="B17" s="841" t="s">
        <v>1965</v>
      </c>
      <c r="C17" s="842">
        <f>C6*C15</f>
        <v>516258.47000000003</v>
      </c>
      <c r="D17" s="1399"/>
      <c r="E17" s="701"/>
      <c r="F17" s="683"/>
    </row>
    <row r="18" spans="1:6" s="1394" customFormat="1" hidden="1" x14ac:dyDescent="0.35">
      <c r="B18" s="838" t="s">
        <v>1966</v>
      </c>
      <c r="C18" s="839">
        <f>C7*C16</f>
        <v>98.391632635583903</v>
      </c>
      <c r="D18" s="1399"/>
      <c r="E18" s="683"/>
      <c r="F18" s="683"/>
    </row>
    <row r="19" spans="1:6" s="1394" customFormat="1" hidden="1" x14ac:dyDescent="0.35">
      <c r="B19" s="841" t="s">
        <v>1967</v>
      </c>
      <c r="C19" s="842">
        <f>C14*C8</f>
        <v>442541.31281972473</v>
      </c>
      <c r="D19" s="1399"/>
      <c r="E19" s="701"/>
      <c r="F19" s="683"/>
    </row>
    <row r="20" spans="1:6" s="1394" customFormat="1" hidden="1" x14ac:dyDescent="0.35">
      <c r="B20" s="838" t="s">
        <v>1969</v>
      </c>
      <c r="C20" s="854">
        <f>C9/C19</f>
        <v>2.5778384231094837</v>
      </c>
      <c r="D20" s="1403"/>
      <c r="E20" s="690"/>
      <c r="F20" s="690"/>
    </row>
    <row r="21" spans="1:6" s="1394" customFormat="1" hidden="1" x14ac:dyDescent="0.35">
      <c r="B21" s="855" t="s">
        <v>1970</v>
      </c>
      <c r="C21" s="856">
        <v>16.5</v>
      </c>
      <c r="D21" s="1398"/>
      <c r="E21" s="680"/>
      <c r="F21" s="680"/>
    </row>
    <row r="22" spans="1:6" s="1394" customFormat="1" x14ac:dyDescent="0.35">
      <c r="B22" s="1408"/>
      <c r="C22" s="1408"/>
    </row>
    <row r="23" spans="1:6" s="1394" customFormat="1" ht="21" x14ac:dyDescent="0.5">
      <c r="A23" s="704" t="s">
        <v>1971</v>
      </c>
      <c r="B23" s="1408"/>
      <c r="C23" s="1408"/>
    </row>
    <row r="24" spans="1:6" s="1394" customFormat="1" x14ac:dyDescent="0.35">
      <c r="B24" s="940" t="s">
        <v>2390</v>
      </c>
      <c r="C24" s="1409">
        <f>C6/$C$5</f>
        <v>716.89621318373077</v>
      </c>
    </row>
    <row r="25" spans="1:6" s="1394" customFormat="1" x14ac:dyDescent="0.35">
      <c r="B25" s="936" t="s">
        <v>2391</v>
      </c>
      <c r="C25" s="991">
        <f>C7/C5</f>
        <v>0.13663037595376376</v>
      </c>
    </row>
    <row r="26" spans="1:6" s="1394" customFormat="1" x14ac:dyDescent="0.35">
      <c r="B26" s="724" t="s">
        <v>2289</v>
      </c>
      <c r="C26" s="989">
        <f>C8/C5</f>
        <v>775.8438163038652</v>
      </c>
    </row>
    <row r="27" spans="1:6" s="1394" customFormat="1" x14ac:dyDescent="0.35">
      <c r="B27" s="936" t="s">
        <v>2290</v>
      </c>
      <c r="C27" s="992">
        <f>C9/C5</f>
        <v>1600</v>
      </c>
    </row>
    <row r="28" spans="1:6" s="1394" customFormat="1" x14ac:dyDescent="0.35">
      <c r="B28" s="732" t="s">
        <v>2392</v>
      </c>
      <c r="C28" s="1410">
        <f>C11/C5</f>
        <v>1728.5837392859376</v>
      </c>
    </row>
    <row r="29" spans="1:6" s="1394" customFormat="1" x14ac:dyDescent="0.35">
      <c r="B29" s="1408"/>
      <c r="C29" s="1408"/>
    </row>
    <row r="30" spans="1:6" s="1394" customFormat="1" ht="58" x14ac:dyDescent="0.35">
      <c r="B30" s="1411" t="s">
        <v>2393</v>
      </c>
      <c r="C30" s="1412" t="s">
        <v>2394</v>
      </c>
    </row>
    <row r="31" spans="1:6" s="1394" customFormat="1" x14ac:dyDescent="0.35">
      <c r="B31" s="1413" t="s">
        <v>2180</v>
      </c>
      <c r="C31" s="1100">
        <f>IFERROR((L222+L256)/(D222+D256),0)</f>
        <v>0</v>
      </c>
    </row>
    <row r="32" spans="1:6" s="1394" customFormat="1" x14ac:dyDescent="0.35">
      <c r="B32" s="1414" t="s">
        <v>2071</v>
      </c>
      <c r="C32" s="885">
        <f>IFERROR((L223+L257)/(D223+D257),0)</f>
        <v>0</v>
      </c>
    </row>
    <row r="33" spans="2:3" s="1394" customFormat="1" x14ac:dyDescent="0.35">
      <c r="B33" s="1415" t="s">
        <v>2157</v>
      </c>
      <c r="C33" s="1004">
        <f t="shared" ref="C33:C64" si="0">IFERROR((L224+L258)/(D224+D258),0)</f>
        <v>0</v>
      </c>
    </row>
    <row r="34" spans="2:3" s="1394" customFormat="1" x14ac:dyDescent="0.35">
      <c r="B34" s="1414" t="s">
        <v>2158</v>
      </c>
      <c r="C34" s="885">
        <f t="shared" si="0"/>
        <v>0</v>
      </c>
    </row>
    <row r="35" spans="2:3" s="1394" customFormat="1" x14ac:dyDescent="0.35">
      <c r="B35" s="1415" t="s">
        <v>2028</v>
      </c>
      <c r="C35" s="1004">
        <f t="shared" si="0"/>
        <v>0</v>
      </c>
    </row>
    <row r="36" spans="2:3" s="1394" customFormat="1" x14ac:dyDescent="0.35">
      <c r="B36" s="1414" t="s">
        <v>2109</v>
      </c>
      <c r="C36" s="885">
        <f t="shared" si="0"/>
        <v>0</v>
      </c>
    </row>
    <row r="37" spans="2:3" s="1394" customFormat="1" x14ac:dyDescent="0.35">
      <c r="B37" s="1415" t="s">
        <v>2026</v>
      </c>
      <c r="C37" s="1004">
        <f t="shared" si="0"/>
        <v>0</v>
      </c>
    </row>
    <row r="38" spans="2:3" s="1394" customFormat="1" x14ac:dyDescent="0.35">
      <c r="B38" s="1414" t="s">
        <v>2075</v>
      </c>
      <c r="C38" s="885">
        <f t="shared" si="0"/>
        <v>0</v>
      </c>
    </row>
    <row r="39" spans="2:3" s="1394" customFormat="1" x14ac:dyDescent="0.35">
      <c r="B39" s="1415" t="s">
        <v>2029</v>
      </c>
      <c r="C39" s="1004">
        <f t="shared" si="0"/>
        <v>0</v>
      </c>
    </row>
    <row r="40" spans="2:3" s="1394" customFormat="1" x14ac:dyDescent="0.35">
      <c r="B40" s="1414" t="s">
        <v>2356</v>
      </c>
      <c r="C40" s="885">
        <f t="shared" si="0"/>
        <v>0</v>
      </c>
    </row>
    <row r="41" spans="2:3" s="1394" customFormat="1" x14ac:dyDescent="0.35">
      <c r="B41" s="1415" t="s">
        <v>2357</v>
      </c>
      <c r="C41" s="1004">
        <f t="shared" si="0"/>
        <v>0</v>
      </c>
    </row>
    <row r="42" spans="2:3" s="1394" customFormat="1" x14ac:dyDescent="0.35">
      <c r="B42" s="1414" t="s">
        <v>2358</v>
      </c>
      <c r="C42" s="885">
        <f t="shared" si="0"/>
        <v>0</v>
      </c>
    </row>
    <row r="43" spans="2:3" s="1394" customFormat="1" x14ac:dyDescent="0.35">
      <c r="B43" s="1415" t="s">
        <v>2162</v>
      </c>
      <c r="C43" s="1004">
        <f t="shared" si="0"/>
        <v>0</v>
      </c>
    </row>
    <row r="44" spans="2:3" s="1394" customFormat="1" x14ac:dyDescent="0.35">
      <c r="B44" s="1414" t="s">
        <v>2325</v>
      </c>
      <c r="C44" s="885">
        <f t="shared" si="0"/>
        <v>0</v>
      </c>
    </row>
    <row r="45" spans="2:3" s="1394" customFormat="1" x14ac:dyDescent="0.35">
      <c r="B45" s="1415" t="s">
        <v>2073</v>
      </c>
      <c r="C45" s="1004">
        <f t="shared" si="0"/>
        <v>0</v>
      </c>
    </row>
    <row r="46" spans="2:3" s="1394" customFormat="1" x14ac:dyDescent="0.35">
      <c r="B46" s="1414" t="s">
        <v>2166</v>
      </c>
      <c r="C46" s="885">
        <f t="shared" si="0"/>
        <v>0</v>
      </c>
    </row>
    <row r="47" spans="2:3" s="1394" customFormat="1" x14ac:dyDescent="0.35">
      <c r="B47" s="1415" t="s">
        <v>2163</v>
      </c>
      <c r="C47" s="1004">
        <f t="shared" si="0"/>
        <v>0</v>
      </c>
    </row>
    <row r="48" spans="2:3" s="1394" customFormat="1" x14ac:dyDescent="0.35">
      <c r="B48" s="1414" t="s">
        <v>2181</v>
      </c>
      <c r="C48" s="885">
        <f t="shared" si="0"/>
        <v>0</v>
      </c>
    </row>
    <row r="49" spans="2:3" s="1394" customFormat="1" x14ac:dyDescent="0.35">
      <c r="B49" s="1415" t="s">
        <v>2164</v>
      </c>
      <c r="C49" s="1004">
        <f t="shared" si="0"/>
        <v>0</v>
      </c>
    </row>
    <row r="50" spans="2:3" s="1394" customFormat="1" x14ac:dyDescent="0.35">
      <c r="B50" s="1414" t="s">
        <v>2336</v>
      </c>
      <c r="C50" s="885">
        <f t="shared" si="0"/>
        <v>0</v>
      </c>
    </row>
    <row r="51" spans="2:3" s="1394" customFormat="1" x14ac:dyDescent="0.35">
      <c r="B51" s="1415" t="s">
        <v>2165</v>
      </c>
      <c r="C51" s="1004">
        <f t="shared" si="0"/>
        <v>0</v>
      </c>
    </row>
    <row r="52" spans="2:3" s="1394" customFormat="1" x14ac:dyDescent="0.35">
      <c r="B52" s="1414" t="s">
        <v>2167</v>
      </c>
      <c r="C52" s="885">
        <f t="shared" si="0"/>
        <v>0</v>
      </c>
    </row>
    <row r="53" spans="2:3" s="1394" customFormat="1" x14ac:dyDescent="0.35">
      <c r="B53" s="1415" t="s">
        <v>2168</v>
      </c>
      <c r="C53" s="1004">
        <f t="shared" si="0"/>
        <v>0</v>
      </c>
    </row>
    <row r="54" spans="2:3" s="1394" customFormat="1" x14ac:dyDescent="0.35">
      <c r="B54" s="1414" t="s">
        <v>2169</v>
      </c>
      <c r="C54" s="885">
        <f t="shared" si="0"/>
        <v>0</v>
      </c>
    </row>
    <row r="55" spans="2:3" s="1394" customFormat="1" x14ac:dyDescent="0.35">
      <c r="B55" s="1415" t="s">
        <v>2170</v>
      </c>
      <c r="C55" s="1004">
        <f t="shared" si="0"/>
        <v>0</v>
      </c>
    </row>
    <row r="56" spans="2:3" s="1394" customFormat="1" x14ac:dyDescent="0.35">
      <c r="B56" s="1414" t="s">
        <v>2171</v>
      </c>
      <c r="C56" s="885">
        <f t="shared" si="0"/>
        <v>0</v>
      </c>
    </row>
    <row r="57" spans="2:3" s="1394" customFormat="1" x14ac:dyDescent="0.35">
      <c r="B57" s="1415" t="s">
        <v>2172</v>
      </c>
      <c r="C57" s="1004">
        <f t="shared" si="0"/>
        <v>1069.9396009337779</v>
      </c>
    </row>
    <row r="58" spans="2:3" s="1394" customFormat="1" x14ac:dyDescent="0.35">
      <c r="B58" s="1414" t="s">
        <v>2173</v>
      </c>
      <c r="C58" s="885">
        <f t="shared" si="0"/>
        <v>640.4628425283156</v>
      </c>
    </row>
    <row r="59" spans="2:3" s="1394" customFormat="1" x14ac:dyDescent="0.35">
      <c r="B59" s="1415" t="s">
        <v>2174</v>
      </c>
      <c r="C59" s="1004">
        <f t="shared" si="0"/>
        <v>0</v>
      </c>
    </row>
    <row r="60" spans="2:3" s="1394" customFormat="1" x14ac:dyDescent="0.35">
      <c r="B60" s="1414" t="s">
        <v>2175</v>
      </c>
      <c r="C60" s="885">
        <f t="shared" si="0"/>
        <v>0</v>
      </c>
    </row>
    <row r="61" spans="2:3" s="1394" customFormat="1" x14ac:dyDescent="0.35">
      <c r="B61" s="1415" t="s">
        <v>2176</v>
      </c>
      <c r="C61" s="1004">
        <f t="shared" si="0"/>
        <v>0</v>
      </c>
    </row>
    <row r="62" spans="2:3" s="1394" customFormat="1" x14ac:dyDescent="0.35">
      <c r="B62" s="1414" t="s">
        <v>2177</v>
      </c>
      <c r="C62" s="885">
        <f t="shared" si="0"/>
        <v>0</v>
      </c>
    </row>
    <row r="63" spans="2:3" s="1394" customFormat="1" x14ac:dyDescent="0.35">
      <c r="B63" s="1415" t="s">
        <v>2027</v>
      </c>
      <c r="C63" s="1004">
        <f t="shared" si="0"/>
        <v>464.31455364754589</v>
      </c>
    </row>
    <row r="64" spans="2:3" s="1394" customFormat="1" x14ac:dyDescent="0.35">
      <c r="B64" s="1416" t="s">
        <v>536</v>
      </c>
      <c r="C64" s="1417">
        <f t="shared" si="0"/>
        <v>714.43478260869551</v>
      </c>
    </row>
    <row r="65" spans="1:13" s="1394" customFormat="1" x14ac:dyDescent="0.35">
      <c r="B65" s="1408"/>
      <c r="C65" s="1408"/>
    </row>
    <row r="66" spans="1:13" s="1394" customFormat="1" ht="21" hidden="1" x14ac:dyDescent="0.5">
      <c r="A66" s="1395" t="s">
        <v>2064</v>
      </c>
      <c r="B66" s="1408"/>
      <c r="C66" s="1408"/>
    </row>
    <row r="67" spans="1:13" s="1394" customFormat="1" hidden="1" x14ac:dyDescent="0.35"/>
    <row r="68" spans="1:13" s="1394" customFormat="1" ht="29" hidden="1" x14ac:dyDescent="0.35">
      <c r="C68" s="1418" t="s">
        <v>2395</v>
      </c>
      <c r="D68" s="1419" t="s">
        <v>2396</v>
      </c>
      <c r="E68" s="1420" t="s">
        <v>2397</v>
      </c>
    </row>
    <row r="69" spans="1:13" hidden="1" x14ac:dyDescent="0.35">
      <c r="A69" s="1394"/>
      <c r="B69" s="1421" t="s">
        <v>1416</v>
      </c>
      <c r="C69" s="1422">
        <v>0.4</v>
      </c>
      <c r="D69" s="1423">
        <v>0</v>
      </c>
      <c r="E69" s="1424">
        <v>0</v>
      </c>
      <c r="F69" s="1394"/>
      <c r="G69" s="1394"/>
      <c r="H69" s="1394"/>
    </row>
    <row r="70" spans="1:13" hidden="1" x14ac:dyDescent="0.35">
      <c r="A70" s="1394"/>
      <c r="B70" s="1425" t="s">
        <v>2066</v>
      </c>
      <c r="C70" s="1426">
        <v>0.2</v>
      </c>
      <c r="D70" s="1427">
        <v>0</v>
      </c>
      <c r="E70" s="1428">
        <v>0</v>
      </c>
      <c r="F70" s="1394"/>
      <c r="G70" s="1394"/>
      <c r="H70" s="1394"/>
    </row>
    <row r="71" spans="1:13" hidden="1" x14ac:dyDescent="0.35">
      <c r="A71" s="1394"/>
      <c r="B71" s="1429" t="s">
        <v>2067</v>
      </c>
      <c r="C71" s="1430">
        <v>0</v>
      </c>
      <c r="D71" s="1431">
        <v>0.01</v>
      </c>
      <c r="E71" s="1432">
        <v>0.01</v>
      </c>
      <c r="F71" s="1394"/>
      <c r="G71" s="1394"/>
      <c r="H71" s="1394"/>
    </row>
    <row r="72" spans="1:13" s="1394" customFormat="1" x14ac:dyDescent="0.35"/>
    <row r="73" spans="1:13" s="1394" customFormat="1" ht="21" x14ac:dyDescent="0.5">
      <c r="A73" s="1395" t="s">
        <v>1977</v>
      </c>
    </row>
    <row r="74" spans="1:13" s="1394" customFormat="1" x14ac:dyDescent="0.35"/>
    <row r="75" spans="1:13" s="1394" customFormat="1" ht="18" customHeight="1" x14ac:dyDescent="0.35">
      <c r="B75" s="3058" t="s">
        <v>2039</v>
      </c>
      <c r="C75" s="3059"/>
    </row>
    <row r="76" spans="1:13" s="1394" customFormat="1" x14ac:dyDescent="0.35">
      <c r="B76" s="1433" t="s">
        <v>2398</v>
      </c>
      <c r="C76" s="1434" t="s">
        <v>2440</v>
      </c>
    </row>
    <row r="77" spans="1:13" x14ac:dyDescent="0.35">
      <c r="A77" s="1394"/>
      <c r="B77" s="1435" t="s">
        <v>2400</v>
      </c>
      <c r="C77" s="1436">
        <v>0.64400000000000002</v>
      </c>
      <c r="D77" s="1394"/>
      <c r="E77" s="1394"/>
    </row>
    <row r="78" spans="1:13" x14ac:dyDescent="0.35">
      <c r="A78" s="1394"/>
      <c r="B78" s="1437" t="s">
        <v>2401</v>
      </c>
      <c r="C78" s="1438">
        <v>0.64400000000000002</v>
      </c>
      <c r="D78" s="1394"/>
      <c r="E78" s="1394"/>
    </row>
    <row r="79" spans="1:13" s="1394" customFormat="1" x14ac:dyDescent="0.35">
      <c r="J79" s="1195"/>
      <c r="K79" s="1195"/>
      <c r="M79" s="1206"/>
    </row>
    <row r="80" spans="1:13" s="1394" customFormat="1" ht="18.75" customHeight="1" x14ac:dyDescent="0.45">
      <c r="B80" s="675"/>
      <c r="E80" s="3033" t="s">
        <v>3904</v>
      </c>
      <c r="F80" s="3034"/>
      <c r="G80" s="3034"/>
      <c r="H80" s="3034"/>
      <c r="I80" s="3051"/>
    </row>
    <row r="81" spans="1:20" s="1394" customFormat="1" ht="29" x14ac:dyDescent="0.35">
      <c r="B81" s="997" t="s">
        <v>2019</v>
      </c>
      <c r="C81" s="2693" t="s">
        <v>2402</v>
      </c>
      <c r="D81" s="2694" t="s">
        <v>1368</v>
      </c>
      <c r="E81" s="1182" t="s">
        <v>2309</v>
      </c>
      <c r="F81" s="1183" t="s">
        <v>2310</v>
      </c>
      <c r="G81" s="1183" t="s">
        <v>2311</v>
      </c>
      <c r="H81" s="1183" t="s">
        <v>2312</v>
      </c>
      <c r="I81" s="1319" t="s">
        <v>2313</v>
      </c>
      <c r="L81" s="3036" t="s">
        <v>2403</v>
      </c>
      <c r="M81" s="3037"/>
      <c r="N81" s="3037"/>
      <c r="O81" s="3037"/>
      <c r="P81" s="3037"/>
      <c r="Q81" s="3037"/>
      <c r="R81" s="3037"/>
      <c r="S81" s="3037"/>
      <c r="T81" s="3038"/>
    </row>
    <row r="82" spans="1:20" x14ac:dyDescent="0.35">
      <c r="A82" s="1394"/>
      <c r="B82" s="1136" t="s">
        <v>2180</v>
      </c>
      <c r="C82" s="1439">
        <v>2150</v>
      </c>
      <c r="D82" s="1440">
        <v>0.48299999999999998</v>
      </c>
      <c r="E82" s="1186">
        <v>1787</v>
      </c>
      <c r="F82" s="1187">
        <v>1831</v>
      </c>
      <c r="G82" s="1187">
        <v>1635</v>
      </c>
      <c r="H82" s="1187">
        <v>1089</v>
      </c>
      <c r="I82" s="1320">
        <v>1669</v>
      </c>
      <c r="K82" s="1441"/>
      <c r="L82" s="869" t="s">
        <v>1981</v>
      </c>
      <c r="M82" s="870"/>
      <c r="N82" s="870"/>
      <c r="O82" s="870"/>
      <c r="P82" s="870"/>
      <c r="Q82" s="870"/>
      <c r="R82" s="870"/>
      <c r="S82" s="870"/>
      <c r="T82" s="871"/>
    </row>
    <row r="83" spans="1:20" x14ac:dyDescent="0.35">
      <c r="B83" s="1146" t="s">
        <v>2071</v>
      </c>
      <c r="C83" s="1443">
        <v>4373</v>
      </c>
      <c r="D83" s="1444">
        <v>0.52900000000000003</v>
      </c>
      <c r="E83" s="1190">
        <v>1683</v>
      </c>
      <c r="F83" s="1191">
        <v>1646</v>
      </c>
      <c r="G83" s="1191">
        <v>1446</v>
      </c>
      <c r="H83" s="1191">
        <v>1063</v>
      </c>
      <c r="I83" s="1321">
        <v>1277</v>
      </c>
      <c r="K83" s="1441"/>
      <c r="L83" s="873" t="s">
        <v>2404</v>
      </c>
      <c r="M83" s="698"/>
      <c r="N83" s="698"/>
      <c r="O83" s="698"/>
      <c r="P83" s="698"/>
      <c r="Q83" s="698"/>
      <c r="R83" s="698"/>
      <c r="S83" s="698"/>
      <c r="T83" s="874"/>
    </row>
    <row r="84" spans="1:20" x14ac:dyDescent="0.35">
      <c r="B84" s="2683" t="s">
        <v>3906</v>
      </c>
      <c r="C84" s="1443"/>
      <c r="D84" s="1444"/>
      <c r="E84" s="2684">
        <v>2981</v>
      </c>
      <c r="F84" s="2684">
        <v>2950</v>
      </c>
      <c r="G84" s="2684">
        <v>2694</v>
      </c>
      <c r="H84" s="2684">
        <v>2368</v>
      </c>
      <c r="I84" s="2684">
        <v>2437</v>
      </c>
      <c r="K84" s="1441"/>
      <c r="L84" s="873" t="s">
        <v>2405</v>
      </c>
      <c r="M84" s="1193"/>
      <c r="N84" s="1193"/>
      <c r="O84" s="698"/>
      <c r="P84" s="698"/>
      <c r="Q84" s="698"/>
      <c r="R84" s="698"/>
      <c r="S84" s="698"/>
      <c r="T84" s="874"/>
    </row>
    <row r="85" spans="1:20" x14ac:dyDescent="0.35">
      <c r="B85" s="2680" t="s">
        <v>2157</v>
      </c>
      <c r="C85" s="1443">
        <v>1605</v>
      </c>
      <c r="D85" s="1444">
        <v>0.14199999999999999</v>
      </c>
      <c r="E85" s="2681">
        <v>1256</v>
      </c>
      <c r="F85" s="2681">
        <v>1293</v>
      </c>
      <c r="G85" s="2681">
        <v>1138</v>
      </c>
      <c r="H85" s="2681">
        <v>1116</v>
      </c>
      <c r="I85" s="2681">
        <v>1131</v>
      </c>
      <c r="K85" s="1441"/>
      <c r="L85" s="873" t="s">
        <v>2406</v>
      </c>
      <c r="M85" s="1193"/>
      <c r="N85" s="1193"/>
      <c r="O85" s="698"/>
      <c r="P85" s="698"/>
      <c r="Q85" s="698"/>
      <c r="R85" s="698"/>
      <c r="S85" s="698"/>
      <c r="T85" s="874"/>
    </row>
    <row r="86" spans="1:20" x14ac:dyDescent="0.35">
      <c r="B86" s="1146" t="s">
        <v>2158</v>
      </c>
      <c r="C86" s="1443">
        <v>2084</v>
      </c>
      <c r="D86" s="1444">
        <v>0.57099999999999995</v>
      </c>
      <c r="E86" s="1190">
        <v>1481</v>
      </c>
      <c r="F86" s="1191">
        <v>1368</v>
      </c>
      <c r="G86" s="1191">
        <v>1214</v>
      </c>
      <c r="H86" s="1191">
        <v>871</v>
      </c>
      <c r="I86" s="1321">
        <v>973</v>
      </c>
      <c r="K86" s="1441"/>
      <c r="L86" s="1194" t="s">
        <v>2407</v>
      </c>
      <c r="M86" s="1193"/>
      <c r="N86" s="1193"/>
      <c r="O86" s="698"/>
      <c r="P86" s="698"/>
      <c r="Q86" s="698"/>
      <c r="R86" s="698"/>
      <c r="S86" s="698"/>
      <c r="T86" s="874"/>
    </row>
    <row r="87" spans="1:20" x14ac:dyDescent="0.35">
      <c r="B87" s="2683" t="s">
        <v>3907</v>
      </c>
      <c r="C87" s="1446"/>
      <c r="D87" s="1447"/>
      <c r="E87" s="2684">
        <v>2848</v>
      </c>
      <c r="F87" s="2684">
        <v>2947</v>
      </c>
      <c r="G87" s="2684">
        <v>2568</v>
      </c>
      <c r="H87" s="2684">
        <v>2362</v>
      </c>
      <c r="I87" s="2684">
        <v>2516</v>
      </c>
      <c r="K87" s="1441"/>
      <c r="L87" s="1194" t="s">
        <v>2408</v>
      </c>
      <c r="M87" s="1193"/>
      <c r="N87" s="1193"/>
      <c r="O87" s="698"/>
      <c r="P87" s="698"/>
      <c r="Q87" s="698"/>
      <c r="R87" s="698"/>
      <c r="S87" s="698"/>
      <c r="T87" s="874"/>
    </row>
    <row r="88" spans="1:20" x14ac:dyDescent="0.35">
      <c r="B88" s="2680" t="s">
        <v>2028</v>
      </c>
      <c r="C88" s="1446">
        <v>3276</v>
      </c>
      <c r="D88" s="1447">
        <v>0.33300000000000002</v>
      </c>
      <c r="E88" s="2681">
        <v>1614</v>
      </c>
      <c r="F88" s="2681">
        <v>1603</v>
      </c>
      <c r="G88" s="2681">
        <v>1409</v>
      </c>
      <c r="H88" s="2681">
        <v>1209</v>
      </c>
      <c r="I88" s="2681">
        <v>1269</v>
      </c>
      <c r="K88" s="1441"/>
      <c r="L88" s="1194" t="s">
        <v>2409</v>
      </c>
      <c r="M88" s="1193"/>
      <c r="N88" s="1193"/>
      <c r="O88" s="698" t="s">
        <v>2410</v>
      </c>
      <c r="P88" s="698"/>
      <c r="Q88" s="698"/>
      <c r="R88" s="698"/>
      <c r="S88" s="698"/>
      <c r="T88" s="874"/>
    </row>
    <row r="89" spans="1:20" x14ac:dyDescent="0.35">
      <c r="B89" s="1146" t="s">
        <v>2109</v>
      </c>
      <c r="C89" s="1443">
        <v>2102</v>
      </c>
      <c r="D89" s="1444">
        <v>0.61899999999999999</v>
      </c>
      <c r="E89" s="1190">
        <v>985</v>
      </c>
      <c r="F89" s="1191">
        <v>969</v>
      </c>
      <c r="G89" s="1191">
        <v>852</v>
      </c>
      <c r="H89" s="1191">
        <v>680</v>
      </c>
      <c r="I89" s="1321">
        <v>752</v>
      </c>
      <c r="K89" s="1441"/>
      <c r="L89" s="1196" t="s">
        <v>2411</v>
      </c>
      <c r="M89" s="1197"/>
      <c r="N89" s="1197"/>
      <c r="O89" s="1198"/>
      <c r="P89" s="1198"/>
      <c r="Q89" s="1198"/>
      <c r="R89" s="1198"/>
      <c r="S89" s="1197"/>
      <c r="T89" s="1199"/>
    </row>
    <row r="90" spans="1:20" x14ac:dyDescent="0.35">
      <c r="B90" s="2680" t="s">
        <v>2026</v>
      </c>
      <c r="C90" s="1443">
        <v>2096</v>
      </c>
      <c r="D90" s="1444">
        <v>0.47499999999999998</v>
      </c>
      <c r="E90" s="2681">
        <v>1467</v>
      </c>
      <c r="F90" s="2681">
        <v>1551</v>
      </c>
      <c r="G90" s="2681">
        <v>1364</v>
      </c>
      <c r="H90" s="2681">
        <v>1367</v>
      </c>
      <c r="I90" s="2681">
        <v>1375</v>
      </c>
      <c r="K90" s="1441"/>
      <c r="L90" s="869" t="s">
        <v>1990</v>
      </c>
      <c r="M90" s="870"/>
      <c r="N90" s="870"/>
      <c r="O90" s="1203"/>
      <c r="P90" s="1203"/>
      <c r="Q90" s="1203"/>
      <c r="R90" s="1203"/>
      <c r="S90" s="1204"/>
      <c r="T90" s="1205"/>
    </row>
    <row r="91" spans="1:20" x14ac:dyDescent="0.35">
      <c r="B91" s="2680" t="s">
        <v>2075</v>
      </c>
      <c r="C91" s="1443">
        <v>1987</v>
      </c>
      <c r="D91" s="1444">
        <v>0.61899999999999999</v>
      </c>
      <c r="E91" s="2681">
        <v>1446</v>
      </c>
      <c r="F91" s="2681">
        <v>1526</v>
      </c>
      <c r="G91" s="2681">
        <v>1452</v>
      </c>
      <c r="H91" s="2681">
        <v>1553</v>
      </c>
      <c r="I91" s="2681">
        <v>1574</v>
      </c>
      <c r="K91" s="1441"/>
      <c r="L91" s="873" t="s">
        <v>1365</v>
      </c>
      <c r="M91" s="698" t="s">
        <v>1992</v>
      </c>
      <c r="N91" s="698" t="s">
        <v>2320</v>
      </c>
      <c r="O91" s="1206"/>
      <c r="P91" s="1206"/>
      <c r="Q91" s="1206"/>
      <c r="R91" s="1206"/>
      <c r="S91" s="1193"/>
      <c r="T91" s="1207"/>
    </row>
    <row r="92" spans="1:20" x14ac:dyDescent="0.35">
      <c r="B92" s="2680" t="s">
        <v>2029</v>
      </c>
      <c r="C92" s="1443">
        <v>3141</v>
      </c>
      <c r="D92" s="1444">
        <v>0.28799999999999998</v>
      </c>
      <c r="E92" s="2681">
        <v>1807</v>
      </c>
      <c r="F92" s="2681">
        <v>1855</v>
      </c>
      <c r="G92" s="2681">
        <v>1649</v>
      </c>
      <c r="H92" s="2681">
        <v>1591</v>
      </c>
      <c r="I92" s="2681">
        <v>1622</v>
      </c>
      <c r="K92" s="1441"/>
      <c r="L92" s="873" t="s">
        <v>476</v>
      </c>
      <c r="M92" s="698" t="s">
        <v>1992</v>
      </c>
      <c r="N92" s="698" t="s">
        <v>1366</v>
      </c>
      <c r="O92" s="1206"/>
      <c r="P92" s="1206"/>
      <c r="Q92" s="1206"/>
      <c r="R92" s="1206"/>
      <c r="S92" s="1193"/>
      <c r="T92" s="1207"/>
    </row>
    <row r="93" spans="1:20" x14ac:dyDescent="0.35">
      <c r="B93" s="2680" t="s">
        <v>2159</v>
      </c>
      <c r="C93" s="1443">
        <v>8760</v>
      </c>
      <c r="D93" s="1444">
        <v>0.64800000000000002</v>
      </c>
      <c r="E93" s="2681">
        <v>1216</v>
      </c>
      <c r="F93" s="2681">
        <v>1220</v>
      </c>
      <c r="G93" s="2681">
        <v>1072</v>
      </c>
      <c r="H93" s="2681">
        <v>1001</v>
      </c>
      <c r="I93" s="2681">
        <v>1028</v>
      </c>
      <c r="K93" s="1441"/>
      <c r="L93" s="873" t="s">
        <v>440</v>
      </c>
      <c r="M93" s="698" t="s">
        <v>1992</v>
      </c>
      <c r="N93" s="698" t="s">
        <v>2412</v>
      </c>
      <c r="O93" s="1206"/>
      <c r="P93" s="1206"/>
      <c r="Q93" s="1206"/>
      <c r="R93" s="1206"/>
      <c r="S93" s="1193"/>
      <c r="T93" s="1207"/>
    </row>
    <row r="94" spans="1:20" x14ac:dyDescent="0.35">
      <c r="B94" s="2680" t="s">
        <v>2160</v>
      </c>
      <c r="C94" s="1443">
        <v>2881</v>
      </c>
      <c r="D94" s="1444">
        <v>0.61499999999999999</v>
      </c>
      <c r="E94" s="2681">
        <v>1387</v>
      </c>
      <c r="F94" s="2681">
        <v>1398</v>
      </c>
      <c r="G94" s="2681">
        <v>1252</v>
      </c>
      <c r="H94" s="2681">
        <v>1222</v>
      </c>
      <c r="I94" s="2681">
        <v>1269</v>
      </c>
      <c r="K94" s="1441"/>
      <c r="L94" s="1208" t="s">
        <v>2399</v>
      </c>
      <c r="M94" s="1206" t="s">
        <v>1992</v>
      </c>
      <c r="N94" s="1193" t="s">
        <v>2413</v>
      </c>
      <c r="O94" s="1206"/>
      <c r="P94" s="1206"/>
      <c r="Q94" s="1206"/>
      <c r="R94" s="1206"/>
      <c r="S94" s="1193"/>
      <c r="T94" s="1207"/>
    </row>
    <row r="95" spans="1:20" x14ac:dyDescent="0.35">
      <c r="B95" s="2680" t="s">
        <v>2161</v>
      </c>
      <c r="C95" s="1443">
        <v>2788</v>
      </c>
      <c r="D95" s="1444">
        <v>0.57599999999999996</v>
      </c>
      <c r="E95" s="2682">
        <v>665</v>
      </c>
      <c r="F95" s="2682">
        <v>697</v>
      </c>
      <c r="G95" s="2682">
        <v>628</v>
      </c>
      <c r="H95" s="2682">
        <v>646</v>
      </c>
      <c r="I95" s="2682">
        <v>615</v>
      </c>
      <c r="K95" s="1441"/>
      <c r="L95" s="1194" t="s">
        <v>2414</v>
      </c>
      <c r="M95" s="1193" t="s">
        <v>2112</v>
      </c>
      <c r="N95" s="1206" t="s">
        <v>2415</v>
      </c>
      <c r="O95" s="1206"/>
      <c r="P95" s="1206"/>
      <c r="Q95" s="1206"/>
      <c r="R95" s="1206"/>
      <c r="S95" s="1193"/>
      <c r="T95" s="1207"/>
    </row>
    <row r="96" spans="1:20" x14ac:dyDescent="0.35">
      <c r="B96" s="2680" t="s">
        <v>2162</v>
      </c>
      <c r="C96" s="1443">
        <v>8729</v>
      </c>
      <c r="D96" s="1444">
        <v>0.60899999999999999</v>
      </c>
      <c r="E96" s="2681">
        <v>1622</v>
      </c>
      <c r="F96" s="2681">
        <v>1571</v>
      </c>
      <c r="G96" s="2681">
        <v>1374</v>
      </c>
      <c r="H96" s="2681">
        <v>1220</v>
      </c>
      <c r="I96" s="2681">
        <v>1281</v>
      </c>
      <c r="K96" s="1441"/>
      <c r="L96" s="933" t="s">
        <v>2334</v>
      </c>
      <c r="M96" s="934" t="s">
        <v>2112</v>
      </c>
      <c r="N96" s="934" t="s">
        <v>2416</v>
      </c>
      <c r="O96" s="1198"/>
      <c r="P96" s="1198"/>
      <c r="Q96" s="1198"/>
      <c r="R96" s="1198"/>
      <c r="S96" s="1197"/>
      <c r="T96" s="1199"/>
    </row>
    <row r="97" spans="2:23" x14ac:dyDescent="0.35">
      <c r="B97" s="2680" t="s">
        <v>2325</v>
      </c>
      <c r="C97" s="1448">
        <v>8712</v>
      </c>
      <c r="D97" s="1449">
        <v>0.629</v>
      </c>
      <c r="E97" s="2681">
        <v>1597</v>
      </c>
      <c r="F97" s="2681">
        <v>1634</v>
      </c>
      <c r="G97" s="2681">
        <v>1468</v>
      </c>
      <c r="H97" s="2681">
        <v>1376</v>
      </c>
      <c r="I97" s="2681">
        <v>1451</v>
      </c>
      <c r="K97" s="1441"/>
      <c r="L97" s="1204"/>
      <c r="M97" s="1204"/>
      <c r="N97" s="1204"/>
      <c r="O97" s="870"/>
      <c r="P97" s="870"/>
      <c r="Q97" s="870"/>
      <c r="R97" s="870"/>
      <c r="S97" s="870"/>
      <c r="T97" s="870"/>
    </row>
    <row r="98" spans="2:23" x14ac:dyDescent="0.35">
      <c r="B98" s="2680" t="s">
        <v>2073</v>
      </c>
      <c r="C98" s="1443">
        <v>8712</v>
      </c>
      <c r="D98" s="1444">
        <v>0.64600000000000002</v>
      </c>
      <c r="E98" s="2681">
        <v>1670</v>
      </c>
      <c r="F98" s="2681">
        <v>1733</v>
      </c>
      <c r="G98" s="2681">
        <v>1549</v>
      </c>
      <c r="H98" s="2681">
        <v>1496</v>
      </c>
      <c r="I98" s="2681">
        <v>1557</v>
      </c>
      <c r="K98" s="1441"/>
      <c r="L98" s="1193"/>
      <c r="M98" s="1193"/>
      <c r="N98" s="1193"/>
      <c r="O98" s="698"/>
      <c r="P98" s="698"/>
      <c r="Q98" s="698"/>
      <c r="R98" s="698"/>
      <c r="S98" s="698"/>
      <c r="T98" s="698"/>
    </row>
    <row r="99" spans="2:23" x14ac:dyDescent="0.35">
      <c r="B99" s="2680" t="s">
        <v>2166</v>
      </c>
      <c r="C99" s="1443">
        <v>4479</v>
      </c>
      <c r="D99" s="1444">
        <v>0.629</v>
      </c>
      <c r="E99" s="2681">
        <v>1555</v>
      </c>
      <c r="F99" s="2681">
        <v>1597</v>
      </c>
      <c r="G99" s="2681">
        <v>1433</v>
      </c>
      <c r="H99" s="2681">
        <v>1316</v>
      </c>
      <c r="I99" s="2681">
        <v>1400</v>
      </c>
      <c r="K99" s="1441"/>
    </row>
    <row r="100" spans="2:23" x14ac:dyDescent="0.35">
      <c r="B100" s="1144" t="s">
        <v>2163</v>
      </c>
      <c r="C100" s="1443">
        <v>2805</v>
      </c>
      <c r="D100" s="1444">
        <v>0.433</v>
      </c>
      <c r="E100" s="1200">
        <v>1048</v>
      </c>
      <c r="F100" s="1201">
        <v>1013</v>
      </c>
      <c r="G100" s="1201">
        <v>939</v>
      </c>
      <c r="H100" s="1201">
        <v>567</v>
      </c>
      <c r="I100" s="1322">
        <v>634</v>
      </c>
      <c r="K100" s="1441"/>
    </row>
    <row r="101" spans="2:23" x14ac:dyDescent="0.35">
      <c r="B101" s="2683" t="s">
        <v>2181</v>
      </c>
      <c r="C101" s="1443">
        <v>4237</v>
      </c>
      <c r="D101" s="1449">
        <v>0.437</v>
      </c>
      <c r="E101" s="2684">
        <v>1565</v>
      </c>
      <c r="F101" s="2684">
        <v>1540</v>
      </c>
      <c r="G101" s="2684">
        <v>1448</v>
      </c>
      <c r="H101" s="2684">
        <v>1089</v>
      </c>
      <c r="I101" s="2684">
        <v>1125</v>
      </c>
      <c r="K101" s="1441"/>
      <c r="L101" s="1193"/>
      <c r="M101" s="1193"/>
      <c r="N101" s="1193"/>
      <c r="O101" s="698"/>
      <c r="P101" s="698"/>
      <c r="Q101" s="698"/>
      <c r="R101" s="698"/>
      <c r="S101" s="698"/>
      <c r="T101" s="698"/>
    </row>
    <row r="102" spans="2:23" x14ac:dyDescent="0.35">
      <c r="B102" s="2683" t="s">
        <v>2164</v>
      </c>
      <c r="C102" s="1448">
        <v>4237</v>
      </c>
      <c r="D102" s="1444">
        <v>0.437</v>
      </c>
      <c r="E102" s="2685">
        <v>537</v>
      </c>
      <c r="F102" s="2685">
        <v>558</v>
      </c>
      <c r="G102" s="2685">
        <v>501</v>
      </c>
      <c r="H102" s="2685">
        <v>480</v>
      </c>
      <c r="I102" s="2685">
        <v>499</v>
      </c>
      <c r="K102" s="1441"/>
      <c r="L102" s="1193"/>
      <c r="M102" s="1193"/>
      <c r="N102" s="1193"/>
      <c r="O102" s="698"/>
      <c r="P102" s="698"/>
      <c r="Q102" s="698"/>
      <c r="R102" s="698"/>
      <c r="S102" s="698"/>
      <c r="T102" s="698"/>
    </row>
    <row r="103" spans="2:23" x14ac:dyDescent="0.35">
      <c r="B103" s="2683" t="s">
        <v>2336</v>
      </c>
      <c r="C103" s="1448">
        <v>4237</v>
      </c>
      <c r="D103" s="1449">
        <v>0.43</v>
      </c>
      <c r="E103" s="2684">
        <v>1665</v>
      </c>
      <c r="F103" s="2684">
        <v>1666</v>
      </c>
      <c r="G103" s="2684">
        <v>1512</v>
      </c>
      <c r="H103" s="2684">
        <v>1145</v>
      </c>
      <c r="I103" s="2684">
        <v>1207</v>
      </c>
      <c r="K103" s="1441"/>
      <c r="L103" s="1193"/>
      <c r="M103" s="1193"/>
      <c r="N103" s="1193"/>
      <c r="O103" s="698"/>
      <c r="P103" s="698"/>
      <c r="Q103" s="698"/>
      <c r="R103" s="698"/>
      <c r="S103" s="698"/>
      <c r="T103" s="698"/>
    </row>
    <row r="104" spans="2:23" x14ac:dyDescent="0.35">
      <c r="B104" s="2683" t="s">
        <v>2165</v>
      </c>
      <c r="C104" s="1443">
        <v>2899</v>
      </c>
      <c r="D104" s="1444">
        <v>0.24299999999999999</v>
      </c>
      <c r="E104" s="2684">
        <v>1730</v>
      </c>
      <c r="F104" s="2684">
        <v>1782</v>
      </c>
      <c r="G104" s="2684">
        <v>1589</v>
      </c>
      <c r="H104" s="2684">
        <v>1538</v>
      </c>
      <c r="I104" s="2684">
        <v>1560</v>
      </c>
      <c r="K104" s="1441"/>
      <c r="L104" s="1193"/>
      <c r="M104" s="1193"/>
      <c r="N104" s="1193"/>
      <c r="O104" s="698"/>
      <c r="P104" s="698"/>
      <c r="Q104" s="698"/>
      <c r="R104" s="698"/>
      <c r="S104" s="698"/>
      <c r="T104" s="698"/>
    </row>
    <row r="105" spans="2:23" x14ac:dyDescent="0.35">
      <c r="B105" s="1146" t="s">
        <v>2167</v>
      </c>
      <c r="C105" s="1443">
        <v>2120</v>
      </c>
      <c r="D105" s="1444">
        <v>0.41899999999999998</v>
      </c>
      <c r="E105" s="1200">
        <v>1916</v>
      </c>
      <c r="F105" s="1201">
        <v>1905</v>
      </c>
      <c r="G105" s="1201">
        <v>1718</v>
      </c>
      <c r="H105" s="1201">
        <v>1288</v>
      </c>
      <c r="I105" s="1322">
        <v>1538</v>
      </c>
      <c r="K105" s="1441"/>
      <c r="L105" s="1193"/>
      <c r="M105" s="1193"/>
      <c r="N105" s="1450" t="s">
        <v>2417</v>
      </c>
      <c r="O105" s="1451"/>
      <c r="P105" s="698"/>
      <c r="Q105" s="1452" t="s">
        <v>2418</v>
      </c>
      <c r="R105" s="1451"/>
      <c r="S105" s="698"/>
      <c r="T105" s="698"/>
    </row>
    <row r="106" spans="2:23" x14ac:dyDescent="0.35">
      <c r="B106" s="2683" t="s">
        <v>2168</v>
      </c>
      <c r="C106" s="1443">
        <v>5682</v>
      </c>
      <c r="D106" s="1444">
        <v>0.503</v>
      </c>
      <c r="E106" s="2685">
        <v>995</v>
      </c>
      <c r="F106" s="2684">
        <v>1036</v>
      </c>
      <c r="G106" s="2685">
        <v>933</v>
      </c>
      <c r="H106" s="2685">
        <v>786</v>
      </c>
      <c r="I106" s="2685">
        <v>832</v>
      </c>
      <c r="K106" s="1441"/>
      <c r="L106" s="1193"/>
      <c r="M106" s="1193"/>
      <c r="N106" s="1453"/>
      <c r="O106" s="1454"/>
      <c r="P106" s="698"/>
      <c r="Q106" s="1455"/>
      <c r="R106" s="1454"/>
      <c r="S106" s="698"/>
      <c r="T106" s="698"/>
      <c r="U106" s="698"/>
      <c r="V106" s="698"/>
      <c r="W106" s="698"/>
    </row>
    <row r="107" spans="2:23" x14ac:dyDescent="0.35">
      <c r="B107" s="2683" t="s">
        <v>2169</v>
      </c>
      <c r="C107" s="1443">
        <v>4849</v>
      </c>
      <c r="D107" s="1444">
        <v>0.48299999999999998</v>
      </c>
      <c r="E107" s="2684">
        <v>2244</v>
      </c>
      <c r="F107" s="2684">
        <v>2237</v>
      </c>
      <c r="G107" s="2684">
        <v>2024</v>
      </c>
      <c r="H107" s="2684">
        <v>1553</v>
      </c>
      <c r="I107" s="2684">
        <v>1608</v>
      </c>
      <c r="K107" s="1441"/>
      <c r="L107" s="1193"/>
      <c r="M107" s="1193"/>
      <c r="N107" s="1453" t="s">
        <v>2019</v>
      </c>
      <c r="O107" s="1454" t="s">
        <v>2419</v>
      </c>
      <c r="P107" s="698"/>
      <c r="Q107" s="1453" t="s">
        <v>2019</v>
      </c>
      <c r="R107" s="1454" t="s">
        <v>2419</v>
      </c>
      <c r="S107" s="698"/>
      <c r="T107" s="698"/>
      <c r="U107" s="698"/>
      <c r="V107" s="698"/>
      <c r="W107" s="698"/>
    </row>
    <row r="108" spans="2:23" x14ac:dyDescent="0.35">
      <c r="B108" s="2683" t="s">
        <v>2170</v>
      </c>
      <c r="C108" s="1443">
        <v>2038</v>
      </c>
      <c r="D108" s="1444">
        <v>0.432</v>
      </c>
      <c r="E108" s="2684">
        <v>1552</v>
      </c>
      <c r="F108" s="2684">
        <v>1432</v>
      </c>
      <c r="G108" s="2684">
        <v>1239</v>
      </c>
      <c r="H108" s="2684">
        <v>1077</v>
      </c>
      <c r="I108" s="2684">
        <v>1098</v>
      </c>
      <c r="K108" s="1441"/>
      <c r="N108" s="1453" t="s">
        <v>2180</v>
      </c>
      <c r="O108" s="1456">
        <v>2150</v>
      </c>
      <c r="P108" s="698"/>
      <c r="Q108" s="1455" t="s">
        <v>2180</v>
      </c>
      <c r="R108" s="1454">
        <v>0.48299999999999998</v>
      </c>
      <c r="S108" s="698"/>
      <c r="T108" s="698"/>
      <c r="U108" s="698"/>
      <c r="V108" s="698"/>
      <c r="W108" s="698"/>
    </row>
    <row r="109" spans="2:23" x14ac:dyDescent="0.35">
      <c r="B109" s="2683" t="s">
        <v>2171</v>
      </c>
      <c r="C109" s="1443">
        <v>3069</v>
      </c>
      <c r="D109" s="1444">
        <v>0.46200000000000002</v>
      </c>
      <c r="E109" s="2684">
        <v>1015</v>
      </c>
      <c r="F109" s="2685">
        <v>993</v>
      </c>
      <c r="G109" s="2685">
        <v>899</v>
      </c>
      <c r="H109" s="2685">
        <v>773</v>
      </c>
      <c r="I109" s="2685">
        <v>809</v>
      </c>
      <c r="K109" s="1441"/>
      <c r="N109" s="1453" t="s">
        <v>2071</v>
      </c>
      <c r="O109" s="1456">
        <v>4373</v>
      </c>
      <c r="P109" s="698"/>
      <c r="Q109" s="1453" t="s">
        <v>2071</v>
      </c>
      <c r="R109" s="1456">
        <v>0.52900000000000003</v>
      </c>
      <c r="S109" s="698"/>
      <c r="T109" s="698"/>
      <c r="U109" s="698"/>
      <c r="V109" s="698"/>
      <c r="W109" s="698"/>
    </row>
    <row r="110" spans="2:23" x14ac:dyDescent="0.35">
      <c r="B110" s="2683" t="s">
        <v>2172</v>
      </c>
      <c r="C110" s="1457">
        <v>2481</v>
      </c>
      <c r="D110" s="1458">
        <v>0.47399999999999998</v>
      </c>
      <c r="E110" s="2684">
        <v>2825</v>
      </c>
      <c r="F110" s="2684">
        <v>2625</v>
      </c>
      <c r="G110" s="2684">
        <v>2365</v>
      </c>
      <c r="H110" s="2684">
        <v>2007</v>
      </c>
      <c r="I110" s="2684">
        <v>2040</v>
      </c>
      <c r="K110" s="1441"/>
      <c r="N110" s="1453" t="s">
        <v>2157</v>
      </c>
      <c r="O110" s="1456">
        <v>1605</v>
      </c>
      <c r="P110" s="698"/>
      <c r="Q110" s="1453" t="s">
        <v>2157</v>
      </c>
      <c r="R110" s="1456">
        <v>0.14199999999999999</v>
      </c>
      <c r="S110" s="698"/>
      <c r="T110" s="698"/>
      <c r="U110" s="698"/>
      <c r="V110" s="698"/>
      <c r="W110" s="698"/>
    </row>
    <row r="111" spans="2:23" x14ac:dyDescent="0.35">
      <c r="B111" s="2683" t="s">
        <v>2173</v>
      </c>
      <c r="C111" s="1443">
        <v>1881</v>
      </c>
      <c r="D111" s="1444">
        <v>0.42799999999999999</v>
      </c>
      <c r="E111" s="2684">
        <v>1672</v>
      </c>
      <c r="F111" s="2684">
        <v>1629</v>
      </c>
      <c r="G111" s="2684">
        <v>1454</v>
      </c>
      <c r="H111" s="2684">
        <v>1356</v>
      </c>
      <c r="I111" s="2684">
        <v>1399</v>
      </c>
      <c r="K111" s="1441"/>
      <c r="N111" s="1453" t="s">
        <v>2158</v>
      </c>
      <c r="O111" s="1456">
        <v>2084</v>
      </c>
      <c r="P111" s="698"/>
      <c r="Q111" s="1453" t="s">
        <v>2158</v>
      </c>
      <c r="R111" s="1456">
        <v>0.57099999999999995</v>
      </c>
      <c r="S111" s="698"/>
      <c r="T111" s="698"/>
      <c r="U111" s="698"/>
      <c r="V111" s="698"/>
      <c r="W111" s="698"/>
    </row>
    <row r="112" spans="2:23" x14ac:dyDescent="0.35">
      <c r="B112" s="2683" t="s">
        <v>3908</v>
      </c>
      <c r="C112" s="1443"/>
      <c r="D112" s="1444"/>
      <c r="E112" s="2684">
        <v>2757</v>
      </c>
      <c r="F112" s="2684">
        <v>2670</v>
      </c>
      <c r="G112" s="2684">
        <v>2383</v>
      </c>
      <c r="H112" s="2684">
        <v>2149</v>
      </c>
      <c r="I112" s="2684">
        <v>2186</v>
      </c>
      <c r="K112" s="1441"/>
      <c r="N112" s="1453" t="s">
        <v>2028</v>
      </c>
      <c r="O112" s="1456">
        <v>3276</v>
      </c>
      <c r="P112" s="698"/>
      <c r="Q112" s="1453" t="s">
        <v>2028</v>
      </c>
      <c r="R112" s="1456">
        <v>0.33300000000000002</v>
      </c>
      <c r="S112" s="2686"/>
      <c r="T112" s="2686"/>
      <c r="U112" s="2686"/>
      <c r="V112" s="2686"/>
      <c r="W112" s="2686"/>
    </row>
    <row r="113" spans="1:23" x14ac:dyDescent="0.35">
      <c r="B113" s="1144" t="s">
        <v>2174</v>
      </c>
      <c r="C113" s="1443">
        <v>2830</v>
      </c>
      <c r="D113" s="1444">
        <v>0.433</v>
      </c>
      <c r="E113" s="1200">
        <v>1603</v>
      </c>
      <c r="F113" s="1201">
        <v>1504</v>
      </c>
      <c r="G113" s="1201">
        <v>1440</v>
      </c>
      <c r="H113" s="1201">
        <v>1054</v>
      </c>
      <c r="I113" s="1322">
        <v>1205</v>
      </c>
      <c r="K113" s="1441"/>
      <c r="N113" s="1453" t="s">
        <v>2109</v>
      </c>
      <c r="O113" s="1456">
        <v>2102</v>
      </c>
      <c r="P113" s="698"/>
      <c r="Q113" s="1453" t="s">
        <v>2109</v>
      </c>
      <c r="R113" s="1456">
        <v>0.61899999999999999</v>
      </c>
      <c r="S113" s="698"/>
      <c r="T113" s="698"/>
      <c r="U113" s="698"/>
      <c r="V113" s="698"/>
      <c r="W113" s="698"/>
    </row>
    <row r="114" spans="1:23" x14ac:dyDescent="0.35">
      <c r="B114" s="2683" t="s">
        <v>2175</v>
      </c>
      <c r="C114" s="1446">
        <v>3350</v>
      </c>
      <c r="D114" s="1447">
        <v>0.48799999999999999</v>
      </c>
      <c r="E114" s="2684">
        <v>1326</v>
      </c>
      <c r="F114" s="2684">
        <v>1328</v>
      </c>
      <c r="G114" s="2684">
        <v>1179</v>
      </c>
      <c r="H114" s="2684">
        <v>1091</v>
      </c>
      <c r="I114" s="2684">
        <v>1122</v>
      </c>
      <c r="K114" s="1441"/>
      <c r="N114" s="1453" t="s">
        <v>2026</v>
      </c>
      <c r="O114" s="1456">
        <v>2096</v>
      </c>
      <c r="P114" s="698"/>
      <c r="Q114" s="1453" t="s">
        <v>2026</v>
      </c>
      <c r="R114" s="1456">
        <v>0.47499999999999998</v>
      </c>
      <c r="S114" s="698"/>
      <c r="T114" s="698"/>
      <c r="U114" s="698"/>
      <c r="V114" s="698"/>
      <c r="W114" s="698"/>
    </row>
    <row r="115" spans="1:23" x14ac:dyDescent="0.35">
      <c r="B115" s="2683" t="s">
        <v>2176</v>
      </c>
      <c r="C115" s="1443">
        <v>2528</v>
      </c>
      <c r="D115" s="1444">
        <v>0.505</v>
      </c>
      <c r="E115" s="2684">
        <v>1365</v>
      </c>
      <c r="F115" s="2684">
        <v>1322</v>
      </c>
      <c r="G115" s="2684">
        <v>1193</v>
      </c>
      <c r="H115" s="2684">
        <v>1034</v>
      </c>
      <c r="I115" s="2684">
        <v>1088</v>
      </c>
      <c r="K115" s="1441"/>
      <c r="N115" s="1453" t="s">
        <v>2075</v>
      </c>
      <c r="O115" s="1456">
        <v>1987</v>
      </c>
      <c r="P115" s="698"/>
      <c r="Q115" s="1453" t="s">
        <v>2075</v>
      </c>
      <c r="R115" s="1456">
        <v>0.61899999999999999</v>
      </c>
      <c r="S115" s="698"/>
      <c r="T115" s="698"/>
      <c r="U115" s="698"/>
      <c r="V115" s="698"/>
      <c r="W115" s="698"/>
    </row>
    <row r="116" spans="1:23" x14ac:dyDescent="0.35">
      <c r="B116" s="2683" t="s">
        <v>2177</v>
      </c>
      <c r="C116" s="1443">
        <v>2266</v>
      </c>
      <c r="D116" s="1444">
        <v>0.52800000000000002</v>
      </c>
      <c r="E116" s="2684">
        <v>1347</v>
      </c>
      <c r="F116" s="2684">
        <v>1325</v>
      </c>
      <c r="G116" s="2684">
        <v>1183</v>
      </c>
      <c r="H116" s="2684">
        <v>1064</v>
      </c>
      <c r="I116" s="2684">
        <v>1096</v>
      </c>
      <c r="K116" s="1441"/>
      <c r="N116" s="1459" t="s">
        <v>2029</v>
      </c>
      <c r="O116" s="1460">
        <v>3141</v>
      </c>
      <c r="P116" s="698"/>
      <c r="Q116" s="1453" t="s">
        <v>2029</v>
      </c>
      <c r="R116" s="1456">
        <v>0.28799999999999998</v>
      </c>
      <c r="S116" s="698"/>
      <c r="T116" s="698"/>
      <c r="U116" s="698"/>
      <c r="V116" s="698"/>
      <c r="W116" s="698"/>
    </row>
    <row r="117" spans="1:23" x14ac:dyDescent="0.35">
      <c r="B117" s="2683" t="s">
        <v>2027</v>
      </c>
      <c r="C117" s="1443">
        <v>770</v>
      </c>
      <c r="D117" s="1444">
        <v>0.22500000000000001</v>
      </c>
      <c r="E117" s="2684">
        <v>1285</v>
      </c>
      <c r="F117" s="2684">
        <v>1286</v>
      </c>
      <c r="G117" s="2684">
        <v>1180</v>
      </c>
      <c r="H117" s="2684">
        <v>1147</v>
      </c>
      <c r="I117" s="2684">
        <v>1224</v>
      </c>
      <c r="K117" s="1441"/>
      <c r="L117" s="1394"/>
      <c r="N117" s="1459" t="s">
        <v>2161</v>
      </c>
      <c r="O117" s="1460">
        <v>2788</v>
      </c>
      <c r="P117" s="698"/>
      <c r="Q117" s="1459" t="s">
        <v>2161</v>
      </c>
      <c r="R117" s="1460">
        <v>0.57599999999999996</v>
      </c>
      <c r="S117" s="698"/>
      <c r="T117" s="698"/>
      <c r="U117" s="698"/>
      <c r="V117" s="698"/>
      <c r="W117" s="698"/>
    </row>
    <row r="118" spans="1:23" x14ac:dyDescent="0.35">
      <c r="B118" s="2683" t="s">
        <v>536</v>
      </c>
      <c r="C118" s="1461">
        <v>2718</v>
      </c>
      <c r="D118" s="1462">
        <v>0.42399999999999999</v>
      </c>
      <c r="E118" s="2684">
        <v>1709</v>
      </c>
      <c r="F118" s="2684">
        <v>1678</v>
      </c>
      <c r="G118" s="2684">
        <v>1508</v>
      </c>
      <c r="H118" s="2684">
        <v>1287</v>
      </c>
      <c r="I118" s="2684">
        <v>1411</v>
      </c>
      <c r="K118" s="1441"/>
      <c r="L118" s="1394"/>
      <c r="N118" s="1459" t="s">
        <v>2160</v>
      </c>
      <c r="O118" s="1460">
        <v>2881</v>
      </c>
      <c r="P118" s="698"/>
      <c r="Q118" s="1459" t="s">
        <v>2160</v>
      </c>
      <c r="R118" s="1460">
        <v>0.61499999999999999</v>
      </c>
      <c r="S118" s="698"/>
      <c r="T118" s="698"/>
      <c r="U118" s="698"/>
      <c r="V118" s="698"/>
      <c r="W118" s="698"/>
    </row>
    <row r="119" spans="1:23" s="1394" customFormat="1" x14ac:dyDescent="0.35">
      <c r="A119" s="1195"/>
      <c r="C119" s="1463" t="s">
        <v>2420</v>
      </c>
      <c r="M119" s="1195"/>
      <c r="N119" s="1455" t="s">
        <v>2159</v>
      </c>
      <c r="O119" s="1454">
        <v>8760</v>
      </c>
      <c r="P119" s="698"/>
      <c r="Q119" s="1459" t="s">
        <v>2159</v>
      </c>
      <c r="R119" s="1460">
        <v>0.64800000000000002</v>
      </c>
      <c r="S119" s="698"/>
      <c r="T119" s="698"/>
      <c r="U119" s="698"/>
      <c r="V119" s="698"/>
      <c r="W119" s="698"/>
    </row>
    <row r="120" spans="1:23" s="675" customFormat="1" x14ac:dyDescent="0.35">
      <c r="M120" s="1195"/>
      <c r="N120" s="1455"/>
      <c r="O120" s="1454"/>
      <c r="P120" s="698"/>
      <c r="Q120" s="1459"/>
      <c r="R120" s="1460"/>
      <c r="S120" s="698"/>
      <c r="T120" s="698"/>
      <c r="U120" s="698"/>
      <c r="V120" s="698"/>
      <c r="W120" s="698"/>
    </row>
    <row r="121" spans="1:23" s="675" customFormat="1" ht="29" x14ac:dyDescent="0.35">
      <c r="B121" s="1563" t="s">
        <v>2384</v>
      </c>
      <c r="C121" s="1564" t="s">
        <v>2441</v>
      </c>
      <c r="D121" s="931" t="s">
        <v>2442</v>
      </c>
      <c r="E121" s="932" t="s">
        <v>2421</v>
      </c>
      <c r="M121" s="1195"/>
      <c r="N121" s="1455"/>
      <c r="O121" s="1454"/>
      <c r="P121" s="698"/>
      <c r="Q121" s="1459"/>
      <c r="R121" s="1460"/>
      <c r="S121" s="698"/>
      <c r="T121" s="698"/>
      <c r="U121" s="698"/>
      <c r="V121" s="698"/>
      <c r="W121" s="698"/>
    </row>
    <row r="122" spans="1:23" s="675" customFormat="1" x14ac:dyDescent="0.35">
      <c r="B122" s="1565">
        <v>0.94</v>
      </c>
      <c r="C122" s="1566">
        <v>3286</v>
      </c>
      <c r="D122" s="1567">
        <f>2876/(1.075^5.5)</f>
        <v>1932.1566246635184</v>
      </c>
      <c r="E122" s="1568">
        <f>C122-D122</f>
        <v>1353.8433753364816</v>
      </c>
      <c r="F122" s="675" t="s">
        <v>2443</v>
      </c>
      <c r="M122" s="1195"/>
      <c r="N122" s="1455"/>
      <c r="O122" s="1454"/>
      <c r="P122" s="698"/>
      <c r="Q122" s="1459"/>
      <c r="R122" s="1460"/>
      <c r="S122" s="698"/>
      <c r="T122" s="698"/>
      <c r="U122" s="698"/>
      <c r="V122" s="698"/>
      <c r="W122" s="698"/>
    </row>
    <row r="123" spans="1:23" s="675" customFormat="1" x14ac:dyDescent="0.35">
      <c r="B123" s="1468">
        <v>0.95</v>
      </c>
      <c r="C123" s="1566">
        <v>3522</v>
      </c>
      <c r="D123" s="1567">
        <f>2876/(1.075^5.5)</f>
        <v>1932.1566246635184</v>
      </c>
      <c r="E123" s="1569">
        <f>C123-D123</f>
        <v>1589.8433753364816</v>
      </c>
      <c r="M123" s="1195"/>
      <c r="N123" s="1455"/>
      <c r="O123" s="1454"/>
      <c r="P123" s="698"/>
      <c r="Q123" s="1459"/>
      <c r="R123" s="1460"/>
      <c r="S123" s="698"/>
      <c r="T123" s="698"/>
      <c r="U123" s="698"/>
      <c r="V123" s="698"/>
      <c r="W123" s="698"/>
    </row>
    <row r="124" spans="1:23" s="675" customFormat="1" x14ac:dyDescent="0.35">
      <c r="B124" s="1470">
        <v>0.96</v>
      </c>
      <c r="C124" s="1570">
        <v>3758</v>
      </c>
      <c r="D124" s="1571">
        <f>2876/(1.075^5.5)</f>
        <v>1932.1566246635184</v>
      </c>
      <c r="E124" s="1572">
        <f>C124-D124</f>
        <v>1825.8433753364816</v>
      </c>
      <c r="M124" s="1195"/>
      <c r="N124" s="1455"/>
      <c r="O124" s="1454"/>
      <c r="P124" s="698"/>
      <c r="Q124" s="1459"/>
      <c r="R124" s="1460"/>
      <c r="S124" s="698"/>
      <c r="T124" s="698"/>
      <c r="U124" s="698"/>
      <c r="V124" s="698"/>
      <c r="W124" s="698"/>
    </row>
    <row r="125" spans="1:23" s="675" customFormat="1" x14ac:dyDescent="0.35">
      <c r="B125" s="1082"/>
      <c r="M125" s="1195"/>
      <c r="N125" s="1459" t="s">
        <v>2162</v>
      </c>
      <c r="O125" s="1460">
        <v>8729</v>
      </c>
      <c r="P125" s="698"/>
      <c r="Q125" s="1455" t="s">
        <v>2162</v>
      </c>
      <c r="R125" s="1454">
        <v>0.60899999999999999</v>
      </c>
      <c r="S125" s="698"/>
      <c r="T125" s="698"/>
      <c r="U125" s="698"/>
      <c r="V125" s="698"/>
      <c r="W125" s="698"/>
    </row>
    <row r="126" spans="1:23" s="1394" customFormat="1" ht="21" x14ac:dyDescent="0.5">
      <c r="A126" s="1395" t="s">
        <v>2012</v>
      </c>
      <c r="M126" s="1195"/>
      <c r="N126" s="1459" t="s">
        <v>2163</v>
      </c>
      <c r="O126" s="1460">
        <v>2805</v>
      </c>
      <c r="P126" s="698"/>
      <c r="Q126" s="1459" t="s">
        <v>2163</v>
      </c>
      <c r="R126" s="1460">
        <v>0.433</v>
      </c>
      <c r="S126" s="698"/>
      <c r="T126" s="698"/>
      <c r="U126" s="698"/>
      <c r="V126" s="698"/>
      <c r="W126" s="698"/>
    </row>
    <row r="127" spans="1:23" s="1394" customFormat="1" ht="21" x14ac:dyDescent="0.5">
      <c r="A127" s="1395"/>
      <c r="B127" s="1206"/>
      <c r="C127" s="1472"/>
      <c r="M127" s="1195"/>
      <c r="N127" s="1459" t="s">
        <v>2181</v>
      </c>
      <c r="O127" s="1460">
        <v>4237</v>
      </c>
      <c r="P127" s="698"/>
      <c r="Q127" s="1459" t="s">
        <v>2164</v>
      </c>
      <c r="R127" s="1460">
        <v>0.437</v>
      </c>
      <c r="S127" s="698"/>
      <c r="T127" s="698"/>
      <c r="U127" s="698"/>
      <c r="V127" s="698"/>
      <c r="W127" s="698"/>
    </row>
    <row r="128" spans="1:23" s="1394" customFormat="1" x14ac:dyDescent="0.35">
      <c r="D128" s="3060"/>
      <c r="E128" s="3060"/>
      <c r="K128" s="1206"/>
      <c r="M128" s="1195"/>
      <c r="N128" s="1459" t="s">
        <v>2165</v>
      </c>
      <c r="O128" s="1460">
        <v>2899</v>
      </c>
      <c r="P128" s="698"/>
      <c r="Q128" s="1459" t="s">
        <v>2165</v>
      </c>
      <c r="R128" s="1460">
        <v>0.24299999999999999</v>
      </c>
      <c r="S128" s="698"/>
      <c r="T128" s="698"/>
      <c r="U128" s="698"/>
      <c r="V128" s="698"/>
      <c r="W128" s="698"/>
    </row>
    <row r="129" spans="1:23" s="1394" customFormat="1" x14ac:dyDescent="0.35">
      <c r="B129" s="1473" t="s">
        <v>2422</v>
      </c>
      <c r="C129" s="1474" t="s">
        <v>2184</v>
      </c>
      <c r="D129" s="1475"/>
      <c r="E129" s="1476"/>
      <c r="F129" s="1476"/>
      <c r="G129" s="1476"/>
      <c r="H129" s="1476"/>
      <c r="I129" s="1476"/>
      <c r="J129" s="1476"/>
      <c r="K129" s="1476"/>
      <c r="L129" s="1476"/>
      <c r="M129" s="1195"/>
      <c r="N129" s="1459" t="s">
        <v>2424</v>
      </c>
      <c r="O129" s="1460">
        <v>4479</v>
      </c>
      <c r="P129" s="698"/>
      <c r="Q129" s="1459" t="s">
        <v>2166</v>
      </c>
      <c r="R129" s="1460">
        <v>0.629</v>
      </c>
      <c r="S129" s="698"/>
      <c r="T129" s="698"/>
      <c r="U129" s="698"/>
      <c r="V129" s="698"/>
      <c r="W129" s="698"/>
    </row>
    <row r="130" spans="1:23" s="1394" customFormat="1" x14ac:dyDescent="0.35">
      <c r="B130" s="1435" t="s">
        <v>2423</v>
      </c>
      <c r="C130" s="1477">
        <v>1600</v>
      </c>
      <c r="D130" s="1478"/>
      <c r="E130" s="1476"/>
      <c r="F130" s="1476"/>
      <c r="G130" s="1476"/>
      <c r="H130" s="1476"/>
      <c r="I130" s="1476"/>
      <c r="J130" s="1476"/>
      <c r="K130" s="1476"/>
      <c r="L130" s="1476"/>
      <c r="M130" s="1195"/>
      <c r="N130" s="1459" t="s">
        <v>2073</v>
      </c>
      <c r="O130" s="1460">
        <v>8712</v>
      </c>
      <c r="P130" s="698"/>
      <c r="Q130" s="1459" t="s">
        <v>2073</v>
      </c>
      <c r="R130" s="1460">
        <v>0.64600000000000002</v>
      </c>
      <c r="S130" s="698"/>
      <c r="T130" s="698"/>
      <c r="U130" s="698"/>
      <c r="V130" s="698"/>
      <c r="W130" s="698"/>
    </row>
    <row r="131" spans="1:23" s="1394" customFormat="1" x14ac:dyDescent="0.35">
      <c r="B131" s="1437" t="s">
        <v>2425</v>
      </c>
      <c r="C131" s="1479">
        <v>2000</v>
      </c>
      <c r="D131" s="1478"/>
      <c r="E131" s="1476"/>
      <c r="F131" s="1476"/>
      <c r="G131" s="1476"/>
      <c r="H131" s="1476"/>
      <c r="I131" s="1476"/>
      <c r="J131" s="1476"/>
      <c r="K131" s="1476"/>
      <c r="L131" s="1476"/>
      <c r="M131" s="1195"/>
      <c r="N131" s="1459" t="s">
        <v>2167</v>
      </c>
      <c r="O131" s="1460">
        <v>2120</v>
      </c>
      <c r="P131" s="698"/>
      <c r="Q131" s="1459" t="s">
        <v>2167</v>
      </c>
      <c r="R131" s="1460">
        <v>0.41899999999999998</v>
      </c>
      <c r="S131" s="698"/>
      <c r="T131" s="698"/>
      <c r="U131" s="698"/>
      <c r="V131" s="698"/>
      <c r="W131" s="698"/>
    </row>
    <row r="132" spans="1:23" s="1394" customFormat="1" x14ac:dyDescent="0.35">
      <c r="E132" s="1476"/>
      <c r="F132" s="1476"/>
      <c r="G132" s="1476"/>
      <c r="H132" s="1476"/>
      <c r="I132" s="1476"/>
      <c r="J132" s="1476"/>
      <c r="K132" s="1476"/>
      <c r="L132" s="1476"/>
      <c r="M132" s="1195"/>
      <c r="N132" s="1459" t="s">
        <v>2170</v>
      </c>
      <c r="O132" s="1460">
        <v>2038</v>
      </c>
      <c r="P132" s="698"/>
      <c r="Q132" s="1459" t="s">
        <v>2170</v>
      </c>
      <c r="R132" s="1460">
        <v>0.432</v>
      </c>
      <c r="S132" s="698"/>
      <c r="T132" s="698"/>
      <c r="U132" s="698"/>
      <c r="V132" s="698"/>
      <c r="W132" s="698"/>
    </row>
    <row r="133" spans="1:23" s="1394" customFormat="1" ht="21" x14ac:dyDescent="0.5">
      <c r="A133" s="1395" t="s">
        <v>2014</v>
      </c>
      <c r="E133" s="1476"/>
      <c r="F133" s="1476"/>
      <c r="G133" s="1476"/>
      <c r="H133" s="1476"/>
      <c r="I133" s="1476"/>
      <c r="J133" s="1476"/>
      <c r="K133" s="1476"/>
      <c r="L133" s="1476"/>
      <c r="M133" s="1195"/>
      <c r="N133" s="1459" t="s">
        <v>2169</v>
      </c>
      <c r="O133" s="1460">
        <v>4849</v>
      </c>
      <c r="P133" s="698"/>
      <c r="Q133" s="1459" t="s">
        <v>2169</v>
      </c>
      <c r="R133" s="1460">
        <v>0.48299999999999998</v>
      </c>
      <c r="S133" s="698"/>
      <c r="T133" s="698"/>
      <c r="U133" s="698"/>
      <c r="V133" s="698"/>
      <c r="W133" s="698"/>
    </row>
    <row r="134" spans="1:23" s="1394" customFormat="1" x14ac:dyDescent="0.35">
      <c r="E134" s="1476"/>
      <c r="F134" s="1476"/>
      <c r="G134" s="1476"/>
      <c r="H134" s="1476"/>
      <c r="I134" s="1476"/>
      <c r="J134" s="1476"/>
      <c r="K134" s="1476"/>
      <c r="L134" s="1476"/>
      <c r="M134" s="1195"/>
      <c r="N134" s="1459" t="s">
        <v>2168</v>
      </c>
      <c r="O134" s="1460">
        <v>5682</v>
      </c>
      <c r="P134" s="698"/>
      <c r="Q134" s="1459" t="s">
        <v>2168</v>
      </c>
      <c r="R134" s="1460">
        <v>0.503</v>
      </c>
      <c r="S134" s="698"/>
      <c r="T134" s="698"/>
      <c r="U134" s="698"/>
      <c r="V134" s="698"/>
      <c r="W134" s="698"/>
    </row>
    <row r="135" spans="1:23" s="1394" customFormat="1" ht="15" customHeight="1" x14ac:dyDescent="0.35">
      <c r="B135" s="1480"/>
      <c r="E135" s="1476"/>
      <c r="F135" s="1476"/>
      <c r="G135" s="1476"/>
      <c r="I135" s="1476"/>
      <c r="J135" s="1476"/>
      <c r="K135" s="1476"/>
      <c r="L135" s="1476"/>
      <c r="M135" s="1195"/>
      <c r="N135" s="1459" t="s">
        <v>2171</v>
      </c>
      <c r="O135" s="1460">
        <v>3069</v>
      </c>
      <c r="P135" s="698"/>
      <c r="Q135" s="1459" t="s">
        <v>2171</v>
      </c>
      <c r="R135" s="1460">
        <v>0.46200000000000002</v>
      </c>
      <c r="S135" s="698"/>
      <c r="T135" s="698"/>
      <c r="U135" s="698"/>
      <c r="V135" s="698"/>
      <c r="W135" s="698"/>
    </row>
    <row r="136" spans="1:23" s="1394" customFormat="1" ht="29" x14ac:dyDescent="0.35">
      <c r="B136" s="1481" t="s">
        <v>2280</v>
      </c>
      <c r="C136" s="1434" t="s">
        <v>2348</v>
      </c>
      <c r="E136" s="1476"/>
      <c r="F136" s="1476"/>
      <c r="G136" s="1476"/>
      <c r="I136" s="1482" t="s">
        <v>2019</v>
      </c>
      <c r="J136" s="1474" t="s">
        <v>2426</v>
      </c>
      <c r="K136" s="1476"/>
      <c r="L136" s="1476"/>
      <c r="M136" s="1195"/>
      <c r="N136" s="1459" t="s">
        <v>2172</v>
      </c>
      <c r="O136" s="1460">
        <v>2481</v>
      </c>
      <c r="P136" s="698"/>
      <c r="Q136" s="1459" t="s">
        <v>2172</v>
      </c>
      <c r="R136" s="1460">
        <v>0.47399999999999998</v>
      </c>
      <c r="S136" s="698"/>
      <c r="T136" s="698"/>
      <c r="U136" s="698"/>
      <c r="V136" s="698"/>
      <c r="W136" s="698"/>
    </row>
    <row r="137" spans="1:23" s="1394" customFormat="1" x14ac:dyDescent="0.35">
      <c r="B137" s="1435" t="s">
        <v>2349</v>
      </c>
      <c r="C137" s="1216">
        <v>0</v>
      </c>
      <c r="E137" s="1476"/>
      <c r="F137" s="1476"/>
      <c r="G137" s="1476"/>
      <c r="I137" s="1136" t="s">
        <v>2180</v>
      </c>
      <c r="J137" s="1483">
        <f t="array" ref="J137">SUMPRODUCT(E82:I82,TRANSPOSE($C$137:$C$141))</f>
        <v>1599.313725490196</v>
      </c>
      <c r="K137" s="1476"/>
      <c r="L137" s="1476"/>
      <c r="M137" s="1195"/>
      <c r="N137" s="2544" t="s">
        <v>2173</v>
      </c>
      <c r="O137" s="2545">
        <v>3036</v>
      </c>
      <c r="P137" s="698"/>
      <c r="Q137" s="1459" t="s">
        <v>2173</v>
      </c>
      <c r="R137" s="1460">
        <v>0.42799999999999999</v>
      </c>
      <c r="S137" s="698"/>
      <c r="T137" s="698"/>
      <c r="U137" s="698"/>
      <c r="V137" s="698"/>
      <c r="W137" s="698"/>
    </row>
    <row r="138" spans="1:23" s="1394" customFormat="1" x14ac:dyDescent="0.35">
      <c r="B138" s="1442" t="s">
        <v>2351</v>
      </c>
      <c r="C138" s="1217">
        <v>0.25490196078431371</v>
      </c>
      <c r="E138" s="1476"/>
      <c r="F138" s="1476"/>
      <c r="G138" s="1476"/>
      <c r="I138" s="1148" t="s">
        <v>2071</v>
      </c>
      <c r="J138" s="2742">
        <f t="array" ref="J138">SUMPRODUCT(E83:I83,TRANSPOSE($C$137:$C$141))</f>
        <v>1436.9019607843138</v>
      </c>
      <c r="K138" s="1476"/>
      <c r="L138" s="1476"/>
      <c r="M138" s="1195"/>
      <c r="N138" s="1459" t="s">
        <v>2174</v>
      </c>
      <c r="O138" s="1460">
        <v>2830</v>
      </c>
      <c r="P138" s="698"/>
      <c r="Q138" s="1459" t="s">
        <v>2174</v>
      </c>
      <c r="R138" s="1460">
        <v>0.433</v>
      </c>
      <c r="S138" s="698"/>
      <c r="T138" s="698"/>
      <c r="U138" s="698"/>
      <c r="V138" s="698"/>
      <c r="W138" s="698"/>
    </row>
    <row r="139" spans="1:23" s="1394" customFormat="1" x14ac:dyDescent="0.35">
      <c r="B139" s="1445" t="s">
        <v>2352</v>
      </c>
      <c r="C139" s="1219">
        <v>0.58823529411764708</v>
      </c>
      <c r="E139" s="1476"/>
      <c r="F139" s="1476"/>
      <c r="G139" s="1476"/>
      <c r="I139" s="2683" t="s">
        <v>3906</v>
      </c>
      <c r="J139" s="2743">
        <f t="array" ref="J139">SUMPRODUCT(E84:I84,TRANSPOSE($C$137:$C$141))</f>
        <v>2708.1176470588234</v>
      </c>
      <c r="K139" s="1476"/>
      <c r="L139" s="1476"/>
      <c r="M139" s="1195"/>
      <c r="N139" s="1459" t="s">
        <v>2175</v>
      </c>
      <c r="O139" s="1460">
        <v>3350</v>
      </c>
      <c r="P139" s="698"/>
      <c r="Q139" s="1459" t="s">
        <v>2175</v>
      </c>
      <c r="R139" s="1460">
        <v>0.48799999999999999</v>
      </c>
      <c r="S139" s="698"/>
      <c r="T139" s="698"/>
      <c r="U139" s="698"/>
      <c r="V139" s="698"/>
      <c r="W139" s="698"/>
    </row>
    <row r="140" spans="1:23" s="1394" customFormat="1" x14ac:dyDescent="0.35">
      <c r="B140" s="1442" t="s">
        <v>2353</v>
      </c>
      <c r="C140" s="1217">
        <v>0.15686274509803921</v>
      </c>
      <c r="I140" s="2680" t="s">
        <v>2157</v>
      </c>
      <c r="J140" s="2745">
        <f t="array" ref="J140">SUMPRODUCT(E85:I85,TRANSPOSE($C$137:$C$141))</f>
        <v>1174.0588235294117</v>
      </c>
      <c r="M140" s="1195"/>
      <c r="N140" s="1459" t="s">
        <v>2176</v>
      </c>
      <c r="O140" s="1460">
        <v>2528</v>
      </c>
      <c r="P140" s="698"/>
      <c r="Q140" s="1459" t="s">
        <v>2176</v>
      </c>
      <c r="R140" s="1460">
        <v>0.505</v>
      </c>
      <c r="S140" s="698"/>
      <c r="T140" s="698"/>
      <c r="U140" s="698"/>
      <c r="V140" s="698"/>
      <c r="W140" s="698"/>
    </row>
    <row r="141" spans="1:23" s="1394" customFormat="1" x14ac:dyDescent="0.35">
      <c r="B141" s="1486" t="s">
        <v>2354</v>
      </c>
      <c r="C141" s="1220">
        <v>0</v>
      </c>
      <c r="I141" s="1085" t="s">
        <v>2158</v>
      </c>
      <c r="J141" s="2744">
        <f t="array" ref="J141">SUMPRODUCT(E86:I86,TRANSPOSE($C$137:$C$141))</f>
        <v>1199.4509803921569</v>
      </c>
      <c r="M141" s="1195"/>
      <c r="N141" s="1459" t="s">
        <v>2177</v>
      </c>
      <c r="O141" s="1460">
        <v>2266</v>
      </c>
      <c r="P141" s="698"/>
      <c r="Q141" s="1459" t="s">
        <v>2177</v>
      </c>
      <c r="R141" s="1460">
        <v>0.52800000000000002</v>
      </c>
      <c r="S141" s="698"/>
      <c r="T141" s="698"/>
      <c r="U141" s="698"/>
      <c r="V141" s="698"/>
      <c r="W141" s="698"/>
    </row>
    <row r="142" spans="1:23" s="1394" customFormat="1" x14ac:dyDescent="0.35">
      <c r="B142" s="1437" t="s">
        <v>284</v>
      </c>
      <c r="C142" s="1221">
        <f>SUM(C137:C141)</f>
        <v>1</v>
      </c>
      <c r="D142" s="1487" t="str">
        <f>IF(C142&lt;&gt;1,"Participation must add up to 100%","")</f>
        <v/>
      </c>
      <c r="I142" s="2683" t="s">
        <v>3907</v>
      </c>
      <c r="J142" s="2743">
        <f t="array" ref="J142">SUMPRODUCT(E87:I87,TRANSPOSE($C$137:$C$141))</f>
        <v>2632.294117647059</v>
      </c>
      <c r="M142" s="1195"/>
      <c r="N142" s="1459" t="s">
        <v>2027</v>
      </c>
      <c r="O142" s="1460">
        <v>770</v>
      </c>
      <c r="P142" s="698"/>
      <c r="Q142" s="1459" t="s">
        <v>2027</v>
      </c>
      <c r="R142" s="1460">
        <v>0.22500000000000001</v>
      </c>
      <c r="S142" s="698"/>
      <c r="T142" s="698"/>
      <c r="U142" s="698"/>
      <c r="V142" s="698"/>
      <c r="W142" s="698"/>
    </row>
    <row r="143" spans="1:23" s="1394" customFormat="1" x14ac:dyDescent="0.35">
      <c r="I143" s="2680" t="s">
        <v>2028</v>
      </c>
      <c r="J143" s="2745">
        <f t="array" ref="J143">SUMPRODUCT(E88:I88,TRANSPOSE($C$137:$C$141))</f>
        <v>1427.0784313725492</v>
      </c>
      <c r="M143" s="1195"/>
      <c r="N143" s="1489" t="s">
        <v>536</v>
      </c>
      <c r="O143" s="1490">
        <v>2718</v>
      </c>
      <c r="P143" s="698"/>
      <c r="Q143" s="1489" t="s">
        <v>536</v>
      </c>
      <c r="R143" s="1490">
        <v>0.42399999999999999</v>
      </c>
      <c r="S143" s="698"/>
      <c r="T143" s="698"/>
      <c r="U143" s="698"/>
      <c r="V143" s="698"/>
      <c r="W143" s="698"/>
    </row>
    <row r="144" spans="1:23" s="1394" customFormat="1" ht="18.5" x14ac:dyDescent="0.45">
      <c r="B144" s="1488"/>
      <c r="I144" s="1085" t="s">
        <v>2109</v>
      </c>
      <c r="J144" s="1484">
        <f t="array" ref="J144">SUMPRODUCT(E89:I89,TRANSPOSE($C$137:$C$141))</f>
        <v>854.84313725490188</v>
      </c>
      <c r="M144" s="1195"/>
      <c r="N144" s="1492"/>
      <c r="O144" s="1492"/>
      <c r="P144" s="1492"/>
      <c r="Q144" s="1492"/>
      <c r="R144" s="1492"/>
      <c r="S144" s="698"/>
      <c r="T144" s="698"/>
      <c r="U144" s="698"/>
      <c r="V144" s="698"/>
      <c r="W144" s="698"/>
    </row>
    <row r="145" spans="1:28" s="1394" customFormat="1" ht="18.5" x14ac:dyDescent="0.45">
      <c r="B145" s="1491"/>
      <c r="C145" s="1491"/>
      <c r="I145" s="2680" t="s">
        <v>2026</v>
      </c>
      <c r="J145" s="2745">
        <f t="array" ref="J145">SUMPRODUCT(E90:I90,TRANSPOSE($C$137:$C$141))</f>
        <v>1412.1372549019609</v>
      </c>
      <c r="L145" s="1492"/>
      <c r="M145" s="1492"/>
      <c r="S145" s="698"/>
      <c r="T145" s="698"/>
      <c r="U145" s="698"/>
      <c r="V145" s="698"/>
      <c r="W145" s="698"/>
      <c r="X145" s="1492"/>
      <c r="Y145" s="1492"/>
      <c r="Z145" s="1492"/>
      <c r="AA145" s="1492"/>
      <c r="AB145" s="1492"/>
    </row>
    <row r="146" spans="1:28" s="1394" customFormat="1" ht="15" customHeight="1" x14ac:dyDescent="0.45">
      <c r="B146" s="1493"/>
      <c r="C146" s="1493"/>
      <c r="D146" s="3061" t="s">
        <v>2361</v>
      </c>
      <c r="E146" s="3062"/>
      <c r="F146" s="3062"/>
      <c r="G146" s="3063"/>
      <c r="I146" s="2680" t="s">
        <v>2075</v>
      </c>
      <c r="J146" s="2745">
        <f t="array" ref="J146">SUMPRODUCT(E91:I91,TRANSPOSE($C$137:$C$141))</f>
        <v>1486.705882352941</v>
      </c>
      <c r="K146" s="1494"/>
      <c r="L146" s="1495"/>
      <c r="M146" s="1496"/>
      <c r="N146" s="1495"/>
      <c r="O146" s="1495"/>
      <c r="P146" s="1496"/>
      <c r="S146" s="698"/>
    </row>
    <row r="147" spans="1:28" s="1394" customFormat="1" ht="43.5" x14ac:dyDescent="0.35">
      <c r="B147" s="1497" t="s">
        <v>2393</v>
      </c>
      <c r="C147" s="1412" t="s">
        <v>2278</v>
      </c>
      <c r="D147" s="1418" t="s">
        <v>72</v>
      </c>
      <c r="E147" s="1419" t="s">
        <v>2427</v>
      </c>
      <c r="F147" s="1419" t="s">
        <v>2428</v>
      </c>
      <c r="G147" s="1420" t="s">
        <v>2429</v>
      </c>
      <c r="I147" s="2680" t="s">
        <v>2029</v>
      </c>
      <c r="J147" s="2745">
        <f t="array" ref="J147">SUMPRODUCT(E92:I92,TRANSPOSE($C$137:$C$141))</f>
        <v>1692.4117647058822</v>
      </c>
      <c r="K147" s="1498"/>
      <c r="L147" s="1495"/>
      <c r="M147" s="1495"/>
      <c r="N147" s="1495"/>
      <c r="O147" s="1495"/>
      <c r="P147" s="1496"/>
    </row>
    <row r="148" spans="1:28" s="1394" customFormat="1" x14ac:dyDescent="0.35">
      <c r="B148" s="1435" t="s">
        <v>2180</v>
      </c>
      <c r="C148" s="1499" t="s">
        <v>2400</v>
      </c>
      <c r="D148" s="1332">
        <v>0</v>
      </c>
      <c r="E148" s="1500">
        <v>0.96</v>
      </c>
      <c r="F148" s="1229">
        <v>80</v>
      </c>
      <c r="G148" s="1501">
        <v>1</v>
      </c>
      <c r="I148" s="2680" t="s">
        <v>2159</v>
      </c>
      <c r="J148" s="2745">
        <f t="array" ref="J148">SUMPRODUCT(E93:I93,TRANSPOSE($C$137:$C$141))</f>
        <v>1098.5882352941176</v>
      </c>
    </row>
    <row r="149" spans="1:28" s="1394" customFormat="1" x14ac:dyDescent="0.35">
      <c r="B149" s="1442" t="s">
        <v>2071</v>
      </c>
      <c r="C149" s="1502" t="s">
        <v>2400</v>
      </c>
      <c r="D149" s="1335">
        <v>0</v>
      </c>
      <c r="E149" s="1503">
        <v>0.95400000000000007</v>
      </c>
      <c r="F149" s="1232">
        <v>102.22222222222223</v>
      </c>
      <c r="G149" s="1504">
        <v>0.77777777777777779</v>
      </c>
      <c r="I149" s="2680" t="s">
        <v>2160</v>
      </c>
      <c r="J149" s="2745">
        <f t="array" ref="J149">SUMPRODUCT(E94:I94,TRANSPOSE($C$137:$C$141))</f>
        <v>1284.5098039215686</v>
      </c>
    </row>
    <row r="150" spans="1:28" s="1394" customFormat="1" x14ac:dyDescent="0.35">
      <c r="B150" s="1445" t="s">
        <v>2157</v>
      </c>
      <c r="C150" s="1505" t="s">
        <v>2400</v>
      </c>
      <c r="D150" s="1338">
        <v>1</v>
      </c>
      <c r="E150" s="1506">
        <v>0</v>
      </c>
      <c r="F150" s="1235">
        <v>0</v>
      </c>
      <c r="G150" s="1507">
        <v>0</v>
      </c>
      <c r="I150" s="2680" t="s">
        <v>2161</v>
      </c>
      <c r="J150" s="2745">
        <f t="array" ref="J150">SUMPRODUCT(E95:I95,TRANSPOSE($C$137:$C$141))</f>
        <v>648.41176470588243</v>
      </c>
    </row>
    <row r="151" spans="1:28" s="1394" customFormat="1" x14ac:dyDescent="0.35">
      <c r="B151" s="1442" t="s">
        <v>2158</v>
      </c>
      <c r="C151" s="1502" t="s">
        <v>2400</v>
      </c>
      <c r="D151" s="1335">
        <v>0</v>
      </c>
      <c r="E151" s="1503">
        <v>0</v>
      </c>
      <c r="F151" s="1232">
        <v>0</v>
      </c>
      <c r="G151" s="1504">
        <v>0</v>
      </c>
      <c r="I151" s="2680" t="s">
        <v>2162</v>
      </c>
      <c r="J151" s="2745">
        <f t="array" ref="J151">SUMPRODUCT(E96:I96,TRANSPOSE($C$137:$C$141))</f>
        <v>1400.0588235294117</v>
      </c>
    </row>
    <row r="152" spans="1:28" s="1394" customFormat="1" x14ac:dyDescent="0.35">
      <c r="B152" s="1445" t="s">
        <v>2028</v>
      </c>
      <c r="C152" s="1508" t="s">
        <v>2400</v>
      </c>
      <c r="D152" s="1509">
        <v>3</v>
      </c>
      <c r="E152" s="1510">
        <v>0</v>
      </c>
      <c r="F152" s="1511">
        <v>0</v>
      </c>
      <c r="G152" s="1512">
        <v>0</v>
      </c>
      <c r="I152" s="2680" t="s">
        <v>2325</v>
      </c>
      <c r="J152" s="2745">
        <f t="array" ref="J152">SUMPRODUCT(E97:I97,TRANSPOSE($C$137:$C$141))</f>
        <v>1495.8823529411764</v>
      </c>
    </row>
    <row r="153" spans="1:28" s="1394" customFormat="1" x14ac:dyDescent="0.35">
      <c r="B153" s="1442" t="s">
        <v>2109</v>
      </c>
      <c r="C153" s="1502" t="s">
        <v>2400</v>
      </c>
      <c r="D153" s="1335">
        <v>0</v>
      </c>
      <c r="E153" s="1503">
        <v>0.95400000000000007</v>
      </c>
      <c r="F153" s="1232">
        <v>102.22222222222223</v>
      </c>
      <c r="G153" s="1504">
        <v>0.77777777777777779</v>
      </c>
      <c r="I153" s="2680" t="s">
        <v>2073</v>
      </c>
      <c r="J153" s="2745">
        <f t="array" ref="J153">SUMPRODUCT(E98:I98,TRANSPOSE($C$137:$C$141))</f>
        <v>1587.5882352941178</v>
      </c>
    </row>
    <row r="154" spans="1:28" s="1394" customFormat="1" x14ac:dyDescent="0.35">
      <c r="B154" s="1445" t="s">
        <v>2026</v>
      </c>
      <c r="C154" s="1508" t="s">
        <v>2400</v>
      </c>
      <c r="D154" s="1509">
        <v>0</v>
      </c>
      <c r="E154" s="1510">
        <v>0</v>
      </c>
      <c r="F154" s="1511">
        <v>0</v>
      </c>
      <c r="G154" s="1512">
        <v>0</v>
      </c>
      <c r="I154" s="2680" t="s">
        <v>2166</v>
      </c>
      <c r="J154" s="2745">
        <f t="array" ref="J154">SUMPRODUCT(E99:I99,TRANSPOSE($C$137:$C$141))</f>
        <v>1456.4509803921569</v>
      </c>
    </row>
    <row r="155" spans="1:28" s="1394" customFormat="1" x14ac:dyDescent="0.35">
      <c r="B155" s="1442" t="s">
        <v>2075</v>
      </c>
      <c r="C155" s="1502" t="s">
        <v>2400</v>
      </c>
      <c r="D155" s="1335">
        <v>0</v>
      </c>
      <c r="E155" s="1503">
        <v>0.97499999999999998</v>
      </c>
      <c r="F155" s="1232">
        <v>74.5</v>
      </c>
      <c r="G155" s="1504">
        <v>0.5</v>
      </c>
      <c r="I155" s="884" t="s">
        <v>2163</v>
      </c>
      <c r="J155" s="1485">
        <f t="array" ref="J155">SUMPRODUCT(E100:I100,TRANSPOSE($C$137:$C$141))</f>
        <v>899.50980392156862</v>
      </c>
    </row>
    <row r="156" spans="1:28" s="1394" customFormat="1" x14ac:dyDescent="0.35">
      <c r="B156" s="1445" t="s">
        <v>2029</v>
      </c>
      <c r="C156" s="1508" t="s">
        <v>2400</v>
      </c>
      <c r="D156" s="1509">
        <v>3</v>
      </c>
      <c r="E156" s="1510">
        <v>0</v>
      </c>
      <c r="F156" s="1511">
        <v>0</v>
      </c>
      <c r="G156" s="1512">
        <v>0</v>
      </c>
      <c r="I156" s="2683" t="s">
        <v>2181</v>
      </c>
      <c r="J156" s="2745">
        <f t="array" ref="J156">SUMPRODUCT(E101:I101,TRANSPOSE($C$137:$C$141))</f>
        <v>1415.1372549019607</v>
      </c>
    </row>
    <row r="157" spans="1:28" s="1394" customFormat="1" x14ac:dyDescent="0.35">
      <c r="B157" s="1442" t="s">
        <v>2356</v>
      </c>
      <c r="C157" s="1502" t="s">
        <v>2400</v>
      </c>
      <c r="D157" s="1335">
        <v>1</v>
      </c>
      <c r="E157" s="1503">
        <v>0</v>
      </c>
      <c r="F157" s="1232">
        <v>0</v>
      </c>
      <c r="G157" s="1504">
        <v>0</v>
      </c>
      <c r="I157" s="2683" t="s">
        <v>2164</v>
      </c>
      <c r="J157" s="2745">
        <f t="array" ref="J157">SUMPRODUCT(E102:I102,TRANSPOSE($C$137:$C$141))</f>
        <v>512.23529411764696</v>
      </c>
    </row>
    <row r="158" spans="1:28" s="1394" customFormat="1" x14ac:dyDescent="0.35">
      <c r="B158" s="1445" t="s">
        <v>2357</v>
      </c>
      <c r="C158" s="1508" t="s">
        <v>2400</v>
      </c>
      <c r="D158" s="1509">
        <v>1</v>
      </c>
      <c r="E158" s="1510">
        <v>0</v>
      </c>
      <c r="F158" s="1511">
        <v>0</v>
      </c>
      <c r="G158" s="1512">
        <v>0</v>
      </c>
      <c r="I158" s="2683" t="s">
        <v>2336</v>
      </c>
      <c r="J158" s="2745">
        <f t="array" ref="J158">SUMPRODUCT(E103:I103,TRANSPOSE($C$137:$C$141))</f>
        <v>1493.6862745098038</v>
      </c>
    </row>
    <row r="159" spans="1:28" s="1394" customFormat="1" x14ac:dyDescent="0.35">
      <c r="A159" s="1562"/>
      <c r="B159" s="1442" t="s">
        <v>2358</v>
      </c>
      <c r="C159" s="1502" t="s">
        <v>2400</v>
      </c>
      <c r="D159" s="1335">
        <v>1</v>
      </c>
      <c r="E159" s="1503">
        <v>0</v>
      </c>
      <c r="F159" s="1232">
        <v>0</v>
      </c>
      <c r="G159" s="1504">
        <v>0</v>
      </c>
      <c r="I159" s="2683" t="s">
        <v>2165</v>
      </c>
      <c r="J159" s="2745">
        <f t="array" ref="J159">SUMPRODUCT(E104:I104,TRANSPOSE($C$137:$C$141))</f>
        <v>1630.1960784313726</v>
      </c>
    </row>
    <row r="160" spans="1:28" s="1394" customFormat="1" x14ac:dyDescent="0.35">
      <c r="B160" s="1445" t="s">
        <v>2162</v>
      </c>
      <c r="C160" s="1508" t="s">
        <v>2400</v>
      </c>
      <c r="D160" s="1509">
        <v>1</v>
      </c>
      <c r="E160" s="1510">
        <v>0</v>
      </c>
      <c r="F160" s="1511">
        <v>0</v>
      </c>
      <c r="G160" s="1512">
        <v>0</v>
      </c>
      <c r="I160" s="1085" t="s">
        <v>2167</v>
      </c>
      <c r="J160" s="1485">
        <f t="array" ref="J160">SUMPRODUCT(E105:I105,TRANSPOSE($C$137:$C$141))</f>
        <v>1698.2156862745098</v>
      </c>
    </row>
    <row r="161" spans="1:10" s="1394" customFormat="1" x14ac:dyDescent="0.35">
      <c r="A161" s="1600"/>
      <c r="B161" s="1442" t="s">
        <v>2325</v>
      </c>
      <c r="C161" s="1502" t="s">
        <v>2400</v>
      </c>
      <c r="D161" s="1335">
        <v>0</v>
      </c>
      <c r="E161" s="1503">
        <v>0</v>
      </c>
      <c r="F161" s="1232">
        <v>0</v>
      </c>
      <c r="G161" s="1504">
        <v>0</v>
      </c>
      <c r="I161" s="2683" t="s">
        <v>2168</v>
      </c>
      <c r="J161" s="2745">
        <f t="array" ref="J161">SUMPRODUCT(E106:I106,TRANSPOSE($C$137:$C$141))</f>
        <v>936.1960784313726</v>
      </c>
    </row>
    <row r="162" spans="1:10" s="1394" customFormat="1" x14ac:dyDescent="0.35">
      <c r="A162" s="1600"/>
      <c r="B162" s="1445" t="s">
        <v>2073</v>
      </c>
      <c r="C162" s="1508" t="s">
        <v>2400</v>
      </c>
      <c r="D162" s="1509">
        <v>0</v>
      </c>
      <c r="E162" s="1510">
        <v>0</v>
      </c>
      <c r="F162" s="1511">
        <v>0</v>
      </c>
      <c r="G162" s="1512">
        <v>0</v>
      </c>
      <c r="I162" s="2683" t="s">
        <v>2169</v>
      </c>
      <c r="J162" s="2745">
        <f t="array" ref="J162">SUMPRODUCT(E107:I107,TRANSPOSE($C$137:$C$141))</f>
        <v>2004.4117647058824</v>
      </c>
    </row>
    <row r="163" spans="1:10" s="1394" customFormat="1" x14ac:dyDescent="0.35">
      <c r="B163" s="1442" t="s">
        <v>2166</v>
      </c>
      <c r="C163" s="1502" t="s">
        <v>2400</v>
      </c>
      <c r="D163" s="1335">
        <v>0</v>
      </c>
      <c r="E163" s="1503">
        <v>0</v>
      </c>
      <c r="F163" s="1232">
        <v>0</v>
      </c>
      <c r="G163" s="1504">
        <v>0</v>
      </c>
      <c r="I163" s="2683" t="s">
        <v>2170</v>
      </c>
      <c r="J163" s="2745">
        <f t="array" ref="J163">SUMPRODUCT(E108:I108,TRANSPOSE($C$137:$C$141))</f>
        <v>1262.7843137254904</v>
      </c>
    </row>
    <row r="164" spans="1:10" s="1394" customFormat="1" x14ac:dyDescent="0.35">
      <c r="B164" s="1445" t="s">
        <v>2163</v>
      </c>
      <c r="C164" s="1508" t="s">
        <v>2400</v>
      </c>
      <c r="D164" s="1509">
        <v>0</v>
      </c>
      <c r="E164" s="1510">
        <v>0.95</v>
      </c>
      <c r="F164" s="1511">
        <v>105.5</v>
      </c>
      <c r="G164" s="1512">
        <v>1</v>
      </c>
      <c r="I164" s="2683" t="s">
        <v>2171</v>
      </c>
      <c r="J164" s="2745">
        <f t="array" ref="J164">SUMPRODUCT(E109:I109,TRANSPOSE($C$137:$C$141))</f>
        <v>903.1960784313726</v>
      </c>
    </row>
    <row r="165" spans="1:10" s="1394" customFormat="1" x14ac:dyDescent="0.35">
      <c r="B165" s="1442" t="s">
        <v>2181</v>
      </c>
      <c r="C165" s="1502" t="s">
        <v>2400</v>
      </c>
      <c r="D165" s="1335">
        <v>0</v>
      </c>
      <c r="E165" s="1503">
        <v>0</v>
      </c>
      <c r="F165" s="1232">
        <v>0</v>
      </c>
      <c r="G165" s="1504">
        <v>0</v>
      </c>
      <c r="I165" s="2683" t="s">
        <v>2172</v>
      </c>
      <c r="J165" s="2745">
        <f t="array" ref="J165">SUMPRODUCT(E110:I110,TRANSPOSE($C$137:$C$141))</f>
        <v>2375.1176470588239</v>
      </c>
    </row>
    <row r="166" spans="1:10" s="1394" customFormat="1" x14ac:dyDescent="0.35">
      <c r="B166" s="1445" t="s">
        <v>2164</v>
      </c>
      <c r="C166" s="1508" t="s">
        <v>2400</v>
      </c>
      <c r="D166" s="1509">
        <v>0</v>
      </c>
      <c r="E166" s="1510">
        <v>0</v>
      </c>
      <c r="F166" s="1511">
        <v>0</v>
      </c>
      <c r="G166" s="1512">
        <v>0</v>
      </c>
      <c r="I166" s="2683" t="s">
        <v>2173</v>
      </c>
      <c r="J166" s="2745">
        <f t="array" ref="J166">SUMPRODUCT(E111:I111,TRANSPOSE($C$137:$C$141))</f>
        <v>1483.2352941176471</v>
      </c>
    </row>
    <row r="167" spans="1:10" s="1394" customFormat="1" x14ac:dyDescent="0.35">
      <c r="B167" s="1442" t="s">
        <v>2336</v>
      </c>
      <c r="C167" s="1502" t="s">
        <v>2400</v>
      </c>
      <c r="D167" s="1335">
        <v>0</v>
      </c>
      <c r="E167" s="1503">
        <v>0</v>
      </c>
      <c r="F167" s="1232">
        <v>0</v>
      </c>
      <c r="G167" s="1504">
        <v>0</v>
      </c>
      <c r="I167" s="2683" t="s">
        <v>3908</v>
      </c>
      <c r="J167" s="2743">
        <f t="array" ref="J167">SUMPRODUCT(E112:I112,TRANSPOSE($C$137:$C$141))</f>
        <v>2419.4509803921565</v>
      </c>
    </row>
    <row r="168" spans="1:10" s="1394" customFormat="1" x14ac:dyDescent="0.35">
      <c r="B168" s="1445" t="s">
        <v>2165</v>
      </c>
      <c r="C168" s="1508" t="s">
        <v>2400</v>
      </c>
      <c r="D168" s="1509">
        <v>1</v>
      </c>
      <c r="E168" s="1510">
        <v>0</v>
      </c>
      <c r="F168" s="1511">
        <v>0</v>
      </c>
      <c r="G168" s="1512">
        <v>0</v>
      </c>
      <c r="I168" s="884" t="s">
        <v>2174</v>
      </c>
      <c r="J168" s="1484">
        <f t="array" ref="J168">SUMPRODUCT(E113:I113,TRANSPOSE($C$137:$C$141))</f>
        <v>1395.7647058823529</v>
      </c>
    </row>
    <row r="169" spans="1:10" s="1394" customFormat="1" x14ac:dyDescent="0.35">
      <c r="B169" s="1442" t="s">
        <v>2167</v>
      </c>
      <c r="C169" s="1502" t="s">
        <v>2400</v>
      </c>
      <c r="D169" s="1335">
        <v>0</v>
      </c>
      <c r="E169" s="1503">
        <v>0.95400000000000007</v>
      </c>
      <c r="F169" s="1232">
        <v>102.22222222222223</v>
      </c>
      <c r="G169" s="1504">
        <v>0.77777777777777779</v>
      </c>
      <c r="I169" s="2683" t="s">
        <v>2175</v>
      </c>
      <c r="J169" s="2745">
        <f t="array" ref="J169">SUMPRODUCT(E114:I114,TRANSPOSE($C$137:$C$141))</f>
        <v>1203.1764705882351</v>
      </c>
    </row>
    <row r="170" spans="1:10" s="1394" customFormat="1" x14ac:dyDescent="0.35">
      <c r="B170" s="1445" t="s">
        <v>2168</v>
      </c>
      <c r="C170" s="1508" t="s">
        <v>2400</v>
      </c>
      <c r="D170" s="1509">
        <v>0</v>
      </c>
      <c r="E170" s="1510">
        <v>0</v>
      </c>
      <c r="F170" s="1511">
        <v>0</v>
      </c>
      <c r="G170" s="1512">
        <v>0</v>
      </c>
      <c r="I170" s="2683" t="s">
        <v>2176</v>
      </c>
      <c r="J170" s="2745">
        <f t="array" ref="J170">SUMPRODUCT(E115:I115,TRANSPOSE($C$137:$C$141))</f>
        <v>1200.9411764705883</v>
      </c>
    </row>
    <row r="171" spans="1:10" s="1394" customFormat="1" x14ac:dyDescent="0.35">
      <c r="B171" s="1442" t="s">
        <v>2169</v>
      </c>
      <c r="C171" s="1502" t="s">
        <v>2400</v>
      </c>
      <c r="D171" s="1335">
        <v>0</v>
      </c>
      <c r="E171" s="1503">
        <v>0</v>
      </c>
      <c r="F171" s="1232">
        <v>0</v>
      </c>
      <c r="G171" s="1504">
        <v>0</v>
      </c>
      <c r="I171" s="2683" t="s">
        <v>2177</v>
      </c>
      <c r="J171" s="2745">
        <f t="array" ref="J171">SUMPRODUCT(E116:I116,TRANSPOSE($C$137:$C$141))</f>
        <v>1200.5294117647059</v>
      </c>
    </row>
    <row r="172" spans="1:10" s="1394" customFormat="1" x14ac:dyDescent="0.35">
      <c r="B172" s="1445" t="s">
        <v>2170</v>
      </c>
      <c r="C172" s="1508" t="s">
        <v>2400</v>
      </c>
      <c r="D172" s="1509">
        <v>0</v>
      </c>
      <c r="E172" s="1510">
        <v>0</v>
      </c>
      <c r="F172" s="1511">
        <v>0</v>
      </c>
      <c r="G172" s="1512">
        <v>0</v>
      </c>
      <c r="I172" s="2683" t="s">
        <v>2027</v>
      </c>
      <c r="J172" s="2745">
        <f t="array" ref="J172">SUMPRODUCT(E117:I117,TRANSPOSE($C$137:$C$141))</f>
        <v>1201.8431372549019</v>
      </c>
    </row>
    <row r="173" spans="1:10" s="1394" customFormat="1" x14ac:dyDescent="0.35">
      <c r="B173" s="1442" t="s">
        <v>2171</v>
      </c>
      <c r="C173" s="1502" t="s">
        <v>2400</v>
      </c>
      <c r="D173" s="1335">
        <v>0</v>
      </c>
      <c r="E173" s="1503">
        <v>0</v>
      </c>
      <c r="F173" s="1232">
        <v>0</v>
      </c>
      <c r="G173" s="1504">
        <v>0</v>
      </c>
      <c r="I173" s="2683" t="s">
        <v>536</v>
      </c>
      <c r="J173" s="2745">
        <f t="array" ref="J173">SUMPRODUCT(E118:I118,TRANSPOSE($C$137:$C$141))</f>
        <v>1516.6666666666665</v>
      </c>
    </row>
    <row r="174" spans="1:10" s="1394" customFormat="1" x14ac:dyDescent="0.35">
      <c r="B174" s="1445" t="s">
        <v>2172</v>
      </c>
      <c r="C174" s="1508" t="s">
        <v>2400</v>
      </c>
      <c r="D174" s="1509">
        <v>200</v>
      </c>
      <c r="E174" s="1510">
        <v>0.95594429999999997</v>
      </c>
      <c r="F174" s="1511">
        <v>93</v>
      </c>
      <c r="G174" s="1512">
        <v>1</v>
      </c>
    </row>
    <row r="175" spans="1:10" s="1394" customFormat="1" x14ac:dyDescent="0.35">
      <c r="B175" s="1442" t="s">
        <v>2173</v>
      </c>
      <c r="C175" s="1502" t="s">
        <v>2400</v>
      </c>
      <c r="D175" s="1335">
        <v>250</v>
      </c>
      <c r="E175" s="1503">
        <v>0.96</v>
      </c>
      <c r="F175" s="1232">
        <v>88</v>
      </c>
      <c r="G175" s="1504">
        <v>1</v>
      </c>
    </row>
    <row r="176" spans="1:10" s="1394" customFormat="1" x14ac:dyDescent="0.35">
      <c r="B176" s="1445" t="s">
        <v>2174</v>
      </c>
      <c r="C176" s="1508" t="s">
        <v>2400</v>
      </c>
      <c r="D176" s="1509">
        <v>0</v>
      </c>
      <c r="E176" s="1510">
        <v>0.96</v>
      </c>
      <c r="F176" s="1511">
        <v>98</v>
      </c>
      <c r="G176" s="1512">
        <v>0.95</v>
      </c>
    </row>
    <row r="177" spans="2:7" s="1394" customFormat="1" x14ac:dyDescent="0.35">
      <c r="B177" s="1442" t="s">
        <v>2175</v>
      </c>
      <c r="C177" s="1502" t="s">
        <v>2400</v>
      </c>
      <c r="D177" s="1335">
        <v>0</v>
      </c>
      <c r="E177" s="1503">
        <v>0.96</v>
      </c>
      <c r="F177" s="1232">
        <v>120</v>
      </c>
      <c r="G177" s="1504">
        <v>1</v>
      </c>
    </row>
    <row r="178" spans="2:7" s="1394" customFormat="1" x14ac:dyDescent="0.35">
      <c r="B178" s="1445" t="s">
        <v>2176</v>
      </c>
      <c r="C178" s="1508" t="s">
        <v>2400</v>
      </c>
      <c r="D178" s="1509">
        <v>0</v>
      </c>
      <c r="E178" s="1510">
        <v>0.95499999999999996</v>
      </c>
      <c r="F178" s="1511">
        <v>110</v>
      </c>
      <c r="G178" s="1512">
        <v>0.9</v>
      </c>
    </row>
    <row r="179" spans="2:7" s="1394" customFormat="1" x14ac:dyDescent="0.35">
      <c r="B179" s="1442" t="s">
        <v>2177</v>
      </c>
      <c r="C179" s="1502" t="s">
        <v>2400</v>
      </c>
      <c r="D179" s="1335">
        <v>0</v>
      </c>
      <c r="E179" s="1503">
        <v>0.96</v>
      </c>
      <c r="F179" s="1232">
        <v>92.5</v>
      </c>
      <c r="G179" s="1504">
        <v>0.9</v>
      </c>
    </row>
    <row r="180" spans="2:7" s="1394" customFormat="1" x14ac:dyDescent="0.35">
      <c r="B180" s="1445" t="s">
        <v>2027</v>
      </c>
      <c r="C180" s="1508" t="s">
        <v>2400</v>
      </c>
      <c r="D180" s="1509">
        <v>1</v>
      </c>
      <c r="E180" s="1510">
        <v>0.95499999999999996</v>
      </c>
      <c r="F180" s="1511">
        <v>80</v>
      </c>
      <c r="G180" s="1512">
        <v>0</v>
      </c>
    </row>
    <row r="181" spans="2:7" s="1394" customFormat="1" x14ac:dyDescent="0.35">
      <c r="B181" s="1442" t="s">
        <v>536</v>
      </c>
      <c r="C181" s="1502" t="s">
        <v>2400</v>
      </c>
      <c r="D181" s="1335">
        <v>250</v>
      </c>
      <c r="E181" s="1503">
        <v>0.96</v>
      </c>
      <c r="F181" s="1232">
        <v>96</v>
      </c>
      <c r="G181" s="1504">
        <v>0.9</v>
      </c>
    </row>
    <row r="182" spans="2:7" s="1394" customFormat="1" x14ac:dyDescent="0.35">
      <c r="B182" s="1435" t="s">
        <v>2180</v>
      </c>
      <c r="C182" s="1499" t="s">
        <v>2401</v>
      </c>
      <c r="D182" s="1332">
        <v>0</v>
      </c>
      <c r="E182" s="1333">
        <v>0</v>
      </c>
      <c r="F182" s="1333">
        <v>0</v>
      </c>
      <c r="G182" s="1501">
        <v>0</v>
      </c>
    </row>
    <row r="183" spans="2:7" s="1394" customFormat="1" x14ac:dyDescent="0.35">
      <c r="B183" s="1442" t="s">
        <v>2071</v>
      </c>
      <c r="C183" s="1502" t="s">
        <v>2401</v>
      </c>
      <c r="D183" s="1335">
        <v>0</v>
      </c>
      <c r="E183" s="1336">
        <v>0</v>
      </c>
      <c r="F183" s="1336">
        <v>0</v>
      </c>
      <c r="G183" s="1504">
        <v>0</v>
      </c>
    </row>
    <row r="184" spans="2:7" s="1394" customFormat="1" x14ac:dyDescent="0.35">
      <c r="B184" s="1445" t="s">
        <v>2157</v>
      </c>
      <c r="C184" s="1505" t="s">
        <v>2401</v>
      </c>
      <c r="D184" s="1338">
        <v>0</v>
      </c>
      <c r="E184" s="1339">
        <v>0</v>
      </c>
      <c r="F184" s="1339">
        <v>0</v>
      </c>
      <c r="G184" s="1507">
        <v>0</v>
      </c>
    </row>
    <row r="185" spans="2:7" s="1394" customFormat="1" x14ac:dyDescent="0.35">
      <c r="B185" s="1442" t="s">
        <v>2158</v>
      </c>
      <c r="C185" s="1502" t="s">
        <v>2401</v>
      </c>
      <c r="D185" s="1335">
        <v>0</v>
      </c>
      <c r="E185" s="1336">
        <v>0</v>
      </c>
      <c r="F185" s="1336">
        <v>0</v>
      </c>
      <c r="G185" s="1504">
        <v>0</v>
      </c>
    </row>
    <row r="186" spans="2:7" s="1394" customFormat="1" x14ac:dyDescent="0.35">
      <c r="B186" s="1445" t="s">
        <v>2028</v>
      </c>
      <c r="C186" s="1505" t="s">
        <v>2401</v>
      </c>
      <c r="D186" s="1338">
        <v>0</v>
      </c>
      <c r="E186" s="1339">
        <v>0</v>
      </c>
      <c r="F186" s="1339">
        <v>0</v>
      </c>
      <c r="G186" s="1507">
        <v>0</v>
      </c>
    </row>
    <row r="187" spans="2:7" s="1394" customFormat="1" x14ac:dyDescent="0.35">
      <c r="B187" s="1442" t="s">
        <v>2109</v>
      </c>
      <c r="C187" s="1502" t="s">
        <v>2401</v>
      </c>
      <c r="D187" s="1335">
        <v>0</v>
      </c>
      <c r="E187" s="1336">
        <v>0</v>
      </c>
      <c r="F187" s="1336">
        <v>0</v>
      </c>
      <c r="G187" s="1504">
        <v>0</v>
      </c>
    </row>
    <row r="188" spans="2:7" s="1394" customFormat="1" x14ac:dyDescent="0.35">
      <c r="B188" s="1445" t="s">
        <v>2026</v>
      </c>
      <c r="C188" s="1505" t="s">
        <v>2401</v>
      </c>
      <c r="D188" s="1338">
        <v>0</v>
      </c>
      <c r="E188" s="1339">
        <v>0</v>
      </c>
      <c r="F188" s="1339">
        <v>0</v>
      </c>
      <c r="G188" s="1507">
        <v>0</v>
      </c>
    </row>
    <row r="189" spans="2:7" s="1394" customFormat="1" x14ac:dyDescent="0.35">
      <c r="B189" s="1442" t="s">
        <v>2075</v>
      </c>
      <c r="C189" s="1502" t="s">
        <v>2401</v>
      </c>
      <c r="D189" s="1335">
        <v>0</v>
      </c>
      <c r="E189" s="1336">
        <v>0</v>
      </c>
      <c r="F189" s="1336">
        <v>0</v>
      </c>
      <c r="G189" s="1504">
        <v>0</v>
      </c>
    </row>
    <row r="190" spans="2:7" s="1394" customFormat="1" x14ac:dyDescent="0.35">
      <c r="B190" s="1445" t="s">
        <v>2029</v>
      </c>
      <c r="C190" s="1505" t="s">
        <v>2401</v>
      </c>
      <c r="D190" s="1338">
        <v>0</v>
      </c>
      <c r="E190" s="1339">
        <v>0</v>
      </c>
      <c r="F190" s="1339">
        <v>0</v>
      </c>
      <c r="G190" s="1507">
        <v>0</v>
      </c>
    </row>
    <row r="191" spans="2:7" s="1394" customFormat="1" x14ac:dyDescent="0.35">
      <c r="B191" s="1442" t="s">
        <v>2356</v>
      </c>
      <c r="C191" s="1502" t="s">
        <v>2401</v>
      </c>
      <c r="D191" s="1335">
        <v>0</v>
      </c>
      <c r="E191" s="1336">
        <v>0</v>
      </c>
      <c r="F191" s="1336">
        <v>0</v>
      </c>
      <c r="G191" s="1504">
        <v>0</v>
      </c>
    </row>
    <row r="192" spans="2:7" s="1394" customFormat="1" x14ac:dyDescent="0.35">
      <c r="B192" s="1445" t="s">
        <v>2357</v>
      </c>
      <c r="C192" s="1505" t="s">
        <v>2401</v>
      </c>
      <c r="D192" s="1338">
        <v>0</v>
      </c>
      <c r="E192" s="1339">
        <v>0</v>
      </c>
      <c r="F192" s="1339">
        <v>0</v>
      </c>
      <c r="G192" s="1507">
        <v>0</v>
      </c>
    </row>
    <row r="193" spans="2:7" s="1394" customFormat="1" x14ac:dyDescent="0.35">
      <c r="B193" s="1442" t="s">
        <v>2358</v>
      </c>
      <c r="C193" s="1502" t="s">
        <v>2401</v>
      </c>
      <c r="D193" s="1335">
        <v>0</v>
      </c>
      <c r="E193" s="1336">
        <v>0</v>
      </c>
      <c r="F193" s="1336">
        <v>0</v>
      </c>
      <c r="G193" s="1504">
        <v>0</v>
      </c>
    </row>
    <row r="194" spans="2:7" s="1394" customFormat="1" x14ac:dyDescent="0.35">
      <c r="B194" s="1445" t="s">
        <v>2162</v>
      </c>
      <c r="C194" s="1505" t="s">
        <v>2401</v>
      </c>
      <c r="D194" s="1338">
        <v>0</v>
      </c>
      <c r="E194" s="1339">
        <v>0</v>
      </c>
      <c r="F194" s="1339">
        <v>0</v>
      </c>
      <c r="G194" s="1507">
        <v>0</v>
      </c>
    </row>
    <row r="195" spans="2:7" s="1394" customFormat="1" x14ac:dyDescent="0.35">
      <c r="B195" s="1442" t="s">
        <v>2325</v>
      </c>
      <c r="C195" s="1502" t="s">
        <v>2401</v>
      </c>
      <c r="D195" s="1335">
        <v>0</v>
      </c>
      <c r="E195" s="1336">
        <v>0</v>
      </c>
      <c r="F195" s="1336">
        <v>0</v>
      </c>
      <c r="G195" s="1504">
        <v>0</v>
      </c>
    </row>
    <row r="196" spans="2:7" s="1394" customFormat="1" x14ac:dyDescent="0.35">
      <c r="B196" s="1445" t="s">
        <v>2073</v>
      </c>
      <c r="C196" s="1505" t="s">
        <v>2401</v>
      </c>
      <c r="D196" s="1338">
        <v>0</v>
      </c>
      <c r="E196" s="1339">
        <v>0</v>
      </c>
      <c r="F196" s="1339">
        <v>0</v>
      </c>
      <c r="G196" s="1507">
        <v>0</v>
      </c>
    </row>
    <row r="197" spans="2:7" s="1394" customFormat="1" x14ac:dyDescent="0.35">
      <c r="B197" s="1442" t="s">
        <v>2166</v>
      </c>
      <c r="C197" s="1502" t="s">
        <v>2401</v>
      </c>
      <c r="D197" s="1335">
        <v>0</v>
      </c>
      <c r="E197" s="1336">
        <v>0</v>
      </c>
      <c r="F197" s="1336">
        <v>0</v>
      </c>
      <c r="G197" s="1504">
        <v>0</v>
      </c>
    </row>
    <row r="198" spans="2:7" s="1394" customFormat="1" x14ac:dyDescent="0.35">
      <c r="B198" s="1445" t="s">
        <v>2163</v>
      </c>
      <c r="C198" s="1505" t="s">
        <v>2401</v>
      </c>
      <c r="D198" s="1338">
        <v>0</v>
      </c>
      <c r="E198" s="1339">
        <v>0</v>
      </c>
      <c r="F198" s="1339">
        <v>0</v>
      </c>
      <c r="G198" s="1507">
        <v>0</v>
      </c>
    </row>
    <row r="199" spans="2:7" s="1394" customFormat="1" x14ac:dyDescent="0.35">
      <c r="B199" s="1442" t="s">
        <v>2181</v>
      </c>
      <c r="C199" s="1502" t="s">
        <v>2401</v>
      </c>
      <c r="D199" s="1335">
        <v>0</v>
      </c>
      <c r="E199" s="1336">
        <v>0</v>
      </c>
      <c r="F199" s="1336">
        <v>0</v>
      </c>
      <c r="G199" s="1504">
        <v>0</v>
      </c>
    </row>
    <row r="200" spans="2:7" s="1394" customFormat="1" x14ac:dyDescent="0.35">
      <c r="B200" s="1445" t="s">
        <v>2164</v>
      </c>
      <c r="C200" s="1505" t="s">
        <v>2401</v>
      </c>
      <c r="D200" s="1338">
        <v>0</v>
      </c>
      <c r="E200" s="1339">
        <v>0</v>
      </c>
      <c r="F200" s="1339">
        <v>0</v>
      </c>
      <c r="G200" s="1507">
        <v>0</v>
      </c>
    </row>
    <row r="201" spans="2:7" s="1394" customFormat="1" x14ac:dyDescent="0.35">
      <c r="B201" s="1442" t="s">
        <v>2336</v>
      </c>
      <c r="C201" s="1502" t="s">
        <v>2401</v>
      </c>
      <c r="D201" s="1335">
        <v>0</v>
      </c>
      <c r="E201" s="1336">
        <v>0</v>
      </c>
      <c r="F201" s="1336">
        <v>0</v>
      </c>
      <c r="G201" s="1504">
        <v>0</v>
      </c>
    </row>
    <row r="202" spans="2:7" s="1394" customFormat="1" x14ac:dyDescent="0.35">
      <c r="B202" s="1445" t="s">
        <v>2165</v>
      </c>
      <c r="C202" s="1505" t="s">
        <v>2401</v>
      </c>
      <c r="D202" s="1338">
        <v>0</v>
      </c>
      <c r="E202" s="1339">
        <v>0</v>
      </c>
      <c r="F202" s="1339">
        <v>0</v>
      </c>
      <c r="G202" s="1507">
        <v>0</v>
      </c>
    </row>
    <row r="203" spans="2:7" s="1394" customFormat="1" x14ac:dyDescent="0.35">
      <c r="B203" s="1442" t="s">
        <v>2167</v>
      </c>
      <c r="C203" s="1502" t="s">
        <v>2401</v>
      </c>
      <c r="D203" s="1335">
        <v>0</v>
      </c>
      <c r="E203" s="1336">
        <v>0</v>
      </c>
      <c r="F203" s="1336">
        <v>0</v>
      </c>
      <c r="G203" s="1504">
        <v>0</v>
      </c>
    </row>
    <row r="204" spans="2:7" s="1394" customFormat="1" x14ac:dyDescent="0.35">
      <c r="B204" s="1445" t="s">
        <v>2168</v>
      </c>
      <c r="C204" s="1505" t="s">
        <v>2401</v>
      </c>
      <c r="D204" s="1338">
        <v>0</v>
      </c>
      <c r="E204" s="1339">
        <v>0</v>
      </c>
      <c r="F204" s="1339">
        <v>0</v>
      </c>
      <c r="G204" s="1507">
        <v>0</v>
      </c>
    </row>
    <row r="205" spans="2:7" s="1394" customFormat="1" x14ac:dyDescent="0.35">
      <c r="B205" s="1442" t="s">
        <v>2169</v>
      </c>
      <c r="C205" s="1502" t="s">
        <v>2401</v>
      </c>
      <c r="D205" s="1335">
        <v>0</v>
      </c>
      <c r="E205" s="1336">
        <v>0</v>
      </c>
      <c r="F205" s="1336">
        <v>0</v>
      </c>
      <c r="G205" s="1504">
        <v>0</v>
      </c>
    </row>
    <row r="206" spans="2:7" s="1394" customFormat="1" x14ac:dyDescent="0.35">
      <c r="B206" s="1445" t="s">
        <v>2170</v>
      </c>
      <c r="C206" s="1505" t="s">
        <v>2401</v>
      </c>
      <c r="D206" s="1338">
        <v>0</v>
      </c>
      <c r="E206" s="1339">
        <v>0</v>
      </c>
      <c r="F206" s="1339">
        <v>0</v>
      </c>
      <c r="G206" s="1507">
        <v>0</v>
      </c>
    </row>
    <row r="207" spans="2:7" s="1394" customFormat="1" x14ac:dyDescent="0.35">
      <c r="B207" s="1442" t="s">
        <v>2171</v>
      </c>
      <c r="C207" s="1502" t="s">
        <v>2401</v>
      </c>
      <c r="D207" s="1335">
        <v>0</v>
      </c>
      <c r="E207" s="1336">
        <v>0</v>
      </c>
      <c r="F207" s="1336">
        <v>0</v>
      </c>
      <c r="G207" s="1504">
        <v>0</v>
      </c>
    </row>
    <row r="208" spans="2:7" s="1394" customFormat="1" x14ac:dyDescent="0.35">
      <c r="B208" s="1445" t="s">
        <v>2172</v>
      </c>
      <c r="C208" s="1505" t="s">
        <v>2401</v>
      </c>
      <c r="D208" s="1338">
        <v>0</v>
      </c>
      <c r="E208" s="1339">
        <v>0</v>
      </c>
      <c r="F208" s="1339">
        <v>0</v>
      </c>
      <c r="G208" s="1507">
        <v>0</v>
      </c>
    </row>
    <row r="209" spans="1:18" s="1394" customFormat="1" x14ac:dyDescent="0.35">
      <c r="B209" s="1442" t="s">
        <v>2173</v>
      </c>
      <c r="C209" s="1502" t="s">
        <v>2401</v>
      </c>
      <c r="D209" s="1335">
        <v>0</v>
      </c>
      <c r="E209" s="1336">
        <v>0</v>
      </c>
      <c r="F209" s="1336">
        <v>0</v>
      </c>
      <c r="G209" s="1504">
        <v>0</v>
      </c>
    </row>
    <row r="210" spans="1:18" s="1394" customFormat="1" x14ac:dyDescent="0.35">
      <c r="B210" s="1445" t="s">
        <v>2174</v>
      </c>
      <c r="C210" s="1505" t="s">
        <v>2401</v>
      </c>
      <c r="D210" s="1338">
        <v>0</v>
      </c>
      <c r="E210" s="1339">
        <v>0</v>
      </c>
      <c r="F210" s="1339">
        <v>0</v>
      </c>
      <c r="G210" s="1507">
        <v>0</v>
      </c>
    </row>
    <row r="211" spans="1:18" s="1394" customFormat="1" x14ac:dyDescent="0.35">
      <c r="B211" s="1442" t="s">
        <v>2175</v>
      </c>
      <c r="C211" s="1502" t="s">
        <v>2401</v>
      </c>
      <c r="D211" s="1335">
        <v>0</v>
      </c>
      <c r="E211" s="1336">
        <v>0</v>
      </c>
      <c r="F211" s="1336">
        <v>0</v>
      </c>
      <c r="G211" s="1504">
        <v>0</v>
      </c>
    </row>
    <row r="212" spans="1:18" s="1394" customFormat="1" x14ac:dyDescent="0.35">
      <c r="B212" s="1445" t="s">
        <v>2176</v>
      </c>
      <c r="C212" s="1505" t="s">
        <v>2401</v>
      </c>
      <c r="D212" s="1338">
        <v>0</v>
      </c>
      <c r="E212" s="1339">
        <v>0</v>
      </c>
      <c r="F212" s="1339">
        <v>0</v>
      </c>
      <c r="G212" s="1507">
        <v>0</v>
      </c>
    </row>
    <row r="213" spans="1:18" s="1394" customFormat="1" x14ac:dyDescent="0.35">
      <c r="B213" s="1442" t="s">
        <v>2177</v>
      </c>
      <c r="C213" s="1502" t="s">
        <v>2401</v>
      </c>
      <c r="D213" s="1335">
        <v>0</v>
      </c>
      <c r="E213" s="1336">
        <v>0</v>
      </c>
      <c r="F213" s="1336">
        <v>0</v>
      </c>
      <c r="G213" s="1504">
        <v>0</v>
      </c>
    </row>
    <row r="214" spans="1:18" s="1394" customFormat="1" x14ac:dyDescent="0.35">
      <c r="B214" s="1445" t="s">
        <v>2027</v>
      </c>
      <c r="C214" s="1505" t="s">
        <v>2401</v>
      </c>
      <c r="D214" s="1338">
        <v>0</v>
      </c>
      <c r="E214" s="1339">
        <v>0</v>
      </c>
      <c r="F214" s="1339">
        <v>0</v>
      </c>
      <c r="G214" s="1507">
        <v>0</v>
      </c>
    </row>
    <row r="215" spans="1:18" s="1394" customFormat="1" x14ac:dyDescent="0.35">
      <c r="B215" s="1442" t="s">
        <v>536</v>
      </c>
      <c r="C215" s="1502" t="s">
        <v>2401</v>
      </c>
      <c r="D215" s="1335">
        <v>0</v>
      </c>
      <c r="E215" s="1336">
        <v>0</v>
      </c>
      <c r="F215" s="1336">
        <v>0</v>
      </c>
      <c r="G215" s="1504">
        <v>0</v>
      </c>
    </row>
    <row r="216" spans="1:18" s="1394" customFormat="1" x14ac:dyDescent="0.35"/>
    <row r="217" spans="1:18" s="1394" customFormat="1" x14ac:dyDescent="0.35"/>
    <row r="218" spans="1:18" s="1394" customFormat="1" ht="21" x14ac:dyDescent="0.5">
      <c r="A218" s="1395" t="s">
        <v>2036</v>
      </c>
    </row>
    <row r="219" spans="1:18" s="1394" customFormat="1" x14ac:dyDescent="0.35"/>
    <row r="220" spans="1:18" s="1394" customFormat="1" ht="26" x14ac:dyDescent="0.45">
      <c r="B220" s="3064"/>
      <c r="C220" s="3065"/>
      <c r="D220" s="3066" t="s">
        <v>2038</v>
      </c>
      <c r="E220" s="3067"/>
      <c r="F220" s="3067"/>
      <c r="G220" s="3068"/>
      <c r="H220" s="3066" t="s">
        <v>2039</v>
      </c>
      <c r="I220" s="3067"/>
      <c r="J220" s="3067"/>
      <c r="K220" s="3068"/>
      <c r="L220" s="3055" t="s">
        <v>2040</v>
      </c>
      <c r="M220" s="3056"/>
      <c r="N220" s="3056"/>
      <c r="O220" s="3057"/>
      <c r="P220" s="1492"/>
      <c r="Q220" s="1492"/>
      <c r="R220" s="1492"/>
    </row>
    <row r="221" spans="1:18" s="1394" customFormat="1" ht="43.5" x14ac:dyDescent="0.45">
      <c r="B221" s="1433" t="s">
        <v>2393</v>
      </c>
      <c r="C221" s="1412" t="s">
        <v>2278</v>
      </c>
      <c r="D221" s="1513" t="s">
        <v>1947</v>
      </c>
      <c r="E221" s="1514" t="s">
        <v>2430</v>
      </c>
      <c r="F221" s="1514" t="s">
        <v>2431</v>
      </c>
      <c r="G221" s="1515" t="s">
        <v>2432</v>
      </c>
      <c r="H221" s="1516" t="s">
        <v>2433</v>
      </c>
      <c r="I221" s="1517" t="s">
        <v>2369</v>
      </c>
      <c r="J221" s="1518" t="s">
        <v>2434</v>
      </c>
      <c r="K221" s="1515" t="s">
        <v>1368</v>
      </c>
      <c r="L221" s="1519" t="s">
        <v>2370</v>
      </c>
      <c r="M221" s="1419" t="s">
        <v>2435</v>
      </c>
      <c r="N221" s="1520" t="s">
        <v>2436</v>
      </c>
      <c r="O221" s="1420" t="s">
        <v>2371</v>
      </c>
      <c r="P221" s="1492"/>
      <c r="Q221" s="1521" t="s">
        <v>2437</v>
      </c>
      <c r="R221" s="1522" t="s">
        <v>1960</v>
      </c>
    </row>
    <row r="222" spans="1:18" s="1394" customFormat="1" ht="18.5" x14ac:dyDescent="0.45">
      <c r="B222" s="1435" t="s">
        <v>2180</v>
      </c>
      <c r="C222" s="1499" t="s">
        <v>2400</v>
      </c>
      <c r="D222" s="1266">
        <f t="shared" ref="D222:G237" si="1">D148</f>
        <v>0</v>
      </c>
      <c r="E222" s="1523">
        <f t="shared" si="1"/>
        <v>0.96</v>
      </c>
      <c r="F222" s="1524">
        <f t="shared" si="1"/>
        <v>80</v>
      </c>
      <c r="G222" s="1353">
        <f t="shared" si="1"/>
        <v>1</v>
      </c>
      <c r="H222" s="1354">
        <f t="shared" ref="H222:H255" si="2">$C$77</f>
        <v>0.64400000000000002</v>
      </c>
      <c r="I222" s="1525">
        <f t="shared" ref="I222:I223" si="3">J137</f>
        <v>1599.313725490196</v>
      </c>
      <c r="J222" s="1526">
        <f>C82</f>
        <v>2150</v>
      </c>
      <c r="K222" s="1527">
        <f>D82</f>
        <v>0.48299999999999998</v>
      </c>
      <c r="L222" s="1528">
        <f>IFERROR(D222*I222*F222*1000*(E222-H222)/H222/100000,0)</f>
        <v>0</v>
      </c>
      <c r="M222" s="1529">
        <f>D222*(G222*721+(1-G222)*644)</f>
        <v>0</v>
      </c>
      <c r="N222" s="1530">
        <f>IFERROR(M222/J222*K222,0)</f>
        <v>0</v>
      </c>
      <c r="O222" s="1356">
        <f>D222*$C$130</f>
        <v>0</v>
      </c>
      <c r="P222" s="1492"/>
      <c r="Q222" s="1531">
        <f>IFERROR(VLOOKUP(E222,B$122:E$124,4,TRUE),0)</f>
        <v>1825.8433753364816</v>
      </c>
      <c r="R222" s="1532">
        <f>Q222*D222</f>
        <v>0</v>
      </c>
    </row>
    <row r="223" spans="1:18" s="1394" customFormat="1" ht="18.5" x14ac:dyDescent="0.45">
      <c r="B223" s="1442" t="s">
        <v>2071</v>
      </c>
      <c r="C223" s="1502" t="s">
        <v>2400</v>
      </c>
      <c r="D223" s="1293">
        <f t="shared" si="1"/>
        <v>0</v>
      </c>
      <c r="E223" s="1533">
        <f t="shared" si="1"/>
        <v>0.95400000000000007</v>
      </c>
      <c r="F223" s="1534">
        <f t="shared" si="1"/>
        <v>102.22222222222223</v>
      </c>
      <c r="G223" s="1381">
        <f t="shared" si="1"/>
        <v>0.77777777777777779</v>
      </c>
      <c r="H223" s="1382">
        <f t="shared" si="2"/>
        <v>0.64400000000000002</v>
      </c>
      <c r="I223" s="1535">
        <f t="shared" si="3"/>
        <v>1436.9019607843138</v>
      </c>
      <c r="J223" s="1536">
        <f>C83</f>
        <v>4373</v>
      </c>
      <c r="K223" s="1537">
        <f>D83</f>
        <v>0.52900000000000003</v>
      </c>
      <c r="L223" s="1383">
        <f t="shared" ref="L223:L255" si="4">IFERROR(D223*I223*F223*1000*(E223-H223)/H223/100000,0)</f>
        <v>0</v>
      </c>
      <c r="M223" s="1538">
        <f t="shared" ref="M223:M255" si="5">D223*(G223*721+(1-G223)*644)</f>
        <v>0</v>
      </c>
      <c r="N223" s="1539">
        <f t="shared" ref="N223:N255" si="6">IFERROR(M223/J223*K223,0)</f>
        <v>0</v>
      </c>
      <c r="O223" s="1364">
        <f t="shared" ref="O223:O255" si="7">D223*$C$130</f>
        <v>0</v>
      </c>
      <c r="P223" s="1492"/>
      <c r="Q223" s="1365">
        <f>IFERROR(VLOOKUP(E223,B$122:E$124,4,TRUE),0)</f>
        <v>1589.8433753364816</v>
      </c>
      <c r="R223" s="1540">
        <f>Q223*D223</f>
        <v>0</v>
      </c>
    </row>
    <row r="224" spans="1:18" s="1394" customFormat="1" ht="18.5" x14ac:dyDescent="0.45">
      <c r="B224" s="1445" t="s">
        <v>2157</v>
      </c>
      <c r="C224" s="1505" t="s">
        <v>2400</v>
      </c>
      <c r="D224" s="1287">
        <f t="shared" si="1"/>
        <v>1</v>
      </c>
      <c r="E224" s="1541">
        <f t="shared" si="1"/>
        <v>0</v>
      </c>
      <c r="F224" s="1542">
        <f t="shared" si="1"/>
        <v>0</v>
      </c>
      <c r="G224" s="1375">
        <f t="shared" si="1"/>
        <v>0</v>
      </c>
      <c r="H224" s="1376">
        <f t="shared" si="2"/>
        <v>0.64400000000000002</v>
      </c>
      <c r="I224" s="1543">
        <f>J140</f>
        <v>1174.0588235294117</v>
      </c>
      <c r="J224" s="1544">
        <f>C85</f>
        <v>1605</v>
      </c>
      <c r="K224" s="1545">
        <f>D85</f>
        <v>0.14199999999999999</v>
      </c>
      <c r="L224" s="1377">
        <f t="shared" si="4"/>
        <v>0</v>
      </c>
      <c r="M224" s="1546">
        <f t="shared" si="5"/>
        <v>644</v>
      </c>
      <c r="N224" s="1547">
        <f t="shared" si="6"/>
        <v>5.6976947040498438E-2</v>
      </c>
      <c r="O224" s="1378">
        <f t="shared" si="7"/>
        <v>1600</v>
      </c>
      <c r="P224" s="1492"/>
      <c r="Q224" s="1357">
        <f>IFERROR(VLOOKUP(E224,B$122:E$124,4,TRUE),0)</f>
        <v>0</v>
      </c>
      <c r="R224" s="1548">
        <f t="shared" ref="R224:R287" si="8">Q224*D224</f>
        <v>0</v>
      </c>
    </row>
    <row r="225" spans="2:18" s="1394" customFormat="1" ht="18.5" x14ac:dyDescent="0.45">
      <c r="B225" s="1442" t="s">
        <v>2158</v>
      </c>
      <c r="C225" s="1502" t="s">
        <v>2400</v>
      </c>
      <c r="D225" s="1293">
        <f t="shared" si="1"/>
        <v>0</v>
      </c>
      <c r="E225" s="1533">
        <f t="shared" si="1"/>
        <v>0</v>
      </c>
      <c r="F225" s="1534">
        <f t="shared" si="1"/>
        <v>0</v>
      </c>
      <c r="G225" s="1381">
        <f t="shared" si="1"/>
        <v>0</v>
      </c>
      <c r="H225" s="1382">
        <f t="shared" si="2"/>
        <v>0.64400000000000002</v>
      </c>
      <c r="I225" s="1535">
        <f>J141</f>
        <v>1199.4509803921569</v>
      </c>
      <c r="J225" s="1536">
        <f>C86</f>
        <v>2084</v>
      </c>
      <c r="K225" s="1537">
        <f>D86</f>
        <v>0.57099999999999995</v>
      </c>
      <c r="L225" s="1383">
        <f t="shared" si="4"/>
        <v>0</v>
      </c>
      <c r="M225" s="1538">
        <f t="shared" si="5"/>
        <v>0</v>
      </c>
      <c r="N225" s="1539">
        <f t="shared" si="6"/>
        <v>0</v>
      </c>
      <c r="O225" s="1364">
        <f t="shared" si="7"/>
        <v>0</v>
      </c>
      <c r="P225" s="1492"/>
      <c r="Q225" s="1365">
        <f t="shared" ref="Q225:Q288" si="9">IFERROR(VLOOKUP(E225,B$122:E$124,4,TRUE),0)</f>
        <v>0</v>
      </c>
      <c r="R225" s="1540">
        <f t="shared" si="8"/>
        <v>0</v>
      </c>
    </row>
    <row r="226" spans="2:18" s="1394" customFormat="1" ht="18.5" x14ac:dyDescent="0.45">
      <c r="B226" s="1445" t="s">
        <v>2028</v>
      </c>
      <c r="C226" s="1505" t="s">
        <v>2400</v>
      </c>
      <c r="D226" s="1287">
        <f t="shared" si="1"/>
        <v>3</v>
      </c>
      <c r="E226" s="1541">
        <f t="shared" si="1"/>
        <v>0</v>
      </c>
      <c r="F226" s="1542">
        <f t="shared" si="1"/>
        <v>0</v>
      </c>
      <c r="G226" s="1375">
        <f t="shared" si="1"/>
        <v>0</v>
      </c>
      <c r="H226" s="1376">
        <f t="shared" si="2"/>
        <v>0.64400000000000002</v>
      </c>
      <c r="I226" s="1543">
        <f t="shared" ref="I226:I249" si="10">J143</f>
        <v>1427.0784313725492</v>
      </c>
      <c r="J226" s="1544">
        <f t="shared" ref="J226:J249" si="11">C88</f>
        <v>3276</v>
      </c>
      <c r="K226" s="1545">
        <f t="shared" ref="K226:K249" si="12">D88</f>
        <v>0.33300000000000002</v>
      </c>
      <c r="L226" s="1377">
        <f t="shared" si="4"/>
        <v>0</v>
      </c>
      <c r="M226" s="1546">
        <f t="shared" si="5"/>
        <v>1932</v>
      </c>
      <c r="N226" s="1547">
        <f t="shared" si="6"/>
        <v>0.19638461538461541</v>
      </c>
      <c r="O226" s="1378">
        <f t="shared" si="7"/>
        <v>4800</v>
      </c>
      <c r="P226" s="1492"/>
      <c r="Q226" s="1357">
        <f t="shared" si="9"/>
        <v>0</v>
      </c>
      <c r="R226" s="1548">
        <f t="shared" si="8"/>
        <v>0</v>
      </c>
    </row>
    <row r="227" spans="2:18" s="1394" customFormat="1" ht="18.5" x14ac:dyDescent="0.45">
      <c r="B227" s="1442" t="s">
        <v>2109</v>
      </c>
      <c r="C227" s="1502" t="s">
        <v>2400</v>
      </c>
      <c r="D227" s="1293">
        <f t="shared" si="1"/>
        <v>0</v>
      </c>
      <c r="E227" s="1533">
        <f t="shared" si="1"/>
        <v>0.95400000000000007</v>
      </c>
      <c r="F227" s="1534">
        <f t="shared" si="1"/>
        <v>102.22222222222223</v>
      </c>
      <c r="G227" s="1381">
        <f t="shared" si="1"/>
        <v>0.77777777777777779</v>
      </c>
      <c r="H227" s="1382">
        <f t="shared" si="2"/>
        <v>0.64400000000000002</v>
      </c>
      <c r="I227" s="1535">
        <f t="shared" si="10"/>
        <v>854.84313725490188</v>
      </c>
      <c r="J227" s="1536">
        <f t="shared" si="11"/>
        <v>2102</v>
      </c>
      <c r="K227" s="1537">
        <f t="shared" si="12"/>
        <v>0.61899999999999999</v>
      </c>
      <c r="L227" s="1383">
        <f t="shared" si="4"/>
        <v>0</v>
      </c>
      <c r="M227" s="1538">
        <f t="shared" si="5"/>
        <v>0</v>
      </c>
      <c r="N227" s="1539">
        <f t="shared" si="6"/>
        <v>0</v>
      </c>
      <c r="O227" s="1364">
        <f t="shared" si="7"/>
        <v>0</v>
      </c>
      <c r="P227" s="1492"/>
      <c r="Q227" s="1365">
        <f t="shared" si="9"/>
        <v>1589.8433753364816</v>
      </c>
      <c r="R227" s="1540">
        <f t="shared" si="8"/>
        <v>0</v>
      </c>
    </row>
    <row r="228" spans="2:18" s="1394" customFormat="1" ht="18.5" x14ac:dyDescent="0.45">
      <c r="B228" s="1445" t="s">
        <v>2026</v>
      </c>
      <c r="C228" s="1505" t="s">
        <v>2400</v>
      </c>
      <c r="D228" s="1287">
        <f t="shared" si="1"/>
        <v>0</v>
      </c>
      <c r="E228" s="1541">
        <f t="shared" si="1"/>
        <v>0</v>
      </c>
      <c r="F228" s="1542">
        <f t="shared" si="1"/>
        <v>0</v>
      </c>
      <c r="G228" s="1375">
        <f t="shared" si="1"/>
        <v>0</v>
      </c>
      <c r="H228" s="1376">
        <f t="shared" si="2"/>
        <v>0.64400000000000002</v>
      </c>
      <c r="I228" s="1543">
        <f t="shared" si="10"/>
        <v>1412.1372549019609</v>
      </c>
      <c r="J228" s="1544">
        <f t="shared" si="11"/>
        <v>2096</v>
      </c>
      <c r="K228" s="1545">
        <f t="shared" si="12"/>
        <v>0.47499999999999998</v>
      </c>
      <c r="L228" s="1377">
        <f t="shared" si="4"/>
        <v>0</v>
      </c>
      <c r="M228" s="1546">
        <f t="shared" si="5"/>
        <v>0</v>
      </c>
      <c r="N228" s="1547">
        <f t="shared" si="6"/>
        <v>0</v>
      </c>
      <c r="O228" s="1378">
        <f t="shared" si="7"/>
        <v>0</v>
      </c>
      <c r="P228" s="1492"/>
      <c r="Q228" s="1357">
        <f t="shared" si="9"/>
        <v>0</v>
      </c>
      <c r="R228" s="1548">
        <f t="shared" si="8"/>
        <v>0</v>
      </c>
    </row>
    <row r="229" spans="2:18" s="1394" customFormat="1" ht="18.5" x14ac:dyDescent="0.45">
      <c r="B229" s="1442" t="s">
        <v>2075</v>
      </c>
      <c r="C229" s="1502" t="s">
        <v>2400</v>
      </c>
      <c r="D229" s="1293">
        <f t="shared" si="1"/>
        <v>0</v>
      </c>
      <c r="E229" s="1533">
        <f t="shared" si="1"/>
        <v>0.97499999999999998</v>
      </c>
      <c r="F229" s="1534">
        <f t="shared" si="1"/>
        <v>74.5</v>
      </c>
      <c r="G229" s="1381">
        <f t="shared" si="1"/>
        <v>0.5</v>
      </c>
      <c r="H229" s="1382">
        <f t="shared" si="2"/>
        <v>0.64400000000000002</v>
      </c>
      <c r="I229" s="1535">
        <f t="shared" si="10"/>
        <v>1486.705882352941</v>
      </c>
      <c r="J229" s="1536">
        <f t="shared" si="11"/>
        <v>1987</v>
      </c>
      <c r="K229" s="1537">
        <f t="shared" si="12"/>
        <v>0.61899999999999999</v>
      </c>
      <c r="L229" s="1383">
        <f t="shared" si="4"/>
        <v>0</v>
      </c>
      <c r="M229" s="1538">
        <f t="shared" si="5"/>
        <v>0</v>
      </c>
      <c r="N229" s="1539">
        <f t="shared" si="6"/>
        <v>0</v>
      </c>
      <c r="O229" s="1364">
        <f t="shared" si="7"/>
        <v>0</v>
      </c>
      <c r="P229" s="1492"/>
      <c r="Q229" s="1365">
        <f t="shared" si="9"/>
        <v>1825.8433753364816</v>
      </c>
      <c r="R229" s="1540">
        <f t="shared" si="8"/>
        <v>0</v>
      </c>
    </row>
    <row r="230" spans="2:18" s="1394" customFormat="1" ht="18.5" x14ac:dyDescent="0.45">
      <c r="B230" s="1445" t="s">
        <v>2029</v>
      </c>
      <c r="C230" s="1505" t="s">
        <v>2400</v>
      </c>
      <c r="D230" s="1287">
        <f t="shared" si="1"/>
        <v>3</v>
      </c>
      <c r="E230" s="1541">
        <f t="shared" si="1"/>
        <v>0</v>
      </c>
      <c r="F230" s="1542">
        <f t="shared" si="1"/>
        <v>0</v>
      </c>
      <c r="G230" s="1375">
        <f t="shared" si="1"/>
        <v>0</v>
      </c>
      <c r="H230" s="1376">
        <f t="shared" si="2"/>
        <v>0.64400000000000002</v>
      </c>
      <c r="I230" s="1543">
        <f t="shared" si="10"/>
        <v>1692.4117647058822</v>
      </c>
      <c r="J230" s="1544">
        <f t="shared" si="11"/>
        <v>3141</v>
      </c>
      <c r="K230" s="1545">
        <f t="shared" si="12"/>
        <v>0.28799999999999998</v>
      </c>
      <c r="L230" s="1377">
        <f t="shared" si="4"/>
        <v>0</v>
      </c>
      <c r="M230" s="1546">
        <f t="shared" si="5"/>
        <v>1932</v>
      </c>
      <c r="N230" s="1547">
        <f t="shared" si="6"/>
        <v>0.17714613180515756</v>
      </c>
      <c r="O230" s="1378">
        <f t="shared" si="7"/>
        <v>4800</v>
      </c>
      <c r="P230" s="1492"/>
      <c r="Q230" s="1357">
        <f t="shared" si="9"/>
        <v>0</v>
      </c>
      <c r="R230" s="1548">
        <f t="shared" si="8"/>
        <v>0</v>
      </c>
    </row>
    <row r="231" spans="2:18" s="1394" customFormat="1" ht="18.5" x14ac:dyDescent="0.45">
      <c r="B231" s="1442" t="s">
        <v>2356</v>
      </c>
      <c r="C231" s="1502" t="s">
        <v>2400</v>
      </c>
      <c r="D231" s="1293">
        <f t="shared" si="1"/>
        <v>1</v>
      </c>
      <c r="E231" s="1533">
        <f t="shared" si="1"/>
        <v>0</v>
      </c>
      <c r="F231" s="1534">
        <f t="shared" si="1"/>
        <v>0</v>
      </c>
      <c r="G231" s="1381">
        <f t="shared" si="1"/>
        <v>0</v>
      </c>
      <c r="H231" s="1382">
        <f t="shared" si="2"/>
        <v>0.64400000000000002</v>
      </c>
      <c r="I231" s="1535">
        <f t="shared" si="10"/>
        <v>1098.5882352941176</v>
      </c>
      <c r="J231" s="1536">
        <f t="shared" si="11"/>
        <v>8760</v>
      </c>
      <c r="K231" s="1537">
        <f t="shared" si="12"/>
        <v>0.64800000000000002</v>
      </c>
      <c r="L231" s="1383">
        <f t="shared" si="4"/>
        <v>0</v>
      </c>
      <c r="M231" s="1538">
        <f t="shared" si="5"/>
        <v>644</v>
      </c>
      <c r="N231" s="1539">
        <f t="shared" si="6"/>
        <v>4.7638356164383562E-2</v>
      </c>
      <c r="O231" s="1364">
        <f t="shared" si="7"/>
        <v>1600</v>
      </c>
      <c r="P231" s="1492"/>
      <c r="Q231" s="1365">
        <f t="shared" si="9"/>
        <v>0</v>
      </c>
      <c r="R231" s="1540">
        <f t="shared" si="8"/>
        <v>0</v>
      </c>
    </row>
    <row r="232" spans="2:18" s="1394" customFormat="1" ht="18.5" x14ac:dyDescent="0.45">
      <c r="B232" s="1445" t="s">
        <v>2357</v>
      </c>
      <c r="C232" s="1505" t="s">
        <v>2400</v>
      </c>
      <c r="D232" s="1287">
        <f t="shared" si="1"/>
        <v>1</v>
      </c>
      <c r="E232" s="1541">
        <f t="shared" si="1"/>
        <v>0</v>
      </c>
      <c r="F232" s="1542">
        <f t="shared" si="1"/>
        <v>0</v>
      </c>
      <c r="G232" s="1375">
        <f t="shared" si="1"/>
        <v>0</v>
      </c>
      <c r="H232" s="1376">
        <f t="shared" si="2"/>
        <v>0.64400000000000002</v>
      </c>
      <c r="I232" s="1543">
        <f t="shared" si="10"/>
        <v>1284.5098039215686</v>
      </c>
      <c r="J232" s="1544">
        <f t="shared" si="11"/>
        <v>2881</v>
      </c>
      <c r="K232" s="1545">
        <f t="shared" si="12"/>
        <v>0.61499999999999999</v>
      </c>
      <c r="L232" s="1377">
        <f t="shared" si="4"/>
        <v>0</v>
      </c>
      <c r="M232" s="1546">
        <f t="shared" si="5"/>
        <v>644</v>
      </c>
      <c r="N232" s="1547">
        <f t="shared" si="6"/>
        <v>0.13747309961818813</v>
      </c>
      <c r="O232" s="1378">
        <f t="shared" si="7"/>
        <v>1600</v>
      </c>
      <c r="P232" s="1492"/>
      <c r="Q232" s="1357">
        <f t="shared" si="9"/>
        <v>0</v>
      </c>
      <c r="R232" s="1548">
        <f t="shared" si="8"/>
        <v>0</v>
      </c>
    </row>
    <row r="233" spans="2:18" s="1394" customFormat="1" ht="18.5" x14ac:dyDescent="0.45">
      <c r="B233" s="1442" t="s">
        <v>2358</v>
      </c>
      <c r="C233" s="1502" t="s">
        <v>2400</v>
      </c>
      <c r="D233" s="1293">
        <f t="shared" si="1"/>
        <v>1</v>
      </c>
      <c r="E233" s="1533">
        <f t="shared" si="1"/>
        <v>0</v>
      </c>
      <c r="F233" s="1534">
        <f t="shared" si="1"/>
        <v>0</v>
      </c>
      <c r="G233" s="1381">
        <f t="shared" si="1"/>
        <v>0</v>
      </c>
      <c r="H233" s="1382">
        <f t="shared" si="2"/>
        <v>0.64400000000000002</v>
      </c>
      <c r="I233" s="1535">
        <f t="shared" si="10"/>
        <v>648.41176470588243</v>
      </c>
      <c r="J233" s="1536">
        <f t="shared" si="11"/>
        <v>2788</v>
      </c>
      <c r="K233" s="1537">
        <f t="shared" si="12"/>
        <v>0.57599999999999996</v>
      </c>
      <c r="L233" s="1383">
        <f t="shared" si="4"/>
        <v>0</v>
      </c>
      <c r="M233" s="1538">
        <f t="shared" si="5"/>
        <v>644</v>
      </c>
      <c r="N233" s="1539">
        <f t="shared" si="6"/>
        <v>0.13305021520803442</v>
      </c>
      <c r="O233" s="1364">
        <f t="shared" si="7"/>
        <v>1600</v>
      </c>
      <c r="P233" s="1492"/>
      <c r="Q233" s="1365">
        <f t="shared" si="9"/>
        <v>0</v>
      </c>
      <c r="R233" s="1540">
        <f t="shared" si="8"/>
        <v>0</v>
      </c>
    </row>
    <row r="234" spans="2:18" s="1394" customFormat="1" ht="18.5" x14ac:dyDescent="0.45">
      <c r="B234" s="1445" t="s">
        <v>2162</v>
      </c>
      <c r="C234" s="1505" t="s">
        <v>2400</v>
      </c>
      <c r="D234" s="1287">
        <f t="shared" si="1"/>
        <v>1</v>
      </c>
      <c r="E234" s="1541">
        <f t="shared" si="1"/>
        <v>0</v>
      </c>
      <c r="F234" s="1542">
        <f t="shared" si="1"/>
        <v>0</v>
      </c>
      <c r="G234" s="1375">
        <f t="shared" si="1"/>
        <v>0</v>
      </c>
      <c r="H234" s="1376">
        <f t="shared" si="2"/>
        <v>0.64400000000000002</v>
      </c>
      <c r="I234" s="1543">
        <f t="shared" si="10"/>
        <v>1400.0588235294117</v>
      </c>
      <c r="J234" s="1544">
        <f t="shared" si="11"/>
        <v>8729</v>
      </c>
      <c r="K234" s="1545">
        <f t="shared" si="12"/>
        <v>0.60899999999999999</v>
      </c>
      <c r="L234" s="1377">
        <f t="shared" si="4"/>
        <v>0</v>
      </c>
      <c r="M234" s="1546">
        <f t="shared" si="5"/>
        <v>644</v>
      </c>
      <c r="N234" s="1547">
        <f t="shared" si="6"/>
        <v>4.4930232558139535E-2</v>
      </c>
      <c r="O234" s="1378">
        <f t="shared" si="7"/>
        <v>1600</v>
      </c>
      <c r="P234" s="1492"/>
      <c r="Q234" s="1357">
        <f t="shared" si="9"/>
        <v>0</v>
      </c>
      <c r="R234" s="1548">
        <f t="shared" si="8"/>
        <v>0</v>
      </c>
    </row>
    <row r="235" spans="2:18" s="1394" customFormat="1" ht="18.5" x14ac:dyDescent="0.45">
      <c r="B235" s="1442" t="s">
        <v>2325</v>
      </c>
      <c r="C235" s="1502" t="s">
        <v>2400</v>
      </c>
      <c r="D235" s="1293">
        <f t="shared" si="1"/>
        <v>0</v>
      </c>
      <c r="E235" s="1533">
        <f t="shared" si="1"/>
        <v>0</v>
      </c>
      <c r="F235" s="1534">
        <f t="shared" si="1"/>
        <v>0</v>
      </c>
      <c r="G235" s="1381">
        <f t="shared" si="1"/>
        <v>0</v>
      </c>
      <c r="H235" s="1382">
        <f t="shared" si="2"/>
        <v>0.64400000000000002</v>
      </c>
      <c r="I235" s="1535">
        <f t="shared" si="10"/>
        <v>1495.8823529411764</v>
      </c>
      <c r="J235" s="1536">
        <f t="shared" si="11"/>
        <v>8712</v>
      </c>
      <c r="K235" s="1537">
        <f t="shared" si="12"/>
        <v>0.629</v>
      </c>
      <c r="L235" s="1383">
        <f t="shared" si="4"/>
        <v>0</v>
      </c>
      <c r="M235" s="1538">
        <f t="shared" si="5"/>
        <v>0</v>
      </c>
      <c r="N235" s="1539">
        <f t="shared" si="6"/>
        <v>0</v>
      </c>
      <c r="O235" s="1364">
        <f t="shared" si="7"/>
        <v>0</v>
      </c>
      <c r="P235" s="1492"/>
      <c r="Q235" s="1365">
        <f t="shared" si="9"/>
        <v>0</v>
      </c>
      <c r="R235" s="1540">
        <f t="shared" si="8"/>
        <v>0</v>
      </c>
    </row>
    <row r="236" spans="2:18" s="1394" customFormat="1" ht="18.5" x14ac:dyDescent="0.45">
      <c r="B236" s="1445" t="s">
        <v>2073</v>
      </c>
      <c r="C236" s="1505" t="s">
        <v>2400</v>
      </c>
      <c r="D236" s="1287">
        <f t="shared" si="1"/>
        <v>0</v>
      </c>
      <c r="E236" s="1541">
        <f t="shared" si="1"/>
        <v>0</v>
      </c>
      <c r="F236" s="1542">
        <f t="shared" si="1"/>
        <v>0</v>
      </c>
      <c r="G236" s="1375">
        <f t="shared" si="1"/>
        <v>0</v>
      </c>
      <c r="H236" s="1376">
        <f t="shared" si="2"/>
        <v>0.64400000000000002</v>
      </c>
      <c r="I236" s="1543">
        <f t="shared" si="10"/>
        <v>1587.5882352941178</v>
      </c>
      <c r="J236" s="1544">
        <f t="shared" si="11"/>
        <v>8712</v>
      </c>
      <c r="K236" s="1545">
        <f t="shared" si="12"/>
        <v>0.64600000000000002</v>
      </c>
      <c r="L236" s="1377">
        <f t="shared" si="4"/>
        <v>0</v>
      </c>
      <c r="M236" s="1546">
        <f t="shared" si="5"/>
        <v>0</v>
      </c>
      <c r="N236" s="1547">
        <f t="shared" si="6"/>
        <v>0</v>
      </c>
      <c r="O236" s="1378">
        <f t="shared" si="7"/>
        <v>0</v>
      </c>
      <c r="P236" s="1492"/>
      <c r="Q236" s="1357">
        <f t="shared" si="9"/>
        <v>0</v>
      </c>
      <c r="R236" s="1548">
        <f t="shared" si="8"/>
        <v>0</v>
      </c>
    </row>
    <row r="237" spans="2:18" s="1394" customFormat="1" ht="18.5" x14ac:dyDescent="0.45">
      <c r="B237" s="1442" t="s">
        <v>2166</v>
      </c>
      <c r="C237" s="1502" t="s">
        <v>2400</v>
      </c>
      <c r="D237" s="1293">
        <f t="shared" si="1"/>
        <v>0</v>
      </c>
      <c r="E237" s="1533">
        <f t="shared" si="1"/>
        <v>0</v>
      </c>
      <c r="F237" s="1534">
        <f t="shared" si="1"/>
        <v>0</v>
      </c>
      <c r="G237" s="1381">
        <f t="shared" si="1"/>
        <v>0</v>
      </c>
      <c r="H237" s="1382">
        <f t="shared" si="2"/>
        <v>0.64400000000000002</v>
      </c>
      <c r="I237" s="1535">
        <f t="shared" si="10"/>
        <v>1456.4509803921569</v>
      </c>
      <c r="J237" s="1536">
        <f t="shared" si="11"/>
        <v>4479</v>
      </c>
      <c r="K237" s="1537">
        <f t="shared" si="12"/>
        <v>0.629</v>
      </c>
      <c r="L237" s="1383">
        <f t="shared" si="4"/>
        <v>0</v>
      </c>
      <c r="M237" s="1538">
        <f t="shared" si="5"/>
        <v>0</v>
      </c>
      <c r="N237" s="1539">
        <f t="shared" si="6"/>
        <v>0</v>
      </c>
      <c r="O237" s="1364">
        <f t="shared" si="7"/>
        <v>0</v>
      </c>
      <c r="P237" s="1492"/>
      <c r="Q237" s="1365">
        <f t="shared" si="9"/>
        <v>0</v>
      </c>
      <c r="R237" s="1540">
        <f t="shared" si="8"/>
        <v>0</v>
      </c>
    </row>
    <row r="238" spans="2:18" s="1394" customFormat="1" ht="18.5" x14ac:dyDescent="0.45">
      <c r="B238" s="1445" t="s">
        <v>2163</v>
      </c>
      <c r="C238" s="1505" t="s">
        <v>2400</v>
      </c>
      <c r="D238" s="1287">
        <f t="shared" ref="D238:G253" si="13">D164</f>
        <v>0</v>
      </c>
      <c r="E238" s="1541">
        <f t="shared" si="13"/>
        <v>0.95</v>
      </c>
      <c r="F238" s="1542">
        <f t="shared" si="13"/>
        <v>105.5</v>
      </c>
      <c r="G238" s="1375">
        <f t="shared" si="13"/>
        <v>1</v>
      </c>
      <c r="H238" s="1376">
        <f t="shared" si="2"/>
        <v>0.64400000000000002</v>
      </c>
      <c r="I238" s="1543">
        <f t="shared" si="10"/>
        <v>899.50980392156862</v>
      </c>
      <c r="J238" s="1544">
        <f t="shared" si="11"/>
        <v>2805</v>
      </c>
      <c r="K238" s="1545">
        <f t="shared" si="12"/>
        <v>0.433</v>
      </c>
      <c r="L238" s="1377">
        <f t="shared" si="4"/>
        <v>0</v>
      </c>
      <c r="M238" s="1546">
        <f t="shared" si="5"/>
        <v>0</v>
      </c>
      <c r="N238" s="1547">
        <f t="shared" si="6"/>
        <v>0</v>
      </c>
      <c r="O238" s="1378">
        <f t="shared" si="7"/>
        <v>0</v>
      </c>
      <c r="P238" s="1492"/>
      <c r="Q238" s="1357">
        <f t="shared" si="9"/>
        <v>1589.8433753364816</v>
      </c>
      <c r="R238" s="1548">
        <f t="shared" si="8"/>
        <v>0</v>
      </c>
    </row>
    <row r="239" spans="2:18" s="1394" customFormat="1" ht="18.5" x14ac:dyDescent="0.45">
      <c r="B239" s="1442" t="s">
        <v>2181</v>
      </c>
      <c r="C239" s="1502" t="s">
        <v>2400</v>
      </c>
      <c r="D239" s="1293">
        <f t="shared" si="13"/>
        <v>0</v>
      </c>
      <c r="E239" s="1533">
        <f t="shared" si="13"/>
        <v>0</v>
      </c>
      <c r="F239" s="1534">
        <f t="shared" si="13"/>
        <v>0</v>
      </c>
      <c r="G239" s="1381">
        <f t="shared" si="13"/>
        <v>0</v>
      </c>
      <c r="H239" s="1382">
        <f t="shared" si="2"/>
        <v>0.64400000000000002</v>
      </c>
      <c r="I239" s="1535">
        <f t="shared" si="10"/>
        <v>1415.1372549019607</v>
      </c>
      <c r="J239" s="1536">
        <f t="shared" si="11"/>
        <v>4237</v>
      </c>
      <c r="K239" s="1537">
        <f t="shared" si="12"/>
        <v>0.437</v>
      </c>
      <c r="L239" s="1383">
        <f t="shared" si="4"/>
        <v>0</v>
      </c>
      <c r="M239" s="1538">
        <f t="shared" si="5"/>
        <v>0</v>
      </c>
      <c r="N239" s="1539">
        <f t="shared" si="6"/>
        <v>0</v>
      </c>
      <c r="O239" s="1364">
        <f t="shared" si="7"/>
        <v>0</v>
      </c>
      <c r="P239" s="1492"/>
      <c r="Q239" s="1365">
        <f t="shared" si="9"/>
        <v>0</v>
      </c>
      <c r="R239" s="1540">
        <f t="shared" si="8"/>
        <v>0</v>
      </c>
    </row>
    <row r="240" spans="2:18" s="1394" customFormat="1" ht="18.5" x14ac:dyDescent="0.45">
      <c r="B240" s="1445" t="s">
        <v>2164</v>
      </c>
      <c r="C240" s="1505" t="s">
        <v>2400</v>
      </c>
      <c r="D240" s="1287">
        <f t="shared" si="13"/>
        <v>0</v>
      </c>
      <c r="E240" s="1541">
        <f t="shared" si="13"/>
        <v>0</v>
      </c>
      <c r="F240" s="1542">
        <f t="shared" si="13"/>
        <v>0</v>
      </c>
      <c r="G240" s="1375">
        <f t="shared" si="13"/>
        <v>0</v>
      </c>
      <c r="H240" s="1376">
        <f t="shared" si="2"/>
        <v>0.64400000000000002</v>
      </c>
      <c r="I240" s="1543">
        <f t="shared" si="10"/>
        <v>512.23529411764696</v>
      </c>
      <c r="J240" s="1544">
        <f t="shared" si="11"/>
        <v>4237</v>
      </c>
      <c r="K240" s="1545">
        <f t="shared" si="12"/>
        <v>0.437</v>
      </c>
      <c r="L240" s="1377">
        <f t="shared" si="4"/>
        <v>0</v>
      </c>
      <c r="M240" s="1546">
        <f t="shared" si="5"/>
        <v>0</v>
      </c>
      <c r="N240" s="1547">
        <f t="shared" si="6"/>
        <v>0</v>
      </c>
      <c r="O240" s="1378">
        <f t="shared" si="7"/>
        <v>0</v>
      </c>
      <c r="P240" s="1492"/>
      <c r="Q240" s="1357">
        <f t="shared" si="9"/>
        <v>0</v>
      </c>
      <c r="R240" s="1548">
        <f t="shared" si="8"/>
        <v>0</v>
      </c>
    </row>
    <row r="241" spans="2:18" s="1394" customFormat="1" ht="18.5" x14ac:dyDescent="0.45">
      <c r="B241" s="1442" t="s">
        <v>2336</v>
      </c>
      <c r="C241" s="1502" t="s">
        <v>2400</v>
      </c>
      <c r="D241" s="1293">
        <f t="shared" si="13"/>
        <v>0</v>
      </c>
      <c r="E241" s="1533">
        <f t="shared" si="13"/>
        <v>0</v>
      </c>
      <c r="F241" s="1534">
        <f t="shared" si="13"/>
        <v>0</v>
      </c>
      <c r="G241" s="1381">
        <f t="shared" si="13"/>
        <v>0</v>
      </c>
      <c r="H241" s="1382">
        <f t="shared" si="2"/>
        <v>0.64400000000000002</v>
      </c>
      <c r="I241" s="1535">
        <f t="shared" si="10"/>
        <v>1493.6862745098038</v>
      </c>
      <c r="J241" s="1536">
        <f t="shared" si="11"/>
        <v>4237</v>
      </c>
      <c r="K241" s="1537">
        <f t="shared" si="12"/>
        <v>0.43</v>
      </c>
      <c r="L241" s="1383">
        <f t="shared" si="4"/>
        <v>0</v>
      </c>
      <c r="M241" s="1538">
        <f t="shared" si="5"/>
        <v>0</v>
      </c>
      <c r="N241" s="1539">
        <f t="shared" si="6"/>
        <v>0</v>
      </c>
      <c r="O241" s="1364">
        <f t="shared" si="7"/>
        <v>0</v>
      </c>
      <c r="P241" s="1492"/>
      <c r="Q241" s="1365">
        <f t="shared" si="9"/>
        <v>0</v>
      </c>
      <c r="R241" s="1540">
        <f t="shared" si="8"/>
        <v>0</v>
      </c>
    </row>
    <row r="242" spans="2:18" s="1394" customFormat="1" ht="18.5" x14ac:dyDescent="0.45">
      <c r="B242" s="1445" t="s">
        <v>2165</v>
      </c>
      <c r="C242" s="1505" t="s">
        <v>2400</v>
      </c>
      <c r="D242" s="1287">
        <f t="shared" si="13"/>
        <v>1</v>
      </c>
      <c r="E242" s="1541">
        <f t="shared" si="13"/>
        <v>0</v>
      </c>
      <c r="F242" s="1542">
        <f t="shared" si="13"/>
        <v>0</v>
      </c>
      <c r="G242" s="1375">
        <f t="shared" si="13"/>
        <v>0</v>
      </c>
      <c r="H242" s="1376">
        <f t="shared" si="2"/>
        <v>0.64400000000000002</v>
      </c>
      <c r="I242" s="1543">
        <f t="shared" si="10"/>
        <v>1630.1960784313726</v>
      </c>
      <c r="J242" s="1544">
        <f t="shared" si="11"/>
        <v>2899</v>
      </c>
      <c r="K242" s="1545">
        <f t="shared" si="12"/>
        <v>0.24299999999999999</v>
      </c>
      <c r="L242" s="1377">
        <f t="shared" si="4"/>
        <v>0</v>
      </c>
      <c r="M242" s="1546">
        <f t="shared" si="5"/>
        <v>644</v>
      </c>
      <c r="N242" s="1547">
        <f t="shared" si="6"/>
        <v>5.3981372887202478E-2</v>
      </c>
      <c r="O242" s="1378">
        <f t="shared" si="7"/>
        <v>1600</v>
      </c>
      <c r="P242" s="1492"/>
      <c r="Q242" s="1357">
        <f t="shared" si="9"/>
        <v>0</v>
      </c>
      <c r="R242" s="1548">
        <f t="shared" si="8"/>
        <v>0</v>
      </c>
    </row>
    <row r="243" spans="2:18" s="1394" customFormat="1" ht="18.5" x14ac:dyDescent="0.45">
      <c r="B243" s="1442" t="s">
        <v>2167</v>
      </c>
      <c r="C243" s="1502" t="s">
        <v>2400</v>
      </c>
      <c r="D243" s="1293">
        <f>D1591</f>
        <v>0</v>
      </c>
      <c r="E243" s="1533">
        <f t="shared" si="13"/>
        <v>0.95400000000000007</v>
      </c>
      <c r="F243" s="1534">
        <f t="shared" si="13"/>
        <v>102.22222222222223</v>
      </c>
      <c r="G243" s="1381">
        <f t="shared" si="13"/>
        <v>0.77777777777777779</v>
      </c>
      <c r="H243" s="1382">
        <f t="shared" si="2"/>
        <v>0.64400000000000002</v>
      </c>
      <c r="I243" s="1535">
        <f t="shared" si="10"/>
        <v>1698.2156862745098</v>
      </c>
      <c r="J243" s="1536">
        <f t="shared" si="11"/>
        <v>2120</v>
      </c>
      <c r="K243" s="1537">
        <f t="shared" si="12"/>
        <v>0.41899999999999998</v>
      </c>
      <c r="L243" s="1383">
        <f t="shared" si="4"/>
        <v>0</v>
      </c>
      <c r="M243" s="1538">
        <f t="shared" si="5"/>
        <v>0</v>
      </c>
      <c r="N243" s="1539">
        <f t="shared" si="6"/>
        <v>0</v>
      </c>
      <c r="O243" s="1364">
        <f t="shared" si="7"/>
        <v>0</v>
      </c>
      <c r="P243" s="1492"/>
      <c r="Q243" s="1365">
        <f t="shared" si="9"/>
        <v>1589.8433753364816</v>
      </c>
      <c r="R243" s="1540">
        <f t="shared" si="8"/>
        <v>0</v>
      </c>
    </row>
    <row r="244" spans="2:18" s="1394" customFormat="1" ht="18.5" x14ac:dyDescent="0.45">
      <c r="B244" s="1445" t="s">
        <v>2168</v>
      </c>
      <c r="C244" s="1505" t="s">
        <v>2400</v>
      </c>
      <c r="D244" s="1287">
        <f t="shared" si="13"/>
        <v>0</v>
      </c>
      <c r="E244" s="1541">
        <f t="shared" si="13"/>
        <v>0</v>
      </c>
      <c r="F244" s="1542">
        <f t="shared" si="13"/>
        <v>0</v>
      </c>
      <c r="G244" s="1375">
        <f t="shared" si="13"/>
        <v>0</v>
      </c>
      <c r="H244" s="1376">
        <f t="shared" si="2"/>
        <v>0.64400000000000002</v>
      </c>
      <c r="I244" s="1543">
        <f t="shared" si="10"/>
        <v>936.1960784313726</v>
      </c>
      <c r="J244" s="1544">
        <f t="shared" si="11"/>
        <v>5682</v>
      </c>
      <c r="K244" s="1545">
        <f t="shared" si="12"/>
        <v>0.503</v>
      </c>
      <c r="L244" s="1377">
        <f t="shared" si="4"/>
        <v>0</v>
      </c>
      <c r="M244" s="1546">
        <f t="shared" si="5"/>
        <v>0</v>
      </c>
      <c r="N244" s="1547">
        <f t="shared" si="6"/>
        <v>0</v>
      </c>
      <c r="O244" s="1378">
        <f t="shared" si="7"/>
        <v>0</v>
      </c>
      <c r="P244" s="1492"/>
      <c r="Q244" s="1357">
        <f t="shared" si="9"/>
        <v>0</v>
      </c>
      <c r="R244" s="1548">
        <f t="shared" si="8"/>
        <v>0</v>
      </c>
    </row>
    <row r="245" spans="2:18" s="1394" customFormat="1" ht="18.5" x14ac:dyDescent="0.45">
      <c r="B245" s="1442" t="s">
        <v>2169</v>
      </c>
      <c r="C245" s="1502" t="s">
        <v>2400</v>
      </c>
      <c r="D245" s="1293">
        <f t="shared" si="13"/>
        <v>0</v>
      </c>
      <c r="E245" s="1533">
        <f t="shared" si="13"/>
        <v>0</v>
      </c>
      <c r="F245" s="1534">
        <f t="shared" si="13"/>
        <v>0</v>
      </c>
      <c r="G245" s="1381">
        <f t="shared" si="13"/>
        <v>0</v>
      </c>
      <c r="H245" s="1382">
        <f t="shared" si="2"/>
        <v>0.64400000000000002</v>
      </c>
      <c r="I245" s="1535">
        <f t="shared" si="10"/>
        <v>2004.4117647058824</v>
      </c>
      <c r="J245" s="1536">
        <f t="shared" si="11"/>
        <v>4849</v>
      </c>
      <c r="K245" s="1537">
        <f t="shared" si="12"/>
        <v>0.48299999999999998</v>
      </c>
      <c r="L245" s="1383">
        <f t="shared" si="4"/>
        <v>0</v>
      </c>
      <c r="M245" s="1538">
        <f t="shared" si="5"/>
        <v>0</v>
      </c>
      <c r="N245" s="1539">
        <f t="shared" si="6"/>
        <v>0</v>
      </c>
      <c r="O245" s="1364">
        <f t="shared" si="7"/>
        <v>0</v>
      </c>
      <c r="P245" s="1492"/>
      <c r="Q245" s="1365">
        <f t="shared" si="9"/>
        <v>0</v>
      </c>
      <c r="R245" s="1540">
        <f t="shared" si="8"/>
        <v>0</v>
      </c>
    </row>
    <row r="246" spans="2:18" s="1394" customFormat="1" ht="18.5" x14ac:dyDescent="0.45">
      <c r="B246" s="1445" t="s">
        <v>2170</v>
      </c>
      <c r="C246" s="1505" t="s">
        <v>2400</v>
      </c>
      <c r="D246" s="1287">
        <f t="shared" si="13"/>
        <v>0</v>
      </c>
      <c r="E246" s="1541">
        <f t="shared" si="13"/>
        <v>0</v>
      </c>
      <c r="F246" s="1542">
        <f t="shared" si="13"/>
        <v>0</v>
      </c>
      <c r="G246" s="1375">
        <f t="shared" si="13"/>
        <v>0</v>
      </c>
      <c r="H246" s="1376">
        <f t="shared" si="2"/>
        <v>0.64400000000000002</v>
      </c>
      <c r="I246" s="1543">
        <f t="shared" si="10"/>
        <v>1262.7843137254904</v>
      </c>
      <c r="J246" s="1544">
        <f t="shared" si="11"/>
        <v>2038</v>
      </c>
      <c r="K246" s="1545">
        <f t="shared" si="12"/>
        <v>0.432</v>
      </c>
      <c r="L246" s="1377">
        <f t="shared" si="4"/>
        <v>0</v>
      </c>
      <c r="M246" s="1546">
        <f t="shared" si="5"/>
        <v>0</v>
      </c>
      <c r="N246" s="1547">
        <f t="shared" si="6"/>
        <v>0</v>
      </c>
      <c r="O246" s="1378">
        <f t="shared" si="7"/>
        <v>0</v>
      </c>
      <c r="P246" s="1492"/>
      <c r="Q246" s="1357">
        <f t="shared" si="9"/>
        <v>0</v>
      </c>
      <c r="R246" s="1548">
        <f t="shared" si="8"/>
        <v>0</v>
      </c>
    </row>
    <row r="247" spans="2:18" s="1394" customFormat="1" ht="18.5" x14ac:dyDescent="0.45">
      <c r="B247" s="1442" t="s">
        <v>2171</v>
      </c>
      <c r="C247" s="1502" t="s">
        <v>2400</v>
      </c>
      <c r="D247" s="1293">
        <f t="shared" si="13"/>
        <v>0</v>
      </c>
      <c r="E247" s="1533">
        <f t="shared" si="13"/>
        <v>0</v>
      </c>
      <c r="F247" s="1534">
        <f t="shared" si="13"/>
        <v>0</v>
      </c>
      <c r="G247" s="1381">
        <f t="shared" si="13"/>
        <v>0</v>
      </c>
      <c r="H247" s="1382">
        <f t="shared" si="2"/>
        <v>0.64400000000000002</v>
      </c>
      <c r="I247" s="1535">
        <f t="shared" si="10"/>
        <v>903.1960784313726</v>
      </c>
      <c r="J247" s="1536">
        <f t="shared" si="11"/>
        <v>3069</v>
      </c>
      <c r="K247" s="1537">
        <f t="shared" si="12"/>
        <v>0.46200000000000002</v>
      </c>
      <c r="L247" s="1383">
        <f t="shared" si="4"/>
        <v>0</v>
      </c>
      <c r="M247" s="1538">
        <f t="shared" si="5"/>
        <v>0</v>
      </c>
      <c r="N247" s="1539">
        <f t="shared" si="6"/>
        <v>0</v>
      </c>
      <c r="O247" s="1364">
        <f t="shared" si="7"/>
        <v>0</v>
      </c>
      <c r="P247" s="1492"/>
      <c r="Q247" s="1365">
        <f t="shared" si="9"/>
        <v>0</v>
      </c>
      <c r="R247" s="1540">
        <f t="shared" si="8"/>
        <v>0</v>
      </c>
    </row>
    <row r="248" spans="2:18" s="1394" customFormat="1" ht="18.5" x14ac:dyDescent="0.45">
      <c r="B248" s="1445" t="s">
        <v>2172</v>
      </c>
      <c r="C248" s="1505" t="s">
        <v>2400</v>
      </c>
      <c r="D248" s="1287">
        <f t="shared" si="13"/>
        <v>200</v>
      </c>
      <c r="E248" s="1541">
        <f t="shared" si="13"/>
        <v>0.95594429999999997</v>
      </c>
      <c r="F248" s="1542">
        <f t="shared" si="13"/>
        <v>93</v>
      </c>
      <c r="G248" s="1375">
        <f t="shared" si="13"/>
        <v>1</v>
      </c>
      <c r="H248" s="1376">
        <f t="shared" si="2"/>
        <v>0.64400000000000002</v>
      </c>
      <c r="I248" s="1543">
        <f t="shared" si="10"/>
        <v>2375.1176470588239</v>
      </c>
      <c r="J248" s="1544">
        <f t="shared" si="11"/>
        <v>2481</v>
      </c>
      <c r="K248" s="1545">
        <f t="shared" si="12"/>
        <v>0.47399999999999998</v>
      </c>
      <c r="L248" s="1377">
        <f t="shared" si="4"/>
        <v>213987.92018675557</v>
      </c>
      <c r="M248" s="1546">
        <f t="shared" si="5"/>
        <v>144200</v>
      </c>
      <c r="N248" s="1547">
        <f t="shared" si="6"/>
        <v>27.549697702539298</v>
      </c>
      <c r="O248" s="1378">
        <f t="shared" si="7"/>
        <v>320000</v>
      </c>
      <c r="P248" s="1492"/>
      <c r="Q248" s="1357">
        <f t="shared" si="9"/>
        <v>1589.8433753364816</v>
      </c>
      <c r="R248" s="1548">
        <f t="shared" si="8"/>
        <v>317968.67506729631</v>
      </c>
    </row>
    <row r="249" spans="2:18" s="1394" customFormat="1" ht="18.5" x14ac:dyDescent="0.45">
      <c r="B249" s="1442" t="s">
        <v>2173</v>
      </c>
      <c r="C249" s="1502" t="s">
        <v>2400</v>
      </c>
      <c r="D249" s="1293">
        <f t="shared" si="13"/>
        <v>250</v>
      </c>
      <c r="E249" s="1533">
        <f t="shared" si="13"/>
        <v>0.96</v>
      </c>
      <c r="F249" s="1534">
        <f t="shared" si="13"/>
        <v>88</v>
      </c>
      <c r="G249" s="1381">
        <f t="shared" si="13"/>
        <v>1</v>
      </c>
      <c r="H249" s="1382">
        <f t="shared" si="2"/>
        <v>0.64400000000000002</v>
      </c>
      <c r="I249" s="1535">
        <f t="shared" si="10"/>
        <v>1483.2352941176471</v>
      </c>
      <c r="J249" s="1536">
        <f t="shared" si="11"/>
        <v>1881</v>
      </c>
      <c r="K249" s="1537">
        <f t="shared" si="12"/>
        <v>0.42799999999999999</v>
      </c>
      <c r="L249" s="1383">
        <f t="shared" si="4"/>
        <v>160115.7106320789</v>
      </c>
      <c r="M249" s="1538">
        <f t="shared" si="5"/>
        <v>180250</v>
      </c>
      <c r="N249" s="1539">
        <f t="shared" si="6"/>
        <v>41.013822434875067</v>
      </c>
      <c r="O249" s="1364">
        <f t="shared" si="7"/>
        <v>400000</v>
      </c>
      <c r="P249" s="1492"/>
      <c r="Q249" s="1365">
        <f t="shared" si="9"/>
        <v>1825.8433753364816</v>
      </c>
      <c r="R249" s="1540">
        <f t="shared" si="8"/>
        <v>456460.84383412037</v>
      </c>
    </row>
    <row r="250" spans="2:18" s="1394" customFormat="1" ht="18.5" x14ac:dyDescent="0.45">
      <c r="B250" s="1445" t="s">
        <v>2174</v>
      </c>
      <c r="C250" s="1505" t="s">
        <v>2400</v>
      </c>
      <c r="D250" s="1287">
        <f t="shared" si="13"/>
        <v>0</v>
      </c>
      <c r="E250" s="1541">
        <f t="shared" si="13"/>
        <v>0.96</v>
      </c>
      <c r="F250" s="1542">
        <f t="shared" si="13"/>
        <v>98</v>
      </c>
      <c r="G250" s="1375">
        <f t="shared" si="13"/>
        <v>0.95</v>
      </c>
      <c r="H250" s="1376">
        <f t="shared" si="2"/>
        <v>0.64400000000000002</v>
      </c>
      <c r="I250" s="1543">
        <f t="shared" ref="I250:I255" si="14">J168</f>
        <v>1395.7647058823529</v>
      </c>
      <c r="J250" s="1544">
        <f t="shared" ref="J250:K255" si="15">C113</f>
        <v>2830</v>
      </c>
      <c r="K250" s="1545">
        <f t="shared" si="15"/>
        <v>0.433</v>
      </c>
      <c r="L250" s="1377">
        <f t="shared" si="4"/>
        <v>0</v>
      </c>
      <c r="M250" s="1546">
        <f t="shared" si="5"/>
        <v>0</v>
      </c>
      <c r="N250" s="1547">
        <f t="shared" si="6"/>
        <v>0</v>
      </c>
      <c r="O250" s="1378">
        <f t="shared" si="7"/>
        <v>0</v>
      </c>
      <c r="P250" s="1492"/>
      <c r="Q250" s="1357">
        <f t="shared" si="9"/>
        <v>1825.8433753364816</v>
      </c>
      <c r="R250" s="1548">
        <f t="shared" si="8"/>
        <v>0</v>
      </c>
    </row>
    <row r="251" spans="2:18" s="1394" customFormat="1" ht="18.5" x14ac:dyDescent="0.45">
      <c r="B251" s="1442" t="s">
        <v>2175</v>
      </c>
      <c r="C251" s="1502" t="s">
        <v>2400</v>
      </c>
      <c r="D251" s="1293">
        <f t="shared" si="13"/>
        <v>0</v>
      </c>
      <c r="E251" s="1533">
        <f t="shared" si="13"/>
        <v>0.96</v>
      </c>
      <c r="F251" s="1534">
        <f t="shared" si="13"/>
        <v>120</v>
      </c>
      <c r="G251" s="1381">
        <f t="shared" si="13"/>
        <v>1</v>
      </c>
      <c r="H251" s="1382">
        <f t="shared" si="2"/>
        <v>0.64400000000000002</v>
      </c>
      <c r="I251" s="1535">
        <f t="shared" si="14"/>
        <v>1203.1764705882351</v>
      </c>
      <c r="J251" s="1536">
        <f t="shared" si="15"/>
        <v>3350</v>
      </c>
      <c r="K251" s="1537">
        <f t="shared" si="15"/>
        <v>0.48799999999999999</v>
      </c>
      <c r="L251" s="1383">
        <f t="shared" si="4"/>
        <v>0</v>
      </c>
      <c r="M251" s="1538">
        <f t="shared" si="5"/>
        <v>0</v>
      </c>
      <c r="N251" s="1539">
        <f t="shared" si="6"/>
        <v>0</v>
      </c>
      <c r="O251" s="1364">
        <f t="shared" si="7"/>
        <v>0</v>
      </c>
      <c r="P251" s="1492"/>
      <c r="Q251" s="1365">
        <f t="shared" si="9"/>
        <v>1825.8433753364816</v>
      </c>
      <c r="R251" s="1540">
        <f t="shared" si="8"/>
        <v>0</v>
      </c>
    </row>
    <row r="252" spans="2:18" s="1394" customFormat="1" ht="18.5" x14ac:dyDescent="0.45">
      <c r="B252" s="1445" t="s">
        <v>2176</v>
      </c>
      <c r="C252" s="1505" t="s">
        <v>2400</v>
      </c>
      <c r="D252" s="1287">
        <f t="shared" si="13"/>
        <v>0</v>
      </c>
      <c r="E252" s="1541">
        <f t="shared" si="13"/>
        <v>0.95499999999999996</v>
      </c>
      <c r="F252" s="1542">
        <f t="shared" si="13"/>
        <v>110</v>
      </c>
      <c r="G252" s="1375">
        <f t="shared" si="13"/>
        <v>0.9</v>
      </c>
      <c r="H252" s="1376">
        <f t="shared" si="2"/>
        <v>0.64400000000000002</v>
      </c>
      <c r="I252" s="1543">
        <f t="shared" si="14"/>
        <v>1200.9411764705883</v>
      </c>
      <c r="J252" s="1544">
        <f t="shared" si="15"/>
        <v>2528</v>
      </c>
      <c r="K252" s="1545">
        <f t="shared" si="15"/>
        <v>0.505</v>
      </c>
      <c r="L252" s="1377">
        <f t="shared" si="4"/>
        <v>0</v>
      </c>
      <c r="M252" s="1546">
        <f t="shared" si="5"/>
        <v>0</v>
      </c>
      <c r="N252" s="1547">
        <f t="shared" si="6"/>
        <v>0</v>
      </c>
      <c r="O252" s="1378">
        <f t="shared" si="7"/>
        <v>0</v>
      </c>
      <c r="P252" s="1492"/>
      <c r="Q252" s="1357">
        <f t="shared" si="9"/>
        <v>1589.8433753364816</v>
      </c>
      <c r="R252" s="1548">
        <f t="shared" si="8"/>
        <v>0</v>
      </c>
    </row>
    <row r="253" spans="2:18" s="1394" customFormat="1" ht="18.5" x14ac:dyDescent="0.45">
      <c r="B253" s="1442" t="s">
        <v>2177</v>
      </c>
      <c r="C253" s="1502" t="s">
        <v>2400</v>
      </c>
      <c r="D253" s="1293">
        <f t="shared" si="13"/>
        <v>0</v>
      </c>
      <c r="E253" s="1533">
        <f t="shared" si="13"/>
        <v>0.96</v>
      </c>
      <c r="F253" s="1534">
        <f t="shared" si="13"/>
        <v>92.5</v>
      </c>
      <c r="G253" s="1381">
        <f t="shared" si="13"/>
        <v>0.9</v>
      </c>
      <c r="H253" s="1382">
        <f t="shared" si="2"/>
        <v>0.64400000000000002</v>
      </c>
      <c r="I253" s="1535">
        <f t="shared" si="14"/>
        <v>1200.5294117647059</v>
      </c>
      <c r="J253" s="1536">
        <f t="shared" si="15"/>
        <v>2266</v>
      </c>
      <c r="K253" s="1537">
        <f t="shared" si="15"/>
        <v>0.52800000000000002</v>
      </c>
      <c r="L253" s="1383">
        <f t="shared" si="4"/>
        <v>0</v>
      </c>
      <c r="M253" s="1538">
        <f t="shared" si="5"/>
        <v>0</v>
      </c>
      <c r="N253" s="1539">
        <f t="shared" si="6"/>
        <v>0</v>
      </c>
      <c r="O253" s="1364">
        <f t="shared" si="7"/>
        <v>0</v>
      </c>
      <c r="P253" s="1492"/>
      <c r="Q253" s="1365">
        <f t="shared" si="9"/>
        <v>1825.8433753364816</v>
      </c>
      <c r="R253" s="1540">
        <f t="shared" si="8"/>
        <v>0</v>
      </c>
    </row>
    <row r="254" spans="2:18" s="1394" customFormat="1" ht="18.5" x14ac:dyDescent="0.45">
      <c r="B254" s="1445" t="s">
        <v>2027</v>
      </c>
      <c r="C254" s="1505" t="s">
        <v>2400</v>
      </c>
      <c r="D254" s="1287">
        <f t="shared" ref="D254:G269" si="16">D180</f>
        <v>1</v>
      </c>
      <c r="E254" s="1541">
        <f t="shared" si="16"/>
        <v>0.95499999999999996</v>
      </c>
      <c r="F254" s="1542">
        <f t="shared" si="16"/>
        <v>80</v>
      </c>
      <c r="G254" s="1375">
        <f t="shared" si="16"/>
        <v>0</v>
      </c>
      <c r="H254" s="1376">
        <f t="shared" si="2"/>
        <v>0.64400000000000002</v>
      </c>
      <c r="I254" s="1543">
        <f t="shared" si="14"/>
        <v>1201.8431372549019</v>
      </c>
      <c r="J254" s="1544">
        <f t="shared" si="15"/>
        <v>770</v>
      </c>
      <c r="K254" s="1545">
        <f t="shared" si="15"/>
        <v>0.22500000000000001</v>
      </c>
      <c r="L254" s="1377">
        <f t="shared" si="4"/>
        <v>464.31455364754589</v>
      </c>
      <c r="M254" s="1546">
        <f t="shared" si="5"/>
        <v>644</v>
      </c>
      <c r="N254" s="1547">
        <f t="shared" si="6"/>
        <v>0.18818181818181817</v>
      </c>
      <c r="O254" s="1378">
        <f t="shared" si="7"/>
        <v>1600</v>
      </c>
      <c r="P254" s="1492"/>
      <c r="Q254" s="1357">
        <f t="shared" si="9"/>
        <v>1589.8433753364816</v>
      </c>
      <c r="R254" s="1548">
        <f t="shared" si="8"/>
        <v>1589.8433753364816</v>
      </c>
    </row>
    <row r="255" spans="2:18" s="1394" customFormat="1" ht="18.5" x14ac:dyDescent="0.45">
      <c r="B255" s="1442" t="s">
        <v>536</v>
      </c>
      <c r="C255" s="1502" t="s">
        <v>2400</v>
      </c>
      <c r="D255" s="1293">
        <f t="shared" si="16"/>
        <v>250</v>
      </c>
      <c r="E255" s="1533">
        <f t="shared" si="16"/>
        <v>0.96</v>
      </c>
      <c r="F255" s="1534">
        <f t="shared" si="16"/>
        <v>96</v>
      </c>
      <c r="G255" s="1381">
        <f t="shared" si="16"/>
        <v>0.9</v>
      </c>
      <c r="H255" s="1382">
        <f t="shared" si="2"/>
        <v>0.64400000000000002</v>
      </c>
      <c r="I255" s="1535">
        <f t="shared" si="14"/>
        <v>1516.6666666666665</v>
      </c>
      <c r="J255" s="1536">
        <f t="shared" si="15"/>
        <v>2718</v>
      </c>
      <c r="K255" s="1537">
        <f t="shared" si="15"/>
        <v>0.42399999999999999</v>
      </c>
      <c r="L255" s="1383">
        <f t="shared" si="4"/>
        <v>178608.69565217389</v>
      </c>
      <c r="M255" s="1538">
        <f t="shared" si="5"/>
        <v>178325</v>
      </c>
      <c r="N255" s="1539">
        <f t="shared" si="6"/>
        <v>27.818175128771152</v>
      </c>
      <c r="O255" s="1364">
        <f t="shared" si="7"/>
        <v>400000</v>
      </c>
      <c r="P255" s="1492"/>
      <c r="Q255" s="1390">
        <f t="shared" si="9"/>
        <v>1825.8433753364816</v>
      </c>
      <c r="R255" s="1561">
        <f t="shared" si="8"/>
        <v>456460.84383412037</v>
      </c>
    </row>
    <row r="256" spans="2:18" s="1394" customFormat="1" ht="18.5" x14ac:dyDescent="0.45">
      <c r="B256" s="1435" t="s">
        <v>2180</v>
      </c>
      <c r="C256" s="1499" t="s">
        <v>2401</v>
      </c>
      <c r="D256" s="1549">
        <f t="shared" si="16"/>
        <v>0</v>
      </c>
      <c r="E256" s="1550">
        <f t="shared" si="16"/>
        <v>0</v>
      </c>
      <c r="F256" s="1551">
        <f t="shared" si="16"/>
        <v>0</v>
      </c>
      <c r="G256" s="1552">
        <f t="shared" si="16"/>
        <v>0</v>
      </c>
      <c r="H256" s="1553">
        <f t="shared" ref="H256:H289" si="17">$C$78</f>
        <v>0.64400000000000002</v>
      </c>
      <c r="I256" s="1554">
        <f t="shared" ref="I256:I257" si="18">J137</f>
        <v>1599.313725490196</v>
      </c>
      <c r="J256" s="1555">
        <f>C82</f>
        <v>2150</v>
      </c>
      <c r="K256" s="1556">
        <f>D82</f>
        <v>0.48299999999999998</v>
      </c>
      <c r="L256" s="1557">
        <f>IFERROR(D256*I256*F256*1000*(E256-H256)/H256/100000,0)</f>
        <v>0</v>
      </c>
      <c r="M256" s="1558">
        <f>D256*(G256*721+(1-G256)*644)</f>
        <v>0</v>
      </c>
      <c r="N256" s="1559">
        <f>IFERROR(M256/J256*K256,0)</f>
        <v>0</v>
      </c>
      <c r="O256" s="1560">
        <f>D256*$C$131</f>
        <v>0</v>
      </c>
      <c r="P256" s="1492"/>
      <c r="Q256" s="1357">
        <f t="shared" si="9"/>
        <v>0</v>
      </c>
      <c r="R256" s="1548">
        <f t="shared" si="8"/>
        <v>0</v>
      </c>
    </row>
    <row r="257" spans="2:18" s="1394" customFormat="1" ht="18.5" x14ac:dyDescent="0.45">
      <c r="B257" s="1442" t="s">
        <v>2071</v>
      </c>
      <c r="C257" s="1502" t="s">
        <v>2401</v>
      </c>
      <c r="D257" s="1287">
        <f t="shared" si="16"/>
        <v>0</v>
      </c>
      <c r="E257" s="1541">
        <f t="shared" si="16"/>
        <v>0</v>
      </c>
      <c r="F257" s="1542">
        <f t="shared" si="16"/>
        <v>0</v>
      </c>
      <c r="G257" s="1375">
        <f t="shared" si="16"/>
        <v>0</v>
      </c>
      <c r="H257" s="1376">
        <f t="shared" si="17"/>
        <v>0.64400000000000002</v>
      </c>
      <c r="I257" s="1543">
        <f t="shared" si="18"/>
        <v>1436.9019607843138</v>
      </c>
      <c r="J257" s="1544">
        <f>C83</f>
        <v>4373</v>
      </c>
      <c r="K257" s="1545">
        <f>D83</f>
        <v>0.52900000000000003</v>
      </c>
      <c r="L257" s="1377">
        <f t="shared" ref="L257:L289" si="19">IFERROR(D257*I257*F257*1000*(E257-H257)/H257/100000,0)</f>
        <v>0</v>
      </c>
      <c r="M257" s="1546">
        <f t="shared" ref="M257:M289" si="20">D257*(G257*721+(1-G257)*644)</f>
        <v>0</v>
      </c>
      <c r="N257" s="1547">
        <f t="shared" ref="N257:N289" si="21">IFERROR(M257/J257*K257,0)</f>
        <v>0</v>
      </c>
      <c r="O257" s="1378">
        <f t="shared" ref="O257:O289" si="22">D257*$C$131</f>
        <v>0</v>
      </c>
      <c r="P257" s="1492"/>
      <c r="Q257" s="1365">
        <f t="shared" si="9"/>
        <v>0</v>
      </c>
      <c r="R257" s="1540">
        <f t="shared" si="8"/>
        <v>0</v>
      </c>
    </row>
    <row r="258" spans="2:18" s="1394" customFormat="1" ht="18.5" x14ac:dyDescent="0.45">
      <c r="B258" s="1445" t="s">
        <v>2157</v>
      </c>
      <c r="C258" s="1505" t="s">
        <v>2401</v>
      </c>
      <c r="D258" s="1293">
        <f t="shared" si="16"/>
        <v>0</v>
      </c>
      <c r="E258" s="1533">
        <f t="shared" si="16"/>
        <v>0</v>
      </c>
      <c r="F258" s="1534">
        <f t="shared" si="16"/>
        <v>0</v>
      </c>
      <c r="G258" s="1381">
        <f t="shared" si="16"/>
        <v>0</v>
      </c>
      <c r="H258" s="1382">
        <f t="shared" si="17"/>
        <v>0.64400000000000002</v>
      </c>
      <c r="I258" s="1535">
        <f>J140</f>
        <v>1174.0588235294117</v>
      </c>
      <c r="J258" s="1536">
        <f>C85</f>
        <v>1605</v>
      </c>
      <c r="K258" s="1537">
        <f>D85</f>
        <v>0.14199999999999999</v>
      </c>
      <c r="L258" s="1383">
        <f t="shared" si="19"/>
        <v>0</v>
      </c>
      <c r="M258" s="1538">
        <f t="shared" si="20"/>
        <v>0</v>
      </c>
      <c r="N258" s="1539">
        <f t="shared" si="21"/>
        <v>0</v>
      </c>
      <c r="O258" s="1364">
        <f t="shared" si="22"/>
        <v>0</v>
      </c>
      <c r="P258" s="1492"/>
      <c r="Q258" s="1357">
        <f t="shared" si="9"/>
        <v>0</v>
      </c>
      <c r="R258" s="1548">
        <f t="shared" si="8"/>
        <v>0</v>
      </c>
    </row>
    <row r="259" spans="2:18" s="1394" customFormat="1" ht="18.5" x14ac:dyDescent="0.45">
      <c r="B259" s="1442" t="s">
        <v>2158</v>
      </c>
      <c r="C259" s="1502" t="s">
        <v>2401</v>
      </c>
      <c r="D259" s="1287">
        <f t="shared" si="16"/>
        <v>0</v>
      </c>
      <c r="E259" s="1541">
        <f t="shared" si="16"/>
        <v>0</v>
      </c>
      <c r="F259" s="1542">
        <f t="shared" si="16"/>
        <v>0</v>
      </c>
      <c r="G259" s="1375">
        <f t="shared" si="16"/>
        <v>0</v>
      </c>
      <c r="H259" s="1376">
        <f t="shared" si="17"/>
        <v>0.64400000000000002</v>
      </c>
      <c r="I259" s="1543">
        <f>J141</f>
        <v>1199.4509803921569</v>
      </c>
      <c r="J259" s="1544">
        <f>C86</f>
        <v>2084</v>
      </c>
      <c r="K259" s="1545">
        <f>D86</f>
        <v>0.57099999999999995</v>
      </c>
      <c r="L259" s="1377">
        <f t="shared" si="19"/>
        <v>0</v>
      </c>
      <c r="M259" s="1546">
        <f t="shared" si="20"/>
        <v>0</v>
      </c>
      <c r="N259" s="1547">
        <f t="shared" si="21"/>
        <v>0</v>
      </c>
      <c r="O259" s="1378">
        <f t="shared" si="22"/>
        <v>0</v>
      </c>
      <c r="P259" s="1492"/>
      <c r="Q259" s="1365">
        <f t="shared" si="9"/>
        <v>0</v>
      </c>
      <c r="R259" s="1540">
        <f t="shared" si="8"/>
        <v>0</v>
      </c>
    </row>
    <row r="260" spans="2:18" s="1394" customFormat="1" ht="18.5" x14ac:dyDescent="0.45">
      <c r="B260" s="1445" t="s">
        <v>2028</v>
      </c>
      <c r="C260" s="1505" t="s">
        <v>2401</v>
      </c>
      <c r="D260" s="1293">
        <f t="shared" si="16"/>
        <v>0</v>
      </c>
      <c r="E260" s="1533">
        <f t="shared" si="16"/>
        <v>0</v>
      </c>
      <c r="F260" s="1534">
        <f t="shared" si="16"/>
        <v>0</v>
      </c>
      <c r="G260" s="1381">
        <f t="shared" si="16"/>
        <v>0</v>
      </c>
      <c r="H260" s="1382">
        <f t="shared" si="17"/>
        <v>0.64400000000000002</v>
      </c>
      <c r="I260" s="1535">
        <f t="shared" ref="I260:I283" si="23">J143</f>
        <v>1427.0784313725492</v>
      </c>
      <c r="J260" s="1536">
        <f t="shared" ref="J260:J283" si="24">C88</f>
        <v>3276</v>
      </c>
      <c r="K260" s="1537">
        <f t="shared" ref="K260:K283" si="25">D88</f>
        <v>0.33300000000000002</v>
      </c>
      <c r="L260" s="1383">
        <f t="shared" si="19"/>
        <v>0</v>
      </c>
      <c r="M260" s="1538">
        <f t="shared" si="20"/>
        <v>0</v>
      </c>
      <c r="N260" s="1539">
        <f t="shared" si="21"/>
        <v>0</v>
      </c>
      <c r="O260" s="1364">
        <f t="shared" si="22"/>
        <v>0</v>
      </c>
      <c r="P260" s="1492"/>
      <c r="Q260" s="1357">
        <f t="shared" si="9"/>
        <v>0</v>
      </c>
      <c r="R260" s="1548">
        <f t="shared" si="8"/>
        <v>0</v>
      </c>
    </row>
    <row r="261" spans="2:18" s="1394" customFormat="1" ht="18.5" x14ac:dyDescent="0.45">
      <c r="B261" s="1442" t="s">
        <v>2109</v>
      </c>
      <c r="C261" s="1502" t="s">
        <v>2401</v>
      </c>
      <c r="D261" s="1287">
        <f t="shared" si="16"/>
        <v>0</v>
      </c>
      <c r="E261" s="1541">
        <f t="shared" si="16"/>
        <v>0</v>
      </c>
      <c r="F261" s="1542">
        <f t="shared" si="16"/>
        <v>0</v>
      </c>
      <c r="G261" s="1375">
        <f t="shared" si="16"/>
        <v>0</v>
      </c>
      <c r="H261" s="1376">
        <f t="shared" si="17"/>
        <v>0.64400000000000002</v>
      </c>
      <c r="I261" s="1543">
        <f t="shared" si="23"/>
        <v>854.84313725490188</v>
      </c>
      <c r="J261" s="1544">
        <f t="shared" si="24"/>
        <v>2102</v>
      </c>
      <c r="K261" s="1545">
        <f t="shared" si="25"/>
        <v>0.61899999999999999</v>
      </c>
      <c r="L261" s="1377">
        <f t="shared" si="19"/>
        <v>0</v>
      </c>
      <c r="M261" s="1546">
        <f t="shared" si="20"/>
        <v>0</v>
      </c>
      <c r="N261" s="1547">
        <f t="shared" si="21"/>
        <v>0</v>
      </c>
      <c r="O261" s="1378">
        <f t="shared" si="22"/>
        <v>0</v>
      </c>
      <c r="P261" s="1492"/>
      <c r="Q261" s="1365">
        <f t="shared" si="9"/>
        <v>0</v>
      </c>
      <c r="R261" s="1540">
        <f t="shared" si="8"/>
        <v>0</v>
      </c>
    </row>
    <row r="262" spans="2:18" s="1394" customFormat="1" ht="18.5" x14ac:dyDescent="0.45">
      <c r="B262" s="1445" t="s">
        <v>2026</v>
      </c>
      <c r="C262" s="1505" t="s">
        <v>2401</v>
      </c>
      <c r="D262" s="1293">
        <f t="shared" si="16"/>
        <v>0</v>
      </c>
      <c r="E262" s="1533">
        <f t="shared" si="16"/>
        <v>0</v>
      </c>
      <c r="F262" s="1534">
        <f t="shared" si="16"/>
        <v>0</v>
      </c>
      <c r="G262" s="1381">
        <f t="shared" si="16"/>
        <v>0</v>
      </c>
      <c r="H262" s="1382">
        <f t="shared" si="17"/>
        <v>0.64400000000000002</v>
      </c>
      <c r="I262" s="1535">
        <f t="shared" si="23"/>
        <v>1412.1372549019609</v>
      </c>
      <c r="J262" s="1536">
        <f t="shared" si="24"/>
        <v>2096</v>
      </c>
      <c r="K262" s="1537">
        <f t="shared" si="25"/>
        <v>0.47499999999999998</v>
      </c>
      <c r="L262" s="1383">
        <f t="shared" si="19"/>
        <v>0</v>
      </c>
      <c r="M262" s="1538">
        <f t="shared" si="20"/>
        <v>0</v>
      </c>
      <c r="N262" s="1539">
        <f t="shared" si="21"/>
        <v>0</v>
      </c>
      <c r="O262" s="1364">
        <f t="shared" si="22"/>
        <v>0</v>
      </c>
      <c r="P262" s="1492"/>
      <c r="Q262" s="1357">
        <f t="shared" si="9"/>
        <v>0</v>
      </c>
      <c r="R262" s="1548">
        <f t="shared" si="8"/>
        <v>0</v>
      </c>
    </row>
    <row r="263" spans="2:18" s="1394" customFormat="1" ht="18.5" x14ac:dyDescent="0.45">
      <c r="B263" s="1442" t="s">
        <v>2075</v>
      </c>
      <c r="C263" s="1502" t="s">
        <v>2401</v>
      </c>
      <c r="D263" s="1287">
        <f t="shared" si="16"/>
        <v>0</v>
      </c>
      <c r="E263" s="1541">
        <f t="shared" si="16"/>
        <v>0</v>
      </c>
      <c r="F263" s="1542">
        <f t="shared" si="16"/>
        <v>0</v>
      </c>
      <c r="G263" s="1375">
        <f t="shared" si="16"/>
        <v>0</v>
      </c>
      <c r="H263" s="1376">
        <f t="shared" si="17"/>
        <v>0.64400000000000002</v>
      </c>
      <c r="I263" s="1543">
        <f t="shared" si="23"/>
        <v>1486.705882352941</v>
      </c>
      <c r="J263" s="1544">
        <f t="shared" si="24"/>
        <v>1987</v>
      </c>
      <c r="K263" s="1545">
        <f t="shared" si="25"/>
        <v>0.61899999999999999</v>
      </c>
      <c r="L263" s="1377">
        <f t="shared" si="19"/>
        <v>0</v>
      </c>
      <c r="M263" s="1546">
        <f t="shared" si="20"/>
        <v>0</v>
      </c>
      <c r="N263" s="1547">
        <f t="shared" si="21"/>
        <v>0</v>
      </c>
      <c r="O263" s="1378">
        <f t="shared" si="22"/>
        <v>0</v>
      </c>
      <c r="P263" s="1492"/>
      <c r="Q263" s="1365">
        <f t="shared" si="9"/>
        <v>0</v>
      </c>
      <c r="R263" s="1540">
        <f t="shared" si="8"/>
        <v>0</v>
      </c>
    </row>
    <row r="264" spans="2:18" s="1394" customFormat="1" ht="18.5" x14ac:dyDescent="0.45">
      <c r="B264" s="1445" t="s">
        <v>2029</v>
      </c>
      <c r="C264" s="1505" t="s">
        <v>2401</v>
      </c>
      <c r="D264" s="1293">
        <f t="shared" si="16"/>
        <v>0</v>
      </c>
      <c r="E264" s="1533">
        <f t="shared" si="16"/>
        <v>0</v>
      </c>
      <c r="F264" s="1534">
        <f t="shared" si="16"/>
        <v>0</v>
      </c>
      <c r="G264" s="1381">
        <f t="shared" si="16"/>
        <v>0</v>
      </c>
      <c r="H264" s="1382">
        <f t="shared" si="17"/>
        <v>0.64400000000000002</v>
      </c>
      <c r="I264" s="1535">
        <f t="shared" si="23"/>
        <v>1692.4117647058822</v>
      </c>
      <c r="J264" s="1536">
        <f t="shared" si="24"/>
        <v>3141</v>
      </c>
      <c r="K264" s="1537">
        <f t="shared" si="25"/>
        <v>0.28799999999999998</v>
      </c>
      <c r="L264" s="1383">
        <f t="shared" si="19"/>
        <v>0</v>
      </c>
      <c r="M264" s="1538">
        <f t="shared" si="20"/>
        <v>0</v>
      </c>
      <c r="N264" s="1539">
        <f t="shared" si="21"/>
        <v>0</v>
      </c>
      <c r="O264" s="1364">
        <f t="shared" si="22"/>
        <v>0</v>
      </c>
      <c r="P264" s="1492"/>
      <c r="Q264" s="1357">
        <f t="shared" si="9"/>
        <v>0</v>
      </c>
      <c r="R264" s="1548">
        <f t="shared" si="8"/>
        <v>0</v>
      </c>
    </row>
    <row r="265" spans="2:18" s="1394" customFormat="1" ht="18.5" x14ac:dyDescent="0.45">
      <c r="B265" s="1442" t="s">
        <v>2356</v>
      </c>
      <c r="C265" s="1502" t="s">
        <v>2401</v>
      </c>
      <c r="D265" s="1287">
        <f t="shared" si="16"/>
        <v>0</v>
      </c>
      <c r="E265" s="1541">
        <f t="shared" si="16"/>
        <v>0</v>
      </c>
      <c r="F265" s="1542">
        <f t="shared" si="16"/>
        <v>0</v>
      </c>
      <c r="G265" s="1375">
        <f t="shared" si="16"/>
        <v>0</v>
      </c>
      <c r="H265" s="1376">
        <f t="shared" si="17"/>
        <v>0.64400000000000002</v>
      </c>
      <c r="I265" s="1543">
        <f t="shared" si="23"/>
        <v>1098.5882352941176</v>
      </c>
      <c r="J265" s="1544">
        <f t="shared" si="24"/>
        <v>8760</v>
      </c>
      <c r="K265" s="1545">
        <f t="shared" si="25"/>
        <v>0.64800000000000002</v>
      </c>
      <c r="L265" s="1377">
        <f t="shared" si="19"/>
        <v>0</v>
      </c>
      <c r="M265" s="1546">
        <f t="shared" si="20"/>
        <v>0</v>
      </c>
      <c r="N265" s="1547">
        <f t="shared" si="21"/>
        <v>0</v>
      </c>
      <c r="O265" s="1378">
        <f t="shared" si="22"/>
        <v>0</v>
      </c>
      <c r="P265" s="1492"/>
      <c r="Q265" s="1365">
        <f t="shared" si="9"/>
        <v>0</v>
      </c>
      <c r="R265" s="1540">
        <f t="shared" si="8"/>
        <v>0</v>
      </c>
    </row>
    <row r="266" spans="2:18" s="1394" customFormat="1" ht="18.5" x14ac:dyDescent="0.45">
      <c r="B266" s="1445" t="s">
        <v>2357</v>
      </c>
      <c r="C266" s="1505" t="s">
        <v>2401</v>
      </c>
      <c r="D266" s="1293">
        <f t="shared" si="16"/>
        <v>0</v>
      </c>
      <c r="E266" s="1533">
        <f t="shared" si="16"/>
        <v>0</v>
      </c>
      <c r="F266" s="1534">
        <f t="shared" si="16"/>
        <v>0</v>
      </c>
      <c r="G266" s="1381">
        <f t="shared" si="16"/>
        <v>0</v>
      </c>
      <c r="H266" s="1382">
        <f t="shared" si="17"/>
        <v>0.64400000000000002</v>
      </c>
      <c r="I266" s="1535">
        <f t="shared" si="23"/>
        <v>1284.5098039215686</v>
      </c>
      <c r="J266" s="1536">
        <f t="shared" si="24"/>
        <v>2881</v>
      </c>
      <c r="K266" s="1537">
        <f t="shared" si="25"/>
        <v>0.61499999999999999</v>
      </c>
      <c r="L266" s="1383">
        <f t="shared" si="19"/>
        <v>0</v>
      </c>
      <c r="M266" s="1538">
        <f t="shared" si="20"/>
        <v>0</v>
      </c>
      <c r="N266" s="1539">
        <f t="shared" si="21"/>
        <v>0</v>
      </c>
      <c r="O266" s="1364">
        <f t="shared" si="22"/>
        <v>0</v>
      </c>
      <c r="P266" s="1492"/>
      <c r="Q266" s="1357">
        <f t="shared" si="9"/>
        <v>0</v>
      </c>
      <c r="R266" s="1548">
        <f t="shared" si="8"/>
        <v>0</v>
      </c>
    </row>
    <row r="267" spans="2:18" s="1394" customFormat="1" ht="18.5" x14ac:dyDescent="0.45">
      <c r="B267" s="1442" t="s">
        <v>2358</v>
      </c>
      <c r="C267" s="1502" t="s">
        <v>2401</v>
      </c>
      <c r="D267" s="1287">
        <f t="shared" si="16"/>
        <v>0</v>
      </c>
      <c r="E267" s="1541">
        <f t="shared" si="16"/>
        <v>0</v>
      </c>
      <c r="F267" s="1542">
        <f t="shared" si="16"/>
        <v>0</v>
      </c>
      <c r="G267" s="1375">
        <f t="shared" si="16"/>
        <v>0</v>
      </c>
      <c r="H267" s="1376">
        <f t="shared" si="17"/>
        <v>0.64400000000000002</v>
      </c>
      <c r="I267" s="1543">
        <f t="shared" si="23"/>
        <v>648.41176470588243</v>
      </c>
      <c r="J267" s="1544">
        <f t="shared" si="24"/>
        <v>2788</v>
      </c>
      <c r="K267" s="1545">
        <f t="shared" si="25"/>
        <v>0.57599999999999996</v>
      </c>
      <c r="L267" s="1377">
        <f t="shared" si="19"/>
        <v>0</v>
      </c>
      <c r="M267" s="1546">
        <f t="shared" si="20"/>
        <v>0</v>
      </c>
      <c r="N267" s="1547">
        <f t="shared" si="21"/>
        <v>0</v>
      </c>
      <c r="O267" s="1378">
        <f t="shared" si="22"/>
        <v>0</v>
      </c>
      <c r="P267" s="1492"/>
      <c r="Q267" s="1365">
        <f t="shared" si="9"/>
        <v>0</v>
      </c>
      <c r="R267" s="1540">
        <f t="shared" si="8"/>
        <v>0</v>
      </c>
    </row>
    <row r="268" spans="2:18" s="1394" customFormat="1" ht="18.5" x14ac:dyDescent="0.45">
      <c r="B268" s="1445" t="s">
        <v>2162</v>
      </c>
      <c r="C268" s="1505" t="s">
        <v>2401</v>
      </c>
      <c r="D268" s="1293">
        <f t="shared" si="16"/>
        <v>0</v>
      </c>
      <c r="E268" s="1533">
        <f t="shared" si="16"/>
        <v>0</v>
      </c>
      <c r="F268" s="1534">
        <f t="shared" si="16"/>
        <v>0</v>
      </c>
      <c r="G268" s="1381">
        <f t="shared" si="16"/>
        <v>0</v>
      </c>
      <c r="H268" s="1382">
        <f t="shared" si="17"/>
        <v>0.64400000000000002</v>
      </c>
      <c r="I268" s="1535">
        <f t="shared" si="23"/>
        <v>1400.0588235294117</v>
      </c>
      <c r="J268" s="1536">
        <f t="shared" si="24"/>
        <v>8729</v>
      </c>
      <c r="K268" s="1537">
        <f t="shared" si="25"/>
        <v>0.60899999999999999</v>
      </c>
      <c r="L268" s="1383">
        <f t="shared" si="19"/>
        <v>0</v>
      </c>
      <c r="M268" s="1538">
        <f t="shared" si="20"/>
        <v>0</v>
      </c>
      <c r="N268" s="1539">
        <f t="shared" si="21"/>
        <v>0</v>
      </c>
      <c r="O268" s="1364">
        <f t="shared" si="22"/>
        <v>0</v>
      </c>
      <c r="P268" s="1492"/>
      <c r="Q268" s="1357">
        <f t="shared" si="9"/>
        <v>0</v>
      </c>
      <c r="R268" s="1548">
        <f t="shared" si="8"/>
        <v>0</v>
      </c>
    </row>
    <row r="269" spans="2:18" s="1394" customFormat="1" ht="18.5" x14ac:dyDescent="0.45">
      <c r="B269" s="1442" t="s">
        <v>2325</v>
      </c>
      <c r="C269" s="1502" t="s">
        <v>2401</v>
      </c>
      <c r="D269" s="1287">
        <f t="shared" si="16"/>
        <v>0</v>
      </c>
      <c r="E269" s="1541">
        <f t="shared" si="16"/>
        <v>0</v>
      </c>
      <c r="F269" s="1542">
        <f t="shared" si="16"/>
        <v>0</v>
      </c>
      <c r="G269" s="1375">
        <f t="shared" si="16"/>
        <v>0</v>
      </c>
      <c r="H269" s="1376">
        <f t="shared" si="17"/>
        <v>0.64400000000000002</v>
      </c>
      <c r="I269" s="1543">
        <f t="shared" si="23"/>
        <v>1495.8823529411764</v>
      </c>
      <c r="J269" s="1544">
        <f t="shared" si="24"/>
        <v>8712</v>
      </c>
      <c r="K269" s="1545">
        <f t="shared" si="25"/>
        <v>0.629</v>
      </c>
      <c r="L269" s="1377">
        <f t="shared" si="19"/>
        <v>0</v>
      </c>
      <c r="M269" s="1546">
        <f t="shared" si="20"/>
        <v>0</v>
      </c>
      <c r="N269" s="1547">
        <f t="shared" si="21"/>
        <v>0</v>
      </c>
      <c r="O269" s="1378">
        <f t="shared" si="22"/>
        <v>0</v>
      </c>
      <c r="P269" s="1492"/>
      <c r="Q269" s="1365">
        <f t="shared" si="9"/>
        <v>0</v>
      </c>
      <c r="R269" s="1540">
        <f t="shared" si="8"/>
        <v>0</v>
      </c>
    </row>
    <row r="270" spans="2:18" s="1394" customFormat="1" ht="18.5" x14ac:dyDescent="0.45">
      <c r="B270" s="1445" t="s">
        <v>2073</v>
      </c>
      <c r="C270" s="1505" t="s">
        <v>2401</v>
      </c>
      <c r="D270" s="1293">
        <f t="shared" ref="D270:G285" si="26">D196</f>
        <v>0</v>
      </c>
      <c r="E270" s="1533">
        <f t="shared" si="26"/>
        <v>0</v>
      </c>
      <c r="F270" s="1534">
        <f t="shared" si="26"/>
        <v>0</v>
      </c>
      <c r="G270" s="1381">
        <f t="shared" si="26"/>
        <v>0</v>
      </c>
      <c r="H270" s="1382">
        <f t="shared" si="17"/>
        <v>0.64400000000000002</v>
      </c>
      <c r="I270" s="1535">
        <f t="shared" si="23"/>
        <v>1587.5882352941178</v>
      </c>
      <c r="J270" s="1536">
        <f t="shared" si="24"/>
        <v>8712</v>
      </c>
      <c r="K270" s="1537">
        <f t="shared" si="25"/>
        <v>0.64600000000000002</v>
      </c>
      <c r="L270" s="1383">
        <f t="shared" si="19"/>
        <v>0</v>
      </c>
      <c r="M270" s="1538">
        <f t="shared" si="20"/>
        <v>0</v>
      </c>
      <c r="N270" s="1539">
        <f t="shared" si="21"/>
        <v>0</v>
      </c>
      <c r="O270" s="1364">
        <f t="shared" si="22"/>
        <v>0</v>
      </c>
      <c r="P270" s="1492"/>
      <c r="Q270" s="1357">
        <f t="shared" si="9"/>
        <v>0</v>
      </c>
      <c r="R270" s="1548">
        <f t="shared" si="8"/>
        <v>0</v>
      </c>
    </row>
    <row r="271" spans="2:18" s="1394" customFormat="1" ht="18.5" x14ac:dyDescent="0.45">
      <c r="B271" s="1442" t="s">
        <v>2166</v>
      </c>
      <c r="C271" s="1502" t="s">
        <v>2401</v>
      </c>
      <c r="D271" s="1287">
        <f t="shared" si="26"/>
        <v>0</v>
      </c>
      <c r="E271" s="1541">
        <f t="shared" si="26"/>
        <v>0</v>
      </c>
      <c r="F271" s="1542">
        <f t="shared" si="26"/>
        <v>0</v>
      </c>
      <c r="G271" s="1375">
        <f t="shared" si="26"/>
        <v>0</v>
      </c>
      <c r="H271" s="1376">
        <f t="shared" si="17"/>
        <v>0.64400000000000002</v>
      </c>
      <c r="I271" s="1543">
        <f t="shared" si="23"/>
        <v>1456.4509803921569</v>
      </c>
      <c r="J271" s="1544">
        <f t="shared" si="24"/>
        <v>4479</v>
      </c>
      <c r="K271" s="1545">
        <f t="shared" si="25"/>
        <v>0.629</v>
      </c>
      <c r="L271" s="1377">
        <f t="shared" si="19"/>
        <v>0</v>
      </c>
      <c r="M271" s="1546">
        <f t="shared" si="20"/>
        <v>0</v>
      </c>
      <c r="N271" s="1547">
        <f t="shared" si="21"/>
        <v>0</v>
      </c>
      <c r="O271" s="1378">
        <f t="shared" si="22"/>
        <v>0</v>
      </c>
      <c r="P271" s="1492"/>
      <c r="Q271" s="1365">
        <f t="shared" si="9"/>
        <v>0</v>
      </c>
      <c r="R271" s="1540">
        <f t="shared" si="8"/>
        <v>0</v>
      </c>
    </row>
    <row r="272" spans="2:18" s="1394" customFormat="1" ht="18.5" x14ac:dyDescent="0.45">
      <c r="B272" s="1445" t="s">
        <v>2163</v>
      </c>
      <c r="C272" s="1505" t="s">
        <v>2401</v>
      </c>
      <c r="D272" s="1293">
        <f t="shared" si="26"/>
        <v>0</v>
      </c>
      <c r="E272" s="1533">
        <f t="shared" si="26"/>
        <v>0</v>
      </c>
      <c r="F272" s="1534">
        <f t="shared" si="26"/>
        <v>0</v>
      </c>
      <c r="G272" s="1381">
        <f t="shared" si="26"/>
        <v>0</v>
      </c>
      <c r="H272" s="1382">
        <f t="shared" si="17"/>
        <v>0.64400000000000002</v>
      </c>
      <c r="I272" s="1535">
        <f t="shared" si="23"/>
        <v>899.50980392156862</v>
      </c>
      <c r="J272" s="1536">
        <f t="shared" si="24"/>
        <v>2805</v>
      </c>
      <c r="K272" s="1537">
        <f t="shared" si="25"/>
        <v>0.433</v>
      </c>
      <c r="L272" s="1383">
        <f t="shared" si="19"/>
        <v>0</v>
      </c>
      <c r="M272" s="1538">
        <f t="shared" si="20"/>
        <v>0</v>
      </c>
      <c r="N272" s="1539">
        <f t="shared" si="21"/>
        <v>0</v>
      </c>
      <c r="O272" s="1364">
        <f t="shared" si="22"/>
        <v>0</v>
      </c>
      <c r="P272" s="1492"/>
      <c r="Q272" s="1357">
        <f t="shared" si="9"/>
        <v>0</v>
      </c>
      <c r="R272" s="1548">
        <f t="shared" si="8"/>
        <v>0</v>
      </c>
    </row>
    <row r="273" spans="2:18" s="1394" customFormat="1" ht="18.5" x14ac:dyDescent="0.45">
      <c r="B273" s="1442" t="s">
        <v>2181</v>
      </c>
      <c r="C273" s="1502" t="s">
        <v>2401</v>
      </c>
      <c r="D273" s="1287">
        <f t="shared" si="26"/>
        <v>0</v>
      </c>
      <c r="E273" s="1541">
        <f t="shared" si="26"/>
        <v>0</v>
      </c>
      <c r="F273" s="1542">
        <f t="shared" si="26"/>
        <v>0</v>
      </c>
      <c r="G273" s="1375">
        <f t="shared" si="26"/>
        <v>0</v>
      </c>
      <c r="H273" s="1376">
        <f t="shared" si="17"/>
        <v>0.64400000000000002</v>
      </c>
      <c r="I273" s="1543">
        <f t="shared" si="23"/>
        <v>1415.1372549019607</v>
      </c>
      <c r="J273" s="1544">
        <f t="shared" si="24"/>
        <v>4237</v>
      </c>
      <c r="K273" s="1545">
        <f t="shared" si="25"/>
        <v>0.437</v>
      </c>
      <c r="L273" s="1377">
        <f t="shared" si="19"/>
        <v>0</v>
      </c>
      <c r="M273" s="1546">
        <f t="shared" si="20"/>
        <v>0</v>
      </c>
      <c r="N273" s="1547">
        <f t="shared" si="21"/>
        <v>0</v>
      </c>
      <c r="O273" s="1378">
        <f t="shared" si="22"/>
        <v>0</v>
      </c>
      <c r="P273" s="1492"/>
      <c r="Q273" s="1365">
        <f t="shared" si="9"/>
        <v>0</v>
      </c>
      <c r="R273" s="1540">
        <f t="shared" si="8"/>
        <v>0</v>
      </c>
    </row>
    <row r="274" spans="2:18" s="1394" customFormat="1" ht="18.5" x14ac:dyDescent="0.45">
      <c r="B274" s="1445" t="s">
        <v>2164</v>
      </c>
      <c r="C274" s="1505" t="s">
        <v>2401</v>
      </c>
      <c r="D274" s="1293">
        <f t="shared" si="26"/>
        <v>0</v>
      </c>
      <c r="E274" s="1533">
        <f t="shared" si="26"/>
        <v>0</v>
      </c>
      <c r="F274" s="1534">
        <f t="shared" si="26"/>
        <v>0</v>
      </c>
      <c r="G274" s="1381">
        <f t="shared" si="26"/>
        <v>0</v>
      </c>
      <c r="H274" s="1382">
        <f t="shared" si="17"/>
        <v>0.64400000000000002</v>
      </c>
      <c r="I274" s="1535">
        <f t="shared" si="23"/>
        <v>512.23529411764696</v>
      </c>
      <c r="J274" s="1536">
        <f t="shared" si="24"/>
        <v>4237</v>
      </c>
      <c r="K274" s="1537">
        <f t="shared" si="25"/>
        <v>0.437</v>
      </c>
      <c r="L274" s="1383">
        <f t="shared" si="19"/>
        <v>0</v>
      </c>
      <c r="M274" s="1538">
        <f t="shared" si="20"/>
        <v>0</v>
      </c>
      <c r="N274" s="1539">
        <f t="shared" si="21"/>
        <v>0</v>
      </c>
      <c r="O274" s="1364">
        <f t="shared" si="22"/>
        <v>0</v>
      </c>
      <c r="P274" s="1492"/>
      <c r="Q274" s="1357">
        <f t="shared" si="9"/>
        <v>0</v>
      </c>
      <c r="R274" s="1548">
        <f t="shared" si="8"/>
        <v>0</v>
      </c>
    </row>
    <row r="275" spans="2:18" s="1394" customFormat="1" ht="18.5" x14ac:dyDescent="0.45">
      <c r="B275" s="1442" t="s">
        <v>2336</v>
      </c>
      <c r="C275" s="1502" t="s">
        <v>2401</v>
      </c>
      <c r="D275" s="1287">
        <f t="shared" si="26"/>
        <v>0</v>
      </c>
      <c r="E275" s="1541">
        <f t="shared" si="26"/>
        <v>0</v>
      </c>
      <c r="F275" s="1542">
        <f t="shared" si="26"/>
        <v>0</v>
      </c>
      <c r="G275" s="1375">
        <f t="shared" si="26"/>
        <v>0</v>
      </c>
      <c r="H275" s="1376">
        <f t="shared" si="17"/>
        <v>0.64400000000000002</v>
      </c>
      <c r="I275" s="1543">
        <f t="shared" si="23"/>
        <v>1493.6862745098038</v>
      </c>
      <c r="J275" s="1544">
        <f t="shared" si="24"/>
        <v>4237</v>
      </c>
      <c r="K275" s="1545">
        <f t="shared" si="25"/>
        <v>0.43</v>
      </c>
      <c r="L275" s="1377">
        <f t="shared" si="19"/>
        <v>0</v>
      </c>
      <c r="M275" s="1546">
        <f t="shared" si="20"/>
        <v>0</v>
      </c>
      <c r="N275" s="1547">
        <f t="shared" si="21"/>
        <v>0</v>
      </c>
      <c r="O275" s="1378">
        <f t="shared" si="22"/>
        <v>0</v>
      </c>
      <c r="P275" s="1492"/>
      <c r="Q275" s="1365">
        <f t="shared" si="9"/>
        <v>0</v>
      </c>
      <c r="R275" s="1540">
        <f t="shared" si="8"/>
        <v>0</v>
      </c>
    </row>
    <row r="276" spans="2:18" s="1394" customFormat="1" ht="18.5" x14ac:dyDescent="0.45">
      <c r="B276" s="1445" t="s">
        <v>2165</v>
      </c>
      <c r="C276" s="1505" t="s">
        <v>2401</v>
      </c>
      <c r="D276" s="1293">
        <f t="shared" si="26"/>
        <v>0</v>
      </c>
      <c r="E276" s="1533">
        <f t="shared" si="26"/>
        <v>0</v>
      </c>
      <c r="F276" s="1534">
        <f t="shared" si="26"/>
        <v>0</v>
      </c>
      <c r="G276" s="1381">
        <f t="shared" si="26"/>
        <v>0</v>
      </c>
      <c r="H276" s="1382">
        <f t="shared" si="17"/>
        <v>0.64400000000000002</v>
      </c>
      <c r="I276" s="1535">
        <f t="shared" si="23"/>
        <v>1630.1960784313726</v>
      </c>
      <c r="J276" s="1536">
        <f t="shared" si="24"/>
        <v>2899</v>
      </c>
      <c r="K276" s="1537">
        <f t="shared" si="25"/>
        <v>0.24299999999999999</v>
      </c>
      <c r="L276" s="1383">
        <f t="shared" si="19"/>
        <v>0</v>
      </c>
      <c r="M276" s="1538">
        <f t="shared" si="20"/>
        <v>0</v>
      </c>
      <c r="N276" s="1539">
        <f t="shared" si="21"/>
        <v>0</v>
      </c>
      <c r="O276" s="1364">
        <f t="shared" si="22"/>
        <v>0</v>
      </c>
      <c r="P276" s="1492"/>
      <c r="Q276" s="1357">
        <f t="shared" si="9"/>
        <v>0</v>
      </c>
      <c r="R276" s="1548">
        <f t="shared" si="8"/>
        <v>0</v>
      </c>
    </row>
    <row r="277" spans="2:18" s="1394" customFormat="1" ht="18.5" x14ac:dyDescent="0.45">
      <c r="B277" s="1442" t="s">
        <v>2167</v>
      </c>
      <c r="C277" s="1502" t="s">
        <v>2401</v>
      </c>
      <c r="D277" s="1287">
        <f t="shared" si="26"/>
        <v>0</v>
      </c>
      <c r="E277" s="1541">
        <f t="shared" si="26"/>
        <v>0</v>
      </c>
      <c r="F277" s="1542">
        <f t="shared" si="26"/>
        <v>0</v>
      </c>
      <c r="G277" s="1375">
        <f t="shared" si="26"/>
        <v>0</v>
      </c>
      <c r="H277" s="1376">
        <f t="shared" si="17"/>
        <v>0.64400000000000002</v>
      </c>
      <c r="I277" s="1543">
        <f t="shared" si="23"/>
        <v>1698.2156862745098</v>
      </c>
      <c r="J277" s="1544">
        <f t="shared" si="24"/>
        <v>2120</v>
      </c>
      <c r="K277" s="1545">
        <f t="shared" si="25"/>
        <v>0.41899999999999998</v>
      </c>
      <c r="L277" s="1377">
        <f t="shared" si="19"/>
        <v>0</v>
      </c>
      <c r="M277" s="1546">
        <f t="shared" si="20"/>
        <v>0</v>
      </c>
      <c r="N277" s="1547">
        <f t="shared" si="21"/>
        <v>0</v>
      </c>
      <c r="O277" s="1378">
        <f t="shared" si="22"/>
        <v>0</v>
      </c>
      <c r="P277" s="1492"/>
      <c r="Q277" s="1365">
        <f t="shared" si="9"/>
        <v>0</v>
      </c>
      <c r="R277" s="1540">
        <f t="shared" si="8"/>
        <v>0</v>
      </c>
    </row>
    <row r="278" spans="2:18" s="1394" customFormat="1" ht="18.5" x14ac:dyDescent="0.45">
      <c r="B278" s="1445" t="s">
        <v>2168</v>
      </c>
      <c r="C278" s="1505" t="s">
        <v>2401</v>
      </c>
      <c r="D278" s="1293">
        <f t="shared" si="26"/>
        <v>0</v>
      </c>
      <c r="E278" s="1533">
        <f t="shared" si="26"/>
        <v>0</v>
      </c>
      <c r="F278" s="1534">
        <f t="shared" si="26"/>
        <v>0</v>
      </c>
      <c r="G278" s="1381">
        <f t="shared" si="26"/>
        <v>0</v>
      </c>
      <c r="H278" s="1382">
        <f t="shared" si="17"/>
        <v>0.64400000000000002</v>
      </c>
      <c r="I278" s="1535">
        <f t="shared" si="23"/>
        <v>936.1960784313726</v>
      </c>
      <c r="J278" s="1536">
        <f t="shared" si="24"/>
        <v>5682</v>
      </c>
      <c r="K278" s="1537">
        <f t="shared" si="25"/>
        <v>0.503</v>
      </c>
      <c r="L278" s="1383">
        <f t="shared" si="19"/>
        <v>0</v>
      </c>
      <c r="M278" s="1538">
        <f t="shared" si="20"/>
        <v>0</v>
      </c>
      <c r="N278" s="1539">
        <f t="shared" si="21"/>
        <v>0</v>
      </c>
      <c r="O278" s="1364">
        <f t="shared" si="22"/>
        <v>0</v>
      </c>
      <c r="P278" s="1492"/>
      <c r="Q278" s="1357">
        <f t="shared" si="9"/>
        <v>0</v>
      </c>
      <c r="R278" s="1548">
        <f t="shared" si="8"/>
        <v>0</v>
      </c>
    </row>
    <row r="279" spans="2:18" s="1394" customFormat="1" ht="18.5" x14ac:dyDescent="0.45">
      <c r="B279" s="1442" t="s">
        <v>2169</v>
      </c>
      <c r="C279" s="1502" t="s">
        <v>2401</v>
      </c>
      <c r="D279" s="1287">
        <f t="shared" si="26"/>
        <v>0</v>
      </c>
      <c r="E279" s="1541">
        <f t="shared" si="26"/>
        <v>0</v>
      </c>
      <c r="F279" s="1542">
        <f t="shared" si="26"/>
        <v>0</v>
      </c>
      <c r="G279" s="1375">
        <f t="shared" si="26"/>
        <v>0</v>
      </c>
      <c r="H279" s="1376">
        <f t="shared" si="17"/>
        <v>0.64400000000000002</v>
      </c>
      <c r="I279" s="1543">
        <f t="shared" si="23"/>
        <v>2004.4117647058824</v>
      </c>
      <c r="J279" s="1544">
        <f t="shared" si="24"/>
        <v>4849</v>
      </c>
      <c r="K279" s="1545">
        <f t="shared" si="25"/>
        <v>0.48299999999999998</v>
      </c>
      <c r="L279" s="1377">
        <f t="shared" si="19"/>
        <v>0</v>
      </c>
      <c r="M279" s="1546">
        <f t="shared" si="20"/>
        <v>0</v>
      </c>
      <c r="N279" s="1547">
        <f t="shared" si="21"/>
        <v>0</v>
      </c>
      <c r="O279" s="1378">
        <f t="shared" si="22"/>
        <v>0</v>
      </c>
      <c r="P279" s="1492"/>
      <c r="Q279" s="1365">
        <f t="shared" si="9"/>
        <v>0</v>
      </c>
      <c r="R279" s="1540">
        <f t="shared" si="8"/>
        <v>0</v>
      </c>
    </row>
    <row r="280" spans="2:18" s="1394" customFormat="1" ht="18.5" x14ac:dyDescent="0.45">
      <c r="B280" s="1445" t="s">
        <v>2170</v>
      </c>
      <c r="C280" s="1505" t="s">
        <v>2401</v>
      </c>
      <c r="D280" s="1293">
        <f t="shared" si="26"/>
        <v>0</v>
      </c>
      <c r="E280" s="1533">
        <f t="shared" si="26"/>
        <v>0</v>
      </c>
      <c r="F280" s="1534">
        <f t="shared" si="26"/>
        <v>0</v>
      </c>
      <c r="G280" s="1381">
        <f t="shared" si="26"/>
        <v>0</v>
      </c>
      <c r="H280" s="1382">
        <f t="shared" si="17"/>
        <v>0.64400000000000002</v>
      </c>
      <c r="I280" s="1535">
        <f t="shared" si="23"/>
        <v>1262.7843137254904</v>
      </c>
      <c r="J280" s="1536">
        <f t="shared" si="24"/>
        <v>2038</v>
      </c>
      <c r="K280" s="1537">
        <f t="shared" si="25"/>
        <v>0.432</v>
      </c>
      <c r="L280" s="1383">
        <f t="shared" si="19"/>
        <v>0</v>
      </c>
      <c r="M280" s="1538">
        <f t="shared" si="20"/>
        <v>0</v>
      </c>
      <c r="N280" s="1539">
        <f t="shared" si="21"/>
        <v>0</v>
      </c>
      <c r="O280" s="1364">
        <f t="shared" si="22"/>
        <v>0</v>
      </c>
      <c r="P280" s="1492"/>
      <c r="Q280" s="1357">
        <f t="shared" si="9"/>
        <v>0</v>
      </c>
      <c r="R280" s="1548">
        <f t="shared" si="8"/>
        <v>0</v>
      </c>
    </row>
    <row r="281" spans="2:18" s="1394" customFormat="1" ht="18.5" x14ac:dyDescent="0.45">
      <c r="B281" s="1442" t="s">
        <v>2171</v>
      </c>
      <c r="C281" s="1502" t="s">
        <v>2401</v>
      </c>
      <c r="D281" s="1287">
        <f t="shared" si="26"/>
        <v>0</v>
      </c>
      <c r="E281" s="1541">
        <f t="shared" si="26"/>
        <v>0</v>
      </c>
      <c r="F281" s="1542">
        <f t="shared" si="26"/>
        <v>0</v>
      </c>
      <c r="G281" s="1375">
        <f t="shared" si="26"/>
        <v>0</v>
      </c>
      <c r="H281" s="1376">
        <f t="shared" si="17"/>
        <v>0.64400000000000002</v>
      </c>
      <c r="I281" s="1543">
        <f t="shared" si="23"/>
        <v>903.1960784313726</v>
      </c>
      <c r="J281" s="1544">
        <f t="shared" si="24"/>
        <v>3069</v>
      </c>
      <c r="K281" s="1545">
        <f t="shared" si="25"/>
        <v>0.46200000000000002</v>
      </c>
      <c r="L281" s="1377">
        <f t="shared" si="19"/>
        <v>0</v>
      </c>
      <c r="M281" s="1546">
        <f t="shared" si="20"/>
        <v>0</v>
      </c>
      <c r="N281" s="1547">
        <f t="shared" si="21"/>
        <v>0</v>
      </c>
      <c r="O281" s="1378">
        <f t="shared" si="22"/>
        <v>0</v>
      </c>
      <c r="P281" s="1492"/>
      <c r="Q281" s="1365">
        <f t="shared" si="9"/>
        <v>0</v>
      </c>
      <c r="R281" s="1540">
        <f t="shared" si="8"/>
        <v>0</v>
      </c>
    </row>
    <row r="282" spans="2:18" s="1394" customFormat="1" ht="18.5" x14ac:dyDescent="0.45">
      <c r="B282" s="1445" t="s">
        <v>2172</v>
      </c>
      <c r="C282" s="1505" t="s">
        <v>2401</v>
      </c>
      <c r="D282" s="1293">
        <f t="shared" si="26"/>
        <v>0</v>
      </c>
      <c r="E282" s="1533">
        <f t="shared" si="26"/>
        <v>0</v>
      </c>
      <c r="F282" s="1534">
        <f t="shared" si="26"/>
        <v>0</v>
      </c>
      <c r="G282" s="1381">
        <f t="shared" si="26"/>
        <v>0</v>
      </c>
      <c r="H282" s="1382">
        <f t="shared" si="17"/>
        <v>0.64400000000000002</v>
      </c>
      <c r="I282" s="1535">
        <f t="shared" si="23"/>
        <v>2375.1176470588239</v>
      </c>
      <c r="J282" s="1536">
        <f t="shared" si="24"/>
        <v>2481</v>
      </c>
      <c r="K282" s="1537">
        <f t="shared" si="25"/>
        <v>0.47399999999999998</v>
      </c>
      <c r="L282" s="1383">
        <f t="shared" si="19"/>
        <v>0</v>
      </c>
      <c r="M282" s="1538">
        <f t="shared" si="20"/>
        <v>0</v>
      </c>
      <c r="N282" s="1539">
        <f t="shared" si="21"/>
        <v>0</v>
      </c>
      <c r="O282" s="1364">
        <f t="shared" si="22"/>
        <v>0</v>
      </c>
      <c r="P282" s="1492"/>
      <c r="Q282" s="1357">
        <f t="shared" si="9"/>
        <v>0</v>
      </c>
      <c r="R282" s="1548">
        <f t="shared" si="8"/>
        <v>0</v>
      </c>
    </row>
    <row r="283" spans="2:18" s="1394" customFormat="1" ht="18.5" x14ac:dyDescent="0.45">
      <c r="B283" s="1442" t="s">
        <v>2173</v>
      </c>
      <c r="C283" s="1502" t="s">
        <v>2401</v>
      </c>
      <c r="D283" s="1287">
        <f t="shared" si="26"/>
        <v>0</v>
      </c>
      <c r="E283" s="1541">
        <f t="shared" si="26"/>
        <v>0</v>
      </c>
      <c r="F283" s="1542">
        <f t="shared" si="26"/>
        <v>0</v>
      </c>
      <c r="G283" s="1375">
        <f t="shared" si="26"/>
        <v>0</v>
      </c>
      <c r="H283" s="1376">
        <f t="shared" si="17"/>
        <v>0.64400000000000002</v>
      </c>
      <c r="I283" s="1543">
        <f t="shared" si="23"/>
        <v>1483.2352941176471</v>
      </c>
      <c r="J283" s="1544">
        <f t="shared" si="24"/>
        <v>1881</v>
      </c>
      <c r="K283" s="1545">
        <f t="shared" si="25"/>
        <v>0.42799999999999999</v>
      </c>
      <c r="L283" s="1377">
        <f t="shared" si="19"/>
        <v>0</v>
      </c>
      <c r="M283" s="1546">
        <f t="shared" si="20"/>
        <v>0</v>
      </c>
      <c r="N283" s="1547">
        <f t="shared" si="21"/>
        <v>0</v>
      </c>
      <c r="O283" s="1378">
        <f t="shared" si="22"/>
        <v>0</v>
      </c>
      <c r="P283" s="1492"/>
      <c r="Q283" s="1365">
        <f t="shared" si="9"/>
        <v>0</v>
      </c>
      <c r="R283" s="1540">
        <f t="shared" si="8"/>
        <v>0</v>
      </c>
    </row>
    <row r="284" spans="2:18" s="1394" customFormat="1" ht="18.5" x14ac:dyDescent="0.45">
      <c r="B284" s="1445" t="s">
        <v>2174</v>
      </c>
      <c r="C284" s="1505" t="s">
        <v>2401</v>
      </c>
      <c r="D284" s="1293">
        <f t="shared" si="26"/>
        <v>0</v>
      </c>
      <c r="E284" s="1533">
        <f t="shared" si="26"/>
        <v>0</v>
      </c>
      <c r="F284" s="1534">
        <f t="shared" si="26"/>
        <v>0</v>
      </c>
      <c r="G284" s="1381">
        <f t="shared" si="26"/>
        <v>0</v>
      </c>
      <c r="H284" s="1382">
        <f t="shared" si="17"/>
        <v>0.64400000000000002</v>
      </c>
      <c r="I284" s="1535">
        <f t="shared" ref="I284:I289" si="27">J168</f>
        <v>1395.7647058823529</v>
      </c>
      <c r="J284" s="1536">
        <f t="shared" ref="J284:K289" si="28">C113</f>
        <v>2830</v>
      </c>
      <c r="K284" s="1537">
        <f t="shared" si="28"/>
        <v>0.433</v>
      </c>
      <c r="L284" s="1383">
        <f t="shared" si="19"/>
        <v>0</v>
      </c>
      <c r="M284" s="1538">
        <f t="shared" si="20"/>
        <v>0</v>
      </c>
      <c r="N284" s="1539">
        <f t="shared" si="21"/>
        <v>0</v>
      </c>
      <c r="O284" s="1364">
        <f t="shared" si="22"/>
        <v>0</v>
      </c>
      <c r="P284" s="1492"/>
      <c r="Q284" s="1357">
        <f t="shared" si="9"/>
        <v>0</v>
      </c>
      <c r="R284" s="1548">
        <f t="shared" si="8"/>
        <v>0</v>
      </c>
    </row>
    <row r="285" spans="2:18" s="1394" customFormat="1" ht="18.5" x14ac:dyDescent="0.45">
      <c r="B285" s="1442" t="s">
        <v>2175</v>
      </c>
      <c r="C285" s="1502" t="s">
        <v>2401</v>
      </c>
      <c r="D285" s="1287">
        <f t="shared" si="26"/>
        <v>0</v>
      </c>
      <c r="E285" s="1541">
        <f t="shared" si="26"/>
        <v>0</v>
      </c>
      <c r="F285" s="1542">
        <f t="shared" si="26"/>
        <v>0</v>
      </c>
      <c r="G285" s="1375">
        <f t="shared" si="26"/>
        <v>0</v>
      </c>
      <c r="H285" s="1376">
        <f t="shared" si="17"/>
        <v>0.64400000000000002</v>
      </c>
      <c r="I285" s="1543">
        <f t="shared" si="27"/>
        <v>1203.1764705882351</v>
      </c>
      <c r="J285" s="1544">
        <f t="shared" si="28"/>
        <v>3350</v>
      </c>
      <c r="K285" s="1545">
        <f t="shared" si="28"/>
        <v>0.48799999999999999</v>
      </c>
      <c r="L285" s="1377">
        <f t="shared" si="19"/>
        <v>0</v>
      </c>
      <c r="M285" s="1546">
        <f t="shared" si="20"/>
        <v>0</v>
      </c>
      <c r="N285" s="1547">
        <f t="shared" si="21"/>
        <v>0</v>
      </c>
      <c r="O285" s="1378">
        <f t="shared" si="22"/>
        <v>0</v>
      </c>
      <c r="P285" s="1492"/>
      <c r="Q285" s="1365">
        <f t="shared" si="9"/>
        <v>0</v>
      </c>
      <c r="R285" s="1540">
        <f t="shared" si="8"/>
        <v>0</v>
      </c>
    </row>
    <row r="286" spans="2:18" s="1394" customFormat="1" ht="18.5" x14ac:dyDescent="0.45">
      <c r="B286" s="1445" t="s">
        <v>2176</v>
      </c>
      <c r="C286" s="1505" t="s">
        <v>2401</v>
      </c>
      <c r="D286" s="1293">
        <f t="shared" ref="D286:G289" si="29">D212</f>
        <v>0</v>
      </c>
      <c r="E286" s="1533">
        <f t="shared" si="29"/>
        <v>0</v>
      </c>
      <c r="F286" s="1534">
        <f t="shared" si="29"/>
        <v>0</v>
      </c>
      <c r="G286" s="1381">
        <f t="shared" si="29"/>
        <v>0</v>
      </c>
      <c r="H286" s="1382">
        <f t="shared" si="17"/>
        <v>0.64400000000000002</v>
      </c>
      <c r="I286" s="1535">
        <f t="shared" si="27"/>
        <v>1200.9411764705883</v>
      </c>
      <c r="J286" s="1536">
        <f t="shared" si="28"/>
        <v>2528</v>
      </c>
      <c r="K286" s="1537">
        <f t="shared" si="28"/>
        <v>0.505</v>
      </c>
      <c r="L286" s="1383">
        <f t="shared" si="19"/>
        <v>0</v>
      </c>
      <c r="M286" s="1538">
        <f t="shared" si="20"/>
        <v>0</v>
      </c>
      <c r="N286" s="1539">
        <f t="shared" si="21"/>
        <v>0</v>
      </c>
      <c r="O286" s="1364">
        <f t="shared" si="22"/>
        <v>0</v>
      </c>
      <c r="P286" s="1492"/>
      <c r="Q286" s="1357">
        <f t="shared" si="9"/>
        <v>0</v>
      </c>
      <c r="R286" s="1548">
        <f t="shared" si="8"/>
        <v>0</v>
      </c>
    </row>
    <row r="287" spans="2:18" s="1394" customFormat="1" ht="18.5" x14ac:dyDescent="0.45">
      <c r="B287" s="1442" t="s">
        <v>2177</v>
      </c>
      <c r="C287" s="1502" t="s">
        <v>2401</v>
      </c>
      <c r="D287" s="1287">
        <f t="shared" si="29"/>
        <v>0</v>
      </c>
      <c r="E287" s="1541">
        <f t="shared" si="29"/>
        <v>0</v>
      </c>
      <c r="F287" s="1542">
        <f t="shared" si="29"/>
        <v>0</v>
      </c>
      <c r="G287" s="1375">
        <f t="shared" si="29"/>
        <v>0</v>
      </c>
      <c r="H287" s="1376">
        <f t="shared" si="17"/>
        <v>0.64400000000000002</v>
      </c>
      <c r="I287" s="1543">
        <f t="shared" si="27"/>
        <v>1200.5294117647059</v>
      </c>
      <c r="J287" s="1544">
        <f t="shared" si="28"/>
        <v>2266</v>
      </c>
      <c r="K287" s="1545">
        <f t="shared" si="28"/>
        <v>0.52800000000000002</v>
      </c>
      <c r="L287" s="1377">
        <f t="shared" si="19"/>
        <v>0</v>
      </c>
      <c r="M287" s="1546">
        <f t="shared" si="20"/>
        <v>0</v>
      </c>
      <c r="N287" s="1547">
        <f t="shared" si="21"/>
        <v>0</v>
      </c>
      <c r="O287" s="1378">
        <f t="shared" si="22"/>
        <v>0</v>
      </c>
      <c r="P287" s="1492"/>
      <c r="Q287" s="1365">
        <f t="shared" si="9"/>
        <v>0</v>
      </c>
      <c r="R287" s="1540">
        <f t="shared" si="8"/>
        <v>0</v>
      </c>
    </row>
    <row r="288" spans="2:18" s="1394" customFormat="1" ht="18.5" x14ac:dyDescent="0.45">
      <c r="B288" s="1445" t="s">
        <v>2027</v>
      </c>
      <c r="C288" s="1505" t="s">
        <v>2401</v>
      </c>
      <c r="D288" s="1293">
        <f t="shared" si="29"/>
        <v>0</v>
      </c>
      <c r="E288" s="1533">
        <f t="shared" si="29"/>
        <v>0</v>
      </c>
      <c r="F288" s="1534">
        <f t="shared" si="29"/>
        <v>0</v>
      </c>
      <c r="G288" s="1381">
        <f t="shared" si="29"/>
        <v>0</v>
      </c>
      <c r="H288" s="1382">
        <f t="shared" si="17"/>
        <v>0.64400000000000002</v>
      </c>
      <c r="I288" s="1535">
        <f t="shared" si="27"/>
        <v>1201.8431372549019</v>
      </c>
      <c r="J288" s="1536">
        <f t="shared" si="28"/>
        <v>770</v>
      </c>
      <c r="K288" s="1537">
        <f t="shared" si="28"/>
        <v>0.22500000000000001</v>
      </c>
      <c r="L288" s="1383">
        <f t="shared" si="19"/>
        <v>0</v>
      </c>
      <c r="M288" s="1538">
        <f t="shared" si="20"/>
        <v>0</v>
      </c>
      <c r="N288" s="1539">
        <f t="shared" si="21"/>
        <v>0</v>
      </c>
      <c r="O288" s="1364">
        <f t="shared" si="22"/>
        <v>0</v>
      </c>
      <c r="P288" s="1492"/>
      <c r="Q288" s="1357">
        <f t="shared" si="9"/>
        <v>0</v>
      </c>
      <c r="R288" s="1548">
        <f t="shared" ref="R288:R289" si="30">Q288*D288</f>
        <v>0</v>
      </c>
    </row>
    <row r="289" spans="2:18" s="1394" customFormat="1" ht="18.5" x14ac:dyDescent="0.45">
      <c r="B289" s="1442" t="s">
        <v>536</v>
      </c>
      <c r="C289" s="1502" t="s">
        <v>2401</v>
      </c>
      <c r="D289" s="1287">
        <f t="shared" si="29"/>
        <v>0</v>
      </c>
      <c r="E289" s="1541">
        <f t="shared" si="29"/>
        <v>0</v>
      </c>
      <c r="F289" s="1542">
        <f t="shared" si="29"/>
        <v>0</v>
      </c>
      <c r="G289" s="1375">
        <f t="shared" si="29"/>
        <v>0</v>
      </c>
      <c r="H289" s="1376">
        <f t="shared" si="17"/>
        <v>0.64400000000000002</v>
      </c>
      <c r="I289" s="1543">
        <f t="shared" si="27"/>
        <v>1516.6666666666665</v>
      </c>
      <c r="J289" s="1544">
        <f t="shared" si="28"/>
        <v>2718</v>
      </c>
      <c r="K289" s="1545">
        <f t="shared" si="28"/>
        <v>0.42399999999999999</v>
      </c>
      <c r="L289" s="1377">
        <f t="shared" si="19"/>
        <v>0</v>
      </c>
      <c r="M289" s="1546">
        <f t="shared" si="20"/>
        <v>0</v>
      </c>
      <c r="N289" s="1547">
        <f t="shared" si="21"/>
        <v>0</v>
      </c>
      <c r="O289" s="1378">
        <f t="shared" si="22"/>
        <v>0</v>
      </c>
      <c r="P289" s="1492"/>
      <c r="Q289" s="1365">
        <f t="shared" ref="Q289" si="31">IFERROR(VLOOKUP(E289,B$122:E$124,4,TRUE),0)</f>
        <v>0</v>
      </c>
      <c r="R289" s="1561">
        <f t="shared" si="30"/>
        <v>0</v>
      </c>
    </row>
    <row r="290" spans="2:18" s="1394" customFormat="1" x14ac:dyDescent="0.35"/>
    <row r="291" spans="2:18" s="1394" customFormat="1" x14ac:dyDescent="0.35"/>
    <row r="292" spans="2:18" s="1394" customFormat="1" x14ac:dyDescent="0.35"/>
    <row r="293" spans="2:18" s="1394" customFormat="1" x14ac:dyDescent="0.35"/>
  </sheetData>
  <mergeCells count="9">
    <mergeCell ref="L220:O220"/>
    <mergeCell ref="B75:C75"/>
    <mergeCell ref="E80:I80"/>
    <mergeCell ref="L81:T81"/>
    <mergeCell ref="D128:E128"/>
    <mergeCell ref="D146:G146"/>
    <mergeCell ref="B220:C220"/>
    <mergeCell ref="D220:G220"/>
    <mergeCell ref="H220:K220"/>
  </mergeCells>
  <conditionalFormatting sqref="B82:B83 B85:B86 B88:B111 B113:B118">
    <cfRule type="expression" dxfId="216" priority="13">
      <formula>B82&lt;&gt;#REF!</formula>
    </cfRule>
  </conditionalFormatting>
  <conditionalFormatting sqref="B84">
    <cfRule type="expression" dxfId="215" priority="12">
      <formula>B84&lt;&gt;#REF!</formula>
    </cfRule>
  </conditionalFormatting>
  <conditionalFormatting sqref="B87">
    <cfRule type="expression" dxfId="214" priority="11">
      <formula>B87&lt;&gt;#REF!</formula>
    </cfRule>
  </conditionalFormatting>
  <conditionalFormatting sqref="B112">
    <cfRule type="expression" dxfId="213" priority="10">
      <formula>B112&lt;&gt;#REF!</formula>
    </cfRule>
  </conditionalFormatting>
  <conditionalFormatting sqref="E82:I83 E85:I86 E88:I111 E113:I118">
    <cfRule type="expression" dxfId="212" priority="9">
      <formula>E82&lt;&gt;#REF!</formula>
    </cfRule>
  </conditionalFormatting>
  <conditionalFormatting sqref="E84:I84">
    <cfRule type="expression" dxfId="211" priority="8">
      <formula>E84&lt;&gt;#REF!</formula>
    </cfRule>
  </conditionalFormatting>
  <conditionalFormatting sqref="E87:I87">
    <cfRule type="expression" dxfId="210" priority="7">
      <formula>E87&lt;&gt;#REF!</formula>
    </cfRule>
  </conditionalFormatting>
  <conditionalFormatting sqref="E112:I112">
    <cfRule type="expression" dxfId="209" priority="6">
      <formula>E112&lt;&gt;#REF!</formula>
    </cfRule>
  </conditionalFormatting>
  <conditionalFormatting sqref="I168:I173 I143:I166">
    <cfRule type="expression" dxfId="208" priority="5">
      <formula>I143&lt;&gt;#REF!</formula>
    </cfRule>
  </conditionalFormatting>
  <conditionalFormatting sqref="I137:I138 I140:I141">
    <cfRule type="expression" dxfId="207" priority="4">
      <formula>I137&lt;&gt;#REF!</formula>
    </cfRule>
  </conditionalFormatting>
  <conditionalFormatting sqref="I139">
    <cfRule type="expression" dxfId="206" priority="3">
      <formula>I139&lt;&gt;#REF!</formula>
    </cfRule>
  </conditionalFormatting>
  <conditionalFormatting sqref="I142">
    <cfRule type="expression" dxfId="205" priority="2">
      <formula>I142&lt;&gt;#REF!</formula>
    </cfRule>
  </conditionalFormatting>
  <conditionalFormatting sqref="I167">
    <cfRule type="expression" dxfId="204" priority="1">
      <formula>I167&lt;&gt;#REF!</formula>
    </cfRule>
  </conditionalFormatting>
  <pageMargins left="0.7" right="0.7" top="0.75" bottom="0.75" header="0.3" footer="0.3"/>
  <pageSetup scale="15" orientation="portrait" r:id="rId1"/>
  <headerFooter>
    <oddHeader>&amp;LAppendix G (Rev.)</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X17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3.17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2444</v>
      </c>
    </row>
    <row r="3" spans="1:6" ht="21" x14ac:dyDescent="0.5">
      <c r="A3" s="704" t="s">
        <v>2445</v>
      </c>
    </row>
    <row r="4" spans="1:6" ht="15" thickBot="1" x14ac:dyDescent="0.4"/>
    <row r="5" spans="1:6" x14ac:dyDescent="0.35">
      <c r="B5" s="678" t="s">
        <v>1947</v>
      </c>
      <c r="C5" s="679">
        <f>C128</f>
        <v>19</v>
      </c>
      <c r="D5" s="680"/>
      <c r="E5" s="680"/>
      <c r="F5" s="680"/>
    </row>
    <row r="6" spans="1:6" x14ac:dyDescent="0.35">
      <c r="B6" s="681" t="s">
        <v>2446</v>
      </c>
      <c r="C6" s="682">
        <f>B128</f>
        <v>25555</v>
      </c>
      <c r="D6" s="680"/>
      <c r="E6" s="683"/>
      <c r="F6" s="680"/>
    </row>
    <row r="7" spans="1:6" x14ac:dyDescent="0.35">
      <c r="B7" s="681" t="s">
        <v>1950</v>
      </c>
      <c r="C7" s="684">
        <v>0</v>
      </c>
      <c r="D7" s="683"/>
      <c r="E7" s="683"/>
      <c r="F7" s="683"/>
    </row>
    <row r="8" spans="1:6" x14ac:dyDescent="0.35">
      <c r="B8" s="681" t="s">
        <v>1951</v>
      </c>
      <c r="C8" s="682">
        <v>0</v>
      </c>
      <c r="D8" s="683"/>
      <c r="E8" s="683"/>
      <c r="F8" s="683"/>
    </row>
    <row r="9" spans="1:6" x14ac:dyDescent="0.35">
      <c r="B9" s="681" t="s">
        <v>1952</v>
      </c>
      <c r="C9" s="684">
        <f>N174</f>
        <v>27036.566458000001</v>
      </c>
      <c r="D9" s="683"/>
      <c r="E9" s="683"/>
      <c r="F9" s="683"/>
    </row>
    <row r="10" spans="1:6" x14ac:dyDescent="0.35">
      <c r="B10" s="681" t="s">
        <v>1953</v>
      </c>
      <c r="C10" s="685">
        <f>O174</f>
        <v>15200.113999999998</v>
      </c>
      <c r="D10" s="686"/>
      <c r="E10" s="686"/>
      <c r="F10" s="686"/>
    </row>
    <row r="11" spans="1:6" x14ac:dyDescent="0.35">
      <c r="B11" s="681" t="s">
        <v>2447</v>
      </c>
      <c r="C11" s="687">
        <f>C9/C6</f>
        <v>1.0579756</v>
      </c>
      <c r="D11" s="830"/>
      <c r="E11" s="686"/>
      <c r="F11" s="686"/>
    </row>
    <row r="12" spans="1:6" x14ac:dyDescent="0.35">
      <c r="B12" s="681" t="s">
        <v>1958</v>
      </c>
      <c r="C12" s="689">
        <f>C10/C9</f>
        <v>0.56220578243959496</v>
      </c>
      <c r="D12" s="690"/>
      <c r="E12" s="690"/>
      <c r="F12" s="690"/>
    </row>
    <row r="13" spans="1:6" ht="15" thickBot="1" x14ac:dyDescent="0.4">
      <c r="B13" s="692" t="s">
        <v>2108</v>
      </c>
      <c r="C13" s="1028">
        <f>S135</f>
        <v>11799</v>
      </c>
      <c r="D13" s="690"/>
      <c r="E13" s="690"/>
      <c r="F13" s="690"/>
    </row>
    <row r="14" spans="1:6" x14ac:dyDescent="0.35">
      <c r="B14" s="694" t="s">
        <v>1961</v>
      </c>
      <c r="C14" s="695"/>
      <c r="D14" s="696"/>
      <c r="E14" s="680"/>
      <c r="F14" s="696"/>
    </row>
    <row r="15" spans="1:6" ht="15" thickBot="1" x14ac:dyDescent="0.4">
      <c r="C15" s="694"/>
      <c r="D15" s="696"/>
      <c r="E15" s="680"/>
      <c r="F15" s="696"/>
    </row>
    <row r="16" spans="1:6" x14ac:dyDescent="0.35">
      <c r="B16" s="678" t="s">
        <v>1964</v>
      </c>
      <c r="C16" s="1573">
        <v>0.49399999999999999</v>
      </c>
      <c r="D16" s="680"/>
      <c r="E16" s="698"/>
      <c r="F16" s="680"/>
    </row>
    <row r="17" spans="1:17" x14ac:dyDescent="0.35">
      <c r="B17" s="681" t="s">
        <v>1967</v>
      </c>
      <c r="C17" s="684">
        <f>C16*C9</f>
        <v>13356.063830252</v>
      </c>
      <c r="D17" s="683"/>
      <c r="E17" s="701"/>
      <c r="F17" s="683"/>
    </row>
    <row r="18" spans="1:17" x14ac:dyDescent="0.35">
      <c r="B18" s="681" t="s">
        <v>1969</v>
      </c>
      <c r="C18" s="689">
        <f>C10/C17</f>
        <v>1.1380683855052529</v>
      </c>
      <c r="D18" s="690"/>
      <c r="E18" s="690"/>
      <c r="F18" s="690"/>
    </row>
    <row r="19" spans="1:17" ht="15" thickBot="1" x14ac:dyDescent="0.4">
      <c r="B19" s="692" t="s">
        <v>1970</v>
      </c>
      <c r="C19" s="702">
        <v>20</v>
      </c>
      <c r="D19" s="680"/>
      <c r="E19" s="680"/>
      <c r="F19" s="680"/>
    </row>
    <row r="20" spans="1:17" x14ac:dyDescent="0.35">
      <c r="B20" s="703"/>
      <c r="C20" s="703"/>
    </row>
    <row r="21" spans="1:17" ht="21" x14ac:dyDescent="0.5">
      <c r="A21" s="704" t="s">
        <v>1971</v>
      </c>
      <c r="B21" s="703"/>
      <c r="C21" s="703"/>
    </row>
    <row r="22" spans="1:17" ht="15" customHeight="1" thickBot="1" x14ac:dyDescent="0.4"/>
    <row r="23" spans="1:17" x14ac:dyDescent="0.35">
      <c r="B23" s="678" t="s">
        <v>2448</v>
      </c>
      <c r="C23" s="705">
        <f>D128</f>
        <v>1345</v>
      </c>
      <c r="D23" s="683"/>
      <c r="E23" s="683"/>
      <c r="F23" s="683"/>
    </row>
    <row r="24" spans="1:17" x14ac:dyDescent="0.35">
      <c r="B24" s="681" t="s">
        <v>1973</v>
      </c>
      <c r="C24" s="684">
        <f>C9/C5</f>
        <v>1422.9771820000001</v>
      </c>
      <c r="D24" s="706"/>
      <c r="E24" s="706"/>
      <c r="F24" s="706"/>
    </row>
    <row r="25" spans="1:17" x14ac:dyDescent="0.35">
      <c r="B25" s="681" t="s">
        <v>1974</v>
      </c>
      <c r="C25" s="707">
        <f>C10/C5</f>
        <v>800.00599999999986</v>
      </c>
    </row>
    <row r="26" spans="1:17" ht="15" thickBot="1" x14ac:dyDescent="0.4">
      <c r="B26" s="692" t="s">
        <v>377</v>
      </c>
      <c r="C26" s="1574">
        <f>C13/C5</f>
        <v>621</v>
      </c>
    </row>
    <row r="28" spans="1:17" ht="21" x14ac:dyDescent="0.5">
      <c r="A28" s="704" t="s">
        <v>1977</v>
      </c>
    </row>
    <row r="29" spans="1:17" ht="18" customHeight="1" thickBot="1" x14ac:dyDescent="0.4"/>
    <row r="30" spans="1:17" x14ac:dyDescent="0.35">
      <c r="B30" s="772" t="s">
        <v>1978</v>
      </c>
      <c r="C30" s="944" t="s">
        <v>1979</v>
      </c>
      <c r="D30" s="712"/>
      <c r="E30" s="712"/>
      <c r="F30" s="712"/>
      <c r="G30" s="698"/>
      <c r="J30" s="3020" t="s">
        <v>2117</v>
      </c>
      <c r="K30" s="3021"/>
      <c r="L30" s="3021"/>
      <c r="M30" s="3021"/>
      <c r="N30" s="3021"/>
      <c r="O30" s="3021"/>
      <c r="P30" s="3021"/>
      <c r="Q30" s="3022"/>
    </row>
    <row r="31" spans="1:17" ht="15" thickBot="1" x14ac:dyDescent="0.4">
      <c r="B31" s="692" t="s">
        <v>2449</v>
      </c>
      <c r="C31" s="1575">
        <v>0.08</v>
      </c>
      <c r="D31" s="1576"/>
      <c r="E31" s="715"/>
      <c r="F31" s="716"/>
      <c r="G31" s="698"/>
      <c r="J31" s="869" t="s">
        <v>1981</v>
      </c>
      <c r="K31" s="870"/>
      <c r="L31" s="870"/>
      <c r="M31" s="870"/>
      <c r="N31" s="870"/>
      <c r="O31" s="870"/>
      <c r="P31" s="870"/>
      <c r="Q31" s="871"/>
    </row>
    <row r="32" spans="1:17" x14ac:dyDescent="0.35">
      <c r="D32" s="698"/>
      <c r="E32" s="698"/>
      <c r="F32" s="718"/>
      <c r="G32" s="698"/>
      <c r="J32" s="873" t="s">
        <v>2450</v>
      </c>
      <c r="K32" s="698"/>
      <c r="L32" s="698"/>
      <c r="M32" s="698"/>
      <c r="N32" s="698"/>
      <c r="O32" s="698"/>
      <c r="P32" s="698"/>
      <c r="Q32" s="874"/>
    </row>
    <row r="33" spans="2:17" ht="18.5" x14ac:dyDescent="0.45">
      <c r="C33" s="3033" t="s">
        <v>3904</v>
      </c>
      <c r="D33" s="3034"/>
      <c r="E33" s="3034"/>
      <c r="F33" s="3034"/>
      <c r="G33" s="3051"/>
      <c r="J33" s="946" t="s">
        <v>1990</v>
      </c>
      <c r="K33" s="698"/>
      <c r="L33" s="698"/>
      <c r="M33" s="698"/>
      <c r="N33" s="698"/>
      <c r="O33" s="698"/>
      <c r="P33" s="698"/>
      <c r="Q33" s="874"/>
    </row>
    <row r="34" spans="2:17" ht="28" x14ac:dyDescent="0.35">
      <c r="B34" s="997" t="s">
        <v>2019</v>
      </c>
      <c r="C34" s="1182" t="s">
        <v>2309</v>
      </c>
      <c r="D34" s="1183" t="s">
        <v>2310</v>
      </c>
      <c r="E34" s="1183" t="s">
        <v>2311</v>
      </c>
      <c r="F34" s="1183" t="s">
        <v>2312</v>
      </c>
      <c r="G34" s="1319" t="s">
        <v>2313</v>
      </c>
      <c r="J34" s="873" t="s">
        <v>2455</v>
      </c>
      <c r="K34" s="698" t="s">
        <v>2112</v>
      </c>
      <c r="L34" s="698" t="s">
        <v>2456</v>
      </c>
      <c r="M34" s="698"/>
      <c r="N34" s="698"/>
      <c r="O34" s="698"/>
      <c r="P34" s="698"/>
      <c r="Q34" s="874"/>
    </row>
    <row r="35" spans="2:17" x14ac:dyDescent="0.35">
      <c r="B35" s="1136" t="s">
        <v>2180</v>
      </c>
      <c r="C35" s="1186">
        <v>1787</v>
      </c>
      <c r="D35" s="1187">
        <v>1831</v>
      </c>
      <c r="E35" s="1187">
        <v>1635</v>
      </c>
      <c r="F35" s="1187">
        <v>1089</v>
      </c>
      <c r="G35" s="1320">
        <v>1669</v>
      </c>
      <c r="J35" s="873" t="s">
        <v>294</v>
      </c>
      <c r="K35" s="698" t="s">
        <v>1992</v>
      </c>
      <c r="L35" s="698" t="s">
        <v>2457</v>
      </c>
      <c r="M35" s="698"/>
      <c r="N35" s="698"/>
      <c r="O35" s="698"/>
      <c r="P35" s="698"/>
      <c r="Q35" s="874"/>
    </row>
    <row r="36" spans="2:17" x14ac:dyDescent="0.35">
      <c r="B36" s="1146" t="s">
        <v>2071</v>
      </c>
      <c r="C36" s="1190">
        <v>1683</v>
      </c>
      <c r="D36" s="1191">
        <v>1646</v>
      </c>
      <c r="E36" s="1191">
        <v>1446</v>
      </c>
      <c r="F36" s="1191">
        <v>1063</v>
      </c>
      <c r="G36" s="1321">
        <v>1277</v>
      </c>
      <c r="J36" s="933" t="s">
        <v>1365</v>
      </c>
      <c r="K36" s="934" t="s">
        <v>1992</v>
      </c>
      <c r="L36" s="934" t="s">
        <v>2458</v>
      </c>
      <c r="M36" s="934"/>
      <c r="N36" s="934"/>
      <c r="O36" s="934"/>
      <c r="P36" s="934"/>
      <c r="Q36" s="935"/>
    </row>
    <row r="37" spans="2:17" x14ac:dyDescent="0.35">
      <c r="B37" s="2683" t="s">
        <v>3906</v>
      </c>
      <c r="C37" s="2684">
        <v>2981</v>
      </c>
      <c r="D37" s="2684">
        <v>2950</v>
      </c>
      <c r="E37" s="2684">
        <v>2694</v>
      </c>
      <c r="F37" s="2684">
        <v>2368</v>
      </c>
      <c r="G37" s="2684">
        <v>2437</v>
      </c>
      <c r="J37" s="2686"/>
      <c r="K37" s="2686"/>
      <c r="L37" s="2686"/>
      <c r="M37" s="2686"/>
      <c r="N37" s="2686"/>
      <c r="O37" s="2686"/>
      <c r="P37" s="2686"/>
      <c r="Q37" s="2686"/>
    </row>
    <row r="38" spans="2:17" x14ac:dyDescent="0.35">
      <c r="B38" s="2680" t="s">
        <v>2157</v>
      </c>
      <c r="C38" s="2681">
        <v>1256</v>
      </c>
      <c r="D38" s="2681">
        <v>1293</v>
      </c>
      <c r="E38" s="2681">
        <v>1138</v>
      </c>
      <c r="F38" s="2681">
        <v>1116</v>
      </c>
      <c r="G38" s="2681">
        <v>1131</v>
      </c>
    </row>
    <row r="39" spans="2:17" x14ac:dyDescent="0.35">
      <c r="B39" s="1146" t="s">
        <v>2158</v>
      </c>
      <c r="C39" s="1190">
        <v>1481</v>
      </c>
      <c r="D39" s="1191">
        <v>1368</v>
      </c>
      <c r="E39" s="1191">
        <v>1214</v>
      </c>
      <c r="F39" s="1191">
        <v>871</v>
      </c>
      <c r="G39" s="1321">
        <v>973</v>
      </c>
    </row>
    <row r="40" spans="2:17" x14ac:dyDescent="0.35">
      <c r="B40" s="2683" t="s">
        <v>3907</v>
      </c>
      <c r="C40" s="2684">
        <v>2848</v>
      </c>
      <c r="D40" s="2684">
        <v>2947</v>
      </c>
      <c r="E40" s="2684">
        <v>2568</v>
      </c>
      <c r="F40" s="2684">
        <v>2362</v>
      </c>
      <c r="G40" s="2684">
        <v>2516</v>
      </c>
    </row>
    <row r="41" spans="2:17" x14ac:dyDescent="0.35">
      <c r="B41" s="2680" t="s">
        <v>2028</v>
      </c>
      <c r="C41" s="2681">
        <v>1614</v>
      </c>
      <c r="D41" s="2681">
        <v>1603</v>
      </c>
      <c r="E41" s="2681">
        <v>1409</v>
      </c>
      <c r="F41" s="2681">
        <v>1209</v>
      </c>
      <c r="G41" s="2681">
        <v>1269</v>
      </c>
    </row>
    <row r="42" spans="2:17" x14ac:dyDescent="0.35">
      <c r="B42" s="1146" t="s">
        <v>2109</v>
      </c>
      <c r="C42" s="1190">
        <v>985</v>
      </c>
      <c r="D42" s="1191">
        <v>969</v>
      </c>
      <c r="E42" s="1191">
        <v>852</v>
      </c>
      <c r="F42" s="1191">
        <v>680</v>
      </c>
      <c r="G42" s="1321">
        <v>752</v>
      </c>
    </row>
    <row r="43" spans="2:17" x14ac:dyDescent="0.35">
      <c r="B43" s="2680" t="s">
        <v>2026</v>
      </c>
      <c r="C43" s="2681">
        <v>1467</v>
      </c>
      <c r="D43" s="2681">
        <v>1551</v>
      </c>
      <c r="E43" s="2681">
        <v>1364</v>
      </c>
      <c r="F43" s="2681">
        <v>1367</v>
      </c>
      <c r="G43" s="2681">
        <v>1375</v>
      </c>
    </row>
    <row r="44" spans="2:17" x14ac:dyDescent="0.35">
      <c r="B44" s="2680" t="s">
        <v>2075</v>
      </c>
      <c r="C44" s="2681">
        <v>1446</v>
      </c>
      <c r="D44" s="2681">
        <v>1526</v>
      </c>
      <c r="E44" s="2681">
        <v>1452</v>
      </c>
      <c r="F44" s="2681">
        <v>1553</v>
      </c>
      <c r="G44" s="2681">
        <v>1574</v>
      </c>
    </row>
    <row r="45" spans="2:17" x14ac:dyDescent="0.35">
      <c r="B45" s="2680" t="s">
        <v>2029</v>
      </c>
      <c r="C45" s="2681">
        <v>1807</v>
      </c>
      <c r="D45" s="2681">
        <v>1855</v>
      </c>
      <c r="E45" s="2681">
        <v>1649</v>
      </c>
      <c r="F45" s="2681">
        <v>1591</v>
      </c>
      <c r="G45" s="2681">
        <v>1622</v>
      </c>
    </row>
    <row r="46" spans="2:17" x14ac:dyDescent="0.35">
      <c r="B46" s="2680" t="s">
        <v>2159</v>
      </c>
      <c r="C46" s="2681">
        <v>1216</v>
      </c>
      <c r="D46" s="2681">
        <v>1220</v>
      </c>
      <c r="E46" s="2681">
        <v>1072</v>
      </c>
      <c r="F46" s="2681">
        <v>1001</v>
      </c>
      <c r="G46" s="2681">
        <v>1028</v>
      </c>
    </row>
    <row r="47" spans="2:17" x14ac:dyDescent="0.35">
      <c r="B47" s="2680" t="s">
        <v>2160</v>
      </c>
      <c r="C47" s="2681">
        <v>1387</v>
      </c>
      <c r="D47" s="2681">
        <v>1398</v>
      </c>
      <c r="E47" s="2681">
        <v>1252</v>
      </c>
      <c r="F47" s="2681">
        <v>1222</v>
      </c>
      <c r="G47" s="2681">
        <v>1269</v>
      </c>
    </row>
    <row r="48" spans="2:17" x14ac:dyDescent="0.35">
      <c r="B48" s="2680" t="s">
        <v>2161</v>
      </c>
      <c r="C48" s="2682">
        <v>665</v>
      </c>
      <c r="D48" s="2682">
        <v>697</v>
      </c>
      <c r="E48" s="2682">
        <v>628</v>
      </c>
      <c r="F48" s="2682">
        <v>646</v>
      </c>
      <c r="G48" s="2682">
        <v>615</v>
      </c>
    </row>
    <row r="49" spans="2:7" x14ac:dyDescent="0.35">
      <c r="B49" s="2680" t="s">
        <v>2162</v>
      </c>
      <c r="C49" s="2681">
        <v>1622</v>
      </c>
      <c r="D49" s="2681">
        <v>1571</v>
      </c>
      <c r="E49" s="2681">
        <v>1374</v>
      </c>
      <c r="F49" s="2681">
        <v>1220</v>
      </c>
      <c r="G49" s="2681">
        <v>1281</v>
      </c>
    </row>
    <row r="50" spans="2:7" x14ac:dyDescent="0.35">
      <c r="B50" s="2680" t="s">
        <v>2325</v>
      </c>
      <c r="C50" s="2681">
        <v>1597</v>
      </c>
      <c r="D50" s="2681">
        <v>1634</v>
      </c>
      <c r="E50" s="2681">
        <v>1468</v>
      </c>
      <c r="F50" s="2681">
        <v>1376</v>
      </c>
      <c r="G50" s="2681">
        <v>1451</v>
      </c>
    </row>
    <row r="51" spans="2:7" x14ac:dyDescent="0.35">
      <c r="B51" s="2680" t="s">
        <v>2073</v>
      </c>
      <c r="C51" s="2681">
        <v>1670</v>
      </c>
      <c r="D51" s="2681">
        <v>1733</v>
      </c>
      <c r="E51" s="2681">
        <v>1549</v>
      </c>
      <c r="F51" s="2681">
        <v>1496</v>
      </c>
      <c r="G51" s="2681">
        <v>1557</v>
      </c>
    </row>
    <row r="52" spans="2:7" x14ac:dyDescent="0.35">
      <c r="B52" s="2680" t="s">
        <v>2166</v>
      </c>
      <c r="C52" s="2681">
        <v>1555</v>
      </c>
      <c r="D52" s="2681">
        <v>1597</v>
      </c>
      <c r="E52" s="2681">
        <v>1433</v>
      </c>
      <c r="F52" s="2681">
        <v>1316</v>
      </c>
      <c r="G52" s="2681">
        <v>1400</v>
      </c>
    </row>
    <row r="53" spans="2:7" x14ac:dyDescent="0.35">
      <c r="B53" s="1144" t="s">
        <v>2163</v>
      </c>
      <c r="C53" s="1200">
        <v>1048</v>
      </c>
      <c r="D53" s="1201">
        <v>1013</v>
      </c>
      <c r="E53" s="1201">
        <v>939</v>
      </c>
      <c r="F53" s="1201">
        <v>567</v>
      </c>
      <c r="G53" s="1322">
        <v>634</v>
      </c>
    </row>
    <row r="54" spans="2:7" x14ac:dyDescent="0.35">
      <c r="B54" s="2683" t="s">
        <v>2181</v>
      </c>
      <c r="C54" s="2684">
        <v>1565</v>
      </c>
      <c r="D54" s="2684">
        <v>1540</v>
      </c>
      <c r="E54" s="2684">
        <v>1448</v>
      </c>
      <c r="F54" s="2684">
        <v>1089</v>
      </c>
      <c r="G54" s="2684">
        <v>1125</v>
      </c>
    </row>
    <row r="55" spans="2:7" x14ac:dyDescent="0.35">
      <c r="B55" s="2683" t="s">
        <v>2164</v>
      </c>
      <c r="C55" s="2685">
        <v>537</v>
      </c>
      <c r="D55" s="2685">
        <v>558</v>
      </c>
      <c r="E55" s="2685">
        <v>501</v>
      </c>
      <c r="F55" s="2685">
        <v>480</v>
      </c>
      <c r="G55" s="2685">
        <v>499</v>
      </c>
    </row>
    <row r="56" spans="2:7" x14ac:dyDescent="0.35">
      <c r="B56" s="2683" t="s">
        <v>2336</v>
      </c>
      <c r="C56" s="2684">
        <v>1665</v>
      </c>
      <c r="D56" s="2684">
        <v>1666</v>
      </c>
      <c r="E56" s="2684">
        <v>1512</v>
      </c>
      <c r="F56" s="2684">
        <v>1145</v>
      </c>
      <c r="G56" s="2684">
        <v>1207</v>
      </c>
    </row>
    <row r="57" spans="2:7" x14ac:dyDescent="0.35">
      <c r="B57" s="2683" t="s">
        <v>2165</v>
      </c>
      <c r="C57" s="2684">
        <v>1730</v>
      </c>
      <c r="D57" s="2684">
        <v>1782</v>
      </c>
      <c r="E57" s="2684">
        <v>1589</v>
      </c>
      <c r="F57" s="2684">
        <v>1538</v>
      </c>
      <c r="G57" s="2684">
        <v>1560</v>
      </c>
    </row>
    <row r="58" spans="2:7" x14ac:dyDescent="0.35">
      <c r="B58" s="1146" t="s">
        <v>2167</v>
      </c>
      <c r="C58" s="1200">
        <v>1916</v>
      </c>
      <c r="D58" s="1201">
        <v>1905</v>
      </c>
      <c r="E58" s="1201">
        <v>1718</v>
      </c>
      <c r="F58" s="1201">
        <v>1288</v>
      </c>
      <c r="G58" s="1322">
        <v>1538</v>
      </c>
    </row>
    <row r="59" spans="2:7" x14ac:dyDescent="0.35">
      <c r="B59" s="2683" t="s">
        <v>2168</v>
      </c>
      <c r="C59" s="2685">
        <v>995</v>
      </c>
      <c r="D59" s="2684">
        <v>1036</v>
      </c>
      <c r="E59" s="2685">
        <v>933</v>
      </c>
      <c r="F59" s="2685">
        <v>786</v>
      </c>
      <c r="G59" s="2685">
        <v>832</v>
      </c>
    </row>
    <row r="60" spans="2:7" x14ac:dyDescent="0.35">
      <c r="B60" s="2683" t="s">
        <v>2169</v>
      </c>
      <c r="C60" s="2684">
        <v>2244</v>
      </c>
      <c r="D60" s="2684">
        <v>2237</v>
      </c>
      <c r="E60" s="2684">
        <v>2024</v>
      </c>
      <c r="F60" s="2684">
        <v>1553</v>
      </c>
      <c r="G60" s="2684">
        <v>1608</v>
      </c>
    </row>
    <row r="61" spans="2:7" x14ac:dyDescent="0.35">
      <c r="B61" s="2683" t="s">
        <v>2170</v>
      </c>
      <c r="C61" s="2684">
        <v>1552</v>
      </c>
      <c r="D61" s="2684">
        <v>1432</v>
      </c>
      <c r="E61" s="2684">
        <v>1239</v>
      </c>
      <c r="F61" s="2684">
        <v>1077</v>
      </c>
      <c r="G61" s="2684">
        <v>1098</v>
      </c>
    </row>
    <row r="62" spans="2:7" x14ac:dyDescent="0.35">
      <c r="B62" s="2683" t="s">
        <v>2171</v>
      </c>
      <c r="C62" s="2684">
        <v>1015</v>
      </c>
      <c r="D62" s="2685">
        <v>993</v>
      </c>
      <c r="E62" s="2685">
        <v>899</v>
      </c>
      <c r="F62" s="2685">
        <v>773</v>
      </c>
      <c r="G62" s="2685">
        <v>809</v>
      </c>
    </row>
    <row r="63" spans="2:7" x14ac:dyDescent="0.35">
      <c r="B63" s="2683" t="s">
        <v>2172</v>
      </c>
      <c r="C63" s="2684">
        <v>2825</v>
      </c>
      <c r="D63" s="2684">
        <v>2625</v>
      </c>
      <c r="E63" s="2684">
        <v>2365</v>
      </c>
      <c r="F63" s="2684">
        <v>2007</v>
      </c>
      <c r="G63" s="2684">
        <v>2040</v>
      </c>
    </row>
    <row r="64" spans="2:7" x14ac:dyDescent="0.35">
      <c r="B64" s="2683" t="s">
        <v>2173</v>
      </c>
      <c r="C64" s="2684">
        <v>1672</v>
      </c>
      <c r="D64" s="2684">
        <v>1629</v>
      </c>
      <c r="E64" s="2684">
        <v>1454</v>
      </c>
      <c r="F64" s="2684">
        <v>1356</v>
      </c>
      <c r="G64" s="2684">
        <v>1399</v>
      </c>
    </row>
    <row r="65" spans="1:18" x14ac:dyDescent="0.35">
      <c r="B65" s="2683" t="s">
        <v>3908</v>
      </c>
      <c r="C65" s="2684">
        <v>2757</v>
      </c>
      <c r="D65" s="2684">
        <v>2670</v>
      </c>
      <c r="E65" s="2684">
        <v>2383</v>
      </c>
      <c r="F65" s="2684">
        <v>2149</v>
      </c>
      <c r="G65" s="2684">
        <v>2186</v>
      </c>
    </row>
    <row r="66" spans="1:18" x14ac:dyDescent="0.35">
      <c r="B66" s="1144" t="s">
        <v>2174</v>
      </c>
      <c r="C66" s="1200">
        <v>1603</v>
      </c>
      <c r="D66" s="1201">
        <v>1504</v>
      </c>
      <c r="E66" s="1201">
        <v>1440</v>
      </c>
      <c r="F66" s="1201">
        <v>1054</v>
      </c>
      <c r="G66" s="1322">
        <v>1205</v>
      </c>
    </row>
    <row r="67" spans="1:18" x14ac:dyDescent="0.35">
      <c r="B67" s="2683" t="s">
        <v>2175</v>
      </c>
      <c r="C67" s="2684">
        <v>1326</v>
      </c>
      <c r="D67" s="2684">
        <v>1328</v>
      </c>
      <c r="E67" s="2684">
        <v>1179</v>
      </c>
      <c r="F67" s="2684">
        <v>1091</v>
      </c>
      <c r="G67" s="2684">
        <v>1122</v>
      </c>
    </row>
    <row r="68" spans="1:18" x14ac:dyDescent="0.35">
      <c r="B68" s="2683" t="s">
        <v>2176</v>
      </c>
      <c r="C68" s="2684">
        <v>1365</v>
      </c>
      <c r="D68" s="2684">
        <v>1322</v>
      </c>
      <c r="E68" s="2684">
        <v>1193</v>
      </c>
      <c r="F68" s="2684">
        <v>1034</v>
      </c>
      <c r="G68" s="2684">
        <v>1088</v>
      </c>
      <c r="R68" s="698"/>
    </row>
    <row r="69" spans="1:18" x14ac:dyDescent="0.35">
      <c r="B69" s="2683" t="s">
        <v>2177</v>
      </c>
      <c r="C69" s="2684">
        <v>1347</v>
      </c>
      <c r="D69" s="2684">
        <v>1325</v>
      </c>
      <c r="E69" s="2684">
        <v>1183</v>
      </c>
      <c r="F69" s="2684">
        <v>1064</v>
      </c>
      <c r="G69" s="2684">
        <v>1096</v>
      </c>
      <c r="R69" s="698"/>
    </row>
    <row r="70" spans="1:18" x14ac:dyDescent="0.35">
      <c r="B70" s="2683" t="s">
        <v>2027</v>
      </c>
      <c r="C70" s="2684">
        <v>1285</v>
      </c>
      <c r="D70" s="2684">
        <v>1286</v>
      </c>
      <c r="E70" s="2684">
        <v>1180</v>
      </c>
      <c r="F70" s="2684">
        <v>1147</v>
      </c>
      <c r="G70" s="2684">
        <v>1224</v>
      </c>
      <c r="R70" s="698"/>
    </row>
    <row r="71" spans="1:18" x14ac:dyDescent="0.35">
      <c r="B71" s="2683" t="s">
        <v>536</v>
      </c>
      <c r="C71" s="2684">
        <v>1709</v>
      </c>
      <c r="D71" s="2684">
        <v>1678</v>
      </c>
      <c r="E71" s="2684">
        <v>1508</v>
      </c>
      <c r="F71" s="2684">
        <v>1287</v>
      </c>
      <c r="G71" s="2684">
        <v>1411</v>
      </c>
      <c r="R71" s="698"/>
    </row>
    <row r="72" spans="1:18" ht="15" thickBot="1" x14ac:dyDescent="0.4">
      <c r="J72" s="698"/>
      <c r="K72" s="698"/>
      <c r="L72" s="698"/>
      <c r="M72" s="698"/>
      <c r="N72" s="698"/>
      <c r="O72" s="698"/>
      <c r="P72" s="698"/>
      <c r="Q72" s="698"/>
    </row>
    <row r="73" spans="1:18" x14ac:dyDescent="0.35">
      <c r="B73" s="733" t="s">
        <v>2459</v>
      </c>
      <c r="J73" s="698"/>
      <c r="K73" s="698"/>
      <c r="L73" s="698"/>
      <c r="M73" s="698"/>
      <c r="N73" s="698"/>
      <c r="O73" s="698"/>
      <c r="P73" s="698"/>
      <c r="Q73" s="698"/>
    </row>
    <row r="74" spans="1:18" ht="15" thickBot="1" x14ac:dyDescent="0.4">
      <c r="B74" s="734">
        <v>621</v>
      </c>
      <c r="J74" s="698"/>
      <c r="K74" s="698"/>
      <c r="L74" s="698"/>
      <c r="M74" s="698"/>
      <c r="N74" s="698"/>
      <c r="O74" s="698"/>
      <c r="P74" s="698"/>
      <c r="Q74" s="698"/>
    </row>
    <row r="75" spans="1:18" x14ac:dyDescent="0.35">
      <c r="J75" s="698"/>
      <c r="K75" s="698"/>
      <c r="L75" s="698"/>
      <c r="M75" s="698"/>
      <c r="N75" s="698"/>
      <c r="O75" s="698"/>
      <c r="P75" s="698"/>
      <c r="Q75" s="698"/>
    </row>
    <row r="76" spans="1:18" ht="21" x14ac:dyDescent="0.5">
      <c r="A76" s="704" t="s">
        <v>2012</v>
      </c>
      <c r="J76" s="698"/>
      <c r="K76" s="698"/>
      <c r="L76" s="698"/>
      <c r="M76" s="698"/>
      <c r="N76" s="698"/>
      <c r="O76" s="698"/>
      <c r="P76" s="698"/>
      <c r="Q76" s="698"/>
    </row>
    <row r="77" spans="1:18" ht="21.5" thickBot="1" x14ac:dyDescent="0.55000000000000004">
      <c r="A77" s="704"/>
      <c r="B77" s="698"/>
      <c r="C77" s="735"/>
      <c r="J77" s="698"/>
      <c r="K77" s="698"/>
      <c r="L77" s="698"/>
      <c r="M77" s="698"/>
      <c r="N77" s="698"/>
      <c r="O77" s="698"/>
      <c r="P77" s="698"/>
      <c r="Q77" s="698"/>
    </row>
    <row r="78" spans="1:18" x14ac:dyDescent="0.35">
      <c r="B78" s="736" t="s">
        <v>2460</v>
      </c>
      <c r="E78" s="737"/>
      <c r="F78" s="737"/>
      <c r="G78" s="737"/>
    </row>
    <row r="79" spans="1:18" ht="15" thickBot="1" x14ac:dyDescent="0.4">
      <c r="B79" s="1581">
        <v>0.5948</v>
      </c>
      <c r="C79" s="675" t="s">
        <v>2461</v>
      </c>
      <c r="E79" s="739"/>
      <c r="F79" s="739"/>
      <c r="G79" s="739"/>
    </row>
    <row r="80" spans="1:18" x14ac:dyDescent="0.35">
      <c r="B80" s="739"/>
      <c r="C80" s="739"/>
      <c r="D80" s="739"/>
      <c r="E80" s="739"/>
      <c r="F80" s="739"/>
      <c r="G80" s="739"/>
    </row>
    <row r="81" spans="1:24" ht="21" x14ac:dyDescent="0.5">
      <c r="A81" s="704" t="s">
        <v>2014</v>
      </c>
      <c r="C81" s="675" t="s">
        <v>2015</v>
      </c>
    </row>
    <row r="82" spans="1:24" ht="21" x14ac:dyDescent="0.5">
      <c r="A82" s="704"/>
    </row>
    <row r="83" spans="1:24" ht="15.75" customHeight="1" thickBot="1" x14ac:dyDescent="0.4">
      <c r="D83" s="698"/>
      <c r="E83" s="987"/>
      <c r="F83" s="1044"/>
      <c r="G83" s="1044"/>
      <c r="H83" s="748"/>
      <c r="I83" s="748"/>
      <c r="J83" s="748"/>
      <c r="K83" s="698"/>
      <c r="L83" s="698"/>
      <c r="M83" s="698"/>
      <c r="N83" s="698"/>
      <c r="O83" s="698"/>
    </row>
    <row r="84" spans="1:24" ht="52" x14ac:dyDescent="0.35">
      <c r="B84" s="1582" t="s">
        <v>2019</v>
      </c>
      <c r="C84" s="1583" t="s">
        <v>2462</v>
      </c>
      <c r="D84" s="698"/>
      <c r="E84" s="987"/>
      <c r="F84" s="1044"/>
      <c r="G84" s="1044"/>
      <c r="H84" s="1044"/>
      <c r="I84" s="1044"/>
      <c r="J84" s="1044"/>
      <c r="K84" s="698"/>
      <c r="N84" s="1044"/>
      <c r="O84" s="698"/>
    </row>
    <row r="85" spans="1:24" x14ac:dyDescent="0.35">
      <c r="B85" s="1579" t="s">
        <v>2180</v>
      </c>
      <c r="C85" s="1584">
        <v>0.01</v>
      </c>
      <c r="D85" s="753"/>
      <c r="E85" s="1585"/>
      <c r="F85" s="753"/>
      <c r="G85" s="753"/>
      <c r="H85" s="753"/>
      <c r="I85" s="753"/>
      <c r="J85" s="753"/>
      <c r="K85" s="698"/>
      <c r="L85" s="698"/>
      <c r="M85" s="698"/>
      <c r="N85" s="753"/>
      <c r="O85" s="698"/>
      <c r="P85" s="698"/>
      <c r="Q85" s="698"/>
      <c r="R85" s="698"/>
      <c r="S85" s="698"/>
      <c r="U85" s="1586"/>
    </row>
    <row r="86" spans="1:24" x14ac:dyDescent="0.35">
      <c r="B86" s="1579" t="s">
        <v>2071</v>
      </c>
      <c r="C86" s="1584">
        <v>0.01</v>
      </c>
      <c r="D86" s="754"/>
      <c r="E86" s="1585"/>
      <c r="F86" s="753"/>
      <c r="G86" s="753"/>
      <c r="H86" s="753"/>
      <c r="I86" s="753"/>
      <c r="J86" s="753"/>
      <c r="K86" s="698"/>
      <c r="L86" s="698"/>
      <c r="M86" s="698"/>
      <c r="N86" s="753"/>
      <c r="O86" s="698"/>
      <c r="P86" s="698"/>
      <c r="Q86" s="698"/>
      <c r="R86" s="698"/>
      <c r="S86" s="698"/>
      <c r="U86" s="1586"/>
    </row>
    <row r="87" spans="1:24" x14ac:dyDescent="0.35">
      <c r="B87" s="2752" t="s">
        <v>3906</v>
      </c>
      <c r="C87" s="2753">
        <v>0</v>
      </c>
      <c r="D87" s="2687"/>
      <c r="E87" s="1585"/>
      <c r="F87" s="753"/>
      <c r="G87" s="753"/>
      <c r="H87" s="753"/>
      <c r="I87" s="753"/>
      <c r="J87" s="753"/>
      <c r="K87" s="2686"/>
      <c r="L87" s="2686"/>
      <c r="M87" s="2686"/>
      <c r="N87" s="753"/>
      <c r="O87" s="2686"/>
      <c r="P87" s="2686"/>
      <c r="Q87" s="2686"/>
      <c r="R87" s="2686"/>
      <c r="S87" s="2686"/>
      <c r="U87" s="1586"/>
    </row>
    <row r="88" spans="1:24" x14ac:dyDescent="0.35">
      <c r="B88" s="1579" t="s">
        <v>2157</v>
      </c>
      <c r="C88" s="1584">
        <v>0.04</v>
      </c>
      <c r="D88" s="758"/>
      <c r="E88" s="1585"/>
      <c r="F88" s="753"/>
      <c r="G88" s="753"/>
      <c r="H88" s="753"/>
      <c r="I88" s="753"/>
      <c r="J88" s="753"/>
      <c r="K88" s="698"/>
      <c r="L88" s="698"/>
      <c r="M88" s="698"/>
      <c r="N88" s="753"/>
      <c r="O88" s="698"/>
      <c r="P88" s="698"/>
      <c r="Q88" s="698"/>
      <c r="R88" s="698"/>
      <c r="S88" s="698"/>
      <c r="U88" s="1586"/>
    </row>
    <row r="89" spans="1:24" x14ac:dyDescent="0.35">
      <c r="B89" s="1579" t="s">
        <v>2158</v>
      </c>
      <c r="C89" s="1584">
        <v>0</v>
      </c>
      <c r="D89" s="758"/>
      <c r="E89" s="1585"/>
      <c r="F89" s="753"/>
      <c r="G89" s="753"/>
      <c r="H89" s="753"/>
      <c r="I89" s="753"/>
      <c r="J89" s="753"/>
      <c r="K89" s="698"/>
      <c r="L89" s="698"/>
      <c r="M89" s="698"/>
      <c r="N89" s="753"/>
      <c r="O89" s="698"/>
      <c r="P89" s="698"/>
      <c r="Q89" s="698"/>
      <c r="R89" s="698"/>
      <c r="S89" s="698"/>
      <c r="U89" s="1586"/>
    </row>
    <row r="90" spans="1:24" x14ac:dyDescent="0.35">
      <c r="B90" s="2752" t="s">
        <v>3907</v>
      </c>
      <c r="C90" s="2753">
        <v>0</v>
      </c>
      <c r="D90" s="758"/>
      <c r="E90" s="1585"/>
      <c r="F90" s="753"/>
      <c r="G90" s="753"/>
      <c r="H90" s="753"/>
      <c r="I90" s="753"/>
      <c r="J90" s="753"/>
      <c r="K90" s="2686"/>
      <c r="L90" s="2686"/>
      <c r="M90" s="2686"/>
      <c r="N90" s="753"/>
      <c r="O90" s="2686"/>
      <c r="P90" s="2686"/>
      <c r="Q90" s="2686"/>
      <c r="R90" s="2686"/>
      <c r="S90" s="2686"/>
      <c r="U90" s="1586"/>
    </row>
    <row r="91" spans="1:24" x14ac:dyDescent="0.35">
      <c r="B91" s="1579" t="s">
        <v>2028</v>
      </c>
      <c r="C91" s="1584">
        <v>0.03</v>
      </c>
      <c r="D91" s="758"/>
      <c r="E91" s="1585"/>
      <c r="F91" s="753"/>
      <c r="G91" s="753"/>
      <c r="H91" s="753"/>
      <c r="I91" s="753"/>
      <c r="J91" s="753"/>
      <c r="K91" s="698"/>
      <c r="L91" s="698"/>
      <c r="M91" s="698"/>
      <c r="N91" s="753"/>
      <c r="O91" s="698"/>
      <c r="P91" s="698"/>
      <c r="Q91" s="698"/>
      <c r="R91" s="698"/>
      <c r="S91" s="698"/>
      <c r="U91" s="1586"/>
    </row>
    <row r="92" spans="1:24" x14ac:dyDescent="0.35">
      <c r="B92" s="1579" t="s">
        <v>2109</v>
      </c>
      <c r="C92" s="1584">
        <v>0</v>
      </c>
      <c r="D92" s="758"/>
      <c r="E92" s="1585"/>
      <c r="F92" s="753"/>
      <c r="G92" s="753"/>
      <c r="H92" s="753"/>
      <c r="I92" s="753"/>
      <c r="J92" s="753"/>
      <c r="K92" s="698"/>
      <c r="L92" s="698"/>
      <c r="M92" s="698"/>
      <c r="N92" s="753"/>
      <c r="O92" s="698"/>
      <c r="P92" s="698"/>
      <c r="Q92" s="698"/>
      <c r="R92" s="698"/>
      <c r="S92" s="698"/>
      <c r="U92" s="1586"/>
    </row>
    <row r="93" spans="1:24" x14ac:dyDescent="0.35">
      <c r="B93" s="1579" t="s">
        <v>2026</v>
      </c>
      <c r="C93" s="1584">
        <v>0.01</v>
      </c>
      <c r="D93" s="758"/>
      <c r="E93" s="1585"/>
      <c r="F93" s="753"/>
      <c r="G93" s="753"/>
      <c r="H93" s="753"/>
      <c r="I93" s="753"/>
      <c r="J93" s="753"/>
      <c r="K93" s="698"/>
      <c r="L93" s="698"/>
      <c r="M93" s="698"/>
      <c r="N93" s="753"/>
      <c r="O93" s="698"/>
      <c r="P93" s="698"/>
      <c r="Q93" s="698"/>
      <c r="R93" s="698"/>
      <c r="S93" s="698"/>
      <c r="U93" s="1586"/>
      <c r="V93" s="762"/>
      <c r="W93" s="763"/>
      <c r="X93" s="764"/>
    </row>
    <row r="94" spans="1:24" x14ac:dyDescent="0.35">
      <c r="B94" s="1579" t="s">
        <v>2075</v>
      </c>
      <c r="C94" s="1584">
        <v>0.06</v>
      </c>
      <c r="D94" s="758"/>
      <c r="E94" s="1585"/>
      <c r="F94" s="753"/>
      <c r="G94" s="753"/>
      <c r="H94" s="753"/>
      <c r="I94" s="753"/>
      <c r="J94" s="753"/>
      <c r="K94" s="698"/>
      <c r="L94" s="698"/>
      <c r="M94" s="698"/>
      <c r="N94" s="753"/>
      <c r="O94" s="698"/>
      <c r="P94" s="698"/>
      <c r="Q94" s="698"/>
      <c r="R94" s="698"/>
      <c r="S94" s="698"/>
      <c r="U94" s="1586"/>
      <c r="V94" s="762"/>
      <c r="W94" s="763"/>
      <c r="X94" s="764"/>
    </row>
    <row r="95" spans="1:24" x14ac:dyDescent="0.35">
      <c r="B95" s="1579" t="s">
        <v>2029</v>
      </c>
      <c r="C95" s="1584">
        <v>0.03</v>
      </c>
      <c r="D95" s="758"/>
      <c r="E95" s="1585"/>
      <c r="F95" s="753"/>
      <c r="G95" s="753"/>
      <c r="H95" s="753"/>
      <c r="I95" s="753"/>
      <c r="J95" s="753"/>
      <c r="K95" s="698"/>
      <c r="L95" s="698"/>
      <c r="M95" s="698"/>
      <c r="N95" s="753"/>
      <c r="O95" s="698"/>
      <c r="P95" s="698"/>
      <c r="Q95" s="698"/>
      <c r="R95" s="698"/>
      <c r="S95" s="698"/>
      <c r="U95" s="1586"/>
      <c r="V95" s="762"/>
      <c r="W95" s="763"/>
      <c r="X95" s="764"/>
    </row>
    <row r="96" spans="1:24" x14ac:dyDescent="0.35">
      <c r="B96" s="749" t="s">
        <v>2159</v>
      </c>
      <c r="C96" s="1584">
        <v>0.02</v>
      </c>
      <c r="D96" s="758"/>
      <c r="E96" s="1585"/>
      <c r="F96" s="753"/>
      <c r="G96" s="753"/>
      <c r="H96" s="753"/>
      <c r="I96" s="753"/>
      <c r="J96" s="753"/>
      <c r="K96" s="698"/>
      <c r="L96" s="698"/>
      <c r="M96" s="698"/>
      <c r="N96" s="753"/>
      <c r="O96" s="698"/>
      <c r="P96" s="698"/>
      <c r="Q96" s="698"/>
      <c r="R96" s="698"/>
      <c r="S96" s="698"/>
      <c r="U96" s="1586"/>
      <c r="V96" s="762"/>
      <c r="W96" s="763"/>
      <c r="X96" s="764"/>
    </row>
    <row r="97" spans="2:24" x14ac:dyDescent="0.35">
      <c r="B97" s="749" t="s">
        <v>2160</v>
      </c>
      <c r="C97" s="1584">
        <v>0.02</v>
      </c>
      <c r="D97" s="758"/>
      <c r="E97" s="1585"/>
      <c r="F97" s="753"/>
      <c r="G97" s="753"/>
      <c r="H97" s="753"/>
      <c r="I97" s="753"/>
      <c r="J97" s="753"/>
      <c r="K97" s="698"/>
      <c r="L97" s="698"/>
      <c r="M97" s="698"/>
      <c r="N97" s="753"/>
      <c r="O97" s="698"/>
      <c r="P97" s="698"/>
      <c r="Q97" s="698"/>
      <c r="R97" s="698"/>
      <c r="S97" s="698"/>
      <c r="U97" s="1586"/>
      <c r="V97" s="762"/>
      <c r="W97" s="763"/>
      <c r="X97" s="764"/>
    </row>
    <row r="98" spans="2:24" ht="15" customHeight="1" x14ac:dyDescent="0.35">
      <c r="B98" s="749" t="s">
        <v>2161</v>
      </c>
      <c r="C98" s="1584">
        <v>0.06</v>
      </c>
      <c r="D98" s="758"/>
      <c r="E98" s="1585"/>
      <c r="F98" s="753"/>
      <c r="G98" s="753"/>
      <c r="H98" s="753"/>
      <c r="I98" s="753"/>
      <c r="J98" s="753"/>
      <c r="K98" s="698"/>
      <c r="L98" s="698"/>
      <c r="M98" s="698"/>
      <c r="N98" s="753"/>
      <c r="O98" s="698"/>
      <c r="P98" s="698"/>
      <c r="Q98" s="698"/>
      <c r="R98" s="698"/>
      <c r="S98" s="698"/>
      <c r="U98" s="1586"/>
      <c r="V98" s="762"/>
      <c r="W98" s="763"/>
      <c r="X98" s="764"/>
    </row>
    <row r="99" spans="2:24" x14ac:dyDescent="0.35">
      <c r="B99" s="1579" t="s">
        <v>2162</v>
      </c>
      <c r="C99" s="1584">
        <v>0.02</v>
      </c>
      <c r="D99" s="748"/>
      <c r="E99" s="1585"/>
      <c r="F99" s="753"/>
      <c r="G99" s="753"/>
      <c r="H99" s="753"/>
      <c r="I99" s="753"/>
      <c r="J99" s="753"/>
      <c r="K99" s="698"/>
      <c r="L99" s="698"/>
      <c r="M99" s="698"/>
      <c r="N99" s="753"/>
      <c r="O99" s="698"/>
      <c r="P99" s="698"/>
      <c r="Q99" s="698"/>
      <c r="R99" s="698"/>
      <c r="S99" s="698"/>
      <c r="U99" s="1586"/>
    </row>
    <row r="100" spans="2:24" x14ac:dyDescent="0.35">
      <c r="B100" s="1579" t="s">
        <v>2325</v>
      </c>
      <c r="C100" s="1584">
        <v>0.06</v>
      </c>
      <c r="D100" s="748"/>
      <c r="E100" s="1585"/>
      <c r="F100" s="753"/>
      <c r="G100" s="753"/>
      <c r="H100" s="753"/>
      <c r="I100" s="753"/>
      <c r="J100" s="753"/>
      <c r="K100" s="698"/>
      <c r="L100" s="698"/>
      <c r="M100" s="698"/>
      <c r="N100" s="753"/>
      <c r="O100" s="698"/>
      <c r="P100" s="698"/>
      <c r="Q100" s="698"/>
      <c r="R100" s="698"/>
      <c r="S100" s="698"/>
      <c r="U100" s="1586"/>
    </row>
    <row r="101" spans="2:24" x14ac:dyDescent="0.35">
      <c r="B101" s="1579" t="s">
        <v>2073</v>
      </c>
      <c r="C101" s="1584">
        <v>0</v>
      </c>
      <c r="D101" s="748"/>
      <c r="E101" s="1585"/>
      <c r="F101" s="753"/>
      <c r="G101" s="753"/>
      <c r="H101" s="753"/>
      <c r="I101" s="753"/>
      <c r="J101" s="753"/>
      <c r="K101" s="698"/>
      <c r="L101" s="698"/>
      <c r="M101" s="698"/>
      <c r="N101" s="753"/>
      <c r="O101" s="698"/>
      <c r="P101" s="698"/>
      <c r="Q101" s="698"/>
      <c r="R101" s="698"/>
      <c r="S101" s="698"/>
      <c r="U101" s="1586"/>
    </row>
    <row r="102" spans="2:24" x14ac:dyDescent="0.35">
      <c r="B102" s="1579" t="s">
        <v>2166</v>
      </c>
      <c r="C102" s="1584">
        <v>0</v>
      </c>
      <c r="D102" s="748"/>
      <c r="E102" s="1585"/>
      <c r="F102" s="753"/>
      <c r="G102" s="753"/>
      <c r="H102" s="753"/>
      <c r="I102" s="753"/>
      <c r="J102" s="753"/>
      <c r="K102" s="698"/>
      <c r="L102" s="698"/>
      <c r="M102" s="698"/>
      <c r="N102" s="753"/>
      <c r="O102" s="698"/>
      <c r="P102" s="698"/>
      <c r="Q102" s="698"/>
      <c r="R102" s="698"/>
      <c r="S102" s="698"/>
      <c r="U102" s="1586"/>
    </row>
    <row r="103" spans="2:24" x14ac:dyDescent="0.35">
      <c r="B103" s="1579" t="s">
        <v>2163</v>
      </c>
      <c r="C103" s="1584">
        <v>0.05</v>
      </c>
      <c r="D103" s="748"/>
      <c r="E103" s="1585"/>
      <c r="F103" s="753"/>
      <c r="G103" s="753"/>
      <c r="H103" s="753"/>
      <c r="I103" s="753"/>
      <c r="J103" s="753"/>
      <c r="K103" s="698"/>
      <c r="L103" s="698"/>
      <c r="M103" s="698"/>
      <c r="N103" s="753"/>
      <c r="O103" s="698"/>
      <c r="P103" s="698"/>
      <c r="Q103" s="698"/>
      <c r="R103" s="698"/>
      <c r="S103" s="698"/>
      <c r="U103" s="1586"/>
    </row>
    <row r="104" spans="2:24" x14ac:dyDescent="0.35">
      <c r="B104" s="1579" t="s">
        <v>2181</v>
      </c>
      <c r="C104" s="1584">
        <v>0.02</v>
      </c>
      <c r="D104" s="748"/>
      <c r="E104" s="1585"/>
      <c r="F104" s="753"/>
      <c r="G104" s="753"/>
      <c r="H104" s="753"/>
      <c r="I104" s="753"/>
      <c r="J104" s="753"/>
      <c r="K104" s="698"/>
      <c r="L104" s="698"/>
      <c r="M104" s="698"/>
      <c r="N104" s="753"/>
      <c r="O104" s="698"/>
      <c r="P104" s="698"/>
      <c r="Q104" s="698"/>
      <c r="R104" s="698"/>
      <c r="S104" s="698"/>
      <c r="U104" s="1586"/>
    </row>
    <row r="105" spans="2:24" x14ac:dyDescent="0.35">
      <c r="B105" s="1579" t="s">
        <v>2164</v>
      </c>
      <c r="C105" s="1584">
        <v>0</v>
      </c>
      <c r="D105" s="748"/>
      <c r="E105" s="1585"/>
      <c r="F105" s="753"/>
      <c r="G105" s="753"/>
      <c r="H105" s="753"/>
      <c r="I105" s="753"/>
      <c r="J105" s="753"/>
      <c r="K105" s="698"/>
      <c r="L105" s="698"/>
      <c r="M105" s="698"/>
      <c r="N105" s="753"/>
      <c r="O105" s="698"/>
      <c r="P105" s="698"/>
      <c r="Q105" s="698"/>
      <c r="R105" s="698"/>
      <c r="S105" s="698"/>
      <c r="U105" s="1586"/>
    </row>
    <row r="106" spans="2:24" x14ac:dyDescent="0.35">
      <c r="B106" s="1579" t="s">
        <v>2336</v>
      </c>
      <c r="C106" s="1584">
        <v>0</v>
      </c>
      <c r="D106" s="748"/>
      <c r="E106" s="1585"/>
      <c r="F106" s="753"/>
      <c r="G106" s="753"/>
      <c r="H106" s="753"/>
      <c r="I106" s="753"/>
      <c r="J106" s="753"/>
      <c r="K106" s="698"/>
      <c r="L106" s="698"/>
      <c r="M106" s="698"/>
      <c r="N106" s="753"/>
      <c r="O106" s="698"/>
      <c r="P106" s="698"/>
      <c r="Q106" s="698"/>
      <c r="R106" s="698"/>
      <c r="S106" s="698"/>
      <c r="U106" s="1586"/>
    </row>
    <row r="107" spans="2:24" x14ac:dyDescent="0.35">
      <c r="B107" s="1579" t="s">
        <v>2165</v>
      </c>
      <c r="C107" s="1584">
        <v>0.02</v>
      </c>
      <c r="D107" s="748"/>
      <c r="E107" s="1585"/>
      <c r="F107" s="753"/>
      <c r="G107" s="753"/>
      <c r="H107" s="753"/>
      <c r="I107" s="753"/>
      <c r="J107" s="753"/>
      <c r="K107" s="698"/>
      <c r="L107" s="698"/>
      <c r="M107" s="698"/>
      <c r="N107" s="753"/>
      <c r="O107" s="698"/>
      <c r="P107" s="698"/>
      <c r="Q107" s="698"/>
      <c r="R107" s="698"/>
      <c r="S107" s="698"/>
      <c r="U107" s="1586"/>
    </row>
    <row r="108" spans="2:24" x14ac:dyDescent="0.35">
      <c r="B108" s="1579" t="s">
        <v>2167</v>
      </c>
      <c r="C108" s="1584">
        <v>0</v>
      </c>
      <c r="D108" s="748"/>
      <c r="E108" s="1585"/>
      <c r="F108" s="753"/>
      <c r="G108" s="753"/>
      <c r="H108" s="753"/>
      <c r="I108" s="753"/>
      <c r="J108" s="753"/>
      <c r="K108" s="698"/>
      <c r="L108" s="698"/>
      <c r="M108" s="698"/>
      <c r="N108" s="753"/>
      <c r="O108" s="698"/>
      <c r="P108" s="698"/>
      <c r="Q108" s="698"/>
      <c r="R108" s="698"/>
      <c r="S108" s="698"/>
      <c r="U108" s="1586"/>
    </row>
    <row r="109" spans="2:24" x14ac:dyDescent="0.35">
      <c r="B109" s="1579" t="s">
        <v>2168</v>
      </c>
      <c r="C109" s="1584">
        <v>0.03</v>
      </c>
      <c r="D109" s="748"/>
      <c r="E109" s="1585"/>
      <c r="F109" s="753"/>
      <c r="G109" s="753"/>
      <c r="H109" s="753"/>
      <c r="I109" s="753"/>
      <c r="J109" s="753"/>
      <c r="K109" s="698"/>
      <c r="L109" s="698"/>
      <c r="M109" s="698"/>
      <c r="N109" s="753"/>
      <c r="O109" s="698"/>
      <c r="P109" s="698"/>
      <c r="Q109" s="698"/>
      <c r="R109" s="698"/>
      <c r="S109" s="698"/>
      <c r="U109" s="1586"/>
    </row>
    <row r="110" spans="2:24" x14ac:dyDescent="0.35">
      <c r="B110" s="1579" t="s">
        <v>2169</v>
      </c>
      <c r="C110" s="1584">
        <v>0.03</v>
      </c>
      <c r="D110" s="748"/>
      <c r="E110" s="1585"/>
      <c r="F110" s="753"/>
      <c r="G110" s="753"/>
      <c r="H110" s="753"/>
      <c r="I110" s="753"/>
      <c r="J110" s="753"/>
      <c r="K110" s="698"/>
      <c r="L110" s="698"/>
      <c r="M110" s="698"/>
      <c r="N110" s="753"/>
      <c r="O110" s="698"/>
      <c r="P110" s="698"/>
      <c r="Q110" s="698"/>
      <c r="R110" s="698"/>
      <c r="S110" s="698"/>
      <c r="U110" s="1586"/>
    </row>
    <row r="111" spans="2:24" x14ac:dyDescent="0.35">
      <c r="B111" s="1579" t="s">
        <v>2170</v>
      </c>
      <c r="C111" s="1584">
        <v>0.03</v>
      </c>
      <c r="D111" s="748"/>
      <c r="E111" s="1585"/>
      <c r="F111" s="753"/>
      <c r="G111" s="753"/>
      <c r="H111" s="753"/>
      <c r="I111" s="753"/>
      <c r="J111" s="753"/>
      <c r="K111" s="698"/>
      <c r="L111" s="698"/>
      <c r="M111" s="698"/>
      <c r="N111" s="753"/>
      <c r="O111" s="698"/>
      <c r="P111" s="698"/>
      <c r="Q111" s="698"/>
      <c r="R111" s="698"/>
      <c r="S111" s="698"/>
      <c r="U111" s="1586"/>
    </row>
    <row r="112" spans="2:24" x14ac:dyDescent="0.35">
      <c r="B112" s="1579" t="s">
        <v>2171</v>
      </c>
      <c r="C112" s="1584">
        <v>0.03</v>
      </c>
      <c r="D112" s="748"/>
      <c r="E112" s="1585"/>
      <c r="F112" s="753"/>
      <c r="G112" s="753"/>
      <c r="H112" s="753"/>
      <c r="I112" s="753"/>
      <c r="J112" s="753"/>
      <c r="K112" s="698"/>
      <c r="L112" s="698"/>
      <c r="M112" s="698"/>
      <c r="N112" s="753"/>
      <c r="O112" s="698"/>
      <c r="P112" s="698"/>
      <c r="Q112" s="698"/>
      <c r="R112" s="698"/>
      <c r="S112" s="698"/>
      <c r="U112" s="1586"/>
    </row>
    <row r="113" spans="2:21" x14ac:dyDescent="0.35">
      <c r="B113" s="1579" t="s">
        <v>2172</v>
      </c>
      <c r="C113" s="1584">
        <v>0</v>
      </c>
      <c r="D113" s="748"/>
      <c r="E113" s="1585"/>
      <c r="F113" s="753"/>
      <c r="G113" s="753"/>
      <c r="H113" s="753"/>
      <c r="I113" s="753"/>
      <c r="J113" s="753"/>
      <c r="K113" s="698"/>
      <c r="L113" s="698"/>
      <c r="M113" s="698"/>
      <c r="N113" s="753"/>
      <c r="O113" s="698"/>
      <c r="P113" s="698"/>
      <c r="Q113" s="698"/>
      <c r="R113" s="698"/>
      <c r="S113" s="698"/>
      <c r="U113" s="1586"/>
    </row>
    <row r="114" spans="2:21" x14ac:dyDescent="0.35">
      <c r="B114" s="1579" t="s">
        <v>2173</v>
      </c>
      <c r="C114" s="1584">
        <v>7.0000000000000007E-2</v>
      </c>
      <c r="D114" s="748"/>
      <c r="E114" s="1585"/>
      <c r="F114" s="753"/>
      <c r="G114" s="753"/>
      <c r="H114" s="753"/>
      <c r="I114" s="753"/>
      <c r="J114" s="753"/>
      <c r="K114" s="698"/>
      <c r="L114" s="698"/>
      <c r="M114" s="698"/>
      <c r="N114" s="753"/>
      <c r="O114" s="698"/>
      <c r="P114" s="698"/>
      <c r="Q114" s="698"/>
      <c r="R114" s="698"/>
      <c r="S114" s="698"/>
      <c r="U114" s="1586"/>
    </row>
    <row r="115" spans="2:21" x14ac:dyDescent="0.35">
      <c r="B115" s="2752" t="s">
        <v>3908</v>
      </c>
      <c r="C115" s="2753">
        <v>0</v>
      </c>
      <c r="D115" s="748"/>
      <c r="E115" s="1585"/>
      <c r="F115" s="753"/>
      <c r="G115" s="753"/>
      <c r="H115" s="753"/>
      <c r="I115" s="753"/>
      <c r="J115" s="753"/>
      <c r="K115" s="2686"/>
      <c r="L115" s="2686"/>
      <c r="M115" s="2686"/>
      <c r="N115" s="753"/>
      <c r="O115" s="2686"/>
      <c r="P115" s="2686"/>
      <c r="Q115" s="2686"/>
      <c r="R115" s="2686"/>
      <c r="S115" s="2686"/>
      <c r="U115" s="1586"/>
    </row>
    <row r="116" spans="2:21" x14ac:dyDescent="0.35">
      <c r="B116" s="1579" t="s">
        <v>2174</v>
      </c>
      <c r="C116" s="1584">
        <v>0.01</v>
      </c>
      <c r="D116" s="748"/>
      <c r="E116" s="1585"/>
      <c r="F116" s="753"/>
      <c r="G116" s="753"/>
      <c r="H116" s="753"/>
      <c r="I116" s="753"/>
      <c r="J116" s="753"/>
      <c r="K116" s="698"/>
      <c r="L116" s="698"/>
      <c r="M116" s="698"/>
      <c r="N116" s="753"/>
      <c r="O116" s="698"/>
      <c r="P116" s="698"/>
      <c r="Q116" s="698"/>
      <c r="R116" s="698"/>
      <c r="S116" s="698"/>
      <c r="U116" s="1586"/>
    </row>
    <row r="117" spans="2:21" x14ac:dyDescent="0.35">
      <c r="B117" s="1579" t="s">
        <v>2175</v>
      </c>
      <c r="C117" s="1584">
        <v>0.02</v>
      </c>
      <c r="D117" s="748"/>
      <c r="E117" s="1585"/>
      <c r="F117" s="753"/>
      <c r="G117" s="753"/>
      <c r="H117" s="753"/>
      <c r="I117" s="753"/>
      <c r="J117" s="753"/>
      <c r="K117" s="698"/>
      <c r="L117" s="698"/>
      <c r="M117" s="698"/>
      <c r="N117" s="753"/>
      <c r="O117" s="698"/>
      <c r="P117" s="698"/>
      <c r="Q117" s="698"/>
      <c r="R117" s="698"/>
      <c r="S117" s="698"/>
      <c r="U117" s="1586"/>
    </row>
    <row r="118" spans="2:21" x14ac:dyDescent="0.35">
      <c r="B118" s="1579" t="s">
        <v>2176</v>
      </c>
      <c r="C118" s="1584">
        <v>0.03</v>
      </c>
      <c r="D118" s="748"/>
      <c r="E118" s="1585"/>
      <c r="F118" s="753"/>
      <c r="G118" s="753"/>
      <c r="H118" s="753"/>
      <c r="I118" s="753"/>
      <c r="J118" s="753"/>
      <c r="K118" s="698"/>
      <c r="L118" s="698"/>
      <c r="M118" s="698"/>
      <c r="N118" s="753"/>
      <c r="O118" s="698"/>
      <c r="P118" s="698"/>
      <c r="Q118" s="698"/>
      <c r="R118" s="698"/>
      <c r="S118" s="698"/>
      <c r="U118" s="1586"/>
    </row>
    <row r="119" spans="2:21" x14ac:dyDescent="0.35">
      <c r="B119" s="1579" t="s">
        <v>2177</v>
      </c>
      <c r="C119" s="1584">
        <v>0.03</v>
      </c>
      <c r="D119" s="748"/>
      <c r="E119" s="1585"/>
      <c r="F119" s="753"/>
      <c r="G119" s="753"/>
      <c r="H119" s="753"/>
      <c r="I119" s="753"/>
      <c r="J119" s="753"/>
      <c r="K119" s="698"/>
      <c r="L119" s="698"/>
      <c r="M119" s="698"/>
      <c r="N119" s="753"/>
      <c r="O119" s="698"/>
      <c r="P119" s="698"/>
      <c r="Q119" s="698"/>
      <c r="R119" s="698"/>
      <c r="S119" s="698"/>
      <c r="U119" s="1586"/>
    </row>
    <row r="120" spans="2:21" x14ac:dyDescent="0.35">
      <c r="B120" s="1579" t="s">
        <v>2027</v>
      </c>
      <c r="C120" s="1584">
        <v>0.01</v>
      </c>
      <c r="D120" s="748"/>
      <c r="E120" s="1585"/>
      <c r="F120" s="753"/>
      <c r="G120" s="753"/>
      <c r="H120" s="753"/>
      <c r="I120" s="753"/>
      <c r="J120" s="753"/>
      <c r="K120" s="698"/>
      <c r="L120" s="698"/>
      <c r="M120" s="698"/>
      <c r="N120" s="753"/>
      <c r="O120" s="698"/>
      <c r="P120" s="698"/>
      <c r="Q120" s="698"/>
      <c r="R120" s="698"/>
      <c r="S120" s="698"/>
      <c r="U120" s="1586"/>
    </row>
    <row r="121" spans="2:21" ht="15" thickBot="1" x14ac:dyDescent="0.4">
      <c r="B121" s="1580" t="s">
        <v>536</v>
      </c>
      <c r="C121" s="1588">
        <v>0.25</v>
      </c>
      <c r="D121" s="748"/>
      <c r="E121" s="1585"/>
      <c r="F121" s="753"/>
      <c r="G121" s="753"/>
      <c r="H121" s="753"/>
      <c r="I121" s="753"/>
      <c r="J121" s="753"/>
      <c r="K121" s="698"/>
      <c r="L121" s="698"/>
      <c r="M121" s="698"/>
      <c r="N121" s="753"/>
      <c r="O121" s="698"/>
      <c r="P121" s="698"/>
      <c r="Q121" s="698"/>
      <c r="R121" s="698"/>
      <c r="S121" s="698"/>
      <c r="U121" s="1586"/>
    </row>
    <row r="122" spans="2:21" ht="15" thickBot="1" x14ac:dyDescent="0.4">
      <c r="B122" s="748"/>
      <c r="C122" s="1585"/>
      <c r="D122" s="753"/>
      <c r="E122" s="753"/>
      <c r="F122" s="753"/>
      <c r="G122" s="753"/>
      <c r="H122" s="748"/>
      <c r="I122" s="1585"/>
      <c r="J122" s="753"/>
      <c r="K122" s="753"/>
      <c r="L122" s="753"/>
      <c r="M122" s="753"/>
      <c r="N122" s="753"/>
      <c r="O122" s="698"/>
      <c r="P122" s="698"/>
      <c r="Q122" s="698"/>
      <c r="R122" s="698"/>
      <c r="S122" s="698"/>
      <c r="U122" s="1586"/>
    </row>
    <row r="123" spans="2:21" x14ac:dyDescent="0.35">
      <c r="B123" s="3077" t="s">
        <v>2463</v>
      </c>
      <c r="C123" s="3078"/>
      <c r="D123" s="3078"/>
      <c r="E123" s="3078"/>
      <c r="F123" s="3079"/>
      <c r="H123" s="748"/>
      <c r="N123" s="753"/>
      <c r="O123" s="698"/>
      <c r="P123" s="698"/>
      <c r="Q123" s="698"/>
      <c r="R123" s="698"/>
      <c r="S123" s="698"/>
      <c r="U123" s="1586"/>
    </row>
    <row r="124" spans="2:21" ht="26" x14ac:dyDescent="0.35">
      <c r="B124" s="1589" t="s">
        <v>2452</v>
      </c>
      <c r="C124" s="1577" t="s">
        <v>2453</v>
      </c>
      <c r="D124" s="1577" t="s">
        <v>2454</v>
      </c>
      <c r="E124" s="1577" t="s">
        <v>2353</v>
      </c>
      <c r="F124" s="1578" t="s">
        <v>2354</v>
      </c>
      <c r="H124" s="748"/>
      <c r="N124" s="753"/>
      <c r="O124" s="698"/>
      <c r="P124" s="698"/>
      <c r="Q124" s="698"/>
      <c r="R124" s="698"/>
      <c r="S124" s="698"/>
      <c r="U124" s="1586"/>
    </row>
    <row r="125" spans="2:21" ht="15" thickBot="1" x14ac:dyDescent="0.4">
      <c r="B125" s="1590">
        <v>0</v>
      </c>
      <c r="C125" s="1591">
        <v>0.3</v>
      </c>
      <c r="D125" s="1591">
        <v>0.3</v>
      </c>
      <c r="E125" s="1591">
        <v>0.25</v>
      </c>
      <c r="F125" s="1588">
        <v>0.15</v>
      </c>
      <c r="H125" s="748"/>
      <c r="N125" s="753"/>
      <c r="O125" s="698"/>
      <c r="P125" s="698"/>
      <c r="Q125" s="698"/>
      <c r="R125" s="698"/>
      <c r="S125" s="698"/>
      <c r="U125" s="1586"/>
    </row>
    <row r="126" spans="2:21" ht="15" thickBot="1" x14ac:dyDescent="0.4">
      <c r="C126" s="748"/>
      <c r="G126" s="748"/>
      <c r="H126" s="748"/>
      <c r="I126" s="748"/>
    </row>
    <row r="127" spans="2:21" ht="43.5" x14ac:dyDescent="0.35">
      <c r="B127" s="740" t="s">
        <v>2464</v>
      </c>
      <c r="C127" s="741" t="s">
        <v>2016</v>
      </c>
      <c r="D127" s="742" t="s">
        <v>2465</v>
      </c>
      <c r="G127" s="748"/>
      <c r="H127" s="748"/>
      <c r="I127" s="748"/>
    </row>
    <row r="128" spans="2:21" ht="15" thickBot="1" x14ac:dyDescent="0.4">
      <c r="B128" s="1592">
        <v>25555</v>
      </c>
      <c r="C128" s="744">
        <v>19</v>
      </c>
      <c r="D128" s="745">
        <f>B128/C128</f>
        <v>1345</v>
      </c>
      <c r="F128" s="1593"/>
      <c r="G128" s="748"/>
      <c r="H128" s="748"/>
      <c r="I128" s="748"/>
    </row>
    <row r="130" spans="1:21" ht="21" x14ac:dyDescent="0.5">
      <c r="A130" s="704" t="s">
        <v>2036</v>
      </c>
      <c r="C130" s="675" t="s">
        <v>2037</v>
      </c>
    </row>
    <row r="131" spans="1:21" ht="21" x14ac:dyDescent="0.5">
      <c r="A131" s="704"/>
    </row>
    <row r="132" spans="1:21" ht="15" customHeight="1" x14ac:dyDescent="0.5">
      <c r="A132" s="704"/>
    </row>
    <row r="133" spans="1:21" ht="15" customHeight="1" thickBot="1" x14ac:dyDescent="0.4"/>
    <row r="134" spans="1:21" ht="41.25" customHeight="1" thickBot="1" x14ac:dyDescent="0.5">
      <c r="B134" s="1003"/>
      <c r="C134" s="3080" t="s">
        <v>2038</v>
      </c>
      <c r="D134" s="3081"/>
      <c r="E134" s="3081"/>
      <c r="F134" s="3081"/>
      <c r="G134" s="3082"/>
      <c r="H134" s="3083" t="s">
        <v>2039</v>
      </c>
      <c r="I134" s="3084"/>
      <c r="J134" s="3084"/>
      <c r="K134" s="3084"/>
      <c r="L134" s="3084"/>
      <c r="M134" s="3085"/>
      <c r="N134" s="3083" t="s">
        <v>2040</v>
      </c>
      <c r="O134" s="3085"/>
      <c r="P134" s="779"/>
      <c r="Q134" s="783" t="s">
        <v>2459</v>
      </c>
      <c r="R134" s="747" t="s">
        <v>2016</v>
      </c>
      <c r="S134" s="773" t="s">
        <v>2150</v>
      </c>
      <c r="T134" s="779"/>
      <c r="U134" s="779"/>
    </row>
    <row r="135" spans="1:21" ht="30.75" customHeight="1" thickBot="1" x14ac:dyDescent="0.4">
      <c r="B135" s="3086" t="s">
        <v>2019</v>
      </c>
      <c r="C135" s="3069" t="s">
        <v>2466</v>
      </c>
      <c r="D135" s="3088"/>
      <c r="E135" s="3088"/>
      <c r="F135" s="3088"/>
      <c r="G135" s="3089"/>
      <c r="H135" s="3090" t="s">
        <v>2451</v>
      </c>
      <c r="I135" s="3091"/>
      <c r="J135" s="3091"/>
      <c r="K135" s="3091"/>
      <c r="L135" s="3092"/>
      <c r="M135" s="963" t="s">
        <v>2449</v>
      </c>
      <c r="N135" s="963" t="s">
        <v>2467</v>
      </c>
      <c r="O135" s="964" t="s">
        <v>2045</v>
      </c>
      <c r="P135" s="712"/>
      <c r="Q135" s="797">
        <f>B74</f>
        <v>621</v>
      </c>
      <c r="R135" s="744">
        <f>C128</f>
        <v>19</v>
      </c>
      <c r="S135" s="799">
        <f>Q135*R135</f>
        <v>11799</v>
      </c>
      <c r="T135" s="712"/>
    </row>
    <row r="136" spans="1:21" ht="29.5" thickBot="1" x14ac:dyDescent="0.4">
      <c r="B136" s="3087"/>
      <c r="C136" s="2697" t="s">
        <v>2452</v>
      </c>
      <c r="D136" s="2695" t="s">
        <v>2453</v>
      </c>
      <c r="E136" s="2695" t="s">
        <v>2454</v>
      </c>
      <c r="F136" s="2695" t="s">
        <v>2353</v>
      </c>
      <c r="G136" s="2696" t="s">
        <v>2354</v>
      </c>
      <c r="H136" s="2697" t="s">
        <v>2452</v>
      </c>
      <c r="I136" s="2695" t="s">
        <v>2453</v>
      </c>
      <c r="J136" s="2695" t="s">
        <v>2454</v>
      </c>
      <c r="K136" s="2695" t="s">
        <v>2353</v>
      </c>
      <c r="L136" s="2696" t="s">
        <v>2354</v>
      </c>
      <c r="M136" s="1594" t="s">
        <v>2468</v>
      </c>
      <c r="N136" s="969"/>
      <c r="O136" s="1595"/>
      <c r="P136" s="796"/>
      <c r="Q136" s="796"/>
      <c r="S136" s="796"/>
      <c r="T136" s="796"/>
    </row>
    <row r="137" spans="1:21" x14ac:dyDescent="0.35">
      <c r="B137" s="2704" t="s">
        <v>2180</v>
      </c>
      <c r="C137" s="2698">
        <f>$B$128*$C85*B$125</f>
        <v>0</v>
      </c>
      <c r="D137" s="2699">
        <f t="shared" ref="D137:G137" si="0">$B$128*$C85*C$125</f>
        <v>76.665000000000006</v>
      </c>
      <c r="E137" s="2699">
        <f t="shared" si="0"/>
        <v>76.665000000000006</v>
      </c>
      <c r="F137" s="2699">
        <f t="shared" si="0"/>
        <v>63.887500000000003</v>
      </c>
      <c r="G137" s="2700">
        <f t="shared" si="0"/>
        <v>38.332500000000003</v>
      </c>
      <c r="H137" s="2716">
        <v>1787</v>
      </c>
      <c r="I137" s="2717">
        <v>1831</v>
      </c>
      <c r="J137" s="2717">
        <v>1635</v>
      </c>
      <c r="K137" s="2717">
        <v>1089</v>
      </c>
      <c r="L137" s="2718">
        <v>1669</v>
      </c>
      <c r="M137" s="803">
        <f>$C$31</f>
        <v>0.08</v>
      </c>
      <c r="N137" s="805">
        <f>SUMPRODUCT(C137:G137,H137:L137)*M137/100</f>
        <v>319.417056</v>
      </c>
      <c r="O137" s="1596">
        <f>SUM(C137:G137)*B$79</f>
        <v>152.00114000000002</v>
      </c>
      <c r="P137" s="796"/>
      <c r="S137" s="796"/>
      <c r="T137" s="796"/>
    </row>
    <row r="138" spans="1:21" x14ac:dyDescent="0.35">
      <c r="B138" s="2705" t="s">
        <v>2071</v>
      </c>
      <c r="C138" s="2698">
        <f t="shared" ref="C138:G139" si="1">$B$128*$C86*B$125</f>
        <v>0</v>
      </c>
      <c r="D138" s="2699">
        <f t="shared" si="1"/>
        <v>76.665000000000006</v>
      </c>
      <c r="E138" s="2699">
        <f t="shared" si="1"/>
        <v>76.665000000000006</v>
      </c>
      <c r="F138" s="2699">
        <f t="shared" si="1"/>
        <v>63.887500000000003</v>
      </c>
      <c r="G138" s="2700">
        <f t="shared" si="1"/>
        <v>38.332500000000003</v>
      </c>
      <c r="H138" s="2716">
        <v>1683</v>
      </c>
      <c r="I138" s="2717">
        <v>1646</v>
      </c>
      <c r="J138" s="2717">
        <v>1446</v>
      </c>
      <c r="K138" s="2717">
        <v>1063</v>
      </c>
      <c r="L138" s="2718">
        <v>1277</v>
      </c>
      <c r="M138" s="803">
        <f t="shared" ref="M138:M173" si="2">$C$31</f>
        <v>0.08</v>
      </c>
      <c r="N138" s="805">
        <f t="shared" ref="N138:N173" si="3">SUMPRODUCT(C138:G138,H138:L138)*M138/100</f>
        <v>283.12895600000002</v>
      </c>
      <c r="O138" s="1596">
        <f t="shared" ref="O138:O173" si="4">SUM(C138:G138)*B$79</f>
        <v>152.00114000000002</v>
      </c>
      <c r="P138" s="796"/>
      <c r="S138" s="796"/>
      <c r="T138" s="796"/>
    </row>
    <row r="139" spans="1:21" x14ac:dyDescent="0.35">
      <c r="B139" s="2706" t="s">
        <v>3906</v>
      </c>
      <c r="C139" s="2746">
        <f t="shared" si="1"/>
        <v>0</v>
      </c>
      <c r="D139" s="2747">
        <f t="shared" si="1"/>
        <v>0</v>
      </c>
      <c r="E139" s="2747">
        <f t="shared" si="1"/>
        <v>0</v>
      </c>
      <c r="F139" s="2747">
        <f t="shared" si="1"/>
        <v>0</v>
      </c>
      <c r="G139" s="2748">
        <f t="shared" si="1"/>
        <v>0</v>
      </c>
      <c r="H139" s="2711">
        <v>2981</v>
      </c>
      <c r="I139" s="2684">
        <v>2950</v>
      </c>
      <c r="J139" s="2684">
        <v>2694</v>
      </c>
      <c r="K139" s="2684">
        <v>2368</v>
      </c>
      <c r="L139" s="2712">
        <v>2437</v>
      </c>
      <c r="M139" s="2754">
        <f t="shared" si="2"/>
        <v>0.08</v>
      </c>
      <c r="N139" s="2750">
        <f t="shared" ref="N139" si="5">SUMPRODUCT(C139:G139,H139:L139)*M139/100</f>
        <v>0</v>
      </c>
      <c r="O139" s="2751">
        <f t="shared" ref="O139" si="6">SUM(C139:G139)*B$79</f>
        <v>0</v>
      </c>
      <c r="P139" s="796"/>
      <c r="S139" s="796"/>
      <c r="T139" s="796"/>
    </row>
    <row r="140" spans="1:21" x14ac:dyDescent="0.35">
      <c r="B140" s="2706" t="s">
        <v>2157</v>
      </c>
      <c r="C140" s="2698">
        <f t="shared" ref="C140:G141" si="7">$B$128*$C88*B$125</f>
        <v>0</v>
      </c>
      <c r="D140" s="2699">
        <f t="shared" si="7"/>
        <v>306.66000000000003</v>
      </c>
      <c r="E140" s="2699">
        <f t="shared" si="7"/>
        <v>306.66000000000003</v>
      </c>
      <c r="F140" s="2699">
        <f t="shared" si="7"/>
        <v>255.55</v>
      </c>
      <c r="G140" s="2700">
        <f t="shared" si="7"/>
        <v>153.33000000000001</v>
      </c>
      <c r="H140" s="2711">
        <v>1256</v>
      </c>
      <c r="I140" s="2684">
        <v>1293</v>
      </c>
      <c r="J140" s="2684">
        <v>1138</v>
      </c>
      <c r="K140" s="2684">
        <v>1116</v>
      </c>
      <c r="L140" s="2712">
        <v>1131</v>
      </c>
      <c r="M140" s="803">
        <f t="shared" si="2"/>
        <v>0.08</v>
      </c>
      <c r="N140" s="805">
        <f t="shared" si="3"/>
        <v>963.28039200000001</v>
      </c>
      <c r="O140" s="1596">
        <f t="shared" si="4"/>
        <v>608.00456000000008</v>
      </c>
      <c r="P140" s="796"/>
      <c r="Q140" s="796"/>
      <c r="S140" s="796"/>
      <c r="T140" s="796"/>
    </row>
    <row r="141" spans="1:21" x14ac:dyDescent="0.35">
      <c r="B141" s="2705" t="s">
        <v>2158</v>
      </c>
      <c r="C141" s="2698">
        <f t="shared" si="7"/>
        <v>0</v>
      </c>
      <c r="D141" s="2699">
        <f t="shared" si="7"/>
        <v>0</v>
      </c>
      <c r="E141" s="2699">
        <f t="shared" si="7"/>
        <v>0</v>
      </c>
      <c r="F141" s="2699">
        <f t="shared" si="7"/>
        <v>0</v>
      </c>
      <c r="G141" s="2700">
        <f t="shared" si="7"/>
        <v>0</v>
      </c>
      <c r="H141" s="2716">
        <v>1481</v>
      </c>
      <c r="I141" s="2717">
        <v>1368</v>
      </c>
      <c r="J141" s="2717">
        <v>1214</v>
      </c>
      <c r="K141" s="2717">
        <v>871</v>
      </c>
      <c r="L141" s="2718">
        <v>973</v>
      </c>
      <c r="M141" s="803">
        <f t="shared" si="2"/>
        <v>0.08</v>
      </c>
      <c r="N141" s="805">
        <f t="shared" si="3"/>
        <v>0</v>
      </c>
      <c r="O141" s="1596">
        <f t="shared" si="4"/>
        <v>0</v>
      </c>
      <c r="P141" s="796"/>
      <c r="Q141" s="796"/>
      <c r="S141" s="796"/>
      <c r="T141" s="796"/>
    </row>
    <row r="142" spans="1:21" x14ac:dyDescent="0.35">
      <c r="B142" s="2706" t="s">
        <v>3907</v>
      </c>
      <c r="C142" s="2746">
        <f t="shared" ref="C142:G142" si="8">$B$128*$C90*B$125</f>
        <v>0</v>
      </c>
      <c r="D142" s="2747">
        <f t="shared" si="8"/>
        <v>0</v>
      </c>
      <c r="E142" s="2747">
        <f t="shared" si="8"/>
        <v>0</v>
      </c>
      <c r="F142" s="2747">
        <f t="shared" si="8"/>
        <v>0</v>
      </c>
      <c r="G142" s="2748">
        <f t="shared" si="8"/>
        <v>0</v>
      </c>
      <c r="H142" s="2711">
        <v>2848</v>
      </c>
      <c r="I142" s="2684">
        <v>2947</v>
      </c>
      <c r="J142" s="2684">
        <v>2568</v>
      </c>
      <c r="K142" s="2684">
        <v>2362</v>
      </c>
      <c r="L142" s="2712">
        <v>2516</v>
      </c>
      <c r="M142" s="2754">
        <f t="shared" si="2"/>
        <v>0.08</v>
      </c>
      <c r="N142" s="2750">
        <f t="shared" si="3"/>
        <v>0</v>
      </c>
      <c r="O142" s="2751">
        <f t="shared" si="4"/>
        <v>0</v>
      </c>
      <c r="P142" s="796"/>
      <c r="Q142" s="796"/>
      <c r="S142" s="796"/>
      <c r="T142" s="796"/>
    </row>
    <row r="143" spans="1:21" x14ac:dyDescent="0.35">
      <c r="B143" s="2706" t="s">
        <v>2028</v>
      </c>
      <c r="C143" s="2698">
        <f t="shared" ref="C143:G152" si="9">$B$128*$C91*B$125</f>
        <v>0</v>
      </c>
      <c r="D143" s="2699">
        <f t="shared" si="9"/>
        <v>229.99499999999998</v>
      </c>
      <c r="E143" s="2699">
        <f t="shared" si="9"/>
        <v>229.99499999999998</v>
      </c>
      <c r="F143" s="2699">
        <f t="shared" si="9"/>
        <v>191.66249999999999</v>
      </c>
      <c r="G143" s="2700">
        <f t="shared" si="9"/>
        <v>114.99749999999999</v>
      </c>
      <c r="H143" s="2711">
        <v>1614</v>
      </c>
      <c r="I143" s="2684">
        <v>1603</v>
      </c>
      <c r="J143" s="2684">
        <v>1409</v>
      </c>
      <c r="K143" s="2684">
        <v>1209</v>
      </c>
      <c r="L143" s="2712">
        <v>1269</v>
      </c>
      <c r="M143" s="803">
        <f t="shared" si="2"/>
        <v>0.08</v>
      </c>
      <c r="N143" s="805">
        <f t="shared" si="3"/>
        <v>856.31738400000006</v>
      </c>
      <c r="O143" s="1596">
        <f t="shared" si="4"/>
        <v>456.00341999999989</v>
      </c>
      <c r="P143" s="796"/>
      <c r="Q143" s="796"/>
      <c r="S143" s="796"/>
      <c r="T143" s="796"/>
    </row>
    <row r="144" spans="1:21" x14ac:dyDescent="0.35">
      <c r="B144" s="2705" t="s">
        <v>2109</v>
      </c>
      <c r="C144" s="2698">
        <f t="shared" si="9"/>
        <v>0</v>
      </c>
      <c r="D144" s="2699">
        <f t="shared" si="9"/>
        <v>0</v>
      </c>
      <c r="E144" s="2699">
        <f t="shared" si="9"/>
        <v>0</v>
      </c>
      <c r="F144" s="2699">
        <f t="shared" si="9"/>
        <v>0</v>
      </c>
      <c r="G144" s="2700">
        <f t="shared" si="9"/>
        <v>0</v>
      </c>
      <c r="H144" s="2716">
        <v>985</v>
      </c>
      <c r="I144" s="2717">
        <v>969</v>
      </c>
      <c r="J144" s="2717">
        <v>852</v>
      </c>
      <c r="K144" s="2717">
        <v>680</v>
      </c>
      <c r="L144" s="2718">
        <v>752</v>
      </c>
      <c r="M144" s="803">
        <f t="shared" si="2"/>
        <v>0.08</v>
      </c>
      <c r="N144" s="805">
        <f t="shared" si="3"/>
        <v>0</v>
      </c>
      <c r="O144" s="1596">
        <f t="shared" si="4"/>
        <v>0</v>
      </c>
    </row>
    <row r="145" spans="2:15" x14ac:dyDescent="0.35">
      <c r="B145" s="2706" t="s">
        <v>2026</v>
      </c>
      <c r="C145" s="2698">
        <f t="shared" si="9"/>
        <v>0</v>
      </c>
      <c r="D145" s="2699">
        <f t="shared" si="9"/>
        <v>76.665000000000006</v>
      </c>
      <c r="E145" s="2699">
        <f t="shared" si="9"/>
        <v>76.665000000000006</v>
      </c>
      <c r="F145" s="2699">
        <f t="shared" si="9"/>
        <v>63.887500000000003</v>
      </c>
      <c r="G145" s="2700">
        <f t="shared" si="9"/>
        <v>38.332500000000003</v>
      </c>
      <c r="H145" s="2711">
        <v>1467</v>
      </c>
      <c r="I145" s="2684">
        <v>1551</v>
      </c>
      <c r="J145" s="2684">
        <v>1364</v>
      </c>
      <c r="K145" s="2684">
        <v>1367</v>
      </c>
      <c r="L145" s="2712">
        <v>1375</v>
      </c>
      <c r="M145" s="803">
        <f t="shared" si="2"/>
        <v>0.08</v>
      </c>
      <c r="N145" s="805">
        <f t="shared" si="3"/>
        <v>290.81590000000006</v>
      </c>
      <c r="O145" s="1596">
        <f t="shared" si="4"/>
        <v>152.00114000000002</v>
      </c>
    </row>
    <row r="146" spans="2:15" x14ac:dyDescent="0.35">
      <c r="B146" s="2706" t="s">
        <v>2075</v>
      </c>
      <c r="C146" s="2698">
        <f t="shared" si="9"/>
        <v>0</v>
      </c>
      <c r="D146" s="2699">
        <f t="shared" si="9"/>
        <v>459.98999999999995</v>
      </c>
      <c r="E146" s="2699">
        <f t="shared" si="9"/>
        <v>459.98999999999995</v>
      </c>
      <c r="F146" s="2699">
        <f t="shared" si="9"/>
        <v>383.32499999999999</v>
      </c>
      <c r="G146" s="2700">
        <f t="shared" si="9"/>
        <v>229.99499999999998</v>
      </c>
      <c r="H146" s="2711">
        <v>1446</v>
      </c>
      <c r="I146" s="2684">
        <v>1526</v>
      </c>
      <c r="J146" s="2684">
        <v>1452</v>
      </c>
      <c r="K146" s="2684">
        <v>1553</v>
      </c>
      <c r="L146" s="2712">
        <v>1574</v>
      </c>
      <c r="M146" s="803">
        <f t="shared" si="2"/>
        <v>0.08</v>
      </c>
      <c r="N146" s="805">
        <f t="shared" si="3"/>
        <v>1861.7328599999998</v>
      </c>
      <c r="O146" s="1596">
        <f t="shared" si="4"/>
        <v>912.00683999999978</v>
      </c>
    </row>
    <row r="147" spans="2:15" x14ac:dyDescent="0.35">
      <c r="B147" s="2706" t="s">
        <v>2029</v>
      </c>
      <c r="C147" s="2698">
        <f t="shared" si="9"/>
        <v>0</v>
      </c>
      <c r="D147" s="2699">
        <f t="shared" si="9"/>
        <v>229.99499999999998</v>
      </c>
      <c r="E147" s="2699">
        <f t="shared" si="9"/>
        <v>229.99499999999998</v>
      </c>
      <c r="F147" s="2699">
        <f t="shared" si="9"/>
        <v>191.66249999999999</v>
      </c>
      <c r="G147" s="2700">
        <f t="shared" si="9"/>
        <v>114.99749999999999</v>
      </c>
      <c r="H147" s="2711">
        <v>1807</v>
      </c>
      <c r="I147" s="2684">
        <v>1855</v>
      </c>
      <c r="J147" s="2684">
        <v>1649</v>
      </c>
      <c r="K147" s="2684">
        <v>1591</v>
      </c>
      <c r="L147" s="2712">
        <v>1622</v>
      </c>
      <c r="M147" s="803">
        <f t="shared" si="2"/>
        <v>0.08</v>
      </c>
      <c r="N147" s="805">
        <f t="shared" si="3"/>
        <v>1037.8907700000002</v>
      </c>
      <c r="O147" s="1596">
        <f t="shared" si="4"/>
        <v>456.00341999999989</v>
      </c>
    </row>
    <row r="148" spans="2:15" x14ac:dyDescent="0.35">
      <c r="B148" s="2706" t="s">
        <v>2159</v>
      </c>
      <c r="C148" s="2698">
        <f t="shared" si="9"/>
        <v>0</v>
      </c>
      <c r="D148" s="2699">
        <f t="shared" si="9"/>
        <v>153.33000000000001</v>
      </c>
      <c r="E148" s="2699">
        <f t="shared" si="9"/>
        <v>153.33000000000001</v>
      </c>
      <c r="F148" s="2699">
        <f t="shared" si="9"/>
        <v>127.77500000000001</v>
      </c>
      <c r="G148" s="2700">
        <f t="shared" si="9"/>
        <v>76.665000000000006</v>
      </c>
      <c r="H148" s="2711">
        <v>1216</v>
      </c>
      <c r="I148" s="2684">
        <v>1220</v>
      </c>
      <c r="J148" s="2684">
        <v>1072</v>
      </c>
      <c r="K148" s="2684">
        <v>1001</v>
      </c>
      <c r="L148" s="2712">
        <v>1028</v>
      </c>
      <c r="M148" s="803">
        <f t="shared" si="2"/>
        <v>0.08</v>
      </c>
      <c r="N148" s="805">
        <f t="shared" si="3"/>
        <v>446.517404</v>
      </c>
      <c r="O148" s="1596">
        <f t="shared" si="4"/>
        <v>304.00228000000004</v>
      </c>
    </row>
    <row r="149" spans="2:15" x14ac:dyDescent="0.35">
      <c r="B149" s="2706" t="s">
        <v>2160</v>
      </c>
      <c r="C149" s="2698">
        <f t="shared" si="9"/>
        <v>0</v>
      </c>
      <c r="D149" s="2699">
        <f t="shared" si="9"/>
        <v>153.33000000000001</v>
      </c>
      <c r="E149" s="2699">
        <f t="shared" si="9"/>
        <v>153.33000000000001</v>
      </c>
      <c r="F149" s="2699">
        <f t="shared" si="9"/>
        <v>127.77500000000001</v>
      </c>
      <c r="G149" s="2700">
        <f t="shared" si="9"/>
        <v>76.665000000000006</v>
      </c>
      <c r="H149" s="2711">
        <v>1387</v>
      </c>
      <c r="I149" s="2684">
        <v>1398</v>
      </c>
      <c r="J149" s="2684">
        <v>1252</v>
      </c>
      <c r="K149" s="2684">
        <v>1222</v>
      </c>
      <c r="L149" s="2712">
        <v>1269</v>
      </c>
      <c r="M149" s="803">
        <f t="shared" si="2"/>
        <v>0.08</v>
      </c>
      <c r="N149" s="805">
        <f t="shared" si="3"/>
        <v>527.80274800000007</v>
      </c>
      <c r="O149" s="1596">
        <f t="shared" si="4"/>
        <v>304.00228000000004</v>
      </c>
    </row>
    <row r="150" spans="2:15" x14ac:dyDescent="0.35">
      <c r="B150" s="2706" t="s">
        <v>2161</v>
      </c>
      <c r="C150" s="2698">
        <f t="shared" si="9"/>
        <v>0</v>
      </c>
      <c r="D150" s="2699">
        <f t="shared" si="9"/>
        <v>459.98999999999995</v>
      </c>
      <c r="E150" s="2699">
        <f t="shared" si="9"/>
        <v>459.98999999999995</v>
      </c>
      <c r="F150" s="2699">
        <f t="shared" si="9"/>
        <v>383.32499999999999</v>
      </c>
      <c r="G150" s="2700">
        <f t="shared" si="9"/>
        <v>229.99499999999998</v>
      </c>
      <c r="H150" s="2711">
        <v>665</v>
      </c>
      <c r="I150" s="2684">
        <v>697</v>
      </c>
      <c r="J150" s="2684">
        <v>628</v>
      </c>
      <c r="K150" s="2684">
        <v>646</v>
      </c>
      <c r="L150" s="2712">
        <v>615</v>
      </c>
      <c r="M150" s="803">
        <f t="shared" si="2"/>
        <v>0.08</v>
      </c>
      <c r="N150" s="805">
        <f t="shared" si="3"/>
        <v>798.84930000000008</v>
      </c>
      <c r="O150" s="1596">
        <f t="shared" si="4"/>
        <v>912.00683999999978</v>
      </c>
    </row>
    <row r="151" spans="2:15" x14ac:dyDescent="0.35">
      <c r="B151" s="2706" t="s">
        <v>2162</v>
      </c>
      <c r="C151" s="2698">
        <f t="shared" si="9"/>
        <v>0</v>
      </c>
      <c r="D151" s="2699">
        <f t="shared" si="9"/>
        <v>153.33000000000001</v>
      </c>
      <c r="E151" s="2699">
        <f t="shared" si="9"/>
        <v>153.33000000000001</v>
      </c>
      <c r="F151" s="2699">
        <f t="shared" si="9"/>
        <v>127.77500000000001</v>
      </c>
      <c r="G151" s="2700">
        <f t="shared" si="9"/>
        <v>76.665000000000006</v>
      </c>
      <c r="H151" s="2711">
        <v>1622</v>
      </c>
      <c r="I151" s="2684">
        <v>1571</v>
      </c>
      <c r="J151" s="2684">
        <v>1374</v>
      </c>
      <c r="K151" s="2684">
        <v>1220</v>
      </c>
      <c r="L151" s="2712">
        <v>1281</v>
      </c>
      <c r="M151" s="803">
        <f t="shared" si="2"/>
        <v>0.08</v>
      </c>
      <c r="N151" s="805">
        <f t="shared" si="3"/>
        <v>564.52017200000012</v>
      </c>
      <c r="O151" s="1596">
        <f t="shared" si="4"/>
        <v>304.00228000000004</v>
      </c>
    </row>
    <row r="152" spans="2:15" x14ac:dyDescent="0.35">
      <c r="B152" s="2706" t="s">
        <v>2325</v>
      </c>
      <c r="C152" s="2698">
        <f t="shared" si="9"/>
        <v>0</v>
      </c>
      <c r="D152" s="2699">
        <f t="shared" si="9"/>
        <v>459.98999999999995</v>
      </c>
      <c r="E152" s="2699">
        <f t="shared" si="9"/>
        <v>459.98999999999995</v>
      </c>
      <c r="F152" s="2699">
        <f t="shared" si="9"/>
        <v>383.32499999999999</v>
      </c>
      <c r="G152" s="2700">
        <f t="shared" si="9"/>
        <v>229.99499999999998</v>
      </c>
      <c r="H152" s="2711">
        <v>1597</v>
      </c>
      <c r="I152" s="2684">
        <v>1634</v>
      </c>
      <c r="J152" s="2684">
        <v>1468</v>
      </c>
      <c r="K152" s="2684">
        <v>1376</v>
      </c>
      <c r="L152" s="2712">
        <v>1451</v>
      </c>
      <c r="M152" s="803">
        <f t="shared" si="2"/>
        <v>0.08</v>
      </c>
      <c r="N152" s="805">
        <f t="shared" si="3"/>
        <v>1830.45354</v>
      </c>
      <c r="O152" s="1596">
        <f t="shared" si="4"/>
        <v>912.00683999999978</v>
      </c>
    </row>
    <row r="153" spans="2:15" x14ac:dyDescent="0.35">
      <c r="B153" s="2706" t="s">
        <v>2073</v>
      </c>
      <c r="C153" s="2698">
        <f t="shared" ref="C153:G162" si="10">$B$128*$C101*B$125</f>
        <v>0</v>
      </c>
      <c r="D153" s="2699">
        <f t="shared" si="10"/>
        <v>0</v>
      </c>
      <c r="E153" s="2699">
        <f t="shared" si="10"/>
        <v>0</v>
      </c>
      <c r="F153" s="2699">
        <f t="shared" si="10"/>
        <v>0</v>
      </c>
      <c r="G153" s="2700">
        <f t="shared" si="10"/>
        <v>0</v>
      </c>
      <c r="H153" s="2711">
        <v>1670</v>
      </c>
      <c r="I153" s="2684">
        <v>1733</v>
      </c>
      <c r="J153" s="2684">
        <v>1549</v>
      </c>
      <c r="K153" s="2684">
        <v>1496</v>
      </c>
      <c r="L153" s="2712">
        <v>1557</v>
      </c>
      <c r="M153" s="803">
        <f t="shared" si="2"/>
        <v>0.08</v>
      </c>
      <c r="N153" s="805">
        <f t="shared" si="3"/>
        <v>0</v>
      </c>
      <c r="O153" s="1596">
        <f t="shared" si="4"/>
        <v>0</v>
      </c>
    </row>
    <row r="154" spans="2:15" x14ac:dyDescent="0.35">
      <c r="B154" s="2706" t="s">
        <v>2166</v>
      </c>
      <c r="C154" s="2698">
        <f t="shared" si="10"/>
        <v>0</v>
      </c>
      <c r="D154" s="2699">
        <f t="shared" si="10"/>
        <v>0</v>
      </c>
      <c r="E154" s="2699">
        <f t="shared" si="10"/>
        <v>0</v>
      </c>
      <c r="F154" s="2699">
        <f t="shared" si="10"/>
        <v>0</v>
      </c>
      <c r="G154" s="2700">
        <f t="shared" si="10"/>
        <v>0</v>
      </c>
      <c r="H154" s="2711">
        <v>1555</v>
      </c>
      <c r="I154" s="2684">
        <v>1597</v>
      </c>
      <c r="J154" s="2684">
        <v>1433</v>
      </c>
      <c r="K154" s="2684">
        <v>1316</v>
      </c>
      <c r="L154" s="2712">
        <v>1400</v>
      </c>
      <c r="M154" s="803">
        <f t="shared" si="2"/>
        <v>0.08</v>
      </c>
      <c r="N154" s="805">
        <f t="shared" si="3"/>
        <v>0</v>
      </c>
      <c r="O154" s="1596">
        <f t="shared" si="4"/>
        <v>0</v>
      </c>
    </row>
    <row r="155" spans="2:15" x14ac:dyDescent="0.35">
      <c r="B155" s="2705" t="s">
        <v>2163</v>
      </c>
      <c r="C155" s="2698">
        <f t="shared" si="10"/>
        <v>0</v>
      </c>
      <c r="D155" s="2699">
        <f t="shared" si="10"/>
        <v>383.32499999999999</v>
      </c>
      <c r="E155" s="2699">
        <f t="shared" si="10"/>
        <v>383.32499999999999</v>
      </c>
      <c r="F155" s="2699">
        <f t="shared" si="10"/>
        <v>319.4375</v>
      </c>
      <c r="G155" s="2700">
        <f t="shared" si="10"/>
        <v>191.66249999999999</v>
      </c>
      <c r="H155" s="2716">
        <v>1048</v>
      </c>
      <c r="I155" s="2717">
        <v>1013</v>
      </c>
      <c r="J155" s="2717">
        <v>939</v>
      </c>
      <c r="K155" s="2717">
        <v>567</v>
      </c>
      <c r="L155" s="2718">
        <v>634</v>
      </c>
      <c r="M155" s="803">
        <f t="shared" si="2"/>
        <v>0.08</v>
      </c>
      <c r="N155" s="805">
        <f t="shared" si="3"/>
        <v>840.70838999999989</v>
      </c>
      <c r="O155" s="1596">
        <f t="shared" si="4"/>
        <v>760.00570000000005</v>
      </c>
    </row>
    <row r="156" spans="2:15" x14ac:dyDescent="0.35">
      <c r="B156" s="2706" t="s">
        <v>2181</v>
      </c>
      <c r="C156" s="2698">
        <f t="shared" si="10"/>
        <v>0</v>
      </c>
      <c r="D156" s="2699">
        <f t="shared" si="10"/>
        <v>153.33000000000001</v>
      </c>
      <c r="E156" s="2699">
        <f t="shared" si="10"/>
        <v>153.33000000000001</v>
      </c>
      <c r="F156" s="2699">
        <f t="shared" si="10"/>
        <v>127.77500000000001</v>
      </c>
      <c r="G156" s="2700">
        <f t="shared" si="10"/>
        <v>76.665000000000006</v>
      </c>
      <c r="H156" s="2711">
        <v>1565</v>
      </c>
      <c r="I156" s="2684">
        <v>1540</v>
      </c>
      <c r="J156" s="2684">
        <v>1448</v>
      </c>
      <c r="K156" s="2684">
        <v>1089</v>
      </c>
      <c r="L156" s="2712">
        <v>1125</v>
      </c>
      <c r="M156" s="803">
        <f t="shared" si="2"/>
        <v>0.08</v>
      </c>
      <c r="N156" s="805">
        <f t="shared" si="3"/>
        <v>546.83611199999996</v>
      </c>
      <c r="O156" s="1596">
        <f t="shared" si="4"/>
        <v>304.00228000000004</v>
      </c>
    </row>
    <row r="157" spans="2:15" x14ac:dyDescent="0.35">
      <c r="B157" s="2706" t="s">
        <v>2164</v>
      </c>
      <c r="C157" s="2698">
        <f t="shared" si="10"/>
        <v>0</v>
      </c>
      <c r="D157" s="2699">
        <f t="shared" si="10"/>
        <v>0</v>
      </c>
      <c r="E157" s="2699">
        <f t="shared" si="10"/>
        <v>0</v>
      </c>
      <c r="F157" s="2699">
        <f t="shared" si="10"/>
        <v>0</v>
      </c>
      <c r="G157" s="2700">
        <f t="shared" si="10"/>
        <v>0</v>
      </c>
      <c r="H157" s="2711">
        <v>537</v>
      </c>
      <c r="I157" s="2684">
        <v>558</v>
      </c>
      <c r="J157" s="2684">
        <v>501</v>
      </c>
      <c r="K157" s="2684">
        <v>480</v>
      </c>
      <c r="L157" s="2712">
        <v>499</v>
      </c>
      <c r="M157" s="803">
        <f t="shared" si="2"/>
        <v>0.08</v>
      </c>
      <c r="N157" s="805">
        <f t="shared" si="3"/>
        <v>0</v>
      </c>
      <c r="O157" s="1596">
        <f t="shared" si="4"/>
        <v>0</v>
      </c>
    </row>
    <row r="158" spans="2:15" x14ac:dyDescent="0.35">
      <c r="B158" s="2706" t="s">
        <v>2336</v>
      </c>
      <c r="C158" s="2698">
        <f t="shared" si="10"/>
        <v>0</v>
      </c>
      <c r="D158" s="2699">
        <f t="shared" si="10"/>
        <v>0</v>
      </c>
      <c r="E158" s="2699">
        <f t="shared" si="10"/>
        <v>0</v>
      </c>
      <c r="F158" s="2699">
        <f t="shared" si="10"/>
        <v>0</v>
      </c>
      <c r="G158" s="2700">
        <f t="shared" si="10"/>
        <v>0</v>
      </c>
      <c r="H158" s="2711">
        <v>1665</v>
      </c>
      <c r="I158" s="2684">
        <v>1666</v>
      </c>
      <c r="J158" s="2684">
        <v>1512</v>
      </c>
      <c r="K158" s="2684">
        <v>1145</v>
      </c>
      <c r="L158" s="2712">
        <v>1207</v>
      </c>
      <c r="M158" s="803">
        <f t="shared" si="2"/>
        <v>0.08</v>
      </c>
      <c r="N158" s="805">
        <f t="shared" si="3"/>
        <v>0</v>
      </c>
      <c r="O158" s="1596">
        <f t="shared" si="4"/>
        <v>0</v>
      </c>
    </row>
    <row r="159" spans="2:15" x14ac:dyDescent="0.35">
      <c r="B159" s="2706" t="s">
        <v>2165</v>
      </c>
      <c r="C159" s="2698">
        <f t="shared" si="10"/>
        <v>0</v>
      </c>
      <c r="D159" s="2699">
        <f t="shared" si="10"/>
        <v>153.33000000000001</v>
      </c>
      <c r="E159" s="2699">
        <f t="shared" si="10"/>
        <v>153.33000000000001</v>
      </c>
      <c r="F159" s="2699">
        <f t="shared" si="10"/>
        <v>127.77500000000001</v>
      </c>
      <c r="G159" s="2700">
        <f t="shared" si="10"/>
        <v>76.665000000000006</v>
      </c>
      <c r="H159" s="2711">
        <v>1730</v>
      </c>
      <c r="I159" s="2684">
        <v>1782</v>
      </c>
      <c r="J159" s="2684">
        <v>1589</v>
      </c>
      <c r="K159" s="2684">
        <v>1538</v>
      </c>
      <c r="L159" s="2712">
        <v>1560</v>
      </c>
      <c r="M159" s="803">
        <f t="shared" si="2"/>
        <v>0.08</v>
      </c>
      <c r="N159" s="805">
        <f t="shared" si="3"/>
        <v>666.39262400000007</v>
      </c>
      <c r="O159" s="1596">
        <f t="shared" si="4"/>
        <v>304.00228000000004</v>
      </c>
    </row>
    <row r="160" spans="2:15" x14ac:dyDescent="0.35">
      <c r="B160" s="2705" t="s">
        <v>2167</v>
      </c>
      <c r="C160" s="2698">
        <f t="shared" si="10"/>
        <v>0</v>
      </c>
      <c r="D160" s="2699">
        <f t="shared" si="10"/>
        <v>0</v>
      </c>
      <c r="E160" s="2699">
        <f t="shared" si="10"/>
        <v>0</v>
      </c>
      <c r="F160" s="2699">
        <f t="shared" si="10"/>
        <v>0</v>
      </c>
      <c r="G160" s="2700">
        <f t="shared" si="10"/>
        <v>0</v>
      </c>
      <c r="H160" s="2716">
        <v>1916</v>
      </c>
      <c r="I160" s="2717">
        <v>1905</v>
      </c>
      <c r="J160" s="2717">
        <v>1718</v>
      </c>
      <c r="K160" s="2717">
        <v>1288</v>
      </c>
      <c r="L160" s="2718">
        <v>1538</v>
      </c>
      <c r="M160" s="803">
        <f t="shared" si="2"/>
        <v>0.08</v>
      </c>
      <c r="N160" s="805">
        <f t="shared" si="3"/>
        <v>0</v>
      </c>
      <c r="O160" s="1596">
        <f t="shared" si="4"/>
        <v>0</v>
      </c>
    </row>
    <row r="161" spans="2:15" x14ac:dyDescent="0.35">
      <c r="B161" s="2706" t="s">
        <v>2168</v>
      </c>
      <c r="C161" s="2698">
        <f t="shared" si="10"/>
        <v>0</v>
      </c>
      <c r="D161" s="2699">
        <f t="shared" si="10"/>
        <v>229.99499999999998</v>
      </c>
      <c r="E161" s="2699">
        <f t="shared" si="10"/>
        <v>229.99499999999998</v>
      </c>
      <c r="F161" s="2699">
        <f t="shared" si="10"/>
        <v>191.66249999999999</v>
      </c>
      <c r="G161" s="2700">
        <f t="shared" si="10"/>
        <v>114.99749999999999</v>
      </c>
      <c r="H161" s="2711">
        <v>995</v>
      </c>
      <c r="I161" s="2684">
        <v>1036</v>
      </c>
      <c r="J161" s="2684">
        <v>933</v>
      </c>
      <c r="K161" s="2684">
        <v>786</v>
      </c>
      <c r="L161" s="2712">
        <v>832</v>
      </c>
      <c r="M161" s="803">
        <f t="shared" si="2"/>
        <v>0.08</v>
      </c>
      <c r="N161" s="805">
        <f t="shared" si="3"/>
        <v>559.34784000000002</v>
      </c>
      <c r="O161" s="1596">
        <f t="shared" si="4"/>
        <v>456.00341999999989</v>
      </c>
    </row>
    <row r="162" spans="2:15" x14ac:dyDescent="0.35">
      <c r="B162" s="2706" t="s">
        <v>2169</v>
      </c>
      <c r="C162" s="2698">
        <f t="shared" si="10"/>
        <v>0</v>
      </c>
      <c r="D162" s="2699">
        <f t="shared" si="10"/>
        <v>229.99499999999998</v>
      </c>
      <c r="E162" s="2699">
        <f t="shared" si="10"/>
        <v>229.99499999999998</v>
      </c>
      <c r="F162" s="2699">
        <f t="shared" si="10"/>
        <v>191.66249999999999</v>
      </c>
      <c r="G162" s="2700">
        <f t="shared" si="10"/>
        <v>114.99749999999999</v>
      </c>
      <c r="H162" s="2711">
        <v>2244</v>
      </c>
      <c r="I162" s="2684">
        <v>2237</v>
      </c>
      <c r="J162" s="2684">
        <v>2024</v>
      </c>
      <c r="K162" s="2684">
        <v>1553</v>
      </c>
      <c r="L162" s="2712">
        <v>1608</v>
      </c>
      <c r="M162" s="803">
        <f t="shared" si="2"/>
        <v>0.08</v>
      </c>
      <c r="N162" s="805">
        <f t="shared" si="3"/>
        <v>1170.06123</v>
      </c>
      <c r="O162" s="1596">
        <f t="shared" si="4"/>
        <v>456.00341999999989</v>
      </c>
    </row>
    <row r="163" spans="2:15" x14ac:dyDescent="0.35">
      <c r="B163" s="2706" t="s">
        <v>2170</v>
      </c>
      <c r="C163" s="2698">
        <f t="shared" ref="C163:G166" si="11">$B$128*$C111*B$125</f>
        <v>0</v>
      </c>
      <c r="D163" s="2699">
        <f t="shared" si="11"/>
        <v>229.99499999999998</v>
      </c>
      <c r="E163" s="2699">
        <f t="shared" si="11"/>
        <v>229.99499999999998</v>
      </c>
      <c r="F163" s="2699">
        <f t="shared" si="11"/>
        <v>191.66249999999999</v>
      </c>
      <c r="G163" s="2700">
        <f t="shared" si="11"/>
        <v>114.99749999999999</v>
      </c>
      <c r="H163" s="2711">
        <v>1552</v>
      </c>
      <c r="I163" s="2684">
        <v>1432</v>
      </c>
      <c r="J163" s="2684">
        <v>1239</v>
      </c>
      <c r="K163" s="2684">
        <v>1077</v>
      </c>
      <c r="L163" s="2712">
        <v>1098</v>
      </c>
      <c r="M163" s="803">
        <f t="shared" si="2"/>
        <v>0.08</v>
      </c>
      <c r="N163" s="805">
        <f t="shared" si="3"/>
        <v>757.60352999999998</v>
      </c>
      <c r="O163" s="1596">
        <f t="shared" si="4"/>
        <v>456.00341999999989</v>
      </c>
    </row>
    <row r="164" spans="2:15" x14ac:dyDescent="0.35">
      <c r="B164" s="2706" t="s">
        <v>2171</v>
      </c>
      <c r="C164" s="2698">
        <f t="shared" si="11"/>
        <v>0</v>
      </c>
      <c r="D164" s="2699">
        <f t="shared" si="11"/>
        <v>229.99499999999998</v>
      </c>
      <c r="E164" s="2699">
        <f t="shared" si="11"/>
        <v>229.99499999999998</v>
      </c>
      <c r="F164" s="2699">
        <f t="shared" si="11"/>
        <v>191.66249999999999</v>
      </c>
      <c r="G164" s="2700">
        <f t="shared" si="11"/>
        <v>114.99749999999999</v>
      </c>
      <c r="H164" s="2711">
        <v>1015</v>
      </c>
      <c r="I164" s="2684">
        <v>993</v>
      </c>
      <c r="J164" s="2684">
        <v>899</v>
      </c>
      <c r="K164" s="2684">
        <v>773</v>
      </c>
      <c r="L164" s="2712">
        <v>809</v>
      </c>
      <c r="M164" s="803">
        <f t="shared" si="2"/>
        <v>0.08</v>
      </c>
      <c r="N164" s="805">
        <f t="shared" si="3"/>
        <v>541.07090399999993</v>
      </c>
      <c r="O164" s="1596">
        <f t="shared" si="4"/>
        <v>456.00341999999989</v>
      </c>
    </row>
    <row r="165" spans="2:15" x14ac:dyDescent="0.35">
      <c r="B165" s="2706" t="s">
        <v>2172</v>
      </c>
      <c r="C165" s="2698">
        <f t="shared" si="11"/>
        <v>0</v>
      </c>
      <c r="D165" s="2699">
        <f t="shared" si="11"/>
        <v>0</v>
      </c>
      <c r="E165" s="2699">
        <f t="shared" si="11"/>
        <v>0</v>
      </c>
      <c r="F165" s="2699">
        <f t="shared" si="11"/>
        <v>0</v>
      </c>
      <c r="G165" s="2700">
        <f t="shared" si="11"/>
        <v>0</v>
      </c>
      <c r="H165" s="2711">
        <v>2825</v>
      </c>
      <c r="I165" s="2684">
        <v>2625</v>
      </c>
      <c r="J165" s="2684">
        <v>2365</v>
      </c>
      <c r="K165" s="2684">
        <v>2007</v>
      </c>
      <c r="L165" s="2712">
        <v>2040</v>
      </c>
      <c r="M165" s="803">
        <f t="shared" si="2"/>
        <v>0.08</v>
      </c>
      <c r="N165" s="805">
        <f t="shared" si="3"/>
        <v>0</v>
      </c>
      <c r="O165" s="1596">
        <f t="shared" si="4"/>
        <v>0</v>
      </c>
    </row>
    <row r="166" spans="2:15" x14ac:dyDescent="0.35">
      <c r="B166" s="2706" t="s">
        <v>2173</v>
      </c>
      <c r="C166" s="2698">
        <f t="shared" si="11"/>
        <v>0</v>
      </c>
      <c r="D166" s="2699">
        <f t="shared" si="11"/>
        <v>536.65499999999997</v>
      </c>
      <c r="E166" s="2699">
        <f t="shared" si="11"/>
        <v>536.65499999999997</v>
      </c>
      <c r="F166" s="2699">
        <f t="shared" si="11"/>
        <v>447.21250000000003</v>
      </c>
      <c r="G166" s="2700">
        <f t="shared" si="11"/>
        <v>268.32749999999999</v>
      </c>
      <c r="H166" s="2711">
        <v>1672</v>
      </c>
      <c r="I166" s="2684">
        <v>1629</v>
      </c>
      <c r="J166" s="2684">
        <v>1454</v>
      </c>
      <c r="K166" s="2684">
        <v>1356</v>
      </c>
      <c r="L166" s="2712">
        <v>1399</v>
      </c>
      <c r="M166" s="803">
        <f t="shared" si="2"/>
        <v>0.08</v>
      </c>
      <c r="N166" s="805">
        <f t="shared" si="3"/>
        <v>2109.0541499999999</v>
      </c>
      <c r="O166" s="1596">
        <f t="shared" si="4"/>
        <v>1064.0079799999999</v>
      </c>
    </row>
    <row r="167" spans="2:15" x14ac:dyDescent="0.35">
      <c r="B167" s="2706" t="s">
        <v>3908</v>
      </c>
      <c r="C167" s="2746">
        <f t="shared" ref="C167:G167" si="12">$B$128*$C115*B$125</f>
        <v>0</v>
      </c>
      <c r="D167" s="2747">
        <f t="shared" si="12"/>
        <v>0</v>
      </c>
      <c r="E167" s="2747">
        <f t="shared" si="12"/>
        <v>0</v>
      </c>
      <c r="F167" s="2747">
        <f t="shared" si="12"/>
        <v>0</v>
      </c>
      <c r="G167" s="2748">
        <f t="shared" si="12"/>
        <v>0</v>
      </c>
      <c r="H167" s="2711">
        <v>2757</v>
      </c>
      <c r="I167" s="2684">
        <v>2670</v>
      </c>
      <c r="J167" s="2684">
        <v>2383</v>
      </c>
      <c r="K167" s="2684">
        <v>2149</v>
      </c>
      <c r="L167" s="2712">
        <v>2186</v>
      </c>
      <c r="M167" s="2754">
        <f t="shared" si="2"/>
        <v>0.08</v>
      </c>
      <c r="N167" s="2750">
        <f t="shared" si="3"/>
        <v>0</v>
      </c>
      <c r="O167" s="2751">
        <f t="shared" si="4"/>
        <v>0</v>
      </c>
    </row>
    <row r="168" spans="2:15" x14ac:dyDescent="0.35">
      <c r="B168" s="2705" t="s">
        <v>2174</v>
      </c>
      <c r="C168" s="2698">
        <f t="shared" ref="C168:G172" si="13">$B$128*$C116*B$125</f>
        <v>0</v>
      </c>
      <c r="D168" s="2699">
        <f t="shared" si="13"/>
        <v>76.665000000000006</v>
      </c>
      <c r="E168" s="2699">
        <f t="shared" si="13"/>
        <v>76.665000000000006</v>
      </c>
      <c r="F168" s="2699">
        <f t="shared" si="13"/>
        <v>63.887500000000003</v>
      </c>
      <c r="G168" s="2700">
        <f t="shared" si="13"/>
        <v>38.332500000000003</v>
      </c>
      <c r="H168" s="2716">
        <v>1603</v>
      </c>
      <c r="I168" s="2717">
        <v>1504</v>
      </c>
      <c r="J168" s="2717">
        <v>1440</v>
      </c>
      <c r="K168" s="2717">
        <v>1054</v>
      </c>
      <c r="L168" s="2718">
        <v>1205</v>
      </c>
      <c r="M168" s="803">
        <f t="shared" si="2"/>
        <v>0.08</v>
      </c>
      <c r="N168" s="805">
        <f t="shared" si="3"/>
        <v>271.38387800000004</v>
      </c>
      <c r="O168" s="1596">
        <f t="shared" si="4"/>
        <v>152.00114000000002</v>
      </c>
    </row>
    <row r="169" spans="2:15" x14ac:dyDescent="0.35">
      <c r="B169" s="2706" t="s">
        <v>2175</v>
      </c>
      <c r="C169" s="2698">
        <f t="shared" si="13"/>
        <v>0</v>
      </c>
      <c r="D169" s="2699">
        <f t="shared" si="13"/>
        <v>153.33000000000001</v>
      </c>
      <c r="E169" s="2699">
        <f t="shared" si="13"/>
        <v>153.33000000000001</v>
      </c>
      <c r="F169" s="2699">
        <f t="shared" si="13"/>
        <v>127.77500000000001</v>
      </c>
      <c r="G169" s="2700">
        <f t="shared" si="13"/>
        <v>76.665000000000006</v>
      </c>
      <c r="H169" s="2711">
        <v>1326</v>
      </c>
      <c r="I169" s="2684">
        <v>1328</v>
      </c>
      <c r="J169" s="2684">
        <v>1179</v>
      </c>
      <c r="K169" s="2684">
        <v>1091</v>
      </c>
      <c r="L169" s="2712">
        <v>1122</v>
      </c>
      <c r="M169" s="803">
        <f t="shared" si="2"/>
        <v>0.08</v>
      </c>
      <c r="N169" s="805">
        <f t="shared" si="3"/>
        <v>487.8551720000001</v>
      </c>
      <c r="O169" s="1596">
        <f t="shared" si="4"/>
        <v>304.00228000000004</v>
      </c>
    </row>
    <row r="170" spans="2:15" x14ac:dyDescent="0.35">
      <c r="B170" s="2706" t="s">
        <v>2176</v>
      </c>
      <c r="C170" s="2698">
        <f t="shared" si="13"/>
        <v>0</v>
      </c>
      <c r="D170" s="2699">
        <f t="shared" si="13"/>
        <v>229.99499999999998</v>
      </c>
      <c r="E170" s="2699">
        <f t="shared" si="13"/>
        <v>229.99499999999998</v>
      </c>
      <c r="F170" s="2699">
        <f t="shared" si="13"/>
        <v>191.66249999999999</v>
      </c>
      <c r="G170" s="2700">
        <f t="shared" si="13"/>
        <v>114.99749999999999</v>
      </c>
      <c r="H170" s="2711">
        <v>1365</v>
      </c>
      <c r="I170" s="2684">
        <v>1322</v>
      </c>
      <c r="J170" s="2684">
        <v>1193</v>
      </c>
      <c r="K170" s="2684">
        <v>1034</v>
      </c>
      <c r="L170" s="2712">
        <v>1088</v>
      </c>
      <c r="M170" s="803">
        <f t="shared" si="2"/>
        <v>0.08</v>
      </c>
      <c r="N170" s="805">
        <f t="shared" si="3"/>
        <v>721.38698399999998</v>
      </c>
      <c r="O170" s="1596">
        <f t="shared" si="4"/>
        <v>456.00341999999989</v>
      </c>
    </row>
    <row r="171" spans="2:15" x14ac:dyDescent="0.35">
      <c r="B171" s="2706" t="s">
        <v>2177</v>
      </c>
      <c r="C171" s="2698">
        <f t="shared" si="13"/>
        <v>0</v>
      </c>
      <c r="D171" s="2699">
        <f t="shared" si="13"/>
        <v>229.99499999999998</v>
      </c>
      <c r="E171" s="2699">
        <f t="shared" si="13"/>
        <v>229.99499999999998</v>
      </c>
      <c r="F171" s="2699">
        <f t="shared" si="13"/>
        <v>191.66249999999999</v>
      </c>
      <c r="G171" s="2700">
        <f t="shared" si="13"/>
        <v>114.99749999999999</v>
      </c>
      <c r="H171" s="2711">
        <v>1347</v>
      </c>
      <c r="I171" s="2684">
        <v>1325</v>
      </c>
      <c r="J171" s="2684">
        <v>1183</v>
      </c>
      <c r="K171" s="2684">
        <v>1064</v>
      </c>
      <c r="L171" s="2712">
        <v>1096</v>
      </c>
      <c r="M171" s="803">
        <f t="shared" si="2"/>
        <v>0.08</v>
      </c>
      <c r="N171" s="805">
        <f t="shared" si="3"/>
        <v>725.43489599999998</v>
      </c>
      <c r="O171" s="1596">
        <f t="shared" si="4"/>
        <v>456.00341999999989</v>
      </c>
    </row>
    <row r="172" spans="2:15" x14ac:dyDescent="0.35">
      <c r="B172" s="2706" t="s">
        <v>2027</v>
      </c>
      <c r="C172" s="2698">
        <f t="shared" si="13"/>
        <v>0</v>
      </c>
      <c r="D172" s="2699">
        <f t="shared" si="13"/>
        <v>76.665000000000006</v>
      </c>
      <c r="E172" s="2699">
        <f t="shared" si="13"/>
        <v>76.665000000000006</v>
      </c>
      <c r="F172" s="2699">
        <f t="shared" si="13"/>
        <v>63.887500000000003</v>
      </c>
      <c r="G172" s="2700">
        <f t="shared" si="13"/>
        <v>38.332500000000003</v>
      </c>
      <c r="H172" s="2711">
        <v>1285</v>
      </c>
      <c r="I172" s="2684">
        <v>1286</v>
      </c>
      <c r="J172" s="2684">
        <v>1180</v>
      </c>
      <c r="K172" s="2684">
        <v>1147</v>
      </c>
      <c r="L172" s="2712">
        <v>1224</v>
      </c>
      <c r="M172" s="803">
        <f t="shared" si="2"/>
        <v>0.08</v>
      </c>
      <c r="N172" s="805">
        <f t="shared" si="3"/>
        <v>247.40306600000002</v>
      </c>
      <c r="O172" s="1596">
        <f t="shared" si="4"/>
        <v>152.00114000000002</v>
      </c>
    </row>
    <row r="173" spans="2:15" ht="15" thickBot="1" x14ac:dyDescent="0.4">
      <c r="B173" s="2707" t="s">
        <v>536</v>
      </c>
      <c r="C173" s="2701">
        <f t="shared" ref="C173:G173" si="14">$B$128*$C121*B$125</f>
        <v>0</v>
      </c>
      <c r="D173" s="2702">
        <f t="shared" si="14"/>
        <v>1916.625</v>
      </c>
      <c r="E173" s="2702">
        <f t="shared" si="14"/>
        <v>1916.625</v>
      </c>
      <c r="F173" s="2702">
        <f t="shared" si="14"/>
        <v>1597.1875</v>
      </c>
      <c r="G173" s="2703">
        <f t="shared" si="14"/>
        <v>958.3125</v>
      </c>
      <c r="H173" s="2713">
        <v>1709</v>
      </c>
      <c r="I173" s="2714">
        <v>1678</v>
      </c>
      <c r="J173" s="2714">
        <v>1508</v>
      </c>
      <c r="K173" s="2714">
        <v>1287</v>
      </c>
      <c r="L173" s="2715">
        <v>1411</v>
      </c>
      <c r="M173" s="814">
        <f t="shared" si="2"/>
        <v>0.08</v>
      </c>
      <c r="N173" s="816">
        <f t="shared" si="3"/>
        <v>7611.3011999999999</v>
      </c>
      <c r="O173" s="1597">
        <f t="shared" si="4"/>
        <v>3800.0284999999999</v>
      </c>
    </row>
    <row r="174" spans="2:15" ht="15" thickBot="1" x14ac:dyDescent="0.4">
      <c r="M174" s="1038" t="s">
        <v>2049</v>
      </c>
      <c r="N174" s="1598">
        <f>SUM(N137:N173)</f>
        <v>27036.566458000001</v>
      </c>
      <c r="O174" s="1599">
        <f>SUM(O137:O173)</f>
        <v>15200.113999999998</v>
      </c>
    </row>
    <row r="175" spans="2:15" x14ac:dyDescent="0.35">
      <c r="D175" s="840"/>
    </row>
  </sheetData>
  <mergeCells count="9">
    <mergeCell ref="B135:B136"/>
    <mergeCell ref="C135:G135"/>
    <mergeCell ref="H135:L135"/>
    <mergeCell ref="J30:Q30"/>
    <mergeCell ref="C33:G33"/>
    <mergeCell ref="B123:F123"/>
    <mergeCell ref="C134:G134"/>
    <mergeCell ref="H134:M134"/>
    <mergeCell ref="N134:O134"/>
  </mergeCells>
  <conditionalFormatting sqref="B35:G36 B38:G39 B41:G64 B66:G71">
    <cfRule type="expression" dxfId="203" priority="12">
      <formula>B35&lt;&gt;#REF!</formula>
    </cfRule>
  </conditionalFormatting>
  <conditionalFormatting sqref="B37:G37">
    <cfRule type="expression" dxfId="202" priority="11">
      <formula>B37&lt;&gt;#REF!</formula>
    </cfRule>
  </conditionalFormatting>
  <conditionalFormatting sqref="B40:G40">
    <cfRule type="expression" dxfId="201" priority="10">
      <formula>B40&lt;&gt;#REF!</formula>
    </cfRule>
  </conditionalFormatting>
  <conditionalFormatting sqref="B65:G65">
    <cfRule type="expression" dxfId="200" priority="9">
      <formula>B65&lt;&gt;#REF!</formula>
    </cfRule>
  </conditionalFormatting>
  <conditionalFormatting sqref="B172">
    <cfRule type="expression" dxfId="199" priority="1">
      <formula>B172&lt;&gt;#REF!</formula>
    </cfRule>
  </conditionalFormatting>
  <conditionalFormatting sqref="H159:L159">
    <cfRule type="expression" dxfId="198" priority="8">
      <formula>H159&lt;&gt;#REF!</formula>
    </cfRule>
  </conditionalFormatting>
  <conditionalFormatting sqref="H166:L167">
    <cfRule type="expression" dxfId="197" priority="7">
      <formula>H166&lt;&gt;#REF!</formula>
    </cfRule>
  </conditionalFormatting>
  <conditionalFormatting sqref="H170:L170">
    <cfRule type="expression" dxfId="196" priority="6">
      <formula>H170&lt;&gt;#REF!</formula>
    </cfRule>
  </conditionalFormatting>
  <conditionalFormatting sqref="H172:L172">
    <cfRule type="expression" dxfId="195" priority="5">
      <formula>H172&lt;&gt;#REF!</formula>
    </cfRule>
  </conditionalFormatting>
  <conditionalFormatting sqref="B159">
    <cfRule type="expression" dxfId="194" priority="4">
      <formula>B159&lt;&gt;#REF!</formula>
    </cfRule>
  </conditionalFormatting>
  <conditionalFormatting sqref="B166:B167">
    <cfRule type="expression" dxfId="193" priority="3">
      <formula>B166&lt;&gt;#REF!</formula>
    </cfRule>
  </conditionalFormatting>
  <conditionalFormatting sqref="B170">
    <cfRule type="expression" dxfId="192" priority="2">
      <formula>B170&lt;&gt;#REF!</formula>
    </cfRule>
  </conditionalFormatting>
  <pageMargins left="0.7" right="0.7" top="0.75" bottom="0.75" header="0.3" footer="0.3"/>
  <pageSetup scale="26" orientation="portrait" r:id="rId1"/>
  <headerFooter>
    <oddHeader>&amp;LAppendix G (Rev.)</oddHead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X175"/>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4" width="13.81640625" style="675" customWidth="1"/>
    <col min="15" max="15" width="13.17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2444</v>
      </c>
    </row>
    <row r="3" spans="1:6" ht="21" x14ac:dyDescent="0.5">
      <c r="A3" s="704" t="s">
        <v>2445</v>
      </c>
    </row>
    <row r="4" spans="1:6" ht="15" thickBot="1" x14ac:dyDescent="0.4"/>
    <row r="5" spans="1:6" x14ac:dyDescent="0.35">
      <c r="B5" s="678" t="s">
        <v>1947</v>
      </c>
      <c r="C5" s="679">
        <f>C128</f>
        <v>19</v>
      </c>
      <c r="D5" s="680"/>
      <c r="E5" s="680"/>
      <c r="F5" s="680"/>
    </row>
    <row r="6" spans="1:6" x14ac:dyDescent="0.35">
      <c r="B6" s="681" t="s">
        <v>2446</v>
      </c>
      <c r="C6" s="682">
        <f>B128</f>
        <v>25555</v>
      </c>
      <c r="D6" s="680"/>
      <c r="E6" s="683"/>
      <c r="F6" s="680"/>
    </row>
    <row r="7" spans="1:6" x14ac:dyDescent="0.35">
      <c r="B7" s="681" t="s">
        <v>1950</v>
      </c>
      <c r="C7" s="684">
        <v>0</v>
      </c>
      <c r="D7" s="683"/>
      <c r="E7" s="683"/>
      <c r="F7" s="683"/>
    </row>
    <row r="8" spans="1:6" x14ac:dyDescent="0.35">
      <c r="B8" s="681" t="s">
        <v>1951</v>
      </c>
      <c r="C8" s="682">
        <v>0</v>
      </c>
      <c r="D8" s="683"/>
      <c r="E8" s="683"/>
      <c r="F8" s="683"/>
    </row>
    <row r="9" spans="1:6" x14ac:dyDescent="0.35">
      <c r="B9" s="681" t="s">
        <v>1952</v>
      </c>
      <c r="C9" s="684">
        <f>N174</f>
        <v>31080.910980000008</v>
      </c>
      <c r="D9" s="683"/>
      <c r="E9" s="683"/>
      <c r="F9" s="683"/>
    </row>
    <row r="10" spans="1:6" x14ac:dyDescent="0.35">
      <c r="B10" s="681" t="s">
        <v>1953</v>
      </c>
      <c r="C10" s="685">
        <f>O174</f>
        <v>22800.171000000002</v>
      </c>
      <c r="D10" s="686"/>
      <c r="E10" s="686"/>
      <c r="F10" s="686"/>
    </row>
    <row r="11" spans="1:6" x14ac:dyDescent="0.35">
      <c r="B11" s="681" t="s">
        <v>2447</v>
      </c>
      <c r="C11" s="687">
        <f>C9/C6</f>
        <v>1.2162360000000003</v>
      </c>
      <c r="D11" s="830"/>
      <c r="E11" s="686"/>
      <c r="F11" s="686"/>
    </row>
    <row r="12" spans="1:6" x14ac:dyDescent="0.35">
      <c r="B12" s="681" t="s">
        <v>1958</v>
      </c>
      <c r="C12" s="689">
        <f>C10/C9</f>
        <v>0.73357473385099592</v>
      </c>
      <c r="D12" s="690"/>
      <c r="E12" s="690"/>
      <c r="F12" s="690"/>
    </row>
    <row r="13" spans="1:6" ht="15" thickBot="1" x14ac:dyDescent="0.4">
      <c r="B13" s="692" t="s">
        <v>2108</v>
      </c>
      <c r="C13" s="1028">
        <f>S135</f>
        <v>11799</v>
      </c>
      <c r="D13" s="690"/>
      <c r="E13" s="690"/>
      <c r="F13" s="690"/>
    </row>
    <row r="14" spans="1:6" x14ac:dyDescent="0.35">
      <c r="B14" s="694" t="s">
        <v>1961</v>
      </c>
      <c r="C14" s="695"/>
      <c r="D14" s="696"/>
      <c r="E14" s="680"/>
      <c r="F14" s="696"/>
    </row>
    <row r="15" spans="1:6" ht="15" thickBot="1" x14ac:dyDescent="0.4">
      <c r="C15" s="694"/>
      <c r="D15" s="696"/>
      <c r="E15" s="680"/>
      <c r="F15" s="696"/>
    </row>
    <row r="16" spans="1:6" x14ac:dyDescent="0.35">
      <c r="B16" s="678" t="s">
        <v>1964</v>
      </c>
      <c r="C16" s="1573">
        <v>0.49399999999999999</v>
      </c>
      <c r="D16" s="680"/>
      <c r="E16" s="698"/>
      <c r="F16" s="680"/>
    </row>
    <row r="17" spans="1:17" x14ac:dyDescent="0.35">
      <c r="B17" s="681" t="s">
        <v>1967</v>
      </c>
      <c r="C17" s="684">
        <f>C16*C9</f>
        <v>15353.970024120004</v>
      </c>
      <c r="D17" s="683"/>
      <c r="E17" s="701"/>
      <c r="F17" s="683"/>
    </row>
    <row r="18" spans="1:17" x14ac:dyDescent="0.35">
      <c r="B18" s="681" t="s">
        <v>1969</v>
      </c>
      <c r="C18" s="689">
        <f>C10/C17</f>
        <v>1.4849690968643641</v>
      </c>
      <c r="D18" s="690"/>
      <c r="E18" s="690"/>
      <c r="F18" s="690"/>
    </row>
    <row r="19" spans="1:17" ht="15" thickBot="1" x14ac:dyDescent="0.4">
      <c r="B19" s="692" t="s">
        <v>1970</v>
      </c>
      <c r="C19" s="702">
        <v>20</v>
      </c>
      <c r="D19" s="680"/>
      <c r="E19" s="680"/>
      <c r="F19" s="680"/>
    </row>
    <row r="20" spans="1:17" x14ac:dyDescent="0.35">
      <c r="B20" s="703"/>
      <c r="C20" s="703"/>
    </row>
    <row r="21" spans="1:17" ht="21" x14ac:dyDescent="0.5">
      <c r="A21" s="704" t="s">
        <v>1971</v>
      </c>
      <c r="B21" s="703"/>
      <c r="C21" s="703"/>
    </row>
    <row r="22" spans="1:17" ht="15" customHeight="1" thickBot="1" x14ac:dyDescent="0.4"/>
    <row r="23" spans="1:17" x14ac:dyDescent="0.35">
      <c r="B23" s="678" t="s">
        <v>2448</v>
      </c>
      <c r="C23" s="705">
        <f>D128</f>
        <v>1345</v>
      </c>
      <c r="D23" s="683"/>
      <c r="E23" s="683"/>
      <c r="F23" s="683"/>
    </row>
    <row r="24" spans="1:17" x14ac:dyDescent="0.35">
      <c r="B24" s="681" t="s">
        <v>1973</v>
      </c>
      <c r="C24" s="684">
        <f>C9/C5</f>
        <v>1635.8374200000005</v>
      </c>
      <c r="D24" s="706"/>
      <c r="E24" s="706"/>
      <c r="F24" s="706"/>
    </row>
    <row r="25" spans="1:17" x14ac:dyDescent="0.35">
      <c r="B25" s="681" t="s">
        <v>1974</v>
      </c>
      <c r="C25" s="707">
        <f>C10/C5</f>
        <v>1200.009</v>
      </c>
    </row>
    <row r="26" spans="1:17" ht="15" thickBot="1" x14ac:dyDescent="0.4">
      <c r="B26" s="692" t="s">
        <v>377</v>
      </c>
      <c r="C26" s="1574">
        <f>C13/C5</f>
        <v>621</v>
      </c>
    </row>
    <row r="28" spans="1:17" ht="21" x14ac:dyDescent="0.5">
      <c r="A28" s="704" t="s">
        <v>1977</v>
      </c>
    </row>
    <row r="29" spans="1:17" ht="18" customHeight="1" thickBot="1" x14ac:dyDescent="0.4"/>
    <row r="30" spans="1:17" x14ac:dyDescent="0.35">
      <c r="B30" s="772" t="s">
        <v>1978</v>
      </c>
      <c r="C30" s="944" t="s">
        <v>1979</v>
      </c>
      <c r="D30" s="712"/>
      <c r="E30" s="712"/>
      <c r="F30" s="712"/>
      <c r="G30" s="698"/>
      <c r="J30" s="3020" t="s">
        <v>2117</v>
      </c>
      <c r="K30" s="3021"/>
      <c r="L30" s="3021"/>
      <c r="M30" s="3021"/>
      <c r="N30" s="3021"/>
      <c r="O30" s="3021"/>
      <c r="P30" s="3021"/>
      <c r="Q30" s="3022"/>
    </row>
    <row r="31" spans="1:17" ht="15" thickBot="1" x14ac:dyDescent="0.4">
      <c r="B31" s="692" t="s">
        <v>2449</v>
      </c>
      <c r="C31" s="1575">
        <v>0.08</v>
      </c>
      <c r="D31" s="1576"/>
      <c r="E31" s="715"/>
      <c r="F31" s="716"/>
      <c r="G31" s="698"/>
      <c r="J31" s="869" t="s">
        <v>1981</v>
      </c>
      <c r="K31" s="870"/>
      <c r="L31" s="870"/>
      <c r="M31" s="870"/>
      <c r="N31" s="870"/>
      <c r="O31" s="870"/>
      <c r="P31" s="870"/>
      <c r="Q31" s="871"/>
    </row>
    <row r="32" spans="1:17" x14ac:dyDescent="0.35">
      <c r="D32" s="698"/>
      <c r="E32" s="698"/>
      <c r="F32" s="718"/>
      <c r="G32" s="698"/>
      <c r="J32" s="873" t="s">
        <v>2450</v>
      </c>
      <c r="K32" s="698"/>
      <c r="L32" s="698"/>
      <c r="M32" s="698"/>
      <c r="N32" s="698"/>
      <c r="O32" s="698"/>
      <c r="P32" s="698"/>
      <c r="Q32" s="874"/>
    </row>
    <row r="33" spans="2:17" ht="18.5" x14ac:dyDescent="0.45">
      <c r="C33" s="3033" t="s">
        <v>3904</v>
      </c>
      <c r="D33" s="3034"/>
      <c r="E33" s="3034"/>
      <c r="F33" s="3034"/>
      <c r="G33" s="3051"/>
      <c r="J33" s="946" t="s">
        <v>1990</v>
      </c>
      <c r="K33" s="698"/>
      <c r="L33" s="698"/>
      <c r="M33" s="698"/>
      <c r="N33" s="698"/>
      <c r="O33" s="698"/>
      <c r="P33" s="698"/>
      <c r="Q33" s="874"/>
    </row>
    <row r="34" spans="2:17" ht="28" x14ac:dyDescent="0.35">
      <c r="B34" s="997" t="s">
        <v>2019</v>
      </c>
      <c r="C34" s="1182" t="s">
        <v>2309</v>
      </c>
      <c r="D34" s="1183" t="s">
        <v>2310</v>
      </c>
      <c r="E34" s="1183" t="s">
        <v>2311</v>
      </c>
      <c r="F34" s="1183" t="s">
        <v>2312</v>
      </c>
      <c r="G34" s="1319" t="s">
        <v>2313</v>
      </c>
      <c r="J34" s="873" t="s">
        <v>2455</v>
      </c>
      <c r="K34" s="698" t="s">
        <v>2112</v>
      </c>
      <c r="L34" s="698" t="s">
        <v>2456</v>
      </c>
      <c r="M34" s="698"/>
      <c r="N34" s="698"/>
      <c r="O34" s="698"/>
      <c r="P34" s="698"/>
      <c r="Q34" s="874"/>
    </row>
    <row r="35" spans="2:17" x14ac:dyDescent="0.35">
      <c r="B35" s="1136" t="s">
        <v>2180</v>
      </c>
      <c r="C35" s="1186">
        <v>1787</v>
      </c>
      <c r="D35" s="1187">
        <v>1831</v>
      </c>
      <c r="E35" s="1187">
        <v>1635</v>
      </c>
      <c r="F35" s="1187">
        <v>1089</v>
      </c>
      <c r="G35" s="1320">
        <v>1669</v>
      </c>
      <c r="J35" s="873" t="s">
        <v>294</v>
      </c>
      <c r="K35" s="698" t="s">
        <v>1992</v>
      </c>
      <c r="L35" s="698" t="s">
        <v>2457</v>
      </c>
      <c r="M35" s="698"/>
      <c r="N35" s="698"/>
      <c r="O35" s="698"/>
      <c r="P35" s="698"/>
      <c r="Q35" s="874"/>
    </row>
    <row r="36" spans="2:17" x14ac:dyDescent="0.35">
      <c r="B36" s="1146" t="s">
        <v>2071</v>
      </c>
      <c r="C36" s="1190">
        <v>1683</v>
      </c>
      <c r="D36" s="1191">
        <v>1646</v>
      </c>
      <c r="E36" s="1191">
        <v>1446</v>
      </c>
      <c r="F36" s="1191">
        <v>1063</v>
      </c>
      <c r="G36" s="1321">
        <v>1277</v>
      </c>
      <c r="J36" s="933" t="s">
        <v>1365</v>
      </c>
      <c r="K36" s="934" t="s">
        <v>1992</v>
      </c>
      <c r="L36" s="934" t="s">
        <v>2458</v>
      </c>
      <c r="M36" s="934"/>
      <c r="N36" s="934"/>
      <c r="O36" s="934"/>
      <c r="P36" s="934"/>
      <c r="Q36" s="935"/>
    </row>
    <row r="37" spans="2:17" x14ac:dyDescent="0.35">
      <c r="B37" s="2683" t="s">
        <v>3906</v>
      </c>
      <c r="C37" s="2684">
        <v>2981</v>
      </c>
      <c r="D37" s="2684">
        <v>2950</v>
      </c>
      <c r="E37" s="2684">
        <v>2694</v>
      </c>
      <c r="F37" s="2684">
        <v>2368</v>
      </c>
      <c r="G37" s="2684">
        <v>2437</v>
      </c>
      <c r="J37" s="2686"/>
      <c r="K37" s="2686"/>
      <c r="L37" s="2686"/>
      <c r="M37" s="2686"/>
      <c r="N37" s="2686"/>
      <c r="O37" s="2686"/>
      <c r="P37" s="2686"/>
      <c r="Q37" s="2686"/>
    </row>
    <row r="38" spans="2:17" x14ac:dyDescent="0.35">
      <c r="B38" s="2680" t="s">
        <v>2157</v>
      </c>
      <c r="C38" s="2681">
        <v>1256</v>
      </c>
      <c r="D38" s="2681">
        <v>1293</v>
      </c>
      <c r="E38" s="2681">
        <v>1138</v>
      </c>
      <c r="F38" s="2681">
        <v>1116</v>
      </c>
      <c r="G38" s="2681">
        <v>1131</v>
      </c>
    </row>
    <row r="39" spans="2:17" x14ac:dyDescent="0.35">
      <c r="B39" s="1146" t="s">
        <v>2158</v>
      </c>
      <c r="C39" s="1190">
        <v>1481</v>
      </c>
      <c r="D39" s="1191">
        <v>1368</v>
      </c>
      <c r="E39" s="1191">
        <v>1214</v>
      </c>
      <c r="F39" s="1191">
        <v>871</v>
      </c>
      <c r="G39" s="1321">
        <v>973</v>
      </c>
    </row>
    <row r="40" spans="2:17" x14ac:dyDescent="0.35">
      <c r="B40" s="2683" t="s">
        <v>3907</v>
      </c>
      <c r="C40" s="2684">
        <v>2848</v>
      </c>
      <c r="D40" s="2684">
        <v>2947</v>
      </c>
      <c r="E40" s="2684">
        <v>2568</v>
      </c>
      <c r="F40" s="2684">
        <v>2362</v>
      </c>
      <c r="G40" s="2684">
        <v>2516</v>
      </c>
    </row>
    <row r="41" spans="2:17" x14ac:dyDescent="0.35">
      <c r="B41" s="2680" t="s">
        <v>2028</v>
      </c>
      <c r="C41" s="2681">
        <v>1614</v>
      </c>
      <c r="D41" s="2681">
        <v>1603</v>
      </c>
      <c r="E41" s="2681">
        <v>1409</v>
      </c>
      <c r="F41" s="2681">
        <v>1209</v>
      </c>
      <c r="G41" s="2681">
        <v>1269</v>
      </c>
    </row>
    <row r="42" spans="2:17" x14ac:dyDescent="0.35">
      <c r="B42" s="1146" t="s">
        <v>2109</v>
      </c>
      <c r="C42" s="1190">
        <v>985</v>
      </c>
      <c r="D42" s="1191">
        <v>969</v>
      </c>
      <c r="E42" s="1191">
        <v>852</v>
      </c>
      <c r="F42" s="1191">
        <v>680</v>
      </c>
      <c r="G42" s="1321">
        <v>752</v>
      </c>
    </row>
    <row r="43" spans="2:17" x14ac:dyDescent="0.35">
      <c r="B43" s="2680" t="s">
        <v>2026</v>
      </c>
      <c r="C43" s="2681">
        <v>1467</v>
      </c>
      <c r="D43" s="2681">
        <v>1551</v>
      </c>
      <c r="E43" s="2681">
        <v>1364</v>
      </c>
      <c r="F43" s="2681">
        <v>1367</v>
      </c>
      <c r="G43" s="2681">
        <v>1375</v>
      </c>
    </row>
    <row r="44" spans="2:17" x14ac:dyDescent="0.35">
      <c r="B44" s="2680" t="s">
        <v>2075</v>
      </c>
      <c r="C44" s="2681">
        <v>1446</v>
      </c>
      <c r="D44" s="2681">
        <v>1526</v>
      </c>
      <c r="E44" s="2681">
        <v>1452</v>
      </c>
      <c r="F44" s="2681">
        <v>1553</v>
      </c>
      <c r="G44" s="2681">
        <v>1574</v>
      </c>
    </row>
    <row r="45" spans="2:17" x14ac:dyDescent="0.35">
      <c r="B45" s="2680" t="s">
        <v>2029</v>
      </c>
      <c r="C45" s="2681">
        <v>1807</v>
      </c>
      <c r="D45" s="2681">
        <v>1855</v>
      </c>
      <c r="E45" s="2681">
        <v>1649</v>
      </c>
      <c r="F45" s="2681">
        <v>1591</v>
      </c>
      <c r="G45" s="2681">
        <v>1622</v>
      </c>
    </row>
    <row r="46" spans="2:17" x14ac:dyDescent="0.35">
      <c r="B46" s="2680" t="s">
        <v>2159</v>
      </c>
      <c r="C46" s="2681">
        <v>1216</v>
      </c>
      <c r="D46" s="2681">
        <v>1220</v>
      </c>
      <c r="E46" s="2681">
        <v>1072</v>
      </c>
      <c r="F46" s="2681">
        <v>1001</v>
      </c>
      <c r="G46" s="2681">
        <v>1028</v>
      </c>
    </row>
    <row r="47" spans="2:17" x14ac:dyDescent="0.35">
      <c r="B47" s="2680" t="s">
        <v>2160</v>
      </c>
      <c r="C47" s="2681">
        <v>1387</v>
      </c>
      <c r="D47" s="2681">
        <v>1398</v>
      </c>
      <c r="E47" s="2681">
        <v>1252</v>
      </c>
      <c r="F47" s="2681">
        <v>1222</v>
      </c>
      <c r="G47" s="2681">
        <v>1269</v>
      </c>
    </row>
    <row r="48" spans="2:17" x14ac:dyDescent="0.35">
      <c r="B48" s="2680" t="s">
        <v>2161</v>
      </c>
      <c r="C48" s="2682">
        <v>665</v>
      </c>
      <c r="D48" s="2682">
        <v>697</v>
      </c>
      <c r="E48" s="2682">
        <v>628</v>
      </c>
      <c r="F48" s="2682">
        <v>646</v>
      </c>
      <c r="G48" s="2682">
        <v>615</v>
      </c>
    </row>
    <row r="49" spans="2:7" x14ac:dyDescent="0.35">
      <c r="B49" s="2680" t="s">
        <v>2162</v>
      </c>
      <c r="C49" s="2681">
        <v>1622</v>
      </c>
      <c r="D49" s="2681">
        <v>1571</v>
      </c>
      <c r="E49" s="2681">
        <v>1374</v>
      </c>
      <c r="F49" s="2681">
        <v>1220</v>
      </c>
      <c r="G49" s="2681">
        <v>1281</v>
      </c>
    </row>
    <row r="50" spans="2:7" x14ac:dyDescent="0.35">
      <c r="B50" s="2680" t="s">
        <v>2325</v>
      </c>
      <c r="C50" s="2681">
        <v>1597</v>
      </c>
      <c r="D50" s="2681">
        <v>1634</v>
      </c>
      <c r="E50" s="2681">
        <v>1468</v>
      </c>
      <c r="F50" s="2681">
        <v>1376</v>
      </c>
      <c r="G50" s="2681">
        <v>1451</v>
      </c>
    </row>
    <row r="51" spans="2:7" x14ac:dyDescent="0.35">
      <c r="B51" s="2680" t="s">
        <v>2073</v>
      </c>
      <c r="C51" s="2681">
        <v>1670</v>
      </c>
      <c r="D51" s="2681">
        <v>1733</v>
      </c>
      <c r="E51" s="2681">
        <v>1549</v>
      </c>
      <c r="F51" s="2681">
        <v>1496</v>
      </c>
      <c r="G51" s="2681">
        <v>1557</v>
      </c>
    </row>
    <row r="52" spans="2:7" x14ac:dyDescent="0.35">
      <c r="B52" s="2680" t="s">
        <v>2166</v>
      </c>
      <c r="C52" s="2681">
        <v>1555</v>
      </c>
      <c r="D52" s="2681">
        <v>1597</v>
      </c>
      <c r="E52" s="2681">
        <v>1433</v>
      </c>
      <c r="F52" s="2681">
        <v>1316</v>
      </c>
      <c r="G52" s="2681">
        <v>1400</v>
      </c>
    </row>
    <row r="53" spans="2:7" x14ac:dyDescent="0.35">
      <c r="B53" s="1144" t="s">
        <v>2163</v>
      </c>
      <c r="C53" s="1200">
        <v>1048</v>
      </c>
      <c r="D53" s="1201">
        <v>1013</v>
      </c>
      <c r="E53" s="1201">
        <v>939</v>
      </c>
      <c r="F53" s="1201">
        <v>567</v>
      </c>
      <c r="G53" s="1322">
        <v>634</v>
      </c>
    </row>
    <row r="54" spans="2:7" x14ac:dyDescent="0.35">
      <c r="B54" s="2683" t="s">
        <v>2181</v>
      </c>
      <c r="C54" s="2684">
        <v>1565</v>
      </c>
      <c r="D54" s="2684">
        <v>1540</v>
      </c>
      <c r="E54" s="2684">
        <v>1448</v>
      </c>
      <c r="F54" s="2684">
        <v>1089</v>
      </c>
      <c r="G54" s="2684">
        <v>1125</v>
      </c>
    </row>
    <row r="55" spans="2:7" x14ac:dyDescent="0.35">
      <c r="B55" s="2683" t="s">
        <v>2164</v>
      </c>
      <c r="C55" s="2685">
        <v>537</v>
      </c>
      <c r="D55" s="2685">
        <v>558</v>
      </c>
      <c r="E55" s="2685">
        <v>501</v>
      </c>
      <c r="F55" s="2685">
        <v>480</v>
      </c>
      <c r="G55" s="2685">
        <v>499</v>
      </c>
    </row>
    <row r="56" spans="2:7" x14ac:dyDescent="0.35">
      <c r="B56" s="2683" t="s">
        <v>2336</v>
      </c>
      <c r="C56" s="2684">
        <v>1665</v>
      </c>
      <c r="D56" s="2684">
        <v>1666</v>
      </c>
      <c r="E56" s="2684">
        <v>1512</v>
      </c>
      <c r="F56" s="2684">
        <v>1145</v>
      </c>
      <c r="G56" s="2684">
        <v>1207</v>
      </c>
    </row>
    <row r="57" spans="2:7" x14ac:dyDescent="0.35">
      <c r="B57" s="2683" t="s">
        <v>2165</v>
      </c>
      <c r="C57" s="2684">
        <v>1730</v>
      </c>
      <c r="D57" s="2684">
        <v>1782</v>
      </c>
      <c r="E57" s="2684">
        <v>1589</v>
      </c>
      <c r="F57" s="2684">
        <v>1538</v>
      </c>
      <c r="G57" s="2684">
        <v>1560</v>
      </c>
    </row>
    <row r="58" spans="2:7" x14ac:dyDescent="0.35">
      <c r="B58" s="1146" t="s">
        <v>2167</v>
      </c>
      <c r="C58" s="1200">
        <v>1916</v>
      </c>
      <c r="D58" s="1201">
        <v>1905</v>
      </c>
      <c r="E58" s="1201">
        <v>1718</v>
      </c>
      <c r="F58" s="1201">
        <v>1288</v>
      </c>
      <c r="G58" s="1322">
        <v>1538</v>
      </c>
    </row>
    <row r="59" spans="2:7" x14ac:dyDescent="0.35">
      <c r="B59" s="2683" t="s">
        <v>2168</v>
      </c>
      <c r="C59" s="2685">
        <v>995</v>
      </c>
      <c r="D59" s="2684">
        <v>1036</v>
      </c>
      <c r="E59" s="2685">
        <v>933</v>
      </c>
      <c r="F59" s="2685">
        <v>786</v>
      </c>
      <c r="G59" s="2685">
        <v>832</v>
      </c>
    </row>
    <row r="60" spans="2:7" x14ac:dyDescent="0.35">
      <c r="B60" s="2683" t="s">
        <v>2169</v>
      </c>
      <c r="C60" s="2684">
        <v>2244</v>
      </c>
      <c r="D60" s="2684">
        <v>2237</v>
      </c>
      <c r="E60" s="2684">
        <v>2024</v>
      </c>
      <c r="F60" s="2684">
        <v>1553</v>
      </c>
      <c r="G60" s="2684">
        <v>1608</v>
      </c>
    </row>
    <row r="61" spans="2:7" x14ac:dyDescent="0.35">
      <c r="B61" s="2683" t="s">
        <v>2170</v>
      </c>
      <c r="C61" s="2684">
        <v>1552</v>
      </c>
      <c r="D61" s="2684">
        <v>1432</v>
      </c>
      <c r="E61" s="2684">
        <v>1239</v>
      </c>
      <c r="F61" s="2684">
        <v>1077</v>
      </c>
      <c r="G61" s="2684">
        <v>1098</v>
      </c>
    </row>
    <row r="62" spans="2:7" x14ac:dyDescent="0.35">
      <c r="B62" s="2683" t="s">
        <v>2171</v>
      </c>
      <c r="C62" s="2684">
        <v>1015</v>
      </c>
      <c r="D62" s="2685">
        <v>993</v>
      </c>
      <c r="E62" s="2685">
        <v>899</v>
      </c>
      <c r="F62" s="2685">
        <v>773</v>
      </c>
      <c r="G62" s="2685">
        <v>809</v>
      </c>
    </row>
    <row r="63" spans="2:7" x14ac:dyDescent="0.35">
      <c r="B63" s="2683" t="s">
        <v>2172</v>
      </c>
      <c r="C63" s="2684">
        <v>2825</v>
      </c>
      <c r="D63" s="2684">
        <v>2625</v>
      </c>
      <c r="E63" s="2684">
        <v>2365</v>
      </c>
      <c r="F63" s="2684">
        <v>2007</v>
      </c>
      <c r="G63" s="2684">
        <v>2040</v>
      </c>
    </row>
    <row r="64" spans="2:7" x14ac:dyDescent="0.35">
      <c r="B64" s="2683" t="s">
        <v>2173</v>
      </c>
      <c r="C64" s="2684">
        <v>1672</v>
      </c>
      <c r="D64" s="2684">
        <v>1629</v>
      </c>
      <c r="E64" s="2684">
        <v>1454</v>
      </c>
      <c r="F64" s="2684">
        <v>1356</v>
      </c>
      <c r="G64" s="2684">
        <v>1399</v>
      </c>
    </row>
    <row r="65" spans="1:18" x14ac:dyDescent="0.35">
      <c r="B65" s="2683" t="s">
        <v>3908</v>
      </c>
      <c r="C65" s="2684">
        <v>2757</v>
      </c>
      <c r="D65" s="2684">
        <v>2670</v>
      </c>
      <c r="E65" s="2684">
        <v>2383</v>
      </c>
      <c r="F65" s="2684">
        <v>2149</v>
      </c>
      <c r="G65" s="2684">
        <v>2186</v>
      </c>
    </row>
    <row r="66" spans="1:18" x14ac:dyDescent="0.35">
      <c r="B66" s="1144" t="s">
        <v>2174</v>
      </c>
      <c r="C66" s="1200">
        <v>1603</v>
      </c>
      <c r="D66" s="1201">
        <v>1504</v>
      </c>
      <c r="E66" s="1201">
        <v>1440</v>
      </c>
      <c r="F66" s="1201">
        <v>1054</v>
      </c>
      <c r="G66" s="1322">
        <v>1205</v>
      </c>
    </row>
    <row r="67" spans="1:18" x14ac:dyDescent="0.35">
      <c r="B67" s="2683" t="s">
        <v>2175</v>
      </c>
      <c r="C67" s="2684">
        <v>1326</v>
      </c>
      <c r="D67" s="2684">
        <v>1328</v>
      </c>
      <c r="E67" s="2684">
        <v>1179</v>
      </c>
      <c r="F67" s="2684">
        <v>1091</v>
      </c>
      <c r="G67" s="2684">
        <v>1122</v>
      </c>
    </row>
    <row r="68" spans="1:18" x14ac:dyDescent="0.35">
      <c r="B68" s="2683" t="s">
        <v>2176</v>
      </c>
      <c r="C68" s="2684">
        <v>1365</v>
      </c>
      <c r="D68" s="2684">
        <v>1322</v>
      </c>
      <c r="E68" s="2684">
        <v>1193</v>
      </c>
      <c r="F68" s="2684">
        <v>1034</v>
      </c>
      <c r="G68" s="2684">
        <v>1088</v>
      </c>
      <c r="R68" s="698"/>
    </row>
    <row r="69" spans="1:18" x14ac:dyDescent="0.35">
      <c r="B69" s="2683" t="s">
        <v>2177</v>
      </c>
      <c r="C69" s="2684">
        <v>1347</v>
      </c>
      <c r="D69" s="2684">
        <v>1325</v>
      </c>
      <c r="E69" s="2684">
        <v>1183</v>
      </c>
      <c r="F69" s="2684">
        <v>1064</v>
      </c>
      <c r="G69" s="2684">
        <v>1096</v>
      </c>
      <c r="R69" s="698"/>
    </row>
    <row r="70" spans="1:18" x14ac:dyDescent="0.35">
      <c r="B70" s="2683" t="s">
        <v>2027</v>
      </c>
      <c r="C70" s="2684">
        <v>1285</v>
      </c>
      <c r="D70" s="2684">
        <v>1286</v>
      </c>
      <c r="E70" s="2684">
        <v>1180</v>
      </c>
      <c r="F70" s="2684">
        <v>1147</v>
      </c>
      <c r="G70" s="2684">
        <v>1224</v>
      </c>
      <c r="R70" s="698"/>
    </row>
    <row r="71" spans="1:18" x14ac:dyDescent="0.35">
      <c r="B71" s="2683" t="s">
        <v>536</v>
      </c>
      <c r="C71" s="2684">
        <v>1709</v>
      </c>
      <c r="D71" s="2684">
        <v>1678</v>
      </c>
      <c r="E71" s="2684">
        <v>1508</v>
      </c>
      <c r="F71" s="2684">
        <v>1287</v>
      </c>
      <c r="G71" s="2684">
        <v>1411</v>
      </c>
      <c r="R71" s="698"/>
    </row>
    <row r="72" spans="1:18" ht="15" thickBot="1" x14ac:dyDescent="0.4">
      <c r="J72" s="698"/>
      <c r="K72" s="698"/>
      <c r="L72" s="698"/>
      <c r="M72" s="698"/>
      <c r="N72" s="698"/>
      <c r="O72" s="698"/>
      <c r="P72" s="698"/>
      <c r="Q72" s="698"/>
    </row>
    <row r="73" spans="1:18" x14ac:dyDescent="0.35">
      <c r="B73" s="733" t="s">
        <v>2459</v>
      </c>
      <c r="J73" s="698"/>
      <c r="K73" s="698"/>
      <c r="L73" s="698"/>
      <c r="M73" s="698"/>
      <c r="N73" s="698"/>
      <c r="O73" s="698"/>
      <c r="P73" s="698"/>
      <c r="Q73" s="698"/>
    </row>
    <row r="74" spans="1:18" ht="15" thickBot="1" x14ac:dyDescent="0.4">
      <c r="B74" s="734">
        <v>621</v>
      </c>
      <c r="J74" s="698"/>
      <c r="K74" s="698"/>
      <c r="L74" s="698"/>
      <c r="M74" s="698"/>
      <c r="N74" s="698"/>
      <c r="O74" s="698"/>
      <c r="P74" s="698"/>
      <c r="Q74" s="698"/>
    </row>
    <row r="75" spans="1:18" x14ac:dyDescent="0.35">
      <c r="J75" s="698"/>
      <c r="K75" s="698"/>
      <c r="L75" s="698"/>
      <c r="M75" s="698"/>
      <c r="N75" s="698"/>
      <c r="O75" s="698"/>
      <c r="P75" s="698"/>
      <c r="Q75" s="698"/>
    </row>
    <row r="76" spans="1:18" ht="21" x14ac:dyDescent="0.5">
      <c r="A76" s="704" t="s">
        <v>2012</v>
      </c>
      <c r="J76" s="698"/>
      <c r="K76" s="698"/>
      <c r="L76" s="698"/>
      <c r="M76" s="698"/>
      <c r="N76" s="698"/>
      <c r="O76" s="698"/>
      <c r="P76" s="698"/>
      <c r="Q76" s="698"/>
    </row>
    <row r="77" spans="1:18" ht="21.5" thickBot="1" x14ac:dyDescent="0.55000000000000004">
      <c r="A77" s="704"/>
      <c r="B77" s="698"/>
      <c r="C77" s="735"/>
      <c r="J77" s="698"/>
      <c r="K77" s="698"/>
      <c r="L77" s="698"/>
      <c r="M77" s="698"/>
      <c r="N77" s="698"/>
      <c r="O77" s="698"/>
      <c r="P77" s="698"/>
      <c r="Q77" s="698"/>
    </row>
    <row r="78" spans="1:18" x14ac:dyDescent="0.35">
      <c r="B78" s="736" t="s">
        <v>2460</v>
      </c>
      <c r="E78" s="737"/>
      <c r="F78" s="737"/>
      <c r="G78" s="737"/>
    </row>
    <row r="79" spans="1:18" ht="15" thickBot="1" x14ac:dyDescent="0.4">
      <c r="B79" s="1581">
        <v>0.89219999999999999</v>
      </c>
      <c r="C79" s="675" t="s">
        <v>2461</v>
      </c>
      <c r="E79" s="739"/>
      <c r="F79" s="739"/>
      <c r="G79" s="739"/>
    </row>
    <row r="80" spans="1:18" x14ac:dyDescent="0.35">
      <c r="B80" s="739"/>
      <c r="C80" s="739"/>
      <c r="D80" s="739"/>
      <c r="E80" s="739"/>
      <c r="F80" s="739"/>
      <c r="G80" s="739"/>
    </row>
    <row r="81" spans="1:24" ht="21" x14ac:dyDescent="0.5">
      <c r="A81" s="704" t="s">
        <v>2014</v>
      </c>
      <c r="C81" s="675" t="s">
        <v>2015</v>
      </c>
    </row>
    <row r="82" spans="1:24" ht="21" x14ac:dyDescent="0.5">
      <c r="A82" s="704"/>
    </row>
    <row r="83" spans="1:24" ht="15.75" customHeight="1" thickBot="1" x14ac:dyDescent="0.4">
      <c r="D83" s="698"/>
      <c r="E83" s="987"/>
      <c r="F83" s="1044"/>
      <c r="G83" s="1044"/>
      <c r="H83" s="748"/>
      <c r="I83" s="748"/>
      <c r="J83" s="748"/>
      <c r="K83" s="698"/>
      <c r="L83" s="698"/>
      <c r="M83" s="698"/>
      <c r="N83" s="698"/>
      <c r="O83" s="698"/>
    </row>
    <row r="84" spans="1:24" ht="52" x14ac:dyDescent="0.35">
      <c r="B84" s="1582" t="s">
        <v>2019</v>
      </c>
      <c r="C84" s="1583" t="s">
        <v>2462</v>
      </c>
      <c r="D84" s="698"/>
      <c r="E84" s="987"/>
      <c r="F84" s="1044"/>
      <c r="G84" s="1044"/>
      <c r="H84" s="1044"/>
      <c r="I84" s="1044"/>
      <c r="J84" s="1044"/>
      <c r="K84" s="698"/>
      <c r="N84" s="1044"/>
      <c r="O84" s="698"/>
    </row>
    <row r="85" spans="1:24" x14ac:dyDescent="0.35">
      <c r="B85" s="1579" t="s">
        <v>2180</v>
      </c>
      <c r="C85" s="1584">
        <v>0</v>
      </c>
      <c r="D85" s="753"/>
      <c r="E85" s="1585"/>
      <c r="F85" s="753"/>
      <c r="G85" s="753"/>
      <c r="H85" s="753"/>
      <c r="I85" s="753"/>
      <c r="J85" s="753"/>
      <c r="K85" s="698"/>
      <c r="L85" s="698"/>
      <c r="M85" s="698"/>
      <c r="N85" s="753"/>
      <c r="O85" s="698"/>
      <c r="P85" s="698"/>
      <c r="Q85" s="698"/>
      <c r="R85" s="698"/>
      <c r="S85" s="698"/>
      <c r="U85" s="1586"/>
    </row>
    <row r="86" spans="1:24" x14ac:dyDescent="0.35">
      <c r="B86" s="1579" t="s">
        <v>2071</v>
      </c>
      <c r="C86" s="1584">
        <v>0</v>
      </c>
      <c r="D86" s="754"/>
      <c r="E86" s="1585"/>
      <c r="F86" s="753"/>
      <c r="G86" s="753"/>
      <c r="H86" s="753"/>
      <c r="I86" s="753"/>
      <c r="J86" s="753"/>
      <c r="K86" s="698"/>
      <c r="L86" s="698"/>
      <c r="M86" s="698"/>
      <c r="N86" s="753"/>
      <c r="O86" s="698"/>
      <c r="P86" s="698"/>
      <c r="Q86" s="698"/>
      <c r="R86" s="698"/>
      <c r="S86" s="698"/>
      <c r="U86" s="1586"/>
    </row>
    <row r="87" spans="1:24" x14ac:dyDescent="0.35">
      <c r="B87" s="2752" t="s">
        <v>3906</v>
      </c>
      <c r="C87" s="2753">
        <v>0</v>
      </c>
      <c r="D87" s="2687"/>
      <c r="E87" s="1585"/>
      <c r="F87" s="753"/>
      <c r="G87" s="753"/>
      <c r="H87" s="753"/>
      <c r="I87" s="753"/>
      <c r="J87" s="753"/>
      <c r="K87" s="2686"/>
      <c r="L87" s="2686"/>
      <c r="M87" s="2686"/>
      <c r="N87" s="753"/>
      <c r="O87" s="2686"/>
      <c r="P87" s="2686"/>
      <c r="Q87" s="2686"/>
      <c r="R87" s="2686"/>
      <c r="S87" s="2686"/>
      <c r="U87" s="1586"/>
    </row>
    <row r="88" spans="1:24" x14ac:dyDescent="0.35">
      <c r="B88" s="1579" t="s">
        <v>2157</v>
      </c>
      <c r="C88" s="1584">
        <v>7.0000000000000007E-2</v>
      </c>
      <c r="D88" s="758"/>
      <c r="E88" s="1601"/>
      <c r="F88" s="753"/>
      <c r="G88" s="753"/>
      <c r="H88" s="753"/>
      <c r="I88" s="753"/>
      <c r="J88" s="753"/>
      <c r="K88" s="698"/>
      <c r="L88" s="698"/>
      <c r="M88" s="698"/>
      <c r="N88" s="753"/>
      <c r="O88" s="698"/>
      <c r="P88" s="698"/>
      <c r="Q88" s="698"/>
      <c r="R88" s="698"/>
      <c r="S88" s="698"/>
      <c r="U88" s="1586"/>
    </row>
    <row r="89" spans="1:24" x14ac:dyDescent="0.35">
      <c r="B89" s="1579" t="s">
        <v>2158</v>
      </c>
      <c r="C89" s="1584">
        <v>0</v>
      </c>
      <c r="D89" s="758"/>
      <c r="E89" s="1601"/>
      <c r="F89" s="753"/>
      <c r="G89" s="753"/>
      <c r="H89" s="753"/>
      <c r="I89" s="753"/>
      <c r="J89" s="753"/>
      <c r="K89" s="698"/>
      <c r="L89" s="698"/>
      <c r="M89" s="698"/>
      <c r="N89" s="753"/>
      <c r="O89" s="698"/>
      <c r="P89" s="698"/>
      <c r="Q89" s="698"/>
      <c r="R89" s="698"/>
      <c r="S89" s="698"/>
      <c r="U89" s="1586"/>
    </row>
    <row r="90" spans="1:24" x14ac:dyDescent="0.35">
      <c r="B90" s="2752" t="s">
        <v>3907</v>
      </c>
      <c r="C90" s="2753">
        <v>0</v>
      </c>
      <c r="D90" s="758"/>
      <c r="E90" s="1601"/>
      <c r="F90" s="753"/>
      <c r="G90" s="753"/>
      <c r="H90" s="753"/>
      <c r="I90" s="753"/>
      <c r="J90" s="753"/>
      <c r="K90" s="2686"/>
      <c r="L90" s="2686"/>
      <c r="M90" s="2686"/>
      <c r="N90" s="753"/>
      <c r="O90" s="2686"/>
      <c r="P90" s="2686"/>
      <c r="Q90" s="2686"/>
      <c r="R90" s="2686"/>
      <c r="S90" s="2686"/>
      <c r="U90" s="1586"/>
    </row>
    <row r="91" spans="1:24" x14ac:dyDescent="0.35">
      <c r="B91" s="1579" t="s">
        <v>2028</v>
      </c>
      <c r="C91" s="1584">
        <v>0.11</v>
      </c>
      <c r="D91" s="758"/>
      <c r="E91" s="1585"/>
      <c r="F91" s="753"/>
      <c r="G91" s="753"/>
      <c r="H91" s="753"/>
      <c r="I91" s="753"/>
      <c r="J91" s="753"/>
      <c r="K91" s="698"/>
      <c r="L91" s="698"/>
      <c r="M91" s="698"/>
      <c r="N91" s="753"/>
      <c r="O91" s="698"/>
      <c r="P91" s="698"/>
      <c r="Q91" s="698"/>
      <c r="R91" s="698"/>
      <c r="S91" s="698"/>
      <c r="U91" s="1586"/>
    </row>
    <row r="92" spans="1:24" x14ac:dyDescent="0.35">
      <c r="B92" s="1579" t="s">
        <v>2109</v>
      </c>
      <c r="C92" s="1584">
        <v>0</v>
      </c>
      <c r="D92" s="758"/>
      <c r="E92" s="1585"/>
      <c r="F92" s="753"/>
      <c r="G92" s="753"/>
      <c r="H92" s="753"/>
      <c r="I92" s="753"/>
      <c r="J92" s="753"/>
      <c r="K92" s="698"/>
      <c r="L92" s="698"/>
      <c r="M92" s="698"/>
      <c r="N92" s="753"/>
      <c r="O92" s="698"/>
      <c r="P92" s="698"/>
      <c r="Q92" s="698"/>
      <c r="R92" s="698"/>
      <c r="S92" s="698"/>
      <c r="U92" s="1586"/>
    </row>
    <row r="93" spans="1:24" x14ac:dyDescent="0.35">
      <c r="B93" s="1579" t="s">
        <v>2026</v>
      </c>
      <c r="C93" s="1584">
        <v>0</v>
      </c>
      <c r="D93" s="758"/>
      <c r="E93" s="1585"/>
      <c r="F93" s="753"/>
      <c r="G93" s="753"/>
      <c r="H93" s="753"/>
      <c r="I93" s="753"/>
      <c r="J93" s="753"/>
      <c r="K93" s="698"/>
      <c r="L93" s="698"/>
      <c r="M93" s="698"/>
      <c r="N93" s="753"/>
      <c r="O93" s="698"/>
      <c r="P93" s="698"/>
      <c r="Q93" s="698"/>
      <c r="R93" s="698"/>
      <c r="S93" s="698"/>
      <c r="U93" s="1586"/>
      <c r="V93" s="762"/>
      <c r="W93" s="763"/>
      <c r="X93" s="764"/>
    </row>
    <row r="94" spans="1:24" x14ac:dyDescent="0.35">
      <c r="B94" s="1579" t="s">
        <v>2075</v>
      </c>
      <c r="C94" s="1584">
        <v>0</v>
      </c>
      <c r="D94" s="758"/>
      <c r="E94" s="1585"/>
      <c r="F94" s="753"/>
      <c r="G94" s="753"/>
      <c r="H94" s="753"/>
      <c r="I94" s="753"/>
      <c r="J94" s="753"/>
      <c r="K94" s="698"/>
      <c r="L94" s="698"/>
      <c r="M94" s="698"/>
      <c r="N94" s="753"/>
      <c r="O94" s="698"/>
      <c r="P94" s="698"/>
      <c r="Q94" s="698"/>
      <c r="R94" s="698"/>
      <c r="S94" s="698"/>
      <c r="U94" s="1586"/>
      <c r="V94" s="762"/>
      <c r="W94" s="763"/>
      <c r="X94" s="764"/>
    </row>
    <row r="95" spans="1:24" x14ac:dyDescent="0.35">
      <c r="B95" s="1579" t="s">
        <v>2029</v>
      </c>
      <c r="C95" s="1584">
        <v>0.11</v>
      </c>
      <c r="D95" s="758"/>
      <c r="E95" s="1585"/>
      <c r="F95" s="753"/>
      <c r="G95" s="753"/>
      <c r="H95" s="753"/>
      <c r="I95" s="753"/>
      <c r="J95" s="753"/>
      <c r="K95" s="698"/>
      <c r="L95" s="698"/>
      <c r="M95" s="698"/>
      <c r="N95" s="753"/>
      <c r="O95" s="698"/>
      <c r="P95" s="698"/>
      <c r="Q95" s="698"/>
      <c r="R95" s="698"/>
      <c r="S95" s="698"/>
      <c r="U95" s="1586"/>
      <c r="V95" s="762"/>
      <c r="W95" s="763"/>
      <c r="X95" s="764"/>
    </row>
    <row r="96" spans="1:24" x14ac:dyDescent="0.35">
      <c r="B96" s="749" t="s">
        <v>2159</v>
      </c>
      <c r="C96" s="1584">
        <v>0.02</v>
      </c>
      <c r="D96" s="758"/>
      <c r="E96" s="1585"/>
      <c r="F96" s="753"/>
      <c r="G96" s="753"/>
      <c r="H96" s="753"/>
      <c r="I96" s="753"/>
      <c r="J96" s="753"/>
      <c r="K96" s="698"/>
      <c r="L96" s="698"/>
      <c r="M96" s="698"/>
      <c r="N96" s="753"/>
      <c r="O96" s="698"/>
      <c r="P96" s="698"/>
      <c r="Q96" s="698"/>
      <c r="R96" s="698"/>
      <c r="S96" s="698"/>
      <c r="U96" s="1586"/>
      <c r="V96" s="762"/>
      <c r="W96" s="763"/>
      <c r="X96" s="764"/>
    </row>
    <row r="97" spans="2:24" x14ac:dyDescent="0.35">
      <c r="B97" s="749" t="s">
        <v>2160</v>
      </c>
      <c r="C97" s="1584">
        <v>0.02</v>
      </c>
      <c r="D97" s="758"/>
      <c r="E97" s="1585"/>
      <c r="F97" s="753"/>
      <c r="G97" s="753"/>
      <c r="H97" s="753"/>
      <c r="I97" s="753"/>
      <c r="J97" s="753"/>
      <c r="K97" s="698"/>
      <c r="L97" s="698"/>
      <c r="M97" s="698"/>
      <c r="N97" s="753"/>
      <c r="O97" s="698"/>
      <c r="P97" s="698"/>
      <c r="Q97" s="698"/>
      <c r="R97" s="698"/>
      <c r="S97" s="698"/>
      <c r="U97" s="1586"/>
      <c r="V97" s="762"/>
      <c r="W97" s="763"/>
      <c r="X97" s="764"/>
    </row>
    <row r="98" spans="2:24" ht="15" customHeight="1" x14ac:dyDescent="0.35">
      <c r="B98" s="749" t="s">
        <v>2161</v>
      </c>
      <c r="C98" s="1584">
        <v>7.0000000000000007E-2</v>
      </c>
      <c r="D98" s="758"/>
      <c r="E98" s="1585"/>
      <c r="F98" s="753"/>
      <c r="G98" s="753"/>
      <c r="H98" s="753"/>
      <c r="I98" s="753"/>
      <c r="J98" s="753"/>
      <c r="K98" s="698"/>
      <c r="L98" s="698"/>
      <c r="M98" s="698"/>
      <c r="N98" s="753"/>
      <c r="O98" s="698"/>
      <c r="P98" s="698"/>
      <c r="Q98" s="698"/>
      <c r="R98" s="698"/>
      <c r="S98" s="698"/>
      <c r="U98" s="1586"/>
      <c r="V98" s="762"/>
      <c r="W98" s="763"/>
      <c r="X98" s="764"/>
    </row>
    <row r="99" spans="2:24" x14ac:dyDescent="0.35">
      <c r="B99" s="1579" t="s">
        <v>2162</v>
      </c>
      <c r="C99" s="1584">
        <v>0.04</v>
      </c>
      <c r="D99" s="748"/>
      <c r="E99" s="1585"/>
      <c r="F99" s="753"/>
      <c r="G99" s="753"/>
      <c r="H99" s="753"/>
      <c r="I99" s="753"/>
      <c r="J99" s="753"/>
      <c r="K99" s="698"/>
      <c r="L99" s="698"/>
      <c r="M99" s="698"/>
      <c r="N99" s="753"/>
      <c r="O99" s="698"/>
      <c r="P99" s="698"/>
      <c r="Q99" s="698"/>
      <c r="R99" s="698"/>
      <c r="S99" s="698"/>
      <c r="U99" s="1586"/>
    </row>
    <row r="100" spans="2:24" x14ac:dyDescent="0.35">
      <c r="B100" s="1579" t="s">
        <v>2325</v>
      </c>
      <c r="C100" s="1584">
        <v>0</v>
      </c>
      <c r="D100" s="748"/>
      <c r="E100" s="1585"/>
      <c r="F100" s="753"/>
      <c r="G100" s="753"/>
      <c r="H100" s="753"/>
      <c r="I100" s="753"/>
      <c r="J100" s="753"/>
      <c r="K100" s="698"/>
      <c r="L100" s="698"/>
      <c r="M100" s="698"/>
      <c r="N100" s="753"/>
      <c r="O100" s="698"/>
      <c r="P100" s="698"/>
      <c r="Q100" s="698"/>
      <c r="R100" s="698"/>
      <c r="S100" s="698"/>
      <c r="U100" s="1586"/>
    </row>
    <row r="101" spans="2:24" x14ac:dyDescent="0.35">
      <c r="B101" s="1579" t="s">
        <v>2073</v>
      </c>
      <c r="C101" s="1584">
        <v>0</v>
      </c>
      <c r="D101" s="748"/>
      <c r="E101" s="1585"/>
      <c r="F101" s="753"/>
      <c r="G101" s="753"/>
      <c r="H101" s="753"/>
      <c r="I101" s="753"/>
      <c r="J101" s="753"/>
      <c r="K101" s="698"/>
      <c r="L101" s="698"/>
      <c r="M101" s="698"/>
      <c r="N101" s="753"/>
      <c r="O101" s="698"/>
      <c r="P101" s="698"/>
      <c r="Q101" s="698"/>
      <c r="R101" s="698"/>
      <c r="S101" s="698"/>
      <c r="U101" s="1586"/>
    </row>
    <row r="102" spans="2:24" x14ac:dyDescent="0.35">
      <c r="B102" s="1579" t="s">
        <v>2166</v>
      </c>
      <c r="C102" s="1584">
        <v>0</v>
      </c>
      <c r="D102" s="748"/>
      <c r="E102" s="1585"/>
      <c r="F102" s="753"/>
      <c r="G102" s="753"/>
      <c r="H102" s="753"/>
      <c r="I102" s="753"/>
      <c r="J102" s="753"/>
      <c r="K102" s="698"/>
      <c r="L102" s="698"/>
      <c r="M102" s="698"/>
      <c r="N102" s="753"/>
      <c r="O102" s="698"/>
      <c r="P102" s="698"/>
      <c r="Q102" s="698"/>
      <c r="R102" s="698"/>
      <c r="S102" s="698"/>
      <c r="U102" s="1586"/>
    </row>
    <row r="103" spans="2:24" x14ac:dyDescent="0.35">
      <c r="B103" s="1579" t="s">
        <v>2163</v>
      </c>
      <c r="C103" s="1584">
        <v>0</v>
      </c>
      <c r="D103" s="748"/>
      <c r="E103" s="1585"/>
      <c r="F103" s="753"/>
      <c r="G103" s="753"/>
      <c r="H103" s="753"/>
      <c r="I103" s="753"/>
      <c r="J103" s="753"/>
      <c r="K103" s="698"/>
      <c r="L103" s="698"/>
      <c r="M103" s="698"/>
      <c r="N103" s="753"/>
      <c r="O103" s="698"/>
      <c r="P103" s="698"/>
      <c r="Q103" s="698"/>
      <c r="R103" s="698"/>
      <c r="S103" s="698"/>
      <c r="U103" s="1586"/>
    </row>
    <row r="104" spans="2:24" x14ac:dyDescent="0.35">
      <c r="B104" s="1579" t="s">
        <v>2181</v>
      </c>
      <c r="C104" s="1584">
        <v>0</v>
      </c>
      <c r="D104" s="748"/>
      <c r="E104" s="1585"/>
      <c r="F104" s="753"/>
      <c r="G104" s="753"/>
      <c r="H104" s="753"/>
      <c r="I104" s="753"/>
      <c r="J104" s="753"/>
      <c r="K104" s="698"/>
      <c r="L104" s="698"/>
      <c r="M104" s="698"/>
      <c r="N104" s="753"/>
      <c r="O104" s="698"/>
      <c r="P104" s="698"/>
      <c r="Q104" s="698"/>
      <c r="R104" s="698"/>
      <c r="S104" s="698"/>
      <c r="U104" s="1586"/>
    </row>
    <row r="105" spans="2:24" x14ac:dyDescent="0.35">
      <c r="B105" s="1579" t="s">
        <v>2164</v>
      </c>
      <c r="C105" s="1584">
        <v>0</v>
      </c>
      <c r="D105" s="748"/>
      <c r="E105" s="1585"/>
      <c r="F105" s="753"/>
      <c r="G105" s="753"/>
      <c r="H105" s="753"/>
      <c r="I105" s="753"/>
      <c r="J105" s="753"/>
      <c r="K105" s="698"/>
      <c r="L105" s="698"/>
      <c r="M105" s="698"/>
      <c r="N105" s="753"/>
      <c r="O105" s="698"/>
      <c r="P105" s="698"/>
      <c r="Q105" s="698"/>
      <c r="R105" s="698"/>
      <c r="S105" s="698"/>
      <c r="U105" s="1586"/>
    </row>
    <row r="106" spans="2:24" x14ac:dyDescent="0.35">
      <c r="B106" s="1579" t="s">
        <v>2336</v>
      </c>
      <c r="C106" s="1584">
        <v>0</v>
      </c>
      <c r="D106" s="748"/>
      <c r="E106" s="1585"/>
      <c r="F106" s="753"/>
      <c r="G106" s="753"/>
      <c r="H106" s="753"/>
      <c r="I106" s="753"/>
      <c r="J106" s="753"/>
      <c r="K106" s="698"/>
      <c r="L106" s="698"/>
      <c r="M106" s="698"/>
      <c r="N106" s="753"/>
      <c r="O106" s="698"/>
      <c r="P106" s="698"/>
      <c r="Q106" s="698"/>
      <c r="R106" s="698"/>
      <c r="S106" s="698"/>
      <c r="U106" s="1586"/>
    </row>
    <row r="107" spans="2:24" x14ac:dyDescent="0.35">
      <c r="B107" s="1579" t="s">
        <v>2165</v>
      </c>
      <c r="C107" s="1584">
        <v>0.01</v>
      </c>
      <c r="D107" s="748"/>
      <c r="E107" s="1585"/>
      <c r="F107" s="753"/>
      <c r="G107" s="753"/>
      <c r="H107" s="753"/>
      <c r="I107" s="753"/>
      <c r="J107" s="753"/>
      <c r="K107" s="698"/>
      <c r="L107" s="698"/>
      <c r="M107" s="698"/>
      <c r="N107" s="753"/>
      <c r="O107" s="698"/>
      <c r="P107" s="698"/>
      <c r="Q107" s="698"/>
      <c r="R107" s="698"/>
      <c r="S107" s="698"/>
      <c r="U107" s="1586"/>
    </row>
    <row r="108" spans="2:24" x14ac:dyDescent="0.35">
      <c r="B108" s="1579" t="s">
        <v>2167</v>
      </c>
      <c r="C108" s="1584">
        <v>0</v>
      </c>
      <c r="D108" s="748"/>
      <c r="E108" s="1585"/>
      <c r="F108" s="753"/>
      <c r="G108" s="753"/>
      <c r="H108" s="753"/>
      <c r="I108" s="753"/>
      <c r="J108" s="753"/>
      <c r="K108" s="698"/>
      <c r="L108" s="698"/>
      <c r="M108" s="698"/>
      <c r="N108" s="753"/>
      <c r="O108" s="698"/>
      <c r="P108" s="698"/>
      <c r="Q108" s="698"/>
      <c r="R108" s="698"/>
      <c r="S108" s="698"/>
      <c r="U108" s="1586"/>
    </row>
    <row r="109" spans="2:24" x14ac:dyDescent="0.35">
      <c r="B109" s="1579" t="s">
        <v>2168</v>
      </c>
      <c r="C109" s="1584">
        <v>0</v>
      </c>
      <c r="D109" s="748"/>
      <c r="E109" s="1585"/>
      <c r="F109" s="753"/>
      <c r="G109" s="753"/>
      <c r="H109" s="753"/>
      <c r="I109" s="753"/>
      <c r="J109" s="753"/>
      <c r="K109" s="698"/>
      <c r="L109" s="698"/>
      <c r="M109" s="698"/>
      <c r="N109" s="753"/>
      <c r="O109" s="698"/>
      <c r="P109" s="698"/>
      <c r="Q109" s="698"/>
      <c r="R109" s="698"/>
      <c r="S109" s="698"/>
      <c r="U109" s="1586"/>
    </row>
    <row r="110" spans="2:24" x14ac:dyDescent="0.35">
      <c r="B110" s="1579" t="s">
        <v>2169</v>
      </c>
      <c r="C110" s="1584">
        <v>0</v>
      </c>
      <c r="D110" s="748"/>
      <c r="E110" s="1585"/>
      <c r="F110" s="753"/>
      <c r="G110" s="753"/>
      <c r="H110" s="753"/>
      <c r="I110" s="753"/>
      <c r="J110" s="753"/>
      <c r="K110" s="698"/>
      <c r="L110" s="698"/>
      <c r="M110" s="698"/>
      <c r="N110" s="753"/>
      <c r="O110" s="698"/>
      <c r="P110" s="698"/>
      <c r="Q110" s="698"/>
      <c r="R110" s="698"/>
      <c r="S110" s="698"/>
      <c r="U110" s="1586"/>
    </row>
    <row r="111" spans="2:24" x14ac:dyDescent="0.35">
      <c r="B111" s="1579" t="s">
        <v>2170</v>
      </c>
      <c r="C111" s="1584">
        <v>0</v>
      </c>
      <c r="D111" s="748"/>
      <c r="E111" s="1585"/>
      <c r="F111" s="753"/>
      <c r="G111" s="753"/>
      <c r="H111" s="753"/>
      <c r="I111" s="753"/>
      <c r="J111" s="753"/>
      <c r="K111" s="698"/>
      <c r="L111" s="698"/>
      <c r="M111" s="698"/>
      <c r="N111" s="753"/>
      <c r="O111" s="698"/>
      <c r="P111" s="698"/>
      <c r="Q111" s="698"/>
      <c r="R111" s="698"/>
      <c r="S111" s="698"/>
      <c r="U111" s="1586"/>
    </row>
    <row r="112" spans="2:24" x14ac:dyDescent="0.35">
      <c r="B112" s="1579" t="s">
        <v>2171</v>
      </c>
      <c r="C112" s="1584">
        <v>0</v>
      </c>
      <c r="D112" s="748"/>
      <c r="E112" s="1585"/>
      <c r="F112" s="753"/>
      <c r="G112" s="753"/>
      <c r="H112" s="753"/>
      <c r="I112" s="753"/>
      <c r="J112" s="753"/>
      <c r="K112" s="698"/>
      <c r="L112" s="698"/>
      <c r="M112" s="698"/>
      <c r="N112" s="753"/>
      <c r="O112" s="698"/>
      <c r="P112" s="698"/>
      <c r="Q112" s="698"/>
      <c r="R112" s="698"/>
      <c r="S112" s="698"/>
      <c r="U112" s="1586"/>
    </row>
    <row r="113" spans="2:21" x14ac:dyDescent="0.35">
      <c r="B113" s="1579" t="s">
        <v>2172</v>
      </c>
      <c r="C113" s="1584">
        <v>0.15</v>
      </c>
      <c r="D113" s="748"/>
      <c r="E113" s="1585"/>
      <c r="F113" s="753"/>
      <c r="G113" s="753"/>
      <c r="H113" s="753"/>
      <c r="I113" s="753"/>
      <c r="J113" s="753"/>
      <c r="K113" s="698"/>
      <c r="L113" s="698"/>
      <c r="M113" s="698"/>
      <c r="N113" s="753"/>
      <c r="O113" s="698"/>
      <c r="P113" s="698"/>
      <c r="Q113" s="698"/>
      <c r="R113" s="698"/>
      <c r="S113" s="698"/>
      <c r="U113" s="1586"/>
    </row>
    <row r="114" spans="2:21" x14ac:dyDescent="0.35">
      <c r="B114" s="1579" t="s">
        <v>2173</v>
      </c>
      <c r="C114" s="1584">
        <v>0.16</v>
      </c>
      <c r="D114" s="748"/>
      <c r="E114" s="1585"/>
      <c r="F114" s="753"/>
      <c r="G114" s="753"/>
      <c r="H114" s="753"/>
      <c r="I114" s="753"/>
      <c r="J114" s="753"/>
      <c r="K114" s="698"/>
      <c r="L114" s="698"/>
      <c r="M114" s="698"/>
      <c r="N114" s="753"/>
      <c r="O114" s="698"/>
      <c r="P114" s="698"/>
      <c r="Q114" s="698"/>
      <c r="R114" s="698"/>
      <c r="S114" s="698"/>
      <c r="U114" s="1586"/>
    </row>
    <row r="115" spans="2:21" x14ac:dyDescent="0.35">
      <c r="B115" s="2752" t="s">
        <v>3908</v>
      </c>
      <c r="C115" s="2753">
        <v>0</v>
      </c>
      <c r="D115" s="748"/>
      <c r="E115" s="1585"/>
      <c r="F115" s="753"/>
      <c r="G115" s="753"/>
      <c r="H115" s="753"/>
      <c r="I115" s="753"/>
      <c r="J115" s="753"/>
      <c r="K115" s="2686"/>
      <c r="L115" s="2686"/>
      <c r="M115" s="2686"/>
      <c r="N115" s="753"/>
      <c r="O115" s="2686"/>
      <c r="P115" s="2686"/>
      <c r="Q115" s="2686"/>
      <c r="R115" s="2686"/>
      <c r="S115" s="2686"/>
      <c r="U115" s="1586"/>
    </row>
    <row r="116" spans="2:21" x14ac:dyDescent="0.35">
      <c r="B116" s="1579" t="s">
        <v>2174</v>
      </c>
      <c r="C116" s="1584">
        <v>0</v>
      </c>
      <c r="D116" s="748"/>
      <c r="E116" s="1585"/>
      <c r="F116" s="753"/>
      <c r="G116" s="753"/>
      <c r="H116" s="753"/>
      <c r="I116" s="753"/>
      <c r="J116" s="753"/>
      <c r="K116" s="698"/>
      <c r="L116" s="698"/>
      <c r="M116" s="698"/>
      <c r="N116" s="753"/>
      <c r="O116" s="698"/>
      <c r="P116" s="698"/>
      <c r="Q116" s="698"/>
      <c r="R116" s="698"/>
      <c r="S116" s="698"/>
      <c r="U116" s="1586"/>
    </row>
    <row r="117" spans="2:21" x14ac:dyDescent="0.35">
      <c r="B117" s="1579" t="s">
        <v>2175</v>
      </c>
      <c r="C117" s="1584">
        <v>0</v>
      </c>
      <c r="D117" s="748"/>
      <c r="E117" s="1585"/>
      <c r="F117" s="753"/>
      <c r="G117" s="753"/>
      <c r="H117" s="753"/>
      <c r="I117" s="753"/>
      <c r="J117" s="753"/>
      <c r="K117" s="698"/>
      <c r="L117" s="698"/>
      <c r="M117" s="698"/>
      <c r="N117" s="753"/>
      <c r="O117" s="698"/>
      <c r="P117" s="698"/>
      <c r="Q117" s="698"/>
      <c r="R117" s="698"/>
      <c r="S117" s="698"/>
      <c r="U117" s="1586"/>
    </row>
    <row r="118" spans="2:21" x14ac:dyDescent="0.35">
      <c r="B118" s="1579" t="s">
        <v>2176</v>
      </c>
      <c r="C118" s="1584">
        <v>0</v>
      </c>
      <c r="D118" s="748"/>
      <c r="E118" s="1585"/>
      <c r="F118" s="753"/>
      <c r="G118" s="753"/>
      <c r="H118" s="753"/>
      <c r="I118" s="753"/>
      <c r="J118" s="753"/>
      <c r="K118" s="698"/>
      <c r="L118" s="698"/>
      <c r="M118" s="698"/>
      <c r="N118" s="753"/>
      <c r="O118" s="698"/>
      <c r="P118" s="698"/>
      <c r="Q118" s="698"/>
      <c r="R118" s="698"/>
      <c r="S118" s="698"/>
      <c r="U118" s="1586"/>
    </row>
    <row r="119" spans="2:21" x14ac:dyDescent="0.35">
      <c r="B119" s="1579" t="s">
        <v>2177</v>
      </c>
      <c r="C119" s="1584">
        <v>0</v>
      </c>
      <c r="D119" s="748"/>
      <c r="E119" s="1585"/>
      <c r="F119" s="753"/>
      <c r="G119" s="753"/>
      <c r="H119" s="753"/>
      <c r="I119" s="753"/>
      <c r="J119" s="753"/>
      <c r="K119" s="698"/>
      <c r="L119" s="698"/>
      <c r="M119" s="698"/>
      <c r="N119" s="753"/>
      <c r="O119" s="698"/>
      <c r="P119" s="698"/>
      <c r="Q119" s="698"/>
      <c r="R119" s="698"/>
      <c r="S119" s="698"/>
      <c r="U119" s="1586"/>
    </row>
    <row r="120" spans="2:21" x14ac:dyDescent="0.35">
      <c r="B120" s="1579" t="s">
        <v>2027</v>
      </c>
      <c r="C120" s="1584">
        <v>0.02</v>
      </c>
      <c r="D120" s="748"/>
      <c r="E120" s="1585"/>
      <c r="F120" s="753"/>
      <c r="G120" s="753"/>
      <c r="H120" s="753"/>
      <c r="I120" s="753"/>
      <c r="J120" s="753"/>
      <c r="K120" s="698"/>
      <c r="L120" s="698"/>
      <c r="M120" s="698"/>
      <c r="N120" s="753"/>
      <c r="O120" s="698"/>
      <c r="P120" s="698"/>
      <c r="Q120" s="698"/>
      <c r="R120" s="698"/>
      <c r="S120" s="698"/>
      <c r="U120" s="1586"/>
    </row>
    <row r="121" spans="2:21" ht="15" thickBot="1" x14ac:dyDescent="0.4">
      <c r="B121" s="1580" t="s">
        <v>536</v>
      </c>
      <c r="C121" s="1588">
        <v>0.22</v>
      </c>
      <c r="D121" s="748"/>
      <c r="E121" s="1585"/>
      <c r="F121" s="753"/>
      <c r="G121" s="753"/>
      <c r="H121" s="753"/>
      <c r="I121" s="753"/>
      <c r="J121" s="753"/>
      <c r="K121" s="698"/>
      <c r="L121" s="698"/>
      <c r="M121" s="698"/>
      <c r="N121" s="753"/>
      <c r="O121" s="698"/>
      <c r="P121" s="698"/>
      <c r="Q121" s="698"/>
      <c r="R121" s="698"/>
      <c r="S121" s="698"/>
      <c r="U121" s="1586"/>
    </row>
    <row r="122" spans="2:21" ht="15" thickBot="1" x14ac:dyDescent="0.4">
      <c r="B122" s="748"/>
      <c r="C122" s="1585"/>
      <c r="D122" s="753"/>
      <c r="E122" s="753"/>
      <c r="F122" s="753"/>
      <c r="G122" s="753"/>
      <c r="H122" s="748"/>
      <c r="I122" s="1585"/>
      <c r="J122" s="753"/>
      <c r="K122" s="753"/>
      <c r="L122" s="753"/>
      <c r="M122" s="753"/>
      <c r="N122" s="753"/>
      <c r="O122" s="698"/>
      <c r="P122" s="698"/>
      <c r="Q122" s="698"/>
      <c r="R122" s="698"/>
      <c r="S122" s="698"/>
      <c r="U122" s="1586"/>
    </row>
    <row r="123" spans="2:21" x14ac:dyDescent="0.35">
      <c r="B123" s="3077" t="s">
        <v>2463</v>
      </c>
      <c r="C123" s="3078"/>
      <c r="D123" s="3078"/>
      <c r="E123" s="3078"/>
      <c r="F123" s="3079"/>
      <c r="H123" s="748"/>
      <c r="N123" s="753"/>
      <c r="O123" s="698"/>
      <c r="P123" s="698"/>
      <c r="Q123" s="698"/>
      <c r="R123" s="698"/>
      <c r="S123" s="698"/>
      <c r="U123" s="1586"/>
    </row>
    <row r="124" spans="2:21" ht="26" x14ac:dyDescent="0.35">
      <c r="B124" s="1589" t="s">
        <v>2452</v>
      </c>
      <c r="C124" s="1577" t="s">
        <v>2453</v>
      </c>
      <c r="D124" s="1577" t="s">
        <v>2454</v>
      </c>
      <c r="E124" s="1577" t="s">
        <v>2353</v>
      </c>
      <c r="F124" s="1578" t="s">
        <v>2354</v>
      </c>
      <c r="H124" s="748"/>
      <c r="N124" s="753"/>
      <c r="O124" s="698"/>
      <c r="P124" s="698"/>
      <c r="Q124" s="698"/>
      <c r="R124" s="698"/>
      <c r="S124" s="698"/>
      <c r="U124" s="1586"/>
    </row>
    <row r="125" spans="2:21" ht="15" thickBot="1" x14ac:dyDescent="0.4">
      <c r="B125" s="1590">
        <v>0</v>
      </c>
      <c r="C125" s="1591">
        <v>0.3</v>
      </c>
      <c r="D125" s="1591">
        <v>0.3</v>
      </c>
      <c r="E125" s="1591">
        <v>0.25</v>
      </c>
      <c r="F125" s="1588">
        <v>0.15</v>
      </c>
      <c r="H125" s="748"/>
      <c r="N125" s="753"/>
      <c r="O125" s="698"/>
      <c r="P125" s="698"/>
      <c r="Q125" s="698"/>
      <c r="R125" s="698"/>
      <c r="S125" s="698"/>
      <c r="U125" s="1586"/>
    </row>
    <row r="126" spans="2:21" ht="15" thickBot="1" x14ac:dyDescent="0.4">
      <c r="C126" s="748"/>
      <c r="G126" s="748"/>
      <c r="H126" s="748"/>
      <c r="I126" s="748"/>
    </row>
    <row r="127" spans="2:21" ht="43.5" x14ac:dyDescent="0.35">
      <c r="B127" s="740" t="s">
        <v>2464</v>
      </c>
      <c r="C127" s="741" t="s">
        <v>2016</v>
      </c>
      <c r="D127" s="742" t="s">
        <v>2465</v>
      </c>
      <c r="G127" s="748"/>
      <c r="H127" s="748"/>
      <c r="I127" s="748"/>
    </row>
    <row r="128" spans="2:21" ht="15" thickBot="1" x14ac:dyDescent="0.4">
      <c r="B128" s="1592">
        <v>25555</v>
      </c>
      <c r="C128" s="744">
        <v>19</v>
      </c>
      <c r="D128" s="745">
        <f>B128/C128</f>
        <v>1345</v>
      </c>
      <c r="F128" s="1593"/>
      <c r="G128" s="748"/>
      <c r="H128" s="748"/>
      <c r="I128" s="748"/>
    </row>
    <row r="130" spans="1:21" ht="21" x14ac:dyDescent="0.5">
      <c r="A130" s="704" t="s">
        <v>2036</v>
      </c>
      <c r="C130" s="675" t="s">
        <v>2037</v>
      </c>
    </row>
    <row r="131" spans="1:21" ht="21" x14ac:dyDescent="0.5">
      <c r="A131" s="704"/>
    </row>
    <row r="132" spans="1:21" ht="15" customHeight="1" x14ac:dyDescent="0.5">
      <c r="A132" s="704"/>
    </row>
    <row r="133" spans="1:21" ht="15" customHeight="1" thickBot="1" x14ac:dyDescent="0.4"/>
    <row r="134" spans="1:21" ht="41.25" customHeight="1" thickBot="1" x14ac:dyDescent="0.5">
      <c r="B134" s="1003"/>
      <c r="C134" s="3080" t="s">
        <v>2038</v>
      </c>
      <c r="D134" s="3081"/>
      <c r="E134" s="3081"/>
      <c r="F134" s="3081"/>
      <c r="G134" s="3082"/>
      <c r="H134" s="3083" t="s">
        <v>2039</v>
      </c>
      <c r="I134" s="3084"/>
      <c r="J134" s="3084"/>
      <c r="K134" s="3084"/>
      <c r="L134" s="3084"/>
      <c r="M134" s="3085"/>
      <c r="N134" s="3083" t="s">
        <v>2040</v>
      </c>
      <c r="O134" s="3085"/>
      <c r="P134" s="779"/>
      <c r="Q134" s="783" t="s">
        <v>2459</v>
      </c>
      <c r="R134" s="747" t="s">
        <v>2016</v>
      </c>
      <c r="S134" s="773" t="s">
        <v>2150</v>
      </c>
      <c r="T134" s="779"/>
      <c r="U134" s="779"/>
    </row>
    <row r="135" spans="1:21" ht="29.5" thickBot="1" x14ac:dyDescent="0.4">
      <c r="B135" s="3069" t="s">
        <v>2019</v>
      </c>
      <c r="C135" s="3071" t="s">
        <v>2466</v>
      </c>
      <c r="D135" s="3072"/>
      <c r="E135" s="3072"/>
      <c r="F135" s="3072"/>
      <c r="G135" s="3073"/>
      <c r="H135" s="3090" t="s">
        <v>2451</v>
      </c>
      <c r="I135" s="3091"/>
      <c r="J135" s="3091"/>
      <c r="K135" s="3091"/>
      <c r="L135" s="3092"/>
      <c r="M135" s="963" t="s">
        <v>2449</v>
      </c>
      <c r="N135" s="963" t="s">
        <v>2467</v>
      </c>
      <c r="O135" s="964" t="s">
        <v>2045</v>
      </c>
      <c r="P135" s="712"/>
      <c r="Q135" s="797">
        <f>B74</f>
        <v>621</v>
      </c>
      <c r="R135" s="744">
        <f>C128</f>
        <v>19</v>
      </c>
      <c r="S135" s="799">
        <f>Q135*R135</f>
        <v>11799</v>
      </c>
      <c r="T135" s="712"/>
    </row>
    <row r="136" spans="1:21" ht="29.5" thickBot="1" x14ac:dyDescent="0.4">
      <c r="B136" s="3093"/>
      <c r="C136" s="2697" t="s">
        <v>2452</v>
      </c>
      <c r="D136" s="2695" t="s">
        <v>2453</v>
      </c>
      <c r="E136" s="2695" t="s">
        <v>2454</v>
      </c>
      <c r="F136" s="2695" t="s">
        <v>2353</v>
      </c>
      <c r="G136" s="2696" t="s">
        <v>2354</v>
      </c>
      <c r="H136" s="2697" t="s">
        <v>2452</v>
      </c>
      <c r="I136" s="2695" t="s">
        <v>2453</v>
      </c>
      <c r="J136" s="2695" t="s">
        <v>2454</v>
      </c>
      <c r="K136" s="2695" t="s">
        <v>2353</v>
      </c>
      <c r="L136" s="2696" t="s">
        <v>2354</v>
      </c>
      <c r="M136" s="1594" t="s">
        <v>2468</v>
      </c>
      <c r="N136" s="969"/>
      <c r="O136" s="1595"/>
      <c r="P136" s="796"/>
      <c r="Q136" s="796"/>
      <c r="S136" s="796"/>
      <c r="T136" s="796"/>
    </row>
    <row r="137" spans="1:21" x14ac:dyDescent="0.35">
      <c r="B137" s="2704" t="s">
        <v>2180</v>
      </c>
      <c r="C137" s="2698">
        <f>$B$128*$C85*B$125</f>
        <v>0</v>
      </c>
      <c r="D137" s="2699">
        <f t="shared" ref="D137:G137" si="0">$B$128*$C85*C$125</f>
        <v>0</v>
      </c>
      <c r="E137" s="2699">
        <f t="shared" si="0"/>
        <v>0</v>
      </c>
      <c r="F137" s="2699">
        <f t="shared" si="0"/>
        <v>0</v>
      </c>
      <c r="G137" s="2700">
        <f t="shared" si="0"/>
        <v>0</v>
      </c>
      <c r="H137" s="2716">
        <v>1787</v>
      </c>
      <c r="I137" s="2717">
        <v>1831</v>
      </c>
      <c r="J137" s="2717">
        <v>1635</v>
      </c>
      <c r="K137" s="2717">
        <v>1089</v>
      </c>
      <c r="L137" s="2718">
        <v>1669</v>
      </c>
      <c r="M137" s="803">
        <f>$C$31</f>
        <v>0.08</v>
      </c>
      <c r="N137" s="805">
        <f>SUMPRODUCT(C137:G137,H137:L137)*M137/100</f>
        <v>0</v>
      </c>
      <c r="O137" s="1596">
        <f>SUM(C137:G137)*B$79</f>
        <v>0</v>
      </c>
      <c r="P137" s="796"/>
      <c r="S137" s="796"/>
      <c r="T137" s="796"/>
    </row>
    <row r="138" spans="1:21" x14ac:dyDescent="0.35">
      <c r="B138" s="2705" t="s">
        <v>2071</v>
      </c>
      <c r="C138" s="2698">
        <f>$B$128*$C86*B$125</f>
        <v>0</v>
      </c>
      <c r="D138" s="2699">
        <f>$B$128*$C86*C$125</f>
        <v>0</v>
      </c>
      <c r="E138" s="2699">
        <f>$B$128*$C86*D$125</f>
        <v>0</v>
      </c>
      <c r="F138" s="2699">
        <f>$B$128*$C86*E$125</f>
        <v>0</v>
      </c>
      <c r="G138" s="2700">
        <f>$B$128*$C86*F$125</f>
        <v>0</v>
      </c>
      <c r="H138" s="2716">
        <v>1683</v>
      </c>
      <c r="I138" s="2717">
        <v>1646</v>
      </c>
      <c r="J138" s="2717">
        <v>1446</v>
      </c>
      <c r="K138" s="2717">
        <v>1063</v>
      </c>
      <c r="L138" s="2718">
        <v>1277</v>
      </c>
      <c r="M138" s="803">
        <f t="shared" ref="M138:M173" si="1">$C$31</f>
        <v>0.08</v>
      </c>
      <c r="N138" s="805">
        <f t="shared" ref="N138:N173" si="2">SUMPRODUCT(C138:G138,H138:L138)*M138/100</f>
        <v>0</v>
      </c>
      <c r="O138" s="1596">
        <f t="shared" ref="O138:O173" si="3">SUM(C138:G138)*B$79</f>
        <v>0</v>
      </c>
      <c r="P138" s="796"/>
      <c r="S138" s="796"/>
      <c r="T138" s="796"/>
    </row>
    <row r="139" spans="1:21" x14ac:dyDescent="0.35">
      <c r="B139" s="2706" t="s">
        <v>3906</v>
      </c>
      <c r="C139" s="2746">
        <f t="shared" ref="C139:G139" si="4">$B$128*$C87*B$125</f>
        <v>0</v>
      </c>
      <c r="D139" s="2747">
        <f t="shared" si="4"/>
        <v>0</v>
      </c>
      <c r="E139" s="2747">
        <f t="shared" si="4"/>
        <v>0</v>
      </c>
      <c r="F139" s="2747">
        <f t="shared" si="4"/>
        <v>0</v>
      </c>
      <c r="G139" s="2748">
        <f t="shared" si="4"/>
        <v>0</v>
      </c>
      <c r="H139" s="2711">
        <v>2981</v>
      </c>
      <c r="I139" s="2684">
        <v>2950</v>
      </c>
      <c r="J139" s="2684">
        <v>2694</v>
      </c>
      <c r="K139" s="2684">
        <v>2368</v>
      </c>
      <c r="L139" s="2712">
        <v>2437</v>
      </c>
      <c r="M139" s="2754">
        <f t="shared" si="1"/>
        <v>0.08</v>
      </c>
      <c r="N139" s="2750">
        <f t="shared" si="2"/>
        <v>0</v>
      </c>
      <c r="O139" s="2751">
        <f t="shared" si="3"/>
        <v>0</v>
      </c>
      <c r="P139" s="796"/>
      <c r="S139" s="796"/>
      <c r="T139" s="796"/>
    </row>
    <row r="140" spans="1:21" x14ac:dyDescent="0.35">
      <c r="B140" s="2706" t="s">
        <v>2157</v>
      </c>
      <c r="C140" s="2698">
        <f t="shared" ref="C140:G141" si="5">$B$128*$C88*B$125</f>
        <v>0</v>
      </c>
      <c r="D140" s="2699">
        <f t="shared" si="5"/>
        <v>536.65499999999997</v>
      </c>
      <c r="E140" s="2699">
        <f t="shared" si="5"/>
        <v>536.65499999999997</v>
      </c>
      <c r="F140" s="2699">
        <f t="shared" si="5"/>
        <v>447.21250000000003</v>
      </c>
      <c r="G140" s="2700">
        <f t="shared" si="5"/>
        <v>268.32749999999999</v>
      </c>
      <c r="H140" s="2711">
        <v>1256</v>
      </c>
      <c r="I140" s="2684">
        <v>1293</v>
      </c>
      <c r="J140" s="2684">
        <v>1138</v>
      </c>
      <c r="K140" s="2684">
        <v>1116</v>
      </c>
      <c r="L140" s="2712">
        <v>1131</v>
      </c>
      <c r="M140" s="803">
        <f t="shared" si="1"/>
        <v>0.08</v>
      </c>
      <c r="N140" s="805">
        <f t="shared" si="2"/>
        <v>1685.7406860000001</v>
      </c>
      <c r="O140" s="1596">
        <f t="shared" si="3"/>
        <v>1596.01197</v>
      </c>
      <c r="P140" s="796"/>
      <c r="Q140" s="796"/>
      <c r="S140" s="796"/>
      <c r="T140" s="796"/>
    </row>
    <row r="141" spans="1:21" x14ac:dyDescent="0.35">
      <c r="B141" s="2705" t="s">
        <v>2158</v>
      </c>
      <c r="C141" s="2698">
        <f t="shared" si="5"/>
        <v>0</v>
      </c>
      <c r="D141" s="2699">
        <f t="shared" si="5"/>
        <v>0</v>
      </c>
      <c r="E141" s="2699">
        <f t="shared" si="5"/>
        <v>0</v>
      </c>
      <c r="F141" s="2699">
        <f t="shared" si="5"/>
        <v>0</v>
      </c>
      <c r="G141" s="2700">
        <f t="shared" si="5"/>
        <v>0</v>
      </c>
      <c r="H141" s="2716">
        <v>1481</v>
      </c>
      <c r="I141" s="2717">
        <v>1368</v>
      </c>
      <c r="J141" s="2717">
        <v>1214</v>
      </c>
      <c r="K141" s="2717">
        <v>871</v>
      </c>
      <c r="L141" s="2718">
        <v>973</v>
      </c>
      <c r="M141" s="803">
        <f t="shared" si="1"/>
        <v>0.08</v>
      </c>
      <c r="N141" s="805">
        <f t="shared" si="2"/>
        <v>0</v>
      </c>
      <c r="O141" s="1596">
        <f t="shared" si="3"/>
        <v>0</v>
      </c>
      <c r="P141" s="796"/>
      <c r="Q141" s="796"/>
      <c r="S141" s="796"/>
      <c r="T141" s="796"/>
    </row>
    <row r="142" spans="1:21" x14ac:dyDescent="0.35">
      <c r="B142" s="2706" t="s">
        <v>3907</v>
      </c>
      <c r="C142" s="2746">
        <f t="shared" ref="C142:G142" si="6">$B$128*$C90*B$125</f>
        <v>0</v>
      </c>
      <c r="D142" s="2747">
        <f t="shared" si="6"/>
        <v>0</v>
      </c>
      <c r="E142" s="2747">
        <f t="shared" si="6"/>
        <v>0</v>
      </c>
      <c r="F142" s="2747">
        <f t="shared" si="6"/>
        <v>0</v>
      </c>
      <c r="G142" s="2748">
        <f t="shared" si="6"/>
        <v>0</v>
      </c>
      <c r="H142" s="2711">
        <v>2848</v>
      </c>
      <c r="I142" s="2684">
        <v>2947</v>
      </c>
      <c r="J142" s="2684">
        <v>2568</v>
      </c>
      <c r="K142" s="2684">
        <v>2362</v>
      </c>
      <c r="L142" s="2712">
        <v>2516</v>
      </c>
      <c r="M142" s="2754">
        <f t="shared" si="1"/>
        <v>0.08</v>
      </c>
      <c r="N142" s="2750">
        <f t="shared" si="2"/>
        <v>0</v>
      </c>
      <c r="O142" s="2751">
        <f t="shared" si="3"/>
        <v>0</v>
      </c>
      <c r="P142" s="796"/>
      <c r="Q142" s="796"/>
      <c r="S142" s="796"/>
      <c r="T142" s="796"/>
    </row>
    <row r="143" spans="1:21" x14ac:dyDescent="0.35">
      <c r="B143" s="2706" t="s">
        <v>2028</v>
      </c>
      <c r="C143" s="2698">
        <f t="shared" ref="C143:G152" si="7">$B$128*$C91*B$125</f>
        <v>0</v>
      </c>
      <c r="D143" s="2699">
        <f t="shared" si="7"/>
        <v>843.31500000000005</v>
      </c>
      <c r="E143" s="2699">
        <f t="shared" si="7"/>
        <v>843.31500000000005</v>
      </c>
      <c r="F143" s="2699">
        <f t="shared" si="7"/>
        <v>702.76250000000005</v>
      </c>
      <c r="G143" s="2700">
        <f t="shared" si="7"/>
        <v>421.65750000000003</v>
      </c>
      <c r="H143" s="2711">
        <v>1614</v>
      </c>
      <c r="I143" s="2684">
        <v>1603</v>
      </c>
      <c r="J143" s="2684">
        <v>1409</v>
      </c>
      <c r="K143" s="2684">
        <v>1209</v>
      </c>
      <c r="L143" s="2712">
        <v>1269</v>
      </c>
      <c r="M143" s="803">
        <f t="shared" si="1"/>
        <v>0.08</v>
      </c>
      <c r="N143" s="805">
        <f t="shared" si="2"/>
        <v>3139.8304080000003</v>
      </c>
      <c r="O143" s="1596">
        <f t="shared" si="3"/>
        <v>2508.01881</v>
      </c>
      <c r="P143" s="796"/>
      <c r="Q143" s="796"/>
      <c r="S143" s="796"/>
      <c r="T143" s="796"/>
    </row>
    <row r="144" spans="1:21" x14ac:dyDescent="0.35">
      <c r="B144" s="2705" t="s">
        <v>2109</v>
      </c>
      <c r="C144" s="2698">
        <f t="shared" si="7"/>
        <v>0</v>
      </c>
      <c r="D144" s="2699">
        <f t="shared" si="7"/>
        <v>0</v>
      </c>
      <c r="E144" s="2699">
        <f t="shared" si="7"/>
        <v>0</v>
      </c>
      <c r="F144" s="2699">
        <f t="shared" si="7"/>
        <v>0</v>
      </c>
      <c r="G144" s="2700">
        <f t="shared" si="7"/>
        <v>0</v>
      </c>
      <c r="H144" s="2716">
        <v>985</v>
      </c>
      <c r="I144" s="2717">
        <v>969</v>
      </c>
      <c r="J144" s="2717">
        <v>852</v>
      </c>
      <c r="K144" s="2717">
        <v>680</v>
      </c>
      <c r="L144" s="2718">
        <v>752</v>
      </c>
      <c r="M144" s="803">
        <f t="shared" si="1"/>
        <v>0.08</v>
      </c>
      <c r="N144" s="805">
        <f t="shared" si="2"/>
        <v>0</v>
      </c>
      <c r="O144" s="1596">
        <f t="shared" si="3"/>
        <v>0</v>
      </c>
    </row>
    <row r="145" spans="2:15" x14ac:dyDescent="0.35">
      <c r="B145" s="2706" t="s">
        <v>2026</v>
      </c>
      <c r="C145" s="2698">
        <f t="shared" si="7"/>
        <v>0</v>
      </c>
      <c r="D145" s="2699">
        <f t="shared" si="7"/>
        <v>0</v>
      </c>
      <c r="E145" s="2699">
        <f t="shared" si="7"/>
        <v>0</v>
      </c>
      <c r="F145" s="2699">
        <f t="shared" si="7"/>
        <v>0</v>
      </c>
      <c r="G145" s="2700">
        <f t="shared" si="7"/>
        <v>0</v>
      </c>
      <c r="H145" s="2711">
        <v>1467</v>
      </c>
      <c r="I145" s="2684">
        <v>1551</v>
      </c>
      <c r="J145" s="2684">
        <v>1364</v>
      </c>
      <c r="K145" s="2684">
        <v>1367</v>
      </c>
      <c r="L145" s="2712">
        <v>1375</v>
      </c>
      <c r="M145" s="803">
        <f t="shared" si="1"/>
        <v>0.08</v>
      </c>
      <c r="N145" s="805">
        <f t="shared" si="2"/>
        <v>0</v>
      </c>
      <c r="O145" s="1596">
        <f t="shared" si="3"/>
        <v>0</v>
      </c>
    </row>
    <row r="146" spans="2:15" x14ac:dyDescent="0.35">
      <c r="B146" s="2706" t="s">
        <v>2075</v>
      </c>
      <c r="C146" s="2698">
        <f t="shared" si="7"/>
        <v>0</v>
      </c>
      <c r="D146" s="2699">
        <f t="shared" si="7"/>
        <v>0</v>
      </c>
      <c r="E146" s="2699">
        <f t="shared" si="7"/>
        <v>0</v>
      </c>
      <c r="F146" s="2699">
        <f t="shared" si="7"/>
        <v>0</v>
      </c>
      <c r="G146" s="2700">
        <f t="shared" si="7"/>
        <v>0</v>
      </c>
      <c r="H146" s="2711">
        <v>1446</v>
      </c>
      <c r="I146" s="2684">
        <v>1526</v>
      </c>
      <c r="J146" s="2684">
        <v>1452</v>
      </c>
      <c r="K146" s="2684">
        <v>1553</v>
      </c>
      <c r="L146" s="2712">
        <v>1574</v>
      </c>
      <c r="M146" s="803">
        <f t="shared" si="1"/>
        <v>0.08</v>
      </c>
      <c r="N146" s="805">
        <f t="shared" si="2"/>
        <v>0</v>
      </c>
      <c r="O146" s="1596">
        <f t="shared" si="3"/>
        <v>0</v>
      </c>
    </row>
    <row r="147" spans="2:15" x14ac:dyDescent="0.35">
      <c r="B147" s="2706" t="s">
        <v>2029</v>
      </c>
      <c r="C147" s="2698">
        <f t="shared" si="7"/>
        <v>0</v>
      </c>
      <c r="D147" s="2699">
        <f t="shared" si="7"/>
        <v>843.31500000000005</v>
      </c>
      <c r="E147" s="2699">
        <f t="shared" si="7"/>
        <v>843.31500000000005</v>
      </c>
      <c r="F147" s="2699">
        <f t="shared" si="7"/>
        <v>702.76250000000005</v>
      </c>
      <c r="G147" s="2700">
        <f t="shared" si="7"/>
        <v>421.65750000000003</v>
      </c>
      <c r="H147" s="2711">
        <v>1807</v>
      </c>
      <c r="I147" s="2684">
        <v>1855</v>
      </c>
      <c r="J147" s="2684">
        <v>1649</v>
      </c>
      <c r="K147" s="2684">
        <v>1591</v>
      </c>
      <c r="L147" s="2712">
        <v>1622</v>
      </c>
      <c r="M147" s="803">
        <f t="shared" si="1"/>
        <v>0.08</v>
      </c>
      <c r="N147" s="805">
        <f t="shared" si="2"/>
        <v>3805.599490000001</v>
      </c>
      <c r="O147" s="1596">
        <f t="shared" si="3"/>
        <v>2508.01881</v>
      </c>
    </row>
    <row r="148" spans="2:15" x14ac:dyDescent="0.35">
      <c r="B148" s="2706" t="s">
        <v>2159</v>
      </c>
      <c r="C148" s="2698">
        <f t="shared" si="7"/>
        <v>0</v>
      </c>
      <c r="D148" s="2699">
        <f t="shared" si="7"/>
        <v>153.33000000000001</v>
      </c>
      <c r="E148" s="2699">
        <f t="shared" si="7"/>
        <v>153.33000000000001</v>
      </c>
      <c r="F148" s="2699">
        <f t="shared" si="7"/>
        <v>127.77500000000001</v>
      </c>
      <c r="G148" s="2700">
        <f t="shared" si="7"/>
        <v>76.665000000000006</v>
      </c>
      <c r="H148" s="2711">
        <v>1216</v>
      </c>
      <c r="I148" s="2684">
        <v>1220</v>
      </c>
      <c r="J148" s="2684">
        <v>1072</v>
      </c>
      <c r="K148" s="2684">
        <v>1001</v>
      </c>
      <c r="L148" s="2712">
        <v>1028</v>
      </c>
      <c r="M148" s="803">
        <f t="shared" si="1"/>
        <v>0.08</v>
      </c>
      <c r="N148" s="805">
        <f t="shared" si="2"/>
        <v>446.517404</v>
      </c>
      <c r="O148" s="1596">
        <f t="shared" si="3"/>
        <v>456.00342000000006</v>
      </c>
    </row>
    <row r="149" spans="2:15" x14ac:dyDescent="0.35">
      <c r="B149" s="2706" t="s">
        <v>2160</v>
      </c>
      <c r="C149" s="2698">
        <f t="shared" si="7"/>
        <v>0</v>
      </c>
      <c r="D149" s="2699">
        <f t="shared" si="7"/>
        <v>153.33000000000001</v>
      </c>
      <c r="E149" s="2699">
        <f t="shared" si="7"/>
        <v>153.33000000000001</v>
      </c>
      <c r="F149" s="2699">
        <f t="shared" si="7"/>
        <v>127.77500000000001</v>
      </c>
      <c r="G149" s="2700">
        <f t="shared" si="7"/>
        <v>76.665000000000006</v>
      </c>
      <c r="H149" s="2711">
        <v>1387</v>
      </c>
      <c r="I149" s="2684">
        <v>1398</v>
      </c>
      <c r="J149" s="2684">
        <v>1252</v>
      </c>
      <c r="K149" s="2684">
        <v>1222</v>
      </c>
      <c r="L149" s="2712">
        <v>1269</v>
      </c>
      <c r="M149" s="803">
        <f t="shared" si="1"/>
        <v>0.08</v>
      </c>
      <c r="N149" s="805">
        <f t="shared" si="2"/>
        <v>527.80274800000007</v>
      </c>
      <c r="O149" s="1596">
        <f t="shared" si="3"/>
        <v>456.00342000000006</v>
      </c>
    </row>
    <row r="150" spans="2:15" x14ac:dyDescent="0.35">
      <c r="B150" s="2706" t="s">
        <v>2161</v>
      </c>
      <c r="C150" s="2698">
        <f t="shared" si="7"/>
        <v>0</v>
      </c>
      <c r="D150" s="2699">
        <f t="shared" si="7"/>
        <v>536.65499999999997</v>
      </c>
      <c r="E150" s="2699">
        <f t="shared" si="7"/>
        <v>536.65499999999997</v>
      </c>
      <c r="F150" s="2699">
        <f t="shared" si="7"/>
        <v>447.21250000000003</v>
      </c>
      <c r="G150" s="2700">
        <f t="shared" si="7"/>
        <v>268.32749999999999</v>
      </c>
      <c r="H150" s="2711">
        <v>665</v>
      </c>
      <c r="I150" s="2684">
        <v>697</v>
      </c>
      <c r="J150" s="2684">
        <v>628</v>
      </c>
      <c r="K150" s="2684">
        <v>646</v>
      </c>
      <c r="L150" s="2712">
        <v>615</v>
      </c>
      <c r="M150" s="803">
        <f t="shared" si="1"/>
        <v>0.08</v>
      </c>
      <c r="N150" s="805">
        <f t="shared" si="2"/>
        <v>931.99085000000002</v>
      </c>
      <c r="O150" s="1596">
        <f t="shared" si="3"/>
        <v>1596.01197</v>
      </c>
    </row>
    <row r="151" spans="2:15" x14ac:dyDescent="0.35">
      <c r="B151" s="2706" t="s">
        <v>2162</v>
      </c>
      <c r="C151" s="2698">
        <f t="shared" si="7"/>
        <v>0</v>
      </c>
      <c r="D151" s="2699">
        <f t="shared" si="7"/>
        <v>306.66000000000003</v>
      </c>
      <c r="E151" s="2699">
        <f t="shared" si="7"/>
        <v>306.66000000000003</v>
      </c>
      <c r="F151" s="2699">
        <f t="shared" si="7"/>
        <v>255.55</v>
      </c>
      <c r="G151" s="2700">
        <f t="shared" si="7"/>
        <v>153.33000000000001</v>
      </c>
      <c r="H151" s="2711">
        <v>1622</v>
      </c>
      <c r="I151" s="2684">
        <v>1571</v>
      </c>
      <c r="J151" s="2684">
        <v>1374</v>
      </c>
      <c r="K151" s="2684">
        <v>1220</v>
      </c>
      <c r="L151" s="2712">
        <v>1281</v>
      </c>
      <c r="M151" s="803">
        <f t="shared" si="1"/>
        <v>0.08</v>
      </c>
      <c r="N151" s="805">
        <f t="shared" si="2"/>
        <v>1129.0403440000002</v>
      </c>
      <c r="O151" s="1596">
        <f t="shared" si="3"/>
        <v>912.00684000000012</v>
      </c>
    </row>
    <row r="152" spans="2:15" x14ac:dyDescent="0.35">
      <c r="B152" s="2706" t="s">
        <v>2325</v>
      </c>
      <c r="C152" s="2698">
        <f t="shared" si="7"/>
        <v>0</v>
      </c>
      <c r="D152" s="2699">
        <f t="shared" si="7"/>
        <v>0</v>
      </c>
      <c r="E152" s="2699">
        <f t="shared" si="7"/>
        <v>0</v>
      </c>
      <c r="F152" s="2699">
        <f t="shared" si="7"/>
        <v>0</v>
      </c>
      <c r="G152" s="2700">
        <f t="shared" si="7"/>
        <v>0</v>
      </c>
      <c r="H152" s="2711">
        <v>1597</v>
      </c>
      <c r="I152" s="2684">
        <v>1634</v>
      </c>
      <c r="J152" s="2684">
        <v>1468</v>
      </c>
      <c r="K152" s="2684">
        <v>1376</v>
      </c>
      <c r="L152" s="2712">
        <v>1451</v>
      </c>
      <c r="M152" s="803">
        <f t="shared" si="1"/>
        <v>0.08</v>
      </c>
      <c r="N152" s="805">
        <f t="shared" si="2"/>
        <v>0</v>
      </c>
      <c r="O152" s="1596">
        <f t="shared" si="3"/>
        <v>0</v>
      </c>
    </row>
    <row r="153" spans="2:15" x14ac:dyDescent="0.35">
      <c r="B153" s="2706" t="s">
        <v>2073</v>
      </c>
      <c r="C153" s="2698">
        <f t="shared" ref="C153:G162" si="8">$B$128*$C101*B$125</f>
        <v>0</v>
      </c>
      <c r="D153" s="2699">
        <f t="shared" si="8"/>
        <v>0</v>
      </c>
      <c r="E153" s="2699">
        <f t="shared" si="8"/>
        <v>0</v>
      </c>
      <c r="F153" s="2699">
        <f t="shared" si="8"/>
        <v>0</v>
      </c>
      <c r="G153" s="2700">
        <f t="shared" si="8"/>
        <v>0</v>
      </c>
      <c r="H153" s="2711">
        <v>1670</v>
      </c>
      <c r="I153" s="2684">
        <v>1733</v>
      </c>
      <c r="J153" s="2684">
        <v>1549</v>
      </c>
      <c r="K153" s="2684">
        <v>1496</v>
      </c>
      <c r="L153" s="2712">
        <v>1557</v>
      </c>
      <c r="M153" s="803">
        <f t="shared" si="1"/>
        <v>0.08</v>
      </c>
      <c r="N153" s="805">
        <f t="shared" si="2"/>
        <v>0</v>
      </c>
      <c r="O153" s="1596">
        <f t="shared" si="3"/>
        <v>0</v>
      </c>
    </row>
    <row r="154" spans="2:15" x14ac:dyDescent="0.35">
      <c r="B154" s="2706" t="s">
        <v>2166</v>
      </c>
      <c r="C154" s="2698">
        <f t="shared" si="8"/>
        <v>0</v>
      </c>
      <c r="D154" s="2699">
        <f t="shared" si="8"/>
        <v>0</v>
      </c>
      <c r="E154" s="2699">
        <f t="shared" si="8"/>
        <v>0</v>
      </c>
      <c r="F154" s="2699">
        <f t="shared" si="8"/>
        <v>0</v>
      </c>
      <c r="G154" s="2700">
        <f t="shared" si="8"/>
        <v>0</v>
      </c>
      <c r="H154" s="2711">
        <v>1555</v>
      </c>
      <c r="I154" s="2684">
        <v>1597</v>
      </c>
      <c r="J154" s="2684">
        <v>1433</v>
      </c>
      <c r="K154" s="2684">
        <v>1316</v>
      </c>
      <c r="L154" s="2712">
        <v>1400</v>
      </c>
      <c r="M154" s="803">
        <f t="shared" si="1"/>
        <v>0.08</v>
      </c>
      <c r="N154" s="805">
        <f t="shared" si="2"/>
        <v>0</v>
      </c>
      <c r="O154" s="1596">
        <f t="shared" si="3"/>
        <v>0</v>
      </c>
    </row>
    <row r="155" spans="2:15" x14ac:dyDescent="0.35">
      <c r="B155" s="2705" t="s">
        <v>2163</v>
      </c>
      <c r="C155" s="2698">
        <f t="shared" si="8"/>
        <v>0</v>
      </c>
      <c r="D155" s="2699">
        <f t="shared" si="8"/>
        <v>0</v>
      </c>
      <c r="E155" s="2699">
        <f t="shared" si="8"/>
        <v>0</v>
      </c>
      <c r="F155" s="2699">
        <f t="shared" si="8"/>
        <v>0</v>
      </c>
      <c r="G155" s="2700">
        <f t="shared" si="8"/>
        <v>0</v>
      </c>
      <c r="H155" s="2716">
        <v>1048</v>
      </c>
      <c r="I155" s="2717">
        <v>1013</v>
      </c>
      <c r="J155" s="2717">
        <v>939</v>
      </c>
      <c r="K155" s="2717">
        <v>567</v>
      </c>
      <c r="L155" s="2718">
        <v>634</v>
      </c>
      <c r="M155" s="803">
        <f t="shared" si="1"/>
        <v>0.08</v>
      </c>
      <c r="N155" s="805">
        <f t="shared" si="2"/>
        <v>0</v>
      </c>
      <c r="O155" s="1596">
        <f t="shared" si="3"/>
        <v>0</v>
      </c>
    </row>
    <row r="156" spans="2:15" x14ac:dyDescent="0.35">
      <c r="B156" s="2706" t="s">
        <v>2181</v>
      </c>
      <c r="C156" s="2698">
        <f t="shared" si="8"/>
        <v>0</v>
      </c>
      <c r="D156" s="2699">
        <f t="shared" si="8"/>
        <v>0</v>
      </c>
      <c r="E156" s="2699">
        <f t="shared" si="8"/>
        <v>0</v>
      </c>
      <c r="F156" s="2699">
        <f t="shared" si="8"/>
        <v>0</v>
      </c>
      <c r="G156" s="2700">
        <f t="shared" si="8"/>
        <v>0</v>
      </c>
      <c r="H156" s="2711">
        <v>1565</v>
      </c>
      <c r="I156" s="2684">
        <v>1540</v>
      </c>
      <c r="J156" s="2684">
        <v>1448</v>
      </c>
      <c r="K156" s="2684">
        <v>1089</v>
      </c>
      <c r="L156" s="2712">
        <v>1125</v>
      </c>
      <c r="M156" s="803">
        <f t="shared" si="1"/>
        <v>0.08</v>
      </c>
      <c r="N156" s="805">
        <f t="shared" si="2"/>
        <v>0</v>
      </c>
      <c r="O156" s="1596">
        <f t="shared" si="3"/>
        <v>0</v>
      </c>
    </row>
    <row r="157" spans="2:15" x14ac:dyDescent="0.35">
      <c r="B157" s="2706" t="s">
        <v>2164</v>
      </c>
      <c r="C157" s="2698">
        <f t="shared" si="8"/>
        <v>0</v>
      </c>
      <c r="D157" s="2699">
        <f t="shared" si="8"/>
        <v>0</v>
      </c>
      <c r="E157" s="2699">
        <f t="shared" si="8"/>
        <v>0</v>
      </c>
      <c r="F157" s="2699">
        <f t="shared" si="8"/>
        <v>0</v>
      </c>
      <c r="G157" s="2700">
        <f t="shared" si="8"/>
        <v>0</v>
      </c>
      <c r="H157" s="2711">
        <v>537</v>
      </c>
      <c r="I157" s="2684">
        <v>558</v>
      </c>
      <c r="J157" s="2684">
        <v>501</v>
      </c>
      <c r="K157" s="2684">
        <v>480</v>
      </c>
      <c r="L157" s="2712">
        <v>499</v>
      </c>
      <c r="M157" s="803">
        <f t="shared" si="1"/>
        <v>0.08</v>
      </c>
      <c r="N157" s="805">
        <f t="shared" si="2"/>
        <v>0</v>
      </c>
      <c r="O157" s="1596">
        <f t="shared" si="3"/>
        <v>0</v>
      </c>
    </row>
    <row r="158" spans="2:15" x14ac:dyDescent="0.35">
      <c r="B158" s="2706" t="s">
        <v>2336</v>
      </c>
      <c r="C158" s="2698">
        <f t="shared" si="8"/>
        <v>0</v>
      </c>
      <c r="D158" s="2699">
        <f t="shared" si="8"/>
        <v>0</v>
      </c>
      <c r="E158" s="2699">
        <f t="shared" si="8"/>
        <v>0</v>
      </c>
      <c r="F158" s="2699">
        <f t="shared" si="8"/>
        <v>0</v>
      </c>
      <c r="G158" s="2700">
        <f t="shared" si="8"/>
        <v>0</v>
      </c>
      <c r="H158" s="2711">
        <v>1665</v>
      </c>
      <c r="I158" s="2684">
        <v>1666</v>
      </c>
      <c r="J158" s="2684">
        <v>1512</v>
      </c>
      <c r="K158" s="2684">
        <v>1145</v>
      </c>
      <c r="L158" s="2712">
        <v>1207</v>
      </c>
      <c r="M158" s="803">
        <f t="shared" si="1"/>
        <v>0.08</v>
      </c>
      <c r="N158" s="805">
        <f t="shared" si="2"/>
        <v>0</v>
      </c>
      <c r="O158" s="1596">
        <f t="shared" si="3"/>
        <v>0</v>
      </c>
    </row>
    <row r="159" spans="2:15" x14ac:dyDescent="0.35">
      <c r="B159" s="2706" t="s">
        <v>2165</v>
      </c>
      <c r="C159" s="2698">
        <f t="shared" si="8"/>
        <v>0</v>
      </c>
      <c r="D159" s="2699">
        <f t="shared" si="8"/>
        <v>76.665000000000006</v>
      </c>
      <c r="E159" s="2699">
        <f t="shared" si="8"/>
        <v>76.665000000000006</v>
      </c>
      <c r="F159" s="2699">
        <f t="shared" si="8"/>
        <v>63.887500000000003</v>
      </c>
      <c r="G159" s="2700">
        <f t="shared" si="8"/>
        <v>38.332500000000003</v>
      </c>
      <c r="H159" s="2711">
        <v>1730</v>
      </c>
      <c r="I159" s="2684">
        <v>1782</v>
      </c>
      <c r="J159" s="2684">
        <v>1589</v>
      </c>
      <c r="K159" s="2684">
        <v>1538</v>
      </c>
      <c r="L159" s="2712">
        <v>1560</v>
      </c>
      <c r="M159" s="803">
        <f t="shared" si="1"/>
        <v>0.08</v>
      </c>
      <c r="N159" s="805">
        <f t="shared" si="2"/>
        <v>333.19631200000003</v>
      </c>
      <c r="O159" s="1596">
        <f t="shared" si="3"/>
        <v>228.00171000000003</v>
      </c>
    </row>
    <row r="160" spans="2:15" x14ac:dyDescent="0.35">
      <c r="B160" s="2705" t="s">
        <v>2167</v>
      </c>
      <c r="C160" s="2698">
        <f t="shared" si="8"/>
        <v>0</v>
      </c>
      <c r="D160" s="2699">
        <f t="shared" si="8"/>
        <v>0</v>
      </c>
      <c r="E160" s="2699">
        <f t="shared" si="8"/>
        <v>0</v>
      </c>
      <c r="F160" s="2699">
        <f t="shared" si="8"/>
        <v>0</v>
      </c>
      <c r="G160" s="2700">
        <f t="shared" si="8"/>
        <v>0</v>
      </c>
      <c r="H160" s="2716">
        <v>1916</v>
      </c>
      <c r="I160" s="2717">
        <v>1905</v>
      </c>
      <c r="J160" s="2717">
        <v>1718</v>
      </c>
      <c r="K160" s="2717">
        <v>1288</v>
      </c>
      <c r="L160" s="2718">
        <v>1538</v>
      </c>
      <c r="M160" s="803">
        <f t="shared" si="1"/>
        <v>0.08</v>
      </c>
      <c r="N160" s="805">
        <f t="shared" si="2"/>
        <v>0</v>
      </c>
      <c r="O160" s="1596">
        <f t="shared" si="3"/>
        <v>0</v>
      </c>
    </row>
    <row r="161" spans="2:15" x14ac:dyDescent="0.35">
      <c r="B161" s="2706" t="s">
        <v>2168</v>
      </c>
      <c r="C161" s="2698">
        <f t="shared" si="8"/>
        <v>0</v>
      </c>
      <c r="D161" s="2699">
        <f t="shared" si="8"/>
        <v>0</v>
      </c>
      <c r="E161" s="2699">
        <f t="shared" si="8"/>
        <v>0</v>
      </c>
      <c r="F161" s="2699">
        <f t="shared" si="8"/>
        <v>0</v>
      </c>
      <c r="G161" s="2700">
        <f t="shared" si="8"/>
        <v>0</v>
      </c>
      <c r="H161" s="2711">
        <v>995</v>
      </c>
      <c r="I161" s="2684">
        <v>1036</v>
      </c>
      <c r="J161" s="2684">
        <v>933</v>
      </c>
      <c r="K161" s="2684">
        <v>786</v>
      </c>
      <c r="L161" s="2712">
        <v>832</v>
      </c>
      <c r="M161" s="803">
        <f t="shared" si="1"/>
        <v>0.08</v>
      </c>
      <c r="N161" s="805">
        <f t="shared" si="2"/>
        <v>0</v>
      </c>
      <c r="O161" s="1596">
        <f t="shared" si="3"/>
        <v>0</v>
      </c>
    </row>
    <row r="162" spans="2:15" x14ac:dyDescent="0.35">
      <c r="B162" s="2706" t="s">
        <v>2169</v>
      </c>
      <c r="C162" s="2698">
        <f t="shared" si="8"/>
        <v>0</v>
      </c>
      <c r="D162" s="2699">
        <f t="shared" si="8"/>
        <v>0</v>
      </c>
      <c r="E162" s="2699">
        <f t="shared" si="8"/>
        <v>0</v>
      </c>
      <c r="F162" s="2699">
        <f t="shared" si="8"/>
        <v>0</v>
      </c>
      <c r="G162" s="2700">
        <f t="shared" si="8"/>
        <v>0</v>
      </c>
      <c r="H162" s="2711">
        <v>2244</v>
      </c>
      <c r="I162" s="2684">
        <v>2237</v>
      </c>
      <c r="J162" s="2684">
        <v>2024</v>
      </c>
      <c r="K162" s="2684">
        <v>1553</v>
      </c>
      <c r="L162" s="2712">
        <v>1608</v>
      </c>
      <c r="M162" s="803">
        <f t="shared" si="1"/>
        <v>0.08</v>
      </c>
      <c r="N162" s="805">
        <f t="shared" si="2"/>
        <v>0</v>
      </c>
      <c r="O162" s="1596">
        <f t="shared" si="3"/>
        <v>0</v>
      </c>
    </row>
    <row r="163" spans="2:15" x14ac:dyDescent="0.35">
      <c r="B163" s="2706" t="s">
        <v>2170</v>
      </c>
      <c r="C163" s="2698">
        <f t="shared" ref="C163:G166" si="9">$B$128*$C111*B$125</f>
        <v>0</v>
      </c>
      <c r="D163" s="2699">
        <f t="shared" si="9"/>
        <v>0</v>
      </c>
      <c r="E163" s="2699">
        <f t="shared" si="9"/>
        <v>0</v>
      </c>
      <c r="F163" s="2699">
        <f t="shared" si="9"/>
        <v>0</v>
      </c>
      <c r="G163" s="2700">
        <f t="shared" si="9"/>
        <v>0</v>
      </c>
      <c r="H163" s="2711">
        <v>1552</v>
      </c>
      <c r="I163" s="2684">
        <v>1432</v>
      </c>
      <c r="J163" s="2684">
        <v>1239</v>
      </c>
      <c r="K163" s="2684">
        <v>1077</v>
      </c>
      <c r="L163" s="2712">
        <v>1098</v>
      </c>
      <c r="M163" s="803">
        <f t="shared" si="1"/>
        <v>0.08</v>
      </c>
      <c r="N163" s="805">
        <f t="shared" si="2"/>
        <v>0</v>
      </c>
      <c r="O163" s="1596">
        <f t="shared" si="3"/>
        <v>0</v>
      </c>
    </row>
    <row r="164" spans="2:15" x14ac:dyDescent="0.35">
      <c r="B164" s="2706" t="s">
        <v>2171</v>
      </c>
      <c r="C164" s="2698">
        <f t="shared" si="9"/>
        <v>0</v>
      </c>
      <c r="D164" s="2699">
        <f t="shared" si="9"/>
        <v>0</v>
      </c>
      <c r="E164" s="2699">
        <f t="shared" si="9"/>
        <v>0</v>
      </c>
      <c r="F164" s="2699">
        <f t="shared" si="9"/>
        <v>0</v>
      </c>
      <c r="G164" s="2700">
        <f t="shared" si="9"/>
        <v>0</v>
      </c>
      <c r="H164" s="2711">
        <v>1015</v>
      </c>
      <c r="I164" s="2684">
        <v>993</v>
      </c>
      <c r="J164" s="2684">
        <v>899</v>
      </c>
      <c r="K164" s="2684">
        <v>773</v>
      </c>
      <c r="L164" s="2712">
        <v>809</v>
      </c>
      <c r="M164" s="803">
        <f t="shared" si="1"/>
        <v>0.08</v>
      </c>
      <c r="N164" s="805">
        <f t="shared" si="2"/>
        <v>0</v>
      </c>
      <c r="O164" s="1596">
        <f t="shared" si="3"/>
        <v>0</v>
      </c>
    </row>
    <row r="165" spans="2:15" x14ac:dyDescent="0.35">
      <c r="B165" s="2706" t="s">
        <v>2172</v>
      </c>
      <c r="C165" s="2698">
        <f t="shared" si="9"/>
        <v>0</v>
      </c>
      <c r="D165" s="2699">
        <f t="shared" si="9"/>
        <v>1149.9749999999999</v>
      </c>
      <c r="E165" s="2699">
        <f t="shared" si="9"/>
        <v>1149.9749999999999</v>
      </c>
      <c r="F165" s="2699">
        <f t="shared" si="9"/>
        <v>958.3125</v>
      </c>
      <c r="G165" s="2700">
        <f t="shared" si="9"/>
        <v>574.98749999999995</v>
      </c>
      <c r="H165" s="2711">
        <v>2825</v>
      </c>
      <c r="I165" s="2684">
        <v>2625</v>
      </c>
      <c r="J165" s="2684">
        <v>2365</v>
      </c>
      <c r="K165" s="2684">
        <v>2007</v>
      </c>
      <c r="L165" s="2712">
        <v>2040</v>
      </c>
      <c r="M165" s="803">
        <f t="shared" si="1"/>
        <v>0.08</v>
      </c>
      <c r="N165" s="805">
        <f t="shared" si="2"/>
        <v>7067.7463500000003</v>
      </c>
      <c r="O165" s="1596">
        <f t="shared" si="3"/>
        <v>3420.02565</v>
      </c>
    </row>
    <row r="166" spans="2:15" x14ac:dyDescent="0.35">
      <c r="B166" s="2706" t="s">
        <v>2173</v>
      </c>
      <c r="C166" s="2698">
        <f t="shared" si="9"/>
        <v>0</v>
      </c>
      <c r="D166" s="2699">
        <f t="shared" si="9"/>
        <v>1226.6400000000001</v>
      </c>
      <c r="E166" s="2699">
        <f t="shared" si="9"/>
        <v>1226.6400000000001</v>
      </c>
      <c r="F166" s="2699">
        <f t="shared" si="9"/>
        <v>1022.2</v>
      </c>
      <c r="G166" s="2700">
        <f t="shared" si="9"/>
        <v>613.32000000000005</v>
      </c>
      <c r="H166" s="2711">
        <v>1672</v>
      </c>
      <c r="I166" s="2684">
        <v>1629</v>
      </c>
      <c r="J166" s="2684">
        <v>1454</v>
      </c>
      <c r="K166" s="2684">
        <v>1356</v>
      </c>
      <c r="L166" s="2712">
        <v>1399</v>
      </c>
      <c r="M166" s="803">
        <f t="shared" si="1"/>
        <v>0.08</v>
      </c>
      <c r="N166" s="805">
        <f t="shared" si="2"/>
        <v>4820.6952000000001</v>
      </c>
      <c r="O166" s="1596">
        <f t="shared" si="3"/>
        <v>3648.0273600000005</v>
      </c>
    </row>
    <row r="167" spans="2:15" x14ac:dyDescent="0.35">
      <c r="B167" s="2706" t="s">
        <v>3908</v>
      </c>
      <c r="C167" s="2746">
        <f t="shared" ref="C167:G167" si="10">$B$128*$C115*B$125</f>
        <v>0</v>
      </c>
      <c r="D167" s="2747">
        <f t="shared" si="10"/>
        <v>0</v>
      </c>
      <c r="E167" s="2747">
        <f t="shared" si="10"/>
        <v>0</v>
      </c>
      <c r="F167" s="2747">
        <f t="shared" si="10"/>
        <v>0</v>
      </c>
      <c r="G167" s="2748">
        <f t="shared" si="10"/>
        <v>0</v>
      </c>
      <c r="H167" s="2711">
        <v>2757</v>
      </c>
      <c r="I167" s="2684">
        <v>2670</v>
      </c>
      <c r="J167" s="2684">
        <v>2383</v>
      </c>
      <c r="K167" s="2684">
        <v>2149</v>
      </c>
      <c r="L167" s="2712">
        <v>2186</v>
      </c>
      <c r="M167" s="2754">
        <f t="shared" si="1"/>
        <v>0.08</v>
      </c>
      <c r="N167" s="2750">
        <f t="shared" si="2"/>
        <v>0</v>
      </c>
      <c r="O167" s="2751">
        <f t="shared" si="3"/>
        <v>0</v>
      </c>
    </row>
    <row r="168" spans="2:15" x14ac:dyDescent="0.35">
      <c r="B168" s="2705" t="s">
        <v>2174</v>
      </c>
      <c r="C168" s="2698">
        <f t="shared" ref="C168:G172" si="11">$B$128*$C116*B$125</f>
        <v>0</v>
      </c>
      <c r="D168" s="2699">
        <f t="shared" si="11"/>
        <v>0</v>
      </c>
      <c r="E168" s="2699">
        <f t="shared" si="11"/>
        <v>0</v>
      </c>
      <c r="F168" s="2699">
        <f t="shared" si="11"/>
        <v>0</v>
      </c>
      <c r="G168" s="2700">
        <f t="shared" si="11"/>
        <v>0</v>
      </c>
      <c r="H168" s="2716">
        <v>1603</v>
      </c>
      <c r="I168" s="2717">
        <v>1504</v>
      </c>
      <c r="J168" s="2717">
        <v>1440</v>
      </c>
      <c r="K168" s="2717">
        <v>1054</v>
      </c>
      <c r="L168" s="2718">
        <v>1205</v>
      </c>
      <c r="M168" s="803">
        <f t="shared" si="1"/>
        <v>0.08</v>
      </c>
      <c r="N168" s="805">
        <f t="shared" si="2"/>
        <v>0</v>
      </c>
      <c r="O168" s="1596">
        <f t="shared" si="3"/>
        <v>0</v>
      </c>
    </row>
    <row r="169" spans="2:15" x14ac:dyDescent="0.35">
      <c r="B169" s="2706" t="s">
        <v>2175</v>
      </c>
      <c r="C169" s="2698">
        <f t="shared" si="11"/>
        <v>0</v>
      </c>
      <c r="D169" s="2699">
        <f t="shared" si="11"/>
        <v>0</v>
      </c>
      <c r="E169" s="2699">
        <f t="shared" si="11"/>
        <v>0</v>
      </c>
      <c r="F169" s="2699">
        <f t="shared" si="11"/>
        <v>0</v>
      </c>
      <c r="G169" s="2700">
        <f t="shared" si="11"/>
        <v>0</v>
      </c>
      <c r="H169" s="2711">
        <v>1326</v>
      </c>
      <c r="I169" s="2684">
        <v>1328</v>
      </c>
      <c r="J169" s="2684">
        <v>1179</v>
      </c>
      <c r="K169" s="2684">
        <v>1091</v>
      </c>
      <c r="L169" s="2712">
        <v>1122</v>
      </c>
      <c r="M169" s="803">
        <f t="shared" si="1"/>
        <v>0.08</v>
      </c>
      <c r="N169" s="805">
        <f t="shared" si="2"/>
        <v>0</v>
      </c>
      <c r="O169" s="1596">
        <f t="shared" si="3"/>
        <v>0</v>
      </c>
    </row>
    <row r="170" spans="2:15" x14ac:dyDescent="0.35">
      <c r="B170" s="2706" t="s">
        <v>2176</v>
      </c>
      <c r="C170" s="2698">
        <f t="shared" si="11"/>
        <v>0</v>
      </c>
      <c r="D170" s="2699">
        <f t="shared" si="11"/>
        <v>0</v>
      </c>
      <c r="E170" s="2699">
        <f t="shared" si="11"/>
        <v>0</v>
      </c>
      <c r="F170" s="2699">
        <f t="shared" si="11"/>
        <v>0</v>
      </c>
      <c r="G170" s="2700">
        <f t="shared" si="11"/>
        <v>0</v>
      </c>
      <c r="H170" s="2711">
        <v>1365</v>
      </c>
      <c r="I170" s="2684">
        <v>1322</v>
      </c>
      <c r="J170" s="2684">
        <v>1193</v>
      </c>
      <c r="K170" s="2684">
        <v>1034</v>
      </c>
      <c r="L170" s="2712">
        <v>1088</v>
      </c>
      <c r="M170" s="803">
        <f t="shared" si="1"/>
        <v>0.08</v>
      </c>
      <c r="N170" s="805">
        <f t="shared" si="2"/>
        <v>0</v>
      </c>
      <c r="O170" s="1596">
        <f t="shared" si="3"/>
        <v>0</v>
      </c>
    </row>
    <row r="171" spans="2:15" x14ac:dyDescent="0.35">
      <c r="B171" s="2706" t="s">
        <v>2177</v>
      </c>
      <c r="C171" s="2698">
        <f t="shared" si="11"/>
        <v>0</v>
      </c>
      <c r="D171" s="2699">
        <f t="shared" si="11"/>
        <v>0</v>
      </c>
      <c r="E171" s="2699">
        <f t="shared" si="11"/>
        <v>0</v>
      </c>
      <c r="F171" s="2699">
        <f t="shared" si="11"/>
        <v>0</v>
      </c>
      <c r="G171" s="2700">
        <f t="shared" si="11"/>
        <v>0</v>
      </c>
      <c r="H171" s="2711">
        <v>1347</v>
      </c>
      <c r="I171" s="2684">
        <v>1325</v>
      </c>
      <c r="J171" s="2684">
        <v>1183</v>
      </c>
      <c r="K171" s="2684">
        <v>1064</v>
      </c>
      <c r="L171" s="2712">
        <v>1096</v>
      </c>
      <c r="M171" s="803">
        <f t="shared" si="1"/>
        <v>0.08</v>
      </c>
      <c r="N171" s="805">
        <f t="shared" si="2"/>
        <v>0</v>
      </c>
      <c r="O171" s="1596">
        <f t="shared" si="3"/>
        <v>0</v>
      </c>
    </row>
    <row r="172" spans="2:15" x14ac:dyDescent="0.35">
      <c r="B172" s="2706" t="s">
        <v>2027</v>
      </c>
      <c r="C172" s="2698">
        <f t="shared" si="11"/>
        <v>0</v>
      </c>
      <c r="D172" s="2699">
        <f t="shared" si="11"/>
        <v>153.33000000000001</v>
      </c>
      <c r="E172" s="2699">
        <f t="shared" si="11"/>
        <v>153.33000000000001</v>
      </c>
      <c r="F172" s="2699">
        <f t="shared" si="11"/>
        <v>127.77500000000001</v>
      </c>
      <c r="G172" s="2700">
        <f t="shared" si="11"/>
        <v>76.665000000000006</v>
      </c>
      <c r="H172" s="2711">
        <v>1285</v>
      </c>
      <c r="I172" s="2684">
        <v>1286</v>
      </c>
      <c r="J172" s="2684">
        <v>1180</v>
      </c>
      <c r="K172" s="2684">
        <v>1147</v>
      </c>
      <c r="L172" s="2712">
        <v>1224</v>
      </c>
      <c r="M172" s="803">
        <f t="shared" si="1"/>
        <v>0.08</v>
      </c>
      <c r="N172" s="805">
        <f t="shared" si="2"/>
        <v>494.80613200000005</v>
      </c>
      <c r="O172" s="1596">
        <f t="shared" si="3"/>
        <v>456.00342000000006</v>
      </c>
    </row>
    <row r="173" spans="2:15" ht="15" thickBot="1" x14ac:dyDescent="0.4">
      <c r="B173" s="2707" t="s">
        <v>536</v>
      </c>
      <c r="C173" s="2701">
        <f t="shared" ref="C173:G173" si="12">$B$128*$C121*B$125</f>
        <v>0</v>
      </c>
      <c r="D173" s="2702">
        <f t="shared" si="12"/>
        <v>1686.63</v>
      </c>
      <c r="E173" s="2702">
        <f t="shared" si="12"/>
        <v>1686.63</v>
      </c>
      <c r="F173" s="2702">
        <f t="shared" si="12"/>
        <v>1405.5250000000001</v>
      </c>
      <c r="G173" s="2703">
        <f t="shared" si="12"/>
        <v>843.31500000000005</v>
      </c>
      <c r="H173" s="2713">
        <v>1709</v>
      </c>
      <c r="I173" s="2714">
        <v>1678</v>
      </c>
      <c r="J173" s="2714">
        <v>1508</v>
      </c>
      <c r="K173" s="2714">
        <v>1287</v>
      </c>
      <c r="L173" s="2715">
        <v>1411</v>
      </c>
      <c r="M173" s="814">
        <f t="shared" si="1"/>
        <v>0.08</v>
      </c>
      <c r="N173" s="816">
        <f t="shared" si="2"/>
        <v>6697.9450559999996</v>
      </c>
      <c r="O173" s="1597">
        <f t="shared" si="3"/>
        <v>5016.0376200000001</v>
      </c>
    </row>
    <row r="174" spans="2:15" ht="15" thickBot="1" x14ac:dyDescent="0.4">
      <c r="M174" s="1038" t="s">
        <v>2049</v>
      </c>
      <c r="N174" s="1598">
        <f>SUM(N137:N173)</f>
        <v>31080.910980000008</v>
      </c>
      <c r="O174" s="1599">
        <f>SUM(O137:O173)</f>
        <v>22800.171000000002</v>
      </c>
    </row>
    <row r="175" spans="2:15" x14ac:dyDescent="0.35">
      <c r="D175" s="840"/>
    </row>
  </sheetData>
  <mergeCells count="9">
    <mergeCell ref="B135:B136"/>
    <mergeCell ref="C135:G135"/>
    <mergeCell ref="H135:L135"/>
    <mergeCell ref="J30:Q30"/>
    <mergeCell ref="C33:G33"/>
    <mergeCell ref="B123:F123"/>
    <mergeCell ref="C134:G134"/>
    <mergeCell ref="H134:M134"/>
    <mergeCell ref="N134:O134"/>
  </mergeCells>
  <conditionalFormatting sqref="B35:G36 B38:G39 B41:G64 B66:G71">
    <cfRule type="expression" dxfId="191" priority="13">
      <formula>B35&lt;&gt;#REF!</formula>
    </cfRule>
  </conditionalFormatting>
  <conditionalFormatting sqref="B37:G37">
    <cfRule type="expression" dxfId="190" priority="12">
      <formula>B37&lt;&gt;#REF!</formula>
    </cfRule>
  </conditionalFormatting>
  <conditionalFormatting sqref="B40:G40">
    <cfRule type="expression" dxfId="189" priority="11">
      <formula>B40&lt;&gt;#REF!</formula>
    </cfRule>
  </conditionalFormatting>
  <conditionalFormatting sqref="B65:G65">
    <cfRule type="expression" dxfId="188" priority="10">
      <formula>B65&lt;&gt;#REF!</formula>
    </cfRule>
  </conditionalFormatting>
  <conditionalFormatting sqref="H159:L159">
    <cfRule type="expression" dxfId="187" priority="8">
      <formula>H159&lt;&gt;#REF!</formula>
    </cfRule>
  </conditionalFormatting>
  <conditionalFormatting sqref="H166:L167">
    <cfRule type="expression" dxfId="186" priority="7">
      <formula>H166&lt;&gt;#REF!</formula>
    </cfRule>
  </conditionalFormatting>
  <conditionalFormatting sqref="H170:L170">
    <cfRule type="expression" dxfId="185" priority="6">
      <formula>H170&lt;&gt;#REF!</formula>
    </cfRule>
  </conditionalFormatting>
  <conditionalFormatting sqref="H172:L172">
    <cfRule type="expression" dxfId="184" priority="5">
      <formula>H172&lt;&gt;#REF!</formula>
    </cfRule>
  </conditionalFormatting>
  <conditionalFormatting sqref="B172 B159">
    <cfRule type="expression" dxfId="183" priority="4">
      <formula>B159&lt;&gt;#REF!</formula>
    </cfRule>
  </conditionalFormatting>
  <conditionalFormatting sqref="B166:B167">
    <cfRule type="expression" dxfId="182" priority="3">
      <formula>B166&lt;&gt;#REF!</formula>
    </cfRule>
  </conditionalFormatting>
  <conditionalFormatting sqref="B170">
    <cfRule type="expression" dxfId="181" priority="2">
      <formula>B170&lt;&gt;#REF!</formula>
    </cfRule>
  </conditionalFormatting>
  <pageMargins left="0.7" right="0.7" top="0.75" bottom="0.75" header="0.3" footer="0.3"/>
  <pageSetup scale="26" orientation="portrait" r:id="rId1"/>
  <headerFooter>
    <oddHeader>&amp;LAppendix G (Rev.)</oddHead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pageSetUpPr fitToPage="1"/>
  </sheetPr>
  <dimension ref="A1:AC205"/>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2.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2469</v>
      </c>
    </row>
    <row r="2" spans="1:7" s="1394" customFormat="1" x14ac:dyDescent="0.35"/>
    <row r="3" spans="1:7" s="1394" customFormat="1" ht="21" x14ac:dyDescent="0.5">
      <c r="A3" s="1395" t="s">
        <v>2470</v>
      </c>
    </row>
    <row r="4" spans="1:7" s="1394" customFormat="1" x14ac:dyDescent="0.35"/>
    <row r="5" spans="1:7" s="1394" customFormat="1" x14ac:dyDescent="0.35">
      <c r="B5" s="1396" t="s">
        <v>1947</v>
      </c>
      <c r="C5" s="1397">
        <f>O132</f>
        <v>24</v>
      </c>
      <c r="D5" s="1398"/>
      <c r="E5" s="680"/>
      <c r="F5" s="680"/>
    </row>
    <row r="6" spans="1:7" s="1394" customFormat="1" x14ac:dyDescent="0.35">
      <c r="B6" s="724" t="s">
        <v>2052</v>
      </c>
      <c r="C6" s="989">
        <f>Z132</f>
        <v>-26492.053257042255</v>
      </c>
      <c r="D6" s="1399"/>
      <c r="E6" s="683"/>
      <c r="F6" s="683"/>
    </row>
    <row r="7" spans="1:7" s="1394" customFormat="1" x14ac:dyDescent="0.35">
      <c r="B7" s="936" t="s">
        <v>1951</v>
      </c>
      <c r="C7" s="1400">
        <f>AA132</f>
        <v>-4.2473591549295779</v>
      </c>
      <c r="D7" s="1399"/>
      <c r="E7" s="683"/>
      <c r="F7" s="683"/>
    </row>
    <row r="8" spans="1:7" s="1394" customFormat="1" x14ac:dyDescent="0.35">
      <c r="B8" s="724" t="s">
        <v>1952</v>
      </c>
      <c r="C8" s="989">
        <f>Y132</f>
        <v>33861.953536458328</v>
      </c>
      <c r="D8" s="1399"/>
      <c r="E8" s="683"/>
      <c r="F8" s="683"/>
    </row>
    <row r="9" spans="1:7" s="1394" customFormat="1" x14ac:dyDescent="0.35">
      <c r="B9" s="936" t="s">
        <v>2053</v>
      </c>
      <c r="C9" s="990">
        <f>AB132</f>
        <v>59999.936499999996</v>
      </c>
      <c r="D9" s="1401"/>
      <c r="E9" s="686"/>
      <c r="F9" s="686"/>
    </row>
    <row r="10" spans="1:7" s="1394" customFormat="1" x14ac:dyDescent="0.35">
      <c r="B10" s="724" t="s">
        <v>2288</v>
      </c>
      <c r="C10" s="1402">
        <f>C9/C8</f>
        <v>1.7718982584805554</v>
      </c>
      <c r="D10" s="1403"/>
      <c r="E10" s="690"/>
      <c r="F10" s="690"/>
    </row>
    <row r="11" spans="1:7" s="1394" customFormat="1" x14ac:dyDescent="0.35">
      <c r="B11" s="936" t="s">
        <v>1960</v>
      </c>
      <c r="C11" s="990">
        <f>AC132</f>
        <v>52303</v>
      </c>
      <c r="D11" s="1404"/>
      <c r="E11" s="706"/>
      <c r="F11" s="706"/>
    </row>
    <row r="12" spans="1:7" s="1394" customFormat="1" x14ac:dyDescent="0.35">
      <c r="B12" s="732" t="s">
        <v>1970</v>
      </c>
      <c r="C12" s="1405">
        <v>15</v>
      </c>
      <c r="D12" s="1404" t="s">
        <v>2439</v>
      </c>
      <c r="E12" s="706"/>
      <c r="F12" s="706"/>
    </row>
    <row r="13" spans="1:7" s="1394" customFormat="1" x14ac:dyDescent="0.35">
      <c r="B13" s="694" t="s">
        <v>1961</v>
      </c>
      <c r="C13" s="695"/>
      <c r="D13" s="1398"/>
      <c r="E13" s="1406"/>
      <c r="F13" s="680"/>
      <c r="G13" s="696"/>
    </row>
    <row r="14" spans="1:7" s="1394" customFormat="1" hidden="1" x14ac:dyDescent="0.35">
      <c r="B14" s="834" t="s">
        <v>2387</v>
      </c>
      <c r="C14" s="852">
        <f>1-C33+C34+C35</f>
        <v>0.8</v>
      </c>
      <c r="D14" s="1398"/>
      <c r="E14" s="1206"/>
      <c r="F14" s="680"/>
    </row>
    <row r="15" spans="1:7" s="1394" customFormat="1" hidden="1" x14ac:dyDescent="0.35">
      <c r="B15" s="841" t="s">
        <v>2388</v>
      </c>
      <c r="C15" s="1407">
        <f>1-D33+D34+D35</f>
        <v>1.01</v>
      </c>
      <c r="D15" s="1398"/>
      <c r="E15" s="1206"/>
      <c r="F15" s="680"/>
    </row>
    <row r="16" spans="1:7" s="1394" customFormat="1" hidden="1" x14ac:dyDescent="0.35">
      <c r="B16" s="838" t="s">
        <v>2389</v>
      </c>
      <c r="C16" s="1219">
        <f>1-E33+E34+E35</f>
        <v>1.01</v>
      </c>
      <c r="D16" s="1398"/>
      <c r="E16" s="1206"/>
      <c r="F16" s="680"/>
    </row>
    <row r="17" spans="1:6" s="1394" customFormat="1" hidden="1" x14ac:dyDescent="0.35">
      <c r="B17" s="841" t="s">
        <v>1965</v>
      </c>
      <c r="C17" s="842">
        <f>C6*C15</f>
        <v>-26756.973789612679</v>
      </c>
      <c r="D17" s="1399"/>
      <c r="E17" s="701"/>
      <c r="F17" s="683"/>
    </row>
    <row r="18" spans="1:6" s="1394" customFormat="1" hidden="1" x14ac:dyDescent="0.35">
      <c r="B18" s="838" t="s">
        <v>1966</v>
      </c>
      <c r="C18" s="839">
        <f>C7*C16</f>
        <v>-4.2898327464788739</v>
      </c>
      <c r="D18" s="1399"/>
      <c r="E18" s="683"/>
      <c r="F18" s="683"/>
    </row>
    <row r="19" spans="1:6" s="1394" customFormat="1" hidden="1" x14ac:dyDescent="0.35">
      <c r="B19" s="841" t="s">
        <v>1967</v>
      </c>
      <c r="C19" s="842">
        <f>C14*C8</f>
        <v>27089.562829166665</v>
      </c>
      <c r="D19" s="1399"/>
      <c r="E19" s="701"/>
      <c r="F19" s="683"/>
    </row>
    <row r="20" spans="1:6" s="1394" customFormat="1" hidden="1" x14ac:dyDescent="0.35">
      <c r="B20" s="838" t="s">
        <v>1969</v>
      </c>
      <c r="C20" s="854">
        <f>C9/C19</f>
        <v>2.214872823100694</v>
      </c>
      <c r="D20" s="1403"/>
      <c r="E20" s="690"/>
      <c r="F20" s="690"/>
    </row>
    <row r="21" spans="1:6" s="1394" customFormat="1" hidden="1" x14ac:dyDescent="0.35">
      <c r="B21" s="855" t="s">
        <v>1970</v>
      </c>
      <c r="C21" s="856">
        <v>16.5</v>
      </c>
      <c r="D21" s="1398"/>
      <c r="E21" s="680"/>
      <c r="F21" s="680"/>
    </row>
    <row r="22" spans="1:6" s="1394" customFormat="1" x14ac:dyDescent="0.35">
      <c r="B22" s="1408"/>
      <c r="C22" s="1408"/>
    </row>
    <row r="23" spans="1:6" s="1394" customFormat="1" ht="21" x14ac:dyDescent="0.5">
      <c r="A23" s="704" t="s">
        <v>1971</v>
      </c>
      <c r="B23" s="1408"/>
      <c r="C23" s="1408"/>
    </row>
    <row r="24" spans="1:6" s="1394" customFormat="1" x14ac:dyDescent="0.35"/>
    <row r="25" spans="1:6" s="1394" customFormat="1" x14ac:dyDescent="0.35">
      <c r="B25" s="940" t="s">
        <v>2390</v>
      </c>
      <c r="C25" s="1409">
        <f>C6/$C$5</f>
        <v>-1103.8355523767607</v>
      </c>
    </row>
    <row r="26" spans="1:6" s="1394" customFormat="1" x14ac:dyDescent="0.35">
      <c r="B26" s="936" t="s">
        <v>2391</v>
      </c>
      <c r="C26" s="991">
        <f>C7/C5</f>
        <v>-0.17697329812206575</v>
      </c>
    </row>
    <row r="27" spans="1:6" s="1394" customFormat="1" x14ac:dyDescent="0.35">
      <c r="B27" s="724" t="s">
        <v>2289</v>
      </c>
      <c r="C27" s="989">
        <f>C8/C5</f>
        <v>1410.9147306857637</v>
      </c>
    </row>
    <row r="28" spans="1:6" s="1394" customFormat="1" x14ac:dyDescent="0.35">
      <c r="B28" s="936" t="s">
        <v>2290</v>
      </c>
      <c r="C28" s="1602">
        <f>C9/C5</f>
        <v>2499.9973541666664</v>
      </c>
    </row>
    <row r="29" spans="1:6" s="1394" customFormat="1" x14ac:dyDescent="0.35">
      <c r="B29" s="732" t="s">
        <v>2392</v>
      </c>
      <c r="C29" s="1603">
        <f>C11/C5</f>
        <v>2179.2916666666665</v>
      </c>
    </row>
    <row r="30" spans="1:6" s="1394" customFormat="1" ht="21" hidden="1" x14ac:dyDescent="0.5">
      <c r="A30" s="1395" t="s">
        <v>2064</v>
      </c>
      <c r="B30" s="1408"/>
      <c r="C30" s="1408"/>
    </row>
    <row r="31" spans="1:6" s="1394" customFormat="1" hidden="1" x14ac:dyDescent="0.35"/>
    <row r="32" spans="1:6" s="1394" customFormat="1" ht="29" hidden="1" x14ac:dyDescent="0.35">
      <c r="C32" s="1418" t="s">
        <v>2395</v>
      </c>
      <c r="D32" s="1419" t="s">
        <v>2396</v>
      </c>
      <c r="E32" s="1420" t="s">
        <v>2397</v>
      </c>
    </row>
    <row r="33" spans="1:20" hidden="1" x14ac:dyDescent="0.35">
      <c r="A33" s="1394"/>
      <c r="B33" s="1421" t="s">
        <v>1416</v>
      </c>
      <c r="C33" s="1422">
        <v>0.4</v>
      </c>
      <c r="D33" s="1423">
        <v>0</v>
      </c>
      <c r="E33" s="1424">
        <v>0</v>
      </c>
      <c r="F33" s="1394"/>
      <c r="G33" s="1394"/>
      <c r="H33" s="1394"/>
    </row>
    <row r="34" spans="1:20" hidden="1" x14ac:dyDescent="0.35">
      <c r="A34" s="1394"/>
      <c r="B34" s="1425" t="s">
        <v>2066</v>
      </c>
      <c r="C34" s="1426">
        <v>0.2</v>
      </c>
      <c r="D34" s="1427">
        <v>0</v>
      </c>
      <c r="E34" s="1428">
        <v>0</v>
      </c>
      <c r="F34" s="1394"/>
      <c r="G34" s="1394"/>
      <c r="H34" s="1394"/>
    </row>
    <row r="35" spans="1:20" hidden="1" x14ac:dyDescent="0.35">
      <c r="A35" s="1394"/>
      <c r="B35" s="1429" t="s">
        <v>2067</v>
      </c>
      <c r="C35" s="1430">
        <v>0</v>
      </c>
      <c r="D35" s="1431">
        <v>0.01</v>
      </c>
      <c r="E35" s="1432">
        <v>0.01</v>
      </c>
      <c r="F35" s="1394"/>
      <c r="G35" s="1394"/>
      <c r="H35" s="1394"/>
    </row>
    <row r="36" spans="1:20" s="1394" customFormat="1" x14ac:dyDescent="0.35"/>
    <row r="37" spans="1:20" s="1394" customFormat="1" ht="21" x14ac:dyDescent="0.5">
      <c r="A37" s="1395" t="s">
        <v>1977</v>
      </c>
    </row>
    <row r="38" spans="1:20" s="1394" customFormat="1" x14ac:dyDescent="0.35"/>
    <row r="39" spans="1:20" s="1394" customFormat="1" ht="18" customHeight="1" thickBot="1" x14ac:dyDescent="0.4">
      <c r="B39" s="1604"/>
      <c r="C39" s="1604"/>
      <c r="D39" s="1206"/>
      <c r="E39" s="1206"/>
      <c r="F39" s="1206"/>
      <c r="G39" s="1206"/>
      <c r="H39" s="1206"/>
      <c r="I39" s="1206"/>
    </row>
    <row r="40" spans="1:20" s="1394" customFormat="1" x14ac:dyDescent="0.35">
      <c r="B40" s="1605">
        <v>8760</v>
      </c>
      <c r="C40" s="3094" t="s">
        <v>2471</v>
      </c>
      <c r="D40" s="3094"/>
      <c r="E40" s="3094"/>
      <c r="F40" s="3094"/>
      <c r="G40" s="3095"/>
      <c r="H40" s="1206"/>
      <c r="I40" s="1206"/>
    </row>
    <row r="41" spans="1:20" x14ac:dyDescent="0.35">
      <c r="A41" s="1394"/>
      <c r="B41" s="3096" t="s">
        <v>2472</v>
      </c>
      <c r="C41" s="3097"/>
      <c r="D41" s="3098" t="s">
        <v>2473</v>
      </c>
      <c r="E41" s="3098"/>
      <c r="F41" s="3098"/>
      <c r="G41" s="3099"/>
      <c r="I41" s="1193"/>
    </row>
    <row r="42" spans="1:20" ht="15" thickBot="1" x14ac:dyDescent="0.4">
      <c r="A42" s="1394"/>
      <c r="B42" s="3100" t="s">
        <v>353</v>
      </c>
      <c r="C42" s="3101"/>
      <c r="D42" s="424" t="s">
        <v>2474</v>
      </c>
      <c r="E42" s="424" t="s">
        <v>2475</v>
      </c>
      <c r="F42" s="424" t="s">
        <v>2476</v>
      </c>
      <c r="G42" s="1606" t="s">
        <v>2477</v>
      </c>
      <c r="I42" s="1193"/>
    </row>
    <row r="43" spans="1:20" s="1394" customFormat="1" x14ac:dyDescent="0.35">
      <c r="B43" s="1605">
        <v>1</v>
      </c>
      <c r="C43" s="1607" t="s">
        <v>2478</v>
      </c>
      <c r="D43" s="1608">
        <v>216145</v>
      </c>
      <c r="E43" s="1608">
        <v>268852</v>
      </c>
      <c r="F43" s="1608">
        <v>321559</v>
      </c>
      <c r="G43" s="1609">
        <v>374266</v>
      </c>
      <c r="I43" s="1206"/>
      <c r="J43" s="1195"/>
      <c r="K43" s="1195"/>
      <c r="M43" s="1206"/>
    </row>
    <row r="44" spans="1:20" s="1394" customFormat="1" ht="18.5" x14ac:dyDescent="0.45">
      <c r="B44" s="1610">
        <v>2</v>
      </c>
      <c r="C44" s="599" t="s">
        <v>2479</v>
      </c>
      <c r="D44" s="1611">
        <v>203850</v>
      </c>
      <c r="E44" s="1611">
        <v>253559</v>
      </c>
      <c r="F44" s="1611">
        <v>303268</v>
      </c>
      <c r="G44" s="1612">
        <v>352977</v>
      </c>
      <c r="I44" s="1492"/>
    </row>
    <row r="45" spans="1:20" s="1394" customFormat="1" x14ac:dyDescent="0.35">
      <c r="B45" s="1610">
        <v>3</v>
      </c>
      <c r="C45" s="599" t="s">
        <v>614</v>
      </c>
      <c r="D45" s="1611">
        <v>172329</v>
      </c>
      <c r="E45" s="1611">
        <v>214351</v>
      </c>
      <c r="F45" s="1611">
        <v>256374</v>
      </c>
      <c r="G45" s="1612">
        <v>298397</v>
      </c>
      <c r="I45" s="1613"/>
      <c r="L45" s="3036" t="s">
        <v>2480</v>
      </c>
      <c r="M45" s="3037"/>
      <c r="N45" s="3037"/>
      <c r="O45" s="3037"/>
      <c r="P45" s="3037"/>
      <c r="Q45" s="3037"/>
      <c r="R45" s="3037"/>
      <c r="S45" s="3037"/>
      <c r="T45" s="3038"/>
    </row>
    <row r="46" spans="1:20" x14ac:dyDescent="0.35">
      <c r="A46" s="1394"/>
      <c r="B46" s="1610">
        <v>4</v>
      </c>
      <c r="C46" s="599" t="s">
        <v>2481</v>
      </c>
      <c r="D46" s="1611">
        <v>127248</v>
      </c>
      <c r="E46" s="1611">
        <v>158278</v>
      </c>
      <c r="F46" s="1611">
        <v>189307</v>
      </c>
      <c r="G46" s="1612">
        <v>220337</v>
      </c>
      <c r="I46" s="1614"/>
      <c r="K46" s="1441"/>
      <c r="L46" s="869" t="s">
        <v>1981</v>
      </c>
      <c r="M46" s="870"/>
      <c r="N46" s="870"/>
      <c r="O46" s="870"/>
      <c r="P46" s="870"/>
      <c r="Q46" s="870"/>
      <c r="R46" s="870"/>
      <c r="S46" s="870"/>
      <c r="T46" s="871"/>
    </row>
    <row r="47" spans="1:20" ht="15" thickBot="1" x14ac:dyDescent="0.4">
      <c r="B47" s="1615">
        <v>5</v>
      </c>
      <c r="C47" s="1616" t="s">
        <v>2482</v>
      </c>
      <c r="D47" s="1617">
        <v>128817</v>
      </c>
      <c r="E47" s="1617">
        <v>160229</v>
      </c>
      <c r="F47" s="1617">
        <v>191641</v>
      </c>
      <c r="G47" s="1618">
        <v>223053</v>
      </c>
      <c r="I47" s="1619"/>
      <c r="K47" s="1441"/>
      <c r="L47" s="873" t="s">
        <v>2483</v>
      </c>
      <c r="M47" s="698"/>
      <c r="N47" s="698"/>
      <c r="O47" s="698"/>
      <c r="P47" s="698"/>
      <c r="Q47" s="698"/>
      <c r="R47" s="698"/>
      <c r="S47" s="698"/>
      <c r="T47" s="874"/>
    </row>
    <row r="48" spans="1:20" ht="15" thickBot="1" x14ac:dyDescent="0.4">
      <c r="B48" s="1620"/>
      <c r="C48" s="1621"/>
      <c r="D48" s="1619"/>
      <c r="E48" s="1619"/>
      <c r="F48" s="1619"/>
      <c r="G48" s="1619"/>
      <c r="I48" s="1614"/>
      <c r="K48" s="1441"/>
      <c r="L48" s="873" t="s">
        <v>2484</v>
      </c>
      <c r="M48" s="1193"/>
      <c r="N48" s="1193"/>
      <c r="O48" s="698"/>
      <c r="P48" s="698"/>
      <c r="Q48" s="698"/>
      <c r="R48" s="698"/>
      <c r="S48" s="698"/>
      <c r="T48" s="874"/>
    </row>
    <row r="49" spans="2:20" x14ac:dyDescent="0.35">
      <c r="B49" s="1605">
        <v>7300</v>
      </c>
      <c r="C49" s="3094" t="s">
        <v>2485</v>
      </c>
      <c r="D49" s="3094"/>
      <c r="E49" s="3094"/>
      <c r="F49" s="3094"/>
      <c r="G49" s="3095"/>
      <c r="I49" s="1619"/>
      <c r="K49" s="1441"/>
      <c r="L49" s="873" t="s">
        <v>2486</v>
      </c>
      <c r="M49" s="1193"/>
      <c r="N49" s="1193"/>
      <c r="O49" s="698"/>
      <c r="P49" s="698"/>
      <c r="Q49" s="698"/>
      <c r="R49" s="698"/>
      <c r="S49" s="698"/>
      <c r="T49" s="874"/>
    </row>
    <row r="50" spans="2:20" x14ac:dyDescent="0.35">
      <c r="B50" s="3096" t="s">
        <v>2487</v>
      </c>
      <c r="C50" s="3097"/>
      <c r="D50" s="3098" t="s">
        <v>2473</v>
      </c>
      <c r="E50" s="3098"/>
      <c r="F50" s="3098"/>
      <c r="G50" s="3099"/>
      <c r="I50" s="1614"/>
      <c r="K50" s="1441"/>
      <c r="L50" s="869" t="s">
        <v>1990</v>
      </c>
      <c r="M50" s="1193"/>
      <c r="N50" s="1193"/>
      <c r="O50" s="698"/>
      <c r="P50" s="698"/>
      <c r="Q50" s="698"/>
      <c r="R50" s="698"/>
      <c r="S50" s="698"/>
      <c r="T50" s="874"/>
    </row>
    <row r="51" spans="2:20" ht="15" thickBot="1" x14ac:dyDescent="0.4">
      <c r="B51" s="3107" t="s">
        <v>353</v>
      </c>
      <c r="C51" s="3108"/>
      <c r="D51" s="1622" t="s">
        <v>2474</v>
      </c>
      <c r="E51" s="1622" t="s">
        <v>2475</v>
      </c>
      <c r="F51" s="1622" t="s">
        <v>2476</v>
      </c>
      <c r="G51" s="1623" t="s">
        <v>2477</v>
      </c>
      <c r="I51" s="1619"/>
      <c r="K51" s="1441"/>
      <c r="L51" s="1194" t="s">
        <v>2488</v>
      </c>
      <c r="M51" s="698" t="s">
        <v>1992</v>
      </c>
      <c r="N51" s="1193" t="s">
        <v>2489</v>
      </c>
      <c r="O51" s="698"/>
      <c r="P51" s="698"/>
      <c r="Q51" s="698"/>
      <c r="R51" s="698"/>
      <c r="S51" s="698"/>
      <c r="T51" s="874"/>
    </row>
    <row r="52" spans="2:20" x14ac:dyDescent="0.35">
      <c r="B52" s="1624">
        <v>1</v>
      </c>
      <c r="C52" s="1625" t="s">
        <v>2478</v>
      </c>
      <c r="D52" s="1626">
        <v>173511</v>
      </c>
      <c r="E52" s="1626">
        <v>215950</v>
      </c>
      <c r="F52" s="1626">
        <v>258389</v>
      </c>
      <c r="G52" s="1627">
        <v>300828</v>
      </c>
      <c r="I52" s="1614"/>
      <c r="K52" s="1441"/>
      <c r="L52" s="1194" t="s">
        <v>2490</v>
      </c>
      <c r="M52" s="698" t="s">
        <v>2112</v>
      </c>
      <c r="N52" s="1193" t="s">
        <v>2491</v>
      </c>
      <c r="O52" s="698"/>
      <c r="P52" s="698"/>
      <c r="Q52" s="698"/>
      <c r="R52" s="698"/>
      <c r="S52" s="698"/>
      <c r="T52" s="874"/>
    </row>
    <row r="53" spans="2:20" x14ac:dyDescent="0.35">
      <c r="B53" s="1610">
        <v>2</v>
      </c>
      <c r="C53" s="599" t="s">
        <v>2479</v>
      </c>
      <c r="D53" s="1611">
        <v>163641</v>
      </c>
      <c r="E53" s="1611">
        <v>203666</v>
      </c>
      <c r="F53" s="1611">
        <v>243691</v>
      </c>
      <c r="G53" s="1612">
        <v>283716</v>
      </c>
      <c r="I53" s="1619"/>
      <c r="K53" s="1441"/>
      <c r="L53" s="1196" t="s">
        <v>2492</v>
      </c>
      <c r="M53" s="698" t="s">
        <v>1992</v>
      </c>
      <c r="N53" s="1197" t="s">
        <v>2493</v>
      </c>
      <c r="O53" s="1198"/>
      <c r="P53" s="1198"/>
      <c r="Q53" s="1198"/>
      <c r="R53" s="1198"/>
      <c r="S53" s="1197"/>
      <c r="T53" s="1199"/>
    </row>
    <row r="54" spans="2:20" x14ac:dyDescent="0.35">
      <c r="B54" s="1610">
        <v>3</v>
      </c>
      <c r="C54" s="599" t="s">
        <v>614</v>
      </c>
      <c r="D54" s="1611">
        <v>138338</v>
      </c>
      <c r="E54" s="1611">
        <v>172174</v>
      </c>
      <c r="F54" s="1611">
        <v>206010</v>
      </c>
      <c r="G54" s="1612">
        <v>239846</v>
      </c>
      <c r="I54" s="1614"/>
      <c r="K54" s="1441"/>
      <c r="L54" s="1195" t="s">
        <v>2494</v>
      </c>
      <c r="M54" s="1206" t="s">
        <v>1992</v>
      </c>
      <c r="N54" s="870" t="s">
        <v>2495</v>
      </c>
      <c r="O54" s="1203"/>
      <c r="P54" s="1203"/>
      <c r="Q54" s="1203"/>
      <c r="R54" s="1203"/>
      <c r="S54" s="1204"/>
      <c r="T54" s="1205"/>
    </row>
    <row r="55" spans="2:20" x14ac:dyDescent="0.35">
      <c r="B55" s="1610">
        <v>4</v>
      </c>
      <c r="C55" s="599" t="s">
        <v>2481</v>
      </c>
      <c r="D55" s="1611">
        <v>102149</v>
      </c>
      <c r="E55" s="1611">
        <v>127133</v>
      </c>
      <c r="F55" s="1611">
        <v>152118</v>
      </c>
      <c r="G55" s="1612">
        <v>177103</v>
      </c>
      <c r="I55" s="1614"/>
      <c r="K55" s="1441"/>
      <c r="L55" s="873" t="s">
        <v>2496</v>
      </c>
      <c r="M55" s="698" t="s">
        <v>2112</v>
      </c>
      <c r="N55" s="698" t="s">
        <v>2497</v>
      </c>
      <c r="O55" s="1206"/>
      <c r="P55" s="1206"/>
      <c r="Q55" s="1206"/>
      <c r="R55" s="1206"/>
      <c r="S55" s="1193"/>
      <c r="T55" s="1207"/>
    </row>
    <row r="56" spans="2:20" ht="15" thickBot="1" x14ac:dyDescent="0.4">
      <c r="B56" s="1615">
        <v>5</v>
      </c>
      <c r="C56" s="1616" t="s">
        <v>2482</v>
      </c>
      <c r="D56" s="1617">
        <v>103408</v>
      </c>
      <c r="E56" s="1617">
        <v>128701</v>
      </c>
      <c r="F56" s="1617">
        <v>153993</v>
      </c>
      <c r="G56" s="1618">
        <v>179286</v>
      </c>
      <c r="I56" s="1614"/>
      <c r="K56" s="1441"/>
      <c r="L56" s="873" t="s">
        <v>2498</v>
      </c>
      <c r="M56" s="698" t="s">
        <v>1992</v>
      </c>
      <c r="N56" s="698" t="s">
        <v>2499</v>
      </c>
      <c r="O56" s="1206"/>
      <c r="P56" s="1206"/>
      <c r="Q56" s="1206"/>
      <c r="R56" s="1206"/>
      <c r="S56" s="1193"/>
      <c r="T56" s="1207"/>
    </row>
    <row r="57" spans="2:20" ht="15" thickBot="1" x14ac:dyDescent="0.4">
      <c r="B57" s="1620"/>
      <c r="C57" s="1621"/>
      <c r="D57" s="1614"/>
      <c r="E57" s="1614"/>
      <c r="F57" s="1614"/>
      <c r="G57" s="1614"/>
      <c r="I57" s="1614"/>
      <c r="K57" s="1441"/>
      <c r="L57" s="873" t="s">
        <v>2500</v>
      </c>
      <c r="M57" s="1206" t="s">
        <v>1992</v>
      </c>
      <c r="N57" s="698" t="s">
        <v>2501</v>
      </c>
      <c r="O57" s="1206"/>
      <c r="P57" s="1206"/>
      <c r="Q57" s="1206"/>
      <c r="R57" s="1206"/>
      <c r="S57" s="1193"/>
      <c r="T57" s="1207"/>
    </row>
    <row r="58" spans="2:20" x14ac:dyDescent="0.35">
      <c r="B58" s="1605">
        <v>5266</v>
      </c>
      <c r="C58" s="3094" t="s">
        <v>2502</v>
      </c>
      <c r="D58" s="3094"/>
      <c r="E58" s="3094"/>
      <c r="F58" s="3094"/>
      <c r="G58" s="3095"/>
      <c r="I58" s="1614"/>
      <c r="K58" s="1441"/>
      <c r="L58" s="1208" t="s">
        <v>440</v>
      </c>
      <c r="M58" s="1206" t="s">
        <v>1992</v>
      </c>
      <c r="N58" s="1193" t="s">
        <v>2503</v>
      </c>
      <c r="O58" s="1198"/>
      <c r="P58" s="1198"/>
      <c r="Q58" s="1198"/>
      <c r="R58" s="1198"/>
      <c r="S58" s="1197"/>
      <c r="T58" s="1199"/>
    </row>
    <row r="59" spans="2:20" x14ac:dyDescent="0.35">
      <c r="B59" s="3096" t="s">
        <v>2504</v>
      </c>
      <c r="C59" s="3097"/>
      <c r="D59" s="3098" t="s">
        <v>2473</v>
      </c>
      <c r="E59" s="3098"/>
      <c r="F59" s="3098"/>
      <c r="G59" s="3099"/>
      <c r="I59" s="1614"/>
      <c r="K59" s="1441"/>
      <c r="L59" s="1204"/>
      <c r="M59" s="1204"/>
      <c r="N59" s="1204"/>
      <c r="O59" s="870"/>
      <c r="P59" s="870"/>
      <c r="Q59" s="870"/>
      <c r="R59" s="870"/>
      <c r="S59" s="870"/>
      <c r="T59" s="870"/>
    </row>
    <row r="60" spans="2:20" ht="15" thickBot="1" x14ac:dyDescent="0.4">
      <c r="B60" s="3107" t="s">
        <v>353</v>
      </c>
      <c r="C60" s="3108"/>
      <c r="D60" s="1622" t="s">
        <v>2474</v>
      </c>
      <c r="E60" s="1622" t="s">
        <v>2475</v>
      </c>
      <c r="F60" s="1622" t="s">
        <v>2476</v>
      </c>
      <c r="G60" s="1623" t="s">
        <v>2477</v>
      </c>
      <c r="I60" s="1614"/>
      <c r="K60" s="1441"/>
    </row>
    <row r="61" spans="2:20" x14ac:dyDescent="0.35">
      <c r="B61" s="1624">
        <v>1</v>
      </c>
      <c r="C61" s="1625" t="s">
        <v>2478</v>
      </c>
      <c r="D61" s="1626">
        <v>118320</v>
      </c>
      <c r="E61" s="1626">
        <v>147406</v>
      </c>
      <c r="F61" s="1626">
        <v>176492</v>
      </c>
      <c r="G61" s="1627">
        <v>205578</v>
      </c>
      <c r="I61" s="1614"/>
    </row>
    <row r="62" spans="2:20" x14ac:dyDescent="0.35">
      <c r="B62" s="1610">
        <v>2</v>
      </c>
      <c r="C62" s="599" t="s">
        <v>2479</v>
      </c>
      <c r="D62" s="1611">
        <v>111590</v>
      </c>
      <c r="E62" s="1611">
        <v>139021</v>
      </c>
      <c r="F62" s="1611">
        <v>166452</v>
      </c>
      <c r="G62" s="1612">
        <v>193884</v>
      </c>
      <c r="I62" s="1614"/>
      <c r="Q62" s="698"/>
      <c r="R62" s="698"/>
      <c r="S62" s="698"/>
      <c r="T62" s="698"/>
    </row>
    <row r="63" spans="2:20" x14ac:dyDescent="0.35">
      <c r="B63" s="1610">
        <v>3</v>
      </c>
      <c r="C63" s="599" t="s">
        <v>614</v>
      </c>
      <c r="D63" s="1611">
        <v>94335</v>
      </c>
      <c r="E63" s="1611">
        <v>117524</v>
      </c>
      <c r="F63" s="1611">
        <v>140714</v>
      </c>
      <c r="G63" s="1612">
        <v>163904</v>
      </c>
      <c r="I63" s="1614"/>
      <c r="Q63" s="698"/>
      <c r="R63" s="698"/>
      <c r="S63" s="698"/>
      <c r="T63" s="698"/>
    </row>
    <row r="64" spans="2:20" x14ac:dyDescent="0.35">
      <c r="B64" s="1610">
        <v>4</v>
      </c>
      <c r="C64" s="599" t="s">
        <v>2481</v>
      </c>
      <c r="D64" s="1611">
        <v>69657</v>
      </c>
      <c r="E64" s="1611">
        <v>86780</v>
      </c>
      <c r="F64" s="1611">
        <v>103904</v>
      </c>
      <c r="G64" s="1612">
        <v>121027</v>
      </c>
      <c r="I64" s="1614"/>
      <c r="Q64" s="698"/>
      <c r="R64" s="698"/>
      <c r="S64" s="698"/>
      <c r="T64" s="698"/>
    </row>
    <row r="65" spans="2:23" ht="15" thickBot="1" x14ac:dyDescent="0.4">
      <c r="B65" s="1615">
        <v>5</v>
      </c>
      <c r="C65" s="1616" t="s">
        <v>2482</v>
      </c>
      <c r="D65" s="1617">
        <v>70516</v>
      </c>
      <c r="E65" s="1617">
        <v>87850</v>
      </c>
      <c r="F65" s="1617">
        <v>105184</v>
      </c>
      <c r="G65" s="1618">
        <v>122519</v>
      </c>
      <c r="I65" s="1614"/>
      <c r="Q65" s="698"/>
      <c r="R65" s="698"/>
      <c r="S65" s="698"/>
      <c r="T65" s="698"/>
    </row>
    <row r="66" spans="2:23" ht="15" thickBot="1" x14ac:dyDescent="0.4">
      <c r="B66" s="1620"/>
      <c r="C66" s="1621"/>
      <c r="D66" s="1614"/>
      <c r="E66" s="1614"/>
      <c r="F66" s="1614"/>
      <c r="G66" s="1614"/>
      <c r="I66" s="1614"/>
      <c r="Q66" s="698"/>
      <c r="R66" s="698"/>
      <c r="S66" s="698"/>
      <c r="T66" s="698"/>
    </row>
    <row r="67" spans="2:23" x14ac:dyDescent="0.35">
      <c r="B67" s="1605">
        <v>3911</v>
      </c>
      <c r="C67" s="3094" t="s">
        <v>2505</v>
      </c>
      <c r="D67" s="3094"/>
      <c r="E67" s="3094"/>
      <c r="F67" s="3094"/>
      <c r="G67" s="3095"/>
      <c r="I67" s="1614"/>
      <c r="Q67" s="698"/>
      <c r="R67" s="698"/>
      <c r="S67" s="698"/>
      <c r="T67" s="698"/>
    </row>
    <row r="68" spans="2:23" x14ac:dyDescent="0.35">
      <c r="B68" s="3096" t="s">
        <v>2506</v>
      </c>
      <c r="C68" s="3097"/>
      <c r="D68" s="3098" t="s">
        <v>2473</v>
      </c>
      <c r="E68" s="3098"/>
      <c r="F68" s="3098"/>
      <c r="G68" s="3099"/>
      <c r="I68" s="1614"/>
      <c r="Q68" s="698"/>
      <c r="R68" s="698"/>
      <c r="S68" s="698"/>
      <c r="T68" s="698"/>
    </row>
    <row r="69" spans="2:23" ht="15" thickBot="1" x14ac:dyDescent="0.4">
      <c r="B69" s="3107" t="s">
        <v>353</v>
      </c>
      <c r="C69" s="3108"/>
      <c r="D69" s="1622" t="s">
        <v>2474</v>
      </c>
      <c r="E69" s="1622" t="s">
        <v>2475</v>
      </c>
      <c r="F69" s="1622" t="s">
        <v>2476</v>
      </c>
      <c r="G69" s="1623" t="s">
        <v>2477</v>
      </c>
      <c r="I69" s="1614"/>
      <c r="K69" s="1441"/>
      <c r="L69" s="1193"/>
      <c r="M69" s="1193"/>
      <c r="N69" s="698"/>
      <c r="O69" s="698"/>
      <c r="P69" s="698"/>
      <c r="Q69" s="698"/>
      <c r="R69" s="698"/>
      <c r="S69" s="698"/>
      <c r="T69" s="698"/>
    </row>
    <row r="70" spans="2:23" x14ac:dyDescent="0.35">
      <c r="B70" s="1624">
        <v>1</v>
      </c>
      <c r="C70" s="1625" t="s">
        <v>2478</v>
      </c>
      <c r="D70" s="1626">
        <v>85672</v>
      </c>
      <c r="E70" s="1626">
        <v>106825</v>
      </c>
      <c r="F70" s="1626">
        <v>127979</v>
      </c>
      <c r="G70" s="1627">
        <v>149132</v>
      </c>
      <c r="I70" s="1614"/>
      <c r="K70" s="1441"/>
      <c r="N70" s="698"/>
      <c r="O70" s="698"/>
      <c r="P70" s="698"/>
      <c r="Q70" s="698"/>
      <c r="R70" s="698"/>
      <c r="S70" s="698"/>
      <c r="T70" s="698"/>
    </row>
    <row r="71" spans="2:23" x14ac:dyDescent="0.35">
      <c r="B71" s="1610">
        <v>2</v>
      </c>
      <c r="C71" s="599" t="s">
        <v>2479</v>
      </c>
      <c r="D71" s="1611">
        <v>80799</v>
      </c>
      <c r="E71" s="1611">
        <v>100749</v>
      </c>
      <c r="F71" s="1611">
        <v>120699</v>
      </c>
      <c r="G71" s="1612">
        <v>140649</v>
      </c>
      <c r="I71" s="1614"/>
      <c r="K71" s="1441"/>
      <c r="N71" s="698"/>
      <c r="O71" s="698"/>
      <c r="P71" s="698"/>
      <c r="Q71" s="698"/>
      <c r="R71" s="698"/>
      <c r="S71" s="698"/>
      <c r="T71" s="698"/>
    </row>
    <row r="72" spans="2:23" x14ac:dyDescent="0.35">
      <c r="B72" s="1610">
        <v>3</v>
      </c>
      <c r="C72" s="599" t="s">
        <v>614</v>
      </c>
      <c r="D72" s="1611">
        <v>68305</v>
      </c>
      <c r="E72" s="1611">
        <v>85170</v>
      </c>
      <c r="F72" s="1611">
        <v>102035</v>
      </c>
      <c r="G72" s="1612">
        <v>118901</v>
      </c>
      <c r="I72" s="1614"/>
      <c r="K72" s="1441"/>
      <c r="N72" s="698"/>
      <c r="O72" s="698"/>
      <c r="P72" s="698"/>
      <c r="Q72" s="698"/>
      <c r="R72" s="698"/>
      <c r="S72" s="698"/>
      <c r="T72" s="698"/>
    </row>
    <row r="73" spans="2:23" x14ac:dyDescent="0.35">
      <c r="B73" s="1610">
        <v>4</v>
      </c>
      <c r="C73" s="599" t="s">
        <v>2481</v>
      </c>
      <c r="D73" s="1611">
        <v>50436</v>
      </c>
      <c r="E73" s="1611">
        <v>62890</v>
      </c>
      <c r="F73" s="1611">
        <v>75343</v>
      </c>
      <c r="G73" s="1612">
        <v>87797</v>
      </c>
      <c r="I73" s="1614"/>
      <c r="K73" s="1441"/>
      <c r="N73" s="698"/>
      <c r="O73" s="698"/>
      <c r="P73" s="698"/>
      <c r="Q73" s="698"/>
      <c r="R73" s="698"/>
      <c r="S73" s="698"/>
      <c r="T73" s="698"/>
    </row>
    <row r="74" spans="2:23" ht="15" thickBot="1" x14ac:dyDescent="0.4">
      <c r="B74" s="1615">
        <v>5</v>
      </c>
      <c r="C74" s="1616" t="s">
        <v>2482</v>
      </c>
      <c r="D74" s="1617">
        <v>51058</v>
      </c>
      <c r="E74" s="1617">
        <v>63665</v>
      </c>
      <c r="F74" s="1617">
        <v>76272</v>
      </c>
      <c r="G74" s="1618">
        <v>88879</v>
      </c>
      <c r="I74" s="1614"/>
      <c r="K74" s="1441"/>
      <c r="N74" s="698"/>
      <c r="O74" s="698"/>
      <c r="P74" s="698"/>
      <c r="Q74" s="698"/>
      <c r="R74" s="698"/>
      <c r="S74" s="698"/>
      <c r="T74" s="698"/>
    </row>
    <row r="75" spans="2:23" ht="15" thickBot="1" x14ac:dyDescent="0.4">
      <c r="B75" s="1398"/>
      <c r="I75" s="1614"/>
      <c r="K75" s="1441"/>
      <c r="N75" s="698"/>
      <c r="O75" s="698"/>
      <c r="P75" s="698"/>
      <c r="Q75" s="698"/>
      <c r="R75" s="698"/>
      <c r="S75" s="698"/>
      <c r="T75" s="698"/>
      <c r="U75" s="698"/>
      <c r="V75" s="698"/>
      <c r="W75" s="698"/>
    </row>
    <row r="76" spans="2:23" x14ac:dyDescent="0.35">
      <c r="B76" s="784" t="s">
        <v>2376</v>
      </c>
      <c r="C76" s="1628">
        <v>0.8</v>
      </c>
      <c r="D76" s="1621"/>
      <c r="E76" s="1614"/>
      <c r="F76" s="1614"/>
      <c r="G76" s="1614"/>
      <c r="H76" s="1614"/>
      <c r="I76" s="1614"/>
      <c r="K76" s="1441"/>
      <c r="N76" s="698"/>
      <c r="O76" s="698"/>
      <c r="P76" s="698"/>
      <c r="Q76" s="698"/>
      <c r="R76" s="698"/>
      <c r="S76" s="698"/>
      <c r="T76" s="698"/>
      <c r="U76" s="698"/>
      <c r="V76" s="698"/>
      <c r="W76" s="698"/>
    </row>
    <row r="77" spans="2:23" x14ac:dyDescent="0.35">
      <c r="B77" s="749" t="s">
        <v>2507</v>
      </c>
      <c r="C77" s="1629">
        <v>0.9</v>
      </c>
      <c r="D77" s="1621"/>
      <c r="E77" s="1619"/>
      <c r="F77" s="1619"/>
      <c r="G77" s="1619"/>
      <c r="H77" s="1619"/>
      <c r="I77" s="1619"/>
      <c r="K77" s="1441"/>
      <c r="N77" s="698"/>
      <c r="O77" s="698"/>
      <c r="P77" s="698"/>
      <c r="Q77" s="698"/>
      <c r="R77" s="698"/>
      <c r="S77" s="698"/>
      <c r="T77" s="698"/>
      <c r="U77" s="698"/>
      <c r="V77" s="698"/>
      <c r="W77" s="698"/>
    </row>
    <row r="78" spans="2:23" x14ac:dyDescent="0.35">
      <c r="B78" s="749" t="s">
        <v>2498</v>
      </c>
      <c r="C78" s="1630">
        <v>0.15</v>
      </c>
      <c r="D78" s="1621"/>
      <c r="E78" s="1619"/>
      <c r="F78" s="1619"/>
      <c r="G78" s="1619"/>
      <c r="H78" s="1619"/>
      <c r="I78" s="1619"/>
      <c r="K78" s="1441"/>
      <c r="N78" s="698"/>
      <c r="O78" s="698"/>
      <c r="P78" s="698"/>
      <c r="Q78" s="698"/>
      <c r="R78" s="698"/>
      <c r="S78" s="698"/>
      <c r="T78" s="698"/>
      <c r="U78" s="698"/>
      <c r="V78" s="698"/>
      <c r="W78" s="698"/>
    </row>
    <row r="79" spans="2:23" x14ac:dyDescent="0.35">
      <c r="B79" s="749" t="s">
        <v>2500</v>
      </c>
      <c r="C79" s="1630">
        <v>0.6</v>
      </c>
      <c r="D79" s="1621"/>
      <c r="E79" s="1619"/>
      <c r="F79" s="1619"/>
      <c r="G79" s="1619"/>
      <c r="H79" s="1619"/>
      <c r="I79" s="1619"/>
      <c r="K79" s="1441"/>
      <c r="N79" s="698"/>
      <c r="O79" s="698"/>
      <c r="P79" s="698"/>
      <c r="Q79" s="698"/>
      <c r="R79" s="698"/>
      <c r="S79" s="698"/>
      <c r="T79" s="698"/>
      <c r="U79" s="698"/>
      <c r="V79" s="698"/>
      <c r="W79" s="698"/>
    </row>
    <row r="80" spans="2:23" ht="15" thickBot="1" x14ac:dyDescent="0.4">
      <c r="B80" s="765" t="s">
        <v>440</v>
      </c>
      <c r="C80" s="1631">
        <v>1</v>
      </c>
      <c r="D80" s="1621"/>
      <c r="E80" s="1619"/>
      <c r="F80" s="1619"/>
      <c r="G80" s="1619"/>
      <c r="H80" s="1619"/>
      <c r="I80" s="1619"/>
      <c r="K80" s="1441"/>
      <c r="N80" s="698"/>
      <c r="O80" s="698"/>
      <c r="P80" s="698"/>
      <c r="Q80" s="698"/>
      <c r="R80" s="698"/>
      <c r="S80" s="698"/>
      <c r="T80" s="698"/>
      <c r="U80" s="698"/>
      <c r="V80" s="698"/>
      <c r="W80" s="698"/>
    </row>
    <row r="81" spans="1:23" ht="15" thickBot="1" x14ac:dyDescent="0.4">
      <c r="D81" s="1621"/>
      <c r="E81" s="1619"/>
      <c r="F81" s="1619"/>
      <c r="G81" s="1619"/>
      <c r="H81" s="1619"/>
      <c r="I81" s="1619"/>
      <c r="K81" s="1441"/>
      <c r="N81" s="698"/>
      <c r="O81" s="698"/>
      <c r="P81" s="698"/>
      <c r="Q81" s="698"/>
      <c r="R81" s="698"/>
      <c r="S81" s="698"/>
      <c r="T81" s="698"/>
      <c r="U81" s="698"/>
      <c r="V81" s="698"/>
      <c r="W81" s="698"/>
    </row>
    <row r="82" spans="1:23" x14ac:dyDescent="0.35">
      <c r="B82" s="3105" t="s">
        <v>377</v>
      </c>
      <c r="C82" s="3106"/>
      <c r="D82" s="1621"/>
      <c r="E82" s="1614"/>
      <c r="F82" s="1614"/>
      <c r="G82" s="1614"/>
      <c r="H82" s="1614"/>
      <c r="I82" s="1614"/>
      <c r="K82" s="1441"/>
      <c r="L82" s="1394"/>
      <c r="N82" s="698"/>
      <c r="O82" s="698"/>
      <c r="P82" s="698"/>
      <c r="Q82" s="698"/>
      <c r="R82" s="698"/>
      <c r="S82" s="698"/>
      <c r="T82" s="698"/>
      <c r="U82" s="698"/>
      <c r="V82" s="698"/>
      <c r="W82" s="698"/>
    </row>
    <row r="83" spans="1:23" ht="15" thickBot="1" x14ac:dyDescent="0.4">
      <c r="B83" s="1632">
        <v>5.42</v>
      </c>
      <c r="C83" s="1633" t="s">
        <v>2508</v>
      </c>
      <c r="D83" s="1621"/>
      <c r="E83" s="1614"/>
      <c r="F83" s="1614"/>
      <c r="G83" s="1614"/>
      <c r="H83" s="1614"/>
      <c r="I83" s="1614"/>
      <c r="K83" s="1441"/>
      <c r="L83" s="1394"/>
      <c r="N83" s="698"/>
      <c r="O83" s="698"/>
      <c r="P83" s="698"/>
      <c r="Q83" s="698"/>
      <c r="R83" s="698"/>
      <c r="S83" s="698"/>
      <c r="T83" s="698"/>
      <c r="U83" s="698"/>
      <c r="V83" s="698"/>
      <c r="W83" s="698"/>
    </row>
    <row r="84" spans="1:23" x14ac:dyDescent="0.35">
      <c r="B84" s="1398"/>
      <c r="C84" s="1620"/>
      <c r="D84" s="1621"/>
      <c r="E84" s="1614"/>
      <c r="F84" s="1614"/>
      <c r="G84" s="1614"/>
      <c r="H84" s="1614"/>
      <c r="I84" s="1614"/>
      <c r="K84" s="1441"/>
      <c r="L84" s="1394"/>
      <c r="N84" s="698"/>
      <c r="O84" s="698"/>
      <c r="P84" s="698"/>
      <c r="Q84" s="698"/>
      <c r="R84" s="698"/>
      <c r="S84" s="698"/>
      <c r="T84" s="698"/>
      <c r="U84" s="698"/>
      <c r="V84" s="698"/>
      <c r="W84" s="698"/>
    </row>
    <row r="85" spans="1:23" s="1394" customFormat="1" ht="21" x14ac:dyDescent="0.5">
      <c r="A85" s="1395" t="s">
        <v>2012</v>
      </c>
      <c r="M85" s="1195"/>
      <c r="N85" s="698"/>
      <c r="O85" s="698"/>
      <c r="P85" s="698"/>
      <c r="Q85" s="698"/>
      <c r="R85" s="698"/>
      <c r="S85" s="698"/>
      <c r="T85" s="698"/>
      <c r="U85" s="698"/>
      <c r="V85" s="698"/>
      <c r="W85" s="698"/>
    </row>
    <row r="86" spans="1:23" s="1394" customFormat="1" ht="21" x14ac:dyDescent="0.5">
      <c r="A86" s="1395"/>
      <c r="B86" s="1206"/>
      <c r="C86" s="1472"/>
      <c r="M86" s="1195"/>
      <c r="N86" s="698"/>
      <c r="O86" s="698"/>
      <c r="P86" s="698"/>
      <c r="Q86" s="698"/>
      <c r="R86" s="698"/>
      <c r="S86" s="698"/>
      <c r="T86" s="698"/>
      <c r="U86" s="698"/>
      <c r="V86" s="698"/>
      <c r="W86" s="698"/>
    </row>
    <row r="87" spans="1:23" s="1394" customFormat="1" ht="15" thickBot="1" x14ac:dyDescent="0.4">
      <c r="D87" s="3060"/>
      <c r="E87" s="3060"/>
      <c r="K87" s="1206"/>
      <c r="M87" s="1195"/>
      <c r="N87" s="698"/>
      <c r="O87" s="698"/>
      <c r="P87" s="698"/>
      <c r="Q87" s="698"/>
      <c r="R87" s="698"/>
      <c r="S87" s="698"/>
      <c r="T87" s="698"/>
      <c r="U87" s="698"/>
      <c r="V87" s="698"/>
      <c r="W87" s="698"/>
    </row>
    <row r="88" spans="1:23" s="1394" customFormat="1" x14ac:dyDescent="0.35">
      <c r="B88" s="1634"/>
      <c r="C88" s="1635" t="s">
        <v>2184</v>
      </c>
      <c r="D88" s="1475"/>
      <c r="E88" s="1476"/>
      <c r="F88" s="1476"/>
      <c r="G88" s="1476"/>
      <c r="H88" s="1476"/>
      <c r="I88" s="1476"/>
      <c r="J88" s="1476"/>
      <c r="K88" s="1476"/>
      <c r="L88" s="1476"/>
      <c r="M88" s="1195"/>
      <c r="N88" s="698"/>
      <c r="O88" s="698"/>
      <c r="P88" s="698"/>
      <c r="Q88" s="698"/>
      <c r="R88" s="698"/>
      <c r="S88" s="698"/>
      <c r="T88" s="698"/>
      <c r="U88" s="698"/>
      <c r="V88" s="698"/>
      <c r="W88" s="698"/>
    </row>
    <row r="89" spans="1:23" s="1394" customFormat="1" ht="15" thickBot="1" x14ac:dyDescent="0.4">
      <c r="B89" s="1636" t="s">
        <v>2509</v>
      </c>
      <c r="C89" s="1637">
        <v>6.2176099999999996</v>
      </c>
      <c r="D89" s="1478"/>
      <c r="E89" s="1476"/>
      <c r="F89" s="1476"/>
      <c r="G89" s="1476"/>
      <c r="H89" s="1476"/>
      <c r="I89" s="1476"/>
      <c r="J89" s="1476"/>
      <c r="K89" s="1476"/>
      <c r="L89" s="1476"/>
      <c r="M89" s="1195"/>
      <c r="N89" s="698"/>
      <c r="O89" s="698"/>
      <c r="P89" s="698"/>
      <c r="Q89" s="698"/>
      <c r="R89" s="698"/>
      <c r="S89" s="698"/>
      <c r="T89" s="698"/>
      <c r="U89" s="698"/>
      <c r="V89" s="698"/>
      <c r="W89" s="698"/>
    </row>
    <row r="90" spans="1:23" s="1394" customFormat="1" x14ac:dyDescent="0.35">
      <c r="D90" s="1478"/>
      <c r="E90" s="1476"/>
      <c r="F90" s="1476"/>
      <c r="G90" s="1476"/>
      <c r="H90" s="1476"/>
      <c r="I90" s="1476"/>
      <c r="J90" s="1476"/>
      <c r="K90" s="1476"/>
      <c r="L90" s="1476"/>
      <c r="M90" s="1195"/>
      <c r="N90" s="698"/>
      <c r="O90" s="698"/>
      <c r="P90" s="698"/>
      <c r="Q90" s="698"/>
      <c r="R90" s="698"/>
      <c r="S90" s="698"/>
      <c r="T90" s="698"/>
      <c r="U90" s="698"/>
      <c r="V90" s="698"/>
      <c r="W90" s="698"/>
    </row>
    <row r="91" spans="1:23" s="1394" customFormat="1" x14ac:dyDescent="0.35">
      <c r="E91" s="1476"/>
      <c r="F91" s="1476"/>
      <c r="G91" s="1476"/>
      <c r="H91" s="1476"/>
      <c r="I91" s="1476"/>
      <c r="J91" s="1476"/>
      <c r="K91" s="1476"/>
      <c r="L91" s="1476"/>
      <c r="M91" s="1195"/>
      <c r="N91" s="698"/>
      <c r="O91" s="698"/>
      <c r="P91" s="698"/>
      <c r="Q91" s="698"/>
      <c r="R91" s="698"/>
      <c r="S91" s="698"/>
      <c r="T91" s="698"/>
      <c r="U91" s="698"/>
      <c r="V91" s="698"/>
      <c r="W91" s="698"/>
    </row>
    <row r="92" spans="1:23" s="1394" customFormat="1" ht="21" x14ac:dyDescent="0.5">
      <c r="A92" s="1395" t="s">
        <v>2014</v>
      </c>
      <c r="E92" s="1476"/>
      <c r="F92" s="1476"/>
      <c r="G92" s="1476"/>
      <c r="H92" s="1476"/>
      <c r="I92" s="1476"/>
      <c r="J92" s="1476"/>
      <c r="K92" s="1476"/>
      <c r="L92" s="1476"/>
      <c r="M92" s="1195"/>
      <c r="N92" s="698"/>
      <c r="O92" s="698"/>
      <c r="P92" s="698"/>
      <c r="Q92" s="698"/>
      <c r="R92" s="698"/>
      <c r="S92" s="698"/>
      <c r="T92" s="698"/>
      <c r="U92" s="698"/>
      <c r="V92" s="698"/>
      <c r="W92" s="698"/>
    </row>
    <row r="93" spans="1:23" s="1394" customFormat="1" ht="21.5" thickBot="1" x14ac:dyDescent="0.55000000000000004">
      <c r="A93" s="1395"/>
      <c r="B93" s="1394" t="s">
        <v>2510</v>
      </c>
      <c r="E93" s="1476"/>
      <c r="F93" s="1476"/>
      <c r="G93" s="1476"/>
      <c r="H93" s="1476"/>
      <c r="I93" s="1476"/>
      <c r="J93" s="1476"/>
      <c r="K93" s="1476"/>
      <c r="L93" s="1476"/>
      <c r="M93" s="1195"/>
      <c r="N93" s="698"/>
      <c r="O93" s="698"/>
      <c r="P93" s="698"/>
      <c r="Q93" s="698"/>
      <c r="R93" s="698"/>
      <c r="S93" s="698"/>
      <c r="T93" s="698"/>
      <c r="U93" s="698"/>
      <c r="V93" s="698"/>
      <c r="W93" s="698"/>
    </row>
    <row r="94" spans="1:23" s="1394" customFormat="1" ht="21.5" thickBot="1" x14ac:dyDescent="0.55000000000000004">
      <c r="A94" s="1395"/>
      <c r="B94" s="1638" t="s">
        <v>2511</v>
      </c>
      <c r="C94" s="1639" t="s">
        <v>2512</v>
      </c>
      <c r="D94" s="1640" t="s">
        <v>2041</v>
      </c>
      <c r="E94" s="1476"/>
      <c r="F94" s="1476"/>
      <c r="G94" s="1476"/>
      <c r="H94" s="1476"/>
      <c r="I94" s="1476"/>
      <c r="J94" s="1476"/>
      <c r="K94" s="1476"/>
      <c r="L94" s="1476"/>
      <c r="M94" s="1195"/>
      <c r="N94" s="698"/>
      <c r="O94" s="698"/>
      <c r="P94" s="698"/>
      <c r="Q94" s="698"/>
      <c r="R94" s="698"/>
      <c r="S94" s="698"/>
      <c r="T94" s="698"/>
      <c r="U94" s="698"/>
      <c r="V94" s="698"/>
      <c r="W94" s="698"/>
    </row>
    <row r="95" spans="1:23" s="1394" customFormat="1" ht="21" x14ac:dyDescent="0.5">
      <c r="A95" s="1395"/>
      <c r="B95" s="1641">
        <v>150</v>
      </c>
      <c r="C95" s="1642">
        <f>B95*150/10</f>
        <v>2250</v>
      </c>
      <c r="D95" s="1643">
        <v>3</v>
      </c>
      <c r="E95" s="1476"/>
      <c r="F95" s="1476"/>
      <c r="G95" s="1476"/>
      <c r="H95" s="1476"/>
      <c r="I95" s="1476"/>
      <c r="J95" s="1476"/>
      <c r="K95" s="1476"/>
      <c r="L95" s="1476"/>
      <c r="M95" s="1195"/>
      <c r="N95" s="698"/>
      <c r="O95" s="698"/>
      <c r="P95" s="698"/>
      <c r="Q95" s="698"/>
      <c r="R95" s="698"/>
      <c r="S95" s="698"/>
      <c r="T95" s="698"/>
      <c r="U95" s="698"/>
      <c r="V95" s="698"/>
      <c r="W95" s="698"/>
    </row>
    <row r="96" spans="1:23" s="1394" customFormat="1" ht="21" x14ac:dyDescent="0.5">
      <c r="A96" s="1395"/>
      <c r="B96" s="1644">
        <v>250</v>
      </c>
      <c r="C96" s="1645">
        <f t="shared" ref="C96:C99" si="0">B96*150/10</f>
        <v>3750</v>
      </c>
      <c r="D96" s="1646">
        <v>4</v>
      </c>
      <c r="E96" s="1476"/>
      <c r="F96" s="1476"/>
      <c r="G96" s="1476"/>
      <c r="H96" s="1476"/>
      <c r="I96" s="1476"/>
      <c r="J96" s="1476"/>
      <c r="K96" s="1476"/>
      <c r="L96" s="1476"/>
      <c r="M96" s="1195"/>
      <c r="N96" s="698"/>
      <c r="O96" s="698"/>
      <c r="P96" s="698"/>
      <c r="Q96" s="698"/>
      <c r="R96" s="698"/>
      <c r="S96" s="698"/>
      <c r="T96" s="698"/>
      <c r="U96" s="698"/>
      <c r="V96" s="698"/>
      <c r="W96" s="698"/>
    </row>
    <row r="97" spans="1:28" s="1394" customFormat="1" ht="21" x14ac:dyDescent="0.5">
      <c r="A97" s="1395"/>
      <c r="B97" s="1647">
        <v>350</v>
      </c>
      <c r="C97" s="1648">
        <f t="shared" si="0"/>
        <v>5250</v>
      </c>
      <c r="D97" s="1649">
        <v>4</v>
      </c>
      <c r="E97" s="1476"/>
      <c r="F97" s="1476"/>
      <c r="G97" s="1476"/>
      <c r="H97" s="1476"/>
      <c r="I97" s="1476"/>
      <c r="J97" s="1476"/>
      <c r="K97" s="1476"/>
      <c r="L97" s="1476"/>
      <c r="M97" s="1195"/>
      <c r="N97" s="698"/>
      <c r="O97" s="698"/>
      <c r="P97" s="698"/>
      <c r="Q97" s="698"/>
      <c r="R97" s="698"/>
      <c r="S97" s="698"/>
      <c r="T97" s="698"/>
      <c r="U97" s="698"/>
      <c r="V97" s="698"/>
      <c r="W97" s="698"/>
    </row>
    <row r="98" spans="1:28" s="1394" customFormat="1" ht="21" x14ac:dyDescent="0.5">
      <c r="A98" s="1395"/>
      <c r="B98" s="1644">
        <v>500</v>
      </c>
      <c r="C98" s="1645">
        <f t="shared" si="0"/>
        <v>7500</v>
      </c>
      <c r="D98" s="1646">
        <v>10</v>
      </c>
      <c r="E98" s="1476"/>
      <c r="F98" s="1476"/>
      <c r="G98" s="1476"/>
      <c r="H98" s="1476"/>
      <c r="I98" s="1476"/>
      <c r="J98" s="1476"/>
      <c r="K98" s="1476"/>
      <c r="L98" s="1476"/>
      <c r="M98" s="1195"/>
      <c r="N98" s="698"/>
      <c r="O98" s="698"/>
      <c r="P98" s="698"/>
      <c r="Q98" s="698"/>
      <c r="R98" s="698"/>
      <c r="S98" s="698"/>
      <c r="T98" s="698"/>
      <c r="U98" s="698"/>
      <c r="V98" s="698"/>
      <c r="W98" s="698"/>
    </row>
    <row r="99" spans="1:28" s="1394" customFormat="1" ht="21.5" thickBot="1" x14ac:dyDescent="0.55000000000000004">
      <c r="A99" s="1395"/>
      <c r="B99" s="1650">
        <v>600</v>
      </c>
      <c r="C99" s="1651">
        <f t="shared" si="0"/>
        <v>9000</v>
      </c>
      <c r="D99" s="1652">
        <v>3</v>
      </c>
      <c r="E99" s="1476"/>
      <c r="F99" s="1476"/>
      <c r="G99" s="1476"/>
      <c r="H99" s="1476"/>
      <c r="I99" s="1476"/>
      <c r="J99" s="1476"/>
      <c r="K99" s="1476"/>
      <c r="L99" s="1476"/>
      <c r="M99" s="1195"/>
      <c r="N99" s="698"/>
      <c r="O99" s="698"/>
      <c r="P99" s="698"/>
      <c r="Q99" s="698"/>
      <c r="R99" s="698"/>
      <c r="S99" s="698"/>
      <c r="T99" s="698"/>
      <c r="U99" s="698"/>
      <c r="V99" s="698"/>
      <c r="W99" s="698"/>
    </row>
    <row r="100" spans="1:28" s="1394" customFormat="1" x14ac:dyDescent="0.35">
      <c r="E100" s="1476"/>
      <c r="F100" s="1476"/>
      <c r="G100" s="1476"/>
      <c r="H100" s="1476"/>
      <c r="I100" s="1476"/>
      <c r="J100" s="1476"/>
      <c r="K100" s="1476"/>
      <c r="L100" s="1476"/>
      <c r="M100" s="1195"/>
      <c r="N100" s="698"/>
      <c r="O100" s="698"/>
      <c r="P100" s="698"/>
      <c r="Q100" s="698"/>
      <c r="R100" s="698"/>
      <c r="S100" s="698"/>
      <c r="T100" s="698"/>
      <c r="U100" s="698"/>
      <c r="V100" s="698"/>
      <c r="W100" s="698"/>
    </row>
    <row r="101" spans="1:28" s="1394" customFormat="1" ht="15" customHeight="1" thickBot="1" x14ac:dyDescent="0.4">
      <c r="B101" s="1653"/>
      <c r="E101" s="1476"/>
      <c r="F101" s="1476"/>
      <c r="G101" s="1476"/>
      <c r="I101" s="1476"/>
      <c r="J101" s="1476"/>
      <c r="K101" s="1476"/>
      <c r="L101" s="1476"/>
      <c r="M101" s="1195"/>
      <c r="N101" s="698"/>
      <c r="O101" s="698"/>
      <c r="P101" s="698"/>
      <c r="Q101" s="698"/>
      <c r="R101" s="698"/>
      <c r="S101" s="698"/>
      <c r="T101" s="698"/>
      <c r="U101" s="698"/>
      <c r="V101" s="698"/>
      <c r="W101" s="698"/>
    </row>
    <row r="102" spans="1:28" s="1394" customFormat="1" ht="43.5" x14ac:dyDescent="0.35">
      <c r="B102" s="1654" t="s">
        <v>2513</v>
      </c>
      <c r="C102" s="1655" t="s">
        <v>2514</v>
      </c>
      <c r="I102" s="1476"/>
      <c r="J102" s="1476"/>
      <c r="K102" s="1476"/>
      <c r="L102" s="1476"/>
      <c r="M102" s="1195"/>
      <c r="N102" s="698"/>
      <c r="O102" s="698"/>
      <c r="P102" s="698"/>
      <c r="Q102" s="698"/>
      <c r="R102" s="698"/>
      <c r="S102" s="698"/>
      <c r="T102" s="698"/>
      <c r="U102" s="698"/>
      <c r="V102" s="698"/>
      <c r="W102" s="698"/>
    </row>
    <row r="103" spans="1:28" s="1394" customFormat="1" x14ac:dyDescent="0.35">
      <c r="B103" s="1656">
        <v>75</v>
      </c>
      <c r="C103" s="1657">
        <v>0.1</v>
      </c>
      <c r="E103" s="1476"/>
      <c r="F103" s="1476"/>
      <c r="G103" s="1476"/>
      <c r="I103" s="1476"/>
      <c r="J103" s="1476"/>
      <c r="K103" s="1476"/>
      <c r="L103" s="1476"/>
      <c r="M103" s="1195"/>
      <c r="N103" s="698"/>
      <c r="O103" s="698"/>
      <c r="P103" s="698"/>
      <c r="Q103" s="698"/>
      <c r="R103" s="698"/>
      <c r="S103" s="698"/>
      <c r="T103" s="698"/>
      <c r="U103" s="698"/>
      <c r="V103" s="698"/>
      <c r="W103" s="698"/>
    </row>
    <row r="104" spans="1:28" s="1394" customFormat="1" x14ac:dyDescent="0.35">
      <c r="B104" s="1658">
        <v>85</v>
      </c>
      <c r="C104" s="1659">
        <v>0.2</v>
      </c>
      <c r="E104" s="1476"/>
      <c r="F104" s="1476"/>
      <c r="G104" s="1476"/>
      <c r="I104" s="1476"/>
      <c r="J104" s="1476"/>
      <c r="K104" s="1476"/>
      <c r="L104" s="1476"/>
      <c r="M104" s="1195"/>
      <c r="N104" s="698"/>
      <c r="O104" s="698"/>
      <c r="P104" s="698"/>
      <c r="Q104" s="698"/>
      <c r="R104" s="698"/>
      <c r="S104" s="698"/>
      <c r="T104" s="698"/>
      <c r="U104" s="698"/>
      <c r="V104" s="698"/>
      <c r="W104" s="698"/>
    </row>
    <row r="105" spans="1:28" s="1394" customFormat="1" x14ac:dyDescent="0.35">
      <c r="B105" s="1656">
        <v>95</v>
      </c>
      <c r="C105" s="1660">
        <v>0.5</v>
      </c>
      <c r="E105" s="1476"/>
      <c r="F105" s="1476"/>
      <c r="G105" s="1476"/>
      <c r="I105" s="1476"/>
      <c r="J105" s="1476"/>
      <c r="K105" s="1476"/>
      <c r="L105" s="1476"/>
      <c r="M105" s="1195"/>
      <c r="N105" s="698"/>
      <c r="O105" s="698"/>
      <c r="P105" s="698"/>
      <c r="Q105" s="698"/>
      <c r="R105" s="698"/>
      <c r="S105" s="698"/>
      <c r="T105" s="698"/>
      <c r="U105" s="698"/>
      <c r="V105" s="698"/>
      <c r="W105" s="698"/>
    </row>
    <row r="106" spans="1:28" s="1394" customFormat="1" ht="15" thickBot="1" x14ac:dyDescent="0.4">
      <c r="B106" s="1661">
        <v>105</v>
      </c>
      <c r="C106" s="1662">
        <v>0.2</v>
      </c>
      <c r="D106" s="1487" t="str">
        <f>IF(SUM(C103:C106)&lt;&gt;1,"Participation must add up to 100%","")</f>
        <v/>
      </c>
      <c r="M106" s="1195"/>
      <c r="N106" s="698"/>
      <c r="O106" s="698"/>
      <c r="P106" s="698"/>
      <c r="Q106" s="698"/>
      <c r="R106" s="698"/>
      <c r="S106" s="698"/>
      <c r="T106" s="698"/>
      <c r="U106" s="698"/>
      <c r="V106" s="698"/>
      <c r="W106" s="698"/>
    </row>
    <row r="107" spans="1:28" s="1394" customFormat="1" x14ac:dyDescent="0.35">
      <c r="M107" s="1195"/>
      <c r="N107" s="698"/>
      <c r="O107" s="698"/>
      <c r="P107" s="698"/>
      <c r="Q107" s="698"/>
      <c r="R107" s="698"/>
      <c r="S107" s="698"/>
      <c r="T107" s="698"/>
      <c r="U107" s="698"/>
      <c r="V107" s="698"/>
      <c r="W107" s="698"/>
    </row>
    <row r="108" spans="1:28" s="1394" customFormat="1" ht="15" thickBot="1" x14ac:dyDescent="0.4">
      <c r="M108" s="1195"/>
      <c r="N108" s="698"/>
      <c r="O108" s="698"/>
      <c r="P108" s="698"/>
      <c r="Q108" s="698"/>
      <c r="R108" s="698"/>
      <c r="S108" s="698"/>
      <c r="T108" s="698"/>
      <c r="U108" s="698"/>
      <c r="V108" s="698"/>
      <c r="W108" s="698"/>
    </row>
    <row r="109" spans="1:28" s="1394" customFormat="1" ht="43.5" x14ac:dyDescent="0.35">
      <c r="B109" s="1663" t="s">
        <v>1389</v>
      </c>
      <c r="C109" s="1655" t="s">
        <v>2514</v>
      </c>
      <c r="M109" s="1195"/>
      <c r="N109" s="698"/>
      <c r="O109" s="698"/>
      <c r="P109" s="698"/>
      <c r="Q109" s="698"/>
      <c r="R109" s="698"/>
      <c r="S109" s="698"/>
      <c r="T109" s="698"/>
      <c r="U109" s="698"/>
      <c r="V109" s="698"/>
      <c r="W109" s="698"/>
    </row>
    <row r="110" spans="1:28" s="1394" customFormat="1" ht="18.5" x14ac:dyDescent="0.45">
      <c r="B110" s="1664">
        <v>8766</v>
      </c>
      <c r="C110" s="1657">
        <v>0.2</v>
      </c>
      <c r="J110" s="1492"/>
      <c r="L110" s="1492"/>
      <c r="M110" s="1492"/>
      <c r="N110" s="1492"/>
      <c r="O110" s="1492"/>
      <c r="P110" s="1492"/>
      <c r="Q110" s="1492"/>
      <c r="R110" s="1492"/>
      <c r="S110" s="698"/>
      <c r="T110" s="698"/>
      <c r="U110" s="698"/>
      <c r="V110" s="698"/>
      <c r="W110" s="698"/>
      <c r="X110" s="1492"/>
      <c r="Y110" s="1492"/>
      <c r="Z110" s="1492"/>
      <c r="AA110" s="1492"/>
      <c r="AB110" s="1492"/>
    </row>
    <row r="111" spans="1:28" s="1394" customFormat="1" ht="15" customHeight="1" x14ac:dyDescent="0.35">
      <c r="B111" s="1665">
        <v>7300</v>
      </c>
      <c r="C111" s="1659">
        <v>0.2</v>
      </c>
      <c r="E111" s="1494"/>
      <c r="F111" s="1495"/>
      <c r="G111" s="1494"/>
      <c r="I111" s="1494"/>
      <c r="J111" s="1495"/>
      <c r="K111" s="1494"/>
      <c r="L111" s="1495"/>
      <c r="M111" s="1496"/>
      <c r="N111" s="1495"/>
      <c r="O111" s="1495"/>
      <c r="P111" s="1496"/>
      <c r="S111" s="698"/>
    </row>
    <row r="112" spans="1:28" s="1394" customFormat="1" x14ac:dyDescent="0.35">
      <c r="B112" s="1664">
        <v>5266</v>
      </c>
      <c r="C112" s="1666">
        <v>0.5</v>
      </c>
      <c r="D112" s="1498"/>
      <c r="E112" s="1498"/>
      <c r="F112" s="1495"/>
      <c r="G112" s="1498"/>
      <c r="I112" s="1498"/>
      <c r="J112" s="1495"/>
      <c r="K112" s="1498"/>
      <c r="L112" s="1495"/>
      <c r="M112" s="1495"/>
      <c r="N112" s="1495"/>
      <c r="O112" s="1495"/>
      <c r="P112" s="1496"/>
    </row>
    <row r="113" spans="1:29" s="1394" customFormat="1" ht="15" thickBot="1" x14ac:dyDescent="0.4">
      <c r="B113" s="1667">
        <v>3911</v>
      </c>
      <c r="C113" s="1668">
        <v>0.1</v>
      </c>
      <c r="D113" s="1487" t="str">
        <f>IF(SUM(C110:C113)&lt;&gt;1,"Participation must add up to 100%","")</f>
        <v/>
      </c>
    </row>
    <row r="114" spans="1:29" s="1394" customFormat="1" ht="15" thickBot="1" x14ac:dyDescent="0.4"/>
    <row r="115" spans="1:29" s="1394" customFormat="1" ht="43.5" x14ac:dyDescent="0.35">
      <c r="B115" s="1654" t="s">
        <v>353</v>
      </c>
      <c r="C115" s="1669" t="s">
        <v>2515</v>
      </c>
      <c r="D115" s="1655" t="s">
        <v>2514</v>
      </c>
    </row>
    <row r="116" spans="1:29" s="1394" customFormat="1" x14ac:dyDescent="0.35">
      <c r="B116" s="1656">
        <v>1</v>
      </c>
      <c r="C116" s="1670" t="s">
        <v>2478</v>
      </c>
      <c r="D116" s="1671">
        <v>0</v>
      </c>
    </row>
    <row r="117" spans="1:29" s="1394" customFormat="1" x14ac:dyDescent="0.35">
      <c r="B117" s="1658">
        <v>2</v>
      </c>
      <c r="C117" s="1672" t="s">
        <v>2479</v>
      </c>
      <c r="D117" s="1659">
        <v>0.25</v>
      </c>
    </row>
    <row r="118" spans="1:29" s="1394" customFormat="1" x14ac:dyDescent="0.35">
      <c r="B118" s="1656">
        <v>3</v>
      </c>
      <c r="C118" s="1670" t="s">
        <v>614</v>
      </c>
      <c r="D118" s="1671">
        <v>0.6</v>
      </c>
    </row>
    <row r="119" spans="1:29" s="1394" customFormat="1" x14ac:dyDescent="0.35">
      <c r="B119" s="1658">
        <v>4</v>
      </c>
      <c r="C119" s="1672" t="s">
        <v>2481</v>
      </c>
      <c r="D119" s="1659">
        <v>0.15</v>
      </c>
    </row>
    <row r="120" spans="1:29" s="1394" customFormat="1" ht="15" thickBot="1" x14ac:dyDescent="0.4">
      <c r="B120" s="1673">
        <v>5</v>
      </c>
      <c r="C120" s="1674" t="s">
        <v>2482</v>
      </c>
      <c r="D120" s="1675">
        <v>0</v>
      </c>
      <c r="E120" s="1487" t="str">
        <f>IF(SUM(D116:D120)&lt;&gt;1,"Participation must add up to 100%","")</f>
        <v/>
      </c>
    </row>
    <row r="121" spans="1:29" s="1394" customFormat="1" x14ac:dyDescent="0.35"/>
    <row r="122" spans="1:29" s="1394" customFormat="1" ht="21.5" thickBot="1" x14ac:dyDescent="0.55000000000000004">
      <c r="A122" s="1395" t="s">
        <v>2036</v>
      </c>
    </row>
    <row r="123" spans="1:29" s="1394" customFormat="1" ht="15.75" customHeight="1" thickBot="1" x14ac:dyDescent="0.4">
      <c r="M123" s="3112" t="s">
        <v>2516</v>
      </c>
      <c r="N123" s="3113"/>
      <c r="O123" s="3113"/>
      <c r="P123" s="3113"/>
      <c r="Q123" s="3113"/>
      <c r="R123" s="3113"/>
      <c r="S123" s="3113"/>
      <c r="T123" s="3114"/>
    </row>
    <row r="124" spans="1:29" s="1394" customFormat="1" ht="26.25" customHeight="1" thickBot="1" x14ac:dyDescent="0.5">
      <c r="A124" s="1394" t="s">
        <v>2517</v>
      </c>
      <c r="B124" s="3118" t="s">
        <v>2182</v>
      </c>
      <c r="C124" s="3119"/>
      <c r="D124" s="3119"/>
      <c r="E124" s="3119"/>
      <c r="F124" s="3119"/>
      <c r="G124" s="3119"/>
      <c r="H124" s="3119"/>
      <c r="I124" s="3119"/>
      <c r="J124" s="3119"/>
      <c r="K124" s="3120"/>
      <c r="M124" s="3115"/>
      <c r="N124" s="3116"/>
      <c r="O124" s="3116"/>
      <c r="P124" s="3116"/>
      <c r="Q124" s="3116"/>
      <c r="R124" s="3116"/>
      <c r="S124" s="3116"/>
      <c r="T124" s="3117"/>
      <c r="Y124" s="3102" t="s">
        <v>2518</v>
      </c>
      <c r="Z124" s="3103"/>
      <c r="AA124" s="3103"/>
      <c r="AB124" s="3103"/>
      <c r="AC124" s="3104"/>
    </row>
    <row r="125" spans="1:29" s="1394" customFormat="1" ht="44" thickBot="1" x14ac:dyDescent="0.4">
      <c r="B125" s="1676" t="s">
        <v>1389</v>
      </c>
      <c r="C125" s="1677" t="s">
        <v>2519</v>
      </c>
      <c r="D125" s="1677" t="s">
        <v>2513</v>
      </c>
      <c r="E125" s="1677" t="s">
        <v>2520</v>
      </c>
      <c r="F125" s="1678" t="s">
        <v>353</v>
      </c>
      <c r="G125" s="1677" t="s">
        <v>2521</v>
      </c>
      <c r="H125" s="1679" t="s">
        <v>2522</v>
      </c>
      <c r="I125" s="1680" t="s">
        <v>2523</v>
      </c>
      <c r="M125" s="1638" t="s">
        <v>2511</v>
      </c>
      <c r="N125" s="1639" t="s">
        <v>2512</v>
      </c>
      <c r="O125" s="1640" t="s">
        <v>2041</v>
      </c>
      <c r="P125" s="1681" t="s">
        <v>2524</v>
      </c>
      <c r="Q125" s="1681" t="s">
        <v>2525</v>
      </c>
      <c r="R125" s="1681" t="s">
        <v>2526</v>
      </c>
      <c r="S125" s="1681" t="s">
        <v>2527</v>
      </c>
      <c r="T125" s="1681" t="s">
        <v>2528</v>
      </c>
      <c r="Y125" s="1681" t="s">
        <v>2529</v>
      </c>
      <c r="Z125" s="1681" t="s">
        <v>709</v>
      </c>
      <c r="AA125" s="1681" t="s">
        <v>2530</v>
      </c>
      <c r="AB125" s="1681" t="s">
        <v>2184</v>
      </c>
      <c r="AC125" s="1681" t="s">
        <v>377</v>
      </c>
    </row>
    <row r="126" spans="1:29" s="1394" customFormat="1" ht="29.5" thickBot="1" x14ac:dyDescent="0.4">
      <c r="B126" s="1682">
        <v>8766</v>
      </c>
      <c r="C126" s="1683">
        <f>VLOOKUP($B126,$B$110:$C$113,2,FALSE)</f>
        <v>0.2</v>
      </c>
      <c r="D126" s="1682">
        <v>75</v>
      </c>
      <c r="E126" s="1683">
        <f>VLOOKUP($D126,$B$103:$C$106,2,FALSE)</f>
        <v>0.1</v>
      </c>
      <c r="F126" s="1682" t="s">
        <v>2478</v>
      </c>
      <c r="G126" s="1683">
        <f>VLOOKUP($F126,$C$116:$D$120,2,FALSE)</f>
        <v>0</v>
      </c>
      <c r="H126" s="1684">
        <f>D43</f>
        <v>216145</v>
      </c>
      <c r="I126" s="1685">
        <f>H126*G126*E126*C126</f>
        <v>0</v>
      </c>
      <c r="K126" s="1686" t="s">
        <v>2531</v>
      </c>
      <c r="M126" s="1641">
        <f t="shared" ref="M126:O130" si="1">B95</f>
        <v>150</v>
      </c>
      <c r="N126" s="1642">
        <f t="shared" si="1"/>
        <v>2250</v>
      </c>
      <c r="O126" s="1643">
        <f t="shared" si="1"/>
        <v>3</v>
      </c>
      <c r="P126" s="1687">
        <f>$K$127*N126*(1/$C$76-1/$C$77)/100000</f>
        <v>526.35160937499995</v>
      </c>
      <c r="Q126" s="1687">
        <f>-$K$133*N126*$C$78/($C$79*8520)</f>
        <v>-411.79357394366195</v>
      </c>
      <c r="R126" s="1687">
        <f>(Q126/$K$133)*$C$80</f>
        <v>-6.6021126760563376E-2</v>
      </c>
      <c r="S126" s="1687">
        <f>$C$89*M126</f>
        <v>932.64149999999995</v>
      </c>
      <c r="T126" s="1687">
        <f>B$83*M126</f>
        <v>813</v>
      </c>
      <c r="Y126" s="1687">
        <f>P126*O126</f>
        <v>1579.0548281249999</v>
      </c>
      <c r="Z126" s="1687">
        <f>Q126*O126</f>
        <v>-1235.3807218309857</v>
      </c>
      <c r="AA126" s="1687">
        <f>R126*O126</f>
        <v>-0.19806338028169013</v>
      </c>
      <c r="AB126" s="1687">
        <f>S126*O126</f>
        <v>2797.9245000000001</v>
      </c>
      <c r="AC126" s="1687">
        <f>T126*O126</f>
        <v>2439</v>
      </c>
    </row>
    <row r="127" spans="1:29" s="1394" customFormat="1" ht="15" thickBot="1" x14ac:dyDescent="0.4">
      <c r="B127" s="1682">
        <v>8766</v>
      </c>
      <c r="C127" s="1683">
        <f>VLOOKUP($B127,$B$110:$C$113,2,FALSE)</f>
        <v>0.2</v>
      </c>
      <c r="D127" s="1682">
        <v>75</v>
      </c>
      <c r="E127" s="1683">
        <f t="shared" ref="E127:E190" si="2">VLOOKUP($D127,$B$103:$C$106,2,FALSE)</f>
        <v>0.1</v>
      </c>
      <c r="F127" s="1682" t="s">
        <v>2479</v>
      </c>
      <c r="G127" s="1683">
        <f t="shared" ref="G127:G190" si="3">VLOOKUP($F127,$C$116:$D$120,2,FALSE)</f>
        <v>0.25</v>
      </c>
      <c r="H127" s="1684">
        <f t="shared" ref="H127:H130" si="4">D44</f>
        <v>203850</v>
      </c>
      <c r="I127" s="1685">
        <f t="shared" ref="I127:I190" si="5">H127*G127*E127*C127</f>
        <v>1019.25</v>
      </c>
      <c r="K127" s="1688">
        <f>SUM(I126:I205)</f>
        <v>168432.51500000001</v>
      </c>
      <c r="M127" s="1644">
        <f t="shared" si="1"/>
        <v>250</v>
      </c>
      <c r="N127" s="1645">
        <f t="shared" si="1"/>
        <v>3750</v>
      </c>
      <c r="O127" s="1646">
        <f t="shared" si="1"/>
        <v>4</v>
      </c>
      <c r="P127" s="1689">
        <f>$K$127*N127*(1/$C$76-1/$C$77)/100000</f>
        <v>877.25268229166647</v>
      </c>
      <c r="Q127" s="1689">
        <f>-$K$133*N127*$C$78/($C$79*8520)</f>
        <v>-686.32262323943667</v>
      </c>
      <c r="R127" s="1689">
        <f>(Q127/$K$133)*$C$80</f>
        <v>-0.11003521126760564</v>
      </c>
      <c r="S127" s="1689">
        <f t="shared" ref="S127:S130" si="6">$C$89*M127</f>
        <v>1554.4024999999999</v>
      </c>
      <c r="T127" s="1689">
        <f t="shared" ref="T127:T130" si="7">B$83*M127</f>
        <v>1355</v>
      </c>
      <c r="Y127" s="1689">
        <f>P127*O127</f>
        <v>3509.0107291666659</v>
      </c>
      <c r="Z127" s="1689">
        <f>Q127*O127</f>
        <v>-2745.2904929577467</v>
      </c>
      <c r="AA127" s="1689">
        <f>R127*O127</f>
        <v>-0.44014084507042256</v>
      </c>
      <c r="AB127" s="1689">
        <f t="shared" ref="AB127:AB130" si="8">S127*O127</f>
        <v>6217.61</v>
      </c>
      <c r="AC127" s="1689">
        <f t="shared" ref="AC127:AC130" si="9">T127*O127</f>
        <v>5420</v>
      </c>
    </row>
    <row r="128" spans="1:29" s="1394" customFormat="1" ht="18.75" customHeight="1" x14ac:dyDescent="0.35">
      <c r="B128" s="1682">
        <v>8766</v>
      </c>
      <c r="C128" s="1683">
        <f t="shared" ref="C128:C191" si="10">VLOOKUP($B128,$B$110:$C$113,2,FALSE)</f>
        <v>0.2</v>
      </c>
      <c r="D128" s="1682">
        <v>75</v>
      </c>
      <c r="E128" s="1683">
        <f t="shared" si="2"/>
        <v>0.1</v>
      </c>
      <c r="F128" s="1682" t="s">
        <v>614</v>
      </c>
      <c r="G128" s="1683">
        <f t="shared" si="3"/>
        <v>0.6</v>
      </c>
      <c r="H128" s="1684">
        <f t="shared" si="4"/>
        <v>172329</v>
      </c>
      <c r="I128" s="1685">
        <f t="shared" si="5"/>
        <v>2067.9479999999999</v>
      </c>
      <c r="M128" s="1647">
        <f t="shared" si="1"/>
        <v>350</v>
      </c>
      <c r="N128" s="1648">
        <f t="shared" si="1"/>
        <v>5250</v>
      </c>
      <c r="O128" s="1649">
        <f t="shared" si="1"/>
        <v>4</v>
      </c>
      <c r="P128" s="1690">
        <f>$K$127*N128*(1/$C$76-1/$C$77)/100000</f>
        <v>1228.1537552083332</v>
      </c>
      <c r="Q128" s="1690">
        <f>-$K$133*N128*$C$78/($C$79*8520)</f>
        <v>-960.85167253521126</v>
      </c>
      <c r="R128" s="1690">
        <f>(Q128/$K$133)*$C$80</f>
        <v>-0.15404929577464788</v>
      </c>
      <c r="S128" s="1690">
        <f t="shared" si="6"/>
        <v>2176.1634999999997</v>
      </c>
      <c r="T128" s="1690">
        <f t="shared" si="7"/>
        <v>1897</v>
      </c>
      <c r="Y128" s="1690">
        <f>P128*O128</f>
        <v>4912.6150208333329</v>
      </c>
      <c r="Z128" s="1690">
        <f>Q128*O128</f>
        <v>-3843.4066901408451</v>
      </c>
      <c r="AA128" s="1690">
        <f>R128*O128</f>
        <v>-0.61619718309859151</v>
      </c>
      <c r="AB128" s="1690">
        <f t="shared" si="8"/>
        <v>8704.6539999999986</v>
      </c>
      <c r="AC128" s="1690">
        <f t="shared" si="9"/>
        <v>7588</v>
      </c>
    </row>
    <row r="129" spans="2:29" s="1394" customFormat="1" ht="15" thickBot="1" x14ac:dyDescent="0.4">
      <c r="B129" s="1682">
        <v>8766</v>
      </c>
      <c r="C129" s="1683">
        <f t="shared" si="10"/>
        <v>0.2</v>
      </c>
      <c r="D129" s="1682">
        <v>75</v>
      </c>
      <c r="E129" s="1683">
        <f t="shared" si="2"/>
        <v>0.1</v>
      </c>
      <c r="F129" s="1682" t="s">
        <v>2481</v>
      </c>
      <c r="G129" s="1683">
        <f t="shared" si="3"/>
        <v>0.15</v>
      </c>
      <c r="H129" s="1684">
        <f t="shared" si="4"/>
        <v>127248</v>
      </c>
      <c r="I129" s="1685">
        <f t="shared" si="5"/>
        <v>381.74400000000009</v>
      </c>
      <c r="M129" s="1644">
        <f t="shared" si="1"/>
        <v>500</v>
      </c>
      <c r="N129" s="1645">
        <f t="shared" si="1"/>
        <v>7500</v>
      </c>
      <c r="O129" s="1646">
        <f t="shared" si="1"/>
        <v>10</v>
      </c>
      <c r="P129" s="1689">
        <f>$K$127*N129*(1/$C$76-1/$C$77)/100000</f>
        <v>1754.5053645833329</v>
      </c>
      <c r="Q129" s="1689">
        <f>-$K$133*N129*$C$78/($C$79*8520)</f>
        <v>-1372.6452464788733</v>
      </c>
      <c r="R129" s="1689">
        <f>(Q129/$K$133)*$C$80</f>
        <v>-0.22007042253521128</v>
      </c>
      <c r="S129" s="1689">
        <f t="shared" si="6"/>
        <v>3108.8049999999998</v>
      </c>
      <c r="T129" s="1689">
        <f t="shared" si="7"/>
        <v>2710</v>
      </c>
      <c r="Y129" s="1689">
        <f>P129*O129</f>
        <v>17545.05364583333</v>
      </c>
      <c r="Z129" s="1689">
        <f>Q129*O129</f>
        <v>-13726.452464788734</v>
      </c>
      <c r="AA129" s="1689">
        <f>R129*O129</f>
        <v>-2.200704225352113</v>
      </c>
      <c r="AB129" s="1689">
        <f t="shared" si="8"/>
        <v>31088.05</v>
      </c>
      <c r="AC129" s="1689">
        <f t="shared" si="9"/>
        <v>27100</v>
      </c>
    </row>
    <row r="130" spans="2:29" s="1394" customFormat="1" ht="15" thickBot="1" x14ac:dyDescent="0.4">
      <c r="B130" s="1691">
        <v>8766</v>
      </c>
      <c r="C130" s="1692">
        <f t="shared" si="10"/>
        <v>0.2</v>
      </c>
      <c r="D130" s="1691">
        <v>75</v>
      </c>
      <c r="E130" s="1692">
        <f t="shared" si="2"/>
        <v>0.1</v>
      </c>
      <c r="F130" s="1691" t="s">
        <v>2482</v>
      </c>
      <c r="G130" s="1692">
        <f t="shared" si="3"/>
        <v>0</v>
      </c>
      <c r="H130" s="1693">
        <f t="shared" si="4"/>
        <v>128817</v>
      </c>
      <c r="I130" s="1694">
        <f t="shared" si="5"/>
        <v>0</v>
      </c>
      <c r="K130" s="3109" t="s">
        <v>2532</v>
      </c>
      <c r="M130" s="1650">
        <f t="shared" si="1"/>
        <v>600</v>
      </c>
      <c r="N130" s="1651">
        <f t="shared" si="1"/>
        <v>9000</v>
      </c>
      <c r="O130" s="1652">
        <f t="shared" si="1"/>
        <v>3</v>
      </c>
      <c r="P130" s="1695">
        <f>$K$127*N130*(1/$C$76-1/$C$77)/100000</f>
        <v>2105.4064374999998</v>
      </c>
      <c r="Q130" s="1695">
        <f>-$K$133*N130*$C$78/($C$79*8520)</f>
        <v>-1647.1742957746478</v>
      </c>
      <c r="R130" s="1695">
        <f>(Q130/$K$133)*$C$80</f>
        <v>-0.2640845070422535</v>
      </c>
      <c r="S130" s="1695">
        <f t="shared" si="6"/>
        <v>3730.5659999999998</v>
      </c>
      <c r="T130" s="1695">
        <f t="shared" si="7"/>
        <v>3252</v>
      </c>
      <c r="Y130" s="1695">
        <f>P130*O130</f>
        <v>6316.2193124999994</v>
      </c>
      <c r="Z130" s="1695">
        <f>Q130*O130</f>
        <v>-4941.522887323943</v>
      </c>
      <c r="AA130" s="1695">
        <f>R130*O130</f>
        <v>-0.79225352112676051</v>
      </c>
      <c r="AB130" s="1695">
        <f t="shared" si="8"/>
        <v>11191.698</v>
      </c>
      <c r="AC130" s="1695">
        <f t="shared" si="9"/>
        <v>9756</v>
      </c>
    </row>
    <row r="131" spans="2:29" s="1394" customFormat="1" ht="19" thickBot="1" x14ac:dyDescent="0.5">
      <c r="B131" s="1696">
        <v>8766</v>
      </c>
      <c r="C131" s="1697">
        <f t="shared" si="10"/>
        <v>0.2</v>
      </c>
      <c r="D131" s="1696">
        <v>85</v>
      </c>
      <c r="E131" s="1697">
        <f t="shared" si="2"/>
        <v>0.2</v>
      </c>
      <c r="F131" s="1696" t="s">
        <v>2478</v>
      </c>
      <c r="G131" s="1697">
        <f t="shared" si="3"/>
        <v>0</v>
      </c>
      <c r="H131" s="1698">
        <f>E43</f>
        <v>268852</v>
      </c>
      <c r="I131" s="1699">
        <f t="shared" si="5"/>
        <v>0</v>
      </c>
      <c r="K131" s="3110"/>
      <c r="P131" s="1492"/>
    </row>
    <row r="132" spans="2:29" s="1394" customFormat="1" ht="19" thickBot="1" x14ac:dyDescent="0.5">
      <c r="B132" s="1696">
        <v>8766</v>
      </c>
      <c r="C132" s="1697">
        <f t="shared" si="10"/>
        <v>0.2</v>
      </c>
      <c r="D132" s="1696">
        <v>85</v>
      </c>
      <c r="E132" s="1697">
        <f t="shared" si="2"/>
        <v>0.2</v>
      </c>
      <c r="F132" s="1696" t="s">
        <v>2479</v>
      </c>
      <c r="G132" s="1697">
        <f t="shared" si="3"/>
        <v>0.25</v>
      </c>
      <c r="H132" s="1698">
        <f t="shared" ref="H132:H135" si="11">E44</f>
        <v>253559</v>
      </c>
      <c r="I132" s="1699">
        <f t="shared" si="5"/>
        <v>2535.59</v>
      </c>
      <c r="K132" s="3111"/>
      <c r="N132" s="1700" t="s">
        <v>2518</v>
      </c>
      <c r="O132" s="1701">
        <f>SUM(O126:O130)</f>
        <v>24</v>
      </c>
      <c r="P132" s="1492"/>
      <c r="X132" s="1700" t="s">
        <v>2518</v>
      </c>
      <c r="Y132" s="1702">
        <f>SUM(Y126:Y130)</f>
        <v>33861.953536458328</v>
      </c>
      <c r="Z132" s="1702">
        <f t="shared" ref="Z132:AC132" si="12">SUM(Z126:Z130)</f>
        <v>-26492.053257042255</v>
      </c>
      <c r="AA132" s="1702">
        <f t="shared" si="12"/>
        <v>-4.2473591549295779</v>
      </c>
      <c r="AB132" s="1702">
        <f t="shared" si="12"/>
        <v>59999.936499999996</v>
      </c>
      <c r="AC132" s="1701">
        <f t="shared" si="12"/>
        <v>52303</v>
      </c>
    </row>
    <row r="133" spans="2:29" s="1394" customFormat="1" ht="19" thickBot="1" x14ac:dyDescent="0.5">
      <c r="B133" s="1696">
        <v>8766</v>
      </c>
      <c r="C133" s="1697">
        <f t="shared" si="10"/>
        <v>0.2</v>
      </c>
      <c r="D133" s="1696">
        <v>85</v>
      </c>
      <c r="E133" s="1697">
        <f t="shared" si="2"/>
        <v>0.2</v>
      </c>
      <c r="F133" s="1696" t="s">
        <v>614</v>
      </c>
      <c r="G133" s="1697">
        <f t="shared" si="3"/>
        <v>0.6</v>
      </c>
      <c r="H133" s="1698">
        <f t="shared" si="11"/>
        <v>214351</v>
      </c>
      <c r="I133" s="1699">
        <f t="shared" si="5"/>
        <v>5144.424</v>
      </c>
      <c r="K133" s="1688">
        <f>SUMPRODUCT(B110:B113,C110:C113)</f>
        <v>6237.3</v>
      </c>
      <c r="P133" s="1492"/>
    </row>
    <row r="134" spans="2:29" s="1394" customFormat="1" ht="18.5" x14ac:dyDescent="0.45">
      <c r="B134" s="1696">
        <v>8766</v>
      </c>
      <c r="C134" s="1697">
        <f t="shared" si="10"/>
        <v>0.2</v>
      </c>
      <c r="D134" s="1696">
        <v>85</v>
      </c>
      <c r="E134" s="1697">
        <f t="shared" si="2"/>
        <v>0.2</v>
      </c>
      <c r="F134" s="1696" t="s">
        <v>2481</v>
      </c>
      <c r="G134" s="1697">
        <f t="shared" si="3"/>
        <v>0.15</v>
      </c>
      <c r="H134" s="1698">
        <f t="shared" si="11"/>
        <v>158278</v>
      </c>
      <c r="I134" s="1699">
        <f t="shared" si="5"/>
        <v>949.66800000000012</v>
      </c>
      <c r="P134" s="1492"/>
    </row>
    <row r="135" spans="2:29" s="1394" customFormat="1" ht="18.5" x14ac:dyDescent="0.45">
      <c r="B135" s="1703">
        <v>8766</v>
      </c>
      <c r="C135" s="1704">
        <f t="shared" si="10"/>
        <v>0.2</v>
      </c>
      <c r="D135" s="1703">
        <v>85</v>
      </c>
      <c r="E135" s="1704">
        <f t="shared" si="2"/>
        <v>0.2</v>
      </c>
      <c r="F135" s="1703" t="s">
        <v>2482</v>
      </c>
      <c r="G135" s="1704">
        <f t="shared" si="3"/>
        <v>0</v>
      </c>
      <c r="H135" s="1705">
        <f t="shared" si="11"/>
        <v>160229</v>
      </c>
      <c r="I135" s="1706">
        <f t="shared" si="5"/>
        <v>0</v>
      </c>
      <c r="P135" s="1492"/>
    </row>
    <row r="136" spans="2:29" s="1394" customFormat="1" ht="18.5" x14ac:dyDescent="0.45">
      <c r="B136" s="1682">
        <v>8766</v>
      </c>
      <c r="C136" s="1683">
        <f t="shared" si="10"/>
        <v>0.2</v>
      </c>
      <c r="D136" s="1682">
        <v>95</v>
      </c>
      <c r="E136" s="1683">
        <f t="shared" si="2"/>
        <v>0.5</v>
      </c>
      <c r="F136" s="1682" t="s">
        <v>2478</v>
      </c>
      <c r="G136" s="1683">
        <f t="shared" si="3"/>
        <v>0</v>
      </c>
      <c r="H136" s="1684">
        <f>F43</f>
        <v>321559</v>
      </c>
      <c r="I136" s="1685">
        <f t="shared" si="5"/>
        <v>0</v>
      </c>
      <c r="P136" s="1492"/>
    </row>
    <row r="137" spans="2:29" s="1394" customFormat="1" ht="18.5" x14ac:dyDescent="0.45">
      <c r="B137" s="1682">
        <v>8766</v>
      </c>
      <c r="C137" s="1683">
        <f t="shared" si="10"/>
        <v>0.2</v>
      </c>
      <c r="D137" s="1682">
        <v>95</v>
      </c>
      <c r="E137" s="1683">
        <f t="shared" si="2"/>
        <v>0.5</v>
      </c>
      <c r="F137" s="1682" t="s">
        <v>2479</v>
      </c>
      <c r="G137" s="1683">
        <f t="shared" si="3"/>
        <v>0.25</v>
      </c>
      <c r="H137" s="1684">
        <f t="shared" ref="H137:H140" si="13">F44</f>
        <v>303268</v>
      </c>
      <c r="I137" s="1685">
        <f t="shared" si="5"/>
        <v>7581.7000000000007</v>
      </c>
      <c r="P137" s="1492"/>
    </row>
    <row r="138" spans="2:29" s="1394" customFormat="1" ht="18.5" x14ac:dyDescent="0.45">
      <c r="B138" s="1682">
        <v>8766</v>
      </c>
      <c r="C138" s="1683">
        <f t="shared" si="10"/>
        <v>0.2</v>
      </c>
      <c r="D138" s="1682">
        <v>95</v>
      </c>
      <c r="E138" s="1683">
        <f t="shared" si="2"/>
        <v>0.5</v>
      </c>
      <c r="F138" s="1682" t="s">
        <v>614</v>
      </c>
      <c r="G138" s="1683">
        <f t="shared" si="3"/>
        <v>0.6</v>
      </c>
      <c r="H138" s="1684">
        <f t="shared" si="13"/>
        <v>256374</v>
      </c>
      <c r="I138" s="1685">
        <f t="shared" si="5"/>
        <v>15382.44</v>
      </c>
      <c r="P138" s="1492"/>
    </row>
    <row r="139" spans="2:29" s="1394" customFormat="1" ht="18.5" x14ac:dyDescent="0.45">
      <c r="B139" s="1682">
        <v>8766</v>
      </c>
      <c r="C139" s="1683">
        <f t="shared" si="10"/>
        <v>0.2</v>
      </c>
      <c r="D139" s="1682">
        <v>95</v>
      </c>
      <c r="E139" s="1683">
        <f t="shared" si="2"/>
        <v>0.5</v>
      </c>
      <c r="F139" s="1682" t="s">
        <v>2481</v>
      </c>
      <c r="G139" s="1683">
        <f t="shared" si="3"/>
        <v>0.15</v>
      </c>
      <c r="H139" s="1684">
        <f t="shared" si="13"/>
        <v>189307</v>
      </c>
      <c r="I139" s="1685">
        <f t="shared" si="5"/>
        <v>2839.605</v>
      </c>
      <c r="P139" s="1492"/>
    </row>
    <row r="140" spans="2:29" s="1394" customFormat="1" ht="18.5" x14ac:dyDescent="0.45">
      <c r="B140" s="1691">
        <v>8766</v>
      </c>
      <c r="C140" s="1692">
        <f t="shared" si="10"/>
        <v>0.2</v>
      </c>
      <c r="D140" s="1691">
        <v>95</v>
      </c>
      <c r="E140" s="1692">
        <f t="shared" si="2"/>
        <v>0.5</v>
      </c>
      <c r="F140" s="1691" t="s">
        <v>2482</v>
      </c>
      <c r="G140" s="1692">
        <f t="shared" si="3"/>
        <v>0</v>
      </c>
      <c r="H140" s="1693">
        <f t="shared" si="13"/>
        <v>191641</v>
      </c>
      <c r="I140" s="1694">
        <f t="shared" si="5"/>
        <v>0</v>
      </c>
      <c r="P140" s="1492"/>
    </row>
    <row r="141" spans="2:29" s="1394" customFormat="1" ht="18.5" x14ac:dyDescent="0.45">
      <c r="B141" s="1696">
        <v>8766</v>
      </c>
      <c r="C141" s="1697">
        <f t="shared" si="10"/>
        <v>0.2</v>
      </c>
      <c r="D141" s="1696">
        <v>105</v>
      </c>
      <c r="E141" s="1697">
        <f t="shared" si="2"/>
        <v>0.2</v>
      </c>
      <c r="F141" s="1696" t="s">
        <v>2478</v>
      </c>
      <c r="G141" s="1697">
        <f t="shared" si="3"/>
        <v>0</v>
      </c>
      <c r="H141" s="1698">
        <f>G43</f>
        <v>374266</v>
      </c>
      <c r="I141" s="1699">
        <f t="shared" si="5"/>
        <v>0</v>
      </c>
      <c r="P141" s="1492"/>
    </row>
    <row r="142" spans="2:29" s="1394" customFormat="1" ht="18.5" x14ac:dyDescent="0.45">
      <c r="B142" s="1696">
        <v>8766</v>
      </c>
      <c r="C142" s="1697">
        <f t="shared" si="10"/>
        <v>0.2</v>
      </c>
      <c r="D142" s="1696">
        <v>105</v>
      </c>
      <c r="E142" s="1697">
        <f t="shared" si="2"/>
        <v>0.2</v>
      </c>
      <c r="F142" s="1696" t="s">
        <v>2479</v>
      </c>
      <c r="G142" s="1697">
        <f t="shared" si="3"/>
        <v>0.25</v>
      </c>
      <c r="H142" s="1698">
        <f t="shared" ref="H142:H145" si="14">G44</f>
        <v>352977</v>
      </c>
      <c r="I142" s="1699">
        <f t="shared" si="5"/>
        <v>3529.7700000000004</v>
      </c>
      <c r="P142" s="1492"/>
    </row>
    <row r="143" spans="2:29" s="1394" customFormat="1" ht="18.5" x14ac:dyDescent="0.45">
      <c r="B143" s="1696">
        <v>8766</v>
      </c>
      <c r="C143" s="1697">
        <f t="shared" si="10"/>
        <v>0.2</v>
      </c>
      <c r="D143" s="1696">
        <v>105</v>
      </c>
      <c r="E143" s="1697">
        <f t="shared" si="2"/>
        <v>0.2</v>
      </c>
      <c r="F143" s="1696" t="s">
        <v>614</v>
      </c>
      <c r="G143" s="1697">
        <f t="shared" si="3"/>
        <v>0.6</v>
      </c>
      <c r="H143" s="1698">
        <f t="shared" si="14"/>
        <v>298397</v>
      </c>
      <c r="I143" s="1699">
        <f t="shared" si="5"/>
        <v>7161.5280000000002</v>
      </c>
      <c r="P143" s="1492"/>
    </row>
    <row r="144" spans="2:29" s="1394" customFormat="1" ht="18.5" x14ac:dyDescent="0.45">
      <c r="B144" s="1696">
        <v>8766</v>
      </c>
      <c r="C144" s="1697">
        <f t="shared" si="10"/>
        <v>0.2</v>
      </c>
      <c r="D144" s="1696">
        <v>105</v>
      </c>
      <c r="E144" s="1697">
        <f t="shared" si="2"/>
        <v>0.2</v>
      </c>
      <c r="F144" s="1696" t="s">
        <v>2481</v>
      </c>
      <c r="G144" s="1697">
        <f t="shared" si="3"/>
        <v>0.15</v>
      </c>
      <c r="H144" s="1698">
        <f t="shared" si="14"/>
        <v>220337</v>
      </c>
      <c r="I144" s="1699">
        <f t="shared" si="5"/>
        <v>1322.0219999999999</v>
      </c>
      <c r="P144" s="1492"/>
    </row>
    <row r="145" spans="2:16" s="1394" customFormat="1" ht="19" thickBot="1" x14ac:dyDescent="0.5">
      <c r="B145" s="1707">
        <v>8766</v>
      </c>
      <c r="C145" s="1708">
        <f t="shared" si="10"/>
        <v>0.2</v>
      </c>
      <c r="D145" s="1707">
        <v>105</v>
      </c>
      <c r="E145" s="1708">
        <f t="shared" si="2"/>
        <v>0.2</v>
      </c>
      <c r="F145" s="1707" t="s">
        <v>2482</v>
      </c>
      <c r="G145" s="1708">
        <f t="shared" si="3"/>
        <v>0</v>
      </c>
      <c r="H145" s="1709">
        <f t="shared" si="14"/>
        <v>223053</v>
      </c>
      <c r="I145" s="1710">
        <f t="shared" si="5"/>
        <v>0</v>
      </c>
      <c r="P145" s="1492"/>
    </row>
    <row r="146" spans="2:16" s="1394" customFormat="1" ht="18.5" x14ac:dyDescent="0.45">
      <c r="B146" s="1711">
        <v>7300</v>
      </c>
      <c r="C146" s="1712">
        <f t="shared" si="10"/>
        <v>0.2</v>
      </c>
      <c r="D146" s="1711">
        <v>75</v>
      </c>
      <c r="E146" s="1712">
        <f t="shared" si="2"/>
        <v>0.1</v>
      </c>
      <c r="F146" s="1711" t="s">
        <v>2478</v>
      </c>
      <c r="G146" s="1712">
        <f t="shared" si="3"/>
        <v>0</v>
      </c>
      <c r="H146" s="1713">
        <f>D52</f>
        <v>173511</v>
      </c>
      <c r="I146" s="1714">
        <f t="shared" si="5"/>
        <v>0</v>
      </c>
      <c r="P146" s="1492"/>
    </row>
    <row r="147" spans="2:16" s="1394" customFormat="1" ht="18.5" x14ac:dyDescent="0.45">
      <c r="B147" s="1682">
        <v>7300</v>
      </c>
      <c r="C147" s="1683">
        <f t="shared" si="10"/>
        <v>0.2</v>
      </c>
      <c r="D147" s="1682">
        <v>75</v>
      </c>
      <c r="E147" s="1683">
        <f t="shared" si="2"/>
        <v>0.1</v>
      </c>
      <c r="F147" s="1682" t="s">
        <v>2479</v>
      </c>
      <c r="G147" s="1683">
        <f t="shared" si="3"/>
        <v>0.25</v>
      </c>
      <c r="H147" s="1684">
        <f t="shared" ref="H147:H150" si="15">D53</f>
        <v>163641</v>
      </c>
      <c r="I147" s="1685">
        <f t="shared" si="5"/>
        <v>818.20500000000004</v>
      </c>
      <c r="P147" s="1492"/>
    </row>
    <row r="148" spans="2:16" s="1394" customFormat="1" ht="18.5" x14ac:dyDescent="0.45">
      <c r="B148" s="1682">
        <v>7300</v>
      </c>
      <c r="C148" s="1683">
        <f t="shared" si="10"/>
        <v>0.2</v>
      </c>
      <c r="D148" s="1682">
        <v>75</v>
      </c>
      <c r="E148" s="1683">
        <f t="shared" si="2"/>
        <v>0.1</v>
      </c>
      <c r="F148" s="1682" t="s">
        <v>614</v>
      </c>
      <c r="G148" s="1683">
        <f t="shared" si="3"/>
        <v>0.6</v>
      </c>
      <c r="H148" s="1684">
        <f t="shared" si="15"/>
        <v>138338</v>
      </c>
      <c r="I148" s="1685">
        <f t="shared" si="5"/>
        <v>1660.0560000000003</v>
      </c>
      <c r="P148" s="1492"/>
    </row>
    <row r="149" spans="2:16" s="1394" customFormat="1" ht="18.5" x14ac:dyDescent="0.45">
      <c r="B149" s="1682">
        <v>7300</v>
      </c>
      <c r="C149" s="1683">
        <f t="shared" si="10"/>
        <v>0.2</v>
      </c>
      <c r="D149" s="1682">
        <v>75</v>
      </c>
      <c r="E149" s="1683">
        <f t="shared" si="2"/>
        <v>0.1</v>
      </c>
      <c r="F149" s="1682" t="s">
        <v>2481</v>
      </c>
      <c r="G149" s="1683">
        <f t="shared" si="3"/>
        <v>0.15</v>
      </c>
      <c r="H149" s="1684">
        <f t="shared" si="15"/>
        <v>102149</v>
      </c>
      <c r="I149" s="1685">
        <f t="shared" si="5"/>
        <v>306.447</v>
      </c>
      <c r="P149" s="1492"/>
    </row>
    <row r="150" spans="2:16" s="1394" customFormat="1" ht="18.5" x14ac:dyDescent="0.45">
      <c r="B150" s="1691">
        <v>7300</v>
      </c>
      <c r="C150" s="1692">
        <f t="shared" si="10"/>
        <v>0.2</v>
      </c>
      <c r="D150" s="1691">
        <v>75</v>
      </c>
      <c r="E150" s="1692">
        <f t="shared" si="2"/>
        <v>0.1</v>
      </c>
      <c r="F150" s="1691" t="s">
        <v>2482</v>
      </c>
      <c r="G150" s="1692">
        <f t="shared" si="3"/>
        <v>0</v>
      </c>
      <c r="H150" s="1693">
        <f t="shared" si="15"/>
        <v>103408</v>
      </c>
      <c r="I150" s="1694">
        <f t="shared" si="5"/>
        <v>0</v>
      </c>
      <c r="P150" s="1492"/>
    </row>
    <row r="151" spans="2:16" s="1394" customFormat="1" ht="18.5" x14ac:dyDescent="0.45">
      <c r="B151" s="1696">
        <v>7300</v>
      </c>
      <c r="C151" s="1697">
        <f t="shared" si="10"/>
        <v>0.2</v>
      </c>
      <c r="D151" s="1696">
        <v>85</v>
      </c>
      <c r="E151" s="1697">
        <f t="shared" si="2"/>
        <v>0.2</v>
      </c>
      <c r="F151" s="1696" t="s">
        <v>2478</v>
      </c>
      <c r="G151" s="1697">
        <f t="shared" si="3"/>
        <v>0</v>
      </c>
      <c r="H151" s="1698">
        <f>E52</f>
        <v>215950</v>
      </c>
      <c r="I151" s="1699">
        <f t="shared" si="5"/>
        <v>0</v>
      </c>
      <c r="P151" s="1492"/>
    </row>
    <row r="152" spans="2:16" s="1394" customFormat="1" ht="18.5" x14ac:dyDescent="0.45">
      <c r="B152" s="1696">
        <v>7300</v>
      </c>
      <c r="C152" s="1697">
        <f t="shared" si="10"/>
        <v>0.2</v>
      </c>
      <c r="D152" s="1696">
        <v>85</v>
      </c>
      <c r="E152" s="1697">
        <f t="shared" si="2"/>
        <v>0.2</v>
      </c>
      <c r="F152" s="1696" t="s">
        <v>2479</v>
      </c>
      <c r="G152" s="1697">
        <f t="shared" si="3"/>
        <v>0.25</v>
      </c>
      <c r="H152" s="1698">
        <f t="shared" ref="H152:H155" si="16">E53</f>
        <v>203666</v>
      </c>
      <c r="I152" s="1699">
        <f t="shared" si="5"/>
        <v>2036.6600000000003</v>
      </c>
      <c r="P152" s="1492"/>
    </row>
    <row r="153" spans="2:16" s="1394" customFormat="1" ht="18.5" x14ac:dyDescent="0.45">
      <c r="B153" s="1696">
        <v>7300</v>
      </c>
      <c r="C153" s="1697">
        <f t="shared" si="10"/>
        <v>0.2</v>
      </c>
      <c r="D153" s="1696">
        <v>85</v>
      </c>
      <c r="E153" s="1697">
        <f t="shared" si="2"/>
        <v>0.2</v>
      </c>
      <c r="F153" s="1696" t="s">
        <v>614</v>
      </c>
      <c r="G153" s="1697">
        <f t="shared" si="3"/>
        <v>0.6</v>
      </c>
      <c r="H153" s="1698">
        <f t="shared" si="16"/>
        <v>172174</v>
      </c>
      <c r="I153" s="1699">
        <f t="shared" si="5"/>
        <v>4132.1760000000004</v>
      </c>
      <c r="P153" s="1492"/>
    </row>
    <row r="154" spans="2:16" s="1394" customFormat="1" ht="18.5" x14ac:dyDescent="0.45">
      <c r="B154" s="1696">
        <v>7300</v>
      </c>
      <c r="C154" s="1697">
        <f t="shared" si="10"/>
        <v>0.2</v>
      </c>
      <c r="D154" s="1696">
        <v>85</v>
      </c>
      <c r="E154" s="1697">
        <f t="shared" si="2"/>
        <v>0.2</v>
      </c>
      <c r="F154" s="1696" t="s">
        <v>2481</v>
      </c>
      <c r="G154" s="1697">
        <f t="shared" si="3"/>
        <v>0.15</v>
      </c>
      <c r="H154" s="1698">
        <f t="shared" si="16"/>
        <v>127133</v>
      </c>
      <c r="I154" s="1699">
        <f t="shared" si="5"/>
        <v>762.79800000000012</v>
      </c>
      <c r="P154" s="1492"/>
    </row>
    <row r="155" spans="2:16" s="1394" customFormat="1" ht="18.5" x14ac:dyDescent="0.45">
      <c r="B155" s="1703">
        <v>7300</v>
      </c>
      <c r="C155" s="1704">
        <f t="shared" si="10"/>
        <v>0.2</v>
      </c>
      <c r="D155" s="1703">
        <v>85</v>
      </c>
      <c r="E155" s="1704">
        <f t="shared" si="2"/>
        <v>0.2</v>
      </c>
      <c r="F155" s="1703" t="s">
        <v>2482</v>
      </c>
      <c r="G155" s="1704">
        <f t="shared" si="3"/>
        <v>0</v>
      </c>
      <c r="H155" s="1705">
        <f t="shared" si="16"/>
        <v>128701</v>
      </c>
      <c r="I155" s="1706">
        <f t="shared" si="5"/>
        <v>0</v>
      </c>
      <c r="P155" s="1492"/>
    </row>
    <row r="156" spans="2:16" s="1394" customFormat="1" ht="18.5" x14ac:dyDescent="0.45">
      <c r="B156" s="1682">
        <v>7300</v>
      </c>
      <c r="C156" s="1683">
        <f t="shared" si="10"/>
        <v>0.2</v>
      </c>
      <c r="D156" s="1682">
        <v>95</v>
      </c>
      <c r="E156" s="1683">
        <f t="shared" si="2"/>
        <v>0.5</v>
      </c>
      <c r="F156" s="1682" t="s">
        <v>2478</v>
      </c>
      <c r="G156" s="1683">
        <f t="shared" si="3"/>
        <v>0</v>
      </c>
      <c r="H156" s="1684">
        <f>F52</f>
        <v>258389</v>
      </c>
      <c r="I156" s="1685">
        <f t="shared" si="5"/>
        <v>0</v>
      </c>
      <c r="P156" s="1492"/>
    </row>
    <row r="157" spans="2:16" s="1394" customFormat="1" ht="18.5" x14ac:dyDescent="0.45">
      <c r="B157" s="1682">
        <v>7300</v>
      </c>
      <c r="C157" s="1683">
        <f t="shared" si="10"/>
        <v>0.2</v>
      </c>
      <c r="D157" s="1682">
        <v>95</v>
      </c>
      <c r="E157" s="1683">
        <f t="shared" si="2"/>
        <v>0.5</v>
      </c>
      <c r="F157" s="1682" t="s">
        <v>2479</v>
      </c>
      <c r="G157" s="1683">
        <f t="shared" si="3"/>
        <v>0.25</v>
      </c>
      <c r="H157" s="1684">
        <f t="shared" ref="H157:H160" si="17">F53</f>
        <v>243691</v>
      </c>
      <c r="I157" s="1685">
        <f t="shared" si="5"/>
        <v>6092.2750000000005</v>
      </c>
      <c r="P157" s="1492"/>
    </row>
    <row r="158" spans="2:16" s="1394" customFormat="1" ht="18.5" x14ac:dyDescent="0.45">
      <c r="B158" s="1682">
        <v>7300</v>
      </c>
      <c r="C158" s="1683">
        <f t="shared" si="10"/>
        <v>0.2</v>
      </c>
      <c r="D158" s="1682">
        <v>95</v>
      </c>
      <c r="E158" s="1683">
        <f t="shared" si="2"/>
        <v>0.5</v>
      </c>
      <c r="F158" s="1682" t="s">
        <v>614</v>
      </c>
      <c r="G158" s="1683">
        <f t="shared" si="3"/>
        <v>0.6</v>
      </c>
      <c r="H158" s="1684">
        <f t="shared" si="17"/>
        <v>206010</v>
      </c>
      <c r="I158" s="1685">
        <f t="shared" si="5"/>
        <v>12360.6</v>
      </c>
      <c r="P158" s="1492"/>
    </row>
    <row r="159" spans="2:16" s="1394" customFormat="1" ht="18.5" x14ac:dyDescent="0.45">
      <c r="B159" s="1682">
        <v>7300</v>
      </c>
      <c r="C159" s="1683">
        <f t="shared" si="10"/>
        <v>0.2</v>
      </c>
      <c r="D159" s="1682">
        <v>95</v>
      </c>
      <c r="E159" s="1683">
        <f t="shared" si="2"/>
        <v>0.5</v>
      </c>
      <c r="F159" s="1682" t="s">
        <v>2481</v>
      </c>
      <c r="G159" s="1683">
        <f t="shared" si="3"/>
        <v>0.15</v>
      </c>
      <c r="H159" s="1684">
        <f t="shared" si="17"/>
        <v>152118</v>
      </c>
      <c r="I159" s="1685">
        <f t="shared" si="5"/>
        <v>2281.77</v>
      </c>
      <c r="P159" s="1492"/>
    </row>
    <row r="160" spans="2:16" s="1394" customFormat="1" ht="18.5" x14ac:dyDescent="0.45">
      <c r="B160" s="1691">
        <v>7300</v>
      </c>
      <c r="C160" s="1692">
        <f t="shared" si="10"/>
        <v>0.2</v>
      </c>
      <c r="D160" s="1691">
        <v>95</v>
      </c>
      <c r="E160" s="1692">
        <f t="shared" si="2"/>
        <v>0.5</v>
      </c>
      <c r="F160" s="1691" t="s">
        <v>2482</v>
      </c>
      <c r="G160" s="1692">
        <f t="shared" si="3"/>
        <v>0</v>
      </c>
      <c r="H160" s="1693">
        <f t="shared" si="17"/>
        <v>153993</v>
      </c>
      <c r="I160" s="1694">
        <f t="shared" si="5"/>
        <v>0</v>
      </c>
      <c r="P160" s="1492"/>
    </row>
    <row r="161" spans="2:16" s="1394" customFormat="1" ht="18.5" x14ac:dyDescent="0.45">
      <c r="B161" s="1696">
        <v>7300</v>
      </c>
      <c r="C161" s="1697">
        <f t="shared" si="10"/>
        <v>0.2</v>
      </c>
      <c r="D161" s="1696">
        <v>105</v>
      </c>
      <c r="E161" s="1697">
        <f t="shared" si="2"/>
        <v>0.2</v>
      </c>
      <c r="F161" s="1696" t="s">
        <v>2478</v>
      </c>
      <c r="G161" s="1697">
        <f t="shared" si="3"/>
        <v>0</v>
      </c>
      <c r="H161" s="1698">
        <f>G52</f>
        <v>300828</v>
      </c>
      <c r="I161" s="1699">
        <f t="shared" si="5"/>
        <v>0</v>
      </c>
      <c r="P161" s="1492"/>
    </row>
    <row r="162" spans="2:16" s="1394" customFormat="1" ht="18.5" x14ac:dyDescent="0.45">
      <c r="B162" s="1696">
        <v>7300</v>
      </c>
      <c r="C162" s="1697">
        <f t="shared" si="10"/>
        <v>0.2</v>
      </c>
      <c r="D162" s="1696">
        <v>105</v>
      </c>
      <c r="E162" s="1697">
        <f t="shared" si="2"/>
        <v>0.2</v>
      </c>
      <c r="F162" s="1696" t="s">
        <v>2479</v>
      </c>
      <c r="G162" s="1697">
        <f t="shared" si="3"/>
        <v>0.25</v>
      </c>
      <c r="H162" s="1698">
        <f t="shared" ref="H162:H165" si="18">G53</f>
        <v>283716</v>
      </c>
      <c r="I162" s="1699">
        <f t="shared" si="5"/>
        <v>2837.1600000000003</v>
      </c>
      <c r="P162" s="1492"/>
    </row>
    <row r="163" spans="2:16" s="1394" customFormat="1" ht="18.5" x14ac:dyDescent="0.45">
      <c r="B163" s="1696">
        <v>7300</v>
      </c>
      <c r="C163" s="1697">
        <f t="shared" si="10"/>
        <v>0.2</v>
      </c>
      <c r="D163" s="1696">
        <v>105</v>
      </c>
      <c r="E163" s="1697">
        <f t="shared" si="2"/>
        <v>0.2</v>
      </c>
      <c r="F163" s="1696" t="s">
        <v>614</v>
      </c>
      <c r="G163" s="1697">
        <f t="shared" si="3"/>
        <v>0.6</v>
      </c>
      <c r="H163" s="1698">
        <f t="shared" si="18"/>
        <v>239846</v>
      </c>
      <c r="I163" s="1699">
        <f t="shared" si="5"/>
        <v>5756.304000000001</v>
      </c>
      <c r="P163" s="1492"/>
    </row>
    <row r="164" spans="2:16" s="1394" customFormat="1" ht="18.5" x14ac:dyDescent="0.45">
      <c r="B164" s="1696">
        <v>7300</v>
      </c>
      <c r="C164" s="1697">
        <f t="shared" si="10"/>
        <v>0.2</v>
      </c>
      <c r="D164" s="1696">
        <v>105</v>
      </c>
      <c r="E164" s="1697">
        <f t="shared" si="2"/>
        <v>0.2</v>
      </c>
      <c r="F164" s="1696" t="s">
        <v>2481</v>
      </c>
      <c r="G164" s="1697">
        <f t="shared" si="3"/>
        <v>0.15</v>
      </c>
      <c r="H164" s="1698">
        <f t="shared" si="18"/>
        <v>177103</v>
      </c>
      <c r="I164" s="1699">
        <f t="shared" si="5"/>
        <v>1062.6180000000002</v>
      </c>
      <c r="P164" s="1492"/>
    </row>
    <row r="165" spans="2:16" s="1394" customFormat="1" ht="19" thickBot="1" x14ac:dyDescent="0.5">
      <c r="B165" s="1707">
        <v>7300</v>
      </c>
      <c r="C165" s="1708">
        <f t="shared" si="10"/>
        <v>0.2</v>
      </c>
      <c r="D165" s="1707">
        <v>105</v>
      </c>
      <c r="E165" s="1708">
        <f t="shared" si="2"/>
        <v>0.2</v>
      </c>
      <c r="F165" s="1707" t="s">
        <v>2482</v>
      </c>
      <c r="G165" s="1708">
        <f t="shared" si="3"/>
        <v>0</v>
      </c>
      <c r="H165" s="1709">
        <f t="shared" si="18"/>
        <v>179286</v>
      </c>
      <c r="I165" s="1710">
        <f t="shared" si="5"/>
        <v>0</v>
      </c>
      <c r="P165" s="1492"/>
    </row>
    <row r="166" spans="2:16" s="1394" customFormat="1" ht="18.5" x14ac:dyDescent="0.45">
      <c r="B166" s="1711">
        <v>5266</v>
      </c>
      <c r="C166" s="1712">
        <f t="shared" si="10"/>
        <v>0.5</v>
      </c>
      <c r="D166" s="1711">
        <v>75</v>
      </c>
      <c r="E166" s="1712">
        <f t="shared" si="2"/>
        <v>0.1</v>
      </c>
      <c r="F166" s="1711" t="s">
        <v>2478</v>
      </c>
      <c r="G166" s="1712">
        <f t="shared" si="3"/>
        <v>0</v>
      </c>
      <c r="H166" s="1713">
        <f>D61</f>
        <v>118320</v>
      </c>
      <c r="I166" s="1714">
        <f t="shared" si="5"/>
        <v>0</v>
      </c>
      <c r="P166" s="1492"/>
    </row>
    <row r="167" spans="2:16" s="1394" customFormat="1" ht="18.5" x14ac:dyDescent="0.45">
      <c r="B167" s="1682">
        <v>5266</v>
      </c>
      <c r="C167" s="1683">
        <f t="shared" si="10"/>
        <v>0.5</v>
      </c>
      <c r="D167" s="1682">
        <v>75</v>
      </c>
      <c r="E167" s="1683">
        <f t="shared" si="2"/>
        <v>0.1</v>
      </c>
      <c r="F167" s="1682" t="s">
        <v>2479</v>
      </c>
      <c r="G167" s="1683">
        <f t="shared" si="3"/>
        <v>0.25</v>
      </c>
      <c r="H167" s="1684">
        <f t="shared" ref="H167:H170" si="19">D62</f>
        <v>111590</v>
      </c>
      <c r="I167" s="1685">
        <f t="shared" si="5"/>
        <v>1394.875</v>
      </c>
      <c r="P167" s="1492"/>
    </row>
    <row r="168" spans="2:16" s="1394" customFormat="1" ht="18.5" x14ac:dyDescent="0.45">
      <c r="B168" s="1682">
        <v>5266</v>
      </c>
      <c r="C168" s="1683">
        <f t="shared" si="10"/>
        <v>0.5</v>
      </c>
      <c r="D168" s="1682">
        <v>75</v>
      </c>
      <c r="E168" s="1683">
        <f t="shared" si="2"/>
        <v>0.1</v>
      </c>
      <c r="F168" s="1682" t="s">
        <v>614</v>
      </c>
      <c r="G168" s="1683">
        <f t="shared" si="3"/>
        <v>0.6</v>
      </c>
      <c r="H168" s="1684">
        <f t="shared" si="19"/>
        <v>94335</v>
      </c>
      <c r="I168" s="1685">
        <f t="shared" si="5"/>
        <v>2830.05</v>
      </c>
      <c r="P168" s="1492"/>
    </row>
    <row r="169" spans="2:16" s="1394" customFormat="1" ht="18.5" x14ac:dyDescent="0.45">
      <c r="B169" s="1682">
        <v>5266</v>
      </c>
      <c r="C169" s="1683">
        <f t="shared" si="10"/>
        <v>0.5</v>
      </c>
      <c r="D169" s="1682">
        <v>75</v>
      </c>
      <c r="E169" s="1683">
        <f t="shared" si="2"/>
        <v>0.1</v>
      </c>
      <c r="F169" s="1682" t="s">
        <v>2481</v>
      </c>
      <c r="G169" s="1683">
        <f t="shared" si="3"/>
        <v>0.15</v>
      </c>
      <c r="H169" s="1684">
        <f t="shared" si="19"/>
        <v>69657</v>
      </c>
      <c r="I169" s="1685">
        <f t="shared" si="5"/>
        <v>522.42750000000001</v>
      </c>
      <c r="P169" s="1492"/>
    </row>
    <row r="170" spans="2:16" s="1394" customFormat="1" ht="18.5" x14ac:dyDescent="0.45">
      <c r="B170" s="1691">
        <v>5266</v>
      </c>
      <c r="C170" s="1692">
        <f t="shared" si="10"/>
        <v>0.5</v>
      </c>
      <c r="D170" s="1691">
        <v>75</v>
      </c>
      <c r="E170" s="1692">
        <f t="shared" si="2"/>
        <v>0.1</v>
      </c>
      <c r="F170" s="1691" t="s">
        <v>2482</v>
      </c>
      <c r="G170" s="1692">
        <f t="shared" si="3"/>
        <v>0</v>
      </c>
      <c r="H170" s="1693">
        <f t="shared" si="19"/>
        <v>70516</v>
      </c>
      <c r="I170" s="1694">
        <f t="shared" si="5"/>
        <v>0</v>
      </c>
      <c r="P170" s="1492"/>
    </row>
    <row r="171" spans="2:16" s="1394" customFormat="1" ht="18.5" x14ac:dyDescent="0.45">
      <c r="B171" s="1696">
        <v>5266</v>
      </c>
      <c r="C171" s="1697">
        <f t="shared" si="10"/>
        <v>0.5</v>
      </c>
      <c r="D171" s="1696">
        <v>85</v>
      </c>
      <c r="E171" s="1697">
        <f t="shared" si="2"/>
        <v>0.2</v>
      </c>
      <c r="F171" s="1696" t="s">
        <v>2478</v>
      </c>
      <c r="G171" s="1697">
        <f t="shared" si="3"/>
        <v>0</v>
      </c>
      <c r="H171" s="1698">
        <f>E61</f>
        <v>147406</v>
      </c>
      <c r="I171" s="1699">
        <f t="shared" si="5"/>
        <v>0</v>
      </c>
      <c r="P171" s="1492"/>
    </row>
    <row r="172" spans="2:16" s="1394" customFormat="1" ht="18.5" x14ac:dyDescent="0.45">
      <c r="B172" s="1696">
        <v>5266</v>
      </c>
      <c r="C172" s="1697">
        <f t="shared" si="10"/>
        <v>0.5</v>
      </c>
      <c r="D172" s="1696">
        <v>85</v>
      </c>
      <c r="E172" s="1697">
        <f t="shared" si="2"/>
        <v>0.2</v>
      </c>
      <c r="F172" s="1696" t="s">
        <v>2479</v>
      </c>
      <c r="G172" s="1697">
        <f t="shared" si="3"/>
        <v>0.25</v>
      </c>
      <c r="H172" s="1698">
        <f t="shared" ref="H172:H175" si="20">E62</f>
        <v>139021</v>
      </c>
      <c r="I172" s="1699">
        <f t="shared" si="5"/>
        <v>3475.5250000000001</v>
      </c>
      <c r="P172" s="1492"/>
    </row>
    <row r="173" spans="2:16" s="1394" customFormat="1" ht="18.5" x14ac:dyDescent="0.45">
      <c r="B173" s="1696">
        <v>5266</v>
      </c>
      <c r="C173" s="1697">
        <f t="shared" si="10"/>
        <v>0.5</v>
      </c>
      <c r="D173" s="1696">
        <v>85</v>
      </c>
      <c r="E173" s="1697">
        <f t="shared" si="2"/>
        <v>0.2</v>
      </c>
      <c r="F173" s="1696" t="s">
        <v>614</v>
      </c>
      <c r="G173" s="1697">
        <f t="shared" si="3"/>
        <v>0.6</v>
      </c>
      <c r="H173" s="1698">
        <f t="shared" si="20"/>
        <v>117524</v>
      </c>
      <c r="I173" s="1699">
        <f t="shared" si="5"/>
        <v>7051.44</v>
      </c>
      <c r="P173" s="1492"/>
    </row>
    <row r="174" spans="2:16" s="1394" customFormat="1" ht="18.5" x14ac:dyDescent="0.45">
      <c r="B174" s="1696">
        <v>5266</v>
      </c>
      <c r="C174" s="1697">
        <f t="shared" si="10"/>
        <v>0.5</v>
      </c>
      <c r="D174" s="1696">
        <v>85</v>
      </c>
      <c r="E174" s="1697">
        <f t="shared" si="2"/>
        <v>0.2</v>
      </c>
      <c r="F174" s="1696" t="s">
        <v>2481</v>
      </c>
      <c r="G174" s="1697">
        <f t="shared" si="3"/>
        <v>0.15</v>
      </c>
      <c r="H174" s="1698">
        <f t="shared" si="20"/>
        <v>86780</v>
      </c>
      <c r="I174" s="1699">
        <f t="shared" si="5"/>
        <v>1301.7</v>
      </c>
      <c r="P174" s="1492"/>
    </row>
    <row r="175" spans="2:16" s="1394" customFormat="1" ht="18.5" x14ac:dyDescent="0.45">
      <c r="B175" s="1703">
        <v>5266</v>
      </c>
      <c r="C175" s="1704">
        <f t="shared" si="10"/>
        <v>0.5</v>
      </c>
      <c r="D175" s="1703">
        <v>85</v>
      </c>
      <c r="E175" s="1704">
        <f t="shared" si="2"/>
        <v>0.2</v>
      </c>
      <c r="F175" s="1703" t="s">
        <v>2482</v>
      </c>
      <c r="G175" s="1704">
        <f t="shared" si="3"/>
        <v>0</v>
      </c>
      <c r="H175" s="1705">
        <f t="shared" si="20"/>
        <v>87850</v>
      </c>
      <c r="I175" s="1706">
        <f t="shared" si="5"/>
        <v>0</v>
      </c>
      <c r="P175" s="1492"/>
    </row>
    <row r="176" spans="2:16" s="1394" customFormat="1" ht="18.5" x14ac:dyDescent="0.45">
      <c r="B176" s="1682">
        <v>5266</v>
      </c>
      <c r="C176" s="1683">
        <f t="shared" si="10"/>
        <v>0.5</v>
      </c>
      <c r="D176" s="1682">
        <v>95</v>
      </c>
      <c r="E176" s="1683">
        <f t="shared" si="2"/>
        <v>0.5</v>
      </c>
      <c r="F176" s="1682" t="s">
        <v>2478</v>
      </c>
      <c r="G176" s="1683">
        <f t="shared" si="3"/>
        <v>0</v>
      </c>
      <c r="H176" s="1684">
        <f>F61</f>
        <v>176492</v>
      </c>
      <c r="I176" s="1685">
        <f t="shared" si="5"/>
        <v>0</v>
      </c>
      <c r="P176" s="1492"/>
    </row>
    <row r="177" spans="2:16" s="1394" customFormat="1" ht="18.5" x14ac:dyDescent="0.45">
      <c r="B177" s="1682">
        <v>5266</v>
      </c>
      <c r="C177" s="1683">
        <f t="shared" si="10"/>
        <v>0.5</v>
      </c>
      <c r="D177" s="1682">
        <v>95</v>
      </c>
      <c r="E177" s="1683">
        <f t="shared" si="2"/>
        <v>0.5</v>
      </c>
      <c r="F177" s="1682" t="s">
        <v>2479</v>
      </c>
      <c r="G177" s="1683">
        <f t="shared" si="3"/>
        <v>0.25</v>
      </c>
      <c r="H177" s="1684">
        <f t="shared" ref="H177:H180" si="21">F62</f>
        <v>166452</v>
      </c>
      <c r="I177" s="1685">
        <f t="shared" si="5"/>
        <v>10403.25</v>
      </c>
      <c r="P177" s="1492"/>
    </row>
    <row r="178" spans="2:16" s="1394" customFormat="1" ht="18.5" x14ac:dyDescent="0.45">
      <c r="B178" s="1682">
        <v>5266</v>
      </c>
      <c r="C178" s="1683">
        <f t="shared" si="10"/>
        <v>0.5</v>
      </c>
      <c r="D178" s="1682">
        <v>95</v>
      </c>
      <c r="E178" s="1683">
        <f t="shared" si="2"/>
        <v>0.5</v>
      </c>
      <c r="F178" s="1682" t="s">
        <v>614</v>
      </c>
      <c r="G178" s="1683">
        <f t="shared" si="3"/>
        <v>0.6</v>
      </c>
      <c r="H178" s="1684">
        <f t="shared" si="21"/>
        <v>140714</v>
      </c>
      <c r="I178" s="1685">
        <f t="shared" si="5"/>
        <v>21107.1</v>
      </c>
      <c r="P178" s="1492"/>
    </row>
    <row r="179" spans="2:16" s="1394" customFormat="1" ht="18.5" x14ac:dyDescent="0.45">
      <c r="B179" s="1682">
        <v>5266</v>
      </c>
      <c r="C179" s="1683">
        <f t="shared" si="10"/>
        <v>0.5</v>
      </c>
      <c r="D179" s="1682">
        <v>95</v>
      </c>
      <c r="E179" s="1683">
        <f t="shared" si="2"/>
        <v>0.5</v>
      </c>
      <c r="F179" s="1682" t="s">
        <v>2481</v>
      </c>
      <c r="G179" s="1683">
        <f t="shared" si="3"/>
        <v>0.15</v>
      </c>
      <c r="H179" s="1684">
        <f t="shared" si="21"/>
        <v>103904</v>
      </c>
      <c r="I179" s="1685">
        <f t="shared" si="5"/>
        <v>3896.3999999999996</v>
      </c>
      <c r="P179" s="1492"/>
    </row>
    <row r="180" spans="2:16" s="1394" customFormat="1" ht="18.5" x14ac:dyDescent="0.45">
      <c r="B180" s="1691">
        <v>5266</v>
      </c>
      <c r="C180" s="1692">
        <f t="shared" si="10"/>
        <v>0.5</v>
      </c>
      <c r="D180" s="1691">
        <v>95</v>
      </c>
      <c r="E180" s="1692">
        <f t="shared" si="2"/>
        <v>0.5</v>
      </c>
      <c r="F180" s="1691" t="s">
        <v>2482</v>
      </c>
      <c r="G180" s="1692">
        <f t="shared" si="3"/>
        <v>0</v>
      </c>
      <c r="H180" s="1693">
        <f t="shared" si="21"/>
        <v>105184</v>
      </c>
      <c r="I180" s="1694">
        <f t="shared" si="5"/>
        <v>0</v>
      </c>
      <c r="P180" s="1492"/>
    </row>
    <row r="181" spans="2:16" s="1394" customFormat="1" ht="18.5" x14ac:dyDescent="0.45">
      <c r="B181" s="1696">
        <v>5266</v>
      </c>
      <c r="C181" s="1697">
        <f t="shared" si="10"/>
        <v>0.5</v>
      </c>
      <c r="D181" s="1696">
        <v>105</v>
      </c>
      <c r="E181" s="1697">
        <f t="shared" si="2"/>
        <v>0.2</v>
      </c>
      <c r="F181" s="1696" t="s">
        <v>2478</v>
      </c>
      <c r="G181" s="1697">
        <f t="shared" si="3"/>
        <v>0</v>
      </c>
      <c r="H181" s="1698">
        <f>G61</f>
        <v>205578</v>
      </c>
      <c r="I181" s="1699">
        <f t="shared" si="5"/>
        <v>0</v>
      </c>
      <c r="P181" s="1492"/>
    </row>
    <row r="182" spans="2:16" s="1394" customFormat="1" ht="18.5" x14ac:dyDescent="0.45">
      <c r="B182" s="1696">
        <v>5266</v>
      </c>
      <c r="C182" s="1697">
        <f t="shared" si="10"/>
        <v>0.5</v>
      </c>
      <c r="D182" s="1696">
        <v>105</v>
      </c>
      <c r="E182" s="1697">
        <f t="shared" si="2"/>
        <v>0.2</v>
      </c>
      <c r="F182" s="1696" t="s">
        <v>2479</v>
      </c>
      <c r="G182" s="1697">
        <f t="shared" si="3"/>
        <v>0.25</v>
      </c>
      <c r="H182" s="1698">
        <f t="shared" ref="H182:H185" si="22">G62</f>
        <v>193884</v>
      </c>
      <c r="I182" s="1699">
        <f t="shared" si="5"/>
        <v>4847.1000000000004</v>
      </c>
      <c r="P182" s="1492"/>
    </row>
    <row r="183" spans="2:16" s="1394" customFormat="1" ht="18.5" x14ac:dyDescent="0.45">
      <c r="B183" s="1696">
        <v>5266</v>
      </c>
      <c r="C183" s="1697">
        <f t="shared" si="10"/>
        <v>0.5</v>
      </c>
      <c r="D183" s="1696">
        <v>105</v>
      </c>
      <c r="E183" s="1697">
        <f t="shared" si="2"/>
        <v>0.2</v>
      </c>
      <c r="F183" s="1696" t="s">
        <v>614</v>
      </c>
      <c r="G183" s="1697">
        <f t="shared" si="3"/>
        <v>0.6</v>
      </c>
      <c r="H183" s="1698">
        <f t="shared" si="22"/>
        <v>163904</v>
      </c>
      <c r="I183" s="1699">
        <f t="shared" si="5"/>
        <v>9834.24</v>
      </c>
      <c r="P183" s="1492"/>
    </row>
    <row r="184" spans="2:16" s="1394" customFormat="1" ht="18.5" x14ac:dyDescent="0.45">
      <c r="B184" s="1696">
        <v>5266</v>
      </c>
      <c r="C184" s="1697">
        <f t="shared" si="10"/>
        <v>0.5</v>
      </c>
      <c r="D184" s="1696">
        <v>105</v>
      </c>
      <c r="E184" s="1697">
        <f t="shared" si="2"/>
        <v>0.2</v>
      </c>
      <c r="F184" s="1696" t="s">
        <v>2481</v>
      </c>
      <c r="G184" s="1697">
        <f t="shared" si="3"/>
        <v>0.15</v>
      </c>
      <c r="H184" s="1698">
        <f t="shared" si="22"/>
        <v>121027</v>
      </c>
      <c r="I184" s="1699">
        <f t="shared" si="5"/>
        <v>1815.405</v>
      </c>
      <c r="P184" s="1492"/>
    </row>
    <row r="185" spans="2:16" s="1394" customFormat="1" ht="19" thickBot="1" x14ac:dyDescent="0.5">
      <c r="B185" s="1707">
        <v>5266</v>
      </c>
      <c r="C185" s="1708">
        <f t="shared" si="10"/>
        <v>0.5</v>
      </c>
      <c r="D185" s="1707">
        <v>105</v>
      </c>
      <c r="E185" s="1708">
        <f t="shared" si="2"/>
        <v>0.2</v>
      </c>
      <c r="F185" s="1707" t="s">
        <v>2482</v>
      </c>
      <c r="G185" s="1708">
        <f t="shared" si="3"/>
        <v>0</v>
      </c>
      <c r="H185" s="1709">
        <f t="shared" si="22"/>
        <v>122519</v>
      </c>
      <c r="I185" s="1710">
        <f t="shared" si="5"/>
        <v>0</v>
      </c>
      <c r="P185" s="1492"/>
    </row>
    <row r="186" spans="2:16" s="1394" customFormat="1" ht="18.5" x14ac:dyDescent="0.45">
      <c r="B186" s="1711">
        <v>3911</v>
      </c>
      <c r="C186" s="1712">
        <f t="shared" si="10"/>
        <v>0.1</v>
      </c>
      <c r="D186" s="1711">
        <v>75</v>
      </c>
      <c r="E186" s="1712">
        <f t="shared" si="2"/>
        <v>0.1</v>
      </c>
      <c r="F186" s="1711" t="s">
        <v>2478</v>
      </c>
      <c r="G186" s="1712">
        <f t="shared" si="3"/>
        <v>0</v>
      </c>
      <c r="H186" s="1713">
        <f>D70</f>
        <v>85672</v>
      </c>
      <c r="I186" s="1714">
        <f t="shared" si="5"/>
        <v>0</v>
      </c>
      <c r="P186" s="1492"/>
    </row>
    <row r="187" spans="2:16" s="1394" customFormat="1" ht="18.5" x14ac:dyDescent="0.45">
      <c r="B187" s="1682">
        <v>3911</v>
      </c>
      <c r="C187" s="1683">
        <f t="shared" si="10"/>
        <v>0.1</v>
      </c>
      <c r="D187" s="1682">
        <v>75</v>
      </c>
      <c r="E187" s="1683">
        <f t="shared" si="2"/>
        <v>0.1</v>
      </c>
      <c r="F187" s="1682" t="s">
        <v>2479</v>
      </c>
      <c r="G187" s="1683">
        <f t="shared" si="3"/>
        <v>0.25</v>
      </c>
      <c r="H187" s="1684">
        <f t="shared" ref="H187:H190" si="23">D71</f>
        <v>80799</v>
      </c>
      <c r="I187" s="1685">
        <f t="shared" si="5"/>
        <v>201.99750000000003</v>
      </c>
      <c r="P187" s="1492"/>
    </row>
    <row r="188" spans="2:16" s="1394" customFormat="1" ht="18.5" x14ac:dyDescent="0.45">
      <c r="B188" s="1682">
        <v>3911</v>
      </c>
      <c r="C188" s="1683">
        <f t="shared" si="10"/>
        <v>0.1</v>
      </c>
      <c r="D188" s="1682">
        <v>75</v>
      </c>
      <c r="E188" s="1683">
        <f t="shared" si="2"/>
        <v>0.1</v>
      </c>
      <c r="F188" s="1682" t="s">
        <v>614</v>
      </c>
      <c r="G188" s="1683">
        <f t="shared" si="3"/>
        <v>0.6</v>
      </c>
      <c r="H188" s="1684">
        <f t="shared" si="23"/>
        <v>68305</v>
      </c>
      <c r="I188" s="1685">
        <f t="shared" si="5"/>
        <v>409.83000000000004</v>
      </c>
      <c r="P188" s="1492"/>
    </row>
    <row r="189" spans="2:16" s="1394" customFormat="1" ht="18.5" x14ac:dyDescent="0.45">
      <c r="B189" s="1682">
        <v>3911</v>
      </c>
      <c r="C189" s="1683">
        <f t="shared" si="10"/>
        <v>0.1</v>
      </c>
      <c r="D189" s="1682">
        <v>75</v>
      </c>
      <c r="E189" s="1683">
        <f t="shared" si="2"/>
        <v>0.1</v>
      </c>
      <c r="F189" s="1682" t="s">
        <v>2481</v>
      </c>
      <c r="G189" s="1683">
        <f t="shared" si="3"/>
        <v>0.15</v>
      </c>
      <c r="H189" s="1684">
        <f t="shared" si="23"/>
        <v>50436</v>
      </c>
      <c r="I189" s="1685">
        <f t="shared" si="5"/>
        <v>75.653999999999996</v>
      </c>
      <c r="P189" s="1492"/>
    </row>
    <row r="190" spans="2:16" s="1394" customFormat="1" ht="18.5" x14ac:dyDescent="0.45">
      <c r="B190" s="1691">
        <v>3911</v>
      </c>
      <c r="C190" s="1692">
        <f t="shared" si="10"/>
        <v>0.1</v>
      </c>
      <c r="D190" s="1691">
        <v>75</v>
      </c>
      <c r="E190" s="1692">
        <f t="shared" si="2"/>
        <v>0.1</v>
      </c>
      <c r="F190" s="1691" t="s">
        <v>2482</v>
      </c>
      <c r="G190" s="1692">
        <f t="shared" si="3"/>
        <v>0</v>
      </c>
      <c r="H190" s="1693">
        <f t="shared" si="23"/>
        <v>51058</v>
      </c>
      <c r="I190" s="1694">
        <f t="shared" si="5"/>
        <v>0</v>
      </c>
      <c r="P190" s="1492"/>
    </row>
    <row r="191" spans="2:16" s="1394" customFormat="1" ht="18.5" x14ac:dyDescent="0.45">
      <c r="B191" s="1696">
        <v>3911</v>
      </c>
      <c r="C191" s="1697">
        <f t="shared" si="10"/>
        <v>0.1</v>
      </c>
      <c r="D191" s="1696">
        <v>85</v>
      </c>
      <c r="E191" s="1697">
        <f t="shared" ref="E191:E205" si="24">VLOOKUP($D191,$B$103:$C$106,2,FALSE)</f>
        <v>0.2</v>
      </c>
      <c r="F191" s="1696" t="s">
        <v>2478</v>
      </c>
      <c r="G191" s="1697">
        <f t="shared" ref="G191:G205" si="25">VLOOKUP($F191,$C$116:$D$120,2,FALSE)</f>
        <v>0</v>
      </c>
      <c r="H191" s="1698">
        <f>E70</f>
        <v>106825</v>
      </c>
      <c r="I191" s="1699">
        <f t="shared" ref="I191:I205" si="26">H191*G191*E191*C191</f>
        <v>0</v>
      </c>
      <c r="P191" s="1492"/>
    </row>
    <row r="192" spans="2:16" s="1394" customFormat="1" ht="18.5" x14ac:dyDescent="0.45">
      <c r="B192" s="1696">
        <v>3911</v>
      </c>
      <c r="C192" s="1697">
        <f t="shared" ref="C192:C205" si="27">VLOOKUP($B192,$B$110:$C$113,2,FALSE)</f>
        <v>0.1</v>
      </c>
      <c r="D192" s="1696">
        <v>85</v>
      </c>
      <c r="E192" s="1697">
        <f t="shared" si="24"/>
        <v>0.2</v>
      </c>
      <c r="F192" s="1696" t="s">
        <v>2479</v>
      </c>
      <c r="G192" s="1697">
        <f t="shared" si="25"/>
        <v>0.25</v>
      </c>
      <c r="H192" s="1698">
        <f t="shared" ref="H192:H195" si="28">E71</f>
        <v>100749</v>
      </c>
      <c r="I192" s="1699">
        <f t="shared" si="26"/>
        <v>503.74500000000012</v>
      </c>
      <c r="P192" s="1492"/>
    </row>
    <row r="193" spans="2:16" s="1394" customFormat="1" ht="18.5" x14ac:dyDescent="0.45">
      <c r="B193" s="1696">
        <v>3911</v>
      </c>
      <c r="C193" s="1697">
        <f t="shared" si="27"/>
        <v>0.1</v>
      </c>
      <c r="D193" s="1696">
        <v>85</v>
      </c>
      <c r="E193" s="1697">
        <f t="shared" si="24"/>
        <v>0.2</v>
      </c>
      <c r="F193" s="1696" t="s">
        <v>614</v>
      </c>
      <c r="G193" s="1697">
        <f t="shared" si="25"/>
        <v>0.6</v>
      </c>
      <c r="H193" s="1698">
        <f t="shared" si="28"/>
        <v>85170</v>
      </c>
      <c r="I193" s="1699">
        <f t="shared" si="26"/>
        <v>1022.0400000000002</v>
      </c>
      <c r="P193" s="1492"/>
    </row>
    <row r="194" spans="2:16" s="1394" customFormat="1" x14ac:dyDescent="0.35">
      <c r="B194" s="1696">
        <v>3911</v>
      </c>
      <c r="C194" s="1697">
        <f t="shared" si="27"/>
        <v>0.1</v>
      </c>
      <c r="D194" s="1696">
        <v>85</v>
      </c>
      <c r="E194" s="1697">
        <f t="shared" si="24"/>
        <v>0.2</v>
      </c>
      <c r="F194" s="1696" t="s">
        <v>2481</v>
      </c>
      <c r="G194" s="1697">
        <f t="shared" si="25"/>
        <v>0.15</v>
      </c>
      <c r="H194" s="1698">
        <f t="shared" si="28"/>
        <v>62890</v>
      </c>
      <c r="I194" s="1699">
        <f t="shared" si="26"/>
        <v>188.67000000000002</v>
      </c>
    </row>
    <row r="195" spans="2:16" s="1394" customFormat="1" x14ac:dyDescent="0.35">
      <c r="B195" s="1703">
        <v>3911</v>
      </c>
      <c r="C195" s="1704">
        <f t="shared" si="27"/>
        <v>0.1</v>
      </c>
      <c r="D195" s="1703">
        <v>85</v>
      </c>
      <c r="E195" s="1704">
        <f t="shared" si="24"/>
        <v>0.2</v>
      </c>
      <c r="F195" s="1703" t="s">
        <v>2482</v>
      </c>
      <c r="G195" s="1704">
        <f t="shared" si="25"/>
        <v>0</v>
      </c>
      <c r="H195" s="1705">
        <f t="shared" si="28"/>
        <v>63665</v>
      </c>
      <c r="I195" s="1706">
        <f t="shared" si="26"/>
        <v>0</v>
      </c>
    </row>
    <row r="196" spans="2:16" s="1394" customFormat="1" x14ac:dyDescent="0.35">
      <c r="B196" s="1682">
        <v>3911</v>
      </c>
      <c r="C196" s="1683">
        <f t="shared" si="27"/>
        <v>0.1</v>
      </c>
      <c r="D196" s="1682">
        <v>95</v>
      </c>
      <c r="E196" s="1683">
        <f t="shared" si="24"/>
        <v>0.5</v>
      </c>
      <c r="F196" s="1682" t="s">
        <v>2478</v>
      </c>
      <c r="G196" s="1683">
        <f t="shared" si="25"/>
        <v>0</v>
      </c>
      <c r="H196" s="1684">
        <f>F70</f>
        <v>127979</v>
      </c>
      <c r="I196" s="1685">
        <f t="shared" si="26"/>
        <v>0</v>
      </c>
    </row>
    <row r="197" spans="2:16" s="1394" customFormat="1" x14ac:dyDescent="0.35">
      <c r="B197" s="1682">
        <v>3911</v>
      </c>
      <c r="C197" s="1683">
        <f t="shared" si="27"/>
        <v>0.1</v>
      </c>
      <c r="D197" s="1682">
        <v>95</v>
      </c>
      <c r="E197" s="1683">
        <f t="shared" si="24"/>
        <v>0.5</v>
      </c>
      <c r="F197" s="1682" t="s">
        <v>2479</v>
      </c>
      <c r="G197" s="1683">
        <f t="shared" si="25"/>
        <v>0.25</v>
      </c>
      <c r="H197" s="1684">
        <f t="shared" ref="H197:H200" si="29">F71</f>
        <v>120699</v>
      </c>
      <c r="I197" s="1685">
        <f t="shared" si="26"/>
        <v>1508.7375000000002</v>
      </c>
    </row>
    <row r="198" spans="2:16" x14ac:dyDescent="0.35">
      <c r="B198" s="1682">
        <v>3911</v>
      </c>
      <c r="C198" s="1683">
        <f t="shared" si="27"/>
        <v>0.1</v>
      </c>
      <c r="D198" s="1682">
        <v>95</v>
      </c>
      <c r="E198" s="1683">
        <f t="shared" si="24"/>
        <v>0.5</v>
      </c>
      <c r="F198" s="1682" t="s">
        <v>614</v>
      </c>
      <c r="G198" s="1683">
        <f t="shared" si="25"/>
        <v>0.6</v>
      </c>
      <c r="H198" s="1684">
        <f t="shared" si="29"/>
        <v>102035</v>
      </c>
      <c r="I198" s="1685">
        <f t="shared" si="26"/>
        <v>3061.05</v>
      </c>
    </row>
    <row r="199" spans="2:16" x14ac:dyDescent="0.35">
      <c r="B199" s="1682">
        <v>3911</v>
      </c>
      <c r="C199" s="1683">
        <f t="shared" si="27"/>
        <v>0.1</v>
      </c>
      <c r="D199" s="1682">
        <v>95</v>
      </c>
      <c r="E199" s="1683">
        <f t="shared" si="24"/>
        <v>0.5</v>
      </c>
      <c r="F199" s="1682" t="s">
        <v>2481</v>
      </c>
      <c r="G199" s="1683">
        <f t="shared" si="25"/>
        <v>0.15</v>
      </c>
      <c r="H199" s="1684">
        <f t="shared" si="29"/>
        <v>75343</v>
      </c>
      <c r="I199" s="1685">
        <f t="shared" si="26"/>
        <v>565.07249999999999</v>
      </c>
    </row>
    <row r="200" spans="2:16" x14ac:dyDescent="0.35">
      <c r="B200" s="1691">
        <v>3911</v>
      </c>
      <c r="C200" s="1692">
        <f t="shared" si="27"/>
        <v>0.1</v>
      </c>
      <c r="D200" s="1691">
        <v>95</v>
      </c>
      <c r="E200" s="1692">
        <f t="shared" si="24"/>
        <v>0.5</v>
      </c>
      <c r="F200" s="1691" t="s">
        <v>2482</v>
      </c>
      <c r="G200" s="1692">
        <f t="shared" si="25"/>
        <v>0</v>
      </c>
      <c r="H200" s="1693">
        <f t="shared" si="29"/>
        <v>76272</v>
      </c>
      <c r="I200" s="1694">
        <f t="shared" si="26"/>
        <v>0</v>
      </c>
    </row>
    <row r="201" spans="2:16" x14ac:dyDescent="0.35">
      <c r="B201" s="1696">
        <v>3911</v>
      </c>
      <c r="C201" s="1697">
        <f t="shared" si="27"/>
        <v>0.1</v>
      </c>
      <c r="D201" s="1696">
        <v>105</v>
      </c>
      <c r="E201" s="1697">
        <f t="shared" si="24"/>
        <v>0.2</v>
      </c>
      <c r="F201" s="1696" t="s">
        <v>2478</v>
      </c>
      <c r="G201" s="1697">
        <f t="shared" si="25"/>
        <v>0</v>
      </c>
      <c r="H201" s="1698">
        <f>G70</f>
        <v>149132</v>
      </c>
      <c r="I201" s="1699">
        <f t="shared" si="26"/>
        <v>0</v>
      </c>
    </row>
    <row r="202" spans="2:16" x14ac:dyDescent="0.35">
      <c r="B202" s="1696">
        <v>3911</v>
      </c>
      <c r="C202" s="1697">
        <f t="shared" si="27"/>
        <v>0.1</v>
      </c>
      <c r="D202" s="1696">
        <v>105</v>
      </c>
      <c r="E202" s="1697">
        <f t="shared" si="24"/>
        <v>0.2</v>
      </c>
      <c r="F202" s="1696" t="s">
        <v>2479</v>
      </c>
      <c r="G202" s="1697">
        <f t="shared" si="25"/>
        <v>0.25</v>
      </c>
      <c r="H202" s="1698">
        <f t="shared" ref="H202:H205" si="30">G71</f>
        <v>140649</v>
      </c>
      <c r="I202" s="1699">
        <f t="shared" si="26"/>
        <v>703.24500000000012</v>
      </c>
    </row>
    <row r="203" spans="2:16" x14ac:dyDescent="0.35">
      <c r="B203" s="1696">
        <v>3911</v>
      </c>
      <c r="C203" s="1697">
        <f t="shared" si="27"/>
        <v>0.1</v>
      </c>
      <c r="D203" s="1696">
        <v>105</v>
      </c>
      <c r="E203" s="1697">
        <f t="shared" si="24"/>
        <v>0.2</v>
      </c>
      <c r="F203" s="1696" t="s">
        <v>614</v>
      </c>
      <c r="G203" s="1697">
        <f t="shared" si="25"/>
        <v>0.6</v>
      </c>
      <c r="H203" s="1698">
        <f t="shared" si="30"/>
        <v>118901</v>
      </c>
      <c r="I203" s="1699">
        <f t="shared" si="26"/>
        <v>1426.8119999999999</v>
      </c>
    </row>
    <row r="204" spans="2:16" x14ac:dyDescent="0.35">
      <c r="B204" s="1696">
        <v>3911</v>
      </c>
      <c r="C204" s="1697">
        <f t="shared" si="27"/>
        <v>0.1</v>
      </c>
      <c r="D204" s="1696">
        <v>105</v>
      </c>
      <c r="E204" s="1697">
        <f t="shared" si="24"/>
        <v>0.2</v>
      </c>
      <c r="F204" s="1696" t="s">
        <v>2481</v>
      </c>
      <c r="G204" s="1697">
        <f t="shared" si="25"/>
        <v>0.15</v>
      </c>
      <c r="H204" s="1698">
        <f t="shared" si="30"/>
        <v>87797</v>
      </c>
      <c r="I204" s="1699">
        <f t="shared" si="26"/>
        <v>263.39100000000002</v>
      </c>
    </row>
    <row r="205" spans="2:16" ht="15" thickBot="1" x14ac:dyDescent="0.4">
      <c r="B205" s="1707">
        <v>3911</v>
      </c>
      <c r="C205" s="1708">
        <f t="shared" si="27"/>
        <v>0.1</v>
      </c>
      <c r="D205" s="1707">
        <v>105</v>
      </c>
      <c r="E205" s="1708">
        <f t="shared" si="24"/>
        <v>0.2</v>
      </c>
      <c r="F205" s="1707" t="s">
        <v>2482</v>
      </c>
      <c r="G205" s="1708">
        <f t="shared" si="25"/>
        <v>0</v>
      </c>
      <c r="H205" s="1709">
        <f t="shared" si="30"/>
        <v>88879</v>
      </c>
      <c r="I205" s="1710">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80" priority="1">
      <formula>D45&lt;&gt;#REF!</formula>
    </cfRule>
  </conditionalFormatting>
  <pageMargins left="0.7" right="0.7" top="0.75" bottom="0.75" header="0.3" footer="0.3"/>
  <pageSetup scale="19" orientation="portrait" r:id="rId1"/>
  <headerFooter>
    <oddHeader>&amp;LAppendix G (Rev.)</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F0"/>
    <pageSetUpPr fitToPage="1"/>
  </sheetPr>
  <dimension ref="A1:AC205"/>
  <sheetViews>
    <sheetView zoomScale="70" zoomScaleNormal="70" workbookViewId="0"/>
  </sheetViews>
  <sheetFormatPr defaultColWidth="9.1796875" defaultRowHeight="14.5" x14ac:dyDescent="0.35"/>
  <cols>
    <col min="1" max="1" width="31.54296875" style="1195" customWidth="1"/>
    <col min="2" max="2" width="36.1796875" style="1195" customWidth="1"/>
    <col min="3" max="3" width="19" style="1195" customWidth="1"/>
    <col min="4" max="13" width="15.1796875" style="1195" customWidth="1"/>
    <col min="14" max="14" width="29.26953125" style="1195" customWidth="1"/>
    <col min="15" max="15" width="15.1796875" style="1195" customWidth="1"/>
    <col min="16" max="16" width="17.453125" style="1195" customWidth="1"/>
    <col min="17" max="17" width="21.54296875" style="1195" customWidth="1"/>
    <col min="18" max="18" width="15.453125" style="1195" customWidth="1"/>
    <col min="19" max="19" width="12.26953125" style="1195" customWidth="1"/>
    <col min="20" max="20" width="13" style="1195" customWidth="1"/>
    <col min="21" max="21" width="10.81640625" style="1195" customWidth="1"/>
    <col min="22" max="22" width="10.26953125" style="1195" customWidth="1"/>
    <col min="23" max="27" width="9.7265625" style="1195" customWidth="1"/>
    <col min="28" max="28" width="10.7265625" style="1195" customWidth="1"/>
    <col min="29" max="29" width="12.26953125" style="1195" customWidth="1"/>
    <col min="30" max="30" width="9.81640625" style="1195" customWidth="1"/>
    <col min="31" max="31" width="10.26953125" style="1195" customWidth="1"/>
    <col min="32" max="32" width="10.1796875" style="1195" customWidth="1"/>
    <col min="33" max="16384" width="9.1796875" style="1195"/>
  </cols>
  <sheetData>
    <row r="1" spans="1:7" s="1394" customFormat="1" ht="21" x14ac:dyDescent="0.5">
      <c r="A1" s="1393" t="s">
        <v>2469</v>
      </c>
    </row>
    <row r="2" spans="1:7" s="1394" customFormat="1" x14ac:dyDescent="0.35"/>
    <row r="3" spans="1:7" s="1394" customFormat="1" ht="21" x14ac:dyDescent="0.5">
      <c r="A3" s="1395" t="s">
        <v>2470</v>
      </c>
    </row>
    <row r="4" spans="1:7" s="1394" customFormat="1" x14ac:dyDescent="0.35"/>
    <row r="5" spans="1:7" s="1394" customFormat="1" x14ac:dyDescent="0.35">
      <c r="B5" s="1396" t="s">
        <v>1947</v>
      </c>
      <c r="C5" s="1397">
        <f>O132</f>
        <v>24</v>
      </c>
      <c r="D5" s="1398"/>
      <c r="E5" s="680"/>
      <c r="F5" s="680"/>
    </row>
    <row r="6" spans="1:7" s="1394" customFormat="1" x14ac:dyDescent="0.35">
      <c r="B6" s="724" t="s">
        <v>2052</v>
      </c>
      <c r="C6" s="989">
        <f>Z132</f>
        <v>-26492.053257042255</v>
      </c>
      <c r="D6" s="1399"/>
      <c r="E6" s="683"/>
      <c r="F6" s="683"/>
    </row>
    <row r="7" spans="1:7" s="1394" customFormat="1" x14ac:dyDescent="0.35">
      <c r="B7" s="936" t="s">
        <v>1951</v>
      </c>
      <c r="C7" s="1400">
        <f>AA132</f>
        <v>-4.2473591549295779</v>
      </c>
      <c r="D7" s="1399"/>
      <c r="E7" s="683"/>
      <c r="F7" s="683"/>
    </row>
    <row r="8" spans="1:7" s="1394" customFormat="1" x14ac:dyDescent="0.35">
      <c r="B8" s="724" t="s">
        <v>1952</v>
      </c>
      <c r="C8" s="989">
        <f>Y132</f>
        <v>33861.953536458328</v>
      </c>
      <c r="D8" s="1399"/>
      <c r="E8" s="683"/>
      <c r="F8" s="683"/>
    </row>
    <row r="9" spans="1:7" s="1394" customFormat="1" x14ac:dyDescent="0.35">
      <c r="B9" s="936" t="s">
        <v>2053</v>
      </c>
      <c r="C9" s="990">
        <f>AB132</f>
        <v>59999.936499999996</v>
      </c>
      <c r="D9" s="1401"/>
      <c r="E9" s="686"/>
      <c r="F9" s="686"/>
    </row>
    <row r="10" spans="1:7" s="1394" customFormat="1" x14ac:dyDescent="0.35">
      <c r="B10" s="724" t="s">
        <v>2288</v>
      </c>
      <c r="C10" s="1402">
        <f>C9/C8</f>
        <v>1.7718982584805554</v>
      </c>
      <c r="D10" s="1403"/>
      <c r="E10" s="690"/>
      <c r="F10" s="690"/>
    </row>
    <row r="11" spans="1:7" s="1394" customFormat="1" x14ac:dyDescent="0.35">
      <c r="B11" s="936" t="s">
        <v>1960</v>
      </c>
      <c r="C11" s="990">
        <f>AC132</f>
        <v>52303</v>
      </c>
      <c r="D11" s="1404"/>
      <c r="E11" s="706"/>
      <c r="F11" s="706"/>
    </row>
    <row r="12" spans="1:7" s="1394" customFormat="1" x14ac:dyDescent="0.35">
      <c r="B12" s="732" t="s">
        <v>1970</v>
      </c>
      <c r="C12" s="1405">
        <v>15</v>
      </c>
      <c r="D12" s="1404" t="s">
        <v>2439</v>
      </c>
      <c r="E12" s="706"/>
      <c r="F12" s="706"/>
    </row>
    <row r="13" spans="1:7" s="1394" customFormat="1" x14ac:dyDescent="0.35">
      <c r="B13" s="694" t="s">
        <v>1961</v>
      </c>
      <c r="C13" s="695"/>
      <c r="D13" s="1398"/>
      <c r="E13" s="1406"/>
      <c r="F13" s="680"/>
      <c r="G13" s="696"/>
    </row>
    <row r="14" spans="1:7" s="1394" customFormat="1" hidden="1" x14ac:dyDescent="0.35">
      <c r="B14" s="834" t="s">
        <v>2387</v>
      </c>
      <c r="C14" s="852">
        <f>1-C33+C34+C35</f>
        <v>0.8</v>
      </c>
      <c r="D14" s="1398"/>
      <c r="E14" s="1206"/>
      <c r="F14" s="680"/>
    </row>
    <row r="15" spans="1:7" s="1394" customFormat="1" hidden="1" x14ac:dyDescent="0.35">
      <c r="B15" s="841" t="s">
        <v>2388</v>
      </c>
      <c r="C15" s="1407">
        <f>1-D33+D34+D35</f>
        <v>1.01</v>
      </c>
      <c r="D15" s="1398"/>
      <c r="E15" s="1206"/>
      <c r="F15" s="680"/>
    </row>
    <row r="16" spans="1:7" s="1394" customFormat="1" hidden="1" x14ac:dyDescent="0.35">
      <c r="B16" s="838" t="s">
        <v>2389</v>
      </c>
      <c r="C16" s="1219">
        <f>1-E33+E34+E35</f>
        <v>1.01</v>
      </c>
      <c r="D16" s="1398"/>
      <c r="E16" s="1206"/>
      <c r="F16" s="680"/>
    </row>
    <row r="17" spans="1:6" s="1394" customFormat="1" hidden="1" x14ac:dyDescent="0.35">
      <c r="B17" s="841" t="s">
        <v>1965</v>
      </c>
      <c r="C17" s="842">
        <f>C6*C15</f>
        <v>-26756.973789612679</v>
      </c>
      <c r="D17" s="1399"/>
      <c r="E17" s="701"/>
      <c r="F17" s="683"/>
    </row>
    <row r="18" spans="1:6" s="1394" customFormat="1" hidden="1" x14ac:dyDescent="0.35">
      <c r="B18" s="838" t="s">
        <v>1966</v>
      </c>
      <c r="C18" s="839">
        <f>C7*C16</f>
        <v>-4.2898327464788739</v>
      </c>
      <c r="D18" s="1399"/>
      <c r="E18" s="683"/>
      <c r="F18" s="683"/>
    </row>
    <row r="19" spans="1:6" s="1394" customFormat="1" hidden="1" x14ac:dyDescent="0.35">
      <c r="B19" s="841" t="s">
        <v>1967</v>
      </c>
      <c r="C19" s="842">
        <f>C14*C8</f>
        <v>27089.562829166665</v>
      </c>
      <c r="D19" s="1399"/>
      <c r="E19" s="701"/>
      <c r="F19" s="683"/>
    </row>
    <row r="20" spans="1:6" s="1394" customFormat="1" hidden="1" x14ac:dyDescent="0.35">
      <c r="B20" s="838" t="s">
        <v>1969</v>
      </c>
      <c r="C20" s="854">
        <f>C9/C19</f>
        <v>2.214872823100694</v>
      </c>
      <c r="D20" s="1403"/>
      <c r="E20" s="690"/>
      <c r="F20" s="690"/>
    </row>
    <row r="21" spans="1:6" s="1394" customFormat="1" hidden="1" x14ac:dyDescent="0.35">
      <c r="B21" s="855" t="s">
        <v>1970</v>
      </c>
      <c r="C21" s="856">
        <v>16.5</v>
      </c>
      <c r="D21" s="1398"/>
      <c r="E21" s="680"/>
      <c r="F21" s="680"/>
    </row>
    <row r="22" spans="1:6" s="1394" customFormat="1" x14ac:dyDescent="0.35">
      <c r="B22" s="1408"/>
      <c r="C22" s="1408"/>
    </row>
    <row r="23" spans="1:6" s="1394" customFormat="1" ht="21" x14ac:dyDescent="0.5">
      <c r="A23" s="704" t="s">
        <v>1971</v>
      </c>
      <c r="B23" s="1408"/>
      <c r="C23" s="1408"/>
    </row>
    <row r="24" spans="1:6" s="1394" customFormat="1" x14ac:dyDescent="0.35"/>
    <row r="25" spans="1:6" s="1394" customFormat="1" x14ac:dyDescent="0.35">
      <c r="B25" s="940" t="s">
        <v>2390</v>
      </c>
      <c r="C25" s="1409">
        <f>C6/$C$5</f>
        <v>-1103.8355523767607</v>
      </c>
    </row>
    <row r="26" spans="1:6" s="1394" customFormat="1" x14ac:dyDescent="0.35">
      <c r="B26" s="936" t="s">
        <v>2391</v>
      </c>
      <c r="C26" s="991">
        <f>C7/C5</f>
        <v>-0.17697329812206575</v>
      </c>
    </row>
    <row r="27" spans="1:6" s="1394" customFormat="1" x14ac:dyDescent="0.35">
      <c r="B27" s="724" t="s">
        <v>2289</v>
      </c>
      <c r="C27" s="989">
        <f>C8/C5</f>
        <v>1410.9147306857637</v>
      </c>
    </row>
    <row r="28" spans="1:6" s="1394" customFormat="1" x14ac:dyDescent="0.35">
      <c r="B28" s="936" t="s">
        <v>2290</v>
      </c>
      <c r="C28" s="1602">
        <f>C9/C5</f>
        <v>2499.9973541666664</v>
      </c>
    </row>
    <row r="29" spans="1:6" s="1394" customFormat="1" x14ac:dyDescent="0.35">
      <c r="B29" s="732" t="s">
        <v>2392</v>
      </c>
      <c r="C29" s="1603">
        <f>C11/C5</f>
        <v>2179.2916666666665</v>
      </c>
    </row>
    <row r="30" spans="1:6" s="1394" customFormat="1" ht="21" hidden="1" x14ac:dyDescent="0.5">
      <c r="A30" s="1395" t="s">
        <v>2064</v>
      </c>
      <c r="B30" s="1408"/>
      <c r="C30" s="1408"/>
    </row>
    <row r="31" spans="1:6" s="1394" customFormat="1" hidden="1" x14ac:dyDescent="0.35"/>
    <row r="32" spans="1:6" s="1394" customFormat="1" ht="29" hidden="1" x14ac:dyDescent="0.35">
      <c r="C32" s="1418" t="s">
        <v>2395</v>
      </c>
      <c r="D32" s="1419" t="s">
        <v>2396</v>
      </c>
      <c r="E32" s="1420" t="s">
        <v>2397</v>
      </c>
    </row>
    <row r="33" spans="1:20" hidden="1" x14ac:dyDescent="0.35">
      <c r="A33" s="1394"/>
      <c r="B33" s="1421" t="s">
        <v>1416</v>
      </c>
      <c r="C33" s="1422">
        <v>0.4</v>
      </c>
      <c r="D33" s="1423">
        <v>0</v>
      </c>
      <c r="E33" s="1424">
        <v>0</v>
      </c>
      <c r="F33" s="1394"/>
      <c r="G33" s="1394"/>
      <c r="H33" s="1394"/>
    </row>
    <row r="34" spans="1:20" hidden="1" x14ac:dyDescent="0.35">
      <c r="A34" s="1394"/>
      <c r="B34" s="1425" t="s">
        <v>2066</v>
      </c>
      <c r="C34" s="1426">
        <v>0.2</v>
      </c>
      <c r="D34" s="1427">
        <v>0</v>
      </c>
      <c r="E34" s="1428">
        <v>0</v>
      </c>
      <c r="F34" s="1394"/>
      <c r="G34" s="1394"/>
      <c r="H34" s="1394"/>
    </row>
    <row r="35" spans="1:20" hidden="1" x14ac:dyDescent="0.35">
      <c r="A35" s="1394"/>
      <c r="B35" s="1429" t="s">
        <v>2067</v>
      </c>
      <c r="C35" s="1430">
        <v>0</v>
      </c>
      <c r="D35" s="1431">
        <v>0.01</v>
      </c>
      <c r="E35" s="1432">
        <v>0.01</v>
      </c>
      <c r="F35" s="1394"/>
      <c r="G35" s="1394"/>
      <c r="H35" s="1394"/>
    </row>
    <row r="36" spans="1:20" s="1394" customFormat="1" x14ac:dyDescent="0.35"/>
    <row r="37" spans="1:20" s="1394" customFormat="1" ht="21" x14ac:dyDescent="0.5">
      <c r="A37" s="1395" t="s">
        <v>1977</v>
      </c>
    </row>
    <row r="38" spans="1:20" s="1394" customFormat="1" x14ac:dyDescent="0.35"/>
    <row r="39" spans="1:20" s="1394" customFormat="1" ht="18" customHeight="1" thickBot="1" x14ac:dyDescent="0.4">
      <c r="B39" s="1604"/>
      <c r="C39" s="1604"/>
      <c r="D39" s="1206"/>
      <c r="E39" s="1206"/>
      <c r="F39" s="1206"/>
      <c r="G39" s="1206"/>
      <c r="H39" s="1206"/>
      <c r="I39" s="1206"/>
    </row>
    <row r="40" spans="1:20" s="1394" customFormat="1" x14ac:dyDescent="0.35">
      <c r="B40" s="1605">
        <v>8760</v>
      </c>
      <c r="C40" s="3094" t="s">
        <v>2471</v>
      </c>
      <c r="D40" s="3094"/>
      <c r="E40" s="3094"/>
      <c r="F40" s="3094"/>
      <c r="G40" s="3095"/>
      <c r="H40" s="1206"/>
      <c r="I40" s="1206"/>
    </row>
    <row r="41" spans="1:20" x14ac:dyDescent="0.35">
      <c r="A41" s="1394"/>
      <c r="B41" s="3096" t="s">
        <v>2472</v>
      </c>
      <c r="C41" s="3097"/>
      <c r="D41" s="3098" t="s">
        <v>2473</v>
      </c>
      <c r="E41" s="3098"/>
      <c r="F41" s="3098"/>
      <c r="G41" s="3099"/>
      <c r="I41" s="1193"/>
    </row>
    <row r="42" spans="1:20" ht="15" thickBot="1" x14ac:dyDescent="0.4">
      <c r="A42" s="1394"/>
      <c r="B42" s="3100" t="s">
        <v>353</v>
      </c>
      <c r="C42" s="3101"/>
      <c r="D42" s="424" t="s">
        <v>2474</v>
      </c>
      <c r="E42" s="424" t="s">
        <v>2475</v>
      </c>
      <c r="F42" s="424" t="s">
        <v>2476</v>
      </c>
      <c r="G42" s="1606" t="s">
        <v>2477</v>
      </c>
      <c r="I42" s="1193"/>
    </row>
    <row r="43" spans="1:20" s="1394" customFormat="1" x14ac:dyDescent="0.35">
      <c r="B43" s="1605">
        <v>1</v>
      </c>
      <c r="C43" s="1607" t="s">
        <v>2478</v>
      </c>
      <c r="D43" s="1608">
        <v>216145</v>
      </c>
      <c r="E43" s="1608">
        <v>268852</v>
      </c>
      <c r="F43" s="1608">
        <v>321559</v>
      </c>
      <c r="G43" s="1609">
        <v>374266</v>
      </c>
      <c r="I43" s="1206"/>
      <c r="J43" s="1195"/>
      <c r="K43" s="1195"/>
      <c r="M43" s="1206"/>
    </row>
    <row r="44" spans="1:20" s="1394" customFormat="1" ht="18.5" x14ac:dyDescent="0.45">
      <c r="B44" s="1610">
        <v>2</v>
      </c>
      <c r="C44" s="599" t="s">
        <v>2479</v>
      </c>
      <c r="D44" s="1611">
        <v>203850</v>
      </c>
      <c r="E44" s="1611">
        <v>253559</v>
      </c>
      <c r="F44" s="1611">
        <v>303268</v>
      </c>
      <c r="G44" s="1612">
        <v>352977</v>
      </c>
      <c r="I44" s="1492"/>
    </row>
    <row r="45" spans="1:20" s="1394" customFormat="1" x14ac:dyDescent="0.35">
      <c r="B45" s="1610">
        <v>3</v>
      </c>
      <c r="C45" s="599" t="s">
        <v>614</v>
      </c>
      <c r="D45" s="1611">
        <v>172329</v>
      </c>
      <c r="E45" s="1611">
        <v>214351</v>
      </c>
      <c r="F45" s="1611">
        <v>256374</v>
      </c>
      <c r="G45" s="1612">
        <v>298397</v>
      </c>
      <c r="I45" s="1613"/>
      <c r="L45" s="3036" t="s">
        <v>2480</v>
      </c>
      <c r="M45" s="3037"/>
      <c r="N45" s="3037"/>
      <c r="O45" s="3037"/>
      <c r="P45" s="3037"/>
      <c r="Q45" s="3037"/>
      <c r="R45" s="3037"/>
      <c r="S45" s="3037"/>
      <c r="T45" s="3038"/>
    </row>
    <row r="46" spans="1:20" x14ac:dyDescent="0.35">
      <c r="A46" s="1394"/>
      <c r="B46" s="1610">
        <v>4</v>
      </c>
      <c r="C46" s="599" t="s">
        <v>2481</v>
      </c>
      <c r="D46" s="1611">
        <v>127248</v>
      </c>
      <c r="E46" s="1611">
        <v>158278</v>
      </c>
      <c r="F46" s="1611">
        <v>189307</v>
      </c>
      <c r="G46" s="1612">
        <v>220337</v>
      </c>
      <c r="I46" s="1614"/>
      <c r="K46" s="1441"/>
      <c r="L46" s="869" t="s">
        <v>1981</v>
      </c>
      <c r="M46" s="870"/>
      <c r="N46" s="870"/>
      <c r="O46" s="870"/>
      <c r="P46" s="870"/>
      <c r="Q46" s="870"/>
      <c r="R46" s="870"/>
      <c r="S46" s="870"/>
      <c r="T46" s="871"/>
    </row>
    <row r="47" spans="1:20" ht="15" thickBot="1" x14ac:dyDescent="0.4">
      <c r="B47" s="1615">
        <v>5</v>
      </c>
      <c r="C47" s="1616" t="s">
        <v>2482</v>
      </c>
      <c r="D47" s="1617">
        <v>128817</v>
      </c>
      <c r="E47" s="1617">
        <v>160229</v>
      </c>
      <c r="F47" s="1617">
        <v>191641</v>
      </c>
      <c r="G47" s="1618">
        <v>223053</v>
      </c>
      <c r="I47" s="1619"/>
      <c r="K47" s="1441"/>
      <c r="L47" s="873" t="s">
        <v>2483</v>
      </c>
      <c r="M47" s="698"/>
      <c r="N47" s="698"/>
      <c r="O47" s="698"/>
      <c r="P47" s="698"/>
      <c r="Q47" s="698"/>
      <c r="R47" s="698"/>
      <c r="S47" s="698"/>
      <c r="T47" s="874"/>
    </row>
    <row r="48" spans="1:20" ht="15" thickBot="1" x14ac:dyDescent="0.4">
      <c r="B48" s="1620"/>
      <c r="C48" s="1621"/>
      <c r="D48" s="1619"/>
      <c r="E48" s="1619"/>
      <c r="F48" s="1619"/>
      <c r="G48" s="1619"/>
      <c r="I48" s="1614"/>
      <c r="K48" s="1441"/>
      <c r="L48" s="873" t="s">
        <v>2484</v>
      </c>
      <c r="M48" s="1193"/>
      <c r="N48" s="1193"/>
      <c r="O48" s="698"/>
      <c r="P48" s="698"/>
      <c r="Q48" s="698"/>
      <c r="R48" s="698"/>
      <c r="S48" s="698"/>
      <c r="T48" s="874"/>
    </row>
    <row r="49" spans="2:20" x14ac:dyDescent="0.35">
      <c r="B49" s="1605">
        <v>7300</v>
      </c>
      <c r="C49" s="3094" t="s">
        <v>2485</v>
      </c>
      <c r="D49" s="3094"/>
      <c r="E49" s="3094"/>
      <c r="F49" s="3094"/>
      <c r="G49" s="3095"/>
      <c r="I49" s="1619"/>
      <c r="K49" s="1441"/>
      <c r="L49" s="873" t="s">
        <v>2486</v>
      </c>
      <c r="M49" s="1193"/>
      <c r="N49" s="1193"/>
      <c r="O49" s="698"/>
      <c r="P49" s="698"/>
      <c r="Q49" s="698"/>
      <c r="R49" s="698"/>
      <c r="S49" s="698"/>
      <c r="T49" s="874"/>
    </row>
    <row r="50" spans="2:20" x14ac:dyDescent="0.35">
      <c r="B50" s="3096" t="s">
        <v>2487</v>
      </c>
      <c r="C50" s="3097"/>
      <c r="D50" s="3098" t="s">
        <v>2473</v>
      </c>
      <c r="E50" s="3098"/>
      <c r="F50" s="3098"/>
      <c r="G50" s="3099"/>
      <c r="I50" s="1614"/>
      <c r="K50" s="1441"/>
      <c r="L50" s="869" t="s">
        <v>1990</v>
      </c>
      <c r="M50" s="1193"/>
      <c r="N50" s="1193"/>
      <c r="O50" s="698"/>
      <c r="P50" s="698"/>
      <c r="Q50" s="698"/>
      <c r="R50" s="698"/>
      <c r="S50" s="698"/>
      <c r="T50" s="874"/>
    </row>
    <row r="51" spans="2:20" ht="15" thickBot="1" x14ac:dyDescent="0.4">
      <c r="B51" s="3107" t="s">
        <v>353</v>
      </c>
      <c r="C51" s="3108"/>
      <c r="D51" s="1622" t="s">
        <v>2474</v>
      </c>
      <c r="E51" s="1622" t="s">
        <v>2475</v>
      </c>
      <c r="F51" s="1622" t="s">
        <v>2476</v>
      </c>
      <c r="G51" s="1623" t="s">
        <v>2477</v>
      </c>
      <c r="I51" s="1619"/>
      <c r="K51" s="1441"/>
      <c r="L51" s="1194" t="s">
        <v>2488</v>
      </c>
      <c r="M51" s="698" t="s">
        <v>1992</v>
      </c>
      <c r="N51" s="1193" t="s">
        <v>2489</v>
      </c>
      <c r="O51" s="698"/>
      <c r="P51" s="698"/>
      <c r="Q51" s="698"/>
      <c r="R51" s="698"/>
      <c r="S51" s="698"/>
      <c r="T51" s="874"/>
    </row>
    <row r="52" spans="2:20" x14ac:dyDescent="0.35">
      <c r="B52" s="1624">
        <v>1</v>
      </c>
      <c r="C52" s="1625" t="s">
        <v>2478</v>
      </c>
      <c r="D52" s="1626">
        <v>173511</v>
      </c>
      <c r="E52" s="1626">
        <v>215950</v>
      </c>
      <c r="F52" s="1626">
        <v>258389</v>
      </c>
      <c r="G52" s="1627">
        <v>300828</v>
      </c>
      <c r="I52" s="1614"/>
      <c r="K52" s="1441"/>
      <c r="L52" s="1194" t="s">
        <v>2490</v>
      </c>
      <c r="M52" s="698" t="s">
        <v>2112</v>
      </c>
      <c r="N52" s="1193" t="s">
        <v>2491</v>
      </c>
      <c r="O52" s="698"/>
      <c r="P52" s="698"/>
      <c r="Q52" s="698"/>
      <c r="R52" s="698"/>
      <c r="S52" s="698"/>
      <c r="T52" s="874"/>
    </row>
    <row r="53" spans="2:20" x14ac:dyDescent="0.35">
      <c r="B53" s="1610">
        <v>2</v>
      </c>
      <c r="C53" s="599" t="s">
        <v>2479</v>
      </c>
      <c r="D53" s="1611">
        <v>163641</v>
      </c>
      <c r="E53" s="1611">
        <v>203666</v>
      </c>
      <c r="F53" s="1611">
        <v>243691</v>
      </c>
      <c r="G53" s="1612">
        <v>283716</v>
      </c>
      <c r="I53" s="1619"/>
      <c r="K53" s="1441"/>
      <c r="L53" s="1196" t="s">
        <v>2492</v>
      </c>
      <c r="M53" s="698" t="s">
        <v>1992</v>
      </c>
      <c r="N53" s="1197" t="s">
        <v>2493</v>
      </c>
      <c r="O53" s="1198"/>
      <c r="P53" s="1198"/>
      <c r="Q53" s="1198"/>
      <c r="R53" s="1198"/>
      <c r="S53" s="1197"/>
      <c r="T53" s="1199"/>
    </row>
    <row r="54" spans="2:20" x14ac:dyDescent="0.35">
      <c r="B54" s="1610">
        <v>3</v>
      </c>
      <c r="C54" s="599" t="s">
        <v>614</v>
      </c>
      <c r="D54" s="1611">
        <v>138338</v>
      </c>
      <c r="E54" s="1611">
        <v>172174</v>
      </c>
      <c r="F54" s="1611">
        <v>206010</v>
      </c>
      <c r="G54" s="1612">
        <v>239846</v>
      </c>
      <c r="I54" s="1614"/>
      <c r="K54" s="1441"/>
      <c r="L54" s="1195" t="s">
        <v>2494</v>
      </c>
      <c r="M54" s="1206" t="s">
        <v>1992</v>
      </c>
      <c r="N54" s="870" t="s">
        <v>2495</v>
      </c>
      <c r="O54" s="1203"/>
      <c r="P54" s="1203"/>
      <c r="Q54" s="1203"/>
      <c r="R54" s="1203"/>
      <c r="S54" s="1204"/>
      <c r="T54" s="1205"/>
    </row>
    <row r="55" spans="2:20" x14ac:dyDescent="0.35">
      <c r="B55" s="1610">
        <v>4</v>
      </c>
      <c r="C55" s="599" t="s">
        <v>2481</v>
      </c>
      <c r="D55" s="1611">
        <v>102149</v>
      </c>
      <c r="E55" s="1611">
        <v>127133</v>
      </c>
      <c r="F55" s="1611">
        <v>152118</v>
      </c>
      <c r="G55" s="1612">
        <v>177103</v>
      </c>
      <c r="I55" s="1614"/>
      <c r="K55" s="1441"/>
      <c r="L55" s="873" t="s">
        <v>2496</v>
      </c>
      <c r="M55" s="698" t="s">
        <v>2112</v>
      </c>
      <c r="N55" s="698" t="s">
        <v>2497</v>
      </c>
      <c r="O55" s="1206"/>
      <c r="P55" s="1206"/>
      <c r="Q55" s="1206"/>
      <c r="R55" s="1206"/>
      <c r="S55" s="1193"/>
      <c r="T55" s="1207"/>
    </row>
    <row r="56" spans="2:20" ht="15" thickBot="1" x14ac:dyDescent="0.4">
      <c r="B56" s="1615">
        <v>5</v>
      </c>
      <c r="C56" s="1616" t="s">
        <v>2482</v>
      </c>
      <c r="D56" s="1617">
        <v>103408</v>
      </c>
      <c r="E56" s="1617">
        <v>128701</v>
      </c>
      <c r="F56" s="1617">
        <v>153993</v>
      </c>
      <c r="G56" s="1618">
        <v>179286</v>
      </c>
      <c r="I56" s="1614"/>
      <c r="K56" s="1441"/>
      <c r="L56" s="873" t="s">
        <v>2498</v>
      </c>
      <c r="M56" s="698" t="s">
        <v>1992</v>
      </c>
      <c r="N56" s="698" t="s">
        <v>2499</v>
      </c>
      <c r="O56" s="1206"/>
      <c r="P56" s="1206"/>
      <c r="Q56" s="1206"/>
      <c r="R56" s="1206"/>
      <c r="S56" s="1193"/>
      <c r="T56" s="1207"/>
    </row>
    <row r="57" spans="2:20" ht="15" thickBot="1" x14ac:dyDescent="0.4">
      <c r="B57" s="1620"/>
      <c r="C57" s="1621"/>
      <c r="D57" s="1614"/>
      <c r="E57" s="1614"/>
      <c r="F57" s="1614"/>
      <c r="G57" s="1614"/>
      <c r="I57" s="1614"/>
      <c r="K57" s="1441"/>
      <c r="L57" s="873" t="s">
        <v>2500</v>
      </c>
      <c r="M57" s="1206" t="s">
        <v>1992</v>
      </c>
      <c r="N57" s="698" t="s">
        <v>2501</v>
      </c>
      <c r="O57" s="1206"/>
      <c r="P57" s="1206"/>
      <c r="Q57" s="1206"/>
      <c r="R57" s="1206"/>
      <c r="S57" s="1193"/>
      <c r="T57" s="1207"/>
    </row>
    <row r="58" spans="2:20" x14ac:dyDescent="0.35">
      <c r="B58" s="1605">
        <v>5266</v>
      </c>
      <c r="C58" s="3094" t="s">
        <v>2502</v>
      </c>
      <c r="D58" s="3094"/>
      <c r="E58" s="3094"/>
      <c r="F58" s="3094"/>
      <c r="G58" s="3095"/>
      <c r="I58" s="1614"/>
      <c r="K58" s="1441"/>
      <c r="L58" s="1208" t="s">
        <v>440</v>
      </c>
      <c r="M58" s="1206" t="s">
        <v>1992</v>
      </c>
      <c r="N58" s="1193" t="s">
        <v>2503</v>
      </c>
      <c r="O58" s="1198"/>
      <c r="P58" s="1198"/>
      <c r="Q58" s="1198"/>
      <c r="R58" s="1198"/>
      <c r="S58" s="1197"/>
      <c r="T58" s="1199"/>
    </row>
    <row r="59" spans="2:20" x14ac:dyDescent="0.35">
      <c r="B59" s="3096" t="s">
        <v>2504</v>
      </c>
      <c r="C59" s="3097"/>
      <c r="D59" s="3098" t="s">
        <v>2473</v>
      </c>
      <c r="E59" s="3098"/>
      <c r="F59" s="3098"/>
      <c r="G59" s="3099"/>
      <c r="I59" s="1614"/>
      <c r="K59" s="1441"/>
      <c r="L59" s="1204"/>
      <c r="M59" s="1204"/>
      <c r="N59" s="1204"/>
      <c r="O59" s="870"/>
      <c r="P59" s="870"/>
      <c r="Q59" s="870"/>
      <c r="R59" s="870"/>
      <c r="S59" s="870"/>
      <c r="T59" s="870"/>
    </row>
    <row r="60" spans="2:20" ht="15" thickBot="1" x14ac:dyDescent="0.4">
      <c r="B60" s="3107" t="s">
        <v>353</v>
      </c>
      <c r="C60" s="3108"/>
      <c r="D60" s="1622" t="s">
        <v>2474</v>
      </c>
      <c r="E60" s="1622" t="s">
        <v>2475</v>
      </c>
      <c r="F60" s="1622" t="s">
        <v>2476</v>
      </c>
      <c r="G60" s="1623" t="s">
        <v>2477</v>
      </c>
      <c r="I60" s="1614"/>
      <c r="K60" s="1441"/>
    </row>
    <row r="61" spans="2:20" x14ac:dyDescent="0.35">
      <c r="B61" s="1624">
        <v>1</v>
      </c>
      <c r="C61" s="1625" t="s">
        <v>2478</v>
      </c>
      <c r="D61" s="1626">
        <v>118320</v>
      </c>
      <c r="E61" s="1626">
        <v>147406</v>
      </c>
      <c r="F61" s="1626">
        <v>176492</v>
      </c>
      <c r="G61" s="1627">
        <v>205578</v>
      </c>
      <c r="I61" s="1614"/>
    </row>
    <row r="62" spans="2:20" x14ac:dyDescent="0.35">
      <c r="B62" s="1610">
        <v>2</v>
      </c>
      <c r="C62" s="599" t="s">
        <v>2479</v>
      </c>
      <c r="D62" s="1611">
        <v>111590</v>
      </c>
      <c r="E62" s="1611">
        <v>139021</v>
      </c>
      <c r="F62" s="1611">
        <v>166452</v>
      </c>
      <c r="G62" s="1612">
        <v>193884</v>
      </c>
      <c r="I62" s="1614"/>
      <c r="Q62" s="698"/>
      <c r="R62" s="698"/>
      <c r="S62" s="698"/>
      <c r="T62" s="698"/>
    </row>
    <row r="63" spans="2:20" x14ac:dyDescent="0.35">
      <c r="B63" s="1610">
        <v>3</v>
      </c>
      <c r="C63" s="599" t="s">
        <v>614</v>
      </c>
      <c r="D63" s="1611">
        <v>94335</v>
      </c>
      <c r="E63" s="1611">
        <v>117524</v>
      </c>
      <c r="F63" s="1611">
        <v>140714</v>
      </c>
      <c r="G63" s="1612">
        <v>163904</v>
      </c>
      <c r="I63" s="1614"/>
      <c r="Q63" s="698"/>
      <c r="R63" s="698"/>
      <c r="S63" s="698"/>
      <c r="T63" s="698"/>
    </row>
    <row r="64" spans="2:20" x14ac:dyDescent="0.35">
      <c r="B64" s="1610">
        <v>4</v>
      </c>
      <c r="C64" s="599" t="s">
        <v>2481</v>
      </c>
      <c r="D64" s="1611">
        <v>69657</v>
      </c>
      <c r="E64" s="1611">
        <v>86780</v>
      </c>
      <c r="F64" s="1611">
        <v>103904</v>
      </c>
      <c r="G64" s="1612">
        <v>121027</v>
      </c>
      <c r="I64" s="1614"/>
      <c r="Q64" s="698"/>
      <c r="R64" s="698"/>
      <c r="S64" s="698"/>
      <c r="T64" s="698"/>
    </row>
    <row r="65" spans="2:23" ht="15" thickBot="1" x14ac:dyDescent="0.4">
      <c r="B65" s="1615">
        <v>5</v>
      </c>
      <c r="C65" s="1616" t="s">
        <v>2482</v>
      </c>
      <c r="D65" s="1617">
        <v>70516</v>
      </c>
      <c r="E65" s="1617">
        <v>87850</v>
      </c>
      <c r="F65" s="1617">
        <v>105184</v>
      </c>
      <c r="G65" s="1618">
        <v>122519</v>
      </c>
      <c r="I65" s="1614"/>
      <c r="Q65" s="698"/>
      <c r="R65" s="698"/>
      <c r="S65" s="698"/>
      <c r="T65" s="698"/>
    </row>
    <row r="66" spans="2:23" ht="15" thickBot="1" x14ac:dyDescent="0.4">
      <c r="B66" s="1620"/>
      <c r="C66" s="1621"/>
      <c r="D66" s="1614"/>
      <c r="E66" s="1614"/>
      <c r="F66" s="1614"/>
      <c r="G66" s="1614"/>
      <c r="I66" s="1614"/>
      <c r="Q66" s="698"/>
      <c r="R66" s="698"/>
      <c r="S66" s="698"/>
      <c r="T66" s="698"/>
    </row>
    <row r="67" spans="2:23" x14ac:dyDescent="0.35">
      <c r="B67" s="1605">
        <v>3911</v>
      </c>
      <c r="C67" s="3094" t="s">
        <v>2505</v>
      </c>
      <c r="D67" s="3094"/>
      <c r="E67" s="3094"/>
      <c r="F67" s="3094"/>
      <c r="G67" s="3095"/>
      <c r="I67" s="1614"/>
      <c r="Q67" s="698"/>
      <c r="R67" s="698"/>
      <c r="S67" s="698"/>
      <c r="T67" s="698"/>
    </row>
    <row r="68" spans="2:23" x14ac:dyDescent="0.35">
      <c r="B68" s="3096" t="s">
        <v>2506</v>
      </c>
      <c r="C68" s="3097"/>
      <c r="D68" s="3098" t="s">
        <v>2473</v>
      </c>
      <c r="E68" s="3098"/>
      <c r="F68" s="3098"/>
      <c r="G68" s="3099"/>
      <c r="I68" s="1614"/>
      <c r="Q68" s="698"/>
      <c r="R68" s="698"/>
      <c r="S68" s="698"/>
      <c r="T68" s="698"/>
    </row>
    <row r="69" spans="2:23" ht="15" thickBot="1" x14ac:dyDescent="0.4">
      <c r="B69" s="3107" t="s">
        <v>353</v>
      </c>
      <c r="C69" s="3108"/>
      <c r="D69" s="1622" t="s">
        <v>2474</v>
      </c>
      <c r="E69" s="1622" t="s">
        <v>2475</v>
      </c>
      <c r="F69" s="1622" t="s">
        <v>2476</v>
      </c>
      <c r="G69" s="1623" t="s">
        <v>2477</v>
      </c>
      <c r="I69" s="1614"/>
      <c r="K69" s="1441"/>
      <c r="L69" s="1193"/>
      <c r="M69" s="1193"/>
      <c r="N69" s="698"/>
      <c r="O69" s="698"/>
      <c r="P69" s="698"/>
      <c r="Q69" s="698"/>
      <c r="R69" s="698"/>
      <c r="S69" s="698"/>
      <c r="T69" s="698"/>
    </row>
    <row r="70" spans="2:23" x14ac:dyDescent="0.35">
      <c r="B70" s="1624">
        <v>1</v>
      </c>
      <c r="C70" s="1625" t="s">
        <v>2478</v>
      </c>
      <c r="D70" s="1626">
        <v>85672</v>
      </c>
      <c r="E70" s="1626">
        <v>106825</v>
      </c>
      <c r="F70" s="1626">
        <v>127979</v>
      </c>
      <c r="G70" s="1627">
        <v>149132</v>
      </c>
      <c r="I70" s="1614"/>
      <c r="K70" s="1441"/>
      <c r="N70" s="698"/>
      <c r="O70" s="698"/>
      <c r="P70" s="698"/>
      <c r="Q70" s="698"/>
      <c r="R70" s="698"/>
      <c r="S70" s="698"/>
      <c r="T70" s="698"/>
    </row>
    <row r="71" spans="2:23" x14ac:dyDescent="0.35">
      <c r="B71" s="1610">
        <v>2</v>
      </c>
      <c r="C71" s="599" t="s">
        <v>2479</v>
      </c>
      <c r="D71" s="1611">
        <v>80799</v>
      </c>
      <c r="E71" s="1611">
        <v>100749</v>
      </c>
      <c r="F71" s="1611">
        <v>120699</v>
      </c>
      <c r="G71" s="1612">
        <v>140649</v>
      </c>
      <c r="I71" s="1614"/>
      <c r="K71" s="1441"/>
      <c r="N71" s="698"/>
      <c r="O71" s="698"/>
      <c r="P71" s="698"/>
      <c r="Q71" s="698"/>
      <c r="R71" s="698"/>
      <c r="S71" s="698"/>
      <c r="T71" s="698"/>
    </row>
    <row r="72" spans="2:23" x14ac:dyDescent="0.35">
      <c r="B72" s="1610">
        <v>3</v>
      </c>
      <c r="C72" s="599" t="s">
        <v>614</v>
      </c>
      <c r="D72" s="1611">
        <v>68305</v>
      </c>
      <c r="E72" s="1611">
        <v>85170</v>
      </c>
      <c r="F72" s="1611">
        <v>102035</v>
      </c>
      <c r="G72" s="1612">
        <v>118901</v>
      </c>
      <c r="I72" s="1614"/>
      <c r="K72" s="1441"/>
      <c r="N72" s="698"/>
      <c r="O72" s="698"/>
      <c r="P72" s="698"/>
      <c r="Q72" s="698"/>
      <c r="R72" s="698"/>
      <c r="S72" s="698"/>
      <c r="T72" s="698"/>
    </row>
    <row r="73" spans="2:23" x14ac:dyDescent="0.35">
      <c r="B73" s="1610">
        <v>4</v>
      </c>
      <c r="C73" s="599" t="s">
        <v>2481</v>
      </c>
      <c r="D73" s="1611">
        <v>50436</v>
      </c>
      <c r="E73" s="1611">
        <v>62890</v>
      </c>
      <c r="F73" s="1611">
        <v>75343</v>
      </c>
      <c r="G73" s="1612">
        <v>87797</v>
      </c>
      <c r="I73" s="1614"/>
      <c r="K73" s="1441"/>
      <c r="N73" s="698"/>
      <c r="O73" s="698"/>
      <c r="P73" s="698"/>
      <c r="Q73" s="698"/>
      <c r="R73" s="698"/>
      <c r="S73" s="698"/>
      <c r="T73" s="698"/>
    </row>
    <row r="74" spans="2:23" ht="15" thickBot="1" x14ac:dyDescent="0.4">
      <c r="B74" s="1615">
        <v>5</v>
      </c>
      <c r="C74" s="1616" t="s">
        <v>2482</v>
      </c>
      <c r="D74" s="1617">
        <v>51058</v>
      </c>
      <c r="E74" s="1617">
        <v>63665</v>
      </c>
      <c r="F74" s="1617">
        <v>76272</v>
      </c>
      <c r="G74" s="1618">
        <v>88879</v>
      </c>
      <c r="I74" s="1614"/>
      <c r="K74" s="1441"/>
      <c r="N74" s="698"/>
      <c r="O74" s="698"/>
      <c r="P74" s="698"/>
      <c r="Q74" s="698"/>
      <c r="R74" s="698"/>
      <c r="S74" s="698"/>
      <c r="T74" s="698"/>
    </row>
    <row r="75" spans="2:23" ht="15" thickBot="1" x14ac:dyDescent="0.4">
      <c r="B75" s="1398"/>
      <c r="I75" s="1614"/>
      <c r="K75" s="1441"/>
      <c r="N75" s="698"/>
      <c r="O75" s="698"/>
      <c r="P75" s="698"/>
      <c r="Q75" s="698"/>
      <c r="R75" s="698"/>
      <c r="S75" s="698"/>
      <c r="T75" s="698"/>
      <c r="U75" s="698"/>
      <c r="V75" s="698"/>
      <c r="W75" s="698"/>
    </row>
    <row r="76" spans="2:23" x14ac:dyDescent="0.35">
      <c r="B76" s="784" t="s">
        <v>2376</v>
      </c>
      <c r="C76" s="1628">
        <v>0.8</v>
      </c>
      <c r="D76" s="1621"/>
      <c r="E76" s="1614"/>
      <c r="F76" s="1614"/>
      <c r="G76" s="1614"/>
      <c r="H76" s="1614"/>
      <c r="I76" s="1614"/>
      <c r="K76" s="1441"/>
      <c r="N76" s="698"/>
      <c r="O76" s="698"/>
      <c r="P76" s="698"/>
      <c r="Q76" s="698"/>
      <c r="R76" s="698"/>
      <c r="S76" s="698"/>
      <c r="T76" s="698"/>
      <c r="U76" s="698"/>
      <c r="V76" s="698"/>
      <c r="W76" s="698"/>
    </row>
    <row r="77" spans="2:23" x14ac:dyDescent="0.35">
      <c r="B77" s="749" t="s">
        <v>2507</v>
      </c>
      <c r="C77" s="1629">
        <v>0.9</v>
      </c>
      <c r="D77" s="1621"/>
      <c r="E77" s="1619"/>
      <c r="F77" s="1619"/>
      <c r="G77" s="1619"/>
      <c r="H77" s="1619"/>
      <c r="I77" s="1619"/>
      <c r="K77" s="1441"/>
      <c r="N77" s="698"/>
      <c r="O77" s="698"/>
      <c r="P77" s="698"/>
      <c r="Q77" s="698"/>
      <c r="R77" s="698"/>
      <c r="S77" s="698"/>
      <c r="T77" s="698"/>
      <c r="U77" s="698"/>
      <c r="V77" s="698"/>
      <c r="W77" s="698"/>
    </row>
    <row r="78" spans="2:23" x14ac:dyDescent="0.35">
      <c r="B78" s="749" t="s">
        <v>2498</v>
      </c>
      <c r="C78" s="1630">
        <v>0.15</v>
      </c>
      <c r="D78" s="1621"/>
      <c r="E78" s="1619"/>
      <c r="F78" s="1619"/>
      <c r="G78" s="1619"/>
      <c r="H78" s="1619"/>
      <c r="I78" s="1619"/>
      <c r="K78" s="1441"/>
      <c r="N78" s="698"/>
      <c r="O78" s="698"/>
      <c r="P78" s="698"/>
      <c r="Q78" s="698"/>
      <c r="R78" s="698"/>
      <c r="S78" s="698"/>
      <c r="T78" s="698"/>
      <c r="U78" s="698"/>
      <c r="V78" s="698"/>
      <c r="W78" s="698"/>
    </row>
    <row r="79" spans="2:23" x14ac:dyDescent="0.35">
      <c r="B79" s="749" t="s">
        <v>2500</v>
      </c>
      <c r="C79" s="1630">
        <v>0.6</v>
      </c>
      <c r="D79" s="1621"/>
      <c r="E79" s="1619"/>
      <c r="F79" s="1619"/>
      <c r="G79" s="1619"/>
      <c r="H79" s="1619"/>
      <c r="I79" s="1619"/>
      <c r="K79" s="1441"/>
      <c r="N79" s="698"/>
      <c r="O79" s="698"/>
      <c r="P79" s="698"/>
      <c r="Q79" s="698"/>
      <c r="R79" s="698"/>
      <c r="S79" s="698"/>
      <c r="T79" s="698"/>
      <c r="U79" s="698"/>
      <c r="V79" s="698"/>
      <c r="W79" s="698"/>
    </row>
    <row r="80" spans="2:23" ht="15" thickBot="1" x14ac:dyDescent="0.4">
      <c r="B80" s="765" t="s">
        <v>440</v>
      </c>
      <c r="C80" s="1631">
        <v>1</v>
      </c>
      <c r="D80" s="1621"/>
      <c r="E80" s="1619"/>
      <c r="F80" s="1619"/>
      <c r="G80" s="1619"/>
      <c r="H80" s="1619"/>
      <c r="I80" s="1619"/>
      <c r="K80" s="1441"/>
      <c r="N80" s="698"/>
      <c r="O80" s="698"/>
      <c r="P80" s="698"/>
      <c r="Q80" s="698"/>
      <c r="R80" s="698"/>
      <c r="S80" s="698"/>
      <c r="T80" s="698"/>
      <c r="U80" s="698"/>
      <c r="V80" s="698"/>
      <c r="W80" s="698"/>
    </row>
    <row r="81" spans="1:23" ht="15" thickBot="1" x14ac:dyDescent="0.4">
      <c r="D81" s="1621"/>
      <c r="E81" s="1619"/>
      <c r="F81" s="1619"/>
      <c r="G81" s="1619"/>
      <c r="H81" s="1619"/>
      <c r="I81" s="1619"/>
      <c r="K81" s="1441"/>
      <c r="N81" s="698"/>
      <c r="O81" s="698"/>
      <c r="P81" s="698"/>
      <c r="Q81" s="698"/>
      <c r="R81" s="698"/>
      <c r="S81" s="698"/>
      <c r="T81" s="698"/>
      <c r="U81" s="698"/>
      <c r="V81" s="698"/>
      <c r="W81" s="698"/>
    </row>
    <row r="82" spans="1:23" x14ac:dyDescent="0.35">
      <c r="B82" s="3105" t="s">
        <v>377</v>
      </c>
      <c r="C82" s="3106"/>
      <c r="D82" s="1621"/>
      <c r="E82" s="1614"/>
      <c r="F82" s="1614"/>
      <c r="G82" s="1614"/>
      <c r="H82" s="1614"/>
      <c r="I82" s="1614"/>
      <c r="K82" s="1441"/>
      <c r="L82" s="1394"/>
      <c r="N82" s="698"/>
      <c r="O82" s="698"/>
      <c r="P82" s="698"/>
      <c r="Q82" s="698"/>
      <c r="R82" s="698"/>
      <c r="S82" s="698"/>
      <c r="T82" s="698"/>
      <c r="U82" s="698"/>
      <c r="V82" s="698"/>
      <c r="W82" s="698"/>
    </row>
    <row r="83" spans="1:23" ht="15" thickBot="1" x14ac:dyDescent="0.4">
      <c r="B83" s="1632">
        <v>5.42</v>
      </c>
      <c r="C83" s="1633" t="s">
        <v>2508</v>
      </c>
      <c r="D83" s="1621"/>
      <c r="E83" s="1614"/>
      <c r="F83" s="1614"/>
      <c r="G83" s="1614"/>
      <c r="H83" s="1614"/>
      <c r="I83" s="1614"/>
      <c r="K83" s="1441"/>
      <c r="L83" s="1394"/>
      <c r="N83" s="698"/>
      <c r="O83" s="698"/>
      <c r="P83" s="698"/>
      <c r="Q83" s="698"/>
      <c r="R83" s="698"/>
      <c r="S83" s="698"/>
      <c r="T83" s="698"/>
      <c r="U83" s="698"/>
      <c r="V83" s="698"/>
      <c r="W83" s="698"/>
    </row>
    <row r="84" spans="1:23" x14ac:dyDescent="0.35">
      <c r="B84" s="1398"/>
      <c r="C84" s="1620"/>
      <c r="D84" s="1621"/>
      <c r="E84" s="1614"/>
      <c r="F84" s="1614"/>
      <c r="G84" s="1614"/>
      <c r="H84" s="1614"/>
      <c r="I84" s="1614"/>
      <c r="K84" s="1441"/>
      <c r="L84" s="1394"/>
      <c r="N84" s="698"/>
      <c r="O84" s="698"/>
      <c r="P84" s="698"/>
      <c r="Q84" s="698"/>
      <c r="R84" s="698"/>
      <c r="S84" s="698"/>
      <c r="T84" s="698"/>
      <c r="U84" s="698"/>
      <c r="V84" s="698"/>
      <c r="W84" s="698"/>
    </row>
    <row r="85" spans="1:23" s="1394" customFormat="1" ht="21" x14ac:dyDescent="0.5">
      <c r="A85" s="1395" t="s">
        <v>2012</v>
      </c>
      <c r="M85" s="1195"/>
      <c r="N85" s="698"/>
      <c r="O85" s="698"/>
      <c r="P85" s="698"/>
      <c r="Q85" s="698"/>
      <c r="R85" s="698"/>
      <c r="S85" s="698"/>
      <c r="T85" s="698"/>
      <c r="U85" s="698"/>
      <c r="V85" s="698"/>
      <c r="W85" s="698"/>
    </row>
    <row r="86" spans="1:23" s="1394" customFormat="1" ht="21" x14ac:dyDescent="0.5">
      <c r="A86" s="1395"/>
      <c r="B86" s="1206"/>
      <c r="C86" s="1472"/>
      <c r="M86" s="1195"/>
      <c r="N86" s="698"/>
      <c r="O86" s="698"/>
      <c r="P86" s="698"/>
      <c r="Q86" s="698"/>
      <c r="R86" s="698"/>
      <c r="S86" s="698"/>
      <c r="T86" s="698"/>
      <c r="U86" s="698"/>
      <c r="V86" s="698"/>
      <c r="W86" s="698"/>
    </row>
    <row r="87" spans="1:23" s="1394" customFormat="1" ht="15" thickBot="1" x14ac:dyDescent="0.4">
      <c r="D87" s="3060"/>
      <c r="E87" s="3060"/>
      <c r="K87" s="1206"/>
      <c r="M87" s="1195"/>
      <c r="N87" s="698"/>
      <c r="O87" s="698"/>
      <c r="P87" s="698"/>
      <c r="Q87" s="698"/>
      <c r="R87" s="698"/>
      <c r="S87" s="698"/>
      <c r="T87" s="698"/>
      <c r="U87" s="698"/>
      <c r="V87" s="698"/>
      <c r="W87" s="698"/>
    </row>
    <row r="88" spans="1:23" s="1394" customFormat="1" x14ac:dyDescent="0.35">
      <c r="B88" s="1634"/>
      <c r="C88" s="1635" t="s">
        <v>2184</v>
      </c>
      <c r="D88" s="1475"/>
      <c r="E88" s="1476"/>
      <c r="F88" s="1476"/>
      <c r="G88" s="1476"/>
      <c r="H88" s="1476"/>
      <c r="I88" s="1476"/>
      <c r="J88" s="1476"/>
      <c r="K88" s="1476"/>
      <c r="L88" s="1476"/>
      <c r="M88" s="1195"/>
      <c r="N88" s="698"/>
      <c r="O88" s="698"/>
      <c r="P88" s="698"/>
      <c r="Q88" s="698"/>
      <c r="R88" s="698"/>
      <c r="S88" s="698"/>
      <c r="T88" s="698"/>
      <c r="U88" s="698"/>
      <c r="V88" s="698"/>
      <c r="W88" s="698"/>
    </row>
    <row r="89" spans="1:23" s="1394" customFormat="1" ht="15" thickBot="1" x14ac:dyDescent="0.4">
      <c r="B89" s="1636" t="s">
        <v>2509</v>
      </c>
      <c r="C89" s="1637">
        <v>6.2176099999999996</v>
      </c>
      <c r="D89" s="1478"/>
      <c r="E89" s="1476"/>
      <c r="F89" s="1476"/>
      <c r="G89" s="1476"/>
      <c r="H89" s="1476"/>
      <c r="I89" s="1476"/>
      <c r="J89" s="1476"/>
      <c r="K89" s="1476"/>
      <c r="L89" s="1476"/>
      <c r="M89" s="1195"/>
      <c r="N89" s="698"/>
      <c r="O89" s="698"/>
      <c r="P89" s="698"/>
      <c r="Q89" s="698"/>
      <c r="R89" s="698"/>
      <c r="S89" s="698"/>
      <c r="T89" s="698"/>
      <c r="U89" s="698"/>
      <c r="V89" s="698"/>
      <c r="W89" s="698"/>
    </row>
    <row r="90" spans="1:23" s="1394" customFormat="1" x14ac:dyDescent="0.35">
      <c r="D90" s="1478"/>
      <c r="E90" s="1476"/>
      <c r="F90" s="1476"/>
      <c r="G90" s="1476"/>
      <c r="H90" s="1476"/>
      <c r="I90" s="1476"/>
      <c r="J90" s="1476"/>
      <c r="K90" s="1476"/>
      <c r="L90" s="1476"/>
      <c r="M90" s="1195"/>
      <c r="N90" s="698"/>
      <c r="O90" s="698"/>
      <c r="P90" s="698"/>
      <c r="Q90" s="698"/>
      <c r="R90" s="698"/>
      <c r="S90" s="698"/>
      <c r="T90" s="698"/>
      <c r="U90" s="698"/>
      <c r="V90" s="698"/>
      <c r="W90" s="698"/>
    </row>
    <row r="91" spans="1:23" s="1394" customFormat="1" x14ac:dyDescent="0.35">
      <c r="E91" s="1476"/>
      <c r="F91" s="1476"/>
      <c r="G91" s="1476"/>
      <c r="H91" s="1476"/>
      <c r="I91" s="1476"/>
      <c r="J91" s="1476"/>
      <c r="K91" s="1476"/>
      <c r="L91" s="1476"/>
      <c r="M91" s="1195"/>
      <c r="N91" s="698"/>
      <c r="O91" s="698"/>
      <c r="P91" s="698"/>
      <c r="Q91" s="698"/>
      <c r="R91" s="698"/>
      <c r="S91" s="698"/>
      <c r="T91" s="698"/>
      <c r="U91" s="698"/>
      <c r="V91" s="698"/>
      <c r="W91" s="698"/>
    </row>
    <row r="92" spans="1:23" s="1394" customFormat="1" ht="21" x14ac:dyDescent="0.5">
      <c r="A92" s="1395" t="s">
        <v>2014</v>
      </c>
      <c r="E92" s="1476"/>
      <c r="F92" s="1476"/>
      <c r="G92" s="1476"/>
      <c r="H92" s="1476"/>
      <c r="I92" s="1476"/>
      <c r="J92" s="1476"/>
      <c r="K92" s="1476"/>
      <c r="L92" s="1476"/>
      <c r="M92" s="1195"/>
      <c r="N92" s="698"/>
      <c r="O92" s="698"/>
      <c r="P92" s="698"/>
      <c r="Q92" s="698"/>
      <c r="R92" s="698"/>
      <c r="S92" s="698"/>
      <c r="T92" s="698"/>
      <c r="U92" s="698"/>
      <c r="V92" s="698"/>
      <c r="W92" s="698"/>
    </row>
    <row r="93" spans="1:23" s="1394" customFormat="1" ht="21.5" thickBot="1" x14ac:dyDescent="0.55000000000000004">
      <c r="A93" s="1395"/>
      <c r="B93" s="1394" t="s">
        <v>2510</v>
      </c>
      <c r="E93" s="1476"/>
      <c r="F93" s="1476"/>
      <c r="G93" s="1476"/>
      <c r="H93" s="1476"/>
      <c r="I93" s="1476"/>
      <c r="J93" s="1476"/>
      <c r="K93" s="1476"/>
      <c r="L93" s="1476"/>
      <c r="M93" s="1195"/>
      <c r="N93" s="698"/>
      <c r="O93" s="698"/>
      <c r="P93" s="698"/>
      <c r="Q93" s="698"/>
      <c r="R93" s="698"/>
      <c r="S93" s="698"/>
      <c r="T93" s="698"/>
      <c r="U93" s="698"/>
      <c r="V93" s="698"/>
      <c r="W93" s="698"/>
    </row>
    <row r="94" spans="1:23" s="1394" customFormat="1" ht="21.5" thickBot="1" x14ac:dyDescent="0.55000000000000004">
      <c r="A94" s="1395"/>
      <c r="B94" s="1638" t="s">
        <v>2511</v>
      </c>
      <c r="C94" s="1639" t="s">
        <v>2512</v>
      </c>
      <c r="D94" s="1640" t="s">
        <v>2041</v>
      </c>
      <c r="E94" s="1476"/>
      <c r="F94" s="1476"/>
      <c r="G94" s="1476"/>
      <c r="H94" s="1476"/>
      <c r="I94" s="1476"/>
      <c r="J94" s="1476"/>
      <c r="K94" s="1476"/>
      <c r="L94" s="1476"/>
      <c r="M94" s="1195"/>
      <c r="N94" s="698"/>
      <c r="O94" s="698"/>
      <c r="P94" s="698"/>
      <c r="Q94" s="698"/>
      <c r="R94" s="698"/>
      <c r="S94" s="698"/>
      <c r="T94" s="698"/>
      <c r="U94" s="698"/>
      <c r="V94" s="698"/>
      <c r="W94" s="698"/>
    </row>
    <row r="95" spans="1:23" s="1394" customFormat="1" ht="21" x14ac:dyDescent="0.5">
      <c r="A95" s="1395"/>
      <c r="B95" s="1641">
        <v>150</v>
      </c>
      <c r="C95" s="1642">
        <f>B95*150/10</f>
        <v>2250</v>
      </c>
      <c r="D95" s="1643">
        <v>3</v>
      </c>
      <c r="E95" s="1476"/>
      <c r="F95" s="1476"/>
      <c r="G95" s="1476"/>
      <c r="H95" s="1476"/>
      <c r="I95" s="1476"/>
      <c r="J95" s="1476"/>
      <c r="K95" s="1476"/>
      <c r="L95" s="1476"/>
      <c r="M95" s="1195"/>
      <c r="N95" s="698"/>
      <c r="O95" s="698"/>
      <c r="P95" s="698"/>
      <c r="Q95" s="698"/>
      <c r="R95" s="698"/>
      <c r="S95" s="698"/>
      <c r="T95" s="698"/>
      <c r="U95" s="698"/>
      <c r="V95" s="698"/>
      <c r="W95" s="698"/>
    </row>
    <row r="96" spans="1:23" s="1394" customFormat="1" ht="21" x14ac:dyDescent="0.5">
      <c r="A96" s="1395"/>
      <c r="B96" s="1644">
        <v>250</v>
      </c>
      <c r="C96" s="1645">
        <f t="shared" ref="C96:C99" si="0">B96*150/10</f>
        <v>3750</v>
      </c>
      <c r="D96" s="1646">
        <v>4</v>
      </c>
      <c r="E96" s="1476"/>
      <c r="F96" s="1476"/>
      <c r="G96" s="1476"/>
      <c r="H96" s="1476"/>
      <c r="I96" s="1476"/>
      <c r="J96" s="1476"/>
      <c r="K96" s="1476"/>
      <c r="L96" s="1476"/>
      <c r="M96" s="1195"/>
      <c r="N96" s="698"/>
      <c r="O96" s="698"/>
      <c r="P96" s="698"/>
      <c r="Q96" s="698"/>
      <c r="R96" s="698"/>
      <c r="S96" s="698"/>
      <c r="T96" s="698"/>
      <c r="U96" s="698"/>
      <c r="V96" s="698"/>
      <c r="W96" s="698"/>
    </row>
    <row r="97" spans="1:28" s="1394" customFormat="1" ht="21" x14ac:dyDescent="0.5">
      <c r="A97" s="1395"/>
      <c r="B97" s="1647">
        <v>350</v>
      </c>
      <c r="C97" s="1648">
        <f t="shared" si="0"/>
        <v>5250</v>
      </c>
      <c r="D97" s="1649">
        <v>4</v>
      </c>
      <c r="E97" s="1476"/>
      <c r="F97" s="1476"/>
      <c r="G97" s="1476"/>
      <c r="H97" s="1476"/>
      <c r="I97" s="1476"/>
      <c r="J97" s="1476"/>
      <c r="K97" s="1476"/>
      <c r="L97" s="1476"/>
      <c r="M97" s="1195"/>
      <c r="N97" s="698"/>
      <c r="O97" s="698"/>
      <c r="P97" s="698"/>
      <c r="Q97" s="698"/>
      <c r="R97" s="698"/>
      <c r="S97" s="698"/>
      <c r="T97" s="698"/>
      <c r="U97" s="698"/>
      <c r="V97" s="698"/>
      <c r="W97" s="698"/>
    </row>
    <row r="98" spans="1:28" s="1394" customFormat="1" ht="21" x14ac:dyDescent="0.5">
      <c r="A98" s="1395"/>
      <c r="B98" s="1644">
        <v>500</v>
      </c>
      <c r="C98" s="1645">
        <f t="shared" si="0"/>
        <v>7500</v>
      </c>
      <c r="D98" s="1646">
        <v>10</v>
      </c>
      <c r="E98" s="1476"/>
      <c r="F98" s="1476"/>
      <c r="G98" s="1476"/>
      <c r="H98" s="1476"/>
      <c r="I98" s="1476"/>
      <c r="J98" s="1476"/>
      <c r="K98" s="1476"/>
      <c r="L98" s="1476"/>
      <c r="M98" s="1195"/>
      <c r="N98" s="698"/>
      <c r="O98" s="698"/>
      <c r="P98" s="698"/>
      <c r="Q98" s="698"/>
      <c r="R98" s="698"/>
      <c r="S98" s="698"/>
      <c r="T98" s="698"/>
      <c r="U98" s="698"/>
      <c r="V98" s="698"/>
      <c r="W98" s="698"/>
    </row>
    <row r="99" spans="1:28" s="1394" customFormat="1" ht="21.5" thickBot="1" x14ac:dyDescent="0.55000000000000004">
      <c r="A99" s="1395"/>
      <c r="B99" s="1650">
        <v>600</v>
      </c>
      <c r="C99" s="1651">
        <f t="shared" si="0"/>
        <v>9000</v>
      </c>
      <c r="D99" s="1652">
        <v>3</v>
      </c>
      <c r="E99" s="1476"/>
      <c r="F99" s="1476"/>
      <c r="G99" s="1476"/>
      <c r="H99" s="1476"/>
      <c r="I99" s="1476"/>
      <c r="J99" s="1476"/>
      <c r="K99" s="1476"/>
      <c r="L99" s="1476"/>
      <c r="M99" s="1195"/>
      <c r="N99" s="698"/>
      <c r="O99" s="698"/>
      <c r="P99" s="698"/>
      <c r="Q99" s="698"/>
      <c r="R99" s="698"/>
      <c r="S99" s="698"/>
      <c r="T99" s="698"/>
      <c r="U99" s="698"/>
      <c r="V99" s="698"/>
      <c r="W99" s="698"/>
    </row>
    <row r="100" spans="1:28" s="1394" customFormat="1" x14ac:dyDescent="0.35">
      <c r="E100" s="1476"/>
      <c r="F100" s="1476"/>
      <c r="G100" s="1476"/>
      <c r="H100" s="1476"/>
      <c r="I100" s="1476"/>
      <c r="J100" s="1476"/>
      <c r="K100" s="1476"/>
      <c r="L100" s="1476"/>
      <c r="M100" s="1195"/>
      <c r="N100" s="698"/>
      <c r="O100" s="698"/>
      <c r="P100" s="698"/>
      <c r="Q100" s="698"/>
      <c r="R100" s="698"/>
      <c r="S100" s="698"/>
      <c r="T100" s="698"/>
      <c r="U100" s="698"/>
      <c r="V100" s="698"/>
      <c r="W100" s="698"/>
    </row>
    <row r="101" spans="1:28" s="1394" customFormat="1" ht="15" customHeight="1" thickBot="1" x14ac:dyDescent="0.4">
      <c r="B101" s="1653"/>
      <c r="E101" s="1476"/>
      <c r="F101" s="1476"/>
      <c r="G101" s="1476"/>
      <c r="I101" s="1476"/>
      <c r="J101" s="1476"/>
      <c r="K101" s="1476"/>
      <c r="L101" s="1476"/>
      <c r="M101" s="1195"/>
      <c r="N101" s="698"/>
      <c r="O101" s="698"/>
      <c r="P101" s="698"/>
      <c r="Q101" s="698"/>
      <c r="R101" s="698"/>
      <c r="S101" s="698"/>
      <c r="T101" s="698"/>
      <c r="U101" s="698"/>
      <c r="V101" s="698"/>
      <c r="W101" s="698"/>
    </row>
    <row r="102" spans="1:28" s="1394" customFormat="1" ht="43.5" x14ac:dyDescent="0.35">
      <c r="B102" s="1654" t="s">
        <v>2513</v>
      </c>
      <c r="C102" s="1655" t="s">
        <v>2514</v>
      </c>
      <c r="I102" s="1476"/>
      <c r="J102" s="1476"/>
      <c r="K102" s="1476"/>
      <c r="L102" s="1476"/>
      <c r="M102" s="1195"/>
      <c r="N102" s="698"/>
      <c r="O102" s="698"/>
      <c r="P102" s="698"/>
      <c r="Q102" s="698"/>
      <c r="R102" s="698"/>
      <c r="S102" s="698"/>
      <c r="T102" s="698"/>
      <c r="U102" s="698"/>
      <c r="V102" s="698"/>
      <c r="W102" s="698"/>
    </row>
    <row r="103" spans="1:28" s="1394" customFormat="1" x14ac:dyDescent="0.35">
      <c r="B103" s="1656">
        <v>75</v>
      </c>
      <c r="C103" s="1657">
        <v>0.1</v>
      </c>
      <c r="E103" s="1476"/>
      <c r="F103" s="1476"/>
      <c r="G103" s="1476"/>
      <c r="I103" s="1476"/>
      <c r="J103" s="1476"/>
      <c r="K103" s="1476"/>
      <c r="L103" s="1476"/>
      <c r="M103" s="1195"/>
      <c r="N103" s="698"/>
      <c r="O103" s="698"/>
      <c r="P103" s="698"/>
      <c r="Q103" s="698"/>
      <c r="R103" s="698"/>
      <c r="S103" s="698"/>
      <c r="T103" s="698"/>
      <c r="U103" s="698"/>
      <c r="V103" s="698"/>
      <c r="W103" s="698"/>
    </row>
    <row r="104" spans="1:28" s="1394" customFormat="1" x14ac:dyDescent="0.35">
      <c r="B104" s="1658">
        <v>85</v>
      </c>
      <c r="C104" s="1659">
        <v>0.2</v>
      </c>
      <c r="E104" s="1476"/>
      <c r="F104" s="1476"/>
      <c r="G104" s="1476"/>
      <c r="I104" s="1476"/>
      <c r="J104" s="1476"/>
      <c r="K104" s="1476"/>
      <c r="L104" s="1476"/>
      <c r="M104" s="1195"/>
      <c r="N104" s="698"/>
      <c r="O104" s="698"/>
      <c r="P104" s="698"/>
      <c r="Q104" s="698"/>
      <c r="R104" s="698"/>
      <c r="S104" s="698"/>
      <c r="T104" s="698"/>
      <c r="U104" s="698"/>
      <c r="V104" s="698"/>
      <c r="W104" s="698"/>
    </row>
    <row r="105" spans="1:28" s="1394" customFormat="1" x14ac:dyDescent="0.35">
      <c r="B105" s="1656">
        <v>95</v>
      </c>
      <c r="C105" s="1660">
        <v>0.5</v>
      </c>
      <c r="E105" s="1476"/>
      <c r="F105" s="1476"/>
      <c r="G105" s="1476"/>
      <c r="I105" s="1476"/>
      <c r="J105" s="1476"/>
      <c r="K105" s="1476"/>
      <c r="L105" s="1476"/>
      <c r="M105" s="1195"/>
      <c r="N105" s="698"/>
      <c r="O105" s="698"/>
      <c r="P105" s="698"/>
      <c r="Q105" s="698"/>
      <c r="R105" s="698"/>
      <c r="S105" s="698"/>
      <c r="T105" s="698"/>
      <c r="U105" s="698"/>
      <c r="V105" s="698"/>
      <c r="W105" s="698"/>
    </row>
    <row r="106" spans="1:28" s="1394" customFormat="1" ht="15" thickBot="1" x14ac:dyDescent="0.4">
      <c r="B106" s="1661">
        <v>105</v>
      </c>
      <c r="C106" s="1662">
        <v>0.2</v>
      </c>
      <c r="D106" s="1487" t="str">
        <f>IF(SUM(C103:C106)&lt;&gt;1,"Participation must add up to 100%","")</f>
        <v/>
      </c>
      <c r="M106" s="1195"/>
      <c r="N106" s="698"/>
      <c r="O106" s="698"/>
      <c r="P106" s="698"/>
      <c r="Q106" s="698"/>
      <c r="R106" s="698"/>
      <c r="S106" s="698"/>
      <c r="T106" s="698"/>
      <c r="U106" s="698"/>
      <c r="V106" s="698"/>
      <c r="W106" s="698"/>
    </row>
    <row r="107" spans="1:28" s="1394" customFormat="1" x14ac:dyDescent="0.35">
      <c r="M107" s="1195"/>
      <c r="N107" s="698"/>
      <c r="O107" s="698"/>
      <c r="P107" s="698"/>
      <c r="Q107" s="698"/>
      <c r="R107" s="698"/>
      <c r="S107" s="698"/>
      <c r="T107" s="698"/>
      <c r="U107" s="698"/>
      <c r="V107" s="698"/>
      <c r="W107" s="698"/>
    </row>
    <row r="108" spans="1:28" s="1394" customFormat="1" ht="15" thickBot="1" x14ac:dyDescent="0.4">
      <c r="M108" s="1195"/>
      <c r="N108" s="698"/>
      <c r="O108" s="698"/>
      <c r="P108" s="698"/>
      <c r="Q108" s="698"/>
      <c r="R108" s="698"/>
      <c r="S108" s="698"/>
      <c r="T108" s="698"/>
      <c r="U108" s="698"/>
      <c r="V108" s="698"/>
      <c r="W108" s="698"/>
    </row>
    <row r="109" spans="1:28" s="1394" customFormat="1" ht="43.5" x14ac:dyDescent="0.35">
      <c r="B109" s="1663" t="s">
        <v>1389</v>
      </c>
      <c r="C109" s="1655" t="s">
        <v>2514</v>
      </c>
      <c r="M109" s="1195"/>
      <c r="N109" s="698"/>
      <c r="O109" s="698"/>
      <c r="P109" s="698"/>
      <c r="Q109" s="698"/>
      <c r="R109" s="698"/>
      <c r="S109" s="698"/>
      <c r="T109" s="698"/>
      <c r="U109" s="698"/>
      <c r="V109" s="698"/>
      <c r="W109" s="698"/>
    </row>
    <row r="110" spans="1:28" s="1394" customFormat="1" ht="18.5" x14ac:dyDescent="0.45">
      <c r="B110" s="1664">
        <v>8766</v>
      </c>
      <c r="C110" s="1657">
        <v>0.2</v>
      </c>
      <c r="J110" s="1492"/>
      <c r="L110" s="1492"/>
      <c r="M110" s="1492"/>
      <c r="N110" s="1492"/>
      <c r="O110" s="1492"/>
      <c r="P110" s="1492"/>
      <c r="Q110" s="1492"/>
      <c r="R110" s="1492"/>
      <c r="S110" s="698"/>
      <c r="T110" s="698"/>
      <c r="U110" s="698"/>
      <c r="V110" s="698"/>
      <c r="W110" s="698"/>
      <c r="X110" s="1492"/>
      <c r="Y110" s="1492"/>
      <c r="Z110" s="1492"/>
      <c r="AA110" s="1492"/>
      <c r="AB110" s="1492"/>
    </row>
    <row r="111" spans="1:28" s="1394" customFormat="1" ht="15" customHeight="1" x14ac:dyDescent="0.35">
      <c r="B111" s="1665">
        <v>7300</v>
      </c>
      <c r="C111" s="1659">
        <v>0.2</v>
      </c>
      <c r="E111" s="1494"/>
      <c r="F111" s="1495"/>
      <c r="G111" s="1494"/>
      <c r="I111" s="1494"/>
      <c r="J111" s="1495"/>
      <c r="K111" s="1494"/>
      <c r="L111" s="1495"/>
      <c r="M111" s="1496"/>
      <c r="N111" s="1495"/>
      <c r="O111" s="1495"/>
      <c r="P111" s="1496"/>
      <c r="S111" s="698"/>
    </row>
    <row r="112" spans="1:28" s="1394" customFormat="1" x14ac:dyDescent="0.35">
      <c r="B112" s="1664">
        <v>5266</v>
      </c>
      <c r="C112" s="1666">
        <v>0.5</v>
      </c>
      <c r="D112" s="1498"/>
      <c r="E112" s="1498"/>
      <c r="F112" s="1495"/>
      <c r="G112" s="1498"/>
      <c r="I112" s="1498"/>
      <c r="J112" s="1495"/>
      <c r="K112" s="1498"/>
      <c r="L112" s="1495"/>
      <c r="M112" s="1495"/>
      <c r="N112" s="1495"/>
      <c r="O112" s="1495"/>
      <c r="P112" s="1496"/>
    </row>
    <row r="113" spans="1:29" s="1394" customFormat="1" ht="15" thickBot="1" x14ac:dyDescent="0.4">
      <c r="B113" s="1667">
        <v>3911</v>
      </c>
      <c r="C113" s="1668">
        <v>0.1</v>
      </c>
      <c r="D113" s="1487" t="str">
        <f>IF(SUM(C110:C113)&lt;&gt;1,"Participation must add up to 100%","")</f>
        <v/>
      </c>
    </row>
    <row r="114" spans="1:29" s="1394" customFormat="1" ht="15" thickBot="1" x14ac:dyDescent="0.4"/>
    <row r="115" spans="1:29" s="1394" customFormat="1" ht="43.5" x14ac:dyDescent="0.35">
      <c r="B115" s="1654" t="s">
        <v>353</v>
      </c>
      <c r="C115" s="1669" t="s">
        <v>2515</v>
      </c>
      <c r="D115" s="1655" t="s">
        <v>2514</v>
      </c>
    </row>
    <row r="116" spans="1:29" s="1394" customFormat="1" x14ac:dyDescent="0.35">
      <c r="B116" s="1656">
        <v>1</v>
      </c>
      <c r="C116" s="1670" t="s">
        <v>2478</v>
      </c>
      <c r="D116" s="1671">
        <v>0</v>
      </c>
    </row>
    <row r="117" spans="1:29" s="1394" customFormat="1" x14ac:dyDescent="0.35">
      <c r="B117" s="1658">
        <v>2</v>
      </c>
      <c r="C117" s="1672" t="s">
        <v>2479</v>
      </c>
      <c r="D117" s="1659">
        <v>0.25</v>
      </c>
    </row>
    <row r="118" spans="1:29" s="1394" customFormat="1" x14ac:dyDescent="0.35">
      <c r="B118" s="1656">
        <v>3</v>
      </c>
      <c r="C118" s="1670" t="s">
        <v>614</v>
      </c>
      <c r="D118" s="1671">
        <v>0.6</v>
      </c>
    </row>
    <row r="119" spans="1:29" s="1394" customFormat="1" x14ac:dyDescent="0.35">
      <c r="B119" s="1658">
        <v>4</v>
      </c>
      <c r="C119" s="1672" t="s">
        <v>2481</v>
      </c>
      <c r="D119" s="1659">
        <v>0.15</v>
      </c>
    </row>
    <row r="120" spans="1:29" s="1394" customFormat="1" ht="15" thickBot="1" x14ac:dyDescent="0.4">
      <c r="B120" s="1673">
        <v>5</v>
      </c>
      <c r="C120" s="1674" t="s">
        <v>2482</v>
      </c>
      <c r="D120" s="1675">
        <v>0</v>
      </c>
      <c r="E120" s="1487" t="str">
        <f>IF(SUM(D116:D120)&lt;&gt;1,"Participation must add up to 100%","")</f>
        <v/>
      </c>
    </row>
    <row r="121" spans="1:29" s="1394" customFormat="1" x14ac:dyDescent="0.35"/>
    <row r="122" spans="1:29" s="1394" customFormat="1" ht="21.5" thickBot="1" x14ac:dyDescent="0.55000000000000004">
      <c r="A122" s="1395" t="s">
        <v>2036</v>
      </c>
    </row>
    <row r="123" spans="1:29" s="1394" customFormat="1" ht="15.75" customHeight="1" thickBot="1" x14ac:dyDescent="0.4">
      <c r="M123" s="3112" t="s">
        <v>2516</v>
      </c>
      <c r="N123" s="3113"/>
      <c r="O123" s="3113"/>
      <c r="P123" s="3113"/>
      <c r="Q123" s="3113"/>
      <c r="R123" s="3113"/>
      <c r="S123" s="3113"/>
      <c r="T123" s="3114"/>
    </row>
    <row r="124" spans="1:29" s="1394" customFormat="1" ht="26.25" customHeight="1" thickBot="1" x14ac:dyDescent="0.5">
      <c r="A124" s="1394" t="s">
        <v>2517</v>
      </c>
      <c r="B124" s="3118" t="s">
        <v>2182</v>
      </c>
      <c r="C124" s="3119"/>
      <c r="D124" s="3119"/>
      <c r="E124" s="3119"/>
      <c r="F124" s="3119"/>
      <c r="G124" s="3119"/>
      <c r="H124" s="3119"/>
      <c r="I124" s="3119"/>
      <c r="J124" s="3119"/>
      <c r="K124" s="3120"/>
      <c r="M124" s="3115"/>
      <c r="N124" s="3116"/>
      <c r="O124" s="3116"/>
      <c r="P124" s="3116"/>
      <c r="Q124" s="3116"/>
      <c r="R124" s="3116"/>
      <c r="S124" s="3116"/>
      <c r="T124" s="3117"/>
      <c r="Y124" s="3102" t="s">
        <v>2518</v>
      </c>
      <c r="Z124" s="3103"/>
      <c r="AA124" s="3103"/>
      <c r="AB124" s="3103"/>
      <c r="AC124" s="3104"/>
    </row>
    <row r="125" spans="1:29" s="1394" customFormat="1" ht="44" thickBot="1" x14ac:dyDescent="0.4">
      <c r="B125" s="1676" t="s">
        <v>1389</v>
      </c>
      <c r="C125" s="1677" t="s">
        <v>2519</v>
      </c>
      <c r="D125" s="1677" t="s">
        <v>2513</v>
      </c>
      <c r="E125" s="1677" t="s">
        <v>2520</v>
      </c>
      <c r="F125" s="1678" t="s">
        <v>353</v>
      </c>
      <c r="G125" s="1677" t="s">
        <v>2521</v>
      </c>
      <c r="H125" s="1679" t="s">
        <v>2522</v>
      </c>
      <c r="I125" s="1680" t="s">
        <v>2523</v>
      </c>
      <c r="M125" s="1638" t="s">
        <v>2511</v>
      </c>
      <c r="N125" s="1639" t="s">
        <v>2512</v>
      </c>
      <c r="O125" s="1640" t="s">
        <v>2041</v>
      </c>
      <c r="P125" s="1681" t="s">
        <v>2524</v>
      </c>
      <c r="Q125" s="1681" t="s">
        <v>2525</v>
      </c>
      <c r="R125" s="1681" t="s">
        <v>2526</v>
      </c>
      <c r="S125" s="1681" t="s">
        <v>2527</v>
      </c>
      <c r="T125" s="1681" t="s">
        <v>2528</v>
      </c>
      <c r="Y125" s="1681" t="s">
        <v>2529</v>
      </c>
      <c r="Z125" s="1681" t="s">
        <v>709</v>
      </c>
      <c r="AA125" s="1681" t="s">
        <v>2530</v>
      </c>
      <c r="AB125" s="1681" t="s">
        <v>2184</v>
      </c>
      <c r="AC125" s="1681" t="s">
        <v>377</v>
      </c>
    </row>
    <row r="126" spans="1:29" s="1394" customFormat="1" ht="29.5" thickBot="1" x14ac:dyDescent="0.4">
      <c r="B126" s="1682">
        <v>8766</v>
      </c>
      <c r="C126" s="1683">
        <f>VLOOKUP($B126,$B$110:$C$113,2,FALSE)</f>
        <v>0.2</v>
      </c>
      <c r="D126" s="1682">
        <v>75</v>
      </c>
      <c r="E126" s="1683">
        <f>VLOOKUP($D126,$B$103:$C$106,2,FALSE)</f>
        <v>0.1</v>
      </c>
      <c r="F126" s="1682" t="s">
        <v>2478</v>
      </c>
      <c r="G126" s="1683">
        <f>VLOOKUP($F126,$C$116:$D$120,2,FALSE)</f>
        <v>0</v>
      </c>
      <c r="H126" s="1684">
        <f>D43</f>
        <v>216145</v>
      </c>
      <c r="I126" s="1685">
        <f>H126*G126*E126*C126</f>
        <v>0</v>
      </c>
      <c r="K126" s="1686" t="s">
        <v>2531</v>
      </c>
      <c r="M126" s="1641">
        <f t="shared" ref="M126:O130" si="1">B95</f>
        <v>150</v>
      </c>
      <c r="N126" s="1642">
        <f t="shared" si="1"/>
        <v>2250</v>
      </c>
      <c r="O126" s="1643">
        <f t="shared" si="1"/>
        <v>3</v>
      </c>
      <c r="P126" s="1687">
        <f>$K$127*N126*(1/$C$76-1/$C$77)/100000</f>
        <v>526.35160937499995</v>
      </c>
      <c r="Q126" s="1687">
        <f>-$K$133*N126*$C$78/($C$79*8520)</f>
        <v>-411.79357394366195</v>
      </c>
      <c r="R126" s="1687">
        <f>(Q126/$K$133)*$C$80</f>
        <v>-6.6021126760563376E-2</v>
      </c>
      <c r="S126" s="1687">
        <f>$C$89*M126</f>
        <v>932.64149999999995</v>
      </c>
      <c r="T126" s="1687">
        <f>B$83*M126</f>
        <v>813</v>
      </c>
      <c r="Y126" s="1687">
        <f>P126*O126</f>
        <v>1579.0548281249999</v>
      </c>
      <c r="Z126" s="1687">
        <f>Q126*O126</f>
        <v>-1235.3807218309857</v>
      </c>
      <c r="AA126" s="1687">
        <f>R126*O126</f>
        <v>-0.19806338028169013</v>
      </c>
      <c r="AB126" s="1687">
        <f>S126*O126</f>
        <v>2797.9245000000001</v>
      </c>
      <c r="AC126" s="1687">
        <f>T126*O126</f>
        <v>2439</v>
      </c>
    </row>
    <row r="127" spans="1:29" s="1394" customFormat="1" ht="15" thickBot="1" x14ac:dyDescent="0.4">
      <c r="B127" s="1682">
        <v>8766</v>
      </c>
      <c r="C127" s="1683">
        <f>VLOOKUP($B127,$B$110:$C$113,2,FALSE)</f>
        <v>0.2</v>
      </c>
      <c r="D127" s="1682">
        <v>75</v>
      </c>
      <c r="E127" s="1683">
        <f t="shared" ref="E127:E190" si="2">VLOOKUP($D127,$B$103:$C$106,2,FALSE)</f>
        <v>0.1</v>
      </c>
      <c r="F127" s="1682" t="s">
        <v>2479</v>
      </c>
      <c r="G127" s="1683">
        <f t="shared" ref="G127:G190" si="3">VLOOKUP($F127,$C$116:$D$120,2,FALSE)</f>
        <v>0.25</v>
      </c>
      <c r="H127" s="1684">
        <f t="shared" ref="H127:H130" si="4">D44</f>
        <v>203850</v>
      </c>
      <c r="I127" s="1685">
        <f t="shared" ref="I127:I190" si="5">H127*G127*E127*C127</f>
        <v>1019.25</v>
      </c>
      <c r="K127" s="1688">
        <f>SUM(I126:I205)</f>
        <v>168432.51500000001</v>
      </c>
      <c r="M127" s="1644">
        <f t="shared" si="1"/>
        <v>250</v>
      </c>
      <c r="N127" s="1645">
        <f t="shared" si="1"/>
        <v>3750</v>
      </c>
      <c r="O127" s="1646">
        <f t="shared" si="1"/>
        <v>4</v>
      </c>
      <c r="P127" s="1689">
        <f>$K$127*N127*(1/$C$76-1/$C$77)/100000</f>
        <v>877.25268229166647</v>
      </c>
      <c r="Q127" s="1689">
        <f>-$K$133*N127*$C$78/($C$79*8520)</f>
        <v>-686.32262323943667</v>
      </c>
      <c r="R127" s="1689">
        <f>(Q127/$K$133)*$C$80</f>
        <v>-0.11003521126760564</v>
      </c>
      <c r="S127" s="1689">
        <f t="shared" ref="S127:S130" si="6">$C$89*M127</f>
        <v>1554.4024999999999</v>
      </c>
      <c r="T127" s="1689">
        <f t="shared" ref="T127:T130" si="7">B$83*M127</f>
        <v>1355</v>
      </c>
      <c r="Y127" s="1689">
        <f>P127*O127</f>
        <v>3509.0107291666659</v>
      </c>
      <c r="Z127" s="1689">
        <f>Q127*O127</f>
        <v>-2745.2904929577467</v>
      </c>
      <c r="AA127" s="1689">
        <f>R127*O127</f>
        <v>-0.44014084507042256</v>
      </c>
      <c r="AB127" s="1689">
        <f t="shared" ref="AB127:AB130" si="8">S127*O127</f>
        <v>6217.61</v>
      </c>
      <c r="AC127" s="1689">
        <f t="shared" ref="AC127:AC130" si="9">T127*O127</f>
        <v>5420</v>
      </c>
    </row>
    <row r="128" spans="1:29" s="1394" customFormat="1" ht="18.75" customHeight="1" x14ac:dyDescent="0.35">
      <c r="B128" s="1682">
        <v>8766</v>
      </c>
      <c r="C128" s="1683">
        <f t="shared" ref="C128:C191" si="10">VLOOKUP($B128,$B$110:$C$113,2,FALSE)</f>
        <v>0.2</v>
      </c>
      <c r="D128" s="1682">
        <v>75</v>
      </c>
      <c r="E128" s="1683">
        <f t="shared" si="2"/>
        <v>0.1</v>
      </c>
      <c r="F128" s="1682" t="s">
        <v>614</v>
      </c>
      <c r="G128" s="1683">
        <f t="shared" si="3"/>
        <v>0.6</v>
      </c>
      <c r="H128" s="1684">
        <f t="shared" si="4"/>
        <v>172329</v>
      </c>
      <c r="I128" s="1685">
        <f t="shared" si="5"/>
        <v>2067.9479999999999</v>
      </c>
      <c r="M128" s="1647">
        <f t="shared" si="1"/>
        <v>350</v>
      </c>
      <c r="N128" s="1648">
        <f t="shared" si="1"/>
        <v>5250</v>
      </c>
      <c r="O128" s="1649">
        <f t="shared" si="1"/>
        <v>4</v>
      </c>
      <c r="P128" s="1690">
        <f>$K$127*N128*(1/$C$76-1/$C$77)/100000</f>
        <v>1228.1537552083332</v>
      </c>
      <c r="Q128" s="1690">
        <f>-$K$133*N128*$C$78/($C$79*8520)</f>
        <v>-960.85167253521126</v>
      </c>
      <c r="R128" s="1690">
        <f>(Q128/$K$133)*$C$80</f>
        <v>-0.15404929577464788</v>
      </c>
      <c r="S128" s="1690">
        <f t="shared" si="6"/>
        <v>2176.1634999999997</v>
      </c>
      <c r="T128" s="1690">
        <f t="shared" si="7"/>
        <v>1897</v>
      </c>
      <c r="Y128" s="1690">
        <f>P128*O128</f>
        <v>4912.6150208333329</v>
      </c>
      <c r="Z128" s="1690">
        <f>Q128*O128</f>
        <v>-3843.4066901408451</v>
      </c>
      <c r="AA128" s="1690">
        <f>R128*O128</f>
        <v>-0.61619718309859151</v>
      </c>
      <c r="AB128" s="1690">
        <f t="shared" si="8"/>
        <v>8704.6539999999986</v>
      </c>
      <c r="AC128" s="1690">
        <f t="shared" si="9"/>
        <v>7588</v>
      </c>
    </row>
    <row r="129" spans="2:29" s="1394" customFormat="1" ht="15" thickBot="1" x14ac:dyDescent="0.4">
      <c r="B129" s="1682">
        <v>8766</v>
      </c>
      <c r="C129" s="1683">
        <f t="shared" si="10"/>
        <v>0.2</v>
      </c>
      <c r="D129" s="1682">
        <v>75</v>
      </c>
      <c r="E129" s="1683">
        <f t="shared" si="2"/>
        <v>0.1</v>
      </c>
      <c r="F129" s="1682" t="s">
        <v>2481</v>
      </c>
      <c r="G129" s="1683">
        <f t="shared" si="3"/>
        <v>0.15</v>
      </c>
      <c r="H129" s="1684">
        <f t="shared" si="4"/>
        <v>127248</v>
      </c>
      <c r="I129" s="1685">
        <f t="shared" si="5"/>
        <v>381.74400000000009</v>
      </c>
      <c r="M129" s="1644">
        <f t="shared" si="1"/>
        <v>500</v>
      </c>
      <c r="N129" s="1645">
        <f t="shared" si="1"/>
        <v>7500</v>
      </c>
      <c r="O129" s="1646">
        <f t="shared" si="1"/>
        <v>10</v>
      </c>
      <c r="P129" s="1689">
        <f>$K$127*N129*(1/$C$76-1/$C$77)/100000</f>
        <v>1754.5053645833329</v>
      </c>
      <c r="Q129" s="1689">
        <f>-$K$133*N129*$C$78/($C$79*8520)</f>
        <v>-1372.6452464788733</v>
      </c>
      <c r="R129" s="1689">
        <f>(Q129/$K$133)*$C$80</f>
        <v>-0.22007042253521128</v>
      </c>
      <c r="S129" s="1689">
        <f t="shared" si="6"/>
        <v>3108.8049999999998</v>
      </c>
      <c r="T129" s="1689">
        <f t="shared" si="7"/>
        <v>2710</v>
      </c>
      <c r="Y129" s="1689">
        <f>P129*O129</f>
        <v>17545.05364583333</v>
      </c>
      <c r="Z129" s="1689">
        <f>Q129*O129</f>
        <v>-13726.452464788734</v>
      </c>
      <c r="AA129" s="1689">
        <f>R129*O129</f>
        <v>-2.200704225352113</v>
      </c>
      <c r="AB129" s="1689">
        <f t="shared" si="8"/>
        <v>31088.05</v>
      </c>
      <c r="AC129" s="1689">
        <f t="shared" si="9"/>
        <v>27100</v>
      </c>
    </row>
    <row r="130" spans="2:29" s="1394" customFormat="1" ht="15" thickBot="1" x14ac:dyDescent="0.4">
      <c r="B130" s="1691">
        <v>8766</v>
      </c>
      <c r="C130" s="1692">
        <f t="shared" si="10"/>
        <v>0.2</v>
      </c>
      <c r="D130" s="1691">
        <v>75</v>
      </c>
      <c r="E130" s="1692">
        <f t="shared" si="2"/>
        <v>0.1</v>
      </c>
      <c r="F130" s="1691" t="s">
        <v>2482</v>
      </c>
      <c r="G130" s="1692">
        <f t="shared" si="3"/>
        <v>0</v>
      </c>
      <c r="H130" s="1693">
        <f t="shared" si="4"/>
        <v>128817</v>
      </c>
      <c r="I130" s="1694">
        <f t="shared" si="5"/>
        <v>0</v>
      </c>
      <c r="K130" s="3109" t="s">
        <v>2532</v>
      </c>
      <c r="M130" s="1650">
        <f t="shared" si="1"/>
        <v>600</v>
      </c>
      <c r="N130" s="1651">
        <f t="shared" si="1"/>
        <v>9000</v>
      </c>
      <c r="O130" s="1652">
        <f t="shared" si="1"/>
        <v>3</v>
      </c>
      <c r="P130" s="1695">
        <f>$K$127*N130*(1/$C$76-1/$C$77)/100000</f>
        <v>2105.4064374999998</v>
      </c>
      <c r="Q130" s="1695">
        <f>-$K$133*N130*$C$78/($C$79*8520)</f>
        <v>-1647.1742957746478</v>
      </c>
      <c r="R130" s="1695">
        <f>(Q130/$K$133)*$C$80</f>
        <v>-0.2640845070422535</v>
      </c>
      <c r="S130" s="1695">
        <f t="shared" si="6"/>
        <v>3730.5659999999998</v>
      </c>
      <c r="T130" s="1695">
        <f t="shared" si="7"/>
        <v>3252</v>
      </c>
      <c r="Y130" s="1695">
        <f>P130*O130</f>
        <v>6316.2193124999994</v>
      </c>
      <c r="Z130" s="1695">
        <f>Q130*O130</f>
        <v>-4941.522887323943</v>
      </c>
      <c r="AA130" s="1695">
        <f>R130*O130</f>
        <v>-0.79225352112676051</v>
      </c>
      <c r="AB130" s="1695">
        <f t="shared" si="8"/>
        <v>11191.698</v>
      </c>
      <c r="AC130" s="1695">
        <f t="shared" si="9"/>
        <v>9756</v>
      </c>
    </row>
    <row r="131" spans="2:29" s="1394" customFormat="1" ht="19" thickBot="1" x14ac:dyDescent="0.5">
      <c r="B131" s="1696">
        <v>8766</v>
      </c>
      <c r="C131" s="1697">
        <f t="shared" si="10"/>
        <v>0.2</v>
      </c>
      <c r="D131" s="1696">
        <v>85</v>
      </c>
      <c r="E131" s="1697">
        <f t="shared" si="2"/>
        <v>0.2</v>
      </c>
      <c r="F131" s="1696" t="s">
        <v>2478</v>
      </c>
      <c r="G131" s="1697">
        <f t="shared" si="3"/>
        <v>0</v>
      </c>
      <c r="H131" s="1698">
        <f>E43</f>
        <v>268852</v>
      </c>
      <c r="I131" s="1699">
        <f t="shared" si="5"/>
        <v>0</v>
      </c>
      <c r="K131" s="3110"/>
      <c r="P131" s="1492"/>
    </row>
    <row r="132" spans="2:29" s="1394" customFormat="1" ht="19" thickBot="1" x14ac:dyDescent="0.5">
      <c r="B132" s="1696">
        <v>8766</v>
      </c>
      <c r="C132" s="1697">
        <f t="shared" si="10"/>
        <v>0.2</v>
      </c>
      <c r="D132" s="1696">
        <v>85</v>
      </c>
      <c r="E132" s="1697">
        <f t="shared" si="2"/>
        <v>0.2</v>
      </c>
      <c r="F132" s="1696" t="s">
        <v>2479</v>
      </c>
      <c r="G132" s="1697">
        <f t="shared" si="3"/>
        <v>0.25</v>
      </c>
      <c r="H132" s="1698">
        <f t="shared" ref="H132:H135" si="11">E44</f>
        <v>253559</v>
      </c>
      <c r="I132" s="1699">
        <f t="shared" si="5"/>
        <v>2535.59</v>
      </c>
      <c r="K132" s="3111"/>
      <c r="N132" s="1700" t="s">
        <v>2518</v>
      </c>
      <c r="O132" s="1701">
        <f>SUM(O126:O130)</f>
        <v>24</v>
      </c>
      <c r="P132" s="1492"/>
      <c r="X132" s="1700" t="s">
        <v>2518</v>
      </c>
      <c r="Y132" s="1702">
        <f>SUM(Y126:Y130)</f>
        <v>33861.953536458328</v>
      </c>
      <c r="Z132" s="1702">
        <f t="shared" ref="Z132:AC132" si="12">SUM(Z126:Z130)</f>
        <v>-26492.053257042255</v>
      </c>
      <c r="AA132" s="1702">
        <f t="shared" si="12"/>
        <v>-4.2473591549295779</v>
      </c>
      <c r="AB132" s="1702">
        <f t="shared" si="12"/>
        <v>59999.936499999996</v>
      </c>
      <c r="AC132" s="1701">
        <f t="shared" si="12"/>
        <v>52303</v>
      </c>
    </row>
    <row r="133" spans="2:29" s="1394" customFormat="1" ht="19" thickBot="1" x14ac:dyDescent="0.5">
      <c r="B133" s="1696">
        <v>8766</v>
      </c>
      <c r="C133" s="1697">
        <f t="shared" si="10"/>
        <v>0.2</v>
      </c>
      <c r="D133" s="1696">
        <v>85</v>
      </c>
      <c r="E133" s="1697">
        <f t="shared" si="2"/>
        <v>0.2</v>
      </c>
      <c r="F133" s="1696" t="s">
        <v>614</v>
      </c>
      <c r="G133" s="1697">
        <f t="shared" si="3"/>
        <v>0.6</v>
      </c>
      <c r="H133" s="1698">
        <f t="shared" si="11"/>
        <v>214351</v>
      </c>
      <c r="I133" s="1699">
        <f t="shared" si="5"/>
        <v>5144.424</v>
      </c>
      <c r="K133" s="1688">
        <f>SUMPRODUCT(B110:B113,C110:C113)</f>
        <v>6237.3</v>
      </c>
      <c r="P133" s="1492"/>
    </row>
    <row r="134" spans="2:29" s="1394" customFormat="1" ht="18.5" x14ac:dyDescent="0.45">
      <c r="B134" s="1696">
        <v>8766</v>
      </c>
      <c r="C134" s="1697">
        <f t="shared" si="10"/>
        <v>0.2</v>
      </c>
      <c r="D134" s="1696">
        <v>85</v>
      </c>
      <c r="E134" s="1697">
        <f t="shared" si="2"/>
        <v>0.2</v>
      </c>
      <c r="F134" s="1696" t="s">
        <v>2481</v>
      </c>
      <c r="G134" s="1697">
        <f t="shared" si="3"/>
        <v>0.15</v>
      </c>
      <c r="H134" s="1698">
        <f t="shared" si="11"/>
        <v>158278</v>
      </c>
      <c r="I134" s="1699">
        <f t="shared" si="5"/>
        <v>949.66800000000012</v>
      </c>
      <c r="P134" s="1492"/>
    </row>
    <row r="135" spans="2:29" s="1394" customFormat="1" ht="18.5" x14ac:dyDescent="0.45">
      <c r="B135" s="1703">
        <v>8766</v>
      </c>
      <c r="C135" s="1704">
        <f t="shared" si="10"/>
        <v>0.2</v>
      </c>
      <c r="D135" s="1703">
        <v>85</v>
      </c>
      <c r="E135" s="1704">
        <f t="shared" si="2"/>
        <v>0.2</v>
      </c>
      <c r="F135" s="1703" t="s">
        <v>2482</v>
      </c>
      <c r="G135" s="1704">
        <f t="shared" si="3"/>
        <v>0</v>
      </c>
      <c r="H135" s="1705">
        <f t="shared" si="11"/>
        <v>160229</v>
      </c>
      <c r="I135" s="1706">
        <f t="shared" si="5"/>
        <v>0</v>
      </c>
      <c r="P135" s="1492"/>
    </row>
    <row r="136" spans="2:29" s="1394" customFormat="1" ht="18.5" x14ac:dyDescent="0.45">
      <c r="B136" s="1682">
        <v>8766</v>
      </c>
      <c r="C136" s="1683">
        <f t="shared" si="10"/>
        <v>0.2</v>
      </c>
      <c r="D136" s="1682">
        <v>95</v>
      </c>
      <c r="E136" s="1683">
        <f t="shared" si="2"/>
        <v>0.5</v>
      </c>
      <c r="F136" s="1682" t="s">
        <v>2478</v>
      </c>
      <c r="G136" s="1683">
        <f t="shared" si="3"/>
        <v>0</v>
      </c>
      <c r="H136" s="1684">
        <f>F43</f>
        <v>321559</v>
      </c>
      <c r="I136" s="1685">
        <f t="shared" si="5"/>
        <v>0</v>
      </c>
      <c r="P136" s="1492"/>
    </row>
    <row r="137" spans="2:29" s="1394" customFormat="1" ht="18.5" x14ac:dyDescent="0.45">
      <c r="B137" s="1682">
        <v>8766</v>
      </c>
      <c r="C137" s="1683">
        <f t="shared" si="10"/>
        <v>0.2</v>
      </c>
      <c r="D137" s="1682">
        <v>95</v>
      </c>
      <c r="E137" s="1683">
        <f t="shared" si="2"/>
        <v>0.5</v>
      </c>
      <c r="F137" s="1682" t="s">
        <v>2479</v>
      </c>
      <c r="G137" s="1683">
        <f t="shared" si="3"/>
        <v>0.25</v>
      </c>
      <c r="H137" s="1684">
        <f t="shared" ref="H137:H140" si="13">F44</f>
        <v>303268</v>
      </c>
      <c r="I137" s="1685">
        <f t="shared" si="5"/>
        <v>7581.7000000000007</v>
      </c>
      <c r="P137" s="1492"/>
    </row>
    <row r="138" spans="2:29" s="1394" customFormat="1" ht="18.5" x14ac:dyDescent="0.45">
      <c r="B138" s="1682">
        <v>8766</v>
      </c>
      <c r="C138" s="1683">
        <f t="shared" si="10"/>
        <v>0.2</v>
      </c>
      <c r="D138" s="1682">
        <v>95</v>
      </c>
      <c r="E138" s="1683">
        <f t="shared" si="2"/>
        <v>0.5</v>
      </c>
      <c r="F138" s="1682" t="s">
        <v>614</v>
      </c>
      <c r="G138" s="1683">
        <f t="shared" si="3"/>
        <v>0.6</v>
      </c>
      <c r="H138" s="1684">
        <f t="shared" si="13"/>
        <v>256374</v>
      </c>
      <c r="I138" s="1685">
        <f t="shared" si="5"/>
        <v>15382.44</v>
      </c>
      <c r="P138" s="1492"/>
    </row>
    <row r="139" spans="2:29" s="1394" customFormat="1" ht="18.5" x14ac:dyDescent="0.45">
      <c r="B139" s="1682">
        <v>8766</v>
      </c>
      <c r="C139" s="1683">
        <f t="shared" si="10"/>
        <v>0.2</v>
      </c>
      <c r="D139" s="1682">
        <v>95</v>
      </c>
      <c r="E139" s="1683">
        <f t="shared" si="2"/>
        <v>0.5</v>
      </c>
      <c r="F139" s="1682" t="s">
        <v>2481</v>
      </c>
      <c r="G139" s="1683">
        <f t="shared" si="3"/>
        <v>0.15</v>
      </c>
      <c r="H139" s="1684">
        <f t="shared" si="13"/>
        <v>189307</v>
      </c>
      <c r="I139" s="1685">
        <f t="shared" si="5"/>
        <v>2839.605</v>
      </c>
      <c r="P139" s="1492"/>
    </row>
    <row r="140" spans="2:29" s="1394" customFormat="1" ht="18.5" x14ac:dyDescent="0.45">
      <c r="B140" s="1691">
        <v>8766</v>
      </c>
      <c r="C140" s="1692">
        <f t="shared" si="10"/>
        <v>0.2</v>
      </c>
      <c r="D140" s="1691">
        <v>95</v>
      </c>
      <c r="E140" s="1692">
        <f t="shared" si="2"/>
        <v>0.5</v>
      </c>
      <c r="F140" s="1691" t="s">
        <v>2482</v>
      </c>
      <c r="G140" s="1692">
        <f t="shared" si="3"/>
        <v>0</v>
      </c>
      <c r="H140" s="1693">
        <f t="shared" si="13"/>
        <v>191641</v>
      </c>
      <c r="I140" s="1694">
        <f t="shared" si="5"/>
        <v>0</v>
      </c>
      <c r="P140" s="1492"/>
    </row>
    <row r="141" spans="2:29" s="1394" customFormat="1" ht="18.5" x14ac:dyDescent="0.45">
      <c r="B141" s="1696">
        <v>8766</v>
      </c>
      <c r="C141" s="1697">
        <f t="shared" si="10"/>
        <v>0.2</v>
      </c>
      <c r="D141" s="1696">
        <v>105</v>
      </c>
      <c r="E141" s="1697">
        <f t="shared" si="2"/>
        <v>0.2</v>
      </c>
      <c r="F141" s="1696" t="s">
        <v>2478</v>
      </c>
      <c r="G141" s="1697">
        <f t="shared" si="3"/>
        <v>0</v>
      </c>
      <c r="H141" s="1698">
        <f>G43</f>
        <v>374266</v>
      </c>
      <c r="I141" s="1699">
        <f t="shared" si="5"/>
        <v>0</v>
      </c>
      <c r="P141" s="1492"/>
    </row>
    <row r="142" spans="2:29" s="1394" customFormat="1" ht="18.5" x14ac:dyDescent="0.45">
      <c r="B142" s="1696">
        <v>8766</v>
      </c>
      <c r="C142" s="1697">
        <f t="shared" si="10"/>
        <v>0.2</v>
      </c>
      <c r="D142" s="1696">
        <v>105</v>
      </c>
      <c r="E142" s="1697">
        <f t="shared" si="2"/>
        <v>0.2</v>
      </c>
      <c r="F142" s="1696" t="s">
        <v>2479</v>
      </c>
      <c r="G142" s="1697">
        <f t="shared" si="3"/>
        <v>0.25</v>
      </c>
      <c r="H142" s="1698">
        <f t="shared" ref="H142:H145" si="14">G44</f>
        <v>352977</v>
      </c>
      <c r="I142" s="1699">
        <f t="shared" si="5"/>
        <v>3529.7700000000004</v>
      </c>
      <c r="P142" s="1492"/>
    </row>
    <row r="143" spans="2:29" s="1394" customFormat="1" ht="18.5" x14ac:dyDescent="0.45">
      <c r="B143" s="1696">
        <v>8766</v>
      </c>
      <c r="C143" s="1697">
        <f t="shared" si="10"/>
        <v>0.2</v>
      </c>
      <c r="D143" s="1696">
        <v>105</v>
      </c>
      <c r="E143" s="1697">
        <f t="shared" si="2"/>
        <v>0.2</v>
      </c>
      <c r="F143" s="1696" t="s">
        <v>614</v>
      </c>
      <c r="G143" s="1697">
        <f t="shared" si="3"/>
        <v>0.6</v>
      </c>
      <c r="H143" s="1698">
        <f t="shared" si="14"/>
        <v>298397</v>
      </c>
      <c r="I143" s="1699">
        <f t="shared" si="5"/>
        <v>7161.5280000000002</v>
      </c>
      <c r="P143" s="1492"/>
    </row>
    <row r="144" spans="2:29" s="1394" customFormat="1" ht="18.5" x14ac:dyDescent="0.45">
      <c r="B144" s="1696">
        <v>8766</v>
      </c>
      <c r="C144" s="1697">
        <f t="shared" si="10"/>
        <v>0.2</v>
      </c>
      <c r="D144" s="1696">
        <v>105</v>
      </c>
      <c r="E144" s="1697">
        <f t="shared" si="2"/>
        <v>0.2</v>
      </c>
      <c r="F144" s="1696" t="s">
        <v>2481</v>
      </c>
      <c r="G144" s="1697">
        <f t="shared" si="3"/>
        <v>0.15</v>
      </c>
      <c r="H144" s="1698">
        <f t="shared" si="14"/>
        <v>220337</v>
      </c>
      <c r="I144" s="1699">
        <f t="shared" si="5"/>
        <v>1322.0219999999999</v>
      </c>
      <c r="P144" s="1492"/>
    </row>
    <row r="145" spans="2:16" s="1394" customFormat="1" ht="19" thickBot="1" x14ac:dyDescent="0.5">
      <c r="B145" s="1707">
        <v>8766</v>
      </c>
      <c r="C145" s="1708">
        <f t="shared" si="10"/>
        <v>0.2</v>
      </c>
      <c r="D145" s="1707">
        <v>105</v>
      </c>
      <c r="E145" s="1708">
        <f t="shared" si="2"/>
        <v>0.2</v>
      </c>
      <c r="F145" s="1707" t="s">
        <v>2482</v>
      </c>
      <c r="G145" s="1708">
        <f t="shared" si="3"/>
        <v>0</v>
      </c>
      <c r="H145" s="1709">
        <f t="shared" si="14"/>
        <v>223053</v>
      </c>
      <c r="I145" s="1710">
        <f t="shared" si="5"/>
        <v>0</v>
      </c>
      <c r="P145" s="1492"/>
    </row>
    <row r="146" spans="2:16" s="1394" customFormat="1" ht="18.5" x14ac:dyDescent="0.45">
      <c r="B146" s="1711">
        <v>7300</v>
      </c>
      <c r="C146" s="1712">
        <f t="shared" si="10"/>
        <v>0.2</v>
      </c>
      <c r="D146" s="1711">
        <v>75</v>
      </c>
      <c r="E146" s="1712">
        <f t="shared" si="2"/>
        <v>0.1</v>
      </c>
      <c r="F146" s="1711" t="s">
        <v>2478</v>
      </c>
      <c r="G146" s="1712">
        <f t="shared" si="3"/>
        <v>0</v>
      </c>
      <c r="H146" s="1713">
        <f>D52</f>
        <v>173511</v>
      </c>
      <c r="I146" s="1714">
        <f t="shared" si="5"/>
        <v>0</v>
      </c>
      <c r="P146" s="1492"/>
    </row>
    <row r="147" spans="2:16" s="1394" customFormat="1" ht="18.5" x14ac:dyDescent="0.45">
      <c r="B147" s="1682">
        <v>7300</v>
      </c>
      <c r="C147" s="1683">
        <f t="shared" si="10"/>
        <v>0.2</v>
      </c>
      <c r="D147" s="1682">
        <v>75</v>
      </c>
      <c r="E147" s="1683">
        <f t="shared" si="2"/>
        <v>0.1</v>
      </c>
      <c r="F147" s="1682" t="s">
        <v>2479</v>
      </c>
      <c r="G147" s="1683">
        <f t="shared" si="3"/>
        <v>0.25</v>
      </c>
      <c r="H147" s="1684">
        <f t="shared" ref="H147:H150" si="15">D53</f>
        <v>163641</v>
      </c>
      <c r="I147" s="1685">
        <f t="shared" si="5"/>
        <v>818.20500000000004</v>
      </c>
      <c r="P147" s="1492"/>
    </row>
    <row r="148" spans="2:16" s="1394" customFormat="1" ht="18.5" x14ac:dyDescent="0.45">
      <c r="B148" s="1682">
        <v>7300</v>
      </c>
      <c r="C148" s="1683">
        <f t="shared" si="10"/>
        <v>0.2</v>
      </c>
      <c r="D148" s="1682">
        <v>75</v>
      </c>
      <c r="E148" s="1683">
        <f t="shared" si="2"/>
        <v>0.1</v>
      </c>
      <c r="F148" s="1682" t="s">
        <v>614</v>
      </c>
      <c r="G148" s="1683">
        <f t="shared" si="3"/>
        <v>0.6</v>
      </c>
      <c r="H148" s="1684">
        <f t="shared" si="15"/>
        <v>138338</v>
      </c>
      <c r="I148" s="1685">
        <f t="shared" si="5"/>
        <v>1660.0560000000003</v>
      </c>
      <c r="P148" s="1492"/>
    </row>
    <row r="149" spans="2:16" s="1394" customFormat="1" ht="18.5" x14ac:dyDescent="0.45">
      <c r="B149" s="1682">
        <v>7300</v>
      </c>
      <c r="C149" s="1683">
        <f t="shared" si="10"/>
        <v>0.2</v>
      </c>
      <c r="D149" s="1682">
        <v>75</v>
      </c>
      <c r="E149" s="1683">
        <f t="shared" si="2"/>
        <v>0.1</v>
      </c>
      <c r="F149" s="1682" t="s">
        <v>2481</v>
      </c>
      <c r="G149" s="1683">
        <f t="shared" si="3"/>
        <v>0.15</v>
      </c>
      <c r="H149" s="1684">
        <f t="shared" si="15"/>
        <v>102149</v>
      </c>
      <c r="I149" s="1685">
        <f t="shared" si="5"/>
        <v>306.447</v>
      </c>
      <c r="P149" s="1492"/>
    </row>
    <row r="150" spans="2:16" s="1394" customFormat="1" ht="18.5" x14ac:dyDescent="0.45">
      <c r="B150" s="1691">
        <v>7300</v>
      </c>
      <c r="C150" s="1692">
        <f t="shared" si="10"/>
        <v>0.2</v>
      </c>
      <c r="D150" s="1691">
        <v>75</v>
      </c>
      <c r="E150" s="1692">
        <f t="shared" si="2"/>
        <v>0.1</v>
      </c>
      <c r="F150" s="1691" t="s">
        <v>2482</v>
      </c>
      <c r="G150" s="1692">
        <f t="shared" si="3"/>
        <v>0</v>
      </c>
      <c r="H150" s="1693">
        <f t="shared" si="15"/>
        <v>103408</v>
      </c>
      <c r="I150" s="1694">
        <f t="shared" si="5"/>
        <v>0</v>
      </c>
      <c r="P150" s="1492"/>
    </row>
    <row r="151" spans="2:16" s="1394" customFormat="1" ht="18.5" x14ac:dyDescent="0.45">
      <c r="B151" s="1696">
        <v>7300</v>
      </c>
      <c r="C151" s="1697">
        <f t="shared" si="10"/>
        <v>0.2</v>
      </c>
      <c r="D151" s="1696">
        <v>85</v>
      </c>
      <c r="E151" s="1697">
        <f t="shared" si="2"/>
        <v>0.2</v>
      </c>
      <c r="F151" s="1696" t="s">
        <v>2478</v>
      </c>
      <c r="G151" s="1697">
        <f t="shared" si="3"/>
        <v>0</v>
      </c>
      <c r="H151" s="1698">
        <f>E52</f>
        <v>215950</v>
      </c>
      <c r="I151" s="1699">
        <f t="shared" si="5"/>
        <v>0</v>
      </c>
      <c r="P151" s="1492"/>
    </row>
    <row r="152" spans="2:16" s="1394" customFormat="1" ht="18.5" x14ac:dyDescent="0.45">
      <c r="B152" s="1696">
        <v>7300</v>
      </c>
      <c r="C152" s="1697">
        <f t="shared" si="10"/>
        <v>0.2</v>
      </c>
      <c r="D152" s="1696">
        <v>85</v>
      </c>
      <c r="E152" s="1697">
        <f t="shared" si="2"/>
        <v>0.2</v>
      </c>
      <c r="F152" s="1696" t="s">
        <v>2479</v>
      </c>
      <c r="G152" s="1697">
        <f t="shared" si="3"/>
        <v>0.25</v>
      </c>
      <c r="H152" s="1698">
        <f t="shared" ref="H152:H155" si="16">E53</f>
        <v>203666</v>
      </c>
      <c r="I152" s="1699">
        <f t="shared" si="5"/>
        <v>2036.6600000000003</v>
      </c>
      <c r="P152" s="1492"/>
    </row>
    <row r="153" spans="2:16" s="1394" customFormat="1" ht="18.5" x14ac:dyDescent="0.45">
      <c r="B153" s="1696">
        <v>7300</v>
      </c>
      <c r="C153" s="1697">
        <f t="shared" si="10"/>
        <v>0.2</v>
      </c>
      <c r="D153" s="1696">
        <v>85</v>
      </c>
      <c r="E153" s="1697">
        <f t="shared" si="2"/>
        <v>0.2</v>
      </c>
      <c r="F153" s="1696" t="s">
        <v>614</v>
      </c>
      <c r="G153" s="1697">
        <f t="shared" si="3"/>
        <v>0.6</v>
      </c>
      <c r="H153" s="1698">
        <f t="shared" si="16"/>
        <v>172174</v>
      </c>
      <c r="I153" s="1699">
        <f t="shared" si="5"/>
        <v>4132.1760000000004</v>
      </c>
      <c r="P153" s="1492"/>
    </row>
    <row r="154" spans="2:16" s="1394" customFormat="1" ht="18.5" x14ac:dyDescent="0.45">
      <c r="B154" s="1696">
        <v>7300</v>
      </c>
      <c r="C154" s="1697">
        <f t="shared" si="10"/>
        <v>0.2</v>
      </c>
      <c r="D154" s="1696">
        <v>85</v>
      </c>
      <c r="E154" s="1697">
        <f t="shared" si="2"/>
        <v>0.2</v>
      </c>
      <c r="F154" s="1696" t="s">
        <v>2481</v>
      </c>
      <c r="G154" s="1697">
        <f t="shared" si="3"/>
        <v>0.15</v>
      </c>
      <c r="H154" s="1698">
        <f t="shared" si="16"/>
        <v>127133</v>
      </c>
      <c r="I154" s="1699">
        <f t="shared" si="5"/>
        <v>762.79800000000012</v>
      </c>
      <c r="P154" s="1492"/>
    </row>
    <row r="155" spans="2:16" s="1394" customFormat="1" ht="18.5" x14ac:dyDescent="0.45">
      <c r="B155" s="1703">
        <v>7300</v>
      </c>
      <c r="C155" s="1704">
        <f t="shared" si="10"/>
        <v>0.2</v>
      </c>
      <c r="D155" s="1703">
        <v>85</v>
      </c>
      <c r="E155" s="1704">
        <f t="shared" si="2"/>
        <v>0.2</v>
      </c>
      <c r="F155" s="1703" t="s">
        <v>2482</v>
      </c>
      <c r="G155" s="1704">
        <f t="shared" si="3"/>
        <v>0</v>
      </c>
      <c r="H155" s="1705">
        <f t="shared" si="16"/>
        <v>128701</v>
      </c>
      <c r="I155" s="1706">
        <f t="shared" si="5"/>
        <v>0</v>
      </c>
      <c r="P155" s="1492"/>
    </row>
    <row r="156" spans="2:16" s="1394" customFormat="1" ht="18.5" x14ac:dyDescent="0.45">
      <c r="B156" s="1682">
        <v>7300</v>
      </c>
      <c r="C156" s="1683">
        <f t="shared" si="10"/>
        <v>0.2</v>
      </c>
      <c r="D156" s="1682">
        <v>95</v>
      </c>
      <c r="E156" s="1683">
        <f t="shared" si="2"/>
        <v>0.5</v>
      </c>
      <c r="F156" s="1682" t="s">
        <v>2478</v>
      </c>
      <c r="G156" s="1683">
        <f t="shared" si="3"/>
        <v>0</v>
      </c>
      <c r="H156" s="1684">
        <f>F52</f>
        <v>258389</v>
      </c>
      <c r="I156" s="1685">
        <f t="shared" si="5"/>
        <v>0</v>
      </c>
      <c r="P156" s="1492"/>
    </row>
    <row r="157" spans="2:16" s="1394" customFormat="1" ht="18.5" x14ac:dyDescent="0.45">
      <c r="B157" s="1682">
        <v>7300</v>
      </c>
      <c r="C157" s="1683">
        <f t="shared" si="10"/>
        <v>0.2</v>
      </c>
      <c r="D157" s="1682">
        <v>95</v>
      </c>
      <c r="E157" s="1683">
        <f t="shared" si="2"/>
        <v>0.5</v>
      </c>
      <c r="F157" s="1682" t="s">
        <v>2479</v>
      </c>
      <c r="G157" s="1683">
        <f t="shared" si="3"/>
        <v>0.25</v>
      </c>
      <c r="H157" s="1684">
        <f t="shared" ref="H157:H160" si="17">F53</f>
        <v>243691</v>
      </c>
      <c r="I157" s="1685">
        <f t="shared" si="5"/>
        <v>6092.2750000000005</v>
      </c>
      <c r="P157" s="1492"/>
    </row>
    <row r="158" spans="2:16" s="1394" customFormat="1" ht="18.5" x14ac:dyDescent="0.45">
      <c r="B158" s="1682">
        <v>7300</v>
      </c>
      <c r="C158" s="1683">
        <f t="shared" si="10"/>
        <v>0.2</v>
      </c>
      <c r="D158" s="1682">
        <v>95</v>
      </c>
      <c r="E158" s="1683">
        <f t="shared" si="2"/>
        <v>0.5</v>
      </c>
      <c r="F158" s="1682" t="s">
        <v>614</v>
      </c>
      <c r="G158" s="1683">
        <f t="shared" si="3"/>
        <v>0.6</v>
      </c>
      <c r="H158" s="1684">
        <f t="shared" si="17"/>
        <v>206010</v>
      </c>
      <c r="I158" s="1685">
        <f t="shared" si="5"/>
        <v>12360.6</v>
      </c>
      <c r="P158" s="1492"/>
    </row>
    <row r="159" spans="2:16" s="1394" customFormat="1" ht="18.5" x14ac:dyDescent="0.45">
      <c r="B159" s="1682">
        <v>7300</v>
      </c>
      <c r="C159" s="1683">
        <f t="shared" si="10"/>
        <v>0.2</v>
      </c>
      <c r="D159" s="1682">
        <v>95</v>
      </c>
      <c r="E159" s="1683">
        <f t="shared" si="2"/>
        <v>0.5</v>
      </c>
      <c r="F159" s="1682" t="s">
        <v>2481</v>
      </c>
      <c r="G159" s="1683">
        <f t="shared" si="3"/>
        <v>0.15</v>
      </c>
      <c r="H159" s="1684">
        <f t="shared" si="17"/>
        <v>152118</v>
      </c>
      <c r="I159" s="1685">
        <f t="shared" si="5"/>
        <v>2281.77</v>
      </c>
      <c r="P159" s="1492"/>
    </row>
    <row r="160" spans="2:16" s="1394" customFormat="1" ht="18.5" x14ac:dyDescent="0.45">
      <c r="B160" s="1691">
        <v>7300</v>
      </c>
      <c r="C160" s="1692">
        <f t="shared" si="10"/>
        <v>0.2</v>
      </c>
      <c r="D160" s="1691">
        <v>95</v>
      </c>
      <c r="E160" s="1692">
        <f t="shared" si="2"/>
        <v>0.5</v>
      </c>
      <c r="F160" s="1691" t="s">
        <v>2482</v>
      </c>
      <c r="G160" s="1692">
        <f t="shared" si="3"/>
        <v>0</v>
      </c>
      <c r="H160" s="1693">
        <f t="shared" si="17"/>
        <v>153993</v>
      </c>
      <c r="I160" s="1694">
        <f t="shared" si="5"/>
        <v>0</v>
      </c>
      <c r="P160" s="1492"/>
    </row>
    <row r="161" spans="2:16" s="1394" customFormat="1" ht="18.5" x14ac:dyDescent="0.45">
      <c r="B161" s="1696">
        <v>7300</v>
      </c>
      <c r="C161" s="1697">
        <f t="shared" si="10"/>
        <v>0.2</v>
      </c>
      <c r="D161" s="1696">
        <v>105</v>
      </c>
      <c r="E161" s="1697">
        <f t="shared" si="2"/>
        <v>0.2</v>
      </c>
      <c r="F161" s="1696" t="s">
        <v>2478</v>
      </c>
      <c r="G161" s="1697">
        <f t="shared" si="3"/>
        <v>0</v>
      </c>
      <c r="H161" s="1698">
        <f>G52</f>
        <v>300828</v>
      </c>
      <c r="I161" s="1699">
        <f t="shared" si="5"/>
        <v>0</v>
      </c>
      <c r="P161" s="1492"/>
    </row>
    <row r="162" spans="2:16" s="1394" customFormat="1" ht="18.5" x14ac:dyDescent="0.45">
      <c r="B162" s="1696">
        <v>7300</v>
      </c>
      <c r="C162" s="1697">
        <f t="shared" si="10"/>
        <v>0.2</v>
      </c>
      <c r="D162" s="1696">
        <v>105</v>
      </c>
      <c r="E162" s="1697">
        <f t="shared" si="2"/>
        <v>0.2</v>
      </c>
      <c r="F162" s="1696" t="s">
        <v>2479</v>
      </c>
      <c r="G162" s="1697">
        <f t="shared" si="3"/>
        <v>0.25</v>
      </c>
      <c r="H162" s="1698">
        <f t="shared" ref="H162:H165" si="18">G53</f>
        <v>283716</v>
      </c>
      <c r="I162" s="1699">
        <f t="shared" si="5"/>
        <v>2837.1600000000003</v>
      </c>
      <c r="P162" s="1492"/>
    </row>
    <row r="163" spans="2:16" s="1394" customFormat="1" ht="18.5" x14ac:dyDescent="0.45">
      <c r="B163" s="1696">
        <v>7300</v>
      </c>
      <c r="C163" s="1697">
        <f t="shared" si="10"/>
        <v>0.2</v>
      </c>
      <c r="D163" s="1696">
        <v>105</v>
      </c>
      <c r="E163" s="1697">
        <f t="shared" si="2"/>
        <v>0.2</v>
      </c>
      <c r="F163" s="1696" t="s">
        <v>614</v>
      </c>
      <c r="G163" s="1697">
        <f t="shared" si="3"/>
        <v>0.6</v>
      </c>
      <c r="H163" s="1698">
        <f t="shared" si="18"/>
        <v>239846</v>
      </c>
      <c r="I163" s="1699">
        <f t="shared" si="5"/>
        <v>5756.304000000001</v>
      </c>
      <c r="P163" s="1492"/>
    </row>
    <row r="164" spans="2:16" s="1394" customFormat="1" ht="18.5" x14ac:dyDescent="0.45">
      <c r="B164" s="1696">
        <v>7300</v>
      </c>
      <c r="C164" s="1697">
        <f t="shared" si="10"/>
        <v>0.2</v>
      </c>
      <c r="D164" s="1696">
        <v>105</v>
      </c>
      <c r="E164" s="1697">
        <f t="shared" si="2"/>
        <v>0.2</v>
      </c>
      <c r="F164" s="1696" t="s">
        <v>2481</v>
      </c>
      <c r="G164" s="1697">
        <f t="shared" si="3"/>
        <v>0.15</v>
      </c>
      <c r="H164" s="1698">
        <f t="shared" si="18"/>
        <v>177103</v>
      </c>
      <c r="I164" s="1699">
        <f t="shared" si="5"/>
        <v>1062.6180000000002</v>
      </c>
      <c r="P164" s="1492"/>
    </row>
    <row r="165" spans="2:16" s="1394" customFormat="1" ht="19" thickBot="1" x14ac:dyDescent="0.5">
      <c r="B165" s="1707">
        <v>7300</v>
      </c>
      <c r="C165" s="1708">
        <f t="shared" si="10"/>
        <v>0.2</v>
      </c>
      <c r="D165" s="1707">
        <v>105</v>
      </c>
      <c r="E165" s="1708">
        <f t="shared" si="2"/>
        <v>0.2</v>
      </c>
      <c r="F165" s="1707" t="s">
        <v>2482</v>
      </c>
      <c r="G165" s="1708">
        <f t="shared" si="3"/>
        <v>0</v>
      </c>
      <c r="H165" s="1709">
        <f t="shared" si="18"/>
        <v>179286</v>
      </c>
      <c r="I165" s="1710">
        <f t="shared" si="5"/>
        <v>0</v>
      </c>
      <c r="P165" s="1492"/>
    </row>
    <row r="166" spans="2:16" s="1394" customFormat="1" ht="18.5" x14ac:dyDescent="0.45">
      <c r="B166" s="1711">
        <v>5266</v>
      </c>
      <c r="C166" s="1712">
        <f t="shared" si="10"/>
        <v>0.5</v>
      </c>
      <c r="D166" s="1711">
        <v>75</v>
      </c>
      <c r="E166" s="1712">
        <f t="shared" si="2"/>
        <v>0.1</v>
      </c>
      <c r="F166" s="1711" t="s">
        <v>2478</v>
      </c>
      <c r="G166" s="1712">
        <f t="shared" si="3"/>
        <v>0</v>
      </c>
      <c r="H166" s="1713">
        <f>D61</f>
        <v>118320</v>
      </c>
      <c r="I166" s="1714">
        <f t="shared" si="5"/>
        <v>0</v>
      </c>
      <c r="P166" s="1492"/>
    </row>
    <row r="167" spans="2:16" s="1394" customFormat="1" ht="18.5" x14ac:dyDescent="0.45">
      <c r="B167" s="1682">
        <v>5266</v>
      </c>
      <c r="C167" s="1683">
        <f t="shared" si="10"/>
        <v>0.5</v>
      </c>
      <c r="D167" s="1682">
        <v>75</v>
      </c>
      <c r="E167" s="1683">
        <f t="shared" si="2"/>
        <v>0.1</v>
      </c>
      <c r="F167" s="1682" t="s">
        <v>2479</v>
      </c>
      <c r="G167" s="1683">
        <f t="shared" si="3"/>
        <v>0.25</v>
      </c>
      <c r="H167" s="1684">
        <f t="shared" ref="H167:H170" si="19">D62</f>
        <v>111590</v>
      </c>
      <c r="I167" s="1685">
        <f t="shared" si="5"/>
        <v>1394.875</v>
      </c>
      <c r="P167" s="1492"/>
    </row>
    <row r="168" spans="2:16" s="1394" customFormat="1" ht="18.5" x14ac:dyDescent="0.45">
      <c r="B168" s="1682">
        <v>5266</v>
      </c>
      <c r="C168" s="1683">
        <f t="shared" si="10"/>
        <v>0.5</v>
      </c>
      <c r="D168" s="1682">
        <v>75</v>
      </c>
      <c r="E168" s="1683">
        <f t="shared" si="2"/>
        <v>0.1</v>
      </c>
      <c r="F168" s="1682" t="s">
        <v>614</v>
      </c>
      <c r="G168" s="1683">
        <f t="shared" si="3"/>
        <v>0.6</v>
      </c>
      <c r="H168" s="1684">
        <f t="shared" si="19"/>
        <v>94335</v>
      </c>
      <c r="I168" s="1685">
        <f t="shared" si="5"/>
        <v>2830.05</v>
      </c>
      <c r="P168" s="1492"/>
    </row>
    <row r="169" spans="2:16" s="1394" customFormat="1" ht="18.5" x14ac:dyDescent="0.45">
      <c r="B169" s="1682">
        <v>5266</v>
      </c>
      <c r="C169" s="1683">
        <f t="shared" si="10"/>
        <v>0.5</v>
      </c>
      <c r="D169" s="1682">
        <v>75</v>
      </c>
      <c r="E169" s="1683">
        <f t="shared" si="2"/>
        <v>0.1</v>
      </c>
      <c r="F169" s="1682" t="s">
        <v>2481</v>
      </c>
      <c r="G169" s="1683">
        <f t="shared" si="3"/>
        <v>0.15</v>
      </c>
      <c r="H169" s="1684">
        <f t="shared" si="19"/>
        <v>69657</v>
      </c>
      <c r="I169" s="1685">
        <f t="shared" si="5"/>
        <v>522.42750000000001</v>
      </c>
      <c r="P169" s="1492"/>
    </row>
    <row r="170" spans="2:16" s="1394" customFormat="1" ht="18.5" x14ac:dyDescent="0.45">
      <c r="B170" s="1691">
        <v>5266</v>
      </c>
      <c r="C170" s="1692">
        <f t="shared" si="10"/>
        <v>0.5</v>
      </c>
      <c r="D170" s="1691">
        <v>75</v>
      </c>
      <c r="E170" s="1692">
        <f t="shared" si="2"/>
        <v>0.1</v>
      </c>
      <c r="F170" s="1691" t="s">
        <v>2482</v>
      </c>
      <c r="G170" s="1692">
        <f t="shared" si="3"/>
        <v>0</v>
      </c>
      <c r="H170" s="1693">
        <f t="shared" si="19"/>
        <v>70516</v>
      </c>
      <c r="I170" s="1694">
        <f t="shared" si="5"/>
        <v>0</v>
      </c>
      <c r="P170" s="1492"/>
    </row>
    <row r="171" spans="2:16" s="1394" customFormat="1" ht="18.5" x14ac:dyDescent="0.45">
      <c r="B171" s="1696">
        <v>5266</v>
      </c>
      <c r="C171" s="1697">
        <f t="shared" si="10"/>
        <v>0.5</v>
      </c>
      <c r="D171" s="1696">
        <v>85</v>
      </c>
      <c r="E171" s="1697">
        <f t="shared" si="2"/>
        <v>0.2</v>
      </c>
      <c r="F171" s="1696" t="s">
        <v>2478</v>
      </c>
      <c r="G171" s="1697">
        <f t="shared" si="3"/>
        <v>0</v>
      </c>
      <c r="H171" s="1698">
        <f>E61</f>
        <v>147406</v>
      </c>
      <c r="I171" s="1699">
        <f t="shared" si="5"/>
        <v>0</v>
      </c>
      <c r="P171" s="1492"/>
    </row>
    <row r="172" spans="2:16" s="1394" customFormat="1" ht="18.5" x14ac:dyDescent="0.45">
      <c r="B172" s="1696">
        <v>5266</v>
      </c>
      <c r="C172" s="1697">
        <f t="shared" si="10"/>
        <v>0.5</v>
      </c>
      <c r="D172" s="1696">
        <v>85</v>
      </c>
      <c r="E172" s="1697">
        <f t="shared" si="2"/>
        <v>0.2</v>
      </c>
      <c r="F172" s="1696" t="s">
        <v>2479</v>
      </c>
      <c r="G172" s="1697">
        <f t="shared" si="3"/>
        <v>0.25</v>
      </c>
      <c r="H172" s="1698">
        <f t="shared" ref="H172:H175" si="20">E62</f>
        <v>139021</v>
      </c>
      <c r="I172" s="1699">
        <f t="shared" si="5"/>
        <v>3475.5250000000001</v>
      </c>
      <c r="P172" s="1492"/>
    </row>
    <row r="173" spans="2:16" s="1394" customFormat="1" ht="18.5" x14ac:dyDescent="0.45">
      <c r="B173" s="1696">
        <v>5266</v>
      </c>
      <c r="C173" s="1697">
        <f t="shared" si="10"/>
        <v>0.5</v>
      </c>
      <c r="D173" s="1696">
        <v>85</v>
      </c>
      <c r="E173" s="1697">
        <f t="shared" si="2"/>
        <v>0.2</v>
      </c>
      <c r="F173" s="1696" t="s">
        <v>614</v>
      </c>
      <c r="G173" s="1697">
        <f t="shared" si="3"/>
        <v>0.6</v>
      </c>
      <c r="H173" s="1698">
        <f t="shared" si="20"/>
        <v>117524</v>
      </c>
      <c r="I173" s="1699">
        <f t="shared" si="5"/>
        <v>7051.44</v>
      </c>
      <c r="P173" s="1492"/>
    </row>
    <row r="174" spans="2:16" s="1394" customFormat="1" ht="18.5" x14ac:dyDescent="0.45">
      <c r="B174" s="1696">
        <v>5266</v>
      </c>
      <c r="C174" s="1697">
        <f t="shared" si="10"/>
        <v>0.5</v>
      </c>
      <c r="D174" s="1696">
        <v>85</v>
      </c>
      <c r="E174" s="1697">
        <f t="shared" si="2"/>
        <v>0.2</v>
      </c>
      <c r="F174" s="1696" t="s">
        <v>2481</v>
      </c>
      <c r="G174" s="1697">
        <f t="shared" si="3"/>
        <v>0.15</v>
      </c>
      <c r="H174" s="1698">
        <f t="shared" si="20"/>
        <v>86780</v>
      </c>
      <c r="I174" s="1699">
        <f t="shared" si="5"/>
        <v>1301.7</v>
      </c>
      <c r="P174" s="1492"/>
    </row>
    <row r="175" spans="2:16" s="1394" customFormat="1" ht="18.5" x14ac:dyDescent="0.45">
      <c r="B175" s="1703">
        <v>5266</v>
      </c>
      <c r="C175" s="1704">
        <f t="shared" si="10"/>
        <v>0.5</v>
      </c>
      <c r="D175" s="1703">
        <v>85</v>
      </c>
      <c r="E175" s="1704">
        <f t="shared" si="2"/>
        <v>0.2</v>
      </c>
      <c r="F175" s="1703" t="s">
        <v>2482</v>
      </c>
      <c r="G175" s="1704">
        <f t="shared" si="3"/>
        <v>0</v>
      </c>
      <c r="H175" s="1705">
        <f t="shared" si="20"/>
        <v>87850</v>
      </c>
      <c r="I175" s="1706">
        <f t="shared" si="5"/>
        <v>0</v>
      </c>
      <c r="P175" s="1492"/>
    </row>
    <row r="176" spans="2:16" s="1394" customFormat="1" ht="18.5" x14ac:dyDescent="0.45">
      <c r="B176" s="1682">
        <v>5266</v>
      </c>
      <c r="C176" s="1683">
        <f t="shared" si="10"/>
        <v>0.5</v>
      </c>
      <c r="D176" s="1682">
        <v>95</v>
      </c>
      <c r="E176" s="1683">
        <f t="shared" si="2"/>
        <v>0.5</v>
      </c>
      <c r="F176" s="1682" t="s">
        <v>2478</v>
      </c>
      <c r="G176" s="1683">
        <f t="shared" si="3"/>
        <v>0</v>
      </c>
      <c r="H176" s="1684">
        <f>F61</f>
        <v>176492</v>
      </c>
      <c r="I176" s="1685">
        <f t="shared" si="5"/>
        <v>0</v>
      </c>
      <c r="P176" s="1492"/>
    </row>
    <row r="177" spans="2:16" s="1394" customFormat="1" ht="18.5" x14ac:dyDescent="0.45">
      <c r="B177" s="1682">
        <v>5266</v>
      </c>
      <c r="C177" s="1683">
        <f t="shared" si="10"/>
        <v>0.5</v>
      </c>
      <c r="D177" s="1682">
        <v>95</v>
      </c>
      <c r="E177" s="1683">
        <f t="shared" si="2"/>
        <v>0.5</v>
      </c>
      <c r="F177" s="1682" t="s">
        <v>2479</v>
      </c>
      <c r="G177" s="1683">
        <f t="shared" si="3"/>
        <v>0.25</v>
      </c>
      <c r="H177" s="1684">
        <f t="shared" ref="H177:H180" si="21">F62</f>
        <v>166452</v>
      </c>
      <c r="I177" s="1685">
        <f t="shared" si="5"/>
        <v>10403.25</v>
      </c>
      <c r="P177" s="1492"/>
    </row>
    <row r="178" spans="2:16" s="1394" customFormat="1" ht="18.5" x14ac:dyDescent="0.45">
      <c r="B178" s="1682">
        <v>5266</v>
      </c>
      <c r="C178" s="1683">
        <f t="shared" si="10"/>
        <v>0.5</v>
      </c>
      <c r="D178" s="1682">
        <v>95</v>
      </c>
      <c r="E178" s="1683">
        <f t="shared" si="2"/>
        <v>0.5</v>
      </c>
      <c r="F178" s="1682" t="s">
        <v>614</v>
      </c>
      <c r="G178" s="1683">
        <f t="shared" si="3"/>
        <v>0.6</v>
      </c>
      <c r="H178" s="1684">
        <f t="shared" si="21"/>
        <v>140714</v>
      </c>
      <c r="I178" s="1685">
        <f t="shared" si="5"/>
        <v>21107.1</v>
      </c>
      <c r="P178" s="1492"/>
    </row>
    <row r="179" spans="2:16" s="1394" customFormat="1" ht="18.5" x14ac:dyDescent="0.45">
      <c r="B179" s="1682">
        <v>5266</v>
      </c>
      <c r="C179" s="1683">
        <f t="shared" si="10"/>
        <v>0.5</v>
      </c>
      <c r="D179" s="1682">
        <v>95</v>
      </c>
      <c r="E179" s="1683">
        <f t="shared" si="2"/>
        <v>0.5</v>
      </c>
      <c r="F179" s="1682" t="s">
        <v>2481</v>
      </c>
      <c r="G179" s="1683">
        <f t="shared" si="3"/>
        <v>0.15</v>
      </c>
      <c r="H179" s="1684">
        <f t="shared" si="21"/>
        <v>103904</v>
      </c>
      <c r="I179" s="1685">
        <f t="shared" si="5"/>
        <v>3896.3999999999996</v>
      </c>
      <c r="P179" s="1492"/>
    </row>
    <row r="180" spans="2:16" s="1394" customFormat="1" ht="18.5" x14ac:dyDescent="0.45">
      <c r="B180" s="1691">
        <v>5266</v>
      </c>
      <c r="C180" s="1692">
        <f t="shared" si="10"/>
        <v>0.5</v>
      </c>
      <c r="D180" s="1691">
        <v>95</v>
      </c>
      <c r="E180" s="1692">
        <f t="shared" si="2"/>
        <v>0.5</v>
      </c>
      <c r="F180" s="1691" t="s">
        <v>2482</v>
      </c>
      <c r="G180" s="1692">
        <f t="shared" si="3"/>
        <v>0</v>
      </c>
      <c r="H180" s="1693">
        <f t="shared" si="21"/>
        <v>105184</v>
      </c>
      <c r="I180" s="1694">
        <f t="shared" si="5"/>
        <v>0</v>
      </c>
      <c r="P180" s="1492"/>
    </row>
    <row r="181" spans="2:16" s="1394" customFormat="1" ht="18.5" x14ac:dyDescent="0.45">
      <c r="B181" s="1696">
        <v>5266</v>
      </c>
      <c r="C181" s="1697">
        <f t="shared" si="10"/>
        <v>0.5</v>
      </c>
      <c r="D181" s="1696">
        <v>105</v>
      </c>
      <c r="E181" s="1697">
        <f t="shared" si="2"/>
        <v>0.2</v>
      </c>
      <c r="F181" s="1696" t="s">
        <v>2478</v>
      </c>
      <c r="G181" s="1697">
        <f t="shared" si="3"/>
        <v>0</v>
      </c>
      <c r="H181" s="1698">
        <f>G61</f>
        <v>205578</v>
      </c>
      <c r="I181" s="1699">
        <f t="shared" si="5"/>
        <v>0</v>
      </c>
      <c r="P181" s="1492"/>
    </row>
    <row r="182" spans="2:16" s="1394" customFormat="1" ht="18.5" x14ac:dyDescent="0.45">
      <c r="B182" s="1696">
        <v>5266</v>
      </c>
      <c r="C182" s="1697">
        <f t="shared" si="10"/>
        <v>0.5</v>
      </c>
      <c r="D182" s="1696">
        <v>105</v>
      </c>
      <c r="E182" s="1697">
        <f t="shared" si="2"/>
        <v>0.2</v>
      </c>
      <c r="F182" s="1696" t="s">
        <v>2479</v>
      </c>
      <c r="G182" s="1697">
        <f t="shared" si="3"/>
        <v>0.25</v>
      </c>
      <c r="H182" s="1698">
        <f t="shared" ref="H182:H185" si="22">G62</f>
        <v>193884</v>
      </c>
      <c r="I182" s="1699">
        <f t="shared" si="5"/>
        <v>4847.1000000000004</v>
      </c>
      <c r="P182" s="1492"/>
    </row>
    <row r="183" spans="2:16" s="1394" customFormat="1" ht="18.5" x14ac:dyDescent="0.45">
      <c r="B183" s="1696">
        <v>5266</v>
      </c>
      <c r="C183" s="1697">
        <f t="shared" si="10"/>
        <v>0.5</v>
      </c>
      <c r="D183" s="1696">
        <v>105</v>
      </c>
      <c r="E183" s="1697">
        <f t="shared" si="2"/>
        <v>0.2</v>
      </c>
      <c r="F183" s="1696" t="s">
        <v>614</v>
      </c>
      <c r="G183" s="1697">
        <f t="shared" si="3"/>
        <v>0.6</v>
      </c>
      <c r="H183" s="1698">
        <f t="shared" si="22"/>
        <v>163904</v>
      </c>
      <c r="I183" s="1699">
        <f t="shared" si="5"/>
        <v>9834.24</v>
      </c>
      <c r="P183" s="1492"/>
    </row>
    <row r="184" spans="2:16" s="1394" customFormat="1" ht="18.5" x14ac:dyDescent="0.45">
      <c r="B184" s="1696">
        <v>5266</v>
      </c>
      <c r="C184" s="1697">
        <f t="shared" si="10"/>
        <v>0.5</v>
      </c>
      <c r="D184" s="1696">
        <v>105</v>
      </c>
      <c r="E184" s="1697">
        <f t="shared" si="2"/>
        <v>0.2</v>
      </c>
      <c r="F184" s="1696" t="s">
        <v>2481</v>
      </c>
      <c r="G184" s="1697">
        <f t="shared" si="3"/>
        <v>0.15</v>
      </c>
      <c r="H184" s="1698">
        <f t="shared" si="22"/>
        <v>121027</v>
      </c>
      <c r="I184" s="1699">
        <f t="shared" si="5"/>
        <v>1815.405</v>
      </c>
      <c r="P184" s="1492"/>
    </row>
    <row r="185" spans="2:16" s="1394" customFormat="1" ht="19" thickBot="1" x14ac:dyDescent="0.5">
      <c r="B185" s="1707">
        <v>5266</v>
      </c>
      <c r="C185" s="1708">
        <f t="shared" si="10"/>
        <v>0.5</v>
      </c>
      <c r="D185" s="1707">
        <v>105</v>
      </c>
      <c r="E185" s="1708">
        <f t="shared" si="2"/>
        <v>0.2</v>
      </c>
      <c r="F185" s="1707" t="s">
        <v>2482</v>
      </c>
      <c r="G185" s="1708">
        <f t="shared" si="3"/>
        <v>0</v>
      </c>
      <c r="H185" s="1709">
        <f t="shared" si="22"/>
        <v>122519</v>
      </c>
      <c r="I185" s="1710">
        <f t="shared" si="5"/>
        <v>0</v>
      </c>
      <c r="P185" s="1492"/>
    </row>
    <row r="186" spans="2:16" s="1394" customFormat="1" ht="18.5" x14ac:dyDescent="0.45">
      <c r="B186" s="1711">
        <v>3911</v>
      </c>
      <c r="C186" s="1712">
        <f t="shared" si="10"/>
        <v>0.1</v>
      </c>
      <c r="D186" s="1711">
        <v>75</v>
      </c>
      <c r="E186" s="1712">
        <f t="shared" si="2"/>
        <v>0.1</v>
      </c>
      <c r="F186" s="1711" t="s">
        <v>2478</v>
      </c>
      <c r="G186" s="1712">
        <f t="shared" si="3"/>
        <v>0</v>
      </c>
      <c r="H186" s="1713">
        <f>D70</f>
        <v>85672</v>
      </c>
      <c r="I186" s="1714">
        <f t="shared" si="5"/>
        <v>0</v>
      </c>
      <c r="P186" s="1492"/>
    </row>
    <row r="187" spans="2:16" s="1394" customFormat="1" ht="18.5" x14ac:dyDescent="0.45">
      <c r="B187" s="1682">
        <v>3911</v>
      </c>
      <c r="C187" s="1683">
        <f t="shared" si="10"/>
        <v>0.1</v>
      </c>
      <c r="D187" s="1682">
        <v>75</v>
      </c>
      <c r="E187" s="1683">
        <f t="shared" si="2"/>
        <v>0.1</v>
      </c>
      <c r="F187" s="1682" t="s">
        <v>2479</v>
      </c>
      <c r="G187" s="1683">
        <f t="shared" si="3"/>
        <v>0.25</v>
      </c>
      <c r="H187" s="1684">
        <f t="shared" ref="H187:H190" si="23">D71</f>
        <v>80799</v>
      </c>
      <c r="I187" s="1685">
        <f t="shared" si="5"/>
        <v>201.99750000000003</v>
      </c>
      <c r="P187" s="1492"/>
    </row>
    <row r="188" spans="2:16" s="1394" customFormat="1" ht="18.5" x14ac:dyDescent="0.45">
      <c r="B188" s="1682">
        <v>3911</v>
      </c>
      <c r="C188" s="1683">
        <f t="shared" si="10"/>
        <v>0.1</v>
      </c>
      <c r="D188" s="1682">
        <v>75</v>
      </c>
      <c r="E188" s="1683">
        <f t="shared" si="2"/>
        <v>0.1</v>
      </c>
      <c r="F188" s="1682" t="s">
        <v>614</v>
      </c>
      <c r="G188" s="1683">
        <f t="shared" si="3"/>
        <v>0.6</v>
      </c>
      <c r="H188" s="1684">
        <f t="shared" si="23"/>
        <v>68305</v>
      </c>
      <c r="I188" s="1685">
        <f t="shared" si="5"/>
        <v>409.83000000000004</v>
      </c>
      <c r="P188" s="1492"/>
    </row>
    <row r="189" spans="2:16" s="1394" customFormat="1" ht="18.5" x14ac:dyDescent="0.45">
      <c r="B189" s="1682">
        <v>3911</v>
      </c>
      <c r="C189" s="1683">
        <f t="shared" si="10"/>
        <v>0.1</v>
      </c>
      <c r="D189" s="1682">
        <v>75</v>
      </c>
      <c r="E189" s="1683">
        <f t="shared" si="2"/>
        <v>0.1</v>
      </c>
      <c r="F189" s="1682" t="s">
        <v>2481</v>
      </c>
      <c r="G189" s="1683">
        <f t="shared" si="3"/>
        <v>0.15</v>
      </c>
      <c r="H189" s="1684">
        <f t="shared" si="23"/>
        <v>50436</v>
      </c>
      <c r="I189" s="1685">
        <f t="shared" si="5"/>
        <v>75.653999999999996</v>
      </c>
      <c r="P189" s="1492"/>
    </row>
    <row r="190" spans="2:16" s="1394" customFormat="1" ht="18.5" x14ac:dyDescent="0.45">
      <c r="B190" s="1691">
        <v>3911</v>
      </c>
      <c r="C190" s="1692">
        <f t="shared" si="10"/>
        <v>0.1</v>
      </c>
      <c r="D190" s="1691">
        <v>75</v>
      </c>
      <c r="E190" s="1692">
        <f t="shared" si="2"/>
        <v>0.1</v>
      </c>
      <c r="F190" s="1691" t="s">
        <v>2482</v>
      </c>
      <c r="G190" s="1692">
        <f t="shared" si="3"/>
        <v>0</v>
      </c>
      <c r="H190" s="1693">
        <f t="shared" si="23"/>
        <v>51058</v>
      </c>
      <c r="I190" s="1694">
        <f t="shared" si="5"/>
        <v>0</v>
      </c>
      <c r="P190" s="1492"/>
    </row>
    <row r="191" spans="2:16" s="1394" customFormat="1" ht="18.5" x14ac:dyDescent="0.45">
      <c r="B191" s="1696">
        <v>3911</v>
      </c>
      <c r="C191" s="1697">
        <f t="shared" si="10"/>
        <v>0.1</v>
      </c>
      <c r="D191" s="1696">
        <v>85</v>
      </c>
      <c r="E191" s="1697">
        <f t="shared" ref="E191:E205" si="24">VLOOKUP($D191,$B$103:$C$106,2,FALSE)</f>
        <v>0.2</v>
      </c>
      <c r="F191" s="1696" t="s">
        <v>2478</v>
      </c>
      <c r="G191" s="1697">
        <f t="shared" ref="G191:G205" si="25">VLOOKUP($F191,$C$116:$D$120,2,FALSE)</f>
        <v>0</v>
      </c>
      <c r="H191" s="1698">
        <f>E70</f>
        <v>106825</v>
      </c>
      <c r="I191" s="1699">
        <f t="shared" ref="I191:I205" si="26">H191*G191*E191*C191</f>
        <v>0</v>
      </c>
      <c r="P191" s="1492"/>
    </row>
    <row r="192" spans="2:16" s="1394" customFormat="1" ht="18.5" x14ac:dyDescent="0.45">
      <c r="B192" s="1696">
        <v>3911</v>
      </c>
      <c r="C192" s="1697">
        <f t="shared" ref="C192:C205" si="27">VLOOKUP($B192,$B$110:$C$113,2,FALSE)</f>
        <v>0.1</v>
      </c>
      <c r="D192" s="1696">
        <v>85</v>
      </c>
      <c r="E192" s="1697">
        <f t="shared" si="24"/>
        <v>0.2</v>
      </c>
      <c r="F192" s="1696" t="s">
        <v>2479</v>
      </c>
      <c r="G192" s="1697">
        <f t="shared" si="25"/>
        <v>0.25</v>
      </c>
      <c r="H192" s="1698">
        <f t="shared" ref="H192:H195" si="28">E71</f>
        <v>100749</v>
      </c>
      <c r="I192" s="1699">
        <f t="shared" si="26"/>
        <v>503.74500000000012</v>
      </c>
      <c r="P192" s="1492"/>
    </row>
    <row r="193" spans="2:16" s="1394" customFormat="1" ht="18.5" x14ac:dyDescent="0.45">
      <c r="B193" s="1696">
        <v>3911</v>
      </c>
      <c r="C193" s="1697">
        <f t="shared" si="27"/>
        <v>0.1</v>
      </c>
      <c r="D193" s="1696">
        <v>85</v>
      </c>
      <c r="E193" s="1697">
        <f t="shared" si="24"/>
        <v>0.2</v>
      </c>
      <c r="F193" s="1696" t="s">
        <v>614</v>
      </c>
      <c r="G193" s="1697">
        <f t="shared" si="25"/>
        <v>0.6</v>
      </c>
      <c r="H193" s="1698">
        <f t="shared" si="28"/>
        <v>85170</v>
      </c>
      <c r="I193" s="1699">
        <f t="shared" si="26"/>
        <v>1022.0400000000002</v>
      </c>
      <c r="P193" s="1492"/>
    </row>
    <row r="194" spans="2:16" s="1394" customFormat="1" x14ac:dyDescent="0.35">
      <c r="B194" s="1696">
        <v>3911</v>
      </c>
      <c r="C194" s="1697">
        <f t="shared" si="27"/>
        <v>0.1</v>
      </c>
      <c r="D194" s="1696">
        <v>85</v>
      </c>
      <c r="E194" s="1697">
        <f t="shared" si="24"/>
        <v>0.2</v>
      </c>
      <c r="F194" s="1696" t="s">
        <v>2481</v>
      </c>
      <c r="G194" s="1697">
        <f t="shared" si="25"/>
        <v>0.15</v>
      </c>
      <c r="H194" s="1698">
        <f t="shared" si="28"/>
        <v>62890</v>
      </c>
      <c r="I194" s="1699">
        <f t="shared" si="26"/>
        <v>188.67000000000002</v>
      </c>
    </row>
    <row r="195" spans="2:16" s="1394" customFormat="1" x14ac:dyDescent="0.35">
      <c r="B195" s="1703">
        <v>3911</v>
      </c>
      <c r="C195" s="1704">
        <f t="shared" si="27"/>
        <v>0.1</v>
      </c>
      <c r="D195" s="1703">
        <v>85</v>
      </c>
      <c r="E195" s="1704">
        <f t="shared" si="24"/>
        <v>0.2</v>
      </c>
      <c r="F195" s="1703" t="s">
        <v>2482</v>
      </c>
      <c r="G195" s="1704">
        <f t="shared" si="25"/>
        <v>0</v>
      </c>
      <c r="H195" s="1705">
        <f t="shared" si="28"/>
        <v>63665</v>
      </c>
      <c r="I195" s="1706">
        <f t="shared" si="26"/>
        <v>0</v>
      </c>
    </row>
    <row r="196" spans="2:16" s="1394" customFormat="1" x14ac:dyDescent="0.35">
      <c r="B196" s="1682">
        <v>3911</v>
      </c>
      <c r="C196" s="1683">
        <f t="shared" si="27"/>
        <v>0.1</v>
      </c>
      <c r="D196" s="1682">
        <v>95</v>
      </c>
      <c r="E196" s="1683">
        <f t="shared" si="24"/>
        <v>0.5</v>
      </c>
      <c r="F196" s="1682" t="s">
        <v>2478</v>
      </c>
      <c r="G196" s="1683">
        <f t="shared" si="25"/>
        <v>0</v>
      </c>
      <c r="H196" s="1684">
        <f>F70</f>
        <v>127979</v>
      </c>
      <c r="I196" s="1685">
        <f t="shared" si="26"/>
        <v>0</v>
      </c>
    </row>
    <row r="197" spans="2:16" s="1394" customFormat="1" x14ac:dyDescent="0.35">
      <c r="B197" s="1682">
        <v>3911</v>
      </c>
      <c r="C197" s="1683">
        <f t="shared" si="27"/>
        <v>0.1</v>
      </c>
      <c r="D197" s="1682">
        <v>95</v>
      </c>
      <c r="E197" s="1683">
        <f t="shared" si="24"/>
        <v>0.5</v>
      </c>
      <c r="F197" s="1682" t="s">
        <v>2479</v>
      </c>
      <c r="G197" s="1683">
        <f t="shared" si="25"/>
        <v>0.25</v>
      </c>
      <c r="H197" s="1684">
        <f t="shared" ref="H197:H200" si="29">F71</f>
        <v>120699</v>
      </c>
      <c r="I197" s="1685">
        <f t="shared" si="26"/>
        <v>1508.7375000000002</v>
      </c>
    </row>
    <row r="198" spans="2:16" x14ac:dyDescent="0.35">
      <c r="B198" s="1682">
        <v>3911</v>
      </c>
      <c r="C198" s="1683">
        <f t="shared" si="27"/>
        <v>0.1</v>
      </c>
      <c r="D198" s="1682">
        <v>95</v>
      </c>
      <c r="E198" s="1683">
        <f t="shared" si="24"/>
        <v>0.5</v>
      </c>
      <c r="F198" s="1682" t="s">
        <v>614</v>
      </c>
      <c r="G198" s="1683">
        <f t="shared" si="25"/>
        <v>0.6</v>
      </c>
      <c r="H198" s="1684">
        <f t="shared" si="29"/>
        <v>102035</v>
      </c>
      <c r="I198" s="1685">
        <f t="shared" si="26"/>
        <v>3061.05</v>
      </c>
    </row>
    <row r="199" spans="2:16" x14ac:dyDescent="0.35">
      <c r="B199" s="1682">
        <v>3911</v>
      </c>
      <c r="C199" s="1683">
        <f t="shared" si="27"/>
        <v>0.1</v>
      </c>
      <c r="D199" s="1682">
        <v>95</v>
      </c>
      <c r="E199" s="1683">
        <f t="shared" si="24"/>
        <v>0.5</v>
      </c>
      <c r="F199" s="1682" t="s">
        <v>2481</v>
      </c>
      <c r="G199" s="1683">
        <f t="shared" si="25"/>
        <v>0.15</v>
      </c>
      <c r="H199" s="1684">
        <f t="shared" si="29"/>
        <v>75343</v>
      </c>
      <c r="I199" s="1685">
        <f t="shared" si="26"/>
        <v>565.07249999999999</v>
      </c>
    </row>
    <row r="200" spans="2:16" x14ac:dyDescent="0.35">
      <c r="B200" s="1691">
        <v>3911</v>
      </c>
      <c r="C200" s="1692">
        <f t="shared" si="27"/>
        <v>0.1</v>
      </c>
      <c r="D200" s="1691">
        <v>95</v>
      </c>
      <c r="E200" s="1692">
        <f t="shared" si="24"/>
        <v>0.5</v>
      </c>
      <c r="F200" s="1691" t="s">
        <v>2482</v>
      </c>
      <c r="G200" s="1692">
        <f t="shared" si="25"/>
        <v>0</v>
      </c>
      <c r="H200" s="1693">
        <f t="shared" si="29"/>
        <v>76272</v>
      </c>
      <c r="I200" s="1694">
        <f t="shared" si="26"/>
        <v>0</v>
      </c>
    </row>
    <row r="201" spans="2:16" x14ac:dyDescent="0.35">
      <c r="B201" s="1696">
        <v>3911</v>
      </c>
      <c r="C201" s="1697">
        <f t="shared" si="27"/>
        <v>0.1</v>
      </c>
      <c r="D201" s="1696">
        <v>105</v>
      </c>
      <c r="E201" s="1697">
        <f t="shared" si="24"/>
        <v>0.2</v>
      </c>
      <c r="F201" s="1696" t="s">
        <v>2478</v>
      </c>
      <c r="G201" s="1697">
        <f t="shared" si="25"/>
        <v>0</v>
      </c>
      <c r="H201" s="1698">
        <f>G70</f>
        <v>149132</v>
      </c>
      <c r="I201" s="1699">
        <f t="shared" si="26"/>
        <v>0</v>
      </c>
    </row>
    <row r="202" spans="2:16" x14ac:dyDescent="0.35">
      <c r="B202" s="1696">
        <v>3911</v>
      </c>
      <c r="C202" s="1697">
        <f t="shared" si="27"/>
        <v>0.1</v>
      </c>
      <c r="D202" s="1696">
        <v>105</v>
      </c>
      <c r="E202" s="1697">
        <f t="shared" si="24"/>
        <v>0.2</v>
      </c>
      <c r="F202" s="1696" t="s">
        <v>2479</v>
      </c>
      <c r="G202" s="1697">
        <f t="shared" si="25"/>
        <v>0.25</v>
      </c>
      <c r="H202" s="1698">
        <f t="shared" ref="H202:H205" si="30">G71</f>
        <v>140649</v>
      </c>
      <c r="I202" s="1699">
        <f t="shared" si="26"/>
        <v>703.24500000000012</v>
      </c>
    </row>
    <row r="203" spans="2:16" x14ac:dyDescent="0.35">
      <c r="B203" s="1696">
        <v>3911</v>
      </c>
      <c r="C203" s="1697">
        <f t="shared" si="27"/>
        <v>0.1</v>
      </c>
      <c r="D203" s="1696">
        <v>105</v>
      </c>
      <c r="E203" s="1697">
        <f t="shared" si="24"/>
        <v>0.2</v>
      </c>
      <c r="F203" s="1696" t="s">
        <v>614</v>
      </c>
      <c r="G203" s="1697">
        <f t="shared" si="25"/>
        <v>0.6</v>
      </c>
      <c r="H203" s="1698">
        <f t="shared" si="30"/>
        <v>118901</v>
      </c>
      <c r="I203" s="1699">
        <f t="shared" si="26"/>
        <v>1426.8119999999999</v>
      </c>
    </row>
    <row r="204" spans="2:16" x14ac:dyDescent="0.35">
      <c r="B204" s="1696">
        <v>3911</v>
      </c>
      <c r="C204" s="1697">
        <f t="shared" si="27"/>
        <v>0.1</v>
      </c>
      <c r="D204" s="1696">
        <v>105</v>
      </c>
      <c r="E204" s="1697">
        <f t="shared" si="24"/>
        <v>0.2</v>
      </c>
      <c r="F204" s="1696" t="s">
        <v>2481</v>
      </c>
      <c r="G204" s="1697">
        <f t="shared" si="25"/>
        <v>0.15</v>
      </c>
      <c r="H204" s="1698">
        <f t="shared" si="30"/>
        <v>87797</v>
      </c>
      <c r="I204" s="1699">
        <f t="shared" si="26"/>
        <v>263.39100000000002</v>
      </c>
    </row>
    <row r="205" spans="2:16" ht="15" thickBot="1" x14ac:dyDescent="0.4">
      <c r="B205" s="1707">
        <v>3911</v>
      </c>
      <c r="C205" s="1708">
        <f t="shared" si="27"/>
        <v>0.1</v>
      </c>
      <c r="D205" s="1707">
        <v>105</v>
      </c>
      <c r="E205" s="1708">
        <f t="shared" si="24"/>
        <v>0.2</v>
      </c>
      <c r="F205" s="1707" t="s">
        <v>2482</v>
      </c>
      <c r="G205" s="1708">
        <f t="shared" si="25"/>
        <v>0</v>
      </c>
      <c r="H205" s="1709">
        <f t="shared" si="30"/>
        <v>88879</v>
      </c>
      <c r="I205" s="1710">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79" priority="1">
      <formula>D45&lt;&gt;#REF!</formula>
    </cfRule>
  </conditionalFormatting>
  <pageMargins left="0.7" right="0.7" top="0.75" bottom="0.75" header="0.3" footer="0.3"/>
  <pageSetup scale="19" orientation="portrait" r:id="rId1"/>
  <headerFooter>
    <oddHeader>&amp;LAppendix G (Rev.)</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F0"/>
    <pageSetUpPr fitToPage="1"/>
  </sheetPr>
  <dimension ref="A1:AD92"/>
  <sheetViews>
    <sheetView zoomScale="70" zoomScaleNormal="70" workbookViewId="0"/>
  </sheetViews>
  <sheetFormatPr defaultColWidth="9.1796875" defaultRowHeight="14.5" x14ac:dyDescent="0.35"/>
  <cols>
    <col min="1" max="1" width="9.1796875" style="675"/>
    <col min="2" max="2" width="30.453125" style="675" customWidth="1"/>
    <col min="3" max="3" width="16.81640625" style="675" customWidth="1"/>
    <col min="4" max="20" width="13.81640625" style="675" customWidth="1"/>
    <col min="21" max="21" width="13.1796875" style="675" customWidth="1"/>
    <col min="22" max="22" width="12.26953125" style="675" customWidth="1"/>
    <col min="23" max="23" width="11" style="675" customWidth="1"/>
    <col min="24" max="24" width="10.26953125" style="675" customWidth="1"/>
    <col min="25" max="25" width="13" style="675" customWidth="1"/>
    <col min="26" max="26" width="10.81640625" style="675" customWidth="1"/>
    <col min="27" max="27" width="10.26953125" style="675" customWidth="1"/>
    <col min="28" max="32" width="9.7265625" style="675" customWidth="1"/>
    <col min="33" max="33" width="10.7265625" style="675" customWidth="1"/>
    <col min="34" max="34" width="12.26953125" style="675" customWidth="1"/>
    <col min="35" max="35" width="9.81640625" style="675" customWidth="1"/>
    <col min="36" max="36" width="10.26953125" style="675" customWidth="1"/>
    <col min="37" max="37" width="10.1796875" style="675" customWidth="1"/>
    <col min="38" max="16384" width="9.1796875" style="675"/>
  </cols>
  <sheetData>
    <row r="1" spans="1:9" ht="21" x14ac:dyDescent="0.5">
      <c r="A1" s="674" t="s">
        <v>2533</v>
      </c>
    </row>
    <row r="3" spans="1:9" ht="21" x14ac:dyDescent="0.5">
      <c r="A3" s="704" t="s">
        <v>2534</v>
      </c>
    </row>
    <row r="4" spans="1:9" ht="15" thickBot="1" x14ac:dyDescent="0.4">
      <c r="E4" s="680" t="s">
        <v>2535</v>
      </c>
      <c r="H4" s="675" t="s">
        <v>2536</v>
      </c>
    </row>
    <row r="5" spans="1:9" x14ac:dyDescent="0.35">
      <c r="B5" s="678" t="s">
        <v>1947</v>
      </c>
      <c r="C5" s="679">
        <f>E72</f>
        <v>10</v>
      </c>
      <c r="D5" s="680"/>
      <c r="E5" s="678" t="s">
        <v>1947</v>
      </c>
      <c r="F5" s="679">
        <f>E72</f>
        <v>10</v>
      </c>
      <c r="H5" s="678" t="s">
        <v>1947</v>
      </c>
      <c r="I5" s="679">
        <f>E72</f>
        <v>10</v>
      </c>
    </row>
    <row r="6" spans="1:9" x14ac:dyDescent="0.35">
      <c r="B6" s="1013" t="s">
        <v>2537</v>
      </c>
      <c r="C6" s="1715">
        <f>F87</f>
        <v>505</v>
      </c>
      <c r="D6" s="680"/>
      <c r="E6" s="1013" t="s">
        <v>2537</v>
      </c>
      <c r="F6" s="1715">
        <f>O87</f>
        <v>1870.3703703703702</v>
      </c>
      <c r="H6" s="1013" t="s">
        <v>2537</v>
      </c>
      <c r="I6" s="1715" t="s">
        <v>1271</v>
      </c>
    </row>
    <row r="7" spans="1:9" x14ac:dyDescent="0.35">
      <c r="B7" s="681" t="s">
        <v>1950</v>
      </c>
      <c r="C7" s="684">
        <v>0</v>
      </c>
      <c r="D7" s="683"/>
      <c r="E7" s="681" t="s">
        <v>1950</v>
      </c>
      <c r="F7" s="684">
        <v>0</v>
      </c>
      <c r="H7" s="681" t="s">
        <v>1950</v>
      </c>
      <c r="I7" s="684">
        <v>0</v>
      </c>
    </row>
    <row r="8" spans="1:9" x14ac:dyDescent="0.35">
      <c r="B8" s="1013" t="s">
        <v>1951</v>
      </c>
      <c r="C8" s="1014">
        <v>0</v>
      </c>
      <c r="D8" s="683"/>
      <c r="E8" s="1013" t="s">
        <v>1951</v>
      </c>
      <c r="F8" s="1014">
        <v>0</v>
      </c>
      <c r="H8" s="1013" t="s">
        <v>1951</v>
      </c>
      <c r="I8" s="1014">
        <v>0</v>
      </c>
    </row>
    <row r="9" spans="1:9" x14ac:dyDescent="0.35">
      <c r="B9" s="681" t="s">
        <v>1952</v>
      </c>
      <c r="C9" s="684">
        <f>M87</f>
        <v>150313.4680176212</v>
      </c>
      <c r="D9" s="683"/>
      <c r="E9" s="681" t="s">
        <v>1952</v>
      </c>
      <c r="F9" s="684">
        <v>0</v>
      </c>
      <c r="H9" s="681" t="s">
        <v>1952</v>
      </c>
      <c r="I9" s="684">
        <f>M87</f>
        <v>150313.4680176212</v>
      </c>
    </row>
    <row r="10" spans="1:9" x14ac:dyDescent="0.35">
      <c r="B10" s="1013" t="s">
        <v>1953</v>
      </c>
      <c r="C10" s="1015">
        <f>N87</f>
        <v>50500</v>
      </c>
      <c r="D10" s="686"/>
      <c r="E10" s="1013" t="s">
        <v>1953</v>
      </c>
      <c r="F10" s="1015">
        <f>P87</f>
        <v>56111.111111111109</v>
      </c>
      <c r="H10" s="1013" t="s">
        <v>1953</v>
      </c>
      <c r="I10" s="1015">
        <f>Q87</f>
        <v>106611.11111111111</v>
      </c>
    </row>
    <row r="11" spans="1:9" x14ac:dyDescent="0.35">
      <c r="B11" s="681" t="s">
        <v>2538</v>
      </c>
      <c r="C11" s="687">
        <f>C7/$C$6</f>
        <v>0</v>
      </c>
      <c r="D11" s="686"/>
      <c r="E11" s="681" t="s">
        <v>2538</v>
      </c>
      <c r="F11" s="687">
        <v>0</v>
      </c>
      <c r="H11" s="681" t="s">
        <v>2538</v>
      </c>
      <c r="I11" s="687" t="s">
        <v>1271</v>
      </c>
    </row>
    <row r="12" spans="1:9" x14ac:dyDescent="0.35">
      <c r="B12" s="1013" t="s">
        <v>2539</v>
      </c>
      <c r="C12" s="1016">
        <f>C8/$C$6</f>
        <v>0</v>
      </c>
      <c r="D12" s="686"/>
      <c r="E12" s="1013" t="s">
        <v>2539</v>
      </c>
      <c r="F12" s="1016">
        <v>0</v>
      </c>
      <c r="H12" s="1013" t="s">
        <v>2539</v>
      </c>
      <c r="I12" s="1016" t="s">
        <v>1271</v>
      </c>
    </row>
    <row r="13" spans="1:9" x14ac:dyDescent="0.35">
      <c r="B13" s="681" t="s">
        <v>2540</v>
      </c>
      <c r="C13" s="687">
        <f>C9/C6</f>
        <v>297.65043171806178</v>
      </c>
      <c r="D13" s="686"/>
      <c r="E13" s="681" t="s">
        <v>2540</v>
      </c>
      <c r="F13" s="687">
        <v>0</v>
      </c>
      <c r="H13" s="681" t="s">
        <v>2540</v>
      </c>
      <c r="I13" s="687" t="s">
        <v>1271</v>
      </c>
    </row>
    <row r="14" spans="1:9" x14ac:dyDescent="0.35">
      <c r="B14" s="1013" t="s">
        <v>2187</v>
      </c>
      <c r="C14" s="1017">
        <f>C10/C9</f>
        <v>0.33596457234344362</v>
      </c>
      <c r="D14" s="690"/>
      <c r="E14" s="1013" t="s">
        <v>2187</v>
      </c>
      <c r="F14" s="1017" t="s">
        <v>1271</v>
      </c>
      <c r="H14" s="1013" t="s">
        <v>2187</v>
      </c>
      <c r="I14" s="1017" t="s">
        <v>1271</v>
      </c>
    </row>
    <row r="15" spans="1:9" ht="15" thickBot="1" x14ac:dyDescent="0.4">
      <c r="B15" s="1018" t="s">
        <v>2108</v>
      </c>
      <c r="C15" s="1019">
        <f>Y82</f>
        <v>38885</v>
      </c>
      <c r="D15" s="706"/>
      <c r="E15" s="1018" t="s">
        <v>2108</v>
      </c>
      <c r="F15" s="1019">
        <f>AB82</f>
        <v>0</v>
      </c>
      <c r="H15" s="1018" t="s">
        <v>2108</v>
      </c>
      <c r="I15" s="1019">
        <f>Y82</f>
        <v>38885</v>
      </c>
    </row>
    <row r="16" spans="1:9" x14ac:dyDescent="0.35">
      <c r="B16" s="694" t="s">
        <v>1961</v>
      </c>
      <c r="C16" s="695"/>
      <c r="D16" s="696"/>
      <c r="E16" s="698"/>
      <c r="F16" s="680"/>
    </row>
    <row r="17" spans="1:10" ht="15" thickBot="1" x14ac:dyDescent="0.4">
      <c r="C17" s="694"/>
      <c r="D17" s="696"/>
      <c r="E17" s="683"/>
      <c r="F17" s="683"/>
    </row>
    <row r="18" spans="1:10" x14ac:dyDescent="0.35">
      <c r="B18" s="1020" t="s">
        <v>2063</v>
      </c>
      <c r="C18" s="1716">
        <v>0.89</v>
      </c>
      <c r="D18" s="680"/>
      <c r="E18" s="700"/>
      <c r="F18" s="683"/>
      <c r="H18" s="1020" t="s">
        <v>2063</v>
      </c>
      <c r="I18" s="1716">
        <v>0.89</v>
      </c>
    </row>
    <row r="19" spans="1:10" x14ac:dyDescent="0.35">
      <c r="B19" s="1021" t="s">
        <v>1965</v>
      </c>
      <c r="C19" s="1022">
        <v>0</v>
      </c>
      <c r="D19" s="683"/>
      <c r="E19" s="701"/>
      <c r="F19" s="683"/>
      <c r="H19" s="1021" t="s">
        <v>1965</v>
      </c>
      <c r="I19" s="1022">
        <v>0</v>
      </c>
    </row>
    <row r="20" spans="1:10" x14ac:dyDescent="0.35">
      <c r="B20" s="1023" t="s">
        <v>1966</v>
      </c>
      <c r="C20" s="1024">
        <v>0</v>
      </c>
      <c r="D20" s="700"/>
      <c r="E20" s="690"/>
      <c r="F20" s="690"/>
      <c r="H20" s="1023" t="s">
        <v>1966</v>
      </c>
      <c r="I20" s="1024">
        <v>0</v>
      </c>
    </row>
    <row r="21" spans="1:10" x14ac:dyDescent="0.35">
      <c r="B21" s="1021" t="s">
        <v>1967</v>
      </c>
      <c r="C21" s="1022">
        <f>C18*C9</f>
        <v>133778.98653568287</v>
      </c>
      <c r="D21" s="683"/>
      <c r="E21" s="680"/>
      <c r="F21" s="680"/>
      <c r="H21" s="1021" t="s">
        <v>1967</v>
      </c>
      <c r="I21" s="1022">
        <f>I18*I9</f>
        <v>133778.98653568287</v>
      </c>
    </row>
    <row r="22" spans="1:10" x14ac:dyDescent="0.35">
      <c r="B22" s="1023" t="s">
        <v>1969</v>
      </c>
      <c r="C22" s="1717">
        <f>C10/C21</f>
        <v>0.37748828353195918</v>
      </c>
      <c r="D22" s="690"/>
      <c r="E22" s="690"/>
      <c r="F22" s="690"/>
      <c r="H22" s="1023" t="s">
        <v>1969</v>
      </c>
      <c r="I22" s="1717">
        <f>I10/I21</f>
        <v>0.79691970967858039</v>
      </c>
    </row>
    <row r="23" spans="1:10" ht="15" thickBot="1" x14ac:dyDescent="0.4">
      <c r="B23" s="1025" t="s">
        <v>1970</v>
      </c>
      <c r="C23" s="1026">
        <v>6</v>
      </c>
      <c r="D23" s="680"/>
      <c r="E23" s="680"/>
      <c r="F23" s="680"/>
      <c r="H23" s="1025" t="s">
        <v>1970</v>
      </c>
      <c r="I23" s="1026">
        <v>6</v>
      </c>
    </row>
    <row r="24" spans="1:10" x14ac:dyDescent="0.35">
      <c r="B24" s="703"/>
      <c r="C24" s="703"/>
    </row>
    <row r="25" spans="1:10" ht="21" x14ac:dyDescent="0.5">
      <c r="A25" s="704" t="s">
        <v>1971</v>
      </c>
      <c r="B25" s="703"/>
      <c r="C25" s="703"/>
    </row>
    <row r="26" spans="1:10" ht="15" customHeight="1" thickBot="1" x14ac:dyDescent="0.4"/>
    <row r="27" spans="1:10" ht="72.5" x14ac:dyDescent="0.35">
      <c r="B27" s="1718" t="s">
        <v>2541</v>
      </c>
      <c r="C27" s="1719" t="s">
        <v>2542</v>
      </c>
      <c r="D27" s="773" t="s">
        <v>2543</v>
      </c>
      <c r="E27" s="1720"/>
      <c r="F27" s="783" t="s">
        <v>2544</v>
      </c>
      <c r="G27" s="747" t="s">
        <v>2545</v>
      </c>
      <c r="H27" s="747" t="s">
        <v>2546</v>
      </c>
      <c r="I27" s="747" t="s">
        <v>2547</v>
      </c>
      <c r="J27" s="773" t="s">
        <v>2548</v>
      </c>
    </row>
    <row r="28" spans="1:10" ht="15" thickBot="1" x14ac:dyDescent="0.4">
      <c r="B28" s="774" t="s">
        <v>2549</v>
      </c>
      <c r="C28" s="995" t="s">
        <v>2550</v>
      </c>
      <c r="D28" s="1721">
        <f>R82</f>
        <v>18076.205814977977</v>
      </c>
      <c r="F28" s="1722">
        <f>R91</f>
        <v>15031.34680176212</v>
      </c>
      <c r="G28" s="1723">
        <f>S91</f>
        <v>5050</v>
      </c>
      <c r="H28" s="1723">
        <f>T91</f>
        <v>5611.1111111111113</v>
      </c>
      <c r="I28" s="1723">
        <f>U91</f>
        <v>10661.111111111111</v>
      </c>
      <c r="J28" s="1724">
        <f>V91</f>
        <v>3888.5</v>
      </c>
    </row>
    <row r="29" spans="1:10" x14ac:dyDescent="0.35">
      <c r="B29" s="774" t="s">
        <v>2551</v>
      </c>
      <c r="C29" s="995" t="s">
        <v>2550</v>
      </c>
      <c r="D29" s="1721">
        <f>R83</f>
        <v>17047.994669603526</v>
      </c>
    </row>
    <row r="30" spans="1:10" x14ac:dyDescent="0.35">
      <c r="B30" s="774" t="s">
        <v>2552</v>
      </c>
      <c r="C30" s="995" t="s">
        <v>2550</v>
      </c>
      <c r="D30" s="1721">
        <f>R84</f>
        <v>14411.881321585906</v>
      </c>
    </row>
    <row r="31" spans="1:10" x14ac:dyDescent="0.35">
      <c r="B31" s="774" t="s">
        <v>2553</v>
      </c>
      <c r="C31" s="995" t="s">
        <v>2550</v>
      </c>
      <c r="D31" s="1721">
        <f>R85</f>
        <v>10641.773788546257</v>
      </c>
    </row>
    <row r="32" spans="1:10" ht="15" thickBot="1" x14ac:dyDescent="0.4">
      <c r="B32" s="776" t="s">
        <v>2554</v>
      </c>
      <c r="C32" s="1725" t="s">
        <v>2550</v>
      </c>
      <c r="D32" s="1726">
        <f>R86</f>
        <v>0</v>
      </c>
    </row>
    <row r="33" spans="1:24" x14ac:dyDescent="0.35">
      <c r="B33" s="1727"/>
      <c r="C33" s="1727"/>
    </row>
    <row r="34" spans="1:24" ht="21" x14ac:dyDescent="0.5">
      <c r="A34" s="704" t="s">
        <v>1977</v>
      </c>
    </row>
    <row r="36" spans="1:24" ht="18" customHeight="1" thickBot="1" x14ac:dyDescent="0.4"/>
    <row r="37" spans="1:24" ht="60" customHeight="1" x14ac:dyDescent="0.35">
      <c r="B37" s="772" t="s">
        <v>2555</v>
      </c>
      <c r="C37" s="1719" t="s">
        <v>2542</v>
      </c>
      <c r="D37" s="747" t="s">
        <v>2556</v>
      </c>
      <c r="E37" s="747" t="s">
        <v>2557</v>
      </c>
      <c r="F37" s="773" t="s">
        <v>2558</v>
      </c>
      <c r="J37" s="3020" t="s">
        <v>2559</v>
      </c>
      <c r="K37" s="3021"/>
      <c r="L37" s="3021"/>
      <c r="M37" s="3021"/>
      <c r="N37" s="3021"/>
      <c r="O37" s="3021"/>
      <c r="P37" s="3022"/>
      <c r="Q37" s="1720"/>
      <c r="R37" s="1720"/>
      <c r="S37" s="1720"/>
      <c r="T37" s="1720"/>
      <c r="U37" s="1720"/>
      <c r="V37" s="1720"/>
      <c r="W37" s="1720"/>
    </row>
    <row r="38" spans="1:24" ht="15" thickBot="1" x14ac:dyDescent="0.4">
      <c r="B38" s="776" t="s">
        <v>2560</v>
      </c>
      <c r="C38" s="1728" t="s">
        <v>2550</v>
      </c>
      <c r="D38" s="1729">
        <v>6.9</v>
      </c>
      <c r="E38" s="1730">
        <v>951</v>
      </c>
      <c r="F38" s="1731">
        <v>0.27</v>
      </c>
      <c r="J38" s="869" t="s">
        <v>1981</v>
      </c>
      <c r="K38" s="870"/>
      <c r="L38" s="870"/>
      <c r="M38" s="870"/>
      <c r="N38" s="870"/>
      <c r="O38" s="870"/>
      <c r="P38" s="871"/>
      <c r="Q38" s="698"/>
      <c r="R38" s="698"/>
      <c r="S38" s="698"/>
      <c r="T38" s="698"/>
      <c r="U38" s="698"/>
      <c r="V38" s="698"/>
      <c r="W38" s="698"/>
    </row>
    <row r="39" spans="1:24" x14ac:dyDescent="0.35">
      <c r="F39" s="930" t="s">
        <v>2561</v>
      </c>
      <c r="J39" s="873" t="s">
        <v>2562</v>
      </c>
      <c r="K39" s="698"/>
      <c r="L39" s="698"/>
      <c r="M39" s="698"/>
      <c r="N39" s="698"/>
      <c r="O39" s="698"/>
      <c r="P39" s="874"/>
      <c r="Q39" s="698"/>
      <c r="R39" s="698"/>
      <c r="S39" s="698"/>
      <c r="T39" s="698"/>
      <c r="U39" s="698"/>
      <c r="V39" s="698"/>
      <c r="W39" s="698"/>
    </row>
    <row r="40" spans="1:24" ht="15" thickBot="1" x14ac:dyDescent="0.4">
      <c r="J40" s="933"/>
      <c r="K40" s="934"/>
      <c r="L40" s="934"/>
      <c r="M40" s="934"/>
      <c r="N40" s="934"/>
      <c r="O40" s="934"/>
      <c r="P40" s="935"/>
      <c r="Q40" s="698"/>
      <c r="R40" s="698"/>
      <c r="S40" s="698"/>
      <c r="T40" s="698"/>
      <c r="U40" s="698"/>
      <c r="V40" s="698"/>
      <c r="W40" s="698"/>
    </row>
    <row r="41" spans="1:24" ht="29" x14ac:dyDescent="0.35">
      <c r="B41" s="772" t="s">
        <v>2555</v>
      </c>
      <c r="C41" s="773" t="s">
        <v>2563</v>
      </c>
      <c r="J41" s="946" t="s">
        <v>1990</v>
      </c>
      <c r="K41" s="698"/>
      <c r="L41" s="698"/>
      <c r="M41" s="698"/>
      <c r="N41" s="698"/>
      <c r="O41" s="698"/>
      <c r="P41" s="874"/>
      <c r="Q41" s="698"/>
      <c r="R41" s="698"/>
      <c r="S41" s="698"/>
      <c r="T41" s="698"/>
      <c r="U41" s="698"/>
      <c r="V41" s="698"/>
      <c r="W41" s="698"/>
    </row>
    <row r="42" spans="1:24" x14ac:dyDescent="0.35">
      <c r="B42" s="774" t="s">
        <v>2560</v>
      </c>
      <c r="C42" s="1732">
        <v>0.80700000000000005</v>
      </c>
      <c r="J42" s="873" t="s">
        <v>2564</v>
      </c>
      <c r="K42" s="698" t="s">
        <v>1992</v>
      </c>
      <c r="L42" s="698" t="s">
        <v>2565</v>
      </c>
      <c r="M42" s="698"/>
      <c r="N42" s="698"/>
      <c r="O42" s="698"/>
      <c r="P42" s="874"/>
      <c r="Q42" s="698"/>
      <c r="R42" s="698"/>
      <c r="S42" s="698"/>
      <c r="T42" s="698"/>
      <c r="U42" s="698"/>
      <c r="V42" s="698"/>
      <c r="W42" s="698"/>
    </row>
    <row r="43" spans="1:24" ht="15" thickBot="1" x14ac:dyDescent="0.4">
      <c r="B43" s="776" t="s">
        <v>2566</v>
      </c>
      <c r="C43" s="1733">
        <v>0.64800000000000002</v>
      </c>
      <c r="J43" s="873" t="s">
        <v>2567</v>
      </c>
      <c r="K43" s="698" t="s">
        <v>1992</v>
      </c>
      <c r="L43" s="698" t="s">
        <v>2568</v>
      </c>
      <c r="M43" s="698"/>
      <c r="N43" s="698"/>
      <c r="O43" s="698"/>
      <c r="P43" s="874"/>
      <c r="Q43" s="698"/>
      <c r="R43" s="698"/>
      <c r="S43" s="698"/>
      <c r="T43" s="698"/>
      <c r="U43" s="698"/>
      <c r="V43" s="698"/>
      <c r="W43" s="698"/>
    </row>
    <row r="44" spans="1:24" ht="15" thickBot="1" x14ac:dyDescent="0.4">
      <c r="J44" s="873" t="s">
        <v>293</v>
      </c>
      <c r="K44" s="698" t="s">
        <v>1992</v>
      </c>
      <c r="L44" s="698" t="s">
        <v>2569</v>
      </c>
      <c r="M44" s="698"/>
      <c r="N44" s="698"/>
      <c r="O44" s="698"/>
      <c r="P44" s="874"/>
      <c r="Q44" s="698"/>
      <c r="R44" s="698"/>
      <c r="S44" s="698"/>
      <c r="T44" s="698"/>
      <c r="U44" s="698"/>
      <c r="V44" s="698"/>
      <c r="W44" s="698"/>
    </row>
    <row r="45" spans="1:24" x14ac:dyDescent="0.35">
      <c r="B45" s="772" t="s">
        <v>353</v>
      </c>
      <c r="C45" s="773" t="s">
        <v>2570</v>
      </c>
      <c r="J45" s="873" t="s">
        <v>1395</v>
      </c>
      <c r="K45" s="698" t="s">
        <v>1992</v>
      </c>
      <c r="L45" s="698" t="s">
        <v>2571</v>
      </c>
      <c r="M45" s="698"/>
      <c r="N45" s="698"/>
      <c r="O45" s="698"/>
      <c r="P45" s="874"/>
      <c r="Q45" s="698"/>
      <c r="R45" s="698"/>
      <c r="S45" s="698"/>
      <c r="T45" s="698"/>
      <c r="U45" s="698"/>
      <c r="V45" s="698"/>
      <c r="W45" s="698"/>
    </row>
    <row r="46" spans="1:24" x14ac:dyDescent="0.35">
      <c r="B46" s="774" t="s">
        <v>354</v>
      </c>
      <c r="C46" s="1734">
        <v>4272</v>
      </c>
      <c r="J46" s="933" t="s">
        <v>496</v>
      </c>
      <c r="K46" s="934" t="s">
        <v>2112</v>
      </c>
      <c r="L46" s="934" t="s">
        <v>2572</v>
      </c>
      <c r="M46" s="934"/>
      <c r="N46" s="934"/>
      <c r="O46" s="934"/>
      <c r="P46" s="935"/>
      <c r="Q46" s="698"/>
      <c r="R46" s="698"/>
      <c r="S46" s="698"/>
      <c r="T46" s="698"/>
      <c r="U46" s="698"/>
      <c r="V46" s="698"/>
      <c r="W46" s="698"/>
    </row>
    <row r="47" spans="1:24" x14ac:dyDescent="0.35">
      <c r="B47" s="774" t="s">
        <v>355</v>
      </c>
      <c r="C47" s="1734">
        <v>4029</v>
      </c>
      <c r="J47" s="698"/>
      <c r="K47" s="698"/>
      <c r="L47" s="698"/>
      <c r="M47" s="698"/>
      <c r="N47" s="698"/>
      <c r="O47" s="698"/>
      <c r="P47" s="698"/>
      <c r="Q47" s="698"/>
      <c r="R47" s="698"/>
      <c r="S47" s="698"/>
      <c r="T47" s="698"/>
      <c r="U47" s="698"/>
      <c r="V47" s="698"/>
      <c r="W47" s="698"/>
      <c r="X47" s="698"/>
    </row>
    <row r="48" spans="1:24" x14ac:dyDescent="0.35">
      <c r="B48" s="774" t="s">
        <v>356</v>
      </c>
      <c r="C48" s="1734">
        <v>3406</v>
      </c>
      <c r="K48" s="698"/>
      <c r="L48" s="698"/>
      <c r="M48" s="698"/>
      <c r="N48" s="698"/>
      <c r="O48" s="698"/>
      <c r="P48" s="698"/>
      <c r="Q48" s="698"/>
      <c r="R48" s="698"/>
      <c r="S48" s="698"/>
      <c r="T48" s="698"/>
      <c r="U48" s="698"/>
      <c r="V48" s="698"/>
    </row>
    <row r="49" spans="1:24" x14ac:dyDescent="0.35">
      <c r="B49" s="774" t="s">
        <v>357</v>
      </c>
      <c r="C49" s="1734">
        <v>2515</v>
      </c>
      <c r="K49" s="698"/>
      <c r="L49" s="698"/>
      <c r="M49" s="698"/>
      <c r="N49" s="698"/>
      <c r="O49" s="698"/>
      <c r="P49" s="698"/>
      <c r="Q49" s="698"/>
      <c r="R49" s="698"/>
      <c r="S49" s="698"/>
      <c r="T49" s="698"/>
      <c r="U49" s="698"/>
      <c r="V49" s="698"/>
    </row>
    <row r="50" spans="1:24" ht="15" thickBot="1" x14ac:dyDescent="0.4">
      <c r="B50" s="776" t="s">
        <v>358</v>
      </c>
      <c r="C50" s="922">
        <v>2546</v>
      </c>
      <c r="J50" s="698"/>
      <c r="K50" s="698"/>
      <c r="L50" s="698"/>
      <c r="M50" s="698"/>
      <c r="N50" s="698"/>
      <c r="O50" s="698"/>
      <c r="P50" s="698"/>
      <c r="Q50" s="698"/>
      <c r="R50" s="698"/>
      <c r="S50" s="698"/>
      <c r="T50" s="698"/>
      <c r="U50" s="698"/>
      <c r="V50" s="698"/>
      <c r="W50" s="698"/>
      <c r="X50" s="698"/>
    </row>
    <row r="51" spans="1:24" ht="15" thickBot="1" x14ac:dyDescent="0.4">
      <c r="K51" s="698"/>
      <c r="L51" s="698"/>
      <c r="M51" s="698"/>
      <c r="N51" s="698"/>
      <c r="O51" s="698"/>
      <c r="P51" s="698"/>
      <c r="Q51" s="698"/>
      <c r="R51" s="698"/>
      <c r="S51" s="698"/>
      <c r="T51" s="698"/>
      <c r="U51" s="698"/>
      <c r="V51" s="698"/>
    </row>
    <row r="52" spans="1:24" x14ac:dyDescent="0.35">
      <c r="B52" s="733" t="s">
        <v>2573</v>
      </c>
      <c r="K52" s="698"/>
      <c r="L52" s="698"/>
      <c r="M52" s="698"/>
      <c r="N52" s="698"/>
      <c r="O52" s="698"/>
      <c r="P52" s="698"/>
      <c r="Q52" s="698"/>
      <c r="R52" s="698"/>
      <c r="S52" s="698"/>
      <c r="T52" s="698"/>
      <c r="U52" s="698"/>
      <c r="V52" s="698"/>
    </row>
    <row r="53" spans="1:24" ht="15" thickBot="1" x14ac:dyDescent="0.4">
      <c r="B53" s="734">
        <v>77</v>
      </c>
      <c r="K53" s="698"/>
      <c r="L53" s="698"/>
      <c r="M53" s="698"/>
      <c r="N53" s="698"/>
      <c r="O53" s="698"/>
      <c r="P53" s="698"/>
      <c r="Q53" s="698"/>
      <c r="R53" s="698"/>
      <c r="S53" s="698"/>
      <c r="T53" s="698"/>
      <c r="U53" s="698"/>
      <c r="V53" s="698"/>
    </row>
    <row r="54" spans="1:24" x14ac:dyDescent="0.35">
      <c r="K54" s="698"/>
      <c r="L54" s="698"/>
      <c r="M54" s="698"/>
      <c r="N54" s="698"/>
      <c r="O54" s="698"/>
      <c r="P54" s="698"/>
      <c r="Q54" s="698"/>
      <c r="R54" s="698"/>
      <c r="S54" s="698"/>
      <c r="T54" s="698"/>
      <c r="U54" s="698"/>
      <c r="V54" s="698"/>
    </row>
    <row r="55" spans="1:24" ht="21" x14ac:dyDescent="0.5">
      <c r="A55" s="704" t="s">
        <v>2012</v>
      </c>
    </row>
    <row r="56" spans="1:24" ht="21.5" thickBot="1" x14ac:dyDescent="0.55000000000000004">
      <c r="A56" s="704"/>
      <c r="B56" s="698"/>
      <c r="C56" s="735"/>
    </row>
    <row r="57" spans="1:24" ht="29" x14ac:dyDescent="0.35">
      <c r="B57" s="1029" t="s">
        <v>2555</v>
      </c>
      <c r="C57" s="1735" t="s">
        <v>2542</v>
      </c>
      <c r="D57" s="773" t="s">
        <v>2574</v>
      </c>
      <c r="E57" s="737"/>
      <c r="F57" s="737"/>
      <c r="G57" s="737"/>
    </row>
    <row r="58" spans="1:24" x14ac:dyDescent="0.35">
      <c r="B58" s="1736" t="s">
        <v>2560</v>
      </c>
      <c r="C58" s="1136" t="s">
        <v>2550</v>
      </c>
      <c r="D58" s="1737">
        <v>100</v>
      </c>
      <c r="E58" s="739"/>
      <c r="F58" s="739"/>
      <c r="G58" s="739"/>
    </row>
    <row r="59" spans="1:24" ht="15" thickBot="1" x14ac:dyDescent="0.4">
      <c r="B59" s="1738" t="s">
        <v>2575</v>
      </c>
      <c r="C59" s="1739" t="s">
        <v>2550</v>
      </c>
      <c r="D59" s="1740">
        <v>30</v>
      </c>
      <c r="E59" s="739"/>
      <c r="F59" s="739"/>
      <c r="G59" s="739"/>
    </row>
    <row r="60" spans="1:24" x14ac:dyDescent="0.35">
      <c r="M60" s="698"/>
    </row>
    <row r="61" spans="1:24" ht="21" x14ac:dyDescent="0.5">
      <c r="A61" s="704" t="s">
        <v>2014</v>
      </c>
    </row>
    <row r="62" spans="1:24" ht="15" thickBot="1" x14ac:dyDescent="0.4"/>
    <row r="63" spans="1:24" ht="15" thickBot="1" x14ac:dyDescent="0.4">
      <c r="B63" s="1741" t="s">
        <v>2576</v>
      </c>
      <c r="C63" s="1742">
        <f>SUM(E67:E71)</f>
        <v>10</v>
      </c>
      <c r="G63" s="987"/>
      <c r="H63" s="987"/>
      <c r="I63" s="987"/>
      <c r="J63" s="987"/>
    </row>
    <row r="64" spans="1:24" ht="15" thickBot="1" x14ac:dyDescent="0.4">
      <c r="B64" s="748"/>
    </row>
    <row r="65" spans="1:30" ht="39.75" customHeight="1" thickBot="1" x14ac:dyDescent="0.4">
      <c r="B65" s="1003"/>
      <c r="C65" s="735"/>
      <c r="D65" s="3127" t="s">
        <v>2038</v>
      </c>
      <c r="E65" s="3128"/>
      <c r="F65" s="3128"/>
      <c r="G65" s="3129"/>
      <c r="H65" s="753"/>
      <c r="I65" s="753"/>
      <c r="J65" s="753"/>
      <c r="Z65" s="753"/>
      <c r="AA65" s="753"/>
      <c r="AB65" s="753"/>
      <c r="AC65" s="753"/>
      <c r="AD65" s="753"/>
    </row>
    <row r="66" spans="1:30" ht="58" x14ac:dyDescent="0.35">
      <c r="B66" s="1029" t="s">
        <v>2555</v>
      </c>
      <c r="C66" s="1719" t="s">
        <v>2542</v>
      </c>
      <c r="D66" s="747" t="s">
        <v>2577</v>
      </c>
      <c r="E66" s="747" t="s">
        <v>2578</v>
      </c>
      <c r="F66" s="747" t="s">
        <v>2579</v>
      </c>
      <c r="G66" s="773" t="s">
        <v>2580</v>
      </c>
      <c r="H66" s="754"/>
      <c r="J66" s="754"/>
      <c r="Z66" s="753"/>
      <c r="AA66" s="753"/>
      <c r="AB66" s="753"/>
      <c r="AC66" s="753"/>
      <c r="AD66" s="753"/>
    </row>
    <row r="67" spans="1:30" x14ac:dyDescent="0.35">
      <c r="B67" s="774" t="s">
        <v>2549</v>
      </c>
      <c r="C67" s="995" t="s">
        <v>2550</v>
      </c>
      <c r="D67" s="800">
        <v>50.5</v>
      </c>
      <c r="E67" s="1743">
        <v>2</v>
      </c>
      <c r="F67" s="967">
        <f>E67*D67</f>
        <v>101</v>
      </c>
      <c r="G67" s="1033">
        <v>1</v>
      </c>
      <c r="H67" s="758"/>
      <c r="J67" s="759"/>
      <c r="Z67" s="760"/>
      <c r="AA67" s="761"/>
      <c r="AB67" s="762"/>
      <c r="AC67" s="763"/>
      <c r="AD67" s="764"/>
    </row>
    <row r="68" spans="1:30" x14ac:dyDescent="0.35">
      <c r="B68" s="774" t="s">
        <v>2551</v>
      </c>
      <c r="C68" s="995" t="s">
        <v>2550</v>
      </c>
      <c r="D68" s="800">
        <v>50.5</v>
      </c>
      <c r="E68" s="1743">
        <v>1</v>
      </c>
      <c r="F68" s="967">
        <f t="shared" ref="F68:F71" si="0">E68*D68</f>
        <v>50.5</v>
      </c>
      <c r="G68" s="1033">
        <v>1</v>
      </c>
      <c r="H68" s="758"/>
      <c r="J68" s="759"/>
      <c r="Z68" s="760"/>
      <c r="AA68" s="761"/>
      <c r="AB68" s="762"/>
      <c r="AC68" s="763"/>
      <c r="AD68" s="764"/>
    </row>
    <row r="69" spans="1:30" x14ac:dyDescent="0.35">
      <c r="B69" s="774" t="s">
        <v>2552</v>
      </c>
      <c r="C69" s="995" t="s">
        <v>2550</v>
      </c>
      <c r="D69" s="800">
        <v>50.5</v>
      </c>
      <c r="E69" s="1743">
        <v>6</v>
      </c>
      <c r="F69" s="967">
        <f t="shared" si="0"/>
        <v>303</v>
      </c>
      <c r="G69" s="1033">
        <v>1</v>
      </c>
      <c r="H69" s="758"/>
      <c r="I69" s="759"/>
      <c r="J69" s="759"/>
      <c r="Z69" s="760"/>
      <c r="AA69" s="761"/>
      <c r="AB69" s="762"/>
      <c r="AC69" s="763"/>
      <c r="AD69" s="764"/>
    </row>
    <row r="70" spans="1:30" x14ac:dyDescent="0.35">
      <c r="B70" s="774" t="s">
        <v>2553</v>
      </c>
      <c r="C70" s="995" t="s">
        <v>2550</v>
      </c>
      <c r="D70" s="800">
        <v>50.5</v>
      </c>
      <c r="E70" s="1743">
        <v>1</v>
      </c>
      <c r="F70" s="967">
        <f t="shared" si="0"/>
        <v>50.5</v>
      </c>
      <c r="G70" s="1033">
        <v>1</v>
      </c>
      <c r="H70" s="758"/>
      <c r="I70" s="759"/>
      <c r="J70" s="759"/>
      <c r="Z70" s="760"/>
      <c r="AA70" s="761"/>
      <c r="AB70" s="762"/>
      <c r="AC70" s="763"/>
      <c r="AD70" s="764"/>
    </row>
    <row r="71" spans="1:30" ht="15" thickBot="1" x14ac:dyDescent="0.4">
      <c r="B71" s="776" t="s">
        <v>2554</v>
      </c>
      <c r="C71" s="1725" t="s">
        <v>2550</v>
      </c>
      <c r="D71" s="798">
        <v>50.5</v>
      </c>
      <c r="E71" s="1744">
        <v>0</v>
      </c>
      <c r="F71" s="1745">
        <f t="shared" si="0"/>
        <v>0</v>
      </c>
      <c r="G71" s="1039">
        <v>1</v>
      </c>
      <c r="H71" s="758"/>
      <c r="I71" s="759"/>
      <c r="J71" s="759"/>
      <c r="Z71" s="760"/>
      <c r="AA71" s="761"/>
      <c r="AB71" s="762"/>
      <c r="AC71" s="763"/>
      <c r="AD71" s="764"/>
    </row>
    <row r="72" spans="1:30" ht="15" customHeight="1" x14ac:dyDescent="0.35">
      <c r="B72" s="898" t="s">
        <v>2575</v>
      </c>
      <c r="C72" s="898" t="s">
        <v>2581</v>
      </c>
      <c r="E72" s="1746">
        <f>SUM(E67:E71)</f>
        <v>10</v>
      </c>
      <c r="F72" s="1746">
        <f>SUM(F67:F71)</f>
        <v>505</v>
      </c>
      <c r="G72" s="680" t="s">
        <v>2582</v>
      </c>
      <c r="H72" s="758"/>
      <c r="I72" s="759"/>
      <c r="J72" s="759"/>
      <c r="K72" s="769"/>
      <c r="L72" s="769"/>
      <c r="M72" s="769"/>
      <c r="N72" s="769"/>
      <c r="O72" s="769"/>
      <c r="P72" s="769"/>
      <c r="Q72" s="769"/>
      <c r="R72" s="770"/>
      <c r="S72" s="770"/>
      <c r="T72" s="770"/>
      <c r="U72" s="759"/>
      <c r="V72" s="759"/>
      <c r="W72" s="759"/>
      <c r="X72" s="759"/>
      <c r="Y72" s="759"/>
      <c r="Z72" s="760"/>
      <c r="AA72" s="761"/>
      <c r="AB72" s="762"/>
      <c r="AC72" s="763"/>
      <c r="AD72" s="764"/>
    </row>
    <row r="73" spans="1:30" ht="15" thickBot="1" x14ac:dyDescent="0.4">
      <c r="G73" s="748"/>
      <c r="H73" s="748"/>
      <c r="I73" s="748"/>
    </row>
    <row r="74" spans="1:30" ht="29" x14ac:dyDescent="0.35">
      <c r="B74" s="772" t="s">
        <v>2583</v>
      </c>
      <c r="C74" s="773" t="s">
        <v>2584</v>
      </c>
      <c r="E74" s="686"/>
      <c r="G74" s="748"/>
      <c r="H74" s="748"/>
      <c r="I74" s="748"/>
    </row>
    <row r="75" spans="1:30" x14ac:dyDescent="0.35">
      <c r="B75" s="774" t="s">
        <v>2560</v>
      </c>
      <c r="C75" s="775">
        <v>0.85</v>
      </c>
      <c r="E75" s="690"/>
      <c r="G75" s="748"/>
      <c r="H75" s="748"/>
      <c r="I75" s="748"/>
    </row>
    <row r="76" spans="1:30" ht="15" thickBot="1" x14ac:dyDescent="0.4">
      <c r="B76" s="776" t="s">
        <v>2566</v>
      </c>
      <c r="C76" s="777">
        <v>0.15</v>
      </c>
      <c r="G76" s="748"/>
      <c r="H76" s="748"/>
      <c r="I76" s="748"/>
    </row>
    <row r="78" spans="1:30" ht="21" x14ac:dyDescent="0.5">
      <c r="A78" s="704" t="s">
        <v>2036</v>
      </c>
      <c r="C78" s="675" t="s">
        <v>2037</v>
      </c>
    </row>
    <row r="79" spans="1:30" ht="15" thickBot="1" x14ac:dyDescent="0.4"/>
    <row r="80" spans="1:30" ht="41.25" customHeight="1" thickBot="1" x14ac:dyDescent="0.65">
      <c r="B80" s="3130"/>
      <c r="C80" s="3130"/>
      <c r="D80" s="3131" t="s">
        <v>2038</v>
      </c>
      <c r="E80" s="3132"/>
      <c r="F80" s="3132"/>
      <c r="G80" s="3132"/>
      <c r="H80" s="2985" t="s">
        <v>2039</v>
      </c>
      <c r="I80" s="2986"/>
      <c r="J80" s="2986"/>
      <c r="K80" s="2986"/>
      <c r="L80" s="2987"/>
      <c r="M80" s="3133" t="s">
        <v>2040</v>
      </c>
      <c r="N80" s="3134"/>
      <c r="O80" s="3134"/>
      <c r="P80" s="3134"/>
      <c r="Q80" s="3134"/>
      <c r="R80" s="3134"/>
      <c r="S80" s="3135"/>
      <c r="T80" s="3135"/>
      <c r="U80" s="3136"/>
      <c r="V80" s="779"/>
      <c r="W80" s="779"/>
      <c r="X80" s="779"/>
      <c r="Y80" s="779"/>
      <c r="Z80" s="779"/>
      <c r="AA80" s="779"/>
    </row>
    <row r="81" spans="2:26" ht="72.5" x14ac:dyDescent="0.35">
      <c r="B81" s="772" t="s">
        <v>2585</v>
      </c>
      <c r="C81" s="1719" t="s">
        <v>2542</v>
      </c>
      <c r="D81" s="747" t="s">
        <v>2586</v>
      </c>
      <c r="E81" s="747" t="s">
        <v>2578</v>
      </c>
      <c r="F81" s="747" t="s">
        <v>2587</v>
      </c>
      <c r="G81" s="1747" t="s">
        <v>2580</v>
      </c>
      <c r="H81" s="783" t="s">
        <v>2556</v>
      </c>
      <c r="I81" s="747" t="s">
        <v>2588</v>
      </c>
      <c r="J81" s="747" t="s">
        <v>2589</v>
      </c>
      <c r="K81" s="747" t="s">
        <v>2590</v>
      </c>
      <c r="L81" s="1748" t="s">
        <v>2591</v>
      </c>
      <c r="M81" s="783" t="s">
        <v>2592</v>
      </c>
      <c r="N81" s="747" t="s">
        <v>2101</v>
      </c>
      <c r="O81" s="747" t="s">
        <v>2593</v>
      </c>
      <c r="P81" s="747" t="s">
        <v>2594</v>
      </c>
      <c r="Q81" s="747" t="s">
        <v>2595</v>
      </c>
      <c r="R81" s="747" t="s">
        <v>2596</v>
      </c>
      <c r="S81" s="747" t="s">
        <v>2545</v>
      </c>
      <c r="T81" s="747" t="s">
        <v>2546</v>
      </c>
      <c r="U81" s="773" t="s">
        <v>2547</v>
      </c>
      <c r="V81" s="712"/>
      <c r="W81" s="783" t="s">
        <v>2573</v>
      </c>
      <c r="X81" s="747" t="s">
        <v>2537</v>
      </c>
      <c r="Y81" s="773" t="s">
        <v>2150</v>
      </c>
      <c r="Z81" s="712"/>
    </row>
    <row r="82" spans="2:26" ht="15" thickBot="1" x14ac:dyDescent="0.4">
      <c r="B82" s="774" t="s">
        <v>2549</v>
      </c>
      <c r="C82" s="995" t="s">
        <v>2550</v>
      </c>
      <c r="D82" s="895">
        <f>D67</f>
        <v>50.5</v>
      </c>
      <c r="E82" s="1743">
        <f>E67</f>
        <v>2</v>
      </c>
      <c r="F82" s="967">
        <f>D82*E82</f>
        <v>101</v>
      </c>
      <c r="G82" s="1749">
        <f>G67</f>
        <v>1</v>
      </c>
      <c r="H82" s="1750">
        <f t="shared" ref="H82:I86" si="1">D$38</f>
        <v>6.9</v>
      </c>
      <c r="I82" s="1006">
        <f t="shared" si="1"/>
        <v>951</v>
      </c>
      <c r="J82" s="1041">
        <f>C46</f>
        <v>4272</v>
      </c>
      <c r="K82" s="750">
        <f>$E$91</f>
        <v>0.78315000000000001</v>
      </c>
      <c r="L82" s="1751">
        <f>F$38</f>
        <v>0.27</v>
      </c>
      <c r="M82" s="925">
        <f>F82*H82*(I82/K82)*J82/100000</f>
        <v>36152.411629955954</v>
      </c>
      <c r="N82" s="810">
        <f>F82*$D$58</f>
        <v>10100</v>
      </c>
      <c r="O82" s="808">
        <f>F82/L82</f>
        <v>374.07407407407408</v>
      </c>
      <c r="P82" s="810">
        <f>O82*D$59</f>
        <v>11222.222222222223</v>
      </c>
      <c r="Q82" s="810">
        <f>P82+N82</f>
        <v>21322.222222222223</v>
      </c>
      <c r="R82" s="805">
        <f>IFERROR(M82/E82,0)</f>
        <v>18076.205814977977</v>
      </c>
      <c r="S82" s="1752">
        <f>IFERROR(N82/E82,0)</f>
        <v>5050</v>
      </c>
      <c r="T82" s="1752">
        <f>IFERROR(P82/E82,0)</f>
        <v>5611.1111111111113</v>
      </c>
      <c r="U82" s="1753">
        <f>IFERROR(Q82/E82,0)</f>
        <v>10661.111111111111</v>
      </c>
      <c r="V82" s="1271"/>
      <c r="W82" s="797">
        <f>B53</f>
        <v>77</v>
      </c>
      <c r="X82" s="798">
        <f>F87</f>
        <v>505</v>
      </c>
      <c r="Y82" s="799">
        <f>W82*X82</f>
        <v>38885</v>
      </c>
      <c r="Z82" s="796"/>
    </row>
    <row r="83" spans="2:26" x14ac:dyDescent="0.35">
      <c r="B83" s="774" t="s">
        <v>2551</v>
      </c>
      <c r="C83" s="995" t="s">
        <v>2550</v>
      </c>
      <c r="D83" s="895">
        <f t="shared" ref="D83:E86" si="2">D68</f>
        <v>50.5</v>
      </c>
      <c r="E83" s="1743">
        <f t="shared" si="2"/>
        <v>1</v>
      </c>
      <c r="F83" s="967">
        <f t="shared" ref="F83:F86" si="3">D83*E83</f>
        <v>50.5</v>
      </c>
      <c r="G83" s="1749">
        <f>G68</f>
        <v>1</v>
      </c>
      <c r="H83" s="1750">
        <f t="shared" si="1"/>
        <v>6.9</v>
      </c>
      <c r="I83" s="1006">
        <f t="shared" si="1"/>
        <v>951</v>
      </c>
      <c r="J83" s="1041">
        <f>C47</f>
        <v>4029</v>
      </c>
      <c r="K83" s="750">
        <f>$E$91</f>
        <v>0.78315000000000001</v>
      </c>
      <c r="L83" s="1751">
        <f t="shared" ref="L83:L86" si="4">F$38</f>
        <v>0.27</v>
      </c>
      <c r="M83" s="925">
        <f>F83*H83*(I83/K83)*J83/100000</f>
        <v>17047.994669603526</v>
      </c>
      <c r="N83" s="810">
        <f t="shared" ref="N83:N86" si="5">F83*$D$58</f>
        <v>5050</v>
      </c>
      <c r="O83" s="808">
        <f t="shared" ref="O83:O86" si="6">F83/L83</f>
        <v>187.03703703703704</v>
      </c>
      <c r="P83" s="810">
        <f t="shared" ref="P83:P86" si="7">O83*D$59</f>
        <v>5611.1111111111113</v>
      </c>
      <c r="Q83" s="810">
        <f t="shared" ref="Q83:Q86" si="8">P83+N83</f>
        <v>10661.111111111111</v>
      </c>
      <c r="R83" s="805">
        <f>IFERROR(M83/(F83/D83),0)</f>
        <v>17047.994669603526</v>
      </c>
      <c r="S83" s="1752">
        <f>IFERROR(N83/E83,0)</f>
        <v>5050</v>
      </c>
      <c r="T83" s="1752">
        <f>IFERROR(P83/E83,0)</f>
        <v>5611.1111111111113</v>
      </c>
      <c r="U83" s="1753">
        <f t="shared" ref="U83:U86" si="9">IFERROR(Q83/E83,0)</f>
        <v>10661.111111111111</v>
      </c>
      <c r="V83" s="1271"/>
      <c r="W83" s="1271"/>
      <c r="X83" s="1272"/>
      <c r="Y83" s="796"/>
      <c r="Z83" s="796"/>
    </row>
    <row r="84" spans="2:26" x14ac:dyDescent="0.35">
      <c r="B84" s="774" t="s">
        <v>2552</v>
      </c>
      <c r="C84" s="995" t="s">
        <v>2550</v>
      </c>
      <c r="D84" s="895">
        <f t="shared" si="2"/>
        <v>50.5</v>
      </c>
      <c r="E84" s="1743">
        <f t="shared" si="2"/>
        <v>6</v>
      </c>
      <c r="F84" s="967">
        <f t="shared" si="3"/>
        <v>303</v>
      </c>
      <c r="G84" s="1749">
        <f>G69</f>
        <v>1</v>
      </c>
      <c r="H84" s="1750">
        <f t="shared" si="1"/>
        <v>6.9</v>
      </c>
      <c r="I84" s="1006">
        <f t="shared" si="1"/>
        <v>951</v>
      </c>
      <c r="J84" s="1041">
        <f>C48</f>
        <v>3406</v>
      </c>
      <c r="K84" s="750">
        <f>$E$91</f>
        <v>0.78315000000000001</v>
      </c>
      <c r="L84" s="1751">
        <f t="shared" si="4"/>
        <v>0.27</v>
      </c>
      <c r="M84" s="925">
        <f>F84*H84*(I84/K84)*J84/100000</f>
        <v>86471.287929515442</v>
      </c>
      <c r="N84" s="810">
        <f t="shared" si="5"/>
        <v>30300</v>
      </c>
      <c r="O84" s="808">
        <f t="shared" si="6"/>
        <v>1122.2222222222222</v>
      </c>
      <c r="P84" s="810">
        <f t="shared" si="7"/>
        <v>33666.666666666664</v>
      </c>
      <c r="Q84" s="810">
        <f t="shared" si="8"/>
        <v>63966.666666666664</v>
      </c>
      <c r="R84" s="805">
        <f>IFERROR(M84/(F84/D84),0)</f>
        <v>14411.881321585906</v>
      </c>
      <c r="S84" s="1752">
        <f>IFERROR(N84/E84,0)</f>
        <v>5050</v>
      </c>
      <c r="T84" s="1752">
        <f>IFERROR(P84/E84,0)</f>
        <v>5611.1111111111104</v>
      </c>
      <c r="U84" s="1753">
        <f t="shared" si="9"/>
        <v>10661.111111111111</v>
      </c>
      <c r="V84" s="1271"/>
      <c r="W84" s="1271"/>
      <c r="X84" s="1272"/>
      <c r="Y84" s="796"/>
      <c r="Z84" s="796"/>
    </row>
    <row r="85" spans="2:26" x14ac:dyDescent="0.35">
      <c r="B85" s="774" t="s">
        <v>2553</v>
      </c>
      <c r="C85" s="995" t="s">
        <v>2550</v>
      </c>
      <c r="D85" s="895">
        <f t="shared" si="2"/>
        <v>50.5</v>
      </c>
      <c r="E85" s="1743">
        <f t="shared" si="2"/>
        <v>1</v>
      </c>
      <c r="F85" s="967">
        <f t="shared" si="3"/>
        <v>50.5</v>
      </c>
      <c r="G85" s="1749">
        <f>G70</f>
        <v>1</v>
      </c>
      <c r="H85" s="1750">
        <f t="shared" si="1"/>
        <v>6.9</v>
      </c>
      <c r="I85" s="1006">
        <f t="shared" si="1"/>
        <v>951</v>
      </c>
      <c r="J85" s="1041">
        <f>C49</f>
        <v>2515</v>
      </c>
      <c r="K85" s="750">
        <f>$E$91</f>
        <v>0.78315000000000001</v>
      </c>
      <c r="L85" s="1751">
        <f t="shared" si="4"/>
        <v>0.27</v>
      </c>
      <c r="M85" s="925">
        <f>F85*H85*(I85/K85)*J85/100000</f>
        <v>10641.773788546257</v>
      </c>
      <c r="N85" s="810">
        <f t="shared" si="5"/>
        <v>5050</v>
      </c>
      <c r="O85" s="808">
        <f t="shared" si="6"/>
        <v>187.03703703703704</v>
      </c>
      <c r="P85" s="810">
        <f t="shared" si="7"/>
        <v>5611.1111111111113</v>
      </c>
      <c r="Q85" s="810">
        <f t="shared" si="8"/>
        <v>10661.111111111111</v>
      </c>
      <c r="R85" s="805">
        <f>IFERROR(M85/(F85/D85),0)</f>
        <v>10641.773788546257</v>
      </c>
      <c r="S85" s="1752">
        <f>IFERROR(N85/E85,0)</f>
        <v>5050</v>
      </c>
      <c r="T85" s="1752">
        <f>IFERROR(P85/E85,0)</f>
        <v>5611.1111111111113</v>
      </c>
      <c r="U85" s="1753">
        <f t="shared" si="9"/>
        <v>10661.111111111111</v>
      </c>
      <c r="V85" s="1271"/>
      <c r="W85" s="1271"/>
      <c r="X85" s="1272"/>
      <c r="Y85" s="796"/>
      <c r="Z85" s="796"/>
    </row>
    <row r="86" spans="2:26" ht="15" thickBot="1" x14ac:dyDescent="0.4">
      <c r="B86" s="776" t="s">
        <v>2554</v>
      </c>
      <c r="C86" s="1725" t="s">
        <v>2550</v>
      </c>
      <c r="D86" s="744">
        <f t="shared" si="2"/>
        <v>50.5</v>
      </c>
      <c r="E86" s="1744">
        <f t="shared" si="2"/>
        <v>0</v>
      </c>
      <c r="F86" s="1745">
        <f t="shared" si="3"/>
        <v>0</v>
      </c>
      <c r="G86" s="1754">
        <f>G71</f>
        <v>1</v>
      </c>
      <c r="H86" s="1755">
        <f t="shared" si="1"/>
        <v>6.9</v>
      </c>
      <c r="I86" s="1043">
        <f t="shared" si="1"/>
        <v>951</v>
      </c>
      <c r="J86" s="1042">
        <f>C50</f>
        <v>2546</v>
      </c>
      <c r="K86" s="766">
        <f>$E$91</f>
        <v>0.78315000000000001</v>
      </c>
      <c r="L86" s="1756">
        <f t="shared" si="4"/>
        <v>0.27</v>
      </c>
      <c r="M86" s="1757">
        <f>F86*H86*(I86/K86)*J86/100000</f>
        <v>0</v>
      </c>
      <c r="N86" s="821">
        <f t="shared" si="5"/>
        <v>0</v>
      </c>
      <c r="O86" s="819">
        <f t="shared" si="6"/>
        <v>0</v>
      </c>
      <c r="P86" s="821">
        <f t="shared" si="7"/>
        <v>0</v>
      </c>
      <c r="Q86" s="821">
        <f t="shared" si="8"/>
        <v>0</v>
      </c>
      <c r="R86" s="816">
        <f>IFERROR(M86/(F86/D86),0)</f>
        <v>0</v>
      </c>
      <c r="S86" s="1723">
        <f>IFERROR(N86/E86,0)</f>
        <v>0</v>
      </c>
      <c r="T86" s="1723">
        <f>IFERROR(P86/E86,0)</f>
        <v>0</v>
      </c>
      <c r="U86" s="1758">
        <f t="shared" si="9"/>
        <v>0</v>
      </c>
      <c r="V86" s="1271"/>
      <c r="W86" s="1271"/>
      <c r="X86" s="1272"/>
      <c r="Y86" s="796"/>
      <c r="Z86" s="796"/>
    </row>
    <row r="87" spans="2:26" x14ac:dyDescent="0.35">
      <c r="B87" s="898" t="s">
        <v>284</v>
      </c>
      <c r="E87" s="1759">
        <f>SUM(E82:E86)</f>
        <v>10</v>
      </c>
      <c r="F87" s="1759">
        <f>SUM(F82:F86)</f>
        <v>505</v>
      </c>
      <c r="G87" s="1760"/>
      <c r="H87" s="1761"/>
      <c r="I87" s="1762"/>
      <c r="J87" s="1763"/>
      <c r="K87" s="1763"/>
      <c r="L87" s="1763"/>
      <c r="M87" s="1759">
        <f>SUM(M82:M86)</f>
        <v>150313.4680176212</v>
      </c>
      <c r="N87" s="1764">
        <f>SUM(N82:N86)</f>
        <v>50500</v>
      </c>
      <c r="O87" s="1765">
        <f t="shared" ref="O87:Q87" si="10">SUM(O82:O86)</f>
        <v>1870.3703703703702</v>
      </c>
      <c r="P87" s="1764">
        <f t="shared" si="10"/>
        <v>56111.111111111109</v>
      </c>
      <c r="Q87" s="1764">
        <f t="shared" si="10"/>
        <v>106611.11111111111</v>
      </c>
      <c r="V87" s="1271"/>
      <c r="W87" s="1271"/>
      <c r="X87" s="1272"/>
      <c r="Y87" s="796"/>
      <c r="Z87" s="796"/>
    </row>
    <row r="88" spans="2:26" ht="15" thickBot="1" x14ac:dyDescent="0.4">
      <c r="B88" s="698"/>
      <c r="C88" s="698"/>
      <c r="I88" s="1766"/>
      <c r="K88" s="853"/>
      <c r="L88" s="853"/>
    </row>
    <row r="89" spans="2:26" ht="46.5" customHeight="1" thickBot="1" x14ac:dyDescent="0.5">
      <c r="C89" s="3121" t="s">
        <v>2038</v>
      </c>
      <c r="D89" s="3122"/>
      <c r="E89" s="3123"/>
      <c r="K89" s="853"/>
      <c r="L89" s="853"/>
      <c r="R89" s="3124" t="s">
        <v>2597</v>
      </c>
      <c r="S89" s="3125"/>
      <c r="T89" s="3125"/>
      <c r="U89" s="3125"/>
      <c r="V89" s="3126"/>
    </row>
    <row r="90" spans="2:26" ht="58" x14ac:dyDescent="0.35">
      <c r="B90" s="772" t="s">
        <v>2555</v>
      </c>
      <c r="C90" s="773" t="s">
        <v>2598</v>
      </c>
      <c r="D90" s="773" t="s">
        <v>2599</v>
      </c>
      <c r="E90" s="1767" t="s">
        <v>2600</v>
      </c>
      <c r="R90" s="740" t="s">
        <v>2544</v>
      </c>
      <c r="S90" s="747" t="s">
        <v>2545</v>
      </c>
      <c r="T90" s="747" t="s">
        <v>2546</v>
      </c>
      <c r="U90" s="747" t="s">
        <v>2547</v>
      </c>
      <c r="V90" s="773" t="s">
        <v>2548</v>
      </c>
    </row>
    <row r="91" spans="2:26" ht="15" thickBot="1" x14ac:dyDescent="0.4">
      <c r="B91" s="774" t="s">
        <v>2560</v>
      </c>
      <c r="C91" s="775">
        <f>C75</f>
        <v>0.85</v>
      </c>
      <c r="D91" s="775">
        <f>C42</f>
        <v>0.80700000000000005</v>
      </c>
      <c r="E91" s="1768">
        <f>SUMPRODUCT(C91:C92,D91:D92)</f>
        <v>0.78315000000000001</v>
      </c>
      <c r="R91" s="692">
        <f>M87/E87</f>
        <v>15031.34680176212</v>
      </c>
      <c r="S91" s="1723">
        <f>N87/$C$63</f>
        <v>5050</v>
      </c>
      <c r="T91" s="1723">
        <f>P87/$C$63</f>
        <v>5611.1111111111113</v>
      </c>
      <c r="U91" s="1723">
        <f>Q87/$C$63</f>
        <v>10661.111111111111</v>
      </c>
      <c r="V91" s="1724">
        <f>Y82/E87</f>
        <v>3888.5</v>
      </c>
    </row>
    <row r="92" spans="2:26" ht="15" thickBot="1" x14ac:dyDescent="0.4">
      <c r="B92" s="776" t="s">
        <v>2566</v>
      </c>
      <c r="C92" s="777">
        <f>C76</f>
        <v>0.15</v>
      </c>
      <c r="D92" s="77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F0"/>
    <pageSetUpPr fitToPage="1"/>
  </sheetPr>
  <dimension ref="A1:AD92"/>
  <sheetViews>
    <sheetView zoomScale="70" zoomScaleNormal="70" workbookViewId="0"/>
  </sheetViews>
  <sheetFormatPr defaultColWidth="9.1796875" defaultRowHeight="14.5" x14ac:dyDescent="0.35"/>
  <cols>
    <col min="1" max="1" width="9.1796875" style="675"/>
    <col min="2" max="2" width="30.453125" style="675" customWidth="1"/>
    <col min="3" max="3" width="16.81640625" style="675" customWidth="1"/>
    <col min="4" max="20" width="13.81640625" style="675" customWidth="1"/>
    <col min="21" max="21" width="13.1796875" style="675" customWidth="1"/>
    <col min="22" max="22" width="12.26953125" style="675" customWidth="1"/>
    <col min="23" max="23" width="11" style="675" customWidth="1"/>
    <col min="24" max="24" width="10.26953125" style="675" customWidth="1"/>
    <col min="25" max="25" width="13" style="675" customWidth="1"/>
    <col min="26" max="26" width="10.81640625" style="675" customWidth="1"/>
    <col min="27" max="27" width="10.26953125" style="675" customWidth="1"/>
    <col min="28" max="32" width="9.7265625" style="675" customWidth="1"/>
    <col min="33" max="33" width="10.7265625" style="675" customWidth="1"/>
    <col min="34" max="34" width="12.26953125" style="675" customWidth="1"/>
    <col min="35" max="35" width="9.81640625" style="675" customWidth="1"/>
    <col min="36" max="36" width="10.26953125" style="675" customWidth="1"/>
    <col min="37" max="37" width="10.1796875" style="675" customWidth="1"/>
    <col min="38" max="16384" width="9.1796875" style="675"/>
  </cols>
  <sheetData>
    <row r="1" spans="1:9" ht="21" x14ac:dyDescent="0.5">
      <c r="A1" s="674" t="s">
        <v>2533</v>
      </c>
    </row>
    <row r="3" spans="1:9" ht="21" x14ac:dyDescent="0.5">
      <c r="A3" s="704" t="s">
        <v>2534</v>
      </c>
    </row>
    <row r="4" spans="1:9" ht="15" thickBot="1" x14ac:dyDescent="0.4">
      <c r="E4" s="680" t="s">
        <v>2535</v>
      </c>
      <c r="H4" s="675" t="s">
        <v>2536</v>
      </c>
    </row>
    <row r="5" spans="1:9" x14ac:dyDescent="0.35">
      <c r="B5" s="678" t="s">
        <v>1947</v>
      </c>
      <c r="C5" s="679">
        <f>E72</f>
        <v>10</v>
      </c>
      <c r="D5" s="680"/>
      <c r="E5" s="678" t="s">
        <v>1947</v>
      </c>
      <c r="F5" s="679">
        <f>E72</f>
        <v>10</v>
      </c>
      <c r="H5" s="678" t="s">
        <v>1947</v>
      </c>
      <c r="I5" s="679">
        <f>E72</f>
        <v>10</v>
      </c>
    </row>
    <row r="6" spans="1:9" x14ac:dyDescent="0.35">
      <c r="B6" s="1013" t="s">
        <v>2537</v>
      </c>
      <c r="C6" s="1715">
        <f>F87</f>
        <v>505</v>
      </c>
      <c r="D6" s="680"/>
      <c r="E6" s="1013" t="s">
        <v>2537</v>
      </c>
      <c r="F6" s="1715">
        <f>O87</f>
        <v>1870.3703703703702</v>
      </c>
      <c r="H6" s="1013" t="s">
        <v>2537</v>
      </c>
      <c r="I6" s="1715" t="s">
        <v>1271</v>
      </c>
    </row>
    <row r="7" spans="1:9" x14ac:dyDescent="0.35">
      <c r="B7" s="681" t="s">
        <v>1950</v>
      </c>
      <c r="C7" s="684">
        <v>0</v>
      </c>
      <c r="D7" s="683"/>
      <c r="E7" s="681" t="s">
        <v>1950</v>
      </c>
      <c r="F7" s="684">
        <v>0</v>
      </c>
      <c r="H7" s="681" t="s">
        <v>1950</v>
      </c>
      <c r="I7" s="684">
        <v>0</v>
      </c>
    </row>
    <row r="8" spans="1:9" x14ac:dyDescent="0.35">
      <c r="B8" s="1013" t="s">
        <v>1951</v>
      </c>
      <c r="C8" s="1014">
        <v>0</v>
      </c>
      <c r="D8" s="683"/>
      <c r="E8" s="1013" t="s">
        <v>1951</v>
      </c>
      <c r="F8" s="1014">
        <v>0</v>
      </c>
      <c r="H8" s="1013" t="s">
        <v>1951</v>
      </c>
      <c r="I8" s="1014">
        <v>0</v>
      </c>
    </row>
    <row r="9" spans="1:9" x14ac:dyDescent="0.35">
      <c r="B9" s="681" t="s">
        <v>1952</v>
      </c>
      <c r="C9" s="684">
        <f>M87</f>
        <v>150313.4680176212</v>
      </c>
      <c r="D9" s="683"/>
      <c r="E9" s="681" t="s">
        <v>1952</v>
      </c>
      <c r="F9" s="684">
        <v>0</v>
      </c>
      <c r="H9" s="681" t="s">
        <v>1952</v>
      </c>
      <c r="I9" s="684">
        <f>M87</f>
        <v>150313.4680176212</v>
      </c>
    </row>
    <row r="10" spans="1:9" x14ac:dyDescent="0.35">
      <c r="B10" s="1013" t="s">
        <v>1953</v>
      </c>
      <c r="C10" s="1015">
        <f>N87</f>
        <v>50500</v>
      </c>
      <c r="D10" s="686"/>
      <c r="E10" s="1013" t="s">
        <v>1953</v>
      </c>
      <c r="F10" s="1015">
        <f>P87</f>
        <v>56111.111111111109</v>
      </c>
      <c r="H10" s="1013" t="s">
        <v>1953</v>
      </c>
      <c r="I10" s="1015">
        <f>Q87</f>
        <v>106611.11111111111</v>
      </c>
    </row>
    <row r="11" spans="1:9" x14ac:dyDescent="0.35">
      <c r="B11" s="681" t="s">
        <v>2538</v>
      </c>
      <c r="C11" s="687">
        <f>C7/$C$6</f>
        <v>0</v>
      </c>
      <c r="D11" s="686"/>
      <c r="E11" s="681" t="s">
        <v>2538</v>
      </c>
      <c r="F11" s="687">
        <v>0</v>
      </c>
      <c r="H11" s="681" t="s">
        <v>2538</v>
      </c>
      <c r="I11" s="687" t="s">
        <v>1271</v>
      </c>
    </row>
    <row r="12" spans="1:9" x14ac:dyDescent="0.35">
      <c r="B12" s="1013" t="s">
        <v>2539</v>
      </c>
      <c r="C12" s="1016">
        <f>C8/$C$6</f>
        <v>0</v>
      </c>
      <c r="D12" s="686"/>
      <c r="E12" s="1013" t="s">
        <v>2539</v>
      </c>
      <c r="F12" s="1016">
        <v>0</v>
      </c>
      <c r="H12" s="1013" t="s">
        <v>2539</v>
      </c>
      <c r="I12" s="1016" t="s">
        <v>1271</v>
      </c>
    </row>
    <row r="13" spans="1:9" x14ac:dyDescent="0.35">
      <c r="B13" s="681" t="s">
        <v>2540</v>
      </c>
      <c r="C13" s="687">
        <f>C9/C6</f>
        <v>297.65043171806178</v>
      </c>
      <c r="D13" s="686"/>
      <c r="E13" s="681" t="s">
        <v>2540</v>
      </c>
      <c r="F13" s="687">
        <v>0</v>
      </c>
      <c r="H13" s="681" t="s">
        <v>2540</v>
      </c>
      <c r="I13" s="687" t="s">
        <v>1271</v>
      </c>
    </row>
    <row r="14" spans="1:9" x14ac:dyDescent="0.35">
      <c r="B14" s="1013" t="s">
        <v>2187</v>
      </c>
      <c r="C14" s="1017">
        <f>C10/C9</f>
        <v>0.33596457234344362</v>
      </c>
      <c r="D14" s="690"/>
      <c r="E14" s="1013" t="s">
        <v>2187</v>
      </c>
      <c r="F14" s="1017" t="s">
        <v>1271</v>
      </c>
      <c r="H14" s="1013" t="s">
        <v>2187</v>
      </c>
      <c r="I14" s="1017" t="s">
        <v>1271</v>
      </c>
    </row>
    <row r="15" spans="1:9" ht="15" thickBot="1" x14ac:dyDescent="0.4">
      <c r="B15" s="1018" t="s">
        <v>2108</v>
      </c>
      <c r="C15" s="1019">
        <f>Y82</f>
        <v>38885</v>
      </c>
      <c r="D15" s="706"/>
      <c r="E15" s="1018" t="s">
        <v>2108</v>
      </c>
      <c r="F15" s="1019">
        <f>AB82</f>
        <v>0</v>
      </c>
      <c r="H15" s="1018" t="s">
        <v>2108</v>
      </c>
      <c r="I15" s="1019">
        <f>Y82</f>
        <v>38885</v>
      </c>
    </row>
    <row r="16" spans="1:9" x14ac:dyDescent="0.35">
      <c r="B16" s="694" t="s">
        <v>1961</v>
      </c>
      <c r="C16" s="695"/>
      <c r="D16" s="696"/>
      <c r="E16" s="698"/>
      <c r="F16" s="680"/>
    </row>
    <row r="17" spans="1:10" ht="15" thickBot="1" x14ac:dyDescent="0.4">
      <c r="C17" s="694"/>
      <c r="D17" s="696"/>
      <c r="E17" s="683"/>
      <c r="F17" s="683"/>
    </row>
    <row r="18" spans="1:10" x14ac:dyDescent="0.35">
      <c r="B18" s="1020" t="s">
        <v>2063</v>
      </c>
      <c r="C18" s="1716">
        <v>0.89</v>
      </c>
      <c r="D18" s="1769"/>
      <c r="E18" s="700"/>
      <c r="F18" s="683"/>
      <c r="H18" s="1020" t="s">
        <v>2063</v>
      </c>
      <c r="I18" s="1716">
        <v>0.89</v>
      </c>
    </row>
    <row r="19" spans="1:10" x14ac:dyDescent="0.35">
      <c r="B19" s="1021" t="s">
        <v>1965</v>
      </c>
      <c r="C19" s="1022">
        <v>0</v>
      </c>
      <c r="D19" s="683"/>
      <c r="E19" s="701"/>
      <c r="F19" s="683"/>
      <c r="H19" s="1021" t="s">
        <v>1965</v>
      </c>
      <c r="I19" s="1022">
        <v>0</v>
      </c>
    </row>
    <row r="20" spans="1:10" x14ac:dyDescent="0.35">
      <c r="B20" s="1023" t="s">
        <v>1966</v>
      </c>
      <c r="C20" s="1024">
        <v>0</v>
      </c>
      <c r="D20" s="700"/>
      <c r="E20" s="690"/>
      <c r="F20" s="690"/>
      <c r="H20" s="1023" t="s">
        <v>1966</v>
      </c>
      <c r="I20" s="1024">
        <v>0</v>
      </c>
    </row>
    <row r="21" spans="1:10" x14ac:dyDescent="0.35">
      <c r="B21" s="1021" t="s">
        <v>1967</v>
      </c>
      <c r="C21" s="1022">
        <f>C18*C9</f>
        <v>133778.98653568287</v>
      </c>
      <c r="D21" s="683"/>
      <c r="E21" s="680"/>
      <c r="F21" s="680"/>
      <c r="H21" s="1021" t="s">
        <v>1967</v>
      </c>
      <c r="I21" s="1022">
        <f>I18*I9</f>
        <v>133778.98653568287</v>
      </c>
    </row>
    <row r="22" spans="1:10" x14ac:dyDescent="0.35">
      <c r="B22" s="1023" t="s">
        <v>1969</v>
      </c>
      <c r="C22" s="1717">
        <f>C10/C21</f>
        <v>0.37748828353195918</v>
      </c>
      <c r="D22" s="690"/>
      <c r="E22" s="690"/>
      <c r="F22" s="690"/>
      <c r="H22" s="1023" t="s">
        <v>1969</v>
      </c>
      <c r="I22" s="1717">
        <f>I10/I21</f>
        <v>0.79691970967858039</v>
      </c>
    </row>
    <row r="23" spans="1:10" ht="15" thickBot="1" x14ac:dyDescent="0.4">
      <c r="B23" s="1025" t="s">
        <v>1970</v>
      </c>
      <c r="C23" s="1026">
        <v>6</v>
      </c>
      <c r="D23" s="680"/>
      <c r="E23" s="680"/>
      <c r="F23" s="680"/>
      <c r="H23" s="1025" t="s">
        <v>1970</v>
      </c>
      <c r="I23" s="1026">
        <v>6</v>
      </c>
    </row>
    <row r="24" spans="1:10" x14ac:dyDescent="0.35">
      <c r="B24" s="703"/>
      <c r="C24" s="703"/>
    </row>
    <row r="25" spans="1:10" ht="21" x14ac:dyDescent="0.5">
      <c r="A25" s="704" t="s">
        <v>1971</v>
      </c>
      <c r="B25" s="703"/>
      <c r="C25" s="703"/>
    </row>
    <row r="26" spans="1:10" ht="15" customHeight="1" thickBot="1" x14ac:dyDescent="0.4"/>
    <row r="27" spans="1:10" ht="72.5" x14ac:dyDescent="0.35">
      <c r="B27" s="1718" t="s">
        <v>2541</v>
      </c>
      <c r="C27" s="1719" t="s">
        <v>2542</v>
      </c>
      <c r="D27" s="773" t="s">
        <v>2543</v>
      </c>
      <c r="E27" s="1720"/>
      <c r="F27" s="783" t="s">
        <v>2544</v>
      </c>
      <c r="G27" s="747" t="s">
        <v>2545</v>
      </c>
      <c r="H27" s="747" t="s">
        <v>2546</v>
      </c>
      <c r="I27" s="747" t="s">
        <v>2547</v>
      </c>
      <c r="J27" s="773" t="s">
        <v>2548</v>
      </c>
    </row>
    <row r="28" spans="1:10" ht="15" thickBot="1" x14ac:dyDescent="0.4">
      <c r="B28" s="774" t="s">
        <v>2549</v>
      </c>
      <c r="C28" s="995" t="s">
        <v>2550</v>
      </c>
      <c r="D28" s="1721">
        <f>R82</f>
        <v>18076.205814977977</v>
      </c>
      <c r="F28" s="1722">
        <f>R91</f>
        <v>15031.34680176212</v>
      </c>
      <c r="G28" s="1723">
        <f>S91</f>
        <v>5050</v>
      </c>
      <c r="H28" s="1723">
        <f>T91</f>
        <v>5611.1111111111113</v>
      </c>
      <c r="I28" s="1723">
        <f>U91</f>
        <v>10661.111111111111</v>
      </c>
      <c r="J28" s="1724">
        <f>V91</f>
        <v>3888.5</v>
      </c>
    </row>
    <row r="29" spans="1:10" x14ac:dyDescent="0.35">
      <c r="B29" s="774" t="s">
        <v>2551</v>
      </c>
      <c r="C29" s="995" t="s">
        <v>2550</v>
      </c>
      <c r="D29" s="1721">
        <f>R83</f>
        <v>17047.994669603526</v>
      </c>
    </row>
    <row r="30" spans="1:10" x14ac:dyDescent="0.35">
      <c r="B30" s="774" t="s">
        <v>2552</v>
      </c>
      <c r="C30" s="995" t="s">
        <v>2550</v>
      </c>
      <c r="D30" s="1721">
        <f>R84</f>
        <v>14411.881321585906</v>
      </c>
    </row>
    <row r="31" spans="1:10" x14ac:dyDescent="0.35">
      <c r="B31" s="774" t="s">
        <v>2553</v>
      </c>
      <c r="C31" s="995" t="s">
        <v>2550</v>
      </c>
      <c r="D31" s="1721">
        <f>R85</f>
        <v>10641.773788546257</v>
      </c>
    </row>
    <row r="32" spans="1:10" ht="15" thickBot="1" x14ac:dyDescent="0.4">
      <c r="B32" s="776" t="s">
        <v>2554</v>
      </c>
      <c r="C32" s="1725" t="s">
        <v>2550</v>
      </c>
      <c r="D32" s="1726">
        <f>R86</f>
        <v>0</v>
      </c>
    </row>
    <row r="33" spans="1:24" x14ac:dyDescent="0.35">
      <c r="B33" s="1727"/>
      <c r="C33" s="1727"/>
    </row>
    <row r="34" spans="1:24" ht="21" x14ac:dyDescent="0.5">
      <c r="A34" s="704" t="s">
        <v>1977</v>
      </c>
    </row>
    <row r="36" spans="1:24" ht="18" customHeight="1" thickBot="1" x14ac:dyDescent="0.4"/>
    <row r="37" spans="1:24" ht="60" customHeight="1" x14ac:dyDescent="0.35">
      <c r="B37" s="772" t="s">
        <v>2555</v>
      </c>
      <c r="C37" s="1719" t="s">
        <v>2542</v>
      </c>
      <c r="D37" s="747" t="s">
        <v>2556</v>
      </c>
      <c r="E37" s="747" t="s">
        <v>2557</v>
      </c>
      <c r="F37" s="773" t="s">
        <v>2558</v>
      </c>
      <c r="J37" s="3020" t="s">
        <v>2559</v>
      </c>
      <c r="K37" s="3021"/>
      <c r="L37" s="3021"/>
      <c r="M37" s="3021"/>
      <c r="N37" s="3021"/>
      <c r="O37" s="3021"/>
      <c r="P37" s="3022"/>
      <c r="Q37" s="1720"/>
      <c r="R37" s="1720"/>
      <c r="S37" s="1720"/>
      <c r="T37" s="1720"/>
      <c r="U37" s="1720"/>
      <c r="V37" s="1720"/>
      <c r="W37" s="1720"/>
    </row>
    <row r="38" spans="1:24" ht="15" thickBot="1" x14ac:dyDescent="0.4">
      <c r="B38" s="776" t="s">
        <v>2560</v>
      </c>
      <c r="C38" s="1728" t="s">
        <v>2550</v>
      </c>
      <c r="D38" s="1729">
        <v>6.9</v>
      </c>
      <c r="E38" s="1730">
        <v>951</v>
      </c>
      <c r="F38" s="1731">
        <v>0.27</v>
      </c>
      <c r="J38" s="869" t="s">
        <v>1981</v>
      </c>
      <c r="K38" s="870"/>
      <c r="L38" s="870"/>
      <c r="M38" s="870"/>
      <c r="N38" s="870"/>
      <c r="O38" s="870"/>
      <c r="P38" s="871"/>
      <c r="Q38" s="698"/>
      <c r="R38" s="698"/>
      <c r="S38" s="698"/>
      <c r="T38" s="698"/>
      <c r="U38" s="698"/>
      <c r="V38" s="698"/>
      <c r="W38" s="698"/>
    </row>
    <row r="39" spans="1:24" x14ac:dyDescent="0.35">
      <c r="F39" s="930" t="s">
        <v>2561</v>
      </c>
      <c r="J39" s="873" t="s">
        <v>2562</v>
      </c>
      <c r="K39" s="698"/>
      <c r="L39" s="698"/>
      <c r="M39" s="698"/>
      <c r="N39" s="698"/>
      <c r="O39" s="698"/>
      <c r="P39" s="874"/>
      <c r="Q39" s="698"/>
      <c r="R39" s="698"/>
      <c r="S39" s="698"/>
      <c r="T39" s="698"/>
      <c r="U39" s="698"/>
      <c r="V39" s="698"/>
      <c r="W39" s="698"/>
    </row>
    <row r="40" spans="1:24" ht="15" thickBot="1" x14ac:dyDescent="0.4">
      <c r="J40" s="933"/>
      <c r="K40" s="934"/>
      <c r="L40" s="934"/>
      <c r="M40" s="934"/>
      <c r="N40" s="934"/>
      <c r="O40" s="934"/>
      <c r="P40" s="935"/>
      <c r="Q40" s="698"/>
      <c r="R40" s="698"/>
      <c r="S40" s="698"/>
      <c r="T40" s="698"/>
      <c r="U40" s="698"/>
      <c r="V40" s="698"/>
      <c r="W40" s="698"/>
    </row>
    <row r="41" spans="1:24" ht="29" x14ac:dyDescent="0.35">
      <c r="B41" s="772" t="s">
        <v>2555</v>
      </c>
      <c r="C41" s="773" t="s">
        <v>2563</v>
      </c>
      <c r="J41" s="946" t="s">
        <v>1990</v>
      </c>
      <c r="K41" s="698"/>
      <c r="L41" s="698"/>
      <c r="M41" s="698"/>
      <c r="N41" s="698"/>
      <c r="O41" s="698"/>
      <c r="P41" s="874"/>
      <c r="Q41" s="698"/>
      <c r="R41" s="698"/>
      <c r="S41" s="698"/>
      <c r="T41" s="698"/>
      <c r="U41" s="698"/>
      <c r="V41" s="698"/>
      <c r="W41" s="698"/>
    </row>
    <row r="42" spans="1:24" x14ac:dyDescent="0.35">
      <c r="B42" s="774" t="s">
        <v>2560</v>
      </c>
      <c r="C42" s="1732">
        <v>0.80700000000000005</v>
      </c>
      <c r="J42" s="873" t="s">
        <v>2564</v>
      </c>
      <c r="K42" s="698" t="s">
        <v>1992</v>
      </c>
      <c r="L42" s="698" t="s">
        <v>2565</v>
      </c>
      <c r="M42" s="698"/>
      <c r="N42" s="698"/>
      <c r="O42" s="698"/>
      <c r="P42" s="874"/>
      <c r="Q42" s="698"/>
      <c r="R42" s="698"/>
      <c r="S42" s="698"/>
      <c r="T42" s="698"/>
      <c r="U42" s="698"/>
      <c r="V42" s="698"/>
      <c r="W42" s="698"/>
    </row>
    <row r="43" spans="1:24" ht="15" thickBot="1" x14ac:dyDescent="0.4">
      <c r="B43" s="776" t="s">
        <v>2566</v>
      </c>
      <c r="C43" s="1733">
        <v>0.64800000000000002</v>
      </c>
      <c r="J43" s="873" t="s">
        <v>2567</v>
      </c>
      <c r="K43" s="698" t="s">
        <v>1992</v>
      </c>
      <c r="L43" s="698" t="s">
        <v>2568</v>
      </c>
      <c r="M43" s="698"/>
      <c r="N43" s="698"/>
      <c r="O43" s="698"/>
      <c r="P43" s="874"/>
      <c r="Q43" s="698"/>
      <c r="R43" s="698"/>
      <c r="S43" s="698"/>
      <c r="T43" s="698"/>
      <c r="U43" s="698"/>
      <c r="V43" s="698"/>
      <c r="W43" s="698"/>
    </row>
    <row r="44" spans="1:24" ht="15" thickBot="1" x14ac:dyDescent="0.4">
      <c r="J44" s="873" t="s">
        <v>293</v>
      </c>
      <c r="K44" s="698" t="s">
        <v>1992</v>
      </c>
      <c r="L44" s="698" t="s">
        <v>2569</v>
      </c>
      <c r="M44" s="698"/>
      <c r="N44" s="698"/>
      <c r="O44" s="698"/>
      <c r="P44" s="874"/>
      <c r="Q44" s="698"/>
      <c r="R44" s="698"/>
      <c r="S44" s="698"/>
      <c r="T44" s="698"/>
      <c r="U44" s="698"/>
      <c r="V44" s="698"/>
      <c r="W44" s="698"/>
    </row>
    <row r="45" spans="1:24" x14ac:dyDescent="0.35">
      <c r="B45" s="772" t="s">
        <v>353</v>
      </c>
      <c r="C45" s="773" t="s">
        <v>2570</v>
      </c>
      <c r="J45" s="873" t="s">
        <v>1395</v>
      </c>
      <c r="K45" s="698" t="s">
        <v>1992</v>
      </c>
      <c r="L45" s="698" t="s">
        <v>2571</v>
      </c>
      <c r="M45" s="698"/>
      <c r="N45" s="698"/>
      <c r="O45" s="698"/>
      <c r="P45" s="874"/>
      <c r="Q45" s="698"/>
      <c r="R45" s="698"/>
      <c r="S45" s="698"/>
      <c r="T45" s="698"/>
      <c r="U45" s="698"/>
      <c r="V45" s="698"/>
      <c r="W45" s="698"/>
    </row>
    <row r="46" spans="1:24" x14ac:dyDescent="0.35">
      <c r="B46" s="774" t="s">
        <v>354</v>
      </c>
      <c r="C46" s="1734">
        <v>4272</v>
      </c>
      <c r="J46" s="933" t="s">
        <v>496</v>
      </c>
      <c r="K46" s="934" t="s">
        <v>2112</v>
      </c>
      <c r="L46" s="934" t="s">
        <v>2572</v>
      </c>
      <c r="M46" s="934"/>
      <c r="N46" s="934"/>
      <c r="O46" s="934"/>
      <c r="P46" s="935"/>
      <c r="Q46" s="698"/>
      <c r="R46" s="698"/>
      <c r="S46" s="698"/>
      <c r="T46" s="698"/>
      <c r="U46" s="698"/>
      <c r="V46" s="698"/>
      <c r="W46" s="698"/>
    </row>
    <row r="47" spans="1:24" x14ac:dyDescent="0.35">
      <c r="B47" s="774" t="s">
        <v>355</v>
      </c>
      <c r="C47" s="1734">
        <v>4029</v>
      </c>
      <c r="J47" s="698"/>
      <c r="K47" s="698"/>
      <c r="L47" s="698"/>
      <c r="M47" s="698"/>
      <c r="N47" s="698"/>
      <c r="O47" s="698"/>
      <c r="P47" s="698"/>
      <c r="Q47" s="698"/>
      <c r="R47" s="698"/>
      <c r="S47" s="698"/>
      <c r="T47" s="698"/>
      <c r="U47" s="698"/>
      <c r="V47" s="698"/>
      <c r="W47" s="698"/>
      <c r="X47" s="698"/>
    </row>
    <row r="48" spans="1:24" x14ac:dyDescent="0.35">
      <c r="B48" s="774" t="s">
        <v>356</v>
      </c>
      <c r="C48" s="1734">
        <v>3406</v>
      </c>
      <c r="K48" s="698"/>
      <c r="L48" s="698"/>
      <c r="M48" s="698"/>
      <c r="N48" s="698"/>
      <c r="O48" s="698"/>
      <c r="P48" s="698"/>
      <c r="Q48" s="698"/>
      <c r="R48" s="698"/>
      <c r="S48" s="698"/>
      <c r="T48" s="698"/>
      <c r="U48" s="698"/>
      <c r="V48" s="698"/>
    </row>
    <row r="49" spans="1:24" x14ac:dyDescent="0.35">
      <c r="B49" s="774" t="s">
        <v>357</v>
      </c>
      <c r="C49" s="1734">
        <v>2515</v>
      </c>
      <c r="K49" s="698"/>
      <c r="L49" s="698"/>
      <c r="M49" s="698"/>
      <c r="N49" s="698"/>
      <c r="O49" s="698"/>
      <c r="P49" s="698"/>
      <c r="Q49" s="698"/>
      <c r="R49" s="698"/>
      <c r="S49" s="698"/>
      <c r="T49" s="698"/>
      <c r="U49" s="698"/>
      <c r="V49" s="698"/>
    </row>
    <row r="50" spans="1:24" ht="15" thickBot="1" x14ac:dyDescent="0.4">
      <c r="B50" s="776" t="s">
        <v>358</v>
      </c>
      <c r="C50" s="922">
        <v>2546</v>
      </c>
      <c r="J50" s="698"/>
      <c r="K50" s="698"/>
      <c r="L50" s="698"/>
      <c r="M50" s="698"/>
      <c r="N50" s="698"/>
      <c r="O50" s="698"/>
      <c r="P50" s="698"/>
      <c r="Q50" s="698"/>
      <c r="R50" s="698"/>
      <c r="S50" s="698"/>
      <c r="T50" s="698"/>
      <c r="U50" s="698"/>
      <c r="V50" s="698"/>
      <c r="W50" s="698"/>
      <c r="X50" s="698"/>
    </row>
    <row r="51" spans="1:24" ht="15" thickBot="1" x14ac:dyDescent="0.4">
      <c r="K51" s="698"/>
      <c r="L51" s="698"/>
      <c r="M51" s="698"/>
      <c r="N51" s="698"/>
      <c r="O51" s="698"/>
      <c r="P51" s="698"/>
      <c r="Q51" s="698"/>
      <c r="R51" s="698"/>
      <c r="S51" s="698"/>
      <c r="T51" s="698"/>
      <c r="U51" s="698"/>
      <c r="V51" s="698"/>
    </row>
    <row r="52" spans="1:24" x14ac:dyDescent="0.35">
      <c r="B52" s="733" t="s">
        <v>2573</v>
      </c>
      <c r="K52" s="698"/>
      <c r="L52" s="698"/>
      <c r="M52" s="698"/>
      <c r="N52" s="698"/>
      <c r="O52" s="698"/>
      <c r="P52" s="698"/>
      <c r="Q52" s="698"/>
      <c r="R52" s="698"/>
      <c r="S52" s="698"/>
      <c r="T52" s="698"/>
      <c r="U52" s="698"/>
      <c r="V52" s="698"/>
    </row>
    <row r="53" spans="1:24" ht="15" thickBot="1" x14ac:dyDescent="0.4">
      <c r="B53" s="734">
        <v>77</v>
      </c>
      <c r="K53" s="698"/>
      <c r="L53" s="698"/>
      <c r="M53" s="698"/>
      <c r="N53" s="698"/>
      <c r="O53" s="698"/>
      <c r="P53" s="698"/>
      <c r="Q53" s="698"/>
      <c r="R53" s="698"/>
      <c r="S53" s="698"/>
      <c r="T53" s="698"/>
      <c r="U53" s="698"/>
      <c r="V53" s="698"/>
    </row>
    <row r="54" spans="1:24" x14ac:dyDescent="0.35">
      <c r="K54" s="698"/>
      <c r="L54" s="698"/>
      <c r="M54" s="698"/>
      <c r="N54" s="698"/>
      <c r="O54" s="698"/>
      <c r="P54" s="698"/>
      <c r="Q54" s="698"/>
      <c r="R54" s="698"/>
      <c r="S54" s="698"/>
      <c r="T54" s="698"/>
      <c r="U54" s="698"/>
      <c r="V54" s="698"/>
    </row>
    <row r="55" spans="1:24" ht="21" x14ac:dyDescent="0.5">
      <c r="A55" s="704" t="s">
        <v>2012</v>
      </c>
    </row>
    <row r="56" spans="1:24" ht="21.5" thickBot="1" x14ac:dyDescent="0.55000000000000004">
      <c r="A56" s="704"/>
      <c r="B56" s="698"/>
      <c r="C56" s="735"/>
    </row>
    <row r="57" spans="1:24" ht="29" x14ac:dyDescent="0.35">
      <c r="B57" s="1029" t="s">
        <v>2555</v>
      </c>
      <c r="C57" s="1735" t="s">
        <v>2542</v>
      </c>
      <c r="D57" s="773" t="s">
        <v>2574</v>
      </c>
      <c r="E57" s="737"/>
      <c r="F57" s="737"/>
      <c r="G57" s="737"/>
    </row>
    <row r="58" spans="1:24" x14ac:dyDescent="0.35">
      <c r="B58" s="1736" t="s">
        <v>2560</v>
      </c>
      <c r="C58" s="1136" t="s">
        <v>2550</v>
      </c>
      <c r="D58" s="1737">
        <v>100</v>
      </c>
      <c r="E58" s="739"/>
      <c r="F58" s="739"/>
      <c r="G58" s="739"/>
    </row>
    <row r="59" spans="1:24" ht="15" thickBot="1" x14ac:dyDescent="0.4">
      <c r="B59" s="1738" t="s">
        <v>2575</v>
      </c>
      <c r="C59" s="1739" t="s">
        <v>2550</v>
      </c>
      <c r="D59" s="1740">
        <v>30</v>
      </c>
      <c r="E59" s="739"/>
      <c r="F59" s="739"/>
      <c r="G59" s="739"/>
    </row>
    <row r="60" spans="1:24" x14ac:dyDescent="0.35">
      <c r="M60" s="698"/>
    </row>
    <row r="61" spans="1:24" ht="21" x14ac:dyDescent="0.5">
      <c r="A61" s="704" t="s">
        <v>2014</v>
      </c>
    </row>
    <row r="62" spans="1:24" ht="15" thickBot="1" x14ac:dyDescent="0.4"/>
    <row r="63" spans="1:24" ht="15" thickBot="1" x14ac:dyDescent="0.4">
      <c r="B63" s="1741" t="s">
        <v>2576</v>
      </c>
      <c r="C63" s="1742">
        <f>SUM(E67:E71)</f>
        <v>10</v>
      </c>
      <c r="G63" s="987"/>
      <c r="H63" s="987"/>
      <c r="I63" s="987"/>
      <c r="J63" s="987"/>
    </row>
    <row r="64" spans="1:24" ht="15" thickBot="1" x14ac:dyDescent="0.4">
      <c r="B64" s="748"/>
    </row>
    <row r="65" spans="1:30" ht="39.75" customHeight="1" thickBot="1" x14ac:dyDescent="0.4">
      <c r="B65" s="1003"/>
      <c r="C65" s="735"/>
      <c r="D65" s="3127" t="s">
        <v>2038</v>
      </c>
      <c r="E65" s="3128"/>
      <c r="F65" s="3128"/>
      <c r="G65" s="3129"/>
      <c r="H65" s="753"/>
      <c r="I65" s="753"/>
      <c r="J65" s="753"/>
      <c r="Z65" s="753"/>
      <c r="AA65" s="753"/>
      <c r="AB65" s="753"/>
      <c r="AC65" s="753"/>
      <c r="AD65" s="753"/>
    </row>
    <row r="66" spans="1:30" ht="58" x14ac:dyDescent="0.35">
      <c r="B66" s="1029" t="s">
        <v>2555</v>
      </c>
      <c r="C66" s="1719" t="s">
        <v>2542</v>
      </c>
      <c r="D66" s="747" t="s">
        <v>2577</v>
      </c>
      <c r="E66" s="747" t="s">
        <v>2578</v>
      </c>
      <c r="F66" s="747" t="s">
        <v>2579</v>
      </c>
      <c r="G66" s="773" t="s">
        <v>2580</v>
      </c>
      <c r="H66" s="754"/>
      <c r="J66" s="754"/>
      <c r="Z66" s="753"/>
      <c r="AA66" s="753"/>
      <c r="AB66" s="753"/>
      <c r="AC66" s="753"/>
      <c r="AD66" s="753"/>
    </row>
    <row r="67" spans="1:30" x14ac:dyDescent="0.35">
      <c r="B67" s="774" t="s">
        <v>2549</v>
      </c>
      <c r="C67" s="995" t="s">
        <v>2550</v>
      </c>
      <c r="D67" s="800">
        <v>50.5</v>
      </c>
      <c r="E67" s="1743">
        <v>2</v>
      </c>
      <c r="F67" s="967">
        <f>E67*D67</f>
        <v>101</v>
      </c>
      <c r="G67" s="1033">
        <v>1</v>
      </c>
      <c r="H67" s="758"/>
      <c r="J67" s="759"/>
      <c r="Z67" s="760"/>
      <c r="AA67" s="761"/>
      <c r="AB67" s="762"/>
      <c r="AC67" s="763"/>
      <c r="AD67" s="764"/>
    </row>
    <row r="68" spans="1:30" x14ac:dyDescent="0.35">
      <c r="B68" s="774" t="s">
        <v>2551</v>
      </c>
      <c r="C68" s="995" t="s">
        <v>2550</v>
      </c>
      <c r="D68" s="800">
        <v>50.5</v>
      </c>
      <c r="E68" s="1743">
        <v>1</v>
      </c>
      <c r="F68" s="967">
        <f t="shared" ref="F68:F71" si="0">E68*D68</f>
        <v>50.5</v>
      </c>
      <c r="G68" s="1033">
        <v>1</v>
      </c>
      <c r="H68" s="758"/>
      <c r="J68" s="759"/>
      <c r="Z68" s="760"/>
      <c r="AA68" s="761"/>
      <c r="AB68" s="762"/>
      <c r="AC68" s="763"/>
      <c r="AD68" s="764"/>
    </row>
    <row r="69" spans="1:30" x14ac:dyDescent="0.35">
      <c r="B69" s="774" t="s">
        <v>2552</v>
      </c>
      <c r="C69" s="995" t="s">
        <v>2550</v>
      </c>
      <c r="D69" s="800">
        <v>50.5</v>
      </c>
      <c r="E69" s="1743">
        <v>6</v>
      </c>
      <c r="F69" s="967">
        <f t="shared" si="0"/>
        <v>303</v>
      </c>
      <c r="G69" s="1033">
        <v>1</v>
      </c>
      <c r="H69" s="758"/>
      <c r="I69" s="759"/>
      <c r="J69" s="759"/>
      <c r="Z69" s="760"/>
      <c r="AA69" s="761"/>
      <c r="AB69" s="762"/>
      <c r="AC69" s="763"/>
      <c r="AD69" s="764"/>
    </row>
    <row r="70" spans="1:30" x14ac:dyDescent="0.35">
      <c r="B70" s="774" t="s">
        <v>2553</v>
      </c>
      <c r="C70" s="995" t="s">
        <v>2550</v>
      </c>
      <c r="D70" s="800">
        <v>50.5</v>
      </c>
      <c r="E70" s="1743">
        <v>1</v>
      </c>
      <c r="F70" s="967">
        <f t="shared" si="0"/>
        <v>50.5</v>
      </c>
      <c r="G70" s="1033">
        <v>1</v>
      </c>
      <c r="H70" s="758"/>
      <c r="I70" s="759"/>
      <c r="J70" s="759"/>
      <c r="Z70" s="760"/>
      <c r="AA70" s="761"/>
      <c r="AB70" s="762"/>
      <c r="AC70" s="763"/>
      <c r="AD70" s="764"/>
    </row>
    <row r="71" spans="1:30" ht="15" thickBot="1" x14ac:dyDescent="0.4">
      <c r="B71" s="776" t="s">
        <v>2554</v>
      </c>
      <c r="C71" s="1725" t="s">
        <v>2550</v>
      </c>
      <c r="D71" s="798">
        <v>50.5</v>
      </c>
      <c r="E71" s="1744">
        <v>0</v>
      </c>
      <c r="F71" s="1745">
        <f t="shared" si="0"/>
        <v>0</v>
      </c>
      <c r="G71" s="1039">
        <v>1</v>
      </c>
      <c r="H71" s="758"/>
      <c r="I71" s="759"/>
      <c r="J71" s="759"/>
      <c r="Z71" s="760"/>
      <c r="AA71" s="761"/>
      <c r="AB71" s="762"/>
      <c r="AC71" s="763"/>
      <c r="AD71" s="764"/>
    </row>
    <row r="72" spans="1:30" ht="15" customHeight="1" x14ac:dyDescent="0.35">
      <c r="B72" s="898" t="s">
        <v>2575</v>
      </c>
      <c r="C72" s="898" t="s">
        <v>2581</v>
      </c>
      <c r="E72" s="1746">
        <f>SUM(E67:E71)</f>
        <v>10</v>
      </c>
      <c r="F72" s="1746">
        <f>SUM(F67:F71)</f>
        <v>505</v>
      </c>
      <c r="G72" s="680" t="s">
        <v>2582</v>
      </c>
      <c r="H72" s="758"/>
      <c r="I72" s="759"/>
      <c r="J72" s="759"/>
      <c r="K72" s="769"/>
      <c r="L72" s="769"/>
      <c r="M72" s="769"/>
      <c r="N72" s="769"/>
      <c r="O72" s="769"/>
      <c r="P72" s="769"/>
      <c r="Q72" s="769"/>
      <c r="R72" s="770"/>
      <c r="S72" s="770"/>
      <c r="T72" s="770"/>
      <c r="U72" s="759"/>
      <c r="V72" s="759"/>
      <c r="W72" s="759"/>
      <c r="X72" s="759"/>
      <c r="Y72" s="759"/>
      <c r="Z72" s="760"/>
      <c r="AA72" s="761"/>
      <c r="AB72" s="762"/>
      <c r="AC72" s="763"/>
      <c r="AD72" s="764"/>
    </row>
    <row r="73" spans="1:30" ht="15" thickBot="1" x14ac:dyDescent="0.4">
      <c r="G73" s="748"/>
      <c r="H73" s="748"/>
      <c r="I73" s="748"/>
    </row>
    <row r="74" spans="1:30" ht="29" x14ac:dyDescent="0.35">
      <c r="B74" s="772" t="s">
        <v>2583</v>
      </c>
      <c r="C74" s="773" t="s">
        <v>2584</v>
      </c>
      <c r="E74" s="686"/>
      <c r="G74" s="748"/>
      <c r="H74" s="748"/>
      <c r="I74" s="748"/>
    </row>
    <row r="75" spans="1:30" x14ac:dyDescent="0.35">
      <c r="B75" s="774" t="s">
        <v>2560</v>
      </c>
      <c r="C75" s="775">
        <v>0.85</v>
      </c>
      <c r="E75" s="690"/>
      <c r="G75" s="748"/>
      <c r="H75" s="748"/>
      <c r="I75" s="748"/>
    </row>
    <row r="76" spans="1:30" ht="15" thickBot="1" x14ac:dyDescent="0.4">
      <c r="B76" s="776" t="s">
        <v>2566</v>
      </c>
      <c r="C76" s="777">
        <v>0.15</v>
      </c>
      <c r="G76" s="748"/>
      <c r="H76" s="748"/>
      <c r="I76" s="748"/>
    </row>
    <row r="78" spans="1:30" ht="21" x14ac:dyDescent="0.5">
      <c r="A78" s="704" t="s">
        <v>2036</v>
      </c>
      <c r="C78" s="675" t="s">
        <v>2037</v>
      </c>
    </row>
    <row r="79" spans="1:30" ht="15" thickBot="1" x14ac:dyDescent="0.4"/>
    <row r="80" spans="1:30" ht="41.25" customHeight="1" thickBot="1" x14ac:dyDescent="0.65">
      <c r="B80" s="3130"/>
      <c r="C80" s="3130"/>
      <c r="D80" s="3131" t="s">
        <v>2038</v>
      </c>
      <c r="E80" s="3132"/>
      <c r="F80" s="3132"/>
      <c r="G80" s="3132"/>
      <c r="H80" s="2985" t="s">
        <v>2039</v>
      </c>
      <c r="I80" s="2986"/>
      <c r="J80" s="2986"/>
      <c r="K80" s="2986"/>
      <c r="L80" s="2987"/>
      <c r="M80" s="3133" t="s">
        <v>2040</v>
      </c>
      <c r="N80" s="3134"/>
      <c r="O80" s="3134"/>
      <c r="P80" s="3134"/>
      <c r="Q80" s="3134"/>
      <c r="R80" s="3134"/>
      <c r="S80" s="3135"/>
      <c r="T80" s="3135"/>
      <c r="U80" s="3136"/>
      <c r="V80" s="779"/>
      <c r="W80" s="779"/>
      <c r="X80" s="779"/>
      <c r="Y80" s="779"/>
      <c r="Z80" s="779"/>
      <c r="AA80" s="779"/>
    </row>
    <row r="81" spans="2:26" ht="72.5" x14ac:dyDescent="0.35">
      <c r="B81" s="772" t="s">
        <v>2585</v>
      </c>
      <c r="C81" s="1719" t="s">
        <v>2542</v>
      </c>
      <c r="D81" s="747" t="s">
        <v>2586</v>
      </c>
      <c r="E81" s="747" t="s">
        <v>2578</v>
      </c>
      <c r="F81" s="747" t="s">
        <v>2587</v>
      </c>
      <c r="G81" s="1747" t="s">
        <v>2580</v>
      </c>
      <c r="H81" s="783" t="s">
        <v>2556</v>
      </c>
      <c r="I81" s="747" t="s">
        <v>2588</v>
      </c>
      <c r="J81" s="747" t="s">
        <v>2589</v>
      </c>
      <c r="K81" s="747" t="s">
        <v>2590</v>
      </c>
      <c r="L81" s="1748" t="s">
        <v>2591</v>
      </c>
      <c r="M81" s="783" t="s">
        <v>2592</v>
      </c>
      <c r="N81" s="747" t="s">
        <v>2101</v>
      </c>
      <c r="O81" s="747" t="s">
        <v>2593</v>
      </c>
      <c r="P81" s="747" t="s">
        <v>2594</v>
      </c>
      <c r="Q81" s="747" t="s">
        <v>2595</v>
      </c>
      <c r="R81" s="747" t="s">
        <v>2596</v>
      </c>
      <c r="S81" s="747" t="s">
        <v>2545</v>
      </c>
      <c r="T81" s="747" t="s">
        <v>2546</v>
      </c>
      <c r="U81" s="773" t="s">
        <v>2547</v>
      </c>
      <c r="V81" s="712"/>
      <c r="W81" s="783" t="s">
        <v>2573</v>
      </c>
      <c r="X81" s="747" t="s">
        <v>2537</v>
      </c>
      <c r="Y81" s="773" t="s">
        <v>2150</v>
      </c>
      <c r="Z81" s="712"/>
    </row>
    <row r="82" spans="2:26" ht="15" thickBot="1" x14ac:dyDescent="0.4">
      <c r="B82" s="774" t="s">
        <v>2549</v>
      </c>
      <c r="C82" s="995" t="s">
        <v>2550</v>
      </c>
      <c r="D82" s="895">
        <f>D67</f>
        <v>50.5</v>
      </c>
      <c r="E82" s="1743">
        <f>E67</f>
        <v>2</v>
      </c>
      <c r="F82" s="967">
        <f>D82*E82</f>
        <v>101</v>
      </c>
      <c r="G82" s="1749">
        <f>G67</f>
        <v>1</v>
      </c>
      <c r="H82" s="1750">
        <f t="shared" ref="H82:I86" si="1">D$38</f>
        <v>6.9</v>
      </c>
      <c r="I82" s="1006">
        <f t="shared" si="1"/>
        <v>951</v>
      </c>
      <c r="J82" s="1041">
        <f>C46</f>
        <v>4272</v>
      </c>
      <c r="K82" s="750">
        <f>$E$91</f>
        <v>0.78315000000000001</v>
      </c>
      <c r="L82" s="1751">
        <f>F$38</f>
        <v>0.27</v>
      </c>
      <c r="M82" s="925">
        <f>F82*H82*(I82/K82)*J82/100000</f>
        <v>36152.411629955954</v>
      </c>
      <c r="N82" s="810">
        <f>F82*$D$58</f>
        <v>10100</v>
      </c>
      <c r="O82" s="808">
        <f>F82/L82</f>
        <v>374.07407407407408</v>
      </c>
      <c r="P82" s="810">
        <f>O82*D$59</f>
        <v>11222.222222222223</v>
      </c>
      <c r="Q82" s="810">
        <f>P82+N82</f>
        <v>21322.222222222223</v>
      </c>
      <c r="R82" s="805">
        <f>IFERROR(M82/E82,0)</f>
        <v>18076.205814977977</v>
      </c>
      <c r="S82" s="1752">
        <f>IFERROR(N82/E82,0)</f>
        <v>5050</v>
      </c>
      <c r="T82" s="1752">
        <f>IFERROR(P82/E82,0)</f>
        <v>5611.1111111111113</v>
      </c>
      <c r="U82" s="1753">
        <f>IFERROR(Q82/E82,0)</f>
        <v>10661.111111111111</v>
      </c>
      <c r="V82" s="1271"/>
      <c r="W82" s="797">
        <f>B53</f>
        <v>77</v>
      </c>
      <c r="X82" s="798">
        <f>F87</f>
        <v>505</v>
      </c>
      <c r="Y82" s="799">
        <f>W82*X82</f>
        <v>38885</v>
      </c>
      <c r="Z82" s="796"/>
    </row>
    <row r="83" spans="2:26" x14ac:dyDescent="0.35">
      <c r="B83" s="774" t="s">
        <v>2551</v>
      </c>
      <c r="C83" s="995" t="s">
        <v>2550</v>
      </c>
      <c r="D83" s="895">
        <f t="shared" ref="D83:E86" si="2">D68</f>
        <v>50.5</v>
      </c>
      <c r="E83" s="1743">
        <f t="shared" si="2"/>
        <v>1</v>
      </c>
      <c r="F83" s="967">
        <f t="shared" ref="F83:F86" si="3">D83*E83</f>
        <v>50.5</v>
      </c>
      <c r="G83" s="1749">
        <f>G68</f>
        <v>1</v>
      </c>
      <c r="H83" s="1750">
        <f t="shared" si="1"/>
        <v>6.9</v>
      </c>
      <c r="I83" s="1006">
        <f t="shared" si="1"/>
        <v>951</v>
      </c>
      <c r="J83" s="1041">
        <f>C47</f>
        <v>4029</v>
      </c>
      <c r="K83" s="750">
        <f>$E$91</f>
        <v>0.78315000000000001</v>
      </c>
      <c r="L83" s="1751">
        <f t="shared" ref="L83:L86" si="4">F$38</f>
        <v>0.27</v>
      </c>
      <c r="M83" s="925">
        <f>F83*H83*(I83/K83)*J83/100000</f>
        <v>17047.994669603526</v>
      </c>
      <c r="N83" s="810">
        <f t="shared" ref="N83:N86" si="5">F83*$D$58</f>
        <v>5050</v>
      </c>
      <c r="O83" s="808">
        <f t="shared" ref="O83:O86" si="6">F83/L83</f>
        <v>187.03703703703704</v>
      </c>
      <c r="P83" s="810">
        <f t="shared" ref="P83:P86" si="7">O83*D$59</f>
        <v>5611.1111111111113</v>
      </c>
      <c r="Q83" s="810">
        <f t="shared" ref="Q83:Q86" si="8">P83+N83</f>
        <v>10661.111111111111</v>
      </c>
      <c r="R83" s="805">
        <f>IFERROR(M83/(F83/D83),0)</f>
        <v>17047.994669603526</v>
      </c>
      <c r="S83" s="1752">
        <f>IFERROR(N83/E83,0)</f>
        <v>5050</v>
      </c>
      <c r="T83" s="1752">
        <f>IFERROR(P83/E83,0)</f>
        <v>5611.1111111111113</v>
      </c>
      <c r="U83" s="1753">
        <f t="shared" ref="U83:U86" si="9">IFERROR(Q83/E83,0)</f>
        <v>10661.111111111111</v>
      </c>
      <c r="V83" s="1271"/>
      <c r="W83" s="1271"/>
      <c r="X83" s="1272"/>
      <c r="Y83" s="796"/>
      <c r="Z83" s="796"/>
    </row>
    <row r="84" spans="2:26" x14ac:dyDescent="0.35">
      <c r="B84" s="774" t="s">
        <v>2552</v>
      </c>
      <c r="C84" s="995" t="s">
        <v>2550</v>
      </c>
      <c r="D84" s="895">
        <f t="shared" si="2"/>
        <v>50.5</v>
      </c>
      <c r="E84" s="1743">
        <f t="shared" si="2"/>
        <v>6</v>
      </c>
      <c r="F84" s="967">
        <f t="shared" si="3"/>
        <v>303</v>
      </c>
      <c r="G84" s="1749">
        <f>G69</f>
        <v>1</v>
      </c>
      <c r="H84" s="1750">
        <f t="shared" si="1"/>
        <v>6.9</v>
      </c>
      <c r="I84" s="1006">
        <f t="shared" si="1"/>
        <v>951</v>
      </c>
      <c r="J84" s="1041">
        <f>C48</f>
        <v>3406</v>
      </c>
      <c r="K84" s="750">
        <f>$E$91</f>
        <v>0.78315000000000001</v>
      </c>
      <c r="L84" s="1751">
        <f t="shared" si="4"/>
        <v>0.27</v>
      </c>
      <c r="M84" s="925">
        <f>F84*H84*(I84/K84)*J84/100000</f>
        <v>86471.287929515442</v>
      </c>
      <c r="N84" s="810">
        <f t="shared" si="5"/>
        <v>30300</v>
      </c>
      <c r="O84" s="808">
        <f t="shared" si="6"/>
        <v>1122.2222222222222</v>
      </c>
      <c r="P84" s="810">
        <f t="shared" si="7"/>
        <v>33666.666666666664</v>
      </c>
      <c r="Q84" s="810">
        <f t="shared" si="8"/>
        <v>63966.666666666664</v>
      </c>
      <c r="R84" s="805">
        <f>IFERROR(M84/(F84/D84),0)</f>
        <v>14411.881321585906</v>
      </c>
      <c r="S84" s="1752">
        <f>IFERROR(N84/E84,0)</f>
        <v>5050</v>
      </c>
      <c r="T84" s="1752">
        <f>IFERROR(P84/E84,0)</f>
        <v>5611.1111111111104</v>
      </c>
      <c r="U84" s="1753">
        <f t="shared" si="9"/>
        <v>10661.111111111111</v>
      </c>
      <c r="V84" s="1271"/>
      <c r="W84" s="1271"/>
      <c r="X84" s="1272"/>
      <c r="Y84" s="796"/>
      <c r="Z84" s="796"/>
    </row>
    <row r="85" spans="2:26" x14ac:dyDescent="0.35">
      <c r="B85" s="774" t="s">
        <v>2553</v>
      </c>
      <c r="C85" s="995" t="s">
        <v>2550</v>
      </c>
      <c r="D85" s="895">
        <f t="shared" si="2"/>
        <v>50.5</v>
      </c>
      <c r="E85" s="1743">
        <f t="shared" si="2"/>
        <v>1</v>
      </c>
      <c r="F85" s="967">
        <f t="shared" si="3"/>
        <v>50.5</v>
      </c>
      <c r="G85" s="1749">
        <f>G70</f>
        <v>1</v>
      </c>
      <c r="H85" s="1750">
        <f t="shared" si="1"/>
        <v>6.9</v>
      </c>
      <c r="I85" s="1006">
        <f t="shared" si="1"/>
        <v>951</v>
      </c>
      <c r="J85" s="1041">
        <f>C49</f>
        <v>2515</v>
      </c>
      <c r="K85" s="750">
        <f>$E$91</f>
        <v>0.78315000000000001</v>
      </c>
      <c r="L85" s="1751">
        <f t="shared" si="4"/>
        <v>0.27</v>
      </c>
      <c r="M85" s="925">
        <f>F85*H85*(I85/K85)*J85/100000</f>
        <v>10641.773788546257</v>
      </c>
      <c r="N85" s="810">
        <f t="shared" si="5"/>
        <v>5050</v>
      </c>
      <c r="O85" s="808">
        <f t="shared" si="6"/>
        <v>187.03703703703704</v>
      </c>
      <c r="P85" s="810">
        <f t="shared" si="7"/>
        <v>5611.1111111111113</v>
      </c>
      <c r="Q85" s="810">
        <f t="shared" si="8"/>
        <v>10661.111111111111</v>
      </c>
      <c r="R85" s="805">
        <f>IFERROR(M85/(F85/D85),0)</f>
        <v>10641.773788546257</v>
      </c>
      <c r="S85" s="1752">
        <f>IFERROR(N85/E85,0)</f>
        <v>5050</v>
      </c>
      <c r="T85" s="1752">
        <f>IFERROR(P85/E85,0)</f>
        <v>5611.1111111111113</v>
      </c>
      <c r="U85" s="1753">
        <f t="shared" si="9"/>
        <v>10661.111111111111</v>
      </c>
      <c r="V85" s="1271"/>
      <c r="W85" s="1271"/>
      <c r="X85" s="1272"/>
      <c r="Y85" s="796"/>
      <c r="Z85" s="796"/>
    </row>
    <row r="86" spans="2:26" ht="15" thickBot="1" x14ac:dyDescent="0.4">
      <c r="B86" s="776" t="s">
        <v>2554</v>
      </c>
      <c r="C86" s="1725" t="s">
        <v>2550</v>
      </c>
      <c r="D86" s="744">
        <f t="shared" si="2"/>
        <v>50.5</v>
      </c>
      <c r="E86" s="1744">
        <f t="shared" si="2"/>
        <v>0</v>
      </c>
      <c r="F86" s="1745">
        <f t="shared" si="3"/>
        <v>0</v>
      </c>
      <c r="G86" s="1754">
        <f>G71</f>
        <v>1</v>
      </c>
      <c r="H86" s="1755">
        <f t="shared" si="1"/>
        <v>6.9</v>
      </c>
      <c r="I86" s="1043">
        <f t="shared" si="1"/>
        <v>951</v>
      </c>
      <c r="J86" s="1042">
        <f>C50</f>
        <v>2546</v>
      </c>
      <c r="K86" s="766">
        <f>$E$91</f>
        <v>0.78315000000000001</v>
      </c>
      <c r="L86" s="1756">
        <f t="shared" si="4"/>
        <v>0.27</v>
      </c>
      <c r="M86" s="1757">
        <f>F86*H86*(I86/K86)*J86/100000</f>
        <v>0</v>
      </c>
      <c r="N86" s="821">
        <f t="shared" si="5"/>
        <v>0</v>
      </c>
      <c r="O86" s="819">
        <f t="shared" si="6"/>
        <v>0</v>
      </c>
      <c r="P86" s="821">
        <f t="shared" si="7"/>
        <v>0</v>
      </c>
      <c r="Q86" s="821">
        <f t="shared" si="8"/>
        <v>0</v>
      </c>
      <c r="R86" s="816">
        <f>IFERROR(M86/(F86/D86),0)</f>
        <v>0</v>
      </c>
      <c r="S86" s="1723">
        <f>IFERROR(N86/E86,0)</f>
        <v>0</v>
      </c>
      <c r="T86" s="1723">
        <f>IFERROR(P86/E86,0)</f>
        <v>0</v>
      </c>
      <c r="U86" s="1758">
        <f t="shared" si="9"/>
        <v>0</v>
      </c>
      <c r="V86" s="1271"/>
      <c r="W86" s="1271"/>
      <c r="X86" s="1272"/>
      <c r="Y86" s="796"/>
      <c r="Z86" s="796"/>
    </row>
    <row r="87" spans="2:26" x14ac:dyDescent="0.35">
      <c r="B87" s="898" t="s">
        <v>284</v>
      </c>
      <c r="E87" s="1759">
        <f>SUM(E82:E86)</f>
        <v>10</v>
      </c>
      <c r="F87" s="1759">
        <f>SUM(F82:F86)</f>
        <v>505</v>
      </c>
      <c r="G87" s="1760"/>
      <c r="H87" s="1761"/>
      <c r="I87" s="1762"/>
      <c r="J87" s="1763"/>
      <c r="K87" s="1763"/>
      <c r="L87" s="1763"/>
      <c r="M87" s="1759">
        <f>SUM(M82:M86)</f>
        <v>150313.4680176212</v>
      </c>
      <c r="N87" s="1764">
        <f>SUM(N82:N86)</f>
        <v>50500</v>
      </c>
      <c r="O87" s="1765">
        <f t="shared" ref="O87:Q87" si="10">SUM(O82:O86)</f>
        <v>1870.3703703703702</v>
      </c>
      <c r="P87" s="1764">
        <f t="shared" si="10"/>
        <v>56111.111111111109</v>
      </c>
      <c r="Q87" s="1764">
        <f t="shared" si="10"/>
        <v>106611.11111111111</v>
      </c>
      <c r="V87" s="1271"/>
      <c r="W87" s="1271"/>
      <c r="X87" s="1272"/>
      <c r="Y87" s="796"/>
      <c r="Z87" s="796"/>
    </row>
    <row r="88" spans="2:26" ht="15" thickBot="1" x14ac:dyDescent="0.4">
      <c r="B88" s="698"/>
      <c r="C88" s="698"/>
      <c r="I88" s="1766"/>
      <c r="K88" s="853"/>
      <c r="L88" s="853"/>
    </row>
    <row r="89" spans="2:26" ht="46.5" customHeight="1" thickBot="1" x14ac:dyDescent="0.5">
      <c r="C89" s="3121" t="s">
        <v>2038</v>
      </c>
      <c r="D89" s="3122"/>
      <c r="E89" s="3123"/>
      <c r="K89" s="853"/>
      <c r="L89" s="853"/>
      <c r="R89" s="3124" t="s">
        <v>2597</v>
      </c>
      <c r="S89" s="3125"/>
      <c r="T89" s="3125"/>
      <c r="U89" s="3125"/>
      <c r="V89" s="3126"/>
    </row>
    <row r="90" spans="2:26" ht="58" x14ac:dyDescent="0.35">
      <c r="B90" s="772" t="s">
        <v>2555</v>
      </c>
      <c r="C90" s="773" t="s">
        <v>2598</v>
      </c>
      <c r="D90" s="773" t="s">
        <v>2599</v>
      </c>
      <c r="E90" s="1767" t="s">
        <v>2600</v>
      </c>
      <c r="R90" s="740" t="s">
        <v>2544</v>
      </c>
      <c r="S90" s="747" t="s">
        <v>2545</v>
      </c>
      <c r="T90" s="747" t="s">
        <v>2546</v>
      </c>
      <c r="U90" s="747" t="s">
        <v>2547</v>
      </c>
      <c r="V90" s="773" t="s">
        <v>2548</v>
      </c>
    </row>
    <row r="91" spans="2:26" ht="15" thickBot="1" x14ac:dyDescent="0.4">
      <c r="B91" s="774" t="s">
        <v>2560</v>
      </c>
      <c r="C91" s="775">
        <f>C75</f>
        <v>0.85</v>
      </c>
      <c r="D91" s="775">
        <f>C42</f>
        <v>0.80700000000000005</v>
      </c>
      <c r="E91" s="1768">
        <f>SUMPRODUCT(C91:C92,D91:D92)</f>
        <v>0.78315000000000001</v>
      </c>
      <c r="R91" s="692">
        <f>M87/E87</f>
        <v>15031.34680176212</v>
      </c>
      <c r="S91" s="1723">
        <f>N87/$C$63</f>
        <v>5050</v>
      </c>
      <c r="T91" s="1723">
        <f>P87/$C$63</f>
        <v>5611.1111111111113</v>
      </c>
      <c r="U91" s="1723">
        <f>Q87/$C$63</f>
        <v>10661.111111111111</v>
      </c>
      <c r="V91" s="1724">
        <f>Y82/E87</f>
        <v>3888.5</v>
      </c>
    </row>
    <row r="92" spans="2:26" ht="15" thickBot="1" x14ac:dyDescent="0.4">
      <c r="B92" s="776" t="s">
        <v>2566</v>
      </c>
      <c r="C92" s="777">
        <f>C76</f>
        <v>0.15</v>
      </c>
      <c r="D92" s="77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E36"/>
  <sheetViews>
    <sheetView workbookViewId="0"/>
  </sheetViews>
  <sheetFormatPr defaultRowHeight="14.5" x14ac:dyDescent="0.35"/>
  <cols>
    <col min="4" max="4" width="26.81640625" customWidth="1"/>
    <col min="5" max="5" width="24" customWidth="1"/>
  </cols>
  <sheetData>
    <row r="5" spans="3:5" x14ac:dyDescent="0.35">
      <c r="C5" s="600" t="s">
        <v>285</v>
      </c>
      <c r="D5" s="600" t="s">
        <v>286</v>
      </c>
      <c r="E5" s="600" t="s">
        <v>3264</v>
      </c>
    </row>
    <row r="6" spans="3:5" x14ac:dyDescent="0.35">
      <c r="C6" s="600" t="s">
        <v>0</v>
      </c>
      <c r="D6" s="600" t="s">
        <v>273</v>
      </c>
      <c r="E6" s="600" t="s">
        <v>273</v>
      </c>
    </row>
    <row r="7" spans="3:5" x14ac:dyDescent="0.35">
      <c r="C7" s="600" t="s">
        <v>0</v>
      </c>
      <c r="D7" s="600" t="s">
        <v>838</v>
      </c>
      <c r="E7" s="600" t="s">
        <v>838</v>
      </c>
    </row>
    <row r="8" spans="3:5" x14ac:dyDescent="0.35">
      <c r="C8" s="600" t="s">
        <v>0</v>
      </c>
      <c r="D8" s="600" t="s">
        <v>33</v>
      </c>
      <c r="E8" s="600" t="s">
        <v>3265</v>
      </c>
    </row>
    <row r="9" spans="3:5" x14ac:dyDescent="0.35">
      <c r="C9" s="600" t="s">
        <v>0</v>
      </c>
      <c r="D9" s="600" t="s">
        <v>20</v>
      </c>
      <c r="E9" s="600" t="s">
        <v>20</v>
      </c>
    </row>
    <row r="10" spans="3:5" x14ac:dyDescent="0.35">
      <c r="C10" s="600" t="s">
        <v>0</v>
      </c>
      <c r="D10" s="600" t="s">
        <v>1933</v>
      </c>
      <c r="E10" s="600" t="s">
        <v>1933</v>
      </c>
    </row>
    <row r="11" spans="3:5" x14ac:dyDescent="0.35">
      <c r="C11" s="600" t="s">
        <v>0</v>
      </c>
      <c r="D11" s="600" t="s">
        <v>8</v>
      </c>
      <c r="E11" s="600" t="s">
        <v>8</v>
      </c>
    </row>
    <row r="12" spans="3:5" x14ac:dyDescent="0.35">
      <c r="C12" s="600" t="s">
        <v>0</v>
      </c>
      <c r="D12" s="600" t="s">
        <v>1072</v>
      </c>
      <c r="E12" s="600" t="s">
        <v>1072</v>
      </c>
    </row>
    <row r="13" spans="3:5" x14ac:dyDescent="0.35">
      <c r="C13" s="600" t="s">
        <v>0</v>
      </c>
      <c r="D13" s="600" t="s">
        <v>1864</v>
      </c>
      <c r="E13" s="600" t="s">
        <v>1864</v>
      </c>
    </row>
    <row r="14" spans="3:5" x14ac:dyDescent="0.35">
      <c r="C14" s="600" t="s">
        <v>80</v>
      </c>
      <c r="D14" s="600" t="s">
        <v>1095</v>
      </c>
      <c r="E14" s="600" t="s">
        <v>3266</v>
      </c>
    </row>
    <row r="15" spans="3:5" x14ac:dyDescent="0.35">
      <c r="C15" s="600" t="s">
        <v>80</v>
      </c>
      <c r="D15" s="600" t="s">
        <v>211</v>
      </c>
      <c r="E15" s="600" t="s">
        <v>211</v>
      </c>
    </row>
    <row r="16" spans="3:5" x14ac:dyDescent="0.35">
      <c r="C16" s="600" t="s">
        <v>80</v>
      </c>
      <c r="D16" s="600" t="s">
        <v>1084</v>
      </c>
      <c r="E16" s="600" t="s">
        <v>211</v>
      </c>
    </row>
    <row r="17" spans="3:5" x14ac:dyDescent="0.35">
      <c r="C17" s="600" t="s">
        <v>80</v>
      </c>
      <c r="D17" s="600" t="s">
        <v>212</v>
      </c>
      <c r="E17" s="600" t="s">
        <v>212</v>
      </c>
    </row>
    <row r="18" spans="3:5" x14ac:dyDescent="0.35">
      <c r="C18" s="600" t="s">
        <v>80</v>
      </c>
      <c r="D18" s="600" t="s">
        <v>1090</v>
      </c>
      <c r="E18" s="600" t="s">
        <v>212</v>
      </c>
    </row>
    <row r="19" spans="3:5" x14ac:dyDescent="0.35">
      <c r="C19" s="600" t="s">
        <v>80</v>
      </c>
      <c r="D19" s="600" t="s">
        <v>81</v>
      </c>
      <c r="E19" s="600" t="s">
        <v>81</v>
      </c>
    </row>
    <row r="20" spans="3:5" x14ac:dyDescent="0.35">
      <c r="C20" s="600" t="s">
        <v>80</v>
      </c>
      <c r="D20" s="600" t="s">
        <v>1054</v>
      </c>
      <c r="E20" s="600" t="s">
        <v>81</v>
      </c>
    </row>
    <row r="21" spans="3:5" x14ac:dyDescent="0.35">
      <c r="C21" s="600" t="s">
        <v>80</v>
      </c>
      <c r="D21" s="600" t="s">
        <v>1059</v>
      </c>
      <c r="E21" s="600" t="s">
        <v>3266</v>
      </c>
    </row>
    <row r="22" spans="3:5" x14ac:dyDescent="0.35">
      <c r="C22" s="600" t="s">
        <v>80</v>
      </c>
      <c r="D22" s="600" t="s">
        <v>1032</v>
      </c>
      <c r="E22" s="600" t="s">
        <v>81</v>
      </c>
    </row>
    <row r="24" spans="3:5" x14ac:dyDescent="0.35">
      <c r="E24" s="600" t="s">
        <v>3264</v>
      </c>
    </row>
    <row r="25" spans="3:5" x14ac:dyDescent="0.35">
      <c r="E25" s="600" t="s">
        <v>273</v>
      </c>
    </row>
    <row r="26" spans="3:5" x14ac:dyDescent="0.35">
      <c r="E26" s="600" t="s">
        <v>838</v>
      </c>
    </row>
    <row r="27" spans="3:5" x14ac:dyDescent="0.35">
      <c r="E27" s="600" t="s">
        <v>3265</v>
      </c>
    </row>
    <row r="28" spans="3:5" x14ac:dyDescent="0.35">
      <c r="E28" s="600" t="s">
        <v>20</v>
      </c>
    </row>
    <row r="29" spans="3:5" x14ac:dyDescent="0.35">
      <c r="E29" s="600" t="s">
        <v>1933</v>
      </c>
    </row>
    <row r="30" spans="3:5" x14ac:dyDescent="0.35">
      <c r="E30" s="600" t="s">
        <v>8</v>
      </c>
    </row>
    <row r="31" spans="3:5" x14ac:dyDescent="0.35">
      <c r="E31" s="600" t="s">
        <v>1072</v>
      </c>
    </row>
    <row r="32" spans="3:5" x14ac:dyDescent="0.35">
      <c r="E32" s="600" t="s">
        <v>1864</v>
      </c>
    </row>
    <row r="33" spans="5:5" x14ac:dyDescent="0.35">
      <c r="E33" s="600" t="s">
        <v>3266</v>
      </c>
    </row>
    <row r="34" spans="5:5" x14ac:dyDescent="0.35">
      <c r="E34" s="600" t="s">
        <v>211</v>
      </c>
    </row>
    <row r="35" spans="5:5" x14ac:dyDescent="0.35">
      <c r="E35" s="600" t="s">
        <v>212</v>
      </c>
    </row>
    <row r="36" spans="5:5" x14ac:dyDescent="0.35">
      <c r="E36" s="600" t="s">
        <v>81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pageSetUpPr fitToPage="1"/>
  </sheetPr>
  <dimension ref="A1:Z115"/>
  <sheetViews>
    <sheetView zoomScale="70" zoomScaleNormal="70" workbookViewId="0"/>
  </sheetViews>
  <sheetFormatPr defaultColWidth="9.1796875" defaultRowHeight="14.5" x14ac:dyDescent="0.35"/>
  <cols>
    <col min="1" max="1" width="9.1796875" style="675"/>
    <col min="2" max="2" width="30.453125" style="675" customWidth="1"/>
    <col min="3" max="3" width="20" style="675" customWidth="1"/>
    <col min="4" max="4" width="13.81640625" style="675" customWidth="1"/>
    <col min="5" max="5" width="23.54296875" style="675" customWidth="1"/>
    <col min="6" max="7" width="13.81640625" style="675" customWidth="1"/>
    <col min="8" max="8" width="25.54296875" style="675" customWidth="1"/>
    <col min="9" max="17" width="13.81640625" style="675" customWidth="1"/>
    <col min="18" max="20" width="15.453125" style="675" customWidth="1"/>
    <col min="21" max="21" width="13" style="675" customWidth="1"/>
    <col min="22" max="22" width="10.81640625" style="675" customWidth="1"/>
    <col min="23" max="23" width="10.26953125" style="675" customWidth="1"/>
    <col min="24" max="28" width="9.7265625" style="675" customWidth="1"/>
    <col min="29" max="29" width="10.7265625" style="675" customWidth="1"/>
    <col min="30" max="30" width="12.26953125" style="675" customWidth="1"/>
    <col min="31" max="31" width="9.81640625" style="675" customWidth="1"/>
    <col min="32" max="32" width="10.26953125" style="675" customWidth="1"/>
    <col min="33" max="33" width="10.1796875" style="675" customWidth="1"/>
    <col min="34" max="16384" width="9.1796875" style="675"/>
  </cols>
  <sheetData>
    <row r="1" spans="1:9" ht="21" x14ac:dyDescent="0.5">
      <c r="A1" s="674" t="s">
        <v>2601</v>
      </c>
    </row>
    <row r="3" spans="1:9" ht="21" x14ac:dyDescent="0.5">
      <c r="A3" s="704" t="s">
        <v>2602</v>
      </c>
    </row>
    <row r="4" spans="1:9" ht="15" thickBot="1" x14ac:dyDescent="0.4">
      <c r="B4" s="675" t="s">
        <v>2603</v>
      </c>
      <c r="E4" s="680" t="s">
        <v>2604</v>
      </c>
      <c r="H4" s="675" t="s">
        <v>2605</v>
      </c>
    </row>
    <row r="5" spans="1:9" x14ac:dyDescent="0.35">
      <c r="B5" s="678" t="s">
        <v>1947</v>
      </c>
      <c r="C5" s="679">
        <f>E97</f>
        <v>155.5</v>
      </c>
      <c r="D5" s="680"/>
      <c r="E5" s="678" t="s">
        <v>1947</v>
      </c>
      <c r="F5" s="679">
        <f>E97</f>
        <v>155.5</v>
      </c>
      <c r="H5" s="678" t="s">
        <v>1947</v>
      </c>
      <c r="I5" s="679">
        <f>E97</f>
        <v>155.5</v>
      </c>
    </row>
    <row r="6" spans="1:9" x14ac:dyDescent="0.35">
      <c r="B6" s="1013" t="s">
        <v>2537</v>
      </c>
      <c r="C6" s="1715">
        <f>F112</f>
        <v>1866</v>
      </c>
      <c r="D6" s="680"/>
      <c r="E6" s="1013" t="s">
        <v>2537</v>
      </c>
      <c r="F6" s="1715">
        <f>R112</f>
        <v>11557.00041118421</v>
      </c>
      <c r="H6" s="1013" t="s">
        <v>2537</v>
      </c>
      <c r="I6" s="1715" t="s">
        <v>1271</v>
      </c>
    </row>
    <row r="7" spans="1:9" x14ac:dyDescent="0.35">
      <c r="B7" s="681" t="s">
        <v>1950</v>
      </c>
      <c r="C7" s="684">
        <v>0</v>
      </c>
      <c r="D7" s="683"/>
      <c r="E7" s="681" t="s">
        <v>1950</v>
      </c>
      <c r="F7" s="684">
        <v>0</v>
      </c>
      <c r="H7" s="681" t="s">
        <v>1950</v>
      </c>
      <c r="I7" s="684">
        <v>0</v>
      </c>
    </row>
    <row r="8" spans="1:9" x14ac:dyDescent="0.35">
      <c r="B8" s="1013" t="s">
        <v>1951</v>
      </c>
      <c r="C8" s="1014">
        <v>0</v>
      </c>
      <c r="D8" s="683"/>
      <c r="E8" s="1013" t="s">
        <v>1951</v>
      </c>
      <c r="F8" s="1014">
        <v>0</v>
      </c>
      <c r="H8" s="1013" t="s">
        <v>1951</v>
      </c>
      <c r="I8" s="1014">
        <v>0</v>
      </c>
    </row>
    <row r="9" spans="1:9" x14ac:dyDescent="0.35">
      <c r="B9" s="681" t="s">
        <v>1952</v>
      </c>
      <c r="C9" s="684">
        <f>P112</f>
        <v>8176892.7460105279</v>
      </c>
      <c r="D9" s="683"/>
      <c r="E9" s="681" t="s">
        <v>1952</v>
      </c>
      <c r="F9" s="684">
        <v>0</v>
      </c>
      <c r="H9" s="681" t="s">
        <v>1952</v>
      </c>
      <c r="I9" s="684">
        <f>P112</f>
        <v>8176892.7460105279</v>
      </c>
    </row>
    <row r="10" spans="1:9" x14ac:dyDescent="0.35">
      <c r="B10" s="1013" t="s">
        <v>1953</v>
      </c>
      <c r="C10" s="1015">
        <f>Q112</f>
        <v>490751.98460526316</v>
      </c>
      <c r="D10" s="686"/>
      <c r="E10" s="1013" t="s">
        <v>1953</v>
      </c>
      <c r="F10" s="1015">
        <f>S112</f>
        <v>546391.96134868427</v>
      </c>
      <c r="H10" s="1013" t="s">
        <v>1953</v>
      </c>
      <c r="I10" s="1015">
        <f>T112</f>
        <v>1037143.9459539474</v>
      </c>
    </row>
    <row r="11" spans="1:9" x14ac:dyDescent="0.35">
      <c r="B11" s="681" t="s">
        <v>2538</v>
      </c>
      <c r="C11" s="687">
        <f>C7/$C$6</f>
        <v>0</v>
      </c>
      <c r="D11" s="686"/>
      <c r="E11" s="681" t="s">
        <v>2538</v>
      </c>
      <c r="F11" s="687">
        <f>F7/$C$6</f>
        <v>0</v>
      </c>
      <c r="H11" s="681" t="s">
        <v>2538</v>
      </c>
      <c r="I11" s="687">
        <f>I7/$C$6</f>
        <v>0</v>
      </c>
    </row>
    <row r="12" spans="1:9" x14ac:dyDescent="0.35">
      <c r="B12" s="1013" t="s">
        <v>2539</v>
      </c>
      <c r="C12" s="1016">
        <f>C8/$C$6</f>
        <v>0</v>
      </c>
      <c r="D12" s="686"/>
      <c r="E12" s="1013" t="s">
        <v>2539</v>
      </c>
      <c r="F12" s="1016">
        <f>F8/$C$6</f>
        <v>0</v>
      </c>
      <c r="H12" s="1013" t="s">
        <v>2539</v>
      </c>
      <c r="I12" s="1016">
        <f>I8/$C$6</f>
        <v>0</v>
      </c>
    </row>
    <row r="13" spans="1:9" x14ac:dyDescent="0.35">
      <c r="B13" s="681" t="s">
        <v>2540</v>
      </c>
      <c r="C13" s="687">
        <f>C9/C6</f>
        <v>4382.0432722457281</v>
      </c>
      <c r="D13" s="686"/>
      <c r="E13" s="681" t="s">
        <v>2540</v>
      </c>
      <c r="F13" s="687">
        <f>F9/F6</f>
        <v>0</v>
      </c>
      <c r="H13" s="681" t="s">
        <v>2540</v>
      </c>
      <c r="I13" s="687" t="s">
        <v>1271</v>
      </c>
    </row>
    <row r="14" spans="1:9" x14ac:dyDescent="0.35">
      <c r="B14" s="1013" t="s">
        <v>2187</v>
      </c>
      <c r="C14" s="1017">
        <f>C10/C9</f>
        <v>6.0016928171731126E-2</v>
      </c>
      <c r="D14" s="690"/>
      <c r="E14" s="1013" t="s">
        <v>2187</v>
      </c>
      <c r="F14" s="1017" t="s">
        <v>1271</v>
      </c>
      <c r="H14" s="1013" t="s">
        <v>2187</v>
      </c>
      <c r="I14" s="1017">
        <f>I10/I9</f>
        <v>0.12683839426167912</v>
      </c>
    </row>
    <row r="15" spans="1:9" ht="15" thickBot="1" x14ac:dyDescent="0.4">
      <c r="B15" s="1018" t="s">
        <v>2111</v>
      </c>
      <c r="C15" s="1019">
        <f>U112</f>
        <v>513840.54276315792</v>
      </c>
      <c r="D15" s="706"/>
      <c r="E15" s="1018" t="s">
        <v>2111</v>
      </c>
      <c r="F15" s="1019">
        <f>X112</f>
        <v>0</v>
      </c>
      <c r="H15" s="1018" t="s">
        <v>2111</v>
      </c>
      <c r="I15" s="1019">
        <f>U112</f>
        <v>513840.54276315792</v>
      </c>
    </row>
    <row r="16" spans="1:9" x14ac:dyDescent="0.35">
      <c r="B16" s="694" t="s">
        <v>1961</v>
      </c>
      <c r="C16" s="695"/>
      <c r="D16" s="696"/>
      <c r="E16" s="680"/>
      <c r="F16" s="696"/>
    </row>
    <row r="17" spans="1:11" ht="15" thickBot="1" x14ac:dyDescent="0.4">
      <c r="C17" s="694"/>
      <c r="D17" s="696"/>
      <c r="E17" s="680"/>
      <c r="F17" s="696"/>
    </row>
    <row r="18" spans="1:11" x14ac:dyDescent="0.35">
      <c r="B18" s="1020" t="s">
        <v>2063</v>
      </c>
      <c r="C18" s="1716">
        <v>0.89</v>
      </c>
      <c r="D18" s="680"/>
      <c r="E18" s="698"/>
      <c r="F18" s="680"/>
      <c r="H18" s="1020" t="s">
        <v>2063</v>
      </c>
      <c r="I18" s="1716">
        <v>0.89</v>
      </c>
    </row>
    <row r="19" spans="1:11" x14ac:dyDescent="0.35">
      <c r="B19" s="1021" t="s">
        <v>1965</v>
      </c>
      <c r="C19" s="1022">
        <v>0</v>
      </c>
      <c r="D19" s="683"/>
      <c r="E19" s="683"/>
      <c r="F19" s="683"/>
      <c r="H19" s="1021" t="s">
        <v>1965</v>
      </c>
      <c r="I19" s="1022">
        <v>0</v>
      </c>
    </row>
    <row r="20" spans="1:11" x14ac:dyDescent="0.35">
      <c r="B20" s="1023" t="s">
        <v>1966</v>
      </c>
      <c r="C20" s="1024">
        <v>0</v>
      </c>
      <c r="D20" s="700"/>
      <c r="E20" s="700"/>
      <c r="F20" s="683"/>
      <c r="H20" s="1023" t="s">
        <v>1966</v>
      </c>
      <c r="I20" s="1024">
        <v>0</v>
      </c>
    </row>
    <row r="21" spans="1:11" x14ac:dyDescent="0.35">
      <c r="B21" s="1021" t="s">
        <v>1967</v>
      </c>
      <c r="C21" s="1022">
        <f>C18*C9</f>
        <v>7277434.5439493703</v>
      </c>
      <c r="D21" s="683"/>
      <c r="E21" s="701"/>
      <c r="F21" s="683"/>
      <c r="H21" s="1021" t="s">
        <v>1967</v>
      </c>
      <c r="I21" s="1022">
        <f>I18*I9</f>
        <v>7277434.5439493703</v>
      </c>
    </row>
    <row r="22" spans="1:11" x14ac:dyDescent="0.35">
      <c r="B22" s="1023" t="s">
        <v>1969</v>
      </c>
      <c r="C22" s="1717">
        <f>C10/C21</f>
        <v>6.7434750754754066E-2</v>
      </c>
      <c r="D22" s="690"/>
      <c r="E22" s="690"/>
      <c r="F22" s="690"/>
      <c r="H22" s="1023" t="s">
        <v>1969</v>
      </c>
      <c r="I22" s="1717">
        <f>I10/I21</f>
        <v>0.14251504973222373</v>
      </c>
    </row>
    <row r="23" spans="1:11" ht="15" thickBot="1" x14ac:dyDescent="0.4">
      <c r="B23" s="1025" t="s">
        <v>1970</v>
      </c>
      <c r="C23" s="1026">
        <v>6</v>
      </c>
      <c r="D23" s="680"/>
      <c r="E23" s="680"/>
      <c r="F23" s="680"/>
      <c r="H23" s="1025" t="s">
        <v>1970</v>
      </c>
      <c r="I23" s="1026">
        <v>6</v>
      </c>
    </row>
    <row r="24" spans="1:11" x14ac:dyDescent="0.35">
      <c r="B24" s="703"/>
      <c r="C24" s="703"/>
    </row>
    <row r="25" spans="1:11" ht="21" x14ac:dyDescent="0.5">
      <c r="A25" s="704" t="s">
        <v>1971</v>
      </c>
      <c r="B25" s="703"/>
      <c r="C25" s="703"/>
    </row>
    <row r="26" spans="1:11" ht="15" customHeight="1" thickBot="1" x14ac:dyDescent="0.4"/>
    <row r="27" spans="1:11" ht="29" x14ac:dyDescent="0.35">
      <c r="B27" s="1770" t="s">
        <v>2606</v>
      </c>
      <c r="C27" s="1771">
        <f>Q115</f>
        <v>52584.51926694873</v>
      </c>
      <c r="H27" s="1770" t="s">
        <v>2606</v>
      </c>
      <c r="I27" s="1771">
        <f>I9/I5</f>
        <v>52584.51926694873</v>
      </c>
      <c r="J27" s="698"/>
      <c r="K27" s="698"/>
    </row>
    <row r="28" spans="1:11" ht="29" x14ac:dyDescent="0.35">
      <c r="B28" s="1772" t="s">
        <v>2607</v>
      </c>
      <c r="C28" s="688">
        <f>C10/C5</f>
        <v>3155.9613157894737</v>
      </c>
      <c r="H28" s="1772" t="s">
        <v>2607</v>
      </c>
      <c r="I28" s="688">
        <f>I10/I5</f>
        <v>6669.7359868421054</v>
      </c>
      <c r="J28" s="698"/>
      <c r="K28" s="698"/>
    </row>
    <row r="29" spans="1:11" ht="29.5" thickBot="1" x14ac:dyDescent="0.4">
      <c r="B29" s="1773" t="s">
        <v>2179</v>
      </c>
      <c r="C29" s="1774">
        <f>C15/C5</f>
        <v>3304.4407894736842</v>
      </c>
      <c r="H29" s="1773" t="s">
        <v>2179</v>
      </c>
      <c r="I29" s="1774">
        <f>I15/I5</f>
        <v>3304.4407894736842</v>
      </c>
      <c r="J29" s="698"/>
      <c r="K29" s="698"/>
    </row>
    <row r="30" spans="1:11" x14ac:dyDescent="0.35">
      <c r="B30" s="703"/>
      <c r="C30" s="703"/>
      <c r="E30" s="675" t="s">
        <v>2608</v>
      </c>
    </row>
    <row r="31" spans="1:11" ht="21" x14ac:dyDescent="0.5">
      <c r="A31" s="704" t="s">
        <v>1977</v>
      </c>
    </row>
    <row r="33" spans="2:20" ht="18" customHeight="1" thickBot="1" x14ac:dyDescent="0.4"/>
    <row r="34" spans="2:20" ht="60" customHeight="1" x14ac:dyDescent="0.35">
      <c r="B34" s="772" t="s">
        <v>2555</v>
      </c>
      <c r="C34" s="1719" t="s">
        <v>2542</v>
      </c>
      <c r="D34" s="747" t="s">
        <v>2556</v>
      </c>
      <c r="E34" s="747" t="s">
        <v>2557</v>
      </c>
      <c r="F34" s="747" t="s">
        <v>2558</v>
      </c>
      <c r="G34" s="773" t="s">
        <v>2570</v>
      </c>
      <c r="K34" s="3004" t="s">
        <v>2609</v>
      </c>
      <c r="L34" s="3015"/>
      <c r="M34" s="3015"/>
      <c r="N34" s="3015"/>
      <c r="O34" s="3015"/>
      <c r="P34" s="3015"/>
      <c r="Q34" s="3015"/>
      <c r="R34" s="3005"/>
      <c r="S34" s="712"/>
      <c r="T34" s="712"/>
    </row>
    <row r="35" spans="2:20" x14ac:dyDescent="0.35">
      <c r="B35" s="774" t="s">
        <v>2610</v>
      </c>
      <c r="C35" s="995" t="s">
        <v>2550</v>
      </c>
      <c r="D35" s="1775">
        <v>19.100000000000001</v>
      </c>
      <c r="E35" s="1776">
        <v>890</v>
      </c>
      <c r="F35" s="1096">
        <v>0.27</v>
      </c>
      <c r="G35" s="721">
        <v>2425</v>
      </c>
      <c r="K35" s="946" t="s">
        <v>1981</v>
      </c>
      <c r="L35" s="698"/>
      <c r="M35" s="698"/>
      <c r="N35" s="698"/>
      <c r="O35" s="698"/>
      <c r="P35" s="698"/>
      <c r="Q35" s="698"/>
      <c r="R35" s="874"/>
      <c r="S35" s="698"/>
      <c r="T35" s="698"/>
    </row>
    <row r="36" spans="2:20" x14ac:dyDescent="0.35">
      <c r="B36" s="774" t="s">
        <v>2611</v>
      </c>
      <c r="C36" s="995" t="s">
        <v>2550</v>
      </c>
      <c r="D36" s="1775">
        <v>6.9</v>
      </c>
      <c r="E36" s="1776">
        <v>951</v>
      </c>
      <c r="F36" s="1096">
        <v>0.16</v>
      </c>
      <c r="G36" s="721">
        <v>8282</v>
      </c>
      <c r="K36" s="933" t="s">
        <v>2562</v>
      </c>
      <c r="L36" s="934"/>
      <c r="M36" s="934"/>
      <c r="N36" s="934"/>
      <c r="O36" s="934"/>
      <c r="P36" s="934"/>
      <c r="Q36" s="934"/>
      <c r="R36" s="935"/>
      <c r="S36" s="698"/>
      <c r="T36" s="698"/>
    </row>
    <row r="37" spans="2:20" x14ac:dyDescent="0.35">
      <c r="B37" s="774" t="s">
        <v>2612</v>
      </c>
      <c r="C37" s="995" t="s">
        <v>2613</v>
      </c>
      <c r="D37" s="1775">
        <v>6.5</v>
      </c>
      <c r="E37" s="1776">
        <v>944</v>
      </c>
      <c r="F37" s="1096">
        <v>0.16</v>
      </c>
      <c r="G37" s="721">
        <v>8282</v>
      </c>
      <c r="K37" s="873"/>
      <c r="L37" s="698"/>
      <c r="M37" s="698"/>
      <c r="N37" s="698"/>
      <c r="O37" s="698"/>
      <c r="P37" s="698"/>
      <c r="Q37" s="698"/>
      <c r="R37" s="874"/>
      <c r="S37" s="698"/>
      <c r="T37" s="698"/>
    </row>
    <row r="38" spans="2:20" x14ac:dyDescent="0.35">
      <c r="B38" s="774" t="s">
        <v>2612</v>
      </c>
      <c r="C38" s="995" t="s">
        <v>2614</v>
      </c>
      <c r="D38" s="1775">
        <v>23.4</v>
      </c>
      <c r="E38" s="1776">
        <v>915</v>
      </c>
      <c r="F38" s="1096">
        <v>0.16</v>
      </c>
      <c r="G38" s="721">
        <v>8282</v>
      </c>
      <c r="K38" s="869" t="s">
        <v>1990</v>
      </c>
      <c r="L38" s="870"/>
      <c r="M38" s="870"/>
      <c r="N38" s="870"/>
      <c r="O38" s="870"/>
      <c r="P38" s="870"/>
      <c r="Q38" s="870"/>
      <c r="R38" s="871"/>
      <c r="S38" s="698"/>
      <c r="T38" s="698"/>
    </row>
    <row r="39" spans="2:20" x14ac:dyDescent="0.35">
      <c r="B39" s="774" t="s">
        <v>2615</v>
      </c>
      <c r="C39" s="995" t="s">
        <v>2616</v>
      </c>
      <c r="D39" s="1775">
        <v>43.8</v>
      </c>
      <c r="E39" s="1776">
        <v>880</v>
      </c>
      <c r="F39" s="1096">
        <v>0.16</v>
      </c>
      <c r="G39" s="721">
        <v>8282</v>
      </c>
      <c r="K39" s="873" t="s">
        <v>2564</v>
      </c>
      <c r="L39" s="698" t="s">
        <v>1992</v>
      </c>
      <c r="M39" s="698" t="s">
        <v>2565</v>
      </c>
      <c r="N39" s="698"/>
      <c r="O39" s="698"/>
      <c r="P39" s="698"/>
      <c r="Q39" s="698"/>
      <c r="R39" s="874"/>
      <c r="S39" s="698"/>
      <c r="T39" s="698"/>
    </row>
    <row r="40" spans="2:20" x14ac:dyDescent="0.35">
      <c r="B40" s="774" t="s">
        <v>2615</v>
      </c>
      <c r="C40" s="995" t="s">
        <v>2617</v>
      </c>
      <c r="D40" s="1775">
        <v>60.9</v>
      </c>
      <c r="E40" s="1776">
        <v>859</v>
      </c>
      <c r="F40" s="1096">
        <v>0.16</v>
      </c>
      <c r="G40" s="721">
        <v>8282</v>
      </c>
      <c r="K40" s="873" t="s">
        <v>2567</v>
      </c>
      <c r="L40" s="698" t="s">
        <v>1992</v>
      </c>
      <c r="M40" s="698" t="s">
        <v>2568</v>
      </c>
      <c r="N40" s="698"/>
      <c r="O40" s="698"/>
      <c r="P40" s="698"/>
      <c r="Q40" s="698"/>
      <c r="R40" s="874"/>
      <c r="S40" s="698"/>
      <c r="T40" s="698"/>
    </row>
    <row r="41" spans="2:20" x14ac:dyDescent="0.35">
      <c r="B41" s="774" t="s">
        <v>2615</v>
      </c>
      <c r="C41" s="995" t="s">
        <v>2618</v>
      </c>
      <c r="D41" s="1775">
        <v>82.1</v>
      </c>
      <c r="E41" s="1776">
        <v>837</v>
      </c>
      <c r="F41" s="1096">
        <v>0.16</v>
      </c>
      <c r="G41" s="721">
        <v>8282</v>
      </c>
      <c r="K41" s="873" t="s">
        <v>293</v>
      </c>
      <c r="L41" s="698" t="s">
        <v>1992</v>
      </c>
      <c r="M41" s="698" t="s">
        <v>2569</v>
      </c>
      <c r="N41" s="698"/>
      <c r="O41" s="698"/>
      <c r="P41" s="698"/>
      <c r="Q41" s="698"/>
      <c r="R41" s="874"/>
      <c r="S41" s="698"/>
      <c r="T41" s="698"/>
    </row>
    <row r="42" spans="2:20" ht="15" thickBot="1" x14ac:dyDescent="0.4">
      <c r="B42" s="776" t="s">
        <v>2615</v>
      </c>
      <c r="C42" s="1725" t="s">
        <v>2619</v>
      </c>
      <c r="D42" s="1729">
        <v>105.2</v>
      </c>
      <c r="E42" s="1730">
        <v>816</v>
      </c>
      <c r="F42" s="1777">
        <v>0.16</v>
      </c>
      <c r="G42" s="961">
        <v>8282</v>
      </c>
      <c r="K42" s="873" t="s">
        <v>1395</v>
      </c>
      <c r="L42" s="698" t="s">
        <v>1992</v>
      </c>
      <c r="M42" s="698" t="s">
        <v>2571</v>
      </c>
      <c r="N42" s="698"/>
      <c r="O42" s="698"/>
      <c r="P42" s="698"/>
      <c r="Q42" s="698"/>
      <c r="R42" s="874"/>
      <c r="S42" s="698"/>
      <c r="T42" s="698"/>
    </row>
    <row r="43" spans="2:20" x14ac:dyDescent="0.35">
      <c r="C43" s="675" t="s">
        <v>2620</v>
      </c>
      <c r="F43" s="930" t="s">
        <v>2561</v>
      </c>
      <c r="K43" s="933" t="s">
        <v>496</v>
      </c>
      <c r="L43" s="934" t="s">
        <v>2112</v>
      </c>
      <c r="M43" s="934" t="s">
        <v>2572</v>
      </c>
      <c r="N43" s="934"/>
      <c r="O43" s="934"/>
      <c r="P43" s="934"/>
      <c r="Q43" s="934"/>
      <c r="R43" s="935"/>
      <c r="S43" s="698"/>
      <c r="T43" s="698"/>
    </row>
    <row r="44" spans="2:20" ht="15" thickBot="1" x14ac:dyDescent="0.4"/>
    <row r="45" spans="2:20" ht="29" x14ac:dyDescent="0.35">
      <c r="B45" s="772" t="s">
        <v>2555</v>
      </c>
      <c r="C45" s="773" t="s">
        <v>2563</v>
      </c>
    </row>
    <row r="46" spans="2:20" ht="15" thickBot="1" x14ac:dyDescent="0.4">
      <c r="B46" s="776" t="s">
        <v>2560</v>
      </c>
      <c r="C46" s="1733">
        <v>0.80700000000000005</v>
      </c>
    </row>
    <row r="47" spans="2:20" ht="15" thickBot="1" x14ac:dyDescent="0.4"/>
    <row r="48" spans="2:20" ht="29" x14ac:dyDescent="0.35">
      <c r="B48" s="1029" t="s">
        <v>2555</v>
      </c>
      <c r="C48" s="1719" t="s">
        <v>2542</v>
      </c>
      <c r="D48" s="773" t="s">
        <v>2621</v>
      </c>
    </row>
    <row r="49" spans="2:17" x14ac:dyDescent="0.35">
      <c r="B49" s="774" t="s">
        <v>2610</v>
      </c>
      <c r="C49" s="995" t="s">
        <v>2622</v>
      </c>
      <c r="D49" s="1778">
        <v>77</v>
      </c>
    </row>
    <row r="50" spans="2:17" x14ac:dyDescent="0.35">
      <c r="B50" s="774" t="s">
        <v>2611</v>
      </c>
      <c r="C50" s="995" t="s">
        <v>2622</v>
      </c>
      <c r="D50" s="1778">
        <v>77</v>
      </c>
    </row>
    <row r="51" spans="2:17" x14ac:dyDescent="0.35">
      <c r="B51" s="774" t="s">
        <v>2612</v>
      </c>
      <c r="C51" s="995" t="s">
        <v>2613</v>
      </c>
      <c r="D51" s="1778">
        <v>180</v>
      </c>
    </row>
    <row r="52" spans="2:17" x14ac:dyDescent="0.35">
      <c r="B52" s="774" t="s">
        <v>2612</v>
      </c>
      <c r="C52" s="995" t="s">
        <v>2614</v>
      </c>
      <c r="D52" s="1778">
        <v>223</v>
      </c>
    </row>
    <row r="53" spans="2:17" x14ac:dyDescent="0.35">
      <c r="B53" s="774" t="s">
        <v>2615</v>
      </c>
      <c r="C53" s="995" t="s">
        <v>2616</v>
      </c>
      <c r="D53" s="1778">
        <v>276</v>
      </c>
    </row>
    <row r="54" spans="2:17" x14ac:dyDescent="0.35">
      <c r="B54" s="774" t="s">
        <v>2615</v>
      </c>
      <c r="C54" s="995" t="s">
        <v>2617</v>
      </c>
      <c r="D54" s="1778">
        <v>322</v>
      </c>
    </row>
    <row r="55" spans="2:17" x14ac:dyDescent="0.35">
      <c r="B55" s="774" t="s">
        <v>2615</v>
      </c>
      <c r="C55" s="995" t="s">
        <v>2618</v>
      </c>
      <c r="D55" s="1778">
        <v>370</v>
      </c>
    </row>
    <row r="56" spans="2:17" ht="15" thickBot="1" x14ac:dyDescent="0.4">
      <c r="B56" s="776" t="s">
        <v>2615</v>
      </c>
      <c r="C56" s="1725" t="s">
        <v>2619</v>
      </c>
      <c r="D56" s="1779">
        <v>418</v>
      </c>
    </row>
    <row r="57" spans="2:17" ht="15" thickBot="1" x14ac:dyDescent="0.4">
      <c r="L57" s="698"/>
      <c r="M57" s="698"/>
      <c r="N57" s="698"/>
      <c r="O57" s="698"/>
      <c r="P57" s="698"/>
      <c r="Q57" s="698"/>
    </row>
    <row r="58" spans="2:17" ht="43.5" x14ac:dyDescent="0.35">
      <c r="B58" s="1029" t="s">
        <v>2555</v>
      </c>
      <c r="C58" s="1719" t="s">
        <v>2542</v>
      </c>
      <c r="D58" s="773" t="s">
        <v>2623</v>
      </c>
      <c r="L58" s="698"/>
      <c r="M58" s="698"/>
      <c r="N58" s="698"/>
      <c r="O58" s="698"/>
      <c r="P58" s="698"/>
      <c r="Q58" s="698"/>
    </row>
    <row r="59" spans="2:17" x14ac:dyDescent="0.35">
      <c r="B59" s="774" t="s">
        <v>2610</v>
      </c>
      <c r="C59" s="995" t="s">
        <v>2622</v>
      </c>
      <c r="D59" s="1780">
        <v>0.27</v>
      </c>
      <c r="L59" s="698"/>
      <c r="M59" s="698"/>
      <c r="N59" s="698"/>
      <c r="O59" s="698"/>
      <c r="P59" s="698"/>
      <c r="Q59" s="698"/>
    </row>
    <row r="60" spans="2:17" x14ac:dyDescent="0.35">
      <c r="B60" s="774" t="s">
        <v>2611</v>
      </c>
      <c r="C60" s="995" t="s">
        <v>2622</v>
      </c>
      <c r="D60" s="1780">
        <v>0.16</v>
      </c>
      <c r="L60" s="698"/>
      <c r="M60" s="698"/>
      <c r="N60" s="698"/>
      <c r="O60" s="698"/>
      <c r="P60" s="698"/>
      <c r="Q60" s="698"/>
    </row>
    <row r="61" spans="2:17" x14ac:dyDescent="0.35">
      <c r="B61" s="774" t="s">
        <v>2612</v>
      </c>
      <c r="C61" s="995" t="s">
        <v>2613</v>
      </c>
      <c r="D61" s="1780">
        <v>0.16</v>
      </c>
      <c r="L61" s="698"/>
      <c r="M61" s="698"/>
      <c r="N61" s="698"/>
      <c r="O61" s="698"/>
      <c r="P61" s="698"/>
      <c r="Q61" s="698"/>
    </row>
    <row r="62" spans="2:17" x14ac:dyDescent="0.35">
      <c r="B62" s="774" t="s">
        <v>2612</v>
      </c>
      <c r="C62" s="995" t="s">
        <v>2614</v>
      </c>
      <c r="D62" s="1780">
        <v>0.16</v>
      </c>
      <c r="L62" s="698"/>
      <c r="M62" s="698"/>
      <c r="N62" s="698"/>
      <c r="O62" s="698"/>
      <c r="P62" s="698"/>
      <c r="Q62" s="698"/>
    </row>
    <row r="63" spans="2:17" x14ac:dyDescent="0.35">
      <c r="B63" s="774" t="s">
        <v>2615</v>
      </c>
      <c r="C63" s="995" t="s">
        <v>2616</v>
      </c>
      <c r="D63" s="1780">
        <v>0.16</v>
      </c>
      <c r="L63" s="698"/>
      <c r="M63" s="698"/>
      <c r="N63" s="698"/>
      <c r="O63" s="698"/>
      <c r="P63" s="698"/>
      <c r="Q63" s="698"/>
    </row>
    <row r="64" spans="2:17" x14ac:dyDescent="0.35">
      <c r="B64" s="774" t="s">
        <v>2615</v>
      </c>
      <c r="C64" s="995" t="s">
        <v>2617</v>
      </c>
      <c r="D64" s="1780">
        <v>0.16</v>
      </c>
      <c r="L64" s="698"/>
      <c r="M64" s="698"/>
      <c r="N64" s="698"/>
      <c r="O64" s="698"/>
      <c r="P64" s="698"/>
      <c r="Q64" s="698"/>
    </row>
    <row r="65" spans="1:17" x14ac:dyDescent="0.35">
      <c r="B65" s="774" t="s">
        <v>2615</v>
      </c>
      <c r="C65" s="995" t="s">
        <v>2618</v>
      </c>
      <c r="D65" s="1780">
        <v>0.16</v>
      </c>
      <c r="L65" s="698"/>
      <c r="M65" s="698"/>
      <c r="N65" s="698"/>
      <c r="O65" s="698"/>
      <c r="P65" s="698"/>
      <c r="Q65" s="698"/>
    </row>
    <row r="66" spans="1:17" ht="15" thickBot="1" x14ac:dyDescent="0.4">
      <c r="B66" s="776" t="s">
        <v>2615</v>
      </c>
      <c r="C66" s="1725" t="s">
        <v>2619</v>
      </c>
      <c r="D66" s="1781">
        <v>0.16</v>
      </c>
      <c r="L66" s="698"/>
      <c r="M66" s="698"/>
      <c r="N66" s="698"/>
      <c r="O66" s="698"/>
      <c r="P66" s="698"/>
      <c r="Q66" s="698"/>
    </row>
    <row r="67" spans="1:17" x14ac:dyDescent="0.35">
      <c r="L67" s="698"/>
      <c r="M67" s="698"/>
      <c r="N67" s="698"/>
      <c r="O67" s="698"/>
      <c r="P67" s="698"/>
      <c r="Q67" s="698"/>
    </row>
    <row r="68" spans="1:17" ht="21" x14ac:dyDescent="0.5">
      <c r="A68" s="704" t="s">
        <v>2012</v>
      </c>
    </row>
    <row r="69" spans="1:17" ht="21.5" thickBot="1" x14ac:dyDescent="0.55000000000000004">
      <c r="A69" s="704"/>
      <c r="B69" s="698"/>
      <c r="C69" s="735"/>
    </row>
    <row r="70" spans="1:17" ht="29" x14ac:dyDescent="0.35">
      <c r="B70" s="1029" t="s">
        <v>2555</v>
      </c>
      <c r="C70" s="1719" t="s">
        <v>2542</v>
      </c>
      <c r="D70" s="773" t="s">
        <v>2574</v>
      </c>
      <c r="E70" s="737"/>
      <c r="F70" s="737"/>
      <c r="G70" s="737"/>
    </row>
    <row r="71" spans="1:17" x14ac:dyDescent="0.35">
      <c r="B71" s="774" t="s">
        <v>2610</v>
      </c>
      <c r="C71" s="995" t="s">
        <v>2622</v>
      </c>
      <c r="D71" s="1782">
        <v>99.88</v>
      </c>
      <c r="E71" s="739"/>
      <c r="F71" s="739"/>
      <c r="G71" s="739"/>
    </row>
    <row r="72" spans="1:17" x14ac:dyDescent="0.35">
      <c r="B72" s="774" t="s">
        <v>2611</v>
      </c>
      <c r="C72" s="995" t="s">
        <v>2622</v>
      </c>
      <c r="D72" s="1782">
        <f>D71</f>
        <v>99.88</v>
      </c>
      <c r="E72" s="739"/>
      <c r="F72" s="739"/>
      <c r="G72" s="739"/>
    </row>
    <row r="73" spans="1:17" x14ac:dyDescent="0.35">
      <c r="B73" s="774" t="s">
        <v>2612</v>
      </c>
      <c r="C73" s="995" t="s">
        <v>2613</v>
      </c>
      <c r="D73" s="1782">
        <f>D72</f>
        <v>99.88</v>
      </c>
      <c r="E73" s="739"/>
      <c r="F73" s="739"/>
      <c r="G73" s="739"/>
    </row>
    <row r="74" spans="1:17" x14ac:dyDescent="0.35">
      <c r="B74" s="774" t="s">
        <v>2612</v>
      </c>
      <c r="C74" s="995" t="s">
        <v>2614</v>
      </c>
      <c r="D74" s="1782">
        <f>D73+50</f>
        <v>149.88</v>
      </c>
      <c r="E74" s="739"/>
      <c r="F74" s="739"/>
      <c r="G74" s="739"/>
    </row>
    <row r="75" spans="1:17" x14ac:dyDescent="0.35">
      <c r="B75" s="774" t="s">
        <v>2615</v>
      </c>
      <c r="C75" s="995" t="s">
        <v>2616</v>
      </c>
      <c r="D75" s="1782">
        <f>D73+100</f>
        <v>199.88</v>
      </c>
      <c r="E75" s="739"/>
      <c r="F75" s="739"/>
      <c r="G75" s="739"/>
    </row>
    <row r="76" spans="1:17" x14ac:dyDescent="0.35">
      <c r="B76" s="774" t="s">
        <v>2615</v>
      </c>
      <c r="C76" s="995" t="s">
        <v>2617</v>
      </c>
      <c r="D76" s="1782">
        <f>D73+200</f>
        <v>299.88</v>
      </c>
      <c r="E76" s="739"/>
      <c r="F76" s="739"/>
      <c r="G76" s="739"/>
    </row>
    <row r="77" spans="1:17" x14ac:dyDescent="0.35">
      <c r="B77" s="774" t="s">
        <v>2615</v>
      </c>
      <c r="C77" s="995" t="s">
        <v>2618</v>
      </c>
      <c r="D77" s="1782">
        <f>D73+300</f>
        <v>399.88</v>
      </c>
      <c r="E77" s="739"/>
      <c r="F77" s="739"/>
      <c r="G77" s="739"/>
    </row>
    <row r="78" spans="1:17" ht="15" thickBot="1" x14ac:dyDescent="0.4">
      <c r="B78" s="776" t="s">
        <v>2615</v>
      </c>
      <c r="C78" s="1725" t="s">
        <v>2619</v>
      </c>
      <c r="D78" s="1637">
        <v>500</v>
      </c>
      <c r="E78" s="739"/>
      <c r="F78" s="739"/>
      <c r="G78" s="739"/>
    </row>
    <row r="79" spans="1:17" x14ac:dyDescent="0.35">
      <c r="B79" s="1783" t="s">
        <v>2624</v>
      </c>
      <c r="C79" s="978" t="s">
        <v>2622</v>
      </c>
      <c r="D79" s="1784">
        <v>30</v>
      </c>
      <c r="E79" s="739"/>
      <c r="F79" s="739"/>
      <c r="G79" s="739"/>
    </row>
    <row r="80" spans="1:17" ht="15" thickBot="1" x14ac:dyDescent="0.4">
      <c r="B80" s="776" t="s">
        <v>2624</v>
      </c>
      <c r="C80" s="1725" t="s">
        <v>2625</v>
      </c>
      <c r="D80" s="1637">
        <v>50</v>
      </c>
      <c r="E80" s="739"/>
      <c r="F80" s="739"/>
      <c r="G80" s="739"/>
    </row>
    <row r="81" spans="1:26" x14ac:dyDescent="0.35">
      <c r="M81" s="698"/>
      <c r="N81" s="698"/>
      <c r="O81" s="698"/>
    </row>
    <row r="82" spans="1:26" ht="21" x14ac:dyDescent="0.5">
      <c r="A82" s="704" t="s">
        <v>2014</v>
      </c>
      <c r="D82" s="1027" t="s">
        <v>2626</v>
      </c>
    </row>
    <row r="83" spans="1:26" ht="15" thickBot="1" x14ac:dyDescent="0.4"/>
    <row r="84" spans="1:26" x14ac:dyDescent="0.35">
      <c r="B84" s="1032" t="s">
        <v>2627</v>
      </c>
      <c r="C84" s="1785">
        <v>12</v>
      </c>
      <c r="G84" s="987"/>
      <c r="H84" s="987"/>
      <c r="I84" s="987"/>
      <c r="J84" s="987"/>
      <c r="K84" s="987"/>
    </row>
    <row r="85" spans="1:26" ht="29.5" thickBot="1" x14ac:dyDescent="0.4">
      <c r="B85" s="1786" t="s">
        <v>2586</v>
      </c>
      <c r="C85" s="745">
        <v>155.5</v>
      </c>
    </row>
    <row r="86" spans="1:26" ht="15" thickBot="1" x14ac:dyDescent="0.4">
      <c r="B86" s="748"/>
    </row>
    <row r="87" spans="1:26" ht="39.75" customHeight="1" thickBot="1" x14ac:dyDescent="0.4">
      <c r="B87" s="1003"/>
      <c r="C87" s="735"/>
      <c r="D87" s="3127" t="s">
        <v>2038</v>
      </c>
      <c r="E87" s="3128"/>
      <c r="F87" s="3128"/>
      <c r="G87" s="3129"/>
      <c r="H87" s="753"/>
      <c r="I87" s="753"/>
      <c r="J87" s="753"/>
      <c r="K87" s="753"/>
      <c r="V87" s="753"/>
      <c r="W87" s="753"/>
      <c r="X87" s="753"/>
      <c r="Y87" s="753"/>
      <c r="Z87" s="753"/>
    </row>
    <row r="88" spans="1:26" ht="58" x14ac:dyDescent="0.35">
      <c r="B88" s="1029" t="s">
        <v>2555</v>
      </c>
      <c r="C88" s="1719" t="s">
        <v>2542</v>
      </c>
      <c r="D88" s="747" t="s">
        <v>2628</v>
      </c>
      <c r="E88" s="747" t="s">
        <v>2586</v>
      </c>
      <c r="F88" s="747" t="s">
        <v>2587</v>
      </c>
      <c r="G88" s="773" t="s">
        <v>2580</v>
      </c>
      <c r="H88" s="754"/>
      <c r="I88" s="754"/>
      <c r="J88" s="980"/>
      <c r="V88" s="753"/>
      <c r="W88" s="753"/>
      <c r="X88" s="753"/>
      <c r="Y88" s="753"/>
      <c r="Z88" s="753"/>
    </row>
    <row r="89" spans="1:26" x14ac:dyDescent="0.35">
      <c r="B89" s="774" t="s">
        <v>2610</v>
      </c>
      <c r="C89" s="995" t="s">
        <v>2622</v>
      </c>
      <c r="D89" s="803">
        <v>2.2203947368421052E-2</v>
      </c>
      <c r="E89" s="967">
        <f>D89*C$85</f>
        <v>3.4527138157894735</v>
      </c>
      <c r="F89" s="967">
        <f>C$84*E89</f>
        <v>41.432565789473685</v>
      </c>
      <c r="G89" s="1033">
        <v>1</v>
      </c>
      <c r="H89" s="758"/>
      <c r="I89" s="758"/>
      <c r="V89" s="760"/>
      <c r="W89" s="761"/>
      <c r="X89" s="762"/>
      <c r="Y89" s="763"/>
      <c r="Z89" s="764"/>
    </row>
    <row r="90" spans="1:26" x14ac:dyDescent="0.35">
      <c r="B90" s="774" t="s">
        <v>2611</v>
      </c>
      <c r="C90" s="995" t="s">
        <v>2622</v>
      </c>
      <c r="D90" s="803">
        <v>0.12171052631578948</v>
      </c>
      <c r="E90" s="967">
        <f t="shared" ref="E90:E96" si="0">D90*C$85</f>
        <v>18.925986842105264</v>
      </c>
      <c r="F90" s="967">
        <f t="shared" ref="F90:F96" si="1">C$84*E90</f>
        <v>227.11184210526318</v>
      </c>
      <c r="G90" s="1033">
        <v>1</v>
      </c>
      <c r="H90" s="758"/>
      <c r="I90" s="758"/>
      <c r="J90" s="980"/>
      <c r="V90" s="760"/>
      <c r="W90" s="761"/>
      <c r="X90" s="762"/>
      <c r="Y90" s="763"/>
      <c r="Z90" s="764"/>
    </row>
    <row r="91" spans="1:26" x14ac:dyDescent="0.35">
      <c r="B91" s="774" t="s">
        <v>2612</v>
      </c>
      <c r="C91" s="995" t="s">
        <v>2613</v>
      </c>
      <c r="D91" s="803">
        <v>5.2631578947368418E-2</v>
      </c>
      <c r="E91" s="967">
        <f t="shared" si="0"/>
        <v>8.1842105263157894</v>
      </c>
      <c r="F91" s="967">
        <f t="shared" si="1"/>
        <v>98.21052631578948</v>
      </c>
      <c r="G91" s="1033">
        <v>1</v>
      </c>
      <c r="H91" s="758"/>
      <c r="I91" s="758"/>
      <c r="V91" s="760"/>
      <c r="W91" s="761"/>
      <c r="X91" s="762"/>
      <c r="Y91" s="763"/>
      <c r="Z91" s="764"/>
    </row>
    <row r="92" spans="1:26" x14ac:dyDescent="0.35">
      <c r="B92" s="774" t="s">
        <v>2612</v>
      </c>
      <c r="C92" s="995" t="s">
        <v>2614</v>
      </c>
      <c r="D92" s="803">
        <v>0.19490131578947367</v>
      </c>
      <c r="E92" s="967">
        <f t="shared" si="0"/>
        <v>30.307154605263158</v>
      </c>
      <c r="F92" s="967">
        <f t="shared" si="1"/>
        <v>363.68585526315792</v>
      </c>
      <c r="G92" s="1033">
        <v>1</v>
      </c>
      <c r="H92" s="758"/>
      <c r="I92" s="758"/>
      <c r="V92" s="760"/>
      <c r="W92" s="761"/>
      <c r="X92" s="762"/>
      <c r="Y92" s="763"/>
      <c r="Z92" s="764"/>
    </row>
    <row r="93" spans="1:26" x14ac:dyDescent="0.35">
      <c r="B93" s="774" t="s">
        <v>2615</v>
      </c>
      <c r="C93" s="995" t="s">
        <v>2616</v>
      </c>
      <c r="D93" s="803">
        <v>0.10032894736842106</v>
      </c>
      <c r="E93" s="967">
        <f t="shared" si="0"/>
        <v>15.601151315789474</v>
      </c>
      <c r="F93" s="967">
        <f t="shared" si="1"/>
        <v>187.2138157894737</v>
      </c>
      <c r="G93" s="1033">
        <v>1</v>
      </c>
      <c r="H93" s="758"/>
      <c r="I93" s="758"/>
      <c r="V93" s="760"/>
      <c r="W93" s="761"/>
      <c r="X93" s="762"/>
      <c r="Y93" s="763"/>
      <c r="Z93" s="764"/>
    </row>
    <row r="94" spans="1:26" x14ac:dyDescent="0.35">
      <c r="B94" s="774" t="s">
        <v>2615</v>
      </c>
      <c r="C94" s="995" t="s">
        <v>2617</v>
      </c>
      <c r="D94" s="803">
        <v>9.1282894736842105E-2</v>
      </c>
      <c r="E94" s="967">
        <f t="shared" si="0"/>
        <v>14.194490131578947</v>
      </c>
      <c r="F94" s="967">
        <f t="shared" si="1"/>
        <v>170.33388157894737</v>
      </c>
      <c r="G94" s="1033">
        <v>1</v>
      </c>
      <c r="H94" s="758"/>
      <c r="I94" s="758"/>
      <c r="J94" s="759"/>
      <c r="K94" s="759"/>
      <c r="V94" s="760"/>
      <c r="W94" s="761"/>
      <c r="X94" s="762"/>
      <c r="Y94" s="763"/>
      <c r="Z94" s="764"/>
    </row>
    <row r="95" spans="1:26" x14ac:dyDescent="0.35">
      <c r="B95" s="774" t="s">
        <v>2615</v>
      </c>
      <c r="C95" s="995" t="s">
        <v>2618</v>
      </c>
      <c r="D95" s="803">
        <v>0.41694078947368424</v>
      </c>
      <c r="E95" s="967">
        <f t="shared" si="0"/>
        <v>64.834292763157904</v>
      </c>
      <c r="F95" s="967">
        <f t="shared" si="1"/>
        <v>778.0115131578948</v>
      </c>
      <c r="G95" s="1033">
        <v>1</v>
      </c>
      <c r="H95" s="758"/>
      <c r="I95" s="758"/>
      <c r="J95" s="759"/>
      <c r="K95" s="759"/>
      <c r="V95" s="760"/>
      <c r="W95" s="761"/>
      <c r="X95" s="762"/>
      <c r="Y95" s="763"/>
      <c r="Z95" s="764"/>
    </row>
    <row r="96" spans="1:26" ht="15" thickBot="1" x14ac:dyDescent="0.4">
      <c r="B96" s="776" t="s">
        <v>2615</v>
      </c>
      <c r="C96" s="1725" t="s">
        <v>2619</v>
      </c>
      <c r="D96" s="814">
        <v>0</v>
      </c>
      <c r="E96" s="1745">
        <f t="shared" si="0"/>
        <v>0</v>
      </c>
      <c r="F96" s="1745">
        <f t="shared" si="1"/>
        <v>0</v>
      </c>
      <c r="G96" s="1039">
        <v>1</v>
      </c>
      <c r="H96" s="758"/>
      <c r="I96" s="758"/>
      <c r="J96" s="759"/>
      <c r="K96" s="759"/>
      <c r="V96" s="760"/>
      <c r="W96" s="761"/>
      <c r="X96" s="762"/>
      <c r="Y96" s="763"/>
      <c r="Z96" s="764"/>
    </row>
    <row r="97" spans="1:26" ht="15" customHeight="1" x14ac:dyDescent="0.35">
      <c r="B97" s="898" t="s">
        <v>2575</v>
      </c>
      <c r="C97" s="898" t="s">
        <v>2581</v>
      </c>
      <c r="E97" s="1746">
        <f>SUM(E89:E96)</f>
        <v>155.5</v>
      </c>
      <c r="F97" s="1746">
        <f>SUM(F89:F96)</f>
        <v>1866</v>
      </c>
      <c r="G97" s="680" t="s">
        <v>2629</v>
      </c>
      <c r="H97" s="758"/>
      <c r="I97" s="758"/>
      <c r="J97" s="759"/>
      <c r="K97" s="759"/>
      <c r="L97" s="769"/>
      <c r="M97" s="769"/>
      <c r="N97" s="769"/>
      <c r="O97" s="769"/>
      <c r="P97" s="769"/>
      <c r="Q97" s="770"/>
      <c r="R97" s="759"/>
      <c r="S97" s="759"/>
      <c r="T97" s="759"/>
      <c r="U97" s="759"/>
      <c r="V97" s="760"/>
      <c r="W97" s="761"/>
      <c r="X97" s="762"/>
      <c r="Y97" s="763"/>
      <c r="Z97" s="764"/>
    </row>
    <row r="98" spans="1:26" x14ac:dyDescent="0.35">
      <c r="G98" s="748"/>
      <c r="H98" s="748"/>
      <c r="I98" s="748"/>
      <c r="J98" s="748"/>
    </row>
    <row r="100" spans="1:26" ht="21" x14ac:dyDescent="0.5">
      <c r="A100" s="704" t="s">
        <v>2036</v>
      </c>
      <c r="C100" s="675" t="s">
        <v>2037</v>
      </c>
    </row>
    <row r="101" spans="1:26" ht="15" thickBot="1" x14ac:dyDescent="0.4"/>
    <row r="102" spans="1:26" ht="41.25" customHeight="1" thickBot="1" x14ac:dyDescent="0.65">
      <c r="B102" s="3130"/>
      <c r="C102" s="3130"/>
      <c r="D102" s="3131" t="s">
        <v>2038</v>
      </c>
      <c r="E102" s="3132"/>
      <c r="F102" s="3132"/>
      <c r="G102" s="3132"/>
      <c r="H102" s="3132"/>
      <c r="I102" s="3137"/>
      <c r="J102" s="2985" t="s">
        <v>2039</v>
      </c>
      <c r="K102" s="2986"/>
      <c r="L102" s="2986"/>
      <c r="M102" s="2986"/>
      <c r="N102" s="2986"/>
      <c r="O102" s="2987"/>
      <c r="P102" s="2985" t="s">
        <v>2040</v>
      </c>
      <c r="Q102" s="2986"/>
      <c r="R102" s="2986"/>
      <c r="S102" s="2986"/>
      <c r="T102" s="2986"/>
      <c r="U102" s="2987"/>
      <c r="V102" s="779"/>
      <c r="W102" s="779"/>
    </row>
    <row r="103" spans="1:26" ht="58" x14ac:dyDescent="0.35">
      <c r="B103" s="772" t="s">
        <v>2585</v>
      </c>
      <c r="C103" s="1719" t="s">
        <v>2542</v>
      </c>
      <c r="D103" s="747" t="s">
        <v>2628</v>
      </c>
      <c r="E103" s="747" t="s">
        <v>2586</v>
      </c>
      <c r="F103" s="747" t="s">
        <v>2587</v>
      </c>
      <c r="G103" s="1747" t="s">
        <v>2580</v>
      </c>
      <c r="H103" s="747" t="s">
        <v>2574</v>
      </c>
      <c r="I103" s="773" t="s">
        <v>2630</v>
      </c>
      <c r="J103" s="1787" t="s">
        <v>2556</v>
      </c>
      <c r="K103" s="747" t="s">
        <v>2588</v>
      </c>
      <c r="L103" s="747" t="s">
        <v>2589</v>
      </c>
      <c r="M103" s="747" t="s">
        <v>2590</v>
      </c>
      <c r="N103" s="1787" t="s">
        <v>2621</v>
      </c>
      <c r="O103" s="1748" t="s">
        <v>2591</v>
      </c>
      <c r="P103" s="783" t="s">
        <v>2592</v>
      </c>
      <c r="Q103" s="1747" t="s">
        <v>2631</v>
      </c>
      <c r="R103" s="747" t="s">
        <v>2632</v>
      </c>
      <c r="S103" s="1787" t="s">
        <v>2633</v>
      </c>
      <c r="T103" s="1787" t="s">
        <v>2634</v>
      </c>
      <c r="U103" s="773" t="s">
        <v>2108</v>
      </c>
      <c r="V103" s="712"/>
    </row>
    <row r="104" spans="1:26" x14ac:dyDescent="0.35">
      <c r="B104" s="774" t="s">
        <v>2610</v>
      </c>
      <c r="C104" s="995" t="s">
        <v>2622</v>
      </c>
      <c r="D104" s="895">
        <f>D89</f>
        <v>2.2203947368421052E-2</v>
      </c>
      <c r="E104" s="967">
        <f>E89</f>
        <v>3.4527138157894735</v>
      </c>
      <c r="F104" s="967">
        <f>F89</f>
        <v>41.432565789473685</v>
      </c>
      <c r="G104" s="1749">
        <f>G89</f>
        <v>1</v>
      </c>
      <c r="H104" s="879">
        <f t="shared" ref="H104:H111" si="2">D71</f>
        <v>99.88</v>
      </c>
      <c r="I104" s="1782">
        <f>D79</f>
        <v>30</v>
      </c>
      <c r="J104" s="1788">
        <f t="shared" ref="J104:K111" si="3">D35</f>
        <v>19.100000000000001</v>
      </c>
      <c r="K104" s="1005">
        <f t="shared" si="3"/>
        <v>890</v>
      </c>
      <c r="L104" s="1005">
        <f t="shared" ref="L104:L111" si="4">G35</f>
        <v>2425</v>
      </c>
      <c r="M104" s="750">
        <f>$C$46</f>
        <v>0.80700000000000005</v>
      </c>
      <c r="N104" s="1789">
        <f t="shared" ref="N104:N111" si="5">D49</f>
        <v>77</v>
      </c>
      <c r="O104" s="1751">
        <f>D59</f>
        <v>0.27</v>
      </c>
      <c r="P104" s="1790">
        <f t="shared" ref="P104:P111" si="6">F104*J104*(K104/M104)*L104*G104/100000</f>
        <v>21164.275721177364</v>
      </c>
      <c r="Q104" s="1791">
        <f t="shared" ref="Q104:Q111" si="7">F104*H104</f>
        <v>4138.2846710526319</v>
      </c>
      <c r="R104" s="1792">
        <f>F104/O104</f>
        <v>153.45394736842104</v>
      </c>
      <c r="S104" s="1793">
        <f>R104*I104</f>
        <v>4603.6184210526317</v>
      </c>
      <c r="T104" s="1794">
        <f>S104+Q104</f>
        <v>8741.9030921052636</v>
      </c>
      <c r="U104" s="1753">
        <f t="shared" ref="U104:U111" si="8">N104*F104</f>
        <v>3190.3075657894738</v>
      </c>
      <c r="V104" s="796"/>
    </row>
    <row r="105" spans="1:26" x14ac:dyDescent="0.35">
      <c r="B105" s="774" t="s">
        <v>2611</v>
      </c>
      <c r="C105" s="995" t="s">
        <v>2622</v>
      </c>
      <c r="D105" s="895">
        <f t="shared" ref="D105:G111" si="9">D90</f>
        <v>0.12171052631578948</v>
      </c>
      <c r="E105" s="967">
        <f t="shared" si="9"/>
        <v>18.925986842105264</v>
      </c>
      <c r="F105" s="967">
        <f t="shared" si="9"/>
        <v>227.11184210526318</v>
      </c>
      <c r="G105" s="1749">
        <f t="shared" si="9"/>
        <v>1</v>
      </c>
      <c r="H105" s="879">
        <f t="shared" si="2"/>
        <v>99.88</v>
      </c>
      <c r="I105" s="1782">
        <f>D79</f>
        <v>30</v>
      </c>
      <c r="J105" s="1788">
        <f t="shared" si="3"/>
        <v>6.9</v>
      </c>
      <c r="K105" s="1005">
        <f t="shared" si="3"/>
        <v>951</v>
      </c>
      <c r="L105" s="1005">
        <f t="shared" si="4"/>
        <v>8282</v>
      </c>
      <c r="M105" s="750">
        <f t="shared" ref="M105:M111" si="10">$C$46</f>
        <v>0.80700000000000005</v>
      </c>
      <c r="N105" s="1789">
        <f t="shared" si="5"/>
        <v>77</v>
      </c>
      <c r="O105" s="1751">
        <f t="shared" ref="O105:O110" si="11">D60</f>
        <v>0.16</v>
      </c>
      <c r="P105" s="1790">
        <f t="shared" si="6"/>
        <v>152943.51919648799</v>
      </c>
      <c r="Q105" s="1791">
        <f t="shared" si="7"/>
        <v>22683.930789473685</v>
      </c>
      <c r="R105" s="1792">
        <f t="shared" ref="R105:R110" si="12">F105/O105</f>
        <v>1419.4490131578948</v>
      </c>
      <c r="S105" s="1793">
        <f t="shared" ref="S105:S111" si="13">R105*I105</f>
        <v>42583.470394736847</v>
      </c>
      <c r="T105" s="1794">
        <f t="shared" ref="T105:T111" si="14">S105+Q105</f>
        <v>65267.401184210532</v>
      </c>
      <c r="U105" s="1753">
        <f t="shared" si="8"/>
        <v>17487.611842105263</v>
      </c>
      <c r="V105" s="796"/>
    </row>
    <row r="106" spans="1:26" x14ac:dyDescent="0.35">
      <c r="B106" s="774" t="s">
        <v>2612</v>
      </c>
      <c r="C106" s="995" t="s">
        <v>2613</v>
      </c>
      <c r="D106" s="895">
        <f t="shared" si="9"/>
        <v>5.2631578947368418E-2</v>
      </c>
      <c r="E106" s="967">
        <f t="shared" si="9"/>
        <v>8.1842105263157894</v>
      </c>
      <c r="F106" s="967">
        <f t="shared" si="9"/>
        <v>98.21052631578948</v>
      </c>
      <c r="G106" s="1749">
        <f t="shared" si="9"/>
        <v>1</v>
      </c>
      <c r="H106" s="879">
        <f t="shared" si="2"/>
        <v>99.88</v>
      </c>
      <c r="I106" s="1782">
        <f>D80</f>
        <v>50</v>
      </c>
      <c r="J106" s="1788">
        <f t="shared" si="3"/>
        <v>6.5</v>
      </c>
      <c r="K106" s="1005">
        <f t="shared" si="3"/>
        <v>944</v>
      </c>
      <c r="L106" s="1005">
        <f t="shared" si="4"/>
        <v>8282</v>
      </c>
      <c r="M106" s="750">
        <f t="shared" si="10"/>
        <v>0.80700000000000005</v>
      </c>
      <c r="N106" s="1789">
        <f t="shared" si="5"/>
        <v>180</v>
      </c>
      <c r="O106" s="1751">
        <f t="shared" si="11"/>
        <v>0.16</v>
      </c>
      <c r="P106" s="1790">
        <f t="shared" si="6"/>
        <v>61845.069348464101</v>
      </c>
      <c r="Q106" s="1791">
        <f t="shared" si="7"/>
        <v>9809.2673684210531</v>
      </c>
      <c r="R106" s="1792">
        <f t="shared" si="12"/>
        <v>613.81578947368428</v>
      </c>
      <c r="S106" s="1793">
        <f t="shared" si="13"/>
        <v>30690.789473684214</v>
      </c>
      <c r="T106" s="1794">
        <f t="shared" si="14"/>
        <v>40500.056842105267</v>
      </c>
      <c r="U106" s="1753">
        <f t="shared" si="8"/>
        <v>17677.894736842107</v>
      </c>
      <c r="V106" s="796"/>
    </row>
    <row r="107" spans="1:26" x14ac:dyDescent="0.35">
      <c r="B107" s="774" t="s">
        <v>2612</v>
      </c>
      <c r="C107" s="995" t="s">
        <v>2614</v>
      </c>
      <c r="D107" s="895">
        <f t="shared" si="9"/>
        <v>0.19490131578947367</v>
      </c>
      <c r="E107" s="967">
        <f t="shared" si="9"/>
        <v>30.307154605263158</v>
      </c>
      <c r="F107" s="967">
        <f t="shared" si="9"/>
        <v>363.68585526315792</v>
      </c>
      <c r="G107" s="1749">
        <f t="shared" si="9"/>
        <v>1</v>
      </c>
      <c r="H107" s="879">
        <f t="shared" si="2"/>
        <v>149.88</v>
      </c>
      <c r="I107" s="1782">
        <f>D80</f>
        <v>50</v>
      </c>
      <c r="J107" s="1788">
        <f t="shared" si="3"/>
        <v>23.4</v>
      </c>
      <c r="K107" s="1005">
        <f t="shared" si="3"/>
        <v>915</v>
      </c>
      <c r="L107" s="1005">
        <f t="shared" si="4"/>
        <v>8282</v>
      </c>
      <c r="M107" s="750">
        <f t="shared" si="10"/>
        <v>0.80700000000000005</v>
      </c>
      <c r="N107" s="1789">
        <f t="shared" si="5"/>
        <v>223</v>
      </c>
      <c r="O107" s="1751">
        <f t="shared" si="11"/>
        <v>0.16</v>
      </c>
      <c r="P107" s="1790">
        <f t="shared" si="6"/>
        <v>799144.01894895814</v>
      </c>
      <c r="Q107" s="1791">
        <f t="shared" si="7"/>
        <v>54509.235986842104</v>
      </c>
      <c r="R107" s="1792">
        <f t="shared" si="12"/>
        <v>2273.0365953947371</v>
      </c>
      <c r="S107" s="1793">
        <f t="shared" si="13"/>
        <v>113651.82976973685</v>
      </c>
      <c r="T107" s="1794">
        <f t="shared" si="14"/>
        <v>168161.06575657896</v>
      </c>
      <c r="U107" s="1753">
        <f t="shared" si="8"/>
        <v>81101.945723684214</v>
      </c>
      <c r="V107" s="796"/>
    </row>
    <row r="108" spans="1:26" x14ac:dyDescent="0.35">
      <c r="B108" s="774" t="s">
        <v>2615</v>
      </c>
      <c r="C108" s="995" t="s">
        <v>2616</v>
      </c>
      <c r="D108" s="895">
        <f t="shared" si="9"/>
        <v>0.10032894736842106</v>
      </c>
      <c r="E108" s="967">
        <f t="shared" si="9"/>
        <v>15.601151315789474</v>
      </c>
      <c r="F108" s="967">
        <f t="shared" si="9"/>
        <v>187.2138157894737</v>
      </c>
      <c r="G108" s="1749">
        <f t="shared" si="9"/>
        <v>1</v>
      </c>
      <c r="H108" s="879">
        <f t="shared" si="2"/>
        <v>199.88</v>
      </c>
      <c r="I108" s="1782">
        <f>D80</f>
        <v>50</v>
      </c>
      <c r="J108" s="1788">
        <f t="shared" si="3"/>
        <v>43.8</v>
      </c>
      <c r="K108" s="1005">
        <f t="shared" si="3"/>
        <v>880</v>
      </c>
      <c r="L108" s="1005">
        <f t="shared" si="4"/>
        <v>8282</v>
      </c>
      <c r="M108" s="750">
        <f t="shared" si="10"/>
        <v>0.80700000000000005</v>
      </c>
      <c r="N108" s="1789">
        <f t="shared" si="5"/>
        <v>276</v>
      </c>
      <c r="O108" s="1751">
        <f t="shared" si="11"/>
        <v>0.16</v>
      </c>
      <c r="P108" s="1790">
        <f t="shared" si="6"/>
        <v>740553.38133046357</v>
      </c>
      <c r="Q108" s="1791">
        <f t="shared" si="7"/>
        <v>37420.297500000001</v>
      </c>
      <c r="R108" s="1792">
        <f t="shared" si="12"/>
        <v>1170.0863486842106</v>
      </c>
      <c r="S108" s="1793">
        <f t="shared" si="13"/>
        <v>58504.317434210534</v>
      </c>
      <c r="T108" s="1794">
        <f t="shared" si="14"/>
        <v>95924.614934210535</v>
      </c>
      <c r="U108" s="1753">
        <f t="shared" si="8"/>
        <v>51671.01315789474</v>
      </c>
      <c r="V108" s="796"/>
    </row>
    <row r="109" spans="1:26" x14ac:dyDescent="0.35">
      <c r="B109" s="774" t="s">
        <v>2615</v>
      </c>
      <c r="C109" s="995" t="s">
        <v>2617</v>
      </c>
      <c r="D109" s="895">
        <f t="shared" si="9"/>
        <v>9.1282894736842105E-2</v>
      </c>
      <c r="E109" s="967">
        <f t="shared" si="9"/>
        <v>14.194490131578947</v>
      </c>
      <c r="F109" s="967">
        <f t="shared" si="9"/>
        <v>170.33388157894737</v>
      </c>
      <c r="G109" s="1749">
        <f>G94</f>
        <v>1</v>
      </c>
      <c r="H109" s="879">
        <f t="shared" si="2"/>
        <v>299.88</v>
      </c>
      <c r="I109" s="1782">
        <f>D80</f>
        <v>50</v>
      </c>
      <c r="J109" s="1788">
        <f t="shared" si="3"/>
        <v>60.9</v>
      </c>
      <c r="K109" s="1005">
        <f t="shared" si="3"/>
        <v>859</v>
      </c>
      <c r="L109" s="1005">
        <f t="shared" si="4"/>
        <v>8282</v>
      </c>
      <c r="M109" s="750">
        <f t="shared" si="10"/>
        <v>0.80700000000000005</v>
      </c>
      <c r="N109" s="1789">
        <f t="shared" si="5"/>
        <v>322</v>
      </c>
      <c r="O109" s="1751">
        <f t="shared" si="11"/>
        <v>0.16</v>
      </c>
      <c r="P109" s="1790">
        <f t="shared" si="6"/>
        <v>914477.85101241199</v>
      </c>
      <c r="Q109" s="1791">
        <f t="shared" si="7"/>
        <v>51079.724407894733</v>
      </c>
      <c r="R109" s="1792">
        <f t="shared" si="12"/>
        <v>1064.586759868421</v>
      </c>
      <c r="S109" s="1793">
        <f t="shared" si="13"/>
        <v>53229.337993421053</v>
      </c>
      <c r="T109" s="1794">
        <f t="shared" si="14"/>
        <v>104309.06240131578</v>
      </c>
      <c r="U109" s="1753">
        <f t="shared" si="8"/>
        <v>54847.509868421053</v>
      </c>
      <c r="V109" s="796"/>
    </row>
    <row r="110" spans="1:26" x14ac:dyDescent="0.35">
      <c r="B110" s="774" t="s">
        <v>2615</v>
      </c>
      <c r="C110" s="995" t="s">
        <v>2618</v>
      </c>
      <c r="D110" s="895">
        <f t="shared" si="9"/>
        <v>0.41694078947368424</v>
      </c>
      <c r="E110" s="967">
        <f t="shared" si="9"/>
        <v>64.834292763157904</v>
      </c>
      <c r="F110" s="967">
        <f t="shared" si="9"/>
        <v>778.0115131578948</v>
      </c>
      <c r="G110" s="1749">
        <f>G95</f>
        <v>1</v>
      </c>
      <c r="H110" s="879">
        <f t="shared" si="2"/>
        <v>399.88</v>
      </c>
      <c r="I110" s="1782">
        <f>D80</f>
        <v>50</v>
      </c>
      <c r="J110" s="1788">
        <f t="shared" si="3"/>
        <v>82.1</v>
      </c>
      <c r="K110" s="1005">
        <f t="shared" si="3"/>
        <v>837</v>
      </c>
      <c r="L110" s="1005">
        <f t="shared" si="4"/>
        <v>8282</v>
      </c>
      <c r="M110" s="750">
        <f t="shared" si="10"/>
        <v>0.80700000000000005</v>
      </c>
      <c r="N110" s="1789">
        <f t="shared" si="5"/>
        <v>370</v>
      </c>
      <c r="O110" s="1751">
        <f t="shared" si="11"/>
        <v>0.16</v>
      </c>
      <c r="P110" s="1790">
        <f t="shared" si="6"/>
        <v>5486764.6304525649</v>
      </c>
      <c r="Q110" s="1791">
        <f t="shared" si="7"/>
        <v>311111.24388157896</v>
      </c>
      <c r="R110" s="1792">
        <f t="shared" si="12"/>
        <v>4862.5719572368425</v>
      </c>
      <c r="S110" s="1793">
        <f t="shared" si="13"/>
        <v>243128.59786184214</v>
      </c>
      <c r="T110" s="1794">
        <f t="shared" si="14"/>
        <v>554239.84174342104</v>
      </c>
      <c r="U110" s="1753">
        <f t="shared" si="8"/>
        <v>287864.25986842107</v>
      </c>
      <c r="V110" s="796"/>
    </row>
    <row r="111" spans="1:26" ht="15" thickBot="1" x14ac:dyDescent="0.4">
      <c r="B111" s="776" t="s">
        <v>2615</v>
      </c>
      <c r="C111" s="1725" t="s">
        <v>2619</v>
      </c>
      <c r="D111" s="744">
        <f t="shared" si="9"/>
        <v>0</v>
      </c>
      <c r="E111" s="1745">
        <f t="shared" si="9"/>
        <v>0</v>
      </c>
      <c r="F111" s="1745">
        <f>F96</f>
        <v>0</v>
      </c>
      <c r="G111" s="1754">
        <f>G96</f>
        <v>1</v>
      </c>
      <c r="H111" s="1795">
        <f t="shared" si="2"/>
        <v>500</v>
      </c>
      <c r="I111" s="1637">
        <f>D80</f>
        <v>50</v>
      </c>
      <c r="J111" s="1796">
        <f t="shared" si="3"/>
        <v>105.2</v>
      </c>
      <c r="K111" s="1797">
        <f t="shared" si="3"/>
        <v>816</v>
      </c>
      <c r="L111" s="1797">
        <f t="shared" si="4"/>
        <v>8282</v>
      </c>
      <c r="M111" s="766">
        <f t="shared" si="10"/>
        <v>0.80700000000000005</v>
      </c>
      <c r="N111" s="1798">
        <f t="shared" si="5"/>
        <v>418</v>
      </c>
      <c r="O111" s="1756">
        <f>D66</f>
        <v>0.16</v>
      </c>
      <c r="P111" s="1799">
        <f t="shared" si="6"/>
        <v>0</v>
      </c>
      <c r="Q111" s="1800">
        <f t="shared" si="7"/>
        <v>0</v>
      </c>
      <c r="R111" s="1801">
        <f>F111/O111</f>
        <v>0</v>
      </c>
      <c r="S111" s="1802">
        <f t="shared" si="13"/>
        <v>0</v>
      </c>
      <c r="T111" s="1803">
        <f t="shared" si="14"/>
        <v>0</v>
      </c>
      <c r="U111" s="1758">
        <f t="shared" si="8"/>
        <v>0</v>
      </c>
      <c r="V111" s="796"/>
    </row>
    <row r="112" spans="1:26" x14ac:dyDescent="0.35">
      <c r="B112" s="898" t="s">
        <v>284</v>
      </c>
      <c r="E112" s="1759">
        <f>SUM(E104:E111)</f>
        <v>155.5</v>
      </c>
      <c r="F112" s="1759">
        <f>SUM(F104:F111)</f>
        <v>1866</v>
      </c>
      <c r="G112" s="1760"/>
      <c r="J112" s="1761"/>
      <c r="K112" s="1762"/>
      <c r="L112" s="1763"/>
      <c r="M112" s="1763"/>
      <c r="N112" s="1763"/>
      <c r="O112" s="1763"/>
      <c r="P112" s="1804">
        <f t="shared" ref="P112:U112" si="15">SUM(P104:P111)</f>
        <v>8176892.7460105279</v>
      </c>
      <c r="Q112" s="1764">
        <f t="shared" si="15"/>
        <v>490751.98460526316</v>
      </c>
      <c r="R112" s="1765">
        <f t="shared" si="15"/>
        <v>11557.00041118421</v>
      </c>
      <c r="S112" s="1764">
        <f t="shared" si="15"/>
        <v>546391.96134868427</v>
      </c>
      <c r="T112" s="1764">
        <f t="shared" si="15"/>
        <v>1037143.9459539474</v>
      </c>
      <c r="U112" s="1764">
        <f t="shared" si="15"/>
        <v>513840.54276315792</v>
      </c>
      <c r="V112" s="796"/>
    </row>
    <row r="113" spans="2:17" x14ac:dyDescent="0.35">
      <c r="B113" s="698"/>
      <c r="C113" s="698"/>
      <c r="J113" s="1766"/>
      <c r="L113" s="853"/>
    </row>
    <row r="114" spans="2:17" ht="15" thickBot="1" x14ac:dyDescent="0.4"/>
    <row r="115" spans="2:17" ht="58.5" thickBot="1" x14ac:dyDescent="0.4">
      <c r="P115" s="1805" t="s">
        <v>2544</v>
      </c>
      <c r="Q115" s="1806">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F0"/>
    <pageSetUpPr fitToPage="1"/>
  </sheetPr>
  <dimension ref="A1:Z115"/>
  <sheetViews>
    <sheetView zoomScale="70" zoomScaleNormal="70" workbookViewId="0"/>
  </sheetViews>
  <sheetFormatPr defaultColWidth="9.1796875" defaultRowHeight="14.5" x14ac:dyDescent="0.35"/>
  <cols>
    <col min="1" max="1" width="9.1796875" style="675"/>
    <col min="2" max="2" width="30.453125" style="675" customWidth="1"/>
    <col min="3" max="3" width="20" style="675" customWidth="1"/>
    <col min="4" max="4" width="13.81640625" style="675" customWidth="1"/>
    <col min="5" max="5" width="23.54296875" style="675" customWidth="1"/>
    <col min="6" max="7" width="13.81640625" style="675" customWidth="1"/>
    <col min="8" max="8" width="25.54296875" style="675" customWidth="1"/>
    <col min="9" max="17" width="13.81640625" style="675" customWidth="1"/>
    <col min="18" max="20" width="15.453125" style="675" customWidth="1"/>
    <col min="21" max="21" width="13" style="675" customWidth="1"/>
    <col min="22" max="22" width="10.81640625" style="675" customWidth="1"/>
    <col min="23" max="23" width="10.26953125" style="675" customWidth="1"/>
    <col min="24" max="28" width="9.7265625" style="675" customWidth="1"/>
    <col min="29" max="29" width="10.7265625" style="675" customWidth="1"/>
    <col min="30" max="30" width="12.26953125" style="675" customWidth="1"/>
    <col min="31" max="31" width="9.81640625" style="675" customWidth="1"/>
    <col min="32" max="32" width="10.26953125" style="675" customWidth="1"/>
    <col min="33" max="33" width="10.1796875" style="675" customWidth="1"/>
    <col min="34" max="16384" width="9.1796875" style="675"/>
  </cols>
  <sheetData>
    <row r="1" spans="1:9" ht="21" x14ac:dyDescent="0.5">
      <c r="A1" s="674" t="s">
        <v>2601</v>
      </c>
    </row>
    <row r="3" spans="1:9" ht="21" x14ac:dyDescent="0.5">
      <c r="A3" s="704" t="s">
        <v>2602</v>
      </c>
    </row>
    <row r="4" spans="1:9" ht="15" thickBot="1" x14ac:dyDescent="0.4">
      <c r="B4" s="675" t="s">
        <v>2603</v>
      </c>
      <c r="E4" s="680" t="s">
        <v>2604</v>
      </c>
      <c r="H4" s="675" t="s">
        <v>2605</v>
      </c>
    </row>
    <row r="5" spans="1:9" x14ac:dyDescent="0.35">
      <c r="B5" s="678" t="s">
        <v>1947</v>
      </c>
      <c r="C5" s="679">
        <f>E97</f>
        <v>155.5</v>
      </c>
      <c r="D5" s="680"/>
      <c r="E5" s="678" t="s">
        <v>1947</v>
      </c>
      <c r="F5" s="679">
        <f>E97</f>
        <v>155.5</v>
      </c>
      <c r="H5" s="678" t="s">
        <v>1947</v>
      </c>
      <c r="I5" s="679">
        <f>E97</f>
        <v>155.5</v>
      </c>
    </row>
    <row r="6" spans="1:9" x14ac:dyDescent="0.35">
      <c r="B6" s="1013" t="s">
        <v>2537</v>
      </c>
      <c r="C6" s="1715">
        <f>F112</f>
        <v>1866</v>
      </c>
      <c r="D6" s="680"/>
      <c r="E6" s="1013" t="s">
        <v>2537</v>
      </c>
      <c r="F6" s="1715">
        <f>R112</f>
        <v>11557.00041118421</v>
      </c>
      <c r="H6" s="1013" t="s">
        <v>2537</v>
      </c>
      <c r="I6" s="1715" t="s">
        <v>1271</v>
      </c>
    </row>
    <row r="7" spans="1:9" x14ac:dyDescent="0.35">
      <c r="B7" s="681" t="s">
        <v>1950</v>
      </c>
      <c r="C7" s="684">
        <v>0</v>
      </c>
      <c r="D7" s="683"/>
      <c r="E7" s="681" t="s">
        <v>1950</v>
      </c>
      <c r="F7" s="684">
        <v>0</v>
      </c>
      <c r="H7" s="681" t="s">
        <v>1950</v>
      </c>
      <c r="I7" s="684">
        <v>0</v>
      </c>
    </row>
    <row r="8" spans="1:9" x14ac:dyDescent="0.35">
      <c r="B8" s="1013" t="s">
        <v>1951</v>
      </c>
      <c r="C8" s="1014">
        <v>0</v>
      </c>
      <c r="D8" s="683"/>
      <c r="E8" s="1013" t="s">
        <v>1951</v>
      </c>
      <c r="F8" s="1014">
        <v>0</v>
      </c>
      <c r="H8" s="1013" t="s">
        <v>1951</v>
      </c>
      <c r="I8" s="1014">
        <v>0</v>
      </c>
    </row>
    <row r="9" spans="1:9" x14ac:dyDescent="0.35">
      <c r="B9" s="681" t="s">
        <v>1952</v>
      </c>
      <c r="C9" s="684">
        <f>P112</f>
        <v>8176892.7460105279</v>
      </c>
      <c r="D9" s="683"/>
      <c r="E9" s="681" t="s">
        <v>1952</v>
      </c>
      <c r="F9" s="684">
        <v>0</v>
      </c>
      <c r="H9" s="681" t="s">
        <v>1952</v>
      </c>
      <c r="I9" s="684">
        <f>P112</f>
        <v>8176892.7460105279</v>
      </c>
    </row>
    <row r="10" spans="1:9" x14ac:dyDescent="0.35">
      <c r="B10" s="1013" t="s">
        <v>1953</v>
      </c>
      <c r="C10" s="1015">
        <f>Q112</f>
        <v>490975.9046052632</v>
      </c>
      <c r="D10" s="686"/>
      <c r="E10" s="1013" t="s">
        <v>1953</v>
      </c>
      <c r="F10" s="1015">
        <f>S112</f>
        <v>546391.96134868427</v>
      </c>
      <c r="H10" s="1013" t="s">
        <v>1953</v>
      </c>
      <c r="I10" s="1015">
        <f>T112</f>
        <v>1037367.8659539474</v>
      </c>
    </row>
    <row r="11" spans="1:9" x14ac:dyDescent="0.35">
      <c r="B11" s="681" t="s">
        <v>2538</v>
      </c>
      <c r="C11" s="687">
        <f>C7/$C$6</f>
        <v>0</v>
      </c>
      <c r="D11" s="686"/>
      <c r="E11" s="681" t="s">
        <v>2538</v>
      </c>
      <c r="F11" s="687">
        <f>F7/$C$6</f>
        <v>0</v>
      </c>
      <c r="H11" s="681" t="s">
        <v>2538</v>
      </c>
      <c r="I11" s="687">
        <f>I7/$C$6</f>
        <v>0</v>
      </c>
    </row>
    <row r="12" spans="1:9" x14ac:dyDescent="0.35">
      <c r="B12" s="1013" t="s">
        <v>2539</v>
      </c>
      <c r="C12" s="1016">
        <f>C8/$C$6</f>
        <v>0</v>
      </c>
      <c r="D12" s="686"/>
      <c r="E12" s="1013" t="s">
        <v>2539</v>
      </c>
      <c r="F12" s="1016">
        <f>F8/$C$6</f>
        <v>0</v>
      </c>
      <c r="H12" s="1013" t="s">
        <v>2539</v>
      </c>
      <c r="I12" s="1016">
        <f>I8/$C$6</f>
        <v>0</v>
      </c>
    </row>
    <row r="13" spans="1:9" x14ac:dyDescent="0.35">
      <c r="B13" s="681" t="s">
        <v>2540</v>
      </c>
      <c r="C13" s="687">
        <f>C9/C6</f>
        <v>4382.0432722457281</v>
      </c>
      <c r="D13" s="686"/>
      <c r="E13" s="681" t="s">
        <v>2540</v>
      </c>
      <c r="F13" s="687">
        <f>F9/F6</f>
        <v>0</v>
      </c>
      <c r="H13" s="681" t="s">
        <v>2540</v>
      </c>
      <c r="I13" s="687" t="s">
        <v>1271</v>
      </c>
    </row>
    <row r="14" spans="1:9" x14ac:dyDescent="0.35">
      <c r="B14" s="1013" t="s">
        <v>2187</v>
      </c>
      <c r="C14" s="1017">
        <f>C10/C9</f>
        <v>6.0044312657128625E-2</v>
      </c>
      <c r="D14" s="690"/>
      <c r="E14" s="1013" t="s">
        <v>2187</v>
      </c>
      <c r="F14" s="1017" t="s">
        <v>1271</v>
      </c>
      <c r="H14" s="1013" t="s">
        <v>2187</v>
      </c>
      <c r="I14" s="1017">
        <f>I10/I9</f>
        <v>0.12686577874707661</v>
      </c>
    </row>
    <row r="15" spans="1:9" ht="15" thickBot="1" x14ac:dyDescent="0.4">
      <c r="B15" s="1018" t="s">
        <v>2111</v>
      </c>
      <c r="C15" s="1019">
        <f>U112</f>
        <v>513840.54276315792</v>
      </c>
      <c r="D15" s="706"/>
      <c r="E15" s="1018" t="s">
        <v>2111</v>
      </c>
      <c r="F15" s="1019">
        <f>X112</f>
        <v>0</v>
      </c>
      <c r="H15" s="1018" t="s">
        <v>2111</v>
      </c>
      <c r="I15" s="1019">
        <f>U112</f>
        <v>513840.54276315792</v>
      </c>
    </row>
    <row r="16" spans="1:9" x14ac:dyDescent="0.35">
      <c r="B16" s="694" t="s">
        <v>1961</v>
      </c>
      <c r="C16" s="695"/>
      <c r="D16" s="696"/>
      <c r="E16" s="680"/>
      <c r="F16" s="696"/>
    </row>
    <row r="17" spans="1:11" ht="15" thickBot="1" x14ac:dyDescent="0.4">
      <c r="C17" s="694"/>
      <c r="D17" s="696"/>
      <c r="E17" s="680"/>
      <c r="F17" s="696"/>
    </row>
    <row r="18" spans="1:11" x14ac:dyDescent="0.35">
      <c r="B18" s="1020" t="s">
        <v>2063</v>
      </c>
      <c r="C18" s="1716">
        <v>0.89</v>
      </c>
      <c r="D18" s="680"/>
      <c r="E18" s="698"/>
      <c r="F18" s="680"/>
      <c r="H18" s="1020" t="s">
        <v>2063</v>
      </c>
      <c r="I18" s="1716">
        <v>0.89</v>
      </c>
    </row>
    <row r="19" spans="1:11" x14ac:dyDescent="0.35">
      <c r="B19" s="1021" t="s">
        <v>1965</v>
      </c>
      <c r="C19" s="1022">
        <v>0</v>
      </c>
      <c r="D19" s="683"/>
      <c r="E19" s="683"/>
      <c r="F19" s="683"/>
      <c r="H19" s="1021" t="s">
        <v>1965</v>
      </c>
      <c r="I19" s="1022">
        <v>0</v>
      </c>
    </row>
    <row r="20" spans="1:11" x14ac:dyDescent="0.35">
      <c r="B20" s="1023" t="s">
        <v>1966</v>
      </c>
      <c r="C20" s="1024">
        <v>0</v>
      </c>
      <c r="D20" s="700"/>
      <c r="E20" s="700"/>
      <c r="F20" s="683"/>
      <c r="H20" s="1023" t="s">
        <v>1966</v>
      </c>
      <c r="I20" s="1024">
        <v>0</v>
      </c>
    </row>
    <row r="21" spans="1:11" x14ac:dyDescent="0.35">
      <c r="B21" s="1021" t="s">
        <v>1967</v>
      </c>
      <c r="C21" s="1022">
        <f>C18*C9</f>
        <v>7277434.5439493703</v>
      </c>
      <c r="D21" s="683"/>
      <c r="E21" s="701"/>
      <c r="F21" s="683"/>
      <c r="H21" s="1021" t="s">
        <v>1967</v>
      </c>
      <c r="I21" s="1022">
        <f>I18*I9</f>
        <v>7277434.5439493703</v>
      </c>
    </row>
    <row r="22" spans="1:11" x14ac:dyDescent="0.35">
      <c r="B22" s="1023" t="s">
        <v>1969</v>
      </c>
      <c r="C22" s="1717">
        <f>C10/C21</f>
        <v>6.746551983947037E-2</v>
      </c>
      <c r="D22" s="690"/>
      <c r="E22" s="690"/>
      <c r="F22" s="690"/>
      <c r="H22" s="1023" t="s">
        <v>1969</v>
      </c>
      <c r="I22" s="1717">
        <f>I10/I21</f>
        <v>0.14254581881694001</v>
      </c>
    </row>
    <row r="23" spans="1:11" ht="15" thickBot="1" x14ac:dyDescent="0.4">
      <c r="B23" s="1025" t="s">
        <v>1970</v>
      </c>
      <c r="C23" s="1026">
        <v>6</v>
      </c>
      <c r="D23" s="680"/>
      <c r="E23" s="680"/>
      <c r="F23" s="680"/>
      <c r="H23" s="1025" t="s">
        <v>1970</v>
      </c>
      <c r="I23" s="1026">
        <v>6</v>
      </c>
    </row>
    <row r="24" spans="1:11" x14ac:dyDescent="0.35">
      <c r="B24" s="703"/>
      <c r="C24" s="703"/>
    </row>
    <row r="25" spans="1:11" ht="21" x14ac:dyDescent="0.5">
      <c r="A25" s="704" t="s">
        <v>1971</v>
      </c>
      <c r="B25" s="703"/>
      <c r="C25" s="703"/>
    </row>
    <row r="26" spans="1:11" ht="15" customHeight="1" thickBot="1" x14ac:dyDescent="0.4"/>
    <row r="27" spans="1:11" ht="29" x14ac:dyDescent="0.35">
      <c r="B27" s="1770" t="s">
        <v>2606</v>
      </c>
      <c r="C27" s="1771">
        <f>Q115</f>
        <v>52584.51926694873</v>
      </c>
      <c r="H27" s="1770" t="s">
        <v>2606</v>
      </c>
      <c r="I27" s="1771">
        <f>I9/I5</f>
        <v>52584.51926694873</v>
      </c>
      <c r="J27" s="698"/>
      <c r="K27" s="698"/>
    </row>
    <row r="28" spans="1:11" ht="29" x14ac:dyDescent="0.35">
      <c r="B28" s="1772" t="s">
        <v>2607</v>
      </c>
      <c r="C28" s="688">
        <f>C10/C5</f>
        <v>3157.4013157894738</v>
      </c>
      <c r="H28" s="1772" t="s">
        <v>2607</v>
      </c>
      <c r="I28" s="688">
        <f>I10/I5</f>
        <v>6671.1759868421059</v>
      </c>
      <c r="J28" s="698"/>
      <c r="K28" s="698"/>
    </row>
    <row r="29" spans="1:11" ht="29.5" thickBot="1" x14ac:dyDescent="0.4">
      <c r="B29" s="1773" t="s">
        <v>2179</v>
      </c>
      <c r="C29" s="1774">
        <f>C15/C5</f>
        <v>3304.4407894736842</v>
      </c>
      <c r="H29" s="1773" t="s">
        <v>2179</v>
      </c>
      <c r="I29" s="1774">
        <f>I15/I5</f>
        <v>3304.4407894736842</v>
      </c>
      <c r="J29" s="698"/>
      <c r="K29" s="698"/>
    </row>
    <row r="30" spans="1:11" x14ac:dyDescent="0.35">
      <c r="B30" s="703"/>
      <c r="C30" s="703"/>
      <c r="E30" s="675" t="s">
        <v>2608</v>
      </c>
    </row>
    <row r="31" spans="1:11" ht="21" x14ac:dyDescent="0.5">
      <c r="A31" s="704" t="s">
        <v>1977</v>
      </c>
    </row>
    <row r="33" spans="2:20" ht="18" customHeight="1" thickBot="1" x14ac:dyDescent="0.4"/>
    <row r="34" spans="2:20" ht="60" customHeight="1" x14ac:dyDescent="0.35">
      <c r="B34" s="772" t="s">
        <v>2555</v>
      </c>
      <c r="C34" s="1719" t="s">
        <v>2542</v>
      </c>
      <c r="D34" s="747" t="s">
        <v>2556</v>
      </c>
      <c r="E34" s="747" t="s">
        <v>2557</v>
      </c>
      <c r="F34" s="747" t="s">
        <v>2558</v>
      </c>
      <c r="G34" s="773" t="s">
        <v>2570</v>
      </c>
      <c r="K34" s="3004" t="s">
        <v>2609</v>
      </c>
      <c r="L34" s="3015"/>
      <c r="M34" s="3015"/>
      <c r="N34" s="3015"/>
      <c r="O34" s="3015"/>
      <c r="P34" s="3015"/>
      <c r="Q34" s="3015"/>
      <c r="R34" s="3005"/>
      <c r="S34" s="712"/>
      <c r="T34" s="712"/>
    </row>
    <row r="35" spans="2:20" x14ac:dyDescent="0.35">
      <c r="B35" s="774" t="s">
        <v>2610</v>
      </c>
      <c r="C35" s="995" t="s">
        <v>2550</v>
      </c>
      <c r="D35" s="1775">
        <v>19.100000000000001</v>
      </c>
      <c r="E35" s="1776">
        <v>890</v>
      </c>
      <c r="F35" s="1096">
        <v>0.27</v>
      </c>
      <c r="G35" s="721">
        <v>2425</v>
      </c>
      <c r="K35" s="946" t="s">
        <v>1981</v>
      </c>
      <c r="L35" s="698"/>
      <c r="M35" s="698"/>
      <c r="N35" s="698"/>
      <c r="O35" s="698"/>
      <c r="P35" s="698"/>
      <c r="Q35" s="698"/>
      <c r="R35" s="874"/>
      <c r="S35" s="698"/>
      <c r="T35" s="698"/>
    </row>
    <row r="36" spans="2:20" x14ac:dyDescent="0.35">
      <c r="B36" s="774" t="s">
        <v>2611</v>
      </c>
      <c r="C36" s="995" t="s">
        <v>2550</v>
      </c>
      <c r="D36" s="1775">
        <v>6.9</v>
      </c>
      <c r="E36" s="1776">
        <v>951</v>
      </c>
      <c r="F36" s="1096">
        <v>0.16</v>
      </c>
      <c r="G36" s="721">
        <v>8282</v>
      </c>
      <c r="K36" s="933" t="s">
        <v>2562</v>
      </c>
      <c r="L36" s="934"/>
      <c r="M36" s="934"/>
      <c r="N36" s="934"/>
      <c r="O36" s="934"/>
      <c r="P36" s="934"/>
      <c r="Q36" s="934"/>
      <c r="R36" s="935"/>
      <c r="S36" s="698"/>
      <c r="T36" s="698"/>
    </row>
    <row r="37" spans="2:20" x14ac:dyDescent="0.35">
      <c r="B37" s="774" t="s">
        <v>2612</v>
      </c>
      <c r="C37" s="995" t="s">
        <v>2613</v>
      </c>
      <c r="D37" s="1775">
        <v>6.5</v>
      </c>
      <c r="E37" s="1776">
        <v>944</v>
      </c>
      <c r="F37" s="1096">
        <v>0.16</v>
      </c>
      <c r="G37" s="721">
        <v>8282</v>
      </c>
      <c r="K37" s="873"/>
      <c r="L37" s="698"/>
      <c r="M37" s="698"/>
      <c r="N37" s="698"/>
      <c r="O37" s="698"/>
      <c r="P37" s="698"/>
      <c r="Q37" s="698"/>
      <c r="R37" s="874"/>
      <c r="S37" s="698"/>
      <c r="T37" s="698"/>
    </row>
    <row r="38" spans="2:20" x14ac:dyDescent="0.35">
      <c r="B38" s="774" t="s">
        <v>2612</v>
      </c>
      <c r="C38" s="995" t="s">
        <v>2614</v>
      </c>
      <c r="D38" s="1775">
        <v>23.4</v>
      </c>
      <c r="E38" s="1776">
        <v>915</v>
      </c>
      <c r="F38" s="1096">
        <v>0.16</v>
      </c>
      <c r="G38" s="721">
        <v>8282</v>
      </c>
      <c r="K38" s="869" t="s">
        <v>1990</v>
      </c>
      <c r="L38" s="870"/>
      <c r="M38" s="870"/>
      <c r="N38" s="870"/>
      <c r="O38" s="870"/>
      <c r="P38" s="870"/>
      <c r="Q38" s="870"/>
      <c r="R38" s="871"/>
      <c r="S38" s="698"/>
      <c r="T38" s="698"/>
    </row>
    <row r="39" spans="2:20" x14ac:dyDescent="0.35">
      <c r="B39" s="774" t="s">
        <v>2615</v>
      </c>
      <c r="C39" s="995" t="s">
        <v>2616</v>
      </c>
      <c r="D39" s="1775">
        <v>43.8</v>
      </c>
      <c r="E39" s="1776">
        <v>880</v>
      </c>
      <c r="F39" s="1096">
        <v>0.16</v>
      </c>
      <c r="G39" s="721">
        <v>8282</v>
      </c>
      <c r="K39" s="873" t="s">
        <v>2564</v>
      </c>
      <c r="L39" s="698" t="s">
        <v>1992</v>
      </c>
      <c r="M39" s="698" t="s">
        <v>2565</v>
      </c>
      <c r="N39" s="698"/>
      <c r="O39" s="698"/>
      <c r="P39" s="698"/>
      <c r="Q39" s="698"/>
      <c r="R39" s="874"/>
      <c r="S39" s="698"/>
      <c r="T39" s="698"/>
    </row>
    <row r="40" spans="2:20" x14ac:dyDescent="0.35">
      <c r="B40" s="774" t="s">
        <v>2615</v>
      </c>
      <c r="C40" s="995" t="s">
        <v>2617</v>
      </c>
      <c r="D40" s="1775">
        <v>60.9</v>
      </c>
      <c r="E40" s="1776">
        <v>859</v>
      </c>
      <c r="F40" s="1096">
        <v>0.16</v>
      </c>
      <c r="G40" s="721">
        <v>8282</v>
      </c>
      <c r="K40" s="873" t="s">
        <v>2567</v>
      </c>
      <c r="L40" s="698" t="s">
        <v>1992</v>
      </c>
      <c r="M40" s="698" t="s">
        <v>2568</v>
      </c>
      <c r="N40" s="698"/>
      <c r="O40" s="698"/>
      <c r="P40" s="698"/>
      <c r="Q40" s="698"/>
      <c r="R40" s="874"/>
      <c r="S40" s="698"/>
      <c r="T40" s="698"/>
    </row>
    <row r="41" spans="2:20" x14ac:dyDescent="0.35">
      <c r="B41" s="774" t="s">
        <v>2615</v>
      </c>
      <c r="C41" s="995" t="s">
        <v>2618</v>
      </c>
      <c r="D41" s="1775">
        <v>82.1</v>
      </c>
      <c r="E41" s="1776">
        <v>837</v>
      </c>
      <c r="F41" s="1096">
        <v>0.16</v>
      </c>
      <c r="G41" s="721">
        <v>8282</v>
      </c>
      <c r="K41" s="873" t="s">
        <v>293</v>
      </c>
      <c r="L41" s="698" t="s">
        <v>1992</v>
      </c>
      <c r="M41" s="698" t="s">
        <v>2569</v>
      </c>
      <c r="N41" s="698"/>
      <c r="O41" s="698"/>
      <c r="P41" s="698"/>
      <c r="Q41" s="698"/>
      <c r="R41" s="874"/>
      <c r="S41" s="698"/>
      <c r="T41" s="698"/>
    </row>
    <row r="42" spans="2:20" ht="15" thickBot="1" x14ac:dyDescent="0.4">
      <c r="B42" s="776" t="s">
        <v>2615</v>
      </c>
      <c r="C42" s="1725" t="s">
        <v>2619</v>
      </c>
      <c r="D42" s="1729">
        <v>105.2</v>
      </c>
      <c r="E42" s="1730">
        <v>816</v>
      </c>
      <c r="F42" s="1777">
        <v>0.16</v>
      </c>
      <c r="G42" s="961">
        <v>8282</v>
      </c>
      <c r="K42" s="873" t="s">
        <v>1395</v>
      </c>
      <c r="L42" s="698" t="s">
        <v>1992</v>
      </c>
      <c r="M42" s="698" t="s">
        <v>2571</v>
      </c>
      <c r="N42" s="698"/>
      <c r="O42" s="698"/>
      <c r="P42" s="698"/>
      <c r="Q42" s="698"/>
      <c r="R42" s="874"/>
      <c r="S42" s="698"/>
      <c r="T42" s="698"/>
    </row>
    <row r="43" spans="2:20" x14ac:dyDescent="0.35">
      <c r="C43" s="675" t="s">
        <v>2620</v>
      </c>
      <c r="F43" s="930" t="s">
        <v>2561</v>
      </c>
      <c r="K43" s="933" t="s">
        <v>496</v>
      </c>
      <c r="L43" s="934" t="s">
        <v>2112</v>
      </c>
      <c r="M43" s="934" t="s">
        <v>2572</v>
      </c>
      <c r="N43" s="934"/>
      <c r="O43" s="934"/>
      <c r="P43" s="934"/>
      <c r="Q43" s="934"/>
      <c r="R43" s="935"/>
      <c r="S43" s="698"/>
      <c r="T43" s="698"/>
    </row>
    <row r="44" spans="2:20" ht="15" thickBot="1" x14ac:dyDescent="0.4"/>
    <row r="45" spans="2:20" ht="29" x14ac:dyDescent="0.35">
      <c r="B45" s="772" t="s">
        <v>2555</v>
      </c>
      <c r="C45" s="773" t="s">
        <v>2563</v>
      </c>
    </row>
    <row r="46" spans="2:20" ht="15" thickBot="1" x14ac:dyDescent="0.4">
      <c r="B46" s="776" t="s">
        <v>2560</v>
      </c>
      <c r="C46" s="1733">
        <v>0.80700000000000005</v>
      </c>
    </row>
    <row r="47" spans="2:20" ht="15" thickBot="1" x14ac:dyDescent="0.4"/>
    <row r="48" spans="2:20" ht="29" x14ac:dyDescent="0.35">
      <c r="B48" s="1029" t="s">
        <v>2555</v>
      </c>
      <c r="C48" s="1719" t="s">
        <v>2542</v>
      </c>
      <c r="D48" s="773" t="s">
        <v>2621</v>
      </c>
    </row>
    <row r="49" spans="2:17" x14ac:dyDescent="0.35">
      <c r="B49" s="774" t="s">
        <v>2610</v>
      </c>
      <c r="C49" s="995" t="s">
        <v>2622</v>
      </c>
      <c r="D49" s="1778">
        <v>77</v>
      </c>
    </row>
    <row r="50" spans="2:17" x14ac:dyDescent="0.35">
      <c r="B50" s="774" t="s">
        <v>2611</v>
      </c>
      <c r="C50" s="995" t="s">
        <v>2622</v>
      </c>
      <c r="D50" s="1778">
        <v>77</v>
      </c>
    </row>
    <row r="51" spans="2:17" x14ac:dyDescent="0.35">
      <c r="B51" s="774" t="s">
        <v>2612</v>
      </c>
      <c r="C51" s="995" t="s">
        <v>2613</v>
      </c>
      <c r="D51" s="1778">
        <v>180</v>
      </c>
    </row>
    <row r="52" spans="2:17" x14ac:dyDescent="0.35">
      <c r="B52" s="774" t="s">
        <v>2612</v>
      </c>
      <c r="C52" s="995" t="s">
        <v>2614</v>
      </c>
      <c r="D52" s="1778">
        <v>223</v>
      </c>
    </row>
    <row r="53" spans="2:17" x14ac:dyDescent="0.35">
      <c r="B53" s="774" t="s">
        <v>2615</v>
      </c>
      <c r="C53" s="995" t="s">
        <v>2616</v>
      </c>
      <c r="D53" s="1778">
        <v>276</v>
      </c>
    </row>
    <row r="54" spans="2:17" x14ac:dyDescent="0.35">
      <c r="B54" s="774" t="s">
        <v>2615</v>
      </c>
      <c r="C54" s="995" t="s">
        <v>2617</v>
      </c>
      <c r="D54" s="1778">
        <v>322</v>
      </c>
    </row>
    <row r="55" spans="2:17" x14ac:dyDescent="0.35">
      <c r="B55" s="774" t="s">
        <v>2615</v>
      </c>
      <c r="C55" s="995" t="s">
        <v>2618</v>
      </c>
      <c r="D55" s="1778">
        <v>370</v>
      </c>
    </row>
    <row r="56" spans="2:17" ht="15" thickBot="1" x14ac:dyDescent="0.4">
      <c r="B56" s="776" t="s">
        <v>2615</v>
      </c>
      <c r="C56" s="1725" t="s">
        <v>2619</v>
      </c>
      <c r="D56" s="1779">
        <v>418</v>
      </c>
    </row>
    <row r="57" spans="2:17" ht="15" thickBot="1" x14ac:dyDescent="0.4">
      <c r="L57" s="698"/>
      <c r="M57" s="698"/>
      <c r="N57" s="698"/>
      <c r="O57" s="698"/>
      <c r="P57" s="698"/>
      <c r="Q57" s="698"/>
    </row>
    <row r="58" spans="2:17" ht="43.5" x14ac:dyDescent="0.35">
      <c r="B58" s="1029" t="s">
        <v>2555</v>
      </c>
      <c r="C58" s="1719" t="s">
        <v>2542</v>
      </c>
      <c r="D58" s="773" t="s">
        <v>2623</v>
      </c>
      <c r="L58" s="698"/>
      <c r="M58" s="698"/>
      <c r="N58" s="698"/>
      <c r="O58" s="698"/>
      <c r="P58" s="698"/>
      <c r="Q58" s="698"/>
    </row>
    <row r="59" spans="2:17" x14ac:dyDescent="0.35">
      <c r="B59" s="774" t="s">
        <v>2610</v>
      </c>
      <c r="C59" s="995" t="s">
        <v>2622</v>
      </c>
      <c r="D59" s="1780">
        <v>0.27</v>
      </c>
      <c r="L59" s="698"/>
      <c r="M59" s="698"/>
      <c r="N59" s="698"/>
      <c r="O59" s="698"/>
      <c r="P59" s="698"/>
      <c r="Q59" s="698"/>
    </row>
    <row r="60" spans="2:17" x14ac:dyDescent="0.35">
      <c r="B60" s="774" t="s">
        <v>2611</v>
      </c>
      <c r="C60" s="995" t="s">
        <v>2622</v>
      </c>
      <c r="D60" s="1780">
        <v>0.16</v>
      </c>
      <c r="L60" s="698"/>
      <c r="M60" s="698"/>
      <c r="N60" s="698"/>
      <c r="O60" s="698"/>
      <c r="P60" s="698"/>
      <c r="Q60" s="698"/>
    </row>
    <row r="61" spans="2:17" x14ac:dyDescent="0.35">
      <c r="B61" s="774" t="s">
        <v>2612</v>
      </c>
      <c r="C61" s="995" t="s">
        <v>2613</v>
      </c>
      <c r="D61" s="1780">
        <v>0.16</v>
      </c>
      <c r="L61" s="698"/>
      <c r="M61" s="698"/>
      <c r="N61" s="698"/>
      <c r="O61" s="698"/>
      <c r="P61" s="698"/>
      <c r="Q61" s="698"/>
    </row>
    <row r="62" spans="2:17" x14ac:dyDescent="0.35">
      <c r="B62" s="774" t="s">
        <v>2612</v>
      </c>
      <c r="C62" s="995" t="s">
        <v>2614</v>
      </c>
      <c r="D62" s="1780">
        <v>0.16</v>
      </c>
      <c r="L62" s="698"/>
      <c r="M62" s="698"/>
      <c r="N62" s="698"/>
      <c r="O62" s="698"/>
      <c r="P62" s="698"/>
      <c r="Q62" s="698"/>
    </row>
    <row r="63" spans="2:17" x14ac:dyDescent="0.35">
      <c r="B63" s="774" t="s">
        <v>2615</v>
      </c>
      <c r="C63" s="995" t="s">
        <v>2616</v>
      </c>
      <c r="D63" s="1780">
        <v>0.16</v>
      </c>
      <c r="L63" s="698"/>
      <c r="M63" s="698"/>
      <c r="N63" s="698"/>
      <c r="O63" s="698"/>
      <c r="P63" s="698"/>
      <c r="Q63" s="698"/>
    </row>
    <row r="64" spans="2:17" x14ac:dyDescent="0.35">
      <c r="B64" s="774" t="s">
        <v>2615</v>
      </c>
      <c r="C64" s="995" t="s">
        <v>2617</v>
      </c>
      <c r="D64" s="1780">
        <v>0.16</v>
      </c>
      <c r="L64" s="698"/>
      <c r="M64" s="698"/>
      <c r="N64" s="698"/>
      <c r="O64" s="698"/>
      <c r="P64" s="698"/>
      <c r="Q64" s="698"/>
    </row>
    <row r="65" spans="1:17" x14ac:dyDescent="0.35">
      <c r="B65" s="774" t="s">
        <v>2615</v>
      </c>
      <c r="C65" s="995" t="s">
        <v>2618</v>
      </c>
      <c r="D65" s="1780">
        <v>0.16</v>
      </c>
      <c r="L65" s="698"/>
      <c r="M65" s="698"/>
      <c r="N65" s="698"/>
      <c r="O65" s="698"/>
      <c r="P65" s="698"/>
      <c r="Q65" s="698"/>
    </row>
    <row r="66" spans="1:17" ht="15" thickBot="1" x14ac:dyDescent="0.4">
      <c r="B66" s="776" t="s">
        <v>2615</v>
      </c>
      <c r="C66" s="1725" t="s">
        <v>2619</v>
      </c>
      <c r="D66" s="1781">
        <v>0.16</v>
      </c>
      <c r="L66" s="698"/>
      <c r="M66" s="698"/>
      <c r="N66" s="698"/>
      <c r="O66" s="698"/>
      <c r="P66" s="698"/>
      <c r="Q66" s="698"/>
    </row>
    <row r="67" spans="1:17" x14ac:dyDescent="0.35">
      <c r="L67" s="698"/>
      <c r="M67" s="698"/>
      <c r="N67" s="698"/>
      <c r="O67" s="698"/>
      <c r="P67" s="698"/>
      <c r="Q67" s="698"/>
    </row>
    <row r="68" spans="1:17" ht="21" x14ac:dyDescent="0.5">
      <c r="A68" s="704" t="s">
        <v>2012</v>
      </c>
    </row>
    <row r="69" spans="1:17" ht="21.5" thickBot="1" x14ac:dyDescent="0.55000000000000004">
      <c r="A69" s="704"/>
      <c r="B69" s="698"/>
      <c r="C69" s="735"/>
    </row>
    <row r="70" spans="1:17" ht="29" x14ac:dyDescent="0.35">
      <c r="B70" s="1029" t="s">
        <v>2555</v>
      </c>
      <c r="C70" s="1719" t="s">
        <v>2542</v>
      </c>
      <c r="D70" s="773" t="s">
        <v>2574</v>
      </c>
      <c r="E70" s="737"/>
      <c r="F70" s="737"/>
      <c r="G70" s="737"/>
    </row>
    <row r="71" spans="1:17" x14ac:dyDescent="0.35">
      <c r="B71" s="774" t="s">
        <v>2610</v>
      </c>
      <c r="C71" s="995" t="s">
        <v>2622</v>
      </c>
      <c r="D71" s="1782">
        <v>100</v>
      </c>
      <c r="E71" s="983"/>
      <c r="F71" s="739"/>
      <c r="G71" s="739"/>
    </row>
    <row r="72" spans="1:17" x14ac:dyDescent="0.35">
      <c r="B72" s="774" t="s">
        <v>2611</v>
      </c>
      <c r="C72" s="995" t="s">
        <v>2622</v>
      </c>
      <c r="D72" s="1782">
        <v>100</v>
      </c>
      <c r="E72" s="739"/>
      <c r="F72" s="739"/>
      <c r="G72" s="739"/>
    </row>
    <row r="73" spans="1:17" x14ac:dyDescent="0.35">
      <c r="B73" s="774" t="s">
        <v>2612</v>
      </c>
      <c r="C73" s="995" t="s">
        <v>2613</v>
      </c>
      <c r="D73" s="1782">
        <v>100</v>
      </c>
      <c r="E73" s="739"/>
      <c r="F73" s="739"/>
      <c r="G73" s="739"/>
    </row>
    <row r="74" spans="1:17" x14ac:dyDescent="0.35">
      <c r="B74" s="774" t="s">
        <v>2612</v>
      </c>
      <c r="C74" s="995" t="s">
        <v>2614</v>
      </c>
      <c r="D74" s="1782">
        <v>150</v>
      </c>
      <c r="E74" s="739"/>
      <c r="F74" s="739"/>
      <c r="G74" s="739"/>
    </row>
    <row r="75" spans="1:17" x14ac:dyDescent="0.35">
      <c r="B75" s="774" t="s">
        <v>2615</v>
      </c>
      <c r="C75" s="995" t="s">
        <v>2616</v>
      </c>
      <c r="D75" s="1782">
        <v>200</v>
      </c>
      <c r="E75" s="739"/>
      <c r="F75" s="739"/>
      <c r="G75" s="739"/>
    </row>
    <row r="76" spans="1:17" x14ac:dyDescent="0.35">
      <c r="B76" s="774" t="s">
        <v>2615</v>
      </c>
      <c r="C76" s="995" t="s">
        <v>2617</v>
      </c>
      <c r="D76" s="1782">
        <v>300</v>
      </c>
      <c r="E76" s="739"/>
      <c r="F76" s="739"/>
      <c r="G76" s="739"/>
    </row>
    <row r="77" spans="1:17" x14ac:dyDescent="0.35">
      <c r="B77" s="774" t="s">
        <v>2615</v>
      </c>
      <c r="C77" s="995" t="s">
        <v>2618</v>
      </c>
      <c r="D77" s="1782">
        <v>400</v>
      </c>
      <c r="E77" s="739"/>
      <c r="F77" s="739"/>
      <c r="G77" s="739"/>
    </row>
    <row r="78" spans="1:17" ht="15" thickBot="1" x14ac:dyDescent="0.4">
      <c r="B78" s="776" t="s">
        <v>2615</v>
      </c>
      <c r="C78" s="1725" t="s">
        <v>2619</v>
      </c>
      <c r="D78" s="1637">
        <v>500</v>
      </c>
      <c r="E78" s="739"/>
      <c r="F78" s="739"/>
      <c r="G78" s="739"/>
    </row>
    <row r="79" spans="1:17" x14ac:dyDescent="0.35">
      <c r="B79" s="1783" t="s">
        <v>2624</v>
      </c>
      <c r="C79" s="978" t="s">
        <v>2622</v>
      </c>
      <c r="D79" s="1784">
        <v>30</v>
      </c>
      <c r="E79" s="739"/>
      <c r="F79" s="739"/>
      <c r="G79" s="739"/>
    </row>
    <row r="80" spans="1:17" ht="15" thickBot="1" x14ac:dyDescent="0.4">
      <c r="B80" s="776" t="s">
        <v>2624</v>
      </c>
      <c r="C80" s="1725" t="s">
        <v>2625</v>
      </c>
      <c r="D80" s="1637">
        <v>50</v>
      </c>
      <c r="E80" s="739"/>
      <c r="F80" s="739"/>
      <c r="G80" s="739"/>
    </row>
    <row r="81" spans="1:26" x14ac:dyDescent="0.35">
      <c r="M81" s="698"/>
      <c r="N81" s="698"/>
      <c r="O81" s="698"/>
    </row>
    <row r="82" spans="1:26" ht="21" x14ac:dyDescent="0.5">
      <c r="A82" s="704" t="s">
        <v>2014</v>
      </c>
      <c r="D82" s="1027" t="s">
        <v>2626</v>
      </c>
    </row>
    <row r="83" spans="1:26" ht="15" thickBot="1" x14ac:dyDescent="0.4"/>
    <row r="84" spans="1:26" x14ac:dyDescent="0.35">
      <c r="B84" s="1032" t="s">
        <v>2627</v>
      </c>
      <c r="C84" s="1785">
        <v>12</v>
      </c>
      <c r="G84" s="987"/>
      <c r="H84" s="987"/>
      <c r="I84" s="987"/>
      <c r="J84" s="987"/>
      <c r="K84" s="987"/>
    </row>
    <row r="85" spans="1:26" ht="29.5" thickBot="1" x14ac:dyDescent="0.4">
      <c r="B85" s="1786" t="s">
        <v>2586</v>
      </c>
      <c r="C85" s="745">
        <v>155.5</v>
      </c>
    </row>
    <row r="86" spans="1:26" ht="15" thickBot="1" x14ac:dyDescent="0.4">
      <c r="B86" s="748"/>
      <c r="H86" s="941"/>
    </row>
    <row r="87" spans="1:26" ht="39.75" customHeight="1" thickBot="1" x14ac:dyDescent="0.4">
      <c r="B87" s="1003"/>
      <c r="C87" s="735"/>
      <c r="D87" s="3127" t="s">
        <v>2038</v>
      </c>
      <c r="E87" s="3128"/>
      <c r="F87" s="3128"/>
      <c r="G87" s="3129"/>
      <c r="H87" s="753"/>
      <c r="I87" s="753"/>
      <c r="J87" s="753"/>
      <c r="K87" s="753"/>
      <c r="V87" s="753"/>
      <c r="W87" s="753"/>
      <c r="X87" s="753"/>
      <c r="Y87" s="753"/>
      <c r="Z87" s="753"/>
    </row>
    <row r="88" spans="1:26" ht="58" x14ac:dyDescent="0.35">
      <c r="B88" s="1029" t="s">
        <v>2555</v>
      </c>
      <c r="C88" s="1719" t="s">
        <v>2542</v>
      </c>
      <c r="D88" s="747" t="s">
        <v>2628</v>
      </c>
      <c r="E88" s="747" t="s">
        <v>2586</v>
      </c>
      <c r="F88" s="747" t="s">
        <v>2587</v>
      </c>
      <c r="G88" s="773" t="s">
        <v>2580</v>
      </c>
      <c r="H88" s="754"/>
      <c r="I88" s="754"/>
      <c r="J88" s="980"/>
      <c r="V88" s="753"/>
      <c r="W88" s="753"/>
      <c r="X88" s="753"/>
      <c r="Y88" s="753"/>
      <c r="Z88" s="753"/>
    </row>
    <row r="89" spans="1:26" x14ac:dyDescent="0.35">
      <c r="B89" s="774" t="s">
        <v>2610</v>
      </c>
      <c r="C89" s="995" t="s">
        <v>2622</v>
      </c>
      <c r="D89" s="803">
        <v>2.2203947368421052E-2</v>
      </c>
      <c r="E89" s="967">
        <f>D89*C$85</f>
        <v>3.4527138157894735</v>
      </c>
      <c r="F89" s="967">
        <f>C$84*E89</f>
        <v>41.432565789473685</v>
      </c>
      <c r="G89" s="1033">
        <v>1</v>
      </c>
      <c r="H89" s="758"/>
      <c r="I89" s="758"/>
      <c r="V89" s="760"/>
      <c r="W89" s="761"/>
      <c r="X89" s="762"/>
      <c r="Y89" s="763"/>
      <c r="Z89" s="764"/>
    </row>
    <row r="90" spans="1:26" x14ac:dyDescent="0.35">
      <c r="B90" s="774" t="s">
        <v>2611</v>
      </c>
      <c r="C90" s="995" t="s">
        <v>2622</v>
      </c>
      <c r="D90" s="803">
        <v>0.12171052631578948</v>
      </c>
      <c r="E90" s="967">
        <f t="shared" ref="E90:E96" si="0">D90*C$85</f>
        <v>18.925986842105264</v>
      </c>
      <c r="F90" s="967">
        <f t="shared" ref="F90:F96" si="1">C$84*E90</f>
        <v>227.11184210526318</v>
      </c>
      <c r="G90" s="1033">
        <v>1</v>
      </c>
      <c r="H90" s="758"/>
      <c r="I90" s="758"/>
      <c r="J90" s="980"/>
      <c r="V90" s="760"/>
      <c r="W90" s="761"/>
      <c r="X90" s="762"/>
      <c r="Y90" s="763"/>
      <c r="Z90" s="764"/>
    </row>
    <row r="91" spans="1:26" x14ac:dyDescent="0.35">
      <c r="B91" s="774" t="s">
        <v>2612</v>
      </c>
      <c r="C91" s="995" t="s">
        <v>2613</v>
      </c>
      <c r="D91" s="803">
        <v>5.2631578947368418E-2</v>
      </c>
      <c r="E91" s="967">
        <f t="shared" si="0"/>
        <v>8.1842105263157894</v>
      </c>
      <c r="F91" s="967">
        <f t="shared" si="1"/>
        <v>98.21052631578948</v>
      </c>
      <c r="G91" s="1033">
        <v>1</v>
      </c>
      <c r="H91" s="758"/>
      <c r="I91" s="758"/>
      <c r="V91" s="760"/>
      <c r="W91" s="761"/>
      <c r="X91" s="762"/>
      <c r="Y91" s="763"/>
      <c r="Z91" s="764"/>
    </row>
    <row r="92" spans="1:26" x14ac:dyDescent="0.35">
      <c r="B92" s="774" t="s">
        <v>2612</v>
      </c>
      <c r="C92" s="995" t="s">
        <v>2614</v>
      </c>
      <c r="D92" s="803">
        <v>0.19490131578947367</v>
      </c>
      <c r="E92" s="967">
        <f t="shared" si="0"/>
        <v>30.307154605263158</v>
      </c>
      <c r="F92" s="967">
        <f t="shared" si="1"/>
        <v>363.68585526315792</v>
      </c>
      <c r="G92" s="1033">
        <v>1</v>
      </c>
      <c r="H92" s="758"/>
      <c r="I92" s="758"/>
      <c r="V92" s="760"/>
      <c r="W92" s="761"/>
      <c r="X92" s="762"/>
      <c r="Y92" s="763"/>
      <c r="Z92" s="764"/>
    </row>
    <row r="93" spans="1:26" x14ac:dyDescent="0.35">
      <c r="B93" s="774" t="s">
        <v>2615</v>
      </c>
      <c r="C93" s="995" t="s">
        <v>2616</v>
      </c>
      <c r="D93" s="803">
        <v>0.10032894736842106</v>
      </c>
      <c r="E93" s="967">
        <f t="shared" si="0"/>
        <v>15.601151315789474</v>
      </c>
      <c r="F93" s="967">
        <f t="shared" si="1"/>
        <v>187.2138157894737</v>
      </c>
      <c r="G93" s="1033">
        <v>1</v>
      </c>
      <c r="H93" s="758"/>
      <c r="I93" s="758"/>
      <c r="V93" s="760"/>
      <c r="W93" s="761"/>
      <c r="X93" s="762"/>
      <c r="Y93" s="763"/>
      <c r="Z93" s="764"/>
    </row>
    <row r="94" spans="1:26" x14ac:dyDescent="0.35">
      <c r="B94" s="774" t="s">
        <v>2615</v>
      </c>
      <c r="C94" s="995" t="s">
        <v>2617</v>
      </c>
      <c r="D94" s="803">
        <v>9.1282894736842105E-2</v>
      </c>
      <c r="E94" s="967">
        <f t="shared" si="0"/>
        <v>14.194490131578947</v>
      </c>
      <c r="F94" s="967">
        <f t="shared" si="1"/>
        <v>170.33388157894737</v>
      </c>
      <c r="G94" s="1033">
        <v>1</v>
      </c>
      <c r="H94" s="758"/>
      <c r="I94" s="758"/>
      <c r="J94" s="759"/>
      <c r="K94" s="759"/>
      <c r="V94" s="760"/>
      <c r="W94" s="761"/>
      <c r="X94" s="762"/>
      <c r="Y94" s="763"/>
      <c r="Z94" s="764"/>
    </row>
    <row r="95" spans="1:26" x14ac:dyDescent="0.35">
      <c r="B95" s="774" t="s">
        <v>2615</v>
      </c>
      <c r="C95" s="995" t="s">
        <v>2618</v>
      </c>
      <c r="D95" s="803">
        <v>0.41694078947368424</v>
      </c>
      <c r="E95" s="967">
        <f t="shared" si="0"/>
        <v>64.834292763157904</v>
      </c>
      <c r="F95" s="967">
        <f t="shared" si="1"/>
        <v>778.0115131578948</v>
      </c>
      <c r="G95" s="1033">
        <v>1</v>
      </c>
      <c r="H95" s="758"/>
      <c r="I95" s="758"/>
      <c r="J95" s="759"/>
      <c r="K95" s="759"/>
      <c r="V95" s="760"/>
      <c r="W95" s="761"/>
      <c r="X95" s="762"/>
      <c r="Y95" s="763"/>
      <c r="Z95" s="764"/>
    </row>
    <row r="96" spans="1:26" ht="15" thickBot="1" x14ac:dyDescent="0.4">
      <c r="B96" s="776" t="s">
        <v>2615</v>
      </c>
      <c r="C96" s="1725" t="s">
        <v>2619</v>
      </c>
      <c r="D96" s="814">
        <v>0</v>
      </c>
      <c r="E96" s="1745">
        <f t="shared" si="0"/>
        <v>0</v>
      </c>
      <c r="F96" s="1745">
        <f t="shared" si="1"/>
        <v>0</v>
      </c>
      <c r="G96" s="1039">
        <v>1</v>
      </c>
      <c r="H96" s="758"/>
      <c r="I96" s="758"/>
      <c r="J96" s="759"/>
      <c r="K96" s="759"/>
      <c r="V96" s="760"/>
      <c r="W96" s="761"/>
      <c r="X96" s="762"/>
      <c r="Y96" s="763"/>
      <c r="Z96" s="764"/>
    </row>
    <row r="97" spans="1:26" ht="15" customHeight="1" x14ac:dyDescent="0.35">
      <c r="B97" s="898" t="s">
        <v>2575</v>
      </c>
      <c r="C97" s="898" t="s">
        <v>2581</v>
      </c>
      <c r="E97" s="1746">
        <f>SUM(E89:E96)</f>
        <v>155.5</v>
      </c>
      <c r="F97" s="1746">
        <f>SUM(F89:F96)</f>
        <v>1866</v>
      </c>
      <c r="G97" s="680" t="s">
        <v>2629</v>
      </c>
      <c r="H97" s="758"/>
      <c r="I97" s="758"/>
      <c r="J97" s="759"/>
      <c r="K97" s="759"/>
      <c r="L97" s="769"/>
      <c r="M97" s="769"/>
      <c r="N97" s="769"/>
      <c r="O97" s="769"/>
      <c r="P97" s="769"/>
      <c r="Q97" s="770"/>
      <c r="R97" s="759"/>
      <c r="S97" s="759"/>
      <c r="T97" s="759"/>
      <c r="U97" s="759"/>
      <c r="V97" s="760"/>
      <c r="W97" s="761"/>
      <c r="X97" s="762"/>
      <c r="Y97" s="763"/>
      <c r="Z97" s="764"/>
    </row>
    <row r="98" spans="1:26" x14ac:dyDescent="0.35">
      <c r="G98" s="748"/>
      <c r="H98" s="748"/>
      <c r="I98" s="748"/>
      <c r="J98" s="748"/>
    </row>
    <row r="100" spans="1:26" ht="21" x14ac:dyDescent="0.5">
      <c r="A100" s="704" t="s">
        <v>2036</v>
      </c>
      <c r="C100" s="675" t="s">
        <v>2037</v>
      </c>
    </row>
    <row r="101" spans="1:26" ht="15" thickBot="1" x14ac:dyDescent="0.4"/>
    <row r="102" spans="1:26" ht="41.25" customHeight="1" thickBot="1" x14ac:dyDescent="0.65">
      <c r="B102" s="3130"/>
      <c r="C102" s="3130"/>
      <c r="D102" s="3131" t="s">
        <v>2038</v>
      </c>
      <c r="E102" s="3132"/>
      <c r="F102" s="3132"/>
      <c r="G102" s="3132"/>
      <c r="H102" s="3132"/>
      <c r="I102" s="3137"/>
      <c r="J102" s="2985" t="s">
        <v>2039</v>
      </c>
      <c r="K102" s="2986"/>
      <c r="L102" s="2986"/>
      <c r="M102" s="2986"/>
      <c r="N102" s="2986"/>
      <c r="O102" s="2987"/>
      <c r="P102" s="2985" t="s">
        <v>2040</v>
      </c>
      <c r="Q102" s="2986"/>
      <c r="R102" s="2986"/>
      <c r="S102" s="2986"/>
      <c r="T102" s="2986"/>
      <c r="U102" s="2987"/>
      <c r="V102" s="779"/>
      <c r="W102" s="779"/>
    </row>
    <row r="103" spans="1:26" ht="58" x14ac:dyDescent="0.35">
      <c r="B103" s="772" t="s">
        <v>2585</v>
      </c>
      <c r="C103" s="1719" t="s">
        <v>2542</v>
      </c>
      <c r="D103" s="747" t="s">
        <v>2628</v>
      </c>
      <c r="E103" s="747" t="s">
        <v>2586</v>
      </c>
      <c r="F103" s="747" t="s">
        <v>2587</v>
      </c>
      <c r="G103" s="1747" t="s">
        <v>2580</v>
      </c>
      <c r="H103" s="747" t="s">
        <v>2574</v>
      </c>
      <c r="I103" s="773" t="s">
        <v>2630</v>
      </c>
      <c r="J103" s="1787" t="s">
        <v>2556</v>
      </c>
      <c r="K103" s="747" t="s">
        <v>2588</v>
      </c>
      <c r="L103" s="747" t="s">
        <v>2589</v>
      </c>
      <c r="M103" s="747" t="s">
        <v>2590</v>
      </c>
      <c r="N103" s="1787" t="s">
        <v>2621</v>
      </c>
      <c r="O103" s="1748" t="s">
        <v>2591</v>
      </c>
      <c r="P103" s="783" t="s">
        <v>2592</v>
      </c>
      <c r="Q103" s="1747" t="s">
        <v>2631</v>
      </c>
      <c r="R103" s="747" t="s">
        <v>2632</v>
      </c>
      <c r="S103" s="1787" t="s">
        <v>2633</v>
      </c>
      <c r="T103" s="1787" t="s">
        <v>2634</v>
      </c>
      <c r="U103" s="773" t="s">
        <v>2108</v>
      </c>
      <c r="V103" s="712"/>
    </row>
    <row r="104" spans="1:26" x14ac:dyDescent="0.35">
      <c r="B104" s="774" t="s">
        <v>2610</v>
      </c>
      <c r="C104" s="995" t="s">
        <v>2622</v>
      </c>
      <c r="D104" s="895">
        <f>D89</f>
        <v>2.2203947368421052E-2</v>
      </c>
      <c r="E104" s="967">
        <f>E89</f>
        <v>3.4527138157894735</v>
      </c>
      <c r="F104" s="967">
        <f>F89</f>
        <v>41.432565789473685</v>
      </c>
      <c r="G104" s="1749">
        <f>G89</f>
        <v>1</v>
      </c>
      <c r="H104" s="879">
        <f t="shared" ref="H104:H111" si="2">D71</f>
        <v>100</v>
      </c>
      <c r="I104" s="1782">
        <f>D79</f>
        <v>30</v>
      </c>
      <c r="J104" s="1788">
        <f t="shared" ref="J104:K111" si="3">D35</f>
        <v>19.100000000000001</v>
      </c>
      <c r="K104" s="1005">
        <f t="shared" si="3"/>
        <v>890</v>
      </c>
      <c r="L104" s="1005">
        <f t="shared" ref="L104:L111" si="4">G35</f>
        <v>2425</v>
      </c>
      <c r="M104" s="750">
        <f>$C$46</f>
        <v>0.80700000000000005</v>
      </c>
      <c r="N104" s="1789">
        <f t="shared" ref="N104:N111" si="5">D49</f>
        <v>77</v>
      </c>
      <c r="O104" s="1751">
        <f>D59</f>
        <v>0.27</v>
      </c>
      <c r="P104" s="1790">
        <f t="shared" ref="P104:P111" si="6">F104*J104*(K104/M104)*L104*G104/100000</f>
        <v>21164.275721177364</v>
      </c>
      <c r="Q104" s="1791">
        <f t="shared" ref="Q104:Q111" si="7">F104*H104</f>
        <v>4143.2565789473683</v>
      </c>
      <c r="R104" s="1792">
        <f>F104/O104</f>
        <v>153.45394736842104</v>
      </c>
      <c r="S104" s="1793">
        <f>R104*I104</f>
        <v>4603.6184210526317</v>
      </c>
      <c r="T104" s="1794">
        <f>S104+Q104</f>
        <v>8746.875</v>
      </c>
      <c r="U104" s="1753">
        <f t="shared" ref="U104:U111" si="8">N104*F104</f>
        <v>3190.3075657894738</v>
      </c>
      <c r="V104" s="796"/>
    </row>
    <row r="105" spans="1:26" x14ac:dyDescent="0.35">
      <c r="B105" s="774" t="s">
        <v>2611</v>
      </c>
      <c r="C105" s="995" t="s">
        <v>2622</v>
      </c>
      <c r="D105" s="895">
        <f t="shared" ref="D105:G111" si="9">D90</f>
        <v>0.12171052631578948</v>
      </c>
      <c r="E105" s="967">
        <f t="shared" si="9"/>
        <v>18.925986842105264</v>
      </c>
      <c r="F105" s="967">
        <f t="shared" si="9"/>
        <v>227.11184210526318</v>
      </c>
      <c r="G105" s="1749">
        <f t="shared" si="9"/>
        <v>1</v>
      </c>
      <c r="H105" s="879">
        <f t="shared" si="2"/>
        <v>100</v>
      </c>
      <c r="I105" s="1782">
        <f>D79</f>
        <v>30</v>
      </c>
      <c r="J105" s="1788">
        <f t="shared" si="3"/>
        <v>6.9</v>
      </c>
      <c r="K105" s="1005">
        <f t="shared" si="3"/>
        <v>951</v>
      </c>
      <c r="L105" s="1005">
        <f t="shared" si="4"/>
        <v>8282</v>
      </c>
      <c r="M105" s="750">
        <f t="shared" ref="M105:M111" si="10">$C$46</f>
        <v>0.80700000000000005</v>
      </c>
      <c r="N105" s="1789">
        <f t="shared" si="5"/>
        <v>77</v>
      </c>
      <c r="O105" s="1751">
        <f t="shared" ref="O105:O110" si="11">D60</f>
        <v>0.16</v>
      </c>
      <c r="P105" s="1790">
        <f t="shared" si="6"/>
        <v>152943.51919648799</v>
      </c>
      <c r="Q105" s="1791">
        <f t="shared" si="7"/>
        <v>22711.184210526317</v>
      </c>
      <c r="R105" s="1792">
        <f t="shared" ref="R105:R110" si="12">F105/O105</f>
        <v>1419.4490131578948</v>
      </c>
      <c r="S105" s="1793">
        <f t="shared" ref="S105:S111" si="13">R105*I105</f>
        <v>42583.470394736847</v>
      </c>
      <c r="T105" s="1794">
        <f t="shared" ref="T105:T111" si="14">S105+Q105</f>
        <v>65294.65460526316</v>
      </c>
      <c r="U105" s="1753">
        <f t="shared" si="8"/>
        <v>17487.611842105263</v>
      </c>
      <c r="V105" s="796"/>
    </row>
    <row r="106" spans="1:26" x14ac:dyDescent="0.35">
      <c r="B106" s="774" t="s">
        <v>2612</v>
      </c>
      <c r="C106" s="995" t="s">
        <v>2613</v>
      </c>
      <c r="D106" s="895">
        <f t="shared" si="9"/>
        <v>5.2631578947368418E-2</v>
      </c>
      <c r="E106" s="967">
        <f t="shared" si="9"/>
        <v>8.1842105263157894</v>
      </c>
      <c r="F106" s="967">
        <f t="shared" si="9"/>
        <v>98.21052631578948</v>
      </c>
      <c r="G106" s="1749">
        <f t="shared" si="9"/>
        <v>1</v>
      </c>
      <c r="H106" s="879">
        <f t="shared" si="2"/>
        <v>100</v>
      </c>
      <c r="I106" s="1782">
        <f>D80</f>
        <v>50</v>
      </c>
      <c r="J106" s="1788">
        <f t="shared" si="3"/>
        <v>6.5</v>
      </c>
      <c r="K106" s="1005">
        <f t="shared" si="3"/>
        <v>944</v>
      </c>
      <c r="L106" s="1005">
        <f t="shared" si="4"/>
        <v>8282</v>
      </c>
      <c r="M106" s="750">
        <f t="shared" si="10"/>
        <v>0.80700000000000005</v>
      </c>
      <c r="N106" s="1789">
        <f t="shared" si="5"/>
        <v>180</v>
      </c>
      <c r="O106" s="1751">
        <f t="shared" si="11"/>
        <v>0.16</v>
      </c>
      <c r="P106" s="1790">
        <f t="shared" si="6"/>
        <v>61845.069348464101</v>
      </c>
      <c r="Q106" s="1791">
        <f t="shared" si="7"/>
        <v>9821.0526315789484</v>
      </c>
      <c r="R106" s="1792">
        <f t="shared" si="12"/>
        <v>613.81578947368428</v>
      </c>
      <c r="S106" s="1793">
        <f t="shared" si="13"/>
        <v>30690.789473684214</v>
      </c>
      <c r="T106" s="1794">
        <f t="shared" si="14"/>
        <v>40511.84210526316</v>
      </c>
      <c r="U106" s="1753">
        <f t="shared" si="8"/>
        <v>17677.894736842107</v>
      </c>
      <c r="V106" s="796"/>
    </row>
    <row r="107" spans="1:26" x14ac:dyDescent="0.35">
      <c r="B107" s="774" t="s">
        <v>2612</v>
      </c>
      <c r="C107" s="995" t="s">
        <v>2614</v>
      </c>
      <c r="D107" s="895">
        <f t="shared" si="9"/>
        <v>0.19490131578947367</v>
      </c>
      <c r="E107" s="967">
        <f t="shared" si="9"/>
        <v>30.307154605263158</v>
      </c>
      <c r="F107" s="967">
        <f t="shared" si="9"/>
        <v>363.68585526315792</v>
      </c>
      <c r="G107" s="1749">
        <f t="shared" si="9"/>
        <v>1</v>
      </c>
      <c r="H107" s="879">
        <f t="shared" si="2"/>
        <v>150</v>
      </c>
      <c r="I107" s="1782">
        <f>D80</f>
        <v>50</v>
      </c>
      <c r="J107" s="1788">
        <f t="shared" si="3"/>
        <v>23.4</v>
      </c>
      <c r="K107" s="1005">
        <f t="shared" si="3"/>
        <v>915</v>
      </c>
      <c r="L107" s="1005">
        <f t="shared" si="4"/>
        <v>8282</v>
      </c>
      <c r="M107" s="750">
        <f t="shared" si="10"/>
        <v>0.80700000000000005</v>
      </c>
      <c r="N107" s="1789">
        <f t="shared" si="5"/>
        <v>223</v>
      </c>
      <c r="O107" s="1751">
        <f t="shared" si="11"/>
        <v>0.16</v>
      </c>
      <c r="P107" s="1790">
        <f t="shared" si="6"/>
        <v>799144.01894895814</v>
      </c>
      <c r="Q107" s="1791">
        <f t="shared" si="7"/>
        <v>54552.878289473687</v>
      </c>
      <c r="R107" s="1792">
        <f t="shared" si="12"/>
        <v>2273.0365953947371</v>
      </c>
      <c r="S107" s="1793">
        <f t="shared" si="13"/>
        <v>113651.82976973685</v>
      </c>
      <c r="T107" s="1794">
        <f t="shared" si="14"/>
        <v>168204.70805921053</v>
      </c>
      <c r="U107" s="1753">
        <f t="shared" si="8"/>
        <v>81101.945723684214</v>
      </c>
      <c r="V107" s="796"/>
    </row>
    <row r="108" spans="1:26" x14ac:dyDescent="0.35">
      <c r="B108" s="774" t="s">
        <v>2615</v>
      </c>
      <c r="C108" s="995" t="s">
        <v>2616</v>
      </c>
      <c r="D108" s="895">
        <f t="shared" si="9"/>
        <v>0.10032894736842106</v>
      </c>
      <c r="E108" s="967">
        <f t="shared" si="9"/>
        <v>15.601151315789474</v>
      </c>
      <c r="F108" s="967">
        <f t="shared" si="9"/>
        <v>187.2138157894737</v>
      </c>
      <c r="G108" s="1749">
        <f t="shared" si="9"/>
        <v>1</v>
      </c>
      <c r="H108" s="879">
        <f t="shared" si="2"/>
        <v>200</v>
      </c>
      <c r="I108" s="1782">
        <f>D80</f>
        <v>50</v>
      </c>
      <c r="J108" s="1788">
        <f t="shared" si="3"/>
        <v>43.8</v>
      </c>
      <c r="K108" s="1005">
        <f t="shared" si="3"/>
        <v>880</v>
      </c>
      <c r="L108" s="1005">
        <f t="shared" si="4"/>
        <v>8282</v>
      </c>
      <c r="M108" s="750">
        <f t="shared" si="10"/>
        <v>0.80700000000000005</v>
      </c>
      <c r="N108" s="1789">
        <f t="shared" si="5"/>
        <v>276</v>
      </c>
      <c r="O108" s="1751">
        <f t="shared" si="11"/>
        <v>0.16</v>
      </c>
      <c r="P108" s="1790">
        <f t="shared" si="6"/>
        <v>740553.38133046357</v>
      </c>
      <c r="Q108" s="1791">
        <f t="shared" si="7"/>
        <v>37442.76315789474</v>
      </c>
      <c r="R108" s="1792">
        <f t="shared" si="12"/>
        <v>1170.0863486842106</v>
      </c>
      <c r="S108" s="1793">
        <f t="shared" si="13"/>
        <v>58504.317434210534</v>
      </c>
      <c r="T108" s="1794">
        <f t="shared" si="14"/>
        <v>95947.080592105282</v>
      </c>
      <c r="U108" s="1753">
        <f t="shared" si="8"/>
        <v>51671.01315789474</v>
      </c>
      <c r="V108" s="796"/>
    </row>
    <row r="109" spans="1:26" x14ac:dyDescent="0.35">
      <c r="B109" s="774" t="s">
        <v>2615</v>
      </c>
      <c r="C109" s="995" t="s">
        <v>2617</v>
      </c>
      <c r="D109" s="895">
        <f t="shared" si="9"/>
        <v>9.1282894736842105E-2</v>
      </c>
      <c r="E109" s="967">
        <f t="shared" si="9"/>
        <v>14.194490131578947</v>
      </c>
      <c r="F109" s="967">
        <f t="shared" si="9"/>
        <v>170.33388157894737</v>
      </c>
      <c r="G109" s="1749">
        <f>G94</f>
        <v>1</v>
      </c>
      <c r="H109" s="879">
        <f t="shared" si="2"/>
        <v>300</v>
      </c>
      <c r="I109" s="1782">
        <f>D80</f>
        <v>50</v>
      </c>
      <c r="J109" s="1788">
        <f t="shared" si="3"/>
        <v>60.9</v>
      </c>
      <c r="K109" s="1005">
        <f t="shared" si="3"/>
        <v>859</v>
      </c>
      <c r="L109" s="1005">
        <f t="shared" si="4"/>
        <v>8282</v>
      </c>
      <c r="M109" s="750">
        <f t="shared" si="10"/>
        <v>0.80700000000000005</v>
      </c>
      <c r="N109" s="1789">
        <f t="shared" si="5"/>
        <v>322</v>
      </c>
      <c r="O109" s="1751">
        <f t="shared" si="11"/>
        <v>0.16</v>
      </c>
      <c r="P109" s="1790">
        <f t="shared" si="6"/>
        <v>914477.85101241199</v>
      </c>
      <c r="Q109" s="1791">
        <f t="shared" si="7"/>
        <v>51100.164473684214</v>
      </c>
      <c r="R109" s="1792">
        <f t="shared" si="12"/>
        <v>1064.586759868421</v>
      </c>
      <c r="S109" s="1793">
        <f t="shared" si="13"/>
        <v>53229.337993421053</v>
      </c>
      <c r="T109" s="1794">
        <f t="shared" si="14"/>
        <v>104329.50246710527</v>
      </c>
      <c r="U109" s="1753">
        <f t="shared" si="8"/>
        <v>54847.509868421053</v>
      </c>
      <c r="V109" s="796"/>
    </row>
    <row r="110" spans="1:26" x14ac:dyDescent="0.35">
      <c r="B110" s="774" t="s">
        <v>2615</v>
      </c>
      <c r="C110" s="995" t="s">
        <v>2618</v>
      </c>
      <c r="D110" s="895">
        <f t="shared" si="9"/>
        <v>0.41694078947368424</v>
      </c>
      <c r="E110" s="967">
        <f t="shared" si="9"/>
        <v>64.834292763157904</v>
      </c>
      <c r="F110" s="967">
        <f t="shared" si="9"/>
        <v>778.0115131578948</v>
      </c>
      <c r="G110" s="1749">
        <f>G95</f>
        <v>1</v>
      </c>
      <c r="H110" s="879">
        <f t="shared" si="2"/>
        <v>400</v>
      </c>
      <c r="I110" s="1782">
        <f>D80</f>
        <v>50</v>
      </c>
      <c r="J110" s="1788">
        <f t="shared" si="3"/>
        <v>82.1</v>
      </c>
      <c r="K110" s="1005">
        <f t="shared" si="3"/>
        <v>837</v>
      </c>
      <c r="L110" s="1005">
        <f t="shared" si="4"/>
        <v>8282</v>
      </c>
      <c r="M110" s="750">
        <f t="shared" si="10"/>
        <v>0.80700000000000005</v>
      </c>
      <c r="N110" s="1789">
        <f t="shared" si="5"/>
        <v>370</v>
      </c>
      <c r="O110" s="1751">
        <f t="shared" si="11"/>
        <v>0.16</v>
      </c>
      <c r="P110" s="1790">
        <f t="shared" si="6"/>
        <v>5486764.6304525649</v>
      </c>
      <c r="Q110" s="1791">
        <f t="shared" si="7"/>
        <v>311204.60526315792</v>
      </c>
      <c r="R110" s="1792">
        <f t="shared" si="12"/>
        <v>4862.5719572368425</v>
      </c>
      <c r="S110" s="1793">
        <f t="shared" si="13"/>
        <v>243128.59786184214</v>
      </c>
      <c r="T110" s="1794">
        <f t="shared" si="14"/>
        <v>554333.203125</v>
      </c>
      <c r="U110" s="1753">
        <f t="shared" si="8"/>
        <v>287864.25986842107</v>
      </c>
      <c r="V110" s="796"/>
    </row>
    <row r="111" spans="1:26" ht="15" thickBot="1" x14ac:dyDescent="0.4">
      <c r="B111" s="776" t="s">
        <v>2615</v>
      </c>
      <c r="C111" s="1725" t="s">
        <v>2619</v>
      </c>
      <c r="D111" s="744">
        <f t="shared" si="9"/>
        <v>0</v>
      </c>
      <c r="E111" s="1745">
        <f t="shared" si="9"/>
        <v>0</v>
      </c>
      <c r="F111" s="1745">
        <f>F96</f>
        <v>0</v>
      </c>
      <c r="G111" s="1754">
        <f>G96</f>
        <v>1</v>
      </c>
      <c r="H111" s="1795">
        <f t="shared" si="2"/>
        <v>500</v>
      </c>
      <c r="I111" s="1637">
        <f>D80</f>
        <v>50</v>
      </c>
      <c r="J111" s="1796">
        <f t="shared" si="3"/>
        <v>105.2</v>
      </c>
      <c r="K111" s="1797">
        <f t="shared" si="3"/>
        <v>816</v>
      </c>
      <c r="L111" s="1797">
        <f t="shared" si="4"/>
        <v>8282</v>
      </c>
      <c r="M111" s="766">
        <f t="shared" si="10"/>
        <v>0.80700000000000005</v>
      </c>
      <c r="N111" s="1798">
        <f t="shared" si="5"/>
        <v>418</v>
      </c>
      <c r="O111" s="1756">
        <f>D66</f>
        <v>0.16</v>
      </c>
      <c r="P111" s="1799">
        <f t="shared" si="6"/>
        <v>0</v>
      </c>
      <c r="Q111" s="1800">
        <f t="shared" si="7"/>
        <v>0</v>
      </c>
      <c r="R111" s="1801">
        <f>F111/O111</f>
        <v>0</v>
      </c>
      <c r="S111" s="1802">
        <f t="shared" si="13"/>
        <v>0</v>
      </c>
      <c r="T111" s="1803">
        <f t="shared" si="14"/>
        <v>0</v>
      </c>
      <c r="U111" s="1758">
        <f t="shared" si="8"/>
        <v>0</v>
      </c>
      <c r="V111" s="796"/>
    </row>
    <row r="112" spans="1:26" x14ac:dyDescent="0.35">
      <c r="B112" s="898" t="s">
        <v>284</v>
      </c>
      <c r="E112" s="1759">
        <f>SUM(E104:E111)</f>
        <v>155.5</v>
      </c>
      <c r="F112" s="1759">
        <f>SUM(F104:F111)</f>
        <v>1866</v>
      </c>
      <c r="G112" s="1760"/>
      <c r="J112" s="1761"/>
      <c r="K112" s="1762"/>
      <c r="L112" s="1763"/>
      <c r="M112" s="1763"/>
      <c r="N112" s="1763"/>
      <c r="O112" s="1763"/>
      <c r="P112" s="1804">
        <f t="shared" ref="P112:U112" si="15">SUM(P104:P111)</f>
        <v>8176892.7460105279</v>
      </c>
      <c r="Q112" s="1764">
        <f t="shared" si="15"/>
        <v>490975.9046052632</v>
      </c>
      <c r="R112" s="1765">
        <f t="shared" si="15"/>
        <v>11557.00041118421</v>
      </c>
      <c r="S112" s="1764">
        <f t="shared" si="15"/>
        <v>546391.96134868427</v>
      </c>
      <c r="T112" s="1764">
        <f t="shared" si="15"/>
        <v>1037367.8659539474</v>
      </c>
      <c r="U112" s="1764">
        <f t="shared" si="15"/>
        <v>513840.54276315792</v>
      </c>
      <c r="V112" s="796"/>
    </row>
    <row r="113" spans="2:17" x14ac:dyDescent="0.35">
      <c r="B113" s="698"/>
      <c r="C113" s="698"/>
      <c r="J113" s="1766"/>
      <c r="L113" s="853"/>
    </row>
    <row r="114" spans="2:17" ht="15" thickBot="1" x14ac:dyDescent="0.4"/>
    <row r="115" spans="2:17" ht="58.5" thickBot="1" x14ac:dyDescent="0.4">
      <c r="P115" s="1805" t="s">
        <v>2544</v>
      </c>
      <c r="Q115" s="1806">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F0"/>
    <pageSetUpPr fitToPage="1"/>
  </sheetPr>
  <dimension ref="A1:AG143"/>
  <sheetViews>
    <sheetView zoomScale="70" zoomScaleNormal="70" workbookViewId="0"/>
  </sheetViews>
  <sheetFormatPr defaultColWidth="9.1796875" defaultRowHeight="14.5" x14ac:dyDescent="0.35"/>
  <cols>
    <col min="1" max="1" width="9.1796875" style="675"/>
    <col min="2" max="2" width="30.453125" style="675" customWidth="1"/>
    <col min="3" max="3" width="20" style="675" customWidth="1"/>
    <col min="4" max="4" width="13.81640625" style="675" customWidth="1"/>
    <col min="5" max="5" width="23.54296875" style="675" customWidth="1"/>
    <col min="6" max="7" width="13.81640625" style="675" customWidth="1"/>
    <col min="8" max="8" width="25.54296875" style="675" customWidth="1"/>
    <col min="9" max="17" width="13.81640625" style="675" customWidth="1"/>
    <col min="18" max="20" width="15.453125" style="675" customWidth="1"/>
    <col min="21" max="21" width="13" style="675" customWidth="1"/>
    <col min="22" max="22" width="13.7265625" style="675" customWidth="1"/>
    <col min="23" max="23" width="13.81640625" style="675" customWidth="1"/>
    <col min="24" max="24" width="14" style="675" customWidth="1"/>
    <col min="25" max="25" width="11.54296875" style="675" customWidth="1"/>
    <col min="26" max="28" width="9.7265625" style="675" customWidth="1"/>
    <col min="29" max="29" width="10.7265625" style="675" customWidth="1"/>
    <col min="30" max="30" width="12.26953125" style="675" customWidth="1"/>
    <col min="31" max="31" width="9.81640625" style="675" customWidth="1"/>
    <col min="32" max="32" width="10.26953125" style="675" customWidth="1"/>
    <col min="33" max="33" width="10.1796875" style="675" customWidth="1"/>
    <col min="34" max="16384" width="9.1796875" style="675"/>
  </cols>
  <sheetData>
    <row r="1" spans="1:9" ht="21" x14ac:dyDescent="0.5">
      <c r="A1" s="674" t="s">
        <v>2635</v>
      </c>
    </row>
    <row r="3" spans="1:9" ht="21" x14ac:dyDescent="0.5">
      <c r="A3" s="704" t="s">
        <v>2636</v>
      </c>
    </row>
    <row r="4" spans="1:9" ht="21" x14ac:dyDescent="0.5">
      <c r="A4" s="704"/>
    </row>
    <row r="5" spans="1:9" x14ac:dyDescent="0.35">
      <c r="B5" s="3138" t="s">
        <v>2637</v>
      </c>
      <c r="C5" s="3138"/>
      <c r="D5" s="3138"/>
      <c r="E5" s="3138"/>
      <c r="F5" s="3138"/>
      <c r="G5" s="3138"/>
      <c r="H5" s="3138"/>
      <c r="I5" s="696"/>
    </row>
    <row r="6" spans="1:9" x14ac:dyDescent="0.35">
      <c r="B6" s="3138"/>
      <c r="C6" s="3138"/>
      <c r="D6" s="3138"/>
      <c r="E6" s="3138"/>
      <c r="F6" s="3138"/>
      <c r="G6" s="3138"/>
      <c r="H6" s="3138"/>
      <c r="I6" s="696"/>
    </row>
    <row r="7" spans="1:9" x14ac:dyDescent="0.35">
      <c r="B7" s="3138"/>
      <c r="C7" s="3138"/>
      <c r="D7" s="3138"/>
      <c r="E7" s="3138"/>
      <c r="F7" s="3138"/>
      <c r="G7" s="3138"/>
      <c r="H7" s="3138"/>
      <c r="I7" s="696"/>
    </row>
    <row r="8" spans="1:9" ht="15" customHeight="1" x14ac:dyDescent="0.35">
      <c r="B8" s="3139" t="s">
        <v>2638</v>
      </c>
      <c r="C8" s="3139"/>
      <c r="D8" s="3139"/>
      <c r="E8" s="3139"/>
      <c r="F8" s="3139"/>
      <c r="G8" s="3139"/>
      <c r="H8" s="3139"/>
      <c r="I8" s="696"/>
    </row>
    <row r="9" spans="1:9" x14ac:dyDescent="0.35">
      <c r="B9" s="3139"/>
      <c r="C9" s="3139"/>
      <c r="D9" s="3139"/>
      <c r="E9" s="3139"/>
      <c r="F9" s="3139"/>
      <c r="G9" s="3139"/>
      <c r="H9" s="3139"/>
      <c r="I9" s="696"/>
    </row>
    <row r="10" spans="1:9" x14ac:dyDescent="0.35">
      <c r="B10" s="3139"/>
      <c r="C10" s="3139"/>
      <c r="D10" s="3139"/>
      <c r="E10" s="3139"/>
      <c r="F10" s="3139"/>
      <c r="G10" s="3139"/>
      <c r="H10" s="3139"/>
      <c r="I10" s="696"/>
    </row>
    <row r="11" spans="1:9" x14ac:dyDescent="0.35">
      <c r="B11" s="3139"/>
      <c r="C11" s="3139"/>
      <c r="D11" s="3139"/>
      <c r="E11" s="3139"/>
      <c r="F11" s="3139"/>
      <c r="G11" s="3139"/>
      <c r="H11" s="3139"/>
      <c r="I11" s="696"/>
    </row>
    <row r="12" spans="1:9" x14ac:dyDescent="0.35">
      <c r="B12" s="3140" t="s">
        <v>2639</v>
      </c>
      <c r="C12" s="3140"/>
      <c r="D12" s="3140"/>
      <c r="E12" s="3140"/>
      <c r="F12" s="3140"/>
      <c r="G12" s="3140"/>
      <c r="H12" s="3140"/>
      <c r="I12" s="696"/>
    </row>
    <row r="13" spans="1:9" x14ac:dyDescent="0.35">
      <c r="B13" s="3140"/>
      <c r="C13" s="3140"/>
      <c r="D13" s="3140"/>
      <c r="E13" s="3140"/>
      <c r="F13" s="3140"/>
      <c r="G13" s="3140"/>
      <c r="H13" s="3140"/>
      <c r="I13" s="696"/>
    </row>
    <row r="14" spans="1:9" x14ac:dyDescent="0.35">
      <c r="B14" s="3140"/>
      <c r="C14" s="3140"/>
      <c r="D14" s="3140"/>
      <c r="E14" s="3140"/>
      <c r="F14" s="3140"/>
      <c r="G14" s="3140"/>
      <c r="H14" s="3140"/>
      <c r="I14" s="696"/>
    </row>
    <row r="15" spans="1:9" x14ac:dyDescent="0.35">
      <c r="B15" s="3140"/>
      <c r="C15" s="3140"/>
      <c r="D15" s="3140"/>
      <c r="E15" s="3140"/>
      <c r="F15" s="3140"/>
      <c r="G15" s="3140"/>
      <c r="H15" s="3140"/>
      <c r="I15" s="696"/>
    </row>
    <row r="16" spans="1:9" x14ac:dyDescent="0.35">
      <c r="E16" s="680"/>
      <c r="F16" s="696"/>
      <c r="H16" s="680"/>
      <c r="I16" s="696"/>
    </row>
    <row r="17" spans="2:9" ht="15" thickBot="1" x14ac:dyDescent="0.4">
      <c r="B17" s="675" t="s">
        <v>2640</v>
      </c>
      <c r="E17" s="675" t="s">
        <v>2641</v>
      </c>
      <c r="F17" s="696"/>
      <c r="H17" s="680"/>
      <c r="I17" s="696"/>
    </row>
    <row r="18" spans="2:9" x14ac:dyDescent="0.35">
      <c r="B18" s="678" t="s">
        <v>1947</v>
      </c>
      <c r="C18" s="679">
        <f>C92</f>
        <v>3</v>
      </c>
      <c r="D18" s="680"/>
      <c r="E18" s="678" t="s">
        <v>1947</v>
      </c>
      <c r="F18" s="679">
        <f>C92</f>
        <v>3</v>
      </c>
    </row>
    <row r="19" spans="2:9" ht="15" customHeight="1" x14ac:dyDescent="0.35">
      <c r="B19" s="1013" t="s">
        <v>2642</v>
      </c>
      <c r="C19" s="1715">
        <f>F121</f>
        <v>466.5</v>
      </c>
      <c r="D19" s="680"/>
      <c r="E19" s="1013" t="s">
        <v>2642</v>
      </c>
      <c r="F19" s="1715">
        <f>F121</f>
        <v>466.5</v>
      </c>
    </row>
    <row r="20" spans="2:9" x14ac:dyDescent="0.35">
      <c r="B20" s="681" t="s">
        <v>2643</v>
      </c>
      <c r="C20" s="684">
        <f>Q121</f>
        <v>74.640000000000015</v>
      </c>
      <c r="D20" s="683"/>
      <c r="E20" s="681" t="s">
        <v>2643</v>
      </c>
      <c r="F20" s="684">
        <f>Q121</f>
        <v>74.640000000000015</v>
      </c>
    </row>
    <row r="21" spans="2:9" ht="15" customHeight="1" x14ac:dyDescent="0.35">
      <c r="B21" s="1013" t="s">
        <v>1952</v>
      </c>
      <c r="C21" s="1014">
        <f>R121</f>
        <v>397854.93426582607</v>
      </c>
      <c r="D21" s="683"/>
      <c r="E21" s="1013" t="s">
        <v>1952</v>
      </c>
      <c r="F21" s="1014">
        <f>O136</f>
        <v>1591419.7370633038</v>
      </c>
      <c r="H21" s="828"/>
    </row>
    <row r="22" spans="2:9" x14ac:dyDescent="0.35">
      <c r="B22" s="681" t="s">
        <v>1953</v>
      </c>
      <c r="C22" s="707">
        <f>U121</f>
        <v>97293.239999999991</v>
      </c>
      <c r="D22" s="683"/>
      <c r="E22" s="681" t="s">
        <v>1953</v>
      </c>
      <c r="F22" s="707">
        <f>O137</f>
        <v>22877.159999999996</v>
      </c>
    </row>
    <row r="23" spans="2:9" x14ac:dyDescent="0.35">
      <c r="B23" s="1013" t="s">
        <v>2111</v>
      </c>
      <c r="C23" s="1015">
        <f>X121</f>
        <v>583547.46239999996</v>
      </c>
      <c r="D23" s="686"/>
      <c r="E23" s="1013" t="s">
        <v>2111</v>
      </c>
      <c r="F23" s="1015">
        <f>O138</f>
        <v>53151.641599999974</v>
      </c>
    </row>
    <row r="24" spans="2:9" ht="15" customHeight="1" x14ac:dyDescent="0.35">
      <c r="B24" s="681" t="s">
        <v>2644</v>
      </c>
      <c r="C24" s="687">
        <f>C22/C19</f>
        <v>208.55999999999997</v>
      </c>
      <c r="D24" s="686"/>
      <c r="E24" s="681" t="s">
        <v>2644</v>
      </c>
      <c r="F24" s="687">
        <f>F21/F19</f>
        <v>3411.4035092460963</v>
      </c>
    </row>
    <row r="25" spans="2:9" ht="15" thickBot="1" x14ac:dyDescent="0.4">
      <c r="B25" s="1018" t="s">
        <v>2187</v>
      </c>
      <c r="C25" s="1807">
        <f>C22/C21</f>
        <v>0.24454451012286224</v>
      </c>
      <c r="D25" s="690"/>
      <c r="E25" s="1018" t="s">
        <v>2187</v>
      </c>
      <c r="F25" s="1807">
        <f>F22/F21</f>
        <v>1.4375314989002165E-2</v>
      </c>
    </row>
    <row r="26" spans="2:9" x14ac:dyDescent="0.35">
      <c r="B26" s="694" t="s">
        <v>1961</v>
      </c>
      <c r="C26" s="695"/>
      <c r="D26" s="696"/>
    </row>
    <row r="27" spans="2:9" ht="15" thickBot="1" x14ac:dyDescent="0.4">
      <c r="C27" s="694"/>
      <c r="D27" s="696"/>
      <c r="H27" s="690"/>
      <c r="I27" s="690"/>
    </row>
    <row r="28" spans="2:9" x14ac:dyDescent="0.35">
      <c r="B28" s="1020" t="s">
        <v>2063</v>
      </c>
      <c r="C28" s="1716">
        <v>0.89</v>
      </c>
      <c r="D28" s="680"/>
      <c r="E28" s="1020" t="s">
        <v>2063</v>
      </c>
      <c r="F28" s="1716">
        <v>0.89</v>
      </c>
      <c r="H28" s="680"/>
      <c r="I28" s="696"/>
    </row>
    <row r="29" spans="2:9" x14ac:dyDescent="0.35">
      <c r="B29" s="1021" t="s">
        <v>1965</v>
      </c>
      <c r="C29" s="1022">
        <v>0</v>
      </c>
      <c r="D29" s="683"/>
      <c r="E29" s="1021" t="s">
        <v>1965</v>
      </c>
      <c r="F29" s="1022">
        <v>0</v>
      </c>
      <c r="H29" s="698"/>
      <c r="I29" s="680"/>
    </row>
    <row r="30" spans="2:9" x14ac:dyDescent="0.35">
      <c r="B30" s="1023" t="s">
        <v>1966</v>
      </c>
      <c r="C30" s="1024">
        <v>0</v>
      </c>
      <c r="D30" s="700"/>
      <c r="E30" s="1023" t="s">
        <v>1966</v>
      </c>
      <c r="F30" s="1024">
        <v>0</v>
      </c>
      <c r="H30" s="680"/>
      <c r="I30" s="696"/>
    </row>
    <row r="31" spans="2:9" x14ac:dyDescent="0.35">
      <c r="B31" s="1021" t="s">
        <v>1967</v>
      </c>
      <c r="C31" s="1022">
        <f>C28*C21</f>
        <v>354090.89149658522</v>
      </c>
      <c r="D31" s="683"/>
      <c r="E31" s="1021" t="s">
        <v>1967</v>
      </c>
      <c r="F31" s="1022">
        <f>F28*F21</f>
        <v>1416363.5659863404</v>
      </c>
      <c r="H31" s="698"/>
      <c r="I31" s="680"/>
    </row>
    <row r="32" spans="2:9" x14ac:dyDescent="0.35">
      <c r="B32" s="1023" t="s">
        <v>1969</v>
      </c>
      <c r="C32" s="1717">
        <f>C22/C31</f>
        <v>0.274769112497598</v>
      </c>
      <c r="D32" s="690"/>
      <c r="E32" s="1023" t="s">
        <v>1969</v>
      </c>
      <c r="F32" s="1717">
        <f>F22/F31</f>
        <v>1.6152039313485578E-2</v>
      </c>
      <c r="H32" s="683"/>
      <c r="I32" s="683"/>
    </row>
    <row r="33" spans="1:20" ht="15" thickBot="1" x14ac:dyDescent="0.4">
      <c r="B33" s="1025" t="s">
        <v>1970</v>
      </c>
      <c r="C33" s="1026">
        <v>6</v>
      </c>
      <c r="D33" s="680"/>
      <c r="E33" s="1025" t="s">
        <v>1970</v>
      </c>
      <c r="F33" s="1026">
        <v>15</v>
      </c>
      <c r="H33" s="700"/>
      <c r="I33" s="683"/>
    </row>
    <row r="34" spans="1:20" x14ac:dyDescent="0.35">
      <c r="B34" s="703"/>
      <c r="C34" s="703"/>
      <c r="H34" s="701"/>
      <c r="I34" s="683"/>
    </row>
    <row r="35" spans="1:20" ht="21" x14ac:dyDescent="0.5">
      <c r="A35" s="704" t="s">
        <v>1971</v>
      </c>
      <c r="B35" s="703"/>
      <c r="C35" s="703"/>
      <c r="H35" s="690"/>
      <c r="I35" s="690"/>
    </row>
    <row r="36" spans="1:20" ht="15" customHeight="1" thickBot="1" x14ac:dyDescent="0.4">
      <c r="H36" s="680"/>
      <c r="I36" s="696"/>
    </row>
    <row r="37" spans="1:20" ht="29" x14ac:dyDescent="0.35">
      <c r="B37" s="1808" t="s">
        <v>2606</v>
      </c>
      <c r="C37" s="1771">
        <f>C21/C18</f>
        <v>132618.31142194202</v>
      </c>
      <c r="E37" s="1808" t="s">
        <v>2606</v>
      </c>
      <c r="F37" s="1771">
        <f>F21/F18</f>
        <v>530473.24568776798</v>
      </c>
      <c r="H37" s="698"/>
      <c r="I37" s="680"/>
      <c r="J37" s="698"/>
      <c r="K37" s="698"/>
    </row>
    <row r="38" spans="1:20" ht="29" x14ac:dyDescent="0.35">
      <c r="B38" s="1772" t="s">
        <v>2607</v>
      </c>
      <c r="C38" s="1809">
        <f>C22/C18</f>
        <v>32431.079999999998</v>
      </c>
      <c r="E38" s="1772" t="s">
        <v>2607</v>
      </c>
      <c r="F38" s="1809">
        <f>F22/F18</f>
        <v>7625.7199999999984</v>
      </c>
      <c r="H38" s="683"/>
      <c r="I38" s="683"/>
      <c r="J38" s="698"/>
      <c r="K38" s="698"/>
    </row>
    <row r="39" spans="1:20" ht="29.5" thickBot="1" x14ac:dyDescent="0.4">
      <c r="B39" s="1810" t="s">
        <v>2179</v>
      </c>
      <c r="C39" s="1774">
        <f>C23/C18</f>
        <v>194515.82079999999</v>
      </c>
      <c r="E39" s="1810" t="s">
        <v>2179</v>
      </c>
      <c r="F39" s="1774">
        <f>F23/F18</f>
        <v>17717.213866666658</v>
      </c>
      <c r="H39" s="700"/>
      <c r="I39" s="683"/>
      <c r="J39" s="698"/>
      <c r="K39" s="698"/>
    </row>
    <row r="40" spans="1:20" x14ac:dyDescent="0.35">
      <c r="B40" s="703"/>
      <c r="C40" s="703"/>
      <c r="H40" s="701"/>
      <c r="I40" s="683"/>
    </row>
    <row r="41" spans="1:20" ht="21" x14ac:dyDescent="0.5">
      <c r="A41" s="704" t="s">
        <v>1977</v>
      </c>
    </row>
    <row r="43" spans="1:20" ht="18" customHeight="1" thickBot="1" x14ac:dyDescent="0.4"/>
    <row r="44" spans="1:20" ht="60" customHeight="1" x14ac:dyDescent="0.35">
      <c r="B44" s="772" t="s">
        <v>2555</v>
      </c>
      <c r="C44" s="1719" t="s">
        <v>2542</v>
      </c>
      <c r="D44" s="747" t="s">
        <v>2556</v>
      </c>
      <c r="E44" s="747" t="s">
        <v>2557</v>
      </c>
      <c r="F44" s="747" t="s">
        <v>2558</v>
      </c>
      <c r="G44" s="773" t="s">
        <v>2570</v>
      </c>
      <c r="K44" s="3004" t="s">
        <v>2645</v>
      </c>
      <c r="L44" s="3015"/>
      <c r="M44" s="3015"/>
      <c r="N44" s="3015"/>
      <c r="O44" s="3015"/>
      <c r="P44" s="3015"/>
      <c r="Q44" s="3015"/>
      <c r="R44" s="3005"/>
      <c r="S44" s="712"/>
      <c r="T44" s="712"/>
    </row>
    <row r="45" spans="1:20" x14ac:dyDescent="0.35">
      <c r="B45" s="1811" t="s">
        <v>2610</v>
      </c>
      <c r="C45" s="1812" t="s">
        <v>2550</v>
      </c>
      <c r="D45" s="1813">
        <v>19.100000000000001</v>
      </c>
      <c r="E45" s="1814">
        <v>890</v>
      </c>
      <c r="F45" s="1815">
        <v>0.27</v>
      </c>
      <c r="G45" s="1816">
        <v>2425</v>
      </c>
      <c r="K45" s="946" t="s">
        <v>1981</v>
      </c>
      <c r="L45" s="698"/>
      <c r="M45" s="698"/>
      <c r="N45" s="698"/>
      <c r="O45" s="698"/>
      <c r="P45" s="698"/>
      <c r="Q45" s="698"/>
      <c r="R45" s="874"/>
      <c r="S45" s="698"/>
      <c r="T45" s="698"/>
    </row>
    <row r="46" spans="1:20" x14ac:dyDescent="0.35">
      <c r="B46" s="1811" t="s">
        <v>2611</v>
      </c>
      <c r="C46" s="1812" t="s">
        <v>2550</v>
      </c>
      <c r="D46" s="1813">
        <v>6.9</v>
      </c>
      <c r="E46" s="1814">
        <v>951</v>
      </c>
      <c r="F46" s="1815">
        <v>0.16</v>
      </c>
      <c r="G46" s="1816">
        <v>8282</v>
      </c>
      <c r="K46" s="933" t="s">
        <v>2562</v>
      </c>
      <c r="L46" s="934"/>
      <c r="M46" s="934"/>
      <c r="N46" s="934"/>
      <c r="O46" s="934"/>
      <c r="P46" s="934"/>
      <c r="Q46" s="934"/>
      <c r="R46" s="935"/>
      <c r="S46" s="698"/>
      <c r="T46" s="698"/>
    </row>
    <row r="47" spans="1:20" x14ac:dyDescent="0.35">
      <c r="B47" s="1811" t="s">
        <v>2612</v>
      </c>
      <c r="C47" s="1812" t="s">
        <v>2613</v>
      </c>
      <c r="D47" s="1813">
        <v>6.5</v>
      </c>
      <c r="E47" s="1814">
        <v>944</v>
      </c>
      <c r="F47" s="1815">
        <v>0.16</v>
      </c>
      <c r="G47" s="1816">
        <v>8282</v>
      </c>
      <c r="K47" s="873"/>
      <c r="L47" s="698"/>
      <c r="M47" s="698"/>
      <c r="N47" s="698"/>
      <c r="O47" s="698"/>
      <c r="P47" s="698"/>
      <c r="Q47" s="698"/>
      <c r="R47" s="874"/>
      <c r="S47" s="698"/>
      <c r="T47" s="698"/>
    </row>
    <row r="48" spans="1:20" x14ac:dyDescent="0.35">
      <c r="B48" s="774" t="s">
        <v>2612</v>
      </c>
      <c r="C48" s="995" t="s">
        <v>2614</v>
      </c>
      <c r="D48" s="1775">
        <v>23.4</v>
      </c>
      <c r="E48" s="1776">
        <v>915</v>
      </c>
      <c r="F48" s="1096">
        <v>0.16</v>
      </c>
      <c r="G48" s="721">
        <v>8282</v>
      </c>
      <c r="K48" s="869" t="s">
        <v>1990</v>
      </c>
      <c r="L48" s="870"/>
      <c r="M48" s="870"/>
      <c r="N48" s="870"/>
      <c r="O48" s="870"/>
      <c r="P48" s="870"/>
      <c r="Q48" s="870"/>
      <c r="R48" s="871"/>
      <c r="S48" s="698"/>
      <c r="T48" s="698"/>
    </row>
    <row r="49" spans="2:20" x14ac:dyDescent="0.35">
      <c r="B49" s="774" t="s">
        <v>2615</v>
      </c>
      <c r="C49" s="995" t="s">
        <v>2616</v>
      </c>
      <c r="D49" s="1775">
        <v>43.8</v>
      </c>
      <c r="E49" s="1776">
        <v>880</v>
      </c>
      <c r="F49" s="1096">
        <v>0.16</v>
      </c>
      <c r="G49" s="721">
        <v>8282</v>
      </c>
      <c r="K49" s="873" t="s">
        <v>2564</v>
      </c>
      <c r="L49" s="698" t="s">
        <v>1992</v>
      </c>
      <c r="M49" s="698" t="s">
        <v>2565</v>
      </c>
      <c r="N49" s="698"/>
      <c r="O49" s="698"/>
      <c r="P49" s="698"/>
      <c r="Q49" s="698"/>
      <c r="R49" s="874"/>
      <c r="S49" s="698"/>
      <c r="T49" s="698"/>
    </row>
    <row r="50" spans="2:20" x14ac:dyDescent="0.35">
      <c r="B50" s="774" t="s">
        <v>2615</v>
      </c>
      <c r="C50" s="995" t="s">
        <v>2617</v>
      </c>
      <c r="D50" s="1775">
        <v>60.9</v>
      </c>
      <c r="E50" s="1776">
        <v>859</v>
      </c>
      <c r="F50" s="1096">
        <v>0.16</v>
      </c>
      <c r="G50" s="721">
        <v>8282</v>
      </c>
      <c r="K50" s="873" t="s">
        <v>2567</v>
      </c>
      <c r="L50" s="698" t="s">
        <v>1992</v>
      </c>
      <c r="M50" s="698" t="s">
        <v>2568</v>
      </c>
      <c r="N50" s="698"/>
      <c r="O50" s="698"/>
      <c r="P50" s="698"/>
      <c r="Q50" s="698"/>
      <c r="R50" s="874"/>
      <c r="S50" s="698"/>
      <c r="T50" s="698"/>
    </row>
    <row r="51" spans="2:20" x14ac:dyDescent="0.35">
      <c r="B51" s="774" t="s">
        <v>2615</v>
      </c>
      <c r="C51" s="995" t="s">
        <v>2618</v>
      </c>
      <c r="D51" s="1775">
        <v>82.1</v>
      </c>
      <c r="E51" s="1776">
        <v>837</v>
      </c>
      <c r="F51" s="1096">
        <v>0.16</v>
      </c>
      <c r="G51" s="721">
        <v>8282</v>
      </c>
      <c r="K51" s="873" t="s">
        <v>293</v>
      </c>
      <c r="L51" s="698" t="s">
        <v>1992</v>
      </c>
      <c r="M51" s="698" t="s">
        <v>2569</v>
      </c>
      <c r="N51" s="698"/>
      <c r="O51" s="698"/>
      <c r="P51" s="698"/>
      <c r="Q51" s="698"/>
      <c r="R51" s="874"/>
      <c r="S51" s="698"/>
      <c r="T51" s="698"/>
    </row>
    <row r="52" spans="2:20" ht="15" thickBot="1" x14ac:dyDescent="0.4">
      <c r="B52" s="776" t="s">
        <v>2615</v>
      </c>
      <c r="C52" s="1725" t="s">
        <v>2619</v>
      </c>
      <c r="D52" s="1729">
        <v>105.2</v>
      </c>
      <c r="E52" s="1730">
        <v>816</v>
      </c>
      <c r="F52" s="1777">
        <v>0.16</v>
      </c>
      <c r="G52" s="961">
        <v>8282</v>
      </c>
      <c r="K52" s="873" t="s">
        <v>1395</v>
      </c>
      <c r="L52" s="698" t="s">
        <v>1992</v>
      </c>
      <c r="M52" s="698" t="s">
        <v>2571</v>
      </c>
      <c r="N52" s="698"/>
      <c r="O52" s="698"/>
      <c r="P52" s="698"/>
      <c r="Q52" s="698"/>
      <c r="R52" s="874"/>
      <c r="S52" s="698"/>
      <c r="T52" s="698"/>
    </row>
    <row r="53" spans="2:20" x14ac:dyDescent="0.35">
      <c r="C53" s="675" t="s">
        <v>2620</v>
      </c>
      <c r="F53" s="930"/>
      <c r="K53" s="933" t="s">
        <v>496</v>
      </c>
      <c r="L53" s="934" t="s">
        <v>1992</v>
      </c>
      <c r="M53" s="934" t="s">
        <v>2572</v>
      </c>
      <c r="N53" s="934"/>
      <c r="O53" s="934"/>
      <c r="P53" s="934"/>
      <c r="Q53" s="934"/>
      <c r="R53" s="935"/>
      <c r="S53" s="698"/>
      <c r="T53" s="698"/>
    </row>
    <row r="54" spans="2:20" ht="15" thickBot="1" x14ac:dyDescent="0.4"/>
    <row r="55" spans="2:20" x14ac:dyDescent="0.35">
      <c r="B55" s="772" t="s">
        <v>2555</v>
      </c>
      <c r="C55" s="773" t="s">
        <v>2563</v>
      </c>
      <c r="K55" s="675" t="s">
        <v>2646</v>
      </c>
    </row>
    <row r="56" spans="2:20" ht="15" thickBot="1" x14ac:dyDescent="0.4">
      <c r="B56" s="776" t="s">
        <v>2560</v>
      </c>
      <c r="C56" s="1733">
        <v>0.80700000000000005</v>
      </c>
    </row>
    <row r="57" spans="2:20" ht="15" thickBot="1" x14ac:dyDescent="0.4"/>
    <row r="58" spans="2:20" x14ac:dyDescent="0.35">
      <c r="B58" s="1029" t="s">
        <v>2555</v>
      </c>
      <c r="C58" s="1719" t="s">
        <v>2542</v>
      </c>
      <c r="D58" s="773" t="s">
        <v>2647</v>
      </c>
    </row>
    <row r="59" spans="2:20" x14ac:dyDescent="0.35">
      <c r="B59" s="1811" t="s">
        <v>2610</v>
      </c>
      <c r="C59" s="1812" t="s">
        <v>2622</v>
      </c>
      <c r="D59" s="1817">
        <v>77</v>
      </c>
    </row>
    <row r="60" spans="2:20" x14ac:dyDescent="0.35">
      <c r="B60" s="1811" t="s">
        <v>2611</v>
      </c>
      <c r="C60" s="1812" t="s">
        <v>2622</v>
      </c>
      <c r="D60" s="1817">
        <v>77</v>
      </c>
    </row>
    <row r="61" spans="2:20" x14ac:dyDescent="0.35">
      <c r="B61" s="1811" t="s">
        <v>2612</v>
      </c>
      <c r="C61" s="1812" t="s">
        <v>2613</v>
      </c>
      <c r="D61" s="1817">
        <v>180</v>
      </c>
    </row>
    <row r="62" spans="2:20" x14ac:dyDescent="0.35">
      <c r="B62" s="774" t="s">
        <v>2612</v>
      </c>
      <c r="C62" s="995" t="s">
        <v>2614</v>
      </c>
      <c r="D62" s="1778">
        <v>223</v>
      </c>
    </row>
    <row r="63" spans="2:20" x14ac:dyDescent="0.35">
      <c r="B63" s="774" t="s">
        <v>2615</v>
      </c>
      <c r="C63" s="995" t="s">
        <v>2616</v>
      </c>
      <c r="D63" s="1778">
        <v>276</v>
      </c>
    </row>
    <row r="64" spans="2:20" x14ac:dyDescent="0.35">
      <c r="B64" s="774" t="s">
        <v>2615</v>
      </c>
      <c r="C64" s="995" t="s">
        <v>2617</v>
      </c>
      <c r="D64" s="1778">
        <v>322</v>
      </c>
    </row>
    <row r="65" spans="1:17" x14ac:dyDescent="0.35">
      <c r="B65" s="774" t="s">
        <v>2615</v>
      </c>
      <c r="C65" s="995" t="s">
        <v>2618</v>
      </c>
      <c r="D65" s="1778">
        <v>370</v>
      </c>
    </row>
    <row r="66" spans="1:17" ht="15" thickBot="1" x14ac:dyDescent="0.4">
      <c r="B66" s="776" t="s">
        <v>2615</v>
      </c>
      <c r="C66" s="1725" t="s">
        <v>2619</v>
      </c>
      <c r="D66" s="1779">
        <v>418</v>
      </c>
    </row>
    <row r="67" spans="1:17" ht="15" thickBot="1" x14ac:dyDescent="0.4">
      <c r="L67" s="698"/>
      <c r="M67" s="698"/>
      <c r="N67" s="698"/>
      <c r="O67" s="698"/>
      <c r="P67" s="698"/>
      <c r="Q67" s="698"/>
    </row>
    <row r="68" spans="1:17" ht="43.5" x14ac:dyDescent="0.35">
      <c r="B68" s="1029" t="s">
        <v>2555</v>
      </c>
      <c r="C68" s="1719" t="s">
        <v>2542</v>
      </c>
      <c r="D68" s="773" t="s">
        <v>2623</v>
      </c>
      <c r="L68" s="698"/>
      <c r="M68" s="698"/>
      <c r="N68" s="698"/>
      <c r="O68" s="698"/>
      <c r="P68" s="698"/>
      <c r="Q68" s="698"/>
    </row>
    <row r="69" spans="1:17" x14ac:dyDescent="0.35">
      <c r="B69" s="1811" t="s">
        <v>2610</v>
      </c>
      <c r="C69" s="1812" t="s">
        <v>2622</v>
      </c>
      <c r="D69" s="1818">
        <v>0.27</v>
      </c>
      <c r="L69" s="698"/>
      <c r="M69" s="698"/>
      <c r="N69" s="698"/>
      <c r="O69" s="698"/>
      <c r="P69" s="698"/>
      <c r="Q69" s="698"/>
    </row>
    <row r="70" spans="1:17" x14ac:dyDescent="0.35">
      <c r="B70" s="1811" t="s">
        <v>2611</v>
      </c>
      <c r="C70" s="1812" t="s">
        <v>2622</v>
      </c>
      <c r="D70" s="1818">
        <v>0.16</v>
      </c>
      <c r="L70" s="698"/>
      <c r="M70" s="698"/>
      <c r="N70" s="698"/>
      <c r="O70" s="698"/>
      <c r="P70" s="698"/>
      <c r="Q70" s="698"/>
    </row>
    <row r="71" spans="1:17" x14ac:dyDescent="0.35">
      <c r="B71" s="1811" t="s">
        <v>2612</v>
      </c>
      <c r="C71" s="1812" t="s">
        <v>2613</v>
      </c>
      <c r="D71" s="1818">
        <v>0.16</v>
      </c>
      <c r="L71" s="698"/>
      <c r="M71" s="698"/>
      <c r="N71" s="698"/>
      <c r="O71" s="698"/>
      <c r="P71" s="698"/>
      <c r="Q71" s="698"/>
    </row>
    <row r="72" spans="1:17" x14ac:dyDescent="0.35">
      <c r="B72" s="774" t="s">
        <v>2612</v>
      </c>
      <c r="C72" s="995" t="s">
        <v>2614</v>
      </c>
      <c r="D72" s="1780">
        <v>0.16</v>
      </c>
      <c r="L72" s="698"/>
      <c r="M72" s="698"/>
      <c r="N72" s="698"/>
      <c r="O72" s="698"/>
      <c r="P72" s="698"/>
      <c r="Q72" s="698"/>
    </row>
    <row r="73" spans="1:17" x14ac:dyDescent="0.35">
      <c r="B73" s="774" t="s">
        <v>2615</v>
      </c>
      <c r="C73" s="995" t="s">
        <v>2616</v>
      </c>
      <c r="D73" s="1780">
        <v>0.16</v>
      </c>
      <c r="L73" s="698"/>
      <c r="M73" s="698"/>
      <c r="N73" s="698"/>
      <c r="O73" s="698"/>
      <c r="P73" s="698"/>
      <c r="Q73" s="698"/>
    </row>
    <row r="74" spans="1:17" x14ac:dyDescent="0.35">
      <c r="B74" s="774" t="s">
        <v>2615</v>
      </c>
      <c r="C74" s="995" t="s">
        <v>2617</v>
      </c>
      <c r="D74" s="1780">
        <v>0.16</v>
      </c>
      <c r="L74" s="698"/>
      <c r="M74" s="698"/>
      <c r="N74" s="698"/>
      <c r="O74" s="698"/>
      <c r="P74" s="698"/>
      <c r="Q74" s="698"/>
    </row>
    <row r="75" spans="1:17" x14ac:dyDescent="0.35">
      <c r="B75" s="774" t="s">
        <v>2615</v>
      </c>
      <c r="C75" s="995" t="s">
        <v>2618</v>
      </c>
      <c r="D75" s="1780">
        <v>0.16</v>
      </c>
      <c r="L75" s="698"/>
      <c r="M75" s="698"/>
      <c r="N75" s="698"/>
      <c r="O75" s="698"/>
      <c r="P75" s="698"/>
      <c r="Q75" s="698"/>
    </row>
    <row r="76" spans="1:17" ht="15" thickBot="1" x14ac:dyDescent="0.4">
      <c r="B76" s="776" t="s">
        <v>2615</v>
      </c>
      <c r="C76" s="1725" t="s">
        <v>2619</v>
      </c>
      <c r="D76" s="1781">
        <v>0.16</v>
      </c>
      <c r="L76" s="698"/>
      <c r="M76" s="698"/>
      <c r="N76" s="698"/>
      <c r="O76" s="698"/>
      <c r="P76" s="698"/>
      <c r="Q76" s="698"/>
    </row>
    <row r="77" spans="1:17" x14ac:dyDescent="0.35">
      <c r="L77" s="698"/>
      <c r="M77" s="698"/>
      <c r="N77" s="698"/>
      <c r="O77" s="698"/>
      <c r="P77" s="698"/>
      <c r="Q77" s="698"/>
    </row>
    <row r="78" spans="1:17" ht="21" x14ac:dyDescent="0.5">
      <c r="A78" s="704" t="s">
        <v>2012</v>
      </c>
    </row>
    <row r="79" spans="1:17" ht="21.5" thickBot="1" x14ac:dyDescent="0.55000000000000004">
      <c r="A79" s="704"/>
      <c r="B79" s="698"/>
      <c r="C79" s="735"/>
    </row>
    <row r="80" spans="1:17" ht="43.5" x14ac:dyDescent="0.35">
      <c r="B80" s="1029" t="s">
        <v>2555</v>
      </c>
      <c r="C80" s="1719" t="s">
        <v>2542</v>
      </c>
      <c r="D80" s="773" t="s">
        <v>2574</v>
      </c>
      <c r="F80" s="783" t="s">
        <v>2648</v>
      </c>
      <c r="G80" s="773" t="s">
        <v>2649</v>
      </c>
    </row>
    <row r="81" spans="1:26" ht="15" thickBot="1" x14ac:dyDescent="0.4">
      <c r="B81" s="1811" t="s">
        <v>2610</v>
      </c>
      <c r="C81" s="1812" t="s">
        <v>2622</v>
      </c>
      <c r="D81" s="1819">
        <v>100</v>
      </c>
      <c r="E81" s="739"/>
      <c r="F81" s="1820">
        <v>150</v>
      </c>
      <c r="G81" s="1637">
        <v>1200</v>
      </c>
    </row>
    <row r="82" spans="1:26" x14ac:dyDescent="0.35">
      <c r="B82" s="1811" t="s">
        <v>2611</v>
      </c>
      <c r="C82" s="1812" t="s">
        <v>2622</v>
      </c>
      <c r="D82" s="1819">
        <v>100</v>
      </c>
      <c r="E82" s="739"/>
      <c r="F82" s="739" t="s">
        <v>2650</v>
      </c>
      <c r="G82" s="739"/>
    </row>
    <row r="83" spans="1:26" x14ac:dyDescent="0.35">
      <c r="B83" s="1811" t="s">
        <v>2612</v>
      </c>
      <c r="C83" s="1812" t="s">
        <v>2613</v>
      </c>
      <c r="D83" s="1819">
        <v>100</v>
      </c>
      <c r="E83" s="739"/>
      <c r="F83" s="739"/>
      <c r="G83" s="739"/>
    </row>
    <row r="84" spans="1:26" x14ac:dyDescent="0.35">
      <c r="B84" s="774" t="s">
        <v>2612</v>
      </c>
      <c r="C84" s="995" t="s">
        <v>2614</v>
      </c>
      <c r="D84" s="1782">
        <v>180</v>
      </c>
      <c r="E84" s="739"/>
      <c r="F84" s="739"/>
      <c r="G84" s="739"/>
    </row>
    <row r="85" spans="1:26" x14ac:dyDescent="0.35">
      <c r="B85" s="774" t="s">
        <v>2615</v>
      </c>
      <c r="C85" s="995" t="s">
        <v>2616</v>
      </c>
      <c r="D85" s="1782">
        <v>240</v>
      </c>
      <c r="E85" s="739"/>
      <c r="F85" s="739"/>
      <c r="G85" s="739"/>
    </row>
    <row r="86" spans="1:26" x14ac:dyDescent="0.35">
      <c r="B86" s="774" t="s">
        <v>2615</v>
      </c>
      <c r="C86" s="995" t="s">
        <v>2617</v>
      </c>
      <c r="D86" s="1782">
        <v>360</v>
      </c>
      <c r="E86" s="739"/>
      <c r="F86" s="739"/>
      <c r="G86" s="739"/>
    </row>
    <row r="87" spans="1:26" x14ac:dyDescent="0.35">
      <c r="B87" s="774" t="s">
        <v>2615</v>
      </c>
      <c r="C87" s="995" t="s">
        <v>2618</v>
      </c>
      <c r="D87" s="1782">
        <v>480</v>
      </c>
      <c r="E87" s="739"/>
      <c r="F87" s="739"/>
      <c r="G87" s="739"/>
    </row>
    <row r="88" spans="1:26" ht="15" thickBot="1" x14ac:dyDescent="0.4">
      <c r="B88" s="776" t="s">
        <v>2615</v>
      </c>
      <c r="C88" s="1725" t="s">
        <v>2619</v>
      </c>
      <c r="D88" s="1637">
        <v>600</v>
      </c>
      <c r="E88" s="739"/>
      <c r="F88" s="739"/>
      <c r="G88" s="739"/>
    </row>
    <row r="89" spans="1:26" x14ac:dyDescent="0.35">
      <c r="M89" s="698"/>
      <c r="N89" s="698"/>
      <c r="O89" s="698"/>
    </row>
    <row r="90" spans="1:26" ht="21" x14ac:dyDescent="0.5">
      <c r="A90" s="704" t="s">
        <v>2014</v>
      </c>
      <c r="D90" s="1027" t="s">
        <v>2651</v>
      </c>
    </row>
    <row r="91" spans="1:26" ht="15.75" customHeight="1" thickBot="1" x14ac:dyDescent="0.55000000000000004">
      <c r="A91" s="704"/>
      <c r="D91" s="1027"/>
    </row>
    <row r="92" spans="1:26" ht="15.75" customHeight="1" x14ac:dyDescent="0.35">
      <c r="B92" s="1032" t="s">
        <v>2652</v>
      </c>
      <c r="C92" s="1785">
        <v>3</v>
      </c>
      <c r="G92" s="987"/>
      <c r="H92" s="987"/>
      <c r="I92" s="987"/>
      <c r="J92" s="987"/>
      <c r="K92" s="987"/>
    </row>
    <row r="93" spans="1:26" ht="29" x14ac:dyDescent="0.35">
      <c r="B93" s="1821" t="s">
        <v>2653</v>
      </c>
      <c r="C93" s="717">
        <v>155.5</v>
      </c>
    </row>
    <row r="94" spans="1:26" ht="15" thickBot="1" x14ac:dyDescent="0.4">
      <c r="B94" s="1786" t="s">
        <v>2654</v>
      </c>
      <c r="C94" s="745">
        <v>10</v>
      </c>
    </row>
    <row r="95" spans="1:26" ht="15" thickBot="1" x14ac:dyDescent="0.4">
      <c r="B95" s="748"/>
    </row>
    <row r="96" spans="1:26" ht="39.75" customHeight="1" thickBot="1" x14ac:dyDescent="0.4">
      <c r="B96" s="1003"/>
      <c r="C96" s="735"/>
      <c r="D96" s="3141" t="s">
        <v>2038</v>
      </c>
      <c r="E96" s="3142"/>
      <c r="F96" s="3143"/>
      <c r="K96" s="753"/>
      <c r="V96" s="753"/>
      <c r="W96" s="753"/>
      <c r="X96" s="753"/>
      <c r="Y96" s="753"/>
      <c r="Z96" s="753"/>
    </row>
    <row r="97" spans="1:26" ht="58" x14ac:dyDescent="0.35">
      <c r="B97" s="1029" t="s">
        <v>2555</v>
      </c>
      <c r="C97" s="1719" t="s">
        <v>2542</v>
      </c>
      <c r="D97" s="747" t="s">
        <v>2628</v>
      </c>
      <c r="E97" s="747" t="s">
        <v>2655</v>
      </c>
      <c r="F97" s="773" t="s">
        <v>2656</v>
      </c>
      <c r="V97" s="753"/>
      <c r="W97" s="753"/>
      <c r="X97" s="753"/>
      <c r="Y97" s="753"/>
      <c r="Z97" s="753"/>
    </row>
    <row r="98" spans="1:26" x14ac:dyDescent="0.35">
      <c r="B98" s="1811" t="s">
        <v>2610</v>
      </c>
      <c r="C98" s="1812" t="s">
        <v>2622</v>
      </c>
      <c r="D98" s="1822">
        <v>0</v>
      </c>
      <c r="E98" s="1823">
        <f t="shared" ref="E98:E105" si="0">D98*C$93</f>
        <v>0</v>
      </c>
      <c r="F98" s="1824">
        <f t="shared" ref="F98:F105" si="1">C$92*E98</f>
        <v>0</v>
      </c>
      <c r="V98" s="760"/>
      <c r="W98" s="761"/>
      <c r="X98" s="762"/>
      <c r="Y98" s="763"/>
      <c r="Z98" s="764"/>
    </row>
    <row r="99" spans="1:26" x14ac:dyDescent="0.35">
      <c r="B99" s="1811" t="s">
        <v>2611</v>
      </c>
      <c r="C99" s="1812" t="s">
        <v>2622</v>
      </c>
      <c r="D99" s="1822">
        <v>0</v>
      </c>
      <c r="E99" s="1823">
        <f t="shared" si="0"/>
        <v>0</v>
      </c>
      <c r="F99" s="1824">
        <f t="shared" si="1"/>
        <v>0</v>
      </c>
      <c r="V99" s="760"/>
      <c r="W99" s="761"/>
      <c r="X99" s="762"/>
      <c r="Y99" s="763"/>
      <c r="Z99" s="764"/>
    </row>
    <row r="100" spans="1:26" x14ac:dyDescent="0.35">
      <c r="B100" s="1811" t="s">
        <v>2612</v>
      </c>
      <c r="C100" s="1812" t="s">
        <v>2613</v>
      </c>
      <c r="D100" s="1822">
        <v>0</v>
      </c>
      <c r="E100" s="1823">
        <f t="shared" si="0"/>
        <v>0</v>
      </c>
      <c r="F100" s="1824">
        <f t="shared" si="1"/>
        <v>0</v>
      </c>
      <c r="V100" s="760"/>
      <c r="W100" s="761"/>
      <c r="X100" s="762"/>
      <c r="Y100" s="763"/>
      <c r="Z100" s="764"/>
    </row>
    <row r="101" spans="1:26" x14ac:dyDescent="0.35">
      <c r="B101" s="774" t="s">
        <v>2612</v>
      </c>
      <c r="C101" s="995" t="s">
        <v>2614</v>
      </c>
      <c r="D101" s="803">
        <v>0.24</v>
      </c>
      <c r="E101" s="967">
        <f t="shared" si="0"/>
        <v>37.32</v>
      </c>
      <c r="F101" s="1825">
        <f t="shared" si="1"/>
        <v>111.96000000000001</v>
      </c>
      <c r="V101" s="760"/>
      <c r="W101" s="761"/>
      <c r="X101" s="762"/>
      <c r="Y101" s="763"/>
      <c r="Z101" s="764"/>
    </row>
    <row r="102" spans="1:26" x14ac:dyDescent="0.35">
      <c r="B102" s="774" t="s">
        <v>2615</v>
      </c>
      <c r="C102" s="995" t="s">
        <v>2616</v>
      </c>
      <c r="D102" s="803">
        <v>0.12</v>
      </c>
      <c r="E102" s="967">
        <f t="shared" si="0"/>
        <v>18.66</v>
      </c>
      <c r="F102" s="1825">
        <f t="shared" si="1"/>
        <v>55.980000000000004</v>
      </c>
      <c r="H102" s="987"/>
      <c r="I102" s="987"/>
      <c r="J102" s="987"/>
      <c r="V102" s="760"/>
      <c r="W102" s="761"/>
      <c r="X102" s="762"/>
      <c r="Y102" s="763"/>
      <c r="Z102" s="764"/>
    </row>
    <row r="103" spans="1:26" x14ac:dyDescent="0.35">
      <c r="B103" s="774" t="s">
        <v>2615</v>
      </c>
      <c r="C103" s="995" t="s">
        <v>2617</v>
      </c>
      <c r="D103" s="803">
        <v>0.11</v>
      </c>
      <c r="E103" s="967">
        <f t="shared" si="0"/>
        <v>17.105</v>
      </c>
      <c r="F103" s="1825">
        <f t="shared" si="1"/>
        <v>51.314999999999998</v>
      </c>
      <c r="K103" s="759"/>
      <c r="V103" s="760"/>
      <c r="W103" s="761"/>
      <c r="X103" s="762"/>
      <c r="Y103" s="763"/>
      <c r="Z103" s="764"/>
    </row>
    <row r="104" spans="1:26" x14ac:dyDescent="0.35">
      <c r="B104" s="774" t="s">
        <v>2615</v>
      </c>
      <c r="C104" s="995" t="s">
        <v>2618</v>
      </c>
      <c r="D104" s="803">
        <v>0.53</v>
      </c>
      <c r="E104" s="967">
        <f t="shared" si="0"/>
        <v>82.415000000000006</v>
      </c>
      <c r="F104" s="1825">
        <f t="shared" si="1"/>
        <v>247.245</v>
      </c>
      <c r="K104" s="759"/>
      <c r="V104" s="760"/>
      <c r="W104" s="761"/>
      <c r="X104" s="762"/>
      <c r="Y104" s="763"/>
      <c r="Z104" s="764"/>
    </row>
    <row r="105" spans="1:26" ht="15" thickBot="1" x14ac:dyDescent="0.4">
      <c r="B105" s="776" t="s">
        <v>2615</v>
      </c>
      <c r="C105" s="1725" t="s">
        <v>2619</v>
      </c>
      <c r="D105" s="814">
        <v>0</v>
      </c>
      <c r="E105" s="1745">
        <f t="shared" si="0"/>
        <v>0</v>
      </c>
      <c r="F105" s="1826">
        <f t="shared" si="1"/>
        <v>0</v>
      </c>
      <c r="K105" s="759"/>
      <c r="V105" s="760"/>
      <c r="W105" s="761"/>
      <c r="X105" s="762"/>
      <c r="Y105" s="763"/>
      <c r="Z105" s="764"/>
    </row>
    <row r="106" spans="1:26" ht="15" customHeight="1" x14ac:dyDescent="0.35">
      <c r="G106" s="680"/>
      <c r="K106" s="759"/>
      <c r="L106" s="769"/>
      <c r="M106" s="769"/>
      <c r="N106" s="769"/>
      <c r="O106" s="769"/>
      <c r="P106" s="769"/>
      <c r="Q106" s="770"/>
      <c r="R106" s="759"/>
      <c r="S106" s="759"/>
      <c r="T106" s="759"/>
      <c r="U106" s="759"/>
      <c r="V106" s="760"/>
      <c r="W106" s="761"/>
      <c r="X106" s="762"/>
      <c r="Y106" s="763"/>
      <c r="Z106" s="764"/>
    </row>
    <row r="107" spans="1:26" x14ac:dyDescent="0.35">
      <c r="G107" s="748"/>
      <c r="H107" s="748"/>
      <c r="I107" s="748"/>
      <c r="J107" s="748"/>
    </row>
    <row r="109" spans="1:26" ht="21" x14ac:dyDescent="0.5">
      <c r="A109" s="704" t="s">
        <v>2036</v>
      </c>
    </row>
    <row r="110" spans="1:26" ht="15" thickBot="1" x14ac:dyDescent="0.4"/>
    <row r="111" spans="1:26" ht="41.25" customHeight="1" thickBot="1" x14ac:dyDescent="0.65">
      <c r="B111" s="3130"/>
      <c r="C111" s="3130"/>
      <c r="D111" s="3131" t="s">
        <v>2038</v>
      </c>
      <c r="E111" s="3132"/>
      <c r="F111" s="3132"/>
      <c r="G111" s="2985" t="s">
        <v>2039</v>
      </c>
      <c r="H111" s="2986"/>
      <c r="I111" s="2986"/>
      <c r="J111" s="2986"/>
      <c r="K111" s="2986"/>
      <c r="L111" s="2987"/>
      <c r="M111" s="3131" t="s">
        <v>2657</v>
      </c>
      <c r="N111" s="3132"/>
      <c r="O111" s="3132"/>
      <c r="P111" s="3137"/>
      <c r="Q111" s="3012" t="s">
        <v>2040</v>
      </c>
      <c r="R111" s="3013"/>
      <c r="S111" s="3013"/>
      <c r="T111" s="3013"/>
      <c r="U111" s="3013"/>
      <c r="V111" s="3013"/>
      <c r="W111" s="3013"/>
      <c r="X111" s="3014"/>
    </row>
    <row r="112" spans="1:26" ht="58" x14ac:dyDescent="0.35">
      <c r="B112" s="772" t="s">
        <v>2585</v>
      </c>
      <c r="C112" s="1719" t="s">
        <v>2542</v>
      </c>
      <c r="D112" s="747" t="s">
        <v>2628</v>
      </c>
      <c r="E112" s="747" t="s">
        <v>2655</v>
      </c>
      <c r="F112" s="773" t="s">
        <v>2656</v>
      </c>
      <c r="G112" s="1787" t="s">
        <v>2556</v>
      </c>
      <c r="H112" s="747" t="s">
        <v>2588</v>
      </c>
      <c r="I112" s="747" t="s">
        <v>2589</v>
      </c>
      <c r="J112" s="747" t="s">
        <v>2590</v>
      </c>
      <c r="K112" s="1787" t="s">
        <v>2621</v>
      </c>
      <c r="L112" s="1748" t="s">
        <v>2591</v>
      </c>
      <c r="M112" s="783" t="s">
        <v>2574</v>
      </c>
      <c r="N112" s="747" t="s">
        <v>2658</v>
      </c>
      <c r="O112" s="747" t="s">
        <v>2659</v>
      </c>
      <c r="P112" s="1747" t="s">
        <v>2660</v>
      </c>
      <c r="Q112" s="783" t="s">
        <v>2587</v>
      </c>
      <c r="R112" s="747" t="s">
        <v>2592</v>
      </c>
      <c r="S112" s="747" t="s">
        <v>2631</v>
      </c>
      <c r="T112" s="747" t="s">
        <v>2661</v>
      </c>
      <c r="U112" s="747" t="s">
        <v>2371</v>
      </c>
      <c r="V112" s="747" t="s">
        <v>2662</v>
      </c>
      <c r="W112" s="747" t="s">
        <v>2663</v>
      </c>
      <c r="X112" s="773" t="s">
        <v>2108</v>
      </c>
    </row>
    <row r="113" spans="2:33" x14ac:dyDescent="0.35">
      <c r="B113" s="1811" t="s">
        <v>2610</v>
      </c>
      <c r="C113" s="1812" t="s">
        <v>2622</v>
      </c>
      <c r="D113" s="1827">
        <f>D98</f>
        <v>0</v>
      </c>
      <c r="E113" s="1823">
        <f>E98</f>
        <v>0</v>
      </c>
      <c r="F113" s="1823">
        <f>F98</f>
        <v>0</v>
      </c>
      <c r="G113" s="1828">
        <f t="shared" ref="G113:H120" si="2">D45</f>
        <v>19.100000000000001</v>
      </c>
      <c r="H113" s="1829">
        <f t="shared" si="2"/>
        <v>890</v>
      </c>
      <c r="I113" s="1829">
        <f t="shared" ref="I113:I120" si="3">G45</f>
        <v>2425</v>
      </c>
      <c r="J113" s="1830">
        <f>$C$56</f>
        <v>0.80700000000000005</v>
      </c>
      <c r="K113" s="1831">
        <f t="shared" ref="K113:K120" si="4">D59</f>
        <v>77</v>
      </c>
      <c r="L113" s="1832">
        <f t="shared" ref="L113:L120" si="5">D69</f>
        <v>0.27</v>
      </c>
      <c r="M113" s="1833">
        <f t="shared" ref="M113:M120" si="6">D81</f>
        <v>100</v>
      </c>
      <c r="N113" s="1834">
        <f>$F$81</f>
        <v>150</v>
      </c>
      <c r="O113" s="1834">
        <f t="shared" ref="O113:O120" si="7">D59</f>
        <v>77</v>
      </c>
      <c r="P113" s="1835">
        <f>$G$81</f>
        <v>1200</v>
      </c>
      <c r="Q113" s="1836">
        <f t="shared" ref="Q113:Q120" si="8">L113*F113</f>
        <v>0</v>
      </c>
      <c r="R113" s="1837">
        <f t="shared" ref="R113:R120" si="9">Q113*G113*(H113/J113)*I113/100000</f>
        <v>0</v>
      </c>
      <c r="S113" s="1838">
        <f t="shared" ref="S113:S120" si="10">Q113*M113</f>
        <v>0</v>
      </c>
      <c r="T113" s="1839">
        <f t="shared" ref="T113:T120" si="11">F113*N113</f>
        <v>0</v>
      </c>
      <c r="U113" s="1838">
        <f t="shared" ref="U113:U120" si="12">T113+S113</f>
        <v>0</v>
      </c>
      <c r="V113" s="1838">
        <f t="shared" ref="V113:V120" si="13">Q113*O113</f>
        <v>0</v>
      </c>
      <c r="W113" s="1839">
        <f t="shared" ref="W113:W120" si="14">P113*F113</f>
        <v>0</v>
      </c>
      <c r="X113" s="1840">
        <f>W113+V113</f>
        <v>0</v>
      </c>
    </row>
    <row r="114" spans="2:33" x14ac:dyDescent="0.35">
      <c r="B114" s="1811" t="s">
        <v>2611</v>
      </c>
      <c r="C114" s="1812" t="s">
        <v>2622</v>
      </c>
      <c r="D114" s="1827">
        <f t="shared" ref="D114:F120" si="15">D99</f>
        <v>0</v>
      </c>
      <c r="E114" s="1823">
        <f t="shared" si="15"/>
        <v>0</v>
      </c>
      <c r="F114" s="1823">
        <f t="shared" si="15"/>
        <v>0</v>
      </c>
      <c r="G114" s="1828">
        <f t="shared" si="2"/>
        <v>6.9</v>
      </c>
      <c r="H114" s="1829">
        <f t="shared" si="2"/>
        <v>951</v>
      </c>
      <c r="I114" s="1829">
        <f t="shared" si="3"/>
        <v>8282</v>
      </c>
      <c r="J114" s="1830">
        <f t="shared" ref="J114:J120" si="16">$C$56</f>
        <v>0.80700000000000005</v>
      </c>
      <c r="K114" s="1831">
        <f t="shared" si="4"/>
        <v>77</v>
      </c>
      <c r="L114" s="1832">
        <f t="shared" si="5"/>
        <v>0.16</v>
      </c>
      <c r="M114" s="1833">
        <f t="shared" si="6"/>
        <v>100</v>
      </c>
      <c r="N114" s="1834">
        <f t="shared" ref="N114:N120" si="17">$F$81</f>
        <v>150</v>
      </c>
      <c r="O114" s="1834">
        <f t="shared" si="7"/>
        <v>77</v>
      </c>
      <c r="P114" s="1835">
        <f t="shared" ref="P114:P120" si="18">$G$81</f>
        <v>1200</v>
      </c>
      <c r="Q114" s="1836">
        <f t="shared" si="8"/>
        <v>0</v>
      </c>
      <c r="R114" s="1837">
        <f t="shared" si="9"/>
        <v>0</v>
      </c>
      <c r="S114" s="1838">
        <f t="shared" si="10"/>
        <v>0</v>
      </c>
      <c r="T114" s="1839">
        <f t="shared" si="11"/>
        <v>0</v>
      </c>
      <c r="U114" s="1838">
        <f t="shared" si="12"/>
        <v>0</v>
      </c>
      <c r="V114" s="1838">
        <f t="shared" si="13"/>
        <v>0</v>
      </c>
      <c r="W114" s="1839">
        <f t="shared" si="14"/>
        <v>0</v>
      </c>
      <c r="X114" s="1840">
        <f t="shared" ref="X114:X120" si="19">W114+V114</f>
        <v>0</v>
      </c>
    </row>
    <row r="115" spans="2:33" x14ac:dyDescent="0.35">
      <c r="B115" s="1811" t="s">
        <v>2612</v>
      </c>
      <c r="C115" s="1812" t="s">
        <v>2613</v>
      </c>
      <c r="D115" s="1827">
        <f t="shared" si="15"/>
        <v>0</v>
      </c>
      <c r="E115" s="1823">
        <f t="shared" si="15"/>
        <v>0</v>
      </c>
      <c r="F115" s="1823">
        <f t="shared" si="15"/>
        <v>0</v>
      </c>
      <c r="G115" s="1828">
        <f t="shared" si="2"/>
        <v>6.5</v>
      </c>
      <c r="H115" s="1829">
        <f t="shared" si="2"/>
        <v>944</v>
      </c>
      <c r="I115" s="1829">
        <f t="shared" si="3"/>
        <v>8282</v>
      </c>
      <c r="J115" s="1830">
        <f t="shared" si="16"/>
        <v>0.80700000000000005</v>
      </c>
      <c r="K115" s="1831">
        <f t="shared" si="4"/>
        <v>180</v>
      </c>
      <c r="L115" s="1832">
        <f t="shared" si="5"/>
        <v>0.16</v>
      </c>
      <c r="M115" s="1833">
        <f t="shared" si="6"/>
        <v>100</v>
      </c>
      <c r="N115" s="1834">
        <f t="shared" si="17"/>
        <v>150</v>
      </c>
      <c r="O115" s="1834">
        <f t="shared" si="7"/>
        <v>180</v>
      </c>
      <c r="P115" s="1835">
        <f t="shared" si="18"/>
        <v>1200</v>
      </c>
      <c r="Q115" s="1836">
        <f t="shared" si="8"/>
        <v>0</v>
      </c>
      <c r="R115" s="1837">
        <f t="shared" si="9"/>
        <v>0</v>
      </c>
      <c r="S115" s="1838">
        <f t="shared" si="10"/>
        <v>0</v>
      </c>
      <c r="T115" s="1839">
        <f t="shared" si="11"/>
        <v>0</v>
      </c>
      <c r="U115" s="1838">
        <f t="shared" si="12"/>
        <v>0</v>
      </c>
      <c r="V115" s="1838">
        <f t="shared" si="13"/>
        <v>0</v>
      </c>
      <c r="W115" s="1839">
        <f t="shared" si="14"/>
        <v>0</v>
      </c>
      <c r="X115" s="1840">
        <f t="shared" si="19"/>
        <v>0</v>
      </c>
    </row>
    <row r="116" spans="2:33" x14ac:dyDescent="0.35">
      <c r="B116" s="774" t="s">
        <v>2612</v>
      </c>
      <c r="C116" s="995" t="s">
        <v>2614</v>
      </c>
      <c r="D116" s="895">
        <f t="shared" si="15"/>
        <v>0.24</v>
      </c>
      <c r="E116" s="967">
        <f t="shared" si="15"/>
        <v>37.32</v>
      </c>
      <c r="F116" s="967">
        <f t="shared" si="15"/>
        <v>111.96000000000001</v>
      </c>
      <c r="G116" s="1788">
        <f t="shared" si="2"/>
        <v>23.4</v>
      </c>
      <c r="H116" s="1005">
        <f t="shared" si="2"/>
        <v>915</v>
      </c>
      <c r="I116" s="1005">
        <f t="shared" si="3"/>
        <v>8282</v>
      </c>
      <c r="J116" s="750">
        <f t="shared" si="16"/>
        <v>0.80700000000000005</v>
      </c>
      <c r="K116" s="1789">
        <f t="shared" si="4"/>
        <v>223</v>
      </c>
      <c r="L116" s="1751">
        <f t="shared" si="5"/>
        <v>0.16</v>
      </c>
      <c r="M116" s="1841">
        <f t="shared" si="6"/>
        <v>180</v>
      </c>
      <c r="N116" s="879">
        <f t="shared" si="17"/>
        <v>150</v>
      </c>
      <c r="O116" s="879">
        <f t="shared" si="7"/>
        <v>223</v>
      </c>
      <c r="P116" s="1842">
        <f t="shared" si="18"/>
        <v>1200</v>
      </c>
      <c r="Q116" s="925">
        <f t="shared" si="8"/>
        <v>17.913600000000002</v>
      </c>
      <c r="R116" s="1037">
        <f t="shared" si="9"/>
        <v>39362.395019420081</v>
      </c>
      <c r="S116" s="810">
        <f t="shared" si="10"/>
        <v>3224.4480000000003</v>
      </c>
      <c r="T116" s="1843">
        <f t="shared" si="11"/>
        <v>16794</v>
      </c>
      <c r="U116" s="810">
        <f t="shared" si="12"/>
        <v>20018.448</v>
      </c>
      <c r="V116" s="810">
        <f t="shared" si="13"/>
        <v>3994.7328000000007</v>
      </c>
      <c r="W116" s="1843">
        <f t="shared" si="14"/>
        <v>134352</v>
      </c>
      <c r="X116" s="1753">
        <f t="shared" si="19"/>
        <v>138346.7328</v>
      </c>
    </row>
    <row r="117" spans="2:33" x14ac:dyDescent="0.35">
      <c r="B117" s="774" t="s">
        <v>2615</v>
      </c>
      <c r="C117" s="995" t="s">
        <v>2616</v>
      </c>
      <c r="D117" s="895">
        <f t="shared" si="15"/>
        <v>0.12</v>
      </c>
      <c r="E117" s="967">
        <f t="shared" si="15"/>
        <v>18.66</v>
      </c>
      <c r="F117" s="967">
        <f t="shared" si="15"/>
        <v>55.980000000000004</v>
      </c>
      <c r="G117" s="1788">
        <f t="shared" si="2"/>
        <v>43.8</v>
      </c>
      <c r="H117" s="1005">
        <f t="shared" si="2"/>
        <v>880</v>
      </c>
      <c r="I117" s="1005">
        <f t="shared" si="3"/>
        <v>8282</v>
      </c>
      <c r="J117" s="750">
        <f t="shared" si="16"/>
        <v>0.80700000000000005</v>
      </c>
      <c r="K117" s="1789">
        <f t="shared" si="4"/>
        <v>276</v>
      </c>
      <c r="L117" s="1751">
        <f t="shared" si="5"/>
        <v>0.16</v>
      </c>
      <c r="M117" s="1841">
        <f t="shared" si="6"/>
        <v>240</v>
      </c>
      <c r="N117" s="879">
        <f t="shared" si="17"/>
        <v>150</v>
      </c>
      <c r="O117" s="879">
        <f t="shared" si="7"/>
        <v>276</v>
      </c>
      <c r="P117" s="1842">
        <f t="shared" si="18"/>
        <v>1200</v>
      </c>
      <c r="Q117" s="925">
        <f t="shared" si="8"/>
        <v>8.9568000000000012</v>
      </c>
      <c r="R117" s="1037">
        <f t="shared" si="9"/>
        <v>35430.01619794796</v>
      </c>
      <c r="S117" s="810">
        <f t="shared" si="10"/>
        <v>2149.6320000000005</v>
      </c>
      <c r="T117" s="1843">
        <f t="shared" si="11"/>
        <v>8397</v>
      </c>
      <c r="U117" s="810">
        <f t="shared" si="12"/>
        <v>10546.632000000001</v>
      </c>
      <c r="V117" s="810">
        <f t="shared" si="13"/>
        <v>2472.0768000000003</v>
      </c>
      <c r="W117" s="1843">
        <f t="shared" si="14"/>
        <v>67176</v>
      </c>
      <c r="X117" s="1753">
        <f t="shared" si="19"/>
        <v>69648.076799999995</v>
      </c>
    </row>
    <row r="118" spans="2:33" x14ac:dyDescent="0.35">
      <c r="B118" s="774" t="s">
        <v>2615</v>
      </c>
      <c r="C118" s="995" t="s">
        <v>2617</v>
      </c>
      <c r="D118" s="895">
        <f t="shared" si="15"/>
        <v>0.11</v>
      </c>
      <c r="E118" s="967">
        <f t="shared" si="15"/>
        <v>17.105</v>
      </c>
      <c r="F118" s="967">
        <f t="shared" si="15"/>
        <v>51.314999999999998</v>
      </c>
      <c r="G118" s="1788">
        <f t="shared" si="2"/>
        <v>60.9</v>
      </c>
      <c r="H118" s="1005">
        <f t="shared" si="2"/>
        <v>859</v>
      </c>
      <c r="I118" s="1005">
        <f t="shared" si="3"/>
        <v>8282</v>
      </c>
      <c r="J118" s="750">
        <f t="shared" si="16"/>
        <v>0.80700000000000005</v>
      </c>
      <c r="K118" s="1789">
        <f t="shared" si="4"/>
        <v>322</v>
      </c>
      <c r="L118" s="1751">
        <f t="shared" si="5"/>
        <v>0.16</v>
      </c>
      <c r="M118" s="1841">
        <f t="shared" si="6"/>
        <v>360</v>
      </c>
      <c r="N118" s="879">
        <f t="shared" si="17"/>
        <v>150</v>
      </c>
      <c r="O118" s="879">
        <f t="shared" si="7"/>
        <v>322</v>
      </c>
      <c r="P118" s="1842">
        <f t="shared" si="18"/>
        <v>1200</v>
      </c>
      <c r="Q118" s="925">
        <f t="shared" si="8"/>
        <v>8.2103999999999999</v>
      </c>
      <c r="R118" s="1037">
        <f t="shared" si="9"/>
        <v>44079.480126637915</v>
      </c>
      <c r="S118" s="810">
        <f t="shared" si="10"/>
        <v>2955.7440000000001</v>
      </c>
      <c r="T118" s="1843">
        <f t="shared" si="11"/>
        <v>7697.25</v>
      </c>
      <c r="U118" s="810">
        <f t="shared" si="12"/>
        <v>10652.994000000001</v>
      </c>
      <c r="V118" s="810">
        <f t="shared" si="13"/>
        <v>2643.7487999999998</v>
      </c>
      <c r="W118" s="1843">
        <f t="shared" si="14"/>
        <v>61578</v>
      </c>
      <c r="X118" s="1753">
        <f t="shared" si="19"/>
        <v>64221.748800000001</v>
      </c>
    </row>
    <row r="119" spans="2:33" x14ac:dyDescent="0.35">
      <c r="B119" s="774" t="s">
        <v>2615</v>
      </c>
      <c r="C119" s="995" t="s">
        <v>2618</v>
      </c>
      <c r="D119" s="895">
        <f t="shared" si="15"/>
        <v>0.53</v>
      </c>
      <c r="E119" s="967">
        <f t="shared" si="15"/>
        <v>82.415000000000006</v>
      </c>
      <c r="F119" s="967">
        <f t="shared" si="15"/>
        <v>247.245</v>
      </c>
      <c r="G119" s="1788">
        <f t="shared" si="2"/>
        <v>82.1</v>
      </c>
      <c r="H119" s="1005">
        <f t="shared" si="2"/>
        <v>837</v>
      </c>
      <c r="I119" s="1005">
        <f t="shared" si="3"/>
        <v>8282</v>
      </c>
      <c r="J119" s="750">
        <f t="shared" si="16"/>
        <v>0.80700000000000005</v>
      </c>
      <c r="K119" s="1789">
        <f t="shared" si="4"/>
        <v>370</v>
      </c>
      <c r="L119" s="1751">
        <f t="shared" si="5"/>
        <v>0.16</v>
      </c>
      <c r="M119" s="1841">
        <f t="shared" si="6"/>
        <v>480</v>
      </c>
      <c r="N119" s="879">
        <f t="shared" si="17"/>
        <v>150</v>
      </c>
      <c r="O119" s="879">
        <f t="shared" si="7"/>
        <v>370</v>
      </c>
      <c r="P119" s="1842">
        <f t="shared" si="18"/>
        <v>1200</v>
      </c>
      <c r="Q119" s="925">
        <f t="shared" si="8"/>
        <v>39.559200000000004</v>
      </c>
      <c r="R119" s="1037">
        <f t="shared" si="9"/>
        <v>278983.04292182013</v>
      </c>
      <c r="S119" s="810">
        <f t="shared" si="10"/>
        <v>18988.416000000001</v>
      </c>
      <c r="T119" s="1843">
        <f t="shared" si="11"/>
        <v>37086.75</v>
      </c>
      <c r="U119" s="810">
        <f t="shared" si="12"/>
        <v>56075.165999999997</v>
      </c>
      <c r="V119" s="810">
        <f t="shared" si="13"/>
        <v>14636.904000000002</v>
      </c>
      <c r="W119" s="1843">
        <f t="shared" si="14"/>
        <v>296694</v>
      </c>
      <c r="X119" s="1753">
        <f t="shared" si="19"/>
        <v>311330.90399999998</v>
      </c>
    </row>
    <row r="120" spans="2:33" ht="15" thickBot="1" x14ac:dyDescent="0.4">
      <c r="B120" s="776" t="s">
        <v>2615</v>
      </c>
      <c r="C120" s="1725" t="s">
        <v>2619</v>
      </c>
      <c r="D120" s="744">
        <f t="shared" si="15"/>
        <v>0</v>
      </c>
      <c r="E120" s="1745">
        <f t="shared" si="15"/>
        <v>0</v>
      </c>
      <c r="F120" s="1745">
        <f>F105</f>
        <v>0</v>
      </c>
      <c r="G120" s="1796">
        <f t="shared" si="2"/>
        <v>105.2</v>
      </c>
      <c r="H120" s="1797">
        <f t="shared" si="2"/>
        <v>816</v>
      </c>
      <c r="I120" s="1797">
        <f t="shared" si="3"/>
        <v>8282</v>
      </c>
      <c r="J120" s="766">
        <f t="shared" si="16"/>
        <v>0.80700000000000005</v>
      </c>
      <c r="K120" s="1798">
        <f t="shared" si="4"/>
        <v>418</v>
      </c>
      <c r="L120" s="1756">
        <f t="shared" si="5"/>
        <v>0.16</v>
      </c>
      <c r="M120" s="1820">
        <f t="shared" si="6"/>
        <v>600</v>
      </c>
      <c r="N120" s="1795">
        <f t="shared" si="17"/>
        <v>150</v>
      </c>
      <c r="O120" s="1795">
        <f t="shared" si="7"/>
        <v>418</v>
      </c>
      <c r="P120" s="1844">
        <f t="shared" si="18"/>
        <v>1200</v>
      </c>
      <c r="Q120" s="925">
        <f t="shared" si="8"/>
        <v>0</v>
      </c>
      <c r="R120" s="1037">
        <f t="shared" si="9"/>
        <v>0</v>
      </c>
      <c r="S120" s="810">
        <f t="shared" si="10"/>
        <v>0</v>
      </c>
      <c r="T120" s="1843">
        <f t="shared" si="11"/>
        <v>0</v>
      </c>
      <c r="U120" s="810">
        <f t="shared" si="12"/>
        <v>0</v>
      </c>
      <c r="V120" s="810">
        <f t="shared" si="13"/>
        <v>0</v>
      </c>
      <c r="W120" s="1843">
        <f t="shared" si="14"/>
        <v>0</v>
      </c>
      <c r="X120" s="1753">
        <f t="shared" si="19"/>
        <v>0</v>
      </c>
    </row>
    <row r="121" spans="2:33" ht="15" thickBot="1" x14ac:dyDescent="0.4">
      <c r="B121" s="898" t="s">
        <v>284</v>
      </c>
      <c r="E121" s="1759">
        <f>SUM(E113:E120)</f>
        <v>155.5</v>
      </c>
      <c r="F121" s="1759">
        <f>SUM(F113:F120)</f>
        <v>466.5</v>
      </c>
      <c r="G121" s="1760"/>
      <c r="J121" s="1761"/>
      <c r="K121" s="1762"/>
      <c r="L121" s="1763"/>
      <c r="N121" s="1763"/>
      <c r="O121" s="1763"/>
      <c r="Q121" s="1845">
        <f>SUM(Q113:Q120)</f>
        <v>74.640000000000015</v>
      </c>
      <c r="R121" s="1846">
        <f t="shared" ref="R121:S121" si="20">SUM(R113:R120)</f>
        <v>397854.93426582607</v>
      </c>
      <c r="S121" s="1847">
        <f t="shared" si="20"/>
        <v>27318.240000000002</v>
      </c>
      <c r="T121" s="1847">
        <f>SUM(T113:T120)</f>
        <v>69975</v>
      </c>
      <c r="U121" s="1847">
        <f>SUM(U113:U120)</f>
        <v>97293.239999999991</v>
      </c>
      <c r="V121" s="1847">
        <f t="shared" ref="V121" si="21">SUM(V113:V120)</f>
        <v>23747.462400000004</v>
      </c>
      <c r="W121" s="1847">
        <f>SUM(W113:W120)</f>
        <v>559800</v>
      </c>
      <c r="X121" s="1848">
        <f>SUM(X113:X120)</f>
        <v>583547.46239999996</v>
      </c>
    </row>
    <row r="122" spans="2:33" x14ac:dyDescent="0.35">
      <c r="B122" s="698"/>
      <c r="C122" s="698"/>
      <c r="J122" s="1766"/>
      <c r="L122" s="853"/>
    </row>
    <row r="123" spans="2:33" ht="15" thickBot="1" x14ac:dyDescent="0.4"/>
    <row r="124" spans="2:33" ht="58.5" thickBot="1" x14ac:dyDescent="0.4">
      <c r="P124" s="1805" t="s">
        <v>2544</v>
      </c>
      <c r="Q124" s="1806">
        <f>R121/E121</f>
        <v>2558.5526319345727</v>
      </c>
    </row>
    <row r="125" spans="2:33" ht="15" thickBot="1" x14ac:dyDescent="0.4">
      <c r="S125" s="3148" t="s">
        <v>2664</v>
      </c>
      <c r="T125" s="3149"/>
      <c r="U125" s="3149"/>
      <c r="V125" s="3149"/>
      <c r="W125" s="3149"/>
      <c r="X125" s="3149"/>
      <c r="Y125" s="3149"/>
      <c r="Z125" s="3149"/>
      <c r="AA125" s="3149"/>
      <c r="AB125" s="3149"/>
      <c r="AC125" s="3149"/>
      <c r="AD125" s="3149"/>
      <c r="AE125" s="3149"/>
      <c r="AF125" s="3149"/>
      <c r="AG125" s="3150"/>
    </row>
    <row r="126" spans="2:33" ht="15" thickBot="1" x14ac:dyDescent="0.4">
      <c r="M126" s="675" t="s">
        <v>2665</v>
      </c>
      <c r="S126" s="1849">
        <v>1</v>
      </c>
      <c r="T126" s="1850">
        <v>2</v>
      </c>
      <c r="U126" s="1850">
        <v>3</v>
      </c>
      <c r="V126" s="1850">
        <v>4</v>
      </c>
      <c r="W126" s="1850">
        <v>5</v>
      </c>
      <c r="X126" s="1850">
        <v>6</v>
      </c>
      <c r="Y126" s="1850">
        <v>7</v>
      </c>
      <c r="Z126" s="1850">
        <v>8</v>
      </c>
      <c r="AA126" s="1850">
        <v>9</v>
      </c>
      <c r="AB126" s="1850">
        <v>10</v>
      </c>
      <c r="AC126" s="1850">
        <v>11</v>
      </c>
      <c r="AD126" s="1850">
        <v>12</v>
      </c>
      <c r="AE126" s="1850">
        <v>13</v>
      </c>
      <c r="AF126" s="1850">
        <v>14</v>
      </c>
      <c r="AG126" s="1851">
        <v>15</v>
      </c>
    </row>
    <row r="127" spans="2:33" x14ac:dyDescent="0.35">
      <c r="L127" s="3151" t="s">
        <v>2666</v>
      </c>
      <c r="M127" s="3152"/>
      <c r="N127" s="3152"/>
      <c r="O127" s="1852">
        <f>C33</f>
        <v>6</v>
      </c>
      <c r="Q127" s="3153" t="s">
        <v>2667</v>
      </c>
      <c r="R127" s="1853">
        <v>1</v>
      </c>
      <c r="S127" s="1854">
        <f t="shared" ref="S127:AG136" si="22">IF(AND(S$126-$R127&lt;$O$127,S$126&gt;=$R127),1,0)</f>
        <v>1</v>
      </c>
      <c r="T127" s="1855">
        <f t="shared" si="22"/>
        <v>1</v>
      </c>
      <c r="U127" s="1855">
        <f t="shared" si="22"/>
        <v>1</v>
      </c>
      <c r="V127" s="1855">
        <f t="shared" si="22"/>
        <v>1</v>
      </c>
      <c r="W127" s="1855">
        <f t="shared" si="22"/>
        <v>1</v>
      </c>
      <c r="X127" s="1855">
        <f t="shared" si="22"/>
        <v>1</v>
      </c>
      <c r="Y127" s="1855">
        <f t="shared" si="22"/>
        <v>0</v>
      </c>
      <c r="Z127" s="1855">
        <f t="shared" si="22"/>
        <v>0</v>
      </c>
      <c r="AA127" s="1855">
        <f t="shared" si="22"/>
        <v>0</v>
      </c>
      <c r="AB127" s="1855">
        <f t="shared" si="22"/>
        <v>0</v>
      </c>
      <c r="AC127" s="1855">
        <f t="shared" si="22"/>
        <v>0</v>
      </c>
      <c r="AD127" s="1855">
        <f t="shared" si="22"/>
        <v>0</v>
      </c>
      <c r="AE127" s="1855">
        <f t="shared" si="22"/>
        <v>0</v>
      </c>
      <c r="AF127" s="1855">
        <f t="shared" si="22"/>
        <v>0</v>
      </c>
      <c r="AG127" s="1856">
        <f t="shared" si="22"/>
        <v>0</v>
      </c>
    </row>
    <row r="128" spans="2:33" x14ac:dyDescent="0.35">
      <c r="L128" s="3144" t="s">
        <v>2668</v>
      </c>
      <c r="M128" s="3145"/>
      <c r="N128" s="3145"/>
      <c r="O128" s="1857">
        <f>C94</f>
        <v>10</v>
      </c>
      <c r="Q128" s="3154"/>
      <c r="R128" s="1858">
        <v>2</v>
      </c>
      <c r="S128" s="1859">
        <f t="shared" si="22"/>
        <v>0</v>
      </c>
      <c r="T128" s="1035">
        <f t="shared" si="22"/>
        <v>1</v>
      </c>
      <c r="U128" s="1035">
        <f t="shared" si="22"/>
        <v>1</v>
      </c>
      <c r="V128" s="1035">
        <f t="shared" si="22"/>
        <v>1</v>
      </c>
      <c r="W128" s="1035">
        <f t="shared" si="22"/>
        <v>1</v>
      </c>
      <c r="X128" s="1035">
        <f t="shared" si="22"/>
        <v>1</v>
      </c>
      <c r="Y128" s="1035">
        <f t="shared" si="22"/>
        <v>1</v>
      </c>
      <c r="Z128" s="1035">
        <f t="shared" si="22"/>
        <v>0</v>
      </c>
      <c r="AA128" s="1035">
        <f t="shared" si="22"/>
        <v>0</v>
      </c>
      <c r="AB128" s="1035">
        <f t="shared" si="22"/>
        <v>0</v>
      </c>
      <c r="AC128" s="1035">
        <f t="shared" si="22"/>
        <v>0</v>
      </c>
      <c r="AD128" s="1035">
        <f t="shared" si="22"/>
        <v>0</v>
      </c>
      <c r="AE128" s="1035">
        <f t="shared" si="22"/>
        <v>0</v>
      </c>
      <c r="AF128" s="1035">
        <f t="shared" si="22"/>
        <v>0</v>
      </c>
      <c r="AG128" s="1030">
        <f t="shared" si="22"/>
        <v>0</v>
      </c>
    </row>
    <row r="129" spans="12:33" x14ac:dyDescent="0.35">
      <c r="L129" s="3144" t="s">
        <v>2669</v>
      </c>
      <c r="M129" s="3145"/>
      <c r="N129" s="3145"/>
      <c r="O129" s="1860">
        <f>R121</f>
        <v>397854.93426582607</v>
      </c>
      <c r="Q129" s="3154"/>
      <c r="R129" s="1858">
        <v>3</v>
      </c>
      <c r="S129" s="1859">
        <f t="shared" si="22"/>
        <v>0</v>
      </c>
      <c r="T129" s="1035">
        <f t="shared" si="22"/>
        <v>0</v>
      </c>
      <c r="U129" s="1035">
        <f t="shared" si="22"/>
        <v>1</v>
      </c>
      <c r="V129" s="1035">
        <f t="shared" si="22"/>
        <v>1</v>
      </c>
      <c r="W129" s="1035">
        <f t="shared" si="22"/>
        <v>1</v>
      </c>
      <c r="X129" s="1035">
        <f t="shared" si="22"/>
        <v>1</v>
      </c>
      <c r="Y129" s="1035">
        <f t="shared" si="22"/>
        <v>1</v>
      </c>
      <c r="Z129" s="1035">
        <f t="shared" si="22"/>
        <v>1</v>
      </c>
      <c r="AA129" s="1035">
        <f t="shared" si="22"/>
        <v>0</v>
      </c>
      <c r="AB129" s="1035">
        <f t="shared" si="22"/>
        <v>0</v>
      </c>
      <c r="AC129" s="1035">
        <f t="shared" si="22"/>
        <v>0</v>
      </c>
      <c r="AD129" s="1035">
        <f t="shared" si="22"/>
        <v>0</v>
      </c>
      <c r="AE129" s="1035">
        <f t="shared" si="22"/>
        <v>0</v>
      </c>
      <c r="AF129" s="1035">
        <f t="shared" si="22"/>
        <v>0</v>
      </c>
      <c r="AG129" s="1030">
        <f t="shared" si="22"/>
        <v>0</v>
      </c>
    </row>
    <row r="130" spans="12:33" x14ac:dyDescent="0.35">
      <c r="L130" s="3144" t="s">
        <v>2670</v>
      </c>
      <c r="M130" s="3145"/>
      <c r="N130" s="3145"/>
      <c r="O130" s="1861">
        <f>S121</f>
        <v>27318.240000000002</v>
      </c>
      <c r="Q130" s="3154"/>
      <c r="R130" s="1858">
        <v>4</v>
      </c>
      <c r="S130" s="1859">
        <f t="shared" si="22"/>
        <v>0</v>
      </c>
      <c r="T130" s="1035">
        <f t="shared" si="22"/>
        <v>0</v>
      </c>
      <c r="U130" s="1035">
        <f t="shared" si="22"/>
        <v>0</v>
      </c>
      <c r="V130" s="1035">
        <f t="shared" si="22"/>
        <v>1</v>
      </c>
      <c r="W130" s="1035">
        <f t="shared" si="22"/>
        <v>1</v>
      </c>
      <c r="X130" s="1035">
        <f t="shared" si="22"/>
        <v>1</v>
      </c>
      <c r="Y130" s="1035">
        <f t="shared" si="22"/>
        <v>1</v>
      </c>
      <c r="Z130" s="1035">
        <f t="shared" si="22"/>
        <v>1</v>
      </c>
      <c r="AA130" s="1035">
        <f t="shared" si="22"/>
        <v>1</v>
      </c>
      <c r="AB130" s="1035">
        <f t="shared" si="22"/>
        <v>0</v>
      </c>
      <c r="AC130" s="1035">
        <f t="shared" si="22"/>
        <v>0</v>
      </c>
      <c r="AD130" s="1035">
        <f t="shared" si="22"/>
        <v>0</v>
      </c>
      <c r="AE130" s="1035">
        <f t="shared" si="22"/>
        <v>0</v>
      </c>
      <c r="AF130" s="1035">
        <f t="shared" si="22"/>
        <v>0</v>
      </c>
      <c r="AG130" s="1030">
        <f t="shared" si="22"/>
        <v>0</v>
      </c>
    </row>
    <row r="131" spans="12:33" x14ac:dyDescent="0.35">
      <c r="L131" s="3144" t="s">
        <v>2671</v>
      </c>
      <c r="M131" s="3145"/>
      <c r="N131" s="3145"/>
      <c r="O131" s="1861">
        <f>T121</f>
        <v>69975</v>
      </c>
      <c r="Q131" s="3154"/>
      <c r="R131" s="1858">
        <v>5</v>
      </c>
      <c r="S131" s="1859">
        <f t="shared" si="22"/>
        <v>0</v>
      </c>
      <c r="T131" s="1035">
        <f t="shared" si="22"/>
        <v>0</v>
      </c>
      <c r="U131" s="1035">
        <f t="shared" si="22"/>
        <v>0</v>
      </c>
      <c r="V131" s="1035">
        <f t="shared" si="22"/>
        <v>0</v>
      </c>
      <c r="W131" s="1035">
        <f t="shared" si="22"/>
        <v>1</v>
      </c>
      <c r="X131" s="1035">
        <f t="shared" si="22"/>
        <v>1</v>
      </c>
      <c r="Y131" s="1035">
        <f t="shared" si="22"/>
        <v>1</v>
      </c>
      <c r="Z131" s="1035">
        <f t="shared" si="22"/>
        <v>1</v>
      </c>
      <c r="AA131" s="1035">
        <f t="shared" si="22"/>
        <v>1</v>
      </c>
      <c r="AB131" s="1035">
        <f t="shared" si="22"/>
        <v>1</v>
      </c>
      <c r="AC131" s="1035">
        <f t="shared" si="22"/>
        <v>0</v>
      </c>
      <c r="AD131" s="1035">
        <f t="shared" si="22"/>
        <v>0</v>
      </c>
      <c r="AE131" s="1035">
        <f t="shared" si="22"/>
        <v>0</v>
      </c>
      <c r="AF131" s="1035">
        <f t="shared" si="22"/>
        <v>0</v>
      </c>
      <c r="AG131" s="1030">
        <f t="shared" si="22"/>
        <v>0</v>
      </c>
    </row>
    <row r="132" spans="12:33" x14ac:dyDescent="0.35">
      <c r="L132" s="3144" t="s">
        <v>2672</v>
      </c>
      <c r="M132" s="3145"/>
      <c r="N132" s="3145"/>
      <c r="O132" s="1861">
        <f>V121</f>
        <v>23747.462400000004</v>
      </c>
      <c r="Q132" s="3154"/>
      <c r="R132" s="1858">
        <v>6</v>
      </c>
      <c r="S132" s="1859">
        <f t="shared" si="22"/>
        <v>0</v>
      </c>
      <c r="T132" s="1035">
        <f t="shared" si="22"/>
        <v>0</v>
      </c>
      <c r="U132" s="1035">
        <f t="shared" si="22"/>
        <v>0</v>
      </c>
      <c r="V132" s="1035">
        <f t="shared" si="22"/>
        <v>0</v>
      </c>
      <c r="W132" s="1035">
        <f t="shared" si="22"/>
        <v>0</v>
      </c>
      <c r="X132" s="1035">
        <f t="shared" si="22"/>
        <v>1</v>
      </c>
      <c r="Y132" s="1035">
        <f t="shared" si="22"/>
        <v>1</v>
      </c>
      <c r="Z132" s="1035">
        <f t="shared" si="22"/>
        <v>1</v>
      </c>
      <c r="AA132" s="1035">
        <f t="shared" si="22"/>
        <v>1</v>
      </c>
      <c r="AB132" s="1035">
        <f t="shared" si="22"/>
        <v>1</v>
      </c>
      <c r="AC132" s="1035">
        <f t="shared" si="22"/>
        <v>1</v>
      </c>
      <c r="AD132" s="1035">
        <f t="shared" si="22"/>
        <v>0</v>
      </c>
      <c r="AE132" s="1035">
        <f t="shared" si="22"/>
        <v>0</v>
      </c>
      <c r="AF132" s="1035">
        <f t="shared" si="22"/>
        <v>0</v>
      </c>
      <c r="AG132" s="1030">
        <f t="shared" si="22"/>
        <v>0</v>
      </c>
    </row>
    <row r="133" spans="12:33" ht="15" thickBot="1" x14ac:dyDescent="0.4">
      <c r="L133" s="3146" t="s">
        <v>2673</v>
      </c>
      <c r="M133" s="3147"/>
      <c r="N133" s="3147"/>
      <c r="O133" s="1862">
        <f>W121</f>
        <v>559800</v>
      </c>
      <c r="Q133" s="3154"/>
      <c r="R133" s="1858">
        <v>7</v>
      </c>
      <c r="S133" s="1859">
        <f t="shared" si="22"/>
        <v>0</v>
      </c>
      <c r="T133" s="1035">
        <f t="shared" si="22"/>
        <v>0</v>
      </c>
      <c r="U133" s="1035">
        <f t="shared" si="22"/>
        <v>0</v>
      </c>
      <c r="V133" s="1035">
        <f t="shared" si="22"/>
        <v>0</v>
      </c>
      <c r="W133" s="1035">
        <f t="shared" si="22"/>
        <v>0</v>
      </c>
      <c r="X133" s="1035">
        <f t="shared" si="22"/>
        <v>0</v>
      </c>
      <c r="Y133" s="1035">
        <f t="shared" si="22"/>
        <v>1</v>
      </c>
      <c r="Z133" s="1035">
        <f t="shared" si="22"/>
        <v>1</v>
      </c>
      <c r="AA133" s="1035">
        <f t="shared" si="22"/>
        <v>1</v>
      </c>
      <c r="AB133" s="1035">
        <f t="shared" si="22"/>
        <v>1</v>
      </c>
      <c r="AC133" s="1035">
        <f t="shared" si="22"/>
        <v>1</v>
      </c>
      <c r="AD133" s="1035">
        <f t="shared" si="22"/>
        <v>1</v>
      </c>
      <c r="AE133" s="1035">
        <f t="shared" si="22"/>
        <v>0</v>
      </c>
      <c r="AF133" s="1035">
        <f t="shared" si="22"/>
        <v>0</v>
      </c>
      <c r="AG133" s="1030">
        <f t="shared" si="22"/>
        <v>0</v>
      </c>
    </row>
    <row r="134" spans="12:33" x14ac:dyDescent="0.35">
      <c r="Q134" s="3154"/>
      <c r="R134" s="1858">
        <v>8</v>
      </c>
      <c r="S134" s="1859">
        <f t="shared" si="22"/>
        <v>0</v>
      </c>
      <c r="T134" s="1035">
        <f t="shared" si="22"/>
        <v>0</v>
      </c>
      <c r="U134" s="1035">
        <f t="shared" si="22"/>
        <v>0</v>
      </c>
      <c r="V134" s="1035">
        <f t="shared" si="22"/>
        <v>0</v>
      </c>
      <c r="W134" s="1035">
        <f t="shared" si="22"/>
        <v>0</v>
      </c>
      <c r="X134" s="1035">
        <f t="shared" si="22"/>
        <v>0</v>
      </c>
      <c r="Y134" s="1035">
        <f t="shared" si="22"/>
        <v>0</v>
      </c>
      <c r="Z134" s="1035">
        <f t="shared" si="22"/>
        <v>1</v>
      </c>
      <c r="AA134" s="1035">
        <f t="shared" si="22"/>
        <v>1</v>
      </c>
      <c r="AB134" s="1035">
        <f t="shared" si="22"/>
        <v>1</v>
      </c>
      <c r="AC134" s="1035">
        <f t="shared" si="22"/>
        <v>1</v>
      </c>
      <c r="AD134" s="1035">
        <f t="shared" si="22"/>
        <v>1</v>
      </c>
      <c r="AE134" s="1035">
        <f t="shared" si="22"/>
        <v>1</v>
      </c>
      <c r="AF134" s="1035">
        <f t="shared" si="22"/>
        <v>0</v>
      </c>
      <c r="AG134" s="1030">
        <f t="shared" si="22"/>
        <v>0</v>
      </c>
    </row>
    <row r="135" spans="12:33" ht="15" thickBot="1" x14ac:dyDescent="0.4">
      <c r="M135" s="675" t="s">
        <v>2674</v>
      </c>
      <c r="Q135" s="3154"/>
      <c r="R135" s="1858">
        <v>9</v>
      </c>
      <c r="S135" s="1859">
        <f t="shared" si="22"/>
        <v>0</v>
      </c>
      <c r="T135" s="1035">
        <f t="shared" si="22"/>
        <v>0</v>
      </c>
      <c r="U135" s="1035">
        <f t="shared" si="22"/>
        <v>0</v>
      </c>
      <c r="V135" s="1035">
        <f t="shared" si="22"/>
        <v>0</v>
      </c>
      <c r="W135" s="1035">
        <f t="shared" si="22"/>
        <v>0</v>
      </c>
      <c r="X135" s="1035">
        <f t="shared" si="22"/>
        <v>0</v>
      </c>
      <c r="Y135" s="1035">
        <f t="shared" si="22"/>
        <v>0</v>
      </c>
      <c r="Z135" s="1035">
        <f t="shared" si="22"/>
        <v>0</v>
      </c>
      <c r="AA135" s="1035">
        <f t="shared" si="22"/>
        <v>1</v>
      </c>
      <c r="AB135" s="1035">
        <f t="shared" si="22"/>
        <v>1</v>
      </c>
      <c r="AC135" s="1035">
        <f t="shared" si="22"/>
        <v>1</v>
      </c>
      <c r="AD135" s="1035">
        <f t="shared" si="22"/>
        <v>1</v>
      </c>
      <c r="AE135" s="1035">
        <f t="shared" si="22"/>
        <v>1</v>
      </c>
      <c r="AF135" s="1035">
        <f t="shared" si="22"/>
        <v>1</v>
      </c>
      <c r="AG135" s="1030">
        <f t="shared" si="22"/>
        <v>0</v>
      </c>
    </row>
    <row r="136" spans="12:33" ht="15" thickBot="1" x14ac:dyDescent="0.4">
      <c r="M136" s="3151" t="s">
        <v>2675</v>
      </c>
      <c r="N136" s="3152"/>
      <c r="O136" s="1863">
        <f>AVERAGE(S138:AG138)</f>
        <v>1591419.7370633038</v>
      </c>
      <c r="Q136" s="3155"/>
      <c r="R136" s="1864">
        <v>10</v>
      </c>
      <c r="S136" s="1865">
        <f t="shared" si="22"/>
        <v>0</v>
      </c>
      <c r="T136" s="1866">
        <f t="shared" si="22"/>
        <v>0</v>
      </c>
      <c r="U136" s="1866">
        <f t="shared" si="22"/>
        <v>0</v>
      </c>
      <c r="V136" s="1866">
        <f t="shared" si="22"/>
        <v>0</v>
      </c>
      <c r="W136" s="1866">
        <f t="shared" si="22"/>
        <v>0</v>
      </c>
      <c r="X136" s="1866">
        <f t="shared" si="22"/>
        <v>0</v>
      </c>
      <c r="Y136" s="1866">
        <f t="shared" si="22"/>
        <v>0</v>
      </c>
      <c r="Z136" s="1866">
        <f t="shared" si="22"/>
        <v>0</v>
      </c>
      <c r="AA136" s="1866">
        <f t="shared" si="22"/>
        <v>0</v>
      </c>
      <c r="AB136" s="1866">
        <f t="shared" si="22"/>
        <v>1</v>
      </c>
      <c r="AC136" s="1866">
        <f t="shared" si="22"/>
        <v>1</v>
      </c>
      <c r="AD136" s="1866">
        <f t="shared" si="22"/>
        <v>1</v>
      </c>
      <c r="AE136" s="1866">
        <f t="shared" si="22"/>
        <v>1</v>
      </c>
      <c r="AF136" s="1866">
        <f t="shared" si="22"/>
        <v>1</v>
      </c>
      <c r="AG136" s="1867">
        <f t="shared" si="22"/>
        <v>1</v>
      </c>
    </row>
    <row r="137" spans="12:33" x14ac:dyDescent="0.35">
      <c r="M137" s="3144" t="s">
        <v>2676</v>
      </c>
      <c r="N137" s="3145"/>
      <c r="O137" s="1868">
        <f>AVERAGE(S142:AG142)</f>
        <v>22877.159999999996</v>
      </c>
      <c r="R137" s="1869" t="s">
        <v>284</v>
      </c>
      <c r="S137" s="1870">
        <f>SUM(S127:S136)</f>
        <v>1</v>
      </c>
      <c r="T137" s="1871">
        <f t="shared" ref="T137:AG137" si="23">SUM(T127:T136)</f>
        <v>2</v>
      </c>
      <c r="U137" s="1871">
        <f t="shared" si="23"/>
        <v>3</v>
      </c>
      <c r="V137" s="1871">
        <f t="shared" si="23"/>
        <v>4</v>
      </c>
      <c r="W137" s="1871">
        <f t="shared" si="23"/>
        <v>5</v>
      </c>
      <c r="X137" s="1871">
        <f t="shared" si="23"/>
        <v>6</v>
      </c>
      <c r="Y137" s="1871">
        <f t="shared" si="23"/>
        <v>6</v>
      </c>
      <c r="Z137" s="1871">
        <f t="shared" si="23"/>
        <v>6</v>
      </c>
      <c r="AA137" s="1871">
        <f t="shared" si="23"/>
        <v>6</v>
      </c>
      <c r="AB137" s="1871">
        <f t="shared" si="23"/>
        <v>6</v>
      </c>
      <c r="AC137" s="1871">
        <f t="shared" si="23"/>
        <v>5</v>
      </c>
      <c r="AD137" s="1871">
        <f t="shared" si="23"/>
        <v>4</v>
      </c>
      <c r="AE137" s="1871">
        <f t="shared" si="23"/>
        <v>3</v>
      </c>
      <c r="AF137" s="1871">
        <f t="shared" si="23"/>
        <v>2</v>
      </c>
      <c r="AG137" s="1872">
        <f t="shared" si="23"/>
        <v>1</v>
      </c>
    </row>
    <row r="138" spans="12:33" ht="15" thickBot="1" x14ac:dyDescent="0.4">
      <c r="M138" s="3146" t="s">
        <v>2677</v>
      </c>
      <c r="N138" s="3147"/>
      <c r="O138" s="1873">
        <f>AVERAGE(S143:AG143)</f>
        <v>53151.641599999974</v>
      </c>
      <c r="R138" s="1874" t="s">
        <v>2529</v>
      </c>
      <c r="S138" s="1875">
        <f t="shared" ref="S138:AG138" si="24">$O$129*S137</f>
        <v>397854.93426582607</v>
      </c>
      <c r="T138" s="1876">
        <f t="shared" si="24"/>
        <v>795709.86853165214</v>
      </c>
      <c r="U138" s="1876">
        <f t="shared" si="24"/>
        <v>1193564.8027974782</v>
      </c>
      <c r="V138" s="1876">
        <f t="shared" si="24"/>
        <v>1591419.7370633043</v>
      </c>
      <c r="W138" s="1876">
        <f t="shared" si="24"/>
        <v>1989274.6713291304</v>
      </c>
      <c r="X138" s="1876">
        <f t="shared" si="24"/>
        <v>2387129.6055949563</v>
      </c>
      <c r="Y138" s="1876">
        <f t="shared" si="24"/>
        <v>2387129.6055949563</v>
      </c>
      <c r="Z138" s="1876">
        <f t="shared" si="24"/>
        <v>2387129.6055949563</v>
      </c>
      <c r="AA138" s="1876">
        <f t="shared" si="24"/>
        <v>2387129.6055949563</v>
      </c>
      <c r="AB138" s="1876">
        <f t="shared" si="24"/>
        <v>2387129.6055949563</v>
      </c>
      <c r="AC138" s="1876">
        <f t="shared" si="24"/>
        <v>1989274.6713291304</v>
      </c>
      <c r="AD138" s="1876">
        <f t="shared" si="24"/>
        <v>1591419.7370633043</v>
      </c>
      <c r="AE138" s="1876">
        <f t="shared" si="24"/>
        <v>1193564.8027974782</v>
      </c>
      <c r="AF138" s="1876">
        <f t="shared" si="24"/>
        <v>795709.86853165214</v>
      </c>
      <c r="AG138" s="1877">
        <f t="shared" si="24"/>
        <v>397854.93426582607</v>
      </c>
    </row>
    <row r="139" spans="12:33" ht="15" thickBot="1" x14ac:dyDescent="0.4"/>
    <row r="140" spans="12:33" x14ac:dyDescent="0.35">
      <c r="R140" s="1878" t="s">
        <v>2678</v>
      </c>
      <c r="S140" s="1871">
        <f>IF(S126&lt;=$O$128,1,0)</f>
        <v>1</v>
      </c>
      <c r="T140" s="1871">
        <f t="shared" ref="T140:AG140" si="25">IF(T126&lt;=$O$128,1,0)</f>
        <v>1</v>
      </c>
      <c r="U140" s="1871">
        <f t="shared" si="25"/>
        <v>1</v>
      </c>
      <c r="V140" s="1871">
        <f t="shared" si="25"/>
        <v>1</v>
      </c>
      <c r="W140" s="1871">
        <f t="shared" si="25"/>
        <v>1</v>
      </c>
      <c r="X140" s="1871">
        <f t="shared" si="25"/>
        <v>1</v>
      </c>
      <c r="Y140" s="1871">
        <f t="shared" si="25"/>
        <v>1</v>
      </c>
      <c r="Z140" s="1871">
        <f t="shared" si="25"/>
        <v>1</v>
      </c>
      <c r="AA140" s="1871">
        <f t="shared" si="25"/>
        <v>1</v>
      </c>
      <c r="AB140" s="1871">
        <f t="shared" si="25"/>
        <v>1</v>
      </c>
      <c r="AC140" s="1871">
        <f t="shared" si="25"/>
        <v>0</v>
      </c>
      <c r="AD140" s="1871">
        <f t="shared" si="25"/>
        <v>0</v>
      </c>
      <c r="AE140" s="1871">
        <f t="shared" si="25"/>
        <v>0</v>
      </c>
      <c r="AF140" s="1871">
        <f t="shared" si="25"/>
        <v>0</v>
      </c>
      <c r="AG140" s="1872">
        <f t="shared" si="25"/>
        <v>0</v>
      </c>
    </row>
    <row r="141" spans="12:33" x14ac:dyDescent="0.35">
      <c r="R141" s="1879" t="s">
        <v>2679</v>
      </c>
      <c r="S141" s="1035">
        <v>1</v>
      </c>
      <c r="T141" s="1035">
        <v>0</v>
      </c>
      <c r="U141" s="1035">
        <v>0</v>
      </c>
      <c r="V141" s="1035">
        <v>0</v>
      </c>
      <c r="W141" s="1035">
        <v>0</v>
      </c>
      <c r="X141" s="1035">
        <v>0</v>
      </c>
      <c r="Y141" s="1035">
        <v>0</v>
      </c>
      <c r="Z141" s="1035">
        <v>0</v>
      </c>
      <c r="AA141" s="1035">
        <v>0</v>
      </c>
      <c r="AB141" s="1035">
        <v>0</v>
      </c>
      <c r="AC141" s="1035">
        <v>0</v>
      </c>
      <c r="AD141" s="1035">
        <v>0</v>
      </c>
      <c r="AE141" s="1035">
        <v>0</v>
      </c>
      <c r="AF141" s="1035">
        <v>0</v>
      </c>
      <c r="AG141" s="1030">
        <v>0</v>
      </c>
    </row>
    <row r="142" spans="12:33" x14ac:dyDescent="0.35">
      <c r="R142" s="1879" t="s">
        <v>2371</v>
      </c>
      <c r="S142" s="1880">
        <f>S140*$O130+S141*$O131</f>
        <v>97293.24</v>
      </c>
      <c r="T142" s="1880">
        <f t="shared" ref="T142:AG142" si="26">T140*$O130+T141*$O131</f>
        <v>27318.240000000002</v>
      </c>
      <c r="U142" s="1880">
        <f t="shared" si="26"/>
        <v>27318.240000000002</v>
      </c>
      <c r="V142" s="1880">
        <f t="shared" si="26"/>
        <v>27318.240000000002</v>
      </c>
      <c r="W142" s="1880">
        <f t="shared" si="26"/>
        <v>27318.240000000002</v>
      </c>
      <c r="X142" s="1880">
        <f t="shared" si="26"/>
        <v>27318.240000000002</v>
      </c>
      <c r="Y142" s="1880">
        <f t="shared" si="26"/>
        <v>27318.240000000002</v>
      </c>
      <c r="Z142" s="1880">
        <f t="shared" si="26"/>
        <v>27318.240000000002</v>
      </c>
      <c r="AA142" s="1880">
        <f t="shared" si="26"/>
        <v>27318.240000000002</v>
      </c>
      <c r="AB142" s="1880">
        <f t="shared" si="26"/>
        <v>27318.240000000002</v>
      </c>
      <c r="AC142" s="1880">
        <f t="shared" si="26"/>
        <v>0</v>
      </c>
      <c r="AD142" s="1880">
        <f t="shared" si="26"/>
        <v>0</v>
      </c>
      <c r="AE142" s="1880">
        <f t="shared" si="26"/>
        <v>0</v>
      </c>
      <c r="AF142" s="1880">
        <f t="shared" si="26"/>
        <v>0</v>
      </c>
      <c r="AG142" s="1868">
        <f t="shared" si="26"/>
        <v>0</v>
      </c>
    </row>
    <row r="143" spans="12:33" ht="15" thickBot="1" x14ac:dyDescent="0.4">
      <c r="R143" s="1881" t="s">
        <v>1960</v>
      </c>
      <c r="S143" s="1882">
        <f>S140*$O132+S141*$O133</f>
        <v>583547.46239999996</v>
      </c>
      <c r="T143" s="1882">
        <f t="shared" ref="T143:AG143" si="27">T140*$O132+T141*$O133</f>
        <v>23747.462400000004</v>
      </c>
      <c r="U143" s="1882">
        <f t="shared" si="27"/>
        <v>23747.462400000004</v>
      </c>
      <c r="V143" s="1882">
        <f t="shared" si="27"/>
        <v>23747.462400000004</v>
      </c>
      <c r="W143" s="1882">
        <f t="shared" si="27"/>
        <v>23747.462400000004</v>
      </c>
      <c r="X143" s="1882">
        <f t="shared" si="27"/>
        <v>23747.462400000004</v>
      </c>
      <c r="Y143" s="1882">
        <f t="shared" si="27"/>
        <v>23747.462400000004</v>
      </c>
      <c r="Z143" s="1882">
        <f t="shared" si="27"/>
        <v>23747.462400000004</v>
      </c>
      <c r="AA143" s="1882">
        <f t="shared" si="27"/>
        <v>23747.462400000004</v>
      </c>
      <c r="AB143" s="1882">
        <f t="shared" si="27"/>
        <v>23747.462400000004</v>
      </c>
      <c r="AC143" s="1882">
        <f t="shared" si="27"/>
        <v>0</v>
      </c>
      <c r="AD143" s="1882">
        <f t="shared" si="27"/>
        <v>0</v>
      </c>
      <c r="AE143" s="1882">
        <f t="shared" si="27"/>
        <v>0</v>
      </c>
      <c r="AF143" s="1882">
        <f t="shared" si="27"/>
        <v>0</v>
      </c>
      <c r="AG143" s="1873">
        <f t="shared" si="27"/>
        <v>0</v>
      </c>
    </row>
  </sheetData>
  <mergeCells count="22">
    <mergeCell ref="M137:N137"/>
    <mergeCell ref="M138:N138"/>
    <mergeCell ref="S125:AG125"/>
    <mergeCell ref="L127:N127"/>
    <mergeCell ref="Q127:Q136"/>
    <mergeCell ref="L128:N128"/>
    <mergeCell ref="L129:N129"/>
    <mergeCell ref="L130:N130"/>
    <mergeCell ref="L131:N131"/>
    <mergeCell ref="L132:N132"/>
    <mergeCell ref="L133:N133"/>
    <mergeCell ref="M136:N136"/>
    <mergeCell ref="B5:H7"/>
    <mergeCell ref="B8:H11"/>
    <mergeCell ref="B12:H15"/>
    <mergeCell ref="K44:R44"/>
    <mergeCell ref="D96:F96"/>
    <mergeCell ref="B111:C111"/>
    <mergeCell ref="D111:F111"/>
    <mergeCell ref="G111:L111"/>
    <mergeCell ref="M111:P111"/>
    <mergeCell ref="Q111:X111"/>
  </mergeCells>
  <pageMargins left="0.7" right="0.7" top="0.75" bottom="0.75" header="0.3" footer="0.3"/>
  <pageSetup scale="19" orientation="portrait" r:id="rId1"/>
  <headerFooter>
    <oddHeader>&amp;LAppendix G (Rev.)</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B0F0"/>
    <pageSetUpPr fitToPage="1"/>
  </sheetPr>
  <dimension ref="A1:AB72"/>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2" width="13.81640625" style="675" customWidth="1"/>
    <col min="13" max="13" width="18.54296875" style="675" customWidth="1"/>
    <col min="14" max="14" width="13.81640625" style="675" customWidth="1"/>
    <col min="15" max="15" width="13.17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4" width="9.7265625" style="675" customWidth="1"/>
    <col min="25" max="25" width="11.54296875" style="675" customWidth="1"/>
    <col min="26"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2680</v>
      </c>
    </row>
    <row r="3" spans="1:6" ht="21" x14ac:dyDescent="0.5">
      <c r="A3" s="704" t="s">
        <v>2681</v>
      </c>
    </row>
    <row r="4" spans="1:6" ht="15" thickBot="1" x14ac:dyDescent="0.4"/>
    <row r="5" spans="1:6" x14ac:dyDescent="0.35">
      <c r="B5" s="678" t="s">
        <v>1947</v>
      </c>
      <c r="C5" s="679">
        <f>B58</f>
        <v>4</v>
      </c>
      <c r="D5" s="680"/>
      <c r="E5" s="680"/>
      <c r="F5" s="680"/>
    </row>
    <row r="6" spans="1:6" x14ac:dyDescent="0.35">
      <c r="B6" s="681" t="s">
        <v>1948</v>
      </c>
      <c r="C6" s="682">
        <f>C72</f>
        <v>40</v>
      </c>
      <c r="D6" s="683"/>
      <c r="F6" s="680"/>
    </row>
    <row r="7" spans="1:6" x14ac:dyDescent="0.35">
      <c r="B7" s="681" t="s">
        <v>1950</v>
      </c>
      <c r="C7" s="684">
        <f>H72</f>
        <v>0</v>
      </c>
      <c r="D7" s="683"/>
      <c r="E7" s="683"/>
      <c r="F7" s="683"/>
    </row>
    <row r="8" spans="1:6" x14ac:dyDescent="0.35">
      <c r="B8" s="681" t="s">
        <v>1951</v>
      </c>
      <c r="C8" s="682">
        <f>I72</f>
        <v>0</v>
      </c>
      <c r="D8" s="683"/>
      <c r="E8" s="683"/>
      <c r="F8" s="683"/>
    </row>
    <row r="9" spans="1:6" x14ac:dyDescent="0.35">
      <c r="B9" s="681" t="s">
        <v>1952</v>
      </c>
      <c r="C9" s="684">
        <f>J72</f>
        <v>16205.76</v>
      </c>
      <c r="D9" s="683"/>
      <c r="E9" s="683"/>
      <c r="F9" s="683"/>
    </row>
    <row r="10" spans="1:6" x14ac:dyDescent="0.35">
      <c r="B10" s="681" t="s">
        <v>1953</v>
      </c>
      <c r="C10" s="685">
        <f>K72</f>
        <v>39000</v>
      </c>
      <c r="D10" s="686"/>
      <c r="E10" s="686"/>
      <c r="F10" s="686"/>
    </row>
    <row r="11" spans="1:6" x14ac:dyDescent="0.35">
      <c r="B11" s="681" t="s">
        <v>61</v>
      </c>
      <c r="C11" s="687">
        <f>(C7/C6)</f>
        <v>0</v>
      </c>
      <c r="D11" s="686"/>
      <c r="E11" s="686"/>
      <c r="F11" s="686"/>
    </row>
    <row r="12" spans="1:6" x14ac:dyDescent="0.35">
      <c r="B12" s="681" t="s">
        <v>62</v>
      </c>
      <c r="C12" s="687">
        <f>(C8/C6)</f>
        <v>0</v>
      </c>
      <c r="D12" s="686"/>
      <c r="E12" s="686"/>
      <c r="F12" s="686"/>
    </row>
    <row r="13" spans="1:6" x14ac:dyDescent="0.35">
      <c r="B13" s="681" t="s">
        <v>63</v>
      </c>
      <c r="C13" s="687">
        <f>(C9/C6)</f>
        <v>405.14400000000001</v>
      </c>
      <c r="D13" s="686"/>
      <c r="E13" s="686"/>
      <c r="F13" s="686"/>
    </row>
    <row r="14" spans="1:6" x14ac:dyDescent="0.35">
      <c r="B14" s="681" t="s">
        <v>1957</v>
      </c>
      <c r="C14" s="688" t="s">
        <v>1271</v>
      </c>
      <c r="D14" s="686"/>
      <c r="E14" s="686"/>
      <c r="F14" s="686"/>
    </row>
    <row r="15" spans="1:6" x14ac:dyDescent="0.35">
      <c r="B15" s="681" t="s">
        <v>1958</v>
      </c>
      <c r="C15" s="689">
        <f>C10/C9</f>
        <v>2.4065517445648954</v>
      </c>
      <c r="D15" s="690"/>
      <c r="E15" s="690"/>
      <c r="F15" s="690"/>
    </row>
    <row r="16" spans="1:6" x14ac:dyDescent="0.35">
      <c r="B16" s="681" t="s">
        <v>1959</v>
      </c>
      <c r="C16" s="691">
        <f>Z72</f>
        <v>0</v>
      </c>
    </row>
    <row r="17" spans="1:6" ht="15" thickBot="1" x14ac:dyDescent="0.4">
      <c r="B17" s="692" t="s">
        <v>1960</v>
      </c>
      <c r="C17" s="693">
        <f>M72</f>
        <v>28000</v>
      </c>
    </row>
    <row r="18" spans="1:6" x14ac:dyDescent="0.35">
      <c r="B18" s="694" t="s">
        <v>1961</v>
      </c>
      <c r="C18" s="695"/>
      <c r="D18" s="696"/>
      <c r="E18" s="680"/>
      <c r="F18" s="696"/>
    </row>
    <row r="19" spans="1:6" ht="15" thickBot="1" x14ac:dyDescent="0.4">
      <c r="C19" s="694"/>
      <c r="D19" s="696"/>
      <c r="E19" s="680"/>
      <c r="F19" s="696"/>
    </row>
    <row r="20" spans="1:6" x14ac:dyDescent="0.35">
      <c r="B20" s="678" t="s">
        <v>1962</v>
      </c>
      <c r="C20" s="942">
        <v>0.9</v>
      </c>
      <c r="D20" s="680"/>
      <c r="E20" s="698"/>
      <c r="F20" s="680"/>
    </row>
    <row r="21" spans="1:6" x14ac:dyDescent="0.35">
      <c r="B21" s="681" t="s">
        <v>1964</v>
      </c>
      <c r="C21" s="943">
        <v>0.67500000000000004</v>
      </c>
      <c r="D21" s="680"/>
      <c r="E21" s="698"/>
      <c r="F21" s="680"/>
    </row>
    <row r="22" spans="1:6" x14ac:dyDescent="0.35">
      <c r="B22" s="681" t="s">
        <v>1965</v>
      </c>
      <c r="C22" s="684">
        <f>C20*C7</f>
        <v>0</v>
      </c>
      <c r="D22" s="683"/>
      <c r="E22" s="683"/>
      <c r="F22" s="683"/>
    </row>
    <row r="23" spans="1:6" x14ac:dyDescent="0.35">
      <c r="B23" s="681" t="s">
        <v>1966</v>
      </c>
      <c r="C23" s="687">
        <f>C20*C8</f>
        <v>0</v>
      </c>
      <c r="D23" s="700"/>
      <c r="E23" s="700"/>
      <c r="F23" s="683"/>
    </row>
    <row r="24" spans="1:6" x14ac:dyDescent="0.35">
      <c r="B24" s="681" t="s">
        <v>1967</v>
      </c>
      <c r="C24" s="684">
        <f>C21*C9</f>
        <v>10938.888000000001</v>
      </c>
      <c r="D24" s="683"/>
      <c r="E24" s="701"/>
      <c r="F24" s="683"/>
    </row>
    <row r="25" spans="1:6" x14ac:dyDescent="0.35">
      <c r="B25" s="681" t="s">
        <v>1968</v>
      </c>
      <c r="C25" s="688" t="s">
        <v>1271</v>
      </c>
      <c r="D25" s="683"/>
      <c r="E25" s="701"/>
      <c r="F25" s="683"/>
    </row>
    <row r="26" spans="1:6" x14ac:dyDescent="0.35">
      <c r="B26" s="681" t="s">
        <v>1969</v>
      </c>
      <c r="C26" s="689">
        <f>C10/C24</f>
        <v>3.5652618437998447</v>
      </c>
      <c r="D26" s="690"/>
      <c r="E26" s="690"/>
      <c r="F26" s="690"/>
    </row>
    <row r="27" spans="1:6" ht="15" thickBot="1" x14ac:dyDescent="0.4">
      <c r="B27" s="692" t="s">
        <v>1970</v>
      </c>
      <c r="C27" s="702">
        <v>14</v>
      </c>
      <c r="D27" s="680"/>
      <c r="E27" s="680"/>
      <c r="F27" s="680"/>
    </row>
    <row r="28" spans="1:6" x14ac:dyDescent="0.35">
      <c r="B28" s="703"/>
      <c r="C28" s="703"/>
    </row>
    <row r="29" spans="1:6" ht="21" x14ac:dyDescent="0.5">
      <c r="A29" s="704" t="s">
        <v>1971</v>
      </c>
      <c r="B29" s="703"/>
      <c r="C29" s="703"/>
    </row>
    <row r="30" spans="1:6" ht="15" customHeight="1" thickBot="1" x14ac:dyDescent="0.4"/>
    <row r="31" spans="1:6" x14ac:dyDescent="0.35">
      <c r="B31" s="678" t="s">
        <v>1972</v>
      </c>
      <c r="C31" s="705">
        <f>C7/C5</f>
        <v>0</v>
      </c>
      <c r="D31" s="683"/>
      <c r="E31" s="683"/>
      <c r="F31" s="683"/>
    </row>
    <row r="32" spans="1:6" x14ac:dyDescent="0.35">
      <c r="B32" s="681" t="s">
        <v>1973</v>
      </c>
      <c r="C32" s="684">
        <f>C9/C5</f>
        <v>4051.44</v>
      </c>
      <c r="D32" s="706"/>
      <c r="E32" s="706"/>
      <c r="F32" s="706"/>
    </row>
    <row r="33" spans="1:17" x14ac:dyDescent="0.35">
      <c r="B33" s="681" t="s">
        <v>1974</v>
      </c>
      <c r="C33" s="707">
        <f>C10/C5</f>
        <v>9750</v>
      </c>
    </row>
    <row r="34" spans="1:17" x14ac:dyDescent="0.35">
      <c r="B34" s="681" t="s">
        <v>1975</v>
      </c>
      <c r="C34" s="708">
        <f>C16/C5</f>
        <v>0</v>
      </c>
    </row>
    <row r="35" spans="1:17" ht="15" thickBot="1" x14ac:dyDescent="0.4">
      <c r="B35" s="692" t="s">
        <v>1976</v>
      </c>
      <c r="C35" s="709">
        <f>C17/C5</f>
        <v>7000</v>
      </c>
    </row>
    <row r="36" spans="1:17" x14ac:dyDescent="0.35">
      <c r="H36" s="698"/>
      <c r="I36" s="698"/>
      <c r="J36" s="698"/>
    </row>
    <row r="37" spans="1:17" ht="21" x14ac:dyDescent="0.5">
      <c r="A37" s="704" t="s">
        <v>1977</v>
      </c>
    </row>
    <row r="38" spans="1:17" ht="18" customHeight="1" x14ac:dyDescent="0.35"/>
    <row r="39" spans="1:17" ht="15" thickBot="1" x14ac:dyDescent="0.4">
      <c r="B39" s="710"/>
      <c r="C39" s="711"/>
      <c r="D39" s="712"/>
      <c r="E39" s="712"/>
      <c r="F39" s="712"/>
      <c r="G39" s="698"/>
    </row>
    <row r="40" spans="1:17" x14ac:dyDescent="0.35">
      <c r="B40" s="1883" t="s">
        <v>2682</v>
      </c>
      <c r="C40" s="1884" t="s">
        <v>2683</v>
      </c>
      <c r="D40" s="715"/>
      <c r="E40" s="715"/>
      <c r="F40" s="716"/>
      <c r="G40" s="698"/>
      <c r="J40" s="3020" t="s">
        <v>2684</v>
      </c>
      <c r="K40" s="3021"/>
      <c r="L40" s="3021"/>
      <c r="M40" s="3021"/>
      <c r="N40" s="3021"/>
      <c r="O40" s="3021"/>
      <c r="P40" s="3021"/>
      <c r="Q40" s="3022"/>
    </row>
    <row r="41" spans="1:17" x14ac:dyDescent="0.35">
      <c r="B41" s="681" t="s">
        <v>2685</v>
      </c>
      <c r="C41" s="721">
        <v>1483</v>
      </c>
      <c r="D41" s="698"/>
      <c r="E41" s="698"/>
      <c r="F41" s="718"/>
      <c r="G41" s="698"/>
      <c r="J41" s="869" t="s">
        <v>1981</v>
      </c>
      <c r="K41" s="870"/>
      <c r="L41" s="870"/>
      <c r="M41" s="870"/>
      <c r="N41" s="870"/>
      <c r="O41" s="870"/>
      <c r="P41" s="870"/>
      <c r="Q41" s="871"/>
    </row>
    <row r="42" spans="1:17" x14ac:dyDescent="0.35">
      <c r="B42" s="681" t="s">
        <v>8</v>
      </c>
      <c r="C42" s="1885">
        <v>1074</v>
      </c>
      <c r="D42" s="698"/>
      <c r="E42" s="698"/>
      <c r="F42" s="698"/>
      <c r="G42" s="698"/>
      <c r="J42" s="1886" t="s">
        <v>2686</v>
      </c>
      <c r="K42" s="921"/>
      <c r="L42" s="921"/>
      <c r="M42" s="921"/>
      <c r="N42" s="921"/>
      <c r="O42" s="921"/>
      <c r="P42" s="921"/>
      <c r="Q42" s="1887"/>
    </row>
    <row r="43" spans="1:17" ht="15" thickBot="1" x14ac:dyDescent="0.4">
      <c r="B43" s="692" t="s">
        <v>2687</v>
      </c>
      <c r="C43" s="922">
        <v>3607</v>
      </c>
      <c r="D43" s="698"/>
      <c r="E43" s="698"/>
      <c r="F43" s="698"/>
      <c r="G43" s="698"/>
      <c r="J43" s="3156"/>
      <c r="K43" s="3157"/>
      <c r="L43" s="3157"/>
      <c r="M43" s="3157"/>
      <c r="N43" s="3157"/>
      <c r="O43" s="3157"/>
      <c r="P43" s="3157"/>
      <c r="Q43" s="3158"/>
    </row>
    <row r="44" spans="1:17" ht="15" thickBot="1" x14ac:dyDescent="0.4">
      <c r="B44" s="715"/>
      <c r="C44" s="715"/>
      <c r="D44" s="715"/>
      <c r="E44" s="698"/>
      <c r="F44" s="698"/>
      <c r="G44" s="698"/>
      <c r="J44" s="3159"/>
      <c r="K44" s="3160"/>
      <c r="L44" s="3160"/>
      <c r="M44" s="3160"/>
      <c r="N44" s="3160"/>
      <c r="O44" s="3160"/>
      <c r="P44" s="3160"/>
      <c r="Q44" s="3161"/>
    </row>
    <row r="45" spans="1:17" ht="15" thickBot="1" x14ac:dyDescent="0.4">
      <c r="B45" s="1888" t="s">
        <v>2688</v>
      </c>
      <c r="C45" s="1889">
        <v>0.18</v>
      </c>
      <c r="D45" s="698"/>
      <c r="E45" s="698"/>
      <c r="F45" s="698"/>
      <c r="G45" s="698"/>
      <c r="J45" s="869" t="s">
        <v>1990</v>
      </c>
      <c r="K45" s="870"/>
      <c r="L45" s="870"/>
      <c r="M45" s="870"/>
      <c r="N45" s="870"/>
      <c r="O45" s="870"/>
      <c r="P45" s="870"/>
      <c r="Q45" s="871"/>
    </row>
    <row r="46" spans="1:17" ht="15" thickBot="1" x14ac:dyDescent="0.4">
      <c r="C46" s="698"/>
      <c r="D46" s="698"/>
      <c r="E46" s="723"/>
      <c r="F46" s="698"/>
      <c r="G46" s="698"/>
      <c r="J46" s="873" t="s">
        <v>2689</v>
      </c>
      <c r="K46" s="698" t="s">
        <v>1992</v>
      </c>
      <c r="L46" s="698" t="s">
        <v>2690</v>
      </c>
      <c r="M46" s="698"/>
      <c r="N46" s="698"/>
      <c r="O46" s="698"/>
      <c r="P46" s="698"/>
      <c r="Q46" s="874"/>
    </row>
    <row r="47" spans="1:17" x14ac:dyDescent="0.35">
      <c r="B47" s="733" t="s">
        <v>2691</v>
      </c>
      <c r="C47" s="698"/>
      <c r="D47" s="698"/>
      <c r="E47" s="729"/>
      <c r="F47" s="698"/>
      <c r="G47" s="698"/>
      <c r="J47" s="873" t="s">
        <v>294</v>
      </c>
      <c r="K47" s="698" t="s">
        <v>1992</v>
      </c>
      <c r="L47" s="698" t="s">
        <v>2457</v>
      </c>
      <c r="M47" s="698"/>
      <c r="N47" s="698"/>
      <c r="O47" s="698"/>
      <c r="P47" s="698"/>
      <c r="Q47" s="874"/>
    </row>
    <row r="48" spans="1:17" ht="15" thickBot="1" x14ac:dyDescent="0.4">
      <c r="B48" s="734">
        <v>700</v>
      </c>
      <c r="C48" s="715"/>
      <c r="D48" s="715"/>
      <c r="E48" s="729"/>
      <c r="F48" s="698"/>
      <c r="G48" s="698"/>
      <c r="J48" s="933"/>
      <c r="K48" s="934"/>
      <c r="L48" s="934"/>
      <c r="M48" s="934"/>
      <c r="N48" s="934"/>
      <c r="O48" s="934"/>
      <c r="P48" s="934"/>
      <c r="Q48" s="935"/>
    </row>
    <row r="49" spans="1:24" x14ac:dyDescent="0.35">
      <c r="C49" s="698"/>
      <c r="D49" s="698"/>
      <c r="E49" s="729"/>
      <c r="F49" s="698"/>
      <c r="G49" s="698"/>
      <c r="J49" s="698"/>
      <c r="K49" s="698"/>
      <c r="L49" s="698"/>
      <c r="M49" s="698"/>
      <c r="N49" s="698"/>
      <c r="O49" s="698"/>
      <c r="P49" s="698"/>
      <c r="Q49" s="698"/>
      <c r="R49" s="698"/>
    </row>
    <row r="50" spans="1:24" ht="21" x14ac:dyDescent="0.5">
      <c r="A50" s="704" t="s">
        <v>2012</v>
      </c>
      <c r="J50" s="698"/>
      <c r="K50" s="698"/>
      <c r="L50" s="698"/>
      <c r="M50" s="698"/>
      <c r="N50" s="698"/>
      <c r="O50" s="698"/>
      <c r="P50" s="698"/>
      <c r="Q50" s="698"/>
    </row>
    <row r="51" spans="1:24" ht="21.5" thickBot="1" x14ac:dyDescent="0.55000000000000004">
      <c r="A51" s="704"/>
      <c r="B51" s="698"/>
      <c r="C51" s="735"/>
      <c r="J51" s="698"/>
      <c r="K51" s="698"/>
      <c r="L51" s="698"/>
      <c r="M51" s="698"/>
      <c r="N51" s="698"/>
      <c r="O51" s="698"/>
      <c r="P51" s="698"/>
      <c r="Q51" s="698"/>
    </row>
    <row r="52" spans="1:24" x14ac:dyDescent="0.35">
      <c r="B52" s="736" t="s">
        <v>2692</v>
      </c>
      <c r="E52" s="737"/>
      <c r="F52" s="737"/>
      <c r="G52" s="737"/>
    </row>
    <row r="53" spans="1:24" ht="15" thickBot="1" x14ac:dyDescent="0.4">
      <c r="B53" s="738">
        <v>975</v>
      </c>
      <c r="E53" s="739"/>
      <c r="F53" s="739"/>
      <c r="G53" s="739"/>
    </row>
    <row r="54" spans="1:24" x14ac:dyDescent="0.35">
      <c r="B54" s="739"/>
      <c r="C54" s="739"/>
      <c r="D54" s="739"/>
      <c r="E54" s="739"/>
      <c r="F54" s="739"/>
      <c r="G54" s="739"/>
    </row>
    <row r="55" spans="1:24" ht="21" x14ac:dyDescent="0.5">
      <c r="A55" s="704" t="s">
        <v>2014</v>
      </c>
      <c r="C55" s="675" t="s">
        <v>2015</v>
      </c>
    </row>
    <row r="56" spans="1:24" ht="21.5" thickBot="1" x14ac:dyDescent="0.55000000000000004">
      <c r="A56" s="704"/>
    </row>
    <row r="57" spans="1:24" ht="45" x14ac:dyDescent="0.5">
      <c r="A57" s="704"/>
      <c r="B57" s="740" t="s">
        <v>2016</v>
      </c>
      <c r="C57" s="741" t="s">
        <v>2017</v>
      </c>
      <c r="D57" s="742" t="s">
        <v>2018</v>
      </c>
    </row>
    <row r="58" spans="1:24" ht="21.5" thickBot="1" x14ac:dyDescent="0.55000000000000004">
      <c r="A58" s="704"/>
      <c r="B58" s="743">
        <v>4</v>
      </c>
      <c r="C58" s="744">
        <v>10</v>
      </c>
      <c r="D58" s="745">
        <f>C58*B58</f>
        <v>40</v>
      </c>
    </row>
    <row r="59" spans="1:24" ht="15" thickBot="1" x14ac:dyDescent="0.4"/>
    <row r="60" spans="1:24" ht="29" x14ac:dyDescent="0.35">
      <c r="B60" s="1890" t="s">
        <v>2682</v>
      </c>
      <c r="C60" s="747" t="s">
        <v>2020</v>
      </c>
      <c r="D60" s="742" t="s">
        <v>1948</v>
      </c>
      <c r="E60" s="698"/>
      <c r="F60" s="698"/>
      <c r="G60" s="748"/>
      <c r="H60" s="748"/>
      <c r="I60" s="748"/>
      <c r="J60" s="748"/>
      <c r="K60" s="698"/>
      <c r="L60" s="698"/>
      <c r="M60" s="698"/>
      <c r="N60" s="698"/>
      <c r="O60" s="698"/>
    </row>
    <row r="61" spans="1:24" x14ac:dyDescent="0.35">
      <c r="B61" s="681" t="s">
        <v>2685</v>
      </c>
      <c r="C61" s="750">
        <v>0.4</v>
      </c>
      <c r="D61" s="751">
        <f t="shared" ref="D61:D63" si="0">C61*D$58</f>
        <v>16</v>
      </c>
      <c r="E61" s="698"/>
      <c r="F61" s="698"/>
      <c r="G61" s="698"/>
      <c r="H61" s="698"/>
      <c r="I61" s="698"/>
      <c r="J61" s="698"/>
      <c r="K61" s="698"/>
      <c r="L61" s="698"/>
      <c r="M61" s="698"/>
      <c r="N61" s="698"/>
      <c r="O61" s="698"/>
    </row>
    <row r="62" spans="1:24" ht="18.5" x14ac:dyDescent="0.35">
      <c r="B62" s="681" t="s">
        <v>8</v>
      </c>
      <c r="C62" s="750">
        <v>0.2</v>
      </c>
      <c r="D62" s="751">
        <f t="shared" si="0"/>
        <v>8</v>
      </c>
      <c r="E62" s="752"/>
      <c r="F62" s="752"/>
      <c r="G62" s="752"/>
      <c r="H62" s="753"/>
      <c r="I62" s="753"/>
      <c r="J62" s="753"/>
      <c r="K62" s="698"/>
      <c r="L62" s="698"/>
      <c r="M62" s="698"/>
      <c r="N62" s="698"/>
      <c r="O62" s="698"/>
      <c r="T62" s="753"/>
      <c r="U62" s="753"/>
      <c r="V62" s="753"/>
      <c r="W62" s="753"/>
      <c r="X62" s="753"/>
    </row>
    <row r="63" spans="1:24" ht="15" thickBot="1" x14ac:dyDescent="0.4">
      <c r="B63" s="692" t="s">
        <v>2687</v>
      </c>
      <c r="C63" s="766">
        <v>0.4</v>
      </c>
      <c r="D63" s="767">
        <f t="shared" si="0"/>
        <v>16</v>
      </c>
      <c r="E63" s="712"/>
      <c r="F63" s="712"/>
      <c r="G63" s="712"/>
      <c r="H63" s="754"/>
      <c r="I63" s="712"/>
      <c r="J63" s="754"/>
      <c r="K63" s="698"/>
      <c r="L63" s="698"/>
      <c r="M63" s="698"/>
      <c r="N63" s="698"/>
      <c r="O63" s="698"/>
      <c r="T63" s="753"/>
      <c r="U63" s="753"/>
      <c r="V63" s="753"/>
      <c r="W63" s="753"/>
      <c r="X63" s="753"/>
    </row>
    <row r="65" spans="1:28" ht="21" x14ac:dyDescent="0.5">
      <c r="A65" s="704" t="s">
        <v>2036</v>
      </c>
    </row>
    <row r="66" spans="1:28" ht="15" thickBot="1" x14ac:dyDescent="0.4"/>
    <row r="67" spans="1:28" ht="41.25" customHeight="1" thickBot="1" x14ac:dyDescent="0.65">
      <c r="B67" s="778"/>
      <c r="C67" s="3141" t="s">
        <v>2038</v>
      </c>
      <c r="D67" s="3143"/>
      <c r="E67" s="2985" t="s">
        <v>2039</v>
      </c>
      <c r="F67" s="2986"/>
      <c r="G67" s="2986"/>
      <c r="H67" s="2985" t="s">
        <v>2040</v>
      </c>
      <c r="I67" s="2986"/>
      <c r="J67" s="2986"/>
      <c r="K67" s="2986"/>
      <c r="L67" s="2986"/>
      <c r="M67" s="2987"/>
      <c r="N67" s="1891"/>
      <c r="O67" s="1891"/>
      <c r="P67" s="1891"/>
      <c r="Q67" s="1891"/>
      <c r="R67" s="1891"/>
      <c r="S67" s="1891"/>
      <c r="T67" s="1891"/>
      <c r="U67" s="1891"/>
    </row>
    <row r="68" spans="1:28" ht="29.5" thickBot="1" x14ac:dyDescent="0.4">
      <c r="B68" s="1890" t="s">
        <v>2682</v>
      </c>
      <c r="C68" s="1892" t="s">
        <v>2041</v>
      </c>
      <c r="D68" s="1893"/>
      <c r="E68" s="963" t="s">
        <v>2683</v>
      </c>
      <c r="F68" s="963" t="s">
        <v>2449</v>
      </c>
      <c r="G68" s="1894"/>
      <c r="H68" s="1892" t="s">
        <v>2042</v>
      </c>
      <c r="I68" s="963" t="s">
        <v>2043</v>
      </c>
      <c r="J68" s="963" t="s">
        <v>2044</v>
      </c>
      <c r="K68" s="963" t="s">
        <v>2045</v>
      </c>
      <c r="L68" s="964" t="s">
        <v>2046</v>
      </c>
      <c r="M68" s="964" t="s">
        <v>2693</v>
      </c>
      <c r="N68" s="712"/>
      <c r="O68" s="783" t="s">
        <v>2047</v>
      </c>
      <c r="P68" s="747" t="s">
        <v>2041</v>
      </c>
      <c r="Q68" s="773" t="s">
        <v>2048</v>
      </c>
      <c r="R68" s="712"/>
      <c r="S68" s="712"/>
      <c r="T68" s="712"/>
      <c r="U68" s="712"/>
      <c r="AA68" s="712"/>
    </row>
    <row r="69" spans="1:28" ht="15" thickBot="1" x14ac:dyDescent="0.4">
      <c r="B69" s="681" t="s">
        <v>2685</v>
      </c>
      <c r="C69" s="923">
        <f>D61</f>
        <v>16</v>
      </c>
      <c r="D69" s="1895"/>
      <c r="E69" s="785">
        <f>C41</f>
        <v>1483</v>
      </c>
      <c r="F69" s="785">
        <f>C45</f>
        <v>0.18</v>
      </c>
      <c r="G69" s="1896"/>
      <c r="H69" s="1897">
        <v>0</v>
      </c>
      <c r="I69" s="1898">
        <v>0</v>
      </c>
      <c r="J69" s="1899">
        <f>F69*E69*C69</f>
        <v>4271.04</v>
      </c>
      <c r="K69" s="1900">
        <f>C69*B53</f>
        <v>15600</v>
      </c>
      <c r="L69" s="1901">
        <v>0</v>
      </c>
      <c r="M69" s="1902">
        <f>C69*B48</f>
        <v>11200</v>
      </c>
      <c r="N69" s="1762"/>
      <c r="O69" s="797">
        <f>B48*E69*F69</f>
        <v>186858</v>
      </c>
      <c r="P69" s="798">
        <f>C72</f>
        <v>40</v>
      </c>
      <c r="Q69" s="799">
        <f>O69*P69</f>
        <v>7474320</v>
      </c>
      <c r="R69" s="1903"/>
      <c r="S69" s="1763"/>
      <c r="T69" s="1031"/>
      <c r="AA69" s="796"/>
    </row>
    <row r="70" spans="1:28" x14ac:dyDescent="0.35">
      <c r="B70" s="681" t="s">
        <v>8</v>
      </c>
      <c r="C70" s="924">
        <f>D62</f>
        <v>8</v>
      </c>
      <c r="D70" s="1904"/>
      <c r="E70" s="801">
        <f>C42</f>
        <v>1074</v>
      </c>
      <c r="F70" s="801">
        <f>C45</f>
        <v>0.18</v>
      </c>
      <c r="G70" s="1905"/>
      <c r="H70" s="1034">
        <v>0</v>
      </c>
      <c r="I70" s="1906">
        <v>0</v>
      </c>
      <c r="J70" s="1907">
        <f t="shared" ref="J70:J71" si="1">F70*E70*C70</f>
        <v>1546.56</v>
      </c>
      <c r="K70" s="1908">
        <f>C70*B53</f>
        <v>7800</v>
      </c>
      <c r="L70" s="1909">
        <v>0</v>
      </c>
      <c r="M70" s="1910">
        <f>C70*B48</f>
        <v>5600</v>
      </c>
      <c r="N70" s="1762"/>
      <c r="O70" s="1763"/>
      <c r="P70" s="1763"/>
      <c r="Q70" s="1903"/>
      <c r="R70" s="1903"/>
      <c r="S70" s="1763"/>
      <c r="T70" s="1031"/>
      <c r="AA70" s="796"/>
      <c r="AB70" s="796"/>
    </row>
    <row r="71" spans="1:28" ht="19" thickBot="1" x14ac:dyDescent="0.4">
      <c r="B71" s="692" t="s">
        <v>2687</v>
      </c>
      <c r="C71" s="1911">
        <f>D63</f>
        <v>16</v>
      </c>
      <c r="D71" s="1912"/>
      <c r="E71" s="812">
        <f>C43</f>
        <v>3607</v>
      </c>
      <c r="F71" s="812">
        <f>C45</f>
        <v>0.18</v>
      </c>
      <c r="G71" s="1913"/>
      <c r="H71" s="1914">
        <v>0</v>
      </c>
      <c r="I71" s="1915">
        <v>0</v>
      </c>
      <c r="J71" s="1916">
        <f t="shared" si="1"/>
        <v>10388.16</v>
      </c>
      <c r="K71" s="1917">
        <f>C71*B53</f>
        <v>15600</v>
      </c>
      <c r="L71" s="1918">
        <v>0</v>
      </c>
      <c r="M71" s="1919">
        <f>C71*B48</f>
        <v>11200</v>
      </c>
      <c r="N71" s="1762"/>
      <c r="O71" s="1763"/>
      <c r="P71" s="1763"/>
      <c r="Q71" s="1903"/>
      <c r="R71" s="1903"/>
      <c r="S71" s="1763"/>
      <c r="T71" s="1031"/>
      <c r="U71" s="1891"/>
      <c r="AA71" s="796"/>
      <c r="AB71" s="796"/>
    </row>
    <row r="72" spans="1:28" ht="15" thickBot="1" x14ac:dyDescent="0.4">
      <c r="B72" s="823" t="s">
        <v>284</v>
      </c>
      <c r="C72" s="1920">
        <f>SUM(C69:C71)</f>
        <v>40</v>
      </c>
      <c r="D72" s="758"/>
      <c r="H72" s="1921">
        <f>SUM(H69:H71)</f>
        <v>0</v>
      </c>
      <c r="I72" s="1922">
        <f>SUM(I69:I71)</f>
        <v>0</v>
      </c>
      <c r="J72" s="1923">
        <f>SUM(J69:J71)</f>
        <v>16205.76</v>
      </c>
      <c r="K72" s="1924">
        <f>SUM(K69:K71)</f>
        <v>39000</v>
      </c>
      <c r="M72" s="1925">
        <f>SUM(M69:M71)</f>
        <v>28000</v>
      </c>
      <c r="U72" s="712"/>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F0"/>
    <pageSetUpPr fitToPage="1"/>
  </sheetPr>
  <dimension ref="A1:AB72"/>
  <sheetViews>
    <sheetView zoomScale="70" zoomScaleNormal="70" workbookViewId="0"/>
  </sheetViews>
  <sheetFormatPr defaultColWidth="9.1796875" defaultRowHeight="14.5" x14ac:dyDescent="0.35"/>
  <cols>
    <col min="1" max="1" width="9.1796875" style="675"/>
    <col min="2" max="2" width="31.81640625" style="675" customWidth="1"/>
    <col min="3" max="3" width="16.81640625" style="675" customWidth="1"/>
    <col min="4" max="12" width="13.81640625" style="675" customWidth="1"/>
    <col min="13" max="13" width="18.54296875" style="675" customWidth="1"/>
    <col min="14" max="14" width="13.81640625" style="675" customWidth="1"/>
    <col min="15" max="15" width="13.1796875" style="675" customWidth="1"/>
    <col min="16" max="16" width="12.26953125" style="675" customWidth="1"/>
    <col min="17" max="17" width="11" style="675" customWidth="1"/>
    <col min="18" max="18" width="10.26953125" style="675" customWidth="1"/>
    <col min="19" max="19" width="13" style="675" customWidth="1"/>
    <col min="20" max="20" width="10.81640625" style="675" customWidth="1"/>
    <col min="21" max="21" width="10.26953125" style="675" customWidth="1"/>
    <col min="22" max="24" width="9.7265625" style="675" customWidth="1"/>
    <col min="25" max="25" width="11.54296875" style="675" customWidth="1"/>
    <col min="26"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6" ht="21" x14ac:dyDescent="0.5">
      <c r="A1" s="674" t="s">
        <v>2680</v>
      </c>
    </row>
    <row r="3" spans="1:6" ht="21" x14ac:dyDescent="0.5">
      <c r="A3" s="704" t="s">
        <v>2681</v>
      </c>
    </row>
    <row r="4" spans="1:6" ht="15" thickBot="1" x14ac:dyDescent="0.4"/>
    <row r="5" spans="1:6" x14ac:dyDescent="0.35">
      <c r="B5" s="678" t="s">
        <v>1947</v>
      </c>
      <c r="C5" s="679">
        <f>B58</f>
        <v>4</v>
      </c>
      <c r="D5" s="680"/>
      <c r="E5" s="680"/>
      <c r="F5" s="680"/>
    </row>
    <row r="6" spans="1:6" x14ac:dyDescent="0.35">
      <c r="B6" s="681" t="s">
        <v>1948</v>
      </c>
      <c r="C6" s="682">
        <f>C72</f>
        <v>40</v>
      </c>
      <c r="D6" s="683"/>
      <c r="F6" s="680"/>
    </row>
    <row r="7" spans="1:6" x14ac:dyDescent="0.35">
      <c r="B7" s="681" t="s">
        <v>1950</v>
      </c>
      <c r="C7" s="684">
        <f>H72</f>
        <v>0</v>
      </c>
      <c r="D7" s="683"/>
      <c r="E7" s="683"/>
      <c r="F7" s="683"/>
    </row>
    <row r="8" spans="1:6" x14ac:dyDescent="0.35">
      <c r="B8" s="681" t="s">
        <v>1951</v>
      </c>
      <c r="C8" s="682">
        <f>I72</f>
        <v>0</v>
      </c>
      <c r="D8" s="683"/>
      <c r="E8" s="683"/>
      <c r="F8" s="683"/>
    </row>
    <row r="9" spans="1:6" x14ac:dyDescent="0.35">
      <c r="B9" s="681" t="s">
        <v>1952</v>
      </c>
      <c r="C9" s="684">
        <f>J72</f>
        <v>16205.76</v>
      </c>
      <c r="D9" s="683"/>
      <c r="E9" s="683"/>
      <c r="F9" s="683"/>
    </row>
    <row r="10" spans="1:6" x14ac:dyDescent="0.35">
      <c r="B10" s="681" t="s">
        <v>1953</v>
      </c>
      <c r="C10" s="685">
        <f>K72</f>
        <v>39000</v>
      </c>
      <c r="D10" s="686"/>
      <c r="E10" s="686"/>
      <c r="F10" s="686"/>
    </row>
    <row r="11" spans="1:6" x14ac:dyDescent="0.35">
      <c r="B11" s="681" t="s">
        <v>61</v>
      </c>
      <c r="C11" s="687">
        <f>(C7/C6)</f>
        <v>0</v>
      </c>
      <c r="D11" s="686"/>
      <c r="E11" s="686"/>
      <c r="F11" s="686"/>
    </row>
    <row r="12" spans="1:6" x14ac:dyDescent="0.35">
      <c r="B12" s="681" t="s">
        <v>62</v>
      </c>
      <c r="C12" s="687">
        <f>(C8/C6)</f>
        <v>0</v>
      </c>
      <c r="D12" s="686"/>
      <c r="E12" s="686"/>
      <c r="F12" s="686"/>
    </row>
    <row r="13" spans="1:6" x14ac:dyDescent="0.35">
      <c r="B13" s="681" t="s">
        <v>63</v>
      </c>
      <c r="C13" s="687">
        <f>(C9/C6)</f>
        <v>405.14400000000001</v>
      </c>
      <c r="D13" s="686"/>
      <c r="E13" s="686"/>
      <c r="F13" s="686"/>
    </row>
    <row r="14" spans="1:6" x14ac:dyDescent="0.35">
      <c r="B14" s="681" t="s">
        <v>1957</v>
      </c>
      <c r="C14" s="688" t="s">
        <v>1271</v>
      </c>
      <c r="D14" s="686"/>
      <c r="E14" s="686"/>
      <c r="F14" s="686"/>
    </row>
    <row r="15" spans="1:6" x14ac:dyDescent="0.35">
      <c r="B15" s="681" t="s">
        <v>1958</v>
      </c>
      <c r="C15" s="689">
        <f>C10/C9</f>
        <v>2.4065517445648954</v>
      </c>
      <c r="D15" s="690"/>
      <c r="E15" s="690"/>
      <c r="F15" s="690"/>
    </row>
    <row r="16" spans="1:6" x14ac:dyDescent="0.35">
      <c r="B16" s="681" t="s">
        <v>1959</v>
      </c>
      <c r="C16" s="691">
        <f>Z72</f>
        <v>0</v>
      </c>
    </row>
    <row r="17" spans="1:6" ht="15" thickBot="1" x14ac:dyDescent="0.4">
      <c r="B17" s="692" t="s">
        <v>1960</v>
      </c>
      <c r="C17" s="693">
        <f>M72</f>
        <v>28000</v>
      </c>
    </row>
    <row r="18" spans="1:6" x14ac:dyDescent="0.35">
      <c r="B18" s="694" t="s">
        <v>1961</v>
      </c>
      <c r="C18" s="695"/>
      <c r="D18" s="696"/>
      <c r="E18" s="680"/>
      <c r="F18" s="696"/>
    </row>
    <row r="19" spans="1:6" ht="15" thickBot="1" x14ac:dyDescent="0.4">
      <c r="C19" s="694"/>
      <c r="D19" s="696"/>
      <c r="E19" s="680"/>
      <c r="F19" s="696"/>
    </row>
    <row r="20" spans="1:6" x14ac:dyDescent="0.35">
      <c r="B20" s="678" t="s">
        <v>1962</v>
      </c>
      <c r="C20" s="942">
        <v>0.9</v>
      </c>
      <c r="D20" s="680"/>
      <c r="E20" s="698"/>
      <c r="F20" s="680"/>
    </row>
    <row r="21" spans="1:6" x14ac:dyDescent="0.35">
      <c r="B21" s="681" t="s">
        <v>1964</v>
      </c>
      <c r="C21" s="943">
        <v>0.67500000000000004</v>
      </c>
      <c r="D21" s="680"/>
      <c r="E21" s="698"/>
      <c r="F21" s="680"/>
    </row>
    <row r="22" spans="1:6" x14ac:dyDescent="0.35">
      <c r="B22" s="681" t="s">
        <v>1965</v>
      </c>
      <c r="C22" s="684">
        <f>C20*C7</f>
        <v>0</v>
      </c>
      <c r="D22" s="683"/>
      <c r="E22" s="683"/>
      <c r="F22" s="683"/>
    </row>
    <row r="23" spans="1:6" x14ac:dyDescent="0.35">
      <c r="B23" s="681" t="s">
        <v>1966</v>
      </c>
      <c r="C23" s="687">
        <f>C20*C8</f>
        <v>0</v>
      </c>
      <c r="D23" s="700"/>
      <c r="E23" s="700"/>
      <c r="F23" s="683"/>
    </row>
    <row r="24" spans="1:6" x14ac:dyDescent="0.35">
      <c r="B24" s="681" t="s">
        <v>1967</v>
      </c>
      <c r="C24" s="684">
        <f>C21*C9</f>
        <v>10938.888000000001</v>
      </c>
      <c r="D24" s="683"/>
      <c r="E24" s="701"/>
      <c r="F24" s="683"/>
    </row>
    <row r="25" spans="1:6" x14ac:dyDescent="0.35">
      <c r="B25" s="681" t="s">
        <v>1968</v>
      </c>
      <c r="C25" s="688" t="s">
        <v>1271</v>
      </c>
      <c r="D25" s="683"/>
      <c r="E25" s="701"/>
      <c r="F25" s="683"/>
    </row>
    <row r="26" spans="1:6" x14ac:dyDescent="0.35">
      <c r="B26" s="681" t="s">
        <v>1969</v>
      </c>
      <c r="C26" s="689">
        <f>C10/C24</f>
        <v>3.5652618437998447</v>
      </c>
      <c r="D26" s="690"/>
      <c r="E26" s="690"/>
      <c r="F26" s="690"/>
    </row>
    <row r="27" spans="1:6" ht="15" thickBot="1" x14ac:dyDescent="0.4">
      <c r="B27" s="692" t="s">
        <v>1970</v>
      </c>
      <c r="C27" s="702">
        <v>14</v>
      </c>
      <c r="D27" s="680"/>
      <c r="E27" s="680"/>
      <c r="F27" s="680"/>
    </row>
    <row r="28" spans="1:6" x14ac:dyDescent="0.35">
      <c r="B28" s="703"/>
      <c r="C28" s="703"/>
    </row>
    <row r="29" spans="1:6" ht="21" x14ac:dyDescent="0.5">
      <c r="A29" s="704" t="s">
        <v>1971</v>
      </c>
      <c r="B29" s="703"/>
      <c r="C29" s="703"/>
    </row>
    <row r="30" spans="1:6" ht="15" customHeight="1" thickBot="1" x14ac:dyDescent="0.4"/>
    <row r="31" spans="1:6" x14ac:dyDescent="0.35">
      <c r="B31" s="678" t="s">
        <v>1972</v>
      </c>
      <c r="C31" s="705">
        <f>C7/C5</f>
        <v>0</v>
      </c>
      <c r="D31" s="683"/>
      <c r="E31" s="683"/>
      <c r="F31" s="683"/>
    </row>
    <row r="32" spans="1:6" x14ac:dyDescent="0.35">
      <c r="B32" s="681" t="s">
        <v>1973</v>
      </c>
      <c r="C32" s="684">
        <f>C9/C5</f>
        <v>4051.44</v>
      </c>
      <c r="D32" s="706"/>
      <c r="E32" s="706"/>
      <c r="F32" s="706"/>
    </row>
    <row r="33" spans="1:17" x14ac:dyDescent="0.35">
      <c r="B33" s="681" t="s">
        <v>1974</v>
      </c>
      <c r="C33" s="707">
        <f>C10/C5</f>
        <v>9750</v>
      </c>
    </row>
    <row r="34" spans="1:17" x14ac:dyDescent="0.35">
      <c r="B34" s="681" t="s">
        <v>1975</v>
      </c>
      <c r="C34" s="708">
        <f>C16/C5</f>
        <v>0</v>
      </c>
    </row>
    <row r="35" spans="1:17" ht="15" thickBot="1" x14ac:dyDescent="0.4">
      <c r="B35" s="692" t="s">
        <v>1976</v>
      </c>
      <c r="C35" s="709">
        <f>C17/C5</f>
        <v>7000</v>
      </c>
    </row>
    <row r="36" spans="1:17" x14ac:dyDescent="0.35">
      <c r="H36" s="698"/>
      <c r="I36" s="698"/>
      <c r="J36" s="698"/>
    </row>
    <row r="37" spans="1:17" ht="21" x14ac:dyDescent="0.5">
      <c r="A37" s="704" t="s">
        <v>1977</v>
      </c>
    </row>
    <row r="38" spans="1:17" ht="18" customHeight="1" x14ac:dyDescent="0.35"/>
    <row r="39" spans="1:17" ht="15" thickBot="1" x14ac:dyDescent="0.4">
      <c r="B39" s="710"/>
      <c r="C39" s="711"/>
      <c r="D39" s="712"/>
      <c r="E39" s="712"/>
      <c r="F39" s="712"/>
      <c r="G39" s="698"/>
    </row>
    <row r="40" spans="1:17" x14ac:dyDescent="0.35">
      <c r="B40" s="1883" t="s">
        <v>2682</v>
      </c>
      <c r="C40" s="1884" t="s">
        <v>2683</v>
      </c>
      <c r="D40" s="715"/>
      <c r="E40" s="715"/>
      <c r="F40" s="716"/>
      <c r="G40" s="698"/>
      <c r="J40" s="3020" t="s">
        <v>2684</v>
      </c>
      <c r="K40" s="3021"/>
      <c r="L40" s="3021"/>
      <c r="M40" s="3021"/>
      <c r="N40" s="3021"/>
      <c r="O40" s="3021"/>
      <c r="P40" s="3021"/>
      <c r="Q40" s="3022"/>
    </row>
    <row r="41" spans="1:17" x14ac:dyDescent="0.35">
      <c r="B41" s="681" t="s">
        <v>2685</v>
      </c>
      <c r="C41" s="721">
        <v>1483</v>
      </c>
      <c r="D41" s="698"/>
      <c r="E41" s="698"/>
      <c r="F41" s="718"/>
      <c r="G41" s="698"/>
      <c r="J41" s="869" t="s">
        <v>1981</v>
      </c>
      <c r="K41" s="870"/>
      <c r="L41" s="870"/>
      <c r="M41" s="870"/>
      <c r="N41" s="870"/>
      <c r="O41" s="870"/>
      <c r="P41" s="870"/>
      <c r="Q41" s="871"/>
    </row>
    <row r="42" spans="1:17" x14ac:dyDescent="0.35">
      <c r="B42" s="681" t="s">
        <v>8</v>
      </c>
      <c r="C42" s="1885">
        <v>1074</v>
      </c>
      <c r="D42" s="698"/>
      <c r="E42" s="698"/>
      <c r="F42" s="698"/>
      <c r="G42" s="698"/>
      <c r="J42" s="1886" t="s">
        <v>2686</v>
      </c>
      <c r="K42" s="921"/>
      <c r="L42" s="921"/>
      <c r="M42" s="921"/>
      <c r="N42" s="921"/>
      <c r="O42" s="921"/>
      <c r="P42" s="921"/>
      <c r="Q42" s="1887"/>
    </row>
    <row r="43" spans="1:17" ht="15" thickBot="1" x14ac:dyDescent="0.4">
      <c r="B43" s="692" t="s">
        <v>2687</v>
      </c>
      <c r="C43" s="922">
        <v>3607</v>
      </c>
      <c r="D43" s="698"/>
      <c r="E43" s="698"/>
      <c r="F43" s="698"/>
      <c r="G43" s="698"/>
      <c r="J43" s="3156"/>
      <c r="K43" s="3157"/>
      <c r="L43" s="3157"/>
      <c r="M43" s="3157"/>
      <c r="N43" s="3157"/>
      <c r="O43" s="3157"/>
      <c r="P43" s="3157"/>
      <c r="Q43" s="3158"/>
    </row>
    <row r="44" spans="1:17" ht="15" thickBot="1" x14ac:dyDescent="0.4">
      <c r="B44" s="715"/>
      <c r="C44" s="715"/>
      <c r="D44" s="715"/>
      <c r="E44" s="698"/>
      <c r="F44" s="698"/>
      <c r="G44" s="698"/>
      <c r="J44" s="3159"/>
      <c r="K44" s="3160"/>
      <c r="L44" s="3160"/>
      <c r="M44" s="3160"/>
      <c r="N44" s="3160"/>
      <c r="O44" s="3160"/>
      <c r="P44" s="3160"/>
      <c r="Q44" s="3161"/>
    </row>
    <row r="45" spans="1:17" ht="15" thickBot="1" x14ac:dyDescent="0.4">
      <c r="B45" s="1888" t="s">
        <v>2688</v>
      </c>
      <c r="C45" s="1889">
        <v>0.18</v>
      </c>
      <c r="D45" s="698"/>
      <c r="E45" s="698"/>
      <c r="F45" s="698"/>
      <c r="G45" s="698"/>
      <c r="J45" s="869" t="s">
        <v>1990</v>
      </c>
      <c r="K45" s="870"/>
      <c r="L45" s="870"/>
      <c r="M45" s="870"/>
      <c r="N45" s="870"/>
      <c r="O45" s="870"/>
      <c r="P45" s="870"/>
      <c r="Q45" s="871"/>
    </row>
    <row r="46" spans="1:17" ht="15" thickBot="1" x14ac:dyDescent="0.4">
      <c r="C46" s="698"/>
      <c r="D46" s="698"/>
      <c r="E46" s="723"/>
      <c r="F46" s="698"/>
      <c r="G46" s="698"/>
      <c r="J46" s="873" t="s">
        <v>2689</v>
      </c>
      <c r="K46" s="698" t="s">
        <v>1992</v>
      </c>
      <c r="L46" s="698" t="s">
        <v>2690</v>
      </c>
      <c r="M46" s="698"/>
      <c r="N46" s="698"/>
      <c r="O46" s="698"/>
      <c r="P46" s="698"/>
      <c r="Q46" s="874"/>
    </row>
    <row r="47" spans="1:17" x14ac:dyDescent="0.35">
      <c r="B47" s="733" t="s">
        <v>2691</v>
      </c>
      <c r="C47" s="698"/>
      <c r="D47" s="698"/>
      <c r="E47" s="729"/>
      <c r="F47" s="698"/>
      <c r="G47" s="698"/>
      <c r="J47" s="873" t="s">
        <v>294</v>
      </c>
      <c r="K47" s="698" t="s">
        <v>1992</v>
      </c>
      <c r="L47" s="698" t="s">
        <v>2457</v>
      </c>
      <c r="M47" s="698"/>
      <c r="N47" s="698"/>
      <c r="O47" s="698"/>
      <c r="P47" s="698"/>
      <c r="Q47" s="874"/>
    </row>
    <row r="48" spans="1:17" ht="15" thickBot="1" x14ac:dyDescent="0.4">
      <c r="B48" s="734">
        <v>700</v>
      </c>
      <c r="C48" s="715"/>
      <c r="D48" s="715"/>
      <c r="E48" s="729"/>
      <c r="F48" s="698"/>
      <c r="G48" s="698"/>
      <c r="J48" s="933"/>
      <c r="K48" s="934"/>
      <c r="L48" s="934"/>
      <c r="M48" s="934"/>
      <c r="N48" s="934"/>
      <c r="O48" s="934"/>
      <c r="P48" s="934"/>
      <c r="Q48" s="935"/>
    </row>
    <row r="49" spans="1:24" x14ac:dyDescent="0.35">
      <c r="C49" s="698"/>
      <c r="D49" s="698"/>
      <c r="E49" s="729"/>
      <c r="F49" s="698"/>
      <c r="G49" s="698"/>
      <c r="J49" s="698"/>
      <c r="K49" s="698"/>
      <c r="L49" s="698"/>
      <c r="M49" s="698"/>
      <c r="N49" s="698"/>
      <c r="O49" s="698"/>
      <c r="P49" s="698"/>
      <c r="Q49" s="698"/>
      <c r="R49" s="698"/>
    </row>
    <row r="50" spans="1:24" ht="21" x14ac:dyDescent="0.5">
      <c r="A50" s="704" t="s">
        <v>2012</v>
      </c>
      <c r="J50" s="698"/>
      <c r="K50" s="698"/>
      <c r="L50" s="698"/>
      <c r="M50" s="698"/>
      <c r="N50" s="698"/>
      <c r="O50" s="698"/>
      <c r="P50" s="698"/>
      <c r="Q50" s="698"/>
    </row>
    <row r="51" spans="1:24" ht="21.5" thickBot="1" x14ac:dyDescent="0.55000000000000004">
      <c r="A51" s="704"/>
      <c r="B51" s="698"/>
      <c r="C51" s="735"/>
      <c r="J51" s="698"/>
      <c r="K51" s="698"/>
      <c r="L51" s="698"/>
      <c r="M51" s="698"/>
      <c r="N51" s="698"/>
      <c r="O51" s="698"/>
      <c r="P51" s="698"/>
      <c r="Q51" s="698"/>
    </row>
    <row r="52" spans="1:24" x14ac:dyDescent="0.35">
      <c r="B52" s="736" t="s">
        <v>2692</v>
      </c>
      <c r="E52" s="737"/>
      <c r="F52" s="737"/>
      <c r="G52" s="737"/>
    </row>
    <row r="53" spans="1:24" ht="15" thickBot="1" x14ac:dyDescent="0.4">
      <c r="B53" s="738">
        <v>975</v>
      </c>
      <c r="E53" s="739"/>
      <c r="F53" s="739"/>
      <c r="G53" s="739"/>
    </row>
    <row r="54" spans="1:24" x14ac:dyDescent="0.35">
      <c r="B54" s="739"/>
      <c r="C54" s="739"/>
      <c r="D54" s="739"/>
      <c r="E54" s="739"/>
      <c r="F54" s="739"/>
      <c r="G54" s="739"/>
    </row>
    <row r="55" spans="1:24" ht="21" x14ac:dyDescent="0.5">
      <c r="A55" s="704" t="s">
        <v>2014</v>
      </c>
      <c r="C55" s="675" t="s">
        <v>2015</v>
      </c>
    </row>
    <row r="56" spans="1:24" ht="21.5" thickBot="1" x14ac:dyDescent="0.55000000000000004">
      <c r="A56" s="704"/>
    </row>
    <row r="57" spans="1:24" ht="45" x14ac:dyDescent="0.5">
      <c r="A57" s="704"/>
      <c r="B57" s="740" t="s">
        <v>2016</v>
      </c>
      <c r="C57" s="741" t="s">
        <v>2017</v>
      </c>
      <c r="D57" s="742" t="s">
        <v>2018</v>
      </c>
    </row>
    <row r="58" spans="1:24" ht="21.5" thickBot="1" x14ac:dyDescent="0.55000000000000004">
      <c r="A58" s="704"/>
      <c r="B58" s="743">
        <v>4</v>
      </c>
      <c r="C58" s="744">
        <v>10</v>
      </c>
      <c r="D58" s="745">
        <f>C58*B58</f>
        <v>40</v>
      </c>
    </row>
    <row r="59" spans="1:24" ht="15" thickBot="1" x14ac:dyDescent="0.4"/>
    <row r="60" spans="1:24" ht="29" x14ac:dyDescent="0.35">
      <c r="B60" s="1890" t="s">
        <v>2682</v>
      </c>
      <c r="C60" s="747" t="s">
        <v>2020</v>
      </c>
      <c r="D60" s="742" t="s">
        <v>1948</v>
      </c>
      <c r="E60" s="698"/>
      <c r="F60" s="698"/>
      <c r="G60" s="748"/>
      <c r="H60" s="748"/>
      <c r="I60" s="748"/>
      <c r="J60" s="748"/>
      <c r="K60" s="698"/>
      <c r="L60" s="698"/>
      <c r="M60" s="698"/>
      <c r="N60" s="698"/>
      <c r="O60" s="698"/>
    </row>
    <row r="61" spans="1:24" x14ac:dyDescent="0.35">
      <c r="B61" s="681" t="s">
        <v>2685</v>
      </c>
      <c r="C61" s="750">
        <v>0.4</v>
      </c>
      <c r="D61" s="751">
        <f t="shared" ref="D61:D63" si="0">C61*D$58</f>
        <v>16</v>
      </c>
      <c r="E61" s="698"/>
      <c r="F61" s="698"/>
      <c r="G61" s="698"/>
      <c r="H61" s="698"/>
      <c r="I61" s="698"/>
      <c r="J61" s="698"/>
      <c r="K61" s="698"/>
      <c r="L61" s="698"/>
      <c r="M61" s="698"/>
      <c r="N61" s="698"/>
      <c r="O61" s="698"/>
    </row>
    <row r="62" spans="1:24" ht="18.5" x14ac:dyDescent="0.35">
      <c r="B62" s="681" t="s">
        <v>8</v>
      </c>
      <c r="C62" s="750">
        <v>0.2</v>
      </c>
      <c r="D62" s="751">
        <f t="shared" si="0"/>
        <v>8</v>
      </c>
      <c r="E62" s="752"/>
      <c r="F62" s="752"/>
      <c r="G62" s="752"/>
      <c r="H62" s="753"/>
      <c r="I62" s="753"/>
      <c r="J62" s="753"/>
      <c r="K62" s="698"/>
      <c r="L62" s="698"/>
      <c r="M62" s="698"/>
      <c r="N62" s="698"/>
      <c r="O62" s="698"/>
      <c r="T62" s="753"/>
      <c r="U62" s="753"/>
      <c r="V62" s="753"/>
      <c r="W62" s="753"/>
      <c r="X62" s="753"/>
    </row>
    <row r="63" spans="1:24" ht="15" thickBot="1" x14ac:dyDescent="0.4">
      <c r="B63" s="692" t="s">
        <v>2687</v>
      </c>
      <c r="C63" s="766">
        <v>0.4</v>
      </c>
      <c r="D63" s="767">
        <f t="shared" si="0"/>
        <v>16</v>
      </c>
      <c r="E63" s="712"/>
      <c r="F63" s="712"/>
      <c r="G63" s="712"/>
      <c r="H63" s="754"/>
      <c r="I63" s="712"/>
      <c r="J63" s="754"/>
      <c r="K63" s="698"/>
      <c r="L63" s="698"/>
      <c r="M63" s="698"/>
      <c r="N63" s="698"/>
      <c r="O63" s="698"/>
      <c r="T63" s="753"/>
      <c r="U63" s="753"/>
      <c r="V63" s="753"/>
      <c r="W63" s="753"/>
      <c r="X63" s="753"/>
    </row>
    <row r="65" spans="1:28" ht="21" x14ac:dyDescent="0.5">
      <c r="A65" s="704" t="s">
        <v>2036</v>
      </c>
    </row>
    <row r="66" spans="1:28" ht="15" thickBot="1" x14ac:dyDescent="0.4"/>
    <row r="67" spans="1:28" ht="41.25" customHeight="1" thickBot="1" x14ac:dyDescent="0.65">
      <c r="B67" s="778"/>
      <c r="C67" s="3141" t="s">
        <v>2038</v>
      </c>
      <c r="D67" s="3143"/>
      <c r="E67" s="2985" t="s">
        <v>2039</v>
      </c>
      <c r="F67" s="2986"/>
      <c r="G67" s="2986"/>
      <c r="H67" s="2985" t="s">
        <v>2040</v>
      </c>
      <c r="I67" s="2986"/>
      <c r="J67" s="2986"/>
      <c r="K67" s="2986"/>
      <c r="L67" s="2986"/>
      <c r="M67" s="2987"/>
      <c r="N67" s="1891"/>
      <c r="O67" s="1891"/>
      <c r="P67" s="1891"/>
      <c r="Q67" s="1891"/>
      <c r="R67" s="1891"/>
      <c r="S67" s="1891"/>
      <c r="T67" s="1891"/>
      <c r="U67" s="1891"/>
    </row>
    <row r="68" spans="1:28" ht="29.5" thickBot="1" x14ac:dyDescent="0.4">
      <c r="B68" s="1890" t="s">
        <v>2682</v>
      </c>
      <c r="C68" s="1892" t="s">
        <v>2041</v>
      </c>
      <c r="D68" s="1893"/>
      <c r="E68" s="963" t="s">
        <v>2683</v>
      </c>
      <c r="F68" s="963" t="s">
        <v>2449</v>
      </c>
      <c r="G68" s="1894"/>
      <c r="H68" s="1892" t="s">
        <v>2042</v>
      </c>
      <c r="I68" s="963" t="s">
        <v>2043</v>
      </c>
      <c r="J68" s="963" t="s">
        <v>2044</v>
      </c>
      <c r="K68" s="963" t="s">
        <v>2045</v>
      </c>
      <c r="L68" s="964" t="s">
        <v>2046</v>
      </c>
      <c r="M68" s="964" t="s">
        <v>2693</v>
      </c>
      <c r="N68" s="712"/>
      <c r="O68" s="783" t="s">
        <v>2047</v>
      </c>
      <c r="P68" s="747" t="s">
        <v>2041</v>
      </c>
      <c r="Q68" s="773" t="s">
        <v>2048</v>
      </c>
      <c r="R68" s="712"/>
      <c r="S68" s="712"/>
      <c r="T68" s="712"/>
      <c r="U68" s="712"/>
      <c r="AA68" s="712"/>
    </row>
    <row r="69" spans="1:28" ht="15" thickBot="1" x14ac:dyDescent="0.4">
      <c r="B69" s="681" t="s">
        <v>2685</v>
      </c>
      <c r="C69" s="923">
        <f>D61</f>
        <v>16</v>
      </c>
      <c r="D69" s="1895"/>
      <c r="E69" s="785">
        <f>C41</f>
        <v>1483</v>
      </c>
      <c r="F69" s="785">
        <f>C45</f>
        <v>0.18</v>
      </c>
      <c r="G69" s="1896"/>
      <c r="H69" s="1897">
        <v>0</v>
      </c>
      <c r="I69" s="1898">
        <v>0</v>
      </c>
      <c r="J69" s="1899">
        <f>F69*E69*C69</f>
        <v>4271.04</v>
      </c>
      <c r="K69" s="1900">
        <f>C69*B53</f>
        <v>15600</v>
      </c>
      <c r="L69" s="1901">
        <v>0</v>
      </c>
      <c r="M69" s="1902">
        <f>C69*B48</f>
        <v>11200</v>
      </c>
      <c r="N69" s="1762"/>
      <c r="O69" s="797">
        <f>B48*E69*F69</f>
        <v>186858</v>
      </c>
      <c r="P69" s="798">
        <f>C72</f>
        <v>40</v>
      </c>
      <c r="Q69" s="799">
        <f>O69*P69</f>
        <v>7474320</v>
      </c>
      <c r="R69" s="1903"/>
      <c r="S69" s="1763"/>
      <c r="T69" s="1031"/>
      <c r="AA69" s="796"/>
    </row>
    <row r="70" spans="1:28" x14ac:dyDescent="0.35">
      <c r="B70" s="681" t="s">
        <v>8</v>
      </c>
      <c r="C70" s="924">
        <f>D62</f>
        <v>8</v>
      </c>
      <c r="D70" s="1904"/>
      <c r="E70" s="801">
        <f>C42</f>
        <v>1074</v>
      </c>
      <c r="F70" s="801">
        <f>C45</f>
        <v>0.18</v>
      </c>
      <c r="G70" s="1905"/>
      <c r="H70" s="1034">
        <v>0</v>
      </c>
      <c r="I70" s="1906">
        <v>0</v>
      </c>
      <c r="J70" s="1907">
        <f t="shared" ref="J70:J71" si="1">F70*E70*C70</f>
        <v>1546.56</v>
      </c>
      <c r="K70" s="1908">
        <f>C70*B53</f>
        <v>7800</v>
      </c>
      <c r="L70" s="1909">
        <v>0</v>
      </c>
      <c r="M70" s="1910">
        <f>C70*B48</f>
        <v>5600</v>
      </c>
      <c r="N70" s="1762"/>
      <c r="O70" s="1763"/>
      <c r="P70" s="1763"/>
      <c r="Q70" s="1903"/>
      <c r="R70" s="1903"/>
      <c r="S70" s="1763"/>
      <c r="T70" s="1031"/>
      <c r="AA70" s="796"/>
      <c r="AB70" s="796"/>
    </row>
    <row r="71" spans="1:28" ht="19" thickBot="1" x14ac:dyDescent="0.4">
      <c r="B71" s="692" t="s">
        <v>2687</v>
      </c>
      <c r="C71" s="1911">
        <f>D63</f>
        <v>16</v>
      </c>
      <c r="D71" s="1912"/>
      <c r="E71" s="812">
        <f>C43</f>
        <v>3607</v>
      </c>
      <c r="F71" s="812">
        <f>C45</f>
        <v>0.18</v>
      </c>
      <c r="G71" s="1913"/>
      <c r="H71" s="1914">
        <v>0</v>
      </c>
      <c r="I71" s="1915">
        <v>0</v>
      </c>
      <c r="J71" s="1916">
        <f t="shared" si="1"/>
        <v>10388.16</v>
      </c>
      <c r="K71" s="1917">
        <f>C71*B53</f>
        <v>15600</v>
      </c>
      <c r="L71" s="1918">
        <v>0</v>
      </c>
      <c r="M71" s="1919">
        <f>C71*B48</f>
        <v>11200</v>
      </c>
      <c r="N71" s="1762"/>
      <c r="O71" s="1763"/>
      <c r="P71" s="1763"/>
      <c r="Q71" s="1903"/>
      <c r="R71" s="1903"/>
      <c r="S71" s="1763"/>
      <c r="T71" s="1031"/>
      <c r="U71" s="1891"/>
      <c r="AA71" s="796"/>
      <c r="AB71" s="796"/>
    </row>
    <row r="72" spans="1:28" ht="15" thickBot="1" x14ac:dyDescent="0.4">
      <c r="B72" s="823" t="s">
        <v>284</v>
      </c>
      <c r="C72" s="1920">
        <f>SUM(C69:C71)</f>
        <v>40</v>
      </c>
      <c r="D72" s="758"/>
      <c r="H72" s="1921">
        <f>SUM(H69:H71)</f>
        <v>0</v>
      </c>
      <c r="I72" s="1922">
        <f>SUM(I69:I71)</f>
        <v>0</v>
      </c>
      <c r="J72" s="1923">
        <f>SUM(J69:J71)</f>
        <v>16205.76</v>
      </c>
      <c r="K72" s="1924">
        <f>SUM(K69:K71)</f>
        <v>39000</v>
      </c>
      <c r="M72" s="1925">
        <f>SUM(M69:M71)</f>
        <v>28000</v>
      </c>
      <c r="U72" s="712"/>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F0"/>
    <pageSetUpPr fitToPage="1"/>
  </sheetPr>
  <dimension ref="A1:AB190"/>
  <sheetViews>
    <sheetView zoomScale="70" zoomScaleNormal="70" workbookViewId="0"/>
  </sheetViews>
  <sheetFormatPr defaultColWidth="9.1796875" defaultRowHeight="14.5" x14ac:dyDescent="0.35"/>
  <cols>
    <col min="1" max="1" width="48.7265625" style="675" customWidth="1"/>
    <col min="2" max="2" width="36.1796875" style="675" customWidth="1"/>
    <col min="3" max="3" width="15.7265625" style="675" customWidth="1"/>
    <col min="4" max="6" width="15" style="675" customWidth="1"/>
    <col min="7" max="7" width="42.81640625" style="675" customWidth="1"/>
    <col min="8" max="8" width="27.26953125" style="675" customWidth="1"/>
    <col min="9" max="9" width="17.1796875" style="675" customWidth="1"/>
    <col min="10" max="10" width="12.7265625" style="675" customWidth="1"/>
    <col min="11" max="11" width="10" style="675" customWidth="1"/>
    <col min="12" max="12" width="28" style="675" customWidth="1"/>
    <col min="13" max="13" width="16.81640625" style="675" customWidth="1"/>
    <col min="14" max="14" width="23.453125" style="675" customWidth="1"/>
    <col min="15" max="15" width="16" style="675" customWidth="1"/>
    <col min="16"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5" ht="21" x14ac:dyDescent="0.5">
      <c r="A1" s="674" t="s">
        <v>197</v>
      </c>
    </row>
    <row r="3" spans="1:15" ht="21" x14ac:dyDescent="0.5">
      <c r="A3" s="704" t="s">
        <v>2694</v>
      </c>
    </row>
    <row r="5" spans="1:15" x14ac:dyDescent="0.35">
      <c r="B5" s="834" t="s">
        <v>1947</v>
      </c>
      <c r="C5" s="835">
        <f>SUM(C83:C84)</f>
        <v>2</v>
      </c>
      <c r="D5" s="680"/>
      <c r="E5" s="680"/>
      <c r="F5" s="680"/>
    </row>
    <row r="6" spans="1:15" x14ac:dyDescent="0.35">
      <c r="B6" s="1926" t="s">
        <v>1948</v>
      </c>
      <c r="C6" s="1927">
        <f>SUMPRODUCT(C76:C77,D76:D77)</f>
        <v>2</v>
      </c>
      <c r="D6" s="680"/>
      <c r="E6" s="680"/>
      <c r="F6" s="680"/>
    </row>
    <row r="7" spans="1:15" x14ac:dyDescent="0.35">
      <c r="B7" s="838" t="s">
        <v>2052</v>
      </c>
      <c r="C7" s="839">
        <v>0</v>
      </c>
      <c r="D7" s="683"/>
      <c r="E7" s="683"/>
      <c r="F7" s="683"/>
    </row>
    <row r="8" spans="1:15" x14ac:dyDescent="0.35">
      <c r="B8" s="838" t="s">
        <v>1951</v>
      </c>
      <c r="C8" s="839">
        <v>0</v>
      </c>
      <c r="D8" s="683"/>
      <c r="E8" s="683"/>
      <c r="F8" s="683"/>
      <c r="G8" s="3162" t="s">
        <v>2695</v>
      </c>
      <c r="H8" s="3163"/>
      <c r="I8" s="3163"/>
      <c r="J8" s="3163"/>
      <c r="K8" s="3163"/>
      <c r="L8" s="3163"/>
      <c r="M8" s="3163"/>
      <c r="N8" s="3163"/>
      <c r="O8" s="3164"/>
    </row>
    <row r="9" spans="1:15" x14ac:dyDescent="0.35">
      <c r="B9" s="838" t="s">
        <v>1952</v>
      </c>
      <c r="C9" s="839">
        <f>SUM(H83:H84)</f>
        <v>520.02151781335567</v>
      </c>
      <c r="D9" s="683"/>
      <c r="E9" s="683"/>
      <c r="F9" s="683"/>
      <c r="G9" s="3165"/>
      <c r="H9" s="3166"/>
      <c r="I9" s="3166"/>
      <c r="J9" s="3166"/>
      <c r="K9" s="3166"/>
      <c r="L9" s="3166"/>
      <c r="M9" s="3166"/>
      <c r="N9" s="3166"/>
      <c r="O9" s="3167"/>
    </row>
    <row r="10" spans="1:15" x14ac:dyDescent="0.35">
      <c r="B10" s="838" t="s">
        <v>2053</v>
      </c>
      <c r="C10" s="1308">
        <f>SUM(I83:I84)</f>
        <v>1400</v>
      </c>
      <c r="D10" s="686"/>
      <c r="E10" s="686"/>
      <c r="F10" s="686"/>
      <c r="G10" s="1928" t="s">
        <v>3308</v>
      </c>
      <c r="H10" s="870"/>
      <c r="I10" s="870"/>
      <c r="J10" s="870"/>
      <c r="K10" s="870"/>
      <c r="L10" s="870"/>
      <c r="M10" s="870"/>
      <c r="N10" s="870"/>
      <c r="O10" s="871"/>
    </row>
    <row r="11" spans="1:15" x14ac:dyDescent="0.35">
      <c r="B11" s="838" t="s">
        <v>2054</v>
      </c>
      <c r="C11" s="844">
        <f>C7/$C$6</f>
        <v>0</v>
      </c>
      <c r="D11" s="686"/>
      <c r="E11" s="686"/>
      <c r="F11" s="686"/>
      <c r="G11" s="873" t="s">
        <v>3309</v>
      </c>
      <c r="H11" s="698"/>
      <c r="I11" s="698"/>
      <c r="J11" s="698"/>
      <c r="K11" s="698"/>
      <c r="L11" s="698"/>
      <c r="M11" s="698"/>
      <c r="N11" s="698"/>
      <c r="O11" s="874"/>
    </row>
    <row r="12" spans="1:15" x14ac:dyDescent="0.35">
      <c r="B12" s="838" t="s">
        <v>2055</v>
      </c>
      <c r="C12" s="844">
        <f>C8/$C$6</f>
        <v>0</v>
      </c>
      <c r="D12" s="686"/>
      <c r="E12" s="686"/>
      <c r="F12" s="686"/>
      <c r="G12" s="873" t="s">
        <v>2696</v>
      </c>
      <c r="H12" s="698"/>
      <c r="I12" s="698"/>
      <c r="J12" s="698"/>
      <c r="K12" s="698"/>
      <c r="L12" s="698"/>
      <c r="M12" s="698"/>
      <c r="N12" s="698"/>
      <c r="O12" s="874"/>
    </row>
    <row r="13" spans="1:15" x14ac:dyDescent="0.35">
      <c r="B13" s="838" t="s">
        <v>2056</v>
      </c>
      <c r="C13" s="844">
        <f>C9/$C$6</f>
        <v>260.01075890667784</v>
      </c>
      <c r="D13" s="686"/>
      <c r="E13" s="686"/>
      <c r="F13" s="686"/>
      <c r="G13" s="873" t="s">
        <v>2697</v>
      </c>
      <c r="H13" s="698"/>
      <c r="I13" s="698"/>
      <c r="J13" s="698"/>
      <c r="K13" s="698"/>
      <c r="L13" s="698"/>
      <c r="M13" s="698"/>
      <c r="N13" s="698"/>
      <c r="O13" s="874"/>
    </row>
    <row r="14" spans="1:15" x14ac:dyDescent="0.35">
      <c r="B14" s="838" t="s">
        <v>2288</v>
      </c>
      <c r="C14" s="854">
        <f>C10/C9</f>
        <v>2.6921962881206833</v>
      </c>
      <c r="D14" s="690"/>
      <c r="E14" s="690"/>
      <c r="F14" s="690"/>
      <c r="G14" s="933"/>
      <c r="H14" s="934"/>
      <c r="I14" s="934"/>
      <c r="J14" s="934"/>
      <c r="K14" s="934"/>
      <c r="L14" s="934"/>
      <c r="M14" s="934"/>
      <c r="N14" s="934"/>
      <c r="O14" s="935"/>
    </row>
    <row r="15" spans="1:15" x14ac:dyDescent="0.35">
      <c r="B15" s="838" t="s">
        <v>2289</v>
      </c>
      <c r="C15" s="839">
        <f>C9/C5</f>
        <v>260.01075890667784</v>
      </c>
      <c r="D15" s="683"/>
      <c r="E15" s="683"/>
      <c r="F15" s="683"/>
    </row>
    <row r="16" spans="1:15" x14ac:dyDescent="0.35">
      <c r="B16" s="848" t="s">
        <v>2290</v>
      </c>
      <c r="C16" s="1929">
        <f>C10/C5</f>
        <v>700</v>
      </c>
      <c r="D16" s="706"/>
      <c r="E16" s="706"/>
      <c r="F16" s="706"/>
    </row>
    <row r="17" spans="1:6" x14ac:dyDescent="0.35">
      <c r="B17" s="1036" t="s">
        <v>2108</v>
      </c>
      <c r="C17" s="1930">
        <f>SUM(J83:J84)</f>
        <v>2270</v>
      </c>
      <c r="D17" s="706"/>
      <c r="E17" s="706"/>
      <c r="F17" s="706"/>
    </row>
    <row r="18" spans="1:6" x14ac:dyDescent="0.35">
      <c r="B18" s="1036" t="s">
        <v>2113</v>
      </c>
      <c r="C18" s="1930">
        <f>C17/C6</f>
        <v>1135</v>
      </c>
      <c r="D18" s="706"/>
      <c r="E18" s="706"/>
      <c r="F18" s="706"/>
    </row>
    <row r="19" spans="1:6" x14ac:dyDescent="0.35">
      <c r="B19" s="1036" t="s">
        <v>1970</v>
      </c>
      <c r="C19" s="1931">
        <v>15</v>
      </c>
      <c r="D19" s="706"/>
      <c r="E19" s="706"/>
      <c r="F19" s="706"/>
    </row>
    <row r="20" spans="1:6" x14ac:dyDescent="0.35">
      <c r="B20" s="694" t="s">
        <v>1961</v>
      </c>
      <c r="C20" s="695"/>
      <c r="D20" s="696"/>
      <c r="E20" s="680"/>
      <c r="F20" s="696"/>
    </row>
    <row r="21" spans="1:6" hidden="1" x14ac:dyDescent="0.35">
      <c r="B21" s="834" t="s">
        <v>2387</v>
      </c>
      <c r="C21" s="852">
        <f>1-C33+C34+C35</f>
        <v>0.8</v>
      </c>
      <c r="D21" s="680"/>
      <c r="E21" s="698"/>
      <c r="F21" s="680"/>
    </row>
    <row r="22" spans="1:6" hidden="1" x14ac:dyDescent="0.35">
      <c r="B22" s="841" t="s">
        <v>1965</v>
      </c>
      <c r="C22" s="842">
        <v>0</v>
      </c>
      <c r="D22" s="683"/>
      <c r="E22" s="683"/>
      <c r="F22" s="683"/>
    </row>
    <row r="23" spans="1:6" hidden="1" x14ac:dyDescent="0.35">
      <c r="B23" s="838" t="s">
        <v>1966</v>
      </c>
      <c r="C23" s="839">
        <v>0</v>
      </c>
      <c r="D23" s="683"/>
      <c r="E23" s="683"/>
      <c r="F23" s="683"/>
    </row>
    <row r="24" spans="1:6" hidden="1" x14ac:dyDescent="0.35">
      <c r="B24" s="841" t="s">
        <v>1967</v>
      </c>
      <c r="C24" s="842">
        <f>C21*C9</f>
        <v>416.01721425068456</v>
      </c>
      <c r="D24" s="683"/>
      <c r="E24" s="683"/>
      <c r="F24" s="683"/>
    </row>
    <row r="25" spans="1:6" hidden="1" x14ac:dyDescent="0.35">
      <c r="B25" s="838" t="s">
        <v>1969</v>
      </c>
      <c r="C25" s="854">
        <f>C10/C24</f>
        <v>3.3652453601508543</v>
      </c>
      <c r="D25" s="690"/>
      <c r="E25" s="690"/>
      <c r="F25" s="690"/>
    </row>
    <row r="26" spans="1:6" hidden="1" x14ac:dyDescent="0.35">
      <c r="B26" s="855" t="s">
        <v>1970</v>
      </c>
      <c r="C26" s="856">
        <v>15</v>
      </c>
      <c r="D26" s="680"/>
      <c r="E26" s="680"/>
      <c r="F26" s="680"/>
    </row>
    <row r="27" spans="1:6" x14ac:dyDescent="0.35">
      <c r="B27" s="703"/>
      <c r="C27" s="703"/>
    </row>
    <row r="28" spans="1:6" x14ac:dyDescent="0.35">
      <c r="B28" s="1932" t="s">
        <v>2698</v>
      </c>
      <c r="C28" s="1933">
        <f>IFERROR(H83/C83,0)</f>
        <v>163.61133444042002</v>
      </c>
    </row>
    <row r="29" spans="1:6" x14ac:dyDescent="0.35">
      <c r="B29" s="1932" t="s">
        <v>2699</v>
      </c>
      <c r="C29" s="1934">
        <f>IFERROR(H84/C84,0)</f>
        <v>356.41018337293565</v>
      </c>
    </row>
    <row r="30" spans="1:6" ht="21" hidden="1" x14ac:dyDescent="0.5">
      <c r="A30" s="704" t="s">
        <v>2064</v>
      </c>
      <c r="B30" s="703"/>
      <c r="C30" s="703"/>
    </row>
    <row r="31" spans="1:6" hidden="1" x14ac:dyDescent="0.35"/>
    <row r="32" spans="1:6" ht="12" hidden="1" customHeight="1" x14ac:dyDescent="0.35">
      <c r="B32" s="3004" t="s">
        <v>2395</v>
      </c>
      <c r="C32" s="3005"/>
    </row>
    <row r="33" spans="1:28" hidden="1" x14ac:dyDescent="0.35">
      <c r="B33" s="857" t="s">
        <v>1416</v>
      </c>
      <c r="C33" s="858">
        <v>0.4</v>
      </c>
    </row>
    <row r="34" spans="1:28" hidden="1" x14ac:dyDescent="0.35">
      <c r="B34" s="859" t="s">
        <v>2066</v>
      </c>
      <c r="C34" s="860">
        <v>0.2</v>
      </c>
    </row>
    <row r="35" spans="1:28" hidden="1" x14ac:dyDescent="0.35">
      <c r="B35" s="861" t="s">
        <v>2067</v>
      </c>
      <c r="C35" s="862">
        <v>0</v>
      </c>
    </row>
    <row r="37" spans="1:28" ht="21" x14ac:dyDescent="0.5">
      <c r="A37" s="704" t="s">
        <v>1977</v>
      </c>
    </row>
    <row r="39" spans="1:28" ht="29.5" thickBot="1" x14ac:dyDescent="0.4">
      <c r="A39" s="1932" t="s">
        <v>2700</v>
      </c>
      <c r="B39" s="1932" t="s">
        <v>2701</v>
      </c>
      <c r="C39" s="2499" t="s">
        <v>3306</v>
      </c>
      <c r="D39" s="1932" t="s">
        <v>2702</v>
      </c>
      <c r="E39" s="998" t="s">
        <v>377</v>
      </c>
      <c r="Z39" s="1935"/>
      <c r="AA39" s="1935"/>
      <c r="AB39" s="1935"/>
    </row>
    <row r="40" spans="1:28" ht="15" customHeight="1" x14ac:dyDescent="0.35">
      <c r="A40" s="1890" t="s">
        <v>2698</v>
      </c>
      <c r="B40" s="1936">
        <f>C65</f>
        <v>576.78571428571433</v>
      </c>
      <c r="C40" s="1937">
        <f>IF(F76&gt;75000,0.6002-(0.0011*E76),IF(E76&lt;=55,0.6483-(0.0017*E76),IF(E76&gt;55,0.7897-(0.0004*E76))))</f>
        <v>0.54519999999999991</v>
      </c>
      <c r="D40" s="1938">
        <f>F76/800+110*SQRT(E76)</f>
        <v>942.50495930520231</v>
      </c>
      <c r="E40" s="1002">
        <v>1135</v>
      </c>
      <c r="Z40" s="1935"/>
      <c r="AA40" s="1935"/>
      <c r="AB40" s="1935"/>
    </row>
    <row r="41" spans="1:28" ht="15" customHeight="1" thickBot="1" x14ac:dyDescent="0.4">
      <c r="A41" s="1939" t="s">
        <v>2699</v>
      </c>
      <c r="B41" s="1940">
        <f>C65</f>
        <v>576.78571428571433</v>
      </c>
      <c r="C41" s="1941">
        <f>IF(F77&gt;75000,0.6002-(0.0011*E77),IF(E77&lt;=55,0.6483-(0.0017*E77),IF(E77&gt;55,0.7897-(0.0004*E77))))</f>
        <v>0.49019999999999997</v>
      </c>
      <c r="D41" s="1942">
        <f>F77/800+110*SQRT(E77)</f>
        <v>1369.125</v>
      </c>
      <c r="E41" s="1002">
        <v>1135</v>
      </c>
      <c r="Z41" s="1935"/>
      <c r="AA41" s="1935"/>
      <c r="AB41" s="1935"/>
    </row>
    <row r="42" spans="1:28" ht="15" customHeight="1" x14ac:dyDescent="0.35">
      <c r="B42" s="675" t="s">
        <v>2703</v>
      </c>
      <c r="Z42" s="1935"/>
      <c r="AA42" s="1935"/>
      <c r="AB42" s="1935"/>
    </row>
    <row r="43" spans="1:28" x14ac:dyDescent="0.35">
      <c r="Z43" s="1935"/>
      <c r="AA43" s="1935"/>
      <c r="AB43" s="1935"/>
    </row>
    <row r="44" spans="1:28" x14ac:dyDescent="0.35">
      <c r="Y44" s="1935"/>
      <c r="Z44" s="1935"/>
      <c r="AA44" s="1935"/>
    </row>
    <row r="45" spans="1:28" x14ac:dyDescent="0.35">
      <c r="B45" s="940" t="s">
        <v>2704</v>
      </c>
      <c r="C45" s="1943">
        <v>125</v>
      </c>
      <c r="G45" s="2496"/>
      <c r="Y45" s="1935"/>
      <c r="Z45" s="1935"/>
      <c r="AA45" s="1935"/>
    </row>
    <row r="46" spans="1:28" x14ac:dyDescent="0.35">
      <c r="B46" s="936" t="s">
        <v>463</v>
      </c>
      <c r="C46" s="1944">
        <v>54</v>
      </c>
      <c r="G46" s="1067"/>
      <c r="H46" s="2496"/>
      <c r="I46" s="2496"/>
      <c r="Y46" s="1935"/>
      <c r="Z46" s="1935"/>
      <c r="AA46" s="1935"/>
    </row>
    <row r="47" spans="1:28" x14ac:dyDescent="0.35">
      <c r="B47" s="724" t="s">
        <v>2705</v>
      </c>
      <c r="C47" s="1944">
        <v>8.33</v>
      </c>
      <c r="G47" s="1067"/>
      <c r="H47" s="2496"/>
      <c r="I47" s="2496"/>
      <c r="Y47" s="1935"/>
      <c r="Z47" s="1935"/>
      <c r="AA47" s="1935"/>
    </row>
    <row r="48" spans="1:28" x14ac:dyDescent="0.35">
      <c r="B48" s="928" t="s">
        <v>2706</v>
      </c>
      <c r="C48" s="1945">
        <v>1</v>
      </c>
      <c r="G48" s="2497"/>
      <c r="H48" s="2496"/>
      <c r="I48" s="2496"/>
      <c r="Y48" s="1935"/>
      <c r="Z48" s="1935"/>
      <c r="AA48" s="1935"/>
    </row>
    <row r="49" spans="2:27" x14ac:dyDescent="0.35">
      <c r="Y49" s="1935"/>
      <c r="Z49" s="1935"/>
      <c r="AA49" s="1935"/>
    </row>
    <row r="50" spans="2:27" ht="29" x14ac:dyDescent="0.35">
      <c r="B50" s="1008" t="s">
        <v>2019</v>
      </c>
      <c r="C50" s="932" t="s">
        <v>2707</v>
      </c>
      <c r="Y50" s="1935"/>
      <c r="Z50" s="1935"/>
      <c r="AA50" s="1935"/>
    </row>
    <row r="51" spans="2:27" x14ac:dyDescent="0.35">
      <c r="B51" s="937" t="s">
        <v>2708</v>
      </c>
      <c r="C51" s="1944">
        <v>528</v>
      </c>
      <c r="Y51" s="1935"/>
      <c r="Z51" s="1935"/>
      <c r="AA51" s="1935"/>
    </row>
    <row r="52" spans="2:27" x14ac:dyDescent="0.35">
      <c r="B52" s="977" t="s">
        <v>2709</v>
      </c>
      <c r="C52" s="1944">
        <v>568</v>
      </c>
      <c r="Y52" s="1935"/>
      <c r="Z52" s="1935"/>
      <c r="AA52" s="1935"/>
    </row>
    <row r="53" spans="2:27" x14ac:dyDescent="0.35">
      <c r="B53" s="937" t="s">
        <v>2026</v>
      </c>
      <c r="C53" s="1944">
        <v>528</v>
      </c>
      <c r="Y53" s="1935"/>
      <c r="Z53" s="1935"/>
      <c r="AA53" s="1935"/>
    </row>
    <row r="54" spans="2:27" x14ac:dyDescent="0.35">
      <c r="B54" s="977" t="s">
        <v>2030</v>
      </c>
      <c r="C54" s="1944">
        <v>788</v>
      </c>
      <c r="Y54" s="1935"/>
      <c r="Z54" s="1935"/>
      <c r="AA54" s="1935"/>
    </row>
    <row r="55" spans="2:27" x14ac:dyDescent="0.35">
      <c r="B55" s="937" t="s">
        <v>2022</v>
      </c>
      <c r="C55" s="1944">
        <v>511</v>
      </c>
      <c r="Y55" s="1935"/>
      <c r="Z55" s="1935"/>
      <c r="AA55" s="1935"/>
    </row>
    <row r="56" spans="2:27" x14ac:dyDescent="0.35">
      <c r="B56" s="977" t="s">
        <v>2710</v>
      </c>
      <c r="C56" s="1944">
        <v>528</v>
      </c>
      <c r="Y56" s="1935"/>
      <c r="Z56" s="1935"/>
      <c r="AA56" s="1935"/>
    </row>
    <row r="57" spans="2:27" x14ac:dyDescent="0.35">
      <c r="B57" s="937" t="s">
        <v>2711</v>
      </c>
      <c r="C57" s="1944">
        <v>715</v>
      </c>
      <c r="Y57" s="1935"/>
      <c r="Z57" s="1935"/>
      <c r="AA57" s="1935"/>
    </row>
    <row r="58" spans="2:27" x14ac:dyDescent="0.35">
      <c r="B58" s="977" t="s">
        <v>2712</v>
      </c>
      <c r="C58" s="1944">
        <v>341</v>
      </c>
      <c r="Y58" s="1935"/>
      <c r="Z58" s="1935"/>
      <c r="AA58" s="1935"/>
    </row>
    <row r="59" spans="2:27" x14ac:dyDescent="0.35">
      <c r="B59" s="937" t="s">
        <v>2175</v>
      </c>
      <c r="C59" s="1944">
        <v>622</v>
      </c>
      <c r="Y59" s="1935"/>
      <c r="Z59" s="1935"/>
      <c r="AA59" s="1935"/>
    </row>
    <row r="60" spans="2:27" x14ac:dyDescent="0.35">
      <c r="B60" s="977" t="s">
        <v>2021</v>
      </c>
      <c r="C60" s="1944">
        <v>511</v>
      </c>
      <c r="Y60" s="1935"/>
      <c r="Z60" s="1935"/>
      <c r="AA60" s="1935"/>
    </row>
    <row r="61" spans="2:27" x14ac:dyDescent="0.35">
      <c r="B61" s="937" t="s">
        <v>2713</v>
      </c>
      <c r="C61" s="1944">
        <v>528</v>
      </c>
      <c r="Y61" s="1935"/>
      <c r="Z61" s="1935"/>
      <c r="AA61" s="1935"/>
    </row>
    <row r="62" spans="2:27" x14ac:dyDescent="0.35">
      <c r="B62" s="977" t="s">
        <v>2027</v>
      </c>
      <c r="C62" s="1944">
        <v>341</v>
      </c>
      <c r="Y62" s="1935"/>
      <c r="Z62" s="1935"/>
      <c r="AA62" s="1935"/>
    </row>
    <row r="63" spans="2:27" x14ac:dyDescent="0.35">
      <c r="B63" s="937" t="s">
        <v>2714</v>
      </c>
      <c r="C63" s="1944">
        <v>672</v>
      </c>
      <c r="Y63" s="1935"/>
      <c r="Z63" s="1935"/>
      <c r="AA63" s="1935"/>
    </row>
    <row r="64" spans="2:27" x14ac:dyDescent="0.35">
      <c r="B64" s="993" t="s">
        <v>2715</v>
      </c>
      <c r="C64" s="1945">
        <v>894</v>
      </c>
      <c r="Y64" s="1935"/>
      <c r="Z64" s="1935"/>
      <c r="AA64" s="1935"/>
    </row>
    <row r="65" spans="1:27" x14ac:dyDescent="0.35">
      <c r="B65" s="938" t="s">
        <v>2716</v>
      </c>
      <c r="C65" s="1946">
        <f>AVERAGE(C51:C64)</f>
        <v>576.78571428571433</v>
      </c>
      <c r="Y65" s="1935"/>
      <c r="Z65" s="1935"/>
      <c r="AA65" s="1935"/>
    </row>
    <row r="66" spans="1:27" x14ac:dyDescent="0.35">
      <c r="Y66" s="1935"/>
      <c r="Z66" s="1935"/>
      <c r="AA66" s="1935"/>
    </row>
    <row r="67" spans="1:27" x14ac:dyDescent="0.35">
      <c r="Y67" s="1935"/>
      <c r="Z67" s="1935"/>
      <c r="AA67" s="1935"/>
    </row>
    <row r="68" spans="1:27" ht="21" x14ac:dyDescent="0.5">
      <c r="A68" s="704" t="s">
        <v>2012</v>
      </c>
      <c r="Y68" s="1935"/>
      <c r="Z68" s="1935"/>
      <c r="AA68" s="1935"/>
    </row>
    <row r="69" spans="1:27" ht="15" customHeight="1" x14ac:dyDescent="0.35">
      <c r="B69" s="698"/>
      <c r="C69" s="934"/>
      <c r="D69" s="723"/>
      <c r="Y69" s="1935"/>
      <c r="Z69" s="1935"/>
      <c r="AA69" s="1935"/>
    </row>
    <row r="70" spans="1:27" x14ac:dyDescent="0.35">
      <c r="B70" s="878" t="s">
        <v>2717</v>
      </c>
      <c r="C70" s="1947">
        <v>700</v>
      </c>
      <c r="D70" s="739"/>
    </row>
    <row r="71" spans="1:27" x14ac:dyDescent="0.35">
      <c r="L71" s="698"/>
    </row>
    <row r="72" spans="1:27" ht="21" x14ac:dyDescent="0.5">
      <c r="A72" s="704" t="s">
        <v>2014</v>
      </c>
    </row>
    <row r="74" spans="1:27" ht="18.5" x14ac:dyDescent="0.35">
      <c r="B74" s="3009" t="s">
        <v>2361</v>
      </c>
      <c r="C74" s="3010"/>
      <c r="D74" s="3011"/>
      <c r="E74" s="876"/>
      <c r="F74" s="876"/>
      <c r="G74" s="753"/>
      <c r="H74" s="753"/>
      <c r="I74" s="753"/>
      <c r="J74" s="753"/>
    </row>
    <row r="75" spans="1:27" ht="29.5" thickBot="1" x14ac:dyDescent="0.4">
      <c r="B75" s="997" t="s">
        <v>2019</v>
      </c>
      <c r="C75" s="998" t="s">
        <v>1947</v>
      </c>
      <c r="D75" s="998" t="s">
        <v>2718</v>
      </c>
      <c r="E75" s="1008" t="s">
        <v>2719</v>
      </c>
      <c r="F75" s="1008" t="s">
        <v>2720</v>
      </c>
      <c r="G75" s="2500" t="s">
        <v>3307</v>
      </c>
      <c r="H75" s="1932" t="s">
        <v>2721</v>
      </c>
      <c r="I75" s="753"/>
      <c r="J75" s="753"/>
    </row>
    <row r="76" spans="1:27" x14ac:dyDescent="0.35">
      <c r="B76" s="1932" t="s">
        <v>2698</v>
      </c>
      <c r="C76" s="1933">
        <v>1</v>
      </c>
      <c r="D76" s="1933">
        <v>1</v>
      </c>
      <c r="E76" s="1036">
        <v>50</v>
      </c>
      <c r="F76" s="1948">
        <v>131750</v>
      </c>
      <c r="G76" s="1949">
        <v>0.92</v>
      </c>
      <c r="H76" s="1950">
        <v>530</v>
      </c>
    </row>
    <row r="77" spans="1:27" ht="15" thickBot="1" x14ac:dyDescent="0.4">
      <c r="B77" s="1932" t="s">
        <v>2699</v>
      </c>
      <c r="C77" s="1951">
        <v>1</v>
      </c>
      <c r="D77" s="1951">
        <v>1</v>
      </c>
      <c r="E77" s="1952">
        <v>100</v>
      </c>
      <c r="F77" s="1953">
        <v>215300</v>
      </c>
      <c r="G77" s="1954">
        <v>0.92</v>
      </c>
      <c r="H77" s="1955">
        <v>1012</v>
      </c>
    </row>
    <row r="79" spans="1:27" ht="21" x14ac:dyDescent="0.5">
      <c r="A79" s="704" t="s">
        <v>2036</v>
      </c>
    </row>
    <row r="81" spans="2:10" ht="26.25" customHeight="1" x14ac:dyDescent="0.35">
      <c r="B81" s="1956"/>
      <c r="C81" s="3052" t="s">
        <v>2361</v>
      </c>
      <c r="D81" s="3053"/>
      <c r="E81" s="3046" t="s">
        <v>2722</v>
      </c>
      <c r="F81" s="3047"/>
      <c r="G81" s="3048"/>
      <c r="H81" s="3168" t="s">
        <v>2040</v>
      </c>
      <c r="I81" s="3169"/>
      <c r="J81" s="3169"/>
    </row>
    <row r="82" spans="2:10" ht="43.5" x14ac:dyDescent="0.35">
      <c r="B82" s="997" t="s">
        <v>2019</v>
      </c>
      <c r="C82" s="998" t="s">
        <v>1947</v>
      </c>
      <c r="D82" s="998" t="s">
        <v>2718</v>
      </c>
      <c r="E82" s="1932" t="s">
        <v>2723</v>
      </c>
      <c r="F82" s="1932" t="s">
        <v>2724</v>
      </c>
      <c r="G82" s="1932" t="s">
        <v>2725</v>
      </c>
      <c r="H82" s="998" t="s">
        <v>2370</v>
      </c>
      <c r="I82" s="998" t="s">
        <v>2371</v>
      </c>
      <c r="J82" s="1053" t="s">
        <v>2108</v>
      </c>
    </row>
    <row r="83" spans="2:10" x14ac:dyDescent="0.35">
      <c r="B83" s="1932" t="s">
        <v>2698</v>
      </c>
      <c r="C83" s="1957">
        <f>C76</f>
        <v>1</v>
      </c>
      <c r="D83" s="1957">
        <f>D76</f>
        <v>1</v>
      </c>
      <c r="E83" s="1958">
        <f xml:space="preserve"> ((C45 - C46) * (B40*E76) * C47 *C48 * (1/C40 - 1/G76)) / 100000</f>
        <v>127.451149707726</v>
      </c>
      <c r="F83" s="1958">
        <f>IF(F76&gt;75000,((D40-H76)*8766)/100000,0)</f>
        <v>36.160184732694034</v>
      </c>
      <c r="G83" s="1959">
        <f>F83+E83</f>
        <v>163.61133444042002</v>
      </c>
      <c r="H83" s="1960">
        <f>C83*D83*G83</f>
        <v>163.61133444042002</v>
      </c>
      <c r="I83" s="1961">
        <f>C83*D83*$C$70</f>
        <v>700</v>
      </c>
      <c r="J83" s="1007">
        <f>C83*D83*E40</f>
        <v>1135</v>
      </c>
    </row>
    <row r="84" spans="2:10" x14ac:dyDescent="0.35">
      <c r="B84" s="1932" t="s">
        <v>2699</v>
      </c>
      <c r="C84" s="1962">
        <f>C77</f>
        <v>1</v>
      </c>
      <c r="D84" s="1962">
        <f>D77</f>
        <v>1</v>
      </c>
      <c r="E84" s="1958">
        <f xml:space="preserve"> ((C45 - C46) * (B41*E77) * C47 *C48 * (1/C41 - 1/G77)) / 100000</f>
        <v>325.10460587293562</v>
      </c>
      <c r="F84" s="1958">
        <f>IF(F77&gt;75000,((D41-H77)*8766)/100000,0)</f>
        <v>31.305577499999998</v>
      </c>
      <c r="G84" s="1959">
        <f>F84+E84</f>
        <v>356.41018337293565</v>
      </c>
      <c r="H84" s="1963">
        <f>C84*D84*G84</f>
        <v>356.41018337293565</v>
      </c>
      <c r="I84" s="1964">
        <f>C84*D84*$C$70</f>
        <v>700</v>
      </c>
      <c r="J84" s="1965">
        <f>C84*D84*E41</f>
        <v>1135</v>
      </c>
    </row>
    <row r="85" spans="2:10" ht="18.5" x14ac:dyDescent="0.45">
      <c r="H85" s="779"/>
      <c r="I85" s="779"/>
      <c r="J85" s="779"/>
    </row>
    <row r="86" spans="2:10" ht="18.5" x14ac:dyDescent="0.45">
      <c r="H86" s="779"/>
      <c r="I86" s="779"/>
      <c r="J86" s="779"/>
    </row>
    <row r="87" spans="2:10" ht="18.5" x14ac:dyDescent="0.45">
      <c r="H87" s="779"/>
      <c r="I87" s="779"/>
      <c r="J87" s="779"/>
    </row>
    <row r="88" spans="2:10" ht="18.5" x14ac:dyDescent="0.45">
      <c r="H88" s="779"/>
      <c r="I88" s="779"/>
      <c r="J88" s="779"/>
    </row>
    <row r="89" spans="2:10" ht="18.5" x14ac:dyDescent="0.45">
      <c r="H89" s="779"/>
      <c r="I89" s="779"/>
      <c r="J89" s="779"/>
    </row>
    <row r="90" spans="2:10" ht="18.5" x14ac:dyDescent="0.45">
      <c r="H90" s="779"/>
      <c r="I90" s="779"/>
      <c r="J90" s="779"/>
    </row>
    <row r="102" spans="16:16" x14ac:dyDescent="0.35">
      <c r="P102" s="698"/>
    </row>
    <row r="103" spans="16:16" x14ac:dyDescent="0.35">
      <c r="P103" s="1966"/>
    </row>
    <row r="104" spans="16:16" x14ac:dyDescent="0.35">
      <c r="P104" s="1966"/>
    </row>
    <row r="105" spans="16:16" x14ac:dyDescent="0.35">
      <c r="P105" s="1966"/>
    </row>
    <row r="106" spans="16:16" x14ac:dyDescent="0.35">
      <c r="P106" s="1966"/>
    </row>
    <row r="107" spans="16:16" x14ac:dyDescent="0.35">
      <c r="P107" s="1966"/>
    </row>
    <row r="108" spans="16:16" x14ac:dyDescent="0.35">
      <c r="P108" s="1966"/>
    </row>
    <row r="165" spans="2:14" x14ac:dyDescent="0.35">
      <c r="B165" s="600" t="s">
        <v>2726</v>
      </c>
      <c r="C165" s="600" t="s">
        <v>2727</v>
      </c>
      <c r="D165" s="600" t="s">
        <v>2728</v>
      </c>
      <c r="E165" s="600" t="s">
        <v>2729</v>
      </c>
      <c r="F165" s="600" t="s">
        <v>2730</v>
      </c>
      <c r="G165" s="600" t="s">
        <v>2731</v>
      </c>
      <c r="H165" s="600" t="s">
        <v>2732</v>
      </c>
      <c r="I165" s="600" t="s">
        <v>2733</v>
      </c>
      <c r="J165" s="600" t="s">
        <v>2734</v>
      </c>
      <c r="K165" s="600" t="s">
        <v>2735</v>
      </c>
      <c r="L165" s="600" t="s">
        <v>2736</v>
      </c>
      <c r="M165" s="600" t="s">
        <v>2737</v>
      </c>
      <c r="N165" s="600" t="s">
        <v>2738</v>
      </c>
    </row>
    <row r="166" spans="2:14" x14ac:dyDescent="0.35">
      <c r="B166" s="600" t="s">
        <v>2739</v>
      </c>
      <c r="C166" s="600" t="s">
        <v>2740</v>
      </c>
      <c r="D166" s="600" t="s">
        <v>2741</v>
      </c>
      <c r="E166" s="600" t="s">
        <v>2742</v>
      </c>
      <c r="F166" s="600" t="s">
        <v>2743</v>
      </c>
      <c r="G166" s="600" t="s">
        <v>1390</v>
      </c>
      <c r="H166" s="600" t="s">
        <v>2744</v>
      </c>
      <c r="I166" s="600" t="s">
        <v>2745</v>
      </c>
      <c r="J166" s="1967">
        <v>100</v>
      </c>
      <c r="K166" s="1967">
        <v>96</v>
      </c>
      <c r="L166" s="600" t="s">
        <v>2746</v>
      </c>
      <c r="M166" s="1967">
        <v>430</v>
      </c>
      <c r="N166" s="600" t="s">
        <v>534</v>
      </c>
    </row>
    <row r="167" spans="2:14" x14ac:dyDescent="0.35">
      <c r="B167" s="600" t="s">
        <v>2747</v>
      </c>
      <c r="C167" s="600" t="s">
        <v>2740</v>
      </c>
      <c r="D167" s="600" t="s">
        <v>2741</v>
      </c>
      <c r="E167" s="600" t="s">
        <v>2742</v>
      </c>
      <c r="F167" s="600" t="s">
        <v>2748</v>
      </c>
      <c r="G167" s="600" t="s">
        <v>1390</v>
      </c>
      <c r="H167" s="600" t="s">
        <v>2744</v>
      </c>
      <c r="I167" s="600" t="s">
        <v>2745</v>
      </c>
      <c r="J167" s="1967">
        <v>76</v>
      </c>
      <c r="K167" s="1967">
        <v>90</v>
      </c>
      <c r="L167" s="600" t="s">
        <v>2749</v>
      </c>
      <c r="M167" s="1967">
        <v>320</v>
      </c>
      <c r="N167" s="600" t="s">
        <v>534</v>
      </c>
    </row>
    <row r="168" spans="2:14" x14ac:dyDescent="0.35">
      <c r="B168" s="600" t="s">
        <v>2750</v>
      </c>
      <c r="C168" s="600" t="s">
        <v>2740</v>
      </c>
      <c r="D168" s="600" t="s">
        <v>2741</v>
      </c>
      <c r="E168" s="600" t="s">
        <v>2742</v>
      </c>
      <c r="F168" s="600" t="s">
        <v>2751</v>
      </c>
      <c r="G168" s="600" t="s">
        <v>1390</v>
      </c>
      <c r="H168" s="600" t="s">
        <v>2744</v>
      </c>
      <c r="I168" s="600" t="s">
        <v>2745</v>
      </c>
      <c r="J168" s="1967">
        <v>100</v>
      </c>
      <c r="K168" s="1967">
        <v>96</v>
      </c>
      <c r="L168" s="600" t="s">
        <v>2746</v>
      </c>
      <c r="M168" s="1967">
        <v>430</v>
      </c>
      <c r="N168" s="600" t="s">
        <v>534</v>
      </c>
    </row>
    <row r="169" spans="2:14" x14ac:dyDescent="0.35">
      <c r="B169" s="600" t="s">
        <v>2752</v>
      </c>
      <c r="C169" s="600" t="s">
        <v>2753</v>
      </c>
      <c r="D169" s="600" t="s">
        <v>2741</v>
      </c>
      <c r="E169" s="600" t="s">
        <v>2742</v>
      </c>
      <c r="F169" s="600" t="s">
        <v>2754</v>
      </c>
      <c r="G169" s="600" t="s">
        <v>1390</v>
      </c>
      <c r="H169" s="600" t="s">
        <v>2744</v>
      </c>
      <c r="I169" s="600" t="s">
        <v>2745</v>
      </c>
      <c r="J169" s="1967">
        <v>76</v>
      </c>
      <c r="K169" s="1967">
        <v>90</v>
      </c>
      <c r="L169" s="600" t="s">
        <v>2749</v>
      </c>
      <c r="M169" s="1967">
        <v>320</v>
      </c>
      <c r="N169" s="600" t="s">
        <v>534</v>
      </c>
    </row>
    <row r="170" spans="2:14" x14ac:dyDescent="0.35">
      <c r="B170" s="600" t="s">
        <v>2755</v>
      </c>
      <c r="C170" s="600" t="s">
        <v>2756</v>
      </c>
      <c r="D170" s="600" t="s">
        <v>2757</v>
      </c>
      <c r="E170" s="600" t="s">
        <v>2742</v>
      </c>
      <c r="F170" s="600" t="s">
        <v>2758</v>
      </c>
      <c r="G170" s="600" t="s">
        <v>1390</v>
      </c>
      <c r="H170" s="600" t="s">
        <v>2744</v>
      </c>
      <c r="I170" s="600" t="s">
        <v>2745</v>
      </c>
      <c r="J170" s="1967">
        <v>130</v>
      </c>
      <c r="K170" s="1967">
        <v>95</v>
      </c>
      <c r="L170" s="600" t="s">
        <v>2759</v>
      </c>
      <c r="M170" s="1967">
        <v>620</v>
      </c>
      <c r="N170" s="600" t="s">
        <v>534</v>
      </c>
    </row>
    <row r="171" spans="2:14" x14ac:dyDescent="0.35">
      <c r="B171" s="600" t="s">
        <v>2760</v>
      </c>
      <c r="C171" s="600" t="s">
        <v>2761</v>
      </c>
      <c r="D171" s="600" t="s">
        <v>2757</v>
      </c>
      <c r="E171" s="600" t="s">
        <v>2742</v>
      </c>
      <c r="F171" s="600" t="s">
        <v>2762</v>
      </c>
      <c r="G171" s="600" t="s">
        <v>1390</v>
      </c>
      <c r="H171" s="600" t="s">
        <v>2744</v>
      </c>
      <c r="I171" s="600" t="s">
        <v>2745</v>
      </c>
      <c r="J171" s="1967">
        <v>150</v>
      </c>
      <c r="K171" s="1967">
        <v>95</v>
      </c>
      <c r="L171" s="600" t="s">
        <v>2759</v>
      </c>
      <c r="M171" s="1967">
        <v>605</v>
      </c>
      <c r="N171" s="600" t="s">
        <v>534</v>
      </c>
    </row>
    <row r="172" spans="2:14" x14ac:dyDescent="0.35">
      <c r="B172" s="600" t="s">
        <v>2763</v>
      </c>
      <c r="C172" s="600" t="s">
        <v>2756</v>
      </c>
      <c r="D172" s="600" t="s">
        <v>2757</v>
      </c>
      <c r="E172" s="600" t="s">
        <v>2742</v>
      </c>
      <c r="F172" s="600" t="s">
        <v>2764</v>
      </c>
      <c r="G172" s="600" t="s">
        <v>1390</v>
      </c>
      <c r="H172" s="600" t="s">
        <v>2744</v>
      </c>
      <c r="I172" s="600" t="s">
        <v>2745</v>
      </c>
      <c r="J172" s="1967">
        <v>175</v>
      </c>
      <c r="K172" s="1967">
        <v>96</v>
      </c>
      <c r="L172" s="600" t="s">
        <v>2765</v>
      </c>
      <c r="M172" s="1967">
        <v>645</v>
      </c>
      <c r="N172" s="600" t="s">
        <v>534</v>
      </c>
    </row>
    <row r="173" spans="2:14" x14ac:dyDescent="0.35">
      <c r="B173" s="600" t="s">
        <v>2766</v>
      </c>
      <c r="C173" s="600" t="s">
        <v>2756</v>
      </c>
      <c r="D173" s="600" t="s">
        <v>2757</v>
      </c>
      <c r="E173" s="600" t="s">
        <v>2742</v>
      </c>
      <c r="F173" s="600" t="s">
        <v>2767</v>
      </c>
      <c r="G173" s="600" t="s">
        <v>1390</v>
      </c>
      <c r="H173" s="600" t="s">
        <v>2744</v>
      </c>
      <c r="I173" s="600" t="s">
        <v>2745</v>
      </c>
      <c r="J173" s="1967">
        <v>199</v>
      </c>
      <c r="K173" s="1967">
        <v>96</v>
      </c>
      <c r="L173" s="600" t="s">
        <v>2765</v>
      </c>
      <c r="M173" s="1967">
        <v>650</v>
      </c>
      <c r="N173" s="600" t="s">
        <v>534</v>
      </c>
    </row>
    <row r="174" spans="2:14" x14ac:dyDescent="0.35">
      <c r="B174" s="600" t="s">
        <v>2768</v>
      </c>
      <c r="C174" s="600" t="s">
        <v>2761</v>
      </c>
      <c r="D174" s="600" t="s">
        <v>2757</v>
      </c>
      <c r="E174" s="600" t="s">
        <v>2742</v>
      </c>
      <c r="F174" s="600" t="s">
        <v>2769</v>
      </c>
      <c r="G174" s="600" t="s">
        <v>1390</v>
      </c>
      <c r="H174" s="600" t="s">
        <v>2744</v>
      </c>
      <c r="I174" s="600" t="s">
        <v>2745</v>
      </c>
      <c r="J174" s="1967">
        <v>130</v>
      </c>
      <c r="K174" s="1967">
        <v>95</v>
      </c>
      <c r="L174" s="600" t="s">
        <v>2759</v>
      </c>
      <c r="M174" s="1967">
        <v>620</v>
      </c>
      <c r="N174" s="600" t="s">
        <v>534</v>
      </c>
    </row>
    <row r="175" spans="2:14" x14ac:dyDescent="0.35">
      <c r="B175" s="600" t="s">
        <v>2770</v>
      </c>
      <c r="C175" s="600" t="s">
        <v>2761</v>
      </c>
      <c r="D175" s="600" t="s">
        <v>2757</v>
      </c>
      <c r="E175" s="600" t="s">
        <v>2742</v>
      </c>
      <c r="F175" s="600" t="s">
        <v>2771</v>
      </c>
      <c r="G175" s="600" t="s">
        <v>1390</v>
      </c>
      <c r="H175" s="600" t="s">
        <v>2744</v>
      </c>
      <c r="I175" s="600" t="s">
        <v>2745</v>
      </c>
      <c r="J175" s="1967">
        <v>150</v>
      </c>
      <c r="K175" s="1967">
        <v>95</v>
      </c>
      <c r="L175" s="600" t="s">
        <v>2759</v>
      </c>
      <c r="M175" s="1967">
        <v>605</v>
      </c>
      <c r="N175" s="600" t="s">
        <v>534</v>
      </c>
    </row>
    <row r="176" spans="2:14" x14ac:dyDescent="0.35">
      <c r="B176" s="600" t="s">
        <v>2772</v>
      </c>
      <c r="C176" s="600" t="s">
        <v>2761</v>
      </c>
      <c r="D176" s="600" t="s">
        <v>2757</v>
      </c>
      <c r="E176" s="600" t="s">
        <v>2742</v>
      </c>
      <c r="F176" s="600" t="s">
        <v>2773</v>
      </c>
      <c r="G176" s="600" t="s">
        <v>1390</v>
      </c>
      <c r="H176" s="600" t="s">
        <v>2744</v>
      </c>
      <c r="I176" s="600" t="s">
        <v>2745</v>
      </c>
      <c r="J176" s="1967">
        <v>175</v>
      </c>
      <c r="K176" s="1967">
        <v>96</v>
      </c>
      <c r="L176" s="600" t="s">
        <v>2765</v>
      </c>
      <c r="M176" s="1967">
        <v>645</v>
      </c>
      <c r="N176" s="600" t="s">
        <v>534</v>
      </c>
    </row>
    <row r="177" spans="2:14" x14ac:dyDescent="0.35">
      <c r="B177" s="600" t="s">
        <v>2774</v>
      </c>
      <c r="C177" s="600" t="s">
        <v>2761</v>
      </c>
      <c r="D177" s="600" t="s">
        <v>2757</v>
      </c>
      <c r="E177" s="600" t="s">
        <v>2742</v>
      </c>
      <c r="F177" s="600" t="s">
        <v>2775</v>
      </c>
      <c r="G177" s="600" t="s">
        <v>1390</v>
      </c>
      <c r="H177" s="600" t="s">
        <v>2744</v>
      </c>
      <c r="I177" s="600" t="s">
        <v>2745</v>
      </c>
      <c r="J177" s="1967">
        <v>199</v>
      </c>
      <c r="K177" s="1967">
        <v>96</v>
      </c>
      <c r="L177" s="600" t="s">
        <v>2765</v>
      </c>
      <c r="M177" s="1967">
        <v>650</v>
      </c>
      <c r="N177" s="600" t="s">
        <v>534</v>
      </c>
    </row>
    <row r="178" spans="2:14" x14ac:dyDescent="0.35">
      <c r="B178" s="600" t="s">
        <v>2776</v>
      </c>
      <c r="C178" s="600" t="s">
        <v>2761</v>
      </c>
      <c r="D178" s="600" t="s">
        <v>2777</v>
      </c>
      <c r="E178" s="600" t="s">
        <v>2742</v>
      </c>
      <c r="F178" s="600" t="s">
        <v>2778</v>
      </c>
      <c r="G178" s="600" t="s">
        <v>1390</v>
      </c>
      <c r="H178" s="600" t="s">
        <v>2744</v>
      </c>
      <c r="I178" s="600" t="s">
        <v>2745</v>
      </c>
      <c r="J178" s="1967">
        <v>100</v>
      </c>
      <c r="K178" s="1967">
        <v>96</v>
      </c>
      <c r="L178" s="600" t="s">
        <v>2746</v>
      </c>
      <c r="M178" s="1967">
        <v>430</v>
      </c>
      <c r="N178" s="600" t="s">
        <v>534</v>
      </c>
    </row>
    <row r="179" spans="2:14" x14ac:dyDescent="0.35">
      <c r="B179" s="600" t="s">
        <v>2779</v>
      </c>
      <c r="C179" s="600" t="s">
        <v>2761</v>
      </c>
      <c r="D179" s="600" t="s">
        <v>2777</v>
      </c>
      <c r="E179" s="600" t="s">
        <v>2742</v>
      </c>
      <c r="F179" s="600" t="s">
        <v>2780</v>
      </c>
      <c r="G179" s="600" t="s">
        <v>1390</v>
      </c>
      <c r="H179" s="600" t="s">
        <v>2744</v>
      </c>
      <c r="I179" s="600" t="s">
        <v>2745</v>
      </c>
      <c r="J179" s="1967">
        <v>76</v>
      </c>
      <c r="K179" s="1967">
        <v>90</v>
      </c>
      <c r="L179" s="600" t="s">
        <v>2749</v>
      </c>
      <c r="M179" s="1967">
        <v>320</v>
      </c>
      <c r="N179" s="600" t="s">
        <v>534</v>
      </c>
    </row>
    <row r="180" spans="2:14" x14ac:dyDescent="0.35">
      <c r="B180" s="600" t="s">
        <v>2781</v>
      </c>
      <c r="C180" s="600" t="s">
        <v>2782</v>
      </c>
      <c r="D180" s="600" t="s">
        <v>2783</v>
      </c>
      <c r="E180" s="600" t="s">
        <v>2742</v>
      </c>
      <c r="F180" s="600" t="s">
        <v>2784</v>
      </c>
      <c r="G180" s="600" t="s">
        <v>1390</v>
      </c>
      <c r="H180" s="600" t="s">
        <v>2744</v>
      </c>
      <c r="I180" s="600" t="s">
        <v>2745</v>
      </c>
      <c r="J180" s="1967">
        <v>76</v>
      </c>
      <c r="K180" s="1967">
        <v>90</v>
      </c>
      <c r="L180" s="600" t="s">
        <v>2785</v>
      </c>
      <c r="M180" s="1967">
        <v>360</v>
      </c>
      <c r="N180" s="600" t="s">
        <v>534</v>
      </c>
    </row>
    <row r="181" spans="2:14" x14ac:dyDescent="0.35">
      <c r="B181" s="600" t="s">
        <v>2786</v>
      </c>
      <c r="C181" s="600" t="s">
        <v>2782</v>
      </c>
      <c r="D181" s="600" t="s">
        <v>2787</v>
      </c>
      <c r="E181" s="600" t="s">
        <v>2742</v>
      </c>
      <c r="F181" s="600" t="s">
        <v>2788</v>
      </c>
      <c r="G181" s="600" t="s">
        <v>1390</v>
      </c>
      <c r="H181" s="600" t="s">
        <v>2744</v>
      </c>
      <c r="I181" s="600" t="s">
        <v>2745</v>
      </c>
      <c r="J181" s="1967">
        <v>76</v>
      </c>
      <c r="K181" s="1967">
        <v>90</v>
      </c>
      <c r="L181" s="600" t="s">
        <v>2785</v>
      </c>
      <c r="M181" s="1967">
        <v>360</v>
      </c>
      <c r="N181" s="600" t="s">
        <v>534</v>
      </c>
    </row>
    <row r="182" spans="2:14" x14ac:dyDescent="0.35">
      <c r="B182" s="600" t="s">
        <v>2789</v>
      </c>
      <c r="C182" s="600" t="s">
        <v>2790</v>
      </c>
      <c r="D182" s="600" t="s">
        <v>2790</v>
      </c>
      <c r="E182" s="600" t="s">
        <v>2742</v>
      </c>
      <c r="F182" s="600" t="s">
        <v>2791</v>
      </c>
      <c r="G182" s="600" t="s">
        <v>1390</v>
      </c>
      <c r="H182" s="600" t="s">
        <v>2744</v>
      </c>
      <c r="I182" s="600" t="s">
        <v>2745</v>
      </c>
      <c r="J182" s="1967">
        <v>100</v>
      </c>
      <c r="K182" s="1967">
        <v>96</v>
      </c>
      <c r="L182" s="600" t="s">
        <v>2746</v>
      </c>
      <c r="M182" s="1967">
        <v>430</v>
      </c>
      <c r="N182" s="600" t="s">
        <v>534</v>
      </c>
    </row>
    <row r="183" spans="2:14" x14ac:dyDescent="0.35">
      <c r="B183" s="600" t="s">
        <v>2792</v>
      </c>
      <c r="C183" s="600" t="s">
        <v>2790</v>
      </c>
      <c r="D183" s="600" t="s">
        <v>2790</v>
      </c>
      <c r="E183" s="600" t="s">
        <v>2742</v>
      </c>
      <c r="F183" s="600" t="s">
        <v>2793</v>
      </c>
      <c r="G183" s="600" t="s">
        <v>1390</v>
      </c>
      <c r="H183" s="600" t="s">
        <v>2744</v>
      </c>
      <c r="I183" s="600" t="s">
        <v>2745</v>
      </c>
      <c r="J183" s="1967">
        <v>76</v>
      </c>
      <c r="K183" s="1967">
        <v>90</v>
      </c>
      <c r="L183" s="600" t="s">
        <v>2749</v>
      </c>
      <c r="M183" s="1967">
        <v>320</v>
      </c>
      <c r="N183" s="600" t="s">
        <v>534</v>
      </c>
    </row>
    <row r="184" spans="2:14" x14ac:dyDescent="0.35">
      <c r="B184" s="600" t="s">
        <v>2794</v>
      </c>
      <c r="C184" s="600" t="s">
        <v>2795</v>
      </c>
      <c r="D184" s="600" t="s">
        <v>2796</v>
      </c>
      <c r="E184" s="600" t="s">
        <v>2742</v>
      </c>
      <c r="F184" s="600" t="s">
        <v>2797</v>
      </c>
      <c r="G184" s="600" t="s">
        <v>1390</v>
      </c>
      <c r="H184" s="600" t="s">
        <v>2744</v>
      </c>
      <c r="I184" s="600" t="s">
        <v>2745</v>
      </c>
      <c r="J184" s="1967">
        <v>100</v>
      </c>
      <c r="K184" s="1967">
        <v>96</v>
      </c>
      <c r="L184" s="600" t="s">
        <v>2746</v>
      </c>
      <c r="M184" s="1967">
        <v>430</v>
      </c>
      <c r="N184" s="600" t="s">
        <v>534</v>
      </c>
    </row>
    <row r="185" spans="2:14" x14ac:dyDescent="0.35">
      <c r="B185" s="600" t="s">
        <v>2798</v>
      </c>
      <c r="C185" s="600" t="s">
        <v>2795</v>
      </c>
      <c r="D185" s="600" t="s">
        <v>2796</v>
      </c>
      <c r="E185" s="600" t="s">
        <v>2742</v>
      </c>
      <c r="F185" s="600" t="s">
        <v>2799</v>
      </c>
      <c r="G185" s="600" t="s">
        <v>1390</v>
      </c>
      <c r="H185" s="600" t="s">
        <v>2744</v>
      </c>
      <c r="I185" s="600" t="s">
        <v>2745</v>
      </c>
      <c r="J185" s="1967">
        <v>76</v>
      </c>
      <c r="K185" s="1967">
        <v>90</v>
      </c>
      <c r="L185" s="600" t="s">
        <v>2749</v>
      </c>
      <c r="M185" s="1967">
        <v>320</v>
      </c>
      <c r="N185" s="600" t="s">
        <v>534</v>
      </c>
    </row>
    <row r="186" spans="2:14" x14ac:dyDescent="0.35">
      <c r="B186" s="600" t="s">
        <v>2800</v>
      </c>
      <c r="C186" s="600" t="s">
        <v>2795</v>
      </c>
      <c r="D186" s="600" t="s">
        <v>2796</v>
      </c>
      <c r="E186" s="600" t="s">
        <v>2742</v>
      </c>
      <c r="F186" s="600" t="s">
        <v>2801</v>
      </c>
      <c r="G186" s="600" t="s">
        <v>1390</v>
      </c>
      <c r="H186" s="600" t="s">
        <v>2744</v>
      </c>
      <c r="I186" s="600" t="s">
        <v>2745</v>
      </c>
      <c r="J186" s="1967">
        <v>100</v>
      </c>
      <c r="K186" s="1967">
        <v>96</v>
      </c>
      <c r="L186" s="600" t="s">
        <v>2746</v>
      </c>
      <c r="M186" s="1967">
        <v>430</v>
      </c>
      <c r="N186" s="600" t="s">
        <v>534</v>
      </c>
    </row>
    <row r="187" spans="2:14" x14ac:dyDescent="0.35">
      <c r="B187" s="600" t="s">
        <v>2802</v>
      </c>
      <c r="C187" s="600" t="s">
        <v>2795</v>
      </c>
      <c r="D187" s="600" t="s">
        <v>2796</v>
      </c>
      <c r="E187" s="600" t="s">
        <v>2742</v>
      </c>
      <c r="F187" s="600" t="s">
        <v>2803</v>
      </c>
      <c r="G187" s="600" t="s">
        <v>1390</v>
      </c>
      <c r="H187" s="600" t="s">
        <v>2744</v>
      </c>
      <c r="I187" s="600" t="s">
        <v>2745</v>
      </c>
      <c r="J187" s="1967">
        <v>76</v>
      </c>
      <c r="K187" s="1967">
        <v>90</v>
      </c>
      <c r="L187" s="600" t="s">
        <v>2749</v>
      </c>
      <c r="M187" s="1967">
        <v>320</v>
      </c>
      <c r="N187" s="600" t="s">
        <v>534</v>
      </c>
    </row>
    <row r="188" spans="2:14" x14ac:dyDescent="0.35">
      <c r="B188" s="600" t="s">
        <v>2804</v>
      </c>
      <c r="C188" s="600" t="s">
        <v>2805</v>
      </c>
      <c r="D188" s="600" t="s">
        <v>2806</v>
      </c>
      <c r="E188" s="600" t="s">
        <v>2742</v>
      </c>
      <c r="F188" s="600" t="s">
        <v>2807</v>
      </c>
      <c r="G188" s="600" t="s">
        <v>1390</v>
      </c>
      <c r="H188" s="600" t="s">
        <v>2744</v>
      </c>
      <c r="I188" s="600" t="s">
        <v>2745</v>
      </c>
      <c r="J188" s="1967">
        <v>100</v>
      </c>
      <c r="K188" s="1967">
        <v>96</v>
      </c>
      <c r="L188" s="600" t="s">
        <v>2746</v>
      </c>
      <c r="M188" s="1967">
        <v>430</v>
      </c>
      <c r="N188" s="600" t="s">
        <v>534</v>
      </c>
    </row>
    <row r="189" spans="2:14" x14ac:dyDescent="0.35">
      <c r="B189" s="600" t="s">
        <v>2808</v>
      </c>
      <c r="C189" s="600" t="s">
        <v>2805</v>
      </c>
      <c r="D189" s="600" t="s">
        <v>2806</v>
      </c>
      <c r="E189" s="600" t="s">
        <v>2742</v>
      </c>
      <c r="F189" s="600" t="s">
        <v>2809</v>
      </c>
      <c r="G189" s="600" t="s">
        <v>1390</v>
      </c>
      <c r="H189" s="600" t="s">
        <v>2744</v>
      </c>
      <c r="I189" s="600" t="s">
        <v>2745</v>
      </c>
      <c r="J189" s="1967">
        <v>76</v>
      </c>
      <c r="K189" s="1967">
        <v>90</v>
      </c>
      <c r="L189" s="600" t="s">
        <v>2749</v>
      </c>
      <c r="M189" s="1967">
        <v>320</v>
      </c>
      <c r="N189" s="600" t="s">
        <v>534</v>
      </c>
    </row>
    <row r="190" spans="2:14" x14ac:dyDescent="0.35">
      <c r="B190" s="600" t="s">
        <v>2810</v>
      </c>
      <c r="C190" s="600" t="s">
        <v>2805</v>
      </c>
      <c r="D190" s="600" t="s">
        <v>2806</v>
      </c>
      <c r="E190" s="600" t="s">
        <v>2742</v>
      </c>
      <c r="F190" s="600" t="s">
        <v>2811</v>
      </c>
      <c r="G190" s="600" t="s">
        <v>1390</v>
      </c>
      <c r="H190" s="600" t="s">
        <v>2744</v>
      </c>
      <c r="I190" s="600" t="s">
        <v>2745</v>
      </c>
      <c r="J190" s="1967">
        <v>100</v>
      </c>
      <c r="K190" s="1967">
        <v>96</v>
      </c>
      <c r="L190" s="600" t="s">
        <v>2746</v>
      </c>
      <c r="M190" s="1967">
        <v>430</v>
      </c>
      <c r="N190" s="600" t="s">
        <v>534</v>
      </c>
    </row>
  </sheetData>
  <mergeCells count="6">
    <mergeCell ref="G8:O9"/>
    <mergeCell ref="B32:C32"/>
    <mergeCell ref="B74:D74"/>
    <mergeCell ref="C81:D81"/>
    <mergeCell ref="E81:G81"/>
    <mergeCell ref="H81:J81"/>
  </mergeCells>
  <pageMargins left="0.7" right="0.7" top="0.75" bottom="0.75" header="0.3" footer="0.3"/>
  <pageSetup scale="21" orientation="portrait" r:id="rId1"/>
  <headerFooter>
    <oddHeader>&amp;LAppendix G (Rev.)</oddHead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pageSetUpPr fitToPage="1"/>
  </sheetPr>
  <dimension ref="A1:AA190"/>
  <sheetViews>
    <sheetView zoomScale="70" zoomScaleNormal="70" workbookViewId="0"/>
  </sheetViews>
  <sheetFormatPr defaultColWidth="9.1796875" defaultRowHeight="14.5" x14ac:dyDescent="0.35"/>
  <cols>
    <col min="1" max="1" width="48.7265625" style="675" customWidth="1"/>
    <col min="2" max="2" width="36.1796875" style="675" customWidth="1"/>
    <col min="3" max="3" width="15.7265625" style="675" customWidth="1"/>
    <col min="4" max="6" width="15" style="675" customWidth="1"/>
    <col min="7" max="7" width="42.81640625" style="675" customWidth="1"/>
    <col min="8" max="8" width="27.26953125" style="675" customWidth="1"/>
    <col min="9" max="9" width="17.1796875" style="675" customWidth="1"/>
    <col min="10" max="10" width="12.7265625" style="675" customWidth="1"/>
    <col min="11" max="11" width="10" style="675" customWidth="1"/>
    <col min="12" max="12" width="28" style="675" customWidth="1"/>
    <col min="13" max="13" width="16.81640625" style="675" customWidth="1"/>
    <col min="14" max="14" width="23.453125" style="675" customWidth="1"/>
    <col min="15" max="15" width="16" style="675" customWidth="1"/>
    <col min="16"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5" ht="21" x14ac:dyDescent="0.5">
      <c r="A1" s="674" t="s">
        <v>197</v>
      </c>
    </row>
    <row r="3" spans="1:15" ht="21" x14ac:dyDescent="0.5">
      <c r="A3" s="704" t="s">
        <v>2694</v>
      </c>
    </row>
    <row r="5" spans="1:15" x14ac:dyDescent="0.35">
      <c r="B5" s="834" t="s">
        <v>1947</v>
      </c>
      <c r="C5" s="835">
        <f>SUM(C83:C84)</f>
        <v>2</v>
      </c>
      <c r="D5" s="680"/>
      <c r="E5" s="680"/>
      <c r="F5" s="680"/>
    </row>
    <row r="6" spans="1:15" x14ac:dyDescent="0.35">
      <c r="B6" s="1926" t="s">
        <v>1948</v>
      </c>
      <c r="C6" s="1927">
        <f>SUMPRODUCT(C76:C77,D76:D77)</f>
        <v>2</v>
      </c>
      <c r="D6" s="680"/>
      <c r="E6" s="680"/>
      <c r="F6" s="680"/>
    </row>
    <row r="7" spans="1:15" x14ac:dyDescent="0.35">
      <c r="B7" s="838" t="s">
        <v>2052</v>
      </c>
      <c r="C7" s="839">
        <v>0</v>
      </c>
      <c r="D7" s="683"/>
      <c r="E7" s="683"/>
      <c r="F7" s="683"/>
    </row>
    <row r="8" spans="1:15" ht="15" customHeight="1" x14ac:dyDescent="0.35">
      <c r="B8" s="838" t="s">
        <v>1951</v>
      </c>
      <c r="C8" s="839">
        <v>0</v>
      </c>
      <c r="D8" s="683"/>
      <c r="E8" s="683"/>
      <c r="F8" s="683"/>
      <c r="G8" s="3162" t="s">
        <v>2695</v>
      </c>
      <c r="H8" s="3163"/>
      <c r="I8" s="3163"/>
      <c r="J8" s="3163"/>
      <c r="K8" s="3163"/>
      <c r="L8" s="3163"/>
      <c r="M8" s="3163"/>
      <c r="N8" s="3163"/>
      <c r="O8" s="3164"/>
    </row>
    <row r="9" spans="1:15" x14ac:dyDescent="0.35">
      <c r="B9" s="838" t="s">
        <v>1952</v>
      </c>
      <c r="C9" s="839">
        <f>SUM(H83:H84)</f>
        <v>520.02151781335567</v>
      </c>
      <c r="D9" s="683"/>
      <c r="E9" s="683"/>
      <c r="F9" s="683"/>
      <c r="G9" s="3165"/>
      <c r="H9" s="3166"/>
      <c r="I9" s="3166"/>
      <c r="J9" s="3166"/>
      <c r="K9" s="3166"/>
      <c r="L9" s="3166"/>
      <c r="M9" s="3166"/>
      <c r="N9" s="3166"/>
      <c r="O9" s="3167"/>
    </row>
    <row r="10" spans="1:15" x14ac:dyDescent="0.35">
      <c r="B10" s="838" t="s">
        <v>2053</v>
      </c>
      <c r="C10" s="1308">
        <f>SUM(I83:I84)</f>
        <v>1400</v>
      </c>
      <c r="D10" s="686"/>
      <c r="E10" s="686"/>
      <c r="F10" s="686"/>
      <c r="G10" s="1928" t="s">
        <v>3308</v>
      </c>
      <c r="H10" s="870"/>
      <c r="I10" s="870"/>
      <c r="J10" s="870"/>
      <c r="K10" s="870"/>
      <c r="L10" s="870"/>
      <c r="M10" s="870"/>
      <c r="N10" s="870"/>
      <c r="O10" s="871"/>
    </row>
    <row r="11" spans="1:15" x14ac:dyDescent="0.35">
      <c r="B11" s="838" t="s">
        <v>2054</v>
      </c>
      <c r="C11" s="844">
        <f>C7/$C$6</f>
        <v>0</v>
      </c>
      <c r="D11" s="686"/>
      <c r="E11" s="686"/>
      <c r="F11" s="686"/>
      <c r="G11" s="873" t="s">
        <v>3309</v>
      </c>
      <c r="H11" s="2496"/>
      <c r="I11" s="2496"/>
      <c r="J11" s="2496"/>
      <c r="K11" s="2496"/>
      <c r="L11" s="2496"/>
      <c r="M11" s="2496"/>
      <c r="N11" s="2496"/>
      <c r="O11" s="874"/>
    </row>
    <row r="12" spans="1:15" x14ac:dyDescent="0.35">
      <c r="B12" s="838" t="s">
        <v>2055</v>
      </c>
      <c r="C12" s="844">
        <f>C8/$C$6</f>
        <v>0</v>
      </c>
      <c r="D12" s="686"/>
      <c r="E12" s="686"/>
      <c r="F12" s="686"/>
      <c r="G12" s="873" t="s">
        <v>2696</v>
      </c>
      <c r="H12" s="2496"/>
      <c r="I12" s="2496"/>
      <c r="J12" s="2496"/>
      <c r="K12" s="2496"/>
      <c r="L12" s="2496"/>
      <c r="M12" s="2496"/>
      <c r="N12" s="2496"/>
      <c r="O12" s="874"/>
    </row>
    <row r="13" spans="1:15" x14ac:dyDescent="0.35">
      <c r="B13" s="838" t="s">
        <v>2056</v>
      </c>
      <c r="C13" s="844">
        <f>C9/$C$6</f>
        <v>260.01075890667784</v>
      </c>
      <c r="D13" s="686"/>
      <c r="E13" s="686"/>
      <c r="F13" s="686"/>
      <c r="G13" s="873" t="s">
        <v>2697</v>
      </c>
      <c r="H13" s="2496"/>
      <c r="I13" s="2496"/>
      <c r="J13" s="2496"/>
      <c r="K13" s="2496"/>
      <c r="L13" s="2496"/>
      <c r="M13" s="2496"/>
      <c r="N13" s="2496"/>
      <c r="O13" s="874"/>
    </row>
    <row r="14" spans="1:15" x14ac:dyDescent="0.35">
      <c r="B14" s="838" t="s">
        <v>2288</v>
      </c>
      <c r="C14" s="854">
        <f>C10/C9</f>
        <v>2.6921962881206833</v>
      </c>
      <c r="D14" s="690"/>
      <c r="E14" s="690"/>
      <c r="F14" s="690"/>
      <c r="G14" s="933"/>
      <c r="H14" s="934"/>
      <c r="I14" s="934"/>
      <c r="J14" s="934"/>
      <c r="K14" s="934"/>
      <c r="L14" s="934"/>
      <c r="M14" s="934"/>
      <c r="N14" s="934"/>
      <c r="O14" s="935"/>
    </row>
    <row r="15" spans="1:15" x14ac:dyDescent="0.35">
      <c r="B15" s="838" t="s">
        <v>2289</v>
      </c>
      <c r="C15" s="839">
        <f>C9/C5</f>
        <v>260.01075890667784</v>
      </c>
      <c r="D15" s="683"/>
      <c r="E15" s="683"/>
      <c r="F15" s="683"/>
    </row>
    <row r="16" spans="1:15" x14ac:dyDescent="0.35">
      <c r="B16" s="848" t="s">
        <v>2290</v>
      </c>
      <c r="C16" s="1929">
        <f>C10/C5</f>
        <v>700</v>
      </c>
      <c r="D16" s="706"/>
      <c r="E16" s="706"/>
      <c r="F16" s="706"/>
    </row>
    <row r="17" spans="1:6" x14ac:dyDescent="0.35">
      <c r="B17" s="1036" t="s">
        <v>2108</v>
      </c>
      <c r="C17" s="1930">
        <f>SUM(J83:J84)</f>
        <v>2270</v>
      </c>
      <c r="D17" s="706"/>
      <c r="E17" s="706"/>
      <c r="F17" s="706"/>
    </row>
    <row r="18" spans="1:6" x14ac:dyDescent="0.35">
      <c r="B18" s="1036" t="s">
        <v>2113</v>
      </c>
      <c r="C18" s="1930">
        <f>C17/C6</f>
        <v>1135</v>
      </c>
      <c r="D18" s="706"/>
      <c r="E18" s="706"/>
      <c r="F18" s="706"/>
    </row>
    <row r="19" spans="1:6" x14ac:dyDescent="0.35">
      <c r="B19" s="1036" t="s">
        <v>1970</v>
      </c>
      <c r="C19" s="1931">
        <v>15</v>
      </c>
      <c r="D19" s="706"/>
      <c r="E19" s="706"/>
      <c r="F19" s="706"/>
    </row>
    <row r="20" spans="1:6" x14ac:dyDescent="0.35">
      <c r="B20" s="694" t="s">
        <v>1961</v>
      </c>
      <c r="C20" s="695"/>
      <c r="D20" s="696"/>
      <c r="E20" s="680"/>
      <c r="F20" s="696"/>
    </row>
    <row r="21" spans="1:6" hidden="1" x14ac:dyDescent="0.35">
      <c r="B21" s="834" t="s">
        <v>2387</v>
      </c>
      <c r="C21" s="852">
        <f>1-C33+C34+C35</f>
        <v>0.8</v>
      </c>
      <c r="D21" s="680"/>
      <c r="E21" s="698"/>
      <c r="F21" s="680"/>
    </row>
    <row r="22" spans="1:6" hidden="1" x14ac:dyDescent="0.35">
      <c r="B22" s="841" t="s">
        <v>1965</v>
      </c>
      <c r="C22" s="842">
        <v>0</v>
      </c>
      <c r="D22" s="683"/>
      <c r="E22" s="683"/>
      <c r="F22" s="683"/>
    </row>
    <row r="23" spans="1:6" hidden="1" x14ac:dyDescent="0.35">
      <c r="B23" s="838" t="s">
        <v>1966</v>
      </c>
      <c r="C23" s="839">
        <v>0</v>
      </c>
      <c r="D23" s="683"/>
      <c r="E23" s="683"/>
      <c r="F23" s="683"/>
    </row>
    <row r="24" spans="1:6" hidden="1" x14ac:dyDescent="0.35">
      <c r="B24" s="841" t="s">
        <v>1967</v>
      </c>
      <c r="C24" s="842">
        <f>C21*C9</f>
        <v>416.01721425068456</v>
      </c>
      <c r="D24" s="683"/>
      <c r="E24" s="683"/>
      <c r="F24" s="683"/>
    </row>
    <row r="25" spans="1:6" hidden="1" x14ac:dyDescent="0.35">
      <c r="B25" s="838" t="s">
        <v>1969</v>
      </c>
      <c r="C25" s="854">
        <f>C10/C24</f>
        <v>3.3652453601508543</v>
      </c>
      <c r="D25" s="690"/>
      <c r="E25" s="690"/>
      <c r="F25" s="690"/>
    </row>
    <row r="26" spans="1:6" hidden="1" x14ac:dyDescent="0.35">
      <c r="B26" s="855" t="s">
        <v>1970</v>
      </c>
      <c r="C26" s="856">
        <v>15</v>
      </c>
      <c r="D26" s="680"/>
      <c r="E26" s="680"/>
      <c r="F26" s="680"/>
    </row>
    <row r="27" spans="1:6" x14ac:dyDescent="0.35">
      <c r="B27" s="703"/>
      <c r="C27" s="703"/>
    </row>
    <row r="28" spans="1:6" x14ac:dyDescent="0.35">
      <c r="B28" s="1932" t="s">
        <v>2698</v>
      </c>
      <c r="C28" s="1933">
        <f>IFERROR(H83/C83,0)</f>
        <v>163.61133444042002</v>
      </c>
    </row>
    <row r="29" spans="1:6" x14ac:dyDescent="0.35">
      <c r="B29" s="1932" t="s">
        <v>2699</v>
      </c>
      <c r="C29" s="1934">
        <f>IFERROR(H84/C84,0)</f>
        <v>356.41018337293565</v>
      </c>
    </row>
    <row r="30" spans="1:6" ht="21" hidden="1" x14ac:dyDescent="0.5">
      <c r="A30" s="704" t="s">
        <v>2064</v>
      </c>
      <c r="B30" s="703"/>
      <c r="C30" s="703"/>
    </row>
    <row r="31" spans="1:6" hidden="1" x14ac:dyDescent="0.35"/>
    <row r="32" spans="1:6" ht="12" hidden="1" customHeight="1" x14ac:dyDescent="0.35">
      <c r="B32" s="3004" t="s">
        <v>2395</v>
      </c>
      <c r="C32" s="3005"/>
    </row>
    <row r="33" spans="1:27" hidden="1" x14ac:dyDescent="0.35">
      <c r="B33" s="857" t="s">
        <v>1416</v>
      </c>
      <c r="C33" s="858">
        <v>0.4</v>
      </c>
    </row>
    <row r="34" spans="1:27" hidden="1" x14ac:dyDescent="0.35">
      <c r="B34" s="859" t="s">
        <v>2066</v>
      </c>
      <c r="C34" s="860">
        <v>0.2</v>
      </c>
    </row>
    <row r="35" spans="1:27" hidden="1" x14ac:dyDescent="0.35">
      <c r="B35" s="861" t="s">
        <v>2067</v>
      </c>
      <c r="C35" s="862">
        <v>0</v>
      </c>
    </row>
    <row r="37" spans="1:27" ht="21" x14ac:dyDescent="0.5">
      <c r="A37" s="704" t="s">
        <v>1977</v>
      </c>
    </row>
    <row r="39" spans="1:27" ht="29.5" thickBot="1" x14ac:dyDescent="0.4">
      <c r="A39" s="1932" t="s">
        <v>2700</v>
      </c>
      <c r="B39" s="1932" t="s">
        <v>2701</v>
      </c>
      <c r="C39" s="2499" t="s">
        <v>3306</v>
      </c>
      <c r="D39" s="1932" t="s">
        <v>2702</v>
      </c>
      <c r="E39" s="998" t="s">
        <v>377</v>
      </c>
      <c r="Y39" s="1935"/>
      <c r="Z39" s="1935"/>
      <c r="AA39" s="1935"/>
    </row>
    <row r="40" spans="1:27" ht="15" customHeight="1" x14ac:dyDescent="0.35">
      <c r="A40" s="1890" t="s">
        <v>2698</v>
      </c>
      <c r="B40" s="1936">
        <f>C65</f>
        <v>576.78571428571433</v>
      </c>
      <c r="C40" s="1937">
        <f>IF(F76&gt;75000,0.6002-(0.0011*E76),IF(E76&lt;=55,0.6483-(0.0017*E76),IF(E76&gt;55,0.7897-(0.0004*E76))))</f>
        <v>0.54519999999999991</v>
      </c>
      <c r="D40" s="1938">
        <f>F76/800+110*SQRT(E76)</f>
        <v>942.50495930520231</v>
      </c>
      <c r="E40" s="1002">
        <v>1135</v>
      </c>
      <c r="Y40" s="1935"/>
      <c r="Z40" s="1935"/>
      <c r="AA40" s="1935"/>
    </row>
    <row r="41" spans="1:27" ht="15" customHeight="1" thickBot="1" x14ac:dyDescent="0.4">
      <c r="A41" s="1939" t="s">
        <v>2699</v>
      </c>
      <c r="B41" s="1940">
        <f>C65</f>
        <v>576.78571428571433</v>
      </c>
      <c r="C41" s="1941">
        <f>IF(F77&gt;75000,0.6002-(0.0011*E77),IF(E77&lt;=55,0.6483-(0.0017*E77),IF(E77&gt;55,0.7897-(0.0004*E77))))</f>
        <v>0.49019999999999997</v>
      </c>
      <c r="D41" s="1942">
        <f>F77/800+110*SQRT(E77)</f>
        <v>1369.125</v>
      </c>
      <c r="E41" s="1002">
        <v>1135</v>
      </c>
      <c r="Y41" s="1935"/>
      <c r="Z41" s="1935"/>
      <c r="AA41" s="1935"/>
    </row>
    <row r="42" spans="1:27" ht="15" customHeight="1" x14ac:dyDescent="0.35">
      <c r="B42" s="675" t="s">
        <v>2703</v>
      </c>
      <c r="Y42" s="1935"/>
      <c r="Z42" s="1935"/>
      <c r="AA42" s="1935"/>
    </row>
    <row r="43" spans="1:27" x14ac:dyDescent="0.35">
      <c r="Y43" s="1935"/>
      <c r="Z43" s="1935"/>
      <c r="AA43" s="1935"/>
    </row>
    <row r="44" spans="1:27" x14ac:dyDescent="0.35">
      <c r="Y44" s="1935"/>
      <c r="Z44" s="1935"/>
      <c r="AA44" s="1935"/>
    </row>
    <row r="45" spans="1:27" x14ac:dyDescent="0.35">
      <c r="B45" s="940" t="s">
        <v>2704</v>
      </c>
      <c r="C45" s="1943">
        <v>125</v>
      </c>
      <c r="G45" s="2496"/>
      <c r="Y45" s="1935"/>
      <c r="Z45" s="1935"/>
      <c r="AA45" s="1935"/>
    </row>
    <row r="46" spans="1:27" x14ac:dyDescent="0.35">
      <c r="B46" s="936" t="s">
        <v>463</v>
      </c>
      <c r="C46" s="1944">
        <v>54</v>
      </c>
      <c r="G46" s="1067"/>
      <c r="Y46" s="1935"/>
      <c r="Z46" s="1935"/>
      <c r="AA46" s="1935"/>
    </row>
    <row r="47" spans="1:27" x14ac:dyDescent="0.35">
      <c r="B47" s="724" t="s">
        <v>2705</v>
      </c>
      <c r="C47" s="1944">
        <v>8.33</v>
      </c>
      <c r="G47" s="1067"/>
      <c r="H47" s="2496"/>
      <c r="I47" s="2496"/>
      <c r="Y47" s="1935"/>
      <c r="Z47" s="1935"/>
      <c r="AA47" s="1935"/>
    </row>
    <row r="48" spans="1:27" x14ac:dyDescent="0.35">
      <c r="B48" s="928" t="s">
        <v>2706</v>
      </c>
      <c r="C48" s="1945">
        <v>1</v>
      </c>
      <c r="G48" s="2497"/>
      <c r="H48" s="2496"/>
      <c r="I48" s="2496"/>
      <c r="Y48" s="1935"/>
      <c r="Z48" s="1935"/>
      <c r="AA48" s="1935"/>
    </row>
    <row r="49" spans="2:27" x14ac:dyDescent="0.35">
      <c r="Y49" s="1935"/>
      <c r="Z49" s="1935"/>
      <c r="AA49" s="1935"/>
    </row>
    <row r="50" spans="2:27" ht="29" x14ac:dyDescent="0.35">
      <c r="B50" s="1008" t="s">
        <v>2019</v>
      </c>
      <c r="C50" s="932" t="s">
        <v>2707</v>
      </c>
      <c r="Y50" s="1935"/>
      <c r="Z50" s="1935"/>
      <c r="AA50" s="1935"/>
    </row>
    <row r="51" spans="2:27" x14ac:dyDescent="0.35">
      <c r="B51" s="937" t="s">
        <v>2708</v>
      </c>
      <c r="C51" s="1944">
        <v>528</v>
      </c>
      <c r="Y51" s="1935"/>
      <c r="Z51" s="1935"/>
      <c r="AA51" s="1935"/>
    </row>
    <row r="52" spans="2:27" x14ac:dyDescent="0.35">
      <c r="B52" s="977" t="s">
        <v>2709</v>
      </c>
      <c r="C52" s="1944">
        <v>568</v>
      </c>
      <c r="Y52" s="1935"/>
      <c r="Z52" s="1935"/>
      <c r="AA52" s="1935"/>
    </row>
    <row r="53" spans="2:27" x14ac:dyDescent="0.35">
      <c r="B53" s="937" t="s">
        <v>2026</v>
      </c>
      <c r="C53" s="1944">
        <v>528</v>
      </c>
      <c r="Y53" s="1935"/>
      <c r="Z53" s="1935"/>
      <c r="AA53" s="1935"/>
    </row>
    <row r="54" spans="2:27" x14ac:dyDescent="0.35">
      <c r="B54" s="977" t="s">
        <v>2030</v>
      </c>
      <c r="C54" s="1944">
        <v>788</v>
      </c>
      <c r="Y54" s="1935"/>
      <c r="Z54" s="1935"/>
      <c r="AA54" s="1935"/>
    </row>
    <row r="55" spans="2:27" x14ac:dyDescent="0.35">
      <c r="B55" s="937" t="s">
        <v>2022</v>
      </c>
      <c r="C55" s="1944">
        <v>511</v>
      </c>
      <c r="Y55" s="1935"/>
      <c r="Z55" s="1935"/>
      <c r="AA55" s="1935"/>
    </row>
    <row r="56" spans="2:27" x14ac:dyDescent="0.35">
      <c r="B56" s="977" t="s">
        <v>2710</v>
      </c>
      <c r="C56" s="1944">
        <v>528</v>
      </c>
      <c r="Y56" s="1935"/>
      <c r="Z56" s="1935"/>
      <c r="AA56" s="1935"/>
    </row>
    <row r="57" spans="2:27" x14ac:dyDescent="0.35">
      <c r="B57" s="937" t="s">
        <v>2711</v>
      </c>
      <c r="C57" s="1944">
        <v>715</v>
      </c>
      <c r="Y57" s="1935"/>
      <c r="Z57" s="1935"/>
      <c r="AA57" s="1935"/>
    </row>
    <row r="58" spans="2:27" x14ac:dyDescent="0.35">
      <c r="B58" s="977" t="s">
        <v>2712</v>
      </c>
      <c r="C58" s="1944">
        <v>341</v>
      </c>
      <c r="Y58" s="1935"/>
      <c r="Z58" s="1935"/>
      <c r="AA58" s="1935"/>
    </row>
    <row r="59" spans="2:27" x14ac:dyDescent="0.35">
      <c r="B59" s="937" t="s">
        <v>2175</v>
      </c>
      <c r="C59" s="1944">
        <v>622</v>
      </c>
      <c r="Y59" s="1935"/>
      <c r="Z59" s="1935"/>
      <c r="AA59" s="1935"/>
    </row>
    <row r="60" spans="2:27" x14ac:dyDescent="0.35">
      <c r="B60" s="977" t="s">
        <v>2021</v>
      </c>
      <c r="C60" s="1944">
        <v>511</v>
      </c>
      <c r="Y60" s="1935"/>
      <c r="Z60" s="1935"/>
      <c r="AA60" s="1935"/>
    </row>
    <row r="61" spans="2:27" x14ac:dyDescent="0.35">
      <c r="B61" s="937" t="s">
        <v>2713</v>
      </c>
      <c r="C61" s="1944">
        <v>528</v>
      </c>
      <c r="Y61" s="1935"/>
      <c r="Z61" s="1935"/>
      <c r="AA61" s="1935"/>
    </row>
    <row r="62" spans="2:27" x14ac:dyDescent="0.35">
      <c r="B62" s="977" t="s">
        <v>2027</v>
      </c>
      <c r="C62" s="1944">
        <v>341</v>
      </c>
      <c r="Y62" s="1935"/>
      <c r="Z62" s="1935"/>
      <c r="AA62" s="1935"/>
    </row>
    <row r="63" spans="2:27" x14ac:dyDescent="0.35">
      <c r="B63" s="937" t="s">
        <v>2714</v>
      </c>
      <c r="C63" s="1944">
        <v>672</v>
      </c>
      <c r="Y63" s="1935"/>
      <c r="Z63" s="1935"/>
      <c r="AA63" s="1935"/>
    </row>
    <row r="64" spans="2:27" x14ac:dyDescent="0.35">
      <c r="B64" s="993" t="s">
        <v>2715</v>
      </c>
      <c r="C64" s="1945">
        <v>894</v>
      </c>
      <c r="Y64" s="1935"/>
      <c r="Z64" s="1935"/>
      <c r="AA64" s="1935"/>
    </row>
    <row r="65" spans="1:27" x14ac:dyDescent="0.35">
      <c r="B65" s="938" t="s">
        <v>2716</v>
      </c>
      <c r="C65" s="1946">
        <f>AVERAGE(C51:C64)</f>
        <v>576.78571428571433</v>
      </c>
      <c r="Y65" s="1935"/>
      <c r="Z65" s="1935"/>
      <c r="AA65" s="1935"/>
    </row>
    <row r="66" spans="1:27" x14ac:dyDescent="0.35">
      <c r="Y66" s="1935"/>
      <c r="Z66" s="1935"/>
      <c r="AA66" s="1935"/>
    </row>
    <row r="67" spans="1:27" x14ac:dyDescent="0.35">
      <c r="Y67" s="1935"/>
      <c r="Z67" s="1935"/>
      <c r="AA67" s="1935"/>
    </row>
    <row r="68" spans="1:27" ht="21" x14ac:dyDescent="0.5">
      <c r="A68" s="704" t="s">
        <v>2012</v>
      </c>
      <c r="Y68" s="1935"/>
      <c r="Z68" s="1935"/>
      <c r="AA68" s="1935"/>
    </row>
    <row r="69" spans="1:27" ht="15" customHeight="1" x14ac:dyDescent="0.35">
      <c r="B69" s="698"/>
      <c r="C69" s="934"/>
      <c r="D69" s="723"/>
      <c r="Y69" s="1935"/>
      <c r="Z69" s="1935"/>
      <c r="AA69" s="1935"/>
    </row>
    <row r="70" spans="1:27" x14ac:dyDescent="0.35">
      <c r="B70" s="878" t="s">
        <v>2717</v>
      </c>
      <c r="C70" s="1947">
        <v>700</v>
      </c>
      <c r="D70" s="739"/>
    </row>
    <row r="71" spans="1:27" x14ac:dyDescent="0.35">
      <c r="L71" s="698"/>
    </row>
    <row r="72" spans="1:27" ht="21" x14ac:dyDescent="0.5">
      <c r="A72" s="704" t="s">
        <v>2014</v>
      </c>
    </row>
    <row r="74" spans="1:27" ht="18.5" x14ac:dyDescent="0.35">
      <c r="B74" s="3009" t="s">
        <v>2361</v>
      </c>
      <c r="C74" s="3010"/>
      <c r="D74" s="3011"/>
      <c r="E74" s="876"/>
      <c r="F74" s="876"/>
      <c r="G74" s="753"/>
      <c r="H74" s="753"/>
      <c r="I74" s="753"/>
      <c r="J74" s="753"/>
    </row>
    <row r="75" spans="1:27" ht="29.5" thickBot="1" x14ac:dyDescent="0.4">
      <c r="B75" s="997" t="s">
        <v>2019</v>
      </c>
      <c r="C75" s="998" t="s">
        <v>1947</v>
      </c>
      <c r="D75" s="998" t="s">
        <v>2718</v>
      </c>
      <c r="E75" s="1008" t="s">
        <v>2719</v>
      </c>
      <c r="F75" s="1008" t="s">
        <v>2720</v>
      </c>
      <c r="G75" s="2500" t="s">
        <v>3307</v>
      </c>
      <c r="H75" s="1932" t="s">
        <v>2721</v>
      </c>
      <c r="I75" s="753"/>
      <c r="J75" s="753"/>
    </row>
    <row r="76" spans="1:27" x14ac:dyDescent="0.35">
      <c r="B76" s="1932" t="s">
        <v>2698</v>
      </c>
      <c r="C76" s="1933">
        <v>1</v>
      </c>
      <c r="D76" s="1933">
        <v>1</v>
      </c>
      <c r="E76" s="1036">
        <v>50</v>
      </c>
      <c r="F76" s="1948">
        <v>131750</v>
      </c>
      <c r="G76" s="1949">
        <v>0.92</v>
      </c>
      <c r="H76" s="1950">
        <v>530</v>
      </c>
    </row>
    <row r="77" spans="1:27" ht="15" thickBot="1" x14ac:dyDescent="0.4">
      <c r="B77" s="1932" t="s">
        <v>2699</v>
      </c>
      <c r="C77" s="1951">
        <v>1</v>
      </c>
      <c r="D77" s="1951">
        <v>1</v>
      </c>
      <c r="E77" s="1952">
        <v>100</v>
      </c>
      <c r="F77" s="1953">
        <v>215300</v>
      </c>
      <c r="G77" s="1954">
        <v>0.92</v>
      </c>
      <c r="H77" s="1955">
        <v>1012</v>
      </c>
    </row>
    <row r="79" spans="1:27" ht="21" x14ac:dyDescent="0.5">
      <c r="A79" s="704" t="s">
        <v>2036</v>
      </c>
    </row>
    <row r="81" spans="2:10" ht="26.25" customHeight="1" x14ac:dyDescent="0.35">
      <c r="B81" s="1956"/>
      <c r="C81" s="3052" t="s">
        <v>2361</v>
      </c>
      <c r="D81" s="3053"/>
      <c r="E81" s="3046" t="s">
        <v>2722</v>
      </c>
      <c r="F81" s="3047"/>
      <c r="G81" s="3048"/>
      <c r="H81" s="3168" t="s">
        <v>2040</v>
      </c>
      <c r="I81" s="3169"/>
      <c r="J81" s="3169"/>
    </row>
    <row r="82" spans="2:10" ht="43.5" x14ac:dyDescent="0.35">
      <c r="B82" s="997" t="s">
        <v>2019</v>
      </c>
      <c r="C82" s="998" t="s">
        <v>1947</v>
      </c>
      <c r="D82" s="998" t="s">
        <v>2718</v>
      </c>
      <c r="E82" s="1932" t="s">
        <v>2723</v>
      </c>
      <c r="F82" s="1932" t="s">
        <v>2724</v>
      </c>
      <c r="G82" s="1932" t="s">
        <v>2725</v>
      </c>
      <c r="H82" s="998" t="s">
        <v>2370</v>
      </c>
      <c r="I82" s="998" t="s">
        <v>2371</v>
      </c>
      <c r="J82" s="1053" t="s">
        <v>2108</v>
      </c>
    </row>
    <row r="83" spans="2:10" x14ac:dyDescent="0.35">
      <c r="B83" s="1932" t="s">
        <v>2698</v>
      </c>
      <c r="C83" s="1957">
        <f>C76</f>
        <v>1</v>
      </c>
      <c r="D83" s="1957">
        <f>D76</f>
        <v>1</v>
      </c>
      <c r="E83" s="1958">
        <f xml:space="preserve"> ((C45 - C46) * (B40*E76) * C47 *C48 * (1/C40 - 1/G76)) / 100000</f>
        <v>127.451149707726</v>
      </c>
      <c r="F83" s="1958">
        <f>IF(F76&gt;75000,((D40-H76)*8766)/100000,0)</f>
        <v>36.160184732694034</v>
      </c>
      <c r="G83" s="1959">
        <f>F83+E83</f>
        <v>163.61133444042002</v>
      </c>
      <c r="H83" s="1960">
        <f>C83*D83*G83</f>
        <v>163.61133444042002</v>
      </c>
      <c r="I83" s="1961">
        <f>C83*D83*$C$70</f>
        <v>700</v>
      </c>
      <c r="J83" s="1007">
        <f>C83*D83*E40</f>
        <v>1135</v>
      </c>
    </row>
    <row r="84" spans="2:10" x14ac:dyDescent="0.35">
      <c r="B84" s="1932" t="s">
        <v>2699</v>
      </c>
      <c r="C84" s="1962">
        <f>C77</f>
        <v>1</v>
      </c>
      <c r="D84" s="1962">
        <f>D77</f>
        <v>1</v>
      </c>
      <c r="E84" s="1958">
        <f xml:space="preserve"> ((C45 - C46) * (B41*E77) * C47 *C48 * (1/C41 - 1/G77)) / 100000</f>
        <v>325.10460587293562</v>
      </c>
      <c r="F84" s="1958">
        <f>IF(F77&gt;75000,((D41-H77)*8766)/100000,0)</f>
        <v>31.305577499999998</v>
      </c>
      <c r="G84" s="1959">
        <f>F84+E84</f>
        <v>356.41018337293565</v>
      </c>
      <c r="H84" s="1963">
        <f>C84*D84*G84</f>
        <v>356.41018337293565</v>
      </c>
      <c r="I84" s="1964">
        <f>C84*D84*$C$70</f>
        <v>700</v>
      </c>
      <c r="J84" s="1965">
        <f>C84*D84*E41</f>
        <v>1135</v>
      </c>
    </row>
    <row r="85" spans="2:10" ht="18.5" x14ac:dyDescent="0.45">
      <c r="H85" s="779"/>
      <c r="I85" s="779"/>
      <c r="J85" s="779"/>
    </row>
    <row r="86" spans="2:10" ht="18.5" x14ac:dyDescent="0.45">
      <c r="H86" s="779"/>
      <c r="I86" s="779"/>
      <c r="J86" s="779"/>
    </row>
    <row r="87" spans="2:10" ht="18.5" x14ac:dyDescent="0.45">
      <c r="H87" s="779"/>
      <c r="I87" s="779"/>
      <c r="J87" s="779"/>
    </row>
    <row r="88" spans="2:10" ht="18.5" x14ac:dyDescent="0.45">
      <c r="H88" s="779"/>
      <c r="I88" s="779"/>
      <c r="J88" s="779"/>
    </row>
    <row r="89" spans="2:10" ht="18.5" x14ac:dyDescent="0.45">
      <c r="H89" s="779"/>
      <c r="I89" s="779"/>
      <c r="J89" s="779"/>
    </row>
    <row r="90" spans="2:10" ht="18.5" x14ac:dyDescent="0.45">
      <c r="H90" s="779"/>
      <c r="I90" s="779"/>
      <c r="J90" s="779"/>
    </row>
    <row r="102" spans="16:16" x14ac:dyDescent="0.35">
      <c r="P102" s="698"/>
    </row>
    <row r="103" spans="16:16" x14ac:dyDescent="0.35">
      <c r="P103" s="1966"/>
    </row>
    <row r="104" spans="16:16" x14ac:dyDescent="0.35">
      <c r="P104" s="1966"/>
    </row>
    <row r="105" spans="16:16" x14ac:dyDescent="0.35">
      <c r="P105" s="1966"/>
    </row>
    <row r="106" spans="16:16" x14ac:dyDescent="0.35">
      <c r="P106" s="1966"/>
    </row>
    <row r="107" spans="16:16" x14ac:dyDescent="0.35">
      <c r="P107" s="1966"/>
    </row>
    <row r="108" spans="16:16" x14ac:dyDescent="0.35">
      <c r="P108" s="1966"/>
    </row>
    <row r="165" spans="2:14" x14ac:dyDescent="0.35">
      <c r="B165" s="600" t="s">
        <v>2726</v>
      </c>
      <c r="C165" s="600" t="s">
        <v>2727</v>
      </c>
      <c r="D165" s="600" t="s">
        <v>2728</v>
      </c>
      <c r="E165" s="600" t="s">
        <v>2729</v>
      </c>
      <c r="F165" s="600" t="s">
        <v>2730</v>
      </c>
      <c r="G165" s="600" t="s">
        <v>2731</v>
      </c>
      <c r="H165" s="600" t="s">
        <v>2732</v>
      </c>
      <c r="I165" s="600" t="s">
        <v>2733</v>
      </c>
      <c r="J165" s="600" t="s">
        <v>2734</v>
      </c>
      <c r="K165" s="600" t="s">
        <v>2735</v>
      </c>
      <c r="L165" s="600" t="s">
        <v>2736</v>
      </c>
      <c r="M165" s="600" t="s">
        <v>2737</v>
      </c>
      <c r="N165" s="600" t="s">
        <v>2738</v>
      </c>
    </row>
    <row r="166" spans="2:14" x14ac:dyDescent="0.35">
      <c r="B166" s="600" t="s">
        <v>2739</v>
      </c>
      <c r="C166" s="600" t="s">
        <v>2740</v>
      </c>
      <c r="D166" s="600" t="s">
        <v>2741</v>
      </c>
      <c r="E166" s="600" t="s">
        <v>2742</v>
      </c>
      <c r="F166" s="600" t="s">
        <v>2743</v>
      </c>
      <c r="G166" s="600" t="s">
        <v>1390</v>
      </c>
      <c r="H166" s="600" t="s">
        <v>2744</v>
      </c>
      <c r="I166" s="600" t="s">
        <v>2745</v>
      </c>
      <c r="J166" s="1967">
        <v>100</v>
      </c>
      <c r="K166" s="1967">
        <v>96</v>
      </c>
      <c r="L166" s="600" t="s">
        <v>2746</v>
      </c>
      <c r="M166" s="1967">
        <v>430</v>
      </c>
      <c r="N166" s="600" t="s">
        <v>534</v>
      </c>
    </row>
    <row r="167" spans="2:14" x14ac:dyDescent="0.35">
      <c r="B167" s="600" t="s">
        <v>2747</v>
      </c>
      <c r="C167" s="600" t="s">
        <v>2740</v>
      </c>
      <c r="D167" s="600" t="s">
        <v>2741</v>
      </c>
      <c r="E167" s="600" t="s">
        <v>2742</v>
      </c>
      <c r="F167" s="600" t="s">
        <v>2748</v>
      </c>
      <c r="G167" s="600" t="s">
        <v>1390</v>
      </c>
      <c r="H167" s="600" t="s">
        <v>2744</v>
      </c>
      <c r="I167" s="600" t="s">
        <v>2745</v>
      </c>
      <c r="J167" s="1967">
        <v>76</v>
      </c>
      <c r="K167" s="1967">
        <v>90</v>
      </c>
      <c r="L167" s="600" t="s">
        <v>2749</v>
      </c>
      <c r="M167" s="1967">
        <v>320</v>
      </c>
      <c r="N167" s="600" t="s">
        <v>534</v>
      </c>
    </row>
    <row r="168" spans="2:14" x14ac:dyDescent="0.35">
      <c r="B168" s="600" t="s">
        <v>2750</v>
      </c>
      <c r="C168" s="600" t="s">
        <v>2740</v>
      </c>
      <c r="D168" s="600" t="s">
        <v>2741</v>
      </c>
      <c r="E168" s="600" t="s">
        <v>2742</v>
      </c>
      <c r="F168" s="600" t="s">
        <v>2751</v>
      </c>
      <c r="G168" s="600" t="s">
        <v>1390</v>
      </c>
      <c r="H168" s="600" t="s">
        <v>2744</v>
      </c>
      <c r="I168" s="600" t="s">
        <v>2745</v>
      </c>
      <c r="J168" s="1967">
        <v>100</v>
      </c>
      <c r="K168" s="1967">
        <v>96</v>
      </c>
      <c r="L168" s="600" t="s">
        <v>2746</v>
      </c>
      <c r="M168" s="1967">
        <v>430</v>
      </c>
      <c r="N168" s="600" t="s">
        <v>534</v>
      </c>
    </row>
    <row r="169" spans="2:14" x14ac:dyDescent="0.35">
      <c r="B169" s="600" t="s">
        <v>2752</v>
      </c>
      <c r="C169" s="600" t="s">
        <v>2753</v>
      </c>
      <c r="D169" s="600" t="s">
        <v>2741</v>
      </c>
      <c r="E169" s="600" t="s">
        <v>2742</v>
      </c>
      <c r="F169" s="600" t="s">
        <v>2754</v>
      </c>
      <c r="G169" s="600" t="s">
        <v>1390</v>
      </c>
      <c r="H169" s="600" t="s">
        <v>2744</v>
      </c>
      <c r="I169" s="600" t="s">
        <v>2745</v>
      </c>
      <c r="J169" s="1967">
        <v>76</v>
      </c>
      <c r="K169" s="1967">
        <v>90</v>
      </c>
      <c r="L169" s="600" t="s">
        <v>2749</v>
      </c>
      <c r="M169" s="1967">
        <v>320</v>
      </c>
      <c r="N169" s="600" t="s">
        <v>534</v>
      </c>
    </row>
    <row r="170" spans="2:14" x14ac:dyDescent="0.35">
      <c r="B170" s="600" t="s">
        <v>2755</v>
      </c>
      <c r="C170" s="600" t="s">
        <v>2756</v>
      </c>
      <c r="D170" s="600" t="s">
        <v>2757</v>
      </c>
      <c r="E170" s="600" t="s">
        <v>2742</v>
      </c>
      <c r="F170" s="600" t="s">
        <v>2758</v>
      </c>
      <c r="G170" s="600" t="s">
        <v>1390</v>
      </c>
      <c r="H170" s="600" t="s">
        <v>2744</v>
      </c>
      <c r="I170" s="600" t="s">
        <v>2745</v>
      </c>
      <c r="J170" s="1967">
        <v>130</v>
      </c>
      <c r="K170" s="1967">
        <v>95</v>
      </c>
      <c r="L170" s="600" t="s">
        <v>2759</v>
      </c>
      <c r="M170" s="1967">
        <v>620</v>
      </c>
      <c r="N170" s="600" t="s">
        <v>534</v>
      </c>
    </row>
    <row r="171" spans="2:14" x14ac:dyDescent="0.35">
      <c r="B171" s="600" t="s">
        <v>2760</v>
      </c>
      <c r="C171" s="600" t="s">
        <v>2761</v>
      </c>
      <c r="D171" s="600" t="s">
        <v>2757</v>
      </c>
      <c r="E171" s="600" t="s">
        <v>2742</v>
      </c>
      <c r="F171" s="600" t="s">
        <v>2762</v>
      </c>
      <c r="G171" s="600" t="s">
        <v>1390</v>
      </c>
      <c r="H171" s="600" t="s">
        <v>2744</v>
      </c>
      <c r="I171" s="600" t="s">
        <v>2745</v>
      </c>
      <c r="J171" s="1967">
        <v>150</v>
      </c>
      <c r="K171" s="1967">
        <v>95</v>
      </c>
      <c r="L171" s="600" t="s">
        <v>2759</v>
      </c>
      <c r="M171" s="1967">
        <v>605</v>
      </c>
      <c r="N171" s="600" t="s">
        <v>534</v>
      </c>
    </row>
    <row r="172" spans="2:14" x14ac:dyDescent="0.35">
      <c r="B172" s="600" t="s">
        <v>2763</v>
      </c>
      <c r="C172" s="600" t="s">
        <v>2756</v>
      </c>
      <c r="D172" s="600" t="s">
        <v>2757</v>
      </c>
      <c r="E172" s="600" t="s">
        <v>2742</v>
      </c>
      <c r="F172" s="600" t="s">
        <v>2764</v>
      </c>
      <c r="G172" s="600" t="s">
        <v>1390</v>
      </c>
      <c r="H172" s="600" t="s">
        <v>2744</v>
      </c>
      <c r="I172" s="600" t="s">
        <v>2745</v>
      </c>
      <c r="J172" s="1967">
        <v>175</v>
      </c>
      <c r="K172" s="1967">
        <v>96</v>
      </c>
      <c r="L172" s="600" t="s">
        <v>2765</v>
      </c>
      <c r="M172" s="1967">
        <v>645</v>
      </c>
      <c r="N172" s="600" t="s">
        <v>534</v>
      </c>
    </row>
    <row r="173" spans="2:14" x14ac:dyDescent="0.35">
      <c r="B173" s="600" t="s">
        <v>2766</v>
      </c>
      <c r="C173" s="600" t="s">
        <v>2756</v>
      </c>
      <c r="D173" s="600" t="s">
        <v>2757</v>
      </c>
      <c r="E173" s="600" t="s">
        <v>2742</v>
      </c>
      <c r="F173" s="600" t="s">
        <v>2767</v>
      </c>
      <c r="G173" s="600" t="s">
        <v>1390</v>
      </c>
      <c r="H173" s="600" t="s">
        <v>2744</v>
      </c>
      <c r="I173" s="600" t="s">
        <v>2745</v>
      </c>
      <c r="J173" s="1967">
        <v>199</v>
      </c>
      <c r="K173" s="1967">
        <v>96</v>
      </c>
      <c r="L173" s="600" t="s">
        <v>2765</v>
      </c>
      <c r="M173" s="1967">
        <v>650</v>
      </c>
      <c r="N173" s="600" t="s">
        <v>534</v>
      </c>
    </row>
    <row r="174" spans="2:14" x14ac:dyDescent="0.35">
      <c r="B174" s="600" t="s">
        <v>2768</v>
      </c>
      <c r="C174" s="600" t="s">
        <v>2761</v>
      </c>
      <c r="D174" s="600" t="s">
        <v>2757</v>
      </c>
      <c r="E174" s="600" t="s">
        <v>2742</v>
      </c>
      <c r="F174" s="600" t="s">
        <v>2769</v>
      </c>
      <c r="G174" s="600" t="s">
        <v>1390</v>
      </c>
      <c r="H174" s="600" t="s">
        <v>2744</v>
      </c>
      <c r="I174" s="600" t="s">
        <v>2745</v>
      </c>
      <c r="J174" s="1967">
        <v>130</v>
      </c>
      <c r="K174" s="1967">
        <v>95</v>
      </c>
      <c r="L174" s="600" t="s">
        <v>2759</v>
      </c>
      <c r="M174" s="1967">
        <v>620</v>
      </c>
      <c r="N174" s="600" t="s">
        <v>534</v>
      </c>
    </row>
    <row r="175" spans="2:14" x14ac:dyDescent="0.35">
      <c r="B175" s="600" t="s">
        <v>2770</v>
      </c>
      <c r="C175" s="600" t="s">
        <v>2761</v>
      </c>
      <c r="D175" s="600" t="s">
        <v>2757</v>
      </c>
      <c r="E175" s="600" t="s">
        <v>2742</v>
      </c>
      <c r="F175" s="600" t="s">
        <v>2771</v>
      </c>
      <c r="G175" s="600" t="s">
        <v>1390</v>
      </c>
      <c r="H175" s="600" t="s">
        <v>2744</v>
      </c>
      <c r="I175" s="600" t="s">
        <v>2745</v>
      </c>
      <c r="J175" s="1967">
        <v>150</v>
      </c>
      <c r="K175" s="1967">
        <v>95</v>
      </c>
      <c r="L175" s="600" t="s">
        <v>2759</v>
      </c>
      <c r="M175" s="1967">
        <v>605</v>
      </c>
      <c r="N175" s="600" t="s">
        <v>534</v>
      </c>
    </row>
    <row r="176" spans="2:14" x14ac:dyDescent="0.35">
      <c r="B176" s="600" t="s">
        <v>2772</v>
      </c>
      <c r="C176" s="600" t="s">
        <v>2761</v>
      </c>
      <c r="D176" s="600" t="s">
        <v>2757</v>
      </c>
      <c r="E176" s="600" t="s">
        <v>2742</v>
      </c>
      <c r="F176" s="600" t="s">
        <v>2773</v>
      </c>
      <c r="G176" s="600" t="s">
        <v>1390</v>
      </c>
      <c r="H176" s="600" t="s">
        <v>2744</v>
      </c>
      <c r="I176" s="600" t="s">
        <v>2745</v>
      </c>
      <c r="J176" s="1967">
        <v>175</v>
      </c>
      <c r="K176" s="1967">
        <v>96</v>
      </c>
      <c r="L176" s="600" t="s">
        <v>2765</v>
      </c>
      <c r="M176" s="1967">
        <v>645</v>
      </c>
      <c r="N176" s="600" t="s">
        <v>534</v>
      </c>
    </row>
    <row r="177" spans="2:14" x14ac:dyDescent="0.35">
      <c r="B177" s="600" t="s">
        <v>2774</v>
      </c>
      <c r="C177" s="600" t="s">
        <v>2761</v>
      </c>
      <c r="D177" s="600" t="s">
        <v>2757</v>
      </c>
      <c r="E177" s="600" t="s">
        <v>2742</v>
      </c>
      <c r="F177" s="600" t="s">
        <v>2775</v>
      </c>
      <c r="G177" s="600" t="s">
        <v>1390</v>
      </c>
      <c r="H177" s="600" t="s">
        <v>2744</v>
      </c>
      <c r="I177" s="600" t="s">
        <v>2745</v>
      </c>
      <c r="J177" s="1967">
        <v>199</v>
      </c>
      <c r="K177" s="1967">
        <v>96</v>
      </c>
      <c r="L177" s="600" t="s">
        <v>2765</v>
      </c>
      <c r="M177" s="1967">
        <v>650</v>
      </c>
      <c r="N177" s="600" t="s">
        <v>534</v>
      </c>
    </row>
    <row r="178" spans="2:14" x14ac:dyDescent="0.35">
      <c r="B178" s="600" t="s">
        <v>2776</v>
      </c>
      <c r="C178" s="600" t="s">
        <v>2761</v>
      </c>
      <c r="D178" s="600" t="s">
        <v>2777</v>
      </c>
      <c r="E178" s="600" t="s">
        <v>2742</v>
      </c>
      <c r="F178" s="600" t="s">
        <v>2778</v>
      </c>
      <c r="G178" s="600" t="s">
        <v>1390</v>
      </c>
      <c r="H178" s="600" t="s">
        <v>2744</v>
      </c>
      <c r="I178" s="600" t="s">
        <v>2745</v>
      </c>
      <c r="J178" s="1967">
        <v>100</v>
      </c>
      <c r="K178" s="1967">
        <v>96</v>
      </c>
      <c r="L178" s="600" t="s">
        <v>2746</v>
      </c>
      <c r="M178" s="1967">
        <v>430</v>
      </c>
      <c r="N178" s="600" t="s">
        <v>534</v>
      </c>
    </row>
    <row r="179" spans="2:14" x14ac:dyDescent="0.35">
      <c r="B179" s="600" t="s">
        <v>2779</v>
      </c>
      <c r="C179" s="600" t="s">
        <v>2761</v>
      </c>
      <c r="D179" s="600" t="s">
        <v>2777</v>
      </c>
      <c r="E179" s="600" t="s">
        <v>2742</v>
      </c>
      <c r="F179" s="600" t="s">
        <v>2780</v>
      </c>
      <c r="G179" s="600" t="s">
        <v>1390</v>
      </c>
      <c r="H179" s="600" t="s">
        <v>2744</v>
      </c>
      <c r="I179" s="600" t="s">
        <v>2745</v>
      </c>
      <c r="J179" s="1967">
        <v>76</v>
      </c>
      <c r="K179" s="1967">
        <v>90</v>
      </c>
      <c r="L179" s="600" t="s">
        <v>2749</v>
      </c>
      <c r="M179" s="1967">
        <v>320</v>
      </c>
      <c r="N179" s="600" t="s">
        <v>534</v>
      </c>
    </row>
    <row r="180" spans="2:14" x14ac:dyDescent="0.35">
      <c r="B180" s="600" t="s">
        <v>2781</v>
      </c>
      <c r="C180" s="600" t="s">
        <v>2782</v>
      </c>
      <c r="D180" s="600" t="s">
        <v>2783</v>
      </c>
      <c r="E180" s="600" t="s">
        <v>2742</v>
      </c>
      <c r="F180" s="600" t="s">
        <v>2784</v>
      </c>
      <c r="G180" s="600" t="s">
        <v>1390</v>
      </c>
      <c r="H180" s="600" t="s">
        <v>2744</v>
      </c>
      <c r="I180" s="600" t="s">
        <v>2745</v>
      </c>
      <c r="J180" s="1967">
        <v>76</v>
      </c>
      <c r="K180" s="1967">
        <v>90</v>
      </c>
      <c r="L180" s="600" t="s">
        <v>2785</v>
      </c>
      <c r="M180" s="1967">
        <v>360</v>
      </c>
      <c r="N180" s="600" t="s">
        <v>534</v>
      </c>
    </row>
    <row r="181" spans="2:14" x14ac:dyDescent="0.35">
      <c r="B181" s="600" t="s">
        <v>2786</v>
      </c>
      <c r="C181" s="600" t="s">
        <v>2782</v>
      </c>
      <c r="D181" s="600" t="s">
        <v>2787</v>
      </c>
      <c r="E181" s="600" t="s">
        <v>2742</v>
      </c>
      <c r="F181" s="600" t="s">
        <v>2788</v>
      </c>
      <c r="G181" s="600" t="s">
        <v>1390</v>
      </c>
      <c r="H181" s="600" t="s">
        <v>2744</v>
      </c>
      <c r="I181" s="600" t="s">
        <v>2745</v>
      </c>
      <c r="J181" s="1967">
        <v>76</v>
      </c>
      <c r="K181" s="1967">
        <v>90</v>
      </c>
      <c r="L181" s="600" t="s">
        <v>2785</v>
      </c>
      <c r="M181" s="1967">
        <v>360</v>
      </c>
      <c r="N181" s="600" t="s">
        <v>534</v>
      </c>
    </row>
    <row r="182" spans="2:14" x14ac:dyDescent="0.35">
      <c r="B182" s="600" t="s">
        <v>2789</v>
      </c>
      <c r="C182" s="600" t="s">
        <v>2790</v>
      </c>
      <c r="D182" s="600" t="s">
        <v>2790</v>
      </c>
      <c r="E182" s="600" t="s">
        <v>2742</v>
      </c>
      <c r="F182" s="600" t="s">
        <v>2791</v>
      </c>
      <c r="G182" s="600" t="s">
        <v>1390</v>
      </c>
      <c r="H182" s="600" t="s">
        <v>2744</v>
      </c>
      <c r="I182" s="600" t="s">
        <v>2745</v>
      </c>
      <c r="J182" s="1967">
        <v>100</v>
      </c>
      <c r="K182" s="1967">
        <v>96</v>
      </c>
      <c r="L182" s="600" t="s">
        <v>2746</v>
      </c>
      <c r="M182" s="1967">
        <v>430</v>
      </c>
      <c r="N182" s="600" t="s">
        <v>534</v>
      </c>
    </row>
    <row r="183" spans="2:14" x14ac:dyDescent="0.35">
      <c r="B183" s="600" t="s">
        <v>2792</v>
      </c>
      <c r="C183" s="600" t="s">
        <v>2790</v>
      </c>
      <c r="D183" s="600" t="s">
        <v>2790</v>
      </c>
      <c r="E183" s="600" t="s">
        <v>2742</v>
      </c>
      <c r="F183" s="600" t="s">
        <v>2793</v>
      </c>
      <c r="G183" s="600" t="s">
        <v>1390</v>
      </c>
      <c r="H183" s="600" t="s">
        <v>2744</v>
      </c>
      <c r="I183" s="600" t="s">
        <v>2745</v>
      </c>
      <c r="J183" s="1967">
        <v>76</v>
      </c>
      <c r="K183" s="1967">
        <v>90</v>
      </c>
      <c r="L183" s="600" t="s">
        <v>2749</v>
      </c>
      <c r="M183" s="1967">
        <v>320</v>
      </c>
      <c r="N183" s="600" t="s">
        <v>534</v>
      </c>
    </row>
    <row r="184" spans="2:14" x14ac:dyDescent="0.35">
      <c r="B184" s="600" t="s">
        <v>2794</v>
      </c>
      <c r="C184" s="600" t="s">
        <v>2795</v>
      </c>
      <c r="D184" s="600" t="s">
        <v>2796</v>
      </c>
      <c r="E184" s="600" t="s">
        <v>2742</v>
      </c>
      <c r="F184" s="600" t="s">
        <v>2797</v>
      </c>
      <c r="G184" s="600" t="s">
        <v>1390</v>
      </c>
      <c r="H184" s="600" t="s">
        <v>2744</v>
      </c>
      <c r="I184" s="600" t="s">
        <v>2745</v>
      </c>
      <c r="J184" s="1967">
        <v>100</v>
      </c>
      <c r="K184" s="1967">
        <v>96</v>
      </c>
      <c r="L184" s="600" t="s">
        <v>2746</v>
      </c>
      <c r="M184" s="1967">
        <v>430</v>
      </c>
      <c r="N184" s="600" t="s">
        <v>534</v>
      </c>
    </row>
    <row r="185" spans="2:14" x14ac:dyDescent="0.35">
      <c r="B185" s="600" t="s">
        <v>2798</v>
      </c>
      <c r="C185" s="600" t="s">
        <v>2795</v>
      </c>
      <c r="D185" s="600" t="s">
        <v>2796</v>
      </c>
      <c r="E185" s="600" t="s">
        <v>2742</v>
      </c>
      <c r="F185" s="600" t="s">
        <v>2799</v>
      </c>
      <c r="G185" s="600" t="s">
        <v>1390</v>
      </c>
      <c r="H185" s="600" t="s">
        <v>2744</v>
      </c>
      <c r="I185" s="600" t="s">
        <v>2745</v>
      </c>
      <c r="J185" s="1967">
        <v>76</v>
      </c>
      <c r="K185" s="1967">
        <v>90</v>
      </c>
      <c r="L185" s="600" t="s">
        <v>2749</v>
      </c>
      <c r="M185" s="1967">
        <v>320</v>
      </c>
      <c r="N185" s="600" t="s">
        <v>534</v>
      </c>
    </row>
    <row r="186" spans="2:14" x14ac:dyDescent="0.35">
      <c r="B186" s="600" t="s">
        <v>2800</v>
      </c>
      <c r="C186" s="600" t="s">
        <v>2795</v>
      </c>
      <c r="D186" s="600" t="s">
        <v>2796</v>
      </c>
      <c r="E186" s="600" t="s">
        <v>2742</v>
      </c>
      <c r="F186" s="600" t="s">
        <v>2801</v>
      </c>
      <c r="G186" s="600" t="s">
        <v>1390</v>
      </c>
      <c r="H186" s="600" t="s">
        <v>2744</v>
      </c>
      <c r="I186" s="600" t="s">
        <v>2745</v>
      </c>
      <c r="J186" s="1967">
        <v>100</v>
      </c>
      <c r="K186" s="1967">
        <v>96</v>
      </c>
      <c r="L186" s="600" t="s">
        <v>2746</v>
      </c>
      <c r="M186" s="1967">
        <v>430</v>
      </c>
      <c r="N186" s="600" t="s">
        <v>534</v>
      </c>
    </row>
    <row r="187" spans="2:14" x14ac:dyDescent="0.35">
      <c r="B187" s="600" t="s">
        <v>2802</v>
      </c>
      <c r="C187" s="600" t="s">
        <v>2795</v>
      </c>
      <c r="D187" s="600" t="s">
        <v>2796</v>
      </c>
      <c r="E187" s="600" t="s">
        <v>2742</v>
      </c>
      <c r="F187" s="600" t="s">
        <v>2803</v>
      </c>
      <c r="G187" s="600" t="s">
        <v>1390</v>
      </c>
      <c r="H187" s="600" t="s">
        <v>2744</v>
      </c>
      <c r="I187" s="600" t="s">
        <v>2745</v>
      </c>
      <c r="J187" s="1967">
        <v>76</v>
      </c>
      <c r="K187" s="1967">
        <v>90</v>
      </c>
      <c r="L187" s="600" t="s">
        <v>2749</v>
      </c>
      <c r="M187" s="1967">
        <v>320</v>
      </c>
      <c r="N187" s="600" t="s">
        <v>534</v>
      </c>
    </row>
    <row r="188" spans="2:14" x14ac:dyDescent="0.35">
      <c r="B188" s="600" t="s">
        <v>2804</v>
      </c>
      <c r="C188" s="600" t="s">
        <v>2805</v>
      </c>
      <c r="D188" s="600" t="s">
        <v>2806</v>
      </c>
      <c r="E188" s="600" t="s">
        <v>2742</v>
      </c>
      <c r="F188" s="600" t="s">
        <v>2807</v>
      </c>
      <c r="G188" s="600" t="s">
        <v>1390</v>
      </c>
      <c r="H188" s="600" t="s">
        <v>2744</v>
      </c>
      <c r="I188" s="600" t="s">
        <v>2745</v>
      </c>
      <c r="J188" s="1967">
        <v>100</v>
      </c>
      <c r="K188" s="1967">
        <v>96</v>
      </c>
      <c r="L188" s="600" t="s">
        <v>2746</v>
      </c>
      <c r="M188" s="1967">
        <v>430</v>
      </c>
      <c r="N188" s="600" t="s">
        <v>534</v>
      </c>
    </row>
    <row r="189" spans="2:14" x14ac:dyDescent="0.35">
      <c r="B189" s="600" t="s">
        <v>2808</v>
      </c>
      <c r="C189" s="600" t="s">
        <v>2805</v>
      </c>
      <c r="D189" s="600" t="s">
        <v>2806</v>
      </c>
      <c r="E189" s="600" t="s">
        <v>2742</v>
      </c>
      <c r="F189" s="600" t="s">
        <v>2809</v>
      </c>
      <c r="G189" s="600" t="s">
        <v>1390</v>
      </c>
      <c r="H189" s="600" t="s">
        <v>2744</v>
      </c>
      <c r="I189" s="600" t="s">
        <v>2745</v>
      </c>
      <c r="J189" s="1967">
        <v>76</v>
      </c>
      <c r="K189" s="1967">
        <v>90</v>
      </c>
      <c r="L189" s="600" t="s">
        <v>2749</v>
      </c>
      <c r="M189" s="1967">
        <v>320</v>
      </c>
      <c r="N189" s="600" t="s">
        <v>534</v>
      </c>
    </row>
    <row r="190" spans="2:14" x14ac:dyDescent="0.35">
      <c r="B190" s="600" t="s">
        <v>2810</v>
      </c>
      <c r="C190" s="600" t="s">
        <v>2805</v>
      </c>
      <c r="D190" s="600" t="s">
        <v>2806</v>
      </c>
      <c r="E190" s="600" t="s">
        <v>2742</v>
      </c>
      <c r="F190" s="600" t="s">
        <v>2811</v>
      </c>
      <c r="G190" s="600" t="s">
        <v>1390</v>
      </c>
      <c r="H190" s="600" t="s">
        <v>2744</v>
      </c>
      <c r="I190" s="600" t="s">
        <v>2745</v>
      </c>
      <c r="J190" s="1967">
        <v>100</v>
      </c>
      <c r="K190" s="1967">
        <v>96</v>
      </c>
      <c r="L190" s="600" t="s">
        <v>2746</v>
      </c>
      <c r="M190" s="1967">
        <v>430</v>
      </c>
      <c r="N190" s="600" t="s">
        <v>534</v>
      </c>
    </row>
  </sheetData>
  <mergeCells count="6">
    <mergeCell ref="G8:O9"/>
    <mergeCell ref="B32:C32"/>
    <mergeCell ref="B74:D74"/>
    <mergeCell ref="C81:D81"/>
    <mergeCell ref="E81:G81"/>
    <mergeCell ref="H81:J81"/>
  </mergeCells>
  <pageMargins left="0.7" right="0.7" top="0.75" bottom="0.75" header="0.3" footer="0.3"/>
  <pageSetup scale="21" orientation="portrait" r:id="rId1"/>
  <headerFooter>
    <oddHeader>&amp;LAppendix G (Rev.)</oddHead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pageSetUpPr fitToPage="1"/>
  </sheetPr>
  <dimension ref="A1:AA190"/>
  <sheetViews>
    <sheetView zoomScale="70" zoomScaleNormal="70" workbookViewId="0"/>
  </sheetViews>
  <sheetFormatPr defaultColWidth="9.1796875" defaultRowHeight="14.5" x14ac:dyDescent="0.35"/>
  <cols>
    <col min="1" max="1" width="48.7265625" style="675" customWidth="1"/>
    <col min="2" max="2" width="36.1796875" style="675" customWidth="1"/>
    <col min="3" max="3" width="15.7265625" style="675" customWidth="1"/>
    <col min="4" max="6" width="15" style="675" customWidth="1"/>
    <col min="7" max="7" width="42.81640625" style="675" customWidth="1"/>
    <col min="8" max="8" width="27.26953125" style="675" customWidth="1"/>
    <col min="9" max="9" width="17.1796875" style="675" customWidth="1"/>
    <col min="10" max="10" width="12.7265625" style="675" customWidth="1"/>
    <col min="11" max="11" width="10" style="675" customWidth="1"/>
    <col min="12" max="12" width="28" style="675" customWidth="1"/>
    <col min="13" max="13" width="16.81640625" style="675" customWidth="1"/>
    <col min="14" max="14" width="23.453125" style="675" customWidth="1"/>
    <col min="15" max="15" width="16" style="675" customWidth="1"/>
    <col min="16"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5" ht="21" x14ac:dyDescent="0.5">
      <c r="A1" s="674" t="s">
        <v>198</v>
      </c>
    </row>
    <row r="3" spans="1:15" ht="21" x14ac:dyDescent="0.5">
      <c r="A3" s="704" t="s">
        <v>3003</v>
      </c>
    </row>
    <row r="5" spans="1:15" x14ac:dyDescent="0.35">
      <c r="B5" s="834" t="s">
        <v>1947</v>
      </c>
      <c r="C5" s="835">
        <f>SUM(C83:C84)</f>
        <v>10</v>
      </c>
      <c r="D5" s="680"/>
      <c r="E5" s="680"/>
      <c r="F5" s="680"/>
    </row>
    <row r="6" spans="1:15" x14ac:dyDescent="0.35">
      <c r="B6" s="1926" t="s">
        <v>1948</v>
      </c>
      <c r="C6" s="1927">
        <f>SUMPRODUCT(C76:C77,D76:D77)</f>
        <v>10</v>
      </c>
      <c r="D6" s="680"/>
      <c r="E6" s="680"/>
      <c r="F6" s="680"/>
    </row>
    <row r="7" spans="1:15" x14ac:dyDescent="0.35">
      <c r="B7" s="838" t="s">
        <v>2052</v>
      </c>
      <c r="C7" s="839">
        <v>0</v>
      </c>
      <c r="D7" s="683"/>
      <c r="E7" s="683"/>
      <c r="F7" s="683"/>
    </row>
    <row r="8" spans="1:15" ht="15" customHeight="1" x14ac:dyDescent="0.35">
      <c r="B8" s="838" t="s">
        <v>1951</v>
      </c>
      <c r="C8" s="839">
        <v>0</v>
      </c>
      <c r="D8" s="683"/>
      <c r="E8" s="683"/>
      <c r="F8" s="683"/>
      <c r="G8" s="3162" t="s">
        <v>2695</v>
      </c>
      <c r="H8" s="3163"/>
      <c r="I8" s="3163"/>
      <c r="J8" s="3163"/>
      <c r="K8" s="3163"/>
      <c r="L8" s="3163"/>
      <c r="M8" s="3163"/>
      <c r="N8" s="3163"/>
      <c r="O8" s="3164"/>
    </row>
    <row r="9" spans="1:15" x14ac:dyDescent="0.35">
      <c r="B9" s="838" t="s">
        <v>1952</v>
      </c>
      <c r="C9" s="839">
        <f>SUM(H83:H84)</f>
        <v>2473.7013236270545</v>
      </c>
      <c r="D9" s="683"/>
      <c r="E9" s="683"/>
      <c r="F9" s="683"/>
      <c r="G9" s="3165"/>
      <c r="H9" s="3166"/>
      <c r="I9" s="3166"/>
      <c r="J9" s="3166"/>
      <c r="K9" s="3166"/>
      <c r="L9" s="3166"/>
      <c r="M9" s="3166"/>
      <c r="N9" s="3166"/>
      <c r="O9" s="3167"/>
    </row>
    <row r="10" spans="1:15" x14ac:dyDescent="0.35">
      <c r="B10" s="838" t="s">
        <v>2053</v>
      </c>
      <c r="C10" s="1308">
        <f>SUM(I83:I84)</f>
        <v>6000</v>
      </c>
      <c r="D10" s="686"/>
      <c r="E10" s="686"/>
      <c r="F10" s="686"/>
      <c r="G10" s="1928" t="s">
        <v>3308</v>
      </c>
      <c r="H10" s="870"/>
      <c r="I10" s="870"/>
      <c r="J10" s="870"/>
      <c r="K10" s="870"/>
      <c r="L10" s="870"/>
      <c r="M10" s="870"/>
      <c r="N10" s="870"/>
      <c r="O10" s="871"/>
    </row>
    <row r="11" spans="1:15" x14ac:dyDescent="0.35">
      <c r="B11" s="838" t="s">
        <v>2054</v>
      </c>
      <c r="C11" s="844">
        <f>C7/$C$6</f>
        <v>0</v>
      </c>
      <c r="D11" s="686"/>
      <c r="E11" s="686"/>
      <c r="F11" s="686"/>
      <c r="G11" s="873" t="s">
        <v>3309</v>
      </c>
      <c r="H11" s="2496"/>
      <c r="I11" s="2496"/>
      <c r="J11" s="2496"/>
      <c r="K11" s="2496"/>
      <c r="L11" s="2496"/>
      <c r="M11" s="2496"/>
      <c r="N11" s="2496"/>
      <c r="O11" s="874"/>
    </row>
    <row r="12" spans="1:15" x14ac:dyDescent="0.35">
      <c r="B12" s="838" t="s">
        <v>2055</v>
      </c>
      <c r="C12" s="844">
        <f>C8/$C$6</f>
        <v>0</v>
      </c>
      <c r="D12" s="686"/>
      <c r="E12" s="686"/>
      <c r="F12" s="686"/>
      <c r="G12" s="873" t="s">
        <v>2696</v>
      </c>
      <c r="H12" s="2496"/>
      <c r="I12" s="2496"/>
      <c r="J12" s="2496"/>
      <c r="K12" s="2496"/>
      <c r="L12" s="2496"/>
      <c r="M12" s="2496"/>
      <c r="N12" s="2496"/>
      <c r="O12" s="874"/>
    </row>
    <row r="13" spans="1:15" x14ac:dyDescent="0.35">
      <c r="B13" s="838" t="s">
        <v>2056</v>
      </c>
      <c r="C13" s="844">
        <f>C9/$C$6</f>
        <v>247.37013236270545</v>
      </c>
      <c r="D13" s="686"/>
      <c r="E13" s="686"/>
      <c r="F13" s="686"/>
      <c r="G13" s="873" t="s">
        <v>2697</v>
      </c>
      <c r="H13" s="2496"/>
      <c r="I13" s="2496"/>
      <c r="J13" s="2496"/>
      <c r="K13" s="2496"/>
      <c r="L13" s="2496"/>
      <c r="M13" s="2496"/>
      <c r="N13" s="2496"/>
      <c r="O13" s="874"/>
    </row>
    <row r="14" spans="1:15" x14ac:dyDescent="0.35">
      <c r="B14" s="838" t="s">
        <v>2288</v>
      </c>
      <c r="C14" s="854">
        <f>C10/C9</f>
        <v>2.4255151350295292</v>
      </c>
      <c r="D14" s="690"/>
      <c r="E14" s="690"/>
      <c r="F14" s="690"/>
      <c r="G14" s="933"/>
      <c r="H14" s="934"/>
      <c r="I14" s="934"/>
      <c r="J14" s="934"/>
      <c r="K14" s="934"/>
      <c r="L14" s="934"/>
      <c r="M14" s="934"/>
      <c r="N14" s="934"/>
      <c r="O14" s="935"/>
    </row>
    <row r="15" spans="1:15" x14ac:dyDescent="0.35">
      <c r="B15" s="838" t="s">
        <v>2289</v>
      </c>
      <c r="C15" s="839">
        <f>C9/C5</f>
        <v>247.37013236270545</v>
      </c>
      <c r="D15" s="683"/>
      <c r="E15" s="683"/>
      <c r="F15" s="683"/>
    </row>
    <row r="16" spans="1:15" x14ac:dyDescent="0.35">
      <c r="B16" s="848" t="s">
        <v>2290</v>
      </c>
      <c r="C16" s="1929">
        <f>C10/C5</f>
        <v>600</v>
      </c>
      <c r="D16" s="706"/>
      <c r="E16" s="706"/>
      <c r="F16" s="706"/>
    </row>
    <row r="17" spans="1:6" x14ac:dyDescent="0.35">
      <c r="B17" s="1036" t="s">
        <v>2108</v>
      </c>
      <c r="C17" s="1930">
        <f>SUM(J83:J84)</f>
        <v>8790</v>
      </c>
      <c r="D17" s="706"/>
      <c r="E17" s="706"/>
      <c r="F17" s="706"/>
    </row>
    <row r="18" spans="1:6" x14ac:dyDescent="0.35">
      <c r="B18" s="1036" t="s">
        <v>2113</v>
      </c>
      <c r="C18" s="1930">
        <f>C17/C6</f>
        <v>879</v>
      </c>
      <c r="D18" s="706"/>
      <c r="E18" s="706"/>
      <c r="F18" s="706"/>
    </row>
    <row r="19" spans="1:6" x14ac:dyDescent="0.35">
      <c r="B19" s="1036" t="s">
        <v>1970</v>
      </c>
      <c r="C19" s="1931">
        <v>15</v>
      </c>
      <c r="D19" s="706"/>
      <c r="E19" s="706"/>
      <c r="F19" s="706"/>
    </row>
    <row r="20" spans="1:6" x14ac:dyDescent="0.35">
      <c r="B20" s="694" t="s">
        <v>1961</v>
      </c>
      <c r="C20" s="695"/>
      <c r="D20" s="696"/>
      <c r="E20" s="680"/>
      <c r="F20" s="696"/>
    </row>
    <row r="21" spans="1:6" hidden="1" x14ac:dyDescent="0.35">
      <c r="B21" s="834" t="s">
        <v>2387</v>
      </c>
      <c r="C21" s="852">
        <f>1-C33+C34+C35</f>
        <v>0.8</v>
      </c>
      <c r="D21" s="680"/>
      <c r="E21" s="698"/>
      <c r="F21" s="680"/>
    </row>
    <row r="22" spans="1:6" hidden="1" x14ac:dyDescent="0.35">
      <c r="B22" s="841" t="s">
        <v>1965</v>
      </c>
      <c r="C22" s="842">
        <v>0</v>
      </c>
      <c r="D22" s="683"/>
      <c r="E22" s="683"/>
      <c r="F22" s="683"/>
    </row>
    <row r="23" spans="1:6" hidden="1" x14ac:dyDescent="0.35">
      <c r="B23" s="838" t="s">
        <v>1966</v>
      </c>
      <c r="C23" s="839">
        <v>0</v>
      </c>
      <c r="D23" s="683"/>
      <c r="E23" s="683"/>
      <c r="F23" s="683"/>
    </row>
    <row r="24" spans="1:6" hidden="1" x14ac:dyDescent="0.35">
      <c r="B24" s="841" t="s">
        <v>1967</v>
      </c>
      <c r="C24" s="842">
        <f>C21*C9</f>
        <v>1978.9610589016438</v>
      </c>
      <c r="D24" s="683"/>
      <c r="E24" s="683"/>
      <c r="F24" s="683"/>
    </row>
    <row r="25" spans="1:6" hidden="1" x14ac:dyDescent="0.35">
      <c r="B25" s="838" t="s">
        <v>1969</v>
      </c>
      <c r="C25" s="854">
        <f>C10/C24</f>
        <v>3.0318939187869112</v>
      </c>
      <c r="D25" s="690"/>
      <c r="E25" s="690"/>
      <c r="F25" s="690"/>
    </row>
    <row r="26" spans="1:6" hidden="1" x14ac:dyDescent="0.35">
      <c r="B26" s="855" t="s">
        <v>1970</v>
      </c>
      <c r="C26" s="856">
        <v>15</v>
      </c>
      <c r="D26" s="680"/>
      <c r="E26" s="680"/>
      <c r="F26" s="680"/>
    </row>
    <row r="27" spans="1:6" x14ac:dyDescent="0.35">
      <c r="B27" s="703"/>
      <c r="C27" s="703"/>
    </row>
    <row r="28" spans="1:6" x14ac:dyDescent="0.35">
      <c r="B28" s="1932" t="s">
        <v>2698</v>
      </c>
      <c r="C28" s="1933">
        <f>IFERROR(H83/C83,0)</f>
        <v>155.18425007777179</v>
      </c>
    </row>
    <row r="29" spans="1:6" x14ac:dyDescent="0.35">
      <c r="B29" s="1932" t="s">
        <v>2699</v>
      </c>
      <c r="C29" s="1934">
        <f>IFERROR(H84/C84,0)</f>
        <v>339.55601464763913</v>
      </c>
    </row>
    <row r="30" spans="1:6" ht="21" hidden="1" x14ac:dyDescent="0.5">
      <c r="A30" s="704" t="s">
        <v>2064</v>
      </c>
      <c r="B30" s="703"/>
      <c r="C30" s="703"/>
    </row>
    <row r="31" spans="1:6" hidden="1" x14ac:dyDescent="0.35"/>
    <row r="32" spans="1:6" ht="12" hidden="1" customHeight="1" x14ac:dyDescent="0.35">
      <c r="B32" s="3004" t="s">
        <v>2395</v>
      </c>
      <c r="C32" s="3005"/>
    </row>
    <row r="33" spans="1:27" hidden="1" x14ac:dyDescent="0.35">
      <c r="B33" s="857" t="s">
        <v>1416</v>
      </c>
      <c r="C33" s="858">
        <v>0.4</v>
      </c>
    </row>
    <row r="34" spans="1:27" hidden="1" x14ac:dyDescent="0.35">
      <c r="B34" s="859" t="s">
        <v>2066</v>
      </c>
      <c r="C34" s="860">
        <v>0.2</v>
      </c>
    </row>
    <row r="35" spans="1:27" hidden="1" x14ac:dyDescent="0.35">
      <c r="B35" s="861" t="s">
        <v>2067</v>
      </c>
      <c r="C35" s="862">
        <v>0</v>
      </c>
    </row>
    <row r="37" spans="1:27" ht="21" x14ac:dyDescent="0.5">
      <c r="A37" s="704" t="s">
        <v>1977</v>
      </c>
    </row>
    <row r="39" spans="1:27" ht="29.5" thickBot="1" x14ac:dyDescent="0.4">
      <c r="A39" s="1932" t="s">
        <v>2700</v>
      </c>
      <c r="B39" s="1932" t="s">
        <v>2701</v>
      </c>
      <c r="C39" s="2499" t="s">
        <v>3306</v>
      </c>
      <c r="D39" s="1932" t="s">
        <v>2702</v>
      </c>
      <c r="E39" s="998" t="s">
        <v>377</v>
      </c>
      <c r="Y39" s="1935"/>
      <c r="Z39" s="1935"/>
      <c r="AA39" s="1935"/>
    </row>
    <row r="40" spans="1:27" ht="15" customHeight="1" x14ac:dyDescent="0.35">
      <c r="A40" s="1890" t="s">
        <v>2698</v>
      </c>
      <c r="B40" s="1936">
        <f>C65</f>
        <v>576.78571428571433</v>
      </c>
      <c r="C40" s="1937">
        <f>IF(F76&gt;75000,0.6002-(0.0011*E76),IF(E76&lt;=55,0.6483-(0.0017*E76),IF(E76&gt;55,0.7897-(0.0004*E76))))</f>
        <v>0.54519999999999991</v>
      </c>
      <c r="D40" s="1938">
        <f>F76/800+110*SQRT(E76)</f>
        <v>942.50495930520231</v>
      </c>
      <c r="E40" s="1002">
        <v>879</v>
      </c>
      <c r="Y40" s="1935"/>
      <c r="Z40" s="1935"/>
      <c r="AA40" s="1935"/>
    </row>
    <row r="41" spans="1:27" ht="15" customHeight="1" thickBot="1" x14ac:dyDescent="0.4">
      <c r="A41" s="1939" t="s">
        <v>2699</v>
      </c>
      <c r="B41" s="1940">
        <f>C65</f>
        <v>576.78571428571433</v>
      </c>
      <c r="C41" s="1941">
        <f>IF(F77&gt;75000,0.6002-(0.0011*E77),IF(E77&lt;=55,0.6483-(0.0017*E77),IF(E77&gt;55,0.7897-(0.0004*E77))))</f>
        <v>0.49019999999999997</v>
      </c>
      <c r="D41" s="1942">
        <f>F77/800+110*SQRT(E77)</f>
        <v>1369.125</v>
      </c>
      <c r="E41" s="1002">
        <v>879</v>
      </c>
      <c r="Y41" s="1935"/>
      <c r="Z41" s="1935"/>
      <c r="AA41" s="1935"/>
    </row>
    <row r="42" spans="1:27" ht="15" customHeight="1" x14ac:dyDescent="0.35">
      <c r="B42" s="675" t="s">
        <v>2703</v>
      </c>
      <c r="Y42" s="1935"/>
      <c r="Z42" s="1935"/>
      <c r="AA42" s="1935"/>
    </row>
    <row r="43" spans="1:27" x14ac:dyDescent="0.35">
      <c r="Y43" s="1935"/>
      <c r="Z43" s="1935"/>
      <c r="AA43" s="1935"/>
    </row>
    <row r="44" spans="1:27" x14ac:dyDescent="0.35">
      <c r="Y44" s="1935"/>
      <c r="Z44" s="1935"/>
      <c r="AA44" s="1935"/>
    </row>
    <row r="45" spans="1:27" x14ac:dyDescent="0.35">
      <c r="B45" s="940" t="s">
        <v>2704</v>
      </c>
      <c r="C45" s="1943">
        <v>125</v>
      </c>
      <c r="G45" s="2496"/>
      <c r="Y45" s="1935"/>
      <c r="Z45" s="1935"/>
      <c r="AA45" s="1935"/>
    </row>
    <row r="46" spans="1:27" x14ac:dyDescent="0.35">
      <c r="B46" s="936" t="s">
        <v>463</v>
      </c>
      <c r="C46" s="1944">
        <v>54</v>
      </c>
      <c r="G46" s="1067"/>
      <c r="Y46" s="1935"/>
      <c r="Z46" s="1935"/>
      <c r="AA46" s="1935"/>
    </row>
    <row r="47" spans="1:27" x14ac:dyDescent="0.35">
      <c r="B47" s="724" t="s">
        <v>2705</v>
      </c>
      <c r="C47" s="1944">
        <v>8.33</v>
      </c>
      <c r="G47" s="1067"/>
      <c r="Y47" s="1935"/>
      <c r="Z47" s="1935"/>
      <c r="AA47" s="1935"/>
    </row>
    <row r="48" spans="1:27" x14ac:dyDescent="0.35">
      <c r="B48" s="928" t="s">
        <v>2706</v>
      </c>
      <c r="C48" s="1945">
        <v>1</v>
      </c>
      <c r="G48" s="2497"/>
      <c r="Y48" s="1935"/>
      <c r="Z48" s="1935"/>
      <c r="AA48" s="1935"/>
    </row>
    <row r="49" spans="2:27" x14ac:dyDescent="0.35">
      <c r="Y49" s="1935"/>
      <c r="Z49" s="1935"/>
      <c r="AA49" s="1935"/>
    </row>
    <row r="50" spans="2:27" ht="29" x14ac:dyDescent="0.35">
      <c r="B50" s="1008" t="s">
        <v>2019</v>
      </c>
      <c r="C50" s="932" t="s">
        <v>2707</v>
      </c>
      <c r="Y50" s="1935"/>
      <c r="Z50" s="1935"/>
      <c r="AA50" s="1935"/>
    </row>
    <row r="51" spans="2:27" x14ac:dyDescent="0.35">
      <c r="B51" s="937" t="s">
        <v>2708</v>
      </c>
      <c r="C51" s="1944">
        <v>528</v>
      </c>
      <c r="Y51" s="1935"/>
      <c r="Z51" s="1935"/>
      <c r="AA51" s="1935"/>
    </row>
    <row r="52" spans="2:27" x14ac:dyDescent="0.35">
      <c r="B52" s="977" t="s">
        <v>2709</v>
      </c>
      <c r="C52" s="1944">
        <v>568</v>
      </c>
      <c r="Y52" s="1935"/>
      <c r="Z52" s="1935"/>
      <c r="AA52" s="1935"/>
    </row>
    <row r="53" spans="2:27" x14ac:dyDescent="0.35">
      <c r="B53" s="937" t="s">
        <v>2026</v>
      </c>
      <c r="C53" s="1944">
        <v>528</v>
      </c>
      <c r="Y53" s="1935"/>
      <c r="Z53" s="1935"/>
      <c r="AA53" s="1935"/>
    </row>
    <row r="54" spans="2:27" x14ac:dyDescent="0.35">
      <c r="B54" s="977" t="s">
        <v>2030</v>
      </c>
      <c r="C54" s="1944">
        <v>788</v>
      </c>
      <c r="Y54" s="1935"/>
      <c r="Z54" s="1935"/>
      <c r="AA54" s="1935"/>
    </row>
    <row r="55" spans="2:27" x14ac:dyDescent="0.35">
      <c r="B55" s="937" t="s">
        <v>2022</v>
      </c>
      <c r="C55" s="1944">
        <v>511</v>
      </c>
      <c r="Y55" s="1935"/>
      <c r="Z55" s="1935"/>
      <c r="AA55" s="1935"/>
    </row>
    <row r="56" spans="2:27" x14ac:dyDescent="0.35">
      <c r="B56" s="977" t="s">
        <v>2710</v>
      </c>
      <c r="C56" s="1944">
        <v>528</v>
      </c>
      <c r="Y56" s="1935"/>
      <c r="Z56" s="1935"/>
      <c r="AA56" s="1935"/>
    </row>
    <row r="57" spans="2:27" x14ac:dyDescent="0.35">
      <c r="B57" s="937" t="s">
        <v>2711</v>
      </c>
      <c r="C57" s="1944">
        <v>715</v>
      </c>
      <c r="Y57" s="1935"/>
      <c r="Z57" s="1935"/>
      <c r="AA57" s="1935"/>
    </row>
    <row r="58" spans="2:27" x14ac:dyDescent="0.35">
      <c r="B58" s="977" t="s">
        <v>2712</v>
      </c>
      <c r="C58" s="1944">
        <v>341</v>
      </c>
      <c r="Y58" s="1935"/>
      <c r="Z58" s="1935"/>
      <c r="AA58" s="1935"/>
    </row>
    <row r="59" spans="2:27" x14ac:dyDescent="0.35">
      <c r="B59" s="937" t="s">
        <v>2175</v>
      </c>
      <c r="C59" s="1944">
        <v>622</v>
      </c>
      <c r="Y59" s="1935"/>
      <c r="Z59" s="1935"/>
      <c r="AA59" s="1935"/>
    </row>
    <row r="60" spans="2:27" x14ac:dyDescent="0.35">
      <c r="B60" s="977" t="s">
        <v>2021</v>
      </c>
      <c r="C60" s="1944">
        <v>511</v>
      </c>
      <c r="Y60" s="1935"/>
      <c r="Z60" s="1935"/>
      <c r="AA60" s="1935"/>
    </row>
    <row r="61" spans="2:27" x14ac:dyDescent="0.35">
      <c r="B61" s="937" t="s">
        <v>2713</v>
      </c>
      <c r="C61" s="1944">
        <v>528</v>
      </c>
      <c r="Y61" s="1935"/>
      <c r="Z61" s="1935"/>
      <c r="AA61" s="1935"/>
    </row>
    <row r="62" spans="2:27" x14ac:dyDescent="0.35">
      <c r="B62" s="977" t="s">
        <v>2027</v>
      </c>
      <c r="C62" s="1944">
        <v>341</v>
      </c>
      <c r="Y62" s="1935"/>
      <c r="Z62" s="1935"/>
      <c r="AA62" s="1935"/>
    </row>
    <row r="63" spans="2:27" x14ac:dyDescent="0.35">
      <c r="B63" s="937" t="s">
        <v>2714</v>
      </c>
      <c r="C63" s="1944">
        <v>672</v>
      </c>
      <c r="Y63" s="1935"/>
      <c r="Z63" s="1935"/>
      <c r="AA63" s="1935"/>
    </row>
    <row r="64" spans="2:27" x14ac:dyDescent="0.35">
      <c r="B64" s="993" t="s">
        <v>2715</v>
      </c>
      <c r="C64" s="1945">
        <v>894</v>
      </c>
      <c r="Y64" s="1935"/>
      <c r="Z64" s="1935"/>
      <c r="AA64" s="1935"/>
    </row>
    <row r="65" spans="1:27" x14ac:dyDescent="0.35">
      <c r="B65" s="938" t="s">
        <v>2716</v>
      </c>
      <c r="C65" s="1946">
        <f>AVERAGE(C51:C64)</f>
        <v>576.78571428571433</v>
      </c>
      <c r="Y65" s="1935"/>
      <c r="Z65" s="1935"/>
      <c r="AA65" s="1935"/>
    </row>
    <row r="66" spans="1:27" x14ac:dyDescent="0.35">
      <c r="Y66" s="1935"/>
      <c r="Z66" s="1935"/>
      <c r="AA66" s="1935"/>
    </row>
    <row r="67" spans="1:27" x14ac:dyDescent="0.35">
      <c r="Y67" s="1935"/>
      <c r="Z67" s="1935"/>
      <c r="AA67" s="1935"/>
    </row>
    <row r="68" spans="1:27" ht="21" x14ac:dyDescent="0.5">
      <c r="A68" s="704" t="s">
        <v>2012</v>
      </c>
      <c r="Y68" s="1935"/>
      <c r="Z68" s="1935"/>
      <c r="AA68" s="1935"/>
    </row>
    <row r="69" spans="1:27" ht="15" customHeight="1" x14ac:dyDescent="0.35">
      <c r="B69" s="698"/>
      <c r="C69" s="934"/>
      <c r="D69" s="723"/>
      <c r="Y69" s="1935"/>
      <c r="Z69" s="1935"/>
      <c r="AA69" s="1935"/>
    </row>
    <row r="70" spans="1:27" x14ac:dyDescent="0.35">
      <c r="B70" s="878" t="s">
        <v>2717</v>
      </c>
      <c r="C70" s="1947">
        <v>600</v>
      </c>
      <c r="D70" s="739"/>
    </row>
    <row r="71" spans="1:27" x14ac:dyDescent="0.35">
      <c r="L71" s="698"/>
    </row>
    <row r="72" spans="1:27" ht="21" x14ac:dyDescent="0.5">
      <c r="A72" s="704" t="s">
        <v>2014</v>
      </c>
    </row>
    <row r="74" spans="1:27" ht="18.5" x14ac:dyDescent="0.35">
      <c r="B74" s="3009" t="s">
        <v>2361</v>
      </c>
      <c r="C74" s="3010"/>
      <c r="D74" s="3011"/>
      <c r="E74" s="876"/>
      <c r="F74" s="876"/>
      <c r="G74" s="753"/>
      <c r="H74" s="753"/>
      <c r="I74" s="753"/>
      <c r="J74" s="753"/>
    </row>
    <row r="75" spans="1:27" ht="29.5" thickBot="1" x14ac:dyDescent="0.4">
      <c r="B75" s="997" t="s">
        <v>2019</v>
      </c>
      <c r="C75" s="998" t="s">
        <v>1947</v>
      </c>
      <c r="D75" s="998" t="s">
        <v>2718</v>
      </c>
      <c r="E75" s="1008" t="s">
        <v>2719</v>
      </c>
      <c r="F75" s="1008" t="s">
        <v>2720</v>
      </c>
      <c r="G75" s="2500" t="s">
        <v>3307</v>
      </c>
      <c r="H75" s="1932" t="s">
        <v>2721</v>
      </c>
      <c r="I75" s="753"/>
      <c r="J75" s="753"/>
    </row>
    <row r="76" spans="1:27" x14ac:dyDescent="0.35">
      <c r="B76" s="1932" t="s">
        <v>2698</v>
      </c>
      <c r="C76" s="1933">
        <v>5</v>
      </c>
      <c r="D76" s="1933">
        <v>1</v>
      </c>
      <c r="E76" s="1036">
        <v>50</v>
      </c>
      <c r="F76" s="1948">
        <v>131750</v>
      </c>
      <c r="G76" s="1949">
        <v>0.88</v>
      </c>
      <c r="H76" s="1950">
        <v>530</v>
      </c>
    </row>
    <row r="77" spans="1:27" ht="15" thickBot="1" x14ac:dyDescent="0.4">
      <c r="B77" s="1932" t="s">
        <v>2699</v>
      </c>
      <c r="C77" s="1951">
        <v>5</v>
      </c>
      <c r="D77" s="1951">
        <v>1</v>
      </c>
      <c r="E77" s="1952">
        <v>100</v>
      </c>
      <c r="F77" s="1953">
        <v>215300</v>
      </c>
      <c r="G77" s="1954">
        <v>0.88</v>
      </c>
      <c r="H77" s="1955">
        <v>1012</v>
      </c>
    </row>
    <row r="79" spans="1:27" ht="21" x14ac:dyDescent="0.5">
      <c r="A79" s="704" t="s">
        <v>2036</v>
      </c>
    </row>
    <row r="81" spans="2:10" ht="26.25" customHeight="1" x14ac:dyDescent="0.35">
      <c r="B81" s="1956"/>
      <c r="C81" s="3052" t="s">
        <v>2361</v>
      </c>
      <c r="D81" s="3053"/>
      <c r="E81" s="3046" t="s">
        <v>2722</v>
      </c>
      <c r="F81" s="3047"/>
      <c r="G81" s="3048"/>
      <c r="H81" s="3168" t="s">
        <v>2040</v>
      </c>
      <c r="I81" s="3169"/>
      <c r="J81" s="3169"/>
    </row>
    <row r="82" spans="2:10" ht="43.5" x14ac:dyDescent="0.35">
      <c r="B82" s="997" t="s">
        <v>2019</v>
      </c>
      <c r="C82" s="998" t="s">
        <v>1947</v>
      </c>
      <c r="D82" s="998" t="s">
        <v>2718</v>
      </c>
      <c r="E82" s="1932" t="s">
        <v>2723</v>
      </c>
      <c r="F82" s="1932" t="s">
        <v>2724</v>
      </c>
      <c r="G82" s="1932" t="s">
        <v>2725</v>
      </c>
      <c r="H82" s="998" t="s">
        <v>2370</v>
      </c>
      <c r="I82" s="998" t="s">
        <v>2371</v>
      </c>
      <c r="J82" s="1053" t="s">
        <v>2108</v>
      </c>
    </row>
    <row r="83" spans="2:10" x14ac:dyDescent="0.35">
      <c r="B83" s="1932" t="s">
        <v>2698</v>
      </c>
      <c r="C83" s="1957">
        <f>C76</f>
        <v>5</v>
      </c>
      <c r="D83" s="1957">
        <f>D76</f>
        <v>1</v>
      </c>
      <c r="E83" s="1958">
        <f xml:space="preserve"> ((C45 - C46) * (B40*E76) * C47 *C48 * (1/C40 - 1/G76)) / 100000</f>
        <v>119.02406534507776</v>
      </c>
      <c r="F83" s="1958">
        <f>IF(F76&gt;75000,((D40-H76)*8766)/100000,0)</f>
        <v>36.160184732694034</v>
      </c>
      <c r="G83" s="1959">
        <f>F83+E83</f>
        <v>155.18425007777179</v>
      </c>
      <c r="H83" s="1960">
        <f>C83*D83*G83</f>
        <v>775.92125038885899</v>
      </c>
      <c r="I83" s="1961">
        <f>C83*D83*$C$70</f>
        <v>3000</v>
      </c>
      <c r="J83" s="1007">
        <f>C83*D83*E40</f>
        <v>4395</v>
      </c>
    </row>
    <row r="84" spans="2:10" x14ac:dyDescent="0.35">
      <c r="B84" s="1932" t="s">
        <v>2699</v>
      </c>
      <c r="C84" s="1962">
        <f>C77</f>
        <v>5</v>
      </c>
      <c r="D84" s="1962">
        <f>D77</f>
        <v>1</v>
      </c>
      <c r="E84" s="1958">
        <f xml:space="preserve"> ((C45 - C46) * (B41*E77) * C47 *C48 * (1/C41 - 1/G77)) / 100000</f>
        <v>308.25043714763916</v>
      </c>
      <c r="F84" s="1958">
        <f>IF(F77&gt;75000,((D41-H77)*8766)/100000,0)</f>
        <v>31.305577499999998</v>
      </c>
      <c r="G84" s="1959">
        <f>F84+E84</f>
        <v>339.55601464763913</v>
      </c>
      <c r="H84" s="1963">
        <f>C84*D84*G84</f>
        <v>1697.7800732381957</v>
      </c>
      <c r="I84" s="1964">
        <f>C84*D84*$C$70</f>
        <v>3000</v>
      </c>
      <c r="J84" s="1965">
        <f>C84*D84*E41</f>
        <v>4395</v>
      </c>
    </row>
    <row r="85" spans="2:10" ht="18.5" x14ac:dyDescent="0.45">
      <c r="H85" s="779"/>
      <c r="I85" s="779"/>
      <c r="J85" s="779"/>
    </row>
    <row r="86" spans="2:10" ht="18.5" x14ac:dyDescent="0.45">
      <c r="H86" s="779"/>
      <c r="I86" s="779"/>
      <c r="J86" s="779"/>
    </row>
    <row r="87" spans="2:10" ht="18.5" x14ac:dyDescent="0.45">
      <c r="H87" s="779"/>
      <c r="I87" s="779"/>
      <c r="J87" s="779"/>
    </row>
    <row r="88" spans="2:10" ht="18.5" x14ac:dyDescent="0.45">
      <c r="H88" s="779"/>
      <c r="I88" s="779"/>
      <c r="J88" s="779"/>
    </row>
    <row r="89" spans="2:10" ht="18.5" x14ac:dyDescent="0.45">
      <c r="H89" s="779"/>
      <c r="I89" s="779"/>
      <c r="J89" s="779"/>
    </row>
    <row r="90" spans="2:10" ht="18.5" x14ac:dyDescent="0.45">
      <c r="H90" s="779"/>
      <c r="I90" s="779"/>
      <c r="J90" s="779"/>
    </row>
    <row r="102" spans="16:16" x14ac:dyDescent="0.35">
      <c r="P102" s="698"/>
    </row>
    <row r="103" spans="16:16" x14ac:dyDescent="0.35">
      <c r="P103" s="1966"/>
    </row>
    <row r="104" spans="16:16" x14ac:dyDescent="0.35">
      <c r="P104" s="1966"/>
    </row>
    <row r="105" spans="16:16" x14ac:dyDescent="0.35">
      <c r="P105" s="1966"/>
    </row>
    <row r="106" spans="16:16" x14ac:dyDescent="0.35">
      <c r="P106" s="1966"/>
    </row>
    <row r="107" spans="16:16" x14ac:dyDescent="0.35">
      <c r="P107" s="1966"/>
    </row>
    <row r="108" spans="16:16" x14ac:dyDescent="0.35">
      <c r="P108" s="1966"/>
    </row>
    <row r="165" spans="2:14" x14ac:dyDescent="0.35">
      <c r="B165" s="600" t="s">
        <v>2726</v>
      </c>
      <c r="C165" s="600" t="s">
        <v>2727</v>
      </c>
      <c r="D165" s="600" t="s">
        <v>2728</v>
      </c>
      <c r="E165" s="600" t="s">
        <v>2729</v>
      </c>
      <c r="F165" s="600" t="s">
        <v>2730</v>
      </c>
      <c r="G165" s="600" t="s">
        <v>2731</v>
      </c>
      <c r="H165" s="600" t="s">
        <v>2732</v>
      </c>
      <c r="I165" s="600" t="s">
        <v>2733</v>
      </c>
      <c r="J165" s="600" t="s">
        <v>2734</v>
      </c>
      <c r="K165" s="600" t="s">
        <v>2735</v>
      </c>
      <c r="L165" s="600" t="s">
        <v>2736</v>
      </c>
      <c r="M165" s="600" t="s">
        <v>2737</v>
      </c>
      <c r="N165" s="600" t="s">
        <v>2738</v>
      </c>
    </row>
    <row r="166" spans="2:14" x14ac:dyDescent="0.35">
      <c r="B166" s="600" t="s">
        <v>2739</v>
      </c>
      <c r="C166" s="600" t="s">
        <v>2740</v>
      </c>
      <c r="D166" s="600" t="s">
        <v>2741</v>
      </c>
      <c r="E166" s="600" t="s">
        <v>2742</v>
      </c>
      <c r="F166" s="600" t="s">
        <v>2743</v>
      </c>
      <c r="G166" s="600" t="s">
        <v>1390</v>
      </c>
      <c r="H166" s="600" t="s">
        <v>2744</v>
      </c>
      <c r="I166" s="600" t="s">
        <v>2745</v>
      </c>
      <c r="J166" s="1967">
        <v>100</v>
      </c>
      <c r="K166" s="1967">
        <v>96</v>
      </c>
      <c r="L166" s="600" t="s">
        <v>2746</v>
      </c>
      <c r="M166" s="1967">
        <v>430</v>
      </c>
      <c r="N166" s="600" t="s">
        <v>534</v>
      </c>
    </row>
    <row r="167" spans="2:14" x14ac:dyDescent="0.35">
      <c r="B167" s="600" t="s">
        <v>2747</v>
      </c>
      <c r="C167" s="600" t="s">
        <v>2740</v>
      </c>
      <c r="D167" s="600" t="s">
        <v>2741</v>
      </c>
      <c r="E167" s="600" t="s">
        <v>2742</v>
      </c>
      <c r="F167" s="600" t="s">
        <v>2748</v>
      </c>
      <c r="G167" s="600" t="s">
        <v>1390</v>
      </c>
      <c r="H167" s="600" t="s">
        <v>2744</v>
      </c>
      <c r="I167" s="600" t="s">
        <v>2745</v>
      </c>
      <c r="J167" s="1967">
        <v>76</v>
      </c>
      <c r="K167" s="1967">
        <v>90</v>
      </c>
      <c r="L167" s="600" t="s">
        <v>2749</v>
      </c>
      <c r="M167" s="1967">
        <v>320</v>
      </c>
      <c r="N167" s="600" t="s">
        <v>534</v>
      </c>
    </row>
    <row r="168" spans="2:14" x14ac:dyDescent="0.35">
      <c r="B168" s="600" t="s">
        <v>2750</v>
      </c>
      <c r="C168" s="600" t="s">
        <v>2740</v>
      </c>
      <c r="D168" s="600" t="s">
        <v>2741</v>
      </c>
      <c r="E168" s="600" t="s">
        <v>2742</v>
      </c>
      <c r="F168" s="600" t="s">
        <v>2751</v>
      </c>
      <c r="G168" s="600" t="s">
        <v>1390</v>
      </c>
      <c r="H168" s="600" t="s">
        <v>2744</v>
      </c>
      <c r="I168" s="600" t="s">
        <v>2745</v>
      </c>
      <c r="J168" s="1967">
        <v>100</v>
      </c>
      <c r="K168" s="1967">
        <v>96</v>
      </c>
      <c r="L168" s="600" t="s">
        <v>2746</v>
      </c>
      <c r="M168" s="1967">
        <v>430</v>
      </c>
      <c r="N168" s="600" t="s">
        <v>534</v>
      </c>
    </row>
    <row r="169" spans="2:14" x14ac:dyDescent="0.35">
      <c r="B169" s="600" t="s">
        <v>2752</v>
      </c>
      <c r="C169" s="600" t="s">
        <v>2753</v>
      </c>
      <c r="D169" s="600" t="s">
        <v>2741</v>
      </c>
      <c r="E169" s="600" t="s">
        <v>2742</v>
      </c>
      <c r="F169" s="600" t="s">
        <v>2754</v>
      </c>
      <c r="G169" s="600" t="s">
        <v>1390</v>
      </c>
      <c r="H169" s="600" t="s">
        <v>2744</v>
      </c>
      <c r="I169" s="600" t="s">
        <v>2745</v>
      </c>
      <c r="J169" s="1967">
        <v>76</v>
      </c>
      <c r="K169" s="1967">
        <v>90</v>
      </c>
      <c r="L169" s="600" t="s">
        <v>2749</v>
      </c>
      <c r="M169" s="1967">
        <v>320</v>
      </c>
      <c r="N169" s="600" t="s">
        <v>534</v>
      </c>
    </row>
    <row r="170" spans="2:14" x14ac:dyDescent="0.35">
      <c r="B170" s="600" t="s">
        <v>2755</v>
      </c>
      <c r="C170" s="600" t="s">
        <v>2756</v>
      </c>
      <c r="D170" s="600" t="s">
        <v>2757</v>
      </c>
      <c r="E170" s="600" t="s">
        <v>2742</v>
      </c>
      <c r="F170" s="600" t="s">
        <v>2758</v>
      </c>
      <c r="G170" s="600" t="s">
        <v>1390</v>
      </c>
      <c r="H170" s="600" t="s">
        <v>2744</v>
      </c>
      <c r="I170" s="600" t="s">
        <v>2745</v>
      </c>
      <c r="J170" s="1967">
        <v>130</v>
      </c>
      <c r="K170" s="1967">
        <v>95</v>
      </c>
      <c r="L170" s="600" t="s">
        <v>2759</v>
      </c>
      <c r="M170" s="1967">
        <v>620</v>
      </c>
      <c r="N170" s="600" t="s">
        <v>534</v>
      </c>
    </row>
    <row r="171" spans="2:14" x14ac:dyDescent="0.35">
      <c r="B171" s="600" t="s">
        <v>2760</v>
      </c>
      <c r="C171" s="600" t="s">
        <v>2761</v>
      </c>
      <c r="D171" s="600" t="s">
        <v>2757</v>
      </c>
      <c r="E171" s="600" t="s">
        <v>2742</v>
      </c>
      <c r="F171" s="600" t="s">
        <v>2762</v>
      </c>
      <c r="G171" s="600" t="s">
        <v>1390</v>
      </c>
      <c r="H171" s="600" t="s">
        <v>2744</v>
      </c>
      <c r="I171" s="600" t="s">
        <v>2745</v>
      </c>
      <c r="J171" s="1967">
        <v>150</v>
      </c>
      <c r="K171" s="1967">
        <v>95</v>
      </c>
      <c r="L171" s="600" t="s">
        <v>2759</v>
      </c>
      <c r="M171" s="1967">
        <v>605</v>
      </c>
      <c r="N171" s="600" t="s">
        <v>534</v>
      </c>
    </row>
    <row r="172" spans="2:14" x14ac:dyDescent="0.35">
      <c r="B172" s="600" t="s">
        <v>2763</v>
      </c>
      <c r="C172" s="600" t="s">
        <v>2756</v>
      </c>
      <c r="D172" s="600" t="s">
        <v>2757</v>
      </c>
      <c r="E172" s="600" t="s">
        <v>2742</v>
      </c>
      <c r="F172" s="600" t="s">
        <v>2764</v>
      </c>
      <c r="G172" s="600" t="s">
        <v>1390</v>
      </c>
      <c r="H172" s="600" t="s">
        <v>2744</v>
      </c>
      <c r="I172" s="600" t="s">
        <v>2745</v>
      </c>
      <c r="J172" s="1967">
        <v>175</v>
      </c>
      <c r="K172" s="1967">
        <v>96</v>
      </c>
      <c r="L172" s="600" t="s">
        <v>2765</v>
      </c>
      <c r="M172" s="1967">
        <v>645</v>
      </c>
      <c r="N172" s="600" t="s">
        <v>534</v>
      </c>
    </row>
    <row r="173" spans="2:14" x14ac:dyDescent="0.35">
      <c r="B173" s="600" t="s">
        <v>2766</v>
      </c>
      <c r="C173" s="600" t="s">
        <v>2756</v>
      </c>
      <c r="D173" s="600" t="s">
        <v>2757</v>
      </c>
      <c r="E173" s="600" t="s">
        <v>2742</v>
      </c>
      <c r="F173" s="600" t="s">
        <v>2767</v>
      </c>
      <c r="G173" s="600" t="s">
        <v>1390</v>
      </c>
      <c r="H173" s="600" t="s">
        <v>2744</v>
      </c>
      <c r="I173" s="600" t="s">
        <v>2745</v>
      </c>
      <c r="J173" s="1967">
        <v>199</v>
      </c>
      <c r="K173" s="1967">
        <v>96</v>
      </c>
      <c r="L173" s="600" t="s">
        <v>2765</v>
      </c>
      <c r="M173" s="1967">
        <v>650</v>
      </c>
      <c r="N173" s="600" t="s">
        <v>534</v>
      </c>
    </row>
    <row r="174" spans="2:14" x14ac:dyDescent="0.35">
      <c r="B174" s="600" t="s">
        <v>2768</v>
      </c>
      <c r="C174" s="600" t="s">
        <v>2761</v>
      </c>
      <c r="D174" s="600" t="s">
        <v>2757</v>
      </c>
      <c r="E174" s="600" t="s">
        <v>2742</v>
      </c>
      <c r="F174" s="600" t="s">
        <v>2769</v>
      </c>
      <c r="G174" s="600" t="s">
        <v>1390</v>
      </c>
      <c r="H174" s="600" t="s">
        <v>2744</v>
      </c>
      <c r="I174" s="600" t="s">
        <v>2745</v>
      </c>
      <c r="J174" s="1967">
        <v>130</v>
      </c>
      <c r="K174" s="1967">
        <v>95</v>
      </c>
      <c r="L174" s="600" t="s">
        <v>2759</v>
      </c>
      <c r="M174" s="1967">
        <v>620</v>
      </c>
      <c r="N174" s="600" t="s">
        <v>534</v>
      </c>
    </row>
    <row r="175" spans="2:14" x14ac:dyDescent="0.35">
      <c r="B175" s="600" t="s">
        <v>2770</v>
      </c>
      <c r="C175" s="600" t="s">
        <v>2761</v>
      </c>
      <c r="D175" s="600" t="s">
        <v>2757</v>
      </c>
      <c r="E175" s="600" t="s">
        <v>2742</v>
      </c>
      <c r="F175" s="600" t="s">
        <v>2771</v>
      </c>
      <c r="G175" s="600" t="s">
        <v>1390</v>
      </c>
      <c r="H175" s="600" t="s">
        <v>2744</v>
      </c>
      <c r="I175" s="600" t="s">
        <v>2745</v>
      </c>
      <c r="J175" s="1967">
        <v>150</v>
      </c>
      <c r="K175" s="1967">
        <v>95</v>
      </c>
      <c r="L175" s="600" t="s">
        <v>2759</v>
      </c>
      <c r="M175" s="1967">
        <v>605</v>
      </c>
      <c r="N175" s="600" t="s">
        <v>534</v>
      </c>
    </row>
    <row r="176" spans="2:14" x14ac:dyDescent="0.35">
      <c r="B176" s="600" t="s">
        <v>2772</v>
      </c>
      <c r="C176" s="600" t="s">
        <v>2761</v>
      </c>
      <c r="D176" s="600" t="s">
        <v>2757</v>
      </c>
      <c r="E176" s="600" t="s">
        <v>2742</v>
      </c>
      <c r="F176" s="600" t="s">
        <v>2773</v>
      </c>
      <c r="G176" s="600" t="s">
        <v>1390</v>
      </c>
      <c r="H176" s="600" t="s">
        <v>2744</v>
      </c>
      <c r="I176" s="600" t="s">
        <v>2745</v>
      </c>
      <c r="J176" s="1967">
        <v>175</v>
      </c>
      <c r="K176" s="1967">
        <v>96</v>
      </c>
      <c r="L176" s="600" t="s">
        <v>2765</v>
      </c>
      <c r="M176" s="1967">
        <v>645</v>
      </c>
      <c r="N176" s="600" t="s">
        <v>534</v>
      </c>
    </row>
    <row r="177" spans="2:14" x14ac:dyDescent="0.35">
      <c r="B177" s="600" t="s">
        <v>2774</v>
      </c>
      <c r="C177" s="600" t="s">
        <v>2761</v>
      </c>
      <c r="D177" s="600" t="s">
        <v>2757</v>
      </c>
      <c r="E177" s="600" t="s">
        <v>2742</v>
      </c>
      <c r="F177" s="600" t="s">
        <v>2775</v>
      </c>
      <c r="G177" s="600" t="s">
        <v>1390</v>
      </c>
      <c r="H177" s="600" t="s">
        <v>2744</v>
      </c>
      <c r="I177" s="600" t="s">
        <v>2745</v>
      </c>
      <c r="J177" s="1967">
        <v>199</v>
      </c>
      <c r="K177" s="1967">
        <v>96</v>
      </c>
      <c r="L177" s="600" t="s">
        <v>2765</v>
      </c>
      <c r="M177" s="1967">
        <v>650</v>
      </c>
      <c r="N177" s="600" t="s">
        <v>534</v>
      </c>
    </row>
    <row r="178" spans="2:14" x14ac:dyDescent="0.35">
      <c r="B178" s="600" t="s">
        <v>2776</v>
      </c>
      <c r="C178" s="600" t="s">
        <v>2761</v>
      </c>
      <c r="D178" s="600" t="s">
        <v>2777</v>
      </c>
      <c r="E178" s="600" t="s">
        <v>2742</v>
      </c>
      <c r="F178" s="600" t="s">
        <v>2778</v>
      </c>
      <c r="G178" s="600" t="s">
        <v>1390</v>
      </c>
      <c r="H178" s="600" t="s">
        <v>2744</v>
      </c>
      <c r="I178" s="600" t="s">
        <v>2745</v>
      </c>
      <c r="J178" s="1967">
        <v>100</v>
      </c>
      <c r="K178" s="1967">
        <v>96</v>
      </c>
      <c r="L178" s="600" t="s">
        <v>2746</v>
      </c>
      <c r="M178" s="1967">
        <v>430</v>
      </c>
      <c r="N178" s="600" t="s">
        <v>534</v>
      </c>
    </row>
    <row r="179" spans="2:14" x14ac:dyDescent="0.35">
      <c r="B179" s="600" t="s">
        <v>2779</v>
      </c>
      <c r="C179" s="600" t="s">
        <v>2761</v>
      </c>
      <c r="D179" s="600" t="s">
        <v>2777</v>
      </c>
      <c r="E179" s="600" t="s">
        <v>2742</v>
      </c>
      <c r="F179" s="600" t="s">
        <v>2780</v>
      </c>
      <c r="G179" s="600" t="s">
        <v>1390</v>
      </c>
      <c r="H179" s="600" t="s">
        <v>2744</v>
      </c>
      <c r="I179" s="600" t="s">
        <v>2745</v>
      </c>
      <c r="J179" s="1967">
        <v>76</v>
      </c>
      <c r="K179" s="1967">
        <v>90</v>
      </c>
      <c r="L179" s="600" t="s">
        <v>2749</v>
      </c>
      <c r="M179" s="1967">
        <v>320</v>
      </c>
      <c r="N179" s="600" t="s">
        <v>534</v>
      </c>
    </row>
    <row r="180" spans="2:14" x14ac:dyDescent="0.35">
      <c r="B180" s="600" t="s">
        <v>2781</v>
      </c>
      <c r="C180" s="600" t="s">
        <v>2782</v>
      </c>
      <c r="D180" s="600" t="s">
        <v>2783</v>
      </c>
      <c r="E180" s="600" t="s">
        <v>2742</v>
      </c>
      <c r="F180" s="600" t="s">
        <v>2784</v>
      </c>
      <c r="G180" s="600" t="s">
        <v>1390</v>
      </c>
      <c r="H180" s="600" t="s">
        <v>2744</v>
      </c>
      <c r="I180" s="600" t="s">
        <v>2745</v>
      </c>
      <c r="J180" s="1967">
        <v>76</v>
      </c>
      <c r="K180" s="1967">
        <v>90</v>
      </c>
      <c r="L180" s="600" t="s">
        <v>2785</v>
      </c>
      <c r="M180" s="1967">
        <v>360</v>
      </c>
      <c r="N180" s="600" t="s">
        <v>534</v>
      </c>
    </row>
    <row r="181" spans="2:14" x14ac:dyDescent="0.35">
      <c r="B181" s="600" t="s">
        <v>2786</v>
      </c>
      <c r="C181" s="600" t="s">
        <v>2782</v>
      </c>
      <c r="D181" s="600" t="s">
        <v>2787</v>
      </c>
      <c r="E181" s="600" t="s">
        <v>2742</v>
      </c>
      <c r="F181" s="600" t="s">
        <v>2788</v>
      </c>
      <c r="G181" s="600" t="s">
        <v>1390</v>
      </c>
      <c r="H181" s="600" t="s">
        <v>2744</v>
      </c>
      <c r="I181" s="600" t="s">
        <v>2745</v>
      </c>
      <c r="J181" s="1967">
        <v>76</v>
      </c>
      <c r="K181" s="1967">
        <v>90</v>
      </c>
      <c r="L181" s="600" t="s">
        <v>2785</v>
      </c>
      <c r="M181" s="1967">
        <v>360</v>
      </c>
      <c r="N181" s="600" t="s">
        <v>534</v>
      </c>
    </row>
    <row r="182" spans="2:14" x14ac:dyDescent="0.35">
      <c r="B182" s="600" t="s">
        <v>2789</v>
      </c>
      <c r="C182" s="600" t="s">
        <v>2790</v>
      </c>
      <c r="D182" s="600" t="s">
        <v>2790</v>
      </c>
      <c r="E182" s="600" t="s">
        <v>2742</v>
      </c>
      <c r="F182" s="600" t="s">
        <v>2791</v>
      </c>
      <c r="G182" s="600" t="s">
        <v>1390</v>
      </c>
      <c r="H182" s="600" t="s">
        <v>2744</v>
      </c>
      <c r="I182" s="600" t="s">
        <v>2745</v>
      </c>
      <c r="J182" s="1967">
        <v>100</v>
      </c>
      <c r="K182" s="1967">
        <v>96</v>
      </c>
      <c r="L182" s="600" t="s">
        <v>2746</v>
      </c>
      <c r="M182" s="1967">
        <v>430</v>
      </c>
      <c r="N182" s="600" t="s">
        <v>534</v>
      </c>
    </row>
    <row r="183" spans="2:14" x14ac:dyDescent="0.35">
      <c r="B183" s="600" t="s">
        <v>2792</v>
      </c>
      <c r="C183" s="600" t="s">
        <v>2790</v>
      </c>
      <c r="D183" s="600" t="s">
        <v>2790</v>
      </c>
      <c r="E183" s="600" t="s">
        <v>2742</v>
      </c>
      <c r="F183" s="600" t="s">
        <v>2793</v>
      </c>
      <c r="G183" s="600" t="s">
        <v>1390</v>
      </c>
      <c r="H183" s="600" t="s">
        <v>2744</v>
      </c>
      <c r="I183" s="600" t="s">
        <v>2745</v>
      </c>
      <c r="J183" s="1967">
        <v>76</v>
      </c>
      <c r="K183" s="1967">
        <v>90</v>
      </c>
      <c r="L183" s="600" t="s">
        <v>2749</v>
      </c>
      <c r="M183" s="1967">
        <v>320</v>
      </c>
      <c r="N183" s="600" t="s">
        <v>534</v>
      </c>
    </row>
    <row r="184" spans="2:14" x14ac:dyDescent="0.35">
      <c r="B184" s="600" t="s">
        <v>2794</v>
      </c>
      <c r="C184" s="600" t="s">
        <v>2795</v>
      </c>
      <c r="D184" s="600" t="s">
        <v>2796</v>
      </c>
      <c r="E184" s="600" t="s">
        <v>2742</v>
      </c>
      <c r="F184" s="600" t="s">
        <v>2797</v>
      </c>
      <c r="G184" s="600" t="s">
        <v>1390</v>
      </c>
      <c r="H184" s="600" t="s">
        <v>2744</v>
      </c>
      <c r="I184" s="600" t="s">
        <v>2745</v>
      </c>
      <c r="J184" s="1967">
        <v>100</v>
      </c>
      <c r="K184" s="1967">
        <v>96</v>
      </c>
      <c r="L184" s="600" t="s">
        <v>2746</v>
      </c>
      <c r="M184" s="1967">
        <v>430</v>
      </c>
      <c r="N184" s="600" t="s">
        <v>534</v>
      </c>
    </row>
    <row r="185" spans="2:14" x14ac:dyDescent="0.35">
      <c r="B185" s="600" t="s">
        <v>2798</v>
      </c>
      <c r="C185" s="600" t="s">
        <v>2795</v>
      </c>
      <c r="D185" s="600" t="s">
        <v>2796</v>
      </c>
      <c r="E185" s="600" t="s">
        <v>2742</v>
      </c>
      <c r="F185" s="600" t="s">
        <v>2799</v>
      </c>
      <c r="G185" s="600" t="s">
        <v>1390</v>
      </c>
      <c r="H185" s="600" t="s">
        <v>2744</v>
      </c>
      <c r="I185" s="600" t="s">
        <v>2745</v>
      </c>
      <c r="J185" s="1967">
        <v>76</v>
      </c>
      <c r="K185" s="1967">
        <v>90</v>
      </c>
      <c r="L185" s="600" t="s">
        <v>2749</v>
      </c>
      <c r="M185" s="1967">
        <v>320</v>
      </c>
      <c r="N185" s="600" t="s">
        <v>534</v>
      </c>
    </row>
    <row r="186" spans="2:14" x14ac:dyDescent="0.35">
      <c r="B186" s="600" t="s">
        <v>2800</v>
      </c>
      <c r="C186" s="600" t="s">
        <v>2795</v>
      </c>
      <c r="D186" s="600" t="s">
        <v>2796</v>
      </c>
      <c r="E186" s="600" t="s">
        <v>2742</v>
      </c>
      <c r="F186" s="600" t="s">
        <v>2801</v>
      </c>
      <c r="G186" s="600" t="s">
        <v>1390</v>
      </c>
      <c r="H186" s="600" t="s">
        <v>2744</v>
      </c>
      <c r="I186" s="600" t="s">
        <v>2745</v>
      </c>
      <c r="J186" s="1967">
        <v>100</v>
      </c>
      <c r="K186" s="1967">
        <v>96</v>
      </c>
      <c r="L186" s="600" t="s">
        <v>2746</v>
      </c>
      <c r="M186" s="1967">
        <v>430</v>
      </c>
      <c r="N186" s="600" t="s">
        <v>534</v>
      </c>
    </row>
    <row r="187" spans="2:14" x14ac:dyDescent="0.35">
      <c r="B187" s="600" t="s">
        <v>2802</v>
      </c>
      <c r="C187" s="600" t="s">
        <v>2795</v>
      </c>
      <c r="D187" s="600" t="s">
        <v>2796</v>
      </c>
      <c r="E187" s="600" t="s">
        <v>2742</v>
      </c>
      <c r="F187" s="600" t="s">
        <v>2803</v>
      </c>
      <c r="G187" s="600" t="s">
        <v>1390</v>
      </c>
      <c r="H187" s="600" t="s">
        <v>2744</v>
      </c>
      <c r="I187" s="600" t="s">
        <v>2745</v>
      </c>
      <c r="J187" s="1967">
        <v>76</v>
      </c>
      <c r="K187" s="1967">
        <v>90</v>
      </c>
      <c r="L187" s="600" t="s">
        <v>2749</v>
      </c>
      <c r="M187" s="1967">
        <v>320</v>
      </c>
      <c r="N187" s="600" t="s">
        <v>534</v>
      </c>
    </row>
    <row r="188" spans="2:14" x14ac:dyDescent="0.35">
      <c r="B188" s="600" t="s">
        <v>2804</v>
      </c>
      <c r="C188" s="600" t="s">
        <v>2805</v>
      </c>
      <c r="D188" s="600" t="s">
        <v>2806</v>
      </c>
      <c r="E188" s="600" t="s">
        <v>2742</v>
      </c>
      <c r="F188" s="600" t="s">
        <v>2807</v>
      </c>
      <c r="G188" s="600" t="s">
        <v>1390</v>
      </c>
      <c r="H188" s="600" t="s">
        <v>2744</v>
      </c>
      <c r="I188" s="600" t="s">
        <v>2745</v>
      </c>
      <c r="J188" s="1967">
        <v>100</v>
      </c>
      <c r="K188" s="1967">
        <v>96</v>
      </c>
      <c r="L188" s="600" t="s">
        <v>2746</v>
      </c>
      <c r="M188" s="1967">
        <v>430</v>
      </c>
      <c r="N188" s="600" t="s">
        <v>534</v>
      </c>
    </row>
    <row r="189" spans="2:14" x14ac:dyDescent="0.35">
      <c r="B189" s="600" t="s">
        <v>2808</v>
      </c>
      <c r="C189" s="600" t="s">
        <v>2805</v>
      </c>
      <c r="D189" s="600" t="s">
        <v>2806</v>
      </c>
      <c r="E189" s="600" t="s">
        <v>2742</v>
      </c>
      <c r="F189" s="600" t="s">
        <v>2809</v>
      </c>
      <c r="G189" s="600" t="s">
        <v>1390</v>
      </c>
      <c r="H189" s="600" t="s">
        <v>2744</v>
      </c>
      <c r="I189" s="600" t="s">
        <v>2745</v>
      </c>
      <c r="J189" s="1967">
        <v>76</v>
      </c>
      <c r="K189" s="1967">
        <v>90</v>
      </c>
      <c r="L189" s="600" t="s">
        <v>2749</v>
      </c>
      <c r="M189" s="1967">
        <v>320</v>
      </c>
      <c r="N189" s="600" t="s">
        <v>534</v>
      </c>
    </row>
    <row r="190" spans="2:14" x14ac:dyDescent="0.35">
      <c r="B190" s="600" t="s">
        <v>2810</v>
      </c>
      <c r="C190" s="600" t="s">
        <v>2805</v>
      </c>
      <c r="D190" s="600" t="s">
        <v>2806</v>
      </c>
      <c r="E190" s="600" t="s">
        <v>2742</v>
      </c>
      <c r="F190" s="600" t="s">
        <v>2811</v>
      </c>
      <c r="G190" s="600" t="s">
        <v>1390</v>
      </c>
      <c r="H190" s="600" t="s">
        <v>2744</v>
      </c>
      <c r="I190" s="600" t="s">
        <v>2745</v>
      </c>
      <c r="J190" s="1967">
        <v>100</v>
      </c>
      <c r="K190" s="1967">
        <v>96</v>
      </c>
      <c r="L190" s="600" t="s">
        <v>2746</v>
      </c>
      <c r="M190" s="1967">
        <v>430</v>
      </c>
      <c r="N190" s="600" t="s">
        <v>534</v>
      </c>
    </row>
  </sheetData>
  <mergeCells count="6">
    <mergeCell ref="G8:O9"/>
    <mergeCell ref="B32:C32"/>
    <mergeCell ref="B74:D74"/>
    <mergeCell ref="C81:D81"/>
    <mergeCell ref="E81:G81"/>
    <mergeCell ref="H81:J81"/>
  </mergeCells>
  <pageMargins left="0.7" right="0.7" top="0.75" bottom="0.75" header="0.3" footer="0.3"/>
  <pageSetup scale="21" orientation="portrait" r:id="rId1"/>
  <headerFooter>
    <oddHeader>&amp;LAppendix G (Rev.)</oddHead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pageSetUpPr fitToPage="1"/>
  </sheetPr>
  <dimension ref="A1:AA190"/>
  <sheetViews>
    <sheetView zoomScale="70" zoomScaleNormal="70" workbookViewId="0"/>
  </sheetViews>
  <sheetFormatPr defaultColWidth="9.1796875" defaultRowHeight="14.5" x14ac:dyDescent="0.35"/>
  <cols>
    <col min="1" max="1" width="48.7265625" style="675" customWidth="1"/>
    <col min="2" max="2" width="36.1796875" style="675" customWidth="1"/>
    <col min="3" max="3" width="15.7265625" style="675" customWidth="1"/>
    <col min="4" max="6" width="15" style="675" customWidth="1"/>
    <col min="7" max="7" width="42.81640625" style="675" customWidth="1"/>
    <col min="8" max="8" width="27.26953125" style="675" customWidth="1"/>
    <col min="9" max="9" width="17.1796875" style="675" customWidth="1"/>
    <col min="10" max="10" width="12.7265625" style="675" customWidth="1"/>
    <col min="11" max="11" width="10" style="675" customWidth="1"/>
    <col min="12" max="12" width="28" style="675" customWidth="1"/>
    <col min="13" max="13" width="16.81640625" style="675" customWidth="1"/>
    <col min="14" max="14" width="23.453125" style="675" customWidth="1"/>
    <col min="15" max="15" width="16" style="675" customWidth="1"/>
    <col min="16" max="17" width="11" style="675" customWidth="1"/>
    <col min="18" max="18" width="10.26953125" style="675" customWidth="1"/>
    <col min="19" max="19" width="13" style="675" customWidth="1"/>
    <col min="20" max="20" width="10.81640625" style="675" customWidth="1"/>
    <col min="21" max="21" width="10.26953125" style="675" customWidth="1"/>
    <col min="22" max="26" width="9.7265625" style="675" customWidth="1"/>
    <col min="27" max="27" width="10.7265625" style="675" customWidth="1"/>
    <col min="28" max="28" width="12.26953125" style="675" customWidth="1"/>
    <col min="29" max="29" width="9.81640625" style="675" customWidth="1"/>
    <col min="30" max="30" width="10.26953125" style="675" customWidth="1"/>
    <col min="31" max="31" width="10.1796875" style="675" customWidth="1"/>
    <col min="32" max="16384" width="9.1796875" style="675"/>
  </cols>
  <sheetData>
    <row r="1" spans="1:15" ht="21" x14ac:dyDescent="0.5">
      <c r="A1" s="674" t="s">
        <v>198</v>
      </c>
    </row>
    <row r="3" spans="1:15" ht="21" x14ac:dyDescent="0.5">
      <c r="A3" s="704" t="s">
        <v>3003</v>
      </c>
    </row>
    <row r="5" spans="1:15" x14ac:dyDescent="0.35">
      <c r="B5" s="834" t="s">
        <v>1947</v>
      </c>
      <c r="C5" s="835">
        <f>SUM(C83:C84)</f>
        <v>10</v>
      </c>
      <c r="D5" s="680"/>
      <c r="E5" s="680"/>
      <c r="F5" s="680"/>
    </row>
    <row r="6" spans="1:15" x14ac:dyDescent="0.35">
      <c r="B6" s="1926" t="s">
        <v>1948</v>
      </c>
      <c r="C6" s="1927">
        <f>SUMPRODUCT(C76:C77,D76:D77)</f>
        <v>10</v>
      </c>
      <c r="D6" s="680"/>
      <c r="E6" s="680"/>
      <c r="F6" s="680"/>
    </row>
    <row r="7" spans="1:15" x14ac:dyDescent="0.35">
      <c r="B7" s="838" t="s">
        <v>2052</v>
      </c>
      <c r="C7" s="839">
        <v>0</v>
      </c>
      <c r="D7" s="683"/>
      <c r="E7" s="683"/>
      <c r="F7" s="683"/>
    </row>
    <row r="8" spans="1:15" ht="15" customHeight="1" x14ac:dyDescent="0.35">
      <c r="B8" s="838" t="s">
        <v>1951</v>
      </c>
      <c r="C8" s="839">
        <v>0</v>
      </c>
      <c r="D8" s="683"/>
      <c r="E8" s="683"/>
      <c r="F8" s="683"/>
      <c r="G8" s="3162" t="s">
        <v>2695</v>
      </c>
      <c r="H8" s="3163"/>
      <c r="I8" s="3163"/>
      <c r="J8" s="3163"/>
      <c r="K8" s="3163"/>
      <c r="L8" s="3163"/>
      <c r="M8" s="3163"/>
      <c r="N8" s="3163"/>
      <c r="O8" s="3164"/>
    </row>
    <row r="9" spans="1:15" x14ac:dyDescent="0.35">
      <c r="B9" s="838" t="s">
        <v>1952</v>
      </c>
      <c r="C9" s="839">
        <f>SUM(H83:H84)</f>
        <v>2473.7013236270545</v>
      </c>
      <c r="D9" s="683"/>
      <c r="E9" s="683"/>
      <c r="F9" s="683"/>
      <c r="G9" s="3165"/>
      <c r="H9" s="3166"/>
      <c r="I9" s="3166"/>
      <c r="J9" s="3166"/>
      <c r="K9" s="3166"/>
      <c r="L9" s="3166"/>
      <c r="M9" s="3166"/>
      <c r="N9" s="3166"/>
      <c r="O9" s="3167"/>
    </row>
    <row r="10" spans="1:15" x14ac:dyDescent="0.35">
      <c r="B10" s="838" t="s">
        <v>2053</v>
      </c>
      <c r="C10" s="1308">
        <f>SUM(I83:I84)</f>
        <v>6000</v>
      </c>
      <c r="D10" s="686"/>
      <c r="E10" s="686"/>
      <c r="F10" s="686"/>
      <c r="G10" s="1928" t="s">
        <v>3308</v>
      </c>
      <c r="H10" s="870"/>
      <c r="I10" s="870"/>
      <c r="J10" s="870"/>
      <c r="K10" s="870"/>
      <c r="L10" s="870"/>
      <c r="M10" s="870"/>
      <c r="N10" s="870"/>
      <c r="O10" s="871"/>
    </row>
    <row r="11" spans="1:15" x14ac:dyDescent="0.35">
      <c r="B11" s="838" t="s">
        <v>2054</v>
      </c>
      <c r="C11" s="844">
        <f>C7/$C$6</f>
        <v>0</v>
      </c>
      <c r="D11" s="686"/>
      <c r="E11" s="686"/>
      <c r="F11" s="686"/>
      <c r="G11" s="873" t="s">
        <v>3309</v>
      </c>
      <c r="H11" s="2496"/>
      <c r="I11" s="2496"/>
      <c r="J11" s="2496"/>
      <c r="K11" s="2496"/>
      <c r="L11" s="2496"/>
      <c r="M11" s="2496"/>
      <c r="N11" s="2496"/>
      <c r="O11" s="874"/>
    </row>
    <row r="12" spans="1:15" x14ac:dyDescent="0.35">
      <c r="B12" s="838" t="s">
        <v>2055</v>
      </c>
      <c r="C12" s="844">
        <f>C8/$C$6</f>
        <v>0</v>
      </c>
      <c r="D12" s="686"/>
      <c r="E12" s="686"/>
      <c r="F12" s="686"/>
      <c r="G12" s="873" t="s">
        <v>2696</v>
      </c>
      <c r="H12" s="2496"/>
      <c r="I12" s="2496"/>
      <c r="J12" s="2496"/>
      <c r="K12" s="2496"/>
      <c r="L12" s="2496"/>
      <c r="M12" s="2496"/>
      <c r="N12" s="2496"/>
      <c r="O12" s="874"/>
    </row>
    <row r="13" spans="1:15" x14ac:dyDescent="0.35">
      <c r="B13" s="838" t="s">
        <v>2056</v>
      </c>
      <c r="C13" s="844">
        <f>C9/$C$6</f>
        <v>247.37013236270545</v>
      </c>
      <c r="D13" s="686"/>
      <c r="E13" s="686"/>
      <c r="F13" s="686"/>
      <c r="G13" s="873" t="s">
        <v>2697</v>
      </c>
      <c r="H13" s="2496"/>
      <c r="I13" s="2496"/>
      <c r="J13" s="2496"/>
      <c r="K13" s="2496"/>
      <c r="L13" s="2496"/>
      <c r="M13" s="2496"/>
      <c r="N13" s="2496"/>
      <c r="O13" s="874"/>
    </row>
    <row r="14" spans="1:15" x14ac:dyDescent="0.35">
      <c r="B14" s="838" t="s">
        <v>2288</v>
      </c>
      <c r="C14" s="854">
        <f>C10/C9</f>
        <v>2.4255151350295292</v>
      </c>
      <c r="D14" s="690"/>
      <c r="E14" s="690"/>
      <c r="F14" s="690"/>
      <c r="G14" s="933"/>
      <c r="H14" s="934"/>
      <c r="I14" s="934"/>
      <c r="J14" s="934"/>
      <c r="K14" s="934"/>
      <c r="L14" s="934"/>
      <c r="M14" s="934"/>
      <c r="N14" s="934"/>
      <c r="O14" s="935"/>
    </row>
    <row r="15" spans="1:15" x14ac:dyDescent="0.35">
      <c r="B15" s="838" t="s">
        <v>2289</v>
      </c>
      <c r="C15" s="839">
        <f>C9/C5</f>
        <v>247.37013236270545</v>
      </c>
      <c r="D15" s="683"/>
      <c r="E15" s="683"/>
      <c r="F15" s="683"/>
    </row>
    <row r="16" spans="1:15" x14ac:dyDescent="0.35">
      <c r="B16" s="848" t="s">
        <v>2290</v>
      </c>
      <c r="C16" s="1929">
        <f>C10/C5</f>
        <v>600</v>
      </c>
      <c r="D16" s="706"/>
      <c r="E16" s="706"/>
      <c r="F16" s="706"/>
    </row>
    <row r="17" spans="1:6" x14ac:dyDescent="0.35">
      <c r="B17" s="1036" t="s">
        <v>2108</v>
      </c>
      <c r="C17" s="1930">
        <f>SUM(J83:J84)</f>
        <v>8790</v>
      </c>
      <c r="D17" s="706"/>
      <c r="E17" s="706"/>
      <c r="F17" s="706"/>
    </row>
    <row r="18" spans="1:6" x14ac:dyDescent="0.35">
      <c r="B18" s="1036" t="s">
        <v>2113</v>
      </c>
      <c r="C18" s="1930">
        <f>C17/C6</f>
        <v>879</v>
      </c>
      <c r="D18" s="706"/>
      <c r="E18" s="706"/>
      <c r="F18" s="706"/>
    </row>
    <row r="19" spans="1:6" x14ac:dyDescent="0.35">
      <c r="B19" s="1036" t="s">
        <v>1970</v>
      </c>
      <c r="C19" s="1931">
        <v>15</v>
      </c>
      <c r="D19" s="706"/>
      <c r="E19" s="706"/>
      <c r="F19" s="706"/>
    </row>
    <row r="20" spans="1:6" x14ac:dyDescent="0.35">
      <c r="B20" s="694" t="s">
        <v>1961</v>
      </c>
      <c r="C20" s="695"/>
      <c r="D20" s="696"/>
      <c r="E20" s="680"/>
      <c r="F20" s="696"/>
    </row>
    <row r="21" spans="1:6" hidden="1" x14ac:dyDescent="0.35">
      <c r="B21" s="834" t="s">
        <v>2387</v>
      </c>
      <c r="C21" s="852">
        <f>1-C33+C34+C35</f>
        <v>0.8</v>
      </c>
      <c r="D21" s="680"/>
      <c r="E21" s="698"/>
      <c r="F21" s="680"/>
    </row>
    <row r="22" spans="1:6" hidden="1" x14ac:dyDescent="0.35">
      <c r="B22" s="841" t="s">
        <v>1965</v>
      </c>
      <c r="C22" s="842">
        <v>0</v>
      </c>
      <c r="D22" s="683"/>
      <c r="E22" s="683"/>
      <c r="F22" s="683"/>
    </row>
    <row r="23" spans="1:6" hidden="1" x14ac:dyDescent="0.35">
      <c r="B23" s="838" t="s">
        <v>1966</v>
      </c>
      <c r="C23" s="839">
        <v>0</v>
      </c>
      <c r="D23" s="683"/>
      <c r="E23" s="683"/>
      <c r="F23" s="683"/>
    </row>
    <row r="24" spans="1:6" hidden="1" x14ac:dyDescent="0.35">
      <c r="B24" s="841" t="s">
        <v>1967</v>
      </c>
      <c r="C24" s="842">
        <f>C21*C9</f>
        <v>1978.9610589016438</v>
      </c>
      <c r="D24" s="683"/>
      <c r="E24" s="683"/>
      <c r="F24" s="683"/>
    </row>
    <row r="25" spans="1:6" hidden="1" x14ac:dyDescent="0.35">
      <c r="B25" s="838" t="s">
        <v>1969</v>
      </c>
      <c r="C25" s="854">
        <f>C10/C24</f>
        <v>3.0318939187869112</v>
      </c>
      <c r="D25" s="690"/>
      <c r="E25" s="690"/>
      <c r="F25" s="690"/>
    </row>
    <row r="26" spans="1:6" hidden="1" x14ac:dyDescent="0.35">
      <c r="B26" s="855" t="s">
        <v>1970</v>
      </c>
      <c r="C26" s="856">
        <v>15</v>
      </c>
      <c r="D26" s="680"/>
      <c r="E26" s="680"/>
      <c r="F26" s="680"/>
    </row>
    <row r="27" spans="1:6" x14ac:dyDescent="0.35">
      <c r="B27" s="703"/>
      <c r="C27" s="703"/>
    </row>
    <row r="28" spans="1:6" x14ac:dyDescent="0.35">
      <c r="B28" s="1932" t="s">
        <v>2698</v>
      </c>
      <c r="C28" s="1933">
        <f>IFERROR(H83/C83,0)</f>
        <v>155.18425007777179</v>
      </c>
    </row>
    <row r="29" spans="1:6" x14ac:dyDescent="0.35">
      <c r="B29" s="1932" t="s">
        <v>2699</v>
      </c>
      <c r="C29" s="1934">
        <f>IFERROR(H84/C84,0)</f>
        <v>339.55601464763913</v>
      </c>
    </row>
    <row r="30" spans="1:6" ht="21" hidden="1" x14ac:dyDescent="0.5">
      <c r="A30" s="704" t="s">
        <v>2064</v>
      </c>
      <c r="B30" s="703"/>
      <c r="C30" s="703"/>
    </row>
    <row r="31" spans="1:6" hidden="1" x14ac:dyDescent="0.35"/>
    <row r="32" spans="1:6" ht="12" hidden="1" customHeight="1" x14ac:dyDescent="0.35">
      <c r="B32" s="3004" t="s">
        <v>2395</v>
      </c>
      <c r="C32" s="3005"/>
    </row>
    <row r="33" spans="1:27" hidden="1" x14ac:dyDescent="0.35">
      <c r="B33" s="857" t="s">
        <v>1416</v>
      </c>
      <c r="C33" s="858">
        <v>0.4</v>
      </c>
    </row>
    <row r="34" spans="1:27" hidden="1" x14ac:dyDescent="0.35">
      <c r="B34" s="859" t="s">
        <v>2066</v>
      </c>
      <c r="C34" s="860">
        <v>0.2</v>
      </c>
    </row>
    <row r="35" spans="1:27" hidden="1" x14ac:dyDescent="0.35">
      <c r="B35" s="861" t="s">
        <v>2067</v>
      </c>
      <c r="C35" s="862">
        <v>0</v>
      </c>
    </row>
    <row r="37" spans="1:27" ht="21" x14ac:dyDescent="0.5">
      <c r="A37" s="704" t="s">
        <v>1977</v>
      </c>
    </row>
    <row r="39" spans="1:27" ht="29.5" thickBot="1" x14ac:dyDescent="0.4">
      <c r="A39" s="1932" t="s">
        <v>2700</v>
      </c>
      <c r="B39" s="1932" t="s">
        <v>2701</v>
      </c>
      <c r="C39" s="2499" t="s">
        <v>3306</v>
      </c>
      <c r="D39" s="1932" t="s">
        <v>2702</v>
      </c>
      <c r="E39" s="998" t="s">
        <v>377</v>
      </c>
      <c r="Y39" s="1935"/>
      <c r="Z39" s="1935"/>
      <c r="AA39" s="1935"/>
    </row>
    <row r="40" spans="1:27" ht="15" customHeight="1" x14ac:dyDescent="0.35">
      <c r="A40" s="1890" t="s">
        <v>2698</v>
      </c>
      <c r="B40" s="1936">
        <f>C65</f>
        <v>576.78571428571433</v>
      </c>
      <c r="C40" s="1937">
        <f>IF(F76&gt;75000,0.6002-(0.0011*E76),IF(E76&lt;=55,0.6483-(0.0017*E76),IF(E76&gt;55,0.7897-(0.0004*E76))))</f>
        <v>0.54519999999999991</v>
      </c>
      <c r="D40" s="1938">
        <f>F76/800+110*SQRT(E76)</f>
        <v>942.50495930520231</v>
      </c>
      <c r="E40" s="1002">
        <v>879</v>
      </c>
      <c r="Y40" s="1935"/>
      <c r="Z40" s="1935"/>
      <c r="AA40" s="1935"/>
    </row>
    <row r="41" spans="1:27" ht="15" customHeight="1" thickBot="1" x14ac:dyDescent="0.4">
      <c r="A41" s="1939" t="s">
        <v>2699</v>
      </c>
      <c r="B41" s="1940">
        <f>C65</f>
        <v>576.78571428571433</v>
      </c>
      <c r="C41" s="1941">
        <f>IF(F77&gt;75000,0.6002-(0.0011*E77),IF(E77&lt;=55,0.6483-(0.0017*E77),IF(E77&gt;55,0.7897-(0.0004*E77))))</f>
        <v>0.49019999999999997</v>
      </c>
      <c r="D41" s="1942">
        <f>F77/800+110*SQRT(E77)</f>
        <v>1369.125</v>
      </c>
      <c r="E41" s="1002">
        <v>879</v>
      </c>
      <c r="Y41" s="1935"/>
      <c r="Z41" s="1935"/>
      <c r="AA41" s="1935"/>
    </row>
    <row r="42" spans="1:27" ht="15" customHeight="1" x14ac:dyDescent="0.35">
      <c r="B42" s="675" t="s">
        <v>2703</v>
      </c>
      <c r="Y42" s="1935"/>
      <c r="Z42" s="1935"/>
      <c r="AA42" s="1935"/>
    </row>
    <row r="43" spans="1:27" x14ac:dyDescent="0.35">
      <c r="Y43" s="1935"/>
      <c r="Z43" s="1935"/>
      <c r="AA43" s="1935"/>
    </row>
    <row r="44" spans="1:27" x14ac:dyDescent="0.35">
      <c r="Y44" s="1935"/>
      <c r="Z44" s="1935"/>
      <c r="AA44" s="1935"/>
    </row>
    <row r="45" spans="1:27" x14ac:dyDescent="0.35">
      <c r="B45" s="940" t="s">
        <v>2704</v>
      </c>
      <c r="C45" s="1943">
        <v>125</v>
      </c>
      <c r="G45" s="2496"/>
      <c r="H45" s="2496"/>
      <c r="I45" s="2496"/>
      <c r="Y45" s="1935"/>
      <c r="Z45" s="1935"/>
      <c r="AA45" s="1935"/>
    </row>
    <row r="46" spans="1:27" x14ac:dyDescent="0.35">
      <c r="B46" s="936" t="s">
        <v>463</v>
      </c>
      <c r="C46" s="1944">
        <v>54</v>
      </c>
      <c r="G46" s="1067"/>
      <c r="H46" s="2496"/>
      <c r="I46" s="2496"/>
      <c r="Y46" s="1935"/>
      <c r="Z46" s="1935"/>
      <c r="AA46" s="1935"/>
    </row>
    <row r="47" spans="1:27" x14ac:dyDescent="0.35">
      <c r="B47" s="724" t="s">
        <v>2705</v>
      </c>
      <c r="C47" s="1944">
        <v>8.33</v>
      </c>
      <c r="G47" s="1067"/>
      <c r="H47" s="2496"/>
      <c r="I47" s="2496"/>
      <c r="Y47" s="1935"/>
      <c r="Z47" s="1935"/>
      <c r="AA47" s="1935"/>
    </row>
    <row r="48" spans="1:27" x14ac:dyDescent="0.35">
      <c r="B48" s="928" t="s">
        <v>2706</v>
      </c>
      <c r="C48" s="1945">
        <v>1</v>
      </c>
      <c r="G48" s="2497"/>
      <c r="H48" s="2496"/>
      <c r="I48" s="2496"/>
      <c r="Y48" s="1935"/>
      <c r="Z48" s="1935"/>
      <c r="AA48" s="1935"/>
    </row>
    <row r="49" spans="2:27" x14ac:dyDescent="0.35">
      <c r="Y49" s="1935"/>
      <c r="Z49" s="1935"/>
      <c r="AA49" s="1935"/>
    </row>
    <row r="50" spans="2:27" ht="29" x14ac:dyDescent="0.35">
      <c r="B50" s="1008" t="s">
        <v>2019</v>
      </c>
      <c r="C50" s="932" t="s">
        <v>2707</v>
      </c>
      <c r="Y50" s="1935"/>
      <c r="Z50" s="1935"/>
      <c r="AA50" s="1935"/>
    </row>
    <row r="51" spans="2:27" x14ac:dyDescent="0.35">
      <c r="B51" s="937" t="s">
        <v>2708</v>
      </c>
      <c r="C51" s="1944">
        <v>528</v>
      </c>
      <c r="Y51" s="1935"/>
      <c r="Z51" s="1935"/>
      <c r="AA51" s="1935"/>
    </row>
    <row r="52" spans="2:27" x14ac:dyDescent="0.35">
      <c r="B52" s="977" t="s">
        <v>2709</v>
      </c>
      <c r="C52" s="1944">
        <v>568</v>
      </c>
      <c r="Y52" s="1935"/>
      <c r="Z52" s="1935"/>
      <c r="AA52" s="1935"/>
    </row>
    <row r="53" spans="2:27" x14ac:dyDescent="0.35">
      <c r="B53" s="937" t="s">
        <v>2026</v>
      </c>
      <c r="C53" s="1944">
        <v>528</v>
      </c>
      <c r="Y53" s="1935"/>
      <c r="Z53" s="1935"/>
      <c r="AA53" s="1935"/>
    </row>
    <row r="54" spans="2:27" x14ac:dyDescent="0.35">
      <c r="B54" s="977" t="s">
        <v>2030</v>
      </c>
      <c r="C54" s="1944">
        <v>788</v>
      </c>
      <c r="Y54" s="1935"/>
      <c r="Z54" s="1935"/>
      <c r="AA54" s="1935"/>
    </row>
    <row r="55" spans="2:27" x14ac:dyDescent="0.35">
      <c r="B55" s="937" t="s">
        <v>2022</v>
      </c>
      <c r="C55" s="1944">
        <v>511</v>
      </c>
      <c r="Y55" s="1935"/>
      <c r="Z55" s="1935"/>
      <c r="AA55" s="1935"/>
    </row>
    <row r="56" spans="2:27" x14ac:dyDescent="0.35">
      <c r="B56" s="977" t="s">
        <v>2710</v>
      </c>
      <c r="C56" s="1944">
        <v>528</v>
      </c>
      <c r="Y56" s="1935"/>
      <c r="Z56" s="1935"/>
      <c r="AA56" s="1935"/>
    </row>
    <row r="57" spans="2:27" x14ac:dyDescent="0.35">
      <c r="B57" s="937" t="s">
        <v>2711</v>
      </c>
      <c r="C57" s="1944">
        <v>715</v>
      </c>
      <c r="Y57" s="1935"/>
      <c r="Z57" s="1935"/>
      <c r="AA57" s="1935"/>
    </row>
    <row r="58" spans="2:27" x14ac:dyDescent="0.35">
      <c r="B58" s="977" t="s">
        <v>2712</v>
      </c>
      <c r="C58" s="1944">
        <v>341</v>
      </c>
      <c r="Y58" s="1935"/>
      <c r="Z58" s="1935"/>
      <c r="AA58" s="1935"/>
    </row>
    <row r="59" spans="2:27" x14ac:dyDescent="0.35">
      <c r="B59" s="937" t="s">
        <v>2175</v>
      </c>
      <c r="C59" s="1944">
        <v>622</v>
      </c>
      <c r="Y59" s="1935"/>
      <c r="Z59" s="1935"/>
      <c r="AA59" s="1935"/>
    </row>
    <row r="60" spans="2:27" x14ac:dyDescent="0.35">
      <c r="B60" s="977" t="s">
        <v>2021</v>
      </c>
      <c r="C60" s="1944">
        <v>511</v>
      </c>
      <c r="Y60" s="1935"/>
      <c r="Z60" s="1935"/>
      <c r="AA60" s="1935"/>
    </row>
    <row r="61" spans="2:27" x14ac:dyDescent="0.35">
      <c r="B61" s="937" t="s">
        <v>2713</v>
      </c>
      <c r="C61" s="1944">
        <v>528</v>
      </c>
      <c r="Y61" s="1935"/>
      <c r="Z61" s="1935"/>
      <c r="AA61" s="1935"/>
    </row>
    <row r="62" spans="2:27" x14ac:dyDescent="0.35">
      <c r="B62" s="977" t="s">
        <v>2027</v>
      </c>
      <c r="C62" s="1944">
        <v>341</v>
      </c>
      <c r="Y62" s="1935"/>
      <c r="Z62" s="1935"/>
      <c r="AA62" s="1935"/>
    </row>
    <row r="63" spans="2:27" x14ac:dyDescent="0.35">
      <c r="B63" s="937" t="s">
        <v>2714</v>
      </c>
      <c r="C63" s="1944">
        <v>672</v>
      </c>
      <c r="Y63" s="1935"/>
      <c r="Z63" s="1935"/>
      <c r="AA63" s="1935"/>
    </row>
    <row r="64" spans="2:27" x14ac:dyDescent="0.35">
      <c r="B64" s="993" t="s">
        <v>2715</v>
      </c>
      <c r="C64" s="1945">
        <v>894</v>
      </c>
      <c r="Y64" s="1935"/>
      <c r="Z64" s="1935"/>
      <c r="AA64" s="1935"/>
    </row>
    <row r="65" spans="1:27" x14ac:dyDescent="0.35">
      <c r="B65" s="938" t="s">
        <v>2716</v>
      </c>
      <c r="C65" s="1946">
        <f>AVERAGE(C51:C64)</f>
        <v>576.78571428571433</v>
      </c>
      <c r="Y65" s="1935"/>
      <c r="Z65" s="1935"/>
      <c r="AA65" s="1935"/>
    </row>
    <row r="66" spans="1:27" x14ac:dyDescent="0.35">
      <c r="Y66" s="1935"/>
      <c r="Z66" s="1935"/>
      <c r="AA66" s="1935"/>
    </row>
    <row r="67" spans="1:27" x14ac:dyDescent="0.35">
      <c r="Y67" s="1935"/>
      <c r="Z67" s="1935"/>
      <c r="AA67" s="1935"/>
    </row>
    <row r="68" spans="1:27" ht="21" x14ac:dyDescent="0.5">
      <c r="A68" s="704" t="s">
        <v>2012</v>
      </c>
      <c r="Y68" s="1935"/>
      <c r="Z68" s="1935"/>
      <c r="AA68" s="1935"/>
    </row>
    <row r="69" spans="1:27" ht="15" customHeight="1" x14ac:dyDescent="0.35">
      <c r="B69" s="698"/>
      <c r="C69" s="934"/>
      <c r="D69" s="723"/>
      <c r="Y69" s="1935"/>
      <c r="Z69" s="1935"/>
      <c r="AA69" s="1935"/>
    </row>
    <row r="70" spans="1:27" x14ac:dyDescent="0.35">
      <c r="B70" s="878" t="s">
        <v>2717</v>
      </c>
      <c r="C70" s="1947">
        <v>600</v>
      </c>
      <c r="D70" s="739"/>
    </row>
    <row r="71" spans="1:27" x14ac:dyDescent="0.35">
      <c r="L71" s="698"/>
    </row>
    <row r="72" spans="1:27" ht="21" x14ac:dyDescent="0.5">
      <c r="A72" s="704" t="s">
        <v>2014</v>
      </c>
    </row>
    <row r="74" spans="1:27" ht="18.5" x14ac:dyDescent="0.35">
      <c r="B74" s="3009" t="s">
        <v>2361</v>
      </c>
      <c r="C74" s="3010"/>
      <c r="D74" s="3011"/>
      <c r="E74" s="876"/>
      <c r="F74" s="876"/>
      <c r="G74" s="753"/>
      <c r="H74" s="753"/>
      <c r="I74" s="753"/>
      <c r="J74" s="753"/>
    </row>
    <row r="75" spans="1:27" ht="29.5" thickBot="1" x14ac:dyDescent="0.4">
      <c r="B75" s="997" t="s">
        <v>2019</v>
      </c>
      <c r="C75" s="998" t="s">
        <v>1947</v>
      </c>
      <c r="D75" s="998" t="s">
        <v>2718</v>
      </c>
      <c r="E75" s="1008" t="s">
        <v>2719</v>
      </c>
      <c r="F75" s="1008" t="s">
        <v>2720</v>
      </c>
      <c r="G75" s="2500" t="s">
        <v>3307</v>
      </c>
      <c r="H75" s="1932" t="s">
        <v>2721</v>
      </c>
      <c r="I75" s="753"/>
      <c r="J75" s="753"/>
    </row>
    <row r="76" spans="1:27" x14ac:dyDescent="0.35">
      <c r="B76" s="1932" t="s">
        <v>2698</v>
      </c>
      <c r="C76" s="1933">
        <v>5</v>
      </c>
      <c r="D76" s="1933">
        <v>1</v>
      </c>
      <c r="E76" s="1036">
        <v>50</v>
      </c>
      <c r="F76" s="1948">
        <v>131750</v>
      </c>
      <c r="G76" s="1949">
        <v>0.88</v>
      </c>
      <c r="H76" s="1950">
        <v>530</v>
      </c>
    </row>
    <row r="77" spans="1:27" ht="15" thickBot="1" x14ac:dyDescent="0.4">
      <c r="B77" s="1932" t="s">
        <v>2699</v>
      </c>
      <c r="C77" s="1951">
        <v>5</v>
      </c>
      <c r="D77" s="1951">
        <v>1</v>
      </c>
      <c r="E77" s="1952">
        <v>100</v>
      </c>
      <c r="F77" s="1953">
        <v>215300</v>
      </c>
      <c r="G77" s="1954">
        <v>0.88</v>
      </c>
      <c r="H77" s="1955">
        <v>1012</v>
      </c>
    </row>
    <row r="79" spans="1:27" ht="21" x14ac:dyDescent="0.5">
      <c r="A79" s="704" t="s">
        <v>2036</v>
      </c>
    </row>
    <row r="81" spans="2:10" ht="26.25" customHeight="1" x14ac:dyDescent="0.35">
      <c r="B81" s="1956"/>
      <c r="C81" s="3052" t="s">
        <v>2361</v>
      </c>
      <c r="D81" s="3053"/>
      <c r="E81" s="3046" t="s">
        <v>2722</v>
      </c>
      <c r="F81" s="3047"/>
      <c r="G81" s="3048"/>
      <c r="H81" s="3168" t="s">
        <v>2040</v>
      </c>
      <c r="I81" s="3169"/>
      <c r="J81" s="3169"/>
    </row>
    <row r="82" spans="2:10" ht="43.5" x14ac:dyDescent="0.35">
      <c r="B82" s="997" t="s">
        <v>2019</v>
      </c>
      <c r="C82" s="998" t="s">
        <v>1947</v>
      </c>
      <c r="D82" s="998" t="s">
        <v>2718</v>
      </c>
      <c r="E82" s="1932" t="s">
        <v>2723</v>
      </c>
      <c r="F82" s="1932" t="s">
        <v>2724</v>
      </c>
      <c r="G82" s="1932" t="s">
        <v>2725</v>
      </c>
      <c r="H82" s="998" t="s">
        <v>2370</v>
      </c>
      <c r="I82" s="998" t="s">
        <v>2371</v>
      </c>
      <c r="J82" s="1053" t="s">
        <v>2108</v>
      </c>
    </row>
    <row r="83" spans="2:10" x14ac:dyDescent="0.35">
      <c r="B83" s="1932" t="s">
        <v>2698</v>
      </c>
      <c r="C83" s="1957">
        <f>C76</f>
        <v>5</v>
      </c>
      <c r="D83" s="1957">
        <f>D76</f>
        <v>1</v>
      </c>
      <c r="E83" s="1958">
        <f xml:space="preserve"> ((C45 - C46) * (B40*E76) * C47 *C48 * (1/C40 - 1/G76)) / 100000</f>
        <v>119.02406534507776</v>
      </c>
      <c r="F83" s="1958">
        <f>IF(F76&gt;75000,((D40-H76)*8766)/100000,0)</f>
        <v>36.160184732694034</v>
      </c>
      <c r="G83" s="1959">
        <f>F83+E83</f>
        <v>155.18425007777179</v>
      </c>
      <c r="H83" s="1960">
        <f>C83*D83*G83</f>
        <v>775.92125038885899</v>
      </c>
      <c r="I83" s="1961">
        <f>C83*D83*$C$70</f>
        <v>3000</v>
      </c>
      <c r="J83" s="1007">
        <f>C83*D83*E40</f>
        <v>4395</v>
      </c>
    </row>
    <row r="84" spans="2:10" x14ac:dyDescent="0.35">
      <c r="B84" s="1932" t="s">
        <v>2699</v>
      </c>
      <c r="C84" s="1962">
        <f>C77</f>
        <v>5</v>
      </c>
      <c r="D84" s="1962">
        <f>D77</f>
        <v>1</v>
      </c>
      <c r="E84" s="1958">
        <f xml:space="preserve"> ((C45 - C46) * (B41*E77) * C47 *C48 * (1/C41 - 1/G77)) / 100000</f>
        <v>308.25043714763916</v>
      </c>
      <c r="F84" s="1958">
        <f>IF(F77&gt;75000,((D41-H77)*8766)/100000,0)</f>
        <v>31.305577499999998</v>
      </c>
      <c r="G84" s="1959">
        <f>F84+E84</f>
        <v>339.55601464763913</v>
      </c>
      <c r="H84" s="1963">
        <f>C84*D84*G84</f>
        <v>1697.7800732381957</v>
      </c>
      <c r="I84" s="1964">
        <f>C84*D84*$C$70</f>
        <v>3000</v>
      </c>
      <c r="J84" s="1965">
        <f>C84*D84*E41</f>
        <v>4395</v>
      </c>
    </row>
    <row r="85" spans="2:10" ht="18.5" x14ac:dyDescent="0.45">
      <c r="H85" s="779"/>
      <c r="I85" s="779"/>
      <c r="J85" s="779"/>
    </row>
    <row r="86" spans="2:10" ht="18.5" x14ac:dyDescent="0.45">
      <c r="H86" s="779"/>
      <c r="I86" s="779"/>
      <c r="J86" s="779"/>
    </row>
    <row r="87" spans="2:10" ht="18.5" x14ac:dyDescent="0.45">
      <c r="H87" s="779"/>
      <c r="I87" s="779"/>
      <c r="J87" s="779"/>
    </row>
    <row r="88" spans="2:10" ht="18.5" x14ac:dyDescent="0.45">
      <c r="H88" s="779"/>
      <c r="I88" s="779"/>
      <c r="J88" s="779"/>
    </row>
    <row r="89" spans="2:10" ht="18.5" x14ac:dyDescent="0.45">
      <c r="H89" s="779"/>
      <c r="I89" s="779"/>
      <c r="J89" s="779"/>
    </row>
    <row r="90" spans="2:10" ht="18.5" x14ac:dyDescent="0.45">
      <c r="H90" s="779"/>
      <c r="I90" s="779"/>
      <c r="J90" s="779"/>
    </row>
    <row r="102" spans="16:16" x14ac:dyDescent="0.35">
      <c r="P102" s="698"/>
    </row>
    <row r="103" spans="16:16" x14ac:dyDescent="0.35">
      <c r="P103" s="1966"/>
    </row>
    <row r="104" spans="16:16" x14ac:dyDescent="0.35">
      <c r="P104" s="1966"/>
    </row>
    <row r="105" spans="16:16" x14ac:dyDescent="0.35">
      <c r="P105" s="1966"/>
    </row>
    <row r="106" spans="16:16" x14ac:dyDescent="0.35">
      <c r="P106" s="1966"/>
    </row>
    <row r="107" spans="16:16" x14ac:dyDescent="0.35">
      <c r="P107" s="1966"/>
    </row>
    <row r="108" spans="16:16" x14ac:dyDescent="0.35">
      <c r="P108" s="1966"/>
    </row>
    <row r="165" spans="2:14" x14ac:dyDescent="0.35">
      <c r="B165" s="600" t="s">
        <v>2726</v>
      </c>
      <c r="C165" s="600" t="s">
        <v>2727</v>
      </c>
      <c r="D165" s="600" t="s">
        <v>2728</v>
      </c>
      <c r="E165" s="600" t="s">
        <v>2729</v>
      </c>
      <c r="F165" s="600" t="s">
        <v>2730</v>
      </c>
      <c r="G165" s="600" t="s">
        <v>2731</v>
      </c>
      <c r="H165" s="600" t="s">
        <v>2732</v>
      </c>
      <c r="I165" s="600" t="s">
        <v>2733</v>
      </c>
      <c r="J165" s="600" t="s">
        <v>2734</v>
      </c>
      <c r="K165" s="600" t="s">
        <v>2735</v>
      </c>
      <c r="L165" s="600" t="s">
        <v>2736</v>
      </c>
      <c r="M165" s="600" t="s">
        <v>2737</v>
      </c>
      <c r="N165" s="600" t="s">
        <v>2738</v>
      </c>
    </row>
    <row r="166" spans="2:14" x14ac:dyDescent="0.35">
      <c r="B166" s="600" t="s">
        <v>2739</v>
      </c>
      <c r="C166" s="600" t="s">
        <v>2740</v>
      </c>
      <c r="D166" s="600" t="s">
        <v>2741</v>
      </c>
      <c r="E166" s="600" t="s">
        <v>2742</v>
      </c>
      <c r="F166" s="600" t="s">
        <v>2743</v>
      </c>
      <c r="G166" s="600" t="s">
        <v>1390</v>
      </c>
      <c r="H166" s="600" t="s">
        <v>2744</v>
      </c>
      <c r="I166" s="600" t="s">
        <v>2745</v>
      </c>
      <c r="J166" s="1967">
        <v>100</v>
      </c>
      <c r="K166" s="1967">
        <v>96</v>
      </c>
      <c r="L166" s="600" t="s">
        <v>2746</v>
      </c>
      <c r="M166" s="1967">
        <v>430</v>
      </c>
      <c r="N166" s="600" t="s">
        <v>534</v>
      </c>
    </row>
    <row r="167" spans="2:14" x14ac:dyDescent="0.35">
      <c r="B167" s="600" t="s">
        <v>2747</v>
      </c>
      <c r="C167" s="600" t="s">
        <v>2740</v>
      </c>
      <c r="D167" s="600" t="s">
        <v>2741</v>
      </c>
      <c r="E167" s="600" t="s">
        <v>2742</v>
      </c>
      <c r="F167" s="600" t="s">
        <v>2748</v>
      </c>
      <c r="G167" s="600" t="s">
        <v>1390</v>
      </c>
      <c r="H167" s="600" t="s">
        <v>2744</v>
      </c>
      <c r="I167" s="600" t="s">
        <v>2745</v>
      </c>
      <c r="J167" s="1967">
        <v>76</v>
      </c>
      <c r="K167" s="1967">
        <v>90</v>
      </c>
      <c r="L167" s="600" t="s">
        <v>2749</v>
      </c>
      <c r="M167" s="1967">
        <v>320</v>
      </c>
      <c r="N167" s="600" t="s">
        <v>534</v>
      </c>
    </row>
    <row r="168" spans="2:14" x14ac:dyDescent="0.35">
      <c r="B168" s="600" t="s">
        <v>2750</v>
      </c>
      <c r="C168" s="600" t="s">
        <v>2740</v>
      </c>
      <c r="D168" s="600" t="s">
        <v>2741</v>
      </c>
      <c r="E168" s="600" t="s">
        <v>2742</v>
      </c>
      <c r="F168" s="600" t="s">
        <v>2751</v>
      </c>
      <c r="G168" s="600" t="s">
        <v>1390</v>
      </c>
      <c r="H168" s="600" t="s">
        <v>2744</v>
      </c>
      <c r="I168" s="600" t="s">
        <v>2745</v>
      </c>
      <c r="J168" s="1967">
        <v>100</v>
      </c>
      <c r="K168" s="1967">
        <v>96</v>
      </c>
      <c r="L168" s="600" t="s">
        <v>2746</v>
      </c>
      <c r="M168" s="1967">
        <v>430</v>
      </c>
      <c r="N168" s="600" t="s">
        <v>534</v>
      </c>
    </row>
    <row r="169" spans="2:14" x14ac:dyDescent="0.35">
      <c r="B169" s="600" t="s">
        <v>2752</v>
      </c>
      <c r="C169" s="600" t="s">
        <v>2753</v>
      </c>
      <c r="D169" s="600" t="s">
        <v>2741</v>
      </c>
      <c r="E169" s="600" t="s">
        <v>2742</v>
      </c>
      <c r="F169" s="600" t="s">
        <v>2754</v>
      </c>
      <c r="G169" s="600" t="s">
        <v>1390</v>
      </c>
      <c r="H169" s="600" t="s">
        <v>2744</v>
      </c>
      <c r="I169" s="600" t="s">
        <v>2745</v>
      </c>
      <c r="J169" s="1967">
        <v>76</v>
      </c>
      <c r="K169" s="1967">
        <v>90</v>
      </c>
      <c r="L169" s="600" t="s">
        <v>2749</v>
      </c>
      <c r="M169" s="1967">
        <v>320</v>
      </c>
      <c r="N169" s="600" t="s">
        <v>534</v>
      </c>
    </row>
    <row r="170" spans="2:14" x14ac:dyDescent="0.35">
      <c r="B170" s="600" t="s">
        <v>2755</v>
      </c>
      <c r="C170" s="600" t="s">
        <v>2756</v>
      </c>
      <c r="D170" s="600" t="s">
        <v>2757</v>
      </c>
      <c r="E170" s="600" t="s">
        <v>2742</v>
      </c>
      <c r="F170" s="600" t="s">
        <v>2758</v>
      </c>
      <c r="G170" s="600" t="s">
        <v>1390</v>
      </c>
      <c r="H170" s="600" t="s">
        <v>2744</v>
      </c>
      <c r="I170" s="600" t="s">
        <v>2745</v>
      </c>
      <c r="J170" s="1967">
        <v>130</v>
      </c>
      <c r="K170" s="1967">
        <v>95</v>
      </c>
      <c r="L170" s="600" t="s">
        <v>2759</v>
      </c>
      <c r="M170" s="1967">
        <v>620</v>
      </c>
      <c r="N170" s="600" t="s">
        <v>534</v>
      </c>
    </row>
    <row r="171" spans="2:14" x14ac:dyDescent="0.35">
      <c r="B171" s="600" t="s">
        <v>2760</v>
      </c>
      <c r="C171" s="600" t="s">
        <v>2761</v>
      </c>
      <c r="D171" s="600" t="s">
        <v>2757</v>
      </c>
      <c r="E171" s="600" t="s">
        <v>2742</v>
      </c>
      <c r="F171" s="600" t="s">
        <v>2762</v>
      </c>
      <c r="G171" s="600" t="s">
        <v>1390</v>
      </c>
      <c r="H171" s="600" t="s">
        <v>2744</v>
      </c>
      <c r="I171" s="600" t="s">
        <v>2745</v>
      </c>
      <c r="J171" s="1967">
        <v>150</v>
      </c>
      <c r="K171" s="1967">
        <v>95</v>
      </c>
      <c r="L171" s="600" t="s">
        <v>2759</v>
      </c>
      <c r="M171" s="1967">
        <v>605</v>
      </c>
      <c r="N171" s="600" t="s">
        <v>534</v>
      </c>
    </row>
    <row r="172" spans="2:14" x14ac:dyDescent="0.35">
      <c r="B172" s="600" t="s">
        <v>2763</v>
      </c>
      <c r="C172" s="600" t="s">
        <v>2756</v>
      </c>
      <c r="D172" s="600" t="s">
        <v>2757</v>
      </c>
      <c r="E172" s="600" t="s">
        <v>2742</v>
      </c>
      <c r="F172" s="600" t="s">
        <v>2764</v>
      </c>
      <c r="G172" s="600" t="s">
        <v>1390</v>
      </c>
      <c r="H172" s="600" t="s">
        <v>2744</v>
      </c>
      <c r="I172" s="600" t="s">
        <v>2745</v>
      </c>
      <c r="J172" s="1967">
        <v>175</v>
      </c>
      <c r="K172" s="1967">
        <v>96</v>
      </c>
      <c r="L172" s="600" t="s">
        <v>2765</v>
      </c>
      <c r="M172" s="1967">
        <v>645</v>
      </c>
      <c r="N172" s="600" t="s">
        <v>534</v>
      </c>
    </row>
    <row r="173" spans="2:14" x14ac:dyDescent="0.35">
      <c r="B173" s="600" t="s">
        <v>2766</v>
      </c>
      <c r="C173" s="600" t="s">
        <v>2756</v>
      </c>
      <c r="D173" s="600" t="s">
        <v>2757</v>
      </c>
      <c r="E173" s="600" t="s">
        <v>2742</v>
      </c>
      <c r="F173" s="600" t="s">
        <v>2767</v>
      </c>
      <c r="G173" s="600" t="s">
        <v>1390</v>
      </c>
      <c r="H173" s="600" t="s">
        <v>2744</v>
      </c>
      <c r="I173" s="600" t="s">
        <v>2745</v>
      </c>
      <c r="J173" s="1967">
        <v>199</v>
      </c>
      <c r="K173" s="1967">
        <v>96</v>
      </c>
      <c r="L173" s="600" t="s">
        <v>2765</v>
      </c>
      <c r="M173" s="1967">
        <v>650</v>
      </c>
      <c r="N173" s="600" t="s">
        <v>534</v>
      </c>
    </row>
    <row r="174" spans="2:14" x14ac:dyDescent="0.35">
      <c r="B174" s="600" t="s">
        <v>2768</v>
      </c>
      <c r="C174" s="600" t="s">
        <v>2761</v>
      </c>
      <c r="D174" s="600" t="s">
        <v>2757</v>
      </c>
      <c r="E174" s="600" t="s">
        <v>2742</v>
      </c>
      <c r="F174" s="600" t="s">
        <v>2769</v>
      </c>
      <c r="G174" s="600" t="s">
        <v>1390</v>
      </c>
      <c r="H174" s="600" t="s">
        <v>2744</v>
      </c>
      <c r="I174" s="600" t="s">
        <v>2745</v>
      </c>
      <c r="J174" s="1967">
        <v>130</v>
      </c>
      <c r="K174" s="1967">
        <v>95</v>
      </c>
      <c r="L174" s="600" t="s">
        <v>2759</v>
      </c>
      <c r="M174" s="1967">
        <v>620</v>
      </c>
      <c r="N174" s="600" t="s">
        <v>534</v>
      </c>
    </row>
    <row r="175" spans="2:14" x14ac:dyDescent="0.35">
      <c r="B175" s="600" t="s">
        <v>2770</v>
      </c>
      <c r="C175" s="600" t="s">
        <v>2761</v>
      </c>
      <c r="D175" s="600" t="s">
        <v>2757</v>
      </c>
      <c r="E175" s="600" t="s">
        <v>2742</v>
      </c>
      <c r="F175" s="600" t="s">
        <v>2771</v>
      </c>
      <c r="G175" s="600" t="s">
        <v>1390</v>
      </c>
      <c r="H175" s="600" t="s">
        <v>2744</v>
      </c>
      <c r="I175" s="600" t="s">
        <v>2745</v>
      </c>
      <c r="J175" s="1967">
        <v>150</v>
      </c>
      <c r="K175" s="1967">
        <v>95</v>
      </c>
      <c r="L175" s="600" t="s">
        <v>2759</v>
      </c>
      <c r="M175" s="1967">
        <v>605</v>
      </c>
      <c r="N175" s="600" t="s">
        <v>534</v>
      </c>
    </row>
    <row r="176" spans="2:14" x14ac:dyDescent="0.35">
      <c r="B176" s="600" t="s">
        <v>2772</v>
      </c>
      <c r="C176" s="600" t="s">
        <v>2761</v>
      </c>
      <c r="D176" s="600" t="s">
        <v>2757</v>
      </c>
      <c r="E176" s="600" t="s">
        <v>2742</v>
      </c>
      <c r="F176" s="600" t="s">
        <v>2773</v>
      </c>
      <c r="G176" s="600" t="s">
        <v>1390</v>
      </c>
      <c r="H176" s="600" t="s">
        <v>2744</v>
      </c>
      <c r="I176" s="600" t="s">
        <v>2745</v>
      </c>
      <c r="J176" s="1967">
        <v>175</v>
      </c>
      <c r="K176" s="1967">
        <v>96</v>
      </c>
      <c r="L176" s="600" t="s">
        <v>2765</v>
      </c>
      <c r="M176" s="1967">
        <v>645</v>
      </c>
      <c r="N176" s="600" t="s">
        <v>534</v>
      </c>
    </row>
    <row r="177" spans="2:14" x14ac:dyDescent="0.35">
      <c r="B177" s="600" t="s">
        <v>2774</v>
      </c>
      <c r="C177" s="600" t="s">
        <v>2761</v>
      </c>
      <c r="D177" s="600" t="s">
        <v>2757</v>
      </c>
      <c r="E177" s="600" t="s">
        <v>2742</v>
      </c>
      <c r="F177" s="600" t="s">
        <v>2775</v>
      </c>
      <c r="G177" s="600" t="s">
        <v>1390</v>
      </c>
      <c r="H177" s="600" t="s">
        <v>2744</v>
      </c>
      <c r="I177" s="600" t="s">
        <v>2745</v>
      </c>
      <c r="J177" s="1967">
        <v>199</v>
      </c>
      <c r="K177" s="1967">
        <v>96</v>
      </c>
      <c r="L177" s="600" t="s">
        <v>2765</v>
      </c>
      <c r="M177" s="1967">
        <v>650</v>
      </c>
      <c r="N177" s="600" t="s">
        <v>534</v>
      </c>
    </row>
    <row r="178" spans="2:14" x14ac:dyDescent="0.35">
      <c r="B178" s="600" t="s">
        <v>2776</v>
      </c>
      <c r="C178" s="600" t="s">
        <v>2761</v>
      </c>
      <c r="D178" s="600" t="s">
        <v>2777</v>
      </c>
      <c r="E178" s="600" t="s">
        <v>2742</v>
      </c>
      <c r="F178" s="600" t="s">
        <v>2778</v>
      </c>
      <c r="G178" s="600" t="s">
        <v>1390</v>
      </c>
      <c r="H178" s="600" t="s">
        <v>2744</v>
      </c>
      <c r="I178" s="600" t="s">
        <v>2745</v>
      </c>
      <c r="J178" s="1967">
        <v>100</v>
      </c>
      <c r="K178" s="1967">
        <v>96</v>
      </c>
      <c r="L178" s="600" t="s">
        <v>2746</v>
      </c>
      <c r="M178" s="1967">
        <v>430</v>
      </c>
      <c r="N178" s="600" t="s">
        <v>534</v>
      </c>
    </row>
    <row r="179" spans="2:14" x14ac:dyDescent="0.35">
      <c r="B179" s="600" t="s">
        <v>2779</v>
      </c>
      <c r="C179" s="600" t="s">
        <v>2761</v>
      </c>
      <c r="D179" s="600" t="s">
        <v>2777</v>
      </c>
      <c r="E179" s="600" t="s">
        <v>2742</v>
      </c>
      <c r="F179" s="600" t="s">
        <v>2780</v>
      </c>
      <c r="G179" s="600" t="s">
        <v>1390</v>
      </c>
      <c r="H179" s="600" t="s">
        <v>2744</v>
      </c>
      <c r="I179" s="600" t="s">
        <v>2745</v>
      </c>
      <c r="J179" s="1967">
        <v>76</v>
      </c>
      <c r="K179" s="1967">
        <v>90</v>
      </c>
      <c r="L179" s="600" t="s">
        <v>2749</v>
      </c>
      <c r="M179" s="1967">
        <v>320</v>
      </c>
      <c r="N179" s="600" t="s">
        <v>534</v>
      </c>
    </row>
    <row r="180" spans="2:14" x14ac:dyDescent="0.35">
      <c r="B180" s="600" t="s">
        <v>2781</v>
      </c>
      <c r="C180" s="600" t="s">
        <v>2782</v>
      </c>
      <c r="D180" s="600" t="s">
        <v>2783</v>
      </c>
      <c r="E180" s="600" t="s">
        <v>2742</v>
      </c>
      <c r="F180" s="600" t="s">
        <v>2784</v>
      </c>
      <c r="G180" s="600" t="s">
        <v>1390</v>
      </c>
      <c r="H180" s="600" t="s">
        <v>2744</v>
      </c>
      <c r="I180" s="600" t="s">
        <v>2745</v>
      </c>
      <c r="J180" s="1967">
        <v>76</v>
      </c>
      <c r="K180" s="1967">
        <v>90</v>
      </c>
      <c r="L180" s="600" t="s">
        <v>2785</v>
      </c>
      <c r="M180" s="1967">
        <v>360</v>
      </c>
      <c r="N180" s="600" t="s">
        <v>534</v>
      </c>
    </row>
    <row r="181" spans="2:14" x14ac:dyDescent="0.35">
      <c r="B181" s="600" t="s">
        <v>2786</v>
      </c>
      <c r="C181" s="600" t="s">
        <v>2782</v>
      </c>
      <c r="D181" s="600" t="s">
        <v>2787</v>
      </c>
      <c r="E181" s="600" t="s">
        <v>2742</v>
      </c>
      <c r="F181" s="600" t="s">
        <v>2788</v>
      </c>
      <c r="G181" s="600" t="s">
        <v>1390</v>
      </c>
      <c r="H181" s="600" t="s">
        <v>2744</v>
      </c>
      <c r="I181" s="600" t="s">
        <v>2745</v>
      </c>
      <c r="J181" s="1967">
        <v>76</v>
      </c>
      <c r="K181" s="1967">
        <v>90</v>
      </c>
      <c r="L181" s="600" t="s">
        <v>2785</v>
      </c>
      <c r="M181" s="1967">
        <v>360</v>
      </c>
      <c r="N181" s="600" t="s">
        <v>534</v>
      </c>
    </row>
    <row r="182" spans="2:14" x14ac:dyDescent="0.35">
      <c r="B182" s="600" t="s">
        <v>2789</v>
      </c>
      <c r="C182" s="600" t="s">
        <v>2790</v>
      </c>
      <c r="D182" s="600" t="s">
        <v>2790</v>
      </c>
      <c r="E182" s="600" t="s">
        <v>2742</v>
      </c>
      <c r="F182" s="600" t="s">
        <v>2791</v>
      </c>
      <c r="G182" s="600" t="s">
        <v>1390</v>
      </c>
      <c r="H182" s="600" t="s">
        <v>2744</v>
      </c>
      <c r="I182" s="600" t="s">
        <v>2745</v>
      </c>
      <c r="J182" s="1967">
        <v>100</v>
      </c>
      <c r="K182" s="1967">
        <v>96</v>
      </c>
      <c r="L182" s="600" t="s">
        <v>2746</v>
      </c>
      <c r="M182" s="1967">
        <v>430</v>
      </c>
      <c r="N182" s="600" t="s">
        <v>534</v>
      </c>
    </row>
    <row r="183" spans="2:14" x14ac:dyDescent="0.35">
      <c r="B183" s="600" t="s">
        <v>2792</v>
      </c>
      <c r="C183" s="600" t="s">
        <v>2790</v>
      </c>
      <c r="D183" s="600" t="s">
        <v>2790</v>
      </c>
      <c r="E183" s="600" t="s">
        <v>2742</v>
      </c>
      <c r="F183" s="600" t="s">
        <v>2793</v>
      </c>
      <c r="G183" s="600" t="s">
        <v>1390</v>
      </c>
      <c r="H183" s="600" t="s">
        <v>2744</v>
      </c>
      <c r="I183" s="600" t="s">
        <v>2745</v>
      </c>
      <c r="J183" s="1967">
        <v>76</v>
      </c>
      <c r="K183" s="1967">
        <v>90</v>
      </c>
      <c r="L183" s="600" t="s">
        <v>2749</v>
      </c>
      <c r="M183" s="1967">
        <v>320</v>
      </c>
      <c r="N183" s="600" t="s">
        <v>534</v>
      </c>
    </row>
    <row r="184" spans="2:14" x14ac:dyDescent="0.35">
      <c r="B184" s="600" t="s">
        <v>2794</v>
      </c>
      <c r="C184" s="600" t="s">
        <v>2795</v>
      </c>
      <c r="D184" s="600" t="s">
        <v>2796</v>
      </c>
      <c r="E184" s="600" t="s">
        <v>2742</v>
      </c>
      <c r="F184" s="600" t="s">
        <v>2797</v>
      </c>
      <c r="G184" s="600" t="s">
        <v>1390</v>
      </c>
      <c r="H184" s="600" t="s">
        <v>2744</v>
      </c>
      <c r="I184" s="600" t="s">
        <v>2745</v>
      </c>
      <c r="J184" s="1967">
        <v>100</v>
      </c>
      <c r="K184" s="1967">
        <v>96</v>
      </c>
      <c r="L184" s="600" t="s">
        <v>2746</v>
      </c>
      <c r="M184" s="1967">
        <v>430</v>
      </c>
      <c r="N184" s="600" t="s">
        <v>534</v>
      </c>
    </row>
    <row r="185" spans="2:14" x14ac:dyDescent="0.35">
      <c r="B185" s="600" t="s">
        <v>2798</v>
      </c>
      <c r="C185" s="600" t="s">
        <v>2795</v>
      </c>
      <c r="D185" s="600" t="s">
        <v>2796</v>
      </c>
      <c r="E185" s="600" t="s">
        <v>2742</v>
      </c>
      <c r="F185" s="600" t="s">
        <v>2799</v>
      </c>
      <c r="G185" s="600" t="s">
        <v>1390</v>
      </c>
      <c r="H185" s="600" t="s">
        <v>2744</v>
      </c>
      <c r="I185" s="600" t="s">
        <v>2745</v>
      </c>
      <c r="J185" s="1967">
        <v>76</v>
      </c>
      <c r="K185" s="1967">
        <v>90</v>
      </c>
      <c r="L185" s="600" t="s">
        <v>2749</v>
      </c>
      <c r="M185" s="1967">
        <v>320</v>
      </c>
      <c r="N185" s="600" t="s">
        <v>534</v>
      </c>
    </row>
    <row r="186" spans="2:14" x14ac:dyDescent="0.35">
      <c r="B186" s="600" t="s">
        <v>2800</v>
      </c>
      <c r="C186" s="600" t="s">
        <v>2795</v>
      </c>
      <c r="D186" s="600" t="s">
        <v>2796</v>
      </c>
      <c r="E186" s="600" t="s">
        <v>2742</v>
      </c>
      <c r="F186" s="600" t="s">
        <v>2801</v>
      </c>
      <c r="G186" s="600" t="s">
        <v>1390</v>
      </c>
      <c r="H186" s="600" t="s">
        <v>2744</v>
      </c>
      <c r="I186" s="600" t="s">
        <v>2745</v>
      </c>
      <c r="J186" s="1967">
        <v>100</v>
      </c>
      <c r="K186" s="1967">
        <v>96</v>
      </c>
      <c r="L186" s="600" t="s">
        <v>2746</v>
      </c>
      <c r="M186" s="1967">
        <v>430</v>
      </c>
      <c r="N186" s="600" t="s">
        <v>534</v>
      </c>
    </row>
    <row r="187" spans="2:14" x14ac:dyDescent="0.35">
      <c r="B187" s="600" t="s">
        <v>2802</v>
      </c>
      <c r="C187" s="600" t="s">
        <v>2795</v>
      </c>
      <c r="D187" s="600" t="s">
        <v>2796</v>
      </c>
      <c r="E187" s="600" t="s">
        <v>2742</v>
      </c>
      <c r="F187" s="600" t="s">
        <v>2803</v>
      </c>
      <c r="G187" s="600" t="s">
        <v>1390</v>
      </c>
      <c r="H187" s="600" t="s">
        <v>2744</v>
      </c>
      <c r="I187" s="600" t="s">
        <v>2745</v>
      </c>
      <c r="J187" s="1967">
        <v>76</v>
      </c>
      <c r="K187" s="1967">
        <v>90</v>
      </c>
      <c r="L187" s="600" t="s">
        <v>2749</v>
      </c>
      <c r="M187" s="1967">
        <v>320</v>
      </c>
      <c r="N187" s="600" t="s">
        <v>534</v>
      </c>
    </row>
    <row r="188" spans="2:14" x14ac:dyDescent="0.35">
      <c r="B188" s="600" t="s">
        <v>2804</v>
      </c>
      <c r="C188" s="600" t="s">
        <v>2805</v>
      </c>
      <c r="D188" s="600" t="s">
        <v>2806</v>
      </c>
      <c r="E188" s="600" t="s">
        <v>2742</v>
      </c>
      <c r="F188" s="600" t="s">
        <v>2807</v>
      </c>
      <c r="G188" s="600" t="s">
        <v>1390</v>
      </c>
      <c r="H188" s="600" t="s">
        <v>2744</v>
      </c>
      <c r="I188" s="600" t="s">
        <v>2745</v>
      </c>
      <c r="J188" s="1967">
        <v>100</v>
      </c>
      <c r="K188" s="1967">
        <v>96</v>
      </c>
      <c r="L188" s="600" t="s">
        <v>2746</v>
      </c>
      <c r="M188" s="1967">
        <v>430</v>
      </c>
      <c r="N188" s="600" t="s">
        <v>534</v>
      </c>
    </row>
    <row r="189" spans="2:14" x14ac:dyDescent="0.35">
      <c r="B189" s="600" t="s">
        <v>2808</v>
      </c>
      <c r="C189" s="600" t="s">
        <v>2805</v>
      </c>
      <c r="D189" s="600" t="s">
        <v>2806</v>
      </c>
      <c r="E189" s="600" t="s">
        <v>2742</v>
      </c>
      <c r="F189" s="600" t="s">
        <v>2809</v>
      </c>
      <c r="G189" s="600" t="s">
        <v>1390</v>
      </c>
      <c r="H189" s="600" t="s">
        <v>2744</v>
      </c>
      <c r="I189" s="600" t="s">
        <v>2745</v>
      </c>
      <c r="J189" s="1967">
        <v>76</v>
      </c>
      <c r="K189" s="1967">
        <v>90</v>
      </c>
      <c r="L189" s="600" t="s">
        <v>2749</v>
      </c>
      <c r="M189" s="1967">
        <v>320</v>
      </c>
      <c r="N189" s="600" t="s">
        <v>534</v>
      </c>
    </row>
    <row r="190" spans="2:14" x14ac:dyDescent="0.35">
      <c r="B190" s="600" t="s">
        <v>2810</v>
      </c>
      <c r="C190" s="600" t="s">
        <v>2805</v>
      </c>
      <c r="D190" s="600" t="s">
        <v>2806</v>
      </c>
      <c r="E190" s="600" t="s">
        <v>2742</v>
      </c>
      <c r="F190" s="600" t="s">
        <v>2811</v>
      </c>
      <c r="G190" s="600" t="s">
        <v>1390</v>
      </c>
      <c r="H190" s="600" t="s">
        <v>2744</v>
      </c>
      <c r="I190" s="600" t="s">
        <v>2745</v>
      </c>
      <c r="J190" s="1967">
        <v>100</v>
      </c>
      <c r="K190" s="1967">
        <v>96</v>
      </c>
      <c r="L190" s="600" t="s">
        <v>2746</v>
      </c>
      <c r="M190" s="1967">
        <v>430</v>
      </c>
      <c r="N190" s="600" t="s">
        <v>534</v>
      </c>
    </row>
  </sheetData>
  <mergeCells count="6">
    <mergeCell ref="G8:O9"/>
    <mergeCell ref="B32:C32"/>
    <mergeCell ref="B74:D74"/>
    <mergeCell ref="C81:D81"/>
    <mergeCell ref="E81:G81"/>
    <mergeCell ref="H81:J81"/>
  </mergeCells>
  <pageMargins left="0.7" right="0.7" top="0.75" bottom="0.75" header="0.3" footer="0.3"/>
  <pageSetup scale="21" orientation="portrait" r:id="rId1"/>
  <headerFooter>
    <oddHeader>&amp;LAppendix G (Rev.)</oddHead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DO457"/>
  <sheetViews>
    <sheetView topLeftCell="A2" workbookViewId="0"/>
  </sheetViews>
  <sheetFormatPr defaultColWidth="9.1796875" defaultRowHeight="11.5" x14ac:dyDescent="0.25"/>
  <cols>
    <col min="1" max="1" width="75" style="1969" customWidth="1"/>
    <col min="2" max="2" width="18.81640625" style="1969" customWidth="1"/>
    <col min="3" max="4" width="17.26953125" style="1970" customWidth="1"/>
    <col min="5" max="5" width="12.54296875" style="1970" customWidth="1"/>
    <col min="6" max="6" width="11.1796875" style="1970" customWidth="1"/>
    <col min="7" max="7" width="11.7265625" style="1971" customWidth="1"/>
    <col min="8" max="8" width="11.81640625" style="1971" customWidth="1"/>
    <col min="9" max="9" width="10.7265625" style="1970" customWidth="1"/>
    <col min="10" max="10" width="11.54296875" style="1971" customWidth="1"/>
    <col min="11" max="16" width="17.26953125" style="1972" customWidth="1"/>
    <col min="17" max="20" width="17.26953125" style="1970" customWidth="1"/>
    <col min="21" max="24" width="17.26953125" style="1972" customWidth="1"/>
    <col min="25" max="28" width="17.26953125" style="1971" customWidth="1"/>
    <col min="29" max="32" width="17.26953125" style="1972" customWidth="1"/>
    <col min="33" max="33" width="17.26953125" style="1970" customWidth="1"/>
    <col min="34" max="36" width="17.26953125" style="1971" customWidth="1"/>
    <col min="37" max="37" width="7.453125" style="1970" customWidth="1"/>
    <col min="38" max="39" width="7.81640625" style="1971" customWidth="1"/>
    <col min="40" max="40" width="8.81640625" style="1971" customWidth="1"/>
    <col min="41" max="41" width="17.26953125" style="1970" customWidth="1"/>
    <col min="42" max="45" width="17.26953125" style="1971" customWidth="1"/>
    <col min="46" max="46" width="20.1796875" style="1970" customWidth="1"/>
    <col min="47" max="49" width="17.26953125" style="1971" customWidth="1"/>
    <col min="50" max="50" width="14.81640625" style="1973" customWidth="1"/>
    <col min="51" max="51" width="16" style="1973" customWidth="1"/>
    <col min="52" max="52" width="13.453125" style="1973" customWidth="1"/>
    <col min="53" max="57" width="12.26953125" style="1973" customWidth="1"/>
    <col min="58" max="61" width="14.453125" style="1973" customWidth="1"/>
    <col min="62" max="62" width="14.54296875" style="1973" customWidth="1"/>
    <col min="63" max="65" width="13.453125" style="1973" customWidth="1"/>
    <col min="66" max="66" width="15.26953125" style="1973" customWidth="1"/>
    <col min="67" max="70" width="12.26953125" style="1973" customWidth="1"/>
    <col min="71" max="71" width="12.453125" style="1973" customWidth="1"/>
    <col min="72" max="75" width="13.54296875" style="1973" customWidth="1"/>
    <col min="76" max="79" width="12" style="1973" customWidth="1"/>
    <col min="80" max="80" width="13" style="1973" customWidth="1"/>
    <col min="81" max="81" width="13.54296875" style="1973" customWidth="1"/>
    <col min="82" max="82" width="13.81640625" style="1973" customWidth="1"/>
    <col min="83" max="84" width="12" style="1973" customWidth="1"/>
    <col min="85" max="85" width="12.1796875" style="1973" customWidth="1"/>
    <col min="86" max="90" width="9.1796875" style="1973" customWidth="1"/>
    <col min="91" max="91" width="12" style="1973" customWidth="1"/>
    <col min="92" max="93" width="9.1796875" style="1973" customWidth="1"/>
    <col min="94" max="95" width="11" style="1973" customWidth="1"/>
    <col min="96" max="96" width="10" style="1973" customWidth="1"/>
    <col min="97" max="97" width="13.26953125" style="1973" customWidth="1"/>
    <col min="98" max="98" width="10" style="1973" customWidth="1"/>
    <col min="99" max="99" width="13.54296875" style="1973" customWidth="1"/>
    <col min="100" max="100" width="13.453125" style="1975" customWidth="1"/>
    <col min="101" max="102" width="13.54296875" style="1975" customWidth="1"/>
    <col min="103" max="103" width="10.54296875" style="1975" customWidth="1"/>
    <col min="104" max="105" width="11.54296875" style="1975" customWidth="1"/>
    <col min="106" max="107" width="9.1796875" style="1973"/>
    <col min="108" max="111" width="13.54296875" style="1973" bestFit="1" customWidth="1"/>
    <col min="112" max="115" width="9.26953125" style="1973" bestFit="1" customWidth="1"/>
    <col min="116" max="119" width="11" style="1973" bestFit="1" customWidth="1"/>
    <col min="120" max="16384" width="9.1796875" style="1973"/>
  </cols>
  <sheetData>
    <row r="1" spans="1:106" ht="24" hidden="1" customHeight="1" x14ac:dyDescent="0.25">
      <c r="A1" s="2179"/>
    </row>
    <row r="2" spans="1:106" s="1988" customFormat="1" ht="48" customHeight="1" x14ac:dyDescent="0.25">
      <c r="A2" s="2180"/>
      <c r="B2" s="1979" t="s">
        <v>2812</v>
      </c>
      <c r="C2" s="1990" t="s">
        <v>60</v>
      </c>
      <c r="D2" s="1990" t="s">
        <v>593</v>
      </c>
      <c r="E2" s="1980" t="s">
        <v>61</v>
      </c>
      <c r="F2" s="1980" t="s">
        <v>3013</v>
      </c>
      <c r="G2" s="1981" t="s">
        <v>62</v>
      </c>
      <c r="H2" s="1981" t="s">
        <v>3014</v>
      </c>
      <c r="I2" s="1980" t="s">
        <v>63</v>
      </c>
      <c r="J2" s="1980" t="s">
        <v>3015</v>
      </c>
      <c r="K2" s="1983" t="s">
        <v>2813</v>
      </c>
      <c r="L2" s="1983" t="s">
        <v>2814</v>
      </c>
      <c r="M2" s="2938" t="s">
        <v>66</v>
      </c>
      <c r="N2" s="2939"/>
      <c r="O2" s="2939"/>
      <c r="P2" s="2940"/>
      <c r="Q2" s="2935" t="s">
        <v>67</v>
      </c>
      <c r="R2" s="2936"/>
      <c r="S2" s="2936"/>
      <c r="T2" s="2937"/>
      <c r="U2" s="2938" t="s">
        <v>68</v>
      </c>
      <c r="V2" s="2939"/>
      <c r="W2" s="2939"/>
      <c r="X2" s="2940"/>
      <c r="Y2" s="2941" t="s">
        <v>69</v>
      </c>
      <c r="Z2" s="2942"/>
      <c r="AA2" s="2942"/>
      <c r="AB2" s="2943"/>
      <c r="AC2" s="2938" t="s">
        <v>70</v>
      </c>
      <c r="AD2" s="2939"/>
      <c r="AE2" s="2939"/>
      <c r="AF2" s="2940"/>
      <c r="AG2" s="2935" t="s">
        <v>71</v>
      </c>
      <c r="AH2" s="2936"/>
      <c r="AI2" s="2936"/>
      <c r="AJ2" s="2937"/>
      <c r="AK2" s="3174" t="s">
        <v>72</v>
      </c>
      <c r="AL2" s="3175"/>
      <c r="AM2" s="3175"/>
      <c r="AN2" s="3176"/>
      <c r="AO2" s="2935" t="s">
        <v>73</v>
      </c>
      <c r="AP2" s="2936"/>
      <c r="AQ2" s="2936"/>
      <c r="AR2" s="2936"/>
      <c r="AS2" s="2937"/>
      <c r="AT2" s="2935" t="s">
        <v>74</v>
      </c>
      <c r="AU2" s="2936"/>
      <c r="AV2" s="2936"/>
      <c r="AW2" s="2937"/>
      <c r="AX2" s="2953" t="s">
        <v>2240</v>
      </c>
      <c r="AY2" s="2954"/>
      <c r="AZ2" s="2954"/>
      <c r="BA2" s="2955"/>
      <c r="BB2" s="2956" t="s">
        <v>2241</v>
      </c>
      <c r="BC2" s="2957"/>
      <c r="BD2" s="2957"/>
      <c r="BE2" s="2958"/>
      <c r="BF2" s="2953" t="s">
        <v>377</v>
      </c>
      <c r="BG2" s="2954"/>
      <c r="BH2" s="2954"/>
      <c r="BI2" s="2955"/>
      <c r="BJ2" s="2952" t="s">
        <v>1371</v>
      </c>
      <c r="BK2" s="2952"/>
      <c r="BL2" s="2952"/>
      <c r="BM2" s="2952"/>
      <c r="BN2" s="2952"/>
      <c r="BO2" s="2952" t="s">
        <v>1372</v>
      </c>
      <c r="BP2" s="2952"/>
      <c r="BQ2" s="2952"/>
      <c r="BR2" s="2952"/>
      <c r="BS2" s="2952"/>
      <c r="BT2" s="3172" t="s">
        <v>2815</v>
      </c>
      <c r="BU2" s="3172"/>
      <c r="BV2" s="3172"/>
      <c r="BW2" s="3172"/>
      <c r="BX2" s="3172" t="s">
        <v>2816</v>
      </c>
      <c r="BY2" s="3172"/>
      <c r="BZ2" s="3172"/>
      <c r="CA2" s="3172"/>
      <c r="CB2" s="3172" t="s">
        <v>2817</v>
      </c>
      <c r="CC2" s="3172"/>
      <c r="CD2" s="3172"/>
      <c r="CE2" s="3172" t="s">
        <v>2818</v>
      </c>
      <c r="CF2" s="3172"/>
      <c r="CG2" s="3173"/>
      <c r="CH2" s="2181" t="s">
        <v>2819</v>
      </c>
      <c r="CI2" s="2181" t="s">
        <v>2820</v>
      </c>
      <c r="CJ2" s="2181" t="s">
        <v>2821</v>
      </c>
      <c r="CK2" s="2181" t="s">
        <v>2822</v>
      </c>
      <c r="CL2" s="2181" t="s">
        <v>2823</v>
      </c>
      <c r="CM2" s="1985" t="s">
        <v>2824</v>
      </c>
      <c r="CN2" s="1985" t="s">
        <v>2825</v>
      </c>
      <c r="CO2" s="1985" t="s">
        <v>2826</v>
      </c>
      <c r="CP2" s="1988" t="s">
        <v>2829</v>
      </c>
      <c r="CR2" s="1988" t="s">
        <v>2830</v>
      </c>
      <c r="CS2" s="2667" t="s">
        <v>2830</v>
      </c>
      <c r="CT2" s="2667" t="s">
        <v>2830</v>
      </c>
      <c r="CU2" s="1988" t="s">
        <v>2830</v>
      </c>
      <c r="CV2" s="3170" t="s">
        <v>2831</v>
      </c>
      <c r="CW2" s="3170"/>
      <c r="CX2" s="3170"/>
      <c r="CY2" s="3170" t="s">
        <v>2832</v>
      </c>
      <c r="CZ2" s="3170"/>
      <c r="DA2" s="3171"/>
      <c r="DB2" s="1988" t="s">
        <v>2833</v>
      </c>
    </row>
    <row r="3" spans="1:106" s="2000" customFormat="1" ht="23" x14ac:dyDescent="0.25">
      <c r="A3" s="1992"/>
      <c r="B3" s="1993"/>
      <c r="C3" s="1993"/>
      <c r="D3" s="1993"/>
      <c r="E3" s="1993"/>
      <c r="F3" s="1993"/>
      <c r="G3" s="1994"/>
      <c r="H3" s="1994"/>
      <c r="I3" s="1979"/>
      <c r="J3" s="1993"/>
      <c r="K3" s="1995"/>
      <c r="L3" s="1995"/>
      <c r="M3" s="1993" t="s">
        <v>2841</v>
      </c>
      <c r="N3" s="1993" t="s">
        <v>2842</v>
      </c>
      <c r="O3" s="1993" t="s">
        <v>2843</v>
      </c>
      <c r="P3" s="1993" t="s">
        <v>2844</v>
      </c>
      <c r="Q3" s="1993" t="s">
        <v>2841</v>
      </c>
      <c r="R3" s="1993" t="s">
        <v>2842</v>
      </c>
      <c r="S3" s="1993" t="s">
        <v>2843</v>
      </c>
      <c r="T3" s="1993" t="s">
        <v>2844</v>
      </c>
      <c r="U3" s="1993" t="s">
        <v>2841</v>
      </c>
      <c r="V3" s="1993" t="s">
        <v>2842</v>
      </c>
      <c r="W3" s="1993" t="s">
        <v>2843</v>
      </c>
      <c r="X3" s="1993" t="s">
        <v>2844</v>
      </c>
      <c r="Y3" s="1993" t="s">
        <v>2841</v>
      </c>
      <c r="Z3" s="1993" t="s">
        <v>2842</v>
      </c>
      <c r="AA3" s="1993" t="s">
        <v>2843</v>
      </c>
      <c r="AB3" s="1993" t="s">
        <v>2844</v>
      </c>
      <c r="AC3" s="1993" t="s">
        <v>2841</v>
      </c>
      <c r="AD3" s="1993" t="s">
        <v>2842</v>
      </c>
      <c r="AE3" s="1993" t="s">
        <v>2843</v>
      </c>
      <c r="AF3" s="1993" t="s">
        <v>2844</v>
      </c>
      <c r="AG3" s="1993" t="s">
        <v>2841</v>
      </c>
      <c r="AH3" s="1993" t="s">
        <v>2842</v>
      </c>
      <c r="AI3" s="1993" t="s">
        <v>2843</v>
      </c>
      <c r="AJ3" s="1993" t="s">
        <v>2844</v>
      </c>
      <c r="AK3" s="1993" t="s">
        <v>2841</v>
      </c>
      <c r="AL3" s="1993" t="s">
        <v>2842</v>
      </c>
      <c r="AM3" s="1993" t="s">
        <v>2843</v>
      </c>
      <c r="AN3" s="1993" t="s">
        <v>2844</v>
      </c>
      <c r="AO3" s="1993" t="s">
        <v>2841</v>
      </c>
      <c r="AP3" s="1993" t="s">
        <v>2842</v>
      </c>
      <c r="AQ3" s="1993" t="s">
        <v>2843</v>
      </c>
      <c r="AR3" s="1993"/>
      <c r="AS3" s="1993" t="s">
        <v>2844</v>
      </c>
      <c r="AT3" s="1993" t="s">
        <v>2841</v>
      </c>
      <c r="AU3" s="1993" t="s">
        <v>2842</v>
      </c>
      <c r="AV3" s="1993" t="s">
        <v>2843</v>
      </c>
      <c r="AW3" s="1993" t="s">
        <v>2844</v>
      </c>
      <c r="AX3" s="1993" t="s">
        <v>2841</v>
      </c>
      <c r="AY3" s="1993" t="s">
        <v>2842</v>
      </c>
      <c r="AZ3" s="1993" t="s">
        <v>2843</v>
      </c>
      <c r="BA3" s="1993" t="s">
        <v>2844</v>
      </c>
      <c r="BB3" s="1993" t="s">
        <v>2841</v>
      </c>
      <c r="BC3" s="1993" t="s">
        <v>2842</v>
      </c>
      <c r="BD3" s="1993" t="s">
        <v>2843</v>
      </c>
      <c r="BE3" s="1993" t="s">
        <v>2844</v>
      </c>
      <c r="BF3" s="1993" t="s">
        <v>2841</v>
      </c>
      <c r="BG3" s="1993" t="s">
        <v>2842</v>
      </c>
      <c r="BH3" s="1993" t="s">
        <v>2843</v>
      </c>
      <c r="BI3" s="1993" t="s">
        <v>2844</v>
      </c>
      <c r="BJ3" s="1993" t="s">
        <v>2841</v>
      </c>
      <c r="BK3" s="1993" t="s">
        <v>2842</v>
      </c>
      <c r="BL3" s="1993" t="s">
        <v>2843</v>
      </c>
      <c r="BM3" s="1993"/>
      <c r="BN3" s="1993" t="s">
        <v>2844</v>
      </c>
      <c r="BO3" s="1993" t="s">
        <v>2841</v>
      </c>
      <c r="BP3" s="1993"/>
      <c r="BQ3" s="1993" t="s">
        <v>2842</v>
      </c>
      <c r="BR3" s="1993" t="s">
        <v>2843</v>
      </c>
      <c r="BS3" s="1993" t="s">
        <v>2844</v>
      </c>
      <c r="BT3" s="1993" t="s">
        <v>2841</v>
      </c>
      <c r="BU3" s="1993" t="s">
        <v>2842</v>
      </c>
      <c r="BV3" s="1993" t="s">
        <v>2843</v>
      </c>
      <c r="BW3" s="1993" t="s">
        <v>2844</v>
      </c>
      <c r="BX3" s="1993" t="s">
        <v>2841</v>
      </c>
      <c r="BY3" s="1993" t="s">
        <v>2842</v>
      </c>
      <c r="BZ3" s="1993" t="s">
        <v>2843</v>
      </c>
      <c r="CA3" s="1993" t="s">
        <v>2844</v>
      </c>
      <c r="CB3" s="1996" t="s">
        <v>2845</v>
      </c>
      <c r="CC3" s="1996" t="s">
        <v>2846</v>
      </c>
      <c r="CD3" s="1996" t="s">
        <v>2847</v>
      </c>
      <c r="CE3" s="1996" t="s">
        <v>2848</v>
      </c>
      <c r="CF3" s="1996" t="s">
        <v>2849</v>
      </c>
      <c r="CG3" s="1997" t="s">
        <v>2850</v>
      </c>
      <c r="CH3" s="1996"/>
      <c r="CI3" s="1996"/>
      <c r="CJ3" s="1996"/>
      <c r="CK3" s="1996"/>
      <c r="CL3" s="1996"/>
      <c r="CM3" s="1996"/>
      <c r="CN3" s="1996"/>
      <c r="CO3" s="1996"/>
      <c r="CR3" s="2000" t="s">
        <v>2841</v>
      </c>
      <c r="CS3" s="2668" t="s">
        <v>2842</v>
      </c>
      <c r="CT3" s="2668" t="s">
        <v>3544</v>
      </c>
      <c r="CU3" s="1991" t="s">
        <v>2852</v>
      </c>
      <c r="CV3" s="1999" t="s">
        <v>2845</v>
      </c>
      <c r="CW3" s="1999" t="s">
        <v>2846</v>
      </c>
      <c r="CX3" s="1999" t="s">
        <v>2847</v>
      </c>
      <c r="CY3" s="1999" t="s">
        <v>2848</v>
      </c>
      <c r="CZ3" s="1999" t="s">
        <v>2849</v>
      </c>
      <c r="DA3" s="1999" t="s">
        <v>2850</v>
      </c>
    </row>
    <row r="4" spans="1:106" x14ac:dyDescent="0.25">
      <c r="A4" s="2004"/>
      <c r="B4" s="2004"/>
      <c r="C4" s="2005"/>
      <c r="D4" s="2005"/>
      <c r="E4" s="2005"/>
      <c r="F4" s="2005"/>
      <c r="G4" s="2006"/>
      <c r="H4" s="2006"/>
      <c r="I4" s="2005"/>
      <c r="J4" s="2006"/>
      <c r="K4" s="2007"/>
      <c r="L4" s="2007"/>
      <c r="M4" s="2007"/>
      <c r="N4" s="2007"/>
      <c r="O4" s="2007"/>
      <c r="P4" s="2007"/>
      <c r="Q4" s="2005"/>
      <c r="R4" s="2005"/>
      <c r="S4" s="2005"/>
      <c r="T4" s="2005"/>
      <c r="U4" s="2007"/>
      <c r="V4" s="2007"/>
      <c r="W4" s="2007"/>
      <c r="X4" s="2007"/>
      <c r="Y4" s="2006"/>
      <c r="Z4" s="2006"/>
      <c r="AA4" s="2006"/>
      <c r="AB4" s="2006"/>
      <c r="AC4" s="2007"/>
      <c r="AD4" s="2007"/>
      <c r="AE4" s="2007"/>
      <c r="AF4" s="2007"/>
      <c r="AG4" s="2005"/>
      <c r="AH4" s="2006"/>
      <c r="AI4" s="2006"/>
      <c r="AJ4" s="2006"/>
      <c r="AK4" s="2005"/>
      <c r="AL4" s="2006"/>
      <c r="AM4" s="2006"/>
      <c r="AN4" s="2006"/>
      <c r="AO4" s="2005"/>
      <c r="AP4" s="2006"/>
      <c r="AQ4" s="2006"/>
      <c r="AR4" s="2006"/>
      <c r="AS4" s="2006"/>
      <c r="AT4" s="2005"/>
      <c r="AU4" s="2006"/>
      <c r="AV4" s="2006"/>
      <c r="AW4" s="2006"/>
      <c r="BT4" s="2008"/>
      <c r="BU4" s="2008"/>
      <c r="BV4" s="2008"/>
      <c r="BW4" s="2008"/>
      <c r="BX4" s="2008"/>
      <c r="BY4" s="2008"/>
      <c r="BZ4" s="2008"/>
      <c r="CA4" s="2008"/>
      <c r="CH4" s="1974"/>
      <c r="CI4" s="1974"/>
      <c r="CJ4" s="1974"/>
      <c r="CK4" s="1974"/>
      <c r="CL4" s="1974"/>
      <c r="CM4" s="1974"/>
      <c r="CN4" s="1974"/>
      <c r="CO4" s="1974"/>
      <c r="CR4" s="2182">
        <v>43101</v>
      </c>
      <c r="CS4" s="2182">
        <v>43466</v>
      </c>
      <c r="CT4" s="2182">
        <v>43831</v>
      </c>
      <c r="CU4" s="2182">
        <v>44197</v>
      </c>
    </row>
    <row r="5" spans="1:106" x14ac:dyDescent="0.25">
      <c r="A5" s="2183" t="s">
        <v>817</v>
      </c>
      <c r="B5" s="2012"/>
      <c r="C5" s="2013"/>
      <c r="D5" s="2013"/>
      <c r="E5" s="2013"/>
      <c r="F5" s="2013"/>
      <c r="G5" s="2014"/>
      <c r="H5" s="2014"/>
      <c r="I5" s="2013"/>
      <c r="J5" s="2016"/>
      <c r="K5" s="2015"/>
      <c r="L5" s="2015"/>
      <c r="M5" s="2015"/>
      <c r="N5" s="2015"/>
      <c r="O5" s="2015"/>
      <c r="P5" s="2015"/>
      <c r="Q5" s="2016"/>
      <c r="R5" s="2016"/>
      <c r="S5" s="2016"/>
      <c r="T5" s="2016"/>
      <c r="U5" s="2015"/>
      <c r="V5" s="2015"/>
      <c r="W5" s="2015"/>
      <c r="X5" s="2015"/>
      <c r="Y5" s="2016"/>
      <c r="Z5" s="2016"/>
      <c r="AA5" s="2016"/>
      <c r="AB5" s="2016"/>
      <c r="AC5" s="2015"/>
      <c r="AD5" s="2015"/>
      <c r="AE5" s="2015"/>
      <c r="AF5" s="2015"/>
      <c r="AG5" s="2016"/>
      <c r="AH5" s="2016"/>
      <c r="AI5" s="2016"/>
      <c r="AJ5" s="2016"/>
      <c r="AK5" s="2016"/>
      <c r="AL5" s="2016"/>
      <c r="AM5" s="2016"/>
      <c r="AN5" s="2016"/>
      <c r="AO5" s="2017">
        <f t="shared" ref="AO5:AW5" si="0">SUMIF(AO6:AO198,"&gt;0")+SUMIF(AO225:AO247,"&gt;0")</f>
        <v>104104948.07908937</v>
      </c>
      <c r="AP5" s="2184">
        <f>SUMIF(AP6:AP198,"&gt;0")+SUMIF(AP225:AP247,"&gt;0")</f>
        <v>106010243.32499205</v>
      </c>
      <c r="AQ5" s="2017">
        <f t="shared" si="0"/>
        <v>101079944.95910417</v>
      </c>
      <c r="AR5" s="2017"/>
      <c r="AS5" s="2017">
        <f t="shared" si="0"/>
        <v>98983437.218869835</v>
      </c>
      <c r="AT5" s="2017">
        <f t="shared" si="0"/>
        <v>1112932.9423855643</v>
      </c>
      <c r="AU5" s="2017">
        <f t="shared" si="0"/>
        <v>1055590.9152618526</v>
      </c>
      <c r="AV5" s="2017">
        <f t="shared" si="0"/>
        <v>422754.87348504062</v>
      </c>
      <c r="AW5" s="2017">
        <f t="shared" si="0"/>
        <v>397405.10546636162</v>
      </c>
      <c r="AX5" s="2018"/>
      <c r="AY5" s="2018"/>
      <c r="AZ5" s="2018"/>
      <c r="BA5" s="2018"/>
      <c r="BB5" s="2018"/>
      <c r="BC5" s="2018"/>
      <c r="BD5" s="2018"/>
      <c r="BE5" s="2018"/>
      <c r="BF5" s="2018"/>
      <c r="BG5" s="2018"/>
      <c r="BH5" s="2018"/>
      <c r="BI5" s="2018"/>
      <c r="BJ5" s="2019">
        <f t="shared" ref="BJ5:BS5" si="1">SUM(BJ6:BJ198)+SUM(BJ225:BJ247)</f>
        <v>10776409.190103143</v>
      </c>
      <c r="BK5" s="2019">
        <f t="shared" si="1"/>
        <v>11017045.938900113</v>
      </c>
      <c r="BL5" s="2019">
        <f>SUM(BL6:BL198)+SUM(BL225:BL247)</f>
        <v>10968596.698740639</v>
      </c>
      <c r="BM5" s="2019"/>
      <c r="BN5" s="2019">
        <f t="shared" si="1"/>
        <v>10767456.099598009</v>
      </c>
      <c r="BO5" s="2019">
        <f t="shared" si="1"/>
        <v>961943.47269230778</v>
      </c>
      <c r="BP5" s="2019"/>
      <c r="BQ5" s="2019">
        <f t="shared" si="1"/>
        <v>935636.43576923083</v>
      </c>
      <c r="BR5" s="2019">
        <f t="shared" si="1"/>
        <v>822393.83884615381</v>
      </c>
      <c r="BS5" s="2019">
        <f t="shared" si="1"/>
        <v>820968.23884615395</v>
      </c>
      <c r="BT5" s="2019">
        <v>6628415.4690233814</v>
      </c>
      <c r="BU5" s="2019">
        <v>6568908.9145536143</v>
      </c>
      <c r="BV5" s="2019">
        <v>6536928.0597487204</v>
      </c>
      <c r="BW5" s="2019">
        <v>6523739.3695877073</v>
      </c>
      <c r="BX5" s="2019">
        <v>276183.97787597403</v>
      </c>
      <c r="BY5" s="2019">
        <v>273704.53810640052</v>
      </c>
      <c r="BZ5" s="2019">
        <v>272372.00248953048</v>
      </c>
      <c r="CA5" s="2019">
        <v>271822.47373282164</v>
      </c>
      <c r="CB5" s="2019"/>
      <c r="CC5" s="2019"/>
      <c r="CD5" s="2019"/>
      <c r="CE5" s="2019"/>
      <c r="CF5" s="2019"/>
      <c r="CG5" s="2019"/>
      <c r="CH5" s="1974"/>
      <c r="CI5" s="1974"/>
      <c r="CJ5" s="1974"/>
      <c r="CK5" s="1974"/>
      <c r="CL5" s="1974"/>
      <c r="CM5" s="1974"/>
      <c r="CN5" s="1974"/>
      <c r="CO5" s="1974"/>
      <c r="CV5" s="2020"/>
      <c r="CW5" s="2020"/>
      <c r="CX5" s="2020"/>
      <c r="CY5" s="2020"/>
      <c r="CZ5" s="2020"/>
      <c r="DA5" s="2020"/>
    </row>
    <row r="6" spans="1:106" x14ac:dyDescent="0.25">
      <c r="A6" s="2185" t="s">
        <v>82</v>
      </c>
      <c r="B6" s="2022" t="s">
        <v>2854</v>
      </c>
      <c r="C6" s="2023">
        <v>15</v>
      </c>
      <c r="D6" s="2023">
        <v>0</v>
      </c>
      <c r="E6" s="2024">
        <v>1014.5789357980768</v>
      </c>
      <c r="F6" s="2024"/>
      <c r="G6" s="2024">
        <v>0.20128540090850766</v>
      </c>
      <c r="H6" s="2024"/>
      <c r="I6" s="2023">
        <v>-17.789148632614037</v>
      </c>
      <c r="J6" s="2027"/>
      <c r="K6" s="2025" t="s">
        <v>4</v>
      </c>
      <c r="L6" s="2025" t="s">
        <v>4</v>
      </c>
      <c r="M6" s="2026">
        <v>0.77800000000000002</v>
      </c>
      <c r="N6" s="2026">
        <v>0.77800000000000002</v>
      </c>
      <c r="O6" s="2026">
        <v>0.77800000000000002</v>
      </c>
      <c r="P6" s="2026">
        <v>0.77800000000000002</v>
      </c>
      <c r="Q6" s="2027">
        <f>$E6*M6</f>
        <v>789.34241205090382</v>
      </c>
      <c r="R6" s="2027">
        <f>$E6*N6</f>
        <v>789.34241205090382</v>
      </c>
      <c r="S6" s="2027">
        <f>$E6*O6</f>
        <v>789.34241205090382</v>
      </c>
      <c r="T6" s="2027">
        <f>$E6*P6</f>
        <v>789.34241205090382</v>
      </c>
      <c r="U6" s="2026">
        <v>0.77800000000000002</v>
      </c>
      <c r="V6" s="2026">
        <v>0.77800000000000002</v>
      </c>
      <c r="W6" s="2026">
        <v>0.77800000000000002</v>
      </c>
      <c r="X6" s="2026">
        <v>0.77800000000000002</v>
      </c>
      <c r="Y6" s="2028">
        <f>$G6*U6</f>
        <v>0.15660004190681898</v>
      </c>
      <c r="Z6" s="2028">
        <f>$G6*V6</f>
        <v>0.15660004190681898</v>
      </c>
      <c r="AA6" s="2028">
        <f>$G6*W6</f>
        <v>0.15660004190681898</v>
      </c>
      <c r="AB6" s="2028">
        <f>$G6*X6</f>
        <v>0.15660004190681898</v>
      </c>
      <c r="AC6" s="2026">
        <v>0.77800000000000002</v>
      </c>
      <c r="AD6" s="2026">
        <v>0.77800000000000002</v>
      </c>
      <c r="AE6" s="2026">
        <v>0.77800000000000002</v>
      </c>
      <c r="AF6" s="2026">
        <v>0.77800000000000002</v>
      </c>
      <c r="AG6" s="2027">
        <f t="shared" ref="AG6:AI6" si="2">$I6*AC6</f>
        <v>-13.839957636173722</v>
      </c>
      <c r="AH6" s="2027">
        <f t="shared" si="2"/>
        <v>-13.839957636173722</v>
      </c>
      <c r="AI6" s="2027">
        <f t="shared" si="2"/>
        <v>-13.839957636173722</v>
      </c>
      <c r="AJ6" s="2027">
        <f>$I6*AF6</f>
        <v>-13.839957636173722</v>
      </c>
      <c r="AK6" s="2027">
        <v>1778</v>
      </c>
      <c r="AL6" s="2027">
        <v>1349</v>
      </c>
      <c r="AM6" s="2027">
        <v>903</v>
      </c>
      <c r="AN6" s="2027">
        <v>0</v>
      </c>
      <c r="AO6" s="2027">
        <f t="shared" ref="AO6:AO26" si="3">AK6*Q6</f>
        <v>1403450.8086265069</v>
      </c>
      <c r="AP6" s="2027">
        <f t="shared" ref="AP6:AQ37" si="4">AL6*R6*CS6</f>
        <v>1064822.9138566693</v>
      </c>
      <c r="AQ6" s="2027">
        <f t="shared" si="4"/>
        <v>712776.19808196614</v>
      </c>
      <c r="AR6" s="2027"/>
      <c r="AS6" s="2027">
        <f t="shared" ref="AS6:AS69" si="5">AN6*T6*CU6</f>
        <v>0</v>
      </c>
      <c r="AT6" s="2027">
        <f t="shared" ref="AT6:AT26" si="6">AK6*AG6</f>
        <v>-24607.444677116877</v>
      </c>
      <c r="AU6" s="2027">
        <f t="shared" ref="AU6:AW26" si="7">AL6*AH6*CS6</f>
        <v>-18670.10285119835</v>
      </c>
      <c r="AV6" s="2027">
        <f t="shared" si="7"/>
        <v>-12497.481745464871</v>
      </c>
      <c r="AW6" s="2027">
        <f t="shared" si="7"/>
        <v>0</v>
      </c>
      <c r="AX6" s="2029">
        <v>48.412499999999994</v>
      </c>
      <c r="AY6" s="2029">
        <v>48.412499999999994</v>
      </c>
      <c r="AZ6" s="2029">
        <v>48.412499999999994</v>
      </c>
      <c r="BA6" s="2029">
        <v>48.412499999999994</v>
      </c>
      <c r="BB6" s="1974"/>
      <c r="BC6" s="2029">
        <v>0</v>
      </c>
      <c r="BD6" s="2029">
        <v>0</v>
      </c>
      <c r="BE6" s="2029">
        <v>0</v>
      </c>
      <c r="BF6" s="2029">
        <v>206.25</v>
      </c>
      <c r="BG6" s="2029">
        <v>206.25</v>
      </c>
      <c r="BH6" s="2029">
        <v>206.25</v>
      </c>
      <c r="BI6" s="2029">
        <v>206.25</v>
      </c>
      <c r="BJ6" s="2030">
        <f t="shared" ref="BJ6:BL37" si="8">AX6*AK6</f>
        <v>86077.424999999988</v>
      </c>
      <c r="BK6" s="2030">
        <f t="shared" si="8"/>
        <v>65308.462499999994</v>
      </c>
      <c r="BL6" s="2030">
        <f t="shared" si="8"/>
        <v>43716.487499999996</v>
      </c>
      <c r="BM6" s="2030"/>
      <c r="BN6" s="2030">
        <f t="shared" ref="BN6:BN69" si="9">BA6*AN6</f>
        <v>0</v>
      </c>
      <c r="BO6" s="2030">
        <f t="shared" ref="BO6:BO69" si="10">BB6*AK6</f>
        <v>0</v>
      </c>
      <c r="BP6" s="2030"/>
      <c r="BQ6" s="2030">
        <f t="shared" ref="BQ6:BS37" si="11">BC6*AL6</f>
        <v>0</v>
      </c>
      <c r="BR6" s="2030">
        <f t="shared" si="11"/>
        <v>0</v>
      </c>
      <c r="BS6" s="2030">
        <f t="shared" si="11"/>
        <v>0</v>
      </c>
      <c r="BT6" s="2031"/>
      <c r="BU6" s="2031"/>
      <c r="BV6" s="2031"/>
      <c r="BW6" s="2031"/>
      <c r="BX6" s="2031"/>
      <c r="BY6" s="2031"/>
      <c r="BZ6" s="2031"/>
      <c r="CA6" s="2031"/>
      <c r="CB6" s="2029"/>
      <c r="CC6" s="2029"/>
      <c r="CD6" s="2029"/>
      <c r="CE6" s="2029"/>
      <c r="CF6" s="2029"/>
      <c r="CG6" s="2032"/>
      <c r="CH6" s="1974"/>
      <c r="CI6" s="1974"/>
      <c r="CJ6" s="1974"/>
      <c r="CK6" s="1974"/>
      <c r="CL6" s="1974">
        <v>0</v>
      </c>
      <c r="CM6" s="2033">
        <v>1.2764828250096102E-2</v>
      </c>
      <c r="CN6" s="2026">
        <v>-2.152374614495714E-2</v>
      </c>
      <c r="CO6" s="1974">
        <v>1</v>
      </c>
      <c r="CP6" s="2040">
        <v>-21.886333333333333</v>
      </c>
      <c r="CQ6" s="2040"/>
      <c r="CR6" s="2062">
        <v>1</v>
      </c>
      <c r="CS6" s="2062">
        <v>1</v>
      </c>
      <c r="CT6" s="2062">
        <v>1</v>
      </c>
      <c r="CU6" s="2062">
        <v>1</v>
      </c>
      <c r="CV6" s="2036"/>
      <c r="CW6" s="2036"/>
      <c r="CX6" s="2036"/>
      <c r="CY6" s="2036"/>
      <c r="CZ6" s="2036"/>
      <c r="DA6" s="2036"/>
    </row>
    <row r="7" spans="1:106" x14ac:dyDescent="0.25">
      <c r="A7" s="2185" t="s">
        <v>83</v>
      </c>
      <c r="B7" s="2022" t="s">
        <v>2855</v>
      </c>
      <c r="C7" s="2023">
        <v>15</v>
      </c>
      <c r="D7" s="2023">
        <v>1</v>
      </c>
      <c r="E7" s="1973">
        <f>F7*$CS7</f>
        <v>123.02131949994826</v>
      </c>
      <c r="F7" s="2024">
        <v>123.02131949994826</v>
      </c>
      <c r="G7" s="1973">
        <f>H7*$CS7</f>
        <v>2.2357871076913258E-2</v>
      </c>
      <c r="H7" s="2024">
        <v>2.2357871076913258E-2</v>
      </c>
      <c r="I7" s="1973">
        <f>J7*$CS7</f>
        <v>-1.2241137551056831</v>
      </c>
      <c r="J7" s="2023">
        <v>-1.2241137551056831</v>
      </c>
      <c r="K7" s="2025" t="s">
        <v>4</v>
      </c>
      <c r="L7" s="2025" t="s">
        <v>4</v>
      </c>
      <c r="M7" s="2026">
        <v>0.77800000000000002</v>
      </c>
      <c r="N7" s="2026">
        <v>0.77800000000000002</v>
      </c>
      <c r="O7" s="2026">
        <v>0.77800000000000002</v>
      </c>
      <c r="P7" s="2026">
        <v>0.77800000000000002</v>
      </c>
      <c r="Q7" s="2027">
        <f t="shared" ref="Q7:T10" si="12">$F7*M7</f>
        <v>95.710586570959748</v>
      </c>
      <c r="R7" s="2027">
        <f t="shared" si="12"/>
        <v>95.710586570959748</v>
      </c>
      <c r="S7" s="2027">
        <f t="shared" si="12"/>
        <v>95.710586570959748</v>
      </c>
      <c r="T7" s="2027">
        <f t="shared" si="12"/>
        <v>95.710586570959748</v>
      </c>
      <c r="U7" s="2026">
        <v>0.77800000000000002</v>
      </c>
      <c r="V7" s="2026">
        <v>0.77800000000000002</v>
      </c>
      <c r="W7" s="2026">
        <v>0.77800000000000002</v>
      </c>
      <c r="X7" s="2026">
        <v>0.77800000000000002</v>
      </c>
      <c r="Y7" s="2028">
        <f t="shared" ref="Y7:AB10" si="13">$H7*U7</f>
        <v>1.7394423697838515E-2</v>
      </c>
      <c r="Z7" s="2028">
        <f t="shared" si="13"/>
        <v>1.7394423697838515E-2</v>
      </c>
      <c r="AA7" s="2028">
        <f t="shared" si="13"/>
        <v>1.7394423697838515E-2</v>
      </c>
      <c r="AB7" s="2028">
        <f t="shared" si="13"/>
        <v>1.7394423697838515E-2</v>
      </c>
      <c r="AC7" s="2026">
        <v>0.77800000000000002</v>
      </c>
      <c r="AD7" s="2026">
        <v>0.77800000000000002</v>
      </c>
      <c r="AE7" s="2026">
        <v>0.77800000000000002</v>
      </c>
      <c r="AF7" s="2026">
        <v>0.77800000000000002</v>
      </c>
      <c r="AG7" s="2027">
        <f t="shared" ref="AG7:AJ10" si="14">$J7*AC7</f>
        <v>-0.95236050147222151</v>
      </c>
      <c r="AH7" s="2027">
        <f t="shared" si="14"/>
        <v>-0.95236050147222151</v>
      </c>
      <c r="AI7" s="2027">
        <f t="shared" si="14"/>
        <v>-0.95236050147222151</v>
      </c>
      <c r="AJ7" s="2027">
        <f t="shared" si="14"/>
        <v>-0.95236050147222151</v>
      </c>
      <c r="AK7" s="2027">
        <v>100</v>
      </c>
      <c r="AL7" s="2027">
        <v>0</v>
      </c>
      <c r="AM7" s="2027">
        <v>0</v>
      </c>
      <c r="AN7" s="2027">
        <v>0</v>
      </c>
      <c r="AO7" s="2027">
        <f t="shared" si="3"/>
        <v>9571.0586570959749</v>
      </c>
      <c r="AP7" s="2027">
        <f t="shared" si="4"/>
        <v>0</v>
      </c>
      <c r="AQ7" s="2027">
        <f t="shared" si="4"/>
        <v>0</v>
      </c>
      <c r="AR7" s="2027"/>
      <c r="AS7" s="2027">
        <f t="shared" si="5"/>
        <v>0</v>
      </c>
      <c r="AT7" s="2027">
        <f t="shared" si="6"/>
        <v>-95.236050147222144</v>
      </c>
      <c r="AU7" s="2027">
        <f t="shared" si="7"/>
        <v>0</v>
      </c>
      <c r="AV7" s="2027">
        <f t="shared" si="7"/>
        <v>0</v>
      </c>
      <c r="AW7" s="2027">
        <f t="shared" si="7"/>
        <v>0</v>
      </c>
      <c r="AX7" s="2029">
        <v>6.6599999999999993</v>
      </c>
      <c r="AY7" s="2029">
        <v>6.6599999999999993</v>
      </c>
      <c r="AZ7" s="2029">
        <v>6.6599999999999993</v>
      </c>
      <c r="BA7" s="2029">
        <v>6.6599999999999993</v>
      </c>
      <c r="BB7" s="1974"/>
      <c r="BC7" s="2029">
        <v>0</v>
      </c>
      <c r="BD7" s="2029">
        <v>0</v>
      </c>
      <c r="BE7" s="2029">
        <v>0</v>
      </c>
      <c r="BF7" s="2029">
        <v>57.5</v>
      </c>
      <c r="BG7" s="2029">
        <v>57.5</v>
      </c>
      <c r="BH7" s="2029">
        <v>57.5</v>
      </c>
      <c r="BI7" s="2029">
        <v>57.5</v>
      </c>
      <c r="BJ7" s="2030">
        <f t="shared" si="8"/>
        <v>665.99999999999989</v>
      </c>
      <c r="BK7" s="2030">
        <f t="shared" si="8"/>
        <v>0</v>
      </c>
      <c r="BL7" s="2030">
        <f t="shared" si="8"/>
        <v>0</v>
      </c>
      <c r="BM7" s="2030"/>
      <c r="BN7" s="2030">
        <f t="shared" si="9"/>
        <v>0</v>
      </c>
      <c r="BO7" s="2030">
        <f t="shared" si="10"/>
        <v>0</v>
      </c>
      <c r="BP7" s="2030"/>
      <c r="BQ7" s="2030">
        <f t="shared" si="11"/>
        <v>0</v>
      </c>
      <c r="BR7" s="2030">
        <f t="shared" si="11"/>
        <v>0</v>
      </c>
      <c r="BS7" s="2030">
        <f t="shared" si="11"/>
        <v>0</v>
      </c>
      <c r="BT7" s="2031"/>
      <c r="BU7" s="2031"/>
      <c r="BV7" s="2031"/>
      <c r="BW7" s="2031"/>
      <c r="BX7" s="2031"/>
      <c r="BY7" s="2031"/>
      <c r="BZ7" s="2031"/>
      <c r="CA7" s="2031"/>
      <c r="CB7" s="2029"/>
      <c r="CC7" s="2029"/>
      <c r="CD7" s="2029"/>
      <c r="CE7" s="2029"/>
      <c r="CF7" s="2029"/>
      <c r="CG7" s="2032"/>
      <c r="CH7" s="1974"/>
      <c r="CI7" s="1974"/>
      <c r="CJ7" s="1974"/>
      <c r="CK7" s="1974"/>
      <c r="CL7" s="1974">
        <v>1</v>
      </c>
      <c r="CM7" s="2033">
        <v>3.654661053240134E-5</v>
      </c>
      <c r="CN7" s="2026">
        <v>-3.4972128497276889E-5</v>
      </c>
      <c r="CO7" s="1974">
        <v>1</v>
      </c>
      <c r="CP7" s="2040">
        <v>-0.67827777777777754</v>
      </c>
      <c r="CQ7" s="2040"/>
      <c r="CR7" s="2062">
        <v>1</v>
      </c>
      <c r="CS7" s="2062">
        <v>1</v>
      </c>
      <c r="CT7" s="2121">
        <v>0.3</v>
      </c>
      <c r="CU7" s="2121">
        <v>0.3</v>
      </c>
      <c r="CV7" s="2036"/>
      <c r="CW7" s="2036"/>
      <c r="CX7" s="2036"/>
      <c r="CY7" s="2036"/>
      <c r="CZ7" s="2036"/>
      <c r="DA7" s="2036"/>
    </row>
    <row r="8" spans="1:106" x14ac:dyDescent="0.25">
      <c r="A8" s="2185" t="s">
        <v>84</v>
      </c>
      <c r="B8" s="2022" t="s">
        <v>2856</v>
      </c>
      <c r="C8" s="2023">
        <v>15</v>
      </c>
      <c r="D8" s="2023">
        <v>1</v>
      </c>
      <c r="E8" s="1973">
        <f>F8*$CS8</f>
        <v>222.67982320186317</v>
      </c>
      <c r="F8" s="2024">
        <v>222.67982320186317</v>
      </c>
      <c r="G8" s="1973">
        <f>H8*$CS8</f>
        <v>4.5489871979223141E-2</v>
      </c>
      <c r="H8" s="2024">
        <v>4.5489871979223141E-2</v>
      </c>
      <c r="I8" s="1973">
        <f>J8*$CS8</f>
        <v>-3.3979249924155255</v>
      </c>
      <c r="J8" s="2023">
        <v>-3.3979249924155255</v>
      </c>
      <c r="K8" s="2025" t="s">
        <v>4</v>
      </c>
      <c r="L8" s="2025" t="s">
        <v>4</v>
      </c>
      <c r="M8" s="2026">
        <v>0.77800000000000002</v>
      </c>
      <c r="N8" s="2026">
        <v>0.77800000000000002</v>
      </c>
      <c r="O8" s="2026">
        <v>0.77800000000000002</v>
      </c>
      <c r="P8" s="2026">
        <v>0.77800000000000002</v>
      </c>
      <c r="Q8" s="2027">
        <f t="shared" si="12"/>
        <v>173.24490245104954</v>
      </c>
      <c r="R8" s="2027">
        <f t="shared" si="12"/>
        <v>173.24490245104954</v>
      </c>
      <c r="S8" s="2027">
        <f t="shared" si="12"/>
        <v>173.24490245104954</v>
      </c>
      <c r="T8" s="2027">
        <f t="shared" si="12"/>
        <v>173.24490245104954</v>
      </c>
      <c r="U8" s="2026">
        <v>0.77800000000000002</v>
      </c>
      <c r="V8" s="2026">
        <v>0.77800000000000002</v>
      </c>
      <c r="W8" s="2026">
        <v>0.77800000000000002</v>
      </c>
      <c r="X8" s="2026">
        <v>0.77800000000000002</v>
      </c>
      <c r="Y8" s="2028">
        <f t="shared" si="13"/>
        <v>3.5391120399835607E-2</v>
      </c>
      <c r="Z8" s="2028">
        <f t="shared" si="13"/>
        <v>3.5391120399835607E-2</v>
      </c>
      <c r="AA8" s="2028">
        <f t="shared" si="13"/>
        <v>3.5391120399835607E-2</v>
      </c>
      <c r="AB8" s="2028">
        <f t="shared" si="13"/>
        <v>3.5391120399835607E-2</v>
      </c>
      <c r="AC8" s="2026">
        <v>0.77800000000000002</v>
      </c>
      <c r="AD8" s="2026">
        <v>0.77800000000000002</v>
      </c>
      <c r="AE8" s="2026">
        <v>0.77800000000000002</v>
      </c>
      <c r="AF8" s="2026">
        <v>0.77800000000000002</v>
      </c>
      <c r="AG8" s="2027">
        <f t="shared" si="14"/>
        <v>-2.6435856440992791</v>
      </c>
      <c r="AH8" s="2027">
        <f t="shared" si="14"/>
        <v>-2.6435856440992791</v>
      </c>
      <c r="AI8" s="2027">
        <f t="shared" si="14"/>
        <v>-2.6435856440992791</v>
      </c>
      <c r="AJ8" s="2027">
        <f t="shared" si="14"/>
        <v>-2.6435856440992791</v>
      </c>
      <c r="AK8" s="2027">
        <v>712</v>
      </c>
      <c r="AL8" s="2027">
        <v>0</v>
      </c>
      <c r="AM8" s="2027">
        <v>0</v>
      </c>
      <c r="AN8" s="2027">
        <v>0</v>
      </c>
      <c r="AO8" s="2027">
        <f t="shared" si="3"/>
        <v>123350.37054514728</v>
      </c>
      <c r="AP8" s="2027">
        <f t="shared" si="4"/>
        <v>0</v>
      </c>
      <c r="AQ8" s="2027">
        <f t="shared" si="4"/>
        <v>0</v>
      </c>
      <c r="AR8" s="2027"/>
      <c r="AS8" s="2027">
        <f t="shared" si="5"/>
        <v>0</v>
      </c>
      <c r="AT8" s="2027">
        <f t="shared" si="6"/>
        <v>-1882.2329785986867</v>
      </c>
      <c r="AU8" s="2027">
        <f t="shared" si="7"/>
        <v>0</v>
      </c>
      <c r="AV8" s="2027">
        <f t="shared" si="7"/>
        <v>0</v>
      </c>
      <c r="AW8" s="2027">
        <f t="shared" si="7"/>
        <v>0</v>
      </c>
      <c r="AX8" s="2029">
        <v>6.6599999999999993</v>
      </c>
      <c r="AY8" s="2029">
        <v>6.6599999999999993</v>
      </c>
      <c r="AZ8" s="2029">
        <v>6.6599999999999993</v>
      </c>
      <c r="BA8" s="2029">
        <v>6.6599999999999993</v>
      </c>
      <c r="BB8" s="1974"/>
      <c r="BC8" s="2029">
        <v>0</v>
      </c>
      <c r="BD8" s="2029">
        <v>0</v>
      </c>
      <c r="BE8" s="2029">
        <v>0</v>
      </c>
      <c r="BF8" s="2029">
        <v>57.5</v>
      </c>
      <c r="BG8" s="2029">
        <v>57.5</v>
      </c>
      <c r="BH8" s="2029">
        <v>57.5</v>
      </c>
      <c r="BI8" s="2029">
        <v>57.5</v>
      </c>
      <c r="BJ8" s="2030">
        <f t="shared" si="8"/>
        <v>4741.9199999999992</v>
      </c>
      <c r="BK8" s="2030">
        <f t="shared" si="8"/>
        <v>0</v>
      </c>
      <c r="BL8" s="2030">
        <f t="shared" si="8"/>
        <v>0</v>
      </c>
      <c r="BM8" s="2030"/>
      <c r="BN8" s="2030">
        <f t="shared" si="9"/>
        <v>0</v>
      </c>
      <c r="BO8" s="2030">
        <f t="shared" si="10"/>
        <v>0</v>
      </c>
      <c r="BP8" s="2030"/>
      <c r="BQ8" s="2030">
        <f t="shared" si="11"/>
        <v>0</v>
      </c>
      <c r="BR8" s="2030">
        <f t="shared" si="11"/>
        <v>0</v>
      </c>
      <c r="BS8" s="2030">
        <f t="shared" si="11"/>
        <v>0</v>
      </c>
      <c r="BT8" s="2031"/>
      <c r="BU8" s="2031"/>
      <c r="BV8" s="2031"/>
      <c r="BW8" s="2031"/>
      <c r="BX8" s="2031"/>
      <c r="BY8" s="2031"/>
      <c r="BZ8" s="2031"/>
      <c r="CA8" s="2031"/>
      <c r="CB8" s="2029"/>
      <c r="CC8" s="2029"/>
      <c r="CD8" s="2029"/>
      <c r="CE8" s="2029"/>
      <c r="CF8" s="2029"/>
      <c r="CG8" s="2032"/>
      <c r="CH8" s="1974"/>
      <c r="CI8" s="1974"/>
      <c r="CJ8" s="1974"/>
      <c r="CK8" s="1974"/>
      <c r="CL8" s="1974">
        <v>1</v>
      </c>
      <c r="CM8" s="2033">
        <v>1.1263368061293166E-3</v>
      </c>
      <c r="CN8" s="2026">
        <v>-1.6528550127582636E-3</v>
      </c>
      <c r="CO8" s="1974">
        <v>1</v>
      </c>
      <c r="CP8" s="2040">
        <v>-0.67827777777777754</v>
      </c>
      <c r="CQ8" s="2040"/>
      <c r="CR8" s="2062">
        <v>1</v>
      </c>
      <c r="CS8" s="2062">
        <v>1</v>
      </c>
      <c r="CT8" s="2121">
        <v>0.32114942528735629</v>
      </c>
      <c r="CU8" s="2121">
        <v>0.32114942528735629</v>
      </c>
      <c r="CV8" s="2036"/>
      <c r="CW8" s="2036"/>
      <c r="CX8" s="2036"/>
      <c r="CY8" s="2036"/>
      <c r="CZ8" s="2036"/>
      <c r="DA8" s="2036"/>
    </row>
    <row r="9" spans="1:106" x14ac:dyDescent="0.25">
      <c r="A9" s="2185" t="s">
        <v>85</v>
      </c>
      <c r="B9" s="2022" t="s">
        <v>2857</v>
      </c>
      <c r="C9" s="2023">
        <v>15</v>
      </c>
      <c r="D9" s="2023">
        <v>1</v>
      </c>
      <c r="E9" s="1973">
        <f>F9*$CS9</f>
        <v>224.89721719069422</v>
      </c>
      <c r="F9" s="2024">
        <v>224.89721719069422</v>
      </c>
      <c r="G9" s="1973">
        <f>H9*$CS9</f>
        <v>4.4905993242138939E-2</v>
      </c>
      <c r="H9" s="2024">
        <v>4.4905993242138939E-2</v>
      </c>
      <c r="I9" s="1973">
        <f>J9*$CS9</f>
        <v>-3.2860315522710426</v>
      </c>
      <c r="J9" s="2023">
        <v>-3.2860315522710426</v>
      </c>
      <c r="K9" s="2025" t="s">
        <v>4</v>
      </c>
      <c r="L9" s="2025" t="s">
        <v>4</v>
      </c>
      <c r="M9" s="2026">
        <v>0.77800000000000002</v>
      </c>
      <c r="N9" s="2026">
        <v>0.77800000000000002</v>
      </c>
      <c r="O9" s="2026">
        <v>0.77800000000000002</v>
      </c>
      <c r="P9" s="2026">
        <v>0.77800000000000002</v>
      </c>
      <c r="Q9" s="2027">
        <f t="shared" si="12"/>
        <v>174.97003497436012</v>
      </c>
      <c r="R9" s="2027">
        <f t="shared" si="12"/>
        <v>174.97003497436012</v>
      </c>
      <c r="S9" s="2027">
        <f t="shared" si="12"/>
        <v>174.97003497436012</v>
      </c>
      <c r="T9" s="2027">
        <f t="shared" si="12"/>
        <v>174.97003497436012</v>
      </c>
      <c r="U9" s="2026">
        <v>0.77800000000000002</v>
      </c>
      <c r="V9" s="2026">
        <v>0.77800000000000002</v>
      </c>
      <c r="W9" s="2026">
        <v>0.77800000000000002</v>
      </c>
      <c r="X9" s="2026">
        <v>0.77800000000000002</v>
      </c>
      <c r="Y9" s="2028">
        <f t="shared" si="13"/>
        <v>3.4936862742384098E-2</v>
      </c>
      <c r="Z9" s="2028">
        <f t="shared" si="13"/>
        <v>3.4936862742384098E-2</v>
      </c>
      <c r="AA9" s="2028">
        <f t="shared" si="13"/>
        <v>3.4936862742384098E-2</v>
      </c>
      <c r="AB9" s="2028">
        <f t="shared" si="13"/>
        <v>3.4936862742384098E-2</v>
      </c>
      <c r="AC9" s="2026">
        <v>0.77800000000000002</v>
      </c>
      <c r="AD9" s="2026">
        <v>0.77800000000000002</v>
      </c>
      <c r="AE9" s="2026">
        <v>0.77800000000000002</v>
      </c>
      <c r="AF9" s="2026">
        <v>0.77800000000000002</v>
      </c>
      <c r="AG9" s="2027">
        <f t="shared" si="14"/>
        <v>-2.5565325476668712</v>
      </c>
      <c r="AH9" s="2027">
        <f t="shared" si="14"/>
        <v>-2.5565325476668712</v>
      </c>
      <c r="AI9" s="2027">
        <f t="shared" si="14"/>
        <v>-2.5565325476668712</v>
      </c>
      <c r="AJ9" s="2027">
        <f t="shared" si="14"/>
        <v>-2.5565325476668712</v>
      </c>
      <c r="AK9" s="2027">
        <v>1778</v>
      </c>
      <c r="AL9" s="2027">
        <v>0</v>
      </c>
      <c r="AM9" s="2027">
        <v>0</v>
      </c>
      <c r="AN9" s="2027">
        <v>0</v>
      </c>
      <c r="AO9" s="2027">
        <f t="shared" si="3"/>
        <v>311096.7221844123</v>
      </c>
      <c r="AP9" s="2027">
        <f t="shared" si="4"/>
        <v>0</v>
      </c>
      <c r="AQ9" s="2027">
        <f t="shared" si="4"/>
        <v>0</v>
      </c>
      <c r="AR9" s="2027"/>
      <c r="AS9" s="2027">
        <f t="shared" si="5"/>
        <v>0</v>
      </c>
      <c r="AT9" s="2027">
        <f t="shared" si="6"/>
        <v>-4545.514869751697</v>
      </c>
      <c r="AU9" s="2027">
        <f t="shared" si="7"/>
        <v>0</v>
      </c>
      <c r="AV9" s="2027">
        <f t="shared" si="7"/>
        <v>0</v>
      </c>
      <c r="AW9" s="2027">
        <f t="shared" si="7"/>
        <v>0</v>
      </c>
      <c r="AX9" s="2029">
        <v>8.645999999999999</v>
      </c>
      <c r="AY9" s="2029">
        <v>8.645999999999999</v>
      </c>
      <c r="AZ9" s="2029">
        <v>8.645999999999999</v>
      </c>
      <c r="BA9" s="2029">
        <v>8.645999999999999</v>
      </c>
      <c r="BB9" s="1974"/>
      <c r="BC9" s="2029">
        <v>0</v>
      </c>
      <c r="BD9" s="2029">
        <v>0</v>
      </c>
      <c r="BE9" s="2029">
        <v>0</v>
      </c>
      <c r="BF9" s="2029">
        <v>57.5</v>
      </c>
      <c r="BG9" s="2029">
        <v>57.5</v>
      </c>
      <c r="BH9" s="2029">
        <v>57.5</v>
      </c>
      <c r="BI9" s="2029">
        <v>57.5</v>
      </c>
      <c r="BJ9" s="2030">
        <f t="shared" si="8"/>
        <v>15372.587999999998</v>
      </c>
      <c r="BK9" s="2030">
        <f t="shared" si="8"/>
        <v>0</v>
      </c>
      <c r="BL9" s="2030">
        <f t="shared" si="8"/>
        <v>0</v>
      </c>
      <c r="BM9" s="2030"/>
      <c r="BN9" s="2030">
        <f t="shared" si="9"/>
        <v>0</v>
      </c>
      <c r="BO9" s="2030">
        <f t="shared" si="10"/>
        <v>0</v>
      </c>
      <c r="BP9" s="2030"/>
      <c r="BQ9" s="2030">
        <f t="shared" si="11"/>
        <v>0</v>
      </c>
      <c r="BR9" s="2030">
        <f t="shared" si="11"/>
        <v>0</v>
      </c>
      <c r="BS9" s="2030">
        <f t="shared" si="11"/>
        <v>0</v>
      </c>
      <c r="BT9" s="2031"/>
      <c r="BU9" s="2031"/>
      <c r="BV9" s="2031"/>
      <c r="BW9" s="2031"/>
      <c r="BX9" s="2031"/>
      <c r="BY9" s="2031"/>
      <c r="BZ9" s="2031"/>
      <c r="CA9" s="2031"/>
      <c r="CB9" s="2029"/>
      <c r="CC9" s="2029"/>
      <c r="CD9" s="2029"/>
      <c r="CE9" s="2029"/>
      <c r="CF9" s="2029"/>
      <c r="CG9" s="2032"/>
      <c r="CH9" s="1974"/>
      <c r="CI9" s="1974"/>
      <c r="CJ9" s="1974"/>
      <c r="CK9" s="1974"/>
      <c r="CL9" s="1974">
        <v>1</v>
      </c>
      <c r="CM9" s="2033">
        <v>1.3057533268825852E-3</v>
      </c>
      <c r="CN9" s="2026">
        <v>-1.8347730473185909E-3</v>
      </c>
      <c r="CO9" s="1974">
        <v>1</v>
      </c>
      <c r="CP9" s="2040">
        <v>-0.67827777777777754</v>
      </c>
      <c r="CQ9" s="2040"/>
      <c r="CR9" s="2062">
        <v>1</v>
      </c>
      <c r="CS9" s="2062">
        <v>1</v>
      </c>
      <c r="CT9" s="2121">
        <v>0.31805100441658357</v>
      </c>
      <c r="CU9" s="2121">
        <v>0.31805100441658357</v>
      </c>
      <c r="CV9" s="2036"/>
      <c r="CW9" s="2036"/>
      <c r="CX9" s="2036"/>
      <c r="CY9" s="2036"/>
      <c r="CZ9" s="2036"/>
      <c r="DA9" s="2036"/>
    </row>
    <row r="10" spans="1:106" x14ac:dyDescent="0.25">
      <c r="A10" s="2185" t="s">
        <v>86</v>
      </c>
      <c r="B10" s="2022" t="s">
        <v>2858</v>
      </c>
      <c r="C10" s="2023">
        <v>15</v>
      </c>
      <c r="D10" s="2023">
        <v>1</v>
      </c>
      <c r="E10" s="1973">
        <f>F10*$CS10</f>
        <v>319.7574507204115</v>
      </c>
      <c r="F10" s="2024">
        <v>319.7574507204115</v>
      </c>
      <c r="G10" s="1973">
        <f>H10*$CS10</f>
        <v>5.1221804743432534E-2</v>
      </c>
      <c r="H10" s="2024">
        <v>5.1221804743432534E-2</v>
      </c>
      <c r="I10" s="1973">
        <f>J10*$CS10</f>
        <v>-2.8886794006649192</v>
      </c>
      <c r="J10" s="2023">
        <v>-2.8886794006649192</v>
      </c>
      <c r="K10" s="2025" t="s">
        <v>4</v>
      </c>
      <c r="L10" s="2025" t="s">
        <v>4</v>
      </c>
      <c r="M10" s="2026">
        <v>0.77800000000000002</v>
      </c>
      <c r="N10" s="2026">
        <v>0.77800000000000002</v>
      </c>
      <c r="O10" s="2026">
        <v>0.77800000000000002</v>
      </c>
      <c r="P10" s="2026">
        <v>0.77800000000000002</v>
      </c>
      <c r="Q10" s="2027">
        <f t="shared" si="12"/>
        <v>248.77129666048015</v>
      </c>
      <c r="R10" s="2027">
        <f t="shared" si="12"/>
        <v>248.77129666048015</v>
      </c>
      <c r="S10" s="2027">
        <f t="shared" si="12"/>
        <v>248.77129666048015</v>
      </c>
      <c r="T10" s="2027">
        <f t="shared" si="12"/>
        <v>248.77129666048015</v>
      </c>
      <c r="U10" s="2026">
        <v>0.77800000000000002</v>
      </c>
      <c r="V10" s="2026">
        <v>0.77800000000000002</v>
      </c>
      <c r="W10" s="2026">
        <v>0.77800000000000002</v>
      </c>
      <c r="X10" s="2026">
        <v>0.77800000000000002</v>
      </c>
      <c r="Y10" s="2028">
        <f t="shared" si="13"/>
        <v>3.9850564090390513E-2</v>
      </c>
      <c r="Z10" s="2028">
        <f t="shared" si="13"/>
        <v>3.9850564090390513E-2</v>
      </c>
      <c r="AA10" s="2028">
        <f t="shared" si="13"/>
        <v>3.9850564090390513E-2</v>
      </c>
      <c r="AB10" s="2028">
        <f t="shared" si="13"/>
        <v>3.9850564090390513E-2</v>
      </c>
      <c r="AC10" s="2026">
        <v>0.77800000000000002</v>
      </c>
      <c r="AD10" s="2026">
        <v>0.77800000000000002</v>
      </c>
      <c r="AE10" s="2026">
        <v>0.77800000000000002</v>
      </c>
      <c r="AF10" s="2026">
        <v>0.77800000000000002</v>
      </c>
      <c r="AG10" s="2027">
        <f t="shared" si="14"/>
        <v>-2.2473925737173071</v>
      </c>
      <c r="AH10" s="2027">
        <f t="shared" si="14"/>
        <v>-2.2473925737173071</v>
      </c>
      <c r="AI10" s="2027">
        <f t="shared" si="14"/>
        <v>-2.2473925737173071</v>
      </c>
      <c r="AJ10" s="2027">
        <f t="shared" si="14"/>
        <v>-2.2473925737173071</v>
      </c>
      <c r="AK10" s="2027">
        <v>297</v>
      </c>
      <c r="AL10" s="2027">
        <v>0</v>
      </c>
      <c r="AM10" s="2027">
        <v>0</v>
      </c>
      <c r="AN10" s="2027">
        <v>0</v>
      </c>
      <c r="AO10" s="2027">
        <f t="shared" si="3"/>
        <v>73885.075108162608</v>
      </c>
      <c r="AP10" s="2027">
        <f t="shared" si="4"/>
        <v>0</v>
      </c>
      <c r="AQ10" s="2027">
        <f t="shared" si="4"/>
        <v>0</v>
      </c>
      <c r="AR10" s="2027"/>
      <c r="AS10" s="2027">
        <f t="shared" si="5"/>
        <v>0</v>
      </c>
      <c r="AT10" s="2027">
        <f t="shared" si="6"/>
        <v>-667.47559439404017</v>
      </c>
      <c r="AU10" s="2027">
        <f t="shared" si="7"/>
        <v>0</v>
      </c>
      <c r="AV10" s="2027">
        <f t="shared" si="7"/>
        <v>0</v>
      </c>
      <c r="AW10" s="2027">
        <f t="shared" si="7"/>
        <v>0</v>
      </c>
      <c r="AX10" s="2029">
        <v>10.56</v>
      </c>
      <c r="AY10" s="2029">
        <v>10.56</v>
      </c>
      <c r="AZ10" s="2029">
        <v>10.56</v>
      </c>
      <c r="BA10" s="2029">
        <v>10.56</v>
      </c>
      <c r="BB10" s="1974"/>
      <c r="BC10" s="2029">
        <v>0</v>
      </c>
      <c r="BD10" s="2029">
        <v>0</v>
      </c>
      <c r="BE10" s="2029">
        <v>0</v>
      </c>
      <c r="BF10" s="2029">
        <v>57.5</v>
      </c>
      <c r="BG10" s="2029">
        <v>57.5</v>
      </c>
      <c r="BH10" s="2029">
        <v>57.5</v>
      </c>
      <c r="BI10" s="2029">
        <v>57.5</v>
      </c>
      <c r="BJ10" s="2030">
        <f t="shared" si="8"/>
        <v>3136.32</v>
      </c>
      <c r="BK10" s="2030">
        <f t="shared" si="8"/>
        <v>0</v>
      </c>
      <c r="BL10" s="2030">
        <f t="shared" si="8"/>
        <v>0</v>
      </c>
      <c r="BM10" s="2030"/>
      <c r="BN10" s="2030">
        <f t="shared" si="9"/>
        <v>0</v>
      </c>
      <c r="BO10" s="2030">
        <f t="shared" si="10"/>
        <v>0</v>
      </c>
      <c r="BP10" s="2030"/>
      <c r="BQ10" s="2030">
        <f t="shared" si="11"/>
        <v>0</v>
      </c>
      <c r="BR10" s="2030">
        <f t="shared" si="11"/>
        <v>0</v>
      </c>
      <c r="BS10" s="2030">
        <f t="shared" si="11"/>
        <v>0</v>
      </c>
      <c r="BT10" s="2031"/>
      <c r="BU10" s="2031"/>
      <c r="BV10" s="2031"/>
      <c r="BW10" s="2031"/>
      <c r="BX10" s="2031"/>
      <c r="BY10" s="2031"/>
      <c r="BZ10" s="2031"/>
      <c r="CA10" s="2031"/>
      <c r="CB10" s="2029"/>
      <c r="CC10" s="2029"/>
      <c r="CD10" s="2029"/>
      <c r="CE10" s="2029"/>
      <c r="CF10" s="2029"/>
      <c r="CG10" s="2032"/>
      <c r="CH10" s="1974"/>
      <c r="CI10" s="1974"/>
      <c r="CJ10" s="1974"/>
      <c r="CK10" s="1974"/>
      <c r="CL10" s="1974">
        <v>1</v>
      </c>
      <c r="CM10" s="2033">
        <v>2.8414297596206928E-4</v>
      </c>
      <c r="CN10" s="2026">
        <v>-2.468591103495652E-4</v>
      </c>
      <c r="CO10" s="1974">
        <v>1</v>
      </c>
      <c r="CP10" s="2040">
        <v>-0.67827777777777754</v>
      </c>
      <c r="CQ10" s="2040"/>
      <c r="CR10" s="2062">
        <v>1</v>
      </c>
      <c r="CS10" s="2062">
        <v>1</v>
      </c>
      <c r="CT10" s="2121">
        <v>0.3</v>
      </c>
      <c r="CU10" s="2121">
        <v>0.3</v>
      </c>
      <c r="CV10" s="2036"/>
      <c r="CW10" s="2036"/>
      <c r="CX10" s="2036"/>
      <c r="CY10" s="2036"/>
      <c r="CZ10" s="2036"/>
      <c r="DA10" s="2036"/>
    </row>
    <row r="11" spans="1:106" x14ac:dyDescent="0.25">
      <c r="A11" s="2185" t="s">
        <v>87</v>
      </c>
      <c r="B11" s="2022" t="s">
        <v>2859</v>
      </c>
      <c r="C11" s="2023">
        <v>15</v>
      </c>
      <c r="D11" s="2023">
        <v>0</v>
      </c>
      <c r="E11" s="2024">
        <v>77.523887002924553</v>
      </c>
      <c r="F11" s="2024"/>
      <c r="G11" s="2024">
        <v>1.4520596673392477E-2</v>
      </c>
      <c r="H11" s="2024"/>
      <c r="I11" s="2023">
        <v>-1.2747637537728052</v>
      </c>
      <c r="J11" s="2027"/>
      <c r="K11" s="2025" t="s">
        <v>4</v>
      </c>
      <c r="L11" s="2025" t="s">
        <v>4</v>
      </c>
      <c r="M11" s="2026">
        <v>0.77800000000000002</v>
      </c>
      <c r="N11" s="2026">
        <v>0.77800000000000002</v>
      </c>
      <c r="O11" s="2026">
        <v>0.77800000000000002</v>
      </c>
      <c r="P11" s="2026">
        <v>0.77800000000000002</v>
      </c>
      <c r="Q11" s="2027">
        <f t="shared" ref="Q11:T70" si="15">$E11*M11</f>
        <v>60.313584088275306</v>
      </c>
      <c r="R11" s="2027">
        <f t="shared" si="15"/>
        <v>60.313584088275306</v>
      </c>
      <c r="S11" s="2027">
        <f t="shared" si="15"/>
        <v>60.313584088275306</v>
      </c>
      <c r="T11" s="2027">
        <f t="shared" si="15"/>
        <v>60.313584088275306</v>
      </c>
      <c r="U11" s="2026">
        <v>0.77800000000000002</v>
      </c>
      <c r="V11" s="2026">
        <v>0.77800000000000002</v>
      </c>
      <c r="W11" s="2026">
        <v>0.77800000000000002</v>
      </c>
      <c r="X11" s="2026">
        <v>0.77800000000000002</v>
      </c>
      <c r="Y11" s="2028">
        <f t="shared" ref="Y11:AB70" si="16">$G11*U11</f>
        <v>1.1297024211899348E-2</v>
      </c>
      <c r="Z11" s="2028">
        <f t="shared" si="16"/>
        <v>1.1297024211899348E-2</v>
      </c>
      <c r="AA11" s="2028">
        <f t="shared" si="16"/>
        <v>1.1297024211899348E-2</v>
      </c>
      <c r="AB11" s="2028">
        <f t="shared" si="16"/>
        <v>1.1297024211899348E-2</v>
      </c>
      <c r="AC11" s="2026">
        <v>0.77800000000000002</v>
      </c>
      <c r="AD11" s="2026">
        <v>0.77800000000000002</v>
      </c>
      <c r="AE11" s="2026">
        <v>0.77800000000000002</v>
      </c>
      <c r="AF11" s="2026">
        <v>0.77800000000000002</v>
      </c>
      <c r="AG11" s="2027">
        <f t="shared" ref="AG11:AJ22" si="17">$I11*AC11</f>
        <v>-0.99176620043524244</v>
      </c>
      <c r="AH11" s="2027">
        <f t="shared" si="17"/>
        <v>-0.99176620043524244</v>
      </c>
      <c r="AI11" s="2027">
        <f t="shared" si="17"/>
        <v>-0.99176620043524244</v>
      </c>
      <c r="AJ11" s="2027">
        <f t="shared" si="17"/>
        <v>-0.99176620043524244</v>
      </c>
      <c r="AK11" s="2027">
        <v>1722</v>
      </c>
      <c r="AL11" s="2027">
        <v>0</v>
      </c>
      <c r="AM11" s="2027">
        <v>0</v>
      </c>
      <c r="AN11" s="2027">
        <v>0</v>
      </c>
      <c r="AO11" s="2027">
        <f t="shared" si="3"/>
        <v>103859.99180001007</v>
      </c>
      <c r="AP11" s="2027">
        <f t="shared" si="4"/>
        <v>0</v>
      </c>
      <c r="AQ11" s="2027">
        <f t="shared" si="4"/>
        <v>0</v>
      </c>
      <c r="AR11" s="2027"/>
      <c r="AS11" s="2027">
        <f t="shared" si="5"/>
        <v>0</v>
      </c>
      <c r="AT11" s="2027">
        <f t="shared" si="6"/>
        <v>-1707.8213971494874</v>
      </c>
      <c r="AU11" s="2027">
        <f t="shared" si="7"/>
        <v>0</v>
      </c>
      <c r="AV11" s="2027">
        <f t="shared" si="7"/>
        <v>0</v>
      </c>
      <c r="AW11" s="2027">
        <f t="shared" si="7"/>
        <v>0</v>
      </c>
      <c r="AX11" s="2029">
        <v>5.3280000000000003</v>
      </c>
      <c r="AY11" s="2029">
        <v>5.3280000000000003</v>
      </c>
      <c r="AZ11" s="2029">
        <v>5.3280000000000003</v>
      </c>
      <c r="BA11" s="2029">
        <v>5.3280000000000003</v>
      </c>
      <c r="BB11" s="1974"/>
      <c r="BC11" s="2029">
        <v>0</v>
      </c>
      <c r="BD11" s="2029">
        <v>0</v>
      </c>
      <c r="BE11" s="2029">
        <v>0</v>
      </c>
      <c r="BF11" s="2029">
        <v>56.25</v>
      </c>
      <c r="BG11" s="2029">
        <v>56.25</v>
      </c>
      <c r="BH11" s="2029">
        <v>56.25</v>
      </c>
      <c r="BI11" s="2029">
        <v>56.25</v>
      </c>
      <c r="BJ11" s="2030">
        <f t="shared" si="8"/>
        <v>9174.8160000000007</v>
      </c>
      <c r="BK11" s="2030">
        <f t="shared" si="8"/>
        <v>0</v>
      </c>
      <c r="BL11" s="2030">
        <f t="shared" si="8"/>
        <v>0</v>
      </c>
      <c r="BM11" s="2030"/>
      <c r="BN11" s="2030">
        <f t="shared" si="9"/>
        <v>0</v>
      </c>
      <c r="BO11" s="2030">
        <f t="shared" si="10"/>
        <v>0</v>
      </c>
      <c r="BP11" s="2030"/>
      <c r="BQ11" s="2030">
        <f t="shared" si="11"/>
        <v>0</v>
      </c>
      <c r="BR11" s="2030">
        <f t="shared" si="11"/>
        <v>0</v>
      </c>
      <c r="BS11" s="2030">
        <f t="shared" si="11"/>
        <v>0</v>
      </c>
      <c r="BT11" s="2031"/>
      <c r="BU11" s="2031"/>
      <c r="BV11" s="2031"/>
      <c r="BW11" s="2031"/>
      <c r="BX11" s="2031"/>
      <c r="BY11" s="2031"/>
      <c r="BZ11" s="2031"/>
      <c r="CA11" s="2031"/>
      <c r="CB11" s="2029"/>
      <c r="CC11" s="2029"/>
      <c r="CD11" s="2029"/>
      <c r="CE11" s="2029"/>
      <c r="CF11" s="2029"/>
      <c r="CG11" s="2032"/>
      <c r="CH11" s="1974"/>
      <c r="CI11" s="1974"/>
      <c r="CJ11" s="1974"/>
      <c r="CK11" s="1974"/>
      <c r="CL11" s="1974">
        <v>0</v>
      </c>
      <c r="CM11" s="2033">
        <v>4.0000240545988783E-4</v>
      </c>
      <c r="CN11" s="2026">
        <v>-6.3254340593415245E-4</v>
      </c>
      <c r="CO11" s="1974">
        <v>1</v>
      </c>
      <c r="CP11" s="2040">
        <v>1.1477222222222219</v>
      </c>
      <c r="CQ11" s="2040"/>
      <c r="CR11" s="2062">
        <v>1</v>
      </c>
      <c r="CS11" s="2062">
        <v>1</v>
      </c>
      <c r="CT11" s="2121">
        <v>1</v>
      </c>
      <c r="CU11" s="2121">
        <v>1</v>
      </c>
      <c r="CV11" s="2036"/>
      <c r="CW11" s="2036"/>
      <c r="CX11" s="2036"/>
      <c r="CY11" s="2036"/>
      <c r="CZ11" s="2036"/>
      <c r="DA11" s="2036"/>
    </row>
    <row r="12" spans="1:106" ht="23" x14ac:dyDescent="0.25">
      <c r="A12" s="2185" t="s">
        <v>88</v>
      </c>
      <c r="B12" s="2022" t="s">
        <v>2860</v>
      </c>
      <c r="C12" s="2023">
        <v>15</v>
      </c>
      <c r="D12" s="2023">
        <v>1</v>
      </c>
      <c r="E12" s="1973">
        <f>F12*$CS12</f>
        <v>246.4236010968103</v>
      </c>
      <c r="F12" s="2024">
        <v>246.4236010968103</v>
      </c>
      <c r="G12" s="1973">
        <f>H12*$CS12</f>
        <v>4.6487532256076713E-2</v>
      </c>
      <c r="H12" s="2024">
        <v>4.6487532256076713E-2</v>
      </c>
      <c r="I12" s="1973">
        <f>J12*$CS12</f>
        <v>-2.8002599595061124</v>
      </c>
      <c r="J12" s="2023">
        <v>-2.8002599595061124</v>
      </c>
      <c r="K12" s="2025" t="s">
        <v>4</v>
      </c>
      <c r="L12" s="2025" t="s">
        <v>4</v>
      </c>
      <c r="M12" s="2026">
        <v>0.77800000000000002</v>
      </c>
      <c r="N12" s="2026">
        <v>0.77800000000000002</v>
      </c>
      <c r="O12" s="2026">
        <v>0.77800000000000002</v>
      </c>
      <c r="P12" s="2026">
        <v>0.77800000000000002</v>
      </c>
      <c r="Q12" s="2027">
        <f t="shared" ref="Q12:T15" si="18">$F12*M12</f>
        <v>191.71756165331843</v>
      </c>
      <c r="R12" s="2027">
        <f t="shared" si="18"/>
        <v>191.71756165331843</v>
      </c>
      <c r="S12" s="2027">
        <f t="shared" si="18"/>
        <v>191.71756165331843</v>
      </c>
      <c r="T12" s="2027">
        <f t="shared" si="18"/>
        <v>191.71756165331843</v>
      </c>
      <c r="U12" s="2026">
        <v>0.77800000000000002</v>
      </c>
      <c r="V12" s="2026">
        <v>0.77800000000000002</v>
      </c>
      <c r="W12" s="2026">
        <v>0.77800000000000002</v>
      </c>
      <c r="X12" s="2026">
        <v>0.77800000000000002</v>
      </c>
      <c r="Y12" s="2028">
        <f t="shared" ref="Y12:AB15" si="19">$H12*U12</f>
        <v>3.6167300095227686E-2</v>
      </c>
      <c r="Z12" s="2028">
        <f t="shared" si="19"/>
        <v>3.6167300095227686E-2</v>
      </c>
      <c r="AA12" s="2028">
        <f t="shared" si="19"/>
        <v>3.6167300095227686E-2</v>
      </c>
      <c r="AB12" s="2028">
        <f t="shared" si="19"/>
        <v>3.6167300095227686E-2</v>
      </c>
      <c r="AC12" s="2026">
        <v>0.77800000000000002</v>
      </c>
      <c r="AD12" s="2026">
        <v>0.77800000000000002</v>
      </c>
      <c r="AE12" s="2026">
        <v>0.77800000000000002</v>
      </c>
      <c r="AF12" s="2026">
        <v>0.77800000000000002</v>
      </c>
      <c r="AG12" s="2027">
        <f t="shared" ref="AG12:AJ15" si="20">$J12*AC12</f>
        <v>-2.1786022484957557</v>
      </c>
      <c r="AH12" s="2027">
        <f t="shared" si="20"/>
        <v>-2.1786022484957557</v>
      </c>
      <c r="AI12" s="2027">
        <f t="shared" si="20"/>
        <v>-2.1786022484957557</v>
      </c>
      <c r="AJ12" s="2027">
        <f t="shared" si="20"/>
        <v>-2.1786022484957557</v>
      </c>
      <c r="AK12" s="2027">
        <v>32</v>
      </c>
      <c r="AL12" s="2027">
        <v>0</v>
      </c>
      <c r="AM12" s="2027">
        <v>0</v>
      </c>
      <c r="AN12" s="2027">
        <v>0</v>
      </c>
      <c r="AO12" s="2027">
        <f t="shared" si="3"/>
        <v>6134.9619729061897</v>
      </c>
      <c r="AP12" s="2027">
        <f t="shared" si="4"/>
        <v>0</v>
      </c>
      <c r="AQ12" s="2027">
        <f t="shared" si="4"/>
        <v>0</v>
      </c>
      <c r="AR12" s="2027"/>
      <c r="AS12" s="2027">
        <f t="shared" si="5"/>
        <v>0</v>
      </c>
      <c r="AT12" s="2027">
        <f t="shared" si="6"/>
        <v>-69.715271951864182</v>
      </c>
      <c r="AU12" s="2027">
        <f t="shared" si="7"/>
        <v>0</v>
      </c>
      <c r="AV12" s="2027">
        <f t="shared" si="7"/>
        <v>0</v>
      </c>
      <c r="AW12" s="2027">
        <f t="shared" si="7"/>
        <v>0</v>
      </c>
      <c r="AX12" s="2029">
        <v>1.1249999999999998</v>
      </c>
      <c r="AY12" s="2029">
        <v>1.1249999999999998</v>
      </c>
      <c r="AZ12" s="2029">
        <v>1.1249999999999998</v>
      </c>
      <c r="BA12" s="2029">
        <v>1.1249999999999998</v>
      </c>
      <c r="BB12" s="1974"/>
      <c r="BC12" s="2029">
        <v>0</v>
      </c>
      <c r="BD12" s="2029">
        <v>0</v>
      </c>
      <c r="BE12" s="2029">
        <v>0</v>
      </c>
      <c r="BF12" s="2029">
        <v>57.5</v>
      </c>
      <c r="BG12" s="2029">
        <v>57.5</v>
      </c>
      <c r="BH12" s="2029">
        <v>57.5</v>
      </c>
      <c r="BI12" s="2029">
        <v>57.5</v>
      </c>
      <c r="BJ12" s="2030">
        <f t="shared" si="8"/>
        <v>35.999999999999993</v>
      </c>
      <c r="BK12" s="2030">
        <f t="shared" si="8"/>
        <v>0</v>
      </c>
      <c r="BL12" s="2030">
        <f t="shared" si="8"/>
        <v>0</v>
      </c>
      <c r="BM12" s="2030"/>
      <c r="BN12" s="2030">
        <f t="shared" si="9"/>
        <v>0</v>
      </c>
      <c r="BO12" s="2030">
        <f t="shared" si="10"/>
        <v>0</v>
      </c>
      <c r="BP12" s="2030"/>
      <c r="BQ12" s="2030">
        <f t="shared" si="11"/>
        <v>0</v>
      </c>
      <c r="BR12" s="2030">
        <f t="shared" si="11"/>
        <v>0</v>
      </c>
      <c r="BS12" s="2030">
        <f t="shared" si="11"/>
        <v>0</v>
      </c>
      <c r="BT12" s="2031"/>
      <c r="BU12" s="2031"/>
      <c r="BV12" s="2031"/>
      <c r="BW12" s="2031"/>
      <c r="BX12" s="2031"/>
      <c r="BY12" s="2031"/>
      <c r="BZ12" s="2031"/>
      <c r="CA12" s="2031"/>
      <c r="CB12" s="2029"/>
      <c r="CC12" s="2029"/>
      <c r="CD12" s="2029"/>
      <c r="CE12" s="2029"/>
      <c r="CF12" s="2029"/>
      <c r="CG12" s="2032"/>
      <c r="CH12" s="1974"/>
      <c r="CI12" s="1974"/>
      <c r="CJ12" s="1974"/>
      <c r="CK12" s="1974"/>
      <c r="CL12" s="1974">
        <v>1</v>
      </c>
      <c r="CM12" s="2033">
        <v>2.2475647753785855E-5</v>
      </c>
      <c r="CN12" s="2026">
        <v>-2.4561892765281495E-5</v>
      </c>
      <c r="CO12" s="1974">
        <v>1</v>
      </c>
      <c r="CP12" s="2040">
        <v>-0.67827777777777754</v>
      </c>
      <c r="CQ12" s="2040"/>
      <c r="CR12" s="2062">
        <v>1</v>
      </c>
      <c r="CS12" s="2062">
        <v>1</v>
      </c>
      <c r="CT12" s="2121">
        <v>0.45</v>
      </c>
      <c r="CU12" s="2121">
        <v>0.45</v>
      </c>
      <c r="CV12" s="2036"/>
      <c r="CW12" s="2036"/>
      <c r="CX12" s="2036"/>
      <c r="CY12" s="2036"/>
      <c r="CZ12" s="2036"/>
      <c r="DA12" s="2036"/>
    </row>
    <row r="13" spans="1:106" x14ac:dyDescent="0.25">
      <c r="A13" s="2185" t="s">
        <v>89</v>
      </c>
      <c r="B13" s="2022" t="s">
        <v>2861</v>
      </c>
      <c r="C13" s="2023">
        <v>15</v>
      </c>
      <c r="D13" s="2023">
        <v>1</v>
      </c>
      <c r="E13" s="1973">
        <f>F13*$CS13</f>
        <v>297.46518499043776</v>
      </c>
      <c r="F13" s="2024">
        <v>297.46518499043776</v>
      </c>
      <c r="G13" s="1973">
        <f>H13*$CS13</f>
        <v>6.1601995290690145E-2</v>
      </c>
      <c r="H13" s="2024">
        <v>6.1601995290690145E-2</v>
      </c>
      <c r="I13" s="1973">
        <f>J13*$CS13</f>
        <v>-4.5766954392087689</v>
      </c>
      <c r="J13" s="2023">
        <v>-4.5766954392087689</v>
      </c>
      <c r="K13" s="2025" t="s">
        <v>4</v>
      </c>
      <c r="L13" s="2025" t="s">
        <v>4</v>
      </c>
      <c r="M13" s="2026">
        <v>0.77800000000000002</v>
      </c>
      <c r="N13" s="2026">
        <v>0.77800000000000002</v>
      </c>
      <c r="O13" s="2026">
        <v>0.77800000000000002</v>
      </c>
      <c r="P13" s="2026">
        <v>0.77800000000000002</v>
      </c>
      <c r="Q13" s="2027">
        <f t="shared" si="18"/>
        <v>231.42791392256058</v>
      </c>
      <c r="R13" s="2027">
        <f t="shared" si="18"/>
        <v>231.42791392256058</v>
      </c>
      <c r="S13" s="2027">
        <f t="shared" si="18"/>
        <v>231.42791392256058</v>
      </c>
      <c r="T13" s="2027">
        <f t="shared" si="18"/>
        <v>231.42791392256058</v>
      </c>
      <c r="U13" s="2026">
        <v>0.77800000000000002</v>
      </c>
      <c r="V13" s="2026">
        <v>0.77800000000000002</v>
      </c>
      <c r="W13" s="2026">
        <v>0.77800000000000002</v>
      </c>
      <c r="X13" s="2026">
        <v>0.77800000000000002</v>
      </c>
      <c r="Y13" s="2028">
        <f t="shared" si="19"/>
        <v>4.7926352336156934E-2</v>
      </c>
      <c r="Z13" s="2028">
        <f t="shared" si="19"/>
        <v>4.7926352336156934E-2</v>
      </c>
      <c r="AA13" s="2028">
        <f t="shared" si="19"/>
        <v>4.7926352336156934E-2</v>
      </c>
      <c r="AB13" s="2028">
        <f t="shared" si="19"/>
        <v>4.7926352336156934E-2</v>
      </c>
      <c r="AC13" s="2026">
        <v>0.77800000000000002</v>
      </c>
      <c r="AD13" s="2026">
        <v>0.77800000000000002</v>
      </c>
      <c r="AE13" s="2026">
        <v>0.77800000000000002</v>
      </c>
      <c r="AF13" s="2026">
        <v>0.77800000000000002</v>
      </c>
      <c r="AG13" s="2027">
        <f t="shared" si="20"/>
        <v>-3.5606690517044224</v>
      </c>
      <c r="AH13" s="2027">
        <f t="shared" si="20"/>
        <v>-3.5606690517044224</v>
      </c>
      <c r="AI13" s="2027">
        <f t="shared" si="20"/>
        <v>-3.5606690517044224</v>
      </c>
      <c r="AJ13" s="2027">
        <f t="shared" si="20"/>
        <v>-3.5606690517044224</v>
      </c>
      <c r="AK13" s="2027">
        <v>416</v>
      </c>
      <c r="AL13" s="2027">
        <v>0</v>
      </c>
      <c r="AM13" s="2027">
        <v>0</v>
      </c>
      <c r="AN13" s="2027">
        <v>0</v>
      </c>
      <c r="AO13" s="2027">
        <f t="shared" si="3"/>
        <v>96274.012191785194</v>
      </c>
      <c r="AP13" s="2027">
        <f t="shared" si="4"/>
        <v>0</v>
      </c>
      <c r="AQ13" s="2027">
        <f t="shared" si="4"/>
        <v>0</v>
      </c>
      <c r="AR13" s="2027"/>
      <c r="AS13" s="2027">
        <f t="shared" si="5"/>
        <v>0</v>
      </c>
      <c r="AT13" s="2027">
        <f t="shared" si="6"/>
        <v>-1481.2383255090397</v>
      </c>
      <c r="AU13" s="2027">
        <f t="shared" si="7"/>
        <v>0</v>
      </c>
      <c r="AV13" s="2027">
        <f t="shared" si="7"/>
        <v>0</v>
      </c>
      <c r="AW13" s="2027">
        <f t="shared" si="7"/>
        <v>0</v>
      </c>
      <c r="AX13" s="2029">
        <v>6.6249989999999999</v>
      </c>
      <c r="AY13" s="2029">
        <v>6.6249989999999999</v>
      </c>
      <c r="AZ13" s="2029">
        <v>6.6249989999999999</v>
      </c>
      <c r="BA13" s="2029">
        <v>6.6249989999999999</v>
      </c>
      <c r="BB13" s="1974"/>
      <c r="BC13" s="2029">
        <v>0</v>
      </c>
      <c r="BD13" s="2029">
        <v>0</v>
      </c>
      <c r="BE13" s="2029">
        <v>0</v>
      </c>
      <c r="BF13" s="2029">
        <v>57.5</v>
      </c>
      <c r="BG13" s="2029">
        <v>57.5</v>
      </c>
      <c r="BH13" s="2029">
        <v>57.5</v>
      </c>
      <c r="BI13" s="2029">
        <v>57.5</v>
      </c>
      <c r="BJ13" s="2030">
        <f t="shared" si="8"/>
        <v>2755.9995840000001</v>
      </c>
      <c r="BK13" s="2030">
        <f t="shared" si="8"/>
        <v>0</v>
      </c>
      <c r="BL13" s="2030">
        <f t="shared" si="8"/>
        <v>0</v>
      </c>
      <c r="BM13" s="2030"/>
      <c r="BN13" s="2030">
        <f t="shared" si="9"/>
        <v>0</v>
      </c>
      <c r="BO13" s="2030">
        <f t="shared" si="10"/>
        <v>0</v>
      </c>
      <c r="BP13" s="2030"/>
      <c r="BQ13" s="2030">
        <f t="shared" si="11"/>
        <v>0</v>
      </c>
      <c r="BR13" s="2030">
        <f t="shared" si="11"/>
        <v>0</v>
      </c>
      <c r="BS13" s="2030">
        <f t="shared" si="11"/>
        <v>0</v>
      </c>
      <c r="BT13" s="2031"/>
      <c r="BU13" s="2031"/>
      <c r="BV13" s="2031"/>
      <c r="BW13" s="2031"/>
      <c r="BX13" s="2031"/>
      <c r="BY13" s="2031"/>
      <c r="BZ13" s="2031"/>
      <c r="CA13" s="2031"/>
      <c r="CB13" s="2029"/>
      <c r="CC13" s="2029"/>
      <c r="CD13" s="2029"/>
      <c r="CE13" s="2029"/>
      <c r="CF13" s="2029"/>
      <c r="CG13" s="2032"/>
      <c r="CH13" s="1974"/>
      <c r="CI13" s="1974"/>
      <c r="CJ13" s="1974"/>
      <c r="CK13" s="1974"/>
      <c r="CL13" s="1974">
        <v>1</v>
      </c>
      <c r="CM13" s="2033">
        <v>6.0773476319269087E-4</v>
      </c>
      <c r="CN13" s="2026">
        <v>-8.9921493525242614E-4</v>
      </c>
      <c r="CO13" s="1974">
        <v>1</v>
      </c>
      <c r="CP13" s="2040">
        <v>-0.67827777777777754</v>
      </c>
      <c r="CQ13" s="2040"/>
      <c r="CR13" s="2062">
        <v>1</v>
      </c>
      <c r="CS13" s="2062">
        <v>1</v>
      </c>
      <c r="CT13" s="2121">
        <v>0.33985765124555156</v>
      </c>
      <c r="CU13" s="2121">
        <v>0.33985765124555156</v>
      </c>
      <c r="CV13" s="2036"/>
      <c r="CW13" s="2036"/>
      <c r="CX13" s="2036"/>
      <c r="CY13" s="2036"/>
      <c r="CZ13" s="2036"/>
      <c r="DA13" s="2036"/>
    </row>
    <row r="14" spans="1:106" x14ac:dyDescent="0.25">
      <c r="A14" s="2185" t="s">
        <v>90</v>
      </c>
      <c r="B14" s="2022" t="s">
        <v>2862</v>
      </c>
      <c r="C14" s="2023">
        <v>15</v>
      </c>
      <c r="D14" s="2023">
        <v>1</v>
      </c>
      <c r="E14" s="1973">
        <f>F14*$CS14</f>
        <v>627.30672697694672</v>
      </c>
      <c r="F14" s="2024">
        <v>627.30672697694672</v>
      </c>
      <c r="G14" s="1973">
        <f>H14*$CS14</f>
        <v>0.11402350209504306</v>
      </c>
      <c r="H14" s="2024">
        <v>0.11402350209504306</v>
      </c>
      <c r="I14" s="1973">
        <f>J14*$CS14</f>
        <v>-6.9807196028869232</v>
      </c>
      <c r="J14" s="2023">
        <v>-6.9807196028869232</v>
      </c>
      <c r="K14" s="2025" t="s">
        <v>4</v>
      </c>
      <c r="L14" s="2025" t="s">
        <v>4</v>
      </c>
      <c r="M14" s="2026">
        <v>0.77800000000000002</v>
      </c>
      <c r="N14" s="2026">
        <v>0.77800000000000002</v>
      </c>
      <c r="O14" s="2026">
        <v>0.77800000000000002</v>
      </c>
      <c r="P14" s="2026">
        <v>0.77800000000000002</v>
      </c>
      <c r="Q14" s="2027">
        <f t="shared" si="18"/>
        <v>488.04463358806458</v>
      </c>
      <c r="R14" s="2027">
        <f t="shared" si="18"/>
        <v>488.04463358806458</v>
      </c>
      <c r="S14" s="2027">
        <f t="shared" si="18"/>
        <v>488.04463358806458</v>
      </c>
      <c r="T14" s="2027">
        <f t="shared" si="18"/>
        <v>488.04463358806458</v>
      </c>
      <c r="U14" s="2026">
        <v>0.77800000000000002</v>
      </c>
      <c r="V14" s="2026">
        <v>0.77800000000000002</v>
      </c>
      <c r="W14" s="2026">
        <v>0.77800000000000002</v>
      </c>
      <c r="X14" s="2026">
        <v>0.77800000000000002</v>
      </c>
      <c r="Y14" s="2028">
        <f t="shared" si="19"/>
        <v>8.8710284629943501E-2</v>
      </c>
      <c r="Z14" s="2028">
        <f t="shared" si="19"/>
        <v>8.8710284629943501E-2</v>
      </c>
      <c r="AA14" s="2028">
        <f t="shared" si="19"/>
        <v>8.8710284629943501E-2</v>
      </c>
      <c r="AB14" s="2028">
        <f t="shared" si="19"/>
        <v>8.8710284629943501E-2</v>
      </c>
      <c r="AC14" s="2026">
        <v>0.77800000000000002</v>
      </c>
      <c r="AD14" s="2026">
        <v>0.77800000000000002</v>
      </c>
      <c r="AE14" s="2026">
        <v>0.77800000000000002</v>
      </c>
      <c r="AF14" s="2026">
        <v>0.77800000000000002</v>
      </c>
      <c r="AG14" s="2027">
        <f t="shared" si="20"/>
        <v>-5.4309998510460264</v>
      </c>
      <c r="AH14" s="2027">
        <f t="shared" si="20"/>
        <v>-5.4309998510460264</v>
      </c>
      <c r="AI14" s="2027">
        <f t="shared" si="20"/>
        <v>-5.4309998510460264</v>
      </c>
      <c r="AJ14" s="2027">
        <f t="shared" si="20"/>
        <v>-5.4309998510460264</v>
      </c>
      <c r="AK14" s="2027">
        <v>158</v>
      </c>
      <c r="AL14" s="2027">
        <v>0</v>
      </c>
      <c r="AM14" s="2027">
        <v>0</v>
      </c>
      <c r="AN14" s="2027">
        <v>0</v>
      </c>
      <c r="AO14" s="2027">
        <f t="shared" si="3"/>
        <v>77111.052106914198</v>
      </c>
      <c r="AP14" s="2027">
        <f t="shared" si="4"/>
        <v>0</v>
      </c>
      <c r="AQ14" s="2027">
        <f t="shared" si="4"/>
        <v>0</v>
      </c>
      <c r="AR14" s="2027"/>
      <c r="AS14" s="2027">
        <f t="shared" si="5"/>
        <v>0</v>
      </c>
      <c r="AT14" s="2027">
        <f t="shared" si="6"/>
        <v>-858.09797646527215</v>
      </c>
      <c r="AU14" s="2027">
        <f t="shared" si="7"/>
        <v>0</v>
      </c>
      <c r="AV14" s="2027">
        <f t="shared" si="7"/>
        <v>0</v>
      </c>
      <c r="AW14" s="2027">
        <f t="shared" si="7"/>
        <v>0</v>
      </c>
      <c r="AX14" s="2029">
        <v>7.6624994999999991</v>
      </c>
      <c r="AY14" s="2029">
        <v>7.6624994999999991</v>
      </c>
      <c r="AZ14" s="2029">
        <v>7.6624994999999991</v>
      </c>
      <c r="BA14" s="2029">
        <v>7.6624994999999991</v>
      </c>
      <c r="BB14" s="1974"/>
      <c r="BC14" s="2029">
        <v>0</v>
      </c>
      <c r="BD14" s="2029">
        <v>0</v>
      </c>
      <c r="BE14" s="2029">
        <v>0</v>
      </c>
      <c r="BF14" s="2029">
        <v>55</v>
      </c>
      <c r="BG14" s="2029">
        <v>55</v>
      </c>
      <c r="BH14" s="2029">
        <v>55</v>
      </c>
      <c r="BI14" s="2029">
        <v>55</v>
      </c>
      <c r="BJ14" s="2030">
        <f t="shared" si="8"/>
        <v>1210.6749209999998</v>
      </c>
      <c r="BK14" s="2030">
        <f t="shared" si="8"/>
        <v>0</v>
      </c>
      <c r="BL14" s="2030">
        <f t="shared" si="8"/>
        <v>0</v>
      </c>
      <c r="BM14" s="2030"/>
      <c r="BN14" s="2030">
        <f t="shared" si="9"/>
        <v>0</v>
      </c>
      <c r="BO14" s="2030">
        <f t="shared" si="10"/>
        <v>0</v>
      </c>
      <c r="BP14" s="2030"/>
      <c r="BQ14" s="2030">
        <f t="shared" si="11"/>
        <v>0</v>
      </c>
      <c r="BR14" s="2030">
        <f t="shared" si="11"/>
        <v>0</v>
      </c>
      <c r="BS14" s="2030">
        <f t="shared" si="11"/>
        <v>0</v>
      </c>
      <c r="BT14" s="2031"/>
      <c r="BU14" s="2031"/>
      <c r="BV14" s="2031"/>
      <c r="BW14" s="2031"/>
      <c r="BX14" s="2031"/>
      <c r="BY14" s="2031"/>
      <c r="BZ14" s="2031"/>
      <c r="CA14" s="2031"/>
      <c r="CB14" s="2029"/>
      <c r="CC14" s="2029"/>
      <c r="CD14" s="2029"/>
      <c r="CE14" s="2029"/>
      <c r="CF14" s="2029"/>
      <c r="CG14" s="2032"/>
      <c r="CH14" s="1974"/>
      <c r="CI14" s="1974"/>
      <c r="CJ14" s="1974"/>
      <c r="CK14" s="1974"/>
      <c r="CL14" s="1974">
        <v>1</v>
      </c>
      <c r="CM14" s="2033">
        <v>2.9424854413814626E-4</v>
      </c>
      <c r="CN14" s="2026">
        <v>-3.1489671859253883E-4</v>
      </c>
      <c r="CO14" s="1974">
        <v>1</v>
      </c>
      <c r="CP14" s="2040">
        <v>2.5533333333333332</v>
      </c>
      <c r="CQ14" s="2040"/>
      <c r="CR14" s="2062">
        <v>1</v>
      </c>
      <c r="CS14" s="2062">
        <v>1</v>
      </c>
      <c r="CT14" s="2121">
        <v>0.6123711340206186</v>
      </c>
      <c r="CU14" s="2121">
        <v>0.6123711340206186</v>
      </c>
      <c r="CV14" s="2036"/>
      <c r="CW14" s="2036"/>
      <c r="CX14" s="2036"/>
      <c r="CY14" s="2036"/>
      <c r="CZ14" s="2036"/>
      <c r="DA14" s="2036"/>
    </row>
    <row r="15" spans="1:106" ht="23" x14ac:dyDescent="0.25">
      <c r="A15" s="2185" t="s">
        <v>91</v>
      </c>
      <c r="B15" s="2022" t="s">
        <v>2863</v>
      </c>
      <c r="C15" s="2023">
        <v>15</v>
      </c>
      <c r="D15" s="2023">
        <v>1</v>
      </c>
      <c r="E15" s="1973">
        <f>F15*$CS15</f>
        <v>421.3205987299782</v>
      </c>
      <c r="F15" s="2024">
        <v>421.3205987299782</v>
      </c>
      <c r="G15" s="1973">
        <f>H15*$CS15</f>
        <v>8.5407598708988966E-2</v>
      </c>
      <c r="H15" s="2024">
        <v>8.5407598708988966E-2</v>
      </c>
      <c r="I15" s="1973">
        <f>J15*$CS15</f>
        <v>-6.3152950628887501</v>
      </c>
      <c r="J15" s="2023">
        <v>-6.3152950628887501</v>
      </c>
      <c r="K15" s="2025" t="s">
        <v>4</v>
      </c>
      <c r="L15" s="2025" t="s">
        <v>4</v>
      </c>
      <c r="M15" s="2026">
        <v>0.77800000000000002</v>
      </c>
      <c r="N15" s="2026">
        <v>0.77800000000000002</v>
      </c>
      <c r="O15" s="2026">
        <v>0.77800000000000002</v>
      </c>
      <c r="P15" s="2026">
        <v>0.77800000000000002</v>
      </c>
      <c r="Q15" s="2027">
        <f t="shared" si="18"/>
        <v>327.78742581192307</v>
      </c>
      <c r="R15" s="2027">
        <f t="shared" si="18"/>
        <v>327.78742581192307</v>
      </c>
      <c r="S15" s="2027">
        <f t="shared" si="18"/>
        <v>327.78742581192307</v>
      </c>
      <c r="T15" s="2027">
        <f t="shared" si="18"/>
        <v>327.78742581192307</v>
      </c>
      <c r="U15" s="2026">
        <v>0.77800000000000002</v>
      </c>
      <c r="V15" s="2026">
        <v>0.77800000000000002</v>
      </c>
      <c r="W15" s="2026">
        <v>0.77800000000000002</v>
      </c>
      <c r="X15" s="2026">
        <v>0.77800000000000002</v>
      </c>
      <c r="Y15" s="2028">
        <f t="shared" si="19"/>
        <v>6.6447111795593414E-2</v>
      </c>
      <c r="Z15" s="2028">
        <f t="shared" si="19"/>
        <v>6.6447111795593414E-2</v>
      </c>
      <c r="AA15" s="2028">
        <f t="shared" si="19"/>
        <v>6.6447111795593414E-2</v>
      </c>
      <c r="AB15" s="2028">
        <f t="shared" si="19"/>
        <v>6.6447111795593414E-2</v>
      </c>
      <c r="AC15" s="2026">
        <v>0.77800000000000002</v>
      </c>
      <c r="AD15" s="2026">
        <v>0.77800000000000002</v>
      </c>
      <c r="AE15" s="2026">
        <v>0.77800000000000002</v>
      </c>
      <c r="AF15" s="2026">
        <v>0.77800000000000002</v>
      </c>
      <c r="AG15" s="2027">
        <f t="shared" si="20"/>
        <v>-4.9132995589274477</v>
      </c>
      <c r="AH15" s="2027">
        <f t="shared" si="20"/>
        <v>-4.9132995589274477</v>
      </c>
      <c r="AI15" s="2027">
        <f t="shared" si="20"/>
        <v>-4.9132995589274477</v>
      </c>
      <c r="AJ15" s="2027">
        <f t="shared" si="20"/>
        <v>-4.9132995589274477</v>
      </c>
      <c r="AK15" s="2027">
        <v>223</v>
      </c>
      <c r="AL15" s="2027">
        <v>0</v>
      </c>
      <c r="AM15" s="2027">
        <v>0</v>
      </c>
      <c r="AN15" s="2027">
        <v>0</v>
      </c>
      <c r="AO15" s="2027">
        <f t="shared" si="3"/>
        <v>73096.595956058838</v>
      </c>
      <c r="AP15" s="2027">
        <f t="shared" si="4"/>
        <v>0</v>
      </c>
      <c r="AQ15" s="2027">
        <f t="shared" si="4"/>
        <v>0</v>
      </c>
      <c r="AR15" s="2027"/>
      <c r="AS15" s="2027">
        <f t="shared" si="5"/>
        <v>0</v>
      </c>
      <c r="AT15" s="2027">
        <f t="shared" si="6"/>
        <v>-1095.6658016408207</v>
      </c>
      <c r="AU15" s="2027">
        <f t="shared" si="7"/>
        <v>0</v>
      </c>
      <c r="AV15" s="2027">
        <f t="shared" si="7"/>
        <v>0</v>
      </c>
      <c r="AW15" s="2027">
        <f t="shared" si="7"/>
        <v>0</v>
      </c>
      <c r="AX15" s="2029">
        <v>5.4937499999999995</v>
      </c>
      <c r="AY15" s="2029">
        <v>5.4937499999999995</v>
      </c>
      <c r="AZ15" s="2029">
        <v>5.4937499999999995</v>
      </c>
      <c r="BA15" s="2029">
        <v>5.4937499999999995</v>
      </c>
      <c r="BB15" s="1974"/>
      <c r="BC15" s="2029">
        <v>0</v>
      </c>
      <c r="BD15" s="2029">
        <v>0</v>
      </c>
      <c r="BE15" s="2029">
        <v>0</v>
      </c>
      <c r="BF15" s="2029">
        <v>55</v>
      </c>
      <c r="BG15" s="2029">
        <v>55</v>
      </c>
      <c r="BH15" s="2029">
        <v>55</v>
      </c>
      <c r="BI15" s="2029">
        <v>55</v>
      </c>
      <c r="BJ15" s="2030">
        <f t="shared" si="8"/>
        <v>1225.1062499999998</v>
      </c>
      <c r="BK15" s="2030">
        <f t="shared" si="8"/>
        <v>0</v>
      </c>
      <c r="BL15" s="2030">
        <f t="shared" si="8"/>
        <v>0</v>
      </c>
      <c r="BM15" s="2030"/>
      <c r="BN15" s="2030">
        <f t="shared" si="9"/>
        <v>0</v>
      </c>
      <c r="BO15" s="2030">
        <f t="shared" si="10"/>
        <v>0</v>
      </c>
      <c r="BP15" s="2030"/>
      <c r="BQ15" s="2030">
        <f t="shared" si="11"/>
        <v>0</v>
      </c>
      <c r="BR15" s="2030">
        <f t="shared" si="11"/>
        <v>0</v>
      </c>
      <c r="BS15" s="2030">
        <f t="shared" si="11"/>
        <v>0</v>
      </c>
      <c r="BT15" s="2031"/>
      <c r="BU15" s="2031"/>
      <c r="BV15" s="2031"/>
      <c r="BW15" s="2031"/>
      <c r="BX15" s="2031"/>
      <c r="BY15" s="2031"/>
      <c r="BZ15" s="2031"/>
      <c r="CA15" s="2031"/>
      <c r="CB15" s="2029"/>
      <c r="CC15" s="2029"/>
      <c r="CD15" s="2029"/>
      <c r="CE15" s="2029"/>
      <c r="CF15" s="2029"/>
      <c r="CG15" s="2032"/>
      <c r="CH15" s="1974"/>
      <c r="CI15" s="1974"/>
      <c r="CJ15" s="1974"/>
      <c r="CK15" s="1974"/>
      <c r="CL15" s="1974">
        <v>1</v>
      </c>
      <c r="CM15" s="2033">
        <v>2.7997209430218799E-4</v>
      </c>
      <c r="CN15" s="2026">
        <v>-4.0357965333334385E-4</v>
      </c>
      <c r="CO15" s="1974">
        <v>1</v>
      </c>
      <c r="CP15" s="2040">
        <v>-0.67827777777777754</v>
      </c>
      <c r="CQ15" s="2040"/>
      <c r="CR15" s="2062">
        <v>1</v>
      </c>
      <c r="CS15" s="2062">
        <v>1</v>
      </c>
      <c r="CT15" s="2121">
        <v>0.45</v>
      </c>
      <c r="CU15" s="2121">
        <v>0.45</v>
      </c>
      <c r="CV15" s="2036"/>
      <c r="CW15" s="2036"/>
      <c r="CX15" s="2036"/>
      <c r="CY15" s="2036"/>
      <c r="CZ15" s="2036"/>
      <c r="DA15" s="2036"/>
    </row>
    <row r="16" spans="1:106" x14ac:dyDescent="0.25">
      <c r="A16" s="2185" t="s">
        <v>92</v>
      </c>
      <c r="B16" s="2022" t="s">
        <v>2864</v>
      </c>
      <c r="C16" s="2023">
        <v>8</v>
      </c>
      <c r="D16" s="2023">
        <v>0</v>
      </c>
      <c r="E16" s="2024">
        <v>159.1104</v>
      </c>
      <c r="F16" s="2024"/>
      <c r="G16" s="2024">
        <v>0.124848</v>
      </c>
      <c r="H16" s="2024"/>
      <c r="I16" s="2023">
        <v>-3.2113999999999998</v>
      </c>
      <c r="J16" s="2027"/>
      <c r="K16" s="2025" t="s">
        <v>4</v>
      </c>
      <c r="L16" s="2025" t="s">
        <v>4</v>
      </c>
      <c r="M16" s="2026">
        <v>0.77800000000000002</v>
      </c>
      <c r="N16" s="2026">
        <v>0.77800000000000002</v>
      </c>
      <c r="O16" s="2026">
        <v>0.77800000000000002</v>
      </c>
      <c r="P16" s="2026">
        <v>0.77800000000000002</v>
      </c>
      <c r="Q16" s="2027">
        <f t="shared" si="15"/>
        <v>123.7878912</v>
      </c>
      <c r="R16" s="2027">
        <f t="shared" si="15"/>
        <v>123.7878912</v>
      </c>
      <c r="S16" s="2027">
        <f t="shared" si="15"/>
        <v>123.7878912</v>
      </c>
      <c r="T16" s="2027">
        <f t="shared" si="15"/>
        <v>123.7878912</v>
      </c>
      <c r="U16" s="2026">
        <v>0.77800000000000002</v>
      </c>
      <c r="V16" s="2026">
        <v>0.77800000000000002</v>
      </c>
      <c r="W16" s="2026">
        <v>0.77800000000000002</v>
      </c>
      <c r="X16" s="2026">
        <v>0.77800000000000002</v>
      </c>
      <c r="Y16" s="2028">
        <f t="shared" si="16"/>
        <v>9.7131744000000006E-2</v>
      </c>
      <c r="Z16" s="2028">
        <f t="shared" si="16"/>
        <v>9.7131744000000006E-2</v>
      </c>
      <c r="AA16" s="2028">
        <f t="shared" si="16"/>
        <v>9.7131744000000006E-2</v>
      </c>
      <c r="AB16" s="2028">
        <f t="shared" si="16"/>
        <v>9.7131744000000006E-2</v>
      </c>
      <c r="AC16" s="2026">
        <v>0.77800000000000002</v>
      </c>
      <c r="AD16" s="2026">
        <v>0.77800000000000002</v>
      </c>
      <c r="AE16" s="2026">
        <v>0.77800000000000002</v>
      </c>
      <c r="AF16" s="2026">
        <v>0.77800000000000002</v>
      </c>
      <c r="AG16" s="2027">
        <f t="shared" si="17"/>
        <v>-2.4984691999999997</v>
      </c>
      <c r="AH16" s="2027">
        <f t="shared" si="17"/>
        <v>-2.4984691999999997</v>
      </c>
      <c r="AI16" s="2027">
        <f t="shared" si="17"/>
        <v>-2.4984691999999997</v>
      </c>
      <c r="AJ16" s="2027">
        <f t="shared" si="17"/>
        <v>-2.4984691999999997</v>
      </c>
      <c r="AK16" s="2027">
        <v>6435</v>
      </c>
      <c r="AL16" s="2027">
        <v>6902</v>
      </c>
      <c r="AM16" s="2027">
        <v>7227</v>
      </c>
      <c r="AN16" s="2027">
        <v>7351</v>
      </c>
      <c r="AO16" s="2027">
        <f t="shared" si="3"/>
        <v>796575.07987200003</v>
      </c>
      <c r="AP16" s="2027">
        <f t="shared" si="4"/>
        <v>854384.02506240003</v>
      </c>
      <c r="AQ16" s="2027">
        <f t="shared" si="4"/>
        <v>894615.08970240003</v>
      </c>
      <c r="AR16" s="2027"/>
      <c r="AS16" s="2027">
        <f t="shared" si="5"/>
        <v>909964.78821120004</v>
      </c>
      <c r="AT16" s="2027">
        <f t="shared" si="6"/>
        <v>-16077.649301999998</v>
      </c>
      <c r="AU16" s="2027">
        <f t="shared" si="7"/>
        <v>-17244.434418399997</v>
      </c>
      <c r="AV16" s="2027">
        <f t="shared" si="7"/>
        <v>-18056.436908399999</v>
      </c>
      <c r="AW16" s="2027">
        <f t="shared" si="7"/>
        <v>-18366.247089199998</v>
      </c>
      <c r="AX16" s="2029">
        <v>30</v>
      </c>
      <c r="AY16" s="2029">
        <v>30</v>
      </c>
      <c r="AZ16" s="2029">
        <v>30</v>
      </c>
      <c r="BA16" s="2029">
        <v>30</v>
      </c>
      <c r="BB16" s="1974"/>
      <c r="BC16" s="2029">
        <v>0</v>
      </c>
      <c r="BD16" s="2029">
        <v>0</v>
      </c>
      <c r="BE16" s="2029">
        <v>0</v>
      </c>
      <c r="BF16" s="2029">
        <v>91.83</v>
      </c>
      <c r="BG16" s="2029">
        <v>91.83</v>
      </c>
      <c r="BH16" s="2029">
        <v>91.83</v>
      </c>
      <c r="BI16" s="2029">
        <v>91.83</v>
      </c>
      <c r="BJ16" s="2030">
        <f t="shared" si="8"/>
        <v>193050</v>
      </c>
      <c r="BK16" s="2030">
        <f t="shared" si="8"/>
        <v>207060</v>
      </c>
      <c r="BL16" s="2030">
        <f t="shared" si="8"/>
        <v>216810</v>
      </c>
      <c r="BM16" s="2030"/>
      <c r="BN16" s="2030">
        <f t="shared" si="9"/>
        <v>220530</v>
      </c>
      <c r="BO16" s="2030">
        <f t="shared" si="10"/>
        <v>0</v>
      </c>
      <c r="BP16" s="2030"/>
      <c r="BQ16" s="2030">
        <f t="shared" si="11"/>
        <v>0</v>
      </c>
      <c r="BR16" s="2030">
        <f t="shared" si="11"/>
        <v>0</v>
      </c>
      <c r="BS16" s="2030">
        <f t="shared" si="11"/>
        <v>0</v>
      </c>
      <c r="BT16" s="2031"/>
      <c r="BU16" s="2031"/>
      <c r="BV16" s="2031"/>
      <c r="BW16" s="2031"/>
      <c r="BX16" s="2031"/>
      <c r="BY16" s="2031"/>
      <c r="BZ16" s="2031"/>
      <c r="CA16" s="2031"/>
      <c r="CB16" s="2029"/>
      <c r="CC16" s="2029"/>
      <c r="CD16" s="2029"/>
      <c r="CE16" s="2029"/>
      <c r="CF16" s="2029"/>
      <c r="CG16" s="2032"/>
      <c r="CH16" s="1974"/>
      <c r="CI16" s="1974"/>
      <c r="CJ16" s="1974"/>
      <c r="CK16" s="1974"/>
      <c r="CL16" s="1974">
        <v>0</v>
      </c>
      <c r="CM16" s="2033">
        <v>3.0682600129565397E-3</v>
      </c>
      <c r="CN16" s="2026">
        <v>-5.9555456625584435E-3</v>
      </c>
      <c r="CO16" s="1974">
        <v>0</v>
      </c>
      <c r="CP16" s="2040">
        <v>0</v>
      </c>
      <c r="CQ16" s="2040"/>
      <c r="CR16" s="2062">
        <v>1</v>
      </c>
      <c r="CS16" s="2062">
        <v>1</v>
      </c>
      <c r="CT16" s="2121">
        <v>1</v>
      </c>
      <c r="CU16" s="2121">
        <v>1</v>
      </c>
      <c r="CV16" s="2036"/>
      <c r="CW16" s="2036"/>
      <c r="CX16" s="2036"/>
      <c r="CY16" s="2036"/>
      <c r="CZ16" s="2036"/>
      <c r="DA16" s="2036"/>
    </row>
    <row r="17" spans="1:105" x14ac:dyDescent="0.25">
      <c r="A17" s="2185" t="s">
        <v>93</v>
      </c>
      <c r="B17" s="2022" t="s">
        <v>2865</v>
      </c>
      <c r="C17" s="2023">
        <v>8</v>
      </c>
      <c r="D17" s="2023">
        <v>0</v>
      </c>
      <c r="E17" s="2024">
        <v>488.84370000000001</v>
      </c>
      <c r="F17" s="2024"/>
      <c r="G17" s="2024">
        <v>0.35859099999999999</v>
      </c>
      <c r="H17" s="2024"/>
      <c r="I17" s="2023">
        <v>-9.8665699999999994</v>
      </c>
      <c r="J17" s="2027"/>
      <c r="K17" s="2025" t="s">
        <v>4</v>
      </c>
      <c r="L17" s="2025" t="s">
        <v>4</v>
      </c>
      <c r="M17" s="2026">
        <v>0.77800000000000002</v>
      </c>
      <c r="N17" s="2026">
        <v>0.77800000000000002</v>
      </c>
      <c r="O17" s="2026">
        <v>0.77800000000000002</v>
      </c>
      <c r="P17" s="2026">
        <v>0.77800000000000002</v>
      </c>
      <c r="Q17" s="2027">
        <f t="shared" si="15"/>
        <v>380.32039860000003</v>
      </c>
      <c r="R17" s="2027">
        <f t="shared" si="15"/>
        <v>380.32039860000003</v>
      </c>
      <c r="S17" s="2027">
        <f t="shared" si="15"/>
        <v>380.32039860000003</v>
      </c>
      <c r="T17" s="2027">
        <f t="shared" si="15"/>
        <v>380.32039860000003</v>
      </c>
      <c r="U17" s="2026">
        <v>0.77800000000000002</v>
      </c>
      <c r="V17" s="2026">
        <v>0.77800000000000002</v>
      </c>
      <c r="W17" s="2026">
        <v>0.77800000000000002</v>
      </c>
      <c r="X17" s="2026">
        <v>0.77800000000000002</v>
      </c>
      <c r="Y17" s="2028">
        <f t="shared" si="16"/>
        <v>0.27898379800000001</v>
      </c>
      <c r="Z17" s="2028">
        <f t="shared" si="16"/>
        <v>0.27898379800000001</v>
      </c>
      <c r="AA17" s="2028">
        <f t="shared" si="16"/>
        <v>0.27898379800000001</v>
      </c>
      <c r="AB17" s="2028">
        <f t="shared" si="16"/>
        <v>0.27898379800000001</v>
      </c>
      <c r="AC17" s="2026">
        <v>0.77800000000000002</v>
      </c>
      <c r="AD17" s="2026">
        <v>0.77800000000000002</v>
      </c>
      <c r="AE17" s="2026">
        <v>0.77800000000000002</v>
      </c>
      <c r="AF17" s="2026">
        <v>0.77800000000000002</v>
      </c>
      <c r="AG17" s="2027">
        <f t="shared" si="17"/>
        <v>-7.6761914600000001</v>
      </c>
      <c r="AH17" s="2027">
        <f t="shared" si="17"/>
        <v>-7.6761914600000001</v>
      </c>
      <c r="AI17" s="2027">
        <f t="shared" si="17"/>
        <v>-7.6761914600000001</v>
      </c>
      <c r="AJ17" s="2027">
        <f t="shared" si="17"/>
        <v>-7.6761914600000001</v>
      </c>
      <c r="AK17" s="2027">
        <v>167</v>
      </c>
      <c r="AL17" s="2027">
        <v>175</v>
      </c>
      <c r="AM17" s="2027">
        <v>183</v>
      </c>
      <c r="AN17" s="2027">
        <v>186</v>
      </c>
      <c r="AO17" s="2027">
        <f t="shared" si="3"/>
        <v>63513.506566200005</v>
      </c>
      <c r="AP17" s="2027">
        <f t="shared" si="4"/>
        <v>66556.069755000004</v>
      </c>
      <c r="AQ17" s="2027">
        <f t="shared" si="4"/>
        <v>69598.63294380001</v>
      </c>
      <c r="AR17" s="2027"/>
      <c r="AS17" s="2027">
        <f t="shared" si="5"/>
        <v>70739.594139600013</v>
      </c>
      <c r="AT17" s="2027">
        <f t="shared" si="6"/>
        <v>-1281.9239738199999</v>
      </c>
      <c r="AU17" s="2027">
        <f t="shared" si="7"/>
        <v>-1343.3335055</v>
      </c>
      <c r="AV17" s="2027">
        <f t="shared" si="7"/>
        <v>-1404.7430371800001</v>
      </c>
      <c r="AW17" s="2027">
        <f t="shared" si="7"/>
        <v>-1427.7716115600001</v>
      </c>
      <c r="AX17" s="2029">
        <v>30</v>
      </c>
      <c r="AY17" s="2029">
        <v>30</v>
      </c>
      <c r="AZ17" s="2029">
        <v>30</v>
      </c>
      <c r="BA17" s="2029">
        <v>30</v>
      </c>
      <c r="BB17" s="1974"/>
      <c r="BC17" s="2029">
        <v>0</v>
      </c>
      <c r="BD17" s="2029">
        <v>0</v>
      </c>
      <c r="BE17" s="2029">
        <v>0</v>
      </c>
      <c r="BF17" s="2029">
        <v>102</v>
      </c>
      <c r="BG17" s="2029">
        <v>102</v>
      </c>
      <c r="BH17" s="2029">
        <v>102</v>
      </c>
      <c r="BI17" s="2029">
        <v>102</v>
      </c>
      <c r="BJ17" s="2030">
        <f t="shared" si="8"/>
        <v>5010</v>
      </c>
      <c r="BK17" s="2030">
        <f t="shared" si="8"/>
        <v>5250</v>
      </c>
      <c r="BL17" s="2030">
        <f t="shared" si="8"/>
        <v>5490</v>
      </c>
      <c r="BM17" s="2030"/>
      <c r="BN17" s="2030">
        <f t="shared" si="9"/>
        <v>5580</v>
      </c>
      <c r="BO17" s="2030">
        <f t="shared" si="10"/>
        <v>0</v>
      </c>
      <c r="BP17" s="2030"/>
      <c r="BQ17" s="2030">
        <f t="shared" si="11"/>
        <v>0</v>
      </c>
      <c r="BR17" s="2030">
        <f t="shared" si="11"/>
        <v>0</v>
      </c>
      <c r="BS17" s="2030">
        <f t="shared" si="11"/>
        <v>0</v>
      </c>
      <c r="BT17" s="2031"/>
      <c r="BU17" s="2031"/>
      <c r="BV17" s="2031"/>
      <c r="BW17" s="2031"/>
      <c r="BX17" s="2031"/>
      <c r="BY17" s="2031"/>
      <c r="BZ17" s="2031"/>
      <c r="CA17" s="2031"/>
      <c r="CB17" s="2029"/>
      <c r="CC17" s="2029"/>
      <c r="CD17" s="2029"/>
      <c r="CE17" s="2029"/>
      <c r="CF17" s="2029"/>
      <c r="CG17" s="2032"/>
      <c r="CH17" s="1974"/>
      <c r="CI17" s="1974"/>
      <c r="CJ17" s="1974"/>
      <c r="CK17" s="1974"/>
      <c r="CL17" s="1974">
        <v>0</v>
      </c>
      <c r="CM17" s="2033">
        <v>2.4331297152665701E-4</v>
      </c>
      <c r="CN17" s="2026">
        <v>-4.7227505222338791E-4</v>
      </c>
      <c r="CO17" s="1974">
        <v>0</v>
      </c>
      <c r="CP17" s="2040">
        <v>0</v>
      </c>
      <c r="CQ17" s="2040"/>
      <c r="CR17" s="2062">
        <v>1</v>
      </c>
      <c r="CS17" s="2062">
        <v>1</v>
      </c>
      <c r="CT17" s="2121">
        <v>1</v>
      </c>
      <c r="CU17" s="2121">
        <v>1</v>
      </c>
      <c r="CV17" s="2036"/>
      <c r="CW17" s="2036"/>
      <c r="CX17" s="2036"/>
      <c r="CY17" s="2036"/>
      <c r="CZ17" s="2036"/>
      <c r="DA17" s="2036"/>
    </row>
    <row r="18" spans="1:105" x14ac:dyDescent="0.25">
      <c r="A18" s="2185" t="s">
        <v>94</v>
      </c>
      <c r="B18" s="2022" t="s">
        <v>2866</v>
      </c>
      <c r="C18" s="2023">
        <v>8</v>
      </c>
      <c r="D18" s="2023">
        <v>0</v>
      </c>
      <c r="E18" s="2024">
        <v>304.13</v>
      </c>
      <c r="F18" s="2024"/>
      <c r="G18" s="2024">
        <v>0.1</v>
      </c>
      <c r="H18" s="2024"/>
      <c r="I18" s="2023">
        <v>-4.42</v>
      </c>
      <c r="J18" s="2027"/>
      <c r="K18" s="2025" t="s">
        <v>4</v>
      </c>
      <c r="L18" s="2025" t="s">
        <v>4</v>
      </c>
      <c r="M18" s="2026">
        <v>0.77800000000000002</v>
      </c>
      <c r="N18" s="2026">
        <v>0.77800000000000002</v>
      </c>
      <c r="O18" s="2026">
        <v>0.77800000000000002</v>
      </c>
      <c r="P18" s="2026">
        <v>0.77800000000000002</v>
      </c>
      <c r="Q18" s="2027">
        <f t="shared" si="15"/>
        <v>236.61314000000002</v>
      </c>
      <c r="R18" s="2027">
        <f t="shared" si="15"/>
        <v>236.61314000000002</v>
      </c>
      <c r="S18" s="2027">
        <f t="shared" si="15"/>
        <v>236.61314000000002</v>
      </c>
      <c r="T18" s="2027">
        <f t="shared" si="15"/>
        <v>236.61314000000002</v>
      </c>
      <c r="U18" s="2026">
        <v>0.77800000000000002</v>
      </c>
      <c r="V18" s="2026">
        <v>0.77800000000000002</v>
      </c>
      <c r="W18" s="2026">
        <v>0.77800000000000002</v>
      </c>
      <c r="X18" s="2026">
        <v>0.77800000000000002</v>
      </c>
      <c r="Y18" s="2028">
        <f t="shared" si="16"/>
        <v>7.7800000000000008E-2</v>
      </c>
      <c r="Z18" s="2028">
        <f t="shared" si="16"/>
        <v>7.7800000000000008E-2</v>
      </c>
      <c r="AA18" s="2028">
        <f t="shared" si="16"/>
        <v>7.7800000000000008E-2</v>
      </c>
      <c r="AB18" s="2028">
        <f t="shared" si="16"/>
        <v>7.7800000000000008E-2</v>
      </c>
      <c r="AC18" s="2026">
        <v>0.77800000000000002</v>
      </c>
      <c r="AD18" s="2026">
        <v>0.77800000000000002</v>
      </c>
      <c r="AE18" s="2026">
        <v>0.77800000000000002</v>
      </c>
      <c r="AF18" s="2026">
        <v>0.77800000000000002</v>
      </c>
      <c r="AG18" s="2027">
        <f t="shared" si="17"/>
        <v>-3.4387600000000003</v>
      </c>
      <c r="AH18" s="2027">
        <f t="shared" si="17"/>
        <v>-3.4387600000000003</v>
      </c>
      <c r="AI18" s="2027">
        <f t="shared" si="17"/>
        <v>-3.4387600000000003</v>
      </c>
      <c r="AJ18" s="2027">
        <f t="shared" si="17"/>
        <v>-3.4387600000000003</v>
      </c>
      <c r="AK18" s="2027">
        <v>166</v>
      </c>
      <c r="AL18" s="2027">
        <v>173</v>
      </c>
      <c r="AM18" s="2027">
        <v>173</v>
      </c>
      <c r="AN18" s="2027">
        <v>166</v>
      </c>
      <c r="AO18" s="2027">
        <f t="shared" si="3"/>
        <v>39277.781240000004</v>
      </c>
      <c r="AP18" s="2027">
        <f t="shared" si="4"/>
        <v>40934.073220000006</v>
      </c>
      <c r="AQ18" s="2027">
        <f t="shared" si="4"/>
        <v>40934.073220000006</v>
      </c>
      <c r="AR18" s="2027"/>
      <c r="AS18" s="2027">
        <f t="shared" si="5"/>
        <v>39277.781240000004</v>
      </c>
      <c r="AT18" s="2027">
        <f t="shared" si="6"/>
        <v>-570.83416</v>
      </c>
      <c r="AU18" s="2027">
        <f t="shared" si="7"/>
        <v>-594.90548000000001</v>
      </c>
      <c r="AV18" s="2027">
        <f t="shared" si="7"/>
        <v>-594.90548000000001</v>
      </c>
      <c r="AW18" s="2027">
        <f t="shared" si="7"/>
        <v>-570.83416</v>
      </c>
      <c r="AX18" s="2029">
        <v>20</v>
      </c>
      <c r="AY18" s="2029">
        <v>20</v>
      </c>
      <c r="AZ18" s="2029">
        <v>20</v>
      </c>
      <c r="BA18" s="2029">
        <v>20</v>
      </c>
      <c r="BB18" s="1974"/>
      <c r="BC18" s="2029">
        <v>0</v>
      </c>
      <c r="BD18" s="2029">
        <v>0</v>
      </c>
      <c r="BE18" s="2029">
        <v>0</v>
      </c>
      <c r="BF18" s="2029">
        <v>61</v>
      </c>
      <c r="BG18" s="2029">
        <v>61</v>
      </c>
      <c r="BH18" s="2029">
        <v>61</v>
      </c>
      <c r="BI18" s="2029">
        <v>61</v>
      </c>
      <c r="BJ18" s="2030">
        <f t="shared" si="8"/>
        <v>3320</v>
      </c>
      <c r="BK18" s="2030">
        <f t="shared" si="8"/>
        <v>3460</v>
      </c>
      <c r="BL18" s="2030">
        <f t="shared" si="8"/>
        <v>3460</v>
      </c>
      <c r="BM18" s="2030"/>
      <c r="BN18" s="2030">
        <f t="shared" si="9"/>
        <v>3320</v>
      </c>
      <c r="BO18" s="2030">
        <f t="shared" si="10"/>
        <v>0</v>
      </c>
      <c r="BP18" s="2030"/>
      <c r="BQ18" s="2030">
        <f t="shared" si="11"/>
        <v>0</v>
      </c>
      <c r="BR18" s="2030">
        <f t="shared" si="11"/>
        <v>0</v>
      </c>
      <c r="BS18" s="2030">
        <f t="shared" si="11"/>
        <v>0</v>
      </c>
      <c r="BT18" s="2031"/>
      <c r="BU18" s="2031"/>
      <c r="BV18" s="2031"/>
      <c r="BW18" s="2031"/>
      <c r="BX18" s="2031"/>
      <c r="BY18" s="2031"/>
      <c r="BZ18" s="2031"/>
      <c r="CA18" s="2031"/>
      <c r="CB18" s="2029"/>
      <c r="CC18" s="2029"/>
      <c r="CD18" s="2029"/>
      <c r="CE18" s="2029"/>
      <c r="CF18" s="2029"/>
      <c r="CG18" s="2032"/>
      <c r="CH18" s="1974"/>
      <c r="CI18" s="1974"/>
      <c r="CJ18" s="1974"/>
      <c r="CK18" s="1974"/>
      <c r="CL18" s="1974">
        <v>0</v>
      </c>
      <c r="CM18" s="2033">
        <v>1.5058258067786773E-4</v>
      </c>
      <c r="CN18" s="2026">
        <v>-2.1046084335604165E-4</v>
      </c>
      <c r="CO18" s="1974">
        <v>0</v>
      </c>
      <c r="CP18" s="2040">
        <v>0</v>
      </c>
      <c r="CQ18" s="2040"/>
      <c r="CR18" s="2062">
        <v>1</v>
      </c>
      <c r="CS18" s="2062">
        <v>1</v>
      </c>
      <c r="CT18" s="2121">
        <v>1</v>
      </c>
      <c r="CU18" s="2121">
        <v>1</v>
      </c>
      <c r="CV18" s="2036"/>
      <c r="CW18" s="2036"/>
      <c r="CX18" s="2036"/>
      <c r="CY18" s="2036"/>
      <c r="CZ18" s="2036"/>
      <c r="DA18" s="2036"/>
    </row>
    <row r="19" spans="1:105" x14ac:dyDescent="0.25">
      <c r="A19" s="2185" t="s">
        <v>95</v>
      </c>
      <c r="B19" s="2022" t="s">
        <v>2867</v>
      </c>
      <c r="C19" s="2023">
        <v>8</v>
      </c>
      <c r="D19" s="2023">
        <v>0</v>
      </c>
      <c r="E19" s="2024">
        <v>88.394639999999995</v>
      </c>
      <c r="F19" s="2024"/>
      <c r="G19" s="2024">
        <v>6.9360000000000005E-2</v>
      </c>
      <c r="H19" s="2024"/>
      <c r="I19" s="2023">
        <v>-1.7841100000000001</v>
      </c>
      <c r="J19" s="2027"/>
      <c r="K19" s="2026" t="s">
        <v>4</v>
      </c>
      <c r="L19" s="2026" t="s">
        <v>4</v>
      </c>
      <c r="M19" s="2026">
        <v>0.77800000000000002</v>
      </c>
      <c r="N19" s="2026">
        <v>0.77800000000000002</v>
      </c>
      <c r="O19" s="2026">
        <v>0.77800000000000002</v>
      </c>
      <c r="P19" s="2026">
        <v>0.77800000000000002</v>
      </c>
      <c r="Q19" s="2027">
        <f t="shared" si="15"/>
        <v>68.771029920000004</v>
      </c>
      <c r="R19" s="2027">
        <f t="shared" si="15"/>
        <v>68.771029920000004</v>
      </c>
      <c r="S19" s="2027">
        <f t="shared" si="15"/>
        <v>68.771029920000004</v>
      </c>
      <c r="T19" s="2027">
        <f t="shared" si="15"/>
        <v>68.771029920000004</v>
      </c>
      <c r="U19" s="2026">
        <v>0.77800000000000002</v>
      </c>
      <c r="V19" s="2026">
        <v>0.77800000000000002</v>
      </c>
      <c r="W19" s="2026">
        <v>0.77800000000000002</v>
      </c>
      <c r="X19" s="2026">
        <v>0.77800000000000002</v>
      </c>
      <c r="Y19" s="2028">
        <f t="shared" si="16"/>
        <v>5.3962080000000003E-2</v>
      </c>
      <c r="Z19" s="2028">
        <f t="shared" si="16"/>
        <v>5.3962080000000003E-2</v>
      </c>
      <c r="AA19" s="2028">
        <f t="shared" si="16"/>
        <v>5.3962080000000003E-2</v>
      </c>
      <c r="AB19" s="2028">
        <f t="shared" si="16"/>
        <v>5.3962080000000003E-2</v>
      </c>
      <c r="AC19" s="2026">
        <v>0.77800000000000002</v>
      </c>
      <c r="AD19" s="2026">
        <v>0.77800000000000002</v>
      </c>
      <c r="AE19" s="2026">
        <v>0.77800000000000002</v>
      </c>
      <c r="AF19" s="2026">
        <v>0.77800000000000002</v>
      </c>
      <c r="AG19" s="2027">
        <f t="shared" si="17"/>
        <v>-1.3880375800000002</v>
      </c>
      <c r="AH19" s="2027">
        <f t="shared" si="17"/>
        <v>-1.3880375800000002</v>
      </c>
      <c r="AI19" s="2027">
        <f t="shared" si="17"/>
        <v>-1.3880375800000002</v>
      </c>
      <c r="AJ19" s="2027">
        <f t="shared" si="17"/>
        <v>-1.3880375800000002</v>
      </c>
      <c r="AK19" s="2027">
        <v>2610</v>
      </c>
      <c r="AL19" s="2027">
        <v>5721</v>
      </c>
      <c r="AM19" s="2027">
        <v>6086</v>
      </c>
      <c r="AN19" s="2027">
        <v>6384</v>
      </c>
      <c r="AO19" s="2027">
        <f t="shared" si="3"/>
        <v>179492.3880912</v>
      </c>
      <c r="AP19" s="2027">
        <f t="shared" si="4"/>
        <v>393439.06217232003</v>
      </c>
      <c r="AQ19" s="2027">
        <f t="shared" si="4"/>
        <v>418540.48809312005</v>
      </c>
      <c r="AR19" s="2027"/>
      <c r="AS19" s="2027">
        <f t="shared" si="5"/>
        <v>439034.25500928005</v>
      </c>
      <c r="AT19" s="2027">
        <f t="shared" si="6"/>
        <v>-3622.7780838000008</v>
      </c>
      <c r="AU19" s="2027">
        <f t="shared" si="7"/>
        <v>-7940.9629951800016</v>
      </c>
      <c r="AV19" s="2027">
        <f t="shared" si="7"/>
        <v>-8447.5967118800017</v>
      </c>
      <c r="AW19" s="2027">
        <f t="shared" si="7"/>
        <v>-8861.2319107200019</v>
      </c>
      <c r="AX19" s="2029">
        <v>15</v>
      </c>
      <c r="AY19" s="2029">
        <v>15</v>
      </c>
      <c r="AZ19" s="2029">
        <v>15</v>
      </c>
      <c r="BA19" s="2029">
        <v>15</v>
      </c>
      <c r="BB19" s="1974"/>
      <c r="BC19" s="2029">
        <v>0</v>
      </c>
      <c r="BD19" s="2029">
        <v>0</v>
      </c>
      <c r="BE19" s="2029">
        <v>0</v>
      </c>
      <c r="BF19" s="2029">
        <v>51</v>
      </c>
      <c r="BG19" s="2029">
        <v>51</v>
      </c>
      <c r="BH19" s="2029">
        <v>51</v>
      </c>
      <c r="BI19" s="2029">
        <v>51</v>
      </c>
      <c r="BJ19" s="2030">
        <f t="shared" si="8"/>
        <v>39150</v>
      </c>
      <c r="BK19" s="2030">
        <f t="shared" si="8"/>
        <v>85815</v>
      </c>
      <c r="BL19" s="2030">
        <f t="shared" si="8"/>
        <v>91290</v>
      </c>
      <c r="BM19" s="2030"/>
      <c r="BN19" s="2030">
        <f t="shared" si="9"/>
        <v>95760</v>
      </c>
      <c r="BO19" s="2030">
        <f t="shared" si="10"/>
        <v>0</v>
      </c>
      <c r="BP19" s="2030"/>
      <c r="BQ19" s="2030">
        <f t="shared" si="11"/>
        <v>0</v>
      </c>
      <c r="BR19" s="2030">
        <f t="shared" si="11"/>
        <v>0</v>
      </c>
      <c r="BS19" s="2030">
        <f t="shared" si="11"/>
        <v>0</v>
      </c>
      <c r="BT19" s="2031"/>
      <c r="BU19" s="2031"/>
      <c r="BV19" s="2031"/>
      <c r="BW19" s="2031"/>
      <c r="BX19" s="2031"/>
      <c r="BY19" s="2031"/>
      <c r="BZ19" s="2031"/>
      <c r="CA19" s="2031"/>
      <c r="CB19" s="2029"/>
      <c r="CC19" s="2029"/>
      <c r="CD19" s="2029"/>
      <c r="CE19" s="2029"/>
      <c r="CF19" s="2029"/>
      <c r="CG19" s="2032"/>
      <c r="CH19" s="1974"/>
      <c r="CI19" s="1974"/>
      <c r="CJ19" s="1974"/>
      <c r="CK19" s="1974"/>
      <c r="CL19" s="1974">
        <v>0</v>
      </c>
      <c r="CM19" s="2033">
        <v>6.9104934399370798E-4</v>
      </c>
      <c r="CN19" s="2026">
        <v>-1.3413382778278667E-3</v>
      </c>
      <c r="CO19" s="1974">
        <v>0</v>
      </c>
      <c r="CP19" s="2040">
        <v>0</v>
      </c>
      <c r="CQ19" s="2040"/>
      <c r="CR19" s="2062">
        <v>1</v>
      </c>
      <c r="CS19" s="2062">
        <v>1</v>
      </c>
      <c r="CT19" s="2121">
        <v>1</v>
      </c>
      <c r="CU19" s="2121">
        <v>1</v>
      </c>
      <c r="CV19" s="2036"/>
      <c r="CW19" s="2036"/>
      <c r="CX19" s="2036"/>
      <c r="CY19" s="2036"/>
      <c r="CZ19" s="2036"/>
      <c r="DA19" s="2036"/>
    </row>
    <row r="20" spans="1:105" s="2161" customFormat="1" x14ac:dyDescent="0.25">
      <c r="A20" s="2186" t="s">
        <v>2868</v>
      </c>
      <c r="B20" s="2187" t="s">
        <v>2869</v>
      </c>
      <c r="C20" s="2043">
        <v>15</v>
      </c>
      <c r="D20" s="2043">
        <v>2</v>
      </c>
      <c r="E20" s="2161">
        <f>F20*$CU20</f>
        <v>62.438983373278184</v>
      </c>
      <c r="F20" s="2044">
        <v>132.64364949904598</v>
      </c>
      <c r="G20" s="2161">
        <f>H20*$CU20</f>
        <v>1.2455693433836446E-2</v>
      </c>
      <c r="H20" s="2044">
        <v>2.6460530662842971E-2</v>
      </c>
      <c r="I20" s="2161">
        <f>J20*$CU20</f>
        <v>-1.2616166175401349</v>
      </c>
      <c r="J20" s="2043">
        <v>-2.6801434517075093</v>
      </c>
      <c r="K20" s="2153" t="s">
        <v>2870</v>
      </c>
      <c r="L20" s="2153" t="s">
        <v>2870</v>
      </c>
      <c r="M20" s="2153">
        <v>0.77300000000000002</v>
      </c>
      <c r="N20" s="2153">
        <v>0.77300000000000002</v>
      </c>
      <c r="O20" s="2153">
        <v>0.77300000000000002</v>
      </c>
      <c r="P20" s="2153">
        <v>0.77300000000000002</v>
      </c>
      <c r="Q20" s="2146">
        <f>$F20*M20</f>
        <v>102.53354106276254</v>
      </c>
      <c r="R20" s="2146">
        <f>$F20*N20</f>
        <v>102.53354106276254</v>
      </c>
      <c r="S20" s="2146">
        <f>$F20*O20</f>
        <v>102.53354106276254</v>
      </c>
      <c r="T20" s="2146">
        <f>$F20*P20</f>
        <v>102.53354106276254</v>
      </c>
      <c r="U20" s="2153">
        <v>0.77300000000000002</v>
      </c>
      <c r="V20" s="2153">
        <v>0.77300000000000002</v>
      </c>
      <c r="W20" s="2153">
        <v>0.77300000000000002</v>
      </c>
      <c r="X20" s="2153">
        <v>0.77300000000000002</v>
      </c>
      <c r="Y20" s="2129">
        <f>$H20*U20</f>
        <v>2.0453990202377616E-2</v>
      </c>
      <c r="Z20" s="2129">
        <f>$H20*V20</f>
        <v>2.0453990202377616E-2</v>
      </c>
      <c r="AA20" s="2129">
        <f>$H20*W20</f>
        <v>2.0453990202377616E-2</v>
      </c>
      <c r="AB20" s="2129">
        <f>$H20*X20</f>
        <v>2.0453990202377616E-2</v>
      </c>
      <c r="AC20" s="2153">
        <v>0.77300000000000002</v>
      </c>
      <c r="AD20" s="2153">
        <v>0.77300000000000002</v>
      </c>
      <c r="AE20" s="2153">
        <v>0.77300000000000002</v>
      </c>
      <c r="AF20" s="2153">
        <v>0.77300000000000002</v>
      </c>
      <c r="AG20" s="2146">
        <f>$J20*AC20</f>
        <v>-2.0717508881699049</v>
      </c>
      <c r="AH20" s="2146">
        <f>$J20*AD20</f>
        <v>-2.0717508881699049</v>
      </c>
      <c r="AI20" s="2146">
        <f>$J20*AE20</f>
        <v>-2.0717508881699049</v>
      </c>
      <c r="AJ20" s="2146">
        <f>$J20*AF20</f>
        <v>-2.0717508881699049</v>
      </c>
      <c r="AK20" s="2027">
        <v>30611</v>
      </c>
      <c r="AL20" s="2027">
        <v>36159</v>
      </c>
      <c r="AM20" s="2027">
        <v>37342</v>
      </c>
      <c r="AN20" s="2027">
        <v>34863</v>
      </c>
      <c r="AO20" s="2146">
        <f t="shared" si="3"/>
        <v>3138654.2254722239</v>
      </c>
      <c r="AP20" s="2146">
        <f t="shared" si="4"/>
        <v>3707510.3112884308</v>
      </c>
      <c r="AQ20" s="2146">
        <f t="shared" si="4"/>
        <v>1802324.1077375896</v>
      </c>
      <c r="AR20" s="2146"/>
      <c r="AS20" s="2146">
        <f t="shared" si="5"/>
        <v>1682674.3443858277</v>
      </c>
      <c r="AT20" s="2146">
        <f t="shared" si="6"/>
        <v>-63418.366437768957</v>
      </c>
      <c r="AU20" s="2146">
        <f t="shared" si="7"/>
        <v>-74912.440365335598</v>
      </c>
      <c r="AV20" s="2146">
        <f t="shared" si="7"/>
        <v>-36417.025416978016</v>
      </c>
      <c r="AW20" s="2146">
        <f t="shared" si="7"/>
        <v>-33999.43112613423</v>
      </c>
      <c r="AX20" s="2046">
        <v>2.2352242872433585</v>
      </c>
      <c r="AY20" s="2046">
        <v>2.2352242872433585</v>
      </c>
      <c r="AZ20" s="2046">
        <v>2.2352242872433585</v>
      </c>
      <c r="BA20" s="2046">
        <v>2.2352242872433585</v>
      </c>
      <c r="BB20" s="2047"/>
      <c r="BC20" s="2046">
        <v>0</v>
      </c>
      <c r="BD20" s="2046">
        <v>0</v>
      </c>
      <c r="BE20" s="2046">
        <v>0</v>
      </c>
      <c r="BF20" s="2046">
        <v>1.7695299211832249</v>
      </c>
      <c r="BG20" s="2046">
        <v>1.7695299211832249</v>
      </c>
      <c r="BH20" s="2046">
        <v>1.7695299211832249</v>
      </c>
      <c r="BI20" s="2046">
        <v>1.7695299211832249</v>
      </c>
      <c r="BJ20" s="2154">
        <f t="shared" si="8"/>
        <v>68422.450656806453</v>
      </c>
      <c r="BK20" s="2154">
        <f t="shared" si="8"/>
        <v>80823.475002432606</v>
      </c>
      <c r="BL20" s="2154">
        <f t="shared" si="8"/>
        <v>83467.745334241496</v>
      </c>
      <c r="BM20" s="2154"/>
      <c r="BN20" s="2154">
        <f t="shared" si="9"/>
        <v>77926.624326165213</v>
      </c>
      <c r="BO20" s="2154">
        <f t="shared" si="10"/>
        <v>0</v>
      </c>
      <c r="BP20" s="2154"/>
      <c r="BQ20" s="2154">
        <f t="shared" si="11"/>
        <v>0</v>
      </c>
      <c r="BR20" s="2154">
        <f t="shared" si="11"/>
        <v>0</v>
      </c>
      <c r="BS20" s="2154">
        <f t="shared" si="11"/>
        <v>0</v>
      </c>
      <c r="BT20" s="2063"/>
      <c r="BU20" s="2063"/>
      <c r="BV20" s="2063"/>
      <c r="BW20" s="2063"/>
      <c r="BX20" s="2063"/>
      <c r="BY20" s="2063"/>
      <c r="BZ20" s="2063"/>
      <c r="CA20" s="2063"/>
      <c r="CB20" s="2046"/>
      <c r="CC20" s="2046"/>
      <c r="CD20" s="2046"/>
      <c r="CE20" s="2046"/>
      <c r="CF20" s="2046"/>
      <c r="CG20" s="2156"/>
      <c r="CH20" s="2047"/>
      <c r="CI20" s="2047"/>
      <c r="CJ20" s="2047"/>
      <c r="CK20" s="2047"/>
      <c r="CL20" s="2047">
        <v>1</v>
      </c>
      <c r="CM20" s="2157">
        <v>1.7790682522357319E-2</v>
      </c>
      <c r="CN20" s="2153">
        <v>-3.1588898374749937E-2</v>
      </c>
      <c r="CO20" s="2047">
        <v>1</v>
      </c>
      <c r="CP20" s="2188">
        <v>-0.20832982508570624</v>
      </c>
      <c r="CQ20" s="2188"/>
      <c r="CR20" s="2189">
        <v>1</v>
      </c>
      <c r="CS20" s="2189">
        <v>1</v>
      </c>
      <c r="CT20" s="2189">
        <v>0.47072727272727272</v>
      </c>
      <c r="CU20" s="2189">
        <v>0.47072727272727272</v>
      </c>
      <c r="CV20" s="2160"/>
      <c r="CW20" s="2160"/>
      <c r="CX20" s="2160"/>
      <c r="CY20" s="2160"/>
      <c r="CZ20" s="2160"/>
      <c r="DA20" s="2160"/>
    </row>
    <row r="21" spans="1:105" s="2161" customFormat="1" x14ac:dyDescent="0.25">
      <c r="A21" s="2186" t="s">
        <v>2871</v>
      </c>
      <c r="B21" s="2187" t="s">
        <v>2872</v>
      </c>
      <c r="C21" s="2043">
        <v>15</v>
      </c>
      <c r="D21" s="2043">
        <v>0</v>
      </c>
      <c r="E21" s="2044">
        <v>210.06198035348476</v>
      </c>
      <c r="F21" s="2044"/>
      <c r="G21" s="2044">
        <v>4.9058637974521896E-2</v>
      </c>
      <c r="H21" s="2044"/>
      <c r="I21" s="2043">
        <v>-2.63781847754217</v>
      </c>
      <c r="J21" s="2146"/>
      <c r="K21" s="2153" t="s">
        <v>2870</v>
      </c>
      <c r="L21" s="2153" t="s">
        <v>2870</v>
      </c>
      <c r="M21" s="2153">
        <v>0.77300000000000002</v>
      </c>
      <c r="N21" s="2153">
        <v>0.77300000000000002</v>
      </c>
      <c r="O21" s="2153">
        <v>0.77300000000000002</v>
      </c>
      <c r="P21" s="2153">
        <v>0.77300000000000002</v>
      </c>
      <c r="Q21" s="2146">
        <f t="shared" si="15"/>
        <v>162.37791081324372</v>
      </c>
      <c r="R21" s="2146">
        <f t="shared" si="15"/>
        <v>162.37791081324372</v>
      </c>
      <c r="S21" s="2146">
        <f t="shared" si="15"/>
        <v>162.37791081324372</v>
      </c>
      <c r="T21" s="2146">
        <f t="shared" si="15"/>
        <v>162.37791081324372</v>
      </c>
      <c r="U21" s="2153">
        <v>0.77300000000000002</v>
      </c>
      <c r="V21" s="2153">
        <v>0.77300000000000002</v>
      </c>
      <c r="W21" s="2153">
        <v>0.77300000000000002</v>
      </c>
      <c r="X21" s="2153">
        <v>0.77300000000000002</v>
      </c>
      <c r="Y21" s="2129">
        <f t="shared" si="16"/>
        <v>3.7922327154305428E-2</v>
      </c>
      <c r="Z21" s="2129">
        <f t="shared" si="16"/>
        <v>3.7922327154305428E-2</v>
      </c>
      <c r="AA21" s="2129">
        <f t="shared" si="16"/>
        <v>3.7922327154305428E-2</v>
      </c>
      <c r="AB21" s="2129">
        <f t="shared" si="16"/>
        <v>3.7922327154305428E-2</v>
      </c>
      <c r="AC21" s="2153">
        <v>0.77300000000000002</v>
      </c>
      <c r="AD21" s="2153">
        <v>0.77300000000000002</v>
      </c>
      <c r="AE21" s="2153">
        <v>0.77300000000000002</v>
      </c>
      <c r="AF21" s="2153">
        <v>0.77300000000000002</v>
      </c>
      <c r="AG21" s="2146">
        <f t="shared" si="17"/>
        <v>-2.0390336831400977</v>
      </c>
      <c r="AH21" s="2146">
        <f t="shared" si="17"/>
        <v>-2.0390336831400977</v>
      </c>
      <c r="AI21" s="2146">
        <f t="shared" si="17"/>
        <v>-2.0390336831400977</v>
      </c>
      <c r="AJ21" s="2146">
        <f t="shared" si="17"/>
        <v>-2.0390336831400977</v>
      </c>
      <c r="AK21" s="2146">
        <v>2222</v>
      </c>
      <c r="AL21" s="2146">
        <v>2248</v>
      </c>
      <c r="AM21" s="2146">
        <v>2257</v>
      </c>
      <c r="AN21" s="2146">
        <v>2252</v>
      </c>
      <c r="AO21" s="2146">
        <f t="shared" si="3"/>
        <v>360803.71782702755</v>
      </c>
      <c r="AP21" s="2146">
        <f t="shared" si="4"/>
        <v>365025.54350817186</v>
      </c>
      <c r="AQ21" s="2146">
        <f t="shared" si="4"/>
        <v>366486.94470549107</v>
      </c>
      <c r="AR21" s="2146"/>
      <c r="AS21" s="2146">
        <f t="shared" si="5"/>
        <v>365675.05515142484</v>
      </c>
      <c r="AT21" s="2146">
        <f t="shared" si="6"/>
        <v>-4530.7328439372968</v>
      </c>
      <c r="AU21" s="2146">
        <f t="shared" si="7"/>
        <v>-4583.7477196989394</v>
      </c>
      <c r="AV21" s="2146">
        <f t="shared" si="7"/>
        <v>-4602.0990228472001</v>
      </c>
      <c r="AW21" s="2146">
        <f t="shared" si="7"/>
        <v>-4591.9038544314999</v>
      </c>
      <c r="AX21" s="2046">
        <v>6</v>
      </c>
      <c r="AY21" s="2046">
        <v>5</v>
      </c>
      <c r="AZ21" s="2046">
        <v>5</v>
      </c>
      <c r="BA21" s="2046">
        <v>5</v>
      </c>
      <c r="BB21" s="2047"/>
      <c r="BC21" s="2046">
        <v>0</v>
      </c>
      <c r="BD21" s="2046">
        <v>0</v>
      </c>
      <c r="BE21" s="2046">
        <v>0</v>
      </c>
      <c r="BF21" s="2046">
        <v>35.83</v>
      </c>
      <c r="BG21" s="2046">
        <v>35.83</v>
      </c>
      <c r="BH21" s="2046">
        <v>35.83</v>
      </c>
      <c r="BI21" s="2046">
        <v>35.83</v>
      </c>
      <c r="BJ21" s="2154">
        <f t="shared" si="8"/>
        <v>13332</v>
      </c>
      <c r="BK21" s="2154">
        <f t="shared" si="8"/>
        <v>11240</v>
      </c>
      <c r="BL21" s="2154">
        <f t="shared" si="8"/>
        <v>11285</v>
      </c>
      <c r="BM21" s="2154"/>
      <c r="BN21" s="2154">
        <f t="shared" si="9"/>
        <v>11260</v>
      </c>
      <c r="BO21" s="2154">
        <f t="shared" si="10"/>
        <v>0</v>
      </c>
      <c r="BP21" s="2154"/>
      <c r="BQ21" s="2154">
        <f t="shared" si="11"/>
        <v>0</v>
      </c>
      <c r="BR21" s="2154">
        <f t="shared" si="11"/>
        <v>0</v>
      </c>
      <c r="BS21" s="2154">
        <f t="shared" si="11"/>
        <v>0</v>
      </c>
      <c r="BT21" s="2063"/>
      <c r="BU21" s="2063"/>
      <c r="BV21" s="2063"/>
      <c r="BW21" s="2063"/>
      <c r="BX21" s="2063"/>
      <c r="BY21" s="2063"/>
      <c r="BZ21" s="2063"/>
      <c r="CA21" s="2063"/>
      <c r="CB21" s="2046"/>
      <c r="CC21" s="2046"/>
      <c r="CD21" s="2046"/>
      <c r="CE21" s="2046"/>
      <c r="CF21" s="2046"/>
      <c r="CG21" s="2156"/>
      <c r="CH21" s="2047"/>
      <c r="CI21" s="2047"/>
      <c r="CJ21" s="2047"/>
      <c r="CK21" s="2047"/>
      <c r="CL21" s="2047">
        <v>0</v>
      </c>
      <c r="CM21" s="2157">
        <v>1.6793675630423386E-3</v>
      </c>
      <c r="CN21" s="2153">
        <v>-2.0280412038829955E-3</v>
      </c>
      <c r="CO21" s="2047">
        <v>1</v>
      </c>
      <c r="CP21" s="2188">
        <v>-12.181999999999999</v>
      </c>
      <c r="CQ21" s="2188"/>
      <c r="CR21" s="2189">
        <v>1</v>
      </c>
      <c r="CS21" s="2189">
        <v>1</v>
      </c>
      <c r="CT21" s="2190">
        <v>1</v>
      </c>
      <c r="CU21" s="2190">
        <v>1</v>
      </c>
      <c r="CV21" s="2160"/>
      <c r="CW21" s="2160"/>
      <c r="CX21" s="2160"/>
      <c r="CY21" s="2160"/>
      <c r="CZ21" s="2160"/>
      <c r="DA21" s="2160"/>
    </row>
    <row r="22" spans="1:105" x14ac:dyDescent="0.25">
      <c r="A22" s="2185" t="s">
        <v>96</v>
      </c>
      <c r="B22" s="2022" t="s">
        <v>2873</v>
      </c>
      <c r="C22" s="2023">
        <v>8</v>
      </c>
      <c r="D22" s="2023">
        <v>0</v>
      </c>
      <c r="E22" s="2024">
        <v>159.1104</v>
      </c>
      <c r="F22" s="2024"/>
      <c r="G22" s="2024">
        <v>0.124848</v>
      </c>
      <c r="H22" s="2024"/>
      <c r="I22" s="2023">
        <v>-3.2113999999999998</v>
      </c>
      <c r="J22" s="2027"/>
      <c r="K22" s="2025" t="s">
        <v>4</v>
      </c>
      <c r="L22" s="2025" t="s">
        <v>4</v>
      </c>
      <c r="M22" s="2026">
        <v>0.77800000000000002</v>
      </c>
      <c r="N22" s="2026">
        <v>0.77800000000000002</v>
      </c>
      <c r="O22" s="2026">
        <v>0.77800000000000002</v>
      </c>
      <c r="P22" s="2026">
        <v>0.77800000000000002</v>
      </c>
      <c r="Q22" s="2027">
        <f>$E22*M22</f>
        <v>123.7878912</v>
      </c>
      <c r="R22" s="2027">
        <f>$E22*N22</f>
        <v>123.7878912</v>
      </c>
      <c r="S22" s="2027">
        <f>$E22*O22</f>
        <v>123.7878912</v>
      </c>
      <c r="T22" s="2027">
        <f>$E22*P22</f>
        <v>123.7878912</v>
      </c>
      <c r="U22" s="2026">
        <v>0.77800000000000002</v>
      </c>
      <c r="V22" s="2026">
        <v>0.77800000000000002</v>
      </c>
      <c r="W22" s="2026">
        <v>0.77800000000000002</v>
      </c>
      <c r="X22" s="2026">
        <v>0.77800000000000002</v>
      </c>
      <c r="Y22" s="2028">
        <f>$G22*U22</f>
        <v>9.7131744000000006E-2</v>
      </c>
      <c r="Z22" s="2028">
        <f>$G22*V22</f>
        <v>9.7131744000000006E-2</v>
      </c>
      <c r="AA22" s="2028">
        <f>$G22*W22</f>
        <v>9.7131744000000006E-2</v>
      </c>
      <c r="AB22" s="2028">
        <f>$G22*X22</f>
        <v>9.7131744000000006E-2</v>
      </c>
      <c r="AC22" s="2026">
        <v>0.77800000000000002</v>
      </c>
      <c r="AD22" s="2026">
        <v>0.77800000000000002</v>
      </c>
      <c r="AE22" s="2026">
        <v>0.77800000000000002</v>
      </c>
      <c r="AF22" s="2026">
        <v>0.77800000000000002</v>
      </c>
      <c r="AG22" s="2027">
        <f t="shared" si="17"/>
        <v>-2.4984691999999997</v>
      </c>
      <c r="AH22" s="2027">
        <f t="shared" si="17"/>
        <v>-2.4984691999999997</v>
      </c>
      <c r="AI22" s="2027">
        <f t="shared" si="17"/>
        <v>-2.4984691999999997</v>
      </c>
      <c r="AJ22" s="2027">
        <f>$I22*AF22</f>
        <v>-2.4984691999999997</v>
      </c>
      <c r="AK22" s="2027">
        <v>4897</v>
      </c>
      <c r="AL22" s="2027">
        <v>5122</v>
      </c>
      <c r="AM22" s="2027">
        <v>5350</v>
      </c>
      <c r="AN22" s="2027">
        <v>6101</v>
      </c>
      <c r="AO22" s="2027">
        <f t="shared" si="3"/>
        <v>606189.30320640001</v>
      </c>
      <c r="AP22" s="2027">
        <f t="shared" si="4"/>
        <v>634041.57872640004</v>
      </c>
      <c r="AQ22" s="2027">
        <f t="shared" si="4"/>
        <v>662265.21791999997</v>
      </c>
      <c r="AR22" s="2027"/>
      <c r="AS22" s="2027">
        <f t="shared" si="5"/>
        <v>755229.92421119998</v>
      </c>
      <c r="AT22" s="2027">
        <f t="shared" si="6"/>
        <v>-12235.003672399998</v>
      </c>
      <c r="AU22" s="2027">
        <f t="shared" si="7"/>
        <v>-12797.159242399999</v>
      </c>
      <c r="AV22" s="2027">
        <f t="shared" si="7"/>
        <v>-13366.810219999999</v>
      </c>
      <c r="AW22" s="2027">
        <f t="shared" si="7"/>
        <v>-15243.160589199999</v>
      </c>
      <c r="AX22" s="2029">
        <v>30</v>
      </c>
      <c r="AY22" s="2029">
        <v>30</v>
      </c>
      <c r="AZ22" s="2029">
        <v>30</v>
      </c>
      <c r="BA22" s="2029">
        <v>30</v>
      </c>
      <c r="BB22" s="1974"/>
      <c r="BC22" s="2029">
        <v>0</v>
      </c>
      <c r="BD22" s="2029">
        <v>0</v>
      </c>
      <c r="BE22" s="2029">
        <v>0</v>
      </c>
      <c r="BF22" s="2029">
        <v>54</v>
      </c>
      <c r="BG22" s="2029">
        <v>54</v>
      </c>
      <c r="BH22" s="2029">
        <v>54</v>
      </c>
      <c r="BI22" s="2029">
        <v>54</v>
      </c>
      <c r="BJ22" s="2030">
        <f t="shared" si="8"/>
        <v>146910</v>
      </c>
      <c r="BK22" s="2030">
        <f t="shared" si="8"/>
        <v>153660</v>
      </c>
      <c r="BL22" s="2030">
        <f t="shared" si="8"/>
        <v>160500</v>
      </c>
      <c r="BM22" s="2030"/>
      <c r="BN22" s="2030">
        <f t="shared" si="9"/>
        <v>183030</v>
      </c>
      <c r="BO22" s="2030">
        <f t="shared" si="10"/>
        <v>0</v>
      </c>
      <c r="BP22" s="2030"/>
      <c r="BQ22" s="2030">
        <f t="shared" si="11"/>
        <v>0</v>
      </c>
      <c r="BR22" s="2030">
        <f t="shared" si="11"/>
        <v>0</v>
      </c>
      <c r="BS22" s="2030">
        <f t="shared" si="11"/>
        <v>0</v>
      </c>
      <c r="BT22" s="2031"/>
      <c r="BU22" s="2031"/>
      <c r="BV22" s="2031"/>
      <c r="BW22" s="2031"/>
      <c r="BX22" s="2031"/>
      <c r="BY22" s="2031"/>
      <c r="BZ22" s="2031"/>
      <c r="CA22" s="2031"/>
      <c r="CB22" s="2029"/>
      <c r="CC22" s="2029"/>
      <c r="CD22" s="2029"/>
      <c r="CE22" s="2029"/>
      <c r="CF22" s="2029"/>
      <c r="CG22" s="2032"/>
      <c r="CH22" s="1974"/>
      <c r="CI22" s="1974"/>
      <c r="CJ22" s="1974"/>
      <c r="CK22" s="1974"/>
      <c r="CL22" s="1974">
        <v>0</v>
      </c>
      <c r="CM22" s="2033">
        <v>2.3219264962914357E-3</v>
      </c>
      <c r="CN22" s="2026">
        <v>-4.5068994203144985E-3</v>
      </c>
      <c r="CO22" s="1974">
        <v>0</v>
      </c>
      <c r="CP22" s="2040">
        <v>0</v>
      </c>
      <c r="CQ22" s="2040"/>
      <c r="CR22" s="2062">
        <v>1</v>
      </c>
      <c r="CS22" s="2062">
        <v>1</v>
      </c>
      <c r="CT22" s="2121">
        <v>1</v>
      </c>
      <c r="CU22" s="2121">
        <v>1</v>
      </c>
      <c r="CV22" s="2036"/>
      <c r="CW22" s="2036"/>
      <c r="CX22" s="2036"/>
      <c r="CY22" s="2036"/>
      <c r="CZ22" s="2036"/>
      <c r="DA22" s="2036"/>
    </row>
    <row r="23" spans="1:105" s="2161" customFormat="1" ht="23" x14ac:dyDescent="0.25">
      <c r="A23" s="2186" t="s">
        <v>2874</v>
      </c>
      <c r="B23" s="2187" t="s">
        <v>2875</v>
      </c>
      <c r="C23" s="2043">
        <v>15</v>
      </c>
      <c r="D23" s="2043">
        <v>1</v>
      </c>
      <c r="E23" s="2161">
        <f>F23*$CS23</f>
        <v>1807.2102776975823</v>
      </c>
      <c r="F23" s="2044">
        <v>1807.2102776975823</v>
      </c>
      <c r="G23" s="2161">
        <f>H23*$CS23</f>
        <v>0</v>
      </c>
      <c r="H23" s="2044">
        <v>0</v>
      </c>
      <c r="I23" s="2161">
        <f>J23*$CS23</f>
        <v>0</v>
      </c>
      <c r="J23" s="2043">
        <v>0</v>
      </c>
      <c r="K23" s="2153" t="s">
        <v>4</v>
      </c>
      <c r="L23" s="2153" t="s">
        <v>4</v>
      </c>
      <c r="M23" s="2153">
        <v>0.77800000000000002</v>
      </c>
      <c r="N23" s="2153">
        <v>0.77800000000000002</v>
      </c>
      <c r="O23" s="2153">
        <v>0.77800000000000002</v>
      </c>
      <c r="P23" s="2153">
        <v>0.77800000000000002</v>
      </c>
      <c r="Q23" s="2146">
        <f t="shared" ref="Q23:T25" si="21">$F23*M23</f>
        <v>1406.009596048719</v>
      </c>
      <c r="R23" s="2146">
        <f t="shared" si="21"/>
        <v>1406.009596048719</v>
      </c>
      <c r="S23" s="2146">
        <f t="shared" si="21"/>
        <v>1406.009596048719</v>
      </c>
      <c r="T23" s="2146">
        <f t="shared" si="21"/>
        <v>1406.009596048719</v>
      </c>
      <c r="U23" s="2153">
        <v>0.77800000000000002</v>
      </c>
      <c r="V23" s="2153">
        <v>0.77800000000000002</v>
      </c>
      <c r="W23" s="2153">
        <v>0.77800000000000002</v>
      </c>
      <c r="X23" s="2153">
        <v>0.77800000000000002</v>
      </c>
      <c r="Y23" s="2129">
        <f t="shared" ref="Y23:AB25" si="22">$H23*U23</f>
        <v>0</v>
      </c>
      <c r="Z23" s="2129">
        <f t="shared" si="22"/>
        <v>0</v>
      </c>
      <c r="AA23" s="2129">
        <f t="shared" si="22"/>
        <v>0</v>
      </c>
      <c r="AB23" s="2129">
        <f t="shared" si="22"/>
        <v>0</v>
      </c>
      <c r="AC23" s="2153">
        <v>0.77800000000000002</v>
      </c>
      <c r="AD23" s="2153">
        <v>0.77800000000000002</v>
      </c>
      <c r="AE23" s="2153">
        <v>0.77800000000000002</v>
      </c>
      <c r="AF23" s="2153">
        <v>0.77800000000000002</v>
      </c>
      <c r="AG23" s="2146">
        <f t="shared" ref="AG23:AJ25" si="23">$J23*AC23</f>
        <v>0</v>
      </c>
      <c r="AH23" s="2146">
        <f t="shared" si="23"/>
        <v>0</v>
      </c>
      <c r="AI23" s="2146">
        <f t="shared" si="23"/>
        <v>0</v>
      </c>
      <c r="AJ23" s="2146">
        <f t="shared" si="23"/>
        <v>0</v>
      </c>
      <c r="AK23" s="2027">
        <v>15998</v>
      </c>
      <c r="AL23" s="2027">
        <v>16185</v>
      </c>
      <c r="AM23" s="2027">
        <v>16250</v>
      </c>
      <c r="AN23" s="2027">
        <v>16213</v>
      </c>
      <c r="AO23" s="2146">
        <f t="shared" si="3"/>
        <v>22493341.517587408</v>
      </c>
      <c r="AP23" s="2146">
        <f t="shared" si="4"/>
        <v>22756265.312048517</v>
      </c>
      <c r="AQ23" s="2146">
        <f t="shared" si="4"/>
        <v>22545462.629741032</v>
      </c>
      <c r="AR23" s="2146"/>
      <c r="AS23" s="2146">
        <f t="shared" si="5"/>
        <v>22494128.345599469</v>
      </c>
      <c r="AT23" s="2146">
        <f t="shared" si="6"/>
        <v>0</v>
      </c>
      <c r="AU23" s="2146">
        <f t="shared" si="7"/>
        <v>0</v>
      </c>
      <c r="AV23" s="2146">
        <f t="shared" si="7"/>
        <v>0</v>
      </c>
      <c r="AW23" s="2146">
        <f t="shared" si="7"/>
        <v>0</v>
      </c>
      <c r="AX23" s="2046">
        <v>129.07901479610248</v>
      </c>
      <c r="AY23" s="2046">
        <v>129.07901479610248</v>
      </c>
      <c r="AZ23" s="2046">
        <v>129.07901479610248</v>
      </c>
      <c r="BA23" s="2046">
        <v>129.07901479610248</v>
      </c>
      <c r="BB23" s="2047"/>
      <c r="BC23" s="2046">
        <v>0</v>
      </c>
      <c r="BD23" s="2046">
        <v>0</v>
      </c>
      <c r="BE23" s="2046">
        <v>0</v>
      </c>
      <c r="BF23" s="2046">
        <v>189.73709076145795</v>
      </c>
      <c r="BG23" s="2046">
        <v>189.73709076145795</v>
      </c>
      <c r="BH23" s="2046">
        <v>189.73709076145795</v>
      </c>
      <c r="BI23" s="2046">
        <v>189.73709076145795</v>
      </c>
      <c r="BJ23" s="2154">
        <f t="shared" si="8"/>
        <v>2065006.0787080475</v>
      </c>
      <c r="BK23" s="2154">
        <f t="shared" si="8"/>
        <v>2089143.8544749187</v>
      </c>
      <c r="BL23" s="2154">
        <f t="shared" si="8"/>
        <v>2097533.9904366652</v>
      </c>
      <c r="BM23" s="2154"/>
      <c r="BN23" s="2154">
        <f t="shared" si="9"/>
        <v>2092758.0668892097</v>
      </c>
      <c r="BO23" s="2154">
        <f t="shared" si="10"/>
        <v>0</v>
      </c>
      <c r="BP23" s="2154"/>
      <c r="BQ23" s="2154">
        <f t="shared" si="11"/>
        <v>0</v>
      </c>
      <c r="BR23" s="2154">
        <f t="shared" si="11"/>
        <v>0</v>
      </c>
      <c r="BS23" s="2154">
        <f t="shared" si="11"/>
        <v>0</v>
      </c>
      <c r="BT23" s="2063"/>
      <c r="BU23" s="2063"/>
      <c r="BV23" s="2063"/>
      <c r="BW23" s="2063"/>
      <c r="BX23" s="2063"/>
      <c r="BY23" s="2063"/>
      <c r="BZ23" s="2063"/>
      <c r="CA23" s="2063"/>
      <c r="CB23" s="2046"/>
      <c r="CC23" s="2046"/>
      <c r="CD23" s="2046"/>
      <c r="CE23" s="2046"/>
      <c r="CF23" s="2046"/>
      <c r="CG23" s="2156"/>
      <c r="CH23" s="2047"/>
      <c r="CI23" s="2047"/>
      <c r="CJ23" s="2047"/>
      <c r="CK23" s="2047"/>
      <c r="CL23" s="2047">
        <v>1</v>
      </c>
      <c r="CM23" s="2157">
        <v>1.8719328311680598E-2</v>
      </c>
      <c r="CN23" s="2153">
        <v>0</v>
      </c>
      <c r="CO23" s="2047">
        <v>1</v>
      </c>
      <c r="CP23" s="2188">
        <v>-16.835977777777774</v>
      </c>
      <c r="CQ23" s="2188"/>
      <c r="CR23" s="2189">
        <v>1</v>
      </c>
      <c r="CS23" s="2189">
        <v>1</v>
      </c>
      <c r="CT23" s="2190">
        <v>0.98677355318637949</v>
      </c>
      <c r="CU23" s="2190">
        <v>0.98677355318637949</v>
      </c>
      <c r="CV23" s="2160"/>
      <c r="CW23" s="2160"/>
      <c r="CX23" s="2160"/>
      <c r="CY23" s="2160"/>
      <c r="CZ23" s="2160"/>
      <c r="DA23" s="2160"/>
    </row>
    <row r="24" spans="1:105" x14ac:dyDescent="0.25">
      <c r="A24" s="2185" t="s">
        <v>2876</v>
      </c>
      <c r="B24" s="2022" t="s">
        <v>2877</v>
      </c>
      <c r="C24" s="2023">
        <v>11</v>
      </c>
      <c r="D24" s="2023">
        <v>1</v>
      </c>
      <c r="E24" s="1973">
        <f>F24*$CS24</f>
        <v>447.52687162570561</v>
      </c>
      <c r="F24" s="2024">
        <v>447.52687162570561</v>
      </c>
      <c r="G24" s="1973">
        <f>H24*$CS24</f>
        <v>8.5249436480316743E-2</v>
      </c>
      <c r="H24" s="2024">
        <v>8.5249436480316743E-2</v>
      </c>
      <c r="I24" s="1973">
        <f>J24*$CS24</f>
        <v>-5.2649053908958043</v>
      </c>
      <c r="J24" s="2023">
        <v>-5.2649053908958043</v>
      </c>
      <c r="K24" s="2026" t="s">
        <v>4</v>
      </c>
      <c r="L24" s="2026" t="s">
        <v>4</v>
      </c>
      <c r="M24" s="2026">
        <v>0.77800000000000002</v>
      </c>
      <c r="N24" s="2026">
        <v>0.77800000000000002</v>
      </c>
      <c r="O24" s="2026">
        <v>0.77800000000000002</v>
      </c>
      <c r="P24" s="2026">
        <v>0.77800000000000002</v>
      </c>
      <c r="Q24" s="2027">
        <f t="shared" si="21"/>
        <v>348.17590612479898</v>
      </c>
      <c r="R24" s="2027">
        <f t="shared" si="21"/>
        <v>348.17590612479898</v>
      </c>
      <c r="S24" s="2027">
        <f t="shared" si="21"/>
        <v>348.17590612479898</v>
      </c>
      <c r="T24" s="2027">
        <f t="shared" si="21"/>
        <v>348.17590612479898</v>
      </c>
      <c r="U24" s="2026">
        <v>0.77800000000000002</v>
      </c>
      <c r="V24" s="2026">
        <v>0.77800000000000002</v>
      </c>
      <c r="W24" s="2026">
        <v>0.77800000000000002</v>
      </c>
      <c r="X24" s="2026">
        <v>0.77800000000000002</v>
      </c>
      <c r="Y24" s="2028">
        <f t="shared" si="22"/>
        <v>6.6324061581686425E-2</v>
      </c>
      <c r="Z24" s="2028">
        <f t="shared" si="22"/>
        <v>6.6324061581686425E-2</v>
      </c>
      <c r="AA24" s="2028">
        <f t="shared" si="22"/>
        <v>6.6324061581686425E-2</v>
      </c>
      <c r="AB24" s="2028">
        <f t="shared" si="22"/>
        <v>6.6324061581686425E-2</v>
      </c>
      <c r="AC24" s="2026">
        <v>0.77800000000000002</v>
      </c>
      <c r="AD24" s="2026">
        <v>0.77800000000000002</v>
      </c>
      <c r="AE24" s="2026">
        <v>0.77800000000000002</v>
      </c>
      <c r="AF24" s="2026">
        <v>0.77800000000000002</v>
      </c>
      <c r="AG24" s="2027">
        <f t="shared" si="23"/>
        <v>-4.0960963941169357</v>
      </c>
      <c r="AH24" s="2027">
        <f t="shared" si="23"/>
        <v>-4.0960963941169357</v>
      </c>
      <c r="AI24" s="2027">
        <f t="shared" si="23"/>
        <v>-4.0960963941169357</v>
      </c>
      <c r="AJ24" s="2027">
        <f t="shared" si="23"/>
        <v>-4.0960963941169357</v>
      </c>
      <c r="AK24" s="2027">
        <v>176</v>
      </c>
      <c r="AL24" s="2027">
        <v>185</v>
      </c>
      <c r="AM24" s="2027">
        <v>192</v>
      </c>
      <c r="AN24" s="2027">
        <v>195</v>
      </c>
      <c r="AO24" s="2027">
        <f t="shared" si="3"/>
        <v>61278.959477964621</v>
      </c>
      <c r="AP24" s="2027">
        <f t="shared" si="4"/>
        <v>64412.542633087811</v>
      </c>
      <c r="AQ24" s="2027">
        <f t="shared" si="4"/>
        <v>56229.668039354772</v>
      </c>
      <c r="AR24" s="2027"/>
      <c r="AS24" s="2027">
        <f t="shared" si="5"/>
        <v>57108.256602469693</v>
      </c>
      <c r="AT24" s="2027">
        <f t="shared" si="6"/>
        <v>-720.91296536458071</v>
      </c>
      <c r="AU24" s="2027">
        <f t="shared" si="7"/>
        <v>-757.77783291163314</v>
      </c>
      <c r="AV24" s="2027">
        <f t="shared" si="7"/>
        <v>-661.51085255117425</v>
      </c>
      <c r="AW24" s="2027">
        <f t="shared" si="7"/>
        <v>-671.84695962228636</v>
      </c>
      <c r="AX24" s="2029">
        <v>10.799999999999999</v>
      </c>
      <c r="AY24" s="2029">
        <v>10.799999999999999</v>
      </c>
      <c r="AZ24" s="2029">
        <v>10.799999999999999</v>
      </c>
      <c r="BA24" s="2029">
        <v>10.799999999999999</v>
      </c>
      <c r="BB24" s="1974"/>
      <c r="BC24" s="2029">
        <v>0</v>
      </c>
      <c r="BD24" s="2029">
        <v>0</v>
      </c>
      <c r="BE24" s="2029">
        <v>0</v>
      </c>
      <c r="BF24" s="2029">
        <v>12</v>
      </c>
      <c r="BG24" s="2029">
        <v>12</v>
      </c>
      <c r="BH24" s="2029">
        <v>12</v>
      </c>
      <c r="BI24" s="2029">
        <v>12</v>
      </c>
      <c r="BJ24" s="2030">
        <f t="shared" si="8"/>
        <v>1900.7999999999997</v>
      </c>
      <c r="BK24" s="2030">
        <f t="shared" si="8"/>
        <v>1997.9999999999998</v>
      </c>
      <c r="BL24" s="2030">
        <f t="shared" si="8"/>
        <v>2073.6</v>
      </c>
      <c r="BM24" s="2030"/>
      <c r="BN24" s="2030">
        <f t="shared" si="9"/>
        <v>2106</v>
      </c>
      <c r="BO24" s="2030">
        <f t="shared" si="10"/>
        <v>0</v>
      </c>
      <c r="BP24" s="2030"/>
      <c r="BQ24" s="2030">
        <f t="shared" si="11"/>
        <v>0</v>
      </c>
      <c r="BR24" s="2030">
        <f t="shared" si="11"/>
        <v>0</v>
      </c>
      <c r="BS24" s="2030">
        <f t="shared" si="11"/>
        <v>0</v>
      </c>
      <c r="BT24" s="2031"/>
      <c r="BU24" s="2031"/>
      <c r="BV24" s="2031"/>
      <c r="BW24" s="2031"/>
      <c r="BX24" s="2031"/>
      <c r="BY24" s="2031"/>
      <c r="BZ24" s="2031"/>
      <c r="CA24" s="2031"/>
      <c r="CB24" s="2029"/>
      <c r="CC24" s="2029"/>
      <c r="CD24" s="2029"/>
      <c r="CE24" s="2029"/>
      <c r="CF24" s="2029"/>
      <c r="CG24" s="2032"/>
      <c r="CH24" s="1974"/>
      <c r="CI24" s="1974"/>
      <c r="CJ24" s="1974"/>
      <c r="CK24" s="1974"/>
      <c r="CL24" s="1974">
        <v>1</v>
      </c>
      <c r="CM24" s="2033">
        <v>2.332442714147225E-4</v>
      </c>
      <c r="CN24" s="2026">
        <v>-2.6388578917782834E-4</v>
      </c>
      <c r="CO24" s="1974">
        <v>0</v>
      </c>
      <c r="CP24" s="2040">
        <v>0</v>
      </c>
      <c r="CQ24" s="2040"/>
      <c r="CR24" s="2062">
        <v>1</v>
      </c>
      <c r="CS24" s="2062">
        <v>1</v>
      </c>
      <c r="CT24" s="2121">
        <v>0.84113475177304964</v>
      </c>
      <c r="CU24" s="2121">
        <v>0.84113475177304964</v>
      </c>
      <c r="CV24" s="2036"/>
      <c r="CW24" s="2036"/>
      <c r="CX24" s="2036"/>
      <c r="CY24" s="2036"/>
      <c r="CZ24" s="2036"/>
      <c r="DA24" s="2036"/>
    </row>
    <row r="25" spans="1:105" x14ac:dyDescent="0.25">
      <c r="A25" s="2185" t="s">
        <v>2878</v>
      </c>
      <c r="B25" s="2022" t="s">
        <v>2879</v>
      </c>
      <c r="C25" s="2023">
        <v>15</v>
      </c>
      <c r="D25" s="2023">
        <v>1</v>
      </c>
      <c r="E25" s="1973">
        <f>F25*$CS25</f>
        <v>637.55372180534675</v>
      </c>
      <c r="F25" s="2024">
        <v>637.55372180534675</v>
      </c>
      <c r="G25" s="1973">
        <f>H25*$CS25</f>
        <v>8.5057621995128424E-2</v>
      </c>
      <c r="H25" s="2024">
        <v>8.5057621995128424E-2</v>
      </c>
      <c r="I25" s="1973">
        <f>J25*$CS25</f>
        <v>0</v>
      </c>
      <c r="J25" s="2023">
        <v>0</v>
      </c>
      <c r="K25" s="2026" t="s">
        <v>4</v>
      </c>
      <c r="L25" s="2026" t="s">
        <v>4</v>
      </c>
      <c r="M25" s="2026">
        <v>0.77800000000000002</v>
      </c>
      <c r="N25" s="2026">
        <v>0.77800000000000002</v>
      </c>
      <c r="O25" s="2026">
        <v>0.77800000000000002</v>
      </c>
      <c r="P25" s="2026">
        <v>0.77800000000000002</v>
      </c>
      <c r="Q25" s="2027">
        <f t="shared" si="21"/>
        <v>496.0167955645598</v>
      </c>
      <c r="R25" s="2027">
        <f t="shared" si="21"/>
        <v>496.0167955645598</v>
      </c>
      <c r="S25" s="2027">
        <f t="shared" si="21"/>
        <v>496.0167955645598</v>
      </c>
      <c r="T25" s="2027">
        <f t="shared" si="21"/>
        <v>496.0167955645598</v>
      </c>
      <c r="U25" s="2026">
        <v>0.77800000000000002</v>
      </c>
      <c r="V25" s="2026">
        <v>0.77800000000000002</v>
      </c>
      <c r="W25" s="2026">
        <v>0.77800000000000002</v>
      </c>
      <c r="X25" s="2026">
        <v>0.77800000000000002</v>
      </c>
      <c r="Y25" s="2028">
        <f t="shared" si="22"/>
        <v>6.6174829912209909E-2</v>
      </c>
      <c r="Z25" s="2028">
        <f t="shared" si="22"/>
        <v>6.6174829912209909E-2</v>
      </c>
      <c r="AA25" s="2028">
        <f t="shared" si="22"/>
        <v>6.6174829912209909E-2</v>
      </c>
      <c r="AB25" s="2028">
        <f t="shared" si="22"/>
        <v>6.6174829912209909E-2</v>
      </c>
      <c r="AC25" s="2026">
        <v>0.77800000000000002</v>
      </c>
      <c r="AD25" s="2026">
        <v>0.77800000000000002</v>
      </c>
      <c r="AE25" s="2026">
        <v>0.77800000000000002</v>
      </c>
      <c r="AF25" s="2026">
        <v>0.77800000000000002</v>
      </c>
      <c r="AG25" s="2027">
        <f t="shared" si="23"/>
        <v>0</v>
      </c>
      <c r="AH25" s="2027">
        <f t="shared" si="23"/>
        <v>0</v>
      </c>
      <c r="AI25" s="2027">
        <f t="shared" si="23"/>
        <v>0</v>
      </c>
      <c r="AJ25" s="2027">
        <f t="shared" si="23"/>
        <v>0</v>
      </c>
      <c r="AK25" s="2027">
        <v>351</v>
      </c>
      <c r="AL25" s="2027">
        <v>322</v>
      </c>
      <c r="AM25" s="2027">
        <v>192</v>
      </c>
      <c r="AN25" s="2027">
        <v>99</v>
      </c>
      <c r="AO25" s="2027">
        <f t="shared" si="3"/>
        <v>174101.89524316048</v>
      </c>
      <c r="AP25" s="2027">
        <f t="shared" si="4"/>
        <v>159717.40817178827</v>
      </c>
      <c r="AQ25" s="2027">
        <f t="shared" si="4"/>
        <v>28570.567424518646</v>
      </c>
      <c r="AR25" s="2027"/>
      <c r="AS25" s="2027">
        <f t="shared" si="5"/>
        <v>14731.698828267427</v>
      </c>
      <c r="AT25" s="2027">
        <f t="shared" si="6"/>
        <v>0</v>
      </c>
      <c r="AU25" s="2027">
        <f t="shared" si="7"/>
        <v>0</v>
      </c>
      <c r="AV25" s="2027">
        <f t="shared" si="7"/>
        <v>0</v>
      </c>
      <c r="AW25" s="2027">
        <f t="shared" si="7"/>
        <v>0</v>
      </c>
      <c r="AX25" s="2029">
        <v>31.8</v>
      </c>
      <c r="AY25" s="2029">
        <v>31.8</v>
      </c>
      <c r="AZ25" s="2029">
        <v>31.8</v>
      </c>
      <c r="BA25" s="2029">
        <v>31.8</v>
      </c>
      <c r="BB25" s="1974"/>
      <c r="BC25" s="2029">
        <v>0</v>
      </c>
      <c r="BD25" s="2029">
        <v>0</v>
      </c>
      <c r="BE25" s="2029">
        <v>0</v>
      </c>
      <c r="BF25" s="2029">
        <v>42</v>
      </c>
      <c r="BG25" s="2029">
        <v>42</v>
      </c>
      <c r="BH25" s="2029">
        <v>42</v>
      </c>
      <c r="BI25" s="2029">
        <v>42</v>
      </c>
      <c r="BJ25" s="2030">
        <f t="shared" si="8"/>
        <v>11161.800000000001</v>
      </c>
      <c r="BK25" s="2030">
        <f t="shared" si="8"/>
        <v>10239.6</v>
      </c>
      <c r="BL25" s="2030">
        <f t="shared" si="8"/>
        <v>6105.6</v>
      </c>
      <c r="BM25" s="2030"/>
      <c r="BN25" s="2030">
        <f t="shared" si="9"/>
        <v>3148.2000000000003</v>
      </c>
      <c r="BO25" s="2030">
        <f t="shared" si="10"/>
        <v>0</v>
      </c>
      <c r="BP25" s="2030"/>
      <c r="BQ25" s="2030">
        <f t="shared" si="11"/>
        <v>0</v>
      </c>
      <c r="BR25" s="2030">
        <f t="shared" si="11"/>
        <v>0</v>
      </c>
      <c r="BS25" s="2030">
        <f t="shared" si="11"/>
        <v>0</v>
      </c>
      <c r="BT25" s="2031"/>
      <c r="BU25" s="2031"/>
      <c r="BV25" s="2031"/>
      <c r="BW25" s="2031"/>
      <c r="BX25" s="2031"/>
      <c r="BY25" s="2031"/>
      <c r="BZ25" s="2031"/>
      <c r="CA25" s="2031"/>
      <c r="CB25" s="2029"/>
      <c r="CC25" s="2029"/>
      <c r="CD25" s="2029"/>
      <c r="CE25" s="2029"/>
      <c r="CF25" s="2029"/>
      <c r="CG25" s="2032"/>
      <c r="CH25" s="1974"/>
      <c r="CI25" s="1974"/>
      <c r="CJ25" s="1974"/>
      <c r="CK25" s="1974"/>
      <c r="CL25" s="1974">
        <v>1</v>
      </c>
      <c r="CM25" s="2033">
        <v>6.6456681266998676E-4</v>
      </c>
      <c r="CN25" s="2026">
        <v>0</v>
      </c>
      <c r="CO25" s="1974">
        <v>1</v>
      </c>
      <c r="CP25" s="2040">
        <v>0.13682777777777794</v>
      </c>
      <c r="CQ25" s="2040"/>
      <c r="CR25" s="2062">
        <v>1</v>
      </c>
      <c r="CS25" s="2062">
        <v>1</v>
      </c>
      <c r="CT25" s="2121">
        <v>0.3</v>
      </c>
      <c r="CU25" s="2121">
        <v>0.3</v>
      </c>
      <c r="CV25" s="2036"/>
      <c r="CW25" s="2036"/>
      <c r="CX25" s="2036"/>
      <c r="CY25" s="2036"/>
      <c r="CZ25" s="2036"/>
      <c r="DA25" s="2036"/>
    </row>
    <row r="26" spans="1:105" x14ac:dyDescent="0.25">
      <c r="A26" s="2185" t="s">
        <v>97</v>
      </c>
      <c r="B26" s="2022" t="s">
        <v>2880</v>
      </c>
      <c r="C26" s="2023">
        <v>8</v>
      </c>
      <c r="D26" s="2023">
        <v>0</v>
      </c>
      <c r="E26" s="2024">
        <v>71.84087754202956</v>
      </c>
      <c r="F26" s="2024"/>
      <c r="G26" s="2024">
        <v>3.2169598671817637E-2</v>
      </c>
      <c r="H26" s="2024"/>
      <c r="I26" s="2023">
        <v>0</v>
      </c>
      <c r="J26" s="2027"/>
      <c r="K26" s="2026" t="s">
        <v>4</v>
      </c>
      <c r="L26" s="2026" t="s">
        <v>4</v>
      </c>
      <c r="M26" s="2026">
        <v>0.77800000000000002</v>
      </c>
      <c r="N26" s="2026">
        <v>0.77800000000000002</v>
      </c>
      <c r="O26" s="2026">
        <v>0.77800000000000002</v>
      </c>
      <c r="P26" s="2026">
        <v>0.77800000000000002</v>
      </c>
      <c r="Q26" s="2027">
        <f t="shared" si="15"/>
        <v>55.892202727699001</v>
      </c>
      <c r="R26" s="2027">
        <f t="shared" si="15"/>
        <v>55.892202727699001</v>
      </c>
      <c r="S26" s="2027">
        <f t="shared" si="15"/>
        <v>55.892202727699001</v>
      </c>
      <c r="T26" s="2027">
        <f t="shared" si="15"/>
        <v>55.892202727699001</v>
      </c>
      <c r="U26" s="2026">
        <v>0.77800000000000002</v>
      </c>
      <c r="V26" s="2026">
        <v>0.77800000000000002</v>
      </c>
      <c r="W26" s="2026">
        <v>0.77800000000000002</v>
      </c>
      <c r="X26" s="2026">
        <v>0.77800000000000002</v>
      </c>
      <c r="Y26" s="2028">
        <f t="shared" si="16"/>
        <v>2.5027947766674122E-2</v>
      </c>
      <c r="Z26" s="2028">
        <f t="shared" si="16"/>
        <v>2.5027947766674122E-2</v>
      </c>
      <c r="AA26" s="2028">
        <f t="shared" si="16"/>
        <v>2.5027947766674122E-2</v>
      </c>
      <c r="AB26" s="2028">
        <f t="shared" si="16"/>
        <v>2.5027947766674122E-2</v>
      </c>
      <c r="AC26" s="2026">
        <v>0.77800000000000002</v>
      </c>
      <c r="AD26" s="2026">
        <v>0.77800000000000002</v>
      </c>
      <c r="AE26" s="2026">
        <v>0.77800000000000002</v>
      </c>
      <c r="AF26" s="2026">
        <v>0.77800000000000002</v>
      </c>
      <c r="AG26" s="2027">
        <f t="shared" ref="AG26:AJ74" si="24">$I26*AC26</f>
        <v>0</v>
      </c>
      <c r="AH26" s="2027">
        <f t="shared" si="24"/>
        <v>0</v>
      </c>
      <c r="AI26" s="2027">
        <f t="shared" si="24"/>
        <v>0</v>
      </c>
      <c r="AJ26" s="2027">
        <f t="shared" si="24"/>
        <v>0</v>
      </c>
      <c r="AK26" s="2027">
        <v>23</v>
      </c>
      <c r="AL26" s="2027">
        <v>24</v>
      </c>
      <c r="AM26" s="2027">
        <v>25</v>
      </c>
      <c r="AN26" s="2027">
        <v>26</v>
      </c>
      <c r="AO26" s="2027">
        <f t="shared" si="3"/>
        <v>1285.5206627370769</v>
      </c>
      <c r="AP26" s="2027">
        <f t="shared" si="4"/>
        <v>1341.4128654647761</v>
      </c>
      <c r="AQ26" s="2027">
        <f t="shared" si="4"/>
        <v>1397.3050681924751</v>
      </c>
      <c r="AR26" s="2027"/>
      <c r="AS26" s="2027">
        <f t="shared" si="5"/>
        <v>1453.1972709201741</v>
      </c>
      <c r="AT26" s="2027">
        <f t="shared" si="6"/>
        <v>0</v>
      </c>
      <c r="AU26" s="2027">
        <f t="shared" si="7"/>
        <v>0</v>
      </c>
      <c r="AV26" s="2027">
        <f t="shared" si="7"/>
        <v>0</v>
      </c>
      <c r="AW26" s="2027">
        <f t="shared" si="7"/>
        <v>0</v>
      </c>
      <c r="AX26" s="2029">
        <v>12</v>
      </c>
      <c r="AY26" s="2029">
        <v>12</v>
      </c>
      <c r="AZ26" s="2029">
        <v>12</v>
      </c>
      <c r="BA26" s="2029">
        <v>12</v>
      </c>
      <c r="BB26" s="1974"/>
      <c r="BC26" s="2029">
        <v>0</v>
      </c>
      <c r="BD26" s="2029">
        <v>0</v>
      </c>
      <c r="BE26" s="2029">
        <v>0</v>
      </c>
      <c r="BF26" s="2029">
        <v>77.67</v>
      </c>
      <c r="BG26" s="2029">
        <v>77.67</v>
      </c>
      <c r="BH26" s="2029">
        <v>77.67</v>
      </c>
      <c r="BI26" s="2029">
        <v>77.67</v>
      </c>
      <c r="BJ26" s="2030">
        <f t="shared" si="8"/>
        <v>276</v>
      </c>
      <c r="BK26" s="2030">
        <f t="shared" si="8"/>
        <v>288</v>
      </c>
      <c r="BL26" s="2030">
        <f t="shared" si="8"/>
        <v>300</v>
      </c>
      <c r="BM26" s="2030"/>
      <c r="BN26" s="2030">
        <f t="shared" si="9"/>
        <v>312</v>
      </c>
      <c r="BO26" s="2030">
        <f t="shared" si="10"/>
        <v>0</v>
      </c>
      <c r="BP26" s="2030"/>
      <c r="BQ26" s="2030">
        <f t="shared" si="11"/>
        <v>0</v>
      </c>
      <c r="BR26" s="2030">
        <f t="shared" si="11"/>
        <v>0</v>
      </c>
      <c r="BS26" s="2030">
        <f t="shared" si="11"/>
        <v>0</v>
      </c>
      <c r="BT26" s="2031"/>
      <c r="BU26" s="2031"/>
      <c r="BV26" s="2031"/>
      <c r="BW26" s="2031"/>
      <c r="BX26" s="2031"/>
      <c r="BY26" s="2031"/>
      <c r="BZ26" s="2031"/>
      <c r="CA26" s="2031"/>
      <c r="CB26" s="2029"/>
      <c r="CC26" s="2029"/>
      <c r="CD26" s="2029"/>
      <c r="CE26" s="2029"/>
      <c r="CF26" s="2029"/>
      <c r="CG26" s="2032"/>
      <c r="CH26" s="1974"/>
      <c r="CI26" s="1974"/>
      <c r="CJ26" s="1974"/>
      <c r="CK26" s="1974"/>
      <c r="CL26" s="1974">
        <v>0</v>
      </c>
      <c r="CM26" s="2033">
        <v>4.6802980453482859E-6</v>
      </c>
      <c r="CN26" s="2026">
        <v>0</v>
      </c>
      <c r="CO26" s="1974">
        <v>0</v>
      </c>
      <c r="CP26" s="2040">
        <v>0</v>
      </c>
      <c r="CQ26" s="2040"/>
      <c r="CR26" s="2062">
        <v>1</v>
      </c>
      <c r="CS26" s="2062">
        <v>1</v>
      </c>
      <c r="CT26" s="2062">
        <v>1</v>
      </c>
      <c r="CU26" s="2062">
        <v>1</v>
      </c>
      <c r="CV26" s="2036"/>
      <c r="CW26" s="2036"/>
      <c r="CX26" s="2036"/>
      <c r="CY26" s="2036"/>
      <c r="CZ26" s="2036"/>
      <c r="DA26" s="2036"/>
    </row>
    <row r="27" spans="1:105" x14ac:dyDescent="0.25">
      <c r="A27" s="2185"/>
      <c r="B27" s="2022"/>
      <c r="C27" s="2023"/>
      <c r="D27" s="2023">
        <v>0</v>
      </c>
      <c r="E27" s="2024"/>
      <c r="F27" s="2024"/>
      <c r="G27" s="2024"/>
      <c r="H27" s="2024"/>
      <c r="I27" s="2023"/>
      <c r="J27" s="2027"/>
      <c r="K27" s="2026" t="s">
        <v>4</v>
      </c>
      <c r="L27" s="2026" t="s">
        <v>4</v>
      </c>
      <c r="M27" s="2026">
        <v>0.77800000000000002</v>
      </c>
      <c r="N27" s="2026">
        <v>0.77800000000000002</v>
      </c>
      <c r="O27" s="2026">
        <v>0.77800000000000002</v>
      </c>
      <c r="P27" s="2026">
        <v>0.77800000000000002</v>
      </c>
      <c r="Q27" s="2027">
        <f t="shared" si="15"/>
        <v>0</v>
      </c>
      <c r="R27" s="2027">
        <f t="shared" si="15"/>
        <v>0</v>
      </c>
      <c r="S27" s="2027">
        <f t="shared" si="15"/>
        <v>0</v>
      </c>
      <c r="T27" s="2027">
        <f t="shared" si="15"/>
        <v>0</v>
      </c>
      <c r="U27" s="2026">
        <v>0.77800000000000002</v>
      </c>
      <c r="V27" s="2026">
        <v>0.77800000000000002</v>
      </c>
      <c r="W27" s="2026">
        <v>0.77800000000000002</v>
      </c>
      <c r="X27" s="2026">
        <v>0.77800000000000002</v>
      </c>
      <c r="Y27" s="2028">
        <f t="shared" si="16"/>
        <v>0</v>
      </c>
      <c r="Z27" s="2028">
        <f t="shared" si="16"/>
        <v>0</v>
      </c>
      <c r="AA27" s="2028">
        <f t="shared" si="16"/>
        <v>0</v>
      </c>
      <c r="AB27" s="2028">
        <f t="shared" si="16"/>
        <v>0</v>
      </c>
      <c r="AC27" s="2026">
        <v>0.77800000000000002</v>
      </c>
      <c r="AD27" s="2026">
        <v>0.77800000000000002</v>
      </c>
      <c r="AE27" s="2026">
        <v>0.77800000000000002</v>
      </c>
      <c r="AF27" s="2026">
        <v>0.77800000000000002</v>
      </c>
      <c r="AG27" s="2027"/>
      <c r="AH27" s="2027"/>
      <c r="AI27" s="2027"/>
      <c r="AJ27" s="2027"/>
      <c r="AK27" s="2027">
        <v>0</v>
      </c>
      <c r="AL27" s="2027">
        <v>0</v>
      </c>
      <c r="AM27" s="2027">
        <v>0</v>
      </c>
      <c r="AN27" s="2027">
        <v>0</v>
      </c>
      <c r="AO27" s="2027"/>
      <c r="AP27" s="2027">
        <f t="shared" si="4"/>
        <v>0</v>
      </c>
      <c r="AQ27" s="2027">
        <f t="shared" si="4"/>
        <v>0</v>
      </c>
      <c r="AR27" s="2027"/>
      <c r="AS27" s="2027">
        <f t="shared" si="5"/>
        <v>0</v>
      </c>
      <c r="AT27" s="2027"/>
      <c r="AU27" s="2027"/>
      <c r="AV27" s="2027"/>
      <c r="AW27" s="2027">
        <f t="shared" ref="AW27:AW90" si="25">AN27*AJ27*CU27</f>
        <v>0</v>
      </c>
      <c r="AX27" s="2029"/>
      <c r="AY27" s="2029">
        <v>0</v>
      </c>
      <c r="AZ27" s="2029">
        <v>0</v>
      </c>
      <c r="BA27" s="2029">
        <v>0</v>
      </c>
      <c r="BB27" s="1974"/>
      <c r="BC27" s="2029">
        <v>0</v>
      </c>
      <c r="BD27" s="2029">
        <v>0</v>
      </c>
      <c r="BE27" s="2029">
        <v>0</v>
      </c>
      <c r="BF27" s="2029"/>
      <c r="BG27" s="2029">
        <v>0</v>
      </c>
      <c r="BH27" s="2029">
        <v>0</v>
      </c>
      <c r="BI27" s="2029">
        <v>0</v>
      </c>
      <c r="BJ27" s="2030">
        <f t="shared" si="8"/>
        <v>0</v>
      </c>
      <c r="BK27" s="2030">
        <f t="shared" si="8"/>
        <v>0</v>
      </c>
      <c r="BL27" s="2030">
        <f t="shared" si="8"/>
        <v>0</v>
      </c>
      <c r="BM27" s="2030"/>
      <c r="BN27" s="2030">
        <f t="shared" si="9"/>
        <v>0</v>
      </c>
      <c r="BO27" s="2030">
        <f t="shared" si="10"/>
        <v>0</v>
      </c>
      <c r="BP27" s="2030"/>
      <c r="BQ27" s="2030">
        <f t="shared" si="11"/>
        <v>0</v>
      </c>
      <c r="BR27" s="2030">
        <f t="shared" si="11"/>
        <v>0</v>
      </c>
      <c r="BS27" s="2030">
        <f t="shared" si="11"/>
        <v>0</v>
      </c>
      <c r="BT27" s="2031"/>
      <c r="BU27" s="2031"/>
      <c r="BV27" s="2031"/>
      <c r="BW27" s="2031"/>
      <c r="BX27" s="2031"/>
      <c r="BY27" s="2031"/>
      <c r="BZ27" s="2031"/>
      <c r="CA27" s="2031"/>
      <c r="CB27" s="2029"/>
      <c r="CC27" s="2029"/>
      <c r="CD27" s="2029"/>
      <c r="CE27" s="2029"/>
      <c r="CF27" s="2029"/>
      <c r="CG27" s="2032"/>
      <c r="CH27" s="1974"/>
      <c r="CI27" s="1974"/>
      <c r="CJ27" s="1974"/>
      <c r="CK27" s="1974"/>
      <c r="CL27" s="1974"/>
      <c r="CM27" s="2033">
        <v>0</v>
      </c>
      <c r="CN27" s="2026">
        <v>0</v>
      </c>
      <c r="CO27" s="1974"/>
      <c r="CP27" s="2040">
        <v>0</v>
      </c>
      <c r="CQ27" s="2040"/>
      <c r="CR27" s="2062">
        <v>1</v>
      </c>
      <c r="CS27" s="2062">
        <v>1</v>
      </c>
      <c r="CT27" s="2062">
        <v>1</v>
      </c>
      <c r="CU27" s="2062">
        <v>1</v>
      </c>
      <c r="CV27" s="2036"/>
      <c r="CW27" s="2036"/>
      <c r="CX27" s="2036"/>
      <c r="CY27" s="2036"/>
      <c r="CZ27" s="2036"/>
      <c r="DA27" s="2036"/>
    </row>
    <row r="28" spans="1:105" x14ac:dyDescent="0.25">
      <c r="A28" s="2185" t="s">
        <v>98</v>
      </c>
      <c r="B28" s="2022" t="s">
        <v>2881</v>
      </c>
      <c r="C28" s="2543">
        <v>5</v>
      </c>
      <c r="D28" s="2023">
        <v>0</v>
      </c>
      <c r="E28" s="2024">
        <v>240.22638539624486</v>
      </c>
      <c r="F28" s="2024"/>
      <c r="G28" s="2024">
        <v>2.5641090973990168E-2</v>
      </c>
      <c r="H28" s="2024"/>
      <c r="I28" s="2023">
        <v>-3.3246040586220444</v>
      </c>
      <c r="J28" s="2027"/>
      <c r="K28" s="2026" t="s">
        <v>4</v>
      </c>
      <c r="L28" s="2026" t="s">
        <v>4</v>
      </c>
      <c r="M28" s="2026">
        <v>0.77800000000000002</v>
      </c>
      <c r="N28" s="2026">
        <v>0.77800000000000002</v>
      </c>
      <c r="O28" s="2026">
        <v>0.77800000000000002</v>
      </c>
      <c r="P28" s="2026">
        <v>0.77800000000000002</v>
      </c>
      <c r="Q28" s="2027">
        <f t="shared" si="15"/>
        <v>186.89612783827852</v>
      </c>
      <c r="R28" s="2027">
        <f t="shared" si="15"/>
        <v>186.89612783827852</v>
      </c>
      <c r="S28" s="2027">
        <f t="shared" si="15"/>
        <v>186.89612783827852</v>
      </c>
      <c r="T28" s="2027">
        <f t="shared" si="15"/>
        <v>186.89612783827852</v>
      </c>
      <c r="U28" s="2026">
        <v>0.77800000000000002</v>
      </c>
      <c r="V28" s="2026">
        <v>0.77800000000000002</v>
      </c>
      <c r="W28" s="2026">
        <v>0.77800000000000002</v>
      </c>
      <c r="X28" s="2026">
        <v>0.77800000000000002</v>
      </c>
      <c r="Y28" s="2028">
        <f t="shared" si="16"/>
        <v>1.9948768777764352E-2</v>
      </c>
      <c r="Z28" s="2028">
        <f t="shared" si="16"/>
        <v>1.9948768777764352E-2</v>
      </c>
      <c r="AA28" s="2028">
        <f t="shared" si="16"/>
        <v>1.9948768777764352E-2</v>
      </c>
      <c r="AB28" s="2028">
        <f t="shared" si="16"/>
        <v>1.9948768777764352E-2</v>
      </c>
      <c r="AC28" s="2026">
        <v>0.77800000000000002</v>
      </c>
      <c r="AD28" s="2026">
        <v>0.77800000000000002</v>
      </c>
      <c r="AE28" s="2026">
        <v>0.77800000000000002</v>
      </c>
      <c r="AF28" s="2026">
        <v>0.77800000000000002</v>
      </c>
      <c r="AG28" s="2027">
        <f t="shared" si="24"/>
        <v>-2.5865419576079507</v>
      </c>
      <c r="AH28" s="2027">
        <f t="shared" si="24"/>
        <v>-2.5865419576079507</v>
      </c>
      <c r="AI28" s="2027">
        <f t="shared" si="24"/>
        <v>-2.5865419576079507</v>
      </c>
      <c r="AJ28" s="2027">
        <f t="shared" si="24"/>
        <v>-2.5865419576079507</v>
      </c>
      <c r="AK28" s="2027">
        <v>263</v>
      </c>
      <c r="AL28" s="2027">
        <v>248</v>
      </c>
      <c r="AM28" s="2027">
        <v>240</v>
      </c>
      <c r="AN28" s="2027">
        <v>170</v>
      </c>
      <c r="AO28" s="2027">
        <f t="shared" ref="AO28:AO48" si="26">AK28*Q28</f>
        <v>49153.681621467251</v>
      </c>
      <c r="AP28" s="2027">
        <f t="shared" si="4"/>
        <v>46350.239703893072</v>
      </c>
      <c r="AQ28" s="2027">
        <f t="shared" si="4"/>
        <v>44855.070681186844</v>
      </c>
      <c r="AR28" s="2027"/>
      <c r="AS28" s="2027">
        <f t="shared" si="5"/>
        <v>31772.341732507346</v>
      </c>
      <c r="AT28" s="2027">
        <f t="shared" ref="AT28:AT48" si="27">AK28*AG28</f>
        <v>-680.26053485089108</v>
      </c>
      <c r="AU28" s="2027">
        <f t="shared" ref="AU28:AV48" si="28">AL28*AH28*CS28</f>
        <v>-641.46240548677179</v>
      </c>
      <c r="AV28" s="2027">
        <f t="shared" si="28"/>
        <v>-620.77006982590819</v>
      </c>
      <c r="AW28" s="2027">
        <f t="shared" si="25"/>
        <v>-439.7121327933516</v>
      </c>
      <c r="AX28" s="2029">
        <v>20</v>
      </c>
      <c r="AY28" s="2029">
        <v>20</v>
      </c>
      <c r="AZ28" s="2029">
        <v>20</v>
      </c>
      <c r="BA28" s="2029">
        <v>20</v>
      </c>
      <c r="BB28" s="1974"/>
      <c r="BC28" s="2029">
        <v>0</v>
      </c>
      <c r="BD28" s="2029">
        <v>0</v>
      </c>
      <c r="BE28" s="2029">
        <v>0</v>
      </c>
      <c r="BF28" s="2029">
        <v>30</v>
      </c>
      <c r="BG28" s="2029">
        <v>30</v>
      </c>
      <c r="BH28" s="2029">
        <v>30</v>
      </c>
      <c r="BI28" s="2029">
        <v>30</v>
      </c>
      <c r="BJ28" s="2030">
        <f t="shared" si="8"/>
        <v>5260</v>
      </c>
      <c r="BK28" s="2030">
        <f t="shared" si="8"/>
        <v>4960</v>
      </c>
      <c r="BL28" s="2030">
        <f t="shared" si="8"/>
        <v>4800</v>
      </c>
      <c r="BM28" s="2030"/>
      <c r="BN28" s="2030">
        <f t="shared" si="9"/>
        <v>3400</v>
      </c>
      <c r="BO28" s="2030">
        <f t="shared" si="10"/>
        <v>0</v>
      </c>
      <c r="BP28" s="2030"/>
      <c r="BQ28" s="2030">
        <f t="shared" si="11"/>
        <v>0</v>
      </c>
      <c r="BR28" s="2030">
        <f t="shared" si="11"/>
        <v>0</v>
      </c>
      <c r="BS28" s="2030">
        <f t="shared" si="11"/>
        <v>0</v>
      </c>
      <c r="BT28" s="2031"/>
      <c r="BU28" s="2031"/>
      <c r="BV28" s="2031"/>
      <c r="BW28" s="2031"/>
      <c r="BX28" s="2031"/>
      <c r="BY28" s="2031"/>
      <c r="BZ28" s="2031"/>
      <c r="CA28" s="2031"/>
      <c r="CB28" s="2029"/>
      <c r="CC28" s="2029"/>
      <c r="CD28" s="2029"/>
      <c r="CE28" s="2029"/>
      <c r="CF28" s="2029"/>
      <c r="CG28" s="2032"/>
      <c r="CH28" s="1974"/>
      <c r="CI28" s="1974"/>
      <c r="CJ28" s="1974"/>
      <c r="CK28" s="1974"/>
      <c r="CL28" s="1974">
        <v>0</v>
      </c>
      <c r="CM28" s="2033">
        <v>1.8717755407408697E-4</v>
      </c>
      <c r="CN28" s="2026">
        <v>-2.4911882975321719E-4</v>
      </c>
      <c r="CO28" s="1974">
        <v>1</v>
      </c>
      <c r="CP28" s="2040">
        <v>-5.10948905109489</v>
      </c>
      <c r="CQ28" s="2040"/>
      <c r="CR28" s="2062">
        <v>1</v>
      </c>
      <c r="CS28" s="2062">
        <v>1</v>
      </c>
      <c r="CT28" s="2062">
        <v>1</v>
      </c>
      <c r="CU28" s="2062">
        <v>1</v>
      </c>
      <c r="CV28" s="2036"/>
      <c r="CW28" s="2036"/>
      <c r="CX28" s="2036"/>
      <c r="CY28" s="2036"/>
      <c r="CZ28" s="2036"/>
      <c r="DA28" s="2036"/>
    </row>
    <row r="29" spans="1:105" x14ac:dyDescent="0.25">
      <c r="A29" s="2185" t="s">
        <v>99</v>
      </c>
      <c r="B29" s="2022" t="s">
        <v>2882</v>
      </c>
      <c r="C29" s="2543">
        <v>5</v>
      </c>
      <c r="D29" s="2023">
        <v>0</v>
      </c>
      <c r="E29" s="2024">
        <v>272.82471167942094</v>
      </c>
      <c r="F29" s="2024"/>
      <c r="G29" s="2024">
        <v>8.0423996679544099E-2</v>
      </c>
      <c r="H29" s="2024"/>
      <c r="I29" s="2023">
        <v>-2.483570128272278</v>
      </c>
      <c r="J29" s="2027"/>
      <c r="K29" s="2026" t="s">
        <v>4</v>
      </c>
      <c r="L29" s="2026" t="s">
        <v>4</v>
      </c>
      <c r="M29" s="2026">
        <v>0.77800000000000002</v>
      </c>
      <c r="N29" s="2026">
        <v>0.77800000000000002</v>
      </c>
      <c r="O29" s="2026">
        <v>0.77800000000000002</v>
      </c>
      <c r="P29" s="2026">
        <v>0.77800000000000002</v>
      </c>
      <c r="Q29" s="2027">
        <f t="shared" si="15"/>
        <v>212.25762568658951</v>
      </c>
      <c r="R29" s="2027">
        <f t="shared" si="15"/>
        <v>212.25762568658951</v>
      </c>
      <c r="S29" s="2027">
        <f t="shared" si="15"/>
        <v>212.25762568658951</v>
      </c>
      <c r="T29" s="2027">
        <f t="shared" si="15"/>
        <v>212.25762568658951</v>
      </c>
      <c r="U29" s="2026">
        <v>0.77800000000000002</v>
      </c>
      <c r="V29" s="2026">
        <v>0.77800000000000002</v>
      </c>
      <c r="W29" s="2026">
        <v>0.77800000000000002</v>
      </c>
      <c r="X29" s="2026">
        <v>0.77800000000000002</v>
      </c>
      <c r="Y29" s="2028">
        <f t="shared" si="16"/>
        <v>6.2569869416685311E-2</v>
      </c>
      <c r="Z29" s="2028">
        <f t="shared" si="16"/>
        <v>6.2569869416685311E-2</v>
      </c>
      <c r="AA29" s="2028">
        <f t="shared" si="16"/>
        <v>6.2569869416685311E-2</v>
      </c>
      <c r="AB29" s="2028">
        <f t="shared" si="16"/>
        <v>6.2569869416685311E-2</v>
      </c>
      <c r="AC29" s="2026">
        <v>0.77800000000000002</v>
      </c>
      <c r="AD29" s="2026">
        <v>0.77800000000000002</v>
      </c>
      <c r="AE29" s="2026">
        <v>0.77800000000000002</v>
      </c>
      <c r="AF29" s="2026">
        <v>0.77800000000000002</v>
      </c>
      <c r="AG29" s="2027">
        <f t="shared" si="24"/>
        <v>-1.9322175597958324</v>
      </c>
      <c r="AH29" s="2027">
        <f t="shared" si="24"/>
        <v>-1.9322175597958324</v>
      </c>
      <c r="AI29" s="2027">
        <f t="shared" si="24"/>
        <v>-1.9322175597958324</v>
      </c>
      <c r="AJ29" s="2027">
        <f t="shared" si="24"/>
        <v>-1.9322175597958324</v>
      </c>
      <c r="AK29" s="2027">
        <v>14</v>
      </c>
      <c r="AL29" s="2027">
        <v>18</v>
      </c>
      <c r="AM29" s="2027">
        <v>19</v>
      </c>
      <c r="AN29" s="2027">
        <v>16</v>
      </c>
      <c r="AO29" s="2027">
        <f t="shared" si="26"/>
        <v>2971.606759612253</v>
      </c>
      <c r="AP29" s="2027">
        <f t="shared" si="4"/>
        <v>3820.6372623586112</v>
      </c>
      <c r="AQ29" s="2027">
        <f t="shared" si="4"/>
        <v>4032.8948880452008</v>
      </c>
      <c r="AR29" s="2027"/>
      <c r="AS29" s="2027">
        <f t="shared" si="5"/>
        <v>3396.1220109854321</v>
      </c>
      <c r="AT29" s="2027">
        <f t="shared" si="27"/>
        <v>-27.051045837141654</v>
      </c>
      <c r="AU29" s="2027">
        <f t="shared" si="28"/>
        <v>-34.77991607632498</v>
      </c>
      <c r="AV29" s="2027">
        <f t="shared" si="28"/>
        <v>-36.712133636120818</v>
      </c>
      <c r="AW29" s="2027">
        <f t="shared" si="25"/>
        <v>-30.915480956733319</v>
      </c>
      <c r="AX29" s="2029">
        <v>10</v>
      </c>
      <c r="AY29" s="2029">
        <v>10</v>
      </c>
      <c r="AZ29" s="2029">
        <v>10</v>
      </c>
      <c r="BA29" s="2029">
        <v>10</v>
      </c>
      <c r="BB29" s="1974"/>
      <c r="BC29" s="2029">
        <v>0</v>
      </c>
      <c r="BD29" s="2029">
        <v>0</v>
      </c>
      <c r="BE29" s="2029">
        <v>0</v>
      </c>
      <c r="BF29" s="2029">
        <v>30</v>
      </c>
      <c r="BG29" s="2029">
        <v>30</v>
      </c>
      <c r="BH29" s="2029">
        <v>30</v>
      </c>
      <c r="BI29" s="2029">
        <v>30</v>
      </c>
      <c r="BJ29" s="2030">
        <f t="shared" si="8"/>
        <v>140</v>
      </c>
      <c r="BK29" s="2030">
        <f t="shared" si="8"/>
        <v>180</v>
      </c>
      <c r="BL29" s="2030">
        <f t="shared" si="8"/>
        <v>190</v>
      </c>
      <c r="BM29" s="2030"/>
      <c r="BN29" s="2030">
        <f t="shared" si="9"/>
        <v>160</v>
      </c>
      <c r="BO29" s="2030">
        <f t="shared" si="10"/>
        <v>0</v>
      </c>
      <c r="BP29" s="2030"/>
      <c r="BQ29" s="2030">
        <f t="shared" si="11"/>
        <v>0</v>
      </c>
      <c r="BR29" s="2030">
        <f t="shared" si="11"/>
        <v>0</v>
      </c>
      <c r="BS29" s="2030">
        <f t="shared" si="11"/>
        <v>0</v>
      </c>
      <c r="BT29" s="2031"/>
      <c r="BU29" s="2031"/>
      <c r="BV29" s="2031"/>
      <c r="BW29" s="2031"/>
      <c r="BX29" s="2031"/>
      <c r="BY29" s="2031"/>
      <c r="BZ29" s="2031"/>
      <c r="CA29" s="2031"/>
      <c r="CB29" s="2029"/>
      <c r="CC29" s="2029"/>
      <c r="CD29" s="2029"/>
      <c r="CE29" s="2029"/>
      <c r="CF29" s="2029"/>
      <c r="CG29" s="2032"/>
      <c r="CH29" s="1974"/>
      <c r="CI29" s="1974"/>
      <c r="CJ29" s="1974"/>
      <c r="CK29" s="1974"/>
      <c r="CL29" s="1974">
        <v>0</v>
      </c>
      <c r="CM29" s="2033">
        <v>1.1375370755894182E-5</v>
      </c>
      <c r="CN29" s="2026">
        <v>-9.9584522739710636E-6</v>
      </c>
      <c r="CO29" s="1974">
        <v>1</v>
      </c>
      <c r="CP29" s="2040">
        <v>-5.10948905109489</v>
      </c>
      <c r="CQ29" s="2040"/>
      <c r="CR29" s="2062">
        <v>1</v>
      </c>
      <c r="CS29" s="2062">
        <v>1</v>
      </c>
      <c r="CT29" s="2062">
        <v>1</v>
      </c>
      <c r="CU29" s="2062">
        <v>1</v>
      </c>
      <c r="CV29" s="2036"/>
      <c r="CW29" s="2036"/>
      <c r="CX29" s="2036"/>
      <c r="CY29" s="2036"/>
      <c r="CZ29" s="2036"/>
      <c r="DA29" s="2036"/>
    </row>
    <row r="30" spans="1:105" x14ac:dyDescent="0.25">
      <c r="A30" s="2185" t="s">
        <v>2883</v>
      </c>
      <c r="B30" s="2022" t="s">
        <v>2884</v>
      </c>
      <c r="C30" s="2023">
        <v>15</v>
      </c>
      <c r="D30" s="2023">
        <v>1</v>
      </c>
      <c r="E30" s="1973">
        <f>F30*$CS30</f>
        <v>812.6885839476405</v>
      </c>
      <c r="F30" s="2024">
        <v>812.6885839476405</v>
      </c>
      <c r="G30" s="1973">
        <f>H30*$CS30</f>
        <v>0.1417337655342763</v>
      </c>
      <c r="H30" s="2024">
        <v>0.1417337655342763</v>
      </c>
      <c r="I30" s="1973">
        <f>J30*$CS30</f>
        <v>-12.323260536976173</v>
      </c>
      <c r="J30" s="2023">
        <v>-12.323260536976173</v>
      </c>
      <c r="K30" s="2026" t="s">
        <v>4</v>
      </c>
      <c r="L30" s="2026" t="s">
        <v>4</v>
      </c>
      <c r="M30" s="2026">
        <v>0.77800000000000002</v>
      </c>
      <c r="N30" s="2026">
        <v>0.77800000000000002</v>
      </c>
      <c r="O30" s="2026">
        <v>0.77800000000000002</v>
      </c>
      <c r="P30" s="2026">
        <v>0.77800000000000002</v>
      </c>
      <c r="Q30" s="2027">
        <f>$F30*M30</f>
        <v>632.27171831126429</v>
      </c>
      <c r="R30" s="2027">
        <f>$F30*N30</f>
        <v>632.27171831126429</v>
      </c>
      <c r="S30" s="2027">
        <f>$F30*O30</f>
        <v>632.27171831126429</v>
      </c>
      <c r="T30" s="2027">
        <f>$F30*P30</f>
        <v>632.27171831126429</v>
      </c>
      <c r="U30" s="2026">
        <v>0.77800000000000002</v>
      </c>
      <c r="V30" s="2026">
        <v>0.77800000000000002</v>
      </c>
      <c r="W30" s="2026">
        <v>0.77800000000000002</v>
      </c>
      <c r="X30" s="2026">
        <v>0.77800000000000002</v>
      </c>
      <c r="Y30" s="2028">
        <f>$H30*U30</f>
        <v>0.11026886958566696</v>
      </c>
      <c r="Z30" s="2028">
        <f>$H30*V30</f>
        <v>0.11026886958566696</v>
      </c>
      <c r="AA30" s="2028">
        <f>$H30*W30</f>
        <v>0.11026886958566696</v>
      </c>
      <c r="AB30" s="2028">
        <f>$H30*X30</f>
        <v>0.11026886958566696</v>
      </c>
      <c r="AC30" s="2026">
        <v>0.77800000000000002</v>
      </c>
      <c r="AD30" s="2026">
        <v>0.77800000000000002</v>
      </c>
      <c r="AE30" s="2026">
        <v>0.77800000000000002</v>
      </c>
      <c r="AF30" s="2026">
        <v>0.77800000000000002</v>
      </c>
      <c r="AG30" s="2027">
        <f>$J30*AC30</f>
        <v>-9.5874966977674632</v>
      </c>
      <c r="AH30" s="2027">
        <f>$J30*AD30</f>
        <v>-9.5874966977674632</v>
      </c>
      <c r="AI30" s="2027">
        <f>$J30*AE30</f>
        <v>-9.5874966977674632</v>
      </c>
      <c r="AJ30" s="2027">
        <f>$J30*AF30</f>
        <v>-9.5874966977674632</v>
      </c>
      <c r="AK30" s="2027">
        <v>71102</v>
      </c>
      <c r="AL30" s="2027">
        <v>71934</v>
      </c>
      <c r="AM30" s="2027">
        <v>72219</v>
      </c>
      <c r="AN30" s="2027">
        <v>72056</v>
      </c>
      <c r="AO30" s="2027">
        <f t="shared" si="26"/>
        <v>44955783.715367511</v>
      </c>
      <c r="AP30" s="2027">
        <f t="shared" si="4"/>
        <v>45481833.785002485</v>
      </c>
      <c r="AQ30" s="2027">
        <f t="shared" si="4"/>
        <v>41949710.58909478</v>
      </c>
      <c r="AR30" s="2027"/>
      <c r="AS30" s="2027">
        <f t="shared" si="5"/>
        <v>41855029.094944738</v>
      </c>
      <c r="AT30" s="2027">
        <f t="shared" si="27"/>
        <v>-681690.19020466215</v>
      </c>
      <c r="AU30" s="2027">
        <f t="shared" si="28"/>
        <v>-689666.98745720473</v>
      </c>
      <c r="AV30" s="2027">
        <f t="shared" si="28"/>
        <v>-636107.38879712089</v>
      </c>
      <c r="AW30" s="2027">
        <f t="shared" si="25"/>
        <v>-634671.67929721181</v>
      </c>
      <c r="AX30" s="2029">
        <v>68.988755135579282</v>
      </c>
      <c r="AY30" s="2029">
        <v>68.988755135579282</v>
      </c>
      <c r="AZ30" s="2029">
        <v>68.988755135579282</v>
      </c>
      <c r="BA30" s="2029">
        <v>68.988755135579282</v>
      </c>
      <c r="BB30" s="1974"/>
      <c r="BC30" s="2029">
        <v>0</v>
      </c>
      <c r="BD30" s="2029">
        <v>0</v>
      </c>
      <c r="BE30" s="2029">
        <v>0</v>
      </c>
      <c r="BF30" s="2029">
        <v>266.88716398638337</v>
      </c>
      <c r="BG30" s="2029">
        <v>266.88716398638337</v>
      </c>
      <c r="BH30" s="2029">
        <v>266.88716398638337</v>
      </c>
      <c r="BI30" s="2029">
        <v>266.88716398638337</v>
      </c>
      <c r="BJ30" s="2030">
        <f t="shared" si="8"/>
        <v>4905238.4676499581</v>
      </c>
      <c r="BK30" s="2030">
        <f t="shared" si="8"/>
        <v>4962637.1119227605</v>
      </c>
      <c r="BL30" s="2030">
        <f t="shared" si="8"/>
        <v>4982298.9071364002</v>
      </c>
      <c r="BM30" s="2030"/>
      <c r="BN30" s="2030">
        <f t="shared" si="9"/>
        <v>4971053.7400493007</v>
      </c>
      <c r="BO30" s="2030">
        <f t="shared" si="10"/>
        <v>0</v>
      </c>
      <c r="BP30" s="2030"/>
      <c r="BQ30" s="2030">
        <f t="shared" si="11"/>
        <v>0</v>
      </c>
      <c r="BR30" s="2030">
        <f t="shared" si="11"/>
        <v>0</v>
      </c>
      <c r="BS30" s="2030">
        <f t="shared" si="11"/>
        <v>0</v>
      </c>
      <c r="BT30" s="2031"/>
      <c r="BU30" s="2031"/>
      <c r="BV30" s="2031"/>
      <c r="BW30" s="2031"/>
      <c r="BX30" s="2031"/>
      <c r="BY30" s="2031"/>
      <c r="BZ30" s="2031"/>
      <c r="CA30" s="2031"/>
      <c r="CB30" s="2029"/>
      <c r="CC30" s="2029"/>
      <c r="CD30" s="2029"/>
      <c r="CE30" s="2029"/>
      <c r="CF30" s="2029"/>
      <c r="CG30" s="2032"/>
      <c r="CH30" s="1974"/>
      <c r="CI30" s="1974"/>
      <c r="CJ30" s="1974"/>
      <c r="CK30" s="1974"/>
      <c r="CL30" s="1974">
        <v>1</v>
      </c>
      <c r="CM30" s="2033">
        <v>0.21178053058729671</v>
      </c>
      <c r="CN30" s="2026">
        <v>-0.30883112711457872</v>
      </c>
      <c r="CO30" s="1974">
        <v>1</v>
      </c>
      <c r="CP30" s="2040">
        <v>-5.387533986928104</v>
      </c>
      <c r="CQ30" s="2040"/>
      <c r="CR30" s="2062">
        <v>1</v>
      </c>
      <c r="CS30" s="2062">
        <v>1</v>
      </c>
      <c r="CT30" s="2121">
        <v>0.91870005481454409</v>
      </c>
      <c r="CU30" s="2121">
        <v>0.91870005481454409</v>
      </c>
      <c r="CV30" s="2036"/>
      <c r="CW30" s="2036"/>
      <c r="CX30" s="2036"/>
      <c r="CY30" s="2036"/>
      <c r="CZ30" s="2036"/>
      <c r="DA30" s="2036"/>
    </row>
    <row r="31" spans="1:105" x14ac:dyDescent="0.25">
      <c r="A31" s="2185" t="s">
        <v>101</v>
      </c>
      <c r="B31" s="2022" t="s">
        <v>2885</v>
      </c>
      <c r="C31" s="2023">
        <v>3</v>
      </c>
      <c r="D31" s="2023">
        <v>0</v>
      </c>
      <c r="E31" s="2024">
        <v>878</v>
      </c>
      <c r="F31" s="2024"/>
      <c r="G31" s="2024">
        <v>0.39</v>
      </c>
      <c r="H31" s="2024"/>
      <c r="I31" s="2023">
        <v>0</v>
      </c>
      <c r="J31" s="2027"/>
      <c r="K31" s="2026" t="s">
        <v>20</v>
      </c>
      <c r="L31" s="2026" t="s">
        <v>20</v>
      </c>
      <c r="M31" s="2026">
        <v>0.55700000000000005</v>
      </c>
      <c r="N31" s="2026">
        <v>0.55700000000000005</v>
      </c>
      <c r="O31" s="2026">
        <v>0.55700000000000005</v>
      </c>
      <c r="P31" s="2026">
        <v>0.55700000000000005</v>
      </c>
      <c r="Q31" s="2027">
        <f t="shared" si="15"/>
        <v>489.04600000000005</v>
      </c>
      <c r="R31" s="2027">
        <f t="shared" si="15"/>
        <v>489.04600000000005</v>
      </c>
      <c r="S31" s="2027">
        <f t="shared" si="15"/>
        <v>489.04600000000005</v>
      </c>
      <c r="T31" s="2027">
        <f t="shared" si="15"/>
        <v>489.04600000000005</v>
      </c>
      <c r="U31" s="2026">
        <v>0.55700000000000005</v>
      </c>
      <c r="V31" s="2026">
        <v>0.55700000000000005</v>
      </c>
      <c r="W31" s="2026">
        <v>0.55700000000000005</v>
      </c>
      <c r="X31" s="2026">
        <v>0.55700000000000005</v>
      </c>
      <c r="Y31" s="2028">
        <f t="shared" si="16"/>
        <v>0.21723000000000003</v>
      </c>
      <c r="Z31" s="2028">
        <f t="shared" si="16"/>
        <v>0.21723000000000003</v>
      </c>
      <c r="AA31" s="2028">
        <f t="shared" si="16"/>
        <v>0.21723000000000003</v>
      </c>
      <c r="AB31" s="2028">
        <f t="shared" si="16"/>
        <v>0.21723000000000003</v>
      </c>
      <c r="AC31" s="2026">
        <v>0.49399999999999999</v>
      </c>
      <c r="AD31" s="2026">
        <v>0.49399999999999999</v>
      </c>
      <c r="AE31" s="2026">
        <v>0.49399999999999999</v>
      </c>
      <c r="AF31" s="2026">
        <v>0.49399999999999999</v>
      </c>
      <c r="AG31" s="2027">
        <f t="shared" si="24"/>
        <v>0</v>
      </c>
      <c r="AH31" s="2027">
        <f t="shared" si="24"/>
        <v>0</v>
      </c>
      <c r="AI31" s="2027">
        <f t="shared" si="24"/>
        <v>0</v>
      </c>
      <c r="AJ31" s="2027">
        <f t="shared" si="24"/>
        <v>0</v>
      </c>
      <c r="AK31" s="2027">
        <v>45</v>
      </c>
      <c r="AL31" s="2027">
        <v>47</v>
      </c>
      <c r="AM31" s="2027">
        <v>49</v>
      </c>
      <c r="AN31" s="2027">
        <v>50</v>
      </c>
      <c r="AO31" s="2027">
        <f t="shared" si="26"/>
        <v>22007.070000000003</v>
      </c>
      <c r="AP31" s="2027">
        <f t="shared" si="4"/>
        <v>22985.162000000004</v>
      </c>
      <c r="AQ31" s="2027">
        <f t="shared" si="4"/>
        <v>23963.254000000001</v>
      </c>
      <c r="AR31" s="2027"/>
      <c r="AS31" s="2027">
        <f t="shared" si="5"/>
        <v>24452.300000000003</v>
      </c>
      <c r="AT31" s="2027">
        <f t="shared" si="27"/>
        <v>0</v>
      </c>
      <c r="AU31" s="2027">
        <f t="shared" si="28"/>
        <v>0</v>
      </c>
      <c r="AV31" s="2027">
        <f t="shared" si="28"/>
        <v>0</v>
      </c>
      <c r="AW31" s="2027">
        <f t="shared" si="25"/>
        <v>0</v>
      </c>
      <c r="AX31" s="2029">
        <v>120</v>
      </c>
      <c r="AY31" s="2029">
        <v>120</v>
      </c>
      <c r="AZ31" s="2029">
        <v>120</v>
      </c>
      <c r="BA31" s="2029">
        <v>120</v>
      </c>
      <c r="BB31" s="1974"/>
      <c r="BC31" s="2029">
        <v>0</v>
      </c>
      <c r="BD31" s="2029">
        <v>0</v>
      </c>
      <c r="BE31" s="2029">
        <v>0</v>
      </c>
      <c r="BF31" s="2029">
        <v>140</v>
      </c>
      <c r="BG31" s="2029">
        <v>140</v>
      </c>
      <c r="BH31" s="2029">
        <v>140</v>
      </c>
      <c r="BI31" s="2029">
        <v>140</v>
      </c>
      <c r="BJ31" s="2030">
        <f t="shared" si="8"/>
        <v>5400</v>
      </c>
      <c r="BK31" s="2030">
        <f t="shared" si="8"/>
        <v>5640</v>
      </c>
      <c r="BL31" s="2030">
        <f t="shared" si="8"/>
        <v>5880</v>
      </c>
      <c r="BM31" s="2030"/>
      <c r="BN31" s="2030">
        <f t="shared" si="9"/>
        <v>6000</v>
      </c>
      <c r="BO31" s="2030">
        <f t="shared" si="10"/>
        <v>0</v>
      </c>
      <c r="BP31" s="2030"/>
      <c r="BQ31" s="2030">
        <f t="shared" si="11"/>
        <v>0</v>
      </c>
      <c r="BR31" s="2030">
        <f t="shared" si="11"/>
        <v>0</v>
      </c>
      <c r="BS31" s="2030">
        <f t="shared" si="11"/>
        <v>0</v>
      </c>
      <c r="BT31" s="2031"/>
      <c r="BU31" s="2031"/>
      <c r="BV31" s="2031"/>
      <c r="BW31" s="2031"/>
      <c r="BX31" s="2031"/>
      <c r="BY31" s="2031"/>
      <c r="BZ31" s="2031"/>
      <c r="CA31" s="2031"/>
      <c r="CB31" s="2029"/>
      <c r="CC31" s="2029"/>
      <c r="CD31" s="2029"/>
      <c r="CE31" s="2029"/>
      <c r="CF31" s="2029"/>
      <c r="CG31" s="2032"/>
      <c r="CH31" s="1974"/>
      <c r="CI31" s="1974"/>
      <c r="CJ31" s="1974"/>
      <c r="CK31" s="1974"/>
      <c r="CL31" s="1974">
        <v>0</v>
      </c>
      <c r="CM31" s="2033">
        <v>8.1903411430627921E-5</v>
      </c>
      <c r="CN31" s="2026">
        <v>0</v>
      </c>
      <c r="CO31" s="1974">
        <v>0</v>
      </c>
      <c r="CP31" s="2040">
        <v>0</v>
      </c>
      <c r="CQ31" s="2040"/>
      <c r="CR31" s="2062">
        <v>1</v>
      </c>
      <c r="CS31" s="2062">
        <v>1</v>
      </c>
      <c r="CT31" s="2062">
        <v>1</v>
      </c>
      <c r="CU31" s="2062">
        <v>1</v>
      </c>
      <c r="CV31" s="2036"/>
      <c r="CW31" s="2036"/>
      <c r="CX31" s="2036"/>
      <c r="CY31" s="2036"/>
      <c r="CZ31" s="2036"/>
      <c r="DA31" s="2036"/>
    </row>
    <row r="32" spans="1:105" ht="23" x14ac:dyDescent="0.25">
      <c r="A32" s="2185" t="s">
        <v>213</v>
      </c>
      <c r="B32" s="2022" t="s">
        <v>2886</v>
      </c>
      <c r="C32" s="2023">
        <v>15</v>
      </c>
      <c r="D32" s="2023">
        <v>0</v>
      </c>
      <c r="E32" s="2024">
        <v>514.38</v>
      </c>
      <c r="F32" s="2024"/>
      <c r="G32" s="2024">
        <v>0.5</v>
      </c>
      <c r="H32" s="2024"/>
      <c r="I32" s="2023">
        <v>0</v>
      </c>
      <c r="J32" s="2027"/>
      <c r="K32" s="2026" t="s">
        <v>20</v>
      </c>
      <c r="L32" s="2026" t="s">
        <v>20</v>
      </c>
      <c r="M32" s="2026">
        <v>0.55700000000000005</v>
      </c>
      <c r="N32" s="2026">
        <v>0.55700000000000005</v>
      </c>
      <c r="O32" s="2026">
        <v>0.55700000000000005</v>
      </c>
      <c r="P32" s="2026">
        <v>0.55700000000000005</v>
      </c>
      <c r="Q32" s="2027">
        <f t="shared" si="15"/>
        <v>286.50966</v>
      </c>
      <c r="R32" s="2027">
        <f t="shared" si="15"/>
        <v>286.50966</v>
      </c>
      <c r="S32" s="2027">
        <f t="shared" si="15"/>
        <v>286.50966</v>
      </c>
      <c r="T32" s="2027">
        <f t="shared" si="15"/>
        <v>286.50966</v>
      </c>
      <c r="U32" s="2026">
        <v>0.55700000000000005</v>
      </c>
      <c r="V32" s="2026">
        <v>0.55700000000000005</v>
      </c>
      <c r="W32" s="2026">
        <v>0.55700000000000005</v>
      </c>
      <c r="X32" s="2026">
        <v>0.55700000000000005</v>
      </c>
      <c r="Y32" s="2028">
        <f t="shared" si="16"/>
        <v>0.27850000000000003</v>
      </c>
      <c r="Z32" s="2028">
        <f t="shared" si="16"/>
        <v>0.27850000000000003</v>
      </c>
      <c r="AA32" s="2028">
        <f t="shared" si="16"/>
        <v>0.27850000000000003</v>
      </c>
      <c r="AB32" s="2028">
        <f t="shared" si="16"/>
        <v>0.27850000000000003</v>
      </c>
      <c r="AC32" s="2026">
        <v>0.49399999999999999</v>
      </c>
      <c r="AD32" s="2026">
        <v>0.49399999999999999</v>
      </c>
      <c r="AE32" s="2026">
        <v>0.49399999999999999</v>
      </c>
      <c r="AF32" s="2026">
        <v>0.49399999999999999</v>
      </c>
      <c r="AG32" s="2027">
        <f t="shared" si="24"/>
        <v>0</v>
      </c>
      <c r="AH32" s="2027">
        <f t="shared" si="24"/>
        <v>0</v>
      </c>
      <c r="AI32" s="2027">
        <f t="shared" si="24"/>
        <v>0</v>
      </c>
      <c r="AJ32" s="2027">
        <f t="shared" si="24"/>
        <v>0</v>
      </c>
      <c r="AK32" s="2027">
        <v>18</v>
      </c>
      <c r="AL32" s="2027">
        <v>19</v>
      </c>
      <c r="AM32" s="2027">
        <v>23</v>
      </c>
      <c r="AN32" s="2027">
        <v>20</v>
      </c>
      <c r="AO32" s="2027">
        <f t="shared" si="26"/>
        <v>5157.1738800000003</v>
      </c>
      <c r="AP32" s="2027">
        <f t="shared" si="4"/>
        <v>5443.68354</v>
      </c>
      <c r="AQ32" s="2027">
        <f t="shared" si="4"/>
        <v>6589.7221799999998</v>
      </c>
      <c r="AR32" s="2027"/>
      <c r="AS32" s="2027">
        <f t="shared" si="5"/>
        <v>5730.1931999999997</v>
      </c>
      <c r="AT32" s="2027">
        <f t="shared" si="27"/>
        <v>0</v>
      </c>
      <c r="AU32" s="2027">
        <f t="shared" si="28"/>
        <v>0</v>
      </c>
      <c r="AV32" s="2027">
        <f t="shared" si="28"/>
        <v>0</v>
      </c>
      <c r="AW32" s="2027">
        <f t="shared" si="25"/>
        <v>0</v>
      </c>
      <c r="AX32" s="2029">
        <v>50</v>
      </c>
      <c r="AY32" s="2029">
        <v>50</v>
      </c>
      <c r="AZ32" s="2029">
        <v>50</v>
      </c>
      <c r="BA32" s="2029">
        <v>50</v>
      </c>
      <c r="BB32" s="1974"/>
      <c r="BC32" s="2029">
        <v>0</v>
      </c>
      <c r="BD32" s="2029">
        <v>0</v>
      </c>
      <c r="BE32" s="2029">
        <v>0</v>
      </c>
      <c r="BF32" s="2029">
        <v>300</v>
      </c>
      <c r="BG32" s="2029">
        <v>300</v>
      </c>
      <c r="BH32" s="2029">
        <v>300</v>
      </c>
      <c r="BI32" s="2029">
        <v>300</v>
      </c>
      <c r="BJ32" s="2030">
        <f t="shared" si="8"/>
        <v>900</v>
      </c>
      <c r="BK32" s="2030">
        <f t="shared" si="8"/>
        <v>950</v>
      </c>
      <c r="BL32" s="2030">
        <f t="shared" si="8"/>
        <v>1150</v>
      </c>
      <c r="BM32" s="2030"/>
      <c r="BN32" s="2030">
        <f t="shared" si="9"/>
        <v>1000</v>
      </c>
      <c r="BO32" s="2030">
        <f t="shared" si="10"/>
        <v>0</v>
      </c>
      <c r="BP32" s="2030"/>
      <c r="BQ32" s="2030">
        <f t="shared" si="11"/>
        <v>0</v>
      </c>
      <c r="BR32" s="2030">
        <f t="shared" si="11"/>
        <v>0</v>
      </c>
      <c r="BS32" s="2030">
        <f t="shared" si="11"/>
        <v>0</v>
      </c>
      <c r="BT32" s="2031"/>
      <c r="BU32" s="2031"/>
      <c r="BV32" s="2031"/>
      <c r="BW32" s="2031"/>
      <c r="BX32" s="2031"/>
      <c r="BY32" s="2031"/>
      <c r="BZ32" s="2031"/>
      <c r="CA32" s="2031"/>
      <c r="CB32" s="2029"/>
      <c r="CC32" s="2029"/>
      <c r="CD32" s="2029"/>
      <c r="CE32" s="2029"/>
      <c r="CF32" s="2029"/>
      <c r="CG32" s="2032"/>
      <c r="CH32" s="1974"/>
      <c r="CI32" s="1974"/>
      <c r="CJ32" s="1974"/>
      <c r="CK32" s="1974"/>
      <c r="CL32" s="1974">
        <v>0</v>
      </c>
      <c r="CM32" s="2033">
        <v>1.9193383495073524E-5</v>
      </c>
      <c r="CN32" s="2026">
        <v>0</v>
      </c>
      <c r="CO32" s="1974">
        <v>0</v>
      </c>
      <c r="CP32" s="2040">
        <v>0</v>
      </c>
      <c r="CQ32" s="2040"/>
      <c r="CR32" s="2062">
        <v>1</v>
      </c>
      <c r="CS32" s="2062">
        <v>1</v>
      </c>
      <c r="CT32" s="2062">
        <v>1</v>
      </c>
      <c r="CU32" s="2062">
        <v>1</v>
      </c>
      <c r="CV32" s="2036"/>
      <c r="CW32" s="2036"/>
      <c r="CX32" s="2036"/>
      <c r="CY32" s="2036"/>
      <c r="CZ32" s="2036"/>
      <c r="DA32" s="2036"/>
    </row>
    <row r="33" spans="1:105" ht="23" x14ac:dyDescent="0.25">
      <c r="A33" s="2185" t="s">
        <v>214</v>
      </c>
      <c r="B33" s="2022" t="s">
        <v>2887</v>
      </c>
      <c r="C33" s="2023">
        <v>15</v>
      </c>
      <c r="D33" s="2023">
        <v>0</v>
      </c>
      <c r="E33" s="2024">
        <v>744.5</v>
      </c>
      <c r="F33" s="2024"/>
      <c r="G33" s="2024">
        <v>0.747</v>
      </c>
      <c r="H33" s="2024"/>
      <c r="I33" s="2023">
        <v>0</v>
      </c>
      <c r="J33" s="2027"/>
      <c r="K33" s="2026" t="s">
        <v>20</v>
      </c>
      <c r="L33" s="2026" t="s">
        <v>20</v>
      </c>
      <c r="M33" s="2026">
        <v>0.55700000000000005</v>
      </c>
      <c r="N33" s="2026">
        <v>0.55700000000000005</v>
      </c>
      <c r="O33" s="2026">
        <v>0.55700000000000005</v>
      </c>
      <c r="P33" s="2026">
        <v>0.55700000000000005</v>
      </c>
      <c r="Q33" s="2027">
        <f t="shared" si="15"/>
        <v>414.68650000000002</v>
      </c>
      <c r="R33" s="2027">
        <f t="shared" si="15"/>
        <v>414.68650000000002</v>
      </c>
      <c r="S33" s="2027">
        <f t="shared" si="15"/>
        <v>414.68650000000002</v>
      </c>
      <c r="T33" s="2027">
        <f t="shared" si="15"/>
        <v>414.68650000000002</v>
      </c>
      <c r="U33" s="2026">
        <v>0.55700000000000005</v>
      </c>
      <c r="V33" s="2026">
        <v>0.55700000000000005</v>
      </c>
      <c r="W33" s="2026">
        <v>0.55700000000000005</v>
      </c>
      <c r="X33" s="2026">
        <v>0.55700000000000005</v>
      </c>
      <c r="Y33" s="2028">
        <f t="shared" si="16"/>
        <v>0.41607900000000003</v>
      </c>
      <c r="Z33" s="2028">
        <f t="shared" si="16"/>
        <v>0.41607900000000003</v>
      </c>
      <c r="AA33" s="2028">
        <f t="shared" si="16"/>
        <v>0.41607900000000003</v>
      </c>
      <c r="AB33" s="2028">
        <f t="shared" si="16"/>
        <v>0.41607900000000003</v>
      </c>
      <c r="AC33" s="2026">
        <v>0.49399999999999999</v>
      </c>
      <c r="AD33" s="2026">
        <v>0.49399999999999999</v>
      </c>
      <c r="AE33" s="2026">
        <v>0.49399999999999999</v>
      </c>
      <c r="AF33" s="2026">
        <v>0.49399999999999999</v>
      </c>
      <c r="AG33" s="2027">
        <f t="shared" si="24"/>
        <v>0</v>
      </c>
      <c r="AH33" s="2027">
        <f t="shared" si="24"/>
        <v>0</v>
      </c>
      <c r="AI33" s="2027">
        <f t="shared" si="24"/>
        <v>0</v>
      </c>
      <c r="AJ33" s="2027">
        <f t="shared" si="24"/>
        <v>0</v>
      </c>
      <c r="AK33" s="2027">
        <v>9</v>
      </c>
      <c r="AL33" s="2027">
        <v>10</v>
      </c>
      <c r="AM33" s="2027">
        <v>14</v>
      </c>
      <c r="AN33" s="2027">
        <v>10</v>
      </c>
      <c r="AO33" s="2027">
        <f t="shared" si="26"/>
        <v>3732.1785</v>
      </c>
      <c r="AP33" s="2027">
        <f t="shared" si="4"/>
        <v>4146.8649999999998</v>
      </c>
      <c r="AQ33" s="2027">
        <f t="shared" si="4"/>
        <v>5805.6110000000008</v>
      </c>
      <c r="AR33" s="2027"/>
      <c r="AS33" s="2027">
        <f t="shared" si="5"/>
        <v>4146.8649999999998</v>
      </c>
      <c r="AT33" s="2027">
        <f t="shared" si="27"/>
        <v>0</v>
      </c>
      <c r="AU33" s="2027">
        <f t="shared" si="28"/>
        <v>0</v>
      </c>
      <c r="AV33" s="2027">
        <f t="shared" si="28"/>
        <v>0</v>
      </c>
      <c r="AW33" s="2027">
        <f t="shared" si="25"/>
        <v>0</v>
      </c>
      <c r="AX33" s="2029">
        <v>50</v>
      </c>
      <c r="AY33" s="2029">
        <v>50</v>
      </c>
      <c r="AZ33" s="2029">
        <v>50</v>
      </c>
      <c r="BA33" s="2029">
        <v>50</v>
      </c>
      <c r="BB33" s="1974"/>
      <c r="BC33" s="2029">
        <v>0</v>
      </c>
      <c r="BD33" s="2029">
        <v>0</v>
      </c>
      <c r="BE33" s="2029">
        <v>0</v>
      </c>
      <c r="BF33" s="2029">
        <v>1000</v>
      </c>
      <c r="BG33" s="2029">
        <v>1000</v>
      </c>
      <c r="BH33" s="2029">
        <v>1000</v>
      </c>
      <c r="BI33" s="2029">
        <v>1000</v>
      </c>
      <c r="BJ33" s="2030">
        <f t="shared" si="8"/>
        <v>450</v>
      </c>
      <c r="BK33" s="2030">
        <f t="shared" si="8"/>
        <v>500</v>
      </c>
      <c r="BL33" s="2030">
        <f t="shared" si="8"/>
        <v>700</v>
      </c>
      <c r="BM33" s="2030"/>
      <c r="BN33" s="2030">
        <f t="shared" si="9"/>
        <v>500</v>
      </c>
      <c r="BO33" s="2030">
        <f t="shared" si="10"/>
        <v>0</v>
      </c>
      <c r="BP33" s="2030"/>
      <c r="BQ33" s="2030">
        <f t="shared" si="11"/>
        <v>0</v>
      </c>
      <c r="BR33" s="2030">
        <f t="shared" si="11"/>
        <v>0</v>
      </c>
      <c r="BS33" s="2030">
        <f t="shared" si="11"/>
        <v>0</v>
      </c>
      <c r="BT33" s="2031"/>
      <c r="BU33" s="2031"/>
      <c r="BV33" s="2031"/>
      <c r="BW33" s="2031"/>
      <c r="BX33" s="2031"/>
      <c r="BY33" s="2031"/>
      <c r="BZ33" s="2031"/>
      <c r="CA33" s="2031"/>
      <c r="CB33" s="2029"/>
      <c r="CC33" s="2029"/>
      <c r="CD33" s="2029"/>
      <c r="CE33" s="2029"/>
      <c r="CF33" s="2029"/>
      <c r="CG33" s="2032"/>
      <c r="CH33" s="1974"/>
      <c r="CI33" s="1974"/>
      <c r="CJ33" s="1974"/>
      <c r="CK33" s="1974"/>
      <c r="CL33" s="1974">
        <v>0</v>
      </c>
      <c r="CM33" s="2033">
        <v>1.3889997678838834E-5</v>
      </c>
      <c r="CN33" s="2026">
        <v>0</v>
      </c>
      <c r="CO33" s="1974">
        <v>0</v>
      </c>
      <c r="CP33" s="2040">
        <v>0</v>
      </c>
      <c r="CQ33" s="2040"/>
      <c r="CR33" s="2062">
        <v>1</v>
      </c>
      <c r="CS33" s="2062">
        <v>1</v>
      </c>
      <c r="CT33" s="2062">
        <v>1</v>
      </c>
      <c r="CU33" s="2062">
        <v>1</v>
      </c>
      <c r="CV33" s="2036"/>
      <c r="CW33" s="2036"/>
      <c r="CX33" s="2036"/>
      <c r="CY33" s="2036"/>
      <c r="CZ33" s="2036"/>
      <c r="DA33" s="2036"/>
    </row>
    <row r="34" spans="1:105" ht="23" x14ac:dyDescent="0.25">
      <c r="A34" s="2185" t="s">
        <v>215</v>
      </c>
      <c r="B34" s="2022" t="s">
        <v>2888</v>
      </c>
      <c r="C34" s="2023">
        <v>15</v>
      </c>
      <c r="D34" s="2023">
        <v>0</v>
      </c>
      <c r="E34" s="2024">
        <v>9363.2099999999991</v>
      </c>
      <c r="F34" s="2024"/>
      <c r="G34" s="2024">
        <v>9.27</v>
      </c>
      <c r="H34" s="2024"/>
      <c r="I34" s="2023">
        <v>0</v>
      </c>
      <c r="J34" s="2027"/>
      <c r="K34" s="2026" t="s">
        <v>20</v>
      </c>
      <c r="L34" s="2026" t="s">
        <v>20</v>
      </c>
      <c r="M34" s="2026">
        <v>0.55700000000000005</v>
      </c>
      <c r="N34" s="2026">
        <v>0.55700000000000005</v>
      </c>
      <c r="O34" s="2026">
        <v>0.55700000000000005</v>
      </c>
      <c r="P34" s="2026">
        <v>0.55700000000000005</v>
      </c>
      <c r="Q34" s="2027">
        <f t="shared" si="15"/>
        <v>5215.3079699999998</v>
      </c>
      <c r="R34" s="2027">
        <f t="shared" si="15"/>
        <v>5215.3079699999998</v>
      </c>
      <c r="S34" s="2027">
        <f t="shared" si="15"/>
        <v>5215.3079699999998</v>
      </c>
      <c r="T34" s="2027">
        <f t="shared" si="15"/>
        <v>5215.3079699999998</v>
      </c>
      <c r="U34" s="2026">
        <v>0.55700000000000005</v>
      </c>
      <c r="V34" s="2026">
        <v>0.55700000000000005</v>
      </c>
      <c r="W34" s="2026">
        <v>0.55700000000000005</v>
      </c>
      <c r="X34" s="2026">
        <v>0.55700000000000005</v>
      </c>
      <c r="Y34" s="2028">
        <f t="shared" si="16"/>
        <v>5.1633900000000006</v>
      </c>
      <c r="Z34" s="2028">
        <f t="shared" si="16"/>
        <v>5.1633900000000006</v>
      </c>
      <c r="AA34" s="2028">
        <f t="shared" si="16"/>
        <v>5.1633900000000006</v>
      </c>
      <c r="AB34" s="2028">
        <f t="shared" si="16"/>
        <v>5.1633900000000006</v>
      </c>
      <c r="AC34" s="2026">
        <v>0.49399999999999999</v>
      </c>
      <c r="AD34" s="2026">
        <v>0.49399999999999999</v>
      </c>
      <c r="AE34" s="2026">
        <v>0.49399999999999999</v>
      </c>
      <c r="AF34" s="2026">
        <v>0.49399999999999999</v>
      </c>
      <c r="AG34" s="2027">
        <f t="shared" si="24"/>
        <v>0</v>
      </c>
      <c r="AH34" s="2027">
        <f t="shared" si="24"/>
        <v>0</v>
      </c>
      <c r="AI34" s="2027">
        <f t="shared" si="24"/>
        <v>0</v>
      </c>
      <c r="AJ34" s="2027">
        <f t="shared" si="24"/>
        <v>0</v>
      </c>
      <c r="AK34" s="2027">
        <v>5</v>
      </c>
      <c r="AL34" s="2027">
        <v>6</v>
      </c>
      <c r="AM34" s="2027">
        <v>6</v>
      </c>
      <c r="AN34" s="2027">
        <v>6</v>
      </c>
      <c r="AO34" s="2027">
        <f t="shared" si="26"/>
        <v>26076.539850000001</v>
      </c>
      <c r="AP34" s="2027">
        <f t="shared" si="4"/>
        <v>31291.847819999999</v>
      </c>
      <c r="AQ34" s="2027">
        <f t="shared" si="4"/>
        <v>31291.847819999999</v>
      </c>
      <c r="AR34" s="2027"/>
      <c r="AS34" s="2027">
        <f t="shared" si="5"/>
        <v>31291.847819999999</v>
      </c>
      <c r="AT34" s="2027">
        <f t="shared" si="27"/>
        <v>0</v>
      </c>
      <c r="AU34" s="2027">
        <f t="shared" si="28"/>
        <v>0</v>
      </c>
      <c r="AV34" s="2027">
        <f t="shared" si="28"/>
        <v>0</v>
      </c>
      <c r="AW34" s="2027">
        <f t="shared" si="25"/>
        <v>0</v>
      </c>
      <c r="AX34" s="2029">
        <v>300</v>
      </c>
      <c r="AY34" s="2029">
        <v>300</v>
      </c>
      <c r="AZ34" s="2029">
        <v>300</v>
      </c>
      <c r="BA34" s="2029">
        <v>300</v>
      </c>
      <c r="BB34" s="1974"/>
      <c r="BC34" s="2029">
        <v>0</v>
      </c>
      <c r="BD34" s="2029">
        <v>0</v>
      </c>
      <c r="BE34" s="2029">
        <v>0</v>
      </c>
      <c r="BF34" s="2029">
        <v>4000</v>
      </c>
      <c r="BG34" s="2029">
        <v>4000</v>
      </c>
      <c r="BH34" s="2029">
        <v>4000</v>
      </c>
      <c r="BI34" s="2029">
        <v>4000</v>
      </c>
      <c r="BJ34" s="2030">
        <f t="shared" si="8"/>
        <v>1500</v>
      </c>
      <c r="BK34" s="2030">
        <f t="shared" si="8"/>
        <v>1800</v>
      </c>
      <c r="BL34" s="2030">
        <f t="shared" si="8"/>
        <v>1800</v>
      </c>
      <c r="BM34" s="2030"/>
      <c r="BN34" s="2030">
        <f t="shared" si="9"/>
        <v>1800</v>
      </c>
      <c r="BO34" s="2030">
        <f t="shared" si="10"/>
        <v>0</v>
      </c>
      <c r="BP34" s="2030"/>
      <c r="BQ34" s="2030">
        <f t="shared" si="11"/>
        <v>0</v>
      </c>
      <c r="BR34" s="2030">
        <f t="shared" si="11"/>
        <v>0</v>
      </c>
      <c r="BS34" s="2030">
        <f t="shared" si="11"/>
        <v>0</v>
      </c>
      <c r="BT34" s="2031"/>
      <c r="BU34" s="2031"/>
      <c r="BV34" s="2031"/>
      <c r="BW34" s="2031"/>
      <c r="BX34" s="2031"/>
      <c r="BY34" s="2031"/>
      <c r="BZ34" s="2031"/>
      <c r="CA34" s="2031"/>
      <c r="CB34" s="2029"/>
      <c r="CC34" s="2029"/>
      <c r="CD34" s="2029"/>
      <c r="CE34" s="2029"/>
      <c r="CF34" s="2029"/>
      <c r="CG34" s="2032"/>
      <c r="CH34" s="1974"/>
      <c r="CI34" s="1974"/>
      <c r="CJ34" s="1974"/>
      <c r="CK34" s="1974"/>
      <c r="CL34" s="1974">
        <v>0</v>
      </c>
      <c r="CM34" s="2033">
        <v>8.7343831542297225E-5</v>
      </c>
      <c r="CN34" s="2026">
        <v>0</v>
      </c>
      <c r="CO34" s="1974">
        <v>0</v>
      </c>
      <c r="CP34" s="2040">
        <v>0</v>
      </c>
      <c r="CQ34" s="2040"/>
      <c r="CR34" s="2062">
        <v>1</v>
      </c>
      <c r="CS34" s="2062">
        <v>1</v>
      </c>
      <c r="CT34" s="2062">
        <v>1</v>
      </c>
      <c r="CU34" s="2062">
        <v>1</v>
      </c>
      <c r="CV34" s="2036"/>
      <c r="CW34" s="2036"/>
      <c r="CX34" s="2036"/>
      <c r="CY34" s="2036"/>
      <c r="CZ34" s="2036"/>
      <c r="DA34" s="2036"/>
    </row>
    <row r="35" spans="1:105" ht="23" x14ac:dyDescent="0.25">
      <c r="A35" s="2185" t="s">
        <v>216</v>
      </c>
      <c r="B35" s="2022" t="s">
        <v>2889</v>
      </c>
      <c r="C35" s="2023">
        <v>15</v>
      </c>
      <c r="D35" s="2023">
        <v>0</v>
      </c>
      <c r="E35" s="2024">
        <v>15220.95</v>
      </c>
      <c r="F35" s="2024"/>
      <c r="G35" s="2024">
        <v>15.56</v>
      </c>
      <c r="H35" s="2024"/>
      <c r="I35" s="2023">
        <v>0</v>
      </c>
      <c r="J35" s="2027"/>
      <c r="K35" s="2026" t="s">
        <v>20</v>
      </c>
      <c r="L35" s="2026" t="s">
        <v>20</v>
      </c>
      <c r="M35" s="2026">
        <v>0.55700000000000005</v>
      </c>
      <c r="N35" s="2026">
        <v>0.55700000000000005</v>
      </c>
      <c r="O35" s="2026">
        <v>0.55700000000000005</v>
      </c>
      <c r="P35" s="2026">
        <v>0.55700000000000005</v>
      </c>
      <c r="Q35" s="2027">
        <f t="shared" si="15"/>
        <v>8478.0691500000012</v>
      </c>
      <c r="R35" s="2027">
        <f t="shared" si="15"/>
        <v>8478.0691500000012</v>
      </c>
      <c r="S35" s="2027">
        <f t="shared" si="15"/>
        <v>8478.0691500000012</v>
      </c>
      <c r="T35" s="2027">
        <f t="shared" si="15"/>
        <v>8478.0691500000012</v>
      </c>
      <c r="U35" s="2026">
        <v>0.55700000000000005</v>
      </c>
      <c r="V35" s="2026">
        <v>0.55700000000000005</v>
      </c>
      <c r="W35" s="2026">
        <v>0.55700000000000005</v>
      </c>
      <c r="X35" s="2026">
        <v>0.55700000000000005</v>
      </c>
      <c r="Y35" s="2028">
        <f t="shared" si="16"/>
        <v>8.6669200000000011</v>
      </c>
      <c r="Z35" s="2028">
        <f t="shared" si="16"/>
        <v>8.6669200000000011</v>
      </c>
      <c r="AA35" s="2028">
        <f t="shared" si="16"/>
        <v>8.6669200000000011</v>
      </c>
      <c r="AB35" s="2028">
        <f t="shared" si="16"/>
        <v>8.6669200000000011</v>
      </c>
      <c r="AC35" s="2026">
        <v>0.49399999999999999</v>
      </c>
      <c r="AD35" s="2026">
        <v>0.49399999999999999</v>
      </c>
      <c r="AE35" s="2026">
        <v>0.49399999999999999</v>
      </c>
      <c r="AF35" s="2026">
        <v>0.49399999999999999</v>
      </c>
      <c r="AG35" s="2027">
        <f t="shared" si="24"/>
        <v>0</v>
      </c>
      <c r="AH35" s="2027">
        <f t="shared" si="24"/>
        <v>0</v>
      </c>
      <c r="AI35" s="2027">
        <f t="shared" si="24"/>
        <v>0</v>
      </c>
      <c r="AJ35" s="2027">
        <f t="shared" si="24"/>
        <v>0</v>
      </c>
      <c r="AK35" s="2027">
        <v>5</v>
      </c>
      <c r="AL35" s="2027">
        <v>6</v>
      </c>
      <c r="AM35" s="2027">
        <v>6</v>
      </c>
      <c r="AN35" s="2027">
        <v>6</v>
      </c>
      <c r="AO35" s="2027">
        <f t="shared" si="26"/>
        <v>42390.345750000008</v>
      </c>
      <c r="AP35" s="2027">
        <f t="shared" si="4"/>
        <v>50868.414900000003</v>
      </c>
      <c r="AQ35" s="2027">
        <f t="shared" si="4"/>
        <v>50868.414900000003</v>
      </c>
      <c r="AR35" s="2027"/>
      <c r="AS35" s="2027">
        <f t="shared" si="5"/>
        <v>50868.414900000003</v>
      </c>
      <c r="AT35" s="2027">
        <f t="shared" si="27"/>
        <v>0</v>
      </c>
      <c r="AU35" s="2027">
        <f t="shared" si="28"/>
        <v>0</v>
      </c>
      <c r="AV35" s="2027">
        <f t="shared" si="28"/>
        <v>0</v>
      </c>
      <c r="AW35" s="2027">
        <f t="shared" si="25"/>
        <v>0</v>
      </c>
      <c r="AX35" s="2029">
        <v>500</v>
      </c>
      <c r="AY35" s="2029">
        <v>500</v>
      </c>
      <c r="AZ35" s="2029">
        <v>500</v>
      </c>
      <c r="BA35" s="2029">
        <v>500</v>
      </c>
      <c r="BB35" s="1974"/>
      <c r="BC35" s="2029">
        <v>0</v>
      </c>
      <c r="BD35" s="2029">
        <v>0</v>
      </c>
      <c r="BE35" s="2029">
        <v>0</v>
      </c>
      <c r="BF35" s="2029">
        <v>6500</v>
      </c>
      <c r="BG35" s="2029">
        <v>6500</v>
      </c>
      <c r="BH35" s="2029">
        <v>6500</v>
      </c>
      <c r="BI35" s="2029">
        <v>6500</v>
      </c>
      <c r="BJ35" s="2030">
        <f t="shared" si="8"/>
        <v>2500</v>
      </c>
      <c r="BK35" s="2030">
        <f t="shared" si="8"/>
        <v>3000</v>
      </c>
      <c r="BL35" s="2030">
        <f t="shared" si="8"/>
        <v>3000</v>
      </c>
      <c r="BM35" s="2030"/>
      <c r="BN35" s="2030">
        <f t="shared" si="9"/>
        <v>3000</v>
      </c>
      <c r="BO35" s="2030">
        <f t="shared" si="10"/>
        <v>0</v>
      </c>
      <c r="BP35" s="2030"/>
      <c r="BQ35" s="2030">
        <f t="shared" si="11"/>
        <v>0</v>
      </c>
      <c r="BR35" s="2030">
        <f t="shared" si="11"/>
        <v>0</v>
      </c>
      <c r="BS35" s="2030">
        <f t="shared" si="11"/>
        <v>0</v>
      </c>
      <c r="BT35" s="2031"/>
      <c r="BU35" s="2031"/>
      <c r="BV35" s="2031"/>
      <c r="BW35" s="2031"/>
      <c r="BX35" s="2031"/>
      <c r="BY35" s="2031"/>
      <c r="BZ35" s="2031"/>
      <c r="CA35" s="2031"/>
      <c r="CB35" s="2029"/>
      <c r="CC35" s="2029"/>
      <c r="CD35" s="2029"/>
      <c r="CE35" s="2029"/>
      <c r="CF35" s="2029"/>
      <c r="CG35" s="2032"/>
      <c r="CH35" s="1974"/>
      <c r="CI35" s="1974"/>
      <c r="CJ35" s="1974"/>
      <c r="CK35" s="1974"/>
      <c r="CL35" s="1974">
        <v>0</v>
      </c>
      <c r="CM35" s="2033">
        <v>1.4198721300854398E-4</v>
      </c>
      <c r="CN35" s="2026">
        <v>0</v>
      </c>
      <c r="CO35" s="1974">
        <v>0</v>
      </c>
      <c r="CP35" s="2040">
        <v>0</v>
      </c>
      <c r="CQ35" s="2040"/>
      <c r="CR35" s="2062">
        <v>1</v>
      </c>
      <c r="CS35" s="2062">
        <v>1</v>
      </c>
      <c r="CT35" s="2062">
        <v>1</v>
      </c>
      <c r="CU35" s="2062">
        <v>1</v>
      </c>
      <c r="CV35" s="2036"/>
      <c r="CW35" s="2036"/>
      <c r="CX35" s="2036"/>
      <c r="CY35" s="2036"/>
      <c r="CZ35" s="2036"/>
      <c r="DA35" s="2036"/>
    </row>
    <row r="36" spans="1:105" x14ac:dyDescent="0.25">
      <c r="A36" s="2185" t="s">
        <v>217</v>
      </c>
      <c r="B36" s="2022" t="s">
        <v>2890</v>
      </c>
      <c r="C36" s="2543">
        <v>23</v>
      </c>
      <c r="D36" s="2023">
        <v>0</v>
      </c>
      <c r="E36" s="2024">
        <v>7993</v>
      </c>
      <c r="F36" s="2024"/>
      <c r="G36" s="2024">
        <v>6.66</v>
      </c>
      <c r="H36" s="2024"/>
      <c r="I36" s="2023">
        <v>0</v>
      </c>
      <c r="J36" s="2027"/>
      <c r="K36" s="2026" t="s">
        <v>20</v>
      </c>
      <c r="L36" s="2026" t="s">
        <v>20</v>
      </c>
      <c r="M36" s="2026">
        <v>0.55700000000000005</v>
      </c>
      <c r="N36" s="2026">
        <v>0.55700000000000005</v>
      </c>
      <c r="O36" s="2026">
        <v>0.55700000000000005</v>
      </c>
      <c r="P36" s="2026">
        <v>0.55700000000000005</v>
      </c>
      <c r="Q36" s="2027">
        <f t="shared" si="15"/>
        <v>4452.1010000000006</v>
      </c>
      <c r="R36" s="2027">
        <f t="shared" si="15"/>
        <v>4452.1010000000006</v>
      </c>
      <c r="S36" s="2027">
        <f t="shared" si="15"/>
        <v>4452.1010000000006</v>
      </c>
      <c r="T36" s="2027">
        <f t="shared" si="15"/>
        <v>4452.1010000000006</v>
      </c>
      <c r="U36" s="2026">
        <v>0.55700000000000005</v>
      </c>
      <c r="V36" s="2026">
        <v>0.55700000000000005</v>
      </c>
      <c r="W36" s="2026">
        <v>0.55700000000000005</v>
      </c>
      <c r="X36" s="2026">
        <v>0.55700000000000005</v>
      </c>
      <c r="Y36" s="2028">
        <f t="shared" si="16"/>
        <v>3.7096200000000006</v>
      </c>
      <c r="Z36" s="2028">
        <f t="shared" si="16"/>
        <v>3.7096200000000006</v>
      </c>
      <c r="AA36" s="2028">
        <f t="shared" si="16"/>
        <v>3.7096200000000006</v>
      </c>
      <c r="AB36" s="2028">
        <f t="shared" si="16"/>
        <v>3.7096200000000006</v>
      </c>
      <c r="AC36" s="2026">
        <v>0.49399999999999999</v>
      </c>
      <c r="AD36" s="2026">
        <v>0.49399999999999999</v>
      </c>
      <c r="AE36" s="2026">
        <v>0.49399999999999999</v>
      </c>
      <c r="AF36" s="2026">
        <v>0.49399999999999999</v>
      </c>
      <c r="AG36" s="2027">
        <f t="shared" si="24"/>
        <v>0</v>
      </c>
      <c r="AH36" s="2027">
        <f t="shared" si="24"/>
        <v>0</v>
      </c>
      <c r="AI36" s="2027">
        <f t="shared" si="24"/>
        <v>0</v>
      </c>
      <c r="AJ36" s="2027">
        <f t="shared" si="24"/>
        <v>0</v>
      </c>
      <c r="AK36" s="2027">
        <v>5</v>
      </c>
      <c r="AL36" s="2027">
        <v>6</v>
      </c>
      <c r="AM36" s="2027">
        <v>6</v>
      </c>
      <c r="AN36" s="2027">
        <v>6</v>
      </c>
      <c r="AO36" s="2027">
        <f t="shared" si="26"/>
        <v>22260.505000000005</v>
      </c>
      <c r="AP36" s="2027">
        <f t="shared" si="4"/>
        <v>26712.606000000003</v>
      </c>
      <c r="AQ36" s="2027">
        <f t="shared" si="4"/>
        <v>26712.606000000003</v>
      </c>
      <c r="AR36" s="2027"/>
      <c r="AS36" s="2027">
        <f t="shared" si="5"/>
        <v>26712.606000000003</v>
      </c>
      <c r="AT36" s="2027">
        <f t="shared" si="27"/>
        <v>0</v>
      </c>
      <c r="AU36" s="2027">
        <f t="shared" si="28"/>
        <v>0</v>
      </c>
      <c r="AV36" s="2027">
        <f t="shared" si="28"/>
        <v>0</v>
      </c>
      <c r="AW36" s="2027">
        <f t="shared" si="25"/>
        <v>0</v>
      </c>
      <c r="AX36" s="2029">
        <v>500</v>
      </c>
      <c r="AY36" s="2029">
        <v>500</v>
      </c>
      <c r="AZ36" s="2029">
        <v>500</v>
      </c>
      <c r="BA36" s="2029">
        <v>500</v>
      </c>
      <c r="BB36" s="1974"/>
      <c r="BC36" s="2029">
        <v>0</v>
      </c>
      <c r="BD36" s="2029">
        <v>0</v>
      </c>
      <c r="BE36" s="2029">
        <v>0</v>
      </c>
      <c r="BF36" s="2029">
        <v>9525</v>
      </c>
      <c r="BG36" s="2029">
        <v>9525</v>
      </c>
      <c r="BH36" s="2029">
        <v>9525</v>
      </c>
      <c r="BI36" s="2029">
        <v>9525</v>
      </c>
      <c r="BJ36" s="2030">
        <f t="shared" si="8"/>
        <v>2500</v>
      </c>
      <c r="BK36" s="2030">
        <f t="shared" si="8"/>
        <v>3000</v>
      </c>
      <c r="BL36" s="2030">
        <f t="shared" si="8"/>
        <v>3000</v>
      </c>
      <c r="BM36" s="2030"/>
      <c r="BN36" s="2030">
        <f t="shared" si="9"/>
        <v>3000</v>
      </c>
      <c r="BO36" s="2030">
        <f t="shared" si="10"/>
        <v>0</v>
      </c>
      <c r="BP36" s="2030"/>
      <c r="BQ36" s="2030">
        <f t="shared" si="11"/>
        <v>0</v>
      </c>
      <c r="BR36" s="2030">
        <f t="shared" si="11"/>
        <v>0</v>
      </c>
      <c r="BS36" s="2030">
        <f t="shared" si="11"/>
        <v>0</v>
      </c>
      <c r="BT36" s="2031"/>
      <c r="BU36" s="2031"/>
      <c r="BV36" s="2031"/>
      <c r="BW36" s="2031"/>
      <c r="BX36" s="2031"/>
      <c r="BY36" s="2031"/>
      <c r="BZ36" s="2031"/>
      <c r="CA36" s="2031"/>
      <c r="CB36" s="2029"/>
      <c r="CC36" s="2029"/>
      <c r="CD36" s="2029"/>
      <c r="CE36" s="2029"/>
      <c r="CF36" s="2029"/>
      <c r="CG36" s="2032"/>
      <c r="CH36" s="1974"/>
      <c r="CI36" s="1974"/>
      <c r="CJ36" s="1974"/>
      <c r="CK36" s="1974"/>
      <c r="CL36" s="1974">
        <v>0</v>
      </c>
      <c r="CM36" s="2033">
        <v>7.4561955303531775E-5</v>
      </c>
      <c r="CN36" s="2026">
        <v>0</v>
      </c>
      <c r="CO36" s="1974">
        <v>0</v>
      </c>
      <c r="CP36" s="2040">
        <v>0</v>
      </c>
      <c r="CQ36" s="2040"/>
      <c r="CR36" s="2062">
        <v>1</v>
      </c>
      <c r="CS36" s="2062">
        <v>1</v>
      </c>
      <c r="CT36" s="2062">
        <v>1</v>
      </c>
      <c r="CU36" s="2062">
        <v>1</v>
      </c>
      <c r="CV36" s="2036"/>
      <c r="CW36" s="2036"/>
      <c r="CX36" s="2036"/>
      <c r="CY36" s="2036"/>
      <c r="CZ36" s="2036"/>
      <c r="DA36" s="2036"/>
    </row>
    <row r="37" spans="1:105" ht="23" x14ac:dyDescent="0.25">
      <c r="A37" s="2185" t="s">
        <v>218</v>
      </c>
      <c r="B37" s="2022" t="s">
        <v>2891</v>
      </c>
      <c r="C37" s="2023">
        <v>15</v>
      </c>
      <c r="D37" s="2023">
        <v>0</v>
      </c>
      <c r="E37" s="2024">
        <v>2850.2260000000001</v>
      </c>
      <c r="F37" s="2024"/>
      <c r="G37" s="2024">
        <v>2.84</v>
      </c>
      <c r="H37" s="2024"/>
      <c r="I37" s="2023">
        <v>0</v>
      </c>
      <c r="J37" s="2027"/>
      <c r="K37" s="2026" t="s">
        <v>20</v>
      </c>
      <c r="L37" s="2026" t="s">
        <v>20</v>
      </c>
      <c r="M37" s="2026">
        <v>0.55700000000000005</v>
      </c>
      <c r="N37" s="2026">
        <v>0.55700000000000005</v>
      </c>
      <c r="O37" s="2026">
        <v>0.55700000000000005</v>
      </c>
      <c r="P37" s="2026">
        <v>0.55700000000000005</v>
      </c>
      <c r="Q37" s="2027">
        <f t="shared" si="15"/>
        <v>1587.5758820000003</v>
      </c>
      <c r="R37" s="2027">
        <f t="shared" si="15"/>
        <v>1587.5758820000003</v>
      </c>
      <c r="S37" s="2027">
        <f t="shared" si="15"/>
        <v>1587.5758820000003</v>
      </c>
      <c r="T37" s="2027">
        <f t="shared" si="15"/>
        <v>1587.5758820000003</v>
      </c>
      <c r="U37" s="2026">
        <v>0.55700000000000005</v>
      </c>
      <c r="V37" s="2026">
        <v>0.55700000000000005</v>
      </c>
      <c r="W37" s="2026">
        <v>0.55700000000000005</v>
      </c>
      <c r="X37" s="2026">
        <v>0.55700000000000005</v>
      </c>
      <c r="Y37" s="2028">
        <f t="shared" si="16"/>
        <v>1.5818800000000002</v>
      </c>
      <c r="Z37" s="2028">
        <f t="shared" si="16"/>
        <v>1.5818800000000002</v>
      </c>
      <c r="AA37" s="2028">
        <f t="shared" si="16"/>
        <v>1.5818800000000002</v>
      </c>
      <c r="AB37" s="2028">
        <f t="shared" si="16"/>
        <v>1.5818800000000002</v>
      </c>
      <c r="AC37" s="2026">
        <v>0.49399999999999999</v>
      </c>
      <c r="AD37" s="2026">
        <v>0.49399999999999999</v>
      </c>
      <c r="AE37" s="2026">
        <v>0.49399999999999999</v>
      </c>
      <c r="AF37" s="2026">
        <v>0.49399999999999999</v>
      </c>
      <c r="AG37" s="2027">
        <f t="shared" si="24"/>
        <v>0</v>
      </c>
      <c r="AH37" s="2027">
        <f t="shared" si="24"/>
        <v>0</v>
      </c>
      <c r="AI37" s="2027">
        <f t="shared" si="24"/>
        <v>0</v>
      </c>
      <c r="AJ37" s="2027">
        <f t="shared" si="24"/>
        <v>0</v>
      </c>
      <c r="AK37" s="2027">
        <v>5</v>
      </c>
      <c r="AL37" s="2027">
        <v>6</v>
      </c>
      <c r="AM37" s="2027">
        <v>6</v>
      </c>
      <c r="AN37" s="2027">
        <v>6</v>
      </c>
      <c r="AO37" s="2027">
        <f t="shared" si="26"/>
        <v>7937.8794100000014</v>
      </c>
      <c r="AP37" s="2027">
        <f t="shared" si="4"/>
        <v>9525.4552920000024</v>
      </c>
      <c r="AQ37" s="2027">
        <f t="shared" si="4"/>
        <v>9525.4552920000024</v>
      </c>
      <c r="AR37" s="2027"/>
      <c r="AS37" s="2027">
        <f t="shared" si="5"/>
        <v>9525.4552920000024</v>
      </c>
      <c r="AT37" s="2027">
        <f t="shared" si="27"/>
        <v>0</v>
      </c>
      <c r="AU37" s="2027">
        <f t="shared" si="28"/>
        <v>0</v>
      </c>
      <c r="AV37" s="2027">
        <f t="shared" si="28"/>
        <v>0</v>
      </c>
      <c r="AW37" s="2027">
        <f t="shared" si="25"/>
        <v>0</v>
      </c>
      <c r="AX37" s="2029">
        <v>150</v>
      </c>
      <c r="AY37" s="2029">
        <v>150</v>
      </c>
      <c r="AZ37" s="2029">
        <v>150</v>
      </c>
      <c r="BA37" s="2029">
        <v>150</v>
      </c>
      <c r="BB37" s="1974"/>
      <c r="BC37" s="2029">
        <v>0</v>
      </c>
      <c r="BD37" s="2029">
        <v>0</v>
      </c>
      <c r="BE37" s="2029">
        <v>0</v>
      </c>
      <c r="BF37" s="2029">
        <v>1563</v>
      </c>
      <c r="BG37" s="2029">
        <v>1563</v>
      </c>
      <c r="BH37" s="2029">
        <v>1563</v>
      </c>
      <c r="BI37" s="2029">
        <v>1563</v>
      </c>
      <c r="BJ37" s="2030">
        <f t="shared" si="8"/>
        <v>750</v>
      </c>
      <c r="BK37" s="2030">
        <f t="shared" si="8"/>
        <v>900</v>
      </c>
      <c r="BL37" s="2030">
        <f t="shared" si="8"/>
        <v>900</v>
      </c>
      <c r="BM37" s="2030"/>
      <c r="BN37" s="2030">
        <f t="shared" si="9"/>
        <v>900</v>
      </c>
      <c r="BO37" s="2030">
        <f t="shared" si="10"/>
        <v>0</v>
      </c>
      <c r="BP37" s="2030"/>
      <c r="BQ37" s="2030">
        <f t="shared" si="11"/>
        <v>0</v>
      </c>
      <c r="BR37" s="2030">
        <f t="shared" si="11"/>
        <v>0</v>
      </c>
      <c r="BS37" s="2030">
        <f t="shared" si="11"/>
        <v>0</v>
      </c>
      <c r="BT37" s="2031"/>
      <c r="BU37" s="2031"/>
      <c r="BV37" s="2031"/>
      <c r="BW37" s="2031"/>
      <c r="BX37" s="2031"/>
      <c r="BY37" s="2031"/>
      <c r="BZ37" s="2031"/>
      <c r="CA37" s="2031"/>
      <c r="CB37" s="2029"/>
      <c r="CC37" s="2029"/>
      <c r="CD37" s="2029"/>
      <c r="CE37" s="2029"/>
      <c r="CF37" s="2029"/>
      <c r="CG37" s="2032"/>
      <c r="CH37" s="1974"/>
      <c r="CI37" s="1974"/>
      <c r="CJ37" s="1974"/>
      <c r="CK37" s="1974"/>
      <c r="CL37" s="1974">
        <v>0</v>
      </c>
      <c r="CM37" s="2033">
        <v>2.6588067511192814E-5</v>
      </c>
      <c r="CN37" s="2026">
        <v>0</v>
      </c>
      <c r="CO37" s="1974">
        <v>0</v>
      </c>
      <c r="CP37" s="2040">
        <v>0</v>
      </c>
      <c r="CQ37" s="2040"/>
      <c r="CR37" s="2062">
        <v>1</v>
      </c>
      <c r="CS37" s="2062">
        <v>1</v>
      </c>
      <c r="CT37" s="2062">
        <v>1</v>
      </c>
      <c r="CU37" s="2062">
        <v>1</v>
      </c>
      <c r="CV37" s="2036"/>
      <c r="CW37" s="2036"/>
      <c r="CX37" s="2036"/>
      <c r="CY37" s="2036"/>
      <c r="CZ37" s="2036"/>
      <c r="DA37" s="2036"/>
    </row>
    <row r="38" spans="1:105" x14ac:dyDescent="0.25">
      <c r="A38" s="2185" t="s">
        <v>219</v>
      </c>
      <c r="B38" s="2022" t="s">
        <v>2892</v>
      </c>
      <c r="C38" s="2543">
        <v>23</v>
      </c>
      <c r="D38" s="2023">
        <v>0</v>
      </c>
      <c r="E38" s="2024">
        <v>17532</v>
      </c>
      <c r="F38" s="2024"/>
      <c r="G38" s="2024">
        <v>17.8</v>
      </c>
      <c r="H38" s="2024"/>
      <c r="I38" s="2023">
        <v>0</v>
      </c>
      <c r="J38" s="2027"/>
      <c r="K38" s="2026" t="s">
        <v>20</v>
      </c>
      <c r="L38" s="2026" t="s">
        <v>20</v>
      </c>
      <c r="M38" s="2026">
        <v>0.55700000000000005</v>
      </c>
      <c r="N38" s="2026">
        <v>0.55700000000000005</v>
      </c>
      <c r="O38" s="2026">
        <v>0.55700000000000005</v>
      </c>
      <c r="P38" s="2026">
        <v>0.55700000000000005</v>
      </c>
      <c r="Q38" s="2027">
        <f t="shared" si="15"/>
        <v>9765.3240000000005</v>
      </c>
      <c r="R38" s="2027">
        <f t="shared" si="15"/>
        <v>9765.3240000000005</v>
      </c>
      <c r="S38" s="2027">
        <f t="shared" si="15"/>
        <v>9765.3240000000005</v>
      </c>
      <c r="T38" s="2027">
        <f t="shared" si="15"/>
        <v>9765.3240000000005</v>
      </c>
      <c r="U38" s="2026">
        <v>0.55700000000000005</v>
      </c>
      <c r="V38" s="2026">
        <v>0.55700000000000005</v>
      </c>
      <c r="W38" s="2026">
        <v>0.55700000000000005</v>
      </c>
      <c r="X38" s="2026">
        <v>0.55700000000000005</v>
      </c>
      <c r="Y38" s="2028">
        <f t="shared" si="16"/>
        <v>9.9146000000000019</v>
      </c>
      <c r="Z38" s="2028">
        <f t="shared" si="16"/>
        <v>9.9146000000000019</v>
      </c>
      <c r="AA38" s="2028">
        <f t="shared" si="16"/>
        <v>9.9146000000000019</v>
      </c>
      <c r="AB38" s="2028">
        <f t="shared" si="16"/>
        <v>9.9146000000000019</v>
      </c>
      <c r="AC38" s="2026">
        <v>0.49399999999999999</v>
      </c>
      <c r="AD38" s="2026">
        <v>0.49399999999999999</v>
      </c>
      <c r="AE38" s="2026">
        <v>0.49399999999999999</v>
      </c>
      <c r="AF38" s="2026">
        <v>0.49399999999999999</v>
      </c>
      <c r="AG38" s="2027">
        <f t="shared" si="24"/>
        <v>0</v>
      </c>
      <c r="AH38" s="2027">
        <f t="shared" si="24"/>
        <v>0</v>
      </c>
      <c r="AI38" s="2027">
        <f t="shared" si="24"/>
        <v>0</v>
      </c>
      <c r="AJ38" s="2027">
        <f t="shared" si="24"/>
        <v>0</v>
      </c>
      <c r="AK38" s="2027">
        <v>5</v>
      </c>
      <c r="AL38" s="2027">
        <v>6</v>
      </c>
      <c r="AM38" s="2027">
        <v>6</v>
      </c>
      <c r="AN38" s="2027">
        <v>6</v>
      </c>
      <c r="AO38" s="2027">
        <f t="shared" si="26"/>
        <v>48826.62</v>
      </c>
      <c r="AP38" s="2027">
        <f t="shared" ref="AP38:AQ69" si="29">AL38*R38*CS38</f>
        <v>58591.944000000003</v>
      </c>
      <c r="AQ38" s="2027">
        <f t="shared" si="29"/>
        <v>58591.944000000003</v>
      </c>
      <c r="AR38" s="2027"/>
      <c r="AS38" s="2027">
        <f t="shared" si="5"/>
        <v>58591.944000000003</v>
      </c>
      <c r="AT38" s="2027">
        <f t="shared" si="27"/>
        <v>0</v>
      </c>
      <c r="AU38" s="2027">
        <f t="shared" si="28"/>
        <v>0</v>
      </c>
      <c r="AV38" s="2027">
        <f t="shared" si="28"/>
        <v>0</v>
      </c>
      <c r="AW38" s="2027">
        <f t="shared" si="25"/>
        <v>0</v>
      </c>
      <c r="AX38" s="2029">
        <v>500</v>
      </c>
      <c r="AY38" s="2029">
        <v>500</v>
      </c>
      <c r="AZ38" s="2029">
        <v>500</v>
      </c>
      <c r="BA38" s="2029">
        <v>500</v>
      </c>
      <c r="BB38" s="1974"/>
      <c r="BC38" s="2029">
        <v>0</v>
      </c>
      <c r="BD38" s="2029">
        <v>0</v>
      </c>
      <c r="BE38" s="2029">
        <v>0</v>
      </c>
      <c r="BF38" s="2029">
        <v>25400</v>
      </c>
      <c r="BG38" s="2029">
        <v>25400</v>
      </c>
      <c r="BH38" s="2029">
        <v>25400</v>
      </c>
      <c r="BI38" s="2029">
        <v>25400</v>
      </c>
      <c r="BJ38" s="2030">
        <f t="shared" ref="BJ38:BL69" si="30">AX38*AK38</f>
        <v>2500</v>
      </c>
      <c r="BK38" s="2030">
        <f t="shared" si="30"/>
        <v>3000</v>
      </c>
      <c r="BL38" s="2030">
        <f t="shared" si="30"/>
        <v>3000</v>
      </c>
      <c r="BM38" s="2030"/>
      <c r="BN38" s="2030">
        <f t="shared" si="9"/>
        <v>3000</v>
      </c>
      <c r="BO38" s="2030">
        <f t="shared" si="10"/>
        <v>0</v>
      </c>
      <c r="BP38" s="2030"/>
      <c r="BQ38" s="2030">
        <f t="shared" ref="BQ38:BS69" si="31">BC38*AL38</f>
        <v>0</v>
      </c>
      <c r="BR38" s="2030">
        <f t="shared" si="31"/>
        <v>0</v>
      </c>
      <c r="BS38" s="2030">
        <f t="shared" si="31"/>
        <v>0</v>
      </c>
      <c r="BT38" s="2031"/>
      <c r="BU38" s="2031"/>
      <c r="BV38" s="2031"/>
      <c r="BW38" s="2031"/>
      <c r="BX38" s="2031"/>
      <c r="BY38" s="2031"/>
      <c r="BZ38" s="2031"/>
      <c r="CA38" s="2031"/>
      <c r="CB38" s="2029"/>
      <c r="CC38" s="2029"/>
      <c r="CD38" s="2029"/>
      <c r="CE38" s="2029"/>
      <c r="CF38" s="2029"/>
      <c r="CG38" s="2032"/>
      <c r="CH38" s="1974"/>
      <c r="CI38" s="1974"/>
      <c r="CJ38" s="1974"/>
      <c r="CK38" s="1974"/>
      <c r="CL38" s="1974">
        <v>0</v>
      </c>
      <c r="CM38" s="2033">
        <v>1.6354562747172765E-4</v>
      </c>
      <c r="CN38" s="2026">
        <v>0</v>
      </c>
      <c r="CO38" s="1974">
        <v>0</v>
      </c>
      <c r="CP38" s="2040">
        <v>0</v>
      </c>
      <c r="CQ38" s="2040"/>
      <c r="CR38" s="2062">
        <v>1</v>
      </c>
      <c r="CS38" s="2062">
        <v>1</v>
      </c>
      <c r="CT38" s="2062">
        <v>1</v>
      </c>
      <c r="CU38" s="2062">
        <v>1</v>
      </c>
      <c r="CV38" s="2036"/>
      <c r="CW38" s="2036"/>
      <c r="CX38" s="2036"/>
      <c r="CY38" s="2036"/>
      <c r="CZ38" s="2036"/>
      <c r="DA38" s="2036"/>
    </row>
    <row r="39" spans="1:105" x14ac:dyDescent="0.25">
      <c r="A39" s="2185" t="s">
        <v>220</v>
      </c>
      <c r="B39" s="2022" t="s">
        <v>2893</v>
      </c>
      <c r="C39" s="2543">
        <v>8</v>
      </c>
      <c r="D39" s="2023">
        <v>0</v>
      </c>
      <c r="E39" s="2024">
        <v>179.18</v>
      </c>
      <c r="F39" s="2024"/>
      <c r="G39" s="2024">
        <v>0.2</v>
      </c>
      <c r="H39" s="2024"/>
      <c r="I39" s="2023">
        <v>0</v>
      </c>
      <c r="J39" s="2027"/>
      <c r="K39" s="2026" t="s">
        <v>20</v>
      </c>
      <c r="L39" s="2026" t="s">
        <v>20</v>
      </c>
      <c r="M39" s="2026">
        <v>0.55700000000000005</v>
      </c>
      <c r="N39" s="2026">
        <v>0.55700000000000005</v>
      </c>
      <c r="O39" s="2026">
        <v>0.55700000000000005</v>
      </c>
      <c r="P39" s="2026">
        <v>0.55700000000000005</v>
      </c>
      <c r="Q39" s="2027">
        <f t="shared" si="15"/>
        <v>99.803260000000009</v>
      </c>
      <c r="R39" s="2027">
        <f t="shared" si="15"/>
        <v>99.803260000000009</v>
      </c>
      <c r="S39" s="2027">
        <f t="shared" si="15"/>
        <v>99.803260000000009</v>
      </c>
      <c r="T39" s="2027">
        <f t="shared" si="15"/>
        <v>99.803260000000009</v>
      </c>
      <c r="U39" s="2026">
        <v>0.55700000000000005</v>
      </c>
      <c r="V39" s="2026">
        <v>0.55700000000000005</v>
      </c>
      <c r="W39" s="2026">
        <v>0.55700000000000005</v>
      </c>
      <c r="X39" s="2026">
        <v>0.55700000000000005</v>
      </c>
      <c r="Y39" s="2028">
        <f t="shared" si="16"/>
        <v>0.11140000000000001</v>
      </c>
      <c r="Z39" s="2028">
        <f t="shared" si="16"/>
        <v>0.11140000000000001</v>
      </c>
      <c r="AA39" s="2028">
        <f t="shared" si="16"/>
        <v>0.11140000000000001</v>
      </c>
      <c r="AB39" s="2028">
        <f t="shared" si="16"/>
        <v>0.11140000000000001</v>
      </c>
      <c r="AC39" s="2026">
        <v>0.49399999999999999</v>
      </c>
      <c r="AD39" s="2026">
        <v>0.49399999999999999</v>
      </c>
      <c r="AE39" s="2026">
        <v>0.49399999999999999</v>
      </c>
      <c r="AF39" s="2026">
        <v>0.49399999999999999</v>
      </c>
      <c r="AG39" s="2027">
        <f t="shared" si="24"/>
        <v>0</v>
      </c>
      <c r="AH39" s="2027">
        <f t="shared" si="24"/>
        <v>0</v>
      </c>
      <c r="AI39" s="2027">
        <f t="shared" si="24"/>
        <v>0</v>
      </c>
      <c r="AJ39" s="2027">
        <f t="shared" si="24"/>
        <v>0</v>
      </c>
      <c r="AK39" s="2027">
        <v>5</v>
      </c>
      <c r="AL39" s="2027">
        <v>6</v>
      </c>
      <c r="AM39" s="2027">
        <v>6</v>
      </c>
      <c r="AN39" s="2027">
        <v>6</v>
      </c>
      <c r="AO39" s="2027">
        <f t="shared" si="26"/>
        <v>499.01630000000006</v>
      </c>
      <c r="AP39" s="2027">
        <f t="shared" si="29"/>
        <v>598.81956000000002</v>
      </c>
      <c r="AQ39" s="2027">
        <f t="shared" si="29"/>
        <v>598.81956000000002</v>
      </c>
      <c r="AR39" s="2027"/>
      <c r="AS39" s="2027">
        <f t="shared" si="5"/>
        <v>598.81956000000002</v>
      </c>
      <c r="AT39" s="2027">
        <f t="shared" si="27"/>
        <v>0</v>
      </c>
      <c r="AU39" s="2027">
        <f t="shared" si="28"/>
        <v>0</v>
      </c>
      <c r="AV39" s="2027">
        <f t="shared" si="28"/>
        <v>0</v>
      </c>
      <c r="AW39" s="2027">
        <f t="shared" si="25"/>
        <v>0</v>
      </c>
      <c r="AX39" s="2029">
        <v>16.25</v>
      </c>
      <c r="AY39" s="2029">
        <v>16.25</v>
      </c>
      <c r="AZ39" s="2029">
        <v>16.25</v>
      </c>
      <c r="BA39" s="2029">
        <v>16.25</v>
      </c>
      <c r="BB39" s="1974"/>
      <c r="BC39" s="2029">
        <v>0</v>
      </c>
      <c r="BD39" s="2029">
        <v>0</v>
      </c>
      <c r="BE39" s="2029">
        <v>0</v>
      </c>
      <c r="BF39" s="2029">
        <v>84</v>
      </c>
      <c r="BG39" s="2029">
        <v>84</v>
      </c>
      <c r="BH39" s="2029">
        <v>84</v>
      </c>
      <c r="BI39" s="2029">
        <v>84</v>
      </c>
      <c r="BJ39" s="2030">
        <f t="shared" si="30"/>
        <v>81.25</v>
      </c>
      <c r="BK39" s="2030">
        <f t="shared" si="30"/>
        <v>97.5</v>
      </c>
      <c r="BL39" s="2030">
        <f t="shared" si="30"/>
        <v>97.5</v>
      </c>
      <c r="BM39" s="2030"/>
      <c r="BN39" s="2030">
        <f t="shared" si="9"/>
        <v>97.5</v>
      </c>
      <c r="BO39" s="2030">
        <f t="shared" si="10"/>
        <v>0</v>
      </c>
      <c r="BP39" s="2030"/>
      <c r="BQ39" s="2030">
        <f t="shared" si="31"/>
        <v>0</v>
      </c>
      <c r="BR39" s="2030">
        <f t="shared" si="31"/>
        <v>0</v>
      </c>
      <c r="BS39" s="2030">
        <f t="shared" si="31"/>
        <v>0</v>
      </c>
      <c r="BT39" s="2031"/>
      <c r="BU39" s="2031"/>
      <c r="BV39" s="2031"/>
      <c r="BW39" s="2031"/>
      <c r="BX39" s="2031"/>
      <c r="BY39" s="2031"/>
      <c r="BZ39" s="2031"/>
      <c r="CA39" s="2031"/>
      <c r="CB39" s="2029"/>
      <c r="CC39" s="2029"/>
      <c r="CD39" s="2029"/>
      <c r="CE39" s="2029"/>
      <c r="CF39" s="2029"/>
      <c r="CG39" s="2032"/>
      <c r="CH39" s="1974"/>
      <c r="CI39" s="1974"/>
      <c r="CJ39" s="1974"/>
      <c r="CK39" s="1974"/>
      <c r="CL39" s="1974">
        <v>0</v>
      </c>
      <c r="CM39" s="2033">
        <v>1.6714639248450924E-6</v>
      </c>
      <c r="CN39" s="2026">
        <v>0</v>
      </c>
      <c r="CO39" s="1974">
        <v>0</v>
      </c>
      <c r="CP39" s="2040">
        <v>0</v>
      </c>
      <c r="CQ39" s="2040"/>
      <c r="CR39" s="2062">
        <v>1</v>
      </c>
      <c r="CS39" s="2062">
        <v>1</v>
      </c>
      <c r="CT39" s="2062">
        <v>1</v>
      </c>
      <c r="CU39" s="2062">
        <v>1</v>
      </c>
      <c r="CV39" s="2036"/>
      <c r="CW39" s="2036"/>
      <c r="CX39" s="2036"/>
      <c r="CY39" s="2036"/>
      <c r="CZ39" s="2036"/>
      <c r="DA39" s="2036"/>
    </row>
    <row r="40" spans="1:105" x14ac:dyDescent="0.25">
      <c r="A40" s="2185" t="s">
        <v>102</v>
      </c>
      <c r="B40" s="2022" t="s">
        <v>2894</v>
      </c>
      <c r="C40" s="2023">
        <v>15</v>
      </c>
      <c r="D40" s="2023">
        <v>0</v>
      </c>
      <c r="E40" s="2024">
        <v>2235.4499999999998</v>
      </c>
      <c r="F40" s="2024"/>
      <c r="G40" s="2024">
        <v>0</v>
      </c>
      <c r="H40" s="2024"/>
      <c r="I40" s="2023">
        <v>0</v>
      </c>
      <c r="J40" s="2027"/>
      <c r="K40" s="2026" t="s">
        <v>20</v>
      </c>
      <c r="L40" s="2026" t="s">
        <v>20</v>
      </c>
      <c r="M40" s="2026">
        <v>0.55700000000000005</v>
      </c>
      <c r="N40" s="2026">
        <v>0.55700000000000005</v>
      </c>
      <c r="O40" s="2026">
        <v>0.55700000000000005</v>
      </c>
      <c r="P40" s="2026">
        <v>0.55700000000000005</v>
      </c>
      <c r="Q40" s="2027">
        <f t="shared" si="15"/>
        <v>1245.1456499999999</v>
      </c>
      <c r="R40" s="2027">
        <f t="shared" si="15"/>
        <v>1245.1456499999999</v>
      </c>
      <c r="S40" s="2027">
        <f t="shared" si="15"/>
        <v>1245.1456499999999</v>
      </c>
      <c r="T40" s="2027">
        <f t="shared" si="15"/>
        <v>1245.1456499999999</v>
      </c>
      <c r="U40" s="2026">
        <v>0.55700000000000005</v>
      </c>
      <c r="V40" s="2026">
        <v>0.55700000000000005</v>
      </c>
      <c r="W40" s="2026">
        <v>0.55700000000000005</v>
      </c>
      <c r="X40" s="2026">
        <v>0.55700000000000005</v>
      </c>
      <c r="Y40" s="2028">
        <f t="shared" si="16"/>
        <v>0</v>
      </c>
      <c r="Z40" s="2028">
        <f t="shared" si="16"/>
        <v>0</v>
      </c>
      <c r="AA40" s="2028">
        <f t="shared" si="16"/>
        <v>0</v>
      </c>
      <c r="AB40" s="2028">
        <f t="shared" si="16"/>
        <v>0</v>
      </c>
      <c r="AC40" s="2026">
        <v>0.49399999999999999</v>
      </c>
      <c r="AD40" s="2026">
        <v>0.49399999999999999</v>
      </c>
      <c r="AE40" s="2026">
        <v>0.49399999999999999</v>
      </c>
      <c r="AF40" s="2026">
        <v>0.49399999999999999</v>
      </c>
      <c r="AG40" s="2027">
        <f t="shared" si="24"/>
        <v>0</v>
      </c>
      <c r="AH40" s="2027">
        <f t="shared" si="24"/>
        <v>0</v>
      </c>
      <c r="AI40" s="2027">
        <f t="shared" si="24"/>
        <v>0</v>
      </c>
      <c r="AJ40" s="2027">
        <f t="shared" si="24"/>
        <v>0</v>
      </c>
      <c r="AK40" s="2027">
        <v>439</v>
      </c>
      <c r="AL40" s="2027">
        <v>459</v>
      </c>
      <c r="AM40" s="2027">
        <v>431</v>
      </c>
      <c r="AN40" s="2027">
        <v>389</v>
      </c>
      <c r="AO40" s="2027">
        <f t="shared" si="26"/>
        <v>546618.94034999993</v>
      </c>
      <c r="AP40" s="2027">
        <f t="shared" si="29"/>
        <v>571521.85334999999</v>
      </c>
      <c r="AQ40" s="2027">
        <f t="shared" si="29"/>
        <v>536657.77515</v>
      </c>
      <c r="AR40" s="2027"/>
      <c r="AS40" s="2027">
        <f t="shared" si="5"/>
        <v>484361.65784999996</v>
      </c>
      <c r="AT40" s="2027">
        <f t="shared" si="27"/>
        <v>0</v>
      </c>
      <c r="AU40" s="2027">
        <f t="shared" si="28"/>
        <v>0</v>
      </c>
      <c r="AV40" s="2027">
        <f t="shared" si="28"/>
        <v>0</v>
      </c>
      <c r="AW40" s="2027">
        <f t="shared" si="25"/>
        <v>0</v>
      </c>
      <c r="AX40" s="2042">
        <v>100</v>
      </c>
      <c r="AY40" s="2029">
        <v>100</v>
      </c>
      <c r="AZ40" s="2029">
        <v>100</v>
      </c>
      <c r="BA40" s="2029">
        <v>100</v>
      </c>
      <c r="BB40" s="2042">
        <v>0</v>
      </c>
      <c r="BC40" s="2029">
        <v>0</v>
      </c>
      <c r="BD40" s="2029">
        <v>0</v>
      </c>
      <c r="BE40" s="2029">
        <v>0</v>
      </c>
      <c r="BF40" s="2042">
        <v>159.31</v>
      </c>
      <c r="BG40" s="2029">
        <v>159.31</v>
      </c>
      <c r="BH40" s="2029">
        <v>159.31</v>
      </c>
      <c r="BI40" s="2029">
        <v>159.31</v>
      </c>
      <c r="BJ40" s="2030">
        <f t="shared" si="30"/>
        <v>43900</v>
      </c>
      <c r="BK40" s="2030">
        <f t="shared" si="30"/>
        <v>45900</v>
      </c>
      <c r="BL40" s="2030">
        <f t="shared" si="30"/>
        <v>43100</v>
      </c>
      <c r="BM40" s="2030"/>
      <c r="BN40" s="2030">
        <f t="shared" si="9"/>
        <v>38900</v>
      </c>
      <c r="BO40" s="2030">
        <f t="shared" si="10"/>
        <v>0</v>
      </c>
      <c r="BP40" s="2030"/>
      <c r="BQ40" s="2030">
        <f t="shared" si="31"/>
        <v>0</v>
      </c>
      <c r="BR40" s="2030">
        <f t="shared" si="31"/>
        <v>0</v>
      </c>
      <c r="BS40" s="2030">
        <f t="shared" si="31"/>
        <v>0</v>
      </c>
      <c r="BT40" s="2031"/>
      <c r="BU40" s="2031"/>
      <c r="BV40" s="2031"/>
      <c r="BW40" s="2031"/>
      <c r="BX40" s="2031"/>
      <c r="BY40" s="2031"/>
      <c r="BZ40" s="2031"/>
      <c r="CA40" s="2031"/>
      <c r="CB40" s="2029"/>
      <c r="CC40" s="2029"/>
      <c r="CD40" s="2029"/>
      <c r="CE40" s="2029"/>
      <c r="CF40" s="2029"/>
      <c r="CG40" s="2032"/>
      <c r="CH40" s="1974"/>
      <c r="CI40" s="1974"/>
      <c r="CJ40" s="1974"/>
      <c r="CK40" s="1974"/>
      <c r="CL40" s="1974">
        <v>0</v>
      </c>
      <c r="CM40" s="2033">
        <v>2.0853186911457535E-3</v>
      </c>
      <c r="CN40" s="2026">
        <v>0</v>
      </c>
      <c r="CO40" s="1974">
        <v>0</v>
      </c>
      <c r="CP40" s="2040">
        <v>0</v>
      </c>
      <c r="CQ40" s="2040"/>
      <c r="CR40" s="2062">
        <v>1</v>
      </c>
      <c r="CS40" s="2062">
        <v>1</v>
      </c>
      <c r="CT40" s="2062">
        <v>1</v>
      </c>
      <c r="CU40" s="2062">
        <v>1</v>
      </c>
      <c r="CV40" s="2036"/>
      <c r="CW40" s="2036"/>
      <c r="CX40" s="2036"/>
      <c r="CY40" s="2036"/>
      <c r="CZ40" s="2036"/>
      <c r="DA40" s="2036"/>
    </row>
    <row r="41" spans="1:105" x14ac:dyDescent="0.25">
      <c r="A41" s="2185" t="s">
        <v>103</v>
      </c>
      <c r="B41" s="2022" t="s">
        <v>2895</v>
      </c>
      <c r="C41" s="2023">
        <v>5</v>
      </c>
      <c r="D41" s="2023">
        <v>0</v>
      </c>
      <c r="E41" s="2024">
        <v>5005.72</v>
      </c>
      <c r="F41" s="2024"/>
      <c r="G41" s="2024">
        <v>0.56999999999999995</v>
      </c>
      <c r="H41" s="2024"/>
      <c r="I41" s="2023">
        <v>0</v>
      </c>
      <c r="J41" s="2027"/>
      <c r="K41" s="2026" t="s">
        <v>20</v>
      </c>
      <c r="L41" s="2026" t="s">
        <v>20</v>
      </c>
      <c r="M41" s="2026">
        <v>0.55700000000000005</v>
      </c>
      <c r="N41" s="2026">
        <v>0.55700000000000005</v>
      </c>
      <c r="O41" s="2026">
        <v>0.55700000000000005</v>
      </c>
      <c r="P41" s="2026">
        <v>0.55700000000000005</v>
      </c>
      <c r="Q41" s="2027">
        <f t="shared" si="15"/>
        <v>2788.1860400000005</v>
      </c>
      <c r="R41" s="2027">
        <f t="shared" si="15"/>
        <v>2788.1860400000005</v>
      </c>
      <c r="S41" s="2027">
        <f t="shared" si="15"/>
        <v>2788.1860400000005</v>
      </c>
      <c r="T41" s="2027">
        <f t="shared" si="15"/>
        <v>2788.1860400000005</v>
      </c>
      <c r="U41" s="2026">
        <v>0.55700000000000005</v>
      </c>
      <c r="V41" s="2026">
        <v>0.55700000000000005</v>
      </c>
      <c r="W41" s="2026">
        <v>0.55700000000000005</v>
      </c>
      <c r="X41" s="2026">
        <v>0.55700000000000005</v>
      </c>
      <c r="Y41" s="2028">
        <f t="shared" si="16"/>
        <v>0.31748999999999999</v>
      </c>
      <c r="Z41" s="2028">
        <f t="shared" si="16"/>
        <v>0.31748999999999999</v>
      </c>
      <c r="AA41" s="2028">
        <f t="shared" si="16"/>
        <v>0.31748999999999999</v>
      </c>
      <c r="AB41" s="2028">
        <f t="shared" si="16"/>
        <v>0.31748999999999999</v>
      </c>
      <c r="AC41" s="2026">
        <v>0.49399999999999999</v>
      </c>
      <c r="AD41" s="2026">
        <v>0.49399999999999999</v>
      </c>
      <c r="AE41" s="2026">
        <v>0.49399999999999999</v>
      </c>
      <c r="AF41" s="2026">
        <v>0.49399999999999999</v>
      </c>
      <c r="AG41" s="2027">
        <f t="shared" si="24"/>
        <v>0</v>
      </c>
      <c r="AH41" s="2027">
        <f t="shared" si="24"/>
        <v>0</v>
      </c>
      <c r="AI41" s="2027">
        <f t="shared" si="24"/>
        <v>0</v>
      </c>
      <c r="AJ41" s="2027">
        <f t="shared" si="24"/>
        <v>0</v>
      </c>
      <c r="AK41" s="2027">
        <v>18</v>
      </c>
      <c r="AL41" s="2027">
        <v>19</v>
      </c>
      <c r="AM41" s="2027">
        <v>20</v>
      </c>
      <c r="AN41" s="2027">
        <v>20</v>
      </c>
      <c r="AO41" s="2027">
        <f t="shared" si="26"/>
        <v>50187.348720000009</v>
      </c>
      <c r="AP41" s="2027">
        <f t="shared" si="29"/>
        <v>52975.53476000001</v>
      </c>
      <c r="AQ41" s="2027">
        <f t="shared" si="29"/>
        <v>55763.72080000001</v>
      </c>
      <c r="AR41" s="2027"/>
      <c r="AS41" s="2027">
        <f t="shared" si="5"/>
        <v>55763.72080000001</v>
      </c>
      <c r="AT41" s="2027">
        <f t="shared" si="27"/>
        <v>0</v>
      </c>
      <c r="AU41" s="2027">
        <f t="shared" si="28"/>
        <v>0</v>
      </c>
      <c r="AV41" s="2027">
        <f t="shared" si="28"/>
        <v>0</v>
      </c>
      <c r="AW41" s="2027">
        <f t="shared" si="25"/>
        <v>0</v>
      </c>
      <c r="AX41" s="2029">
        <v>150</v>
      </c>
      <c r="AY41" s="2029">
        <v>150</v>
      </c>
      <c r="AZ41" s="2029">
        <v>150</v>
      </c>
      <c r="BA41" s="2029">
        <v>150</v>
      </c>
      <c r="BB41" s="1974"/>
      <c r="BC41" s="2029">
        <v>0</v>
      </c>
      <c r="BD41" s="2029">
        <v>0</v>
      </c>
      <c r="BE41" s="2029">
        <v>0</v>
      </c>
      <c r="BF41" s="2029">
        <v>1350</v>
      </c>
      <c r="BG41" s="2029">
        <v>1350</v>
      </c>
      <c r="BH41" s="2029">
        <v>1350</v>
      </c>
      <c r="BI41" s="2029">
        <v>1350</v>
      </c>
      <c r="BJ41" s="2030">
        <f t="shared" si="30"/>
        <v>2700</v>
      </c>
      <c r="BK41" s="2030">
        <f t="shared" si="30"/>
        <v>2850</v>
      </c>
      <c r="BL41" s="2030">
        <f t="shared" si="30"/>
        <v>3000</v>
      </c>
      <c r="BM41" s="2030"/>
      <c r="BN41" s="2030">
        <f t="shared" si="9"/>
        <v>3000</v>
      </c>
      <c r="BO41" s="2030">
        <f t="shared" si="10"/>
        <v>0</v>
      </c>
      <c r="BP41" s="2030"/>
      <c r="BQ41" s="2030">
        <f t="shared" si="31"/>
        <v>0</v>
      </c>
      <c r="BR41" s="2030">
        <f t="shared" si="31"/>
        <v>0</v>
      </c>
      <c r="BS41" s="2030">
        <f t="shared" si="31"/>
        <v>0</v>
      </c>
      <c r="BT41" s="2031"/>
      <c r="BU41" s="2031"/>
      <c r="BV41" s="2031"/>
      <c r="BW41" s="2031"/>
      <c r="BX41" s="2031"/>
      <c r="BY41" s="2031"/>
      <c r="BZ41" s="2031"/>
      <c r="CA41" s="2031"/>
      <c r="CB41" s="2029"/>
      <c r="CC41" s="2029"/>
      <c r="CD41" s="2029"/>
      <c r="CE41" s="2029"/>
      <c r="CF41" s="2029"/>
      <c r="CG41" s="2032"/>
      <c r="CH41" s="1974"/>
      <c r="CI41" s="1974"/>
      <c r="CJ41" s="1974"/>
      <c r="CK41" s="1974"/>
      <c r="CL41" s="1974">
        <v>0</v>
      </c>
      <c r="CM41" s="2033">
        <v>1.8678156932415619E-4</v>
      </c>
      <c r="CN41" s="2026">
        <v>0</v>
      </c>
      <c r="CO41" s="1974">
        <v>0</v>
      </c>
      <c r="CP41" s="2040">
        <v>0</v>
      </c>
      <c r="CQ41" s="2040"/>
      <c r="CR41" s="2062">
        <v>1</v>
      </c>
      <c r="CS41" s="2062">
        <v>1</v>
      </c>
      <c r="CT41" s="2062">
        <v>1</v>
      </c>
      <c r="CU41" s="2062">
        <v>1</v>
      </c>
      <c r="CV41" s="2036"/>
      <c r="CW41" s="2036"/>
      <c r="CX41" s="2036"/>
      <c r="CY41" s="2036"/>
      <c r="CZ41" s="2036"/>
      <c r="DA41" s="2036"/>
    </row>
    <row r="42" spans="1:105" x14ac:dyDescent="0.25">
      <c r="A42" s="2185" t="s">
        <v>104</v>
      </c>
      <c r="B42" s="2022" t="s">
        <v>2896</v>
      </c>
      <c r="C42" s="2023">
        <v>5</v>
      </c>
      <c r="D42" s="2023">
        <v>0</v>
      </c>
      <c r="E42" s="2024">
        <v>7925.1</v>
      </c>
      <c r="F42" s="2024"/>
      <c r="G42" s="2024">
        <v>0.9</v>
      </c>
      <c r="H42" s="2024"/>
      <c r="I42" s="2023">
        <v>0</v>
      </c>
      <c r="J42" s="2027"/>
      <c r="K42" s="2026" t="s">
        <v>20</v>
      </c>
      <c r="L42" s="2026" t="s">
        <v>20</v>
      </c>
      <c r="M42" s="2026">
        <v>0.55700000000000005</v>
      </c>
      <c r="N42" s="2026">
        <v>0.55700000000000005</v>
      </c>
      <c r="O42" s="2026">
        <v>0.55700000000000005</v>
      </c>
      <c r="P42" s="2026">
        <v>0.55700000000000005</v>
      </c>
      <c r="Q42" s="2027">
        <f t="shared" si="15"/>
        <v>4414.2807000000003</v>
      </c>
      <c r="R42" s="2027">
        <f t="shared" si="15"/>
        <v>4414.2807000000003</v>
      </c>
      <c r="S42" s="2027">
        <f t="shared" si="15"/>
        <v>4414.2807000000003</v>
      </c>
      <c r="T42" s="2027">
        <f t="shared" si="15"/>
        <v>4414.2807000000003</v>
      </c>
      <c r="U42" s="2026">
        <v>0.55700000000000005</v>
      </c>
      <c r="V42" s="2026">
        <v>0.55700000000000005</v>
      </c>
      <c r="W42" s="2026">
        <v>0.55700000000000005</v>
      </c>
      <c r="X42" s="2026">
        <v>0.55700000000000005</v>
      </c>
      <c r="Y42" s="2028">
        <f t="shared" si="16"/>
        <v>0.50130000000000008</v>
      </c>
      <c r="Z42" s="2028">
        <f t="shared" si="16"/>
        <v>0.50130000000000008</v>
      </c>
      <c r="AA42" s="2028">
        <f t="shared" si="16"/>
        <v>0.50130000000000008</v>
      </c>
      <c r="AB42" s="2028">
        <f t="shared" si="16"/>
        <v>0.50130000000000008</v>
      </c>
      <c r="AC42" s="2026">
        <v>0.49399999999999999</v>
      </c>
      <c r="AD42" s="2026">
        <v>0.49399999999999999</v>
      </c>
      <c r="AE42" s="2026">
        <v>0.49399999999999999</v>
      </c>
      <c r="AF42" s="2026">
        <v>0.49399999999999999</v>
      </c>
      <c r="AG42" s="2027">
        <f t="shared" si="24"/>
        <v>0</v>
      </c>
      <c r="AH42" s="2027">
        <f t="shared" si="24"/>
        <v>0</v>
      </c>
      <c r="AI42" s="2027">
        <f t="shared" si="24"/>
        <v>0</v>
      </c>
      <c r="AJ42" s="2027">
        <f t="shared" si="24"/>
        <v>0</v>
      </c>
      <c r="AK42" s="2027">
        <v>2</v>
      </c>
      <c r="AL42" s="2027">
        <v>3</v>
      </c>
      <c r="AM42" s="2027">
        <v>3</v>
      </c>
      <c r="AN42" s="2027">
        <v>3</v>
      </c>
      <c r="AO42" s="2027">
        <f t="shared" si="26"/>
        <v>8828.5614000000005</v>
      </c>
      <c r="AP42" s="2027">
        <f t="shared" si="29"/>
        <v>13242.842100000002</v>
      </c>
      <c r="AQ42" s="2027">
        <f t="shared" si="29"/>
        <v>13242.842100000002</v>
      </c>
      <c r="AR42" s="2027"/>
      <c r="AS42" s="2027">
        <f t="shared" si="5"/>
        <v>13242.842100000002</v>
      </c>
      <c r="AT42" s="2027">
        <f t="shared" si="27"/>
        <v>0</v>
      </c>
      <c r="AU42" s="2027">
        <f t="shared" si="28"/>
        <v>0</v>
      </c>
      <c r="AV42" s="2027">
        <f t="shared" si="28"/>
        <v>0</v>
      </c>
      <c r="AW42" s="2027">
        <f t="shared" si="25"/>
        <v>0</v>
      </c>
      <c r="AX42" s="2029">
        <v>300</v>
      </c>
      <c r="AY42" s="2029">
        <v>300</v>
      </c>
      <c r="AZ42" s="2029">
        <v>300</v>
      </c>
      <c r="BA42" s="2029">
        <v>300</v>
      </c>
      <c r="BB42" s="1974"/>
      <c r="BC42" s="2029">
        <v>0</v>
      </c>
      <c r="BD42" s="2029">
        <v>0</v>
      </c>
      <c r="BE42" s="2029">
        <v>0</v>
      </c>
      <c r="BF42" s="2029">
        <v>1350</v>
      </c>
      <c r="BG42" s="2029">
        <v>1350</v>
      </c>
      <c r="BH42" s="2029">
        <v>1350</v>
      </c>
      <c r="BI42" s="2029">
        <v>1350</v>
      </c>
      <c r="BJ42" s="2030">
        <f t="shared" si="30"/>
        <v>600</v>
      </c>
      <c r="BK42" s="2030">
        <f t="shared" si="30"/>
        <v>900</v>
      </c>
      <c r="BL42" s="2030">
        <f t="shared" si="30"/>
        <v>900</v>
      </c>
      <c r="BM42" s="2030"/>
      <c r="BN42" s="2030">
        <f t="shared" si="9"/>
        <v>900</v>
      </c>
      <c r="BO42" s="2030">
        <f t="shared" si="10"/>
        <v>0</v>
      </c>
      <c r="BP42" s="2030"/>
      <c r="BQ42" s="2030">
        <f t="shared" si="31"/>
        <v>0</v>
      </c>
      <c r="BR42" s="2030">
        <f t="shared" si="31"/>
        <v>0</v>
      </c>
      <c r="BS42" s="2030">
        <f t="shared" si="31"/>
        <v>0</v>
      </c>
      <c r="BT42" s="2031"/>
      <c r="BU42" s="2031"/>
      <c r="BV42" s="2031"/>
      <c r="BW42" s="2031"/>
      <c r="BX42" s="2031"/>
      <c r="BY42" s="2031"/>
      <c r="BZ42" s="2031"/>
      <c r="CA42" s="2031"/>
      <c r="CB42" s="2029"/>
      <c r="CC42" s="2029"/>
      <c r="CD42" s="2029"/>
      <c r="CE42" s="2029"/>
      <c r="CF42" s="2029"/>
      <c r="CG42" s="2032"/>
      <c r="CH42" s="1974"/>
      <c r="CI42" s="1974"/>
      <c r="CJ42" s="1974"/>
      <c r="CK42" s="1974"/>
      <c r="CL42" s="1974">
        <v>0</v>
      </c>
      <c r="CM42" s="2033">
        <v>2.9571422593570355E-5</v>
      </c>
      <c r="CN42" s="2026">
        <v>0</v>
      </c>
      <c r="CO42" s="1974">
        <v>0</v>
      </c>
      <c r="CP42" s="2040">
        <v>0</v>
      </c>
      <c r="CQ42" s="2040"/>
      <c r="CR42" s="2062">
        <v>1</v>
      </c>
      <c r="CS42" s="2062">
        <v>1</v>
      </c>
      <c r="CT42" s="2062">
        <v>1</v>
      </c>
      <c r="CU42" s="2062">
        <v>1</v>
      </c>
      <c r="CV42" s="2036"/>
      <c r="CW42" s="2036"/>
      <c r="CX42" s="2036"/>
      <c r="CY42" s="2036"/>
      <c r="CZ42" s="2036"/>
      <c r="DA42" s="2036"/>
    </row>
    <row r="43" spans="1:105" x14ac:dyDescent="0.25">
      <c r="A43" s="2185" t="s">
        <v>221</v>
      </c>
      <c r="B43" s="2022" t="s">
        <v>2897</v>
      </c>
      <c r="C43" s="2543">
        <v>8</v>
      </c>
      <c r="D43" s="2023">
        <v>0</v>
      </c>
      <c r="E43" s="2024">
        <v>358.62</v>
      </c>
      <c r="F43" s="2024"/>
      <c r="G43" s="2024">
        <v>0.27</v>
      </c>
      <c r="H43" s="2024"/>
      <c r="I43" s="2023">
        <v>0</v>
      </c>
      <c r="J43" s="2027"/>
      <c r="K43" s="2026" t="s">
        <v>20</v>
      </c>
      <c r="L43" s="2026" t="s">
        <v>20</v>
      </c>
      <c r="M43" s="2026">
        <v>0.55700000000000005</v>
      </c>
      <c r="N43" s="2026">
        <v>0.55700000000000005</v>
      </c>
      <c r="O43" s="2026">
        <v>0.55700000000000005</v>
      </c>
      <c r="P43" s="2026">
        <v>0.55700000000000005</v>
      </c>
      <c r="Q43" s="2027">
        <f t="shared" si="15"/>
        <v>199.75134000000003</v>
      </c>
      <c r="R43" s="2027">
        <f t="shared" si="15"/>
        <v>199.75134000000003</v>
      </c>
      <c r="S43" s="2027">
        <f t="shared" si="15"/>
        <v>199.75134000000003</v>
      </c>
      <c r="T43" s="2027">
        <f t="shared" si="15"/>
        <v>199.75134000000003</v>
      </c>
      <c r="U43" s="2026">
        <v>0.55700000000000005</v>
      </c>
      <c r="V43" s="2026">
        <v>0.55700000000000005</v>
      </c>
      <c r="W43" s="2026">
        <v>0.55700000000000005</v>
      </c>
      <c r="X43" s="2026">
        <v>0.55700000000000005</v>
      </c>
      <c r="Y43" s="2028">
        <f t="shared" si="16"/>
        <v>0.15039000000000002</v>
      </c>
      <c r="Z43" s="2028">
        <f t="shared" si="16"/>
        <v>0.15039000000000002</v>
      </c>
      <c r="AA43" s="2028">
        <f t="shared" si="16"/>
        <v>0.15039000000000002</v>
      </c>
      <c r="AB43" s="2028">
        <f t="shared" si="16"/>
        <v>0.15039000000000002</v>
      </c>
      <c r="AC43" s="2026">
        <v>0.49399999999999999</v>
      </c>
      <c r="AD43" s="2026">
        <v>0.49399999999999999</v>
      </c>
      <c r="AE43" s="2026">
        <v>0.49399999999999999</v>
      </c>
      <c r="AF43" s="2026">
        <v>0.49399999999999999</v>
      </c>
      <c r="AG43" s="2027">
        <f t="shared" si="24"/>
        <v>0</v>
      </c>
      <c r="AH43" s="2027">
        <f t="shared" si="24"/>
        <v>0</v>
      </c>
      <c r="AI43" s="2027">
        <f t="shared" si="24"/>
        <v>0</v>
      </c>
      <c r="AJ43" s="2027">
        <f t="shared" si="24"/>
        <v>0</v>
      </c>
      <c r="AK43" s="2027">
        <v>5</v>
      </c>
      <c r="AL43" s="2027">
        <v>3</v>
      </c>
      <c r="AM43" s="2027">
        <v>6</v>
      </c>
      <c r="AN43" s="2027">
        <v>3</v>
      </c>
      <c r="AO43" s="2027">
        <f t="shared" si="26"/>
        <v>998.75670000000014</v>
      </c>
      <c r="AP43" s="2027">
        <f t="shared" si="29"/>
        <v>599.25402000000008</v>
      </c>
      <c r="AQ43" s="2027">
        <f t="shared" si="29"/>
        <v>1198.5080400000002</v>
      </c>
      <c r="AR43" s="2027"/>
      <c r="AS43" s="2027">
        <f t="shared" si="5"/>
        <v>599.25402000000008</v>
      </c>
      <c r="AT43" s="2027">
        <f t="shared" si="27"/>
        <v>0</v>
      </c>
      <c r="AU43" s="2027">
        <f t="shared" si="28"/>
        <v>0</v>
      </c>
      <c r="AV43" s="2027">
        <f t="shared" si="28"/>
        <v>0</v>
      </c>
      <c r="AW43" s="2027">
        <f t="shared" si="25"/>
        <v>0</v>
      </c>
      <c r="AX43" s="2029">
        <v>22</v>
      </c>
      <c r="AY43" s="2029">
        <v>22</v>
      </c>
      <c r="AZ43" s="2029">
        <v>22</v>
      </c>
      <c r="BA43" s="2029">
        <v>22</v>
      </c>
      <c r="BB43" s="1974"/>
      <c r="BC43" s="2029">
        <v>0</v>
      </c>
      <c r="BD43" s="2029">
        <v>0</v>
      </c>
      <c r="BE43" s="2029">
        <v>0</v>
      </c>
      <c r="BF43" s="2029">
        <v>84</v>
      </c>
      <c r="BG43" s="2029">
        <v>84</v>
      </c>
      <c r="BH43" s="2029">
        <v>84</v>
      </c>
      <c r="BI43" s="2029">
        <v>84</v>
      </c>
      <c r="BJ43" s="2030">
        <f t="shared" si="30"/>
        <v>110</v>
      </c>
      <c r="BK43" s="2030">
        <f t="shared" si="30"/>
        <v>66</v>
      </c>
      <c r="BL43" s="2030">
        <f t="shared" si="30"/>
        <v>132</v>
      </c>
      <c r="BM43" s="2030"/>
      <c r="BN43" s="2030">
        <f t="shared" si="9"/>
        <v>66</v>
      </c>
      <c r="BO43" s="2030">
        <f t="shared" si="10"/>
        <v>0</v>
      </c>
      <c r="BP43" s="2030"/>
      <c r="BQ43" s="2030">
        <f t="shared" si="31"/>
        <v>0</v>
      </c>
      <c r="BR43" s="2030">
        <f t="shared" si="31"/>
        <v>0</v>
      </c>
      <c r="BS43" s="2030">
        <f t="shared" si="31"/>
        <v>0</v>
      </c>
      <c r="BT43" s="2031"/>
      <c r="BU43" s="2031"/>
      <c r="BV43" s="2031"/>
      <c r="BW43" s="2031"/>
      <c r="BX43" s="2031"/>
      <c r="BY43" s="2031"/>
      <c r="BZ43" s="2031"/>
      <c r="CA43" s="2031"/>
      <c r="CB43" s="2029"/>
      <c r="CC43" s="2029"/>
      <c r="CD43" s="2029"/>
      <c r="CE43" s="2029"/>
      <c r="CF43" s="2029"/>
      <c r="CG43" s="2032"/>
      <c r="CH43" s="1974"/>
      <c r="CI43" s="1974"/>
      <c r="CJ43" s="1974"/>
      <c r="CK43" s="1974"/>
      <c r="CL43" s="1974">
        <v>0</v>
      </c>
      <c r="CM43" s="2033">
        <v>3.3453532354500897E-6</v>
      </c>
      <c r="CN43" s="2026">
        <v>0</v>
      </c>
      <c r="CO43" s="1974">
        <v>0</v>
      </c>
      <c r="CP43" s="2040">
        <v>0</v>
      </c>
      <c r="CQ43" s="2040"/>
      <c r="CR43" s="2062">
        <v>1</v>
      </c>
      <c r="CS43" s="2062">
        <v>1</v>
      </c>
      <c r="CT43" s="2062">
        <v>1</v>
      </c>
      <c r="CU43" s="2062">
        <v>1</v>
      </c>
      <c r="CV43" s="2036"/>
      <c r="CW43" s="2036"/>
      <c r="CX43" s="2036"/>
      <c r="CY43" s="2049"/>
      <c r="CZ43" s="2049"/>
      <c r="DA43" s="2049"/>
    </row>
    <row r="44" spans="1:105" x14ac:dyDescent="0.25">
      <c r="A44" s="2185" t="s">
        <v>222</v>
      </c>
      <c r="B44" s="2022" t="s">
        <v>2898</v>
      </c>
      <c r="C44" s="2023">
        <v>5</v>
      </c>
      <c r="D44" s="2023">
        <v>0</v>
      </c>
      <c r="E44" s="2024">
        <v>1411.33</v>
      </c>
      <c r="F44" s="2024"/>
      <c r="G44" s="2024">
        <v>0</v>
      </c>
      <c r="H44" s="2024"/>
      <c r="I44" s="2023">
        <v>0</v>
      </c>
      <c r="J44" s="2027"/>
      <c r="K44" s="2026" t="s">
        <v>2899</v>
      </c>
      <c r="L44" s="2026" t="s">
        <v>2899</v>
      </c>
      <c r="M44" s="2026">
        <v>0.84899999999999998</v>
      </c>
      <c r="N44" s="2026">
        <v>0.84899999999999998</v>
      </c>
      <c r="O44" s="2026">
        <v>0.84899999999999998</v>
      </c>
      <c r="P44" s="2026">
        <v>0.84899999999999998</v>
      </c>
      <c r="Q44" s="2027">
        <f t="shared" si="15"/>
        <v>1198.2191699999998</v>
      </c>
      <c r="R44" s="2027">
        <f t="shared" si="15"/>
        <v>1198.2191699999998</v>
      </c>
      <c r="S44" s="2027">
        <f t="shared" si="15"/>
        <v>1198.2191699999998</v>
      </c>
      <c r="T44" s="2027">
        <f t="shared" si="15"/>
        <v>1198.2191699999998</v>
      </c>
      <c r="U44" s="2026">
        <v>0.84899999999999998</v>
      </c>
      <c r="V44" s="2026">
        <v>0.84899999999999998</v>
      </c>
      <c r="W44" s="2026">
        <v>0.84899999999999998</v>
      </c>
      <c r="X44" s="2026">
        <v>0.84899999999999998</v>
      </c>
      <c r="Y44" s="2028">
        <f t="shared" si="16"/>
        <v>0</v>
      </c>
      <c r="Z44" s="2028">
        <f t="shared" si="16"/>
        <v>0</v>
      </c>
      <c r="AA44" s="2028">
        <f t="shared" si="16"/>
        <v>0</v>
      </c>
      <c r="AB44" s="2028">
        <f t="shared" si="16"/>
        <v>0</v>
      </c>
      <c r="AC44" s="2026">
        <v>0.67500000000000004</v>
      </c>
      <c r="AD44" s="2026">
        <v>0.67500000000000004</v>
      </c>
      <c r="AE44" s="2026">
        <v>0.67500000000000004</v>
      </c>
      <c r="AF44" s="2026">
        <v>0.67500000000000004</v>
      </c>
      <c r="AG44" s="2027">
        <f t="shared" si="24"/>
        <v>0</v>
      </c>
      <c r="AH44" s="2027">
        <f t="shared" si="24"/>
        <v>0</v>
      </c>
      <c r="AI44" s="2027">
        <f t="shared" si="24"/>
        <v>0</v>
      </c>
      <c r="AJ44" s="2027">
        <f t="shared" si="24"/>
        <v>0</v>
      </c>
      <c r="AK44" s="2027">
        <v>4</v>
      </c>
      <c r="AL44" s="2027">
        <v>5</v>
      </c>
      <c r="AM44" s="2027">
        <v>5</v>
      </c>
      <c r="AN44" s="2027">
        <v>5</v>
      </c>
      <c r="AO44" s="2027">
        <f t="shared" si="26"/>
        <v>4792.8766799999994</v>
      </c>
      <c r="AP44" s="2027">
        <f t="shared" si="29"/>
        <v>5991.0958499999997</v>
      </c>
      <c r="AQ44" s="2027">
        <f t="shared" si="29"/>
        <v>5991.0958499999997</v>
      </c>
      <c r="AR44" s="2027"/>
      <c r="AS44" s="2027">
        <f t="shared" si="5"/>
        <v>5991.0958499999997</v>
      </c>
      <c r="AT44" s="2027">
        <f t="shared" si="27"/>
        <v>0</v>
      </c>
      <c r="AU44" s="2027">
        <f t="shared" si="28"/>
        <v>0</v>
      </c>
      <c r="AV44" s="2027">
        <f t="shared" si="28"/>
        <v>0</v>
      </c>
      <c r="AW44" s="2027">
        <f t="shared" si="25"/>
        <v>0</v>
      </c>
      <c r="AX44" s="2029">
        <v>150</v>
      </c>
      <c r="AY44" s="2029">
        <v>150</v>
      </c>
      <c r="AZ44" s="2029">
        <v>150</v>
      </c>
      <c r="BA44" s="2029">
        <v>150</v>
      </c>
      <c r="BB44" s="1974"/>
      <c r="BC44" s="2029">
        <v>0</v>
      </c>
      <c r="BD44" s="2029">
        <v>0</v>
      </c>
      <c r="BE44" s="2029">
        <v>0</v>
      </c>
      <c r="BF44" s="2029">
        <v>180</v>
      </c>
      <c r="BG44" s="2029">
        <v>180</v>
      </c>
      <c r="BH44" s="2029">
        <v>180</v>
      </c>
      <c r="BI44" s="2029">
        <v>180</v>
      </c>
      <c r="BJ44" s="2030">
        <f t="shared" si="30"/>
        <v>600</v>
      </c>
      <c r="BK44" s="2030">
        <f t="shared" si="30"/>
        <v>750</v>
      </c>
      <c r="BL44" s="2030">
        <f t="shared" si="30"/>
        <v>750</v>
      </c>
      <c r="BM44" s="2030"/>
      <c r="BN44" s="2030">
        <f t="shared" si="9"/>
        <v>750</v>
      </c>
      <c r="BO44" s="2030">
        <f t="shared" si="10"/>
        <v>0</v>
      </c>
      <c r="BP44" s="2030"/>
      <c r="BQ44" s="2030">
        <f t="shared" si="31"/>
        <v>0</v>
      </c>
      <c r="BR44" s="2030">
        <f t="shared" si="31"/>
        <v>0</v>
      </c>
      <c r="BS44" s="2030">
        <f t="shared" si="31"/>
        <v>0</v>
      </c>
      <c r="BT44" s="2031"/>
      <c r="BU44" s="2031"/>
      <c r="BV44" s="2031"/>
      <c r="BW44" s="2031"/>
      <c r="BX44" s="2031"/>
      <c r="BY44" s="2031"/>
      <c r="BZ44" s="2031"/>
      <c r="CA44" s="2031"/>
      <c r="CB44" s="2029"/>
      <c r="CC44" s="2029"/>
      <c r="CD44" s="2029"/>
      <c r="CE44" s="2029"/>
      <c r="CF44" s="2029"/>
      <c r="CG44" s="2032"/>
      <c r="CH44" s="1974"/>
      <c r="CI44" s="1974"/>
      <c r="CJ44" s="1974"/>
      <c r="CK44" s="1974"/>
      <c r="CL44" s="1974">
        <v>0</v>
      </c>
      <c r="CM44" s="2033">
        <v>1.6053825229459064E-5</v>
      </c>
      <c r="CN44" s="2026">
        <v>0</v>
      </c>
      <c r="CO44" s="1974">
        <v>0</v>
      </c>
      <c r="CP44" s="2040">
        <v>0</v>
      </c>
      <c r="CQ44" s="2040"/>
      <c r="CR44" s="2062">
        <v>1</v>
      </c>
      <c r="CS44" s="2062">
        <v>1</v>
      </c>
      <c r="CT44" s="2062">
        <v>1</v>
      </c>
      <c r="CU44" s="2062">
        <v>1</v>
      </c>
      <c r="CV44" s="2036"/>
      <c r="CW44" s="2036"/>
      <c r="CX44" s="2036"/>
      <c r="CY44" s="2049"/>
      <c r="CZ44" s="2049"/>
      <c r="DA44" s="2049"/>
    </row>
    <row r="45" spans="1:105" x14ac:dyDescent="0.25">
      <c r="A45" s="2185" t="s">
        <v>223</v>
      </c>
      <c r="B45" s="2022" t="s">
        <v>2900</v>
      </c>
      <c r="C45" s="2023">
        <v>5</v>
      </c>
      <c r="D45" s="2023">
        <v>0</v>
      </c>
      <c r="E45" s="2024">
        <v>342.75</v>
      </c>
      <c r="F45" s="2024"/>
      <c r="G45" s="2024">
        <v>0</v>
      </c>
      <c r="H45" s="2024"/>
      <c r="I45" s="2023">
        <v>0</v>
      </c>
      <c r="J45" s="2027"/>
      <c r="K45" s="2026" t="s">
        <v>2899</v>
      </c>
      <c r="L45" s="2026" t="s">
        <v>2899</v>
      </c>
      <c r="M45" s="2026">
        <v>0.84899999999999998</v>
      </c>
      <c r="N45" s="2026">
        <v>0.84899999999999998</v>
      </c>
      <c r="O45" s="2026">
        <v>0.84899999999999998</v>
      </c>
      <c r="P45" s="2026">
        <v>0.84899999999999998</v>
      </c>
      <c r="Q45" s="2027">
        <f t="shared" si="15"/>
        <v>290.99475000000001</v>
      </c>
      <c r="R45" s="2027">
        <f t="shared" si="15"/>
        <v>290.99475000000001</v>
      </c>
      <c r="S45" s="2027">
        <f t="shared" si="15"/>
        <v>290.99475000000001</v>
      </c>
      <c r="T45" s="2027">
        <f t="shared" si="15"/>
        <v>290.99475000000001</v>
      </c>
      <c r="U45" s="2026">
        <v>0.84899999999999998</v>
      </c>
      <c r="V45" s="2026">
        <v>0.84899999999999998</v>
      </c>
      <c r="W45" s="2026">
        <v>0.84899999999999998</v>
      </c>
      <c r="X45" s="2026">
        <v>0.84899999999999998</v>
      </c>
      <c r="Y45" s="2028">
        <f t="shared" si="16"/>
        <v>0</v>
      </c>
      <c r="Z45" s="2028">
        <f t="shared" si="16"/>
        <v>0</v>
      </c>
      <c r="AA45" s="2028">
        <f t="shared" si="16"/>
        <v>0</v>
      </c>
      <c r="AB45" s="2028">
        <f t="shared" si="16"/>
        <v>0</v>
      </c>
      <c r="AC45" s="2026">
        <v>0.67500000000000004</v>
      </c>
      <c r="AD45" s="2026">
        <v>0.67500000000000004</v>
      </c>
      <c r="AE45" s="2026">
        <v>0.67500000000000004</v>
      </c>
      <c r="AF45" s="2026">
        <v>0.67500000000000004</v>
      </c>
      <c r="AG45" s="2027">
        <f t="shared" si="24"/>
        <v>0</v>
      </c>
      <c r="AH45" s="2027">
        <f t="shared" si="24"/>
        <v>0</v>
      </c>
      <c r="AI45" s="2027">
        <f t="shared" si="24"/>
        <v>0</v>
      </c>
      <c r="AJ45" s="2027">
        <f t="shared" si="24"/>
        <v>0</v>
      </c>
      <c r="AK45" s="2027">
        <v>2</v>
      </c>
      <c r="AL45" s="2027">
        <v>3</v>
      </c>
      <c r="AM45" s="2027">
        <v>3</v>
      </c>
      <c r="AN45" s="2027">
        <v>3</v>
      </c>
      <c r="AO45" s="2027">
        <f t="shared" si="26"/>
        <v>581.98950000000002</v>
      </c>
      <c r="AP45" s="2027">
        <f t="shared" si="29"/>
        <v>872.98424999999997</v>
      </c>
      <c r="AQ45" s="2027">
        <f t="shared" si="29"/>
        <v>872.98424999999997</v>
      </c>
      <c r="AR45" s="2027"/>
      <c r="AS45" s="2027">
        <f t="shared" si="5"/>
        <v>872.98424999999997</v>
      </c>
      <c r="AT45" s="2027">
        <f t="shared" si="27"/>
        <v>0</v>
      </c>
      <c r="AU45" s="2027">
        <f t="shared" si="28"/>
        <v>0</v>
      </c>
      <c r="AV45" s="2027">
        <f t="shared" si="28"/>
        <v>0</v>
      </c>
      <c r="AW45" s="2027">
        <f t="shared" si="25"/>
        <v>0</v>
      </c>
      <c r="AX45" s="2029">
        <v>50</v>
      </c>
      <c r="AY45" s="2029">
        <v>50</v>
      </c>
      <c r="AZ45" s="2029">
        <v>50</v>
      </c>
      <c r="BA45" s="2029">
        <v>50</v>
      </c>
      <c r="BB45" s="1974"/>
      <c r="BC45" s="2029">
        <v>0</v>
      </c>
      <c r="BD45" s="2029">
        <v>0</v>
      </c>
      <c r="BE45" s="2029">
        <v>0</v>
      </c>
      <c r="BF45" s="2029">
        <v>80</v>
      </c>
      <c r="BG45" s="2029">
        <v>80</v>
      </c>
      <c r="BH45" s="2029">
        <v>80</v>
      </c>
      <c r="BI45" s="2029">
        <v>80</v>
      </c>
      <c r="BJ45" s="2030">
        <f t="shared" si="30"/>
        <v>100</v>
      </c>
      <c r="BK45" s="2030">
        <f t="shared" si="30"/>
        <v>150</v>
      </c>
      <c r="BL45" s="2030">
        <f t="shared" si="30"/>
        <v>150</v>
      </c>
      <c r="BM45" s="2030"/>
      <c r="BN45" s="2030">
        <f t="shared" si="9"/>
        <v>150</v>
      </c>
      <c r="BO45" s="2030">
        <f t="shared" si="10"/>
        <v>0</v>
      </c>
      <c r="BP45" s="2030"/>
      <c r="BQ45" s="2030">
        <f t="shared" si="31"/>
        <v>0</v>
      </c>
      <c r="BR45" s="2030">
        <f t="shared" si="31"/>
        <v>0</v>
      </c>
      <c r="BS45" s="2030">
        <f t="shared" si="31"/>
        <v>0</v>
      </c>
      <c r="BT45" s="2031"/>
      <c r="BU45" s="2031"/>
      <c r="BV45" s="2031"/>
      <c r="BW45" s="2031"/>
      <c r="BX45" s="2031"/>
      <c r="BY45" s="2031"/>
      <c r="BZ45" s="2031"/>
      <c r="CA45" s="2031"/>
      <c r="CB45" s="2029"/>
      <c r="CC45" s="2029"/>
      <c r="CD45" s="2029"/>
      <c r="CE45" s="2029"/>
      <c r="CF45" s="2029"/>
      <c r="CG45" s="2032"/>
      <c r="CH45" s="1974"/>
      <c r="CI45" s="1974"/>
      <c r="CJ45" s="1974"/>
      <c r="CK45" s="1974"/>
      <c r="CL45" s="1974">
        <v>0</v>
      </c>
      <c r="CM45" s="2033">
        <v>1.9493841261069685E-6</v>
      </c>
      <c r="CN45" s="2026">
        <v>0</v>
      </c>
      <c r="CO45" s="1974">
        <v>0</v>
      </c>
      <c r="CP45" s="2040">
        <v>0</v>
      </c>
      <c r="CQ45" s="2040"/>
      <c r="CR45" s="2062">
        <v>1</v>
      </c>
      <c r="CS45" s="2062">
        <v>1</v>
      </c>
      <c r="CT45" s="2062">
        <v>1</v>
      </c>
      <c r="CU45" s="2062">
        <v>1</v>
      </c>
      <c r="CV45" s="2036"/>
      <c r="CW45" s="2036"/>
      <c r="CX45" s="2036"/>
      <c r="CY45" s="2049"/>
      <c r="CZ45" s="2049"/>
      <c r="DA45" s="2049"/>
    </row>
    <row r="46" spans="1:105" ht="23" x14ac:dyDescent="0.25">
      <c r="A46" s="2185" t="s">
        <v>106</v>
      </c>
      <c r="B46" s="2022" t="s">
        <v>2901</v>
      </c>
      <c r="C46" s="2023">
        <v>8</v>
      </c>
      <c r="D46" s="2023">
        <v>0</v>
      </c>
      <c r="E46" s="2024">
        <v>1625</v>
      </c>
      <c r="F46" s="2024"/>
      <c r="G46" s="2024">
        <v>0.223</v>
      </c>
      <c r="H46" s="2024"/>
      <c r="I46" s="2023">
        <v>0</v>
      </c>
      <c r="J46" s="2027"/>
      <c r="K46" s="2026" t="s">
        <v>2899</v>
      </c>
      <c r="L46" s="2026" t="s">
        <v>2899</v>
      </c>
      <c r="M46" s="2026">
        <v>0.84899999999999998</v>
      </c>
      <c r="N46" s="2026">
        <v>0.84899999999999998</v>
      </c>
      <c r="O46" s="2026">
        <v>0.84899999999999998</v>
      </c>
      <c r="P46" s="2026">
        <v>0.84899999999999998</v>
      </c>
      <c r="Q46" s="2027">
        <f t="shared" si="15"/>
        <v>1379.625</v>
      </c>
      <c r="R46" s="2027">
        <f t="shared" si="15"/>
        <v>1379.625</v>
      </c>
      <c r="S46" s="2027">
        <f t="shared" si="15"/>
        <v>1379.625</v>
      </c>
      <c r="T46" s="2027">
        <f t="shared" si="15"/>
        <v>1379.625</v>
      </c>
      <c r="U46" s="2026">
        <v>0.84899999999999998</v>
      </c>
      <c r="V46" s="2026">
        <v>0.84899999999999998</v>
      </c>
      <c r="W46" s="2026">
        <v>0.84899999999999998</v>
      </c>
      <c r="X46" s="2026">
        <v>0.84899999999999998</v>
      </c>
      <c r="Y46" s="2028">
        <f t="shared" si="16"/>
        <v>0.189327</v>
      </c>
      <c r="Z46" s="2028">
        <f t="shared" si="16"/>
        <v>0.189327</v>
      </c>
      <c r="AA46" s="2028">
        <f t="shared" si="16"/>
        <v>0.189327</v>
      </c>
      <c r="AB46" s="2028">
        <f t="shared" si="16"/>
        <v>0.189327</v>
      </c>
      <c r="AC46" s="2026">
        <v>0.67500000000000004</v>
      </c>
      <c r="AD46" s="2026">
        <v>0.67500000000000004</v>
      </c>
      <c r="AE46" s="2026">
        <v>0.67500000000000004</v>
      </c>
      <c r="AF46" s="2026">
        <v>0.67500000000000004</v>
      </c>
      <c r="AG46" s="2027">
        <f t="shared" si="24"/>
        <v>0</v>
      </c>
      <c r="AH46" s="2027">
        <f t="shared" si="24"/>
        <v>0</v>
      </c>
      <c r="AI46" s="2027">
        <f t="shared" si="24"/>
        <v>0</v>
      </c>
      <c r="AJ46" s="2027">
        <f t="shared" si="24"/>
        <v>0</v>
      </c>
      <c r="AK46" s="2027">
        <v>27</v>
      </c>
      <c r="AL46" s="2027">
        <v>15</v>
      </c>
      <c r="AM46" s="2027">
        <v>16</v>
      </c>
      <c r="AN46" s="2027">
        <v>16</v>
      </c>
      <c r="AO46" s="2027">
        <f t="shared" si="26"/>
        <v>37249.875</v>
      </c>
      <c r="AP46" s="2027">
        <f t="shared" si="29"/>
        <v>20694.375</v>
      </c>
      <c r="AQ46" s="2027">
        <f t="shared" si="29"/>
        <v>22074</v>
      </c>
      <c r="AR46" s="2027"/>
      <c r="AS46" s="2027">
        <f t="shared" si="5"/>
        <v>22074</v>
      </c>
      <c r="AT46" s="2027">
        <f t="shared" si="27"/>
        <v>0</v>
      </c>
      <c r="AU46" s="2027">
        <f t="shared" si="28"/>
        <v>0</v>
      </c>
      <c r="AV46" s="2027">
        <f t="shared" si="28"/>
        <v>0</v>
      </c>
      <c r="AW46" s="2027">
        <f t="shared" si="25"/>
        <v>0</v>
      </c>
      <c r="AX46" s="2029">
        <v>30</v>
      </c>
      <c r="AY46" s="2029">
        <v>30</v>
      </c>
      <c r="AZ46" s="2029">
        <v>30</v>
      </c>
      <c r="BA46" s="2029">
        <v>30</v>
      </c>
      <c r="BB46" s="1974"/>
      <c r="BC46" s="2029">
        <v>0</v>
      </c>
      <c r="BD46" s="2029">
        <v>0</v>
      </c>
      <c r="BE46" s="2029">
        <v>0</v>
      </c>
      <c r="BF46" s="2029">
        <v>157</v>
      </c>
      <c r="BG46" s="2029">
        <v>157</v>
      </c>
      <c r="BH46" s="2029">
        <v>157</v>
      </c>
      <c r="BI46" s="2029">
        <v>157</v>
      </c>
      <c r="BJ46" s="2030">
        <f t="shared" si="30"/>
        <v>810</v>
      </c>
      <c r="BK46" s="2030">
        <f t="shared" si="30"/>
        <v>450</v>
      </c>
      <c r="BL46" s="2030">
        <f t="shared" si="30"/>
        <v>480</v>
      </c>
      <c r="BM46" s="2030"/>
      <c r="BN46" s="2030">
        <f t="shared" si="9"/>
        <v>480</v>
      </c>
      <c r="BO46" s="2030">
        <f t="shared" si="10"/>
        <v>0</v>
      </c>
      <c r="BP46" s="2030"/>
      <c r="BQ46" s="2030">
        <f t="shared" si="31"/>
        <v>0</v>
      </c>
      <c r="BR46" s="2030">
        <f t="shared" si="31"/>
        <v>0</v>
      </c>
      <c r="BS46" s="2030">
        <f t="shared" si="31"/>
        <v>0</v>
      </c>
      <c r="BT46" s="2031"/>
      <c r="BU46" s="2031"/>
      <c r="BV46" s="2031"/>
      <c r="BW46" s="2031"/>
      <c r="BX46" s="2031"/>
      <c r="BY46" s="2031"/>
      <c r="BZ46" s="2031"/>
      <c r="CA46" s="2031"/>
      <c r="CB46" s="2029"/>
      <c r="CC46" s="2029"/>
      <c r="CD46" s="2029"/>
      <c r="CE46" s="2029"/>
      <c r="CF46" s="2029"/>
      <c r="CG46" s="2032"/>
      <c r="CH46" s="1974"/>
      <c r="CI46" s="1974"/>
      <c r="CJ46" s="1974"/>
      <c r="CK46" s="1974"/>
      <c r="CL46" s="1974">
        <v>0</v>
      </c>
      <c r="CM46" s="2033">
        <v>1.3863235032489382E-4</v>
      </c>
      <c r="CN46" s="2026">
        <v>0</v>
      </c>
      <c r="CO46" s="1974">
        <v>0</v>
      </c>
      <c r="CP46" s="2040">
        <v>0</v>
      </c>
      <c r="CQ46" s="2040"/>
      <c r="CR46" s="2062">
        <v>1</v>
      </c>
      <c r="CS46" s="2062">
        <v>1</v>
      </c>
      <c r="CT46" s="2062">
        <v>1</v>
      </c>
      <c r="CU46" s="2062">
        <v>1</v>
      </c>
      <c r="CV46" s="2036"/>
      <c r="CW46" s="2036"/>
      <c r="CX46" s="2036"/>
      <c r="CY46" s="2049"/>
      <c r="CZ46" s="2049"/>
      <c r="DA46" s="2049"/>
    </row>
    <row r="47" spans="1:105" x14ac:dyDescent="0.25">
      <c r="A47" s="2185" t="s">
        <v>107</v>
      </c>
      <c r="B47" s="2022" t="s">
        <v>2902</v>
      </c>
      <c r="C47" s="2023">
        <v>8</v>
      </c>
      <c r="D47" s="2023">
        <v>0</v>
      </c>
      <c r="E47" s="2024">
        <v>1625</v>
      </c>
      <c r="F47" s="2024"/>
      <c r="G47" s="2024">
        <v>0.22</v>
      </c>
      <c r="H47" s="2024"/>
      <c r="I47" s="2023">
        <v>0</v>
      </c>
      <c r="J47" s="2027"/>
      <c r="K47" s="2026" t="s">
        <v>2899</v>
      </c>
      <c r="L47" s="2026" t="s">
        <v>2899</v>
      </c>
      <c r="M47" s="2026">
        <v>0.84899999999999998</v>
      </c>
      <c r="N47" s="2026">
        <v>0.84899999999999998</v>
      </c>
      <c r="O47" s="2026">
        <v>0.84899999999999998</v>
      </c>
      <c r="P47" s="2026">
        <v>0.84899999999999998</v>
      </c>
      <c r="Q47" s="2027">
        <f t="shared" si="15"/>
        <v>1379.625</v>
      </c>
      <c r="R47" s="2027">
        <f t="shared" si="15"/>
        <v>1379.625</v>
      </c>
      <c r="S47" s="2027">
        <f t="shared" si="15"/>
        <v>1379.625</v>
      </c>
      <c r="T47" s="2027">
        <f t="shared" si="15"/>
        <v>1379.625</v>
      </c>
      <c r="U47" s="2026">
        <v>0.84899999999999998</v>
      </c>
      <c r="V47" s="2026">
        <v>0.84899999999999998</v>
      </c>
      <c r="W47" s="2026">
        <v>0.84899999999999998</v>
      </c>
      <c r="X47" s="2026">
        <v>0.84899999999999998</v>
      </c>
      <c r="Y47" s="2028">
        <f t="shared" si="16"/>
        <v>0.18678</v>
      </c>
      <c r="Z47" s="2028">
        <f t="shared" si="16"/>
        <v>0.18678</v>
      </c>
      <c r="AA47" s="2028">
        <f t="shared" si="16"/>
        <v>0.18678</v>
      </c>
      <c r="AB47" s="2028">
        <f t="shared" si="16"/>
        <v>0.18678</v>
      </c>
      <c r="AC47" s="2026">
        <v>0.67500000000000004</v>
      </c>
      <c r="AD47" s="2026">
        <v>0.67500000000000004</v>
      </c>
      <c r="AE47" s="2026">
        <v>0.67500000000000004</v>
      </c>
      <c r="AF47" s="2026">
        <v>0.67500000000000004</v>
      </c>
      <c r="AG47" s="2027">
        <f t="shared" si="24"/>
        <v>0</v>
      </c>
      <c r="AH47" s="2027">
        <f t="shared" si="24"/>
        <v>0</v>
      </c>
      <c r="AI47" s="2027">
        <f t="shared" si="24"/>
        <v>0</v>
      </c>
      <c r="AJ47" s="2027">
        <f t="shared" si="24"/>
        <v>0</v>
      </c>
      <c r="AK47" s="2027">
        <v>1</v>
      </c>
      <c r="AL47" s="2027">
        <v>2</v>
      </c>
      <c r="AM47" s="2027">
        <v>2</v>
      </c>
      <c r="AN47" s="2027">
        <v>2</v>
      </c>
      <c r="AO47" s="2027">
        <f t="shared" si="26"/>
        <v>1379.625</v>
      </c>
      <c r="AP47" s="2027">
        <f t="shared" si="29"/>
        <v>2759.25</v>
      </c>
      <c r="AQ47" s="2027">
        <f t="shared" si="29"/>
        <v>2759.25</v>
      </c>
      <c r="AR47" s="2027"/>
      <c r="AS47" s="2027">
        <f t="shared" si="5"/>
        <v>2759.25</v>
      </c>
      <c r="AT47" s="2027">
        <f t="shared" si="27"/>
        <v>0</v>
      </c>
      <c r="AU47" s="2027">
        <f t="shared" si="28"/>
        <v>0</v>
      </c>
      <c r="AV47" s="2027">
        <f t="shared" si="28"/>
        <v>0</v>
      </c>
      <c r="AW47" s="2027">
        <f t="shared" si="25"/>
        <v>0</v>
      </c>
      <c r="AX47" s="2029">
        <v>30</v>
      </c>
      <c r="AY47" s="2029">
        <v>30</v>
      </c>
      <c r="AZ47" s="2029">
        <v>30</v>
      </c>
      <c r="BA47" s="2029">
        <v>30</v>
      </c>
      <c r="BB47" s="1974"/>
      <c r="BC47" s="2029">
        <v>0</v>
      </c>
      <c r="BD47" s="2029">
        <v>0</v>
      </c>
      <c r="BE47" s="2029">
        <v>0</v>
      </c>
      <c r="BF47" s="2029">
        <v>157</v>
      </c>
      <c r="BG47" s="2029">
        <v>157</v>
      </c>
      <c r="BH47" s="2029">
        <v>157</v>
      </c>
      <c r="BI47" s="2029">
        <v>157</v>
      </c>
      <c r="BJ47" s="2030">
        <f t="shared" si="30"/>
        <v>30</v>
      </c>
      <c r="BK47" s="2030">
        <f t="shared" si="30"/>
        <v>60</v>
      </c>
      <c r="BL47" s="2030">
        <f t="shared" si="30"/>
        <v>60</v>
      </c>
      <c r="BM47" s="2030"/>
      <c r="BN47" s="2030">
        <f t="shared" si="9"/>
        <v>60</v>
      </c>
      <c r="BO47" s="2030">
        <f t="shared" si="10"/>
        <v>0</v>
      </c>
      <c r="BP47" s="2030"/>
      <c r="BQ47" s="2030">
        <f t="shared" si="31"/>
        <v>0</v>
      </c>
      <c r="BR47" s="2030">
        <f t="shared" si="31"/>
        <v>0</v>
      </c>
      <c r="BS47" s="2030">
        <f t="shared" si="31"/>
        <v>0</v>
      </c>
      <c r="BT47" s="2031"/>
      <c r="BU47" s="2031"/>
      <c r="BV47" s="2031"/>
      <c r="BW47" s="2031"/>
      <c r="BX47" s="2031"/>
      <c r="BY47" s="2031"/>
      <c r="BZ47" s="2031"/>
      <c r="CA47" s="2031"/>
      <c r="CB47" s="2029"/>
      <c r="CC47" s="2029"/>
      <c r="CD47" s="2029"/>
      <c r="CE47" s="2029"/>
      <c r="CF47" s="2029"/>
      <c r="CG47" s="2032"/>
      <c r="CH47" s="1974"/>
      <c r="CI47" s="1974"/>
      <c r="CJ47" s="1974"/>
      <c r="CK47" s="1974"/>
      <c r="CL47" s="1974">
        <v>0</v>
      </c>
      <c r="CM47" s="2033">
        <v>4.6210783441631274E-6</v>
      </c>
      <c r="CN47" s="2026">
        <v>0</v>
      </c>
      <c r="CO47" s="1974">
        <v>0</v>
      </c>
      <c r="CP47" s="2040">
        <v>0</v>
      </c>
      <c r="CQ47" s="2040"/>
      <c r="CR47" s="2062">
        <v>1</v>
      </c>
      <c r="CS47" s="2062">
        <v>1</v>
      </c>
      <c r="CT47" s="2062">
        <v>1</v>
      </c>
      <c r="CU47" s="2062">
        <v>1</v>
      </c>
      <c r="CV47" s="2036"/>
      <c r="CW47" s="2036"/>
      <c r="CX47" s="2036"/>
      <c r="CY47" s="2049"/>
      <c r="CZ47" s="2049"/>
      <c r="DA47" s="2049"/>
    </row>
    <row r="48" spans="1:105" x14ac:dyDescent="0.25">
      <c r="A48" s="2185" t="s">
        <v>108</v>
      </c>
      <c r="B48" s="2022" t="s">
        <v>2903</v>
      </c>
      <c r="C48" s="2023">
        <v>6</v>
      </c>
      <c r="D48" s="2023">
        <v>0</v>
      </c>
      <c r="E48" s="2024">
        <v>1698</v>
      </c>
      <c r="F48" s="2024"/>
      <c r="G48" s="2024">
        <v>0.2</v>
      </c>
      <c r="H48" s="2024"/>
      <c r="I48" s="2023">
        <v>0</v>
      </c>
      <c r="J48" s="2027"/>
      <c r="K48" s="2026" t="s">
        <v>2899</v>
      </c>
      <c r="L48" s="2026" t="s">
        <v>2899</v>
      </c>
      <c r="M48" s="2026">
        <v>0.84899999999999998</v>
      </c>
      <c r="N48" s="2026">
        <v>0.84899999999999998</v>
      </c>
      <c r="O48" s="2026">
        <v>0.84899999999999998</v>
      </c>
      <c r="P48" s="2026">
        <v>0.84899999999999998</v>
      </c>
      <c r="Q48" s="2027">
        <f t="shared" si="15"/>
        <v>1441.6019999999999</v>
      </c>
      <c r="R48" s="2027">
        <f t="shared" si="15"/>
        <v>1441.6019999999999</v>
      </c>
      <c r="S48" s="2027">
        <f t="shared" si="15"/>
        <v>1441.6019999999999</v>
      </c>
      <c r="T48" s="2027">
        <f t="shared" si="15"/>
        <v>1441.6019999999999</v>
      </c>
      <c r="U48" s="2026">
        <v>0.84899999999999998</v>
      </c>
      <c r="V48" s="2026">
        <v>0.84899999999999998</v>
      </c>
      <c r="W48" s="2026">
        <v>0.84899999999999998</v>
      </c>
      <c r="X48" s="2026">
        <v>0.84899999999999998</v>
      </c>
      <c r="Y48" s="2028">
        <f t="shared" si="16"/>
        <v>0.16980000000000001</v>
      </c>
      <c r="Z48" s="2028">
        <f t="shared" si="16"/>
        <v>0.16980000000000001</v>
      </c>
      <c r="AA48" s="2028">
        <f t="shared" si="16"/>
        <v>0.16980000000000001</v>
      </c>
      <c r="AB48" s="2028">
        <f t="shared" si="16"/>
        <v>0.16980000000000001</v>
      </c>
      <c r="AC48" s="2026">
        <v>0.67500000000000004</v>
      </c>
      <c r="AD48" s="2026">
        <v>0.67500000000000004</v>
      </c>
      <c r="AE48" s="2026">
        <v>0.67500000000000004</v>
      </c>
      <c r="AF48" s="2026">
        <v>0.67500000000000004</v>
      </c>
      <c r="AG48" s="2027">
        <f t="shared" si="24"/>
        <v>0</v>
      </c>
      <c r="AH48" s="2027">
        <f t="shared" si="24"/>
        <v>0</v>
      </c>
      <c r="AI48" s="2027">
        <f t="shared" si="24"/>
        <v>0</v>
      </c>
      <c r="AJ48" s="2027">
        <f t="shared" si="24"/>
        <v>0</v>
      </c>
      <c r="AK48" s="2027">
        <v>13</v>
      </c>
      <c r="AL48" s="2027">
        <v>14</v>
      </c>
      <c r="AM48" s="2027">
        <v>15</v>
      </c>
      <c r="AN48" s="2027">
        <v>15</v>
      </c>
      <c r="AO48" s="2027">
        <f t="shared" si="26"/>
        <v>18740.825999999997</v>
      </c>
      <c r="AP48" s="2027">
        <f t="shared" si="29"/>
        <v>20182.428</v>
      </c>
      <c r="AQ48" s="2027">
        <f t="shared" si="29"/>
        <v>21624.03</v>
      </c>
      <c r="AR48" s="2027"/>
      <c r="AS48" s="2027">
        <f t="shared" si="5"/>
        <v>21624.03</v>
      </c>
      <c r="AT48" s="2027">
        <f t="shared" si="27"/>
        <v>0</v>
      </c>
      <c r="AU48" s="2027">
        <f t="shared" si="28"/>
        <v>0</v>
      </c>
      <c r="AV48" s="2027">
        <f t="shared" si="28"/>
        <v>0</v>
      </c>
      <c r="AW48" s="2027">
        <f t="shared" si="25"/>
        <v>0</v>
      </c>
      <c r="AX48" s="2029">
        <v>115</v>
      </c>
      <c r="AY48" s="2029">
        <v>115</v>
      </c>
      <c r="AZ48" s="2029">
        <v>115</v>
      </c>
      <c r="BA48" s="2029">
        <v>115</v>
      </c>
      <c r="BB48" s="1974"/>
      <c r="BC48" s="2029">
        <v>0</v>
      </c>
      <c r="BD48" s="2029">
        <v>0</v>
      </c>
      <c r="BE48" s="2029">
        <v>0</v>
      </c>
      <c r="BF48" s="2029">
        <v>286.16000000000003</v>
      </c>
      <c r="BG48" s="2029">
        <v>286.16000000000003</v>
      </c>
      <c r="BH48" s="2029">
        <v>286.16000000000003</v>
      </c>
      <c r="BI48" s="2029">
        <v>286.16000000000003</v>
      </c>
      <c r="BJ48" s="2030">
        <f t="shared" si="30"/>
        <v>1495</v>
      </c>
      <c r="BK48" s="2030">
        <f t="shared" si="30"/>
        <v>1610</v>
      </c>
      <c r="BL48" s="2030">
        <f t="shared" si="30"/>
        <v>1725</v>
      </c>
      <c r="BM48" s="2030"/>
      <c r="BN48" s="2030">
        <f t="shared" si="9"/>
        <v>1725</v>
      </c>
      <c r="BO48" s="2030">
        <f t="shared" si="10"/>
        <v>0</v>
      </c>
      <c r="BP48" s="2030"/>
      <c r="BQ48" s="2030">
        <f t="shared" si="31"/>
        <v>0</v>
      </c>
      <c r="BR48" s="2030">
        <f t="shared" si="31"/>
        <v>0</v>
      </c>
      <c r="BS48" s="2030">
        <f t="shared" si="31"/>
        <v>0</v>
      </c>
      <c r="BT48" s="2031"/>
      <c r="BU48" s="2031"/>
      <c r="BV48" s="2031"/>
      <c r="BW48" s="2031"/>
      <c r="BX48" s="2031"/>
      <c r="BY48" s="2031"/>
      <c r="BZ48" s="2031"/>
      <c r="CA48" s="2031"/>
      <c r="CB48" s="2029"/>
      <c r="CC48" s="2029"/>
      <c r="CD48" s="2029"/>
      <c r="CE48" s="2029"/>
      <c r="CF48" s="2029"/>
      <c r="CG48" s="2032"/>
      <c r="CH48" s="1974"/>
      <c r="CI48" s="1974"/>
      <c r="CJ48" s="1974"/>
      <c r="CK48" s="1974"/>
      <c r="CL48" s="1974">
        <v>0</v>
      </c>
      <c r="CM48" s="2033">
        <v>6.7601399629197456E-5</v>
      </c>
      <c r="CN48" s="2026">
        <v>0</v>
      </c>
      <c r="CO48" s="1974">
        <v>0</v>
      </c>
      <c r="CP48" s="2040">
        <v>0</v>
      </c>
      <c r="CQ48" s="2040"/>
      <c r="CR48" s="2062">
        <v>1</v>
      </c>
      <c r="CS48" s="2062">
        <v>1</v>
      </c>
      <c r="CT48" s="2062">
        <v>1</v>
      </c>
      <c r="CU48" s="2062">
        <v>1</v>
      </c>
      <c r="CV48" s="2036"/>
      <c r="CW48" s="2036"/>
      <c r="CX48" s="2036"/>
      <c r="CY48" s="2049"/>
      <c r="CZ48" s="2049"/>
      <c r="DA48" s="2049"/>
    </row>
    <row r="49" spans="1:105" x14ac:dyDescent="0.25">
      <c r="A49" s="2185"/>
      <c r="B49" s="2022"/>
      <c r="C49" s="2023"/>
      <c r="D49" s="2023">
        <v>0</v>
      </c>
      <c r="E49" s="2024"/>
      <c r="F49" s="2024"/>
      <c r="G49" s="2024"/>
      <c r="H49" s="2024"/>
      <c r="I49" s="2023"/>
      <c r="J49" s="2027"/>
      <c r="K49" s="2026" t="s">
        <v>2285</v>
      </c>
      <c r="L49" s="2026" t="s">
        <v>2285</v>
      </c>
      <c r="M49" s="2026">
        <v>0.79999999999999993</v>
      </c>
      <c r="N49" s="2026">
        <v>0.79999999999999993</v>
      </c>
      <c r="O49" s="2026">
        <v>0.79999999999999993</v>
      </c>
      <c r="P49" s="2026">
        <v>0.79999999999999993</v>
      </c>
      <c r="Q49" s="2027">
        <f t="shared" si="15"/>
        <v>0</v>
      </c>
      <c r="R49" s="2027">
        <f t="shared" si="15"/>
        <v>0</v>
      </c>
      <c r="S49" s="2027">
        <f t="shared" si="15"/>
        <v>0</v>
      </c>
      <c r="T49" s="2027">
        <f t="shared" si="15"/>
        <v>0</v>
      </c>
      <c r="U49" s="2026">
        <v>0.79999999999999993</v>
      </c>
      <c r="V49" s="2026">
        <v>0.79999999999999993</v>
      </c>
      <c r="W49" s="2026">
        <v>0.79999999999999993</v>
      </c>
      <c r="X49" s="2026">
        <v>0.79999999999999993</v>
      </c>
      <c r="Y49" s="2028">
        <f t="shared" si="16"/>
        <v>0</v>
      </c>
      <c r="Z49" s="2028">
        <f t="shared" si="16"/>
        <v>0</v>
      </c>
      <c r="AA49" s="2028">
        <f t="shared" si="16"/>
        <v>0</v>
      </c>
      <c r="AB49" s="2028">
        <f t="shared" si="16"/>
        <v>0</v>
      </c>
      <c r="AC49" s="2026">
        <v>0.60399999999999998</v>
      </c>
      <c r="AD49" s="2026">
        <v>0.60399999999999998</v>
      </c>
      <c r="AE49" s="2026">
        <v>0.60399999999999998</v>
      </c>
      <c r="AF49" s="2026">
        <v>0.60399999999999998</v>
      </c>
      <c r="AG49" s="2027"/>
      <c r="AH49" s="2027"/>
      <c r="AI49" s="2027"/>
      <c r="AJ49" s="2027"/>
      <c r="AK49" s="2027">
        <v>0</v>
      </c>
      <c r="AL49" s="2027">
        <v>0</v>
      </c>
      <c r="AM49" s="2027">
        <v>0</v>
      </c>
      <c r="AN49" s="2027">
        <v>0</v>
      </c>
      <c r="AO49" s="2027"/>
      <c r="AP49" s="2027">
        <f t="shared" si="29"/>
        <v>0</v>
      </c>
      <c r="AQ49" s="2027">
        <f t="shared" si="29"/>
        <v>0</v>
      </c>
      <c r="AR49" s="2027"/>
      <c r="AS49" s="2027">
        <f t="shared" si="5"/>
        <v>0</v>
      </c>
      <c r="AT49" s="2027"/>
      <c r="AU49" s="2027"/>
      <c r="AV49" s="2027"/>
      <c r="AW49" s="2027">
        <f t="shared" si="25"/>
        <v>0</v>
      </c>
      <c r="AX49" s="2029"/>
      <c r="AY49" s="2029">
        <v>0</v>
      </c>
      <c r="AZ49" s="2029">
        <v>0</v>
      </c>
      <c r="BA49" s="2029">
        <v>0</v>
      </c>
      <c r="BB49" s="1974"/>
      <c r="BC49" s="2029">
        <v>0</v>
      </c>
      <c r="BD49" s="2029">
        <v>0</v>
      </c>
      <c r="BE49" s="2029">
        <v>0</v>
      </c>
      <c r="BF49" s="2029"/>
      <c r="BG49" s="2029">
        <v>0</v>
      </c>
      <c r="BH49" s="2029">
        <v>0</v>
      </c>
      <c r="BI49" s="2029">
        <v>0</v>
      </c>
      <c r="BJ49" s="2030">
        <f t="shared" si="30"/>
        <v>0</v>
      </c>
      <c r="BK49" s="2030">
        <f t="shared" si="30"/>
        <v>0</v>
      </c>
      <c r="BL49" s="2030">
        <f t="shared" si="30"/>
        <v>0</v>
      </c>
      <c r="BM49" s="2030"/>
      <c r="BN49" s="2030">
        <f t="shared" si="9"/>
        <v>0</v>
      </c>
      <c r="BO49" s="2030">
        <f t="shared" si="10"/>
        <v>0</v>
      </c>
      <c r="BP49" s="2030"/>
      <c r="BQ49" s="2030">
        <f t="shared" si="31"/>
        <v>0</v>
      </c>
      <c r="BR49" s="2030">
        <f t="shared" si="31"/>
        <v>0</v>
      </c>
      <c r="BS49" s="2030">
        <f t="shared" si="31"/>
        <v>0</v>
      </c>
      <c r="BT49" s="2031"/>
      <c r="BU49" s="2031"/>
      <c r="BV49" s="2031"/>
      <c r="BW49" s="2031"/>
      <c r="BX49" s="2031"/>
      <c r="BY49" s="2031"/>
      <c r="BZ49" s="2031"/>
      <c r="CA49" s="2031"/>
      <c r="CB49" s="2029"/>
      <c r="CC49" s="2029"/>
      <c r="CD49" s="2029"/>
      <c r="CE49" s="2029"/>
      <c r="CF49" s="2029"/>
      <c r="CG49" s="2032"/>
      <c r="CH49" s="1974"/>
      <c r="CI49" s="1974"/>
      <c r="CJ49" s="1974"/>
      <c r="CK49" s="1974"/>
      <c r="CL49" s="1974"/>
      <c r="CM49" s="2033">
        <v>0</v>
      </c>
      <c r="CN49" s="2026">
        <v>0</v>
      </c>
      <c r="CO49" s="1974"/>
      <c r="CP49" s="2040">
        <v>0</v>
      </c>
      <c r="CQ49" s="2040"/>
      <c r="CR49" s="2062">
        <v>1</v>
      </c>
      <c r="CS49" s="2062">
        <v>1</v>
      </c>
      <c r="CT49" s="2062">
        <v>1</v>
      </c>
      <c r="CU49" s="2062">
        <v>1</v>
      </c>
      <c r="CV49" s="2036"/>
      <c r="CW49" s="2036"/>
      <c r="CX49" s="2036"/>
      <c r="CY49" s="2049"/>
      <c r="CZ49" s="2049"/>
      <c r="DA49" s="2049"/>
    </row>
    <row r="50" spans="1:105" x14ac:dyDescent="0.25">
      <c r="A50" s="2185" t="s">
        <v>109</v>
      </c>
      <c r="B50" s="2022" t="s">
        <v>2904</v>
      </c>
      <c r="C50" s="2023">
        <v>12</v>
      </c>
      <c r="D50" s="2023">
        <v>0</v>
      </c>
      <c r="E50" s="2024">
        <v>3871.6500000000005</v>
      </c>
      <c r="F50" s="2024"/>
      <c r="G50" s="2024">
        <v>0.41412511986301376</v>
      </c>
      <c r="H50" s="2024"/>
      <c r="I50" s="2023">
        <v>0</v>
      </c>
      <c r="J50" s="2027"/>
      <c r="K50" s="2026" t="s">
        <v>2899</v>
      </c>
      <c r="L50" s="2026" t="s">
        <v>2899</v>
      </c>
      <c r="M50" s="2026">
        <v>0.84899999999999998</v>
      </c>
      <c r="N50" s="2026">
        <v>0.84899999999999998</v>
      </c>
      <c r="O50" s="2026">
        <v>0.84899999999999998</v>
      </c>
      <c r="P50" s="2026">
        <v>0.84899999999999998</v>
      </c>
      <c r="Q50" s="2027">
        <f t="shared" si="15"/>
        <v>3287.0308500000006</v>
      </c>
      <c r="R50" s="2027">
        <f t="shared" si="15"/>
        <v>3287.0308500000006</v>
      </c>
      <c r="S50" s="2027">
        <f t="shared" si="15"/>
        <v>3287.0308500000006</v>
      </c>
      <c r="T50" s="2027">
        <f t="shared" si="15"/>
        <v>3287.0308500000006</v>
      </c>
      <c r="U50" s="2026">
        <v>0.84899999999999998</v>
      </c>
      <c r="V50" s="2026">
        <v>0.84899999999999998</v>
      </c>
      <c r="W50" s="2026">
        <v>0.84899999999999998</v>
      </c>
      <c r="X50" s="2026">
        <v>0.84899999999999998</v>
      </c>
      <c r="Y50" s="2028">
        <f t="shared" si="16"/>
        <v>0.35159222676369867</v>
      </c>
      <c r="Z50" s="2028">
        <f t="shared" si="16"/>
        <v>0.35159222676369867</v>
      </c>
      <c r="AA50" s="2028">
        <f t="shared" si="16"/>
        <v>0.35159222676369867</v>
      </c>
      <c r="AB50" s="2028">
        <f t="shared" si="16"/>
        <v>0.35159222676369867</v>
      </c>
      <c r="AC50" s="2026">
        <v>0.67500000000000004</v>
      </c>
      <c r="AD50" s="2026">
        <v>0.67500000000000004</v>
      </c>
      <c r="AE50" s="2026">
        <v>0.67500000000000004</v>
      </c>
      <c r="AF50" s="2026">
        <v>0.67500000000000004</v>
      </c>
      <c r="AG50" s="2027">
        <f t="shared" si="24"/>
        <v>0</v>
      </c>
      <c r="AH50" s="2027">
        <f t="shared" si="24"/>
        <v>0</v>
      </c>
      <c r="AI50" s="2027">
        <f t="shared" si="24"/>
        <v>0</v>
      </c>
      <c r="AJ50" s="2027">
        <f t="shared" si="24"/>
        <v>0</v>
      </c>
      <c r="AK50" s="2027">
        <v>5</v>
      </c>
      <c r="AL50" s="2027">
        <v>5</v>
      </c>
      <c r="AM50" s="2027">
        <v>5</v>
      </c>
      <c r="AN50" s="2027">
        <v>6</v>
      </c>
      <c r="AO50" s="2027">
        <f t="shared" ref="AO50:AO75" si="32">AK50*Q50</f>
        <v>16435.154250000003</v>
      </c>
      <c r="AP50" s="2027">
        <f t="shared" si="29"/>
        <v>16435.154250000003</v>
      </c>
      <c r="AQ50" s="2027">
        <f t="shared" si="29"/>
        <v>16435.154250000003</v>
      </c>
      <c r="AR50" s="2027"/>
      <c r="AS50" s="2027">
        <f t="shared" si="5"/>
        <v>19722.185100000002</v>
      </c>
      <c r="AT50" s="2027">
        <f t="shared" ref="AT50:AT75" si="33">AK50*AG50</f>
        <v>0</v>
      </c>
      <c r="AU50" s="2027">
        <f t="shared" ref="AU50:AV75" si="34">AL50*AH50*CS50</f>
        <v>0</v>
      </c>
      <c r="AV50" s="2027">
        <f t="shared" si="34"/>
        <v>0</v>
      </c>
      <c r="AW50" s="2027">
        <f t="shared" si="25"/>
        <v>0</v>
      </c>
      <c r="AX50" s="2029">
        <v>100</v>
      </c>
      <c r="AY50" s="2029">
        <v>100</v>
      </c>
      <c r="AZ50" s="2029">
        <v>100</v>
      </c>
      <c r="BA50" s="2029">
        <v>100</v>
      </c>
      <c r="BB50" s="1974"/>
      <c r="BC50" s="2029">
        <v>0</v>
      </c>
      <c r="BD50" s="2029">
        <v>0</v>
      </c>
      <c r="BE50" s="2029">
        <v>0</v>
      </c>
      <c r="BF50" s="2029">
        <v>166</v>
      </c>
      <c r="BG50" s="2029">
        <v>166</v>
      </c>
      <c r="BH50" s="2029">
        <v>166</v>
      </c>
      <c r="BI50" s="2029">
        <v>166</v>
      </c>
      <c r="BJ50" s="2030">
        <f t="shared" si="30"/>
        <v>500</v>
      </c>
      <c r="BK50" s="2030">
        <f t="shared" si="30"/>
        <v>500</v>
      </c>
      <c r="BL50" s="2030">
        <f t="shared" si="30"/>
        <v>500</v>
      </c>
      <c r="BM50" s="2030"/>
      <c r="BN50" s="2030">
        <f t="shared" si="9"/>
        <v>600</v>
      </c>
      <c r="BO50" s="2030">
        <f t="shared" si="10"/>
        <v>0</v>
      </c>
      <c r="BP50" s="2030"/>
      <c r="BQ50" s="2030">
        <f t="shared" si="31"/>
        <v>0</v>
      </c>
      <c r="BR50" s="2030">
        <f t="shared" si="31"/>
        <v>0</v>
      </c>
      <c r="BS50" s="2030">
        <f t="shared" si="31"/>
        <v>0</v>
      </c>
      <c r="BT50" s="2031"/>
      <c r="BU50" s="2031"/>
      <c r="BV50" s="2031"/>
      <c r="BW50" s="2031"/>
      <c r="BX50" s="2031"/>
      <c r="BY50" s="2031"/>
      <c r="BZ50" s="2031"/>
      <c r="CA50" s="2031"/>
      <c r="CB50" s="2029"/>
      <c r="CC50" s="2029"/>
      <c r="CD50" s="2029"/>
      <c r="CE50" s="2029"/>
      <c r="CF50" s="2029"/>
      <c r="CG50" s="2032"/>
      <c r="CH50" s="1974"/>
      <c r="CI50" s="1974"/>
      <c r="CJ50" s="1974"/>
      <c r="CK50" s="1974"/>
      <c r="CL50" s="1974">
        <v>0</v>
      </c>
      <c r="CM50" s="2033">
        <v>5.5049839911320535E-5</v>
      </c>
      <c r="CN50" s="2026">
        <v>0</v>
      </c>
      <c r="CO50" s="1974">
        <v>0</v>
      </c>
      <c r="CP50" s="2040">
        <v>0</v>
      </c>
      <c r="CQ50" s="2040"/>
      <c r="CR50" s="2062">
        <v>1</v>
      </c>
      <c r="CS50" s="2062">
        <v>1</v>
      </c>
      <c r="CT50" s="2062">
        <v>1</v>
      </c>
      <c r="CU50" s="2062">
        <v>1</v>
      </c>
      <c r="CV50" s="2036"/>
      <c r="CW50" s="2036"/>
      <c r="CX50" s="2036"/>
      <c r="CY50" s="2049"/>
      <c r="CZ50" s="2049"/>
      <c r="DA50" s="2049"/>
    </row>
    <row r="51" spans="1:105" x14ac:dyDescent="0.25">
      <c r="A51" s="2185" t="s">
        <v>110</v>
      </c>
      <c r="B51" s="2022" t="s">
        <v>2905</v>
      </c>
      <c r="C51" s="2023">
        <v>12</v>
      </c>
      <c r="D51" s="2023">
        <v>0</v>
      </c>
      <c r="E51" s="2024">
        <v>7341.5250000000005</v>
      </c>
      <c r="F51" s="2024"/>
      <c r="G51" s="2024">
        <v>0.78527499143835622</v>
      </c>
      <c r="H51" s="2024"/>
      <c r="I51" s="2023">
        <v>0</v>
      </c>
      <c r="J51" s="2027"/>
      <c r="K51" s="2026" t="s">
        <v>2899</v>
      </c>
      <c r="L51" s="2026" t="s">
        <v>2899</v>
      </c>
      <c r="M51" s="2026">
        <v>0.84899999999999998</v>
      </c>
      <c r="N51" s="2026">
        <v>0.84899999999999998</v>
      </c>
      <c r="O51" s="2026">
        <v>0.84899999999999998</v>
      </c>
      <c r="P51" s="2026">
        <v>0.84899999999999998</v>
      </c>
      <c r="Q51" s="2027">
        <f t="shared" si="15"/>
        <v>6232.9547250000005</v>
      </c>
      <c r="R51" s="2027">
        <f t="shared" si="15"/>
        <v>6232.9547250000005</v>
      </c>
      <c r="S51" s="2027">
        <f t="shared" si="15"/>
        <v>6232.9547250000005</v>
      </c>
      <c r="T51" s="2027">
        <f t="shared" si="15"/>
        <v>6232.9547250000005</v>
      </c>
      <c r="U51" s="2026">
        <v>0.84899999999999998</v>
      </c>
      <c r="V51" s="2026">
        <v>0.84899999999999998</v>
      </c>
      <c r="W51" s="2026">
        <v>0.84899999999999998</v>
      </c>
      <c r="X51" s="2026">
        <v>0.84899999999999998</v>
      </c>
      <c r="Y51" s="2028">
        <f t="shared" si="16"/>
        <v>0.66669846773116437</v>
      </c>
      <c r="Z51" s="2028">
        <f t="shared" si="16"/>
        <v>0.66669846773116437</v>
      </c>
      <c r="AA51" s="2028">
        <f t="shared" si="16"/>
        <v>0.66669846773116437</v>
      </c>
      <c r="AB51" s="2028">
        <f t="shared" si="16"/>
        <v>0.66669846773116437</v>
      </c>
      <c r="AC51" s="2026">
        <v>0.67500000000000004</v>
      </c>
      <c r="AD51" s="2026">
        <v>0.67500000000000004</v>
      </c>
      <c r="AE51" s="2026">
        <v>0.67500000000000004</v>
      </c>
      <c r="AF51" s="2026">
        <v>0.67500000000000004</v>
      </c>
      <c r="AG51" s="2027">
        <f t="shared" si="24"/>
        <v>0</v>
      </c>
      <c r="AH51" s="2027">
        <f t="shared" si="24"/>
        <v>0</v>
      </c>
      <c r="AI51" s="2027">
        <f t="shared" si="24"/>
        <v>0</v>
      </c>
      <c r="AJ51" s="2027">
        <f t="shared" si="24"/>
        <v>0</v>
      </c>
      <c r="AK51" s="2027">
        <v>5</v>
      </c>
      <c r="AL51" s="2027">
        <v>5</v>
      </c>
      <c r="AM51" s="2027">
        <v>5</v>
      </c>
      <c r="AN51" s="2027">
        <v>6</v>
      </c>
      <c r="AO51" s="2027">
        <f t="shared" si="32"/>
        <v>31164.773625000002</v>
      </c>
      <c r="AP51" s="2027">
        <f t="shared" si="29"/>
        <v>31164.773625000002</v>
      </c>
      <c r="AQ51" s="2027">
        <f t="shared" si="29"/>
        <v>31164.773625000002</v>
      </c>
      <c r="AR51" s="2027"/>
      <c r="AS51" s="2027">
        <f t="shared" si="5"/>
        <v>37397.728350000005</v>
      </c>
      <c r="AT51" s="2027">
        <f t="shared" si="33"/>
        <v>0</v>
      </c>
      <c r="AU51" s="2027">
        <f t="shared" si="34"/>
        <v>0</v>
      </c>
      <c r="AV51" s="2027">
        <f t="shared" si="34"/>
        <v>0</v>
      </c>
      <c r="AW51" s="2027">
        <f t="shared" si="25"/>
        <v>0</v>
      </c>
      <c r="AX51" s="2029">
        <v>200</v>
      </c>
      <c r="AY51" s="2029">
        <v>200</v>
      </c>
      <c r="AZ51" s="2029">
        <v>200</v>
      </c>
      <c r="BA51" s="2029">
        <v>200</v>
      </c>
      <c r="BB51" s="1974"/>
      <c r="BC51" s="2029">
        <v>0</v>
      </c>
      <c r="BD51" s="2029">
        <v>0</v>
      </c>
      <c r="BE51" s="2029">
        <v>0</v>
      </c>
      <c r="BF51" s="2029">
        <v>407</v>
      </c>
      <c r="BG51" s="2029">
        <v>407</v>
      </c>
      <c r="BH51" s="2029">
        <v>407</v>
      </c>
      <c r="BI51" s="2029">
        <v>407</v>
      </c>
      <c r="BJ51" s="2030">
        <f t="shared" si="30"/>
        <v>1000</v>
      </c>
      <c r="BK51" s="2030">
        <f t="shared" si="30"/>
        <v>1000</v>
      </c>
      <c r="BL51" s="2030">
        <f t="shared" si="30"/>
        <v>1000</v>
      </c>
      <c r="BM51" s="2030"/>
      <c r="BN51" s="2030">
        <f t="shared" si="9"/>
        <v>1200</v>
      </c>
      <c r="BO51" s="2030">
        <f t="shared" si="10"/>
        <v>0</v>
      </c>
      <c r="BP51" s="2030"/>
      <c r="BQ51" s="2030">
        <f t="shared" si="31"/>
        <v>0</v>
      </c>
      <c r="BR51" s="2030">
        <f t="shared" si="31"/>
        <v>0</v>
      </c>
      <c r="BS51" s="2030">
        <f t="shared" si="31"/>
        <v>0</v>
      </c>
      <c r="BT51" s="2031"/>
      <c r="BU51" s="2031"/>
      <c r="BV51" s="2031"/>
      <c r="BW51" s="2031"/>
      <c r="BX51" s="2031"/>
      <c r="BY51" s="2031"/>
      <c r="BZ51" s="2031"/>
      <c r="CA51" s="2031"/>
      <c r="CB51" s="2029"/>
      <c r="CC51" s="2029"/>
      <c r="CD51" s="2029"/>
      <c r="CE51" s="2029"/>
      <c r="CF51" s="2029"/>
      <c r="CG51" s="2032"/>
      <c r="CH51" s="1974"/>
      <c r="CI51" s="1974"/>
      <c r="CJ51" s="1974"/>
      <c r="CK51" s="1974"/>
      <c r="CL51" s="1974">
        <v>0</v>
      </c>
      <c r="CM51" s="2033">
        <v>1.0438696058656063E-4</v>
      </c>
      <c r="CN51" s="2026">
        <v>0</v>
      </c>
      <c r="CO51" s="1974">
        <v>0</v>
      </c>
      <c r="CP51" s="2040">
        <v>0</v>
      </c>
      <c r="CQ51" s="2040"/>
      <c r="CR51" s="2062">
        <v>1</v>
      </c>
      <c r="CS51" s="2062">
        <v>1</v>
      </c>
      <c r="CT51" s="2062">
        <v>1</v>
      </c>
      <c r="CU51" s="2062">
        <v>1</v>
      </c>
      <c r="CV51" s="2036"/>
      <c r="CW51" s="2036"/>
      <c r="CX51" s="2036"/>
      <c r="CY51" s="2049"/>
      <c r="CZ51" s="2049"/>
      <c r="DA51" s="2049"/>
    </row>
    <row r="52" spans="1:105" x14ac:dyDescent="0.25">
      <c r="A52" s="2185" t="s">
        <v>111</v>
      </c>
      <c r="B52" s="2022" t="s">
        <v>2906</v>
      </c>
      <c r="C52" s="2543">
        <v>10</v>
      </c>
      <c r="D52" s="2023">
        <v>0</v>
      </c>
      <c r="E52" s="2024">
        <v>2709.2003718384003</v>
      </c>
      <c r="F52" s="2024"/>
      <c r="G52" s="2024">
        <v>0</v>
      </c>
      <c r="H52" s="2024"/>
      <c r="I52" s="2023">
        <v>0</v>
      </c>
      <c r="J52" s="2027"/>
      <c r="K52" s="2026" t="s">
        <v>2899</v>
      </c>
      <c r="L52" s="2026" t="s">
        <v>2899</v>
      </c>
      <c r="M52" s="2026">
        <v>0.84899999999999998</v>
      </c>
      <c r="N52" s="2026">
        <v>0.84899999999999998</v>
      </c>
      <c r="O52" s="2026">
        <v>0.84899999999999998</v>
      </c>
      <c r="P52" s="2026">
        <v>0.84899999999999998</v>
      </c>
      <c r="Q52" s="2027">
        <f t="shared" si="15"/>
        <v>2300.1111156908019</v>
      </c>
      <c r="R52" s="2027">
        <f t="shared" si="15"/>
        <v>2300.1111156908019</v>
      </c>
      <c r="S52" s="2027">
        <f t="shared" si="15"/>
        <v>2300.1111156908019</v>
      </c>
      <c r="T52" s="2027">
        <f t="shared" si="15"/>
        <v>2300.1111156908019</v>
      </c>
      <c r="U52" s="2026">
        <v>0.84899999999999998</v>
      </c>
      <c r="V52" s="2026">
        <v>0.84899999999999998</v>
      </c>
      <c r="W52" s="2026">
        <v>0.84899999999999998</v>
      </c>
      <c r="X52" s="2026">
        <v>0.84899999999999998</v>
      </c>
      <c r="Y52" s="2028">
        <f t="shared" si="16"/>
        <v>0</v>
      </c>
      <c r="Z52" s="2028">
        <f t="shared" si="16"/>
        <v>0</v>
      </c>
      <c r="AA52" s="2028">
        <f t="shared" si="16"/>
        <v>0</v>
      </c>
      <c r="AB52" s="2028">
        <f t="shared" si="16"/>
        <v>0</v>
      </c>
      <c r="AC52" s="2026">
        <v>0.67500000000000004</v>
      </c>
      <c r="AD52" s="2026">
        <v>0.67500000000000004</v>
      </c>
      <c r="AE52" s="2026">
        <v>0.67500000000000004</v>
      </c>
      <c r="AF52" s="2026">
        <v>0.67500000000000004</v>
      </c>
      <c r="AG52" s="2027">
        <f t="shared" si="24"/>
        <v>0</v>
      </c>
      <c r="AH52" s="2027">
        <f t="shared" si="24"/>
        <v>0</v>
      </c>
      <c r="AI52" s="2027">
        <f t="shared" si="24"/>
        <v>0</v>
      </c>
      <c r="AJ52" s="2027">
        <f t="shared" si="24"/>
        <v>0</v>
      </c>
      <c r="AK52" s="2027">
        <v>5</v>
      </c>
      <c r="AL52" s="2027">
        <v>6</v>
      </c>
      <c r="AM52" s="2027">
        <v>6</v>
      </c>
      <c r="AN52" s="2027">
        <v>6</v>
      </c>
      <c r="AO52" s="2027">
        <f t="shared" si="32"/>
        <v>11500.555578454008</v>
      </c>
      <c r="AP52" s="2027">
        <f t="shared" si="29"/>
        <v>13800.666694144811</v>
      </c>
      <c r="AQ52" s="2027">
        <f t="shared" si="29"/>
        <v>13800.666694144811</v>
      </c>
      <c r="AR52" s="2027"/>
      <c r="AS52" s="2027">
        <f t="shared" si="5"/>
        <v>13800.666694144811</v>
      </c>
      <c r="AT52" s="2027">
        <f t="shared" si="33"/>
        <v>0</v>
      </c>
      <c r="AU52" s="2027">
        <f t="shared" si="34"/>
        <v>0</v>
      </c>
      <c r="AV52" s="2027">
        <f t="shared" si="34"/>
        <v>0</v>
      </c>
      <c r="AW52" s="2027">
        <f t="shared" si="25"/>
        <v>0</v>
      </c>
      <c r="AX52" s="2029">
        <v>80</v>
      </c>
      <c r="AY52" s="2029">
        <v>80</v>
      </c>
      <c r="AZ52" s="2029">
        <v>80</v>
      </c>
      <c r="BA52" s="2029">
        <v>80</v>
      </c>
      <c r="BB52" s="1974"/>
      <c r="BC52" s="2029">
        <v>0</v>
      </c>
      <c r="BD52" s="2029">
        <v>0</v>
      </c>
      <c r="BE52" s="2029">
        <v>0</v>
      </c>
      <c r="BF52" s="2029">
        <v>250</v>
      </c>
      <c r="BG52" s="2029">
        <v>250</v>
      </c>
      <c r="BH52" s="2029">
        <v>250</v>
      </c>
      <c r="BI52" s="2029">
        <v>250</v>
      </c>
      <c r="BJ52" s="2030">
        <f t="shared" si="30"/>
        <v>400</v>
      </c>
      <c r="BK52" s="2030">
        <f t="shared" si="30"/>
        <v>480</v>
      </c>
      <c r="BL52" s="2030">
        <f t="shared" si="30"/>
        <v>480</v>
      </c>
      <c r="BM52" s="2030"/>
      <c r="BN52" s="2030">
        <f t="shared" si="9"/>
        <v>480</v>
      </c>
      <c r="BO52" s="2030">
        <f t="shared" si="10"/>
        <v>0</v>
      </c>
      <c r="BP52" s="2030"/>
      <c r="BQ52" s="2030">
        <f t="shared" si="31"/>
        <v>0</v>
      </c>
      <c r="BR52" s="2030">
        <f t="shared" si="31"/>
        <v>0</v>
      </c>
      <c r="BS52" s="2030">
        <f t="shared" si="31"/>
        <v>0</v>
      </c>
      <c r="BT52" s="2031"/>
      <c r="BU52" s="2031"/>
      <c r="BV52" s="2031"/>
      <c r="BW52" s="2031"/>
      <c r="BX52" s="2031"/>
      <c r="BY52" s="2031"/>
      <c r="BZ52" s="2031"/>
      <c r="CA52" s="2031"/>
      <c r="CB52" s="2029"/>
      <c r="CC52" s="2029"/>
      <c r="CD52" s="2029"/>
      <c r="CE52" s="2029"/>
      <c r="CF52" s="2029"/>
      <c r="CG52" s="2032"/>
      <c r="CH52" s="1974"/>
      <c r="CI52" s="1974"/>
      <c r="CJ52" s="1974"/>
      <c r="CK52" s="1974"/>
      <c r="CL52" s="1974">
        <v>0</v>
      </c>
      <c r="CM52" s="2033">
        <v>3.8521314364003456E-5</v>
      </c>
      <c r="CN52" s="2026">
        <v>0</v>
      </c>
      <c r="CO52" s="1974">
        <v>0</v>
      </c>
      <c r="CP52" s="2040">
        <v>0</v>
      </c>
      <c r="CQ52" s="2040"/>
      <c r="CR52" s="2062">
        <v>1</v>
      </c>
      <c r="CS52" s="2062">
        <v>1</v>
      </c>
      <c r="CT52" s="2062">
        <v>1</v>
      </c>
      <c r="CU52" s="2062">
        <v>1</v>
      </c>
      <c r="CV52" s="2036"/>
      <c r="CW52" s="2036"/>
      <c r="CX52" s="2036"/>
      <c r="CY52" s="2049"/>
      <c r="CZ52" s="2049"/>
      <c r="DA52" s="2049"/>
    </row>
    <row r="53" spans="1:105" x14ac:dyDescent="0.25">
      <c r="A53" s="2185" t="s">
        <v>112</v>
      </c>
      <c r="B53" s="2022" t="s">
        <v>2907</v>
      </c>
      <c r="C53" s="2543">
        <v>10</v>
      </c>
      <c r="D53" s="2023">
        <v>0</v>
      </c>
      <c r="E53" s="2024">
        <v>1278.1885859028002</v>
      </c>
      <c r="F53" s="2024"/>
      <c r="G53" s="2024">
        <v>0</v>
      </c>
      <c r="H53" s="2024"/>
      <c r="I53" s="2023">
        <v>0</v>
      </c>
      <c r="J53" s="2027"/>
      <c r="K53" s="2026" t="s">
        <v>2899</v>
      </c>
      <c r="L53" s="2026" t="s">
        <v>2899</v>
      </c>
      <c r="M53" s="2026">
        <v>0.84899999999999998</v>
      </c>
      <c r="N53" s="2026">
        <v>0.84899999999999998</v>
      </c>
      <c r="O53" s="2026">
        <v>0.84899999999999998</v>
      </c>
      <c r="P53" s="2026">
        <v>0.84899999999999998</v>
      </c>
      <c r="Q53" s="2027">
        <f t="shared" si="15"/>
        <v>1085.1821094314773</v>
      </c>
      <c r="R53" s="2027">
        <f t="shared" si="15"/>
        <v>1085.1821094314773</v>
      </c>
      <c r="S53" s="2027">
        <f t="shared" si="15"/>
        <v>1085.1821094314773</v>
      </c>
      <c r="T53" s="2027">
        <f t="shared" si="15"/>
        <v>1085.1821094314773</v>
      </c>
      <c r="U53" s="2026">
        <v>0.84899999999999998</v>
      </c>
      <c r="V53" s="2026">
        <v>0.84899999999999998</v>
      </c>
      <c r="W53" s="2026">
        <v>0.84899999999999998</v>
      </c>
      <c r="X53" s="2026">
        <v>0.84899999999999998</v>
      </c>
      <c r="Y53" s="2028">
        <f t="shared" si="16"/>
        <v>0</v>
      </c>
      <c r="Z53" s="2028">
        <f t="shared" si="16"/>
        <v>0</v>
      </c>
      <c r="AA53" s="2028">
        <f t="shared" si="16"/>
        <v>0</v>
      </c>
      <c r="AB53" s="2028">
        <f t="shared" si="16"/>
        <v>0</v>
      </c>
      <c r="AC53" s="2026">
        <v>0.67500000000000004</v>
      </c>
      <c r="AD53" s="2026">
        <v>0.67500000000000004</v>
      </c>
      <c r="AE53" s="2026">
        <v>0.67500000000000004</v>
      </c>
      <c r="AF53" s="2026">
        <v>0.67500000000000004</v>
      </c>
      <c r="AG53" s="2027">
        <f t="shared" si="24"/>
        <v>0</v>
      </c>
      <c r="AH53" s="2027">
        <f t="shared" si="24"/>
        <v>0</v>
      </c>
      <c r="AI53" s="2027">
        <f t="shared" si="24"/>
        <v>0</v>
      </c>
      <c r="AJ53" s="2027">
        <f t="shared" si="24"/>
        <v>0</v>
      </c>
      <c r="AK53" s="2027">
        <v>5</v>
      </c>
      <c r="AL53" s="2027">
        <v>7</v>
      </c>
      <c r="AM53" s="2027">
        <v>7</v>
      </c>
      <c r="AN53" s="2027">
        <v>6</v>
      </c>
      <c r="AO53" s="2027">
        <f t="shared" si="32"/>
        <v>5425.9105471573866</v>
      </c>
      <c r="AP53" s="2027">
        <f t="shared" si="29"/>
        <v>7596.2747660203413</v>
      </c>
      <c r="AQ53" s="2027">
        <f t="shared" si="29"/>
        <v>7596.2747660203413</v>
      </c>
      <c r="AR53" s="2027"/>
      <c r="AS53" s="2027">
        <f t="shared" si="5"/>
        <v>6511.092656588864</v>
      </c>
      <c r="AT53" s="2027">
        <f t="shared" si="33"/>
        <v>0</v>
      </c>
      <c r="AU53" s="2027">
        <f t="shared" si="34"/>
        <v>0</v>
      </c>
      <c r="AV53" s="2027">
        <f t="shared" si="34"/>
        <v>0</v>
      </c>
      <c r="AW53" s="2027">
        <f t="shared" si="25"/>
        <v>0</v>
      </c>
      <c r="AX53" s="2029">
        <v>80</v>
      </c>
      <c r="AY53" s="2029">
        <v>80</v>
      </c>
      <c r="AZ53" s="2029">
        <v>80</v>
      </c>
      <c r="BA53" s="2029">
        <v>80</v>
      </c>
      <c r="BB53" s="1974"/>
      <c r="BC53" s="2029">
        <v>0</v>
      </c>
      <c r="BD53" s="2029">
        <v>0</v>
      </c>
      <c r="BE53" s="2029">
        <v>0</v>
      </c>
      <c r="BF53" s="2029">
        <v>250</v>
      </c>
      <c r="BG53" s="2029">
        <v>250</v>
      </c>
      <c r="BH53" s="2029">
        <v>250</v>
      </c>
      <c r="BI53" s="2029">
        <v>250</v>
      </c>
      <c r="BJ53" s="2030">
        <f t="shared" si="30"/>
        <v>400</v>
      </c>
      <c r="BK53" s="2030">
        <f t="shared" si="30"/>
        <v>560</v>
      </c>
      <c r="BL53" s="2030">
        <f t="shared" si="30"/>
        <v>560</v>
      </c>
      <c r="BM53" s="2030"/>
      <c r="BN53" s="2030">
        <f t="shared" si="9"/>
        <v>480</v>
      </c>
      <c r="BO53" s="2030">
        <f t="shared" si="10"/>
        <v>0</v>
      </c>
      <c r="BP53" s="2030"/>
      <c r="BQ53" s="2030">
        <f t="shared" si="31"/>
        <v>0</v>
      </c>
      <c r="BR53" s="2030">
        <f t="shared" si="31"/>
        <v>0</v>
      </c>
      <c r="BS53" s="2030">
        <f t="shared" si="31"/>
        <v>0</v>
      </c>
      <c r="BT53" s="2031"/>
      <c r="BU53" s="2031"/>
      <c r="BV53" s="2031"/>
      <c r="BW53" s="2031"/>
      <c r="BX53" s="2031"/>
      <c r="BY53" s="2031"/>
      <c r="BZ53" s="2031"/>
      <c r="CA53" s="2031"/>
      <c r="CB53" s="2029"/>
      <c r="CC53" s="2029"/>
      <c r="CD53" s="2029"/>
      <c r="CE53" s="2029"/>
      <c r="CF53" s="2029"/>
      <c r="CG53" s="2032"/>
      <c r="CH53" s="1974"/>
      <c r="CI53" s="1974"/>
      <c r="CJ53" s="1974"/>
      <c r="CK53" s="1974"/>
      <c r="CL53" s="1974">
        <v>0</v>
      </c>
      <c r="CM53" s="2033">
        <v>1.8174183366375139E-5</v>
      </c>
      <c r="CN53" s="2026">
        <v>0</v>
      </c>
      <c r="CO53" s="1974">
        <v>0</v>
      </c>
      <c r="CP53" s="2040">
        <v>0</v>
      </c>
      <c r="CQ53" s="2040"/>
      <c r="CR53" s="2062">
        <v>1</v>
      </c>
      <c r="CS53" s="2062">
        <v>1</v>
      </c>
      <c r="CT53" s="2062">
        <v>1</v>
      </c>
      <c r="CU53" s="2062">
        <v>1</v>
      </c>
      <c r="CV53" s="2036"/>
      <c r="CW53" s="2036"/>
      <c r="CX53" s="2036"/>
      <c r="CY53" s="2049"/>
      <c r="CZ53" s="2049"/>
      <c r="DA53" s="2049"/>
    </row>
    <row r="54" spans="1:105" x14ac:dyDescent="0.25">
      <c r="A54" s="2185" t="s">
        <v>113</v>
      </c>
      <c r="B54" s="2022" t="s">
        <v>2908</v>
      </c>
      <c r="C54" s="2543">
        <v>15</v>
      </c>
      <c r="D54" s="2023">
        <v>0</v>
      </c>
      <c r="E54" s="2024">
        <v>478</v>
      </c>
      <c r="F54" s="2024"/>
      <c r="G54" s="2024">
        <v>0.06</v>
      </c>
      <c r="H54" s="2024"/>
      <c r="I54" s="2023">
        <v>0</v>
      </c>
      <c r="J54" s="2027"/>
      <c r="K54" s="2026" t="s">
        <v>2899</v>
      </c>
      <c r="L54" s="2026" t="s">
        <v>2899</v>
      </c>
      <c r="M54" s="2026">
        <v>0.84899999999999998</v>
      </c>
      <c r="N54" s="2026">
        <v>0.84899999999999998</v>
      </c>
      <c r="O54" s="2026">
        <v>0.84899999999999998</v>
      </c>
      <c r="P54" s="2026">
        <v>0.84899999999999998</v>
      </c>
      <c r="Q54" s="2027">
        <f t="shared" si="15"/>
        <v>405.822</v>
      </c>
      <c r="R54" s="2027">
        <f t="shared" si="15"/>
        <v>405.822</v>
      </c>
      <c r="S54" s="2027">
        <f t="shared" si="15"/>
        <v>405.822</v>
      </c>
      <c r="T54" s="2027">
        <f t="shared" si="15"/>
        <v>405.822</v>
      </c>
      <c r="U54" s="2026">
        <v>0.84899999999999998</v>
      </c>
      <c r="V54" s="2026">
        <v>0.84899999999999998</v>
      </c>
      <c r="W54" s="2026">
        <v>0.84899999999999998</v>
      </c>
      <c r="X54" s="2026">
        <v>0.84899999999999998</v>
      </c>
      <c r="Y54" s="2028">
        <f t="shared" si="16"/>
        <v>5.0939999999999999E-2</v>
      </c>
      <c r="Z54" s="2028">
        <f t="shared" si="16"/>
        <v>5.0939999999999999E-2</v>
      </c>
      <c r="AA54" s="2028">
        <f t="shared" si="16"/>
        <v>5.0939999999999999E-2</v>
      </c>
      <c r="AB54" s="2028">
        <f t="shared" si="16"/>
        <v>5.0939999999999999E-2</v>
      </c>
      <c r="AC54" s="2026">
        <v>0.67500000000000004</v>
      </c>
      <c r="AD54" s="2026">
        <v>0.67500000000000004</v>
      </c>
      <c r="AE54" s="2026">
        <v>0.67500000000000004</v>
      </c>
      <c r="AF54" s="2026">
        <v>0.67500000000000004</v>
      </c>
      <c r="AG54" s="2027">
        <f t="shared" si="24"/>
        <v>0</v>
      </c>
      <c r="AH54" s="2027">
        <f t="shared" si="24"/>
        <v>0</v>
      </c>
      <c r="AI54" s="2027">
        <f t="shared" si="24"/>
        <v>0</v>
      </c>
      <c r="AJ54" s="2027">
        <f t="shared" si="24"/>
        <v>0</v>
      </c>
      <c r="AK54" s="2027">
        <v>14</v>
      </c>
      <c r="AL54" s="2027">
        <v>15</v>
      </c>
      <c r="AM54" s="2027">
        <v>16</v>
      </c>
      <c r="AN54" s="2027">
        <v>16</v>
      </c>
      <c r="AO54" s="2027">
        <f t="shared" si="32"/>
        <v>5681.5079999999998</v>
      </c>
      <c r="AP54" s="2027">
        <f t="shared" si="29"/>
        <v>6087.33</v>
      </c>
      <c r="AQ54" s="2027">
        <f t="shared" si="29"/>
        <v>6493.152</v>
      </c>
      <c r="AR54" s="2027"/>
      <c r="AS54" s="2027">
        <f t="shared" si="5"/>
        <v>6493.152</v>
      </c>
      <c r="AT54" s="2027">
        <f t="shared" si="33"/>
        <v>0</v>
      </c>
      <c r="AU54" s="2027">
        <f t="shared" si="34"/>
        <v>0</v>
      </c>
      <c r="AV54" s="2027">
        <f t="shared" si="34"/>
        <v>0</v>
      </c>
      <c r="AW54" s="2027">
        <f t="shared" si="25"/>
        <v>0</v>
      </c>
      <c r="AX54" s="2029">
        <v>60</v>
      </c>
      <c r="AY54" s="2029">
        <v>60</v>
      </c>
      <c r="AZ54" s="2029">
        <v>60</v>
      </c>
      <c r="BA54" s="2029">
        <v>60</v>
      </c>
      <c r="BB54" s="1974"/>
      <c r="BC54" s="2029">
        <v>0</v>
      </c>
      <c r="BD54" s="2029">
        <v>0</v>
      </c>
      <c r="BE54" s="2029">
        <v>0</v>
      </c>
      <c r="BF54" s="2029">
        <v>291</v>
      </c>
      <c r="BG54" s="2029">
        <v>291</v>
      </c>
      <c r="BH54" s="2029">
        <v>291</v>
      </c>
      <c r="BI54" s="2029">
        <v>291</v>
      </c>
      <c r="BJ54" s="2030">
        <f t="shared" si="30"/>
        <v>840</v>
      </c>
      <c r="BK54" s="2030">
        <f t="shared" si="30"/>
        <v>900</v>
      </c>
      <c r="BL54" s="2030">
        <f t="shared" si="30"/>
        <v>960</v>
      </c>
      <c r="BM54" s="2030"/>
      <c r="BN54" s="2030">
        <f t="shared" si="9"/>
        <v>960</v>
      </c>
      <c r="BO54" s="2030">
        <f t="shared" si="10"/>
        <v>0</v>
      </c>
      <c r="BP54" s="2030"/>
      <c r="BQ54" s="2030">
        <f t="shared" si="31"/>
        <v>0</v>
      </c>
      <c r="BR54" s="2030">
        <f t="shared" si="31"/>
        <v>0</v>
      </c>
      <c r="BS54" s="2030">
        <f t="shared" si="31"/>
        <v>0</v>
      </c>
      <c r="BT54" s="2031"/>
      <c r="BU54" s="2031"/>
      <c r="BV54" s="2031"/>
      <c r="BW54" s="2031"/>
      <c r="BX54" s="2031"/>
      <c r="BY54" s="2031"/>
      <c r="BZ54" s="2031"/>
      <c r="CA54" s="2031"/>
      <c r="CB54" s="2029"/>
      <c r="CC54" s="2029"/>
      <c r="CD54" s="2029"/>
      <c r="CE54" s="2029"/>
      <c r="CF54" s="2029"/>
      <c r="CG54" s="2032"/>
      <c r="CH54" s="1974"/>
      <c r="CI54" s="1974"/>
      <c r="CJ54" s="1974"/>
      <c r="CK54" s="1974"/>
      <c r="CL54" s="1974">
        <v>0</v>
      </c>
      <c r="CM54" s="2033">
        <v>2.0389619524707459E-5</v>
      </c>
      <c r="CN54" s="2026">
        <v>0</v>
      </c>
      <c r="CO54" s="1974">
        <v>0</v>
      </c>
      <c r="CP54" s="2040">
        <v>0</v>
      </c>
      <c r="CQ54" s="2040"/>
      <c r="CR54" s="2062">
        <v>1</v>
      </c>
      <c r="CS54" s="2062">
        <v>1</v>
      </c>
      <c r="CT54" s="2062">
        <v>1</v>
      </c>
      <c r="CU54" s="2062">
        <v>1</v>
      </c>
      <c r="CV54" s="2036"/>
      <c r="CW54" s="2036"/>
      <c r="CX54" s="2036"/>
      <c r="CY54" s="2049"/>
      <c r="CZ54" s="2049"/>
      <c r="DA54" s="2049"/>
    </row>
    <row r="55" spans="1:105" x14ac:dyDescent="0.25">
      <c r="A55" s="2185" t="s">
        <v>114</v>
      </c>
      <c r="B55" s="2022" t="s">
        <v>2909</v>
      </c>
      <c r="C55" s="2023">
        <v>12</v>
      </c>
      <c r="D55" s="2023">
        <v>0</v>
      </c>
      <c r="E55" s="2024">
        <v>269.89999999999998</v>
      </c>
      <c r="F55" s="2024"/>
      <c r="G55" s="2024">
        <v>0.03</v>
      </c>
      <c r="H55" s="2024"/>
      <c r="I55" s="2023">
        <v>0</v>
      </c>
      <c r="J55" s="2027"/>
      <c r="K55" s="2026" t="s">
        <v>2899</v>
      </c>
      <c r="L55" s="2026" t="s">
        <v>2899</v>
      </c>
      <c r="M55" s="2026">
        <v>0.84899999999999998</v>
      </c>
      <c r="N55" s="2026">
        <v>0.84899999999999998</v>
      </c>
      <c r="O55" s="2026">
        <v>0.84899999999999998</v>
      </c>
      <c r="P55" s="2026">
        <v>0.84899999999999998</v>
      </c>
      <c r="Q55" s="2027">
        <f t="shared" si="15"/>
        <v>229.14509999999999</v>
      </c>
      <c r="R55" s="2027">
        <f t="shared" si="15"/>
        <v>229.14509999999999</v>
      </c>
      <c r="S55" s="2027">
        <f t="shared" si="15"/>
        <v>229.14509999999999</v>
      </c>
      <c r="T55" s="2027">
        <f t="shared" si="15"/>
        <v>229.14509999999999</v>
      </c>
      <c r="U55" s="2026">
        <v>0.84899999999999998</v>
      </c>
      <c r="V55" s="2026">
        <v>0.84899999999999998</v>
      </c>
      <c r="W55" s="2026">
        <v>0.84899999999999998</v>
      </c>
      <c r="X55" s="2026">
        <v>0.84899999999999998</v>
      </c>
      <c r="Y55" s="2028">
        <f t="shared" si="16"/>
        <v>2.547E-2</v>
      </c>
      <c r="Z55" s="2028">
        <f t="shared" si="16"/>
        <v>2.547E-2</v>
      </c>
      <c r="AA55" s="2028">
        <f t="shared" si="16"/>
        <v>2.547E-2</v>
      </c>
      <c r="AB55" s="2028">
        <f t="shared" si="16"/>
        <v>2.547E-2</v>
      </c>
      <c r="AC55" s="2026">
        <v>0.67500000000000004</v>
      </c>
      <c r="AD55" s="2026">
        <v>0.67500000000000004</v>
      </c>
      <c r="AE55" s="2026">
        <v>0.67500000000000004</v>
      </c>
      <c r="AF55" s="2026">
        <v>0.67500000000000004</v>
      </c>
      <c r="AG55" s="2027">
        <f t="shared" si="24"/>
        <v>0</v>
      </c>
      <c r="AH55" s="2027">
        <f t="shared" si="24"/>
        <v>0</v>
      </c>
      <c r="AI55" s="2027">
        <f t="shared" si="24"/>
        <v>0</v>
      </c>
      <c r="AJ55" s="2027">
        <f t="shared" si="24"/>
        <v>0</v>
      </c>
      <c r="AK55" s="2027">
        <v>1</v>
      </c>
      <c r="AL55" s="2027">
        <v>2</v>
      </c>
      <c r="AM55" s="2027">
        <v>1</v>
      </c>
      <c r="AN55" s="2027">
        <v>2</v>
      </c>
      <c r="AO55" s="2027">
        <f t="shared" si="32"/>
        <v>229.14509999999999</v>
      </c>
      <c r="AP55" s="2027">
        <f t="shared" si="29"/>
        <v>458.29019999999997</v>
      </c>
      <c r="AQ55" s="2027">
        <f t="shared" si="29"/>
        <v>229.14509999999999</v>
      </c>
      <c r="AR55" s="2027"/>
      <c r="AS55" s="2027">
        <f t="shared" si="5"/>
        <v>458.29019999999997</v>
      </c>
      <c r="AT55" s="2027">
        <f t="shared" si="33"/>
        <v>0</v>
      </c>
      <c r="AU55" s="2027">
        <f t="shared" si="34"/>
        <v>0</v>
      </c>
      <c r="AV55" s="2027">
        <f t="shared" si="34"/>
        <v>0</v>
      </c>
      <c r="AW55" s="2027">
        <f t="shared" si="25"/>
        <v>0</v>
      </c>
      <c r="AX55" s="2029">
        <v>35</v>
      </c>
      <c r="AY55" s="2029">
        <v>35</v>
      </c>
      <c r="AZ55" s="2029">
        <v>35</v>
      </c>
      <c r="BA55" s="2029">
        <v>35</v>
      </c>
      <c r="BB55" s="1974"/>
      <c r="BC55" s="2029">
        <v>0</v>
      </c>
      <c r="BD55" s="2029">
        <v>0</v>
      </c>
      <c r="BE55" s="2029">
        <v>0</v>
      </c>
      <c r="BF55" s="2029">
        <v>142</v>
      </c>
      <c r="BG55" s="2029">
        <v>142</v>
      </c>
      <c r="BH55" s="2029">
        <v>142</v>
      </c>
      <c r="BI55" s="2029">
        <v>142</v>
      </c>
      <c r="BJ55" s="2030">
        <f t="shared" si="30"/>
        <v>35</v>
      </c>
      <c r="BK55" s="2030">
        <f t="shared" si="30"/>
        <v>70</v>
      </c>
      <c r="BL55" s="2030">
        <f t="shared" si="30"/>
        <v>35</v>
      </c>
      <c r="BM55" s="2030"/>
      <c r="BN55" s="2030">
        <f t="shared" si="9"/>
        <v>70</v>
      </c>
      <c r="BO55" s="2030">
        <f t="shared" si="10"/>
        <v>0</v>
      </c>
      <c r="BP55" s="2030"/>
      <c r="BQ55" s="2030">
        <f t="shared" si="31"/>
        <v>0</v>
      </c>
      <c r="BR55" s="2030">
        <f t="shared" si="31"/>
        <v>0</v>
      </c>
      <c r="BS55" s="2030">
        <f t="shared" si="31"/>
        <v>0</v>
      </c>
      <c r="BT55" s="2031"/>
      <c r="BU55" s="2031"/>
      <c r="BV55" s="2031"/>
      <c r="BW55" s="2031"/>
      <c r="BX55" s="2031"/>
      <c r="BY55" s="2031"/>
      <c r="BZ55" s="2031"/>
      <c r="CA55" s="2031"/>
      <c r="CB55" s="2029"/>
      <c r="CC55" s="2029"/>
      <c r="CD55" s="2029"/>
      <c r="CE55" s="2029"/>
      <c r="CF55" s="2029"/>
      <c r="CG55" s="2032"/>
      <c r="CH55" s="1974"/>
      <c r="CI55" s="1974"/>
      <c r="CJ55" s="1974"/>
      <c r="CK55" s="1974"/>
      <c r="CL55" s="1974">
        <v>0</v>
      </c>
      <c r="CM55" s="2033">
        <v>7.6752556620900183E-7</v>
      </c>
      <c r="CN55" s="2026">
        <v>0</v>
      </c>
      <c r="CO55" s="1974">
        <v>0</v>
      </c>
      <c r="CP55" s="2040">
        <v>0</v>
      </c>
      <c r="CQ55" s="2040"/>
      <c r="CR55" s="2062">
        <v>1</v>
      </c>
      <c r="CS55" s="2062">
        <v>1</v>
      </c>
      <c r="CT55" s="2062">
        <v>1</v>
      </c>
      <c r="CU55" s="2062">
        <v>1</v>
      </c>
      <c r="CV55" s="2036"/>
      <c r="CW55" s="2036"/>
      <c r="CX55" s="2036"/>
      <c r="CY55" s="2049"/>
      <c r="CZ55" s="2049"/>
      <c r="DA55" s="2049"/>
    </row>
    <row r="56" spans="1:105" x14ac:dyDescent="0.25">
      <c r="A56" s="2185" t="s">
        <v>115</v>
      </c>
      <c r="B56" s="2022" t="s">
        <v>2910</v>
      </c>
      <c r="C56" s="2023">
        <v>12</v>
      </c>
      <c r="D56" s="2023">
        <v>0</v>
      </c>
      <c r="E56" s="2024">
        <v>595.4</v>
      </c>
      <c r="F56" s="2024"/>
      <c r="G56" s="2024">
        <v>0.06</v>
      </c>
      <c r="H56" s="2024"/>
      <c r="I56" s="2023">
        <v>0</v>
      </c>
      <c r="J56" s="2027"/>
      <c r="K56" s="2026" t="s">
        <v>2899</v>
      </c>
      <c r="L56" s="2026" t="s">
        <v>2899</v>
      </c>
      <c r="M56" s="2026">
        <v>0.84899999999999998</v>
      </c>
      <c r="N56" s="2026">
        <v>0.84899999999999998</v>
      </c>
      <c r="O56" s="2026">
        <v>0.84899999999999998</v>
      </c>
      <c r="P56" s="2026">
        <v>0.84899999999999998</v>
      </c>
      <c r="Q56" s="2027">
        <f t="shared" si="15"/>
        <v>505.49459999999999</v>
      </c>
      <c r="R56" s="2027">
        <f t="shared" si="15"/>
        <v>505.49459999999999</v>
      </c>
      <c r="S56" s="2027">
        <f t="shared" si="15"/>
        <v>505.49459999999999</v>
      </c>
      <c r="T56" s="2027">
        <f t="shared" si="15"/>
        <v>505.49459999999999</v>
      </c>
      <c r="U56" s="2026">
        <v>0.84899999999999998</v>
      </c>
      <c r="V56" s="2026">
        <v>0.84899999999999998</v>
      </c>
      <c r="W56" s="2026">
        <v>0.84899999999999998</v>
      </c>
      <c r="X56" s="2026">
        <v>0.84899999999999998</v>
      </c>
      <c r="Y56" s="2028">
        <f t="shared" si="16"/>
        <v>5.0939999999999999E-2</v>
      </c>
      <c r="Z56" s="2028">
        <f t="shared" si="16"/>
        <v>5.0939999999999999E-2</v>
      </c>
      <c r="AA56" s="2028">
        <f t="shared" si="16"/>
        <v>5.0939999999999999E-2</v>
      </c>
      <c r="AB56" s="2028">
        <f t="shared" si="16"/>
        <v>5.0939999999999999E-2</v>
      </c>
      <c r="AC56" s="2026">
        <v>0.67500000000000004</v>
      </c>
      <c r="AD56" s="2026">
        <v>0.67500000000000004</v>
      </c>
      <c r="AE56" s="2026">
        <v>0.67500000000000004</v>
      </c>
      <c r="AF56" s="2026">
        <v>0.67500000000000004</v>
      </c>
      <c r="AG56" s="2027">
        <f t="shared" si="24"/>
        <v>0</v>
      </c>
      <c r="AH56" s="2027">
        <f t="shared" si="24"/>
        <v>0</v>
      </c>
      <c r="AI56" s="2027">
        <f t="shared" si="24"/>
        <v>0</v>
      </c>
      <c r="AJ56" s="2027">
        <f t="shared" si="24"/>
        <v>0</v>
      </c>
      <c r="AK56" s="2027">
        <v>1</v>
      </c>
      <c r="AL56" s="2027">
        <v>1</v>
      </c>
      <c r="AM56" s="2027">
        <v>2</v>
      </c>
      <c r="AN56" s="2027">
        <v>1</v>
      </c>
      <c r="AO56" s="2027">
        <f t="shared" si="32"/>
        <v>505.49459999999999</v>
      </c>
      <c r="AP56" s="2027">
        <f t="shared" si="29"/>
        <v>505.49459999999999</v>
      </c>
      <c r="AQ56" s="2027">
        <f t="shared" si="29"/>
        <v>1010.9892</v>
      </c>
      <c r="AR56" s="2027"/>
      <c r="AS56" s="2027">
        <f t="shared" si="5"/>
        <v>505.49459999999999</v>
      </c>
      <c r="AT56" s="2027">
        <f t="shared" si="33"/>
        <v>0</v>
      </c>
      <c r="AU56" s="2027">
        <f t="shared" si="34"/>
        <v>0</v>
      </c>
      <c r="AV56" s="2027">
        <f t="shared" si="34"/>
        <v>0</v>
      </c>
      <c r="AW56" s="2027">
        <f t="shared" si="25"/>
        <v>0</v>
      </c>
      <c r="AX56" s="2029">
        <v>50</v>
      </c>
      <c r="AY56" s="2029">
        <v>50</v>
      </c>
      <c r="AZ56" s="2029">
        <v>50</v>
      </c>
      <c r="BA56" s="2029">
        <v>50</v>
      </c>
      <c r="BB56" s="1974"/>
      <c r="BC56" s="2029">
        <v>0</v>
      </c>
      <c r="BD56" s="2029">
        <v>0</v>
      </c>
      <c r="BE56" s="2029">
        <v>0</v>
      </c>
      <c r="BF56" s="2029">
        <v>166</v>
      </c>
      <c r="BG56" s="2029">
        <v>166</v>
      </c>
      <c r="BH56" s="2029">
        <v>166</v>
      </c>
      <c r="BI56" s="2029">
        <v>166</v>
      </c>
      <c r="BJ56" s="2030">
        <f t="shared" si="30"/>
        <v>50</v>
      </c>
      <c r="BK56" s="2030">
        <f t="shared" si="30"/>
        <v>50</v>
      </c>
      <c r="BL56" s="2030">
        <f t="shared" si="30"/>
        <v>100</v>
      </c>
      <c r="BM56" s="2030"/>
      <c r="BN56" s="2030">
        <f t="shared" si="9"/>
        <v>50</v>
      </c>
      <c r="BO56" s="2030">
        <f t="shared" si="10"/>
        <v>0</v>
      </c>
      <c r="BP56" s="2030"/>
      <c r="BQ56" s="2030">
        <f t="shared" si="31"/>
        <v>0</v>
      </c>
      <c r="BR56" s="2030">
        <f t="shared" si="31"/>
        <v>0</v>
      </c>
      <c r="BS56" s="2030">
        <f t="shared" si="31"/>
        <v>0</v>
      </c>
      <c r="BT56" s="2031"/>
      <c r="BU56" s="2031"/>
      <c r="BV56" s="2031"/>
      <c r="BW56" s="2031"/>
      <c r="BX56" s="2031"/>
      <c r="BY56" s="2031"/>
      <c r="BZ56" s="2031"/>
      <c r="CA56" s="2031"/>
      <c r="CB56" s="2029"/>
      <c r="CC56" s="2029"/>
      <c r="CD56" s="2029"/>
      <c r="CE56" s="2029"/>
      <c r="CF56" s="2029"/>
      <c r="CG56" s="2032"/>
      <c r="CH56" s="1974"/>
      <c r="CI56" s="1974"/>
      <c r="CJ56" s="1974"/>
      <c r="CK56" s="1974"/>
      <c r="CL56" s="1974">
        <v>0</v>
      </c>
      <c r="CM56" s="2033">
        <v>1.6931631053013697E-6</v>
      </c>
      <c r="CN56" s="2026">
        <v>0</v>
      </c>
      <c r="CO56" s="1974">
        <v>0</v>
      </c>
      <c r="CP56" s="2040">
        <v>0</v>
      </c>
      <c r="CQ56" s="2040"/>
      <c r="CR56" s="2062">
        <v>1</v>
      </c>
      <c r="CS56" s="2062">
        <v>1</v>
      </c>
      <c r="CT56" s="2062">
        <v>1</v>
      </c>
      <c r="CU56" s="2062">
        <v>1</v>
      </c>
      <c r="CV56" s="2036"/>
      <c r="CW56" s="2036"/>
      <c r="CX56" s="2036"/>
      <c r="CY56" s="2049"/>
      <c r="CZ56" s="2049"/>
      <c r="DA56" s="2049"/>
    </row>
    <row r="57" spans="1:105" x14ac:dyDescent="0.25">
      <c r="A57" s="2185" t="s">
        <v>116</v>
      </c>
      <c r="B57" s="2022" t="s">
        <v>2911</v>
      </c>
      <c r="C57" s="2023">
        <v>12</v>
      </c>
      <c r="D57" s="2023">
        <v>0</v>
      </c>
      <c r="E57" s="2024">
        <v>958.4</v>
      </c>
      <c r="F57" s="2024"/>
      <c r="G57" s="2024">
        <v>0.1</v>
      </c>
      <c r="H57" s="2024"/>
      <c r="I57" s="2023">
        <v>0</v>
      </c>
      <c r="J57" s="2027"/>
      <c r="K57" s="2026" t="s">
        <v>2899</v>
      </c>
      <c r="L57" s="2026" t="s">
        <v>2899</v>
      </c>
      <c r="M57" s="2026">
        <v>0.84899999999999998</v>
      </c>
      <c r="N57" s="2026">
        <v>0.84899999999999998</v>
      </c>
      <c r="O57" s="2026">
        <v>0.84899999999999998</v>
      </c>
      <c r="P57" s="2026">
        <v>0.84899999999999998</v>
      </c>
      <c r="Q57" s="2027">
        <f t="shared" si="15"/>
        <v>813.6816</v>
      </c>
      <c r="R57" s="2027">
        <f t="shared" si="15"/>
        <v>813.6816</v>
      </c>
      <c r="S57" s="2027">
        <f t="shared" si="15"/>
        <v>813.6816</v>
      </c>
      <c r="T57" s="2027">
        <f t="shared" si="15"/>
        <v>813.6816</v>
      </c>
      <c r="U57" s="2026">
        <v>0.84899999999999998</v>
      </c>
      <c r="V57" s="2026">
        <v>0.84899999999999998</v>
      </c>
      <c r="W57" s="2026">
        <v>0.84899999999999998</v>
      </c>
      <c r="X57" s="2026">
        <v>0.84899999999999998</v>
      </c>
      <c r="Y57" s="2028">
        <f t="shared" si="16"/>
        <v>8.4900000000000003E-2</v>
      </c>
      <c r="Z57" s="2028">
        <f t="shared" si="16"/>
        <v>8.4900000000000003E-2</v>
      </c>
      <c r="AA57" s="2028">
        <f t="shared" si="16"/>
        <v>8.4900000000000003E-2</v>
      </c>
      <c r="AB57" s="2028">
        <f t="shared" si="16"/>
        <v>8.4900000000000003E-2</v>
      </c>
      <c r="AC57" s="2026">
        <v>0.67500000000000004</v>
      </c>
      <c r="AD57" s="2026">
        <v>0.67500000000000004</v>
      </c>
      <c r="AE57" s="2026">
        <v>0.67500000000000004</v>
      </c>
      <c r="AF57" s="2026">
        <v>0.67500000000000004</v>
      </c>
      <c r="AG57" s="2027">
        <f t="shared" si="24"/>
        <v>0</v>
      </c>
      <c r="AH57" s="2027">
        <f t="shared" si="24"/>
        <v>0</v>
      </c>
      <c r="AI57" s="2027">
        <f t="shared" si="24"/>
        <v>0</v>
      </c>
      <c r="AJ57" s="2027">
        <f t="shared" si="24"/>
        <v>0</v>
      </c>
      <c r="AK57" s="2027">
        <v>2</v>
      </c>
      <c r="AL57" s="2027">
        <v>3</v>
      </c>
      <c r="AM57" s="2027">
        <v>2</v>
      </c>
      <c r="AN57" s="2027">
        <v>2</v>
      </c>
      <c r="AO57" s="2027">
        <f t="shared" si="32"/>
        <v>1627.3632</v>
      </c>
      <c r="AP57" s="2027">
        <f t="shared" si="29"/>
        <v>2441.0448000000001</v>
      </c>
      <c r="AQ57" s="2027">
        <f t="shared" si="29"/>
        <v>1627.3632</v>
      </c>
      <c r="AR57" s="2027"/>
      <c r="AS57" s="2027">
        <f t="shared" si="5"/>
        <v>1627.3632</v>
      </c>
      <c r="AT57" s="2027">
        <f t="shared" si="33"/>
        <v>0</v>
      </c>
      <c r="AU57" s="2027">
        <f t="shared" si="34"/>
        <v>0</v>
      </c>
      <c r="AV57" s="2027">
        <f t="shared" si="34"/>
        <v>0</v>
      </c>
      <c r="AW57" s="2027">
        <f t="shared" si="25"/>
        <v>0</v>
      </c>
      <c r="AX57" s="2029">
        <v>100</v>
      </c>
      <c r="AY57" s="2029">
        <v>100</v>
      </c>
      <c r="AZ57" s="2029">
        <v>100</v>
      </c>
      <c r="BA57" s="2029">
        <v>100</v>
      </c>
      <c r="BB57" s="1974"/>
      <c r="BC57" s="2029">
        <v>0</v>
      </c>
      <c r="BD57" s="2029">
        <v>0</v>
      </c>
      <c r="BE57" s="2029">
        <v>0</v>
      </c>
      <c r="BF57" s="2029">
        <v>166</v>
      </c>
      <c r="BG57" s="2029">
        <v>166</v>
      </c>
      <c r="BH57" s="2029">
        <v>166</v>
      </c>
      <c r="BI57" s="2029">
        <v>166</v>
      </c>
      <c r="BJ57" s="2030">
        <f t="shared" si="30"/>
        <v>200</v>
      </c>
      <c r="BK57" s="2030">
        <f t="shared" si="30"/>
        <v>300</v>
      </c>
      <c r="BL57" s="2030">
        <f t="shared" si="30"/>
        <v>200</v>
      </c>
      <c r="BM57" s="2030"/>
      <c r="BN57" s="2030">
        <f t="shared" si="9"/>
        <v>200</v>
      </c>
      <c r="BO57" s="2030">
        <f t="shared" si="10"/>
        <v>0</v>
      </c>
      <c r="BP57" s="2030"/>
      <c r="BQ57" s="2030">
        <f t="shared" si="31"/>
        <v>0</v>
      </c>
      <c r="BR57" s="2030">
        <f t="shared" si="31"/>
        <v>0</v>
      </c>
      <c r="BS57" s="2030">
        <f t="shared" si="31"/>
        <v>0</v>
      </c>
      <c r="BT57" s="2031"/>
      <c r="BU57" s="2031"/>
      <c r="BV57" s="2031"/>
      <c r="BW57" s="2031"/>
      <c r="BX57" s="2031"/>
      <c r="BY57" s="2031"/>
      <c r="BZ57" s="2031"/>
      <c r="CA57" s="2031"/>
      <c r="CB57" s="2029"/>
      <c r="CC57" s="2029"/>
      <c r="CD57" s="2029"/>
      <c r="CE57" s="2029"/>
      <c r="CF57" s="2029"/>
      <c r="CG57" s="2032"/>
      <c r="CH57" s="1974"/>
      <c r="CI57" s="1974"/>
      <c r="CJ57" s="1974"/>
      <c r="CK57" s="1974"/>
      <c r="CL57" s="1974">
        <v>0</v>
      </c>
      <c r="CM57" s="2033">
        <v>5.4508818277488508E-6</v>
      </c>
      <c r="CN57" s="2026">
        <v>0</v>
      </c>
      <c r="CO57" s="1974">
        <v>0</v>
      </c>
      <c r="CP57" s="2040">
        <v>0</v>
      </c>
      <c r="CQ57" s="2040"/>
      <c r="CR57" s="2062">
        <v>1</v>
      </c>
      <c r="CS57" s="2062">
        <v>1</v>
      </c>
      <c r="CT57" s="2062">
        <v>1</v>
      </c>
      <c r="CU57" s="2062">
        <v>1</v>
      </c>
      <c r="CV57" s="2036"/>
      <c r="CW57" s="2036"/>
      <c r="CX57" s="2036"/>
      <c r="CY57" s="2049"/>
      <c r="CZ57" s="2049"/>
      <c r="DA57" s="2049"/>
    </row>
    <row r="58" spans="1:105" x14ac:dyDescent="0.25">
      <c r="A58" s="2185" t="s">
        <v>117</v>
      </c>
      <c r="B58" s="2022" t="s">
        <v>2912</v>
      </c>
      <c r="C58" s="2023">
        <v>12</v>
      </c>
      <c r="D58" s="2023">
        <v>0</v>
      </c>
      <c r="E58" s="2024">
        <v>2765.5</v>
      </c>
      <c r="F58" s="2024"/>
      <c r="G58" s="2024">
        <v>0.3</v>
      </c>
      <c r="H58" s="2024"/>
      <c r="I58" s="2023">
        <v>0</v>
      </c>
      <c r="J58" s="2027"/>
      <c r="K58" s="2026" t="s">
        <v>2899</v>
      </c>
      <c r="L58" s="2026" t="s">
        <v>2899</v>
      </c>
      <c r="M58" s="2026">
        <v>0.84899999999999998</v>
      </c>
      <c r="N58" s="2026">
        <v>0.84899999999999998</v>
      </c>
      <c r="O58" s="2026">
        <v>0.84899999999999998</v>
      </c>
      <c r="P58" s="2026">
        <v>0.84899999999999998</v>
      </c>
      <c r="Q58" s="2027">
        <f t="shared" si="15"/>
        <v>2347.9094999999998</v>
      </c>
      <c r="R58" s="2027">
        <f t="shared" si="15"/>
        <v>2347.9094999999998</v>
      </c>
      <c r="S58" s="2027">
        <f t="shared" si="15"/>
        <v>2347.9094999999998</v>
      </c>
      <c r="T58" s="2027">
        <f t="shared" si="15"/>
        <v>2347.9094999999998</v>
      </c>
      <c r="U58" s="2026">
        <v>0.84899999999999998</v>
      </c>
      <c r="V58" s="2026">
        <v>0.84899999999999998</v>
      </c>
      <c r="W58" s="2026">
        <v>0.84899999999999998</v>
      </c>
      <c r="X58" s="2026">
        <v>0.84899999999999998</v>
      </c>
      <c r="Y58" s="2028">
        <f t="shared" si="16"/>
        <v>0.25469999999999998</v>
      </c>
      <c r="Z58" s="2028">
        <f t="shared" si="16"/>
        <v>0.25469999999999998</v>
      </c>
      <c r="AA58" s="2028">
        <f t="shared" si="16"/>
        <v>0.25469999999999998</v>
      </c>
      <c r="AB58" s="2028">
        <f t="shared" si="16"/>
        <v>0.25469999999999998</v>
      </c>
      <c r="AC58" s="2026">
        <v>0.67500000000000004</v>
      </c>
      <c r="AD58" s="2026">
        <v>0.67500000000000004</v>
      </c>
      <c r="AE58" s="2026">
        <v>0.67500000000000004</v>
      </c>
      <c r="AF58" s="2026">
        <v>0.67500000000000004</v>
      </c>
      <c r="AG58" s="2027">
        <f t="shared" si="24"/>
        <v>0</v>
      </c>
      <c r="AH58" s="2027">
        <f t="shared" si="24"/>
        <v>0</v>
      </c>
      <c r="AI58" s="2027">
        <f t="shared" si="24"/>
        <v>0</v>
      </c>
      <c r="AJ58" s="2027">
        <f t="shared" si="24"/>
        <v>0</v>
      </c>
      <c r="AK58" s="2027">
        <v>2</v>
      </c>
      <c r="AL58" s="2027">
        <v>2</v>
      </c>
      <c r="AM58" s="2027">
        <v>2</v>
      </c>
      <c r="AN58" s="2027">
        <v>3</v>
      </c>
      <c r="AO58" s="2027">
        <f t="shared" si="32"/>
        <v>4695.8189999999995</v>
      </c>
      <c r="AP58" s="2027">
        <f t="shared" si="29"/>
        <v>4695.8189999999995</v>
      </c>
      <c r="AQ58" s="2027">
        <f t="shared" si="29"/>
        <v>4695.8189999999995</v>
      </c>
      <c r="AR58" s="2027"/>
      <c r="AS58" s="2027">
        <f t="shared" si="5"/>
        <v>7043.7284999999993</v>
      </c>
      <c r="AT58" s="2027">
        <f t="shared" si="33"/>
        <v>0</v>
      </c>
      <c r="AU58" s="2027">
        <f t="shared" si="34"/>
        <v>0</v>
      </c>
      <c r="AV58" s="2027">
        <f t="shared" si="34"/>
        <v>0</v>
      </c>
      <c r="AW58" s="2027">
        <f t="shared" si="25"/>
        <v>0</v>
      </c>
      <c r="AX58" s="2029">
        <v>200</v>
      </c>
      <c r="AY58" s="2029">
        <v>200</v>
      </c>
      <c r="AZ58" s="2029">
        <v>200</v>
      </c>
      <c r="BA58" s="2029">
        <v>200</v>
      </c>
      <c r="BB58" s="1974"/>
      <c r="BC58" s="2029">
        <v>0</v>
      </c>
      <c r="BD58" s="2029">
        <v>0</v>
      </c>
      <c r="BE58" s="2029">
        <v>0</v>
      </c>
      <c r="BF58" s="2029">
        <v>407</v>
      </c>
      <c r="BG58" s="2029">
        <v>407</v>
      </c>
      <c r="BH58" s="2029">
        <v>407</v>
      </c>
      <c r="BI58" s="2029">
        <v>407</v>
      </c>
      <c r="BJ58" s="2030">
        <f t="shared" si="30"/>
        <v>400</v>
      </c>
      <c r="BK58" s="2030">
        <f t="shared" si="30"/>
        <v>400</v>
      </c>
      <c r="BL58" s="2030">
        <f t="shared" si="30"/>
        <v>400</v>
      </c>
      <c r="BM58" s="2030"/>
      <c r="BN58" s="2030">
        <f t="shared" si="9"/>
        <v>600</v>
      </c>
      <c r="BO58" s="2030">
        <f t="shared" si="10"/>
        <v>0</v>
      </c>
      <c r="BP58" s="2030"/>
      <c r="BQ58" s="2030">
        <f t="shared" si="31"/>
        <v>0</v>
      </c>
      <c r="BR58" s="2030">
        <f t="shared" si="31"/>
        <v>0</v>
      </c>
      <c r="BS58" s="2030">
        <f t="shared" si="31"/>
        <v>0</v>
      </c>
      <c r="BT58" s="2031"/>
      <c r="BU58" s="2031"/>
      <c r="BV58" s="2031"/>
      <c r="BW58" s="2031"/>
      <c r="BX58" s="2031"/>
      <c r="BY58" s="2031"/>
      <c r="BZ58" s="2031"/>
      <c r="CA58" s="2031"/>
      <c r="CB58" s="2029"/>
      <c r="CC58" s="2029"/>
      <c r="CD58" s="2029"/>
      <c r="CE58" s="2029"/>
      <c r="CF58" s="2029"/>
      <c r="CG58" s="2032"/>
      <c r="CH58" s="1974"/>
      <c r="CI58" s="1974"/>
      <c r="CJ58" s="1974"/>
      <c r="CK58" s="1974"/>
      <c r="CL58" s="1974">
        <v>0</v>
      </c>
      <c r="CM58" s="2033">
        <v>1.5728728813271539E-5</v>
      </c>
      <c r="CN58" s="2026">
        <v>0</v>
      </c>
      <c r="CO58" s="1974">
        <v>0</v>
      </c>
      <c r="CP58" s="2040">
        <v>0</v>
      </c>
      <c r="CQ58" s="2040"/>
      <c r="CR58" s="2062">
        <v>1</v>
      </c>
      <c r="CS58" s="2062">
        <v>1</v>
      </c>
      <c r="CT58" s="2062">
        <v>1</v>
      </c>
      <c r="CU58" s="2062">
        <v>1</v>
      </c>
      <c r="CV58" s="2036"/>
      <c r="CW58" s="2036"/>
      <c r="CX58" s="2036"/>
      <c r="CY58" s="2049"/>
      <c r="CZ58" s="2049"/>
      <c r="DA58" s="2049"/>
    </row>
    <row r="59" spans="1:105" x14ac:dyDescent="0.25">
      <c r="A59" s="2185" t="s">
        <v>118</v>
      </c>
      <c r="B59" s="2022" t="s">
        <v>2913</v>
      </c>
      <c r="C59" s="2023">
        <v>15</v>
      </c>
      <c r="D59" s="2023">
        <v>0</v>
      </c>
      <c r="E59" s="2024">
        <v>357.5</v>
      </c>
      <c r="F59" s="2024"/>
      <c r="G59" s="2024">
        <v>0.04</v>
      </c>
      <c r="H59" s="2024"/>
      <c r="I59" s="2023">
        <v>0</v>
      </c>
      <c r="J59" s="2027"/>
      <c r="K59" s="2026" t="s">
        <v>2899</v>
      </c>
      <c r="L59" s="2026" t="s">
        <v>2899</v>
      </c>
      <c r="M59" s="2026">
        <v>0.84899999999999998</v>
      </c>
      <c r="N59" s="2026">
        <v>0.84899999999999998</v>
      </c>
      <c r="O59" s="2026">
        <v>0.84899999999999998</v>
      </c>
      <c r="P59" s="2026">
        <v>0.84899999999999998</v>
      </c>
      <c r="Q59" s="2027">
        <f t="shared" si="15"/>
        <v>303.51749999999998</v>
      </c>
      <c r="R59" s="2027">
        <f t="shared" si="15"/>
        <v>303.51749999999998</v>
      </c>
      <c r="S59" s="2027">
        <f t="shared" si="15"/>
        <v>303.51749999999998</v>
      </c>
      <c r="T59" s="2027">
        <f t="shared" si="15"/>
        <v>303.51749999999998</v>
      </c>
      <c r="U59" s="2026">
        <v>0.84899999999999998</v>
      </c>
      <c r="V59" s="2026">
        <v>0.84899999999999998</v>
      </c>
      <c r="W59" s="2026">
        <v>0.84899999999999998</v>
      </c>
      <c r="X59" s="2026">
        <v>0.84899999999999998</v>
      </c>
      <c r="Y59" s="2028">
        <f t="shared" si="16"/>
        <v>3.3959999999999997E-2</v>
      </c>
      <c r="Z59" s="2028">
        <f t="shared" si="16"/>
        <v>3.3959999999999997E-2</v>
      </c>
      <c r="AA59" s="2028">
        <f t="shared" si="16"/>
        <v>3.3959999999999997E-2</v>
      </c>
      <c r="AB59" s="2028">
        <f t="shared" si="16"/>
        <v>3.3959999999999997E-2</v>
      </c>
      <c r="AC59" s="2026">
        <v>0.67500000000000004</v>
      </c>
      <c r="AD59" s="2026">
        <v>0.67500000000000004</v>
      </c>
      <c r="AE59" s="2026">
        <v>0.67500000000000004</v>
      </c>
      <c r="AF59" s="2026">
        <v>0.67500000000000004</v>
      </c>
      <c r="AG59" s="2027">
        <f t="shared" si="24"/>
        <v>0</v>
      </c>
      <c r="AH59" s="2027">
        <f t="shared" si="24"/>
        <v>0</v>
      </c>
      <c r="AI59" s="2027">
        <f t="shared" si="24"/>
        <v>0</v>
      </c>
      <c r="AJ59" s="2027">
        <f t="shared" si="24"/>
        <v>0</v>
      </c>
      <c r="AK59" s="2027">
        <v>9</v>
      </c>
      <c r="AL59" s="2027">
        <v>10</v>
      </c>
      <c r="AM59" s="2027">
        <v>10</v>
      </c>
      <c r="AN59" s="2027">
        <v>10</v>
      </c>
      <c r="AO59" s="2027">
        <f t="shared" si="32"/>
        <v>2731.6574999999998</v>
      </c>
      <c r="AP59" s="2027">
        <f t="shared" si="29"/>
        <v>3035.1749999999997</v>
      </c>
      <c r="AQ59" s="2027">
        <f t="shared" si="29"/>
        <v>3035.1749999999997</v>
      </c>
      <c r="AR59" s="2027"/>
      <c r="AS59" s="2027">
        <f t="shared" si="5"/>
        <v>3035.1749999999997</v>
      </c>
      <c r="AT59" s="2027">
        <f t="shared" si="33"/>
        <v>0</v>
      </c>
      <c r="AU59" s="2027">
        <f t="shared" si="34"/>
        <v>0</v>
      </c>
      <c r="AV59" s="2027">
        <f t="shared" si="34"/>
        <v>0</v>
      </c>
      <c r="AW59" s="2027">
        <f t="shared" si="25"/>
        <v>0</v>
      </c>
      <c r="AX59" s="2029">
        <v>25</v>
      </c>
      <c r="AY59" s="2029">
        <v>25</v>
      </c>
      <c r="AZ59" s="2029">
        <v>25</v>
      </c>
      <c r="BA59" s="2029">
        <v>25</v>
      </c>
      <c r="BB59" s="1974"/>
      <c r="BC59" s="2029">
        <v>0</v>
      </c>
      <c r="BD59" s="2029">
        <v>0</v>
      </c>
      <c r="BE59" s="2029">
        <v>0</v>
      </c>
      <c r="BF59" s="2029">
        <v>50</v>
      </c>
      <c r="BG59" s="2029">
        <v>50</v>
      </c>
      <c r="BH59" s="2029">
        <v>50</v>
      </c>
      <c r="BI59" s="2029">
        <v>50</v>
      </c>
      <c r="BJ59" s="2030">
        <f t="shared" si="30"/>
        <v>225</v>
      </c>
      <c r="BK59" s="2030">
        <f t="shared" si="30"/>
        <v>250</v>
      </c>
      <c r="BL59" s="2030">
        <f t="shared" si="30"/>
        <v>250</v>
      </c>
      <c r="BM59" s="2030"/>
      <c r="BN59" s="2030">
        <f t="shared" si="9"/>
        <v>250</v>
      </c>
      <c r="BO59" s="2030">
        <f t="shared" si="10"/>
        <v>0</v>
      </c>
      <c r="BP59" s="2030"/>
      <c r="BQ59" s="2030">
        <f t="shared" si="31"/>
        <v>0</v>
      </c>
      <c r="BR59" s="2030">
        <f t="shared" si="31"/>
        <v>0</v>
      </c>
      <c r="BS59" s="2030">
        <f t="shared" si="31"/>
        <v>0</v>
      </c>
      <c r="BT59" s="2031"/>
      <c r="BU59" s="2031"/>
      <c r="BV59" s="2031"/>
      <c r="BW59" s="2031"/>
      <c r="BX59" s="2031"/>
      <c r="BY59" s="2031"/>
      <c r="BZ59" s="2031"/>
      <c r="CA59" s="2031"/>
      <c r="CB59" s="2029"/>
      <c r="CC59" s="2029"/>
      <c r="CD59" s="2029"/>
      <c r="CE59" s="2029"/>
      <c r="CF59" s="2029"/>
      <c r="CG59" s="2032"/>
      <c r="CH59" s="1974"/>
      <c r="CI59" s="1974"/>
      <c r="CJ59" s="1974"/>
      <c r="CK59" s="1974"/>
      <c r="CL59" s="1974">
        <v>0</v>
      </c>
      <c r="CM59" s="2033">
        <v>1.0166372357158879E-5</v>
      </c>
      <c r="CN59" s="2026">
        <v>0</v>
      </c>
      <c r="CO59" s="1974">
        <v>0</v>
      </c>
      <c r="CP59" s="2040">
        <v>0</v>
      </c>
      <c r="CQ59" s="2040"/>
      <c r="CR59" s="2062">
        <v>1</v>
      </c>
      <c r="CS59" s="2062">
        <v>1</v>
      </c>
      <c r="CT59" s="2062">
        <v>1</v>
      </c>
      <c r="CU59" s="2062">
        <v>1</v>
      </c>
      <c r="CV59" s="2036"/>
      <c r="CW59" s="2036"/>
      <c r="CX59" s="2036"/>
      <c r="CY59" s="2049"/>
      <c r="CZ59" s="2049"/>
      <c r="DA59" s="2049"/>
    </row>
    <row r="60" spans="1:105" x14ac:dyDescent="0.25">
      <c r="A60" s="2185" t="s">
        <v>119</v>
      </c>
      <c r="B60" s="2022" t="s">
        <v>2914</v>
      </c>
      <c r="C60" s="2023">
        <v>15</v>
      </c>
      <c r="D60" s="2023">
        <v>0</v>
      </c>
      <c r="E60" s="2024">
        <v>577</v>
      </c>
      <c r="F60" s="2024"/>
      <c r="G60" s="2024">
        <v>0.09</v>
      </c>
      <c r="H60" s="2024"/>
      <c r="I60" s="2023">
        <v>0</v>
      </c>
      <c r="J60" s="2027"/>
      <c r="K60" s="2026" t="s">
        <v>2899</v>
      </c>
      <c r="L60" s="2026" t="s">
        <v>2899</v>
      </c>
      <c r="M60" s="2026">
        <v>0.84899999999999998</v>
      </c>
      <c r="N60" s="2026">
        <v>0.84899999999999998</v>
      </c>
      <c r="O60" s="2026">
        <v>0.84899999999999998</v>
      </c>
      <c r="P60" s="2026">
        <v>0.84899999999999998</v>
      </c>
      <c r="Q60" s="2027">
        <f t="shared" si="15"/>
        <v>489.87299999999999</v>
      </c>
      <c r="R60" s="2027">
        <f t="shared" si="15"/>
        <v>489.87299999999999</v>
      </c>
      <c r="S60" s="2027">
        <f t="shared" si="15"/>
        <v>489.87299999999999</v>
      </c>
      <c r="T60" s="2027">
        <f t="shared" si="15"/>
        <v>489.87299999999999</v>
      </c>
      <c r="U60" s="2026">
        <v>0.84899999999999998</v>
      </c>
      <c r="V60" s="2026">
        <v>0.84899999999999998</v>
      </c>
      <c r="W60" s="2026">
        <v>0.84899999999999998</v>
      </c>
      <c r="X60" s="2026">
        <v>0.84899999999999998</v>
      </c>
      <c r="Y60" s="2028">
        <f t="shared" si="16"/>
        <v>7.6409999999999992E-2</v>
      </c>
      <c r="Z60" s="2028">
        <f t="shared" si="16"/>
        <v>7.6409999999999992E-2</v>
      </c>
      <c r="AA60" s="2028">
        <f t="shared" si="16"/>
        <v>7.6409999999999992E-2</v>
      </c>
      <c r="AB60" s="2028">
        <f t="shared" si="16"/>
        <v>7.6409999999999992E-2</v>
      </c>
      <c r="AC60" s="2026">
        <v>0.67500000000000004</v>
      </c>
      <c r="AD60" s="2026">
        <v>0.67500000000000004</v>
      </c>
      <c r="AE60" s="2026">
        <v>0.67500000000000004</v>
      </c>
      <c r="AF60" s="2026">
        <v>0.67500000000000004</v>
      </c>
      <c r="AG60" s="2027">
        <f t="shared" si="24"/>
        <v>0</v>
      </c>
      <c r="AH60" s="2027">
        <f t="shared" si="24"/>
        <v>0</v>
      </c>
      <c r="AI60" s="2027">
        <f t="shared" si="24"/>
        <v>0</v>
      </c>
      <c r="AJ60" s="2027">
        <f t="shared" si="24"/>
        <v>0</v>
      </c>
      <c r="AK60" s="2027">
        <v>9</v>
      </c>
      <c r="AL60" s="2027">
        <v>10</v>
      </c>
      <c r="AM60" s="2027">
        <v>10</v>
      </c>
      <c r="AN60" s="2027">
        <v>10</v>
      </c>
      <c r="AO60" s="2027">
        <f t="shared" si="32"/>
        <v>4408.857</v>
      </c>
      <c r="AP60" s="2027">
        <f t="shared" si="29"/>
        <v>4898.7299999999996</v>
      </c>
      <c r="AQ60" s="2027">
        <f t="shared" si="29"/>
        <v>4898.7299999999996</v>
      </c>
      <c r="AR60" s="2027"/>
      <c r="AS60" s="2027">
        <f t="shared" si="5"/>
        <v>4898.7299999999996</v>
      </c>
      <c r="AT60" s="2027">
        <f t="shared" si="33"/>
        <v>0</v>
      </c>
      <c r="AU60" s="2027">
        <f t="shared" si="34"/>
        <v>0</v>
      </c>
      <c r="AV60" s="2027">
        <f t="shared" si="34"/>
        <v>0</v>
      </c>
      <c r="AW60" s="2027">
        <f t="shared" si="25"/>
        <v>0</v>
      </c>
      <c r="AX60" s="2029">
        <v>35</v>
      </c>
      <c r="AY60" s="2029">
        <v>35</v>
      </c>
      <c r="AZ60" s="2029">
        <v>35</v>
      </c>
      <c r="BA60" s="2029">
        <v>35</v>
      </c>
      <c r="BB60" s="1974"/>
      <c r="BC60" s="2029">
        <v>0</v>
      </c>
      <c r="BD60" s="2029">
        <v>0</v>
      </c>
      <c r="BE60" s="2029">
        <v>0</v>
      </c>
      <c r="BF60" s="2029">
        <v>50</v>
      </c>
      <c r="BG60" s="2029">
        <v>50</v>
      </c>
      <c r="BH60" s="2029">
        <v>50</v>
      </c>
      <c r="BI60" s="2029">
        <v>50</v>
      </c>
      <c r="BJ60" s="2030">
        <f t="shared" si="30"/>
        <v>315</v>
      </c>
      <c r="BK60" s="2030">
        <f t="shared" si="30"/>
        <v>350</v>
      </c>
      <c r="BL60" s="2030">
        <f t="shared" si="30"/>
        <v>350</v>
      </c>
      <c r="BM60" s="2030"/>
      <c r="BN60" s="2030">
        <f t="shared" si="9"/>
        <v>350</v>
      </c>
      <c r="BO60" s="2030">
        <f t="shared" si="10"/>
        <v>0</v>
      </c>
      <c r="BP60" s="2030"/>
      <c r="BQ60" s="2030">
        <f t="shared" si="31"/>
        <v>0</v>
      </c>
      <c r="BR60" s="2030">
        <f t="shared" si="31"/>
        <v>0</v>
      </c>
      <c r="BS60" s="2030">
        <f t="shared" si="31"/>
        <v>0</v>
      </c>
      <c r="BT60" s="2031"/>
      <c r="BU60" s="2031"/>
      <c r="BV60" s="2031"/>
      <c r="BW60" s="2031"/>
      <c r="BX60" s="2031"/>
      <c r="BY60" s="2031"/>
      <c r="BZ60" s="2031"/>
      <c r="CA60" s="2031"/>
      <c r="CB60" s="2029"/>
      <c r="CC60" s="2029"/>
      <c r="CD60" s="2029"/>
      <c r="CE60" s="2029"/>
      <c r="CF60" s="2029"/>
      <c r="CG60" s="2032"/>
      <c r="CH60" s="1974"/>
      <c r="CI60" s="1974"/>
      <c r="CJ60" s="1974"/>
      <c r="CK60" s="1974"/>
      <c r="CL60" s="1974">
        <v>0</v>
      </c>
      <c r="CM60" s="2033">
        <v>1.6408382797428456E-5</v>
      </c>
      <c r="CN60" s="2026">
        <v>0</v>
      </c>
      <c r="CO60" s="1974">
        <v>0</v>
      </c>
      <c r="CP60" s="2040">
        <v>0</v>
      </c>
      <c r="CQ60" s="2040"/>
      <c r="CR60" s="2062">
        <v>1</v>
      </c>
      <c r="CS60" s="2062">
        <v>1</v>
      </c>
      <c r="CT60" s="2062">
        <v>1</v>
      </c>
      <c r="CU60" s="2062">
        <v>1</v>
      </c>
      <c r="CV60" s="2036"/>
      <c r="CW60" s="2036"/>
      <c r="CX60" s="2036"/>
      <c r="CY60" s="2049"/>
      <c r="CZ60" s="2049"/>
      <c r="DA60" s="2049"/>
    </row>
    <row r="61" spans="1:105" x14ac:dyDescent="0.25">
      <c r="A61" s="2185" t="s">
        <v>120</v>
      </c>
      <c r="B61" s="2022" t="s">
        <v>2915</v>
      </c>
      <c r="C61" s="2023">
        <v>15</v>
      </c>
      <c r="D61" s="2023">
        <v>0</v>
      </c>
      <c r="E61" s="2024">
        <v>343</v>
      </c>
      <c r="F61" s="2024"/>
      <c r="G61" s="2024">
        <v>0.03</v>
      </c>
      <c r="H61" s="2024"/>
      <c r="I61" s="2023">
        <v>0</v>
      </c>
      <c r="J61" s="2027"/>
      <c r="K61" s="2026" t="s">
        <v>2899</v>
      </c>
      <c r="L61" s="2026" t="s">
        <v>2899</v>
      </c>
      <c r="M61" s="2026">
        <v>0.84899999999999998</v>
      </c>
      <c r="N61" s="2026">
        <v>0.84899999999999998</v>
      </c>
      <c r="O61" s="2026">
        <v>0.84899999999999998</v>
      </c>
      <c r="P61" s="2026">
        <v>0.84899999999999998</v>
      </c>
      <c r="Q61" s="2027">
        <f t="shared" si="15"/>
        <v>291.20699999999999</v>
      </c>
      <c r="R61" s="2027">
        <f t="shared" si="15"/>
        <v>291.20699999999999</v>
      </c>
      <c r="S61" s="2027">
        <f t="shared" si="15"/>
        <v>291.20699999999999</v>
      </c>
      <c r="T61" s="2027">
        <f t="shared" si="15"/>
        <v>291.20699999999999</v>
      </c>
      <c r="U61" s="2026">
        <v>0.84899999999999998</v>
      </c>
      <c r="V61" s="2026">
        <v>0.84899999999999998</v>
      </c>
      <c r="W61" s="2026">
        <v>0.84899999999999998</v>
      </c>
      <c r="X61" s="2026">
        <v>0.84899999999999998</v>
      </c>
      <c r="Y61" s="2028">
        <f t="shared" si="16"/>
        <v>2.547E-2</v>
      </c>
      <c r="Z61" s="2028">
        <f t="shared" si="16"/>
        <v>2.547E-2</v>
      </c>
      <c r="AA61" s="2028">
        <f t="shared" si="16"/>
        <v>2.547E-2</v>
      </c>
      <c r="AB61" s="2028">
        <f t="shared" si="16"/>
        <v>2.547E-2</v>
      </c>
      <c r="AC61" s="2026">
        <v>0.67500000000000004</v>
      </c>
      <c r="AD61" s="2026">
        <v>0.67500000000000004</v>
      </c>
      <c r="AE61" s="2026">
        <v>0.67500000000000004</v>
      </c>
      <c r="AF61" s="2026">
        <v>0.67500000000000004</v>
      </c>
      <c r="AG61" s="2027">
        <f t="shared" si="24"/>
        <v>0</v>
      </c>
      <c r="AH61" s="2027">
        <f t="shared" si="24"/>
        <v>0</v>
      </c>
      <c r="AI61" s="2027">
        <f t="shared" si="24"/>
        <v>0</v>
      </c>
      <c r="AJ61" s="2027">
        <f t="shared" si="24"/>
        <v>0</v>
      </c>
      <c r="AK61" s="2027">
        <v>9</v>
      </c>
      <c r="AL61" s="2027">
        <v>10</v>
      </c>
      <c r="AM61" s="2027">
        <v>10</v>
      </c>
      <c r="AN61" s="2027">
        <v>10</v>
      </c>
      <c r="AO61" s="2027">
        <f t="shared" si="32"/>
        <v>2620.8629999999998</v>
      </c>
      <c r="AP61" s="2027">
        <f t="shared" si="29"/>
        <v>2912.0699999999997</v>
      </c>
      <c r="AQ61" s="2027">
        <f t="shared" si="29"/>
        <v>2912.0699999999997</v>
      </c>
      <c r="AR61" s="2027"/>
      <c r="AS61" s="2027">
        <f t="shared" si="5"/>
        <v>2912.0699999999997</v>
      </c>
      <c r="AT61" s="2027">
        <f t="shared" si="33"/>
        <v>0</v>
      </c>
      <c r="AU61" s="2027">
        <f t="shared" si="34"/>
        <v>0</v>
      </c>
      <c r="AV61" s="2027">
        <f t="shared" si="34"/>
        <v>0</v>
      </c>
      <c r="AW61" s="2027">
        <f t="shared" si="25"/>
        <v>0</v>
      </c>
      <c r="AX61" s="2029">
        <v>25</v>
      </c>
      <c r="AY61" s="2029">
        <v>25</v>
      </c>
      <c r="AZ61" s="2029">
        <v>25</v>
      </c>
      <c r="BA61" s="2029">
        <v>25</v>
      </c>
      <c r="BB61" s="1974"/>
      <c r="BC61" s="2029">
        <v>0</v>
      </c>
      <c r="BD61" s="2029">
        <v>0</v>
      </c>
      <c r="BE61" s="2029">
        <v>0</v>
      </c>
      <c r="BF61" s="2029">
        <v>50</v>
      </c>
      <c r="BG61" s="2029">
        <v>50</v>
      </c>
      <c r="BH61" s="2029">
        <v>50</v>
      </c>
      <c r="BI61" s="2029">
        <v>50</v>
      </c>
      <c r="BJ61" s="2030">
        <f t="shared" si="30"/>
        <v>225</v>
      </c>
      <c r="BK61" s="2030">
        <f t="shared" si="30"/>
        <v>250</v>
      </c>
      <c r="BL61" s="2030">
        <f t="shared" si="30"/>
        <v>250</v>
      </c>
      <c r="BM61" s="2030"/>
      <c r="BN61" s="2030">
        <f t="shared" si="9"/>
        <v>250</v>
      </c>
      <c r="BO61" s="2030">
        <f t="shared" si="10"/>
        <v>0</v>
      </c>
      <c r="BP61" s="2030"/>
      <c r="BQ61" s="2030">
        <f t="shared" si="31"/>
        <v>0</v>
      </c>
      <c r="BR61" s="2030">
        <f t="shared" si="31"/>
        <v>0</v>
      </c>
      <c r="BS61" s="2030">
        <f t="shared" si="31"/>
        <v>0</v>
      </c>
      <c r="BT61" s="2031"/>
      <c r="BU61" s="2031"/>
      <c r="BV61" s="2031"/>
      <c r="BW61" s="2031"/>
      <c r="BX61" s="2031"/>
      <c r="BY61" s="2031"/>
      <c r="BZ61" s="2031"/>
      <c r="CA61" s="2031"/>
      <c r="CB61" s="2029"/>
      <c r="CC61" s="2029"/>
      <c r="CD61" s="2029"/>
      <c r="CE61" s="2029"/>
      <c r="CF61" s="2029"/>
      <c r="CG61" s="2032"/>
      <c r="CH61" s="1974"/>
      <c r="CI61" s="1974"/>
      <c r="CJ61" s="1974"/>
      <c r="CK61" s="1974"/>
      <c r="CL61" s="1974">
        <v>0</v>
      </c>
      <c r="CM61" s="2033">
        <v>9.7540299818335528E-6</v>
      </c>
      <c r="CN61" s="2026">
        <v>0</v>
      </c>
      <c r="CO61" s="1974">
        <v>0</v>
      </c>
      <c r="CP61" s="2040">
        <v>0</v>
      </c>
      <c r="CQ61" s="2040"/>
      <c r="CR61" s="2062">
        <v>1</v>
      </c>
      <c r="CS61" s="2062">
        <v>1</v>
      </c>
      <c r="CT61" s="2062">
        <v>1</v>
      </c>
      <c r="CU61" s="2062">
        <v>1</v>
      </c>
      <c r="CV61" s="2036"/>
      <c r="CW61" s="2036"/>
      <c r="CX61" s="2036"/>
      <c r="CY61" s="2049"/>
      <c r="CZ61" s="2049"/>
      <c r="DA61" s="2049"/>
    </row>
    <row r="62" spans="1:105" x14ac:dyDescent="0.25">
      <c r="A62" s="2185" t="s">
        <v>121</v>
      </c>
      <c r="B62" s="2022" t="s">
        <v>2916</v>
      </c>
      <c r="C62" s="2023">
        <v>15</v>
      </c>
      <c r="D62" s="2023">
        <v>0</v>
      </c>
      <c r="E62" s="2024">
        <v>516.5</v>
      </c>
      <c r="F62" s="2024"/>
      <c r="G62" s="2024">
        <v>0.04</v>
      </c>
      <c r="H62" s="2024"/>
      <c r="I62" s="2023">
        <v>0</v>
      </c>
      <c r="J62" s="2027"/>
      <c r="K62" s="2026" t="s">
        <v>2899</v>
      </c>
      <c r="L62" s="2026" t="s">
        <v>2899</v>
      </c>
      <c r="M62" s="2026">
        <v>0.84899999999999998</v>
      </c>
      <c r="N62" s="2026">
        <v>0.84899999999999998</v>
      </c>
      <c r="O62" s="2026">
        <v>0.84899999999999998</v>
      </c>
      <c r="P62" s="2026">
        <v>0.84899999999999998</v>
      </c>
      <c r="Q62" s="2027">
        <f t="shared" si="15"/>
        <v>438.50849999999997</v>
      </c>
      <c r="R62" s="2027">
        <f t="shared" si="15"/>
        <v>438.50849999999997</v>
      </c>
      <c r="S62" s="2027">
        <f t="shared" si="15"/>
        <v>438.50849999999997</v>
      </c>
      <c r="T62" s="2027">
        <f t="shared" si="15"/>
        <v>438.50849999999997</v>
      </c>
      <c r="U62" s="2026">
        <v>0.84899999999999998</v>
      </c>
      <c r="V62" s="2026">
        <v>0.84899999999999998</v>
      </c>
      <c r="W62" s="2026">
        <v>0.84899999999999998</v>
      </c>
      <c r="X62" s="2026">
        <v>0.84899999999999998</v>
      </c>
      <c r="Y62" s="2028">
        <f t="shared" si="16"/>
        <v>3.3959999999999997E-2</v>
      </c>
      <c r="Z62" s="2028">
        <f t="shared" si="16"/>
        <v>3.3959999999999997E-2</v>
      </c>
      <c r="AA62" s="2028">
        <f t="shared" si="16"/>
        <v>3.3959999999999997E-2</v>
      </c>
      <c r="AB62" s="2028">
        <f t="shared" si="16"/>
        <v>3.3959999999999997E-2</v>
      </c>
      <c r="AC62" s="2026">
        <v>0.67500000000000004</v>
      </c>
      <c r="AD62" s="2026">
        <v>0.67500000000000004</v>
      </c>
      <c r="AE62" s="2026">
        <v>0.67500000000000004</v>
      </c>
      <c r="AF62" s="2026">
        <v>0.67500000000000004</v>
      </c>
      <c r="AG62" s="2027">
        <f t="shared" si="24"/>
        <v>0</v>
      </c>
      <c r="AH62" s="2027">
        <f t="shared" si="24"/>
        <v>0</v>
      </c>
      <c r="AI62" s="2027">
        <f t="shared" si="24"/>
        <v>0</v>
      </c>
      <c r="AJ62" s="2027">
        <f t="shared" si="24"/>
        <v>0</v>
      </c>
      <c r="AK62" s="2027">
        <v>9</v>
      </c>
      <c r="AL62" s="2027">
        <v>10</v>
      </c>
      <c r="AM62" s="2027">
        <v>10</v>
      </c>
      <c r="AN62" s="2027">
        <v>10</v>
      </c>
      <c r="AO62" s="2027">
        <f t="shared" si="32"/>
        <v>3946.5764999999997</v>
      </c>
      <c r="AP62" s="2027">
        <f t="shared" si="29"/>
        <v>4385.085</v>
      </c>
      <c r="AQ62" s="2027">
        <f t="shared" si="29"/>
        <v>4385.085</v>
      </c>
      <c r="AR62" s="2027"/>
      <c r="AS62" s="2027">
        <f t="shared" si="5"/>
        <v>4385.085</v>
      </c>
      <c r="AT62" s="2027">
        <f t="shared" si="33"/>
        <v>0</v>
      </c>
      <c r="AU62" s="2027">
        <f t="shared" si="34"/>
        <v>0</v>
      </c>
      <c r="AV62" s="2027">
        <f t="shared" si="34"/>
        <v>0</v>
      </c>
      <c r="AW62" s="2027">
        <f t="shared" si="25"/>
        <v>0</v>
      </c>
      <c r="AX62" s="2029">
        <v>35</v>
      </c>
      <c r="AY62" s="2029">
        <v>35</v>
      </c>
      <c r="AZ62" s="2029">
        <v>35</v>
      </c>
      <c r="BA62" s="2029">
        <v>35</v>
      </c>
      <c r="BB62" s="1974"/>
      <c r="BC62" s="2029">
        <v>0</v>
      </c>
      <c r="BD62" s="2029">
        <v>0</v>
      </c>
      <c r="BE62" s="2029">
        <v>0</v>
      </c>
      <c r="BF62" s="2029">
        <v>50</v>
      </c>
      <c r="BG62" s="2029">
        <v>50</v>
      </c>
      <c r="BH62" s="2029">
        <v>50</v>
      </c>
      <c r="BI62" s="2029">
        <v>50</v>
      </c>
      <c r="BJ62" s="2030">
        <f t="shared" si="30"/>
        <v>315</v>
      </c>
      <c r="BK62" s="2030">
        <f t="shared" si="30"/>
        <v>350</v>
      </c>
      <c r="BL62" s="2030">
        <f t="shared" si="30"/>
        <v>350</v>
      </c>
      <c r="BM62" s="2030"/>
      <c r="BN62" s="2030">
        <f t="shared" si="9"/>
        <v>350</v>
      </c>
      <c r="BO62" s="2030">
        <f t="shared" si="10"/>
        <v>0</v>
      </c>
      <c r="BP62" s="2030"/>
      <c r="BQ62" s="2030">
        <f t="shared" si="31"/>
        <v>0</v>
      </c>
      <c r="BR62" s="2030">
        <f t="shared" si="31"/>
        <v>0</v>
      </c>
      <c r="BS62" s="2030">
        <f t="shared" si="31"/>
        <v>0</v>
      </c>
      <c r="BT62" s="2031"/>
      <c r="BU62" s="2031"/>
      <c r="BV62" s="2031"/>
      <c r="BW62" s="2031"/>
      <c r="BX62" s="2031"/>
      <c r="BY62" s="2031"/>
      <c r="BZ62" s="2031"/>
      <c r="CA62" s="2031"/>
      <c r="CB62" s="2029"/>
      <c r="CC62" s="2029"/>
      <c r="CD62" s="2029"/>
      <c r="CE62" s="2029"/>
      <c r="CF62" s="2029"/>
      <c r="CG62" s="2032"/>
      <c r="CH62" s="1974"/>
      <c r="CI62" s="1974"/>
      <c r="CJ62" s="1974"/>
      <c r="CK62" s="1974"/>
      <c r="CL62" s="1974">
        <v>0</v>
      </c>
      <c r="CM62" s="2033">
        <v>1.4687919783140031E-5</v>
      </c>
      <c r="CN62" s="2026">
        <v>0</v>
      </c>
      <c r="CO62" s="1974">
        <v>0</v>
      </c>
      <c r="CP62" s="2040">
        <v>0</v>
      </c>
      <c r="CQ62" s="2040"/>
      <c r="CR62" s="2062">
        <v>1</v>
      </c>
      <c r="CS62" s="2062">
        <v>1</v>
      </c>
      <c r="CT62" s="2062">
        <v>1</v>
      </c>
      <c r="CU62" s="2062">
        <v>1</v>
      </c>
      <c r="CV62" s="2036"/>
      <c r="CW62" s="2036"/>
      <c r="CX62" s="2036"/>
      <c r="CY62" s="2049"/>
      <c r="CZ62" s="2049"/>
      <c r="DA62" s="2049"/>
    </row>
    <row r="63" spans="1:105" x14ac:dyDescent="0.25">
      <c r="A63" s="2185" t="s">
        <v>122</v>
      </c>
      <c r="B63" s="2022" t="s">
        <v>2917</v>
      </c>
      <c r="C63" s="2023">
        <v>7</v>
      </c>
      <c r="D63" s="2023">
        <v>0</v>
      </c>
      <c r="E63" s="2024">
        <v>372.14</v>
      </c>
      <c r="F63" s="2024"/>
      <c r="G63" s="2024">
        <v>0.12</v>
      </c>
      <c r="H63" s="2024"/>
      <c r="I63" s="2023">
        <v>0</v>
      </c>
      <c r="J63" s="2027"/>
      <c r="K63" s="2026" t="s">
        <v>2899</v>
      </c>
      <c r="L63" s="2026" t="s">
        <v>2899</v>
      </c>
      <c r="M63" s="2026">
        <v>0.84899999999999998</v>
      </c>
      <c r="N63" s="2026">
        <v>0.84899999999999998</v>
      </c>
      <c r="O63" s="2026">
        <v>0.84899999999999998</v>
      </c>
      <c r="P63" s="2026">
        <v>0.84899999999999998</v>
      </c>
      <c r="Q63" s="2027">
        <f t="shared" si="15"/>
        <v>315.94685999999996</v>
      </c>
      <c r="R63" s="2027">
        <f t="shared" si="15"/>
        <v>315.94685999999996</v>
      </c>
      <c r="S63" s="2027">
        <f t="shared" si="15"/>
        <v>315.94685999999996</v>
      </c>
      <c r="T63" s="2027">
        <f t="shared" si="15"/>
        <v>315.94685999999996</v>
      </c>
      <c r="U63" s="2026">
        <v>0.84899999999999998</v>
      </c>
      <c r="V63" s="2026">
        <v>0.84899999999999998</v>
      </c>
      <c r="W63" s="2026">
        <v>0.84899999999999998</v>
      </c>
      <c r="X63" s="2026">
        <v>0.84899999999999998</v>
      </c>
      <c r="Y63" s="2028">
        <f t="shared" si="16"/>
        <v>0.10188</v>
      </c>
      <c r="Z63" s="2028">
        <f t="shared" si="16"/>
        <v>0.10188</v>
      </c>
      <c r="AA63" s="2028">
        <f t="shared" si="16"/>
        <v>0.10188</v>
      </c>
      <c r="AB63" s="2028">
        <f t="shared" si="16"/>
        <v>0.10188</v>
      </c>
      <c r="AC63" s="2026">
        <v>0.67500000000000004</v>
      </c>
      <c r="AD63" s="2026">
        <v>0.67500000000000004</v>
      </c>
      <c r="AE63" s="2026">
        <v>0.67500000000000004</v>
      </c>
      <c r="AF63" s="2026">
        <v>0.67500000000000004</v>
      </c>
      <c r="AG63" s="2027">
        <f t="shared" si="24"/>
        <v>0</v>
      </c>
      <c r="AH63" s="2027">
        <f t="shared" si="24"/>
        <v>0</v>
      </c>
      <c r="AI63" s="2027">
        <f t="shared" si="24"/>
        <v>0</v>
      </c>
      <c r="AJ63" s="2027">
        <f t="shared" si="24"/>
        <v>0</v>
      </c>
      <c r="AK63" s="2027">
        <v>1</v>
      </c>
      <c r="AL63" s="2027">
        <v>1</v>
      </c>
      <c r="AM63" s="2027">
        <v>1</v>
      </c>
      <c r="AN63" s="2027">
        <v>1</v>
      </c>
      <c r="AO63" s="2027">
        <f t="shared" si="32"/>
        <v>315.94685999999996</v>
      </c>
      <c r="AP63" s="2027">
        <f t="shared" si="29"/>
        <v>315.94685999999996</v>
      </c>
      <c r="AQ63" s="2027">
        <f t="shared" si="29"/>
        <v>315.94685999999996</v>
      </c>
      <c r="AR63" s="2027"/>
      <c r="AS63" s="2027">
        <f t="shared" si="5"/>
        <v>315.94685999999996</v>
      </c>
      <c r="AT63" s="2027">
        <f t="shared" si="33"/>
        <v>0</v>
      </c>
      <c r="AU63" s="2027">
        <f t="shared" si="34"/>
        <v>0</v>
      </c>
      <c r="AV63" s="2027">
        <f t="shared" si="34"/>
        <v>0</v>
      </c>
      <c r="AW63" s="2027">
        <f t="shared" si="25"/>
        <v>0</v>
      </c>
      <c r="AX63" s="2029">
        <v>25</v>
      </c>
      <c r="AY63" s="2029">
        <v>25</v>
      </c>
      <c r="AZ63" s="2029">
        <v>25</v>
      </c>
      <c r="BA63" s="2029">
        <v>25</v>
      </c>
      <c r="BB63" s="1974"/>
      <c r="BC63" s="2029">
        <v>0</v>
      </c>
      <c r="BD63" s="2029">
        <v>0</v>
      </c>
      <c r="BE63" s="2029">
        <v>0</v>
      </c>
      <c r="BF63" s="2029">
        <v>150</v>
      </c>
      <c r="BG63" s="2029">
        <v>150</v>
      </c>
      <c r="BH63" s="2029">
        <v>150</v>
      </c>
      <c r="BI63" s="2029">
        <v>150</v>
      </c>
      <c r="BJ63" s="2030">
        <f t="shared" si="30"/>
        <v>25</v>
      </c>
      <c r="BK63" s="2030">
        <f t="shared" si="30"/>
        <v>25</v>
      </c>
      <c r="BL63" s="2030">
        <f t="shared" si="30"/>
        <v>25</v>
      </c>
      <c r="BM63" s="2030"/>
      <c r="BN63" s="2030">
        <f t="shared" si="9"/>
        <v>25</v>
      </c>
      <c r="BO63" s="2030">
        <f t="shared" si="10"/>
        <v>0</v>
      </c>
      <c r="BP63" s="2030"/>
      <c r="BQ63" s="2030">
        <f t="shared" si="31"/>
        <v>0</v>
      </c>
      <c r="BR63" s="2030">
        <f t="shared" si="31"/>
        <v>0</v>
      </c>
      <c r="BS63" s="2030">
        <f t="shared" si="31"/>
        <v>0</v>
      </c>
      <c r="BT63" s="2031"/>
      <c r="BU63" s="2031"/>
      <c r="BV63" s="2031"/>
      <c r="BW63" s="2031"/>
      <c r="BX63" s="2031"/>
      <c r="BY63" s="2031"/>
      <c r="BZ63" s="2031"/>
      <c r="CA63" s="2031"/>
      <c r="CB63" s="2029"/>
      <c r="CC63" s="2029"/>
      <c r="CD63" s="2029"/>
      <c r="CE63" s="2029"/>
      <c r="CF63" s="2029"/>
      <c r="CG63" s="2032"/>
      <c r="CH63" s="1974"/>
      <c r="CI63" s="1974"/>
      <c r="CJ63" s="1974"/>
      <c r="CK63" s="1974"/>
      <c r="CL63" s="1974">
        <v>0</v>
      </c>
      <c r="CM63" s="2033">
        <v>1.0582695969211483E-6</v>
      </c>
      <c r="CN63" s="2026">
        <v>0</v>
      </c>
      <c r="CO63" s="1974">
        <v>0</v>
      </c>
      <c r="CP63" s="2040">
        <v>0</v>
      </c>
      <c r="CQ63" s="2040"/>
      <c r="CR63" s="2062">
        <v>1</v>
      </c>
      <c r="CS63" s="2062">
        <v>1</v>
      </c>
      <c r="CT63" s="2062">
        <v>1</v>
      </c>
      <c r="CU63" s="2062">
        <v>1</v>
      </c>
      <c r="CV63" s="2036"/>
      <c r="CW63" s="2036"/>
      <c r="CX63" s="2036"/>
      <c r="CY63" s="2049"/>
      <c r="CZ63" s="2049"/>
      <c r="DA63" s="2049"/>
    </row>
    <row r="64" spans="1:105" x14ac:dyDescent="0.25">
      <c r="A64" s="2185" t="s">
        <v>123</v>
      </c>
      <c r="B64" s="2022" t="s">
        <v>2918</v>
      </c>
      <c r="C64" s="2023">
        <v>7</v>
      </c>
      <c r="D64" s="2023">
        <v>0</v>
      </c>
      <c r="E64" s="2024">
        <v>625.23</v>
      </c>
      <c r="F64" s="2024"/>
      <c r="G64" s="2024">
        <v>0.2</v>
      </c>
      <c r="H64" s="2024"/>
      <c r="I64" s="2023">
        <v>0</v>
      </c>
      <c r="J64" s="2027"/>
      <c r="K64" s="2026" t="s">
        <v>2899</v>
      </c>
      <c r="L64" s="2026" t="s">
        <v>2899</v>
      </c>
      <c r="M64" s="2026">
        <v>0.84899999999999998</v>
      </c>
      <c r="N64" s="2026">
        <v>0.84899999999999998</v>
      </c>
      <c r="O64" s="2026">
        <v>0.84899999999999998</v>
      </c>
      <c r="P64" s="2026">
        <v>0.84899999999999998</v>
      </c>
      <c r="Q64" s="2027">
        <f t="shared" si="15"/>
        <v>530.82027000000005</v>
      </c>
      <c r="R64" s="2027">
        <f t="shared" si="15"/>
        <v>530.82027000000005</v>
      </c>
      <c r="S64" s="2027">
        <f t="shared" si="15"/>
        <v>530.82027000000005</v>
      </c>
      <c r="T64" s="2027">
        <f t="shared" si="15"/>
        <v>530.82027000000005</v>
      </c>
      <c r="U64" s="2026">
        <v>0.84899999999999998</v>
      </c>
      <c r="V64" s="2026">
        <v>0.84899999999999998</v>
      </c>
      <c r="W64" s="2026">
        <v>0.84899999999999998</v>
      </c>
      <c r="X64" s="2026">
        <v>0.84899999999999998</v>
      </c>
      <c r="Y64" s="2028">
        <f t="shared" si="16"/>
        <v>0.16980000000000001</v>
      </c>
      <c r="Z64" s="2028">
        <f t="shared" si="16"/>
        <v>0.16980000000000001</v>
      </c>
      <c r="AA64" s="2028">
        <f t="shared" si="16"/>
        <v>0.16980000000000001</v>
      </c>
      <c r="AB64" s="2028">
        <f t="shared" si="16"/>
        <v>0.16980000000000001</v>
      </c>
      <c r="AC64" s="2026">
        <v>0.67500000000000004</v>
      </c>
      <c r="AD64" s="2026">
        <v>0.67500000000000004</v>
      </c>
      <c r="AE64" s="2026">
        <v>0.67500000000000004</v>
      </c>
      <c r="AF64" s="2026">
        <v>0.67500000000000004</v>
      </c>
      <c r="AG64" s="2027">
        <f t="shared" si="24"/>
        <v>0</v>
      </c>
      <c r="AH64" s="2027">
        <f t="shared" si="24"/>
        <v>0</v>
      </c>
      <c r="AI64" s="2027">
        <f t="shared" si="24"/>
        <v>0</v>
      </c>
      <c r="AJ64" s="2027">
        <f t="shared" si="24"/>
        <v>0</v>
      </c>
      <c r="AK64" s="2027">
        <v>1</v>
      </c>
      <c r="AL64" s="2027">
        <v>1</v>
      </c>
      <c r="AM64" s="2027">
        <v>1</v>
      </c>
      <c r="AN64" s="2027">
        <v>1</v>
      </c>
      <c r="AO64" s="2027">
        <f t="shared" si="32"/>
        <v>530.82027000000005</v>
      </c>
      <c r="AP64" s="2027">
        <f t="shared" si="29"/>
        <v>530.82027000000005</v>
      </c>
      <c r="AQ64" s="2027">
        <f t="shared" si="29"/>
        <v>530.82027000000005</v>
      </c>
      <c r="AR64" s="2027"/>
      <c r="AS64" s="2027">
        <f t="shared" si="5"/>
        <v>530.82027000000005</v>
      </c>
      <c r="AT64" s="2027">
        <f t="shared" si="33"/>
        <v>0</v>
      </c>
      <c r="AU64" s="2027">
        <f t="shared" si="34"/>
        <v>0</v>
      </c>
      <c r="AV64" s="2027">
        <f t="shared" si="34"/>
        <v>0</v>
      </c>
      <c r="AW64" s="2027">
        <f t="shared" si="25"/>
        <v>0</v>
      </c>
      <c r="AX64" s="2029">
        <v>50</v>
      </c>
      <c r="AY64" s="2029">
        <v>50</v>
      </c>
      <c r="AZ64" s="2029">
        <v>50</v>
      </c>
      <c r="BA64" s="2029">
        <v>50</v>
      </c>
      <c r="BB64" s="1974"/>
      <c r="BC64" s="2029">
        <v>0</v>
      </c>
      <c r="BD64" s="2029">
        <v>0</v>
      </c>
      <c r="BE64" s="2029">
        <v>0</v>
      </c>
      <c r="BF64" s="2029">
        <v>150</v>
      </c>
      <c r="BG64" s="2029">
        <v>150</v>
      </c>
      <c r="BH64" s="2029">
        <v>150</v>
      </c>
      <c r="BI64" s="2029">
        <v>150</v>
      </c>
      <c r="BJ64" s="2030">
        <f t="shared" si="30"/>
        <v>50</v>
      </c>
      <c r="BK64" s="2030">
        <f t="shared" si="30"/>
        <v>50</v>
      </c>
      <c r="BL64" s="2030">
        <f t="shared" si="30"/>
        <v>50</v>
      </c>
      <c r="BM64" s="2030"/>
      <c r="BN64" s="2030">
        <f t="shared" si="9"/>
        <v>50</v>
      </c>
      <c r="BO64" s="2030">
        <f t="shared" si="10"/>
        <v>0</v>
      </c>
      <c r="BP64" s="2030"/>
      <c r="BQ64" s="2030">
        <f t="shared" si="31"/>
        <v>0</v>
      </c>
      <c r="BR64" s="2030">
        <f t="shared" si="31"/>
        <v>0</v>
      </c>
      <c r="BS64" s="2030">
        <f t="shared" si="31"/>
        <v>0</v>
      </c>
      <c r="BT64" s="2031"/>
      <c r="BU64" s="2031"/>
      <c r="BV64" s="2031"/>
      <c r="BW64" s="2031"/>
      <c r="BX64" s="2031"/>
      <c r="BY64" s="2031"/>
      <c r="BZ64" s="2031"/>
      <c r="CA64" s="2031"/>
      <c r="CB64" s="2029"/>
      <c r="CC64" s="2029"/>
      <c r="CD64" s="2029"/>
      <c r="CE64" s="2029"/>
      <c r="CF64" s="2029"/>
      <c r="CG64" s="2032"/>
      <c r="CH64" s="1974"/>
      <c r="CI64" s="1974"/>
      <c r="CJ64" s="1974"/>
      <c r="CK64" s="1974"/>
      <c r="CL64" s="1974">
        <v>0</v>
      </c>
      <c r="CM64" s="2033">
        <v>1.7779918849976076E-6</v>
      </c>
      <c r="CN64" s="2026">
        <v>0</v>
      </c>
      <c r="CO64" s="1974">
        <v>0</v>
      </c>
      <c r="CP64" s="2040">
        <v>0</v>
      </c>
      <c r="CQ64" s="2040"/>
      <c r="CR64" s="2062">
        <v>1</v>
      </c>
      <c r="CS64" s="2062">
        <v>1</v>
      </c>
      <c r="CT64" s="2062">
        <v>1</v>
      </c>
      <c r="CU64" s="2062">
        <v>1</v>
      </c>
      <c r="CV64" s="2036"/>
      <c r="CW64" s="2036"/>
      <c r="CX64" s="2036"/>
      <c r="CY64" s="2049"/>
      <c r="CZ64" s="2049"/>
      <c r="DA64" s="2049"/>
    </row>
    <row r="65" spans="1:105" x14ac:dyDescent="0.25">
      <c r="A65" s="2185" t="s">
        <v>124</v>
      </c>
      <c r="B65" s="2022" t="s">
        <v>2919</v>
      </c>
      <c r="C65" s="2023">
        <v>7</v>
      </c>
      <c r="D65" s="2023">
        <v>0</v>
      </c>
      <c r="E65" s="2024">
        <v>1122.3599999999999</v>
      </c>
      <c r="F65" s="2024"/>
      <c r="G65" s="2024">
        <v>0.36</v>
      </c>
      <c r="H65" s="2024"/>
      <c r="I65" s="2023">
        <v>0</v>
      </c>
      <c r="J65" s="2027"/>
      <c r="K65" s="2026" t="s">
        <v>2899</v>
      </c>
      <c r="L65" s="2026" t="s">
        <v>2899</v>
      </c>
      <c r="M65" s="2026">
        <v>0.84899999999999998</v>
      </c>
      <c r="N65" s="2026">
        <v>0.84899999999999998</v>
      </c>
      <c r="O65" s="2026">
        <v>0.84899999999999998</v>
      </c>
      <c r="P65" s="2026">
        <v>0.84899999999999998</v>
      </c>
      <c r="Q65" s="2027">
        <f t="shared" si="15"/>
        <v>952.8836399999999</v>
      </c>
      <c r="R65" s="2027">
        <f t="shared" si="15"/>
        <v>952.8836399999999</v>
      </c>
      <c r="S65" s="2027">
        <f t="shared" si="15"/>
        <v>952.8836399999999</v>
      </c>
      <c r="T65" s="2027">
        <f t="shared" si="15"/>
        <v>952.8836399999999</v>
      </c>
      <c r="U65" s="2026">
        <v>0.84899999999999998</v>
      </c>
      <c r="V65" s="2026">
        <v>0.84899999999999998</v>
      </c>
      <c r="W65" s="2026">
        <v>0.84899999999999998</v>
      </c>
      <c r="X65" s="2026">
        <v>0.84899999999999998</v>
      </c>
      <c r="Y65" s="2028">
        <f t="shared" si="16"/>
        <v>0.30563999999999997</v>
      </c>
      <c r="Z65" s="2028">
        <f t="shared" si="16"/>
        <v>0.30563999999999997</v>
      </c>
      <c r="AA65" s="2028">
        <f t="shared" si="16"/>
        <v>0.30563999999999997</v>
      </c>
      <c r="AB65" s="2028">
        <f t="shared" si="16"/>
        <v>0.30563999999999997</v>
      </c>
      <c r="AC65" s="2026">
        <v>0.67500000000000004</v>
      </c>
      <c r="AD65" s="2026">
        <v>0.67500000000000004</v>
      </c>
      <c r="AE65" s="2026">
        <v>0.67500000000000004</v>
      </c>
      <c r="AF65" s="2026">
        <v>0.67500000000000004</v>
      </c>
      <c r="AG65" s="2027">
        <f t="shared" si="24"/>
        <v>0</v>
      </c>
      <c r="AH65" s="2027">
        <f t="shared" si="24"/>
        <v>0</v>
      </c>
      <c r="AI65" s="2027">
        <f t="shared" si="24"/>
        <v>0</v>
      </c>
      <c r="AJ65" s="2027">
        <f t="shared" si="24"/>
        <v>0</v>
      </c>
      <c r="AK65" s="2027">
        <v>1</v>
      </c>
      <c r="AL65" s="2027">
        <v>1</v>
      </c>
      <c r="AM65" s="2027">
        <v>1</v>
      </c>
      <c r="AN65" s="2027">
        <v>1</v>
      </c>
      <c r="AO65" s="2027">
        <f t="shared" si="32"/>
        <v>952.8836399999999</v>
      </c>
      <c r="AP65" s="2027">
        <f t="shared" si="29"/>
        <v>952.8836399999999</v>
      </c>
      <c r="AQ65" s="2027">
        <f t="shared" si="29"/>
        <v>952.8836399999999</v>
      </c>
      <c r="AR65" s="2027"/>
      <c r="AS65" s="2027">
        <f t="shared" si="5"/>
        <v>952.8836399999999</v>
      </c>
      <c r="AT65" s="2027">
        <f t="shared" si="33"/>
        <v>0</v>
      </c>
      <c r="AU65" s="2027">
        <f t="shared" si="34"/>
        <v>0</v>
      </c>
      <c r="AV65" s="2027">
        <f t="shared" si="34"/>
        <v>0</v>
      </c>
      <c r="AW65" s="2027">
        <f t="shared" si="25"/>
        <v>0</v>
      </c>
      <c r="AX65" s="2029">
        <v>100</v>
      </c>
      <c r="AY65" s="2029">
        <v>100</v>
      </c>
      <c r="AZ65" s="2029">
        <v>100</v>
      </c>
      <c r="BA65" s="2029">
        <v>100</v>
      </c>
      <c r="BB65" s="1974"/>
      <c r="BC65" s="2029">
        <v>0</v>
      </c>
      <c r="BD65" s="2029">
        <v>0</v>
      </c>
      <c r="BE65" s="2029">
        <v>0</v>
      </c>
      <c r="BF65" s="2029">
        <v>150</v>
      </c>
      <c r="BG65" s="2029">
        <v>150</v>
      </c>
      <c r="BH65" s="2029">
        <v>150</v>
      </c>
      <c r="BI65" s="2029">
        <v>150</v>
      </c>
      <c r="BJ65" s="2030">
        <f t="shared" si="30"/>
        <v>100</v>
      </c>
      <c r="BK65" s="2030">
        <f t="shared" si="30"/>
        <v>100</v>
      </c>
      <c r="BL65" s="2030">
        <f t="shared" si="30"/>
        <v>100</v>
      </c>
      <c r="BM65" s="2030"/>
      <c r="BN65" s="2030">
        <f t="shared" si="9"/>
        <v>100</v>
      </c>
      <c r="BO65" s="2030">
        <f t="shared" si="10"/>
        <v>0</v>
      </c>
      <c r="BP65" s="2030"/>
      <c r="BQ65" s="2030">
        <f t="shared" si="31"/>
        <v>0</v>
      </c>
      <c r="BR65" s="2030">
        <f t="shared" si="31"/>
        <v>0</v>
      </c>
      <c r="BS65" s="2030">
        <f t="shared" si="31"/>
        <v>0</v>
      </c>
      <c r="BT65" s="2031"/>
      <c r="BU65" s="2031"/>
      <c r="BV65" s="2031"/>
      <c r="BW65" s="2031"/>
      <c r="BX65" s="2031"/>
      <c r="BY65" s="2031"/>
      <c r="BZ65" s="2031"/>
      <c r="CA65" s="2031"/>
      <c r="CB65" s="2029"/>
      <c r="CC65" s="2029"/>
      <c r="CD65" s="2029"/>
      <c r="CE65" s="2029"/>
      <c r="CF65" s="2029"/>
      <c r="CG65" s="2032"/>
      <c r="CH65" s="1974"/>
      <c r="CI65" s="1974"/>
      <c r="CJ65" s="1974"/>
      <c r="CK65" s="1974"/>
      <c r="CL65" s="1974">
        <v>0</v>
      </c>
      <c r="CM65" s="2033">
        <v>3.1917006094491857E-6</v>
      </c>
      <c r="CN65" s="2026">
        <v>0</v>
      </c>
      <c r="CO65" s="1974">
        <v>0</v>
      </c>
      <c r="CP65" s="2040">
        <v>0</v>
      </c>
      <c r="CQ65" s="2040"/>
      <c r="CR65" s="2062">
        <v>1</v>
      </c>
      <c r="CS65" s="2062">
        <v>1</v>
      </c>
      <c r="CT65" s="2062">
        <v>1</v>
      </c>
      <c r="CU65" s="2062">
        <v>1</v>
      </c>
      <c r="CV65" s="2036"/>
      <c r="CW65" s="2036"/>
      <c r="CX65" s="2036"/>
      <c r="CY65" s="2049"/>
      <c r="CZ65" s="2049"/>
      <c r="DA65" s="2049"/>
    </row>
    <row r="66" spans="1:105" x14ac:dyDescent="0.25">
      <c r="A66" s="2185" t="s">
        <v>125</v>
      </c>
      <c r="B66" s="2022" t="s">
        <v>2920</v>
      </c>
      <c r="C66" s="2023">
        <v>7</v>
      </c>
      <c r="D66" s="2023">
        <v>0</v>
      </c>
      <c r="E66" s="2024">
        <v>372.14</v>
      </c>
      <c r="F66" s="2024"/>
      <c r="G66" s="2024">
        <v>0.12</v>
      </c>
      <c r="H66" s="2024"/>
      <c r="I66" s="2023">
        <v>0</v>
      </c>
      <c r="J66" s="2027"/>
      <c r="K66" s="2026" t="s">
        <v>2899</v>
      </c>
      <c r="L66" s="2026" t="s">
        <v>2899</v>
      </c>
      <c r="M66" s="2026">
        <v>0.84899999999999998</v>
      </c>
      <c r="N66" s="2026">
        <v>0.84899999999999998</v>
      </c>
      <c r="O66" s="2026">
        <v>0.84899999999999998</v>
      </c>
      <c r="P66" s="2026">
        <v>0.84899999999999998</v>
      </c>
      <c r="Q66" s="2027">
        <f t="shared" si="15"/>
        <v>315.94685999999996</v>
      </c>
      <c r="R66" s="2027">
        <f t="shared" si="15"/>
        <v>315.94685999999996</v>
      </c>
      <c r="S66" s="2027">
        <f t="shared" si="15"/>
        <v>315.94685999999996</v>
      </c>
      <c r="T66" s="2027">
        <f t="shared" si="15"/>
        <v>315.94685999999996</v>
      </c>
      <c r="U66" s="2026">
        <v>0.84899999999999998</v>
      </c>
      <c r="V66" s="2026">
        <v>0.84899999999999998</v>
      </c>
      <c r="W66" s="2026">
        <v>0.84899999999999998</v>
      </c>
      <c r="X66" s="2026">
        <v>0.84899999999999998</v>
      </c>
      <c r="Y66" s="2028">
        <f t="shared" si="16"/>
        <v>0.10188</v>
      </c>
      <c r="Z66" s="2028">
        <f t="shared" si="16"/>
        <v>0.10188</v>
      </c>
      <c r="AA66" s="2028">
        <f t="shared" si="16"/>
        <v>0.10188</v>
      </c>
      <c r="AB66" s="2028">
        <f t="shared" si="16"/>
        <v>0.10188</v>
      </c>
      <c r="AC66" s="2026">
        <v>0.67500000000000004</v>
      </c>
      <c r="AD66" s="2026">
        <v>0.67500000000000004</v>
      </c>
      <c r="AE66" s="2026">
        <v>0.67500000000000004</v>
      </c>
      <c r="AF66" s="2026">
        <v>0.67500000000000004</v>
      </c>
      <c r="AG66" s="2027">
        <f t="shared" si="24"/>
        <v>0</v>
      </c>
      <c r="AH66" s="2027">
        <f t="shared" si="24"/>
        <v>0</v>
      </c>
      <c r="AI66" s="2027">
        <f t="shared" si="24"/>
        <v>0</v>
      </c>
      <c r="AJ66" s="2027">
        <f t="shared" si="24"/>
        <v>0</v>
      </c>
      <c r="AK66" s="2027">
        <v>1</v>
      </c>
      <c r="AL66" s="2027">
        <v>1</v>
      </c>
      <c r="AM66" s="2027">
        <v>1</v>
      </c>
      <c r="AN66" s="2027">
        <v>1</v>
      </c>
      <c r="AO66" s="2027">
        <f t="shared" si="32"/>
        <v>315.94685999999996</v>
      </c>
      <c r="AP66" s="2027">
        <f t="shared" si="29"/>
        <v>315.94685999999996</v>
      </c>
      <c r="AQ66" s="2027">
        <f t="shared" si="29"/>
        <v>315.94685999999996</v>
      </c>
      <c r="AR66" s="2027"/>
      <c r="AS66" s="2027">
        <f t="shared" si="5"/>
        <v>315.94685999999996</v>
      </c>
      <c r="AT66" s="2027">
        <f t="shared" si="33"/>
        <v>0</v>
      </c>
      <c r="AU66" s="2027">
        <f t="shared" si="34"/>
        <v>0</v>
      </c>
      <c r="AV66" s="2027">
        <f t="shared" si="34"/>
        <v>0</v>
      </c>
      <c r="AW66" s="2027">
        <f t="shared" si="25"/>
        <v>0</v>
      </c>
      <c r="AX66" s="2029">
        <v>25</v>
      </c>
      <c r="AY66" s="2029">
        <v>25</v>
      </c>
      <c r="AZ66" s="2029">
        <v>25</v>
      </c>
      <c r="BA66" s="2029">
        <v>25</v>
      </c>
      <c r="BB66" s="1974"/>
      <c r="BC66" s="2029">
        <v>0</v>
      </c>
      <c r="BD66" s="2029">
        <v>0</v>
      </c>
      <c r="BE66" s="2029">
        <v>0</v>
      </c>
      <c r="BF66" s="2029">
        <v>150</v>
      </c>
      <c r="BG66" s="2029">
        <v>150</v>
      </c>
      <c r="BH66" s="2029">
        <v>150</v>
      </c>
      <c r="BI66" s="2029">
        <v>150</v>
      </c>
      <c r="BJ66" s="2030">
        <f t="shared" si="30"/>
        <v>25</v>
      </c>
      <c r="BK66" s="2030">
        <f t="shared" si="30"/>
        <v>25</v>
      </c>
      <c r="BL66" s="2030">
        <f t="shared" si="30"/>
        <v>25</v>
      </c>
      <c r="BM66" s="2030"/>
      <c r="BN66" s="2030">
        <f t="shared" si="9"/>
        <v>25</v>
      </c>
      <c r="BO66" s="2030">
        <f t="shared" si="10"/>
        <v>0</v>
      </c>
      <c r="BP66" s="2030"/>
      <c r="BQ66" s="2030">
        <f t="shared" si="31"/>
        <v>0</v>
      </c>
      <c r="BR66" s="2030">
        <f t="shared" si="31"/>
        <v>0</v>
      </c>
      <c r="BS66" s="2030">
        <f t="shared" si="31"/>
        <v>0</v>
      </c>
      <c r="BT66" s="2031"/>
      <c r="BU66" s="2031"/>
      <c r="BV66" s="2031"/>
      <c r="BW66" s="2031"/>
      <c r="BX66" s="2031"/>
      <c r="BY66" s="2031"/>
      <c r="BZ66" s="2031"/>
      <c r="CA66" s="2031"/>
      <c r="CB66" s="2029"/>
      <c r="CC66" s="2029"/>
      <c r="CD66" s="2029"/>
      <c r="CE66" s="2029"/>
      <c r="CF66" s="2029"/>
      <c r="CG66" s="2032"/>
      <c r="CH66" s="1974"/>
      <c r="CI66" s="1974"/>
      <c r="CJ66" s="1974"/>
      <c r="CK66" s="1974"/>
      <c r="CL66" s="1974">
        <v>0</v>
      </c>
      <c r="CM66" s="2033">
        <v>1.0582695969211483E-6</v>
      </c>
      <c r="CN66" s="2026">
        <v>0</v>
      </c>
      <c r="CO66" s="1974">
        <v>0</v>
      </c>
      <c r="CP66" s="2040">
        <v>0</v>
      </c>
      <c r="CQ66" s="2040"/>
      <c r="CR66" s="2062">
        <v>1</v>
      </c>
      <c r="CS66" s="2062">
        <v>1</v>
      </c>
      <c r="CT66" s="2062">
        <v>1</v>
      </c>
      <c r="CU66" s="2062">
        <v>1</v>
      </c>
      <c r="CV66" s="2036"/>
      <c r="CW66" s="2036"/>
      <c r="CX66" s="2036"/>
      <c r="CY66" s="2049"/>
      <c r="CZ66" s="2049"/>
      <c r="DA66" s="2049"/>
    </row>
    <row r="67" spans="1:105" x14ac:dyDescent="0.25">
      <c r="A67" s="2185" t="s">
        <v>126</v>
      </c>
      <c r="B67" s="2022" t="s">
        <v>2921</v>
      </c>
      <c r="C67" s="2023">
        <v>7</v>
      </c>
      <c r="D67" s="2023">
        <v>0</v>
      </c>
      <c r="E67" s="2024">
        <v>625.23</v>
      </c>
      <c r="F67" s="2024"/>
      <c r="G67" s="2024">
        <v>0.2</v>
      </c>
      <c r="H67" s="2024"/>
      <c r="I67" s="2023">
        <v>0</v>
      </c>
      <c r="J67" s="2027"/>
      <c r="K67" s="2026" t="s">
        <v>2899</v>
      </c>
      <c r="L67" s="2026" t="s">
        <v>2899</v>
      </c>
      <c r="M67" s="2026">
        <v>0.84899999999999998</v>
      </c>
      <c r="N67" s="2026">
        <v>0.84899999999999998</v>
      </c>
      <c r="O67" s="2026">
        <v>0.84899999999999998</v>
      </c>
      <c r="P67" s="2026">
        <v>0.84899999999999998</v>
      </c>
      <c r="Q67" s="2027">
        <f t="shared" si="15"/>
        <v>530.82027000000005</v>
      </c>
      <c r="R67" s="2027">
        <f t="shared" si="15"/>
        <v>530.82027000000005</v>
      </c>
      <c r="S67" s="2027">
        <f t="shared" si="15"/>
        <v>530.82027000000005</v>
      </c>
      <c r="T67" s="2027">
        <f t="shared" si="15"/>
        <v>530.82027000000005</v>
      </c>
      <c r="U67" s="2026">
        <v>0.84899999999999998</v>
      </c>
      <c r="V67" s="2026">
        <v>0.84899999999999998</v>
      </c>
      <c r="W67" s="2026">
        <v>0.84899999999999998</v>
      </c>
      <c r="X67" s="2026">
        <v>0.84899999999999998</v>
      </c>
      <c r="Y67" s="2028">
        <f t="shared" si="16"/>
        <v>0.16980000000000001</v>
      </c>
      <c r="Z67" s="2028">
        <f t="shared" si="16"/>
        <v>0.16980000000000001</v>
      </c>
      <c r="AA67" s="2028">
        <f t="shared" si="16"/>
        <v>0.16980000000000001</v>
      </c>
      <c r="AB67" s="2028">
        <f t="shared" si="16"/>
        <v>0.16980000000000001</v>
      </c>
      <c r="AC67" s="2026">
        <v>0.67500000000000004</v>
      </c>
      <c r="AD67" s="2026">
        <v>0.67500000000000004</v>
      </c>
      <c r="AE67" s="2026">
        <v>0.67500000000000004</v>
      </c>
      <c r="AF67" s="2026">
        <v>0.67500000000000004</v>
      </c>
      <c r="AG67" s="2027">
        <f t="shared" si="24"/>
        <v>0</v>
      </c>
      <c r="AH67" s="2027">
        <f t="shared" si="24"/>
        <v>0</v>
      </c>
      <c r="AI67" s="2027">
        <f t="shared" si="24"/>
        <v>0</v>
      </c>
      <c r="AJ67" s="2027">
        <f t="shared" si="24"/>
        <v>0</v>
      </c>
      <c r="AK67" s="2027">
        <v>1</v>
      </c>
      <c r="AL67" s="2027">
        <v>1</v>
      </c>
      <c r="AM67" s="2027">
        <v>1</v>
      </c>
      <c r="AN67" s="2027">
        <v>1</v>
      </c>
      <c r="AO67" s="2027">
        <f t="shared" si="32"/>
        <v>530.82027000000005</v>
      </c>
      <c r="AP67" s="2027">
        <f t="shared" si="29"/>
        <v>530.82027000000005</v>
      </c>
      <c r="AQ67" s="2027">
        <f t="shared" si="29"/>
        <v>530.82027000000005</v>
      </c>
      <c r="AR67" s="2027"/>
      <c r="AS67" s="2027">
        <f t="shared" si="5"/>
        <v>530.82027000000005</v>
      </c>
      <c r="AT67" s="2027">
        <f t="shared" si="33"/>
        <v>0</v>
      </c>
      <c r="AU67" s="2027">
        <f t="shared" si="34"/>
        <v>0</v>
      </c>
      <c r="AV67" s="2027">
        <f t="shared" si="34"/>
        <v>0</v>
      </c>
      <c r="AW67" s="2027">
        <f t="shared" si="25"/>
        <v>0</v>
      </c>
      <c r="AX67" s="2029">
        <v>50</v>
      </c>
      <c r="AY67" s="2029">
        <v>50</v>
      </c>
      <c r="AZ67" s="2029">
        <v>50</v>
      </c>
      <c r="BA67" s="2029">
        <v>50</v>
      </c>
      <c r="BB67" s="1974"/>
      <c r="BC67" s="2029">
        <v>0</v>
      </c>
      <c r="BD67" s="2029">
        <v>0</v>
      </c>
      <c r="BE67" s="2029">
        <v>0</v>
      </c>
      <c r="BF67" s="2029">
        <v>150</v>
      </c>
      <c r="BG67" s="2029">
        <v>150</v>
      </c>
      <c r="BH67" s="2029">
        <v>150</v>
      </c>
      <c r="BI67" s="2029">
        <v>150</v>
      </c>
      <c r="BJ67" s="2030">
        <f t="shared" si="30"/>
        <v>50</v>
      </c>
      <c r="BK67" s="2030">
        <f t="shared" si="30"/>
        <v>50</v>
      </c>
      <c r="BL67" s="2030">
        <f t="shared" si="30"/>
        <v>50</v>
      </c>
      <c r="BM67" s="2030"/>
      <c r="BN67" s="2030">
        <f t="shared" si="9"/>
        <v>50</v>
      </c>
      <c r="BO67" s="2030">
        <f t="shared" si="10"/>
        <v>0</v>
      </c>
      <c r="BP67" s="2030"/>
      <c r="BQ67" s="2030">
        <f t="shared" si="31"/>
        <v>0</v>
      </c>
      <c r="BR67" s="2030">
        <f t="shared" si="31"/>
        <v>0</v>
      </c>
      <c r="BS67" s="2030">
        <f t="shared" si="31"/>
        <v>0</v>
      </c>
      <c r="BT67" s="2031"/>
      <c r="BU67" s="2031"/>
      <c r="BV67" s="2031"/>
      <c r="BW67" s="2031"/>
      <c r="BX67" s="2031"/>
      <c r="BY67" s="2031"/>
      <c r="BZ67" s="2031"/>
      <c r="CA67" s="2031"/>
      <c r="CB67" s="2029"/>
      <c r="CC67" s="2029"/>
      <c r="CD67" s="2029"/>
      <c r="CE67" s="2029"/>
      <c r="CF67" s="2029"/>
      <c r="CG67" s="2032"/>
      <c r="CH67" s="1974"/>
      <c r="CI67" s="1974"/>
      <c r="CJ67" s="1974"/>
      <c r="CK67" s="1974"/>
      <c r="CL67" s="1974">
        <v>0</v>
      </c>
      <c r="CM67" s="2033">
        <v>1.7779918849976076E-6</v>
      </c>
      <c r="CN67" s="2026">
        <v>0</v>
      </c>
      <c r="CO67" s="1974">
        <v>0</v>
      </c>
      <c r="CP67" s="2040">
        <v>0</v>
      </c>
      <c r="CQ67" s="2040"/>
      <c r="CR67" s="2062">
        <v>1</v>
      </c>
      <c r="CS67" s="2062">
        <v>1</v>
      </c>
      <c r="CT67" s="2062">
        <v>1</v>
      </c>
      <c r="CU67" s="2062">
        <v>1</v>
      </c>
      <c r="CV67" s="2036"/>
      <c r="CW67" s="2036"/>
      <c r="CX67" s="2036"/>
      <c r="CY67" s="2049"/>
      <c r="CZ67" s="2049"/>
      <c r="DA67" s="2049"/>
    </row>
    <row r="68" spans="1:105" x14ac:dyDescent="0.25">
      <c r="A68" s="2185" t="s">
        <v>127</v>
      </c>
      <c r="B68" s="2022" t="s">
        <v>2922</v>
      </c>
      <c r="C68" s="2023">
        <v>7</v>
      </c>
      <c r="D68" s="2023">
        <v>0</v>
      </c>
      <c r="E68" s="2024">
        <v>1122.3599999999999</v>
      </c>
      <c r="F68" s="2024"/>
      <c r="G68" s="2024">
        <v>0.36</v>
      </c>
      <c r="H68" s="2024"/>
      <c r="I68" s="2023">
        <v>0</v>
      </c>
      <c r="J68" s="2027"/>
      <c r="K68" s="2026" t="s">
        <v>2899</v>
      </c>
      <c r="L68" s="2026" t="s">
        <v>2899</v>
      </c>
      <c r="M68" s="2026">
        <v>0.84899999999999998</v>
      </c>
      <c r="N68" s="2026">
        <v>0.84899999999999998</v>
      </c>
      <c r="O68" s="2026">
        <v>0.84899999999999998</v>
      </c>
      <c r="P68" s="2026">
        <v>0.84899999999999998</v>
      </c>
      <c r="Q68" s="2027">
        <f t="shared" si="15"/>
        <v>952.8836399999999</v>
      </c>
      <c r="R68" s="2027">
        <f t="shared" si="15"/>
        <v>952.8836399999999</v>
      </c>
      <c r="S68" s="2027">
        <f t="shared" si="15"/>
        <v>952.8836399999999</v>
      </c>
      <c r="T68" s="2027">
        <f t="shared" si="15"/>
        <v>952.8836399999999</v>
      </c>
      <c r="U68" s="2026">
        <v>0.84899999999999998</v>
      </c>
      <c r="V68" s="2026">
        <v>0.84899999999999998</v>
      </c>
      <c r="W68" s="2026">
        <v>0.84899999999999998</v>
      </c>
      <c r="X68" s="2026">
        <v>0.84899999999999998</v>
      </c>
      <c r="Y68" s="2028">
        <f t="shared" si="16"/>
        <v>0.30563999999999997</v>
      </c>
      <c r="Z68" s="2028">
        <f t="shared" si="16"/>
        <v>0.30563999999999997</v>
      </c>
      <c r="AA68" s="2028">
        <f t="shared" si="16"/>
        <v>0.30563999999999997</v>
      </c>
      <c r="AB68" s="2028">
        <f t="shared" si="16"/>
        <v>0.30563999999999997</v>
      </c>
      <c r="AC68" s="2026">
        <v>0.67500000000000004</v>
      </c>
      <c r="AD68" s="2026">
        <v>0.67500000000000004</v>
      </c>
      <c r="AE68" s="2026">
        <v>0.67500000000000004</v>
      </c>
      <c r="AF68" s="2026">
        <v>0.67500000000000004</v>
      </c>
      <c r="AG68" s="2027">
        <f t="shared" si="24"/>
        <v>0</v>
      </c>
      <c r="AH68" s="2027">
        <f t="shared" si="24"/>
        <v>0</v>
      </c>
      <c r="AI68" s="2027">
        <f t="shared" si="24"/>
        <v>0</v>
      </c>
      <c r="AJ68" s="2027">
        <f t="shared" si="24"/>
        <v>0</v>
      </c>
      <c r="AK68" s="2027">
        <v>1</v>
      </c>
      <c r="AL68" s="2027">
        <v>1</v>
      </c>
      <c r="AM68" s="2027">
        <v>1</v>
      </c>
      <c r="AN68" s="2027">
        <v>1</v>
      </c>
      <c r="AO68" s="2027">
        <f t="shared" si="32"/>
        <v>952.8836399999999</v>
      </c>
      <c r="AP68" s="2027">
        <f t="shared" si="29"/>
        <v>952.8836399999999</v>
      </c>
      <c r="AQ68" s="2027">
        <f t="shared" si="29"/>
        <v>952.8836399999999</v>
      </c>
      <c r="AR68" s="2027"/>
      <c r="AS68" s="2027">
        <f t="shared" si="5"/>
        <v>952.8836399999999</v>
      </c>
      <c r="AT68" s="2027">
        <f t="shared" si="33"/>
        <v>0</v>
      </c>
      <c r="AU68" s="2027">
        <f t="shared" si="34"/>
        <v>0</v>
      </c>
      <c r="AV68" s="2027">
        <f t="shared" si="34"/>
        <v>0</v>
      </c>
      <c r="AW68" s="2027">
        <f t="shared" si="25"/>
        <v>0</v>
      </c>
      <c r="AX68" s="2029">
        <v>100</v>
      </c>
      <c r="AY68" s="2029">
        <v>100</v>
      </c>
      <c r="AZ68" s="2029">
        <v>100</v>
      </c>
      <c r="BA68" s="2029">
        <v>100</v>
      </c>
      <c r="BB68" s="1974"/>
      <c r="BC68" s="2029">
        <v>0</v>
      </c>
      <c r="BD68" s="2029">
        <v>0</v>
      </c>
      <c r="BE68" s="2029">
        <v>0</v>
      </c>
      <c r="BF68" s="2029">
        <v>150</v>
      </c>
      <c r="BG68" s="2029">
        <v>150</v>
      </c>
      <c r="BH68" s="2029">
        <v>150</v>
      </c>
      <c r="BI68" s="2029">
        <v>150</v>
      </c>
      <c r="BJ68" s="2030">
        <f t="shared" si="30"/>
        <v>100</v>
      </c>
      <c r="BK68" s="2030">
        <f t="shared" si="30"/>
        <v>100</v>
      </c>
      <c r="BL68" s="2030">
        <f t="shared" si="30"/>
        <v>100</v>
      </c>
      <c r="BM68" s="2030"/>
      <c r="BN68" s="2030">
        <f t="shared" si="9"/>
        <v>100</v>
      </c>
      <c r="BO68" s="2030">
        <f t="shared" si="10"/>
        <v>0</v>
      </c>
      <c r="BP68" s="2030"/>
      <c r="BQ68" s="2030">
        <f t="shared" si="31"/>
        <v>0</v>
      </c>
      <c r="BR68" s="2030">
        <f t="shared" si="31"/>
        <v>0</v>
      </c>
      <c r="BS68" s="2030">
        <f t="shared" si="31"/>
        <v>0</v>
      </c>
      <c r="BT68" s="2031"/>
      <c r="BU68" s="2031"/>
      <c r="BV68" s="2031"/>
      <c r="BW68" s="2031"/>
      <c r="BX68" s="2031"/>
      <c r="BY68" s="2031"/>
      <c r="BZ68" s="2031"/>
      <c r="CA68" s="2031"/>
      <c r="CB68" s="2029"/>
      <c r="CC68" s="2029"/>
      <c r="CD68" s="2029"/>
      <c r="CE68" s="2029"/>
      <c r="CF68" s="2029"/>
      <c r="CG68" s="2032"/>
      <c r="CH68" s="1974"/>
      <c r="CI68" s="1974"/>
      <c r="CJ68" s="1974"/>
      <c r="CK68" s="1974"/>
      <c r="CL68" s="1974">
        <v>0</v>
      </c>
      <c r="CM68" s="2033">
        <v>3.1917006094491857E-6</v>
      </c>
      <c r="CN68" s="2026">
        <v>0</v>
      </c>
      <c r="CO68" s="1974">
        <v>0</v>
      </c>
      <c r="CP68" s="2040">
        <v>0</v>
      </c>
      <c r="CQ68" s="2040"/>
      <c r="CR68" s="2062">
        <v>1</v>
      </c>
      <c r="CS68" s="2062">
        <v>1</v>
      </c>
      <c r="CT68" s="2062">
        <v>1</v>
      </c>
      <c r="CU68" s="2062">
        <v>1</v>
      </c>
      <c r="CV68" s="2036"/>
      <c r="CW68" s="2036"/>
      <c r="CX68" s="2036"/>
      <c r="CY68" s="2049"/>
      <c r="CZ68" s="2049"/>
      <c r="DA68" s="2049"/>
    </row>
    <row r="69" spans="1:105" x14ac:dyDescent="0.25">
      <c r="A69" s="2185" t="s">
        <v>224</v>
      </c>
      <c r="B69" s="2022" t="s">
        <v>2923</v>
      </c>
      <c r="C69" s="2023">
        <v>10</v>
      </c>
      <c r="D69" s="2023">
        <v>0</v>
      </c>
      <c r="E69" s="2024">
        <v>10018.219999999999</v>
      </c>
      <c r="F69" s="2024"/>
      <c r="G69" s="2024">
        <v>3.6679999999999997</v>
      </c>
      <c r="H69" s="2024"/>
      <c r="I69" s="2023">
        <v>0</v>
      </c>
      <c r="J69" s="2027"/>
      <c r="K69" s="2026" t="s">
        <v>2899</v>
      </c>
      <c r="L69" s="2026" t="s">
        <v>2899</v>
      </c>
      <c r="M69" s="2026">
        <v>0.84899999999999998</v>
      </c>
      <c r="N69" s="2026">
        <v>0.84899999999999998</v>
      </c>
      <c r="O69" s="2026">
        <v>0.84899999999999998</v>
      </c>
      <c r="P69" s="2026">
        <v>0.84899999999999998</v>
      </c>
      <c r="Q69" s="2027">
        <f t="shared" si="15"/>
        <v>8505.4687799999992</v>
      </c>
      <c r="R69" s="2027">
        <f t="shared" si="15"/>
        <v>8505.4687799999992</v>
      </c>
      <c r="S69" s="2027">
        <f t="shared" si="15"/>
        <v>8505.4687799999992</v>
      </c>
      <c r="T69" s="2027">
        <f t="shared" si="15"/>
        <v>8505.4687799999992</v>
      </c>
      <c r="U69" s="2026">
        <v>0.84899999999999998</v>
      </c>
      <c r="V69" s="2026">
        <v>0.84899999999999998</v>
      </c>
      <c r="W69" s="2026">
        <v>0.84899999999999998</v>
      </c>
      <c r="X69" s="2026">
        <v>0.84899999999999998</v>
      </c>
      <c r="Y69" s="2028">
        <f t="shared" si="16"/>
        <v>3.1141319999999997</v>
      </c>
      <c r="Z69" s="2028">
        <f t="shared" si="16"/>
        <v>3.1141319999999997</v>
      </c>
      <c r="AA69" s="2028">
        <f t="shared" si="16"/>
        <v>3.1141319999999997</v>
      </c>
      <c r="AB69" s="2028">
        <f t="shared" si="16"/>
        <v>3.1141319999999997</v>
      </c>
      <c r="AC69" s="2026">
        <v>0.67500000000000004</v>
      </c>
      <c r="AD69" s="2026">
        <v>0.67500000000000004</v>
      </c>
      <c r="AE69" s="2026">
        <v>0.67500000000000004</v>
      </c>
      <c r="AF69" s="2026">
        <v>0.67500000000000004</v>
      </c>
      <c r="AG69" s="2027">
        <f t="shared" si="24"/>
        <v>0</v>
      </c>
      <c r="AH69" s="2027">
        <f t="shared" si="24"/>
        <v>0</v>
      </c>
      <c r="AI69" s="2027">
        <f t="shared" si="24"/>
        <v>0</v>
      </c>
      <c r="AJ69" s="2027">
        <f t="shared" si="24"/>
        <v>0</v>
      </c>
      <c r="AK69" s="2027">
        <v>0</v>
      </c>
      <c r="AL69" s="2027">
        <v>1</v>
      </c>
      <c r="AM69" s="2027">
        <v>1</v>
      </c>
      <c r="AN69" s="2027">
        <v>0</v>
      </c>
      <c r="AO69" s="2027">
        <f t="shared" si="32"/>
        <v>0</v>
      </c>
      <c r="AP69" s="2027">
        <f t="shared" si="29"/>
        <v>8505.4687799999992</v>
      </c>
      <c r="AQ69" s="2027">
        <f t="shared" si="29"/>
        <v>8505.4687799999992</v>
      </c>
      <c r="AR69" s="2027"/>
      <c r="AS69" s="2027">
        <f t="shared" si="5"/>
        <v>0</v>
      </c>
      <c r="AT69" s="2027">
        <f t="shared" si="33"/>
        <v>0</v>
      </c>
      <c r="AU69" s="2027">
        <f t="shared" si="34"/>
        <v>0</v>
      </c>
      <c r="AV69" s="2027">
        <f t="shared" si="34"/>
        <v>0</v>
      </c>
      <c r="AW69" s="2027">
        <f t="shared" si="25"/>
        <v>0</v>
      </c>
      <c r="AX69" s="2029">
        <v>1000</v>
      </c>
      <c r="AY69" s="2029">
        <v>1000</v>
      </c>
      <c r="AZ69" s="2029">
        <v>1000</v>
      </c>
      <c r="BA69" s="2029">
        <v>1000</v>
      </c>
      <c r="BB69" s="1974"/>
      <c r="BC69" s="2029">
        <v>0</v>
      </c>
      <c r="BD69" s="2029">
        <v>0</v>
      </c>
      <c r="BE69" s="2029">
        <v>0</v>
      </c>
      <c r="BF69" s="2029">
        <v>4185</v>
      </c>
      <c r="BG69" s="2029">
        <v>4185</v>
      </c>
      <c r="BH69" s="2029">
        <v>4185</v>
      </c>
      <c r="BI69" s="2029">
        <v>4185</v>
      </c>
      <c r="BJ69" s="2030">
        <f t="shared" si="30"/>
        <v>0</v>
      </c>
      <c r="BK69" s="2030">
        <f t="shared" si="30"/>
        <v>1000</v>
      </c>
      <c r="BL69" s="2030">
        <f t="shared" si="30"/>
        <v>1000</v>
      </c>
      <c r="BM69" s="2030"/>
      <c r="BN69" s="2030">
        <f t="shared" si="9"/>
        <v>0</v>
      </c>
      <c r="BO69" s="2030">
        <f t="shared" si="10"/>
        <v>0</v>
      </c>
      <c r="BP69" s="2030"/>
      <c r="BQ69" s="2030">
        <f t="shared" si="31"/>
        <v>0</v>
      </c>
      <c r="BR69" s="2030">
        <f t="shared" si="31"/>
        <v>0</v>
      </c>
      <c r="BS69" s="2030">
        <f t="shared" si="31"/>
        <v>0</v>
      </c>
      <c r="BT69" s="2031"/>
      <c r="BU69" s="2031"/>
      <c r="BV69" s="2031"/>
      <c r="BW69" s="2031"/>
      <c r="BX69" s="2031"/>
      <c r="BY69" s="2031"/>
      <c r="BZ69" s="2031"/>
      <c r="CA69" s="2031"/>
      <c r="CB69" s="2029"/>
      <c r="CC69" s="2029"/>
      <c r="CD69" s="2029"/>
      <c r="CE69" s="2029"/>
      <c r="CF69" s="2029"/>
      <c r="CG69" s="2032"/>
      <c r="CH69" s="1974"/>
      <c r="CI69" s="1974"/>
      <c r="CJ69" s="1974"/>
      <c r="CK69" s="1974"/>
      <c r="CL69" s="1974">
        <v>0</v>
      </c>
      <c r="CM69" s="2033">
        <v>0</v>
      </c>
      <c r="CN69" s="2026">
        <v>0</v>
      </c>
      <c r="CO69" s="1974">
        <v>0</v>
      </c>
      <c r="CP69" s="2040">
        <v>0</v>
      </c>
      <c r="CQ69" s="2040"/>
      <c r="CR69" s="2062">
        <v>1</v>
      </c>
      <c r="CS69" s="2062">
        <v>1</v>
      </c>
      <c r="CT69" s="2062">
        <v>1</v>
      </c>
      <c r="CU69" s="2062">
        <v>1</v>
      </c>
      <c r="CV69" s="2036"/>
      <c r="CW69" s="2036"/>
      <c r="CX69" s="2036"/>
      <c r="CY69" s="2049"/>
      <c r="CZ69" s="2049"/>
      <c r="DA69" s="2049"/>
    </row>
    <row r="70" spans="1:105" x14ac:dyDescent="0.25">
      <c r="A70" s="2185" t="s">
        <v>225</v>
      </c>
      <c r="B70" s="2022" t="s">
        <v>2924</v>
      </c>
      <c r="C70" s="2023">
        <v>3</v>
      </c>
      <c r="D70" s="2023">
        <v>0</v>
      </c>
      <c r="E70" s="2024">
        <v>664</v>
      </c>
      <c r="F70" s="2024"/>
      <c r="G70" s="2024">
        <v>0</v>
      </c>
      <c r="H70" s="2024"/>
      <c r="I70" s="2023">
        <v>0</v>
      </c>
      <c r="J70" s="2027"/>
      <c r="K70" s="2026" t="s">
        <v>2899</v>
      </c>
      <c r="L70" s="2026" t="s">
        <v>2899</v>
      </c>
      <c r="M70" s="2026">
        <v>0.84899999999999998</v>
      </c>
      <c r="N70" s="2026">
        <v>0.84899999999999998</v>
      </c>
      <c r="O70" s="2026">
        <v>0.84899999999999998</v>
      </c>
      <c r="P70" s="2026">
        <v>0.84899999999999998</v>
      </c>
      <c r="Q70" s="2027">
        <f t="shared" si="15"/>
        <v>563.73599999999999</v>
      </c>
      <c r="R70" s="2027">
        <f t="shared" si="15"/>
        <v>563.73599999999999</v>
      </c>
      <c r="S70" s="2027">
        <f t="shared" si="15"/>
        <v>563.73599999999999</v>
      </c>
      <c r="T70" s="2027">
        <f t="shared" si="15"/>
        <v>563.73599999999999</v>
      </c>
      <c r="U70" s="2026">
        <v>0.84899999999999998</v>
      </c>
      <c r="V70" s="2026">
        <v>0.84899999999999998</v>
      </c>
      <c r="W70" s="2026">
        <v>0.84899999999999998</v>
      </c>
      <c r="X70" s="2026">
        <v>0.84899999999999998</v>
      </c>
      <c r="Y70" s="2028">
        <f t="shared" si="16"/>
        <v>0</v>
      </c>
      <c r="Z70" s="2028">
        <f t="shared" si="16"/>
        <v>0</v>
      </c>
      <c r="AA70" s="2028">
        <f t="shared" si="16"/>
        <v>0</v>
      </c>
      <c r="AB70" s="2028">
        <f t="shared" si="16"/>
        <v>0</v>
      </c>
      <c r="AC70" s="2026">
        <v>0.67500000000000004</v>
      </c>
      <c r="AD70" s="2026">
        <v>0.67500000000000004</v>
      </c>
      <c r="AE70" s="2026">
        <v>0.67500000000000004</v>
      </c>
      <c r="AF70" s="2026">
        <v>0.67500000000000004</v>
      </c>
      <c r="AG70" s="2027">
        <f t="shared" si="24"/>
        <v>0</v>
      </c>
      <c r="AH70" s="2027">
        <f t="shared" si="24"/>
        <v>0</v>
      </c>
      <c r="AI70" s="2027">
        <f t="shared" si="24"/>
        <v>0</v>
      </c>
      <c r="AJ70" s="2027">
        <f t="shared" si="24"/>
        <v>0</v>
      </c>
      <c r="AK70" s="2027">
        <v>0</v>
      </c>
      <c r="AL70" s="2027">
        <v>0</v>
      </c>
      <c r="AM70" s="2027">
        <v>1</v>
      </c>
      <c r="AN70" s="2027">
        <v>1</v>
      </c>
      <c r="AO70" s="2027">
        <f t="shared" si="32"/>
        <v>0</v>
      </c>
      <c r="AP70" s="2027">
        <f t="shared" ref="AP70:AQ75" si="35">AL70*R70*CS70</f>
        <v>0</v>
      </c>
      <c r="AQ70" s="2027">
        <f t="shared" si="35"/>
        <v>563.73599999999999</v>
      </c>
      <c r="AR70" s="2027"/>
      <c r="AS70" s="2027">
        <f t="shared" ref="AS70:AS78" si="36">AN70*T70*CU70</f>
        <v>563.73599999999999</v>
      </c>
      <c r="AT70" s="2027">
        <f t="shared" si="33"/>
        <v>0</v>
      </c>
      <c r="AU70" s="2027">
        <f t="shared" si="34"/>
        <v>0</v>
      </c>
      <c r="AV70" s="2027">
        <f t="shared" si="34"/>
        <v>0</v>
      </c>
      <c r="AW70" s="2027">
        <f t="shared" si="25"/>
        <v>0</v>
      </c>
      <c r="AX70" s="2029">
        <v>10</v>
      </c>
      <c r="AY70" s="2029">
        <v>10</v>
      </c>
      <c r="AZ70" s="2029">
        <v>10</v>
      </c>
      <c r="BA70" s="2029">
        <v>10</v>
      </c>
      <c r="BB70" s="1974"/>
      <c r="BC70" s="2029">
        <v>0</v>
      </c>
      <c r="BD70" s="2029">
        <v>0</v>
      </c>
      <c r="BE70" s="2029">
        <v>0</v>
      </c>
      <c r="BF70" s="2029">
        <v>10.19</v>
      </c>
      <c r="BG70" s="2029">
        <v>10.19</v>
      </c>
      <c r="BH70" s="2029">
        <v>10.19</v>
      </c>
      <c r="BI70" s="2029">
        <v>10.19</v>
      </c>
      <c r="BJ70" s="2030">
        <f t="shared" ref="BJ70:BL101" si="37">AX70*AK70</f>
        <v>0</v>
      </c>
      <c r="BK70" s="2030">
        <f t="shared" si="37"/>
        <v>0</v>
      </c>
      <c r="BL70" s="2030">
        <f t="shared" si="37"/>
        <v>10</v>
      </c>
      <c r="BM70" s="2030"/>
      <c r="BN70" s="2030">
        <f t="shared" ref="BN70:BN133" si="38">BA70*AN70</f>
        <v>10</v>
      </c>
      <c r="BO70" s="2030">
        <f t="shared" ref="BO70:BO133" si="39">BB70*AK70</f>
        <v>0</v>
      </c>
      <c r="BP70" s="2030"/>
      <c r="BQ70" s="2030">
        <f t="shared" ref="BQ70:BS101" si="40">BC70*AL70</f>
        <v>0</v>
      </c>
      <c r="BR70" s="2030">
        <f t="shared" si="40"/>
        <v>0</v>
      </c>
      <c r="BS70" s="2030">
        <f t="shared" si="40"/>
        <v>0</v>
      </c>
      <c r="BT70" s="2031"/>
      <c r="BU70" s="2031"/>
      <c r="BV70" s="2031"/>
      <c r="BW70" s="2031"/>
      <c r="BX70" s="2031"/>
      <c r="BY70" s="2031"/>
      <c r="BZ70" s="2031"/>
      <c r="CA70" s="2031"/>
      <c r="CB70" s="2029"/>
      <c r="CC70" s="2029"/>
      <c r="CD70" s="2029"/>
      <c r="CE70" s="2029"/>
      <c r="CF70" s="2029"/>
      <c r="CG70" s="2032"/>
      <c r="CH70" s="1974"/>
      <c r="CI70" s="1974"/>
      <c r="CJ70" s="1974"/>
      <c r="CK70" s="1974"/>
      <c r="CL70" s="1974">
        <v>0</v>
      </c>
      <c r="CM70" s="2033">
        <v>0</v>
      </c>
      <c r="CN70" s="2026">
        <v>0</v>
      </c>
      <c r="CO70" s="1974">
        <v>0</v>
      </c>
      <c r="CP70" s="2040">
        <v>0</v>
      </c>
      <c r="CQ70" s="2040"/>
      <c r="CR70" s="2062">
        <v>1</v>
      </c>
      <c r="CS70" s="2062">
        <v>1</v>
      </c>
      <c r="CT70" s="2062">
        <v>1</v>
      </c>
      <c r="CU70" s="2062">
        <v>1</v>
      </c>
      <c r="CV70" s="2036"/>
      <c r="CW70" s="2036"/>
      <c r="CX70" s="2036"/>
      <c r="CY70" s="2049"/>
      <c r="CZ70" s="2049"/>
      <c r="DA70" s="2049"/>
    </row>
    <row r="71" spans="1:105" x14ac:dyDescent="0.25">
      <c r="A71" s="2185" t="s">
        <v>226</v>
      </c>
      <c r="B71" s="2022" t="s">
        <v>2925</v>
      </c>
      <c r="C71" s="2023">
        <v>10</v>
      </c>
      <c r="D71" s="2023">
        <v>0</v>
      </c>
      <c r="E71" s="2024">
        <v>1592.85</v>
      </c>
      <c r="F71" s="2024"/>
      <c r="G71" s="2024">
        <v>0.53</v>
      </c>
      <c r="H71" s="2024"/>
      <c r="I71" s="2023">
        <v>0</v>
      </c>
      <c r="J71" s="2027"/>
      <c r="K71" s="2026" t="s">
        <v>2899</v>
      </c>
      <c r="L71" s="2026" t="s">
        <v>2899</v>
      </c>
      <c r="M71" s="2026">
        <v>0.84899999999999998</v>
      </c>
      <c r="N71" s="2026">
        <v>0.84899999999999998</v>
      </c>
      <c r="O71" s="2026">
        <v>0.84899999999999998</v>
      </c>
      <c r="P71" s="2026">
        <v>0.84899999999999998</v>
      </c>
      <c r="Q71" s="2027">
        <f t="shared" ref="Q71:T135" si="41">$E71*M71</f>
        <v>1352.3296499999999</v>
      </c>
      <c r="R71" s="2027">
        <f t="shared" si="41"/>
        <v>1352.3296499999999</v>
      </c>
      <c r="S71" s="2027">
        <f t="shared" si="41"/>
        <v>1352.3296499999999</v>
      </c>
      <c r="T71" s="2027">
        <f t="shared" si="41"/>
        <v>1352.3296499999999</v>
      </c>
      <c r="U71" s="2026">
        <v>0.84899999999999998</v>
      </c>
      <c r="V71" s="2026">
        <v>0.84899999999999998</v>
      </c>
      <c r="W71" s="2026">
        <v>0.84899999999999998</v>
      </c>
      <c r="X71" s="2026">
        <v>0.84899999999999998</v>
      </c>
      <c r="Y71" s="2028">
        <f t="shared" ref="Y71:AB135" si="42">$G71*U71</f>
        <v>0.44997000000000004</v>
      </c>
      <c r="Z71" s="2028">
        <f t="shared" si="42"/>
        <v>0.44997000000000004</v>
      </c>
      <c r="AA71" s="2028">
        <f t="shared" si="42"/>
        <v>0.44997000000000004</v>
      </c>
      <c r="AB71" s="2028">
        <f t="shared" si="42"/>
        <v>0.44997000000000004</v>
      </c>
      <c r="AC71" s="2026">
        <v>0.67500000000000004</v>
      </c>
      <c r="AD71" s="2026">
        <v>0.67500000000000004</v>
      </c>
      <c r="AE71" s="2026">
        <v>0.67500000000000004</v>
      </c>
      <c r="AF71" s="2026">
        <v>0.67500000000000004</v>
      </c>
      <c r="AG71" s="2027">
        <f t="shared" si="24"/>
        <v>0</v>
      </c>
      <c r="AH71" s="2027">
        <f t="shared" si="24"/>
        <v>0</v>
      </c>
      <c r="AI71" s="2027">
        <f t="shared" si="24"/>
        <v>0</v>
      </c>
      <c r="AJ71" s="2027">
        <f t="shared" si="24"/>
        <v>0</v>
      </c>
      <c r="AK71" s="2027">
        <v>0</v>
      </c>
      <c r="AL71" s="2027">
        <v>1</v>
      </c>
      <c r="AM71" s="2027">
        <v>0</v>
      </c>
      <c r="AN71" s="2027">
        <v>0</v>
      </c>
      <c r="AO71" s="2027">
        <f t="shared" si="32"/>
        <v>0</v>
      </c>
      <c r="AP71" s="2027">
        <f t="shared" si="35"/>
        <v>1352.3296499999999</v>
      </c>
      <c r="AQ71" s="2027">
        <f t="shared" si="35"/>
        <v>0</v>
      </c>
      <c r="AR71" s="2027"/>
      <c r="AS71" s="2027">
        <f t="shared" si="36"/>
        <v>0</v>
      </c>
      <c r="AT71" s="2027">
        <f t="shared" si="33"/>
        <v>0</v>
      </c>
      <c r="AU71" s="2027">
        <f t="shared" si="34"/>
        <v>0</v>
      </c>
      <c r="AV71" s="2027">
        <f t="shared" si="34"/>
        <v>0</v>
      </c>
      <c r="AW71" s="2027">
        <f t="shared" si="25"/>
        <v>0</v>
      </c>
      <c r="AX71" s="2029">
        <v>75</v>
      </c>
      <c r="AY71" s="2029">
        <v>75</v>
      </c>
      <c r="AZ71" s="2029">
        <v>75</v>
      </c>
      <c r="BA71" s="2029">
        <v>75</v>
      </c>
      <c r="BB71" s="1974"/>
      <c r="BC71" s="2029">
        <v>0</v>
      </c>
      <c r="BD71" s="2029">
        <v>0</v>
      </c>
      <c r="BE71" s="2029">
        <v>0</v>
      </c>
      <c r="BF71" s="2029">
        <v>788</v>
      </c>
      <c r="BG71" s="2029">
        <v>788</v>
      </c>
      <c r="BH71" s="2029">
        <v>788</v>
      </c>
      <c r="BI71" s="2029">
        <v>788</v>
      </c>
      <c r="BJ71" s="2030">
        <f t="shared" si="37"/>
        <v>0</v>
      </c>
      <c r="BK71" s="2030">
        <f t="shared" si="37"/>
        <v>75</v>
      </c>
      <c r="BL71" s="2030">
        <f t="shared" si="37"/>
        <v>0</v>
      </c>
      <c r="BM71" s="2030"/>
      <c r="BN71" s="2030">
        <f t="shared" si="38"/>
        <v>0</v>
      </c>
      <c r="BO71" s="2030">
        <f t="shared" si="39"/>
        <v>0</v>
      </c>
      <c r="BP71" s="2030"/>
      <c r="BQ71" s="2030">
        <f t="shared" si="40"/>
        <v>0</v>
      </c>
      <c r="BR71" s="2030">
        <f t="shared" si="40"/>
        <v>0</v>
      </c>
      <c r="BS71" s="2030">
        <f t="shared" si="40"/>
        <v>0</v>
      </c>
      <c r="BT71" s="2031"/>
      <c r="BU71" s="2031"/>
      <c r="BV71" s="2031"/>
      <c r="BW71" s="2031"/>
      <c r="BX71" s="2031"/>
      <c r="BY71" s="2031"/>
      <c r="BZ71" s="2031"/>
      <c r="CA71" s="2031"/>
      <c r="CB71" s="2029"/>
      <c r="CC71" s="2029"/>
      <c r="CD71" s="2029"/>
      <c r="CE71" s="2029"/>
      <c r="CF71" s="2029"/>
      <c r="CG71" s="2032"/>
      <c r="CH71" s="1974"/>
      <c r="CI71" s="1974"/>
      <c r="CJ71" s="1974"/>
      <c r="CK71" s="1974"/>
      <c r="CL71" s="1974">
        <v>0</v>
      </c>
      <c r="CM71" s="2033">
        <v>0</v>
      </c>
      <c r="CN71" s="2026">
        <v>0</v>
      </c>
      <c r="CO71" s="1974">
        <v>0</v>
      </c>
      <c r="CP71" s="2040">
        <v>0</v>
      </c>
      <c r="CQ71" s="2040"/>
      <c r="CR71" s="2062">
        <v>1</v>
      </c>
      <c r="CS71" s="2062">
        <v>1</v>
      </c>
      <c r="CT71" s="2062">
        <v>1</v>
      </c>
      <c r="CU71" s="2062">
        <v>1</v>
      </c>
      <c r="CV71" s="2036"/>
      <c r="CW71" s="2036"/>
      <c r="CX71" s="2036"/>
      <c r="CY71" s="2049"/>
      <c r="CZ71" s="2049"/>
      <c r="DA71" s="2049"/>
    </row>
    <row r="72" spans="1:105" x14ac:dyDescent="0.25">
      <c r="A72" s="2185" t="s">
        <v>227</v>
      </c>
      <c r="B72" s="2022" t="s">
        <v>2926</v>
      </c>
      <c r="C72" s="2023">
        <v>10</v>
      </c>
      <c r="D72" s="2023">
        <v>0</v>
      </c>
      <c r="E72" s="2024">
        <v>3337.4</v>
      </c>
      <c r="F72" s="2024"/>
      <c r="G72" s="2024">
        <v>0.83</v>
      </c>
      <c r="H72" s="2024"/>
      <c r="I72" s="2023">
        <v>0</v>
      </c>
      <c r="J72" s="2027"/>
      <c r="K72" s="2026" t="s">
        <v>2899</v>
      </c>
      <c r="L72" s="2026" t="s">
        <v>2899</v>
      </c>
      <c r="M72" s="2026">
        <v>0.84899999999999998</v>
      </c>
      <c r="N72" s="2026">
        <v>0.84899999999999998</v>
      </c>
      <c r="O72" s="2026">
        <v>0.84899999999999998</v>
      </c>
      <c r="P72" s="2026">
        <v>0.84899999999999998</v>
      </c>
      <c r="Q72" s="2027">
        <f t="shared" si="41"/>
        <v>2833.4526000000001</v>
      </c>
      <c r="R72" s="2027">
        <f t="shared" si="41"/>
        <v>2833.4526000000001</v>
      </c>
      <c r="S72" s="2027">
        <f t="shared" si="41"/>
        <v>2833.4526000000001</v>
      </c>
      <c r="T72" s="2027">
        <f t="shared" si="41"/>
        <v>2833.4526000000001</v>
      </c>
      <c r="U72" s="2026">
        <v>0.84899999999999998</v>
      </c>
      <c r="V72" s="2026">
        <v>0.84899999999999998</v>
      </c>
      <c r="W72" s="2026">
        <v>0.84899999999999998</v>
      </c>
      <c r="X72" s="2026">
        <v>0.84899999999999998</v>
      </c>
      <c r="Y72" s="2028">
        <f t="shared" si="42"/>
        <v>0.70466999999999991</v>
      </c>
      <c r="Z72" s="2028">
        <f t="shared" si="42"/>
        <v>0.70466999999999991</v>
      </c>
      <c r="AA72" s="2028">
        <f t="shared" si="42"/>
        <v>0.70466999999999991</v>
      </c>
      <c r="AB72" s="2028">
        <f t="shared" si="42"/>
        <v>0.70466999999999991</v>
      </c>
      <c r="AC72" s="2026">
        <v>0.67500000000000004</v>
      </c>
      <c r="AD72" s="2026">
        <v>0.67500000000000004</v>
      </c>
      <c r="AE72" s="2026">
        <v>0.67500000000000004</v>
      </c>
      <c r="AF72" s="2026">
        <v>0.67500000000000004</v>
      </c>
      <c r="AG72" s="2027">
        <f t="shared" si="24"/>
        <v>0</v>
      </c>
      <c r="AH72" s="2027">
        <f t="shared" si="24"/>
        <v>0</v>
      </c>
      <c r="AI72" s="2027">
        <f t="shared" si="24"/>
        <v>0</v>
      </c>
      <c r="AJ72" s="2027">
        <f t="shared" si="24"/>
        <v>0</v>
      </c>
      <c r="AK72" s="2027">
        <v>0</v>
      </c>
      <c r="AL72" s="2027">
        <v>1</v>
      </c>
      <c r="AM72" s="2027">
        <v>0</v>
      </c>
      <c r="AN72" s="2027">
        <v>1</v>
      </c>
      <c r="AO72" s="2027">
        <f t="shared" si="32"/>
        <v>0</v>
      </c>
      <c r="AP72" s="2027">
        <f t="shared" si="35"/>
        <v>2833.4526000000001</v>
      </c>
      <c r="AQ72" s="2027">
        <f t="shared" si="35"/>
        <v>0</v>
      </c>
      <c r="AR72" s="2027"/>
      <c r="AS72" s="2027">
        <f t="shared" si="36"/>
        <v>2833.4526000000001</v>
      </c>
      <c r="AT72" s="2027">
        <f t="shared" si="33"/>
        <v>0</v>
      </c>
      <c r="AU72" s="2027">
        <f t="shared" si="34"/>
        <v>0</v>
      </c>
      <c r="AV72" s="2027">
        <f t="shared" si="34"/>
        <v>0</v>
      </c>
      <c r="AW72" s="2027">
        <f t="shared" si="25"/>
        <v>0</v>
      </c>
      <c r="AX72" s="2029">
        <v>100</v>
      </c>
      <c r="AY72" s="2029">
        <v>100</v>
      </c>
      <c r="AZ72" s="2029">
        <v>100</v>
      </c>
      <c r="BA72" s="2029">
        <v>100</v>
      </c>
      <c r="BB72" s="1974"/>
      <c r="BC72" s="2029">
        <v>0</v>
      </c>
      <c r="BD72" s="2029">
        <v>0</v>
      </c>
      <c r="BE72" s="2029">
        <v>0</v>
      </c>
      <c r="BF72" s="2029">
        <v>1450</v>
      </c>
      <c r="BG72" s="2029">
        <v>1450</v>
      </c>
      <c r="BH72" s="2029">
        <v>1450</v>
      </c>
      <c r="BI72" s="2029">
        <v>1450</v>
      </c>
      <c r="BJ72" s="2030">
        <f t="shared" si="37"/>
        <v>0</v>
      </c>
      <c r="BK72" s="2030">
        <f t="shared" si="37"/>
        <v>100</v>
      </c>
      <c r="BL72" s="2030">
        <f t="shared" si="37"/>
        <v>0</v>
      </c>
      <c r="BM72" s="2030"/>
      <c r="BN72" s="2030">
        <f t="shared" si="38"/>
        <v>100</v>
      </c>
      <c r="BO72" s="2030">
        <f t="shared" si="39"/>
        <v>0</v>
      </c>
      <c r="BP72" s="2030"/>
      <c r="BQ72" s="2030">
        <f t="shared" si="40"/>
        <v>0</v>
      </c>
      <c r="BR72" s="2030">
        <f t="shared" si="40"/>
        <v>0</v>
      </c>
      <c r="BS72" s="2030">
        <f t="shared" si="40"/>
        <v>0</v>
      </c>
      <c r="BT72" s="2031"/>
      <c r="BU72" s="2031"/>
      <c r="BV72" s="2031"/>
      <c r="BW72" s="2031"/>
      <c r="BX72" s="2031"/>
      <c r="BY72" s="2031"/>
      <c r="BZ72" s="2031"/>
      <c r="CA72" s="2031"/>
      <c r="CB72" s="2029"/>
      <c r="CC72" s="2029"/>
      <c r="CD72" s="2029"/>
      <c r="CE72" s="2029"/>
      <c r="CF72" s="2029"/>
      <c r="CG72" s="2032"/>
      <c r="CH72" s="1974"/>
      <c r="CI72" s="1974"/>
      <c r="CJ72" s="1974"/>
      <c r="CK72" s="1974"/>
      <c r="CL72" s="1974">
        <v>0</v>
      </c>
      <c r="CM72" s="2033">
        <v>0</v>
      </c>
      <c r="CN72" s="2026">
        <v>0</v>
      </c>
      <c r="CO72" s="1974">
        <v>0</v>
      </c>
      <c r="CP72" s="2040">
        <v>0</v>
      </c>
      <c r="CQ72" s="2040"/>
      <c r="CR72" s="2062">
        <v>1</v>
      </c>
      <c r="CS72" s="2062">
        <v>1</v>
      </c>
      <c r="CT72" s="2062">
        <v>1</v>
      </c>
      <c r="CU72" s="2062">
        <v>1</v>
      </c>
      <c r="CV72" s="2036"/>
      <c r="CW72" s="2036"/>
      <c r="CX72" s="2036"/>
      <c r="CY72" s="2049"/>
      <c r="CZ72" s="2049"/>
      <c r="DA72" s="2049"/>
    </row>
    <row r="73" spans="1:105" x14ac:dyDescent="0.25">
      <c r="A73" s="2185" t="s">
        <v>228</v>
      </c>
      <c r="B73" s="2022" t="s">
        <v>2927</v>
      </c>
      <c r="C73" s="2023">
        <v>15</v>
      </c>
      <c r="D73" s="2023">
        <v>0</v>
      </c>
      <c r="E73" s="2024">
        <v>232.36866171003717</v>
      </c>
      <c r="F73" s="2024"/>
      <c r="G73" s="2024">
        <v>8.6900000000000005E-2</v>
      </c>
      <c r="H73" s="2024"/>
      <c r="I73" s="2023">
        <v>0</v>
      </c>
      <c r="J73" s="2027"/>
      <c r="K73" s="2026" t="s">
        <v>2899</v>
      </c>
      <c r="L73" s="2026" t="s">
        <v>2899</v>
      </c>
      <c r="M73" s="2026">
        <v>0.84899999999999998</v>
      </c>
      <c r="N73" s="2026">
        <v>0.84899999999999998</v>
      </c>
      <c r="O73" s="2026">
        <v>0.84899999999999998</v>
      </c>
      <c r="P73" s="2026">
        <v>0.84899999999999998</v>
      </c>
      <c r="Q73" s="2027">
        <f t="shared" si="41"/>
        <v>197.28099379182154</v>
      </c>
      <c r="R73" s="2027">
        <f t="shared" si="41"/>
        <v>197.28099379182154</v>
      </c>
      <c r="S73" s="2027">
        <f t="shared" si="41"/>
        <v>197.28099379182154</v>
      </c>
      <c r="T73" s="2027">
        <f t="shared" si="41"/>
        <v>197.28099379182154</v>
      </c>
      <c r="U73" s="2026">
        <v>0.84899999999999998</v>
      </c>
      <c r="V73" s="2026">
        <v>0.84899999999999998</v>
      </c>
      <c r="W73" s="2026">
        <v>0.84899999999999998</v>
      </c>
      <c r="X73" s="2026">
        <v>0.84899999999999998</v>
      </c>
      <c r="Y73" s="2028">
        <f t="shared" si="42"/>
        <v>7.3778099999999999E-2</v>
      </c>
      <c r="Z73" s="2028">
        <f t="shared" si="42"/>
        <v>7.3778099999999999E-2</v>
      </c>
      <c r="AA73" s="2028">
        <f t="shared" si="42"/>
        <v>7.3778099999999999E-2</v>
      </c>
      <c r="AB73" s="2028">
        <f t="shared" si="42"/>
        <v>7.3778099999999999E-2</v>
      </c>
      <c r="AC73" s="2026">
        <v>0.67500000000000004</v>
      </c>
      <c r="AD73" s="2026">
        <v>0.67500000000000004</v>
      </c>
      <c r="AE73" s="2026">
        <v>0.67500000000000004</v>
      </c>
      <c r="AF73" s="2026">
        <v>0.67500000000000004</v>
      </c>
      <c r="AG73" s="2027">
        <f t="shared" si="24"/>
        <v>0</v>
      </c>
      <c r="AH73" s="2027">
        <f t="shared" si="24"/>
        <v>0</v>
      </c>
      <c r="AI73" s="2027">
        <f t="shared" si="24"/>
        <v>0</v>
      </c>
      <c r="AJ73" s="2027">
        <f t="shared" si="24"/>
        <v>0</v>
      </c>
      <c r="AK73" s="2027">
        <v>0</v>
      </c>
      <c r="AL73" s="2027">
        <v>0</v>
      </c>
      <c r="AM73" s="2027">
        <v>0</v>
      </c>
      <c r="AN73" s="2027">
        <v>0</v>
      </c>
      <c r="AO73" s="2027">
        <f t="shared" si="32"/>
        <v>0</v>
      </c>
      <c r="AP73" s="2027">
        <f t="shared" si="35"/>
        <v>0</v>
      </c>
      <c r="AQ73" s="2027">
        <f t="shared" si="35"/>
        <v>0</v>
      </c>
      <c r="AR73" s="2027"/>
      <c r="AS73" s="2027">
        <f t="shared" si="36"/>
        <v>0</v>
      </c>
      <c r="AT73" s="2027">
        <f t="shared" si="33"/>
        <v>0</v>
      </c>
      <c r="AU73" s="2027">
        <f t="shared" si="34"/>
        <v>0</v>
      </c>
      <c r="AV73" s="2027">
        <f t="shared" si="34"/>
        <v>0</v>
      </c>
      <c r="AW73" s="2027">
        <f t="shared" si="25"/>
        <v>0</v>
      </c>
      <c r="AX73" s="2029">
        <v>80</v>
      </c>
      <c r="AY73" s="2029">
        <v>80</v>
      </c>
      <c r="AZ73" s="2029">
        <v>80</v>
      </c>
      <c r="BA73" s="2029">
        <v>80</v>
      </c>
      <c r="BB73" s="1974"/>
      <c r="BC73" s="2029">
        <v>0</v>
      </c>
      <c r="BD73" s="2029">
        <v>0</v>
      </c>
      <c r="BE73" s="2029">
        <v>0</v>
      </c>
      <c r="BF73" s="2029">
        <v>260</v>
      </c>
      <c r="BG73" s="2029">
        <v>260</v>
      </c>
      <c r="BH73" s="2029">
        <v>260</v>
      </c>
      <c r="BI73" s="2029">
        <v>260</v>
      </c>
      <c r="BJ73" s="2030">
        <f t="shared" si="37"/>
        <v>0</v>
      </c>
      <c r="BK73" s="2030">
        <f t="shared" si="37"/>
        <v>0</v>
      </c>
      <c r="BL73" s="2030">
        <f t="shared" si="37"/>
        <v>0</v>
      </c>
      <c r="BM73" s="2030"/>
      <c r="BN73" s="2030">
        <f t="shared" si="38"/>
        <v>0</v>
      </c>
      <c r="BO73" s="2030">
        <f t="shared" si="39"/>
        <v>0</v>
      </c>
      <c r="BP73" s="2030"/>
      <c r="BQ73" s="2030">
        <f t="shared" si="40"/>
        <v>0</v>
      </c>
      <c r="BR73" s="2030">
        <f t="shared" si="40"/>
        <v>0</v>
      </c>
      <c r="BS73" s="2030">
        <f t="shared" si="40"/>
        <v>0</v>
      </c>
      <c r="BT73" s="2031"/>
      <c r="BU73" s="2031"/>
      <c r="BV73" s="2031"/>
      <c r="BW73" s="2031"/>
      <c r="BX73" s="2031"/>
      <c r="BY73" s="2031"/>
      <c r="BZ73" s="2031"/>
      <c r="CA73" s="2031"/>
      <c r="CB73" s="2029"/>
      <c r="CC73" s="2029"/>
      <c r="CD73" s="2029"/>
      <c r="CE73" s="2029"/>
      <c r="CF73" s="2029"/>
      <c r="CG73" s="2032"/>
      <c r="CH73" s="1974"/>
      <c r="CI73" s="1974"/>
      <c r="CJ73" s="1974"/>
      <c r="CK73" s="1974"/>
      <c r="CL73" s="1974">
        <v>0</v>
      </c>
      <c r="CM73" s="2033">
        <v>0</v>
      </c>
      <c r="CN73" s="2026">
        <v>0</v>
      </c>
      <c r="CO73" s="1974">
        <v>0</v>
      </c>
      <c r="CP73" s="2040">
        <v>0</v>
      </c>
      <c r="CQ73" s="2040"/>
      <c r="CR73" s="2062">
        <v>1</v>
      </c>
      <c r="CS73" s="2062">
        <v>1</v>
      </c>
      <c r="CT73" s="2062">
        <v>1</v>
      </c>
      <c r="CU73" s="2062">
        <v>1</v>
      </c>
      <c r="CV73" s="2036"/>
      <c r="CW73" s="2036"/>
      <c r="CX73" s="2036"/>
      <c r="CY73" s="2049"/>
      <c r="CZ73" s="2049"/>
      <c r="DA73" s="2049"/>
    </row>
    <row r="74" spans="1:105" x14ac:dyDescent="0.25">
      <c r="A74" s="2185" t="s">
        <v>229</v>
      </c>
      <c r="B74" s="2022" t="s">
        <v>2928</v>
      </c>
      <c r="C74" s="2023">
        <v>15</v>
      </c>
      <c r="D74" s="2023">
        <v>0</v>
      </c>
      <c r="E74" s="2024">
        <v>1076.5</v>
      </c>
      <c r="F74" s="2024"/>
      <c r="G74" s="2024">
        <v>0.84</v>
      </c>
      <c r="H74" s="2024"/>
      <c r="I74" s="2023">
        <v>0</v>
      </c>
      <c r="J74" s="2027"/>
      <c r="K74" s="2026" t="s">
        <v>2899</v>
      </c>
      <c r="L74" s="2026" t="s">
        <v>2899</v>
      </c>
      <c r="M74" s="2026">
        <v>0.84899999999999998</v>
      </c>
      <c r="N74" s="2026">
        <v>0.84899999999999998</v>
      </c>
      <c r="O74" s="2026">
        <v>0.84899999999999998</v>
      </c>
      <c r="P74" s="2026">
        <v>0.84899999999999998</v>
      </c>
      <c r="Q74" s="2027">
        <f t="shared" si="41"/>
        <v>913.94849999999997</v>
      </c>
      <c r="R74" s="2027">
        <f t="shared" si="41"/>
        <v>913.94849999999997</v>
      </c>
      <c r="S74" s="2027">
        <f t="shared" si="41"/>
        <v>913.94849999999997</v>
      </c>
      <c r="T74" s="2027">
        <f t="shared" si="41"/>
        <v>913.94849999999997</v>
      </c>
      <c r="U74" s="2026">
        <v>0.84899999999999998</v>
      </c>
      <c r="V74" s="2026">
        <v>0.84899999999999998</v>
      </c>
      <c r="W74" s="2026">
        <v>0.84899999999999998</v>
      </c>
      <c r="X74" s="2026">
        <v>0.84899999999999998</v>
      </c>
      <c r="Y74" s="2028">
        <f t="shared" si="42"/>
        <v>0.71315999999999991</v>
      </c>
      <c r="Z74" s="2028">
        <f t="shared" si="42"/>
        <v>0.71315999999999991</v>
      </c>
      <c r="AA74" s="2028">
        <f t="shared" si="42"/>
        <v>0.71315999999999991</v>
      </c>
      <c r="AB74" s="2028">
        <f t="shared" si="42"/>
        <v>0.71315999999999991</v>
      </c>
      <c r="AC74" s="2026">
        <v>0.67500000000000004</v>
      </c>
      <c r="AD74" s="2026">
        <v>0.67500000000000004</v>
      </c>
      <c r="AE74" s="2026">
        <v>0.67500000000000004</v>
      </c>
      <c r="AF74" s="2026">
        <v>0.67500000000000004</v>
      </c>
      <c r="AG74" s="2027">
        <f t="shared" si="24"/>
        <v>0</v>
      </c>
      <c r="AH74" s="2027">
        <f t="shared" si="24"/>
        <v>0</v>
      </c>
      <c r="AI74" s="2027">
        <f t="shared" si="24"/>
        <v>0</v>
      </c>
      <c r="AJ74" s="2027">
        <f t="shared" si="24"/>
        <v>0</v>
      </c>
      <c r="AK74" s="2027">
        <v>0</v>
      </c>
      <c r="AL74" s="2027">
        <v>0</v>
      </c>
      <c r="AM74" s="2027">
        <v>0</v>
      </c>
      <c r="AN74" s="2027">
        <v>0</v>
      </c>
      <c r="AO74" s="2027">
        <f t="shared" si="32"/>
        <v>0</v>
      </c>
      <c r="AP74" s="2027">
        <f t="shared" si="35"/>
        <v>0</v>
      </c>
      <c r="AQ74" s="2027">
        <f t="shared" si="35"/>
        <v>0</v>
      </c>
      <c r="AR74" s="2027"/>
      <c r="AS74" s="2027">
        <f t="shared" si="36"/>
        <v>0</v>
      </c>
      <c r="AT74" s="2027">
        <f t="shared" si="33"/>
        <v>0</v>
      </c>
      <c r="AU74" s="2027">
        <f t="shared" si="34"/>
        <v>0</v>
      </c>
      <c r="AV74" s="2027">
        <f t="shared" si="34"/>
        <v>0</v>
      </c>
      <c r="AW74" s="2027">
        <f t="shared" si="25"/>
        <v>0</v>
      </c>
      <c r="AX74" s="2029">
        <v>50</v>
      </c>
      <c r="AY74" s="2029">
        <v>50</v>
      </c>
      <c r="AZ74" s="2029">
        <v>50</v>
      </c>
      <c r="BA74" s="2029">
        <v>50</v>
      </c>
      <c r="BB74" s="1974"/>
      <c r="BC74" s="2029">
        <v>0</v>
      </c>
      <c r="BD74" s="2029">
        <v>0</v>
      </c>
      <c r="BE74" s="2029">
        <v>0</v>
      </c>
      <c r="BF74" s="2029">
        <v>260</v>
      </c>
      <c r="BG74" s="2029">
        <v>260</v>
      </c>
      <c r="BH74" s="2029">
        <v>260</v>
      </c>
      <c r="BI74" s="2029">
        <v>260</v>
      </c>
      <c r="BJ74" s="2030">
        <f t="shared" si="37"/>
        <v>0</v>
      </c>
      <c r="BK74" s="2030">
        <f t="shared" si="37"/>
        <v>0</v>
      </c>
      <c r="BL74" s="2030">
        <f t="shared" si="37"/>
        <v>0</v>
      </c>
      <c r="BM74" s="2030"/>
      <c r="BN74" s="2030">
        <f t="shared" si="38"/>
        <v>0</v>
      </c>
      <c r="BO74" s="2030">
        <f t="shared" si="39"/>
        <v>0</v>
      </c>
      <c r="BP74" s="2030"/>
      <c r="BQ74" s="2030">
        <f t="shared" si="40"/>
        <v>0</v>
      </c>
      <c r="BR74" s="2030">
        <f t="shared" si="40"/>
        <v>0</v>
      </c>
      <c r="BS74" s="2030">
        <f t="shared" si="40"/>
        <v>0</v>
      </c>
      <c r="BT74" s="2031"/>
      <c r="BU74" s="2031"/>
      <c r="BV74" s="2031"/>
      <c r="BW74" s="2031"/>
      <c r="BX74" s="2031"/>
      <c r="BY74" s="2031"/>
      <c r="BZ74" s="2031"/>
      <c r="CA74" s="2031"/>
      <c r="CB74" s="2029"/>
      <c r="CC74" s="2029"/>
      <c r="CD74" s="2029"/>
      <c r="CE74" s="2029"/>
      <c r="CF74" s="2029"/>
      <c r="CG74" s="2032"/>
      <c r="CH74" s="1974"/>
      <c r="CI74" s="1974"/>
      <c r="CJ74" s="1974"/>
      <c r="CK74" s="1974"/>
      <c r="CL74" s="1974">
        <v>0</v>
      </c>
      <c r="CM74" s="2033">
        <v>0</v>
      </c>
      <c r="CN74" s="2026">
        <v>0</v>
      </c>
      <c r="CO74" s="1974">
        <v>0</v>
      </c>
      <c r="CP74" s="2040">
        <v>0</v>
      </c>
      <c r="CQ74" s="2040"/>
      <c r="CR74" s="2062">
        <v>1</v>
      </c>
      <c r="CS74" s="2062">
        <v>1</v>
      </c>
      <c r="CT74" s="2062">
        <v>1</v>
      </c>
      <c r="CU74" s="2062">
        <v>1</v>
      </c>
      <c r="CV74" s="2036"/>
      <c r="CW74" s="2036"/>
      <c r="CX74" s="2036"/>
      <c r="CY74" s="2049"/>
      <c r="CZ74" s="2049"/>
      <c r="DA74" s="2049"/>
    </row>
    <row r="75" spans="1:105" ht="60" customHeight="1" x14ac:dyDescent="0.25">
      <c r="A75" s="2191" t="s">
        <v>128</v>
      </c>
      <c r="B75" s="2022" t="s">
        <v>2894</v>
      </c>
      <c r="C75" s="2023">
        <v>15</v>
      </c>
      <c r="D75" s="2023">
        <v>0</v>
      </c>
      <c r="E75" s="2024">
        <v>740.87800000000004</v>
      </c>
      <c r="F75" s="2024"/>
      <c r="G75" s="2024">
        <v>0.18777586019093728</v>
      </c>
      <c r="H75" s="2024"/>
      <c r="I75" s="2023">
        <v>0</v>
      </c>
      <c r="J75" s="2027"/>
      <c r="K75" s="2026" t="s">
        <v>20</v>
      </c>
      <c r="L75" s="2026" t="s">
        <v>20</v>
      </c>
      <c r="M75" s="2026">
        <v>0.55700000000000005</v>
      </c>
      <c r="N75" s="2026">
        <v>0.55700000000000005</v>
      </c>
      <c r="O75" s="2026">
        <v>0.55700000000000005</v>
      </c>
      <c r="P75" s="2026">
        <v>0.55700000000000005</v>
      </c>
      <c r="Q75" s="2027">
        <f t="shared" si="41"/>
        <v>412.66904600000004</v>
      </c>
      <c r="R75" s="2027">
        <f t="shared" si="41"/>
        <v>412.66904600000004</v>
      </c>
      <c r="S75" s="2027">
        <f t="shared" si="41"/>
        <v>412.66904600000004</v>
      </c>
      <c r="T75" s="2027">
        <f t="shared" si="41"/>
        <v>412.66904600000004</v>
      </c>
      <c r="U75" s="2026">
        <v>0.55700000000000005</v>
      </c>
      <c r="V75" s="2026">
        <v>0.55700000000000005</v>
      </c>
      <c r="W75" s="2026">
        <v>0.55700000000000005</v>
      </c>
      <c r="X75" s="2026">
        <v>0.55700000000000005</v>
      </c>
      <c r="Y75" s="2028">
        <f t="shared" si="42"/>
        <v>0.10459115412635207</v>
      </c>
      <c r="Z75" s="2028">
        <f t="shared" si="42"/>
        <v>0.10459115412635207</v>
      </c>
      <c r="AA75" s="2028">
        <f t="shared" si="42"/>
        <v>0.10459115412635207</v>
      </c>
      <c r="AB75" s="2028">
        <f t="shared" si="42"/>
        <v>0.10459115412635207</v>
      </c>
      <c r="AC75" s="2026">
        <v>0.49399999999999999</v>
      </c>
      <c r="AD75" s="2026">
        <v>0.49399999999999999</v>
      </c>
      <c r="AE75" s="2026">
        <v>0.49399999999999999</v>
      </c>
      <c r="AF75" s="2026">
        <v>0.49399999999999999</v>
      </c>
      <c r="AG75" s="2027">
        <f>$I75*AC75</f>
        <v>0</v>
      </c>
      <c r="AH75" s="2027">
        <f>$I75*AD75</f>
        <v>0</v>
      </c>
      <c r="AI75" s="2027">
        <f>$I75*AE75</f>
        <v>0</v>
      </c>
      <c r="AJ75" s="2027">
        <f>$I75*AF75</f>
        <v>0</v>
      </c>
      <c r="AK75" s="2027">
        <v>656</v>
      </c>
      <c r="AL75" s="2027">
        <v>687</v>
      </c>
      <c r="AM75" s="2027">
        <v>717</v>
      </c>
      <c r="AN75" s="2027">
        <v>680</v>
      </c>
      <c r="AO75" s="2027">
        <f t="shared" si="32"/>
        <v>270710.89417600003</v>
      </c>
      <c r="AP75" s="2027">
        <f t="shared" si="35"/>
        <v>283503.63460200001</v>
      </c>
      <c r="AQ75" s="2027">
        <f t="shared" si="35"/>
        <v>295883.70598200004</v>
      </c>
      <c r="AR75" s="2027"/>
      <c r="AS75" s="2027">
        <f t="shared" si="36"/>
        <v>280614.95128000004</v>
      </c>
      <c r="AT75" s="2027">
        <f t="shared" si="33"/>
        <v>0</v>
      </c>
      <c r="AU75" s="2027">
        <f t="shared" si="34"/>
        <v>0</v>
      </c>
      <c r="AV75" s="2027">
        <f t="shared" si="34"/>
        <v>0</v>
      </c>
      <c r="AW75" s="2027">
        <f t="shared" si="25"/>
        <v>0</v>
      </c>
      <c r="AX75" s="2042">
        <v>100</v>
      </c>
      <c r="AY75" s="2029">
        <v>100</v>
      </c>
      <c r="AZ75" s="2029">
        <v>100</v>
      </c>
      <c r="BA75" s="2029">
        <v>100</v>
      </c>
      <c r="BB75" s="2042"/>
      <c r="BC75" s="2029">
        <v>0</v>
      </c>
      <c r="BD75" s="2029">
        <v>0</v>
      </c>
      <c r="BE75" s="2029">
        <v>0</v>
      </c>
      <c r="BF75" s="2042">
        <v>159.31</v>
      </c>
      <c r="BG75" s="2029">
        <v>159.31</v>
      </c>
      <c r="BH75" s="2029">
        <v>159.31</v>
      </c>
      <c r="BI75" s="2029">
        <v>159.31</v>
      </c>
      <c r="BJ75" s="2030">
        <f t="shared" si="37"/>
        <v>65600</v>
      </c>
      <c r="BK75" s="2030">
        <f t="shared" si="37"/>
        <v>68700</v>
      </c>
      <c r="BL75" s="2030">
        <f t="shared" si="37"/>
        <v>71700</v>
      </c>
      <c r="BM75" s="2030"/>
      <c r="BN75" s="2030">
        <f t="shared" si="38"/>
        <v>68000</v>
      </c>
      <c r="BO75" s="2030">
        <f t="shared" si="39"/>
        <v>0</v>
      </c>
      <c r="BP75" s="2030"/>
      <c r="BQ75" s="2030">
        <f t="shared" si="40"/>
        <v>0</v>
      </c>
      <c r="BR75" s="2030">
        <f t="shared" si="40"/>
        <v>0</v>
      </c>
      <c r="BS75" s="2030">
        <f t="shared" si="40"/>
        <v>0</v>
      </c>
      <c r="BT75" s="2031"/>
      <c r="BU75" s="2031"/>
      <c r="BV75" s="2031"/>
      <c r="BW75" s="2031"/>
      <c r="BX75" s="2031"/>
      <c r="BY75" s="2031"/>
      <c r="BZ75" s="2031"/>
      <c r="CA75" s="2031"/>
      <c r="CB75" s="2029"/>
      <c r="CC75" s="2029"/>
      <c r="CD75" s="2029"/>
      <c r="CE75" s="2029"/>
      <c r="CF75" s="2029"/>
      <c r="CG75" s="2032"/>
      <c r="CH75" s="1974"/>
      <c r="CI75" s="1974"/>
      <c r="CJ75" s="1974"/>
      <c r="CK75" s="1974"/>
      <c r="CL75" s="1974">
        <v>0</v>
      </c>
      <c r="CM75" s="2033">
        <v>1.0366817025153885E-3</v>
      </c>
      <c r="CN75" s="2026">
        <v>0</v>
      </c>
      <c r="CO75" s="1974">
        <v>0</v>
      </c>
      <c r="CP75" s="2040">
        <v>0</v>
      </c>
      <c r="CQ75" s="2040"/>
      <c r="CR75" s="2062">
        <v>1</v>
      </c>
      <c r="CS75" s="2062">
        <v>1</v>
      </c>
      <c r="CT75" s="2062">
        <v>1</v>
      </c>
      <c r="CU75" s="2062">
        <v>1</v>
      </c>
      <c r="CV75" s="2036"/>
      <c r="CW75" s="2036"/>
      <c r="CX75" s="2036"/>
      <c r="CY75" s="2049"/>
      <c r="CZ75" s="2049"/>
      <c r="DA75" s="2049"/>
    </row>
    <row r="76" spans="1:105" ht="23" x14ac:dyDescent="0.25">
      <c r="A76" s="2185" t="s">
        <v>230</v>
      </c>
      <c r="B76" s="2022" t="s">
        <v>2930</v>
      </c>
      <c r="C76" s="2023"/>
      <c r="D76" s="2023">
        <v>0</v>
      </c>
      <c r="E76" s="2024"/>
      <c r="F76" s="2024"/>
      <c r="G76" s="2024"/>
      <c r="H76" s="2024"/>
      <c r="I76" s="2023"/>
      <c r="J76" s="2027"/>
      <c r="K76" s="2026" t="s">
        <v>2285</v>
      </c>
      <c r="L76" s="2026" t="s">
        <v>2285</v>
      </c>
      <c r="M76" s="2026">
        <v>0.79999999999999993</v>
      </c>
      <c r="N76" s="2026">
        <v>0.79999999999999993</v>
      </c>
      <c r="O76" s="2026">
        <v>0.79999999999999993</v>
      </c>
      <c r="P76" s="2026">
        <v>0.79999999999999993</v>
      </c>
      <c r="Q76" s="2027">
        <f t="shared" si="41"/>
        <v>0</v>
      </c>
      <c r="R76" s="2027">
        <f t="shared" si="41"/>
        <v>0</v>
      </c>
      <c r="S76" s="2027">
        <f t="shared" si="41"/>
        <v>0</v>
      </c>
      <c r="T76" s="2027">
        <f t="shared" si="41"/>
        <v>0</v>
      </c>
      <c r="U76" s="2026">
        <v>0.79999999999999993</v>
      </c>
      <c r="V76" s="2026">
        <v>0.79999999999999993</v>
      </c>
      <c r="W76" s="2026">
        <v>0.79999999999999993</v>
      </c>
      <c r="X76" s="2026">
        <v>0.79999999999999993</v>
      </c>
      <c r="Y76" s="2028">
        <f t="shared" si="42"/>
        <v>0</v>
      </c>
      <c r="Z76" s="2028">
        <f t="shared" si="42"/>
        <v>0</v>
      </c>
      <c r="AA76" s="2028">
        <f t="shared" si="42"/>
        <v>0</v>
      </c>
      <c r="AB76" s="2028">
        <f t="shared" si="42"/>
        <v>0</v>
      </c>
      <c r="AC76" s="2026">
        <v>0.60399999999999998</v>
      </c>
      <c r="AD76" s="2026">
        <v>0.60399999999999998</v>
      </c>
      <c r="AE76" s="2026">
        <v>0.60399999999999998</v>
      </c>
      <c r="AF76" s="2026">
        <v>0.60399999999999998</v>
      </c>
      <c r="AG76" s="2027"/>
      <c r="AH76" s="2027"/>
      <c r="AI76" s="2027"/>
      <c r="AJ76" s="2027"/>
      <c r="AK76" s="2027">
        <v>0</v>
      </c>
      <c r="AL76" s="2027">
        <v>0</v>
      </c>
      <c r="AM76" s="2027">
        <v>0</v>
      </c>
      <c r="AN76" s="2027">
        <v>0</v>
      </c>
      <c r="AO76" s="2027"/>
      <c r="AP76" s="2027"/>
      <c r="AQ76" s="2027"/>
      <c r="AR76" s="2027"/>
      <c r="AS76" s="2027">
        <f t="shared" si="36"/>
        <v>0</v>
      </c>
      <c r="AT76" s="2027"/>
      <c r="AU76" s="2027"/>
      <c r="AV76" s="2027"/>
      <c r="AW76" s="2027">
        <f t="shared" si="25"/>
        <v>0</v>
      </c>
      <c r="AX76" s="1974"/>
      <c r="AY76" s="2029">
        <v>0</v>
      </c>
      <c r="AZ76" s="2029">
        <v>0</v>
      </c>
      <c r="BA76" s="2029">
        <v>0</v>
      </c>
      <c r="BB76" s="1974"/>
      <c r="BC76" s="2029">
        <v>0</v>
      </c>
      <c r="BD76" s="2029">
        <v>0</v>
      </c>
      <c r="BE76" s="2029">
        <v>0</v>
      </c>
      <c r="BF76" s="1974"/>
      <c r="BG76" s="2029">
        <v>0</v>
      </c>
      <c r="BH76" s="2029">
        <v>0</v>
      </c>
      <c r="BI76" s="2029">
        <v>0</v>
      </c>
      <c r="BJ76" s="2030">
        <f t="shared" si="37"/>
        <v>0</v>
      </c>
      <c r="BK76" s="2030">
        <f t="shared" si="37"/>
        <v>0</v>
      </c>
      <c r="BL76" s="2030">
        <f t="shared" si="37"/>
        <v>0</v>
      </c>
      <c r="BM76" s="2030"/>
      <c r="BN76" s="2030">
        <f t="shared" si="38"/>
        <v>0</v>
      </c>
      <c r="BO76" s="2030">
        <f t="shared" si="39"/>
        <v>0</v>
      </c>
      <c r="BP76" s="2030"/>
      <c r="BQ76" s="2030">
        <f t="shared" si="40"/>
        <v>0</v>
      </c>
      <c r="BR76" s="2030">
        <f t="shared" si="40"/>
        <v>0</v>
      </c>
      <c r="BS76" s="2030">
        <f t="shared" si="40"/>
        <v>0</v>
      </c>
      <c r="BT76" s="2031"/>
      <c r="BU76" s="2031"/>
      <c r="BV76" s="2031"/>
      <c r="BW76" s="2031"/>
      <c r="BX76" s="2031"/>
      <c r="BY76" s="2031"/>
      <c r="BZ76" s="2031"/>
      <c r="CA76" s="2031"/>
      <c r="CB76" s="2029"/>
      <c r="CC76" s="2029"/>
      <c r="CD76" s="2029"/>
      <c r="CE76" s="2029"/>
      <c r="CF76" s="2029"/>
      <c r="CG76" s="2032"/>
      <c r="CH76" s="1974"/>
      <c r="CI76" s="1974"/>
      <c r="CJ76" s="1974"/>
      <c r="CK76" s="1974"/>
      <c r="CL76" s="1974">
        <v>0</v>
      </c>
      <c r="CM76" s="2033">
        <v>0</v>
      </c>
      <c r="CN76" s="2026">
        <v>0</v>
      </c>
      <c r="CO76" s="1974">
        <v>1</v>
      </c>
      <c r="CP76" s="2040">
        <v>100</v>
      </c>
      <c r="CQ76" s="2040"/>
      <c r="CR76" s="2062">
        <v>1</v>
      </c>
      <c r="CS76" s="2062">
        <v>1</v>
      </c>
      <c r="CT76" s="2062">
        <v>1</v>
      </c>
      <c r="CU76" s="2062">
        <v>1</v>
      </c>
      <c r="CV76" s="2036"/>
      <c r="CW76" s="2036"/>
      <c r="CX76" s="2036"/>
      <c r="CY76" s="2036"/>
      <c r="CZ76" s="2036"/>
      <c r="DA76" s="2036"/>
    </row>
    <row r="77" spans="1:105" ht="23" x14ac:dyDescent="0.25">
      <c r="A77" s="2185" t="s">
        <v>231</v>
      </c>
      <c r="B77" s="2022" t="s">
        <v>2930</v>
      </c>
      <c r="C77" s="2023"/>
      <c r="D77" s="2023">
        <v>0</v>
      </c>
      <c r="E77" s="2024"/>
      <c r="F77" s="2024"/>
      <c r="G77" s="2024"/>
      <c r="H77" s="2024"/>
      <c r="I77" s="2023"/>
      <c r="J77" s="2027"/>
      <c r="K77" s="2026" t="s">
        <v>2285</v>
      </c>
      <c r="L77" s="2026" t="s">
        <v>2285</v>
      </c>
      <c r="M77" s="2026">
        <v>0.79999999999999993</v>
      </c>
      <c r="N77" s="2026">
        <v>0.79999999999999993</v>
      </c>
      <c r="O77" s="2026">
        <v>0.79999999999999993</v>
      </c>
      <c r="P77" s="2026">
        <v>0.79999999999999993</v>
      </c>
      <c r="Q77" s="2027">
        <f t="shared" si="41"/>
        <v>0</v>
      </c>
      <c r="R77" s="2027">
        <f t="shared" si="41"/>
        <v>0</v>
      </c>
      <c r="S77" s="2027">
        <f t="shared" si="41"/>
        <v>0</v>
      </c>
      <c r="T77" s="2027">
        <f t="shared" si="41"/>
        <v>0</v>
      </c>
      <c r="U77" s="2026">
        <v>0.79999999999999993</v>
      </c>
      <c r="V77" s="2026">
        <v>0.79999999999999993</v>
      </c>
      <c r="W77" s="2026">
        <v>0.79999999999999993</v>
      </c>
      <c r="X77" s="2026">
        <v>0.79999999999999993</v>
      </c>
      <c r="Y77" s="2028">
        <f t="shared" si="42"/>
        <v>0</v>
      </c>
      <c r="Z77" s="2028">
        <f t="shared" si="42"/>
        <v>0</v>
      </c>
      <c r="AA77" s="2028">
        <f t="shared" si="42"/>
        <v>0</v>
      </c>
      <c r="AB77" s="2028">
        <f t="shared" si="42"/>
        <v>0</v>
      </c>
      <c r="AC77" s="2026">
        <v>0.60399999999999998</v>
      </c>
      <c r="AD77" s="2026">
        <v>0.60399999999999998</v>
      </c>
      <c r="AE77" s="2026">
        <v>0.60399999999999998</v>
      </c>
      <c r="AF77" s="2026">
        <v>0.60399999999999998</v>
      </c>
      <c r="AG77" s="2027"/>
      <c r="AH77" s="2027"/>
      <c r="AI77" s="2027"/>
      <c r="AJ77" s="2027"/>
      <c r="AK77" s="2027">
        <v>0</v>
      </c>
      <c r="AL77" s="2027">
        <v>0</v>
      </c>
      <c r="AM77" s="2027">
        <v>0</v>
      </c>
      <c r="AN77" s="2027">
        <v>0</v>
      </c>
      <c r="AO77" s="2027"/>
      <c r="AP77" s="2027"/>
      <c r="AQ77" s="2027"/>
      <c r="AR77" s="2027"/>
      <c r="AS77" s="2027">
        <f t="shared" si="36"/>
        <v>0</v>
      </c>
      <c r="AT77" s="2027"/>
      <c r="AU77" s="2027"/>
      <c r="AV77" s="2027"/>
      <c r="AW77" s="2027">
        <f t="shared" si="25"/>
        <v>0</v>
      </c>
      <c r="AX77" s="1974"/>
      <c r="AY77" s="2029">
        <v>0</v>
      </c>
      <c r="AZ77" s="2029">
        <v>0</v>
      </c>
      <c r="BA77" s="2029">
        <v>0</v>
      </c>
      <c r="BB77" s="1974"/>
      <c r="BC77" s="2029">
        <v>0</v>
      </c>
      <c r="BD77" s="2029">
        <v>0</v>
      </c>
      <c r="BE77" s="2029">
        <v>0</v>
      </c>
      <c r="BF77" s="1974"/>
      <c r="BG77" s="2029">
        <v>0</v>
      </c>
      <c r="BH77" s="2029">
        <v>0</v>
      </c>
      <c r="BI77" s="2029">
        <v>0</v>
      </c>
      <c r="BJ77" s="2030">
        <f t="shared" si="37"/>
        <v>0</v>
      </c>
      <c r="BK77" s="2030">
        <f t="shared" si="37"/>
        <v>0</v>
      </c>
      <c r="BL77" s="2030">
        <f t="shared" si="37"/>
        <v>0</v>
      </c>
      <c r="BM77" s="2030"/>
      <c r="BN77" s="2030">
        <f t="shared" si="38"/>
        <v>0</v>
      </c>
      <c r="BO77" s="2030">
        <f t="shared" si="39"/>
        <v>0</v>
      </c>
      <c r="BP77" s="2030"/>
      <c r="BQ77" s="2030">
        <f t="shared" si="40"/>
        <v>0</v>
      </c>
      <c r="BR77" s="2030">
        <f t="shared" si="40"/>
        <v>0</v>
      </c>
      <c r="BS77" s="2030">
        <f t="shared" si="40"/>
        <v>0</v>
      </c>
      <c r="BT77" s="2031"/>
      <c r="BU77" s="2031"/>
      <c r="BV77" s="2031"/>
      <c r="BW77" s="2031"/>
      <c r="BX77" s="2031"/>
      <c r="BY77" s="2031"/>
      <c r="BZ77" s="2031"/>
      <c r="CA77" s="2031"/>
      <c r="CB77" s="2029"/>
      <c r="CC77" s="2029"/>
      <c r="CD77" s="2029"/>
      <c r="CE77" s="2029"/>
      <c r="CF77" s="2029"/>
      <c r="CG77" s="2032"/>
      <c r="CH77" s="1974"/>
      <c r="CI77" s="1974"/>
      <c r="CJ77" s="1974"/>
      <c r="CK77" s="1974"/>
      <c r="CL77" s="1974">
        <v>0</v>
      </c>
      <c r="CM77" s="2033">
        <v>0</v>
      </c>
      <c r="CN77" s="2026">
        <v>0</v>
      </c>
      <c r="CO77" s="1974">
        <v>0</v>
      </c>
      <c r="CP77" s="2040">
        <v>0</v>
      </c>
      <c r="CQ77" s="2040"/>
      <c r="CR77" s="2062">
        <v>1</v>
      </c>
      <c r="CS77" s="2062">
        <v>1</v>
      </c>
      <c r="CT77" s="2062">
        <v>1</v>
      </c>
      <c r="CU77" s="2062">
        <v>1</v>
      </c>
      <c r="CV77" s="2036"/>
      <c r="CW77" s="2036"/>
      <c r="CX77" s="2036"/>
      <c r="CY77" s="2036"/>
      <c r="CZ77" s="2036"/>
      <c r="DA77" s="2036"/>
    </row>
    <row r="78" spans="1:105" ht="23" x14ac:dyDescent="0.25">
      <c r="A78" s="2185"/>
      <c r="B78" s="2022" t="s">
        <v>2930</v>
      </c>
      <c r="C78" s="2023"/>
      <c r="D78" s="2023">
        <v>0</v>
      </c>
      <c r="E78" s="2024"/>
      <c r="F78" s="2024"/>
      <c r="G78" s="2024"/>
      <c r="H78" s="2024"/>
      <c r="I78" s="2023"/>
      <c r="J78" s="2027"/>
      <c r="K78" s="2026" t="s">
        <v>2285</v>
      </c>
      <c r="L78" s="2026" t="s">
        <v>2285</v>
      </c>
      <c r="M78" s="2026">
        <v>0.79999999999999993</v>
      </c>
      <c r="N78" s="2026">
        <v>0.79999999999999993</v>
      </c>
      <c r="O78" s="2026">
        <v>0.79999999999999993</v>
      </c>
      <c r="P78" s="2026">
        <v>0.79999999999999993</v>
      </c>
      <c r="Q78" s="2027">
        <f t="shared" si="41"/>
        <v>0</v>
      </c>
      <c r="R78" s="2027">
        <f t="shared" si="41"/>
        <v>0</v>
      </c>
      <c r="S78" s="2027">
        <f t="shared" si="41"/>
        <v>0</v>
      </c>
      <c r="T78" s="2027">
        <f t="shared" si="41"/>
        <v>0</v>
      </c>
      <c r="U78" s="2026">
        <v>0.79999999999999993</v>
      </c>
      <c r="V78" s="2026">
        <v>0.79999999999999993</v>
      </c>
      <c r="W78" s="2026">
        <v>0.79999999999999993</v>
      </c>
      <c r="X78" s="2026">
        <v>0.79999999999999993</v>
      </c>
      <c r="Y78" s="2028">
        <f t="shared" si="42"/>
        <v>0</v>
      </c>
      <c r="Z78" s="2028">
        <f t="shared" si="42"/>
        <v>0</v>
      </c>
      <c r="AA78" s="2028">
        <f t="shared" si="42"/>
        <v>0</v>
      </c>
      <c r="AB78" s="2028">
        <f t="shared" si="42"/>
        <v>0</v>
      </c>
      <c r="AC78" s="2026">
        <v>0.60399999999999998</v>
      </c>
      <c r="AD78" s="2026">
        <v>0.60399999999999998</v>
      </c>
      <c r="AE78" s="2026">
        <v>0.60399999999999998</v>
      </c>
      <c r="AF78" s="2026">
        <v>0.60399999999999998</v>
      </c>
      <c r="AG78" s="2027"/>
      <c r="AH78" s="2027"/>
      <c r="AI78" s="2027"/>
      <c r="AJ78" s="2027"/>
      <c r="AK78" s="2027">
        <v>0</v>
      </c>
      <c r="AL78" s="2027">
        <v>0</v>
      </c>
      <c r="AM78" s="2027">
        <v>0</v>
      </c>
      <c r="AN78" s="2027">
        <v>0</v>
      </c>
      <c r="AO78" s="2027"/>
      <c r="AP78" s="2027"/>
      <c r="AQ78" s="2027"/>
      <c r="AR78" s="2027"/>
      <c r="AS78" s="2027">
        <f t="shared" si="36"/>
        <v>0</v>
      </c>
      <c r="AT78" s="2027"/>
      <c r="AU78" s="2027"/>
      <c r="AV78" s="2027"/>
      <c r="AW78" s="2027">
        <f t="shared" si="25"/>
        <v>0</v>
      </c>
      <c r="AX78" s="1974"/>
      <c r="AY78" s="2029">
        <v>0</v>
      </c>
      <c r="AZ78" s="2029">
        <v>0</v>
      </c>
      <c r="BA78" s="2029">
        <v>0</v>
      </c>
      <c r="BB78" s="1974"/>
      <c r="BC78" s="2029">
        <v>0</v>
      </c>
      <c r="BD78" s="2029">
        <v>0</v>
      </c>
      <c r="BE78" s="2029">
        <v>0</v>
      </c>
      <c r="BF78" s="1974"/>
      <c r="BG78" s="2029">
        <v>0</v>
      </c>
      <c r="BH78" s="2029">
        <v>0</v>
      </c>
      <c r="BI78" s="2029">
        <v>0</v>
      </c>
      <c r="BJ78" s="2030">
        <f t="shared" si="37"/>
        <v>0</v>
      </c>
      <c r="BK78" s="2030">
        <f t="shared" si="37"/>
        <v>0</v>
      </c>
      <c r="BL78" s="2030">
        <f t="shared" si="37"/>
        <v>0</v>
      </c>
      <c r="BM78" s="2030"/>
      <c r="BN78" s="2030">
        <f t="shared" si="38"/>
        <v>0</v>
      </c>
      <c r="BO78" s="2030">
        <f t="shared" si="39"/>
        <v>0</v>
      </c>
      <c r="BP78" s="2030"/>
      <c r="BQ78" s="2030">
        <f t="shared" si="40"/>
        <v>0</v>
      </c>
      <c r="BR78" s="2030">
        <f t="shared" si="40"/>
        <v>0</v>
      </c>
      <c r="BS78" s="2030">
        <f t="shared" si="40"/>
        <v>0</v>
      </c>
      <c r="BT78" s="2031"/>
      <c r="BU78" s="2031"/>
      <c r="BV78" s="2031"/>
      <c r="BW78" s="2031"/>
      <c r="BX78" s="2031"/>
      <c r="BY78" s="2031"/>
      <c r="BZ78" s="2031"/>
      <c r="CA78" s="2031"/>
      <c r="CB78" s="2029"/>
      <c r="CC78" s="2029"/>
      <c r="CD78" s="2029"/>
      <c r="CE78" s="2029"/>
      <c r="CF78" s="2029"/>
      <c r="CG78" s="2032"/>
      <c r="CH78" s="1974"/>
      <c r="CI78" s="1974"/>
      <c r="CJ78" s="1974"/>
      <c r="CK78" s="1974"/>
      <c r="CL78" s="1974"/>
      <c r="CM78" s="2033">
        <v>0</v>
      </c>
      <c r="CN78" s="2026">
        <v>0</v>
      </c>
      <c r="CO78" s="1974"/>
      <c r="CP78" s="2040">
        <v>0</v>
      </c>
      <c r="CQ78" s="2040"/>
      <c r="CR78" s="2062">
        <v>1</v>
      </c>
      <c r="CS78" s="2062">
        <v>1</v>
      </c>
      <c r="CT78" s="2062">
        <v>1</v>
      </c>
      <c r="CU78" s="2062">
        <v>1</v>
      </c>
      <c r="CV78" s="2036"/>
      <c r="CW78" s="2036"/>
      <c r="CX78" s="2036"/>
      <c r="CY78" s="2049"/>
      <c r="CZ78" s="2049"/>
      <c r="DA78" s="2049"/>
    </row>
    <row r="79" spans="1:105" x14ac:dyDescent="0.25">
      <c r="A79" s="2185"/>
      <c r="B79" s="2022"/>
      <c r="C79" s="2023"/>
      <c r="D79" s="2023">
        <v>0</v>
      </c>
      <c r="E79" s="2024"/>
      <c r="F79" s="2024"/>
      <c r="G79" s="2024"/>
      <c r="H79" s="2024"/>
      <c r="I79" s="2023"/>
      <c r="J79" s="2027"/>
      <c r="K79" s="2026"/>
      <c r="L79" s="2026"/>
      <c r="M79" s="2026" t="e">
        <v>#N/A</v>
      </c>
      <c r="N79" s="2026" t="e">
        <v>#N/A</v>
      </c>
      <c r="O79" s="2026" t="e">
        <v>#N/A</v>
      </c>
      <c r="P79" s="2026" t="e">
        <v>#N/A</v>
      </c>
      <c r="Q79" s="2027" t="e">
        <f t="shared" si="41"/>
        <v>#N/A</v>
      </c>
      <c r="R79" s="2027" t="e">
        <f t="shared" si="41"/>
        <v>#N/A</v>
      </c>
      <c r="S79" s="2027" t="e">
        <f t="shared" si="41"/>
        <v>#N/A</v>
      </c>
      <c r="T79" s="2027" t="e">
        <f t="shared" si="41"/>
        <v>#N/A</v>
      </c>
      <c r="U79" s="2026" t="e">
        <v>#N/A</v>
      </c>
      <c r="V79" s="2026" t="e">
        <v>#N/A</v>
      </c>
      <c r="W79" s="2026" t="e">
        <v>#N/A</v>
      </c>
      <c r="X79" s="2026" t="e">
        <v>#N/A</v>
      </c>
      <c r="Y79" s="2028" t="e">
        <f t="shared" si="42"/>
        <v>#N/A</v>
      </c>
      <c r="Z79" s="2028" t="e">
        <f t="shared" si="42"/>
        <v>#N/A</v>
      </c>
      <c r="AA79" s="2028" t="e">
        <f t="shared" si="42"/>
        <v>#N/A</v>
      </c>
      <c r="AB79" s="2028" t="e">
        <f t="shared" si="42"/>
        <v>#N/A</v>
      </c>
      <c r="AC79" s="2026" t="e">
        <v>#N/A</v>
      </c>
      <c r="AD79" s="2026" t="e">
        <v>#N/A</v>
      </c>
      <c r="AE79" s="2026" t="e">
        <v>#N/A</v>
      </c>
      <c r="AF79" s="2026" t="e">
        <v>#N/A</v>
      </c>
      <c r="AG79" s="2027"/>
      <c r="AH79" s="2027"/>
      <c r="AI79" s="2027"/>
      <c r="AJ79" s="2027"/>
      <c r="AK79" s="2027">
        <v>0</v>
      </c>
      <c r="AL79" s="2027">
        <v>0</v>
      </c>
      <c r="AM79" s="2027">
        <v>0</v>
      </c>
      <c r="AN79" s="2027">
        <v>0</v>
      </c>
      <c r="AO79" s="2027"/>
      <c r="AP79" s="2027"/>
      <c r="AQ79" s="2027"/>
      <c r="AR79" s="2027"/>
      <c r="AS79" s="2027"/>
      <c r="AT79" s="2027"/>
      <c r="AU79" s="2027"/>
      <c r="AV79" s="2027"/>
      <c r="AW79" s="2027">
        <f t="shared" si="25"/>
        <v>0</v>
      </c>
      <c r="AX79" s="1974"/>
      <c r="AY79" s="2029">
        <v>0</v>
      </c>
      <c r="AZ79" s="2029">
        <v>0</v>
      </c>
      <c r="BA79" s="2029">
        <v>0</v>
      </c>
      <c r="BB79" s="1974"/>
      <c r="BC79" s="2029">
        <v>0</v>
      </c>
      <c r="BD79" s="2029">
        <v>0</v>
      </c>
      <c r="BE79" s="2029">
        <v>0</v>
      </c>
      <c r="BF79" s="1974"/>
      <c r="BG79" s="2029">
        <v>0</v>
      </c>
      <c r="BH79" s="2029">
        <v>0</v>
      </c>
      <c r="BI79" s="2029">
        <v>0</v>
      </c>
      <c r="BJ79" s="2030">
        <f t="shared" si="37"/>
        <v>0</v>
      </c>
      <c r="BK79" s="2030">
        <f t="shared" si="37"/>
        <v>0</v>
      </c>
      <c r="BL79" s="2030">
        <f t="shared" si="37"/>
        <v>0</v>
      </c>
      <c r="BM79" s="2030"/>
      <c r="BN79" s="2030">
        <f t="shared" si="38"/>
        <v>0</v>
      </c>
      <c r="BO79" s="2030">
        <f t="shared" si="39"/>
        <v>0</v>
      </c>
      <c r="BP79" s="2030"/>
      <c r="BQ79" s="2030">
        <f t="shared" si="40"/>
        <v>0</v>
      </c>
      <c r="BR79" s="2030">
        <f t="shared" si="40"/>
        <v>0</v>
      </c>
      <c r="BS79" s="2030">
        <f t="shared" si="40"/>
        <v>0</v>
      </c>
      <c r="BT79" s="2031"/>
      <c r="BU79" s="2031"/>
      <c r="BV79" s="2031"/>
      <c r="BW79" s="2031"/>
      <c r="BX79" s="2031"/>
      <c r="BY79" s="2031"/>
      <c r="BZ79" s="2031"/>
      <c r="CA79" s="2031"/>
      <c r="CB79" s="2029"/>
      <c r="CC79" s="2029"/>
      <c r="CD79" s="2029"/>
      <c r="CE79" s="2029"/>
      <c r="CF79" s="2029"/>
      <c r="CG79" s="2032"/>
      <c r="CH79" s="1974"/>
      <c r="CI79" s="1974"/>
      <c r="CJ79" s="1974"/>
      <c r="CK79" s="1974"/>
      <c r="CL79" s="1974"/>
      <c r="CM79" s="2033">
        <v>0</v>
      </c>
      <c r="CN79" s="2026">
        <v>0</v>
      </c>
      <c r="CO79" s="1974"/>
      <c r="CP79" s="2040">
        <v>0</v>
      </c>
      <c r="CQ79" s="2040"/>
      <c r="CR79" s="2062">
        <v>1</v>
      </c>
      <c r="CS79" s="2062">
        <v>1</v>
      </c>
      <c r="CT79" s="2062">
        <v>1</v>
      </c>
      <c r="CU79" s="2062">
        <v>1</v>
      </c>
      <c r="CV79" s="2036"/>
      <c r="CW79" s="2036"/>
      <c r="CX79" s="2036"/>
      <c r="CY79" s="2049"/>
      <c r="CZ79" s="2049"/>
      <c r="DA79" s="2049"/>
    </row>
    <row r="80" spans="1:105" x14ac:dyDescent="0.25">
      <c r="A80" s="2185"/>
      <c r="B80" s="2022"/>
      <c r="C80" s="2023"/>
      <c r="D80" s="2023">
        <v>0</v>
      </c>
      <c r="E80" s="2024"/>
      <c r="F80" s="2024"/>
      <c r="G80" s="2024"/>
      <c r="H80" s="2024"/>
      <c r="I80" s="2023"/>
      <c r="J80" s="2027"/>
      <c r="K80" s="2026"/>
      <c r="L80" s="2026"/>
      <c r="M80" s="2026" t="e">
        <v>#N/A</v>
      </c>
      <c r="N80" s="2026" t="e">
        <v>#N/A</v>
      </c>
      <c r="O80" s="2026" t="e">
        <v>#N/A</v>
      </c>
      <c r="P80" s="2026" t="e">
        <v>#N/A</v>
      </c>
      <c r="Q80" s="2027" t="e">
        <f t="shared" si="41"/>
        <v>#N/A</v>
      </c>
      <c r="R80" s="2027" t="e">
        <f t="shared" si="41"/>
        <v>#N/A</v>
      </c>
      <c r="S80" s="2027" t="e">
        <f t="shared" si="41"/>
        <v>#N/A</v>
      </c>
      <c r="T80" s="2027" t="e">
        <f t="shared" si="41"/>
        <v>#N/A</v>
      </c>
      <c r="U80" s="2026" t="e">
        <v>#N/A</v>
      </c>
      <c r="V80" s="2026" t="e">
        <v>#N/A</v>
      </c>
      <c r="W80" s="2026" t="e">
        <v>#N/A</v>
      </c>
      <c r="X80" s="2026" t="e">
        <v>#N/A</v>
      </c>
      <c r="Y80" s="2028" t="e">
        <f t="shared" si="42"/>
        <v>#N/A</v>
      </c>
      <c r="Z80" s="2028" t="e">
        <f t="shared" si="42"/>
        <v>#N/A</v>
      </c>
      <c r="AA80" s="2028" t="e">
        <f t="shared" si="42"/>
        <v>#N/A</v>
      </c>
      <c r="AB80" s="2028" t="e">
        <f t="shared" si="42"/>
        <v>#N/A</v>
      </c>
      <c r="AC80" s="2026" t="e">
        <v>#N/A</v>
      </c>
      <c r="AD80" s="2026" t="e">
        <v>#N/A</v>
      </c>
      <c r="AE80" s="2026" t="e">
        <v>#N/A</v>
      </c>
      <c r="AF80" s="2026" t="e">
        <v>#N/A</v>
      </c>
      <c r="AG80" s="2027"/>
      <c r="AH80" s="2027"/>
      <c r="AI80" s="2027"/>
      <c r="AJ80" s="2027"/>
      <c r="AK80" s="2027">
        <v>0</v>
      </c>
      <c r="AL80" s="2027">
        <v>0</v>
      </c>
      <c r="AM80" s="2027">
        <v>0</v>
      </c>
      <c r="AN80" s="2027">
        <v>0</v>
      </c>
      <c r="AO80" s="2027"/>
      <c r="AP80" s="2027"/>
      <c r="AQ80" s="2027"/>
      <c r="AR80" s="2027"/>
      <c r="AS80" s="2027"/>
      <c r="AT80" s="2027"/>
      <c r="AU80" s="2027"/>
      <c r="AV80" s="2027"/>
      <c r="AW80" s="2027">
        <f t="shared" si="25"/>
        <v>0</v>
      </c>
      <c r="AX80" s="1974"/>
      <c r="AY80" s="2029">
        <v>0</v>
      </c>
      <c r="AZ80" s="2029">
        <v>0</v>
      </c>
      <c r="BA80" s="2029">
        <v>0</v>
      </c>
      <c r="BB80" s="1974"/>
      <c r="BC80" s="2029">
        <v>0</v>
      </c>
      <c r="BD80" s="2029">
        <v>0</v>
      </c>
      <c r="BE80" s="2029">
        <v>0</v>
      </c>
      <c r="BF80" s="1974"/>
      <c r="BG80" s="2029">
        <v>0</v>
      </c>
      <c r="BH80" s="2029">
        <v>0</v>
      </c>
      <c r="BI80" s="2029">
        <v>0</v>
      </c>
      <c r="BJ80" s="2030">
        <f t="shared" si="37"/>
        <v>0</v>
      </c>
      <c r="BK80" s="2030">
        <f t="shared" si="37"/>
        <v>0</v>
      </c>
      <c r="BL80" s="2030">
        <f t="shared" si="37"/>
        <v>0</v>
      </c>
      <c r="BM80" s="2030"/>
      <c r="BN80" s="2030">
        <f t="shared" si="38"/>
        <v>0</v>
      </c>
      <c r="BO80" s="2030">
        <f t="shared" si="39"/>
        <v>0</v>
      </c>
      <c r="BP80" s="2030"/>
      <c r="BQ80" s="2030">
        <f t="shared" si="40"/>
        <v>0</v>
      </c>
      <c r="BR80" s="2030">
        <f t="shared" si="40"/>
        <v>0</v>
      </c>
      <c r="BS80" s="2030">
        <f t="shared" si="40"/>
        <v>0</v>
      </c>
      <c r="BT80" s="2031"/>
      <c r="BU80" s="2031"/>
      <c r="BV80" s="2031"/>
      <c r="BW80" s="2031"/>
      <c r="BX80" s="2031"/>
      <c r="BY80" s="2031"/>
      <c r="BZ80" s="2031"/>
      <c r="CA80" s="2031"/>
      <c r="CB80" s="2029"/>
      <c r="CC80" s="2029"/>
      <c r="CD80" s="2029"/>
      <c r="CE80" s="2029"/>
      <c r="CF80" s="2029"/>
      <c r="CG80" s="2032"/>
      <c r="CH80" s="1974"/>
      <c r="CI80" s="1974"/>
      <c r="CJ80" s="1974"/>
      <c r="CK80" s="1974"/>
      <c r="CL80" s="1974"/>
      <c r="CM80" s="2033">
        <v>0</v>
      </c>
      <c r="CN80" s="2026">
        <v>0</v>
      </c>
      <c r="CO80" s="1974"/>
      <c r="CP80" s="2040">
        <v>0</v>
      </c>
      <c r="CQ80" s="2040"/>
      <c r="CR80" s="2062">
        <v>1</v>
      </c>
      <c r="CS80" s="2062">
        <v>1</v>
      </c>
      <c r="CT80" s="2062">
        <v>1</v>
      </c>
      <c r="CU80" s="2062">
        <v>1</v>
      </c>
      <c r="CV80" s="2036"/>
      <c r="CW80" s="2036"/>
      <c r="CX80" s="2036"/>
      <c r="CY80" s="2049"/>
      <c r="CZ80" s="2049"/>
      <c r="DA80" s="2049"/>
    </row>
    <row r="81" spans="1:105" x14ac:dyDescent="0.25">
      <c r="A81" s="2185"/>
      <c r="B81" s="2022"/>
      <c r="C81" s="2023"/>
      <c r="D81" s="2023">
        <v>0</v>
      </c>
      <c r="E81" s="2024"/>
      <c r="F81" s="2024"/>
      <c r="G81" s="2024"/>
      <c r="H81" s="2024"/>
      <c r="I81" s="2023"/>
      <c r="J81" s="2027"/>
      <c r="K81" s="2026"/>
      <c r="L81" s="2026"/>
      <c r="M81" s="2026" t="e">
        <v>#N/A</v>
      </c>
      <c r="N81" s="2026" t="e">
        <v>#N/A</v>
      </c>
      <c r="O81" s="2026" t="e">
        <v>#N/A</v>
      </c>
      <c r="P81" s="2026" t="e">
        <v>#N/A</v>
      </c>
      <c r="Q81" s="2027" t="e">
        <f t="shared" si="41"/>
        <v>#N/A</v>
      </c>
      <c r="R81" s="2027" t="e">
        <f t="shared" si="41"/>
        <v>#N/A</v>
      </c>
      <c r="S81" s="2027" t="e">
        <f t="shared" si="41"/>
        <v>#N/A</v>
      </c>
      <c r="T81" s="2027" t="e">
        <f t="shared" si="41"/>
        <v>#N/A</v>
      </c>
      <c r="U81" s="2026" t="e">
        <v>#N/A</v>
      </c>
      <c r="V81" s="2026" t="e">
        <v>#N/A</v>
      </c>
      <c r="W81" s="2026" t="e">
        <v>#N/A</v>
      </c>
      <c r="X81" s="2026" t="e">
        <v>#N/A</v>
      </c>
      <c r="Y81" s="2028" t="e">
        <f t="shared" si="42"/>
        <v>#N/A</v>
      </c>
      <c r="Z81" s="2028" t="e">
        <f t="shared" si="42"/>
        <v>#N/A</v>
      </c>
      <c r="AA81" s="2028" t="e">
        <f t="shared" si="42"/>
        <v>#N/A</v>
      </c>
      <c r="AB81" s="2028" t="e">
        <f t="shared" si="42"/>
        <v>#N/A</v>
      </c>
      <c r="AC81" s="2026" t="e">
        <v>#N/A</v>
      </c>
      <c r="AD81" s="2026" t="e">
        <v>#N/A</v>
      </c>
      <c r="AE81" s="2026" t="e">
        <v>#N/A</v>
      </c>
      <c r="AF81" s="2026" t="e">
        <v>#N/A</v>
      </c>
      <c r="AG81" s="2027"/>
      <c r="AH81" s="2027"/>
      <c r="AI81" s="2027"/>
      <c r="AJ81" s="2027"/>
      <c r="AK81" s="2027">
        <v>0</v>
      </c>
      <c r="AL81" s="2027">
        <v>0</v>
      </c>
      <c r="AM81" s="2027">
        <v>0</v>
      </c>
      <c r="AN81" s="2027">
        <v>0</v>
      </c>
      <c r="AO81" s="2027"/>
      <c r="AP81" s="2027"/>
      <c r="AQ81" s="2027"/>
      <c r="AR81" s="2027"/>
      <c r="AS81" s="2027"/>
      <c r="AT81" s="2027"/>
      <c r="AU81" s="2027"/>
      <c r="AV81" s="2027"/>
      <c r="AW81" s="2027">
        <f t="shared" si="25"/>
        <v>0</v>
      </c>
      <c r="AX81" s="1974"/>
      <c r="AY81" s="2029">
        <v>0</v>
      </c>
      <c r="AZ81" s="2029">
        <v>0</v>
      </c>
      <c r="BA81" s="2029">
        <v>0</v>
      </c>
      <c r="BB81" s="1974"/>
      <c r="BC81" s="2029">
        <v>0</v>
      </c>
      <c r="BD81" s="2029">
        <v>0</v>
      </c>
      <c r="BE81" s="2029">
        <v>0</v>
      </c>
      <c r="BF81" s="1974"/>
      <c r="BG81" s="2029">
        <v>0</v>
      </c>
      <c r="BH81" s="2029">
        <v>0</v>
      </c>
      <c r="BI81" s="2029">
        <v>0</v>
      </c>
      <c r="BJ81" s="2030">
        <f t="shared" si="37"/>
        <v>0</v>
      </c>
      <c r="BK81" s="2030">
        <f t="shared" si="37"/>
        <v>0</v>
      </c>
      <c r="BL81" s="2030">
        <f t="shared" si="37"/>
        <v>0</v>
      </c>
      <c r="BM81" s="2030"/>
      <c r="BN81" s="2030">
        <f t="shared" si="38"/>
        <v>0</v>
      </c>
      <c r="BO81" s="2030">
        <f t="shared" si="39"/>
        <v>0</v>
      </c>
      <c r="BP81" s="2030"/>
      <c r="BQ81" s="2030">
        <f t="shared" si="40"/>
        <v>0</v>
      </c>
      <c r="BR81" s="2030">
        <f t="shared" si="40"/>
        <v>0</v>
      </c>
      <c r="BS81" s="2030">
        <f t="shared" si="40"/>
        <v>0</v>
      </c>
      <c r="BT81" s="2031"/>
      <c r="BU81" s="2031"/>
      <c r="BV81" s="2031"/>
      <c r="BW81" s="2031"/>
      <c r="BX81" s="2031"/>
      <c r="BY81" s="2031"/>
      <c r="BZ81" s="2031"/>
      <c r="CA81" s="2031"/>
      <c r="CB81" s="2029"/>
      <c r="CC81" s="2029"/>
      <c r="CD81" s="2029"/>
      <c r="CE81" s="2029"/>
      <c r="CF81" s="2029"/>
      <c r="CG81" s="2032"/>
      <c r="CH81" s="1974"/>
      <c r="CI81" s="1974"/>
      <c r="CJ81" s="1974"/>
      <c r="CK81" s="1974"/>
      <c r="CL81" s="1974"/>
      <c r="CM81" s="2033">
        <v>0</v>
      </c>
      <c r="CN81" s="2026">
        <v>0</v>
      </c>
      <c r="CO81" s="1974"/>
      <c r="CP81" s="2040">
        <v>0</v>
      </c>
      <c r="CQ81" s="2040"/>
      <c r="CR81" s="2062">
        <v>1</v>
      </c>
      <c r="CS81" s="2062">
        <v>1</v>
      </c>
      <c r="CT81" s="2062">
        <v>1</v>
      </c>
      <c r="CU81" s="2062">
        <v>1</v>
      </c>
      <c r="CV81" s="2036"/>
      <c r="CW81" s="2036"/>
      <c r="CX81" s="2036"/>
      <c r="CY81" s="2049"/>
      <c r="CZ81" s="2049"/>
      <c r="DA81" s="2049"/>
    </row>
    <row r="82" spans="1:105" x14ac:dyDescent="0.25">
      <c r="A82" s="2185" t="s">
        <v>232</v>
      </c>
      <c r="B82" s="2022" t="s">
        <v>2931</v>
      </c>
      <c r="C82" s="2023">
        <v>12</v>
      </c>
      <c r="D82" s="2023">
        <v>0</v>
      </c>
      <c r="E82" s="2024">
        <v>14521.3</v>
      </c>
      <c r="F82" s="2024"/>
      <c r="G82" s="2024">
        <v>2.52</v>
      </c>
      <c r="H82" s="2024"/>
      <c r="I82" s="2023">
        <v>0</v>
      </c>
      <c r="J82" s="2027"/>
      <c r="K82" s="2026" t="s">
        <v>2899</v>
      </c>
      <c r="L82" s="2026" t="s">
        <v>2899</v>
      </c>
      <c r="M82" s="2026">
        <v>0.84899999999999998</v>
      </c>
      <c r="N82" s="2026">
        <v>0.84899999999999998</v>
      </c>
      <c r="O82" s="2026">
        <v>0.84899999999999998</v>
      </c>
      <c r="P82" s="2026">
        <v>0.84899999999999998</v>
      </c>
      <c r="Q82" s="2027">
        <f t="shared" si="41"/>
        <v>12328.583699999999</v>
      </c>
      <c r="R82" s="2027">
        <f t="shared" si="41"/>
        <v>12328.583699999999</v>
      </c>
      <c r="S82" s="2027">
        <f t="shared" si="41"/>
        <v>12328.583699999999</v>
      </c>
      <c r="T82" s="2027">
        <f t="shared" si="41"/>
        <v>12328.583699999999</v>
      </c>
      <c r="U82" s="2026">
        <v>0.84899999999999998</v>
      </c>
      <c r="V82" s="2026">
        <v>0.84899999999999998</v>
      </c>
      <c r="W82" s="2026">
        <v>0.84899999999999998</v>
      </c>
      <c r="X82" s="2026">
        <v>0.84899999999999998</v>
      </c>
      <c r="Y82" s="2028">
        <f t="shared" si="42"/>
        <v>2.1394799999999998</v>
      </c>
      <c r="Z82" s="2028">
        <f t="shared" si="42"/>
        <v>2.1394799999999998</v>
      </c>
      <c r="AA82" s="2028">
        <f t="shared" si="42"/>
        <v>2.1394799999999998</v>
      </c>
      <c r="AB82" s="2028">
        <f t="shared" si="42"/>
        <v>2.1394799999999998</v>
      </c>
      <c r="AC82" s="2026">
        <v>0.67500000000000004</v>
      </c>
      <c r="AD82" s="2026">
        <v>0.67500000000000004</v>
      </c>
      <c r="AE82" s="2026">
        <v>0.67500000000000004</v>
      </c>
      <c r="AF82" s="2026">
        <v>0.67500000000000004</v>
      </c>
      <c r="AG82" s="2027">
        <f>$I82*AC82</f>
        <v>0</v>
      </c>
      <c r="AH82" s="2027">
        <f>$I82*AD82</f>
        <v>0</v>
      </c>
      <c r="AI82" s="2027">
        <f>$I82*AE82</f>
        <v>0</v>
      </c>
      <c r="AJ82" s="2027">
        <f>$I82*AF82</f>
        <v>0</v>
      </c>
      <c r="AK82" s="2027">
        <v>1</v>
      </c>
      <c r="AL82" s="2027">
        <v>1</v>
      </c>
      <c r="AM82" s="2027">
        <v>1</v>
      </c>
      <c r="AN82" s="2027">
        <v>1</v>
      </c>
      <c r="AO82" s="2027">
        <f t="shared" ref="AO82:AO92" si="43">AK82*Q82</f>
        <v>12328.583699999999</v>
      </c>
      <c r="AP82" s="2027">
        <f t="shared" ref="AP82:AQ92" si="44">AL82*R82*CS82</f>
        <v>12328.583699999999</v>
      </c>
      <c r="AQ82" s="2027">
        <f t="shared" si="44"/>
        <v>12328.583699999999</v>
      </c>
      <c r="AR82" s="2027"/>
      <c r="AS82" s="2027">
        <f t="shared" ref="AS82:AS134" si="45">AN82*T82*CU82</f>
        <v>12328.583699999999</v>
      </c>
      <c r="AT82" s="2027">
        <f t="shared" ref="AT82:AT92" si="46">AK82*AG82</f>
        <v>0</v>
      </c>
      <c r="AU82" s="2027">
        <f t="shared" ref="AU82:AW97" si="47">AL82*AH82*CS82</f>
        <v>0</v>
      </c>
      <c r="AV82" s="2027">
        <f t="shared" si="47"/>
        <v>0</v>
      </c>
      <c r="AW82" s="2027">
        <f t="shared" si="25"/>
        <v>0</v>
      </c>
      <c r="AX82" s="2029">
        <v>350</v>
      </c>
      <c r="AY82" s="2029">
        <v>350</v>
      </c>
      <c r="AZ82" s="2029">
        <v>350</v>
      </c>
      <c r="BA82" s="2029">
        <v>350</v>
      </c>
      <c r="BB82" s="2029"/>
      <c r="BC82" s="2029">
        <v>0</v>
      </c>
      <c r="BD82" s="2029">
        <v>0</v>
      </c>
      <c r="BE82" s="2029">
        <v>0</v>
      </c>
      <c r="BF82" s="2029">
        <v>2490</v>
      </c>
      <c r="BG82" s="2029">
        <v>2490</v>
      </c>
      <c r="BH82" s="2029">
        <v>2490</v>
      </c>
      <c r="BI82" s="2029">
        <v>2490</v>
      </c>
      <c r="BJ82" s="2030">
        <f t="shared" si="37"/>
        <v>350</v>
      </c>
      <c r="BK82" s="2030">
        <f t="shared" si="37"/>
        <v>350</v>
      </c>
      <c r="BL82" s="2030">
        <f t="shared" si="37"/>
        <v>350</v>
      </c>
      <c r="BM82" s="2030"/>
      <c r="BN82" s="2030">
        <f t="shared" si="38"/>
        <v>350</v>
      </c>
      <c r="BO82" s="2030">
        <f t="shared" si="39"/>
        <v>0</v>
      </c>
      <c r="BP82" s="2030"/>
      <c r="BQ82" s="2030">
        <f t="shared" si="40"/>
        <v>0</v>
      </c>
      <c r="BR82" s="2030">
        <f t="shared" si="40"/>
        <v>0</v>
      </c>
      <c r="BS82" s="2030">
        <f t="shared" si="40"/>
        <v>0</v>
      </c>
      <c r="BT82" s="2031"/>
      <c r="BU82" s="2031"/>
      <c r="BV82" s="2031"/>
      <c r="BW82" s="2031"/>
      <c r="BX82" s="2031"/>
      <c r="BY82" s="2031"/>
      <c r="BZ82" s="2031"/>
      <c r="CA82" s="2031"/>
      <c r="CB82" s="2029"/>
      <c r="CC82" s="2029"/>
      <c r="CD82" s="2029"/>
      <c r="CE82" s="2029"/>
      <c r="CF82" s="2029"/>
      <c r="CG82" s="2032"/>
      <c r="CH82" s="2027">
        <v>76703</v>
      </c>
      <c r="CI82" s="1974"/>
      <c r="CJ82" s="1974"/>
      <c r="CK82" s="1974"/>
      <c r="CL82" s="1974">
        <v>0</v>
      </c>
      <c r="CM82" s="2033">
        <v>8.2589618411195101E-5</v>
      </c>
      <c r="CN82" s="2026">
        <v>0</v>
      </c>
      <c r="CO82" s="1974">
        <v>0</v>
      </c>
      <c r="CP82" s="2040">
        <v>0</v>
      </c>
      <c r="CQ82" s="2040"/>
      <c r="CR82" s="2062">
        <v>1</v>
      </c>
      <c r="CS82" s="2062">
        <v>1</v>
      </c>
      <c r="CT82" s="2062">
        <v>1</v>
      </c>
      <c r="CU82" s="2062">
        <v>1</v>
      </c>
      <c r="CV82" s="2036"/>
      <c r="CW82" s="2036"/>
      <c r="CX82" s="2036"/>
      <c r="CY82" s="2036"/>
      <c r="CZ82" s="2036"/>
      <c r="DA82" s="2036"/>
    </row>
    <row r="83" spans="1:105" x14ac:dyDescent="0.25">
      <c r="A83" s="2185" t="s">
        <v>130</v>
      </c>
      <c r="B83" s="2022" t="s">
        <v>2932</v>
      </c>
      <c r="C83" s="2023">
        <v>12</v>
      </c>
      <c r="D83" s="2023">
        <v>0</v>
      </c>
      <c r="E83" s="2024">
        <v>16929.41</v>
      </c>
      <c r="F83" s="2024"/>
      <c r="G83" s="2024">
        <v>2.94</v>
      </c>
      <c r="H83" s="2024"/>
      <c r="I83" s="2023">
        <v>0</v>
      </c>
      <c r="J83" s="2027"/>
      <c r="K83" s="2026" t="s">
        <v>2899</v>
      </c>
      <c r="L83" s="2026" t="s">
        <v>2899</v>
      </c>
      <c r="M83" s="2026">
        <v>0.84899999999999998</v>
      </c>
      <c r="N83" s="2026">
        <v>0.84899999999999998</v>
      </c>
      <c r="O83" s="2026">
        <v>0.84899999999999998</v>
      </c>
      <c r="P83" s="2026">
        <v>0.84899999999999998</v>
      </c>
      <c r="Q83" s="2027">
        <f t="shared" si="41"/>
        <v>14373.069089999999</v>
      </c>
      <c r="R83" s="2027">
        <f t="shared" si="41"/>
        <v>14373.069089999999</v>
      </c>
      <c r="S83" s="2027">
        <f t="shared" si="41"/>
        <v>14373.069089999999</v>
      </c>
      <c r="T83" s="2027">
        <f t="shared" si="41"/>
        <v>14373.069089999999</v>
      </c>
      <c r="U83" s="2026">
        <v>0.84899999999999998</v>
      </c>
      <c r="V83" s="2026">
        <v>0.84899999999999998</v>
      </c>
      <c r="W83" s="2026">
        <v>0.84899999999999998</v>
      </c>
      <c r="X83" s="2026">
        <v>0.84899999999999998</v>
      </c>
      <c r="Y83" s="2028">
        <f t="shared" si="42"/>
        <v>2.4960599999999999</v>
      </c>
      <c r="Z83" s="2028">
        <f t="shared" si="42"/>
        <v>2.4960599999999999</v>
      </c>
      <c r="AA83" s="2028">
        <f t="shared" si="42"/>
        <v>2.4960599999999999</v>
      </c>
      <c r="AB83" s="2028">
        <f t="shared" si="42"/>
        <v>2.4960599999999999</v>
      </c>
      <c r="AC83" s="2026">
        <v>0.67500000000000004</v>
      </c>
      <c r="AD83" s="2026">
        <v>0.67500000000000004</v>
      </c>
      <c r="AE83" s="2026">
        <v>0.67500000000000004</v>
      </c>
      <c r="AF83" s="2026">
        <v>0.67500000000000004</v>
      </c>
      <c r="AG83" s="2027">
        <f t="shared" ref="AG83:AJ92" si="48">$I83*AC83</f>
        <v>0</v>
      </c>
      <c r="AH83" s="2027">
        <f t="shared" si="48"/>
        <v>0</v>
      </c>
      <c r="AI83" s="2027">
        <f t="shared" si="48"/>
        <v>0</v>
      </c>
      <c r="AJ83" s="2027">
        <f t="shared" si="48"/>
        <v>0</v>
      </c>
      <c r="AK83" s="2027">
        <v>1</v>
      </c>
      <c r="AL83" s="2027">
        <v>1</v>
      </c>
      <c r="AM83" s="2027">
        <v>1</v>
      </c>
      <c r="AN83" s="2027">
        <v>1</v>
      </c>
      <c r="AO83" s="2027">
        <f t="shared" si="43"/>
        <v>14373.069089999999</v>
      </c>
      <c r="AP83" s="2027">
        <f t="shared" si="44"/>
        <v>14373.069089999999</v>
      </c>
      <c r="AQ83" s="2027">
        <f t="shared" si="44"/>
        <v>14373.069089999999</v>
      </c>
      <c r="AR83" s="2027"/>
      <c r="AS83" s="2027">
        <f t="shared" si="45"/>
        <v>14373.069089999999</v>
      </c>
      <c r="AT83" s="2027">
        <f t="shared" si="46"/>
        <v>0</v>
      </c>
      <c r="AU83" s="2027">
        <f t="shared" si="47"/>
        <v>0</v>
      </c>
      <c r="AV83" s="2027">
        <f t="shared" si="47"/>
        <v>0</v>
      </c>
      <c r="AW83" s="2027">
        <f t="shared" si="25"/>
        <v>0</v>
      </c>
      <c r="AX83" s="2029">
        <v>400</v>
      </c>
      <c r="AY83" s="2029">
        <v>400</v>
      </c>
      <c r="AZ83" s="2029">
        <v>400</v>
      </c>
      <c r="BA83" s="2029">
        <v>400</v>
      </c>
      <c r="BB83" s="2029"/>
      <c r="BC83" s="2029">
        <v>0</v>
      </c>
      <c r="BD83" s="2029">
        <v>0</v>
      </c>
      <c r="BE83" s="2029">
        <v>0</v>
      </c>
      <c r="BF83" s="2029">
        <v>2490</v>
      </c>
      <c r="BG83" s="2029">
        <v>2490</v>
      </c>
      <c r="BH83" s="2029">
        <v>2490</v>
      </c>
      <c r="BI83" s="2029">
        <v>2490</v>
      </c>
      <c r="BJ83" s="2030">
        <f t="shared" si="37"/>
        <v>400</v>
      </c>
      <c r="BK83" s="2030">
        <f t="shared" si="37"/>
        <v>400</v>
      </c>
      <c r="BL83" s="2030">
        <f t="shared" si="37"/>
        <v>400</v>
      </c>
      <c r="BM83" s="2030"/>
      <c r="BN83" s="2030">
        <f t="shared" si="38"/>
        <v>400</v>
      </c>
      <c r="BO83" s="2030">
        <f t="shared" si="39"/>
        <v>0</v>
      </c>
      <c r="BP83" s="2030"/>
      <c r="BQ83" s="2030">
        <f t="shared" si="40"/>
        <v>0</v>
      </c>
      <c r="BR83" s="2030">
        <f t="shared" si="40"/>
        <v>0</v>
      </c>
      <c r="BS83" s="2030">
        <f t="shared" si="40"/>
        <v>0</v>
      </c>
      <c r="BT83" s="2031"/>
      <c r="BU83" s="2031"/>
      <c r="BV83" s="2031"/>
      <c r="BW83" s="2031"/>
      <c r="BX83" s="2031"/>
      <c r="BY83" s="2031"/>
      <c r="BZ83" s="2031"/>
      <c r="CA83" s="2031"/>
      <c r="CB83" s="2029"/>
      <c r="CC83" s="2029"/>
      <c r="CD83" s="2029"/>
      <c r="CE83" s="2029"/>
      <c r="CF83" s="2029"/>
      <c r="CG83" s="2032"/>
      <c r="CH83" s="2027">
        <v>76703</v>
      </c>
      <c r="CI83" s="1974"/>
      <c r="CJ83" s="1974"/>
      <c r="CK83" s="1974"/>
      <c r="CL83" s="1974">
        <v>0</v>
      </c>
      <c r="CM83" s="2033">
        <v>4.8142849187974571E-5</v>
      </c>
      <c r="CN83" s="2026">
        <v>0</v>
      </c>
      <c r="CO83" s="1974">
        <v>0</v>
      </c>
      <c r="CP83" s="2040">
        <v>0</v>
      </c>
      <c r="CQ83" s="2040"/>
      <c r="CR83" s="2062">
        <v>1</v>
      </c>
      <c r="CS83" s="2062">
        <v>1</v>
      </c>
      <c r="CT83" s="2062">
        <v>1</v>
      </c>
      <c r="CU83" s="2062">
        <v>1</v>
      </c>
      <c r="CV83" s="2036"/>
      <c r="CW83" s="2036"/>
      <c r="CX83" s="2036"/>
      <c r="CY83" s="2036"/>
      <c r="CZ83" s="2036"/>
      <c r="DA83" s="2036"/>
    </row>
    <row r="84" spans="1:105" x14ac:dyDescent="0.25">
      <c r="A84" s="2185" t="s">
        <v>233</v>
      </c>
      <c r="B84" s="2022" t="s">
        <v>2933</v>
      </c>
      <c r="C84" s="2023">
        <v>12</v>
      </c>
      <c r="D84" s="2023">
        <v>0</v>
      </c>
      <c r="E84" s="2024">
        <v>25206.89</v>
      </c>
      <c r="F84" s="2024"/>
      <c r="G84" s="2024">
        <v>4.38</v>
      </c>
      <c r="H84" s="2024"/>
      <c r="I84" s="2023">
        <v>0</v>
      </c>
      <c r="J84" s="2027"/>
      <c r="K84" s="2026" t="s">
        <v>2899</v>
      </c>
      <c r="L84" s="2026" t="s">
        <v>2899</v>
      </c>
      <c r="M84" s="2026">
        <v>0.84899999999999998</v>
      </c>
      <c r="N84" s="2026">
        <v>0.84899999999999998</v>
      </c>
      <c r="O84" s="2026">
        <v>0.84899999999999998</v>
      </c>
      <c r="P84" s="2026">
        <v>0.84899999999999998</v>
      </c>
      <c r="Q84" s="2027">
        <f t="shared" si="41"/>
        <v>21400.64961</v>
      </c>
      <c r="R84" s="2027">
        <f t="shared" si="41"/>
        <v>21400.64961</v>
      </c>
      <c r="S84" s="2027">
        <f t="shared" si="41"/>
        <v>21400.64961</v>
      </c>
      <c r="T84" s="2027">
        <f t="shared" si="41"/>
        <v>21400.64961</v>
      </c>
      <c r="U84" s="2026">
        <v>0.84899999999999998</v>
      </c>
      <c r="V84" s="2026">
        <v>0.84899999999999998</v>
      </c>
      <c r="W84" s="2026">
        <v>0.84899999999999998</v>
      </c>
      <c r="X84" s="2026">
        <v>0.84899999999999998</v>
      </c>
      <c r="Y84" s="2028">
        <f t="shared" si="42"/>
        <v>3.7186199999999996</v>
      </c>
      <c r="Z84" s="2028">
        <f t="shared" si="42"/>
        <v>3.7186199999999996</v>
      </c>
      <c r="AA84" s="2028">
        <f t="shared" si="42"/>
        <v>3.7186199999999996</v>
      </c>
      <c r="AB84" s="2028">
        <f t="shared" si="42"/>
        <v>3.7186199999999996</v>
      </c>
      <c r="AC84" s="2026">
        <v>0.67500000000000004</v>
      </c>
      <c r="AD84" s="2026">
        <v>0.67500000000000004</v>
      </c>
      <c r="AE84" s="2026">
        <v>0.67500000000000004</v>
      </c>
      <c r="AF84" s="2026">
        <v>0.67500000000000004</v>
      </c>
      <c r="AG84" s="2027">
        <f t="shared" si="48"/>
        <v>0</v>
      </c>
      <c r="AH84" s="2027">
        <f t="shared" si="48"/>
        <v>0</v>
      </c>
      <c r="AI84" s="2027">
        <f t="shared" si="48"/>
        <v>0</v>
      </c>
      <c r="AJ84" s="2027">
        <f t="shared" si="48"/>
        <v>0</v>
      </c>
      <c r="AK84" s="2027">
        <v>1</v>
      </c>
      <c r="AL84" s="2027">
        <v>1</v>
      </c>
      <c r="AM84" s="2027">
        <v>1</v>
      </c>
      <c r="AN84" s="2027">
        <v>1</v>
      </c>
      <c r="AO84" s="2027">
        <f t="shared" si="43"/>
        <v>21400.64961</v>
      </c>
      <c r="AP84" s="2027">
        <f t="shared" si="44"/>
        <v>21400.64961</v>
      </c>
      <c r="AQ84" s="2027">
        <f t="shared" si="44"/>
        <v>21400.64961</v>
      </c>
      <c r="AR84" s="2027"/>
      <c r="AS84" s="2027">
        <f t="shared" si="45"/>
        <v>21400.64961</v>
      </c>
      <c r="AT84" s="2027">
        <f t="shared" si="46"/>
        <v>0</v>
      </c>
      <c r="AU84" s="2027">
        <f t="shared" si="47"/>
        <v>0</v>
      </c>
      <c r="AV84" s="2027">
        <f t="shared" si="47"/>
        <v>0</v>
      </c>
      <c r="AW84" s="2027">
        <f t="shared" si="25"/>
        <v>0</v>
      </c>
      <c r="AX84" s="2029">
        <v>450</v>
      </c>
      <c r="AY84" s="2029">
        <v>450</v>
      </c>
      <c r="AZ84" s="2029">
        <v>450</v>
      </c>
      <c r="BA84" s="2029">
        <v>450</v>
      </c>
      <c r="BB84" s="2029"/>
      <c r="BC84" s="2029">
        <v>0</v>
      </c>
      <c r="BD84" s="2029">
        <v>0</v>
      </c>
      <c r="BE84" s="2029">
        <v>0</v>
      </c>
      <c r="BF84" s="2029">
        <v>2490</v>
      </c>
      <c r="BG84" s="2029">
        <v>2490</v>
      </c>
      <c r="BH84" s="2029">
        <v>2490</v>
      </c>
      <c r="BI84" s="2029">
        <v>2490</v>
      </c>
      <c r="BJ84" s="2030">
        <f t="shared" si="37"/>
        <v>450</v>
      </c>
      <c r="BK84" s="2030">
        <f t="shared" si="37"/>
        <v>450</v>
      </c>
      <c r="BL84" s="2030">
        <f t="shared" si="37"/>
        <v>450</v>
      </c>
      <c r="BM84" s="2030"/>
      <c r="BN84" s="2030">
        <f t="shared" si="38"/>
        <v>450</v>
      </c>
      <c r="BO84" s="2030">
        <f t="shared" si="39"/>
        <v>0</v>
      </c>
      <c r="BP84" s="2030"/>
      <c r="BQ84" s="2030">
        <f t="shared" si="40"/>
        <v>0</v>
      </c>
      <c r="BR84" s="2030">
        <f t="shared" si="40"/>
        <v>0</v>
      </c>
      <c r="BS84" s="2030">
        <f t="shared" si="40"/>
        <v>0</v>
      </c>
      <c r="BT84" s="2031"/>
      <c r="BU84" s="2031"/>
      <c r="BV84" s="2031"/>
      <c r="BW84" s="2031"/>
      <c r="BX84" s="2031"/>
      <c r="BY84" s="2031"/>
      <c r="BZ84" s="2031"/>
      <c r="CA84" s="2031"/>
      <c r="CB84" s="2029"/>
      <c r="CC84" s="2029"/>
      <c r="CD84" s="2029"/>
      <c r="CE84" s="2029"/>
      <c r="CF84" s="2029"/>
      <c r="CG84" s="2032"/>
      <c r="CH84" s="2027">
        <v>76703</v>
      </c>
      <c r="CI84" s="1974"/>
      <c r="CJ84" s="1974"/>
      <c r="CK84" s="1974"/>
      <c r="CL84" s="1974">
        <v>0</v>
      </c>
      <c r="CM84" s="2033">
        <v>7.1681854463201292E-5</v>
      </c>
      <c r="CN84" s="2026">
        <v>0</v>
      </c>
      <c r="CO84" s="1974">
        <v>0</v>
      </c>
      <c r="CP84" s="2040">
        <v>0</v>
      </c>
      <c r="CQ84" s="2040"/>
      <c r="CR84" s="2062">
        <v>1</v>
      </c>
      <c r="CS84" s="2062">
        <v>1</v>
      </c>
      <c r="CT84" s="2062">
        <v>1</v>
      </c>
      <c r="CU84" s="2062">
        <v>1</v>
      </c>
      <c r="CV84" s="2036"/>
      <c r="CW84" s="2036"/>
      <c r="CX84" s="2036"/>
      <c r="CY84" s="2036"/>
      <c r="CZ84" s="2036"/>
      <c r="DA84" s="2036"/>
    </row>
    <row r="85" spans="1:105" x14ac:dyDescent="0.25">
      <c r="A85" s="2185" t="s">
        <v>234</v>
      </c>
      <c r="B85" s="2022" t="s">
        <v>2934</v>
      </c>
      <c r="C85" s="2023">
        <v>12</v>
      </c>
      <c r="D85" s="2023">
        <v>0</v>
      </c>
      <c r="E85" s="2024">
        <v>26089.03</v>
      </c>
      <c r="F85" s="2024"/>
      <c r="G85" s="2024">
        <v>4.54</v>
      </c>
      <c r="H85" s="2024"/>
      <c r="I85" s="2023">
        <v>0</v>
      </c>
      <c r="J85" s="2027"/>
      <c r="K85" s="2026" t="s">
        <v>2899</v>
      </c>
      <c r="L85" s="2026" t="s">
        <v>2899</v>
      </c>
      <c r="M85" s="2026">
        <v>0.84899999999999998</v>
      </c>
      <c r="N85" s="2026">
        <v>0.84899999999999998</v>
      </c>
      <c r="O85" s="2026">
        <v>0.84899999999999998</v>
      </c>
      <c r="P85" s="2026">
        <v>0.84899999999999998</v>
      </c>
      <c r="Q85" s="2027">
        <f t="shared" si="41"/>
        <v>22149.586469999998</v>
      </c>
      <c r="R85" s="2027">
        <f t="shared" si="41"/>
        <v>22149.586469999998</v>
      </c>
      <c r="S85" s="2027">
        <f t="shared" si="41"/>
        <v>22149.586469999998</v>
      </c>
      <c r="T85" s="2027">
        <f t="shared" si="41"/>
        <v>22149.586469999998</v>
      </c>
      <c r="U85" s="2026">
        <v>0.84899999999999998</v>
      </c>
      <c r="V85" s="2026">
        <v>0.84899999999999998</v>
      </c>
      <c r="W85" s="2026">
        <v>0.84899999999999998</v>
      </c>
      <c r="X85" s="2026">
        <v>0.84899999999999998</v>
      </c>
      <c r="Y85" s="2028">
        <f t="shared" si="42"/>
        <v>3.85446</v>
      </c>
      <c r="Z85" s="2028">
        <f t="shared" si="42"/>
        <v>3.85446</v>
      </c>
      <c r="AA85" s="2028">
        <f t="shared" si="42"/>
        <v>3.85446</v>
      </c>
      <c r="AB85" s="2028">
        <f t="shared" si="42"/>
        <v>3.85446</v>
      </c>
      <c r="AC85" s="2026">
        <v>0.67500000000000004</v>
      </c>
      <c r="AD85" s="2026">
        <v>0.67500000000000004</v>
      </c>
      <c r="AE85" s="2026">
        <v>0.67500000000000004</v>
      </c>
      <c r="AF85" s="2026">
        <v>0.67500000000000004</v>
      </c>
      <c r="AG85" s="2027">
        <f t="shared" si="48"/>
        <v>0</v>
      </c>
      <c r="AH85" s="2027">
        <f t="shared" si="48"/>
        <v>0</v>
      </c>
      <c r="AI85" s="2027">
        <f t="shared" si="48"/>
        <v>0</v>
      </c>
      <c r="AJ85" s="2027">
        <f t="shared" si="48"/>
        <v>0</v>
      </c>
      <c r="AK85" s="2027">
        <v>1</v>
      </c>
      <c r="AL85" s="2027">
        <v>1</v>
      </c>
      <c r="AM85" s="2027">
        <v>1</v>
      </c>
      <c r="AN85" s="2027">
        <v>1</v>
      </c>
      <c r="AO85" s="2027">
        <f t="shared" si="43"/>
        <v>22149.586469999998</v>
      </c>
      <c r="AP85" s="2027">
        <f t="shared" si="44"/>
        <v>22149.586469999998</v>
      </c>
      <c r="AQ85" s="2027">
        <f t="shared" si="44"/>
        <v>22149.586469999998</v>
      </c>
      <c r="AR85" s="2027"/>
      <c r="AS85" s="2027">
        <f t="shared" si="45"/>
        <v>22149.586469999998</v>
      </c>
      <c r="AT85" s="2027">
        <f t="shared" si="46"/>
        <v>0</v>
      </c>
      <c r="AU85" s="2027">
        <f t="shared" si="47"/>
        <v>0</v>
      </c>
      <c r="AV85" s="2027">
        <f t="shared" si="47"/>
        <v>0</v>
      </c>
      <c r="AW85" s="2027">
        <f t="shared" si="25"/>
        <v>0</v>
      </c>
      <c r="AX85" s="2029">
        <v>500</v>
      </c>
      <c r="AY85" s="2029">
        <v>500</v>
      </c>
      <c r="AZ85" s="2029">
        <v>500</v>
      </c>
      <c r="BA85" s="2029">
        <v>500</v>
      </c>
      <c r="BB85" s="2029"/>
      <c r="BC85" s="2029">
        <v>0</v>
      </c>
      <c r="BD85" s="2029">
        <v>0</v>
      </c>
      <c r="BE85" s="2029">
        <v>0</v>
      </c>
      <c r="BF85" s="2029">
        <v>2490</v>
      </c>
      <c r="BG85" s="2029">
        <v>2490</v>
      </c>
      <c r="BH85" s="2029">
        <v>2490</v>
      </c>
      <c r="BI85" s="2029">
        <v>2490</v>
      </c>
      <c r="BJ85" s="2030">
        <f t="shared" si="37"/>
        <v>500</v>
      </c>
      <c r="BK85" s="2030">
        <f t="shared" si="37"/>
        <v>500</v>
      </c>
      <c r="BL85" s="2030">
        <f t="shared" si="37"/>
        <v>500</v>
      </c>
      <c r="BM85" s="2030"/>
      <c r="BN85" s="2030">
        <f t="shared" si="38"/>
        <v>500</v>
      </c>
      <c r="BO85" s="2030">
        <f t="shared" si="39"/>
        <v>0</v>
      </c>
      <c r="BP85" s="2030"/>
      <c r="BQ85" s="2030">
        <f t="shared" si="40"/>
        <v>0</v>
      </c>
      <c r="BR85" s="2030">
        <f t="shared" si="40"/>
        <v>0</v>
      </c>
      <c r="BS85" s="2030">
        <f t="shared" si="40"/>
        <v>0</v>
      </c>
      <c r="BT85" s="2031"/>
      <c r="BU85" s="2031"/>
      <c r="BV85" s="2031"/>
      <c r="BW85" s="2031"/>
      <c r="BX85" s="2031"/>
      <c r="BY85" s="2031"/>
      <c r="BZ85" s="2031"/>
      <c r="CA85" s="2031"/>
      <c r="CB85" s="2029"/>
      <c r="CC85" s="2029"/>
      <c r="CD85" s="2029"/>
      <c r="CE85" s="2029"/>
      <c r="CF85" s="2029"/>
      <c r="CG85" s="2032"/>
      <c r="CH85" s="2027">
        <v>76703</v>
      </c>
      <c r="CI85" s="1974"/>
      <c r="CJ85" s="1974"/>
      <c r="CK85" s="1974"/>
      <c r="CL85" s="1974">
        <v>0</v>
      </c>
      <c r="CM85" s="2033">
        <v>1.4838086345011955E-4</v>
      </c>
      <c r="CN85" s="2026">
        <v>0</v>
      </c>
      <c r="CO85" s="1974">
        <v>0</v>
      </c>
      <c r="CP85" s="2040">
        <v>0</v>
      </c>
      <c r="CQ85" s="2040"/>
      <c r="CR85" s="2062">
        <v>1</v>
      </c>
      <c r="CS85" s="2062">
        <v>1</v>
      </c>
      <c r="CT85" s="2062">
        <v>1</v>
      </c>
      <c r="CU85" s="2062">
        <v>1</v>
      </c>
      <c r="CV85" s="2036"/>
      <c r="CW85" s="2036"/>
      <c r="CX85" s="2036"/>
      <c r="CY85" s="2036"/>
      <c r="CZ85" s="2036"/>
      <c r="DA85" s="2036"/>
    </row>
    <row r="86" spans="1:105" x14ac:dyDescent="0.25">
      <c r="A86" s="2185" t="s">
        <v>131</v>
      </c>
      <c r="B86" s="2022" t="s">
        <v>2935</v>
      </c>
      <c r="C86" s="2023">
        <v>12</v>
      </c>
      <c r="D86" s="2023">
        <v>0</v>
      </c>
      <c r="E86" s="2024">
        <v>2628</v>
      </c>
      <c r="F86" s="2024"/>
      <c r="G86" s="2024">
        <v>1.2</v>
      </c>
      <c r="H86" s="2024"/>
      <c r="I86" s="2023">
        <v>0</v>
      </c>
      <c r="J86" s="2027"/>
      <c r="K86" s="2026" t="s">
        <v>2899</v>
      </c>
      <c r="L86" s="2026" t="s">
        <v>2899</v>
      </c>
      <c r="M86" s="2026">
        <v>0.84899999999999998</v>
      </c>
      <c r="N86" s="2026">
        <v>0.84899999999999998</v>
      </c>
      <c r="O86" s="2026">
        <v>0.84899999999999998</v>
      </c>
      <c r="P86" s="2026">
        <v>0.84899999999999998</v>
      </c>
      <c r="Q86" s="2027">
        <f t="shared" si="41"/>
        <v>2231.172</v>
      </c>
      <c r="R86" s="2027">
        <f t="shared" si="41"/>
        <v>2231.172</v>
      </c>
      <c r="S86" s="2027">
        <f t="shared" si="41"/>
        <v>2231.172</v>
      </c>
      <c r="T86" s="2027">
        <f t="shared" si="41"/>
        <v>2231.172</v>
      </c>
      <c r="U86" s="2026">
        <v>0.84899999999999998</v>
      </c>
      <c r="V86" s="2026">
        <v>0.84899999999999998</v>
      </c>
      <c r="W86" s="2026">
        <v>0.84899999999999998</v>
      </c>
      <c r="X86" s="2026">
        <v>0.84899999999999998</v>
      </c>
      <c r="Y86" s="2028">
        <f t="shared" si="42"/>
        <v>1.0187999999999999</v>
      </c>
      <c r="Z86" s="2028">
        <f t="shared" si="42"/>
        <v>1.0187999999999999</v>
      </c>
      <c r="AA86" s="2028">
        <f t="shared" si="42"/>
        <v>1.0187999999999999</v>
      </c>
      <c r="AB86" s="2028">
        <f t="shared" si="42"/>
        <v>1.0187999999999999</v>
      </c>
      <c r="AC86" s="2026">
        <v>0.67500000000000004</v>
      </c>
      <c r="AD86" s="2026">
        <v>0.67500000000000004</v>
      </c>
      <c r="AE86" s="2026">
        <v>0.67500000000000004</v>
      </c>
      <c r="AF86" s="2026">
        <v>0.67500000000000004</v>
      </c>
      <c r="AG86" s="2027">
        <f t="shared" si="48"/>
        <v>0</v>
      </c>
      <c r="AH86" s="2027">
        <f t="shared" si="48"/>
        <v>0</v>
      </c>
      <c r="AI86" s="2027">
        <f t="shared" si="48"/>
        <v>0</v>
      </c>
      <c r="AJ86" s="2027">
        <f t="shared" si="48"/>
        <v>0</v>
      </c>
      <c r="AK86" s="2027">
        <v>1</v>
      </c>
      <c r="AL86" s="2027">
        <v>1</v>
      </c>
      <c r="AM86" s="2027">
        <v>1</v>
      </c>
      <c r="AN86" s="2027">
        <v>1</v>
      </c>
      <c r="AO86" s="2027">
        <f t="shared" si="43"/>
        <v>2231.172</v>
      </c>
      <c r="AP86" s="2027">
        <f t="shared" si="44"/>
        <v>2231.172</v>
      </c>
      <c r="AQ86" s="2027">
        <f t="shared" si="44"/>
        <v>2231.172</v>
      </c>
      <c r="AR86" s="2027"/>
      <c r="AS86" s="2027">
        <f t="shared" si="45"/>
        <v>2231.172</v>
      </c>
      <c r="AT86" s="2027">
        <f t="shared" si="46"/>
        <v>0</v>
      </c>
      <c r="AU86" s="2027">
        <f t="shared" si="47"/>
        <v>0</v>
      </c>
      <c r="AV86" s="2027">
        <f t="shared" si="47"/>
        <v>0</v>
      </c>
      <c r="AW86" s="2027">
        <f t="shared" si="25"/>
        <v>0</v>
      </c>
      <c r="AX86" s="2029">
        <v>500</v>
      </c>
      <c r="AY86" s="2029">
        <v>500</v>
      </c>
      <c r="AZ86" s="2029">
        <v>500</v>
      </c>
      <c r="BA86" s="2029">
        <v>500</v>
      </c>
      <c r="BB86" s="2029"/>
      <c r="BC86" s="2029">
        <v>0</v>
      </c>
      <c r="BD86" s="2029">
        <v>0</v>
      </c>
      <c r="BE86" s="2029">
        <v>0</v>
      </c>
      <c r="BF86" s="2029">
        <v>1500</v>
      </c>
      <c r="BG86" s="2029">
        <v>1500</v>
      </c>
      <c r="BH86" s="2029">
        <v>1500</v>
      </c>
      <c r="BI86" s="2029">
        <v>1500</v>
      </c>
      <c r="BJ86" s="2030">
        <f t="shared" si="37"/>
        <v>500</v>
      </c>
      <c r="BK86" s="2030">
        <f t="shared" si="37"/>
        <v>500</v>
      </c>
      <c r="BL86" s="2030">
        <f t="shared" si="37"/>
        <v>500</v>
      </c>
      <c r="BM86" s="2030"/>
      <c r="BN86" s="2030">
        <f t="shared" si="38"/>
        <v>500</v>
      </c>
      <c r="BO86" s="2030">
        <f t="shared" si="39"/>
        <v>0</v>
      </c>
      <c r="BP86" s="2030"/>
      <c r="BQ86" s="2030">
        <f t="shared" si="40"/>
        <v>0</v>
      </c>
      <c r="BR86" s="2030">
        <f t="shared" si="40"/>
        <v>0</v>
      </c>
      <c r="BS86" s="2030">
        <f t="shared" si="40"/>
        <v>0</v>
      </c>
      <c r="BT86" s="2031"/>
      <c r="BU86" s="2031"/>
      <c r="BV86" s="2031"/>
      <c r="BW86" s="2031"/>
      <c r="BX86" s="2031"/>
      <c r="BY86" s="2031"/>
      <c r="BZ86" s="2031"/>
      <c r="CA86" s="2031"/>
      <c r="CB86" s="2029"/>
      <c r="CC86" s="2029"/>
      <c r="CD86" s="2029"/>
      <c r="CE86" s="2029"/>
      <c r="CF86" s="2029"/>
      <c r="CG86" s="2032"/>
      <c r="CH86" s="1974"/>
      <c r="CI86" s="1974"/>
      <c r="CJ86" s="1974"/>
      <c r="CK86" s="1974"/>
      <c r="CL86" s="1974">
        <v>0</v>
      </c>
      <c r="CM86" s="2033">
        <v>1.4946700170413167E-5</v>
      </c>
      <c r="CN86" s="2026">
        <v>0</v>
      </c>
      <c r="CO86" s="1974">
        <v>0</v>
      </c>
      <c r="CP86" s="2040">
        <v>0</v>
      </c>
      <c r="CQ86" s="2040"/>
      <c r="CR86" s="2062">
        <v>1</v>
      </c>
      <c r="CS86" s="2062">
        <v>1</v>
      </c>
      <c r="CT86" s="2062">
        <v>1</v>
      </c>
      <c r="CU86" s="2062">
        <v>1</v>
      </c>
      <c r="CV86" s="2036"/>
      <c r="CW86" s="2036"/>
      <c r="CX86" s="2036"/>
      <c r="CY86" s="2036"/>
      <c r="CZ86" s="2036"/>
      <c r="DA86" s="2036"/>
    </row>
    <row r="87" spans="1:105" x14ac:dyDescent="0.25">
      <c r="A87" s="2185" t="s">
        <v>132</v>
      </c>
      <c r="B87" s="2022" t="s">
        <v>2936</v>
      </c>
      <c r="C87" s="2023">
        <v>12</v>
      </c>
      <c r="D87" s="2023">
        <v>0</v>
      </c>
      <c r="E87" s="2024">
        <v>3942</v>
      </c>
      <c r="F87" s="2024"/>
      <c r="G87" s="2024">
        <v>1.8</v>
      </c>
      <c r="H87" s="2024"/>
      <c r="I87" s="2023">
        <v>0</v>
      </c>
      <c r="J87" s="2027"/>
      <c r="K87" s="2026" t="s">
        <v>2899</v>
      </c>
      <c r="L87" s="2026" t="s">
        <v>2899</v>
      </c>
      <c r="M87" s="2026">
        <v>0.84899999999999998</v>
      </c>
      <c r="N87" s="2026">
        <v>0.84899999999999998</v>
      </c>
      <c r="O87" s="2026">
        <v>0.84899999999999998</v>
      </c>
      <c r="P87" s="2026">
        <v>0.84899999999999998</v>
      </c>
      <c r="Q87" s="2027">
        <f t="shared" si="41"/>
        <v>3346.7579999999998</v>
      </c>
      <c r="R87" s="2027">
        <f t="shared" si="41"/>
        <v>3346.7579999999998</v>
      </c>
      <c r="S87" s="2027">
        <f t="shared" si="41"/>
        <v>3346.7579999999998</v>
      </c>
      <c r="T87" s="2027">
        <f t="shared" si="41"/>
        <v>3346.7579999999998</v>
      </c>
      <c r="U87" s="2026">
        <v>0.84899999999999998</v>
      </c>
      <c r="V87" s="2026">
        <v>0.84899999999999998</v>
      </c>
      <c r="W87" s="2026">
        <v>0.84899999999999998</v>
      </c>
      <c r="X87" s="2026">
        <v>0.84899999999999998</v>
      </c>
      <c r="Y87" s="2028">
        <f t="shared" si="42"/>
        <v>1.5282</v>
      </c>
      <c r="Z87" s="2028">
        <f t="shared" si="42"/>
        <v>1.5282</v>
      </c>
      <c r="AA87" s="2028">
        <f t="shared" si="42"/>
        <v>1.5282</v>
      </c>
      <c r="AB87" s="2028">
        <f t="shared" si="42"/>
        <v>1.5282</v>
      </c>
      <c r="AC87" s="2026">
        <v>0.67500000000000004</v>
      </c>
      <c r="AD87" s="2026">
        <v>0.67500000000000004</v>
      </c>
      <c r="AE87" s="2026">
        <v>0.67500000000000004</v>
      </c>
      <c r="AF87" s="2026">
        <v>0.67500000000000004</v>
      </c>
      <c r="AG87" s="2027">
        <f t="shared" si="48"/>
        <v>0</v>
      </c>
      <c r="AH87" s="2027">
        <f t="shared" si="48"/>
        <v>0</v>
      </c>
      <c r="AI87" s="2027">
        <f t="shared" si="48"/>
        <v>0</v>
      </c>
      <c r="AJ87" s="2027">
        <f t="shared" si="48"/>
        <v>0</v>
      </c>
      <c r="AK87" s="2027">
        <v>1</v>
      </c>
      <c r="AL87" s="2027">
        <v>2</v>
      </c>
      <c r="AM87" s="2027">
        <v>1</v>
      </c>
      <c r="AN87" s="2027">
        <v>2</v>
      </c>
      <c r="AO87" s="2027">
        <f t="shared" si="43"/>
        <v>3346.7579999999998</v>
      </c>
      <c r="AP87" s="2027">
        <f t="shared" si="44"/>
        <v>6693.5159999999996</v>
      </c>
      <c r="AQ87" s="2027">
        <f t="shared" si="44"/>
        <v>3346.7579999999998</v>
      </c>
      <c r="AR87" s="2027"/>
      <c r="AS87" s="2027">
        <f t="shared" si="45"/>
        <v>6693.5159999999996</v>
      </c>
      <c r="AT87" s="2027">
        <f t="shared" si="46"/>
        <v>0</v>
      </c>
      <c r="AU87" s="2027">
        <f t="shared" si="47"/>
        <v>0</v>
      </c>
      <c r="AV87" s="2027">
        <f t="shared" si="47"/>
        <v>0</v>
      </c>
      <c r="AW87" s="2027">
        <f t="shared" si="25"/>
        <v>0</v>
      </c>
      <c r="AX87" s="2029">
        <v>750</v>
      </c>
      <c r="AY87" s="2029">
        <v>750</v>
      </c>
      <c r="AZ87" s="2029">
        <v>750</v>
      </c>
      <c r="BA87" s="2029">
        <v>750</v>
      </c>
      <c r="BB87" s="2029"/>
      <c r="BC87" s="2029">
        <v>0</v>
      </c>
      <c r="BD87" s="2029">
        <v>0</v>
      </c>
      <c r="BE87" s="2029">
        <v>0</v>
      </c>
      <c r="BF87" s="2029">
        <v>1800</v>
      </c>
      <c r="BG87" s="2029">
        <v>1800</v>
      </c>
      <c r="BH87" s="2029">
        <v>1800</v>
      </c>
      <c r="BI87" s="2029">
        <v>1800</v>
      </c>
      <c r="BJ87" s="2030">
        <f t="shared" si="37"/>
        <v>750</v>
      </c>
      <c r="BK87" s="2030">
        <f t="shared" si="37"/>
        <v>1500</v>
      </c>
      <c r="BL87" s="2030">
        <f t="shared" si="37"/>
        <v>750</v>
      </c>
      <c r="BM87" s="2030"/>
      <c r="BN87" s="2030">
        <f t="shared" si="38"/>
        <v>1500</v>
      </c>
      <c r="BO87" s="2030">
        <f t="shared" si="39"/>
        <v>0</v>
      </c>
      <c r="BP87" s="2030"/>
      <c r="BQ87" s="2030">
        <f t="shared" si="40"/>
        <v>0</v>
      </c>
      <c r="BR87" s="2030">
        <f t="shared" si="40"/>
        <v>0</v>
      </c>
      <c r="BS87" s="2030">
        <f t="shared" si="40"/>
        <v>0</v>
      </c>
      <c r="BT87" s="2031"/>
      <c r="BU87" s="2031"/>
      <c r="BV87" s="2031"/>
      <c r="BW87" s="2031"/>
      <c r="BX87" s="2031"/>
      <c r="BY87" s="2031"/>
      <c r="BZ87" s="2031"/>
      <c r="CA87" s="2031"/>
      <c r="CB87" s="2029"/>
      <c r="CC87" s="2029"/>
      <c r="CD87" s="2029"/>
      <c r="CE87" s="2029"/>
      <c r="CF87" s="2029"/>
      <c r="CG87" s="2032"/>
      <c r="CH87" s="1974"/>
      <c r="CI87" s="1974"/>
      <c r="CJ87" s="1974"/>
      <c r="CK87" s="1974"/>
      <c r="CL87" s="1974">
        <v>0</v>
      </c>
      <c r="CM87" s="2033">
        <v>2.242005025561975E-5</v>
      </c>
      <c r="CN87" s="2026">
        <v>0</v>
      </c>
      <c r="CO87" s="1974">
        <v>0</v>
      </c>
      <c r="CP87" s="2040">
        <v>0</v>
      </c>
      <c r="CQ87" s="2040"/>
      <c r="CR87" s="2062">
        <v>1</v>
      </c>
      <c r="CS87" s="2062">
        <v>1</v>
      </c>
      <c r="CT87" s="2062">
        <v>1</v>
      </c>
      <c r="CU87" s="2062">
        <v>1</v>
      </c>
      <c r="CV87" s="2036"/>
      <c r="CW87" s="2036"/>
      <c r="CX87" s="2036"/>
      <c r="CY87" s="2036"/>
      <c r="CZ87" s="2036"/>
      <c r="DA87" s="2036"/>
    </row>
    <row r="88" spans="1:105" x14ac:dyDescent="0.25">
      <c r="A88" s="2185" t="s">
        <v>133</v>
      </c>
      <c r="B88" s="2022" t="s">
        <v>2937</v>
      </c>
      <c r="C88" s="2023">
        <v>12</v>
      </c>
      <c r="D88" s="2023">
        <v>0</v>
      </c>
      <c r="E88" s="2024">
        <v>9308</v>
      </c>
      <c r="F88" s="2024"/>
      <c r="G88" s="2024">
        <v>4.25</v>
      </c>
      <c r="H88" s="2024"/>
      <c r="I88" s="2023">
        <v>0</v>
      </c>
      <c r="J88" s="2027"/>
      <c r="K88" s="2026" t="s">
        <v>2899</v>
      </c>
      <c r="L88" s="2026" t="s">
        <v>2899</v>
      </c>
      <c r="M88" s="2026">
        <v>0.84899999999999998</v>
      </c>
      <c r="N88" s="2026">
        <v>0.84899999999999998</v>
      </c>
      <c r="O88" s="2026">
        <v>0.84899999999999998</v>
      </c>
      <c r="P88" s="2026">
        <v>0.84899999999999998</v>
      </c>
      <c r="Q88" s="2027">
        <f t="shared" si="41"/>
        <v>7902.4920000000002</v>
      </c>
      <c r="R88" s="2027">
        <f t="shared" si="41"/>
        <v>7902.4920000000002</v>
      </c>
      <c r="S88" s="2027">
        <f t="shared" si="41"/>
        <v>7902.4920000000002</v>
      </c>
      <c r="T88" s="2027">
        <f t="shared" si="41"/>
        <v>7902.4920000000002</v>
      </c>
      <c r="U88" s="2026">
        <v>0.84899999999999998</v>
      </c>
      <c r="V88" s="2026">
        <v>0.84899999999999998</v>
      </c>
      <c r="W88" s="2026">
        <v>0.84899999999999998</v>
      </c>
      <c r="X88" s="2026">
        <v>0.84899999999999998</v>
      </c>
      <c r="Y88" s="2028">
        <f t="shared" si="42"/>
        <v>3.60825</v>
      </c>
      <c r="Z88" s="2028">
        <f t="shared" si="42"/>
        <v>3.60825</v>
      </c>
      <c r="AA88" s="2028">
        <f t="shared" si="42"/>
        <v>3.60825</v>
      </c>
      <c r="AB88" s="2028">
        <f t="shared" si="42"/>
        <v>3.60825</v>
      </c>
      <c r="AC88" s="2026">
        <v>0.67500000000000004</v>
      </c>
      <c r="AD88" s="2026">
        <v>0.67500000000000004</v>
      </c>
      <c r="AE88" s="2026">
        <v>0.67500000000000004</v>
      </c>
      <c r="AF88" s="2026">
        <v>0.67500000000000004</v>
      </c>
      <c r="AG88" s="2027">
        <f t="shared" si="48"/>
        <v>0</v>
      </c>
      <c r="AH88" s="2027">
        <f t="shared" si="48"/>
        <v>0</v>
      </c>
      <c r="AI88" s="2027">
        <f t="shared" si="48"/>
        <v>0</v>
      </c>
      <c r="AJ88" s="2027">
        <f t="shared" si="48"/>
        <v>0</v>
      </c>
      <c r="AK88" s="2027">
        <v>1</v>
      </c>
      <c r="AL88" s="2027">
        <v>1</v>
      </c>
      <c r="AM88" s="2027">
        <v>2</v>
      </c>
      <c r="AN88" s="2027">
        <v>1</v>
      </c>
      <c r="AO88" s="2027">
        <f t="shared" si="43"/>
        <v>7902.4920000000002</v>
      </c>
      <c r="AP88" s="2027">
        <f t="shared" si="44"/>
        <v>7902.4920000000002</v>
      </c>
      <c r="AQ88" s="2027">
        <f t="shared" si="44"/>
        <v>15804.984</v>
      </c>
      <c r="AR88" s="2027"/>
      <c r="AS88" s="2027">
        <f t="shared" si="45"/>
        <v>7902.4920000000002</v>
      </c>
      <c r="AT88" s="2027">
        <f t="shared" si="46"/>
        <v>0</v>
      </c>
      <c r="AU88" s="2027">
        <f t="shared" si="47"/>
        <v>0</v>
      </c>
      <c r="AV88" s="2027">
        <f t="shared" si="47"/>
        <v>0</v>
      </c>
      <c r="AW88" s="2027">
        <f t="shared" si="25"/>
        <v>0</v>
      </c>
      <c r="AX88" s="2029">
        <v>1000</v>
      </c>
      <c r="AY88" s="2029">
        <v>1000</v>
      </c>
      <c r="AZ88" s="2029">
        <v>1000</v>
      </c>
      <c r="BA88" s="2029">
        <v>1000</v>
      </c>
      <c r="BB88" s="2029"/>
      <c r="BC88" s="2029">
        <v>0</v>
      </c>
      <c r="BD88" s="2029">
        <v>0</v>
      </c>
      <c r="BE88" s="2029">
        <v>0</v>
      </c>
      <c r="BF88" s="2029">
        <v>1200</v>
      </c>
      <c r="BG88" s="2029">
        <v>1200</v>
      </c>
      <c r="BH88" s="2029">
        <v>1200</v>
      </c>
      <c r="BI88" s="2029">
        <v>1200</v>
      </c>
      <c r="BJ88" s="2030">
        <f t="shared" si="37"/>
        <v>1000</v>
      </c>
      <c r="BK88" s="2030">
        <f t="shared" si="37"/>
        <v>1000</v>
      </c>
      <c r="BL88" s="2030">
        <f t="shared" si="37"/>
        <v>2000</v>
      </c>
      <c r="BM88" s="2030"/>
      <c r="BN88" s="2030">
        <f t="shared" si="38"/>
        <v>1000</v>
      </c>
      <c r="BO88" s="2030">
        <f t="shared" si="39"/>
        <v>0</v>
      </c>
      <c r="BP88" s="2030"/>
      <c r="BQ88" s="2030">
        <f t="shared" si="40"/>
        <v>0</v>
      </c>
      <c r="BR88" s="2030">
        <f t="shared" si="40"/>
        <v>0</v>
      </c>
      <c r="BS88" s="2030">
        <f t="shared" si="40"/>
        <v>0</v>
      </c>
      <c r="BT88" s="2031"/>
      <c r="BU88" s="2031"/>
      <c r="BV88" s="2031"/>
      <c r="BW88" s="2031"/>
      <c r="BX88" s="2031"/>
      <c r="BY88" s="2031"/>
      <c r="BZ88" s="2031"/>
      <c r="CA88" s="2031"/>
      <c r="CB88" s="2029"/>
      <c r="CC88" s="2029"/>
      <c r="CD88" s="2029"/>
      <c r="CE88" s="2029"/>
      <c r="CF88" s="2029"/>
      <c r="CG88" s="2032"/>
      <c r="CH88" s="1974"/>
      <c r="CI88" s="1974"/>
      <c r="CJ88" s="1974"/>
      <c r="CK88" s="1974"/>
      <c r="CL88" s="1974">
        <v>0</v>
      </c>
      <c r="CM88" s="2033">
        <v>5.2939073510732789E-5</v>
      </c>
      <c r="CN88" s="2026">
        <v>0</v>
      </c>
      <c r="CO88" s="1974">
        <v>0</v>
      </c>
      <c r="CP88" s="2040">
        <v>0</v>
      </c>
      <c r="CQ88" s="2040"/>
      <c r="CR88" s="2062">
        <v>1</v>
      </c>
      <c r="CS88" s="2062">
        <v>1</v>
      </c>
      <c r="CT88" s="2062">
        <v>1</v>
      </c>
      <c r="CU88" s="2062">
        <v>1</v>
      </c>
      <c r="CV88" s="2036"/>
      <c r="CW88" s="2036"/>
      <c r="CX88" s="2036"/>
      <c r="CY88" s="2036"/>
      <c r="CZ88" s="2036"/>
      <c r="DA88" s="2036"/>
    </row>
    <row r="89" spans="1:105" x14ac:dyDescent="0.25">
      <c r="A89" s="2185" t="s">
        <v>134</v>
      </c>
      <c r="B89" s="2022" t="s">
        <v>2938</v>
      </c>
      <c r="C89" s="2023">
        <v>12</v>
      </c>
      <c r="D89" s="2023">
        <v>0</v>
      </c>
      <c r="E89" s="2024">
        <v>2597</v>
      </c>
      <c r="F89" s="2024"/>
      <c r="G89" s="2024">
        <v>0.22</v>
      </c>
      <c r="H89" s="2024"/>
      <c r="I89" s="2023">
        <v>0</v>
      </c>
      <c r="J89" s="2027"/>
      <c r="K89" s="2026" t="s">
        <v>2899</v>
      </c>
      <c r="L89" s="2026" t="s">
        <v>2899</v>
      </c>
      <c r="M89" s="2026">
        <v>0.84899999999999998</v>
      </c>
      <c r="N89" s="2026">
        <v>0.84899999999999998</v>
      </c>
      <c r="O89" s="2026">
        <v>0.84899999999999998</v>
      </c>
      <c r="P89" s="2026">
        <v>0.84899999999999998</v>
      </c>
      <c r="Q89" s="2027">
        <f t="shared" si="41"/>
        <v>2204.8530000000001</v>
      </c>
      <c r="R89" s="2027">
        <f t="shared" si="41"/>
        <v>2204.8530000000001</v>
      </c>
      <c r="S89" s="2027">
        <f t="shared" si="41"/>
        <v>2204.8530000000001</v>
      </c>
      <c r="T89" s="2027">
        <f t="shared" si="41"/>
        <v>2204.8530000000001</v>
      </c>
      <c r="U89" s="2026">
        <v>0.84899999999999998</v>
      </c>
      <c r="V89" s="2026">
        <v>0.84899999999999998</v>
      </c>
      <c r="W89" s="2026">
        <v>0.84899999999999998</v>
      </c>
      <c r="X89" s="2026">
        <v>0.84899999999999998</v>
      </c>
      <c r="Y89" s="2028">
        <f t="shared" si="42"/>
        <v>0.18678</v>
      </c>
      <c r="Z89" s="2028">
        <f t="shared" si="42"/>
        <v>0.18678</v>
      </c>
      <c r="AA89" s="2028">
        <f t="shared" si="42"/>
        <v>0.18678</v>
      </c>
      <c r="AB89" s="2028">
        <f t="shared" si="42"/>
        <v>0.18678</v>
      </c>
      <c r="AC89" s="2026">
        <v>0.67500000000000004</v>
      </c>
      <c r="AD89" s="2026">
        <v>0.67500000000000004</v>
      </c>
      <c r="AE89" s="2026">
        <v>0.67500000000000004</v>
      </c>
      <c r="AF89" s="2026">
        <v>0.67500000000000004</v>
      </c>
      <c r="AG89" s="2027">
        <f t="shared" si="48"/>
        <v>0</v>
      </c>
      <c r="AH89" s="2027">
        <f t="shared" si="48"/>
        <v>0</v>
      </c>
      <c r="AI89" s="2027">
        <f t="shared" si="48"/>
        <v>0</v>
      </c>
      <c r="AJ89" s="2027">
        <f t="shared" si="48"/>
        <v>0</v>
      </c>
      <c r="AK89" s="2027">
        <v>2</v>
      </c>
      <c r="AL89" s="2027">
        <v>2</v>
      </c>
      <c r="AM89" s="2027">
        <v>2</v>
      </c>
      <c r="AN89" s="2027">
        <v>2</v>
      </c>
      <c r="AO89" s="2027">
        <f t="shared" si="43"/>
        <v>4409.7060000000001</v>
      </c>
      <c r="AP89" s="2027">
        <f t="shared" si="44"/>
        <v>4409.7060000000001</v>
      </c>
      <c r="AQ89" s="2027">
        <f t="shared" si="44"/>
        <v>4409.7060000000001</v>
      </c>
      <c r="AR89" s="2027"/>
      <c r="AS89" s="2027">
        <f t="shared" si="45"/>
        <v>4409.7060000000001</v>
      </c>
      <c r="AT89" s="2027">
        <f t="shared" si="46"/>
        <v>0</v>
      </c>
      <c r="AU89" s="2027">
        <f t="shared" si="47"/>
        <v>0</v>
      </c>
      <c r="AV89" s="2027">
        <f t="shared" si="47"/>
        <v>0</v>
      </c>
      <c r="AW89" s="2027">
        <f t="shared" si="25"/>
        <v>0</v>
      </c>
      <c r="AX89" s="2029">
        <v>120</v>
      </c>
      <c r="AY89" s="2029">
        <v>120</v>
      </c>
      <c r="AZ89" s="2029">
        <v>120</v>
      </c>
      <c r="BA89" s="2029">
        <v>120</v>
      </c>
      <c r="BB89" s="2029"/>
      <c r="BC89" s="2029">
        <v>0</v>
      </c>
      <c r="BD89" s="2029">
        <v>0</v>
      </c>
      <c r="BE89" s="2029">
        <v>0</v>
      </c>
      <c r="BF89" s="2029">
        <v>0</v>
      </c>
      <c r="BG89" s="2029">
        <v>0</v>
      </c>
      <c r="BH89" s="2029">
        <v>0</v>
      </c>
      <c r="BI89" s="2029">
        <v>0</v>
      </c>
      <c r="BJ89" s="2030">
        <f t="shared" si="37"/>
        <v>240</v>
      </c>
      <c r="BK89" s="2030">
        <f t="shared" si="37"/>
        <v>240</v>
      </c>
      <c r="BL89" s="2030">
        <f t="shared" si="37"/>
        <v>240</v>
      </c>
      <c r="BM89" s="2030"/>
      <c r="BN89" s="2030">
        <f t="shared" si="38"/>
        <v>240</v>
      </c>
      <c r="BO89" s="2030">
        <f t="shared" si="39"/>
        <v>0</v>
      </c>
      <c r="BP89" s="2030"/>
      <c r="BQ89" s="2030">
        <f t="shared" si="40"/>
        <v>0</v>
      </c>
      <c r="BR89" s="2030">
        <f t="shared" si="40"/>
        <v>0</v>
      </c>
      <c r="BS89" s="2030">
        <f t="shared" si="40"/>
        <v>0</v>
      </c>
      <c r="BT89" s="2031"/>
      <c r="BU89" s="2031"/>
      <c r="BV89" s="2031"/>
      <c r="BW89" s="2031"/>
      <c r="BX89" s="2031"/>
      <c r="BY89" s="2031"/>
      <c r="BZ89" s="2031"/>
      <c r="CA89" s="2031"/>
      <c r="CB89" s="2029"/>
      <c r="CC89" s="2029"/>
      <c r="CD89" s="2029"/>
      <c r="CE89" s="2029"/>
      <c r="CF89" s="2029"/>
      <c r="CG89" s="2032"/>
      <c r="CH89" s="1974"/>
      <c r="CI89" s="1974"/>
      <c r="CJ89" s="1974"/>
      <c r="CK89" s="1974"/>
      <c r="CL89" s="1974">
        <v>0</v>
      </c>
      <c r="CM89" s="2033">
        <v>2.2155582387307647E-5</v>
      </c>
      <c r="CN89" s="2026">
        <v>0</v>
      </c>
      <c r="CO89" s="1974">
        <v>0</v>
      </c>
      <c r="CP89" s="2040">
        <v>0</v>
      </c>
      <c r="CQ89" s="2040"/>
      <c r="CR89" s="2062">
        <v>1</v>
      </c>
      <c r="CS89" s="2062">
        <v>1</v>
      </c>
      <c r="CT89" s="2062">
        <v>1</v>
      </c>
      <c r="CU89" s="2062">
        <v>1</v>
      </c>
      <c r="CV89" s="2036"/>
      <c r="CW89" s="2036"/>
      <c r="CX89" s="2036"/>
      <c r="CY89" s="2036"/>
      <c r="CZ89" s="2036"/>
      <c r="DA89" s="2036"/>
    </row>
    <row r="90" spans="1:105" s="2161" customFormat="1" x14ac:dyDescent="0.25">
      <c r="A90" s="2186" t="s">
        <v>135</v>
      </c>
      <c r="B90" s="2187" t="s">
        <v>2939</v>
      </c>
      <c r="C90" s="2043">
        <v>15</v>
      </c>
      <c r="D90" s="2043">
        <v>0</v>
      </c>
      <c r="E90" s="2044">
        <v>4339.74</v>
      </c>
      <c r="F90" s="2044"/>
      <c r="G90" s="2044">
        <v>0.66</v>
      </c>
      <c r="H90" s="2044"/>
      <c r="I90" s="2043">
        <v>279</v>
      </c>
      <c r="J90" s="2146"/>
      <c r="K90" s="2153" t="s">
        <v>2899</v>
      </c>
      <c r="L90" s="2153" t="s">
        <v>2899</v>
      </c>
      <c r="M90" s="2153">
        <v>0.84899999999999998</v>
      </c>
      <c r="N90" s="2153">
        <v>0.84899999999999998</v>
      </c>
      <c r="O90" s="2153">
        <v>0.84899999999999998</v>
      </c>
      <c r="P90" s="2153">
        <v>0.84899999999999998</v>
      </c>
      <c r="Q90" s="2146">
        <f t="shared" si="41"/>
        <v>3684.4392599999996</v>
      </c>
      <c r="R90" s="2146">
        <f t="shared" si="41"/>
        <v>3684.4392599999996</v>
      </c>
      <c r="S90" s="2146">
        <f t="shared" si="41"/>
        <v>3684.4392599999996</v>
      </c>
      <c r="T90" s="2146">
        <f t="shared" si="41"/>
        <v>3684.4392599999996</v>
      </c>
      <c r="U90" s="2153">
        <v>0.84899999999999998</v>
      </c>
      <c r="V90" s="2153">
        <v>0.84899999999999998</v>
      </c>
      <c r="W90" s="2153">
        <v>0.84899999999999998</v>
      </c>
      <c r="X90" s="2153">
        <v>0.84899999999999998</v>
      </c>
      <c r="Y90" s="2129">
        <f t="shared" si="42"/>
        <v>0.56034000000000006</v>
      </c>
      <c r="Z90" s="2129">
        <f t="shared" si="42"/>
        <v>0.56034000000000006</v>
      </c>
      <c r="AA90" s="2129">
        <f t="shared" si="42"/>
        <v>0.56034000000000006</v>
      </c>
      <c r="AB90" s="2129">
        <f t="shared" si="42"/>
        <v>0.56034000000000006</v>
      </c>
      <c r="AC90" s="2153">
        <v>0.67500000000000004</v>
      </c>
      <c r="AD90" s="2153">
        <v>0.67500000000000004</v>
      </c>
      <c r="AE90" s="2153">
        <v>0.67500000000000004</v>
      </c>
      <c r="AF90" s="2153">
        <v>0.67500000000000004</v>
      </c>
      <c r="AG90" s="2146">
        <f t="shared" si="48"/>
        <v>188.32500000000002</v>
      </c>
      <c r="AH90" s="2146">
        <f t="shared" si="48"/>
        <v>188.32500000000002</v>
      </c>
      <c r="AI90" s="2146">
        <f t="shared" si="48"/>
        <v>188.32500000000002</v>
      </c>
      <c r="AJ90" s="2146">
        <f t="shared" si="48"/>
        <v>188.32500000000002</v>
      </c>
      <c r="AK90" s="2146">
        <v>8</v>
      </c>
      <c r="AL90" s="2146">
        <v>9</v>
      </c>
      <c r="AM90" s="2146">
        <v>8</v>
      </c>
      <c r="AN90" s="2146">
        <v>8</v>
      </c>
      <c r="AO90" s="2146">
        <f t="shared" si="43"/>
        <v>29475.514079999997</v>
      </c>
      <c r="AP90" s="2146">
        <f t="shared" si="44"/>
        <v>33159.95334</v>
      </c>
      <c r="AQ90" s="2146">
        <f t="shared" si="44"/>
        <v>29475.514079999997</v>
      </c>
      <c r="AR90" s="2146"/>
      <c r="AS90" s="2146">
        <f t="shared" si="45"/>
        <v>29475.514079999997</v>
      </c>
      <c r="AT90" s="2146">
        <f t="shared" si="46"/>
        <v>1506.6000000000001</v>
      </c>
      <c r="AU90" s="2146">
        <f t="shared" si="47"/>
        <v>1694.9250000000002</v>
      </c>
      <c r="AV90" s="2146">
        <f t="shared" si="47"/>
        <v>1506.6000000000001</v>
      </c>
      <c r="AW90" s="2146">
        <f t="shared" si="25"/>
        <v>1506.6000000000001</v>
      </c>
      <c r="AX90" s="2045">
        <v>498.16666666666669</v>
      </c>
      <c r="AY90" s="2046">
        <v>498.16666666666669</v>
      </c>
      <c r="AZ90" s="2046">
        <v>498.16666666666669</v>
      </c>
      <c r="BA90" s="2046">
        <v>498.16666666666669</v>
      </c>
      <c r="BB90" s="2045">
        <v>318.50000000000006</v>
      </c>
      <c r="BC90" s="2046">
        <v>318.50000000000006</v>
      </c>
      <c r="BD90" s="2046">
        <v>318.50000000000006</v>
      </c>
      <c r="BE90" s="2046">
        <v>318.50000000000006</v>
      </c>
      <c r="BF90" s="2045">
        <v>1124</v>
      </c>
      <c r="BG90" s="2046">
        <v>1124</v>
      </c>
      <c r="BH90" s="2046">
        <v>1124</v>
      </c>
      <c r="BI90" s="2046">
        <v>1124</v>
      </c>
      <c r="BJ90" s="2154">
        <f t="shared" si="37"/>
        <v>3985.3333333333335</v>
      </c>
      <c r="BK90" s="2154">
        <f t="shared" si="37"/>
        <v>4483.5</v>
      </c>
      <c r="BL90" s="2154">
        <f t="shared" si="37"/>
        <v>3985.3333333333335</v>
      </c>
      <c r="BM90" s="2154"/>
      <c r="BN90" s="2154">
        <f t="shared" si="38"/>
        <v>3985.3333333333335</v>
      </c>
      <c r="BO90" s="2154">
        <f t="shared" si="39"/>
        <v>2548.0000000000005</v>
      </c>
      <c r="BP90" s="2154"/>
      <c r="BQ90" s="2154">
        <f t="shared" si="40"/>
        <v>2866.5000000000005</v>
      </c>
      <c r="BR90" s="2154">
        <f t="shared" si="40"/>
        <v>2548.0000000000005</v>
      </c>
      <c r="BS90" s="2154">
        <f t="shared" si="40"/>
        <v>2548.0000000000005</v>
      </c>
      <c r="BT90" s="2063"/>
      <c r="BU90" s="2063"/>
      <c r="BV90" s="2063"/>
      <c r="BW90" s="2063"/>
      <c r="BX90" s="2063"/>
      <c r="BY90" s="2063"/>
      <c r="BZ90" s="2063"/>
      <c r="CA90" s="2063"/>
      <c r="CB90" s="2046"/>
      <c r="CC90" s="2046"/>
      <c r="CD90" s="2046"/>
      <c r="CE90" s="2046"/>
      <c r="CF90" s="2046"/>
      <c r="CG90" s="2156"/>
      <c r="CH90" s="2146">
        <v>35711</v>
      </c>
      <c r="CI90" s="2047"/>
      <c r="CJ90" s="2047"/>
      <c r="CK90" s="2047"/>
      <c r="CL90" s="2047">
        <v>0</v>
      </c>
      <c r="CM90" s="2157">
        <v>9.8728755856238704E-5</v>
      </c>
      <c r="CN90" s="2153">
        <v>4.8530392320152789E-4</v>
      </c>
      <c r="CO90" s="2047">
        <v>0</v>
      </c>
      <c r="CP90" s="2188">
        <v>0</v>
      </c>
      <c r="CQ90" s="2188"/>
      <c r="CR90" s="2189">
        <v>1</v>
      </c>
      <c r="CS90" s="2189">
        <v>1</v>
      </c>
      <c r="CT90" s="2189">
        <v>1</v>
      </c>
      <c r="CU90" s="2189">
        <v>1</v>
      </c>
      <c r="CV90" s="2160"/>
      <c r="CW90" s="2160"/>
      <c r="CX90" s="2160"/>
      <c r="CY90" s="2160"/>
      <c r="CZ90" s="2160"/>
      <c r="DA90" s="2160"/>
    </row>
    <row r="91" spans="1:105" x14ac:dyDescent="0.25">
      <c r="A91" s="2185" t="s">
        <v>136</v>
      </c>
      <c r="B91" s="2022" t="s">
        <v>2940</v>
      </c>
      <c r="C91" s="2023">
        <v>4</v>
      </c>
      <c r="D91" s="2023">
        <v>0</v>
      </c>
      <c r="E91" s="2024">
        <v>5220</v>
      </c>
      <c r="F91" s="2024"/>
      <c r="G91" s="2024">
        <v>0</v>
      </c>
      <c r="H91" s="2024"/>
      <c r="I91" s="2023">
        <v>0</v>
      </c>
      <c r="J91" s="2027"/>
      <c r="K91" s="2026" t="s">
        <v>2899</v>
      </c>
      <c r="L91" s="2026" t="s">
        <v>2899</v>
      </c>
      <c r="M91" s="2026">
        <v>0.84899999999999998</v>
      </c>
      <c r="N91" s="2026">
        <v>0.84899999999999998</v>
      </c>
      <c r="O91" s="2026">
        <v>0.84899999999999998</v>
      </c>
      <c r="P91" s="2026">
        <v>0.84899999999999998</v>
      </c>
      <c r="Q91" s="2027">
        <f t="shared" si="41"/>
        <v>4431.78</v>
      </c>
      <c r="R91" s="2027">
        <f t="shared" si="41"/>
        <v>4431.78</v>
      </c>
      <c r="S91" s="2027">
        <f t="shared" si="41"/>
        <v>4431.78</v>
      </c>
      <c r="T91" s="2027">
        <f t="shared" si="41"/>
        <v>4431.78</v>
      </c>
      <c r="U91" s="2026">
        <v>0.84899999999999998</v>
      </c>
      <c r="V91" s="2026">
        <v>0.84899999999999998</v>
      </c>
      <c r="W91" s="2026">
        <v>0.84899999999999998</v>
      </c>
      <c r="X91" s="2026">
        <v>0.84899999999999998</v>
      </c>
      <c r="Y91" s="2028">
        <f t="shared" si="42"/>
        <v>0</v>
      </c>
      <c r="Z91" s="2028">
        <f t="shared" si="42"/>
        <v>0</v>
      </c>
      <c r="AA91" s="2028">
        <f t="shared" si="42"/>
        <v>0</v>
      </c>
      <c r="AB91" s="2028">
        <f t="shared" si="42"/>
        <v>0</v>
      </c>
      <c r="AC91" s="2026">
        <v>0.67500000000000004</v>
      </c>
      <c r="AD91" s="2026">
        <v>0.67500000000000004</v>
      </c>
      <c r="AE91" s="2026">
        <v>0.67500000000000004</v>
      </c>
      <c r="AF91" s="2026">
        <v>0.67500000000000004</v>
      </c>
      <c r="AG91" s="2027">
        <f t="shared" si="48"/>
        <v>0</v>
      </c>
      <c r="AH91" s="2027">
        <f t="shared" si="48"/>
        <v>0</v>
      </c>
      <c r="AI91" s="2027">
        <f t="shared" si="48"/>
        <v>0</v>
      </c>
      <c r="AJ91" s="2027">
        <f t="shared" si="48"/>
        <v>0</v>
      </c>
      <c r="AK91" s="2027">
        <v>0</v>
      </c>
      <c r="AL91" s="2027">
        <v>0</v>
      </c>
      <c r="AM91" s="2027">
        <v>0</v>
      </c>
      <c r="AN91" s="2027">
        <v>0</v>
      </c>
      <c r="AO91" s="2027">
        <f t="shared" si="43"/>
        <v>0</v>
      </c>
      <c r="AP91" s="2027">
        <f t="shared" si="44"/>
        <v>0</v>
      </c>
      <c r="AQ91" s="2027">
        <f t="shared" si="44"/>
        <v>0</v>
      </c>
      <c r="AR91" s="2027"/>
      <c r="AS91" s="2027">
        <f t="shared" si="45"/>
        <v>0</v>
      </c>
      <c r="AT91" s="2027">
        <f t="shared" si="46"/>
        <v>0</v>
      </c>
      <c r="AU91" s="2027">
        <f t="shared" si="47"/>
        <v>0</v>
      </c>
      <c r="AV91" s="2027">
        <f t="shared" si="47"/>
        <v>0</v>
      </c>
      <c r="AW91" s="2027">
        <f t="shared" si="47"/>
        <v>0</v>
      </c>
      <c r="AX91" s="2029">
        <v>200</v>
      </c>
      <c r="AY91" s="2029">
        <v>200</v>
      </c>
      <c r="AZ91" s="2029">
        <v>200</v>
      </c>
      <c r="BA91" s="2029">
        <v>200</v>
      </c>
      <c r="BB91" s="1974"/>
      <c r="BC91" s="2029">
        <v>0</v>
      </c>
      <c r="BD91" s="2029">
        <v>0</v>
      </c>
      <c r="BE91" s="2029">
        <v>0</v>
      </c>
      <c r="BF91" s="2029">
        <v>140</v>
      </c>
      <c r="BG91" s="2029">
        <v>140</v>
      </c>
      <c r="BH91" s="2029">
        <v>140</v>
      </c>
      <c r="BI91" s="2029">
        <v>140</v>
      </c>
      <c r="BJ91" s="2030">
        <f t="shared" si="37"/>
        <v>0</v>
      </c>
      <c r="BK91" s="2030">
        <f t="shared" si="37"/>
        <v>0</v>
      </c>
      <c r="BL91" s="2030">
        <f t="shared" si="37"/>
        <v>0</v>
      </c>
      <c r="BM91" s="2030"/>
      <c r="BN91" s="2030">
        <f t="shared" si="38"/>
        <v>0</v>
      </c>
      <c r="BO91" s="2030">
        <f t="shared" si="39"/>
        <v>0</v>
      </c>
      <c r="BP91" s="2030"/>
      <c r="BQ91" s="2030">
        <f t="shared" si="40"/>
        <v>0</v>
      </c>
      <c r="BR91" s="2030">
        <f t="shared" si="40"/>
        <v>0</v>
      </c>
      <c r="BS91" s="2030">
        <f t="shared" si="40"/>
        <v>0</v>
      </c>
      <c r="BT91" s="2031"/>
      <c r="BU91" s="2031"/>
      <c r="BV91" s="2031"/>
      <c r="BW91" s="2031"/>
      <c r="BX91" s="2031"/>
      <c r="BY91" s="2031"/>
      <c r="BZ91" s="2031"/>
      <c r="CA91" s="2031"/>
      <c r="CB91" s="2029"/>
      <c r="CC91" s="2029"/>
      <c r="CD91" s="2029"/>
      <c r="CE91" s="2029"/>
      <c r="CF91" s="2029"/>
      <c r="CG91" s="2032"/>
      <c r="CH91" s="1974"/>
      <c r="CI91" s="1974"/>
      <c r="CJ91" s="1974"/>
      <c r="CK91" s="1974"/>
      <c r="CL91" s="1974">
        <v>0</v>
      </c>
      <c r="CM91" s="2033">
        <v>0</v>
      </c>
      <c r="CN91" s="2026">
        <v>0</v>
      </c>
      <c r="CO91" s="1974">
        <v>0</v>
      </c>
      <c r="CP91" s="2040">
        <v>0</v>
      </c>
      <c r="CQ91" s="2040"/>
      <c r="CR91" s="2062">
        <v>1</v>
      </c>
      <c r="CS91" s="2062">
        <v>1</v>
      </c>
      <c r="CT91" s="2062">
        <v>1</v>
      </c>
      <c r="CU91" s="2062">
        <v>1</v>
      </c>
      <c r="CV91" s="2036"/>
      <c r="CW91" s="2036"/>
      <c r="CX91" s="2036"/>
      <c r="CY91" s="2036"/>
      <c r="CZ91" s="2036"/>
      <c r="DA91" s="2036"/>
    </row>
    <row r="92" spans="1:105" x14ac:dyDescent="0.25">
      <c r="A92" s="2185" t="s">
        <v>137</v>
      </c>
      <c r="B92" s="2022" t="s">
        <v>2941</v>
      </c>
      <c r="C92" s="2543">
        <v>13</v>
      </c>
      <c r="D92" s="2023">
        <v>0</v>
      </c>
      <c r="E92" s="2024">
        <v>11337</v>
      </c>
      <c r="F92" s="2024"/>
      <c r="G92" s="2024">
        <v>1.1200000000000001</v>
      </c>
      <c r="H92" s="2024"/>
      <c r="I92" s="2023">
        <v>0</v>
      </c>
      <c r="J92" s="2027"/>
      <c r="K92" s="2026" t="s">
        <v>137</v>
      </c>
      <c r="L92" s="2026" t="s">
        <v>137</v>
      </c>
      <c r="M92" s="2026">
        <v>0.83299999999999996</v>
      </c>
      <c r="N92" s="2026">
        <v>0.83299999999999996</v>
      </c>
      <c r="O92" s="2026">
        <v>0.83299999999999996</v>
      </c>
      <c r="P92" s="2026">
        <v>0.83299999999999996</v>
      </c>
      <c r="Q92" s="2027">
        <f t="shared" si="41"/>
        <v>9443.7209999999995</v>
      </c>
      <c r="R92" s="2027">
        <f t="shared" si="41"/>
        <v>9443.7209999999995</v>
      </c>
      <c r="S92" s="2027">
        <f t="shared" si="41"/>
        <v>9443.7209999999995</v>
      </c>
      <c r="T92" s="2027">
        <f t="shared" si="41"/>
        <v>9443.7209999999995</v>
      </c>
      <c r="U92" s="2026">
        <v>0.83299999999999996</v>
      </c>
      <c r="V92" s="2026">
        <v>0.83299999999999996</v>
      </c>
      <c r="W92" s="2026">
        <v>0.83299999999999996</v>
      </c>
      <c r="X92" s="2026">
        <v>0.83299999999999996</v>
      </c>
      <c r="Y92" s="2028">
        <f t="shared" si="42"/>
        <v>0.93296000000000001</v>
      </c>
      <c r="Z92" s="2028">
        <f t="shared" si="42"/>
        <v>0.93296000000000001</v>
      </c>
      <c r="AA92" s="2028">
        <f t="shared" si="42"/>
        <v>0.93296000000000001</v>
      </c>
      <c r="AB92" s="2028">
        <f t="shared" si="42"/>
        <v>0.93296000000000001</v>
      </c>
      <c r="AC92" s="2026">
        <v>0.83299999999999996</v>
      </c>
      <c r="AD92" s="2026">
        <v>0.83299999999999996</v>
      </c>
      <c r="AE92" s="2026">
        <v>0.83299999999999996</v>
      </c>
      <c r="AF92" s="2026">
        <v>0.83299999999999996</v>
      </c>
      <c r="AG92" s="2027">
        <f t="shared" si="48"/>
        <v>0</v>
      </c>
      <c r="AH92" s="2027">
        <f t="shared" si="48"/>
        <v>0</v>
      </c>
      <c r="AI92" s="2027">
        <f t="shared" si="48"/>
        <v>0</v>
      </c>
      <c r="AJ92" s="2027">
        <f t="shared" si="48"/>
        <v>0</v>
      </c>
      <c r="AK92" s="2027">
        <v>1725</v>
      </c>
      <c r="AL92" s="2027">
        <v>1794</v>
      </c>
      <c r="AM92" s="2027">
        <v>1912</v>
      </c>
      <c r="AN92" s="2027">
        <v>1811</v>
      </c>
      <c r="AO92" s="2027">
        <f t="shared" si="43"/>
        <v>16290418.725</v>
      </c>
      <c r="AP92" s="2027">
        <f t="shared" si="44"/>
        <v>16942035.473999999</v>
      </c>
      <c r="AQ92" s="2027">
        <f t="shared" si="44"/>
        <v>18056394.551999997</v>
      </c>
      <c r="AR92" s="2027"/>
      <c r="AS92" s="2027">
        <f t="shared" si="45"/>
        <v>17102578.730999999</v>
      </c>
      <c r="AT92" s="2027">
        <f t="shared" si="46"/>
        <v>0</v>
      </c>
      <c r="AU92" s="2027">
        <f t="shared" si="47"/>
        <v>0</v>
      </c>
      <c r="AV92" s="2027">
        <f t="shared" si="47"/>
        <v>0</v>
      </c>
      <c r="AW92" s="2027">
        <f t="shared" si="47"/>
        <v>0</v>
      </c>
      <c r="AX92" s="2029">
        <v>1050</v>
      </c>
      <c r="AY92" s="2029">
        <v>1050</v>
      </c>
      <c r="AZ92" s="2029">
        <v>1050</v>
      </c>
      <c r="BA92" s="2029">
        <v>1050</v>
      </c>
      <c r="BB92" s="1974"/>
      <c r="BC92" s="2029">
        <v>0</v>
      </c>
      <c r="BD92" s="2029">
        <v>0</v>
      </c>
      <c r="BE92" s="2029">
        <v>0</v>
      </c>
      <c r="BF92" s="2029">
        <v>2085.4</v>
      </c>
      <c r="BG92" s="2029">
        <v>2085.4</v>
      </c>
      <c r="BH92" s="2029">
        <v>2085.4</v>
      </c>
      <c r="BI92" s="2029">
        <v>2085.4</v>
      </c>
      <c r="BJ92" s="2030">
        <f t="shared" si="37"/>
        <v>1811250</v>
      </c>
      <c r="BK92" s="2030">
        <f t="shared" si="37"/>
        <v>1883700</v>
      </c>
      <c r="BL92" s="2030">
        <f t="shared" si="37"/>
        <v>2007600</v>
      </c>
      <c r="BM92" s="2030"/>
      <c r="BN92" s="2030">
        <f t="shared" si="38"/>
        <v>1901550</v>
      </c>
      <c r="BO92" s="2030">
        <f t="shared" si="39"/>
        <v>0</v>
      </c>
      <c r="BP92" s="2030"/>
      <c r="BQ92" s="2030">
        <f t="shared" si="40"/>
        <v>0</v>
      </c>
      <c r="BR92" s="2030">
        <f t="shared" si="40"/>
        <v>0</v>
      </c>
      <c r="BS92" s="2030">
        <f t="shared" si="40"/>
        <v>0</v>
      </c>
      <c r="BT92" s="2031"/>
      <c r="BU92" s="2031"/>
      <c r="BV92" s="2031"/>
      <c r="BW92" s="2031"/>
      <c r="BX92" s="2031"/>
      <c r="BY92" s="2031"/>
      <c r="BZ92" s="2031"/>
      <c r="CA92" s="2031"/>
      <c r="CB92" s="2029"/>
      <c r="CC92" s="2029"/>
      <c r="CD92" s="2029"/>
      <c r="CE92" s="2029"/>
      <c r="CF92" s="2029"/>
      <c r="CG92" s="2032"/>
      <c r="CH92" s="1974"/>
      <c r="CI92" s="1974"/>
      <c r="CJ92" s="1974"/>
      <c r="CK92" s="1974"/>
      <c r="CL92" s="1974">
        <v>0</v>
      </c>
      <c r="CM92" s="2033">
        <v>6.326382111286552E-2</v>
      </c>
      <c r="CN92" s="2026">
        <v>0</v>
      </c>
      <c r="CO92" s="1974">
        <v>0</v>
      </c>
      <c r="CP92" s="2040">
        <v>0</v>
      </c>
      <c r="CQ92" s="2040"/>
      <c r="CR92" s="2062">
        <v>1</v>
      </c>
      <c r="CS92" s="2062">
        <v>1</v>
      </c>
      <c r="CT92" s="2062">
        <v>1</v>
      </c>
      <c r="CU92" s="2062">
        <v>1</v>
      </c>
      <c r="CV92" s="2036"/>
      <c r="CW92" s="2036"/>
      <c r="CX92" s="2036"/>
      <c r="CY92" s="2036"/>
      <c r="CZ92" s="2036"/>
      <c r="DA92" s="2036"/>
    </row>
    <row r="93" spans="1:105" x14ac:dyDescent="0.25">
      <c r="A93" s="2185" t="s">
        <v>235</v>
      </c>
      <c r="B93" s="2022"/>
      <c r="C93" s="2023"/>
      <c r="D93" s="2023">
        <v>0</v>
      </c>
      <c r="E93" s="2024"/>
      <c r="F93" s="2024"/>
      <c r="G93" s="2024"/>
      <c r="H93" s="2024"/>
      <c r="I93" s="2023"/>
      <c r="J93" s="2027"/>
      <c r="K93" s="2026" t="s">
        <v>2285</v>
      </c>
      <c r="L93" s="2026" t="s">
        <v>2285</v>
      </c>
      <c r="M93" s="2026">
        <v>0.79999999999999993</v>
      </c>
      <c r="N93" s="2026">
        <v>0.79999999999999993</v>
      </c>
      <c r="O93" s="2026">
        <v>0.79999999999999993</v>
      </c>
      <c r="P93" s="2026">
        <v>0.79999999999999993</v>
      </c>
      <c r="Q93" s="2027">
        <f t="shared" si="41"/>
        <v>0</v>
      </c>
      <c r="R93" s="2027">
        <f t="shared" si="41"/>
        <v>0</v>
      </c>
      <c r="S93" s="2027">
        <f t="shared" si="41"/>
        <v>0</v>
      </c>
      <c r="T93" s="2027">
        <f t="shared" si="41"/>
        <v>0</v>
      </c>
      <c r="U93" s="2026">
        <v>0.79999999999999993</v>
      </c>
      <c r="V93" s="2026">
        <v>0.79999999999999993</v>
      </c>
      <c r="W93" s="2026">
        <v>0.79999999999999993</v>
      </c>
      <c r="X93" s="2026">
        <v>0.79999999999999993</v>
      </c>
      <c r="Y93" s="2028">
        <f t="shared" si="42"/>
        <v>0</v>
      </c>
      <c r="Z93" s="2028">
        <f t="shared" si="42"/>
        <v>0</v>
      </c>
      <c r="AA93" s="2028">
        <f t="shared" si="42"/>
        <v>0</v>
      </c>
      <c r="AB93" s="2028">
        <f t="shared" si="42"/>
        <v>0</v>
      </c>
      <c r="AC93" s="2026">
        <v>0.60399999999999998</v>
      </c>
      <c r="AD93" s="2026">
        <v>0.60399999999999998</v>
      </c>
      <c r="AE93" s="2026">
        <v>0.60399999999999998</v>
      </c>
      <c r="AF93" s="2026">
        <v>0.60399999999999998</v>
      </c>
      <c r="AG93" s="2027"/>
      <c r="AH93" s="2027"/>
      <c r="AI93" s="2027"/>
      <c r="AJ93" s="2027"/>
      <c r="AK93" s="2027">
        <v>0</v>
      </c>
      <c r="AL93" s="2027">
        <v>0</v>
      </c>
      <c r="AM93" s="2027">
        <v>0</v>
      </c>
      <c r="AN93" s="2027">
        <v>0</v>
      </c>
      <c r="AO93" s="2027"/>
      <c r="AP93" s="2027"/>
      <c r="AQ93" s="2027"/>
      <c r="AR93" s="2027"/>
      <c r="AS93" s="2027">
        <f t="shared" si="45"/>
        <v>0</v>
      </c>
      <c r="AT93" s="2027"/>
      <c r="AU93" s="2027"/>
      <c r="AV93" s="2027"/>
      <c r="AW93" s="2027">
        <f t="shared" si="47"/>
        <v>0</v>
      </c>
      <c r="AX93" s="2031">
        <v>15000</v>
      </c>
      <c r="AY93" s="2029">
        <v>15000</v>
      </c>
      <c r="AZ93" s="2029">
        <v>15000</v>
      </c>
      <c r="BA93" s="2029">
        <v>15000</v>
      </c>
      <c r="BB93" s="1974">
        <v>15000</v>
      </c>
      <c r="BC93" s="2029">
        <v>15000</v>
      </c>
      <c r="BD93" s="2029">
        <v>15000</v>
      </c>
      <c r="BE93" s="2029">
        <v>15000</v>
      </c>
      <c r="BF93" s="1974"/>
      <c r="BG93" s="2029">
        <v>0</v>
      </c>
      <c r="BH93" s="2029">
        <v>0</v>
      </c>
      <c r="BI93" s="2029">
        <v>0</v>
      </c>
      <c r="BJ93" s="2030">
        <f t="shared" si="37"/>
        <v>0</v>
      </c>
      <c r="BK93" s="2030">
        <f t="shared" si="37"/>
        <v>0</v>
      </c>
      <c r="BL93" s="2030">
        <f t="shared" si="37"/>
        <v>0</v>
      </c>
      <c r="BM93" s="2030"/>
      <c r="BN93" s="2030">
        <f t="shared" si="38"/>
        <v>0</v>
      </c>
      <c r="BO93" s="2030">
        <f t="shared" si="39"/>
        <v>0</v>
      </c>
      <c r="BP93" s="2030"/>
      <c r="BQ93" s="2030">
        <f t="shared" si="40"/>
        <v>0</v>
      </c>
      <c r="BR93" s="2030">
        <f t="shared" si="40"/>
        <v>0</v>
      </c>
      <c r="BS93" s="2030">
        <f t="shared" si="40"/>
        <v>0</v>
      </c>
      <c r="BT93" s="2031"/>
      <c r="BU93" s="2031"/>
      <c r="BV93" s="2031"/>
      <c r="BW93" s="2031"/>
      <c r="BX93" s="2031"/>
      <c r="BY93" s="2031"/>
      <c r="BZ93" s="2031"/>
      <c r="CA93" s="2031"/>
      <c r="CB93" s="2029"/>
      <c r="CC93" s="2029"/>
      <c r="CD93" s="2029"/>
      <c r="CE93" s="2029"/>
      <c r="CF93" s="2029"/>
      <c r="CG93" s="2032"/>
      <c r="CH93" s="1974"/>
      <c r="CI93" s="1974"/>
      <c r="CJ93" s="1974"/>
      <c r="CK93" s="1974"/>
      <c r="CL93" s="1974">
        <v>0</v>
      </c>
      <c r="CM93" s="2033">
        <v>0</v>
      </c>
      <c r="CN93" s="2026">
        <v>0</v>
      </c>
      <c r="CO93" s="1974">
        <v>0</v>
      </c>
      <c r="CP93" s="2040">
        <v>0</v>
      </c>
      <c r="CQ93" s="2040"/>
      <c r="CR93" s="2062">
        <v>1</v>
      </c>
      <c r="CS93" s="2062">
        <v>1</v>
      </c>
      <c r="CT93" s="2062">
        <v>1</v>
      </c>
      <c r="CU93" s="2062">
        <v>1</v>
      </c>
      <c r="CV93" s="2036"/>
      <c r="CW93" s="2036"/>
      <c r="CX93" s="2036"/>
      <c r="CY93" s="2036"/>
      <c r="CZ93" s="2036"/>
      <c r="DA93" s="2036"/>
    </row>
    <row r="94" spans="1:105" x14ac:dyDescent="0.25">
      <c r="A94" s="2185" t="s">
        <v>236</v>
      </c>
      <c r="B94" s="2022" t="s">
        <v>2942</v>
      </c>
      <c r="C94" s="2023"/>
      <c r="D94" s="2023">
        <v>0</v>
      </c>
      <c r="E94" s="2024"/>
      <c r="F94" s="2024"/>
      <c r="G94" s="2024"/>
      <c r="H94" s="2024"/>
      <c r="I94" s="2023"/>
      <c r="J94" s="2027"/>
      <c r="K94" s="2026" t="s">
        <v>2285</v>
      </c>
      <c r="L94" s="2026" t="s">
        <v>2285</v>
      </c>
      <c r="M94" s="2026">
        <v>0.79999999999999993</v>
      </c>
      <c r="N94" s="2026">
        <v>0.79999999999999993</v>
      </c>
      <c r="O94" s="2026">
        <v>0.79999999999999993</v>
      </c>
      <c r="P94" s="2026">
        <v>0.79999999999999993</v>
      </c>
      <c r="Q94" s="2027">
        <f t="shared" si="41"/>
        <v>0</v>
      </c>
      <c r="R94" s="2027">
        <f t="shared" si="41"/>
        <v>0</v>
      </c>
      <c r="S94" s="2027">
        <f t="shared" si="41"/>
        <v>0</v>
      </c>
      <c r="T94" s="2027">
        <f t="shared" si="41"/>
        <v>0</v>
      </c>
      <c r="U94" s="2026">
        <v>0.79999999999999993</v>
      </c>
      <c r="V94" s="2026">
        <v>0.79999999999999993</v>
      </c>
      <c r="W94" s="2026">
        <v>0.79999999999999993</v>
      </c>
      <c r="X94" s="2026">
        <v>0.79999999999999993</v>
      </c>
      <c r="Y94" s="2028">
        <f t="shared" si="42"/>
        <v>0</v>
      </c>
      <c r="Z94" s="2028">
        <f t="shared" si="42"/>
        <v>0</v>
      </c>
      <c r="AA94" s="2028">
        <f t="shared" si="42"/>
        <v>0</v>
      </c>
      <c r="AB94" s="2028">
        <f t="shared" si="42"/>
        <v>0</v>
      </c>
      <c r="AC94" s="2026">
        <v>0.60399999999999998</v>
      </c>
      <c r="AD94" s="2026">
        <v>0.60399999999999998</v>
      </c>
      <c r="AE94" s="2026">
        <v>0.60399999999999998</v>
      </c>
      <c r="AF94" s="2026">
        <v>0.60399999999999998</v>
      </c>
      <c r="AG94" s="2027"/>
      <c r="AH94" s="2027"/>
      <c r="AI94" s="2027"/>
      <c r="AJ94" s="2027"/>
      <c r="AK94" s="2027">
        <v>0</v>
      </c>
      <c r="AL94" s="2027">
        <v>0</v>
      </c>
      <c r="AM94" s="2027">
        <v>0</v>
      </c>
      <c r="AN94" s="2027">
        <v>0</v>
      </c>
      <c r="AO94" s="2027"/>
      <c r="AP94" s="2027"/>
      <c r="AQ94" s="2027"/>
      <c r="AR94" s="2027"/>
      <c r="AS94" s="2027">
        <f t="shared" si="45"/>
        <v>0</v>
      </c>
      <c r="AT94" s="2027"/>
      <c r="AU94" s="2027"/>
      <c r="AV94" s="2027"/>
      <c r="AW94" s="2027">
        <f t="shared" si="47"/>
        <v>0</v>
      </c>
      <c r="AX94" s="2031">
        <v>15000</v>
      </c>
      <c r="AY94" s="2029">
        <v>15000</v>
      </c>
      <c r="AZ94" s="2029">
        <v>15000</v>
      </c>
      <c r="BA94" s="2029">
        <v>15000</v>
      </c>
      <c r="BB94" s="1974">
        <v>15000</v>
      </c>
      <c r="BC94" s="2029">
        <v>15000</v>
      </c>
      <c r="BD94" s="2029">
        <v>15000</v>
      </c>
      <c r="BE94" s="2029">
        <v>15000</v>
      </c>
      <c r="BF94" s="1974"/>
      <c r="BG94" s="2029">
        <v>0</v>
      </c>
      <c r="BH94" s="2029">
        <v>0</v>
      </c>
      <c r="BI94" s="2029">
        <v>0</v>
      </c>
      <c r="BJ94" s="2030">
        <f t="shared" si="37"/>
        <v>0</v>
      </c>
      <c r="BK94" s="2030">
        <f t="shared" si="37"/>
        <v>0</v>
      </c>
      <c r="BL94" s="2030">
        <f t="shared" si="37"/>
        <v>0</v>
      </c>
      <c r="BM94" s="2030"/>
      <c r="BN94" s="2030">
        <f t="shared" si="38"/>
        <v>0</v>
      </c>
      <c r="BO94" s="2030">
        <f t="shared" si="39"/>
        <v>0</v>
      </c>
      <c r="BP94" s="2030"/>
      <c r="BQ94" s="2030">
        <f t="shared" si="40"/>
        <v>0</v>
      </c>
      <c r="BR94" s="2030">
        <f t="shared" si="40"/>
        <v>0</v>
      </c>
      <c r="BS94" s="2030">
        <f t="shared" si="40"/>
        <v>0</v>
      </c>
      <c r="BT94" s="2031"/>
      <c r="BU94" s="2031"/>
      <c r="BV94" s="2031"/>
      <c r="BW94" s="2031"/>
      <c r="BX94" s="2031"/>
      <c r="BY94" s="2031"/>
      <c r="BZ94" s="2031"/>
      <c r="CA94" s="2031"/>
      <c r="CB94" s="2029"/>
      <c r="CC94" s="2029"/>
      <c r="CD94" s="2029"/>
      <c r="CE94" s="2029"/>
      <c r="CF94" s="2029"/>
      <c r="CG94" s="2032"/>
      <c r="CH94" s="1974"/>
      <c r="CI94" s="1974"/>
      <c r="CJ94" s="1974"/>
      <c r="CK94" s="1974"/>
      <c r="CL94" s="1974">
        <v>0</v>
      </c>
      <c r="CM94" s="2033">
        <v>0</v>
      </c>
      <c r="CN94" s="2026">
        <v>0</v>
      </c>
      <c r="CO94" s="1974">
        <v>0</v>
      </c>
      <c r="CP94" s="2040">
        <v>0</v>
      </c>
      <c r="CQ94" s="2040"/>
      <c r="CR94" s="2062">
        <v>1</v>
      </c>
      <c r="CS94" s="2062">
        <v>1</v>
      </c>
      <c r="CT94" s="2062">
        <v>1</v>
      </c>
      <c r="CU94" s="2062">
        <v>1</v>
      </c>
      <c r="CV94" s="2036"/>
      <c r="CW94" s="2036"/>
      <c r="CX94" s="2036"/>
      <c r="CY94" s="2036"/>
      <c r="CZ94" s="2036"/>
      <c r="DA94" s="2036"/>
    </row>
    <row r="95" spans="1:105" ht="23" x14ac:dyDescent="0.25">
      <c r="A95" s="2185" t="s">
        <v>237</v>
      </c>
      <c r="B95" s="2022" t="s">
        <v>2930</v>
      </c>
      <c r="C95" s="2023"/>
      <c r="D95" s="2023">
        <v>0</v>
      </c>
      <c r="E95" s="2024"/>
      <c r="F95" s="2024"/>
      <c r="G95" s="2024"/>
      <c r="H95" s="2024"/>
      <c r="I95" s="2023"/>
      <c r="J95" s="2027"/>
      <c r="K95" s="2026" t="s">
        <v>2285</v>
      </c>
      <c r="L95" s="2026" t="s">
        <v>2285</v>
      </c>
      <c r="M95" s="2026">
        <v>0.79999999999999993</v>
      </c>
      <c r="N95" s="2026">
        <v>0.79999999999999993</v>
      </c>
      <c r="O95" s="2026">
        <v>0.79999999999999993</v>
      </c>
      <c r="P95" s="2026">
        <v>0.79999999999999993</v>
      </c>
      <c r="Q95" s="2027">
        <f>$E95*M95</f>
        <v>0</v>
      </c>
      <c r="R95" s="2027">
        <f>$E95*N95</f>
        <v>0</v>
      </c>
      <c r="S95" s="2027">
        <f>$E95*O95</f>
        <v>0</v>
      </c>
      <c r="T95" s="2027">
        <f>$E95*P95</f>
        <v>0</v>
      </c>
      <c r="U95" s="2026">
        <v>0.79999999999999993</v>
      </c>
      <c r="V95" s="2026">
        <v>0.79999999999999993</v>
      </c>
      <c r="W95" s="2026">
        <v>0.79999999999999993</v>
      </c>
      <c r="X95" s="2026">
        <v>0.79999999999999993</v>
      </c>
      <c r="Y95" s="2028">
        <f>$G95*U95</f>
        <v>0</v>
      </c>
      <c r="Z95" s="2028">
        <f>$G95*V95</f>
        <v>0</v>
      </c>
      <c r="AA95" s="2028">
        <f>$G95*W95</f>
        <v>0</v>
      </c>
      <c r="AB95" s="2028">
        <f>$G95*X95</f>
        <v>0</v>
      </c>
      <c r="AC95" s="2026">
        <v>0.60399999999999998</v>
      </c>
      <c r="AD95" s="2026">
        <v>0.60399999999999998</v>
      </c>
      <c r="AE95" s="2026">
        <v>0.60399999999999998</v>
      </c>
      <c r="AF95" s="2026">
        <v>0.60399999999999998</v>
      </c>
      <c r="AG95" s="2027"/>
      <c r="AH95" s="2027"/>
      <c r="AI95" s="2027"/>
      <c r="AJ95" s="2027"/>
      <c r="AK95" s="2027">
        <v>0</v>
      </c>
      <c r="AL95" s="2027">
        <v>0</v>
      </c>
      <c r="AM95" s="2027">
        <v>0</v>
      </c>
      <c r="AN95" s="2027">
        <v>0</v>
      </c>
      <c r="AO95" s="2027"/>
      <c r="AP95" s="2027"/>
      <c r="AQ95" s="2027"/>
      <c r="AR95" s="2027"/>
      <c r="AS95" s="2027">
        <f t="shared" si="45"/>
        <v>0</v>
      </c>
      <c r="AT95" s="2027"/>
      <c r="AU95" s="2027"/>
      <c r="AV95" s="2027"/>
      <c r="AW95" s="2027">
        <f t="shared" si="47"/>
        <v>0</v>
      </c>
      <c r="AX95" s="1974"/>
      <c r="AY95" s="2029">
        <v>0</v>
      </c>
      <c r="AZ95" s="2029">
        <v>0</v>
      </c>
      <c r="BA95" s="2029">
        <v>0</v>
      </c>
      <c r="BB95" s="1974"/>
      <c r="BC95" s="2029">
        <v>0</v>
      </c>
      <c r="BD95" s="2029">
        <v>0</v>
      </c>
      <c r="BE95" s="2029">
        <v>0</v>
      </c>
      <c r="BF95" s="1974"/>
      <c r="BG95" s="2029">
        <v>0</v>
      </c>
      <c r="BH95" s="2029">
        <v>0</v>
      </c>
      <c r="BI95" s="2029">
        <v>0</v>
      </c>
      <c r="BJ95" s="2030">
        <f t="shared" si="37"/>
        <v>0</v>
      </c>
      <c r="BK95" s="2030">
        <f t="shared" si="37"/>
        <v>0</v>
      </c>
      <c r="BL95" s="2030">
        <f t="shared" si="37"/>
        <v>0</v>
      </c>
      <c r="BM95" s="2030"/>
      <c r="BN95" s="2030">
        <f t="shared" si="38"/>
        <v>0</v>
      </c>
      <c r="BO95" s="2030">
        <f t="shared" si="39"/>
        <v>0</v>
      </c>
      <c r="BP95" s="2030"/>
      <c r="BQ95" s="2030">
        <f t="shared" si="40"/>
        <v>0</v>
      </c>
      <c r="BR95" s="2030">
        <f t="shared" si="40"/>
        <v>0</v>
      </c>
      <c r="BS95" s="2030">
        <f t="shared" si="40"/>
        <v>0</v>
      </c>
      <c r="BT95" s="2031"/>
      <c r="BU95" s="2031"/>
      <c r="BV95" s="2031"/>
      <c r="BW95" s="2031"/>
      <c r="BX95" s="2031"/>
      <c r="BY95" s="2031"/>
      <c r="BZ95" s="2031"/>
      <c r="CA95" s="2031"/>
      <c r="CB95" s="2029"/>
      <c r="CC95" s="2029"/>
      <c r="CD95" s="2029"/>
      <c r="CE95" s="2029"/>
      <c r="CF95" s="2029"/>
      <c r="CG95" s="2032"/>
      <c r="CH95" s="1974"/>
      <c r="CI95" s="1974"/>
      <c r="CJ95" s="1974"/>
      <c r="CK95" s="1974"/>
      <c r="CL95" s="1974">
        <v>0</v>
      </c>
      <c r="CM95" s="2033">
        <v>0</v>
      </c>
      <c r="CN95" s="2026">
        <v>0</v>
      </c>
      <c r="CO95" s="1974">
        <v>0</v>
      </c>
      <c r="CP95" s="2040">
        <v>0</v>
      </c>
      <c r="CQ95" s="2040"/>
      <c r="CR95" s="2062">
        <v>1</v>
      </c>
      <c r="CS95" s="2062">
        <v>1</v>
      </c>
      <c r="CT95" s="2062">
        <v>1</v>
      </c>
      <c r="CU95" s="2062">
        <v>1</v>
      </c>
      <c r="CV95" s="2036"/>
      <c r="CW95" s="2036"/>
      <c r="CX95" s="2036"/>
      <c r="CY95" s="2036"/>
      <c r="CZ95" s="2036"/>
      <c r="DA95" s="2036"/>
    </row>
    <row r="96" spans="1:105" ht="23" x14ac:dyDescent="0.25">
      <c r="A96" s="2185" t="s">
        <v>238</v>
      </c>
      <c r="B96" s="2022" t="s">
        <v>2930</v>
      </c>
      <c r="C96" s="2023"/>
      <c r="D96" s="2023">
        <v>0</v>
      </c>
      <c r="E96" s="2024"/>
      <c r="F96" s="2024"/>
      <c r="G96" s="2024"/>
      <c r="H96" s="2024"/>
      <c r="I96" s="2023"/>
      <c r="J96" s="2027"/>
      <c r="K96" s="2026" t="s">
        <v>2285</v>
      </c>
      <c r="L96" s="2026" t="s">
        <v>2285</v>
      </c>
      <c r="M96" s="2026">
        <v>0.79999999999999993</v>
      </c>
      <c r="N96" s="2026">
        <v>0.79999999999999993</v>
      </c>
      <c r="O96" s="2026">
        <v>0.79999999999999993</v>
      </c>
      <c r="P96" s="2026">
        <v>0.79999999999999993</v>
      </c>
      <c r="Q96" s="2027">
        <f t="shared" si="41"/>
        <v>0</v>
      </c>
      <c r="R96" s="2027">
        <f t="shared" si="41"/>
        <v>0</v>
      </c>
      <c r="S96" s="2027">
        <f t="shared" si="41"/>
        <v>0</v>
      </c>
      <c r="T96" s="2027">
        <f t="shared" si="41"/>
        <v>0</v>
      </c>
      <c r="U96" s="2026">
        <v>0.79999999999999993</v>
      </c>
      <c r="V96" s="2026">
        <v>0.79999999999999993</v>
      </c>
      <c r="W96" s="2026">
        <v>0.79999999999999993</v>
      </c>
      <c r="X96" s="2026">
        <v>0.79999999999999993</v>
      </c>
      <c r="Y96" s="2028">
        <f t="shared" si="42"/>
        <v>0</v>
      </c>
      <c r="Z96" s="2028">
        <f t="shared" si="42"/>
        <v>0</v>
      </c>
      <c r="AA96" s="2028">
        <f t="shared" si="42"/>
        <v>0</v>
      </c>
      <c r="AB96" s="2028">
        <f t="shared" si="42"/>
        <v>0</v>
      </c>
      <c r="AC96" s="2026">
        <v>0.60399999999999998</v>
      </c>
      <c r="AD96" s="2026">
        <v>0.60399999999999998</v>
      </c>
      <c r="AE96" s="2026">
        <v>0.60399999999999998</v>
      </c>
      <c r="AF96" s="2026">
        <v>0.60399999999999998</v>
      </c>
      <c r="AG96" s="2027"/>
      <c r="AH96" s="2027"/>
      <c r="AI96" s="2027"/>
      <c r="AJ96" s="2027"/>
      <c r="AK96" s="2027">
        <v>0</v>
      </c>
      <c r="AL96" s="2027">
        <v>0</v>
      </c>
      <c r="AM96" s="2027">
        <v>0</v>
      </c>
      <c r="AN96" s="2027">
        <v>0</v>
      </c>
      <c r="AO96" s="2027"/>
      <c r="AP96" s="2027"/>
      <c r="AQ96" s="2027"/>
      <c r="AR96" s="2027"/>
      <c r="AS96" s="2027">
        <f t="shared" si="45"/>
        <v>0</v>
      </c>
      <c r="AT96" s="2027"/>
      <c r="AU96" s="2027"/>
      <c r="AV96" s="2027"/>
      <c r="AW96" s="2027">
        <f t="shared" si="47"/>
        <v>0</v>
      </c>
      <c r="AX96" s="1974"/>
      <c r="AY96" s="2029">
        <v>0</v>
      </c>
      <c r="AZ96" s="2029">
        <v>0</v>
      </c>
      <c r="BA96" s="2029">
        <v>0</v>
      </c>
      <c r="BB96" s="1974"/>
      <c r="BC96" s="2029">
        <v>0</v>
      </c>
      <c r="BD96" s="2029">
        <v>0</v>
      </c>
      <c r="BE96" s="2029">
        <v>0</v>
      </c>
      <c r="BF96" s="1974"/>
      <c r="BG96" s="2029">
        <v>0</v>
      </c>
      <c r="BH96" s="2029">
        <v>0</v>
      </c>
      <c r="BI96" s="2029">
        <v>0</v>
      </c>
      <c r="BJ96" s="2030">
        <f t="shared" si="37"/>
        <v>0</v>
      </c>
      <c r="BK96" s="2030">
        <f t="shared" si="37"/>
        <v>0</v>
      </c>
      <c r="BL96" s="2030">
        <f t="shared" si="37"/>
        <v>0</v>
      </c>
      <c r="BM96" s="2030"/>
      <c r="BN96" s="2030">
        <f t="shared" si="38"/>
        <v>0</v>
      </c>
      <c r="BO96" s="2030">
        <f t="shared" si="39"/>
        <v>0</v>
      </c>
      <c r="BP96" s="2030"/>
      <c r="BQ96" s="2030">
        <f t="shared" si="40"/>
        <v>0</v>
      </c>
      <c r="BR96" s="2030">
        <f t="shared" si="40"/>
        <v>0</v>
      </c>
      <c r="BS96" s="2030">
        <f t="shared" si="40"/>
        <v>0</v>
      </c>
      <c r="BT96" s="2031"/>
      <c r="BU96" s="2031"/>
      <c r="BV96" s="2031"/>
      <c r="BW96" s="2031"/>
      <c r="BX96" s="2031"/>
      <c r="BY96" s="2031"/>
      <c r="BZ96" s="2031"/>
      <c r="CA96" s="2031"/>
      <c r="CB96" s="2029"/>
      <c r="CC96" s="2029"/>
      <c r="CD96" s="2029"/>
      <c r="CE96" s="2029"/>
      <c r="CF96" s="2029"/>
      <c r="CG96" s="2032"/>
      <c r="CH96" s="1974"/>
      <c r="CI96" s="1974"/>
      <c r="CJ96" s="1974"/>
      <c r="CK96" s="1974"/>
      <c r="CL96" s="1974">
        <v>0</v>
      </c>
      <c r="CM96" s="2033">
        <v>0</v>
      </c>
      <c r="CN96" s="2026">
        <v>0</v>
      </c>
      <c r="CO96" s="1974">
        <v>0</v>
      </c>
      <c r="CP96" s="2040">
        <v>0</v>
      </c>
      <c r="CQ96" s="2040"/>
      <c r="CR96" s="2062">
        <v>1</v>
      </c>
      <c r="CS96" s="2062">
        <v>1</v>
      </c>
      <c r="CT96" s="2062">
        <v>1</v>
      </c>
      <c r="CU96" s="2062">
        <v>1</v>
      </c>
      <c r="CV96" s="2036"/>
      <c r="CW96" s="2036"/>
      <c r="CX96" s="2036"/>
      <c r="CY96" s="2036"/>
      <c r="CZ96" s="2036"/>
      <c r="DA96" s="2036"/>
    </row>
    <row r="97" spans="1:105" ht="23" x14ac:dyDescent="0.25">
      <c r="A97" s="2185" t="s">
        <v>239</v>
      </c>
      <c r="B97" s="2022" t="s">
        <v>2930</v>
      </c>
      <c r="C97" s="2023"/>
      <c r="D97" s="2023">
        <v>0</v>
      </c>
      <c r="E97" s="2024"/>
      <c r="F97" s="2024"/>
      <c r="G97" s="2024"/>
      <c r="H97" s="2024"/>
      <c r="I97" s="2023"/>
      <c r="J97" s="2027"/>
      <c r="K97" s="2026" t="s">
        <v>2285</v>
      </c>
      <c r="L97" s="2026" t="s">
        <v>2285</v>
      </c>
      <c r="M97" s="2026">
        <v>0.79999999999999993</v>
      </c>
      <c r="N97" s="2026">
        <v>0.79999999999999993</v>
      </c>
      <c r="O97" s="2026">
        <v>0.79999999999999993</v>
      </c>
      <c r="P97" s="2026">
        <v>0.79999999999999993</v>
      </c>
      <c r="Q97" s="2027">
        <f t="shared" si="41"/>
        <v>0</v>
      </c>
      <c r="R97" s="2027">
        <f t="shared" si="41"/>
        <v>0</v>
      </c>
      <c r="S97" s="2027">
        <f t="shared" si="41"/>
        <v>0</v>
      </c>
      <c r="T97" s="2027">
        <f t="shared" si="41"/>
        <v>0</v>
      </c>
      <c r="U97" s="2026">
        <v>0.79999999999999993</v>
      </c>
      <c r="V97" s="2026">
        <v>0.79999999999999993</v>
      </c>
      <c r="W97" s="2026">
        <v>0.79999999999999993</v>
      </c>
      <c r="X97" s="2026">
        <v>0.79999999999999993</v>
      </c>
      <c r="Y97" s="2028">
        <f t="shared" si="42"/>
        <v>0</v>
      </c>
      <c r="Z97" s="2028">
        <f t="shared" si="42"/>
        <v>0</v>
      </c>
      <c r="AA97" s="2028">
        <f t="shared" si="42"/>
        <v>0</v>
      </c>
      <c r="AB97" s="2028">
        <f t="shared" si="42"/>
        <v>0</v>
      </c>
      <c r="AC97" s="2026">
        <v>0.60399999999999998</v>
      </c>
      <c r="AD97" s="2026">
        <v>0.60399999999999998</v>
      </c>
      <c r="AE97" s="2026">
        <v>0.60399999999999998</v>
      </c>
      <c r="AF97" s="2026">
        <v>0.60399999999999998</v>
      </c>
      <c r="AG97" s="2027"/>
      <c r="AH97" s="2027"/>
      <c r="AI97" s="2027"/>
      <c r="AJ97" s="2027"/>
      <c r="AK97" s="2027">
        <v>0</v>
      </c>
      <c r="AL97" s="2027">
        <v>0</v>
      </c>
      <c r="AM97" s="2027">
        <v>0</v>
      </c>
      <c r="AN97" s="2027">
        <v>0</v>
      </c>
      <c r="AO97" s="2027"/>
      <c r="AP97" s="2027"/>
      <c r="AQ97" s="2027"/>
      <c r="AR97" s="2027"/>
      <c r="AS97" s="2027">
        <f t="shared" si="45"/>
        <v>0</v>
      </c>
      <c r="AT97" s="2027"/>
      <c r="AU97" s="2027"/>
      <c r="AV97" s="2027"/>
      <c r="AW97" s="2027">
        <f t="shared" si="47"/>
        <v>0</v>
      </c>
      <c r="AX97" s="1974"/>
      <c r="AY97" s="2029">
        <v>0</v>
      </c>
      <c r="AZ97" s="2029">
        <v>0</v>
      </c>
      <c r="BA97" s="2029">
        <v>0</v>
      </c>
      <c r="BB97" s="1974"/>
      <c r="BC97" s="2029">
        <v>0</v>
      </c>
      <c r="BD97" s="2029">
        <v>0</v>
      </c>
      <c r="BE97" s="2029">
        <v>0</v>
      </c>
      <c r="BF97" s="1974"/>
      <c r="BG97" s="2029">
        <v>0</v>
      </c>
      <c r="BH97" s="2029">
        <v>0</v>
      </c>
      <c r="BI97" s="2029">
        <v>0</v>
      </c>
      <c r="BJ97" s="2030">
        <f t="shared" si="37"/>
        <v>0</v>
      </c>
      <c r="BK97" s="2030">
        <f t="shared" si="37"/>
        <v>0</v>
      </c>
      <c r="BL97" s="2030">
        <f t="shared" si="37"/>
        <v>0</v>
      </c>
      <c r="BM97" s="2030"/>
      <c r="BN97" s="2030">
        <f t="shared" si="38"/>
        <v>0</v>
      </c>
      <c r="BO97" s="2030">
        <f t="shared" si="39"/>
        <v>0</v>
      </c>
      <c r="BP97" s="2030"/>
      <c r="BQ97" s="2030">
        <f t="shared" si="40"/>
        <v>0</v>
      </c>
      <c r="BR97" s="2030">
        <f t="shared" si="40"/>
        <v>0</v>
      </c>
      <c r="BS97" s="2030">
        <f t="shared" si="40"/>
        <v>0</v>
      </c>
      <c r="BT97" s="2031"/>
      <c r="BU97" s="2031"/>
      <c r="BV97" s="2031"/>
      <c r="BW97" s="2031"/>
      <c r="BX97" s="2031"/>
      <c r="BY97" s="2031"/>
      <c r="BZ97" s="2031"/>
      <c r="CA97" s="2031"/>
      <c r="CB97" s="2029"/>
      <c r="CC97" s="2029"/>
      <c r="CD97" s="2029"/>
      <c r="CE97" s="2029"/>
      <c r="CF97" s="2029"/>
      <c r="CG97" s="2032"/>
      <c r="CH97" s="1974"/>
      <c r="CI97" s="1974"/>
      <c r="CJ97" s="1974"/>
      <c r="CK97" s="1974"/>
      <c r="CL97" s="1974">
        <v>0</v>
      </c>
      <c r="CM97" s="2033">
        <v>0</v>
      </c>
      <c r="CN97" s="2026">
        <v>0</v>
      </c>
      <c r="CO97" s="1974">
        <v>0</v>
      </c>
      <c r="CP97" s="2040">
        <v>0</v>
      </c>
      <c r="CQ97" s="2040"/>
      <c r="CR97" s="2062">
        <v>1</v>
      </c>
      <c r="CS97" s="2062">
        <v>1</v>
      </c>
      <c r="CT97" s="2062">
        <v>1</v>
      </c>
      <c r="CU97" s="2062">
        <v>1</v>
      </c>
      <c r="CV97" s="2036"/>
      <c r="CW97" s="2036"/>
      <c r="CX97" s="2036"/>
      <c r="CY97" s="2036"/>
      <c r="CZ97" s="2036"/>
      <c r="DA97" s="2036"/>
    </row>
    <row r="98" spans="1:105" ht="23" x14ac:dyDescent="0.25">
      <c r="A98" s="2185" t="s">
        <v>240</v>
      </c>
      <c r="B98" s="2022" t="s">
        <v>2930</v>
      </c>
      <c r="C98" s="2023"/>
      <c r="D98" s="2023">
        <v>0</v>
      </c>
      <c r="E98" s="2024"/>
      <c r="F98" s="2024"/>
      <c r="G98" s="2024"/>
      <c r="H98" s="2024"/>
      <c r="I98" s="2023"/>
      <c r="J98" s="2027"/>
      <c r="K98" s="2026" t="s">
        <v>2285</v>
      </c>
      <c r="L98" s="2026" t="s">
        <v>2285</v>
      </c>
      <c r="M98" s="2026">
        <v>0.79999999999999993</v>
      </c>
      <c r="N98" s="2026">
        <v>0.79999999999999993</v>
      </c>
      <c r="O98" s="2026">
        <v>0.79999999999999993</v>
      </c>
      <c r="P98" s="2026">
        <v>0.79999999999999993</v>
      </c>
      <c r="Q98" s="2027">
        <f t="shared" si="41"/>
        <v>0</v>
      </c>
      <c r="R98" s="2027">
        <f t="shared" si="41"/>
        <v>0</v>
      </c>
      <c r="S98" s="2027">
        <f t="shared" si="41"/>
        <v>0</v>
      </c>
      <c r="T98" s="2027">
        <f t="shared" si="41"/>
        <v>0</v>
      </c>
      <c r="U98" s="2026">
        <v>0.79999999999999993</v>
      </c>
      <c r="V98" s="2026">
        <v>0.79999999999999993</v>
      </c>
      <c r="W98" s="2026">
        <v>0.79999999999999993</v>
      </c>
      <c r="X98" s="2026">
        <v>0.79999999999999993</v>
      </c>
      <c r="Y98" s="2028">
        <f t="shared" si="42"/>
        <v>0</v>
      </c>
      <c r="Z98" s="2028">
        <f t="shared" si="42"/>
        <v>0</v>
      </c>
      <c r="AA98" s="2028">
        <f t="shared" si="42"/>
        <v>0</v>
      </c>
      <c r="AB98" s="2028">
        <f t="shared" si="42"/>
        <v>0</v>
      </c>
      <c r="AC98" s="2026">
        <v>0.60399999999999998</v>
      </c>
      <c r="AD98" s="2026">
        <v>0.60399999999999998</v>
      </c>
      <c r="AE98" s="2026">
        <v>0.60399999999999998</v>
      </c>
      <c r="AF98" s="2026">
        <v>0.60399999999999998</v>
      </c>
      <c r="AG98" s="2027"/>
      <c r="AH98" s="2027"/>
      <c r="AI98" s="2027"/>
      <c r="AJ98" s="2027"/>
      <c r="AK98" s="2027">
        <v>0</v>
      </c>
      <c r="AL98" s="2027">
        <v>0</v>
      </c>
      <c r="AM98" s="2027">
        <v>0</v>
      </c>
      <c r="AN98" s="2027">
        <v>0</v>
      </c>
      <c r="AO98" s="2027"/>
      <c r="AP98" s="2027"/>
      <c r="AQ98" s="2027"/>
      <c r="AR98" s="2027"/>
      <c r="AS98" s="2027">
        <f t="shared" si="45"/>
        <v>0</v>
      </c>
      <c r="AT98" s="2027"/>
      <c r="AU98" s="2027"/>
      <c r="AV98" s="2027"/>
      <c r="AW98" s="2027">
        <f t="shared" ref="AW98:AW161" si="49">AN98*AJ98*CU98</f>
        <v>0</v>
      </c>
      <c r="AX98" s="1974"/>
      <c r="AY98" s="2029">
        <v>0</v>
      </c>
      <c r="AZ98" s="2029">
        <v>0</v>
      </c>
      <c r="BA98" s="2029">
        <v>0</v>
      </c>
      <c r="BB98" s="1974"/>
      <c r="BC98" s="2029">
        <v>0</v>
      </c>
      <c r="BD98" s="2029">
        <v>0</v>
      </c>
      <c r="BE98" s="2029">
        <v>0</v>
      </c>
      <c r="BF98" s="1974"/>
      <c r="BG98" s="2029">
        <v>0</v>
      </c>
      <c r="BH98" s="2029">
        <v>0</v>
      </c>
      <c r="BI98" s="2029">
        <v>0</v>
      </c>
      <c r="BJ98" s="2030">
        <f t="shared" si="37"/>
        <v>0</v>
      </c>
      <c r="BK98" s="2030">
        <f t="shared" si="37"/>
        <v>0</v>
      </c>
      <c r="BL98" s="2030">
        <f t="shared" si="37"/>
        <v>0</v>
      </c>
      <c r="BM98" s="2030"/>
      <c r="BN98" s="2030">
        <f t="shared" si="38"/>
        <v>0</v>
      </c>
      <c r="BO98" s="2030">
        <f t="shared" si="39"/>
        <v>0</v>
      </c>
      <c r="BP98" s="2030"/>
      <c r="BQ98" s="2030">
        <f t="shared" si="40"/>
        <v>0</v>
      </c>
      <c r="BR98" s="2030">
        <f t="shared" si="40"/>
        <v>0</v>
      </c>
      <c r="BS98" s="2030">
        <f t="shared" si="40"/>
        <v>0</v>
      </c>
      <c r="BT98" s="2031"/>
      <c r="BU98" s="2031"/>
      <c r="BV98" s="2031"/>
      <c r="BW98" s="2031"/>
      <c r="BX98" s="2031"/>
      <c r="BY98" s="2031"/>
      <c r="BZ98" s="2031"/>
      <c r="CA98" s="2031"/>
      <c r="CB98" s="2029"/>
      <c r="CC98" s="2029"/>
      <c r="CD98" s="2029"/>
      <c r="CE98" s="2029"/>
      <c r="CF98" s="2029"/>
      <c r="CG98" s="2032"/>
      <c r="CH98" s="1974"/>
      <c r="CI98" s="1974"/>
      <c r="CJ98" s="1974"/>
      <c r="CK98" s="1974"/>
      <c r="CL98" s="1974">
        <v>0</v>
      </c>
      <c r="CM98" s="2033">
        <v>0</v>
      </c>
      <c r="CN98" s="2026">
        <v>0</v>
      </c>
      <c r="CO98" s="1974">
        <v>0</v>
      </c>
      <c r="CP98" s="2040">
        <v>0</v>
      </c>
      <c r="CQ98" s="2040"/>
      <c r="CR98" s="2062">
        <v>1</v>
      </c>
      <c r="CS98" s="2062">
        <v>1</v>
      </c>
      <c r="CT98" s="2062">
        <v>1</v>
      </c>
      <c r="CU98" s="2062">
        <v>1</v>
      </c>
      <c r="CV98" s="2036"/>
      <c r="CW98" s="2036"/>
      <c r="CX98" s="2036"/>
      <c r="CY98" s="2036"/>
      <c r="CZ98" s="2036"/>
      <c r="DA98" s="2036"/>
    </row>
    <row r="99" spans="1:105" x14ac:dyDescent="0.25">
      <c r="A99" s="2185" t="s">
        <v>138</v>
      </c>
      <c r="B99" s="2022"/>
      <c r="C99" s="2023">
        <v>5</v>
      </c>
      <c r="D99" s="2023">
        <v>0</v>
      </c>
      <c r="E99" s="2024">
        <v>4154.43</v>
      </c>
      <c r="F99" s="2024"/>
      <c r="G99" s="2024">
        <v>0</v>
      </c>
      <c r="H99" s="2024"/>
      <c r="I99" s="2023">
        <v>0</v>
      </c>
      <c r="J99" s="2027"/>
      <c r="K99" s="2026" t="s">
        <v>2943</v>
      </c>
      <c r="L99" s="2026" t="s">
        <v>2943</v>
      </c>
      <c r="M99" s="2026">
        <v>0.91999999999999993</v>
      </c>
      <c r="N99" s="2026">
        <v>0.91999999999999993</v>
      </c>
      <c r="O99" s="2026">
        <v>0.91999999999999993</v>
      </c>
      <c r="P99" s="2026">
        <v>0.91999999999999993</v>
      </c>
      <c r="Q99" s="2027">
        <f t="shared" si="41"/>
        <v>3822.0756000000001</v>
      </c>
      <c r="R99" s="2027">
        <f t="shared" si="41"/>
        <v>3822.0756000000001</v>
      </c>
      <c r="S99" s="2027">
        <f t="shared" si="41"/>
        <v>3822.0756000000001</v>
      </c>
      <c r="T99" s="2027">
        <f t="shared" si="41"/>
        <v>3822.0756000000001</v>
      </c>
      <c r="U99" s="2026">
        <v>0.91999999999999993</v>
      </c>
      <c r="V99" s="2026">
        <v>0.91999999999999993</v>
      </c>
      <c r="W99" s="2026">
        <v>0.91999999999999993</v>
      </c>
      <c r="X99" s="2026">
        <v>0.91999999999999993</v>
      </c>
      <c r="Y99" s="2028">
        <f t="shared" si="42"/>
        <v>0</v>
      </c>
      <c r="Z99" s="2028">
        <f t="shared" si="42"/>
        <v>0</v>
      </c>
      <c r="AA99" s="2028">
        <f t="shared" si="42"/>
        <v>0</v>
      </c>
      <c r="AB99" s="2028">
        <f t="shared" si="42"/>
        <v>0</v>
      </c>
      <c r="AC99" s="2026">
        <v>0.89</v>
      </c>
      <c r="AD99" s="2026">
        <v>0.89</v>
      </c>
      <c r="AE99" s="2026">
        <v>0.89</v>
      </c>
      <c r="AF99" s="2026">
        <v>0.89</v>
      </c>
      <c r="AG99" s="2027">
        <f>$I99*AC99</f>
        <v>0</v>
      </c>
      <c r="AH99" s="2027">
        <f>$I99*AD99</f>
        <v>0</v>
      </c>
      <c r="AI99" s="2027">
        <f>$I99*AE99</f>
        <v>0</v>
      </c>
      <c r="AJ99" s="2027">
        <f>$I99*AF99</f>
        <v>0</v>
      </c>
      <c r="AK99" s="2027">
        <v>12</v>
      </c>
      <c r="AL99" s="2027">
        <v>15</v>
      </c>
      <c r="AM99" s="2027">
        <v>16</v>
      </c>
      <c r="AN99" s="2027">
        <v>16</v>
      </c>
      <c r="AO99" s="2027">
        <f t="shared" ref="AO99:AO134" si="50">AK99*Q99</f>
        <v>45864.907200000001</v>
      </c>
      <c r="AP99" s="2027">
        <f t="shared" ref="AP99:AQ134" si="51">AL99*R99*CS99</f>
        <v>57331.134000000005</v>
      </c>
      <c r="AQ99" s="2027">
        <f t="shared" si="51"/>
        <v>61153.209600000002</v>
      </c>
      <c r="AR99" s="2027"/>
      <c r="AS99" s="2027">
        <f t="shared" si="45"/>
        <v>61153.209600000002</v>
      </c>
      <c r="AT99" s="2027">
        <f t="shared" ref="AT99:AT134" si="52">AK99*AG99</f>
        <v>0</v>
      </c>
      <c r="AU99" s="2027">
        <f t="shared" ref="AU99:AV134" si="53">AL99*AH99*CS99</f>
        <v>0</v>
      </c>
      <c r="AV99" s="2027">
        <f t="shared" si="53"/>
        <v>0</v>
      </c>
      <c r="AW99" s="2027">
        <f t="shared" si="49"/>
        <v>0</v>
      </c>
      <c r="AX99" s="2029">
        <v>100</v>
      </c>
      <c r="AY99" s="2029">
        <v>100</v>
      </c>
      <c r="AZ99" s="2029">
        <v>100</v>
      </c>
      <c r="BA99" s="2029">
        <v>100</v>
      </c>
      <c r="BB99" s="1974"/>
      <c r="BC99" s="2029">
        <v>0</v>
      </c>
      <c r="BD99" s="2029">
        <v>0</v>
      </c>
      <c r="BE99" s="2029">
        <v>0</v>
      </c>
      <c r="BF99" s="2029">
        <v>100</v>
      </c>
      <c r="BG99" s="2029">
        <v>100</v>
      </c>
      <c r="BH99" s="2029">
        <v>100</v>
      </c>
      <c r="BI99" s="2029">
        <v>100</v>
      </c>
      <c r="BJ99" s="2030">
        <f t="shared" si="37"/>
        <v>1200</v>
      </c>
      <c r="BK99" s="2030">
        <f t="shared" si="37"/>
        <v>1500</v>
      </c>
      <c r="BL99" s="2030">
        <f t="shared" si="37"/>
        <v>1600</v>
      </c>
      <c r="BM99" s="2030"/>
      <c r="BN99" s="2030">
        <f t="shared" si="38"/>
        <v>1600</v>
      </c>
      <c r="BO99" s="2030">
        <f t="shared" si="39"/>
        <v>0</v>
      </c>
      <c r="BP99" s="2030"/>
      <c r="BQ99" s="2030">
        <f t="shared" si="40"/>
        <v>0</v>
      </c>
      <c r="BR99" s="2030">
        <f t="shared" si="40"/>
        <v>0</v>
      </c>
      <c r="BS99" s="2030">
        <f t="shared" si="40"/>
        <v>0</v>
      </c>
      <c r="BT99" s="2031"/>
      <c r="BU99" s="2031"/>
      <c r="BV99" s="2031"/>
      <c r="BW99" s="2031"/>
      <c r="BX99" s="2031"/>
      <c r="BY99" s="2031"/>
      <c r="BZ99" s="2031"/>
      <c r="CA99" s="2031"/>
      <c r="CB99" s="2029"/>
      <c r="CC99" s="2029"/>
      <c r="CD99" s="2029"/>
      <c r="CE99" s="2029"/>
      <c r="CF99" s="2029"/>
      <c r="CG99" s="2032"/>
      <c r="CH99" s="2027">
        <v>23587</v>
      </c>
      <c r="CI99" s="1974"/>
      <c r="CJ99" s="1974"/>
      <c r="CK99" s="1974"/>
      <c r="CL99" s="1974">
        <v>0</v>
      </c>
      <c r="CM99" s="2033">
        <v>1.9203164756634186E-4</v>
      </c>
      <c r="CN99" s="2026">
        <v>0</v>
      </c>
      <c r="CO99" s="1974">
        <v>0</v>
      </c>
      <c r="CP99" s="2040">
        <v>0</v>
      </c>
      <c r="CQ99" s="2040"/>
      <c r="CR99" s="2062">
        <v>1</v>
      </c>
      <c r="CS99" s="2062">
        <v>1</v>
      </c>
      <c r="CT99" s="2062">
        <v>1</v>
      </c>
      <c r="CU99" s="2062">
        <v>1</v>
      </c>
      <c r="CV99" s="2036"/>
      <c r="CW99" s="2036"/>
      <c r="CX99" s="2036"/>
      <c r="CY99" s="2036"/>
      <c r="CZ99" s="2036"/>
      <c r="DA99" s="2036"/>
    </row>
    <row r="100" spans="1:105" x14ac:dyDescent="0.25">
      <c r="A100" s="2185" t="s">
        <v>139</v>
      </c>
      <c r="B100" s="2022"/>
      <c r="C100" s="2023">
        <v>5</v>
      </c>
      <c r="D100" s="2023">
        <v>0</v>
      </c>
      <c r="E100" s="2024">
        <v>0</v>
      </c>
      <c r="F100" s="2024"/>
      <c r="G100" s="2024">
        <v>0</v>
      </c>
      <c r="H100" s="2024"/>
      <c r="I100" s="2023">
        <v>172</v>
      </c>
      <c r="J100" s="2027"/>
      <c r="K100" s="2026" t="s">
        <v>2943</v>
      </c>
      <c r="L100" s="2026" t="s">
        <v>2943</v>
      </c>
      <c r="M100" s="2026">
        <v>0.91999999999999993</v>
      </c>
      <c r="N100" s="2026">
        <v>0.91999999999999993</v>
      </c>
      <c r="O100" s="2026">
        <v>0.91999999999999993</v>
      </c>
      <c r="P100" s="2026">
        <v>0.91999999999999993</v>
      </c>
      <c r="Q100" s="2027">
        <f t="shared" si="41"/>
        <v>0</v>
      </c>
      <c r="R100" s="2027">
        <f t="shared" si="41"/>
        <v>0</v>
      </c>
      <c r="S100" s="2027">
        <f t="shared" si="41"/>
        <v>0</v>
      </c>
      <c r="T100" s="2027">
        <f t="shared" si="41"/>
        <v>0</v>
      </c>
      <c r="U100" s="2026">
        <v>0.91999999999999993</v>
      </c>
      <c r="V100" s="2026">
        <v>0.91999999999999993</v>
      </c>
      <c r="W100" s="2026">
        <v>0.91999999999999993</v>
      </c>
      <c r="X100" s="2026">
        <v>0.91999999999999993</v>
      </c>
      <c r="Y100" s="2028">
        <f t="shared" si="42"/>
        <v>0</v>
      </c>
      <c r="Z100" s="2028">
        <f t="shared" si="42"/>
        <v>0</v>
      </c>
      <c r="AA100" s="2028">
        <f t="shared" si="42"/>
        <v>0</v>
      </c>
      <c r="AB100" s="2028">
        <f t="shared" si="42"/>
        <v>0</v>
      </c>
      <c r="AC100" s="2026">
        <v>0.89</v>
      </c>
      <c r="AD100" s="2026">
        <v>0.89</v>
      </c>
      <c r="AE100" s="2026">
        <v>0.89</v>
      </c>
      <c r="AF100" s="2026">
        <v>0.89</v>
      </c>
      <c r="AG100" s="2027">
        <f t="shared" ref="AG100:AJ117" si="54">$I100*AC100</f>
        <v>153.08000000000001</v>
      </c>
      <c r="AH100" s="2027">
        <f t="shared" si="54"/>
        <v>153.08000000000001</v>
      </c>
      <c r="AI100" s="2027">
        <f t="shared" si="54"/>
        <v>153.08000000000001</v>
      </c>
      <c r="AJ100" s="2027">
        <f t="shared" si="54"/>
        <v>153.08000000000001</v>
      </c>
      <c r="AK100" s="2027">
        <v>27</v>
      </c>
      <c r="AL100" s="2027">
        <v>27</v>
      </c>
      <c r="AM100" s="2027">
        <v>35</v>
      </c>
      <c r="AN100" s="2027">
        <v>35</v>
      </c>
      <c r="AO100" s="2027">
        <f t="shared" si="50"/>
        <v>0</v>
      </c>
      <c r="AP100" s="2027">
        <f t="shared" si="51"/>
        <v>0</v>
      </c>
      <c r="AQ100" s="2027">
        <f t="shared" si="51"/>
        <v>0</v>
      </c>
      <c r="AR100" s="2027"/>
      <c r="AS100" s="2027">
        <f t="shared" si="45"/>
        <v>0</v>
      </c>
      <c r="AT100" s="2027">
        <f t="shared" si="52"/>
        <v>4133.1600000000008</v>
      </c>
      <c r="AU100" s="2027">
        <f t="shared" si="53"/>
        <v>4133.1600000000008</v>
      </c>
      <c r="AV100" s="2027">
        <f t="shared" si="53"/>
        <v>5357.8</v>
      </c>
      <c r="AW100" s="2027">
        <f t="shared" si="49"/>
        <v>5357.8</v>
      </c>
      <c r="AX100" s="2029"/>
      <c r="AY100" s="2029">
        <v>0</v>
      </c>
      <c r="AZ100" s="2029">
        <v>0</v>
      </c>
      <c r="BA100" s="2029">
        <v>0</v>
      </c>
      <c r="BB100" s="2029">
        <v>100</v>
      </c>
      <c r="BC100" s="2029">
        <v>100</v>
      </c>
      <c r="BD100" s="2029">
        <v>100</v>
      </c>
      <c r="BE100" s="2029">
        <v>100</v>
      </c>
      <c r="BF100" s="2029">
        <v>100</v>
      </c>
      <c r="BG100" s="2029">
        <v>100</v>
      </c>
      <c r="BH100" s="2029">
        <v>100</v>
      </c>
      <c r="BI100" s="2029">
        <v>100</v>
      </c>
      <c r="BJ100" s="2030">
        <f t="shared" si="37"/>
        <v>0</v>
      </c>
      <c r="BK100" s="2030">
        <f t="shared" si="37"/>
        <v>0</v>
      </c>
      <c r="BL100" s="2030">
        <f t="shared" si="37"/>
        <v>0</v>
      </c>
      <c r="BM100" s="2030"/>
      <c r="BN100" s="2030">
        <f t="shared" si="38"/>
        <v>0</v>
      </c>
      <c r="BO100" s="2030">
        <f t="shared" si="39"/>
        <v>2700</v>
      </c>
      <c r="BP100" s="2030"/>
      <c r="BQ100" s="2030">
        <f t="shared" si="40"/>
        <v>2700</v>
      </c>
      <c r="BR100" s="2030">
        <f t="shared" si="40"/>
        <v>3500</v>
      </c>
      <c r="BS100" s="2030">
        <f t="shared" si="40"/>
        <v>3500</v>
      </c>
      <c r="BT100" s="2031"/>
      <c r="BU100" s="2031"/>
      <c r="BV100" s="2031"/>
      <c r="BW100" s="2031"/>
      <c r="BX100" s="2031"/>
      <c r="BY100" s="2031"/>
      <c r="BZ100" s="2031"/>
      <c r="CA100" s="2031"/>
      <c r="CB100" s="2029"/>
      <c r="CC100" s="2029"/>
      <c r="CD100" s="2029"/>
      <c r="CE100" s="2029"/>
      <c r="CF100" s="2029"/>
      <c r="CG100" s="2032"/>
      <c r="CH100" s="2027">
        <v>23587</v>
      </c>
      <c r="CI100" s="1974"/>
      <c r="CJ100" s="1974"/>
      <c r="CK100" s="1974"/>
      <c r="CL100" s="1974">
        <v>0</v>
      </c>
      <c r="CM100" s="2033">
        <v>0</v>
      </c>
      <c r="CN100" s="2026">
        <v>1.9723967758845055E-3</v>
      </c>
      <c r="CO100" s="1974">
        <v>0</v>
      </c>
      <c r="CP100" s="2040">
        <v>0</v>
      </c>
      <c r="CQ100" s="2040"/>
      <c r="CR100" s="2062">
        <v>1</v>
      </c>
      <c r="CS100" s="2062">
        <v>1</v>
      </c>
      <c r="CT100" s="2062">
        <v>1</v>
      </c>
      <c r="CU100" s="2062">
        <v>1</v>
      </c>
      <c r="CV100" s="2036"/>
      <c r="CW100" s="2036"/>
      <c r="CX100" s="2036"/>
      <c r="CY100" s="2036"/>
      <c r="CZ100" s="2036"/>
      <c r="DA100" s="2036"/>
    </row>
    <row r="101" spans="1:105" s="2161" customFormat="1" x14ac:dyDescent="0.25">
      <c r="A101" s="2186" t="s">
        <v>140</v>
      </c>
      <c r="B101" s="2187" t="s">
        <v>2944</v>
      </c>
      <c r="C101" s="2043">
        <v>16.5</v>
      </c>
      <c r="D101" s="2043">
        <v>0</v>
      </c>
      <c r="E101" s="2044">
        <v>710</v>
      </c>
      <c r="F101" s="2044"/>
      <c r="G101" s="2044">
        <v>3.8899999999999997E-2</v>
      </c>
      <c r="H101" s="2044"/>
      <c r="I101" s="2043">
        <v>503.6</v>
      </c>
      <c r="J101" s="2146"/>
      <c r="K101" s="2153" t="s">
        <v>20</v>
      </c>
      <c r="L101" s="2153" t="s">
        <v>20</v>
      </c>
      <c r="M101" s="2153">
        <v>0.55700000000000005</v>
      </c>
      <c r="N101" s="2153">
        <v>0.55700000000000005</v>
      </c>
      <c r="O101" s="2153">
        <v>0.55700000000000005</v>
      </c>
      <c r="P101" s="2153">
        <v>0.55700000000000005</v>
      </c>
      <c r="Q101" s="2146">
        <f t="shared" si="41"/>
        <v>395.47</v>
      </c>
      <c r="R101" s="2146">
        <f t="shared" si="41"/>
        <v>395.47</v>
      </c>
      <c r="S101" s="2146">
        <f t="shared" si="41"/>
        <v>395.47</v>
      </c>
      <c r="T101" s="2146">
        <f t="shared" si="41"/>
        <v>395.47</v>
      </c>
      <c r="U101" s="2153">
        <v>0.55700000000000005</v>
      </c>
      <c r="V101" s="2153">
        <v>0.55700000000000005</v>
      </c>
      <c r="W101" s="2153">
        <v>0.55700000000000005</v>
      </c>
      <c r="X101" s="2153">
        <v>0.55700000000000005</v>
      </c>
      <c r="Y101" s="2129">
        <f t="shared" si="42"/>
        <v>2.16673E-2</v>
      </c>
      <c r="Z101" s="2129">
        <f t="shared" si="42"/>
        <v>2.16673E-2</v>
      </c>
      <c r="AA101" s="2129">
        <f t="shared" si="42"/>
        <v>2.16673E-2</v>
      </c>
      <c r="AB101" s="2129">
        <f t="shared" si="42"/>
        <v>2.16673E-2</v>
      </c>
      <c r="AC101" s="2153">
        <v>0.49399999999999999</v>
      </c>
      <c r="AD101" s="2153">
        <v>0.49399999999999999</v>
      </c>
      <c r="AE101" s="2153">
        <v>0.49399999999999999</v>
      </c>
      <c r="AF101" s="2153">
        <v>0.49399999999999999</v>
      </c>
      <c r="AG101" s="2146">
        <f t="shared" si="54"/>
        <v>248.7784</v>
      </c>
      <c r="AH101" s="2146">
        <f t="shared" si="54"/>
        <v>248.7784</v>
      </c>
      <c r="AI101" s="2146">
        <f t="shared" si="54"/>
        <v>248.7784</v>
      </c>
      <c r="AJ101" s="2146">
        <f t="shared" si="54"/>
        <v>248.7784</v>
      </c>
      <c r="AK101" s="2146">
        <v>70</v>
      </c>
      <c r="AL101" s="2146">
        <v>60</v>
      </c>
      <c r="AM101" s="2146">
        <v>60</v>
      </c>
      <c r="AN101" s="2146">
        <v>60</v>
      </c>
      <c r="AO101" s="2146">
        <f t="shared" si="50"/>
        <v>27682.9</v>
      </c>
      <c r="AP101" s="2146">
        <f t="shared" si="51"/>
        <v>23728.2</v>
      </c>
      <c r="AQ101" s="2146">
        <f t="shared" si="51"/>
        <v>23728.2</v>
      </c>
      <c r="AR101" s="2146"/>
      <c r="AS101" s="2146">
        <f t="shared" si="45"/>
        <v>23728.2</v>
      </c>
      <c r="AT101" s="2146">
        <f t="shared" si="52"/>
        <v>17414.488000000001</v>
      </c>
      <c r="AU101" s="2146">
        <f t="shared" si="53"/>
        <v>14926.704</v>
      </c>
      <c r="AV101" s="2146">
        <f t="shared" si="53"/>
        <v>14926.704</v>
      </c>
      <c r="AW101" s="2146">
        <f t="shared" si="49"/>
        <v>14926.704</v>
      </c>
      <c r="AX101" s="2046">
        <v>176</v>
      </c>
      <c r="AY101" s="2046">
        <v>176</v>
      </c>
      <c r="AZ101" s="2046">
        <v>176</v>
      </c>
      <c r="BA101" s="2046">
        <v>176</v>
      </c>
      <c r="BB101" s="2046">
        <v>1424</v>
      </c>
      <c r="BC101" s="2046">
        <v>1424</v>
      </c>
      <c r="BD101" s="2046">
        <v>1424</v>
      </c>
      <c r="BE101" s="2046">
        <v>1424</v>
      </c>
      <c r="BF101" s="2046">
        <v>1406.36</v>
      </c>
      <c r="BG101" s="2046">
        <v>1406.36</v>
      </c>
      <c r="BH101" s="2046">
        <v>1406.36</v>
      </c>
      <c r="BI101" s="2046">
        <v>1406.36</v>
      </c>
      <c r="BJ101" s="2154">
        <f t="shared" si="37"/>
        <v>12320</v>
      </c>
      <c r="BK101" s="2154">
        <f t="shared" si="37"/>
        <v>10560</v>
      </c>
      <c r="BL101" s="2154">
        <f t="shared" si="37"/>
        <v>10560</v>
      </c>
      <c r="BM101" s="2154"/>
      <c r="BN101" s="2154">
        <f t="shared" si="38"/>
        <v>10560</v>
      </c>
      <c r="BO101" s="2154">
        <f t="shared" si="39"/>
        <v>99680</v>
      </c>
      <c r="BP101" s="2154"/>
      <c r="BQ101" s="2154">
        <f t="shared" si="40"/>
        <v>85440</v>
      </c>
      <c r="BR101" s="2154">
        <f t="shared" si="40"/>
        <v>85440</v>
      </c>
      <c r="BS101" s="2154">
        <f t="shared" si="40"/>
        <v>85440</v>
      </c>
      <c r="BT101" s="2063"/>
      <c r="BU101" s="2063"/>
      <c r="BV101" s="2063"/>
      <c r="BW101" s="2063"/>
      <c r="BX101" s="2063"/>
      <c r="BY101" s="2063"/>
      <c r="BZ101" s="2063"/>
      <c r="CA101" s="2063"/>
      <c r="CB101" s="2046"/>
      <c r="CC101" s="2046"/>
      <c r="CD101" s="2046"/>
      <c r="CE101" s="2046"/>
      <c r="CF101" s="2046"/>
      <c r="CG101" s="2156"/>
      <c r="CH101" s="2047"/>
      <c r="CI101" s="2047" t="s">
        <v>2945</v>
      </c>
      <c r="CJ101" s="2047" t="s">
        <v>2946</v>
      </c>
      <c r="CK101" s="2047">
        <v>58.92</v>
      </c>
      <c r="CL101" s="2047">
        <v>1</v>
      </c>
      <c r="CM101" s="2157">
        <v>1.9869506417680805E-4</v>
      </c>
      <c r="CN101" s="2153">
        <v>1.2020423489426422E-2</v>
      </c>
      <c r="CO101" s="2047">
        <v>0</v>
      </c>
      <c r="CP101" s="2188">
        <v>0</v>
      </c>
      <c r="CQ101" s="2188"/>
      <c r="CR101" s="2189">
        <v>1</v>
      </c>
      <c r="CS101" s="2189">
        <v>1</v>
      </c>
      <c r="CT101" s="2189">
        <v>1</v>
      </c>
      <c r="CU101" s="2189">
        <v>1</v>
      </c>
      <c r="CV101" s="2160"/>
      <c r="CW101" s="2160"/>
      <c r="CX101" s="2160"/>
      <c r="CY101" s="2160"/>
      <c r="CZ101" s="2160"/>
      <c r="DA101" s="2160"/>
    </row>
    <row r="102" spans="1:105" x14ac:dyDescent="0.25">
      <c r="A102" s="2185" t="s">
        <v>141</v>
      </c>
      <c r="B102" s="2022"/>
      <c r="C102" s="2023">
        <v>20</v>
      </c>
      <c r="D102" s="2023">
        <v>0</v>
      </c>
      <c r="E102" s="2024">
        <v>0</v>
      </c>
      <c r="F102" s="2024"/>
      <c r="G102" s="2024">
        <v>0</v>
      </c>
      <c r="H102" s="2024"/>
      <c r="I102" s="2023">
        <v>1356</v>
      </c>
      <c r="J102" s="2027"/>
      <c r="K102" s="2026" t="s">
        <v>20</v>
      </c>
      <c r="L102" s="2026" t="s">
        <v>20</v>
      </c>
      <c r="M102" s="2026">
        <v>0.55700000000000005</v>
      </c>
      <c r="N102" s="2026">
        <v>0.55700000000000005</v>
      </c>
      <c r="O102" s="2026">
        <v>0.55700000000000005</v>
      </c>
      <c r="P102" s="2026">
        <v>0.55700000000000005</v>
      </c>
      <c r="Q102" s="2027">
        <f t="shared" si="41"/>
        <v>0</v>
      </c>
      <c r="R102" s="2027">
        <f t="shared" si="41"/>
        <v>0</v>
      </c>
      <c r="S102" s="2027">
        <f t="shared" si="41"/>
        <v>0</v>
      </c>
      <c r="T102" s="2027">
        <f t="shared" si="41"/>
        <v>0</v>
      </c>
      <c r="U102" s="2026">
        <v>0.55700000000000005</v>
      </c>
      <c r="V102" s="2026">
        <v>0.55700000000000005</v>
      </c>
      <c r="W102" s="2026">
        <v>0.55700000000000005</v>
      </c>
      <c r="X102" s="2026">
        <v>0.55700000000000005</v>
      </c>
      <c r="Y102" s="2028">
        <f t="shared" si="42"/>
        <v>0</v>
      </c>
      <c r="Z102" s="2028">
        <f t="shared" si="42"/>
        <v>0</v>
      </c>
      <c r="AA102" s="2028">
        <f t="shared" si="42"/>
        <v>0</v>
      </c>
      <c r="AB102" s="2028">
        <f t="shared" si="42"/>
        <v>0</v>
      </c>
      <c r="AC102" s="2026">
        <v>0.49399999999999999</v>
      </c>
      <c r="AD102" s="2026">
        <v>0.49399999999999999</v>
      </c>
      <c r="AE102" s="2026">
        <v>0.49399999999999999</v>
      </c>
      <c r="AF102" s="2026">
        <v>0.49399999999999999</v>
      </c>
      <c r="AG102" s="2027">
        <f t="shared" si="54"/>
        <v>669.86400000000003</v>
      </c>
      <c r="AH102" s="2027">
        <f t="shared" si="54"/>
        <v>669.86400000000003</v>
      </c>
      <c r="AI102" s="2027">
        <f t="shared" si="54"/>
        <v>669.86400000000003</v>
      </c>
      <c r="AJ102" s="2027">
        <f t="shared" si="54"/>
        <v>669.86400000000003</v>
      </c>
      <c r="AK102" s="2027">
        <v>18</v>
      </c>
      <c r="AL102" s="2027">
        <v>22</v>
      </c>
      <c r="AM102" s="2027">
        <v>22</v>
      </c>
      <c r="AN102" s="2027">
        <v>22</v>
      </c>
      <c r="AO102" s="2027">
        <f t="shared" si="50"/>
        <v>0</v>
      </c>
      <c r="AP102" s="2027">
        <f t="shared" si="51"/>
        <v>0</v>
      </c>
      <c r="AQ102" s="2027">
        <f t="shared" si="51"/>
        <v>0</v>
      </c>
      <c r="AR102" s="2027"/>
      <c r="AS102" s="2027">
        <f t="shared" si="45"/>
        <v>0</v>
      </c>
      <c r="AT102" s="2027">
        <f t="shared" si="52"/>
        <v>12057.552</v>
      </c>
      <c r="AU102" s="2027">
        <f t="shared" si="53"/>
        <v>14737.008000000002</v>
      </c>
      <c r="AV102" s="2027">
        <f t="shared" si="53"/>
        <v>14737.008000000002</v>
      </c>
      <c r="AW102" s="2027">
        <f t="shared" si="49"/>
        <v>14737.008000000002</v>
      </c>
      <c r="AX102" s="2029"/>
      <c r="AY102" s="2029">
        <v>0</v>
      </c>
      <c r="AZ102" s="2029">
        <v>0</v>
      </c>
      <c r="BA102" s="2029">
        <v>0</v>
      </c>
      <c r="BB102" s="2029">
        <v>800</v>
      </c>
      <c r="BC102" s="2029">
        <v>800</v>
      </c>
      <c r="BD102" s="2029">
        <v>800</v>
      </c>
      <c r="BE102" s="2029">
        <v>800</v>
      </c>
      <c r="BF102" s="2029">
        <v>612</v>
      </c>
      <c r="BG102" s="2029">
        <v>612</v>
      </c>
      <c r="BH102" s="2029">
        <v>612</v>
      </c>
      <c r="BI102" s="2029">
        <v>612</v>
      </c>
      <c r="BJ102" s="2030">
        <f t="shared" ref="BJ102:BL133" si="55">AX102*AK102</f>
        <v>0</v>
      </c>
      <c r="BK102" s="2030">
        <f t="shared" si="55"/>
        <v>0</v>
      </c>
      <c r="BL102" s="2030">
        <f t="shared" si="55"/>
        <v>0</v>
      </c>
      <c r="BM102" s="2030"/>
      <c r="BN102" s="2030">
        <f t="shared" si="38"/>
        <v>0</v>
      </c>
      <c r="BO102" s="2030">
        <f t="shared" si="39"/>
        <v>14400</v>
      </c>
      <c r="BP102" s="2030"/>
      <c r="BQ102" s="2030">
        <f t="shared" ref="BQ102:BS133" si="56">BC102*AL102</f>
        <v>17600</v>
      </c>
      <c r="BR102" s="2030">
        <f t="shared" si="56"/>
        <v>17600</v>
      </c>
      <c r="BS102" s="2030">
        <f t="shared" si="56"/>
        <v>17600</v>
      </c>
      <c r="BT102" s="2031"/>
      <c r="BU102" s="2031"/>
      <c r="BV102" s="2031"/>
      <c r="BW102" s="2031"/>
      <c r="BX102" s="2031"/>
      <c r="BY102" s="2031"/>
      <c r="BZ102" s="2031"/>
      <c r="CA102" s="2031"/>
      <c r="CB102" s="2029"/>
      <c r="CC102" s="2029"/>
      <c r="CD102" s="2029"/>
      <c r="CE102" s="2029"/>
      <c r="CF102" s="2029"/>
      <c r="CG102" s="2032"/>
      <c r="CH102" s="1974"/>
      <c r="CI102" s="1974"/>
      <c r="CJ102" s="1974"/>
      <c r="CK102" s="1974"/>
      <c r="CL102" s="1974">
        <v>0</v>
      </c>
      <c r="CM102" s="2033">
        <v>0</v>
      </c>
      <c r="CN102" s="2026">
        <v>5.3943917962874736E-3</v>
      </c>
      <c r="CO102" s="1974">
        <v>0</v>
      </c>
      <c r="CP102" s="2040">
        <v>0</v>
      </c>
      <c r="CQ102" s="2040"/>
      <c r="CR102" s="2062">
        <v>1</v>
      </c>
      <c r="CS102" s="2062">
        <v>1</v>
      </c>
      <c r="CT102" s="2062">
        <v>1</v>
      </c>
      <c r="CU102" s="2062">
        <v>1</v>
      </c>
      <c r="CV102" s="2036"/>
      <c r="CW102" s="2036"/>
      <c r="CX102" s="2036"/>
      <c r="CY102" s="2036"/>
      <c r="CZ102" s="2036"/>
      <c r="DA102" s="2036"/>
    </row>
    <row r="103" spans="1:105" x14ac:dyDescent="0.25">
      <c r="A103" s="2185" t="s">
        <v>142</v>
      </c>
      <c r="B103" s="2022"/>
      <c r="C103" s="2023">
        <v>12</v>
      </c>
      <c r="D103" s="2023">
        <v>0</v>
      </c>
      <c r="E103" s="2024">
        <v>0</v>
      </c>
      <c r="F103" s="2024"/>
      <c r="G103" s="2024">
        <v>0</v>
      </c>
      <c r="H103" s="2024"/>
      <c r="I103" s="2023">
        <v>451</v>
      </c>
      <c r="J103" s="2027"/>
      <c r="K103" s="2026" t="s">
        <v>20</v>
      </c>
      <c r="L103" s="2026" t="s">
        <v>20</v>
      </c>
      <c r="M103" s="2026">
        <v>0.55700000000000005</v>
      </c>
      <c r="N103" s="2026">
        <v>0.55700000000000005</v>
      </c>
      <c r="O103" s="2026">
        <v>0.55700000000000005</v>
      </c>
      <c r="P103" s="2026">
        <v>0.55700000000000005</v>
      </c>
      <c r="Q103" s="2027">
        <f t="shared" si="41"/>
        <v>0</v>
      </c>
      <c r="R103" s="2027">
        <f t="shared" si="41"/>
        <v>0</v>
      </c>
      <c r="S103" s="2027">
        <f t="shared" si="41"/>
        <v>0</v>
      </c>
      <c r="T103" s="2027">
        <f t="shared" si="41"/>
        <v>0</v>
      </c>
      <c r="U103" s="2026">
        <v>0.55700000000000005</v>
      </c>
      <c r="V103" s="2026">
        <v>0.55700000000000005</v>
      </c>
      <c r="W103" s="2026">
        <v>0.55700000000000005</v>
      </c>
      <c r="X103" s="2026">
        <v>0.55700000000000005</v>
      </c>
      <c r="Y103" s="2028">
        <f t="shared" si="42"/>
        <v>0</v>
      </c>
      <c r="Z103" s="2028">
        <f t="shared" si="42"/>
        <v>0</v>
      </c>
      <c r="AA103" s="2028">
        <f t="shared" si="42"/>
        <v>0</v>
      </c>
      <c r="AB103" s="2028">
        <f t="shared" si="42"/>
        <v>0</v>
      </c>
      <c r="AC103" s="2026">
        <v>0.49399999999999999</v>
      </c>
      <c r="AD103" s="2026">
        <v>0.49399999999999999</v>
      </c>
      <c r="AE103" s="2026">
        <v>0.49399999999999999</v>
      </c>
      <c r="AF103" s="2026">
        <v>0.49399999999999999</v>
      </c>
      <c r="AG103" s="2027">
        <f t="shared" si="54"/>
        <v>222.79400000000001</v>
      </c>
      <c r="AH103" s="2027">
        <f t="shared" si="54"/>
        <v>222.79400000000001</v>
      </c>
      <c r="AI103" s="2027">
        <f t="shared" si="54"/>
        <v>222.79400000000001</v>
      </c>
      <c r="AJ103" s="2027">
        <f t="shared" si="54"/>
        <v>222.79400000000001</v>
      </c>
      <c r="AK103" s="2027">
        <v>18</v>
      </c>
      <c r="AL103" s="2027">
        <v>18</v>
      </c>
      <c r="AM103" s="2027">
        <v>22</v>
      </c>
      <c r="AN103" s="2027">
        <v>22</v>
      </c>
      <c r="AO103" s="2027">
        <f t="shared" si="50"/>
        <v>0</v>
      </c>
      <c r="AP103" s="2027">
        <f t="shared" si="51"/>
        <v>0</v>
      </c>
      <c r="AQ103" s="2027">
        <f t="shared" si="51"/>
        <v>0</v>
      </c>
      <c r="AR103" s="2027"/>
      <c r="AS103" s="2027">
        <f t="shared" si="45"/>
        <v>0</v>
      </c>
      <c r="AT103" s="2027">
        <f t="shared" si="52"/>
        <v>4010.2920000000004</v>
      </c>
      <c r="AU103" s="2027">
        <f t="shared" si="53"/>
        <v>4010.2920000000004</v>
      </c>
      <c r="AV103" s="2027">
        <f t="shared" si="53"/>
        <v>4901.4679999999998</v>
      </c>
      <c r="AW103" s="2027">
        <f t="shared" si="49"/>
        <v>4901.4679999999998</v>
      </c>
      <c r="AX103" s="2029"/>
      <c r="AY103" s="2029">
        <v>0</v>
      </c>
      <c r="AZ103" s="2029">
        <v>0</v>
      </c>
      <c r="BA103" s="2029">
        <v>0</v>
      </c>
      <c r="BB103" s="2029">
        <v>1200</v>
      </c>
      <c r="BC103" s="2029">
        <v>1200</v>
      </c>
      <c r="BD103" s="2029">
        <v>1200</v>
      </c>
      <c r="BE103" s="2029">
        <v>1200</v>
      </c>
      <c r="BF103" s="2029">
        <v>1716</v>
      </c>
      <c r="BG103" s="2029">
        <v>1716</v>
      </c>
      <c r="BH103" s="2029">
        <v>1716</v>
      </c>
      <c r="BI103" s="2029">
        <v>1716</v>
      </c>
      <c r="BJ103" s="2030">
        <f t="shared" si="55"/>
        <v>0</v>
      </c>
      <c r="BK103" s="2030">
        <f t="shared" si="55"/>
        <v>0</v>
      </c>
      <c r="BL103" s="2030">
        <f t="shared" si="55"/>
        <v>0</v>
      </c>
      <c r="BM103" s="2030"/>
      <c r="BN103" s="2030">
        <f t="shared" si="38"/>
        <v>0</v>
      </c>
      <c r="BO103" s="2030">
        <f t="shared" si="39"/>
        <v>21600</v>
      </c>
      <c r="BP103" s="2030"/>
      <c r="BQ103" s="2030">
        <f t="shared" si="56"/>
        <v>21600</v>
      </c>
      <c r="BR103" s="2030">
        <f t="shared" si="56"/>
        <v>26400</v>
      </c>
      <c r="BS103" s="2030">
        <f t="shared" si="56"/>
        <v>26400</v>
      </c>
      <c r="BT103" s="2031"/>
      <c r="BU103" s="2031"/>
      <c r="BV103" s="2031"/>
      <c r="BW103" s="2031"/>
      <c r="BX103" s="2031"/>
      <c r="BY103" s="2031"/>
      <c r="BZ103" s="2031"/>
      <c r="CA103" s="2031"/>
      <c r="CB103" s="2029"/>
      <c r="CC103" s="2029"/>
      <c r="CD103" s="2029"/>
      <c r="CE103" s="2029"/>
      <c r="CF103" s="2029"/>
      <c r="CG103" s="2032"/>
      <c r="CH103" s="1974"/>
      <c r="CI103" s="1974"/>
      <c r="CJ103" s="1974"/>
      <c r="CK103" s="1974"/>
      <c r="CL103" s="1974">
        <v>0</v>
      </c>
      <c r="CM103" s="2033">
        <v>0</v>
      </c>
      <c r="CN103" s="2026">
        <v>1.794152433720981E-3</v>
      </c>
      <c r="CO103" s="1974">
        <v>0</v>
      </c>
      <c r="CP103" s="2040">
        <v>0</v>
      </c>
      <c r="CQ103" s="2040"/>
      <c r="CR103" s="2062">
        <v>1</v>
      </c>
      <c r="CS103" s="2062">
        <v>1</v>
      </c>
      <c r="CT103" s="2062">
        <v>1</v>
      </c>
      <c r="CU103" s="2062">
        <v>1</v>
      </c>
      <c r="CV103" s="2036"/>
      <c r="CW103" s="2036"/>
      <c r="CX103" s="2036"/>
      <c r="CY103" s="2036"/>
      <c r="CZ103" s="2036"/>
      <c r="DA103" s="2036"/>
    </row>
    <row r="104" spans="1:105" x14ac:dyDescent="0.25">
      <c r="A104" s="2185" t="s">
        <v>143</v>
      </c>
      <c r="B104" s="2022"/>
      <c r="C104" s="2023">
        <v>12</v>
      </c>
      <c r="D104" s="2023">
        <v>0</v>
      </c>
      <c r="E104" s="2024">
        <v>0</v>
      </c>
      <c r="F104" s="2024"/>
      <c r="G104" s="2024">
        <v>0</v>
      </c>
      <c r="H104" s="2024"/>
      <c r="I104" s="2023">
        <v>266</v>
      </c>
      <c r="J104" s="2027"/>
      <c r="K104" s="2026" t="s">
        <v>20</v>
      </c>
      <c r="L104" s="2026" t="s">
        <v>20</v>
      </c>
      <c r="M104" s="2026">
        <v>0.55700000000000005</v>
      </c>
      <c r="N104" s="2026">
        <v>0.55700000000000005</v>
      </c>
      <c r="O104" s="2026">
        <v>0.55700000000000005</v>
      </c>
      <c r="P104" s="2026">
        <v>0.55700000000000005</v>
      </c>
      <c r="Q104" s="2027">
        <f t="shared" si="41"/>
        <v>0</v>
      </c>
      <c r="R104" s="2027">
        <f t="shared" si="41"/>
        <v>0</v>
      </c>
      <c r="S104" s="2027">
        <f t="shared" si="41"/>
        <v>0</v>
      </c>
      <c r="T104" s="2027">
        <f t="shared" si="41"/>
        <v>0</v>
      </c>
      <c r="U104" s="2026">
        <v>0.55700000000000005</v>
      </c>
      <c r="V104" s="2026">
        <v>0.55700000000000005</v>
      </c>
      <c r="W104" s="2026">
        <v>0.55700000000000005</v>
      </c>
      <c r="X104" s="2026">
        <v>0.55700000000000005</v>
      </c>
      <c r="Y104" s="2028">
        <f t="shared" si="42"/>
        <v>0</v>
      </c>
      <c r="Z104" s="2028">
        <f t="shared" si="42"/>
        <v>0</v>
      </c>
      <c r="AA104" s="2028">
        <f t="shared" si="42"/>
        <v>0</v>
      </c>
      <c r="AB104" s="2028">
        <f t="shared" si="42"/>
        <v>0</v>
      </c>
      <c r="AC104" s="2026">
        <v>0.49399999999999999</v>
      </c>
      <c r="AD104" s="2026">
        <v>0.49399999999999999</v>
      </c>
      <c r="AE104" s="2026">
        <v>0.49399999999999999</v>
      </c>
      <c r="AF104" s="2026">
        <v>0.49399999999999999</v>
      </c>
      <c r="AG104" s="2027">
        <f t="shared" si="54"/>
        <v>131.404</v>
      </c>
      <c r="AH104" s="2027">
        <f t="shared" si="54"/>
        <v>131.404</v>
      </c>
      <c r="AI104" s="2027">
        <f t="shared" si="54"/>
        <v>131.404</v>
      </c>
      <c r="AJ104" s="2027">
        <f t="shared" si="54"/>
        <v>131.404</v>
      </c>
      <c r="AK104" s="2027">
        <v>4</v>
      </c>
      <c r="AL104" s="2027">
        <v>4</v>
      </c>
      <c r="AM104" s="2027">
        <v>4</v>
      </c>
      <c r="AN104" s="2027">
        <v>4</v>
      </c>
      <c r="AO104" s="2027">
        <f t="shared" si="50"/>
        <v>0</v>
      </c>
      <c r="AP104" s="2027">
        <f t="shared" si="51"/>
        <v>0</v>
      </c>
      <c r="AQ104" s="2027">
        <f t="shared" si="51"/>
        <v>0</v>
      </c>
      <c r="AR104" s="2027"/>
      <c r="AS104" s="2027">
        <f t="shared" si="45"/>
        <v>0</v>
      </c>
      <c r="AT104" s="2027">
        <f t="shared" si="52"/>
        <v>525.61599999999999</v>
      </c>
      <c r="AU104" s="2027">
        <f t="shared" si="53"/>
        <v>525.61599999999999</v>
      </c>
      <c r="AV104" s="2027">
        <f t="shared" si="53"/>
        <v>525.61599999999999</v>
      </c>
      <c r="AW104" s="2027">
        <f t="shared" si="49"/>
        <v>525.61599999999999</v>
      </c>
      <c r="AX104" s="2029"/>
      <c r="AY104" s="2029">
        <v>0</v>
      </c>
      <c r="AZ104" s="2029">
        <v>0</v>
      </c>
      <c r="BA104" s="2029">
        <v>0</v>
      </c>
      <c r="BB104" s="2029">
        <v>300</v>
      </c>
      <c r="BC104" s="2029">
        <v>300</v>
      </c>
      <c r="BD104" s="2029">
        <v>300</v>
      </c>
      <c r="BE104" s="2029">
        <v>300</v>
      </c>
      <c r="BF104" s="2029">
        <v>676</v>
      </c>
      <c r="BG104" s="2029">
        <v>676</v>
      </c>
      <c r="BH104" s="2029">
        <v>676</v>
      </c>
      <c r="BI104" s="2029">
        <v>676</v>
      </c>
      <c r="BJ104" s="2030">
        <f t="shared" si="55"/>
        <v>0</v>
      </c>
      <c r="BK104" s="2030">
        <f t="shared" si="55"/>
        <v>0</v>
      </c>
      <c r="BL104" s="2030">
        <f t="shared" si="55"/>
        <v>0</v>
      </c>
      <c r="BM104" s="2030"/>
      <c r="BN104" s="2030">
        <f t="shared" si="38"/>
        <v>0</v>
      </c>
      <c r="BO104" s="2030">
        <f t="shared" si="39"/>
        <v>1200</v>
      </c>
      <c r="BP104" s="2030"/>
      <c r="BQ104" s="2030">
        <f t="shared" si="56"/>
        <v>1200</v>
      </c>
      <c r="BR104" s="2030">
        <f t="shared" si="56"/>
        <v>1200</v>
      </c>
      <c r="BS104" s="2030">
        <f t="shared" si="56"/>
        <v>1200</v>
      </c>
      <c r="BT104" s="2031"/>
      <c r="BU104" s="2031"/>
      <c r="BV104" s="2031"/>
      <c r="BW104" s="2031"/>
      <c r="BX104" s="2031"/>
      <c r="BY104" s="2031"/>
      <c r="BZ104" s="2031"/>
      <c r="CA104" s="2031"/>
      <c r="CB104" s="2029"/>
      <c r="CC104" s="2029"/>
      <c r="CD104" s="2029"/>
      <c r="CE104" s="2029"/>
      <c r="CF104" s="2029"/>
      <c r="CG104" s="2032"/>
      <c r="CH104" s="1974"/>
      <c r="CI104" s="1974"/>
      <c r="CJ104" s="1974"/>
      <c r="CK104" s="1974"/>
      <c r="CL104" s="1974">
        <v>0</v>
      </c>
      <c r="CM104" s="2033">
        <v>0</v>
      </c>
      <c r="CN104" s="2026">
        <v>1.2698302812499715E-4</v>
      </c>
      <c r="CO104" s="1974">
        <v>0</v>
      </c>
      <c r="CP104" s="2040">
        <v>0</v>
      </c>
      <c r="CQ104" s="2040"/>
      <c r="CR104" s="2062">
        <v>1</v>
      </c>
      <c r="CS104" s="2062">
        <v>1</v>
      </c>
      <c r="CT104" s="2062">
        <v>1</v>
      </c>
      <c r="CU104" s="2062">
        <v>1</v>
      </c>
      <c r="CV104" s="2036"/>
      <c r="CW104" s="2036"/>
      <c r="CX104" s="2036"/>
      <c r="CY104" s="2036"/>
      <c r="CZ104" s="2036"/>
      <c r="DA104" s="2036"/>
    </row>
    <row r="105" spans="1:105" x14ac:dyDescent="0.25">
      <c r="A105" s="2185" t="s">
        <v>144</v>
      </c>
      <c r="B105" s="2022"/>
      <c r="C105" s="2023">
        <v>6</v>
      </c>
      <c r="D105" s="2023">
        <v>0</v>
      </c>
      <c r="E105" s="2024">
        <v>0</v>
      </c>
      <c r="F105" s="2024"/>
      <c r="G105" s="2024">
        <v>0</v>
      </c>
      <c r="H105" s="2024"/>
      <c r="I105" s="2023">
        <v>587.29999999999995</v>
      </c>
      <c r="J105" s="2027"/>
      <c r="K105" s="2026" t="s">
        <v>2899</v>
      </c>
      <c r="L105" s="2026" t="s">
        <v>2899</v>
      </c>
      <c r="M105" s="2026">
        <v>0.84899999999999998</v>
      </c>
      <c r="N105" s="2026">
        <v>0.84899999999999998</v>
      </c>
      <c r="O105" s="2026">
        <v>0.84899999999999998</v>
      </c>
      <c r="P105" s="2026">
        <v>0.84899999999999998</v>
      </c>
      <c r="Q105" s="2027">
        <f t="shared" si="41"/>
        <v>0</v>
      </c>
      <c r="R105" s="2027">
        <f t="shared" si="41"/>
        <v>0</v>
      </c>
      <c r="S105" s="2027">
        <f t="shared" si="41"/>
        <v>0</v>
      </c>
      <c r="T105" s="2027">
        <f t="shared" si="41"/>
        <v>0</v>
      </c>
      <c r="U105" s="2026">
        <v>0.84899999999999998</v>
      </c>
      <c r="V105" s="2026">
        <v>0.84899999999999998</v>
      </c>
      <c r="W105" s="2026">
        <v>0.84899999999999998</v>
      </c>
      <c r="X105" s="2026">
        <v>0.84899999999999998</v>
      </c>
      <c r="Y105" s="2028">
        <f t="shared" si="42"/>
        <v>0</v>
      </c>
      <c r="Z105" s="2028">
        <f t="shared" si="42"/>
        <v>0</v>
      </c>
      <c r="AA105" s="2028">
        <f t="shared" si="42"/>
        <v>0</v>
      </c>
      <c r="AB105" s="2028">
        <f t="shared" si="42"/>
        <v>0</v>
      </c>
      <c r="AC105" s="2026">
        <v>0.67500000000000004</v>
      </c>
      <c r="AD105" s="2026">
        <v>0.67500000000000004</v>
      </c>
      <c r="AE105" s="2026">
        <v>0.67500000000000004</v>
      </c>
      <c r="AF105" s="2026">
        <v>0.67500000000000004</v>
      </c>
      <c r="AG105" s="2027">
        <f t="shared" si="54"/>
        <v>396.42750000000001</v>
      </c>
      <c r="AH105" s="2027">
        <f t="shared" si="54"/>
        <v>396.42750000000001</v>
      </c>
      <c r="AI105" s="2027">
        <f t="shared" si="54"/>
        <v>396.42750000000001</v>
      </c>
      <c r="AJ105" s="2027">
        <f t="shared" si="54"/>
        <v>396.42750000000001</v>
      </c>
      <c r="AK105" s="2027">
        <v>8</v>
      </c>
      <c r="AL105" s="2027">
        <v>6</v>
      </c>
      <c r="AM105" s="2027">
        <v>6</v>
      </c>
      <c r="AN105" s="2027">
        <v>8</v>
      </c>
      <c r="AO105" s="2027">
        <f t="shared" si="50"/>
        <v>0</v>
      </c>
      <c r="AP105" s="2027">
        <f t="shared" si="51"/>
        <v>0</v>
      </c>
      <c r="AQ105" s="2027">
        <f t="shared" si="51"/>
        <v>0</v>
      </c>
      <c r="AR105" s="2027"/>
      <c r="AS105" s="2027">
        <f t="shared" si="45"/>
        <v>0</v>
      </c>
      <c r="AT105" s="2027">
        <f t="shared" si="52"/>
        <v>3171.42</v>
      </c>
      <c r="AU105" s="2027">
        <f t="shared" si="53"/>
        <v>2378.5650000000001</v>
      </c>
      <c r="AV105" s="2027">
        <f t="shared" si="53"/>
        <v>2378.5650000000001</v>
      </c>
      <c r="AW105" s="2027">
        <f t="shared" si="49"/>
        <v>3171.42</v>
      </c>
      <c r="AX105" s="2029"/>
      <c r="AY105" s="2029">
        <v>0</v>
      </c>
      <c r="AZ105" s="2029">
        <v>0</v>
      </c>
      <c r="BA105" s="2029">
        <v>0</v>
      </c>
      <c r="BB105" s="2029">
        <v>400</v>
      </c>
      <c r="BC105" s="2029">
        <v>400</v>
      </c>
      <c r="BD105" s="2029">
        <v>400</v>
      </c>
      <c r="BE105" s="2029">
        <v>400</v>
      </c>
      <c r="BF105" s="2029">
        <v>550</v>
      </c>
      <c r="BG105" s="2029">
        <v>550</v>
      </c>
      <c r="BH105" s="2029">
        <v>550</v>
      </c>
      <c r="BI105" s="2029">
        <v>550</v>
      </c>
      <c r="BJ105" s="2030">
        <f t="shared" si="55"/>
        <v>0</v>
      </c>
      <c r="BK105" s="2030">
        <f t="shared" si="55"/>
        <v>0</v>
      </c>
      <c r="BL105" s="2030">
        <f t="shared" si="55"/>
        <v>0</v>
      </c>
      <c r="BM105" s="2030"/>
      <c r="BN105" s="2030">
        <f t="shared" si="38"/>
        <v>0</v>
      </c>
      <c r="BO105" s="2030">
        <f t="shared" si="39"/>
        <v>3200</v>
      </c>
      <c r="BP105" s="2030"/>
      <c r="BQ105" s="2030">
        <f t="shared" si="56"/>
        <v>2400</v>
      </c>
      <c r="BR105" s="2030">
        <f t="shared" si="56"/>
        <v>2400</v>
      </c>
      <c r="BS105" s="2030">
        <f t="shared" si="56"/>
        <v>3200</v>
      </c>
      <c r="BT105" s="2031"/>
      <c r="BU105" s="2031"/>
      <c r="BV105" s="2031"/>
      <c r="BW105" s="2031"/>
      <c r="BX105" s="2031"/>
      <c r="BY105" s="2031"/>
      <c r="BZ105" s="2031"/>
      <c r="CA105" s="2031"/>
      <c r="CB105" s="2029"/>
      <c r="CC105" s="2029"/>
      <c r="CD105" s="2029"/>
      <c r="CE105" s="2029"/>
      <c r="CF105" s="2029"/>
      <c r="CG105" s="2032"/>
      <c r="CH105" s="2027">
        <v>3438</v>
      </c>
      <c r="CI105" s="1974"/>
      <c r="CJ105" s="1974"/>
      <c r="CK105" s="1974"/>
      <c r="CL105" s="1974">
        <v>0</v>
      </c>
      <c r="CM105" s="2033">
        <v>0</v>
      </c>
      <c r="CN105" s="2026">
        <v>1.1492701374849084E-3</v>
      </c>
      <c r="CO105" s="1974">
        <v>0</v>
      </c>
      <c r="CP105" s="2040">
        <v>0</v>
      </c>
      <c r="CQ105" s="2040"/>
      <c r="CR105" s="2062">
        <v>1</v>
      </c>
      <c r="CS105" s="2062">
        <v>1</v>
      </c>
      <c r="CT105" s="2062">
        <v>1</v>
      </c>
      <c r="CU105" s="2062">
        <v>1</v>
      </c>
      <c r="CV105" s="2036"/>
      <c r="CW105" s="2036"/>
      <c r="CX105" s="2036"/>
      <c r="CY105" s="2036"/>
      <c r="CZ105" s="2036"/>
      <c r="DA105" s="2036"/>
    </row>
    <row r="106" spans="1:105" x14ac:dyDescent="0.25">
      <c r="A106" s="2185" t="s">
        <v>145</v>
      </c>
      <c r="B106" s="2022"/>
      <c r="C106" s="2543">
        <v>13</v>
      </c>
      <c r="D106" s="2023">
        <v>0</v>
      </c>
      <c r="E106" s="2024">
        <v>13160.16</v>
      </c>
      <c r="F106" s="2024"/>
      <c r="G106" s="2024">
        <v>3.1640000000000001</v>
      </c>
      <c r="H106" s="2024"/>
      <c r="I106" s="2023">
        <v>0</v>
      </c>
      <c r="J106" s="2027"/>
      <c r="K106" s="2026" t="s">
        <v>2899</v>
      </c>
      <c r="L106" s="2026" t="s">
        <v>2899</v>
      </c>
      <c r="M106" s="2026">
        <v>0.84899999999999998</v>
      </c>
      <c r="N106" s="2026">
        <v>0.84899999999999998</v>
      </c>
      <c r="O106" s="2026">
        <v>0.84899999999999998</v>
      </c>
      <c r="P106" s="2026">
        <v>0.84899999999999998</v>
      </c>
      <c r="Q106" s="2027">
        <f t="shared" si="41"/>
        <v>11172.975839999999</v>
      </c>
      <c r="R106" s="2027">
        <f t="shared" si="41"/>
        <v>11172.975839999999</v>
      </c>
      <c r="S106" s="2027">
        <f t="shared" si="41"/>
        <v>11172.975839999999</v>
      </c>
      <c r="T106" s="2027">
        <f t="shared" si="41"/>
        <v>11172.975839999999</v>
      </c>
      <c r="U106" s="2026">
        <v>0.84899999999999998</v>
      </c>
      <c r="V106" s="2026">
        <v>0.84899999999999998</v>
      </c>
      <c r="W106" s="2026">
        <v>0.84899999999999998</v>
      </c>
      <c r="X106" s="2026">
        <v>0.84899999999999998</v>
      </c>
      <c r="Y106" s="2028">
        <f t="shared" si="42"/>
        <v>2.6862360000000001</v>
      </c>
      <c r="Z106" s="2028">
        <f t="shared" si="42"/>
        <v>2.6862360000000001</v>
      </c>
      <c r="AA106" s="2028">
        <f t="shared" si="42"/>
        <v>2.6862360000000001</v>
      </c>
      <c r="AB106" s="2028">
        <f t="shared" si="42"/>
        <v>2.6862360000000001</v>
      </c>
      <c r="AC106" s="2026">
        <v>0.67500000000000004</v>
      </c>
      <c r="AD106" s="2026">
        <v>0.67500000000000004</v>
      </c>
      <c r="AE106" s="2026">
        <v>0.67500000000000004</v>
      </c>
      <c r="AF106" s="2026">
        <v>0.67500000000000004</v>
      </c>
      <c r="AG106" s="2027">
        <f t="shared" si="54"/>
        <v>0</v>
      </c>
      <c r="AH106" s="2027">
        <f t="shared" si="54"/>
        <v>0</v>
      </c>
      <c r="AI106" s="2027">
        <f t="shared" si="54"/>
        <v>0</v>
      </c>
      <c r="AJ106" s="2027">
        <f t="shared" si="54"/>
        <v>0</v>
      </c>
      <c r="AK106" s="2027">
        <v>3</v>
      </c>
      <c r="AL106" s="2027">
        <v>4</v>
      </c>
      <c r="AM106" s="2027">
        <v>4</v>
      </c>
      <c r="AN106" s="2027">
        <v>4</v>
      </c>
      <c r="AO106" s="2027">
        <f t="shared" si="50"/>
        <v>33518.927519999997</v>
      </c>
      <c r="AP106" s="2027">
        <f t="shared" si="51"/>
        <v>44691.903359999997</v>
      </c>
      <c r="AQ106" s="2027">
        <f t="shared" si="51"/>
        <v>44691.903359999997</v>
      </c>
      <c r="AR106" s="2027"/>
      <c r="AS106" s="2027">
        <f t="shared" si="45"/>
        <v>44691.903359999997</v>
      </c>
      <c r="AT106" s="2027">
        <f t="shared" si="52"/>
        <v>0</v>
      </c>
      <c r="AU106" s="2027">
        <f t="shared" si="53"/>
        <v>0</v>
      </c>
      <c r="AV106" s="2027">
        <f t="shared" si="53"/>
        <v>0</v>
      </c>
      <c r="AW106" s="2027">
        <f t="shared" si="49"/>
        <v>0</v>
      </c>
      <c r="AX106" s="2029">
        <v>1200</v>
      </c>
      <c r="AY106" s="2029">
        <v>1200</v>
      </c>
      <c r="AZ106" s="2029">
        <v>1200</v>
      </c>
      <c r="BA106" s="2029">
        <v>1200</v>
      </c>
      <c r="BB106" s="1974"/>
      <c r="BC106" s="2029">
        <v>0</v>
      </c>
      <c r="BD106" s="2029">
        <v>0</v>
      </c>
      <c r="BE106" s="2029">
        <v>0</v>
      </c>
      <c r="BF106" s="2029">
        <v>3986</v>
      </c>
      <c r="BG106" s="2029">
        <v>3986</v>
      </c>
      <c r="BH106" s="2029">
        <v>3986</v>
      </c>
      <c r="BI106" s="2029">
        <v>3986</v>
      </c>
      <c r="BJ106" s="2030">
        <f t="shared" si="55"/>
        <v>3600</v>
      </c>
      <c r="BK106" s="2030">
        <f t="shared" si="55"/>
        <v>4800</v>
      </c>
      <c r="BL106" s="2030">
        <f t="shared" si="55"/>
        <v>4800</v>
      </c>
      <c r="BM106" s="2030"/>
      <c r="BN106" s="2030">
        <f t="shared" si="38"/>
        <v>4800</v>
      </c>
      <c r="BO106" s="2030">
        <f t="shared" si="39"/>
        <v>0</v>
      </c>
      <c r="BP106" s="2030"/>
      <c r="BQ106" s="2030">
        <f t="shared" si="56"/>
        <v>0</v>
      </c>
      <c r="BR106" s="2030">
        <f t="shared" si="56"/>
        <v>0</v>
      </c>
      <c r="BS106" s="2030">
        <f t="shared" si="56"/>
        <v>0</v>
      </c>
      <c r="BT106" s="2031"/>
      <c r="BU106" s="2031"/>
      <c r="BV106" s="2031"/>
      <c r="BW106" s="2031"/>
      <c r="BX106" s="2031"/>
      <c r="BY106" s="2031"/>
      <c r="BZ106" s="2031"/>
      <c r="CA106" s="2031"/>
      <c r="CB106" s="2029"/>
      <c r="CC106" s="2029"/>
      <c r="CD106" s="2029"/>
      <c r="CE106" s="2029"/>
      <c r="CF106" s="2029"/>
      <c r="CG106" s="2032"/>
      <c r="CH106" s="1974"/>
      <c r="CI106" s="1974"/>
      <c r="CJ106" s="1974"/>
      <c r="CK106" s="1974"/>
      <c r="CL106" s="1974">
        <v>0</v>
      </c>
      <c r="CM106" s="2033">
        <v>1.122722407047172E-4</v>
      </c>
      <c r="CN106" s="2026">
        <v>0</v>
      </c>
      <c r="CO106" s="1974">
        <v>0</v>
      </c>
      <c r="CP106" s="2040">
        <v>0</v>
      </c>
      <c r="CQ106" s="2040"/>
      <c r="CR106" s="2062">
        <v>1</v>
      </c>
      <c r="CS106" s="2062">
        <v>1</v>
      </c>
      <c r="CT106" s="2062">
        <v>1</v>
      </c>
      <c r="CU106" s="2062">
        <v>1</v>
      </c>
      <c r="CV106" s="2036"/>
      <c r="CW106" s="2036"/>
      <c r="CX106" s="2036"/>
      <c r="CY106" s="2036"/>
      <c r="CZ106" s="2036"/>
      <c r="DA106" s="2036"/>
    </row>
    <row r="107" spans="1:105" x14ac:dyDescent="0.25">
      <c r="A107" s="2185" t="s">
        <v>147</v>
      </c>
      <c r="B107" s="2022"/>
      <c r="C107" s="2023">
        <v>5</v>
      </c>
      <c r="D107" s="2023">
        <v>0</v>
      </c>
      <c r="E107" s="2024">
        <v>2700</v>
      </c>
      <c r="F107" s="2024"/>
      <c r="G107" s="2024">
        <v>0.5</v>
      </c>
      <c r="H107" s="2024"/>
      <c r="I107" s="2023">
        <v>0</v>
      </c>
      <c r="J107" s="2027"/>
      <c r="K107" s="2026" t="s">
        <v>2948</v>
      </c>
      <c r="L107" s="2026" t="s">
        <v>2948</v>
      </c>
      <c r="M107" s="2026">
        <v>0.70200000000000007</v>
      </c>
      <c r="N107" s="2026">
        <v>0.70200000000000007</v>
      </c>
      <c r="O107" s="2026">
        <v>0.70200000000000007</v>
      </c>
      <c r="P107" s="2026">
        <v>0.70200000000000007</v>
      </c>
      <c r="Q107" s="2027">
        <f t="shared" si="41"/>
        <v>1895.4</v>
      </c>
      <c r="R107" s="2027">
        <f t="shared" si="41"/>
        <v>1895.4</v>
      </c>
      <c r="S107" s="2027">
        <f t="shared" si="41"/>
        <v>1895.4</v>
      </c>
      <c r="T107" s="2027">
        <f t="shared" si="41"/>
        <v>1895.4</v>
      </c>
      <c r="U107" s="2026">
        <v>0.70200000000000007</v>
      </c>
      <c r="V107" s="2026">
        <v>0.70200000000000007</v>
      </c>
      <c r="W107" s="2026">
        <v>0.70200000000000007</v>
      </c>
      <c r="X107" s="2026">
        <v>0.70200000000000007</v>
      </c>
      <c r="Y107" s="2028">
        <f t="shared" si="42"/>
        <v>0.35100000000000003</v>
      </c>
      <c r="Z107" s="2028">
        <f t="shared" si="42"/>
        <v>0.35100000000000003</v>
      </c>
      <c r="AA107" s="2028">
        <f t="shared" si="42"/>
        <v>0.35100000000000003</v>
      </c>
      <c r="AB107" s="2028">
        <f t="shared" si="42"/>
        <v>0.35100000000000003</v>
      </c>
      <c r="AC107" s="2026">
        <v>0.70200000000000007</v>
      </c>
      <c r="AD107" s="2026">
        <v>0.70200000000000007</v>
      </c>
      <c r="AE107" s="2026">
        <v>0.70200000000000007</v>
      </c>
      <c r="AF107" s="2026">
        <v>0.70200000000000007</v>
      </c>
      <c r="AG107" s="2027">
        <f t="shared" si="54"/>
        <v>0</v>
      </c>
      <c r="AH107" s="2027">
        <f t="shared" si="54"/>
        <v>0</v>
      </c>
      <c r="AI107" s="2027">
        <f t="shared" si="54"/>
        <v>0</v>
      </c>
      <c r="AJ107" s="2027">
        <f t="shared" si="54"/>
        <v>0</v>
      </c>
      <c r="AK107" s="2027">
        <v>351</v>
      </c>
      <c r="AL107" s="2027">
        <v>367</v>
      </c>
      <c r="AM107" s="2027">
        <v>383</v>
      </c>
      <c r="AN107" s="2027">
        <v>389</v>
      </c>
      <c r="AO107" s="2027">
        <f t="shared" si="50"/>
        <v>665285.4</v>
      </c>
      <c r="AP107" s="2027">
        <f t="shared" si="51"/>
        <v>695611.8</v>
      </c>
      <c r="AQ107" s="2027">
        <f t="shared" si="51"/>
        <v>725938.20000000007</v>
      </c>
      <c r="AR107" s="2027"/>
      <c r="AS107" s="2027">
        <f t="shared" si="45"/>
        <v>737310.60000000009</v>
      </c>
      <c r="AT107" s="2027">
        <f t="shared" si="52"/>
        <v>0</v>
      </c>
      <c r="AU107" s="2027">
        <f t="shared" si="53"/>
        <v>0</v>
      </c>
      <c r="AV107" s="2027">
        <f t="shared" si="53"/>
        <v>0</v>
      </c>
      <c r="AW107" s="2027">
        <f t="shared" si="49"/>
        <v>0</v>
      </c>
      <c r="AX107" s="2029">
        <v>60</v>
      </c>
      <c r="AY107" s="2029">
        <v>60</v>
      </c>
      <c r="AZ107" s="2029">
        <v>60</v>
      </c>
      <c r="BA107" s="2029">
        <v>60</v>
      </c>
      <c r="BB107" s="1974"/>
      <c r="BC107" s="2029">
        <v>0</v>
      </c>
      <c r="BD107" s="2029">
        <v>0</v>
      </c>
      <c r="BE107" s="2029">
        <v>0</v>
      </c>
      <c r="BF107" s="2029">
        <v>72</v>
      </c>
      <c r="BG107" s="2029">
        <v>72</v>
      </c>
      <c r="BH107" s="2029">
        <v>72</v>
      </c>
      <c r="BI107" s="2029">
        <v>72</v>
      </c>
      <c r="BJ107" s="2030">
        <f t="shared" si="55"/>
        <v>21060</v>
      </c>
      <c r="BK107" s="2030">
        <f t="shared" si="55"/>
        <v>22020</v>
      </c>
      <c r="BL107" s="2030">
        <f t="shared" si="55"/>
        <v>22980</v>
      </c>
      <c r="BM107" s="2030"/>
      <c r="BN107" s="2030">
        <f t="shared" si="38"/>
        <v>23340</v>
      </c>
      <c r="BO107" s="2030">
        <f t="shared" si="39"/>
        <v>0</v>
      </c>
      <c r="BP107" s="2030"/>
      <c r="BQ107" s="2030">
        <f t="shared" si="56"/>
        <v>0</v>
      </c>
      <c r="BR107" s="2030">
        <f t="shared" si="56"/>
        <v>0</v>
      </c>
      <c r="BS107" s="2030">
        <f t="shared" si="56"/>
        <v>0</v>
      </c>
      <c r="BT107" s="2031"/>
      <c r="BU107" s="2031"/>
      <c r="BV107" s="2031"/>
      <c r="BW107" s="2031"/>
      <c r="BX107" s="2031"/>
      <c r="BY107" s="2031"/>
      <c r="BZ107" s="2031"/>
      <c r="CA107" s="2031"/>
      <c r="CB107" s="2029"/>
      <c r="CC107" s="2029"/>
      <c r="CD107" s="2029"/>
      <c r="CE107" s="2029"/>
      <c r="CF107" s="2029"/>
      <c r="CG107" s="2032"/>
      <c r="CH107" s="1974"/>
      <c r="CI107" s="1974"/>
      <c r="CJ107" s="1974"/>
      <c r="CK107" s="1974"/>
      <c r="CL107" s="1974">
        <v>0</v>
      </c>
      <c r="CM107" s="2033">
        <v>2.5394703324531785E-3</v>
      </c>
      <c r="CN107" s="2026">
        <v>0</v>
      </c>
      <c r="CO107" s="1974">
        <v>0</v>
      </c>
      <c r="CP107" s="2040">
        <v>0</v>
      </c>
      <c r="CQ107" s="2040"/>
      <c r="CR107" s="2062">
        <v>1</v>
      </c>
      <c r="CS107" s="2062">
        <v>1</v>
      </c>
      <c r="CT107" s="2062">
        <v>1</v>
      </c>
      <c r="CU107" s="2062">
        <v>1</v>
      </c>
      <c r="CV107" s="2036"/>
      <c r="CW107" s="2036"/>
      <c r="CX107" s="2036"/>
      <c r="CY107" s="2036"/>
      <c r="CZ107" s="2036"/>
      <c r="DA107" s="2036"/>
    </row>
    <row r="108" spans="1:105" x14ac:dyDescent="0.25">
      <c r="A108" s="2185" t="s">
        <v>149</v>
      </c>
      <c r="B108" s="2022"/>
      <c r="C108" s="2023">
        <v>10</v>
      </c>
      <c r="D108" s="2023">
        <v>0</v>
      </c>
      <c r="E108" s="2024">
        <v>0</v>
      </c>
      <c r="F108" s="2024"/>
      <c r="G108" s="2024">
        <v>0</v>
      </c>
      <c r="H108" s="2024"/>
      <c r="I108" s="2023">
        <v>1089</v>
      </c>
      <c r="J108" s="2027"/>
      <c r="K108" s="2026" t="s">
        <v>2899</v>
      </c>
      <c r="L108" s="2026" t="s">
        <v>2899</v>
      </c>
      <c r="M108" s="2026">
        <v>0.84899999999999998</v>
      </c>
      <c r="N108" s="2026">
        <v>0.84899999999999998</v>
      </c>
      <c r="O108" s="2026">
        <v>0.84899999999999998</v>
      </c>
      <c r="P108" s="2026">
        <v>0.84899999999999998</v>
      </c>
      <c r="Q108" s="2027">
        <f t="shared" si="41"/>
        <v>0</v>
      </c>
      <c r="R108" s="2027">
        <f t="shared" si="41"/>
        <v>0</v>
      </c>
      <c r="S108" s="2027">
        <f t="shared" si="41"/>
        <v>0</v>
      </c>
      <c r="T108" s="2027">
        <f t="shared" si="41"/>
        <v>0</v>
      </c>
      <c r="U108" s="2026">
        <v>0.84899999999999998</v>
      </c>
      <c r="V108" s="2026">
        <v>0.84899999999999998</v>
      </c>
      <c r="W108" s="2026">
        <v>0.84899999999999998</v>
      </c>
      <c r="X108" s="2026">
        <v>0.84899999999999998</v>
      </c>
      <c r="Y108" s="2028">
        <f t="shared" si="42"/>
        <v>0</v>
      </c>
      <c r="Z108" s="2028">
        <f t="shared" si="42"/>
        <v>0</v>
      </c>
      <c r="AA108" s="2028">
        <f t="shared" si="42"/>
        <v>0</v>
      </c>
      <c r="AB108" s="2028">
        <f t="shared" si="42"/>
        <v>0</v>
      </c>
      <c r="AC108" s="2026">
        <v>0.67500000000000004</v>
      </c>
      <c r="AD108" s="2026">
        <v>0.67500000000000004</v>
      </c>
      <c r="AE108" s="2026">
        <v>0.67500000000000004</v>
      </c>
      <c r="AF108" s="2026">
        <v>0.67500000000000004</v>
      </c>
      <c r="AG108" s="2027">
        <f t="shared" si="54"/>
        <v>735.07500000000005</v>
      </c>
      <c r="AH108" s="2027">
        <f t="shared" si="54"/>
        <v>735.07500000000005</v>
      </c>
      <c r="AI108" s="2027">
        <f t="shared" si="54"/>
        <v>735.07500000000005</v>
      </c>
      <c r="AJ108" s="2027">
        <f t="shared" si="54"/>
        <v>735.07500000000005</v>
      </c>
      <c r="AK108" s="2027">
        <v>1</v>
      </c>
      <c r="AL108" s="2027">
        <v>1</v>
      </c>
      <c r="AM108" s="2027">
        <v>1</v>
      </c>
      <c r="AN108" s="2027">
        <v>1</v>
      </c>
      <c r="AO108" s="2027">
        <f t="shared" si="50"/>
        <v>0</v>
      </c>
      <c r="AP108" s="2027">
        <f t="shared" si="51"/>
        <v>0</v>
      </c>
      <c r="AQ108" s="2027">
        <f t="shared" si="51"/>
        <v>0</v>
      </c>
      <c r="AR108" s="2027"/>
      <c r="AS108" s="2027">
        <f t="shared" si="45"/>
        <v>0</v>
      </c>
      <c r="AT108" s="2027">
        <f t="shared" si="52"/>
        <v>735.07500000000005</v>
      </c>
      <c r="AU108" s="2027">
        <f t="shared" si="53"/>
        <v>735.07500000000005</v>
      </c>
      <c r="AV108" s="2027">
        <f t="shared" si="53"/>
        <v>735.07500000000005</v>
      </c>
      <c r="AW108" s="2027">
        <f t="shared" si="49"/>
        <v>735.07500000000005</v>
      </c>
      <c r="AX108" s="2029"/>
      <c r="AY108" s="2029">
        <v>0</v>
      </c>
      <c r="AZ108" s="2029">
        <v>0</v>
      </c>
      <c r="BA108" s="2029">
        <v>0</v>
      </c>
      <c r="BB108" s="2029">
        <v>3000</v>
      </c>
      <c r="BC108" s="2029">
        <v>3000</v>
      </c>
      <c r="BD108" s="2029">
        <v>3000</v>
      </c>
      <c r="BE108" s="2029">
        <v>3000</v>
      </c>
      <c r="BF108" s="2029">
        <v>5900</v>
      </c>
      <c r="BG108" s="2029">
        <v>5900</v>
      </c>
      <c r="BH108" s="2029">
        <v>5900</v>
      </c>
      <c r="BI108" s="2029">
        <v>5900</v>
      </c>
      <c r="BJ108" s="2030">
        <f t="shared" si="55"/>
        <v>0</v>
      </c>
      <c r="BK108" s="2030">
        <f t="shared" si="55"/>
        <v>0</v>
      </c>
      <c r="BL108" s="2030">
        <f t="shared" si="55"/>
        <v>0</v>
      </c>
      <c r="BM108" s="2030"/>
      <c r="BN108" s="2030">
        <f t="shared" si="38"/>
        <v>0</v>
      </c>
      <c r="BO108" s="2030">
        <f t="shared" si="39"/>
        <v>3000</v>
      </c>
      <c r="BP108" s="2030"/>
      <c r="BQ108" s="2030">
        <f t="shared" si="56"/>
        <v>3000</v>
      </c>
      <c r="BR108" s="2030">
        <f t="shared" si="56"/>
        <v>3000</v>
      </c>
      <c r="BS108" s="2030">
        <f t="shared" si="56"/>
        <v>3000</v>
      </c>
      <c r="BT108" s="2031"/>
      <c r="BU108" s="2031"/>
      <c r="BV108" s="2031"/>
      <c r="BW108" s="2031"/>
      <c r="BX108" s="2031"/>
      <c r="BY108" s="2031"/>
      <c r="BZ108" s="2031"/>
      <c r="CA108" s="2031"/>
      <c r="CB108" s="2029"/>
      <c r="CC108" s="2029"/>
      <c r="CD108" s="2029"/>
      <c r="CE108" s="2029"/>
      <c r="CF108" s="2029"/>
      <c r="CG108" s="2032"/>
      <c r="CH108" s="1974"/>
      <c r="CI108" s="1974"/>
      <c r="CJ108" s="1974"/>
      <c r="CK108" s="1974"/>
      <c r="CL108" s="1974">
        <v>0</v>
      </c>
      <c r="CM108" s="2033">
        <v>0</v>
      </c>
      <c r="CN108" s="2026">
        <v>4.7356269925310384E-4</v>
      </c>
      <c r="CO108" s="1974">
        <v>0</v>
      </c>
      <c r="CP108" s="2040">
        <v>0</v>
      </c>
      <c r="CQ108" s="2040"/>
      <c r="CR108" s="2062">
        <v>1</v>
      </c>
      <c r="CS108" s="2062">
        <v>1</v>
      </c>
      <c r="CT108" s="2062">
        <v>1</v>
      </c>
      <c r="CU108" s="2062">
        <v>1</v>
      </c>
      <c r="CV108" s="2036"/>
      <c r="CW108" s="2036"/>
      <c r="CX108" s="2036"/>
      <c r="CY108" s="2036"/>
      <c r="CZ108" s="2036"/>
      <c r="DA108" s="2036"/>
    </row>
    <row r="109" spans="1:105" x14ac:dyDescent="0.25">
      <c r="A109" s="2185" t="s">
        <v>150</v>
      </c>
      <c r="B109" s="2022"/>
      <c r="C109" s="2023">
        <v>12</v>
      </c>
      <c r="D109" s="2023">
        <v>0</v>
      </c>
      <c r="E109" s="2024">
        <v>0</v>
      </c>
      <c r="F109" s="2024"/>
      <c r="G109" s="2024">
        <v>0</v>
      </c>
      <c r="H109" s="2024"/>
      <c r="I109" s="2023">
        <v>239</v>
      </c>
      <c r="J109" s="2027"/>
      <c r="K109" s="2026" t="s">
        <v>2899</v>
      </c>
      <c r="L109" s="2026" t="s">
        <v>2899</v>
      </c>
      <c r="M109" s="2026">
        <v>0.84899999999999998</v>
      </c>
      <c r="N109" s="2026">
        <v>0.84899999999999998</v>
      </c>
      <c r="O109" s="2026">
        <v>0.84899999999999998</v>
      </c>
      <c r="P109" s="2026">
        <v>0.84899999999999998</v>
      </c>
      <c r="Q109" s="2027">
        <f t="shared" si="41"/>
        <v>0</v>
      </c>
      <c r="R109" s="2027">
        <f t="shared" si="41"/>
        <v>0</v>
      </c>
      <c r="S109" s="2027">
        <f t="shared" si="41"/>
        <v>0</v>
      </c>
      <c r="T109" s="2027">
        <f t="shared" si="41"/>
        <v>0</v>
      </c>
      <c r="U109" s="2026">
        <v>0.84899999999999998</v>
      </c>
      <c r="V109" s="2026">
        <v>0.84899999999999998</v>
      </c>
      <c r="W109" s="2026">
        <v>0.84899999999999998</v>
      </c>
      <c r="X109" s="2026">
        <v>0.84899999999999998</v>
      </c>
      <c r="Y109" s="2028">
        <f t="shared" si="42"/>
        <v>0</v>
      </c>
      <c r="Z109" s="2028">
        <f t="shared" si="42"/>
        <v>0</v>
      </c>
      <c r="AA109" s="2028">
        <f t="shared" si="42"/>
        <v>0</v>
      </c>
      <c r="AB109" s="2028">
        <f t="shared" si="42"/>
        <v>0</v>
      </c>
      <c r="AC109" s="2026">
        <v>0.67500000000000004</v>
      </c>
      <c r="AD109" s="2026">
        <v>0.67500000000000004</v>
      </c>
      <c r="AE109" s="2026">
        <v>0.67500000000000004</v>
      </c>
      <c r="AF109" s="2026">
        <v>0.67500000000000004</v>
      </c>
      <c r="AG109" s="2027">
        <f t="shared" si="54"/>
        <v>161.32500000000002</v>
      </c>
      <c r="AH109" s="2027">
        <f t="shared" si="54"/>
        <v>161.32500000000002</v>
      </c>
      <c r="AI109" s="2027">
        <f t="shared" si="54"/>
        <v>161.32500000000002</v>
      </c>
      <c r="AJ109" s="2027">
        <f t="shared" si="54"/>
        <v>161.32500000000002</v>
      </c>
      <c r="AK109" s="2027">
        <v>1</v>
      </c>
      <c r="AL109" s="2027">
        <v>1</v>
      </c>
      <c r="AM109" s="2027">
        <v>1</v>
      </c>
      <c r="AN109" s="2027">
        <v>1</v>
      </c>
      <c r="AO109" s="2027">
        <f t="shared" si="50"/>
        <v>0</v>
      </c>
      <c r="AP109" s="2027">
        <f t="shared" si="51"/>
        <v>0</v>
      </c>
      <c r="AQ109" s="2027">
        <f t="shared" si="51"/>
        <v>0</v>
      </c>
      <c r="AR109" s="2027"/>
      <c r="AS109" s="2027">
        <f t="shared" si="45"/>
        <v>0</v>
      </c>
      <c r="AT109" s="2027">
        <f t="shared" si="52"/>
        <v>161.32500000000002</v>
      </c>
      <c r="AU109" s="2027">
        <f t="shared" si="53"/>
        <v>161.32500000000002</v>
      </c>
      <c r="AV109" s="2027">
        <f t="shared" si="53"/>
        <v>161.32500000000002</v>
      </c>
      <c r="AW109" s="2027">
        <f t="shared" si="49"/>
        <v>161.32500000000002</v>
      </c>
      <c r="AX109" s="2029"/>
      <c r="AY109" s="2029">
        <v>0</v>
      </c>
      <c r="AZ109" s="2029">
        <v>0</v>
      </c>
      <c r="BA109" s="2029">
        <v>0</v>
      </c>
      <c r="BB109" s="2029">
        <v>750</v>
      </c>
      <c r="BC109" s="2029">
        <v>750</v>
      </c>
      <c r="BD109" s="2029">
        <v>750</v>
      </c>
      <c r="BE109" s="2029">
        <v>750</v>
      </c>
      <c r="BF109" s="2029">
        <v>1000</v>
      </c>
      <c r="BG109" s="2029">
        <v>1000</v>
      </c>
      <c r="BH109" s="2029">
        <v>1000</v>
      </c>
      <c r="BI109" s="2029">
        <v>1000</v>
      </c>
      <c r="BJ109" s="2030">
        <f t="shared" si="55"/>
        <v>0</v>
      </c>
      <c r="BK109" s="2030">
        <f t="shared" si="55"/>
        <v>0</v>
      </c>
      <c r="BL109" s="2030">
        <f t="shared" si="55"/>
        <v>0</v>
      </c>
      <c r="BM109" s="2030"/>
      <c r="BN109" s="2030">
        <f t="shared" si="38"/>
        <v>0</v>
      </c>
      <c r="BO109" s="2030">
        <f t="shared" si="39"/>
        <v>750</v>
      </c>
      <c r="BP109" s="2030"/>
      <c r="BQ109" s="2030">
        <f t="shared" si="56"/>
        <v>750</v>
      </c>
      <c r="BR109" s="2030">
        <f t="shared" si="56"/>
        <v>750</v>
      </c>
      <c r="BS109" s="2030">
        <f t="shared" si="56"/>
        <v>750</v>
      </c>
      <c r="BT109" s="2031"/>
      <c r="BU109" s="2031"/>
      <c r="BV109" s="2031"/>
      <c r="BW109" s="2031"/>
      <c r="BX109" s="2031"/>
      <c r="BY109" s="2031"/>
      <c r="BZ109" s="2031"/>
      <c r="CA109" s="2031"/>
      <c r="CB109" s="2029"/>
      <c r="CC109" s="2029"/>
      <c r="CD109" s="2029"/>
      <c r="CE109" s="2029"/>
      <c r="CF109" s="2029"/>
      <c r="CG109" s="2032"/>
      <c r="CH109" s="1974"/>
      <c r="CI109" s="1974"/>
      <c r="CJ109" s="1974"/>
      <c r="CK109" s="1974"/>
      <c r="CL109" s="1974">
        <v>0</v>
      </c>
      <c r="CM109" s="2033">
        <v>0</v>
      </c>
      <c r="CN109" s="2026">
        <v>5.1965787475432425E-5</v>
      </c>
      <c r="CO109" s="1974">
        <v>0</v>
      </c>
      <c r="CP109" s="2040">
        <v>0</v>
      </c>
      <c r="CQ109" s="2040"/>
      <c r="CR109" s="2062">
        <v>1</v>
      </c>
      <c r="CS109" s="2062">
        <v>1</v>
      </c>
      <c r="CT109" s="2062">
        <v>1</v>
      </c>
      <c r="CU109" s="2062">
        <v>1</v>
      </c>
      <c r="CV109" s="2036"/>
      <c r="CW109" s="2036"/>
      <c r="CX109" s="2036"/>
      <c r="CY109" s="2036"/>
      <c r="CZ109" s="2036"/>
      <c r="DA109" s="2036"/>
    </row>
    <row r="110" spans="1:105" x14ac:dyDescent="0.25">
      <c r="A110" s="2185" t="s">
        <v>151</v>
      </c>
      <c r="B110" s="2022"/>
      <c r="C110" s="2023">
        <v>12</v>
      </c>
      <c r="D110" s="2023">
        <v>0</v>
      </c>
      <c r="E110" s="2024">
        <v>0</v>
      </c>
      <c r="F110" s="2024"/>
      <c r="G110" s="2024">
        <v>0</v>
      </c>
      <c r="H110" s="2024"/>
      <c r="I110" s="2023">
        <v>661</v>
      </c>
      <c r="J110" s="2027"/>
      <c r="K110" s="2026" t="s">
        <v>2899</v>
      </c>
      <c r="L110" s="2026" t="s">
        <v>2899</v>
      </c>
      <c r="M110" s="2026">
        <v>0.84899999999999998</v>
      </c>
      <c r="N110" s="2026">
        <v>0.84899999999999998</v>
      </c>
      <c r="O110" s="2026">
        <v>0.84899999999999998</v>
      </c>
      <c r="P110" s="2026">
        <v>0.84899999999999998</v>
      </c>
      <c r="Q110" s="2027">
        <f t="shared" si="41"/>
        <v>0</v>
      </c>
      <c r="R110" s="2027">
        <f t="shared" si="41"/>
        <v>0</v>
      </c>
      <c r="S110" s="2027">
        <f t="shared" si="41"/>
        <v>0</v>
      </c>
      <c r="T110" s="2027">
        <f t="shared" si="41"/>
        <v>0</v>
      </c>
      <c r="U110" s="2026">
        <v>0.84899999999999998</v>
      </c>
      <c r="V110" s="2026">
        <v>0.84899999999999998</v>
      </c>
      <c r="W110" s="2026">
        <v>0.84899999999999998</v>
      </c>
      <c r="X110" s="2026">
        <v>0.84899999999999998</v>
      </c>
      <c r="Y110" s="2028">
        <f t="shared" si="42"/>
        <v>0</v>
      </c>
      <c r="Z110" s="2028">
        <f t="shared" si="42"/>
        <v>0</v>
      </c>
      <c r="AA110" s="2028">
        <f t="shared" si="42"/>
        <v>0</v>
      </c>
      <c r="AB110" s="2028">
        <f t="shared" si="42"/>
        <v>0</v>
      </c>
      <c r="AC110" s="2026">
        <v>0.67500000000000004</v>
      </c>
      <c r="AD110" s="2026">
        <v>0.67500000000000004</v>
      </c>
      <c r="AE110" s="2026">
        <v>0.67500000000000004</v>
      </c>
      <c r="AF110" s="2026">
        <v>0.67500000000000004</v>
      </c>
      <c r="AG110" s="2027">
        <f t="shared" si="54"/>
        <v>446.17500000000001</v>
      </c>
      <c r="AH110" s="2027">
        <f t="shared" si="54"/>
        <v>446.17500000000001</v>
      </c>
      <c r="AI110" s="2027">
        <f t="shared" si="54"/>
        <v>446.17500000000001</v>
      </c>
      <c r="AJ110" s="2027">
        <f t="shared" si="54"/>
        <v>446.17500000000001</v>
      </c>
      <c r="AK110" s="2027">
        <v>1</v>
      </c>
      <c r="AL110" s="2027">
        <v>1</v>
      </c>
      <c r="AM110" s="2027">
        <v>1</v>
      </c>
      <c r="AN110" s="2027">
        <v>1</v>
      </c>
      <c r="AO110" s="2027">
        <f t="shared" si="50"/>
        <v>0</v>
      </c>
      <c r="AP110" s="2027">
        <f t="shared" si="51"/>
        <v>0</v>
      </c>
      <c r="AQ110" s="2027">
        <f t="shared" si="51"/>
        <v>0</v>
      </c>
      <c r="AR110" s="2027"/>
      <c r="AS110" s="2027">
        <f t="shared" si="45"/>
        <v>0</v>
      </c>
      <c r="AT110" s="2027">
        <f t="shared" si="52"/>
        <v>446.17500000000001</v>
      </c>
      <c r="AU110" s="2027">
        <f t="shared" si="53"/>
        <v>446.17500000000001</v>
      </c>
      <c r="AV110" s="2027">
        <f t="shared" si="53"/>
        <v>446.17500000000001</v>
      </c>
      <c r="AW110" s="2027">
        <f t="shared" si="49"/>
        <v>446.17500000000001</v>
      </c>
      <c r="AX110" s="2029"/>
      <c r="AY110" s="2029">
        <v>0</v>
      </c>
      <c r="AZ110" s="2029">
        <v>0</v>
      </c>
      <c r="BA110" s="2029">
        <v>0</v>
      </c>
      <c r="BB110" s="2029">
        <v>1500</v>
      </c>
      <c r="BC110" s="2029">
        <v>1500</v>
      </c>
      <c r="BD110" s="2029">
        <v>1500</v>
      </c>
      <c r="BE110" s="2029">
        <v>1500</v>
      </c>
      <c r="BF110" s="2029">
        <v>2200</v>
      </c>
      <c r="BG110" s="2029">
        <v>2200</v>
      </c>
      <c r="BH110" s="2029">
        <v>2200</v>
      </c>
      <c r="BI110" s="2029">
        <v>2200</v>
      </c>
      <c r="BJ110" s="2030">
        <f t="shared" si="55"/>
        <v>0</v>
      </c>
      <c r="BK110" s="2030">
        <f t="shared" si="55"/>
        <v>0</v>
      </c>
      <c r="BL110" s="2030">
        <f t="shared" si="55"/>
        <v>0</v>
      </c>
      <c r="BM110" s="2030"/>
      <c r="BN110" s="2030">
        <f t="shared" si="38"/>
        <v>0</v>
      </c>
      <c r="BO110" s="2030">
        <f t="shared" si="39"/>
        <v>1500</v>
      </c>
      <c r="BP110" s="2030"/>
      <c r="BQ110" s="2030">
        <f t="shared" si="56"/>
        <v>1500</v>
      </c>
      <c r="BR110" s="2030">
        <f t="shared" si="56"/>
        <v>1500</v>
      </c>
      <c r="BS110" s="2030">
        <f t="shared" si="56"/>
        <v>1500</v>
      </c>
      <c r="BT110" s="2031"/>
      <c r="BU110" s="2031"/>
      <c r="BV110" s="2031"/>
      <c r="BW110" s="2031"/>
      <c r="BX110" s="2031"/>
      <c r="BY110" s="2031"/>
      <c r="BZ110" s="2031"/>
      <c r="CA110" s="2031"/>
      <c r="CB110" s="2029"/>
      <c r="CC110" s="2029"/>
      <c r="CD110" s="2029"/>
      <c r="CE110" s="2029"/>
      <c r="CF110" s="2029"/>
      <c r="CG110" s="2032"/>
      <c r="CH110" s="1974"/>
      <c r="CI110" s="1974"/>
      <c r="CJ110" s="1974"/>
      <c r="CK110" s="1974"/>
      <c r="CL110" s="1974">
        <v>0</v>
      </c>
      <c r="CM110" s="2033">
        <v>0</v>
      </c>
      <c r="CN110" s="2026">
        <v>1.4372127833163527E-4</v>
      </c>
      <c r="CO110" s="1974">
        <v>0</v>
      </c>
      <c r="CP110" s="2040">
        <v>0</v>
      </c>
      <c r="CQ110" s="2040"/>
      <c r="CR110" s="2062">
        <v>1</v>
      </c>
      <c r="CS110" s="2062">
        <v>1</v>
      </c>
      <c r="CT110" s="2062">
        <v>1</v>
      </c>
      <c r="CU110" s="2062">
        <v>1</v>
      </c>
      <c r="CV110" s="2036"/>
      <c r="CW110" s="2036"/>
      <c r="CX110" s="2036"/>
      <c r="CY110" s="2036"/>
      <c r="CZ110" s="2036"/>
      <c r="DA110" s="2036"/>
    </row>
    <row r="111" spans="1:105" x14ac:dyDescent="0.25">
      <c r="A111" s="2185" t="s">
        <v>152</v>
      </c>
      <c r="B111" s="2022"/>
      <c r="C111" s="2023">
        <v>12</v>
      </c>
      <c r="D111" s="2023">
        <v>0</v>
      </c>
      <c r="E111" s="2024">
        <v>0</v>
      </c>
      <c r="F111" s="2024"/>
      <c r="G111" s="2024">
        <v>0</v>
      </c>
      <c r="H111" s="2024"/>
      <c r="I111" s="2023">
        <v>554</v>
      </c>
      <c r="J111" s="2027"/>
      <c r="K111" s="2026" t="s">
        <v>2899</v>
      </c>
      <c r="L111" s="2026" t="s">
        <v>2899</v>
      </c>
      <c r="M111" s="2026">
        <v>0.84899999999999998</v>
      </c>
      <c r="N111" s="2026">
        <v>0.84899999999999998</v>
      </c>
      <c r="O111" s="2026">
        <v>0.84899999999999998</v>
      </c>
      <c r="P111" s="2026">
        <v>0.84899999999999998</v>
      </c>
      <c r="Q111" s="2027">
        <f t="shared" si="41"/>
        <v>0</v>
      </c>
      <c r="R111" s="2027">
        <f t="shared" si="41"/>
        <v>0</v>
      </c>
      <c r="S111" s="2027">
        <f t="shared" si="41"/>
        <v>0</v>
      </c>
      <c r="T111" s="2027">
        <f t="shared" si="41"/>
        <v>0</v>
      </c>
      <c r="U111" s="2026">
        <v>0.84899999999999998</v>
      </c>
      <c r="V111" s="2026">
        <v>0.84899999999999998</v>
      </c>
      <c r="W111" s="2026">
        <v>0.84899999999999998</v>
      </c>
      <c r="X111" s="2026">
        <v>0.84899999999999998</v>
      </c>
      <c r="Y111" s="2028">
        <f t="shared" si="42"/>
        <v>0</v>
      </c>
      <c r="Z111" s="2028">
        <f t="shared" si="42"/>
        <v>0</v>
      </c>
      <c r="AA111" s="2028">
        <f t="shared" si="42"/>
        <v>0</v>
      </c>
      <c r="AB111" s="2028">
        <f t="shared" si="42"/>
        <v>0</v>
      </c>
      <c r="AC111" s="2026">
        <v>0.67500000000000004</v>
      </c>
      <c r="AD111" s="2026">
        <v>0.67500000000000004</v>
      </c>
      <c r="AE111" s="2026">
        <v>0.67500000000000004</v>
      </c>
      <c r="AF111" s="2026">
        <v>0.67500000000000004</v>
      </c>
      <c r="AG111" s="2027">
        <f t="shared" si="54"/>
        <v>373.95000000000005</v>
      </c>
      <c r="AH111" s="2027">
        <f t="shared" si="54"/>
        <v>373.95000000000005</v>
      </c>
      <c r="AI111" s="2027">
        <f t="shared" si="54"/>
        <v>373.95000000000005</v>
      </c>
      <c r="AJ111" s="2027">
        <f t="shared" si="54"/>
        <v>373.95000000000005</v>
      </c>
      <c r="AK111" s="2027">
        <v>1</v>
      </c>
      <c r="AL111" s="2027">
        <v>1</v>
      </c>
      <c r="AM111" s="2027">
        <v>1</v>
      </c>
      <c r="AN111" s="2027">
        <v>1</v>
      </c>
      <c r="AO111" s="2027">
        <f t="shared" si="50"/>
        <v>0</v>
      </c>
      <c r="AP111" s="2027">
        <f t="shared" si="51"/>
        <v>0</v>
      </c>
      <c r="AQ111" s="2027">
        <f t="shared" si="51"/>
        <v>0</v>
      </c>
      <c r="AR111" s="2027"/>
      <c r="AS111" s="2027">
        <f t="shared" si="45"/>
        <v>0</v>
      </c>
      <c r="AT111" s="2027">
        <f t="shared" si="52"/>
        <v>373.95000000000005</v>
      </c>
      <c r="AU111" s="2027">
        <f t="shared" si="53"/>
        <v>373.95000000000005</v>
      </c>
      <c r="AV111" s="2027">
        <f t="shared" si="53"/>
        <v>373.95000000000005</v>
      </c>
      <c r="AW111" s="2027">
        <f t="shared" si="49"/>
        <v>373.95000000000005</v>
      </c>
      <c r="AX111" s="2029"/>
      <c r="AY111" s="2029">
        <v>0</v>
      </c>
      <c r="AZ111" s="2029">
        <v>0</v>
      </c>
      <c r="BA111" s="2029">
        <v>0</v>
      </c>
      <c r="BB111" s="2029">
        <v>2000</v>
      </c>
      <c r="BC111" s="2029">
        <v>2000</v>
      </c>
      <c r="BD111" s="2029">
        <v>2000</v>
      </c>
      <c r="BE111" s="2029">
        <v>2000</v>
      </c>
      <c r="BF111" s="2029">
        <v>2700</v>
      </c>
      <c r="BG111" s="2029">
        <v>2700</v>
      </c>
      <c r="BH111" s="2029">
        <v>2700</v>
      </c>
      <c r="BI111" s="2029">
        <v>2700</v>
      </c>
      <c r="BJ111" s="2030">
        <f t="shared" si="55"/>
        <v>0</v>
      </c>
      <c r="BK111" s="2030">
        <f t="shared" si="55"/>
        <v>0</v>
      </c>
      <c r="BL111" s="2030">
        <f t="shared" si="55"/>
        <v>0</v>
      </c>
      <c r="BM111" s="2030"/>
      <c r="BN111" s="2030">
        <f t="shared" si="38"/>
        <v>0</v>
      </c>
      <c r="BO111" s="2030">
        <f t="shared" si="39"/>
        <v>2000</v>
      </c>
      <c r="BP111" s="2030"/>
      <c r="BQ111" s="2030">
        <f t="shared" si="56"/>
        <v>2000</v>
      </c>
      <c r="BR111" s="2030">
        <f t="shared" si="56"/>
        <v>2000</v>
      </c>
      <c r="BS111" s="2030">
        <f t="shared" si="56"/>
        <v>2000</v>
      </c>
      <c r="BT111" s="2031"/>
      <c r="BU111" s="2031"/>
      <c r="BV111" s="2031"/>
      <c r="BW111" s="2031"/>
      <c r="BX111" s="2031"/>
      <c r="BY111" s="2031"/>
      <c r="BZ111" s="2031"/>
      <c r="CA111" s="2031"/>
      <c r="CB111" s="2029"/>
      <c r="CC111" s="2029"/>
      <c r="CD111" s="2029"/>
      <c r="CE111" s="2029"/>
      <c r="CF111" s="2029"/>
      <c r="CG111" s="2032"/>
      <c r="CH111" s="1974"/>
      <c r="CI111" s="1974"/>
      <c r="CJ111" s="1974"/>
      <c r="CK111" s="1974"/>
      <c r="CL111" s="1974">
        <v>0</v>
      </c>
      <c r="CM111" s="2033">
        <v>0</v>
      </c>
      <c r="CN111" s="2026">
        <v>2.4091252101581225E-4</v>
      </c>
      <c r="CO111" s="1974">
        <v>0</v>
      </c>
      <c r="CP111" s="2040">
        <v>0</v>
      </c>
      <c r="CQ111" s="2040"/>
      <c r="CR111" s="2062">
        <v>1</v>
      </c>
      <c r="CS111" s="2062">
        <v>1</v>
      </c>
      <c r="CT111" s="2062">
        <v>1</v>
      </c>
      <c r="CU111" s="2062">
        <v>1</v>
      </c>
      <c r="CV111" s="2036"/>
      <c r="CW111" s="2036"/>
      <c r="CX111" s="2036"/>
      <c r="CY111" s="2036"/>
      <c r="CZ111" s="2036"/>
      <c r="DA111" s="2036"/>
    </row>
    <row r="112" spans="1:105" x14ac:dyDescent="0.25">
      <c r="A112" s="2185" t="s">
        <v>153</v>
      </c>
      <c r="B112" s="2022"/>
      <c r="C112" s="2023">
        <v>12</v>
      </c>
      <c r="D112" s="2023">
        <v>0</v>
      </c>
      <c r="E112" s="2024">
        <v>0</v>
      </c>
      <c r="F112" s="2024"/>
      <c r="G112" s="2024">
        <v>0</v>
      </c>
      <c r="H112" s="2024"/>
      <c r="I112" s="2023">
        <v>1380</v>
      </c>
      <c r="J112" s="2027"/>
      <c r="K112" s="2026" t="s">
        <v>2899</v>
      </c>
      <c r="L112" s="2026" t="s">
        <v>2899</v>
      </c>
      <c r="M112" s="2026">
        <v>0.84899999999999998</v>
      </c>
      <c r="N112" s="2026">
        <v>0.84899999999999998</v>
      </c>
      <c r="O112" s="2026">
        <v>0.84899999999999998</v>
      </c>
      <c r="P112" s="2026">
        <v>0.84899999999999998</v>
      </c>
      <c r="Q112" s="2027">
        <f t="shared" si="41"/>
        <v>0</v>
      </c>
      <c r="R112" s="2027">
        <f t="shared" si="41"/>
        <v>0</v>
      </c>
      <c r="S112" s="2027">
        <f t="shared" si="41"/>
        <v>0</v>
      </c>
      <c r="T112" s="2027">
        <f t="shared" si="41"/>
        <v>0</v>
      </c>
      <c r="U112" s="2026">
        <v>0.84899999999999998</v>
      </c>
      <c r="V112" s="2026">
        <v>0.84899999999999998</v>
      </c>
      <c r="W112" s="2026">
        <v>0.84899999999999998</v>
      </c>
      <c r="X112" s="2026">
        <v>0.84899999999999998</v>
      </c>
      <c r="Y112" s="2028">
        <f t="shared" si="42"/>
        <v>0</v>
      </c>
      <c r="Z112" s="2028">
        <f t="shared" si="42"/>
        <v>0</v>
      </c>
      <c r="AA112" s="2028">
        <f t="shared" si="42"/>
        <v>0</v>
      </c>
      <c r="AB112" s="2028">
        <f t="shared" si="42"/>
        <v>0</v>
      </c>
      <c r="AC112" s="2026">
        <v>0.67500000000000004</v>
      </c>
      <c r="AD112" s="2026">
        <v>0.67500000000000004</v>
      </c>
      <c r="AE112" s="2026">
        <v>0.67500000000000004</v>
      </c>
      <c r="AF112" s="2026">
        <v>0.67500000000000004</v>
      </c>
      <c r="AG112" s="2027">
        <f t="shared" si="54"/>
        <v>931.50000000000011</v>
      </c>
      <c r="AH112" s="2027">
        <f t="shared" si="54"/>
        <v>931.50000000000011</v>
      </c>
      <c r="AI112" s="2027">
        <f t="shared" si="54"/>
        <v>931.50000000000011</v>
      </c>
      <c r="AJ112" s="2027">
        <f t="shared" si="54"/>
        <v>931.50000000000011</v>
      </c>
      <c r="AK112" s="2027">
        <v>1</v>
      </c>
      <c r="AL112" s="2027">
        <v>2</v>
      </c>
      <c r="AM112" s="2027">
        <v>2</v>
      </c>
      <c r="AN112" s="2027">
        <v>2</v>
      </c>
      <c r="AO112" s="2027">
        <f t="shared" si="50"/>
        <v>0</v>
      </c>
      <c r="AP112" s="2027">
        <f t="shared" si="51"/>
        <v>0</v>
      </c>
      <c r="AQ112" s="2027">
        <f t="shared" si="51"/>
        <v>0</v>
      </c>
      <c r="AR112" s="2027"/>
      <c r="AS112" s="2027">
        <f t="shared" si="45"/>
        <v>0</v>
      </c>
      <c r="AT112" s="2027">
        <f t="shared" si="52"/>
        <v>931.50000000000011</v>
      </c>
      <c r="AU112" s="2027">
        <f t="shared" si="53"/>
        <v>1863.0000000000002</v>
      </c>
      <c r="AV112" s="2027">
        <f t="shared" si="53"/>
        <v>1863.0000000000002</v>
      </c>
      <c r="AW112" s="2027">
        <f t="shared" si="49"/>
        <v>1863.0000000000002</v>
      </c>
      <c r="AX112" s="2029"/>
      <c r="AY112" s="2029">
        <v>0</v>
      </c>
      <c r="AZ112" s="2029">
        <v>0</v>
      </c>
      <c r="BA112" s="2029">
        <v>0</v>
      </c>
      <c r="BB112" s="2029">
        <v>1000</v>
      </c>
      <c r="BC112" s="2029">
        <v>1000</v>
      </c>
      <c r="BD112" s="2029">
        <v>1000</v>
      </c>
      <c r="BE112" s="2029">
        <v>1000</v>
      </c>
      <c r="BF112" s="2029">
        <v>2400</v>
      </c>
      <c r="BG112" s="2029">
        <v>2400</v>
      </c>
      <c r="BH112" s="2029">
        <v>2400</v>
      </c>
      <c r="BI112" s="2029">
        <v>2400</v>
      </c>
      <c r="BJ112" s="2030">
        <f t="shared" si="55"/>
        <v>0</v>
      </c>
      <c r="BK112" s="2030">
        <f t="shared" si="55"/>
        <v>0</v>
      </c>
      <c r="BL112" s="2030">
        <f t="shared" si="55"/>
        <v>0</v>
      </c>
      <c r="BM112" s="2030"/>
      <c r="BN112" s="2030">
        <f t="shared" si="38"/>
        <v>0</v>
      </c>
      <c r="BO112" s="2030">
        <f t="shared" si="39"/>
        <v>1000</v>
      </c>
      <c r="BP112" s="2030"/>
      <c r="BQ112" s="2030">
        <f t="shared" si="56"/>
        <v>2000</v>
      </c>
      <c r="BR112" s="2030">
        <f t="shared" si="56"/>
        <v>2000</v>
      </c>
      <c r="BS112" s="2030">
        <f t="shared" si="56"/>
        <v>2000</v>
      </c>
      <c r="BT112" s="2031"/>
      <c r="BU112" s="2031"/>
      <c r="BV112" s="2031"/>
      <c r="BW112" s="2031"/>
      <c r="BX112" s="2031"/>
      <c r="BY112" s="2031"/>
      <c r="BZ112" s="2031"/>
      <c r="CA112" s="2031"/>
      <c r="CB112" s="2029"/>
      <c r="CC112" s="2029"/>
      <c r="CD112" s="2029"/>
      <c r="CE112" s="2029"/>
      <c r="CF112" s="2029"/>
      <c r="CG112" s="2032"/>
      <c r="CH112" s="1974"/>
      <c r="CI112" s="1974"/>
      <c r="CJ112" s="1974"/>
      <c r="CK112" s="1974"/>
      <c r="CL112" s="1974">
        <v>0</v>
      </c>
      <c r="CM112" s="2033">
        <v>0</v>
      </c>
      <c r="CN112" s="2026">
        <v>6.0010700180834103E-4</v>
      </c>
      <c r="CO112" s="1974">
        <v>0</v>
      </c>
      <c r="CP112" s="2040">
        <v>0</v>
      </c>
      <c r="CQ112" s="2040"/>
      <c r="CR112" s="2062">
        <v>1</v>
      </c>
      <c r="CS112" s="2062">
        <v>1</v>
      </c>
      <c r="CT112" s="2062">
        <v>1</v>
      </c>
      <c r="CU112" s="2062">
        <v>1</v>
      </c>
      <c r="CV112" s="2036"/>
      <c r="CW112" s="2036"/>
      <c r="CX112" s="2036"/>
      <c r="CY112" s="2036"/>
      <c r="CZ112" s="2036"/>
      <c r="DA112" s="2036"/>
    </row>
    <row r="113" spans="1:105" x14ac:dyDescent="0.25">
      <c r="A113" s="2185" t="s">
        <v>154</v>
      </c>
      <c r="B113" s="2022"/>
      <c r="C113" s="2023">
        <v>12</v>
      </c>
      <c r="D113" s="2023">
        <v>0</v>
      </c>
      <c r="E113" s="2024">
        <v>0</v>
      </c>
      <c r="F113" s="2024"/>
      <c r="G113" s="2024">
        <v>0</v>
      </c>
      <c r="H113" s="2024"/>
      <c r="I113" s="2023">
        <v>2064</v>
      </c>
      <c r="J113" s="2027"/>
      <c r="K113" s="2026" t="s">
        <v>2899</v>
      </c>
      <c r="L113" s="2026" t="s">
        <v>2899</v>
      </c>
      <c r="M113" s="2026">
        <v>0.84899999999999998</v>
      </c>
      <c r="N113" s="2026">
        <v>0.84899999999999998</v>
      </c>
      <c r="O113" s="2026">
        <v>0.84899999999999998</v>
      </c>
      <c r="P113" s="2026">
        <v>0.84899999999999998</v>
      </c>
      <c r="Q113" s="2027">
        <f t="shared" si="41"/>
        <v>0</v>
      </c>
      <c r="R113" s="2027">
        <f t="shared" si="41"/>
        <v>0</v>
      </c>
      <c r="S113" s="2027">
        <f t="shared" si="41"/>
        <v>0</v>
      </c>
      <c r="T113" s="2027">
        <f t="shared" si="41"/>
        <v>0</v>
      </c>
      <c r="U113" s="2026">
        <v>0.84899999999999998</v>
      </c>
      <c r="V113" s="2026">
        <v>0.84899999999999998</v>
      </c>
      <c r="W113" s="2026">
        <v>0.84899999999999998</v>
      </c>
      <c r="X113" s="2026">
        <v>0.84899999999999998</v>
      </c>
      <c r="Y113" s="2028">
        <f t="shared" si="42"/>
        <v>0</v>
      </c>
      <c r="Z113" s="2028">
        <f t="shared" si="42"/>
        <v>0</v>
      </c>
      <c r="AA113" s="2028">
        <f t="shared" si="42"/>
        <v>0</v>
      </c>
      <c r="AB113" s="2028">
        <f t="shared" si="42"/>
        <v>0</v>
      </c>
      <c r="AC113" s="2026">
        <v>0.67500000000000004</v>
      </c>
      <c r="AD113" s="2026">
        <v>0.67500000000000004</v>
      </c>
      <c r="AE113" s="2026">
        <v>0.67500000000000004</v>
      </c>
      <c r="AF113" s="2026">
        <v>0.67500000000000004</v>
      </c>
      <c r="AG113" s="2027">
        <f t="shared" si="54"/>
        <v>1393.2</v>
      </c>
      <c r="AH113" s="2027">
        <f t="shared" si="54"/>
        <v>1393.2</v>
      </c>
      <c r="AI113" s="2027">
        <f t="shared" si="54"/>
        <v>1393.2</v>
      </c>
      <c r="AJ113" s="2027">
        <f t="shared" si="54"/>
        <v>1393.2</v>
      </c>
      <c r="AK113" s="2027">
        <v>1</v>
      </c>
      <c r="AL113" s="2027">
        <v>1</v>
      </c>
      <c r="AM113" s="2027">
        <v>1</v>
      </c>
      <c r="AN113" s="2027">
        <v>1</v>
      </c>
      <c r="AO113" s="2027">
        <f t="shared" si="50"/>
        <v>0</v>
      </c>
      <c r="AP113" s="2027">
        <f t="shared" si="51"/>
        <v>0</v>
      </c>
      <c r="AQ113" s="2027">
        <f t="shared" si="51"/>
        <v>0</v>
      </c>
      <c r="AR113" s="2027"/>
      <c r="AS113" s="2027">
        <f t="shared" si="45"/>
        <v>0</v>
      </c>
      <c r="AT113" s="2027">
        <f t="shared" si="52"/>
        <v>1393.2</v>
      </c>
      <c r="AU113" s="2027">
        <f t="shared" si="53"/>
        <v>1393.2</v>
      </c>
      <c r="AV113" s="2027">
        <f t="shared" si="53"/>
        <v>1393.2</v>
      </c>
      <c r="AW113" s="2027">
        <f t="shared" si="49"/>
        <v>1393.2</v>
      </c>
      <c r="AX113" s="2029"/>
      <c r="AY113" s="2029">
        <v>0</v>
      </c>
      <c r="AZ113" s="2029">
        <v>0</v>
      </c>
      <c r="BA113" s="2029">
        <v>0</v>
      </c>
      <c r="BB113" s="2029">
        <v>2500</v>
      </c>
      <c r="BC113" s="2029">
        <v>2500</v>
      </c>
      <c r="BD113" s="2029">
        <v>2500</v>
      </c>
      <c r="BE113" s="2029">
        <v>2500</v>
      </c>
      <c r="BF113" s="2029">
        <v>8646</v>
      </c>
      <c r="BG113" s="2029">
        <v>8646</v>
      </c>
      <c r="BH113" s="2029">
        <v>8646</v>
      </c>
      <c r="BI113" s="2029">
        <v>8646</v>
      </c>
      <c r="BJ113" s="2030">
        <f t="shared" si="55"/>
        <v>0</v>
      </c>
      <c r="BK113" s="2030">
        <f t="shared" si="55"/>
        <v>0</v>
      </c>
      <c r="BL113" s="2030">
        <f t="shared" si="55"/>
        <v>0</v>
      </c>
      <c r="BM113" s="2030"/>
      <c r="BN113" s="2030">
        <f t="shared" si="38"/>
        <v>0</v>
      </c>
      <c r="BO113" s="2030">
        <f t="shared" si="39"/>
        <v>2500</v>
      </c>
      <c r="BP113" s="2030"/>
      <c r="BQ113" s="2030">
        <f t="shared" si="56"/>
        <v>2500</v>
      </c>
      <c r="BR113" s="2030">
        <f t="shared" si="56"/>
        <v>2500</v>
      </c>
      <c r="BS113" s="2030">
        <f t="shared" si="56"/>
        <v>2500</v>
      </c>
      <c r="BT113" s="2031"/>
      <c r="BU113" s="2031"/>
      <c r="BV113" s="2031"/>
      <c r="BW113" s="2031"/>
      <c r="BX113" s="2031"/>
      <c r="BY113" s="2031"/>
      <c r="BZ113" s="2031"/>
      <c r="CA113" s="2031"/>
      <c r="CB113" s="2029"/>
      <c r="CC113" s="2029"/>
      <c r="CD113" s="2029"/>
      <c r="CE113" s="2029"/>
      <c r="CF113" s="2029"/>
      <c r="CG113" s="2032"/>
      <c r="CH113" s="1974"/>
      <c r="CI113" s="1974"/>
      <c r="CJ113" s="1974"/>
      <c r="CK113" s="1974"/>
      <c r="CL113" s="1974">
        <v>0</v>
      </c>
      <c r="CM113" s="2033">
        <v>0</v>
      </c>
      <c r="CN113" s="2026">
        <v>4.487756709175419E-4</v>
      </c>
      <c r="CO113" s="1974">
        <v>0</v>
      </c>
      <c r="CP113" s="2040">
        <v>0</v>
      </c>
      <c r="CQ113" s="2040"/>
      <c r="CR113" s="2062">
        <v>1</v>
      </c>
      <c r="CS113" s="2062">
        <v>1</v>
      </c>
      <c r="CT113" s="2062">
        <v>1</v>
      </c>
      <c r="CU113" s="2062">
        <v>1</v>
      </c>
      <c r="CV113" s="2036"/>
      <c r="CW113" s="2036"/>
      <c r="CX113" s="2036"/>
      <c r="CY113" s="2036"/>
      <c r="CZ113" s="2036"/>
      <c r="DA113" s="2036"/>
    </row>
    <row r="114" spans="1:105" x14ac:dyDescent="0.25">
      <c r="A114" s="2185" t="s">
        <v>155</v>
      </c>
      <c r="B114" s="2022"/>
      <c r="C114" s="2023">
        <v>10</v>
      </c>
      <c r="D114" s="2023">
        <v>0</v>
      </c>
      <c r="E114" s="2024">
        <v>746</v>
      </c>
      <c r="F114" s="2024"/>
      <c r="G114" s="2024">
        <v>0</v>
      </c>
      <c r="H114" s="2024"/>
      <c r="I114" s="2023">
        <v>7815</v>
      </c>
      <c r="J114" s="2027"/>
      <c r="K114" s="2026" t="s">
        <v>2899</v>
      </c>
      <c r="L114" s="2026" t="s">
        <v>2899</v>
      </c>
      <c r="M114" s="2026">
        <v>0.84899999999999998</v>
      </c>
      <c r="N114" s="2026">
        <v>0.84899999999999998</v>
      </c>
      <c r="O114" s="2026">
        <v>0.84899999999999998</v>
      </c>
      <c r="P114" s="2026">
        <v>0.84899999999999998</v>
      </c>
      <c r="Q114" s="2027">
        <f t="shared" si="41"/>
        <v>633.35399999999993</v>
      </c>
      <c r="R114" s="2027">
        <f t="shared" si="41"/>
        <v>633.35399999999993</v>
      </c>
      <c r="S114" s="2027">
        <f t="shared" si="41"/>
        <v>633.35399999999993</v>
      </c>
      <c r="T114" s="2027">
        <f t="shared" si="41"/>
        <v>633.35399999999993</v>
      </c>
      <c r="U114" s="2026">
        <v>0.84899999999999998</v>
      </c>
      <c r="V114" s="2026">
        <v>0.84899999999999998</v>
      </c>
      <c r="W114" s="2026">
        <v>0.84899999999999998</v>
      </c>
      <c r="X114" s="2026">
        <v>0.84899999999999998</v>
      </c>
      <c r="Y114" s="2028">
        <f t="shared" si="42"/>
        <v>0</v>
      </c>
      <c r="Z114" s="2028">
        <f t="shared" si="42"/>
        <v>0</v>
      </c>
      <c r="AA114" s="2028">
        <f t="shared" si="42"/>
        <v>0</v>
      </c>
      <c r="AB114" s="2028">
        <f t="shared" si="42"/>
        <v>0</v>
      </c>
      <c r="AC114" s="2026">
        <v>0.67500000000000004</v>
      </c>
      <c r="AD114" s="2026">
        <v>0.67500000000000004</v>
      </c>
      <c r="AE114" s="2026">
        <v>0.67500000000000004</v>
      </c>
      <c r="AF114" s="2026">
        <v>0.67500000000000004</v>
      </c>
      <c r="AG114" s="2027">
        <f t="shared" si="54"/>
        <v>5275.125</v>
      </c>
      <c r="AH114" s="2027">
        <f t="shared" si="54"/>
        <v>5275.125</v>
      </c>
      <c r="AI114" s="2027">
        <f t="shared" si="54"/>
        <v>5275.125</v>
      </c>
      <c r="AJ114" s="2027">
        <f t="shared" si="54"/>
        <v>5275.125</v>
      </c>
      <c r="AK114" s="2027">
        <v>4</v>
      </c>
      <c r="AL114" s="2027">
        <v>3</v>
      </c>
      <c r="AM114" s="2027">
        <v>3</v>
      </c>
      <c r="AN114" s="2027">
        <v>3</v>
      </c>
      <c r="AO114" s="2027">
        <f t="shared" si="50"/>
        <v>2533.4159999999997</v>
      </c>
      <c r="AP114" s="2027">
        <f t="shared" si="51"/>
        <v>1900.0619999999999</v>
      </c>
      <c r="AQ114" s="2027">
        <f t="shared" si="51"/>
        <v>1900.0619999999999</v>
      </c>
      <c r="AR114" s="2027"/>
      <c r="AS114" s="2027">
        <f t="shared" si="45"/>
        <v>1900.0619999999999</v>
      </c>
      <c r="AT114" s="2027">
        <f t="shared" si="52"/>
        <v>21100.5</v>
      </c>
      <c r="AU114" s="2027">
        <f t="shared" si="53"/>
        <v>15825.375</v>
      </c>
      <c r="AV114" s="2027">
        <f t="shared" si="53"/>
        <v>15825.375</v>
      </c>
      <c r="AW114" s="2027">
        <f t="shared" si="49"/>
        <v>15825.375</v>
      </c>
      <c r="AX114" s="2029"/>
      <c r="AY114" s="2029">
        <v>0</v>
      </c>
      <c r="AZ114" s="2029">
        <v>0</v>
      </c>
      <c r="BA114" s="2029">
        <v>0</v>
      </c>
      <c r="BB114" s="2029">
        <v>14000</v>
      </c>
      <c r="BC114" s="2029">
        <v>14000</v>
      </c>
      <c r="BD114" s="2029">
        <v>14000</v>
      </c>
      <c r="BE114" s="2029">
        <v>14000</v>
      </c>
      <c r="BF114" s="2029">
        <v>17245.84</v>
      </c>
      <c r="BG114" s="2029">
        <v>17245.84</v>
      </c>
      <c r="BH114" s="2029">
        <v>17245.84</v>
      </c>
      <c r="BI114" s="2029">
        <v>17245.84</v>
      </c>
      <c r="BJ114" s="2030">
        <f t="shared" si="55"/>
        <v>0</v>
      </c>
      <c r="BK114" s="2030">
        <f t="shared" si="55"/>
        <v>0</v>
      </c>
      <c r="BL114" s="2030">
        <f t="shared" si="55"/>
        <v>0</v>
      </c>
      <c r="BM114" s="2030"/>
      <c r="BN114" s="2030">
        <f t="shared" si="38"/>
        <v>0</v>
      </c>
      <c r="BO114" s="2030">
        <f t="shared" si="39"/>
        <v>56000</v>
      </c>
      <c r="BP114" s="2030"/>
      <c r="BQ114" s="2030">
        <f t="shared" si="56"/>
        <v>42000</v>
      </c>
      <c r="BR114" s="2030">
        <f t="shared" si="56"/>
        <v>42000</v>
      </c>
      <c r="BS114" s="2030">
        <f t="shared" si="56"/>
        <v>42000</v>
      </c>
      <c r="BT114" s="2031"/>
      <c r="BU114" s="2031"/>
      <c r="BV114" s="2031"/>
      <c r="BW114" s="2031"/>
      <c r="BX114" s="2031"/>
      <c r="BY114" s="2031"/>
      <c r="BZ114" s="2031"/>
      <c r="CA114" s="2031"/>
      <c r="CB114" s="2029"/>
      <c r="CC114" s="2029"/>
      <c r="CD114" s="2029"/>
      <c r="CE114" s="2029"/>
      <c r="CF114" s="2029"/>
      <c r="CG114" s="2032"/>
      <c r="CH114" s="2027">
        <v>464946</v>
      </c>
      <c r="CI114" s="1974"/>
      <c r="CJ114" s="1974"/>
      <c r="CK114" s="1974"/>
      <c r="CL114" s="1974">
        <v>0</v>
      </c>
      <c r="CM114" s="2033">
        <v>1.0607152137679054E-5</v>
      </c>
      <c r="CN114" s="2026">
        <v>8.4960801071235215E-3</v>
      </c>
      <c r="CO114" s="1974">
        <v>1</v>
      </c>
      <c r="CP114" s="2040">
        <v>200.96020000000001</v>
      </c>
      <c r="CQ114" s="2040"/>
      <c r="CR114" s="2062">
        <v>1</v>
      </c>
      <c r="CS114" s="2062">
        <v>1</v>
      </c>
      <c r="CT114" s="2062">
        <v>1</v>
      </c>
      <c r="CU114" s="2062">
        <v>1</v>
      </c>
      <c r="CV114" s="2036"/>
      <c r="CW114" s="2036"/>
      <c r="CX114" s="2036"/>
      <c r="CY114" s="2036"/>
      <c r="CZ114" s="2036"/>
      <c r="DA114" s="2036"/>
    </row>
    <row r="115" spans="1:105" x14ac:dyDescent="0.25">
      <c r="A115" s="2185" t="s">
        <v>156</v>
      </c>
      <c r="B115" s="2022"/>
      <c r="C115" s="2023">
        <v>15</v>
      </c>
      <c r="D115" s="2023">
        <v>0</v>
      </c>
      <c r="E115" s="2024">
        <v>6269.87</v>
      </c>
      <c r="F115" s="2024"/>
      <c r="G115" s="2024">
        <v>0</v>
      </c>
      <c r="H115" s="2024"/>
      <c r="I115" s="2023">
        <v>0</v>
      </c>
      <c r="J115" s="2027"/>
      <c r="K115" s="2026" t="s">
        <v>2899</v>
      </c>
      <c r="L115" s="2026" t="s">
        <v>2899</v>
      </c>
      <c r="M115" s="2026">
        <v>0.84899999999999998</v>
      </c>
      <c r="N115" s="2026">
        <v>0.84899999999999998</v>
      </c>
      <c r="O115" s="2026">
        <v>0.84899999999999998</v>
      </c>
      <c r="P115" s="2026">
        <v>0.84899999999999998</v>
      </c>
      <c r="Q115" s="2027">
        <f t="shared" si="41"/>
        <v>5323.1196300000001</v>
      </c>
      <c r="R115" s="2027">
        <f t="shared" si="41"/>
        <v>5323.1196300000001</v>
      </c>
      <c r="S115" s="2027">
        <f t="shared" si="41"/>
        <v>5323.1196300000001</v>
      </c>
      <c r="T115" s="2027">
        <f t="shared" si="41"/>
        <v>5323.1196300000001</v>
      </c>
      <c r="U115" s="2026">
        <v>0.84899999999999998</v>
      </c>
      <c r="V115" s="2026">
        <v>0.84899999999999998</v>
      </c>
      <c r="W115" s="2026">
        <v>0.84899999999999998</v>
      </c>
      <c r="X115" s="2026">
        <v>0.84899999999999998</v>
      </c>
      <c r="Y115" s="2028">
        <f t="shared" si="42"/>
        <v>0</v>
      </c>
      <c r="Z115" s="2028">
        <f t="shared" si="42"/>
        <v>0</v>
      </c>
      <c r="AA115" s="2028">
        <f t="shared" si="42"/>
        <v>0</v>
      </c>
      <c r="AB115" s="2028">
        <f t="shared" si="42"/>
        <v>0</v>
      </c>
      <c r="AC115" s="2026">
        <v>0.67500000000000004</v>
      </c>
      <c r="AD115" s="2026">
        <v>0.67500000000000004</v>
      </c>
      <c r="AE115" s="2026">
        <v>0.67500000000000004</v>
      </c>
      <c r="AF115" s="2026">
        <v>0.67500000000000004</v>
      </c>
      <c r="AG115" s="2027">
        <f t="shared" si="54"/>
        <v>0</v>
      </c>
      <c r="AH115" s="2027">
        <f t="shared" si="54"/>
        <v>0</v>
      </c>
      <c r="AI115" s="2027">
        <f t="shared" si="54"/>
        <v>0</v>
      </c>
      <c r="AJ115" s="2027">
        <f t="shared" si="54"/>
        <v>0</v>
      </c>
      <c r="AK115" s="2027">
        <v>1</v>
      </c>
      <c r="AL115" s="2027">
        <v>1</v>
      </c>
      <c r="AM115" s="2027">
        <v>2</v>
      </c>
      <c r="AN115" s="2027">
        <v>2</v>
      </c>
      <c r="AO115" s="2027">
        <f t="shared" si="50"/>
        <v>5323.1196300000001</v>
      </c>
      <c r="AP115" s="2027">
        <f t="shared" si="51"/>
        <v>5323.1196300000001</v>
      </c>
      <c r="AQ115" s="2027">
        <f t="shared" si="51"/>
        <v>10646.23926</v>
      </c>
      <c r="AR115" s="2027"/>
      <c r="AS115" s="2027">
        <f t="shared" si="45"/>
        <v>10646.23926</v>
      </c>
      <c r="AT115" s="2027">
        <f t="shared" si="52"/>
        <v>0</v>
      </c>
      <c r="AU115" s="2027">
        <f t="shared" si="53"/>
        <v>0</v>
      </c>
      <c r="AV115" s="2027">
        <f t="shared" si="53"/>
        <v>0</v>
      </c>
      <c r="AW115" s="2027">
        <f t="shared" si="49"/>
        <v>0</v>
      </c>
      <c r="AX115" s="2029">
        <v>400</v>
      </c>
      <c r="AY115" s="2029">
        <v>400</v>
      </c>
      <c r="AZ115" s="2029">
        <v>400</v>
      </c>
      <c r="BA115" s="2029">
        <v>400</v>
      </c>
      <c r="BB115" s="1974"/>
      <c r="BC115" s="2029">
        <v>0</v>
      </c>
      <c r="BD115" s="2029">
        <v>0</v>
      </c>
      <c r="BE115" s="2029">
        <v>0</v>
      </c>
      <c r="BF115" s="2029">
        <v>2558</v>
      </c>
      <c r="BG115" s="2029">
        <v>2558</v>
      </c>
      <c r="BH115" s="2029">
        <v>2558</v>
      </c>
      <c r="BI115" s="2029">
        <v>2558</v>
      </c>
      <c r="BJ115" s="2030">
        <f t="shared" si="55"/>
        <v>400</v>
      </c>
      <c r="BK115" s="2030">
        <f t="shared" si="55"/>
        <v>400</v>
      </c>
      <c r="BL115" s="2030">
        <f t="shared" si="55"/>
        <v>800</v>
      </c>
      <c r="BM115" s="2030"/>
      <c r="BN115" s="2030">
        <f t="shared" si="38"/>
        <v>800</v>
      </c>
      <c r="BO115" s="2030">
        <f t="shared" si="39"/>
        <v>0</v>
      </c>
      <c r="BP115" s="2030"/>
      <c r="BQ115" s="2030">
        <f t="shared" si="56"/>
        <v>0</v>
      </c>
      <c r="BR115" s="2030">
        <f t="shared" si="56"/>
        <v>0</v>
      </c>
      <c r="BS115" s="2030">
        <f t="shared" si="56"/>
        <v>0</v>
      </c>
      <c r="BT115" s="2031"/>
      <c r="BU115" s="2031"/>
      <c r="BV115" s="2031"/>
      <c r="BW115" s="2031"/>
      <c r="BX115" s="2031"/>
      <c r="BY115" s="2031"/>
      <c r="BZ115" s="2031"/>
      <c r="CA115" s="2031"/>
      <c r="CB115" s="2029"/>
      <c r="CC115" s="2029"/>
      <c r="CD115" s="2029"/>
      <c r="CE115" s="2029"/>
      <c r="CF115" s="2029"/>
      <c r="CG115" s="2032"/>
      <c r="CH115" s="1974"/>
      <c r="CI115" s="1974"/>
      <c r="CJ115" s="1974"/>
      <c r="CK115" s="1974"/>
      <c r="CL115" s="1974">
        <v>0</v>
      </c>
      <c r="CM115" s="2033">
        <v>1.7829883370903426E-5</v>
      </c>
      <c r="CN115" s="2026">
        <v>0</v>
      </c>
      <c r="CO115" s="1974">
        <v>0</v>
      </c>
      <c r="CP115" s="2040">
        <v>0</v>
      </c>
      <c r="CQ115" s="2040"/>
      <c r="CR115" s="2062">
        <v>1</v>
      </c>
      <c r="CS115" s="2062">
        <v>1</v>
      </c>
      <c r="CT115" s="2062">
        <v>1</v>
      </c>
      <c r="CU115" s="2062">
        <v>1</v>
      </c>
      <c r="CV115" s="2036"/>
      <c r="CW115" s="2036"/>
      <c r="CX115" s="2036"/>
      <c r="CY115" s="2036"/>
      <c r="CZ115" s="2036"/>
      <c r="DA115" s="2036"/>
    </row>
    <row r="116" spans="1:105" x14ac:dyDescent="0.25">
      <c r="A116" s="2185" t="s">
        <v>157</v>
      </c>
      <c r="B116" s="2022"/>
      <c r="C116" s="2023">
        <v>10</v>
      </c>
      <c r="D116" s="2023">
        <v>0</v>
      </c>
      <c r="E116" s="2024">
        <v>1969.66</v>
      </c>
      <c r="F116" s="2024"/>
      <c r="G116" s="2024">
        <v>0.30499999999999999</v>
      </c>
      <c r="H116" s="2024"/>
      <c r="I116" s="2023">
        <v>0</v>
      </c>
      <c r="J116" s="2027"/>
      <c r="K116" s="2026" t="s">
        <v>2899</v>
      </c>
      <c r="L116" s="2026" t="s">
        <v>2899</v>
      </c>
      <c r="M116" s="2026">
        <v>0.84899999999999998</v>
      </c>
      <c r="N116" s="2026">
        <v>0.84899999999999998</v>
      </c>
      <c r="O116" s="2026">
        <v>0.84899999999999998</v>
      </c>
      <c r="P116" s="2026">
        <v>0.84899999999999998</v>
      </c>
      <c r="Q116" s="2027">
        <f t="shared" si="41"/>
        <v>1672.24134</v>
      </c>
      <c r="R116" s="2027">
        <f t="shared" si="41"/>
        <v>1672.24134</v>
      </c>
      <c r="S116" s="2027">
        <f t="shared" si="41"/>
        <v>1672.24134</v>
      </c>
      <c r="T116" s="2027">
        <f t="shared" si="41"/>
        <v>1672.24134</v>
      </c>
      <c r="U116" s="2026">
        <v>0.84899999999999998</v>
      </c>
      <c r="V116" s="2026">
        <v>0.84899999999999998</v>
      </c>
      <c r="W116" s="2026">
        <v>0.84899999999999998</v>
      </c>
      <c r="X116" s="2026">
        <v>0.84899999999999998</v>
      </c>
      <c r="Y116" s="2028">
        <f t="shared" si="42"/>
        <v>0.25894499999999998</v>
      </c>
      <c r="Z116" s="2028">
        <f t="shared" si="42"/>
        <v>0.25894499999999998</v>
      </c>
      <c r="AA116" s="2028">
        <f t="shared" si="42"/>
        <v>0.25894499999999998</v>
      </c>
      <c r="AB116" s="2028">
        <f t="shared" si="42"/>
        <v>0.25894499999999998</v>
      </c>
      <c r="AC116" s="2026">
        <v>0.67500000000000004</v>
      </c>
      <c r="AD116" s="2026">
        <v>0.67500000000000004</v>
      </c>
      <c r="AE116" s="2026">
        <v>0.67500000000000004</v>
      </c>
      <c r="AF116" s="2026">
        <v>0.67500000000000004</v>
      </c>
      <c r="AG116" s="2027">
        <f t="shared" si="54"/>
        <v>0</v>
      </c>
      <c r="AH116" s="2027">
        <f t="shared" si="54"/>
        <v>0</v>
      </c>
      <c r="AI116" s="2027">
        <f t="shared" si="54"/>
        <v>0</v>
      </c>
      <c r="AJ116" s="2027">
        <f t="shared" si="54"/>
        <v>0</v>
      </c>
      <c r="AK116" s="2027">
        <v>8</v>
      </c>
      <c r="AL116" s="2027">
        <v>9</v>
      </c>
      <c r="AM116" s="2027">
        <v>10</v>
      </c>
      <c r="AN116" s="2027">
        <v>10</v>
      </c>
      <c r="AO116" s="2027">
        <f t="shared" si="50"/>
        <v>13377.93072</v>
      </c>
      <c r="AP116" s="2027">
        <f t="shared" si="51"/>
        <v>15050.172060000001</v>
      </c>
      <c r="AQ116" s="2027">
        <f t="shared" si="51"/>
        <v>16722.413400000001</v>
      </c>
      <c r="AR116" s="2027"/>
      <c r="AS116" s="2027">
        <f t="shared" si="45"/>
        <v>16722.413400000001</v>
      </c>
      <c r="AT116" s="2027">
        <f t="shared" si="52"/>
        <v>0</v>
      </c>
      <c r="AU116" s="2027">
        <f t="shared" si="53"/>
        <v>0</v>
      </c>
      <c r="AV116" s="2027">
        <f t="shared" si="53"/>
        <v>0</v>
      </c>
      <c r="AW116" s="2027">
        <f t="shared" si="49"/>
        <v>0</v>
      </c>
      <c r="AX116" s="2029">
        <v>120</v>
      </c>
      <c r="AY116" s="2029">
        <v>120</v>
      </c>
      <c r="AZ116" s="2029">
        <v>120</v>
      </c>
      <c r="BA116" s="2029">
        <v>120</v>
      </c>
      <c r="BB116" s="1974"/>
      <c r="BC116" s="2029">
        <v>0</v>
      </c>
      <c r="BD116" s="2029">
        <v>0</v>
      </c>
      <c r="BE116" s="2029">
        <v>0</v>
      </c>
      <c r="BF116" s="2029">
        <v>700</v>
      </c>
      <c r="BG116" s="2029">
        <v>700</v>
      </c>
      <c r="BH116" s="2029">
        <v>700</v>
      </c>
      <c r="BI116" s="2029">
        <v>700</v>
      </c>
      <c r="BJ116" s="2030">
        <f t="shared" si="55"/>
        <v>960</v>
      </c>
      <c r="BK116" s="2030">
        <f t="shared" si="55"/>
        <v>1080</v>
      </c>
      <c r="BL116" s="2030">
        <f t="shared" si="55"/>
        <v>1200</v>
      </c>
      <c r="BM116" s="2030"/>
      <c r="BN116" s="2030">
        <f t="shared" si="38"/>
        <v>1200</v>
      </c>
      <c r="BO116" s="2030">
        <f t="shared" si="39"/>
        <v>0</v>
      </c>
      <c r="BP116" s="2030"/>
      <c r="BQ116" s="2030">
        <f t="shared" si="56"/>
        <v>0</v>
      </c>
      <c r="BR116" s="2030">
        <f t="shared" si="56"/>
        <v>0</v>
      </c>
      <c r="BS116" s="2030">
        <f t="shared" si="56"/>
        <v>0</v>
      </c>
      <c r="BT116" s="2031"/>
      <c r="BU116" s="2031"/>
      <c r="BV116" s="2031"/>
      <c r="BW116" s="2031"/>
      <c r="BX116" s="2031"/>
      <c r="BY116" s="2031"/>
      <c r="BZ116" s="2031"/>
      <c r="CA116" s="2031"/>
      <c r="CB116" s="2029"/>
      <c r="CC116" s="2029"/>
      <c r="CD116" s="2029"/>
      <c r="CE116" s="2029"/>
      <c r="CF116" s="2029"/>
      <c r="CG116" s="2032"/>
      <c r="CH116" s="1974"/>
      <c r="CI116" s="1974"/>
      <c r="CJ116" s="1974"/>
      <c r="CK116" s="1974"/>
      <c r="CL116" s="1974">
        <v>0</v>
      </c>
      <c r="CM116" s="2033">
        <v>5.0410817564479455E-5</v>
      </c>
      <c r="CN116" s="2026">
        <v>0</v>
      </c>
      <c r="CO116" s="1974">
        <v>0</v>
      </c>
      <c r="CP116" s="2040">
        <v>0</v>
      </c>
      <c r="CQ116" s="2040"/>
      <c r="CR116" s="2062">
        <v>1</v>
      </c>
      <c r="CS116" s="2062">
        <v>1</v>
      </c>
      <c r="CT116" s="2062">
        <v>1</v>
      </c>
      <c r="CU116" s="2062">
        <v>1</v>
      </c>
      <c r="CV116" s="2036"/>
      <c r="CW116" s="2036"/>
      <c r="CX116" s="2036"/>
      <c r="CY116" s="2036"/>
      <c r="CZ116" s="2036"/>
      <c r="DA116" s="2036"/>
    </row>
    <row r="117" spans="1:105" s="2161" customFormat="1" x14ac:dyDescent="0.25">
      <c r="A117" s="2186" t="s">
        <v>158</v>
      </c>
      <c r="B117" s="2187" t="s">
        <v>2949</v>
      </c>
      <c r="C117" s="2043">
        <v>15</v>
      </c>
      <c r="D117" s="2043">
        <v>0</v>
      </c>
      <c r="E117" s="2044">
        <v>4486</v>
      </c>
      <c r="F117" s="2044"/>
      <c r="G117" s="2044">
        <v>0.76</v>
      </c>
      <c r="H117" s="2044"/>
      <c r="I117" s="2043">
        <v>7822.7093750000004</v>
      </c>
      <c r="J117" s="2146"/>
      <c r="K117" s="2153" t="s">
        <v>2899</v>
      </c>
      <c r="L117" s="2153" t="s">
        <v>2899</v>
      </c>
      <c r="M117" s="2153">
        <v>0.84899999999999998</v>
      </c>
      <c r="N117" s="2153">
        <v>0.84899999999999998</v>
      </c>
      <c r="O117" s="2153">
        <v>0.84899999999999998</v>
      </c>
      <c r="P117" s="2153">
        <v>0.84899999999999998</v>
      </c>
      <c r="Q117" s="2146">
        <f t="shared" si="41"/>
        <v>3808.614</v>
      </c>
      <c r="R117" s="2146">
        <f t="shared" si="41"/>
        <v>3808.614</v>
      </c>
      <c r="S117" s="2146">
        <f t="shared" si="41"/>
        <v>3808.614</v>
      </c>
      <c r="T117" s="2146">
        <f t="shared" si="41"/>
        <v>3808.614</v>
      </c>
      <c r="U117" s="2153">
        <v>0.84899999999999998</v>
      </c>
      <c r="V117" s="2153">
        <v>0.84899999999999998</v>
      </c>
      <c r="W117" s="2153">
        <v>0.84899999999999998</v>
      </c>
      <c r="X117" s="2153">
        <v>0.84899999999999998</v>
      </c>
      <c r="Y117" s="2129">
        <f t="shared" si="42"/>
        <v>0.64524000000000004</v>
      </c>
      <c r="Z117" s="2129">
        <f t="shared" si="42"/>
        <v>0.64524000000000004</v>
      </c>
      <c r="AA117" s="2129">
        <f t="shared" si="42"/>
        <v>0.64524000000000004</v>
      </c>
      <c r="AB117" s="2129">
        <f t="shared" si="42"/>
        <v>0.64524000000000004</v>
      </c>
      <c r="AC117" s="2153">
        <v>0.67500000000000004</v>
      </c>
      <c r="AD117" s="2153">
        <v>0.67500000000000004</v>
      </c>
      <c r="AE117" s="2153">
        <v>0.67500000000000004</v>
      </c>
      <c r="AF117" s="2153">
        <v>0.67500000000000004</v>
      </c>
      <c r="AG117" s="2146">
        <f t="shared" si="54"/>
        <v>5280.3288281250007</v>
      </c>
      <c r="AH117" s="2146">
        <f t="shared" si="54"/>
        <v>5280.3288281250007</v>
      </c>
      <c r="AI117" s="2146">
        <f t="shared" si="54"/>
        <v>5280.3288281250007</v>
      </c>
      <c r="AJ117" s="2146">
        <f t="shared" si="54"/>
        <v>5280.3288281250007</v>
      </c>
      <c r="AK117" s="2146">
        <v>3</v>
      </c>
      <c r="AL117" s="2146">
        <v>3</v>
      </c>
      <c r="AM117" s="2146">
        <v>3</v>
      </c>
      <c r="AN117" s="2146">
        <v>3</v>
      </c>
      <c r="AO117" s="2146">
        <f t="shared" si="50"/>
        <v>11425.842000000001</v>
      </c>
      <c r="AP117" s="2146">
        <f t="shared" si="51"/>
        <v>11425.842000000001</v>
      </c>
      <c r="AQ117" s="2146">
        <f t="shared" si="51"/>
        <v>11425.842000000001</v>
      </c>
      <c r="AR117" s="2146"/>
      <c r="AS117" s="2146">
        <f t="shared" si="45"/>
        <v>11425.842000000001</v>
      </c>
      <c r="AT117" s="2146">
        <f t="shared" si="52"/>
        <v>15840.986484375002</v>
      </c>
      <c r="AU117" s="2146">
        <f t="shared" si="53"/>
        <v>15840.986484375002</v>
      </c>
      <c r="AV117" s="2146">
        <f t="shared" si="53"/>
        <v>15840.986484375002</v>
      </c>
      <c r="AW117" s="2146">
        <f t="shared" si="49"/>
        <v>15840.986484375002</v>
      </c>
      <c r="AX117" s="2046">
        <v>223.12500000000003</v>
      </c>
      <c r="AY117" s="2046">
        <v>223.12500000000003</v>
      </c>
      <c r="AZ117" s="2046">
        <v>223.12500000000003</v>
      </c>
      <c r="BA117" s="2046">
        <v>223.12500000000003</v>
      </c>
      <c r="BB117" s="2046">
        <v>2964.375</v>
      </c>
      <c r="BC117" s="2046">
        <v>2964.375</v>
      </c>
      <c r="BD117" s="2046">
        <v>2964.375</v>
      </c>
      <c r="BE117" s="2046">
        <v>2964.375</v>
      </c>
      <c r="BF117" s="2046">
        <v>1988</v>
      </c>
      <c r="BG117" s="2046">
        <v>1988</v>
      </c>
      <c r="BH117" s="2046">
        <v>1988</v>
      </c>
      <c r="BI117" s="2046">
        <v>1988</v>
      </c>
      <c r="BJ117" s="2154">
        <f t="shared" si="55"/>
        <v>669.37500000000011</v>
      </c>
      <c r="BK117" s="2154">
        <f t="shared" si="55"/>
        <v>669.37500000000011</v>
      </c>
      <c r="BL117" s="2154">
        <f t="shared" si="55"/>
        <v>669.37500000000011</v>
      </c>
      <c r="BM117" s="2154"/>
      <c r="BN117" s="2154">
        <f t="shared" si="38"/>
        <v>669.37500000000011</v>
      </c>
      <c r="BO117" s="2154">
        <f t="shared" si="39"/>
        <v>8893.125</v>
      </c>
      <c r="BP117" s="2154"/>
      <c r="BQ117" s="2154">
        <f t="shared" si="56"/>
        <v>8893.125</v>
      </c>
      <c r="BR117" s="2154">
        <f t="shared" si="56"/>
        <v>8893.125</v>
      </c>
      <c r="BS117" s="2154">
        <f t="shared" si="56"/>
        <v>8893.125</v>
      </c>
      <c r="BT117" s="2063"/>
      <c r="BU117" s="2063"/>
      <c r="BV117" s="2063"/>
      <c r="BW117" s="2063"/>
      <c r="BX117" s="2063"/>
      <c r="BY117" s="2063"/>
      <c r="BZ117" s="2063"/>
      <c r="CA117" s="2063"/>
      <c r="CB117" s="2046"/>
      <c r="CC117" s="2046"/>
      <c r="CD117" s="2046"/>
      <c r="CE117" s="2046"/>
      <c r="CF117" s="2046"/>
      <c r="CG117" s="2156"/>
      <c r="CH117" s="2047"/>
      <c r="CI117" s="2047"/>
      <c r="CJ117" s="2047"/>
      <c r="CK117" s="2047"/>
      <c r="CL117" s="2047">
        <v>0</v>
      </c>
      <c r="CM117" s="2157">
        <v>7.6542119822458298E-5</v>
      </c>
      <c r="CN117" s="2153">
        <v>1.0205353628367936E-2</v>
      </c>
      <c r="CO117" s="2047">
        <v>0</v>
      </c>
      <c r="CP117" s="2188">
        <v>0</v>
      </c>
      <c r="CQ117" s="2188"/>
      <c r="CR117" s="2189">
        <v>1</v>
      </c>
      <c r="CS117" s="2189">
        <v>1</v>
      </c>
      <c r="CT117" s="2189">
        <v>1</v>
      </c>
      <c r="CU117" s="2189">
        <v>1</v>
      </c>
      <c r="CV117" s="2160"/>
      <c r="CW117" s="2160"/>
      <c r="CX117" s="2160"/>
      <c r="CY117" s="2160"/>
      <c r="CZ117" s="2160"/>
      <c r="DA117" s="2160"/>
    </row>
    <row r="118" spans="1:105" x14ac:dyDescent="0.25">
      <c r="A118" s="2185" t="s">
        <v>159</v>
      </c>
      <c r="B118" s="2022"/>
      <c r="C118" s="2023">
        <v>15</v>
      </c>
      <c r="D118" s="2023">
        <v>1</v>
      </c>
      <c r="E118" s="1973">
        <f>F118*$CS118</f>
        <v>167.00986740139751</v>
      </c>
      <c r="F118" s="2024">
        <v>167.00986740139751</v>
      </c>
      <c r="G118" s="1973">
        <f>H118*$CS118</f>
        <v>3.6658771183834489E-2</v>
      </c>
      <c r="H118" s="2024">
        <v>3.6658771183834489E-2</v>
      </c>
      <c r="I118" s="1973">
        <f>J118*$CS118</f>
        <v>-2.5484437443116437</v>
      </c>
      <c r="J118" s="2023">
        <v>-2.5484437443116437</v>
      </c>
      <c r="K118" s="2026" t="s">
        <v>4</v>
      </c>
      <c r="L118" s="2026" t="s">
        <v>4</v>
      </c>
      <c r="M118" s="2026">
        <v>0.77800000000000002</v>
      </c>
      <c r="N118" s="2026">
        <v>0.77800000000000002</v>
      </c>
      <c r="O118" s="2026">
        <v>0.77800000000000002</v>
      </c>
      <c r="P118" s="2026">
        <v>0.77800000000000002</v>
      </c>
      <c r="Q118" s="2027">
        <f>$F118*M118</f>
        <v>129.93367683828728</v>
      </c>
      <c r="R118" s="2027">
        <f>$F118*N118</f>
        <v>129.93367683828728</v>
      </c>
      <c r="S118" s="2027">
        <f>$F118*O118</f>
        <v>129.93367683828728</v>
      </c>
      <c r="T118" s="2027">
        <f>$F118*P118</f>
        <v>129.93367683828728</v>
      </c>
      <c r="U118" s="2026">
        <v>0.77800000000000002</v>
      </c>
      <c r="V118" s="2026">
        <v>0.77800000000000002</v>
      </c>
      <c r="W118" s="2026">
        <v>0.77800000000000002</v>
      </c>
      <c r="X118" s="2026">
        <v>0.77800000000000002</v>
      </c>
      <c r="Y118" s="2028">
        <f>$H118*U118</f>
        <v>2.8520523981023234E-2</v>
      </c>
      <c r="Z118" s="2028">
        <f>$H118*V118</f>
        <v>2.8520523981023234E-2</v>
      </c>
      <c r="AA118" s="2028">
        <f>$H118*W118</f>
        <v>2.8520523981023234E-2</v>
      </c>
      <c r="AB118" s="2028">
        <f>$H118*X118</f>
        <v>2.8520523981023234E-2</v>
      </c>
      <c r="AC118" s="2026">
        <v>0.77800000000000002</v>
      </c>
      <c r="AD118" s="2026">
        <v>0.77800000000000002</v>
      </c>
      <c r="AE118" s="2026">
        <v>0.77800000000000002</v>
      </c>
      <c r="AF118" s="2026">
        <v>0.77800000000000002</v>
      </c>
      <c r="AG118" s="2027">
        <f>$J118*AC118</f>
        <v>-1.9826892330744588</v>
      </c>
      <c r="AH118" s="2027">
        <f>$J118*AD118</f>
        <v>-1.9826892330744588</v>
      </c>
      <c r="AI118" s="2027">
        <f>$J118*AE118</f>
        <v>-1.9826892330744588</v>
      </c>
      <c r="AJ118" s="2027">
        <f>$J118*AF118</f>
        <v>-1.9826892330744588</v>
      </c>
      <c r="AK118" s="2027">
        <v>8</v>
      </c>
      <c r="AL118" s="2027">
        <v>0</v>
      </c>
      <c r="AM118" s="2027">
        <v>0</v>
      </c>
      <c r="AN118" s="2027">
        <v>0</v>
      </c>
      <c r="AO118" s="2027">
        <f t="shared" si="50"/>
        <v>1039.4694147062983</v>
      </c>
      <c r="AP118" s="2027">
        <f t="shared" si="51"/>
        <v>0</v>
      </c>
      <c r="AQ118" s="2027">
        <f t="shared" si="51"/>
        <v>0</v>
      </c>
      <c r="AR118" s="2027"/>
      <c r="AS118" s="2027">
        <f t="shared" si="45"/>
        <v>0</v>
      </c>
      <c r="AT118" s="2027">
        <f t="shared" si="52"/>
        <v>-15.86151386459567</v>
      </c>
      <c r="AU118" s="2027">
        <f t="shared" si="53"/>
        <v>0</v>
      </c>
      <c r="AV118" s="2027">
        <f t="shared" si="53"/>
        <v>0</v>
      </c>
      <c r="AW118" s="2027">
        <f t="shared" si="49"/>
        <v>0</v>
      </c>
      <c r="AX118" s="2029">
        <v>8.3281250000000249</v>
      </c>
      <c r="AY118" s="2029">
        <v>8.3281250000000249</v>
      </c>
      <c r="AZ118" s="2029">
        <v>8.3281250000000249</v>
      </c>
      <c r="BA118" s="2029">
        <v>8.3281250000000249</v>
      </c>
      <c r="BB118" s="1974"/>
      <c r="BC118" s="2029">
        <v>0</v>
      </c>
      <c r="BD118" s="2029">
        <v>0</v>
      </c>
      <c r="BE118" s="2029">
        <v>0</v>
      </c>
      <c r="BF118" s="2029">
        <v>57.5</v>
      </c>
      <c r="BG118" s="2029">
        <v>57.5</v>
      </c>
      <c r="BH118" s="2029">
        <v>57.5</v>
      </c>
      <c r="BI118" s="2029">
        <v>57.5</v>
      </c>
      <c r="BJ118" s="2030">
        <f t="shared" si="55"/>
        <v>66.625000000000199</v>
      </c>
      <c r="BK118" s="2030">
        <f t="shared" si="55"/>
        <v>0</v>
      </c>
      <c r="BL118" s="2030">
        <f t="shared" si="55"/>
        <v>0</v>
      </c>
      <c r="BM118" s="2030"/>
      <c r="BN118" s="2030">
        <f t="shared" si="38"/>
        <v>0</v>
      </c>
      <c r="BO118" s="2030">
        <f t="shared" si="39"/>
        <v>0</v>
      </c>
      <c r="BP118" s="2030"/>
      <c r="BQ118" s="2030">
        <f t="shared" si="56"/>
        <v>0</v>
      </c>
      <c r="BR118" s="2030">
        <f t="shared" si="56"/>
        <v>0</v>
      </c>
      <c r="BS118" s="2030">
        <f t="shared" si="56"/>
        <v>0</v>
      </c>
      <c r="BT118" s="2031"/>
      <c r="BU118" s="2031"/>
      <c r="BV118" s="2031"/>
      <c r="BW118" s="2031"/>
      <c r="BX118" s="2031"/>
      <c r="BY118" s="2031"/>
      <c r="BZ118" s="2031"/>
      <c r="CA118" s="2031"/>
      <c r="CB118" s="2029"/>
      <c r="CC118" s="2029"/>
      <c r="CD118" s="2029"/>
      <c r="CE118" s="2029"/>
      <c r="CF118" s="2029"/>
      <c r="CG118" s="2032"/>
      <c r="CH118" s="1974"/>
      <c r="CI118" s="1974"/>
      <c r="CJ118" s="1974"/>
      <c r="CK118" s="1974"/>
      <c r="CL118" s="1974">
        <v>1</v>
      </c>
      <c r="CM118" s="2033">
        <v>4.3521514919989093E-6</v>
      </c>
      <c r="CN118" s="2026">
        <v>-6.3866113321416654E-6</v>
      </c>
      <c r="CO118" s="1974">
        <v>1</v>
      </c>
      <c r="CP118" s="2040">
        <v>-0.67827777777777754</v>
      </c>
      <c r="CQ118" s="2040"/>
      <c r="CR118" s="2062">
        <v>1</v>
      </c>
      <c r="CS118" s="2062">
        <v>1</v>
      </c>
      <c r="CT118" s="2121">
        <v>0.3</v>
      </c>
      <c r="CU118" s="2121">
        <v>0.3</v>
      </c>
      <c r="CV118" s="2036"/>
      <c r="CW118" s="2036"/>
      <c r="CX118" s="2036"/>
      <c r="CY118" s="2036"/>
      <c r="CZ118" s="2036"/>
      <c r="DA118" s="2036"/>
    </row>
    <row r="119" spans="1:105" x14ac:dyDescent="0.25">
      <c r="A119" s="2185" t="s">
        <v>160</v>
      </c>
      <c r="B119" s="2022"/>
      <c r="C119" s="2023">
        <v>8</v>
      </c>
      <c r="D119" s="2023">
        <v>0</v>
      </c>
      <c r="E119" s="2024">
        <v>1104</v>
      </c>
      <c r="F119" s="2024"/>
      <c r="G119" s="2024">
        <v>0.182</v>
      </c>
      <c r="H119" s="2024"/>
      <c r="I119" s="2023">
        <v>-19.39</v>
      </c>
      <c r="J119" s="2027"/>
      <c r="K119" s="2026" t="s">
        <v>4</v>
      </c>
      <c r="L119" s="2026" t="s">
        <v>4</v>
      </c>
      <c r="M119" s="2026">
        <v>0.77800000000000002</v>
      </c>
      <c r="N119" s="2026">
        <v>0.77800000000000002</v>
      </c>
      <c r="O119" s="2026">
        <v>0.77800000000000002</v>
      </c>
      <c r="P119" s="2026">
        <v>0.77800000000000002</v>
      </c>
      <c r="Q119" s="2027">
        <f t="shared" si="41"/>
        <v>858.91200000000003</v>
      </c>
      <c r="R119" s="2027">
        <f t="shared" si="41"/>
        <v>858.91200000000003</v>
      </c>
      <c r="S119" s="2027">
        <f t="shared" si="41"/>
        <v>858.91200000000003</v>
      </c>
      <c r="T119" s="2027">
        <f t="shared" si="41"/>
        <v>858.91200000000003</v>
      </c>
      <c r="U119" s="2026">
        <v>0.77800000000000002</v>
      </c>
      <c r="V119" s="2026">
        <v>0.77800000000000002</v>
      </c>
      <c r="W119" s="2026">
        <v>0.77800000000000002</v>
      </c>
      <c r="X119" s="2026">
        <v>0.77800000000000002</v>
      </c>
      <c r="Y119" s="2028">
        <f t="shared" si="42"/>
        <v>0.141596</v>
      </c>
      <c r="Z119" s="2028">
        <f t="shared" si="42"/>
        <v>0.141596</v>
      </c>
      <c r="AA119" s="2028">
        <f t="shared" si="42"/>
        <v>0.141596</v>
      </c>
      <c r="AB119" s="2028">
        <f t="shared" si="42"/>
        <v>0.141596</v>
      </c>
      <c r="AC119" s="2026">
        <v>0.77800000000000002</v>
      </c>
      <c r="AD119" s="2026">
        <v>0.77800000000000002</v>
      </c>
      <c r="AE119" s="2026">
        <v>0.77800000000000002</v>
      </c>
      <c r="AF119" s="2026">
        <v>0.77800000000000002</v>
      </c>
      <c r="AG119" s="2027">
        <f t="shared" ref="AG119:AJ146" si="57">$I119*AC119</f>
        <v>-15.085420000000001</v>
      </c>
      <c r="AH119" s="2027">
        <f t="shared" si="57"/>
        <v>-15.085420000000001</v>
      </c>
      <c r="AI119" s="2027">
        <f t="shared" si="57"/>
        <v>-15.085420000000001</v>
      </c>
      <c r="AJ119" s="2027">
        <f t="shared" si="57"/>
        <v>-15.085420000000001</v>
      </c>
      <c r="AK119" s="2027">
        <v>121</v>
      </c>
      <c r="AL119" s="2027">
        <v>157</v>
      </c>
      <c r="AM119" s="2027">
        <v>192</v>
      </c>
      <c r="AN119" s="2027">
        <v>243</v>
      </c>
      <c r="AO119" s="2027">
        <f t="shared" si="50"/>
        <v>103928.352</v>
      </c>
      <c r="AP119" s="2027">
        <f t="shared" si="51"/>
        <v>134849.18400000001</v>
      </c>
      <c r="AQ119" s="2027">
        <f t="shared" si="51"/>
        <v>164911.10399999999</v>
      </c>
      <c r="AR119" s="2027"/>
      <c r="AS119" s="2027">
        <f t="shared" si="45"/>
        <v>208715.61600000001</v>
      </c>
      <c r="AT119" s="2027">
        <f t="shared" si="52"/>
        <v>-1825.33582</v>
      </c>
      <c r="AU119" s="2027">
        <f t="shared" si="53"/>
        <v>-2368.4109400000002</v>
      </c>
      <c r="AV119" s="2027">
        <f t="shared" si="53"/>
        <v>-2896.4006400000003</v>
      </c>
      <c r="AW119" s="2027">
        <f t="shared" si="49"/>
        <v>-3665.7570600000004</v>
      </c>
      <c r="AX119" s="2029">
        <v>50</v>
      </c>
      <c r="AY119" s="2029">
        <v>50</v>
      </c>
      <c r="AZ119" s="2029">
        <v>50</v>
      </c>
      <c r="BA119" s="2029">
        <v>50</v>
      </c>
      <c r="BB119" s="1974"/>
      <c r="BC119" s="2029">
        <v>0</v>
      </c>
      <c r="BD119" s="2029">
        <v>0</v>
      </c>
      <c r="BE119" s="2029">
        <v>0</v>
      </c>
      <c r="BF119" s="2029">
        <v>274</v>
      </c>
      <c r="BG119" s="2029">
        <v>274</v>
      </c>
      <c r="BH119" s="2029">
        <v>274</v>
      </c>
      <c r="BI119" s="2029">
        <v>274</v>
      </c>
      <c r="BJ119" s="2030">
        <f t="shared" si="55"/>
        <v>6050</v>
      </c>
      <c r="BK119" s="2030">
        <f t="shared" si="55"/>
        <v>7850</v>
      </c>
      <c r="BL119" s="2030">
        <f t="shared" si="55"/>
        <v>9600</v>
      </c>
      <c r="BM119" s="2030"/>
      <c r="BN119" s="2030">
        <f t="shared" si="38"/>
        <v>12150</v>
      </c>
      <c r="BO119" s="2030">
        <f t="shared" si="39"/>
        <v>0</v>
      </c>
      <c r="BP119" s="2030"/>
      <c r="BQ119" s="2030">
        <f t="shared" si="56"/>
        <v>0</v>
      </c>
      <c r="BR119" s="2030">
        <f t="shared" si="56"/>
        <v>0</v>
      </c>
      <c r="BS119" s="2030">
        <f t="shared" si="56"/>
        <v>0</v>
      </c>
      <c r="BT119" s="2031"/>
      <c r="BU119" s="2031"/>
      <c r="BV119" s="2031"/>
      <c r="BW119" s="2031"/>
      <c r="BX119" s="2031"/>
      <c r="BY119" s="2031"/>
      <c r="BZ119" s="2031"/>
      <c r="CA119" s="2031"/>
      <c r="CB119" s="2029"/>
      <c r="CC119" s="2029"/>
      <c r="CD119" s="2029"/>
      <c r="CE119" s="2029"/>
      <c r="CF119" s="2029"/>
      <c r="CG119" s="2032"/>
      <c r="CH119" s="1974"/>
      <c r="CI119" s="1974"/>
      <c r="CJ119" s="1974"/>
      <c r="CK119" s="1974"/>
      <c r="CL119" s="1974">
        <v>0</v>
      </c>
      <c r="CM119" s="2033">
        <v>3.9701784955939034E-4</v>
      </c>
      <c r="CN119" s="2026">
        <v>-6.7058267905330238E-4</v>
      </c>
      <c r="CO119" s="1974">
        <v>0</v>
      </c>
      <c r="CP119" s="2040">
        <v>0</v>
      </c>
      <c r="CQ119" s="2040"/>
      <c r="CR119" s="2062">
        <v>1</v>
      </c>
      <c r="CS119" s="2062">
        <v>1</v>
      </c>
      <c r="CT119" s="2062">
        <v>1</v>
      </c>
      <c r="CU119" s="2062">
        <v>1</v>
      </c>
      <c r="CV119" s="2036"/>
      <c r="CW119" s="2036"/>
      <c r="CX119" s="2036"/>
      <c r="CY119" s="2036"/>
      <c r="CZ119" s="2036"/>
      <c r="DA119" s="2036"/>
    </row>
    <row r="120" spans="1:105" x14ac:dyDescent="0.25">
      <c r="A120" s="2185" t="s">
        <v>161</v>
      </c>
      <c r="B120" s="2022"/>
      <c r="C120" s="2023">
        <v>14</v>
      </c>
      <c r="D120" s="2023">
        <v>0</v>
      </c>
      <c r="E120" s="2024">
        <v>1310</v>
      </c>
      <c r="F120" s="2024"/>
      <c r="G120" s="2024">
        <v>0</v>
      </c>
      <c r="H120" s="2024"/>
      <c r="I120" s="2023">
        <v>0</v>
      </c>
      <c r="J120" s="2027"/>
      <c r="K120" s="2026" t="s">
        <v>2899</v>
      </c>
      <c r="L120" s="2026" t="s">
        <v>2899</v>
      </c>
      <c r="M120" s="2026">
        <v>0.84899999999999998</v>
      </c>
      <c r="N120" s="2026">
        <v>0.84899999999999998</v>
      </c>
      <c r="O120" s="2026">
        <v>0.84899999999999998</v>
      </c>
      <c r="P120" s="2026">
        <v>0.84899999999999998</v>
      </c>
      <c r="Q120" s="2027">
        <f t="shared" si="41"/>
        <v>1112.19</v>
      </c>
      <c r="R120" s="2027">
        <f t="shared" si="41"/>
        <v>1112.19</v>
      </c>
      <c r="S120" s="2027">
        <f t="shared" si="41"/>
        <v>1112.19</v>
      </c>
      <c r="T120" s="2027">
        <f t="shared" si="41"/>
        <v>1112.19</v>
      </c>
      <c r="U120" s="2026">
        <v>0.84899999999999998</v>
      </c>
      <c r="V120" s="2026">
        <v>0.84899999999999998</v>
      </c>
      <c r="W120" s="2026">
        <v>0.84899999999999998</v>
      </c>
      <c r="X120" s="2026">
        <v>0.84899999999999998</v>
      </c>
      <c r="Y120" s="2028">
        <f t="shared" si="42"/>
        <v>0</v>
      </c>
      <c r="Z120" s="2028">
        <f t="shared" si="42"/>
        <v>0</v>
      </c>
      <c r="AA120" s="2028">
        <f t="shared" si="42"/>
        <v>0</v>
      </c>
      <c r="AB120" s="2028">
        <f t="shared" si="42"/>
        <v>0</v>
      </c>
      <c r="AC120" s="2026">
        <v>0.67500000000000004</v>
      </c>
      <c r="AD120" s="2026">
        <v>0.67500000000000004</v>
      </c>
      <c r="AE120" s="2026">
        <v>0.67500000000000004</v>
      </c>
      <c r="AF120" s="2026">
        <v>0.67500000000000004</v>
      </c>
      <c r="AG120" s="2027">
        <f t="shared" si="57"/>
        <v>0</v>
      </c>
      <c r="AH120" s="2027">
        <f t="shared" si="57"/>
        <v>0</v>
      </c>
      <c r="AI120" s="2027">
        <f t="shared" si="57"/>
        <v>0</v>
      </c>
      <c r="AJ120" s="2027">
        <f t="shared" si="57"/>
        <v>0</v>
      </c>
      <c r="AK120" s="2027">
        <v>1</v>
      </c>
      <c r="AL120" s="2027">
        <v>2</v>
      </c>
      <c r="AM120" s="2027">
        <v>2</v>
      </c>
      <c r="AN120" s="2027">
        <v>2</v>
      </c>
      <c r="AO120" s="2027">
        <f t="shared" si="50"/>
        <v>1112.19</v>
      </c>
      <c r="AP120" s="2027">
        <f t="shared" si="51"/>
        <v>2224.38</v>
      </c>
      <c r="AQ120" s="2027">
        <f t="shared" si="51"/>
        <v>2224.38</v>
      </c>
      <c r="AR120" s="2027"/>
      <c r="AS120" s="2027">
        <f t="shared" si="45"/>
        <v>2224.38</v>
      </c>
      <c r="AT120" s="2027">
        <f t="shared" si="52"/>
        <v>0</v>
      </c>
      <c r="AU120" s="2027">
        <f t="shared" si="53"/>
        <v>0</v>
      </c>
      <c r="AV120" s="2027">
        <f t="shared" si="53"/>
        <v>0</v>
      </c>
      <c r="AW120" s="2027">
        <f t="shared" si="49"/>
        <v>0</v>
      </c>
      <c r="AX120" s="2029">
        <v>100</v>
      </c>
      <c r="AY120" s="2029">
        <v>100</v>
      </c>
      <c r="AZ120" s="2029">
        <v>100</v>
      </c>
      <c r="BA120" s="2029">
        <v>100</v>
      </c>
      <c r="BB120" s="1974"/>
      <c r="BC120" s="2029">
        <v>0</v>
      </c>
      <c r="BD120" s="2029">
        <v>0</v>
      </c>
      <c r="BE120" s="2029">
        <v>0</v>
      </c>
      <c r="BF120" s="2029">
        <v>500</v>
      </c>
      <c r="BG120" s="2029">
        <v>500</v>
      </c>
      <c r="BH120" s="2029">
        <v>500</v>
      </c>
      <c r="BI120" s="2029">
        <v>500</v>
      </c>
      <c r="BJ120" s="2030">
        <f t="shared" si="55"/>
        <v>100</v>
      </c>
      <c r="BK120" s="2030">
        <f t="shared" si="55"/>
        <v>200</v>
      </c>
      <c r="BL120" s="2030">
        <f t="shared" si="55"/>
        <v>200</v>
      </c>
      <c r="BM120" s="2030"/>
      <c r="BN120" s="2030">
        <f t="shared" si="38"/>
        <v>200</v>
      </c>
      <c r="BO120" s="2030">
        <f t="shared" si="39"/>
        <v>0</v>
      </c>
      <c r="BP120" s="2030"/>
      <c r="BQ120" s="2030">
        <f t="shared" si="56"/>
        <v>0</v>
      </c>
      <c r="BR120" s="2030">
        <f t="shared" si="56"/>
        <v>0</v>
      </c>
      <c r="BS120" s="2030">
        <f t="shared" si="56"/>
        <v>0</v>
      </c>
      <c r="BT120" s="2031"/>
      <c r="BU120" s="2031"/>
      <c r="BV120" s="2031"/>
      <c r="BW120" s="2031"/>
      <c r="BX120" s="2031"/>
      <c r="BY120" s="2031"/>
      <c r="BZ120" s="2031"/>
      <c r="CA120" s="2031"/>
      <c r="CB120" s="2029"/>
      <c r="CC120" s="2029"/>
      <c r="CD120" s="2029"/>
      <c r="CE120" s="2029"/>
      <c r="CF120" s="2029"/>
      <c r="CG120" s="2032"/>
      <c r="CH120" s="1974"/>
      <c r="CI120" s="1974"/>
      <c r="CJ120" s="1974"/>
      <c r="CK120" s="1974"/>
      <c r="CL120" s="1974">
        <v>0</v>
      </c>
      <c r="CM120" s="2033">
        <v>3.7253000805253519E-6</v>
      </c>
      <c r="CN120" s="2026">
        <v>0</v>
      </c>
      <c r="CO120" s="1974">
        <v>0</v>
      </c>
      <c r="CP120" s="2040">
        <v>0</v>
      </c>
      <c r="CQ120" s="2040"/>
      <c r="CR120" s="2062">
        <v>1</v>
      </c>
      <c r="CS120" s="2062">
        <v>1</v>
      </c>
      <c r="CT120" s="2062">
        <v>1</v>
      </c>
      <c r="CU120" s="2062">
        <v>1</v>
      </c>
      <c r="CV120" s="2036"/>
      <c r="CW120" s="2036"/>
      <c r="CX120" s="2036"/>
      <c r="CY120" s="2049"/>
      <c r="CZ120" s="2049"/>
      <c r="DA120" s="2049"/>
    </row>
    <row r="121" spans="1:105" x14ac:dyDescent="0.25">
      <c r="A121" s="2185" t="s">
        <v>162</v>
      </c>
      <c r="B121" s="2022"/>
      <c r="C121" s="2023">
        <v>10</v>
      </c>
      <c r="D121" s="2023">
        <v>0</v>
      </c>
      <c r="E121" s="2024">
        <v>613.20000000000005</v>
      </c>
      <c r="F121" s="2024"/>
      <c r="G121" s="2024">
        <v>0.05</v>
      </c>
      <c r="H121" s="2024"/>
      <c r="I121" s="2023">
        <v>-9.6</v>
      </c>
      <c r="J121" s="2027"/>
      <c r="K121" s="2026" t="s">
        <v>2899</v>
      </c>
      <c r="L121" s="2026" t="s">
        <v>2899</v>
      </c>
      <c r="M121" s="2026">
        <v>0.84899999999999998</v>
      </c>
      <c r="N121" s="2026">
        <v>0.84899999999999998</v>
      </c>
      <c r="O121" s="2026">
        <v>0.84899999999999998</v>
      </c>
      <c r="P121" s="2026">
        <v>0.84899999999999998</v>
      </c>
      <c r="Q121" s="2027">
        <f t="shared" si="41"/>
        <v>520.60680000000002</v>
      </c>
      <c r="R121" s="2027">
        <f t="shared" si="41"/>
        <v>520.60680000000002</v>
      </c>
      <c r="S121" s="2027">
        <f t="shared" si="41"/>
        <v>520.60680000000002</v>
      </c>
      <c r="T121" s="2027">
        <f t="shared" si="41"/>
        <v>520.60680000000002</v>
      </c>
      <c r="U121" s="2026">
        <v>0.84899999999999998</v>
      </c>
      <c r="V121" s="2026">
        <v>0.84899999999999998</v>
      </c>
      <c r="W121" s="2026">
        <v>0.84899999999999998</v>
      </c>
      <c r="X121" s="2026">
        <v>0.84899999999999998</v>
      </c>
      <c r="Y121" s="2028">
        <f t="shared" si="42"/>
        <v>4.2450000000000002E-2</v>
      </c>
      <c r="Z121" s="2028">
        <f t="shared" si="42"/>
        <v>4.2450000000000002E-2</v>
      </c>
      <c r="AA121" s="2028">
        <f t="shared" si="42"/>
        <v>4.2450000000000002E-2</v>
      </c>
      <c r="AB121" s="2028">
        <f t="shared" si="42"/>
        <v>4.2450000000000002E-2</v>
      </c>
      <c r="AC121" s="2026">
        <v>0.67500000000000004</v>
      </c>
      <c r="AD121" s="2026">
        <v>0.67500000000000004</v>
      </c>
      <c r="AE121" s="2026">
        <v>0.67500000000000004</v>
      </c>
      <c r="AF121" s="2026">
        <v>0.67500000000000004</v>
      </c>
      <c r="AG121" s="2027">
        <f t="shared" si="57"/>
        <v>-6.48</v>
      </c>
      <c r="AH121" s="2027">
        <f t="shared" si="57"/>
        <v>-6.48</v>
      </c>
      <c r="AI121" s="2027">
        <f t="shared" si="57"/>
        <v>-6.48</v>
      </c>
      <c r="AJ121" s="2027">
        <f t="shared" si="57"/>
        <v>-6.48</v>
      </c>
      <c r="AK121" s="2027">
        <v>1</v>
      </c>
      <c r="AL121" s="2027">
        <v>1</v>
      </c>
      <c r="AM121" s="2027">
        <v>1</v>
      </c>
      <c r="AN121" s="2027">
        <v>1</v>
      </c>
      <c r="AO121" s="2027">
        <f t="shared" si="50"/>
        <v>520.60680000000002</v>
      </c>
      <c r="AP121" s="2027">
        <f t="shared" si="51"/>
        <v>520.60680000000002</v>
      </c>
      <c r="AQ121" s="2027">
        <f t="shared" si="51"/>
        <v>520.60680000000002</v>
      </c>
      <c r="AR121" s="2027"/>
      <c r="AS121" s="2027">
        <f t="shared" si="45"/>
        <v>520.60680000000002</v>
      </c>
      <c r="AT121" s="2027">
        <f t="shared" si="52"/>
        <v>-6.48</v>
      </c>
      <c r="AU121" s="2027">
        <f t="shared" si="53"/>
        <v>-6.48</v>
      </c>
      <c r="AV121" s="2027">
        <f t="shared" si="53"/>
        <v>-6.48</v>
      </c>
      <c r="AW121" s="2027">
        <f t="shared" si="49"/>
        <v>-6.48</v>
      </c>
      <c r="AX121" s="2029">
        <v>60</v>
      </c>
      <c r="AY121" s="2029">
        <v>60</v>
      </c>
      <c r="AZ121" s="2029">
        <v>60</v>
      </c>
      <c r="BA121" s="2029">
        <v>60</v>
      </c>
      <c r="BB121" s="1974"/>
      <c r="BC121" s="2029">
        <v>0</v>
      </c>
      <c r="BD121" s="2029">
        <v>0</v>
      </c>
      <c r="BE121" s="2029">
        <v>0</v>
      </c>
      <c r="BF121" s="2029">
        <v>117</v>
      </c>
      <c r="BG121" s="2029">
        <v>117</v>
      </c>
      <c r="BH121" s="2029">
        <v>117</v>
      </c>
      <c r="BI121" s="2029">
        <v>117</v>
      </c>
      <c r="BJ121" s="2030">
        <f t="shared" si="55"/>
        <v>60</v>
      </c>
      <c r="BK121" s="2030">
        <f t="shared" si="55"/>
        <v>60</v>
      </c>
      <c r="BL121" s="2030">
        <f t="shared" si="55"/>
        <v>60</v>
      </c>
      <c r="BM121" s="2030"/>
      <c r="BN121" s="2030">
        <f t="shared" si="38"/>
        <v>60</v>
      </c>
      <c r="BO121" s="2030">
        <f t="shared" si="39"/>
        <v>0</v>
      </c>
      <c r="BP121" s="2030"/>
      <c r="BQ121" s="2030">
        <f t="shared" si="56"/>
        <v>0</v>
      </c>
      <c r="BR121" s="2030">
        <f t="shared" si="56"/>
        <v>0</v>
      </c>
      <c r="BS121" s="2030">
        <f t="shared" si="56"/>
        <v>0</v>
      </c>
      <c r="BT121" s="2031"/>
      <c r="BU121" s="2031"/>
      <c r="BV121" s="2031"/>
      <c r="BW121" s="2031"/>
      <c r="BX121" s="2031"/>
      <c r="BY121" s="2031"/>
      <c r="BZ121" s="2031"/>
      <c r="CA121" s="2031"/>
      <c r="CB121" s="2029"/>
      <c r="CC121" s="2029"/>
      <c r="CD121" s="2029"/>
      <c r="CE121" s="2029"/>
      <c r="CF121" s="2029"/>
      <c r="CG121" s="2032"/>
      <c r="CH121" s="1974"/>
      <c r="CI121" s="1974"/>
      <c r="CJ121" s="1974"/>
      <c r="CK121" s="1974"/>
      <c r="CL121" s="1974">
        <v>0</v>
      </c>
      <c r="CM121" s="2033">
        <v>1.7437816865482029E-6</v>
      </c>
      <c r="CN121" s="2026">
        <v>-2.0873287019420554E-6</v>
      </c>
      <c r="CO121" s="1974">
        <v>0</v>
      </c>
      <c r="CP121" s="2040">
        <v>0</v>
      </c>
      <c r="CQ121" s="2040"/>
      <c r="CR121" s="2062">
        <v>1</v>
      </c>
      <c r="CS121" s="2062">
        <v>1</v>
      </c>
      <c r="CT121" s="2062">
        <v>1</v>
      </c>
      <c r="CU121" s="2062">
        <v>1</v>
      </c>
      <c r="CV121" s="2036"/>
      <c r="CW121" s="2036"/>
      <c r="CX121" s="2036"/>
      <c r="CY121" s="2049"/>
      <c r="CZ121" s="2049"/>
      <c r="DA121" s="2049"/>
    </row>
    <row r="122" spans="1:105" x14ac:dyDescent="0.25">
      <c r="A122" s="2185" t="s">
        <v>241</v>
      </c>
      <c r="B122" s="2022"/>
      <c r="C122" s="2023">
        <v>15</v>
      </c>
      <c r="D122" s="2023">
        <v>0</v>
      </c>
      <c r="E122" s="2024">
        <v>0</v>
      </c>
      <c r="F122" s="2024"/>
      <c r="G122" s="2024">
        <v>0</v>
      </c>
      <c r="H122" s="2024"/>
      <c r="I122" s="2055">
        <v>5.1875000000000004E-2</v>
      </c>
      <c r="J122" s="2027"/>
      <c r="K122" s="2026" t="s">
        <v>20</v>
      </c>
      <c r="L122" s="2026" t="s">
        <v>20</v>
      </c>
      <c r="M122" s="2026">
        <v>0.55700000000000005</v>
      </c>
      <c r="N122" s="2026">
        <v>0.55700000000000005</v>
      </c>
      <c r="O122" s="2026">
        <v>0.55700000000000005</v>
      </c>
      <c r="P122" s="2026">
        <v>0.55700000000000005</v>
      </c>
      <c r="Q122" s="2027">
        <f t="shared" si="41"/>
        <v>0</v>
      </c>
      <c r="R122" s="2027">
        <f t="shared" si="41"/>
        <v>0</v>
      </c>
      <c r="S122" s="2027">
        <f t="shared" si="41"/>
        <v>0</v>
      </c>
      <c r="T122" s="2027">
        <f t="shared" si="41"/>
        <v>0</v>
      </c>
      <c r="U122" s="2026">
        <v>0.55700000000000005</v>
      </c>
      <c r="V122" s="2026">
        <v>0.55700000000000005</v>
      </c>
      <c r="W122" s="2026">
        <v>0.55700000000000005</v>
      </c>
      <c r="X122" s="2026">
        <v>0.55700000000000005</v>
      </c>
      <c r="Y122" s="2028">
        <f t="shared" si="42"/>
        <v>0</v>
      </c>
      <c r="Z122" s="2028">
        <f t="shared" si="42"/>
        <v>0</v>
      </c>
      <c r="AA122" s="2028">
        <f t="shared" si="42"/>
        <v>0</v>
      </c>
      <c r="AB122" s="2028">
        <f t="shared" si="42"/>
        <v>0</v>
      </c>
      <c r="AC122" s="2026">
        <v>0.49399999999999999</v>
      </c>
      <c r="AD122" s="2026">
        <v>0.49399999999999999</v>
      </c>
      <c r="AE122" s="2026">
        <v>0.49399999999999999</v>
      </c>
      <c r="AF122" s="2026">
        <v>0.49399999999999999</v>
      </c>
      <c r="AG122" s="2027">
        <f t="shared" si="57"/>
        <v>2.5626250000000003E-2</v>
      </c>
      <c r="AH122" s="2027">
        <f t="shared" si="57"/>
        <v>2.5626250000000003E-2</v>
      </c>
      <c r="AI122" s="2027">
        <f t="shared" si="57"/>
        <v>2.5626250000000003E-2</v>
      </c>
      <c r="AJ122" s="2027">
        <f t="shared" si="57"/>
        <v>2.5626250000000003E-2</v>
      </c>
      <c r="AK122" s="2027">
        <v>10000</v>
      </c>
      <c r="AL122" s="2027">
        <v>15000</v>
      </c>
      <c r="AM122" s="2027">
        <v>20000</v>
      </c>
      <c r="AN122" s="2027">
        <v>25000</v>
      </c>
      <c r="AO122" s="2027">
        <f t="shared" si="50"/>
        <v>0</v>
      </c>
      <c r="AP122" s="2027">
        <f t="shared" si="51"/>
        <v>0</v>
      </c>
      <c r="AQ122" s="2027">
        <f t="shared" si="51"/>
        <v>0</v>
      </c>
      <c r="AR122" s="2027"/>
      <c r="AS122" s="2027">
        <f t="shared" si="45"/>
        <v>0</v>
      </c>
      <c r="AT122" s="2027">
        <f t="shared" si="52"/>
        <v>256.26250000000005</v>
      </c>
      <c r="AU122" s="2027">
        <f t="shared" si="53"/>
        <v>384.39375000000007</v>
      </c>
      <c r="AV122" s="2027">
        <f t="shared" si="53"/>
        <v>512.52500000000009</v>
      </c>
      <c r="AW122" s="2027">
        <f t="shared" si="49"/>
        <v>640.65625000000011</v>
      </c>
      <c r="AX122" s="2029"/>
      <c r="AY122" s="2029">
        <v>0</v>
      </c>
      <c r="AZ122" s="2029">
        <v>0</v>
      </c>
      <c r="BA122" s="2029">
        <v>0</v>
      </c>
      <c r="BB122" s="2029">
        <v>4</v>
      </c>
      <c r="BC122" s="2029">
        <v>4</v>
      </c>
      <c r="BD122" s="2029">
        <v>4</v>
      </c>
      <c r="BE122" s="2029">
        <v>4</v>
      </c>
      <c r="BF122" s="2029">
        <v>6</v>
      </c>
      <c r="BG122" s="2029">
        <v>6</v>
      </c>
      <c r="BH122" s="2029">
        <v>6</v>
      </c>
      <c r="BI122" s="2029">
        <v>6</v>
      </c>
      <c r="BJ122" s="2030">
        <f t="shared" si="55"/>
        <v>0</v>
      </c>
      <c r="BK122" s="2030">
        <f t="shared" si="55"/>
        <v>0</v>
      </c>
      <c r="BL122" s="2030">
        <f t="shared" si="55"/>
        <v>0</v>
      </c>
      <c r="BM122" s="2030"/>
      <c r="BN122" s="2030">
        <f t="shared" si="38"/>
        <v>0</v>
      </c>
      <c r="BO122" s="2030">
        <f t="shared" si="39"/>
        <v>40000</v>
      </c>
      <c r="BP122" s="2030"/>
      <c r="BQ122" s="2030">
        <f t="shared" si="56"/>
        <v>60000</v>
      </c>
      <c r="BR122" s="2030">
        <f t="shared" si="56"/>
        <v>80000</v>
      </c>
      <c r="BS122" s="2030">
        <f t="shared" si="56"/>
        <v>100000</v>
      </c>
      <c r="BT122" s="2031"/>
      <c r="BU122" s="2031"/>
      <c r="BV122" s="2031"/>
      <c r="BW122" s="2031"/>
      <c r="BX122" s="2031"/>
      <c r="BY122" s="2031"/>
      <c r="BZ122" s="2031"/>
      <c r="CA122" s="2031"/>
      <c r="CB122" s="2029"/>
      <c r="CC122" s="2029"/>
      <c r="CD122" s="2029"/>
      <c r="CE122" s="2029"/>
      <c r="CF122" s="2029"/>
      <c r="CG122" s="2032"/>
      <c r="CH122" s="1974"/>
      <c r="CI122" s="1974"/>
      <c r="CJ122" s="1974"/>
      <c r="CK122" s="1974"/>
      <c r="CL122" s="1974">
        <v>0</v>
      </c>
      <c r="CM122" s="2033">
        <v>0</v>
      </c>
      <c r="CN122" s="2026">
        <v>4.1273462305665588E-5</v>
      </c>
      <c r="CO122" s="1974">
        <v>0</v>
      </c>
      <c r="CP122" s="2040">
        <v>0</v>
      </c>
      <c r="CQ122" s="2040"/>
      <c r="CR122" s="2062">
        <v>1</v>
      </c>
      <c r="CS122" s="2062">
        <v>1</v>
      </c>
      <c r="CT122" s="2062">
        <v>1</v>
      </c>
      <c r="CU122" s="2062">
        <v>1</v>
      </c>
      <c r="CV122" s="2036"/>
      <c r="CW122" s="2036"/>
      <c r="CX122" s="2036"/>
      <c r="CY122" s="2036"/>
      <c r="CZ122" s="2036"/>
      <c r="DA122" s="2036"/>
    </row>
    <row r="123" spans="1:105" x14ac:dyDescent="0.25">
      <c r="A123" s="2185" t="s">
        <v>163</v>
      </c>
      <c r="B123" s="2022"/>
      <c r="C123" s="2023">
        <v>6.6</v>
      </c>
      <c r="D123" s="2023">
        <v>0</v>
      </c>
      <c r="E123" s="2024">
        <v>265.27999999999997</v>
      </c>
      <c r="F123" s="2024"/>
      <c r="G123" s="2024">
        <v>0.06</v>
      </c>
      <c r="H123" s="2024"/>
      <c r="I123" s="2023">
        <v>0</v>
      </c>
      <c r="J123" s="2027"/>
      <c r="K123" s="2026" t="s">
        <v>20</v>
      </c>
      <c r="L123" s="2026" t="s">
        <v>20</v>
      </c>
      <c r="M123" s="2026">
        <v>0.55700000000000005</v>
      </c>
      <c r="N123" s="2026">
        <v>0.55700000000000005</v>
      </c>
      <c r="O123" s="2026">
        <v>0.55700000000000005</v>
      </c>
      <c r="P123" s="2026">
        <v>0.55700000000000005</v>
      </c>
      <c r="Q123" s="2027">
        <f t="shared" si="41"/>
        <v>147.76096000000001</v>
      </c>
      <c r="R123" s="2027">
        <f t="shared" si="41"/>
        <v>147.76096000000001</v>
      </c>
      <c r="S123" s="2027">
        <f t="shared" si="41"/>
        <v>147.76096000000001</v>
      </c>
      <c r="T123" s="2027">
        <f t="shared" si="41"/>
        <v>147.76096000000001</v>
      </c>
      <c r="U123" s="2026">
        <v>0.55700000000000005</v>
      </c>
      <c r="V123" s="2026">
        <v>0.55700000000000005</v>
      </c>
      <c r="W123" s="2026">
        <v>0.55700000000000005</v>
      </c>
      <c r="X123" s="2026">
        <v>0.55700000000000005</v>
      </c>
      <c r="Y123" s="2028">
        <f t="shared" si="42"/>
        <v>3.3420000000000005E-2</v>
      </c>
      <c r="Z123" s="2028">
        <f t="shared" si="42"/>
        <v>3.3420000000000005E-2</v>
      </c>
      <c r="AA123" s="2028">
        <f t="shared" si="42"/>
        <v>3.3420000000000005E-2</v>
      </c>
      <c r="AB123" s="2028">
        <f t="shared" si="42"/>
        <v>3.3420000000000005E-2</v>
      </c>
      <c r="AC123" s="2026">
        <v>0.49399999999999999</v>
      </c>
      <c r="AD123" s="2026">
        <v>0.49399999999999999</v>
      </c>
      <c r="AE123" s="2026">
        <v>0.49399999999999999</v>
      </c>
      <c r="AF123" s="2026">
        <v>0.49399999999999999</v>
      </c>
      <c r="AG123" s="2027">
        <f t="shared" si="57"/>
        <v>0</v>
      </c>
      <c r="AH123" s="2027">
        <f t="shared" si="57"/>
        <v>0</v>
      </c>
      <c r="AI123" s="2027">
        <f t="shared" si="57"/>
        <v>0</v>
      </c>
      <c r="AJ123" s="2027">
        <f t="shared" si="57"/>
        <v>0</v>
      </c>
      <c r="AK123" s="2027">
        <v>132</v>
      </c>
      <c r="AL123" s="2027">
        <v>139</v>
      </c>
      <c r="AM123" s="2027">
        <v>145</v>
      </c>
      <c r="AN123" s="2027">
        <v>146</v>
      </c>
      <c r="AO123" s="2027">
        <f t="shared" si="50"/>
        <v>19504.44672</v>
      </c>
      <c r="AP123" s="2027">
        <f t="shared" si="51"/>
        <v>20538.773440000001</v>
      </c>
      <c r="AQ123" s="2027">
        <f t="shared" si="51"/>
        <v>21425.339200000002</v>
      </c>
      <c r="AR123" s="2027"/>
      <c r="AS123" s="2027">
        <f t="shared" si="45"/>
        <v>21573.100160000002</v>
      </c>
      <c r="AT123" s="2027">
        <f t="shared" si="52"/>
        <v>0</v>
      </c>
      <c r="AU123" s="2027">
        <f t="shared" si="53"/>
        <v>0</v>
      </c>
      <c r="AV123" s="2027">
        <f t="shared" si="53"/>
        <v>0</v>
      </c>
      <c r="AW123" s="2027">
        <f t="shared" si="49"/>
        <v>0</v>
      </c>
      <c r="AX123" s="2029">
        <v>17.5</v>
      </c>
      <c r="AY123" s="2029">
        <v>17.5</v>
      </c>
      <c r="AZ123" s="2029">
        <v>17.5</v>
      </c>
      <c r="BA123" s="2029">
        <v>17.5</v>
      </c>
      <c r="BB123" s="1974"/>
      <c r="BC123" s="2029">
        <v>0</v>
      </c>
      <c r="BD123" s="2029">
        <v>0</v>
      </c>
      <c r="BE123" s="2029">
        <v>0</v>
      </c>
      <c r="BF123" s="2029">
        <v>17.5</v>
      </c>
      <c r="BG123" s="2029">
        <v>17.5</v>
      </c>
      <c r="BH123" s="2029">
        <v>17.5</v>
      </c>
      <c r="BI123" s="2029">
        <v>17.5</v>
      </c>
      <c r="BJ123" s="2030">
        <f t="shared" si="55"/>
        <v>2310</v>
      </c>
      <c r="BK123" s="2030">
        <f t="shared" si="55"/>
        <v>2432.5</v>
      </c>
      <c r="BL123" s="2030">
        <f t="shared" si="55"/>
        <v>2537.5</v>
      </c>
      <c r="BM123" s="2030"/>
      <c r="BN123" s="2030">
        <f t="shared" si="38"/>
        <v>2555</v>
      </c>
      <c r="BO123" s="2030">
        <f t="shared" si="39"/>
        <v>0</v>
      </c>
      <c r="BP123" s="2030"/>
      <c r="BQ123" s="2030">
        <f t="shared" si="56"/>
        <v>0</v>
      </c>
      <c r="BR123" s="2030">
        <f t="shared" si="56"/>
        <v>0</v>
      </c>
      <c r="BS123" s="2030">
        <f t="shared" si="56"/>
        <v>0</v>
      </c>
      <c r="BT123" s="2031"/>
      <c r="BU123" s="2031"/>
      <c r="BV123" s="2031"/>
      <c r="BW123" s="2031"/>
      <c r="BX123" s="2031"/>
      <c r="BY123" s="2031"/>
      <c r="BZ123" s="2031"/>
      <c r="CA123" s="2031"/>
      <c r="CB123" s="2029"/>
      <c r="CC123" s="2029"/>
      <c r="CD123" s="2029"/>
      <c r="CE123" s="2029"/>
      <c r="CF123" s="2029"/>
      <c r="CG123" s="2032"/>
      <c r="CH123" s="1974"/>
      <c r="CI123" s="1974"/>
      <c r="CJ123" s="1974"/>
      <c r="CK123" s="1974"/>
      <c r="CL123" s="1974">
        <v>0</v>
      </c>
      <c r="CM123" s="2033">
        <v>7.4239192429329068E-5</v>
      </c>
      <c r="CN123" s="2026">
        <v>0</v>
      </c>
      <c r="CO123" s="1974">
        <v>0</v>
      </c>
      <c r="CP123" s="2040">
        <v>0</v>
      </c>
      <c r="CQ123" s="2040"/>
      <c r="CR123" s="2062">
        <v>1</v>
      </c>
      <c r="CS123" s="2062">
        <v>1</v>
      </c>
      <c r="CT123" s="2062">
        <v>1</v>
      </c>
      <c r="CU123" s="2062">
        <v>1</v>
      </c>
      <c r="CV123" s="2036"/>
      <c r="CW123" s="2036"/>
      <c r="CX123" s="2036"/>
      <c r="CY123" s="2049"/>
      <c r="CZ123" s="2049"/>
      <c r="DA123" s="2049"/>
    </row>
    <row r="124" spans="1:105" x14ac:dyDescent="0.25">
      <c r="A124" s="2185" t="s">
        <v>164</v>
      </c>
      <c r="B124" s="2022"/>
      <c r="C124" s="2023">
        <v>15</v>
      </c>
      <c r="D124" s="2023">
        <v>0</v>
      </c>
      <c r="E124" s="2024">
        <v>448.9</v>
      </c>
      <c r="F124" s="2024"/>
      <c r="G124" s="2024">
        <v>0.216</v>
      </c>
      <c r="H124" s="2024"/>
      <c r="I124" s="2023">
        <v>0</v>
      </c>
      <c r="J124" s="2027"/>
      <c r="K124" s="2026" t="s">
        <v>2899</v>
      </c>
      <c r="L124" s="2026" t="s">
        <v>2899</v>
      </c>
      <c r="M124" s="2026">
        <v>0.84899999999999998</v>
      </c>
      <c r="N124" s="2026">
        <v>0.84899999999999998</v>
      </c>
      <c r="O124" s="2026">
        <v>0.84899999999999998</v>
      </c>
      <c r="P124" s="2026">
        <v>0.84899999999999998</v>
      </c>
      <c r="Q124" s="2027">
        <f t="shared" si="41"/>
        <v>381.11609999999996</v>
      </c>
      <c r="R124" s="2027">
        <f t="shared" si="41"/>
        <v>381.11609999999996</v>
      </c>
      <c r="S124" s="2027">
        <f t="shared" si="41"/>
        <v>381.11609999999996</v>
      </c>
      <c r="T124" s="2027">
        <f t="shared" si="41"/>
        <v>381.11609999999996</v>
      </c>
      <c r="U124" s="2026">
        <v>0.84899999999999998</v>
      </c>
      <c r="V124" s="2026">
        <v>0.84899999999999998</v>
      </c>
      <c r="W124" s="2026">
        <v>0.84899999999999998</v>
      </c>
      <c r="X124" s="2026">
        <v>0.84899999999999998</v>
      </c>
      <c r="Y124" s="2028">
        <f t="shared" si="42"/>
        <v>0.18338399999999999</v>
      </c>
      <c r="Z124" s="2028">
        <f t="shared" si="42"/>
        <v>0.18338399999999999</v>
      </c>
      <c r="AA124" s="2028">
        <f t="shared" si="42"/>
        <v>0.18338399999999999</v>
      </c>
      <c r="AB124" s="2028">
        <f t="shared" si="42"/>
        <v>0.18338399999999999</v>
      </c>
      <c r="AC124" s="2026">
        <v>0.67500000000000004</v>
      </c>
      <c r="AD124" s="2026">
        <v>0.67500000000000004</v>
      </c>
      <c r="AE124" s="2026">
        <v>0.67500000000000004</v>
      </c>
      <c r="AF124" s="2026">
        <v>0.67500000000000004</v>
      </c>
      <c r="AG124" s="2027">
        <f t="shared" si="57"/>
        <v>0</v>
      </c>
      <c r="AH124" s="2027">
        <f t="shared" si="57"/>
        <v>0</v>
      </c>
      <c r="AI124" s="2027">
        <f t="shared" si="57"/>
        <v>0</v>
      </c>
      <c r="AJ124" s="2027">
        <f t="shared" si="57"/>
        <v>0</v>
      </c>
      <c r="AK124" s="2027">
        <v>1</v>
      </c>
      <c r="AL124" s="2027">
        <v>2</v>
      </c>
      <c r="AM124" s="2027">
        <v>2</v>
      </c>
      <c r="AN124" s="2027">
        <v>2</v>
      </c>
      <c r="AO124" s="2027">
        <f t="shared" si="50"/>
        <v>381.11609999999996</v>
      </c>
      <c r="AP124" s="2027">
        <f t="shared" si="51"/>
        <v>762.23219999999992</v>
      </c>
      <c r="AQ124" s="2027">
        <f t="shared" si="51"/>
        <v>762.23219999999992</v>
      </c>
      <c r="AR124" s="2027"/>
      <c r="AS124" s="2027">
        <f t="shared" si="45"/>
        <v>762.23219999999992</v>
      </c>
      <c r="AT124" s="2027">
        <f t="shared" si="52"/>
        <v>0</v>
      </c>
      <c r="AU124" s="2027">
        <f t="shared" si="53"/>
        <v>0</v>
      </c>
      <c r="AV124" s="2027">
        <f t="shared" si="53"/>
        <v>0</v>
      </c>
      <c r="AW124" s="2027">
        <f t="shared" si="49"/>
        <v>0</v>
      </c>
      <c r="AX124" s="2029">
        <v>40</v>
      </c>
      <c r="AY124" s="2029">
        <v>40</v>
      </c>
      <c r="AZ124" s="2029">
        <v>40</v>
      </c>
      <c r="BA124" s="2029">
        <v>40</v>
      </c>
      <c r="BB124" s="1974"/>
      <c r="BC124" s="2029">
        <v>0</v>
      </c>
      <c r="BD124" s="2029">
        <v>0</v>
      </c>
      <c r="BE124" s="2029">
        <v>0</v>
      </c>
      <c r="BF124" s="2029">
        <v>60.4</v>
      </c>
      <c r="BG124" s="2029">
        <v>60.4</v>
      </c>
      <c r="BH124" s="2029">
        <v>60.4</v>
      </c>
      <c r="BI124" s="2029">
        <v>60.4</v>
      </c>
      <c r="BJ124" s="2030">
        <f t="shared" si="55"/>
        <v>40</v>
      </c>
      <c r="BK124" s="2030">
        <f t="shared" si="55"/>
        <v>80</v>
      </c>
      <c r="BL124" s="2030">
        <f t="shared" si="55"/>
        <v>80</v>
      </c>
      <c r="BM124" s="2030"/>
      <c r="BN124" s="2030">
        <f t="shared" si="38"/>
        <v>80</v>
      </c>
      <c r="BO124" s="2030">
        <f t="shared" si="39"/>
        <v>0</v>
      </c>
      <c r="BP124" s="2030"/>
      <c r="BQ124" s="2030">
        <f t="shared" si="56"/>
        <v>0</v>
      </c>
      <c r="BR124" s="2030">
        <f t="shared" si="56"/>
        <v>0</v>
      </c>
      <c r="BS124" s="2030">
        <f t="shared" si="56"/>
        <v>0</v>
      </c>
      <c r="BT124" s="2031"/>
      <c r="BU124" s="2031"/>
      <c r="BV124" s="2031"/>
      <c r="BW124" s="2031"/>
      <c r="BX124" s="2031"/>
      <c r="BY124" s="2031"/>
      <c r="BZ124" s="2031"/>
      <c r="CA124" s="2031"/>
      <c r="CB124" s="2029"/>
      <c r="CC124" s="2029"/>
      <c r="CD124" s="2029"/>
      <c r="CE124" s="2029"/>
      <c r="CF124" s="2029"/>
      <c r="CG124" s="2032"/>
      <c r="CH124" s="1974"/>
      <c r="CI124" s="1974"/>
      <c r="CJ124" s="1974"/>
      <c r="CK124" s="1974"/>
      <c r="CL124" s="1974">
        <v>0</v>
      </c>
      <c r="CM124" s="2033">
        <v>1.2765551191968169E-6</v>
      </c>
      <c r="CN124" s="2026">
        <v>0</v>
      </c>
      <c r="CO124" s="1974">
        <v>0</v>
      </c>
      <c r="CP124" s="2040">
        <v>0</v>
      </c>
      <c r="CQ124" s="2040"/>
      <c r="CR124" s="2062">
        <v>1</v>
      </c>
      <c r="CS124" s="2062">
        <v>1</v>
      </c>
      <c r="CT124" s="2062">
        <v>1</v>
      </c>
      <c r="CU124" s="2062">
        <v>1</v>
      </c>
      <c r="CV124" s="2036"/>
      <c r="CW124" s="2036"/>
      <c r="CX124" s="2036"/>
      <c r="CY124" s="2049"/>
      <c r="CZ124" s="2049"/>
      <c r="DA124" s="2049"/>
    </row>
    <row r="125" spans="1:105" x14ac:dyDescent="0.25">
      <c r="A125" s="2185" t="s">
        <v>165</v>
      </c>
      <c r="B125" s="2022" t="s">
        <v>2950</v>
      </c>
      <c r="C125" s="2023">
        <v>12</v>
      </c>
      <c r="D125" s="2023">
        <v>0</v>
      </c>
      <c r="E125" s="2024">
        <v>2200</v>
      </c>
      <c r="F125" s="2024"/>
      <c r="G125" s="2024">
        <v>0.4</v>
      </c>
      <c r="H125" s="2024"/>
      <c r="I125" s="2023">
        <v>0</v>
      </c>
      <c r="J125" s="2027"/>
      <c r="K125" s="2026" t="s">
        <v>2899</v>
      </c>
      <c r="L125" s="2026" t="s">
        <v>2899</v>
      </c>
      <c r="M125" s="2026">
        <v>0.84899999999999998</v>
      </c>
      <c r="N125" s="2026">
        <v>0.84899999999999998</v>
      </c>
      <c r="O125" s="2026">
        <v>0.84899999999999998</v>
      </c>
      <c r="P125" s="2026">
        <v>0.84899999999999998</v>
      </c>
      <c r="Q125" s="2027">
        <f t="shared" si="41"/>
        <v>1867.8</v>
      </c>
      <c r="R125" s="2027">
        <f t="shared" si="41"/>
        <v>1867.8</v>
      </c>
      <c r="S125" s="2027">
        <f t="shared" si="41"/>
        <v>1867.8</v>
      </c>
      <c r="T125" s="2027">
        <f t="shared" si="41"/>
        <v>1867.8</v>
      </c>
      <c r="U125" s="2026">
        <v>0.84899999999999998</v>
      </c>
      <c r="V125" s="2026">
        <v>0.84899999999999998</v>
      </c>
      <c r="W125" s="2026">
        <v>0.84899999999999998</v>
      </c>
      <c r="X125" s="2026">
        <v>0.84899999999999998</v>
      </c>
      <c r="Y125" s="2028">
        <f t="shared" si="42"/>
        <v>0.33960000000000001</v>
      </c>
      <c r="Z125" s="2028">
        <f t="shared" si="42"/>
        <v>0.33960000000000001</v>
      </c>
      <c r="AA125" s="2028">
        <f t="shared" si="42"/>
        <v>0.33960000000000001</v>
      </c>
      <c r="AB125" s="2028">
        <f t="shared" si="42"/>
        <v>0.33960000000000001</v>
      </c>
      <c r="AC125" s="2026">
        <v>0.67500000000000004</v>
      </c>
      <c r="AD125" s="2026">
        <v>0.67500000000000004</v>
      </c>
      <c r="AE125" s="2026">
        <v>0.67500000000000004</v>
      </c>
      <c r="AF125" s="2026">
        <v>0.67500000000000004</v>
      </c>
      <c r="AG125" s="2027">
        <f t="shared" si="57"/>
        <v>0</v>
      </c>
      <c r="AH125" s="2027">
        <f t="shared" si="57"/>
        <v>0</v>
      </c>
      <c r="AI125" s="2027">
        <f t="shared" si="57"/>
        <v>0</v>
      </c>
      <c r="AJ125" s="2027">
        <f t="shared" si="57"/>
        <v>0</v>
      </c>
      <c r="AK125" s="2027">
        <v>1</v>
      </c>
      <c r="AL125" s="2027">
        <v>2</v>
      </c>
      <c r="AM125" s="2027">
        <v>2</v>
      </c>
      <c r="AN125" s="2027">
        <v>2</v>
      </c>
      <c r="AO125" s="2027">
        <f t="shared" si="50"/>
        <v>1867.8</v>
      </c>
      <c r="AP125" s="2027">
        <f t="shared" si="51"/>
        <v>3735.6</v>
      </c>
      <c r="AQ125" s="2027">
        <f t="shared" si="51"/>
        <v>3735.6</v>
      </c>
      <c r="AR125" s="2027"/>
      <c r="AS125" s="2027">
        <f t="shared" si="45"/>
        <v>3735.6</v>
      </c>
      <c r="AT125" s="2027">
        <f t="shared" si="52"/>
        <v>0</v>
      </c>
      <c r="AU125" s="2027">
        <f t="shared" si="53"/>
        <v>0</v>
      </c>
      <c r="AV125" s="2027">
        <f t="shared" si="53"/>
        <v>0</v>
      </c>
      <c r="AW125" s="2027">
        <f t="shared" si="49"/>
        <v>0</v>
      </c>
      <c r="AX125" s="2029">
        <v>300</v>
      </c>
      <c r="AY125" s="2029">
        <v>300</v>
      </c>
      <c r="AZ125" s="2029">
        <v>300</v>
      </c>
      <c r="BA125" s="2029">
        <v>300</v>
      </c>
      <c r="BB125" s="2029">
        <v>0</v>
      </c>
      <c r="BC125" s="2029">
        <v>0</v>
      </c>
      <c r="BD125" s="2029">
        <v>0</v>
      </c>
      <c r="BE125" s="2029">
        <v>0</v>
      </c>
      <c r="BF125" s="2029">
        <v>900</v>
      </c>
      <c r="BG125" s="2029">
        <v>900</v>
      </c>
      <c r="BH125" s="2029">
        <v>900</v>
      </c>
      <c r="BI125" s="2029">
        <v>900</v>
      </c>
      <c r="BJ125" s="2030">
        <f t="shared" si="55"/>
        <v>300</v>
      </c>
      <c r="BK125" s="2030">
        <f t="shared" si="55"/>
        <v>600</v>
      </c>
      <c r="BL125" s="2030">
        <f t="shared" si="55"/>
        <v>600</v>
      </c>
      <c r="BM125" s="2030"/>
      <c r="BN125" s="2030">
        <f t="shared" si="38"/>
        <v>600</v>
      </c>
      <c r="BO125" s="2030">
        <f t="shared" si="39"/>
        <v>0</v>
      </c>
      <c r="BP125" s="2030"/>
      <c r="BQ125" s="2030">
        <f t="shared" si="56"/>
        <v>0</v>
      </c>
      <c r="BR125" s="2030">
        <f t="shared" si="56"/>
        <v>0</v>
      </c>
      <c r="BS125" s="2030">
        <f t="shared" si="56"/>
        <v>0</v>
      </c>
      <c r="BT125" s="2031"/>
      <c r="BU125" s="2031"/>
      <c r="BV125" s="2031"/>
      <c r="BW125" s="2031"/>
      <c r="BX125" s="2031"/>
      <c r="BY125" s="2031"/>
      <c r="BZ125" s="2031"/>
      <c r="CA125" s="2031"/>
      <c r="CB125" s="2029"/>
      <c r="CC125" s="2029"/>
      <c r="CD125" s="2029"/>
      <c r="CE125" s="2029"/>
      <c r="CF125" s="2029"/>
      <c r="CG125" s="2032"/>
      <c r="CH125" s="1974"/>
      <c r="CI125" s="1974"/>
      <c r="CJ125" s="1974"/>
      <c r="CK125" s="1974"/>
      <c r="CL125" s="1974">
        <v>0</v>
      </c>
      <c r="CM125" s="2033">
        <v>6.256229142867003E-6</v>
      </c>
      <c r="CN125" s="2026">
        <v>0</v>
      </c>
      <c r="CO125" s="1974">
        <v>0</v>
      </c>
      <c r="CP125" s="2040">
        <v>0</v>
      </c>
      <c r="CQ125" s="2040"/>
      <c r="CR125" s="2062">
        <v>1</v>
      </c>
      <c r="CS125" s="2062">
        <v>1</v>
      </c>
      <c r="CT125" s="2062">
        <v>1</v>
      </c>
      <c r="CU125" s="2062">
        <v>1</v>
      </c>
      <c r="CV125" s="2036"/>
      <c r="CW125" s="2036"/>
      <c r="CX125" s="2036"/>
      <c r="CY125" s="2049"/>
      <c r="CZ125" s="2049"/>
      <c r="DA125" s="2049"/>
    </row>
    <row r="126" spans="1:105" x14ac:dyDescent="0.25">
      <c r="A126" s="2185" t="s">
        <v>166</v>
      </c>
      <c r="B126" s="2022"/>
      <c r="C126" s="2543">
        <v>8</v>
      </c>
      <c r="D126" s="2023">
        <v>0</v>
      </c>
      <c r="E126" s="2024">
        <v>312.76</v>
      </c>
      <c r="F126" s="2024"/>
      <c r="G126" s="2024">
        <v>2.76E-2</v>
      </c>
      <c r="H126" s="2024"/>
      <c r="I126" s="2023">
        <v>0</v>
      </c>
      <c r="J126" s="2027"/>
      <c r="K126" s="2026" t="s">
        <v>137</v>
      </c>
      <c r="L126" s="2026" t="s">
        <v>137</v>
      </c>
      <c r="M126" s="2026">
        <v>0.83299999999999996</v>
      </c>
      <c r="N126" s="2026">
        <v>0.83299999999999996</v>
      </c>
      <c r="O126" s="2026">
        <v>0.83299999999999996</v>
      </c>
      <c r="P126" s="2026">
        <v>0.83299999999999996</v>
      </c>
      <c r="Q126" s="2027">
        <f t="shared" si="41"/>
        <v>260.52907999999996</v>
      </c>
      <c r="R126" s="2027">
        <f t="shared" si="41"/>
        <v>260.52907999999996</v>
      </c>
      <c r="S126" s="2027">
        <f t="shared" si="41"/>
        <v>260.52907999999996</v>
      </c>
      <c r="T126" s="2027">
        <f t="shared" si="41"/>
        <v>260.52907999999996</v>
      </c>
      <c r="U126" s="2026">
        <v>0.83299999999999996</v>
      </c>
      <c r="V126" s="2026">
        <v>0.83299999999999996</v>
      </c>
      <c r="W126" s="2026">
        <v>0.83299999999999996</v>
      </c>
      <c r="X126" s="2026">
        <v>0.83299999999999996</v>
      </c>
      <c r="Y126" s="2028">
        <f t="shared" si="42"/>
        <v>2.2990799999999999E-2</v>
      </c>
      <c r="Z126" s="2028">
        <f t="shared" si="42"/>
        <v>2.2990799999999999E-2</v>
      </c>
      <c r="AA126" s="2028">
        <f t="shared" si="42"/>
        <v>2.2990799999999999E-2</v>
      </c>
      <c r="AB126" s="2028">
        <f t="shared" si="42"/>
        <v>2.2990799999999999E-2</v>
      </c>
      <c r="AC126" s="2026">
        <v>0.83299999999999996</v>
      </c>
      <c r="AD126" s="2026">
        <v>0.83299999999999996</v>
      </c>
      <c r="AE126" s="2026">
        <v>0.83299999999999996</v>
      </c>
      <c r="AF126" s="2026">
        <v>0.83299999999999996</v>
      </c>
      <c r="AG126" s="2027">
        <f t="shared" si="57"/>
        <v>0</v>
      </c>
      <c r="AH126" s="2027">
        <f t="shared" si="57"/>
        <v>0</v>
      </c>
      <c r="AI126" s="2027">
        <f t="shared" si="57"/>
        <v>0</v>
      </c>
      <c r="AJ126" s="2027">
        <f t="shared" si="57"/>
        <v>0</v>
      </c>
      <c r="AK126" s="2027">
        <v>1</v>
      </c>
      <c r="AL126" s="2027">
        <v>1</v>
      </c>
      <c r="AM126" s="2027">
        <v>1</v>
      </c>
      <c r="AN126" s="2027">
        <v>1</v>
      </c>
      <c r="AO126" s="2027">
        <f t="shared" si="50"/>
        <v>260.52907999999996</v>
      </c>
      <c r="AP126" s="2027">
        <f t="shared" si="51"/>
        <v>260.52907999999996</v>
      </c>
      <c r="AQ126" s="2027">
        <f t="shared" si="51"/>
        <v>260.52907999999996</v>
      </c>
      <c r="AR126" s="2027"/>
      <c r="AS126" s="2027">
        <f t="shared" si="45"/>
        <v>260.52907999999996</v>
      </c>
      <c r="AT126" s="2027">
        <f t="shared" si="52"/>
        <v>0</v>
      </c>
      <c r="AU126" s="2027">
        <f t="shared" si="53"/>
        <v>0</v>
      </c>
      <c r="AV126" s="2027">
        <f t="shared" si="53"/>
        <v>0</v>
      </c>
      <c r="AW126" s="2027">
        <f t="shared" si="49"/>
        <v>0</v>
      </c>
      <c r="AX126" s="2029">
        <v>25</v>
      </c>
      <c r="AY126" s="2029">
        <v>25</v>
      </c>
      <c r="AZ126" s="2029">
        <v>25</v>
      </c>
      <c r="BA126" s="2029">
        <v>25</v>
      </c>
      <c r="BB126" s="1974"/>
      <c r="BC126" s="2029">
        <v>0</v>
      </c>
      <c r="BD126" s="2029">
        <v>0</v>
      </c>
      <c r="BE126" s="2029">
        <v>0</v>
      </c>
      <c r="BF126" s="2029">
        <v>110</v>
      </c>
      <c r="BG126" s="2029">
        <v>110</v>
      </c>
      <c r="BH126" s="2029">
        <v>110</v>
      </c>
      <c r="BI126" s="2029">
        <v>110</v>
      </c>
      <c r="BJ126" s="2030">
        <f t="shared" si="55"/>
        <v>25</v>
      </c>
      <c r="BK126" s="2030">
        <f t="shared" si="55"/>
        <v>25</v>
      </c>
      <c r="BL126" s="2030">
        <f t="shared" si="55"/>
        <v>25</v>
      </c>
      <c r="BM126" s="2030"/>
      <c r="BN126" s="2030">
        <f t="shared" si="38"/>
        <v>25</v>
      </c>
      <c r="BO126" s="2030">
        <f t="shared" si="39"/>
        <v>0</v>
      </c>
      <c r="BP126" s="2030"/>
      <c r="BQ126" s="2030">
        <f t="shared" si="56"/>
        <v>0</v>
      </c>
      <c r="BR126" s="2030">
        <f t="shared" si="56"/>
        <v>0</v>
      </c>
      <c r="BS126" s="2030">
        <f t="shared" si="56"/>
        <v>0</v>
      </c>
      <c r="BT126" s="2031"/>
      <c r="BU126" s="2031"/>
      <c r="BV126" s="2031"/>
      <c r="BW126" s="2031"/>
      <c r="BX126" s="2031"/>
      <c r="BY126" s="2031"/>
      <c r="BZ126" s="2031"/>
      <c r="CA126" s="2031"/>
      <c r="CB126" s="2029"/>
      <c r="CC126" s="2029"/>
      <c r="CD126" s="2029"/>
      <c r="CE126" s="2029"/>
      <c r="CF126" s="2029"/>
      <c r="CG126" s="2032"/>
      <c r="CH126" s="1974"/>
      <c r="CI126" s="1974"/>
      <c r="CJ126" s="1974"/>
      <c r="CK126" s="1974"/>
      <c r="CL126" s="1974">
        <v>0</v>
      </c>
      <c r="CM126" s="2033">
        <v>8.7264676242655989E-7</v>
      </c>
      <c r="CN126" s="2026">
        <v>0</v>
      </c>
      <c r="CO126" s="1974">
        <v>0</v>
      </c>
      <c r="CP126" s="2040">
        <v>0</v>
      </c>
      <c r="CQ126" s="2040"/>
      <c r="CR126" s="2062">
        <v>1</v>
      </c>
      <c r="CS126" s="2062">
        <v>1</v>
      </c>
      <c r="CT126" s="2062">
        <v>1</v>
      </c>
      <c r="CU126" s="2062">
        <v>1</v>
      </c>
      <c r="CV126" s="2036"/>
      <c r="CW126" s="2036"/>
      <c r="CX126" s="2036"/>
      <c r="CY126" s="2049"/>
      <c r="CZ126" s="2049"/>
      <c r="DA126" s="2049"/>
    </row>
    <row r="127" spans="1:105" s="2161" customFormat="1" x14ac:dyDescent="0.25">
      <c r="A127" s="2186" t="s">
        <v>167</v>
      </c>
      <c r="B127" s="2187"/>
      <c r="C127" s="2543">
        <v>8</v>
      </c>
      <c r="D127" s="2043">
        <v>0</v>
      </c>
      <c r="E127" s="2044">
        <v>4726</v>
      </c>
      <c r="F127" s="2044"/>
      <c r="G127" s="2044">
        <v>0</v>
      </c>
      <c r="H127" s="2044"/>
      <c r="I127" s="2043">
        <v>73.599999999999994</v>
      </c>
      <c r="J127" s="2146"/>
      <c r="K127" s="2153" t="s">
        <v>20</v>
      </c>
      <c r="L127" s="2153" t="s">
        <v>20</v>
      </c>
      <c r="M127" s="2153">
        <v>0.55700000000000005</v>
      </c>
      <c r="N127" s="2153">
        <v>0.55700000000000005</v>
      </c>
      <c r="O127" s="2153">
        <v>0.55700000000000005</v>
      </c>
      <c r="P127" s="2153">
        <v>0.55700000000000005</v>
      </c>
      <c r="Q127" s="2146">
        <f t="shared" si="41"/>
        <v>2632.3820000000001</v>
      </c>
      <c r="R127" s="2146">
        <f t="shared" si="41"/>
        <v>2632.3820000000001</v>
      </c>
      <c r="S127" s="2146">
        <f t="shared" si="41"/>
        <v>2632.3820000000001</v>
      </c>
      <c r="T127" s="2146">
        <f t="shared" si="41"/>
        <v>2632.3820000000001</v>
      </c>
      <c r="U127" s="2153">
        <v>0.55700000000000005</v>
      </c>
      <c r="V127" s="2153">
        <v>0.55700000000000005</v>
      </c>
      <c r="W127" s="2153">
        <v>0.55700000000000005</v>
      </c>
      <c r="X127" s="2153">
        <v>0.55700000000000005</v>
      </c>
      <c r="Y127" s="2129">
        <f t="shared" si="42"/>
        <v>0</v>
      </c>
      <c r="Z127" s="2129">
        <f t="shared" si="42"/>
        <v>0</v>
      </c>
      <c r="AA127" s="2129">
        <f t="shared" si="42"/>
        <v>0</v>
      </c>
      <c r="AB127" s="2129">
        <f t="shared" si="42"/>
        <v>0</v>
      </c>
      <c r="AC127" s="2153">
        <v>0.49399999999999999</v>
      </c>
      <c r="AD127" s="2153">
        <v>0.49399999999999999</v>
      </c>
      <c r="AE127" s="2153">
        <v>0.49399999999999999</v>
      </c>
      <c r="AF127" s="2153">
        <v>0.49399999999999999</v>
      </c>
      <c r="AG127" s="2146">
        <f t="shared" si="57"/>
        <v>36.358399999999996</v>
      </c>
      <c r="AH127" s="2146">
        <f t="shared" si="57"/>
        <v>36.358399999999996</v>
      </c>
      <c r="AI127" s="2146">
        <f t="shared" si="57"/>
        <v>36.358399999999996</v>
      </c>
      <c r="AJ127" s="2146">
        <f t="shared" si="57"/>
        <v>36.358399999999996</v>
      </c>
      <c r="AK127" s="2146">
        <v>20</v>
      </c>
      <c r="AL127" s="2146">
        <v>6</v>
      </c>
      <c r="AM127" s="2146">
        <v>1</v>
      </c>
      <c r="AN127" s="2146">
        <v>1</v>
      </c>
      <c r="AO127" s="2146">
        <f t="shared" si="50"/>
        <v>52647.64</v>
      </c>
      <c r="AP127" s="2146">
        <f t="shared" si="51"/>
        <v>15794.292000000001</v>
      </c>
      <c r="AQ127" s="2146">
        <f t="shared" si="51"/>
        <v>2632.3820000000001</v>
      </c>
      <c r="AR127" s="2146"/>
      <c r="AS127" s="2146">
        <f t="shared" si="45"/>
        <v>2632.3820000000001</v>
      </c>
      <c r="AT127" s="2146">
        <f t="shared" si="52"/>
        <v>727.16799999999989</v>
      </c>
      <c r="AU127" s="2146">
        <f t="shared" si="53"/>
        <v>218.15039999999999</v>
      </c>
      <c r="AV127" s="2146">
        <f t="shared" si="53"/>
        <v>36.358399999999996</v>
      </c>
      <c r="AW127" s="2146">
        <f t="shared" si="49"/>
        <v>36.358399999999996</v>
      </c>
      <c r="AX127" s="2046">
        <v>87</v>
      </c>
      <c r="AY127" s="2046">
        <v>87</v>
      </c>
      <c r="AZ127" s="2046">
        <v>87</v>
      </c>
      <c r="BA127" s="2046">
        <v>87</v>
      </c>
      <c r="BB127" s="2047">
        <v>13</v>
      </c>
      <c r="BC127" s="2046">
        <v>13</v>
      </c>
      <c r="BD127" s="2046">
        <v>13</v>
      </c>
      <c r="BE127" s="2046">
        <v>13</v>
      </c>
      <c r="BF127" s="2046">
        <v>181</v>
      </c>
      <c r="BG127" s="2046">
        <v>181</v>
      </c>
      <c r="BH127" s="2046">
        <v>181</v>
      </c>
      <c r="BI127" s="2046">
        <v>181</v>
      </c>
      <c r="BJ127" s="2154">
        <f t="shared" si="55"/>
        <v>1740</v>
      </c>
      <c r="BK127" s="2154">
        <f t="shared" si="55"/>
        <v>522</v>
      </c>
      <c r="BL127" s="2154">
        <f t="shared" si="55"/>
        <v>87</v>
      </c>
      <c r="BM127" s="2154"/>
      <c r="BN127" s="2154">
        <f t="shared" si="38"/>
        <v>87</v>
      </c>
      <c r="BO127" s="2154">
        <f t="shared" si="39"/>
        <v>260</v>
      </c>
      <c r="BP127" s="2154"/>
      <c r="BQ127" s="2154">
        <f t="shared" si="56"/>
        <v>78</v>
      </c>
      <c r="BR127" s="2154">
        <f t="shared" si="56"/>
        <v>13</v>
      </c>
      <c r="BS127" s="2154">
        <f t="shared" si="56"/>
        <v>13</v>
      </c>
      <c r="BT127" s="2063"/>
      <c r="BU127" s="2063"/>
      <c r="BV127" s="2063"/>
      <c r="BW127" s="2063"/>
      <c r="BX127" s="2063"/>
      <c r="BY127" s="2063"/>
      <c r="BZ127" s="2063"/>
      <c r="CA127" s="2063"/>
      <c r="CB127" s="2046"/>
      <c r="CC127" s="2046"/>
      <c r="CD127" s="2046"/>
      <c r="CE127" s="2046"/>
      <c r="CF127" s="2046"/>
      <c r="CG127" s="2156"/>
      <c r="CH127" s="2047"/>
      <c r="CI127" s="2047"/>
      <c r="CJ127" s="2047"/>
      <c r="CK127" s="2047"/>
      <c r="CL127" s="2047">
        <v>0</v>
      </c>
      <c r="CM127" s="2157">
        <v>1.5870978140274843E-4</v>
      </c>
      <c r="CN127" s="2153">
        <v>2.1081092187969451E-4</v>
      </c>
      <c r="CO127" s="2047">
        <v>0</v>
      </c>
      <c r="CP127" s="2188">
        <v>0</v>
      </c>
      <c r="CQ127" s="2188"/>
      <c r="CR127" s="2189">
        <v>1</v>
      </c>
      <c r="CS127" s="2189">
        <v>1</v>
      </c>
      <c r="CT127" s="2189">
        <v>1</v>
      </c>
      <c r="CU127" s="2189">
        <v>1</v>
      </c>
      <c r="CV127" s="2160"/>
      <c r="CW127" s="2160"/>
      <c r="CX127" s="2160"/>
      <c r="CY127" s="2160"/>
      <c r="CZ127" s="2160"/>
      <c r="DA127" s="2160"/>
    </row>
    <row r="128" spans="1:105" x14ac:dyDescent="0.25">
      <c r="A128" s="2185" t="s">
        <v>242</v>
      </c>
      <c r="B128" s="2022"/>
      <c r="C128" s="2023">
        <v>15</v>
      </c>
      <c r="D128" s="2023">
        <v>0</v>
      </c>
      <c r="E128" s="2024">
        <v>0</v>
      </c>
      <c r="F128" s="2024"/>
      <c r="G128" s="2024">
        <v>0</v>
      </c>
      <c r="H128" s="2024"/>
      <c r="I128" s="2023">
        <v>10</v>
      </c>
      <c r="J128" s="2027"/>
      <c r="K128" s="2026" t="s">
        <v>20</v>
      </c>
      <c r="L128" s="2026" t="s">
        <v>20</v>
      </c>
      <c r="M128" s="2026">
        <v>0.55700000000000005</v>
      </c>
      <c r="N128" s="2026">
        <v>0.55700000000000005</v>
      </c>
      <c r="O128" s="2026">
        <v>0.55700000000000005</v>
      </c>
      <c r="P128" s="2026">
        <v>0.55700000000000005</v>
      </c>
      <c r="Q128" s="2027">
        <f t="shared" si="41"/>
        <v>0</v>
      </c>
      <c r="R128" s="2027">
        <f t="shared" si="41"/>
        <v>0</v>
      </c>
      <c r="S128" s="2027">
        <f t="shared" si="41"/>
        <v>0</v>
      </c>
      <c r="T128" s="2027">
        <f t="shared" si="41"/>
        <v>0</v>
      </c>
      <c r="U128" s="2026">
        <v>0.55700000000000005</v>
      </c>
      <c r="V128" s="2026">
        <v>0.55700000000000005</v>
      </c>
      <c r="W128" s="2026">
        <v>0.55700000000000005</v>
      </c>
      <c r="X128" s="2026">
        <v>0.55700000000000005</v>
      </c>
      <c r="Y128" s="2028">
        <f t="shared" si="42"/>
        <v>0</v>
      </c>
      <c r="Z128" s="2028">
        <f t="shared" si="42"/>
        <v>0</v>
      </c>
      <c r="AA128" s="2028">
        <f t="shared" si="42"/>
        <v>0</v>
      </c>
      <c r="AB128" s="2028">
        <f t="shared" si="42"/>
        <v>0</v>
      </c>
      <c r="AC128" s="2026">
        <v>0.49399999999999999</v>
      </c>
      <c r="AD128" s="2026">
        <v>0.49399999999999999</v>
      </c>
      <c r="AE128" s="2026">
        <v>0.49399999999999999</v>
      </c>
      <c r="AF128" s="2026">
        <v>0.49399999999999999</v>
      </c>
      <c r="AG128" s="2027">
        <f t="shared" si="57"/>
        <v>4.9399999999999995</v>
      </c>
      <c r="AH128" s="2027">
        <f t="shared" si="57"/>
        <v>4.9399999999999995</v>
      </c>
      <c r="AI128" s="2027">
        <f t="shared" si="57"/>
        <v>4.9399999999999995</v>
      </c>
      <c r="AJ128" s="2027">
        <f t="shared" si="57"/>
        <v>4.9399999999999995</v>
      </c>
      <c r="AK128" s="2027">
        <v>1</v>
      </c>
      <c r="AL128" s="2027">
        <v>0</v>
      </c>
      <c r="AM128" s="2027">
        <v>1</v>
      </c>
      <c r="AN128" s="2027">
        <v>0</v>
      </c>
      <c r="AO128" s="2027">
        <f t="shared" si="50"/>
        <v>0</v>
      </c>
      <c r="AP128" s="2027">
        <f t="shared" si="51"/>
        <v>0</v>
      </c>
      <c r="AQ128" s="2027">
        <f t="shared" si="51"/>
        <v>0</v>
      </c>
      <c r="AR128" s="2027"/>
      <c r="AS128" s="2027">
        <f t="shared" si="45"/>
        <v>0</v>
      </c>
      <c r="AT128" s="2027">
        <f t="shared" si="52"/>
        <v>4.9399999999999995</v>
      </c>
      <c r="AU128" s="2027">
        <f t="shared" si="53"/>
        <v>0</v>
      </c>
      <c r="AV128" s="2027">
        <f t="shared" si="53"/>
        <v>4.9399999999999995</v>
      </c>
      <c r="AW128" s="2027">
        <f t="shared" si="49"/>
        <v>0</v>
      </c>
      <c r="AX128" s="2029"/>
      <c r="AY128" s="2029">
        <v>0</v>
      </c>
      <c r="AZ128" s="2029">
        <v>0</v>
      </c>
      <c r="BA128" s="2029">
        <v>0</v>
      </c>
      <c r="BB128" s="2029">
        <v>10</v>
      </c>
      <c r="BC128" s="2029">
        <v>10</v>
      </c>
      <c r="BD128" s="2029">
        <v>10</v>
      </c>
      <c r="BE128" s="2029">
        <v>10</v>
      </c>
      <c r="BF128" s="2029">
        <v>30</v>
      </c>
      <c r="BG128" s="2029">
        <v>30</v>
      </c>
      <c r="BH128" s="2029">
        <v>30</v>
      </c>
      <c r="BI128" s="2029">
        <v>30</v>
      </c>
      <c r="BJ128" s="2030">
        <f t="shared" si="55"/>
        <v>0</v>
      </c>
      <c r="BK128" s="2030">
        <f t="shared" si="55"/>
        <v>0</v>
      </c>
      <c r="BL128" s="2030">
        <f t="shared" si="55"/>
        <v>0</v>
      </c>
      <c r="BM128" s="2030"/>
      <c r="BN128" s="2030">
        <f t="shared" si="38"/>
        <v>0</v>
      </c>
      <c r="BO128" s="2030">
        <f t="shared" si="39"/>
        <v>10</v>
      </c>
      <c r="BP128" s="2030"/>
      <c r="BQ128" s="2030">
        <f t="shared" si="56"/>
        <v>0</v>
      </c>
      <c r="BR128" s="2030">
        <f t="shared" si="56"/>
        <v>10</v>
      </c>
      <c r="BS128" s="2030">
        <f t="shared" si="56"/>
        <v>0</v>
      </c>
      <c r="BT128" s="2031"/>
      <c r="BU128" s="2031"/>
      <c r="BV128" s="2031"/>
      <c r="BW128" s="2031"/>
      <c r="BX128" s="2031"/>
      <c r="BY128" s="2031"/>
      <c r="BZ128" s="2031"/>
      <c r="CA128" s="2031"/>
      <c r="CB128" s="2029"/>
      <c r="CC128" s="2029"/>
      <c r="CD128" s="2029"/>
      <c r="CE128" s="2029"/>
      <c r="CF128" s="2029"/>
      <c r="CG128" s="2032"/>
      <c r="CH128" s="1974"/>
      <c r="CI128" s="1974"/>
      <c r="CJ128" s="1974"/>
      <c r="CK128" s="1974"/>
      <c r="CL128" s="1974">
        <v>0</v>
      </c>
      <c r="CM128" s="2033">
        <v>0</v>
      </c>
      <c r="CN128" s="2026">
        <v>1.5912660166039742E-6</v>
      </c>
      <c r="CO128" s="1974">
        <v>0</v>
      </c>
      <c r="CP128" s="2040">
        <v>0</v>
      </c>
      <c r="CQ128" s="2040"/>
      <c r="CR128" s="2062">
        <v>1</v>
      </c>
      <c r="CS128" s="2062">
        <v>1</v>
      </c>
      <c r="CT128" s="2062">
        <v>1</v>
      </c>
      <c r="CU128" s="2062">
        <v>1</v>
      </c>
      <c r="CV128" s="2036"/>
      <c r="CW128" s="2036"/>
      <c r="CX128" s="2036"/>
      <c r="CY128" s="2049"/>
      <c r="CZ128" s="2049"/>
      <c r="DA128" s="2049"/>
    </row>
    <row r="129" spans="1:105" s="2161" customFormat="1" x14ac:dyDescent="0.25">
      <c r="A129" s="2186" t="s">
        <v>243</v>
      </c>
      <c r="B129" s="2187"/>
      <c r="C129" s="2043">
        <v>15</v>
      </c>
      <c r="D129" s="2043">
        <v>0</v>
      </c>
      <c r="E129" s="2044">
        <v>651</v>
      </c>
      <c r="F129" s="2044"/>
      <c r="G129" s="2044">
        <v>0</v>
      </c>
      <c r="H129" s="2044"/>
      <c r="I129" s="2043">
        <v>559</v>
      </c>
      <c r="J129" s="2146"/>
      <c r="K129" s="2153" t="s">
        <v>20</v>
      </c>
      <c r="L129" s="2153" t="s">
        <v>20</v>
      </c>
      <c r="M129" s="2153">
        <v>0.55700000000000005</v>
      </c>
      <c r="N129" s="2153">
        <v>0.55700000000000005</v>
      </c>
      <c r="O129" s="2153">
        <v>0.55700000000000005</v>
      </c>
      <c r="P129" s="2153">
        <v>0.55700000000000005</v>
      </c>
      <c r="Q129" s="2146">
        <f t="shared" si="41"/>
        <v>362.60700000000003</v>
      </c>
      <c r="R129" s="2146">
        <f t="shared" si="41"/>
        <v>362.60700000000003</v>
      </c>
      <c r="S129" s="2146">
        <f t="shared" si="41"/>
        <v>362.60700000000003</v>
      </c>
      <c r="T129" s="2146">
        <f t="shared" si="41"/>
        <v>362.60700000000003</v>
      </c>
      <c r="U129" s="2153">
        <v>0.55700000000000005</v>
      </c>
      <c r="V129" s="2153">
        <v>0.55700000000000005</v>
      </c>
      <c r="W129" s="2153">
        <v>0.55700000000000005</v>
      </c>
      <c r="X129" s="2153">
        <v>0.55700000000000005</v>
      </c>
      <c r="Y129" s="2129">
        <f t="shared" si="42"/>
        <v>0</v>
      </c>
      <c r="Z129" s="2129">
        <f t="shared" si="42"/>
        <v>0</v>
      </c>
      <c r="AA129" s="2129">
        <f t="shared" si="42"/>
        <v>0</v>
      </c>
      <c r="AB129" s="2129">
        <f t="shared" si="42"/>
        <v>0</v>
      </c>
      <c r="AC129" s="2153">
        <v>0.49399999999999999</v>
      </c>
      <c r="AD129" s="2153">
        <v>0.49399999999999999</v>
      </c>
      <c r="AE129" s="2153">
        <v>0.49399999999999999</v>
      </c>
      <c r="AF129" s="2153">
        <v>0.49399999999999999</v>
      </c>
      <c r="AG129" s="2146">
        <f t="shared" si="57"/>
        <v>276.14600000000002</v>
      </c>
      <c r="AH129" s="2146">
        <f t="shared" si="57"/>
        <v>276.14600000000002</v>
      </c>
      <c r="AI129" s="2146">
        <f t="shared" si="57"/>
        <v>276.14600000000002</v>
      </c>
      <c r="AJ129" s="2146">
        <f t="shared" si="57"/>
        <v>276.14600000000002</v>
      </c>
      <c r="AK129" s="2146">
        <v>1</v>
      </c>
      <c r="AL129" s="2146">
        <v>0</v>
      </c>
      <c r="AM129" s="2146">
        <v>1</v>
      </c>
      <c r="AN129" s="2146">
        <v>0</v>
      </c>
      <c r="AO129" s="2146">
        <f t="shared" si="50"/>
        <v>362.60700000000003</v>
      </c>
      <c r="AP129" s="2146">
        <f t="shared" si="51"/>
        <v>0</v>
      </c>
      <c r="AQ129" s="2146">
        <f t="shared" si="51"/>
        <v>362.60700000000003</v>
      </c>
      <c r="AR129" s="2146"/>
      <c r="AS129" s="2146">
        <f t="shared" si="45"/>
        <v>0</v>
      </c>
      <c r="AT129" s="2146">
        <f t="shared" si="52"/>
        <v>276.14600000000002</v>
      </c>
      <c r="AU129" s="2146">
        <f t="shared" si="53"/>
        <v>0</v>
      </c>
      <c r="AV129" s="2146">
        <f t="shared" si="53"/>
        <v>276.14600000000002</v>
      </c>
      <c r="AW129" s="2146">
        <f t="shared" si="49"/>
        <v>0</v>
      </c>
      <c r="AX129" s="2046">
        <v>40</v>
      </c>
      <c r="AY129" s="2046">
        <v>40</v>
      </c>
      <c r="AZ129" s="2046">
        <v>40</v>
      </c>
      <c r="BA129" s="2046">
        <v>40</v>
      </c>
      <c r="BB129" s="2046">
        <v>460</v>
      </c>
      <c r="BC129" s="2046">
        <v>460</v>
      </c>
      <c r="BD129" s="2046">
        <v>460</v>
      </c>
      <c r="BE129" s="2046">
        <v>460</v>
      </c>
      <c r="BF129" s="2046">
        <v>1200</v>
      </c>
      <c r="BG129" s="2046">
        <v>1200</v>
      </c>
      <c r="BH129" s="2046">
        <v>1200</v>
      </c>
      <c r="BI129" s="2046">
        <v>1200</v>
      </c>
      <c r="BJ129" s="2154">
        <f t="shared" si="55"/>
        <v>40</v>
      </c>
      <c r="BK129" s="2154">
        <f t="shared" si="55"/>
        <v>0</v>
      </c>
      <c r="BL129" s="2154">
        <f t="shared" si="55"/>
        <v>40</v>
      </c>
      <c r="BM129" s="2154"/>
      <c r="BN129" s="2154">
        <f t="shared" si="38"/>
        <v>0</v>
      </c>
      <c r="BO129" s="2154">
        <f t="shared" si="39"/>
        <v>460</v>
      </c>
      <c r="BP129" s="2154"/>
      <c r="BQ129" s="2154">
        <f t="shared" si="56"/>
        <v>0</v>
      </c>
      <c r="BR129" s="2154">
        <f t="shared" si="56"/>
        <v>460</v>
      </c>
      <c r="BS129" s="2154">
        <f t="shared" si="56"/>
        <v>0</v>
      </c>
      <c r="BT129" s="2063"/>
      <c r="BU129" s="2063"/>
      <c r="BV129" s="2063"/>
      <c r="BW129" s="2063"/>
      <c r="BX129" s="2063"/>
      <c r="BY129" s="2063"/>
      <c r="BZ129" s="2063"/>
      <c r="CA129" s="2063"/>
      <c r="CB129" s="2046"/>
      <c r="CC129" s="2046"/>
      <c r="CD129" s="2046"/>
      <c r="CE129" s="2046"/>
      <c r="CF129" s="2046"/>
      <c r="CG129" s="2156"/>
      <c r="CH129" s="2047"/>
      <c r="CI129" s="2047"/>
      <c r="CJ129" s="2047"/>
      <c r="CK129" s="2047"/>
      <c r="CL129" s="2047">
        <v>0</v>
      </c>
      <c r="CM129" s="2157">
        <v>1.2145585613061225E-6</v>
      </c>
      <c r="CN129" s="2153">
        <v>8.8951770328162162E-5</v>
      </c>
      <c r="CO129" s="2047">
        <v>0</v>
      </c>
      <c r="CP129" s="2188">
        <v>0</v>
      </c>
      <c r="CQ129" s="2188"/>
      <c r="CR129" s="2189">
        <v>1</v>
      </c>
      <c r="CS129" s="2189">
        <v>1</v>
      </c>
      <c r="CT129" s="2189">
        <v>1</v>
      </c>
      <c r="CU129" s="2189">
        <v>1</v>
      </c>
      <c r="CV129" s="2160"/>
      <c r="CW129" s="2160"/>
      <c r="CX129" s="2160"/>
      <c r="CY129" s="2160"/>
      <c r="CZ129" s="2160"/>
      <c r="DA129" s="2160"/>
    </row>
    <row r="130" spans="1:105" s="2161" customFormat="1" x14ac:dyDescent="0.25">
      <c r="A130" s="2186" t="s">
        <v>168</v>
      </c>
      <c r="B130" s="2187"/>
      <c r="C130" s="2043">
        <v>10</v>
      </c>
      <c r="D130" s="2043">
        <v>0</v>
      </c>
      <c r="E130" s="2044">
        <v>4468</v>
      </c>
      <c r="F130" s="2044"/>
      <c r="G130" s="2044">
        <v>0</v>
      </c>
      <c r="H130" s="2044"/>
      <c r="I130" s="2043">
        <v>623</v>
      </c>
      <c r="J130" s="2146"/>
      <c r="K130" s="2153" t="s">
        <v>20</v>
      </c>
      <c r="L130" s="2153" t="s">
        <v>20</v>
      </c>
      <c r="M130" s="2153">
        <v>0.55700000000000005</v>
      </c>
      <c r="N130" s="2153">
        <v>0.55700000000000005</v>
      </c>
      <c r="O130" s="2153">
        <v>0.55700000000000005</v>
      </c>
      <c r="P130" s="2153">
        <v>0.55700000000000005</v>
      </c>
      <c r="Q130" s="2146">
        <f t="shared" si="41"/>
        <v>2488.6760000000004</v>
      </c>
      <c r="R130" s="2146">
        <f t="shared" si="41"/>
        <v>2488.6760000000004</v>
      </c>
      <c r="S130" s="2146">
        <f t="shared" si="41"/>
        <v>2488.6760000000004</v>
      </c>
      <c r="T130" s="2146">
        <f t="shared" si="41"/>
        <v>2488.6760000000004</v>
      </c>
      <c r="U130" s="2153">
        <v>0.55700000000000005</v>
      </c>
      <c r="V130" s="2153">
        <v>0.55700000000000005</v>
      </c>
      <c r="W130" s="2153">
        <v>0.55700000000000005</v>
      </c>
      <c r="X130" s="2153">
        <v>0.55700000000000005</v>
      </c>
      <c r="Y130" s="2129">
        <f t="shared" si="42"/>
        <v>0</v>
      </c>
      <c r="Z130" s="2129">
        <f t="shared" si="42"/>
        <v>0</v>
      </c>
      <c r="AA130" s="2129">
        <f t="shared" si="42"/>
        <v>0</v>
      </c>
      <c r="AB130" s="2129">
        <f t="shared" si="42"/>
        <v>0</v>
      </c>
      <c r="AC130" s="2153">
        <v>0.49399999999999999</v>
      </c>
      <c r="AD130" s="2153">
        <v>0.49399999999999999</v>
      </c>
      <c r="AE130" s="2153">
        <v>0.49399999999999999</v>
      </c>
      <c r="AF130" s="2153">
        <v>0.49399999999999999</v>
      </c>
      <c r="AG130" s="2146">
        <f t="shared" si="57"/>
        <v>307.762</v>
      </c>
      <c r="AH130" s="2146">
        <f t="shared" si="57"/>
        <v>307.762</v>
      </c>
      <c r="AI130" s="2146">
        <f t="shared" si="57"/>
        <v>307.762</v>
      </c>
      <c r="AJ130" s="2146">
        <f t="shared" si="57"/>
        <v>307.762</v>
      </c>
      <c r="AK130" s="2146">
        <v>20</v>
      </c>
      <c r="AL130" s="2146">
        <v>20</v>
      </c>
      <c r="AM130" s="2146">
        <v>30</v>
      </c>
      <c r="AN130" s="2146">
        <v>30</v>
      </c>
      <c r="AO130" s="2146">
        <f t="shared" si="50"/>
        <v>49773.520000000004</v>
      </c>
      <c r="AP130" s="2146">
        <f t="shared" si="51"/>
        <v>49773.520000000004</v>
      </c>
      <c r="AQ130" s="2146">
        <f t="shared" si="51"/>
        <v>74660.280000000013</v>
      </c>
      <c r="AR130" s="2146"/>
      <c r="AS130" s="2146">
        <f t="shared" si="45"/>
        <v>74660.280000000013</v>
      </c>
      <c r="AT130" s="2146">
        <f t="shared" si="52"/>
        <v>6155.24</v>
      </c>
      <c r="AU130" s="2146">
        <f t="shared" si="53"/>
        <v>6155.24</v>
      </c>
      <c r="AV130" s="2146">
        <f t="shared" si="53"/>
        <v>9232.86</v>
      </c>
      <c r="AW130" s="2146">
        <f t="shared" si="49"/>
        <v>9232.86</v>
      </c>
      <c r="AX130" s="2046">
        <v>740</v>
      </c>
      <c r="AY130" s="2046">
        <v>740</v>
      </c>
      <c r="AZ130" s="2046">
        <v>740</v>
      </c>
      <c r="BA130" s="2046">
        <v>740</v>
      </c>
      <c r="BB130" s="2046">
        <v>1260</v>
      </c>
      <c r="BC130" s="2046">
        <v>1260</v>
      </c>
      <c r="BD130" s="2046">
        <v>1260</v>
      </c>
      <c r="BE130" s="2046">
        <v>1260</v>
      </c>
      <c r="BF130" s="2046">
        <v>1500</v>
      </c>
      <c r="BG130" s="2046">
        <v>1500</v>
      </c>
      <c r="BH130" s="2046">
        <v>1500</v>
      </c>
      <c r="BI130" s="2046">
        <v>1500</v>
      </c>
      <c r="BJ130" s="2154">
        <f t="shared" si="55"/>
        <v>14800</v>
      </c>
      <c r="BK130" s="2154">
        <f t="shared" si="55"/>
        <v>14800</v>
      </c>
      <c r="BL130" s="2154">
        <f t="shared" si="55"/>
        <v>22200</v>
      </c>
      <c r="BM130" s="2154"/>
      <c r="BN130" s="2154">
        <f t="shared" si="38"/>
        <v>22200</v>
      </c>
      <c r="BO130" s="2154">
        <f t="shared" si="39"/>
        <v>25200</v>
      </c>
      <c r="BP130" s="2154"/>
      <c r="BQ130" s="2154">
        <f t="shared" si="56"/>
        <v>25200</v>
      </c>
      <c r="BR130" s="2154">
        <f t="shared" si="56"/>
        <v>37800</v>
      </c>
      <c r="BS130" s="2154">
        <f t="shared" si="56"/>
        <v>37800</v>
      </c>
      <c r="BT130" s="2063"/>
      <c r="BU130" s="2063"/>
      <c r="BV130" s="2063"/>
      <c r="BW130" s="2063"/>
      <c r="BX130" s="2063"/>
      <c r="BY130" s="2063"/>
      <c r="BZ130" s="2063"/>
      <c r="CA130" s="2063"/>
      <c r="CB130" s="2046"/>
      <c r="CC130" s="2046"/>
      <c r="CD130" s="2046"/>
      <c r="CE130" s="2046"/>
      <c r="CF130" s="2046"/>
      <c r="CG130" s="2156"/>
      <c r="CH130" s="2047"/>
      <c r="CI130" s="2047"/>
      <c r="CJ130" s="2047"/>
      <c r="CK130" s="2047"/>
      <c r="CL130" s="2047">
        <v>0</v>
      </c>
      <c r="CM130" s="2157">
        <v>2.5007592865971222E-4</v>
      </c>
      <c r="CN130" s="2153">
        <v>2.974076185032828E-3</v>
      </c>
      <c r="CO130" s="2047">
        <v>0</v>
      </c>
      <c r="CP130" s="2188">
        <v>0</v>
      </c>
      <c r="CQ130" s="2188"/>
      <c r="CR130" s="2189">
        <v>1</v>
      </c>
      <c r="CS130" s="2189">
        <v>1</v>
      </c>
      <c r="CT130" s="2189">
        <v>1</v>
      </c>
      <c r="CU130" s="2189">
        <v>1</v>
      </c>
      <c r="CV130" s="2160"/>
      <c r="CW130" s="2160"/>
      <c r="CX130" s="2160"/>
      <c r="CY130" s="2160"/>
      <c r="CZ130" s="2160"/>
      <c r="DA130" s="2160"/>
    </row>
    <row r="131" spans="1:105" x14ac:dyDescent="0.25">
      <c r="A131" s="2185" t="s">
        <v>169</v>
      </c>
      <c r="B131" s="2022"/>
      <c r="C131" s="2023">
        <v>4</v>
      </c>
      <c r="D131" s="2023">
        <v>0</v>
      </c>
      <c r="E131" s="2024">
        <v>124</v>
      </c>
      <c r="F131" s="2024"/>
      <c r="G131" s="2024">
        <v>0</v>
      </c>
      <c r="H131" s="2024"/>
      <c r="I131" s="2023">
        <v>0</v>
      </c>
      <c r="J131" s="2027"/>
      <c r="K131" s="2026" t="s">
        <v>2899</v>
      </c>
      <c r="L131" s="2026" t="s">
        <v>2899</v>
      </c>
      <c r="M131" s="2026">
        <v>0.84899999999999998</v>
      </c>
      <c r="N131" s="2026">
        <v>0.84899999999999998</v>
      </c>
      <c r="O131" s="2026">
        <v>0.84899999999999998</v>
      </c>
      <c r="P131" s="2026">
        <v>0.84899999999999998</v>
      </c>
      <c r="Q131" s="2027">
        <f t="shared" si="41"/>
        <v>105.276</v>
      </c>
      <c r="R131" s="2027">
        <f t="shared" si="41"/>
        <v>105.276</v>
      </c>
      <c r="S131" s="2027">
        <f t="shared" si="41"/>
        <v>105.276</v>
      </c>
      <c r="T131" s="2027">
        <f t="shared" si="41"/>
        <v>105.276</v>
      </c>
      <c r="U131" s="2026">
        <v>0.84899999999999998</v>
      </c>
      <c r="V131" s="2026">
        <v>0.84899999999999998</v>
      </c>
      <c r="W131" s="2026">
        <v>0.84899999999999998</v>
      </c>
      <c r="X131" s="2026">
        <v>0.84899999999999998</v>
      </c>
      <c r="Y131" s="2028">
        <f t="shared" si="42"/>
        <v>0</v>
      </c>
      <c r="Z131" s="2028">
        <f t="shared" si="42"/>
        <v>0</v>
      </c>
      <c r="AA131" s="2028">
        <f t="shared" si="42"/>
        <v>0</v>
      </c>
      <c r="AB131" s="2028">
        <f t="shared" si="42"/>
        <v>0</v>
      </c>
      <c r="AC131" s="2026">
        <v>0.67500000000000004</v>
      </c>
      <c r="AD131" s="2026">
        <v>0.67500000000000004</v>
      </c>
      <c r="AE131" s="2026">
        <v>0.67500000000000004</v>
      </c>
      <c r="AF131" s="2026">
        <v>0.67500000000000004</v>
      </c>
      <c r="AG131" s="2027">
        <f t="shared" si="57"/>
        <v>0</v>
      </c>
      <c r="AH131" s="2027">
        <f t="shared" si="57"/>
        <v>0</v>
      </c>
      <c r="AI131" s="2027">
        <f t="shared" si="57"/>
        <v>0</v>
      </c>
      <c r="AJ131" s="2027">
        <f t="shared" si="57"/>
        <v>0</v>
      </c>
      <c r="AK131" s="2027">
        <v>23</v>
      </c>
      <c r="AL131" s="2027">
        <v>23</v>
      </c>
      <c r="AM131" s="2027">
        <v>23</v>
      </c>
      <c r="AN131" s="2027">
        <v>23</v>
      </c>
      <c r="AO131" s="2027">
        <f t="shared" si="50"/>
        <v>2421.348</v>
      </c>
      <c r="AP131" s="2027">
        <f t="shared" si="51"/>
        <v>2421.348</v>
      </c>
      <c r="AQ131" s="2027">
        <f t="shared" si="51"/>
        <v>2421.348</v>
      </c>
      <c r="AR131" s="2027"/>
      <c r="AS131" s="2027">
        <f t="shared" si="45"/>
        <v>2421.348</v>
      </c>
      <c r="AT131" s="2027">
        <f t="shared" si="52"/>
        <v>0</v>
      </c>
      <c r="AU131" s="2027">
        <f t="shared" si="53"/>
        <v>0</v>
      </c>
      <c r="AV131" s="2027">
        <f t="shared" si="53"/>
        <v>0</v>
      </c>
      <c r="AW131" s="2027">
        <f t="shared" si="49"/>
        <v>0</v>
      </c>
      <c r="AX131" s="2029">
        <v>10</v>
      </c>
      <c r="AY131" s="2029">
        <v>10</v>
      </c>
      <c r="AZ131" s="2029">
        <v>10</v>
      </c>
      <c r="BA131" s="2029">
        <v>10</v>
      </c>
      <c r="BB131" s="1974"/>
      <c r="BC131" s="2029">
        <v>0</v>
      </c>
      <c r="BD131" s="2029">
        <v>0</v>
      </c>
      <c r="BE131" s="2029">
        <v>0</v>
      </c>
      <c r="BF131" s="2029">
        <v>9</v>
      </c>
      <c r="BG131" s="2029">
        <v>9</v>
      </c>
      <c r="BH131" s="2029">
        <v>9</v>
      </c>
      <c r="BI131" s="2029">
        <v>9</v>
      </c>
      <c r="BJ131" s="2030">
        <f t="shared" si="55"/>
        <v>230</v>
      </c>
      <c r="BK131" s="2030">
        <f t="shared" si="55"/>
        <v>230</v>
      </c>
      <c r="BL131" s="2030">
        <f t="shared" si="55"/>
        <v>230</v>
      </c>
      <c r="BM131" s="2030"/>
      <c r="BN131" s="2030">
        <f t="shared" si="38"/>
        <v>230</v>
      </c>
      <c r="BO131" s="2030">
        <f t="shared" si="39"/>
        <v>0</v>
      </c>
      <c r="BP131" s="2030"/>
      <c r="BQ131" s="2030">
        <f t="shared" si="56"/>
        <v>0</v>
      </c>
      <c r="BR131" s="2030">
        <f t="shared" si="56"/>
        <v>0</v>
      </c>
      <c r="BS131" s="2030">
        <f t="shared" si="56"/>
        <v>0</v>
      </c>
      <c r="BT131" s="2031"/>
      <c r="BU131" s="2031"/>
      <c r="BV131" s="2031"/>
      <c r="BW131" s="2031"/>
      <c r="BX131" s="2031"/>
      <c r="BY131" s="2031"/>
      <c r="BZ131" s="2031"/>
      <c r="CA131" s="2031"/>
      <c r="CB131" s="2029"/>
      <c r="CC131" s="2029"/>
      <c r="CD131" s="2029"/>
      <c r="CE131" s="2029"/>
      <c r="CF131" s="2029"/>
      <c r="CG131" s="2032"/>
      <c r="CH131" s="1974"/>
      <c r="CI131" s="1974"/>
      <c r="CJ131" s="1974"/>
      <c r="CK131" s="1974"/>
      <c r="CL131" s="1974">
        <v>0</v>
      </c>
      <c r="CM131" s="2033">
        <v>1.7631191220807009E-6</v>
      </c>
      <c r="CN131" s="2026">
        <v>0</v>
      </c>
      <c r="CO131" s="1974">
        <v>0</v>
      </c>
      <c r="CP131" s="2040">
        <v>0</v>
      </c>
      <c r="CQ131" s="2040"/>
      <c r="CR131" s="2062">
        <v>1</v>
      </c>
      <c r="CS131" s="2062">
        <v>1</v>
      </c>
      <c r="CT131" s="2062">
        <v>1</v>
      </c>
      <c r="CU131" s="2062">
        <v>1</v>
      </c>
      <c r="CV131" s="2036"/>
      <c r="CW131" s="2036"/>
      <c r="CX131" s="2036"/>
      <c r="CY131" s="2049"/>
      <c r="CZ131" s="2049"/>
      <c r="DA131" s="2049"/>
    </row>
    <row r="132" spans="1:105" x14ac:dyDescent="0.25">
      <c r="A132" s="2185" t="s">
        <v>170</v>
      </c>
      <c r="B132" s="2022"/>
      <c r="C132" s="2023">
        <v>5</v>
      </c>
      <c r="D132" s="2023">
        <v>0</v>
      </c>
      <c r="E132" s="2024">
        <v>200</v>
      </c>
      <c r="F132" s="2024"/>
      <c r="G132" s="2024">
        <v>0</v>
      </c>
      <c r="H132" s="2024"/>
      <c r="I132" s="2023">
        <v>0</v>
      </c>
      <c r="J132" s="2027"/>
      <c r="K132" s="2026" t="s">
        <v>2899</v>
      </c>
      <c r="L132" s="2026" t="s">
        <v>2899</v>
      </c>
      <c r="M132" s="2026">
        <v>0.84899999999999998</v>
      </c>
      <c r="N132" s="2026">
        <v>0.84899999999999998</v>
      </c>
      <c r="O132" s="2026">
        <v>0.84899999999999998</v>
      </c>
      <c r="P132" s="2026">
        <v>0.84899999999999998</v>
      </c>
      <c r="Q132" s="2027">
        <f t="shared" si="41"/>
        <v>169.79999999999998</v>
      </c>
      <c r="R132" s="2027">
        <f t="shared" si="41"/>
        <v>169.79999999999998</v>
      </c>
      <c r="S132" s="2027">
        <f t="shared" si="41"/>
        <v>169.79999999999998</v>
      </c>
      <c r="T132" s="2027">
        <f t="shared" si="41"/>
        <v>169.79999999999998</v>
      </c>
      <c r="U132" s="2026">
        <v>0.84899999999999998</v>
      </c>
      <c r="V132" s="2026">
        <v>0.84899999999999998</v>
      </c>
      <c r="W132" s="2026">
        <v>0.84899999999999998</v>
      </c>
      <c r="X132" s="2026">
        <v>0.84899999999999998</v>
      </c>
      <c r="Y132" s="2028">
        <f t="shared" si="42"/>
        <v>0</v>
      </c>
      <c r="Z132" s="2028">
        <f t="shared" si="42"/>
        <v>0</v>
      </c>
      <c r="AA132" s="2028">
        <f t="shared" si="42"/>
        <v>0</v>
      </c>
      <c r="AB132" s="2028">
        <f t="shared" si="42"/>
        <v>0</v>
      </c>
      <c r="AC132" s="2026">
        <v>0.67500000000000004</v>
      </c>
      <c r="AD132" s="2026">
        <v>0.67500000000000004</v>
      </c>
      <c r="AE132" s="2026">
        <v>0.67500000000000004</v>
      </c>
      <c r="AF132" s="2026">
        <v>0.67500000000000004</v>
      </c>
      <c r="AG132" s="2027">
        <f t="shared" si="57"/>
        <v>0</v>
      </c>
      <c r="AH132" s="2027">
        <f t="shared" si="57"/>
        <v>0</v>
      </c>
      <c r="AI132" s="2027">
        <f t="shared" si="57"/>
        <v>0</v>
      </c>
      <c r="AJ132" s="2027">
        <f t="shared" si="57"/>
        <v>0</v>
      </c>
      <c r="AK132" s="2027">
        <v>1</v>
      </c>
      <c r="AL132" s="2027">
        <v>1</v>
      </c>
      <c r="AM132" s="2027">
        <v>1</v>
      </c>
      <c r="AN132" s="2027">
        <v>1</v>
      </c>
      <c r="AO132" s="2027">
        <f t="shared" si="50"/>
        <v>169.79999999999998</v>
      </c>
      <c r="AP132" s="2027">
        <f t="shared" si="51"/>
        <v>169.79999999999998</v>
      </c>
      <c r="AQ132" s="2027">
        <f t="shared" si="51"/>
        <v>169.79999999999998</v>
      </c>
      <c r="AR132" s="2027"/>
      <c r="AS132" s="2027">
        <f t="shared" si="45"/>
        <v>169.79999999999998</v>
      </c>
      <c r="AT132" s="2027">
        <f t="shared" si="52"/>
        <v>0</v>
      </c>
      <c r="AU132" s="2027">
        <f t="shared" si="53"/>
        <v>0</v>
      </c>
      <c r="AV132" s="2027">
        <f t="shared" si="53"/>
        <v>0</v>
      </c>
      <c r="AW132" s="2027">
        <f t="shared" si="49"/>
        <v>0</v>
      </c>
      <c r="AX132" s="2029">
        <v>10</v>
      </c>
      <c r="AY132" s="2029">
        <v>10</v>
      </c>
      <c r="AZ132" s="2029">
        <v>10</v>
      </c>
      <c r="BA132" s="2029">
        <v>10</v>
      </c>
      <c r="BB132" s="1974"/>
      <c r="BC132" s="2029">
        <v>0</v>
      </c>
      <c r="BD132" s="2029">
        <v>0</v>
      </c>
      <c r="BE132" s="2029">
        <v>0</v>
      </c>
      <c r="BF132" s="2029">
        <v>29</v>
      </c>
      <c r="BG132" s="2029">
        <v>29</v>
      </c>
      <c r="BH132" s="2029">
        <v>29</v>
      </c>
      <c r="BI132" s="2029">
        <v>29</v>
      </c>
      <c r="BJ132" s="2030">
        <f t="shared" si="55"/>
        <v>10</v>
      </c>
      <c r="BK132" s="2030">
        <f t="shared" si="55"/>
        <v>10</v>
      </c>
      <c r="BL132" s="2030">
        <f t="shared" si="55"/>
        <v>10</v>
      </c>
      <c r="BM132" s="2030"/>
      <c r="BN132" s="2030">
        <f t="shared" si="38"/>
        <v>10</v>
      </c>
      <c r="BO132" s="2030">
        <f t="shared" si="39"/>
        <v>0</v>
      </c>
      <c r="BP132" s="2030"/>
      <c r="BQ132" s="2030">
        <f t="shared" si="56"/>
        <v>0</v>
      </c>
      <c r="BR132" s="2030">
        <f t="shared" si="56"/>
        <v>0</v>
      </c>
      <c r="BS132" s="2030">
        <f t="shared" si="56"/>
        <v>0</v>
      </c>
      <c r="BT132" s="2031"/>
      <c r="BU132" s="2031"/>
      <c r="BV132" s="2031"/>
      <c r="BW132" s="2031"/>
      <c r="BX132" s="2031"/>
      <c r="BY132" s="2031"/>
      <c r="BZ132" s="2031"/>
      <c r="CA132" s="2031"/>
      <c r="CB132" s="2029"/>
      <c r="CC132" s="2029"/>
      <c r="CD132" s="2029"/>
      <c r="CE132" s="2029"/>
      <c r="CF132" s="2029"/>
      <c r="CG132" s="2032"/>
      <c r="CH132" s="1974"/>
      <c r="CI132" s="1974"/>
      <c r="CJ132" s="1974"/>
      <c r="CK132" s="1974"/>
      <c r="CL132" s="1974">
        <v>0</v>
      </c>
      <c r="CM132" s="2033">
        <v>5.6874810389700022E-7</v>
      </c>
      <c r="CN132" s="2026">
        <v>0</v>
      </c>
      <c r="CO132" s="1974">
        <v>1</v>
      </c>
      <c r="CP132" s="2040">
        <v>2</v>
      </c>
      <c r="CQ132" s="2040"/>
      <c r="CR132" s="2062">
        <v>1</v>
      </c>
      <c r="CS132" s="2062">
        <v>1</v>
      </c>
      <c r="CT132" s="2062">
        <v>1</v>
      </c>
      <c r="CU132" s="2062">
        <v>1</v>
      </c>
      <c r="CV132" s="2036"/>
      <c r="CW132" s="2036"/>
      <c r="CX132" s="2036"/>
      <c r="CY132" s="2049"/>
      <c r="CZ132" s="2049"/>
      <c r="DA132" s="2049"/>
    </row>
    <row r="133" spans="1:105" x14ac:dyDescent="0.25">
      <c r="A133" s="2185" t="s">
        <v>171</v>
      </c>
      <c r="B133" s="2022"/>
      <c r="C133" s="2023">
        <v>6.4</v>
      </c>
      <c r="D133" s="2023">
        <v>0</v>
      </c>
      <c r="E133" s="2024">
        <v>18.478182004249195</v>
      </c>
      <c r="F133" s="2024"/>
      <c r="G133" s="2056">
        <v>3.6662845075411819E-3</v>
      </c>
      <c r="H133" s="2056"/>
      <c r="I133" s="2023">
        <v>-0.31568684654610324</v>
      </c>
      <c r="J133" s="2027"/>
      <c r="K133" s="2026" t="s">
        <v>4</v>
      </c>
      <c r="L133" s="2026" t="s">
        <v>4</v>
      </c>
      <c r="M133" s="2026">
        <v>0.77800000000000002</v>
      </c>
      <c r="N133" s="2026">
        <v>0.77800000000000002</v>
      </c>
      <c r="O133" s="2026">
        <v>0.77800000000000002</v>
      </c>
      <c r="P133" s="2026">
        <v>0.77800000000000002</v>
      </c>
      <c r="Q133" s="2027">
        <f t="shared" si="41"/>
        <v>14.376025599305875</v>
      </c>
      <c r="R133" s="2027">
        <f t="shared" si="41"/>
        <v>14.376025599305875</v>
      </c>
      <c r="S133" s="2027">
        <f t="shared" si="41"/>
        <v>14.376025599305875</v>
      </c>
      <c r="T133" s="2027">
        <f t="shared" si="41"/>
        <v>14.376025599305875</v>
      </c>
      <c r="U133" s="2026">
        <v>0.77800000000000002</v>
      </c>
      <c r="V133" s="2026">
        <v>0.77800000000000002</v>
      </c>
      <c r="W133" s="2026">
        <v>0.77800000000000002</v>
      </c>
      <c r="X133" s="2026">
        <v>0.77800000000000002</v>
      </c>
      <c r="Y133" s="2028">
        <f t="shared" si="42"/>
        <v>2.8523693468670399E-3</v>
      </c>
      <c r="Z133" s="2028">
        <f t="shared" si="42"/>
        <v>2.8523693468670399E-3</v>
      </c>
      <c r="AA133" s="2028">
        <f t="shared" si="42"/>
        <v>2.8523693468670399E-3</v>
      </c>
      <c r="AB133" s="2028">
        <f t="shared" si="42"/>
        <v>2.8523693468670399E-3</v>
      </c>
      <c r="AC133" s="2026">
        <v>0.77800000000000002</v>
      </c>
      <c r="AD133" s="2026">
        <v>0.77800000000000002</v>
      </c>
      <c r="AE133" s="2026">
        <v>0.77800000000000002</v>
      </c>
      <c r="AF133" s="2026">
        <v>0.77800000000000002</v>
      </c>
      <c r="AG133" s="2027">
        <f t="shared" si="57"/>
        <v>-0.24560436661286833</v>
      </c>
      <c r="AH133" s="2027">
        <f t="shared" si="57"/>
        <v>-0.24560436661286833</v>
      </c>
      <c r="AI133" s="2027">
        <f t="shared" si="57"/>
        <v>-0.24560436661286833</v>
      </c>
      <c r="AJ133" s="2027">
        <f t="shared" si="57"/>
        <v>-0.24560436661286833</v>
      </c>
      <c r="AK133" s="2027">
        <v>526</v>
      </c>
      <c r="AL133" s="2027">
        <v>310</v>
      </c>
      <c r="AM133" s="2027">
        <v>312</v>
      </c>
      <c r="AN133" s="2027">
        <v>180</v>
      </c>
      <c r="AO133" s="2027">
        <f t="shared" si="50"/>
        <v>7561.7894652348896</v>
      </c>
      <c r="AP133" s="2027">
        <f t="shared" si="51"/>
        <v>4456.5679357848212</v>
      </c>
      <c r="AQ133" s="2027">
        <f t="shared" si="51"/>
        <v>4485.3199869834325</v>
      </c>
      <c r="AR133" s="2027"/>
      <c r="AS133" s="2027">
        <f t="shared" si="45"/>
        <v>2587.6846078750573</v>
      </c>
      <c r="AT133" s="2027">
        <f t="shared" si="52"/>
        <v>-129.18789683836874</v>
      </c>
      <c r="AU133" s="2027">
        <f t="shared" si="53"/>
        <v>-76.13735364998918</v>
      </c>
      <c r="AV133" s="2027">
        <f t="shared" si="53"/>
        <v>-76.628562383214913</v>
      </c>
      <c r="AW133" s="2027">
        <f t="shared" si="49"/>
        <v>-44.208785990316301</v>
      </c>
      <c r="AX133" s="2029">
        <v>1</v>
      </c>
      <c r="AY133" s="2029">
        <v>1</v>
      </c>
      <c r="AZ133" s="2029">
        <v>1</v>
      </c>
      <c r="BA133" s="2029">
        <v>1</v>
      </c>
      <c r="BB133" s="1974"/>
      <c r="BC133" s="2029">
        <v>0</v>
      </c>
      <c r="BD133" s="2029">
        <v>0</v>
      </c>
      <c r="BE133" s="2029">
        <v>0</v>
      </c>
      <c r="BF133" s="2029">
        <v>2</v>
      </c>
      <c r="BG133" s="2029">
        <v>2</v>
      </c>
      <c r="BH133" s="2029">
        <v>2</v>
      </c>
      <c r="BI133" s="2029">
        <v>2</v>
      </c>
      <c r="BJ133" s="2030">
        <f t="shared" si="55"/>
        <v>526</v>
      </c>
      <c r="BK133" s="2030">
        <f t="shared" si="55"/>
        <v>310</v>
      </c>
      <c r="BL133" s="2030">
        <f t="shared" si="55"/>
        <v>312</v>
      </c>
      <c r="BM133" s="2030"/>
      <c r="BN133" s="2030">
        <f t="shared" si="38"/>
        <v>180</v>
      </c>
      <c r="BO133" s="2030">
        <f t="shared" si="39"/>
        <v>0</v>
      </c>
      <c r="BP133" s="2030"/>
      <c r="BQ133" s="2030">
        <f t="shared" si="56"/>
        <v>0</v>
      </c>
      <c r="BR133" s="2030">
        <f t="shared" si="56"/>
        <v>0</v>
      </c>
      <c r="BS133" s="2030">
        <f t="shared" si="56"/>
        <v>0</v>
      </c>
      <c r="BT133" s="2031"/>
      <c r="BU133" s="2031"/>
      <c r="BV133" s="2031"/>
      <c r="BW133" s="2031"/>
      <c r="BX133" s="2031"/>
      <c r="BY133" s="2031"/>
      <c r="BZ133" s="2031"/>
      <c r="CA133" s="2031"/>
      <c r="CB133" s="2029"/>
      <c r="CC133" s="2029"/>
      <c r="CD133" s="2029"/>
      <c r="CE133" s="2029"/>
      <c r="CF133" s="2029"/>
      <c r="CG133" s="2032"/>
      <c r="CH133" s="1974"/>
      <c r="CI133" s="1974"/>
      <c r="CJ133" s="1974"/>
      <c r="CK133" s="1974"/>
      <c r="CL133" s="1974">
        <v>0</v>
      </c>
      <c r="CM133" s="2033">
        <v>2.8891651240918558E-5</v>
      </c>
      <c r="CN133" s="2026">
        <v>-4.7468244791975847E-5</v>
      </c>
      <c r="CO133" s="1974">
        <v>1</v>
      </c>
      <c r="CP133" s="2040">
        <v>-1.0682031250000001</v>
      </c>
      <c r="CQ133" s="2040"/>
      <c r="CR133" s="2062">
        <v>1</v>
      </c>
      <c r="CS133" s="2062">
        <v>1</v>
      </c>
      <c r="CT133" s="2062">
        <v>1</v>
      </c>
      <c r="CU133" s="2062">
        <v>1</v>
      </c>
      <c r="CV133" s="2036"/>
      <c r="CW133" s="2036"/>
      <c r="CX133" s="2036"/>
      <c r="CY133" s="2049"/>
      <c r="CZ133" s="2049"/>
      <c r="DA133" s="2049"/>
    </row>
    <row r="134" spans="1:105" x14ac:dyDescent="0.25">
      <c r="A134" s="2185" t="s">
        <v>172</v>
      </c>
      <c r="B134" s="2022"/>
      <c r="C134" s="2023">
        <v>6.4</v>
      </c>
      <c r="D134" s="2023">
        <v>0</v>
      </c>
      <c r="E134" s="2024">
        <v>21.991008069072514</v>
      </c>
      <c r="F134" s="2024"/>
      <c r="G134" s="2056">
        <v>4.3632697291493983E-3</v>
      </c>
      <c r="H134" s="2056"/>
      <c r="I134" s="2023">
        <v>-0.38562087317472998</v>
      </c>
      <c r="J134" s="2027"/>
      <c r="K134" s="2026" t="s">
        <v>4</v>
      </c>
      <c r="L134" s="2026" t="s">
        <v>4</v>
      </c>
      <c r="M134" s="2026">
        <v>0.77800000000000002</v>
      </c>
      <c r="N134" s="2026">
        <v>0.77800000000000002</v>
      </c>
      <c r="O134" s="2026">
        <v>0.77800000000000002</v>
      </c>
      <c r="P134" s="2026">
        <v>0.77800000000000002</v>
      </c>
      <c r="Q134" s="2027">
        <f t="shared" si="41"/>
        <v>17.109004277738418</v>
      </c>
      <c r="R134" s="2027">
        <f t="shared" si="41"/>
        <v>17.109004277738418</v>
      </c>
      <c r="S134" s="2027">
        <f t="shared" si="41"/>
        <v>17.109004277738418</v>
      </c>
      <c r="T134" s="2027">
        <f t="shared" si="41"/>
        <v>17.109004277738418</v>
      </c>
      <c r="U134" s="2026">
        <v>0.77800000000000002</v>
      </c>
      <c r="V134" s="2026">
        <v>0.77800000000000002</v>
      </c>
      <c r="W134" s="2026">
        <v>0.77800000000000002</v>
      </c>
      <c r="X134" s="2026">
        <v>0.77800000000000002</v>
      </c>
      <c r="Y134" s="2028">
        <f t="shared" si="42"/>
        <v>3.3946238492782322E-3</v>
      </c>
      <c r="Z134" s="2028">
        <f t="shared" si="42"/>
        <v>3.3946238492782322E-3</v>
      </c>
      <c r="AA134" s="2028">
        <f t="shared" si="42"/>
        <v>3.3946238492782322E-3</v>
      </c>
      <c r="AB134" s="2028">
        <f t="shared" si="42"/>
        <v>3.3946238492782322E-3</v>
      </c>
      <c r="AC134" s="2026">
        <v>0.77800000000000002</v>
      </c>
      <c r="AD134" s="2026">
        <v>0.77800000000000002</v>
      </c>
      <c r="AE134" s="2026">
        <v>0.77800000000000002</v>
      </c>
      <c r="AF134" s="2026">
        <v>0.77800000000000002</v>
      </c>
      <c r="AG134" s="2027">
        <f t="shared" si="57"/>
        <v>-0.30001303932993995</v>
      </c>
      <c r="AH134" s="2027">
        <f t="shared" si="57"/>
        <v>-0.30001303932993995</v>
      </c>
      <c r="AI134" s="2027">
        <f t="shared" si="57"/>
        <v>-0.30001303932993995</v>
      </c>
      <c r="AJ134" s="2027">
        <f t="shared" si="57"/>
        <v>-0.30001303932993995</v>
      </c>
      <c r="AK134" s="2027">
        <v>526</v>
      </c>
      <c r="AL134" s="2027">
        <v>310</v>
      </c>
      <c r="AM134" s="2027">
        <v>312</v>
      </c>
      <c r="AN134" s="2027">
        <v>180</v>
      </c>
      <c r="AO134" s="2027">
        <f t="shared" si="50"/>
        <v>8999.3362500904077</v>
      </c>
      <c r="AP134" s="2027">
        <f t="shared" si="51"/>
        <v>5303.7913260989098</v>
      </c>
      <c r="AQ134" s="2027">
        <f t="shared" si="51"/>
        <v>5338.0093346543863</v>
      </c>
      <c r="AR134" s="2027"/>
      <c r="AS134" s="2027">
        <f t="shared" si="45"/>
        <v>3079.620769992915</v>
      </c>
      <c r="AT134" s="2027">
        <f t="shared" si="52"/>
        <v>-157.80685868754841</v>
      </c>
      <c r="AU134" s="2027">
        <f t="shared" si="53"/>
        <v>-93.004042192281389</v>
      </c>
      <c r="AV134" s="2027">
        <f t="shared" si="53"/>
        <v>-93.604068270941269</v>
      </c>
      <c r="AW134" s="2027">
        <f t="shared" si="49"/>
        <v>-54.002347079389189</v>
      </c>
      <c r="AX134" s="2029">
        <v>1</v>
      </c>
      <c r="AY134" s="2029">
        <v>1</v>
      </c>
      <c r="AZ134" s="2029">
        <v>1</v>
      </c>
      <c r="BA134" s="2029">
        <v>1</v>
      </c>
      <c r="BB134" s="1974"/>
      <c r="BC134" s="2029">
        <v>0</v>
      </c>
      <c r="BD134" s="2029">
        <v>0</v>
      </c>
      <c r="BE134" s="2029">
        <v>0</v>
      </c>
      <c r="BF134" s="2029">
        <v>2</v>
      </c>
      <c r="BG134" s="2029">
        <v>2</v>
      </c>
      <c r="BH134" s="2029">
        <v>2</v>
      </c>
      <c r="BI134" s="2029">
        <v>2</v>
      </c>
      <c r="BJ134" s="2030">
        <f t="shared" ref="BJ134:BL165" si="58">AX134*AK134</f>
        <v>526</v>
      </c>
      <c r="BK134" s="2030">
        <f t="shared" si="58"/>
        <v>310</v>
      </c>
      <c r="BL134" s="2030">
        <f t="shared" si="58"/>
        <v>312</v>
      </c>
      <c r="BM134" s="2030"/>
      <c r="BN134" s="2030">
        <f t="shared" ref="BN134:BN197" si="59">BA134*AN134</f>
        <v>180</v>
      </c>
      <c r="BO134" s="2030">
        <f t="shared" ref="BO134:BO197" si="60">BB134*AK134</f>
        <v>0</v>
      </c>
      <c r="BP134" s="2030"/>
      <c r="BQ134" s="2030">
        <f t="shared" ref="BQ134:BS165" si="61">BC134*AL134</f>
        <v>0</v>
      </c>
      <c r="BR134" s="2030">
        <f t="shared" si="61"/>
        <v>0</v>
      </c>
      <c r="BS134" s="2030">
        <f t="shared" si="61"/>
        <v>0</v>
      </c>
      <c r="BT134" s="2031"/>
      <c r="BU134" s="2031"/>
      <c r="BV134" s="2031"/>
      <c r="BW134" s="2031"/>
      <c r="BX134" s="2031"/>
      <c r="BY134" s="2031"/>
      <c r="BZ134" s="2031"/>
      <c r="CA134" s="2031"/>
      <c r="CB134" s="2029"/>
      <c r="CC134" s="2029"/>
      <c r="CD134" s="2029"/>
      <c r="CE134" s="2029"/>
      <c r="CF134" s="2029"/>
      <c r="CG134" s="2032"/>
      <c r="CH134" s="1974"/>
      <c r="CI134" s="1974"/>
      <c r="CJ134" s="1974"/>
      <c r="CK134" s="1974"/>
      <c r="CL134" s="1974">
        <v>0</v>
      </c>
      <c r="CM134" s="2033">
        <v>3.4384147500103855E-5</v>
      </c>
      <c r="CN134" s="2026">
        <v>-5.7983872958356884E-5</v>
      </c>
      <c r="CO134" s="1974">
        <v>1</v>
      </c>
      <c r="CP134" s="2040">
        <v>0</v>
      </c>
      <c r="CQ134" s="2040"/>
      <c r="CR134" s="2062">
        <v>1</v>
      </c>
      <c r="CS134" s="2062">
        <v>1</v>
      </c>
      <c r="CT134" s="2062">
        <v>1</v>
      </c>
      <c r="CU134" s="2062">
        <v>1</v>
      </c>
      <c r="CV134" s="2036"/>
      <c r="CW134" s="2036"/>
      <c r="CX134" s="2036"/>
      <c r="CY134" s="2049"/>
      <c r="CZ134" s="2049"/>
      <c r="DA134" s="2049"/>
    </row>
    <row r="135" spans="1:105" x14ac:dyDescent="0.25">
      <c r="A135" s="2185"/>
      <c r="B135" s="2022"/>
      <c r="C135" s="2023"/>
      <c r="D135" s="2023">
        <v>0</v>
      </c>
      <c r="E135" s="2024"/>
      <c r="F135" s="2024"/>
      <c r="G135" s="2024"/>
      <c r="H135" s="2024"/>
      <c r="I135" s="2023"/>
      <c r="J135" s="2027"/>
      <c r="K135" s="2026"/>
      <c r="L135" s="2026"/>
      <c r="M135" s="2026" t="e">
        <v>#N/A</v>
      </c>
      <c r="N135" s="2026" t="e">
        <v>#N/A</v>
      </c>
      <c r="O135" s="2026" t="e">
        <v>#N/A</v>
      </c>
      <c r="P135" s="2026" t="e">
        <v>#N/A</v>
      </c>
      <c r="Q135" s="2027" t="e">
        <f t="shared" si="41"/>
        <v>#N/A</v>
      </c>
      <c r="R135" s="2027" t="e">
        <f t="shared" si="41"/>
        <v>#N/A</v>
      </c>
      <c r="S135" s="2027" t="e">
        <f t="shared" si="41"/>
        <v>#N/A</v>
      </c>
      <c r="T135" s="2027" t="e">
        <f t="shared" si="41"/>
        <v>#N/A</v>
      </c>
      <c r="U135" s="2026" t="e">
        <v>#N/A</v>
      </c>
      <c r="V135" s="2026" t="e">
        <v>#N/A</v>
      </c>
      <c r="W135" s="2026" t="e">
        <v>#N/A</v>
      </c>
      <c r="X135" s="2026" t="e">
        <v>#N/A</v>
      </c>
      <c r="Y135" s="2028" t="e">
        <f t="shared" si="42"/>
        <v>#N/A</v>
      </c>
      <c r="Z135" s="2028" t="e">
        <f t="shared" si="42"/>
        <v>#N/A</v>
      </c>
      <c r="AA135" s="2028" t="e">
        <f t="shared" si="42"/>
        <v>#N/A</v>
      </c>
      <c r="AB135" s="2028" t="e">
        <f t="shared" si="42"/>
        <v>#N/A</v>
      </c>
      <c r="AC135" s="2026" t="e">
        <v>#N/A</v>
      </c>
      <c r="AD135" s="2026" t="e">
        <v>#N/A</v>
      </c>
      <c r="AE135" s="2026" t="e">
        <v>#N/A</v>
      </c>
      <c r="AF135" s="2026" t="e">
        <v>#N/A</v>
      </c>
      <c r="AG135" s="2027"/>
      <c r="AH135" s="2027"/>
      <c r="AI135" s="2027"/>
      <c r="AJ135" s="2027"/>
      <c r="AK135" s="2027">
        <v>0</v>
      </c>
      <c r="AL135" s="2027">
        <v>0</v>
      </c>
      <c r="AM135" s="2027">
        <v>0</v>
      </c>
      <c r="AN135" s="2027">
        <v>0</v>
      </c>
      <c r="AO135" s="2027"/>
      <c r="AP135" s="2027"/>
      <c r="AQ135" s="2027"/>
      <c r="AR135" s="2027"/>
      <c r="AS135" s="2027"/>
      <c r="AT135" s="2027"/>
      <c r="AU135" s="2027"/>
      <c r="AV135" s="2027"/>
      <c r="AW135" s="2027">
        <f t="shared" si="49"/>
        <v>0</v>
      </c>
      <c r="AX135" s="2029"/>
      <c r="AY135" s="2029">
        <v>0</v>
      </c>
      <c r="AZ135" s="2029">
        <v>0</v>
      </c>
      <c r="BA135" s="2029">
        <v>0</v>
      </c>
      <c r="BB135" s="1974"/>
      <c r="BC135" s="2029">
        <v>0</v>
      </c>
      <c r="BD135" s="2029">
        <v>0</v>
      </c>
      <c r="BE135" s="2029">
        <v>0</v>
      </c>
      <c r="BF135" s="2029"/>
      <c r="BG135" s="2029">
        <v>0</v>
      </c>
      <c r="BH135" s="2029">
        <v>0</v>
      </c>
      <c r="BI135" s="2029">
        <v>0</v>
      </c>
      <c r="BJ135" s="2030">
        <f t="shared" si="58"/>
        <v>0</v>
      </c>
      <c r="BK135" s="2030">
        <f t="shared" si="58"/>
        <v>0</v>
      </c>
      <c r="BL135" s="2030">
        <f t="shared" si="58"/>
        <v>0</v>
      </c>
      <c r="BM135" s="2030"/>
      <c r="BN135" s="2030">
        <f t="shared" si="59"/>
        <v>0</v>
      </c>
      <c r="BO135" s="2030">
        <f t="shared" si="60"/>
        <v>0</v>
      </c>
      <c r="BP135" s="2030"/>
      <c r="BQ135" s="2030">
        <f t="shared" si="61"/>
        <v>0</v>
      </c>
      <c r="BR135" s="2030">
        <f t="shared" si="61"/>
        <v>0</v>
      </c>
      <c r="BS135" s="2030">
        <f t="shared" si="61"/>
        <v>0</v>
      </c>
      <c r="BT135" s="2031"/>
      <c r="BU135" s="2031"/>
      <c r="BV135" s="2031"/>
      <c r="BW135" s="2031"/>
      <c r="BX135" s="2031"/>
      <c r="BY135" s="2031"/>
      <c r="BZ135" s="2031"/>
      <c r="CA135" s="2031"/>
      <c r="CB135" s="2029"/>
      <c r="CC135" s="2029"/>
      <c r="CD135" s="2029"/>
      <c r="CE135" s="2029"/>
      <c r="CF135" s="2029"/>
      <c r="CG135" s="2032"/>
      <c r="CH135" s="1974"/>
      <c r="CI135" s="1974"/>
      <c r="CJ135" s="1974"/>
      <c r="CK135" s="1974"/>
      <c r="CL135" s="1974"/>
      <c r="CM135" s="2033">
        <v>0</v>
      </c>
      <c r="CN135" s="2026">
        <v>0</v>
      </c>
      <c r="CO135" s="1974"/>
      <c r="CP135" s="2040">
        <v>0</v>
      </c>
      <c r="CQ135" s="2040"/>
      <c r="CR135" s="2062">
        <v>1</v>
      </c>
      <c r="CS135" s="2062">
        <v>1</v>
      </c>
      <c r="CT135" s="2062">
        <v>1</v>
      </c>
      <c r="CU135" s="2062">
        <v>1</v>
      </c>
      <c r="CV135" s="2036"/>
      <c r="CW135" s="2036"/>
      <c r="CX135" s="2036"/>
      <c r="CY135" s="2049"/>
      <c r="CZ135" s="2049"/>
      <c r="DA135" s="2049"/>
    </row>
    <row r="136" spans="1:105" s="2208" customFormat="1" x14ac:dyDescent="0.25">
      <c r="A136" s="2192" t="s">
        <v>1016</v>
      </c>
      <c r="B136" s="2193"/>
      <c r="C136" s="2194">
        <v>10</v>
      </c>
      <c r="D136" s="2194">
        <v>0</v>
      </c>
      <c r="E136" s="2195">
        <v>20.576568549600005</v>
      </c>
      <c r="F136" s="2195"/>
      <c r="G136" s="2195">
        <v>6.7886315422358541E-3</v>
      </c>
      <c r="H136" s="2195"/>
      <c r="I136" s="2196">
        <v>5.3588189352600013</v>
      </c>
      <c r="J136" s="2197"/>
      <c r="K136" s="2198" t="s">
        <v>2285</v>
      </c>
      <c r="L136" s="2198" t="s">
        <v>2285</v>
      </c>
      <c r="M136" s="2198">
        <v>0.79999999999999993</v>
      </c>
      <c r="N136" s="2198">
        <v>0.79999999999999993</v>
      </c>
      <c r="O136" s="2026">
        <v>0.79999999999999993</v>
      </c>
      <c r="P136" s="2198">
        <v>0.79999999999999993</v>
      </c>
      <c r="Q136" s="2197">
        <f t="shared" ref="Q136:T198" si="62">$E136*M136</f>
        <v>16.461254839680002</v>
      </c>
      <c r="R136" s="2197">
        <f t="shared" si="62"/>
        <v>16.461254839680002</v>
      </c>
      <c r="S136" s="2197">
        <f t="shared" si="62"/>
        <v>16.461254839680002</v>
      </c>
      <c r="T136" s="2197">
        <f t="shared" si="62"/>
        <v>16.461254839680002</v>
      </c>
      <c r="U136" s="2198">
        <v>0.79999999999999993</v>
      </c>
      <c r="V136" s="2198">
        <v>0.79999999999999993</v>
      </c>
      <c r="W136" s="2198">
        <v>0.79999999999999993</v>
      </c>
      <c r="X136" s="2198">
        <v>0.79999999999999993</v>
      </c>
      <c r="Y136" s="2199">
        <f t="shared" ref="Y136:AB198" si="63">$G136*U136</f>
        <v>5.4309052337886826E-3</v>
      </c>
      <c r="Z136" s="2199">
        <f t="shared" si="63"/>
        <v>5.4309052337886826E-3</v>
      </c>
      <c r="AA136" s="2199">
        <f t="shared" si="63"/>
        <v>5.4309052337886826E-3</v>
      </c>
      <c r="AB136" s="2199">
        <f t="shared" si="63"/>
        <v>5.4309052337886826E-3</v>
      </c>
      <c r="AC136" s="2198">
        <v>0.60399999999999998</v>
      </c>
      <c r="AD136" s="2198">
        <v>0.60399999999999998</v>
      </c>
      <c r="AE136" s="2198">
        <v>0.60399999999999998</v>
      </c>
      <c r="AF136" s="2198">
        <v>0.60399999999999998</v>
      </c>
      <c r="AG136" s="2197">
        <f t="shared" si="57"/>
        <v>3.2367266368970409</v>
      </c>
      <c r="AH136" s="2197">
        <f t="shared" si="57"/>
        <v>3.2367266368970409</v>
      </c>
      <c r="AI136" s="2197">
        <f t="shared" si="57"/>
        <v>3.2367266368970409</v>
      </c>
      <c r="AJ136" s="2197">
        <f t="shared" si="57"/>
        <v>3.2367266368970409</v>
      </c>
      <c r="AK136" s="2027">
        <v>23</v>
      </c>
      <c r="AL136" s="2027">
        <v>23</v>
      </c>
      <c r="AM136" s="2027">
        <v>23</v>
      </c>
      <c r="AN136" s="2027">
        <v>23</v>
      </c>
      <c r="AO136" s="2197">
        <f t="shared" ref="AO136:AO198" si="64">AK136*Q136</f>
        <v>378.60886131264004</v>
      </c>
      <c r="AP136" s="2197">
        <f t="shared" ref="AP136:AQ167" si="65">AL136*R136*CS136</f>
        <v>378.60886131264004</v>
      </c>
      <c r="AQ136" s="2197">
        <f t="shared" si="65"/>
        <v>378.60886131264004</v>
      </c>
      <c r="AR136" s="2197"/>
      <c r="AS136" s="2027">
        <f t="shared" ref="AS136:AS198" si="66">AN136*T136*CU136</f>
        <v>378.60886131264004</v>
      </c>
      <c r="AT136" s="2197">
        <f t="shared" ref="AT136:AT198" si="67">AK136*AG136</f>
        <v>74.444712648631935</v>
      </c>
      <c r="AU136" s="2197">
        <f t="shared" ref="AU136:AW167" si="68">AL136*AH136*CS136</f>
        <v>74.444712648631935</v>
      </c>
      <c r="AV136" s="2197">
        <f t="shared" si="68"/>
        <v>74.444712648631935</v>
      </c>
      <c r="AW136" s="2027">
        <f t="shared" si="49"/>
        <v>74.444712648631935</v>
      </c>
      <c r="AX136" s="2200">
        <v>1.92</v>
      </c>
      <c r="AY136" s="2029">
        <v>1.92</v>
      </c>
      <c r="AZ136" s="2029">
        <v>1.92</v>
      </c>
      <c r="BA136" s="2029">
        <v>1.92</v>
      </c>
      <c r="BB136" s="2201">
        <v>10.08</v>
      </c>
      <c r="BC136" s="2029">
        <v>10.08</v>
      </c>
      <c r="BD136" s="2029">
        <v>10.08</v>
      </c>
      <c r="BE136" s="2029">
        <v>10.08</v>
      </c>
      <c r="BF136" s="2200">
        <v>12</v>
      </c>
      <c r="BG136" s="2029">
        <v>12</v>
      </c>
      <c r="BH136" s="2029">
        <v>12</v>
      </c>
      <c r="BI136" s="2029">
        <v>12</v>
      </c>
      <c r="BJ136" s="2030">
        <f t="shared" si="58"/>
        <v>44.16</v>
      </c>
      <c r="BK136" s="2030">
        <f t="shared" si="58"/>
        <v>44.16</v>
      </c>
      <c r="BL136" s="2030">
        <f t="shared" si="58"/>
        <v>44.16</v>
      </c>
      <c r="BM136" s="2030"/>
      <c r="BN136" s="2030">
        <f t="shared" si="59"/>
        <v>44.16</v>
      </c>
      <c r="BO136" s="2030">
        <f t="shared" si="60"/>
        <v>231.84</v>
      </c>
      <c r="BP136" s="2030"/>
      <c r="BQ136" s="2030">
        <f t="shared" si="61"/>
        <v>231.84</v>
      </c>
      <c r="BR136" s="2030">
        <f t="shared" si="61"/>
        <v>231.84</v>
      </c>
      <c r="BS136" s="2030">
        <f t="shared" si="61"/>
        <v>231.84</v>
      </c>
      <c r="BT136" s="2202"/>
      <c r="BU136" s="2202"/>
      <c r="BV136" s="2202"/>
      <c r="BW136" s="2202"/>
      <c r="BX136" s="2202"/>
      <c r="BY136" s="2202"/>
      <c r="BZ136" s="2202"/>
      <c r="CA136" s="2202"/>
      <c r="CB136" s="2200"/>
      <c r="CC136" s="2200"/>
      <c r="CD136" s="2200"/>
      <c r="CE136" s="2200"/>
      <c r="CF136" s="2200"/>
      <c r="CG136" s="2203"/>
      <c r="CH136" s="2201">
        <v>1012.626405</v>
      </c>
      <c r="CI136" s="2201"/>
      <c r="CJ136" s="2201"/>
      <c r="CK136" s="2201"/>
      <c r="CL136" s="2201">
        <v>0</v>
      </c>
      <c r="CM136" s="2204">
        <v>1.1027452859638776E-6</v>
      </c>
      <c r="CN136" s="2198">
        <v>2.0852198794862881E-5</v>
      </c>
      <c r="CO136" s="2201">
        <v>0</v>
      </c>
      <c r="CP136" s="2205">
        <v>0</v>
      </c>
      <c r="CQ136" s="2205"/>
      <c r="CR136" s="2206">
        <v>1</v>
      </c>
      <c r="CS136" s="2206">
        <v>1</v>
      </c>
      <c r="CT136" s="2206">
        <v>1</v>
      </c>
      <c r="CU136" s="2206">
        <v>1</v>
      </c>
      <c r="CV136" s="2036"/>
      <c r="CW136" s="2036"/>
      <c r="CX136" s="2036"/>
      <c r="CY136" s="2207"/>
      <c r="CZ136" s="2207"/>
      <c r="DA136" s="2207"/>
    </row>
    <row r="137" spans="1:105" s="2161" customFormat="1" x14ac:dyDescent="0.25">
      <c r="A137" s="2186" t="s">
        <v>2951</v>
      </c>
      <c r="B137" s="2187"/>
      <c r="C137" s="2053">
        <v>15</v>
      </c>
      <c r="D137" s="2053">
        <v>0</v>
      </c>
      <c r="E137" s="2044">
        <v>42.69534774200001</v>
      </c>
      <c r="F137" s="2044"/>
      <c r="G137" s="2209">
        <v>9.1439273599999999E-3</v>
      </c>
      <c r="H137" s="2209"/>
      <c r="I137" s="2209">
        <v>-0.86174096360000019</v>
      </c>
      <c r="J137" s="2146"/>
      <c r="K137" s="2153" t="s">
        <v>2870</v>
      </c>
      <c r="L137" s="2153" t="s">
        <v>2870</v>
      </c>
      <c r="M137" s="2153">
        <v>0.77300000000000002</v>
      </c>
      <c r="N137" s="2153">
        <v>0.77300000000000002</v>
      </c>
      <c r="O137" s="2153">
        <v>0.77300000000000002</v>
      </c>
      <c r="P137" s="2153">
        <v>0.77300000000000002</v>
      </c>
      <c r="Q137" s="2146">
        <f t="shared" si="62"/>
        <v>33.003503804566009</v>
      </c>
      <c r="R137" s="2146">
        <f t="shared" si="62"/>
        <v>33.003503804566009</v>
      </c>
      <c r="S137" s="2146">
        <f t="shared" si="62"/>
        <v>33.003503804566009</v>
      </c>
      <c r="T137" s="2146">
        <f t="shared" si="62"/>
        <v>33.003503804566009</v>
      </c>
      <c r="U137" s="2153">
        <v>0.77300000000000002</v>
      </c>
      <c r="V137" s="2153">
        <v>0.77300000000000002</v>
      </c>
      <c r="W137" s="2153">
        <v>0.77300000000000002</v>
      </c>
      <c r="X137" s="2153">
        <v>0.77300000000000002</v>
      </c>
      <c r="Y137" s="2129">
        <f t="shared" si="63"/>
        <v>7.0682558492800003E-3</v>
      </c>
      <c r="Z137" s="2129">
        <f t="shared" si="63"/>
        <v>7.0682558492800003E-3</v>
      </c>
      <c r="AA137" s="2129">
        <f t="shared" si="63"/>
        <v>7.0682558492800003E-3</v>
      </c>
      <c r="AB137" s="2129">
        <f t="shared" si="63"/>
        <v>7.0682558492800003E-3</v>
      </c>
      <c r="AC137" s="2153">
        <v>0.77300000000000002</v>
      </c>
      <c r="AD137" s="2153">
        <v>0.77300000000000002</v>
      </c>
      <c r="AE137" s="2153">
        <v>0.77300000000000002</v>
      </c>
      <c r="AF137" s="2153">
        <v>0.77300000000000002</v>
      </c>
      <c r="AG137" s="2146">
        <f t="shared" si="57"/>
        <v>-0.66612576486280017</v>
      </c>
      <c r="AH137" s="2146">
        <f t="shared" si="57"/>
        <v>-0.66612576486280017</v>
      </c>
      <c r="AI137" s="2146">
        <f t="shared" si="57"/>
        <v>-0.66612576486280017</v>
      </c>
      <c r="AJ137" s="2146">
        <f t="shared" si="57"/>
        <v>-0.66612576486280017</v>
      </c>
      <c r="AK137" s="2027">
        <v>218536</v>
      </c>
      <c r="AL137" s="2027">
        <v>228593</v>
      </c>
      <c r="AM137" s="2027">
        <v>243737</v>
      </c>
      <c r="AN137" s="2027">
        <v>242033</v>
      </c>
      <c r="AO137" s="2146">
        <f t="shared" si="64"/>
        <v>7212453.7074346375</v>
      </c>
      <c r="AP137" s="2146">
        <f t="shared" si="65"/>
        <v>7544369.9451971576</v>
      </c>
      <c r="AQ137" s="2146">
        <f t="shared" si="65"/>
        <v>7159315.7560640201</v>
      </c>
      <c r="AR137" s="2146"/>
      <c r="AS137" s="2146">
        <f t="shared" si="66"/>
        <v>7109263.9623341672</v>
      </c>
      <c r="AT137" s="2146">
        <f t="shared" si="67"/>
        <v>-145572.4601500569</v>
      </c>
      <c r="AU137" s="2146">
        <f t="shared" si="68"/>
        <v>-152271.68696728209</v>
      </c>
      <c r="AV137" s="2146">
        <f t="shared" si="68"/>
        <v>-144499.95103982423</v>
      </c>
      <c r="AW137" s="2146">
        <f t="shared" si="49"/>
        <v>-143489.73134986393</v>
      </c>
      <c r="AX137" s="2046">
        <v>4</v>
      </c>
      <c r="AY137" s="2046">
        <v>4</v>
      </c>
      <c r="AZ137" s="2046">
        <v>3</v>
      </c>
      <c r="BA137" s="2046">
        <v>3</v>
      </c>
      <c r="BB137" s="2047"/>
      <c r="BC137" s="2046">
        <v>0</v>
      </c>
      <c r="BD137" s="2046">
        <v>0</v>
      </c>
      <c r="BE137" s="2046">
        <v>0</v>
      </c>
      <c r="BF137" s="2046">
        <v>4.1099999999999994</v>
      </c>
      <c r="BG137" s="2046">
        <v>4.1099999999999994</v>
      </c>
      <c r="BH137" s="2046">
        <v>4.1099999999999994</v>
      </c>
      <c r="BI137" s="2046">
        <v>4.1099999999999994</v>
      </c>
      <c r="BJ137" s="2154">
        <f t="shared" si="58"/>
        <v>874144</v>
      </c>
      <c r="BK137" s="2154">
        <f t="shared" si="58"/>
        <v>914372</v>
      </c>
      <c r="BL137" s="2154">
        <f t="shared" si="58"/>
        <v>731211</v>
      </c>
      <c r="BM137" s="2154"/>
      <c r="BN137" s="2154">
        <f t="shared" si="59"/>
        <v>726099</v>
      </c>
      <c r="BO137" s="2154">
        <f t="shared" si="60"/>
        <v>0</v>
      </c>
      <c r="BP137" s="2154"/>
      <c r="BQ137" s="2154">
        <f t="shared" si="61"/>
        <v>0</v>
      </c>
      <c r="BR137" s="2154">
        <f t="shared" si="61"/>
        <v>0</v>
      </c>
      <c r="BS137" s="2154">
        <f t="shared" si="61"/>
        <v>0</v>
      </c>
      <c r="BT137" s="2063"/>
      <c r="BU137" s="2063"/>
      <c r="BV137" s="2063"/>
      <c r="BW137" s="2063"/>
      <c r="BX137" s="2063"/>
      <c r="BY137" s="2063"/>
      <c r="BZ137" s="2063"/>
      <c r="CA137" s="2063"/>
      <c r="CB137" s="2046"/>
      <c r="CC137" s="2046"/>
      <c r="CD137" s="2046"/>
      <c r="CE137" s="2046"/>
      <c r="CF137" s="2046"/>
      <c r="CG137" s="2156"/>
      <c r="CH137" s="2047"/>
      <c r="CI137" s="2047"/>
      <c r="CJ137" s="2047"/>
      <c r="CK137" s="2047"/>
      <c r="CL137" s="2047">
        <v>0</v>
      </c>
      <c r="CM137" s="2157">
        <v>4.6792186698920726E-2</v>
      </c>
      <c r="CN137" s="2153">
        <v>-7.2800981329260842E-2</v>
      </c>
      <c r="CO137" s="2047">
        <v>1</v>
      </c>
      <c r="CP137" s="2188">
        <v>-1.176912501648</v>
      </c>
      <c r="CQ137" s="2188"/>
      <c r="CR137" s="2189">
        <v>1</v>
      </c>
      <c r="CS137" s="2189">
        <v>1</v>
      </c>
      <c r="CT137" s="2189">
        <v>0.89</v>
      </c>
      <c r="CU137" s="2189">
        <v>0.89</v>
      </c>
      <c r="CV137" s="2160"/>
      <c r="CW137" s="2160"/>
      <c r="CX137" s="2160"/>
      <c r="CY137" s="2160"/>
      <c r="CZ137" s="2160"/>
      <c r="DA137" s="2160"/>
    </row>
    <row r="138" spans="1:105" s="2161" customFormat="1" x14ac:dyDescent="0.25">
      <c r="A138" s="2186" t="s">
        <v>173</v>
      </c>
      <c r="B138" s="2187"/>
      <c r="C138" s="2043">
        <v>10.197838058331634</v>
      </c>
      <c r="D138" s="2043">
        <v>0</v>
      </c>
      <c r="E138" s="2044">
        <v>511.38289999999995</v>
      </c>
      <c r="F138" s="2044"/>
      <c r="G138" s="2044">
        <v>0</v>
      </c>
      <c r="H138" s="2044"/>
      <c r="I138" s="2043">
        <v>0</v>
      </c>
      <c r="J138" s="2146"/>
      <c r="K138" s="2153" t="s">
        <v>2870</v>
      </c>
      <c r="L138" s="2153" t="s">
        <v>2870</v>
      </c>
      <c r="M138" s="2153">
        <v>0.77300000000000002</v>
      </c>
      <c r="N138" s="2153">
        <v>0.77300000000000002</v>
      </c>
      <c r="O138" s="2153">
        <v>0.77300000000000002</v>
      </c>
      <c r="P138" s="2153">
        <v>0.77300000000000002</v>
      </c>
      <c r="Q138" s="2146">
        <f t="shared" si="62"/>
        <v>395.29898169999996</v>
      </c>
      <c r="R138" s="2146">
        <f t="shared" si="62"/>
        <v>395.29898169999996</v>
      </c>
      <c r="S138" s="2146">
        <f t="shared" si="62"/>
        <v>395.29898169999996</v>
      </c>
      <c r="T138" s="2146">
        <f t="shared" si="62"/>
        <v>395.29898169999996</v>
      </c>
      <c r="U138" s="2153">
        <v>0.77300000000000002</v>
      </c>
      <c r="V138" s="2153">
        <v>0.77300000000000002</v>
      </c>
      <c r="W138" s="2153">
        <v>0.77300000000000002</v>
      </c>
      <c r="X138" s="2153">
        <v>0.77300000000000002</v>
      </c>
      <c r="Y138" s="2129">
        <f t="shared" si="63"/>
        <v>0</v>
      </c>
      <c r="Z138" s="2129">
        <f t="shared" si="63"/>
        <v>0</v>
      </c>
      <c r="AA138" s="2129">
        <f t="shared" si="63"/>
        <v>0</v>
      </c>
      <c r="AB138" s="2129">
        <f t="shared" si="63"/>
        <v>0</v>
      </c>
      <c r="AC138" s="2153">
        <v>0.77300000000000002</v>
      </c>
      <c r="AD138" s="2153">
        <v>0.77300000000000002</v>
      </c>
      <c r="AE138" s="2153">
        <v>0.77300000000000002</v>
      </c>
      <c r="AF138" s="2153">
        <v>0.77300000000000002</v>
      </c>
      <c r="AG138" s="2146">
        <f t="shared" si="57"/>
        <v>0</v>
      </c>
      <c r="AH138" s="2146">
        <f t="shared" si="57"/>
        <v>0</v>
      </c>
      <c r="AI138" s="2146">
        <f t="shared" si="57"/>
        <v>0</v>
      </c>
      <c r="AJ138" s="2146">
        <f t="shared" si="57"/>
        <v>0</v>
      </c>
      <c r="AK138" s="2146">
        <v>123</v>
      </c>
      <c r="AL138" s="2146">
        <v>231</v>
      </c>
      <c r="AM138" s="2146">
        <v>240</v>
      </c>
      <c r="AN138" s="2146">
        <v>195</v>
      </c>
      <c r="AO138" s="2146">
        <f t="shared" si="64"/>
        <v>48621.774749099997</v>
      </c>
      <c r="AP138" s="2146">
        <f t="shared" si="65"/>
        <v>91314.064772699989</v>
      </c>
      <c r="AQ138" s="2146">
        <f t="shared" si="65"/>
        <v>94871.755607999992</v>
      </c>
      <c r="AR138" s="2146"/>
      <c r="AS138" s="2146">
        <f t="shared" si="66"/>
        <v>77083.301431499989</v>
      </c>
      <c r="AT138" s="2146">
        <f t="shared" si="67"/>
        <v>0</v>
      </c>
      <c r="AU138" s="2146">
        <f t="shared" si="68"/>
        <v>0</v>
      </c>
      <c r="AV138" s="2146">
        <f t="shared" si="68"/>
        <v>0</v>
      </c>
      <c r="AW138" s="2146">
        <f t="shared" si="49"/>
        <v>0</v>
      </c>
      <c r="AX138" s="2046">
        <v>40</v>
      </c>
      <c r="AY138" s="2046">
        <v>40</v>
      </c>
      <c r="AZ138" s="2046">
        <v>40</v>
      </c>
      <c r="BA138" s="2046">
        <v>40</v>
      </c>
      <c r="BB138" s="2047"/>
      <c r="BC138" s="2046">
        <v>0</v>
      </c>
      <c r="BD138" s="2046">
        <v>0</v>
      </c>
      <c r="BE138" s="2046">
        <v>0</v>
      </c>
      <c r="BF138" s="2046">
        <v>143.75</v>
      </c>
      <c r="BG138" s="2046">
        <v>143.75</v>
      </c>
      <c r="BH138" s="2046">
        <v>143.75</v>
      </c>
      <c r="BI138" s="2046">
        <v>143.75</v>
      </c>
      <c r="BJ138" s="2154">
        <f t="shared" si="58"/>
        <v>4920</v>
      </c>
      <c r="BK138" s="2154">
        <f t="shared" si="58"/>
        <v>9240</v>
      </c>
      <c r="BL138" s="2154">
        <f t="shared" si="58"/>
        <v>9600</v>
      </c>
      <c r="BM138" s="2154"/>
      <c r="BN138" s="2154">
        <f t="shared" si="59"/>
        <v>7800</v>
      </c>
      <c r="BO138" s="2154">
        <f t="shared" si="60"/>
        <v>0</v>
      </c>
      <c r="BP138" s="2154"/>
      <c r="BQ138" s="2154">
        <f t="shared" si="61"/>
        <v>0</v>
      </c>
      <c r="BR138" s="2154">
        <f t="shared" si="61"/>
        <v>0</v>
      </c>
      <c r="BS138" s="2154">
        <f t="shared" si="61"/>
        <v>0</v>
      </c>
      <c r="BT138" s="2063"/>
      <c r="BU138" s="2063"/>
      <c r="BV138" s="2063"/>
      <c r="BW138" s="2063"/>
      <c r="BX138" s="2063"/>
      <c r="BY138" s="2063"/>
      <c r="BZ138" s="2063"/>
      <c r="CA138" s="2063"/>
      <c r="CB138" s="2046"/>
      <c r="CC138" s="2046"/>
      <c r="CD138" s="2046"/>
      <c r="CE138" s="2046"/>
      <c r="CF138" s="2046"/>
      <c r="CG138" s="2156"/>
      <c r="CH138" s="2047"/>
      <c r="CI138" s="2047"/>
      <c r="CJ138" s="2047"/>
      <c r="CK138" s="2047"/>
      <c r="CL138" s="2047">
        <v>0</v>
      </c>
      <c r="CM138" s="2157">
        <v>1.870471588789525E-4</v>
      </c>
      <c r="CN138" s="2153">
        <v>0</v>
      </c>
      <c r="CO138" s="2047">
        <v>1</v>
      </c>
      <c r="CP138" s="2188">
        <v>-24.764039713333329</v>
      </c>
      <c r="CQ138" s="2188"/>
      <c r="CR138" s="2189">
        <v>1</v>
      </c>
      <c r="CS138" s="2189">
        <v>1</v>
      </c>
      <c r="CT138" s="2189">
        <v>1</v>
      </c>
      <c r="CU138" s="2189">
        <v>1</v>
      </c>
      <c r="CV138" s="2160"/>
      <c r="CW138" s="2160"/>
      <c r="CX138" s="2160"/>
      <c r="CY138" s="2160"/>
      <c r="CZ138" s="2160"/>
      <c r="DA138" s="2160"/>
    </row>
    <row r="139" spans="1:105" x14ac:dyDescent="0.25">
      <c r="A139" s="2185" t="s">
        <v>244</v>
      </c>
      <c r="B139" s="2022"/>
      <c r="C139" s="2023">
        <v>12.8</v>
      </c>
      <c r="D139" s="2023">
        <v>0</v>
      </c>
      <c r="E139" s="2024">
        <v>1445.31</v>
      </c>
      <c r="F139" s="2024"/>
      <c r="G139" s="2024">
        <v>4.7999999999999996E-3</v>
      </c>
      <c r="H139" s="2024"/>
      <c r="I139" s="2023">
        <v>0</v>
      </c>
      <c r="J139" s="2027"/>
      <c r="K139" s="2026" t="s">
        <v>4</v>
      </c>
      <c r="L139" s="2026" t="s">
        <v>4</v>
      </c>
      <c r="M139" s="2026">
        <v>0.77800000000000002</v>
      </c>
      <c r="N139" s="2026">
        <v>0.77800000000000002</v>
      </c>
      <c r="O139" s="2026">
        <v>0.77800000000000002</v>
      </c>
      <c r="P139" s="2026">
        <v>0.77800000000000002</v>
      </c>
      <c r="Q139" s="2027">
        <f t="shared" si="62"/>
        <v>1124.45118</v>
      </c>
      <c r="R139" s="2027">
        <f t="shared" si="62"/>
        <v>1124.45118</v>
      </c>
      <c r="S139" s="2027">
        <f t="shared" si="62"/>
        <v>1124.45118</v>
      </c>
      <c r="T139" s="2027">
        <f t="shared" si="62"/>
        <v>1124.45118</v>
      </c>
      <c r="U139" s="2026">
        <v>0.77800000000000002</v>
      </c>
      <c r="V139" s="2026">
        <v>0.77800000000000002</v>
      </c>
      <c r="W139" s="2026">
        <v>0.77800000000000002</v>
      </c>
      <c r="X139" s="2026">
        <v>0.77800000000000002</v>
      </c>
      <c r="Y139" s="2028">
        <f t="shared" si="63"/>
        <v>3.7343999999999997E-3</v>
      </c>
      <c r="Z139" s="2028">
        <f t="shared" si="63"/>
        <v>3.7343999999999997E-3</v>
      </c>
      <c r="AA139" s="2028">
        <f t="shared" si="63"/>
        <v>3.7343999999999997E-3</v>
      </c>
      <c r="AB139" s="2028">
        <f t="shared" si="63"/>
        <v>3.7343999999999997E-3</v>
      </c>
      <c r="AC139" s="2026">
        <v>0.77800000000000002</v>
      </c>
      <c r="AD139" s="2026">
        <v>0.77800000000000002</v>
      </c>
      <c r="AE139" s="2026">
        <v>0.77800000000000002</v>
      </c>
      <c r="AF139" s="2026">
        <v>0.77800000000000002</v>
      </c>
      <c r="AG139" s="2027">
        <f t="shared" si="57"/>
        <v>0</v>
      </c>
      <c r="AH139" s="2027">
        <f t="shared" si="57"/>
        <v>0</v>
      </c>
      <c r="AI139" s="2027">
        <f t="shared" si="57"/>
        <v>0</v>
      </c>
      <c r="AJ139" s="2027">
        <f t="shared" si="57"/>
        <v>0</v>
      </c>
      <c r="AK139" s="2027">
        <v>0</v>
      </c>
      <c r="AL139" s="2027">
        <v>0</v>
      </c>
      <c r="AM139" s="2027">
        <v>0</v>
      </c>
      <c r="AN139" s="2027">
        <v>0</v>
      </c>
      <c r="AO139" s="2027">
        <f t="shared" si="64"/>
        <v>0</v>
      </c>
      <c r="AP139" s="2027">
        <f t="shared" si="65"/>
        <v>0</v>
      </c>
      <c r="AQ139" s="2027">
        <f t="shared" si="65"/>
        <v>0</v>
      </c>
      <c r="AR139" s="2027"/>
      <c r="AS139" s="2027">
        <f t="shared" si="66"/>
        <v>0</v>
      </c>
      <c r="AT139" s="2027">
        <f t="shared" si="67"/>
        <v>0</v>
      </c>
      <c r="AU139" s="2027">
        <f t="shared" si="68"/>
        <v>0</v>
      </c>
      <c r="AV139" s="2027">
        <f t="shared" si="68"/>
        <v>0</v>
      </c>
      <c r="AW139" s="2027">
        <f t="shared" si="49"/>
        <v>0</v>
      </c>
      <c r="AX139" s="2029">
        <v>104.24</v>
      </c>
      <c r="AY139" s="2029">
        <v>104.24</v>
      </c>
      <c r="AZ139" s="2029">
        <v>104.24</v>
      </c>
      <c r="BA139" s="2029">
        <v>104.24</v>
      </c>
      <c r="BB139" s="1974"/>
      <c r="BC139" s="2029">
        <v>0</v>
      </c>
      <c r="BD139" s="2029">
        <v>0</v>
      </c>
      <c r="BE139" s="2029">
        <v>0</v>
      </c>
      <c r="BF139" s="2029">
        <v>408.28</v>
      </c>
      <c r="BG139" s="2029">
        <v>408.28</v>
      </c>
      <c r="BH139" s="2029">
        <v>408.28</v>
      </c>
      <c r="BI139" s="2029">
        <v>408.28</v>
      </c>
      <c r="BJ139" s="2030">
        <f t="shared" si="58"/>
        <v>0</v>
      </c>
      <c r="BK139" s="2030">
        <f t="shared" si="58"/>
        <v>0</v>
      </c>
      <c r="BL139" s="2030">
        <f t="shared" si="58"/>
        <v>0</v>
      </c>
      <c r="BM139" s="2030"/>
      <c r="BN139" s="2030">
        <f t="shared" si="59"/>
        <v>0</v>
      </c>
      <c r="BO139" s="2030">
        <f t="shared" si="60"/>
        <v>0</v>
      </c>
      <c r="BP139" s="2030"/>
      <c r="BQ139" s="2030">
        <f t="shared" si="61"/>
        <v>0</v>
      </c>
      <c r="BR139" s="2030">
        <f t="shared" si="61"/>
        <v>0</v>
      </c>
      <c r="BS139" s="2030">
        <f t="shared" si="61"/>
        <v>0</v>
      </c>
      <c r="BT139" s="2031"/>
      <c r="BU139" s="2031"/>
      <c r="BV139" s="2031"/>
      <c r="BW139" s="2031"/>
      <c r="BX139" s="2031"/>
      <c r="BY139" s="2031"/>
      <c r="BZ139" s="2031"/>
      <c r="CA139" s="2031"/>
      <c r="CB139" s="2029"/>
      <c r="CC139" s="2029"/>
      <c r="CD139" s="2029"/>
      <c r="CE139" s="2029"/>
      <c r="CF139" s="2029"/>
      <c r="CG139" s="2032"/>
      <c r="CH139" s="1974"/>
      <c r="CI139" s="1974"/>
      <c r="CJ139" s="1974"/>
      <c r="CK139" s="1974"/>
      <c r="CL139" s="1974">
        <v>0</v>
      </c>
      <c r="CM139" s="2033">
        <v>0</v>
      </c>
      <c r="CN139" s="2026">
        <v>0</v>
      </c>
      <c r="CO139" s="1974">
        <v>1</v>
      </c>
      <c r="CP139" s="2040">
        <v>-19.729661458333329</v>
      </c>
      <c r="CQ139" s="2040"/>
      <c r="CR139" s="2062">
        <v>1</v>
      </c>
      <c r="CS139" s="2062">
        <v>1</v>
      </c>
      <c r="CT139" s="2062">
        <v>1</v>
      </c>
      <c r="CU139" s="2062">
        <v>1</v>
      </c>
      <c r="CV139" s="2036"/>
      <c r="CW139" s="2036"/>
      <c r="CX139" s="2036"/>
      <c r="CY139" s="2049"/>
      <c r="CZ139" s="2049"/>
      <c r="DA139" s="2049"/>
    </row>
    <row r="140" spans="1:105" x14ac:dyDescent="0.25">
      <c r="A140" s="2185" t="s">
        <v>245</v>
      </c>
      <c r="B140" s="2022"/>
      <c r="C140" s="2023">
        <v>12.8</v>
      </c>
      <c r="D140" s="2023">
        <v>0</v>
      </c>
      <c r="E140" s="2024">
        <v>2107.0500000000002</v>
      </c>
      <c r="F140" s="2024"/>
      <c r="G140" s="2024">
        <v>4.4999999999999997E-3</v>
      </c>
      <c r="H140" s="2024"/>
      <c r="I140" s="2023">
        <v>0</v>
      </c>
      <c r="J140" s="2027"/>
      <c r="K140" s="2026" t="s">
        <v>4</v>
      </c>
      <c r="L140" s="2026" t="s">
        <v>4</v>
      </c>
      <c r="M140" s="2026">
        <v>0.77800000000000002</v>
      </c>
      <c r="N140" s="2026">
        <v>0.77800000000000002</v>
      </c>
      <c r="O140" s="2026">
        <v>0.77800000000000002</v>
      </c>
      <c r="P140" s="2026">
        <v>0.77800000000000002</v>
      </c>
      <c r="Q140" s="2027">
        <f t="shared" si="62"/>
        <v>1639.2849000000001</v>
      </c>
      <c r="R140" s="2027">
        <f t="shared" si="62"/>
        <v>1639.2849000000001</v>
      </c>
      <c r="S140" s="2027">
        <f t="shared" si="62"/>
        <v>1639.2849000000001</v>
      </c>
      <c r="T140" s="2027">
        <f t="shared" si="62"/>
        <v>1639.2849000000001</v>
      </c>
      <c r="U140" s="2026">
        <v>0.77800000000000002</v>
      </c>
      <c r="V140" s="2026">
        <v>0.77800000000000002</v>
      </c>
      <c r="W140" s="2026">
        <v>0.77800000000000002</v>
      </c>
      <c r="X140" s="2026">
        <v>0.77800000000000002</v>
      </c>
      <c r="Y140" s="2028">
        <f t="shared" si="63"/>
        <v>3.5009999999999998E-3</v>
      </c>
      <c r="Z140" s="2028">
        <f t="shared" si="63"/>
        <v>3.5009999999999998E-3</v>
      </c>
      <c r="AA140" s="2028">
        <f t="shared" si="63"/>
        <v>3.5009999999999998E-3</v>
      </c>
      <c r="AB140" s="2028">
        <f t="shared" si="63"/>
        <v>3.5009999999999998E-3</v>
      </c>
      <c r="AC140" s="2026">
        <v>0.77800000000000002</v>
      </c>
      <c r="AD140" s="2026">
        <v>0.77800000000000002</v>
      </c>
      <c r="AE140" s="2026">
        <v>0.77800000000000002</v>
      </c>
      <c r="AF140" s="2026">
        <v>0.77800000000000002</v>
      </c>
      <c r="AG140" s="2027">
        <f t="shared" si="57"/>
        <v>0</v>
      </c>
      <c r="AH140" s="2027">
        <f t="shared" si="57"/>
        <v>0</v>
      </c>
      <c r="AI140" s="2027">
        <f t="shared" si="57"/>
        <v>0</v>
      </c>
      <c r="AJ140" s="2027">
        <f t="shared" si="57"/>
        <v>0</v>
      </c>
      <c r="AK140" s="2027">
        <v>0</v>
      </c>
      <c r="AL140" s="2027">
        <v>0</v>
      </c>
      <c r="AM140" s="2027">
        <v>0</v>
      </c>
      <c r="AN140" s="2027">
        <v>0</v>
      </c>
      <c r="AO140" s="2027">
        <f t="shared" si="64"/>
        <v>0</v>
      </c>
      <c r="AP140" s="2027">
        <f t="shared" si="65"/>
        <v>0</v>
      </c>
      <c r="AQ140" s="2027">
        <f t="shared" si="65"/>
        <v>0</v>
      </c>
      <c r="AR140" s="2027"/>
      <c r="AS140" s="2027">
        <f t="shared" si="66"/>
        <v>0</v>
      </c>
      <c r="AT140" s="2027">
        <f t="shared" si="67"/>
        <v>0</v>
      </c>
      <c r="AU140" s="2027">
        <f t="shared" si="68"/>
        <v>0</v>
      </c>
      <c r="AV140" s="2027">
        <f t="shared" si="68"/>
        <v>0</v>
      </c>
      <c r="AW140" s="2027">
        <f t="shared" si="49"/>
        <v>0</v>
      </c>
      <c r="AX140" s="2029">
        <v>151.24</v>
      </c>
      <c r="AY140" s="2029">
        <v>151.24</v>
      </c>
      <c r="AZ140" s="2029">
        <v>151.24</v>
      </c>
      <c r="BA140" s="2029">
        <v>151.24</v>
      </c>
      <c r="BB140" s="1974"/>
      <c r="BC140" s="2029">
        <v>0</v>
      </c>
      <c r="BD140" s="2029">
        <v>0</v>
      </c>
      <c r="BE140" s="2029">
        <v>0</v>
      </c>
      <c r="BF140" s="2029">
        <v>629.05999999999995</v>
      </c>
      <c r="BG140" s="2029">
        <v>629.05999999999995</v>
      </c>
      <c r="BH140" s="2029">
        <v>629.05999999999995</v>
      </c>
      <c r="BI140" s="2029">
        <v>629.05999999999995</v>
      </c>
      <c r="BJ140" s="2030">
        <f t="shared" si="58"/>
        <v>0</v>
      </c>
      <c r="BK140" s="2030">
        <f t="shared" si="58"/>
        <v>0</v>
      </c>
      <c r="BL140" s="2030">
        <f t="shared" si="58"/>
        <v>0</v>
      </c>
      <c r="BM140" s="2030"/>
      <c r="BN140" s="2030">
        <f t="shared" si="59"/>
        <v>0</v>
      </c>
      <c r="BO140" s="2030">
        <f t="shared" si="60"/>
        <v>0</v>
      </c>
      <c r="BP140" s="2030"/>
      <c r="BQ140" s="2030">
        <f t="shared" si="61"/>
        <v>0</v>
      </c>
      <c r="BR140" s="2030">
        <f t="shared" si="61"/>
        <v>0</v>
      </c>
      <c r="BS140" s="2030">
        <f t="shared" si="61"/>
        <v>0</v>
      </c>
      <c r="BT140" s="2031"/>
      <c r="BU140" s="2031"/>
      <c r="BV140" s="2031"/>
      <c r="BW140" s="2031"/>
      <c r="BX140" s="2031"/>
      <c r="BY140" s="2031"/>
      <c r="BZ140" s="2031"/>
      <c r="CA140" s="2031"/>
      <c r="CB140" s="2029"/>
      <c r="CC140" s="2029"/>
      <c r="CD140" s="2029"/>
      <c r="CE140" s="2029"/>
      <c r="CF140" s="2029"/>
      <c r="CG140" s="2032"/>
      <c r="CH140" s="1974"/>
      <c r="CI140" s="1974"/>
      <c r="CJ140" s="1974"/>
      <c r="CK140" s="1974"/>
      <c r="CL140" s="1974">
        <v>0</v>
      </c>
      <c r="CM140" s="2033">
        <v>0</v>
      </c>
      <c r="CN140" s="2026">
        <v>0</v>
      </c>
      <c r="CO140" s="1974">
        <v>1</v>
      </c>
      <c r="CP140" s="2040">
        <v>-19.729661458333329</v>
      </c>
      <c r="CQ140" s="2040"/>
      <c r="CR140" s="2062">
        <v>1</v>
      </c>
      <c r="CS140" s="2062">
        <v>1</v>
      </c>
      <c r="CT140" s="2062">
        <v>1</v>
      </c>
      <c r="CU140" s="2062">
        <v>1</v>
      </c>
      <c r="CV140" s="2036"/>
      <c r="CW140" s="2036"/>
      <c r="CX140" s="2036"/>
      <c r="CY140" s="2049"/>
      <c r="CZ140" s="2049"/>
      <c r="DA140" s="2049"/>
    </row>
    <row r="141" spans="1:105" x14ac:dyDescent="0.25">
      <c r="A141" s="2185" t="s">
        <v>246</v>
      </c>
      <c r="B141" s="2022"/>
      <c r="C141" s="2023">
        <v>12.8</v>
      </c>
      <c r="D141" s="2023">
        <v>0</v>
      </c>
      <c r="E141" s="2024">
        <v>3814.19</v>
      </c>
      <c r="F141" s="2024"/>
      <c r="G141" s="2024">
        <v>0</v>
      </c>
      <c r="H141" s="2024"/>
      <c r="I141" s="2023">
        <v>0</v>
      </c>
      <c r="J141" s="2027"/>
      <c r="K141" s="2026" t="s">
        <v>4</v>
      </c>
      <c r="L141" s="2026" t="s">
        <v>4</v>
      </c>
      <c r="M141" s="2026">
        <v>0.77800000000000002</v>
      </c>
      <c r="N141" s="2026">
        <v>0.77800000000000002</v>
      </c>
      <c r="O141" s="2026">
        <v>0.77800000000000002</v>
      </c>
      <c r="P141" s="2026">
        <v>0.77800000000000002</v>
      </c>
      <c r="Q141" s="2027">
        <f t="shared" si="62"/>
        <v>2967.4398200000001</v>
      </c>
      <c r="R141" s="2027">
        <f t="shared" si="62"/>
        <v>2967.4398200000001</v>
      </c>
      <c r="S141" s="2027">
        <f t="shared" si="62"/>
        <v>2967.4398200000001</v>
      </c>
      <c r="T141" s="2027">
        <f t="shared" si="62"/>
        <v>2967.4398200000001</v>
      </c>
      <c r="U141" s="2026">
        <v>0.77800000000000002</v>
      </c>
      <c r="V141" s="2026">
        <v>0.77800000000000002</v>
      </c>
      <c r="W141" s="2026">
        <v>0.77800000000000002</v>
      </c>
      <c r="X141" s="2026">
        <v>0.77800000000000002</v>
      </c>
      <c r="Y141" s="2028">
        <f t="shared" si="63"/>
        <v>0</v>
      </c>
      <c r="Z141" s="2028">
        <f t="shared" si="63"/>
        <v>0</v>
      </c>
      <c r="AA141" s="2028">
        <f t="shared" si="63"/>
        <v>0</v>
      </c>
      <c r="AB141" s="2028">
        <f t="shared" si="63"/>
        <v>0</v>
      </c>
      <c r="AC141" s="2026">
        <v>0.77800000000000002</v>
      </c>
      <c r="AD141" s="2026">
        <v>0.77800000000000002</v>
      </c>
      <c r="AE141" s="2026">
        <v>0.77800000000000002</v>
      </c>
      <c r="AF141" s="2026">
        <v>0.77800000000000002</v>
      </c>
      <c r="AG141" s="2027">
        <f t="shared" si="57"/>
        <v>0</v>
      </c>
      <c r="AH141" s="2027">
        <f t="shared" si="57"/>
        <v>0</v>
      </c>
      <c r="AI141" s="2027">
        <f t="shared" si="57"/>
        <v>0</v>
      </c>
      <c r="AJ141" s="2027">
        <f t="shared" si="57"/>
        <v>0</v>
      </c>
      <c r="AK141" s="2027">
        <v>0</v>
      </c>
      <c r="AL141" s="2027">
        <v>0</v>
      </c>
      <c r="AM141" s="2027">
        <v>0</v>
      </c>
      <c r="AN141" s="2027">
        <v>0</v>
      </c>
      <c r="AO141" s="2027">
        <f t="shared" si="64"/>
        <v>0</v>
      </c>
      <c r="AP141" s="2027">
        <f t="shared" si="65"/>
        <v>0</v>
      </c>
      <c r="AQ141" s="2027">
        <f t="shared" si="65"/>
        <v>0</v>
      </c>
      <c r="AR141" s="2027"/>
      <c r="AS141" s="2027">
        <f t="shared" si="66"/>
        <v>0</v>
      </c>
      <c r="AT141" s="2027">
        <f t="shared" si="67"/>
        <v>0</v>
      </c>
      <c r="AU141" s="2027">
        <f t="shared" si="68"/>
        <v>0</v>
      </c>
      <c r="AV141" s="2027">
        <f t="shared" si="68"/>
        <v>0</v>
      </c>
      <c r="AW141" s="2027">
        <f t="shared" si="49"/>
        <v>0</v>
      </c>
      <c r="AX141" s="2029">
        <v>273.2</v>
      </c>
      <c r="AY141" s="2029">
        <v>273.2</v>
      </c>
      <c r="AZ141" s="2029">
        <v>273.2</v>
      </c>
      <c r="BA141" s="2029">
        <v>273.2</v>
      </c>
      <c r="BB141" s="1974"/>
      <c r="BC141" s="2029">
        <v>0</v>
      </c>
      <c r="BD141" s="2029">
        <v>0</v>
      </c>
      <c r="BE141" s="2029">
        <v>0</v>
      </c>
      <c r="BF141" s="2029">
        <v>841.24</v>
      </c>
      <c r="BG141" s="2029">
        <v>841.24</v>
      </c>
      <c r="BH141" s="2029">
        <v>841.24</v>
      </c>
      <c r="BI141" s="2029">
        <v>841.24</v>
      </c>
      <c r="BJ141" s="2030">
        <f t="shared" si="58"/>
        <v>0</v>
      </c>
      <c r="BK141" s="2030">
        <f t="shared" si="58"/>
        <v>0</v>
      </c>
      <c r="BL141" s="2030">
        <f t="shared" si="58"/>
        <v>0</v>
      </c>
      <c r="BM141" s="2030"/>
      <c r="BN141" s="2030">
        <f t="shared" si="59"/>
        <v>0</v>
      </c>
      <c r="BO141" s="2030">
        <f t="shared" si="60"/>
        <v>0</v>
      </c>
      <c r="BP141" s="2030"/>
      <c r="BQ141" s="2030">
        <f t="shared" si="61"/>
        <v>0</v>
      </c>
      <c r="BR141" s="2030">
        <f t="shared" si="61"/>
        <v>0</v>
      </c>
      <c r="BS141" s="2030">
        <f t="shared" si="61"/>
        <v>0</v>
      </c>
      <c r="BT141" s="2031"/>
      <c r="BU141" s="2031"/>
      <c r="BV141" s="2031"/>
      <c r="BW141" s="2031"/>
      <c r="BX141" s="2031"/>
      <c r="BY141" s="2031"/>
      <c r="BZ141" s="2031"/>
      <c r="CA141" s="2031"/>
      <c r="CB141" s="2029"/>
      <c r="CC141" s="2029"/>
      <c r="CD141" s="2029"/>
      <c r="CE141" s="2029"/>
      <c r="CF141" s="2029"/>
      <c r="CG141" s="2032"/>
      <c r="CH141" s="1974"/>
      <c r="CI141" s="1974"/>
      <c r="CJ141" s="1974"/>
      <c r="CK141" s="1974"/>
      <c r="CL141" s="1974">
        <v>0</v>
      </c>
      <c r="CM141" s="2033">
        <v>0</v>
      </c>
      <c r="CN141" s="2026">
        <v>0</v>
      </c>
      <c r="CO141" s="1974">
        <v>1</v>
      </c>
      <c r="CP141" s="2040">
        <v>-19.729661458333329</v>
      </c>
      <c r="CQ141" s="2040"/>
      <c r="CR141" s="2062">
        <v>1</v>
      </c>
      <c r="CS141" s="2062">
        <v>1</v>
      </c>
      <c r="CT141" s="2062">
        <v>1</v>
      </c>
      <c r="CU141" s="2062">
        <v>1</v>
      </c>
      <c r="CV141" s="2036"/>
      <c r="CW141" s="2036"/>
      <c r="CX141" s="2036"/>
      <c r="CY141" s="2049"/>
      <c r="CZ141" s="2049"/>
      <c r="DA141" s="2049"/>
    </row>
    <row r="142" spans="1:105" x14ac:dyDescent="0.25">
      <c r="A142" s="2185" t="s">
        <v>247</v>
      </c>
      <c r="B142" s="2022"/>
      <c r="C142" s="2023">
        <v>12.8</v>
      </c>
      <c r="D142" s="2023">
        <v>0</v>
      </c>
      <c r="E142" s="2024">
        <v>1091.81</v>
      </c>
      <c r="F142" s="2024"/>
      <c r="G142" s="2024">
        <v>3.7000000000000002E-3</v>
      </c>
      <c r="H142" s="2024"/>
      <c r="I142" s="2023">
        <v>0</v>
      </c>
      <c r="J142" s="2027"/>
      <c r="K142" s="2026" t="s">
        <v>4</v>
      </c>
      <c r="L142" s="2026" t="s">
        <v>4</v>
      </c>
      <c r="M142" s="2026">
        <v>0.77800000000000002</v>
      </c>
      <c r="N142" s="2026">
        <v>0.77800000000000002</v>
      </c>
      <c r="O142" s="2026">
        <v>0.77800000000000002</v>
      </c>
      <c r="P142" s="2026">
        <v>0.77800000000000002</v>
      </c>
      <c r="Q142" s="2027">
        <f t="shared" si="62"/>
        <v>849.42818</v>
      </c>
      <c r="R142" s="2027">
        <f t="shared" si="62"/>
        <v>849.42818</v>
      </c>
      <c r="S142" s="2027">
        <f t="shared" si="62"/>
        <v>849.42818</v>
      </c>
      <c r="T142" s="2027">
        <f t="shared" si="62"/>
        <v>849.42818</v>
      </c>
      <c r="U142" s="2026">
        <v>0.77800000000000002</v>
      </c>
      <c r="V142" s="2026">
        <v>0.77800000000000002</v>
      </c>
      <c r="W142" s="2026">
        <v>0.77800000000000002</v>
      </c>
      <c r="X142" s="2026">
        <v>0.77800000000000002</v>
      </c>
      <c r="Y142" s="2028">
        <f t="shared" si="63"/>
        <v>2.8786000000000003E-3</v>
      </c>
      <c r="Z142" s="2028">
        <f t="shared" si="63"/>
        <v>2.8786000000000003E-3</v>
      </c>
      <c r="AA142" s="2028">
        <f t="shared" si="63"/>
        <v>2.8786000000000003E-3</v>
      </c>
      <c r="AB142" s="2028">
        <f t="shared" si="63"/>
        <v>2.8786000000000003E-3</v>
      </c>
      <c r="AC142" s="2026">
        <v>0.77800000000000002</v>
      </c>
      <c r="AD142" s="2026">
        <v>0.77800000000000002</v>
      </c>
      <c r="AE142" s="2026">
        <v>0.77800000000000002</v>
      </c>
      <c r="AF142" s="2026">
        <v>0.77800000000000002</v>
      </c>
      <c r="AG142" s="2027">
        <f t="shared" si="57"/>
        <v>0</v>
      </c>
      <c r="AH142" s="2027">
        <f t="shared" si="57"/>
        <v>0</v>
      </c>
      <c r="AI142" s="2027">
        <f t="shared" si="57"/>
        <v>0</v>
      </c>
      <c r="AJ142" s="2027">
        <f t="shared" si="57"/>
        <v>0</v>
      </c>
      <c r="AK142" s="2027">
        <v>0</v>
      </c>
      <c r="AL142" s="2027">
        <v>0</v>
      </c>
      <c r="AM142" s="2027">
        <v>0</v>
      </c>
      <c r="AN142" s="2027">
        <v>0</v>
      </c>
      <c r="AO142" s="2027">
        <f t="shared" si="64"/>
        <v>0</v>
      </c>
      <c r="AP142" s="2027">
        <f t="shared" si="65"/>
        <v>0</v>
      </c>
      <c r="AQ142" s="2027">
        <f t="shared" si="65"/>
        <v>0</v>
      </c>
      <c r="AR142" s="2027"/>
      <c r="AS142" s="2027">
        <f t="shared" si="66"/>
        <v>0</v>
      </c>
      <c r="AT142" s="2027">
        <f t="shared" si="67"/>
        <v>0</v>
      </c>
      <c r="AU142" s="2027">
        <f t="shared" si="68"/>
        <v>0</v>
      </c>
      <c r="AV142" s="2027">
        <f t="shared" si="68"/>
        <v>0</v>
      </c>
      <c r="AW142" s="2027">
        <f t="shared" si="49"/>
        <v>0</v>
      </c>
      <c r="AX142" s="2029">
        <v>79.400000000000006</v>
      </c>
      <c r="AY142" s="2029">
        <v>79.400000000000006</v>
      </c>
      <c r="AZ142" s="2029">
        <v>79.400000000000006</v>
      </c>
      <c r="BA142" s="2029">
        <v>79.400000000000006</v>
      </c>
      <c r="BB142" s="1974"/>
      <c r="BC142" s="2029">
        <v>0</v>
      </c>
      <c r="BD142" s="2029">
        <v>0</v>
      </c>
      <c r="BE142" s="2029">
        <v>0</v>
      </c>
      <c r="BF142" s="2029">
        <v>365.21</v>
      </c>
      <c r="BG142" s="2029">
        <v>365.21</v>
      </c>
      <c r="BH142" s="2029">
        <v>365.21</v>
      </c>
      <c r="BI142" s="2029">
        <v>365.21</v>
      </c>
      <c r="BJ142" s="2030">
        <f t="shared" si="58"/>
        <v>0</v>
      </c>
      <c r="BK142" s="2030">
        <f t="shared" si="58"/>
        <v>0</v>
      </c>
      <c r="BL142" s="2030">
        <f t="shared" si="58"/>
        <v>0</v>
      </c>
      <c r="BM142" s="2030"/>
      <c r="BN142" s="2030">
        <f t="shared" si="59"/>
        <v>0</v>
      </c>
      <c r="BO142" s="2030">
        <f t="shared" si="60"/>
        <v>0</v>
      </c>
      <c r="BP142" s="2030"/>
      <c r="BQ142" s="2030">
        <f t="shared" si="61"/>
        <v>0</v>
      </c>
      <c r="BR142" s="2030">
        <f t="shared" si="61"/>
        <v>0</v>
      </c>
      <c r="BS142" s="2030">
        <f t="shared" si="61"/>
        <v>0</v>
      </c>
      <c r="BT142" s="2031"/>
      <c r="BU142" s="2031"/>
      <c r="BV142" s="2031"/>
      <c r="BW142" s="2031"/>
      <c r="BX142" s="2031"/>
      <c r="BY142" s="2031"/>
      <c r="BZ142" s="2031"/>
      <c r="CA142" s="2031"/>
      <c r="CB142" s="2029"/>
      <c r="CC142" s="2029"/>
      <c r="CD142" s="2029"/>
      <c r="CE142" s="2029"/>
      <c r="CF142" s="2029"/>
      <c r="CG142" s="2032"/>
      <c r="CH142" s="1974"/>
      <c r="CI142" s="1974"/>
      <c r="CJ142" s="1974"/>
      <c r="CK142" s="1974"/>
      <c r="CL142" s="1974">
        <v>0</v>
      </c>
      <c r="CM142" s="2033">
        <v>0</v>
      </c>
      <c r="CN142" s="2026">
        <v>0</v>
      </c>
      <c r="CO142" s="1974">
        <v>1</v>
      </c>
      <c r="CP142" s="2040">
        <v>-19.729661458333329</v>
      </c>
      <c r="CQ142" s="2040"/>
      <c r="CR142" s="2062">
        <v>1</v>
      </c>
      <c r="CS142" s="2062">
        <v>1</v>
      </c>
      <c r="CT142" s="2062">
        <v>1</v>
      </c>
      <c r="CU142" s="2062">
        <v>1</v>
      </c>
      <c r="CV142" s="2036"/>
      <c r="CW142" s="2036"/>
      <c r="CX142" s="2036"/>
      <c r="CY142" s="2049"/>
      <c r="CZ142" s="2049"/>
      <c r="DA142" s="2049"/>
    </row>
    <row r="143" spans="1:105" x14ac:dyDescent="0.25">
      <c r="A143" s="2185" t="s">
        <v>248</v>
      </c>
      <c r="B143" s="2022"/>
      <c r="C143" s="2023">
        <v>14.2</v>
      </c>
      <c r="D143" s="2023">
        <v>1</v>
      </c>
      <c r="E143" s="2024">
        <v>345.7151356212263</v>
      </c>
      <c r="F143" s="2024"/>
      <c r="G143" s="2024">
        <v>6.8267605170546919E-2</v>
      </c>
      <c r="H143" s="2024"/>
      <c r="I143" s="2023">
        <v>-3.951361934218987</v>
      </c>
      <c r="J143" s="2027"/>
      <c r="K143" s="2026" t="s">
        <v>4</v>
      </c>
      <c r="L143" s="2026" t="s">
        <v>4</v>
      </c>
      <c r="M143" s="2026">
        <v>0.77800000000000002</v>
      </c>
      <c r="N143" s="2026">
        <v>0.77800000000000002</v>
      </c>
      <c r="O143" s="2026">
        <v>0.77800000000000002</v>
      </c>
      <c r="P143" s="2026">
        <v>0.77800000000000002</v>
      </c>
      <c r="Q143" s="2027">
        <f t="shared" si="62"/>
        <v>268.96637551331406</v>
      </c>
      <c r="R143" s="2027">
        <f t="shared" si="62"/>
        <v>268.96637551331406</v>
      </c>
      <c r="S143" s="2027">
        <f t="shared" si="62"/>
        <v>268.96637551331406</v>
      </c>
      <c r="T143" s="2027">
        <f t="shared" si="62"/>
        <v>268.96637551331406</v>
      </c>
      <c r="U143" s="2026">
        <v>0.77800000000000002</v>
      </c>
      <c r="V143" s="2026">
        <v>0.77800000000000002</v>
      </c>
      <c r="W143" s="2026">
        <v>0.77800000000000002</v>
      </c>
      <c r="X143" s="2026">
        <v>0.77800000000000002</v>
      </c>
      <c r="Y143" s="2028">
        <f t="shared" si="63"/>
        <v>5.3112196822685503E-2</v>
      </c>
      <c r="Z143" s="2028">
        <f t="shared" si="63"/>
        <v>5.3112196822685503E-2</v>
      </c>
      <c r="AA143" s="2028">
        <f t="shared" si="63"/>
        <v>5.3112196822685503E-2</v>
      </c>
      <c r="AB143" s="2028">
        <f t="shared" si="63"/>
        <v>5.3112196822685503E-2</v>
      </c>
      <c r="AC143" s="2026">
        <v>0.77800000000000002</v>
      </c>
      <c r="AD143" s="2026">
        <v>0.77800000000000002</v>
      </c>
      <c r="AE143" s="2026">
        <v>0.77800000000000002</v>
      </c>
      <c r="AF143" s="2026">
        <v>0.77800000000000002</v>
      </c>
      <c r="AG143" s="2027">
        <f t="shared" si="57"/>
        <v>-3.0741595848223722</v>
      </c>
      <c r="AH143" s="2027">
        <f t="shared" si="57"/>
        <v>-3.0741595848223722</v>
      </c>
      <c r="AI143" s="2027">
        <f t="shared" si="57"/>
        <v>-3.0741595848223722</v>
      </c>
      <c r="AJ143" s="2027">
        <f t="shared" si="57"/>
        <v>-3.0741595848223722</v>
      </c>
      <c r="AK143" s="2027">
        <v>0</v>
      </c>
      <c r="AL143" s="2027">
        <v>0</v>
      </c>
      <c r="AM143" s="2027">
        <v>0</v>
      </c>
      <c r="AN143" s="2027">
        <v>0</v>
      </c>
      <c r="AO143" s="2027">
        <f t="shared" si="64"/>
        <v>0</v>
      </c>
      <c r="AP143" s="2027">
        <f t="shared" si="65"/>
        <v>0</v>
      </c>
      <c r="AQ143" s="2027">
        <f t="shared" si="65"/>
        <v>0</v>
      </c>
      <c r="AR143" s="2027"/>
      <c r="AS143" s="2027">
        <f t="shared" si="66"/>
        <v>0</v>
      </c>
      <c r="AT143" s="2027">
        <f t="shared" si="67"/>
        <v>0</v>
      </c>
      <c r="AU143" s="2027">
        <f t="shared" si="68"/>
        <v>0</v>
      </c>
      <c r="AV143" s="2027">
        <f t="shared" si="68"/>
        <v>0</v>
      </c>
      <c r="AW143" s="2027">
        <f t="shared" si="49"/>
        <v>0</v>
      </c>
      <c r="AX143" s="2029">
        <v>32.433</v>
      </c>
      <c r="AY143" s="2029">
        <v>32.433</v>
      </c>
      <c r="AZ143" s="2029">
        <v>32.433</v>
      </c>
      <c r="BA143" s="2029">
        <v>32.433</v>
      </c>
      <c r="BB143" s="1974"/>
      <c r="BC143" s="2029">
        <v>0</v>
      </c>
      <c r="BD143" s="2029">
        <v>0</v>
      </c>
      <c r="BE143" s="2029">
        <v>0</v>
      </c>
      <c r="BF143" s="2029">
        <v>232.07400000000001</v>
      </c>
      <c r="BG143" s="2029">
        <v>232.07400000000001</v>
      </c>
      <c r="BH143" s="2029">
        <v>232.07400000000001</v>
      </c>
      <c r="BI143" s="2029">
        <v>232.07400000000001</v>
      </c>
      <c r="BJ143" s="2030">
        <f t="shared" si="58"/>
        <v>0</v>
      </c>
      <c r="BK143" s="2030">
        <f t="shared" si="58"/>
        <v>0</v>
      </c>
      <c r="BL143" s="2030">
        <f t="shared" si="58"/>
        <v>0</v>
      </c>
      <c r="BM143" s="2030"/>
      <c r="BN143" s="2030">
        <f t="shared" si="59"/>
        <v>0</v>
      </c>
      <c r="BO143" s="2030">
        <f t="shared" si="60"/>
        <v>0</v>
      </c>
      <c r="BP143" s="2030"/>
      <c r="BQ143" s="2030">
        <f t="shared" si="61"/>
        <v>0</v>
      </c>
      <c r="BR143" s="2030">
        <f t="shared" si="61"/>
        <v>0</v>
      </c>
      <c r="BS143" s="2030">
        <f t="shared" si="61"/>
        <v>0</v>
      </c>
      <c r="BT143" s="2031"/>
      <c r="BU143" s="2031"/>
      <c r="BV143" s="2031"/>
      <c r="BW143" s="2031"/>
      <c r="BX143" s="2031"/>
      <c r="BY143" s="2031"/>
      <c r="BZ143" s="2031"/>
      <c r="CA143" s="2031"/>
      <c r="CB143" s="2029"/>
      <c r="CC143" s="2029"/>
      <c r="CD143" s="2029"/>
      <c r="CE143" s="2029"/>
      <c r="CF143" s="2029"/>
      <c r="CG143" s="2032"/>
      <c r="CH143" s="1974"/>
      <c r="CI143" s="1974"/>
      <c r="CJ143" s="1974"/>
      <c r="CK143" s="1974"/>
      <c r="CL143" s="1974">
        <v>1</v>
      </c>
      <c r="CM143" s="2033">
        <v>0</v>
      </c>
      <c r="CN143" s="2026">
        <v>0</v>
      </c>
      <c r="CO143" s="1974">
        <v>1</v>
      </c>
      <c r="CP143" s="2040">
        <v>4.9454877412623895E-2</v>
      </c>
      <c r="CQ143" s="2040"/>
      <c r="CR143" s="2062">
        <v>1</v>
      </c>
      <c r="CS143" s="2062">
        <v>1</v>
      </c>
      <c r="CT143" s="2121">
        <v>0.86266901151105424</v>
      </c>
      <c r="CU143" s="2121">
        <v>0.86266901151105424</v>
      </c>
      <c r="CV143" s="2036"/>
      <c r="CW143" s="2036"/>
      <c r="CX143" s="2036"/>
      <c r="CY143" s="2049"/>
      <c r="CZ143" s="2049"/>
      <c r="DA143" s="2049"/>
    </row>
    <row r="144" spans="1:105" x14ac:dyDescent="0.25">
      <c r="A144" s="2185" t="s">
        <v>249</v>
      </c>
      <c r="B144" s="2022"/>
      <c r="C144" s="2023">
        <v>14.2</v>
      </c>
      <c r="D144" s="2023">
        <v>0</v>
      </c>
      <c r="E144" s="2024">
        <v>307.36439473597659</v>
      </c>
      <c r="F144" s="2024"/>
      <c r="G144" s="2024">
        <v>6.2218576864295917E-2</v>
      </c>
      <c r="H144" s="2024"/>
      <c r="I144" s="2023">
        <v>-3.7360152128356967</v>
      </c>
      <c r="J144" s="2027"/>
      <c r="K144" s="2026" t="s">
        <v>4</v>
      </c>
      <c r="L144" s="2026" t="s">
        <v>4</v>
      </c>
      <c r="M144" s="2026">
        <v>0.77800000000000002</v>
      </c>
      <c r="N144" s="2026">
        <v>0.77800000000000002</v>
      </c>
      <c r="O144" s="2026">
        <v>0.77800000000000002</v>
      </c>
      <c r="P144" s="2026">
        <v>0.77800000000000002</v>
      </c>
      <c r="Q144" s="2027">
        <f t="shared" si="62"/>
        <v>239.1294991045898</v>
      </c>
      <c r="R144" s="2027">
        <f t="shared" si="62"/>
        <v>239.1294991045898</v>
      </c>
      <c r="S144" s="2027">
        <f t="shared" si="62"/>
        <v>239.1294991045898</v>
      </c>
      <c r="T144" s="2027">
        <f t="shared" si="62"/>
        <v>239.1294991045898</v>
      </c>
      <c r="U144" s="2026">
        <v>0.77800000000000002</v>
      </c>
      <c r="V144" s="2026">
        <v>0.77800000000000002</v>
      </c>
      <c r="W144" s="2026">
        <v>0.77800000000000002</v>
      </c>
      <c r="X144" s="2026">
        <v>0.77800000000000002</v>
      </c>
      <c r="Y144" s="2028">
        <f t="shared" si="63"/>
        <v>4.8406052800422227E-2</v>
      </c>
      <c r="Z144" s="2028">
        <f t="shared" si="63"/>
        <v>4.8406052800422227E-2</v>
      </c>
      <c r="AA144" s="2028">
        <f t="shared" si="63"/>
        <v>4.8406052800422227E-2</v>
      </c>
      <c r="AB144" s="2028">
        <f t="shared" si="63"/>
        <v>4.8406052800422227E-2</v>
      </c>
      <c r="AC144" s="2026">
        <v>0.77800000000000002</v>
      </c>
      <c r="AD144" s="2026">
        <v>0.77800000000000002</v>
      </c>
      <c r="AE144" s="2026">
        <v>0.77800000000000002</v>
      </c>
      <c r="AF144" s="2026">
        <v>0.77800000000000002</v>
      </c>
      <c r="AG144" s="2027">
        <f t="shared" si="57"/>
        <v>-2.9066198355861723</v>
      </c>
      <c r="AH144" s="2027">
        <f t="shared" si="57"/>
        <v>-2.9066198355861723</v>
      </c>
      <c r="AI144" s="2027">
        <f t="shared" si="57"/>
        <v>-2.9066198355861723</v>
      </c>
      <c r="AJ144" s="2027">
        <f t="shared" si="57"/>
        <v>-2.9066198355861723</v>
      </c>
      <c r="AK144" s="2027">
        <v>0</v>
      </c>
      <c r="AL144" s="2027">
        <v>0</v>
      </c>
      <c r="AM144" s="2027">
        <v>0</v>
      </c>
      <c r="AN144" s="2027">
        <v>0</v>
      </c>
      <c r="AO144" s="2027">
        <f t="shared" si="64"/>
        <v>0</v>
      </c>
      <c r="AP144" s="2027">
        <f t="shared" si="65"/>
        <v>0</v>
      </c>
      <c r="AQ144" s="2027">
        <f t="shared" si="65"/>
        <v>0</v>
      </c>
      <c r="AR144" s="2027"/>
      <c r="AS144" s="2027">
        <f t="shared" si="66"/>
        <v>0</v>
      </c>
      <c r="AT144" s="2027">
        <f t="shared" si="67"/>
        <v>0</v>
      </c>
      <c r="AU144" s="2027">
        <f t="shared" si="68"/>
        <v>0</v>
      </c>
      <c r="AV144" s="2027">
        <f t="shared" si="68"/>
        <v>0</v>
      </c>
      <c r="AW144" s="2027">
        <f t="shared" si="49"/>
        <v>0</v>
      </c>
      <c r="AX144" s="2029">
        <v>24.163</v>
      </c>
      <c r="AY144" s="2029">
        <v>24.163</v>
      </c>
      <c r="AZ144" s="2029">
        <v>24.163</v>
      </c>
      <c r="BA144" s="2029">
        <v>24.163</v>
      </c>
      <c r="BB144" s="1974"/>
      <c r="BC144" s="2029">
        <v>0</v>
      </c>
      <c r="BD144" s="2029">
        <v>0</v>
      </c>
      <c r="BE144" s="2029">
        <v>0</v>
      </c>
      <c r="BF144" s="2029">
        <v>167.61</v>
      </c>
      <c r="BG144" s="2029">
        <v>167.61</v>
      </c>
      <c r="BH144" s="2029">
        <v>167.61</v>
      </c>
      <c r="BI144" s="2029">
        <v>167.61</v>
      </c>
      <c r="BJ144" s="2030">
        <f t="shared" si="58"/>
        <v>0</v>
      </c>
      <c r="BK144" s="2030">
        <f t="shared" si="58"/>
        <v>0</v>
      </c>
      <c r="BL144" s="2030">
        <f t="shared" si="58"/>
        <v>0</v>
      </c>
      <c r="BM144" s="2030"/>
      <c r="BN144" s="2030">
        <f t="shared" si="59"/>
        <v>0</v>
      </c>
      <c r="BO144" s="2030">
        <f t="shared" si="60"/>
        <v>0</v>
      </c>
      <c r="BP144" s="2030"/>
      <c r="BQ144" s="2030">
        <f t="shared" si="61"/>
        <v>0</v>
      </c>
      <c r="BR144" s="2030">
        <f t="shared" si="61"/>
        <v>0</v>
      </c>
      <c r="BS144" s="2030">
        <f t="shared" si="61"/>
        <v>0</v>
      </c>
      <c r="BT144" s="2031"/>
      <c r="BU144" s="2031"/>
      <c r="BV144" s="2031"/>
      <c r="BW144" s="2031"/>
      <c r="BX144" s="2031"/>
      <c r="BY144" s="2031"/>
      <c r="BZ144" s="2031"/>
      <c r="CA144" s="2031"/>
      <c r="CB144" s="2029"/>
      <c r="CC144" s="2029"/>
      <c r="CD144" s="2029"/>
      <c r="CE144" s="2029"/>
      <c r="CF144" s="2029"/>
      <c r="CG144" s="2032"/>
      <c r="CH144" s="1974"/>
      <c r="CI144" s="1974"/>
      <c r="CJ144" s="1974"/>
      <c r="CK144" s="1974"/>
      <c r="CL144" s="1974">
        <v>1</v>
      </c>
      <c r="CM144" s="2033">
        <v>0</v>
      </c>
      <c r="CN144" s="2026">
        <v>0</v>
      </c>
      <c r="CO144" s="1974">
        <v>1</v>
      </c>
      <c r="CP144" s="2040">
        <v>-0.9336502347417841</v>
      </c>
      <c r="CQ144" s="2040"/>
      <c r="CR144" s="2062">
        <v>1</v>
      </c>
      <c r="CS144" s="2062">
        <v>1</v>
      </c>
      <c r="CT144" s="2062">
        <v>1</v>
      </c>
      <c r="CU144" s="2062">
        <v>1</v>
      </c>
      <c r="CV144" s="2036"/>
      <c r="CW144" s="2036"/>
      <c r="CX144" s="2036"/>
      <c r="CY144" s="2049"/>
      <c r="CZ144" s="2049"/>
      <c r="DA144" s="2049"/>
    </row>
    <row r="145" spans="1:105" x14ac:dyDescent="0.25">
      <c r="A145" s="2185" t="s">
        <v>250</v>
      </c>
      <c r="B145" s="2022"/>
      <c r="C145" s="2023">
        <v>14.2</v>
      </c>
      <c r="D145" s="2023">
        <v>1</v>
      </c>
      <c r="E145" s="2024">
        <v>1379.4595533315332</v>
      </c>
      <c r="F145" s="2024"/>
      <c r="G145" s="2024">
        <v>0.29035335870004769</v>
      </c>
      <c r="H145" s="2024"/>
      <c r="I145" s="2023">
        <v>-9.7413985327404902</v>
      </c>
      <c r="J145" s="2027"/>
      <c r="K145" s="2026" t="s">
        <v>4</v>
      </c>
      <c r="L145" s="2026" t="s">
        <v>4</v>
      </c>
      <c r="M145" s="2026">
        <v>0.77800000000000002</v>
      </c>
      <c r="N145" s="2026">
        <v>0.77800000000000002</v>
      </c>
      <c r="O145" s="2026">
        <v>0.77800000000000002</v>
      </c>
      <c r="P145" s="2026">
        <v>0.77800000000000002</v>
      </c>
      <c r="Q145" s="2027">
        <f t="shared" si="62"/>
        <v>1073.2195324919328</v>
      </c>
      <c r="R145" s="2027">
        <f t="shared" si="62"/>
        <v>1073.2195324919328</v>
      </c>
      <c r="S145" s="2027">
        <f t="shared" si="62"/>
        <v>1073.2195324919328</v>
      </c>
      <c r="T145" s="2027">
        <f t="shared" si="62"/>
        <v>1073.2195324919328</v>
      </c>
      <c r="U145" s="2026">
        <v>0.77800000000000002</v>
      </c>
      <c r="V145" s="2026">
        <v>0.77800000000000002</v>
      </c>
      <c r="W145" s="2026">
        <v>0.77800000000000002</v>
      </c>
      <c r="X145" s="2026">
        <v>0.77800000000000002</v>
      </c>
      <c r="Y145" s="2028">
        <f t="shared" si="63"/>
        <v>0.2258949130686371</v>
      </c>
      <c r="Z145" s="2028">
        <f t="shared" si="63"/>
        <v>0.2258949130686371</v>
      </c>
      <c r="AA145" s="2028">
        <f t="shared" si="63"/>
        <v>0.2258949130686371</v>
      </c>
      <c r="AB145" s="2028">
        <f t="shared" si="63"/>
        <v>0.2258949130686371</v>
      </c>
      <c r="AC145" s="2026">
        <v>0.77800000000000002</v>
      </c>
      <c r="AD145" s="2026">
        <v>0.77800000000000002</v>
      </c>
      <c r="AE145" s="2026">
        <v>0.77800000000000002</v>
      </c>
      <c r="AF145" s="2026">
        <v>0.77800000000000002</v>
      </c>
      <c r="AG145" s="2027">
        <f t="shared" si="57"/>
        <v>-7.5788080584721014</v>
      </c>
      <c r="AH145" s="2027">
        <f t="shared" si="57"/>
        <v>-7.5788080584721014</v>
      </c>
      <c r="AI145" s="2027">
        <f t="shared" si="57"/>
        <v>-7.5788080584721014</v>
      </c>
      <c r="AJ145" s="2027">
        <f t="shared" si="57"/>
        <v>-7.5788080584721014</v>
      </c>
      <c r="AK145" s="2027">
        <v>0</v>
      </c>
      <c r="AL145" s="2027">
        <v>0</v>
      </c>
      <c r="AM145" s="2027">
        <v>0</v>
      </c>
      <c r="AN145" s="2027">
        <v>0</v>
      </c>
      <c r="AO145" s="2027">
        <f t="shared" si="64"/>
        <v>0</v>
      </c>
      <c r="AP145" s="2027">
        <f t="shared" si="65"/>
        <v>0</v>
      </c>
      <c r="AQ145" s="2027">
        <f t="shared" si="65"/>
        <v>0</v>
      </c>
      <c r="AR145" s="2027"/>
      <c r="AS145" s="2027">
        <f t="shared" si="66"/>
        <v>0</v>
      </c>
      <c r="AT145" s="2027">
        <f t="shared" si="67"/>
        <v>0</v>
      </c>
      <c r="AU145" s="2027">
        <f t="shared" si="68"/>
        <v>0</v>
      </c>
      <c r="AV145" s="2027">
        <f t="shared" si="68"/>
        <v>0</v>
      </c>
      <c r="AW145" s="2027">
        <f t="shared" si="49"/>
        <v>0</v>
      </c>
      <c r="AX145" s="2029">
        <v>131.37899999999999</v>
      </c>
      <c r="AY145" s="2029">
        <v>131.37899999999999</v>
      </c>
      <c r="AZ145" s="2029">
        <v>131.37899999999999</v>
      </c>
      <c r="BA145" s="2029">
        <v>131.37899999999999</v>
      </c>
      <c r="BB145" s="1974"/>
      <c r="BC145" s="2029">
        <v>0</v>
      </c>
      <c r="BD145" s="2029">
        <v>0</v>
      </c>
      <c r="BE145" s="2029">
        <v>0</v>
      </c>
      <c r="BF145" s="2029">
        <v>920.31600000000003</v>
      </c>
      <c r="BG145" s="2029">
        <v>920.31600000000003</v>
      </c>
      <c r="BH145" s="2029">
        <v>920.31600000000003</v>
      </c>
      <c r="BI145" s="2029">
        <v>920.31600000000003</v>
      </c>
      <c r="BJ145" s="2030">
        <f t="shared" si="58"/>
        <v>0</v>
      </c>
      <c r="BK145" s="2030">
        <f t="shared" si="58"/>
        <v>0</v>
      </c>
      <c r="BL145" s="2030">
        <f t="shared" si="58"/>
        <v>0</v>
      </c>
      <c r="BM145" s="2030"/>
      <c r="BN145" s="2030">
        <f t="shared" si="59"/>
        <v>0</v>
      </c>
      <c r="BO145" s="2030">
        <f t="shared" si="60"/>
        <v>0</v>
      </c>
      <c r="BP145" s="2030"/>
      <c r="BQ145" s="2030">
        <f t="shared" si="61"/>
        <v>0</v>
      </c>
      <c r="BR145" s="2030">
        <f t="shared" si="61"/>
        <v>0</v>
      </c>
      <c r="BS145" s="2030">
        <f t="shared" si="61"/>
        <v>0</v>
      </c>
      <c r="BT145" s="2031"/>
      <c r="BU145" s="2031"/>
      <c r="BV145" s="2031"/>
      <c r="BW145" s="2031"/>
      <c r="BX145" s="2031"/>
      <c r="BY145" s="2031"/>
      <c r="BZ145" s="2031"/>
      <c r="CA145" s="2031"/>
      <c r="CB145" s="2029"/>
      <c r="CC145" s="2029"/>
      <c r="CD145" s="2029"/>
      <c r="CE145" s="2029"/>
      <c r="CF145" s="2029"/>
      <c r="CG145" s="2032"/>
      <c r="CH145" s="1974"/>
      <c r="CI145" s="1974"/>
      <c r="CJ145" s="1974"/>
      <c r="CK145" s="1974"/>
      <c r="CL145" s="1974">
        <v>1</v>
      </c>
      <c r="CM145" s="2033">
        <v>0</v>
      </c>
      <c r="CN145" s="2026">
        <v>0</v>
      </c>
      <c r="CO145" s="1974">
        <v>1</v>
      </c>
      <c r="CP145" s="2040">
        <v>-25.473227699530515</v>
      </c>
      <c r="CQ145" s="2040"/>
      <c r="CR145" s="2062">
        <v>1</v>
      </c>
      <c r="CS145" s="2062">
        <v>1</v>
      </c>
      <c r="CT145" s="2121">
        <v>0.98677355318637949</v>
      </c>
      <c r="CU145" s="2121">
        <v>0.98677355318637949</v>
      </c>
      <c r="CV145" s="2036"/>
      <c r="CW145" s="2036"/>
      <c r="CX145" s="2036"/>
      <c r="CY145" s="2049"/>
      <c r="CZ145" s="2049"/>
      <c r="DA145" s="2049"/>
    </row>
    <row r="146" spans="1:105" x14ac:dyDescent="0.25">
      <c r="A146" s="2185" t="s">
        <v>251</v>
      </c>
      <c r="B146" s="2022"/>
      <c r="C146" s="2023">
        <v>14.2</v>
      </c>
      <c r="D146" s="2023">
        <v>0</v>
      </c>
      <c r="E146" s="2024">
        <v>718.72636357268686</v>
      </c>
      <c r="F146" s="2024"/>
      <c r="G146" s="2024">
        <v>0.15036156075538182</v>
      </c>
      <c r="H146" s="2024"/>
      <c r="I146" s="2023">
        <v>-9.5646854424359287</v>
      </c>
      <c r="J146" s="2027"/>
      <c r="K146" s="2026" t="s">
        <v>4</v>
      </c>
      <c r="L146" s="2026" t="s">
        <v>4</v>
      </c>
      <c r="M146" s="2026">
        <v>0.77800000000000002</v>
      </c>
      <c r="N146" s="2026">
        <v>0.77800000000000002</v>
      </c>
      <c r="O146" s="2026">
        <v>0.77800000000000002</v>
      </c>
      <c r="P146" s="2026">
        <v>0.77800000000000002</v>
      </c>
      <c r="Q146" s="2027">
        <f t="shared" si="62"/>
        <v>559.16911085955041</v>
      </c>
      <c r="R146" s="2027">
        <f t="shared" si="62"/>
        <v>559.16911085955041</v>
      </c>
      <c r="S146" s="2027">
        <f t="shared" si="62"/>
        <v>559.16911085955041</v>
      </c>
      <c r="T146" s="2027">
        <f t="shared" si="62"/>
        <v>559.16911085955041</v>
      </c>
      <c r="U146" s="2026">
        <v>0.77800000000000002</v>
      </c>
      <c r="V146" s="2026">
        <v>0.77800000000000002</v>
      </c>
      <c r="W146" s="2026">
        <v>0.77800000000000002</v>
      </c>
      <c r="X146" s="2026">
        <v>0.77800000000000002</v>
      </c>
      <c r="Y146" s="2028">
        <f t="shared" si="63"/>
        <v>0.11698129426768705</v>
      </c>
      <c r="Z146" s="2028">
        <f t="shared" si="63"/>
        <v>0.11698129426768705</v>
      </c>
      <c r="AA146" s="2028">
        <f t="shared" si="63"/>
        <v>0.11698129426768705</v>
      </c>
      <c r="AB146" s="2028">
        <f t="shared" si="63"/>
        <v>0.11698129426768705</v>
      </c>
      <c r="AC146" s="2026">
        <v>0.77800000000000002</v>
      </c>
      <c r="AD146" s="2026">
        <v>0.77800000000000002</v>
      </c>
      <c r="AE146" s="2026">
        <v>0.77800000000000002</v>
      </c>
      <c r="AF146" s="2026">
        <v>0.77800000000000002</v>
      </c>
      <c r="AG146" s="2027">
        <f t="shared" si="57"/>
        <v>-7.4413252742151528</v>
      </c>
      <c r="AH146" s="2027">
        <f t="shared" si="57"/>
        <v>-7.4413252742151528</v>
      </c>
      <c r="AI146" s="2027">
        <f t="shared" si="57"/>
        <v>-7.4413252742151528</v>
      </c>
      <c r="AJ146" s="2027">
        <f t="shared" si="57"/>
        <v>-7.4413252742151528</v>
      </c>
      <c r="AK146" s="2027">
        <v>0</v>
      </c>
      <c r="AL146" s="2027">
        <v>0</v>
      </c>
      <c r="AM146" s="2027">
        <v>0</v>
      </c>
      <c r="AN146" s="2027">
        <v>0</v>
      </c>
      <c r="AO146" s="2027">
        <f t="shared" si="64"/>
        <v>0</v>
      </c>
      <c r="AP146" s="2027">
        <f t="shared" si="65"/>
        <v>0</v>
      </c>
      <c r="AQ146" s="2027">
        <f t="shared" si="65"/>
        <v>0</v>
      </c>
      <c r="AR146" s="2027"/>
      <c r="AS146" s="2027">
        <f t="shared" si="66"/>
        <v>0</v>
      </c>
      <c r="AT146" s="2027">
        <f t="shared" si="67"/>
        <v>0</v>
      </c>
      <c r="AU146" s="2027">
        <f t="shared" si="68"/>
        <v>0</v>
      </c>
      <c r="AV146" s="2027">
        <f t="shared" si="68"/>
        <v>0</v>
      </c>
      <c r="AW146" s="2027">
        <f t="shared" si="49"/>
        <v>0</v>
      </c>
      <c r="AX146" s="2029">
        <v>61.805999999999997</v>
      </c>
      <c r="AY146" s="2029">
        <v>61.805999999999997</v>
      </c>
      <c r="AZ146" s="2029">
        <v>61.805999999999997</v>
      </c>
      <c r="BA146" s="2029">
        <v>61.805999999999997</v>
      </c>
      <c r="BB146" s="1974"/>
      <c r="BC146" s="2029">
        <v>0</v>
      </c>
      <c r="BD146" s="2029">
        <v>0</v>
      </c>
      <c r="BE146" s="2029">
        <v>0</v>
      </c>
      <c r="BF146" s="2029">
        <v>196.78800000000001</v>
      </c>
      <c r="BG146" s="2029">
        <v>196.78800000000001</v>
      </c>
      <c r="BH146" s="2029">
        <v>196.78800000000001</v>
      </c>
      <c r="BI146" s="2029">
        <v>196.78800000000001</v>
      </c>
      <c r="BJ146" s="2030">
        <f t="shared" si="58"/>
        <v>0</v>
      </c>
      <c r="BK146" s="2030">
        <f t="shared" si="58"/>
        <v>0</v>
      </c>
      <c r="BL146" s="2030">
        <f t="shared" si="58"/>
        <v>0</v>
      </c>
      <c r="BM146" s="2030"/>
      <c r="BN146" s="2030">
        <f t="shared" si="59"/>
        <v>0</v>
      </c>
      <c r="BO146" s="2030">
        <f t="shared" si="60"/>
        <v>0</v>
      </c>
      <c r="BP146" s="2030"/>
      <c r="BQ146" s="2030">
        <f t="shared" si="61"/>
        <v>0</v>
      </c>
      <c r="BR146" s="2030">
        <f t="shared" si="61"/>
        <v>0</v>
      </c>
      <c r="BS146" s="2030">
        <f t="shared" si="61"/>
        <v>0</v>
      </c>
      <c r="BT146" s="2031"/>
      <c r="BU146" s="2031"/>
      <c r="BV146" s="2031"/>
      <c r="BW146" s="2031"/>
      <c r="BX146" s="2031"/>
      <c r="BY146" s="2031"/>
      <c r="BZ146" s="2031"/>
      <c r="CA146" s="2031"/>
      <c r="CB146" s="2029"/>
      <c r="CC146" s="2029"/>
      <c r="CD146" s="2029"/>
      <c r="CE146" s="2029"/>
      <c r="CF146" s="2029"/>
      <c r="CG146" s="2032"/>
      <c r="CH146" s="1974"/>
      <c r="CI146" s="1974"/>
      <c r="CJ146" s="1974"/>
      <c r="CK146" s="1974"/>
      <c r="CL146" s="1974">
        <v>0</v>
      </c>
      <c r="CM146" s="2033">
        <v>0</v>
      </c>
      <c r="CN146" s="2026">
        <v>0</v>
      </c>
      <c r="CO146" s="1974">
        <v>1</v>
      </c>
      <c r="CP146" s="2040">
        <v>-12.86830985915493</v>
      </c>
      <c r="CQ146" s="2040"/>
      <c r="CR146" s="2062">
        <v>1</v>
      </c>
      <c r="CS146" s="2062">
        <v>1</v>
      </c>
      <c r="CT146" s="2062">
        <v>1</v>
      </c>
      <c r="CU146" s="2062">
        <v>1</v>
      </c>
      <c r="CV146" s="2036"/>
      <c r="CW146" s="2036"/>
      <c r="CX146" s="2036"/>
      <c r="CY146" s="2049"/>
      <c r="CZ146" s="2049"/>
      <c r="DA146" s="2049"/>
    </row>
    <row r="147" spans="1:105" s="2161" customFormat="1" x14ac:dyDescent="0.25">
      <c r="A147" s="2186" t="s">
        <v>2952</v>
      </c>
      <c r="B147" s="2187"/>
      <c r="C147" s="2043">
        <v>15</v>
      </c>
      <c r="D147" s="2043">
        <v>0</v>
      </c>
      <c r="E147" s="2044">
        <v>89.722072000000011</v>
      </c>
      <c r="F147" s="2044"/>
      <c r="G147" s="2044">
        <v>1.41994336E-2</v>
      </c>
      <c r="H147" s="2044"/>
      <c r="I147" s="2043">
        <v>-0.98694279200000035</v>
      </c>
      <c r="J147" s="2146"/>
      <c r="K147" s="2153" t="s">
        <v>2870</v>
      </c>
      <c r="L147" s="2153" t="s">
        <v>2870</v>
      </c>
      <c r="M147" s="2153">
        <v>0.77300000000000002</v>
      </c>
      <c r="N147" s="2153">
        <v>0.77300000000000002</v>
      </c>
      <c r="O147" s="2153">
        <v>0.77300000000000002</v>
      </c>
      <c r="P147" s="2153">
        <v>0.77300000000000002</v>
      </c>
      <c r="Q147" s="2146">
        <f t="shared" si="62"/>
        <v>69.355161656000007</v>
      </c>
      <c r="R147" s="2146">
        <f t="shared" si="62"/>
        <v>69.355161656000007</v>
      </c>
      <c r="S147" s="2146">
        <f t="shared" si="62"/>
        <v>69.355161656000007</v>
      </c>
      <c r="T147" s="2146">
        <f t="shared" si="62"/>
        <v>69.355161656000007</v>
      </c>
      <c r="U147" s="2153">
        <v>0.77300000000000002</v>
      </c>
      <c r="V147" s="2153">
        <v>0.77300000000000002</v>
      </c>
      <c r="W147" s="2153">
        <v>0.77300000000000002</v>
      </c>
      <c r="X147" s="2153">
        <v>0.77300000000000002</v>
      </c>
      <c r="Y147" s="2129">
        <f t="shared" si="63"/>
        <v>1.0976162172800001E-2</v>
      </c>
      <c r="Z147" s="2129">
        <f t="shared" si="63"/>
        <v>1.0976162172800001E-2</v>
      </c>
      <c r="AA147" s="2129">
        <f t="shared" si="63"/>
        <v>1.0976162172800001E-2</v>
      </c>
      <c r="AB147" s="2129">
        <f t="shared" si="63"/>
        <v>1.0976162172800001E-2</v>
      </c>
      <c r="AC147" s="2153">
        <v>0.77300000000000002</v>
      </c>
      <c r="AD147" s="2153">
        <v>0.77300000000000002</v>
      </c>
      <c r="AE147" s="2153">
        <v>0.77300000000000002</v>
      </c>
      <c r="AF147" s="2153">
        <v>0.77300000000000002</v>
      </c>
      <c r="AG147" s="2146">
        <f t="shared" ref="AG147:AJ162" si="69">$I147*AC147</f>
        <v>-0.76290677821600028</v>
      </c>
      <c r="AH147" s="2146">
        <f t="shared" si="69"/>
        <v>-0.76290677821600028</v>
      </c>
      <c r="AI147" s="2146">
        <f t="shared" si="69"/>
        <v>-0.76290677821600028</v>
      </c>
      <c r="AJ147" s="2146">
        <f t="shared" si="69"/>
        <v>-0.76290677821600028</v>
      </c>
      <c r="AK147" s="2146">
        <v>30596</v>
      </c>
      <c r="AL147" s="2146">
        <v>32004</v>
      </c>
      <c r="AM147" s="2146">
        <v>35207</v>
      </c>
      <c r="AN147" s="2146">
        <v>33885</v>
      </c>
      <c r="AO147" s="2146">
        <f t="shared" si="64"/>
        <v>2121990.5260269763</v>
      </c>
      <c r="AP147" s="2146">
        <f t="shared" si="65"/>
        <v>2219642.5936386241</v>
      </c>
      <c r="AQ147" s="2146">
        <f t="shared" si="65"/>
        <v>2441787.176422792</v>
      </c>
      <c r="AR147" s="2146"/>
      <c r="AS147" s="2146">
        <f t="shared" si="66"/>
        <v>2350099.65271356</v>
      </c>
      <c r="AT147" s="2146">
        <f t="shared" si="67"/>
        <v>-23341.895786296744</v>
      </c>
      <c r="AU147" s="2146">
        <f t="shared" si="68"/>
        <v>-24416.068530024873</v>
      </c>
      <c r="AV147" s="2146">
        <f t="shared" si="68"/>
        <v>-26859.658940650723</v>
      </c>
      <c r="AW147" s="2146">
        <f t="shared" si="49"/>
        <v>-25851.09617984917</v>
      </c>
      <c r="AX147" s="2046">
        <v>7</v>
      </c>
      <c r="AY147" s="2046">
        <v>7</v>
      </c>
      <c r="AZ147" s="2046">
        <v>5</v>
      </c>
      <c r="BA147" s="2046">
        <v>4</v>
      </c>
      <c r="BB147" s="2047"/>
      <c r="BC147" s="2046">
        <v>0</v>
      </c>
      <c r="BD147" s="2046">
        <v>0</v>
      </c>
      <c r="BE147" s="2046">
        <v>0</v>
      </c>
      <c r="BF147" s="2046">
        <v>16</v>
      </c>
      <c r="BG147" s="2046">
        <v>15</v>
      </c>
      <c r="BH147" s="2046">
        <v>12</v>
      </c>
      <c r="BI147" s="2046">
        <v>10</v>
      </c>
      <c r="BJ147" s="2154">
        <f t="shared" si="58"/>
        <v>214172</v>
      </c>
      <c r="BK147" s="2154">
        <f t="shared" si="58"/>
        <v>224028</v>
      </c>
      <c r="BL147" s="2154">
        <f t="shared" si="58"/>
        <v>176035</v>
      </c>
      <c r="BM147" s="2154"/>
      <c r="BN147" s="2154">
        <f t="shared" si="59"/>
        <v>135540</v>
      </c>
      <c r="BO147" s="2154">
        <f t="shared" si="60"/>
        <v>0</v>
      </c>
      <c r="BP147" s="2154"/>
      <c r="BQ147" s="2154">
        <f t="shared" si="61"/>
        <v>0</v>
      </c>
      <c r="BR147" s="2154">
        <f t="shared" si="61"/>
        <v>0</v>
      </c>
      <c r="BS147" s="2154">
        <f t="shared" si="61"/>
        <v>0</v>
      </c>
      <c r="BT147" s="2063"/>
      <c r="BU147" s="2063"/>
      <c r="BV147" s="2063"/>
      <c r="BW147" s="2063"/>
      <c r="BX147" s="2063"/>
      <c r="BY147" s="2063"/>
      <c r="BZ147" s="2063"/>
      <c r="CA147" s="2063"/>
      <c r="CB147" s="2046"/>
      <c r="CC147" s="2046"/>
      <c r="CD147" s="2046"/>
      <c r="CE147" s="2046"/>
      <c r="CF147" s="2046"/>
      <c r="CG147" s="2156"/>
      <c r="CH147" s="2047"/>
      <c r="CI147" s="2047"/>
      <c r="CJ147" s="2047"/>
      <c r="CK147" s="2047"/>
      <c r="CL147" s="2047">
        <v>0</v>
      </c>
      <c r="CM147" s="2157">
        <v>1.5360868379890008E-2</v>
      </c>
      <c r="CN147" s="2153">
        <v>-2.9815734599953101E-2</v>
      </c>
      <c r="CO147" s="2047">
        <v>1</v>
      </c>
      <c r="CP147" s="2188">
        <v>-1.176912501648</v>
      </c>
      <c r="CQ147" s="2188"/>
      <c r="CR147" s="2189">
        <v>1</v>
      </c>
      <c r="CS147" s="2189">
        <v>1</v>
      </c>
      <c r="CT147" s="2189">
        <v>1</v>
      </c>
      <c r="CU147" s="2189">
        <v>1</v>
      </c>
      <c r="CV147" s="2160"/>
      <c r="CW147" s="2160"/>
      <c r="CX147" s="2160"/>
      <c r="CY147" s="2160"/>
      <c r="CZ147" s="2160"/>
      <c r="DA147" s="2160"/>
    </row>
    <row r="148" spans="1:105" x14ac:dyDescent="0.25">
      <c r="A148" s="2185" t="s">
        <v>252</v>
      </c>
      <c r="B148" s="2022"/>
      <c r="C148" s="2023">
        <v>10</v>
      </c>
      <c r="D148" s="2023">
        <v>0</v>
      </c>
      <c r="E148" s="2061">
        <v>-1522.2395734687498</v>
      </c>
      <c r="F148" s="2061"/>
      <c r="G148" s="2024">
        <v>0</v>
      </c>
      <c r="H148" s="2024"/>
      <c r="I148" s="2023">
        <v>472.27012500000001</v>
      </c>
      <c r="J148" s="2027"/>
      <c r="K148" s="2026" t="s">
        <v>2899</v>
      </c>
      <c r="L148" s="2026" t="s">
        <v>2899</v>
      </c>
      <c r="M148" s="2026">
        <v>0.84899999999999998</v>
      </c>
      <c r="N148" s="2026">
        <v>0.84899999999999998</v>
      </c>
      <c r="O148" s="2026">
        <v>0.84899999999999998</v>
      </c>
      <c r="P148" s="2026">
        <v>0.84899999999999998</v>
      </c>
      <c r="Q148" s="2027">
        <f t="shared" si="62"/>
        <v>-1292.3813978749686</v>
      </c>
      <c r="R148" s="2027">
        <f t="shared" si="62"/>
        <v>-1292.3813978749686</v>
      </c>
      <c r="S148" s="2027">
        <f t="shared" si="62"/>
        <v>-1292.3813978749686</v>
      </c>
      <c r="T148" s="2027">
        <f t="shared" si="62"/>
        <v>-1292.3813978749686</v>
      </c>
      <c r="U148" s="2026">
        <v>0.84899999999999998</v>
      </c>
      <c r="V148" s="2026">
        <v>0.84899999999999998</v>
      </c>
      <c r="W148" s="2026">
        <v>0.84899999999999998</v>
      </c>
      <c r="X148" s="2026">
        <v>0.84899999999999998</v>
      </c>
      <c r="Y148" s="2028">
        <f t="shared" si="63"/>
        <v>0</v>
      </c>
      <c r="Z148" s="2028">
        <f t="shared" si="63"/>
        <v>0</v>
      </c>
      <c r="AA148" s="2028">
        <f t="shared" si="63"/>
        <v>0</v>
      </c>
      <c r="AB148" s="2028">
        <f t="shared" si="63"/>
        <v>0</v>
      </c>
      <c r="AC148" s="2026">
        <v>0.67500000000000004</v>
      </c>
      <c r="AD148" s="2026">
        <v>0.67500000000000004</v>
      </c>
      <c r="AE148" s="2026">
        <v>0.67500000000000004</v>
      </c>
      <c r="AF148" s="2026">
        <v>0.67500000000000004</v>
      </c>
      <c r="AG148" s="2027">
        <f t="shared" si="69"/>
        <v>318.782334375</v>
      </c>
      <c r="AH148" s="2027">
        <f t="shared" si="69"/>
        <v>318.782334375</v>
      </c>
      <c r="AI148" s="2027">
        <f t="shared" si="69"/>
        <v>318.782334375</v>
      </c>
      <c r="AJ148" s="2027">
        <f t="shared" si="69"/>
        <v>318.782334375</v>
      </c>
      <c r="AK148" s="2027">
        <v>0</v>
      </c>
      <c r="AL148" s="2027">
        <v>0</v>
      </c>
      <c r="AM148" s="2027">
        <v>0</v>
      </c>
      <c r="AN148" s="2027">
        <v>0</v>
      </c>
      <c r="AO148" s="2027">
        <f t="shared" si="64"/>
        <v>0</v>
      </c>
      <c r="AP148" s="2027">
        <f t="shared" si="65"/>
        <v>0</v>
      </c>
      <c r="AQ148" s="2027">
        <f t="shared" si="65"/>
        <v>0</v>
      </c>
      <c r="AR148" s="2027"/>
      <c r="AS148" s="2027">
        <f t="shared" si="66"/>
        <v>0</v>
      </c>
      <c r="AT148" s="2027">
        <f t="shared" si="67"/>
        <v>0</v>
      </c>
      <c r="AU148" s="2027">
        <f t="shared" si="68"/>
        <v>0</v>
      </c>
      <c r="AV148" s="2027">
        <f t="shared" si="68"/>
        <v>0</v>
      </c>
      <c r="AW148" s="2027">
        <f t="shared" si="49"/>
        <v>0</v>
      </c>
      <c r="AX148" s="2029"/>
      <c r="AY148" s="2029">
        <v>0</v>
      </c>
      <c r="AZ148" s="2029">
        <v>0</v>
      </c>
      <c r="BA148" s="2029">
        <v>0</v>
      </c>
      <c r="BB148" s="2029">
        <v>1000</v>
      </c>
      <c r="BC148" s="2029">
        <v>1000</v>
      </c>
      <c r="BD148" s="2029">
        <v>1000</v>
      </c>
      <c r="BE148" s="2029">
        <v>1000</v>
      </c>
      <c r="BF148" s="2029">
        <v>8600</v>
      </c>
      <c r="BG148" s="2029">
        <v>8600</v>
      </c>
      <c r="BH148" s="2029">
        <v>8600</v>
      </c>
      <c r="BI148" s="2029">
        <v>8600</v>
      </c>
      <c r="BJ148" s="2030">
        <f t="shared" si="58"/>
        <v>0</v>
      </c>
      <c r="BK148" s="2030">
        <f t="shared" si="58"/>
        <v>0</v>
      </c>
      <c r="BL148" s="2030">
        <f t="shared" si="58"/>
        <v>0</v>
      </c>
      <c r="BM148" s="2030"/>
      <c r="BN148" s="2030">
        <f t="shared" si="59"/>
        <v>0</v>
      </c>
      <c r="BO148" s="2030">
        <f t="shared" si="60"/>
        <v>0</v>
      </c>
      <c r="BP148" s="2030"/>
      <c r="BQ148" s="2030">
        <f t="shared" si="61"/>
        <v>0</v>
      </c>
      <c r="BR148" s="2030">
        <f t="shared" si="61"/>
        <v>0</v>
      </c>
      <c r="BS148" s="2030">
        <f t="shared" si="61"/>
        <v>0</v>
      </c>
      <c r="BT148" s="2031"/>
      <c r="BU148" s="2031"/>
      <c r="BV148" s="2031"/>
      <c r="BW148" s="2031"/>
      <c r="BX148" s="2031"/>
      <c r="BY148" s="2031"/>
      <c r="BZ148" s="2031"/>
      <c r="CA148" s="2031"/>
      <c r="CB148" s="2029"/>
      <c r="CC148" s="2029"/>
      <c r="CD148" s="2029"/>
      <c r="CE148" s="2029"/>
      <c r="CF148" s="2029"/>
      <c r="CG148" s="2032"/>
      <c r="CH148" s="1974"/>
      <c r="CI148" s="1974"/>
      <c r="CJ148" s="1974"/>
      <c r="CK148" s="1974"/>
      <c r="CL148" s="1974">
        <v>0</v>
      </c>
      <c r="CM148" s="2033">
        <v>0</v>
      </c>
      <c r="CN148" s="2026">
        <v>0</v>
      </c>
      <c r="CO148" s="1974">
        <v>0</v>
      </c>
      <c r="CP148" s="2040">
        <v>0</v>
      </c>
      <c r="CQ148" s="2040"/>
      <c r="CR148" s="2062">
        <v>1</v>
      </c>
      <c r="CS148" s="2062">
        <v>1</v>
      </c>
      <c r="CT148" s="2062">
        <v>1</v>
      </c>
      <c r="CU148" s="2062">
        <v>1</v>
      </c>
      <c r="CV148" s="2036"/>
      <c r="CW148" s="2036"/>
      <c r="CX148" s="2036"/>
      <c r="CY148" s="2036"/>
      <c r="CZ148" s="2036"/>
      <c r="DA148" s="2036"/>
    </row>
    <row r="149" spans="1:105" x14ac:dyDescent="0.25">
      <c r="A149" s="2185" t="s">
        <v>253</v>
      </c>
      <c r="B149" s="2022"/>
      <c r="C149" s="2023">
        <v>10</v>
      </c>
      <c r="D149" s="2023">
        <v>0</v>
      </c>
      <c r="E149" s="2061">
        <v>-888.10068703124989</v>
      </c>
      <c r="F149" s="2061"/>
      <c r="G149" s="2024">
        <v>0</v>
      </c>
      <c r="H149" s="2024"/>
      <c r="I149" s="2023">
        <v>624.99187500000005</v>
      </c>
      <c r="J149" s="2027"/>
      <c r="K149" s="2026" t="s">
        <v>2899</v>
      </c>
      <c r="L149" s="2026" t="s">
        <v>2899</v>
      </c>
      <c r="M149" s="2026">
        <v>0.84899999999999998</v>
      </c>
      <c r="N149" s="2026">
        <v>0.84899999999999998</v>
      </c>
      <c r="O149" s="2026">
        <v>0.84899999999999998</v>
      </c>
      <c r="P149" s="2026">
        <v>0.84899999999999998</v>
      </c>
      <c r="Q149" s="2027">
        <f t="shared" si="62"/>
        <v>-753.99748328953115</v>
      </c>
      <c r="R149" s="2027">
        <f t="shared" si="62"/>
        <v>-753.99748328953115</v>
      </c>
      <c r="S149" s="2027">
        <f t="shared" si="62"/>
        <v>-753.99748328953115</v>
      </c>
      <c r="T149" s="2027">
        <f t="shared" si="62"/>
        <v>-753.99748328953115</v>
      </c>
      <c r="U149" s="2026">
        <v>0.84899999999999998</v>
      </c>
      <c r="V149" s="2026">
        <v>0.84899999999999998</v>
      </c>
      <c r="W149" s="2026">
        <v>0.84899999999999998</v>
      </c>
      <c r="X149" s="2026">
        <v>0.84899999999999998</v>
      </c>
      <c r="Y149" s="2028">
        <f t="shared" si="63"/>
        <v>0</v>
      </c>
      <c r="Z149" s="2028">
        <f t="shared" si="63"/>
        <v>0</v>
      </c>
      <c r="AA149" s="2028">
        <f t="shared" si="63"/>
        <v>0</v>
      </c>
      <c r="AB149" s="2028">
        <f t="shared" si="63"/>
        <v>0</v>
      </c>
      <c r="AC149" s="2026">
        <v>0.67500000000000004</v>
      </c>
      <c r="AD149" s="2026">
        <v>0.67500000000000004</v>
      </c>
      <c r="AE149" s="2026">
        <v>0.67500000000000004</v>
      </c>
      <c r="AF149" s="2026">
        <v>0.67500000000000004</v>
      </c>
      <c r="AG149" s="2027">
        <f t="shared" si="69"/>
        <v>421.86951562500008</v>
      </c>
      <c r="AH149" s="2027">
        <f t="shared" si="69"/>
        <v>421.86951562500008</v>
      </c>
      <c r="AI149" s="2027">
        <f t="shared" si="69"/>
        <v>421.86951562500008</v>
      </c>
      <c r="AJ149" s="2027">
        <f t="shared" si="69"/>
        <v>421.86951562500008</v>
      </c>
      <c r="AK149" s="2027">
        <v>0</v>
      </c>
      <c r="AL149" s="2027">
        <v>0</v>
      </c>
      <c r="AM149" s="2027">
        <v>0</v>
      </c>
      <c r="AN149" s="2027">
        <v>0</v>
      </c>
      <c r="AO149" s="2027">
        <f t="shared" si="64"/>
        <v>0</v>
      </c>
      <c r="AP149" s="2027">
        <f t="shared" si="65"/>
        <v>0</v>
      </c>
      <c r="AQ149" s="2027">
        <f t="shared" si="65"/>
        <v>0</v>
      </c>
      <c r="AR149" s="2027"/>
      <c r="AS149" s="2027">
        <f t="shared" si="66"/>
        <v>0</v>
      </c>
      <c r="AT149" s="2027">
        <f t="shared" si="67"/>
        <v>0</v>
      </c>
      <c r="AU149" s="2027">
        <f t="shared" si="68"/>
        <v>0</v>
      </c>
      <c r="AV149" s="2027">
        <f t="shared" si="68"/>
        <v>0</v>
      </c>
      <c r="AW149" s="2027">
        <f t="shared" si="49"/>
        <v>0</v>
      </c>
      <c r="AX149" s="2029"/>
      <c r="AY149" s="2029">
        <v>0</v>
      </c>
      <c r="AZ149" s="2029">
        <v>0</v>
      </c>
      <c r="BA149" s="2029">
        <v>0</v>
      </c>
      <c r="BB149" s="2029">
        <v>1000</v>
      </c>
      <c r="BC149" s="2029">
        <v>1000</v>
      </c>
      <c r="BD149" s="2029">
        <v>1000</v>
      </c>
      <c r="BE149" s="2029">
        <v>1000</v>
      </c>
      <c r="BF149" s="2029">
        <v>8650</v>
      </c>
      <c r="BG149" s="2029">
        <v>8650</v>
      </c>
      <c r="BH149" s="2029">
        <v>8650</v>
      </c>
      <c r="BI149" s="2029">
        <v>8650</v>
      </c>
      <c r="BJ149" s="2030">
        <f t="shared" si="58"/>
        <v>0</v>
      </c>
      <c r="BK149" s="2030">
        <f t="shared" si="58"/>
        <v>0</v>
      </c>
      <c r="BL149" s="2030">
        <f t="shared" si="58"/>
        <v>0</v>
      </c>
      <c r="BM149" s="2030"/>
      <c r="BN149" s="2030">
        <f t="shared" si="59"/>
        <v>0</v>
      </c>
      <c r="BO149" s="2030">
        <f t="shared" si="60"/>
        <v>0</v>
      </c>
      <c r="BP149" s="2030"/>
      <c r="BQ149" s="2030">
        <f t="shared" si="61"/>
        <v>0</v>
      </c>
      <c r="BR149" s="2030">
        <f t="shared" si="61"/>
        <v>0</v>
      </c>
      <c r="BS149" s="2030">
        <f t="shared" si="61"/>
        <v>0</v>
      </c>
      <c r="BT149" s="2031"/>
      <c r="BU149" s="2031"/>
      <c r="BV149" s="2031"/>
      <c r="BW149" s="2031"/>
      <c r="BX149" s="2031"/>
      <c r="BY149" s="2031"/>
      <c r="BZ149" s="2031"/>
      <c r="CA149" s="2031"/>
      <c r="CB149" s="2029"/>
      <c r="CC149" s="2029"/>
      <c r="CD149" s="2029"/>
      <c r="CE149" s="2029"/>
      <c r="CF149" s="2029"/>
      <c r="CG149" s="2032"/>
      <c r="CH149" s="1974"/>
      <c r="CI149" s="1974"/>
      <c r="CJ149" s="1974"/>
      <c r="CK149" s="1974"/>
      <c r="CL149" s="1974">
        <v>0</v>
      </c>
      <c r="CM149" s="2033">
        <v>0</v>
      </c>
      <c r="CN149" s="2026">
        <v>0</v>
      </c>
      <c r="CO149" s="1974">
        <v>0</v>
      </c>
      <c r="CP149" s="2040">
        <v>0</v>
      </c>
      <c r="CQ149" s="2040"/>
      <c r="CR149" s="2062">
        <v>1</v>
      </c>
      <c r="CS149" s="2062">
        <v>1</v>
      </c>
      <c r="CT149" s="2062">
        <v>1</v>
      </c>
      <c r="CU149" s="2062">
        <v>1</v>
      </c>
      <c r="CV149" s="2036"/>
      <c r="CW149" s="2036"/>
      <c r="CX149" s="2036"/>
      <c r="CY149" s="2036"/>
      <c r="CZ149" s="2036"/>
      <c r="DA149" s="2036"/>
    </row>
    <row r="150" spans="1:105" x14ac:dyDescent="0.25">
      <c r="A150" s="2185" t="s">
        <v>254</v>
      </c>
      <c r="B150" s="2022"/>
      <c r="C150" s="2023">
        <v>10</v>
      </c>
      <c r="D150" s="2023">
        <v>0</v>
      </c>
      <c r="E150" s="2061">
        <v>-502.36652362500001</v>
      </c>
      <c r="F150" s="2061"/>
      <c r="G150" s="2024">
        <v>0</v>
      </c>
      <c r="H150" s="2024"/>
      <c r="I150" s="2023">
        <v>717.88950000000011</v>
      </c>
      <c r="J150" s="2027"/>
      <c r="K150" s="2026" t="s">
        <v>2899</v>
      </c>
      <c r="L150" s="2026" t="s">
        <v>2899</v>
      </c>
      <c r="M150" s="2026">
        <v>0.84899999999999998</v>
      </c>
      <c r="N150" s="2026">
        <v>0.84899999999999998</v>
      </c>
      <c r="O150" s="2026">
        <v>0.84899999999999998</v>
      </c>
      <c r="P150" s="2026">
        <v>0.84899999999999998</v>
      </c>
      <c r="Q150" s="2027">
        <f t="shared" si="62"/>
        <v>-426.50917855762498</v>
      </c>
      <c r="R150" s="2027">
        <f t="shared" si="62"/>
        <v>-426.50917855762498</v>
      </c>
      <c r="S150" s="2027">
        <f t="shared" si="62"/>
        <v>-426.50917855762498</v>
      </c>
      <c r="T150" s="2027">
        <f t="shared" si="62"/>
        <v>-426.50917855762498</v>
      </c>
      <c r="U150" s="2026">
        <v>0.84899999999999998</v>
      </c>
      <c r="V150" s="2026">
        <v>0.84899999999999998</v>
      </c>
      <c r="W150" s="2026">
        <v>0.84899999999999998</v>
      </c>
      <c r="X150" s="2026">
        <v>0.84899999999999998</v>
      </c>
      <c r="Y150" s="2028">
        <f t="shared" si="63"/>
        <v>0</v>
      </c>
      <c r="Z150" s="2028">
        <f t="shared" si="63"/>
        <v>0</v>
      </c>
      <c r="AA150" s="2028">
        <f t="shared" si="63"/>
        <v>0</v>
      </c>
      <c r="AB150" s="2028">
        <f t="shared" si="63"/>
        <v>0</v>
      </c>
      <c r="AC150" s="2026">
        <v>0.67500000000000004</v>
      </c>
      <c r="AD150" s="2026">
        <v>0.67500000000000004</v>
      </c>
      <c r="AE150" s="2026">
        <v>0.67500000000000004</v>
      </c>
      <c r="AF150" s="2026">
        <v>0.67500000000000004</v>
      </c>
      <c r="AG150" s="2027">
        <f t="shared" si="69"/>
        <v>484.57541250000008</v>
      </c>
      <c r="AH150" s="2027">
        <f t="shared" si="69"/>
        <v>484.57541250000008</v>
      </c>
      <c r="AI150" s="2027">
        <f t="shared" si="69"/>
        <v>484.57541250000008</v>
      </c>
      <c r="AJ150" s="2027">
        <f t="shared" si="69"/>
        <v>484.57541250000008</v>
      </c>
      <c r="AK150" s="2027">
        <v>0</v>
      </c>
      <c r="AL150" s="2027">
        <v>0</v>
      </c>
      <c r="AM150" s="2027">
        <v>0</v>
      </c>
      <c r="AN150" s="2027">
        <v>0</v>
      </c>
      <c r="AO150" s="2027">
        <f t="shared" si="64"/>
        <v>0</v>
      </c>
      <c r="AP150" s="2027">
        <f t="shared" si="65"/>
        <v>0</v>
      </c>
      <c r="AQ150" s="2027">
        <f t="shared" si="65"/>
        <v>0</v>
      </c>
      <c r="AR150" s="2027"/>
      <c r="AS150" s="2027">
        <f t="shared" si="66"/>
        <v>0</v>
      </c>
      <c r="AT150" s="2027">
        <f t="shared" si="67"/>
        <v>0</v>
      </c>
      <c r="AU150" s="2027">
        <f t="shared" si="68"/>
        <v>0</v>
      </c>
      <c r="AV150" s="2027">
        <f t="shared" si="68"/>
        <v>0</v>
      </c>
      <c r="AW150" s="2027">
        <f t="shared" si="49"/>
        <v>0</v>
      </c>
      <c r="AX150" s="2029"/>
      <c r="AY150" s="2029">
        <v>0</v>
      </c>
      <c r="AZ150" s="2029">
        <v>0</v>
      </c>
      <c r="BA150" s="2029">
        <v>0</v>
      </c>
      <c r="BB150" s="2029">
        <v>1000</v>
      </c>
      <c r="BC150" s="2029">
        <v>1000</v>
      </c>
      <c r="BD150" s="2029">
        <v>1000</v>
      </c>
      <c r="BE150" s="2029">
        <v>1000</v>
      </c>
      <c r="BF150" s="2029">
        <v>8700</v>
      </c>
      <c r="BG150" s="2029">
        <v>8700</v>
      </c>
      <c r="BH150" s="2029">
        <v>8700</v>
      </c>
      <c r="BI150" s="2029">
        <v>8700</v>
      </c>
      <c r="BJ150" s="2030">
        <f t="shared" si="58"/>
        <v>0</v>
      </c>
      <c r="BK150" s="2030">
        <f t="shared" si="58"/>
        <v>0</v>
      </c>
      <c r="BL150" s="2030">
        <f t="shared" si="58"/>
        <v>0</v>
      </c>
      <c r="BM150" s="2030"/>
      <c r="BN150" s="2030">
        <f t="shared" si="59"/>
        <v>0</v>
      </c>
      <c r="BO150" s="2030">
        <f t="shared" si="60"/>
        <v>0</v>
      </c>
      <c r="BP150" s="2030"/>
      <c r="BQ150" s="2030">
        <f t="shared" si="61"/>
        <v>0</v>
      </c>
      <c r="BR150" s="2030">
        <f t="shared" si="61"/>
        <v>0</v>
      </c>
      <c r="BS150" s="2030">
        <f t="shared" si="61"/>
        <v>0</v>
      </c>
      <c r="BT150" s="2031"/>
      <c r="BU150" s="2031"/>
      <c r="BV150" s="2031"/>
      <c r="BW150" s="2031"/>
      <c r="BX150" s="2031"/>
      <c r="BY150" s="2031"/>
      <c r="BZ150" s="2031"/>
      <c r="CA150" s="2031"/>
      <c r="CB150" s="2029"/>
      <c r="CC150" s="2029"/>
      <c r="CD150" s="2029"/>
      <c r="CE150" s="2029"/>
      <c r="CF150" s="2029"/>
      <c r="CG150" s="2032"/>
      <c r="CH150" s="1974"/>
      <c r="CI150" s="1974"/>
      <c r="CJ150" s="1974"/>
      <c r="CK150" s="1974"/>
      <c r="CL150" s="1974">
        <v>0</v>
      </c>
      <c r="CM150" s="2033">
        <v>0</v>
      </c>
      <c r="CN150" s="2026">
        <v>0</v>
      </c>
      <c r="CO150" s="1974">
        <v>0</v>
      </c>
      <c r="CP150" s="2040">
        <v>0</v>
      </c>
      <c r="CQ150" s="2040"/>
      <c r="CR150" s="2062">
        <v>1</v>
      </c>
      <c r="CS150" s="2062">
        <v>1</v>
      </c>
      <c r="CT150" s="2062">
        <v>1</v>
      </c>
      <c r="CU150" s="2062">
        <v>1</v>
      </c>
      <c r="CV150" s="2036"/>
      <c r="CW150" s="2036"/>
      <c r="CX150" s="2036"/>
      <c r="CY150" s="2036"/>
      <c r="CZ150" s="2036"/>
      <c r="DA150" s="2036"/>
    </row>
    <row r="151" spans="1:105" s="2161" customFormat="1" x14ac:dyDescent="0.25">
      <c r="A151" s="2186" t="s">
        <v>255</v>
      </c>
      <c r="B151" s="2187"/>
      <c r="C151" s="2043">
        <v>10</v>
      </c>
      <c r="D151" s="2043">
        <v>0</v>
      </c>
      <c r="E151" s="2044">
        <v>20.697080156250195</v>
      </c>
      <c r="F151" s="2044"/>
      <c r="G151" s="2044">
        <v>0</v>
      </c>
      <c r="H151" s="2044"/>
      <c r="I151" s="2043">
        <v>843.86062500000014</v>
      </c>
      <c r="J151" s="2146"/>
      <c r="K151" s="2153" t="s">
        <v>2899</v>
      </c>
      <c r="L151" s="2153" t="s">
        <v>2899</v>
      </c>
      <c r="M151" s="2153">
        <v>0.84899999999999998</v>
      </c>
      <c r="N151" s="2153">
        <v>0.84899999999999998</v>
      </c>
      <c r="O151" s="2153">
        <v>0.84899999999999998</v>
      </c>
      <c r="P151" s="2153">
        <v>0.84899999999999998</v>
      </c>
      <c r="Q151" s="2146">
        <f t="shared" si="62"/>
        <v>17.571821052656414</v>
      </c>
      <c r="R151" s="2146">
        <f t="shared" si="62"/>
        <v>17.571821052656414</v>
      </c>
      <c r="S151" s="2146">
        <f t="shared" si="62"/>
        <v>17.571821052656414</v>
      </c>
      <c r="T151" s="2146">
        <f t="shared" si="62"/>
        <v>17.571821052656414</v>
      </c>
      <c r="U151" s="2153">
        <v>0.84899999999999998</v>
      </c>
      <c r="V151" s="2153">
        <v>0.84899999999999998</v>
      </c>
      <c r="W151" s="2153">
        <v>0.84899999999999998</v>
      </c>
      <c r="X151" s="2153">
        <v>0.84899999999999998</v>
      </c>
      <c r="Y151" s="2129">
        <f t="shared" si="63"/>
        <v>0</v>
      </c>
      <c r="Z151" s="2129">
        <f t="shared" si="63"/>
        <v>0</v>
      </c>
      <c r="AA151" s="2129">
        <f t="shared" si="63"/>
        <v>0</v>
      </c>
      <c r="AB151" s="2129">
        <f t="shared" si="63"/>
        <v>0</v>
      </c>
      <c r="AC151" s="2153">
        <v>0.67500000000000004</v>
      </c>
      <c r="AD151" s="2153">
        <v>0.67500000000000004</v>
      </c>
      <c r="AE151" s="2153">
        <v>0.67500000000000004</v>
      </c>
      <c r="AF151" s="2153">
        <v>0.67500000000000004</v>
      </c>
      <c r="AG151" s="2146">
        <f t="shared" si="69"/>
        <v>569.60592187500015</v>
      </c>
      <c r="AH151" s="2146">
        <f t="shared" si="69"/>
        <v>569.60592187500015</v>
      </c>
      <c r="AI151" s="2146">
        <f t="shared" si="69"/>
        <v>569.60592187500015</v>
      </c>
      <c r="AJ151" s="2146">
        <f t="shared" si="69"/>
        <v>569.60592187500015</v>
      </c>
      <c r="AK151" s="2146">
        <v>1</v>
      </c>
      <c r="AL151" s="2146">
        <v>1</v>
      </c>
      <c r="AM151" s="2146">
        <v>1</v>
      </c>
      <c r="AN151" s="2146">
        <v>1</v>
      </c>
      <c r="AO151" s="2146">
        <f t="shared" si="64"/>
        <v>17.571821052656414</v>
      </c>
      <c r="AP151" s="2146">
        <f t="shared" si="65"/>
        <v>17.571821052656414</v>
      </c>
      <c r="AQ151" s="2146">
        <f t="shared" si="65"/>
        <v>17.571821052656414</v>
      </c>
      <c r="AR151" s="2146"/>
      <c r="AS151" s="2146">
        <f t="shared" si="66"/>
        <v>17.571821052656414</v>
      </c>
      <c r="AT151" s="2146">
        <f t="shared" si="67"/>
        <v>569.60592187500015</v>
      </c>
      <c r="AU151" s="2146">
        <f t="shared" si="68"/>
        <v>569.60592187500015</v>
      </c>
      <c r="AV151" s="2146">
        <f t="shared" si="68"/>
        <v>569.60592187500015</v>
      </c>
      <c r="AW151" s="2146">
        <f t="shared" si="49"/>
        <v>569.60592187500015</v>
      </c>
      <c r="AX151" s="2046">
        <v>0</v>
      </c>
      <c r="AY151" s="2046">
        <v>0</v>
      </c>
      <c r="AZ151" s="2046">
        <v>0</v>
      </c>
      <c r="BA151" s="2046">
        <v>0</v>
      </c>
      <c r="BB151" s="2046">
        <v>1000</v>
      </c>
      <c r="BC151" s="2046">
        <v>1000</v>
      </c>
      <c r="BD151" s="2046">
        <v>1000</v>
      </c>
      <c r="BE151" s="2046">
        <v>1000</v>
      </c>
      <c r="BF151" s="2046">
        <v>8750</v>
      </c>
      <c r="BG151" s="2046">
        <v>8750</v>
      </c>
      <c r="BH151" s="2046">
        <v>8750</v>
      </c>
      <c r="BI151" s="2046">
        <v>8750</v>
      </c>
      <c r="BJ151" s="2154">
        <f t="shared" si="58"/>
        <v>0</v>
      </c>
      <c r="BK151" s="2154">
        <f t="shared" si="58"/>
        <v>0</v>
      </c>
      <c r="BL151" s="2154">
        <f t="shared" si="58"/>
        <v>0</v>
      </c>
      <c r="BM151" s="2154"/>
      <c r="BN151" s="2154">
        <f t="shared" si="59"/>
        <v>0</v>
      </c>
      <c r="BO151" s="2154">
        <f t="shared" si="60"/>
        <v>1000</v>
      </c>
      <c r="BP151" s="2154"/>
      <c r="BQ151" s="2154">
        <f t="shared" si="61"/>
        <v>1000</v>
      </c>
      <c r="BR151" s="2154">
        <f t="shared" si="61"/>
        <v>1000</v>
      </c>
      <c r="BS151" s="2154">
        <f t="shared" si="61"/>
        <v>1000</v>
      </c>
      <c r="BT151" s="2063"/>
      <c r="BU151" s="2063"/>
      <c r="BV151" s="2063"/>
      <c r="BW151" s="2063"/>
      <c r="BX151" s="2063"/>
      <c r="BY151" s="2063"/>
      <c r="BZ151" s="2063"/>
      <c r="CA151" s="2063"/>
      <c r="CB151" s="2046"/>
      <c r="CC151" s="2046"/>
      <c r="CD151" s="2046"/>
      <c r="CE151" s="2046"/>
      <c r="CF151" s="2046"/>
      <c r="CG151" s="2156"/>
      <c r="CH151" s="2047"/>
      <c r="CI151" s="2047"/>
      <c r="CJ151" s="2047"/>
      <c r="CK151" s="2047"/>
      <c r="CL151" s="2047">
        <v>0</v>
      </c>
      <c r="CM151" s="2157">
        <v>0</v>
      </c>
      <c r="CN151" s="2153">
        <v>0</v>
      </c>
      <c r="CO151" s="2047">
        <v>0</v>
      </c>
      <c r="CP151" s="2188">
        <v>0</v>
      </c>
      <c r="CQ151" s="2188"/>
      <c r="CR151" s="2189">
        <v>1</v>
      </c>
      <c r="CS151" s="2189">
        <v>1</v>
      </c>
      <c r="CT151" s="2189">
        <v>1</v>
      </c>
      <c r="CU151" s="2189">
        <v>1</v>
      </c>
      <c r="CV151" s="2160"/>
      <c r="CW151" s="2160"/>
      <c r="CX151" s="2160"/>
      <c r="CY151" s="2160"/>
      <c r="CZ151" s="2160"/>
      <c r="DA151" s="2160"/>
    </row>
    <row r="152" spans="1:105" s="2161" customFormat="1" x14ac:dyDescent="0.25">
      <c r="A152" s="2186" t="s">
        <v>256</v>
      </c>
      <c r="B152" s="2187"/>
      <c r="C152" s="2043">
        <v>10</v>
      </c>
      <c r="D152" s="2043">
        <v>0</v>
      </c>
      <c r="E152" s="2044">
        <v>654.83596659374984</v>
      </c>
      <c r="F152" s="2044"/>
      <c r="G152" s="2044">
        <v>0</v>
      </c>
      <c r="H152" s="2044"/>
      <c r="I152" s="2043">
        <v>996.58237499999996</v>
      </c>
      <c r="J152" s="2146"/>
      <c r="K152" s="2153" t="s">
        <v>2899</v>
      </c>
      <c r="L152" s="2153" t="s">
        <v>2899</v>
      </c>
      <c r="M152" s="2153">
        <v>0.84899999999999998</v>
      </c>
      <c r="N152" s="2153">
        <v>0.84899999999999998</v>
      </c>
      <c r="O152" s="2153">
        <v>0.84899999999999998</v>
      </c>
      <c r="P152" s="2153">
        <v>0.84899999999999998</v>
      </c>
      <c r="Q152" s="2146">
        <f t="shared" si="62"/>
        <v>555.95573563809364</v>
      </c>
      <c r="R152" s="2146">
        <f t="shared" si="62"/>
        <v>555.95573563809364</v>
      </c>
      <c r="S152" s="2146">
        <f t="shared" si="62"/>
        <v>555.95573563809364</v>
      </c>
      <c r="T152" s="2146">
        <f t="shared" si="62"/>
        <v>555.95573563809364</v>
      </c>
      <c r="U152" s="2153">
        <v>0.84899999999999998</v>
      </c>
      <c r="V152" s="2153">
        <v>0.84899999999999998</v>
      </c>
      <c r="W152" s="2153">
        <v>0.84899999999999998</v>
      </c>
      <c r="X152" s="2153">
        <v>0.84899999999999998</v>
      </c>
      <c r="Y152" s="2129">
        <f t="shared" si="63"/>
        <v>0</v>
      </c>
      <c r="Z152" s="2129">
        <f t="shared" si="63"/>
        <v>0</v>
      </c>
      <c r="AA152" s="2129">
        <f t="shared" si="63"/>
        <v>0</v>
      </c>
      <c r="AB152" s="2129">
        <f t="shared" si="63"/>
        <v>0</v>
      </c>
      <c r="AC152" s="2153">
        <v>0.67500000000000004</v>
      </c>
      <c r="AD152" s="2153">
        <v>0.67500000000000004</v>
      </c>
      <c r="AE152" s="2153">
        <v>0.67500000000000004</v>
      </c>
      <c r="AF152" s="2153">
        <v>0.67500000000000004</v>
      </c>
      <c r="AG152" s="2146">
        <f t="shared" si="69"/>
        <v>672.69310312499999</v>
      </c>
      <c r="AH152" s="2146">
        <f t="shared" si="69"/>
        <v>672.69310312499999</v>
      </c>
      <c r="AI152" s="2146">
        <f t="shared" si="69"/>
        <v>672.69310312499999</v>
      </c>
      <c r="AJ152" s="2146">
        <f t="shared" si="69"/>
        <v>672.69310312499999</v>
      </c>
      <c r="AK152" s="2146">
        <v>2</v>
      </c>
      <c r="AL152" s="2146">
        <v>2</v>
      </c>
      <c r="AM152" s="2146">
        <v>2</v>
      </c>
      <c r="AN152" s="2146">
        <v>2</v>
      </c>
      <c r="AO152" s="2146">
        <f t="shared" si="64"/>
        <v>1111.9114712761873</v>
      </c>
      <c r="AP152" s="2146">
        <f t="shared" si="65"/>
        <v>1111.9114712761873</v>
      </c>
      <c r="AQ152" s="2146">
        <f t="shared" si="65"/>
        <v>1111.9114712761873</v>
      </c>
      <c r="AR152" s="2146"/>
      <c r="AS152" s="2146">
        <f t="shared" si="66"/>
        <v>1111.9114712761873</v>
      </c>
      <c r="AT152" s="2146">
        <f t="shared" si="67"/>
        <v>1345.38620625</v>
      </c>
      <c r="AU152" s="2146">
        <f t="shared" si="68"/>
        <v>1345.38620625</v>
      </c>
      <c r="AV152" s="2146">
        <f t="shared" si="68"/>
        <v>1345.38620625</v>
      </c>
      <c r="AW152" s="2146">
        <f t="shared" si="49"/>
        <v>1345.38620625</v>
      </c>
      <c r="AX152" s="2046">
        <v>60</v>
      </c>
      <c r="AY152" s="2046">
        <v>60</v>
      </c>
      <c r="AZ152" s="2046">
        <v>60</v>
      </c>
      <c r="BA152" s="2046">
        <v>60</v>
      </c>
      <c r="BB152" s="2046">
        <v>940</v>
      </c>
      <c r="BC152" s="2046">
        <v>940</v>
      </c>
      <c r="BD152" s="2046">
        <v>940</v>
      </c>
      <c r="BE152" s="2046">
        <v>940</v>
      </c>
      <c r="BF152" s="2046">
        <v>8800</v>
      </c>
      <c r="BG152" s="2046">
        <v>8800</v>
      </c>
      <c r="BH152" s="2046">
        <v>8800</v>
      </c>
      <c r="BI152" s="2046">
        <v>8800</v>
      </c>
      <c r="BJ152" s="2154">
        <f t="shared" si="58"/>
        <v>120</v>
      </c>
      <c r="BK152" s="2154">
        <f t="shared" si="58"/>
        <v>120</v>
      </c>
      <c r="BL152" s="2154">
        <f t="shared" si="58"/>
        <v>120</v>
      </c>
      <c r="BM152" s="2154"/>
      <c r="BN152" s="2154">
        <f t="shared" si="59"/>
        <v>120</v>
      </c>
      <c r="BO152" s="2154">
        <f t="shared" si="60"/>
        <v>1880</v>
      </c>
      <c r="BP152" s="2154"/>
      <c r="BQ152" s="2154">
        <f t="shared" si="61"/>
        <v>1880</v>
      </c>
      <c r="BR152" s="2154">
        <f t="shared" si="61"/>
        <v>1880</v>
      </c>
      <c r="BS152" s="2154">
        <f t="shared" si="61"/>
        <v>1880</v>
      </c>
      <c r="BT152" s="2063"/>
      <c r="BU152" s="2063"/>
      <c r="BV152" s="2063"/>
      <c r="BW152" s="2063"/>
      <c r="BX152" s="2063"/>
      <c r="BY152" s="2063"/>
      <c r="BZ152" s="2063"/>
      <c r="CA152" s="2063"/>
      <c r="CB152" s="2046"/>
      <c r="CC152" s="2046"/>
      <c r="CD152" s="2046"/>
      <c r="CE152" s="2046"/>
      <c r="CF152" s="2046"/>
      <c r="CG152" s="2156"/>
      <c r="CH152" s="2047"/>
      <c r="CI152" s="2047"/>
      <c r="CJ152" s="2047"/>
      <c r="CK152" s="2047"/>
      <c r="CL152" s="2047">
        <v>0</v>
      </c>
      <c r="CM152" s="2157">
        <v>3.7243671436375467E-6</v>
      </c>
      <c r="CN152" s="2153">
        <v>4.3337395733064182E-4</v>
      </c>
      <c r="CO152" s="2047">
        <v>0</v>
      </c>
      <c r="CP152" s="2188">
        <v>0</v>
      </c>
      <c r="CQ152" s="2188"/>
      <c r="CR152" s="2189">
        <v>1</v>
      </c>
      <c r="CS152" s="2189">
        <v>1</v>
      </c>
      <c r="CT152" s="2189">
        <v>1</v>
      </c>
      <c r="CU152" s="2189">
        <v>1</v>
      </c>
      <c r="CV152" s="2160"/>
      <c r="CW152" s="2160"/>
      <c r="CX152" s="2160"/>
      <c r="CY152" s="2160"/>
      <c r="CZ152" s="2160"/>
      <c r="DA152" s="2160"/>
    </row>
    <row r="153" spans="1:105" s="2161" customFormat="1" x14ac:dyDescent="0.25">
      <c r="A153" s="2186" t="s">
        <v>257</v>
      </c>
      <c r="B153" s="2187"/>
      <c r="C153" s="2043">
        <v>10</v>
      </c>
      <c r="D153" s="2043">
        <v>0</v>
      </c>
      <c r="E153" s="2044">
        <v>1040.5701300000001</v>
      </c>
      <c r="F153" s="2044"/>
      <c r="G153" s="2044">
        <v>0</v>
      </c>
      <c r="H153" s="2044"/>
      <c r="I153" s="2043">
        <v>1089.48</v>
      </c>
      <c r="J153" s="2146"/>
      <c r="K153" s="2153" t="s">
        <v>2899</v>
      </c>
      <c r="L153" s="2153" t="s">
        <v>2899</v>
      </c>
      <c r="M153" s="2153">
        <v>0.84899999999999998</v>
      </c>
      <c r="N153" s="2153">
        <v>0.84899999999999998</v>
      </c>
      <c r="O153" s="2153">
        <v>0.84899999999999998</v>
      </c>
      <c r="P153" s="2153">
        <v>0.84899999999999998</v>
      </c>
      <c r="Q153" s="2146">
        <f t="shared" si="62"/>
        <v>883.44404037000004</v>
      </c>
      <c r="R153" s="2146">
        <f t="shared" si="62"/>
        <v>883.44404037000004</v>
      </c>
      <c r="S153" s="2146">
        <f t="shared" si="62"/>
        <v>883.44404037000004</v>
      </c>
      <c r="T153" s="2146">
        <f t="shared" si="62"/>
        <v>883.44404037000004</v>
      </c>
      <c r="U153" s="2153">
        <v>0.84899999999999998</v>
      </c>
      <c r="V153" s="2153">
        <v>0.84899999999999998</v>
      </c>
      <c r="W153" s="2153">
        <v>0.84899999999999998</v>
      </c>
      <c r="X153" s="2153">
        <v>0.84899999999999998</v>
      </c>
      <c r="Y153" s="2129">
        <f t="shared" si="63"/>
        <v>0</v>
      </c>
      <c r="Z153" s="2129">
        <f t="shared" si="63"/>
        <v>0</v>
      </c>
      <c r="AA153" s="2129">
        <f t="shared" si="63"/>
        <v>0</v>
      </c>
      <c r="AB153" s="2129">
        <f t="shared" si="63"/>
        <v>0</v>
      </c>
      <c r="AC153" s="2153">
        <v>0.67500000000000004</v>
      </c>
      <c r="AD153" s="2153">
        <v>0.67500000000000004</v>
      </c>
      <c r="AE153" s="2153">
        <v>0.67500000000000004</v>
      </c>
      <c r="AF153" s="2153">
        <v>0.67500000000000004</v>
      </c>
      <c r="AG153" s="2146">
        <f t="shared" si="69"/>
        <v>735.39900000000011</v>
      </c>
      <c r="AH153" s="2146">
        <f t="shared" si="69"/>
        <v>735.39900000000011</v>
      </c>
      <c r="AI153" s="2146">
        <f t="shared" si="69"/>
        <v>735.39900000000011</v>
      </c>
      <c r="AJ153" s="2146">
        <f t="shared" si="69"/>
        <v>735.39900000000011</v>
      </c>
      <c r="AK153" s="2146">
        <v>2</v>
      </c>
      <c r="AL153" s="2146">
        <v>2</v>
      </c>
      <c r="AM153" s="2146">
        <v>2</v>
      </c>
      <c r="AN153" s="2146">
        <v>2</v>
      </c>
      <c r="AO153" s="2146">
        <f t="shared" si="64"/>
        <v>1766.8880807400001</v>
      </c>
      <c r="AP153" s="2146">
        <f t="shared" si="65"/>
        <v>1766.8880807400001</v>
      </c>
      <c r="AQ153" s="2146">
        <f t="shared" si="65"/>
        <v>1766.8880807400001</v>
      </c>
      <c r="AR153" s="2146"/>
      <c r="AS153" s="2146">
        <f t="shared" si="66"/>
        <v>1766.8880807400001</v>
      </c>
      <c r="AT153" s="2146">
        <f t="shared" si="67"/>
        <v>1470.7980000000002</v>
      </c>
      <c r="AU153" s="2146">
        <f t="shared" si="68"/>
        <v>1470.7980000000002</v>
      </c>
      <c r="AV153" s="2146">
        <f t="shared" si="68"/>
        <v>1470.7980000000002</v>
      </c>
      <c r="AW153" s="2146">
        <f t="shared" si="49"/>
        <v>1470.7980000000002</v>
      </c>
      <c r="AX153" s="2046">
        <v>80</v>
      </c>
      <c r="AY153" s="2046">
        <v>80</v>
      </c>
      <c r="AZ153" s="2046">
        <v>80</v>
      </c>
      <c r="BA153" s="2046">
        <v>80</v>
      </c>
      <c r="BB153" s="2046">
        <v>920</v>
      </c>
      <c r="BC153" s="2046">
        <v>920</v>
      </c>
      <c r="BD153" s="2046">
        <v>920</v>
      </c>
      <c r="BE153" s="2046">
        <v>920</v>
      </c>
      <c r="BF153" s="2046">
        <v>8850</v>
      </c>
      <c r="BG153" s="2046">
        <v>8850</v>
      </c>
      <c r="BH153" s="2046">
        <v>8850</v>
      </c>
      <c r="BI153" s="2046">
        <v>8850</v>
      </c>
      <c r="BJ153" s="2154">
        <f t="shared" si="58"/>
        <v>160</v>
      </c>
      <c r="BK153" s="2154">
        <f t="shared" si="58"/>
        <v>160</v>
      </c>
      <c r="BL153" s="2154">
        <f t="shared" si="58"/>
        <v>160</v>
      </c>
      <c r="BM153" s="2154"/>
      <c r="BN153" s="2154">
        <f t="shared" si="59"/>
        <v>160</v>
      </c>
      <c r="BO153" s="2154">
        <f t="shared" si="60"/>
        <v>1840</v>
      </c>
      <c r="BP153" s="2154"/>
      <c r="BQ153" s="2154">
        <f t="shared" si="61"/>
        <v>1840</v>
      </c>
      <c r="BR153" s="2154">
        <f t="shared" si="61"/>
        <v>1840</v>
      </c>
      <c r="BS153" s="2154">
        <f t="shared" si="61"/>
        <v>1840</v>
      </c>
      <c r="BT153" s="2063"/>
      <c r="BU153" s="2063"/>
      <c r="BV153" s="2063"/>
      <c r="BW153" s="2063"/>
      <c r="BX153" s="2063"/>
      <c r="BY153" s="2063"/>
      <c r="BZ153" s="2063"/>
      <c r="CA153" s="2063"/>
      <c r="CB153" s="2046"/>
      <c r="CC153" s="2046"/>
      <c r="CD153" s="2046"/>
      <c r="CE153" s="2046"/>
      <c r="CF153" s="2046"/>
      <c r="CG153" s="2156"/>
      <c r="CH153" s="2047"/>
      <c r="CI153" s="2047"/>
      <c r="CJ153" s="2047"/>
      <c r="CK153" s="2047"/>
      <c r="CL153" s="2047">
        <v>0</v>
      </c>
      <c r="CM153" s="2157">
        <v>5.9182228840935513E-6</v>
      </c>
      <c r="CN153" s="2153">
        <v>4.7377143212329808E-4</v>
      </c>
      <c r="CO153" s="2047">
        <v>0</v>
      </c>
      <c r="CP153" s="2188">
        <v>0</v>
      </c>
      <c r="CQ153" s="2188"/>
      <c r="CR153" s="2189">
        <v>1</v>
      </c>
      <c r="CS153" s="2189">
        <v>1</v>
      </c>
      <c r="CT153" s="2189">
        <v>1</v>
      </c>
      <c r="CU153" s="2189">
        <v>1</v>
      </c>
      <c r="CV153" s="2160"/>
      <c r="CW153" s="2160"/>
      <c r="CX153" s="2160"/>
      <c r="CY153" s="2160"/>
      <c r="CZ153" s="2160"/>
      <c r="DA153" s="2160"/>
    </row>
    <row r="154" spans="1:105" x14ac:dyDescent="0.25">
      <c r="A154" s="2185" t="s">
        <v>174</v>
      </c>
      <c r="B154" s="2022" t="s">
        <v>2953</v>
      </c>
      <c r="C154" s="2023">
        <v>6</v>
      </c>
      <c r="D154" s="2023">
        <v>0</v>
      </c>
      <c r="E154" s="2024">
        <v>0</v>
      </c>
      <c r="F154" s="2024"/>
      <c r="G154" s="2024">
        <v>0</v>
      </c>
      <c r="H154" s="2024"/>
      <c r="I154" s="2023">
        <v>882.77094285036628</v>
      </c>
      <c r="J154" s="2027"/>
      <c r="K154" s="2026" t="s">
        <v>2954</v>
      </c>
      <c r="L154" s="2026" t="s">
        <v>2954</v>
      </c>
      <c r="M154" s="2026">
        <v>0.60799999999999998</v>
      </c>
      <c r="N154" s="2026">
        <v>0.60799999999999998</v>
      </c>
      <c r="O154" s="2026">
        <v>0.60799999999999998</v>
      </c>
      <c r="P154" s="2026">
        <v>0.60799999999999998</v>
      </c>
      <c r="Q154" s="2027">
        <f t="shared" si="62"/>
        <v>0</v>
      </c>
      <c r="R154" s="2027">
        <f t="shared" si="62"/>
        <v>0</v>
      </c>
      <c r="S154" s="2027">
        <f t="shared" si="62"/>
        <v>0</v>
      </c>
      <c r="T154" s="2027">
        <f t="shared" si="62"/>
        <v>0</v>
      </c>
      <c r="U154" s="2026">
        <v>0.60799999999999998</v>
      </c>
      <c r="V154" s="2026">
        <v>0.60799999999999998</v>
      </c>
      <c r="W154" s="2026">
        <v>0.60799999999999998</v>
      </c>
      <c r="X154" s="2026">
        <v>0.60799999999999998</v>
      </c>
      <c r="Y154" s="2028">
        <f t="shared" si="63"/>
        <v>0</v>
      </c>
      <c r="Z154" s="2028">
        <f t="shared" si="63"/>
        <v>0</v>
      </c>
      <c r="AA154" s="2028">
        <f t="shared" si="63"/>
        <v>0</v>
      </c>
      <c r="AB154" s="2028">
        <f t="shared" si="63"/>
        <v>0</v>
      </c>
      <c r="AC154" s="2026">
        <v>0.60799999999999998</v>
      </c>
      <c r="AD154" s="2026">
        <v>0.60799999999999998</v>
      </c>
      <c r="AE154" s="2026">
        <v>0.60799999999999998</v>
      </c>
      <c r="AF154" s="2026">
        <v>0.60799999999999998</v>
      </c>
      <c r="AG154" s="2027">
        <f t="shared" si="69"/>
        <v>536.72473325302269</v>
      </c>
      <c r="AH154" s="2027">
        <f t="shared" si="69"/>
        <v>536.72473325302269</v>
      </c>
      <c r="AI154" s="2027">
        <f t="shared" si="69"/>
        <v>536.72473325302269</v>
      </c>
      <c r="AJ154" s="2027">
        <f t="shared" si="69"/>
        <v>536.72473325302269</v>
      </c>
      <c r="AK154" s="2027">
        <v>150</v>
      </c>
      <c r="AL154" s="2027">
        <v>150</v>
      </c>
      <c r="AM154" s="2027">
        <v>110</v>
      </c>
      <c r="AN154" s="2027">
        <v>60</v>
      </c>
      <c r="AO154" s="2027">
        <f t="shared" si="64"/>
        <v>0</v>
      </c>
      <c r="AP154" s="2027">
        <f t="shared" si="65"/>
        <v>0</v>
      </c>
      <c r="AQ154" s="2027">
        <f t="shared" si="65"/>
        <v>0</v>
      </c>
      <c r="AR154" s="2027"/>
      <c r="AS154" s="2027">
        <f t="shared" si="66"/>
        <v>0</v>
      </c>
      <c r="AT154" s="2027">
        <f t="shared" si="67"/>
        <v>80508.709987953407</v>
      </c>
      <c r="AU154" s="2027">
        <f t="shared" si="68"/>
        <v>80508.709987953407</v>
      </c>
      <c r="AV154" s="2027">
        <f t="shared" si="68"/>
        <v>59039.720657832499</v>
      </c>
      <c r="AW154" s="2027">
        <f t="shared" si="49"/>
        <v>32203.483995181363</v>
      </c>
      <c r="AX154" s="2029"/>
      <c r="AY154" s="2029">
        <v>0</v>
      </c>
      <c r="AZ154" s="2029">
        <v>0</v>
      </c>
      <c r="BA154" s="2029">
        <v>0</v>
      </c>
      <c r="BB154" s="2029">
        <v>600</v>
      </c>
      <c r="BC154" s="2029">
        <v>600</v>
      </c>
      <c r="BD154" s="2029">
        <v>600</v>
      </c>
      <c r="BE154" s="2029">
        <v>600</v>
      </c>
      <c r="BF154" s="2029">
        <v>1269.5249061753668</v>
      </c>
      <c r="BG154" s="2029">
        <v>1269.5249061753668</v>
      </c>
      <c r="BH154" s="2029">
        <v>1269.5249061753668</v>
      </c>
      <c r="BI154" s="2029">
        <v>1269.5249061753668</v>
      </c>
      <c r="BJ154" s="2030">
        <f t="shared" si="58"/>
        <v>0</v>
      </c>
      <c r="BK154" s="2030">
        <f t="shared" si="58"/>
        <v>0</v>
      </c>
      <c r="BL154" s="2030">
        <f t="shared" si="58"/>
        <v>0</v>
      </c>
      <c r="BM154" s="2030"/>
      <c r="BN154" s="2030">
        <f t="shared" si="59"/>
        <v>0</v>
      </c>
      <c r="BO154" s="2030">
        <f t="shared" si="60"/>
        <v>90000</v>
      </c>
      <c r="BP154" s="2030"/>
      <c r="BQ154" s="2030">
        <f t="shared" si="61"/>
        <v>90000</v>
      </c>
      <c r="BR154" s="2030">
        <f t="shared" si="61"/>
        <v>66000</v>
      </c>
      <c r="BS154" s="2030">
        <f t="shared" si="61"/>
        <v>36000</v>
      </c>
      <c r="BT154" s="2031"/>
      <c r="BU154" s="2031"/>
      <c r="BV154" s="2031"/>
      <c r="BW154" s="2031"/>
      <c r="BX154" s="2031"/>
      <c r="BY154" s="2031"/>
      <c r="BZ154" s="2031"/>
      <c r="CA154" s="2031"/>
      <c r="CB154" s="2029"/>
      <c r="CC154" s="2029"/>
      <c r="CD154" s="2029"/>
      <c r="CE154" s="2029"/>
      <c r="CF154" s="2029"/>
      <c r="CG154" s="2032"/>
      <c r="CH154" s="1974"/>
      <c r="CI154" s="1974"/>
      <c r="CJ154" s="1974"/>
      <c r="CK154" s="1974"/>
      <c r="CL154" s="1974">
        <v>0</v>
      </c>
      <c r="CM154" s="2033">
        <v>0</v>
      </c>
      <c r="CN154" s="2026">
        <v>3.3194694541073412E-2</v>
      </c>
      <c r="CO154" s="1974">
        <v>0</v>
      </c>
      <c r="CP154" s="2040">
        <v>0</v>
      </c>
      <c r="CQ154" s="2040"/>
      <c r="CR154" s="2062">
        <v>1</v>
      </c>
      <c r="CS154" s="2062">
        <v>1</v>
      </c>
      <c r="CT154" s="2062">
        <v>1</v>
      </c>
      <c r="CU154" s="2062">
        <v>1</v>
      </c>
      <c r="CV154" s="2036"/>
      <c r="CW154" s="2036"/>
      <c r="CX154" s="2036"/>
      <c r="CY154" s="2036"/>
      <c r="CZ154" s="2036"/>
      <c r="DA154" s="2036"/>
    </row>
    <row r="155" spans="1:105" s="2226" customFormat="1" x14ac:dyDescent="0.25">
      <c r="A155" s="2210" t="s">
        <v>1019</v>
      </c>
      <c r="B155" s="2211"/>
      <c r="C155" s="2212">
        <v>9</v>
      </c>
      <c r="D155" s="2212">
        <v>0</v>
      </c>
      <c r="E155" s="2213">
        <v>37.146562321527398</v>
      </c>
      <c r="F155" s="2213"/>
      <c r="G155" s="2213">
        <v>6.4206635727597598E-3</v>
      </c>
      <c r="H155" s="2213"/>
      <c r="I155" s="2212">
        <v>7.4212283375760961</v>
      </c>
      <c r="J155" s="2214"/>
      <c r="K155" s="2215" t="s">
        <v>2285</v>
      </c>
      <c r="L155" s="2215" t="s">
        <v>2285</v>
      </c>
      <c r="M155" s="2215">
        <v>0.79999999999999993</v>
      </c>
      <c r="N155" s="2215">
        <v>0.79999999999999993</v>
      </c>
      <c r="O155" s="2026">
        <v>0.79999999999999993</v>
      </c>
      <c r="P155" s="2215">
        <v>0.79999999999999993</v>
      </c>
      <c r="Q155" s="2214">
        <f t="shared" si="62"/>
        <v>29.717249857221915</v>
      </c>
      <c r="R155" s="2214">
        <f t="shared" si="62"/>
        <v>29.717249857221915</v>
      </c>
      <c r="S155" s="2214">
        <f t="shared" si="62"/>
        <v>29.717249857221915</v>
      </c>
      <c r="T155" s="2214">
        <f t="shared" si="62"/>
        <v>29.717249857221915</v>
      </c>
      <c r="U155" s="2215">
        <v>0.79999999999999993</v>
      </c>
      <c r="V155" s="2215">
        <v>0.79999999999999993</v>
      </c>
      <c r="W155" s="2215">
        <v>0.79999999999999993</v>
      </c>
      <c r="X155" s="2215">
        <v>0.79999999999999993</v>
      </c>
      <c r="Y155" s="2216">
        <f t="shared" si="63"/>
        <v>5.1365308582078072E-3</v>
      </c>
      <c r="Z155" s="2216">
        <f t="shared" si="63"/>
        <v>5.1365308582078072E-3</v>
      </c>
      <c r="AA155" s="2216">
        <f t="shared" si="63"/>
        <v>5.1365308582078072E-3</v>
      </c>
      <c r="AB155" s="2216">
        <f t="shared" si="63"/>
        <v>5.1365308582078072E-3</v>
      </c>
      <c r="AC155" s="2215">
        <v>0.60399999999999998</v>
      </c>
      <c r="AD155" s="2215">
        <v>0.60399999999999998</v>
      </c>
      <c r="AE155" s="2215">
        <v>0.60399999999999998</v>
      </c>
      <c r="AF155" s="2215">
        <v>0.60399999999999998</v>
      </c>
      <c r="AG155" s="2214">
        <f t="shared" si="69"/>
        <v>4.4824219158959622</v>
      </c>
      <c r="AH155" s="2214">
        <f t="shared" si="69"/>
        <v>4.4824219158959622</v>
      </c>
      <c r="AI155" s="2214">
        <f t="shared" si="69"/>
        <v>4.4824219158959622</v>
      </c>
      <c r="AJ155" s="2214">
        <f t="shared" si="69"/>
        <v>4.4824219158959622</v>
      </c>
      <c r="AK155" s="2027">
        <v>862</v>
      </c>
      <c r="AL155" s="2027">
        <v>868</v>
      </c>
      <c r="AM155" s="2027">
        <v>846</v>
      </c>
      <c r="AN155" s="2027">
        <v>844</v>
      </c>
      <c r="AO155" s="2214">
        <f t="shared" si="64"/>
        <v>25616.269376925291</v>
      </c>
      <c r="AP155" s="2027">
        <f t="shared" si="65"/>
        <v>25794.572876068622</v>
      </c>
      <c r="AQ155" s="2027">
        <f t="shared" si="65"/>
        <v>25140.793379209739</v>
      </c>
      <c r="AR155" s="2027"/>
      <c r="AS155" s="2027">
        <f t="shared" si="66"/>
        <v>25081.358879495296</v>
      </c>
      <c r="AT155" s="2214">
        <f t="shared" si="67"/>
        <v>3863.8476915023193</v>
      </c>
      <c r="AU155" s="2027">
        <f t="shared" si="68"/>
        <v>3890.7422229976951</v>
      </c>
      <c r="AV155" s="2027">
        <f t="shared" si="68"/>
        <v>3792.1289408479838</v>
      </c>
      <c r="AW155" s="2027">
        <f t="shared" si="49"/>
        <v>3783.164097016192</v>
      </c>
      <c r="AX155" s="2217">
        <v>1.2000000000000006</v>
      </c>
      <c r="AY155" s="2029">
        <v>1.2000000000000006</v>
      </c>
      <c r="AZ155" s="2029">
        <v>1.2000000000000006</v>
      </c>
      <c r="BA155" s="2029">
        <v>1.2000000000000006</v>
      </c>
      <c r="BB155" s="2217">
        <v>4.8000000000000025</v>
      </c>
      <c r="BC155" s="2029">
        <v>4.8000000000000025</v>
      </c>
      <c r="BD155" s="2029">
        <v>4.8000000000000025</v>
      </c>
      <c r="BE155" s="2029">
        <v>4.8000000000000025</v>
      </c>
      <c r="BF155" s="2218">
        <v>8</v>
      </c>
      <c r="BG155" s="2029">
        <v>8</v>
      </c>
      <c r="BH155" s="2029">
        <v>8</v>
      </c>
      <c r="BI155" s="2029">
        <v>8</v>
      </c>
      <c r="BJ155" s="2030">
        <f t="shared" si="58"/>
        <v>1034.4000000000005</v>
      </c>
      <c r="BK155" s="2030">
        <f t="shared" si="58"/>
        <v>1041.6000000000006</v>
      </c>
      <c r="BL155" s="2030">
        <f t="shared" si="58"/>
        <v>1015.2000000000005</v>
      </c>
      <c r="BM155" s="2030"/>
      <c r="BN155" s="2030">
        <f t="shared" si="59"/>
        <v>1012.8000000000005</v>
      </c>
      <c r="BO155" s="2030">
        <f t="shared" si="60"/>
        <v>4137.6000000000022</v>
      </c>
      <c r="BP155" s="2030"/>
      <c r="BQ155" s="2030">
        <f t="shared" si="61"/>
        <v>4166.4000000000024</v>
      </c>
      <c r="BR155" s="2030">
        <f t="shared" si="61"/>
        <v>4060.800000000002</v>
      </c>
      <c r="BS155" s="2030">
        <f t="shared" si="61"/>
        <v>4051.2000000000021</v>
      </c>
      <c r="BT155" s="2219"/>
      <c r="BU155" s="2219"/>
      <c r="BV155" s="2219"/>
      <c r="BW155" s="2219"/>
      <c r="BX155" s="2219"/>
      <c r="BY155" s="2219"/>
      <c r="BZ155" s="2219"/>
      <c r="CA155" s="2219"/>
      <c r="CB155" s="2217"/>
      <c r="CC155" s="2217"/>
      <c r="CD155" s="2217"/>
      <c r="CE155" s="2217"/>
      <c r="CF155" s="2217"/>
      <c r="CG155" s="2220"/>
      <c r="CH155" s="2214">
        <v>2021.0316823464311</v>
      </c>
      <c r="CI155" s="2221"/>
      <c r="CJ155" s="2221"/>
      <c r="CK155" s="2221"/>
      <c r="CL155" s="2221">
        <v>0</v>
      </c>
      <c r="CM155" s="2222">
        <v>9.9538454118541621E-5</v>
      </c>
      <c r="CN155" s="2215">
        <v>1.4438715924789721E-3</v>
      </c>
      <c r="CO155" s="2221">
        <v>0</v>
      </c>
      <c r="CP155" s="2223">
        <v>0</v>
      </c>
      <c r="CQ155" s="2223"/>
      <c r="CR155" s="2224">
        <v>1</v>
      </c>
      <c r="CS155" s="2224">
        <v>1</v>
      </c>
      <c r="CT155" s="2224">
        <v>1</v>
      </c>
      <c r="CU155" s="2224">
        <v>1</v>
      </c>
      <c r="CV155" s="2036"/>
      <c r="CW155" s="2036"/>
      <c r="CX155" s="2036"/>
      <c r="CY155" s="2225"/>
      <c r="CZ155" s="2225"/>
      <c r="DA155" s="2225"/>
    </row>
    <row r="156" spans="1:105" x14ac:dyDescent="0.25">
      <c r="A156" s="2186" t="s">
        <v>1020</v>
      </c>
      <c r="B156" s="2022"/>
      <c r="C156" s="2212">
        <v>9</v>
      </c>
      <c r="D156" s="2212">
        <v>0</v>
      </c>
      <c r="E156" s="2213">
        <v>37.146562321527398</v>
      </c>
      <c r="F156" s="2213"/>
      <c r="G156" s="2213">
        <v>6.4206635727597598E-3</v>
      </c>
      <c r="H156" s="2213"/>
      <c r="I156" s="2212">
        <v>7.4212283375760961</v>
      </c>
      <c r="J156" s="2027"/>
      <c r="K156" s="2215" t="s">
        <v>2285</v>
      </c>
      <c r="L156" s="2215" t="s">
        <v>2285</v>
      </c>
      <c r="M156" s="2026">
        <v>0.79999999999999993</v>
      </c>
      <c r="N156" s="2026">
        <v>0.79999999999999993</v>
      </c>
      <c r="O156" s="2026">
        <v>0.79999999999999993</v>
      </c>
      <c r="P156" s="2026">
        <v>0.79999999999999993</v>
      </c>
      <c r="Q156" s="2027">
        <f t="shared" si="62"/>
        <v>29.717249857221915</v>
      </c>
      <c r="R156" s="2027">
        <f t="shared" si="62"/>
        <v>29.717249857221915</v>
      </c>
      <c r="S156" s="2027">
        <f t="shared" si="62"/>
        <v>29.717249857221915</v>
      </c>
      <c r="T156" s="2027">
        <f t="shared" si="62"/>
        <v>29.717249857221915</v>
      </c>
      <c r="U156" s="2026">
        <v>0.79999999999999993</v>
      </c>
      <c r="V156" s="2026">
        <v>0.79999999999999993</v>
      </c>
      <c r="W156" s="2026">
        <v>0.79999999999999993</v>
      </c>
      <c r="X156" s="2026">
        <v>0.79999999999999993</v>
      </c>
      <c r="Y156" s="2028">
        <f t="shared" si="63"/>
        <v>5.1365308582078072E-3</v>
      </c>
      <c r="Z156" s="2028">
        <f t="shared" si="63"/>
        <v>5.1365308582078072E-3</v>
      </c>
      <c r="AA156" s="2028">
        <f t="shared" si="63"/>
        <v>5.1365308582078072E-3</v>
      </c>
      <c r="AB156" s="2028">
        <f t="shared" si="63"/>
        <v>5.1365308582078072E-3</v>
      </c>
      <c r="AC156" s="2026">
        <v>0.60399999999999998</v>
      </c>
      <c r="AD156" s="2026">
        <v>0.60399999999999998</v>
      </c>
      <c r="AE156" s="2026">
        <v>0.60399999999999998</v>
      </c>
      <c r="AF156" s="2026">
        <v>0.60399999999999998</v>
      </c>
      <c r="AG156" s="2027">
        <f t="shared" si="69"/>
        <v>4.4824219158959622</v>
      </c>
      <c r="AH156" s="2027">
        <f t="shared" si="69"/>
        <v>4.4824219158959622</v>
      </c>
      <c r="AI156" s="2027">
        <f t="shared" si="69"/>
        <v>4.4824219158959622</v>
      </c>
      <c r="AJ156" s="2027">
        <f t="shared" si="69"/>
        <v>4.4824219158959622</v>
      </c>
      <c r="AK156" s="2027">
        <v>1724</v>
      </c>
      <c r="AL156" s="2027">
        <v>1642</v>
      </c>
      <c r="AM156" s="2027">
        <v>1692</v>
      </c>
      <c r="AN156" s="2027">
        <v>1687</v>
      </c>
      <c r="AO156" s="2027">
        <f t="shared" si="64"/>
        <v>51232.538753850582</v>
      </c>
      <c r="AP156" s="2027">
        <f t="shared" si="65"/>
        <v>48795.724265558383</v>
      </c>
      <c r="AQ156" s="2027">
        <f t="shared" si="65"/>
        <v>50281.586758419478</v>
      </c>
      <c r="AR156" s="2027"/>
      <c r="AS156" s="2027">
        <f t="shared" si="66"/>
        <v>50133.000509133373</v>
      </c>
      <c r="AT156" s="2027">
        <f t="shared" si="67"/>
        <v>7727.6953830046386</v>
      </c>
      <c r="AU156" s="2027">
        <f t="shared" si="68"/>
        <v>7360.1367859011698</v>
      </c>
      <c r="AV156" s="2027">
        <f t="shared" si="68"/>
        <v>7584.2578816959676</v>
      </c>
      <c r="AW156" s="2027">
        <f t="shared" si="49"/>
        <v>7561.8457721164878</v>
      </c>
      <c r="AX156" s="2217">
        <v>2.4000000000000012</v>
      </c>
      <c r="AY156" s="2029">
        <v>2.4000000000000012</v>
      </c>
      <c r="AZ156" s="2029">
        <v>2.4000000000000012</v>
      </c>
      <c r="BA156" s="2029">
        <v>2.4000000000000012</v>
      </c>
      <c r="BB156" s="2217">
        <v>9.600000000000005</v>
      </c>
      <c r="BC156" s="2029">
        <v>9.600000000000005</v>
      </c>
      <c r="BD156" s="2029">
        <v>9.600000000000005</v>
      </c>
      <c r="BE156" s="2029">
        <v>9.600000000000005</v>
      </c>
      <c r="BF156" s="2059">
        <v>8</v>
      </c>
      <c r="BG156" s="2029">
        <v>8</v>
      </c>
      <c r="BH156" s="2029">
        <v>8</v>
      </c>
      <c r="BI156" s="2029">
        <v>8</v>
      </c>
      <c r="BJ156" s="2030">
        <f t="shared" si="58"/>
        <v>4137.6000000000022</v>
      </c>
      <c r="BK156" s="2030">
        <f t="shared" si="58"/>
        <v>3940.800000000002</v>
      </c>
      <c r="BL156" s="2030">
        <f t="shared" si="58"/>
        <v>4060.800000000002</v>
      </c>
      <c r="BM156" s="2030"/>
      <c r="BN156" s="2030">
        <f t="shared" si="59"/>
        <v>4048.800000000002</v>
      </c>
      <c r="BO156" s="2030">
        <f t="shared" si="60"/>
        <v>16550.400000000009</v>
      </c>
      <c r="BP156" s="2030"/>
      <c r="BQ156" s="2030">
        <f t="shared" si="61"/>
        <v>15763.200000000008</v>
      </c>
      <c r="BR156" s="2030">
        <f t="shared" si="61"/>
        <v>16243.200000000008</v>
      </c>
      <c r="BS156" s="2030">
        <f t="shared" si="61"/>
        <v>16195.200000000008</v>
      </c>
      <c r="BT156" s="2031"/>
      <c r="BU156" s="2031"/>
      <c r="BV156" s="2031"/>
      <c r="BW156" s="2031"/>
      <c r="BX156" s="2031"/>
      <c r="BY156" s="2031"/>
      <c r="BZ156" s="2031"/>
      <c r="CA156" s="2031"/>
      <c r="CB156" s="2029"/>
      <c r="CC156" s="2029"/>
      <c r="CD156" s="2029"/>
      <c r="CE156" s="2029"/>
      <c r="CF156" s="2029"/>
      <c r="CG156" s="2032"/>
      <c r="CH156" s="2047">
        <v>2021.0316823464311</v>
      </c>
      <c r="CI156" s="1974"/>
      <c r="CJ156" s="1974"/>
      <c r="CK156" s="1974"/>
      <c r="CL156" s="1974">
        <v>0</v>
      </c>
      <c r="CM156" s="2033">
        <v>1.9907690823708324E-4</v>
      </c>
      <c r="CN156" s="2026">
        <v>2.8877431849579443E-3</v>
      </c>
      <c r="CO156" s="1974">
        <v>0</v>
      </c>
      <c r="CP156" s="2040">
        <v>0</v>
      </c>
      <c r="CQ156" s="2040"/>
      <c r="CR156" s="2062">
        <v>1</v>
      </c>
      <c r="CS156" s="2062">
        <v>1</v>
      </c>
      <c r="CT156" s="2062">
        <v>1</v>
      </c>
      <c r="CU156" s="2062">
        <v>1</v>
      </c>
      <c r="CV156" s="2036"/>
      <c r="CW156" s="2036"/>
      <c r="CX156" s="2036"/>
      <c r="CY156" s="2036"/>
      <c r="CZ156" s="2036"/>
      <c r="DA156" s="2036"/>
    </row>
    <row r="157" spans="1:105" x14ac:dyDescent="0.25">
      <c r="A157" s="2185" t="s">
        <v>175</v>
      </c>
      <c r="B157" s="2022"/>
      <c r="C157" s="2023">
        <v>8</v>
      </c>
      <c r="D157" s="2023">
        <v>0</v>
      </c>
      <c r="E157" s="2024">
        <v>4384.6000000000004</v>
      </c>
      <c r="F157" s="2024"/>
      <c r="G157" s="2024">
        <v>0.14000000000000001</v>
      </c>
      <c r="H157" s="2024"/>
      <c r="I157" s="2023">
        <v>-46.1</v>
      </c>
      <c r="J157" s="2027"/>
      <c r="K157" s="2026" t="s">
        <v>4</v>
      </c>
      <c r="L157" s="2026" t="s">
        <v>4</v>
      </c>
      <c r="M157" s="2026">
        <v>0.77800000000000002</v>
      </c>
      <c r="N157" s="2026">
        <v>0.77800000000000002</v>
      </c>
      <c r="O157" s="2026">
        <v>0.77800000000000002</v>
      </c>
      <c r="P157" s="2026">
        <v>0.77800000000000002</v>
      </c>
      <c r="Q157" s="2027">
        <f t="shared" si="62"/>
        <v>3411.2188000000006</v>
      </c>
      <c r="R157" s="2027">
        <f t="shared" si="62"/>
        <v>3411.2188000000006</v>
      </c>
      <c r="S157" s="2027">
        <f t="shared" si="62"/>
        <v>3411.2188000000006</v>
      </c>
      <c r="T157" s="2027">
        <f t="shared" si="62"/>
        <v>3411.2188000000006</v>
      </c>
      <c r="U157" s="2026">
        <v>0.77800000000000002</v>
      </c>
      <c r="V157" s="2026">
        <v>0.77800000000000002</v>
      </c>
      <c r="W157" s="2026">
        <v>0.77800000000000002</v>
      </c>
      <c r="X157" s="2026">
        <v>0.77800000000000002</v>
      </c>
      <c r="Y157" s="2028">
        <f t="shared" si="63"/>
        <v>0.10892000000000002</v>
      </c>
      <c r="Z157" s="2028">
        <f t="shared" si="63"/>
        <v>0.10892000000000002</v>
      </c>
      <c r="AA157" s="2028">
        <f t="shared" si="63"/>
        <v>0.10892000000000002</v>
      </c>
      <c r="AB157" s="2028">
        <f t="shared" si="63"/>
        <v>0.10892000000000002</v>
      </c>
      <c r="AC157" s="2026">
        <v>0.77800000000000002</v>
      </c>
      <c r="AD157" s="2026">
        <v>0.77800000000000002</v>
      </c>
      <c r="AE157" s="2026">
        <v>0.77800000000000002</v>
      </c>
      <c r="AF157" s="2026">
        <v>0.77800000000000002</v>
      </c>
      <c r="AG157" s="2027">
        <f t="shared" si="69"/>
        <v>-35.8658</v>
      </c>
      <c r="AH157" s="2027">
        <f t="shared" si="69"/>
        <v>-35.8658</v>
      </c>
      <c r="AI157" s="2027">
        <f t="shared" si="69"/>
        <v>-35.8658</v>
      </c>
      <c r="AJ157" s="2027">
        <f t="shared" si="69"/>
        <v>-35.8658</v>
      </c>
      <c r="AK157" s="2027">
        <v>27</v>
      </c>
      <c r="AL157" s="2027">
        <v>54</v>
      </c>
      <c r="AM157" s="2027">
        <v>55</v>
      </c>
      <c r="AN157" s="2027">
        <v>52</v>
      </c>
      <c r="AO157" s="2027">
        <f t="shared" si="64"/>
        <v>92102.90760000002</v>
      </c>
      <c r="AP157" s="2027">
        <f t="shared" si="65"/>
        <v>184205.81520000004</v>
      </c>
      <c r="AQ157" s="2027">
        <f t="shared" si="65"/>
        <v>187617.03400000004</v>
      </c>
      <c r="AR157" s="2027"/>
      <c r="AS157" s="2027">
        <f t="shared" si="66"/>
        <v>177383.37760000004</v>
      </c>
      <c r="AT157" s="2027">
        <f t="shared" si="67"/>
        <v>-968.37660000000005</v>
      </c>
      <c r="AU157" s="2027">
        <f t="shared" si="68"/>
        <v>-1936.7532000000001</v>
      </c>
      <c r="AV157" s="2027">
        <f t="shared" si="68"/>
        <v>-1972.6189999999999</v>
      </c>
      <c r="AW157" s="2027">
        <f t="shared" si="49"/>
        <v>-1865.0216</v>
      </c>
      <c r="AX157" s="2029">
        <v>100</v>
      </c>
      <c r="AY157" s="2029">
        <v>100</v>
      </c>
      <c r="AZ157" s="2029">
        <v>100</v>
      </c>
      <c r="BA157" s="2029">
        <v>100</v>
      </c>
      <c r="BB157" s="1974"/>
      <c r="BC157" s="2029">
        <v>0</v>
      </c>
      <c r="BD157" s="2029">
        <v>0</v>
      </c>
      <c r="BE157" s="2029">
        <v>0</v>
      </c>
      <c r="BF157" s="2029">
        <v>274</v>
      </c>
      <c r="BG157" s="2029">
        <v>274</v>
      </c>
      <c r="BH157" s="2029">
        <v>274</v>
      </c>
      <c r="BI157" s="2029">
        <v>274</v>
      </c>
      <c r="BJ157" s="2030">
        <f t="shared" si="58"/>
        <v>2700</v>
      </c>
      <c r="BK157" s="2030">
        <f t="shared" si="58"/>
        <v>5400</v>
      </c>
      <c r="BL157" s="2030">
        <f t="shared" si="58"/>
        <v>5500</v>
      </c>
      <c r="BM157" s="2030"/>
      <c r="BN157" s="2030">
        <f t="shared" si="59"/>
        <v>5200</v>
      </c>
      <c r="BO157" s="2030">
        <f t="shared" si="60"/>
        <v>0</v>
      </c>
      <c r="BP157" s="2030"/>
      <c r="BQ157" s="2030">
        <f t="shared" si="61"/>
        <v>0</v>
      </c>
      <c r="BR157" s="2030">
        <f t="shared" si="61"/>
        <v>0</v>
      </c>
      <c r="BS157" s="2030">
        <f t="shared" si="61"/>
        <v>0</v>
      </c>
      <c r="BT157" s="2031"/>
      <c r="BU157" s="2031"/>
      <c r="BV157" s="2031"/>
      <c r="BW157" s="2031"/>
      <c r="BX157" s="2031"/>
      <c r="BY157" s="2031"/>
      <c r="BZ157" s="2031"/>
      <c r="CA157" s="2031"/>
      <c r="CB157" s="2029"/>
      <c r="CC157" s="2029"/>
      <c r="CD157" s="2029"/>
      <c r="CE157" s="2029"/>
      <c r="CF157" s="2029"/>
      <c r="CG157" s="2032"/>
      <c r="CH157" s="1974"/>
      <c r="CI157" s="1974"/>
      <c r="CJ157" s="1974"/>
      <c r="CK157" s="1974"/>
      <c r="CL157" s="1974">
        <v>0</v>
      </c>
      <c r="CM157" s="2033">
        <v>3.4277813153318036E-4</v>
      </c>
      <c r="CN157" s="2026">
        <v>-3.4659126739867296E-4</v>
      </c>
      <c r="CO157" s="1974">
        <v>0</v>
      </c>
      <c r="CP157" s="2040">
        <v>0</v>
      </c>
      <c r="CQ157" s="2040"/>
      <c r="CR157" s="2062">
        <v>1</v>
      </c>
      <c r="CS157" s="2062">
        <v>1</v>
      </c>
      <c r="CT157" s="2062">
        <v>1</v>
      </c>
      <c r="CU157" s="2062">
        <v>1</v>
      </c>
      <c r="CV157" s="2036"/>
      <c r="CW157" s="2036"/>
      <c r="CX157" s="2036"/>
      <c r="CY157" s="2036"/>
      <c r="CZ157" s="2036"/>
      <c r="DA157" s="2036"/>
    </row>
    <row r="158" spans="1:105" s="2161" customFormat="1" x14ac:dyDescent="0.25">
      <c r="A158" s="2186" t="s">
        <v>2957</v>
      </c>
      <c r="B158" s="2187"/>
      <c r="C158" s="2043">
        <v>10</v>
      </c>
      <c r="D158" s="2043">
        <v>0</v>
      </c>
      <c r="E158" s="2044">
        <v>621</v>
      </c>
      <c r="F158" s="2044"/>
      <c r="G158" s="2044">
        <v>5.7634999999999999E-2</v>
      </c>
      <c r="H158" s="2044"/>
      <c r="I158" s="2043">
        <v>61.482900000000001</v>
      </c>
      <c r="J158" s="2146"/>
      <c r="K158" s="2153" t="s">
        <v>20</v>
      </c>
      <c r="L158" s="2153" t="s">
        <v>20</v>
      </c>
      <c r="M158" s="2153">
        <v>0.55700000000000005</v>
      </c>
      <c r="N158" s="2153">
        <v>0.55700000000000005</v>
      </c>
      <c r="O158" s="2153">
        <v>0.55700000000000005</v>
      </c>
      <c r="P158" s="2153">
        <v>0.55700000000000005</v>
      </c>
      <c r="Q158" s="2146">
        <f t="shared" si="62"/>
        <v>345.89700000000005</v>
      </c>
      <c r="R158" s="2146">
        <f t="shared" si="62"/>
        <v>345.89700000000005</v>
      </c>
      <c r="S158" s="2146">
        <f t="shared" si="62"/>
        <v>345.89700000000005</v>
      </c>
      <c r="T158" s="2146">
        <f t="shared" si="62"/>
        <v>345.89700000000005</v>
      </c>
      <c r="U158" s="2153">
        <v>0.55700000000000005</v>
      </c>
      <c r="V158" s="2153">
        <v>0.55700000000000005</v>
      </c>
      <c r="W158" s="2153">
        <v>0.55700000000000005</v>
      </c>
      <c r="X158" s="2153">
        <v>0.55700000000000005</v>
      </c>
      <c r="Y158" s="2129">
        <f t="shared" si="63"/>
        <v>3.2102695000000001E-2</v>
      </c>
      <c r="Z158" s="2129">
        <f t="shared" si="63"/>
        <v>3.2102695000000001E-2</v>
      </c>
      <c r="AA158" s="2129">
        <f t="shared" si="63"/>
        <v>3.2102695000000001E-2</v>
      </c>
      <c r="AB158" s="2129">
        <f t="shared" si="63"/>
        <v>3.2102695000000001E-2</v>
      </c>
      <c r="AC158" s="2153">
        <v>0.49399999999999999</v>
      </c>
      <c r="AD158" s="2153">
        <v>0.49399999999999999</v>
      </c>
      <c r="AE158" s="2153">
        <v>0.49399999999999999</v>
      </c>
      <c r="AF158" s="2153">
        <v>0.49399999999999999</v>
      </c>
      <c r="AG158" s="2146">
        <f t="shared" si="69"/>
        <v>30.372552599999999</v>
      </c>
      <c r="AH158" s="2146">
        <f t="shared" si="69"/>
        <v>30.372552599999999</v>
      </c>
      <c r="AI158" s="2146">
        <f t="shared" si="69"/>
        <v>30.372552599999999</v>
      </c>
      <c r="AJ158" s="2146">
        <f t="shared" si="69"/>
        <v>30.372552599999999</v>
      </c>
      <c r="AK158" s="2146">
        <v>53</v>
      </c>
      <c r="AL158" s="2146">
        <v>66</v>
      </c>
      <c r="AM158" s="2146">
        <v>88</v>
      </c>
      <c r="AN158" s="2146">
        <v>89</v>
      </c>
      <c r="AO158" s="2146">
        <f t="shared" si="64"/>
        <v>18332.541000000001</v>
      </c>
      <c r="AP158" s="2146">
        <f t="shared" si="65"/>
        <v>22829.202000000005</v>
      </c>
      <c r="AQ158" s="2146">
        <f t="shared" si="65"/>
        <v>30438.936000000005</v>
      </c>
      <c r="AR158" s="2146"/>
      <c r="AS158" s="2146">
        <f t="shared" si="66"/>
        <v>30784.833000000006</v>
      </c>
      <c r="AT158" s="2146">
        <f t="shared" si="67"/>
        <v>1609.7452877999999</v>
      </c>
      <c r="AU158" s="2146">
        <f t="shared" si="68"/>
        <v>2004.5884715999998</v>
      </c>
      <c r="AV158" s="2146">
        <f t="shared" si="68"/>
        <v>2672.7846288000001</v>
      </c>
      <c r="AW158" s="2146">
        <f t="shared" si="49"/>
        <v>2703.1571813999999</v>
      </c>
      <c r="AX158" s="2046">
        <v>81</v>
      </c>
      <c r="AY158" s="2046">
        <v>52</v>
      </c>
      <c r="AZ158" s="2046">
        <v>52</v>
      </c>
      <c r="BA158" s="2046">
        <v>52</v>
      </c>
      <c r="BB158" s="2046">
        <v>69</v>
      </c>
      <c r="BC158" s="2046">
        <v>48</v>
      </c>
      <c r="BD158" s="2046">
        <v>48</v>
      </c>
      <c r="BE158" s="2046">
        <v>48</v>
      </c>
      <c r="BF158" s="2046">
        <v>175</v>
      </c>
      <c r="BG158" s="2046">
        <v>175</v>
      </c>
      <c r="BH158" s="2046">
        <v>175</v>
      </c>
      <c r="BI158" s="2046">
        <v>175</v>
      </c>
      <c r="BJ158" s="2154">
        <f t="shared" si="58"/>
        <v>4293</v>
      </c>
      <c r="BK158" s="2154">
        <f t="shared" si="58"/>
        <v>3432</v>
      </c>
      <c r="BL158" s="2154">
        <f t="shared" si="58"/>
        <v>4576</v>
      </c>
      <c r="BM158" s="2154"/>
      <c r="BN158" s="2154">
        <f t="shared" si="59"/>
        <v>4628</v>
      </c>
      <c r="BO158" s="2154">
        <f t="shared" si="60"/>
        <v>3657</v>
      </c>
      <c r="BP158" s="2154"/>
      <c r="BQ158" s="2154">
        <f t="shared" si="61"/>
        <v>3168</v>
      </c>
      <c r="BR158" s="2154">
        <f t="shared" si="61"/>
        <v>4224</v>
      </c>
      <c r="BS158" s="2154">
        <f t="shared" si="61"/>
        <v>4272</v>
      </c>
      <c r="BT158" s="2063"/>
      <c r="BU158" s="2063"/>
      <c r="BV158" s="2063"/>
      <c r="BW158" s="2063"/>
      <c r="BX158" s="2063"/>
      <c r="BY158" s="2063"/>
      <c r="BZ158" s="2063"/>
      <c r="CA158" s="2063"/>
      <c r="CB158" s="2046"/>
      <c r="CC158" s="2046"/>
      <c r="CD158" s="2046"/>
      <c r="CE158" s="2046"/>
      <c r="CF158" s="2046"/>
      <c r="CG158" s="2156"/>
      <c r="CH158" s="2047"/>
      <c r="CI158" s="2047"/>
      <c r="CJ158" s="2047"/>
      <c r="CK158" s="2047"/>
      <c r="CL158" s="2047">
        <v>0</v>
      </c>
      <c r="CM158" s="2157">
        <v>5.5612229793260987E-5</v>
      </c>
      <c r="CN158" s="2153">
        <v>4.6961111698685032E-4</v>
      </c>
      <c r="CO158" s="2047">
        <v>0</v>
      </c>
      <c r="CP158" s="2188">
        <v>0</v>
      </c>
      <c r="CQ158" s="2188"/>
      <c r="CR158" s="2189">
        <v>1</v>
      </c>
      <c r="CS158" s="2189">
        <v>1</v>
      </c>
      <c r="CT158" s="2189">
        <v>1</v>
      </c>
      <c r="CU158" s="2189">
        <v>1</v>
      </c>
      <c r="CV158" s="2160"/>
      <c r="CW158" s="2160"/>
      <c r="CX158" s="2160"/>
      <c r="CY158" s="2160"/>
      <c r="CZ158" s="2160"/>
      <c r="DA158" s="2160"/>
    </row>
    <row r="159" spans="1:105" x14ac:dyDescent="0.25">
      <c r="A159" s="2185" t="s">
        <v>176</v>
      </c>
      <c r="B159" s="2022"/>
      <c r="C159" s="2023">
        <v>15</v>
      </c>
      <c r="D159" s="2023">
        <v>0</v>
      </c>
      <c r="E159" s="2024">
        <v>0</v>
      </c>
      <c r="F159" s="2024"/>
      <c r="G159" s="2024">
        <v>0</v>
      </c>
      <c r="H159" s="2024"/>
      <c r="I159" s="2023">
        <v>1.6</v>
      </c>
      <c r="J159" s="2027"/>
      <c r="K159" s="2026" t="s">
        <v>2285</v>
      </c>
      <c r="L159" s="2026" t="s">
        <v>2285</v>
      </c>
      <c r="M159" s="2026">
        <v>0.79999999999999993</v>
      </c>
      <c r="N159" s="2026">
        <v>0.79999999999999993</v>
      </c>
      <c r="O159" s="2026">
        <v>0.79999999999999993</v>
      </c>
      <c r="P159" s="2026">
        <v>0.79999999999999993</v>
      </c>
      <c r="Q159" s="2027">
        <f t="shared" si="62"/>
        <v>0</v>
      </c>
      <c r="R159" s="2027">
        <f t="shared" si="62"/>
        <v>0</v>
      </c>
      <c r="S159" s="2027">
        <f t="shared" si="62"/>
        <v>0</v>
      </c>
      <c r="T159" s="2027">
        <f t="shared" si="62"/>
        <v>0</v>
      </c>
      <c r="U159" s="2026">
        <v>0.79999999999999993</v>
      </c>
      <c r="V159" s="2026">
        <v>0.79999999999999993</v>
      </c>
      <c r="W159" s="2026">
        <v>0.79999999999999993</v>
      </c>
      <c r="X159" s="2026">
        <v>0.79999999999999993</v>
      </c>
      <c r="Y159" s="2028">
        <f t="shared" si="63"/>
        <v>0</v>
      </c>
      <c r="Z159" s="2028">
        <f t="shared" si="63"/>
        <v>0</v>
      </c>
      <c r="AA159" s="2028">
        <f t="shared" si="63"/>
        <v>0</v>
      </c>
      <c r="AB159" s="2028">
        <f t="shared" si="63"/>
        <v>0</v>
      </c>
      <c r="AC159" s="2026">
        <v>0.60399999999999998</v>
      </c>
      <c r="AD159" s="2026">
        <v>0.60399999999999998</v>
      </c>
      <c r="AE159" s="2026">
        <v>0.60399999999999998</v>
      </c>
      <c r="AF159" s="2026">
        <v>0.60399999999999998</v>
      </c>
      <c r="AG159" s="2027">
        <f t="shared" si="69"/>
        <v>0.96640000000000004</v>
      </c>
      <c r="AH159" s="2027">
        <f t="shared" si="69"/>
        <v>0.96640000000000004</v>
      </c>
      <c r="AI159" s="2027">
        <f t="shared" si="69"/>
        <v>0.96640000000000004</v>
      </c>
      <c r="AJ159" s="2027">
        <f t="shared" si="69"/>
        <v>0.96640000000000004</v>
      </c>
      <c r="AK159" s="2027">
        <v>6877</v>
      </c>
      <c r="AL159" s="2027">
        <v>6993</v>
      </c>
      <c r="AM159" s="2027">
        <v>6819</v>
      </c>
      <c r="AN159" s="2027">
        <v>6823</v>
      </c>
      <c r="AO159" s="2027">
        <f t="shared" si="64"/>
        <v>0</v>
      </c>
      <c r="AP159" s="2027">
        <f t="shared" si="65"/>
        <v>0</v>
      </c>
      <c r="AQ159" s="2027">
        <f t="shared" si="65"/>
        <v>0</v>
      </c>
      <c r="AR159" s="2027"/>
      <c r="AS159" s="2027">
        <f t="shared" si="66"/>
        <v>0</v>
      </c>
      <c r="AT159" s="2027">
        <f t="shared" si="67"/>
        <v>6645.9328000000005</v>
      </c>
      <c r="AU159" s="2027">
        <f t="shared" si="68"/>
        <v>6758.0352000000003</v>
      </c>
      <c r="AV159" s="2027">
        <f t="shared" si="68"/>
        <v>6589.8816000000006</v>
      </c>
      <c r="AW159" s="2027">
        <f t="shared" si="49"/>
        <v>6593.7472000000007</v>
      </c>
      <c r="AX159" s="2029"/>
      <c r="AY159" s="2029">
        <v>0</v>
      </c>
      <c r="AZ159" s="2029">
        <v>0</v>
      </c>
      <c r="BA159" s="2029">
        <v>0</v>
      </c>
      <c r="BB159" s="2029">
        <v>1</v>
      </c>
      <c r="BC159" s="2029">
        <v>1</v>
      </c>
      <c r="BD159" s="2029">
        <v>1</v>
      </c>
      <c r="BE159" s="2029">
        <v>1</v>
      </c>
      <c r="BF159" s="2029">
        <v>13.97</v>
      </c>
      <c r="BG159" s="2029">
        <v>13.97</v>
      </c>
      <c r="BH159" s="2029">
        <v>13.97</v>
      </c>
      <c r="BI159" s="2029">
        <v>13.97</v>
      </c>
      <c r="BJ159" s="2030">
        <f t="shared" si="58"/>
        <v>0</v>
      </c>
      <c r="BK159" s="2030">
        <f t="shared" si="58"/>
        <v>0</v>
      </c>
      <c r="BL159" s="2030">
        <f t="shared" si="58"/>
        <v>0</v>
      </c>
      <c r="BM159" s="2030"/>
      <c r="BN159" s="2030">
        <f t="shared" si="59"/>
        <v>0</v>
      </c>
      <c r="BO159" s="2030">
        <f t="shared" si="60"/>
        <v>6877</v>
      </c>
      <c r="BP159" s="2030"/>
      <c r="BQ159" s="2030">
        <f t="shared" si="61"/>
        <v>6993</v>
      </c>
      <c r="BR159" s="2030">
        <f t="shared" si="61"/>
        <v>6819</v>
      </c>
      <c r="BS159" s="2030">
        <f t="shared" si="61"/>
        <v>6823</v>
      </c>
      <c r="BT159" s="2031"/>
      <c r="BU159" s="2031"/>
      <c r="BV159" s="2031"/>
      <c r="BW159" s="2031"/>
      <c r="BX159" s="2031"/>
      <c r="BY159" s="2031"/>
      <c r="BZ159" s="2031"/>
      <c r="CA159" s="2031"/>
      <c r="CB159" s="2029"/>
      <c r="CC159" s="2029"/>
      <c r="CD159" s="2029"/>
      <c r="CE159" s="2029"/>
      <c r="CF159" s="2029"/>
      <c r="CG159" s="2032"/>
      <c r="CH159" s="1974"/>
      <c r="CI159" s="1974"/>
      <c r="CJ159" s="1974"/>
      <c r="CK159" s="1974"/>
      <c r="CL159" s="1974">
        <v>0</v>
      </c>
      <c r="CM159" s="2033">
        <v>0</v>
      </c>
      <c r="CN159" s="2026">
        <v>2.4841376190282843E-3</v>
      </c>
      <c r="CO159" s="1974">
        <v>0</v>
      </c>
      <c r="CP159" s="2040">
        <v>0</v>
      </c>
      <c r="CQ159" s="2040"/>
      <c r="CR159" s="2062">
        <v>1</v>
      </c>
      <c r="CS159" s="2062">
        <v>1</v>
      </c>
      <c r="CT159" s="2062">
        <v>1</v>
      </c>
      <c r="CU159" s="2062">
        <v>1</v>
      </c>
      <c r="CV159" s="2036"/>
      <c r="CW159" s="2036"/>
      <c r="CX159" s="2036"/>
      <c r="CY159" s="2036"/>
      <c r="CZ159" s="2036"/>
      <c r="DA159" s="2036"/>
    </row>
    <row r="160" spans="1:105" x14ac:dyDescent="0.25">
      <c r="A160" s="2185" t="s">
        <v>258</v>
      </c>
      <c r="B160" s="2022"/>
      <c r="C160" s="2023">
        <v>15</v>
      </c>
      <c r="D160" s="2023">
        <v>0</v>
      </c>
      <c r="E160" s="2024">
        <v>0</v>
      </c>
      <c r="F160" s="2024"/>
      <c r="G160" s="2024">
        <v>0</v>
      </c>
      <c r="H160" s="2024"/>
      <c r="I160" s="2023">
        <v>0.12</v>
      </c>
      <c r="J160" s="2027"/>
      <c r="K160" s="2026" t="s">
        <v>2285</v>
      </c>
      <c r="L160" s="2026" t="s">
        <v>2285</v>
      </c>
      <c r="M160" s="2026">
        <v>0.79999999999999993</v>
      </c>
      <c r="N160" s="2026">
        <v>0.79999999999999993</v>
      </c>
      <c r="O160" s="2026">
        <v>0.79999999999999993</v>
      </c>
      <c r="P160" s="2026">
        <v>0.79999999999999993</v>
      </c>
      <c r="Q160" s="2027">
        <f t="shared" si="62"/>
        <v>0</v>
      </c>
      <c r="R160" s="2027">
        <f t="shared" si="62"/>
        <v>0</v>
      </c>
      <c r="S160" s="2027">
        <f t="shared" si="62"/>
        <v>0</v>
      </c>
      <c r="T160" s="2027">
        <f t="shared" si="62"/>
        <v>0</v>
      </c>
      <c r="U160" s="2026">
        <v>0.79999999999999993</v>
      </c>
      <c r="V160" s="2026">
        <v>0.79999999999999993</v>
      </c>
      <c r="W160" s="2026">
        <v>0.79999999999999993</v>
      </c>
      <c r="X160" s="2026">
        <v>0.79999999999999993</v>
      </c>
      <c r="Y160" s="2028">
        <f t="shared" si="63"/>
        <v>0</v>
      </c>
      <c r="Z160" s="2028">
        <f t="shared" si="63"/>
        <v>0</v>
      </c>
      <c r="AA160" s="2028">
        <f t="shared" si="63"/>
        <v>0</v>
      </c>
      <c r="AB160" s="2028">
        <f t="shared" si="63"/>
        <v>0</v>
      </c>
      <c r="AC160" s="2026">
        <v>0.60399999999999998</v>
      </c>
      <c r="AD160" s="2026">
        <v>0.60399999999999998</v>
      </c>
      <c r="AE160" s="2026">
        <v>0.60399999999999998</v>
      </c>
      <c r="AF160" s="2026">
        <v>0.60399999999999998</v>
      </c>
      <c r="AG160" s="2027">
        <f t="shared" si="69"/>
        <v>7.2479999999999989E-2</v>
      </c>
      <c r="AH160" s="2027">
        <f t="shared" si="69"/>
        <v>7.2479999999999989E-2</v>
      </c>
      <c r="AI160" s="2027">
        <f t="shared" si="69"/>
        <v>7.2479999999999989E-2</v>
      </c>
      <c r="AJ160" s="2027">
        <f t="shared" si="69"/>
        <v>7.2479999999999989E-2</v>
      </c>
      <c r="AK160" s="2027">
        <v>0</v>
      </c>
      <c r="AL160" s="2027">
        <v>0</v>
      </c>
      <c r="AM160" s="2027">
        <v>0</v>
      </c>
      <c r="AN160" s="2027">
        <v>0</v>
      </c>
      <c r="AO160" s="2027">
        <f t="shared" si="64"/>
        <v>0</v>
      </c>
      <c r="AP160" s="2027">
        <f t="shared" si="65"/>
        <v>0</v>
      </c>
      <c r="AQ160" s="2027">
        <f t="shared" si="65"/>
        <v>0</v>
      </c>
      <c r="AR160" s="2027"/>
      <c r="AS160" s="2027">
        <f t="shared" si="66"/>
        <v>0</v>
      </c>
      <c r="AT160" s="2027">
        <f t="shared" si="67"/>
        <v>0</v>
      </c>
      <c r="AU160" s="2027">
        <f t="shared" si="68"/>
        <v>0</v>
      </c>
      <c r="AV160" s="2027">
        <f t="shared" si="68"/>
        <v>0</v>
      </c>
      <c r="AW160" s="2027">
        <f t="shared" si="49"/>
        <v>0</v>
      </c>
      <c r="AX160" s="2029"/>
      <c r="AY160" s="2029">
        <v>0</v>
      </c>
      <c r="AZ160" s="2029">
        <v>0</v>
      </c>
      <c r="BA160" s="2029">
        <v>0</v>
      </c>
      <c r="BB160" s="2029">
        <v>0.1</v>
      </c>
      <c r="BC160" s="2029">
        <v>0.1</v>
      </c>
      <c r="BD160" s="2029">
        <v>0.1</v>
      </c>
      <c r="BE160" s="2029">
        <v>0.1</v>
      </c>
      <c r="BF160" s="2029">
        <v>4.1500000000000004</v>
      </c>
      <c r="BG160" s="2029">
        <v>4.1500000000000004</v>
      </c>
      <c r="BH160" s="2029">
        <v>4.1500000000000004</v>
      </c>
      <c r="BI160" s="2029">
        <v>4.1500000000000004</v>
      </c>
      <c r="BJ160" s="2030">
        <f t="shared" si="58"/>
        <v>0</v>
      </c>
      <c r="BK160" s="2030">
        <f t="shared" si="58"/>
        <v>0</v>
      </c>
      <c r="BL160" s="2030">
        <f t="shared" si="58"/>
        <v>0</v>
      </c>
      <c r="BM160" s="2030"/>
      <c r="BN160" s="2030">
        <f t="shared" si="59"/>
        <v>0</v>
      </c>
      <c r="BO160" s="2030">
        <f t="shared" si="60"/>
        <v>0</v>
      </c>
      <c r="BP160" s="2030"/>
      <c r="BQ160" s="2030">
        <f t="shared" si="61"/>
        <v>0</v>
      </c>
      <c r="BR160" s="2030">
        <f t="shared" si="61"/>
        <v>0</v>
      </c>
      <c r="BS160" s="2030">
        <f t="shared" si="61"/>
        <v>0</v>
      </c>
      <c r="BT160" s="2031"/>
      <c r="BU160" s="2031"/>
      <c r="BV160" s="2031"/>
      <c r="BW160" s="2031"/>
      <c r="BX160" s="2031"/>
      <c r="BY160" s="2031"/>
      <c r="BZ160" s="2031"/>
      <c r="CA160" s="2031"/>
      <c r="CB160" s="2029"/>
      <c r="CC160" s="2029"/>
      <c r="CD160" s="2029"/>
      <c r="CE160" s="2029"/>
      <c r="CF160" s="2029"/>
      <c r="CG160" s="2032"/>
      <c r="CH160" s="1974"/>
      <c r="CI160" s="1974"/>
      <c r="CJ160" s="1974"/>
      <c r="CK160" s="1974"/>
      <c r="CL160" s="1974">
        <v>0</v>
      </c>
      <c r="CM160" s="2033">
        <v>0</v>
      </c>
      <c r="CN160" s="2026">
        <v>0</v>
      </c>
      <c r="CO160" s="1974">
        <v>0</v>
      </c>
      <c r="CP160" s="2040">
        <v>0</v>
      </c>
      <c r="CQ160" s="2040"/>
      <c r="CR160" s="2062">
        <v>1</v>
      </c>
      <c r="CS160" s="2062">
        <v>1</v>
      </c>
      <c r="CT160" s="2062">
        <v>1</v>
      </c>
      <c r="CU160" s="2062">
        <v>1</v>
      </c>
      <c r="CV160" s="2036"/>
      <c r="CW160" s="2036"/>
      <c r="CX160" s="2036"/>
      <c r="CY160" s="2036"/>
      <c r="CZ160" s="2036"/>
      <c r="DA160" s="2036"/>
    </row>
    <row r="161" spans="1:105" x14ac:dyDescent="0.25">
      <c r="A161" s="2185" t="s">
        <v>177</v>
      </c>
      <c r="B161" s="2022"/>
      <c r="C161" s="2023">
        <v>15</v>
      </c>
      <c r="D161" s="2023">
        <v>0</v>
      </c>
      <c r="E161" s="2024">
        <v>110019</v>
      </c>
      <c r="F161" s="2024"/>
      <c r="G161" s="2024">
        <v>11.2379</v>
      </c>
      <c r="H161" s="2024"/>
      <c r="I161" s="2023">
        <v>0</v>
      </c>
      <c r="J161" s="2027"/>
      <c r="K161" s="2026" t="s">
        <v>2899</v>
      </c>
      <c r="L161" s="2026" t="s">
        <v>2899</v>
      </c>
      <c r="M161" s="2026">
        <v>0.84899999999999998</v>
      </c>
      <c r="N161" s="2026">
        <v>0.84899999999999998</v>
      </c>
      <c r="O161" s="2026">
        <v>0.84899999999999998</v>
      </c>
      <c r="P161" s="2026">
        <v>0.84899999999999998</v>
      </c>
      <c r="Q161" s="2027">
        <f t="shared" si="62"/>
        <v>93406.130999999994</v>
      </c>
      <c r="R161" s="2027">
        <f t="shared" si="62"/>
        <v>93406.130999999994</v>
      </c>
      <c r="S161" s="2027">
        <f t="shared" si="62"/>
        <v>93406.130999999994</v>
      </c>
      <c r="T161" s="2027">
        <f t="shared" si="62"/>
        <v>93406.130999999994</v>
      </c>
      <c r="U161" s="2026">
        <v>0.84899999999999998</v>
      </c>
      <c r="V161" s="2026">
        <v>0.84899999999999998</v>
      </c>
      <c r="W161" s="2026">
        <v>0.84899999999999998</v>
      </c>
      <c r="X161" s="2026">
        <v>0.84899999999999998</v>
      </c>
      <c r="Y161" s="2028">
        <f t="shared" si="63"/>
        <v>9.5409770999999992</v>
      </c>
      <c r="Z161" s="2028">
        <f t="shared" si="63"/>
        <v>9.5409770999999992</v>
      </c>
      <c r="AA161" s="2028">
        <f t="shared" si="63"/>
        <v>9.5409770999999992</v>
      </c>
      <c r="AB161" s="2028">
        <f t="shared" si="63"/>
        <v>9.5409770999999992</v>
      </c>
      <c r="AC161" s="2026">
        <v>0.67500000000000004</v>
      </c>
      <c r="AD161" s="2026">
        <v>0.67500000000000004</v>
      </c>
      <c r="AE161" s="2026">
        <v>0.67500000000000004</v>
      </c>
      <c r="AF161" s="2026">
        <v>0.67500000000000004</v>
      </c>
      <c r="AG161" s="2027">
        <f t="shared" si="69"/>
        <v>0</v>
      </c>
      <c r="AH161" s="2027">
        <f t="shared" si="69"/>
        <v>0</v>
      </c>
      <c r="AI161" s="2027">
        <f t="shared" si="69"/>
        <v>0</v>
      </c>
      <c r="AJ161" s="2027">
        <f t="shared" si="69"/>
        <v>0</v>
      </c>
      <c r="AK161" s="2027">
        <v>1</v>
      </c>
      <c r="AL161" s="2027">
        <v>2</v>
      </c>
      <c r="AM161" s="2027">
        <v>2</v>
      </c>
      <c r="AN161" s="2027">
        <v>1</v>
      </c>
      <c r="AO161" s="2027">
        <f t="shared" si="64"/>
        <v>93406.130999999994</v>
      </c>
      <c r="AP161" s="2027">
        <f t="shared" si="65"/>
        <v>186812.26199999999</v>
      </c>
      <c r="AQ161" s="2027">
        <f t="shared" si="65"/>
        <v>186812.26199999999</v>
      </c>
      <c r="AR161" s="2027"/>
      <c r="AS161" s="2027">
        <f t="shared" si="66"/>
        <v>93406.130999999994</v>
      </c>
      <c r="AT161" s="2027">
        <f t="shared" si="67"/>
        <v>0</v>
      </c>
      <c r="AU161" s="2027">
        <f t="shared" si="68"/>
        <v>0</v>
      </c>
      <c r="AV161" s="2027">
        <f t="shared" si="68"/>
        <v>0</v>
      </c>
      <c r="AW161" s="2027">
        <f t="shared" si="49"/>
        <v>0</v>
      </c>
      <c r="AX161" s="2029">
        <v>1000</v>
      </c>
      <c r="AY161" s="2029">
        <v>1000</v>
      </c>
      <c r="AZ161" s="2029">
        <v>1000</v>
      </c>
      <c r="BA161" s="2029">
        <v>1000</v>
      </c>
      <c r="BB161" s="1974"/>
      <c r="BC161" s="2029">
        <v>0</v>
      </c>
      <c r="BD161" s="2029">
        <v>0</v>
      </c>
      <c r="BE161" s="2029">
        <v>0</v>
      </c>
      <c r="BF161" s="2029">
        <v>10200</v>
      </c>
      <c r="BG161" s="2029">
        <v>10200</v>
      </c>
      <c r="BH161" s="2029">
        <v>10200</v>
      </c>
      <c r="BI161" s="2029">
        <v>10200</v>
      </c>
      <c r="BJ161" s="2030">
        <f t="shared" si="58"/>
        <v>1000</v>
      </c>
      <c r="BK161" s="2030">
        <f t="shared" si="58"/>
        <v>2000</v>
      </c>
      <c r="BL161" s="2030">
        <f t="shared" si="58"/>
        <v>2000</v>
      </c>
      <c r="BM161" s="2030"/>
      <c r="BN161" s="2030">
        <f t="shared" si="59"/>
        <v>1000</v>
      </c>
      <c r="BO161" s="2030">
        <f t="shared" si="60"/>
        <v>0</v>
      </c>
      <c r="BP161" s="2030"/>
      <c r="BQ161" s="2030">
        <f t="shared" si="61"/>
        <v>0</v>
      </c>
      <c r="BR161" s="2030">
        <f t="shared" si="61"/>
        <v>0</v>
      </c>
      <c r="BS161" s="2030">
        <f t="shared" si="61"/>
        <v>0</v>
      </c>
      <c r="BT161" s="2031"/>
      <c r="BU161" s="2031"/>
      <c r="BV161" s="2031"/>
      <c r="BW161" s="2031"/>
      <c r="BX161" s="2031"/>
      <c r="BY161" s="2031"/>
      <c r="BZ161" s="2031"/>
      <c r="CA161" s="2031"/>
      <c r="CB161" s="2029"/>
      <c r="CC161" s="2029"/>
      <c r="CD161" s="2029"/>
      <c r="CE161" s="2029"/>
      <c r="CF161" s="2029"/>
      <c r="CG161" s="2032"/>
      <c r="CH161" s="1974"/>
      <c r="CI161" s="1974"/>
      <c r="CJ161" s="1974"/>
      <c r="CK161" s="1974"/>
      <c r="CL161" s="1974">
        <v>0</v>
      </c>
      <c r="CM161" s="2033">
        <v>3.1286548821322035E-4</v>
      </c>
      <c r="CN161" s="2026">
        <v>0</v>
      </c>
      <c r="CO161" s="1974">
        <v>0</v>
      </c>
      <c r="CP161" s="2040">
        <v>0</v>
      </c>
      <c r="CQ161" s="2040"/>
      <c r="CR161" s="2062">
        <v>1</v>
      </c>
      <c r="CS161" s="2062">
        <v>1</v>
      </c>
      <c r="CT161" s="2062">
        <v>1</v>
      </c>
      <c r="CU161" s="2062">
        <v>1</v>
      </c>
      <c r="CV161" s="2036"/>
      <c r="CW161" s="2036"/>
      <c r="CX161" s="2036"/>
      <c r="CY161" s="2036"/>
      <c r="CZ161" s="2036"/>
      <c r="DA161" s="2036"/>
    </row>
    <row r="162" spans="1:105" x14ac:dyDescent="0.25">
      <c r="A162" s="2185" t="s">
        <v>178</v>
      </c>
      <c r="B162" s="2022"/>
      <c r="C162" s="2543">
        <v>13</v>
      </c>
      <c r="D162" s="2023">
        <v>0</v>
      </c>
      <c r="E162" s="2024">
        <v>6.83</v>
      </c>
      <c r="F162" s="2024"/>
      <c r="G162" s="2024">
        <v>1.137E-3</v>
      </c>
      <c r="H162" s="2024"/>
      <c r="I162" s="2023">
        <v>0</v>
      </c>
      <c r="J162" s="2027"/>
      <c r="K162" s="2026" t="s">
        <v>2899</v>
      </c>
      <c r="L162" s="2026" t="s">
        <v>2899</v>
      </c>
      <c r="M162" s="2026">
        <v>0.84899999999999998</v>
      </c>
      <c r="N162" s="2026">
        <v>0.84899999999999998</v>
      </c>
      <c r="O162" s="2026">
        <v>0.84899999999999998</v>
      </c>
      <c r="P162" s="2026">
        <v>0.84899999999999998</v>
      </c>
      <c r="Q162" s="2027">
        <f t="shared" si="62"/>
        <v>5.7986699999999995</v>
      </c>
      <c r="R162" s="2027">
        <f t="shared" si="62"/>
        <v>5.7986699999999995</v>
      </c>
      <c r="S162" s="2027">
        <f t="shared" si="62"/>
        <v>5.7986699999999995</v>
      </c>
      <c r="T162" s="2027">
        <f t="shared" si="62"/>
        <v>5.7986699999999995</v>
      </c>
      <c r="U162" s="2026">
        <v>0.84899999999999998</v>
      </c>
      <c r="V162" s="2026">
        <v>0.84899999999999998</v>
      </c>
      <c r="W162" s="2026">
        <v>0.84899999999999998</v>
      </c>
      <c r="X162" s="2026">
        <v>0.84899999999999998</v>
      </c>
      <c r="Y162" s="2028">
        <f t="shared" si="63"/>
        <v>9.6531299999999998E-4</v>
      </c>
      <c r="Z162" s="2028">
        <f t="shared" si="63"/>
        <v>9.6531299999999998E-4</v>
      </c>
      <c r="AA162" s="2028">
        <f t="shared" si="63"/>
        <v>9.6531299999999998E-4</v>
      </c>
      <c r="AB162" s="2028">
        <f t="shared" si="63"/>
        <v>9.6531299999999998E-4</v>
      </c>
      <c r="AC162" s="2026">
        <v>0.67500000000000004</v>
      </c>
      <c r="AD162" s="2026">
        <v>0.67500000000000004</v>
      </c>
      <c r="AE162" s="2026">
        <v>0.67500000000000004</v>
      </c>
      <c r="AF162" s="2026">
        <v>0.67500000000000004</v>
      </c>
      <c r="AG162" s="2027">
        <f t="shared" si="69"/>
        <v>0</v>
      </c>
      <c r="AH162" s="2027">
        <f t="shared" si="69"/>
        <v>0</v>
      </c>
      <c r="AI162" s="2027">
        <f t="shared" si="69"/>
        <v>0</v>
      </c>
      <c r="AJ162" s="2027">
        <f t="shared" si="69"/>
        <v>0</v>
      </c>
      <c r="AK162" s="2027">
        <v>1778</v>
      </c>
      <c r="AL162" s="2027">
        <v>1799</v>
      </c>
      <c r="AM162" s="2027">
        <v>2709</v>
      </c>
      <c r="AN162" s="2027">
        <v>1982</v>
      </c>
      <c r="AO162" s="2027">
        <f t="shared" si="64"/>
        <v>10310.035259999999</v>
      </c>
      <c r="AP162" s="2027">
        <f t="shared" si="65"/>
        <v>10431.80733</v>
      </c>
      <c r="AQ162" s="2027">
        <f t="shared" si="65"/>
        <v>15708.597029999999</v>
      </c>
      <c r="AR162" s="2027"/>
      <c r="AS162" s="2027">
        <f t="shared" si="66"/>
        <v>11492.96394</v>
      </c>
      <c r="AT162" s="2027">
        <f t="shared" si="67"/>
        <v>0</v>
      </c>
      <c r="AU162" s="2027">
        <f t="shared" si="68"/>
        <v>0</v>
      </c>
      <c r="AV162" s="2027">
        <f t="shared" si="68"/>
        <v>0</v>
      </c>
      <c r="AW162" s="2027">
        <f t="shared" si="68"/>
        <v>0</v>
      </c>
      <c r="AX162" s="2029">
        <v>3</v>
      </c>
      <c r="AY162" s="2029">
        <v>3</v>
      </c>
      <c r="AZ162" s="2029">
        <v>3</v>
      </c>
      <c r="BA162" s="2029">
        <v>3</v>
      </c>
      <c r="BB162" s="1974"/>
      <c r="BC162" s="2029">
        <v>0</v>
      </c>
      <c r="BD162" s="2029">
        <v>0</v>
      </c>
      <c r="BE162" s="2029">
        <v>0</v>
      </c>
      <c r="BF162" s="2029">
        <v>6</v>
      </c>
      <c r="BG162" s="2029">
        <v>6</v>
      </c>
      <c r="BH162" s="2029">
        <v>6</v>
      </c>
      <c r="BI162" s="2029">
        <v>6</v>
      </c>
      <c r="BJ162" s="2030">
        <f t="shared" si="58"/>
        <v>5334</v>
      </c>
      <c r="BK162" s="2030">
        <f t="shared" si="58"/>
        <v>5397</v>
      </c>
      <c r="BL162" s="2030">
        <f t="shared" si="58"/>
        <v>8127</v>
      </c>
      <c r="BM162" s="2030"/>
      <c r="BN162" s="2030">
        <f t="shared" si="59"/>
        <v>5946</v>
      </c>
      <c r="BO162" s="2030">
        <f t="shared" si="60"/>
        <v>0</v>
      </c>
      <c r="BP162" s="2030"/>
      <c r="BQ162" s="2030">
        <f t="shared" si="61"/>
        <v>0</v>
      </c>
      <c r="BR162" s="2030">
        <f t="shared" si="61"/>
        <v>0</v>
      </c>
      <c r="BS162" s="2030">
        <f t="shared" si="61"/>
        <v>0</v>
      </c>
      <c r="BT162" s="2031"/>
      <c r="BU162" s="2031"/>
      <c r="BV162" s="2031"/>
      <c r="BW162" s="2031"/>
      <c r="BX162" s="2031"/>
      <c r="BY162" s="2031"/>
      <c r="BZ162" s="2031"/>
      <c r="CA162" s="2031"/>
      <c r="CB162" s="2029"/>
      <c r="CC162" s="2029"/>
      <c r="CD162" s="2029"/>
      <c r="CE162" s="2029"/>
      <c r="CF162" s="2029"/>
      <c r="CG162" s="2032"/>
      <c r="CH162" s="1974"/>
      <c r="CI162" s="1974"/>
      <c r="CJ162" s="1974"/>
      <c r="CK162" s="1974"/>
      <c r="CL162" s="1974">
        <v>0</v>
      </c>
      <c r="CM162" s="2033">
        <v>3.8845495496165113E-5</v>
      </c>
      <c r="CN162" s="2026">
        <v>0</v>
      </c>
      <c r="CO162" s="1974">
        <v>0</v>
      </c>
      <c r="CP162" s="2040">
        <v>0</v>
      </c>
      <c r="CQ162" s="2040"/>
      <c r="CR162" s="2062">
        <v>1</v>
      </c>
      <c r="CS162" s="2062">
        <v>1</v>
      </c>
      <c r="CT162" s="2062">
        <v>1</v>
      </c>
      <c r="CU162" s="2062">
        <v>1</v>
      </c>
      <c r="CV162" s="2036"/>
      <c r="CW162" s="2036"/>
      <c r="CX162" s="2036"/>
      <c r="CY162" s="2036"/>
      <c r="CZ162" s="2036"/>
      <c r="DA162" s="2036"/>
    </row>
    <row r="163" spans="1:105" x14ac:dyDescent="0.25">
      <c r="A163" s="2185" t="s">
        <v>179</v>
      </c>
      <c r="B163" s="2022"/>
      <c r="C163" s="2023">
        <v>12</v>
      </c>
      <c r="D163" s="2023">
        <v>0</v>
      </c>
      <c r="E163" s="2024">
        <v>6368</v>
      </c>
      <c r="F163" s="2024"/>
      <c r="G163" s="2024">
        <v>0.74</v>
      </c>
      <c r="H163" s="2024"/>
      <c r="I163" s="2023">
        <v>0</v>
      </c>
      <c r="J163" s="2027"/>
      <c r="K163" s="2026" t="s">
        <v>2899</v>
      </c>
      <c r="L163" s="2026" t="s">
        <v>2899</v>
      </c>
      <c r="M163" s="2026">
        <v>0.84899999999999998</v>
      </c>
      <c r="N163" s="2026">
        <v>0.84899999999999998</v>
      </c>
      <c r="O163" s="2026">
        <v>0.84899999999999998</v>
      </c>
      <c r="P163" s="2026">
        <v>0.84899999999999998</v>
      </c>
      <c r="Q163" s="2027">
        <f t="shared" si="62"/>
        <v>5406.4319999999998</v>
      </c>
      <c r="R163" s="2027">
        <f t="shared" si="62"/>
        <v>5406.4319999999998</v>
      </c>
      <c r="S163" s="2027">
        <f t="shared" si="62"/>
        <v>5406.4319999999998</v>
      </c>
      <c r="T163" s="2027">
        <f t="shared" si="62"/>
        <v>5406.4319999999998</v>
      </c>
      <c r="U163" s="2026">
        <v>0.84899999999999998</v>
      </c>
      <c r="V163" s="2026">
        <v>0.84899999999999998</v>
      </c>
      <c r="W163" s="2026">
        <v>0.84899999999999998</v>
      </c>
      <c r="X163" s="2026">
        <v>0.84899999999999998</v>
      </c>
      <c r="Y163" s="2028">
        <f t="shared" si="63"/>
        <v>0.62825999999999993</v>
      </c>
      <c r="Z163" s="2028">
        <f t="shared" si="63"/>
        <v>0.62825999999999993</v>
      </c>
      <c r="AA163" s="2028">
        <f t="shared" si="63"/>
        <v>0.62825999999999993</v>
      </c>
      <c r="AB163" s="2028">
        <f t="shared" si="63"/>
        <v>0.62825999999999993</v>
      </c>
      <c r="AC163" s="2026">
        <v>0.67500000000000004</v>
      </c>
      <c r="AD163" s="2026">
        <v>0.67500000000000004</v>
      </c>
      <c r="AE163" s="2026">
        <v>0.67500000000000004</v>
      </c>
      <c r="AF163" s="2026">
        <v>0.67500000000000004</v>
      </c>
      <c r="AG163" s="2027">
        <f t="shared" ref="AG163:AJ173" si="70">$I163*AC163</f>
        <v>0</v>
      </c>
      <c r="AH163" s="2027">
        <f t="shared" si="70"/>
        <v>0</v>
      </c>
      <c r="AI163" s="2027">
        <f t="shared" si="70"/>
        <v>0</v>
      </c>
      <c r="AJ163" s="2027">
        <f t="shared" si="70"/>
        <v>0</v>
      </c>
      <c r="AK163" s="2027">
        <v>4</v>
      </c>
      <c r="AL163" s="2027">
        <v>2</v>
      </c>
      <c r="AM163" s="2027">
        <v>2</v>
      </c>
      <c r="AN163" s="2027">
        <v>5</v>
      </c>
      <c r="AO163" s="2027">
        <f t="shared" si="64"/>
        <v>21625.727999999999</v>
      </c>
      <c r="AP163" s="2027">
        <f t="shared" si="65"/>
        <v>10812.864</v>
      </c>
      <c r="AQ163" s="2027">
        <f t="shared" si="65"/>
        <v>10812.864</v>
      </c>
      <c r="AR163" s="2027"/>
      <c r="AS163" s="2027">
        <f t="shared" si="66"/>
        <v>27032.16</v>
      </c>
      <c r="AT163" s="2027">
        <f t="shared" si="67"/>
        <v>0</v>
      </c>
      <c r="AU163" s="2027">
        <f t="shared" si="68"/>
        <v>0</v>
      </c>
      <c r="AV163" s="2027">
        <f t="shared" si="68"/>
        <v>0</v>
      </c>
      <c r="AW163" s="2027">
        <f t="shared" si="68"/>
        <v>0</v>
      </c>
      <c r="AX163" s="2031">
        <v>300</v>
      </c>
      <c r="AY163" s="2029">
        <v>300</v>
      </c>
      <c r="AZ163" s="2029">
        <v>300</v>
      </c>
      <c r="BA163" s="2029">
        <v>300</v>
      </c>
      <c r="BB163" s="1974"/>
      <c r="BC163" s="2029">
        <v>0</v>
      </c>
      <c r="BD163" s="2029">
        <v>0</v>
      </c>
      <c r="BE163" s="2029">
        <v>0</v>
      </c>
      <c r="BF163" s="2031">
        <v>1000</v>
      </c>
      <c r="BG163" s="2029">
        <v>1000</v>
      </c>
      <c r="BH163" s="2029">
        <v>1000</v>
      </c>
      <c r="BI163" s="2029">
        <v>1000</v>
      </c>
      <c r="BJ163" s="2030">
        <f t="shared" si="58"/>
        <v>1200</v>
      </c>
      <c r="BK163" s="2030">
        <f t="shared" si="58"/>
        <v>600</v>
      </c>
      <c r="BL163" s="2030">
        <f t="shared" si="58"/>
        <v>600</v>
      </c>
      <c r="BM163" s="2030"/>
      <c r="BN163" s="2030">
        <f t="shared" si="59"/>
        <v>1500</v>
      </c>
      <c r="BO163" s="2030">
        <f t="shared" si="60"/>
        <v>0</v>
      </c>
      <c r="BP163" s="2030"/>
      <c r="BQ163" s="2030">
        <f t="shared" si="61"/>
        <v>0</v>
      </c>
      <c r="BR163" s="2030">
        <f t="shared" si="61"/>
        <v>0</v>
      </c>
      <c r="BS163" s="2030">
        <f t="shared" si="61"/>
        <v>0</v>
      </c>
      <c r="BT163" s="2031"/>
      <c r="BU163" s="2031"/>
      <c r="BV163" s="2031"/>
      <c r="BW163" s="2031"/>
      <c r="BX163" s="2031"/>
      <c r="BY163" s="2031"/>
      <c r="BZ163" s="2031"/>
      <c r="CA163" s="2031"/>
      <c r="CB163" s="2029"/>
      <c r="CC163" s="2029"/>
      <c r="CD163" s="2029"/>
      <c r="CE163" s="2029"/>
      <c r="CF163" s="2029"/>
      <c r="CG163" s="2032"/>
      <c r="CH163" s="1974"/>
      <c r="CI163" s="1974"/>
      <c r="CJ163" s="1974"/>
      <c r="CK163" s="1974"/>
      <c r="CL163" s="1974">
        <v>0</v>
      </c>
      <c r="CM163" s="2033">
        <v>7.2435758512321956E-5</v>
      </c>
      <c r="CN163" s="2026">
        <v>0</v>
      </c>
      <c r="CO163" s="1974">
        <v>0</v>
      </c>
      <c r="CP163" s="2040">
        <v>0</v>
      </c>
      <c r="CQ163" s="2040"/>
      <c r="CR163" s="2062">
        <v>1</v>
      </c>
      <c r="CS163" s="2062">
        <v>1</v>
      </c>
      <c r="CT163" s="2062">
        <v>1</v>
      </c>
      <c r="CU163" s="2062">
        <v>1</v>
      </c>
      <c r="CV163" s="2036"/>
      <c r="CW163" s="2036"/>
      <c r="CX163" s="2036"/>
      <c r="CY163" s="2036"/>
      <c r="CZ163" s="2036"/>
      <c r="DA163" s="2036"/>
    </row>
    <row r="164" spans="1:105" s="2161" customFormat="1" x14ac:dyDescent="0.25">
      <c r="A164" s="2186" t="s">
        <v>180</v>
      </c>
      <c r="B164" s="2187"/>
      <c r="C164" s="2043">
        <v>15</v>
      </c>
      <c r="D164" s="2043">
        <v>0</v>
      </c>
      <c r="E164" s="2044">
        <v>10563.4</v>
      </c>
      <c r="F164" s="2044"/>
      <c r="G164" s="2044">
        <v>55.3</v>
      </c>
      <c r="H164" s="2044"/>
      <c r="I164" s="2043">
        <v>632.79999999999995</v>
      </c>
      <c r="J164" s="2146"/>
      <c r="K164" s="2153" t="s">
        <v>2899</v>
      </c>
      <c r="L164" s="2153" t="s">
        <v>2899</v>
      </c>
      <c r="M164" s="2153">
        <v>0.84899999999999998</v>
      </c>
      <c r="N164" s="2153">
        <v>0.84899999999999998</v>
      </c>
      <c r="O164" s="2153">
        <v>0.84899999999999998</v>
      </c>
      <c r="P164" s="2153">
        <v>0.84899999999999998</v>
      </c>
      <c r="Q164" s="2146">
        <f t="shared" si="62"/>
        <v>8968.3266000000003</v>
      </c>
      <c r="R164" s="2146">
        <f t="shared" si="62"/>
        <v>8968.3266000000003</v>
      </c>
      <c r="S164" s="2146">
        <f t="shared" si="62"/>
        <v>8968.3266000000003</v>
      </c>
      <c r="T164" s="2146">
        <f t="shared" si="62"/>
        <v>8968.3266000000003</v>
      </c>
      <c r="U164" s="2153">
        <v>0.84899999999999998</v>
      </c>
      <c r="V164" s="2153">
        <v>0.84899999999999998</v>
      </c>
      <c r="W164" s="2153">
        <v>0.84899999999999998</v>
      </c>
      <c r="X164" s="2153">
        <v>0.84899999999999998</v>
      </c>
      <c r="Y164" s="2129">
        <f t="shared" si="63"/>
        <v>46.949699999999993</v>
      </c>
      <c r="Z164" s="2129">
        <f t="shared" si="63"/>
        <v>46.949699999999993</v>
      </c>
      <c r="AA164" s="2129">
        <f t="shared" si="63"/>
        <v>46.949699999999993</v>
      </c>
      <c r="AB164" s="2129">
        <f t="shared" si="63"/>
        <v>46.949699999999993</v>
      </c>
      <c r="AC164" s="2153">
        <v>0.67500000000000004</v>
      </c>
      <c r="AD164" s="2153">
        <v>0.67500000000000004</v>
      </c>
      <c r="AE164" s="2153">
        <v>0.67500000000000004</v>
      </c>
      <c r="AF164" s="2153">
        <v>0.67500000000000004</v>
      </c>
      <c r="AG164" s="2146">
        <f t="shared" si="70"/>
        <v>427.14</v>
      </c>
      <c r="AH164" s="2146">
        <f t="shared" si="70"/>
        <v>427.14</v>
      </c>
      <c r="AI164" s="2146">
        <f t="shared" si="70"/>
        <v>427.14</v>
      </c>
      <c r="AJ164" s="2146">
        <f t="shared" si="70"/>
        <v>427.14</v>
      </c>
      <c r="AK164" s="2146">
        <v>1</v>
      </c>
      <c r="AL164" s="2146">
        <v>2</v>
      </c>
      <c r="AM164" s="2146">
        <v>2</v>
      </c>
      <c r="AN164" s="2146">
        <v>2</v>
      </c>
      <c r="AO164" s="2146">
        <f t="shared" si="64"/>
        <v>8968.3266000000003</v>
      </c>
      <c r="AP164" s="2146">
        <f t="shared" si="65"/>
        <v>17936.653200000001</v>
      </c>
      <c r="AQ164" s="2146">
        <f t="shared" si="65"/>
        <v>17936.653200000001</v>
      </c>
      <c r="AR164" s="2146"/>
      <c r="AS164" s="2146">
        <f t="shared" si="66"/>
        <v>17936.653200000001</v>
      </c>
      <c r="AT164" s="2146">
        <f t="shared" si="67"/>
        <v>427.14</v>
      </c>
      <c r="AU164" s="2146">
        <f t="shared" si="68"/>
        <v>854.28</v>
      </c>
      <c r="AV164" s="2146">
        <f t="shared" si="68"/>
        <v>854.28</v>
      </c>
      <c r="AW164" s="2146">
        <f t="shared" si="68"/>
        <v>854.28</v>
      </c>
      <c r="AX164" s="2046">
        <v>768</v>
      </c>
      <c r="AY164" s="2046">
        <v>768</v>
      </c>
      <c r="AZ164" s="2046">
        <v>768</v>
      </c>
      <c r="BA164" s="2046">
        <v>768</v>
      </c>
      <c r="BB164" s="2046">
        <v>32</v>
      </c>
      <c r="BC164" s="2046">
        <v>32</v>
      </c>
      <c r="BD164" s="2046">
        <v>32</v>
      </c>
      <c r="BE164" s="2046">
        <v>32</v>
      </c>
      <c r="BF164" s="2063">
        <v>9000</v>
      </c>
      <c r="BG164" s="2046">
        <v>9000</v>
      </c>
      <c r="BH164" s="2046">
        <v>9000</v>
      </c>
      <c r="BI164" s="2046">
        <v>9000</v>
      </c>
      <c r="BJ164" s="2154">
        <f t="shared" si="58"/>
        <v>768</v>
      </c>
      <c r="BK164" s="2154">
        <f t="shared" si="58"/>
        <v>1536</v>
      </c>
      <c r="BL164" s="2154">
        <f t="shared" si="58"/>
        <v>1536</v>
      </c>
      <c r="BM164" s="2154"/>
      <c r="BN164" s="2154">
        <f t="shared" si="59"/>
        <v>1536</v>
      </c>
      <c r="BO164" s="2154">
        <f t="shared" si="60"/>
        <v>32</v>
      </c>
      <c r="BP164" s="2154"/>
      <c r="BQ164" s="2154">
        <f t="shared" si="61"/>
        <v>64</v>
      </c>
      <c r="BR164" s="2154">
        <f t="shared" si="61"/>
        <v>64</v>
      </c>
      <c r="BS164" s="2154">
        <f t="shared" si="61"/>
        <v>64</v>
      </c>
      <c r="BT164" s="2063"/>
      <c r="BU164" s="2063"/>
      <c r="BV164" s="2063"/>
      <c r="BW164" s="2063"/>
      <c r="BX164" s="2063"/>
      <c r="BY164" s="2063"/>
      <c r="BZ164" s="2063"/>
      <c r="CA164" s="2063"/>
      <c r="CB164" s="2046"/>
      <c r="CC164" s="2046"/>
      <c r="CD164" s="2046"/>
      <c r="CE164" s="2046"/>
      <c r="CF164" s="2046"/>
      <c r="CG164" s="2156"/>
      <c r="CH164" s="2047"/>
      <c r="CI164" s="2047"/>
      <c r="CJ164" s="2047"/>
      <c r="CK164" s="2047"/>
      <c r="CL164" s="2047">
        <v>0</v>
      </c>
      <c r="CM164" s="2157">
        <v>3.0039568603527863E-5</v>
      </c>
      <c r="CN164" s="2153">
        <v>1.3758975026968048E-4</v>
      </c>
      <c r="CO164" s="2047">
        <v>1</v>
      </c>
      <c r="CP164" s="2188">
        <v>150</v>
      </c>
      <c r="CQ164" s="2188"/>
      <c r="CR164" s="2189">
        <v>1</v>
      </c>
      <c r="CS164" s="2189">
        <v>1</v>
      </c>
      <c r="CT164" s="2189">
        <v>1</v>
      </c>
      <c r="CU164" s="2189">
        <v>1</v>
      </c>
      <c r="CV164" s="2160"/>
      <c r="CW164" s="2160"/>
      <c r="CX164" s="2160"/>
      <c r="CY164" s="2160"/>
      <c r="CZ164" s="2160"/>
      <c r="DA164" s="2160"/>
    </row>
    <row r="165" spans="1:105" x14ac:dyDescent="0.25">
      <c r="A165" s="2185" t="s">
        <v>259</v>
      </c>
      <c r="B165" s="2022"/>
      <c r="C165" s="2023"/>
      <c r="D165" s="2023">
        <v>0</v>
      </c>
      <c r="E165" s="2024"/>
      <c r="F165" s="2024"/>
      <c r="G165" s="2024"/>
      <c r="H165" s="2024"/>
      <c r="I165" s="2023"/>
      <c r="J165" s="2027"/>
      <c r="K165" s="2026" t="s">
        <v>20</v>
      </c>
      <c r="L165" s="2026" t="s">
        <v>20</v>
      </c>
      <c r="M165" s="2026">
        <v>0.55700000000000005</v>
      </c>
      <c r="N165" s="2026">
        <v>0.55700000000000005</v>
      </c>
      <c r="O165" s="2026">
        <v>0.55700000000000005</v>
      </c>
      <c r="P165" s="2026">
        <v>0.55700000000000005</v>
      </c>
      <c r="Q165" s="2027">
        <f t="shared" si="62"/>
        <v>0</v>
      </c>
      <c r="R165" s="2027">
        <f t="shared" si="62"/>
        <v>0</v>
      </c>
      <c r="S165" s="2027">
        <f t="shared" si="62"/>
        <v>0</v>
      </c>
      <c r="T165" s="2027">
        <f t="shared" si="62"/>
        <v>0</v>
      </c>
      <c r="U165" s="2026">
        <v>0.55700000000000005</v>
      </c>
      <c r="V165" s="2026">
        <v>0.55700000000000005</v>
      </c>
      <c r="W165" s="2026">
        <v>0.55700000000000005</v>
      </c>
      <c r="X165" s="2026">
        <v>0.55700000000000005</v>
      </c>
      <c r="Y165" s="2028">
        <f t="shared" si="63"/>
        <v>0</v>
      </c>
      <c r="Z165" s="2028">
        <f t="shared" si="63"/>
        <v>0</v>
      </c>
      <c r="AA165" s="2028">
        <f t="shared" si="63"/>
        <v>0</v>
      </c>
      <c r="AB165" s="2028">
        <f t="shared" si="63"/>
        <v>0</v>
      </c>
      <c r="AC165" s="2026">
        <v>0.49399999999999999</v>
      </c>
      <c r="AD165" s="2026">
        <v>0.49399999999999999</v>
      </c>
      <c r="AE165" s="2026">
        <v>0.49399999999999999</v>
      </c>
      <c r="AF165" s="2026">
        <v>0.49399999999999999</v>
      </c>
      <c r="AG165" s="2027">
        <f t="shared" si="70"/>
        <v>0</v>
      </c>
      <c r="AH165" s="2027">
        <f t="shared" si="70"/>
        <v>0</v>
      </c>
      <c r="AI165" s="2027">
        <f t="shared" si="70"/>
        <v>0</v>
      </c>
      <c r="AJ165" s="2027">
        <f t="shared" si="70"/>
        <v>0</v>
      </c>
      <c r="AK165" s="2027">
        <v>0</v>
      </c>
      <c r="AL165" s="2027">
        <v>0</v>
      </c>
      <c r="AM165" s="2027">
        <v>0</v>
      </c>
      <c r="AN165" s="2027">
        <v>0</v>
      </c>
      <c r="AO165" s="2027">
        <f t="shared" si="64"/>
        <v>0</v>
      </c>
      <c r="AP165" s="2027">
        <f t="shared" si="65"/>
        <v>0</v>
      </c>
      <c r="AQ165" s="2027">
        <f t="shared" si="65"/>
        <v>0</v>
      </c>
      <c r="AR165" s="2027"/>
      <c r="AS165" s="2027">
        <f t="shared" si="66"/>
        <v>0</v>
      </c>
      <c r="AT165" s="2027">
        <f t="shared" si="67"/>
        <v>0</v>
      </c>
      <c r="AU165" s="2027">
        <f t="shared" si="68"/>
        <v>0</v>
      </c>
      <c r="AV165" s="2027">
        <f t="shared" si="68"/>
        <v>0</v>
      </c>
      <c r="AW165" s="2027">
        <f t="shared" si="68"/>
        <v>0</v>
      </c>
      <c r="AX165" s="2031"/>
      <c r="AY165" s="2029">
        <v>0</v>
      </c>
      <c r="AZ165" s="2029">
        <v>0</v>
      </c>
      <c r="BA165" s="2029">
        <v>0</v>
      </c>
      <c r="BB165" s="1974"/>
      <c r="BC165" s="2029">
        <v>0</v>
      </c>
      <c r="BD165" s="2029">
        <v>0</v>
      </c>
      <c r="BE165" s="2029">
        <v>0</v>
      </c>
      <c r="BF165" s="1974"/>
      <c r="BG165" s="2029">
        <v>0</v>
      </c>
      <c r="BH165" s="2029">
        <v>0</v>
      </c>
      <c r="BI165" s="2029">
        <v>0</v>
      </c>
      <c r="BJ165" s="2030">
        <f t="shared" si="58"/>
        <v>0</v>
      </c>
      <c r="BK165" s="2030">
        <f t="shared" si="58"/>
        <v>0</v>
      </c>
      <c r="BL165" s="2030">
        <f t="shared" si="58"/>
        <v>0</v>
      </c>
      <c r="BM165" s="2030"/>
      <c r="BN165" s="2030">
        <f t="shared" si="59"/>
        <v>0</v>
      </c>
      <c r="BO165" s="2030">
        <f t="shared" si="60"/>
        <v>0</v>
      </c>
      <c r="BP165" s="2030"/>
      <c r="BQ165" s="2030">
        <f t="shared" si="61"/>
        <v>0</v>
      </c>
      <c r="BR165" s="2030">
        <f t="shared" si="61"/>
        <v>0</v>
      </c>
      <c r="BS165" s="2030">
        <f t="shared" si="61"/>
        <v>0</v>
      </c>
      <c r="BT165" s="2031"/>
      <c r="BU165" s="2031"/>
      <c r="BV165" s="2031"/>
      <c r="BW165" s="2031"/>
      <c r="BX165" s="2031"/>
      <c r="BY165" s="2031"/>
      <c r="BZ165" s="2031"/>
      <c r="CA165" s="2031"/>
      <c r="CB165" s="2029"/>
      <c r="CC165" s="2029"/>
      <c r="CD165" s="2029"/>
      <c r="CE165" s="2029"/>
      <c r="CF165" s="2029"/>
      <c r="CG165" s="2032"/>
      <c r="CH165" s="1974"/>
      <c r="CI165" s="1974"/>
      <c r="CJ165" s="1974"/>
      <c r="CK165" s="1974"/>
      <c r="CL165" s="1974">
        <v>0</v>
      </c>
      <c r="CM165" s="2033">
        <v>0</v>
      </c>
      <c r="CN165" s="2026">
        <v>0</v>
      </c>
      <c r="CO165" s="1974">
        <v>0</v>
      </c>
      <c r="CP165" s="2040">
        <v>0</v>
      </c>
      <c r="CQ165" s="2040"/>
      <c r="CR165" s="2062">
        <v>1</v>
      </c>
      <c r="CS165" s="2062">
        <v>1</v>
      </c>
      <c r="CT165" s="2062">
        <v>1</v>
      </c>
      <c r="CU165" s="2062">
        <v>1</v>
      </c>
      <c r="CV165" s="2036"/>
      <c r="CW165" s="2036"/>
      <c r="CX165" s="2036"/>
      <c r="CY165" s="2036"/>
      <c r="CZ165" s="2036"/>
      <c r="DA165" s="2036"/>
    </row>
    <row r="166" spans="1:105" x14ac:dyDescent="0.25">
      <c r="A166" s="2185" t="s">
        <v>181</v>
      </c>
      <c r="B166" s="2022"/>
      <c r="C166" s="2023">
        <v>15</v>
      </c>
      <c r="D166" s="2023">
        <v>0</v>
      </c>
      <c r="E166" s="2024">
        <v>-1388</v>
      </c>
      <c r="F166" s="2024"/>
      <c r="G166" s="2024">
        <v>-0.22</v>
      </c>
      <c r="H166" s="2024"/>
      <c r="I166" s="2023">
        <v>1788</v>
      </c>
      <c r="J166" s="2027"/>
      <c r="K166" s="2026" t="s">
        <v>20</v>
      </c>
      <c r="L166" s="2026" t="s">
        <v>20</v>
      </c>
      <c r="M166" s="2026">
        <v>0.55700000000000005</v>
      </c>
      <c r="N166" s="2026">
        <v>0.55700000000000005</v>
      </c>
      <c r="O166" s="2026">
        <v>0.55700000000000005</v>
      </c>
      <c r="P166" s="2026">
        <v>0.55700000000000005</v>
      </c>
      <c r="Q166" s="2027">
        <f t="shared" si="62"/>
        <v>-773.1160000000001</v>
      </c>
      <c r="R166" s="2027">
        <f t="shared" si="62"/>
        <v>-773.1160000000001</v>
      </c>
      <c r="S166" s="2027">
        <f t="shared" si="62"/>
        <v>-773.1160000000001</v>
      </c>
      <c r="T166" s="2027">
        <f t="shared" si="62"/>
        <v>-773.1160000000001</v>
      </c>
      <c r="U166" s="2026">
        <v>0.55700000000000005</v>
      </c>
      <c r="V166" s="2026">
        <v>0.55700000000000005</v>
      </c>
      <c r="W166" s="2026">
        <v>0.55700000000000005</v>
      </c>
      <c r="X166" s="2026">
        <v>0.55700000000000005</v>
      </c>
      <c r="Y166" s="2028">
        <f t="shared" si="63"/>
        <v>-0.12254000000000001</v>
      </c>
      <c r="Z166" s="2028">
        <f t="shared" si="63"/>
        <v>-0.12254000000000001</v>
      </c>
      <c r="AA166" s="2028">
        <f t="shared" si="63"/>
        <v>-0.12254000000000001</v>
      </c>
      <c r="AB166" s="2028">
        <f t="shared" si="63"/>
        <v>-0.12254000000000001</v>
      </c>
      <c r="AC166" s="2026">
        <v>0.49399999999999999</v>
      </c>
      <c r="AD166" s="2026">
        <v>0.49399999999999999</v>
      </c>
      <c r="AE166" s="2026">
        <v>0.49399999999999999</v>
      </c>
      <c r="AF166" s="2026">
        <v>0.49399999999999999</v>
      </c>
      <c r="AG166" s="2027">
        <f t="shared" si="70"/>
        <v>883.27199999999993</v>
      </c>
      <c r="AH166" s="2027">
        <f t="shared" si="70"/>
        <v>883.27199999999993</v>
      </c>
      <c r="AI166" s="2027">
        <f t="shared" si="70"/>
        <v>883.27199999999993</v>
      </c>
      <c r="AJ166" s="2027">
        <f t="shared" si="70"/>
        <v>883.27199999999993</v>
      </c>
      <c r="AK166" s="2027">
        <v>22</v>
      </c>
      <c r="AL166" s="2027">
        <v>23</v>
      </c>
      <c r="AM166" s="2027">
        <v>23</v>
      </c>
      <c r="AN166" s="2027">
        <v>23</v>
      </c>
      <c r="AO166" s="2027">
        <f t="shared" si="64"/>
        <v>-17008.552000000003</v>
      </c>
      <c r="AP166" s="2027">
        <f t="shared" si="65"/>
        <v>-17781.668000000001</v>
      </c>
      <c r="AQ166" s="2027">
        <f t="shared" si="65"/>
        <v>-17781.668000000001</v>
      </c>
      <c r="AR166" s="2027"/>
      <c r="AS166" s="2027">
        <f t="shared" si="66"/>
        <v>-17781.668000000001</v>
      </c>
      <c r="AT166" s="2027">
        <f t="shared" si="67"/>
        <v>19431.983999999997</v>
      </c>
      <c r="AU166" s="2027">
        <f t="shared" si="68"/>
        <v>20315.255999999998</v>
      </c>
      <c r="AV166" s="2027">
        <f t="shared" si="68"/>
        <v>20315.255999999998</v>
      </c>
      <c r="AW166" s="2027">
        <f t="shared" si="68"/>
        <v>20315.255999999998</v>
      </c>
      <c r="AX166" s="1974"/>
      <c r="AY166" s="2029">
        <v>0</v>
      </c>
      <c r="AZ166" s="2029">
        <v>0</v>
      </c>
      <c r="BA166" s="2029">
        <v>0</v>
      </c>
      <c r="BB166" s="2031">
        <v>2500</v>
      </c>
      <c r="BC166" s="2029">
        <v>2500</v>
      </c>
      <c r="BD166" s="2029">
        <v>2500</v>
      </c>
      <c r="BE166" s="2029">
        <v>2500</v>
      </c>
      <c r="BF166" s="2031">
        <v>2710</v>
      </c>
      <c r="BG166" s="2029">
        <v>2710</v>
      </c>
      <c r="BH166" s="2029">
        <v>2710</v>
      </c>
      <c r="BI166" s="2029">
        <v>2710</v>
      </c>
      <c r="BJ166" s="2030">
        <f t="shared" ref="BJ166:BL198" si="71">AX166*AK166</f>
        <v>0</v>
      </c>
      <c r="BK166" s="2030">
        <f t="shared" si="71"/>
        <v>0</v>
      </c>
      <c r="BL166" s="2030">
        <f t="shared" si="71"/>
        <v>0</v>
      </c>
      <c r="BM166" s="2030"/>
      <c r="BN166" s="2030">
        <f t="shared" si="59"/>
        <v>0</v>
      </c>
      <c r="BO166" s="2030">
        <f t="shared" si="60"/>
        <v>55000</v>
      </c>
      <c r="BP166" s="2030"/>
      <c r="BQ166" s="2030">
        <f t="shared" ref="BQ166:BS198" si="72">BC166*AL166</f>
        <v>57500</v>
      </c>
      <c r="BR166" s="2030">
        <f t="shared" si="72"/>
        <v>57500</v>
      </c>
      <c r="BS166" s="2030">
        <f t="shared" si="72"/>
        <v>57500</v>
      </c>
      <c r="BT166" s="2031"/>
      <c r="BU166" s="2031"/>
      <c r="BV166" s="2031"/>
      <c r="BW166" s="2031"/>
      <c r="BX166" s="2031"/>
      <c r="BY166" s="2031"/>
      <c r="BZ166" s="2031"/>
      <c r="CA166" s="2031"/>
      <c r="CB166" s="2029"/>
      <c r="CC166" s="2029"/>
      <c r="CD166" s="2029"/>
      <c r="CE166" s="2029"/>
      <c r="CF166" s="2029"/>
      <c r="CG166" s="2032"/>
      <c r="CH166" s="1974"/>
      <c r="CI166" s="1974"/>
      <c r="CJ166" s="1974"/>
      <c r="CK166" s="1974"/>
      <c r="CL166" s="1974">
        <v>0</v>
      </c>
      <c r="CM166" s="2033">
        <v>-6.214957725688104E-5</v>
      </c>
      <c r="CN166" s="2026">
        <v>6.8284407304509739E-3</v>
      </c>
      <c r="CO166" s="1974">
        <v>1</v>
      </c>
      <c r="CP166" s="2040">
        <v>25</v>
      </c>
      <c r="CQ166" s="2040"/>
      <c r="CR166" s="2062">
        <v>1</v>
      </c>
      <c r="CS166" s="2062">
        <v>1</v>
      </c>
      <c r="CT166" s="2062">
        <v>1</v>
      </c>
      <c r="CU166" s="2062">
        <v>1</v>
      </c>
      <c r="CV166" s="2036"/>
      <c r="CW166" s="2036"/>
      <c r="CX166" s="2036"/>
      <c r="CY166" s="2036"/>
      <c r="CZ166" s="2036"/>
      <c r="DA166" s="2036"/>
    </row>
    <row r="167" spans="1:105" x14ac:dyDescent="0.25">
      <c r="A167" s="2185" t="s">
        <v>182</v>
      </c>
      <c r="B167" s="2022"/>
      <c r="C167" s="2023">
        <v>14</v>
      </c>
      <c r="D167" s="2023">
        <v>0</v>
      </c>
      <c r="E167" s="2024">
        <v>0</v>
      </c>
      <c r="F167" s="2024"/>
      <c r="G167" s="2024">
        <v>0</v>
      </c>
      <c r="H167" s="2024"/>
      <c r="I167" s="2023">
        <v>405</v>
      </c>
      <c r="J167" s="2027"/>
      <c r="K167" s="2026" t="s">
        <v>2899</v>
      </c>
      <c r="L167" s="2026" t="s">
        <v>2899</v>
      </c>
      <c r="M167" s="2026">
        <v>0.84899999999999998</v>
      </c>
      <c r="N167" s="2026">
        <v>0.84899999999999998</v>
      </c>
      <c r="O167" s="2026">
        <v>0.84899999999999998</v>
      </c>
      <c r="P167" s="2026">
        <v>0.84899999999999998</v>
      </c>
      <c r="Q167" s="2027">
        <f t="shared" si="62"/>
        <v>0</v>
      </c>
      <c r="R167" s="2027">
        <f t="shared" si="62"/>
        <v>0</v>
      </c>
      <c r="S167" s="2027">
        <f t="shared" si="62"/>
        <v>0</v>
      </c>
      <c r="T167" s="2027">
        <f t="shared" si="62"/>
        <v>0</v>
      </c>
      <c r="U167" s="2026">
        <v>0.84899999999999998</v>
      </c>
      <c r="V167" s="2026">
        <v>0.84899999999999998</v>
      </c>
      <c r="W167" s="2026">
        <v>0.84899999999999998</v>
      </c>
      <c r="X167" s="2026">
        <v>0.84899999999999998</v>
      </c>
      <c r="Y167" s="2028">
        <f t="shared" si="63"/>
        <v>0</v>
      </c>
      <c r="Z167" s="2028">
        <f t="shared" si="63"/>
        <v>0</v>
      </c>
      <c r="AA167" s="2028">
        <f t="shared" si="63"/>
        <v>0</v>
      </c>
      <c r="AB167" s="2028">
        <f t="shared" si="63"/>
        <v>0</v>
      </c>
      <c r="AC167" s="2026">
        <v>0.67500000000000004</v>
      </c>
      <c r="AD167" s="2026">
        <v>0.67500000000000004</v>
      </c>
      <c r="AE167" s="2026">
        <v>0.67500000000000004</v>
      </c>
      <c r="AF167" s="2026">
        <v>0.67500000000000004</v>
      </c>
      <c r="AG167" s="2027">
        <f t="shared" si="70"/>
        <v>273.375</v>
      </c>
      <c r="AH167" s="2027">
        <f t="shared" si="70"/>
        <v>273.375</v>
      </c>
      <c r="AI167" s="2027">
        <f t="shared" si="70"/>
        <v>273.375</v>
      </c>
      <c r="AJ167" s="2027">
        <f t="shared" si="70"/>
        <v>273.375</v>
      </c>
      <c r="AK167" s="2027">
        <v>5</v>
      </c>
      <c r="AL167" s="2027">
        <v>5</v>
      </c>
      <c r="AM167" s="2027">
        <v>5</v>
      </c>
      <c r="AN167" s="2027">
        <v>4</v>
      </c>
      <c r="AO167" s="2027">
        <f t="shared" si="64"/>
        <v>0</v>
      </c>
      <c r="AP167" s="2027">
        <f t="shared" si="65"/>
        <v>0</v>
      </c>
      <c r="AQ167" s="2027">
        <f t="shared" si="65"/>
        <v>0</v>
      </c>
      <c r="AR167" s="2027"/>
      <c r="AS167" s="2027">
        <f t="shared" si="66"/>
        <v>0</v>
      </c>
      <c r="AT167" s="2027">
        <f t="shared" si="67"/>
        <v>1366.875</v>
      </c>
      <c r="AU167" s="2027">
        <f t="shared" si="68"/>
        <v>1366.875</v>
      </c>
      <c r="AV167" s="2027">
        <f t="shared" si="68"/>
        <v>1366.875</v>
      </c>
      <c r="AW167" s="2027">
        <f t="shared" si="68"/>
        <v>1093.5</v>
      </c>
      <c r="AX167" s="1974"/>
      <c r="AY167" s="2029">
        <v>0</v>
      </c>
      <c r="AZ167" s="2029">
        <v>0</v>
      </c>
      <c r="BA167" s="2029">
        <v>0</v>
      </c>
      <c r="BB167" s="2031">
        <v>650</v>
      </c>
      <c r="BC167" s="2029">
        <v>650</v>
      </c>
      <c r="BD167" s="2029">
        <v>650</v>
      </c>
      <c r="BE167" s="2029">
        <v>650</v>
      </c>
      <c r="BF167" s="2031">
        <v>700</v>
      </c>
      <c r="BG167" s="2029">
        <v>700</v>
      </c>
      <c r="BH167" s="2029">
        <v>700</v>
      </c>
      <c r="BI167" s="2029">
        <v>700</v>
      </c>
      <c r="BJ167" s="2030">
        <f t="shared" si="71"/>
        <v>0</v>
      </c>
      <c r="BK167" s="2030">
        <f t="shared" si="71"/>
        <v>0</v>
      </c>
      <c r="BL167" s="2030">
        <f t="shared" si="71"/>
        <v>0</v>
      </c>
      <c r="BM167" s="2030"/>
      <c r="BN167" s="2030">
        <f t="shared" si="59"/>
        <v>0</v>
      </c>
      <c r="BO167" s="2030">
        <f t="shared" si="60"/>
        <v>3250</v>
      </c>
      <c r="BP167" s="2030"/>
      <c r="BQ167" s="2030">
        <f t="shared" si="72"/>
        <v>3250</v>
      </c>
      <c r="BR167" s="2030">
        <f t="shared" si="72"/>
        <v>3250</v>
      </c>
      <c r="BS167" s="2030">
        <f t="shared" si="72"/>
        <v>2600</v>
      </c>
      <c r="BT167" s="2031"/>
      <c r="BU167" s="2031"/>
      <c r="BV167" s="2031"/>
      <c r="BW167" s="2031"/>
      <c r="BX167" s="2031"/>
      <c r="BY167" s="2031"/>
      <c r="BZ167" s="2031"/>
      <c r="CA167" s="2031"/>
      <c r="CB167" s="2029"/>
      <c r="CC167" s="2029"/>
      <c r="CD167" s="2029"/>
      <c r="CE167" s="2029"/>
      <c r="CF167" s="2029"/>
      <c r="CG167" s="2032"/>
      <c r="CH167" s="1974"/>
      <c r="CI167" s="1974"/>
      <c r="CJ167" s="1974"/>
      <c r="CK167" s="1974"/>
      <c r="CL167" s="1974">
        <v>0</v>
      </c>
      <c r="CM167" s="2033">
        <v>0</v>
      </c>
      <c r="CN167" s="2026">
        <v>4.402958980659023E-4</v>
      </c>
      <c r="CO167" s="1974">
        <v>0</v>
      </c>
      <c r="CP167" s="2040">
        <v>0</v>
      </c>
      <c r="CQ167" s="2040"/>
      <c r="CR167" s="2062">
        <v>1</v>
      </c>
      <c r="CS167" s="2062">
        <v>1</v>
      </c>
      <c r="CT167" s="2062">
        <v>1</v>
      </c>
      <c r="CU167" s="2062">
        <v>1</v>
      </c>
      <c r="CV167" s="2036"/>
      <c r="CW167" s="2036"/>
      <c r="CX167" s="2036"/>
      <c r="CY167" s="2036"/>
      <c r="CZ167" s="2036"/>
      <c r="DA167" s="2036"/>
    </row>
    <row r="168" spans="1:105" x14ac:dyDescent="0.25">
      <c r="A168" s="2185" t="s">
        <v>260</v>
      </c>
      <c r="B168" s="2022"/>
      <c r="C168" s="2023"/>
      <c r="D168" s="2023">
        <v>0</v>
      </c>
      <c r="E168" s="2024"/>
      <c r="F168" s="2024"/>
      <c r="G168" s="2024"/>
      <c r="H168" s="2024"/>
      <c r="I168" s="2023"/>
      <c r="J168" s="2027"/>
      <c r="K168" s="2026" t="s">
        <v>2960</v>
      </c>
      <c r="L168" s="2026" t="s">
        <v>2960</v>
      </c>
      <c r="M168" s="2026">
        <v>0.83099999999999996</v>
      </c>
      <c r="N168" s="2026">
        <v>0.83099999999999996</v>
      </c>
      <c r="O168" s="2026">
        <v>0.83099999999999996</v>
      </c>
      <c r="P168" s="2026">
        <v>0.83099999999999996</v>
      </c>
      <c r="Q168" s="2027">
        <f t="shared" si="62"/>
        <v>0</v>
      </c>
      <c r="R168" s="2027">
        <f t="shared" si="62"/>
        <v>0</v>
      </c>
      <c r="S168" s="2027">
        <f t="shared" si="62"/>
        <v>0</v>
      </c>
      <c r="T168" s="2027">
        <f t="shared" si="62"/>
        <v>0</v>
      </c>
      <c r="U168" s="2026">
        <v>0.83099999999999996</v>
      </c>
      <c r="V168" s="2026">
        <v>0.83099999999999996</v>
      </c>
      <c r="W168" s="2026">
        <v>0.83099999999999996</v>
      </c>
      <c r="X168" s="2026">
        <v>0.83099999999999996</v>
      </c>
      <c r="Y168" s="2028">
        <f t="shared" si="63"/>
        <v>0</v>
      </c>
      <c r="Z168" s="2028">
        <f t="shared" si="63"/>
        <v>0</v>
      </c>
      <c r="AA168" s="2028">
        <f t="shared" si="63"/>
        <v>0</v>
      </c>
      <c r="AB168" s="2028">
        <f t="shared" si="63"/>
        <v>0</v>
      </c>
      <c r="AC168" s="2026">
        <v>0.83099999999999996</v>
      </c>
      <c r="AD168" s="2026">
        <v>0.83099999999999996</v>
      </c>
      <c r="AE168" s="2026">
        <v>0.83099999999999996</v>
      </c>
      <c r="AF168" s="2026">
        <v>0.83099999999999996</v>
      </c>
      <c r="AG168" s="2027">
        <f t="shared" si="70"/>
        <v>0</v>
      </c>
      <c r="AH168" s="2027">
        <f t="shared" si="70"/>
        <v>0</v>
      </c>
      <c r="AI168" s="2027">
        <f t="shared" si="70"/>
        <v>0</v>
      </c>
      <c r="AJ168" s="2027">
        <f t="shared" si="70"/>
        <v>0</v>
      </c>
      <c r="AK168" s="2027">
        <v>0</v>
      </c>
      <c r="AL168" s="2027">
        <v>0</v>
      </c>
      <c r="AM168" s="2027">
        <v>0</v>
      </c>
      <c r="AN168" s="2027">
        <v>0</v>
      </c>
      <c r="AO168" s="2027">
        <f t="shared" si="64"/>
        <v>0</v>
      </c>
      <c r="AP168" s="2027">
        <f t="shared" ref="AP168:AQ198" si="73">AL168*R168*CS168</f>
        <v>0</v>
      </c>
      <c r="AQ168" s="2027">
        <f t="shared" si="73"/>
        <v>0</v>
      </c>
      <c r="AR168" s="2027"/>
      <c r="AS168" s="2027">
        <f t="shared" si="66"/>
        <v>0</v>
      </c>
      <c r="AT168" s="2027">
        <f t="shared" si="67"/>
        <v>0</v>
      </c>
      <c r="AU168" s="2027">
        <f t="shared" ref="AU168:AW198" si="74">AL168*AH168*CS168</f>
        <v>0</v>
      </c>
      <c r="AV168" s="2027">
        <f t="shared" si="74"/>
        <v>0</v>
      </c>
      <c r="AW168" s="2027">
        <f t="shared" si="74"/>
        <v>0</v>
      </c>
      <c r="AX168" s="1974"/>
      <c r="AY168" s="2029">
        <v>0</v>
      </c>
      <c r="AZ168" s="2029">
        <v>0</v>
      </c>
      <c r="BA168" s="2029">
        <v>0</v>
      </c>
      <c r="BB168" s="1974"/>
      <c r="BC168" s="2029">
        <v>0</v>
      </c>
      <c r="BD168" s="2029">
        <v>0</v>
      </c>
      <c r="BE168" s="2029">
        <v>0</v>
      </c>
      <c r="BF168" s="1974"/>
      <c r="BG168" s="2029">
        <v>0</v>
      </c>
      <c r="BH168" s="2029">
        <v>0</v>
      </c>
      <c r="BI168" s="2029">
        <v>0</v>
      </c>
      <c r="BJ168" s="2030">
        <f t="shared" si="71"/>
        <v>0</v>
      </c>
      <c r="BK168" s="2030">
        <f t="shared" si="71"/>
        <v>0</v>
      </c>
      <c r="BL168" s="2030">
        <f t="shared" si="71"/>
        <v>0</v>
      </c>
      <c r="BM168" s="2030"/>
      <c r="BN168" s="2030">
        <f t="shared" si="59"/>
        <v>0</v>
      </c>
      <c r="BO168" s="2030">
        <f t="shared" si="60"/>
        <v>0</v>
      </c>
      <c r="BP168" s="2030"/>
      <c r="BQ168" s="2030">
        <f t="shared" si="72"/>
        <v>0</v>
      </c>
      <c r="BR168" s="2030">
        <f t="shared" si="72"/>
        <v>0</v>
      </c>
      <c r="BS168" s="2030">
        <f t="shared" si="72"/>
        <v>0</v>
      </c>
      <c r="BT168" s="2031"/>
      <c r="BU168" s="2031"/>
      <c r="BV168" s="2031"/>
      <c r="BW168" s="2031"/>
      <c r="BX168" s="2031"/>
      <c r="BY168" s="2031"/>
      <c r="BZ168" s="2031"/>
      <c r="CA168" s="2031"/>
      <c r="CB168" s="2029"/>
      <c r="CC168" s="2029"/>
      <c r="CD168" s="2029"/>
      <c r="CE168" s="2029"/>
      <c r="CF168" s="2029"/>
      <c r="CG168" s="2032"/>
      <c r="CH168" s="1974"/>
      <c r="CI168" s="1974"/>
      <c r="CJ168" s="1974"/>
      <c r="CK168" s="1974"/>
      <c r="CL168" s="1974">
        <v>0</v>
      </c>
      <c r="CM168" s="2033">
        <v>0</v>
      </c>
      <c r="CN168" s="2026">
        <v>0</v>
      </c>
      <c r="CO168" s="1974">
        <v>0</v>
      </c>
      <c r="CP168" s="2040">
        <v>0</v>
      </c>
      <c r="CQ168" s="2040"/>
      <c r="CR168" s="2062">
        <v>1</v>
      </c>
      <c r="CS168" s="2062">
        <v>1</v>
      </c>
      <c r="CT168" s="2062">
        <v>1</v>
      </c>
      <c r="CU168" s="2062">
        <v>1</v>
      </c>
      <c r="CV168" s="2036"/>
      <c r="CW168" s="2036"/>
      <c r="CX168" s="2036"/>
      <c r="CY168" s="2036"/>
      <c r="CZ168" s="2036"/>
      <c r="DA168" s="2036"/>
    </row>
    <row r="169" spans="1:105" x14ac:dyDescent="0.25">
      <c r="A169" s="2185" t="s">
        <v>261</v>
      </c>
      <c r="B169" s="2022"/>
      <c r="C169" s="2023"/>
      <c r="D169" s="2023">
        <v>0</v>
      </c>
      <c r="E169" s="2024"/>
      <c r="F169" s="2024"/>
      <c r="G169" s="2024"/>
      <c r="H169" s="2024"/>
      <c r="I169" s="2023"/>
      <c r="J169" s="2027"/>
      <c r="K169" s="2026" t="s">
        <v>2899</v>
      </c>
      <c r="L169" s="2026" t="s">
        <v>2899</v>
      </c>
      <c r="M169" s="2026">
        <v>0.84899999999999998</v>
      </c>
      <c r="N169" s="2026">
        <v>0.84899999999999998</v>
      </c>
      <c r="O169" s="2026">
        <v>0.84899999999999998</v>
      </c>
      <c r="P169" s="2026">
        <v>0.84899999999999998</v>
      </c>
      <c r="Q169" s="2027">
        <f t="shared" si="62"/>
        <v>0</v>
      </c>
      <c r="R169" s="2027">
        <f t="shared" si="62"/>
        <v>0</v>
      </c>
      <c r="S169" s="2027">
        <f t="shared" si="62"/>
        <v>0</v>
      </c>
      <c r="T169" s="2027">
        <f t="shared" si="62"/>
        <v>0</v>
      </c>
      <c r="U169" s="2026">
        <v>0.84899999999999998</v>
      </c>
      <c r="V169" s="2026">
        <v>0.84899999999999998</v>
      </c>
      <c r="W169" s="2026">
        <v>0.84899999999999998</v>
      </c>
      <c r="X169" s="2026">
        <v>0.84899999999999998</v>
      </c>
      <c r="Y169" s="2028">
        <f t="shared" si="63"/>
        <v>0</v>
      </c>
      <c r="Z169" s="2028">
        <f t="shared" si="63"/>
        <v>0</v>
      </c>
      <c r="AA169" s="2028">
        <f t="shared" si="63"/>
        <v>0</v>
      </c>
      <c r="AB169" s="2028">
        <f t="shared" si="63"/>
        <v>0</v>
      </c>
      <c r="AC169" s="2026">
        <v>0.67500000000000004</v>
      </c>
      <c r="AD169" s="2026">
        <v>0.67500000000000004</v>
      </c>
      <c r="AE169" s="2026">
        <v>0.67500000000000004</v>
      </c>
      <c r="AF169" s="2026">
        <v>0.67500000000000004</v>
      </c>
      <c r="AG169" s="2027">
        <f t="shared" si="70"/>
        <v>0</v>
      </c>
      <c r="AH169" s="2027">
        <f t="shared" si="70"/>
        <v>0</v>
      </c>
      <c r="AI169" s="2027">
        <f t="shared" si="70"/>
        <v>0</v>
      </c>
      <c r="AJ169" s="2027">
        <f t="shared" si="70"/>
        <v>0</v>
      </c>
      <c r="AK169" s="2027">
        <v>0</v>
      </c>
      <c r="AL169" s="2027">
        <v>0</v>
      </c>
      <c r="AM169" s="2027">
        <v>0</v>
      </c>
      <c r="AN169" s="2027">
        <v>0</v>
      </c>
      <c r="AO169" s="2027">
        <f t="shared" si="64"/>
        <v>0</v>
      </c>
      <c r="AP169" s="2027">
        <f t="shared" si="73"/>
        <v>0</v>
      </c>
      <c r="AQ169" s="2027">
        <f t="shared" si="73"/>
        <v>0</v>
      </c>
      <c r="AR169" s="2027"/>
      <c r="AS169" s="2027">
        <f t="shared" si="66"/>
        <v>0</v>
      </c>
      <c r="AT169" s="2027">
        <f t="shared" si="67"/>
        <v>0</v>
      </c>
      <c r="AU169" s="2027">
        <f t="shared" si="74"/>
        <v>0</v>
      </c>
      <c r="AV169" s="2027">
        <f t="shared" si="74"/>
        <v>0</v>
      </c>
      <c r="AW169" s="2027">
        <f t="shared" si="74"/>
        <v>0</v>
      </c>
      <c r="AX169" s="1974"/>
      <c r="AY169" s="2029">
        <v>0</v>
      </c>
      <c r="AZ169" s="2029">
        <v>0</v>
      </c>
      <c r="BA169" s="2029">
        <v>0</v>
      </c>
      <c r="BB169" s="1974"/>
      <c r="BC169" s="2029">
        <v>0</v>
      </c>
      <c r="BD169" s="2029">
        <v>0</v>
      </c>
      <c r="BE169" s="2029">
        <v>0</v>
      </c>
      <c r="BF169" s="1974"/>
      <c r="BG169" s="2029">
        <v>0</v>
      </c>
      <c r="BH169" s="2029">
        <v>0</v>
      </c>
      <c r="BI169" s="2029">
        <v>0</v>
      </c>
      <c r="BJ169" s="2030">
        <f t="shared" si="71"/>
        <v>0</v>
      </c>
      <c r="BK169" s="2030">
        <f t="shared" si="71"/>
        <v>0</v>
      </c>
      <c r="BL169" s="2030">
        <f t="shared" si="71"/>
        <v>0</v>
      </c>
      <c r="BM169" s="2030"/>
      <c r="BN169" s="2030">
        <f t="shared" si="59"/>
        <v>0</v>
      </c>
      <c r="BO169" s="2030">
        <f t="shared" si="60"/>
        <v>0</v>
      </c>
      <c r="BP169" s="2030"/>
      <c r="BQ169" s="2030">
        <f t="shared" si="72"/>
        <v>0</v>
      </c>
      <c r="BR169" s="2030">
        <f t="shared" si="72"/>
        <v>0</v>
      </c>
      <c r="BS169" s="2030">
        <f t="shared" si="72"/>
        <v>0</v>
      </c>
      <c r="BT169" s="2031"/>
      <c r="BU169" s="2031"/>
      <c r="BV169" s="2031"/>
      <c r="BW169" s="2031"/>
      <c r="BX169" s="2031"/>
      <c r="BY169" s="2031"/>
      <c r="BZ169" s="2031"/>
      <c r="CA169" s="2031"/>
      <c r="CB169" s="2029"/>
      <c r="CC169" s="2029"/>
      <c r="CD169" s="2029"/>
      <c r="CE169" s="2029"/>
      <c r="CF169" s="2029"/>
      <c r="CG169" s="2032"/>
      <c r="CH169" s="1974"/>
      <c r="CI169" s="1974"/>
      <c r="CJ169" s="1974"/>
      <c r="CK169" s="1974"/>
      <c r="CL169" s="1974">
        <v>0</v>
      </c>
      <c r="CM169" s="2033">
        <v>0</v>
      </c>
      <c r="CN169" s="2026">
        <v>0</v>
      </c>
      <c r="CO169" s="1974">
        <v>0</v>
      </c>
      <c r="CP169" s="2040">
        <v>0</v>
      </c>
      <c r="CQ169" s="2040"/>
      <c r="CR169" s="2062">
        <v>1</v>
      </c>
      <c r="CS169" s="2062">
        <v>1</v>
      </c>
      <c r="CT169" s="2062">
        <v>1</v>
      </c>
      <c r="CU169" s="2062">
        <v>1</v>
      </c>
      <c r="CV169" s="2036"/>
      <c r="CW169" s="2036"/>
      <c r="CX169" s="2036"/>
      <c r="CY169" s="2036"/>
      <c r="CZ169" s="2036"/>
      <c r="DA169" s="2036"/>
    </row>
    <row r="170" spans="1:105" x14ac:dyDescent="0.25">
      <c r="A170" s="2185" t="s">
        <v>262</v>
      </c>
      <c r="B170" s="2022"/>
      <c r="C170" s="2023">
        <v>15</v>
      </c>
      <c r="D170" s="2023">
        <v>0</v>
      </c>
      <c r="E170" s="2024">
        <v>101.616</v>
      </c>
      <c r="F170" s="2024"/>
      <c r="G170" s="2024">
        <v>1.1599999999999999E-2</v>
      </c>
      <c r="H170" s="2024"/>
      <c r="I170" s="2023">
        <v>0</v>
      </c>
      <c r="J170" s="2027"/>
      <c r="K170" s="2026" t="s">
        <v>2899</v>
      </c>
      <c r="L170" s="2026" t="s">
        <v>2899</v>
      </c>
      <c r="M170" s="2026">
        <v>0.84899999999999998</v>
      </c>
      <c r="N170" s="2026">
        <v>0.84899999999999998</v>
      </c>
      <c r="O170" s="2026">
        <v>0.84899999999999998</v>
      </c>
      <c r="P170" s="2026">
        <v>0.84899999999999998</v>
      </c>
      <c r="Q170" s="2027">
        <f t="shared" si="62"/>
        <v>86.271984000000003</v>
      </c>
      <c r="R170" s="2027">
        <f t="shared" si="62"/>
        <v>86.271984000000003</v>
      </c>
      <c r="S170" s="2027">
        <f t="shared" si="62"/>
        <v>86.271984000000003</v>
      </c>
      <c r="T170" s="2027">
        <f t="shared" si="62"/>
        <v>86.271984000000003</v>
      </c>
      <c r="U170" s="2026">
        <v>0.84899999999999998</v>
      </c>
      <c r="V170" s="2026">
        <v>0.84899999999999998</v>
      </c>
      <c r="W170" s="2026">
        <v>0.84899999999999998</v>
      </c>
      <c r="X170" s="2026">
        <v>0.84899999999999998</v>
      </c>
      <c r="Y170" s="2028">
        <f t="shared" si="63"/>
        <v>9.8483999999999985E-3</v>
      </c>
      <c r="Z170" s="2028">
        <f t="shared" si="63"/>
        <v>9.8483999999999985E-3</v>
      </c>
      <c r="AA170" s="2028">
        <f t="shared" si="63"/>
        <v>9.8483999999999985E-3</v>
      </c>
      <c r="AB170" s="2028">
        <f t="shared" si="63"/>
        <v>9.8483999999999985E-3</v>
      </c>
      <c r="AC170" s="2026">
        <v>0.67500000000000004</v>
      </c>
      <c r="AD170" s="2026">
        <v>0.67500000000000004</v>
      </c>
      <c r="AE170" s="2026">
        <v>0.67500000000000004</v>
      </c>
      <c r="AF170" s="2026">
        <v>0.67500000000000004</v>
      </c>
      <c r="AG170" s="2027">
        <f t="shared" si="70"/>
        <v>0</v>
      </c>
      <c r="AH170" s="2027">
        <f t="shared" si="70"/>
        <v>0</v>
      </c>
      <c r="AI170" s="2027">
        <f t="shared" si="70"/>
        <v>0</v>
      </c>
      <c r="AJ170" s="2027">
        <f t="shared" si="70"/>
        <v>0</v>
      </c>
      <c r="AK170" s="2027">
        <v>9</v>
      </c>
      <c r="AL170" s="2027">
        <v>11</v>
      </c>
      <c r="AM170" s="2027">
        <v>11</v>
      </c>
      <c r="AN170" s="2027">
        <v>11</v>
      </c>
      <c r="AO170" s="2027">
        <f t="shared" si="64"/>
        <v>776.447856</v>
      </c>
      <c r="AP170" s="2027">
        <f t="shared" si="73"/>
        <v>948.99182400000007</v>
      </c>
      <c r="AQ170" s="2027">
        <f t="shared" si="73"/>
        <v>948.99182400000007</v>
      </c>
      <c r="AR170" s="2027"/>
      <c r="AS170" s="2027">
        <f t="shared" si="66"/>
        <v>948.99182400000007</v>
      </c>
      <c r="AT170" s="2027">
        <f t="shared" si="67"/>
        <v>0</v>
      </c>
      <c r="AU170" s="2027">
        <f t="shared" si="74"/>
        <v>0</v>
      </c>
      <c r="AV170" s="2027">
        <f t="shared" si="74"/>
        <v>0</v>
      </c>
      <c r="AW170" s="2027">
        <f t="shared" si="74"/>
        <v>0</v>
      </c>
      <c r="AX170" s="2031">
        <v>150</v>
      </c>
      <c r="AY170" s="2029">
        <v>150</v>
      </c>
      <c r="AZ170" s="2029">
        <v>150</v>
      </c>
      <c r="BA170" s="2029">
        <v>150</v>
      </c>
      <c r="BB170" s="2031"/>
      <c r="BC170" s="2029">
        <v>0</v>
      </c>
      <c r="BD170" s="2029">
        <v>0</v>
      </c>
      <c r="BE170" s="2029">
        <v>0</v>
      </c>
      <c r="BF170" s="2031">
        <v>224</v>
      </c>
      <c r="BG170" s="2029">
        <v>224</v>
      </c>
      <c r="BH170" s="2029">
        <v>224</v>
      </c>
      <c r="BI170" s="2029">
        <v>224</v>
      </c>
      <c r="BJ170" s="2030">
        <f t="shared" si="71"/>
        <v>1350</v>
      </c>
      <c r="BK170" s="2030">
        <f t="shared" si="71"/>
        <v>1650</v>
      </c>
      <c r="BL170" s="2030">
        <f t="shared" si="71"/>
        <v>1650</v>
      </c>
      <c r="BM170" s="2030"/>
      <c r="BN170" s="2030">
        <f t="shared" si="59"/>
        <v>1650</v>
      </c>
      <c r="BO170" s="2030">
        <f t="shared" si="60"/>
        <v>0</v>
      </c>
      <c r="BP170" s="2030"/>
      <c r="BQ170" s="2030">
        <f t="shared" si="72"/>
        <v>0</v>
      </c>
      <c r="BR170" s="2030">
        <f t="shared" si="72"/>
        <v>0</v>
      </c>
      <c r="BS170" s="2030">
        <f t="shared" si="72"/>
        <v>0</v>
      </c>
      <c r="BT170" s="2031"/>
      <c r="BU170" s="2031"/>
      <c r="BV170" s="2031"/>
      <c r="BW170" s="2031"/>
      <c r="BX170" s="2031"/>
      <c r="BY170" s="2031"/>
      <c r="BZ170" s="2031"/>
      <c r="CA170" s="2031"/>
      <c r="CB170" s="2029"/>
      <c r="CC170" s="2029"/>
      <c r="CD170" s="2029"/>
      <c r="CE170" s="2029"/>
      <c r="CF170" s="2029"/>
      <c r="CG170" s="2032"/>
      <c r="CH170" s="1974"/>
      <c r="CI170" s="1974"/>
      <c r="CJ170" s="1974"/>
      <c r="CK170" s="1974"/>
      <c r="CL170" s="1974">
        <v>0</v>
      </c>
      <c r="CM170" s="2033">
        <v>2.8896953662798787E-6</v>
      </c>
      <c r="CN170" s="2026">
        <v>0</v>
      </c>
      <c r="CO170" s="1974">
        <v>0</v>
      </c>
      <c r="CP170" s="2040">
        <v>0</v>
      </c>
      <c r="CQ170" s="2040"/>
      <c r="CR170" s="2062">
        <v>1</v>
      </c>
      <c r="CS170" s="2062">
        <v>1</v>
      </c>
      <c r="CT170" s="2062">
        <v>1</v>
      </c>
      <c r="CU170" s="2062">
        <v>1</v>
      </c>
      <c r="CV170" s="2036"/>
      <c r="CW170" s="2036"/>
      <c r="CX170" s="2036"/>
      <c r="CY170" s="2036"/>
      <c r="CZ170" s="2036"/>
      <c r="DA170" s="2036"/>
    </row>
    <row r="171" spans="1:105" x14ac:dyDescent="0.25">
      <c r="A171" s="2185" t="s">
        <v>263</v>
      </c>
      <c r="B171" s="2022"/>
      <c r="C171" s="2023"/>
      <c r="D171" s="2023">
        <v>0</v>
      </c>
      <c r="E171" s="2024"/>
      <c r="F171" s="2024"/>
      <c r="G171" s="2024"/>
      <c r="H171" s="2024"/>
      <c r="I171" s="2023"/>
      <c r="J171" s="2027"/>
      <c r="K171" s="2026" t="s">
        <v>20</v>
      </c>
      <c r="L171" s="2026" t="s">
        <v>20</v>
      </c>
      <c r="M171" s="2026">
        <v>0.55700000000000005</v>
      </c>
      <c r="N171" s="2026">
        <v>0.55700000000000005</v>
      </c>
      <c r="O171" s="2026">
        <v>0.55700000000000005</v>
      </c>
      <c r="P171" s="2026">
        <v>0.55700000000000005</v>
      </c>
      <c r="Q171" s="2027">
        <f t="shared" si="62"/>
        <v>0</v>
      </c>
      <c r="R171" s="2027">
        <f t="shared" si="62"/>
        <v>0</v>
      </c>
      <c r="S171" s="2027">
        <f t="shared" si="62"/>
        <v>0</v>
      </c>
      <c r="T171" s="2027">
        <f t="shared" si="62"/>
        <v>0</v>
      </c>
      <c r="U171" s="2026">
        <v>0.55700000000000005</v>
      </c>
      <c r="V171" s="2026">
        <v>0.55700000000000005</v>
      </c>
      <c r="W171" s="2026">
        <v>0.55700000000000005</v>
      </c>
      <c r="X171" s="2026">
        <v>0.55700000000000005</v>
      </c>
      <c r="Y171" s="2028">
        <f t="shared" si="63"/>
        <v>0</v>
      </c>
      <c r="Z171" s="2028">
        <f t="shared" si="63"/>
        <v>0</v>
      </c>
      <c r="AA171" s="2028">
        <f t="shared" si="63"/>
        <v>0</v>
      </c>
      <c r="AB171" s="2028">
        <f t="shared" si="63"/>
        <v>0</v>
      </c>
      <c r="AC171" s="2026">
        <v>0.49399999999999999</v>
      </c>
      <c r="AD171" s="2026">
        <v>0.49399999999999999</v>
      </c>
      <c r="AE171" s="2026">
        <v>0.49399999999999999</v>
      </c>
      <c r="AF171" s="2026">
        <v>0.49399999999999999</v>
      </c>
      <c r="AG171" s="2027">
        <f t="shared" si="70"/>
        <v>0</v>
      </c>
      <c r="AH171" s="2027">
        <f t="shared" si="70"/>
        <v>0</v>
      </c>
      <c r="AI171" s="2027">
        <f t="shared" si="70"/>
        <v>0</v>
      </c>
      <c r="AJ171" s="2027">
        <f t="shared" si="70"/>
        <v>0</v>
      </c>
      <c r="AK171" s="2027">
        <v>0</v>
      </c>
      <c r="AL171" s="2027">
        <v>0</v>
      </c>
      <c r="AM171" s="2027">
        <v>0</v>
      </c>
      <c r="AN171" s="2027">
        <v>0</v>
      </c>
      <c r="AO171" s="2027">
        <f t="shared" si="64"/>
        <v>0</v>
      </c>
      <c r="AP171" s="2027">
        <f t="shared" si="73"/>
        <v>0</v>
      </c>
      <c r="AQ171" s="2027">
        <f t="shared" si="73"/>
        <v>0</v>
      </c>
      <c r="AR171" s="2027"/>
      <c r="AS171" s="2027">
        <f t="shared" si="66"/>
        <v>0</v>
      </c>
      <c r="AT171" s="2027">
        <f t="shared" si="67"/>
        <v>0</v>
      </c>
      <c r="AU171" s="2027">
        <f t="shared" si="74"/>
        <v>0</v>
      </c>
      <c r="AV171" s="2027">
        <f t="shared" si="74"/>
        <v>0</v>
      </c>
      <c r="AW171" s="2027">
        <f t="shared" si="74"/>
        <v>0</v>
      </c>
      <c r="AX171" s="1974"/>
      <c r="AY171" s="2029">
        <v>0</v>
      </c>
      <c r="AZ171" s="2029">
        <v>0</v>
      </c>
      <c r="BA171" s="2029">
        <v>0</v>
      </c>
      <c r="BB171" s="1974"/>
      <c r="BC171" s="2029">
        <v>0</v>
      </c>
      <c r="BD171" s="2029">
        <v>0</v>
      </c>
      <c r="BE171" s="2029">
        <v>0</v>
      </c>
      <c r="BF171" s="1974"/>
      <c r="BG171" s="2029">
        <v>0</v>
      </c>
      <c r="BH171" s="2029">
        <v>0</v>
      </c>
      <c r="BI171" s="2029">
        <v>0</v>
      </c>
      <c r="BJ171" s="2030">
        <f t="shared" si="71"/>
        <v>0</v>
      </c>
      <c r="BK171" s="2030">
        <f t="shared" si="71"/>
        <v>0</v>
      </c>
      <c r="BL171" s="2030">
        <f t="shared" si="71"/>
        <v>0</v>
      </c>
      <c r="BM171" s="2030"/>
      <c r="BN171" s="2030">
        <f t="shared" si="59"/>
        <v>0</v>
      </c>
      <c r="BO171" s="2030">
        <f t="shared" si="60"/>
        <v>0</v>
      </c>
      <c r="BP171" s="2030"/>
      <c r="BQ171" s="2030">
        <f t="shared" si="72"/>
        <v>0</v>
      </c>
      <c r="BR171" s="2030">
        <f t="shared" si="72"/>
        <v>0</v>
      </c>
      <c r="BS171" s="2030">
        <f t="shared" si="72"/>
        <v>0</v>
      </c>
      <c r="BT171" s="2031"/>
      <c r="BU171" s="2031"/>
      <c r="BV171" s="2031"/>
      <c r="BW171" s="2031"/>
      <c r="BX171" s="2031"/>
      <c r="BY171" s="2031"/>
      <c r="BZ171" s="2031"/>
      <c r="CA171" s="2031"/>
      <c r="CB171" s="2029"/>
      <c r="CC171" s="2029"/>
      <c r="CD171" s="2029"/>
      <c r="CE171" s="2029"/>
      <c r="CF171" s="2029"/>
      <c r="CG171" s="2032"/>
      <c r="CH171" s="1974"/>
      <c r="CI171" s="1974"/>
      <c r="CJ171" s="1974"/>
      <c r="CK171" s="1974"/>
      <c r="CL171" s="1974">
        <v>0</v>
      </c>
      <c r="CM171" s="2033">
        <v>0</v>
      </c>
      <c r="CN171" s="2026">
        <v>0</v>
      </c>
      <c r="CO171" s="1974">
        <v>0</v>
      </c>
      <c r="CP171" s="2040">
        <v>0</v>
      </c>
      <c r="CQ171" s="2040"/>
      <c r="CR171" s="2062">
        <v>1</v>
      </c>
      <c r="CS171" s="2062">
        <v>1</v>
      </c>
      <c r="CT171" s="2062">
        <v>1</v>
      </c>
      <c r="CU171" s="2062">
        <v>1</v>
      </c>
      <c r="CV171" s="2036"/>
      <c r="CW171" s="2036"/>
      <c r="CX171" s="2036"/>
      <c r="CY171" s="2036"/>
      <c r="CZ171" s="2036"/>
      <c r="DA171" s="2036"/>
    </row>
    <row r="172" spans="1:105" x14ac:dyDescent="0.25">
      <c r="A172" s="2185" t="s">
        <v>264</v>
      </c>
      <c r="B172" s="2022"/>
      <c r="C172" s="2023"/>
      <c r="D172" s="2023">
        <v>0</v>
      </c>
      <c r="E172" s="2024"/>
      <c r="F172" s="2024"/>
      <c r="G172" s="2024"/>
      <c r="H172" s="2024"/>
      <c r="I172" s="2023"/>
      <c r="J172" s="2027"/>
      <c r="K172" s="2026" t="s">
        <v>2285</v>
      </c>
      <c r="L172" s="2026" t="s">
        <v>2285</v>
      </c>
      <c r="M172" s="2026">
        <v>0.79999999999999993</v>
      </c>
      <c r="N172" s="2026">
        <v>0.79999999999999993</v>
      </c>
      <c r="O172" s="2026">
        <v>0.79999999999999993</v>
      </c>
      <c r="P172" s="2026">
        <v>0.79999999999999993</v>
      </c>
      <c r="Q172" s="2027">
        <f t="shared" si="62"/>
        <v>0</v>
      </c>
      <c r="R172" s="2027">
        <f t="shared" si="62"/>
        <v>0</v>
      </c>
      <c r="S172" s="2027">
        <f t="shared" si="62"/>
        <v>0</v>
      </c>
      <c r="T172" s="2027">
        <f t="shared" si="62"/>
        <v>0</v>
      </c>
      <c r="U172" s="2026">
        <v>0.79999999999999993</v>
      </c>
      <c r="V172" s="2026">
        <v>0.79999999999999993</v>
      </c>
      <c r="W172" s="2026">
        <v>0.79999999999999993</v>
      </c>
      <c r="X172" s="2026">
        <v>0.79999999999999993</v>
      </c>
      <c r="Y172" s="2028">
        <f t="shared" si="63"/>
        <v>0</v>
      </c>
      <c r="Z172" s="2028">
        <f t="shared" si="63"/>
        <v>0</v>
      </c>
      <c r="AA172" s="2028">
        <f t="shared" si="63"/>
        <v>0</v>
      </c>
      <c r="AB172" s="2028">
        <f t="shared" si="63"/>
        <v>0</v>
      </c>
      <c r="AC172" s="2026">
        <v>0.60399999999999998</v>
      </c>
      <c r="AD172" s="2026">
        <v>0.60399999999999998</v>
      </c>
      <c r="AE172" s="2026">
        <v>0.60399999999999998</v>
      </c>
      <c r="AF172" s="2026">
        <v>0.60399999999999998</v>
      </c>
      <c r="AG172" s="2027">
        <f t="shared" si="70"/>
        <v>0</v>
      </c>
      <c r="AH172" s="2027">
        <f t="shared" si="70"/>
        <v>0</v>
      </c>
      <c r="AI172" s="2027">
        <f t="shared" si="70"/>
        <v>0</v>
      </c>
      <c r="AJ172" s="2027">
        <f t="shared" si="70"/>
        <v>0</v>
      </c>
      <c r="AK172" s="2027">
        <v>0</v>
      </c>
      <c r="AL172" s="2027">
        <v>0</v>
      </c>
      <c r="AM172" s="2027">
        <v>0</v>
      </c>
      <c r="AN172" s="2027">
        <v>0</v>
      </c>
      <c r="AO172" s="2027">
        <f t="shared" si="64"/>
        <v>0</v>
      </c>
      <c r="AP172" s="2027">
        <f t="shared" si="73"/>
        <v>0</v>
      </c>
      <c r="AQ172" s="2027">
        <f t="shared" si="73"/>
        <v>0</v>
      </c>
      <c r="AR172" s="2027"/>
      <c r="AS172" s="2027">
        <f t="shared" si="66"/>
        <v>0</v>
      </c>
      <c r="AT172" s="2027">
        <f t="shared" si="67"/>
        <v>0</v>
      </c>
      <c r="AU172" s="2027">
        <f t="shared" si="74"/>
        <v>0</v>
      </c>
      <c r="AV172" s="2027">
        <f t="shared" si="74"/>
        <v>0</v>
      </c>
      <c r="AW172" s="2027">
        <f t="shared" si="74"/>
        <v>0</v>
      </c>
      <c r="AX172" s="2048">
        <v>500</v>
      </c>
      <c r="AY172" s="2029">
        <v>500</v>
      </c>
      <c r="AZ172" s="2029">
        <v>500</v>
      </c>
      <c r="BA172" s="2029">
        <v>500</v>
      </c>
      <c r="BB172" s="1974"/>
      <c r="BC172" s="2029">
        <v>0</v>
      </c>
      <c r="BD172" s="2029">
        <v>0</v>
      </c>
      <c r="BE172" s="2029">
        <v>0</v>
      </c>
      <c r="BF172" s="1974"/>
      <c r="BG172" s="2029">
        <v>0</v>
      </c>
      <c r="BH172" s="2029">
        <v>0</v>
      </c>
      <c r="BI172" s="2029">
        <v>0</v>
      </c>
      <c r="BJ172" s="2030">
        <f t="shared" si="71"/>
        <v>0</v>
      </c>
      <c r="BK172" s="2030">
        <f t="shared" si="71"/>
        <v>0</v>
      </c>
      <c r="BL172" s="2030">
        <f t="shared" si="71"/>
        <v>0</v>
      </c>
      <c r="BM172" s="2030"/>
      <c r="BN172" s="2030">
        <f t="shared" si="59"/>
        <v>0</v>
      </c>
      <c r="BO172" s="2030">
        <f t="shared" si="60"/>
        <v>0</v>
      </c>
      <c r="BP172" s="2030"/>
      <c r="BQ172" s="2030">
        <f t="shared" si="72"/>
        <v>0</v>
      </c>
      <c r="BR172" s="2030">
        <f t="shared" si="72"/>
        <v>0</v>
      </c>
      <c r="BS172" s="2030">
        <f t="shared" si="72"/>
        <v>0</v>
      </c>
      <c r="BT172" s="2031"/>
      <c r="BU172" s="2031"/>
      <c r="BV172" s="2031"/>
      <c r="BW172" s="2031"/>
      <c r="BX172" s="2031"/>
      <c r="BY172" s="2031"/>
      <c r="BZ172" s="2031"/>
      <c r="CA172" s="2031"/>
      <c r="CB172" s="2029"/>
      <c r="CC172" s="2029"/>
      <c r="CD172" s="2029"/>
      <c r="CE172" s="2029"/>
      <c r="CF172" s="2029"/>
      <c r="CG172" s="2032"/>
      <c r="CH172" s="1974"/>
      <c r="CI172" s="1974"/>
      <c r="CJ172" s="1974"/>
      <c r="CK172" s="1974"/>
      <c r="CL172" s="1974">
        <v>0</v>
      </c>
      <c r="CM172" s="2033">
        <v>0</v>
      </c>
      <c r="CN172" s="2026">
        <v>0</v>
      </c>
      <c r="CO172" s="1974">
        <v>0</v>
      </c>
      <c r="CP172" s="2040">
        <v>0</v>
      </c>
      <c r="CQ172" s="2040"/>
      <c r="CR172" s="2062">
        <v>1</v>
      </c>
      <c r="CS172" s="2062">
        <v>1</v>
      </c>
      <c r="CT172" s="2062">
        <v>1</v>
      </c>
      <c r="CU172" s="2062">
        <v>1</v>
      </c>
      <c r="CV172" s="2036"/>
      <c r="CW172" s="2036"/>
      <c r="CX172" s="2036"/>
      <c r="CY172" s="2036"/>
      <c r="CZ172" s="2036"/>
      <c r="DA172" s="2036"/>
    </row>
    <row r="173" spans="1:105" s="2208" customFormat="1" x14ac:dyDescent="0.25">
      <c r="A173" s="2192" t="s">
        <v>183</v>
      </c>
      <c r="B173" s="2193"/>
      <c r="C173" s="2194">
        <v>15</v>
      </c>
      <c r="D173" s="2194">
        <v>0</v>
      </c>
      <c r="E173" s="2195">
        <v>9003.1426966292202</v>
      </c>
      <c r="F173" s="2195"/>
      <c r="G173" s="2195">
        <v>0.23703852327447691</v>
      </c>
      <c r="H173" s="2195"/>
      <c r="I173" s="2194">
        <v>0</v>
      </c>
      <c r="J173" s="2197"/>
      <c r="K173" s="2198" t="s">
        <v>2285</v>
      </c>
      <c r="L173" s="2198" t="s">
        <v>2285</v>
      </c>
      <c r="M173" s="2198">
        <v>0.79999999999999993</v>
      </c>
      <c r="N173" s="2198">
        <v>0.79999999999999993</v>
      </c>
      <c r="O173" s="2026">
        <v>0.79999999999999993</v>
      </c>
      <c r="P173" s="2198">
        <v>0.79999999999999993</v>
      </c>
      <c r="Q173" s="2197">
        <f t="shared" si="62"/>
        <v>7202.5141573033752</v>
      </c>
      <c r="R173" s="2197">
        <f t="shared" si="62"/>
        <v>7202.5141573033752</v>
      </c>
      <c r="S173" s="2197">
        <f t="shared" si="62"/>
        <v>7202.5141573033752</v>
      </c>
      <c r="T173" s="2197">
        <f t="shared" si="62"/>
        <v>7202.5141573033752</v>
      </c>
      <c r="U173" s="2198">
        <v>0.79999999999999993</v>
      </c>
      <c r="V173" s="2198">
        <v>0.79999999999999993</v>
      </c>
      <c r="W173" s="2198">
        <v>0.79999999999999993</v>
      </c>
      <c r="X173" s="2198">
        <v>0.79999999999999993</v>
      </c>
      <c r="Y173" s="2199">
        <f t="shared" si="63"/>
        <v>0.1896308186195815</v>
      </c>
      <c r="Z173" s="2199">
        <f t="shared" si="63"/>
        <v>0.1896308186195815</v>
      </c>
      <c r="AA173" s="2199">
        <f t="shared" si="63"/>
        <v>0.1896308186195815</v>
      </c>
      <c r="AB173" s="2199">
        <f t="shared" si="63"/>
        <v>0.1896308186195815</v>
      </c>
      <c r="AC173" s="2198">
        <v>0.60399999999999998</v>
      </c>
      <c r="AD173" s="2198">
        <v>0.60399999999999998</v>
      </c>
      <c r="AE173" s="2198">
        <v>0.60399999999999998</v>
      </c>
      <c r="AF173" s="2198">
        <v>0.60399999999999998</v>
      </c>
      <c r="AG173" s="2197">
        <f t="shared" si="70"/>
        <v>0</v>
      </c>
      <c r="AH173" s="2197">
        <f t="shared" si="70"/>
        <v>0</v>
      </c>
      <c r="AI173" s="2197">
        <f t="shared" si="70"/>
        <v>0</v>
      </c>
      <c r="AJ173" s="2197">
        <f t="shared" si="70"/>
        <v>0</v>
      </c>
      <c r="AK173" s="2027">
        <v>45</v>
      </c>
      <c r="AL173" s="2027">
        <v>47</v>
      </c>
      <c r="AM173" s="2027">
        <v>49</v>
      </c>
      <c r="AN173" s="2027">
        <v>50</v>
      </c>
      <c r="AO173" s="2197">
        <f t="shared" si="64"/>
        <v>324113.13707865187</v>
      </c>
      <c r="AP173" s="2197">
        <f t="shared" si="73"/>
        <v>338518.16539325862</v>
      </c>
      <c r="AQ173" s="2197">
        <f t="shared" si="73"/>
        <v>352923.19370786537</v>
      </c>
      <c r="AR173" s="2197"/>
      <c r="AS173" s="2027">
        <f t="shared" si="66"/>
        <v>360125.70786516875</v>
      </c>
      <c r="AT173" s="2197">
        <f t="shared" si="67"/>
        <v>0</v>
      </c>
      <c r="AU173" s="2197">
        <f t="shared" si="74"/>
        <v>0</v>
      </c>
      <c r="AV173" s="2197">
        <f t="shared" si="74"/>
        <v>0</v>
      </c>
      <c r="AW173" s="2027">
        <f t="shared" si="74"/>
        <v>0</v>
      </c>
      <c r="AX173" s="2063">
        <v>375</v>
      </c>
      <c r="AY173" s="2046">
        <v>375</v>
      </c>
      <c r="AZ173" s="2046">
        <v>375</v>
      </c>
      <c r="BA173" s="2046">
        <v>375</v>
      </c>
      <c r="BB173" s="2202"/>
      <c r="BC173" s="2029">
        <v>0</v>
      </c>
      <c r="BD173" s="2029">
        <v>0</v>
      </c>
      <c r="BE173" s="2029">
        <v>0</v>
      </c>
      <c r="BF173" s="2202">
        <v>400</v>
      </c>
      <c r="BG173" s="2029">
        <v>400</v>
      </c>
      <c r="BH173" s="2029">
        <v>400</v>
      </c>
      <c r="BI173" s="2029">
        <v>400</v>
      </c>
      <c r="BJ173" s="2030">
        <f t="shared" si="71"/>
        <v>16875</v>
      </c>
      <c r="BK173" s="2030">
        <f t="shared" si="71"/>
        <v>17625</v>
      </c>
      <c r="BL173" s="2030">
        <f t="shared" si="71"/>
        <v>18375</v>
      </c>
      <c r="BM173" s="2030"/>
      <c r="BN173" s="2030">
        <f t="shared" si="59"/>
        <v>18750</v>
      </c>
      <c r="BO173" s="2030">
        <f t="shared" si="60"/>
        <v>0</v>
      </c>
      <c r="BP173" s="2030"/>
      <c r="BQ173" s="2030">
        <f t="shared" si="72"/>
        <v>0</v>
      </c>
      <c r="BR173" s="2030">
        <f t="shared" si="72"/>
        <v>0</v>
      </c>
      <c r="BS173" s="2030">
        <f t="shared" si="72"/>
        <v>0</v>
      </c>
      <c r="BT173" s="2202"/>
      <c r="BU173" s="2202"/>
      <c r="BV173" s="2202"/>
      <c r="BW173" s="2202"/>
      <c r="BX173" s="2202"/>
      <c r="BY173" s="2202"/>
      <c r="BZ173" s="2202"/>
      <c r="CA173" s="2202"/>
      <c r="CB173" s="2200"/>
      <c r="CC173" s="2200"/>
      <c r="CD173" s="2200"/>
      <c r="CE173" s="2200"/>
      <c r="CF173" s="2200"/>
      <c r="CG173" s="2203"/>
      <c r="CH173" s="2201"/>
      <c r="CI173" s="2201"/>
      <c r="CJ173" s="2201"/>
      <c r="CK173" s="2201"/>
      <c r="CL173" s="2201">
        <v>0</v>
      </c>
      <c r="CM173" s="2204">
        <v>1.2062474294044744E-3</v>
      </c>
      <c r="CN173" s="2198">
        <v>0</v>
      </c>
      <c r="CO173" s="2201">
        <v>0</v>
      </c>
      <c r="CP173" s="2205">
        <v>0</v>
      </c>
      <c r="CQ173" s="2205"/>
      <c r="CR173" s="2206">
        <v>1</v>
      </c>
      <c r="CS173" s="2206">
        <v>1</v>
      </c>
      <c r="CT173" s="2206">
        <v>1</v>
      </c>
      <c r="CU173" s="2206">
        <v>1</v>
      </c>
      <c r="CV173" s="2036"/>
      <c r="CW173" s="2036"/>
      <c r="CX173" s="2036"/>
      <c r="CY173" s="2207"/>
      <c r="CZ173" s="2207"/>
      <c r="DA173" s="2207"/>
    </row>
    <row r="174" spans="1:105" x14ac:dyDescent="0.25">
      <c r="A174" s="2185" t="s">
        <v>184</v>
      </c>
      <c r="B174" s="2022" t="s">
        <v>2961</v>
      </c>
      <c r="C174" s="2023">
        <v>8</v>
      </c>
      <c r="D174" s="2023">
        <v>0</v>
      </c>
      <c r="E174" s="2024">
        <v>269.60365200000001</v>
      </c>
      <c r="F174" s="2024"/>
      <c r="G174" s="2024">
        <v>0.21154800000000001</v>
      </c>
      <c r="H174" s="2024"/>
      <c r="I174" s="2023">
        <v>-5.4415415999999999</v>
      </c>
      <c r="J174" s="2027"/>
      <c r="K174" s="2026" t="s">
        <v>2960</v>
      </c>
      <c r="L174" s="2026" t="s">
        <v>2960</v>
      </c>
      <c r="M174" s="2026">
        <v>0.83099999999999996</v>
      </c>
      <c r="N174" s="2026">
        <v>0.83099999999999996</v>
      </c>
      <c r="O174" s="2026">
        <v>0.83099999999999996</v>
      </c>
      <c r="P174" s="2026">
        <v>0.83099999999999996</v>
      </c>
      <c r="Q174" s="2027">
        <f t="shared" si="62"/>
        <v>224.04063481200001</v>
      </c>
      <c r="R174" s="2027">
        <f t="shared" si="62"/>
        <v>224.04063481200001</v>
      </c>
      <c r="S174" s="2027">
        <f t="shared" si="62"/>
        <v>224.04063481200001</v>
      </c>
      <c r="T174" s="2027">
        <f t="shared" si="62"/>
        <v>224.04063481200001</v>
      </c>
      <c r="U174" s="2026">
        <v>0.83099999999999996</v>
      </c>
      <c r="V174" s="2026">
        <v>0.83099999999999996</v>
      </c>
      <c r="W174" s="2026">
        <v>0.83099999999999996</v>
      </c>
      <c r="X174" s="2026">
        <v>0.83099999999999996</v>
      </c>
      <c r="Y174" s="2028">
        <f t="shared" si="63"/>
        <v>0.175796388</v>
      </c>
      <c r="Z174" s="2028">
        <f t="shared" si="63"/>
        <v>0.175796388</v>
      </c>
      <c r="AA174" s="2028">
        <f t="shared" si="63"/>
        <v>0.175796388</v>
      </c>
      <c r="AB174" s="2028">
        <f t="shared" si="63"/>
        <v>0.175796388</v>
      </c>
      <c r="AC174" s="2026">
        <v>0.83099999999999996</v>
      </c>
      <c r="AD174" s="2026">
        <v>0.83099999999999996</v>
      </c>
      <c r="AE174" s="2026">
        <v>0.83099999999999996</v>
      </c>
      <c r="AF174" s="2026">
        <v>0.83099999999999996</v>
      </c>
      <c r="AG174" s="2027">
        <f>$I174*AC174</f>
        <v>-4.5219210695999994</v>
      </c>
      <c r="AH174" s="2027">
        <f>$I174*AD174</f>
        <v>-4.5219210695999994</v>
      </c>
      <c r="AI174" s="2027">
        <f>$I174*AE174</f>
        <v>-4.5219210695999994</v>
      </c>
      <c r="AJ174" s="2027">
        <f>$I174*AF174</f>
        <v>-4.5219210695999994</v>
      </c>
      <c r="AK174" s="2027">
        <v>1</v>
      </c>
      <c r="AL174" s="2027">
        <v>2</v>
      </c>
      <c r="AM174" s="2027">
        <v>2</v>
      </c>
      <c r="AN174" s="2027">
        <v>2</v>
      </c>
      <c r="AO174" s="2027">
        <f t="shared" si="64"/>
        <v>224.04063481200001</v>
      </c>
      <c r="AP174" s="2027">
        <f t="shared" si="73"/>
        <v>448.08126962400002</v>
      </c>
      <c r="AQ174" s="2027">
        <f t="shared" si="73"/>
        <v>448.08126962400002</v>
      </c>
      <c r="AR174" s="2027"/>
      <c r="AS174" s="2027">
        <f t="shared" si="66"/>
        <v>448.08126962400002</v>
      </c>
      <c r="AT174" s="2027">
        <f t="shared" si="67"/>
        <v>-4.5219210695999994</v>
      </c>
      <c r="AU174" s="2027">
        <f t="shared" si="74"/>
        <v>-9.0438421391999988</v>
      </c>
      <c r="AV174" s="2027">
        <f t="shared" si="74"/>
        <v>-9.0438421391999988</v>
      </c>
      <c r="AW174" s="2027">
        <f t="shared" si="74"/>
        <v>-9.0438421391999988</v>
      </c>
      <c r="AX174" s="2029">
        <v>25</v>
      </c>
      <c r="AY174" s="2029">
        <v>25</v>
      </c>
      <c r="AZ174" s="2029">
        <v>25</v>
      </c>
      <c r="BA174" s="2029">
        <v>25</v>
      </c>
      <c r="BB174" s="1974">
        <v>0</v>
      </c>
      <c r="BC174" s="2029">
        <v>0</v>
      </c>
      <c r="BD174" s="2029">
        <v>0</v>
      </c>
      <c r="BE174" s="2029">
        <v>0</v>
      </c>
      <c r="BF174" s="2029">
        <v>51</v>
      </c>
      <c r="BG174" s="2029">
        <v>51</v>
      </c>
      <c r="BH174" s="2029">
        <v>51</v>
      </c>
      <c r="BI174" s="2029">
        <v>51</v>
      </c>
      <c r="BJ174" s="2030">
        <f t="shared" si="71"/>
        <v>25</v>
      </c>
      <c r="BK174" s="2030">
        <f t="shared" si="71"/>
        <v>50</v>
      </c>
      <c r="BL174" s="2030">
        <f t="shared" si="71"/>
        <v>50</v>
      </c>
      <c r="BM174" s="2030"/>
      <c r="BN174" s="2030">
        <f t="shared" si="59"/>
        <v>50</v>
      </c>
      <c r="BO174" s="2030">
        <f t="shared" si="60"/>
        <v>0</v>
      </c>
      <c r="BP174" s="2030"/>
      <c r="BQ174" s="2030">
        <f t="shared" si="72"/>
        <v>0</v>
      </c>
      <c r="BR174" s="2030">
        <f t="shared" si="72"/>
        <v>0</v>
      </c>
      <c r="BS174" s="2030">
        <f t="shared" si="72"/>
        <v>0</v>
      </c>
      <c r="BT174" s="2031"/>
      <c r="BU174" s="2031"/>
      <c r="BV174" s="2031"/>
      <c r="BW174" s="2031"/>
      <c r="BX174" s="2031"/>
      <c r="BY174" s="2031"/>
      <c r="BZ174" s="2031"/>
      <c r="CA174" s="2031"/>
      <c r="CB174" s="2029"/>
      <c r="CC174" s="2029"/>
      <c r="CD174" s="2029"/>
      <c r="CE174" s="2029"/>
      <c r="CF174" s="2029"/>
      <c r="CG174" s="2032"/>
      <c r="CH174" s="1974"/>
      <c r="CI174" s="1974"/>
      <c r="CJ174" s="1974"/>
      <c r="CK174" s="1974"/>
      <c r="CL174" s="1974">
        <v>0</v>
      </c>
      <c r="CM174" s="2033">
        <v>7.4952502755787149E-7</v>
      </c>
      <c r="CN174" s="2026">
        <v>-1.4548421837234733E-6</v>
      </c>
      <c r="CO174" s="1974">
        <v>0</v>
      </c>
      <c r="CP174" s="2040">
        <v>0</v>
      </c>
      <c r="CQ174" s="2040"/>
      <c r="CR174" s="2062">
        <v>1</v>
      </c>
      <c r="CS174" s="2062">
        <v>1</v>
      </c>
      <c r="CT174" s="2062">
        <v>1</v>
      </c>
      <c r="CU174" s="2062">
        <v>1</v>
      </c>
      <c r="CV174" s="2036"/>
      <c r="CW174" s="2036"/>
      <c r="CX174" s="2036"/>
      <c r="CY174" s="2049"/>
      <c r="CZ174" s="2049"/>
      <c r="DA174" s="2049"/>
    </row>
    <row r="175" spans="1:105" x14ac:dyDescent="0.25">
      <c r="A175" s="2185" t="s">
        <v>185</v>
      </c>
      <c r="B175" s="2022" t="s">
        <v>2961</v>
      </c>
      <c r="C175" s="2023">
        <v>5</v>
      </c>
      <c r="D175" s="2023">
        <v>0</v>
      </c>
      <c r="E175" s="2024">
        <v>1613</v>
      </c>
      <c r="F175" s="2024"/>
      <c r="G175" s="2024">
        <v>0.4</v>
      </c>
      <c r="H175" s="2024"/>
      <c r="I175" s="2023">
        <v>0</v>
      </c>
      <c r="J175" s="2027"/>
      <c r="K175" s="2026" t="s">
        <v>2960</v>
      </c>
      <c r="L175" s="2026" t="s">
        <v>2960</v>
      </c>
      <c r="M175" s="2026">
        <v>0.83099999999999996</v>
      </c>
      <c r="N175" s="2026">
        <v>0.83099999999999996</v>
      </c>
      <c r="O175" s="2026">
        <v>0.83099999999999996</v>
      </c>
      <c r="P175" s="2026">
        <v>0.83099999999999996</v>
      </c>
      <c r="Q175" s="2027">
        <f t="shared" si="62"/>
        <v>1340.403</v>
      </c>
      <c r="R175" s="2027">
        <f t="shared" si="62"/>
        <v>1340.403</v>
      </c>
      <c r="S175" s="2027">
        <f t="shared" si="62"/>
        <v>1340.403</v>
      </c>
      <c r="T175" s="2027">
        <f t="shared" si="62"/>
        <v>1340.403</v>
      </c>
      <c r="U175" s="2026">
        <v>0.83099999999999996</v>
      </c>
      <c r="V175" s="2026">
        <v>0.83099999999999996</v>
      </c>
      <c r="W175" s="2026">
        <v>0.83099999999999996</v>
      </c>
      <c r="X175" s="2026">
        <v>0.83099999999999996</v>
      </c>
      <c r="Y175" s="2028">
        <f t="shared" si="63"/>
        <v>0.33240000000000003</v>
      </c>
      <c r="Z175" s="2028">
        <f t="shared" si="63"/>
        <v>0.33240000000000003</v>
      </c>
      <c r="AA175" s="2028">
        <f t="shared" si="63"/>
        <v>0.33240000000000003</v>
      </c>
      <c r="AB175" s="2028">
        <f t="shared" si="63"/>
        <v>0.33240000000000003</v>
      </c>
      <c r="AC175" s="2026">
        <v>0.83099999999999996</v>
      </c>
      <c r="AD175" s="2026">
        <v>0.83099999999999996</v>
      </c>
      <c r="AE175" s="2026">
        <v>0.83099999999999996</v>
      </c>
      <c r="AF175" s="2026">
        <v>0.83099999999999996</v>
      </c>
      <c r="AG175" s="2027">
        <f t="shared" ref="AG175:AJ198" si="75">$I175*AC175</f>
        <v>0</v>
      </c>
      <c r="AH175" s="2027">
        <f t="shared" si="75"/>
        <v>0</v>
      </c>
      <c r="AI175" s="2027">
        <f t="shared" si="75"/>
        <v>0</v>
      </c>
      <c r="AJ175" s="2027">
        <f t="shared" si="75"/>
        <v>0</v>
      </c>
      <c r="AK175" s="2027">
        <v>1</v>
      </c>
      <c r="AL175" s="2027">
        <v>2</v>
      </c>
      <c r="AM175" s="2027">
        <v>2</v>
      </c>
      <c r="AN175" s="2027">
        <v>2</v>
      </c>
      <c r="AO175" s="2027">
        <f t="shared" si="64"/>
        <v>1340.403</v>
      </c>
      <c r="AP175" s="2027">
        <f t="shared" si="73"/>
        <v>2680.806</v>
      </c>
      <c r="AQ175" s="2027">
        <f t="shared" si="73"/>
        <v>2680.806</v>
      </c>
      <c r="AR175" s="2027"/>
      <c r="AS175" s="2027">
        <f t="shared" si="66"/>
        <v>2680.806</v>
      </c>
      <c r="AT175" s="2027">
        <f t="shared" si="67"/>
        <v>0</v>
      </c>
      <c r="AU175" s="2027">
        <f t="shared" si="74"/>
        <v>0</v>
      </c>
      <c r="AV175" s="2027">
        <f t="shared" si="74"/>
        <v>0</v>
      </c>
      <c r="AW175" s="2027">
        <f t="shared" si="74"/>
        <v>0</v>
      </c>
      <c r="AX175" s="2029">
        <v>100</v>
      </c>
      <c r="AY175" s="2029">
        <v>100</v>
      </c>
      <c r="AZ175" s="2029">
        <v>100</v>
      </c>
      <c r="BA175" s="2029">
        <v>100</v>
      </c>
      <c r="BB175" s="1974"/>
      <c r="BC175" s="2029">
        <v>0</v>
      </c>
      <c r="BD175" s="2029">
        <v>0</v>
      </c>
      <c r="BE175" s="2029">
        <v>0</v>
      </c>
      <c r="BF175" s="2029">
        <v>180</v>
      </c>
      <c r="BG175" s="2029">
        <v>180</v>
      </c>
      <c r="BH175" s="2029">
        <v>180</v>
      </c>
      <c r="BI175" s="2029">
        <v>180</v>
      </c>
      <c r="BJ175" s="2030">
        <f t="shared" si="71"/>
        <v>100</v>
      </c>
      <c r="BK175" s="2030">
        <f t="shared" si="71"/>
        <v>200</v>
      </c>
      <c r="BL175" s="2030">
        <f t="shared" si="71"/>
        <v>200</v>
      </c>
      <c r="BM175" s="2030"/>
      <c r="BN175" s="2030">
        <f t="shared" si="59"/>
        <v>200</v>
      </c>
      <c r="BO175" s="2030">
        <f t="shared" si="60"/>
        <v>0</v>
      </c>
      <c r="BP175" s="2030"/>
      <c r="BQ175" s="2030">
        <f t="shared" si="72"/>
        <v>0</v>
      </c>
      <c r="BR175" s="2030">
        <f t="shared" si="72"/>
        <v>0</v>
      </c>
      <c r="BS175" s="2030">
        <f t="shared" si="72"/>
        <v>0</v>
      </c>
      <c r="BT175" s="2031"/>
      <c r="BU175" s="2031"/>
      <c r="BV175" s="2031"/>
      <c r="BW175" s="2031"/>
      <c r="BX175" s="2031"/>
      <c r="BY175" s="2031"/>
      <c r="BZ175" s="2031"/>
      <c r="CA175" s="2031"/>
      <c r="CB175" s="2029"/>
      <c r="CC175" s="2029"/>
      <c r="CD175" s="2029"/>
      <c r="CE175" s="2029"/>
      <c r="CF175" s="2029"/>
      <c r="CG175" s="2032"/>
      <c r="CH175" s="1974"/>
      <c r="CI175" s="1974"/>
      <c r="CJ175" s="1974"/>
      <c r="CK175" s="1974"/>
      <c r="CL175" s="1974">
        <v>0</v>
      </c>
      <c r="CM175" s="2033">
        <v>4.484300789259512E-6</v>
      </c>
      <c r="CN175" s="2026">
        <v>0</v>
      </c>
      <c r="CO175" s="1974">
        <v>0</v>
      </c>
      <c r="CP175" s="2040">
        <v>0</v>
      </c>
      <c r="CQ175" s="2040"/>
      <c r="CR175" s="2062">
        <v>1</v>
      </c>
      <c r="CS175" s="2062">
        <v>1</v>
      </c>
      <c r="CT175" s="2062">
        <v>1</v>
      </c>
      <c r="CU175" s="2062">
        <v>1</v>
      </c>
      <c r="CV175" s="2036"/>
      <c r="CW175" s="2036"/>
      <c r="CX175" s="2036"/>
      <c r="CY175" s="2049"/>
      <c r="CZ175" s="2049"/>
      <c r="DA175" s="2049"/>
    </row>
    <row r="176" spans="1:105" x14ac:dyDescent="0.25">
      <c r="A176" s="2185" t="s">
        <v>186</v>
      </c>
      <c r="B176" s="2022" t="s">
        <v>2961</v>
      </c>
      <c r="C176" s="2023">
        <v>5</v>
      </c>
      <c r="D176" s="2023">
        <v>0</v>
      </c>
      <c r="E176" s="2024">
        <v>1613</v>
      </c>
      <c r="F176" s="2024"/>
      <c r="G176" s="2024">
        <v>0.4</v>
      </c>
      <c r="H176" s="2024"/>
      <c r="I176" s="2023">
        <v>0</v>
      </c>
      <c r="J176" s="2027"/>
      <c r="K176" s="2026" t="s">
        <v>2960</v>
      </c>
      <c r="L176" s="2026" t="s">
        <v>2960</v>
      </c>
      <c r="M176" s="2026">
        <v>0.83099999999999996</v>
      </c>
      <c r="N176" s="2026">
        <v>0.83099999999999996</v>
      </c>
      <c r="O176" s="2026">
        <v>0.83099999999999996</v>
      </c>
      <c r="P176" s="2026">
        <v>0.83099999999999996</v>
      </c>
      <c r="Q176" s="2027">
        <f t="shared" si="62"/>
        <v>1340.403</v>
      </c>
      <c r="R176" s="2027">
        <f t="shared" si="62"/>
        <v>1340.403</v>
      </c>
      <c r="S176" s="2027">
        <f t="shared" si="62"/>
        <v>1340.403</v>
      </c>
      <c r="T176" s="2027">
        <f t="shared" si="62"/>
        <v>1340.403</v>
      </c>
      <c r="U176" s="2026">
        <v>0.83099999999999996</v>
      </c>
      <c r="V176" s="2026">
        <v>0.83099999999999996</v>
      </c>
      <c r="W176" s="2026">
        <v>0.83099999999999996</v>
      </c>
      <c r="X176" s="2026">
        <v>0.83099999999999996</v>
      </c>
      <c r="Y176" s="2028">
        <f t="shared" si="63"/>
        <v>0.33240000000000003</v>
      </c>
      <c r="Z176" s="2028">
        <f t="shared" si="63"/>
        <v>0.33240000000000003</v>
      </c>
      <c r="AA176" s="2028">
        <f t="shared" si="63"/>
        <v>0.33240000000000003</v>
      </c>
      <c r="AB176" s="2028">
        <f t="shared" si="63"/>
        <v>0.33240000000000003</v>
      </c>
      <c r="AC176" s="2026">
        <v>0.83099999999999996</v>
      </c>
      <c r="AD176" s="2026">
        <v>0.83099999999999996</v>
      </c>
      <c r="AE176" s="2026">
        <v>0.83099999999999996</v>
      </c>
      <c r="AF176" s="2026">
        <v>0.83099999999999996</v>
      </c>
      <c r="AG176" s="2027">
        <f t="shared" si="75"/>
        <v>0</v>
      </c>
      <c r="AH176" s="2027">
        <f t="shared" si="75"/>
        <v>0</v>
      </c>
      <c r="AI176" s="2027">
        <f t="shared" si="75"/>
        <v>0</v>
      </c>
      <c r="AJ176" s="2027">
        <f t="shared" si="75"/>
        <v>0</v>
      </c>
      <c r="AK176" s="2027">
        <v>1</v>
      </c>
      <c r="AL176" s="2027">
        <v>2</v>
      </c>
      <c r="AM176" s="2027">
        <v>2</v>
      </c>
      <c r="AN176" s="2027">
        <v>2</v>
      </c>
      <c r="AO176" s="2027">
        <f t="shared" si="64"/>
        <v>1340.403</v>
      </c>
      <c r="AP176" s="2027">
        <f t="shared" si="73"/>
        <v>2680.806</v>
      </c>
      <c r="AQ176" s="2027">
        <f t="shared" si="73"/>
        <v>2680.806</v>
      </c>
      <c r="AR176" s="2027"/>
      <c r="AS176" s="2027">
        <f t="shared" si="66"/>
        <v>2680.806</v>
      </c>
      <c r="AT176" s="2027">
        <f t="shared" si="67"/>
        <v>0</v>
      </c>
      <c r="AU176" s="2027">
        <f t="shared" si="74"/>
        <v>0</v>
      </c>
      <c r="AV176" s="2027">
        <f t="shared" si="74"/>
        <v>0</v>
      </c>
      <c r="AW176" s="2027">
        <f t="shared" si="74"/>
        <v>0</v>
      </c>
      <c r="AX176" s="2029">
        <v>100</v>
      </c>
      <c r="AY176" s="2029">
        <v>100</v>
      </c>
      <c r="AZ176" s="2029">
        <v>100</v>
      </c>
      <c r="BA176" s="2029">
        <v>100</v>
      </c>
      <c r="BB176" s="1974"/>
      <c r="BC176" s="2029">
        <v>0</v>
      </c>
      <c r="BD176" s="2029">
        <v>0</v>
      </c>
      <c r="BE176" s="2029">
        <v>0</v>
      </c>
      <c r="BF176" s="2029">
        <v>180</v>
      </c>
      <c r="BG176" s="2029">
        <v>180</v>
      </c>
      <c r="BH176" s="2029">
        <v>180</v>
      </c>
      <c r="BI176" s="2029">
        <v>180</v>
      </c>
      <c r="BJ176" s="2030">
        <f t="shared" si="71"/>
        <v>100</v>
      </c>
      <c r="BK176" s="2030">
        <f t="shared" si="71"/>
        <v>200</v>
      </c>
      <c r="BL176" s="2030">
        <f t="shared" si="71"/>
        <v>200</v>
      </c>
      <c r="BM176" s="2030"/>
      <c r="BN176" s="2030">
        <f t="shared" si="59"/>
        <v>200</v>
      </c>
      <c r="BO176" s="2030">
        <f t="shared" si="60"/>
        <v>0</v>
      </c>
      <c r="BP176" s="2030"/>
      <c r="BQ176" s="2030">
        <f t="shared" si="72"/>
        <v>0</v>
      </c>
      <c r="BR176" s="2030">
        <f t="shared" si="72"/>
        <v>0</v>
      </c>
      <c r="BS176" s="2030">
        <f t="shared" si="72"/>
        <v>0</v>
      </c>
      <c r="BT176" s="2031"/>
      <c r="BU176" s="2031"/>
      <c r="BV176" s="2031"/>
      <c r="BW176" s="2031"/>
      <c r="BX176" s="2031"/>
      <c r="BY176" s="2031"/>
      <c r="BZ176" s="2031"/>
      <c r="CA176" s="2031"/>
      <c r="CB176" s="2029"/>
      <c r="CC176" s="2029"/>
      <c r="CD176" s="2029"/>
      <c r="CE176" s="2029"/>
      <c r="CF176" s="2029"/>
      <c r="CG176" s="2032"/>
      <c r="CH176" s="1974"/>
      <c r="CI176" s="1974"/>
      <c r="CJ176" s="1974"/>
      <c r="CK176" s="1974"/>
      <c r="CL176" s="1974">
        <v>0</v>
      </c>
      <c r="CM176" s="2033">
        <v>4.484300789259512E-6</v>
      </c>
      <c r="CN176" s="2026">
        <v>0</v>
      </c>
      <c r="CO176" s="1974">
        <v>0</v>
      </c>
      <c r="CP176" s="2040">
        <v>0</v>
      </c>
      <c r="CQ176" s="2040"/>
      <c r="CR176" s="2062">
        <v>1</v>
      </c>
      <c r="CS176" s="2062">
        <v>1</v>
      </c>
      <c r="CT176" s="2062">
        <v>1</v>
      </c>
      <c r="CU176" s="2062">
        <v>1</v>
      </c>
      <c r="CV176" s="2036"/>
      <c r="CW176" s="2036"/>
      <c r="CX176" s="2036"/>
      <c r="CY176" s="2049"/>
      <c r="CZ176" s="2049"/>
      <c r="DA176" s="2049"/>
    </row>
    <row r="177" spans="1:105" x14ac:dyDescent="0.25">
      <c r="A177" s="2185" t="s">
        <v>187</v>
      </c>
      <c r="B177" s="2022" t="s">
        <v>2961</v>
      </c>
      <c r="C177" s="2023">
        <v>5</v>
      </c>
      <c r="D177" s="2023">
        <v>0</v>
      </c>
      <c r="E177" s="2024">
        <v>1613</v>
      </c>
      <c r="F177" s="2024"/>
      <c r="G177" s="2024">
        <v>0.4</v>
      </c>
      <c r="H177" s="2024"/>
      <c r="I177" s="2023">
        <v>0</v>
      </c>
      <c r="J177" s="2027"/>
      <c r="K177" s="2026" t="s">
        <v>2960</v>
      </c>
      <c r="L177" s="2026" t="s">
        <v>2960</v>
      </c>
      <c r="M177" s="2026">
        <v>0.83099999999999996</v>
      </c>
      <c r="N177" s="2026">
        <v>0.83099999999999996</v>
      </c>
      <c r="O177" s="2026">
        <v>0.83099999999999996</v>
      </c>
      <c r="P177" s="2026">
        <v>0.83099999999999996</v>
      </c>
      <c r="Q177" s="2027">
        <f t="shared" si="62"/>
        <v>1340.403</v>
      </c>
      <c r="R177" s="2027">
        <f t="shared" si="62"/>
        <v>1340.403</v>
      </c>
      <c r="S177" s="2027">
        <f t="shared" si="62"/>
        <v>1340.403</v>
      </c>
      <c r="T177" s="2027">
        <f t="shared" si="62"/>
        <v>1340.403</v>
      </c>
      <c r="U177" s="2026">
        <v>0.83099999999999996</v>
      </c>
      <c r="V177" s="2026">
        <v>0.83099999999999996</v>
      </c>
      <c r="W177" s="2026">
        <v>0.83099999999999996</v>
      </c>
      <c r="X177" s="2026">
        <v>0.83099999999999996</v>
      </c>
      <c r="Y177" s="2028">
        <f t="shared" si="63"/>
        <v>0.33240000000000003</v>
      </c>
      <c r="Z177" s="2028">
        <f t="shared" si="63"/>
        <v>0.33240000000000003</v>
      </c>
      <c r="AA177" s="2028">
        <f t="shared" si="63"/>
        <v>0.33240000000000003</v>
      </c>
      <c r="AB177" s="2028">
        <f t="shared" si="63"/>
        <v>0.33240000000000003</v>
      </c>
      <c r="AC177" s="2026">
        <v>0.83099999999999996</v>
      </c>
      <c r="AD177" s="2026">
        <v>0.83099999999999996</v>
      </c>
      <c r="AE177" s="2026">
        <v>0.83099999999999996</v>
      </c>
      <c r="AF177" s="2026">
        <v>0.83099999999999996</v>
      </c>
      <c r="AG177" s="2027">
        <f t="shared" si="75"/>
        <v>0</v>
      </c>
      <c r="AH177" s="2027">
        <f t="shared" si="75"/>
        <v>0</v>
      </c>
      <c r="AI177" s="2027">
        <f t="shared" si="75"/>
        <v>0</v>
      </c>
      <c r="AJ177" s="2027">
        <f t="shared" si="75"/>
        <v>0</v>
      </c>
      <c r="AK177" s="2027">
        <v>1</v>
      </c>
      <c r="AL177" s="2027">
        <v>2</v>
      </c>
      <c r="AM177" s="2027">
        <v>2</v>
      </c>
      <c r="AN177" s="2027">
        <v>2</v>
      </c>
      <c r="AO177" s="2027">
        <f t="shared" si="64"/>
        <v>1340.403</v>
      </c>
      <c r="AP177" s="2027">
        <f t="shared" si="73"/>
        <v>2680.806</v>
      </c>
      <c r="AQ177" s="2027">
        <f t="shared" si="73"/>
        <v>2680.806</v>
      </c>
      <c r="AR177" s="2027"/>
      <c r="AS177" s="2027">
        <f t="shared" si="66"/>
        <v>2680.806</v>
      </c>
      <c r="AT177" s="2027">
        <f t="shared" si="67"/>
        <v>0</v>
      </c>
      <c r="AU177" s="2027">
        <f t="shared" si="74"/>
        <v>0</v>
      </c>
      <c r="AV177" s="2027">
        <f t="shared" si="74"/>
        <v>0</v>
      </c>
      <c r="AW177" s="2027">
        <f t="shared" si="74"/>
        <v>0</v>
      </c>
      <c r="AX177" s="2029">
        <v>100</v>
      </c>
      <c r="AY177" s="2029">
        <v>100</v>
      </c>
      <c r="AZ177" s="2029">
        <v>100</v>
      </c>
      <c r="BA177" s="2029">
        <v>100</v>
      </c>
      <c r="BB177" s="1974"/>
      <c r="BC177" s="2029">
        <v>0</v>
      </c>
      <c r="BD177" s="2029">
        <v>0</v>
      </c>
      <c r="BE177" s="2029">
        <v>0</v>
      </c>
      <c r="BF177" s="2029">
        <v>180</v>
      </c>
      <c r="BG177" s="2029">
        <v>180</v>
      </c>
      <c r="BH177" s="2029">
        <v>180</v>
      </c>
      <c r="BI177" s="2029">
        <v>180</v>
      </c>
      <c r="BJ177" s="2030">
        <f t="shared" si="71"/>
        <v>100</v>
      </c>
      <c r="BK177" s="2030">
        <f t="shared" si="71"/>
        <v>200</v>
      </c>
      <c r="BL177" s="2030">
        <f t="shared" si="71"/>
        <v>200</v>
      </c>
      <c r="BM177" s="2030"/>
      <c r="BN177" s="2030">
        <f t="shared" si="59"/>
        <v>200</v>
      </c>
      <c r="BO177" s="2030">
        <f t="shared" si="60"/>
        <v>0</v>
      </c>
      <c r="BP177" s="2030"/>
      <c r="BQ177" s="2030">
        <f t="shared" si="72"/>
        <v>0</v>
      </c>
      <c r="BR177" s="2030">
        <f t="shared" si="72"/>
        <v>0</v>
      </c>
      <c r="BS177" s="2030">
        <f t="shared" si="72"/>
        <v>0</v>
      </c>
      <c r="BT177" s="2031"/>
      <c r="BU177" s="2031"/>
      <c r="BV177" s="2031"/>
      <c r="BW177" s="2031"/>
      <c r="BX177" s="2031"/>
      <c r="BY177" s="2031"/>
      <c r="BZ177" s="2031"/>
      <c r="CA177" s="2031"/>
      <c r="CB177" s="2029"/>
      <c r="CC177" s="2029"/>
      <c r="CD177" s="2029"/>
      <c r="CE177" s="2029"/>
      <c r="CF177" s="2029"/>
      <c r="CG177" s="2032"/>
      <c r="CH177" s="1974"/>
      <c r="CI177" s="1974"/>
      <c r="CJ177" s="1974"/>
      <c r="CK177" s="1974"/>
      <c r="CL177" s="1974">
        <v>0</v>
      </c>
      <c r="CM177" s="2033">
        <v>4.484300789259512E-6</v>
      </c>
      <c r="CN177" s="2026">
        <v>0</v>
      </c>
      <c r="CO177" s="1974">
        <v>0</v>
      </c>
      <c r="CP177" s="2040">
        <v>0</v>
      </c>
      <c r="CQ177" s="2040"/>
      <c r="CR177" s="2062">
        <v>1</v>
      </c>
      <c r="CS177" s="2062">
        <v>1</v>
      </c>
      <c r="CT177" s="2062">
        <v>1</v>
      </c>
      <c r="CU177" s="2062">
        <v>1</v>
      </c>
      <c r="CV177" s="2036"/>
      <c r="CW177" s="2036"/>
      <c r="CX177" s="2036"/>
      <c r="CY177" s="2049"/>
      <c r="CZ177" s="2049"/>
      <c r="DA177" s="2049"/>
    </row>
    <row r="178" spans="1:105" x14ac:dyDescent="0.25">
      <c r="A178" s="2185" t="s">
        <v>188</v>
      </c>
      <c r="B178" s="2022" t="s">
        <v>2961</v>
      </c>
      <c r="C178" s="2023">
        <v>5</v>
      </c>
      <c r="D178" s="2023">
        <v>0</v>
      </c>
      <c r="E178" s="2024">
        <v>1613</v>
      </c>
      <c r="F178" s="2024"/>
      <c r="G178" s="2024">
        <v>0.4</v>
      </c>
      <c r="H178" s="2024"/>
      <c r="I178" s="2023">
        <v>0</v>
      </c>
      <c r="J178" s="2027"/>
      <c r="K178" s="2026" t="s">
        <v>2960</v>
      </c>
      <c r="L178" s="2026" t="s">
        <v>2960</v>
      </c>
      <c r="M178" s="2026">
        <v>0.83099999999999996</v>
      </c>
      <c r="N178" s="2026">
        <v>0.83099999999999996</v>
      </c>
      <c r="O178" s="2026">
        <v>0.83099999999999996</v>
      </c>
      <c r="P178" s="2026">
        <v>0.83099999999999996</v>
      </c>
      <c r="Q178" s="2027">
        <f t="shared" si="62"/>
        <v>1340.403</v>
      </c>
      <c r="R178" s="2027">
        <f t="shared" si="62"/>
        <v>1340.403</v>
      </c>
      <c r="S178" s="2027">
        <f t="shared" si="62"/>
        <v>1340.403</v>
      </c>
      <c r="T178" s="2027">
        <f t="shared" si="62"/>
        <v>1340.403</v>
      </c>
      <c r="U178" s="2026">
        <v>0.83099999999999996</v>
      </c>
      <c r="V178" s="2026">
        <v>0.83099999999999996</v>
      </c>
      <c r="W178" s="2026">
        <v>0.83099999999999996</v>
      </c>
      <c r="X178" s="2026">
        <v>0.83099999999999996</v>
      </c>
      <c r="Y178" s="2028">
        <f t="shared" si="63"/>
        <v>0.33240000000000003</v>
      </c>
      <c r="Z178" s="2028">
        <f t="shared" si="63"/>
        <v>0.33240000000000003</v>
      </c>
      <c r="AA178" s="2028">
        <f t="shared" si="63"/>
        <v>0.33240000000000003</v>
      </c>
      <c r="AB178" s="2028">
        <f t="shared" si="63"/>
        <v>0.33240000000000003</v>
      </c>
      <c r="AC178" s="2026">
        <v>0.83099999999999996</v>
      </c>
      <c r="AD178" s="2026">
        <v>0.83099999999999996</v>
      </c>
      <c r="AE178" s="2026">
        <v>0.83099999999999996</v>
      </c>
      <c r="AF178" s="2026">
        <v>0.83099999999999996</v>
      </c>
      <c r="AG178" s="2027">
        <f t="shared" si="75"/>
        <v>0</v>
      </c>
      <c r="AH178" s="2027">
        <f t="shared" si="75"/>
        <v>0</v>
      </c>
      <c r="AI178" s="2027">
        <f t="shared" si="75"/>
        <v>0</v>
      </c>
      <c r="AJ178" s="2027">
        <f t="shared" si="75"/>
        <v>0</v>
      </c>
      <c r="AK178" s="2027">
        <v>1</v>
      </c>
      <c r="AL178" s="2027">
        <v>2</v>
      </c>
      <c r="AM178" s="2027">
        <v>2</v>
      </c>
      <c r="AN178" s="2027">
        <v>2</v>
      </c>
      <c r="AO178" s="2027">
        <f t="shared" si="64"/>
        <v>1340.403</v>
      </c>
      <c r="AP178" s="2027">
        <f t="shared" si="73"/>
        <v>2680.806</v>
      </c>
      <c r="AQ178" s="2027">
        <f t="shared" si="73"/>
        <v>2680.806</v>
      </c>
      <c r="AR178" s="2027"/>
      <c r="AS178" s="2027">
        <f t="shared" si="66"/>
        <v>2680.806</v>
      </c>
      <c r="AT178" s="2027">
        <f t="shared" si="67"/>
        <v>0</v>
      </c>
      <c r="AU178" s="2027">
        <f t="shared" si="74"/>
        <v>0</v>
      </c>
      <c r="AV178" s="2027">
        <f t="shared" si="74"/>
        <v>0</v>
      </c>
      <c r="AW178" s="2027">
        <f t="shared" si="74"/>
        <v>0</v>
      </c>
      <c r="AX178" s="2029">
        <v>100</v>
      </c>
      <c r="AY178" s="2029">
        <v>100</v>
      </c>
      <c r="AZ178" s="2029">
        <v>100</v>
      </c>
      <c r="BA178" s="2029">
        <v>100</v>
      </c>
      <c r="BB178" s="1974"/>
      <c r="BC178" s="2029">
        <v>0</v>
      </c>
      <c r="BD178" s="2029">
        <v>0</v>
      </c>
      <c r="BE178" s="2029">
        <v>0</v>
      </c>
      <c r="BF178" s="2029">
        <v>180</v>
      </c>
      <c r="BG178" s="2029">
        <v>180</v>
      </c>
      <c r="BH178" s="2029">
        <v>180</v>
      </c>
      <c r="BI178" s="2029">
        <v>180</v>
      </c>
      <c r="BJ178" s="2030">
        <f t="shared" si="71"/>
        <v>100</v>
      </c>
      <c r="BK178" s="2030">
        <f t="shared" si="71"/>
        <v>200</v>
      </c>
      <c r="BL178" s="2030">
        <f t="shared" si="71"/>
        <v>200</v>
      </c>
      <c r="BM178" s="2030"/>
      <c r="BN178" s="2030">
        <f t="shared" si="59"/>
        <v>200</v>
      </c>
      <c r="BO178" s="2030">
        <f t="shared" si="60"/>
        <v>0</v>
      </c>
      <c r="BP178" s="2030"/>
      <c r="BQ178" s="2030">
        <f t="shared" si="72"/>
        <v>0</v>
      </c>
      <c r="BR178" s="2030">
        <f t="shared" si="72"/>
        <v>0</v>
      </c>
      <c r="BS178" s="2030">
        <f t="shared" si="72"/>
        <v>0</v>
      </c>
      <c r="BT178" s="2031"/>
      <c r="BU178" s="2031"/>
      <c r="BV178" s="2031"/>
      <c r="BW178" s="2031"/>
      <c r="BX178" s="2031"/>
      <c r="BY178" s="2031"/>
      <c r="BZ178" s="2031"/>
      <c r="CA178" s="2031"/>
      <c r="CB178" s="2029"/>
      <c r="CC178" s="2029"/>
      <c r="CD178" s="2029"/>
      <c r="CE178" s="2029"/>
      <c r="CF178" s="2029"/>
      <c r="CG178" s="2032"/>
      <c r="CH178" s="1974"/>
      <c r="CI178" s="1974"/>
      <c r="CJ178" s="1974"/>
      <c r="CK178" s="1974"/>
      <c r="CL178" s="1974">
        <v>0</v>
      </c>
      <c r="CM178" s="2033">
        <v>4.484300789259512E-6</v>
      </c>
      <c r="CN178" s="2026">
        <v>0</v>
      </c>
      <c r="CO178" s="1974">
        <v>0</v>
      </c>
      <c r="CP178" s="2040">
        <v>0</v>
      </c>
      <c r="CQ178" s="2040"/>
      <c r="CR178" s="2062">
        <v>1</v>
      </c>
      <c r="CS178" s="2062">
        <v>1</v>
      </c>
      <c r="CT178" s="2062">
        <v>1</v>
      </c>
      <c r="CU178" s="2062">
        <v>1</v>
      </c>
      <c r="CV178" s="2036"/>
      <c r="CW178" s="2036"/>
      <c r="CX178" s="2036"/>
      <c r="CY178" s="2049"/>
      <c r="CZ178" s="2049"/>
      <c r="DA178" s="2049"/>
    </row>
    <row r="179" spans="1:105" x14ac:dyDescent="0.25">
      <c r="A179" s="2185" t="s">
        <v>189</v>
      </c>
      <c r="B179" s="2022" t="s">
        <v>2961</v>
      </c>
      <c r="C179" s="2023">
        <v>5</v>
      </c>
      <c r="D179" s="2023">
        <v>0</v>
      </c>
      <c r="E179" s="2024">
        <v>387</v>
      </c>
      <c r="F179" s="2024"/>
      <c r="G179" s="2024">
        <v>0.1</v>
      </c>
      <c r="H179" s="2024"/>
      <c r="I179" s="2023">
        <v>0</v>
      </c>
      <c r="J179" s="2027"/>
      <c r="K179" s="2026" t="s">
        <v>2960</v>
      </c>
      <c r="L179" s="2026" t="s">
        <v>2960</v>
      </c>
      <c r="M179" s="2026">
        <v>0.83099999999999996</v>
      </c>
      <c r="N179" s="2026">
        <v>0.83099999999999996</v>
      </c>
      <c r="O179" s="2026">
        <v>0.83099999999999996</v>
      </c>
      <c r="P179" s="2026">
        <v>0.83099999999999996</v>
      </c>
      <c r="Q179" s="2027">
        <f t="shared" si="62"/>
        <v>321.59699999999998</v>
      </c>
      <c r="R179" s="2027">
        <f t="shared" si="62"/>
        <v>321.59699999999998</v>
      </c>
      <c r="S179" s="2027">
        <f t="shared" si="62"/>
        <v>321.59699999999998</v>
      </c>
      <c r="T179" s="2027">
        <f t="shared" si="62"/>
        <v>321.59699999999998</v>
      </c>
      <c r="U179" s="2026">
        <v>0.83099999999999996</v>
      </c>
      <c r="V179" s="2026">
        <v>0.83099999999999996</v>
      </c>
      <c r="W179" s="2026">
        <v>0.83099999999999996</v>
      </c>
      <c r="X179" s="2026">
        <v>0.83099999999999996</v>
      </c>
      <c r="Y179" s="2028">
        <f t="shared" si="63"/>
        <v>8.3100000000000007E-2</v>
      </c>
      <c r="Z179" s="2028">
        <f t="shared" si="63"/>
        <v>8.3100000000000007E-2</v>
      </c>
      <c r="AA179" s="2028">
        <f t="shared" si="63"/>
        <v>8.3100000000000007E-2</v>
      </c>
      <c r="AB179" s="2028">
        <f t="shared" si="63"/>
        <v>8.3100000000000007E-2</v>
      </c>
      <c r="AC179" s="2026">
        <v>0.83099999999999996</v>
      </c>
      <c r="AD179" s="2026">
        <v>0.83099999999999996</v>
      </c>
      <c r="AE179" s="2026">
        <v>0.83099999999999996</v>
      </c>
      <c r="AF179" s="2026">
        <v>0.83099999999999996</v>
      </c>
      <c r="AG179" s="2027">
        <f t="shared" si="75"/>
        <v>0</v>
      </c>
      <c r="AH179" s="2027">
        <f t="shared" si="75"/>
        <v>0</v>
      </c>
      <c r="AI179" s="2027">
        <f t="shared" si="75"/>
        <v>0</v>
      </c>
      <c r="AJ179" s="2027">
        <f t="shared" si="75"/>
        <v>0</v>
      </c>
      <c r="AK179" s="2027">
        <v>1</v>
      </c>
      <c r="AL179" s="2027">
        <v>2</v>
      </c>
      <c r="AM179" s="2027">
        <v>2</v>
      </c>
      <c r="AN179" s="2027">
        <v>2</v>
      </c>
      <c r="AO179" s="2027">
        <f t="shared" si="64"/>
        <v>321.59699999999998</v>
      </c>
      <c r="AP179" s="2027">
        <f t="shared" si="73"/>
        <v>643.19399999999996</v>
      </c>
      <c r="AQ179" s="2027">
        <f t="shared" si="73"/>
        <v>643.19399999999996</v>
      </c>
      <c r="AR179" s="2027"/>
      <c r="AS179" s="2027">
        <f t="shared" si="66"/>
        <v>643.19399999999996</v>
      </c>
      <c r="AT179" s="2027">
        <f t="shared" si="67"/>
        <v>0</v>
      </c>
      <c r="AU179" s="2027">
        <f t="shared" si="74"/>
        <v>0</v>
      </c>
      <c r="AV179" s="2027">
        <f t="shared" si="74"/>
        <v>0</v>
      </c>
      <c r="AW179" s="2027">
        <f t="shared" si="74"/>
        <v>0</v>
      </c>
      <c r="AX179" s="2029">
        <v>30</v>
      </c>
      <c r="AY179" s="2029">
        <v>30</v>
      </c>
      <c r="AZ179" s="2029">
        <v>30</v>
      </c>
      <c r="BA179" s="2029">
        <v>30</v>
      </c>
      <c r="BB179" s="1974"/>
      <c r="BC179" s="2029">
        <v>0</v>
      </c>
      <c r="BD179" s="2029">
        <v>0</v>
      </c>
      <c r="BE179" s="2029">
        <v>0</v>
      </c>
      <c r="BF179" s="2029">
        <v>80</v>
      </c>
      <c r="BG179" s="2029">
        <v>80</v>
      </c>
      <c r="BH179" s="2029">
        <v>80</v>
      </c>
      <c r="BI179" s="2029">
        <v>80</v>
      </c>
      <c r="BJ179" s="2030">
        <f t="shared" si="71"/>
        <v>30</v>
      </c>
      <c r="BK179" s="2030">
        <f t="shared" si="71"/>
        <v>60</v>
      </c>
      <c r="BL179" s="2030">
        <f t="shared" si="71"/>
        <v>60</v>
      </c>
      <c r="BM179" s="2030"/>
      <c r="BN179" s="2030">
        <f t="shared" si="59"/>
        <v>60</v>
      </c>
      <c r="BO179" s="2030">
        <f t="shared" si="60"/>
        <v>0</v>
      </c>
      <c r="BP179" s="2030"/>
      <c r="BQ179" s="2030">
        <f t="shared" si="72"/>
        <v>0</v>
      </c>
      <c r="BR179" s="2030">
        <f t="shared" si="72"/>
        <v>0</v>
      </c>
      <c r="BS179" s="2030">
        <f t="shared" si="72"/>
        <v>0</v>
      </c>
      <c r="BT179" s="2031"/>
      <c r="BU179" s="2031"/>
      <c r="BV179" s="2031"/>
      <c r="BW179" s="2031"/>
      <c r="BX179" s="2031"/>
      <c r="BY179" s="2031"/>
      <c r="BZ179" s="2031"/>
      <c r="CA179" s="2031"/>
      <c r="CB179" s="2029"/>
      <c r="CC179" s="2029"/>
      <c r="CD179" s="2029"/>
      <c r="CE179" s="2029"/>
      <c r="CF179" s="2029"/>
      <c r="CG179" s="2032"/>
      <c r="CH179" s="1974"/>
      <c r="CI179" s="1974"/>
      <c r="CJ179" s="1974"/>
      <c r="CK179" s="1974"/>
      <c r="CL179" s="1974">
        <v>0</v>
      </c>
      <c r="CM179" s="2033">
        <v>1.0758985774602796E-6</v>
      </c>
      <c r="CN179" s="2026">
        <v>0</v>
      </c>
      <c r="CO179" s="1974">
        <v>0</v>
      </c>
      <c r="CP179" s="2040">
        <v>0</v>
      </c>
      <c r="CQ179" s="2040"/>
      <c r="CR179" s="2062">
        <v>1</v>
      </c>
      <c r="CS179" s="2062">
        <v>1</v>
      </c>
      <c r="CT179" s="2062">
        <v>1</v>
      </c>
      <c r="CU179" s="2062">
        <v>1</v>
      </c>
      <c r="CV179" s="2036"/>
      <c r="CW179" s="2036"/>
      <c r="CX179" s="2036"/>
      <c r="CY179" s="2049"/>
      <c r="CZ179" s="2049"/>
      <c r="DA179" s="2049"/>
    </row>
    <row r="180" spans="1:105" x14ac:dyDescent="0.25">
      <c r="A180" s="2185" t="s">
        <v>190</v>
      </c>
      <c r="B180" s="2022" t="s">
        <v>2961</v>
      </c>
      <c r="C180" s="2023">
        <v>5</v>
      </c>
      <c r="D180" s="2023">
        <v>0</v>
      </c>
      <c r="E180" s="2024">
        <v>387</v>
      </c>
      <c r="F180" s="2024"/>
      <c r="G180" s="2024">
        <v>0.1</v>
      </c>
      <c r="H180" s="2024"/>
      <c r="I180" s="2023">
        <v>0</v>
      </c>
      <c r="J180" s="2027"/>
      <c r="K180" s="2026" t="s">
        <v>2960</v>
      </c>
      <c r="L180" s="2026" t="s">
        <v>2960</v>
      </c>
      <c r="M180" s="2026">
        <v>0.83099999999999996</v>
      </c>
      <c r="N180" s="2026">
        <v>0.83099999999999996</v>
      </c>
      <c r="O180" s="2026">
        <v>0.83099999999999996</v>
      </c>
      <c r="P180" s="2026">
        <v>0.83099999999999996</v>
      </c>
      <c r="Q180" s="2027">
        <f t="shared" si="62"/>
        <v>321.59699999999998</v>
      </c>
      <c r="R180" s="2027">
        <f t="shared" si="62"/>
        <v>321.59699999999998</v>
      </c>
      <c r="S180" s="2027">
        <f t="shared" si="62"/>
        <v>321.59699999999998</v>
      </c>
      <c r="T180" s="2027">
        <f t="shared" si="62"/>
        <v>321.59699999999998</v>
      </c>
      <c r="U180" s="2026">
        <v>0.83099999999999996</v>
      </c>
      <c r="V180" s="2026">
        <v>0.83099999999999996</v>
      </c>
      <c r="W180" s="2026">
        <v>0.83099999999999996</v>
      </c>
      <c r="X180" s="2026">
        <v>0.83099999999999996</v>
      </c>
      <c r="Y180" s="2028">
        <f t="shared" si="63"/>
        <v>8.3100000000000007E-2</v>
      </c>
      <c r="Z180" s="2028">
        <f t="shared" si="63"/>
        <v>8.3100000000000007E-2</v>
      </c>
      <c r="AA180" s="2028">
        <f t="shared" si="63"/>
        <v>8.3100000000000007E-2</v>
      </c>
      <c r="AB180" s="2028">
        <f t="shared" si="63"/>
        <v>8.3100000000000007E-2</v>
      </c>
      <c r="AC180" s="2026">
        <v>0.83099999999999996</v>
      </c>
      <c r="AD180" s="2026">
        <v>0.83099999999999996</v>
      </c>
      <c r="AE180" s="2026">
        <v>0.83099999999999996</v>
      </c>
      <c r="AF180" s="2026">
        <v>0.83099999999999996</v>
      </c>
      <c r="AG180" s="2027">
        <f t="shared" si="75"/>
        <v>0</v>
      </c>
      <c r="AH180" s="2027">
        <f t="shared" si="75"/>
        <v>0</v>
      </c>
      <c r="AI180" s="2027">
        <f t="shared" si="75"/>
        <v>0</v>
      </c>
      <c r="AJ180" s="2027">
        <f t="shared" si="75"/>
        <v>0</v>
      </c>
      <c r="AK180" s="2027">
        <v>1</v>
      </c>
      <c r="AL180" s="2027">
        <v>2</v>
      </c>
      <c r="AM180" s="2027">
        <v>2</v>
      </c>
      <c r="AN180" s="2027">
        <v>2</v>
      </c>
      <c r="AO180" s="2027">
        <f t="shared" si="64"/>
        <v>321.59699999999998</v>
      </c>
      <c r="AP180" s="2027">
        <f t="shared" si="73"/>
        <v>643.19399999999996</v>
      </c>
      <c r="AQ180" s="2027">
        <f t="shared" si="73"/>
        <v>643.19399999999996</v>
      </c>
      <c r="AR180" s="2027"/>
      <c r="AS180" s="2027">
        <f t="shared" si="66"/>
        <v>643.19399999999996</v>
      </c>
      <c r="AT180" s="2027">
        <f t="shared" si="67"/>
        <v>0</v>
      </c>
      <c r="AU180" s="2027">
        <f t="shared" si="74"/>
        <v>0</v>
      </c>
      <c r="AV180" s="2027">
        <f t="shared" si="74"/>
        <v>0</v>
      </c>
      <c r="AW180" s="2027">
        <f t="shared" si="74"/>
        <v>0</v>
      </c>
      <c r="AX180" s="2029">
        <v>30</v>
      </c>
      <c r="AY180" s="2029">
        <v>30</v>
      </c>
      <c r="AZ180" s="2029">
        <v>30</v>
      </c>
      <c r="BA180" s="2029">
        <v>30</v>
      </c>
      <c r="BB180" s="1974"/>
      <c r="BC180" s="2029">
        <v>0</v>
      </c>
      <c r="BD180" s="2029">
        <v>0</v>
      </c>
      <c r="BE180" s="2029">
        <v>0</v>
      </c>
      <c r="BF180" s="2029">
        <v>80</v>
      </c>
      <c r="BG180" s="2029">
        <v>80</v>
      </c>
      <c r="BH180" s="2029">
        <v>80</v>
      </c>
      <c r="BI180" s="2029">
        <v>80</v>
      </c>
      <c r="BJ180" s="2030">
        <f t="shared" si="71"/>
        <v>30</v>
      </c>
      <c r="BK180" s="2030">
        <f t="shared" si="71"/>
        <v>60</v>
      </c>
      <c r="BL180" s="2030">
        <f t="shared" si="71"/>
        <v>60</v>
      </c>
      <c r="BM180" s="2030"/>
      <c r="BN180" s="2030">
        <f t="shared" si="59"/>
        <v>60</v>
      </c>
      <c r="BO180" s="2030">
        <f t="shared" si="60"/>
        <v>0</v>
      </c>
      <c r="BP180" s="2030"/>
      <c r="BQ180" s="2030">
        <f t="shared" si="72"/>
        <v>0</v>
      </c>
      <c r="BR180" s="2030">
        <f t="shared" si="72"/>
        <v>0</v>
      </c>
      <c r="BS180" s="2030">
        <f t="shared" si="72"/>
        <v>0</v>
      </c>
      <c r="BT180" s="2031"/>
      <c r="BU180" s="2031"/>
      <c r="BV180" s="2031"/>
      <c r="BW180" s="2031"/>
      <c r="BX180" s="2031"/>
      <c r="BY180" s="2031"/>
      <c r="BZ180" s="2031"/>
      <c r="CA180" s="2031"/>
      <c r="CB180" s="2029"/>
      <c r="CC180" s="2029"/>
      <c r="CD180" s="2029"/>
      <c r="CE180" s="2029"/>
      <c r="CF180" s="2029"/>
      <c r="CG180" s="2032"/>
      <c r="CH180" s="1974"/>
      <c r="CI180" s="1974"/>
      <c r="CJ180" s="1974"/>
      <c r="CK180" s="1974"/>
      <c r="CL180" s="1974">
        <v>0</v>
      </c>
      <c r="CM180" s="2033">
        <v>1.0758985774602796E-6</v>
      </c>
      <c r="CN180" s="2026">
        <v>0</v>
      </c>
      <c r="CO180" s="1974">
        <v>0</v>
      </c>
      <c r="CP180" s="2040">
        <v>0</v>
      </c>
      <c r="CQ180" s="2040"/>
      <c r="CR180" s="2062">
        <v>1</v>
      </c>
      <c r="CS180" s="2062">
        <v>1</v>
      </c>
      <c r="CT180" s="2062">
        <v>1</v>
      </c>
      <c r="CU180" s="2062">
        <v>1</v>
      </c>
      <c r="CV180" s="2036"/>
      <c r="CW180" s="2036"/>
      <c r="CX180" s="2036"/>
      <c r="CY180" s="2049"/>
      <c r="CZ180" s="2049"/>
      <c r="DA180" s="2049"/>
    </row>
    <row r="181" spans="1:105" x14ac:dyDescent="0.25">
      <c r="A181" s="2185" t="s">
        <v>191</v>
      </c>
      <c r="B181" s="2022" t="s">
        <v>2961</v>
      </c>
      <c r="C181" s="2023">
        <v>5</v>
      </c>
      <c r="D181" s="2023">
        <v>0</v>
      </c>
      <c r="E181" s="2024">
        <v>387</v>
      </c>
      <c r="F181" s="2024"/>
      <c r="G181" s="2024">
        <v>0.1</v>
      </c>
      <c r="H181" s="2024"/>
      <c r="I181" s="2023">
        <v>0</v>
      </c>
      <c r="J181" s="2027"/>
      <c r="K181" s="2026" t="s">
        <v>2960</v>
      </c>
      <c r="L181" s="2026" t="s">
        <v>2960</v>
      </c>
      <c r="M181" s="2026">
        <v>0.83099999999999996</v>
      </c>
      <c r="N181" s="2026">
        <v>0.83099999999999996</v>
      </c>
      <c r="O181" s="2026">
        <v>0.83099999999999996</v>
      </c>
      <c r="P181" s="2026">
        <v>0.83099999999999996</v>
      </c>
      <c r="Q181" s="2027">
        <f t="shared" si="62"/>
        <v>321.59699999999998</v>
      </c>
      <c r="R181" s="2027">
        <f t="shared" si="62"/>
        <v>321.59699999999998</v>
      </c>
      <c r="S181" s="2027">
        <f t="shared" si="62"/>
        <v>321.59699999999998</v>
      </c>
      <c r="T181" s="2027">
        <f t="shared" si="62"/>
        <v>321.59699999999998</v>
      </c>
      <c r="U181" s="2026">
        <v>0.83099999999999996</v>
      </c>
      <c r="V181" s="2026">
        <v>0.83099999999999996</v>
      </c>
      <c r="W181" s="2026">
        <v>0.83099999999999996</v>
      </c>
      <c r="X181" s="2026">
        <v>0.83099999999999996</v>
      </c>
      <c r="Y181" s="2028">
        <f t="shared" si="63"/>
        <v>8.3100000000000007E-2</v>
      </c>
      <c r="Z181" s="2028">
        <f t="shared" si="63"/>
        <v>8.3100000000000007E-2</v>
      </c>
      <c r="AA181" s="2028">
        <f t="shared" si="63"/>
        <v>8.3100000000000007E-2</v>
      </c>
      <c r="AB181" s="2028">
        <f t="shared" si="63"/>
        <v>8.3100000000000007E-2</v>
      </c>
      <c r="AC181" s="2026">
        <v>0.83099999999999996</v>
      </c>
      <c r="AD181" s="2026">
        <v>0.83099999999999996</v>
      </c>
      <c r="AE181" s="2026">
        <v>0.83099999999999996</v>
      </c>
      <c r="AF181" s="2026">
        <v>0.83099999999999996</v>
      </c>
      <c r="AG181" s="2027">
        <f t="shared" si="75"/>
        <v>0</v>
      </c>
      <c r="AH181" s="2027">
        <f t="shared" si="75"/>
        <v>0</v>
      </c>
      <c r="AI181" s="2027">
        <f t="shared" si="75"/>
        <v>0</v>
      </c>
      <c r="AJ181" s="2027">
        <f t="shared" si="75"/>
        <v>0</v>
      </c>
      <c r="AK181" s="2027">
        <v>1</v>
      </c>
      <c r="AL181" s="2027">
        <v>2</v>
      </c>
      <c r="AM181" s="2027">
        <v>2</v>
      </c>
      <c r="AN181" s="2027">
        <v>2</v>
      </c>
      <c r="AO181" s="2027">
        <f t="shared" si="64"/>
        <v>321.59699999999998</v>
      </c>
      <c r="AP181" s="2027">
        <f t="shared" si="73"/>
        <v>643.19399999999996</v>
      </c>
      <c r="AQ181" s="2027">
        <f t="shared" si="73"/>
        <v>643.19399999999996</v>
      </c>
      <c r="AR181" s="2027"/>
      <c r="AS181" s="2027">
        <f t="shared" si="66"/>
        <v>643.19399999999996</v>
      </c>
      <c r="AT181" s="2027">
        <f t="shared" si="67"/>
        <v>0</v>
      </c>
      <c r="AU181" s="2027">
        <f t="shared" si="74"/>
        <v>0</v>
      </c>
      <c r="AV181" s="2027">
        <f t="shared" si="74"/>
        <v>0</v>
      </c>
      <c r="AW181" s="2027">
        <f t="shared" si="74"/>
        <v>0</v>
      </c>
      <c r="AX181" s="2029">
        <v>30</v>
      </c>
      <c r="AY181" s="2029">
        <v>30</v>
      </c>
      <c r="AZ181" s="2029">
        <v>30</v>
      </c>
      <c r="BA181" s="2029">
        <v>30</v>
      </c>
      <c r="BB181" s="1974"/>
      <c r="BC181" s="2029">
        <v>0</v>
      </c>
      <c r="BD181" s="2029">
        <v>0</v>
      </c>
      <c r="BE181" s="2029">
        <v>0</v>
      </c>
      <c r="BF181" s="2029">
        <v>80</v>
      </c>
      <c r="BG181" s="2029">
        <v>80</v>
      </c>
      <c r="BH181" s="2029">
        <v>80</v>
      </c>
      <c r="BI181" s="2029">
        <v>80</v>
      </c>
      <c r="BJ181" s="2030">
        <f t="shared" si="71"/>
        <v>30</v>
      </c>
      <c r="BK181" s="2030">
        <f t="shared" si="71"/>
        <v>60</v>
      </c>
      <c r="BL181" s="2030">
        <f t="shared" si="71"/>
        <v>60</v>
      </c>
      <c r="BM181" s="2030"/>
      <c r="BN181" s="2030">
        <f t="shared" si="59"/>
        <v>60</v>
      </c>
      <c r="BO181" s="2030">
        <f t="shared" si="60"/>
        <v>0</v>
      </c>
      <c r="BP181" s="2030"/>
      <c r="BQ181" s="2030">
        <f t="shared" si="72"/>
        <v>0</v>
      </c>
      <c r="BR181" s="2030">
        <f t="shared" si="72"/>
        <v>0</v>
      </c>
      <c r="BS181" s="2030">
        <f t="shared" si="72"/>
        <v>0</v>
      </c>
      <c r="BT181" s="2031"/>
      <c r="BU181" s="2031"/>
      <c r="BV181" s="2031"/>
      <c r="BW181" s="2031"/>
      <c r="BX181" s="2031"/>
      <c r="BY181" s="2031"/>
      <c r="BZ181" s="2031"/>
      <c r="CA181" s="2031"/>
      <c r="CB181" s="2029"/>
      <c r="CC181" s="2029"/>
      <c r="CD181" s="2029"/>
      <c r="CE181" s="2029"/>
      <c r="CF181" s="2029"/>
      <c r="CG181" s="2032"/>
      <c r="CH181" s="1974"/>
      <c r="CI181" s="1974"/>
      <c r="CJ181" s="1974"/>
      <c r="CK181" s="1974"/>
      <c r="CL181" s="1974">
        <v>0</v>
      </c>
      <c r="CM181" s="2033">
        <v>1.0758985774602796E-6</v>
      </c>
      <c r="CN181" s="2026">
        <v>0</v>
      </c>
      <c r="CO181" s="1974">
        <v>0</v>
      </c>
      <c r="CP181" s="2040">
        <v>0</v>
      </c>
      <c r="CQ181" s="2040"/>
      <c r="CR181" s="2062">
        <v>1</v>
      </c>
      <c r="CS181" s="2062">
        <v>1</v>
      </c>
      <c r="CT181" s="2062">
        <v>1</v>
      </c>
      <c r="CU181" s="2062">
        <v>1</v>
      </c>
      <c r="CV181" s="2036"/>
      <c r="CW181" s="2036"/>
      <c r="CX181" s="2036"/>
      <c r="CY181" s="2049"/>
      <c r="CZ181" s="2049"/>
      <c r="DA181" s="2049"/>
    </row>
    <row r="182" spans="1:105" x14ac:dyDescent="0.25">
      <c r="A182" s="2185" t="s">
        <v>192</v>
      </c>
      <c r="B182" s="2022" t="s">
        <v>2961</v>
      </c>
      <c r="C182" s="2023">
        <v>5</v>
      </c>
      <c r="D182" s="2023">
        <v>0</v>
      </c>
      <c r="E182" s="2024">
        <v>387</v>
      </c>
      <c r="F182" s="2024"/>
      <c r="G182" s="2024">
        <v>0.1</v>
      </c>
      <c r="H182" s="2024"/>
      <c r="I182" s="2023">
        <v>0</v>
      </c>
      <c r="J182" s="2027"/>
      <c r="K182" s="2026" t="s">
        <v>2960</v>
      </c>
      <c r="L182" s="2026" t="s">
        <v>2960</v>
      </c>
      <c r="M182" s="2026">
        <v>0.83099999999999996</v>
      </c>
      <c r="N182" s="2026">
        <v>0.83099999999999996</v>
      </c>
      <c r="O182" s="2026">
        <v>0.83099999999999996</v>
      </c>
      <c r="P182" s="2026">
        <v>0.83099999999999996</v>
      </c>
      <c r="Q182" s="2027">
        <f t="shared" si="62"/>
        <v>321.59699999999998</v>
      </c>
      <c r="R182" s="2027">
        <f t="shared" si="62"/>
        <v>321.59699999999998</v>
      </c>
      <c r="S182" s="2027">
        <f t="shared" si="62"/>
        <v>321.59699999999998</v>
      </c>
      <c r="T182" s="2027">
        <f t="shared" si="62"/>
        <v>321.59699999999998</v>
      </c>
      <c r="U182" s="2026">
        <v>0.83099999999999996</v>
      </c>
      <c r="V182" s="2026">
        <v>0.83099999999999996</v>
      </c>
      <c r="W182" s="2026">
        <v>0.83099999999999996</v>
      </c>
      <c r="X182" s="2026">
        <v>0.83099999999999996</v>
      </c>
      <c r="Y182" s="2028">
        <f t="shared" si="63"/>
        <v>8.3100000000000007E-2</v>
      </c>
      <c r="Z182" s="2028">
        <f t="shared" si="63"/>
        <v>8.3100000000000007E-2</v>
      </c>
      <c r="AA182" s="2028">
        <f t="shared" si="63"/>
        <v>8.3100000000000007E-2</v>
      </c>
      <c r="AB182" s="2028">
        <f t="shared" si="63"/>
        <v>8.3100000000000007E-2</v>
      </c>
      <c r="AC182" s="2026">
        <v>0.83099999999999996</v>
      </c>
      <c r="AD182" s="2026">
        <v>0.83099999999999996</v>
      </c>
      <c r="AE182" s="2026">
        <v>0.83099999999999996</v>
      </c>
      <c r="AF182" s="2026">
        <v>0.83099999999999996</v>
      </c>
      <c r="AG182" s="2027">
        <f t="shared" si="75"/>
        <v>0</v>
      </c>
      <c r="AH182" s="2027">
        <f t="shared" si="75"/>
        <v>0</v>
      </c>
      <c r="AI182" s="2027">
        <f t="shared" si="75"/>
        <v>0</v>
      </c>
      <c r="AJ182" s="2027">
        <f t="shared" si="75"/>
        <v>0</v>
      </c>
      <c r="AK182" s="2027">
        <v>1</v>
      </c>
      <c r="AL182" s="2027">
        <v>2</v>
      </c>
      <c r="AM182" s="2027">
        <v>2</v>
      </c>
      <c r="AN182" s="2027">
        <v>2</v>
      </c>
      <c r="AO182" s="2027">
        <f t="shared" si="64"/>
        <v>321.59699999999998</v>
      </c>
      <c r="AP182" s="2027">
        <f t="shared" si="73"/>
        <v>643.19399999999996</v>
      </c>
      <c r="AQ182" s="2027">
        <f t="shared" si="73"/>
        <v>643.19399999999996</v>
      </c>
      <c r="AR182" s="2027"/>
      <c r="AS182" s="2027">
        <f t="shared" si="66"/>
        <v>643.19399999999996</v>
      </c>
      <c r="AT182" s="2027">
        <f t="shared" si="67"/>
        <v>0</v>
      </c>
      <c r="AU182" s="2027">
        <f t="shared" si="74"/>
        <v>0</v>
      </c>
      <c r="AV182" s="2027">
        <f t="shared" si="74"/>
        <v>0</v>
      </c>
      <c r="AW182" s="2027">
        <f t="shared" si="74"/>
        <v>0</v>
      </c>
      <c r="AX182" s="2029">
        <v>30</v>
      </c>
      <c r="AY182" s="2029">
        <v>30</v>
      </c>
      <c r="AZ182" s="2029">
        <v>30</v>
      </c>
      <c r="BA182" s="2029">
        <v>30</v>
      </c>
      <c r="BB182" s="1974"/>
      <c r="BC182" s="2029">
        <v>0</v>
      </c>
      <c r="BD182" s="2029">
        <v>0</v>
      </c>
      <c r="BE182" s="2029">
        <v>0</v>
      </c>
      <c r="BF182" s="2029">
        <v>80</v>
      </c>
      <c r="BG182" s="2029">
        <v>80</v>
      </c>
      <c r="BH182" s="2029">
        <v>80</v>
      </c>
      <c r="BI182" s="2029">
        <v>80</v>
      </c>
      <c r="BJ182" s="2030">
        <f t="shared" si="71"/>
        <v>30</v>
      </c>
      <c r="BK182" s="2030">
        <f t="shared" si="71"/>
        <v>60</v>
      </c>
      <c r="BL182" s="2030">
        <f t="shared" si="71"/>
        <v>60</v>
      </c>
      <c r="BM182" s="2030"/>
      <c r="BN182" s="2030">
        <f t="shared" si="59"/>
        <v>60</v>
      </c>
      <c r="BO182" s="2030">
        <f t="shared" si="60"/>
        <v>0</v>
      </c>
      <c r="BP182" s="2030"/>
      <c r="BQ182" s="2030">
        <f t="shared" si="72"/>
        <v>0</v>
      </c>
      <c r="BR182" s="2030">
        <f t="shared" si="72"/>
        <v>0</v>
      </c>
      <c r="BS182" s="2030">
        <f t="shared" si="72"/>
        <v>0</v>
      </c>
      <c r="BT182" s="2031"/>
      <c r="BU182" s="2031"/>
      <c r="BV182" s="2031"/>
      <c r="BW182" s="2031"/>
      <c r="BX182" s="2031"/>
      <c r="BY182" s="2031"/>
      <c r="BZ182" s="2031"/>
      <c r="CA182" s="2031"/>
      <c r="CB182" s="2029"/>
      <c r="CC182" s="2029"/>
      <c r="CD182" s="2029"/>
      <c r="CE182" s="2029"/>
      <c r="CF182" s="2029"/>
      <c r="CG182" s="2032"/>
      <c r="CH182" s="1974"/>
      <c r="CI182" s="1974"/>
      <c r="CJ182" s="1974"/>
      <c r="CK182" s="1974"/>
      <c r="CL182" s="1974">
        <v>0</v>
      </c>
      <c r="CM182" s="2033">
        <v>1.0758985774602796E-6</v>
      </c>
      <c r="CN182" s="2026">
        <v>0</v>
      </c>
      <c r="CO182" s="1974">
        <v>0</v>
      </c>
      <c r="CP182" s="2040">
        <v>0</v>
      </c>
      <c r="CQ182" s="2040"/>
      <c r="CR182" s="2062">
        <v>1</v>
      </c>
      <c r="CS182" s="2062">
        <v>1</v>
      </c>
      <c r="CT182" s="2062">
        <v>1</v>
      </c>
      <c r="CU182" s="2062">
        <v>1</v>
      </c>
      <c r="CV182" s="2036"/>
      <c r="CW182" s="2036"/>
      <c r="CX182" s="2036"/>
      <c r="CY182" s="2049"/>
      <c r="CZ182" s="2049"/>
      <c r="DA182" s="2049"/>
    </row>
    <row r="183" spans="1:105" x14ac:dyDescent="0.25">
      <c r="A183" s="2185" t="s">
        <v>193</v>
      </c>
      <c r="B183" s="2022" t="s">
        <v>2962</v>
      </c>
      <c r="C183" s="2023">
        <v>3</v>
      </c>
      <c r="D183" s="2023">
        <v>0</v>
      </c>
      <c r="E183" s="2024">
        <v>0</v>
      </c>
      <c r="F183" s="2024"/>
      <c r="G183" s="2024">
        <v>0</v>
      </c>
      <c r="H183" s="2024"/>
      <c r="I183" s="2023">
        <v>1596.992328311999</v>
      </c>
      <c r="J183" s="2027"/>
      <c r="K183" s="2026" t="s">
        <v>20</v>
      </c>
      <c r="L183" s="2026" t="s">
        <v>20</v>
      </c>
      <c r="M183" s="2026">
        <v>0.55700000000000005</v>
      </c>
      <c r="N183" s="2026">
        <v>0.55700000000000005</v>
      </c>
      <c r="O183" s="2026">
        <v>0.55700000000000005</v>
      </c>
      <c r="P183" s="2026">
        <v>0.55700000000000005</v>
      </c>
      <c r="Q183" s="2027">
        <f t="shared" si="62"/>
        <v>0</v>
      </c>
      <c r="R183" s="2027">
        <f t="shared" si="62"/>
        <v>0</v>
      </c>
      <c r="S183" s="2027">
        <f t="shared" si="62"/>
        <v>0</v>
      </c>
      <c r="T183" s="2027">
        <f t="shared" si="62"/>
        <v>0</v>
      </c>
      <c r="U183" s="2026">
        <v>0.55700000000000005</v>
      </c>
      <c r="V183" s="2026">
        <v>0.55700000000000005</v>
      </c>
      <c r="W183" s="2026">
        <v>0.55700000000000005</v>
      </c>
      <c r="X183" s="2026">
        <v>0.55700000000000005</v>
      </c>
      <c r="Y183" s="2028">
        <f t="shared" si="63"/>
        <v>0</v>
      </c>
      <c r="Z183" s="2028">
        <f t="shared" si="63"/>
        <v>0</v>
      </c>
      <c r="AA183" s="2028">
        <f t="shared" si="63"/>
        <v>0</v>
      </c>
      <c r="AB183" s="2028">
        <f t="shared" si="63"/>
        <v>0</v>
      </c>
      <c r="AC183" s="2026">
        <v>0.49399999999999999</v>
      </c>
      <c r="AD183" s="2026">
        <v>0.49399999999999999</v>
      </c>
      <c r="AE183" s="2026">
        <v>0.49399999999999999</v>
      </c>
      <c r="AF183" s="2026">
        <v>0.49399999999999999</v>
      </c>
      <c r="AG183" s="2027">
        <f t="shared" si="75"/>
        <v>788.91421018612755</v>
      </c>
      <c r="AH183" s="2027">
        <f t="shared" si="75"/>
        <v>788.91421018612755</v>
      </c>
      <c r="AI183" s="2027">
        <f t="shared" si="75"/>
        <v>788.91421018612755</v>
      </c>
      <c r="AJ183" s="2027">
        <f t="shared" si="75"/>
        <v>788.91421018612755</v>
      </c>
      <c r="AK183" s="2027">
        <v>30</v>
      </c>
      <c r="AL183" s="2027">
        <v>29</v>
      </c>
      <c r="AM183" s="2027">
        <v>28</v>
      </c>
      <c r="AN183" s="2027">
        <v>28</v>
      </c>
      <c r="AO183" s="2027">
        <f t="shared" si="64"/>
        <v>0</v>
      </c>
      <c r="AP183" s="2027">
        <f t="shared" si="73"/>
        <v>0</v>
      </c>
      <c r="AQ183" s="2027">
        <f t="shared" si="73"/>
        <v>0</v>
      </c>
      <c r="AR183" s="2027"/>
      <c r="AS183" s="2027">
        <f t="shared" si="66"/>
        <v>0</v>
      </c>
      <c r="AT183" s="2027">
        <f t="shared" si="67"/>
        <v>23667.426305583827</v>
      </c>
      <c r="AU183" s="2027">
        <f t="shared" si="74"/>
        <v>22878.512095397698</v>
      </c>
      <c r="AV183" s="2027">
        <f t="shared" si="74"/>
        <v>22089.597885211573</v>
      </c>
      <c r="AW183" s="2027">
        <f t="shared" si="74"/>
        <v>22089.597885211573</v>
      </c>
      <c r="AX183" s="2029"/>
      <c r="AY183" s="2029">
        <v>0</v>
      </c>
      <c r="AZ183" s="2029">
        <v>0</v>
      </c>
      <c r="BA183" s="2029">
        <v>0</v>
      </c>
      <c r="BB183" s="2029">
        <v>873.81692307692299</v>
      </c>
      <c r="BC183" s="2029">
        <v>873.81692307692299</v>
      </c>
      <c r="BD183" s="2029">
        <v>873.81692307692299</v>
      </c>
      <c r="BE183" s="2029">
        <v>873.81692307692299</v>
      </c>
      <c r="BF183" s="2029">
        <v>604.39003846153832</v>
      </c>
      <c r="BG183" s="2029">
        <v>604.39003846153832</v>
      </c>
      <c r="BH183" s="2029">
        <v>604.39003846153832</v>
      </c>
      <c r="BI183" s="2029">
        <v>604.39003846153832</v>
      </c>
      <c r="BJ183" s="2030">
        <f t="shared" si="71"/>
        <v>0</v>
      </c>
      <c r="BK183" s="2030">
        <f t="shared" si="71"/>
        <v>0</v>
      </c>
      <c r="BL183" s="2030">
        <f t="shared" si="71"/>
        <v>0</v>
      </c>
      <c r="BM183" s="2030"/>
      <c r="BN183" s="2030">
        <f t="shared" si="59"/>
        <v>0</v>
      </c>
      <c r="BO183" s="2030">
        <f t="shared" si="60"/>
        <v>26214.507692307689</v>
      </c>
      <c r="BP183" s="2030"/>
      <c r="BQ183" s="2030">
        <f t="shared" si="72"/>
        <v>25340.690769230765</v>
      </c>
      <c r="BR183" s="2030">
        <f t="shared" si="72"/>
        <v>24466.873846153845</v>
      </c>
      <c r="BS183" s="2030">
        <f t="shared" si="72"/>
        <v>24466.873846153845</v>
      </c>
      <c r="BT183" s="2031"/>
      <c r="BU183" s="2031"/>
      <c r="BV183" s="2031"/>
      <c r="BW183" s="2031"/>
      <c r="BX183" s="2031"/>
      <c r="BY183" s="2031"/>
      <c r="BZ183" s="2031"/>
      <c r="CA183" s="2031"/>
      <c r="CB183" s="2029"/>
      <c r="CC183" s="2029"/>
      <c r="CD183" s="2029"/>
      <c r="CE183" s="2029"/>
      <c r="CF183" s="2029"/>
      <c r="CG183" s="2032"/>
      <c r="CH183" s="1974"/>
      <c r="CI183" s="1974"/>
      <c r="CJ183" s="1974"/>
      <c r="CK183" s="1974"/>
      <c r="CL183" s="1974">
        <v>0</v>
      </c>
      <c r="CM183" s="2033">
        <v>0</v>
      </c>
      <c r="CN183" s="2026">
        <v>8.8943386728704936E-3</v>
      </c>
      <c r="CO183" s="1974">
        <v>0</v>
      </c>
      <c r="CP183" s="2040">
        <v>0</v>
      </c>
      <c r="CQ183" s="2040"/>
      <c r="CR183" s="2062">
        <v>1</v>
      </c>
      <c r="CS183" s="2062">
        <v>1</v>
      </c>
      <c r="CT183" s="2062">
        <v>1</v>
      </c>
      <c r="CU183" s="2062">
        <v>1</v>
      </c>
      <c r="CV183" s="2036"/>
      <c r="CW183" s="2036"/>
      <c r="CX183" s="2036"/>
      <c r="CY183" s="2036"/>
      <c r="CZ183" s="2036"/>
      <c r="DA183" s="2036"/>
    </row>
    <row r="184" spans="1:105" x14ac:dyDescent="0.25">
      <c r="A184" s="2185" t="s">
        <v>265</v>
      </c>
      <c r="B184" s="2022" t="s">
        <v>2963</v>
      </c>
      <c r="C184" s="2023">
        <v>20</v>
      </c>
      <c r="D184" s="2023">
        <v>0</v>
      </c>
      <c r="E184" s="2024">
        <v>0</v>
      </c>
      <c r="F184" s="2024"/>
      <c r="G184" s="2024">
        <v>0</v>
      </c>
      <c r="H184" s="2024"/>
      <c r="I184" s="2023">
        <v>358.38875000000002</v>
      </c>
      <c r="J184" s="2027"/>
      <c r="K184" s="2026" t="s">
        <v>20</v>
      </c>
      <c r="L184" s="2026" t="s">
        <v>20</v>
      </c>
      <c r="M184" s="2026">
        <v>0.55700000000000005</v>
      </c>
      <c r="N184" s="2026">
        <v>0.55700000000000005</v>
      </c>
      <c r="O184" s="2026">
        <v>0.55700000000000005</v>
      </c>
      <c r="P184" s="2026">
        <v>0.55700000000000005</v>
      </c>
      <c r="Q184" s="2027">
        <f t="shared" si="62"/>
        <v>0</v>
      </c>
      <c r="R184" s="2027">
        <f t="shared" si="62"/>
        <v>0</v>
      </c>
      <c r="S184" s="2027">
        <f t="shared" si="62"/>
        <v>0</v>
      </c>
      <c r="T184" s="2027">
        <f t="shared" si="62"/>
        <v>0</v>
      </c>
      <c r="U184" s="2026">
        <v>0.55700000000000005</v>
      </c>
      <c r="V184" s="2026">
        <v>0.55700000000000005</v>
      </c>
      <c r="W184" s="2026">
        <v>0.55700000000000005</v>
      </c>
      <c r="X184" s="2026">
        <v>0.55700000000000005</v>
      </c>
      <c r="Y184" s="2028">
        <f t="shared" si="63"/>
        <v>0</v>
      </c>
      <c r="Z184" s="2028">
        <f t="shared" si="63"/>
        <v>0</v>
      </c>
      <c r="AA184" s="2028">
        <f t="shared" si="63"/>
        <v>0</v>
      </c>
      <c r="AB184" s="2028">
        <f t="shared" si="63"/>
        <v>0</v>
      </c>
      <c r="AC184" s="2026">
        <v>0.49399999999999999</v>
      </c>
      <c r="AD184" s="2026">
        <v>0.49399999999999999</v>
      </c>
      <c r="AE184" s="2026">
        <v>0.49399999999999999</v>
      </c>
      <c r="AF184" s="2026">
        <v>0.49399999999999999</v>
      </c>
      <c r="AG184" s="2027">
        <f t="shared" si="75"/>
        <v>177.04404250000002</v>
      </c>
      <c r="AH184" s="2027">
        <f t="shared" si="75"/>
        <v>177.04404250000002</v>
      </c>
      <c r="AI184" s="2027">
        <f t="shared" si="75"/>
        <v>177.04404250000002</v>
      </c>
      <c r="AJ184" s="2027">
        <f t="shared" si="75"/>
        <v>177.04404250000002</v>
      </c>
      <c r="AK184" s="2027">
        <v>0</v>
      </c>
      <c r="AL184" s="2027">
        <v>0</v>
      </c>
      <c r="AM184" s="2027">
        <v>0</v>
      </c>
      <c r="AN184" s="2027">
        <v>0</v>
      </c>
      <c r="AO184" s="2027">
        <f t="shared" si="64"/>
        <v>0</v>
      </c>
      <c r="AP184" s="2027">
        <f t="shared" si="73"/>
        <v>0</v>
      </c>
      <c r="AQ184" s="2027">
        <f t="shared" si="73"/>
        <v>0</v>
      </c>
      <c r="AR184" s="2027"/>
      <c r="AS184" s="2027">
        <f t="shared" si="66"/>
        <v>0</v>
      </c>
      <c r="AT184" s="2027">
        <f t="shared" si="67"/>
        <v>0</v>
      </c>
      <c r="AU184" s="2027">
        <f t="shared" si="74"/>
        <v>0</v>
      </c>
      <c r="AV184" s="2027">
        <f t="shared" si="74"/>
        <v>0</v>
      </c>
      <c r="AW184" s="2027">
        <f t="shared" si="74"/>
        <v>0</v>
      </c>
      <c r="AX184" s="2029"/>
      <c r="AY184" s="2029">
        <v>0</v>
      </c>
      <c r="AZ184" s="2029">
        <v>0</v>
      </c>
      <c r="BA184" s="2029">
        <v>0</v>
      </c>
      <c r="BB184" s="2029">
        <v>510</v>
      </c>
      <c r="BC184" s="2029">
        <v>510</v>
      </c>
      <c r="BD184" s="2029">
        <v>510</v>
      </c>
      <c r="BE184" s="2029">
        <v>510</v>
      </c>
      <c r="BF184" s="2029">
        <v>1470</v>
      </c>
      <c r="BG184" s="2029">
        <v>1470</v>
      </c>
      <c r="BH184" s="2029">
        <v>1470</v>
      </c>
      <c r="BI184" s="2029">
        <v>1470</v>
      </c>
      <c r="BJ184" s="2030">
        <f t="shared" si="71"/>
        <v>0</v>
      </c>
      <c r="BK184" s="2030">
        <f t="shared" si="71"/>
        <v>0</v>
      </c>
      <c r="BL184" s="2030">
        <f t="shared" si="71"/>
        <v>0</v>
      </c>
      <c r="BM184" s="2030"/>
      <c r="BN184" s="2030">
        <f t="shared" si="59"/>
        <v>0</v>
      </c>
      <c r="BO184" s="2030">
        <f t="shared" si="60"/>
        <v>0</v>
      </c>
      <c r="BP184" s="2030"/>
      <c r="BQ184" s="2030">
        <f t="shared" si="72"/>
        <v>0</v>
      </c>
      <c r="BR184" s="2030">
        <f t="shared" si="72"/>
        <v>0</v>
      </c>
      <c r="BS184" s="2030">
        <f t="shared" si="72"/>
        <v>0</v>
      </c>
      <c r="BT184" s="2031"/>
      <c r="BU184" s="2031"/>
      <c r="BV184" s="2031"/>
      <c r="BW184" s="2031"/>
      <c r="BX184" s="2031"/>
      <c r="BY184" s="2031"/>
      <c r="BZ184" s="2031"/>
      <c r="CA184" s="2031"/>
      <c r="CB184" s="2029"/>
      <c r="CC184" s="2029"/>
      <c r="CD184" s="2029"/>
      <c r="CE184" s="2029"/>
      <c r="CF184" s="2029"/>
      <c r="CG184" s="2032"/>
      <c r="CH184" s="1974"/>
      <c r="CI184" s="1974"/>
      <c r="CJ184" s="1974"/>
      <c r="CK184" s="1974"/>
      <c r="CL184" s="1974">
        <v>0</v>
      </c>
      <c r="CM184" s="2033">
        <v>0</v>
      </c>
      <c r="CN184" s="2026">
        <v>0</v>
      </c>
      <c r="CO184" s="1974">
        <v>0</v>
      </c>
      <c r="CP184" s="2040">
        <v>0</v>
      </c>
      <c r="CQ184" s="2040"/>
      <c r="CR184" s="2062">
        <v>1</v>
      </c>
      <c r="CS184" s="2062">
        <v>1</v>
      </c>
      <c r="CT184" s="2062">
        <v>1</v>
      </c>
      <c r="CU184" s="2062">
        <v>1</v>
      </c>
      <c r="CV184" s="2036"/>
      <c r="CW184" s="2036"/>
      <c r="CX184" s="2036"/>
      <c r="CY184" s="2049"/>
      <c r="CZ184" s="2049"/>
      <c r="DA184" s="2049"/>
    </row>
    <row r="185" spans="1:105" x14ac:dyDescent="0.25">
      <c r="A185" s="2185" t="s">
        <v>194</v>
      </c>
      <c r="B185" s="2022" t="s">
        <v>2964</v>
      </c>
      <c r="C185" s="2023">
        <v>20</v>
      </c>
      <c r="D185" s="2023">
        <v>0</v>
      </c>
      <c r="E185" s="2024">
        <v>0</v>
      </c>
      <c r="F185" s="2024"/>
      <c r="G185" s="2024">
        <v>0</v>
      </c>
      <c r="H185" s="2024"/>
      <c r="I185" s="2023">
        <v>562.26776594947137</v>
      </c>
      <c r="J185" s="2027"/>
      <c r="K185" s="2026" t="s">
        <v>20</v>
      </c>
      <c r="L185" s="2026" t="s">
        <v>20</v>
      </c>
      <c r="M185" s="2026">
        <v>0.55700000000000005</v>
      </c>
      <c r="N185" s="2026">
        <v>0.55700000000000005</v>
      </c>
      <c r="O185" s="2026">
        <v>0.55700000000000005</v>
      </c>
      <c r="P185" s="2026">
        <v>0.55700000000000005</v>
      </c>
      <c r="Q185" s="2027">
        <f t="shared" si="62"/>
        <v>0</v>
      </c>
      <c r="R185" s="2027">
        <f t="shared" si="62"/>
        <v>0</v>
      </c>
      <c r="S185" s="2027">
        <f t="shared" si="62"/>
        <v>0</v>
      </c>
      <c r="T185" s="2027">
        <f t="shared" si="62"/>
        <v>0</v>
      </c>
      <c r="U185" s="2026">
        <v>0.55700000000000005</v>
      </c>
      <c r="V185" s="2026">
        <v>0.55700000000000005</v>
      </c>
      <c r="W185" s="2026">
        <v>0.55700000000000005</v>
      </c>
      <c r="X185" s="2026">
        <v>0.55700000000000005</v>
      </c>
      <c r="Y185" s="2028">
        <f t="shared" si="63"/>
        <v>0</v>
      </c>
      <c r="Z185" s="2028">
        <f t="shared" si="63"/>
        <v>0</v>
      </c>
      <c r="AA185" s="2028">
        <f t="shared" si="63"/>
        <v>0</v>
      </c>
      <c r="AB185" s="2028">
        <f t="shared" si="63"/>
        <v>0</v>
      </c>
      <c r="AC185" s="2026">
        <v>0.49399999999999999</v>
      </c>
      <c r="AD185" s="2026">
        <v>0.49399999999999999</v>
      </c>
      <c r="AE185" s="2026">
        <v>0.49399999999999999</v>
      </c>
      <c r="AF185" s="2026">
        <v>0.49399999999999999</v>
      </c>
      <c r="AG185" s="2027">
        <f t="shared" si="75"/>
        <v>277.76027637903883</v>
      </c>
      <c r="AH185" s="2027">
        <f t="shared" si="75"/>
        <v>277.76027637903883</v>
      </c>
      <c r="AI185" s="2027">
        <f t="shared" si="75"/>
        <v>277.76027637903883</v>
      </c>
      <c r="AJ185" s="2027">
        <f t="shared" si="75"/>
        <v>277.76027637903883</v>
      </c>
      <c r="AK185" s="2027">
        <v>30</v>
      </c>
      <c r="AL185" s="2027">
        <v>29</v>
      </c>
      <c r="AM185" s="2027">
        <v>29</v>
      </c>
      <c r="AN185" s="2027">
        <v>33</v>
      </c>
      <c r="AO185" s="2027">
        <f t="shared" si="64"/>
        <v>0</v>
      </c>
      <c r="AP185" s="2027">
        <f t="shared" si="73"/>
        <v>0</v>
      </c>
      <c r="AQ185" s="2027">
        <f t="shared" si="73"/>
        <v>0</v>
      </c>
      <c r="AR185" s="2027"/>
      <c r="AS185" s="2027">
        <f t="shared" si="66"/>
        <v>0</v>
      </c>
      <c r="AT185" s="2027">
        <f t="shared" si="67"/>
        <v>8332.8082913711642</v>
      </c>
      <c r="AU185" s="2027">
        <f t="shared" si="74"/>
        <v>8055.0480149921259</v>
      </c>
      <c r="AV185" s="2027">
        <f t="shared" si="74"/>
        <v>8055.0480149921259</v>
      </c>
      <c r="AW185" s="2027">
        <f t="shared" si="74"/>
        <v>9166.0891205082808</v>
      </c>
      <c r="AX185" s="2029"/>
      <c r="AY185" s="2029">
        <v>0</v>
      </c>
      <c r="AZ185" s="2029">
        <v>0</v>
      </c>
      <c r="BA185" s="2029">
        <v>0</v>
      </c>
      <c r="BB185" s="2029">
        <v>2200</v>
      </c>
      <c r="BC185" s="2029">
        <v>2200</v>
      </c>
      <c r="BD185" s="2029">
        <v>2200</v>
      </c>
      <c r="BE185" s="2029">
        <v>2200</v>
      </c>
      <c r="BF185" s="2029">
        <v>2400</v>
      </c>
      <c r="BG185" s="2029">
        <v>2400</v>
      </c>
      <c r="BH185" s="2029">
        <v>2400</v>
      </c>
      <c r="BI185" s="2029">
        <v>2400</v>
      </c>
      <c r="BJ185" s="2030">
        <f t="shared" si="71"/>
        <v>0</v>
      </c>
      <c r="BK185" s="2030">
        <f t="shared" si="71"/>
        <v>0</v>
      </c>
      <c r="BL185" s="2030">
        <f t="shared" si="71"/>
        <v>0</v>
      </c>
      <c r="BM185" s="2030"/>
      <c r="BN185" s="2030">
        <f t="shared" si="59"/>
        <v>0</v>
      </c>
      <c r="BO185" s="2030">
        <f t="shared" si="60"/>
        <v>66000</v>
      </c>
      <c r="BP185" s="2030"/>
      <c r="BQ185" s="2030">
        <f t="shared" si="72"/>
        <v>63800</v>
      </c>
      <c r="BR185" s="2030">
        <f t="shared" si="72"/>
        <v>63800</v>
      </c>
      <c r="BS185" s="2030">
        <f t="shared" si="72"/>
        <v>72600</v>
      </c>
      <c r="BT185" s="2031"/>
      <c r="BU185" s="2031"/>
      <c r="BV185" s="2031"/>
      <c r="BW185" s="2031"/>
      <c r="BX185" s="2031"/>
      <c r="BY185" s="2031"/>
      <c r="BZ185" s="2031"/>
      <c r="CA185" s="2031"/>
      <c r="CB185" s="2029"/>
      <c r="CC185" s="2029"/>
      <c r="CD185" s="2029"/>
      <c r="CE185" s="2029"/>
      <c r="CF185" s="2029"/>
      <c r="CG185" s="2032"/>
      <c r="CH185" s="1974"/>
      <c r="CI185" s="1974"/>
      <c r="CJ185" s="1974"/>
      <c r="CK185" s="1974"/>
      <c r="CL185" s="1974">
        <v>0</v>
      </c>
      <c r="CM185" s="2033">
        <v>0</v>
      </c>
      <c r="CN185" s="2026">
        <v>3.5788703527489234E-3</v>
      </c>
      <c r="CO185" s="1974">
        <v>0</v>
      </c>
      <c r="CP185" s="2040">
        <v>0</v>
      </c>
      <c r="CQ185" s="2040"/>
      <c r="CR185" s="2062">
        <v>1</v>
      </c>
      <c r="CS185" s="2062">
        <v>1</v>
      </c>
      <c r="CT185" s="2062">
        <v>1</v>
      </c>
      <c r="CU185" s="2062">
        <v>1</v>
      </c>
      <c r="CV185" s="2036"/>
      <c r="CW185" s="2036"/>
      <c r="CX185" s="2036"/>
      <c r="CY185" s="2049"/>
      <c r="CZ185" s="2049"/>
      <c r="DA185" s="2049"/>
    </row>
    <row r="186" spans="1:105" x14ac:dyDescent="0.25">
      <c r="A186" s="2185" t="s">
        <v>266</v>
      </c>
      <c r="B186" s="2022" t="s">
        <v>2965</v>
      </c>
      <c r="C186" s="2023">
        <v>16.5</v>
      </c>
      <c r="D186" s="2023">
        <v>0</v>
      </c>
      <c r="E186" s="2024">
        <v>710</v>
      </c>
      <c r="F186" s="2024"/>
      <c r="G186" s="2024">
        <v>3.8899999999999997E-2</v>
      </c>
      <c r="H186" s="2024"/>
      <c r="I186" s="2023">
        <v>182.6</v>
      </c>
      <c r="J186" s="2027"/>
      <c r="K186" s="2026" t="s">
        <v>20</v>
      </c>
      <c r="L186" s="2026" t="s">
        <v>20</v>
      </c>
      <c r="M186" s="2026">
        <v>0.55700000000000005</v>
      </c>
      <c r="N186" s="2026">
        <v>0.55700000000000005</v>
      </c>
      <c r="O186" s="2026">
        <v>0.55700000000000005</v>
      </c>
      <c r="P186" s="2026">
        <v>0.55700000000000005</v>
      </c>
      <c r="Q186" s="2027">
        <f t="shared" si="62"/>
        <v>395.47</v>
      </c>
      <c r="R186" s="2027">
        <f t="shared" si="62"/>
        <v>395.47</v>
      </c>
      <c r="S186" s="2027">
        <f t="shared" si="62"/>
        <v>395.47</v>
      </c>
      <c r="T186" s="2027">
        <f t="shared" si="62"/>
        <v>395.47</v>
      </c>
      <c r="U186" s="2026">
        <v>0.55700000000000005</v>
      </c>
      <c r="V186" s="2026">
        <v>0.55700000000000005</v>
      </c>
      <c r="W186" s="2026">
        <v>0.55700000000000005</v>
      </c>
      <c r="X186" s="2026">
        <v>0.55700000000000005</v>
      </c>
      <c r="Y186" s="2028">
        <f t="shared" si="63"/>
        <v>2.16673E-2</v>
      </c>
      <c r="Z186" s="2028">
        <f t="shared" si="63"/>
        <v>2.16673E-2</v>
      </c>
      <c r="AA186" s="2028">
        <f t="shared" si="63"/>
        <v>2.16673E-2</v>
      </c>
      <c r="AB186" s="2028">
        <f t="shared" si="63"/>
        <v>2.16673E-2</v>
      </c>
      <c r="AC186" s="2026">
        <v>0.49399999999999999</v>
      </c>
      <c r="AD186" s="2026">
        <v>0.49399999999999999</v>
      </c>
      <c r="AE186" s="2026">
        <v>0.49399999999999999</v>
      </c>
      <c r="AF186" s="2026">
        <v>0.49399999999999999</v>
      </c>
      <c r="AG186" s="2027">
        <f t="shared" si="75"/>
        <v>90.204399999999993</v>
      </c>
      <c r="AH186" s="2027">
        <f t="shared" si="75"/>
        <v>90.204399999999993</v>
      </c>
      <c r="AI186" s="2027">
        <f t="shared" si="75"/>
        <v>90.204399999999993</v>
      </c>
      <c r="AJ186" s="2027">
        <f t="shared" si="75"/>
        <v>90.204399999999993</v>
      </c>
      <c r="AK186" s="2027">
        <v>0</v>
      </c>
      <c r="AL186" s="2027">
        <v>0</v>
      </c>
      <c r="AM186" s="2027">
        <v>0</v>
      </c>
      <c r="AN186" s="2027">
        <v>0</v>
      </c>
      <c r="AO186" s="2027">
        <f t="shared" si="64"/>
        <v>0</v>
      </c>
      <c r="AP186" s="2027">
        <f t="shared" si="73"/>
        <v>0</v>
      </c>
      <c r="AQ186" s="2027">
        <f t="shared" si="73"/>
        <v>0</v>
      </c>
      <c r="AR186" s="2027"/>
      <c r="AS186" s="2027">
        <f t="shared" si="66"/>
        <v>0</v>
      </c>
      <c r="AT186" s="2027">
        <f t="shared" si="67"/>
        <v>0</v>
      </c>
      <c r="AU186" s="2027">
        <f t="shared" si="74"/>
        <v>0</v>
      </c>
      <c r="AV186" s="2027">
        <f t="shared" si="74"/>
        <v>0</v>
      </c>
      <c r="AW186" s="2027">
        <f t="shared" si="74"/>
        <v>0</v>
      </c>
      <c r="AX186" s="2029"/>
      <c r="AY186" s="2029">
        <v>0</v>
      </c>
      <c r="AZ186" s="2029">
        <v>0</v>
      </c>
      <c r="BA186" s="2029">
        <v>0</v>
      </c>
      <c r="BB186" s="2029">
        <v>250</v>
      </c>
      <c r="BC186" s="2029">
        <v>250</v>
      </c>
      <c r="BD186" s="2029">
        <v>250</v>
      </c>
      <c r="BE186" s="2029">
        <v>250</v>
      </c>
      <c r="BF186" s="2029">
        <v>802</v>
      </c>
      <c r="BG186" s="2029">
        <v>802</v>
      </c>
      <c r="BH186" s="2029">
        <v>802</v>
      </c>
      <c r="BI186" s="2029">
        <v>802</v>
      </c>
      <c r="BJ186" s="2030">
        <f t="shared" si="71"/>
        <v>0</v>
      </c>
      <c r="BK186" s="2030">
        <f t="shared" si="71"/>
        <v>0</v>
      </c>
      <c r="BL186" s="2030">
        <f t="shared" si="71"/>
        <v>0</v>
      </c>
      <c r="BM186" s="2030"/>
      <c r="BN186" s="2030">
        <f t="shared" si="59"/>
        <v>0</v>
      </c>
      <c r="BO186" s="2030">
        <f t="shared" si="60"/>
        <v>0</v>
      </c>
      <c r="BP186" s="2030"/>
      <c r="BQ186" s="2030">
        <f t="shared" si="72"/>
        <v>0</v>
      </c>
      <c r="BR186" s="2030">
        <f t="shared" si="72"/>
        <v>0</v>
      </c>
      <c r="BS186" s="2030">
        <f t="shared" si="72"/>
        <v>0</v>
      </c>
      <c r="BT186" s="2031"/>
      <c r="BU186" s="2031"/>
      <c r="BV186" s="2031"/>
      <c r="BW186" s="2031"/>
      <c r="BX186" s="2031"/>
      <c r="BY186" s="2031"/>
      <c r="BZ186" s="2031"/>
      <c r="CA186" s="2031"/>
      <c r="CB186" s="2029"/>
      <c r="CC186" s="2029"/>
      <c r="CD186" s="2029"/>
      <c r="CE186" s="2029"/>
      <c r="CF186" s="2029"/>
      <c r="CG186" s="2032"/>
      <c r="CH186" s="1974"/>
      <c r="CI186" s="1974"/>
      <c r="CJ186" s="1974"/>
      <c r="CK186" s="1974"/>
      <c r="CL186" s="1974">
        <v>0</v>
      </c>
      <c r="CM186" s="2033">
        <v>0</v>
      </c>
      <c r="CN186" s="2026">
        <v>0</v>
      </c>
      <c r="CO186" s="1974">
        <v>0</v>
      </c>
      <c r="CP186" s="2040">
        <v>0</v>
      </c>
      <c r="CQ186" s="2040"/>
      <c r="CR186" s="2062">
        <v>1</v>
      </c>
      <c r="CS186" s="2062">
        <v>1</v>
      </c>
      <c r="CT186" s="2062">
        <v>1</v>
      </c>
      <c r="CU186" s="2062">
        <v>1</v>
      </c>
      <c r="CV186" s="2036"/>
      <c r="CW186" s="2036"/>
      <c r="CX186" s="2036"/>
      <c r="CY186" s="2036"/>
      <c r="CZ186" s="2036"/>
      <c r="DA186" s="2036"/>
    </row>
    <row r="187" spans="1:105" s="2161" customFormat="1" x14ac:dyDescent="0.25">
      <c r="A187" s="2186" t="s">
        <v>195</v>
      </c>
      <c r="B187" s="2187" t="s">
        <v>2966</v>
      </c>
      <c r="C187" s="2043">
        <v>16.5</v>
      </c>
      <c r="D187" s="2043">
        <v>0</v>
      </c>
      <c r="E187" s="2044">
        <v>710</v>
      </c>
      <c r="F187" s="2044"/>
      <c r="G187" s="2044">
        <v>3.8899999999999997E-2</v>
      </c>
      <c r="H187" s="2044"/>
      <c r="I187" s="2043">
        <v>213.1</v>
      </c>
      <c r="J187" s="2146"/>
      <c r="K187" s="2153" t="s">
        <v>20</v>
      </c>
      <c r="L187" s="2153" t="s">
        <v>20</v>
      </c>
      <c r="M187" s="2153">
        <v>0.55700000000000005</v>
      </c>
      <c r="N187" s="2153">
        <v>0.55700000000000005</v>
      </c>
      <c r="O187" s="2153">
        <v>0.55700000000000005</v>
      </c>
      <c r="P187" s="2153">
        <v>0.55700000000000005</v>
      </c>
      <c r="Q187" s="2146">
        <f t="shared" si="62"/>
        <v>395.47</v>
      </c>
      <c r="R187" s="2146">
        <f t="shared" si="62"/>
        <v>395.47</v>
      </c>
      <c r="S187" s="2146">
        <f t="shared" si="62"/>
        <v>395.47</v>
      </c>
      <c r="T187" s="2146">
        <f t="shared" si="62"/>
        <v>395.47</v>
      </c>
      <c r="U187" s="2153">
        <v>0.55700000000000005</v>
      </c>
      <c r="V187" s="2153">
        <v>0.55700000000000005</v>
      </c>
      <c r="W187" s="2153">
        <v>0.55700000000000005</v>
      </c>
      <c r="X187" s="2153">
        <v>0.55700000000000005</v>
      </c>
      <c r="Y187" s="2129">
        <f t="shared" si="63"/>
        <v>2.16673E-2</v>
      </c>
      <c r="Z187" s="2129">
        <f t="shared" si="63"/>
        <v>2.16673E-2</v>
      </c>
      <c r="AA187" s="2129">
        <f t="shared" si="63"/>
        <v>2.16673E-2</v>
      </c>
      <c r="AB187" s="2129">
        <f t="shared" si="63"/>
        <v>2.16673E-2</v>
      </c>
      <c r="AC187" s="2153">
        <v>0.49399999999999999</v>
      </c>
      <c r="AD187" s="2153">
        <v>0.49399999999999999</v>
      </c>
      <c r="AE187" s="2153">
        <v>0.49399999999999999</v>
      </c>
      <c r="AF187" s="2153">
        <v>0.49399999999999999</v>
      </c>
      <c r="AG187" s="2146">
        <f t="shared" si="75"/>
        <v>105.2714</v>
      </c>
      <c r="AH187" s="2146">
        <f t="shared" si="75"/>
        <v>105.2714</v>
      </c>
      <c r="AI187" s="2146">
        <f t="shared" si="75"/>
        <v>105.2714</v>
      </c>
      <c r="AJ187" s="2146">
        <f t="shared" si="75"/>
        <v>105.2714</v>
      </c>
      <c r="AK187" s="2146">
        <v>60</v>
      </c>
      <c r="AL187" s="2146">
        <v>55</v>
      </c>
      <c r="AM187" s="2146">
        <v>55</v>
      </c>
      <c r="AN187" s="2146">
        <v>55</v>
      </c>
      <c r="AO187" s="2146">
        <f t="shared" si="64"/>
        <v>23728.2</v>
      </c>
      <c r="AP187" s="2146">
        <f t="shared" si="73"/>
        <v>21750.850000000002</v>
      </c>
      <c r="AQ187" s="2146">
        <f t="shared" si="73"/>
        <v>21750.850000000002</v>
      </c>
      <c r="AR187" s="2146"/>
      <c r="AS187" s="2146">
        <f t="shared" si="66"/>
        <v>21750.850000000002</v>
      </c>
      <c r="AT187" s="2146">
        <f t="shared" si="67"/>
        <v>6316.2839999999997</v>
      </c>
      <c r="AU187" s="2146">
        <f t="shared" si="74"/>
        <v>5789.9269999999997</v>
      </c>
      <c r="AV187" s="2146">
        <f t="shared" si="74"/>
        <v>5789.9269999999997</v>
      </c>
      <c r="AW187" s="2146">
        <f t="shared" si="74"/>
        <v>5789.9269999999997</v>
      </c>
      <c r="AX187" s="2046">
        <v>220</v>
      </c>
      <c r="AY187" s="2046">
        <v>220</v>
      </c>
      <c r="AZ187" s="2046">
        <v>220</v>
      </c>
      <c r="BA187" s="2046">
        <v>220</v>
      </c>
      <c r="BB187" s="2046">
        <v>780</v>
      </c>
      <c r="BC187" s="2046">
        <v>780</v>
      </c>
      <c r="BD187" s="2046">
        <v>780</v>
      </c>
      <c r="BE187" s="2046">
        <v>780</v>
      </c>
      <c r="BF187" s="2046">
        <v>1275</v>
      </c>
      <c r="BG187" s="2046">
        <v>1275</v>
      </c>
      <c r="BH187" s="2046">
        <v>1275</v>
      </c>
      <c r="BI187" s="2046">
        <v>1275</v>
      </c>
      <c r="BJ187" s="2154">
        <f t="shared" si="71"/>
        <v>13200</v>
      </c>
      <c r="BK187" s="2154">
        <f t="shared" si="71"/>
        <v>12100</v>
      </c>
      <c r="BL187" s="2154">
        <f t="shared" si="71"/>
        <v>12100</v>
      </c>
      <c r="BM187" s="2154"/>
      <c r="BN187" s="2154">
        <f t="shared" si="59"/>
        <v>12100</v>
      </c>
      <c r="BO187" s="2154">
        <f t="shared" si="60"/>
        <v>46800</v>
      </c>
      <c r="BP187" s="2154"/>
      <c r="BQ187" s="2154">
        <f t="shared" si="72"/>
        <v>42900</v>
      </c>
      <c r="BR187" s="2154">
        <f t="shared" si="72"/>
        <v>42900</v>
      </c>
      <c r="BS187" s="2154">
        <f t="shared" si="72"/>
        <v>42900</v>
      </c>
      <c r="BT187" s="2063"/>
      <c r="BU187" s="2063"/>
      <c r="BV187" s="2063"/>
      <c r="BW187" s="2063"/>
      <c r="BX187" s="2063"/>
      <c r="BY187" s="2063"/>
      <c r="BZ187" s="2063"/>
      <c r="CA187" s="2063"/>
      <c r="CB187" s="2046"/>
      <c r="CC187" s="2046"/>
      <c r="CD187" s="2046"/>
      <c r="CE187" s="2046"/>
      <c r="CF187" s="2046"/>
      <c r="CG187" s="2156"/>
      <c r="CH187" s="2047"/>
      <c r="CI187" s="2047"/>
      <c r="CJ187" s="2047"/>
      <c r="CK187" s="2047"/>
      <c r="CL187" s="2047">
        <v>0</v>
      </c>
      <c r="CM187" s="2157">
        <v>1.1921703850608483E-4</v>
      </c>
      <c r="CN187" s="2153">
        <v>3.0518890932447621E-3</v>
      </c>
      <c r="CO187" s="2047">
        <v>0</v>
      </c>
      <c r="CP187" s="2188">
        <v>0</v>
      </c>
      <c r="CQ187" s="2188"/>
      <c r="CR187" s="2189">
        <v>1</v>
      </c>
      <c r="CS187" s="2189">
        <v>1</v>
      </c>
      <c r="CT187" s="2189">
        <v>1</v>
      </c>
      <c r="CU187" s="2189">
        <v>1</v>
      </c>
      <c r="CV187" s="2160"/>
      <c r="CW187" s="2160"/>
      <c r="CX187" s="2160"/>
      <c r="CY187" s="2160"/>
      <c r="CZ187" s="2160"/>
      <c r="DA187" s="2160"/>
    </row>
    <row r="188" spans="1:105" s="2226" customFormat="1" x14ac:dyDescent="0.25">
      <c r="A188" s="2210" t="s">
        <v>196</v>
      </c>
      <c r="B188" s="2211" t="s">
        <v>2967</v>
      </c>
      <c r="C188" s="2212">
        <v>20</v>
      </c>
      <c r="D188" s="2212">
        <v>0</v>
      </c>
      <c r="E188" s="2213">
        <v>0</v>
      </c>
      <c r="F188" s="2213"/>
      <c r="G188" s="2213">
        <v>0</v>
      </c>
      <c r="H188" s="2213"/>
      <c r="I188" s="2212">
        <v>172.09</v>
      </c>
      <c r="J188" s="2214"/>
      <c r="K188" s="2215" t="s">
        <v>20</v>
      </c>
      <c r="L188" s="2215" t="s">
        <v>20</v>
      </c>
      <c r="M188" s="2215">
        <v>0.55700000000000005</v>
      </c>
      <c r="N188" s="2215">
        <v>0.55700000000000005</v>
      </c>
      <c r="O188" s="2026">
        <v>0.55700000000000005</v>
      </c>
      <c r="P188" s="2215">
        <v>0.55700000000000005</v>
      </c>
      <c r="Q188" s="2214">
        <f t="shared" si="62"/>
        <v>0</v>
      </c>
      <c r="R188" s="2214">
        <f t="shared" si="62"/>
        <v>0</v>
      </c>
      <c r="S188" s="2214">
        <f t="shared" si="62"/>
        <v>0</v>
      </c>
      <c r="T188" s="2214">
        <f t="shared" si="62"/>
        <v>0</v>
      </c>
      <c r="U188" s="2215">
        <v>0.55700000000000005</v>
      </c>
      <c r="V188" s="2215">
        <v>0.55700000000000005</v>
      </c>
      <c r="W188" s="2215">
        <v>0.55700000000000005</v>
      </c>
      <c r="X188" s="2215">
        <v>0.55700000000000005</v>
      </c>
      <c r="Y188" s="2216">
        <f t="shared" si="63"/>
        <v>0</v>
      </c>
      <c r="Z188" s="2216">
        <f t="shared" si="63"/>
        <v>0</v>
      </c>
      <c r="AA188" s="2216">
        <f t="shared" si="63"/>
        <v>0</v>
      </c>
      <c r="AB188" s="2216">
        <f t="shared" si="63"/>
        <v>0</v>
      </c>
      <c r="AC188" s="2215">
        <v>0.49399999999999999</v>
      </c>
      <c r="AD188" s="2215">
        <v>0.49399999999999999</v>
      </c>
      <c r="AE188" s="2215">
        <v>0.49399999999999999</v>
      </c>
      <c r="AF188" s="2215">
        <v>0.49399999999999999</v>
      </c>
      <c r="AG188" s="2214">
        <f t="shared" si="75"/>
        <v>85.012460000000004</v>
      </c>
      <c r="AH188" s="2214">
        <f t="shared" si="75"/>
        <v>85.012460000000004</v>
      </c>
      <c r="AI188" s="2214">
        <f t="shared" si="75"/>
        <v>85.012460000000004</v>
      </c>
      <c r="AJ188" s="2214">
        <f t="shared" si="75"/>
        <v>85.012460000000004</v>
      </c>
      <c r="AK188" s="2027">
        <v>15</v>
      </c>
      <c r="AL188" s="2027">
        <v>15</v>
      </c>
      <c r="AM188" s="2027">
        <v>15</v>
      </c>
      <c r="AN188" s="2027">
        <v>15</v>
      </c>
      <c r="AO188" s="2214">
        <f t="shared" si="64"/>
        <v>0</v>
      </c>
      <c r="AP188" s="2027">
        <f t="shared" si="73"/>
        <v>0</v>
      </c>
      <c r="AQ188" s="2027">
        <f t="shared" si="73"/>
        <v>0</v>
      </c>
      <c r="AR188" s="2027"/>
      <c r="AS188" s="2027">
        <f t="shared" si="66"/>
        <v>0</v>
      </c>
      <c r="AT188" s="2214">
        <f t="shared" si="67"/>
        <v>1275.1869000000002</v>
      </c>
      <c r="AU188" s="2027">
        <f t="shared" si="74"/>
        <v>1275.1869000000002</v>
      </c>
      <c r="AV188" s="2027">
        <f t="shared" si="74"/>
        <v>1275.1869000000002</v>
      </c>
      <c r="AW188" s="2027">
        <f t="shared" si="74"/>
        <v>1275.1869000000002</v>
      </c>
      <c r="AX188" s="2217"/>
      <c r="AY188" s="2029">
        <v>0</v>
      </c>
      <c r="AZ188" s="2029">
        <v>0</v>
      </c>
      <c r="BA188" s="2029">
        <v>0</v>
      </c>
      <c r="BB188" s="2217">
        <v>500</v>
      </c>
      <c r="BC188" s="2029">
        <v>500</v>
      </c>
      <c r="BD188" s="2029">
        <v>500</v>
      </c>
      <c r="BE188" s="2029">
        <v>500</v>
      </c>
      <c r="BF188" s="2217">
        <v>652.73</v>
      </c>
      <c r="BG188" s="2029">
        <v>652.73</v>
      </c>
      <c r="BH188" s="2029">
        <v>652.73</v>
      </c>
      <c r="BI188" s="2029">
        <v>652.73</v>
      </c>
      <c r="BJ188" s="2030">
        <f t="shared" si="71"/>
        <v>0</v>
      </c>
      <c r="BK188" s="2030">
        <f t="shared" si="71"/>
        <v>0</v>
      </c>
      <c r="BL188" s="2030">
        <f t="shared" si="71"/>
        <v>0</v>
      </c>
      <c r="BM188" s="2030"/>
      <c r="BN188" s="2030">
        <f t="shared" si="59"/>
        <v>0</v>
      </c>
      <c r="BO188" s="2030">
        <f t="shared" si="60"/>
        <v>7500</v>
      </c>
      <c r="BP188" s="2030"/>
      <c r="BQ188" s="2030">
        <f t="shared" si="72"/>
        <v>7500</v>
      </c>
      <c r="BR188" s="2030">
        <f t="shared" si="72"/>
        <v>7500</v>
      </c>
      <c r="BS188" s="2030">
        <f t="shared" si="72"/>
        <v>7500</v>
      </c>
      <c r="BT188" s="2219"/>
      <c r="BU188" s="2219"/>
      <c r="BV188" s="2219"/>
      <c r="BW188" s="2219"/>
      <c r="BX188" s="2219"/>
      <c r="BY188" s="2219"/>
      <c r="BZ188" s="2219"/>
      <c r="CA188" s="2219"/>
      <c r="CB188" s="2217"/>
      <c r="CC188" s="2217"/>
      <c r="CD188" s="2217"/>
      <c r="CE188" s="2217"/>
      <c r="CF188" s="2217"/>
      <c r="CG188" s="2220"/>
      <c r="CH188" s="2221"/>
      <c r="CI188" s="2221"/>
      <c r="CJ188" s="2221"/>
      <c r="CK188" s="2221"/>
      <c r="CL188" s="2221">
        <v>0</v>
      </c>
      <c r="CM188" s="2222">
        <v>0</v>
      </c>
      <c r="CN188" s="2215">
        <v>8.2152290639213386E-4</v>
      </c>
      <c r="CO188" s="2221">
        <v>1</v>
      </c>
      <c r="CP188" s="2223">
        <v>100</v>
      </c>
      <c r="CQ188" s="2223"/>
      <c r="CR188" s="2224">
        <v>1</v>
      </c>
      <c r="CS188" s="2224">
        <v>1</v>
      </c>
      <c r="CT188" s="2224">
        <v>1</v>
      </c>
      <c r="CU188" s="2224">
        <v>1</v>
      </c>
      <c r="CV188" s="2036"/>
      <c r="CW188" s="2036"/>
      <c r="CX188" s="2036"/>
      <c r="CY188" s="2225"/>
      <c r="CZ188" s="2225"/>
      <c r="DA188" s="2225"/>
    </row>
    <row r="189" spans="1:105" s="2226" customFormat="1" x14ac:dyDescent="0.25">
      <c r="A189" s="2210" t="s">
        <v>197</v>
      </c>
      <c r="B189" s="2211" t="s">
        <v>2968</v>
      </c>
      <c r="C189" s="2212">
        <v>15</v>
      </c>
      <c r="D189" s="2212">
        <v>0</v>
      </c>
      <c r="E189" s="2213">
        <v>0</v>
      </c>
      <c r="F189" s="2213"/>
      <c r="G189" s="2213">
        <v>0</v>
      </c>
      <c r="H189" s="2213"/>
      <c r="I189" s="2212">
        <v>74.088335735912239</v>
      </c>
      <c r="J189" s="2214"/>
      <c r="K189" s="2215" t="s">
        <v>20</v>
      </c>
      <c r="L189" s="2215" t="s">
        <v>20</v>
      </c>
      <c r="M189" s="2215">
        <v>0.55700000000000005</v>
      </c>
      <c r="N189" s="2215">
        <v>0.55700000000000005</v>
      </c>
      <c r="O189" s="2026">
        <v>0.55700000000000005</v>
      </c>
      <c r="P189" s="2215">
        <v>0.55700000000000005</v>
      </c>
      <c r="Q189" s="2214">
        <f t="shared" si="62"/>
        <v>0</v>
      </c>
      <c r="R189" s="2214">
        <f t="shared" si="62"/>
        <v>0</v>
      </c>
      <c r="S189" s="2214">
        <f t="shared" si="62"/>
        <v>0</v>
      </c>
      <c r="T189" s="2214">
        <f t="shared" si="62"/>
        <v>0</v>
      </c>
      <c r="U189" s="2215">
        <v>0.55700000000000005</v>
      </c>
      <c r="V189" s="2215">
        <v>0.55700000000000005</v>
      </c>
      <c r="W189" s="2215">
        <v>0.55700000000000005</v>
      </c>
      <c r="X189" s="2215">
        <v>0.55700000000000005</v>
      </c>
      <c r="Y189" s="2216">
        <f t="shared" si="63"/>
        <v>0</v>
      </c>
      <c r="Z189" s="2216">
        <f t="shared" si="63"/>
        <v>0</v>
      </c>
      <c r="AA189" s="2216">
        <f t="shared" si="63"/>
        <v>0</v>
      </c>
      <c r="AB189" s="2216">
        <f t="shared" si="63"/>
        <v>0</v>
      </c>
      <c r="AC189" s="2215">
        <v>0.49399999999999999</v>
      </c>
      <c r="AD189" s="2215">
        <v>0.49399999999999999</v>
      </c>
      <c r="AE189" s="2215">
        <v>0.49399999999999999</v>
      </c>
      <c r="AF189" s="2215">
        <v>0.49399999999999999</v>
      </c>
      <c r="AG189" s="2214">
        <f t="shared" si="75"/>
        <v>36.599637853540642</v>
      </c>
      <c r="AH189" s="2214">
        <f t="shared" si="75"/>
        <v>36.599637853540642</v>
      </c>
      <c r="AI189" s="2214">
        <f t="shared" si="75"/>
        <v>36.599637853540642</v>
      </c>
      <c r="AJ189" s="2214">
        <f t="shared" si="75"/>
        <v>36.599637853540642</v>
      </c>
      <c r="AK189" s="2027">
        <v>42</v>
      </c>
      <c r="AL189" s="2027">
        <v>40</v>
      </c>
      <c r="AM189" s="2027">
        <v>39</v>
      </c>
      <c r="AN189" s="2027">
        <v>40</v>
      </c>
      <c r="AO189" s="2214">
        <f t="shared" si="64"/>
        <v>0</v>
      </c>
      <c r="AP189" s="2027">
        <f t="shared" si="73"/>
        <v>0</v>
      </c>
      <c r="AQ189" s="2027">
        <f t="shared" si="73"/>
        <v>0</v>
      </c>
      <c r="AR189" s="2027"/>
      <c r="AS189" s="2027">
        <f t="shared" si="66"/>
        <v>0</v>
      </c>
      <c r="AT189" s="2214">
        <f t="shared" si="67"/>
        <v>1537.1847898487069</v>
      </c>
      <c r="AU189" s="2027">
        <f t="shared" si="74"/>
        <v>1463.9855141416256</v>
      </c>
      <c r="AV189" s="2027">
        <f t="shared" si="74"/>
        <v>1427.385876288085</v>
      </c>
      <c r="AW189" s="2027">
        <f t="shared" si="74"/>
        <v>1463.9855141416256</v>
      </c>
      <c r="AX189" s="2217"/>
      <c r="AY189" s="2029">
        <v>0</v>
      </c>
      <c r="AZ189" s="2029">
        <v>0</v>
      </c>
      <c r="BA189" s="2029">
        <v>0</v>
      </c>
      <c r="BB189" s="2217">
        <v>700</v>
      </c>
      <c r="BC189" s="2029">
        <v>700</v>
      </c>
      <c r="BD189" s="2029">
        <v>700</v>
      </c>
      <c r="BE189" s="2029">
        <v>700</v>
      </c>
      <c r="BF189" s="2217">
        <v>1135</v>
      </c>
      <c r="BG189" s="2029">
        <v>1135</v>
      </c>
      <c r="BH189" s="2029">
        <v>1135</v>
      </c>
      <c r="BI189" s="2029">
        <v>1135</v>
      </c>
      <c r="BJ189" s="2030">
        <f t="shared" si="71"/>
        <v>0</v>
      </c>
      <c r="BK189" s="2030">
        <f t="shared" si="71"/>
        <v>0</v>
      </c>
      <c r="BL189" s="2030">
        <f t="shared" si="71"/>
        <v>0</v>
      </c>
      <c r="BM189" s="2030"/>
      <c r="BN189" s="2030">
        <f t="shared" si="59"/>
        <v>0</v>
      </c>
      <c r="BO189" s="2030">
        <f t="shared" si="60"/>
        <v>29400</v>
      </c>
      <c r="BP189" s="2030"/>
      <c r="BQ189" s="2030">
        <f t="shared" si="72"/>
        <v>28000</v>
      </c>
      <c r="BR189" s="2030">
        <f t="shared" si="72"/>
        <v>27300</v>
      </c>
      <c r="BS189" s="2030">
        <f t="shared" si="72"/>
        <v>28000</v>
      </c>
      <c r="BT189" s="2219"/>
      <c r="BU189" s="2219"/>
      <c r="BV189" s="2219"/>
      <c r="BW189" s="2219"/>
      <c r="BX189" s="2219"/>
      <c r="BY189" s="2219"/>
      <c r="BZ189" s="2219"/>
      <c r="CA189" s="2219"/>
      <c r="CB189" s="2217"/>
      <c r="CC189" s="2217"/>
      <c r="CD189" s="2217"/>
      <c r="CE189" s="2217"/>
      <c r="CF189" s="2217"/>
      <c r="CG189" s="2220"/>
      <c r="CH189" s="2221"/>
      <c r="CI189" s="2221"/>
      <c r="CJ189" s="2221"/>
      <c r="CK189" s="2221"/>
      <c r="CL189" s="2221">
        <v>0</v>
      </c>
      <c r="CM189" s="2222">
        <v>0</v>
      </c>
      <c r="CN189" s="2215">
        <v>5.8947125441651471E-4</v>
      </c>
      <c r="CO189" s="2221">
        <v>0</v>
      </c>
      <c r="CP189" s="2223">
        <v>0</v>
      </c>
      <c r="CQ189" s="2223"/>
      <c r="CR189" s="2224">
        <v>1</v>
      </c>
      <c r="CS189" s="2224">
        <v>1</v>
      </c>
      <c r="CT189" s="2224">
        <v>1</v>
      </c>
      <c r="CU189" s="2224">
        <v>1</v>
      </c>
      <c r="CV189" s="2036"/>
      <c r="CW189" s="2036"/>
      <c r="CX189" s="2036"/>
      <c r="CY189" s="2225"/>
      <c r="CZ189" s="2225"/>
      <c r="DA189" s="2225"/>
    </row>
    <row r="190" spans="1:105" s="2226" customFormat="1" x14ac:dyDescent="0.25">
      <c r="A190" s="2210" t="s">
        <v>198</v>
      </c>
      <c r="B190" s="2211" t="s">
        <v>2969</v>
      </c>
      <c r="C190" s="2212">
        <v>15</v>
      </c>
      <c r="D190" s="2212">
        <v>0</v>
      </c>
      <c r="E190" s="2213">
        <v>0</v>
      </c>
      <c r="F190" s="2213"/>
      <c r="G190" s="2213">
        <v>0</v>
      </c>
      <c r="H190" s="2213"/>
      <c r="I190" s="2212">
        <v>61.859410093619729</v>
      </c>
      <c r="J190" s="2214"/>
      <c r="K190" s="2215" t="s">
        <v>20</v>
      </c>
      <c r="L190" s="2215" t="s">
        <v>20</v>
      </c>
      <c r="M190" s="2215">
        <v>0.55700000000000005</v>
      </c>
      <c r="N190" s="2215">
        <v>0.55700000000000005</v>
      </c>
      <c r="O190" s="2026">
        <v>0.55700000000000005</v>
      </c>
      <c r="P190" s="2215">
        <v>0.55700000000000005</v>
      </c>
      <c r="Q190" s="2214">
        <f t="shared" si="62"/>
        <v>0</v>
      </c>
      <c r="R190" s="2214">
        <f t="shared" si="62"/>
        <v>0</v>
      </c>
      <c r="S190" s="2214">
        <f t="shared" si="62"/>
        <v>0</v>
      </c>
      <c r="T190" s="2214">
        <f t="shared" si="62"/>
        <v>0</v>
      </c>
      <c r="U190" s="2215">
        <v>0.55700000000000005</v>
      </c>
      <c r="V190" s="2215">
        <v>0.55700000000000005</v>
      </c>
      <c r="W190" s="2215">
        <v>0.55700000000000005</v>
      </c>
      <c r="X190" s="2215">
        <v>0.55700000000000005</v>
      </c>
      <c r="Y190" s="2216">
        <f t="shared" si="63"/>
        <v>0</v>
      </c>
      <c r="Z190" s="2216">
        <f t="shared" si="63"/>
        <v>0</v>
      </c>
      <c r="AA190" s="2216">
        <f t="shared" si="63"/>
        <v>0</v>
      </c>
      <c r="AB190" s="2216">
        <f t="shared" si="63"/>
        <v>0</v>
      </c>
      <c r="AC190" s="2215">
        <v>0.49399999999999999</v>
      </c>
      <c r="AD190" s="2215">
        <v>0.49399999999999999</v>
      </c>
      <c r="AE190" s="2215">
        <v>0.49399999999999999</v>
      </c>
      <c r="AF190" s="2215">
        <v>0.49399999999999999</v>
      </c>
      <c r="AG190" s="2214">
        <f t="shared" si="75"/>
        <v>30.558548586248147</v>
      </c>
      <c r="AH190" s="2214">
        <f t="shared" si="75"/>
        <v>30.558548586248147</v>
      </c>
      <c r="AI190" s="2214">
        <f t="shared" si="75"/>
        <v>30.558548586248147</v>
      </c>
      <c r="AJ190" s="2214">
        <f t="shared" si="75"/>
        <v>30.558548586248147</v>
      </c>
      <c r="AK190" s="2027">
        <v>75</v>
      </c>
      <c r="AL190" s="2027">
        <v>81</v>
      </c>
      <c r="AM190" s="2027">
        <v>70</v>
      </c>
      <c r="AN190" s="2027">
        <v>69</v>
      </c>
      <c r="AO190" s="2214">
        <f t="shared" si="64"/>
        <v>0</v>
      </c>
      <c r="AP190" s="2027">
        <f t="shared" si="73"/>
        <v>0</v>
      </c>
      <c r="AQ190" s="2027">
        <f t="shared" si="73"/>
        <v>0</v>
      </c>
      <c r="AR190" s="2027"/>
      <c r="AS190" s="2027">
        <f t="shared" si="66"/>
        <v>0</v>
      </c>
      <c r="AT190" s="2214">
        <f t="shared" si="67"/>
        <v>2291.8911439686112</v>
      </c>
      <c r="AU190" s="2027">
        <f t="shared" si="74"/>
        <v>2475.2424354861</v>
      </c>
      <c r="AV190" s="2027">
        <f t="shared" si="74"/>
        <v>2139.0984010373704</v>
      </c>
      <c r="AW190" s="2027">
        <f t="shared" si="74"/>
        <v>2108.539852451122</v>
      </c>
      <c r="AX190" s="2217"/>
      <c r="AY190" s="2029">
        <v>0</v>
      </c>
      <c r="AZ190" s="2029">
        <v>0</v>
      </c>
      <c r="BA190" s="2029">
        <v>0</v>
      </c>
      <c r="BB190" s="2217">
        <v>600</v>
      </c>
      <c r="BC190" s="2029">
        <v>600</v>
      </c>
      <c r="BD190" s="2029">
        <v>600</v>
      </c>
      <c r="BE190" s="2029">
        <v>600</v>
      </c>
      <c r="BF190" s="2217">
        <v>879</v>
      </c>
      <c r="BG190" s="2029">
        <v>879</v>
      </c>
      <c r="BH190" s="2029">
        <v>879</v>
      </c>
      <c r="BI190" s="2029">
        <v>879</v>
      </c>
      <c r="BJ190" s="2030">
        <f t="shared" si="71"/>
        <v>0</v>
      </c>
      <c r="BK190" s="2030">
        <f t="shared" si="71"/>
        <v>0</v>
      </c>
      <c r="BL190" s="2030">
        <f t="shared" si="71"/>
        <v>0</v>
      </c>
      <c r="BM190" s="2030"/>
      <c r="BN190" s="2030">
        <f t="shared" si="59"/>
        <v>0</v>
      </c>
      <c r="BO190" s="2030">
        <f t="shared" si="60"/>
        <v>45000</v>
      </c>
      <c r="BP190" s="2030"/>
      <c r="BQ190" s="2030">
        <f t="shared" si="72"/>
        <v>48600</v>
      </c>
      <c r="BR190" s="2030">
        <f t="shared" si="72"/>
        <v>42000</v>
      </c>
      <c r="BS190" s="2030">
        <f t="shared" si="72"/>
        <v>41400</v>
      </c>
      <c r="BT190" s="2219"/>
      <c r="BU190" s="2219"/>
      <c r="BV190" s="2219"/>
      <c r="BW190" s="2219"/>
      <c r="BX190" s="2219"/>
      <c r="BY190" s="2219"/>
      <c r="BZ190" s="2219"/>
      <c r="CA190" s="2219"/>
      <c r="CB190" s="2217"/>
      <c r="CC190" s="2217"/>
      <c r="CD190" s="2217"/>
      <c r="CE190" s="2217"/>
      <c r="CF190" s="2217"/>
      <c r="CG190" s="2220"/>
      <c r="CH190" s="2221"/>
      <c r="CI190" s="2221"/>
      <c r="CJ190" s="2221"/>
      <c r="CK190" s="2221"/>
      <c r="CL190" s="2221">
        <v>0</v>
      </c>
      <c r="CM190" s="2222">
        <v>0</v>
      </c>
      <c r="CN190" s="2215">
        <v>9.8434777089145961E-4</v>
      </c>
      <c r="CO190" s="2221">
        <v>0</v>
      </c>
      <c r="CP190" s="2223">
        <v>0</v>
      </c>
      <c r="CQ190" s="2223"/>
      <c r="CR190" s="2224">
        <v>1</v>
      </c>
      <c r="CS190" s="2224">
        <v>1</v>
      </c>
      <c r="CT190" s="2224">
        <v>1</v>
      </c>
      <c r="CU190" s="2224">
        <v>1</v>
      </c>
      <c r="CV190" s="2036"/>
      <c r="CW190" s="2036"/>
      <c r="CX190" s="2036"/>
      <c r="CY190" s="2225"/>
      <c r="CZ190" s="2225"/>
      <c r="DA190" s="2225"/>
    </row>
    <row r="191" spans="1:105" x14ac:dyDescent="0.25">
      <c r="A191" s="2185" t="s">
        <v>199</v>
      </c>
      <c r="B191" s="2022" t="s">
        <v>2970</v>
      </c>
      <c r="C191" s="2023">
        <v>12</v>
      </c>
      <c r="D191" s="2023">
        <v>0</v>
      </c>
      <c r="E191" s="2024">
        <v>0</v>
      </c>
      <c r="F191" s="2024"/>
      <c r="G191" s="2024">
        <v>0</v>
      </c>
      <c r="H191" s="2024"/>
      <c r="I191" s="2023">
        <v>1321</v>
      </c>
      <c r="J191" s="2027"/>
      <c r="K191" s="2026" t="s">
        <v>2899</v>
      </c>
      <c r="L191" s="2026" t="s">
        <v>2899</v>
      </c>
      <c r="M191" s="2026">
        <v>0.84899999999999998</v>
      </c>
      <c r="N191" s="2026">
        <v>0.84899999999999998</v>
      </c>
      <c r="O191" s="2026">
        <v>0.84899999999999998</v>
      </c>
      <c r="P191" s="2026">
        <v>0.84899999999999998</v>
      </c>
      <c r="Q191" s="2027">
        <f t="shared" si="62"/>
        <v>0</v>
      </c>
      <c r="R191" s="2027">
        <f t="shared" si="62"/>
        <v>0</v>
      </c>
      <c r="S191" s="2027">
        <f t="shared" si="62"/>
        <v>0</v>
      </c>
      <c r="T191" s="2027">
        <f t="shared" si="62"/>
        <v>0</v>
      </c>
      <c r="U191" s="2026">
        <v>0.84899999999999998</v>
      </c>
      <c r="V191" s="2026">
        <v>0.84899999999999998</v>
      </c>
      <c r="W191" s="2026">
        <v>0.84899999999999998</v>
      </c>
      <c r="X191" s="2026">
        <v>0.84899999999999998</v>
      </c>
      <c r="Y191" s="2028">
        <f t="shared" si="63"/>
        <v>0</v>
      </c>
      <c r="Z191" s="2028">
        <f t="shared" si="63"/>
        <v>0</v>
      </c>
      <c r="AA191" s="2028">
        <f t="shared" si="63"/>
        <v>0</v>
      </c>
      <c r="AB191" s="2028">
        <f t="shared" si="63"/>
        <v>0</v>
      </c>
      <c r="AC191" s="2026">
        <v>0.67500000000000004</v>
      </c>
      <c r="AD191" s="2026">
        <v>0.67500000000000004</v>
      </c>
      <c r="AE191" s="2026">
        <v>0.67500000000000004</v>
      </c>
      <c r="AF191" s="2026">
        <v>0.67500000000000004</v>
      </c>
      <c r="AG191" s="2027">
        <f t="shared" si="75"/>
        <v>891.67500000000007</v>
      </c>
      <c r="AH191" s="2027">
        <f t="shared" si="75"/>
        <v>891.67500000000007</v>
      </c>
      <c r="AI191" s="2027">
        <f t="shared" si="75"/>
        <v>891.67500000000007</v>
      </c>
      <c r="AJ191" s="2027">
        <f t="shared" si="75"/>
        <v>891.67500000000007</v>
      </c>
      <c r="AK191" s="2027">
        <v>4</v>
      </c>
      <c r="AL191" s="2027">
        <v>4</v>
      </c>
      <c r="AM191" s="2027">
        <v>4</v>
      </c>
      <c r="AN191" s="2027">
        <v>4</v>
      </c>
      <c r="AO191" s="2027">
        <f t="shared" si="64"/>
        <v>0</v>
      </c>
      <c r="AP191" s="2027">
        <f t="shared" si="73"/>
        <v>0</v>
      </c>
      <c r="AQ191" s="2027">
        <f t="shared" si="73"/>
        <v>0</v>
      </c>
      <c r="AR191" s="2027"/>
      <c r="AS191" s="2027">
        <f t="shared" si="66"/>
        <v>0</v>
      </c>
      <c r="AT191" s="2027">
        <f t="shared" si="67"/>
        <v>3566.7000000000003</v>
      </c>
      <c r="AU191" s="2027">
        <f t="shared" si="74"/>
        <v>3566.7000000000003</v>
      </c>
      <c r="AV191" s="2027">
        <f t="shared" si="74"/>
        <v>3566.7000000000003</v>
      </c>
      <c r="AW191" s="2027">
        <f t="shared" si="74"/>
        <v>3566.7000000000003</v>
      </c>
      <c r="AX191" s="2029"/>
      <c r="AY191" s="2029">
        <v>0</v>
      </c>
      <c r="AZ191" s="2029">
        <v>0</v>
      </c>
      <c r="BA191" s="2029">
        <v>0</v>
      </c>
      <c r="BB191" s="2029">
        <v>1000</v>
      </c>
      <c r="BC191" s="2029">
        <v>1000</v>
      </c>
      <c r="BD191" s="2029">
        <v>1000</v>
      </c>
      <c r="BE191" s="2029">
        <v>1000</v>
      </c>
      <c r="BF191" s="2029">
        <v>998</v>
      </c>
      <c r="BG191" s="2029">
        <v>998</v>
      </c>
      <c r="BH191" s="2029">
        <v>998</v>
      </c>
      <c r="BI191" s="2029">
        <v>998</v>
      </c>
      <c r="BJ191" s="2030">
        <f t="shared" si="71"/>
        <v>0</v>
      </c>
      <c r="BK191" s="2030">
        <f t="shared" si="71"/>
        <v>0</v>
      </c>
      <c r="BL191" s="2030">
        <f t="shared" si="71"/>
        <v>0</v>
      </c>
      <c r="BM191" s="2030"/>
      <c r="BN191" s="2030">
        <f t="shared" si="59"/>
        <v>0</v>
      </c>
      <c r="BO191" s="2030">
        <f t="shared" si="60"/>
        <v>4000</v>
      </c>
      <c r="BP191" s="2030"/>
      <c r="BQ191" s="2030">
        <f t="shared" si="72"/>
        <v>4000</v>
      </c>
      <c r="BR191" s="2030">
        <f t="shared" si="72"/>
        <v>4000</v>
      </c>
      <c r="BS191" s="2030">
        <f t="shared" si="72"/>
        <v>4000</v>
      </c>
      <c r="BT191" s="2031"/>
      <c r="BU191" s="2031"/>
      <c r="BV191" s="2031"/>
      <c r="BW191" s="2031"/>
      <c r="BX191" s="2031"/>
      <c r="BY191" s="2031"/>
      <c r="BZ191" s="2031"/>
      <c r="CA191" s="2031"/>
      <c r="CB191" s="2029"/>
      <c r="CC191" s="2029"/>
      <c r="CD191" s="2029"/>
      <c r="CE191" s="2029"/>
      <c r="CF191" s="2029"/>
      <c r="CG191" s="2032"/>
      <c r="CH191" s="2027">
        <v>76703</v>
      </c>
      <c r="CI191" s="1974"/>
      <c r="CJ191" s="1974"/>
      <c r="CK191" s="1974"/>
      <c r="CL191" s="1974">
        <v>0</v>
      </c>
      <c r="CM191" s="2033">
        <v>0</v>
      </c>
      <c r="CN191" s="2026">
        <v>1.4361256329507579E-3</v>
      </c>
      <c r="CO191" s="1974">
        <v>0</v>
      </c>
      <c r="CP191" s="2040">
        <v>0</v>
      </c>
      <c r="CQ191" s="2040"/>
      <c r="CR191" s="2062">
        <v>1</v>
      </c>
      <c r="CS191" s="2062">
        <v>1</v>
      </c>
      <c r="CT191" s="2062">
        <v>1</v>
      </c>
      <c r="CU191" s="2062">
        <v>1</v>
      </c>
      <c r="CV191" s="2036"/>
      <c r="CW191" s="2036"/>
      <c r="CX191" s="2036"/>
      <c r="CY191" s="2036"/>
      <c r="CZ191" s="2036"/>
      <c r="DA191" s="2036"/>
    </row>
    <row r="192" spans="1:105" x14ac:dyDescent="0.25">
      <c r="A192" s="2185" t="s">
        <v>200</v>
      </c>
      <c r="B192" s="2022" t="s">
        <v>2971</v>
      </c>
      <c r="C192" s="2023">
        <v>12</v>
      </c>
      <c r="D192" s="2023"/>
      <c r="E192" s="2024">
        <v>0</v>
      </c>
      <c r="F192" s="2024"/>
      <c r="G192" s="2024">
        <v>0</v>
      </c>
      <c r="H192" s="2024"/>
      <c r="I192" s="2023">
        <v>1591</v>
      </c>
      <c r="J192" s="2027"/>
      <c r="K192" s="2026" t="s">
        <v>2899</v>
      </c>
      <c r="L192" s="2026" t="s">
        <v>2899</v>
      </c>
      <c r="M192" s="2026">
        <v>0.84899999999999998</v>
      </c>
      <c r="N192" s="2026">
        <v>0.84899999999999998</v>
      </c>
      <c r="O192" s="2026">
        <v>0.84899999999999998</v>
      </c>
      <c r="P192" s="2026">
        <v>0.84899999999999998</v>
      </c>
      <c r="Q192" s="2027">
        <f t="shared" si="62"/>
        <v>0</v>
      </c>
      <c r="R192" s="2027">
        <f t="shared" si="62"/>
        <v>0</v>
      </c>
      <c r="S192" s="2027">
        <f t="shared" si="62"/>
        <v>0</v>
      </c>
      <c r="T192" s="2027">
        <f t="shared" si="62"/>
        <v>0</v>
      </c>
      <c r="U192" s="2026">
        <v>0.84899999999999998</v>
      </c>
      <c r="V192" s="2026">
        <v>0.84899999999999998</v>
      </c>
      <c r="W192" s="2026">
        <v>0.84899999999999998</v>
      </c>
      <c r="X192" s="2026">
        <v>0.84899999999999998</v>
      </c>
      <c r="Y192" s="2028">
        <f t="shared" si="63"/>
        <v>0</v>
      </c>
      <c r="Z192" s="2028">
        <f t="shared" si="63"/>
        <v>0</v>
      </c>
      <c r="AA192" s="2028">
        <f t="shared" si="63"/>
        <v>0</v>
      </c>
      <c r="AB192" s="2028">
        <f t="shared" si="63"/>
        <v>0</v>
      </c>
      <c r="AC192" s="2026">
        <v>0.67500000000000004</v>
      </c>
      <c r="AD192" s="2026">
        <v>0.67500000000000004</v>
      </c>
      <c r="AE192" s="2026">
        <v>0.67500000000000004</v>
      </c>
      <c r="AF192" s="2026">
        <v>0.67500000000000004</v>
      </c>
      <c r="AG192" s="2027">
        <f t="shared" si="75"/>
        <v>1073.9250000000002</v>
      </c>
      <c r="AH192" s="2027">
        <f t="shared" si="75"/>
        <v>1073.9250000000002</v>
      </c>
      <c r="AI192" s="2027">
        <f t="shared" si="75"/>
        <v>1073.9250000000002</v>
      </c>
      <c r="AJ192" s="2027">
        <f t="shared" si="75"/>
        <v>1073.9250000000002</v>
      </c>
      <c r="AK192" s="2027">
        <v>4</v>
      </c>
      <c r="AL192" s="2027">
        <v>4</v>
      </c>
      <c r="AM192" s="2027">
        <v>4</v>
      </c>
      <c r="AN192" s="2027">
        <v>4</v>
      </c>
      <c r="AO192" s="2027">
        <f t="shared" si="64"/>
        <v>0</v>
      </c>
      <c r="AP192" s="2027">
        <f t="shared" si="73"/>
        <v>0</v>
      </c>
      <c r="AQ192" s="2027">
        <f t="shared" si="73"/>
        <v>0</v>
      </c>
      <c r="AR192" s="2027"/>
      <c r="AS192" s="2027">
        <f t="shared" si="66"/>
        <v>0</v>
      </c>
      <c r="AT192" s="2027">
        <f t="shared" si="67"/>
        <v>4295.7000000000007</v>
      </c>
      <c r="AU192" s="2027">
        <f t="shared" si="74"/>
        <v>4295.7000000000007</v>
      </c>
      <c r="AV192" s="2027">
        <f t="shared" si="74"/>
        <v>4295.7000000000007</v>
      </c>
      <c r="AW192" s="2027">
        <f t="shared" si="74"/>
        <v>4295.7000000000007</v>
      </c>
      <c r="AX192" s="2029"/>
      <c r="AY192" s="2029">
        <v>0</v>
      </c>
      <c r="AZ192" s="2029">
        <v>0</v>
      </c>
      <c r="BA192" s="2029">
        <v>0</v>
      </c>
      <c r="BB192" s="2029">
        <v>1200</v>
      </c>
      <c r="BC192" s="2029">
        <v>1200</v>
      </c>
      <c r="BD192" s="2029">
        <v>1200</v>
      </c>
      <c r="BE192" s="2029">
        <v>1200</v>
      </c>
      <c r="BF192" s="2029">
        <v>998</v>
      </c>
      <c r="BG192" s="2029">
        <v>998</v>
      </c>
      <c r="BH192" s="2029">
        <v>998</v>
      </c>
      <c r="BI192" s="2029">
        <v>998</v>
      </c>
      <c r="BJ192" s="2030">
        <f t="shared" si="71"/>
        <v>0</v>
      </c>
      <c r="BK192" s="2030">
        <f t="shared" si="71"/>
        <v>0</v>
      </c>
      <c r="BL192" s="2030">
        <f t="shared" si="71"/>
        <v>0</v>
      </c>
      <c r="BM192" s="2030"/>
      <c r="BN192" s="2030">
        <f t="shared" si="59"/>
        <v>0</v>
      </c>
      <c r="BO192" s="2030">
        <f t="shared" si="60"/>
        <v>4800</v>
      </c>
      <c r="BP192" s="2030"/>
      <c r="BQ192" s="2030">
        <f t="shared" si="72"/>
        <v>4800</v>
      </c>
      <c r="BR192" s="2030">
        <f t="shared" si="72"/>
        <v>4800</v>
      </c>
      <c r="BS192" s="2030">
        <f t="shared" si="72"/>
        <v>4800</v>
      </c>
      <c r="BT192" s="2031"/>
      <c r="BU192" s="2031"/>
      <c r="BV192" s="2031"/>
      <c r="BW192" s="2031"/>
      <c r="BX192" s="2031"/>
      <c r="BY192" s="2031"/>
      <c r="BZ192" s="2031"/>
      <c r="CA192" s="2031"/>
      <c r="CB192" s="2029"/>
      <c r="CC192" s="2029"/>
      <c r="CD192" s="2029"/>
      <c r="CE192" s="2029"/>
      <c r="CF192" s="2029"/>
      <c r="CG192" s="2032"/>
      <c r="CH192" s="2027">
        <v>76703</v>
      </c>
      <c r="CI192" s="1974"/>
      <c r="CJ192" s="1974"/>
      <c r="CK192" s="1974"/>
      <c r="CL192" s="1974">
        <v>0</v>
      </c>
      <c r="CM192" s="2033">
        <v>0</v>
      </c>
      <c r="CN192" s="2026">
        <v>1.7296562316613598E-3</v>
      </c>
      <c r="CO192" s="1974">
        <v>0</v>
      </c>
      <c r="CP192" s="2040">
        <v>0</v>
      </c>
      <c r="CQ192" s="2040"/>
      <c r="CR192" s="2062">
        <v>1</v>
      </c>
      <c r="CS192" s="2062">
        <v>1</v>
      </c>
      <c r="CT192" s="2062">
        <v>1</v>
      </c>
      <c r="CU192" s="2062">
        <v>1</v>
      </c>
      <c r="CV192" s="2036"/>
      <c r="CW192" s="2036"/>
      <c r="CX192" s="2036"/>
      <c r="CY192" s="2036"/>
      <c r="CZ192" s="2036"/>
      <c r="DA192" s="2036"/>
    </row>
    <row r="193" spans="1:119" x14ac:dyDescent="0.25">
      <c r="A193" s="2185" t="s">
        <v>201</v>
      </c>
      <c r="B193" s="2022" t="s">
        <v>2972</v>
      </c>
      <c r="C193" s="2023">
        <v>12</v>
      </c>
      <c r="D193" s="2023"/>
      <c r="E193" s="2024">
        <v>0</v>
      </c>
      <c r="F193" s="2024"/>
      <c r="G193" s="2024">
        <v>0</v>
      </c>
      <c r="H193" s="2024"/>
      <c r="I193" s="2023">
        <v>149</v>
      </c>
      <c r="J193" s="2027"/>
      <c r="K193" s="2026" t="s">
        <v>2899</v>
      </c>
      <c r="L193" s="2026" t="s">
        <v>2899</v>
      </c>
      <c r="M193" s="2026">
        <v>0.84899999999999998</v>
      </c>
      <c r="N193" s="2026">
        <v>0.84899999999999998</v>
      </c>
      <c r="O193" s="2026">
        <v>0.84899999999999998</v>
      </c>
      <c r="P193" s="2026">
        <v>0.84899999999999998</v>
      </c>
      <c r="Q193" s="2027">
        <f t="shared" si="62"/>
        <v>0</v>
      </c>
      <c r="R193" s="2027">
        <f t="shared" si="62"/>
        <v>0</v>
      </c>
      <c r="S193" s="2027">
        <f t="shared" si="62"/>
        <v>0</v>
      </c>
      <c r="T193" s="2027">
        <f t="shared" si="62"/>
        <v>0</v>
      </c>
      <c r="U193" s="2026">
        <v>0.84899999999999998</v>
      </c>
      <c r="V193" s="2026">
        <v>0.84899999999999998</v>
      </c>
      <c r="W193" s="2026">
        <v>0.84899999999999998</v>
      </c>
      <c r="X193" s="2026">
        <v>0.84899999999999998</v>
      </c>
      <c r="Y193" s="2028">
        <f t="shared" si="63"/>
        <v>0</v>
      </c>
      <c r="Z193" s="2028">
        <f t="shared" si="63"/>
        <v>0</v>
      </c>
      <c r="AA193" s="2028">
        <f t="shared" si="63"/>
        <v>0</v>
      </c>
      <c r="AB193" s="2028">
        <f t="shared" si="63"/>
        <v>0</v>
      </c>
      <c r="AC193" s="2026">
        <v>0.67500000000000004</v>
      </c>
      <c r="AD193" s="2026">
        <v>0.67500000000000004</v>
      </c>
      <c r="AE193" s="2026">
        <v>0.67500000000000004</v>
      </c>
      <c r="AF193" s="2026">
        <v>0.67500000000000004</v>
      </c>
      <c r="AG193" s="2027">
        <f t="shared" si="75"/>
        <v>100.575</v>
      </c>
      <c r="AH193" s="2027">
        <f t="shared" si="75"/>
        <v>100.575</v>
      </c>
      <c r="AI193" s="2027">
        <f t="shared" si="75"/>
        <v>100.575</v>
      </c>
      <c r="AJ193" s="2027">
        <f t="shared" si="75"/>
        <v>100.575</v>
      </c>
      <c r="AK193" s="2027">
        <v>11</v>
      </c>
      <c r="AL193" s="2027">
        <v>11</v>
      </c>
      <c r="AM193" s="2027">
        <v>10</v>
      </c>
      <c r="AN193" s="2027">
        <v>10</v>
      </c>
      <c r="AO193" s="2027">
        <f t="shared" si="64"/>
        <v>0</v>
      </c>
      <c r="AP193" s="2027">
        <f t="shared" si="73"/>
        <v>0</v>
      </c>
      <c r="AQ193" s="2027">
        <f t="shared" si="73"/>
        <v>0</v>
      </c>
      <c r="AR193" s="2027"/>
      <c r="AS193" s="2027">
        <f t="shared" si="66"/>
        <v>0</v>
      </c>
      <c r="AT193" s="2027">
        <f t="shared" si="67"/>
        <v>1106.325</v>
      </c>
      <c r="AU193" s="2027">
        <f t="shared" si="74"/>
        <v>1106.325</v>
      </c>
      <c r="AV193" s="2027">
        <f t="shared" si="74"/>
        <v>1005.75</v>
      </c>
      <c r="AW193" s="2027">
        <f t="shared" si="74"/>
        <v>1005.75</v>
      </c>
      <c r="AX193" s="2029"/>
      <c r="AY193" s="2029">
        <v>0</v>
      </c>
      <c r="AZ193" s="2029">
        <v>0</v>
      </c>
      <c r="BA193" s="2029">
        <v>0</v>
      </c>
      <c r="BB193" s="2029">
        <v>200</v>
      </c>
      <c r="BC193" s="2029">
        <v>200</v>
      </c>
      <c r="BD193" s="2029">
        <v>200</v>
      </c>
      <c r="BE193" s="2029">
        <v>200</v>
      </c>
      <c r="BF193" s="2029">
        <v>60</v>
      </c>
      <c r="BG193" s="2029">
        <v>60</v>
      </c>
      <c r="BH193" s="2029">
        <v>60</v>
      </c>
      <c r="BI193" s="2029">
        <v>60</v>
      </c>
      <c r="BJ193" s="2030">
        <f t="shared" si="71"/>
        <v>0</v>
      </c>
      <c r="BK193" s="2030">
        <f t="shared" si="71"/>
        <v>0</v>
      </c>
      <c r="BL193" s="2030">
        <f t="shared" si="71"/>
        <v>0</v>
      </c>
      <c r="BM193" s="2030"/>
      <c r="BN193" s="2030">
        <f t="shared" si="59"/>
        <v>0</v>
      </c>
      <c r="BO193" s="2030">
        <f t="shared" si="60"/>
        <v>2200</v>
      </c>
      <c r="BP193" s="2030"/>
      <c r="BQ193" s="2030">
        <f t="shared" si="72"/>
        <v>2200</v>
      </c>
      <c r="BR193" s="2030">
        <f t="shared" si="72"/>
        <v>2000</v>
      </c>
      <c r="BS193" s="2030">
        <f t="shared" si="72"/>
        <v>2000</v>
      </c>
      <c r="BT193" s="2031"/>
      <c r="BU193" s="2031"/>
      <c r="BV193" s="2031"/>
      <c r="BW193" s="2031"/>
      <c r="BX193" s="2031"/>
      <c r="BY193" s="2031"/>
      <c r="BZ193" s="2031"/>
      <c r="CA193" s="2031"/>
      <c r="CB193" s="2029"/>
      <c r="CC193" s="2029"/>
      <c r="CD193" s="2029"/>
      <c r="CE193" s="2029"/>
      <c r="CF193" s="2029"/>
      <c r="CG193" s="2032"/>
      <c r="CH193" s="1974"/>
      <c r="CI193" s="1974"/>
      <c r="CJ193" s="1974"/>
      <c r="CK193" s="1974"/>
      <c r="CL193" s="1974"/>
      <c r="CM193" s="2033">
        <v>0</v>
      </c>
      <c r="CN193" s="2026">
        <v>3.5636788984198217E-4</v>
      </c>
      <c r="CO193" s="1974">
        <v>0</v>
      </c>
      <c r="CP193" s="2040">
        <v>0</v>
      </c>
      <c r="CQ193" s="2040"/>
      <c r="CR193" s="2062">
        <v>1</v>
      </c>
      <c r="CS193" s="2062">
        <v>1</v>
      </c>
      <c r="CT193" s="2062">
        <v>1</v>
      </c>
      <c r="CU193" s="2062">
        <v>1</v>
      </c>
      <c r="CV193" s="2036"/>
      <c r="CW193" s="2036"/>
      <c r="CX193" s="2036"/>
      <c r="CY193" s="2036"/>
      <c r="CZ193" s="2036"/>
      <c r="DA193" s="2036"/>
    </row>
    <row r="194" spans="1:119" x14ac:dyDescent="0.25">
      <c r="A194" s="2185" t="s">
        <v>202</v>
      </c>
      <c r="B194" s="2022" t="s">
        <v>2973</v>
      </c>
      <c r="C194" s="2023">
        <v>15</v>
      </c>
      <c r="D194" s="2023"/>
      <c r="E194" s="2024">
        <v>0</v>
      </c>
      <c r="F194" s="2024"/>
      <c r="G194" s="2024">
        <v>0</v>
      </c>
      <c r="H194" s="2024"/>
      <c r="I194" s="2023">
        <v>505</v>
      </c>
      <c r="J194" s="2027"/>
      <c r="K194" s="2026" t="s">
        <v>2899</v>
      </c>
      <c r="L194" s="2026" t="s">
        <v>2899</v>
      </c>
      <c r="M194" s="2026">
        <v>0.84899999999999998</v>
      </c>
      <c r="N194" s="2026">
        <v>0.84899999999999998</v>
      </c>
      <c r="O194" s="2026">
        <v>0.84899999999999998</v>
      </c>
      <c r="P194" s="2026">
        <v>0.84899999999999998</v>
      </c>
      <c r="Q194" s="2027">
        <f t="shared" si="62"/>
        <v>0</v>
      </c>
      <c r="R194" s="2027">
        <f t="shared" si="62"/>
        <v>0</v>
      </c>
      <c r="S194" s="2027">
        <f t="shared" si="62"/>
        <v>0</v>
      </c>
      <c r="T194" s="2027">
        <f t="shared" si="62"/>
        <v>0</v>
      </c>
      <c r="U194" s="2026">
        <v>0.84899999999999998</v>
      </c>
      <c r="V194" s="2026">
        <v>0.84899999999999998</v>
      </c>
      <c r="W194" s="2026">
        <v>0.84899999999999998</v>
      </c>
      <c r="X194" s="2026">
        <v>0.84899999999999998</v>
      </c>
      <c r="Y194" s="2028">
        <f t="shared" si="63"/>
        <v>0</v>
      </c>
      <c r="Z194" s="2028">
        <f t="shared" si="63"/>
        <v>0</v>
      </c>
      <c r="AA194" s="2028">
        <f t="shared" si="63"/>
        <v>0</v>
      </c>
      <c r="AB194" s="2028">
        <f t="shared" si="63"/>
        <v>0</v>
      </c>
      <c r="AC194" s="2026">
        <v>0.67500000000000004</v>
      </c>
      <c r="AD194" s="2026">
        <v>0.67500000000000004</v>
      </c>
      <c r="AE194" s="2026">
        <v>0.67500000000000004</v>
      </c>
      <c r="AF194" s="2026">
        <v>0.67500000000000004</v>
      </c>
      <c r="AG194" s="2027">
        <f t="shared" si="75"/>
        <v>340.875</v>
      </c>
      <c r="AH194" s="2027">
        <f t="shared" si="75"/>
        <v>340.875</v>
      </c>
      <c r="AI194" s="2027">
        <f t="shared" si="75"/>
        <v>340.875</v>
      </c>
      <c r="AJ194" s="2027">
        <f t="shared" si="75"/>
        <v>340.875</v>
      </c>
      <c r="AK194" s="2027">
        <v>20</v>
      </c>
      <c r="AL194" s="2027">
        <v>19</v>
      </c>
      <c r="AM194" s="2027">
        <v>20</v>
      </c>
      <c r="AN194" s="2027">
        <v>20</v>
      </c>
      <c r="AO194" s="2027">
        <f t="shared" si="64"/>
        <v>0</v>
      </c>
      <c r="AP194" s="2027">
        <f t="shared" si="73"/>
        <v>0</v>
      </c>
      <c r="AQ194" s="2027">
        <f t="shared" si="73"/>
        <v>0</v>
      </c>
      <c r="AR194" s="2027"/>
      <c r="AS194" s="2027">
        <f t="shared" si="66"/>
        <v>0</v>
      </c>
      <c r="AT194" s="2027">
        <f t="shared" si="67"/>
        <v>6817.5</v>
      </c>
      <c r="AU194" s="2027">
        <f t="shared" si="74"/>
        <v>6476.625</v>
      </c>
      <c r="AV194" s="2027">
        <f t="shared" si="74"/>
        <v>6817.5</v>
      </c>
      <c r="AW194" s="2027">
        <f t="shared" si="74"/>
        <v>6817.5</v>
      </c>
      <c r="AX194" s="2029"/>
      <c r="AY194" s="2029">
        <v>0</v>
      </c>
      <c r="AZ194" s="2029">
        <v>0</v>
      </c>
      <c r="BA194" s="2029">
        <v>0</v>
      </c>
      <c r="BB194" s="2029">
        <v>1200</v>
      </c>
      <c r="BC194" s="2029">
        <v>1200</v>
      </c>
      <c r="BD194" s="2029">
        <v>1200</v>
      </c>
      <c r="BE194" s="2029">
        <v>1200</v>
      </c>
      <c r="BF194" s="2029">
        <v>1200</v>
      </c>
      <c r="BG194" s="2029">
        <v>1200</v>
      </c>
      <c r="BH194" s="2029">
        <v>1200</v>
      </c>
      <c r="BI194" s="2029">
        <v>1200</v>
      </c>
      <c r="BJ194" s="2030">
        <f t="shared" si="71"/>
        <v>0</v>
      </c>
      <c r="BK194" s="2030">
        <f t="shared" si="71"/>
        <v>0</v>
      </c>
      <c r="BL194" s="2030">
        <f t="shared" si="71"/>
        <v>0</v>
      </c>
      <c r="BM194" s="2030"/>
      <c r="BN194" s="2030">
        <f t="shared" si="59"/>
        <v>0</v>
      </c>
      <c r="BO194" s="2030">
        <f t="shared" si="60"/>
        <v>24000</v>
      </c>
      <c r="BP194" s="2030"/>
      <c r="BQ194" s="2030">
        <f t="shared" si="72"/>
        <v>22800</v>
      </c>
      <c r="BR194" s="2030">
        <f t="shared" si="72"/>
        <v>24000</v>
      </c>
      <c r="BS194" s="2030">
        <f t="shared" si="72"/>
        <v>24000</v>
      </c>
      <c r="BT194" s="2031"/>
      <c r="BU194" s="2031"/>
      <c r="BV194" s="2031"/>
      <c r="BW194" s="2031"/>
      <c r="BX194" s="2031"/>
      <c r="BY194" s="2031"/>
      <c r="BZ194" s="2031"/>
      <c r="CA194" s="2031"/>
      <c r="CB194" s="2029"/>
      <c r="CC194" s="2029"/>
      <c r="CD194" s="2029"/>
      <c r="CE194" s="2029"/>
      <c r="CF194" s="2029"/>
      <c r="CG194" s="2032"/>
      <c r="CH194" s="1974"/>
      <c r="CI194" s="1974"/>
      <c r="CJ194" s="1974"/>
      <c r="CK194" s="1974"/>
      <c r="CL194" s="1974">
        <v>0</v>
      </c>
      <c r="CM194" s="2033">
        <v>0</v>
      </c>
      <c r="CN194" s="2026">
        <v>3.6234721685275365E-3</v>
      </c>
      <c r="CO194" s="1974">
        <v>0</v>
      </c>
      <c r="CP194" s="2040">
        <v>0</v>
      </c>
      <c r="CQ194" s="2040"/>
      <c r="CR194" s="2062">
        <v>1</v>
      </c>
      <c r="CS194" s="2062">
        <v>1</v>
      </c>
      <c r="CT194" s="2062">
        <v>1</v>
      </c>
      <c r="CU194" s="2062">
        <v>1</v>
      </c>
      <c r="CV194" s="2036"/>
      <c r="CW194" s="2036"/>
      <c r="CX194" s="2036"/>
      <c r="CY194" s="2036"/>
      <c r="CZ194" s="2036"/>
      <c r="DA194" s="2036"/>
    </row>
    <row r="195" spans="1:119" x14ac:dyDescent="0.25">
      <c r="A195" s="2185" t="s">
        <v>203</v>
      </c>
      <c r="B195" s="2022" t="s">
        <v>2974</v>
      </c>
      <c r="C195" s="2023">
        <v>6</v>
      </c>
      <c r="D195" s="2023"/>
      <c r="E195" s="2024">
        <v>0</v>
      </c>
      <c r="F195" s="2024"/>
      <c r="G195" s="2024">
        <v>0</v>
      </c>
      <c r="H195" s="2024"/>
      <c r="I195" s="2023">
        <v>0</v>
      </c>
      <c r="J195" s="2027"/>
      <c r="K195" s="2026" t="s">
        <v>2954</v>
      </c>
      <c r="L195" s="2026" t="s">
        <v>2954</v>
      </c>
      <c r="M195" s="2026">
        <v>0.60799999999999998</v>
      </c>
      <c r="N195" s="2026">
        <v>0.60799999999999998</v>
      </c>
      <c r="O195" s="2026">
        <v>0.60799999999999998</v>
      </c>
      <c r="P195" s="2026">
        <v>0.60799999999999998</v>
      </c>
      <c r="Q195" s="2027">
        <f t="shared" si="62"/>
        <v>0</v>
      </c>
      <c r="R195" s="2027">
        <f t="shared" si="62"/>
        <v>0</v>
      </c>
      <c r="S195" s="2027">
        <f t="shared" si="62"/>
        <v>0</v>
      </c>
      <c r="T195" s="2027">
        <f t="shared" si="62"/>
        <v>0</v>
      </c>
      <c r="U195" s="2026">
        <v>0.60799999999999998</v>
      </c>
      <c r="V195" s="2026">
        <v>0.60799999999999998</v>
      </c>
      <c r="W195" s="2026">
        <v>0.60799999999999998</v>
      </c>
      <c r="X195" s="2026">
        <v>0.60799999999999998</v>
      </c>
      <c r="Y195" s="2028">
        <f t="shared" si="63"/>
        <v>0</v>
      </c>
      <c r="Z195" s="2028">
        <f t="shared" si="63"/>
        <v>0</v>
      </c>
      <c r="AA195" s="2028">
        <f t="shared" si="63"/>
        <v>0</v>
      </c>
      <c r="AB195" s="2028">
        <f t="shared" si="63"/>
        <v>0</v>
      </c>
      <c r="AC195" s="2026">
        <v>0.60799999999999998</v>
      </c>
      <c r="AD195" s="2026">
        <v>0.60799999999999998</v>
      </c>
      <c r="AE195" s="2026">
        <v>0.60799999999999998</v>
      </c>
      <c r="AF195" s="2026">
        <v>0.60799999999999998</v>
      </c>
      <c r="AG195" s="2027">
        <f t="shared" si="75"/>
        <v>0</v>
      </c>
      <c r="AH195" s="2027">
        <f t="shared" si="75"/>
        <v>0</v>
      </c>
      <c r="AI195" s="2027">
        <f t="shared" si="75"/>
        <v>0</v>
      </c>
      <c r="AJ195" s="2027">
        <f t="shared" si="75"/>
        <v>0</v>
      </c>
      <c r="AK195" s="2027">
        <v>1260</v>
      </c>
      <c r="AL195" s="2027">
        <v>1140</v>
      </c>
      <c r="AM195" s="2027">
        <v>1200</v>
      </c>
      <c r="AN195" s="2027">
        <v>1200</v>
      </c>
      <c r="AO195" s="2027">
        <f t="shared" si="64"/>
        <v>0</v>
      </c>
      <c r="AP195" s="2027">
        <f t="shared" si="73"/>
        <v>0</v>
      </c>
      <c r="AQ195" s="2027">
        <f t="shared" si="73"/>
        <v>0</v>
      </c>
      <c r="AR195" s="2027"/>
      <c r="AS195" s="2027">
        <f t="shared" si="66"/>
        <v>0</v>
      </c>
      <c r="AT195" s="2027">
        <f t="shared" si="67"/>
        <v>0</v>
      </c>
      <c r="AU195" s="2027">
        <f t="shared" si="74"/>
        <v>0</v>
      </c>
      <c r="AV195" s="2027">
        <f t="shared" si="74"/>
        <v>0</v>
      </c>
      <c r="AW195" s="2027">
        <f t="shared" si="74"/>
        <v>0</v>
      </c>
      <c r="AX195" s="2029"/>
      <c r="AY195" s="2029">
        <v>0</v>
      </c>
      <c r="AZ195" s="2029">
        <v>0</v>
      </c>
      <c r="BA195" s="2029">
        <v>0</v>
      </c>
      <c r="BB195" s="2029">
        <v>40</v>
      </c>
      <c r="BC195" s="2029">
        <v>40</v>
      </c>
      <c r="BD195" s="2029">
        <v>40</v>
      </c>
      <c r="BE195" s="2029">
        <v>40</v>
      </c>
      <c r="BF195" s="2029">
        <v>20</v>
      </c>
      <c r="BG195" s="2029">
        <v>20</v>
      </c>
      <c r="BH195" s="2029">
        <v>20</v>
      </c>
      <c r="BI195" s="2029">
        <v>20</v>
      </c>
      <c r="BJ195" s="2030">
        <f t="shared" si="71"/>
        <v>0</v>
      </c>
      <c r="BK195" s="2030">
        <f t="shared" si="71"/>
        <v>0</v>
      </c>
      <c r="BL195" s="2030">
        <f t="shared" si="71"/>
        <v>0</v>
      </c>
      <c r="BM195" s="2030"/>
      <c r="BN195" s="2030">
        <f t="shared" si="59"/>
        <v>0</v>
      </c>
      <c r="BO195" s="2030">
        <f t="shared" si="60"/>
        <v>50400</v>
      </c>
      <c r="BP195" s="2030"/>
      <c r="BQ195" s="2030">
        <f t="shared" si="72"/>
        <v>45600</v>
      </c>
      <c r="BR195" s="2030">
        <f t="shared" si="72"/>
        <v>48000</v>
      </c>
      <c r="BS195" s="2030">
        <f t="shared" si="72"/>
        <v>48000</v>
      </c>
      <c r="BT195" s="2031"/>
      <c r="BU195" s="2031"/>
      <c r="BV195" s="2031"/>
      <c r="BW195" s="2031"/>
      <c r="BX195" s="2031"/>
      <c r="BY195" s="2031"/>
      <c r="BZ195" s="2031"/>
      <c r="CA195" s="2031"/>
      <c r="CB195" s="2029"/>
      <c r="CC195" s="2029"/>
      <c r="CD195" s="2029"/>
      <c r="CE195" s="2029"/>
      <c r="CF195" s="2029"/>
      <c r="CG195" s="2032"/>
      <c r="CH195" s="1974"/>
      <c r="CI195" s="1974"/>
      <c r="CJ195" s="1974"/>
      <c r="CK195" s="1974"/>
      <c r="CL195" s="1974">
        <v>0</v>
      </c>
      <c r="CM195" s="2033">
        <v>0</v>
      </c>
      <c r="CN195" s="2026">
        <v>0</v>
      </c>
      <c r="CO195" s="1974">
        <v>0</v>
      </c>
      <c r="CP195" s="2040">
        <v>0</v>
      </c>
      <c r="CQ195" s="2040"/>
      <c r="CR195" s="2062">
        <v>1</v>
      </c>
      <c r="CS195" s="2062">
        <v>1</v>
      </c>
      <c r="CT195" s="2062">
        <v>1</v>
      </c>
      <c r="CU195" s="2062">
        <v>1</v>
      </c>
      <c r="CV195" s="2036"/>
      <c r="CW195" s="2036"/>
      <c r="CX195" s="2036"/>
      <c r="CY195" s="2036"/>
      <c r="CZ195" s="2036"/>
      <c r="DA195" s="2036"/>
    </row>
    <row r="196" spans="1:119" s="2226" customFormat="1" x14ac:dyDescent="0.25">
      <c r="A196" s="2210" t="s">
        <v>204</v>
      </c>
      <c r="B196" s="2211" t="s">
        <v>2975</v>
      </c>
      <c r="C196" s="2212">
        <v>6</v>
      </c>
      <c r="D196" s="2212"/>
      <c r="E196" s="2213">
        <v>0</v>
      </c>
      <c r="F196" s="2213"/>
      <c r="G196" s="2213">
        <v>0</v>
      </c>
      <c r="H196" s="2213"/>
      <c r="I196" s="2212">
        <v>297.65043171806178</v>
      </c>
      <c r="J196" s="2214"/>
      <c r="K196" s="2215" t="s">
        <v>2954</v>
      </c>
      <c r="L196" s="2215" t="s">
        <v>2954</v>
      </c>
      <c r="M196" s="2215">
        <v>0.60799999999999998</v>
      </c>
      <c r="N196" s="2215">
        <v>0.60799999999999998</v>
      </c>
      <c r="O196" s="2026">
        <v>0.60799999999999998</v>
      </c>
      <c r="P196" s="2215">
        <v>0.60799999999999998</v>
      </c>
      <c r="Q196" s="2214">
        <f t="shared" si="62"/>
        <v>0</v>
      </c>
      <c r="R196" s="2214">
        <f t="shared" si="62"/>
        <v>0</v>
      </c>
      <c r="S196" s="2214">
        <f t="shared" si="62"/>
        <v>0</v>
      </c>
      <c r="T196" s="2214">
        <f t="shared" si="62"/>
        <v>0</v>
      </c>
      <c r="U196" s="2215">
        <v>0.60799999999999998</v>
      </c>
      <c r="V196" s="2215">
        <v>0.60799999999999998</v>
      </c>
      <c r="W196" s="2215">
        <v>0.60799999999999998</v>
      </c>
      <c r="X196" s="2215">
        <v>0.60799999999999998</v>
      </c>
      <c r="Y196" s="2216">
        <f t="shared" si="63"/>
        <v>0</v>
      </c>
      <c r="Z196" s="2216">
        <f t="shared" si="63"/>
        <v>0</v>
      </c>
      <c r="AA196" s="2216">
        <f t="shared" si="63"/>
        <v>0</v>
      </c>
      <c r="AB196" s="2216">
        <f t="shared" si="63"/>
        <v>0</v>
      </c>
      <c r="AC196" s="2215">
        <v>0.60799999999999998</v>
      </c>
      <c r="AD196" s="2215">
        <v>0.60799999999999998</v>
      </c>
      <c r="AE196" s="2215">
        <v>0.60799999999999998</v>
      </c>
      <c r="AF196" s="2215">
        <v>0.60799999999999998</v>
      </c>
      <c r="AG196" s="2214">
        <f t="shared" si="75"/>
        <v>180.97146248458156</v>
      </c>
      <c r="AH196" s="2214">
        <f t="shared" si="75"/>
        <v>180.97146248458156</v>
      </c>
      <c r="AI196" s="2214">
        <f t="shared" si="75"/>
        <v>180.97146248458156</v>
      </c>
      <c r="AJ196" s="2214">
        <f t="shared" si="75"/>
        <v>180.97146248458156</v>
      </c>
      <c r="AK196" s="2027">
        <v>210</v>
      </c>
      <c r="AL196" s="2027">
        <v>190</v>
      </c>
      <c r="AM196" s="2027">
        <v>200</v>
      </c>
      <c r="AN196" s="2027">
        <v>200</v>
      </c>
      <c r="AO196" s="2214">
        <f t="shared" si="64"/>
        <v>0</v>
      </c>
      <c r="AP196" s="2027">
        <f t="shared" si="73"/>
        <v>0</v>
      </c>
      <c r="AQ196" s="2027">
        <f t="shared" si="73"/>
        <v>0</v>
      </c>
      <c r="AR196" s="2027"/>
      <c r="AS196" s="2027">
        <f t="shared" si="66"/>
        <v>0</v>
      </c>
      <c r="AT196" s="2214">
        <f t="shared" si="67"/>
        <v>38004.00712176213</v>
      </c>
      <c r="AU196" s="2027">
        <f t="shared" si="74"/>
        <v>34384.577872070498</v>
      </c>
      <c r="AV196" s="2027">
        <f t="shared" si="74"/>
        <v>36194.292496916314</v>
      </c>
      <c r="AW196" s="2027">
        <f t="shared" si="74"/>
        <v>36194.292496916314</v>
      </c>
      <c r="AX196" s="2217"/>
      <c r="AY196" s="2029">
        <v>0</v>
      </c>
      <c r="AZ196" s="2029">
        <v>0</v>
      </c>
      <c r="BA196" s="2029">
        <v>0</v>
      </c>
      <c r="BB196" s="2217">
        <v>100</v>
      </c>
      <c r="BC196" s="2029">
        <v>100</v>
      </c>
      <c r="BD196" s="2029">
        <v>100</v>
      </c>
      <c r="BE196" s="2029">
        <v>100</v>
      </c>
      <c r="BF196" s="2218">
        <v>77</v>
      </c>
      <c r="BG196" s="2029">
        <v>77</v>
      </c>
      <c r="BH196" s="2029">
        <v>77</v>
      </c>
      <c r="BI196" s="2029">
        <v>77</v>
      </c>
      <c r="BJ196" s="2030">
        <f t="shared" si="71"/>
        <v>0</v>
      </c>
      <c r="BK196" s="2030">
        <f t="shared" si="71"/>
        <v>0</v>
      </c>
      <c r="BL196" s="2030">
        <f t="shared" si="71"/>
        <v>0</v>
      </c>
      <c r="BM196" s="2030"/>
      <c r="BN196" s="2030">
        <f t="shared" si="59"/>
        <v>0</v>
      </c>
      <c r="BO196" s="2030">
        <f t="shared" si="60"/>
        <v>21000</v>
      </c>
      <c r="BP196" s="2030"/>
      <c r="BQ196" s="2030">
        <f t="shared" si="72"/>
        <v>19000</v>
      </c>
      <c r="BR196" s="2030">
        <f t="shared" si="72"/>
        <v>20000</v>
      </c>
      <c r="BS196" s="2030">
        <f t="shared" si="72"/>
        <v>20000</v>
      </c>
      <c r="BT196" s="2219"/>
      <c r="BU196" s="2219"/>
      <c r="BV196" s="2219"/>
      <c r="BW196" s="2219"/>
      <c r="BX196" s="2219"/>
      <c r="BY196" s="2219"/>
      <c r="BZ196" s="2219"/>
      <c r="CA196" s="2219"/>
      <c r="CB196" s="2217"/>
      <c r="CC196" s="2217"/>
      <c r="CD196" s="2217"/>
      <c r="CE196" s="2217"/>
      <c r="CF196" s="2217"/>
      <c r="CG196" s="2220"/>
      <c r="CH196" s="2221"/>
      <c r="CI196" s="2221"/>
      <c r="CJ196" s="2221"/>
      <c r="CK196" s="2221"/>
      <c r="CL196" s="2221">
        <v>0</v>
      </c>
      <c r="CM196" s="2222">
        <v>0</v>
      </c>
      <c r="CN196" s="2215">
        <v>1.7488283697985971E-2</v>
      </c>
      <c r="CO196" s="2221">
        <v>0</v>
      </c>
      <c r="CP196" s="2223">
        <v>0</v>
      </c>
      <c r="CQ196" s="2223"/>
      <c r="CR196" s="2224">
        <v>1</v>
      </c>
      <c r="CS196" s="2224">
        <v>1</v>
      </c>
      <c r="CT196" s="2224">
        <v>1</v>
      </c>
      <c r="CU196" s="2224">
        <v>1</v>
      </c>
      <c r="CV196" s="2036"/>
      <c r="CW196" s="2036"/>
      <c r="CX196" s="2036"/>
      <c r="CY196" s="2225"/>
      <c r="CZ196" s="2225"/>
      <c r="DA196" s="2225"/>
    </row>
    <row r="197" spans="1:119" ht="23" x14ac:dyDescent="0.25">
      <c r="A197" s="2185" t="s">
        <v>205</v>
      </c>
      <c r="B197" s="2022" t="s">
        <v>2976</v>
      </c>
      <c r="C197" s="2023">
        <v>6</v>
      </c>
      <c r="D197" s="2023"/>
      <c r="E197" s="2024">
        <v>0</v>
      </c>
      <c r="F197" s="2024"/>
      <c r="G197" s="2024">
        <v>0</v>
      </c>
      <c r="H197" s="2024"/>
      <c r="I197" s="2023">
        <v>0</v>
      </c>
      <c r="J197" s="2027"/>
      <c r="K197" s="2026" t="s">
        <v>2954</v>
      </c>
      <c r="L197" s="2026" t="s">
        <v>2954</v>
      </c>
      <c r="M197" s="2026">
        <v>0.60799999999999998</v>
      </c>
      <c r="N197" s="2026">
        <v>0.60799999999999998</v>
      </c>
      <c r="O197" s="2026">
        <v>0.60799999999999998</v>
      </c>
      <c r="P197" s="2026">
        <v>0.60799999999999998</v>
      </c>
      <c r="Q197" s="2027">
        <f t="shared" si="62"/>
        <v>0</v>
      </c>
      <c r="R197" s="2027">
        <f t="shared" si="62"/>
        <v>0</v>
      </c>
      <c r="S197" s="2027">
        <f t="shared" si="62"/>
        <v>0</v>
      </c>
      <c r="T197" s="2027">
        <f t="shared" si="62"/>
        <v>0</v>
      </c>
      <c r="U197" s="2026">
        <v>0.60799999999999998</v>
      </c>
      <c r="V197" s="2026">
        <v>0.60799999999999998</v>
      </c>
      <c r="W197" s="2026">
        <v>0.60799999999999998</v>
      </c>
      <c r="X197" s="2026">
        <v>0.60799999999999998</v>
      </c>
      <c r="Y197" s="2028">
        <f t="shared" si="63"/>
        <v>0</v>
      </c>
      <c r="Z197" s="2028">
        <f t="shared" si="63"/>
        <v>0</v>
      </c>
      <c r="AA197" s="2028">
        <f t="shared" si="63"/>
        <v>0</v>
      </c>
      <c r="AB197" s="2028">
        <f t="shared" si="63"/>
        <v>0</v>
      </c>
      <c r="AC197" s="2026">
        <v>0.60799999999999998</v>
      </c>
      <c r="AD197" s="2026">
        <v>0.60799999999999998</v>
      </c>
      <c r="AE197" s="2026">
        <v>0.60799999999999998</v>
      </c>
      <c r="AF197" s="2026">
        <v>0.60799999999999998</v>
      </c>
      <c r="AG197" s="2027">
        <f t="shared" si="75"/>
        <v>0</v>
      </c>
      <c r="AH197" s="2027">
        <f t="shared" si="75"/>
        <v>0</v>
      </c>
      <c r="AI197" s="2027">
        <f t="shared" si="75"/>
        <v>0</v>
      </c>
      <c r="AJ197" s="2027">
        <f t="shared" si="75"/>
        <v>0</v>
      </c>
      <c r="AK197" s="2027">
        <v>1800</v>
      </c>
      <c r="AL197" s="2027">
        <v>1692</v>
      </c>
      <c r="AM197" s="2027">
        <v>300</v>
      </c>
      <c r="AN197" s="2027">
        <v>300</v>
      </c>
      <c r="AO197" s="2027">
        <f t="shared" si="64"/>
        <v>0</v>
      </c>
      <c r="AP197" s="2027">
        <f t="shared" si="73"/>
        <v>0</v>
      </c>
      <c r="AQ197" s="2027">
        <f t="shared" si="73"/>
        <v>0</v>
      </c>
      <c r="AR197" s="2027"/>
      <c r="AS197" s="2027">
        <f t="shared" si="66"/>
        <v>0</v>
      </c>
      <c r="AT197" s="2027">
        <f t="shared" si="67"/>
        <v>0</v>
      </c>
      <c r="AU197" s="2027">
        <f t="shared" si="74"/>
        <v>0</v>
      </c>
      <c r="AV197" s="2027">
        <f t="shared" si="74"/>
        <v>0</v>
      </c>
      <c r="AW197" s="2027">
        <f t="shared" si="74"/>
        <v>0</v>
      </c>
      <c r="AX197" s="2029"/>
      <c r="AY197" s="2029">
        <v>0</v>
      </c>
      <c r="AZ197" s="2029">
        <v>0</v>
      </c>
      <c r="BA197" s="2029">
        <v>0</v>
      </c>
      <c r="BB197" s="2029">
        <v>46.54</v>
      </c>
      <c r="BC197" s="2029">
        <v>46.54</v>
      </c>
      <c r="BD197" s="2029">
        <v>48</v>
      </c>
      <c r="BE197" s="2029">
        <v>48</v>
      </c>
      <c r="BF197" s="2029">
        <v>20</v>
      </c>
      <c r="BG197" s="2029">
        <v>20</v>
      </c>
      <c r="BH197" s="2029">
        <v>20</v>
      </c>
      <c r="BI197" s="2029">
        <v>20</v>
      </c>
      <c r="BJ197" s="2030">
        <f t="shared" si="71"/>
        <v>0</v>
      </c>
      <c r="BK197" s="2030">
        <f t="shared" si="71"/>
        <v>0</v>
      </c>
      <c r="BL197" s="2030">
        <f t="shared" si="71"/>
        <v>0</v>
      </c>
      <c r="BM197" s="2030"/>
      <c r="BN197" s="2030">
        <f t="shared" si="59"/>
        <v>0</v>
      </c>
      <c r="BO197" s="2030">
        <f t="shared" si="60"/>
        <v>83772</v>
      </c>
      <c r="BP197" s="2030"/>
      <c r="BQ197" s="2030">
        <f t="shared" si="72"/>
        <v>78745.679999999993</v>
      </c>
      <c r="BR197" s="2030">
        <f t="shared" si="72"/>
        <v>14400</v>
      </c>
      <c r="BS197" s="2030">
        <f t="shared" si="72"/>
        <v>14400</v>
      </c>
      <c r="BT197" s="2031"/>
      <c r="BU197" s="2031"/>
      <c r="BV197" s="2031"/>
      <c r="BW197" s="2031"/>
      <c r="BX197" s="2031"/>
      <c r="BY197" s="2031"/>
      <c r="BZ197" s="2031"/>
      <c r="CA197" s="2031"/>
      <c r="CB197" s="2029"/>
      <c r="CC197" s="2029"/>
      <c r="CD197" s="2029"/>
      <c r="CE197" s="2029"/>
      <c r="CF197" s="2029"/>
      <c r="CG197" s="2032"/>
      <c r="CH197" s="1974"/>
      <c r="CI197" s="1974"/>
      <c r="CJ197" s="1974"/>
      <c r="CK197" s="1974"/>
      <c r="CL197" s="1974">
        <v>0</v>
      </c>
      <c r="CM197" s="2033">
        <v>0</v>
      </c>
      <c r="CN197" s="2026">
        <v>0</v>
      </c>
      <c r="CO197" s="1974">
        <v>0</v>
      </c>
      <c r="CP197" s="2040">
        <v>0</v>
      </c>
      <c r="CQ197" s="2040"/>
      <c r="CR197" s="2062">
        <v>1</v>
      </c>
      <c r="CS197" s="2062">
        <v>1</v>
      </c>
      <c r="CT197" s="2062">
        <v>1</v>
      </c>
      <c r="CU197" s="2062">
        <v>1</v>
      </c>
      <c r="CV197" s="2036"/>
      <c r="CW197" s="2036"/>
      <c r="CX197" s="2036"/>
      <c r="CY197" s="2049"/>
      <c r="CZ197" s="2049"/>
      <c r="DA197" s="2049"/>
    </row>
    <row r="198" spans="1:119" s="2226" customFormat="1" ht="23" x14ac:dyDescent="0.25">
      <c r="A198" s="2210" t="s">
        <v>206</v>
      </c>
      <c r="B198" s="2211" t="s">
        <v>2977</v>
      </c>
      <c r="C198" s="2212">
        <v>6</v>
      </c>
      <c r="D198" s="2212"/>
      <c r="E198" s="2213">
        <v>0</v>
      </c>
      <c r="F198" s="2213"/>
      <c r="G198" s="2213">
        <v>0</v>
      </c>
      <c r="H198" s="2213"/>
      <c r="I198" s="2212">
        <v>4382.0432722457281</v>
      </c>
      <c r="J198" s="2214"/>
      <c r="K198" s="2215" t="s">
        <v>2954</v>
      </c>
      <c r="L198" s="2215" t="s">
        <v>2954</v>
      </c>
      <c r="M198" s="2215">
        <v>0.60799999999999998</v>
      </c>
      <c r="N198" s="2215">
        <v>0.60799999999999998</v>
      </c>
      <c r="O198" s="2026">
        <v>0.60799999999999998</v>
      </c>
      <c r="P198" s="2215">
        <v>0.60799999999999998</v>
      </c>
      <c r="Q198" s="2214">
        <f t="shared" si="62"/>
        <v>0</v>
      </c>
      <c r="R198" s="2214">
        <f t="shared" si="62"/>
        <v>0</v>
      </c>
      <c r="S198" s="2214">
        <f t="shared" si="62"/>
        <v>0</v>
      </c>
      <c r="T198" s="2214">
        <f t="shared" si="62"/>
        <v>0</v>
      </c>
      <c r="U198" s="2215">
        <v>0.60799999999999998</v>
      </c>
      <c r="V198" s="2215">
        <v>0.60799999999999998</v>
      </c>
      <c r="W198" s="2215">
        <v>0.60799999999999998</v>
      </c>
      <c r="X198" s="2215">
        <v>0.60799999999999998</v>
      </c>
      <c r="Y198" s="2216">
        <f t="shared" si="63"/>
        <v>0</v>
      </c>
      <c r="Z198" s="2216">
        <f t="shared" si="63"/>
        <v>0</v>
      </c>
      <c r="AA198" s="2216">
        <f t="shared" si="63"/>
        <v>0</v>
      </c>
      <c r="AB198" s="2216">
        <f t="shared" si="63"/>
        <v>0</v>
      </c>
      <c r="AC198" s="2215">
        <v>0.60799999999999998</v>
      </c>
      <c r="AD198" s="2215">
        <v>0.60799999999999998</v>
      </c>
      <c r="AE198" s="2215">
        <v>0.60799999999999998</v>
      </c>
      <c r="AF198" s="2215">
        <v>0.60799999999999998</v>
      </c>
      <c r="AG198" s="2214">
        <f t="shared" si="75"/>
        <v>2664.2823095254025</v>
      </c>
      <c r="AH198" s="2214">
        <f t="shared" si="75"/>
        <v>2664.2823095254025</v>
      </c>
      <c r="AI198" s="2214">
        <f t="shared" si="75"/>
        <v>2664.2823095254025</v>
      </c>
      <c r="AJ198" s="2214">
        <f t="shared" si="75"/>
        <v>2664.2823095254025</v>
      </c>
      <c r="AK198" s="2027">
        <v>300</v>
      </c>
      <c r="AL198" s="2027">
        <v>282</v>
      </c>
      <c r="AM198" s="2027">
        <v>50</v>
      </c>
      <c r="AN198" s="2027">
        <v>50</v>
      </c>
      <c r="AO198" s="2214">
        <f t="shared" si="64"/>
        <v>0</v>
      </c>
      <c r="AP198" s="2027">
        <f t="shared" si="73"/>
        <v>0</v>
      </c>
      <c r="AQ198" s="2027">
        <f t="shared" si="73"/>
        <v>0</v>
      </c>
      <c r="AR198" s="2027"/>
      <c r="AS198" s="2027">
        <f t="shared" si="66"/>
        <v>0</v>
      </c>
      <c r="AT198" s="2214">
        <f t="shared" si="67"/>
        <v>799284.69285762077</v>
      </c>
      <c r="AU198" s="2027">
        <f t="shared" si="74"/>
        <v>751327.61128616356</v>
      </c>
      <c r="AV198" s="2027">
        <f t="shared" si="74"/>
        <v>133214.11547627012</v>
      </c>
      <c r="AW198" s="2027">
        <f t="shared" si="74"/>
        <v>133214.11547627012</v>
      </c>
      <c r="AX198" s="2217"/>
      <c r="AY198" s="2029">
        <v>0</v>
      </c>
      <c r="AZ198" s="2029">
        <v>0</v>
      </c>
      <c r="BA198" s="2029">
        <v>0</v>
      </c>
      <c r="BB198" s="2217">
        <v>263</v>
      </c>
      <c r="BC198" s="2029">
        <v>263</v>
      </c>
      <c r="BD198" s="2029">
        <v>270</v>
      </c>
      <c r="BE198" s="2029">
        <v>270</v>
      </c>
      <c r="BF198" s="2217">
        <v>275.3700657894737</v>
      </c>
      <c r="BG198" s="2029">
        <v>275.3700657894737</v>
      </c>
      <c r="BH198" s="2029">
        <v>275.3700657894737</v>
      </c>
      <c r="BI198" s="2029">
        <v>275.3700657894737</v>
      </c>
      <c r="BJ198" s="2030">
        <f t="shared" si="71"/>
        <v>0</v>
      </c>
      <c r="BK198" s="2030">
        <f t="shared" si="71"/>
        <v>0</v>
      </c>
      <c r="BL198" s="2030">
        <f t="shared" si="71"/>
        <v>0</v>
      </c>
      <c r="BM198" s="2030"/>
      <c r="BN198" s="2030">
        <f t="shared" ref="BN198" si="76">BA198*AN198</f>
        <v>0</v>
      </c>
      <c r="BO198" s="2030">
        <f t="shared" ref="BO198" si="77">BB198*AK198</f>
        <v>78900</v>
      </c>
      <c r="BP198" s="2030"/>
      <c r="BQ198" s="2030">
        <f t="shared" si="72"/>
        <v>74166</v>
      </c>
      <c r="BR198" s="2030">
        <f t="shared" si="72"/>
        <v>13500</v>
      </c>
      <c r="BS198" s="2030">
        <f t="shared" si="72"/>
        <v>13500</v>
      </c>
      <c r="BT198" s="2219"/>
      <c r="BU198" s="2219"/>
      <c r="BV198" s="2219"/>
      <c r="BW198" s="2219"/>
      <c r="BX198" s="2219"/>
      <c r="BY198" s="2219"/>
      <c r="BZ198" s="2219"/>
      <c r="CA198" s="2219"/>
      <c r="CB198" s="2217"/>
      <c r="CC198" s="2217"/>
      <c r="CD198" s="2217"/>
      <c r="CE198" s="2217"/>
      <c r="CF198" s="2217"/>
      <c r="CG198" s="2220"/>
      <c r="CH198" s="2221"/>
      <c r="CI198" s="2221"/>
      <c r="CJ198" s="2221"/>
      <c r="CK198" s="2221"/>
      <c r="CL198" s="2221">
        <v>0</v>
      </c>
      <c r="CM198" s="2222">
        <v>0</v>
      </c>
      <c r="CN198" s="2215">
        <v>0.34757705842180248</v>
      </c>
      <c r="CO198" s="2221">
        <v>0</v>
      </c>
      <c r="CP198" s="2223">
        <v>0</v>
      </c>
      <c r="CQ198" s="2223"/>
      <c r="CR198" s="2224">
        <v>1</v>
      </c>
      <c r="CS198" s="2224">
        <v>1</v>
      </c>
      <c r="CT198" s="2224">
        <v>1</v>
      </c>
      <c r="CU198" s="2224">
        <v>1</v>
      </c>
      <c r="CV198" s="2036"/>
      <c r="CW198" s="2036"/>
      <c r="CX198" s="2036"/>
      <c r="CY198" s="2225"/>
      <c r="CZ198" s="2225"/>
      <c r="DA198" s="2225"/>
      <c r="DD198" s="1973" t="s">
        <v>342</v>
      </c>
      <c r="DH198" s="2226" t="s">
        <v>301</v>
      </c>
      <c r="DL198" s="2226" t="s">
        <v>418</v>
      </c>
    </row>
    <row r="199" spans="1:119" x14ac:dyDescent="0.25">
      <c r="A199" s="2183" t="s">
        <v>811</v>
      </c>
      <c r="B199" s="2012"/>
      <c r="C199" s="2013"/>
      <c r="D199" s="2013"/>
      <c r="E199" s="2013"/>
      <c r="F199" s="2013"/>
      <c r="G199" s="2014"/>
      <c r="H199" s="2014"/>
      <c r="I199" s="2013"/>
      <c r="J199" s="2016"/>
      <c r="K199" s="2015"/>
      <c r="L199" s="2015"/>
      <c r="M199" s="2015"/>
      <c r="N199" s="2015"/>
      <c r="O199" s="2015"/>
      <c r="P199" s="2015"/>
      <c r="Q199" s="2016"/>
      <c r="R199" s="2016"/>
      <c r="S199" s="2016"/>
      <c r="T199" s="2016"/>
      <c r="U199" s="2015"/>
      <c r="V199" s="2015"/>
      <c r="W199" s="2015"/>
      <c r="X199" s="2015"/>
      <c r="Y199" s="2016"/>
      <c r="Z199" s="2016"/>
      <c r="AA199" s="2016"/>
      <c r="AB199" s="2016"/>
      <c r="AC199" s="2015"/>
      <c r="AD199" s="2015"/>
      <c r="AE199" s="2015"/>
      <c r="AF199" s="2015"/>
      <c r="AG199" s="2016"/>
      <c r="AH199" s="2016"/>
      <c r="AI199" s="2016"/>
      <c r="AJ199" s="2016"/>
      <c r="AK199" s="2227">
        <v>1.4</v>
      </c>
      <c r="AL199" s="2227">
        <v>1.36</v>
      </c>
      <c r="AM199" s="2227">
        <v>1.29</v>
      </c>
      <c r="AN199" s="2227">
        <v>1.29</v>
      </c>
      <c r="AO199" s="2072">
        <f t="shared" ref="AO199:BS199" si="78">SUM(AO200:AO203)</f>
        <v>68381871.010199994</v>
      </c>
      <c r="AP199" s="2072">
        <f t="shared" si="78"/>
        <v>67286412.8178</v>
      </c>
      <c r="AQ199" s="2072">
        <f t="shared" si="78"/>
        <v>68297604.995399982</v>
      </c>
      <c r="AR199" s="2072"/>
      <c r="AS199" s="2072">
        <f t="shared" si="78"/>
        <v>70067191.306199998</v>
      </c>
      <c r="AT199" s="2072">
        <f t="shared" si="78"/>
        <v>571124.21399999992</v>
      </c>
      <c r="AU199" s="2072">
        <f t="shared" si="78"/>
        <v>500535.82799999998</v>
      </c>
      <c r="AV199" s="2072">
        <f>SUM(AV200:AV203)</f>
        <v>442781.6939999999</v>
      </c>
      <c r="AW199" s="2073">
        <f t="shared" si="78"/>
        <v>436364.56799999997</v>
      </c>
      <c r="AX199" s="2073"/>
      <c r="AY199" s="2073"/>
      <c r="AZ199" s="2073"/>
      <c r="BA199" s="2073"/>
      <c r="BB199" s="2073"/>
      <c r="BC199" s="2073"/>
      <c r="BD199" s="2073"/>
      <c r="BE199" s="2073"/>
      <c r="BF199" s="2073"/>
      <c r="BG199" s="2073"/>
      <c r="BH199" s="2073"/>
      <c r="BI199" s="2073"/>
      <c r="BJ199" s="2074">
        <f t="shared" si="78"/>
        <v>10158562.259999998</v>
      </c>
      <c r="BK199" s="2074">
        <f t="shared" si="78"/>
        <v>10004036.280000001</v>
      </c>
      <c r="BL199" s="2074">
        <f t="shared" si="78"/>
        <v>10150045.08</v>
      </c>
      <c r="BM199" s="2074"/>
      <c r="BN199" s="2074">
        <f t="shared" si="78"/>
        <v>10405560.48</v>
      </c>
      <c r="BO199" s="2075">
        <f t="shared" si="78"/>
        <v>1703141.25</v>
      </c>
      <c r="BP199" s="2075"/>
      <c r="BQ199" s="2075">
        <f t="shared" si="78"/>
        <v>1513424.25</v>
      </c>
      <c r="BR199" s="2075">
        <f t="shared" si="78"/>
        <v>1441849.2</v>
      </c>
      <c r="BS199" s="2075">
        <f t="shared" si="78"/>
        <v>1422877.5</v>
      </c>
      <c r="BT199" s="2075">
        <v>5363887.7442239178</v>
      </c>
      <c r="BU199" s="2075">
        <v>5342959.0109878164</v>
      </c>
      <c r="BV199" s="2075">
        <v>5357493.4934463454</v>
      </c>
      <c r="BW199" s="2075">
        <v>5356722.5011589183</v>
      </c>
      <c r="BX199" s="2075">
        <v>879304.70158234122</v>
      </c>
      <c r="BY199" s="2075">
        <v>878752.4472940088</v>
      </c>
      <c r="BZ199" s="2075">
        <v>854157.53903156938</v>
      </c>
      <c r="CA199" s="2075">
        <v>847477.03443837469</v>
      </c>
      <c r="CB199" s="2075"/>
      <c r="CC199" s="2075"/>
      <c r="CD199" s="2075"/>
      <c r="CE199" s="2075"/>
      <c r="CF199" s="2075"/>
      <c r="CG199" s="2075"/>
      <c r="CH199" s="1974"/>
      <c r="CI199" s="1974"/>
      <c r="CJ199" s="1974"/>
      <c r="CK199" s="1974"/>
      <c r="CL199" s="1974"/>
      <c r="CM199" s="2033"/>
      <c r="CN199" s="2026"/>
      <c r="CO199" s="1974"/>
      <c r="CP199" s="2040">
        <v>0</v>
      </c>
      <c r="CQ199" s="2040"/>
      <c r="CR199" s="2062">
        <v>1</v>
      </c>
      <c r="CS199" s="2062">
        <v>1</v>
      </c>
      <c r="CV199" s="2082"/>
      <c r="CW199" s="2082"/>
      <c r="CX199" s="2082"/>
      <c r="CY199" s="2082"/>
      <c r="CZ199" s="2082"/>
      <c r="DA199" s="2082"/>
      <c r="DD199" s="1973">
        <v>2018</v>
      </c>
      <c r="DE199" s="1973">
        <v>2019</v>
      </c>
      <c r="DF199" s="1973">
        <v>2020</v>
      </c>
      <c r="DG199" s="1973">
        <v>2021</v>
      </c>
      <c r="DH199" s="1973">
        <v>2018</v>
      </c>
      <c r="DI199" s="1973">
        <v>2019</v>
      </c>
      <c r="DJ199" s="1973">
        <v>2020</v>
      </c>
      <c r="DK199" s="1973">
        <v>2021</v>
      </c>
      <c r="DL199" s="1973">
        <v>2018</v>
      </c>
      <c r="DM199" s="1973">
        <v>2019</v>
      </c>
      <c r="DN199" s="1973">
        <v>2020</v>
      </c>
      <c r="DO199" s="1973">
        <v>2021</v>
      </c>
    </row>
    <row r="200" spans="1:119" s="2245" customFormat="1" x14ac:dyDescent="0.25">
      <c r="A200" s="2228" t="s">
        <v>267</v>
      </c>
      <c r="B200" s="2229" t="s">
        <v>820</v>
      </c>
      <c r="C200" s="2230">
        <v>13</v>
      </c>
      <c r="D200" s="2230"/>
      <c r="E200" s="2230">
        <v>512567</v>
      </c>
      <c r="F200" s="2230"/>
      <c r="G200" s="2231">
        <v>58.930499999999995</v>
      </c>
      <c r="H200" s="2231"/>
      <c r="I200" s="2230">
        <v>0</v>
      </c>
      <c r="J200" s="2232"/>
      <c r="K200" s="2233" t="s">
        <v>211</v>
      </c>
      <c r="L200" s="2233" t="s">
        <v>211</v>
      </c>
      <c r="M200" s="2233">
        <v>0.82199999999999995</v>
      </c>
      <c r="N200" s="2233">
        <v>0.82199999999999995</v>
      </c>
      <c r="O200" s="2233">
        <v>0.82199999999999995</v>
      </c>
      <c r="P200" s="2233">
        <v>0.82199999999999995</v>
      </c>
      <c r="Q200" s="2232">
        <f>$E200*M200</f>
        <v>421330.07399999996</v>
      </c>
      <c r="R200" s="2232">
        <f>$E200*N200</f>
        <v>421330.07399999996</v>
      </c>
      <c r="S200" s="2232">
        <f>$E200*O200</f>
        <v>421330.07399999996</v>
      </c>
      <c r="T200" s="2232">
        <f>$E200*P200</f>
        <v>421330.07399999996</v>
      </c>
      <c r="U200" s="2233">
        <v>0.82199999999999995</v>
      </c>
      <c r="V200" s="2233">
        <v>0.82199999999999995</v>
      </c>
      <c r="W200" s="2233">
        <v>0.82199999999999995</v>
      </c>
      <c r="X200" s="2233">
        <v>0.82199999999999995</v>
      </c>
      <c r="Y200" s="2234">
        <f>$G200*U200</f>
        <v>48.440870999999994</v>
      </c>
      <c r="Z200" s="2234">
        <f>$G200*V200</f>
        <v>48.440870999999994</v>
      </c>
      <c r="AA200" s="2234">
        <f>$G200*W200</f>
        <v>48.440870999999994</v>
      </c>
      <c r="AB200" s="2234">
        <f>$G200*X200</f>
        <v>48.440870999999994</v>
      </c>
      <c r="AC200" s="2233">
        <v>0.93899999999999995</v>
      </c>
      <c r="AD200" s="2233">
        <v>0.93899999999999995</v>
      </c>
      <c r="AE200" s="2233">
        <v>0.93899999999999995</v>
      </c>
      <c r="AF200" s="2233">
        <v>0.93899999999999995</v>
      </c>
      <c r="AG200" s="2232">
        <f>$I200*AC200</f>
        <v>0</v>
      </c>
      <c r="AH200" s="2232">
        <f>$I200*AD200</f>
        <v>0</v>
      </c>
      <c r="AI200" s="2232">
        <f>$I200*AE200</f>
        <v>0</v>
      </c>
      <c r="AJ200" s="2232">
        <f>$I200*AF200</f>
        <v>0</v>
      </c>
      <c r="AK200" s="2235">
        <v>146.69999999999999</v>
      </c>
      <c r="AL200" s="2235">
        <v>143.9</v>
      </c>
      <c r="AM200" s="2235">
        <v>146.29999999999998</v>
      </c>
      <c r="AN200" s="2235">
        <v>150.5</v>
      </c>
      <c r="AO200" s="2232">
        <f>AK200*Q200</f>
        <v>61809121.855799988</v>
      </c>
      <c r="AP200" s="2232">
        <f>AL200*R200</f>
        <v>60629397.648599997</v>
      </c>
      <c r="AQ200" s="2232">
        <f>AM200*S200</f>
        <v>61640589.826199986</v>
      </c>
      <c r="AR200" s="2232"/>
      <c r="AS200" s="2232">
        <f>AN200*T200</f>
        <v>63410176.136999995</v>
      </c>
      <c r="AT200" s="2232">
        <f t="shared" ref="AT200:AW203" si="79">AK200*AG200</f>
        <v>0</v>
      </c>
      <c r="AU200" s="2232">
        <f t="shared" si="79"/>
        <v>0</v>
      </c>
      <c r="AV200" s="2232">
        <f t="shared" si="79"/>
        <v>0</v>
      </c>
      <c r="AW200" s="2232">
        <f t="shared" si="79"/>
        <v>0</v>
      </c>
      <c r="AX200" s="2154">
        <v>60837</v>
      </c>
      <c r="AY200" s="2046">
        <v>60837</v>
      </c>
      <c r="AZ200" s="2046">
        <v>60837</v>
      </c>
      <c r="BA200" s="2046">
        <v>60837</v>
      </c>
      <c r="BB200" s="2047"/>
      <c r="BC200" s="2046">
        <v>0</v>
      </c>
      <c r="BD200" s="2046">
        <v>0</v>
      </c>
      <c r="BE200" s="2046">
        <v>0</v>
      </c>
      <c r="BF200" s="2236">
        <v>136194</v>
      </c>
      <c r="BG200" s="2029">
        <v>136194</v>
      </c>
      <c r="BH200" s="2029">
        <v>136194</v>
      </c>
      <c r="BI200" s="2029">
        <v>136194</v>
      </c>
      <c r="BJ200" s="2030">
        <f t="shared" ref="BJ200:BL203" si="80">AX200*AK200</f>
        <v>8924787.8999999985</v>
      </c>
      <c r="BK200" s="2030">
        <f t="shared" si="80"/>
        <v>8754444.3000000007</v>
      </c>
      <c r="BL200" s="2030">
        <f t="shared" si="80"/>
        <v>8900453.0999999996</v>
      </c>
      <c r="BM200" s="2030"/>
      <c r="BN200" s="2030">
        <f>BA200*AN200</f>
        <v>9155968.5</v>
      </c>
      <c r="BO200" s="2030">
        <f>BB200*AK200</f>
        <v>0</v>
      </c>
      <c r="BP200" s="2030"/>
      <c r="BQ200" s="2030">
        <f t="shared" ref="BQ200:BS203" si="81">BC200*AL200</f>
        <v>0</v>
      </c>
      <c r="BR200" s="2030">
        <f t="shared" si="81"/>
        <v>0</v>
      </c>
      <c r="BS200" s="2030">
        <f t="shared" si="81"/>
        <v>0</v>
      </c>
      <c r="BT200" s="2237">
        <v>5072746.0371792531</v>
      </c>
      <c r="BU200" s="2237">
        <v>4977274.7196929464</v>
      </c>
      <c r="BV200" s="2237">
        <v>4979183.7071725195</v>
      </c>
      <c r="BW200" s="2237">
        <v>4985905.9984098505</v>
      </c>
      <c r="BX200" s="2238">
        <v>0</v>
      </c>
      <c r="BY200" s="2238">
        <v>0</v>
      </c>
      <c r="BZ200" s="2238">
        <v>0</v>
      </c>
      <c r="CA200" s="2238">
        <v>0</v>
      </c>
      <c r="CB200" s="2239"/>
      <c r="CC200" s="2239"/>
      <c r="CD200" s="2239"/>
      <c r="CE200" s="2239"/>
      <c r="CF200" s="2239"/>
      <c r="CG200" s="2240"/>
      <c r="CH200" s="2241"/>
      <c r="CI200" s="2241"/>
      <c r="CJ200" s="2241"/>
      <c r="CK200" s="2241"/>
      <c r="CL200" s="2241"/>
      <c r="CM200" s="2242"/>
      <c r="CN200" s="2233"/>
      <c r="CO200" s="2241"/>
      <c r="CP200" s="2243">
        <v>0</v>
      </c>
      <c r="CQ200" s="2243"/>
      <c r="CR200" s="2244">
        <v>1</v>
      </c>
      <c r="CS200" s="2244">
        <v>1</v>
      </c>
      <c r="CV200" s="2036"/>
      <c r="CW200" s="2036"/>
      <c r="CX200" s="2036"/>
      <c r="CY200" s="2049"/>
      <c r="CZ200" s="2049"/>
      <c r="DA200" s="2049"/>
      <c r="DB200" s="2245">
        <v>0</v>
      </c>
      <c r="DD200" s="2287">
        <f t="shared" ref="DD200:DG203" si="82">$E200*AK200</f>
        <v>75193578.899999991</v>
      </c>
      <c r="DE200" s="2287">
        <f t="shared" si="82"/>
        <v>73758391.299999997</v>
      </c>
      <c r="DF200" s="2287">
        <f t="shared" si="82"/>
        <v>74988552.099999994</v>
      </c>
      <c r="DG200" s="2287">
        <f t="shared" si="82"/>
        <v>77141333.5</v>
      </c>
      <c r="DH200" s="2287">
        <f t="shared" ref="DH200:DK203" si="83">$G200*AK200</f>
        <v>8645.1043499999978</v>
      </c>
      <c r="DI200" s="2287">
        <f t="shared" si="83"/>
        <v>8480.0989499999996</v>
      </c>
      <c r="DJ200" s="2287">
        <f t="shared" si="83"/>
        <v>8621.5321499999991</v>
      </c>
      <c r="DK200" s="2287">
        <f t="shared" si="83"/>
        <v>8869.04025</v>
      </c>
      <c r="DL200" s="2287">
        <f t="shared" ref="DL200:DO203" si="84">$I200*AK200</f>
        <v>0</v>
      </c>
      <c r="DM200" s="2287">
        <f t="shared" si="84"/>
        <v>0</v>
      </c>
      <c r="DN200" s="2287">
        <f t="shared" si="84"/>
        <v>0</v>
      </c>
      <c r="DO200" s="2287">
        <f t="shared" si="84"/>
        <v>0</v>
      </c>
    </row>
    <row r="201" spans="1:119" s="2245" customFormat="1" x14ac:dyDescent="0.25">
      <c r="A201" s="2228" t="s">
        <v>2978</v>
      </c>
      <c r="B201" s="2229" t="s">
        <v>820</v>
      </c>
      <c r="C201" s="2230">
        <v>13</v>
      </c>
      <c r="D201" s="2230"/>
      <c r="E201" s="2230">
        <v>512567</v>
      </c>
      <c r="F201" s="2230"/>
      <c r="G201" s="2231">
        <v>58.930499999999995</v>
      </c>
      <c r="H201" s="2231"/>
      <c r="I201" s="2230">
        <v>0</v>
      </c>
      <c r="J201" s="2232"/>
      <c r="K201" s="2233" t="s">
        <v>211</v>
      </c>
      <c r="L201" s="2233" t="s">
        <v>211</v>
      </c>
      <c r="M201" s="2233">
        <v>0.82199999999999995</v>
      </c>
      <c r="N201" s="2233">
        <v>0.82199999999999995</v>
      </c>
      <c r="O201" s="2233">
        <v>0.82199999999999995</v>
      </c>
      <c r="P201" s="2233">
        <v>0.82199999999999995</v>
      </c>
      <c r="Q201" s="2232">
        <f>$E201*M201</f>
        <v>421330.07399999996</v>
      </c>
      <c r="R201" s="2232">
        <f t="shared" ref="R201:S203" si="85">$E201*N201</f>
        <v>421330.07399999996</v>
      </c>
      <c r="S201" s="2232">
        <f t="shared" si="85"/>
        <v>421330.07399999996</v>
      </c>
      <c r="T201" s="2232">
        <f>$E201*P201</f>
        <v>421330.07399999996</v>
      </c>
      <c r="U201" s="2233">
        <v>0.82199999999999995</v>
      </c>
      <c r="V201" s="2233">
        <v>0.82199999999999995</v>
      </c>
      <c r="W201" s="2233">
        <v>0.82199999999999995</v>
      </c>
      <c r="X201" s="2233">
        <v>0.82199999999999995</v>
      </c>
      <c r="Y201" s="2234">
        <f>$G201*U201</f>
        <v>48.440870999999994</v>
      </c>
      <c r="Z201" s="2234">
        <f t="shared" ref="Z201:AA203" si="86">$G201*V201</f>
        <v>48.440870999999994</v>
      </c>
      <c r="AA201" s="2234">
        <f t="shared" si="86"/>
        <v>48.440870999999994</v>
      </c>
      <c r="AB201" s="2234">
        <f>$G201*X201</f>
        <v>48.440870999999994</v>
      </c>
      <c r="AC201" s="2233">
        <v>0.93899999999999995</v>
      </c>
      <c r="AD201" s="2233">
        <v>0.93899999999999995</v>
      </c>
      <c r="AE201" s="2233">
        <v>0.93899999999999995</v>
      </c>
      <c r="AF201" s="2233">
        <v>0.93899999999999995</v>
      </c>
      <c r="AG201" s="2232">
        <f>$I201*AC201</f>
        <v>0</v>
      </c>
      <c r="AH201" s="2232">
        <f t="shared" ref="AH201:AI203" si="87">$I201*AD201</f>
        <v>0</v>
      </c>
      <c r="AI201" s="2232">
        <f t="shared" si="87"/>
        <v>0</v>
      </c>
      <c r="AJ201" s="2232">
        <f>$I201*AF201</f>
        <v>0</v>
      </c>
      <c r="AK201" s="2235">
        <v>15.6</v>
      </c>
      <c r="AL201" s="2235">
        <v>15.799999999999999</v>
      </c>
      <c r="AM201" s="2235">
        <v>15.799999999999999</v>
      </c>
      <c r="AN201" s="2235">
        <v>15.799999999999999</v>
      </c>
      <c r="AO201" s="2232">
        <f t="shared" ref="AO201:AQ203" si="88">AK201*Q201</f>
        <v>6572749.1543999994</v>
      </c>
      <c r="AP201" s="2232">
        <f t="shared" si="88"/>
        <v>6657015.1691999994</v>
      </c>
      <c r="AQ201" s="2232">
        <f t="shared" si="88"/>
        <v>6657015.1691999994</v>
      </c>
      <c r="AR201" s="2232"/>
      <c r="AS201" s="2232">
        <f>AN201*T201</f>
        <v>6657015.1691999994</v>
      </c>
      <c r="AT201" s="2232">
        <f t="shared" si="79"/>
        <v>0</v>
      </c>
      <c r="AU201" s="2232">
        <f t="shared" si="79"/>
        <v>0</v>
      </c>
      <c r="AV201" s="2232">
        <f t="shared" si="79"/>
        <v>0</v>
      </c>
      <c r="AW201" s="2232">
        <f t="shared" si="79"/>
        <v>0</v>
      </c>
      <c r="AX201" s="2154">
        <v>79088.100000000006</v>
      </c>
      <c r="AY201" s="2046">
        <v>79088.100000000006</v>
      </c>
      <c r="AZ201" s="2046">
        <v>79088.100000000006</v>
      </c>
      <c r="BA201" s="2046">
        <v>79088.100000000006</v>
      </c>
      <c r="BB201" s="2047"/>
      <c r="BC201" s="2046">
        <v>0</v>
      </c>
      <c r="BD201" s="2046">
        <v>0</v>
      </c>
      <c r="BE201" s="2046">
        <v>0</v>
      </c>
      <c r="BF201" s="2236">
        <v>136194</v>
      </c>
      <c r="BG201" s="2029">
        <v>136194</v>
      </c>
      <c r="BH201" s="2029">
        <v>136194</v>
      </c>
      <c r="BI201" s="2029">
        <v>136194</v>
      </c>
      <c r="BJ201" s="2030">
        <f t="shared" si="80"/>
        <v>1233774.3600000001</v>
      </c>
      <c r="BK201" s="2030">
        <f t="shared" si="80"/>
        <v>1249591.98</v>
      </c>
      <c r="BL201" s="2030">
        <f t="shared" si="80"/>
        <v>1249591.98</v>
      </c>
      <c r="BM201" s="2030"/>
      <c r="BN201" s="2030">
        <f>BA201*AN201</f>
        <v>1249591.98</v>
      </c>
      <c r="BO201" s="2030">
        <f>BB201*AK201</f>
        <v>0</v>
      </c>
      <c r="BP201" s="2030"/>
      <c r="BQ201" s="2030">
        <f t="shared" si="81"/>
        <v>0</v>
      </c>
      <c r="BR201" s="2030">
        <f t="shared" si="81"/>
        <v>0</v>
      </c>
      <c r="BS201" s="2030">
        <f t="shared" si="81"/>
        <v>0</v>
      </c>
      <c r="BT201" s="2237">
        <v>805463.76992281864</v>
      </c>
      <c r="BU201" s="2237">
        <v>829060.87015349907</v>
      </c>
      <c r="BV201" s="2237">
        <v>808671.79953438463</v>
      </c>
      <c r="BW201" s="2237">
        <v>795646.7015448194</v>
      </c>
      <c r="BX201" s="2238">
        <v>0</v>
      </c>
      <c r="BY201" s="2238">
        <v>0</v>
      </c>
      <c r="BZ201" s="2238">
        <v>0</v>
      </c>
      <c r="CA201" s="2238">
        <v>0</v>
      </c>
      <c r="CB201" s="2239"/>
      <c r="CC201" s="2239"/>
      <c r="CD201" s="2239"/>
      <c r="CE201" s="2239"/>
      <c r="CF201" s="2239"/>
      <c r="CG201" s="2240"/>
      <c r="CH201" s="2241"/>
      <c r="CI201" s="2241"/>
      <c r="CJ201" s="2241"/>
      <c r="CK201" s="2241"/>
      <c r="CL201" s="2241"/>
      <c r="CM201" s="2242"/>
      <c r="CN201" s="2233"/>
      <c r="CO201" s="2241"/>
      <c r="CP201" s="2243">
        <v>0</v>
      </c>
      <c r="CQ201" s="2243"/>
      <c r="CR201" s="2244">
        <v>1</v>
      </c>
      <c r="CS201" s="2244">
        <v>1</v>
      </c>
      <c r="CV201" s="2036"/>
      <c r="CW201" s="2036"/>
      <c r="CX201" s="2036"/>
      <c r="CY201" s="2049"/>
      <c r="CZ201" s="2049"/>
      <c r="DA201" s="2049"/>
      <c r="DB201" s="2245">
        <v>1</v>
      </c>
      <c r="DD201" s="2287">
        <f t="shared" si="82"/>
        <v>7996045.2000000002</v>
      </c>
      <c r="DE201" s="2287">
        <f t="shared" si="82"/>
        <v>8098558.5999999996</v>
      </c>
      <c r="DF201" s="2287">
        <f t="shared" si="82"/>
        <v>8098558.5999999996</v>
      </c>
      <c r="DG201" s="2287">
        <f t="shared" si="82"/>
        <v>8098558.5999999996</v>
      </c>
      <c r="DH201" s="2287">
        <f t="shared" si="83"/>
        <v>919.31579999999985</v>
      </c>
      <c r="DI201" s="2287">
        <f t="shared" si="83"/>
        <v>931.10189999999989</v>
      </c>
      <c r="DJ201" s="2287">
        <f t="shared" si="83"/>
        <v>931.10189999999989</v>
      </c>
      <c r="DK201" s="2287">
        <f t="shared" si="83"/>
        <v>931.10189999999989</v>
      </c>
      <c r="DL201" s="2287">
        <f t="shared" si="84"/>
        <v>0</v>
      </c>
      <c r="DM201" s="2287">
        <f t="shared" si="84"/>
        <v>0</v>
      </c>
      <c r="DN201" s="2287">
        <f t="shared" si="84"/>
        <v>0</v>
      </c>
      <c r="DO201" s="2287">
        <f t="shared" si="84"/>
        <v>0</v>
      </c>
    </row>
    <row r="202" spans="1:119" s="2245" customFormat="1" x14ac:dyDescent="0.25">
      <c r="A202" s="2228" t="s">
        <v>268</v>
      </c>
      <c r="B202" s="2229" t="s">
        <v>820</v>
      </c>
      <c r="C202" s="2230">
        <v>13</v>
      </c>
      <c r="D202" s="2230"/>
      <c r="E202" s="2230">
        <v>0</v>
      </c>
      <c r="F202" s="2230"/>
      <c r="G202" s="2231">
        <v>0</v>
      </c>
      <c r="H202" s="2231"/>
      <c r="I202" s="2230">
        <v>6834</v>
      </c>
      <c r="J202" s="2232"/>
      <c r="K202" s="2233" t="s">
        <v>211</v>
      </c>
      <c r="L202" s="2233" t="s">
        <v>211</v>
      </c>
      <c r="M202" s="2233">
        <v>0.82199999999999995</v>
      </c>
      <c r="N202" s="2233">
        <v>0.82199999999999995</v>
      </c>
      <c r="O202" s="2233">
        <v>0.82199999999999995</v>
      </c>
      <c r="P202" s="2233">
        <v>0.82199999999999995</v>
      </c>
      <c r="Q202" s="2232">
        <f>$E202*M202</f>
        <v>0</v>
      </c>
      <c r="R202" s="2232">
        <f t="shared" si="85"/>
        <v>0</v>
      </c>
      <c r="S202" s="2232">
        <f t="shared" si="85"/>
        <v>0</v>
      </c>
      <c r="T202" s="2232">
        <f>$E202*P202</f>
        <v>0</v>
      </c>
      <c r="U202" s="2233">
        <v>0.82199999999999995</v>
      </c>
      <c r="V202" s="2233">
        <v>0.82199999999999995</v>
      </c>
      <c r="W202" s="2233">
        <v>0.82199999999999995</v>
      </c>
      <c r="X202" s="2233">
        <v>0.82199999999999995</v>
      </c>
      <c r="Y202" s="2234">
        <f>$G202*U202</f>
        <v>0</v>
      </c>
      <c r="Z202" s="2234">
        <f t="shared" si="86"/>
        <v>0</v>
      </c>
      <c r="AA202" s="2234">
        <f t="shared" si="86"/>
        <v>0</v>
      </c>
      <c r="AB202" s="2234">
        <f>$G202*X202</f>
        <v>0</v>
      </c>
      <c r="AC202" s="2233">
        <v>0.93899999999999995</v>
      </c>
      <c r="AD202" s="2233">
        <v>0.93899999999999995</v>
      </c>
      <c r="AE202" s="2233">
        <v>0.93899999999999995</v>
      </c>
      <c r="AF202" s="2233">
        <v>0.93899999999999995</v>
      </c>
      <c r="AG202" s="2232">
        <f>$I202*AC202</f>
        <v>6417.1259999999993</v>
      </c>
      <c r="AH202" s="2232">
        <f t="shared" si="87"/>
        <v>6417.1259999999993</v>
      </c>
      <c r="AI202" s="2232">
        <f t="shared" si="87"/>
        <v>6417.1259999999993</v>
      </c>
      <c r="AJ202" s="2232">
        <f>$I202*AF202</f>
        <v>6417.1259999999993</v>
      </c>
      <c r="AK202" s="2235">
        <v>74</v>
      </c>
      <c r="AL202" s="2235">
        <v>63</v>
      </c>
      <c r="AM202" s="2235">
        <v>55</v>
      </c>
      <c r="AN202" s="2235">
        <v>54</v>
      </c>
      <c r="AO202" s="2232">
        <f t="shared" si="88"/>
        <v>0</v>
      </c>
      <c r="AP202" s="2232">
        <f t="shared" si="88"/>
        <v>0</v>
      </c>
      <c r="AQ202" s="2232">
        <f t="shared" si="88"/>
        <v>0</v>
      </c>
      <c r="AR202" s="2232"/>
      <c r="AS202" s="2232">
        <f>AN202*T202</f>
        <v>0</v>
      </c>
      <c r="AT202" s="2232">
        <f t="shared" si="79"/>
        <v>474867.32399999996</v>
      </c>
      <c r="AU202" s="2232">
        <f t="shared" si="79"/>
        <v>404278.93799999997</v>
      </c>
      <c r="AV202" s="2232">
        <f t="shared" si="79"/>
        <v>352941.92999999993</v>
      </c>
      <c r="AW202" s="2232">
        <f t="shared" si="79"/>
        <v>346524.80399999995</v>
      </c>
      <c r="AX202" s="2154"/>
      <c r="AY202" s="2046">
        <v>0</v>
      </c>
      <c r="AZ202" s="2046">
        <v>0</v>
      </c>
      <c r="BA202" s="2046">
        <v>0</v>
      </c>
      <c r="BB202" s="2246">
        <v>17247</v>
      </c>
      <c r="BC202" s="2046">
        <v>17247</v>
      </c>
      <c r="BD202" s="2046">
        <v>18971.7</v>
      </c>
      <c r="BE202" s="2046">
        <v>18971.7</v>
      </c>
      <c r="BF202" s="2236">
        <v>34459</v>
      </c>
      <c r="BG202" s="2029">
        <v>34459</v>
      </c>
      <c r="BH202" s="2029">
        <v>34459</v>
      </c>
      <c r="BI202" s="2029">
        <v>34459</v>
      </c>
      <c r="BJ202" s="2030">
        <f t="shared" si="80"/>
        <v>0</v>
      </c>
      <c r="BK202" s="2030">
        <f t="shared" si="80"/>
        <v>0</v>
      </c>
      <c r="BL202" s="2030">
        <f t="shared" si="80"/>
        <v>0</v>
      </c>
      <c r="BM202" s="2030"/>
      <c r="BN202" s="2030">
        <f>BA202*AN202</f>
        <v>0</v>
      </c>
      <c r="BO202" s="2030">
        <f>BB202*AK202</f>
        <v>1276278</v>
      </c>
      <c r="BP202" s="2030"/>
      <c r="BQ202" s="2030">
        <f t="shared" si="81"/>
        <v>1086561</v>
      </c>
      <c r="BR202" s="2030">
        <f t="shared" si="81"/>
        <v>1043443.5</v>
      </c>
      <c r="BS202" s="2030">
        <f t="shared" si="81"/>
        <v>1024471.8</v>
      </c>
      <c r="BT202" s="2237">
        <v>0</v>
      </c>
      <c r="BU202" s="2237">
        <v>0</v>
      </c>
      <c r="BV202" s="2237">
        <v>0</v>
      </c>
      <c r="BW202" s="2237">
        <v>0</v>
      </c>
      <c r="BX202" s="2238">
        <v>323792.30024548434</v>
      </c>
      <c r="BY202" s="2238">
        <v>317698.38636337966</v>
      </c>
      <c r="BZ202" s="2238">
        <v>317820.23662803322</v>
      </c>
      <c r="CA202" s="2238">
        <v>318249.31904743798</v>
      </c>
      <c r="CB202" s="2239"/>
      <c r="CC202" s="2239"/>
      <c r="CD202" s="2239"/>
      <c r="CE202" s="2239"/>
      <c r="CF202" s="2239"/>
      <c r="CG202" s="2240"/>
      <c r="CH202" s="2241"/>
      <c r="CI202" s="2241"/>
      <c r="CJ202" s="2241"/>
      <c r="CK202" s="2241"/>
      <c r="CL202" s="2241"/>
      <c r="CM202" s="2242"/>
      <c r="CN202" s="2233"/>
      <c r="CO202" s="2241"/>
      <c r="CP202" s="2243">
        <v>0</v>
      </c>
      <c r="CQ202" s="2243"/>
      <c r="CR202" s="2244">
        <v>1</v>
      </c>
      <c r="CS202" s="2244">
        <v>1</v>
      </c>
      <c r="CV202" s="2036"/>
      <c r="CW202" s="2036"/>
      <c r="CX202" s="2036"/>
      <c r="CY202" s="2049"/>
      <c r="CZ202" s="2049"/>
      <c r="DA202" s="2049"/>
      <c r="DB202" s="2245">
        <v>0</v>
      </c>
      <c r="DD202" s="2287">
        <f t="shared" si="82"/>
        <v>0</v>
      </c>
      <c r="DE202" s="2287">
        <f t="shared" si="82"/>
        <v>0</v>
      </c>
      <c r="DF202" s="2287">
        <f t="shared" si="82"/>
        <v>0</v>
      </c>
      <c r="DG202" s="2287">
        <f t="shared" si="82"/>
        <v>0</v>
      </c>
      <c r="DH202" s="2287">
        <f t="shared" si="83"/>
        <v>0</v>
      </c>
      <c r="DI202" s="2287">
        <f t="shared" si="83"/>
        <v>0</v>
      </c>
      <c r="DJ202" s="2287">
        <f t="shared" si="83"/>
        <v>0</v>
      </c>
      <c r="DK202" s="2287">
        <f t="shared" si="83"/>
        <v>0</v>
      </c>
      <c r="DL202" s="2287">
        <f t="shared" si="84"/>
        <v>505716</v>
      </c>
      <c r="DM202" s="2287">
        <f t="shared" si="84"/>
        <v>430542</v>
      </c>
      <c r="DN202" s="2287">
        <f t="shared" si="84"/>
        <v>375870</v>
      </c>
      <c r="DO202" s="2287">
        <f t="shared" si="84"/>
        <v>369036</v>
      </c>
    </row>
    <row r="203" spans="1:119" s="2245" customFormat="1" x14ac:dyDescent="0.25">
      <c r="A203" s="2228" t="s">
        <v>2979</v>
      </c>
      <c r="B203" s="2229" t="s">
        <v>820</v>
      </c>
      <c r="C203" s="2230">
        <v>13</v>
      </c>
      <c r="D203" s="2230"/>
      <c r="E203" s="2230">
        <v>0</v>
      </c>
      <c r="F203" s="2230"/>
      <c r="G203" s="2230">
        <v>0</v>
      </c>
      <c r="H203" s="2230"/>
      <c r="I203" s="2230">
        <v>6834</v>
      </c>
      <c r="J203" s="2232"/>
      <c r="K203" s="2233" t="s">
        <v>211</v>
      </c>
      <c r="L203" s="2233" t="s">
        <v>211</v>
      </c>
      <c r="M203" s="2233">
        <v>0.82199999999999995</v>
      </c>
      <c r="N203" s="2233">
        <v>0.82199999999999995</v>
      </c>
      <c r="O203" s="2233">
        <v>0.82199999999999995</v>
      </c>
      <c r="P203" s="2233">
        <v>0.82199999999999995</v>
      </c>
      <c r="Q203" s="2232">
        <f>$E203*M203</f>
        <v>0</v>
      </c>
      <c r="R203" s="2232">
        <f t="shared" si="85"/>
        <v>0</v>
      </c>
      <c r="S203" s="2232">
        <f t="shared" si="85"/>
        <v>0</v>
      </c>
      <c r="T203" s="2232">
        <f>$E203*P203</f>
        <v>0</v>
      </c>
      <c r="U203" s="2233">
        <v>0.82199999999999995</v>
      </c>
      <c r="V203" s="2233">
        <v>0.82199999999999995</v>
      </c>
      <c r="W203" s="2233">
        <v>0.82199999999999995</v>
      </c>
      <c r="X203" s="2233">
        <v>0.82199999999999995</v>
      </c>
      <c r="Y203" s="2234">
        <f>$G203*U203</f>
        <v>0</v>
      </c>
      <c r="Z203" s="2234">
        <f t="shared" si="86"/>
        <v>0</v>
      </c>
      <c r="AA203" s="2234">
        <f t="shared" si="86"/>
        <v>0</v>
      </c>
      <c r="AB203" s="2234">
        <f>$G203*X203</f>
        <v>0</v>
      </c>
      <c r="AC203" s="2233">
        <v>0.93899999999999995</v>
      </c>
      <c r="AD203" s="2233">
        <v>0.93899999999999995</v>
      </c>
      <c r="AE203" s="2233">
        <v>0.93899999999999995</v>
      </c>
      <c r="AF203" s="2233">
        <v>0.93899999999999995</v>
      </c>
      <c r="AG203" s="2232">
        <f>$I203*AC203</f>
        <v>6417.1259999999993</v>
      </c>
      <c r="AH203" s="2232">
        <f t="shared" si="87"/>
        <v>6417.1259999999993</v>
      </c>
      <c r="AI203" s="2232">
        <f t="shared" si="87"/>
        <v>6417.1259999999993</v>
      </c>
      <c r="AJ203" s="2232">
        <f>$I203*AF203</f>
        <v>6417.1259999999993</v>
      </c>
      <c r="AK203" s="2235">
        <v>15</v>
      </c>
      <c r="AL203" s="2235">
        <v>15</v>
      </c>
      <c r="AM203" s="2235">
        <v>14</v>
      </c>
      <c r="AN203" s="2235">
        <v>14</v>
      </c>
      <c r="AO203" s="2232">
        <f t="shared" si="88"/>
        <v>0</v>
      </c>
      <c r="AP203" s="2232">
        <f t="shared" si="88"/>
        <v>0</v>
      </c>
      <c r="AQ203" s="2232">
        <f t="shared" si="88"/>
        <v>0</v>
      </c>
      <c r="AR203" s="2232"/>
      <c r="AS203" s="2232">
        <f>AN203*T203</f>
        <v>0</v>
      </c>
      <c r="AT203" s="2232">
        <f t="shared" si="79"/>
        <v>96256.889999999985</v>
      </c>
      <c r="AU203" s="2232">
        <f t="shared" si="79"/>
        <v>96256.889999999985</v>
      </c>
      <c r="AV203" s="2232">
        <f t="shared" si="79"/>
        <v>89839.763999999996</v>
      </c>
      <c r="AW203" s="2232">
        <f t="shared" si="79"/>
        <v>89839.763999999996</v>
      </c>
      <c r="AX203" s="2154"/>
      <c r="AY203" s="2046">
        <v>0</v>
      </c>
      <c r="AZ203" s="2046">
        <v>0</v>
      </c>
      <c r="BA203" s="2046">
        <v>0</v>
      </c>
      <c r="BB203" s="2154">
        <v>28457.55</v>
      </c>
      <c r="BC203" s="2046">
        <v>28457.55</v>
      </c>
      <c r="BD203" s="2046">
        <v>28457.55</v>
      </c>
      <c r="BE203" s="2046">
        <v>28457.55</v>
      </c>
      <c r="BF203" s="2236">
        <v>34459</v>
      </c>
      <c r="BG203" s="2029">
        <v>34459</v>
      </c>
      <c r="BH203" s="2029">
        <v>34459</v>
      </c>
      <c r="BI203" s="2029">
        <v>34459</v>
      </c>
      <c r="BJ203" s="2030">
        <f t="shared" si="80"/>
        <v>0</v>
      </c>
      <c r="BK203" s="2030">
        <f t="shared" si="80"/>
        <v>0</v>
      </c>
      <c r="BL203" s="2030">
        <f t="shared" si="80"/>
        <v>0</v>
      </c>
      <c r="BM203" s="2030"/>
      <c r="BN203" s="2030">
        <f>BA203*AN203</f>
        <v>0</v>
      </c>
      <c r="BO203" s="2030">
        <f>BB203*AK203</f>
        <v>426863.25</v>
      </c>
      <c r="BP203" s="2030"/>
      <c r="BQ203" s="2030">
        <f t="shared" si="81"/>
        <v>426863.25</v>
      </c>
      <c r="BR203" s="2030">
        <f t="shared" si="81"/>
        <v>398405.7</v>
      </c>
      <c r="BS203" s="2030">
        <f t="shared" si="81"/>
        <v>398405.7</v>
      </c>
      <c r="BT203" s="2237">
        <v>0</v>
      </c>
      <c r="BU203" s="2237">
        <v>0</v>
      </c>
      <c r="BV203" s="2237">
        <v>0</v>
      </c>
      <c r="BW203" s="2237">
        <v>0</v>
      </c>
      <c r="BX203" s="2238">
        <v>79661.251970388577</v>
      </c>
      <c r="BY203" s="2238">
        <v>81995.031114082318</v>
      </c>
      <c r="BZ203" s="2238">
        <v>79978.529624279705</v>
      </c>
      <c r="CA203" s="2238">
        <v>78690.333119817311</v>
      </c>
      <c r="CB203" s="2239"/>
      <c r="CC203" s="2239"/>
      <c r="CD203" s="2239"/>
      <c r="CE203" s="2239"/>
      <c r="CF203" s="2239"/>
      <c r="CG203" s="2240"/>
      <c r="CH203" s="2241"/>
      <c r="CI203" s="2241"/>
      <c r="CJ203" s="2241"/>
      <c r="CK203" s="2241"/>
      <c r="CL203" s="2241"/>
      <c r="CM203" s="2242"/>
      <c r="CN203" s="2233"/>
      <c r="CO203" s="2241"/>
      <c r="CP203" s="2243">
        <v>0</v>
      </c>
      <c r="CQ203" s="2243"/>
      <c r="CR203" s="2244">
        <v>1</v>
      </c>
      <c r="CS203" s="2244">
        <v>1</v>
      </c>
      <c r="CV203" s="2036"/>
      <c r="CW203" s="2036"/>
      <c r="CX203" s="2036"/>
      <c r="CY203" s="2049"/>
      <c r="CZ203" s="2049"/>
      <c r="DA203" s="2049"/>
      <c r="DB203" s="2245">
        <v>1</v>
      </c>
      <c r="DD203" s="2287">
        <f t="shared" si="82"/>
        <v>0</v>
      </c>
      <c r="DE203" s="2287">
        <f t="shared" si="82"/>
        <v>0</v>
      </c>
      <c r="DF203" s="2287">
        <f t="shared" si="82"/>
        <v>0</v>
      </c>
      <c r="DG203" s="2287">
        <f t="shared" si="82"/>
        <v>0</v>
      </c>
      <c r="DH203" s="2287">
        <f t="shared" si="83"/>
        <v>0</v>
      </c>
      <c r="DI203" s="2287">
        <f t="shared" si="83"/>
        <v>0</v>
      </c>
      <c r="DJ203" s="2287">
        <f t="shared" si="83"/>
        <v>0</v>
      </c>
      <c r="DK203" s="2287">
        <f t="shared" si="83"/>
        <v>0</v>
      </c>
      <c r="DL203" s="2287">
        <f t="shared" si="84"/>
        <v>102510</v>
      </c>
      <c r="DM203" s="2287">
        <f t="shared" si="84"/>
        <v>102510</v>
      </c>
      <c r="DN203" s="2287">
        <f t="shared" si="84"/>
        <v>95676</v>
      </c>
      <c r="DO203" s="2287">
        <f t="shared" si="84"/>
        <v>95676</v>
      </c>
    </row>
    <row r="204" spans="1:119" x14ac:dyDescent="0.25">
      <c r="A204" s="2183" t="s">
        <v>2980</v>
      </c>
      <c r="B204" s="2012"/>
      <c r="C204" s="2013"/>
      <c r="D204" s="2013"/>
      <c r="E204" s="2013"/>
      <c r="F204" s="2013"/>
      <c r="G204" s="2014"/>
      <c r="H204" s="2014"/>
      <c r="I204" s="2013"/>
      <c r="J204" s="2016"/>
      <c r="K204" s="2015"/>
      <c r="L204" s="2015"/>
      <c r="M204" s="2015"/>
      <c r="N204" s="2015"/>
      <c r="O204" s="2015"/>
      <c r="P204" s="2015"/>
      <c r="Q204" s="2016"/>
      <c r="R204" s="2016"/>
      <c r="S204" s="2016"/>
      <c r="T204" s="2016"/>
      <c r="U204" s="2015"/>
      <c r="V204" s="2015"/>
      <c r="W204" s="2015"/>
      <c r="X204" s="2015"/>
      <c r="Y204" s="2016"/>
      <c r="Z204" s="2016"/>
      <c r="AA204" s="2016"/>
      <c r="AB204" s="2016"/>
      <c r="AC204" s="2015"/>
      <c r="AD204" s="2015"/>
      <c r="AE204" s="2015"/>
      <c r="AF204" s="2015"/>
      <c r="AG204" s="2016"/>
      <c r="AH204" s="2016"/>
      <c r="AI204" s="2016"/>
      <c r="AJ204" s="2016"/>
      <c r="AK204" s="2227">
        <v>1.4</v>
      </c>
      <c r="AL204" s="2227">
        <v>1.4</v>
      </c>
      <c r="AM204" s="2227">
        <v>1.4</v>
      </c>
      <c r="AN204" s="2227">
        <v>1.4</v>
      </c>
      <c r="AO204" s="2072">
        <f t="shared" ref="AO204:BS204" si="89">SUM(AO205:AO208)</f>
        <v>10639303.664000001</v>
      </c>
      <c r="AP204" s="2072">
        <f t="shared" si="89"/>
        <v>10896706.172000002</v>
      </c>
      <c r="AQ204" s="2072">
        <f t="shared" si="89"/>
        <v>10982507.008000001</v>
      </c>
      <c r="AR204" s="2072"/>
      <c r="AS204" s="2072">
        <f t="shared" si="89"/>
        <v>10768004.918000001</v>
      </c>
      <c r="AT204" s="2072">
        <f t="shared" si="89"/>
        <v>365143</v>
      </c>
      <c r="AU204" s="2072">
        <f t="shared" si="89"/>
        <v>321325.84000000008</v>
      </c>
      <c r="AV204" s="2072">
        <f>SUM(AV205:AV208)</f>
        <v>324246.98400000005</v>
      </c>
      <c r="AW204" s="2073">
        <f t="shared" si="89"/>
        <v>324246.98400000005</v>
      </c>
      <c r="AX204" s="2073"/>
      <c r="AY204" s="2073"/>
      <c r="AZ204" s="2073"/>
      <c r="BA204" s="2073"/>
      <c r="BB204" s="2073"/>
      <c r="BC204" s="2073"/>
      <c r="BD204" s="2073"/>
      <c r="BE204" s="2073"/>
      <c r="BF204" s="2073"/>
      <c r="BG204" s="2073"/>
      <c r="BH204" s="2073"/>
      <c r="BI204" s="2073"/>
      <c r="BJ204" s="2074">
        <f t="shared" si="89"/>
        <v>1127154.196</v>
      </c>
      <c r="BK204" s="2074">
        <f t="shared" si="89"/>
        <v>1115045.8984000001</v>
      </c>
      <c r="BL204" s="2074">
        <f t="shared" si="89"/>
        <v>1141793.0874000001</v>
      </c>
      <c r="BM204" s="2074"/>
      <c r="BN204" s="2074">
        <f t="shared" si="89"/>
        <v>1077891.0379999999</v>
      </c>
      <c r="BO204" s="2075">
        <f t="shared" si="89"/>
        <v>581750.57499999995</v>
      </c>
      <c r="BP204" s="2075"/>
      <c r="BQ204" s="2075">
        <f t="shared" si="89"/>
        <v>533530.5639999999</v>
      </c>
      <c r="BR204" s="2075">
        <f t="shared" si="89"/>
        <v>531583.38659999997</v>
      </c>
      <c r="BS204" s="2075">
        <f t="shared" si="89"/>
        <v>551401.03199999989</v>
      </c>
      <c r="BT204" s="2075">
        <v>1169629.6404100605</v>
      </c>
      <c r="BU204" s="2075">
        <v>1163805.4418294812</v>
      </c>
      <c r="BV204" s="2075">
        <v>1167070.9899256774</v>
      </c>
      <c r="BW204" s="2075">
        <v>1166878.2630747817</v>
      </c>
      <c r="BX204" s="2075">
        <v>190482.54294298156</v>
      </c>
      <c r="BY204" s="2075">
        <v>190362.90887187578</v>
      </c>
      <c r="BZ204" s="2075">
        <v>185034.94842671027</v>
      </c>
      <c r="CA204" s="2075">
        <v>183587.76009624408</v>
      </c>
      <c r="CB204" s="2075"/>
      <c r="CC204" s="2075"/>
      <c r="CD204" s="2075"/>
      <c r="CE204" s="2075"/>
      <c r="CF204" s="2075"/>
      <c r="CG204" s="2075"/>
      <c r="CH204" s="1974"/>
      <c r="CI204" s="1974"/>
      <c r="CJ204" s="1974"/>
      <c r="CK204" s="1974"/>
      <c r="CL204" s="1974"/>
      <c r="CM204" s="2033"/>
      <c r="CN204" s="2026"/>
      <c r="CO204" s="1974"/>
      <c r="CP204" s="2243">
        <v>0</v>
      </c>
      <c r="CQ204" s="2243"/>
      <c r="CR204" s="2062">
        <v>1</v>
      </c>
      <c r="CS204" s="2062">
        <v>1</v>
      </c>
      <c r="CV204" s="2082"/>
      <c r="CW204" s="2082"/>
      <c r="CX204" s="2082"/>
      <c r="CY204" s="2082"/>
      <c r="CZ204" s="2082"/>
      <c r="DA204" s="2082"/>
    </row>
    <row r="205" spans="1:119" s="2245" customFormat="1" x14ac:dyDescent="0.25">
      <c r="A205" s="2228" t="s">
        <v>269</v>
      </c>
      <c r="B205" s="2229" t="s">
        <v>820</v>
      </c>
      <c r="C205" s="2230">
        <v>5</v>
      </c>
      <c r="D205" s="2230"/>
      <c r="E205" s="2230">
        <v>469370</v>
      </c>
      <c r="F205" s="2230"/>
      <c r="G205" s="2230">
        <v>40.952999999999996</v>
      </c>
      <c r="H205" s="2230"/>
      <c r="I205" s="2230">
        <v>0</v>
      </c>
      <c r="J205" s="2232"/>
      <c r="K205" s="2233" t="s">
        <v>2981</v>
      </c>
      <c r="L205" s="2233" t="s">
        <v>2981</v>
      </c>
      <c r="M205" s="2233">
        <v>0.91400000000000003</v>
      </c>
      <c r="N205" s="2233">
        <v>0.91400000000000003</v>
      </c>
      <c r="O205" s="2233">
        <v>0.91400000000000003</v>
      </c>
      <c r="P205" s="2233">
        <v>0.91400000000000003</v>
      </c>
      <c r="Q205" s="2232">
        <f t="shared" ref="Q205:S208" si="90">$E205*M205</f>
        <v>429004.18</v>
      </c>
      <c r="R205" s="2232">
        <f t="shared" si="90"/>
        <v>429004.18</v>
      </c>
      <c r="S205" s="2232">
        <f t="shared" si="90"/>
        <v>429004.18</v>
      </c>
      <c r="T205" s="2232">
        <f>$E205*P205</f>
        <v>429004.18</v>
      </c>
      <c r="U205" s="2233">
        <v>0.91400000000000003</v>
      </c>
      <c r="V205" s="2233">
        <v>0.91400000000000003</v>
      </c>
      <c r="W205" s="2233">
        <v>0.91400000000000003</v>
      </c>
      <c r="X205" s="2233">
        <v>0.91400000000000003</v>
      </c>
      <c r="Y205" s="2234">
        <f t="shared" ref="Y205:AA208" si="91">$G205*U205</f>
        <v>37.431041999999998</v>
      </c>
      <c r="Z205" s="2234">
        <f t="shared" si="91"/>
        <v>37.431041999999998</v>
      </c>
      <c r="AA205" s="2234">
        <f t="shared" si="91"/>
        <v>37.431041999999998</v>
      </c>
      <c r="AB205" s="2234">
        <f>$G205*X205</f>
        <v>37.431041999999998</v>
      </c>
      <c r="AC205" s="2233">
        <v>0.91400000000000003</v>
      </c>
      <c r="AD205" s="2233">
        <v>0.91400000000000003</v>
      </c>
      <c r="AE205" s="2233">
        <v>0.91400000000000003</v>
      </c>
      <c r="AF205" s="2233">
        <v>0.91400000000000003</v>
      </c>
      <c r="AG205" s="2232">
        <v>0</v>
      </c>
      <c r="AH205" s="2232">
        <f t="shared" ref="AH205:AJ208" si="92">$I205*AD205</f>
        <v>0</v>
      </c>
      <c r="AI205" s="2232">
        <f t="shared" si="92"/>
        <v>0</v>
      </c>
      <c r="AJ205" s="2232">
        <f t="shared" si="92"/>
        <v>0</v>
      </c>
      <c r="AK205" s="2235">
        <v>23.6</v>
      </c>
      <c r="AL205" s="2235">
        <v>24.200000000000003</v>
      </c>
      <c r="AM205" s="2235">
        <v>24.3</v>
      </c>
      <c r="AN205" s="2235">
        <v>23.900000000000002</v>
      </c>
      <c r="AO205" s="2232">
        <f t="shared" ref="AO205:AQ208" si="93">AK205*Q205</f>
        <v>10124498.648</v>
      </c>
      <c r="AP205" s="2232">
        <f t="shared" si="93"/>
        <v>10381901.156000001</v>
      </c>
      <c r="AQ205" s="2232">
        <f t="shared" si="93"/>
        <v>10424801.574000001</v>
      </c>
      <c r="AR205" s="2232"/>
      <c r="AS205" s="2232">
        <f>AN205*T205</f>
        <v>10253199.902000001</v>
      </c>
      <c r="AT205" s="2232">
        <f t="shared" ref="AT205:AW208" si="94">AK205*AG205</f>
        <v>0</v>
      </c>
      <c r="AU205" s="2232">
        <f t="shared" si="94"/>
        <v>0</v>
      </c>
      <c r="AV205" s="2232">
        <f t="shared" si="94"/>
        <v>0</v>
      </c>
      <c r="AW205" s="2232">
        <f t="shared" si="94"/>
        <v>0</v>
      </c>
      <c r="AX205" s="2154">
        <v>42486.92</v>
      </c>
      <c r="AY205" s="2154">
        <v>41170.555999999997</v>
      </c>
      <c r="AZ205" s="2154">
        <v>41609.343999999997</v>
      </c>
      <c r="BA205" s="2154">
        <v>40292.979999999996</v>
      </c>
      <c r="BB205" s="2154">
        <v>0</v>
      </c>
      <c r="BC205" s="2046">
        <v>0</v>
      </c>
      <c r="BD205" s="2046">
        <v>0</v>
      </c>
      <c r="BE205" s="2046">
        <v>0</v>
      </c>
      <c r="BF205" s="2154">
        <v>29080</v>
      </c>
      <c r="BG205" s="2046">
        <v>29080</v>
      </c>
      <c r="BH205" s="2046">
        <v>29080</v>
      </c>
      <c r="BI205" s="2046">
        <v>29080</v>
      </c>
      <c r="BJ205" s="2030">
        <f t="shared" ref="BJ205:BL208" si="95">AX205*AK205</f>
        <v>1002691.312</v>
      </c>
      <c r="BK205" s="2030">
        <f t="shared" si="95"/>
        <v>996327.45520000008</v>
      </c>
      <c r="BL205" s="2030">
        <f t="shared" si="95"/>
        <v>1011107.0592</v>
      </c>
      <c r="BM205" s="2030"/>
      <c r="BN205" s="2030">
        <f>BA205*AN205</f>
        <v>963002.22199999995</v>
      </c>
      <c r="BO205" s="2030">
        <f>BB205*AK205</f>
        <v>0</v>
      </c>
      <c r="BP205" s="2030"/>
      <c r="BQ205" s="2030">
        <f t="shared" ref="BQ205:BS208" si="96">BC205*AL205</f>
        <v>0</v>
      </c>
      <c r="BR205" s="2030">
        <f t="shared" si="96"/>
        <v>0</v>
      </c>
      <c r="BS205" s="2030">
        <f t="shared" si="96"/>
        <v>0</v>
      </c>
      <c r="BT205" s="2247">
        <v>1016328.4738111171</v>
      </c>
      <c r="BU205" s="2247">
        <v>1004196.3803507914</v>
      </c>
      <c r="BV205" s="2247">
        <v>994038.08688882191</v>
      </c>
      <c r="BW205" s="2247">
        <v>999534.66263354302</v>
      </c>
      <c r="BX205" s="2248">
        <v>0</v>
      </c>
      <c r="BY205" s="2249">
        <v>0</v>
      </c>
      <c r="BZ205" s="2249">
        <v>0</v>
      </c>
      <c r="CA205" s="2249">
        <v>0</v>
      </c>
      <c r="CB205" s="2239"/>
      <c r="CC205" s="2239"/>
      <c r="CD205" s="2239"/>
      <c r="CE205" s="2239"/>
      <c r="CF205" s="2239"/>
      <c r="CG205" s="2240"/>
      <c r="CH205" s="2241"/>
      <c r="CI205" s="2241"/>
      <c r="CJ205" s="2241"/>
      <c r="CK205" s="2241"/>
      <c r="CL205" s="2241"/>
      <c r="CM205" s="2242"/>
      <c r="CN205" s="2233"/>
      <c r="CO205" s="2241"/>
      <c r="CP205" s="2243">
        <v>0</v>
      </c>
      <c r="CQ205" s="2243"/>
      <c r="CR205" s="2244">
        <v>1</v>
      </c>
      <c r="CS205" s="2244">
        <v>1</v>
      </c>
      <c r="CV205" s="2036"/>
      <c r="CW205" s="2036"/>
      <c r="CX205" s="2036"/>
      <c r="CY205" s="2049"/>
      <c r="CZ205" s="2049"/>
      <c r="DA205" s="2049"/>
    </row>
    <row r="206" spans="1:119" s="2245" customFormat="1" x14ac:dyDescent="0.25">
      <c r="A206" s="2228" t="s">
        <v>2982</v>
      </c>
      <c r="B206" s="2229" t="s">
        <v>820</v>
      </c>
      <c r="C206" s="2230">
        <v>5</v>
      </c>
      <c r="D206" s="2230"/>
      <c r="E206" s="2230">
        <v>469370</v>
      </c>
      <c r="F206" s="2230"/>
      <c r="G206" s="2230">
        <v>40.952999999999996</v>
      </c>
      <c r="H206" s="2230"/>
      <c r="I206" s="2230">
        <v>0</v>
      </c>
      <c r="J206" s="2232"/>
      <c r="K206" s="2230" t="str">
        <f t="shared" ref="K206:L206" si="97">K205</f>
        <v>RCx</v>
      </c>
      <c r="L206" s="2230" t="str">
        <f t="shared" si="97"/>
        <v>RCx</v>
      </c>
      <c r="M206" s="2233">
        <v>0.91400000000000003</v>
      </c>
      <c r="N206" s="2233">
        <v>0.91400000000000003</v>
      </c>
      <c r="O206" s="2233">
        <v>0.91400000000000003</v>
      </c>
      <c r="P206" s="2233">
        <v>0.91400000000000003</v>
      </c>
      <c r="Q206" s="2232">
        <f t="shared" si="90"/>
        <v>429004.18</v>
      </c>
      <c r="R206" s="2232">
        <f t="shared" si="90"/>
        <v>429004.18</v>
      </c>
      <c r="S206" s="2232">
        <f t="shared" si="90"/>
        <v>429004.18</v>
      </c>
      <c r="T206" s="2232">
        <f>$E206*P206</f>
        <v>429004.18</v>
      </c>
      <c r="U206" s="2233">
        <v>0.91400000000000003</v>
      </c>
      <c r="V206" s="2233">
        <v>0.91400000000000003</v>
      </c>
      <c r="W206" s="2233">
        <v>0.91400000000000003</v>
      </c>
      <c r="X206" s="2233">
        <v>0.91400000000000003</v>
      </c>
      <c r="Y206" s="2234">
        <f t="shared" si="91"/>
        <v>37.431041999999998</v>
      </c>
      <c r="Z206" s="2234">
        <f t="shared" si="91"/>
        <v>37.431041999999998</v>
      </c>
      <c r="AA206" s="2234">
        <f t="shared" si="91"/>
        <v>37.431041999999998</v>
      </c>
      <c r="AB206" s="2234">
        <f>$G206*X206</f>
        <v>37.431041999999998</v>
      </c>
      <c r="AC206" s="2233">
        <v>0.91400000000000003</v>
      </c>
      <c r="AD206" s="2233">
        <v>0.91400000000000003</v>
      </c>
      <c r="AE206" s="2233">
        <v>0.91400000000000003</v>
      </c>
      <c r="AF206" s="2233">
        <v>0.91400000000000003</v>
      </c>
      <c r="AG206" s="2232">
        <v>0</v>
      </c>
      <c r="AH206" s="2232">
        <f t="shared" si="92"/>
        <v>0</v>
      </c>
      <c r="AI206" s="2232">
        <f t="shared" si="92"/>
        <v>0</v>
      </c>
      <c r="AJ206" s="2232">
        <f t="shared" si="92"/>
        <v>0</v>
      </c>
      <c r="AK206" s="2235">
        <v>1.2000000000000002</v>
      </c>
      <c r="AL206" s="2235">
        <v>1.2000000000000002</v>
      </c>
      <c r="AM206" s="2235">
        <v>1.3</v>
      </c>
      <c r="AN206" s="2235">
        <v>1.2000000000000002</v>
      </c>
      <c r="AO206" s="2232">
        <f t="shared" si="93"/>
        <v>514805.01600000006</v>
      </c>
      <c r="AP206" s="2232">
        <f t="shared" si="93"/>
        <v>514805.01600000006</v>
      </c>
      <c r="AQ206" s="2232">
        <f t="shared" si="93"/>
        <v>557705.43400000001</v>
      </c>
      <c r="AR206" s="2232"/>
      <c r="AS206" s="2232">
        <f>AN206*T206</f>
        <v>514805.01600000006</v>
      </c>
      <c r="AT206" s="2232">
        <f t="shared" si="94"/>
        <v>0</v>
      </c>
      <c r="AU206" s="2232">
        <f t="shared" si="94"/>
        <v>0</v>
      </c>
      <c r="AV206" s="2232">
        <f t="shared" si="94"/>
        <v>0</v>
      </c>
      <c r="AW206" s="2232">
        <f t="shared" si="94"/>
        <v>0</v>
      </c>
      <c r="AX206" s="2154">
        <v>103719.06999999999</v>
      </c>
      <c r="AY206" s="2154">
        <v>98932.035999999993</v>
      </c>
      <c r="AZ206" s="2154">
        <v>100527.71399999999</v>
      </c>
      <c r="BA206" s="2154">
        <v>95740.68</v>
      </c>
      <c r="BB206" s="2154">
        <v>0</v>
      </c>
      <c r="BC206" s="2046">
        <v>0</v>
      </c>
      <c r="BD206" s="2046">
        <v>0</v>
      </c>
      <c r="BE206" s="2046">
        <v>0</v>
      </c>
      <c r="BF206" s="2154">
        <v>29080</v>
      </c>
      <c r="BG206" s="2046">
        <v>29080</v>
      </c>
      <c r="BH206" s="2046">
        <v>29080</v>
      </c>
      <c r="BI206" s="2046">
        <v>29080</v>
      </c>
      <c r="BJ206" s="2030">
        <f t="shared" si="95"/>
        <v>124462.88400000001</v>
      </c>
      <c r="BK206" s="2030">
        <f t="shared" si="95"/>
        <v>118718.44320000001</v>
      </c>
      <c r="BL206" s="2030">
        <f t="shared" si="95"/>
        <v>130686.0282</v>
      </c>
      <c r="BM206" s="2030"/>
      <c r="BN206" s="2030">
        <f>BA206*AN206</f>
        <v>114888.81600000001</v>
      </c>
      <c r="BO206" s="2030">
        <f>BB206*AK206</f>
        <v>0</v>
      </c>
      <c r="BP206" s="2030"/>
      <c r="BQ206" s="2030">
        <f t="shared" si="96"/>
        <v>0</v>
      </c>
      <c r="BR206" s="2030">
        <f t="shared" si="96"/>
        <v>0</v>
      </c>
      <c r="BS206" s="2030">
        <f t="shared" si="96"/>
        <v>0</v>
      </c>
      <c r="BT206" s="2247">
        <v>104134.49844161257</v>
      </c>
      <c r="BU206" s="2247">
        <v>102798.25672317618</v>
      </c>
      <c r="BV206" s="2247">
        <v>107845.70890058202</v>
      </c>
      <c r="BW206" s="2247">
        <v>102503.81652932585</v>
      </c>
      <c r="BX206" s="2248">
        <v>0</v>
      </c>
      <c r="BY206" s="2249">
        <v>0</v>
      </c>
      <c r="BZ206" s="2249">
        <v>0</v>
      </c>
      <c r="CA206" s="2249">
        <v>0</v>
      </c>
      <c r="CB206" s="2239"/>
      <c r="CC206" s="2239"/>
      <c r="CD206" s="2239"/>
      <c r="CE206" s="2239"/>
      <c r="CF206" s="2239"/>
      <c r="CG206" s="2240"/>
      <c r="CH206" s="2241"/>
      <c r="CI206" s="2241"/>
      <c r="CJ206" s="2241"/>
      <c r="CK206" s="2241"/>
      <c r="CL206" s="2241"/>
      <c r="CM206" s="2242"/>
      <c r="CN206" s="2233"/>
      <c r="CO206" s="2241"/>
      <c r="CP206" s="2243">
        <v>0</v>
      </c>
      <c r="CQ206" s="2243"/>
      <c r="CR206" s="2244">
        <v>1</v>
      </c>
      <c r="CS206" s="2244">
        <v>1</v>
      </c>
      <c r="CV206" s="2036"/>
      <c r="CW206" s="2036"/>
      <c r="CX206" s="2036"/>
      <c r="CY206" s="2049"/>
      <c r="CZ206" s="2049"/>
      <c r="DA206" s="2049"/>
    </row>
    <row r="207" spans="1:119" s="2245" customFormat="1" x14ac:dyDescent="0.25">
      <c r="A207" s="2228" t="s">
        <v>270</v>
      </c>
      <c r="B207" s="2229" t="s">
        <v>820</v>
      </c>
      <c r="C207" s="2230">
        <v>5</v>
      </c>
      <c r="D207" s="2230"/>
      <c r="E207" s="2230">
        <v>0</v>
      </c>
      <c r="F207" s="2230"/>
      <c r="G207" s="2230">
        <v>0</v>
      </c>
      <c r="H207" s="2230"/>
      <c r="I207" s="2230">
        <v>31960</v>
      </c>
      <c r="J207" s="2232"/>
      <c r="K207" s="2230" t="str">
        <f t="shared" ref="K207:L207" si="98">K208</f>
        <v>RCx</v>
      </c>
      <c r="L207" s="2230" t="str">
        <f t="shared" si="98"/>
        <v>RCx</v>
      </c>
      <c r="M207" s="2233">
        <v>0.91400000000000003</v>
      </c>
      <c r="N207" s="2233">
        <v>0.91400000000000003</v>
      </c>
      <c r="O207" s="2233">
        <v>0.91400000000000003</v>
      </c>
      <c r="P207" s="2233">
        <v>0.91400000000000003</v>
      </c>
      <c r="Q207" s="2232">
        <f t="shared" si="90"/>
        <v>0</v>
      </c>
      <c r="R207" s="2232">
        <f t="shared" si="90"/>
        <v>0</v>
      </c>
      <c r="S207" s="2232">
        <f t="shared" si="90"/>
        <v>0</v>
      </c>
      <c r="T207" s="2232">
        <f>$E207*P207</f>
        <v>0</v>
      </c>
      <c r="U207" s="2233">
        <v>0.91400000000000003</v>
      </c>
      <c r="V207" s="2233">
        <v>0.91400000000000003</v>
      </c>
      <c r="W207" s="2233">
        <v>0.91400000000000003</v>
      </c>
      <c r="X207" s="2233">
        <v>0.91400000000000003</v>
      </c>
      <c r="Y207" s="2234">
        <f t="shared" si="91"/>
        <v>0</v>
      </c>
      <c r="Z207" s="2234">
        <f t="shared" si="91"/>
        <v>0</v>
      </c>
      <c r="AA207" s="2234">
        <f t="shared" si="91"/>
        <v>0</v>
      </c>
      <c r="AB207" s="2234">
        <f>$G207*X207</f>
        <v>0</v>
      </c>
      <c r="AC207" s="2233">
        <v>0.91400000000000003</v>
      </c>
      <c r="AD207" s="2233">
        <v>0.91400000000000003</v>
      </c>
      <c r="AE207" s="2233">
        <v>0.91400000000000003</v>
      </c>
      <c r="AF207" s="2233">
        <v>0.91400000000000003</v>
      </c>
      <c r="AG207" s="2232">
        <f>$I207*AC207</f>
        <v>29211.440000000002</v>
      </c>
      <c r="AH207" s="2232">
        <f t="shared" si="92"/>
        <v>29211.440000000002</v>
      </c>
      <c r="AI207" s="2232">
        <f t="shared" si="92"/>
        <v>29211.440000000002</v>
      </c>
      <c r="AJ207" s="2232">
        <f t="shared" si="92"/>
        <v>29211.440000000002</v>
      </c>
      <c r="AK207" s="2235">
        <v>11</v>
      </c>
      <c r="AL207" s="2235">
        <v>9.5</v>
      </c>
      <c r="AM207" s="2235">
        <v>9.6</v>
      </c>
      <c r="AN207" s="2235">
        <v>9.6</v>
      </c>
      <c r="AO207" s="2232">
        <f t="shared" si="93"/>
        <v>0</v>
      </c>
      <c r="AP207" s="2232">
        <f t="shared" si="93"/>
        <v>0</v>
      </c>
      <c r="AQ207" s="2232">
        <f t="shared" si="93"/>
        <v>0</v>
      </c>
      <c r="AR207" s="2232"/>
      <c r="AS207" s="2232">
        <f>AN207*T207</f>
        <v>0</v>
      </c>
      <c r="AT207" s="2232">
        <f t="shared" si="94"/>
        <v>321325.84000000003</v>
      </c>
      <c r="AU207" s="2232">
        <f t="shared" si="94"/>
        <v>277508.68000000005</v>
      </c>
      <c r="AV207" s="2232">
        <f t="shared" si="94"/>
        <v>280429.82400000002</v>
      </c>
      <c r="AW207" s="2232">
        <f t="shared" si="94"/>
        <v>280429.82400000002</v>
      </c>
      <c r="AX207" s="2154">
        <v>0</v>
      </c>
      <c r="AY207" s="2046">
        <v>0</v>
      </c>
      <c r="AZ207" s="2046">
        <v>0</v>
      </c>
      <c r="BA207" s="2046">
        <v>0</v>
      </c>
      <c r="BB207" s="2154">
        <v>45270.679999999993</v>
      </c>
      <c r="BC207" s="2154">
        <v>46587.043999999994</v>
      </c>
      <c r="BD207" s="2154">
        <v>46148.255999999994</v>
      </c>
      <c r="BE207" s="2154">
        <v>47464.619999999995</v>
      </c>
      <c r="BF207" s="2154">
        <v>67560</v>
      </c>
      <c r="BG207" s="2046">
        <v>67560</v>
      </c>
      <c r="BH207" s="2046">
        <v>67560</v>
      </c>
      <c r="BI207" s="2046">
        <v>67560</v>
      </c>
      <c r="BJ207" s="2030">
        <f t="shared" si="95"/>
        <v>0</v>
      </c>
      <c r="BK207" s="2030">
        <f t="shared" si="95"/>
        <v>0</v>
      </c>
      <c r="BL207" s="2030">
        <f t="shared" si="95"/>
        <v>0</v>
      </c>
      <c r="BM207" s="2030"/>
      <c r="BN207" s="2030">
        <f>BA207*AN207</f>
        <v>0</v>
      </c>
      <c r="BO207" s="2030">
        <f>BB207*AK207</f>
        <v>497977.47999999992</v>
      </c>
      <c r="BP207" s="2030"/>
      <c r="BQ207" s="2030">
        <f t="shared" si="96"/>
        <v>442576.91799999995</v>
      </c>
      <c r="BR207" s="2030">
        <f t="shared" si="96"/>
        <v>443023.25759999995</v>
      </c>
      <c r="BS207" s="2030">
        <f t="shared" si="96"/>
        <v>455660.35199999996</v>
      </c>
      <c r="BT207" s="2247">
        <v>0</v>
      </c>
      <c r="BU207" s="2247">
        <v>0</v>
      </c>
      <c r="BV207" s="2247">
        <v>0</v>
      </c>
      <c r="BW207" s="2247">
        <v>0</v>
      </c>
      <c r="BX207" s="2248">
        <v>270163.26519029692</v>
      </c>
      <c r="BY207" s="2248">
        <v>266938.27832109644</v>
      </c>
      <c r="BZ207" s="2248">
        <v>264237.97246411711</v>
      </c>
      <c r="CA207" s="2248">
        <v>265699.08753549878</v>
      </c>
      <c r="CB207" s="2239"/>
      <c r="CC207" s="2239"/>
      <c r="CD207" s="2239"/>
      <c r="CE207" s="2239"/>
      <c r="CF207" s="2239"/>
      <c r="CG207" s="2240"/>
      <c r="CH207" s="2241"/>
      <c r="CI207" s="2241"/>
      <c r="CJ207" s="2241"/>
      <c r="CK207" s="2241"/>
      <c r="CL207" s="2241"/>
      <c r="CM207" s="2242"/>
      <c r="CN207" s="2233"/>
      <c r="CO207" s="2241"/>
      <c r="CP207" s="2243">
        <v>0</v>
      </c>
      <c r="CQ207" s="2243"/>
      <c r="CR207" s="2244">
        <v>1</v>
      </c>
      <c r="CS207" s="2244">
        <v>1</v>
      </c>
      <c r="CV207" s="2036"/>
      <c r="CW207" s="2036"/>
      <c r="CX207" s="2036"/>
      <c r="CY207" s="2049"/>
      <c r="CZ207" s="2049"/>
      <c r="DA207" s="2049"/>
    </row>
    <row r="208" spans="1:119" s="2245" customFormat="1" x14ac:dyDescent="0.25">
      <c r="A208" s="2228" t="s">
        <v>2983</v>
      </c>
      <c r="B208" s="2229" t="s">
        <v>820</v>
      </c>
      <c r="C208" s="2230">
        <v>5</v>
      </c>
      <c r="D208" s="2230"/>
      <c r="E208" s="2230">
        <v>0</v>
      </c>
      <c r="F208" s="2230"/>
      <c r="G208" s="2230">
        <v>0</v>
      </c>
      <c r="H208" s="2230"/>
      <c r="I208" s="2230">
        <v>31960</v>
      </c>
      <c r="J208" s="2232"/>
      <c r="K208" s="2233" t="s">
        <v>2981</v>
      </c>
      <c r="L208" s="2233" t="s">
        <v>2981</v>
      </c>
      <c r="M208" s="2233">
        <v>0.91400000000000003</v>
      </c>
      <c r="N208" s="2233">
        <v>0.91400000000000003</v>
      </c>
      <c r="O208" s="2233">
        <v>0.91400000000000003</v>
      </c>
      <c r="P208" s="2233">
        <v>0.91400000000000003</v>
      </c>
      <c r="Q208" s="2232">
        <f t="shared" si="90"/>
        <v>0</v>
      </c>
      <c r="R208" s="2232">
        <f t="shared" si="90"/>
        <v>0</v>
      </c>
      <c r="S208" s="2232">
        <f t="shared" si="90"/>
        <v>0</v>
      </c>
      <c r="T208" s="2232">
        <f>$E208*P208</f>
        <v>0</v>
      </c>
      <c r="U208" s="2233">
        <v>0.91400000000000003</v>
      </c>
      <c r="V208" s="2233">
        <v>0.91400000000000003</v>
      </c>
      <c r="W208" s="2233">
        <v>0.91400000000000003</v>
      </c>
      <c r="X208" s="2233">
        <v>0.91400000000000003</v>
      </c>
      <c r="Y208" s="2234">
        <f t="shared" si="91"/>
        <v>0</v>
      </c>
      <c r="Z208" s="2234">
        <f t="shared" si="91"/>
        <v>0</v>
      </c>
      <c r="AA208" s="2234">
        <f t="shared" si="91"/>
        <v>0</v>
      </c>
      <c r="AB208" s="2234">
        <f>$G208*X208</f>
        <v>0</v>
      </c>
      <c r="AC208" s="2233">
        <v>0.91400000000000003</v>
      </c>
      <c r="AD208" s="2233">
        <v>0.91400000000000003</v>
      </c>
      <c r="AE208" s="2233">
        <v>0.91400000000000003</v>
      </c>
      <c r="AF208" s="2233">
        <v>0.91400000000000003</v>
      </c>
      <c r="AG208" s="2232">
        <f>$I208*AC208</f>
        <v>29211.440000000002</v>
      </c>
      <c r="AH208" s="2232">
        <f t="shared" si="92"/>
        <v>29211.440000000002</v>
      </c>
      <c r="AI208" s="2232">
        <f t="shared" si="92"/>
        <v>29211.440000000002</v>
      </c>
      <c r="AJ208" s="2232">
        <f t="shared" si="92"/>
        <v>29211.440000000002</v>
      </c>
      <c r="AK208" s="2235">
        <v>1.5</v>
      </c>
      <c r="AL208" s="2235">
        <v>1.5</v>
      </c>
      <c r="AM208" s="2235">
        <v>1.5</v>
      </c>
      <c r="AN208" s="2235">
        <v>1.5</v>
      </c>
      <c r="AO208" s="2232">
        <f t="shared" si="93"/>
        <v>0</v>
      </c>
      <c r="AP208" s="2232">
        <f t="shared" si="93"/>
        <v>0</v>
      </c>
      <c r="AQ208" s="2232">
        <f t="shared" si="93"/>
        <v>0</v>
      </c>
      <c r="AR208" s="2232"/>
      <c r="AS208" s="2232">
        <f>AN208*T208</f>
        <v>0</v>
      </c>
      <c r="AT208" s="2232">
        <f t="shared" si="94"/>
        <v>43817.16</v>
      </c>
      <c r="AU208" s="2232">
        <f t="shared" si="94"/>
        <v>43817.16</v>
      </c>
      <c r="AV208" s="2232">
        <f t="shared" si="94"/>
        <v>43817.16</v>
      </c>
      <c r="AW208" s="2232">
        <f t="shared" si="94"/>
        <v>43817.16</v>
      </c>
      <c r="AX208" s="2154">
        <v>0</v>
      </c>
      <c r="AY208" s="2046">
        <v>0</v>
      </c>
      <c r="AZ208" s="2046">
        <v>0</v>
      </c>
      <c r="BA208" s="2046">
        <v>0</v>
      </c>
      <c r="BB208" s="2154">
        <v>55848.729999999996</v>
      </c>
      <c r="BC208" s="2154">
        <v>60635.763999999996</v>
      </c>
      <c r="BD208" s="2154">
        <v>59040.085999999996</v>
      </c>
      <c r="BE208" s="2154">
        <v>63827.119999999995</v>
      </c>
      <c r="BF208" s="2154">
        <v>67560</v>
      </c>
      <c r="BG208" s="2046">
        <v>67560</v>
      </c>
      <c r="BH208" s="2046">
        <v>67560</v>
      </c>
      <c r="BI208" s="2046">
        <v>67560</v>
      </c>
      <c r="BJ208" s="2030">
        <f t="shared" si="95"/>
        <v>0</v>
      </c>
      <c r="BK208" s="2030">
        <f t="shared" si="95"/>
        <v>0</v>
      </c>
      <c r="BL208" s="2030">
        <f t="shared" si="95"/>
        <v>0</v>
      </c>
      <c r="BM208" s="2030"/>
      <c r="BN208" s="2030">
        <f>BA208*AN208</f>
        <v>0</v>
      </c>
      <c r="BO208" s="2030">
        <f>BB208*AK208</f>
        <v>83773.095000000001</v>
      </c>
      <c r="BP208" s="2030"/>
      <c r="BQ208" s="2030">
        <f t="shared" si="96"/>
        <v>90953.645999999993</v>
      </c>
      <c r="BR208" s="2030">
        <f t="shared" si="96"/>
        <v>88560.128999999986</v>
      </c>
      <c r="BS208" s="2030">
        <f t="shared" si="96"/>
        <v>95740.68</v>
      </c>
      <c r="BT208" s="2247">
        <v>0</v>
      </c>
      <c r="BU208" s="2247">
        <v>0</v>
      </c>
      <c r="BV208" s="2247">
        <v>0</v>
      </c>
      <c r="BW208" s="2247">
        <v>0</v>
      </c>
      <c r="BX208" s="2248">
        <v>63824.370012601241</v>
      </c>
      <c r="BY208" s="2248">
        <v>63005.383152914423</v>
      </c>
      <c r="BZ208" s="2248">
        <v>66098.982874550275</v>
      </c>
      <c r="CA208" s="2248">
        <v>62824.919808296487</v>
      </c>
      <c r="CB208" s="2239"/>
      <c r="CC208" s="2239"/>
      <c r="CD208" s="2239"/>
      <c r="CE208" s="2239"/>
      <c r="CF208" s="2239"/>
      <c r="CG208" s="2240"/>
      <c r="CH208" s="2241"/>
      <c r="CI208" s="2241"/>
      <c r="CJ208" s="2241"/>
      <c r="CK208" s="2241"/>
      <c r="CL208" s="2241"/>
      <c r="CM208" s="2242"/>
      <c r="CN208" s="2233"/>
      <c r="CO208" s="2241"/>
      <c r="CP208" s="2243">
        <v>0</v>
      </c>
      <c r="CQ208" s="2243"/>
      <c r="CR208" s="2244">
        <v>1</v>
      </c>
      <c r="CS208" s="2244">
        <v>1</v>
      </c>
      <c r="CV208" s="2036"/>
      <c r="CW208" s="2036"/>
      <c r="CX208" s="2036"/>
      <c r="CY208" s="2049"/>
      <c r="CZ208" s="2049"/>
      <c r="DA208" s="2049"/>
    </row>
    <row r="209" spans="1:105" x14ac:dyDescent="0.25">
      <c r="A209" s="2012" t="s">
        <v>2984</v>
      </c>
      <c r="B209" s="2012"/>
      <c r="C209" s="2013"/>
      <c r="D209" s="2013"/>
      <c r="E209" s="2013"/>
      <c r="F209" s="2013"/>
      <c r="G209" s="2014"/>
      <c r="H209" s="2014"/>
      <c r="I209" s="2013"/>
      <c r="J209" s="2015"/>
      <c r="K209" s="2015"/>
      <c r="L209" s="2015"/>
      <c r="M209" s="2015"/>
      <c r="N209" s="2015"/>
      <c r="O209" s="2015"/>
      <c r="P209" s="2015"/>
      <c r="Q209" s="2015"/>
      <c r="R209" s="2015"/>
      <c r="S209" s="2015"/>
      <c r="T209" s="2015"/>
      <c r="U209" s="2015"/>
      <c r="V209" s="2015"/>
      <c r="W209" s="2015"/>
      <c r="X209" s="2015"/>
      <c r="Y209" s="2015"/>
      <c r="Z209" s="2015"/>
      <c r="AA209" s="2015"/>
      <c r="AB209" s="2015"/>
      <c r="AC209" s="2015"/>
      <c r="AD209" s="2015"/>
      <c r="AE209" s="2015"/>
      <c r="AF209" s="2015"/>
      <c r="AG209" s="2015"/>
      <c r="AH209" s="2015"/>
      <c r="AI209" s="2015"/>
      <c r="AJ209" s="2015"/>
      <c r="AK209" s="2015"/>
      <c r="AL209" s="2015"/>
      <c r="AM209" s="2015"/>
      <c r="AN209" s="2015"/>
      <c r="AO209" s="2087"/>
      <c r="AP209" s="2087"/>
      <c r="AQ209" s="2087"/>
      <c r="AR209" s="2087"/>
      <c r="AS209" s="2087"/>
      <c r="AT209" s="2087"/>
      <c r="AU209" s="2087"/>
      <c r="AV209" s="2087"/>
      <c r="AW209" s="2087"/>
      <c r="AX209" s="2076"/>
      <c r="AY209" s="2076"/>
      <c r="AZ209" s="2076"/>
      <c r="BA209" s="2076"/>
      <c r="BB209" s="2076"/>
      <c r="BC209" s="2076"/>
      <c r="BD209" s="2076"/>
      <c r="BE209" s="2076"/>
      <c r="BF209" s="2076"/>
      <c r="BG209" s="2076"/>
      <c r="BH209" s="2076"/>
      <c r="BI209" s="2076"/>
      <c r="BJ209" s="2076"/>
      <c r="BK209" s="2076"/>
      <c r="BL209" s="2076"/>
      <c r="BM209" s="2076"/>
      <c r="BN209" s="2076"/>
      <c r="BO209" s="2076"/>
      <c r="BP209" s="2076"/>
      <c r="BQ209" s="2076"/>
      <c r="BR209" s="2076"/>
      <c r="BS209" s="2076"/>
      <c r="BT209" s="2076"/>
      <c r="BU209" s="2076"/>
      <c r="BV209" s="2076"/>
      <c r="BW209" s="2076"/>
      <c r="BX209" s="2076"/>
      <c r="BY209" s="2076"/>
      <c r="BZ209" s="2079"/>
      <c r="CA209" s="2079"/>
      <c r="CB209" s="2029"/>
      <c r="CC209" s="2029"/>
      <c r="CD209" s="2029"/>
      <c r="CE209" s="2029"/>
      <c r="CF209" s="2029"/>
      <c r="CG209" s="2032"/>
      <c r="CH209" s="1974"/>
      <c r="CI209" s="1974"/>
      <c r="CJ209" s="1974"/>
      <c r="CK209" s="1974"/>
      <c r="CL209" s="1974"/>
      <c r="CM209" s="2033">
        <v>0</v>
      </c>
      <c r="CN209" s="2026">
        <v>0</v>
      </c>
      <c r="CO209" s="1974"/>
      <c r="CP209" s="2040">
        <v>0</v>
      </c>
      <c r="CQ209" s="2040"/>
      <c r="CR209" s="2062">
        <v>1</v>
      </c>
      <c r="CS209" s="2062">
        <v>1</v>
      </c>
    </row>
    <row r="210" spans="1:105" x14ac:dyDescent="0.25">
      <c r="A210" s="2022" t="s">
        <v>2985</v>
      </c>
      <c r="B210" s="2022"/>
      <c r="C210" s="2023"/>
      <c r="D210" s="2023"/>
      <c r="E210" s="2023"/>
      <c r="F210" s="2023"/>
      <c r="G210" s="2023"/>
      <c r="H210" s="2023"/>
      <c r="I210" s="2023"/>
      <c r="J210" s="2027"/>
      <c r="K210" s="2026"/>
      <c r="L210" s="2026"/>
      <c r="M210" s="2026"/>
      <c r="N210" s="2026"/>
      <c r="O210" s="2026"/>
      <c r="P210" s="2026"/>
      <c r="Q210" s="2027"/>
      <c r="R210" s="2027"/>
      <c r="S210" s="2027"/>
      <c r="T210" s="2027"/>
      <c r="U210" s="2026"/>
      <c r="V210" s="2026"/>
      <c r="W210" s="2026"/>
      <c r="X210" s="2026"/>
      <c r="Y210" s="2028"/>
      <c r="Z210" s="2028"/>
      <c r="AA210" s="2028"/>
      <c r="AB210" s="2028"/>
      <c r="AC210" s="2026"/>
      <c r="AD210" s="2026"/>
      <c r="AE210" s="2026"/>
      <c r="AF210" s="2026"/>
      <c r="AG210" s="2027"/>
      <c r="AH210" s="2027"/>
      <c r="AI210" s="2027"/>
      <c r="AJ210" s="2027"/>
      <c r="AK210" s="2027"/>
      <c r="AL210" s="2027"/>
      <c r="AM210" s="2027"/>
      <c r="AN210" s="2027"/>
      <c r="AO210" s="2027"/>
      <c r="AP210" s="2027"/>
      <c r="AQ210" s="2027"/>
      <c r="AR210" s="2027"/>
      <c r="AS210" s="2027"/>
      <c r="AT210" s="2027"/>
      <c r="AU210" s="2027"/>
      <c r="AV210" s="2027"/>
      <c r="AW210" s="2027"/>
      <c r="AX210" s="1974"/>
      <c r="AY210" s="1974"/>
      <c r="AZ210" s="1974"/>
      <c r="BA210" s="1974"/>
      <c r="BB210" s="1974"/>
      <c r="BC210" s="1974"/>
      <c r="BD210" s="1974"/>
      <c r="BE210" s="1974"/>
      <c r="BF210" s="1974"/>
      <c r="BG210" s="1974"/>
      <c r="BH210" s="1974"/>
      <c r="BI210" s="1974"/>
      <c r="BJ210" s="1974"/>
      <c r="BK210" s="1974"/>
      <c r="BL210" s="1974"/>
      <c r="BM210" s="1974"/>
      <c r="BN210" s="1974"/>
      <c r="BO210" s="1974"/>
      <c r="BP210" s="1974"/>
      <c r="BQ210" s="1974"/>
      <c r="BR210" s="1974"/>
      <c r="BS210" s="1974"/>
      <c r="BT210" s="1974"/>
      <c r="BU210" s="1974"/>
      <c r="BV210" s="1974"/>
      <c r="BW210" s="1974"/>
      <c r="BX210" s="1974"/>
      <c r="BY210" s="1974"/>
      <c r="BZ210" s="2009"/>
      <c r="CA210" s="2009"/>
      <c r="CB210" s="2029"/>
      <c r="CC210" s="2029"/>
      <c r="CD210" s="2029"/>
      <c r="CE210" s="2029"/>
      <c r="CF210" s="2029"/>
      <c r="CG210" s="2032"/>
      <c r="CH210" s="1974"/>
      <c r="CI210" s="1974"/>
      <c r="CJ210" s="1974"/>
      <c r="CK210" s="1974"/>
      <c r="CL210" s="1974"/>
      <c r="CM210" s="2033">
        <v>0</v>
      </c>
      <c r="CN210" s="2026">
        <v>0</v>
      </c>
      <c r="CO210" s="1974"/>
      <c r="CP210" s="2040">
        <v>0</v>
      </c>
      <c r="CQ210" s="2040"/>
      <c r="CR210" s="2062">
        <v>1</v>
      </c>
      <c r="CS210" s="2062">
        <v>1</v>
      </c>
    </row>
    <row r="211" spans="1:105" x14ac:dyDescent="0.25">
      <c r="A211" s="2250"/>
      <c r="B211" s="2076"/>
      <c r="C211" s="2090"/>
      <c r="D211" s="2090"/>
      <c r="E211" s="2090"/>
      <c r="F211" s="2090"/>
      <c r="G211" s="2091"/>
      <c r="H211" s="2091"/>
      <c r="I211" s="2090"/>
      <c r="J211" s="2091"/>
      <c r="K211" s="2078"/>
      <c r="L211" s="2078"/>
      <c r="M211" s="2078"/>
      <c r="N211" s="2078"/>
      <c r="O211" s="2078"/>
      <c r="P211" s="2078"/>
      <c r="Q211" s="2090"/>
      <c r="R211" s="2090"/>
      <c r="S211" s="2090"/>
      <c r="T211" s="2090"/>
      <c r="U211" s="2078"/>
      <c r="V211" s="2078"/>
      <c r="W211" s="2078"/>
      <c r="X211" s="2078"/>
      <c r="Y211" s="2091"/>
      <c r="Z211" s="2091"/>
      <c r="AA211" s="2091"/>
      <c r="AB211" s="2091"/>
      <c r="AC211" s="2078"/>
      <c r="AD211" s="2078"/>
      <c r="AE211" s="2078"/>
      <c r="AF211" s="2078"/>
      <c r="AG211" s="2090"/>
      <c r="AH211" s="2091"/>
      <c r="AI211" s="2091"/>
      <c r="AJ211" s="2091"/>
      <c r="AK211" s="2090"/>
      <c r="AL211" s="2091"/>
      <c r="AM211" s="2091"/>
      <c r="AN211" s="2091"/>
      <c r="AO211" s="2090"/>
      <c r="AP211" s="2091"/>
      <c r="AQ211" s="2091"/>
      <c r="AR211" s="2091"/>
      <c r="AS211" s="2091"/>
      <c r="AT211" s="2090"/>
      <c r="AU211" s="2091"/>
      <c r="AV211" s="2091"/>
      <c r="AW211" s="2091"/>
      <c r="AX211" s="2076"/>
      <c r="AY211" s="2076"/>
      <c r="AZ211" s="2076"/>
      <c r="BA211" s="2076"/>
      <c r="BB211" s="2076"/>
      <c r="BC211" s="2076"/>
      <c r="BD211" s="2076"/>
      <c r="BE211" s="2076"/>
      <c r="BF211" s="2076"/>
      <c r="BG211" s="2076"/>
      <c r="BH211" s="2076"/>
      <c r="BI211" s="2076"/>
      <c r="BJ211" s="2076"/>
      <c r="BK211" s="2076"/>
      <c r="BL211" s="2076"/>
      <c r="BM211" s="2076"/>
      <c r="BN211" s="2076"/>
      <c r="BO211" s="2076"/>
      <c r="BP211" s="2076"/>
      <c r="BQ211" s="2076"/>
      <c r="BR211" s="2076"/>
      <c r="BS211" s="2076"/>
      <c r="BT211" s="2076"/>
      <c r="BU211" s="2076"/>
      <c r="BV211" s="2076"/>
      <c r="BW211" s="2076"/>
      <c r="BX211" s="2076"/>
      <c r="BY211" s="2076"/>
      <c r="BZ211" s="2079"/>
      <c r="CA211" s="2079"/>
      <c r="CB211" s="2029"/>
      <c r="CC211" s="2029"/>
      <c r="CD211" s="2029"/>
      <c r="CE211" s="2029"/>
      <c r="CF211" s="2029"/>
      <c r="CG211" s="2032"/>
      <c r="CH211" s="1974"/>
      <c r="CI211" s="1974"/>
      <c r="CJ211" s="1974"/>
      <c r="CK211" s="1974"/>
      <c r="CL211" s="1974"/>
      <c r="CM211" s="2033">
        <v>0</v>
      </c>
      <c r="CN211" s="2026">
        <v>0</v>
      </c>
      <c r="CO211" s="1974"/>
      <c r="CP211" s="2040">
        <v>0</v>
      </c>
      <c r="CQ211" s="2040"/>
      <c r="CR211" s="2062">
        <v>1</v>
      </c>
      <c r="CS211" s="2062">
        <v>1</v>
      </c>
    </row>
    <row r="212" spans="1:105" x14ac:dyDescent="0.25">
      <c r="A212" s="2092"/>
      <c r="B212" s="2093"/>
      <c r="C212" s="2094"/>
      <c r="D212" s="2094"/>
      <c r="E212" s="2094"/>
      <c r="F212" s="2094"/>
      <c r="G212" s="2095"/>
      <c r="H212" s="2095"/>
      <c r="I212" s="2094"/>
      <c r="J212" s="2095"/>
      <c r="K212" s="2096"/>
      <c r="L212" s="2096"/>
      <c r="M212" s="2096"/>
      <c r="N212" s="2096"/>
      <c r="O212" s="2096"/>
      <c r="P212" s="2096"/>
      <c r="Q212" s="2094"/>
      <c r="R212" s="2094"/>
      <c r="S212" s="2094"/>
      <c r="T212" s="2094"/>
      <c r="U212" s="2096"/>
      <c r="V212" s="2096"/>
      <c r="W212" s="2096"/>
      <c r="X212" s="2096"/>
      <c r="Y212" s="2095"/>
      <c r="Z212" s="2095"/>
      <c r="AA212" s="2095"/>
      <c r="AB212" s="2095"/>
      <c r="AC212" s="2096"/>
      <c r="AD212" s="2096"/>
      <c r="AE212" s="2096"/>
      <c r="AF212" s="2096"/>
      <c r="AG212" s="2094"/>
      <c r="AH212" s="2095"/>
      <c r="AI212" s="2095"/>
      <c r="AJ212" s="2095"/>
      <c r="AK212" s="2094"/>
      <c r="AL212" s="2095"/>
      <c r="AM212" s="2095"/>
      <c r="AN212" s="2095"/>
      <c r="AO212" s="2094"/>
      <c r="AP212" s="2095"/>
      <c r="AQ212" s="2095"/>
      <c r="AR212" s="2095"/>
      <c r="AS212" s="2095"/>
      <c r="AT212" s="2094"/>
      <c r="AU212" s="2095"/>
      <c r="AV212" s="2095"/>
      <c r="AW212" s="2095"/>
      <c r="AX212" s="1974"/>
      <c r="AY212" s="1974"/>
      <c r="AZ212" s="1974"/>
      <c r="BA212" s="1974"/>
      <c r="BB212" s="1974"/>
      <c r="BC212" s="1974"/>
      <c r="BD212" s="1974"/>
      <c r="BE212" s="1974"/>
      <c r="BF212" s="1974"/>
      <c r="BG212" s="1974"/>
      <c r="BH212" s="1974"/>
      <c r="BI212" s="1974"/>
      <c r="BJ212" s="1974"/>
      <c r="BK212" s="1974"/>
      <c r="BL212" s="1974"/>
      <c r="BM212" s="1974"/>
      <c r="BN212" s="1974"/>
      <c r="BO212" s="1974"/>
      <c r="BP212" s="1974"/>
      <c r="BQ212" s="1974"/>
      <c r="BR212" s="1974"/>
      <c r="BS212" s="1974"/>
      <c r="BT212" s="1974"/>
      <c r="BU212" s="1974"/>
      <c r="BV212" s="1974"/>
      <c r="BW212" s="1974"/>
      <c r="BX212" s="1974"/>
      <c r="BY212" s="1974"/>
      <c r="BZ212" s="2009"/>
      <c r="CA212" s="2009"/>
      <c r="CB212" s="2029"/>
      <c r="CC212" s="2029"/>
      <c r="CD212" s="2029"/>
      <c r="CE212" s="2029"/>
      <c r="CF212" s="2029"/>
      <c r="CG212" s="2032"/>
      <c r="CH212" s="1974"/>
      <c r="CI212" s="1974"/>
      <c r="CJ212" s="1974"/>
      <c r="CK212" s="1974"/>
      <c r="CL212" s="1974"/>
      <c r="CM212" s="2033">
        <v>0</v>
      </c>
      <c r="CN212" s="2026">
        <v>0</v>
      </c>
      <c r="CO212" s="1974"/>
      <c r="CP212" s="2040">
        <v>0</v>
      </c>
      <c r="CQ212" s="2040"/>
      <c r="CR212" s="2062">
        <v>1</v>
      </c>
      <c r="CS212" s="2062">
        <v>1</v>
      </c>
    </row>
    <row r="213" spans="1:105" x14ac:dyDescent="0.25">
      <c r="A213" s="2097"/>
      <c r="B213" s="2093"/>
      <c r="C213" s="2094"/>
      <c r="D213" s="2094"/>
      <c r="E213" s="2094"/>
      <c r="F213" s="2094"/>
      <c r="G213" s="2095"/>
      <c r="H213" s="2095"/>
      <c r="I213" s="2094"/>
      <c r="J213" s="2095"/>
      <c r="K213" s="2096"/>
      <c r="L213" s="2096"/>
      <c r="M213" s="2096"/>
      <c r="N213" s="2096"/>
      <c r="O213" s="2096"/>
      <c r="P213" s="2096"/>
      <c r="Q213" s="2094"/>
      <c r="R213" s="2094"/>
      <c r="S213" s="2094"/>
      <c r="T213" s="2094"/>
      <c r="U213" s="2096"/>
      <c r="V213" s="2096"/>
      <c r="W213" s="2096"/>
      <c r="X213" s="2096"/>
      <c r="Y213" s="2095"/>
      <c r="Z213" s="2095"/>
      <c r="AA213" s="2095"/>
      <c r="AB213" s="2095"/>
      <c r="AC213" s="2096"/>
      <c r="AD213" s="2096"/>
      <c r="AE213" s="2096"/>
      <c r="AF213" s="2096"/>
      <c r="AG213" s="2094"/>
      <c r="AH213" s="2095"/>
      <c r="AI213" s="2095"/>
      <c r="AJ213" s="2095"/>
      <c r="AK213" s="2094"/>
      <c r="AL213" s="2095"/>
      <c r="AM213" s="2095"/>
      <c r="AN213" s="2095"/>
      <c r="AO213" s="2094"/>
      <c r="AP213" s="2095"/>
      <c r="AQ213" s="2095"/>
      <c r="AR213" s="2095"/>
      <c r="AS213" s="2095"/>
      <c r="AT213" s="2094"/>
      <c r="AU213" s="2095"/>
      <c r="AV213" s="2095"/>
      <c r="AW213" s="2095"/>
      <c r="AX213" s="1974"/>
      <c r="AY213" s="1974"/>
      <c r="AZ213" s="1974"/>
      <c r="BA213" s="1974"/>
      <c r="BB213" s="1974"/>
      <c r="BC213" s="1974"/>
      <c r="BD213" s="1974"/>
      <c r="BE213" s="1974"/>
      <c r="BF213" s="1974"/>
      <c r="BG213" s="1974"/>
      <c r="BH213" s="1974"/>
      <c r="BI213" s="1974"/>
      <c r="BJ213" s="1974"/>
      <c r="BK213" s="1974"/>
      <c r="BL213" s="1974"/>
      <c r="BM213" s="1974"/>
      <c r="BN213" s="1974"/>
      <c r="BO213" s="1974"/>
      <c r="BP213" s="1974"/>
      <c r="BQ213" s="1974"/>
      <c r="BR213" s="1974"/>
      <c r="BS213" s="1974"/>
      <c r="BT213" s="1974"/>
      <c r="BU213" s="1974"/>
      <c r="BV213" s="1974"/>
      <c r="BW213" s="1974"/>
      <c r="BX213" s="1974"/>
      <c r="BY213" s="1974"/>
      <c r="BZ213" s="2009"/>
      <c r="CA213" s="2009"/>
      <c r="CB213" s="2029"/>
      <c r="CC213" s="2029"/>
      <c r="CD213" s="2029"/>
      <c r="CE213" s="2029"/>
      <c r="CF213" s="2029"/>
      <c r="CG213" s="2032"/>
      <c r="CH213" s="1974"/>
      <c r="CI213" s="1974"/>
      <c r="CJ213" s="1974"/>
      <c r="CK213" s="1974"/>
      <c r="CL213" s="1974"/>
      <c r="CM213" s="2033">
        <v>0</v>
      </c>
      <c r="CN213" s="2026">
        <v>0</v>
      </c>
      <c r="CO213" s="1974"/>
      <c r="CP213" s="2040">
        <v>0</v>
      </c>
      <c r="CQ213" s="2040"/>
      <c r="CR213" s="2062">
        <v>1</v>
      </c>
      <c r="CS213" s="2062">
        <v>1</v>
      </c>
    </row>
    <row r="214" spans="1:105" x14ac:dyDescent="0.25">
      <c r="A214" s="2097"/>
      <c r="B214" s="2093"/>
      <c r="C214" s="2094"/>
      <c r="D214" s="2094"/>
      <c r="E214" s="2094"/>
      <c r="F214" s="2094"/>
      <c r="G214" s="2095"/>
      <c r="H214" s="2095"/>
      <c r="I214" s="2094"/>
      <c r="J214" s="2095"/>
      <c r="K214" s="2096"/>
      <c r="L214" s="2096"/>
      <c r="M214" s="2096"/>
      <c r="N214" s="2096"/>
      <c r="O214" s="2096"/>
      <c r="P214" s="2096"/>
      <c r="Q214" s="2094"/>
      <c r="R214" s="2094"/>
      <c r="S214" s="2094"/>
      <c r="T214" s="2094"/>
      <c r="U214" s="2096"/>
      <c r="V214" s="2096"/>
      <c r="W214" s="2096"/>
      <c r="X214" s="2096"/>
      <c r="Y214" s="2095"/>
      <c r="Z214" s="2095"/>
      <c r="AA214" s="2095"/>
      <c r="AB214" s="2095"/>
      <c r="AC214" s="2096"/>
      <c r="AD214" s="2096"/>
      <c r="AE214" s="2096"/>
      <c r="AF214" s="2096"/>
      <c r="AG214" s="2094"/>
      <c r="AH214" s="2095"/>
      <c r="AI214" s="2095"/>
      <c r="AJ214" s="2095"/>
      <c r="AK214" s="2094"/>
      <c r="AL214" s="2095"/>
      <c r="AM214" s="2095"/>
      <c r="AN214" s="2095"/>
      <c r="AO214" s="2094"/>
      <c r="AP214" s="2095"/>
      <c r="AQ214" s="2095"/>
      <c r="AR214" s="2095"/>
      <c r="AS214" s="2095"/>
      <c r="AT214" s="2094"/>
      <c r="AU214" s="2095"/>
      <c r="AV214" s="2095"/>
      <c r="AW214" s="2095"/>
      <c r="AX214" s="1974"/>
      <c r="AY214" s="1974"/>
      <c r="AZ214" s="1974"/>
      <c r="BA214" s="1974"/>
      <c r="BB214" s="1974"/>
      <c r="BC214" s="1974"/>
      <c r="BD214" s="1974"/>
      <c r="BE214" s="1974"/>
      <c r="BF214" s="1974"/>
      <c r="BG214" s="1974"/>
      <c r="BH214" s="1974"/>
      <c r="BI214" s="1974"/>
      <c r="BJ214" s="1974"/>
      <c r="BK214" s="1974"/>
      <c r="BL214" s="1974"/>
      <c r="BM214" s="1974"/>
      <c r="BN214" s="1974"/>
      <c r="BO214" s="1974"/>
      <c r="BP214" s="1974"/>
      <c r="BQ214" s="1974"/>
      <c r="BR214" s="1974"/>
      <c r="BS214" s="1974"/>
      <c r="BT214" s="1974"/>
      <c r="BU214" s="1974"/>
      <c r="BV214" s="1974"/>
      <c r="BW214" s="1974"/>
      <c r="BX214" s="1974"/>
      <c r="BY214" s="1974"/>
      <c r="BZ214" s="2009"/>
      <c r="CA214" s="2009"/>
      <c r="CB214" s="1974"/>
      <c r="CC214" s="1974"/>
      <c r="CD214" s="1974"/>
      <c r="CE214" s="1974"/>
      <c r="CF214" s="1974"/>
      <c r="CG214" s="2009"/>
      <c r="CH214" s="1974"/>
      <c r="CI214" s="1974"/>
      <c r="CJ214" s="1974"/>
      <c r="CK214" s="1974"/>
      <c r="CL214" s="1974"/>
      <c r="CM214" s="2033">
        <v>0</v>
      </c>
      <c r="CN214" s="2026">
        <v>0</v>
      </c>
      <c r="CO214" s="1974"/>
      <c r="CP214" s="2040">
        <v>0</v>
      </c>
      <c r="CQ214" s="2040"/>
      <c r="CR214" s="2062">
        <v>1</v>
      </c>
      <c r="CS214" s="2062">
        <v>1</v>
      </c>
    </row>
    <row r="215" spans="1:105" x14ac:dyDescent="0.25">
      <c r="A215" s="2251" t="s">
        <v>2986</v>
      </c>
      <c r="B215" s="2076"/>
      <c r="C215" s="2090"/>
      <c r="D215" s="2090"/>
      <c r="E215" s="2090"/>
      <c r="F215" s="2090"/>
      <c r="G215" s="2091"/>
      <c r="H215" s="2091"/>
      <c r="I215" s="2090"/>
      <c r="J215" s="2091"/>
      <c r="K215" s="2078"/>
      <c r="L215" s="2078"/>
      <c r="M215" s="2078"/>
      <c r="N215" s="2078"/>
      <c r="O215" s="2078"/>
      <c r="P215" s="2078"/>
      <c r="Q215" s="2090"/>
      <c r="R215" s="2090"/>
      <c r="S215" s="2090"/>
      <c r="T215" s="2090"/>
      <c r="U215" s="2078"/>
      <c r="V215" s="2078"/>
      <c r="W215" s="2078"/>
      <c r="X215" s="2078"/>
      <c r="Y215" s="2091"/>
      <c r="Z215" s="2091"/>
      <c r="AA215" s="2091"/>
      <c r="AB215" s="2091"/>
      <c r="AC215" s="2078"/>
      <c r="AD215" s="2078"/>
      <c r="AE215" s="2078"/>
      <c r="AF215" s="2078"/>
      <c r="AG215" s="2090"/>
      <c r="AH215" s="2091"/>
      <c r="AI215" s="2091"/>
      <c r="AJ215" s="2091"/>
      <c r="AK215" s="2090"/>
      <c r="AL215" s="2091"/>
      <c r="AM215" s="2091"/>
      <c r="AN215" s="2091"/>
      <c r="AO215" s="2090"/>
      <c r="AP215" s="2091"/>
      <c r="AQ215" s="2091"/>
      <c r="AR215" s="2091"/>
      <c r="AS215" s="2091"/>
      <c r="AT215" s="2090"/>
      <c r="AU215" s="2091"/>
      <c r="AV215" s="2091"/>
      <c r="AW215" s="2091"/>
      <c r="AX215" s="2076"/>
      <c r="AY215" s="2076"/>
      <c r="AZ215" s="2076"/>
      <c r="BA215" s="2076"/>
      <c r="BB215" s="2076"/>
      <c r="BC215" s="2076"/>
      <c r="BD215" s="2076"/>
      <c r="BE215" s="2076"/>
      <c r="BF215" s="2076"/>
      <c r="BG215" s="2076"/>
      <c r="BH215" s="2076"/>
      <c r="BI215" s="2076"/>
      <c r="BJ215" s="2076"/>
      <c r="BK215" s="2076"/>
      <c r="BL215" s="2076"/>
      <c r="BM215" s="2076"/>
      <c r="BN215" s="2076"/>
      <c r="BO215" s="2076"/>
      <c r="BP215" s="2076"/>
      <c r="BQ215" s="2076"/>
      <c r="BR215" s="2076"/>
      <c r="BS215" s="2076"/>
      <c r="BT215" s="2076"/>
      <c r="BU215" s="2076"/>
      <c r="BV215" s="2076"/>
      <c r="BW215" s="2076"/>
      <c r="BX215" s="2076"/>
      <c r="BY215" s="2076"/>
      <c r="BZ215" s="2079"/>
      <c r="CA215" s="2079"/>
      <c r="CB215" s="1974"/>
      <c r="CC215" s="1974"/>
      <c r="CD215" s="1974"/>
      <c r="CE215" s="1974"/>
      <c r="CF215" s="1974"/>
      <c r="CG215" s="2009"/>
      <c r="CH215" s="1974"/>
      <c r="CI215" s="1974"/>
      <c r="CJ215" s="1974"/>
      <c r="CK215" s="1974"/>
      <c r="CL215" s="1974"/>
      <c r="CM215" s="2033">
        <v>0</v>
      </c>
      <c r="CN215" s="2026">
        <v>0</v>
      </c>
      <c r="CO215" s="1974"/>
      <c r="CP215" s="2040">
        <v>0</v>
      </c>
      <c r="CQ215" s="2040"/>
      <c r="CR215" s="2062">
        <v>1</v>
      </c>
      <c r="CS215" s="2062">
        <v>1</v>
      </c>
    </row>
    <row r="216" spans="1:105" s="2161" customFormat="1" x14ac:dyDescent="0.25">
      <c r="A216" s="2252" t="s">
        <v>271</v>
      </c>
      <c r="B216" s="2187" t="s">
        <v>2987</v>
      </c>
      <c r="C216" s="2043">
        <v>15</v>
      </c>
      <c r="D216" s="2043"/>
      <c r="E216" s="2044">
        <v>620.81786</v>
      </c>
      <c r="F216" s="2044"/>
      <c r="G216" s="2044">
        <v>0</v>
      </c>
      <c r="H216" s="2044"/>
      <c r="I216" s="2043">
        <v>0</v>
      </c>
      <c r="J216" s="2146"/>
      <c r="K216" s="2047" t="s">
        <v>2988</v>
      </c>
      <c r="L216" s="2047" t="s">
        <v>2988</v>
      </c>
      <c r="M216" s="2153">
        <v>0.9</v>
      </c>
      <c r="N216" s="2153">
        <v>0.9</v>
      </c>
      <c r="O216" s="2153">
        <v>0.9</v>
      </c>
      <c r="P216" s="2153">
        <v>0.9</v>
      </c>
      <c r="Q216" s="2146">
        <f>$E216*M216</f>
        <v>558.73607400000003</v>
      </c>
      <c r="R216" s="2146">
        <f>$E216*N216</f>
        <v>558.73607400000003</v>
      </c>
      <c r="S216" s="2146">
        <f>$E216*O216</f>
        <v>558.73607400000003</v>
      </c>
      <c r="T216" s="2146">
        <f>$E216*P216</f>
        <v>558.73607400000003</v>
      </c>
      <c r="U216" s="2153">
        <v>0.9</v>
      </c>
      <c r="V216" s="2153">
        <v>0.9</v>
      </c>
      <c r="W216" s="2153">
        <v>0.9</v>
      </c>
      <c r="X216" s="2153">
        <v>0.9</v>
      </c>
      <c r="Y216" s="2129">
        <f>$G216*U216</f>
        <v>0</v>
      </c>
      <c r="Z216" s="2129">
        <f>$G216*V216</f>
        <v>0</v>
      </c>
      <c r="AA216" s="2129">
        <f>$G216*W216</f>
        <v>0</v>
      </c>
      <c r="AB216" s="2129">
        <f>$G216*X216</f>
        <v>0</v>
      </c>
      <c r="AC216" s="2153">
        <v>0.9</v>
      </c>
      <c r="AD216" s="2153">
        <v>0.9</v>
      </c>
      <c r="AE216" s="2153">
        <v>0.9</v>
      </c>
      <c r="AF216" s="2153">
        <v>0.9</v>
      </c>
      <c r="AG216" s="2146">
        <f>$I216*AC216</f>
        <v>0</v>
      </c>
      <c r="AH216" s="2146">
        <f>$I216*AD216</f>
        <v>0</v>
      </c>
      <c r="AI216" s="2146"/>
      <c r="AJ216" s="2146">
        <f>$I216*AF216</f>
        <v>0</v>
      </c>
      <c r="AK216" s="2146">
        <v>10000</v>
      </c>
      <c r="AL216" s="2146">
        <v>10000</v>
      </c>
      <c r="AM216" s="2146">
        <v>10000</v>
      </c>
      <c r="AN216" s="2146">
        <v>10000</v>
      </c>
      <c r="AO216" s="2146">
        <f>AK216*Q216</f>
        <v>5587360.7400000002</v>
      </c>
      <c r="AP216" s="2146">
        <f>AL216*R216</f>
        <v>5587360.7400000002</v>
      </c>
      <c r="AQ216" s="2146">
        <f>AM216*S216</f>
        <v>5587360.7400000002</v>
      </c>
      <c r="AR216" s="2146"/>
      <c r="AS216" s="2146">
        <f>AN216*T216</f>
        <v>5587360.7400000002</v>
      </c>
      <c r="AT216" s="2146">
        <f>AK216*AG216</f>
        <v>0</v>
      </c>
      <c r="AU216" s="2146">
        <f>AL216*AH216</f>
        <v>0</v>
      </c>
      <c r="AV216" s="2146">
        <f>AM216*AI216</f>
        <v>0</v>
      </c>
      <c r="AW216" s="2146">
        <f>AN216*AJ216</f>
        <v>0</v>
      </c>
      <c r="AX216" s="2046">
        <v>50</v>
      </c>
      <c r="AY216" s="2046">
        <v>50</v>
      </c>
      <c r="AZ216" s="2046">
        <v>50</v>
      </c>
      <c r="BA216" s="2046">
        <v>50</v>
      </c>
      <c r="BB216" s="2047"/>
      <c r="BC216" s="2046">
        <v>0</v>
      </c>
      <c r="BD216" s="2046">
        <v>0</v>
      </c>
      <c r="BE216" s="2046">
        <v>0</v>
      </c>
      <c r="BF216" s="2046">
        <v>110.21899999999999</v>
      </c>
      <c r="BG216" s="2046">
        <v>110.21899999999999</v>
      </c>
      <c r="BH216" s="2046">
        <v>110.21899999999999</v>
      </c>
      <c r="BI216" s="2046">
        <v>110.21899999999999</v>
      </c>
      <c r="BJ216" s="2154">
        <f>AX216*AK216</f>
        <v>500000</v>
      </c>
      <c r="BK216" s="2154">
        <f>AY216*AL216</f>
        <v>500000</v>
      </c>
      <c r="BL216" s="2154">
        <f>AZ216*AM216</f>
        <v>500000</v>
      </c>
      <c r="BM216" s="2154"/>
      <c r="BN216" s="2154">
        <f>BA216*AN216</f>
        <v>500000</v>
      </c>
      <c r="BO216" s="2154">
        <f>BB216*AK216</f>
        <v>0</v>
      </c>
      <c r="BP216" s="2154"/>
      <c r="BQ216" s="2154">
        <f>BC216*AL216</f>
        <v>0</v>
      </c>
      <c r="BR216" s="2154">
        <f>BD216*AM216</f>
        <v>0</v>
      </c>
      <c r="BS216" s="2154">
        <f>BE216*AN216</f>
        <v>0</v>
      </c>
      <c r="BT216" s="2063">
        <v>13962.351776871939</v>
      </c>
      <c r="BU216" s="2063">
        <v>14425.110845624453</v>
      </c>
      <c r="BV216" s="2063">
        <v>14466.046297474672</v>
      </c>
      <c r="BW216" s="2063">
        <v>14776.880575472671</v>
      </c>
      <c r="BX216" s="2063">
        <v>0</v>
      </c>
      <c r="BY216" s="2063">
        <v>0</v>
      </c>
      <c r="BZ216" s="2063">
        <v>0</v>
      </c>
      <c r="CA216" s="2063">
        <v>0</v>
      </c>
      <c r="CB216" s="2046"/>
      <c r="CC216" s="2046"/>
      <c r="CD216" s="2046"/>
      <c r="CE216" s="2046"/>
      <c r="CF216" s="2046"/>
      <c r="CG216" s="2156"/>
      <c r="CH216" s="2047"/>
      <c r="CI216" s="2047"/>
      <c r="CJ216" s="2047"/>
      <c r="CK216" s="2047"/>
      <c r="CL216" s="2047"/>
      <c r="CM216" s="2157">
        <v>4.5992508771792923E-2</v>
      </c>
      <c r="CN216" s="2153">
        <v>0</v>
      </c>
      <c r="CO216" s="2047"/>
      <c r="CP216" s="2188">
        <v>-16.835977777777774</v>
      </c>
      <c r="CQ216" s="2188"/>
      <c r="CR216" s="2189">
        <v>1</v>
      </c>
      <c r="CS216" s="2189">
        <v>1</v>
      </c>
      <c r="CV216" s="2253"/>
      <c r="CW216" s="2253"/>
      <c r="CX216" s="2253"/>
      <c r="CY216" s="2253"/>
      <c r="CZ216" s="2253"/>
      <c r="DA216" s="2253"/>
    </row>
    <row r="217" spans="1:105" x14ac:dyDescent="0.25">
      <c r="A217" s="2254" t="s">
        <v>2989</v>
      </c>
      <c r="B217" s="2093"/>
      <c r="C217" s="2094"/>
      <c r="D217" s="2094"/>
      <c r="E217" s="2094"/>
      <c r="F217" s="2094"/>
      <c r="G217" s="2095"/>
      <c r="H217" s="2095"/>
      <c r="I217" s="2094"/>
      <c r="J217" s="2095"/>
      <c r="K217" s="2096"/>
      <c r="L217" s="2096"/>
      <c r="M217" s="2096"/>
      <c r="N217" s="2096"/>
      <c r="O217" s="2096"/>
      <c r="P217" s="2096"/>
      <c r="Q217" s="2094"/>
      <c r="R217" s="2094"/>
      <c r="S217" s="2094"/>
      <c r="T217" s="2094"/>
      <c r="U217" s="2096"/>
      <c r="V217" s="2096"/>
      <c r="W217" s="2096"/>
      <c r="X217" s="2096"/>
      <c r="Y217" s="2095"/>
      <c r="Z217" s="2095"/>
      <c r="AA217" s="2095"/>
      <c r="AB217" s="2095"/>
      <c r="AC217" s="2096"/>
      <c r="AD217" s="2096"/>
      <c r="AE217" s="2096"/>
      <c r="AF217" s="2096"/>
      <c r="AG217" s="2094"/>
      <c r="AH217" s="2095"/>
      <c r="AI217" s="2095"/>
      <c r="AJ217" s="2095"/>
      <c r="AK217" s="2094"/>
      <c r="AL217" s="2095"/>
      <c r="AM217" s="2095"/>
      <c r="AN217" s="2095"/>
      <c r="AO217" s="2094"/>
      <c r="AP217" s="2095"/>
      <c r="AQ217" s="2095"/>
      <c r="AR217" s="2095"/>
      <c r="AS217" s="2095"/>
      <c r="AT217" s="2094"/>
      <c r="AU217" s="2095"/>
      <c r="AV217" s="2095"/>
      <c r="AW217" s="2095"/>
      <c r="AX217" s="1974"/>
      <c r="AY217" s="1974"/>
      <c r="AZ217" s="1974"/>
      <c r="BA217" s="1974"/>
      <c r="BB217" s="1974"/>
      <c r="BC217" s="1974"/>
      <c r="BD217" s="1974"/>
      <c r="BE217" s="1974"/>
      <c r="BF217" s="1974"/>
      <c r="BG217" s="1974"/>
      <c r="BH217" s="1974"/>
      <c r="BI217" s="1974"/>
      <c r="BJ217" s="1974"/>
      <c r="BK217" s="1974"/>
      <c r="BL217" s="1974"/>
      <c r="BM217" s="1974"/>
      <c r="BN217" s="1974"/>
      <c r="BO217" s="1974"/>
      <c r="BP217" s="1974"/>
      <c r="BQ217" s="1974"/>
      <c r="BR217" s="1974"/>
      <c r="BS217" s="1974"/>
      <c r="BT217" s="1974"/>
      <c r="BU217" s="1974"/>
      <c r="BV217" s="1974"/>
      <c r="BW217" s="1974"/>
      <c r="BX217" s="1974"/>
      <c r="BY217" s="1974"/>
      <c r="BZ217" s="2009"/>
      <c r="CA217" s="2009"/>
      <c r="CB217" s="1974"/>
      <c r="CC217" s="1974"/>
      <c r="CD217" s="1974"/>
      <c r="CE217" s="1974"/>
      <c r="CF217" s="1974"/>
      <c r="CG217" s="2009"/>
      <c r="CH217" s="1974"/>
      <c r="CI217" s="1974"/>
      <c r="CJ217" s="1974"/>
      <c r="CK217" s="1974"/>
      <c r="CL217" s="1974"/>
      <c r="CM217" s="2033">
        <v>0</v>
      </c>
      <c r="CN217" s="2026">
        <v>0</v>
      </c>
      <c r="CO217" s="1974"/>
      <c r="CP217" s="2040">
        <v>0</v>
      </c>
      <c r="CQ217" s="2040"/>
      <c r="CR217" s="2062">
        <v>1</v>
      </c>
      <c r="CS217" s="2062">
        <v>1</v>
      </c>
    </row>
    <row r="218" spans="1:105" x14ac:dyDescent="0.25">
      <c r="A218" s="2092" t="s">
        <v>2990</v>
      </c>
      <c r="B218" s="2093"/>
      <c r="C218" s="2094"/>
      <c r="D218" s="2094"/>
      <c r="E218" s="2094"/>
      <c r="F218" s="2094"/>
      <c r="G218" s="2095"/>
      <c r="H218" s="2095"/>
      <c r="I218" s="2094"/>
      <c r="J218" s="2095"/>
      <c r="K218" s="2096"/>
      <c r="L218" s="2096"/>
      <c r="M218" s="2096"/>
      <c r="N218" s="2096"/>
      <c r="O218" s="2096"/>
      <c r="P218" s="2096"/>
      <c r="Q218" s="2094"/>
      <c r="R218" s="2094"/>
      <c r="S218" s="2094"/>
      <c r="T218" s="2094"/>
      <c r="U218" s="2096"/>
      <c r="V218" s="2096"/>
      <c r="W218" s="2096"/>
      <c r="X218" s="2096"/>
      <c r="Y218" s="2095"/>
      <c r="Z218" s="2095"/>
      <c r="AA218" s="2095"/>
      <c r="AB218" s="2095"/>
      <c r="AC218" s="2096"/>
      <c r="AD218" s="2096"/>
      <c r="AE218" s="2096"/>
      <c r="AF218" s="2096"/>
      <c r="AG218" s="2094"/>
      <c r="AH218" s="2095"/>
      <c r="AI218" s="2095"/>
      <c r="AJ218" s="2095"/>
      <c r="AK218" s="2094"/>
      <c r="AL218" s="2095"/>
      <c r="AM218" s="2095"/>
      <c r="AN218" s="2095"/>
      <c r="AO218" s="2094"/>
      <c r="AP218" s="2095"/>
      <c r="AQ218" s="2095"/>
      <c r="AR218" s="2095"/>
      <c r="AS218" s="2095"/>
      <c r="AT218" s="2094"/>
      <c r="AU218" s="2095"/>
      <c r="AV218" s="2095"/>
      <c r="AW218" s="2095"/>
      <c r="AX218" s="1974"/>
      <c r="AY218" s="1974"/>
      <c r="AZ218" s="1974"/>
      <c r="BA218" s="1974"/>
      <c r="BB218" s="1974"/>
      <c r="BC218" s="1974"/>
      <c r="BD218" s="1974"/>
      <c r="BE218" s="1974"/>
      <c r="BF218" s="1974"/>
      <c r="BG218" s="1974"/>
      <c r="BH218" s="1974"/>
      <c r="BI218" s="1974"/>
      <c r="BJ218" s="1974"/>
      <c r="BK218" s="1974"/>
      <c r="BL218" s="1974"/>
      <c r="BM218" s="1974"/>
      <c r="BN218" s="1974"/>
      <c r="BO218" s="1974"/>
      <c r="BP218" s="1974"/>
      <c r="BQ218" s="1974"/>
      <c r="BR218" s="1974"/>
      <c r="BS218" s="1974"/>
      <c r="BT218" s="1974"/>
      <c r="BU218" s="1974"/>
      <c r="BV218" s="1974"/>
      <c r="BW218" s="1974"/>
      <c r="BX218" s="1974"/>
      <c r="BY218" s="1974"/>
      <c r="BZ218" s="2009"/>
      <c r="CA218" s="2009"/>
      <c r="CB218" s="1974"/>
      <c r="CC218" s="1974"/>
      <c r="CD218" s="1974"/>
      <c r="CE218" s="1974"/>
      <c r="CF218" s="1974"/>
      <c r="CG218" s="2009"/>
      <c r="CH218" s="1974"/>
      <c r="CI218" s="1974"/>
      <c r="CJ218" s="1974"/>
      <c r="CK218" s="1974"/>
      <c r="CL218" s="1974"/>
      <c r="CM218" s="2033">
        <v>0</v>
      </c>
      <c r="CN218" s="2026">
        <v>0</v>
      </c>
      <c r="CO218" s="1974"/>
      <c r="CP218" s="2040">
        <v>0</v>
      </c>
      <c r="CQ218" s="2040"/>
      <c r="CR218" s="2062">
        <v>1</v>
      </c>
      <c r="CS218" s="2062">
        <v>1</v>
      </c>
    </row>
    <row r="219" spans="1:105" x14ac:dyDescent="0.25">
      <c r="A219" s="2092" t="s">
        <v>2991</v>
      </c>
      <c r="B219" s="2093"/>
      <c r="C219" s="2094"/>
      <c r="D219" s="2094"/>
      <c r="E219" s="2094"/>
      <c r="F219" s="2094"/>
      <c r="G219" s="2095"/>
      <c r="H219" s="2095"/>
      <c r="I219" s="2094"/>
      <c r="J219" s="2095"/>
      <c r="K219" s="2096"/>
      <c r="L219" s="2096"/>
      <c r="M219" s="2096"/>
      <c r="N219" s="2096"/>
      <c r="O219" s="2096"/>
      <c r="P219" s="2096"/>
      <c r="Q219" s="2094"/>
      <c r="R219" s="2094"/>
      <c r="S219" s="2094"/>
      <c r="T219" s="2094"/>
      <c r="U219" s="2096"/>
      <c r="V219" s="2096"/>
      <c r="W219" s="2096"/>
      <c r="X219" s="2096"/>
      <c r="Y219" s="2095"/>
      <c r="Z219" s="2095"/>
      <c r="AA219" s="2095"/>
      <c r="AB219" s="2095"/>
      <c r="AC219" s="2096"/>
      <c r="AD219" s="2096"/>
      <c r="AE219" s="2096"/>
      <c r="AF219" s="2096"/>
      <c r="AG219" s="2094"/>
      <c r="AH219" s="2095"/>
      <c r="AI219" s="2095"/>
      <c r="AJ219" s="2095"/>
      <c r="AK219" s="2094"/>
      <c r="AL219" s="2095"/>
      <c r="AM219" s="2095"/>
      <c r="AN219" s="2095"/>
      <c r="AO219" s="2094"/>
      <c r="AP219" s="2095"/>
      <c r="AQ219" s="2095"/>
      <c r="AR219" s="2095"/>
      <c r="AS219" s="2095"/>
      <c r="AT219" s="2094"/>
      <c r="AU219" s="2095"/>
      <c r="AV219" s="2095"/>
      <c r="AW219" s="2095"/>
      <c r="AX219" s="1974"/>
      <c r="AY219" s="1974"/>
      <c r="AZ219" s="1974"/>
      <c r="BA219" s="1974"/>
      <c r="BB219" s="1974"/>
      <c r="BC219" s="1974"/>
      <c r="BD219" s="1974"/>
      <c r="BE219" s="1974"/>
      <c r="BF219" s="1974"/>
      <c r="BG219" s="1974"/>
      <c r="BH219" s="1974"/>
      <c r="BI219" s="1974"/>
      <c r="BJ219" s="1974"/>
      <c r="BK219" s="1974"/>
      <c r="BL219" s="1974"/>
      <c r="BM219" s="1974"/>
      <c r="BN219" s="1974"/>
      <c r="BO219" s="1974"/>
      <c r="BP219" s="1974"/>
      <c r="BQ219" s="1974"/>
      <c r="BR219" s="1974"/>
      <c r="BS219" s="1974"/>
      <c r="BT219" s="1974"/>
      <c r="BU219" s="1974"/>
      <c r="BV219" s="1974"/>
      <c r="BW219" s="1974"/>
      <c r="BX219" s="1974"/>
      <c r="BY219" s="1974"/>
      <c r="BZ219" s="2009"/>
      <c r="CA219" s="2009"/>
      <c r="CB219" s="1974"/>
      <c r="CC219" s="1974"/>
      <c r="CD219" s="1974"/>
      <c r="CE219" s="1974"/>
      <c r="CF219" s="1974"/>
      <c r="CG219" s="2009"/>
      <c r="CH219" s="1974"/>
      <c r="CI219" s="1974"/>
      <c r="CJ219" s="1974"/>
      <c r="CK219" s="1974"/>
      <c r="CL219" s="1974"/>
      <c r="CM219" s="2033">
        <v>0</v>
      </c>
      <c r="CN219" s="2026">
        <v>0</v>
      </c>
      <c r="CO219" s="1974"/>
      <c r="CP219" s="2040">
        <v>0</v>
      </c>
      <c r="CQ219" s="2040"/>
      <c r="CR219" s="2062">
        <v>1</v>
      </c>
      <c r="CS219" s="2062">
        <v>1</v>
      </c>
    </row>
    <row r="220" spans="1:105" x14ac:dyDescent="0.25">
      <c r="A220" s="2092" t="s">
        <v>2992</v>
      </c>
      <c r="B220" s="2093"/>
      <c r="C220" s="2094"/>
      <c r="D220" s="2094"/>
      <c r="E220" s="2094"/>
      <c r="F220" s="2094"/>
      <c r="G220" s="2095"/>
      <c r="H220" s="2095"/>
      <c r="I220" s="2094"/>
      <c r="J220" s="2095"/>
      <c r="K220" s="2096"/>
      <c r="L220" s="2096"/>
      <c r="M220" s="2096"/>
      <c r="N220" s="2096"/>
      <c r="O220" s="2096"/>
      <c r="P220" s="2096"/>
      <c r="Q220" s="2094"/>
      <c r="R220" s="2094"/>
      <c r="S220" s="2094"/>
      <c r="T220" s="2094"/>
      <c r="U220" s="2096"/>
      <c r="V220" s="2096"/>
      <c r="W220" s="2096"/>
      <c r="X220" s="2096"/>
      <c r="Y220" s="2095"/>
      <c r="Z220" s="2095"/>
      <c r="AA220" s="2095"/>
      <c r="AB220" s="2095"/>
      <c r="AC220" s="2096"/>
      <c r="AD220" s="2096"/>
      <c r="AE220" s="2096"/>
      <c r="AF220" s="2096"/>
      <c r="AG220" s="2094"/>
      <c r="AH220" s="2095"/>
      <c r="AI220" s="2095"/>
      <c r="AJ220" s="2095"/>
      <c r="AK220" s="2094"/>
      <c r="AL220" s="2095"/>
      <c r="AM220" s="2095"/>
      <c r="AN220" s="2095"/>
      <c r="AO220" s="2094"/>
      <c r="AP220" s="2095"/>
      <c r="AQ220" s="2095"/>
      <c r="AR220" s="2095"/>
      <c r="AS220" s="2095"/>
      <c r="AT220" s="2094"/>
      <c r="AU220" s="2095"/>
      <c r="AV220" s="2095"/>
      <c r="AW220" s="2095"/>
      <c r="AX220" s="1974"/>
      <c r="AY220" s="1974"/>
      <c r="AZ220" s="1974"/>
      <c r="BA220" s="1974"/>
      <c r="BB220" s="1974"/>
      <c r="BC220" s="1974"/>
      <c r="BD220" s="1974"/>
      <c r="BE220" s="1974"/>
      <c r="BF220" s="1974"/>
      <c r="BG220" s="1974"/>
      <c r="BH220" s="1974"/>
      <c r="BI220" s="1974"/>
      <c r="BJ220" s="1974"/>
      <c r="BK220" s="1974"/>
      <c r="BL220" s="1974"/>
      <c r="BM220" s="1974"/>
      <c r="BN220" s="1974"/>
      <c r="BO220" s="1974"/>
      <c r="BP220" s="1974"/>
      <c r="BQ220" s="1974"/>
      <c r="BR220" s="1974"/>
      <c r="BS220" s="1974"/>
      <c r="BT220" s="1974"/>
      <c r="BU220" s="1974"/>
      <c r="BV220" s="1974"/>
      <c r="BW220" s="1974"/>
      <c r="BX220" s="1974"/>
      <c r="BY220" s="1974"/>
      <c r="BZ220" s="2009"/>
      <c r="CA220" s="2009"/>
      <c r="CB220" s="1974"/>
      <c r="CC220" s="1974"/>
      <c r="CD220" s="1974"/>
      <c r="CE220" s="1974"/>
      <c r="CF220" s="1974"/>
      <c r="CG220" s="2009"/>
      <c r="CH220" s="1974"/>
      <c r="CI220" s="1974"/>
      <c r="CJ220" s="1974"/>
      <c r="CK220" s="1974"/>
      <c r="CL220" s="1974"/>
      <c r="CM220" s="2033">
        <v>0</v>
      </c>
      <c r="CN220" s="2026">
        <v>0</v>
      </c>
      <c r="CO220" s="1974"/>
      <c r="CP220" s="2040">
        <v>0</v>
      </c>
      <c r="CQ220" s="2040"/>
      <c r="CR220" s="2062">
        <v>1</v>
      </c>
      <c r="CS220" s="2062">
        <v>1</v>
      </c>
    </row>
    <row r="221" spans="1:105" x14ac:dyDescent="0.25">
      <c r="A221" s="2092" t="s">
        <v>2993</v>
      </c>
      <c r="B221" s="2093"/>
      <c r="C221" s="2102"/>
      <c r="D221" s="2102"/>
      <c r="E221" s="2094"/>
      <c r="F221" s="2094"/>
      <c r="G221" s="2095"/>
      <c r="H221" s="2095"/>
      <c r="I221" s="2094"/>
      <c r="J221" s="2095"/>
      <c r="K221" s="2096"/>
      <c r="L221" s="2096"/>
      <c r="M221" s="2096"/>
      <c r="N221" s="2096"/>
      <c r="O221" s="2096"/>
      <c r="P221" s="2096"/>
      <c r="Q221" s="2094"/>
      <c r="R221" s="2094"/>
      <c r="S221" s="2094"/>
      <c r="T221" s="2094"/>
      <c r="U221" s="2096"/>
      <c r="V221" s="2096"/>
      <c r="W221" s="2096"/>
      <c r="X221" s="2096"/>
      <c r="Y221" s="2095"/>
      <c r="Z221" s="2095"/>
      <c r="AA221" s="2095"/>
      <c r="AB221" s="2095"/>
      <c r="AC221" s="2096"/>
      <c r="AD221" s="2096"/>
      <c r="AE221" s="2096"/>
      <c r="AF221" s="2096"/>
      <c r="AG221" s="2094"/>
      <c r="AH221" s="2095"/>
      <c r="AI221" s="2095"/>
      <c r="AJ221" s="2095"/>
      <c r="AK221" s="2094"/>
      <c r="AL221" s="2095"/>
      <c r="AM221" s="2095"/>
      <c r="AN221" s="2095"/>
      <c r="AO221" s="2094"/>
      <c r="AP221" s="2095"/>
      <c r="AQ221" s="2095"/>
      <c r="AR221" s="2095"/>
      <c r="AS221" s="2095"/>
      <c r="AT221" s="2094"/>
      <c r="AU221" s="2095"/>
      <c r="AV221" s="2095"/>
      <c r="AW221" s="2095"/>
      <c r="AX221" s="1974"/>
      <c r="AY221" s="1974"/>
      <c r="AZ221" s="1974"/>
      <c r="BA221" s="1974"/>
      <c r="BB221" s="1974"/>
      <c r="BC221" s="1974"/>
      <c r="BD221" s="1974"/>
      <c r="BE221" s="1974"/>
      <c r="BF221" s="1974"/>
      <c r="BG221" s="1974"/>
      <c r="BH221" s="1974"/>
      <c r="BI221" s="1974"/>
      <c r="BJ221" s="1974"/>
      <c r="BK221" s="1974"/>
      <c r="BL221" s="1974"/>
      <c r="BM221" s="1974"/>
      <c r="BN221" s="1974"/>
      <c r="BO221" s="1974"/>
      <c r="BP221" s="1974"/>
      <c r="BQ221" s="1974"/>
      <c r="BR221" s="1974"/>
      <c r="BS221" s="1974"/>
      <c r="BT221" s="1974"/>
      <c r="BU221" s="1974"/>
      <c r="BV221" s="1974"/>
      <c r="BW221" s="1974"/>
      <c r="BX221" s="1974"/>
      <c r="BY221" s="1974"/>
      <c r="BZ221" s="2009"/>
      <c r="CA221" s="2009"/>
      <c r="CB221" s="1974"/>
      <c r="CC221" s="1974"/>
      <c r="CD221" s="1974"/>
      <c r="CE221" s="1974"/>
      <c r="CF221" s="1974"/>
      <c r="CG221" s="2009"/>
      <c r="CH221" s="1974"/>
      <c r="CI221" s="1974"/>
      <c r="CJ221" s="1974"/>
      <c r="CK221" s="1974"/>
      <c r="CL221" s="1974"/>
      <c r="CM221" s="2033">
        <v>0</v>
      </c>
      <c r="CN221" s="2026">
        <v>0</v>
      </c>
      <c r="CO221" s="1974"/>
      <c r="CP221" s="2040">
        <v>0</v>
      </c>
      <c r="CQ221" s="2040"/>
      <c r="CR221" s="2062">
        <v>1</v>
      </c>
      <c r="CS221" s="2062">
        <v>1</v>
      </c>
    </row>
    <row r="222" spans="1:105" x14ac:dyDescent="0.25">
      <c r="CB222" s="1974"/>
      <c r="CC222" s="1974"/>
      <c r="CD222" s="1974"/>
      <c r="CE222" s="1974"/>
      <c r="CF222" s="1974"/>
      <c r="CG222" s="2009"/>
      <c r="CH222" s="1974"/>
      <c r="CI222" s="1974"/>
      <c r="CJ222" s="1974"/>
      <c r="CK222" s="1974"/>
      <c r="CL222" s="1974"/>
      <c r="CM222" s="2033">
        <v>0</v>
      </c>
      <c r="CN222" s="2026">
        <v>0</v>
      </c>
      <c r="CO222" s="1974"/>
      <c r="CP222" s="2040">
        <v>0</v>
      </c>
      <c r="CQ222" s="2040"/>
      <c r="CR222" s="2062">
        <v>1</v>
      </c>
      <c r="CS222" s="2062">
        <v>1</v>
      </c>
    </row>
    <row r="223" spans="1:105" x14ac:dyDescent="0.25">
      <c r="CB223" s="1974"/>
      <c r="CC223" s="1974"/>
      <c r="CD223" s="1974"/>
      <c r="CE223" s="1974"/>
      <c r="CF223" s="1974"/>
      <c r="CG223" s="2009"/>
      <c r="CH223" s="1974"/>
      <c r="CI223" s="1974"/>
      <c r="CJ223" s="1974"/>
      <c r="CK223" s="1974"/>
      <c r="CL223" s="1974"/>
      <c r="CM223" s="2033">
        <v>0</v>
      </c>
      <c r="CN223" s="2026">
        <v>0</v>
      </c>
      <c r="CO223" s="1974"/>
      <c r="CP223" s="2040">
        <v>0</v>
      </c>
      <c r="CQ223" s="2040"/>
      <c r="CR223" s="2062">
        <v>1</v>
      </c>
      <c r="CS223" s="2062">
        <v>1</v>
      </c>
    </row>
    <row r="224" spans="1:105" x14ac:dyDescent="0.25">
      <c r="A224" s="2255" t="s">
        <v>2994</v>
      </c>
      <c r="B224" s="2093"/>
      <c r="C224" s="2094"/>
      <c r="D224" s="2094"/>
      <c r="E224" s="2094"/>
      <c r="F224" s="2094"/>
      <c r="G224" s="2095"/>
      <c r="H224" s="2095"/>
      <c r="I224" s="2094"/>
      <c r="J224" s="2095"/>
      <c r="K224" s="2096"/>
      <c r="L224" s="2096"/>
      <c r="M224" s="2096"/>
      <c r="N224" s="2096"/>
      <c r="O224" s="2096"/>
      <c r="P224" s="2096"/>
      <c r="Q224" s="2094"/>
      <c r="R224" s="2094"/>
      <c r="S224" s="2094"/>
      <c r="T224" s="2094"/>
      <c r="U224" s="2096"/>
      <c r="V224" s="2096"/>
      <c r="W224" s="2096"/>
      <c r="X224" s="2096"/>
      <c r="Y224" s="2095"/>
      <c r="Z224" s="2095"/>
      <c r="AA224" s="2095"/>
      <c r="AB224" s="2095"/>
      <c r="AC224" s="2096"/>
      <c r="AD224" s="2096"/>
      <c r="AE224" s="2096"/>
      <c r="AF224" s="2096"/>
      <c r="AG224" s="2094"/>
      <c r="AH224" s="2095"/>
      <c r="AI224" s="2095"/>
      <c r="AJ224" s="2095"/>
      <c r="AK224" s="2094"/>
      <c r="AL224" s="2095"/>
      <c r="AM224" s="2095"/>
      <c r="AN224" s="2095"/>
      <c r="AO224" s="2094"/>
      <c r="AP224" s="2095"/>
      <c r="AQ224" s="2095"/>
      <c r="AR224" s="2095"/>
      <c r="AS224" s="2095"/>
      <c r="AT224" s="2094"/>
      <c r="AU224" s="2095"/>
      <c r="AV224" s="2095"/>
      <c r="AW224" s="2095"/>
      <c r="AX224" s="1974"/>
      <c r="AY224" s="1974"/>
      <c r="AZ224" s="1974"/>
      <c r="BA224" s="1974"/>
      <c r="BB224" s="1974"/>
      <c r="BC224" s="1974"/>
      <c r="BD224" s="1974"/>
      <c r="BE224" s="1974"/>
      <c r="BF224" s="1974"/>
      <c r="BG224" s="1974"/>
      <c r="BH224" s="1974"/>
      <c r="BI224" s="1974"/>
      <c r="BJ224" s="1974"/>
      <c r="BK224" s="1974"/>
      <c r="BL224" s="1974"/>
      <c r="BM224" s="1974"/>
      <c r="BN224" s="1974"/>
      <c r="BO224" s="1974"/>
      <c r="BP224" s="1974"/>
      <c r="BQ224" s="1974"/>
      <c r="BR224" s="1974"/>
      <c r="BS224" s="1974"/>
      <c r="BT224" s="1974"/>
      <c r="BU224" s="1974"/>
      <c r="BV224" s="1974"/>
      <c r="BW224" s="1974"/>
      <c r="BX224" s="1974"/>
      <c r="BY224" s="1974"/>
      <c r="BZ224" s="2009"/>
      <c r="CA224" s="2009"/>
      <c r="CB224" s="1974"/>
      <c r="CC224" s="1974"/>
      <c r="CD224" s="1974"/>
      <c r="CE224" s="1974"/>
      <c r="CF224" s="1974"/>
      <c r="CG224" s="2009"/>
      <c r="CH224" s="1974"/>
      <c r="CI224" s="1974"/>
      <c r="CJ224" s="1974"/>
      <c r="CK224" s="1974"/>
      <c r="CL224" s="1974"/>
      <c r="CM224" s="2033">
        <v>0</v>
      </c>
      <c r="CN224" s="2026">
        <v>0</v>
      </c>
      <c r="CO224" s="1974"/>
      <c r="CP224" s="2040">
        <v>0</v>
      </c>
      <c r="CQ224" s="2040"/>
      <c r="CR224" s="2062">
        <v>1</v>
      </c>
      <c r="CS224" s="2062">
        <v>1</v>
      </c>
    </row>
    <row r="225" spans="1:105" s="2115" customFormat="1" x14ac:dyDescent="0.25">
      <c r="A225" s="2104" t="s">
        <v>207</v>
      </c>
      <c r="B225" s="2105"/>
      <c r="C225" s="2106">
        <v>10</v>
      </c>
      <c r="D225" s="2106"/>
      <c r="E225" s="2107">
        <v>330</v>
      </c>
      <c r="F225" s="2107"/>
      <c r="G225" s="2107">
        <v>0</v>
      </c>
      <c r="H225" s="2107"/>
      <c r="I225" s="2106">
        <v>0</v>
      </c>
      <c r="J225" s="2027"/>
      <c r="K225" s="2108" t="s">
        <v>2285</v>
      </c>
      <c r="L225" s="2108" t="s">
        <v>2285</v>
      </c>
      <c r="M225" s="2108">
        <v>0.79999999999999993</v>
      </c>
      <c r="N225" s="2108">
        <v>0.79999999999999993</v>
      </c>
      <c r="O225" s="2108">
        <v>0.79999999999999993</v>
      </c>
      <c r="P225" s="2108">
        <v>0.79999999999999993</v>
      </c>
      <c r="Q225" s="2109">
        <f t="shared" ref="Q225:T240" si="99">$E225*M225</f>
        <v>264</v>
      </c>
      <c r="R225" s="2109">
        <f t="shared" si="99"/>
        <v>264</v>
      </c>
      <c r="S225" s="2109">
        <f t="shared" si="99"/>
        <v>264</v>
      </c>
      <c r="T225" s="2109">
        <f t="shared" si="99"/>
        <v>264</v>
      </c>
      <c r="U225" s="2108">
        <v>0.79999999999999993</v>
      </c>
      <c r="V225" s="2108">
        <v>0.79999999999999993</v>
      </c>
      <c r="W225" s="2108">
        <v>0.79999999999999993</v>
      </c>
      <c r="X225" s="2108">
        <v>0.79999999999999993</v>
      </c>
      <c r="Y225" s="2110">
        <f t="shared" ref="Y225:AB240" si="100">$G225*U225</f>
        <v>0</v>
      </c>
      <c r="Z225" s="2110">
        <f t="shared" si="100"/>
        <v>0</v>
      </c>
      <c r="AA225" s="2110">
        <f t="shared" si="100"/>
        <v>0</v>
      </c>
      <c r="AB225" s="2110">
        <f>$G225*X225</f>
        <v>0</v>
      </c>
      <c r="AC225" s="2108">
        <v>0.60399999999999998</v>
      </c>
      <c r="AD225" s="2108">
        <v>0.60399999999999998</v>
      </c>
      <c r="AE225" s="2108">
        <v>0.60399999999999998</v>
      </c>
      <c r="AF225" s="2108">
        <v>0.60399999999999998</v>
      </c>
      <c r="AG225" s="2027">
        <f t="shared" ref="AG225:AI227" si="101">$I225*AC225</f>
        <v>0</v>
      </c>
      <c r="AH225" s="2027">
        <f t="shared" si="101"/>
        <v>0</v>
      </c>
      <c r="AI225" s="2027">
        <f t="shared" si="101"/>
        <v>0</v>
      </c>
      <c r="AJ225" s="2027">
        <f>$I225*AF225</f>
        <v>0</v>
      </c>
      <c r="AK225" s="2027">
        <v>15</v>
      </c>
      <c r="AL225" s="2027">
        <v>16</v>
      </c>
      <c r="AM225" s="2027">
        <v>20</v>
      </c>
      <c r="AN225" s="2027">
        <v>17</v>
      </c>
      <c r="AO225" s="2027">
        <f t="shared" ref="AO225:AO246" si="102">AK225*Q225</f>
        <v>3960</v>
      </c>
      <c r="AP225" s="2027">
        <f t="shared" ref="AP225:AQ246" si="103">AL225*R225*CS225</f>
        <v>4224</v>
      </c>
      <c r="AQ225" s="2027">
        <f t="shared" si="103"/>
        <v>5280</v>
      </c>
      <c r="AR225" s="2027"/>
      <c r="AS225" s="2027">
        <f t="shared" ref="AS225:AS246" si="104">AN225*T225*CU225</f>
        <v>4488</v>
      </c>
      <c r="AT225" s="2109">
        <f t="shared" ref="AT225:AT246" si="105">AK225*AG225</f>
        <v>0</v>
      </c>
      <c r="AU225" s="2027">
        <f t="shared" ref="AU225:AW246" si="106">AL225*AH225*CS225</f>
        <v>0</v>
      </c>
      <c r="AV225" s="2027">
        <f t="shared" si="106"/>
        <v>0</v>
      </c>
      <c r="AW225" s="2027">
        <f t="shared" si="106"/>
        <v>0</v>
      </c>
      <c r="AX225" s="2111">
        <v>150</v>
      </c>
      <c r="AY225" s="2029">
        <v>150</v>
      </c>
      <c r="AZ225" s="2029">
        <v>150</v>
      </c>
      <c r="BA225" s="2029">
        <v>150</v>
      </c>
      <c r="BB225" s="2111">
        <v>0</v>
      </c>
      <c r="BC225" s="2029">
        <v>0</v>
      </c>
      <c r="BD225" s="2029">
        <v>0</v>
      </c>
      <c r="BE225" s="2029">
        <v>0</v>
      </c>
      <c r="BF225" s="2111">
        <v>300</v>
      </c>
      <c r="BG225" s="2029">
        <v>300</v>
      </c>
      <c r="BH225" s="2029">
        <v>300</v>
      </c>
      <c r="BI225" s="2029">
        <v>300</v>
      </c>
      <c r="BJ225" s="2030">
        <f t="shared" ref="BJ225:BL246" si="107">AX225*AK225</f>
        <v>2250</v>
      </c>
      <c r="BK225" s="2030">
        <f t="shared" si="107"/>
        <v>2400</v>
      </c>
      <c r="BL225" s="2030">
        <f t="shared" si="107"/>
        <v>3000</v>
      </c>
      <c r="BM225" s="2030"/>
      <c r="BN225" s="2030">
        <f t="shared" ref="BN225:BN246" si="108">BA225*AN225</f>
        <v>2550</v>
      </c>
      <c r="BO225" s="2030">
        <f t="shared" ref="BO225:BO246" si="109">BB225*AK225</f>
        <v>0</v>
      </c>
      <c r="BP225" s="2030"/>
      <c r="BQ225" s="2030">
        <f t="shared" ref="BQ225:BS246" si="110">BC225*AL225</f>
        <v>0</v>
      </c>
      <c r="BR225" s="2030">
        <f t="shared" si="110"/>
        <v>0</v>
      </c>
      <c r="BS225" s="2030">
        <f t="shared" si="110"/>
        <v>0</v>
      </c>
      <c r="BT225" s="2111"/>
      <c r="BU225" s="2111"/>
      <c r="BV225" s="2111"/>
      <c r="BW225" s="2111"/>
      <c r="BX225" s="2111"/>
      <c r="BY225" s="2111"/>
      <c r="BZ225" s="2111"/>
      <c r="CA225" s="2111"/>
      <c r="CB225" s="2029"/>
      <c r="CC225" s="2029"/>
      <c r="CD225" s="2029"/>
      <c r="CE225" s="2029"/>
      <c r="CF225" s="2029"/>
      <c r="CG225" s="2032"/>
      <c r="CH225" s="2112"/>
      <c r="CI225" s="2112"/>
      <c r="CJ225" s="2112"/>
      <c r="CK225" s="2112"/>
      <c r="CL225" s="2112">
        <v>0</v>
      </c>
      <c r="CM225" s="2033">
        <v>1.4148362725918311E-5</v>
      </c>
      <c r="CN225" s="2026">
        <v>0</v>
      </c>
      <c r="CO225" s="2112">
        <v>0</v>
      </c>
      <c r="CP225" s="2040">
        <v>0</v>
      </c>
      <c r="CQ225" s="2040"/>
      <c r="CR225" s="2062">
        <v>1</v>
      </c>
      <c r="CS225" s="2062">
        <v>1</v>
      </c>
      <c r="CT225" s="2256">
        <v>1</v>
      </c>
      <c r="CU225" s="2256">
        <v>1</v>
      </c>
      <c r="CV225" s="2036"/>
      <c r="CW225" s="2036"/>
      <c r="CX225" s="2036"/>
      <c r="CY225" s="2049"/>
      <c r="CZ225" s="2049"/>
      <c r="DA225" s="2049"/>
    </row>
    <row r="226" spans="1:105" s="2115" customFormat="1" x14ac:dyDescent="0.25">
      <c r="A226" s="2104" t="s">
        <v>272</v>
      </c>
      <c r="B226" s="2105"/>
      <c r="C226" s="2106"/>
      <c r="D226" s="2106"/>
      <c r="E226" s="2107"/>
      <c r="F226" s="2107"/>
      <c r="G226" s="2107"/>
      <c r="H226" s="2107"/>
      <c r="I226" s="2106"/>
      <c r="J226" s="2027"/>
      <c r="K226" s="2108" t="s">
        <v>2285</v>
      </c>
      <c r="L226" s="2108" t="s">
        <v>2285</v>
      </c>
      <c r="M226" s="2108">
        <v>0.79999999999999993</v>
      </c>
      <c r="N226" s="2108">
        <v>0.79999999999999993</v>
      </c>
      <c r="O226" s="2108">
        <v>0.79999999999999993</v>
      </c>
      <c r="P226" s="2108">
        <v>0.79999999999999993</v>
      </c>
      <c r="Q226" s="2109">
        <f t="shared" si="99"/>
        <v>0</v>
      </c>
      <c r="R226" s="2109">
        <f t="shared" si="99"/>
        <v>0</v>
      </c>
      <c r="S226" s="2109">
        <f t="shared" si="99"/>
        <v>0</v>
      </c>
      <c r="T226" s="2109">
        <f t="shared" si="99"/>
        <v>0</v>
      </c>
      <c r="U226" s="2108">
        <v>0.79999999999999993</v>
      </c>
      <c r="V226" s="2108">
        <v>0.79999999999999993</v>
      </c>
      <c r="W226" s="2108">
        <v>0.79999999999999993</v>
      </c>
      <c r="X226" s="2108">
        <v>0.79999999999999993</v>
      </c>
      <c r="Y226" s="2110">
        <f t="shared" si="100"/>
        <v>0</v>
      </c>
      <c r="Z226" s="2110">
        <f t="shared" si="100"/>
        <v>0</v>
      </c>
      <c r="AA226" s="2110">
        <f t="shared" si="100"/>
        <v>0</v>
      </c>
      <c r="AB226" s="2110">
        <f>$G226*X226</f>
        <v>0</v>
      </c>
      <c r="AC226" s="2108">
        <v>0.60399999999999998</v>
      </c>
      <c r="AD226" s="2108">
        <v>0.60399999999999998</v>
      </c>
      <c r="AE226" s="2108">
        <v>0.60399999999999998</v>
      </c>
      <c r="AF226" s="2108">
        <v>0.60399999999999998</v>
      </c>
      <c r="AG226" s="2027">
        <f t="shared" si="101"/>
        <v>0</v>
      </c>
      <c r="AH226" s="2027">
        <f t="shared" si="101"/>
        <v>0</v>
      </c>
      <c r="AI226" s="2027">
        <f t="shared" si="101"/>
        <v>0</v>
      </c>
      <c r="AJ226" s="2027">
        <f>$I226*AF226</f>
        <v>0</v>
      </c>
      <c r="AK226" s="2027">
        <v>0</v>
      </c>
      <c r="AL226" s="2027">
        <v>0</v>
      </c>
      <c r="AM226" s="2027">
        <v>0</v>
      </c>
      <c r="AN226" s="2027">
        <v>0</v>
      </c>
      <c r="AO226" s="2027">
        <f t="shared" si="102"/>
        <v>0</v>
      </c>
      <c r="AP226" s="2027">
        <f t="shared" si="103"/>
        <v>0</v>
      </c>
      <c r="AQ226" s="2027">
        <f t="shared" si="103"/>
        <v>0</v>
      </c>
      <c r="AR226" s="2027"/>
      <c r="AS226" s="2027">
        <f t="shared" si="104"/>
        <v>0</v>
      </c>
      <c r="AT226" s="2109">
        <f t="shared" si="105"/>
        <v>0</v>
      </c>
      <c r="AU226" s="2027">
        <f t="shared" si="106"/>
        <v>0</v>
      </c>
      <c r="AV226" s="2027">
        <f t="shared" si="106"/>
        <v>0</v>
      </c>
      <c r="AW226" s="2027">
        <f t="shared" si="106"/>
        <v>0</v>
      </c>
      <c r="AX226" s="2111"/>
      <c r="AY226" s="2029">
        <v>0</v>
      </c>
      <c r="AZ226" s="2029">
        <v>0</v>
      </c>
      <c r="BA226" s="2029">
        <v>0</v>
      </c>
      <c r="BB226" s="2111"/>
      <c r="BC226" s="2029">
        <v>0</v>
      </c>
      <c r="BD226" s="2029">
        <v>0</v>
      </c>
      <c r="BE226" s="2029">
        <v>0</v>
      </c>
      <c r="BF226" s="2112"/>
      <c r="BG226" s="2029">
        <v>0</v>
      </c>
      <c r="BH226" s="2029">
        <v>0</v>
      </c>
      <c r="BI226" s="2029">
        <v>0</v>
      </c>
      <c r="BJ226" s="2030">
        <f t="shared" si="107"/>
        <v>0</v>
      </c>
      <c r="BK226" s="2030">
        <f t="shared" si="107"/>
        <v>0</v>
      </c>
      <c r="BL226" s="2030">
        <f t="shared" si="107"/>
        <v>0</v>
      </c>
      <c r="BM226" s="2030"/>
      <c r="BN226" s="2030">
        <f t="shared" si="108"/>
        <v>0</v>
      </c>
      <c r="BO226" s="2030">
        <f t="shared" si="109"/>
        <v>0</v>
      </c>
      <c r="BP226" s="2030"/>
      <c r="BQ226" s="2030">
        <f t="shared" si="110"/>
        <v>0</v>
      </c>
      <c r="BR226" s="2030">
        <f t="shared" si="110"/>
        <v>0</v>
      </c>
      <c r="BS226" s="2030">
        <f t="shared" si="110"/>
        <v>0</v>
      </c>
      <c r="BT226" s="2111"/>
      <c r="BU226" s="2111"/>
      <c r="BV226" s="2111"/>
      <c r="BW226" s="2111"/>
      <c r="BX226" s="2111"/>
      <c r="BY226" s="2111"/>
      <c r="BZ226" s="2111"/>
      <c r="CA226" s="2111"/>
      <c r="CB226" s="2029"/>
      <c r="CC226" s="2029"/>
      <c r="CD226" s="2029"/>
      <c r="CE226" s="2029"/>
      <c r="CF226" s="2029"/>
      <c r="CG226" s="2032"/>
      <c r="CH226" s="2112"/>
      <c r="CI226" s="2112"/>
      <c r="CJ226" s="2112"/>
      <c r="CK226" s="2112"/>
      <c r="CL226" s="2112">
        <v>0</v>
      </c>
      <c r="CM226" s="2033">
        <v>0</v>
      </c>
      <c r="CN226" s="2026">
        <v>0</v>
      </c>
      <c r="CO226" s="2112">
        <v>0</v>
      </c>
      <c r="CP226" s="2040">
        <v>0</v>
      </c>
      <c r="CQ226" s="2040"/>
      <c r="CR226" s="2062">
        <v>1</v>
      </c>
      <c r="CS226" s="2062">
        <v>1</v>
      </c>
      <c r="CT226" s="2257">
        <v>1</v>
      </c>
      <c r="CU226" s="2257">
        <v>1</v>
      </c>
      <c r="CV226" s="2036"/>
      <c r="CW226" s="2036"/>
      <c r="CX226" s="2036"/>
      <c r="CY226" s="2049"/>
      <c r="CZ226" s="2049"/>
      <c r="DA226" s="2049"/>
    </row>
    <row r="227" spans="1:105" x14ac:dyDescent="0.25">
      <c r="A227" s="2104" t="s">
        <v>208</v>
      </c>
      <c r="B227" s="2105"/>
      <c r="C227" s="2106">
        <v>18</v>
      </c>
      <c r="D227" s="2106"/>
      <c r="E227" s="2107">
        <v>4596</v>
      </c>
      <c r="F227" s="2107"/>
      <c r="G227" s="2107">
        <v>1.4</v>
      </c>
      <c r="H227" s="2107"/>
      <c r="I227" s="2106">
        <v>0</v>
      </c>
      <c r="J227" s="2027"/>
      <c r="K227" s="2108" t="s">
        <v>2285</v>
      </c>
      <c r="L227" s="2108" t="s">
        <v>2285</v>
      </c>
      <c r="M227" s="2108">
        <v>0.79999999999999993</v>
      </c>
      <c r="N227" s="2108">
        <v>0.79999999999999993</v>
      </c>
      <c r="O227" s="2108">
        <v>0.79999999999999993</v>
      </c>
      <c r="P227" s="2108">
        <v>0.79999999999999993</v>
      </c>
      <c r="Q227" s="2109">
        <f t="shared" si="99"/>
        <v>3676.7999999999997</v>
      </c>
      <c r="R227" s="2109">
        <f t="shared" si="99"/>
        <v>3676.7999999999997</v>
      </c>
      <c r="S227" s="2109">
        <f t="shared" si="99"/>
        <v>3676.7999999999997</v>
      </c>
      <c r="T227" s="2109">
        <f t="shared" si="99"/>
        <v>3676.7999999999997</v>
      </c>
      <c r="U227" s="2108">
        <v>0.79999999999999993</v>
      </c>
      <c r="V227" s="2108">
        <v>0.79999999999999993</v>
      </c>
      <c r="W227" s="2108">
        <v>0.79999999999999993</v>
      </c>
      <c r="X227" s="2108">
        <v>0.79999999999999993</v>
      </c>
      <c r="Y227" s="2110">
        <f t="shared" si="100"/>
        <v>1.1199999999999999</v>
      </c>
      <c r="Z227" s="2110">
        <f t="shared" si="100"/>
        <v>1.1199999999999999</v>
      </c>
      <c r="AA227" s="2110">
        <f t="shared" si="100"/>
        <v>1.1199999999999999</v>
      </c>
      <c r="AB227" s="2110">
        <f>$G227*X227</f>
        <v>1.1199999999999999</v>
      </c>
      <c r="AC227" s="2108">
        <v>0.60399999999999998</v>
      </c>
      <c r="AD227" s="2108">
        <v>0.60399999999999998</v>
      </c>
      <c r="AE227" s="2108">
        <v>0.60399999999999998</v>
      </c>
      <c r="AF227" s="2108">
        <v>0.60399999999999998</v>
      </c>
      <c r="AG227" s="2027">
        <f t="shared" si="101"/>
        <v>0</v>
      </c>
      <c r="AH227" s="2027">
        <f t="shared" si="101"/>
        <v>0</v>
      </c>
      <c r="AI227" s="2027">
        <f t="shared" si="101"/>
        <v>0</v>
      </c>
      <c r="AJ227" s="2027">
        <f>$I227*AF227</f>
        <v>0</v>
      </c>
      <c r="AK227" s="2027">
        <v>18</v>
      </c>
      <c r="AL227" s="2027">
        <v>19</v>
      </c>
      <c r="AM227" s="2027">
        <v>39</v>
      </c>
      <c r="AN227" s="2027">
        <v>40</v>
      </c>
      <c r="AO227" s="2027">
        <f t="shared" si="102"/>
        <v>66182.399999999994</v>
      </c>
      <c r="AP227" s="2027">
        <f t="shared" si="103"/>
        <v>69859.199999999997</v>
      </c>
      <c r="AQ227" s="2027">
        <f t="shared" si="103"/>
        <v>143395.19999999998</v>
      </c>
      <c r="AR227" s="2027"/>
      <c r="AS227" s="2027">
        <f t="shared" si="104"/>
        <v>147072</v>
      </c>
      <c r="AT227" s="2109">
        <f t="shared" si="105"/>
        <v>0</v>
      </c>
      <c r="AU227" s="2027">
        <f t="shared" si="106"/>
        <v>0</v>
      </c>
      <c r="AV227" s="2027">
        <f t="shared" si="106"/>
        <v>0</v>
      </c>
      <c r="AW227" s="2027">
        <f t="shared" si="106"/>
        <v>0</v>
      </c>
      <c r="AX227" s="2111">
        <v>700</v>
      </c>
      <c r="AY227" s="2029">
        <v>700</v>
      </c>
      <c r="AZ227" s="2029">
        <v>700</v>
      </c>
      <c r="BA227" s="2029">
        <v>700</v>
      </c>
      <c r="BB227" s="2111"/>
      <c r="BC227" s="2029">
        <v>0</v>
      </c>
      <c r="BD227" s="2029">
        <v>0</v>
      </c>
      <c r="BE227" s="2029">
        <v>0</v>
      </c>
      <c r="BF227" s="2111">
        <v>3750</v>
      </c>
      <c r="BG227" s="2029">
        <v>3750</v>
      </c>
      <c r="BH227" s="2029">
        <v>3750</v>
      </c>
      <c r="BI227" s="2029">
        <v>3750</v>
      </c>
      <c r="BJ227" s="2030">
        <f t="shared" si="107"/>
        <v>12600</v>
      </c>
      <c r="BK227" s="2030">
        <f t="shared" si="107"/>
        <v>13300</v>
      </c>
      <c r="BL227" s="2030">
        <f t="shared" si="107"/>
        <v>27300</v>
      </c>
      <c r="BM227" s="2030"/>
      <c r="BN227" s="2030">
        <f t="shared" si="108"/>
        <v>28000</v>
      </c>
      <c r="BO227" s="2030">
        <f t="shared" si="109"/>
        <v>0</v>
      </c>
      <c r="BP227" s="2030"/>
      <c r="BQ227" s="2030">
        <f t="shared" si="110"/>
        <v>0</v>
      </c>
      <c r="BR227" s="2030">
        <f t="shared" si="110"/>
        <v>0</v>
      </c>
      <c r="BS227" s="2030">
        <f t="shared" si="110"/>
        <v>0</v>
      </c>
      <c r="BT227" s="2111"/>
      <c r="BU227" s="2111"/>
      <c r="BV227" s="2111"/>
      <c r="BW227" s="2111"/>
      <c r="BX227" s="2111"/>
      <c r="BY227" s="2111"/>
      <c r="BZ227" s="2111"/>
      <c r="CA227" s="2111"/>
      <c r="CB227" s="2029"/>
      <c r="CC227" s="2029"/>
      <c r="CD227" s="2029"/>
      <c r="CE227" s="2029"/>
      <c r="CF227" s="2029"/>
      <c r="CG227" s="2032"/>
      <c r="CH227" s="1974"/>
      <c r="CI227" s="1974"/>
      <c r="CJ227" s="1974"/>
      <c r="CK227" s="1974"/>
      <c r="CL227" s="1974">
        <v>0</v>
      </c>
      <c r="CM227" s="2033">
        <v>2.4631013291030512E-4</v>
      </c>
      <c r="CN227" s="2026">
        <v>0</v>
      </c>
      <c r="CO227" s="1974">
        <v>0</v>
      </c>
      <c r="CP227" s="2040">
        <v>0</v>
      </c>
      <c r="CQ227" s="2040"/>
      <c r="CR227" s="2062">
        <v>1</v>
      </c>
      <c r="CS227" s="2062">
        <v>1</v>
      </c>
      <c r="CT227" s="2121">
        <v>1</v>
      </c>
      <c r="CU227" s="2121">
        <v>1</v>
      </c>
      <c r="CV227" s="2036"/>
      <c r="CW227" s="2036"/>
      <c r="CX227" s="2036"/>
      <c r="CY227" s="2049"/>
      <c r="CZ227" s="2049"/>
      <c r="DA227" s="2049"/>
    </row>
    <row r="228" spans="1:105" x14ac:dyDescent="0.25">
      <c r="A228" s="2104" t="s">
        <v>1035</v>
      </c>
      <c r="B228" s="2105"/>
      <c r="C228" s="2106"/>
      <c r="D228" s="2106"/>
      <c r="E228" s="2107"/>
      <c r="F228" s="2107"/>
      <c r="G228" s="2107"/>
      <c r="H228" s="2107"/>
      <c r="I228" s="2106"/>
      <c r="J228" s="2027"/>
      <c r="K228" s="2108" t="s">
        <v>2899</v>
      </c>
      <c r="L228" s="2108" t="s">
        <v>2899</v>
      </c>
      <c r="M228" s="2108">
        <v>0.84899999999999998</v>
      </c>
      <c r="N228" s="2108">
        <v>0.84899999999999998</v>
      </c>
      <c r="O228" s="2108">
        <v>0.84899999999999998</v>
      </c>
      <c r="P228" s="2108">
        <v>0.84899999999999998</v>
      </c>
      <c r="Q228" s="2109">
        <f t="shared" si="99"/>
        <v>0</v>
      </c>
      <c r="R228" s="2109">
        <f t="shared" si="99"/>
        <v>0</v>
      </c>
      <c r="S228" s="2109">
        <f t="shared" si="99"/>
        <v>0</v>
      </c>
      <c r="T228" s="2109">
        <f t="shared" si="99"/>
        <v>0</v>
      </c>
      <c r="U228" s="2108">
        <v>0.84899999999999998</v>
      </c>
      <c r="V228" s="2108">
        <v>0.84899999999999998</v>
      </c>
      <c r="W228" s="2108">
        <v>0.84899999999999998</v>
      </c>
      <c r="X228" s="2108">
        <v>0.84899999999999998</v>
      </c>
      <c r="Y228" s="2110">
        <f t="shared" si="100"/>
        <v>0</v>
      </c>
      <c r="Z228" s="2110">
        <f t="shared" si="100"/>
        <v>0</v>
      </c>
      <c r="AA228" s="2110">
        <f t="shared" si="100"/>
        <v>0</v>
      </c>
      <c r="AB228" s="2110">
        <f t="shared" si="100"/>
        <v>0</v>
      </c>
      <c r="AC228" s="2108">
        <v>0.67500000000000004</v>
      </c>
      <c r="AD228" s="2108">
        <v>0.67500000000000004</v>
      </c>
      <c r="AE228" s="2108">
        <v>0.67500000000000004</v>
      </c>
      <c r="AF228" s="2108">
        <v>0.67500000000000004</v>
      </c>
      <c r="AG228" s="2027"/>
      <c r="AH228" s="2027"/>
      <c r="AI228" s="2027"/>
      <c r="AJ228" s="2027"/>
      <c r="AK228" s="2027">
        <v>0</v>
      </c>
      <c r="AL228" s="2027">
        <v>0</v>
      </c>
      <c r="AM228" s="2027">
        <v>0</v>
      </c>
      <c r="AN228" s="2027">
        <v>0</v>
      </c>
      <c r="AO228" s="2027">
        <f t="shared" si="102"/>
        <v>0</v>
      </c>
      <c r="AP228" s="2027">
        <f t="shared" si="103"/>
        <v>0</v>
      </c>
      <c r="AQ228" s="2027">
        <f t="shared" si="103"/>
        <v>0</v>
      </c>
      <c r="AR228" s="2027"/>
      <c r="AS228" s="2027">
        <f t="shared" si="104"/>
        <v>0</v>
      </c>
      <c r="AT228" s="2109">
        <f t="shared" si="105"/>
        <v>0</v>
      </c>
      <c r="AU228" s="2027">
        <f t="shared" si="106"/>
        <v>0</v>
      </c>
      <c r="AV228" s="2027">
        <f t="shared" si="106"/>
        <v>0</v>
      </c>
      <c r="AW228" s="2027">
        <f t="shared" si="106"/>
        <v>0</v>
      </c>
      <c r="AX228" s="2111"/>
      <c r="AY228" s="2029">
        <v>0</v>
      </c>
      <c r="AZ228" s="2029">
        <v>0</v>
      </c>
      <c r="BA228" s="2029">
        <v>0</v>
      </c>
      <c r="BB228" s="2111"/>
      <c r="BC228" s="2029">
        <v>0</v>
      </c>
      <c r="BD228" s="2029">
        <v>0</v>
      </c>
      <c r="BE228" s="2029">
        <v>0</v>
      </c>
      <c r="BF228" s="2111"/>
      <c r="BG228" s="2029">
        <v>0</v>
      </c>
      <c r="BH228" s="2029">
        <v>0</v>
      </c>
      <c r="BI228" s="2029">
        <v>0</v>
      </c>
      <c r="BJ228" s="2030">
        <f t="shared" si="107"/>
        <v>0</v>
      </c>
      <c r="BK228" s="2030">
        <f t="shared" si="107"/>
        <v>0</v>
      </c>
      <c r="BL228" s="2030">
        <f t="shared" si="107"/>
        <v>0</v>
      </c>
      <c r="BM228" s="2030"/>
      <c r="BN228" s="2030">
        <f t="shared" si="108"/>
        <v>0</v>
      </c>
      <c r="BO228" s="2030">
        <f t="shared" si="109"/>
        <v>0</v>
      </c>
      <c r="BP228" s="2030"/>
      <c r="BQ228" s="2030">
        <f t="shared" si="110"/>
        <v>0</v>
      </c>
      <c r="BR228" s="2030">
        <f t="shared" si="110"/>
        <v>0</v>
      </c>
      <c r="BS228" s="2030">
        <f t="shared" si="110"/>
        <v>0</v>
      </c>
      <c r="BT228" s="2111"/>
      <c r="BU228" s="2111"/>
      <c r="BV228" s="2111"/>
      <c r="BW228" s="2111"/>
      <c r="BX228" s="2111"/>
      <c r="BY228" s="2111"/>
      <c r="BZ228" s="2111"/>
      <c r="CA228" s="2111"/>
      <c r="CB228" s="2029"/>
      <c r="CC228" s="2029"/>
      <c r="CD228" s="2029"/>
      <c r="CE228" s="2029"/>
      <c r="CF228" s="2029"/>
      <c r="CG228" s="2032"/>
      <c r="CH228" s="1974"/>
      <c r="CI228" s="1974"/>
      <c r="CJ228" s="1974"/>
      <c r="CK228" s="1974"/>
      <c r="CL228" s="1974"/>
      <c r="CM228" s="2033"/>
      <c r="CN228" s="2026"/>
      <c r="CO228" s="1974"/>
      <c r="CP228" s="2040"/>
      <c r="CQ228" s="2040"/>
      <c r="CR228" s="2062"/>
      <c r="CS228" s="2062"/>
      <c r="CT228" s="2121"/>
      <c r="CU228" s="2121"/>
      <c r="CV228" s="2036"/>
      <c r="CW228" s="2036"/>
      <c r="CX228" s="2036"/>
      <c r="CY228" s="2049"/>
      <c r="CZ228" s="2049"/>
      <c r="DA228" s="2049"/>
    </row>
    <row r="229" spans="1:105" s="2161" customFormat="1" x14ac:dyDescent="0.25">
      <c r="A229" s="2186" t="s">
        <v>2995</v>
      </c>
      <c r="B229" s="2187"/>
      <c r="C229" s="2043">
        <v>15</v>
      </c>
      <c r="D229" s="2043"/>
      <c r="E229" s="2044">
        <v>27.794957926000002</v>
      </c>
      <c r="F229" s="2044"/>
      <c r="G229" s="2044">
        <v>5.9527580800000012E-3</v>
      </c>
      <c r="H229" s="2044"/>
      <c r="I229" s="2043">
        <v>-0.56099915080000007</v>
      </c>
      <c r="J229" s="2146"/>
      <c r="K229" s="2153" t="s">
        <v>2870</v>
      </c>
      <c r="L229" s="2153" t="s">
        <v>2870</v>
      </c>
      <c r="M229" s="2153">
        <v>0.77300000000000002</v>
      </c>
      <c r="N229" s="2153">
        <v>0.77300000000000002</v>
      </c>
      <c r="O229" s="2153">
        <v>0.77300000000000002</v>
      </c>
      <c r="P229" s="2153">
        <v>0.77300000000000002</v>
      </c>
      <c r="Q229" s="2146">
        <f t="shared" si="99"/>
        <v>21.485502476798001</v>
      </c>
      <c r="R229" s="2146">
        <f t="shared" si="99"/>
        <v>21.485502476798001</v>
      </c>
      <c r="S229" s="2146">
        <f t="shared" si="99"/>
        <v>21.485502476798001</v>
      </c>
      <c r="T229" s="2146">
        <f t="shared" si="99"/>
        <v>21.485502476798001</v>
      </c>
      <c r="U229" s="2153">
        <v>0.77300000000000002</v>
      </c>
      <c r="V229" s="2153">
        <v>0.77300000000000002</v>
      </c>
      <c r="W229" s="2153">
        <v>0.77300000000000002</v>
      </c>
      <c r="X229" s="2153">
        <v>0.77300000000000002</v>
      </c>
      <c r="Y229" s="2129">
        <f t="shared" si="100"/>
        <v>4.6014819958400009E-3</v>
      </c>
      <c r="Z229" s="2129">
        <f t="shared" si="100"/>
        <v>4.6014819958400009E-3</v>
      </c>
      <c r="AA229" s="2129">
        <f t="shared" si="100"/>
        <v>4.6014819958400009E-3</v>
      </c>
      <c r="AB229" s="2129">
        <f t="shared" si="100"/>
        <v>4.6014819958400009E-3</v>
      </c>
      <c r="AC229" s="2153">
        <v>0.77300000000000002</v>
      </c>
      <c r="AD229" s="2153">
        <v>0.77300000000000002</v>
      </c>
      <c r="AE229" s="2153">
        <v>0.77300000000000002</v>
      </c>
      <c r="AF229" s="2153">
        <v>0.77300000000000002</v>
      </c>
      <c r="AG229" s="2146"/>
      <c r="AH229" s="2146"/>
      <c r="AI229" s="2146"/>
      <c r="AJ229" s="2146"/>
      <c r="AK229" s="2027">
        <v>4374</v>
      </c>
      <c r="AL229" s="2027">
        <v>4410</v>
      </c>
      <c r="AM229" s="2027">
        <v>4785</v>
      </c>
      <c r="AN229" s="2027">
        <v>4471</v>
      </c>
      <c r="AO229" s="2146">
        <f t="shared" si="102"/>
        <v>93977.587833514452</v>
      </c>
      <c r="AP229" s="2146">
        <f t="shared" si="103"/>
        <v>94751.065922679176</v>
      </c>
      <c r="AQ229" s="2146">
        <f t="shared" si="103"/>
        <v>77106.097013608829</v>
      </c>
      <c r="AR229" s="2146"/>
      <c r="AS229" s="2146">
        <f t="shared" si="104"/>
        <v>72046.261180322894</v>
      </c>
      <c r="AT229" s="2146">
        <f t="shared" si="105"/>
        <v>0</v>
      </c>
      <c r="AU229" s="2146">
        <f t="shared" si="106"/>
        <v>0</v>
      </c>
      <c r="AV229" s="2146">
        <f t="shared" si="106"/>
        <v>0</v>
      </c>
      <c r="AW229" s="2146">
        <f t="shared" si="106"/>
        <v>0</v>
      </c>
      <c r="AX229" s="2066">
        <v>2</v>
      </c>
      <c r="AY229" s="2046">
        <v>1.5</v>
      </c>
      <c r="AZ229" s="2046">
        <v>1.5</v>
      </c>
      <c r="BA229" s="2046">
        <v>1.5</v>
      </c>
      <c r="BB229" s="2063">
        <v>0</v>
      </c>
      <c r="BC229" s="2046">
        <v>0</v>
      </c>
      <c r="BD229" s="2046">
        <v>0</v>
      </c>
      <c r="BE229" s="2046">
        <v>0</v>
      </c>
      <c r="BF229" s="2063">
        <v>1.2999999999999989</v>
      </c>
      <c r="BG229" s="2046">
        <v>1.2999999999999989</v>
      </c>
      <c r="BH229" s="2046">
        <v>1.2999999999999989</v>
      </c>
      <c r="BI229" s="2046">
        <v>1.2999999999999989</v>
      </c>
      <c r="BJ229" s="2030">
        <f t="shared" si="107"/>
        <v>8748</v>
      </c>
      <c r="BK229" s="2030">
        <f t="shared" si="107"/>
        <v>6615</v>
      </c>
      <c r="BL229" s="2030">
        <f t="shared" si="107"/>
        <v>7177.5</v>
      </c>
      <c r="BM229" s="2030"/>
      <c r="BN229" s="2030">
        <f t="shared" si="108"/>
        <v>6706.5</v>
      </c>
      <c r="BO229" s="2030">
        <f t="shared" si="109"/>
        <v>0</v>
      </c>
      <c r="BP229" s="2030"/>
      <c r="BQ229" s="2030">
        <f t="shared" si="110"/>
        <v>0</v>
      </c>
      <c r="BR229" s="2030">
        <f t="shared" si="110"/>
        <v>0</v>
      </c>
      <c r="BS229" s="2030">
        <f t="shared" si="110"/>
        <v>0</v>
      </c>
      <c r="BT229" s="2111"/>
      <c r="BU229" s="2111"/>
      <c r="BV229" s="2111"/>
      <c r="BW229" s="2111"/>
      <c r="BX229" s="2111"/>
      <c r="BY229" s="2111"/>
      <c r="BZ229" s="2111"/>
      <c r="CA229" s="2111"/>
      <c r="CB229" s="2046"/>
      <c r="CC229" s="2046"/>
      <c r="CD229" s="2046"/>
      <c r="CE229" s="2046"/>
      <c r="CF229" s="2046"/>
      <c r="CG229" s="2156"/>
      <c r="CH229" s="2047"/>
      <c r="CI229" s="2047"/>
      <c r="CJ229" s="2047"/>
      <c r="CK229" s="2047"/>
      <c r="CL229" s="2047"/>
      <c r="CM229" s="2157"/>
      <c r="CN229" s="2153"/>
      <c r="CO229" s="2047">
        <v>1</v>
      </c>
      <c r="CP229" s="2040">
        <v>-1.1461222222222223</v>
      </c>
      <c r="CQ229" s="2188"/>
      <c r="CR229" s="2189">
        <v>1</v>
      </c>
      <c r="CS229" s="2189">
        <v>1</v>
      </c>
      <c r="CT229" s="2189">
        <v>0.75</v>
      </c>
      <c r="CU229" s="2189">
        <v>0.75</v>
      </c>
      <c r="CV229" s="2160"/>
      <c r="CW229" s="2160"/>
      <c r="CX229" s="2160"/>
      <c r="CY229" s="2160"/>
      <c r="CZ229" s="2160"/>
      <c r="DA229" s="2160"/>
    </row>
    <row r="230" spans="1:105" x14ac:dyDescent="0.25">
      <c r="A230" s="2104" t="s">
        <v>1037</v>
      </c>
      <c r="B230" s="2105"/>
      <c r="C230" s="2106"/>
      <c r="D230" s="2106"/>
      <c r="E230" s="2107"/>
      <c r="F230" s="2107"/>
      <c r="G230" s="2107"/>
      <c r="H230" s="2107"/>
      <c r="I230" s="2106"/>
      <c r="J230" s="2027"/>
      <c r="K230" s="2108" t="s">
        <v>2285</v>
      </c>
      <c r="L230" s="2108" t="s">
        <v>2285</v>
      </c>
      <c r="M230" s="2108">
        <v>0.79999999999999993</v>
      </c>
      <c r="N230" s="2108">
        <v>0.79999999999999993</v>
      </c>
      <c r="O230" s="2108">
        <v>0.79999999999999993</v>
      </c>
      <c r="P230" s="2108">
        <v>0.79999999999999993</v>
      </c>
      <c r="Q230" s="2109">
        <f t="shared" si="99"/>
        <v>0</v>
      </c>
      <c r="R230" s="2109">
        <f t="shared" si="99"/>
        <v>0</v>
      </c>
      <c r="S230" s="2109">
        <f t="shared" si="99"/>
        <v>0</v>
      </c>
      <c r="T230" s="2109">
        <f t="shared" si="99"/>
        <v>0</v>
      </c>
      <c r="U230" s="2108">
        <v>0.79999999999999993</v>
      </c>
      <c r="V230" s="2108">
        <v>0.79999999999999993</v>
      </c>
      <c r="W230" s="2108">
        <v>0.79999999999999993</v>
      </c>
      <c r="X230" s="2108">
        <v>0.79999999999999993</v>
      </c>
      <c r="Y230" s="2110">
        <f t="shared" si="100"/>
        <v>0</v>
      </c>
      <c r="Z230" s="2110">
        <f t="shared" si="100"/>
        <v>0</v>
      </c>
      <c r="AA230" s="2110">
        <f t="shared" si="100"/>
        <v>0</v>
      </c>
      <c r="AB230" s="2110">
        <f t="shared" si="100"/>
        <v>0</v>
      </c>
      <c r="AC230" s="2108">
        <v>0.60399999999999998</v>
      </c>
      <c r="AD230" s="2108">
        <v>0.60399999999999998</v>
      </c>
      <c r="AE230" s="2108">
        <v>0.60399999999999998</v>
      </c>
      <c r="AF230" s="2108">
        <v>0.60399999999999998</v>
      </c>
      <c r="AG230" s="2027"/>
      <c r="AH230" s="2027"/>
      <c r="AI230" s="2027"/>
      <c r="AJ230" s="2027"/>
      <c r="AK230" s="2027"/>
      <c r="AL230" s="2027"/>
      <c r="AM230" s="2027"/>
      <c r="AN230" s="2027"/>
      <c r="AO230" s="2027">
        <f t="shared" si="102"/>
        <v>0</v>
      </c>
      <c r="AP230" s="2027">
        <f t="shared" si="103"/>
        <v>0</v>
      </c>
      <c r="AQ230" s="2027">
        <f t="shared" si="103"/>
        <v>0</v>
      </c>
      <c r="AR230" s="2027"/>
      <c r="AS230" s="2027">
        <f t="shared" si="104"/>
        <v>0</v>
      </c>
      <c r="AT230" s="2109">
        <f t="shared" si="105"/>
        <v>0</v>
      </c>
      <c r="AU230" s="2027">
        <f t="shared" si="106"/>
        <v>0</v>
      </c>
      <c r="AV230" s="2027">
        <f t="shared" si="106"/>
        <v>0</v>
      </c>
      <c r="AW230" s="2027">
        <f t="shared" si="106"/>
        <v>0</v>
      </c>
      <c r="AX230" s="2111"/>
      <c r="AY230" s="2029">
        <v>0</v>
      </c>
      <c r="AZ230" s="2029">
        <v>0</v>
      </c>
      <c r="BA230" s="2029">
        <v>0</v>
      </c>
      <c r="BB230" s="2111"/>
      <c r="BC230" s="2029">
        <v>0</v>
      </c>
      <c r="BD230" s="2029">
        <v>0</v>
      </c>
      <c r="BE230" s="2029">
        <v>0</v>
      </c>
      <c r="BF230" s="2111"/>
      <c r="BG230" s="2029">
        <v>0</v>
      </c>
      <c r="BH230" s="2029">
        <v>0</v>
      </c>
      <c r="BI230" s="2029">
        <v>0</v>
      </c>
      <c r="BJ230" s="2030">
        <f t="shared" si="107"/>
        <v>0</v>
      </c>
      <c r="BK230" s="2030">
        <f t="shared" si="107"/>
        <v>0</v>
      </c>
      <c r="BL230" s="2030">
        <f t="shared" si="107"/>
        <v>0</v>
      </c>
      <c r="BM230" s="2030"/>
      <c r="BN230" s="2030">
        <f t="shared" si="108"/>
        <v>0</v>
      </c>
      <c r="BO230" s="2030">
        <f t="shared" si="109"/>
        <v>0</v>
      </c>
      <c r="BP230" s="2030"/>
      <c r="BQ230" s="2030">
        <f t="shared" si="110"/>
        <v>0</v>
      </c>
      <c r="BR230" s="2030">
        <f t="shared" si="110"/>
        <v>0</v>
      </c>
      <c r="BS230" s="2030">
        <f t="shared" si="110"/>
        <v>0</v>
      </c>
      <c r="BT230" s="2111"/>
      <c r="BU230" s="2111"/>
      <c r="BV230" s="2111"/>
      <c r="BW230" s="2111"/>
      <c r="BX230" s="2111"/>
      <c r="BY230" s="2111"/>
      <c r="BZ230" s="2111"/>
      <c r="CA230" s="2111"/>
      <c r="CB230" s="2029"/>
      <c r="CC230" s="2029"/>
      <c r="CD230" s="2029"/>
      <c r="CE230" s="2029"/>
      <c r="CF230" s="2029"/>
      <c r="CG230" s="2032"/>
      <c r="CH230" s="1974"/>
      <c r="CI230" s="1974"/>
      <c r="CJ230" s="1974"/>
      <c r="CK230" s="1974"/>
      <c r="CL230" s="1974"/>
      <c r="CM230" s="2033"/>
      <c r="CN230" s="2026"/>
      <c r="CO230" s="1974"/>
      <c r="CP230" s="2040"/>
      <c r="CQ230" s="2040"/>
      <c r="CR230" s="2062"/>
      <c r="CS230" s="2062"/>
      <c r="CT230" s="2121"/>
      <c r="CU230" s="2121"/>
      <c r="CV230" s="2036"/>
      <c r="CW230" s="2036"/>
      <c r="CX230" s="2036"/>
      <c r="CY230" s="2049"/>
      <c r="CZ230" s="2049"/>
      <c r="DA230" s="2049"/>
    </row>
    <row r="231" spans="1:105" x14ac:dyDescent="0.25">
      <c r="A231" s="2104" t="s">
        <v>1038</v>
      </c>
      <c r="B231" s="2105"/>
      <c r="C231" s="2106"/>
      <c r="D231" s="2106"/>
      <c r="E231" s="2107"/>
      <c r="F231" s="2107"/>
      <c r="G231" s="2107"/>
      <c r="H231" s="2107"/>
      <c r="I231" s="2106"/>
      <c r="J231" s="2027"/>
      <c r="K231" s="2108" t="s">
        <v>2285</v>
      </c>
      <c r="L231" s="2108" t="s">
        <v>2285</v>
      </c>
      <c r="M231" s="2108">
        <v>0.79999999999999993</v>
      </c>
      <c r="N231" s="2108">
        <v>0.79999999999999993</v>
      </c>
      <c r="O231" s="2108">
        <v>0.79999999999999993</v>
      </c>
      <c r="P231" s="2108">
        <v>0.79999999999999993</v>
      </c>
      <c r="Q231" s="2109">
        <f t="shared" si="99"/>
        <v>0</v>
      </c>
      <c r="R231" s="2109">
        <f t="shared" si="99"/>
        <v>0</v>
      </c>
      <c r="S231" s="2109">
        <f t="shared" si="99"/>
        <v>0</v>
      </c>
      <c r="T231" s="2109">
        <f t="shared" si="99"/>
        <v>0</v>
      </c>
      <c r="U231" s="2108">
        <v>0.79999999999999993</v>
      </c>
      <c r="V231" s="2108">
        <v>0.79999999999999993</v>
      </c>
      <c r="W231" s="2108">
        <v>0.79999999999999993</v>
      </c>
      <c r="X231" s="2108">
        <v>0.79999999999999993</v>
      </c>
      <c r="Y231" s="2110">
        <f t="shared" si="100"/>
        <v>0</v>
      </c>
      <c r="Z231" s="2110">
        <f t="shared" si="100"/>
        <v>0</v>
      </c>
      <c r="AA231" s="2110">
        <f t="shared" si="100"/>
        <v>0</v>
      </c>
      <c r="AB231" s="2110">
        <f t="shared" si="100"/>
        <v>0</v>
      </c>
      <c r="AC231" s="2108">
        <v>0.60399999999999998</v>
      </c>
      <c r="AD231" s="2108">
        <v>0.60399999999999998</v>
      </c>
      <c r="AE231" s="2108">
        <v>0.60399999999999998</v>
      </c>
      <c r="AF231" s="2108">
        <v>0.60399999999999998</v>
      </c>
      <c r="AG231" s="2027"/>
      <c r="AH231" s="2027"/>
      <c r="AI231" s="2027"/>
      <c r="AJ231" s="2027"/>
      <c r="AK231" s="2027"/>
      <c r="AL231" s="2027"/>
      <c r="AM231" s="2027"/>
      <c r="AN231" s="2027"/>
      <c r="AO231" s="2027">
        <f t="shared" si="102"/>
        <v>0</v>
      </c>
      <c r="AP231" s="2027">
        <f t="shared" si="103"/>
        <v>0</v>
      </c>
      <c r="AQ231" s="2027">
        <f t="shared" si="103"/>
        <v>0</v>
      </c>
      <c r="AR231" s="2027"/>
      <c r="AS231" s="2027">
        <f t="shared" si="104"/>
        <v>0</v>
      </c>
      <c r="AT231" s="2109">
        <f t="shared" si="105"/>
        <v>0</v>
      </c>
      <c r="AU231" s="2027">
        <f t="shared" si="106"/>
        <v>0</v>
      </c>
      <c r="AV231" s="2027">
        <f t="shared" si="106"/>
        <v>0</v>
      </c>
      <c r="AW231" s="2027">
        <f t="shared" si="106"/>
        <v>0</v>
      </c>
      <c r="AX231" s="2111"/>
      <c r="AY231" s="2029">
        <v>0</v>
      </c>
      <c r="AZ231" s="2029">
        <v>0</v>
      </c>
      <c r="BA231" s="2029">
        <v>0</v>
      </c>
      <c r="BB231" s="2111"/>
      <c r="BC231" s="2029">
        <v>0</v>
      </c>
      <c r="BD231" s="2029">
        <v>0</v>
      </c>
      <c r="BE231" s="2029">
        <v>0</v>
      </c>
      <c r="BF231" s="2111"/>
      <c r="BG231" s="2029">
        <v>0</v>
      </c>
      <c r="BH231" s="2029">
        <v>0</v>
      </c>
      <c r="BI231" s="2029">
        <v>0</v>
      </c>
      <c r="BJ231" s="2030">
        <f t="shared" si="107"/>
        <v>0</v>
      </c>
      <c r="BK231" s="2030">
        <f t="shared" si="107"/>
        <v>0</v>
      </c>
      <c r="BL231" s="2030">
        <f t="shared" si="107"/>
        <v>0</v>
      </c>
      <c r="BM231" s="2030"/>
      <c r="BN231" s="2030">
        <f t="shared" si="108"/>
        <v>0</v>
      </c>
      <c r="BO231" s="2030">
        <f t="shared" si="109"/>
        <v>0</v>
      </c>
      <c r="BP231" s="2030"/>
      <c r="BQ231" s="2030">
        <f t="shared" si="110"/>
        <v>0</v>
      </c>
      <c r="BR231" s="2030">
        <f t="shared" si="110"/>
        <v>0</v>
      </c>
      <c r="BS231" s="2030">
        <f t="shared" si="110"/>
        <v>0</v>
      </c>
      <c r="BT231" s="2111"/>
      <c r="BU231" s="2111"/>
      <c r="BV231" s="2111"/>
      <c r="BW231" s="2111"/>
      <c r="BX231" s="2111"/>
      <c r="BY231" s="2111"/>
      <c r="BZ231" s="2111"/>
      <c r="CA231" s="2111"/>
      <c r="CB231" s="2029"/>
      <c r="CC231" s="2029"/>
      <c r="CD231" s="2029"/>
      <c r="CE231" s="2029"/>
      <c r="CF231" s="2029"/>
      <c r="CG231" s="2032"/>
      <c r="CH231" s="1974"/>
      <c r="CI231" s="1974"/>
      <c r="CJ231" s="1974"/>
      <c r="CK231" s="1974"/>
      <c r="CL231" s="1974"/>
      <c r="CM231" s="2033"/>
      <c r="CN231" s="2026"/>
      <c r="CO231" s="1974"/>
      <c r="CP231" s="2040"/>
      <c r="CQ231" s="2040"/>
      <c r="CR231" s="2062"/>
      <c r="CS231" s="2062"/>
      <c r="CT231" s="2121"/>
      <c r="CU231" s="2121"/>
      <c r="CV231" s="2036"/>
      <c r="CW231" s="2036"/>
      <c r="CX231" s="2036"/>
      <c r="CY231" s="2049"/>
      <c r="CZ231" s="2049"/>
      <c r="DA231" s="2049"/>
    </row>
    <row r="232" spans="1:105" x14ac:dyDescent="0.25">
      <c r="A232" s="2104" t="s">
        <v>1039</v>
      </c>
      <c r="B232" s="2105"/>
      <c r="C232" s="2106"/>
      <c r="D232" s="2106"/>
      <c r="E232" s="2107"/>
      <c r="F232" s="2107"/>
      <c r="G232" s="2107"/>
      <c r="H232" s="2107"/>
      <c r="I232" s="2106"/>
      <c r="J232" s="2027"/>
      <c r="K232" s="2108" t="s">
        <v>2285</v>
      </c>
      <c r="L232" s="2108" t="s">
        <v>2285</v>
      </c>
      <c r="M232" s="2108">
        <v>0.79999999999999993</v>
      </c>
      <c r="N232" s="2108">
        <v>0.79999999999999993</v>
      </c>
      <c r="O232" s="2108">
        <v>0.79999999999999993</v>
      </c>
      <c r="P232" s="2108">
        <v>0.79999999999999993</v>
      </c>
      <c r="Q232" s="2109">
        <f t="shared" si="99"/>
        <v>0</v>
      </c>
      <c r="R232" s="2109">
        <f t="shared" si="99"/>
        <v>0</v>
      </c>
      <c r="S232" s="2109">
        <f t="shared" si="99"/>
        <v>0</v>
      </c>
      <c r="T232" s="2109">
        <f t="shared" si="99"/>
        <v>0</v>
      </c>
      <c r="U232" s="2108">
        <v>0.79999999999999993</v>
      </c>
      <c r="V232" s="2108">
        <v>0.79999999999999993</v>
      </c>
      <c r="W232" s="2108">
        <v>0.79999999999999993</v>
      </c>
      <c r="X232" s="2108">
        <v>0.79999999999999993</v>
      </c>
      <c r="Y232" s="2110">
        <f t="shared" si="100"/>
        <v>0</v>
      </c>
      <c r="Z232" s="2110">
        <f t="shared" si="100"/>
        <v>0</v>
      </c>
      <c r="AA232" s="2110">
        <f t="shared" si="100"/>
        <v>0</v>
      </c>
      <c r="AB232" s="2110">
        <f t="shared" si="100"/>
        <v>0</v>
      </c>
      <c r="AC232" s="2108">
        <v>0.60399999999999998</v>
      </c>
      <c r="AD232" s="2108">
        <v>0.60399999999999998</v>
      </c>
      <c r="AE232" s="2108">
        <v>0.60399999999999998</v>
      </c>
      <c r="AF232" s="2108">
        <v>0.60399999999999998</v>
      </c>
      <c r="AG232" s="2027"/>
      <c r="AH232" s="2027"/>
      <c r="AI232" s="2027"/>
      <c r="AJ232" s="2027"/>
      <c r="AK232" s="2027"/>
      <c r="AL232" s="2027"/>
      <c r="AM232" s="2027"/>
      <c r="AN232" s="2027"/>
      <c r="AO232" s="2027">
        <f t="shared" si="102"/>
        <v>0</v>
      </c>
      <c r="AP232" s="2027">
        <f t="shared" si="103"/>
        <v>0</v>
      </c>
      <c r="AQ232" s="2027">
        <f t="shared" si="103"/>
        <v>0</v>
      </c>
      <c r="AR232" s="2027"/>
      <c r="AS232" s="2027">
        <f t="shared" si="104"/>
        <v>0</v>
      </c>
      <c r="AT232" s="2109">
        <f t="shared" si="105"/>
        <v>0</v>
      </c>
      <c r="AU232" s="2027">
        <f t="shared" si="106"/>
        <v>0</v>
      </c>
      <c r="AV232" s="2027">
        <f t="shared" si="106"/>
        <v>0</v>
      </c>
      <c r="AW232" s="2027">
        <f t="shared" si="106"/>
        <v>0</v>
      </c>
      <c r="AX232" s="2111"/>
      <c r="AY232" s="2029">
        <v>0</v>
      </c>
      <c r="AZ232" s="2029">
        <v>0</v>
      </c>
      <c r="BA232" s="2029">
        <v>0</v>
      </c>
      <c r="BB232" s="2111"/>
      <c r="BC232" s="2029">
        <v>0</v>
      </c>
      <c r="BD232" s="2029">
        <v>0</v>
      </c>
      <c r="BE232" s="2029">
        <v>0</v>
      </c>
      <c r="BF232" s="2111"/>
      <c r="BG232" s="2029">
        <v>0</v>
      </c>
      <c r="BH232" s="2029">
        <v>0</v>
      </c>
      <c r="BI232" s="2029">
        <v>0</v>
      </c>
      <c r="BJ232" s="2030">
        <f t="shared" si="107"/>
        <v>0</v>
      </c>
      <c r="BK232" s="2030">
        <f t="shared" si="107"/>
        <v>0</v>
      </c>
      <c r="BL232" s="2030">
        <f t="shared" si="107"/>
        <v>0</v>
      </c>
      <c r="BM232" s="2030"/>
      <c r="BN232" s="2030">
        <f t="shared" si="108"/>
        <v>0</v>
      </c>
      <c r="BO232" s="2030">
        <f t="shared" si="109"/>
        <v>0</v>
      </c>
      <c r="BP232" s="2030"/>
      <c r="BQ232" s="2030">
        <f t="shared" si="110"/>
        <v>0</v>
      </c>
      <c r="BR232" s="2030">
        <f t="shared" si="110"/>
        <v>0</v>
      </c>
      <c r="BS232" s="2030">
        <f t="shared" si="110"/>
        <v>0</v>
      </c>
      <c r="BT232" s="2111"/>
      <c r="BU232" s="2111"/>
      <c r="BV232" s="2111"/>
      <c r="BW232" s="2111"/>
      <c r="BX232" s="2111"/>
      <c r="BY232" s="2111"/>
      <c r="BZ232" s="2111"/>
      <c r="CA232" s="2111"/>
      <c r="CB232" s="2029"/>
      <c r="CC232" s="2029"/>
      <c r="CD232" s="2029"/>
      <c r="CE232" s="2029"/>
      <c r="CF232" s="2029"/>
      <c r="CG232" s="2032"/>
      <c r="CH232" s="1974"/>
      <c r="CI232" s="1974"/>
      <c r="CJ232" s="1974"/>
      <c r="CK232" s="1974"/>
      <c r="CL232" s="1974"/>
      <c r="CM232" s="2033"/>
      <c r="CN232" s="2026"/>
      <c r="CO232" s="1974"/>
      <c r="CP232" s="2040"/>
      <c r="CQ232" s="2040"/>
      <c r="CR232" s="2062"/>
      <c r="CS232" s="2062"/>
      <c r="CT232" s="2121"/>
      <c r="CU232" s="2121"/>
      <c r="CV232" s="2036"/>
      <c r="CW232" s="2036"/>
      <c r="CX232" s="2036"/>
      <c r="CY232" s="2049"/>
      <c r="CZ232" s="2049"/>
      <c r="DA232" s="2049"/>
    </row>
    <row r="233" spans="1:105" x14ac:dyDescent="0.25">
      <c r="A233" s="2104" t="s">
        <v>1040</v>
      </c>
      <c r="B233" s="2105"/>
      <c r="C233" s="2106"/>
      <c r="D233" s="2106"/>
      <c r="E233" s="2107"/>
      <c r="F233" s="2107"/>
      <c r="G233" s="2107"/>
      <c r="H233" s="2107"/>
      <c r="I233" s="2106"/>
      <c r="J233" s="2027"/>
      <c r="K233" s="2108" t="s">
        <v>2285</v>
      </c>
      <c r="L233" s="2108" t="s">
        <v>2285</v>
      </c>
      <c r="M233" s="2108">
        <v>0.79999999999999993</v>
      </c>
      <c r="N233" s="2108">
        <v>0.79999999999999993</v>
      </c>
      <c r="O233" s="2108">
        <v>0.79999999999999993</v>
      </c>
      <c r="P233" s="2108">
        <v>0.79999999999999993</v>
      </c>
      <c r="Q233" s="2109">
        <f t="shared" si="99"/>
        <v>0</v>
      </c>
      <c r="R233" s="2109">
        <f t="shared" si="99"/>
        <v>0</v>
      </c>
      <c r="S233" s="2109">
        <f t="shared" si="99"/>
        <v>0</v>
      </c>
      <c r="T233" s="2109">
        <f t="shared" si="99"/>
        <v>0</v>
      </c>
      <c r="U233" s="2108">
        <v>0.79999999999999993</v>
      </c>
      <c r="V233" s="2108">
        <v>0.79999999999999993</v>
      </c>
      <c r="W233" s="2108">
        <v>0.79999999999999993</v>
      </c>
      <c r="X233" s="2108">
        <v>0.79999999999999993</v>
      </c>
      <c r="Y233" s="2110">
        <f t="shared" si="100"/>
        <v>0</v>
      </c>
      <c r="Z233" s="2110">
        <f t="shared" si="100"/>
        <v>0</v>
      </c>
      <c r="AA233" s="2110">
        <f t="shared" si="100"/>
        <v>0</v>
      </c>
      <c r="AB233" s="2110">
        <f t="shared" si="100"/>
        <v>0</v>
      </c>
      <c r="AC233" s="2108">
        <v>0.60399999999999998</v>
      </c>
      <c r="AD233" s="2108">
        <v>0.60399999999999998</v>
      </c>
      <c r="AE233" s="2108">
        <v>0.60399999999999998</v>
      </c>
      <c r="AF233" s="2108">
        <v>0.60399999999999998</v>
      </c>
      <c r="AG233" s="2027"/>
      <c r="AH233" s="2027"/>
      <c r="AI233" s="2027"/>
      <c r="AJ233" s="2027"/>
      <c r="AK233" s="2027"/>
      <c r="AL233" s="2027"/>
      <c r="AM233" s="2027"/>
      <c r="AN233" s="2027"/>
      <c r="AO233" s="2027">
        <f t="shared" si="102"/>
        <v>0</v>
      </c>
      <c r="AP233" s="2027">
        <f t="shared" si="103"/>
        <v>0</v>
      </c>
      <c r="AQ233" s="2027">
        <f t="shared" si="103"/>
        <v>0</v>
      </c>
      <c r="AR233" s="2027"/>
      <c r="AS233" s="2027">
        <f t="shared" si="104"/>
        <v>0</v>
      </c>
      <c r="AT233" s="2109">
        <f t="shared" si="105"/>
        <v>0</v>
      </c>
      <c r="AU233" s="2027">
        <f t="shared" si="106"/>
        <v>0</v>
      </c>
      <c r="AV233" s="2027">
        <f t="shared" si="106"/>
        <v>0</v>
      </c>
      <c r="AW233" s="2027">
        <f t="shared" si="106"/>
        <v>0</v>
      </c>
      <c r="AX233" s="2111"/>
      <c r="AY233" s="2029">
        <v>0</v>
      </c>
      <c r="AZ233" s="2029">
        <v>0</v>
      </c>
      <c r="BA233" s="2029">
        <v>0</v>
      </c>
      <c r="BB233" s="2111"/>
      <c r="BC233" s="2029">
        <v>0</v>
      </c>
      <c r="BD233" s="2029">
        <v>0</v>
      </c>
      <c r="BE233" s="2029">
        <v>0</v>
      </c>
      <c r="BF233" s="2111"/>
      <c r="BG233" s="2029">
        <v>0</v>
      </c>
      <c r="BH233" s="2029">
        <v>0</v>
      </c>
      <c r="BI233" s="2029">
        <v>0</v>
      </c>
      <c r="BJ233" s="2030">
        <f t="shared" si="107"/>
        <v>0</v>
      </c>
      <c r="BK233" s="2030">
        <f t="shared" si="107"/>
        <v>0</v>
      </c>
      <c r="BL233" s="2030">
        <f t="shared" si="107"/>
        <v>0</v>
      </c>
      <c r="BM233" s="2030"/>
      <c r="BN233" s="2030">
        <f t="shared" si="108"/>
        <v>0</v>
      </c>
      <c r="BO233" s="2030">
        <f t="shared" si="109"/>
        <v>0</v>
      </c>
      <c r="BP233" s="2030"/>
      <c r="BQ233" s="2030">
        <f t="shared" si="110"/>
        <v>0</v>
      </c>
      <c r="BR233" s="2030">
        <f t="shared" si="110"/>
        <v>0</v>
      </c>
      <c r="BS233" s="2030">
        <f t="shared" si="110"/>
        <v>0</v>
      </c>
      <c r="BT233" s="2111"/>
      <c r="BU233" s="2111"/>
      <c r="BV233" s="2111"/>
      <c r="BW233" s="2111"/>
      <c r="BX233" s="2111"/>
      <c r="BY233" s="2111"/>
      <c r="BZ233" s="2111"/>
      <c r="CA233" s="2111"/>
      <c r="CB233" s="2029"/>
      <c r="CC233" s="2029"/>
      <c r="CD233" s="2029"/>
      <c r="CE233" s="2029"/>
      <c r="CF233" s="2029"/>
      <c r="CG233" s="2032"/>
      <c r="CH233" s="1974"/>
      <c r="CI233" s="1974"/>
      <c r="CJ233" s="1974"/>
      <c r="CK233" s="1974"/>
      <c r="CL233" s="1974"/>
      <c r="CM233" s="2033"/>
      <c r="CN233" s="2026"/>
      <c r="CO233" s="1974"/>
      <c r="CP233" s="2040"/>
      <c r="CQ233" s="2040"/>
      <c r="CR233" s="2062"/>
      <c r="CS233" s="2062"/>
      <c r="CT233" s="2121"/>
      <c r="CU233" s="2121"/>
      <c r="CV233" s="2036"/>
      <c r="CW233" s="2036"/>
      <c r="CX233" s="2036"/>
      <c r="CY233" s="2049"/>
      <c r="CZ233" s="2049"/>
      <c r="DA233" s="2049"/>
    </row>
    <row r="234" spans="1:105" x14ac:dyDescent="0.25">
      <c r="A234" s="2104" t="s">
        <v>1041</v>
      </c>
      <c r="B234" s="2105"/>
      <c r="C234" s="2106"/>
      <c r="D234" s="2106"/>
      <c r="E234" s="2107"/>
      <c r="F234" s="2107"/>
      <c r="G234" s="2107"/>
      <c r="H234" s="2107"/>
      <c r="I234" s="2106"/>
      <c r="J234" s="2027"/>
      <c r="K234" s="2108" t="s">
        <v>2285</v>
      </c>
      <c r="L234" s="2108" t="s">
        <v>2285</v>
      </c>
      <c r="M234" s="2108">
        <v>0.79999999999999993</v>
      </c>
      <c r="N234" s="2108">
        <v>0.79999999999999993</v>
      </c>
      <c r="O234" s="2108">
        <v>0.79999999999999993</v>
      </c>
      <c r="P234" s="2108">
        <v>0.79999999999999993</v>
      </c>
      <c r="Q234" s="2109">
        <f t="shared" si="99"/>
        <v>0</v>
      </c>
      <c r="R234" s="2109">
        <f t="shared" si="99"/>
        <v>0</v>
      </c>
      <c r="S234" s="2109">
        <f t="shared" si="99"/>
        <v>0</v>
      </c>
      <c r="T234" s="2109">
        <f t="shared" si="99"/>
        <v>0</v>
      </c>
      <c r="U234" s="2108">
        <v>0.79999999999999993</v>
      </c>
      <c r="V234" s="2108">
        <v>0.79999999999999993</v>
      </c>
      <c r="W234" s="2108">
        <v>0.79999999999999993</v>
      </c>
      <c r="X234" s="2108">
        <v>0.79999999999999993</v>
      </c>
      <c r="Y234" s="2110">
        <f t="shared" si="100"/>
        <v>0</v>
      </c>
      <c r="Z234" s="2110">
        <f t="shared" si="100"/>
        <v>0</v>
      </c>
      <c r="AA234" s="2110">
        <f t="shared" si="100"/>
        <v>0</v>
      </c>
      <c r="AB234" s="2110">
        <f t="shared" si="100"/>
        <v>0</v>
      </c>
      <c r="AC234" s="2108">
        <v>0.60399999999999998</v>
      </c>
      <c r="AD234" s="2108">
        <v>0.60399999999999998</v>
      </c>
      <c r="AE234" s="2108">
        <v>0.60399999999999998</v>
      </c>
      <c r="AF234" s="2108">
        <v>0.60399999999999998</v>
      </c>
      <c r="AG234" s="2027"/>
      <c r="AH234" s="2027"/>
      <c r="AI234" s="2027"/>
      <c r="AJ234" s="2027"/>
      <c r="AK234" s="2027"/>
      <c r="AL234" s="2027"/>
      <c r="AM234" s="2027"/>
      <c r="AN234" s="2027"/>
      <c r="AO234" s="2027">
        <f t="shared" si="102"/>
        <v>0</v>
      </c>
      <c r="AP234" s="2027">
        <f t="shared" si="103"/>
        <v>0</v>
      </c>
      <c r="AQ234" s="2027">
        <f t="shared" si="103"/>
        <v>0</v>
      </c>
      <c r="AR234" s="2027"/>
      <c r="AS234" s="2027">
        <f t="shared" si="104"/>
        <v>0</v>
      </c>
      <c r="AT234" s="2109">
        <f t="shared" si="105"/>
        <v>0</v>
      </c>
      <c r="AU234" s="2027">
        <f t="shared" si="106"/>
        <v>0</v>
      </c>
      <c r="AV234" s="2027">
        <f t="shared" si="106"/>
        <v>0</v>
      </c>
      <c r="AW234" s="2027">
        <f t="shared" si="106"/>
        <v>0</v>
      </c>
      <c r="AX234" s="2111"/>
      <c r="AY234" s="2029">
        <v>0</v>
      </c>
      <c r="AZ234" s="2029">
        <v>0</v>
      </c>
      <c r="BA234" s="2029">
        <v>0</v>
      </c>
      <c r="BB234" s="2111"/>
      <c r="BC234" s="2029">
        <v>0</v>
      </c>
      <c r="BD234" s="2029">
        <v>0</v>
      </c>
      <c r="BE234" s="2029">
        <v>0</v>
      </c>
      <c r="BF234" s="2111"/>
      <c r="BG234" s="2029">
        <v>0</v>
      </c>
      <c r="BH234" s="2029">
        <v>0</v>
      </c>
      <c r="BI234" s="2029">
        <v>0</v>
      </c>
      <c r="BJ234" s="2030">
        <f t="shared" si="107"/>
        <v>0</v>
      </c>
      <c r="BK234" s="2030">
        <f t="shared" si="107"/>
        <v>0</v>
      </c>
      <c r="BL234" s="2030">
        <f t="shared" si="107"/>
        <v>0</v>
      </c>
      <c r="BM234" s="2030"/>
      <c r="BN234" s="2030">
        <f t="shared" si="108"/>
        <v>0</v>
      </c>
      <c r="BO234" s="2030">
        <f t="shared" si="109"/>
        <v>0</v>
      </c>
      <c r="BP234" s="2030"/>
      <c r="BQ234" s="2030">
        <f t="shared" si="110"/>
        <v>0</v>
      </c>
      <c r="BR234" s="2030">
        <f t="shared" si="110"/>
        <v>0</v>
      </c>
      <c r="BS234" s="2030">
        <f t="shared" si="110"/>
        <v>0</v>
      </c>
      <c r="BT234" s="2111"/>
      <c r="BU234" s="2111"/>
      <c r="BV234" s="2111"/>
      <c r="BW234" s="2111"/>
      <c r="BX234" s="2111"/>
      <c r="BY234" s="2111"/>
      <c r="BZ234" s="2111"/>
      <c r="CA234" s="2111"/>
      <c r="CB234" s="2029"/>
      <c r="CC234" s="2029"/>
      <c r="CD234" s="2029"/>
      <c r="CE234" s="2029"/>
      <c r="CF234" s="2029"/>
      <c r="CG234" s="2032"/>
      <c r="CH234" s="1974"/>
      <c r="CI234" s="1974"/>
      <c r="CJ234" s="1974"/>
      <c r="CK234" s="1974"/>
      <c r="CL234" s="1974"/>
      <c r="CM234" s="2033"/>
      <c r="CN234" s="2026"/>
      <c r="CO234" s="1974"/>
      <c r="CP234" s="2040"/>
      <c r="CQ234" s="2040"/>
      <c r="CR234" s="2062"/>
      <c r="CS234" s="2062"/>
      <c r="CT234" s="2121"/>
      <c r="CU234" s="2121"/>
      <c r="CV234" s="2036"/>
      <c r="CW234" s="2036"/>
      <c r="CX234" s="2036"/>
      <c r="CY234" s="2049"/>
      <c r="CZ234" s="2049"/>
      <c r="DA234" s="2049"/>
    </row>
    <row r="235" spans="1:105" x14ac:dyDescent="0.25">
      <c r="A235" s="2104" t="s">
        <v>1042</v>
      </c>
      <c r="B235" s="2105"/>
      <c r="C235" s="2106"/>
      <c r="D235" s="2106"/>
      <c r="E235" s="2107"/>
      <c r="F235" s="2107"/>
      <c r="G235" s="2107"/>
      <c r="H235" s="2107"/>
      <c r="I235" s="2106"/>
      <c r="J235" s="2027"/>
      <c r="K235" s="2108" t="s">
        <v>2285</v>
      </c>
      <c r="L235" s="2108" t="s">
        <v>2285</v>
      </c>
      <c r="M235" s="2108">
        <v>0.79999999999999993</v>
      </c>
      <c r="N235" s="2108">
        <v>0.79999999999999993</v>
      </c>
      <c r="O235" s="2108">
        <v>0.79999999999999993</v>
      </c>
      <c r="P235" s="2108">
        <v>0.79999999999999993</v>
      </c>
      <c r="Q235" s="2109">
        <f t="shared" si="99"/>
        <v>0</v>
      </c>
      <c r="R235" s="2109">
        <f t="shared" si="99"/>
        <v>0</v>
      </c>
      <c r="S235" s="2109">
        <f t="shared" si="99"/>
        <v>0</v>
      </c>
      <c r="T235" s="2109">
        <f t="shared" si="99"/>
        <v>0</v>
      </c>
      <c r="U235" s="2108">
        <v>0.79999999999999993</v>
      </c>
      <c r="V235" s="2108">
        <v>0.79999999999999993</v>
      </c>
      <c r="W235" s="2108">
        <v>0.79999999999999993</v>
      </c>
      <c r="X235" s="2108">
        <v>0.79999999999999993</v>
      </c>
      <c r="Y235" s="2110">
        <f t="shared" si="100"/>
        <v>0</v>
      </c>
      <c r="Z235" s="2110">
        <f t="shared" si="100"/>
        <v>0</v>
      </c>
      <c r="AA235" s="2110">
        <f t="shared" si="100"/>
        <v>0</v>
      </c>
      <c r="AB235" s="2110">
        <f t="shared" si="100"/>
        <v>0</v>
      </c>
      <c r="AC235" s="2108">
        <v>0.60399999999999998</v>
      </c>
      <c r="AD235" s="2108">
        <v>0.60399999999999998</v>
      </c>
      <c r="AE235" s="2108">
        <v>0.60399999999999998</v>
      </c>
      <c r="AF235" s="2108">
        <v>0.60399999999999998</v>
      </c>
      <c r="AG235" s="2027"/>
      <c r="AH235" s="2027"/>
      <c r="AI235" s="2027"/>
      <c r="AJ235" s="2027"/>
      <c r="AK235" s="2027"/>
      <c r="AL235" s="2027"/>
      <c r="AM235" s="2027"/>
      <c r="AN235" s="2027"/>
      <c r="AO235" s="2027">
        <f t="shared" si="102"/>
        <v>0</v>
      </c>
      <c r="AP235" s="2027">
        <f t="shared" si="103"/>
        <v>0</v>
      </c>
      <c r="AQ235" s="2027">
        <f t="shared" si="103"/>
        <v>0</v>
      </c>
      <c r="AR235" s="2027"/>
      <c r="AS235" s="2027">
        <f t="shared" si="104"/>
        <v>0</v>
      </c>
      <c r="AT235" s="2109">
        <f t="shared" si="105"/>
        <v>0</v>
      </c>
      <c r="AU235" s="2027">
        <f t="shared" si="106"/>
        <v>0</v>
      </c>
      <c r="AV235" s="2027">
        <f t="shared" si="106"/>
        <v>0</v>
      </c>
      <c r="AW235" s="2027">
        <f t="shared" si="106"/>
        <v>0</v>
      </c>
      <c r="AX235" s="2111"/>
      <c r="AY235" s="2029">
        <v>0</v>
      </c>
      <c r="AZ235" s="2029">
        <v>0</v>
      </c>
      <c r="BA235" s="2029">
        <v>0</v>
      </c>
      <c r="BB235" s="2111"/>
      <c r="BC235" s="2029">
        <v>0</v>
      </c>
      <c r="BD235" s="2029">
        <v>0</v>
      </c>
      <c r="BE235" s="2029">
        <v>0</v>
      </c>
      <c r="BF235" s="2111"/>
      <c r="BG235" s="2029">
        <v>0</v>
      </c>
      <c r="BH235" s="2029">
        <v>0</v>
      </c>
      <c r="BI235" s="2029">
        <v>0</v>
      </c>
      <c r="BJ235" s="2030">
        <f t="shared" si="107"/>
        <v>0</v>
      </c>
      <c r="BK235" s="2030">
        <f t="shared" si="107"/>
        <v>0</v>
      </c>
      <c r="BL235" s="2030">
        <f t="shared" si="107"/>
        <v>0</v>
      </c>
      <c r="BM235" s="2030"/>
      <c r="BN235" s="2030">
        <f t="shared" si="108"/>
        <v>0</v>
      </c>
      <c r="BO235" s="2030">
        <f t="shared" si="109"/>
        <v>0</v>
      </c>
      <c r="BP235" s="2030"/>
      <c r="BQ235" s="2030">
        <f t="shared" si="110"/>
        <v>0</v>
      </c>
      <c r="BR235" s="2030">
        <f t="shared" si="110"/>
        <v>0</v>
      </c>
      <c r="BS235" s="2030">
        <f t="shared" si="110"/>
        <v>0</v>
      </c>
      <c r="BT235" s="2111"/>
      <c r="BU235" s="2111"/>
      <c r="BV235" s="2111"/>
      <c r="BW235" s="2111"/>
      <c r="BX235" s="2111"/>
      <c r="BY235" s="2111"/>
      <c r="BZ235" s="2111"/>
      <c r="CA235" s="2111"/>
      <c r="CB235" s="2029"/>
      <c r="CC235" s="2029"/>
      <c r="CD235" s="2029"/>
      <c r="CE235" s="2029"/>
      <c r="CF235" s="2029"/>
      <c r="CG235" s="2032"/>
      <c r="CH235" s="1974"/>
      <c r="CI235" s="1974"/>
      <c r="CJ235" s="1974"/>
      <c r="CK235" s="1974"/>
      <c r="CL235" s="1974"/>
      <c r="CM235" s="2033"/>
      <c r="CN235" s="2026"/>
      <c r="CO235" s="1974"/>
      <c r="CP235" s="2040"/>
      <c r="CQ235" s="2040"/>
      <c r="CR235" s="2062"/>
      <c r="CS235" s="2062"/>
      <c r="CT235" s="2121"/>
      <c r="CU235" s="2121"/>
      <c r="CV235" s="2036"/>
      <c r="CW235" s="2036"/>
      <c r="CX235" s="2036"/>
      <c r="CY235" s="2049"/>
      <c r="CZ235" s="2049"/>
      <c r="DA235" s="2049"/>
    </row>
    <row r="236" spans="1:105" x14ac:dyDescent="0.25">
      <c r="A236" s="2104" t="s">
        <v>1043</v>
      </c>
      <c r="B236" s="2105"/>
      <c r="C236" s="2106"/>
      <c r="D236" s="2106"/>
      <c r="E236" s="2107"/>
      <c r="F236" s="2107"/>
      <c r="G236" s="2107"/>
      <c r="H236" s="2107"/>
      <c r="I236" s="2106"/>
      <c r="J236" s="2027"/>
      <c r="K236" s="2108" t="s">
        <v>2285</v>
      </c>
      <c r="L236" s="2108" t="s">
        <v>2285</v>
      </c>
      <c r="M236" s="2108">
        <v>0.79999999999999993</v>
      </c>
      <c r="N236" s="2108">
        <v>0.79999999999999993</v>
      </c>
      <c r="O236" s="2108">
        <v>0.79999999999999993</v>
      </c>
      <c r="P236" s="2108">
        <v>0.79999999999999993</v>
      </c>
      <c r="Q236" s="2109">
        <f t="shared" si="99"/>
        <v>0</v>
      </c>
      <c r="R236" s="2109">
        <f t="shared" si="99"/>
        <v>0</v>
      </c>
      <c r="S236" s="2109">
        <f t="shared" si="99"/>
        <v>0</v>
      </c>
      <c r="T236" s="2109">
        <f t="shared" si="99"/>
        <v>0</v>
      </c>
      <c r="U236" s="2108">
        <v>0.79999999999999993</v>
      </c>
      <c r="V236" s="2108">
        <v>0.79999999999999993</v>
      </c>
      <c r="W236" s="2108">
        <v>0.79999999999999993</v>
      </c>
      <c r="X236" s="2108">
        <v>0.79999999999999993</v>
      </c>
      <c r="Y236" s="2110">
        <f t="shared" si="100"/>
        <v>0</v>
      </c>
      <c r="Z236" s="2110">
        <f t="shared" si="100"/>
        <v>0</v>
      </c>
      <c r="AA236" s="2110">
        <f t="shared" si="100"/>
        <v>0</v>
      </c>
      <c r="AB236" s="2110">
        <f t="shared" si="100"/>
        <v>0</v>
      </c>
      <c r="AC236" s="2108">
        <v>0.60399999999999998</v>
      </c>
      <c r="AD236" s="2108">
        <v>0.60399999999999998</v>
      </c>
      <c r="AE236" s="2108">
        <v>0.60399999999999998</v>
      </c>
      <c r="AF236" s="2108">
        <v>0.60399999999999998</v>
      </c>
      <c r="AG236" s="2027"/>
      <c r="AH236" s="2027"/>
      <c r="AI236" s="2027"/>
      <c r="AJ236" s="2027"/>
      <c r="AK236" s="2027"/>
      <c r="AL236" s="2027"/>
      <c r="AM236" s="2027"/>
      <c r="AN236" s="2027"/>
      <c r="AO236" s="2027">
        <f t="shared" si="102"/>
        <v>0</v>
      </c>
      <c r="AP236" s="2027">
        <f t="shared" si="103"/>
        <v>0</v>
      </c>
      <c r="AQ236" s="2027">
        <f t="shared" si="103"/>
        <v>0</v>
      </c>
      <c r="AR236" s="2027"/>
      <c r="AS236" s="2027">
        <f t="shared" si="104"/>
        <v>0</v>
      </c>
      <c r="AT236" s="2109">
        <f t="shared" si="105"/>
        <v>0</v>
      </c>
      <c r="AU236" s="2027">
        <f t="shared" si="106"/>
        <v>0</v>
      </c>
      <c r="AV236" s="2027">
        <f t="shared" si="106"/>
        <v>0</v>
      </c>
      <c r="AW236" s="2027">
        <f t="shared" si="106"/>
        <v>0</v>
      </c>
      <c r="AX236" s="2111"/>
      <c r="AY236" s="2029">
        <v>0</v>
      </c>
      <c r="AZ236" s="2029">
        <v>0</v>
      </c>
      <c r="BA236" s="2029">
        <v>0</v>
      </c>
      <c r="BB236" s="2111"/>
      <c r="BC236" s="2029">
        <v>0</v>
      </c>
      <c r="BD236" s="2029">
        <v>0</v>
      </c>
      <c r="BE236" s="2029">
        <v>0</v>
      </c>
      <c r="BF236" s="2111"/>
      <c r="BG236" s="2029">
        <v>0</v>
      </c>
      <c r="BH236" s="2029">
        <v>0</v>
      </c>
      <c r="BI236" s="2029">
        <v>0</v>
      </c>
      <c r="BJ236" s="2030">
        <f t="shared" si="107"/>
        <v>0</v>
      </c>
      <c r="BK236" s="2030">
        <f t="shared" si="107"/>
        <v>0</v>
      </c>
      <c r="BL236" s="2030">
        <f t="shared" si="107"/>
        <v>0</v>
      </c>
      <c r="BM236" s="2030"/>
      <c r="BN236" s="2030">
        <f t="shared" si="108"/>
        <v>0</v>
      </c>
      <c r="BO236" s="2030">
        <f t="shared" si="109"/>
        <v>0</v>
      </c>
      <c r="BP236" s="2030"/>
      <c r="BQ236" s="2030">
        <f t="shared" si="110"/>
        <v>0</v>
      </c>
      <c r="BR236" s="2030">
        <f t="shared" si="110"/>
        <v>0</v>
      </c>
      <c r="BS236" s="2030">
        <f t="shared" si="110"/>
        <v>0</v>
      </c>
      <c r="BT236" s="2111"/>
      <c r="BU236" s="2111"/>
      <c r="BV236" s="2111"/>
      <c r="BW236" s="2111"/>
      <c r="BX236" s="2111"/>
      <c r="BY236" s="2111"/>
      <c r="BZ236" s="2111"/>
      <c r="CA236" s="2111"/>
      <c r="CB236" s="2029"/>
      <c r="CC236" s="2029"/>
      <c r="CD236" s="2029"/>
      <c r="CE236" s="2029"/>
      <c r="CF236" s="2029"/>
      <c r="CG236" s="2032"/>
      <c r="CH236" s="1974"/>
      <c r="CI236" s="1974"/>
      <c r="CJ236" s="1974"/>
      <c r="CK236" s="1974"/>
      <c r="CL236" s="1974"/>
      <c r="CM236" s="2033"/>
      <c r="CN236" s="2026"/>
      <c r="CO236" s="1974"/>
      <c r="CP236" s="2040"/>
      <c r="CQ236" s="2040"/>
      <c r="CR236" s="2062"/>
      <c r="CS236" s="2062"/>
      <c r="CT236" s="2121"/>
      <c r="CU236" s="2121"/>
      <c r="CV236" s="2036"/>
      <c r="CW236" s="2036"/>
      <c r="CX236" s="2036"/>
      <c r="CY236" s="2049"/>
      <c r="CZ236" s="2049"/>
      <c r="DA236" s="2049"/>
    </row>
    <row r="237" spans="1:105" x14ac:dyDescent="0.25">
      <c r="A237" s="2104" t="s">
        <v>1044</v>
      </c>
      <c r="B237" s="2105"/>
      <c r="C237" s="2106"/>
      <c r="D237" s="2106"/>
      <c r="E237" s="2107"/>
      <c r="F237" s="2107"/>
      <c r="G237" s="2107"/>
      <c r="H237" s="2107"/>
      <c r="I237" s="2106"/>
      <c r="J237" s="2027"/>
      <c r="K237" s="2108" t="s">
        <v>2285</v>
      </c>
      <c r="L237" s="2108" t="s">
        <v>2285</v>
      </c>
      <c r="M237" s="2108">
        <v>0.79999999999999993</v>
      </c>
      <c r="N237" s="2108">
        <v>0.79999999999999993</v>
      </c>
      <c r="O237" s="2108">
        <v>0.79999999999999993</v>
      </c>
      <c r="P237" s="2108">
        <v>0.79999999999999993</v>
      </c>
      <c r="Q237" s="2109">
        <f t="shared" si="99"/>
        <v>0</v>
      </c>
      <c r="R237" s="2109">
        <f t="shared" si="99"/>
        <v>0</v>
      </c>
      <c r="S237" s="2109">
        <f t="shared" si="99"/>
        <v>0</v>
      </c>
      <c r="T237" s="2109">
        <f t="shared" si="99"/>
        <v>0</v>
      </c>
      <c r="U237" s="2108">
        <v>0.79999999999999993</v>
      </c>
      <c r="V237" s="2108">
        <v>0.79999999999999993</v>
      </c>
      <c r="W237" s="2108">
        <v>0.79999999999999993</v>
      </c>
      <c r="X237" s="2108">
        <v>0.79999999999999993</v>
      </c>
      <c r="Y237" s="2110">
        <f t="shared" si="100"/>
        <v>0</v>
      </c>
      <c r="Z237" s="2110">
        <f t="shared" si="100"/>
        <v>0</v>
      </c>
      <c r="AA237" s="2110">
        <f t="shared" si="100"/>
        <v>0</v>
      </c>
      <c r="AB237" s="2110">
        <f t="shared" si="100"/>
        <v>0</v>
      </c>
      <c r="AC237" s="2108">
        <v>0.60399999999999998</v>
      </c>
      <c r="AD237" s="2108">
        <v>0.60399999999999998</v>
      </c>
      <c r="AE237" s="2108">
        <v>0.60399999999999998</v>
      </c>
      <c r="AF237" s="2108">
        <v>0.60399999999999998</v>
      </c>
      <c r="AG237" s="2027"/>
      <c r="AH237" s="2027"/>
      <c r="AI237" s="2027"/>
      <c r="AJ237" s="2027"/>
      <c r="AK237" s="2027"/>
      <c r="AL237" s="2027"/>
      <c r="AM237" s="2027"/>
      <c r="AN237" s="2027"/>
      <c r="AO237" s="2027">
        <f t="shared" si="102"/>
        <v>0</v>
      </c>
      <c r="AP237" s="2027">
        <f t="shared" si="103"/>
        <v>0</v>
      </c>
      <c r="AQ237" s="2027">
        <f t="shared" si="103"/>
        <v>0</v>
      </c>
      <c r="AR237" s="2027"/>
      <c r="AS237" s="2027">
        <f t="shared" si="104"/>
        <v>0</v>
      </c>
      <c r="AT237" s="2109">
        <f t="shared" si="105"/>
        <v>0</v>
      </c>
      <c r="AU237" s="2027">
        <f t="shared" si="106"/>
        <v>0</v>
      </c>
      <c r="AV237" s="2027">
        <f t="shared" si="106"/>
        <v>0</v>
      </c>
      <c r="AW237" s="2027">
        <f t="shared" si="106"/>
        <v>0</v>
      </c>
      <c r="AX237" s="2111"/>
      <c r="AY237" s="2029">
        <v>0</v>
      </c>
      <c r="AZ237" s="2029">
        <v>0</v>
      </c>
      <c r="BA237" s="2029">
        <v>0</v>
      </c>
      <c r="BB237" s="2111"/>
      <c r="BC237" s="2029">
        <v>0</v>
      </c>
      <c r="BD237" s="2029">
        <v>0</v>
      </c>
      <c r="BE237" s="2029">
        <v>0</v>
      </c>
      <c r="BF237" s="2111"/>
      <c r="BG237" s="2029">
        <v>0</v>
      </c>
      <c r="BH237" s="2029">
        <v>0</v>
      </c>
      <c r="BI237" s="2029">
        <v>0</v>
      </c>
      <c r="BJ237" s="2030">
        <f t="shared" si="107"/>
        <v>0</v>
      </c>
      <c r="BK237" s="2030">
        <f t="shared" si="107"/>
        <v>0</v>
      </c>
      <c r="BL237" s="2030">
        <f t="shared" si="107"/>
        <v>0</v>
      </c>
      <c r="BM237" s="2030"/>
      <c r="BN237" s="2030">
        <f t="shared" si="108"/>
        <v>0</v>
      </c>
      <c r="BO237" s="2030">
        <f t="shared" si="109"/>
        <v>0</v>
      </c>
      <c r="BP237" s="2030"/>
      <c r="BQ237" s="2030">
        <f t="shared" si="110"/>
        <v>0</v>
      </c>
      <c r="BR237" s="2030">
        <f t="shared" si="110"/>
        <v>0</v>
      </c>
      <c r="BS237" s="2030">
        <f t="shared" si="110"/>
        <v>0</v>
      </c>
      <c r="BT237" s="2111"/>
      <c r="BU237" s="2111"/>
      <c r="BV237" s="2111"/>
      <c r="BW237" s="2111"/>
      <c r="BX237" s="2111"/>
      <c r="BY237" s="2111"/>
      <c r="BZ237" s="2111"/>
      <c r="CA237" s="2111"/>
      <c r="CB237" s="2029"/>
      <c r="CC237" s="2029"/>
      <c r="CD237" s="2029"/>
      <c r="CE237" s="2029"/>
      <c r="CF237" s="2029"/>
      <c r="CG237" s="2032"/>
      <c r="CH237" s="1974"/>
      <c r="CI237" s="1974"/>
      <c r="CJ237" s="1974"/>
      <c r="CK237" s="1974"/>
      <c r="CL237" s="1974"/>
      <c r="CM237" s="2033"/>
      <c r="CN237" s="2026"/>
      <c r="CO237" s="1974"/>
      <c r="CP237" s="2040"/>
      <c r="CQ237" s="2040"/>
      <c r="CR237" s="2062"/>
      <c r="CS237" s="2062"/>
      <c r="CT237" s="2121"/>
      <c r="CU237" s="2121"/>
      <c r="CV237" s="2036"/>
      <c r="CW237" s="2036"/>
      <c r="CX237" s="2036"/>
      <c r="CY237" s="2049"/>
      <c r="CZ237" s="2049"/>
      <c r="DA237" s="2049"/>
    </row>
    <row r="238" spans="1:105" x14ac:dyDescent="0.25">
      <c r="A238" s="2104" t="s">
        <v>1045</v>
      </c>
      <c r="B238" s="2105"/>
      <c r="C238" s="2106"/>
      <c r="D238" s="2106"/>
      <c r="E238" s="2107"/>
      <c r="F238" s="2107"/>
      <c r="G238" s="2107"/>
      <c r="H238" s="2107"/>
      <c r="I238" s="2106"/>
      <c r="J238" s="2027"/>
      <c r="K238" s="2108" t="s">
        <v>2285</v>
      </c>
      <c r="L238" s="2108" t="s">
        <v>2285</v>
      </c>
      <c r="M238" s="2108">
        <v>0.79999999999999993</v>
      </c>
      <c r="N238" s="2108">
        <v>0.79999999999999993</v>
      </c>
      <c r="O238" s="2108">
        <v>0.79999999999999993</v>
      </c>
      <c r="P238" s="2108">
        <v>0.79999999999999993</v>
      </c>
      <c r="Q238" s="2109">
        <f t="shared" si="99"/>
        <v>0</v>
      </c>
      <c r="R238" s="2109">
        <f t="shared" si="99"/>
        <v>0</v>
      </c>
      <c r="S238" s="2109">
        <f t="shared" si="99"/>
        <v>0</v>
      </c>
      <c r="T238" s="2109">
        <f t="shared" si="99"/>
        <v>0</v>
      </c>
      <c r="U238" s="2108">
        <v>0.79999999999999993</v>
      </c>
      <c r="V238" s="2108">
        <v>0.79999999999999993</v>
      </c>
      <c r="W238" s="2108">
        <v>0.79999999999999993</v>
      </c>
      <c r="X238" s="2108">
        <v>0.79999999999999993</v>
      </c>
      <c r="Y238" s="2110">
        <f t="shared" si="100"/>
        <v>0</v>
      </c>
      <c r="Z238" s="2110">
        <f t="shared" si="100"/>
        <v>0</v>
      </c>
      <c r="AA238" s="2110">
        <f t="shared" si="100"/>
        <v>0</v>
      </c>
      <c r="AB238" s="2110">
        <f t="shared" si="100"/>
        <v>0</v>
      </c>
      <c r="AC238" s="2108">
        <v>0.60399999999999998</v>
      </c>
      <c r="AD238" s="2108">
        <v>0.60399999999999998</v>
      </c>
      <c r="AE238" s="2108">
        <v>0.60399999999999998</v>
      </c>
      <c r="AF238" s="2108">
        <v>0.60399999999999998</v>
      </c>
      <c r="AG238" s="2027"/>
      <c r="AH238" s="2027"/>
      <c r="AI238" s="2027"/>
      <c r="AJ238" s="2027"/>
      <c r="AK238" s="2027"/>
      <c r="AL238" s="2027"/>
      <c r="AM238" s="2027"/>
      <c r="AN238" s="2027"/>
      <c r="AO238" s="2027">
        <f t="shared" si="102"/>
        <v>0</v>
      </c>
      <c r="AP238" s="2027">
        <f t="shared" si="103"/>
        <v>0</v>
      </c>
      <c r="AQ238" s="2027">
        <f t="shared" si="103"/>
        <v>0</v>
      </c>
      <c r="AR238" s="2027"/>
      <c r="AS238" s="2027">
        <f t="shared" si="104"/>
        <v>0</v>
      </c>
      <c r="AT238" s="2109">
        <f t="shared" si="105"/>
        <v>0</v>
      </c>
      <c r="AU238" s="2027">
        <f t="shared" si="106"/>
        <v>0</v>
      </c>
      <c r="AV238" s="2027">
        <f t="shared" si="106"/>
        <v>0</v>
      </c>
      <c r="AW238" s="2027">
        <f t="shared" si="106"/>
        <v>0</v>
      </c>
      <c r="AX238" s="2111"/>
      <c r="AY238" s="2029">
        <v>0</v>
      </c>
      <c r="AZ238" s="2029">
        <v>0</v>
      </c>
      <c r="BA238" s="2029">
        <v>0</v>
      </c>
      <c r="BB238" s="2111"/>
      <c r="BC238" s="2029">
        <v>0</v>
      </c>
      <c r="BD238" s="2029">
        <v>0</v>
      </c>
      <c r="BE238" s="2029">
        <v>0</v>
      </c>
      <c r="BF238" s="2111"/>
      <c r="BG238" s="2029">
        <v>0</v>
      </c>
      <c r="BH238" s="2029">
        <v>0</v>
      </c>
      <c r="BI238" s="2029">
        <v>0</v>
      </c>
      <c r="BJ238" s="2030">
        <f t="shared" si="107"/>
        <v>0</v>
      </c>
      <c r="BK238" s="2030">
        <f t="shared" si="107"/>
        <v>0</v>
      </c>
      <c r="BL238" s="2030">
        <f t="shared" si="107"/>
        <v>0</v>
      </c>
      <c r="BM238" s="2030"/>
      <c r="BN238" s="2030">
        <f t="shared" si="108"/>
        <v>0</v>
      </c>
      <c r="BO238" s="2030">
        <f t="shared" si="109"/>
        <v>0</v>
      </c>
      <c r="BP238" s="2030"/>
      <c r="BQ238" s="2030">
        <f t="shared" si="110"/>
        <v>0</v>
      </c>
      <c r="BR238" s="2030">
        <f t="shared" si="110"/>
        <v>0</v>
      </c>
      <c r="BS238" s="2030">
        <f t="shared" si="110"/>
        <v>0</v>
      </c>
      <c r="BT238" s="2111"/>
      <c r="BU238" s="2111"/>
      <c r="BV238" s="2111"/>
      <c r="BW238" s="2111"/>
      <c r="BX238" s="2111"/>
      <c r="BY238" s="2111"/>
      <c r="BZ238" s="2111"/>
      <c r="CA238" s="2111"/>
      <c r="CB238" s="2029"/>
      <c r="CC238" s="2029"/>
      <c r="CD238" s="2029"/>
      <c r="CE238" s="2029"/>
      <c r="CF238" s="2029"/>
      <c r="CG238" s="2032"/>
      <c r="CH238" s="1974"/>
      <c r="CI238" s="1974"/>
      <c r="CJ238" s="1974"/>
      <c r="CK238" s="1974"/>
      <c r="CL238" s="1974"/>
      <c r="CM238" s="2033"/>
      <c r="CN238" s="2026"/>
      <c r="CO238" s="1974"/>
      <c r="CP238" s="2040"/>
      <c r="CQ238" s="2040"/>
      <c r="CR238" s="2062"/>
      <c r="CS238" s="2062"/>
      <c r="CT238" s="2121"/>
      <c r="CU238" s="2121"/>
      <c r="CV238" s="2036"/>
      <c r="CW238" s="2036"/>
      <c r="CX238" s="2036"/>
      <c r="CY238" s="2049"/>
      <c r="CZ238" s="2049"/>
      <c r="DA238" s="2049"/>
    </row>
    <row r="239" spans="1:105" x14ac:dyDescent="0.25">
      <c r="A239" s="2104" t="s">
        <v>1046</v>
      </c>
      <c r="B239" s="2105"/>
      <c r="C239" s="2106"/>
      <c r="D239" s="2106"/>
      <c r="E239" s="2107"/>
      <c r="F239" s="2107"/>
      <c r="G239" s="2107"/>
      <c r="H239" s="2107"/>
      <c r="I239" s="2106"/>
      <c r="J239" s="2027"/>
      <c r="K239" s="2108" t="s">
        <v>2285</v>
      </c>
      <c r="L239" s="2108" t="s">
        <v>2285</v>
      </c>
      <c r="M239" s="2108">
        <v>0.79999999999999993</v>
      </c>
      <c r="N239" s="2108">
        <v>0.79999999999999993</v>
      </c>
      <c r="O239" s="2108">
        <v>0.79999999999999993</v>
      </c>
      <c r="P239" s="2108">
        <v>0.79999999999999993</v>
      </c>
      <c r="Q239" s="2109">
        <f t="shared" si="99"/>
        <v>0</v>
      </c>
      <c r="R239" s="2109">
        <f t="shared" si="99"/>
        <v>0</v>
      </c>
      <c r="S239" s="2109">
        <f t="shared" si="99"/>
        <v>0</v>
      </c>
      <c r="T239" s="2109">
        <f t="shared" si="99"/>
        <v>0</v>
      </c>
      <c r="U239" s="2108">
        <v>0.79999999999999993</v>
      </c>
      <c r="V239" s="2108">
        <v>0.79999999999999993</v>
      </c>
      <c r="W239" s="2108">
        <v>0.79999999999999993</v>
      </c>
      <c r="X239" s="2108">
        <v>0.79999999999999993</v>
      </c>
      <c r="Y239" s="2110">
        <f t="shared" si="100"/>
        <v>0</v>
      </c>
      <c r="Z239" s="2110">
        <f t="shared" si="100"/>
        <v>0</v>
      </c>
      <c r="AA239" s="2110">
        <f t="shared" si="100"/>
        <v>0</v>
      </c>
      <c r="AB239" s="2110">
        <f t="shared" si="100"/>
        <v>0</v>
      </c>
      <c r="AC239" s="2108">
        <v>0.60399999999999998</v>
      </c>
      <c r="AD239" s="2108">
        <v>0.60399999999999998</v>
      </c>
      <c r="AE239" s="2108">
        <v>0.60399999999999998</v>
      </c>
      <c r="AF239" s="2108">
        <v>0.60399999999999998</v>
      </c>
      <c r="AG239" s="2027"/>
      <c r="AH239" s="2027"/>
      <c r="AI239" s="2027"/>
      <c r="AJ239" s="2027"/>
      <c r="AK239" s="2027"/>
      <c r="AL239" s="2027"/>
      <c r="AM239" s="2027"/>
      <c r="AN239" s="2027"/>
      <c r="AO239" s="2027">
        <f t="shared" si="102"/>
        <v>0</v>
      </c>
      <c r="AP239" s="2027">
        <f t="shared" si="103"/>
        <v>0</v>
      </c>
      <c r="AQ239" s="2027">
        <f t="shared" si="103"/>
        <v>0</v>
      </c>
      <c r="AR239" s="2027"/>
      <c r="AS239" s="2027">
        <f t="shared" si="104"/>
        <v>0</v>
      </c>
      <c r="AT239" s="2109">
        <f t="shared" si="105"/>
        <v>0</v>
      </c>
      <c r="AU239" s="2027">
        <f t="shared" si="106"/>
        <v>0</v>
      </c>
      <c r="AV239" s="2027">
        <f t="shared" si="106"/>
        <v>0</v>
      </c>
      <c r="AW239" s="2027">
        <f t="shared" si="106"/>
        <v>0</v>
      </c>
      <c r="AX239" s="2111"/>
      <c r="AY239" s="2029">
        <v>0</v>
      </c>
      <c r="AZ239" s="2029">
        <v>0</v>
      </c>
      <c r="BA239" s="2029">
        <v>0</v>
      </c>
      <c r="BB239" s="2111"/>
      <c r="BC239" s="2029">
        <v>0</v>
      </c>
      <c r="BD239" s="2029">
        <v>0</v>
      </c>
      <c r="BE239" s="2029">
        <v>0</v>
      </c>
      <c r="BF239" s="2111"/>
      <c r="BG239" s="2029">
        <v>0</v>
      </c>
      <c r="BH239" s="2029">
        <v>0</v>
      </c>
      <c r="BI239" s="2029">
        <v>0</v>
      </c>
      <c r="BJ239" s="2030">
        <f t="shared" si="107"/>
        <v>0</v>
      </c>
      <c r="BK239" s="2030">
        <f t="shared" si="107"/>
        <v>0</v>
      </c>
      <c r="BL239" s="2030">
        <f t="shared" si="107"/>
        <v>0</v>
      </c>
      <c r="BM239" s="2030"/>
      <c r="BN239" s="2030">
        <f t="shared" si="108"/>
        <v>0</v>
      </c>
      <c r="BO239" s="2030">
        <f t="shared" si="109"/>
        <v>0</v>
      </c>
      <c r="BP239" s="2030"/>
      <c r="BQ239" s="2030">
        <f t="shared" si="110"/>
        <v>0</v>
      </c>
      <c r="BR239" s="2030">
        <f t="shared" si="110"/>
        <v>0</v>
      </c>
      <c r="BS239" s="2030">
        <f t="shared" si="110"/>
        <v>0</v>
      </c>
      <c r="BT239" s="2111"/>
      <c r="BU239" s="2111"/>
      <c r="BV239" s="2111"/>
      <c r="BW239" s="2111"/>
      <c r="BX239" s="2111"/>
      <c r="BY239" s="2111"/>
      <c r="BZ239" s="2111"/>
      <c r="CA239" s="2111"/>
      <c r="CB239" s="2029"/>
      <c r="CC239" s="2029"/>
      <c r="CD239" s="2029"/>
      <c r="CE239" s="2029"/>
      <c r="CF239" s="2029"/>
      <c r="CG239" s="2032"/>
      <c r="CH239" s="1974"/>
      <c r="CI239" s="1974"/>
      <c r="CJ239" s="1974"/>
      <c r="CK239" s="1974"/>
      <c r="CL239" s="1974"/>
      <c r="CM239" s="2033"/>
      <c r="CN239" s="2026"/>
      <c r="CO239" s="1974"/>
      <c r="CP239" s="2040"/>
      <c r="CQ239" s="2040"/>
      <c r="CR239" s="2062"/>
      <c r="CS239" s="2062"/>
      <c r="CT239" s="2121"/>
      <c r="CU239" s="2121"/>
      <c r="CV239" s="2036"/>
      <c r="CW239" s="2036"/>
      <c r="CX239" s="2036"/>
      <c r="CY239" s="2049"/>
      <c r="CZ239" s="2049"/>
      <c r="DA239" s="2049"/>
    </row>
    <row r="240" spans="1:105" x14ac:dyDescent="0.25">
      <c r="A240" s="2104" t="s">
        <v>1047</v>
      </c>
      <c r="B240" s="2105"/>
      <c r="C240" s="2106"/>
      <c r="D240" s="2106"/>
      <c r="E240" s="2107"/>
      <c r="F240" s="2107"/>
      <c r="G240" s="2107"/>
      <c r="H240" s="2107"/>
      <c r="I240" s="2106"/>
      <c r="J240" s="2027"/>
      <c r="K240" s="2108" t="s">
        <v>2285</v>
      </c>
      <c r="L240" s="2108" t="s">
        <v>2285</v>
      </c>
      <c r="M240" s="2108">
        <v>0.79999999999999993</v>
      </c>
      <c r="N240" s="2108">
        <v>0.79999999999999993</v>
      </c>
      <c r="O240" s="2108">
        <v>0.79999999999999993</v>
      </c>
      <c r="P240" s="2108">
        <v>0.79999999999999993</v>
      </c>
      <c r="Q240" s="2109">
        <f t="shared" si="99"/>
        <v>0</v>
      </c>
      <c r="R240" s="2109">
        <f t="shared" si="99"/>
        <v>0</v>
      </c>
      <c r="S240" s="2109">
        <f t="shared" si="99"/>
        <v>0</v>
      </c>
      <c r="T240" s="2109">
        <f t="shared" si="99"/>
        <v>0</v>
      </c>
      <c r="U240" s="2108">
        <v>0.79999999999999993</v>
      </c>
      <c r="V240" s="2108">
        <v>0.79999999999999993</v>
      </c>
      <c r="W240" s="2108">
        <v>0.79999999999999993</v>
      </c>
      <c r="X240" s="2108">
        <v>0.79999999999999993</v>
      </c>
      <c r="Y240" s="2110">
        <f t="shared" si="100"/>
        <v>0</v>
      </c>
      <c r="Z240" s="2110">
        <f t="shared" si="100"/>
        <v>0</v>
      </c>
      <c r="AA240" s="2110">
        <f t="shared" si="100"/>
        <v>0</v>
      </c>
      <c r="AB240" s="2110">
        <f t="shared" si="100"/>
        <v>0</v>
      </c>
      <c r="AC240" s="2108">
        <v>0.60399999999999998</v>
      </c>
      <c r="AD240" s="2108">
        <v>0.60399999999999998</v>
      </c>
      <c r="AE240" s="2108">
        <v>0.60399999999999998</v>
      </c>
      <c r="AF240" s="2108">
        <v>0.60399999999999998</v>
      </c>
      <c r="AG240" s="2027"/>
      <c r="AH240" s="2027"/>
      <c r="AI240" s="2027"/>
      <c r="AJ240" s="2027"/>
      <c r="AK240" s="2027"/>
      <c r="AL240" s="2027"/>
      <c r="AM240" s="2027"/>
      <c r="AN240" s="2027"/>
      <c r="AO240" s="2027">
        <f t="shared" si="102"/>
        <v>0</v>
      </c>
      <c r="AP240" s="2027">
        <f t="shared" si="103"/>
        <v>0</v>
      </c>
      <c r="AQ240" s="2027">
        <f t="shared" si="103"/>
        <v>0</v>
      </c>
      <c r="AR240" s="2027"/>
      <c r="AS240" s="2027">
        <f t="shared" si="104"/>
        <v>0</v>
      </c>
      <c r="AT240" s="2109">
        <f t="shared" si="105"/>
        <v>0</v>
      </c>
      <c r="AU240" s="2027">
        <f t="shared" si="106"/>
        <v>0</v>
      </c>
      <c r="AV240" s="2027">
        <f t="shared" si="106"/>
        <v>0</v>
      </c>
      <c r="AW240" s="2027">
        <f t="shared" si="106"/>
        <v>0</v>
      </c>
      <c r="AX240" s="2111"/>
      <c r="AY240" s="2029">
        <v>0</v>
      </c>
      <c r="AZ240" s="2029">
        <v>0</v>
      </c>
      <c r="BA240" s="2029">
        <v>0</v>
      </c>
      <c r="BB240" s="2111"/>
      <c r="BC240" s="2029">
        <v>0</v>
      </c>
      <c r="BD240" s="2029">
        <v>0</v>
      </c>
      <c r="BE240" s="2029">
        <v>0</v>
      </c>
      <c r="BF240" s="2111"/>
      <c r="BG240" s="2029">
        <v>0</v>
      </c>
      <c r="BH240" s="2029">
        <v>0</v>
      </c>
      <c r="BI240" s="2029">
        <v>0</v>
      </c>
      <c r="BJ240" s="2030">
        <f t="shared" si="107"/>
        <v>0</v>
      </c>
      <c r="BK240" s="2030">
        <f t="shared" si="107"/>
        <v>0</v>
      </c>
      <c r="BL240" s="2030">
        <f t="shared" si="107"/>
        <v>0</v>
      </c>
      <c r="BM240" s="2030"/>
      <c r="BN240" s="2030">
        <f t="shared" si="108"/>
        <v>0</v>
      </c>
      <c r="BO240" s="2030">
        <f t="shared" si="109"/>
        <v>0</v>
      </c>
      <c r="BP240" s="2030"/>
      <c r="BQ240" s="2030">
        <f t="shared" si="110"/>
        <v>0</v>
      </c>
      <c r="BR240" s="2030">
        <f t="shared" si="110"/>
        <v>0</v>
      </c>
      <c r="BS240" s="2030">
        <f t="shared" si="110"/>
        <v>0</v>
      </c>
      <c r="BT240" s="2111"/>
      <c r="BU240" s="2111"/>
      <c r="BV240" s="2111"/>
      <c r="BW240" s="2111"/>
      <c r="BX240" s="2111"/>
      <c r="BY240" s="2111"/>
      <c r="BZ240" s="2111"/>
      <c r="CA240" s="2111"/>
      <c r="CB240" s="2029"/>
      <c r="CC240" s="2029"/>
      <c r="CD240" s="2029"/>
      <c r="CE240" s="2029"/>
      <c r="CF240" s="2029"/>
      <c r="CG240" s="2032"/>
      <c r="CH240" s="1974"/>
      <c r="CI240" s="1974"/>
      <c r="CJ240" s="1974"/>
      <c r="CK240" s="1974"/>
      <c r="CL240" s="1974"/>
      <c r="CM240" s="2033"/>
      <c r="CN240" s="2026"/>
      <c r="CO240" s="1974"/>
      <c r="CP240" s="2040"/>
      <c r="CQ240" s="2040"/>
      <c r="CR240" s="2062"/>
      <c r="CS240" s="2062"/>
      <c r="CT240" s="2121"/>
      <c r="CU240" s="2121"/>
      <c r="CV240" s="2036"/>
      <c r="CW240" s="2036"/>
      <c r="CX240" s="2036"/>
      <c r="CY240" s="2049"/>
      <c r="CZ240" s="2049"/>
      <c r="DA240" s="2049"/>
    </row>
    <row r="241" spans="1:105" x14ac:dyDescent="0.25">
      <c r="A241" s="2104" t="s">
        <v>1048</v>
      </c>
      <c r="B241" s="2105"/>
      <c r="C241" s="2106"/>
      <c r="D241" s="2106"/>
      <c r="E241" s="2107"/>
      <c r="F241" s="2107"/>
      <c r="G241" s="2107"/>
      <c r="H241" s="2107"/>
      <c r="I241" s="2106"/>
      <c r="J241" s="2027"/>
      <c r="K241" s="2108" t="s">
        <v>2285</v>
      </c>
      <c r="L241" s="2108" t="s">
        <v>2285</v>
      </c>
      <c r="M241" s="2108">
        <v>0.79999999999999993</v>
      </c>
      <c r="N241" s="2108">
        <v>0.79999999999999993</v>
      </c>
      <c r="O241" s="2108">
        <v>0.79999999999999993</v>
      </c>
      <c r="P241" s="2108">
        <v>0.79999999999999993</v>
      </c>
      <c r="Q241" s="2109">
        <f t="shared" ref="Q241:T245" si="111">$E241*M241</f>
        <v>0</v>
      </c>
      <c r="R241" s="2109">
        <f t="shared" si="111"/>
        <v>0</v>
      </c>
      <c r="S241" s="2109">
        <f t="shared" si="111"/>
        <v>0</v>
      </c>
      <c r="T241" s="2109">
        <f t="shared" si="111"/>
        <v>0</v>
      </c>
      <c r="U241" s="2108">
        <v>0.79999999999999993</v>
      </c>
      <c r="V241" s="2108">
        <v>0.79999999999999993</v>
      </c>
      <c r="W241" s="2108">
        <v>0.79999999999999993</v>
      </c>
      <c r="X241" s="2108">
        <v>0.79999999999999993</v>
      </c>
      <c r="Y241" s="2110">
        <f t="shared" ref="Y241:AB246" si="112">$G241*U241</f>
        <v>0</v>
      </c>
      <c r="Z241" s="2110">
        <f t="shared" si="112"/>
        <v>0</v>
      </c>
      <c r="AA241" s="2110">
        <f t="shared" si="112"/>
        <v>0</v>
      </c>
      <c r="AB241" s="2110">
        <f t="shared" si="112"/>
        <v>0</v>
      </c>
      <c r="AC241" s="2108">
        <v>0.60399999999999998</v>
      </c>
      <c r="AD241" s="2108">
        <v>0.60399999999999998</v>
      </c>
      <c r="AE241" s="2108">
        <v>0.60399999999999998</v>
      </c>
      <c r="AF241" s="2108">
        <v>0.60399999999999998</v>
      </c>
      <c r="AG241" s="2027"/>
      <c r="AH241" s="2027"/>
      <c r="AI241" s="2027"/>
      <c r="AJ241" s="2027"/>
      <c r="AK241" s="2027"/>
      <c r="AL241" s="2027"/>
      <c r="AM241" s="2027"/>
      <c r="AN241" s="2027"/>
      <c r="AO241" s="2027">
        <f t="shared" si="102"/>
        <v>0</v>
      </c>
      <c r="AP241" s="2027">
        <f t="shared" si="103"/>
        <v>0</v>
      </c>
      <c r="AQ241" s="2027">
        <f t="shared" si="103"/>
        <v>0</v>
      </c>
      <c r="AR241" s="2027"/>
      <c r="AS241" s="2027">
        <f t="shared" si="104"/>
        <v>0</v>
      </c>
      <c r="AT241" s="2109">
        <f t="shared" si="105"/>
        <v>0</v>
      </c>
      <c r="AU241" s="2027">
        <f t="shared" si="106"/>
        <v>0</v>
      </c>
      <c r="AV241" s="2027">
        <f t="shared" si="106"/>
        <v>0</v>
      </c>
      <c r="AW241" s="2027">
        <f t="shared" si="106"/>
        <v>0</v>
      </c>
      <c r="AX241" s="2111"/>
      <c r="AY241" s="2029">
        <v>0</v>
      </c>
      <c r="AZ241" s="2029">
        <v>0</v>
      </c>
      <c r="BA241" s="2029">
        <v>0</v>
      </c>
      <c r="BB241" s="2111"/>
      <c r="BC241" s="2029">
        <v>0</v>
      </c>
      <c r="BD241" s="2029">
        <v>0</v>
      </c>
      <c r="BE241" s="2029">
        <v>0</v>
      </c>
      <c r="BF241" s="2111"/>
      <c r="BG241" s="2029">
        <v>0</v>
      </c>
      <c r="BH241" s="2029">
        <v>0</v>
      </c>
      <c r="BI241" s="2029">
        <v>0</v>
      </c>
      <c r="BJ241" s="2030">
        <f t="shared" si="107"/>
        <v>0</v>
      </c>
      <c r="BK241" s="2030">
        <f t="shared" si="107"/>
        <v>0</v>
      </c>
      <c r="BL241" s="2030">
        <f t="shared" si="107"/>
        <v>0</v>
      </c>
      <c r="BM241" s="2030"/>
      <c r="BN241" s="2030">
        <f t="shared" si="108"/>
        <v>0</v>
      </c>
      <c r="BO241" s="2030">
        <f t="shared" si="109"/>
        <v>0</v>
      </c>
      <c r="BP241" s="2030"/>
      <c r="BQ241" s="2030">
        <f t="shared" si="110"/>
        <v>0</v>
      </c>
      <c r="BR241" s="2030">
        <f t="shared" si="110"/>
        <v>0</v>
      </c>
      <c r="BS241" s="2030">
        <f t="shared" si="110"/>
        <v>0</v>
      </c>
      <c r="BT241" s="2111"/>
      <c r="BU241" s="2111"/>
      <c r="BV241" s="2111"/>
      <c r="BW241" s="2111"/>
      <c r="BX241" s="2111"/>
      <c r="BY241" s="2111"/>
      <c r="BZ241" s="2111"/>
      <c r="CA241" s="2111"/>
      <c r="CB241" s="2029"/>
      <c r="CC241" s="2029"/>
      <c r="CD241" s="2029"/>
      <c r="CE241" s="2029"/>
      <c r="CF241" s="2029"/>
      <c r="CG241" s="2032"/>
      <c r="CH241" s="1974"/>
      <c r="CI241" s="1974"/>
      <c r="CJ241" s="1974"/>
      <c r="CK241" s="1974"/>
      <c r="CL241" s="1974"/>
      <c r="CM241" s="2033"/>
      <c r="CN241" s="2026"/>
      <c r="CO241" s="1974"/>
      <c r="CP241" s="2040"/>
      <c r="CQ241" s="2040"/>
      <c r="CR241" s="2062"/>
      <c r="CS241" s="2062"/>
      <c r="CT241" s="2121"/>
      <c r="CU241" s="2121"/>
      <c r="CV241" s="2036"/>
      <c r="CW241" s="2036"/>
      <c r="CX241" s="2036"/>
      <c r="CY241" s="2049"/>
      <c r="CZ241" s="2049"/>
      <c r="DA241" s="2049"/>
    </row>
    <row r="242" spans="1:105" x14ac:dyDescent="0.25">
      <c r="A242" s="2104" t="s">
        <v>1049</v>
      </c>
      <c r="B242" s="2105"/>
      <c r="C242" s="2106"/>
      <c r="D242" s="2106"/>
      <c r="E242" s="2107"/>
      <c r="F242" s="2107"/>
      <c r="G242" s="2107"/>
      <c r="H242" s="2107"/>
      <c r="I242" s="2106"/>
      <c r="J242" s="2027"/>
      <c r="K242" s="2108" t="s">
        <v>2285</v>
      </c>
      <c r="L242" s="2108" t="s">
        <v>2285</v>
      </c>
      <c r="M242" s="2108">
        <v>0.79999999999999993</v>
      </c>
      <c r="N242" s="2108">
        <v>0.79999999999999993</v>
      </c>
      <c r="O242" s="2108">
        <v>0.79999999999999993</v>
      </c>
      <c r="P242" s="2108">
        <v>0.79999999999999993</v>
      </c>
      <c r="Q242" s="2109">
        <f t="shared" si="111"/>
        <v>0</v>
      </c>
      <c r="R242" s="2109">
        <f t="shared" si="111"/>
        <v>0</v>
      </c>
      <c r="S242" s="2109">
        <f t="shared" si="111"/>
        <v>0</v>
      </c>
      <c r="T242" s="2109">
        <f t="shared" si="111"/>
        <v>0</v>
      </c>
      <c r="U242" s="2108">
        <v>0.79999999999999993</v>
      </c>
      <c r="V242" s="2108">
        <v>0.79999999999999993</v>
      </c>
      <c r="W242" s="2108">
        <v>0.79999999999999993</v>
      </c>
      <c r="X242" s="2108">
        <v>0.79999999999999993</v>
      </c>
      <c r="Y242" s="2110">
        <f t="shared" si="112"/>
        <v>0</v>
      </c>
      <c r="Z242" s="2110">
        <f t="shared" si="112"/>
        <v>0</v>
      </c>
      <c r="AA242" s="2110">
        <f t="shared" si="112"/>
        <v>0</v>
      </c>
      <c r="AB242" s="2110">
        <f t="shared" si="112"/>
        <v>0</v>
      </c>
      <c r="AC242" s="2108">
        <v>0.60399999999999998</v>
      </c>
      <c r="AD242" s="2108">
        <v>0.60399999999999998</v>
      </c>
      <c r="AE242" s="2108">
        <v>0.60399999999999998</v>
      </c>
      <c r="AF242" s="2108">
        <v>0.60399999999999998</v>
      </c>
      <c r="AG242" s="2027"/>
      <c r="AH242" s="2027"/>
      <c r="AI242" s="2027"/>
      <c r="AJ242" s="2027"/>
      <c r="AK242" s="2027"/>
      <c r="AL242" s="2027"/>
      <c r="AM242" s="2027"/>
      <c r="AN242" s="2027"/>
      <c r="AO242" s="2027">
        <f t="shared" si="102"/>
        <v>0</v>
      </c>
      <c r="AP242" s="2027">
        <f t="shared" si="103"/>
        <v>0</v>
      </c>
      <c r="AQ242" s="2027">
        <f t="shared" si="103"/>
        <v>0</v>
      </c>
      <c r="AR242" s="2027"/>
      <c r="AS242" s="2027">
        <f t="shared" si="104"/>
        <v>0</v>
      </c>
      <c r="AT242" s="2109">
        <f t="shared" si="105"/>
        <v>0</v>
      </c>
      <c r="AU242" s="2027">
        <f t="shared" si="106"/>
        <v>0</v>
      </c>
      <c r="AV242" s="2027">
        <f t="shared" si="106"/>
        <v>0</v>
      </c>
      <c r="AW242" s="2027">
        <f t="shared" si="106"/>
        <v>0</v>
      </c>
      <c r="AX242" s="2111"/>
      <c r="AY242" s="2029">
        <v>0</v>
      </c>
      <c r="AZ242" s="2029">
        <v>0</v>
      </c>
      <c r="BA242" s="2029">
        <v>0</v>
      </c>
      <c r="BB242" s="2111"/>
      <c r="BC242" s="2029">
        <v>0</v>
      </c>
      <c r="BD242" s="2029">
        <v>0</v>
      </c>
      <c r="BE242" s="2029">
        <v>0</v>
      </c>
      <c r="BF242" s="2111"/>
      <c r="BG242" s="2029">
        <v>0</v>
      </c>
      <c r="BH242" s="2029">
        <v>0</v>
      </c>
      <c r="BI242" s="2029">
        <v>0</v>
      </c>
      <c r="BJ242" s="2030">
        <f t="shared" si="107"/>
        <v>0</v>
      </c>
      <c r="BK242" s="2030">
        <f t="shared" si="107"/>
        <v>0</v>
      </c>
      <c r="BL242" s="2030">
        <f t="shared" si="107"/>
        <v>0</v>
      </c>
      <c r="BM242" s="2030"/>
      <c r="BN242" s="2030">
        <f t="shared" si="108"/>
        <v>0</v>
      </c>
      <c r="BO242" s="2030">
        <f t="shared" si="109"/>
        <v>0</v>
      </c>
      <c r="BP242" s="2030"/>
      <c r="BQ242" s="2030">
        <f t="shared" si="110"/>
        <v>0</v>
      </c>
      <c r="BR242" s="2030">
        <f t="shared" si="110"/>
        <v>0</v>
      </c>
      <c r="BS242" s="2030">
        <f t="shared" si="110"/>
        <v>0</v>
      </c>
      <c r="BT242" s="2111"/>
      <c r="BU242" s="2111"/>
      <c r="BV242" s="2111"/>
      <c r="BW242" s="2111"/>
      <c r="BX242" s="2111"/>
      <c r="BY242" s="2111"/>
      <c r="BZ242" s="2111"/>
      <c r="CA242" s="2111"/>
      <c r="CB242" s="2029"/>
      <c r="CC242" s="2029"/>
      <c r="CD242" s="2029"/>
      <c r="CE242" s="2029"/>
      <c r="CF242" s="2029"/>
      <c r="CG242" s="2032"/>
      <c r="CH242" s="1974"/>
      <c r="CI242" s="1974"/>
      <c r="CJ242" s="1974"/>
      <c r="CK242" s="1974"/>
      <c r="CL242" s="1974"/>
      <c r="CM242" s="2033"/>
      <c r="CN242" s="2026"/>
      <c r="CO242" s="1974"/>
      <c r="CP242" s="2040"/>
      <c r="CQ242" s="2040"/>
      <c r="CR242" s="2062"/>
      <c r="CS242" s="2062"/>
      <c r="CT242" s="2121"/>
      <c r="CU242" s="2121"/>
      <c r="CV242" s="2036"/>
      <c r="CW242" s="2036"/>
      <c r="CX242" s="2036"/>
      <c r="CY242" s="2049"/>
      <c r="CZ242" s="2049"/>
      <c r="DA242" s="2049"/>
    </row>
    <row r="243" spans="1:105" x14ac:dyDescent="0.25">
      <c r="A243" s="2104" t="s">
        <v>1050</v>
      </c>
      <c r="B243" s="2105"/>
      <c r="C243" s="2106"/>
      <c r="D243" s="2106"/>
      <c r="E243" s="2107"/>
      <c r="F243" s="2107"/>
      <c r="G243" s="2107"/>
      <c r="H243" s="2107"/>
      <c r="I243" s="2106"/>
      <c r="J243" s="2027"/>
      <c r="K243" s="2108" t="s">
        <v>2285</v>
      </c>
      <c r="L243" s="2108" t="s">
        <v>2285</v>
      </c>
      <c r="M243" s="2108">
        <v>0.79999999999999993</v>
      </c>
      <c r="N243" s="2108">
        <v>0.79999999999999993</v>
      </c>
      <c r="O243" s="2108">
        <v>0.79999999999999993</v>
      </c>
      <c r="P243" s="2108">
        <v>0.79999999999999993</v>
      </c>
      <c r="Q243" s="2109">
        <f t="shared" si="111"/>
        <v>0</v>
      </c>
      <c r="R243" s="2109">
        <f t="shared" si="111"/>
        <v>0</v>
      </c>
      <c r="S243" s="2109">
        <f t="shared" si="111"/>
        <v>0</v>
      </c>
      <c r="T243" s="2109">
        <f t="shared" si="111"/>
        <v>0</v>
      </c>
      <c r="U243" s="2108">
        <v>0.79999999999999993</v>
      </c>
      <c r="V243" s="2108">
        <v>0.79999999999999993</v>
      </c>
      <c r="W243" s="2108">
        <v>0.79999999999999993</v>
      </c>
      <c r="X243" s="2108">
        <v>0.79999999999999993</v>
      </c>
      <c r="Y243" s="2110">
        <f t="shared" si="112"/>
        <v>0</v>
      </c>
      <c r="Z243" s="2110">
        <f t="shared" si="112"/>
        <v>0</v>
      </c>
      <c r="AA243" s="2110">
        <f t="shared" si="112"/>
        <v>0</v>
      </c>
      <c r="AB243" s="2110">
        <f t="shared" si="112"/>
        <v>0</v>
      </c>
      <c r="AC243" s="2108">
        <v>0.60399999999999998</v>
      </c>
      <c r="AD243" s="2108">
        <v>0.60399999999999998</v>
      </c>
      <c r="AE243" s="2108">
        <v>0.60399999999999998</v>
      </c>
      <c r="AF243" s="2108">
        <v>0.60399999999999998</v>
      </c>
      <c r="AG243" s="2027"/>
      <c r="AH243" s="2027"/>
      <c r="AI243" s="2027"/>
      <c r="AJ243" s="2027"/>
      <c r="AK243" s="2027"/>
      <c r="AL243" s="2027"/>
      <c r="AM243" s="2027"/>
      <c r="AN243" s="2027"/>
      <c r="AO243" s="2027">
        <f t="shared" si="102"/>
        <v>0</v>
      </c>
      <c r="AP243" s="2027">
        <f t="shared" si="103"/>
        <v>0</v>
      </c>
      <c r="AQ243" s="2027">
        <f t="shared" si="103"/>
        <v>0</v>
      </c>
      <c r="AR243" s="2027"/>
      <c r="AS243" s="2027">
        <f t="shared" si="104"/>
        <v>0</v>
      </c>
      <c r="AT243" s="2109">
        <f t="shared" si="105"/>
        <v>0</v>
      </c>
      <c r="AU243" s="2027">
        <f t="shared" si="106"/>
        <v>0</v>
      </c>
      <c r="AV243" s="2027">
        <f t="shared" si="106"/>
        <v>0</v>
      </c>
      <c r="AW243" s="2027">
        <f t="shared" si="106"/>
        <v>0</v>
      </c>
      <c r="AX243" s="2111"/>
      <c r="AY243" s="2029">
        <v>0</v>
      </c>
      <c r="AZ243" s="2029">
        <v>0</v>
      </c>
      <c r="BA243" s="2029">
        <v>0</v>
      </c>
      <c r="BB243" s="2111"/>
      <c r="BC243" s="2029">
        <v>0</v>
      </c>
      <c r="BD243" s="2029">
        <v>0</v>
      </c>
      <c r="BE243" s="2029">
        <v>0</v>
      </c>
      <c r="BF243" s="2111"/>
      <c r="BG243" s="2029">
        <v>0</v>
      </c>
      <c r="BH243" s="2029">
        <v>0</v>
      </c>
      <c r="BI243" s="2029">
        <v>0</v>
      </c>
      <c r="BJ243" s="2030">
        <f t="shared" si="107"/>
        <v>0</v>
      </c>
      <c r="BK243" s="2030">
        <f t="shared" si="107"/>
        <v>0</v>
      </c>
      <c r="BL243" s="2030">
        <f t="shared" si="107"/>
        <v>0</v>
      </c>
      <c r="BM243" s="2030"/>
      <c r="BN243" s="2030">
        <f t="shared" si="108"/>
        <v>0</v>
      </c>
      <c r="BO243" s="2030">
        <f t="shared" si="109"/>
        <v>0</v>
      </c>
      <c r="BP243" s="2030"/>
      <c r="BQ243" s="2030">
        <f t="shared" si="110"/>
        <v>0</v>
      </c>
      <c r="BR243" s="2030">
        <f t="shared" si="110"/>
        <v>0</v>
      </c>
      <c r="BS243" s="2030">
        <f t="shared" si="110"/>
        <v>0</v>
      </c>
      <c r="BT243" s="2111"/>
      <c r="BU243" s="2111"/>
      <c r="BV243" s="2111"/>
      <c r="BW243" s="2111"/>
      <c r="BX243" s="2111"/>
      <c r="BY243" s="2111"/>
      <c r="BZ243" s="2111"/>
      <c r="CA243" s="2111"/>
      <c r="CB243" s="2029"/>
      <c r="CC243" s="2029"/>
      <c r="CD243" s="2029"/>
      <c r="CE243" s="2029"/>
      <c r="CF243" s="2029"/>
      <c r="CG243" s="2032"/>
      <c r="CH243" s="1974"/>
      <c r="CI243" s="1974"/>
      <c r="CJ243" s="1974"/>
      <c r="CK243" s="1974"/>
      <c r="CL243" s="1974"/>
      <c r="CM243" s="2033"/>
      <c r="CN243" s="2026"/>
      <c r="CO243" s="1974"/>
      <c r="CP243" s="2040"/>
      <c r="CQ243" s="2040"/>
      <c r="CR243" s="2062"/>
      <c r="CS243" s="2062"/>
      <c r="CT243" s="2121"/>
      <c r="CU243" s="2121"/>
      <c r="CV243" s="2036"/>
      <c r="CW243" s="2036"/>
      <c r="CX243" s="2036"/>
      <c r="CY243" s="2049"/>
      <c r="CZ243" s="2049"/>
      <c r="DA243" s="2049"/>
    </row>
    <row r="244" spans="1:105" x14ac:dyDescent="0.25">
      <c r="A244" s="2104" t="s">
        <v>1051</v>
      </c>
      <c r="B244" s="2105"/>
      <c r="C244" s="2106"/>
      <c r="D244" s="2106"/>
      <c r="E244" s="2107"/>
      <c r="F244" s="2107"/>
      <c r="G244" s="2107"/>
      <c r="H244" s="2107"/>
      <c r="I244" s="2106"/>
      <c r="J244" s="2027"/>
      <c r="K244" s="2108" t="s">
        <v>2285</v>
      </c>
      <c r="L244" s="2108" t="s">
        <v>2285</v>
      </c>
      <c r="M244" s="2108">
        <v>0.79999999999999993</v>
      </c>
      <c r="N244" s="2108">
        <v>0.79999999999999993</v>
      </c>
      <c r="O244" s="2108">
        <v>0.79999999999999993</v>
      </c>
      <c r="P244" s="2108">
        <v>0.79999999999999993</v>
      </c>
      <c r="Q244" s="2109">
        <f t="shared" si="111"/>
        <v>0</v>
      </c>
      <c r="R244" s="2109">
        <f t="shared" si="111"/>
        <v>0</v>
      </c>
      <c r="S244" s="2109">
        <f t="shared" si="111"/>
        <v>0</v>
      </c>
      <c r="T244" s="2109">
        <f t="shared" si="111"/>
        <v>0</v>
      </c>
      <c r="U244" s="2108">
        <v>0.79999999999999993</v>
      </c>
      <c r="V244" s="2108">
        <v>0.79999999999999993</v>
      </c>
      <c r="W244" s="2108">
        <v>0.79999999999999993</v>
      </c>
      <c r="X244" s="2108">
        <v>0.79999999999999993</v>
      </c>
      <c r="Y244" s="2110">
        <f t="shared" si="112"/>
        <v>0</v>
      </c>
      <c r="Z244" s="2110">
        <f t="shared" si="112"/>
        <v>0</v>
      </c>
      <c r="AA244" s="2110">
        <f t="shared" si="112"/>
        <v>0</v>
      </c>
      <c r="AB244" s="2110">
        <f t="shared" si="112"/>
        <v>0</v>
      </c>
      <c r="AC244" s="2108">
        <v>0.60399999999999998</v>
      </c>
      <c r="AD244" s="2108">
        <v>0.60399999999999998</v>
      </c>
      <c r="AE244" s="2108">
        <v>0.60399999999999998</v>
      </c>
      <c r="AF244" s="2108">
        <v>0.60399999999999998</v>
      </c>
      <c r="AG244" s="2027"/>
      <c r="AH244" s="2027"/>
      <c r="AI244" s="2027"/>
      <c r="AJ244" s="2027"/>
      <c r="AK244" s="2027"/>
      <c r="AL244" s="2027"/>
      <c r="AM244" s="2027"/>
      <c r="AN244" s="2027"/>
      <c r="AO244" s="2027">
        <f t="shared" si="102"/>
        <v>0</v>
      </c>
      <c r="AP244" s="2027">
        <f t="shared" si="103"/>
        <v>0</v>
      </c>
      <c r="AQ244" s="2027">
        <f t="shared" si="103"/>
        <v>0</v>
      </c>
      <c r="AR244" s="2027"/>
      <c r="AS244" s="2027">
        <f t="shared" si="104"/>
        <v>0</v>
      </c>
      <c r="AT244" s="2109">
        <f t="shared" si="105"/>
        <v>0</v>
      </c>
      <c r="AU244" s="2027">
        <f t="shared" si="106"/>
        <v>0</v>
      </c>
      <c r="AV244" s="2027">
        <f t="shared" si="106"/>
        <v>0</v>
      </c>
      <c r="AW244" s="2027">
        <f t="shared" si="106"/>
        <v>0</v>
      </c>
      <c r="AX244" s="2111"/>
      <c r="AY244" s="2029">
        <v>0</v>
      </c>
      <c r="AZ244" s="2029">
        <v>0</v>
      </c>
      <c r="BA244" s="2029">
        <v>0</v>
      </c>
      <c r="BB244" s="2111"/>
      <c r="BC244" s="2029">
        <v>0</v>
      </c>
      <c r="BD244" s="2029">
        <v>0</v>
      </c>
      <c r="BE244" s="2029">
        <v>0</v>
      </c>
      <c r="BF244" s="2111"/>
      <c r="BG244" s="2029">
        <v>0</v>
      </c>
      <c r="BH244" s="2029">
        <v>0</v>
      </c>
      <c r="BI244" s="2029">
        <v>0</v>
      </c>
      <c r="BJ244" s="2030">
        <f t="shared" si="107"/>
        <v>0</v>
      </c>
      <c r="BK244" s="2030">
        <f t="shared" si="107"/>
        <v>0</v>
      </c>
      <c r="BL244" s="2030">
        <f t="shared" si="107"/>
        <v>0</v>
      </c>
      <c r="BM244" s="2030"/>
      <c r="BN244" s="2030">
        <f t="shared" si="108"/>
        <v>0</v>
      </c>
      <c r="BO244" s="2030">
        <f t="shared" si="109"/>
        <v>0</v>
      </c>
      <c r="BP244" s="2030"/>
      <c r="BQ244" s="2030">
        <f t="shared" si="110"/>
        <v>0</v>
      </c>
      <c r="BR244" s="2030">
        <f t="shared" si="110"/>
        <v>0</v>
      </c>
      <c r="BS244" s="2030">
        <f t="shared" si="110"/>
        <v>0</v>
      </c>
      <c r="BT244" s="2111"/>
      <c r="BU244" s="2111"/>
      <c r="BV244" s="2111"/>
      <c r="BW244" s="2111"/>
      <c r="BX244" s="2111"/>
      <c r="BY244" s="2111"/>
      <c r="BZ244" s="2111"/>
      <c r="CA244" s="2111"/>
      <c r="CB244" s="2029"/>
      <c r="CC244" s="2029"/>
      <c r="CD244" s="2029"/>
      <c r="CE244" s="2029"/>
      <c r="CF244" s="2029"/>
      <c r="CG244" s="2032"/>
      <c r="CH244" s="1974"/>
      <c r="CI244" s="1974"/>
      <c r="CJ244" s="1974"/>
      <c r="CK244" s="1974"/>
      <c r="CL244" s="1974"/>
      <c r="CM244" s="2033"/>
      <c r="CN244" s="2026"/>
      <c r="CO244" s="1974"/>
      <c r="CP244" s="2040"/>
      <c r="CQ244" s="2040"/>
      <c r="CR244" s="2062"/>
      <c r="CS244" s="2062"/>
      <c r="CT244" s="2121"/>
      <c r="CU244" s="2121"/>
      <c r="CV244" s="2036"/>
      <c r="CW244" s="2036"/>
      <c r="CX244" s="2036"/>
      <c r="CY244" s="2049"/>
      <c r="CZ244" s="2049"/>
      <c r="DA244" s="2049"/>
    </row>
    <row r="245" spans="1:105" x14ac:dyDescent="0.25">
      <c r="A245" s="2104" t="s">
        <v>209</v>
      </c>
      <c r="B245" s="2105"/>
      <c r="C245" s="2106">
        <v>12</v>
      </c>
      <c r="D245" s="2106"/>
      <c r="E245" s="2107">
        <v>0</v>
      </c>
      <c r="F245" s="2107"/>
      <c r="G245" s="2107">
        <v>0</v>
      </c>
      <c r="H245" s="2107"/>
      <c r="I245" s="2106">
        <v>257</v>
      </c>
      <c r="J245" s="2027"/>
      <c r="K245" s="2108" t="s">
        <v>2899</v>
      </c>
      <c r="L245" s="2108" t="s">
        <v>2899</v>
      </c>
      <c r="M245" s="2108">
        <v>0.84899999999999998</v>
      </c>
      <c r="N245" s="2108">
        <v>0.84899999999999998</v>
      </c>
      <c r="O245" s="2108">
        <v>0.84899999999999998</v>
      </c>
      <c r="P245" s="2108">
        <v>0.84899999999999998</v>
      </c>
      <c r="Q245" s="2109">
        <f t="shared" si="111"/>
        <v>0</v>
      </c>
      <c r="R245" s="2109">
        <f t="shared" si="111"/>
        <v>0</v>
      </c>
      <c r="S245" s="2109">
        <f t="shared" si="111"/>
        <v>0</v>
      </c>
      <c r="T245" s="2109">
        <f t="shared" si="111"/>
        <v>0</v>
      </c>
      <c r="U245" s="2108">
        <v>0.84899999999999998</v>
      </c>
      <c r="V245" s="2108">
        <v>0.84899999999999998</v>
      </c>
      <c r="W245" s="2108">
        <v>0.84899999999999998</v>
      </c>
      <c r="X245" s="2108">
        <v>0.84899999999999998</v>
      </c>
      <c r="Y245" s="2110">
        <f t="shared" si="112"/>
        <v>0</v>
      </c>
      <c r="Z245" s="2110">
        <f t="shared" si="112"/>
        <v>0</v>
      </c>
      <c r="AA245" s="2110">
        <f t="shared" si="112"/>
        <v>0</v>
      </c>
      <c r="AB245" s="2110">
        <f>$G245*X245</f>
        <v>0</v>
      </c>
      <c r="AC245" s="2108">
        <v>0.67500000000000004</v>
      </c>
      <c r="AD245" s="2108">
        <v>0.67500000000000004</v>
      </c>
      <c r="AE245" s="2108">
        <v>0.67500000000000004</v>
      </c>
      <c r="AF245" s="2108">
        <v>0.67500000000000004</v>
      </c>
      <c r="AG245" s="2027">
        <f t="shared" ref="AG245:AI246" si="113">$I245*AC245</f>
        <v>173.47500000000002</v>
      </c>
      <c r="AH245" s="2027">
        <f t="shared" si="113"/>
        <v>173.47500000000002</v>
      </c>
      <c r="AI245" s="2027">
        <f t="shared" si="113"/>
        <v>173.47500000000002</v>
      </c>
      <c r="AJ245" s="2027">
        <f>$I245*AF245</f>
        <v>173.47500000000002</v>
      </c>
      <c r="AK245" s="2027">
        <v>1</v>
      </c>
      <c r="AL245" s="2027">
        <v>1</v>
      </c>
      <c r="AM245" s="2027">
        <v>1</v>
      </c>
      <c r="AN245" s="2027">
        <v>1</v>
      </c>
      <c r="AO245" s="2027">
        <f t="shared" si="102"/>
        <v>0</v>
      </c>
      <c r="AP245" s="2027">
        <f t="shared" si="103"/>
        <v>0</v>
      </c>
      <c r="AQ245" s="2027">
        <f t="shared" si="103"/>
        <v>0</v>
      </c>
      <c r="AR245" s="2027"/>
      <c r="AS245" s="2027">
        <f t="shared" si="104"/>
        <v>0</v>
      </c>
      <c r="AT245" s="2109">
        <f t="shared" si="105"/>
        <v>173.47500000000002</v>
      </c>
      <c r="AU245" s="2027">
        <f t="shared" si="106"/>
        <v>173.47500000000002</v>
      </c>
      <c r="AV245" s="2027">
        <f t="shared" si="106"/>
        <v>173.47500000000002</v>
      </c>
      <c r="AW245" s="2027">
        <f t="shared" si="106"/>
        <v>173.47500000000002</v>
      </c>
      <c r="AX245" s="2111"/>
      <c r="AY245" s="2029">
        <v>0</v>
      </c>
      <c r="AZ245" s="2029">
        <v>0</v>
      </c>
      <c r="BA245" s="2029">
        <v>0</v>
      </c>
      <c r="BB245" s="2111">
        <v>600</v>
      </c>
      <c r="BC245" s="2029">
        <v>600</v>
      </c>
      <c r="BD245" s="2029">
        <v>600</v>
      </c>
      <c r="BE245" s="2029">
        <v>600</v>
      </c>
      <c r="BF245" s="2111">
        <v>1000</v>
      </c>
      <c r="BG245" s="2029">
        <v>1000</v>
      </c>
      <c r="BH245" s="2029">
        <v>1000</v>
      </c>
      <c r="BI245" s="2029">
        <v>1000</v>
      </c>
      <c r="BJ245" s="2030">
        <f t="shared" si="107"/>
        <v>0</v>
      </c>
      <c r="BK245" s="2030">
        <f t="shared" si="107"/>
        <v>0</v>
      </c>
      <c r="BL245" s="2030">
        <f t="shared" si="107"/>
        <v>0</v>
      </c>
      <c r="BM245" s="2030"/>
      <c r="BN245" s="2030">
        <f t="shared" si="108"/>
        <v>0</v>
      </c>
      <c r="BO245" s="2030">
        <f t="shared" si="109"/>
        <v>600</v>
      </c>
      <c r="BP245" s="2030"/>
      <c r="BQ245" s="2030">
        <f t="shared" si="110"/>
        <v>600</v>
      </c>
      <c r="BR245" s="2030">
        <f t="shared" si="110"/>
        <v>600</v>
      </c>
      <c r="BS245" s="2030">
        <f t="shared" si="110"/>
        <v>600</v>
      </c>
      <c r="BT245" s="2111"/>
      <c r="BU245" s="2111"/>
      <c r="BV245" s="2111"/>
      <c r="BW245" s="2111"/>
      <c r="BX245" s="2111"/>
      <c r="BY245" s="2111"/>
      <c r="BZ245" s="2111"/>
      <c r="CA245" s="2111"/>
      <c r="CB245" s="2029"/>
      <c r="CC245" s="2029"/>
      <c r="CD245" s="2029"/>
      <c r="CE245" s="2029"/>
      <c r="CF245" s="2029"/>
      <c r="CG245" s="2032"/>
      <c r="CH245" s="1974"/>
      <c r="CI245" s="1974"/>
      <c r="CJ245" s="1974"/>
      <c r="CK245" s="1974"/>
      <c r="CL245" s="1974">
        <v>0</v>
      </c>
      <c r="CM245" s="2033">
        <v>0</v>
      </c>
      <c r="CN245" s="2026">
        <v>1.1175905758314756E-4</v>
      </c>
      <c r="CO245" s="1974">
        <v>0</v>
      </c>
      <c r="CP245" s="2040">
        <v>0</v>
      </c>
      <c r="CQ245" s="2040"/>
      <c r="CR245" s="2062">
        <v>1</v>
      </c>
      <c r="CS245" s="2062">
        <v>1</v>
      </c>
      <c r="CT245" s="2121">
        <v>1</v>
      </c>
      <c r="CU245" s="2121">
        <v>1</v>
      </c>
      <c r="CV245" s="2036"/>
      <c r="CW245" s="2036"/>
      <c r="CX245" s="2036"/>
      <c r="CY245" s="2049"/>
      <c r="CZ245" s="2049"/>
      <c r="DA245" s="2049"/>
    </row>
    <row r="246" spans="1:105" x14ac:dyDescent="0.25">
      <c r="A246" s="1973" t="s">
        <v>1052</v>
      </c>
      <c r="B246" s="2022"/>
      <c r="C246" s="2023"/>
      <c r="D246" s="2023"/>
      <c r="E246" s="2024"/>
      <c r="F246" s="2024"/>
      <c r="G246" s="2024"/>
      <c r="H246" s="2024"/>
      <c r="I246" s="2023"/>
      <c r="J246" s="2027"/>
      <c r="K246" s="2026" t="s">
        <v>20</v>
      </c>
      <c r="L246" s="2026" t="s">
        <v>20</v>
      </c>
      <c r="M246" s="2108">
        <v>0.55700000000000005</v>
      </c>
      <c r="N246" s="2108">
        <v>0.55700000000000005</v>
      </c>
      <c r="O246" s="2108">
        <v>0.55700000000000005</v>
      </c>
      <c r="P246" s="2108">
        <v>0.55700000000000005</v>
      </c>
      <c r="Q246" s="2027">
        <f>$E246*M246</f>
        <v>0</v>
      </c>
      <c r="R246" s="2027">
        <f>$E246*N246</f>
        <v>0</v>
      </c>
      <c r="S246" s="2027">
        <f>$E246*O246</f>
        <v>0</v>
      </c>
      <c r="T246" s="2027">
        <f>$E246*P246</f>
        <v>0</v>
      </c>
      <c r="U246" s="2026">
        <v>0.55700000000000005</v>
      </c>
      <c r="V246" s="2026">
        <v>0.55700000000000005</v>
      </c>
      <c r="W246" s="2026">
        <v>0.55700000000000005</v>
      </c>
      <c r="X246" s="2026">
        <v>0.55700000000000005</v>
      </c>
      <c r="Y246" s="2028">
        <f t="shared" si="112"/>
        <v>0</v>
      </c>
      <c r="Z246" s="2028">
        <f t="shared" si="112"/>
        <v>0</v>
      </c>
      <c r="AA246" s="2028">
        <f t="shared" si="112"/>
        <v>0</v>
      </c>
      <c r="AB246" s="2028">
        <f>$G246*X246</f>
        <v>0</v>
      </c>
      <c r="AC246" s="2026">
        <v>0.49399999999999999</v>
      </c>
      <c r="AD246" s="2026">
        <v>0.49399999999999999</v>
      </c>
      <c r="AE246" s="2026">
        <v>0.49399999999999999</v>
      </c>
      <c r="AF246" s="2026">
        <v>0.49399999999999999</v>
      </c>
      <c r="AG246" s="2027">
        <f t="shared" si="113"/>
        <v>0</v>
      </c>
      <c r="AH246" s="2027">
        <f t="shared" si="113"/>
        <v>0</v>
      </c>
      <c r="AI246" s="2027">
        <f t="shared" si="113"/>
        <v>0</v>
      </c>
      <c r="AJ246" s="2027">
        <f>$I246*AF246</f>
        <v>0</v>
      </c>
      <c r="AK246" s="2027">
        <v>0</v>
      </c>
      <c r="AL246" s="2027">
        <v>0</v>
      </c>
      <c r="AM246" s="2027">
        <v>0</v>
      </c>
      <c r="AN246" s="2027">
        <v>0</v>
      </c>
      <c r="AO246" s="2027">
        <f t="shared" si="102"/>
        <v>0</v>
      </c>
      <c r="AP246" s="2027">
        <f t="shared" si="103"/>
        <v>0</v>
      </c>
      <c r="AQ246" s="2027">
        <f t="shared" si="103"/>
        <v>0</v>
      </c>
      <c r="AR246" s="2027"/>
      <c r="AS246" s="2027">
        <f t="shared" si="104"/>
        <v>0</v>
      </c>
      <c r="AT246" s="2109">
        <f t="shared" si="105"/>
        <v>0</v>
      </c>
      <c r="AU246" s="2027">
        <f t="shared" si="106"/>
        <v>0</v>
      </c>
      <c r="AV246" s="2027">
        <f t="shared" si="106"/>
        <v>0</v>
      </c>
      <c r="AW246" s="2027">
        <f t="shared" si="106"/>
        <v>0</v>
      </c>
      <c r="AX246" s="2031"/>
      <c r="AY246" s="2029">
        <v>0</v>
      </c>
      <c r="AZ246" s="2029">
        <v>0</v>
      </c>
      <c r="BA246" s="2029">
        <v>0</v>
      </c>
      <c r="BB246" s="2031"/>
      <c r="BC246" s="2029">
        <v>0</v>
      </c>
      <c r="BD246" s="2029">
        <v>0</v>
      </c>
      <c r="BE246" s="2029">
        <v>0</v>
      </c>
      <c r="BF246" s="2031"/>
      <c r="BG246" s="2029">
        <v>0</v>
      </c>
      <c r="BH246" s="2029">
        <v>0</v>
      </c>
      <c r="BI246" s="2029">
        <v>0</v>
      </c>
      <c r="BJ246" s="2030">
        <f t="shared" si="107"/>
        <v>0</v>
      </c>
      <c r="BK246" s="2030">
        <f t="shared" si="107"/>
        <v>0</v>
      </c>
      <c r="BL246" s="2030">
        <f t="shared" si="107"/>
        <v>0</v>
      </c>
      <c r="BM246" s="2030"/>
      <c r="BN246" s="2030">
        <f t="shared" si="108"/>
        <v>0</v>
      </c>
      <c r="BO246" s="2030">
        <f t="shared" si="109"/>
        <v>0</v>
      </c>
      <c r="BP246" s="2030"/>
      <c r="BQ246" s="2030">
        <f t="shared" si="110"/>
        <v>0</v>
      </c>
      <c r="BR246" s="2030">
        <f t="shared" si="110"/>
        <v>0</v>
      </c>
      <c r="BS246" s="2030">
        <f t="shared" si="110"/>
        <v>0</v>
      </c>
      <c r="BT246" s="2031"/>
      <c r="BU246" s="2031"/>
      <c r="BV246" s="2031"/>
      <c r="BW246" s="2031"/>
      <c r="BX246" s="2031"/>
      <c r="BY246" s="2031"/>
      <c r="BZ246" s="2031"/>
      <c r="CA246" s="2031"/>
      <c r="CB246" s="2029"/>
      <c r="CC246" s="2029"/>
      <c r="CD246" s="2029"/>
      <c r="CE246" s="2029"/>
      <c r="CF246" s="2029"/>
      <c r="CG246" s="2032"/>
      <c r="CH246" s="1974"/>
      <c r="CI246" s="1974"/>
      <c r="CJ246" s="1974"/>
      <c r="CK246" s="1974"/>
      <c r="CL246" s="1974">
        <v>1</v>
      </c>
      <c r="CM246" s="2033">
        <v>0</v>
      </c>
      <c r="CN246" s="2026">
        <v>0</v>
      </c>
      <c r="CO246" s="1974">
        <v>0</v>
      </c>
      <c r="CP246" s="2040">
        <v>0</v>
      </c>
      <c r="CQ246" s="2040"/>
      <c r="CR246" s="2062">
        <v>1</v>
      </c>
      <c r="CS246" s="2062">
        <v>1</v>
      </c>
      <c r="CT246" s="2121">
        <v>1</v>
      </c>
      <c r="CU246" s="2121">
        <v>1</v>
      </c>
      <c r="CV246" s="2036"/>
      <c r="CW246" s="2036"/>
      <c r="CX246" s="2036"/>
      <c r="CY246" s="2036"/>
      <c r="CZ246" s="2036"/>
      <c r="DA246" s="2036"/>
    </row>
    <row r="247" spans="1:105" x14ac:dyDescent="0.25">
      <c r="A247" s="2258"/>
      <c r="CH247" s="1974"/>
      <c r="CI247" s="1974"/>
      <c r="CJ247" s="1974"/>
      <c r="CK247" s="1974"/>
      <c r="CL247" s="1974"/>
      <c r="CM247" s="2033">
        <v>0</v>
      </c>
      <c r="CN247" s="2026">
        <v>0</v>
      </c>
      <c r="CO247" s="1974"/>
      <c r="CP247" s="2040">
        <v>0</v>
      </c>
      <c r="CQ247" s="2040"/>
      <c r="CR247" s="2062">
        <v>1</v>
      </c>
      <c r="CS247" s="2062">
        <v>1</v>
      </c>
      <c r="CT247" s="2121">
        <v>1</v>
      </c>
      <c r="CU247" s="2121">
        <v>1</v>
      </c>
    </row>
    <row r="248" spans="1:105" x14ac:dyDescent="0.25">
      <c r="BK248" s="2259">
        <v>-40744.450000000186</v>
      </c>
      <c r="CM248" s="2120"/>
      <c r="CN248" s="2121"/>
    </row>
    <row r="249" spans="1:105" s="2018" customFormat="1" x14ac:dyDescent="0.25">
      <c r="A249" s="2260" t="s">
        <v>2996</v>
      </c>
      <c r="B249" s="2076"/>
      <c r="C249" s="2090"/>
      <c r="D249" s="2090"/>
      <c r="E249" s="2090"/>
      <c r="F249" s="2090"/>
      <c r="G249" s="2091"/>
      <c r="H249" s="2091"/>
      <c r="I249" s="2090"/>
      <c r="J249" s="2091"/>
      <c r="K249" s="2078"/>
      <c r="L249" s="2078"/>
      <c r="M249" s="2078"/>
      <c r="N249" s="2078"/>
      <c r="O249" s="2078"/>
      <c r="P249" s="2078"/>
      <c r="Q249" s="2090"/>
      <c r="R249" s="2090"/>
      <c r="S249" s="2090"/>
      <c r="T249" s="2090"/>
      <c r="U249" s="2078"/>
      <c r="V249" s="2078"/>
      <c r="W249" s="2078"/>
      <c r="X249" s="2078"/>
      <c r="Y249" s="2091"/>
      <c r="Z249" s="2091"/>
      <c r="AA249" s="2091"/>
      <c r="AB249" s="2091"/>
      <c r="AC249" s="2078"/>
      <c r="AD249" s="2078"/>
      <c r="AE249" s="2078"/>
      <c r="AF249" s="2078"/>
      <c r="AG249" s="2090"/>
      <c r="AH249" s="2091"/>
      <c r="AI249" s="2091"/>
      <c r="AJ249" s="2091"/>
      <c r="AK249" s="2090"/>
      <c r="AL249" s="2091"/>
      <c r="AM249" s="2091"/>
      <c r="AN249" s="2091"/>
      <c r="AO249" s="2072">
        <f>SUM(AO250:AO313)</f>
        <v>34082790.33222986</v>
      </c>
      <c r="AP249" s="2072">
        <f>SUM(AP250:AP320)</f>
        <v>34283263.174276508</v>
      </c>
      <c r="AQ249" s="2072">
        <f>SUM(AQ250:AQ320)</f>
        <v>30951171.48189133</v>
      </c>
      <c r="AR249" s="2072"/>
      <c r="AS249" s="2072">
        <f>SUM(AS250:AS320)</f>
        <v>30815905.555698592</v>
      </c>
      <c r="AT249" s="2072">
        <f>SUMIF(AT250:AT313,"&gt;0")</f>
        <v>311157.63949331903</v>
      </c>
      <c r="AU249" s="2072">
        <f>SUMIF(AU250:AU313,"&gt;0")</f>
        <v>203007.63430089987</v>
      </c>
      <c r="AV249" s="2072">
        <f>SUMIF(AV250:AV313,"&gt;0")</f>
        <v>246811.57812750977</v>
      </c>
      <c r="AW249" s="2072">
        <f>SUMIF(AW250:AW313,"&gt;0")</f>
        <v>258326.74517954944</v>
      </c>
      <c r="BJ249" s="2019">
        <f t="shared" ref="BJ249:BS249" si="114">SUM(BJ250:BJ313)</f>
        <v>6500530.9177096784</v>
      </c>
      <c r="BK249" s="2019">
        <f>SUM(BK250:BK320)</f>
        <v>6452908.9073384246</v>
      </c>
      <c r="BL249" s="2019">
        <f>SUM(BL250:BL320)</f>
        <v>6313125.2900891071</v>
      </c>
      <c r="BM249" s="2019"/>
      <c r="BN249" s="2019">
        <f>SUM(BN250:BN320)</f>
        <v>6296491.297114851</v>
      </c>
      <c r="BO249" s="2019">
        <f t="shared" si="114"/>
        <v>361567.39599999995</v>
      </c>
      <c r="BP249" s="2019"/>
      <c r="BQ249" s="2019">
        <f t="shared" si="114"/>
        <v>272397.55</v>
      </c>
      <c r="BR249" s="2019">
        <f t="shared" si="114"/>
        <v>319732.05000000005</v>
      </c>
      <c r="BS249" s="2019">
        <f t="shared" si="114"/>
        <v>313267.51400000002</v>
      </c>
      <c r="BT249" s="2247">
        <v>4094883.6562707694</v>
      </c>
      <c r="BU249" s="2247">
        <v>4027909.5028586024</v>
      </c>
      <c r="BV249" s="2247">
        <v>4039555.0597305647</v>
      </c>
      <c r="BW249" s="2247">
        <v>4030679.8766628327</v>
      </c>
      <c r="BX249" s="2248">
        <v>404988.49347732868</v>
      </c>
      <c r="BY249" s="2248">
        <v>398364.67610689439</v>
      </c>
      <c r="BZ249" s="2248">
        <v>399516.43447884684</v>
      </c>
      <c r="CA249" s="2248">
        <v>398638.66912049986</v>
      </c>
      <c r="CB249" s="2019"/>
      <c r="CC249" s="2019"/>
      <c r="CD249" s="2019"/>
      <c r="CE249" s="2019"/>
      <c r="CF249" s="2019"/>
      <c r="CG249" s="2019"/>
      <c r="CH249" s="2076"/>
      <c r="CI249" s="2076"/>
      <c r="CJ249" s="2076"/>
      <c r="CK249" s="2076"/>
      <c r="CL249" s="2076"/>
      <c r="CM249" s="2076"/>
      <c r="CN249" s="2076"/>
      <c r="CO249" s="2076"/>
      <c r="CV249" s="2020"/>
      <c r="CW249" s="2020"/>
      <c r="CX249" s="2020"/>
      <c r="CY249" s="2020"/>
      <c r="CZ249" s="2020"/>
      <c r="DA249" s="2020"/>
    </row>
    <row r="250" spans="1:105" x14ac:dyDescent="0.25">
      <c r="A250" s="2261" t="s">
        <v>82</v>
      </c>
      <c r="B250" s="1974" t="str">
        <f t="shared" ref="B250:B270" si="115">IF(B6="","",B6)</f>
        <v>BPL91</v>
      </c>
      <c r="C250" s="1974">
        <v>15</v>
      </c>
      <c r="D250" s="1974"/>
      <c r="E250" s="1974">
        <v>913.12104221826917</v>
      </c>
      <c r="F250" s="1974"/>
      <c r="G250" s="1974">
        <v>0.18115686081765689</v>
      </c>
      <c r="H250" s="1974"/>
      <c r="I250" s="1974">
        <v>-17.789148632614037</v>
      </c>
      <c r="J250" s="2027"/>
      <c r="K250" s="1974" t="s">
        <v>2997</v>
      </c>
      <c r="L250" s="1974" t="s">
        <v>2997</v>
      </c>
      <c r="M250" s="2026">
        <v>0.96199999999999997</v>
      </c>
      <c r="N250" s="2026">
        <v>0.96199999999999997</v>
      </c>
      <c r="O250" s="2026">
        <v>0.96199999999999997</v>
      </c>
      <c r="P250" s="2026">
        <v>0.96199999999999997</v>
      </c>
      <c r="Q250" s="2027">
        <f>$E250*M250</f>
        <v>878.42244261397491</v>
      </c>
      <c r="R250" s="2027">
        <f>$E250*N250</f>
        <v>878.42244261397491</v>
      </c>
      <c r="S250" s="2027">
        <f>$E250*O250</f>
        <v>878.42244261397491</v>
      </c>
      <c r="T250" s="2027">
        <f>$E250*P250</f>
        <v>878.42244261397491</v>
      </c>
      <c r="U250" s="2026">
        <v>0.96199999999999997</v>
      </c>
      <c r="V250" s="2026">
        <v>0.96199999999999997</v>
      </c>
      <c r="W250" s="2026">
        <v>0.96199999999999997</v>
      </c>
      <c r="X250" s="2026">
        <v>0.96199999999999997</v>
      </c>
      <c r="Y250" s="2028">
        <f>$G250*U250</f>
        <v>0.17427290010658592</v>
      </c>
      <c r="Z250" s="2028">
        <f>$G250*V250</f>
        <v>0.17427290010658592</v>
      </c>
      <c r="AA250" s="2028">
        <f>$G250*W250</f>
        <v>0.17427290010658592</v>
      </c>
      <c r="AB250" s="2028">
        <f>$G250*X250</f>
        <v>0.17427290010658592</v>
      </c>
      <c r="AC250" s="2026">
        <v>0.96199999999999997</v>
      </c>
      <c r="AD250" s="2026">
        <v>0.96199999999999997</v>
      </c>
      <c r="AE250" s="2026">
        <v>0.96199999999999997</v>
      </c>
      <c r="AF250" s="2026">
        <v>0.96199999999999997</v>
      </c>
      <c r="AG250" s="2027">
        <f>$I250*AC250</f>
        <v>-17.113160984574701</v>
      </c>
      <c r="AH250" s="2027">
        <f>$I250*AD250</f>
        <v>-17.113160984574701</v>
      </c>
      <c r="AI250" s="2027">
        <f>$I250*AE250</f>
        <v>-17.113160984574701</v>
      </c>
      <c r="AJ250" s="2027">
        <f>$I250*AF250</f>
        <v>-17.113160984574701</v>
      </c>
      <c r="AK250" s="2027">
        <v>208</v>
      </c>
      <c r="AL250" s="2027">
        <v>178</v>
      </c>
      <c r="AM250" s="2027">
        <v>149</v>
      </c>
      <c r="AN250" s="2028">
        <v>0</v>
      </c>
      <c r="AO250" s="2027">
        <f t="shared" ref="AO250:AO313" si="116">AK250*Q250</f>
        <v>182711.86806370679</v>
      </c>
      <c r="AP250" s="2027">
        <f t="shared" ref="AP250:AQ281" si="117">AL250*R250*CS250</f>
        <v>156359.19478528755</v>
      </c>
      <c r="AQ250" s="2027">
        <f t="shared" si="117"/>
        <v>130884.94394948226</v>
      </c>
      <c r="AR250" s="2027" t="s">
        <v>3286</v>
      </c>
      <c r="AS250" s="2027">
        <f t="shared" ref="AS250:AS313" si="118">AN250*T250*CU250</f>
        <v>0</v>
      </c>
      <c r="AT250" s="2027">
        <f t="shared" ref="AT250:AT313" si="119">AK250*AG250</f>
        <v>-3559.5374847915377</v>
      </c>
      <c r="AU250" s="2027">
        <f t="shared" ref="AU250:AW281" si="120">AL250*AH250*CS250</f>
        <v>-3046.1426552542966</v>
      </c>
      <c r="AV250" s="2027">
        <f t="shared" si="120"/>
        <v>-2549.8609867016307</v>
      </c>
      <c r="AW250" s="2027">
        <f t="shared" si="120"/>
        <v>0</v>
      </c>
      <c r="AX250" s="2124">
        <v>91.983749999999986</v>
      </c>
      <c r="AY250" s="2029">
        <v>91.983749999999986</v>
      </c>
      <c r="AZ250" s="2029">
        <v>91.983749999999986</v>
      </c>
      <c r="BA250" s="2029">
        <v>91.983749999999986</v>
      </c>
      <c r="BB250" s="2124">
        <v>0</v>
      </c>
      <c r="BC250" s="2029">
        <v>0</v>
      </c>
      <c r="BD250" s="2029">
        <v>0</v>
      </c>
      <c r="BE250" s="2029">
        <v>0</v>
      </c>
      <c r="BF250" s="2124">
        <v>206.25</v>
      </c>
      <c r="BG250" s="2029">
        <v>206.25</v>
      </c>
      <c r="BH250" s="2029">
        <v>206.25</v>
      </c>
      <c r="BI250" s="2029">
        <v>206.25</v>
      </c>
      <c r="BJ250" s="2030">
        <f t="shared" ref="BJ250:BL281" si="121">AX250*AK250</f>
        <v>19132.619999999995</v>
      </c>
      <c r="BK250" s="2030">
        <f t="shared" si="121"/>
        <v>16373.107499999998</v>
      </c>
      <c r="BL250" s="2030">
        <f t="shared" si="121"/>
        <v>13705.578749999999</v>
      </c>
      <c r="BM250" s="2030"/>
      <c r="BN250" s="2030">
        <f t="shared" ref="BN250:BN313" si="122">BA250*AN250</f>
        <v>0</v>
      </c>
      <c r="BO250" s="2030">
        <f t="shared" ref="BO250:BO313" si="123">BB250*AK250</f>
        <v>0</v>
      </c>
      <c r="BP250" s="2030"/>
      <c r="BQ250" s="2030">
        <f t="shared" ref="BQ250:BS281" si="124">BC250*AL250</f>
        <v>0</v>
      </c>
      <c r="BR250" s="2030">
        <f t="shared" si="124"/>
        <v>0</v>
      </c>
      <c r="BS250" s="2030">
        <f t="shared" si="124"/>
        <v>0</v>
      </c>
      <c r="BT250" s="2125"/>
      <c r="BU250" s="2125"/>
      <c r="BV250" s="2125"/>
      <c r="BW250" s="2125"/>
      <c r="BX250" s="2125"/>
      <c r="BY250" s="2125"/>
      <c r="BZ250" s="2125"/>
      <c r="CA250" s="2125"/>
      <c r="CB250" s="2029"/>
      <c r="CC250" s="2029"/>
      <c r="CD250" s="2029"/>
      <c r="CE250" s="2029"/>
      <c r="CF250" s="2029"/>
      <c r="CG250" s="2032"/>
      <c r="CH250" s="1974">
        <v>0</v>
      </c>
      <c r="CI250" s="1974">
        <v>0</v>
      </c>
      <c r="CJ250" s="1974">
        <v>0</v>
      </c>
      <c r="CK250" s="1974">
        <v>0</v>
      </c>
      <c r="CL250" s="1974">
        <v>0</v>
      </c>
      <c r="CM250" s="2033">
        <v>6.5710973189762076E-4</v>
      </c>
      <c r="CN250" s="2026">
        <v>-1.2311140147179855E-3</v>
      </c>
      <c r="CO250" s="1974">
        <v>1</v>
      </c>
      <c r="CP250" s="2031">
        <v>-21.886333333333333</v>
      </c>
      <c r="CQ250" s="2031">
        <f>CP250*(-1)</f>
        <v>21.886333333333333</v>
      </c>
      <c r="CR250" s="2026">
        <v>1</v>
      </c>
      <c r="CS250" s="2026">
        <v>1</v>
      </c>
      <c r="CT250" s="2026">
        <v>1</v>
      </c>
      <c r="CU250" s="2026">
        <v>1</v>
      </c>
      <c r="CV250" s="2036"/>
      <c r="CW250" s="2036"/>
      <c r="CX250" s="2036"/>
      <c r="CY250" s="2036"/>
      <c r="CZ250" s="2036"/>
      <c r="DA250" s="2036"/>
    </row>
    <row r="251" spans="1:105" x14ac:dyDescent="0.25">
      <c r="A251" s="2261" t="s">
        <v>83</v>
      </c>
      <c r="B251" s="2093" t="str">
        <f t="shared" si="115"/>
        <v xml:space="preserve">BPL40  </v>
      </c>
      <c r="C251" s="1974">
        <v>15</v>
      </c>
      <c r="D251" s="1974">
        <v>1</v>
      </c>
      <c r="E251" s="1970">
        <f>F251*$CS251</f>
        <v>110.71918754995343</v>
      </c>
      <c r="F251" s="1974">
        <v>110.71918754995343</v>
      </c>
      <c r="G251" s="1970">
        <f>H251*$CS251</f>
        <v>2.0122083969221934E-2</v>
      </c>
      <c r="H251" s="1974">
        <v>2.0122083969221934E-2</v>
      </c>
      <c r="I251" s="1970">
        <f>J251*$CS251</f>
        <v>-1.2241137551056831</v>
      </c>
      <c r="J251" s="1974">
        <v>-1.2241137551056831</v>
      </c>
      <c r="K251" s="1974" t="s">
        <v>2997</v>
      </c>
      <c r="L251" s="1974" t="s">
        <v>2997</v>
      </c>
      <c r="M251" s="2026">
        <v>0.96199999999999997</v>
      </c>
      <c r="N251" s="2026">
        <v>0.96199999999999997</v>
      </c>
      <c r="O251" s="2026">
        <v>0.96199999999999997</v>
      </c>
      <c r="P251" s="2026">
        <v>0.96199999999999997</v>
      </c>
      <c r="Q251" s="2027">
        <f t="shared" ref="Q251:T254" si="125">$F251*M251</f>
        <v>106.5118584230552</v>
      </c>
      <c r="R251" s="2027">
        <f t="shared" si="125"/>
        <v>106.5118584230552</v>
      </c>
      <c r="S251" s="2027">
        <f t="shared" si="125"/>
        <v>106.5118584230552</v>
      </c>
      <c r="T251" s="2027">
        <f t="shared" si="125"/>
        <v>106.5118584230552</v>
      </c>
      <c r="U251" s="2026">
        <v>0.96199999999999997</v>
      </c>
      <c r="V251" s="2026">
        <v>0.96199999999999997</v>
      </c>
      <c r="W251" s="2026">
        <v>0.96199999999999997</v>
      </c>
      <c r="X251" s="2026">
        <v>0.96199999999999997</v>
      </c>
      <c r="Y251" s="2028">
        <f t="shared" ref="Y251:AB254" si="126">$H251*U251</f>
        <v>1.9357444778391499E-2</v>
      </c>
      <c r="Z251" s="2028">
        <f t="shared" si="126"/>
        <v>1.9357444778391499E-2</v>
      </c>
      <c r="AA251" s="2028">
        <f t="shared" si="126"/>
        <v>1.9357444778391499E-2</v>
      </c>
      <c r="AB251" s="2028">
        <f t="shared" si="126"/>
        <v>1.9357444778391499E-2</v>
      </c>
      <c r="AC251" s="2026">
        <v>0.96199999999999997</v>
      </c>
      <c r="AD251" s="2026">
        <v>0.96199999999999997</v>
      </c>
      <c r="AE251" s="2026">
        <v>0.96199999999999997</v>
      </c>
      <c r="AF251" s="2026">
        <v>0.96199999999999997</v>
      </c>
      <c r="AG251" s="2027">
        <f t="shared" ref="AG251:AJ254" si="127">$J251*AC251</f>
        <v>-1.1775974324116671</v>
      </c>
      <c r="AH251" s="2027">
        <f t="shared" si="127"/>
        <v>-1.1775974324116671</v>
      </c>
      <c r="AI251" s="2027">
        <f t="shared" si="127"/>
        <v>-1.1775974324116671</v>
      </c>
      <c r="AJ251" s="2027">
        <f t="shared" si="127"/>
        <v>-1.1775974324116671</v>
      </c>
      <c r="AK251" s="2027">
        <v>10</v>
      </c>
      <c r="AL251" s="2027">
        <v>0</v>
      </c>
      <c r="AM251" s="2027">
        <v>0</v>
      </c>
      <c r="AN251" s="2027">
        <v>0</v>
      </c>
      <c r="AO251" s="2027">
        <f t="shared" si="116"/>
        <v>1065.118584230552</v>
      </c>
      <c r="AP251" s="2027">
        <f t="shared" si="117"/>
        <v>0</v>
      </c>
      <c r="AQ251" s="2027">
        <f t="shared" si="117"/>
        <v>0</v>
      </c>
      <c r="AR251" s="2027" t="s">
        <v>3286</v>
      </c>
      <c r="AS251" s="2027">
        <f t="shared" si="118"/>
        <v>0</v>
      </c>
      <c r="AT251" s="2027">
        <f t="shared" si="119"/>
        <v>-11.775974324116671</v>
      </c>
      <c r="AU251" s="2027">
        <f t="shared" si="120"/>
        <v>0</v>
      </c>
      <c r="AV251" s="2027">
        <f t="shared" si="120"/>
        <v>0</v>
      </c>
      <c r="AW251" s="2027">
        <f t="shared" si="120"/>
        <v>0</v>
      </c>
      <c r="AX251" s="2124">
        <v>12.653999999999998</v>
      </c>
      <c r="AY251" s="2029">
        <v>12.653999999999998</v>
      </c>
      <c r="AZ251" s="2029">
        <v>12.653999999999998</v>
      </c>
      <c r="BA251" s="2029">
        <v>12.653999999999998</v>
      </c>
      <c r="BB251" s="2124">
        <v>0</v>
      </c>
      <c r="BC251" s="2029">
        <v>0</v>
      </c>
      <c r="BD251" s="2029">
        <v>0</v>
      </c>
      <c r="BE251" s="2029">
        <v>0</v>
      </c>
      <c r="BF251" s="2124">
        <v>57.5</v>
      </c>
      <c r="BG251" s="2029">
        <v>57.5</v>
      </c>
      <c r="BH251" s="2029">
        <v>57.5</v>
      </c>
      <c r="BI251" s="2029">
        <v>57.5</v>
      </c>
      <c r="BJ251" s="2030">
        <f t="shared" si="121"/>
        <v>126.53999999999998</v>
      </c>
      <c r="BK251" s="2030">
        <f t="shared" si="121"/>
        <v>0</v>
      </c>
      <c r="BL251" s="2030">
        <f t="shared" si="121"/>
        <v>0</v>
      </c>
      <c r="BM251" s="2030"/>
      <c r="BN251" s="2030">
        <f t="shared" si="122"/>
        <v>0</v>
      </c>
      <c r="BO251" s="2030">
        <f t="shared" si="123"/>
        <v>0</v>
      </c>
      <c r="BP251" s="2030"/>
      <c r="BQ251" s="2030">
        <f t="shared" si="124"/>
        <v>0</v>
      </c>
      <c r="BR251" s="2030">
        <f t="shared" si="124"/>
        <v>0</v>
      </c>
      <c r="BS251" s="2030">
        <f t="shared" si="124"/>
        <v>0</v>
      </c>
      <c r="BT251" s="2125"/>
      <c r="BU251" s="2125"/>
      <c r="BV251" s="2125"/>
      <c r="BW251" s="2125"/>
      <c r="BX251" s="2125"/>
      <c r="BY251" s="2125"/>
      <c r="BZ251" s="2125"/>
      <c r="CA251" s="2125"/>
      <c r="CB251" s="2029"/>
      <c r="CC251" s="2029"/>
      <c r="CD251" s="2029"/>
      <c r="CE251" s="2029"/>
      <c r="CF251" s="2029"/>
      <c r="CG251" s="2032"/>
      <c r="CH251" s="1974">
        <v>0</v>
      </c>
      <c r="CI251" s="1974">
        <v>0</v>
      </c>
      <c r="CJ251" s="1974">
        <v>0</v>
      </c>
      <c r="CK251" s="1974">
        <v>0</v>
      </c>
      <c r="CL251" s="1974">
        <v>1</v>
      </c>
      <c r="CM251" s="2033">
        <v>3.7627037321919631E-6</v>
      </c>
      <c r="CN251" s="2026">
        <v>-4.0006676558581525E-6</v>
      </c>
      <c r="CO251" s="1974">
        <v>1</v>
      </c>
      <c r="CP251" s="2031">
        <v>-0.67827777777777754</v>
      </c>
      <c r="CQ251" s="2031">
        <f t="shared" ref="CQ251:CQ314" si="128">CP251*(-1)</f>
        <v>0.67827777777777754</v>
      </c>
      <c r="CR251" s="2026">
        <v>1</v>
      </c>
      <c r="CS251" s="2026">
        <v>1</v>
      </c>
      <c r="CT251" s="2026">
        <v>0.3</v>
      </c>
      <c r="CU251" s="2026">
        <v>0.3</v>
      </c>
      <c r="CV251" s="2036"/>
      <c r="CW251" s="2036"/>
      <c r="CX251" s="2036"/>
      <c r="CY251" s="2036"/>
      <c r="CZ251" s="2036"/>
      <c r="DA251" s="2036"/>
    </row>
    <row r="252" spans="1:105" x14ac:dyDescent="0.25">
      <c r="A252" s="2261" t="s">
        <v>84</v>
      </c>
      <c r="B252" s="2093" t="str">
        <f t="shared" si="115"/>
        <v xml:space="preserve">BPL60  </v>
      </c>
      <c r="C252" s="1974">
        <v>15</v>
      </c>
      <c r="D252" s="1974">
        <v>1</v>
      </c>
      <c r="E252" s="1970">
        <f>F252*$CS252</f>
        <v>200.41184088167685</v>
      </c>
      <c r="F252" s="1974">
        <v>200.41184088167685</v>
      </c>
      <c r="G252" s="1970">
        <f>H252*$CS252</f>
        <v>4.0940884781300826E-2</v>
      </c>
      <c r="H252" s="1974">
        <v>4.0940884781300826E-2</v>
      </c>
      <c r="I252" s="1970">
        <f>J252*$CS252</f>
        <v>-3.3979249924155255</v>
      </c>
      <c r="J252" s="1974">
        <v>-3.3979249924155255</v>
      </c>
      <c r="K252" s="1974" t="s">
        <v>2997</v>
      </c>
      <c r="L252" s="1974" t="s">
        <v>2997</v>
      </c>
      <c r="M252" s="2026">
        <v>0.96199999999999997</v>
      </c>
      <c r="N252" s="2026">
        <v>0.96199999999999997</v>
      </c>
      <c r="O252" s="2026">
        <v>0.96199999999999997</v>
      </c>
      <c r="P252" s="2026">
        <v>0.96199999999999997</v>
      </c>
      <c r="Q252" s="2027">
        <f t="shared" si="125"/>
        <v>192.79619092817313</v>
      </c>
      <c r="R252" s="2027">
        <f t="shared" si="125"/>
        <v>192.79619092817313</v>
      </c>
      <c r="S252" s="2027">
        <f t="shared" si="125"/>
        <v>192.79619092817313</v>
      </c>
      <c r="T252" s="2027">
        <f t="shared" si="125"/>
        <v>192.79619092817313</v>
      </c>
      <c r="U252" s="2026">
        <v>0.96199999999999997</v>
      </c>
      <c r="V252" s="2026">
        <v>0.96199999999999997</v>
      </c>
      <c r="W252" s="2026">
        <v>0.96199999999999997</v>
      </c>
      <c r="X252" s="2026">
        <v>0.96199999999999997</v>
      </c>
      <c r="Y252" s="2028">
        <f t="shared" si="126"/>
        <v>3.938513115961139E-2</v>
      </c>
      <c r="Z252" s="2028">
        <f t="shared" si="126"/>
        <v>3.938513115961139E-2</v>
      </c>
      <c r="AA252" s="2028">
        <f t="shared" si="126"/>
        <v>3.938513115961139E-2</v>
      </c>
      <c r="AB252" s="2028">
        <f t="shared" si="126"/>
        <v>3.938513115961139E-2</v>
      </c>
      <c r="AC252" s="2026">
        <v>0.96199999999999997</v>
      </c>
      <c r="AD252" s="2026">
        <v>0.96199999999999997</v>
      </c>
      <c r="AE252" s="2026">
        <v>0.96199999999999997</v>
      </c>
      <c r="AF252" s="2026">
        <v>0.96199999999999997</v>
      </c>
      <c r="AG252" s="2027">
        <f t="shared" si="127"/>
        <v>-3.2688038427037354</v>
      </c>
      <c r="AH252" s="2027">
        <f t="shared" si="127"/>
        <v>-3.2688038427037354</v>
      </c>
      <c r="AI252" s="2027">
        <f t="shared" si="127"/>
        <v>-3.2688038427037354</v>
      </c>
      <c r="AJ252" s="2027">
        <f t="shared" si="127"/>
        <v>-3.2688038427037354</v>
      </c>
      <c r="AK252" s="2027">
        <v>16</v>
      </c>
      <c r="AL252" s="2027">
        <v>0</v>
      </c>
      <c r="AM252" s="2027">
        <v>0</v>
      </c>
      <c r="AN252" s="2027">
        <v>0</v>
      </c>
      <c r="AO252" s="2027">
        <f t="shared" si="116"/>
        <v>3084.7390548507701</v>
      </c>
      <c r="AP252" s="2027">
        <f t="shared" si="117"/>
        <v>0</v>
      </c>
      <c r="AQ252" s="2027">
        <f t="shared" si="117"/>
        <v>0</v>
      </c>
      <c r="AR252" s="2027" t="s">
        <v>3286</v>
      </c>
      <c r="AS252" s="2027">
        <f t="shared" si="118"/>
        <v>0</v>
      </c>
      <c r="AT252" s="2027">
        <f t="shared" si="119"/>
        <v>-52.300861483259766</v>
      </c>
      <c r="AU252" s="2027">
        <f t="shared" si="120"/>
        <v>0</v>
      </c>
      <c r="AV252" s="2027">
        <f t="shared" si="120"/>
        <v>0</v>
      </c>
      <c r="AW252" s="2027">
        <f t="shared" si="120"/>
        <v>0</v>
      </c>
      <c r="AX252" s="2124">
        <v>12.653999999999998</v>
      </c>
      <c r="AY252" s="2029">
        <v>12.653999999999998</v>
      </c>
      <c r="AZ252" s="2029">
        <v>12.653999999999998</v>
      </c>
      <c r="BA252" s="2029">
        <v>12.653999999999998</v>
      </c>
      <c r="BB252" s="2124">
        <v>0</v>
      </c>
      <c r="BC252" s="2029">
        <v>0</v>
      </c>
      <c r="BD252" s="2029">
        <v>0</v>
      </c>
      <c r="BE252" s="2029">
        <v>0</v>
      </c>
      <c r="BF252" s="2124">
        <v>57.5</v>
      </c>
      <c r="BG252" s="2029">
        <v>57.5</v>
      </c>
      <c r="BH252" s="2029">
        <v>57.5</v>
      </c>
      <c r="BI252" s="2029">
        <v>57.5</v>
      </c>
      <c r="BJ252" s="2030">
        <f t="shared" si="121"/>
        <v>202.46399999999997</v>
      </c>
      <c r="BK252" s="2030">
        <f t="shared" si="121"/>
        <v>0</v>
      </c>
      <c r="BL252" s="2030">
        <f t="shared" si="121"/>
        <v>0</v>
      </c>
      <c r="BM252" s="2030"/>
      <c r="BN252" s="2030">
        <f t="shared" si="122"/>
        <v>0</v>
      </c>
      <c r="BO252" s="2030">
        <f t="shared" si="123"/>
        <v>0</v>
      </c>
      <c r="BP252" s="2030"/>
      <c r="BQ252" s="2030">
        <f t="shared" si="124"/>
        <v>0</v>
      </c>
      <c r="BR252" s="2030">
        <f t="shared" si="124"/>
        <v>0</v>
      </c>
      <c r="BS252" s="2030">
        <f t="shared" si="124"/>
        <v>0</v>
      </c>
      <c r="BT252" s="2125"/>
      <c r="BU252" s="2125"/>
      <c r="BV252" s="2125"/>
      <c r="BW252" s="2125"/>
      <c r="BX252" s="2125"/>
      <c r="BY252" s="2125"/>
      <c r="BZ252" s="2125"/>
      <c r="CA252" s="2125"/>
      <c r="CB252" s="2029"/>
      <c r="CC252" s="2029"/>
      <c r="CD252" s="2029"/>
      <c r="CE252" s="2029"/>
      <c r="CF252" s="2029"/>
      <c r="CG252" s="2032"/>
      <c r="CH252" s="1974">
        <v>0</v>
      </c>
      <c r="CI252" s="1974">
        <v>0</v>
      </c>
      <c r="CJ252" s="1974">
        <v>0</v>
      </c>
      <c r="CK252" s="1974">
        <v>0</v>
      </c>
      <c r="CL252" s="1974">
        <v>1</v>
      </c>
      <c r="CM252" s="2033">
        <v>1.0753953763777242E-5</v>
      </c>
      <c r="CN252" s="2026">
        <v>-1.7534449621406941E-5</v>
      </c>
      <c r="CO252" s="1974">
        <v>1</v>
      </c>
      <c r="CP252" s="2031">
        <v>-0.67827777777777754</v>
      </c>
      <c r="CQ252" s="2031">
        <f t="shared" si="128"/>
        <v>0.67827777777777754</v>
      </c>
      <c r="CR252" s="2026">
        <v>1</v>
      </c>
      <c r="CS252" s="2026">
        <v>1</v>
      </c>
      <c r="CT252" s="2026">
        <v>0.32114942528735629</v>
      </c>
      <c r="CU252" s="2026">
        <v>0.32114942528735629</v>
      </c>
      <c r="CV252" s="2036"/>
      <c r="CW252" s="2036"/>
      <c r="CX252" s="2036"/>
      <c r="CY252" s="2036"/>
      <c r="CZ252" s="2036"/>
      <c r="DA252" s="2036"/>
    </row>
    <row r="253" spans="1:105" x14ac:dyDescent="0.25">
      <c r="A253" s="2261" t="s">
        <v>85</v>
      </c>
      <c r="B253" s="2093" t="str">
        <f t="shared" si="115"/>
        <v xml:space="preserve">BPL41 </v>
      </c>
      <c r="C253" s="1974">
        <v>15</v>
      </c>
      <c r="D253" s="1974">
        <v>1</v>
      </c>
      <c r="E253" s="1970">
        <f>F253*$CS253</f>
        <v>202.4074954716248</v>
      </c>
      <c r="F253" s="1974">
        <v>202.4074954716248</v>
      </c>
      <c r="G253" s="1970">
        <f>H253*$CS253</f>
        <v>4.0415393917925049E-2</v>
      </c>
      <c r="H253" s="1974">
        <v>4.0415393917925049E-2</v>
      </c>
      <c r="I253" s="1970">
        <f>J253*$CS253</f>
        <v>-3.2860315522710426</v>
      </c>
      <c r="J253" s="1974">
        <v>-3.2860315522710426</v>
      </c>
      <c r="K253" s="1974" t="s">
        <v>2997</v>
      </c>
      <c r="L253" s="1974" t="s">
        <v>2997</v>
      </c>
      <c r="M253" s="2026">
        <v>0.96199999999999997</v>
      </c>
      <c r="N253" s="2026">
        <v>0.96199999999999997</v>
      </c>
      <c r="O253" s="2026">
        <v>0.96199999999999997</v>
      </c>
      <c r="P253" s="2026">
        <v>0.96199999999999997</v>
      </c>
      <c r="Q253" s="2027">
        <f t="shared" si="125"/>
        <v>194.71601064370304</v>
      </c>
      <c r="R253" s="2027">
        <f t="shared" si="125"/>
        <v>194.71601064370304</v>
      </c>
      <c r="S253" s="2027">
        <f t="shared" si="125"/>
        <v>194.71601064370304</v>
      </c>
      <c r="T253" s="2027">
        <f t="shared" si="125"/>
        <v>194.71601064370304</v>
      </c>
      <c r="U253" s="2026">
        <v>0.96199999999999997</v>
      </c>
      <c r="V253" s="2026">
        <v>0.96199999999999997</v>
      </c>
      <c r="W253" s="2026">
        <v>0.96199999999999997</v>
      </c>
      <c r="X253" s="2026">
        <v>0.96199999999999997</v>
      </c>
      <c r="Y253" s="2028">
        <f t="shared" si="126"/>
        <v>3.8879608949043895E-2</v>
      </c>
      <c r="Z253" s="2028">
        <f t="shared" si="126"/>
        <v>3.8879608949043895E-2</v>
      </c>
      <c r="AA253" s="2028">
        <f t="shared" si="126"/>
        <v>3.8879608949043895E-2</v>
      </c>
      <c r="AB253" s="2028">
        <f t="shared" si="126"/>
        <v>3.8879608949043895E-2</v>
      </c>
      <c r="AC253" s="2026">
        <v>0.96199999999999997</v>
      </c>
      <c r="AD253" s="2026">
        <v>0.96199999999999997</v>
      </c>
      <c r="AE253" s="2026">
        <v>0.96199999999999997</v>
      </c>
      <c r="AF253" s="2026">
        <v>0.96199999999999997</v>
      </c>
      <c r="AG253" s="2027">
        <f t="shared" si="127"/>
        <v>-3.1611623532847428</v>
      </c>
      <c r="AH253" s="2027">
        <f t="shared" si="127"/>
        <v>-3.1611623532847428</v>
      </c>
      <c r="AI253" s="2027">
        <f t="shared" si="127"/>
        <v>-3.1611623532847428</v>
      </c>
      <c r="AJ253" s="2027">
        <f t="shared" si="127"/>
        <v>-3.1611623532847428</v>
      </c>
      <c r="AK253" s="2027">
        <v>192</v>
      </c>
      <c r="AL253" s="2027">
        <v>0</v>
      </c>
      <c r="AM253" s="2027">
        <v>0</v>
      </c>
      <c r="AN253" s="2027">
        <v>0</v>
      </c>
      <c r="AO253" s="2027">
        <f t="shared" si="116"/>
        <v>37385.474043590984</v>
      </c>
      <c r="AP253" s="2027">
        <f t="shared" si="117"/>
        <v>0</v>
      </c>
      <c r="AQ253" s="2027">
        <f t="shared" si="117"/>
        <v>0</v>
      </c>
      <c r="AR253" s="2027" t="s">
        <v>3286</v>
      </c>
      <c r="AS253" s="2027">
        <f t="shared" si="118"/>
        <v>0</v>
      </c>
      <c r="AT253" s="2027">
        <f t="shared" si="119"/>
        <v>-606.94317183067062</v>
      </c>
      <c r="AU253" s="2027">
        <f t="shared" si="120"/>
        <v>0</v>
      </c>
      <c r="AV253" s="2027">
        <f t="shared" si="120"/>
        <v>0</v>
      </c>
      <c r="AW253" s="2027">
        <f t="shared" si="120"/>
        <v>0</v>
      </c>
      <c r="AX253" s="2124">
        <v>16.427399999999999</v>
      </c>
      <c r="AY253" s="2029">
        <v>16.427399999999999</v>
      </c>
      <c r="AZ253" s="2029">
        <v>16.427399999999999</v>
      </c>
      <c r="BA253" s="2029">
        <v>16.427399999999999</v>
      </c>
      <c r="BB253" s="2124">
        <v>0</v>
      </c>
      <c r="BC253" s="2029">
        <v>0</v>
      </c>
      <c r="BD253" s="2029">
        <v>0</v>
      </c>
      <c r="BE253" s="2029">
        <v>0</v>
      </c>
      <c r="BF253" s="2124">
        <v>57.5</v>
      </c>
      <c r="BG253" s="2029">
        <v>57.5</v>
      </c>
      <c r="BH253" s="2029">
        <v>57.5</v>
      </c>
      <c r="BI253" s="2029">
        <v>57.5</v>
      </c>
      <c r="BJ253" s="2030">
        <f t="shared" si="121"/>
        <v>3154.0607999999997</v>
      </c>
      <c r="BK253" s="2030">
        <f t="shared" si="121"/>
        <v>0</v>
      </c>
      <c r="BL253" s="2030">
        <f t="shared" si="121"/>
        <v>0</v>
      </c>
      <c r="BM253" s="2030"/>
      <c r="BN253" s="2030">
        <f t="shared" si="122"/>
        <v>0</v>
      </c>
      <c r="BO253" s="2030">
        <f t="shared" si="123"/>
        <v>0</v>
      </c>
      <c r="BP253" s="2030"/>
      <c r="BQ253" s="2030">
        <f t="shared" si="124"/>
        <v>0</v>
      </c>
      <c r="BR253" s="2030">
        <f t="shared" si="124"/>
        <v>0</v>
      </c>
      <c r="BS253" s="2030">
        <f t="shared" si="124"/>
        <v>0</v>
      </c>
      <c r="BT253" s="2125"/>
      <c r="BU253" s="2125"/>
      <c r="BV253" s="2125"/>
      <c r="BW253" s="2125"/>
      <c r="BX253" s="2125"/>
      <c r="BY253" s="2125"/>
      <c r="BZ253" s="2125"/>
      <c r="CA253" s="2125"/>
      <c r="CB253" s="2029"/>
      <c r="CC253" s="2029"/>
      <c r="CD253" s="2029"/>
      <c r="CE253" s="2029"/>
      <c r="CF253" s="2029"/>
      <c r="CG253" s="2032"/>
      <c r="CH253" s="1974">
        <v>0</v>
      </c>
      <c r="CI253" s="1974">
        <v>0</v>
      </c>
      <c r="CJ253" s="1974">
        <v>0</v>
      </c>
      <c r="CK253" s="1974">
        <v>0</v>
      </c>
      <c r="CL253" s="1974">
        <v>1</v>
      </c>
      <c r="CM253" s="2033">
        <v>1.3443552889883686E-4</v>
      </c>
      <c r="CN253" s="2026">
        <v>-2.0989048998888761E-4</v>
      </c>
      <c r="CO253" s="1974">
        <v>1</v>
      </c>
      <c r="CP253" s="2031">
        <v>-0.67827777777777754</v>
      </c>
      <c r="CQ253" s="2031">
        <f t="shared" si="128"/>
        <v>0.67827777777777754</v>
      </c>
      <c r="CR253" s="2026">
        <v>1</v>
      </c>
      <c r="CS253" s="2026">
        <v>1</v>
      </c>
      <c r="CT253" s="2026">
        <v>0.31805100441658357</v>
      </c>
      <c r="CU253" s="2026">
        <v>0.31805100441658357</v>
      </c>
      <c r="CV253" s="2036"/>
      <c r="CW253" s="2036"/>
      <c r="CX253" s="2036"/>
      <c r="CY253" s="2036"/>
      <c r="CZ253" s="2036"/>
      <c r="DA253" s="2036"/>
    </row>
    <row r="254" spans="1:105" x14ac:dyDescent="0.25">
      <c r="A254" s="2261" t="s">
        <v>86</v>
      </c>
      <c r="B254" s="2093" t="str">
        <f t="shared" si="115"/>
        <v xml:space="preserve">BPL42 </v>
      </c>
      <c r="C254" s="1974">
        <v>15</v>
      </c>
      <c r="D254" s="1974">
        <v>1</v>
      </c>
      <c r="E254" s="1970">
        <f>F254*$CS254</f>
        <v>287.78170564837035</v>
      </c>
      <c r="F254" s="1974">
        <v>287.78170564837035</v>
      </c>
      <c r="G254" s="1970">
        <f>H254*$CS254</f>
        <v>4.6099624269089284E-2</v>
      </c>
      <c r="H254" s="1974">
        <v>4.6099624269089284E-2</v>
      </c>
      <c r="I254" s="1970">
        <f>J254*$CS254</f>
        <v>-2.8886794006649192</v>
      </c>
      <c r="J254" s="1974">
        <v>-2.8886794006649192</v>
      </c>
      <c r="K254" s="1974" t="s">
        <v>2997</v>
      </c>
      <c r="L254" s="1974" t="s">
        <v>2997</v>
      </c>
      <c r="M254" s="2026">
        <v>0.96199999999999997</v>
      </c>
      <c r="N254" s="2026">
        <v>0.96199999999999997</v>
      </c>
      <c r="O254" s="2026">
        <v>0.96199999999999997</v>
      </c>
      <c r="P254" s="2026">
        <v>0.96199999999999997</v>
      </c>
      <c r="Q254" s="2027">
        <f t="shared" si="125"/>
        <v>276.84600083373226</v>
      </c>
      <c r="R254" s="2027">
        <f t="shared" si="125"/>
        <v>276.84600083373226</v>
      </c>
      <c r="S254" s="2027">
        <f t="shared" si="125"/>
        <v>276.84600083373226</v>
      </c>
      <c r="T254" s="2027">
        <f t="shared" si="125"/>
        <v>276.84600083373226</v>
      </c>
      <c r="U254" s="2026">
        <v>0.96199999999999997</v>
      </c>
      <c r="V254" s="2026">
        <v>0.96199999999999997</v>
      </c>
      <c r="W254" s="2026">
        <v>0.96199999999999997</v>
      </c>
      <c r="X254" s="2026">
        <v>0.96199999999999997</v>
      </c>
      <c r="Y254" s="2028">
        <f t="shared" si="126"/>
        <v>4.4347838546863888E-2</v>
      </c>
      <c r="Z254" s="2028">
        <f t="shared" si="126"/>
        <v>4.4347838546863888E-2</v>
      </c>
      <c r="AA254" s="2028">
        <f t="shared" si="126"/>
        <v>4.4347838546863888E-2</v>
      </c>
      <c r="AB254" s="2028">
        <f t="shared" si="126"/>
        <v>4.4347838546863888E-2</v>
      </c>
      <c r="AC254" s="2026">
        <v>0.96199999999999997</v>
      </c>
      <c r="AD254" s="2026">
        <v>0.96199999999999997</v>
      </c>
      <c r="AE254" s="2026">
        <v>0.96199999999999997</v>
      </c>
      <c r="AF254" s="2026">
        <v>0.96199999999999997</v>
      </c>
      <c r="AG254" s="2027">
        <f t="shared" si="127"/>
        <v>-2.7789095834396522</v>
      </c>
      <c r="AH254" s="2027">
        <f t="shared" si="127"/>
        <v>-2.7789095834396522</v>
      </c>
      <c r="AI254" s="2027">
        <f t="shared" si="127"/>
        <v>-2.7789095834396522</v>
      </c>
      <c r="AJ254" s="2027">
        <f t="shared" si="127"/>
        <v>-2.7789095834396522</v>
      </c>
      <c r="AK254" s="2027">
        <v>30</v>
      </c>
      <c r="AL254" s="2027">
        <v>0</v>
      </c>
      <c r="AM254" s="2027">
        <v>0</v>
      </c>
      <c r="AN254" s="2027">
        <v>0</v>
      </c>
      <c r="AO254" s="2027">
        <f t="shared" si="116"/>
        <v>8305.3800250119675</v>
      </c>
      <c r="AP254" s="2027">
        <f t="shared" si="117"/>
        <v>0</v>
      </c>
      <c r="AQ254" s="2027">
        <f t="shared" si="117"/>
        <v>0</v>
      </c>
      <c r="AR254" s="2027" t="s">
        <v>3286</v>
      </c>
      <c r="AS254" s="2027">
        <f t="shared" si="118"/>
        <v>0</v>
      </c>
      <c r="AT254" s="2027">
        <f t="shared" si="119"/>
        <v>-83.367287503189573</v>
      </c>
      <c r="AU254" s="2027">
        <f t="shared" si="120"/>
        <v>0</v>
      </c>
      <c r="AV254" s="2027">
        <f t="shared" si="120"/>
        <v>0</v>
      </c>
      <c r="AW254" s="2027">
        <f t="shared" si="120"/>
        <v>0</v>
      </c>
      <c r="AX254" s="2124">
        <v>20.064</v>
      </c>
      <c r="AY254" s="2029">
        <v>20.064</v>
      </c>
      <c r="AZ254" s="2029">
        <v>20.064</v>
      </c>
      <c r="BA254" s="2029">
        <v>20.064</v>
      </c>
      <c r="BB254" s="2124">
        <v>0</v>
      </c>
      <c r="BC254" s="2029">
        <v>0</v>
      </c>
      <c r="BD254" s="2029">
        <v>0</v>
      </c>
      <c r="BE254" s="2029">
        <v>0</v>
      </c>
      <c r="BF254" s="2124">
        <v>57.5</v>
      </c>
      <c r="BG254" s="2029">
        <v>57.5</v>
      </c>
      <c r="BH254" s="2029">
        <v>57.5</v>
      </c>
      <c r="BI254" s="2029">
        <v>57.5</v>
      </c>
      <c r="BJ254" s="2030">
        <f t="shared" si="121"/>
        <v>601.91999999999996</v>
      </c>
      <c r="BK254" s="2030">
        <f t="shared" si="121"/>
        <v>0</v>
      </c>
      <c r="BL254" s="2030">
        <f t="shared" si="121"/>
        <v>0</v>
      </c>
      <c r="BM254" s="2030"/>
      <c r="BN254" s="2030">
        <f t="shared" si="122"/>
        <v>0</v>
      </c>
      <c r="BO254" s="2030">
        <f t="shared" si="123"/>
        <v>0</v>
      </c>
      <c r="BP254" s="2030"/>
      <c r="BQ254" s="2030">
        <f t="shared" si="124"/>
        <v>0</v>
      </c>
      <c r="BR254" s="2030">
        <f t="shared" si="124"/>
        <v>0</v>
      </c>
      <c r="BS254" s="2030">
        <f t="shared" si="124"/>
        <v>0</v>
      </c>
      <c r="BT254" s="2125"/>
      <c r="BU254" s="2125"/>
      <c r="BV254" s="2125"/>
      <c r="BW254" s="2125"/>
      <c r="BX254" s="2125"/>
      <c r="BY254" s="2125"/>
      <c r="BZ254" s="2125"/>
      <c r="CA254" s="2125"/>
      <c r="CB254" s="2029"/>
      <c r="CC254" s="2029"/>
      <c r="CD254" s="2029"/>
      <c r="CE254" s="2029"/>
      <c r="CF254" s="2029"/>
      <c r="CG254" s="2032"/>
      <c r="CH254" s="1974">
        <v>0</v>
      </c>
      <c r="CI254" s="1974">
        <v>0</v>
      </c>
      <c r="CJ254" s="1974">
        <v>0</v>
      </c>
      <c r="CK254" s="1974">
        <v>0</v>
      </c>
      <c r="CL254" s="1974">
        <v>1</v>
      </c>
      <c r="CM254" s="2033">
        <v>2.925430896473233E-5</v>
      </c>
      <c r="CN254" s="2026">
        <v>-2.8239666865181621E-5</v>
      </c>
      <c r="CO254" s="1974">
        <v>1</v>
      </c>
      <c r="CP254" s="2031">
        <v>-0.67827777777777754</v>
      </c>
      <c r="CQ254" s="2031">
        <f t="shared" si="128"/>
        <v>0.67827777777777754</v>
      </c>
      <c r="CR254" s="2026">
        <v>1</v>
      </c>
      <c r="CS254" s="2026">
        <v>1</v>
      </c>
      <c r="CT254" s="2026">
        <v>0.3</v>
      </c>
      <c r="CU254" s="2026">
        <v>0.3</v>
      </c>
      <c r="CV254" s="2036"/>
      <c r="CW254" s="2036"/>
      <c r="CX254" s="2036"/>
      <c r="CY254" s="2036"/>
      <c r="CZ254" s="2036"/>
      <c r="DA254" s="2036"/>
    </row>
    <row r="255" spans="1:105" x14ac:dyDescent="0.25">
      <c r="A255" s="2261" t="s">
        <v>87</v>
      </c>
      <c r="B255" s="2093" t="str">
        <f t="shared" si="115"/>
        <v xml:space="preserve">BPL44 </v>
      </c>
      <c r="C255" s="1974">
        <v>15</v>
      </c>
      <c r="D255" s="1974"/>
      <c r="E255" s="1974">
        <v>69.771498302632097</v>
      </c>
      <c r="F255" s="1974"/>
      <c r="G255" s="1974">
        <v>1.3068537006053231E-2</v>
      </c>
      <c r="H255" s="1974"/>
      <c r="I255" s="1974">
        <v>-1.2747637537728052</v>
      </c>
      <c r="J255" s="2027"/>
      <c r="K255" s="1974" t="s">
        <v>2997</v>
      </c>
      <c r="L255" s="1974" t="s">
        <v>2997</v>
      </c>
      <c r="M255" s="2026">
        <v>0.96199999999999997</v>
      </c>
      <c r="N255" s="2026">
        <v>0.96199999999999997</v>
      </c>
      <c r="O255" s="2026">
        <v>0.96199999999999997</v>
      </c>
      <c r="P255" s="2026">
        <v>0.96199999999999997</v>
      </c>
      <c r="Q255" s="2027">
        <f t="shared" ref="Q255:T276" si="129">$E255*M255</f>
        <v>67.120181367132076</v>
      </c>
      <c r="R255" s="2027">
        <f t="shared" si="129"/>
        <v>67.120181367132076</v>
      </c>
      <c r="S255" s="2027">
        <f t="shared" si="129"/>
        <v>67.120181367132076</v>
      </c>
      <c r="T255" s="2027">
        <f t="shared" si="129"/>
        <v>67.120181367132076</v>
      </c>
      <c r="U255" s="2026">
        <v>0.96199999999999997</v>
      </c>
      <c r="V255" s="2026">
        <v>0.96199999999999997</v>
      </c>
      <c r="W255" s="2026">
        <v>0.96199999999999997</v>
      </c>
      <c r="X255" s="2026">
        <v>0.96199999999999997</v>
      </c>
      <c r="Y255" s="2028">
        <f t="shared" ref="Y255:AB276" si="130">$G255*U255</f>
        <v>1.2571932599823208E-2</v>
      </c>
      <c r="Z255" s="2028">
        <f t="shared" si="130"/>
        <v>1.2571932599823208E-2</v>
      </c>
      <c r="AA255" s="2028">
        <f t="shared" si="130"/>
        <v>1.2571932599823208E-2</v>
      </c>
      <c r="AB255" s="2028">
        <f t="shared" si="130"/>
        <v>1.2571932599823208E-2</v>
      </c>
      <c r="AC255" s="2026">
        <v>0.96199999999999997</v>
      </c>
      <c r="AD255" s="2026">
        <v>0.96199999999999997</v>
      </c>
      <c r="AE255" s="2026">
        <v>0.96199999999999997</v>
      </c>
      <c r="AF255" s="2026">
        <v>0.96199999999999997</v>
      </c>
      <c r="AG255" s="2027">
        <f t="shared" ref="AG255:AJ276" si="131">$I255*AC255</f>
        <v>-1.2263227311294385</v>
      </c>
      <c r="AH255" s="2027">
        <f t="shared" si="131"/>
        <v>-1.2263227311294385</v>
      </c>
      <c r="AI255" s="2027">
        <f t="shared" si="131"/>
        <v>-1.2263227311294385</v>
      </c>
      <c r="AJ255" s="2027">
        <f t="shared" si="131"/>
        <v>-1.2263227311294385</v>
      </c>
      <c r="AK255" s="2027">
        <v>170</v>
      </c>
      <c r="AL255" s="2027">
        <v>0</v>
      </c>
      <c r="AM255" s="2027">
        <v>0</v>
      </c>
      <c r="AN255" s="2027">
        <v>0</v>
      </c>
      <c r="AO255" s="2027">
        <f t="shared" si="116"/>
        <v>11410.430832412452</v>
      </c>
      <c r="AP255" s="2027">
        <f t="shared" si="117"/>
        <v>0</v>
      </c>
      <c r="AQ255" s="2027">
        <f t="shared" si="117"/>
        <v>0</v>
      </c>
      <c r="AR255" s="2027" t="s">
        <v>3286</v>
      </c>
      <c r="AS255" s="2027">
        <f t="shared" si="118"/>
        <v>0</v>
      </c>
      <c r="AT255" s="2027">
        <f t="shared" si="119"/>
        <v>-208.47486429200453</v>
      </c>
      <c r="AU255" s="2027">
        <f t="shared" si="120"/>
        <v>0</v>
      </c>
      <c r="AV255" s="2027">
        <f t="shared" si="120"/>
        <v>0</v>
      </c>
      <c r="AW255" s="2027">
        <f t="shared" si="120"/>
        <v>0</v>
      </c>
      <c r="AX255" s="2124">
        <v>10.123200000000001</v>
      </c>
      <c r="AY255" s="2029">
        <v>10.123200000000001</v>
      </c>
      <c r="AZ255" s="2029">
        <v>10.123200000000001</v>
      </c>
      <c r="BA255" s="2029">
        <v>10.123200000000001</v>
      </c>
      <c r="BB255" s="2124">
        <v>0</v>
      </c>
      <c r="BC255" s="2029">
        <v>0</v>
      </c>
      <c r="BD255" s="2029">
        <v>0</v>
      </c>
      <c r="BE255" s="2029">
        <v>0</v>
      </c>
      <c r="BF255" s="2124">
        <v>56.25</v>
      </c>
      <c r="BG255" s="2029">
        <v>56.25</v>
      </c>
      <c r="BH255" s="2029">
        <v>56.25</v>
      </c>
      <c r="BI255" s="2029">
        <v>56.25</v>
      </c>
      <c r="BJ255" s="2030">
        <f t="shared" si="121"/>
        <v>1720.9440000000002</v>
      </c>
      <c r="BK255" s="2030">
        <f t="shared" si="121"/>
        <v>0</v>
      </c>
      <c r="BL255" s="2030">
        <f t="shared" si="121"/>
        <v>0</v>
      </c>
      <c r="BM255" s="2030"/>
      <c r="BN255" s="2030">
        <f t="shared" si="122"/>
        <v>0</v>
      </c>
      <c r="BO255" s="2030">
        <f t="shared" si="123"/>
        <v>0</v>
      </c>
      <c r="BP255" s="2030"/>
      <c r="BQ255" s="2030">
        <f t="shared" si="124"/>
        <v>0</v>
      </c>
      <c r="BR255" s="2030">
        <f t="shared" si="124"/>
        <v>0</v>
      </c>
      <c r="BS255" s="2030">
        <f t="shared" si="124"/>
        <v>0</v>
      </c>
      <c r="BT255" s="2125"/>
      <c r="BU255" s="2125"/>
      <c r="BV255" s="2125"/>
      <c r="BW255" s="2125"/>
      <c r="BX255" s="2125"/>
      <c r="BY255" s="2125"/>
      <c r="BZ255" s="2125"/>
      <c r="CA255" s="2125"/>
      <c r="CB255" s="2029"/>
      <c r="CC255" s="2029"/>
      <c r="CD255" s="2029"/>
      <c r="CE255" s="2029"/>
      <c r="CF255" s="2029"/>
      <c r="CG255" s="2032"/>
      <c r="CH255" s="1974">
        <v>0</v>
      </c>
      <c r="CI255" s="1974">
        <v>0</v>
      </c>
      <c r="CJ255" s="1974">
        <v>0</v>
      </c>
      <c r="CK255" s="1974">
        <v>0</v>
      </c>
      <c r="CL255" s="1974">
        <v>0</v>
      </c>
      <c r="CM255" s="2033">
        <v>4.1182766937451175E-5</v>
      </c>
      <c r="CN255" s="2026">
        <v>-7.2360363917917182E-5</v>
      </c>
      <c r="CO255" s="1974">
        <v>1</v>
      </c>
      <c r="CP255" s="2031">
        <v>1.1477222222222219</v>
      </c>
      <c r="CQ255" s="2031">
        <f t="shared" si="128"/>
        <v>-1.1477222222222219</v>
      </c>
      <c r="CR255" s="2026">
        <v>1</v>
      </c>
      <c r="CS255" s="2026">
        <v>1</v>
      </c>
      <c r="CT255" s="2026">
        <v>1</v>
      </c>
      <c r="CU255" s="2026">
        <v>1</v>
      </c>
      <c r="CV255" s="2036"/>
      <c r="CW255" s="2036"/>
      <c r="CX255" s="2036"/>
      <c r="CY255" s="2036"/>
      <c r="CZ255" s="2036"/>
      <c r="DA255" s="2036"/>
    </row>
    <row r="256" spans="1:105" ht="23" x14ac:dyDescent="0.25">
      <c r="A256" s="2261" t="s">
        <v>88</v>
      </c>
      <c r="B256" s="2093" t="str">
        <f t="shared" si="115"/>
        <v xml:space="preserve">BPL66 </v>
      </c>
      <c r="C256" s="1974">
        <v>15</v>
      </c>
      <c r="D256" s="1974">
        <v>1</v>
      </c>
      <c r="E256" s="1970">
        <f>F256*$CS256</f>
        <v>221.78124098712928</v>
      </c>
      <c r="F256" s="1974">
        <v>221.78124098712928</v>
      </c>
      <c r="G256" s="1970">
        <f>H256*$CS256</f>
        <v>4.1838779030469044E-2</v>
      </c>
      <c r="H256" s="1974">
        <v>4.1838779030469044E-2</v>
      </c>
      <c r="I256" s="1970">
        <f>J256*$CS256</f>
        <v>-2.8002599595061124</v>
      </c>
      <c r="J256" s="1974">
        <v>-2.8002599595061124</v>
      </c>
      <c r="K256" s="1974" t="s">
        <v>2997</v>
      </c>
      <c r="L256" s="1974" t="s">
        <v>2997</v>
      </c>
      <c r="M256" s="2026">
        <v>0.96199999999999997</v>
      </c>
      <c r="N256" s="2026">
        <v>0.96199999999999997</v>
      </c>
      <c r="O256" s="2026">
        <v>0.96199999999999997</v>
      </c>
      <c r="P256" s="2026">
        <v>0.96199999999999997</v>
      </c>
      <c r="Q256" s="2027">
        <f t="shared" ref="Q256:T259" si="132">$F256*M256</f>
        <v>213.35355382961836</v>
      </c>
      <c r="R256" s="2027">
        <f t="shared" si="132"/>
        <v>213.35355382961836</v>
      </c>
      <c r="S256" s="2027">
        <f t="shared" si="132"/>
        <v>213.35355382961836</v>
      </c>
      <c r="T256" s="2027">
        <f t="shared" si="132"/>
        <v>213.35355382961836</v>
      </c>
      <c r="U256" s="2026">
        <v>0.96199999999999997</v>
      </c>
      <c r="V256" s="2026">
        <v>0.96199999999999997</v>
      </c>
      <c r="W256" s="2026">
        <v>0.96199999999999997</v>
      </c>
      <c r="X256" s="2026">
        <v>0.96199999999999997</v>
      </c>
      <c r="Y256" s="2028">
        <f t="shared" ref="Y256:AB259" si="133">$H256*U256</f>
        <v>4.0248905427311216E-2</v>
      </c>
      <c r="Z256" s="2028">
        <f t="shared" si="133"/>
        <v>4.0248905427311216E-2</v>
      </c>
      <c r="AA256" s="2028">
        <f t="shared" si="133"/>
        <v>4.0248905427311216E-2</v>
      </c>
      <c r="AB256" s="2028">
        <f t="shared" si="133"/>
        <v>4.0248905427311216E-2</v>
      </c>
      <c r="AC256" s="2026">
        <v>0.96199999999999997</v>
      </c>
      <c r="AD256" s="2026">
        <v>0.96199999999999997</v>
      </c>
      <c r="AE256" s="2026">
        <v>0.96199999999999997</v>
      </c>
      <c r="AF256" s="2026">
        <v>0.96199999999999997</v>
      </c>
      <c r="AG256" s="2027">
        <f t="shared" ref="AG256:AJ259" si="134">$J256*AC256</f>
        <v>-2.69385008104488</v>
      </c>
      <c r="AH256" s="2027">
        <f t="shared" si="134"/>
        <v>-2.69385008104488</v>
      </c>
      <c r="AI256" s="2027">
        <f t="shared" si="134"/>
        <v>-2.69385008104488</v>
      </c>
      <c r="AJ256" s="2027">
        <f t="shared" si="134"/>
        <v>-2.69385008104488</v>
      </c>
      <c r="AK256" s="2027">
        <v>4</v>
      </c>
      <c r="AL256" s="2027">
        <v>0</v>
      </c>
      <c r="AM256" s="2027">
        <v>0</v>
      </c>
      <c r="AN256" s="2027">
        <v>0</v>
      </c>
      <c r="AO256" s="2027">
        <f t="shared" si="116"/>
        <v>853.41421531847345</v>
      </c>
      <c r="AP256" s="2027">
        <f t="shared" si="117"/>
        <v>0</v>
      </c>
      <c r="AQ256" s="2027">
        <f t="shared" si="117"/>
        <v>0</v>
      </c>
      <c r="AR256" s="2027" t="s">
        <v>3286</v>
      </c>
      <c r="AS256" s="2027">
        <f t="shared" si="118"/>
        <v>0</v>
      </c>
      <c r="AT256" s="2027">
        <f t="shared" si="119"/>
        <v>-10.77540032417952</v>
      </c>
      <c r="AU256" s="2027">
        <f t="shared" si="120"/>
        <v>0</v>
      </c>
      <c r="AV256" s="2027">
        <f t="shared" si="120"/>
        <v>0</v>
      </c>
      <c r="AW256" s="2027">
        <f t="shared" si="120"/>
        <v>0</v>
      </c>
      <c r="AX256" s="2124">
        <v>2.1374999999999993</v>
      </c>
      <c r="AY256" s="2029">
        <v>2.1374999999999993</v>
      </c>
      <c r="AZ256" s="2029">
        <v>2.1374999999999993</v>
      </c>
      <c r="BA256" s="2029">
        <v>2.1374999999999993</v>
      </c>
      <c r="BB256" s="2124">
        <v>0</v>
      </c>
      <c r="BC256" s="2029">
        <v>0</v>
      </c>
      <c r="BD256" s="2029">
        <v>0</v>
      </c>
      <c r="BE256" s="2029">
        <v>0</v>
      </c>
      <c r="BF256" s="2124">
        <v>57.5</v>
      </c>
      <c r="BG256" s="2029">
        <v>57.5</v>
      </c>
      <c r="BH256" s="2029">
        <v>57.5</v>
      </c>
      <c r="BI256" s="2029">
        <v>57.5</v>
      </c>
      <c r="BJ256" s="2030">
        <f t="shared" si="121"/>
        <v>8.5499999999999972</v>
      </c>
      <c r="BK256" s="2030">
        <f t="shared" si="121"/>
        <v>0</v>
      </c>
      <c r="BL256" s="2030">
        <f t="shared" si="121"/>
        <v>0</v>
      </c>
      <c r="BM256" s="2030"/>
      <c r="BN256" s="2030">
        <f t="shared" si="122"/>
        <v>0</v>
      </c>
      <c r="BO256" s="2030">
        <f t="shared" si="123"/>
        <v>0</v>
      </c>
      <c r="BP256" s="2030"/>
      <c r="BQ256" s="2030">
        <f t="shared" si="124"/>
        <v>0</v>
      </c>
      <c r="BR256" s="2030">
        <f t="shared" si="124"/>
        <v>0</v>
      </c>
      <c r="BS256" s="2030">
        <f t="shared" si="124"/>
        <v>0</v>
      </c>
      <c r="BT256" s="2125"/>
      <c r="BU256" s="2125"/>
      <c r="BV256" s="2125"/>
      <c r="BW256" s="2125"/>
      <c r="BX256" s="2125"/>
      <c r="BY256" s="2125"/>
      <c r="BZ256" s="2125"/>
      <c r="CA256" s="2125"/>
      <c r="CB256" s="2029"/>
      <c r="CC256" s="2029"/>
      <c r="CD256" s="2029"/>
      <c r="CE256" s="2029"/>
      <c r="CF256" s="2029"/>
      <c r="CG256" s="2032"/>
      <c r="CH256" s="1974">
        <v>0</v>
      </c>
      <c r="CI256" s="1974">
        <v>0</v>
      </c>
      <c r="CJ256" s="1974">
        <v>0</v>
      </c>
      <c r="CK256" s="1974">
        <v>0</v>
      </c>
      <c r="CL256" s="1974">
        <v>1</v>
      </c>
      <c r="CM256" s="2033">
        <v>2.3140094923884924E-6</v>
      </c>
      <c r="CN256" s="2026">
        <v>-2.8097795065681916E-6</v>
      </c>
      <c r="CO256" s="1974">
        <v>1</v>
      </c>
      <c r="CP256" s="2031">
        <v>-0.67827777777777754</v>
      </c>
      <c r="CQ256" s="2031">
        <f t="shared" si="128"/>
        <v>0.67827777777777754</v>
      </c>
      <c r="CR256" s="2026">
        <v>1</v>
      </c>
      <c r="CS256" s="2026">
        <v>1</v>
      </c>
      <c r="CT256" s="2026">
        <v>0.45</v>
      </c>
      <c r="CU256" s="2026">
        <v>0.45</v>
      </c>
      <c r="CV256" s="2036"/>
      <c r="CW256" s="2036"/>
      <c r="CX256" s="2036"/>
      <c r="CY256" s="2036"/>
      <c r="CZ256" s="2036"/>
      <c r="DA256" s="2036"/>
    </row>
    <row r="257" spans="1:105" x14ac:dyDescent="0.25">
      <c r="A257" s="2261" t="s">
        <v>89</v>
      </c>
      <c r="B257" s="2093" t="str">
        <f t="shared" si="115"/>
        <v>BPL62</v>
      </c>
      <c r="C257" s="1974">
        <v>15</v>
      </c>
      <c r="D257" s="1974">
        <v>1</v>
      </c>
      <c r="E257" s="1970">
        <f>F257*$CS257</f>
        <v>267.718666491394</v>
      </c>
      <c r="F257" s="1974">
        <v>267.718666491394</v>
      </c>
      <c r="G257" s="1970">
        <f>H257*$CS257</f>
        <v>5.5441795761621129E-2</v>
      </c>
      <c r="H257" s="1974">
        <v>5.5441795761621129E-2</v>
      </c>
      <c r="I257" s="1970">
        <f>J257*$CS257</f>
        <v>-4.5766954392087689</v>
      </c>
      <c r="J257" s="1974">
        <v>-4.5766954392087689</v>
      </c>
      <c r="K257" s="1974" t="s">
        <v>2997</v>
      </c>
      <c r="L257" s="1974" t="s">
        <v>2997</v>
      </c>
      <c r="M257" s="2026">
        <v>0.96199999999999997</v>
      </c>
      <c r="N257" s="2026">
        <v>0.96199999999999997</v>
      </c>
      <c r="O257" s="2026">
        <v>0.96199999999999997</v>
      </c>
      <c r="P257" s="2026">
        <v>0.96199999999999997</v>
      </c>
      <c r="Q257" s="2027">
        <f t="shared" si="132"/>
        <v>257.545357164721</v>
      </c>
      <c r="R257" s="2027">
        <f t="shared" si="132"/>
        <v>257.545357164721</v>
      </c>
      <c r="S257" s="2027">
        <f t="shared" si="132"/>
        <v>257.545357164721</v>
      </c>
      <c r="T257" s="2027">
        <f t="shared" si="132"/>
        <v>257.545357164721</v>
      </c>
      <c r="U257" s="2026">
        <v>0.96199999999999997</v>
      </c>
      <c r="V257" s="2026">
        <v>0.96199999999999997</v>
      </c>
      <c r="W257" s="2026">
        <v>0.96199999999999997</v>
      </c>
      <c r="X257" s="2026">
        <v>0.96199999999999997</v>
      </c>
      <c r="Y257" s="2028">
        <f t="shared" si="133"/>
        <v>5.3335007522679521E-2</v>
      </c>
      <c r="Z257" s="2028">
        <f t="shared" si="133"/>
        <v>5.3335007522679521E-2</v>
      </c>
      <c r="AA257" s="2028">
        <f t="shared" si="133"/>
        <v>5.3335007522679521E-2</v>
      </c>
      <c r="AB257" s="2028">
        <f t="shared" si="133"/>
        <v>5.3335007522679521E-2</v>
      </c>
      <c r="AC257" s="2026">
        <v>0.96199999999999997</v>
      </c>
      <c r="AD257" s="2026">
        <v>0.96199999999999997</v>
      </c>
      <c r="AE257" s="2026">
        <v>0.96199999999999997</v>
      </c>
      <c r="AF257" s="2026">
        <v>0.96199999999999997</v>
      </c>
      <c r="AG257" s="2027">
        <f t="shared" si="134"/>
        <v>-4.4027810125188358</v>
      </c>
      <c r="AH257" s="2027">
        <f t="shared" si="134"/>
        <v>-4.4027810125188358</v>
      </c>
      <c r="AI257" s="2027">
        <f t="shared" si="134"/>
        <v>-4.4027810125188358</v>
      </c>
      <c r="AJ257" s="2027">
        <f t="shared" si="134"/>
        <v>-4.4027810125188358</v>
      </c>
      <c r="AK257" s="2027">
        <v>42</v>
      </c>
      <c r="AL257" s="2027">
        <v>0</v>
      </c>
      <c r="AM257" s="2027">
        <v>0</v>
      </c>
      <c r="AN257" s="2027">
        <v>0</v>
      </c>
      <c r="AO257" s="2027">
        <f t="shared" si="116"/>
        <v>10816.905000918281</v>
      </c>
      <c r="AP257" s="2027">
        <f t="shared" si="117"/>
        <v>0</v>
      </c>
      <c r="AQ257" s="2027">
        <f t="shared" si="117"/>
        <v>0</v>
      </c>
      <c r="AR257" s="2027" t="s">
        <v>3286</v>
      </c>
      <c r="AS257" s="2027">
        <f t="shared" si="118"/>
        <v>0</v>
      </c>
      <c r="AT257" s="2027">
        <f t="shared" si="119"/>
        <v>-184.9168025257911</v>
      </c>
      <c r="AU257" s="2027">
        <f t="shared" si="120"/>
        <v>0</v>
      </c>
      <c r="AV257" s="2027">
        <f t="shared" si="120"/>
        <v>0</v>
      </c>
      <c r="AW257" s="2027">
        <f t="shared" si="120"/>
        <v>0</v>
      </c>
      <c r="AX257" s="2124">
        <v>12.587498099999999</v>
      </c>
      <c r="AY257" s="2029">
        <v>12.587498099999999</v>
      </c>
      <c r="AZ257" s="2029">
        <v>12.587498099999999</v>
      </c>
      <c r="BA257" s="2029">
        <v>12.587498099999999</v>
      </c>
      <c r="BB257" s="2124">
        <v>0</v>
      </c>
      <c r="BC257" s="2029">
        <v>0</v>
      </c>
      <c r="BD257" s="2029">
        <v>0</v>
      </c>
      <c r="BE257" s="2029">
        <v>0</v>
      </c>
      <c r="BF257" s="2124">
        <v>57.5</v>
      </c>
      <c r="BG257" s="2029">
        <v>57.5</v>
      </c>
      <c r="BH257" s="2029">
        <v>57.5</v>
      </c>
      <c r="BI257" s="2029">
        <v>57.5</v>
      </c>
      <c r="BJ257" s="2030">
        <f t="shared" si="121"/>
        <v>528.67492019999997</v>
      </c>
      <c r="BK257" s="2030">
        <f t="shared" si="121"/>
        <v>0</v>
      </c>
      <c r="BL257" s="2030">
        <f t="shared" si="121"/>
        <v>0</v>
      </c>
      <c r="BM257" s="2030"/>
      <c r="BN257" s="2030">
        <f t="shared" si="122"/>
        <v>0</v>
      </c>
      <c r="BO257" s="2030">
        <f t="shared" si="123"/>
        <v>0</v>
      </c>
      <c r="BP257" s="2030"/>
      <c r="BQ257" s="2030">
        <f t="shared" si="124"/>
        <v>0</v>
      </c>
      <c r="BR257" s="2030">
        <f t="shared" si="124"/>
        <v>0</v>
      </c>
      <c r="BS257" s="2030">
        <f t="shared" si="124"/>
        <v>0</v>
      </c>
      <c r="BT257" s="2125"/>
      <c r="BU257" s="2125"/>
      <c r="BV257" s="2125"/>
      <c r="BW257" s="2125"/>
      <c r="BX257" s="2125"/>
      <c r="BY257" s="2125"/>
      <c r="BZ257" s="2125"/>
      <c r="CA257" s="2125"/>
      <c r="CB257" s="2029"/>
      <c r="CC257" s="2029"/>
      <c r="CD257" s="2029"/>
      <c r="CE257" s="2029"/>
      <c r="CF257" s="2029"/>
      <c r="CG257" s="2032"/>
      <c r="CH257" s="1974">
        <v>0</v>
      </c>
      <c r="CI257" s="1974">
        <v>0</v>
      </c>
      <c r="CJ257" s="1974">
        <v>0</v>
      </c>
      <c r="CK257" s="1974">
        <v>0</v>
      </c>
      <c r="CL257" s="1974">
        <v>1</v>
      </c>
      <c r="CM257" s="2033">
        <v>6.2570121506085526E-5</v>
      </c>
      <c r="CN257" s="2026">
        <v>-1.0286649002244977E-4</v>
      </c>
      <c r="CO257" s="1974">
        <v>1</v>
      </c>
      <c r="CP257" s="2031">
        <v>-0.67827777777777754</v>
      </c>
      <c r="CQ257" s="2031">
        <f t="shared" si="128"/>
        <v>0.67827777777777754</v>
      </c>
      <c r="CR257" s="2026">
        <v>1</v>
      </c>
      <c r="CS257" s="2026">
        <v>1</v>
      </c>
      <c r="CT257" s="2026">
        <v>0.33985765124555156</v>
      </c>
      <c r="CU257" s="2026">
        <v>0.33985765124555156</v>
      </c>
      <c r="CV257" s="2036"/>
      <c r="CW257" s="2036"/>
      <c r="CX257" s="2036"/>
      <c r="CY257" s="2036"/>
      <c r="CZ257" s="2036"/>
      <c r="DA257" s="2036"/>
    </row>
    <row r="258" spans="1:105" x14ac:dyDescent="0.25">
      <c r="A258" s="2261" t="s">
        <v>90</v>
      </c>
      <c r="B258" s="2093" t="str">
        <f t="shared" si="115"/>
        <v xml:space="preserve">BPL43 </v>
      </c>
      <c r="C258" s="1974">
        <v>15</v>
      </c>
      <c r="D258" s="1974">
        <v>1</v>
      </c>
      <c r="E258" s="1970">
        <f>F258*$CS258</f>
        <v>564.57605427925205</v>
      </c>
      <c r="F258" s="1974">
        <v>564.57605427925205</v>
      </c>
      <c r="G258" s="1970">
        <f>H258*$CS258</f>
        <v>0.10262115188553875</v>
      </c>
      <c r="H258" s="1974">
        <v>0.10262115188553875</v>
      </c>
      <c r="I258" s="1970">
        <f>J258*$CS258</f>
        <v>-6.9807196028869232</v>
      </c>
      <c r="J258" s="1974">
        <v>-6.9807196028869232</v>
      </c>
      <c r="K258" s="1974" t="s">
        <v>2997</v>
      </c>
      <c r="L258" s="1974" t="s">
        <v>2997</v>
      </c>
      <c r="M258" s="2026">
        <v>0.96199999999999997</v>
      </c>
      <c r="N258" s="2026">
        <v>0.96199999999999997</v>
      </c>
      <c r="O258" s="2026">
        <v>0.96199999999999997</v>
      </c>
      <c r="P258" s="2026">
        <v>0.96199999999999997</v>
      </c>
      <c r="Q258" s="2027">
        <f t="shared" si="132"/>
        <v>543.1221642166405</v>
      </c>
      <c r="R258" s="2027">
        <f t="shared" si="132"/>
        <v>543.1221642166405</v>
      </c>
      <c r="S258" s="2027">
        <f t="shared" si="132"/>
        <v>543.1221642166405</v>
      </c>
      <c r="T258" s="2027">
        <f t="shared" si="132"/>
        <v>543.1221642166405</v>
      </c>
      <c r="U258" s="2026">
        <v>0.96199999999999997</v>
      </c>
      <c r="V258" s="2026">
        <v>0.96199999999999997</v>
      </c>
      <c r="W258" s="2026">
        <v>0.96199999999999997</v>
      </c>
      <c r="X258" s="2026">
        <v>0.96199999999999997</v>
      </c>
      <c r="Y258" s="2028">
        <f t="shared" si="133"/>
        <v>9.8721548113888266E-2</v>
      </c>
      <c r="Z258" s="2028">
        <f t="shared" si="133"/>
        <v>9.8721548113888266E-2</v>
      </c>
      <c r="AA258" s="2028">
        <f t="shared" si="133"/>
        <v>9.8721548113888266E-2</v>
      </c>
      <c r="AB258" s="2028">
        <f t="shared" si="133"/>
        <v>9.8721548113888266E-2</v>
      </c>
      <c r="AC258" s="2026">
        <v>0.96199999999999997</v>
      </c>
      <c r="AD258" s="2026">
        <v>0.96199999999999997</v>
      </c>
      <c r="AE258" s="2026">
        <v>0.96199999999999997</v>
      </c>
      <c r="AF258" s="2026">
        <v>0.96199999999999997</v>
      </c>
      <c r="AG258" s="2027">
        <f t="shared" si="134"/>
        <v>-6.71545225797722</v>
      </c>
      <c r="AH258" s="2027">
        <f t="shared" si="134"/>
        <v>-6.71545225797722</v>
      </c>
      <c r="AI258" s="2027">
        <f t="shared" si="134"/>
        <v>-6.71545225797722</v>
      </c>
      <c r="AJ258" s="2027">
        <f t="shared" si="134"/>
        <v>-6.71545225797722</v>
      </c>
      <c r="AK258" s="2027">
        <v>16</v>
      </c>
      <c r="AL258" s="2027">
        <v>0</v>
      </c>
      <c r="AM258" s="2027">
        <v>0</v>
      </c>
      <c r="AN258" s="2027">
        <v>0</v>
      </c>
      <c r="AO258" s="2027">
        <f t="shared" si="116"/>
        <v>8689.954627466248</v>
      </c>
      <c r="AP258" s="2027">
        <f t="shared" si="117"/>
        <v>0</v>
      </c>
      <c r="AQ258" s="2027">
        <f t="shared" si="117"/>
        <v>0</v>
      </c>
      <c r="AR258" s="2027" t="s">
        <v>3286</v>
      </c>
      <c r="AS258" s="2027">
        <f t="shared" si="118"/>
        <v>0</v>
      </c>
      <c r="AT258" s="2027">
        <f t="shared" si="119"/>
        <v>-107.44723612763552</v>
      </c>
      <c r="AU258" s="2027">
        <f t="shared" si="120"/>
        <v>0</v>
      </c>
      <c r="AV258" s="2027">
        <f t="shared" si="120"/>
        <v>0</v>
      </c>
      <c r="AW258" s="2027">
        <f t="shared" si="120"/>
        <v>0</v>
      </c>
      <c r="AX258" s="2124">
        <v>14.558749049999998</v>
      </c>
      <c r="AY258" s="2029">
        <v>14.558749049999998</v>
      </c>
      <c r="AZ258" s="2029">
        <v>14.558749049999998</v>
      </c>
      <c r="BA258" s="2029">
        <v>14.558749049999998</v>
      </c>
      <c r="BB258" s="2124">
        <v>0</v>
      </c>
      <c r="BC258" s="2029">
        <v>0</v>
      </c>
      <c r="BD258" s="2029">
        <v>0</v>
      </c>
      <c r="BE258" s="2029">
        <v>0</v>
      </c>
      <c r="BF258" s="2124">
        <v>55</v>
      </c>
      <c r="BG258" s="2029">
        <v>55</v>
      </c>
      <c r="BH258" s="2029">
        <v>55</v>
      </c>
      <c r="BI258" s="2029">
        <v>55</v>
      </c>
      <c r="BJ258" s="2030">
        <f t="shared" si="121"/>
        <v>232.93998479999996</v>
      </c>
      <c r="BK258" s="2030">
        <f t="shared" si="121"/>
        <v>0</v>
      </c>
      <c r="BL258" s="2030">
        <f t="shared" si="121"/>
        <v>0</v>
      </c>
      <c r="BM258" s="2030"/>
      <c r="BN258" s="2030">
        <f t="shared" si="122"/>
        <v>0</v>
      </c>
      <c r="BO258" s="2030">
        <f t="shared" si="123"/>
        <v>0</v>
      </c>
      <c r="BP258" s="2030"/>
      <c r="BQ258" s="2030">
        <f t="shared" si="124"/>
        <v>0</v>
      </c>
      <c r="BR258" s="2030">
        <f t="shared" si="124"/>
        <v>0</v>
      </c>
      <c r="BS258" s="2030">
        <f t="shared" si="124"/>
        <v>0</v>
      </c>
      <c r="BT258" s="2125"/>
      <c r="BU258" s="2125"/>
      <c r="BV258" s="2125"/>
      <c r="BW258" s="2125"/>
      <c r="BX258" s="2125"/>
      <c r="BY258" s="2125"/>
      <c r="BZ258" s="2125"/>
      <c r="CA258" s="2125"/>
      <c r="CB258" s="2029"/>
      <c r="CC258" s="2029"/>
      <c r="CD258" s="2029"/>
      <c r="CE258" s="2029"/>
      <c r="CF258" s="2029"/>
      <c r="CG258" s="2032"/>
      <c r="CH258" s="1974">
        <v>0</v>
      </c>
      <c r="CI258" s="1974">
        <v>0</v>
      </c>
      <c r="CJ258" s="1974">
        <v>0</v>
      </c>
      <c r="CK258" s="1974">
        <v>0</v>
      </c>
      <c r="CL258" s="1974">
        <v>1</v>
      </c>
      <c r="CM258" s="2033">
        <v>3.029474085535413E-5</v>
      </c>
      <c r="CN258" s="2026">
        <v>-3.6022889401974237E-5</v>
      </c>
      <c r="CO258" s="1974">
        <v>1</v>
      </c>
      <c r="CP258" s="2031">
        <v>2.5533333333333332</v>
      </c>
      <c r="CQ258" s="2031">
        <f t="shared" si="128"/>
        <v>-2.5533333333333332</v>
      </c>
      <c r="CR258" s="2026">
        <v>1</v>
      </c>
      <c r="CS258" s="2026">
        <v>1</v>
      </c>
      <c r="CT258" s="2026">
        <v>0.6123711340206186</v>
      </c>
      <c r="CU258" s="2026">
        <v>0.6123711340206186</v>
      </c>
      <c r="CV258" s="2036"/>
      <c r="CW258" s="2036"/>
      <c r="CX258" s="2036"/>
      <c r="CY258" s="2036"/>
      <c r="CZ258" s="2036"/>
      <c r="DA258" s="2036"/>
    </row>
    <row r="259" spans="1:105" ht="23" x14ac:dyDescent="0.25">
      <c r="A259" s="2261" t="s">
        <v>91</v>
      </c>
      <c r="B259" s="2093" t="str">
        <f t="shared" si="115"/>
        <v xml:space="preserve">BPL64  </v>
      </c>
      <c r="C259" s="1974">
        <v>15</v>
      </c>
      <c r="D259" s="1974">
        <v>1</v>
      </c>
      <c r="E259" s="1970">
        <f>F259*$CS259</f>
        <v>379.18853885698041</v>
      </c>
      <c r="F259" s="1974">
        <v>379.18853885698041</v>
      </c>
      <c r="G259" s="1970">
        <f>H259*$CS259</f>
        <v>7.6866838838090076E-2</v>
      </c>
      <c r="H259" s="1974">
        <v>7.6866838838090076E-2</v>
      </c>
      <c r="I259" s="1970">
        <f>J259*$CS259</f>
        <v>-6.3152950628887501</v>
      </c>
      <c r="J259" s="1974">
        <v>-6.3152950628887501</v>
      </c>
      <c r="K259" s="1974" t="s">
        <v>2997</v>
      </c>
      <c r="L259" s="1974" t="s">
        <v>2997</v>
      </c>
      <c r="M259" s="2026">
        <v>0.96199999999999997</v>
      </c>
      <c r="N259" s="2026">
        <v>0.96199999999999997</v>
      </c>
      <c r="O259" s="2026">
        <v>0.96199999999999997</v>
      </c>
      <c r="P259" s="2026">
        <v>0.96199999999999997</v>
      </c>
      <c r="Q259" s="2027">
        <f t="shared" si="132"/>
        <v>364.77937438041516</v>
      </c>
      <c r="R259" s="2027">
        <f t="shared" si="132"/>
        <v>364.77937438041516</v>
      </c>
      <c r="S259" s="2027">
        <f t="shared" si="132"/>
        <v>364.77937438041516</v>
      </c>
      <c r="T259" s="2027">
        <f t="shared" si="132"/>
        <v>364.77937438041516</v>
      </c>
      <c r="U259" s="2026">
        <v>0.96199999999999997</v>
      </c>
      <c r="V259" s="2026">
        <v>0.96199999999999997</v>
      </c>
      <c r="W259" s="2026">
        <v>0.96199999999999997</v>
      </c>
      <c r="X259" s="2026">
        <v>0.96199999999999997</v>
      </c>
      <c r="Y259" s="2028">
        <f t="shared" si="133"/>
        <v>7.3945898962242657E-2</v>
      </c>
      <c r="Z259" s="2028">
        <f t="shared" si="133"/>
        <v>7.3945898962242657E-2</v>
      </c>
      <c r="AA259" s="2028">
        <f t="shared" si="133"/>
        <v>7.3945898962242657E-2</v>
      </c>
      <c r="AB259" s="2028">
        <f t="shared" si="133"/>
        <v>7.3945898962242657E-2</v>
      </c>
      <c r="AC259" s="2026">
        <v>0.96199999999999997</v>
      </c>
      <c r="AD259" s="2026">
        <v>0.96199999999999997</v>
      </c>
      <c r="AE259" s="2026">
        <v>0.96199999999999997</v>
      </c>
      <c r="AF259" s="2026">
        <v>0.96199999999999997</v>
      </c>
      <c r="AG259" s="2027">
        <f t="shared" si="134"/>
        <v>-6.0753138504989774</v>
      </c>
      <c r="AH259" s="2027">
        <f t="shared" si="134"/>
        <v>-6.0753138504989774</v>
      </c>
      <c r="AI259" s="2027">
        <f t="shared" si="134"/>
        <v>-6.0753138504989774</v>
      </c>
      <c r="AJ259" s="2027">
        <f t="shared" si="134"/>
        <v>-6.0753138504989774</v>
      </c>
      <c r="AK259" s="2027">
        <v>23</v>
      </c>
      <c r="AL259" s="2027">
        <v>0</v>
      </c>
      <c r="AM259" s="2027">
        <v>0</v>
      </c>
      <c r="AN259" s="2027">
        <v>0</v>
      </c>
      <c r="AO259" s="2027">
        <f t="shared" si="116"/>
        <v>8389.9256107495494</v>
      </c>
      <c r="AP259" s="2027">
        <f t="shared" si="117"/>
        <v>0</v>
      </c>
      <c r="AQ259" s="2027">
        <f t="shared" si="117"/>
        <v>0</v>
      </c>
      <c r="AR259" s="2027" t="s">
        <v>3286</v>
      </c>
      <c r="AS259" s="2027">
        <f t="shared" si="118"/>
        <v>0</v>
      </c>
      <c r="AT259" s="2027">
        <f t="shared" si="119"/>
        <v>-139.73221856147649</v>
      </c>
      <c r="AU259" s="2027">
        <f t="shared" si="120"/>
        <v>0</v>
      </c>
      <c r="AV259" s="2027">
        <f t="shared" si="120"/>
        <v>0</v>
      </c>
      <c r="AW259" s="2027">
        <f t="shared" si="120"/>
        <v>0</v>
      </c>
      <c r="AX259" s="2124">
        <v>10.438124999999998</v>
      </c>
      <c r="AY259" s="2029">
        <v>10.438124999999998</v>
      </c>
      <c r="AZ259" s="2029">
        <v>10.438124999999998</v>
      </c>
      <c r="BA259" s="2029">
        <v>10.438124999999998</v>
      </c>
      <c r="BB259" s="2124">
        <v>0</v>
      </c>
      <c r="BC259" s="2029">
        <v>0</v>
      </c>
      <c r="BD259" s="2029">
        <v>0</v>
      </c>
      <c r="BE259" s="2029">
        <v>0</v>
      </c>
      <c r="BF259" s="2124">
        <v>55</v>
      </c>
      <c r="BG259" s="2029">
        <v>55</v>
      </c>
      <c r="BH259" s="2029">
        <v>55</v>
      </c>
      <c r="BI259" s="2029">
        <v>55</v>
      </c>
      <c r="BJ259" s="2030">
        <f t="shared" si="121"/>
        <v>240.07687499999994</v>
      </c>
      <c r="BK259" s="2030">
        <f t="shared" si="121"/>
        <v>0</v>
      </c>
      <c r="BL259" s="2030">
        <f t="shared" si="121"/>
        <v>0</v>
      </c>
      <c r="BM259" s="2030"/>
      <c r="BN259" s="2030">
        <f t="shared" si="122"/>
        <v>0</v>
      </c>
      <c r="BO259" s="2030">
        <f t="shared" si="123"/>
        <v>0</v>
      </c>
      <c r="BP259" s="2030"/>
      <c r="BQ259" s="2030">
        <f t="shared" si="124"/>
        <v>0</v>
      </c>
      <c r="BR259" s="2030">
        <f t="shared" si="124"/>
        <v>0</v>
      </c>
      <c r="BS259" s="2030">
        <f t="shared" si="124"/>
        <v>0</v>
      </c>
      <c r="BT259" s="2125"/>
      <c r="BU259" s="2125"/>
      <c r="BV259" s="2125"/>
      <c r="BW259" s="2125"/>
      <c r="BX259" s="2125"/>
      <c r="BY259" s="2125"/>
      <c r="BZ259" s="2125"/>
      <c r="CA259" s="2125"/>
      <c r="CB259" s="2029"/>
      <c r="CC259" s="2029"/>
      <c r="CD259" s="2029"/>
      <c r="CE259" s="2029"/>
      <c r="CF259" s="2029"/>
      <c r="CG259" s="2032"/>
      <c r="CH259" s="1974">
        <v>0</v>
      </c>
      <c r="CI259" s="1974">
        <v>0</v>
      </c>
      <c r="CJ259" s="1974">
        <v>0</v>
      </c>
      <c r="CK259" s="1974">
        <v>0</v>
      </c>
      <c r="CL259" s="1974">
        <v>1</v>
      </c>
      <c r="CM259" s="2033">
        <v>2.8824890428798532E-5</v>
      </c>
      <c r="CN259" s="2026">
        <v>-4.6167852373608741E-5</v>
      </c>
      <c r="CO259" s="1974">
        <v>1</v>
      </c>
      <c r="CP259" s="2031">
        <v>-0.67827777777777754</v>
      </c>
      <c r="CQ259" s="2031">
        <f t="shared" si="128"/>
        <v>0.67827777777777754</v>
      </c>
      <c r="CR259" s="2026">
        <v>1</v>
      </c>
      <c r="CS259" s="2026">
        <v>1</v>
      </c>
      <c r="CT259" s="2026">
        <v>0.45</v>
      </c>
      <c r="CU259" s="2026">
        <v>0.45</v>
      </c>
      <c r="CV259" s="2036"/>
      <c r="CW259" s="2036"/>
      <c r="CX259" s="2036"/>
      <c r="CY259" s="2036"/>
      <c r="CZ259" s="2036"/>
      <c r="DA259" s="2036"/>
    </row>
    <row r="260" spans="1:105" x14ac:dyDescent="0.25">
      <c r="A260" s="2261" t="s">
        <v>92</v>
      </c>
      <c r="B260" s="2093" t="str">
        <f t="shared" si="115"/>
        <v>BPL72</v>
      </c>
      <c r="C260" s="1974">
        <v>8</v>
      </c>
      <c r="D260" s="1974"/>
      <c r="E260" s="1974">
        <v>143.19936000000001</v>
      </c>
      <c r="F260" s="1974"/>
      <c r="G260" s="1974">
        <v>0.1123632</v>
      </c>
      <c r="H260" s="1974"/>
      <c r="I260" s="1974">
        <v>-3.2113999999999998</v>
      </c>
      <c r="J260" s="2027"/>
      <c r="K260" s="1974" t="s">
        <v>2997</v>
      </c>
      <c r="L260" s="1974" t="s">
        <v>2997</v>
      </c>
      <c r="M260" s="2026">
        <v>0.96199999999999997</v>
      </c>
      <c r="N260" s="2026">
        <v>0.96199999999999997</v>
      </c>
      <c r="O260" s="2026">
        <v>0.96199999999999997</v>
      </c>
      <c r="P260" s="2026">
        <v>0.96199999999999997</v>
      </c>
      <c r="Q260" s="2027">
        <f t="shared" si="129"/>
        <v>137.75778432000001</v>
      </c>
      <c r="R260" s="2027">
        <f t="shared" si="129"/>
        <v>137.75778432000001</v>
      </c>
      <c r="S260" s="2027">
        <f t="shared" si="129"/>
        <v>137.75778432000001</v>
      </c>
      <c r="T260" s="2027">
        <f t="shared" si="129"/>
        <v>137.75778432000001</v>
      </c>
      <c r="U260" s="2026">
        <v>0.96199999999999997</v>
      </c>
      <c r="V260" s="2026">
        <v>0.96199999999999997</v>
      </c>
      <c r="W260" s="2026">
        <v>0.96199999999999997</v>
      </c>
      <c r="X260" s="2026">
        <v>0.96199999999999997</v>
      </c>
      <c r="Y260" s="2028">
        <f t="shared" si="130"/>
        <v>0.1080933984</v>
      </c>
      <c r="Z260" s="2028">
        <f t="shared" si="130"/>
        <v>0.1080933984</v>
      </c>
      <c r="AA260" s="2028">
        <f t="shared" si="130"/>
        <v>0.1080933984</v>
      </c>
      <c r="AB260" s="2028">
        <f t="shared" si="130"/>
        <v>0.1080933984</v>
      </c>
      <c r="AC260" s="2026">
        <v>0.96199999999999997</v>
      </c>
      <c r="AD260" s="2026">
        <v>0.96199999999999997</v>
      </c>
      <c r="AE260" s="2026">
        <v>0.96199999999999997</v>
      </c>
      <c r="AF260" s="2026">
        <v>0.96199999999999997</v>
      </c>
      <c r="AG260" s="2027">
        <f t="shared" si="131"/>
        <v>-3.0893667999999996</v>
      </c>
      <c r="AH260" s="2027">
        <f t="shared" si="131"/>
        <v>-3.0893667999999996</v>
      </c>
      <c r="AI260" s="2027">
        <f t="shared" si="131"/>
        <v>-3.0893667999999996</v>
      </c>
      <c r="AJ260" s="2027">
        <f t="shared" si="131"/>
        <v>-3.0893667999999996</v>
      </c>
      <c r="AK260" s="2027">
        <v>701</v>
      </c>
      <c r="AL260" s="2027">
        <v>733</v>
      </c>
      <c r="AM260" s="2027">
        <v>765</v>
      </c>
      <c r="AN260" s="2027">
        <v>776</v>
      </c>
      <c r="AO260" s="2027">
        <f t="shared" si="116"/>
        <v>96568.206808320014</v>
      </c>
      <c r="AP260" s="2027">
        <f t="shared" si="117"/>
        <v>100976.45590656</v>
      </c>
      <c r="AQ260" s="2027">
        <f t="shared" si="117"/>
        <v>105384.70500480001</v>
      </c>
      <c r="AR260" s="2027" t="s">
        <v>3286</v>
      </c>
      <c r="AS260" s="2027">
        <f t="shared" si="118"/>
        <v>106900.04063232001</v>
      </c>
      <c r="AT260" s="2027">
        <f t="shared" si="119"/>
        <v>-2165.6461267999998</v>
      </c>
      <c r="AU260" s="2027">
        <f t="shared" si="120"/>
        <v>-2264.5058643999996</v>
      </c>
      <c r="AV260" s="2027">
        <f t="shared" si="120"/>
        <v>-2363.3656019999999</v>
      </c>
      <c r="AW260" s="2027">
        <f t="shared" si="120"/>
        <v>-2397.3486367999999</v>
      </c>
      <c r="AX260" s="2124">
        <v>60</v>
      </c>
      <c r="AY260" s="2029">
        <v>60</v>
      </c>
      <c r="AZ260" s="2029">
        <v>60</v>
      </c>
      <c r="BA260" s="2029">
        <v>60</v>
      </c>
      <c r="BB260" s="2124">
        <v>0</v>
      </c>
      <c r="BC260" s="2029">
        <v>0</v>
      </c>
      <c r="BD260" s="2029">
        <v>0</v>
      </c>
      <c r="BE260" s="2029">
        <v>0</v>
      </c>
      <c r="BF260" s="2124">
        <v>91.83</v>
      </c>
      <c r="BG260" s="2029">
        <v>91.83</v>
      </c>
      <c r="BH260" s="2029">
        <v>91.83</v>
      </c>
      <c r="BI260" s="2029">
        <v>91.83</v>
      </c>
      <c r="BJ260" s="2030">
        <f t="shared" si="121"/>
        <v>42060</v>
      </c>
      <c r="BK260" s="2030">
        <f t="shared" si="121"/>
        <v>43980</v>
      </c>
      <c r="BL260" s="2030">
        <f t="shared" si="121"/>
        <v>45900</v>
      </c>
      <c r="BM260" s="2030"/>
      <c r="BN260" s="2030">
        <f t="shared" si="122"/>
        <v>46560</v>
      </c>
      <c r="BO260" s="2030">
        <f t="shared" si="123"/>
        <v>0</v>
      </c>
      <c r="BP260" s="2030"/>
      <c r="BQ260" s="2030">
        <f t="shared" si="124"/>
        <v>0</v>
      </c>
      <c r="BR260" s="2030">
        <f t="shared" si="124"/>
        <v>0</v>
      </c>
      <c r="BS260" s="2030">
        <f t="shared" si="124"/>
        <v>0</v>
      </c>
      <c r="BT260" s="2125"/>
      <c r="BU260" s="2125"/>
      <c r="BV260" s="2125"/>
      <c r="BW260" s="2125"/>
      <c r="BX260" s="2125"/>
      <c r="BY260" s="2125"/>
      <c r="BZ260" s="2125"/>
      <c r="CA260" s="2125"/>
      <c r="CB260" s="2029"/>
      <c r="CC260" s="2029"/>
      <c r="CD260" s="2029"/>
      <c r="CE260" s="2029"/>
      <c r="CF260" s="2029"/>
      <c r="CG260" s="2032"/>
      <c r="CH260" s="1974">
        <v>0</v>
      </c>
      <c r="CI260" s="1974">
        <v>0</v>
      </c>
      <c r="CJ260" s="1974">
        <v>0</v>
      </c>
      <c r="CK260" s="1974">
        <v>0</v>
      </c>
      <c r="CL260" s="1974">
        <v>0</v>
      </c>
      <c r="CM260" s="2033">
        <v>3.4150993821693718E-4</v>
      </c>
      <c r="CN260" s="2026">
        <v>-7.3652965186924411E-4</v>
      </c>
      <c r="CO260" s="1974">
        <v>0</v>
      </c>
      <c r="CP260" s="2031">
        <v>0</v>
      </c>
      <c r="CQ260" s="2031">
        <f t="shared" si="128"/>
        <v>0</v>
      </c>
      <c r="CR260" s="2026">
        <v>1</v>
      </c>
      <c r="CS260" s="2026">
        <v>1</v>
      </c>
      <c r="CT260" s="2026">
        <v>1</v>
      </c>
      <c r="CU260" s="2026">
        <v>1</v>
      </c>
      <c r="CV260" s="2036"/>
      <c r="CW260" s="2036"/>
      <c r="CX260" s="2036"/>
      <c r="CY260" s="2036"/>
      <c r="CZ260" s="2036"/>
      <c r="DA260" s="2036"/>
    </row>
    <row r="261" spans="1:105" x14ac:dyDescent="0.25">
      <c r="A261" s="2261" t="s">
        <v>93</v>
      </c>
      <c r="B261" s="2093" t="str">
        <f t="shared" si="115"/>
        <v>BPL73</v>
      </c>
      <c r="C261" s="1974">
        <v>8</v>
      </c>
      <c r="D261" s="1974"/>
      <c r="E261" s="1974">
        <v>439.95933000000002</v>
      </c>
      <c r="F261" s="1974"/>
      <c r="G261" s="1974">
        <v>0.32273190000000002</v>
      </c>
      <c r="H261" s="1974"/>
      <c r="I261" s="1974">
        <v>-9.8665699999999994</v>
      </c>
      <c r="J261" s="2027"/>
      <c r="K261" s="1974" t="s">
        <v>2997</v>
      </c>
      <c r="L261" s="1974" t="s">
        <v>2997</v>
      </c>
      <c r="M261" s="2026">
        <v>0.96199999999999997</v>
      </c>
      <c r="N261" s="2026">
        <v>0.96199999999999997</v>
      </c>
      <c r="O261" s="2026">
        <v>0.96199999999999997</v>
      </c>
      <c r="P261" s="2026">
        <v>0.96199999999999997</v>
      </c>
      <c r="Q261" s="2027">
        <f t="shared" si="129"/>
        <v>423.24087545999998</v>
      </c>
      <c r="R261" s="2027">
        <f t="shared" si="129"/>
        <v>423.24087545999998</v>
      </c>
      <c r="S261" s="2027">
        <f t="shared" si="129"/>
        <v>423.24087545999998</v>
      </c>
      <c r="T261" s="2027">
        <f t="shared" si="129"/>
        <v>423.24087545999998</v>
      </c>
      <c r="U261" s="2026">
        <v>0.96199999999999997</v>
      </c>
      <c r="V261" s="2026">
        <v>0.96199999999999997</v>
      </c>
      <c r="W261" s="2026">
        <v>0.96199999999999997</v>
      </c>
      <c r="X261" s="2026">
        <v>0.96199999999999997</v>
      </c>
      <c r="Y261" s="2028">
        <f t="shared" si="130"/>
        <v>0.31046808780000001</v>
      </c>
      <c r="Z261" s="2028">
        <f t="shared" si="130"/>
        <v>0.31046808780000001</v>
      </c>
      <c r="AA261" s="2028">
        <f t="shared" si="130"/>
        <v>0.31046808780000001</v>
      </c>
      <c r="AB261" s="2028">
        <f t="shared" si="130"/>
        <v>0.31046808780000001</v>
      </c>
      <c r="AC261" s="2026">
        <v>0.96199999999999997</v>
      </c>
      <c r="AD261" s="2026">
        <v>0.96199999999999997</v>
      </c>
      <c r="AE261" s="2026">
        <v>0.96199999999999997</v>
      </c>
      <c r="AF261" s="2026">
        <v>0.96199999999999997</v>
      </c>
      <c r="AG261" s="2027">
        <f t="shared" si="131"/>
        <v>-9.4916403399999982</v>
      </c>
      <c r="AH261" s="2027">
        <f t="shared" si="131"/>
        <v>-9.4916403399999982</v>
      </c>
      <c r="AI261" s="2027">
        <f t="shared" si="131"/>
        <v>-9.4916403399999982</v>
      </c>
      <c r="AJ261" s="2027">
        <f t="shared" si="131"/>
        <v>-9.4916403399999982</v>
      </c>
      <c r="AK261" s="2027">
        <v>32</v>
      </c>
      <c r="AL261" s="2027">
        <v>35</v>
      </c>
      <c r="AM261" s="2027">
        <v>36</v>
      </c>
      <c r="AN261" s="2027">
        <v>37</v>
      </c>
      <c r="AO261" s="2027">
        <f t="shared" si="116"/>
        <v>13543.708014719999</v>
      </c>
      <c r="AP261" s="2027">
        <f t="shared" si="117"/>
        <v>14813.4306411</v>
      </c>
      <c r="AQ261" s="2027">
        <f t="shared" si="117"/>
        <v>15236.67151656</v>
      </c>
      <c r="AR261" s="2027" t="s">
        <v>3286</v>
      </c>
      <c r="AS261" s="2027">
        <f t="shared" si="118"/>
        <v>15659.91239202</v>
      </c>
      <c r="AT261" s="2027">
        <f t="shared" si="119"/>
        <v>-303.73249087999994</v>
      </c>
      <c r="AU261" s="2027">
        <f t="shared" si="120"/>
        <v>-332.20741189999995</v>
      </c>
      <c r="AV261" s="2027">
        <f t="shared" si="120"/>
        <v>-341.69905223999996</v>
      </c>
      <c r="AW261" s="2027">
        <f t="shared" si="120"/>
        <v>-351.19069257999996</v>
      </c>
      <c r="AX261" s="2124">
        <v>60</v>
      </c>
      <c r="AY261" s="2029">
        <v>60</v>
      </c>
      <c r="AZ261" s="2029">
        <v>60</v>
      </c>
      <c r="BA261" s="2029">
        <v>60</v>
      </c>
      <c r="BB261" s="2124">
        <v>0</v>
      </c>
      <c r="BC261" s="2029">
        <v>0</v>
      </c>
      <c r="BD261" s="2029">
        <v>0</v>
      </c>
      <c r="BE261" s="2029">
        <v>0</v>
      </c>
      <c r="BF261" s="2124">
        <v>102</v>
      </c>
      <c r="BG261" s="2029">
        <v>102</v>
      </c>
      <c r="BH261" s="2029">
        <v>102</v>
      </c>
      <c r="BI261" s="2029">
        <v>102</v>
      </c>
      <c r="BJ261" s="2030">
        <f t="shared" si="121"/>
        <v>1920</v>
      </c>
      <c r="BK261" s="2030">
        <f t="shared" si="121"/>
        <v>2100</v>
      </c>
      <c r="BL261" s="2030">
        <f t="shared" si="121"/>
        <v>2160</v>
      </c>
      <c r="BM261" s="2030"/>
      <c r="BN261" s="2030">
        <f t="shared" si="122"/>
        <v>2220</v>
      </c>
      <c r="BO261" s="2030">
        <f t="shared" si="123"/>
        <v>0</v>
      </c>
      <c r="BP261" s="2030"/>
      <c r="BQ261" s="2030">
        <f t="shared" si="124"/>
        <v>0</v>
      </c>
      <c r="BR261" s="2030">
        <f t="shared" si="124"/>
        <v>0</v>
      </c>
      <c r="BS261" s="2030">
        <f t="shared" si="124"/>
        <v>0</v>
      </c>
      <c r="BT261" s="2125"/>
      <c r="BU261" s="2125"/>
      <c r="BV261" s="2125"/>
      <c r="BW261" s="2125"/>
      <c r="BX261" s="2125"/>
      <c r="BY261" s="2125"/>
      <c r="BZ261" s="2125"/>
      <c r="CA261" s="2125"/>
      <c r="CB261" s="2029"/>
      <c r="CC261" s="2029"/>
      <c r="CD261" s="2029"/>
      <c r="CE261" s="2029"/>
      <c r="CF261" s="2029"/>
      <c r="CG261" s="2032"/>
      <c r="CH261" s="1974">
        <v>0</v>
      </c>
      <c r="CI261" s="1974">
        <v>0</v>
      </c>
      <c r="CJ261" s="1974">
        <v>0</v>
      </c>
      <c r="CK261" s="1974">
        <v>0</v>
      </c>
      <c r="CL261" s="1974">
        <v>0</v>
      </c>
      <c r="CM261" s="2033">
        <v>4.7215795952453478E-5</v>
      </c>
      <c r="CN261" s="2026">
        <v>-1.0182971960078433E-4</v>
      </c>
      <c r="CO261" s="1974">
        <v>0</v>
      </c>
      <c r="CP261" s="2031">
        <v>0</v>
      </c>
      <c r="CQ261" s="2031">
        <f t="shared" si="128"/>
        <v>0</v>
      </c>
      <c r="CR261" s="2026">
        <v>1</v>
      </c>
      <c r="CS261" s="2026">
        <v>1</v>
      </c>
      <c r="CT261" s="2026">
        <v>1</v>
      </c>
      <c r="CU261" s="2026">
        <v>1</v>
      </c>
      <c r="CV261" s="2036"/>
      <c r="CW261" s="2036"/>
      <c r="CX261" s="2036"/>
      <c r="CY261" s="2036"/>
      <c r="CZ261" s="2036"/>
      <c r="DA261" s="2036"/>
    </row>
    <row r="262" spans="1:105" x14ac:dyDescent="0.25">
      <c r="A262" s="2261" t="s">
        <v>94</v>
      </c>
      <c r="B262" s="2093" t="str">
        <f t="shared" si="115"/>
        <v>BPL74</v>
      </c>
      <c r="C262" s="1974">
        <v>8</v>
      </c>
      <c r="D262" s="1974"/>
      <c r="E262" s="1974">
        <v>273.71699999999998</v>
      </c>
      <c r="F262" s="1974"/>
      <c r="G262" s="1974">
        <v>9.0000000000000011E-2</v>
      </c>
      <c r="H262" s="1974"/>
      <c r="I262" s="1974">
        <v>-4.42</v>
      </c>
      <c r="J262" s="2027"/>
      <c r="K262" s="1974" t="s">
        <v>2997</v>
      </c>
      <c r="L262" s="1974" t="s">
        <v>2997</v>
      </c>
      <c r="M262" s="2026">
        <v>0.96199999999999997</v>
      </c>
      <c r="N262" s="2026">
        <v>0.96199999999999997</v>
      </c>
      <c r="O262" s="2026">
        <v>0.96199999999999997</v>
      </c>
      <c r="P262" s="2026">
        <v>0.96199999999999997</v>
      </c>
      <c r="Q262" s="2027">
        <f t="shared" si="129"/>
        <v>263.31575399999997</v>
      </c>
      <c r="R262" s="2027">
        <f t="shared" si="129"/>
        <v>263.31575399999997</v>
      </c>
      <c r="S262" s="2027">
        <f t="shared" si="129"/>
        <v>263.31575399999997</v>
      </c>
      <c r="T262" s="2027">
        <f t="shared" si="129"/>
        <v>263.31575399999997</v>
      </c>
      <c r="U262" s="2026">
        <v>0.96199999999999997</v>
      </c>
      <c r="V262" s="2026">
        <v>0.96199999999999997</v>
      </c>
      <c r="W262" s="2026">
        <v>0.96199999999999997</v>
      </c>
      <c r="X262" s="2026">
        <v>0.96199999999999997</v>
      </c>
      <c r="Y262" s="2028">
        <f t="shared" si="130"/>
        <v>8.6580000000000004E-2</v>
      </c>
      <c r="Z262" s="2028">
        <f t="shared" si="130"/>
        <v>8.6580000000000004E-2</v>
      </c>
      <c r="AA262" s="2028">
        <f t="shared" si="130"/>
        <v>8.6580000000000004E-2</v>
      </c>
      <c r="AB262" s="2028">
        <f t="shared" si="130"/>
        <v>8.6580000000000004E-2</v>
      </c>
      <c r="AC262" s="2026">
        <v>0.96199999999999997</v>
      </c>
      <c r="AD262" s="2026">
        <v>0.96199999999999997</v>
      </c>
      <c r="AE262" s="2026">
        <v>0.96199999999999997</v>
      </c>
      <c r="AF262" s="2026">
        <v>0.96199999999999997</v>
      </c>
      <c r="AG262" s="2027">
        <f t="shared" si="131"/>
        <v>-4.25204</v>
      </c>
      <c r="AH262" s="2027">
        <f t="shared" si="131"/>
        <v>-4.25204</v>
      </c>
      <c r="AI262" s="2027">
        <f t="shared" si="131"/>
        <v>-4.25204</v>
      </c>
      <c r="AJ262" s="2027">
        <f t="shared" si="131"/>
        <v>-4.25204</v>
      </c>
      <c r="AK262" s="2027">
        <v>88</v>
      </c>
      <c r="AL262" s="2027">
        <v>93</v>
      </c>
      <c r="AM262" s="2027">
        <v>97</v>
      </c>
      <c r="AN262" s="2027">
        <v>99</v>
      </c>
      <c r="AO262" s="2027">
        <f t="shared" si="116"/>
        <v>23171.786351999996</v>
      </c>
      <c r="AP262" s="2027">
        <f t="shared" si="117"/>
        <v>24488.365121999996</v>
      </c>
      <c r="AQ262" s="2027">
        <f t="shared" si="117"/>
        <v>25541.628137999996</v>
      </c>
      <c r="AR262" s="2027" t="s">
        <v>3286</v>
      </c>
      <c r="AS262" s="2027">
        <f t="shared" si="118"/>
        <v>26068.259645999999</v>
      </c>
      <c r="AT262" s="2027">
        <f t="shared" si="119"/>
        <v>-374.17952000000002</v>
      </c>
      <c r="AU262" s="2027">
        <f t="shared" si="120"/>
        <v>-395.43972000000002</v>
      </c>
      <c r="AV262" s="2027">
        <f t="shared" si="120"/>
        <v>-412.44788</v>
      </c>
      <c r="AW262" s="2027">
        <f t="shared" si="120"/>
        <v>-420.95195999999999</v>
      </c>
      <c r="AX262" s="2124">
        <v>40</v>
      </c>
      <c r="AY262" s="2029">
        <v>40</v>
      </c>
      <c r="AZ262" s="2029">
        <v>40</v>
      </c>
      <c r="BA262" s="2029">
        <v>40</v>
      </c>
      <c r="BB262" s="2124">
        <v>0</v>
      </c>
      <c r="BC262" s="2029">
        <v>0</v>
      </c>
      <c r="BD262" s="2029">
        <v>0</v>
      </c>
      <c r="BE262" s="2029">
        <v>0</v>
      </c>
      <c r="BF262" s="2124">
        <v>61</v>
      </c>
      <c r="BG262" s="2029">
        <v>61</v>
      </c>
      <c r="BH262" s="2029">
        <v>61</v>
      </c>
      <c r="BI262" s="2029">
        <v>61</v>
      </c>
      <c r="BJ262" s="2030">
        <f t="shared" si="121"/>
        <v>3520</v>
      </c>
      <c r="BK262" s="2030">
        <f t="shared" si="121"/>
        <v>3720</v>
      </c>
      <c r="BL262" s="2030">
        <f t="shared" si="121"/>
        <v>3880</v>
      </c>
      <c r="BM262" s="2030"/>
      <c r="BN262" s="2030">
        <f t="shared" si="122"/>
        <v>3960</v>
      </c>
      <c r="BO262" s="2030">
        <f t="shared" si="123"/>
        <v>0</v>
      </c>
      <c r="BP262" s="2030"/>
      <c r="BQ262" s="2030">
        <f t="shared" si="124"/>
        <v>0</v>
      </c>
      <c r="BR262" s="2030">
        <f t="shared" si="124"/>
        <v>0</v>
      </c>
      <c r="BS262" s="2030">
        <f t="shared" si="124"/>
        <v>0</v>
      </c>
      <c r="BT262" s="2125"/>
      <c r="BU262" s="2125"/>
      <c r="BV262" s="2125"/>
      <c r="BW262" s="2125"/>
      <c r="BX262" s="2125"/>
      <c r="BY262" s="2125"/>
      <c r="BZ262" s="2125"/>
      <c r="CA262" s="2125"/>
      <c r="CB262" s="2029"/>
      <c r="CC262" s="2029"/>
      <c r="CD262" s="2029"/>
      <c r="CE262" s="2029"/>
      <c r="CF262" s="2029"/>
      <c r="CG262" s="2032"/>
      <c r="CH262" s="1974">
        <v>0</v>
      </c>
      <c r="CI262" s="1974">
        <v>0</v>
      </c>
      <c r="CJ262" s="1974">
        <v>0</v>
      </c>
      <c r="CK262" s="1974">
        <v>0</v>
      </c>
      <c r="CL262" s="1974">
        <v>0</v>
      </c>
      <c r="CM262" s="2033">
        <v>8.1596974105650142E-5</v>
      </c>
      <c r="CN262" s="2026">
        <v>-1.2671502542746385E-4</v>
      </c>
      <c r="CO262" s="1974">
        <v>0</v>
      </c>
      <c r="CP262" s="2031">
        <v>0</v>
      </c>
      <c r="CQ262" s="2031">
        <f t="shared" si="128"/>
        <v>0</v>
      </c>
      <c r="CR262" s="2026">
        <v>1</v>
      </c>
      <c r="CS262" s="2026">
        <v>1</v>
      </c>
      <c r="CT262" s="2026">
        <v>1</v>
      </c>
      <c r="CU262" s="2026">
        <v>1</v>
      </c>
      <c r="CV262" s="2036"/>
      <c r="CW262" s="2036"/>
      <c r="CX262" s="2036"/>
      <c r="CY262" s="2036"/>
      <c r="CZ262" s="2036"/>
      <c r="DA262" s="2036"/>
    </row>
    <row r="263" spans="1:105" x14ac:dyDescent="0.25">
      <c r="A263" s="2261" t="s">
        <v>95</v>
      </c>
      <c r="B263" s="2093" t="str">
        <f t="shared" si="115"/>
        <v xml:space="preserve">BPL79 </v>
      </c>
      <c r="C263" s="1974">
        <v>8</v>
      </c>
      <c r="D263" s="1974"/>
      <c r="E263" s="1974">
        <v>79.555176000000003</v>
      </c>
      <c r="F263" s="1974"/>
      <c r="G263" s="1974">
        <v>6.2424000000000007E-2</v>
      </c>
      <c r="H263" s="1974"/>
      <c r="I263" s="1974">
        <v>-1.7841100000000001</v>
      </c>
      <c r="J263" s="2027"/>
      <c r="K263" s="1974" t="s">
        <v>2997</v>
      </c>
      <c r="L263" s="1974" t="s">
        <v>2997</v>
      </c>
      <c r="M263" s="2026">
        <v>0.96199999999999997</v>
      </c>
      <c r="N263" s="2026">
        <v>0.96199999999999997</v>
      </c>
      <c r="O263" s="2026">
        <v>0.96199999999999997</v>
      </c>
      <c r="P263" s="2026">
        <v>0.96199999999999997</v>
      </c>
      <c r="Q263" s="2027">
        <f t="shared" si="129"/>
        <v>76.532079311999993</v>
      </c>
      <c r="R263" s="2027">
        <f t="shared" si="129"/>
        <v>76.532079311999993</v>
      </c>
      <c r="S263" s="2027">
        <f t="shared" si="129"/>
        <v>76.532079311999993</v>
      </c>
      <c r="T263" s="2027">
        <f t="shared" si="129"/>
        <v>76.532079311999993</v>
      </c>
      <c r="U263" s="2026">
        <v>0.96199999999999997</v>
      </c>
      <c r="V263" s="2026">
        <v>0.96199999999999997</v>
      </c>
      <c r="W263" s="2026">
        <v>0.96199999999999997</v>
      </c>
      <c r="X263" s="2026">
        <v>0.96199999999999997</v>
      </c>
      <c r="Y263" s="2028">
        <f t="shared" si="130"/>
        <v>6.0051888000000005E-2</v>
      </c>
      <c r="Z263" s="2028">
        <f t="shared" si="130"/>
        <v>6.0051888000000005E-2</v>
      </c>
      <c r="AA263" s="2028">
        <f t="shared" si="130"/>
        <v>6.0051888000000005E-2</v>
      </c>
      <c r="AB263" s="2028">
        <f t="shared" si="130"/>
        <v>6.0051888000000005E-2</v>
      </c>
      <c r="AC263" s="2026">
        <v>0.96199999999999997</v>
      </c>
      <c r="AD263" s="2026">
        <v>0.96199999999999997</v>
      </c>
      <c r="AE263" s="2026">
        <v>0.96199999999999997</v>
      </c>
      <c r="AF263" s="2026">
        <v>0.96199999999999997</v>
      </c>
      <c r="AG263" s="2027">
        <f t="shared" si="131"/>
        <v>-1.7163138200000001</v>
      </c>
      <c r="AH263" s="2027">
        <f t="shared" si="131"/>
        <v>-1.7163138200000001</v>
      </c>
      <c r="AI263" s="2027">
        <f t="shared" si="131"/>
        <v>-1.7163138200000001</v>
      </c>
      <c r="AJ263" s="2027">
        <f t="shared" si="131"/>
        <v>-1.7163138200000001</v>
      </c>
      <c r="AK263" s="2027">
        <v>876</v>
      </c>
      <c r="AL263" s="2027">
        <v>1099</v>
      </c>
      <c r="AM263" s="2027">
        <v>1147</v>
      </c>
      <c r="AN263" s="2027">
        <v>1163</v>
      </c>
      <c r="AO263" s="2027">
        <f t="shared" si="116"/>
        <v>67042.101477311997</v>
      </c>
      <c r="AP263" s="2027">
        <f t="shared" si="117"/>
        <v>84108.755163887996</v>
      </c>
      <c r="AQ263" s="2027">
        <f t="shared" si="117"/>
        <v>87782.294970863994</v>
      </c>
      <c r="AR263" s="2027" t="s">
        <v>3286</v>
      </c>
      <c r="AS263" s="2027">
        <f t="shared" si="118"/>
        <v>89006.808239855993</v>
      </c>
      <c r="AT263" s="2027">
        <f t="shared" si="119"/>
        <v>-1503.49090632</v>
      </c>
      <c r="AU263" s="2027">
        <f t="shared" si="120"/>
        <v>-1886.22888818</v>
      </c>
      <c r="AV263" s="2027">
        <f t="shared" si="120"/>
        <v>-1968.6119515400001</v>
      </c>
      <c r="AW263" s="2027">
        <f t="shared" si="120"/>
        <v>-1996.07297266</v>
      </c>
      <c r="AX263" s="2124">
        <v>28.5</v>
      </c>
      <c r="AY263" s="2029">
        <v>28.5</v>
      </c>
      <c r="AZ263" s="2029">
        <v>28.5</v>
      </c>
      <c r="BA263" s="2029">
        <v>28.5</v>
      </c>
      <c r="BB263" s="2124">
        <v>0</v>
      </c>
      <c r="BC263" s="2029">
        <v>0</v>
      </c>
      <c r="BD263" s="2029">
        <v>0</v>
      </c>
      <c r="BE263" s="2029">
        <v>0</v>
      </c>
      <c r="BF263" s="2124">
        <v>51</v>
      </c>
      <c r="BG263" s="2029">
        <v>51</v>
      </c>
      <c r="BH263" s="2029">
        <v>51</v>
      </c>
      <c r="BI263" s="2029">
        <v>51</v>
      </c>
      <c r="BJ263" s="2030">
        <f t="shared" si="121"/>
        <v>24966</v>
      </c>
      <c r="BK263" s="2030">
        <f t="shared" si="121"/>
        <v>31321.5</v>
      </c>
      <c r="BL263" s="2030">
        <f t="shared" si="121"/>
        <v>32689.5</v>
      </c>
      <c r="BM263" s="2030"/>
      <c r="BN263" s="2030">
        <f t="shared" si="122"/>
        <v>33145.5</v>
      </c>
      <c r="BO263" s="2030">
        <f t="shared" si="123"/>
        <v>0</v>
      </c>
      <c r="BP263" s="2030"/>
      <c r="BQ263" s="2030">
        <f t="shared" si="124"/>
        <v>0</v>
      </c>
      <c r="BR263" s="2030">
        <f t="shared" si="124"/>
        <v>0</v>
      </c>
      <c r="BS263" s="2030">
        <f t="shared" si="124"/>
        <v>0</v>
      </c>
      <c r="BT263" s="2125"/>
      <c r="BU263" s="2125"/>
      <c r="BV263" s="2125"/>
      <c r="BW263" s="2125"/>
      <c r="BX263" s="2125"/>
      <c r="BY263" s="2125"/>
      <c r="BZ263" s="2125"/>
      <c r="CA263" s="2125"/>
      <c r="CB263" s="2029"/>
      <c r="CC263" s="2029"/>
      <c r="CD263" s="2029"/>
      <c r="CE263" s="2029"/>
      <c r="CF263" s="2029"/>
      <c r="CG263" s="2032"/>
      <c r="CH263" s="1974">
        <v>0</v>
      </c>
      <c r="CI263" s="1974">
        <v>0</v>
      </c>
      <c r="CJ263" s="1974">
        <v>0</v>
      </c>
      <c r="CK263" s="1974">
        <v>0</v>
      </c>
      <c r="CL263" s="1974">
        <v>0</v>
      </c>
      <c r="CM263" s="2033">
        <v>2.371596077716196E-4</v>
      </c>
      <c r="CN263" s="2026">
        <v>-5.1147860636966639E-4</v>
      </c>
      <c r="CO263" s="1974">
        <v>0</v>
      </c>
      <c r="CP263" s="2031">
        <v>0</v>
      </c>
      <c r="CQ263" s="2031">
        <f t="shared" si="128"/>
        <v>0</v>
      </c>
      <c r="CR263" s="2026">
        <v>1</v>
      </c>
      <c r="CS263" s="2026">
        <v>1</v>
      </c>
      <c r="CT263" s="2026">
        <v>1</v>
      </c>
      <c r="CU263" s="2026">
        <v>1</v>
      </c>
      <c r="CV263" s="2036"/>
      <c r="CW263" s="2036"/>
      <c r="CX263" s="2036"/>
      <c r="CY263" s="2036"/>
      <c r="CZ263" s="2036"/>
      <c r="DA263" s="2036"/>
    </row>
    <row r="264" spans="1:105" s="2161" customFormat="1" x14ac:dyDescent="0.25">
      <c r="A264" s="2187" t="s">
        <v>2868</v>
      </c>
      <c r="B264" s="2047" t="str">
        <f t="shared" si="115"/>
        <v>BPL81</v>
      </c>
      <c r="C264" s="2047">
        <v>15</v>
      </c>
      <c r="D264" s="2047">
        <v>3</v>
      </c>
      <c r="E264" s="2262">
        <f>F264*CU$264</f>
        <v>62.438983373278184</v>
      </c>
      <c r="F264" s="2047">
        <v>132.64364949904598</v>
      </c>
      <c r="G264" s="2262">
        <f>H264*CW$264</f>
        <v>0</v>
      </c>
      <c r="H264" s="2047">
        <v>2.6460530662842971E-2</v>
      </c>
      <c r="I264" s="2262">
        <f>J264*CY$264</f>
        <v>0</v>
      </c>
      <c r="J264" s="2047">
        <v>-2.6801434517075093</v>
      </c>
      <c r="K264" s="2047" t="s">
        <v>2997</v>
      </c>
      <c r="L264" s="2047" t="s">
        <v>2997</v>
      </c>
      <c r="M264" s="2153">
        <v>0.96199999999999997</v>
      </c>
      <c r="N264" s="2153">
        <v>0.96199999999999997</v>
      </c>
      <c r="O264" s="2153">
        <v>0.96199999999999997</v>
      </c>
      <c r="P264" s="2153">
        <v>0.96199999999999997</v>
      </c>
      <c r="Q264" s="2146">
        <f>$F264*M264</f>
        <v>127.60319081808223</v>
      </c>
      <c r="R264" s="2146">
        <f>$F264*N264</f>
        <v>127.60319081808223</v>
      </c>
      <c r="S264" s="2146">
        <f>$F264*O264</f>
        <v>127.60319081808223</v>
      </c>
      <c r="T264" s="2146">
        <f>$F264*P264</f>
        <v>127.60319081808223</v>
      </c>
      <c r="U264" s="2153">
        <v>0.96199999999999997</v>
      </c>
      <c r="V264" s="2153">
        <v>0.96199999999999997</v>
      </c>
      <c r="W264" s="2153">
        <v>0.96199999999999997</v>
      </c>
      <c r="X264" s="2153">
        <v>0.96199999999999997</v>
      </c>
      <c r="Y264" s="2129">
        <f>$H264*U264</f>
        <v>2.5455030497654938E-2</v>
      </c>
      <c r="Z264" s="2129">
        <f>$H264*V264</f>
        <v>2.5455030497654938E-2</v>
      </c>
      <c r="AA264" s="2129">
        <f>$H264*W264</f>
        <v>2.5455030497654938E-2</v>
      </c>
      <c r="AB264" s="2129">
        <f>$H264*X264</f>
        <v>2.5455030497654938E-2</v>
      </c>
      <c r="AC264" s="2153">
        <v>0.96199999999999997</v>
      </c>
      <c r="AD264" s="2153">
        <v>0.96199999999999997</v>
      </c>
      <c r="AE264" s="2153">
        <v>0.96199999999999997</v>
      </c>
      <c r="AF264" s="2153">
        <v>0.96199999999999997</v>
      </c>
      <c r="AG264" s="2146">
        <f>$J264*AC264</f>
        <v>-2.5782980005426239</v>
      </c>
      <c r="AH264" s="2146">
        <f>$J264*AD264</f>
        <v>-2.5782980005426239</v>
      </c>
      <c r="AI264" s="2146">
        <f>$J264*AE264</f>
        <v>-2.5782980005426239</v>
      </c>
      <c r="AJ264" s="2146">
        <f>$J264*AF264</f>
        <v>-2.5782980005426239</v>
      </c>
      <c r="AK264" s="2146">
        <v>17776</v>
      </c>
      <c r="AL264" s="2146"/>
      <c r="AM264" s="2146"/>
      <c r="AN264" s="2146"/>
      <c r="AO264" s="2146">
        <f t="shared" si="116"/>
        <v>2268274.3199822297</v>
      </c>
      <c r="AP264" s="2146">
        <f t="shared" si="117"/>
        <v>0</v>
      </c>
      <c r="AQ264" s="2146">
        <f t="shared" si="117"/>
        <v>0</v>
      </c>
      <c r="AR264" s="2027" t="s">
        <v>3286</v>
      </c>
      <c r="AS264" s="2146">
        <f t="shared" si="118"/>
        <v>0</v>
      </c>
      <c r="AT264" s="2146">
        <f t="shared" si="119"/>
        <v>-45831.82525764568</v>
      </c>
      <c r="AU264" s="2146">
        <f t="shared" si="120"/>
        <v>0</v>
      </c>
      <c r="AV264" s="2146">
        <f t="shared" si="120"/>
        <v>0</v>
      </c>
      <c r="AW264" s="2146">
        <f t="shared" si="120"/>
        <v>0</v>
      </c>
      <c r="AX264" s="2046">
        <v>5.5880607181083963</v>
      </c>
      <c r="AY264" s="2046">
        <v>5.5880607181083963</v>
      </c>
      <c r="AZ264" s="2046">
        <v>4.4704485744867171</v>
      </c>
      <c r="BA264" s="2046">
        <v>4.4704485744867171</v>
      </c>
      <c r="BB264" s="2046">
        <v>0</v>
      </c>
      <c r="BC264" s="2046">
        <v>0</v>
      </c>
      <c r="BD264" s="2046">
        <v>0</v>
      </c>
      <c r="BE264" s="2046">
        <v>0</v>
      </c>
      <c r="BF264" s="2046">
        <v>1.7695299211832249</v>
      </c>
      <c r="BG264" s="2046">
        <v>1.7695299211832249</v>
      </c>
      <c r="BH264" s="2046">
        <v>1.7695299211832249</v>
      </c>
      <c r="BI264" s="2046">
        <v>1.7695299211832249</v>
      </c>
      <c r="BJ264" s="2154">
        <f t="shared" si="121"/>
        <v>99333.367325094849</v>
      </c>
      <c r="BK264" s="2154">
        <f t="shared" si="121"/>
        <v>0</v>
      </c>
      <c r="BL264" s="2154">
        <f t="shared" si="121"/>
        <v>0</v>
      </c>
      <c r="BM264" s="2154"/>
      <c r="BN264" s="2154">
        <f t="shared" si="122"/>
        <v>0</v>
      </c>
      <c r="BO264" s="2154">
        <f t="shared" si="123"/>
        <v>0</v>
      </c>
      <c r="BP264" s="2154"/>
      <c r="BQ264" s="2154">
        <f t="shared" si="124"/>
        <v>0</v>
      </c>
      <c r="BR264" s="2154">
        <f t="shared" si="124"/>
        <v>0</v>
      </c>
      <c r="BS264" s="2154">
        <f t="shared" si="124"/>
        <v>0</v>
      </c>
      <c r="BT264" s="2155"/>
      <c r="BU264" s="2155"/>
      <c r="BV264" s="2155"/>
      <c r="BW264" s="2155"/>
      <c r="BX264" s="2155"/>
      <c r="BY264" s="2155"/>
      <c r="BZ264" s="2155"/>
      <c r="CA264" s="2155"/>
      <c r="CB264" s="2046"/>
      <c r="CC264" s="2046"/>
      <c r="CD264" s="2046"/>
      <c r="CE264" s="2046"/>
      <c r="CF264" s="2046"/>
      <c r="CG264" s="2156"/>
      <c r="CH264" s="2047">
        <v>0</v>
      </c>
      <c r="CI264" s="2047">
        <v>0</v>
      </c>
      <c r="CJ264" s="2047">
        <v>0</v>
      </c>
      <c r="CK264" s="2047">
        <v>0</v>
      </c>
      <c r="CL264" s="2047">
        <v>1</v>
      </c>
      <c r="CM264" s="2157">
        <v>1.6239699943485141E-2</v>
      </c>
      <c r="CN264" s="2153">
        <v>-3.2038882682082562E-2</v>
      </c>
      <c r="CO264" s="2047">
        <v>1</v>
      </c>
      <c r="CP264" s="2063">
        <v>-0.20832982508570624</v>
      </c>
      <c r="CQ264" s="2063">
        <f t="shared" si="128"/>
        <v>0.20832982508570624</v>
      </c>
      <c r="CR264" s="2153">
        <v>1</v>
      </c>
      <c r="CS264" s="2153">
        <v>1</v>
      </c>
      <c r="CT264" s="2153">
        <v>0.47072727272727272</v>
      </c>
      <c r="CU264" s="2153">
        <v>0.47072727272727272</v>
      </c>
      <c r="CV264" s="2160"/>
      <c r="CW264" s="2160"/>
      <c r="CX264" s="2160"/>
      <c r="CY264" s="2160"/>
      <c r="CZ264" s="2160"/>
      <c r="DA264" s="2160"/>
    </row>
    <row r="265" spans="1:105" s="2161" customFormat="1" x14ac:dyDescent="0.25">
      <c r="A265" s="2187" t="s">
        <v>2871</v>
      </c>
      <c r="B265" s="2047" t="str">
        <f t="shared" si="115"/>
        <v>BPL84</v>
      </c>
      <c r="C265" s="2047">
        <v>15</v>
      </c>
      <c r="D265" s="2047"/>
      <c r="E265" s="2047">
        <v>189.05578231813629</v>
      </c>
      <c r="F265" s="2047"/>
      <c r="G265" s="2047">
        <v>4.4152774177069705E-2</v>
      </c>
      <c r="H265" s="2047"/>
      <c r="I265" s="2047">
        <v>-2.63781847754217</v>
      </c>
      <c r="J265" s="2146"/>
      <c r="K265" s="2047" t="s">
        <v>2997</v>
      </c>
      <c r="L265" s="2047" t="s">
        <v>2997</v>
      </c>
      <c r="M265" s="2153">
        <v>0.96199999999999997</v>
      </c>
      <c r="N265" s="2153">
        <f>M265-0.05</f>
        <v>0.91199999999999992</v>
      </c>
      <c r="O265" s="2153">
        <f>N265-0.05</f>
        <v>0.86199999999999988</v>
      </c>
      <c r="P265" s="2153">
        <f>O265-0.05</f>
        <v>0.81199999999999983</v>
      </c>
      <c r="Q265" s="2146">
        <f t="shared" si="129"/>
        <v>181.87166259004712</v>
      </c>
      <c r="R265" s="2146">
        <f t="shared" si="129"/>
        <v>172.4188734741403</v>
      </c>
      <c r="S265" s="2146">
        <f>$E265*O265</f>
        <v>162.96608435823347</v>
      </c>
      <c r="T265" s="2146">
        <f t="shared" si="129"/>
        <v>153.51329524232665</v>
      </c>
      <c r="U265" s="2153">
        <v>0.96199999999999997</v>
      </c>
      <c r="V265" s="2153">
        <f>U265-0.05</f>
        <v>0.91199999999999992</v>
      </c>
      <c r="W265" s="2153">
        <f t="shared" ref="W265:X265" si="135">V265-0.05</f>
        <v>0.86199999999999988</v>
      </c>
      <c r="X265" s="2153">
        <f t="shared" si="135"/>
        <v>0.81199999999999983</v>
      </c>
      <c r="Y265" s="2129">
        <f t="shared" si="130"/>
        <v>4.2474968758341052E-2</v>
      </c>
      <c r="Z265" s="2129">
        <f t="shared" si="130"/>
        <v>4.0267330049487571E-2</v>
      </c>
      <c r="AA265" s="2129">
        <f t="shared" si="130"/>
        <v>3.8059691340634083E-2</v>
      </c>
      <c r="AB265" s="2129">
        <f t="shared" si="130"/>
        <v>3.5852052631780595E-2</v>
      </c>
      <c r="AC265" s="2153">
        <v>0.96199999999999997</v>
      </c>
      <c r="AD265" s="2153">
        <v>0.96199999999999997</v>
      </c>
      <c r="AE265" s="2153">
        <v>0.96199999999999997</v>
      </c>
      <c r="AF265" s="2153">
        <v>0.96199999999999997</v>
      </c>
      <c r="AG265" s="2146">
        <f t="shared" si="131"/>
        <v>-2.5375813753955674</v>
      </c>
      <c r="AH265" s="2146">
        <f t="shared" si="131"/>
        <v>-2.5375813753955674</v>
      </c>
      <c r="AI265" s="2146">
        <f t="shared" si="131"/>
        <v>-2.5375813753955674</v>
      </c>
      <c r="AJ265" s="2146">
        <f t="shared" si="131"/>
        <v>-2.5375813753955674</v>
      </c>
      <c r="AK265" s="2146">
        <v>1334</v>
      </c>
      <c r="AL265" s="2146">
        <v>1349</v>
      </c>
      <c r="AM265" s="2146">
        <v>1355</v>
      </c>
      <c r="AN265" s="2146">
        <v>1352</v>
      </c>
      <c r="AO265" s="2146">
        <f t="shared" si="116"/>
        <v>242616.79789512287</v>
      </c>
      <c r="AP265" s="2146">
        <f t="shared" si="117"/>
        <v>232593.06031661527</v>
      </c>
      <c r="AQ265" s="2146">
        <f t="shared" si="117"/>
        <v>220819.04430540637</v>
      </c>
      <c r="AR265" s="2027"/>
      <c r="AS265" s="2146">
        <f t="shared" si="118"/>
        <v>207549.97516762564</v>
      </c>
      <c r="AT265" s="2146">
        <f t="shared" si="119"/>
        <v>-3385.1335547776871</v>
      </c>
      <c r="AU265" s="2146">
        <f t="shared" si="120"/>
        <v>-3423.1972754086205</v>
      </c>
      <c r="AV265" s="2146">
        <f t="shared" si="120"/>
        <v>-3438.422763660994</v>
      </c>
      <c r="AW265" s="2146">
        <f t="shared" si="120"/>
        <v>-3430.810019534807</v>
      </c>
      <c r="AX265" s="2046">
        <v>15</v>
      </c>
      <c r="AY265" s="2046">
        <v>15</v>
      </c>
      <c r="AZ265" s="2046">
        <v>15</v>
      </c>
      <c r="BA265" s="2046">
        <v>15</v>
      </c>
      <c r="BB265" s="2046">
        <v>0</v>
      </c>
      <c r="BC265" s="2046">
        <v>0</v>
      </c>
      <c r="BD265" s="2046">
        <v>0</v>
      </c>
      <c r="BE265" s="2046">
        <v>0</v>
      </c>
      <c r="BF265" s="2046">
        <v>35.83</v>
      </c>
      <c r="BG265" s="2046">
        <v>35.83</v>
      </c>
      <c r="BH265" s="2046">
        <v>35.83</v>
      </c>
      <c r="BI265" s="2046">
        <v>35.83</v>
      </c>
      <c r="BJ265" s="2154">
        <f t="shared" si="121"/>
        <v>20010</v>
      </c>
      <c r="BK265" s="2154">
        <f t="shared" si="121"/>
        <v>20235</v>
      </c>
      <c r="BL265" s="2154">
        <f t="shared" si="121"/>
        <v>20325</v>
      </c>
      <c r="BM265" s="2154"/>
      <c r="BN265" s="2154">
        <f t="shared" si="122"/>
        <v>20280</v>
      </c>
      <c r="BO265" s="2154">
        <f t="shared" si="123"/>
        <v>0</v>
      </c>
      <c r="BP265" s="2154"/>
      <c r="BQ265" s="2154">
        <f t="shared" si="124"/>
        <v>0</v>
      </c>
      <c r="BR265" s="2154">
        <f t="shared" si="124"/>
        <v>0</v>
      </c>
      <c r="BS265" s="2154">
        <f t="shared" si="124"/>
        <v>0</v>
      </c>
      <c r="BT265" s="2155"/>
      <c r="BU265" s="2155"/>
      <c r="BV265" s="2155"/>
      <c r="BW265" s="2155"/>
      <c r="BX265" s="2155"/>
      <c r="BY265" s="2155"/>
      <c r="BZ265" s="2155"/>
      <c r="CA265" s="2155"/>
      <c r="CB265" s="2046"/>
      <c r="CC265" s="2046"/>
      <c r="CD265" s="2046"/>
      <c r="CE265" s="2046"/>
      <c r="CF265" s="2046"/>
      <c r="CG265" s="2156"/>
      <c r="CH265" s="2047">
        <v>0</v>
      </c>
      <c r="CI265" s="2047">
        <v>0</v>
      </c>
      <c r="CJ265" s="2047">
        <v>0</v>
      </c>
      <c r="CK265" s="2047">
        <v>0</v>
      </c>
      <c r="CL265" s="2047">
        <v>0</v>
      </c>
      <c r="CM265" s="2157">
        <v>1.6907659854159293E-3</v>
      </c>
      <c r="CN265" s="2153">
        <v>-2.2686735438107921E-3</v>
      </c>
      <c r="CO265" s="2047">
        <v>1</v>
      </c>
      <c r="CP265" s="2063">
        <v>-12.181999999999999</v>
      </c>
      <c r="CQ265" s="2063">
        <f t="shared" si="128"/>
        <v>12.181999999999999</v>
      </c>
      <c r="CR265" s="2153">
        <v>1</v>
      </c>
      <c r="CS265" s="2153">
        <v>1</v>
      </c>
      <c r="CT265" s="2153">
        <v>1</v>
      </c>
      <c r="CU265" s="2153">
        <v>1</v>
      </c>
      <c r="CV265" s="2160"/>
      <c r="CW265" s="2160"/>
      <c r="CX265" s="2160"/>
      <c r="CY265" s="2160"/>
      <c r="CZ265" s="2160"/>
      <c r="DA265" s="2160"/>
    </row>
    <row r="266" spans="1:105" x14ac:dyDescent="0.25">
      <c r="A266" s="2261" t="s">
        <v>96</v>
      </c>
      <c r="B266" s="2093" t="str">
        <f t="shared" si="115"/>
        <v>BPL72B</v>
      </c>
      <c r="C266" s="1974">
        <v>8</v>
      </c>
      <c r="D266" s="1974"/>
      <c r="E266" s="1974">
        <v>143.19936000000001</v>
      </c>
      <c r="F266" s="1974"/>
      <c r="G266" s="1974">
        <v>0.1123632</v>
      </c>
      <c r="H266" s="1974"/>
      <c r="I266" s="1974">
        <v>-3.2113999999999998</v>
      </c>
      <c r="J266" s="2027"/>
      <c r="K266" s="1974" t="s">
        <v>2997</v>
      </c>
      <c r="L266" s="1974" t="s">
        <v>2997</v>
      </c>
      <c r="M266" s="2026">
        <v>0.96199999999999997</v>
      </c>
      <c r="N266" s="2026">
        <v>0.96199999999999997</v>
      </c>
      <c r="O266" s="2026">
        <v>0.96199999999999997</v>
      </c>
      <c r="P266" s="2026">
        <v>0.96199999999999997</v>
      </c>
      <c r="Q266" s="2027">
        <f t="shared" si="129"/>
        <v>137.75778432000001</v>
      </c>
      <c r="R266" s="2027">
        <f t="shared" si="129"/>
        <v>137.75778432000001</v>
      </c>
      <c r="S266" s="2027">
        <f t="shared" si="129"/>
        <v>137.75778432000001</v>
      </c>
      <c r="T266" s="2027">
        <f t="shared" si="129"/>
        <v>137.75778432000001</v>
      </c>
      <c r="U266" s="2026">
        <v>0.96199999999999997</v>
      </c>
      <c r="V266" s="2026">
        <v>0.96199999999999997</v>
      </c>
      <c r="W266" s="2026">
        <v>0.96199999999999997</v>
      </c>
      <c r="X266" s="2026">
        <v>0.96199999999999997</v>
      </c>
      <c r="Y266" s="2028">
        <f t="shared" si="130"/>
        <v>0.1080933984</v>
      </c>
      <c r="Z266" s="2028">
        <f t="shared" si="130"/>
        <v>0.1080933984</v>
      </c>
      <c r="AA266" s="2028">
        <f t="shared" si="130"/>
        <v>0.1080933984</v>
      </c>
      <c r="AB266" s="2028">
        <f t="shared" si="130"/>
        <v>0.1080933984</v>
      </c>
      <c r="AC266" s="2026">
        <v>0.96199999999999997</v>
      </c>
      <c r="AD266" s="2026">
        <v>0.96199999999999997</v>
      </c>
      <c r="AE266" s="2026">
        <v>0.96199999999999997</v>
      </c>
      <c r="AF266" s="2026">
        <v>0.96199999999999997</v>
      </c>
      <c r="AG266" s="2027">
        <f t="shared" si="131"/>
        <v>-3.0893667999999996</v>
      </c>
      <c r="AH266" s="2027">
        <f t="shared" si="131"/>
        <v>-3.0893667999999996</v>
      </c>
      <c r="AI266" s="2027">
        <f t="shared" si="131"/>
        <v>-3.0893667999999996</v>
      </c>
      <c r="AJ266" s="2027">
        <f t="shared" si="131"/>
        <v>-3.0893667999999996</v>
      </c>
      <c r="AK266" s="2027">
        <v>1750</v>
      </c>
      <c r="AL266" s="2027">
        <v>2288</v>
      </c>
      <c r="AM266" s="2027">
        <v>2867</v>
      </c>
      <c r="AN266" s="2027">
        <v>3390</v>
      </c>
      <c r="AO266" s="2027">
        <f t="shared" si="116"/>
        <v>241076.12256000002</v>
      </c>
      <c r="AP266" s="2027">
        <f t="shared" si="117"/>
        <v>315189.81052416004</v>
      </c>
      <c r="AQ266" s="2027">
        <f t="shared" si="117"/>
        <v>394951.56764544005</v>
      </c>
      <c r="AR266" s="2027" t="s">
        <v>3286</v>
      </c>
      <c r="AS266" s="2027">
        <f t="shared" si="118"/>
        <v>466998.88884480007</v>
      </c>
      <c r="AT266" s="2027">
        <f t="shared" si="119"/>
        <v>-5406.3918999999996</v>
      </c>
      <c r="AU266" s="2027">
        <f t="shared" si="120"/>
        <v>-7068.4712383999995</v>
      </c>
      <c r="AV266" s="2027">
        <f t="shared" si="120"/>
        <v>-8857.2146155999981</v>
      </c>
      <c r="AW266" s="2027">
        <f t="shared" si="120"/>
        <v>-10472.953451999998</v>
      </c>
      <c r="AX266" s="2124">
        <v>57</v>
      </c>
      <c r="AY266" s="2029">
        <v>57</v>
      </c>
      <c r="AZ266" s="2029">
        <v>57</v>
      </c>
      <c r="BA266" s="2029">
        <v>57</v>
      </c>
      <c r="BB266" s="2124">
        <v>0</v>
      </c>
      <c r="BC266" s="2029">
        <v>0</v>
      </c>
      <c r="BD266" s="2029">
        <v>0</v>
      </c>
      <c r="BE266" s="2029">
        <v>0</v>
      </c>
      <c r="BF266" s="2124">
        <v>54</v>
      </c>
      <c r="BG266" s="2029">
        <v>54</v>
      </c>
      <c r="BH266" s="2029">
        <v>54</v>
      </c>
      <c r="BI266" s="2029">
        <v>54</v>
      </c>
      <c r="BJ266" s="2030">
        <f t="shared" si="121"/>
        <v>99750</v>
      </c>
      <c r="BK266" s="2030">
        <f t="shared" si="121"/>
        <v>130416</v>
      </c>
      <c r="BL266" s="2030">
        <f t="shared" si="121"/>
        <v>163419</v>
      </c>
      <c r="BM266" s="2030"/>
      <c r="BN266" s="2030">
        <f t="shared" si="122"/>
        <v>193230</v>
      </c>
      <c r="BO266" s="2030">
        <f t="shared" si="123"/>
        <v>0</v>
      </c>
      <c r="BP266" s="2030"/>
      <c r="BQ266" s="2030">
        <f t="shared" si="124"/>
        <v>0</v>
      </c>
      <c r="BR266" s="2030">
        <f t="shared" si="124"/>
        <v>0</v>
      </c>
      <c r="BS266" s="2030">
        <f t="shared" si="124"/>
        <v>0</v>
      </c>
      <c r="BT266" s="2125"/>
      <c r="BU266" s="2125"/>
      <c r="BV266" s="2125"/>
      <c r="BW266" s="2125"/>
      <c r="BX266" s="2125"/>
      <c r="BY266" s="2125"/>
      <c r="BZ266" s="2125"/>
      <c r="CA266" s="2125"/>
      <c r="CB266" s="2029"/>
      <c r="CC266" s="2029"/>
      <c r="CD266" s="2029"/>
      <c r="CE266" s="2029"/>
      <c r="CF266" s="2029"/>
      <c r="CG266" s="2032"/>
      <c r="CH266" s="1974">
        <v>0</v>
      </c>
      <c r="CI266" s="1974">
        <v>0</v>
      </c>
      <c r="CJ266" s="1974">
        <v>0</v>
      </c>
      <c r="CK266" s="1974">
        <v>0</v>
      </c>
      <c r="CL266" s="1974">
        <v>0</v>
      </c>
      <c r="CM266" s="2033">
        <v>8.5377484554234292E-4</v>
      </c>
      <c r="CN266" s="2026">
        <v>-1.8413241296731104E-3</v>
      </c>
      <c r="CO266" s="1974">
        <v>0</v>
      </c>
      <c r="CP266" s="2031">
        <v>0</v>
      </c>
      <c r="CQ266" s="2031">
        <f t="shared" si="128"/>
        <v>0</v>
      </c>
      <c r="CR266" s="2026">
        <v>1</v>
      </c>
      <c r="CS266" s="2026">
        <v>1</v>
      </c>
      <c r="CT266" s="2026">
        <v>1</v>
      </c>
      <c r="CU266" s="2026">
        <v>1</v>
      </c>
      <c r="CV266" s="2036"/>
      <c r="CW266" s="2036"/>
      <c r="CX266" s="2036"/>
      <c r="CY266" s="2036"/>
      <c r="CZ266" s="2036"/>
      <c r="DA266" s="2036"/>
    </row>
    <row r="267" spans="1:105" s="2161" customFormat="1" x14ac:dyDescent="0.25">
      <c r="A267" s="2187" t="s">
        <v>2874</v>
      </c>
      <c r="B267" s="2047" t="str">
        <f t="shared" si="115"/>
        <v>BPL50 and Online Store</v>
      </c>
      <c r="C267" s="2047">
        <v>15</v>
      </c>
      <c r="D267" s="2047">
        <v>1</v>
      </c>
      <c r="E267" s="2262">
        <f>F267*$CS267</f>
        <v>1807.2102776975823</v>
      </c>
      <c r="F267" s="2047">
        <v>1807.2102776975823</v>
      </c>
      <c r="G267" s="2262">
        <f>H267*$CS267</f>
        <v>0</v>
      </c>
      <c r="H267" s="2047">
        <v>0</v>
      </c>
      <c r="I267" s="2262">
        <f>J267*$CS267</f>
        <v>0</v>
      </c>
      <c r="J267" s="2047">
        <v>0</v>
      </c>
      <c r="K267" s="2047" t="s">
        <v>2997</v>
      </c>
      <c r="L267" s="2047" t="s">
        <v>2997</v>
      </c>
      <c r="M267" s="2153">
        <v>0.96199999999999997</v>
      </c>
      <c r="N267" s="2153">
        <v>0.96199999999999997</v>
      </c>
      <c r="O267" s="2153">
        <v>0.96199999999999997</v>
      </c>
      <c r="P267" s="2153">
        <v>0.96199999999999997</v>
      </c>
      <c r="Q267" s="2146">
        <f t="shared" ref="Q267:T269" si="136">$F267*M267</f>
        <v>1738.5362871450741</v>
      </c>
      <c r="R267" s="2146">
        <f t="shared" si="136"/>
        <v>1738.5362871450741</v>
      </c>
      <c r="S267" s="2146">
        <f t="shared" si="136"/>
        <v>1738.5362871450741</v>
      </c>
      <c r="T267" s="2146">
        <f t="shared" si="136"/>
        <v>1738.5362871450741</v>
      </c>
      <c r="U267" s="2153">
        <v>0.96199999999999997</v>
      </c>
      <c r="V267" s="2153">
        <v>0.96199999999999997</v>
      </c>
      <c r="W267" s="2153">
        <v>0.96199999999999997</v>
      </c>
      <c r="X267" s="2153">
        <v>0.96199999999999997</v>
      </c>
      <c r="Y267" s="2129">
        <f t="shared" ref="Y267:AB269" si="137">$H267*U267</f>
        <v>0</v>
      </c>
      <c r="Z267" s="2129">
        <f t="shared" si="137"/>
        <v>0</v>
      </c>
      <c r="AA267" s="2129">
        <f t="shared" si="137"/>
        <v>0</v>
      </c>
      <c r="AB267" s="2129">
        <f t="shared" si="137"/>
        <v>0</v>
      </c>
      <c r="AC267" s="2153">
        <v>0.96199999999999997</v>
      </c>
      <c r="AD267" s="2153">
        <v>0.96199999999999997</v>
      </c>
      <c r="AE267" s="2153">
        <v>0.96199999999999997</v>
      </c>
      <c r="AF267" s="2153">
        <v>0.96199999999999997</v>
      </c>
      <c r="AG267" s="2146">
        <f t="shared" ref="AG267:AJ269" si="138">$J267*AC267</f>
        <v>0</v>
      </c>
      <c r="AH267" s="2146">
        <f t="shared" si="138"/>
        <v>0</v>
      </c>
      <c r="AI267" s="2146">
        <f t="shared" si="138"/>
        <v>0</v>
      </c>
      <c r="AJ267" s="2146">
        <f t="shared" si="138"/>
        <v>0</v>
      </c>
      <c r="AK267" s="2146">
        <v>5333</v>
      </c>
      <c r="AL267" s="2146"/>
      <c r="AM267" s="2146"/>
      <c r="AN267" s="2146"/>
      <c r="AO267" s="2146">
        <f t="shared" si="116"/>
        <v>9271614.01934468</v>
      </c>
      <c r="AP267" s="2146">
        <f t="shared" si="117"/>
        <v>0</v>
      </c>
      <c r="AQ267" s="2146">
        <f t="shared" si="117"/>
        <v>0</v>
      </c>
      <c r="AR267" s="2027" t="s">
        <v>3286</v>
      </c>
      <c r="AS267" s="2146">
        <f t="shared" si="118"/>
        <v>0</v>
      </c>
      <c r="AT267" s="2146">
        <f t="shared" si="119"/>
        <v>0</v>
      </c>
      <c r="AU267" s="2146">
        <f t="shared" si="120"/>
        <v>0</v>
      </c>
      <c r="AV267" s="2146">
        <f t="shared" si="120"/>
        <v>0</v>
      </c>
      <c r="AW267" s="2146">
        <f t="shared" si="120"/>
        <v>0</v>
      </c>
      <c r="AX267" s="2046">
        <v>245.25012811259469</v>
      </c>
      <c r="AY267" s="2046">
        <v>245.25012811259469</v>
      </c>
      <c r="AZ267" s="2046">
        <v>245.25012811259469</v>
      </c>
      <c r="BA267" s="2046">
        <v>245.25012811259469</v>
      </c>
      <c r="BB267" s="2046">
        <v>0</v>
      </c>
      <c r="BC267" s="2046">
        <v>0</v>
      </c>
      <c r="BD267" s="2046">
        <v>0</v>
      </c>
      <c r="BE267" s="2046">
        <v>0</v>
      </c>
      <c r="BF267" s="2046">
        <v>189.73709076145795</v>
      </c>
      <c r="BG267" s="2046">
        <v>189.73709076145795</v>
      </c>
      <c r="BH267" s="2046">
        <v>189.73709076145795</v>
      </c>
      <c r="BI267" s="2046">
        <v>189.73709076145795</v>
      </c>
      <c r="BJ267" s="2154">
        <f t="shared" si="121"/>
        <v>1307918.9332244676</v>
      </c>
      <c r="BK267" s="2154">
        <f t="shared" si="121"/>
        <v>0</v>
      </c>
      <c r="BL267" s="2154">
        <f t="shared" si="121"/>
        <v>0</v>
      </c>
      <c r="BM267" s="2154"/>
      <c r="BN267" s="2154">
        <f t="shared" si="122"/>
        <v>0</v>
      </c>
      <c r="BO267" s="2154">
        <f t="shared" si="123"/>
        <v>0</v>
      </c>
      <c r="BP267" s="2154"/>
      <c r="BQ267" s="2154">
        <f t="shared" si="124"/>
        <v>0</v>
      </c>
      <c r="BR267" s="2154">
        <f t="shared" si="124"/>
        <v>0</v>
      </c>
      <c r="BS267" s="2154">
        <f t="shared" si="124"/>
        <v>0</v>
      </c>
      <c r="BT267" s="2155"/>
      <c r="BU267" s="2155"/>
      <c r="BV267" s="2155"/>
      <c r="BW267" s="2155"/>
      <c r="BX267" s="2155"/>
      <c r="BY267" s="2155"/>
      <c r="BZ267" s="2155"/>
      <c r="CA267" s="2155"/>
      <c r="CB267" s="2046"/>
      <c r="CC267" s="2046"/>
      <c r="CD267" s="2046"/>
      <c r="CE267" s="2046"/>
      <c r="CF267" s="2046"/>
      <c r="CG267" s="2156"/>
      <c r="CH267" s="2047">
        <v>0</v>
      </c>
      <c r="CI267" s="2047">
        <v>0</v>
      </c>
      <c r="CJ267" s="2047">
        <v>0</v>
      </c>
      <c r="CK267" s="2047">
        <v>0</v>
      </c>
      <c r="CL267" s="2047">
        <v>1</v>
      </c>
      <c r="CM267" s="2157">
        <v>9.6363637388535723E-3</v>
      </c>
      <c r="CN267" s="2153">
        <v>0</v>
      </c>
      <c r="CO267" s="2047">
        <v>1</v>
      </c>
      <c r="CP267" s="2063">
        <v>-16.835977777777774</v>
      </c>
      <c r="CQ267" s="2063">
        <f t="shared" si="128"/>
        <v>16.835977777777774</v>
      </c>
      <c r="CR267" s="2153">
        <v>1</v>
      </c>
      <c r="CS267" s="2153">
        <v>1</v>
      </c>
      <c r="CT267" s="2153">
        <v>0.98677355318637949</v>
      </c>
      <c r="CU267" s="2153">
        <v>0.98677355318637949</v>
      </c>
      <c r="CV267" s="2160"/>
      <c r="CW267" s="2160"/>
      <c r="CX267" s="2160"/>
      <c r="CY267" s="2160"/>
      <c r="CZ267" s="2160"/>
      <c r="DA267" s="2160"/>
    </row>
    <row r="268" spans="1:105" x14ac:dyDescent="0.25">
      <c r="A268" s="2261" t="s">
        <v>2876</v>
      </c>
      <c r="B268" s="2093" t="str">
        <f t="shared" si="115"/>
        <v xml:space="preserve">BPL68 </v>
      </c>
      <c r="C268" s="1974">
        <v>11</v>
      </c>
      <c r="D268" s="1974">
        <v>1</v>
      </c>
      <c r="E268" s="1970">
        <f>F268*$CS268</f>
        <v>402.77418446313504</v>
      </c>
      <c r="F268" s="1974">
        <v>402.77418446313504</v>
      </c>
      <c r="G268" s="1970">
        <f>H268*$CS268</f>
        <v>7.6724492832285066E-2</v>
      </c>
      <c r="H268" s="1974">
        <v>7.6724492832285066E-2</v>
      </c>
      <c r="I268" s="1970">
        <f>J268*$CS268</f>
        <v>-5.2649053908958043</v>
      </c>
      <c r="J268" s="1974">
        <v>-5.2649053908958043</v>
      </c>
      <c r="K268" s="1974" t="s">
        <v>2997</v>
      </c>
      <c r="L268" s="1974" t="s">
        <v>2997</v>
      </c>
      <c r="M268" s="2026">
        <v>0.96199999999999997</v>
      </c>
      <c r="N268" s="2026">
        <v>0.96199999999999997</v>
      </c>
      <c r="O268" s="2026">
        <v>0.96199999999999997</v>
      </c>
      <c r="P268" s="2026">
        <v>0.96199999999999997</v>
      </c>
      <c r="Q268" s="2027">
        <f t="shared" si="136"/>
        <v>387.46876545353592</v>
      </c>
      <c r="R268" s="2027">
        <f t="shared" si="136"/>
        <v>387.46876545353592</v>
      </c>
      <c r="S268" s="2027">
        <f t="shared" si="136"/>
        <v>387.46876545353592</v>
      </c>
      <c r="T268" s="2027">
        <f t="shared" si="136"/>
        <v>387.46876545353592</v>
      </c>
      <c r="U268" s="2026">
        <v>0.96199999999999997</v>
      </c>
      <c r="V268" s="2026">
        <v>0.96199999999999997</v>
      </c>
      <c r="W268" s="2026">
        <v>0.96199999999999997</v>
      </c>
      <c r="X268" s="2026">
        <v>0.96199999999999997</v>
      </c>
      <c r="Y268" s="2028">
        <f t="shared" si="137"/>
        <v>7.3808962104658232E-2</v>
      </c>
      <c r="Z268" s="2028">
        <f t="shared" si="137"/>
        <v>7.3808962104658232E-2</v>
      </c>
      <c r="AA268" s="2028">
        <f t="shared" si="137"/>
        <v>7.3808962104658232E-2</v>
      </c>
      <c r="AB268" s="2028">
        <f t="shared" si="137"/>
        <v>7.3808962104658232E-2</v>
      </c>
      <c r="AC268" s="2026">
        <v>0.96199999999999997</v>
      </c>
      <c r="AD268" s="2026">
        <v>0.96199999999999997</v>
      </c>
      <c r="AE268" s="2026">
        <v>0.96199999999999997</v>
      </c>
      <c r="AF268" s="2026">
        <v>0.96199999999999997</v>
      </c>
      <c r="AG268" s="2027">
        <f t="shared" si="138"/>
        <v>-5.0648389860417637</v>
      </c>
      <c r="AH268" s="2027">
        <f t="shared" si="138"/>
        <v>-5.0648389860417637</v>
      </c>
      <c r="AI268" s="2027">
        <f t="shared" si="138"/>
        <v>-5.0648389860417637</v>
      </c>
      <c r="AJ268" s="2027">
        <f t="shared" si="138"/>
        <v>-5.0648389860417637</v>
      </c>
      <c r="AK268" s="2027">
        <v>132</v>
      </c>
      <c r="AL268" s="2027"/>
      <c r="AM268" s="2027"/>
      <c r="AN268" s="2027"/>
      <c r="AO268" s="2027">
        <f t="shared" si="116"/>
        <v>51145.87703986674</v>
      </c>
      <c r="AP268" s="2027">
        <f t="shared" si="117"/>
        <v>0</v>
      </c>
      <c r="AQ268" s="2027">
        <f t="shared" si="117"/>
        <v>0</v>
      </c>
      <c r="AR268" s="2027" t="s">
        <v>3286</v>
      </c>
      <c r="AS268" s="2027">
        <f t="shared" si="118"/>
        <v>0</v>
      </c>
      <c r="AT268" s="2027">
        <f t="shared" si="119"/>
        <v>-668.55874615751281</v>
      </c>
      <c r="AU268" s="2027">
        <f t="shared" si="120"/>
        <v>0</v>
      </c>
      <c r="AV268" s="2027">
        <f t="shared" si="120"/>
        <v>0</v>
      </c>
      <c r="AW268" s="2027">
        <f t="shared" si="120"/>
        <v>0</v>
      </c>
      <c r="AX268" s="2124">
        <v>20.519999999999996</v>
      </c>
      <c r="AY268" s="2029">
        <v>20.519999999999996</v>
      </c>
      <c r="AZ268" s="2029">
        <v>20.519999999999996</v>
      </c>
      <c r="BA268" s="2029">
        <v>20.519999999999996</v>
      </c>
      <c r="BB268" s="2124">
        <v>0</v>
      </c>
      <c r="BC268" s="2029">
        <v>0</v>
      </c>
      <c r="BD268" s="2029">
        <v>0</v>
      </c>
      <c r="BE268" s="2029">
        <v>0</v>
      </c>
      <c r="BF268" s="2124">
        <v>12</v>
      </c>
      <c r="BG268" s="2029">
        <v>12</v>
      </c>
      <c r="BH268" s="2029">
        <v>12</v>
      </c>
      <c r="BI268" s="2029">
        <v>12</v>
      </c>
      <c r="BJ268" s="2030">
        <f t="shared" si="121"/>
        <v>2708.6399999999994</v>
      </c>
      <c r="BK268" s="2030">
        <f t="shared" si="121"/>
        <v>0</v>
      </c>
      <c r="BL268" s="2030">
        <f t="shared" si="121"/>
        <v>0</v>
      </c>
      <c r="BM268" s="2030"/>
      <c r="BN268" s="2030">
        <f t="shared" si="122"/>
        <v>0</v>
      </c>
      <c r="BO268" s="2030">
        <f t="shared" si="123"/>
        <v>0</v>
      </c>
      <c r="BP268" s="2030"/>
      <c r="BQ268" s="2030">
        <f t="shared" si="124"/>
        <v>0</v>
      </c>
      <c r="BR268" s="2030">
        <f t="shared" si="124"/>
        <v>0</v>
      </c>
      <c r="BS268" s="2030">
        <f t="shared" si="124"/>
        <v>0</v>
      </c>
      <c r="BT268" s="2125"/>
      <c r="BU268" s="2125"/>
      <c r="BV268" s="2125"/>
      <c r="BW268" s="2125"/>
      <c r="BX268" s="2125"/>
      <c r="BY268" s="2125"/>
      <c r="BZ268" s="2125"/>
      <c r="CA268" s="2125"/>
      <c r="CB268" s="2029"/>
      <c r="CC268" s="2029"/>
      <c r="CD268" s="2029"/>
      <c r="CE268" s="2029"/>
      <c r="CF268" s="2029"/>
      <c r="CG268" s="2032"/>
      <c r="CH268" s="1974">
        <v>0</v>
      </c>
      <c r="CI268" s="1974">
        <v>0</v>
      </c>
      <c r="CJ268" s="1974">
        <v>0</v>
      </c>
      <c r="CK268" s="1974">
        <v>0</v>
      </c>
      <c r="CL268" s="1974">
        <v>1</v>
      </c>
      <c r="CM268" s="2033">
        <v>1.8010475071001867E-4</v>
      </c>
      <c r="CN268" s="2026">
        <v>-2.2640586667892079E-4</v>
      </c>
      <c r="CO268" s="1974">
        <v>0</v>
      </c>
      <c r="CP268" s="2031">
        <v>0</v>
      </c>
      <c r="CQ268" s="2031">
        <f t="shared" si="128"/>
        <v>0</v>
      </c>
      <c r="CR268" s="2026">
        <v>1</v>
      </c>
      <c r="CS268" s="2026">
        <v>1</v>
      </c>
      <c r="CT268" s="2026">
        <v>0.84113475177304964</v>
      </c>
      <c r="CU268" s="2026">
        <v>0.84113475177304964</v>
      </c>
      <c r="CV268" s="2036"/>
      <c r="CW268" s="2036"/>
      <c r="CX268" s="2036"/>
      <c r="CY268" s="2036"/>
      <c r="CZ268" s="2036"/>
      <c r="DA268" s="2036"/>
    </row>
    <row r="269" spans="1:105" x14ac:dyDescent="0.25">
      <c r="A269" s="2261" t="s">
        <v>2878</v>
      </c>
      <c r="B269" s="2093" t="str">
        <f t="shared" si="115"/>
        <v>BPL93</v>
      </c>
      <c r="C269" s="1974">
        <v>15</v>
      </c>
      <c r="D269" s="1974">
        <v>1</v>
      </c>
      <c r="E269" s="1970">
        <f>F269*$CS269</f>
        <v>573.79834962481209</v>
      </c>
      <c r="F269" s="1974">
        <v>573.79834962481209</v>
      </c>
      <c r="G269" s="1970">
        <f>H269*$CS269</f>
        <v>7.6551859795615587E-2</v>
      </c>
      <c r="H269" s="1974">
        <v>7.6551859795615587E-2</v>
      </c>
      <c r="I269" s="1970">
        <f>J269*$CS269</f>
        <v>0</v>
      </c>
      <c r="J269" s="1974">
        <v>0</v>
      </c>
      <c r="K269" s="1974" t="s">
        <v>2997</v>
      </c>
      <c r="L269" s="1974" t="s">
        <v>2997</v>
      </c>
      <c r="M269" s="2026">
        <v>0.96199999999999997</v>
      </c>
      <c r="N269" s="2026">
        <v>0.96199999999999997</v>
      </c>
      <c r="O269" s="2026">
        <v>0.96199999999999997</v>
      </c>
      <c r="P269" s="2026">
        <v>0.96199999999999997</v>
      </c>
      <c r="Q269" s="2027">
        <f t="shared" si="136"/>
        <v>551.99401233906917</v>
      </c>
      <c r="R269" s="2027">
        <f t="shared" si="136"/>
        <v>551.99401233906917</v>
      </c>
      <c r="S269" s="2027">
        <f t="shared" si="136"/>
        <v>551.99401233906917</v>
      </c>
      <c r="T269" s="2027">
        <f t="shared" si="136"/>
        <v>551.99401233906917</v>
      </c>
      <c r="U269" s="2026">
        <v>0.96199999999999997</v>
      </c>
      <c r="V269" s="2026">
        <v>0.96199999999999997</v>
      </c>
      <c r="W269" s="2026">
        <v>0.96199999999999997</v>
      </c>
      <c r="X269" s="2026">
        <v>0.96199999999999997</v>
      </c>
      <c r="Y269" s="2028">
        <f t="shared" si="137"/>
        <v>7.3642889123382196E-2</v>
      </c>
      <c r="Z269" s="2028">
        <f t="shared" si="137"/>
        <v>7.3642889123382196E-2</v>
      </c>
      <c r="AA269" s="2028">
        <f t="shared" si="137"/>
        <v>7.3642889123382196E-2</v>
      </c>
      <c r="AB269" s="2028">
        <f t="shared" si="137"/>
        <v>7.3642889123382196E-2</v>
      </c>
      <c r="AC269" s="2026">
        <v>0.96199999999999997</v>
      </c>
      <c r="AD269" s="2026">
        <v>0.96199999999999997</v>
      </c>
      <c r="AE269" s="2026">
        <v>0.96199999999999997</v>
      </c>
      <c r="AF269" s="2026">
        <v>0.96199999999999997</v>
      </c>
      <c r="AG269" s="2027">
        <f t="shared" si="138"/>
        <v>0</v>
      </c>
      <c r="AH269" s="2027">
        <f t="shared" si="138"/>
        <v>0</v>
      </c>
      <c r="AI269" s="2027">
        <f t="shared" si="138"/>
        <v>0</v>
      </c>
      <c r="AJ269" s="2027">
        <f t="shared" si="138"/>
        <v>0</v>
      </c>
      <c r="AK269" s="2027">
        <v>333</v>
      </c>
      <c r="AL269" s="2027"/>
      <c r="AM269" s="2027"/>
      <c r="AN269" s="2027"/>
      <c r="AO269" s="2027">
        <f t="shared" si="116"/>
        <v>183814.00610891002</v>
      </c>
      <c r="AP269" s="2027">
        <f t="shared" si="117"/>
        <v>0</v>
      </c>
      <c r="AQ269" s="2027">
        <f t="shared" si="117"/>
        <v>0</v>
      </c>
      <c r="AR269" s="2027" t="s">
        <v>3286</v>
      </c>
      <c r="AS269" s="2027">
        <f t="shared" si="118"/>
        <v>0</v>
      </c>
      <c r="AT269" s="2027">
        <f t="shared" si="119"/>
        <v>0</v>
      </c>
      <c r="AU269" s="2027">
        <f t="shared" si="120"/>
        <v>0</v>
      </c>
      <c r="AV269" s="2027">
        <f t="shared" si="120"/>
        <v>0</v>
      </c>
      <c r="AW269" s="2027">
        <f t="shared" si="120"/>
        <v>0</v>
      </c>
      <c r="AX269" s="2124">
        <v>60.42</v>
      </c>
      <c r="AY269" s="2029">
        <v>60.42</v>
      </c>
      <c r="AZ269" s="2029">
        <v>60.42</v>
      </c>
      <c r="BA269" s="2029">
        <v>60.42</v>
      </c>
      <c r="BB269" s="2124">
        <v>0</v>
      </c>
      <c r="BC269" s="2029">
        <v>0</v>
      </c>
      <c r="BD269" s="2029">
        <v>0</v>
      </c>
      <c r="BE269" s="2029">
        <v>0</v>
      </c>
      <c r="BF269" s="2124">
        <v>42</v>
      </c>
      <c r="BG269" s="2029">
        <v>42</v>
      </c>
      <c r="BH269" s="2029">
        <v>42</v>
      </c>
      <c r="BI269" s="2029">
        <v>42</v>
      </c>
      <c r="BJ269" s="2030">
        <f t="shared" si="121"/>
        <v>20119.86</v>
      </c>
      <c r="BK269" s="2030">
        <f t="shared" si="121"/>
        <v>0</v>
      </c>
      <c r="BL269" s="2030">
        <f t="shared" si="121"/>
        <v>0</v>
      </c>
      <c r="BM269" s="2030"/>
      <c r="BN269" s="2030">
        <f t="shared" si="122"/>
        <v>0</v>
      </c>
      <c r="BO269" s="2030">
        <f t="shared" si="123"/>
        <v>0</v>
      </c>
      <c r="BP269" s="2030"/>
      <c r="BQ269" s="2030">
        <f t="shared" si="124"/>
        <v>0</v>
      </c>
      <c r="BR269" s="2030">
        <f t="shared" si="124"/>
        <v>0</v>
      </c>
      <c r="BS269" s="2030">
        <f t="shared" si="124"/>
        <v>0</v>
      </c>
      <c r="BT269" s="2125"/>
      <c r="BU269" s="2125"/>
      <c r="BV269" s="2125"/>
      <c r="BW269" s="2125"/>
      <c r="BX269" s="2125"/>
      <c r="BY269" s="2125"/>
      <c r="BZ269" s="2125"/>
      <c r="CA269" s="2125"/>
      <c r="CB269" s="2029"/>
      <c r="CC269" s="2029"/>
      <c r="CD269" s="2029"/>
      <c r="CE269" s="2029"/>
      <c r="CF269" s="2029"/>
      <c r="CG269" s="2032"/>
      <c r="CH269" s="1974">
        <v>0</v>
      </c>
      <c r="CI269" s="1974">
        <v>0</v>
      </c>
      <c r="CJ269" s="1974">
        <v>0</v>
      </c>
      <c r="CK269" s="1974">
        <v>0</v>
      </c>
      <c r="CL269" s="1974">
        <v>1</v>
      </c>
      <c r="CM269" s="2033">
        <v>6.5000271992445556E-4</v>
      </c>
      <c r="CN269" s="2026">
        <v>0</v>
      </c>
      <c r="CO269" s="1974">
        <v>1</v>
      </c>
      <c r="CP269" s="2031">
        <v>0.13682777777777794</v>
      </c>
      <c r="CQ269" s="2031">
        <f t="shared" si="128"/>
        <v>-0.13682777777777794</v>
      </c>
      <c r="CR269" s="2026">
        <v>1</v>
      </c>
      <c r="CS269" s="2026">
        <v>1</v>
      </c>
      <c r="CT269" s="2026">
        <v>0.3</v>
      </c>
      <c r="CU269" s="2026">
        <v>0.3</v>
      </c>
      <c r="CV269" s="2036"/>
      <c r="CW269" s="2036"/>
      <c r="CX269" s="2036"/>
      <c r="CY269" s="2036"/>
      <c r="CZ269" s="2036"/>
      <c r="DA269" s="2036"/>
    </row>
    <row r="270" spans="1:105" x14ac:dyDescent="0.25">
      <c r="A270" s="2261" t="s">
        <v>97</v>
      </c>
      <c r="B270" s="2093" t="str">
        <f t="shared" si="115"/>
        <v>BPL94</v>
      </c>
      <c r="C270" s="1974">
        <v>8</v>
      </c>
      <c r="D270" s="1974"/>
      <c r="E270" s="1974">
        <v>64.656789787826611</v>
      </c>
      <c r="F270" s="1974"/>
      <c r="G270" s="1974">
        <v>2.8952638804635875E-2</v>
      </c>
      <c r="H270" s="1974"/>
      <c r="I270" s="1974">
        <v>0</v>
      </c>
      <c r="J270" s="2027"/>
      <c r="K270" s="1974" t="s">
        <v>2997</v>
      </c>
      <c r="L270" s="1974" t="s">
        <v>2997</v>
      </c>
      <c r="M270" s="2026">
        <v>0.96199999999999997</v>
      </c>
      <c r="N270" s="2026">
        <v>0.96199999999999997</v>
      </c>
      <c r="O270" s="2026">
        <v>0.96199999999999997</v>
      </c>
      <c r="P270" s="2026">
        <v>0.96199999999999997</v>
      </c>
      <c r="Q270" s="2027">
        <f t="shared" si="129"/>
        <v>62.199831775889194</v>
      </c>
      <c r="R270" s="2027">
        <f t="shared" si="129"/>
        <v>62.199831775889194</v>
      </c>
      <c r="S270" s="2027">
        <f t="shared" si="129"/>
        <v>62.199831775889194</v>
      </c>
      <c r="T270" s="2027">
        <f t="shared" si="129"/>
        <v>62.199831775889194</v>
      </c>
      <c r="U270" s="2026">
        <v>0.96199999999999997</v>
      </c>
      <c r="V270" s="2026">
        <v>0.96199999999999997</v>
      </c>
      <c r="W270" s="2026">
        <v>0.96199999999999997</v>
      </c>
      <c r="X270" s="2026">
        <v>0.96199999999999997</v>
      </c>
      <c r="Y270" s="2028">
        <f t="shared" si="130"/>
        <v>2.7852438530059712E-2</v>
      </c>
      <c r="Z270" s="2028">
        <f t="shared" si="130"/>
        <v>2.7852438530059712E-2</v>
      </c>
      <c r="AA270" s="2028">
        <f t="shared" si="130"/>
        <v>2.7852438530059712E-2</v>
      </c>
      <c r="AB270" s="2028">
        <f t="shared" si="130"/>
        <v>2.7852438530059712E-2</v>
      </c>
      <c r="AC270" s="2026">
        <v>0.96199999999999997</v>
      </c>
      <c r="AD270" s="2026">
        <v>0.96199999999999997</v>
      </c>
      <c r="AE270" s="2026">
        <v>0.96199999999999997</v>
      </c>
      <c r="AF270" s="2026">
        <v>0.96199999999999997</v>
      </c>
      <c r="AG270" s="2027">
        <f t="shared" si="131"/>
        <v>0</v>
      </c>
      <c r="AH270" s="2027">
        <f t="shared" si="131"/>
        <v>0</v>
      </c>
      <c r="AI270" s="2027">
        <f t="shared" si="131"/>
        <v>0</v>
      </c>
      <c r="AJ270" s="2027">
        <f t="shared" si="131"/>
        <v>0</v>
      </c>
      <c r="AK270" s="2027">
        <v>32</v>
      </c>
      <c r="AL270" s="2027">
        <v>34</v>
      </c>
      <c r="AM270" s="2027">
        <v>41</v>
      </c>
      <c r="AN270" s="2027">
        <v>35</v>
      </c>
      <c r="AO270" s="2027">
        <f t="shared" si="116"/>
        <v>1990.3946168284542</v>
      </c>
      <c r="AP270" s="2027">
        <f t="shared" si="117"/>
        <v>2114.7942803802325</v>
      </c>
      <c r="AQ270" s="2027">
        <f t="shared" si="117"/>
        <v>2550.1931028114568</v>
      </c>
      <c r="AR270" s="2027" t="s">
        <v>3286</v>
      </c>
      <c r="AS270" s="2027">
        <f t="shared" si="118"/>
        <v>2176.9941121561219</v>
      </c>
      <c r="AT270" s="2027">
        <f t="shared" si="119"/>
        <v>0</v>
      </c>
      <c r="AU270" s="2027">
        <f t="shared" si="120"/>
        <v>0</v>
      </c>
      <c r="AV270" s="2027">
        <f t="shared" si="120"/>
        <v>0</v>
      </c>
      <c r="AW270" s="2027">
        <f t="shared" si="120"/>
        <v>0</v>
      </c>
      <c r="AX270" s="2124">
        <v>22.799999999999997</v>
      </c>
      <c r="AY270" s="2029">
        <v>22.799999999999997</v>
      </c>
      <c r="AZ270" s="2029">
        <v>22.799999999999997</v>
      </c>
      <c r="BA270" s="2029">
        <v>22.799999999999997</v>
      </c>
      <c r="BB270" s="2124">
        <v>0</v>
      </c>
      <c r="BC270" s="2029">
        <v>0</v>
      </c>
      <c r="BD270" s="2029">
        <v>0</v>
      </c>
      <c r="BE270" s="2029">
        <v>0</v>
      </c>
      <c r="BF270" s="2124">
        <v>77.67</v>
      </c>
      <c r="BG270" s="2029">
        <v>77.67</v>
      </c>
      <c r="BH270" s="2029">
        <v>77.67</v>
      </c>
      <c r="BI270" s="2029">
        <v>77.67</v>
      </c>
      <c r="BJ270" s="2030">
        <f t="shared" si="121"/>
        <v>729.59999999999991</v>
      </c>
      <c r="BK270" s="2030">
        <f t="shared" si="121"/>
        <v>775.19999999999993</v>
      </c>
      <c r="BL270" s="2030">
        <f t="shared" si="121"/>
        <v>934.79999999999984</v>
      </c>
      <c r="BM270" s="2030"/>
      <c r="BN270" s="2030">
        <f t="shared" si="122"/>
        <v>797.99999999999989</v>
      </c>
      <c r="BO270" s="2030">
        <f t="shared" si="123"/>
        <v>0</v>
      </c>
      <c r="BP270" s="2030"/>
      <c r="BQ270" s="2030">
        <f t="shared" si="124"/>
        <v>0</v>
      </c>
      <c r="BR270" s="2030">
        <f t="shared" si="124"/>
        <v>0</v>
      </c>
      <c r="BS270" s="2030">
        <f t="shared" si="124"/>
        <v>0</v>
      </c>
      <c r="BT270" s="2125"/>
      <c r="BU270" s="2125"/>
      <c r="BV270" s="2125"/>
      <c r="BW270" s="2125"/>
      <c r="BX270" s="2125"/>
      <c r="BY270" s="2125"/>
      <c r="BZ270" s="2125"/>
      <c r="CA270" s="2125"/>
      <c r="CB270" s="2029"/>
      <c r="CC270" s="2029"/>
      <c r="CD270" s="2029"/>
      <c r="CE270" s="2029"/>
      <c r="CF270" s="2029"/>
      <c r="CG270" s="2032"/>
      <c r="CH270" s="1974">
        <v>0</v>
      </c>
      <c r="CI270" s="1974">
        <v>0</v>
      </c>
      <c r="CJ270" s="1974">
        <v>0</v>
      </c>
      <c r="CK270" s="1974">
        <v>0</v>
      </c>
      <c r="CL270" s="1974">
        <v>0</v>
      </c>
      <c r="CM270" s="2033">
        <v>6.7461262571382616E-6</v>
      </c>
      <c r="CN270" s="2026">
        <v>0</v>
      </c>
      <c r="CO270" s="1974">
        <v>0</v>
      </c>
      <c r="CP270" s="2031">
        <v>0</v>
      </c>
      <c r="CQ270" s="2031">
        <f t="shared" si="128"/>
        <v>0</v>
      </c>
      <c r="CR270" s="2026">
        <v>1</v>
      </c>
      <c r="CS270" s="2026">
        <v>1</v>
      </c>
      <c r="CT270" s="2026">
        <v>1</v>
      </c>
      <c r="CU270" s="2026">
        <v>1</v>
      </c>
      <c r="CV270" s="2036"/>
      <c r="CW270" s="2036"/>
      <c r="CX270" s="2036"/>
      <c r="CY270" s="2036"/>
      <c r="CZ270" s="2036"/>
      <c r="DA270" s="2036"/>
    </row>
    <row r="271" spans="1:105" x14ac:dyDescent="0.25">
      <c r="A271" s="2261" t="s">
        <v>98</v>
      </c>
      <c r="B271" s="2093" t="str">
        <f>IF(B28="","",B28)</f>
        <v>BPL78</v>
      </c>
      <c r="C271" s="2548">
        <v>5</v>
      </c>
      <c r="D271" s="1974"/>
      <c r="E271" s="1974">
        <v>216.20374685662037</v>
      </c>
      <c r="F271" s="1974"/>
      <c r="G271" s="1974">
        <v>2.307698187659115E-2</v>
      </c>
      <c r="H271" s="1974"/>
      <c r="I271" s="1974">
        <v>-3.3246040586220444</v>
      </c>
      <c r="J271" s="2027"/>
      <c r="K271" s="1974" t="s">
        <v>2997</v>
      </c>
      <c r="L271" s="1974" t="s">
        <v>2997</v>
      </c>
      <c r="M271" s="2026">
        <v>0.96199999999999997</v>
      </c>
      <c r="N271" s="2026">
        <v>0.96199999999999997</v>
      </c>
      <c r="O271" s="2026">
        <v>0.96199999999999997</v>
      </c>
      <c r="P271" s="2026">
        <v>0.96199999999999997</v>
      </c>
      <c r="Q271" s="2027">
        <f t="shared" si="129"/>
        <v>207.9880044760688</v>
      </c>
      <c r="R271" s="2027">
        <f t="shared" si="129"/>
        <v>207.9880044760688</v>
      </c>
      <c r="S271" s="2027">
        <f t="shared" si="129"/>
        <v>207.9880044760688</v>
      </c>
      <c r="T271" s="2027">
        <f t="shared" si="129"/>
        <v>207.9880044760688</v>
      </c>
      <c r="U271" s="2026">
        <v>0.96199999999999997</v>
      </c>
      <c r="V271" s="2026">
        <v>0.96199999999999997</v>
      </c>
      <c r="W271" s="2026">
        <v>0.96199999999999997</v>
      </c>
      <c r="X271" s="2026">
        <v>0.96199999999999997</v>
      </c>
      <c r="Y271" s="2028">
        <f t="shared" si="130"/>
        <v>2.2200056565280686E-2</v>
      </c>
      <c r="Z271" s="2028">
        <f t="shared" si="130"/>
        <v>2.2200056565280686E-2</v>
      </c>
      <c r="AA271" s="2028">
        <f t="shared" si="130"/>
        <v>2.2200056565280686E-2</v>
      </c>
      <c r="AB271" s="2028">
        <f t="shared" si="130"/>
        <v>2.2200056565280686E-2</v>
      </c>
      <c r="AC271" s="2026">
        <v>0.96199999999999997</v>
      </c>
      <c r="AD271" s="2026">
        <v>0.96199999999999997</v>
      </c>
      <c r="AE271" s="2026">
        <v>0.96199999999999997</v>
      </c>
      <c r="AF271" s="2026">
        <v>0.96199999999999997</v>
      </c>
      <c r="AG271" s="2027">
        <f t="shared" si="131"/>
        <v>-3.1982691043944067</v>
      </c>
      <c r="AH271" s="2027">
        <f t="shared" si="131"/>
        <v>-3.1982691043944067</v>
      </c>
      <c r="AI271" s="2027">
        <f t="shared" si="131"/>
        <v>-3.1982691043944067</v>
      </c>
      <c r="AJ271" s="2027">
        <f t="shared" si="131"/>
        <v>-3.1982691043944067</v>
      </c>
      <c r="AK271" s="2027">
        <v>92</v>
      </c>
      <c r="AL271" s="2027">
        <v>88</v>
      </c>
      <c r="AM271" s="2027">
        <v>91</v>
      </c>
      <c r="AN271" s="2027">
        <v>63</v>
      </c>
      <c r="AO271" s="2027">
        <f t="shared" si="116"/>
        <v>19134.896411798331</v>
      </c>
      <c r="AP271" s="2027">
        <f t="shared" si="117"/>
        <v>18302.944393894053</v>
      </c>
      <c r="AQ271" s="2027">
        <f t="shared" si="117"/>
        <v>18926.908407322262</v>
      </c>
      <c r="AR271" s="2027" t="s">
        <v>3286</v>
      </c>
      <c r="AS271" s="2027">
        <f t="shared" si="118"/>
        <v>13103.244281992334</v>
      </c>
      <c r="AT271" s="2027">
        <f t="shared" si="119"/>
        <v>-294.24075760428542</v>
      </c>
      <c r="AU271" s="2027">
        <f t="shared" si="120"/>
        <v>-281.44768118670777</v>
      </c>
      <c r="AV271" s="2027">
        <f t="shared" si="120"/>
        <v>-291.04248849989102</v>
      </c>
      <c r="AW271" s="2027">
        <f t="shared" si="120"/>
        <v>-201.49095357684763</v>
      </c>
      <c r="AX271" s="2124">
        <v>38</v>
      </c>
      <c r="AY271" s="2029">
        <v>38</v>
      </c>
      <c r="AZ271" s="2029">
        <v>38</v>
      </c>
      <c r="BA271" s="2029">
        <v>38</v>
      </c>
      <c r="BB271" s="2124">
        <v>0</v>
      </c>
      <c r="BC271" s="2029">
        <v>0</v>
      </c>
      <c r="BD271" s="2029">
        <v>0</v>
      </c>
      <c r="BE271" s="2029">
        <v>0</v>
      </c>
      <c r="BF271" s="2124">
        <v>30</v>
      </c>
      <c r="BG271" s="2029">
        <v>30</v>
      </c>
      <c r="BH271" s="2029">
        <v>30</v>
      </c>
      <c r="BI271" s="2029">
        <v>30</v>
      </c>
      <c r="BJ271" s="2030">
        <f t="shared" si="121"/>
        <v>3496</v>
      </c>
      <c r="BK271" s="2030">
        <f t="shared" si="121"/>
        <v>3344</v>
      </c>
      <c r="BL271" s="2030">
        <f t="shared" si="121"/>
        <v>3458</v>
      </c>
      <c r="BM271" s="2030"/>
      <c r="BN271" s="2030">
        <f t="shared" si="122"/>
        <v>2394</v>
      </c>
      <c r="BO271" s="2030">
        <f t="shared" si="123"/>
        <v>0</v>
      </c>
      <c r="BP271" s="2030"/>
      <c r="BQ271" s="2030">
        <f t="shared" si="124"/>
        <v>0</v>
      </c>
      <c r="BR271" s="2030">
        <f t="shared" si="124"/>
        <v>0</v>
      </c>
      <c r="BS271" s="2030">
        <f t="shared" si="124"/>
        <v>0</v>
      </c>
      <c r="BT271" s="2125"/>
      <c r="BU271" s="2125"/>
      <c r="BV271" s="2125"/>
      <c r="BW271" s="2125"/>
      <c r="BX271" s="2125"/>
      <c r="BY271" s="2125"/>
      <c r="BZ271" s="2125"/>
      <c r="CA271" s="2125"/>
      <c r="CB271" s="2029"/>
      <c r="CC271" s="2029"/>
      <c r="CD271" s="2029"/>
      <c r="CE271" s="2029"/>
      <c r="CF271" s="2029"/>
      <c r="CG271" s="2032"/>
      <c r="CH271" s="1974">
        <v>0</v>
      </c>
      <c r="CI271" s="1974">
        <v>0</v>
      </c>
      <c r="CJ271" s="1974">
        <v>0</v>
      </c>
      <c r="CK271" s="1974">
        <v>0</v>
      </c>
      <c r="CL271" s="1974">
        <v>0</v>
      </c>
      <c r="CM271" s="2033">
        <v>6.702994112589412E-5</v>
      </c>
      <c r="CN271" s="2026">
        <v>-9.9124067723421619E-5</v>
      </c>
      <c r="CO271" s="1974">
        <v>1</v>
      </c>
      <c r="CP271" s="2031">
        <v>-5.10948905109489</v>
      </c>
      <c r="CQ271" s="2031">
        <f t="shared" si="128"/>
        <v>5.10948905109489</v>
      </c>
      <c r="CR271" s="2026">
        <v>1</v>
      </c>
      <c r="CS271" s="2026">
        <v>1</v>
      </c>
      <c r="CT271" s="2026">
        <v>1</v>
      </c>
      <c r="CU271" s="2026">
        <v>1</v>
      </c>
      <c r="CV271" s="2036"/>
      <c r="CW271" s="2036"/>
      <c r="CX271" s="2036"/>
      <c r="CY271" s="2036"/>
      <c r="CZ271" s="2036"/>
      <c r="DA271" s="2036"/>
    </row>
    <row r="272" spans="1:105" x14ac:dyDescent="0.25">
      <c r="A272" s="2261" t="s">
        <v>99</v>
      </c>
      <c r="B272" s="2093" t="str">
        <f>IF(B29="","",B29)</f>
        <v xml:space="preserve">BPL82 </v>
      </c>
      <c r="C272" s="2548">
        <v>5</v>
      </c>
      <c r="D272" s="1974"/>
      <c r="E272" s="1974">
        <v>245.54224051147887</v>
      </c>
      <c r="F272" s="1974"/>
      <c r="G272" s="1974">
        <v>7.2381597011589693E-2</v>
      </c>
      <c r="H272" s="1974"/>
      <c r="I272" s="1974">
        <v>-2.483570128272278</v>
      </c>
      <c r="J272" s="2027"/>
      <c r="K272" s="1974" t="s">
        <v>2997</v>
      </c>
      <c r="L272" s="1974" t="s">
        <v>2997</v>
      </c>
      <c r="M272" s="2026">
        <v>0.96199999999999997</v>
      </c>
      <c r="N272" s="2026">
        <v>0.96199999999999997</v>
      </c>
      <c r="O272" s="2026">
        <v>0.96199999999999997</v>
      </c>
      <c r="P272" s="2026">
        <v>0.96199999999999997</v>
      </c>
      <c r="Q272" s="2027">
        <f t="shared" si="129"/>
        <v>236.21163537204265</v>
      </c>
      <c r="R272" s="2027">
        <f t="shared" si="129"/>
        <v>236.21163537204265</v>
      </c>
      <c r="S272" s="2027">
        <f t="shared" si="129"/>
        <v>236.21163537204265</v>
      </c>
      <c r="T272" s="2027">
        <f t="shared" si="129"/>
        <v>236.21163537204265</v>
      </c>
      <c r="U272" s="2026">
        <v>0.96199999999999997</v>
      </c>
      <c r="V272" s="2026">
        <v>0.96199999999999997</v>
      </c>
      <c r="W272" s="2026">
        <v>0.96199999999999997</v>
      </c>
      <c r="X272" s="2026">
        <v>0.96199999999999997</v>
      </c>
      <c r="Y272" s="2028">
        <f t="shared" si="130"/>
        <v>6.9631096325149286E-2</v>
      </c>
      <c r="Z272" s="2028">
        <f t="shared" si="130"/>
        <v>6.9631096325149286E-2</v>
      </c>
      <c r="AA272" s="2028">
        <f t="shared" si="130"/>
        <v>6.9631096325149286E-2</v>
      </c>
      <c r="AB272" s="2028">
        <f t="shared" si="130"/>
        <v>6.9631096325149286E-2</v>
      </c>
      <c r="AC272" s="2026">
        <v>0.96199999999999997</v>
      </c>
      <c r="AD272" s="2026">
        <v>0.96199999999999997</v>
      </c>
      <c r="AE272" s="2026">
        <v>0.96199999999999997</v>
      </c>
      <c r="AF272" s="2026">
        <v>0.96199999999999997</v>
      </c>
      <c r="AG272" s="2027">
        <f t="shared" si="131"/>
        <v>-2.3891944633979314</v>
      </c>
      <c r="AH272" s="2027">
        <f t="shared" si="131"/>
        <v>-2.3891944633979314</v>
      </c>
      <c r="AI272" s="2027">
        <f t="shared" si="131"/>
        <v>-2.3891944633979314</v>
      </c>
      <c r="AJ272" s="2027">
        <f t="shared" si="131"/>
        <v>-2.3891944633979314</v>
      </c>
      <c r="AK272" s="2027">
        <v>19</v>
      </c>
      <c r="AL272" s="2027">
        <v>44</v>
      </c>
      <c r="AM272" s="2027">
        <v>46</v>
      </c>
      <c r="AN272" s="2027">
        <v>36</v>
      </c>
      <c r="AO272" s="2027">
        <f t="shared" si="116"/>
        <v>4488.0210720688101</v>
      </c>
      <c r="AP272" s="2027">
        <f t="shared" si="117"/>
        <v>10393.311956369876</v>
      </c>
      <c r="AQ272" s="2027">
        <f t="shared" si="117"/>
        <v>10865.735227113963</v>
      </c>
      <c r="AR272" s="2027" t="s">
        <v>3286</v>
      </c>
      <c r="AS272" s="2027">
        <f t="shared" si="118"/>
        <v>8503.618873393536</v>
      </c>
      <c r="AT272" s="2027">
        <f t="shared" si="119"/>
        <v>-45.3946948045607</v>
      </c>
      <c r="AU272" s="2027">
        <f t="shared" si="120"/>
        <v>-105.12455638950898</v>
      </c>
      <c r="AV272" s="2027">
        <f t="shared" si="120"/>
        <v>-109.90294531630485</v>
      </c>
      <c r="AW272" s="2027">
        <f t="shared" si="120"/>
        <v>-86.01100068232553</v>
      </c>
      <c r="AX272" s="2124">
        <v>19</v>
      </c>
      <c r="AY272" s="2029">
        <v>19</v>
      </c>
      <c r="AZ272" s="2029">
        <v>19</v>
      </c>
      <c r="BA272" s="2029">
        <v>19</v>
      </c>
      <c r="BB272" s="2124">
        <v>0</v>
      </c>
      <c r="BC272" s="2029">
        <v>0</v>
      </c>
      <c r="BD272" s="2029">
        <v>0</v>
      </c>
      <c r="BE272" s="2029">
        <v>0</v>
      </c>
      <c r="BF272" s="2124">
        <v>30</v>
      </c>
      <c r="BG272" s="2029">
        <v>30</v>
      </c>
      <c r="BH272" s="2029">
        <v>30</v>
      </c>
      <c r="BI272" s="2029">
        <v>30</v>
      </c>
      <c r="BJ272" s="2030">
        <f t="shared" si="121"/>
        <v>361</v>
      </c>
      <c r="BK272" s="2030">
        <f t="shared" si="121"/>
        <v>836</v>
      </c>
      <c r="BL272" s="2030">
        <f t="shared" si="121"/>
        <v>874</v>
      </c>
      <c r="BM272" s="2030"/>
      <c r="BN272" s="2030">
        <f t="shared" si="122"/>
        <v>684</v>
      </c>
      <c r="BO272" s="2030">
        <f t="shared" si="123"/>
        <v>0</v>
      </c>
      <c r="BP272" s="2030"/>
      <c r="BQ272" s="2030">
        <f t="shared" si="124"/>
        <v>0</v>
      </c>
      <c r="BR272" s="2030">
        <f t="shared" si="124"/>
        <v>0</v>
      </c>
      <c r="BS272" s="2030">
        <f t="shared" si="124"/>
        <v>0</v>
      </c>
      <c r="BT272" s="2125"/>
      <c r="BU272" s="2125"/>
      <c r="BV272" s="2125"/>
      <c r="BW272" s="2125"/>
      <c r="BX272" s="2125"/>
      <c r="BY272" s="2125"/>
      <c r="BZ272" s="2125"/>
      <c r="CA272" s="2125"/>
      <c r="CB272" s="2029"/>
      <c r="CC272" s="2029"/>
      <c r="CD272" s="2029"/>
      <c r="CE272" s="2029"/>
      <c r="CF272" s="2029"/>
      <c r="CG272" s="2032"/>
      <c r="CH272" s="1974">
        <v>0</v>
      </c>
      <c r="CI272" s="1974">
        <v>0</v>
      </c>
      <c r="CJ272" s="1974">
        <v>0</v>
      </c>
      <c r="CK272" s="1974">
        <v>0</v>
      </c>
      <c r="CL272" s="1974">
        <v>0</v>
      </c>
      <c r="CM272" s="2033">
        <v>1.5371554585868896E-5</v>
      </c>
      <c r="CN272" s="2026">
        <v>-1.4952078486545563E-5</v>
      </c>
      <c r="CO272" s="1974">
        <v>1</v>
      </c>
      <c r="CP272" s="2031">
        <v>-5.10948905109489</v>
      </c>
      <c r="CQ272" s="2031">
        <f t="shared" si="128"/>
        <v>5.10948905109489</v>
      </c>
      <c r="CR272" s="2026">
        <v>1</v>
      </c>
      <c r="CS272" s="2026">
        <v>1</v>
      </c>
      <c r="CT272" s="2026">
        <v>1</v>
      </c>
      <c r="CU272" s="2026">
        <v>1</v>
      </c>
      <c r="CV272" s="2036"/>
      <c r="CW272" s="2036"/>
      <c r="CX272" s="2036"/>
      <c r="CY272" s="2036"/>
      <c r="CZ272" s="2036"/>
      <c r="DA272" s="2036"/>
    </row>
    <row r="273" spans="1:105" x14ac:dyDescent="0.25">
      <c r="A273" s="2261" t="s">
        <v>2883</v>
      </c>
      <c r="B273" s="2093" t="str">
        <f>IF(B30="","",B30)</f>
        <v>BPL67</v>
      </c>
      <c r="C273" s="1974">
        <v>15</v>
      </c>
      <c r="D273" s="1974">
        <v>1</v>
      </c>
      <c r="E273" s="1970">
        <f>F273*$CS273</f>
        <v>731.41972555287646</v>
      </c>
      <c r="F273" s="1974">
        <v>731.41972555287646</v>
      </c>
      <c r="G273" s="1970">
        <f>H273*$CS273</f>
        <v>0.12756038898084868</v>
      </c>
      <c r="H273" s="1974">
        <v>0.12756038898084868</v>
      </c>
      <c r="I273" s="1970">
        <f>J273*$CS273</f>
        <v>-12.323260536976173</v>
      </c>
      <c r="J273" s="1974">
        <v>-12.323260536976173</v>
      </c>
      <c r="K273" s="1974" t="s">
        <v>2997</v>
      </c>
      <c r="L273" s="1974" t="s">
        <v>2997</v>
      </c>
      <c r="M273" s="2026">
        <v>0.96199999999999997</v>
      </c>
      <c r="N273" s="2026">
        <v>0.96199999999999997</v>
      </c>
      <c r="O273" s="2026">
        <v>0.96199999999999997</v>
      </c>
      <c r="P273" s="2026">
        <v>0.96199999999999997</v>
      </c>
      <c r="Q273" s="2027">
        <f>$F273*M273</f>
        <v>703.62577598186715</v>
      </c>
      <c r="R273" s="2027">
        <f>$F273*N273</f>
        <v>703.62577598186715</v>
      </c>
      <c r="S273" s="2027">
        <f>$F273*O273</f>
        <v>703.62577598186715</v>
      </c>
      <c r="T273" s="2027">
        <f>$F273*P273</f>
        <v>703.62577598186715</v>
      </c>
      <c r="U273" s="2026">
        <v>0.96199999999999997</v>
      </c>
      <c r="V273" s="2026">
        <v>0.96199999999999997</v>
      </c>
      <c r="W273" s="2026">
        <v>0.96199999999999997</v>
      </c>
      <c r="X273" s="2026">
        <v>0.96199999999999997</v>
      </c>
      <c r="Y273" s="2028">
        <f>$H273*U273</f>
        <v>0.12271309419957642</v>
      </c>
      <c r="Z273" s="2028">
        <f>$H273*V273</f>
        <v>0.12271309419957642</v>
      </c>
      <c r="AA273" s="2028">
        <f>$H273*W273</f>
        <v>0.12271309419957642</v>
      </c>
      <c r="AB273" s="2028">
        <f>$H273*X273</f>
        <v>0.12271309419957642</v>
      </c>
      <c r="AC273" s="2026">
        <v>0.96199999999999997</v>
      </c>
      <c r="AD273" s="2026">
        <v>0.96199999999999997</v>
      </c>
      <c r="AE273" s="2026">
        <v>0.96199999999999997</v>
      </c>
      <c r="AF273" s="2026">
        <v>0.96199999999999997</v>
      </c>
      <c r="AG273" s="2027">
        <f>$J273*AC273</f>
        <v>-11.854976636571077</v>
      </c>
      <c r="AH273" s="2027">
        <f>$J273*AD273</f>
        <v>-11.854976636571077</v>
      </c>
      <c r="AI273" s="2027">
        <f>$J273*AE273</f>
        <v>-11.854976636571077</v>
      </c>
      <c r="AJ273" s="2027">
        <f>$J273*AF273</f>
        <v>-11.854976636571077</v>
      </c>
      <c r="AK273" s="2027">
        <v>17776</v>
      </c>
      <c r="AL273" s="2027"/>
      <c r="AM273" s="2027"/>
      <c r="AN273" s="2027"/>
      <c r="AO273" s="2027">
        <f t="shared" si="116"/>
        <v>12507651.79385367</v>
      </c>
      <c r="AP273" s="2027">
        <f t="shared" si="117"/>
        <v>0</v>
      </c>
      <c r="AQ273" s="2027">
        <f t="shared" si="117"/>
        <v>0</v>
      </c>
      <c r="AR273" s="2027" t="s">
        <v>3286</v>
      </c>
      <c r="AS273" s="2027">
        <f t="shared" si="118"/>
        <v>0</v>
      </c>
      <c r="AT273" s="2027">
        <f t="shared" si="119"/>
        <v>-210734.06469168747</v>
      </c>
      <c r="AU273" s="2027">
        <f t="shared" si="120"/>
        <v>0</v>
      </c>
      <c r="AV273" s="2027">
        <f t="shared" si="120"/>
        <v>0</v>
      </c>
      <c r="AW273" s="2027">
        <f t="shared" si="120"/>
        <v>0</v>
      </c>
      <c r="AX273" s="2124">
        <v>137.97751027115856</v>
      </c>
      <c r="AY273" s="2029">
        <v>137.97751027115856</v>
      </c>
      <c r="AZ273" s="2029">
        <v>137.97751027115856</v>
      </c>
      <c r="BA273" s="2029">
        <v>137.97751027115856</v>
      </c>
      <c r="BB273" s="2124">
        <v>0</v>
      </c>
      <c r="BC273" s="2029">
        <v>0</v>
      </c>
      <c r="BD273" s="2029">
        <v>0</v>
      </c>
      <c r="BE273" s="2029">
        <v>0</v>
      </c>
      <c r="BF273" s="2124">
        <v>266.88716398638337</v>
      </c>
      <c r="BG273" s="2029">
        <v>266.88716398638337</v>
      </c>
      <c r="BH273" s="2029">
        <v>266.88716398638337</v>
      </c>
      <c r="BI273" s="2029">
        <v>266.88716398638337</v>
      </c>
      <c r="BJ273" s="2030">
        <f t="shared" si="121"/>
        <v>2452688.2225801148</v>
      </c>
      <c r="BK273" s="2030">
        <f t="shared" si="121"/>
        <v>0</v>
      </c>
      <c r="BL273" s="2030">
        <f t="shared" si="121"/>
        <v>0</v>
      </c>
      <c r="BM273" s="2030"/>
      <c r="BN273" s="2030">
        <f t="shared" si="122"/>
        <v>0</v>
      </c>
      <c r="BO273" s="2030">
        <f t="shared" si="123"/>
        <v>0</v>
      </c>
      <c r="BP273" s="2030"/>
      <c r="BQ273" s="2030">
        <f t="shared" si="124"/>
        <v>0</v>
      </c>
      <c r="BR273" s="2030">
        <f t="shared" si="124"/>
        <v>0</v>
      </c>
      <c r="BS273" s="2030">
        <f t="shared" si="124"/>
        <v>0</v>
      </c>
      <c r="BT273" s="2125"/>
      <c r="BU273" s="2125"/>
      <c r="BV273" s="2125"/>
      <c r="BW273" s="2125"/>
      <c r="BX273" s="2125"/>
      <c r="BY273" s="2125"/>
      <c r="BZ273" s="2125"/>
      <c r="CA273" s="2125"/>
      <c r="CB273" s="2029"/>
      <c r="CC273" s="2029"/>
      <c r="CD273" s="2029"/>
      <c r="CE273" s="2029"/>
      <c r="CF273" s="2029"/>
      <c r="CG273" s="2032"/>
      <c r="CH273" s="1974">
        <v>0</v>
      </c>
      <c r="CI273" s="1974">
        <v>0</v>
      </c>
      <c r="CJ273" s="1974">
        <v>0</v>
      </c>
      <c r="CK273" s="1974">
        <v>0</v>
      </c>
      <c r="CL273" s="1974">
        <v>1</v>
      </c>
      <c r="CM273" s="2033">
        <v>8.7216557840835304E-2</v>
      </c>
      <c r="CN273" s="2026">
        <v>-0.14131604274137535</v>
      </c>
      <c r="CO273" s="1974">
        <v>1</v>
      </c>
      <c r="CP273" s="2031">
        <v>-5.387533986928104</v>
      </c>
      <c r="CQ273" s="2031">
        <f t="shared" si="128"/>
        <v>5.387533986928104</v>
      </c>
      <c r="CR273" s="2026">
        <v>1</v>
      </c>
      <c r="CS273" s="2026">
        <v>1</v>
      </c>
      <c r="CT273" s="2026">
        <v>0.91870005481454409</v>
      </c>
      <c r="CU273" s="2026">
        <v>0.91870005481454409</v>
      </c>
      <c r="CV273" s="2036"/>
      <c r="CW273" s="2036"/>
      <c r="CX273" s="2036"/>
      <c r="CY273" s="2036"/>
      <c r="CZ273" s="2036"/>
      <c r="DA273" s="2036"/>
    </row>
    <row r="274" spans="1:105" x14ac:dyDescent="0.25">
      <c r="A274" s="2261" t="s">
        <v>102</v>
      </c>
      <c r="B274" s="2093" t="str">
        <f>IF(B40="","",B40)</f>
        <v>BPC20</v>
      </c>
      <c r="C274" s="1974">
        <v>15</v>
      </c>
      <c r="D274" s="1974"/>
      <c r="E274" s="1974">
        <v>2235.4499999999998</v>
      </c>
      <c r="F274" s="1974"/>
      <c r="G274" s="1974">
        <v>0</v>
      </c>
      <c r="H274" s="1974"/>
      <c r="I274" s="1974">
        <v>0</v>
      </c>
      <c r="J274" s="2027"/>
      <c r="K274" s="1974" t="s">
        <v>2997</v>
      </c>
      <c r="L274" s="1974" t="s">
        <v>2997</v>
      </c>
      <c r="M274" s="2026">
        <v>0.96199999999999997</v>
      </c>
      <c r="N274" s="2026">
        <v>0.96199999999999997</v>
      </c>
      <c r="O274" s="2026">
        <v>0.96199999999999997</v>
      </c>
      <c r="P274" s="2026">
        <v>0.96199999999999997</v>
      </c>
      <c r="Q274" s="2027">
        <f t="shared" si="129"/>
        <v>2150.5029</v>
      </c>
      <c r="R274" s="2027">
        <f t="shared" si="129"/>
        <v>2150.5029</v>
      </c>
      <c r="S274" s="2027">
        <f t="shared" si="129"/>
        <v>2150.5029</v>
      </c>
      <c r="T274" s="2027">
        <f t="shared" si="129"/>
        <v>2150.5029</v>
      </c>
      <c r="U274" s="2026">
        <v>0.96199999999999997</v>
      </c>
      <c r="V274" s="2026">
        <v>0.96199999999999997</v>
      </c>
      <c r="W274" s="2026">
        <v>0.96199999999999997</v>
      </c>
      <c r="X274" s="2026">
        <v>0.96199999999999997</v>
      </c>
      <c r="Y274" s="2028">
        <f t="shared" si="130"/>
        <v>0</v>
      </c>
      <c r="Z274" s="2028">
        <f t="shared" si="130"/>
        <v>0</v>
      </c>
      <c r="AA274" s="2028">
        <f t="shared" si="130"/>
        <v>0</v>
      </c>
      <c r="AB274" s="2028">
        <f t="shared" si="130"/>
        <v>0</v>
      </c>
      <c r="AC274" s="2026">
        <v>0.96199999999999997</v>
      </c>
      <c r="AD274" s="2026">
        <v>0.96199999999999997</v>
      </c>
      <c r="AE274" s="2026">
        <v>0.96199999999999997</v>
      </c>
      <c r="AF274" s="2026">
        <v>0.96199999999999997</v>
      </c>
      <c r="AG274" s="2027">
        <f t="shared" si="131"/>
        <v>0</v>
      </c>
      <c r="AH274" s="2027">
        <f t="shared" si="131"/>
        <v>0</v>
      </c>
      <c r="AI274" s="2027">
        <f t="shared" si="131"/>
        <v>0</v>
      </c>
      <c r="AJ274" s="2027">
        <f t="shared" si="131"/>
        <v>0</v>
      </c>
      <c r="AK274" s="2027">
        <v>220</v>
      </c>
      <c r="AL274" s="2027">
        <v>222</v>
      </c>
      <c r="AM274" s="2027">
        <v>223</v>
      </c>
      <c r="AN274" s="2027">
        <v>225</v>
      </c>
      <c r="AO274" s="2027">
        <f t="shared" si="116"/>
        <v>473110.63799999998</v>
      </c>
      <c r="AP274" s="2027">
        <f t="shared" si="117"/>
        <v>477411.64379999996</v>
      </c>
      <c r="AQ274" s="2027">
        <f t="shared" si="117"/>
        <v>479562.14669999998</v>
      </c>
      <c r="AR274" s="2027" t="s">
        <v>3286</v>
      </c>
      <c r="AS274" s="2027">
        <f t="shared" si="118"/>
        <v>483863.15249999997</v>
      </c>
      <c r="AT274" s="2027">
        <f t="shared" si="119"/>
        <v>0</v>
      </c>
      <c r="AU274" s="2027">
        <f t="shared" si="120"/>
        <v>0</v>
      </c>
      <c r="AV274" s="2027">
        <f t="shared" si="120"/>
        <v>0</v>
      </c>
      <c r="AW274" s="2027">
        <f t="shared" si="120"/>
        <v>0</v>
      </c>
      <c r="AX274" s="2124">
        <v>180</v>
      </c>
      <c r="AY274" s="2029">
        <v>180</v>
      </c>
      <c r="AZ274" s="2029">
        <v>180</v>
      </c>
      <c r="BA274" s="2029">
        <v>180</v>
      </c>
      <c r="BB274" s="2124">
        <v>0</v>
      </c>
      <c r="BC274" s="2029">
        <v>0</v>
      </c>
      <c r="BD274" s="2029">
        <v>0</v>
      </c>
      <c r="BE274" s="2029">
        <v>0</v>
      </c>
      <c r="BF274" s="2124">
        <v>159.31</v>
      </c>
      <c r="BG274" s="2029">
        <v>159.31</v>
      </c>
      <c r="BH274" s="2029">
        <v>159.31</v>
      </c>
      <c r="BI274" s="2029">
        <v>159.31</v>
      </c>
      <c r="BJ274" s="2030">
        <f t="shared" si="121"/>
        <v>39600</v>
      </c>
      <c r="BK274" s="2030">
        <f t="shared" si="121"/>
        <v>39960</v>
      </c>
      <c r="BL274" s="2030">
        <f t="shared" si="121"/>
        <v>40140</v>
      </c>
      <c r="BM274" s="2030"/>
      <c r="BN274" s="2030">
        <f t="shared" si="122"/>
        <v>40500</v>
      </c>
      <c r="BO274" s="2030">
        <f t="shared" si="123"/>
        <v>0</v>
      </c>
      <c r="BP274" s="2030"/>
      <c r="BQ274" s="2030">
        <f t="shared" si="124"/>
        <v>0</v>
      </c>
      <c r="BR274" s="2030">
        <f t="shared" si="124"/>
        <v>0</v>
      </c>
      <c r="BS274" s="2030">
        <f t="shared" si="124"/>
        <v>0</v>
      </c>
      <c r="BT274" s="2125"/>
      <c r="BU274" s="2125"/>
      <c r="BV274" s="2125"/>
      <c r="BW274" s="2125"/>
      <c r="BX274" s="2125"/>
      <c r="BY274" s="2125"/>
      <c r="BZ274" s="2125"/>
      <c r="CA274" s="2125"/>
      <c r="CB274" s="2029"/>
      <c r="CC274" s="2029"/>
      <c r="CD274" s="2029"/>
      <c r="CE274" s="2029"/>
      <c r="CF274" s="2029"/>
      <c r="CG274" s="2032"/>
      <c r="CH274" s="1974">
        <v>0</v>
      </c>
      <c r="CI274" s="1974">
        <v>0</v>
      </c>
      <c r="CJ274" s="1974">
        <v>0</v>
      </c>
      <c r="CK274" s="1974">
        <v>0</v>
      </c>
      <c r="CL274" s="1974">
        <v>0</v>
      </c>
      <c r="CM274" s="2033">
        <v>2.1324910708736466E-3</v>
      </c>
      <c r="CN274" s="2026">
        <v>0</v>
      </c>
      <c r="CO274" s="1974">
        <v>0</v>
      </c>
      <c r="CP274" s="2031">
        <v>0</v>
      </c>
      <c r="CQ274" s="2031">
        <f t="shared" si="128"/>
        <v>0</v>
      </c>
      <c r="CR274" s="2026">
        <v>1</v>
      </c>
      <c r="CS274" s="2026">
        <v>1</v>
      </c>
      <c r="CT274" s="2026">
        <v>1</v>
      </c>
      <c r="CU274" s="2026">
        <v>1</v>
      </c>
      <c r="CV274" s="2036"/>
      <c r="CW274" s="2036"/>
      <c r="CX274" s="2036"/>
      <c r="CY274" s="2036"/>
      <c r="CZ274" s="2036"/>
      <c r="DA274" s="2036"/>
    </row>
    <row r="275" spans="1:105" x14ac:dyDescent="0.25">
      <c r="A275" s="2261" t="s">
        <v>222</v>
      </c>
      <c r="B275" s="2093" t="str">
        <f>IF(B44="","",B44)</f>
        <v>BPR9</v>
      </c>
      <c r="C275" s="1974">
        <v>5</v>
      </c>
      <c r="D275" s="1974"/>
      <c r="E275" s="1974">
        <v>1411.33</v>
      </c>
      <c r="F275" s="1974"/>
      <c r="G275" s="1974">
        <v>0</v>
      </c>
      <c r="H275" s="1974"/>
      <c r="I275" s="1974">
        <v>0</v>
      </c>
      <c r="J275" s="2027"/>
      <c r="K275" s="1974" t="s">
        <v>2997</v>
      </c>
      <c r="L275" s="1974" t="s">
        <v>2997</v>
      </c>
      <c r="M275" s="2026">
        <v>0.96199999999999997</v>
      </c>
      <c r="N275" s="2026">
        <v>0.96199999999999997</v>
      </c>
      <c r="O275" s="2026">
        <v>0.96199999999999997</v>
      </c>
      <c r="P275" s="2026">
        <v>0.96199999999999997</v>
      </c>
      <c r="Q275" s="2027">
        <f t="shared" si="129"/>
        <v>1357.6994599999998</v>
      </c>
      <c r="R275" s="2027">
        <f t="shared" si="129"/>
        <v>1357.6994599999998</v>
      </c>
      <c r="S275" s="2027">
        <f t="shared" si="129"/>
        <v>1357.6994599999998</v>
      </c>
      <c r="T275" s="2027">
        <f t="shared" si="129"/>
        <v>1357.6994599999998</v>
      </c>
      <c r="U275" s="2026">
        <v>0.96199999999999997</v>
      </c>
      <c r="V275" s="2026">
        <v>0.96199999999999997</v>
      </c>
      <c r="W275" s="2026">
        <v>0.96199999999999997</v>
      </c>
      <c r="X275" s="2026">
        <v>0.96199999999999997</v>
      </c>
      <c r="Y275" s="2028">
        <f t="shared" si="130"/>
        <v>0</v>
      </c>
      <c r="Z275" s="2028">
        <f t="shared" si="130"/>
        <v>0</v>
      </c>
      <c r="AA275" s="2028">
        <f t="shared" si="130"/>
        <v>0</v>
      </c>
      <c r="AB275" s="2028">
        <f t="shared" si="130"/>
        <v>0</v>
      </c>
      <c r="AC275" s="2026">
        <v>0.96199999999999997</v>
      </c>
      <c r="AD275" s="2026">
        <v>0.96199999999999997</v>
      </c>
      <c r="AE275" s="2026">
        <v>0.96199999999999997</v>
      </c>
      <c r="AF275" s="2026">
        <v>0.96199999999999997</v>
      </c>
      <c r="AG275" s="2027">
        <f t="shared" si="131"/>
        <v>0</v>
      </c>
      <c r="AH275" s="2027">
        <f t="shared" si="131"/>
        <v>0</v>
      </c>
      <c r="AI275" s="2027">
        <f t="shared" si="131"/>
        <v>0</v>
      </c>
      <c r="AJ275" s="2027">
        <f t="shared" si="131"/>
        <v>0</v>
      </c>
      <c r="AK275" s="2027">
        <v>10</v>
      </c>
      <c r="AL275" s="2027">
        <v>11</v>
      </c>
      <c r="AM275" s="2027">
        <v>11</v>
      </c>
      <c r="AN275" s="2027">
        <v>11</v>
      </c>
      <c r="AO275" s="2027">
        <f t="shared" si="116"/>
        <v>13576.994599999998</v>
      </c>
      <c r="AP275" s="2027">
        <f t="shared" si="117"/>
        <v>14934.694059999998</v>
      </c>
      <c r="AQ275" s="2027">
        <f t="shared" si="117"/>
        <v>14934.694059999998</v>
      </c>
      <c r="AR275" s="2027" t="s">
        <v>3286</v>
      </c>
      <c r="AS275" s="2027">
        <f t="shared" si="118"/>
        <v>14934.694059999998</v>
      </c>
      <c r="AT275" s="2027">
        <f t="shared" si="119"/>
        <v>0</v>
      </c>
      <c r="AU275" s="2027">
        <f t="shared" si="120"/>
        <v>0</v>
      </c>
      <c r="AV275" s="2027">
        <f t="shared" si="120"/>
        <v>0</v>
      </c>
      <c r="AW275" s="2027">
        <f t="shared" si="120"/>
        <v>0</v>
      </c>
      <c r="AX275" s="2124">
        <v>175</v>
      </c>
      <c r="AY275" s="2029">
        <v>175</v>
      </c>
      <c r="AZ275" s="2029">
        <v>175</v>
      </c>
      <c r="BA275" s="2029">
        <v>175</v>
      </c>
      <c r="BB275" s="2124">
        <v>0</v>
      </c>
      <c r="BC275" s="2029">
        <v>0</v>
      </c>
      <c r="BD275" s="2029">
        <v>0</v>
      </c>
      <c r="BE275" s="2029">
        <v>0</v>
      </c>
      <c r="BF275" s="2124">
        <v>180</v>
      </c>
      <c r="BG275" s="2029">
        <v>180</v>
      </c>
      <c r="BH275" s="2029">
        <v>180</v>
      </c>
      <c r="BI275" s="2029">
        <v>180</v>
      </c>
      <c r="BJ275" s="2030">
        <f t="shared" si="121"/>
        <v>1750</v>
      </c>
      <c r="BK275" s="2030">
        <f t="shared" si="121"/>
        <v>1925</v>
      </c>
      <c r="BL275" s="2030">
        <f t="shared" si="121"/>
        <v>1925</v>
      </c>
      <c r="BM275" s="2030"/>
      <c r="BN275" s="2030">
        <f t="shared" si="122"/>
        <v>1925</v>
      </c>
      <c r="BO275" s="2030">
        <f t="shared" si="123"/>
        <v>0</v>
      </c>
      <c r="BP275" s="2030"/>
      <c r="BQ275" s="2030">
        <f t="shared" si="124"/>
        <v>0</v>
      </c>
      <c r="BR275" s="2030">
        <f t="shared" si="124"/>
        <v>0</v>
      </c>
      <c r="BS275" s="2030">
        <f t="shared" si="124"/>
        <v>0</v>
      </c>
      <c r="BT275" s="2125"/>
      <c r="BU275" s="2125"/>
      <c r="BV275" s="2125"/>
      <c r="BW275" s="2125"/>
      <c r="BX275" s="2125"/>
      <c r="BY275" s="2125"/>
      <c r="BZ275" s="2125"/>
      <c r="CA275" s="2125"/>
      <c r="CB275" s="2029"/>
      <c r="CC275" s="2029"/>
      <c r="CD275" s="2029"/>
      <c r="CE275" s="2029"/>
      <c r="CF275" s="2029"/>
      <c r="CG275" s="2032"/>
      <c r="CH275" s="1974">
        <v>0</v>
      </c>
      <c r="CI275" s="1974">
        <v>0</v>
      </c>
      <c r="CJ275" s="1974">
        <v>0</v>
      </c>
      <c r="CK275" s="1974">
        <v>0</v>
      </c>
      <c r="CL275" s="1974">
        <v>0</v>
      </c>
      <c r="CM275" s="2033">
        <v>4.6280020316962384E-5</v>
      </c>
      <c r="CN275" s="2026">
        <v>0</v>
      </c>
      <c r="CO275" s="1974">
        <v>0</v>
      </c>
      <c r="CP275" s="2031">
        <v>0</v>
      </c>
      <c r="CQ275" s="2031">
        <f t="shared" si="128"/>
        <v>0</v>
      </c>
      <c r="CR275" s="2026">
        <v>1</v>
      </c>
      <c r="CS275" s="2026">
        <v>1</v>
      </c>
      <c r="CT275" s="2026">
        <v>1</v>
      </c>
      <c r="CU275" s="2026">
        <v>1</v>
      </c>
      <c r="CV275" s="2036"/>
      <c r="CW275" s="2036"/>
      <c r="CX275" s="2036"/>
      <c r="CY275" s="2036"/>
      <c r="CZ275" s="2036"/>
      <c r="DA275" s="2036"/>
    </row>
    <row r="276" spans="1:105" x14ac:dyDescent="0.25">
      <c r="A276" s="2261" t="s">
        <v>223</v>
      </c>
      <c r="B276" s="2093" t="str">
        <f>IF(B45="","",B45)</f>
        <v>BPR10</v>
      </c>
      <c r="C276" s="1974">
        <v>5</v>
      </c>
      <c r="D276" s="1974"/>
      <c r="E276" s="1974">
        <v>342.75</v>
      </c>
      <c r="F276" s="1974"/>
      <c r="G276" s="1974">
        <v>0</v>
      </c>
      <c r="H276" s="1974"/>
      <c r="I276" s="1974">
        <v>0</v>
      </c>
      <c r="J276" s="2027"/>
      <c r="K276" s="1974" t="s">
        <v>2997</v>
      </c>
      <c r="L276" s="1974" t="s">
        <v>2997</v>
      </c>
      <c r="M276" s="2026">
        <v>0.96199999999999997</v>
      </c>
      <c r="N276" s="2026">
        <v>0.96199999999999997</v>
      </c>
      <c r="O276" s="2026">
        <v>0.96199999999999997</v>
      </c>
      <c r="P276" s="2026">
        <v>0.96199999999999997</v>
      </c>
      <c r="Q276" s="2027">
        <f t="shared" si="129"/>
        <v>329.72550000000001</v>
      </c>
      <c r="R276" s="2027">
        <f t="shared" si="129"/>
        <v>329.72550000000001</v>
      </c>
      <c r="S276" s="2027">
        <f t="shared" si="129"/>
        <v>329.72550000000001</v>
      </c>
      <c r="T276" s="2027">
        <f t="shared" si="129"/>
        <v>329.72550000000001</v>
      </c>
      <c r="U276" s="2026">
        <v>0.96199999999999997</v>
      </c>
      <c r="V276" s="2026">
        <v>0.96199999999999997</v>
      </c>
      <c r="W276" s="2026">
        <v>0.96199999999999997</v>
      </c>
      <c r="X276" s="2026">
        <v>0.96199999999999997</v>
      </c>
      <c r="Y276" s="2028">
        <f t="shared" si="130"/>
        <v>0</v>
      </c>
      <c r="Z276" s="2028">
        <f t="shared" si="130"/>
        <v>0</v>
      </c>
      <c r="AA276" s="2028">
        <f t="shared" si="130"/>
        <v>0</v>
      </c>
      <c r="AB276" s="2028">
        <f t="shared" si="130"/>
        <v>0</v>
      </c>
      <c r="AC276" s="2026">
        <v>0.96199999999999997</v>
      </c>
      <c r="AD276" s="2026">
        <v>0.96199999999999997</v>
      </c>
      <c r="AE276" s="2026">
        <v>0.96199999999999997</v>
      </c>
      <c r="AF276" s="2026">
        <v>0.96199999999999997</v>
      </c>
      <c r="AG276" s="2027">
        <f t="shared" si="131"/>
        <v>0</v>
      </c>
      <c r="AH276" s="2027">
        <f t="shared" si="131"/>
        <v>0</v>
      </c>
      <c r="AI276" s="2027">
        <f t="shared" si="131"/>
        <v>0</v>
      </c>
      <c r="AJ276" s="2027">
        <f t="shared" si="131"/>
        <v>0</v>
      </c>
      <c r="AK276" s="2027">
        <v>6</v>
      </c>
      <c r="AL276" s="2027">
        <v>7</v>
      </c>
      <c r="AM276" s="2027">
        <v>7</v>
      </c>
      <c r="AN276" s="2027">
        <v>7</v>
      </c>
      <c r="AO276" s="2027">
        <f t="shared" si="116"/>
        <v>1978.3530000000001</v>
      </c>
      <c r="AP276" s="2027">
        <f t="shared" si="117"/>
        <v>2308.0785000000001</v>
      </c>
      <c r="AQ276" s="2027">
        <f t="shared" si="117"/>
        <v>2308.0785000000001</v>
      </c>
      <c r="AR276" s="2027" t="s">
        <v>3286</v>
      </c>
      <c r="AS276" s="2027">
        <f t="shared" si="118"/>
        <v>2308.0785000000001</v>
      </c>
      <c r="AT276" s="2027">
        <f t="shared" si="119"/>
        <v>0</v>
      </c>
      <c r="AU276" s="2027">
        <f t="shared" si="120"/>
        <v>0</v>
      </c>
      <c r="AV276" s="2027">
        <f t="shared" si="120"/>
        <v>0</v>
      </c>
      <c r="AW276" s="2027">
        <f t="shared" si="120"/>
        <v>0</v>
      </c>
      <c r="AX276" s="2124">
        <v>75</v>
      </c>
      <c r="AY276" s="2029">
        <v>75</v>
      </c>
      <c r="AZ276" s="2029">
        <v>75</v>
      </c>
      <c r="BA276" s="2029">
        <v>75</v>
      </c>
      <c r="BB276" s="2124">
        <v>0</v>
      </c>
      <c r="BC276" s="2029">
        <v>0</v>
      </c>
      <c r="BD276" s="2029">
        <v>0</v>
      </c>
      <c r="BE276" s="2029">
        <v>0</v>
      </c>
      <c r="BF276" s="2124">
        <v>80</v>
      </c>
      <c r="BG276" s="2029">
        <v>80</v>
      </c>
      <c r="BH276" s="2029">
        <v>80</v>
      </c>
      <c r="BI276" s="2029">
        <v>80</v>
      </c>
      <c r="BJ276" s="2030">
        <f t="shared" si="121"/>
        <v>450</v>
      </c>
      <c r="BK276" s="2030">
        <f t="shared" si="121"/>
        <v>525</v>
      </c>
      <c r="BL276" s="2030">
        <f t="shared" si="121"/>
        <v>525</v>
      </c>
      <c r="BM276" s="2030"/>
      <c r="BN276" s="2030">
        <f t="shared" si="122"/>
        <v>525</v>
      </c>
      <c r="BO276" s="2030">
        <f t="shared" si="123"/>
        <v>0</v>
      </c>
      <c r="BP276" s="2030"/>
      <c r="BQ276" s="2030">
        <f t="shared" si="124"/>
        <v>0</v>
      </c>
      <c r="BR276" s="2030">
        <f t="shared" si="124"/>
        <v>0</v>
      </c>
      <c r="BS276" s="2030">
        <f t="shared" si="124"/>
        <v>0</v>
      </c>
      <c r="BT276" s="2125"/>
      <c r="BU276" s="2125"/>
      <c r="BV276" s="2125"/>
      <c r="BW276" s="2125"/>
      <c r="BX276" s="2125"/>
      <c r="BY276" s="2125"/>
      <c r="BZ276" s="2125"/>
      <c r="CA276" s="2125"/>
      <c r="CB276" s="2029"/>
      <c r="CC276" s="2029"/>
      <c r="CD276" s="2029"/>
      <c r="CE276" s="2029"/>
      <c r="CF276" s="2029"/>
      <c r="CG276" s="2032"/>
      <c r="CH276" s="1974">
        <v>0</v>
      </c>
      <c r="CI276" s="1974">
        <v>0</v>
      </c>
      <c r="CJ276" s="1974">
        <v>0</v>
      </c>
      <c r="CK276" s="1974">
        <v>0</v>
      </c>
      <c r="CL276" s="1974">
        <v>0</v>
      </c>
      <c r="CM276" s="2033">
        <v>6.1305719866968269E-6</v>
      </c>
      <c r="CN276" s="2026">
        <v>0</v>
      </c>
      <c r="CO276" s="1974">
        <v>0</v>
      </c>
      <c r="CP276" s="2031">
        <v>0</v>
      </c>
      <c r="CQ276" s="2031">
        <f t="shared" si="128"/>
        <v>0</v>
      </c>
      <c r="CR276" s="2026">
        <v>1</v>
      </c>
      <c r="CS276" s="2026">
        <v>1</v>
      </c>
      <c r="CT276" s="2026">
        <v>1</v>
      </c>
      <c r="CU276" s="2026">
        <v>1</v>
      </c>
      <c r="CV276" s="2036"/>
      <c r="CW276" s="2036"/>
      <c r="CX276" s="2036"/>
      <c r="CY276" s="2036"/>
      <c r="CZ276" s="2036"/>
      <c r="DA276" s="2036"/>
    </row>
    <row r="277" spans="1:105" x14ac:dyDescent="0.25">
      <c r="A277" s="2132" t="s">
        <v>128</v>
      </c>
      <c r="B277" s="2093" t="str">
        <f>IF(B75="","",B75)</f>
        <v>BPC20</v>
      </c>
      <c r="C277" s="1974">
        <v>15</v>
      </c>
      <c r="D277" s="1974"/>
      <c r="E277" s="1974">
        <v>740.87800000000004</v>
      </c>
      <c r="F277" s="1974"/>
      <c r="G277" s="1974">
        <v>0.18777586019093728</v>
      </c>
      <c r="H277" s="1974"/>
      <c r="I277" s="1974">
        <v>0</v>
      </c>
      <c r="J277" s="2027"/>
      <c r="K277" s="1974" t="s">
        <v>2997</v>
      </c>
      <c r="L277" s="1974" t="s">
        <v>2997</v>
      </c>
      <c r="M277" s="2026">
        <v>0.96199999999999997</v>
      </c>
      <c r="N277" s="2026">
        <v>0.96199999999999997</v>
      </c>
      <c r="O277" s="2026">
        <v>0.96199999999999997</v>
      </c>
      <c r="P277" s="2026">
        <v>0.96199999999999997</v>
      </c>
      <c r="Q277" s="2027">
        <f t="shared" ref="Q277:T292" si="139">$E277*M277</f>
        <v>712.72463600000003</v>
      </c>
      <c r="R277" s="2027">
        <f t="shared" si="139"/>
        <v>712.72463600000003</v>
      </c>
      <c r="S277" s="2027">
        <f t="shared" si="139"/>
        <v>712.72463600000003</v>
      </c>
      <c r="T277" s="2027">
        <f t="shared" si="139"/>
        <v>712.72463600000003</v>
      </c>
      <c r="U277" s="2026">
        <v>0.96199999999999997</v>
      </c>
      <c r="V277" s="2026">
        <v>0.96199999999999997</v>
      </c>
      <c r="W277" s="2026">
        <v>0.96199999999999997</v>
      </c>
      <c r="X277" s="2026">
        <v>0.96199999999999997</v>
      </c>
      <c r="Y277" s="2028">
        <f t="shared" ref="Y277:AB292" si="140">$G277*U277</f>
        <v>0.18064037750368167</v>
      </c>
      <c r="Z277" s="2028">
        <f t="shared" si="140"/>
        <v>0.18064037750368167</v>
      </c>
      <c r="AA277" s="2028">
        <f t="shared" si="140"/>
        <v>0.18064037750368167</v>
      </c>
      <c r="AB277" s="2028">
        <f t="shared" si="140"/>
        <v>0.18064037750368167</v>
      </c>
      <c r="AC277" s="2026">
        <v>0.96199999999999997</v>
      </c>
      <c r="AD277" s="2026">
        <v>0.96199999999999997</v>
      </c>
      <c r="AE277" s="2026">
        <v>0.96199999999999997</v>
      </c>
      <c r="AF277" s="2026">
        <v>0.96199999999999997</v>
      </c>
      <c r="AG277" s="2027">
        <f t="shared" ref="AG277:AJ292" si="141">$I277*AC277</f>
        <v>0</v>
      </c>
      <c r="AH277" s="2027">
        <f t="shared" si="141"/>
        <v>0</v>
      </c>
      <c r="AI277" s="2027">
        <f t="shared" si="141"/>
        <v>0</v>
      </c>
      <c r="AJ277" s="2027">
        <f t="shared" si="141"/>
        <v>0</v>
      </c>
      <c r="AK277" s="2027">
        <v>394</v>
      </c>
      <c r="AL277" s="2027">
        <v>398</v>
      </c>
      <c r="AM277" s="2027">
        <v>401</v>
      </c>
      <c r="AN277" s="2027">
        <v>403</v>
      </c>
      <c r="AO277" s="2027">
        <f t="shared" si="116"/>
        <v>280813.50658400002</v>
      </c>
      <c r="AP277" s="2027">
        <f t="shared" si="117"/>
        <v>283664.40512800001</v>
      </c>
      <c r="AQ277" s="2027">
        <f t="shared" si="117"/>
        <v>285802.57903600001</v>
      </c>
      <c r="AR277" s="2027" t="s">
        <v>3286</v>
      </c>
      <c r="AS277" s="2027">
        <f t="shared" si="118"/>
        <v>287228.02830800001</v>
      </c>
      <c r="AT277" s="2027">
        <f t="shared" si="119"/>
        <v>0</v>
      </c>
      <c r="AU277" s="2027">
        <f t="shared" si="120"/>
        <v>0</v>
      </c>
      <c r="AV277" s="2027">
        <f t="shared" si="120"/>
        <v>0</v>
      </c>
      <c r="AW277" s="2027">
        <f t="shared" si="120"/>
        <v>0</v>
      </c>
      <c r="AX277" s="2124">
        <v>180</v>
      </c>
      <c r="AY277" s="2029">
        <v>180</v>
      </c>
      <c r="AZ277" s="2029">
        <v>180</v>
      </c>
      <c r="BA277" s="2029">
        <v>180</v>
      </c>
      <c r="BB277" s="2124">
        <v>0</v>
      </c>
      <c r="BC277" s="2029">
        <v>0</v>
      </c>
      <c r="BD277" s="2029">
        <v>0</v>
      </c>
      <c r="BE277" s="2029">
        <v>0</v>
      </c>
      <c r="BF277" s="2124">
        <v>159.31</v>
      </c>
      <c r="BG277" s="2029">
        <v>159.31</v>
      </c>
      <c r="BH277" s="2029">
        <v>159.31</v>
      </c>
      <c r="BI277" s="2029">
        <v>159.31</v>
      </c>
      <c r="BJ277" s="2030">
        <f t="shared" si="121"/>
        <v>70920</v>
      </c>
      <c r="BK277" s="2030">
        <f t="shared" si="121"/>
        <v>71640</v>
      </c>
      <c r="BL277" s="2030">
        <f t="shared" si="121"/>
        <v>72180</v>
      </c>
      <c r="BM277" s="2030"/>
      <c r="BN277" s="2030">
        <f t="shared" si="122"/>
        <v>72540</v>
      </c>
      <c r="BO277" s="2030">
        <f t="shared" si="123"/>
        <v>0</v>
      </c>
      <c r="BP277" s="2030"/>
      <c r="BQ277" s="2030">
        <f t="shared" si="124"/>
        <v>0</v>
      </c>
      <c r="BR277" s="2030">
        <f t="shared" si="124"/>
        <v>0</v>
      </c>
      <c r="BS277" s="2030">
        <f t="shared" si="124"/>
        <v>0</v>
      </c>
      <c r="BT277" s="2125"/>
      <c r="BU277" s="2125"/>
      <c r="BV277" s="2125"/>
      <c r="BW277" s="2125"/>
      <c r="BX277" s="2125"/>
      <c r="BY277" s="2125"/>
      <c r="BZ277" s="2125"/>
      <c r="CA277" s="2125"/>
      <c r="CB277" s="2029"/>
      <c r="CC277" s="2029"/>
      <c r="CD277" s="2029"/>
      <c r="CE277" s="2029"/>
      <c r="CF277" s="2029"/>
      <c r="CG277" s="2032"/>
      <c r="CH277" s="1974">
        <v>0</v>
      </c>
      <c r="CI277" s="1974">
        <v>0</v>
      </c>
      <c r="CJ277" s="1974">
        <v>0</v>
      </c>
      <c r="CK277" s="1974">
        <v>0</v>
      </c>
      <c r="CL277" s="1974">
        <v>0</v>
      </c>
      <c r="CM277" s="2033">
        <v>1.0601326710103509E-3</v>
      </c>
      <c r="CN277" s="2026">
        <v>0</v>
      </c>
      <c r="CO277" s="1974">
        <v>0</v>
      </c>
      <c r="CP277" s="2031">
        <v>0</v>
      </c>
      <c r="CQ277" s="2031">
        <f t="shared" si="128"/>
        <v>0</v>
      </c>
      <c r="CR277" s="2026">
        <v>1</v>
      </c>
      <c r="CS277" s="2026">
        <v>1</v>
      </c>
      <c r="CT277" s="2026">
        <v>1</v>
      </c>
      <c r="CU277" s="2026">
        <v>1</v>
      </c>
      <c r="CV277" s="2036"/>
      <c r="CW277" s="2036"/>
      <c r="CX277" s="2036"/>
      <c r="CY277" s="2036"/>
      <c r="CZ277" s="2036"/>
      <c r="DA277" s="2036"/>
    </row>
    <row r="278" spans="1:105" x14ac:dyDescent="0.25">
      <c r="A278" s="2261" t="s">
        <v>141</v>
      </c>
      <c r="B278" s="2093" t="str">
        <f>IF(B102="","",B102)</f>
        <v/>
      </c>
      <c r="C278" s="1974">
        <v>20</v>
      </c>
      <c r="D278" s="1974"/>
      <c r="E278" s="1974">
        <v>0</v>
      </c>
      <c r="F278" s="1974"/>
      <c r="G278" s="1974">
        <v>0</v>
      </c>
      <c r="H278" s="1974"/>
      <c r="I278" s="1974">
        <v>1356</v>
      </c>
      <c r="J278" s="2027"/>
      <c r="K278" s="1974" t="s">
        <v>2997</v>
      </c>
      <c r="L278" s="1974" t="s">
        <v>2997</v>
      </c>
      <c r="M278" s="2026">
        <v>0.96199999999999997</v>
      </c>
      <c r="N278" s="2026">
        <v>0.96199999999999997</v>
      </c>
      <c r="O278" s="2026">
        <v>0.96199999999999997</v>
      </c>
      <c r="P278" s="2026">
        <v>0.96199999999999997</v>
      </c>
      <c r="Q278" s="2027">
        <f t="shared" si="139"/>
        <v>0</v>
      </c>
      <c r="R278" s="2027">
        <f t="shared" si="139"/>
        <v>0</v>
      </c>
      <c r="S278" s="2027">
        <f t="shared" si="139"/>
        <v>0</v>
      </c>
      <c r="T278" s="2027">
        <f t="shared" si="139"/>
        <v>0</v>
      </c>
      <c r="U278" s="2026">
        <v>0.96199999999999997</v>
      </c>
      <c r="V278" s="2026">
        <v>0.96199999999999997</v>
      </c>
      <c r="W278" s="2026">
        <v>0.96199999999999997</v>
      </c>
      <c r="X278" s="2026">
        <v>0.96199999999999997</v>
      </c>
      <c r="Y278" s="2028">
        <f t="shared" si="140"/>
        <v>0</v>
      </c>
      <c r="Z278" s="2028">
        <f t="shared" si="140"/>
        <v>0</v>
      </c>
      <c r="AA278" s="2028">
        <f t="shared" si="140"/>
        <v>0</v>
      </c>
      <c r="AB278" s="2028">
        <f t="shared" si="140"/>
        <v>0</v>
      </c>
      <c r="AC278" s="2026">
        <v>0.96199999999999997</v>
      </c>
      <c r="AD278" s="2026">
        <v>0.96199999999999997</v>
      </c>
      <c r="AE278" s="2026">
        <v>0.96199999999999997</v>
      </c>
      <c r="AF278" s="2026">
        <v>0.96199999999999997</v>
      </c>
      <c r="AG278" s="2027">
        <f t="shared" si="141"/>
        <v>1304.472</v>
      </c>
      <c r="AH278" s="2027">
        <f t="shared" si="141"/>
        <v>1304.472</v>
      </c>
      <c r="AI278" s="2027">
        <f t="shared" si="141"/>
        <v>1304.472</v>
      </c>
      <c r="AJ278" s="2027">
        <f t="shared" si="141"/>
        <v>1304.472</v>
      </c>
      <c r="AK278" s="2027">
        <v>27</v>
      </c>
      <c r="AL278" s="2027">
        <v>22</v>
      </c>
      <c r="AM278" s="2027">
        <v>24</v>
      </c>
      <c r="AN278" s="2027">
        <v>24</v>
      </c>
      <c r="AO278" s="2027">
        <f t="shared" si="116"/>
        <v>0</v>
      </c>
      <c r="AP278" s="2027">
        <f t="shared" si="117"/>
        <v>0</v>
      </c>
      <c r="AQ278" s="2027">
        <f t="shared" si="117"/>
        <v>0</v>
      </c>
      <c r="AR278" s="2027" t="s">
        <v>3286</v>
      </c>
      <c r="AS278" s="2027">
        <f t="shared" si="118"/>
        <v>0</v>
      </c>
      <c r="AT278" s="2027">
        <f t="shared" si="119"/>
        <v>35220.743999999999</v>
      </c>
      <c r="AU278" s="2027">
        <f t="shared" si="120"/>
        <v>28698.383999999998</v>
      </c>
      <c r="AV278" s="2027">
        <f t="shared" si="120"/>
        <v>31307.328000000001</v>
      </c>
      <c r="AW278" s="2027">
        <f t="shared" si="120"/>
        <v>31307.328000000001</v>
      </c>
      <c r="AX278" s="2124">
        <v>0</v>
      </c>
      <c r="AY278" s="2029">
        <v>0</v>
      </c>
      <c r="AZ278" s="2029">
        <v>0</v>
      </c>
      <c r="BA278" s="2029">
        <v>0</v>
      </c>
      <c r="BB278" s="2124">
        <v>960</v>
      </c>
      <c r="BC278" s="2029">
        <v>960</v>
      </c>
      <c r="BD278" s="2029">
        <v>960</v>
      </c>
      <c r="BE278" s="2029">
        <v>960</v>
      </c>
      <c r="BF278" s="2124">
        <v>612</v>
      </c>
      <c r="BG278" s="2029">
        <v>612</v>
      </c>
      <c r="BH278" s="2029">
        <v>612</v>
      </c>
      <c r="BI278" s="2029">
        <v>612</v>
      </c>
      <c r="BJ278" s="2030">
        <f t="shared" si="121"/>
        <v>0</v>
      </c>
      <c r="BK278" s="2030">
        <f t="shared" si="121"/>
        <v>0</v>
      </c>
      <c r="BL278" s="2030">
        <f t="shared" si="121"/>
        <v>0</v>
      </c>
      <c r="BM278" s="2030"/>
      <c r="BN278" s="2030">
        <f t="shared" si="122"/>
        <v>0</v>
      </c>
      <c r="BO278" s="2030">
        <f t="shared" si="123"/>
        <v>25920</v>
      </c>
      <c r="BP278" s="2030"/>
      <c r="BQ278" s="2030">
        <f t="shared" si="124"/>
        <v>21120</v>
      </c>
      <c r="BR278" s="2030">
        <f t="shared" si="124"/>
        <v>23040</v>
      </c>
      <c r="BS278" s="2030">
        <f t="shared" si="124"/>
        <v>23040</v>
      </c>
      <c r="BT278" s="2125"/>
      <c r="BU278" s="2125"/>
      <c r="BV278" s="2125"/>
      <c r="BW278" s="2125"/>
      <c r="BX278" s="2125"/>
      <c r="BY278" s="2125"/>
      <c r="BZ278" s="2125"/>
      <c r="CA278" s="2125"/>
      <c r="CB278" s="2029"/>
      <c r="CC278" s="2029"/>
      <c r="CD278" s="2029"/>
      <c r="CE278" s="2029"/>
      <c r="CF278" s="2029"/>
      <c r="CG278" s="2032"/>
      <c r="CH278" s="1974">
        <v>0</v>
      </c>
      <c r="CI278" s="1974">
        <v>0</v>
      </c>
      <c r="CJ278" s="1974">
        <v>0</v>
      </c>
      <c r="CK278" s="1974">
        <v>0</v>
      </c>
      <c r="CL278" s="1974">
        <v>0</v>
      </c>
      <c r="CM278" s="2033">
        <v>0</v>
      </c>
      <c r="CN278" s="2026">
        <v>1.1662369308572916E-2</v>
      </c>
      <c r="CO278" s="1974">
        <v>0</v>
      </c>
      <c r="CP278" s="2031">
        <v>0</v>
      </c>
      <c r="CQ278" s="2031">
        <f t="shared" si="128"/>
        <v>0</v>
      </c>
      <c r="CR278" s="2026">
        <v>1</v>
      </c>
      <c r="CS278" s="2026">
        <v>1</v>
      </c>
      <c r="CT278" s="2026">
        <v>1</v>
      </c>
      <c r="CU278" s="2026">
        <v>1</v>
      </c>
      <c r="CV278" s="2036"/>
      <c r="CW278" s="2036"/>
      <c r="CX278" s="2036"/>
      <c r="CY278" s="2036"/>
      <c r="CZ278" s="2036"/>
      <c r="DA278" s="2036"/>
    </row>
    <row r="279" spans="1:105" s="2161" customFormat="1" x14ac:dyDescent="0.25">
      <c r="A279" s="2187" t="s">
        <v>158</v>
      </c>
      <c r="B279" s="2047" t="str">
        <f>IF(B117="","",B117)</f>
        <v>BPCK21</v>
      </c>
      <c r="C279" s="2047">
        <v>15</v>
      </c>
      <c r="D279" s="2047"/>
      <c r="E279" s="2047">
        <v>4486</v>
      </c>
      <c r="F279" s="2047"/>
      <c r="G279" s="2047">
        <v>0.76</v>
      </c>
      <c r="H279" s="2047"/>
      <c r="I279" s="2047">
        <v>7822.7093750000004</v>
      </c>
      <c r="J279" s="2146"/>
      <c r="K279" s="2047" t="s">
        <v>2997</v>
      </c>
      <c r="L279" s="2047" t="s">
        <v>2997</v>
      </c>
      <c r="M279" s="2153">
        <v>0.96199999999999997</v>
      </c>
      <c r="N279" s="2153">
        <v>0.96199999999999997</v>
      </c>
      <c r="O279" s="2153">
        <v>0.96199999999999997</v>
      </c>
      <c r="P279" s="2153">
        <v>0.96199999999999997</v>
      </c>
      <c r="Q279" s="2146">
        <f t="shared" si="139"/>
        <v>4315.5320000000002</v>
      </c>
      <c r="R279" s="2146">
        <f t="shared" si="139"/>
        <v>4315.5320000000002</v>
      </c>
      <c r="S279" s="2146">
        <f t="shared" si="139"/>
        <v>4315.5320000000002</v>
      </c>
      <c r="T279" s="2146">
        <f t="shared" si="139"/>
        <v>4315.5320000000002</v>
      </c>
      <c r="U279" s="2153">
        <v>0.96199999999999997</v>
      </c>
      <c r="V279" s="2153">
        <v>0.96199999999999997</v>
      </c>
      <c r="W279" s="2153">
        <v>0.96199999999999997</v>
      </c>
      <c r="X279" s="2153">
        <v>0.96199999999999997</v>
      </c>
      <c r="Y279" s="2129">
        <f t="shared" si="140"/>
        <v>0.73111999999999999</v>
      </c>
      <c r="Z279" s="2129">
        <f t="shared" si="140"/>
        <v>0.73111999999999999</v>
      </c>
      <c r="AA279" s="2129">
        <f t="shared" si="140"/>
        <v>0.73111999999999999</v>
      </c>
      <c r="AB279" s="2129">
        <f t="shared" si="140"/>
        <v>0.73111999999999999</v>
      </c>
      <c r="AC279" s="2153">
        <v>0.96199999999999997</v>
      </c>
      <c r="AD279" s="2153">
        <v>0.96199999999999997</v>
      </c>
      <c r="AE279" s="2153">
        <v>0.96199999999999997</v>
      </c>
      <c r="AF279" s="2153">
        <v>0.96199999999999997</v>
      </c>
      <c r="AG279" s="2146">
        <f t="shared" si="141"/>
        <v>7525.4464187499998</v>
      </c>
      <c r="AH279" s="2146">
        <f t="shared" si="141"/>
        <v>7525.4464187499998</v>
      </c>
      <c r="AI279" s="2146">
        <f t="shared" si="141"/>
        <v>7525.4464187499998</v>
      </c>
      <c r="AJ279" s="2146">
        <f t="shared" si="141"/>
        <v>7525.4464187499998</v>
      </c>
      <c r="AK279" s="2146">
        <v>31</v>
      </c>
      <c r="AL279" s="2146">
        <v>18</v>
      </c>
      <c r="AM279" s="2146">
        <v>23</v>
      </c>
      <c r="AN279" s="2146">
        <v>25</v>
      </c>
      <c r="AO279" s="2146">
        <f t="shared" si="116"/>
        <v>133781.492</v>
      </c>
      <c r="AP279" s="2146">
        <f t="shared" si="117"/>
        <v>77679.576000000001</v>
      </c>
      <c r="AQ279" s="2146">
        <f t="shared" si="117"/>
        <v>99257.236000000004</v>
      </c>
      <c r="AR279" s="2027" t="s">
        <v>3286</v>
      </c>
      <c r="AS279" s="2146">
        <f t="shared" si="118"/>
        <v>107888.3</v>
      </c>
      <c r="AT279" s="2146">
        <f t="shared" si="119"/>
        <v>233288.83898124998</v>
      </c>
      <c r="AU279" s="2146">
        <f t="shared" si="120"/>
        <v>135458.03553749999</v>
      </c>
      <c r="AV279" s="2146">
        <f t="shared" si="120"/>
        <v>173085.26763125</v>
      </c>
      <c r="AW279" s="2146">
        <f t="shared" si="120"/>
        <v>188136.16046874999</v>
      </c>
      <c r="AX279" s="2046">
        <v>382.5</v>
      </c>
      <c r="AY279" s="2046">
        <v>382.5</v>
      </c>
      <c r="AZ279" s="2046">
        <v>382.5</v>
      </c>
      <c r="BA279" s="2046">
        <v>382.5</v>
      </c>
      <c r="BB279" s="2046">
        <v>5992.5</v>
      </c>
      <c r="BC279" s="2046">
        <v>5992.5</v>
      </c>
      <c r="BD279" s="2046">
        <v>5992.5</v>
      </c>
      <c r="BE279" s="2046">
        <v>5992.5</v>
      </c>
      <c r="BF279" s="2046">
        <v>1988</v>
      </c>
      <c r="BG279" s="2046">
        <v>1988</v>
      </c>
      <c r="BH279" s="2046">
        <v>1988</v>
      </c>
      <c r="BI279" s="2046">
        <v>1988</v>
      </c>
      <c r="BJ279" s="2154">
        <f t="shared" si="121"/>
        <v>11857.5</v>
      </c>
      <c r="BK279" s="2154">
        <f t="shared" si="121"/>
        <v>6885</v>
      </c>
      <c r="BL279" s="2154">
        <f t="shared" si="121"/>
        <v>8797.5</v>
      </c>
      <c r="BM279" s="2154"/>
      <c r="BN279" s="2154">
        <f t="shared" si="122"/>
        <v>9562.5</v>
      </c>
      <c r="BO279" s="2154">
        <f t="shared" si="123"/>
        <v>185767.5</v>
      </c>
      <c r="BP279" s="2154"/>
      <c r="BQ279" s="2154">
        <f t="shared" si="124"/>
        <v>107865</v>
      </c>
      <c r="BR279" s="2154">
        <f t="shared" si="124"/>
        <v>137827.5</v>
      </c>
      <c r="BS279" s="2154">
        <f t="shared" si="124"/>
        <v>149812.5</v>
      </c>
      <c r="BT279" s="2155"/>
      <c r="BU279" s="2155"/>
      <c r="BV279" s="2155"/>
      <c r="BW279" s="2155"/>
      <c r="BX279" s="2155"/>
      <c r="BY279" s="2155"/>
      <c r="BZ279" s="2155"/>
      <c r="CA279" s="2155"/>
      <c r="CB279" s="2046"/>
      <c r="CC279" s="2046"/>
      <c r="CD279" s="2046"/>
      <c r="CE279" s="2046"/>
      <c r="CF279" s="2046"/>
      <c r="CG279" s="2156"/>
      <c r="CH279" s="2047">
        <v>0</v>
      </c>
      <c r="CI279" s="2047">
        <v>0</v>
      </c>
      <c r="CJ279" s="2047">
        <v>0</v>
      </c>
      <c r="CK279" s="2047">
        <v>0</v>
      </c>
      <c r="CL279" s="2047">
        <v>0</v>
      </c>
      <c r="CM279" s="2157">
        <v>4.6805791764224102E-4</v>
      </c>
      <c r="CN279" s="2153">
        <v>7.8493028524360783E-2</v>
      </c>
      <c r="CO279" s="2047">
        <v>0</v>
      </c>
      <c r="CP279" s="2063">
        <v>0</v>
      </c>
      <c r="CQ279" s="2063">
        <f t="shared" si="128"/>
        <v>0</v>
      </c>
      <c r="CR279" s="2153">
        <v>1</v>
      </c>
      <c r="CS279" s="2153">
        <v>1</v>
      </c>
      <c r="CT279" s="2153">
        <v>1</v>
      </c>
      <c r="CU279" s="2153">
        <v>1</v>
      </c>
      <c r="CV279" s="2160"/>
      <c r="CW279" s="2160"/>
      <c r="CX279" s="2160"/>
      <c r="CY279" s="2160"/>
      <c r="CZ279" s="2160"/>
      <c r="DA279" s="2160"/>
    </row>
    <row r="280" spans="1:105" x14ac:dyDescent="0.25">
      <c r="A280" s="2261" t="s">
        <v>160</v>
      </c>
      <c r="B280" s="2093" t="str">
        <f>IF(B119="","",B119)</f>
        <v/>
      </c>
      <c r="C280" s="1974">
        <v>8</v>
      </c>
      <c r="D280" s="1974"/>
      <c r="E280" s="1974">
        <v>1104</v>
      </c>
      <c r="F280" s="1974"/>
      <c r="G280" s="1974">
        <v>0.182</v>
      </c>
      <c r="H280" s="1974"/>
      <c r="I280" s="1974">
        <v>-19.39</v>
      </c>
      <c r="J280" s="2027"/>
      <c r="K280" s="1974" t="s">
        <v>2997</v>
      </c>
      <c r="L280" s="1974" t="s">
        <v>2997</v>
      </c>
      <c r="M280" s="2026">
        <v>0.96199999999999997</v>
      </c>
      <c r="N280" s="2026">
        <v>0.96199999999999997</v>
      </c>
      <c r="O280" s="2026">
        <v>0.96199999999999997</v>
      </c>
      <c r="P280" s="2026">
        <v>0.96199999999999997</v>
      </c>
      <c r="Q280" s="2027">
        <f t="shared" si="139"/>
        <v>1062.048</v>
      </c>
      <c r="R280" s="2027">
        <f t="shared" si="139"/>
        <v>1062.048</v>
      </c>
      <c r="S280" s="2027">
        <f t="shared" si="139"/>
        <v>1062.048</v>
      </c>
      <c r="T280" s="2027">
        <f t="shared" si="139"/>
        <v>1062.048</v>
      </c>
      <c r="U280" s="2026">
        <v>0.96199999999999997</v>
      </c>
      <c r="V280" s="2026">
        <v>0.96199999999999997</v>
      </c>
      <c r="W280" s="2026">
        <v>0.96199999999999997</v>
      </c>
      <c r="X280" s="2026">
        <v>0.96199999999999997</v>
      </c>
      <c r="Y280" s="2028">
        <f t="shared" si="140"/>
        <v>0.17508399999999999</v>
      </c>
      <c r="Z280" s="2028">
        <f t="shared" si="140"/>
        <v>0.17508399999999999</v>
      </c>
      <c r="AA280" s="2028">
        <f t="shared" si="140"/>
        <v>0.17508399999999999</v>
      </c>
      <c r="AB280" s="2028">
        <f t="shared" si="140"/>
        <v>0.17508399999999999</v>
      </c>
      <c r="AC280" s="2026">
        <v>0.96199999999999997</v>
      </c>
      <c r="AD280" s="2026">
        <v>0.96199999999999997</v>
      </c>
      <c r="AE280" s="2026">
        <v>0.96199999999999997</v>
      </c>
      <c r="AF280" s="2026">
        <v>0.96199999999999997</v>
      </c>
      <c r="AG280" s="2027">
        <f t="shared" si="141"/>
        <v>-18.653179999999999</v>
      </c>
      <c r="AH280" s="2027">
        <f t="shared" si="141"/>
        <v>-18.653179999999999</v>
      </c>
      <c r="AI280" s="2027">
        <f t="shared" si="141"/>
        <v>-18.653179999999999</v>
      </c>
      <c r="AJ280" s="2027">
        <f t="shared" si="141"/>
        <v>-18.653179999999999</v>
      </c>
      <c r="AK280" s="2027">
        <v>36</v>
      </c>
      <c r="AL280" s="2027">
        <v>54</v>
      </c>
      <c r="AM280" s="2027">
        <v>63</v>
      </c>
      <c r="AN280" s="2027">
        <v>73</v>
      </c>
      <c r="AO280" s="2027">
        <f t="shared" si="116"/>
        <v>38233.728000000003</v>
      </c>
      <c r="AP280" s="2027">
        <f t="shared" si="117"/>
        <v>57350.591999999997</v>
      </c>
      <c r="AQ280" s="2027">
        <f t="shared" si="117"/>
        <v>66909.024000000005</v>
      </c>
      <c r="AR280" s="2027" t="s">
        <v>3286</v>
      </c>
      <c r="AS280" s="2027">
        <f t="shared" si="118"/>
        <v>77529.504000000001</v>
      </c>
      <c r="AT280" s="2027">
        <f t="shared" si="119"/>
        <v>-671.51447999999993</v>
      </c>
      <c r="AU280" s="2027">
        <f t="shared" si="120"/>
        <v>-1007.27172</v>
      </c>
      <c r="AV280" s="2027">
        <f t="shared" si="120"/>
        <v>-1175.1503399999999</v>
      </c>
      <c r="AW280" s="2027">
        <f t="shared" si="120"/>
        <v>-1361.6821399999999</v>
      </c>
      <c r="AX280" s="2124">
        <v>274</v>
      </c>
      <c r="AY280" s="2029">
        <v>274</v>
      </c>
      <c r="AZ280" s="2029">
        <v>274</v>
      </c>
      <c r="BA280" s="2029">
        <v>274</v>
      </c>
      <c r="BB280" s="2124">
        <v>0</v>
      </c>
      <c r="BC280" s="2029">
        <v>0</v>
      </c>
      <c r="BD280" s="2029">
        <v>0</v>
      </c>
      <c r="BE280" s="2029">
        <v>0</v>
      </c>
      <c r="BF280" s="2124">
        <v>274</v>
      </c>
      <c r="BG280" s="2029">
        <v>274</v>
      </c>
      <c r="BH280" s="2029">
        <v>274</v>
      </c>
      <c r="BI280" s="2029">
        <v>274</v>
      </c>
      <c r="BJ280" s="2030">
        <f t="shared" si="121"/>
        <v>9864</v>
      </c>
      <c r="BK280" s="2030">
        <f t="shared" si="121"/>
        <v>14796</v>
      </c>
      <c r="BL280" s="2030">
        <f t="shared" si="121"/>
        <v>17262</v>
      </c>
      <c r="BM280" s="2030"/>
      <c r="BN280" s="2030">
        <f t="shared" si="122"/>
        <v>20002</v>
      </c>
      <c r="BO280" s="2030">
        <f t="shared" si="123"/>
        <v>0</v>
      </c>
      <c r="BP280" s="2030"/>
      <c r="BQ280" s="2030">
        <f t="shared" si="124"/>
        <v>0</v>
      </c>
      <c r="BR280" s="2030">
        <f t="shared" si="124"/>
        <v>0</v>
      </c>
      <c r="BS280" s="2030">
        <f t="shared" si="124"/>
        <v>0</v>
      </c>
      <c r="BT280" s="2125"/>
      <c r="BU280" s="2125"/>
      <c r="BV280" s="2125"/>
      <c r="BW280" s="2125"/>
      <c r="BX280" s="2125"/>
      <c r="BY280" s="2125"/>
      <c r="BZ280" s="2125"/>
      <c r="CA280" s="2125"/>
      <c r="CB280" s="2029"/>
      <c r="CC280" s="2029"/>
      <c r="CD280" s="2029"/>
      <c r="CE280" s="2029"/>
      <c r="CF280" s="2029"/>
      <c r="CG280" s="2032"/>
      <c r="CH280" s="1974">
        <v>0</v>
      </c>
      <c r="CI280" s="1974">
        <v>0</v>
      </c>
      <c r="CJ280" s="1974">
        <v>0</v>
      </c>
      <c r="CK280" s="1974">
        <v>0</v>
      </c>
      <c r="CL280" s="1974">
        <v>0</v>
      </c>
      <c r="CM280" s="2033">
        <v>1.3164408409070355E-4</v>
      </c>
      <c r="CN280" s="2026">
        <v>-2.2235333421163117E-4</v>
      </c>
      <c r="CO280" s="1974">
        <v>0</v>
      </c>
      <c r="CP280" s="2031">
        <v>0</v>
      </c>
      <c r="CQ280" s="2031">
        <f t="shared" si="128"/>
        <v>0</v>
      </c>
      <c r="CR280" s="2026">
        <v>1</v>
      </c>
      <c r="CS280" s="2026">
        <v>1</v>
      </c>
      <c r="CT280" s="2026">
        <v>1</v>
      </c>
      <c r="CU280" s="2026">
        <v>1</v>
      </c>
      <c r="CV280" s="2036"/>
      <c r="CW280" s="2036"/>
      <c r="CX280" s="2036"/>
      <c r="CY280" s="2036"/>
      <c r="CZ280" s="2036"/>
      <c r="DA280" s="2036"/>
    </row>
    <row r="281" spans="1:105" x14ac:dyDescent="0.25">
      <c r="A281" s="2261" t="s">
        <v>163</v>
      </c>
      <c r="B281" s="2093" t="str">
        <f>IF(B123="","",B123)</f>
        <v/>
      </c>
      <c r="C281" s="1974">
        <v>6.6</v>
      </c>
      <c r="D281" s="1974"/>
      <c r="E281" s="1974">
        <v>265.27999999999997</v>
      </c>
      <c r="F281" s="1974"/>
      <c r="G281" s="1974">
        <v>0.06</v>
      </c>
      <c r="H281" s="1974"/>
      <c r="I281" s="1974">
        <v>0</v>
      </c>
      <c r="J281" s="2027"/>
      <c r="K281" s="1974" t="s">
        <v>2997</v>
      </c>
      <c r="L281" s="1974" t="s">
        <v>2997</v>
      </c>
      <c r="M281" s="2026">
        <v>0.96199999999999997</v>
      </c>
      <c r="N281" s="2026">
        <v>0.96199999999999997</v>
      </c>
      <c r="O281" s="2026">
        <v>0.96199999999999997</v>
      </c>
      <c r="P281" s="2026">
        <v>0.96199999999999997</v>
      </c>
      <c r="Q281" s="2027">
        <f t="shared" si="139"/>
        <v>255.19935999999996</v>
      </c>
      <c r="R281" s="2027">
        <f t="shared" si="139"/>
        <v>255.19935999999996</v>
      </c>
      <c r="S281" s="2027">
        <f t="shared" si="139"/>
        <v>255.19935999999996</v>
      </c>
      <c r="T281" s="2027">
        <f t="shared" si="139"/>
        <v>255.19935999999996</v>
      </c>
      <c r="U281" s="2026">
        <v>0.96199999999999997</v>
      </c>
      <c r="V281" s="2026">
        <v>0.96199999999999997</v>
      </c>
      <c r="W281" s="2026">
        <v>0.96199999999999997</v>
      </c>
      <c r="X281" s="2026">
        <v>0.96199999999999997</v>
      </c>
      <c r="Y281" s="2028">
        <f t="shared" si="140"/>
        <v>5.7719999999999994E-2</v>
      </c>
      <c r="Z281" s="2028">
        <f t="shared" si="140"/>
        <v>5.7719999999999994E-2</v>
      </c>
      <c r="AA281" s="2028">
        <f t="shared" si="140"/>
        <v>5.7719999999999994E-2</v>
      </c>
      <c r="AB281" s="2028">
        <f t="shared" si="140"/>
        <v>5.7719999999999994E-2</v>
      </c>
      <c r="AC281" s="2026">
        <v>0.96199999999999997</v>
      </c>
      <c r="AD281" s="2026">
        <v>0.96199999999999997</v>
      </c>
      <c r="AE281" s="2026">
        <v>0.96199999999999997</v>
      </c>
      <c r="AF281" s="2026">
        <v>0.96199999999999997</v>
      </c>
      <c r="AG281" s="2027">
        <f t="shared" si="141"/>
        <v>0</v>
      </c>
      <c r="AH281" s="2027">
        <f t="shared" si="141"/>
        <v>0</v>
      </c>
      <c r="AI281" s="2027">
        <f t="shared" si="141"/>
        <v>0</v>
      </c>
      <c r="AJ281" s="2027">
        <f t="shared" si="141"/>
        <v>0</v>
      </c>
      <c r="AK281" s="2027">
        <v>71</v>
      </c>
      <c r="AL281" s="2027">
        <v>72</v>
      </c>
      <c r="AM281" s="2027">
        <v>72</v>
      </c>
      <c r="AN281" s="2027">
        <v>73</v>
      </c>
      <c r="AO281" s="2027">
        <f t="shared" si="116"/>
        <v>18119.154559999995</v>
      </c>
      <c r="AP281" s="2027">
        <f t="shared" si="117"/>
        <v>18374.353919999998</v>
      </c>
      <c r="AQ281" s="2027">
        <f t="shared" si="117"/>
        <v>18374.353919999998</v>
      </c>
      <c r="AR281" s="2027" t="s">
        <v>3286</v>
      </c>
      <c r="AS281" s="2027">
        <f t="shared" si="118"/>
        <v>18629.553279999996</v>
      </c>
      <c r="AT281" s="2027">
        <f t="shared" si="119"/>
        <v>0</v>
      </c>
      <c r="AU281" s="2027">
        <f t="shared" si="120"/>
        <v>0</v>
      </c>
      <c r="AV281" s="2027">
        <f t="shared" si="120"/>
        <v>0</v>
      </c>
      <c r="AW281" s="2027">
        <f t="shared" si="120"/>
        <v>0</v>
      </c>
      <c r="AX281" s="2124">
        <v>38</v>
      </c>
      <c r="AY281" s="2029">
        <v>38</v>
      </c>
      <c r="AZ281" s="2029">
        <v>38</v>
      </c>
      <c r="BA281" s="2029">
        <v>38</v>
      </c>
      <c r="BB281" s="2124">
        <v>0</v>
      </c>
      <c r="BC281" s="2029">
        <v>0</v>
      </c>
      <c r="BD281" s="2029">
        <v>0</v>
      </c>
      <c r="BE281" s="2029">
        <v>0</v>
      </c>
      <c r="BF281" s="2124">
        <v>17.5</v>
      </c>
      <c r="BG281" s="2029">
        <v>17.5</v>
      </c>
      <c r="BH281" s="2029">
        <v>17.5</v>
      </c>
      <c r="BI281" s="2029">
        <v>17.5</v>
      </c>
      <c r="BJ281" s="2030">
        <f t="shared" si="121"/>
        <v>2698</v>
      </c>
      <c r="BK281" s="2030">
        <f t="shared" si="121"/>
        <v>2736</v>
      </c>
      <c r="BL281" s="2030">
        <f t="shared" si="121"/>
        <v>2736</v>
      </c>
      <c r="BM281" s="2030"/>
      <c r="BN281" s="2030">
        <f t="shared" si="122"/>
        <v>2774</v>
      </c>
      <c r="BO281" s="2030">
        <f t="shared" si="123"/>
        <v>0</v>
      </c>
      <c r="BP281" s="2030"/>
      <c r="BQ281" s="2030">
        <f t="shared" si="124"/>
        <v>0</v>
      </c>
      <c r="BR281" s="2030">
        <f t="shared" si="124"/>
        <v>0</v>
      </c>
      <c r="BS281" s="2030">
        <f t="shared" si="124"/>
        <v>0</v>
      </c>
      <c r="BT281" s="2125"/>
      <c r="BU281" s="2125"/>
      <c r="BV281" s="2125"/>
      <c r="BW281" s="2125"/>
      <c r="BX281" s="2125"/>
      <c r="BY281" s="2125"/>
      <c r="BZ281" s="2125"/>
      <c r="CA281" s="2125"/>
      <c r="CB281" s="2029"/>
      <c r="CC281" s="2029"/>
      <c r="CD281" s="2029"/>
      <c r="CE281" s="2029"/>
      <c r="CF281" s="2029"/>
      <c r="CG281" s="2032"/>
      <c r="CH281" s="1974">
        <v>0</v>
      </c>
      <c r="CI281" s="1974">
        <v>0</v>
      </c>
      <c r="CJ281" s="1974">
        <v>0</v>
      </c>
      <c r="CK281" s="1974">
        <v>0</v>
      </c>
      <c r="CL281" s="1974">
        <v>0</v>
      </c>
      <c r="CM281" s="2033">
        <v>6.326547577460477E-5</v>
      </c>
      <c r="CN281" s="2026">
        <v>0</v>
      </c>
      <c r="CO281" s="1974">
        <v>0</v>
      </c>
      <c r="CP281" s="2031">
        <v>0</v>
      </c>
      <c r="CQ281" s="2031">
        <f t="shared" si="128"/>
        <v>0</v>
      </c>
      <c r="CR281" s="2026">
        <v>1</v>
      </c>
      <c r="CS281" s="2026">
        <v>1</v>
      </c>
      <c r="CT281" s="2026">
        <v>1</v>
      </c>
      <c r="CU281" s="2026">
        <v>1</v>
      </c>
      <c r="CV281" s="2036"/>
      <c r="CW281" s="2036"/>
      <c r="CX281" s="2036"/>
      <c r="CY281" s="2036"/>
      <c r="CZ281" s="2036"/>
      <c r="DA281" s="2036"/>
    </row>
    <row r="282" spans="1:105" s="2161" customFormat="1" x14ac:dyDescent="0.25">
      <c r="A282" s="2187" t="s">
        <v>167</v>
      </c>
      <c r="B282" s="2047" t="str">
        <f>IF(B127="","",B127)</f>
        <v/>
      </c>
      <c r="C282" s="2548">
        <v>8</v>
      </c>
      <c r="D282" s="2047"/>
      <c r="E282" s="2047">
        <v>4726</v>
      </c>
      <c r="F282" s="2047"/>
      <c r="G282" s="2047">
        <v>0</v>
      </c>
      <c r="H282" s="2047"/>
      <c r="I282" s="2047">
        <v>73.599999999999994</v>
      </c>
      <c r="J282" s="2146"/>
      <c r="K282" s="2047" t="s">
        <v>2997</v>
      </c>
      <c r="L282" s="2047" t="s">
        <v>2997</v>
      </c>
      <c r="M282" s="2153">
        <v>0.96199999999999997</v>
      </c>
      <c r="N282" s="2153">
        <v>0.96199999999999997</v>
      </c>
      <c r="O282" s="2153">
        <v>0.96199999999999997</v>
      </c>
      <c r="P282" s="2153">
        <v>0.96199999999999997</v>
      </c>
      <c r="Q282" s="2146">
        <f t="shared" si="139"/>
        <v>4546.4120000000003</v>
      </c>
      <c r="R282" s="2146">
        <f t="shared" si="139"/>
        <v>4546.4120000000003</v>
      </c>
      <c r="S282" s="2146">
        <f t="shared" si="139"/>
        <v>4546.4120000000003</v>
      </c>
      <c r="T282" s="2146">
        <f t="shared" si="139"/>
        <v>4546.4120000000003</v>
      </c>
      <c r="U282" s="2153">
        <v>0.96199999999999997</v>
      </c>
      <c r="V282" s="2153">
        <v>0.96199999999999997</v>
      </c>
      <c r="W282" s="2153">
        <v>0.96199999999999997</v>
      </c>
      <c r="X282" s="2153">
        <v>0.96199999999999997</v>
      </c>
      <c r="Y282" s="2129">
        <f t="shared" si="140"/>
        <v>0</v>
      </c>
      <c r="Z282" s="2129">
        <f t="shared" si="140"/>
        <v>0</v>
      </c>
      <c r="AA282" s="2129">
        <f t="shared" si="140"/>
        <v>0</v>
      </c>
      <c r="AB282" s="2129">
        <f t="shared" si="140"/>
        <v>0</v>
      </c>
      <c r="AC282" s="2153">
        <v>0.96199999999999997</v>
      </c>
      <c r="AD282" s="2153">
        <v>0.96199999999999997</v>
      </c>
      <c r="AE282" s="2153">
        <v>0.96199999999999997</v>
      </c>
      <c r="AF282" s="2153">
        <v>0.96199999999999997</v>
      </c>
      <c r="AG282" s="2146">
        <f t="shared" si="141"/>
        <v>70.80319999999999</v>
      </c>
      <c r="AH282" s="2146">
        <f t="shared" si="141"/>
        <v>70.80319999999999</v>
      </c>
      <c r="AI282" s="2146">
        <f t="shared" si="141"/>
        <v>70.80319999999999</v>
      </c>
      <c r="AJ282" s="2146">
        <f t="shared" si="141"/>
        <v>70.80319999999999</v>
      </c>
      <c r="AK282" s="2146">
        <v>34</v>
      </c>
      <c r="AL282" s="2146">
        <v>1</v>
      </c>
      <c r="AM282" s="2146">
        <v>1</v>
      </c>
      <c r="AN282" s="2146">
        <v>1</v>
      </c>
      <c r="AO282" s="2146">
        <f t="shared" si="116"/>
        <v>154578.008</v>
      </c>
      <c r="AP282" s="2146">
        <f t="shared" ref="AP282:AQ313" si="142">AL282*R282*CS282</f>
        <v>4546.4120000000003</v>
      </c>
      <c r="AQ282" s="2146">
        <f t="shared" si="142"/>
        <v>4546.4120000000003</v>
      </c>
      <c r="AR282" s="2027" t="s">
        <v>3286</v>
      </c>
      <c r="AS282" s="2146">
        <f t="shared" si="118"/>
        <v>4546.4120000000003</v>
      </c>
      <c r="AT282" s="2146">
        <f t="shared" si="119"/>
        <v>2407.3087999999998</v>
      </c>
      <c r="AU282" s="2146">
        <f t="shared" ref="AU282:AW313" si="143">AL282*AH282*CS282</f>
        <v>70.80319999999999</v>
      </c>
      <c r="AV282" s="2146">
        <f t="shared" si="143"/>
        <v>70.80319999999999</v>
      </c>
      <c r="AW282" s="2146">
        <f t="shared" si="143"/>
        <v>70.80319999999999</v>
      </c>
      <c r="AX282" s="2046">
        <v>153.85</v>
      </c>
      <c r="AY282" s="2046">
        <v>153.85</v>
      </c>
      <c r="AZ282" s="2046">
        <v>153.85</v>
      </c>
      <c r="BA282" s="2046">
        <v>153.85</v>
      </c>
      <c r="BB282" s="2046">
        <v>27.150000000000006</v>
      </c>
      <c r="BC282" s="2046">
        <v>27.150000000000006</v>
      </c>
      <c r="BD282" s="2046">
        <v>27.150000000000006</v>
      </c>
      <c r="BE282" s="2046">
        <v>27.150000000000006</v>
      </c>
      <c r="BF282" s="2046">
        <v>181</v>
      </c>
      <c r="BG282" s="2046">
        <v>181</v>
      </c>
      <c r="BH282" s="2046">
        <v>181</v>
      </c>
      <c r="BI282" s="2046">
        <v>181</v>
      </c>
      <c r="BJ282" s="2154">
        <f t="shared" ref="BJ282:BL313" si="144">AX282*AK282</f>
        <v>5230.8999999999996</v>
      </c>
      <c r="BK282" s="2154">
        <f t="shared" si="144"/>
        <v>153.85</v>
      </c>
      <c r="BL282" s="2154">
        <f t="shared" si="144"/>
        <v>153.85</v>
      </c>
      <c r="BM282" s="2154"/>
      <c r="BN282" s="2154">
        <f t="shared" si="122"/>
        <v>153.85</v>
      </c>
      <c r="BO282" s="2154">
        <f t="shared" si="123"/>
        <v>923.10000000000014</v>
      </c>
      <c r="BP282" s="2154"/>
      <c r="BQ282" s="2154">
        <f t="shared" ref="BQ282:BS313" si="145">BC282*AL282</f>
        <v>27.150000000000006</v>
      </c>
      <c r="BR282" s="2154">
        <f t="shared" si="145"/>
        <v>27.150000000000006</v>
      </c>
      <c r="BS282" s="2154">
        <f t="shared" si="145"/>
        <v>27.150000000000006</v>
      </c>
      <c r="BT282" s="2155"/>
      <c r="BU282" s="2155"/>
      <c r="BV282" s="2155"/>
      <c r="BW282" s="2155"/>
      <c r="BX282" s="2155"/>
      <c r="BY282" s="2155"/>
      <c r="BZ282" s="2155"/>
      <c r="CA282" s="2155"/>
      <c r="CB282" s="2046"/>
      <c r="CC282" s="2046"/>
      <c r="CD282" s="2046"/>
      <c r="CE282" s="2046"/>
      <c r="CF282" s="2046"/>
      <c r="CG282" s="2156"/>
      <c r="CH282" s="2047">
        <v>0</v>
      </c>
      <c r="CI282" s="2047">
        <v>0</v>
      </c>
      <c r="CJ282" s="2047">
        <v>0</v>
      </c>
      <c r="CK282" s="2047">
        <v>0</v>
      </c>
      <c r="CL282" s="2047">
        <v>0</v>
      </c>
      <c r="CM282" s="2157">
        <v>4.2265621019882139E-4</v>
      </c>
      <c r="CN282" s="2153">
        <v>6.3300175598153877E-4</v>
      </c>
      <c r="CO282" s="2047">
        <v>0</v>
      </c>
      <c r="CP282" s="2063">
        <v>0</v>
      </c>
      <c r="CQ282" s="2063">
        <f t="shared" si="128"/>
        <v>0</v>
      </c>
      <c r="CR282" s="2153">
        <v>1</v>
      </c>
      <c r="CS282" s="2153">
        <v>1</v>
      </c>
      <c r="CT282" s="2153">
        <v>1</v>
      </c>
      <c r="CU282" s="2153">
        <v>1</v>
      </c>
      <c r="CV282" s="2160"/>
      <c r="CW282" s="2160"/>
      <c r="CX282" s="2160"/>
      <c r="CY282" s="2160"/>
      <c r="CZ282" s="2160"/>
      <c r="DA282" s="2160"/>
    </row>
    <row r="283" spans="1:105" s="2161" customFormat="1" x14ac:dyDescent="0.25">
      <c r="A283" s="2187" t="s">
        <v>168</v>
      </c>
      <c r="B283" s="2047" t="str">
        <f>IF(B130="","",B130)</f>
        <v/>
      </c>
      <c r="C283" s="2047">
        <v>10</v>
      </c>
      <c r="D283" s="2047"/>
      <c r="E283" s="2047">
        <v>4468</v>
      </c>
      <c r="F283" s="2047"/>
      <c r="G283" s="2047">
        <v>0</v>
      </c>
      <c r="H283" s="2047"/>
      <c r="I283" s="2047">
        <v>623</v>
      </c>
      <c r="J283" s="2146"/>
      <c r="K283" s="2047" t="s">
        <v>2997</v>
      </c>
      <c r="L283" s="2047" t="s">
        <v>2997</v>
      </c>
      <c r="M283" s="2153">
        <v>0.96199999999999997</v>
      </c>
      <c r="N283" s="2153">
        <v>0.96199999999999997</v>
      </c>
      <c r="O283" s="2153">
        <v>0.96199999999999997</v>
      </c>
      <c r="P283" s="2153">
        <v>0.96199999999999997</v>
      </c>
      <c r="Q283" s="2146">
        <f t="shared" si="139"/>
        <v>4298.2159999999994</v>
      </c>
      <c r="R283" s="2146">
        <f t="shared" si="139"/>
        <v>4298.2159999999994</v>
      </c>
      <c r="S283" s="2146">
        <f t="shared" si="139"/>
        <v>4298.2159999999994</v>
      </c>
      <c r="T283" s="2146">
        <f t="shared" si="139"/>
        <v>4298.2159999999994</v>
      </c>
      <c r="U283" s="2153">
        <v>0.96199999999999997</v>
      </c>
      <c r="V283" s="2153">
        <v>0.96199999999999997</v>
      </c>
      <c r="W283" s="2153">
        <v>0.96199999999999997</v>
      </c>
      <c r="X283" s="2153">
        <v>0.96199999999999997</v>
      </c>
      <c r="Y283" s="2129">
        <f t="shared" si="140"/>
        <v>0</v>
      </c>
      <c r="Z283" s="2129">
        <f t="shared" si="140"/>
        <v>0</v>
      </c>
      <c r="AA283" s="2129">
        <f t="shared" si="140"/>
        <v>0</v>
      </c>
      <c r="AB283" s="2129">
        <f t="shared" si="140"/>
        <v>0</v>
      </c>
      <c r="AC283" s="2153">
        <v>0.96199999999999997</v>
      </c>
      <c r="AD283" s="2153">
        <v>0.96199999999999997</v>
      </c>
      <c r="AE283" s="2153">
        <v>0.96199999999999997</v>
      </c>
      <c r="AF283" s="2153">
        <v>0.96199999999999997</v>
      </c>
      <c r="AG283" s="2146">
        <f t="shared" si="141"/>
        <v>599.32600000000002</v>
      </c>
      <c r="AH283" s="2146">
        <f t="shared" si="141"/>
        <v>599.32600000000002</v>
      </c>
      <c r="AI283" s="2146">
        <f t="shared" si="141"/>
        <v>599.32600000000002</v>
      </c>
      <c r="AJ283" s="2146">
        <f t="shared" si="141"/>
        <v>599.32600000000002</v>
      </c>
      <c r="AK283" s="2146">
        <v>40</v>
      </c>
      <c r="AL283" s="2146">
        <v>40</v>
      </c>
      <c r="AM283" s="2146">
        <v>45</v>
      </c>
      <c r="AN283" s="2146">
        <v>38</v>
      </c>
      <c r="AO283" s="2146">
        <f t="shared" si="116"/>
        <v>171928.63999999998</v>
      </c>
      <c r="AP283" s="2146">
        <f t="shared" si="142"/>
        <v>171928.63999999998</v>
      </c>
      <c r="AQ283" s="2146">
        <f t="shared" si="142"/>
        <v>193419.71999999997</v>
      </c>
      <c r="AR283" s="2027" t="s">
        <v>3286</v>
      </c>
      <c r="AS283" s="2146">
        <f t="shared" si="118"/>
        <v>163332.20799999998</v>
      </c>
      <c r="AT283" s="2146">
        <f t="shared" si="119"/>
        <v>23973.040000000001</v>
      </c>
      <c r="AU283" s="2146">
        <f t="shared" si="143"/>
        <v>23973.040000000001</v>
      </c>
      <c r="AV283" s="2146">
        <f t="shared" si="143"/>
        <v>26969.670000000002</v>
      </c>
      <c r="AW283" s="2146">
        <f t="shared" si="143"/>
        <v>22774.387999999999</v>
      </c>
      <c r="AX283" s="2046">
        <v>1540</v>
      </c>
      <c r="AY283" s="2046">
        <v>1540</v>
      </c>
      <c r="AZ283" s="2046">
        <v>1540</v>
      </c>
      <c r="BA283" s="2046">
        <v>1540</v>
      </c>
      <c r="BB283" s="2046">
        <v>2860</v>
      </c>
      <c r="BC283" s="2046">
        <v>2860</v>
      </c>
      <c r="BD283" s="2046">
        <v>2860</v>
      </c>
      <c r="BE283" s="2046">
        <v>2860</v>
      </c>
      <c r="BF283" s="2046">
        <v>1500</v>
      </c>
      <c r="BG283" s="2046">
        <v>1500</v>
      </c>
      <c r="BH283" s="2046">
        <v>1500</v>
      </c>
      <c r="BI283" s="2046">
        <v>1500</v>
      </c>
      <c r="BJ283" s="2154">
        <f t="shared" si="144"/>
        <v>61600</v>
      </c>
      <c r="BK283" s="2154">
        <f t="shared" si="144"/>
        <v>61600</v>
      </c>
      <c r="BL283" s="2154">
        <f t="shared" si="144"/>
        <v>69300</v>
      </c>
      <c r="BM283" s="2154"/>
      <c r="BN283" s="2154">
        <f t="shared" si="122"/>
        <v>58520</v>
      </c>
      <c r="BO283" s="2154">
        <f t="shared" si="123"/>
        <v>114400</v>
      </c>
      <c r="BP283" s="2154"/>
      <c r="BQ283" s="2154">
        <f t="shared" si="145"/>
        <v>114400</v>
      </c>
      <c r="BR283" s="2154">
        <f t="shared" si="145"/>
        <v>128700</v>
      </c>
      <c r="BS283" s="2154">
        <f t="shared" si="145"/>
        <v>108680</v>
      </c>
      <c r="BT283" s="2155"/>
      <c r="BU283" s="2155"/>
      <c r="BV283" s="2155"/>
      <c r="BW283" s="2155"/>
      <c r="BX283" s="2155"/>
      <c r="BY283" s="2155"/>
      <c r="BZ283" s="2155"/>
      <c r="CA283" s="2155"/>
      <c r="CB283" s="2046"/>
      <c r="CC283" s="2046"/>
      <c r="CD283" s="2046"/>
      <c r="CE283" s="2046"/>
      <c r="CF283" s="2046"/>
      <c r="CG283" s="2156"/>
      <c r="CH283" s="2047">
        <v>0</v>
      </c>
      <c r="CI283" s="2047">
        <v>0</v>
      </c>
      <c r="CJ283" s="2047">
        <v>0</v>
      </c>
      <c r="CK283" s="2047">
        <v>0</v>
      </c>
      <c r="CL283" s="2047">
        <v>0</v>
      </c>
      <c r="CM283" s="2157">
        <v>5.993740839510158E-4</v>
      </c>
      <c r="CN283" s="2153">
        <v>8.0372301761514695E-3</v>
      </c>
      <c r="CO283" s="2047">
        <v>0</v>
      </c>
      <c r="CP283" s="2063">
        <v>0</v>
      </c>
      <c r="CQ283" s="2063">
        <f t="shared" si="128"/>
        <v>0</v>
      </c>
      <c r="CR283" s="2153">
        <v>1</v>
      </c>
      <c r="CS283" s="2153">
        <v>1</v>
      </c>
      <c r="CT283" s="2153">
        <v>1</v>
      </c>
      <c r="CU283" s="2153">
        <v>1</v>
      </c>
      <c r="CV283" s="2160"/>
      <c r="CW283" s="2160"/>
      <c r="CX283" s="2160"/>
      <c r="CY283" s="2160"/>
      <c r="CZ283" s="2160"/>
      <c r="DA283" s="2160"/>
    </row>
    <row r="284" spans="1:105" x14ac:dyDescent="0.25">
      <c r="A284" s="2261" t="s">
        <v>1016</v>
      </c>
      <c r="B284" s="2093" t="str">
        <f>IF(B136="","",B136)</f>
        <v/>
      </c>
      <c r="C284" s="1974">
        <v>10</v>
      </c>
      <c r="D284" s="1974"/>
      <c r="E284" s="1974">
        <v>20.576568549600005</v>
      </c>
      <c r="F284" s="1974"/>
      <c r="G284" s="1974">
        <v>6.7886315422358541E-3</v>
      </c>
      <c r="H284" s="1974"/>
      <c r="I284" s="1974">
        <v>5.3588189352600013</v>
      </c>
      <c r="J284" s="2027"/>
      <c r="K284" s="1974" t="s">
        <v>2997</v>
      </c>
      <c r="L284" s="1974" t="s">
        <v>2997</v>
      </c>
      <c r="M284" s="2026">
        <v>0.96199999999999997</v>
      </c>
      <c r="N284" s="2026">
        <v>0.96199999999999997</v>
      </c>
      <c r="O284" s="2026">
        <v>0.96199999999999997</v>
      </c>
      <c r="P284" s="2026">
        <v>0.96199999999999997</v>
      </c>
      <c r="Q284" s="2027">
        <f t="shared" si="139"/>
        <v>19.794658944715202</v>
      </c>
      <c r="R284" s="2027">
        <f t="shared" si="139"/>
        <v>19.794658944715202</v>
      </c>
      <c r="S284" s="2027">
        <f t="shared" si="139"/>
        <v>19.794658944715202</v>
      </c>
      <c r="T284" s="2027">
        <f t="shared" si="139"/>
        <v>19.794658944715202</v>
      </c>
      <c r="U284" s="2026">
        <v>0.96199999999999997</v>
      </c>
      <c r="V284" s="2026">
        <v>0.96199999999999997</v>
      </c>
      <c r="W284" s="2026">
        <v>0.96199999999999997</v>
      </c>
      <c r="X284" s="2026">
        <v>0.96199999999999997</v>
      </c>
      <c r="Y284" s="2028">
        <f t="shared" si="140"/>
        <v>6.5306635436308911E-3</v>
      </c>
      <c r="Z284" s="2028">
        <f t="shared" si="140"/>
        <v>6.5306635436308911E-3</v>
      </c>
      <c r="AA284" s="2028">
        <f t="shared" si="140"/>
        <v>6.5306635436308911E-3</v>
      </c>
      <c r="AB284" s="2028">
        <f t="shared" si="140"/>
        <v>6.5306635436308911E-3</v>
      </c>
      <c r="AC284" s="2026">
        <v>0.96199999999999997</v>
      </c>
      <c r="AD284" s="2026">
        <v>0.96199999999999997</v>
      </c>
      <c r="AE284" s="2026">
        <v>0.96199999999999997</v>
      </c>
      <c r="AF284" s="2026">
        <v>0.96199999999999997</v>
      </c>
      <c r="AG284" s="2027">
        <f t="shared" si="141"/>
        <v>5.1551838157201209</v>
      </c>
      <c r="AH284" s="2027">
        <f t="shared" si="141"/>
        <v>5.1551838157201209</v>
      </c>
      <c r="AI284" s="2027">
        <f t="shared" si="141"/>
        <v>5.1551838157201209</v>
      </c>
      <c r="AJ284" s="2027">
        <f t="shared" si="141"/>
        <v>5.1551838157201209</v>
      </c>
      <c r="AK284" s="2027">
        <v>384</v>
      </c>
      <c r="AL284" s="2028">
        <v>350</v>
      </c>
      <c r="AM284" s="2028">
        <v>350</v>
      </c>
      <c r="AN284" s="2028">
        <v>381</v>
      </c>
      <c r="AO284" s="2027">
        <f t="shared" si="116"/>
        <v>7601.1490347706376</v>
      </c>
      <c r="AP284" s="2027">
        <f t="shared" si="142"/>
        <v>6928.1306306503211</v>
      </c>
      <c r="AQ284" s="2027">
        <f t="shared" si="142"/>
        <v>6928.1306306503211</v>
      </c>
      <c r="AR284" s="2027" t="s">
        <v>3286</v>
      </c>
      <c r="AS284" s="2027">
        <f t="shared" si="118"/>
        <v>7541.7650579364918</v>
      </c>
      <c r="AT284" s="2027">
        <f t="shared" si="119"/>
        <v>1979.5905852365263</v>
      </c>
      <c r="AU284" s="2027">
        <f t="shared" si="143"/>
        <v>1804.3143355020422</v>
      </c>
      <c r="AV284" s="2027">
        <f t="shared" si="143"/>
        <v>1804.3143355020422</v>
      </c>
      <c r="AW284" s="2027">
        <f t="shared" si="143"/>
        <v>1964.1250337893659</v>
      </c>
      <c r="AX284" s="2124">
        <v>3.456</v>
      </c>
      <c r="AY284" s="2029">
        <v>3.456</v>
      </c>
      <c r="AZ284" s="2029">
        <v>3.456</v>
      </c>
      <c r="BA284" s="2029">
        <v>3.456</v>
      </c>
      <c r="BB284" s="2124">
        <v>18.144000000000002</v>
      </c>
      <c r="BC284" s="2029">
        <v>18.144000000000002</v>
      </c>
      <c r="BD284" s="2029">
        <v>18.144000000000002</v>
      </c>
      <c r="BE284" s="2029">
        <v>18.144000000000002</v>
      </c>
      <c r="BF284" s="2124">
        <v>12</v>
      </c>
      <c r="BG284" s="2029">
        <v>12</v>
      </c>
      <c r="BH284" s="2029">
        <v>12</v>
      </c>
      <c r="BI284" s="2029">
        <v>12</v>
      </c>
      <c r="BJ284" s="2030">
        <f t="shared" si="144"/>
        <v>1327.104</v>
      </c>
      <c r="BK284" s="2030">
        <f t="shared" si="144"/>
        <v>1209.5999999999999</v>
      </c>
      <c r="BL284" s="2030">
        <f t="shared" si="144"/>
        <v>1209.5999999999999</v>
      </c>
      <c r="BM284" s="2030"/>
      <c r="BN284" s="2030">
        <f t="shared" si="122"/>
        <v>1316.7359999999999</v>
      </c>
      <c r="BO284" s="2030">
        <f t="shared" si="123"/>
        <v>6967.2960000000003</v>
      </c>
      <c r="BP284" s="2030"/>
      <c r="BQ284" s="2030">
        <f t="shared" si="145"/>
        <v>6350.4000000000005</v>
      </c>
      <c r="BR284" s="2030">
        <f t="shared" si="145"/>
        <v>6350.4000000000005</v>
      </c>
      <c r="BS284" s="2030">
        <f t="shared" si="145"/>
        <v>6912.8640000000005</v>
      </c>
      <c r="BT284" s="2125"/>
      <c r="BU284" s="2125"/>
      <c r="BV284" s="2125"/>
      <c r="BW284" s="2125"/>
      <c r="BX284" s="2125"/>
      <c r="BY284" s="2125"/>
      <c r="BZ284" s="2125"/>
      <c r="CA284" s="2125"/>
      <c r="CB284" s="2029"/>
      <c r="CC284" s="2029"/>
      <c r="CD284" s="2029"/>
      <c r="CE284" s="2029"/>
      <c r="CF284" s="2029"/>
      <c r="CG284" s="2032"/>
      <c r="CH284" s="1974">
        <v>1012.626405</v>
      </c>
      <c r="CI284" s="1974">
        <v>0</v>
      </c>
      <c r="CJ284" s="1974">
        <v>0</v>
      </c>
      <c r="CK284" s="1974">
        <v>0</v>
      </c>
      <c r="CL284" s="1974">
        <v>0</v>
      </c>
      <c r="CM284" s="2033">
        <v>0</v>
      </c>
      <c r="CN284" s="2026">
        <v>7.6814805163195226E-4</v>
      </c>
      <c r="CO284" s="1974">
        <v>0</v>
      </c>
      <c r="CP284" s="2031">
        <v>0</v>
      </c>
      <c r="CQ284" s="2031">
        <f t="shared" si="128"/>
        <v>0</v>
      </c>
      <c r="CR284" s="2026">
        <v>1</v>
      </c>
      <c r="CS284" s="2026">
        <v>1</v>
      </c>
      <c r="CT284" s="2026">
        <v>1</v>
      </c>
      <c r="CU284" s="2026">
        <v>1</v>
      </c>
      <c r="CV284" s="2036"/>
      <c r="CW284" s="2036"/>
      <c r="CX284" s="2036"/>
      <c r="CY284" s="2036"/>
      <c r="CZ284" s="2036"/>
      <c r="DA284" s="2036"/>
    </row>
    <row r="285" spans="1:105" s="2161" customFormat="1" x14ac:dyDescent="0.25">
      <c r="A285" s="2187" t="s">
        <v>2998</v>
      </c>
      <c r="B285" s="2047" t="str">
        <f>IF(B137="","",B137)</f>
        <v/>
      </c>
      <c r="C285" s="2047">
        <v>15</v>
      </c>
      <c r="D285" s="2047"/>
      <c r="E285" s="2047">
        <v>42.69534774200001</v>
      </c>
      <c r="F285" s="2047"/>
      <c r="G285" s="2047">
        <v>9.1439273599999999E-3</v>
      </c>
      <c r="H285" s="2047"/>
      <c r="I285" s="2047">
        <v>-0.86174096360000019</v>
      </c>
      <c r="J285" s="2146"/>
      <c r="K285" s="2047" t="s">
        <v>2997</v>
      </c>
      <c r="L285" s="2047" t="s">
        <v>2997</v>
      </c>
      <c r="M285" s="2153">
        <v>0.96199999999999997</v>
      </c>
      <c r="N285" s="2153">
        <v>0.96199999999999997</v>
      </c>
      <c r="O285" s="2153">
        <v>0.96199999999999997</v>
      </c>
      <c r="P285" s="2153">
        <v>0.96199999999999997</v>
      </c>
      <c r="Q285" s="2146">
        <f t="shared" si="139"/>
        <v>41.072924527804005</v>
      </c>
      <c r="R285" s="2146">
        <f t="shared" si="139"/>
        <v>41.072924527804005</v>
      </c>
      <c r="S285" s="2146">
        <f t="shared" si="139"/>
        <v>41.072924527804005</v>
      </c>
      <c r="T285" s="2146">
        <f t="shared" si="139"/>
        <v>41.072924527804005</v>
      </c>
      <c r="U285" s="2153">
        <v>0.96199999999999997</v>
      </c>
      <c r="V285" s="2153">
        <v>0.96199999999999997</v>
      </c>
      <c r="W285" s="2153">
        <v>0.96199999999999997</v>
      </c>
      <c r="X285" s="2153">
        <v>0.96199999999999997</v>
      </c>
      <c r="Y285" s="2129">
        <f t="shared" si="140"/>
        <v>8.7964581203199988E-3</v>
      </c>
      <c r="Z285" s="2129">
        <f t="shared" si="140"/>
        <v>8.7964581203199988E-3</v>
      </c>
      <c r="AA285" s="2129">
        <f t="shared" si="140"/>
        <v>8.7964581203199988E-3</v>
      </c>
      <c r="AB285" s="2129">
        <f t="shared" si="140"/>
        <v>8.7964581203199988E-3</v>
      </c>
      <c r="AC285" s="2153">
        <v>0.96199999999999997</v>
      </c>
      <c r="AD285" s="2153">
        <v>0.96199999999999997</v>
      </c>
      <c r="AE285" s="2153">
        <v>0.96199999999999997</v>
      </c>
      <c r="AF285" s="2153">
        <v>0.96199999999999997</v>
      </c>
      <c r="AG285" s="2146">
        <f t="shared" si="141"/>
        <v>-0.82899480698320016</v>
      </c>
      <c r="AH285" s="2146">
        <f t="shared" si="141"/>
        <v>-0.82899480698320016</v>
      </c>
      <c r="AI285" s="2146">
        <f t="shared" si="141"/>
        <v>-0.82899480698320016</v>
      </c>
      <c r="AJ285" s="2146">
        <f t="shared" si="141"/>
        <v>-0.82899480698320016</v>
      </c>
      <c r="AK285" s="2146">
        <v>157428</v>
      </c>
      <c r="AL285" s="2146">
        <v>158742</v>
      </c>
      <c r="AM285" s="2146">
        <v>160054</v>
      </c>
      <c r="AN285" s="2146">
        <v>160905</v>
      </c>
      <c r="AO285" s="2146">
        <f t="shared" si="116"/>
        <v>6466028.3625631286</v>
      </c>
      <c r="AP285" s="2146">
        <f t="shared" si="142"/>
        <v>6519998.1853926638</v>
      </c>
      <c r="AQ285" s="2146">
        <f t="shared" si="142"/>
        <v>5850758.4175120965</v>
      </c>
      <c r="AR285" s="2027"/>
      <c r="AS285" s="2146">
        <f t="shared" si="118"/>
        <v>5881866.6398202097</v>
      </c>
      <c r="AT285" s="2146">
        <f t="shared" si="119"/>
        <v>-130506.99447375124</v>
      </c>
      <c r="AU285" s="2146">
        <f t="shared" si="143"/>
        <v>-131596.29365012716</v>
      </c>
      <c r="AV285" s="2146">
        <f t="shared" si="143"/>
        <v>-118088.70200483133</v>
      </c>
      <c r="AW285" s="2146">
        <f t="shared" si="143"/>
        <v>-118716.57438169234</v>
      </c>
      <c r="AX285" s="2046">
        <v>12</v>
      </c>
      <c r="AY285" s="2046">
        <v>11</v>
      </c>
      <c r="AZ285" s="2046">
        <v>10</v>
      </c>
      <c r="BA285" s="2046">
        <v>10</v>
      </c>
      <c r="BB285" s="2046">
        <v>0</v>
      </c>
      <c r="BC285" s="2046">
        <v>0</v>
      </c>
      <c r="BD285" s="2046">
        <v>0</v>
      </c>
      <c r="BE285" s="2046">
        <v>0</v>
      </c>
      <c r="BF285" s="2046">
        <v>4.1099999999999994</v>
      </c>
      <c r="BG285" s="2046">
        <v>4.1099999999999994</v>
      </c>
      <c r="BH285" s="2046">
        <v>4.1099999999999994</v>
      </c>
      <c r="BI285" s="2046">
        <v>4.1099999999999994</v>
      </c>
      <c r="BJ285" s="2154">
        <f t="shared" si="144"/>
        <v>1889136</v>
      </c>
      <c r="BK285" s="2154">
        <f t="shared" si="144"/>
        <v>1746162</v>
      </c>
      <c r="BL285" s="2154">
        <f t="shared" si="144"/>
        <v>1600540</v>
      </c>
      <c r="BM285" s="2154"/>
      <c r="BN285" s="2154">
        <f t="shared" si="122"/>
        <v>1609050</v>
      </c>
      <c r="BO285" s="2154">
        <f t="shared" si="123"/>
        <v>0</v>
      </c>
      <c r="BP285" s="2154"/>
      <c r="BQ285" s="2154">
        <f t="shared" si="145"/>
        <v>0</v>
      </c>
      <c r="BR285" s="2154">
        <f t="shared" si="145"/>
        <v>0</v>
      </c>
      <c r="BS285" s="2154">
        <f t="shared" si="145"/>
        <v>0</v>
      </c>
      <c r="BT285" s="2155"/>
      <c r="BU285" s="2155"/>
      <c r="BV285" s="2155"/>
      <c r="BW285" s="2155"/>
      <c r="BX285" s="2155"/>
      <c r="BY285" s="2155"/>
      <c r="BZ285" s="2155"/>
      <c r="CA285" s="2155"/>
      <c r="CB285" s="2046"/>
      <c r="CC285" s="2046"/>
      <c r="CD285" s="2046"/>
      <c r="CE285" s="2046"/>
      <c r="CF285" s="2046"/>
      <c r="CG285" s="2156"/>
      <c r="CH285" s="2047">
        <v>0</v>
      </c>
      <c r="CI285" s="2047">
        <v>0</v>
      </c>
      <c r="CJ285" s="2047">
        <v>0</v>
      </c>
      <c r="CK285" s="2047">
        <v>0</v>
      </c>
      <c r="CL285" s="2047">
        <v>0</v>
      </c>
      <c r="CM285" s="2157">
        <v>5.3391084823127502E-2</v>
      </c>
      <c r="CN285" s="2153">
        <v>-8.3067786388515599E-2</v>
      </c>
      <c r="CO285" s="2047">
        <v>1</v>
      </c>
      <c r="CP285" s="2063">
        <v>-1.176912501648</v>
      </c>
      <c r="CQ285" s="2063">
        <f t="shared" si="128"/>
        <v>1.176912501648</v>
      </c>
      <c r="CR285" s="2153">
        <v>1</v>
      </c>
      <c r="CS285" s="2153">
        <v>1</v>
      </c>
      <c r="CT285" s="2153">
        <v>0.89</v>
      </c>
      <c r="CU285" s="2153">
        <v>0.89</v>
      </c>
      <c r="CV285" s="2160"/>
      <c r="CW285" s="2160"/>
      <c r="CX285" s="2160"/>
      <c r="CY285" s="2160"/>
      <c r="CZ285" s="2160"/>
      <c r="DA285" s="2160"/>
    </row>
    <row r="286" spans="1:105" s="2161" customFormat="1" x14ac:dyDescent="0.25">
      <c r="A286" s="2187" t="s">
        <v>2999</v>
      </c>
      <c r="B286" s="2047" t="str">
        <f>IF(B147="","",B147)</f>
        <v/>
      </c>
      <c r="C286" s="2047">
        <v>15</v>
      </c>
      <c r="D286" s="2047"/>
      <c r="E286" s="2047">
        <v>89.722072000000011</v>
      </c>
      <c r="F286" s="2047"/>
      <c r="G286" s="2047">
        <v>1.41994336E-2</v>
      </c>
      <c r="H286" s="2047"/>
      <c r="I286" s="2047">
        <v>-0.98694279200000035</v>
      </c>
      <c r="J286" s="2146"/>
      <c r="K286" s="2047" t="s">
        <v>2997</v>
      </c>
      <c r="L286" s="2047" t="s">
        <v>2997</v>
      </c>
      <c r="M286" s="2153">
        <v>0.96199999999999997</v>
      </c>
      <c r="N286" s="2153">
        <v>0.96199999999999997</v>
      </c>
      <c r="O286" s="2153">
        <v>0.96199999999999997</v>
      </c>
      <c r="P286" s="2153">
        <v>0.96199999999999997</v>
      </c>
      <c r="Q286" s="2146">
        <f t="shared" si="139"/>
        <v>86.312633264000013</v>
      </c>
      <c r="R286" s="2146">
        <f t="shared" si="139"/>
        <v>86.312633264000013</v>
      </c>
      <c r="S286" s="2146">
        <f t="shared" si="139"/>
        <v>86.312633264000013</v>
      </c>
      <c r="T286" s="2146">
        <f t="shared" si="139"/>
        <v>86.312633264000013</v>
      </c>
      <c r="U286" s="2153">
        <v>0.96199999999999997</v>
      </c>
      <c r="V286" s="2153">
        <v>0.96199999999999997</v>
      </c>
      <c r="W286" s="2153">
        <v>0.96199999999999997</v>
      </c>
      <c r="X286" s="2153">
        <v>0.96199999999999997</v>
      </c>
      <c r="Y286" s="2129">
        <f t="shared" si="140"/>
        <v>1.3659855123199999E-2</v>
      </c>
      <c r="Z286" s="2129">
        <f t="shared" si="140"/>
        <v>1.3659855123199999E-2</v>
      </c>
      <c r="AA286" s="2129">
        <f t="shared" si="140"/>
        <v>1.3659855123199999E-2</v>
      </c>
      <c r="AB286" s="2129">
        <f t="shared" si="140"/>
        <v>1.3659855123199999E-2</v>
      </c>
      <c r="AC286" s="2153">
        <v>0.96199999999999997</v>
      </c>
      <c r="AD286" s="2153">
        <v>0.96199999999999997</v>
      </c>
      <c r="AE286" s="2153">
        <v>0.96199999999999997</v>
      </c>
      <c r="AF286" s="2153">
        <v>0.96199999999999997</v>
      </c>
      <c r="AG286" s="2146">
        <f t="shared" si="141"/>
        <v>-0.94943896590400034</v>
      </c>
      <c r="AH286" s="2146">
        <f t="shared" si="141"/>
        <v>-0.94943896590400034</v>
      </c>
      <c r="AI286" s="2146">
        <f t="shared" si="141"/>
        <v>-0.94943896590400034</v>
      </c>
      <c r="AJ286" s="2146">
        <f t="shared" si="141"/>
        <v>-0.94943896590400034</v>
      </c>
      <c r="AK286" s="2146">
        <v>9960</v>
      </c>
      <c r="AL286" s="2146">
        <v>11089</v>
      </c>
      <c r="AM286" s="2146">
        <v>11736</v>
      </c>
      <c r="AN286" s="2146">
        <v>11392</v>
      </c>
      <c r="AO286" s="2146">
        <f t="shared" si="116"/>
        <v>859673.82730944012</v>
      </c>
      <c r="AP286" s="2146">
        <f t="shared" si="142"/>
        <v>957120.79026449611</v>
      </c>
      <c r="AQ286" s="2146">
        <f t="shared" si="142"/>
        <v>1012965.0639863041</v>
      </c>
      <c r="AR286" s="2027"/>
      <c r="AS286" s="2146">
        <f t="shared" si="118"/>
        <v>983273.51814348809</v>
      </c>
      <c r="AT286" s="2146">
        <f t="shared" si="119"/>
        <v>-9456.4121004038443</v>
      </c>
      <c r="AU286" s="2146">
        <f t="shared" si="143"/>
        <v>-10528.328692909459</v>
      </c>
      <c r="AV286" s="2146">
        <f t="shared" si="143"/>
        <v>-11142.615703849347</v>
      </c>
      <c r="AW286" s="2146">
        <f t="shared" si="143"/>
        <v>-10816.008699578371</v>
      </c>
      <c r="AX286" s="2046">
        <v>27</v>
      </c>
      <c r="AY286" s="2046">
        <v>27</v>
      </c>
      <c r="AZ286" s="2046">
        <v>25</v>
      </c>
      <c r="BA286" s="2046">
        <v>24</v>
      </c>
      <c r="BB286" s="2046">
        <v>0</v>
      </c>
      <c r="BC286" s="2046">
        <v>0</v>
      </c>
      <c r="BD286" s="2046">
        <v>0</v>
      </c>
      <c r="BE286" s="2046">
        <v>0</v>
      </c>
      <c r="BF286" s="2046">
        <v>16</v>
      </c>
      <c r="BG286" s="2046">
        <v>15</v>
      </c>
      <c r="BH286" s="2046">
        <v>12</v>
      </c>
      <c r="BI286" s="2046">
        <v>10</v>
      </c>
      <c r="BJ286" s="2154">
        <f t="shared" si="144"/>
        <v>268920</v>
      </c>
      <c r="BK286" s="2154">
        <f t="shared" si="144"/>
        <v>299403</v>
      </c>
      <c r="BL286" s="2154">
        <f t="shared" si="144"/>
        <v>293400</v>
      </c>
      <c r="BM286" s="2154"/>
      <c r="BN286" s="2154">
        <f t="shared" si="122"/>
        <v>273408</v>
      </c>
      <c r="BO286" s="2154">
        <f t="shared" si="123"/>
        <v>0</v>
      </c>
      <c r="BP286" s="2154"/>
      <c r="BQ286" s="2154">
        <f t="shared" si="145"/>
        <v>0</v>
      </c>
      <c r="BR286" s="2154">
        <f t="shared" si="145"/>
        <v>0</v>
      </c>
      <c r="BS286" s="2154">
        <f t="shared" si="145"/>
        <v>0</v>
      </c>
      <c r="BT286" s="2155"/>
      <c r="BU286" s="2155"/>
      <c r="BV286" s="2155"/>
      <c r="BW286" s="2155"/>
      <c r="BX286" s="2155"/>
      <c r="BY286" s="2155"/>
      <c r="BZ286" s="2155"/>
      <c r="CA286" s="2155"/>
      <c r="CB286" s="2046"/>
      <c r="CC286" s="2046"/>
      <c r="CD286" s="2046"/>
      <c r="CE286" s="2046"/>
      <c r="CF286" s="2046"/>
      <c r="CG286" s="2156"/>
      <c r="CH286" s="2047">
        <v>0</v>
      </c>
      <c r="CI286" s="2047">
        <v>0</v>
      </c>
      <c r="CJ286" s="2047">
        <v>0</v>
      </c>
      <c r="CK286" s="2047">
        <v>0</v>
      </c>
      <c r="CL286" s="2047">
        <v>0</v>
      </c>
      <c r="CM286" s="2157">
        <v>5.7048352087728646E-3</v>
      </c>
      <c r="CN286" s="2153">
        <v>-1.1073192498929397E-2</v>
      </c>
      <c r="CO286" s="2047">
        <v>1</v>
      </c>
      <c r="CP286" s="2063">
        <v>-1.176912501648</v>
      </c>
      <c r="CQ286" s="2063">
        <f t="shared" si="128"/>
        <v>1.176912501648</v>
      </c>
      <c r="CR286" s="2153">
        <v>1</v>
      </c>
      <c r="CS286" s="2153">
        <v>1</v>
      </c>
      <c r="CT286" s="2153">
        <v>1</v>
      </c>
      <c r="CU286" s="2153">
        <v>1</v>
      </c>
      <c r="CV286" s="2160"/>
      <c r="CW286" s="2160"/>
      <c r="CX286" s="2160"/>
      <c r="CY286" s="2160"/>
      <c r="CZ286" s="2160"/>
      <c r="DA286" s="2160"/>
    </row>
    <row r="287" spans="1:105" x14ac:dyDescent="0.25">
      <c r="A287" s="2263" t="s">
        <v>1019</v>
      </c>
      <c r="B287" s="2093" t="str">
        <f>IF(B155="","",B155)</f>
        <v/>
      </c>
      <c r="C287" s="1974">
        <v>9</v>
      </c>
      <c r="D287" s="1974"/>
      <c r="E287" s="1974">
        <v>37.146562321527398</v>
      </c>
      <c r="F287" s="1974"/>
      <c r="G287" s="1974">
        <v>6.4206635727597598E-3</v>
      </c>
      <c r="H287" s="1974"/>
      <c r="I287" s="1974">
        <v>7.4212283375760961</v>
      </c>
      <c r="J287" s="2027"/>
      <c r="K287" s="1974" t="s">
        <v>2997</v>
      </c>
      <c r="L287" s="1974" t="s">
        <v>2997</v>
      </c>
      <c r="M287" s="2026">
        <v>0.96199999999999997</v>
      </c>
      <c r="N287" s="2026">
        <v>0.96199999999999997</v>
      </c>
      <c r="O287" s="2026">
        <v>0.96199999999999997</v>
      </c>
      <c r="P287" s="2026">
        <v>0.96199999999999997</v>
      </c>
      <c r="Q287" s="2027">
        <f t="shared" si="139"/>
        <v>35.734992953309359</v>
      </c>
      <c r="R287" s="2027">
        <f t="shared" si="139"/>
        <v>35.734992953309359</v>
      </c>
      <c r="S287" s="2027">
        <f t="shared" si="139"/>
        <v>35.734992953309359</v>
      </c>
      <c r="T287" s="2027">
        <f t="shared" si="139"/>
        <v>35.734992953309359</v>
      </c>
      <c r="U287" s="2026">
        <v>0.96199999999999997</v>
      </c>
      <c r="V287" s="2026">
        <v>0.96199999999999997</v>
      </c>
      <c r="W287" s="2026">
        <v>0.96199999999999997</v>
      </c>
      <c r="X287" s="2026">
        <v>0.96199999999999997</v>
      </c>
      <c r="Y287" s="2028">
        <f t="shared" si="140"/>
        <v>6.1766783569948891E-3</v>
      </c>
      <c r="Z287" s="2028">
        <f t="shared" si="140"/>
        <v>6.1766783569948891E-3</v>
      </c>
      <c r="AA287" s="2028">
        <f t="shared" si="140"/>
        <v>6.1766783569948891E-3</v>
      </c>
      <c r="AB287" s="2028">
        <f t="shared" si="140"/>
        <v>6.1766783569948891E-3</v>
      </c>
      <c r="AC287" s="2026">
        <v>0.96199999999999997</v>
      </c>
      <c r="AD287" s="2026">
        <v>0.96199999999999997</v>
      </c>
      <c r="AE287" s="2026">
        <v>0.96199999999999997</v>
      </c>
      <c r="AF287" s="2026">
        <v>0.96199999999999997</v>
      </c>
      <c r="AG287" s="2027">
        <f t="shared" si="141"/>
        <v>7.1392216607482046</v>
      </c>
      <c r="AH287" s="2027">
        <f t="shared" si="141"/>
        <v>7.1392216607482046</v>
      </c>
      <c r="AI287" s="2027">
        <f t="shared" si="141"/>
        <v>7.1392216607482046</v>
      </c>
      <c r="AJ287" s="2027">
        <f t="shared" si="141"/>
        <v>7.1392216607482046</v>
      </c>
      <c r="AK287" s="2027">
        <v>690</v>
      </c>
      <c r="AL287" s="2027">
        <v>600</v>
      </c>
      <c r="AM287" s="2027">
        <v>640</v>
      </c>
      <c r="AN287" s="2027">
        <v>675</v>
      </c>
      <c r="AO287" s="2027">
        <f t="shared" si="116"/>
        <v>24657.145137783456</v>
      </c>
      <c r="AP287" s="2027">
        <f t="shared" si="142"/>
        <v>21440.995771985614</v>
      </c>
      <c r="AQ287" s="2027">
        <f t="shared" si="142"/>
        <v>22870.39549011799</v>
      </c>
      <c r="AR287" s="2027" t="s">
        <v>3286</v>
      </c>
      <c r="AS287" s="2027">
        <f t="shared" si="118"/>
        <v>24121.120243483816</v>
      </c>
      <c r="AT287" s="2027">
        <f t="shared" si="119"/>
        <v>4926.062945916261</v>
      </c>
      <c r="AU287" s="2027">
        <f t="shared" si="143"/>
        <v>4283.5329964489229</v>
      </c>
      <c r="AV287" s="2027">
        <f t="shared" si="143"/>
        <v>4569.1018628788506</v>
      </c>
      <c r="AW287" s="2027">
        <f t="shared" si="143"/>
        <v>4818.974621005038</v>
      </c>
      <c r="AX287" s="2124">
        <v>2.4000000000000012</v>
      </c>
      <c r="AY287" s="2029">
        <v>2.4000000000000012</v>
      </c>
      <c r="AZ287" s="2029">
        <v>2.4000000000000012</v>
      </c>
      <c r="BA287" s="2029">
        <v>2.4000000000000012</v>
      </c>
      <c r="BB287" s="2124">
        <v>9.600000000000005</v>
      </c>
      <c r="BC287" s="2029">
        <v>9.600000000000005</v>
      </c>
      <c r="BD287" s="2029">
        <v>9.600000000000005</v>
      </c>
      <c r="BE287" s="2029">
        <v>9.600000000000005</v>
      </c>
      <c r="BF287" s="2124">
        <v>8</v>
      </c>
      <c r="BG287" s="2029">
        <v>8</v>
      </c>
      <c r="BH287" s="2029">
        <v>8</v>
      </c>
      <c r="BI287" s="2029">
        <v>8</v>
      </c>
      <c r="BJ287" s="2030">
        <f t="shared" si="144"/>
        <v>1656.0000000000009</v>
      </c>
      <c r="BK287" s="2030">
        <f t="shared" si="144"/>
        <v>1440.0000000000007</v>
      </c>
      <c r="BL287" s="2030">
        <f t="shared" si="144"/>
        <v>1536.0000000000009</v>
      </c>
      <c r="BM287" s="2030"/>
      <c r="BN287" s="2030">
        <f t="shared" si="122"/>
        <v>1620.0000000000009</v>
      </c>
      <c r="BO287" s="2030">
        <f t="shared" si="123"/>
        <v>6624.0000000000036</v>
      </c>
      <c r="BP287" s="2030"/>
      <c r="BQ287" s="2030">
        <f t="shared" si="145"/>
        <v>5760.0000000000027</v>
      </c>
      <c r="BR287" s="2030">
        <f t="shared" si="145"/>
        <v>6144.0000000000036</v>
      </c>
      <c r="BS287" s="2030">
        <f t="shared" si="145"/>
        <v>6480.0000000000036</v>
      </c>
      <c r="BT287" s="2125"/>
      <c r="BU287" s="2125"/>
      <c r="BV287" s="2125"/>
      <c r="BW287" s="2125"/>
      <c r="BX287" s="2125"/>
      <c r="BY287" s="2125"/>
      <c r="BZ287" s="2125"/>
      <c r="CA287" s="2125"/>
      <c r="CB287" s="2029"/>
      <c r="CC287" s="2029"/>
      <c r="CD287" s="2029"/>
      <c r="CE287" s="2029"/>
      <c r="CF287" s="2029"/>
      <c r="CG287" s="2032"/>
      <c r="CH287" s="1974">
        <v>2021.0316823464311</v>
      </c>
      <c r="CI287" s="1974">
        <v>0</v>
      </c>
      <c r="CJ287" s="1974">
        <v>0</v>
      </c>
      <c r="CK287" s="1974">
        <v>0</v>
      </c>
      <c r="CL287" s="1974">
        <v>0</v>
      </c>
      <c r="CM287" s="2033">
        <v>8.8589224165502053E-5</v>
      </c>
      <c r="CN287" s="2026">
        <v>1.702047307690444E-3</v>
      </c>
      <c r="CO287" s="1974">
        <v>0</v>
      </c>
      <c r="CP287" s="2031">
        <v>0</v>
      </c>
      <c r="CQ287" s="2031">
        <f t="shared" si="128"/>
        <v>0</v>
      </c>
      <c r="CR287" s="2026">
        <v>1</v>
      </c>
      <c r="CS287" s="2026">
        <v>1</v>
      </c>
      <c r="CT287" s="2026">
        <v>1</v>
      </c>
      <c r="CU287" s="2026">
        <v>1</v>
      </c>
      <c r="CV287" s="2036"/>
      <c r="CW287" s="2036"/>
      <c r="CX287" s="2036"/>
      <c r="CY287" s="2036"/>
      <c r="CZ287" s="2036"/>
      <c r="DA287" s="2036"/>
    </row>
    <row r="288" spans="1:105" x14ac:dyDescent="0.25">
      <c r="A288" s="2263" t="s">
        <v>1020</v>
      </c>
      <c r="B288" s="2093" t="str">
        <f>IF(B156="","",B156)</f>
        <v/>
      </c>
      <c r="C288" s="1974">
        <v>9</v>
      </c>
      <c r="D288" s="1974"/>
      <c r="E288" s="1974">
        <v>37.146562321527398</v>
      </c>
      <c r="F288" s="1974"/>
      <c r="G288" s="1974">
        <v>6.4206635727597598E-3</v>
      </c>
      <c r="H288" s="1974"/>
      <c r="I288" s="1974">
        <v>7.4212283375760961</v>
      </c>
      <c r="J288" s="2027"/>
      <c r="K288" s="1974" t="s">
        <v>2997</v>
      </c>
      <c r="L288" s="1974" t="s">
        <v>2997</v>
      </c>
      <c r="M288" s="2026">
        <v>0.96199999999999997</v>
      </c>
      <c r="N288" s="2026">
        <v>0.96199999999999997</v>
      </c>
      <c r="O288" s="2026">
        <v>0.96199999999999997</v>
      </c>
      <c r="P288" s="2026">
        <v>0.96199999999999997</v>
      </c>
      <c r="Q288" s="2027">
        <f t="shared" si="139"/>
        <v>35.734992953309359</v>
      </c>
      <c r="R288" s="2027">
        <f t="shared" si="139"/>
        <v>35.734992953309359</v>
      </c>
      <c r="S288" s="2027">
        <f t="shared" si="139"/>
        <v>35.734992953309359</v>
      </c>
      <c r="T288" s="2027">
        <f t="shared" si="139"/>
        <v>35.734992953309359</v>
      </c>
      <c r="U288" s="2026">
        <v>0.96199999999999997</v>
      </c>
      <c r="V288" s="2026">
        <v>0.96199999999999997</v>
      </c>
      <c r="W288" s="2026">
        <v>0.96199999999999997</v>
      </c>
      <c r="X288" s="2026">
        <v>0.96199999999999997</v>
      </c>
      <c r="Y288" s="2028">
        <f t="shared" si="140"/>
        <v>6.1766783569948891E-3</v>
      </c>
      <c r="Z288" s="2028">
        <f t="shared" si="140"/>
        <v>6.1766783569948891E-3</v>
      </c>
      <c r="AA288" s="2028">
        <f t="shared" si="140"/>
        <v>6.1766783569948891E-3</v>
      </c>
      <c r="AB288" s="2028">
        <f t="shared" si="140"/>
        <v>6.1766783569948891E-3</v>
      </c>
      <c r="AC288" s="2026">
        <v>0.96199999999999997</v>
      </c>
      <c r="AD288" s="2026">
        <v>0.96199999999999997</v>
      </c>
      <c r="AE288" s="2026">
        <v>0.96199999999999997</v>
      </c>
      <c r="AF288" s="2026">
        <v>0.96199999999999997</v>
      </c>
      <c r="AG288" s="2027">
        <f t="shared" si="141"/>
        <v>7.1392216607482046</v>
      </c>
      <c r="AH288" s="2027">
        <f t="shared" si="141"/>
        <v>7.1392216607482046</v>
      </c>
      <c r="AI288" s="2027">
        <f t="shared" si="141"/>
        <v>7.1392216607482046</v>
      </c>
      <c r="AJ288" s="2027">
        <f t="shared" si="141"/>
        <v>7.1392216607482046</v>
      </c>
      <c r="AK288" s="2027">
        <v>690</v>
      </c>
      <c r="AL288" s="2027">
        <v>600</v>
      </c>
      <c r="AM288" s="2027">
        <v>640</v>
      </c>
      <c r="AN288" s="2027">
        <v>675</v>
      </c>
      <c r="AO288" s="2027">
        <f t="shared" si="116"/>
        <v>24657.145137783456</v>
      </c>
      <c r="AP288" s="2027">
        <f t="shared" si="142"/>
        <v>21440.995771985614</v>
      </c>
      <c r="AQ288" s="2027">
        <f t="shared" si="142"/>
        <v>22870.39549011799</v>
      </c>
      <c r="AR288" s="2027" t="s">
        <v>3286</v>
      </c>
      <c r="AS288" s="2027">
        <f t="shared" si="118"/>
        <v>24121.120243483816</v>
      </c>
      <c r="AT288" s="2027">
        <f t="shared" si="119"/>
        <v>4926.062945916261</v>
      </c>
      <c r="AU288" s="2027">
        <f t="shared" si="143"/>
        <v>4283.5329964489229</v>
      </c>
      <c r="AV288" s="2027">
        <f t="shared" si="143"/>
        <v>4569.1018628788506</v>
      </c>
      <c r="AW288" s="2027">
        <f t="shared" si="143"/>
        <v>4818.974621005038</v>
      </c>
      <c r="AX288" s="2124">
        <v>4.8000000000000025</v>
      </c>
      <c r="AY288" s="2029">
        <v>4.8000000000000025</v>
      </c>
      <c r="AZ288" s="2029">
        <v>4.8000000000000025</v>
      </c>
      <c r="BA288" s="2029">
        <v>4.8000000000000025</v>
      </c>
      <c r="BB288" s="2124">
        <v>19.20000000000001</v>
      </c>
      <c r="BC288" s="2029">
        <v>19.20000000000001</v>
      </c>
      <c r="BD288" s="2029">
        <v>19.20000000000001</v>
      </c>
      <c r="BE288" s="2029">
        <v>19.20000000000001</v>
      </c>
      <c r="BF288" s="2124">
        <v>8</v>
      </c>
      <c r="BG288" s="2029">
        <v>8</v>
      </c>
      <c r="BH288" s="2029">
        <v>8</v>
      </c>
      <c r="BI288" s="2029">
        <v>8</v>
      </c>
      <c r="BJ288" s="2030">
        <f t="shared" si="144"/>
        <v>3312.0000000000018</v>
      </c>
      <c r="BK288" s="2030">
        <f t="shared" si="144"/>
        <v>2880.0000000000014</v>
      </c>
      <c r="BL288" s="2030">
        <f t="shared" si="144"/>
        <v>3072.0000000000018</v>
      </c>
      <c r="BM288" s="2030"/>
      <c r="BN288" s="2030">
        <f t="shared" si="122"/>
        <v>3240.0000000000018</v>
      </c>
      <c r="BO288" s="2030">
        <f t="shared" si="123"/>
        <v>13248.000000000007</v>
      </c>
      <c r="BP288" s="2030"/>
      <c r="BQ288" s="2030">
        <f t="shared" si="145"/>
        <v>11520.000000000005</v>
      </c>
      <c r="BR288" s="2030">
        <f t="shared" si="145"/>
        <v>12288.000000000007</v>
      </c>
      <c r="BS288" s="2030">
        <f t="shared" si="145"/>
        <v>12960.000000000007</v>
      </c>
      <c r="BT288" s="2125"/>
      <c r="BU288" s="2125"/>
      <c r="BV288" s="2125"/>
      <c r="BW288" s="2125"/>
      <c r="BX288" s="2125"/>
      <c r="BY288" s="2125"/>
      <c r="BZ288" s="2125"/>
      <c r="CA288" s="2125"/>
      <c r="CB288" s="2029"/>
      <c r="CC288" s="2029"/>
      <c r="CD288" s="2029"/>
      <c r="CE288" s="2029"/>
      <c r="CF288" s="2029"/>
      <c r="CG288" s="2032"/>
      <c r="CH288" s="1974">
        <v>2021.0316823464311</v>
      </c>
      <c r="CI288" s="1974">
        <v>0</v>
      </c>
      <c r="CJ288" s="1974">
        <v>0</v>
      </c>
      <c r="CK288" s="1974">
        <v>0</v>
      </c>
      <c r="CL288" s="1974">
        <v>0</v>
      </c>
      <c r="CM288" s="2033">
        <v>8.8589224165502053E-5</v>
      </c>
      <c r="CN288" s="2026">
        <v>1.702047307690444E-3</v>
      </c>
      <c r="CO288" s="1974">
        <v>0</v>
      </c>
      <c r="CP288" s="2031">
        <v>0</v>
      </c>
      <c r="CQ288" s="2031">
        <f t="shared" si="128"/>
        <v>0</v>
      </c>
      <c r="CR288" s="2026">
        <v>1</v>
      </c>
      <c r="CS288" s="2026">
        <v>1</v>
      </c>
      <c r="CT288" s="2026">
        <v>1</v>
      </c>
      <c r="CU288" s="2026">
        <v>1</v>
      </c>
      <c r="CV288" s="2036"/>
      <c r="CW288" s="2036"/>
      <c r="CX288" s="2036"/>
      <c r="CY288" s="2036"/>
      <c r="CZ288" s="2036"/>
      <c r="DA288" s="2036"/>
    </row>
    <row r="289" spans="1:105" s="2161" customFormat="1" x14ac:dyDescent="0.25">
      <c r="A289" s="2187" t="s">
        <v>2957</v>
      </c>
      <c r="B289" s="2047" t="str">
        <f>IF(B158="","",B158)</f>
        <v/>
      </c>
      <c r="C289" s="2047">
        <v>10</v>
      </c>
      <c r="D289" s="2047"/>
      <c r="E289" s="2047">
        <v>621</v>
      </c>
      <c r="F289" s="2047"/>
      <c r="G289" s="2047">
        <v>5.7634999999999999E-2</v>
      </c>
      <c r="H289" s="2047"/>
      <c r="I289" s="2047">
        <v>61.482900000000001</v>
      </c>
      <c r="J289" s="2146"/>
      <c r="K289" s="2047" t="s">
        <v>2997</v>
      </c>
      <c r="L289" s="2047" t="s">
        <v>2997</v>
      </c>
      <c r="M289" s="2153">
        <v>0.96199999999999997</v>
      </c>
      <c r="N289" s="2153">
        <v>0.96199999999999997</v>
      </c>
      <c r="O289" s="2153">
        <v>0.96199999999999997</v>
      </c>
      <c r="P289" s="2153">
        <v>0.96199999999999997</v>
      </c>
      <c r="Q289" s="2146">
        <f t="shared" si="139"/>
        <v>597.40199999999993</v>
      </c>
      <c r="R289" s="2146">
        <f t="shared" si="139"/>
        <v>597.40199999999993</v>
      </c>
      <c r="S289" s="2146">
        <f t="shared" si="139"/>
        <v>597.40199999999993</v>
      </c>
      <c r="T289" s="2146">
        <f t="shared" si="139"/>
        <v>597.40199999999993</v>
      </c>
      <c r="U289" s="2153">
        <v>0.96199999999999997</v>
      </c>
      <c r="V289" s="2153">
        <v>0.96199999999999997</v>
      </c>
      <c r="W289" s="2153">
        <v>0.96199999999999997</v>
      </c>
      <c r="X289" s="2153">
        <v>0.96199999999999997</v>
      </c>
      <c r="Y289" s="2129">
        <f t="shared" si="140"/>
        <v>5.544487E-2</v>
      </c>
      <c r="Z289" s="2129">
        <f t="shared" si="140"/>
        <v>5.544487E-2</v>
      </c>
      <c r="AA289" s="2129">
        <f t="shared" si="140"/>
        <v>5.544487E-2</v>
      </c>
      <c r="AB289" s="2129">
        <f t="shared" si="140"/>
        <v>5.544487E-2</v>
      </c>
      <c r="AC289" s="2153">
        <v>0.96199999999999997</v>
      </c>
      <c r="AD289" s="2153">
        <v>0.96199999999999997</v>
      </c>
      <c r="AE289" s="2153">
        <v>0.96199999999999997</v>
      </c>
      <c r="AF289" s="2153">
        <v>0.96199999999999997</v>
      </c>
      <c r="AG289" s="2146">
        <f t="shared" si="141"/>
        <v>59.146549799999995</v>
      </c>
      <c r="AH289" s="2146">
        <f t="shared" si="141"/>
        <v>59.146549799999995</v>
      </c>
      <c r="AI289" s="2146">
        <f t="shared" si="141"/>
        <v>59.146549799999995</v>
      </c>
      <c r="AJ289" s="2146">
        <f t="shared" si="141"/>
        <v>59.146549799999995</v>
      </c>
      <c r="AK289" s="2146">
        <v>75</v>
      </c>
      <c r="AL289" s="2146">
        <v>75</v>
      </c>
      <c r="AM289" s="2146">
        <v>75</v>
      </c>
      <c r="AN289" s="2146">
        <v>75</v>
      </c>
      <c r="AO289" s="2146">
        <f t="shared" si="116"/>
        <v>44805.149999999994</v>
      </c>
      <c r="AP289" s="2146">
        <f t="shared" si="142"/>
        <v>44805.149999999994</v>
      </c>
      <c r="AQ289" s="2146">
        <f t="shared" si="142"/>
        <v>44805.149999999994</v>
      </c>
      <c r="AR289" s="2027"/>
      <c r="AS289" s="2146">
        <f t="shared" si="118"/>
        <v>44805.149999999994</v>
      </c>
      <c r="AT289" s="2146">
        <f t="shared" si="119"/>
        <v>4435.9912349999995</v>
      </c>
      <c r="AU289" s="2146">
        <f t="shared" si="143"/>
        <v>4435.9912349999995</v>
      </c>
      <c r="AV289" s="2146">
        <f t="shared" si="143"/>
        <v>4435.9912349999995</v>
      </c>
      <c r="AW289" s="2146">
        <f t="shared" si="143"/>
        <v>4435.9912349999995</v>
      </c>
      <c r="AX289" s="2046">
        <v>107.10000000000001</v>
      </c>
      <c r="AY289" s="2046">
        <v>68.599999999999994</v>
      </c>
      <c r="AZ289" s="2046">
        <v>68.599999999999994</v>
      </c>
      <c r="BA289" s="2046">
        <v>68.599999999999994</v>
      </c>
      <c r="BB289" s="2046">
        <v>102.89999999999999</v>
      </c>
      <c r="BC289" s="2046">
        <v>71.400000000000006</v>
      </c>
      <c r="BD289" s="2046">
        <v>71.400000000000006</v>
      </c>
      <c r="BE289" s="2046">
        <v>71.400000000000006</v>
      </c>
      <c r="BF289" s="2046">
        <v>175</v>
      </c>
      <c r="BG289" s="2046">
        <v>175</v>
      </c>
      <c r="BH289" s="2046">
        <v>175</v>
      </c>
      <c r="BI289" s="2046">
        <v>175</v>
      </c>
      <c r="BJ289" s="2154">
        <f t="shared" si="144"/>
        <v>8032.5000000000009</v>
      </c>
      <c r="BK289" s="2154">
        <f t="shared" si="144"/>
        <v>5145</v>
      </c>
      <c r="BL289" s="2154">
        <f t="shared" si="144"/>
        <v>5145</v>
      </c>
      <c r="BM289" s="2154"/>
      <c r="BN289" s="2154">
        <f t="shared" si="122"/>
        <v>5145</v>
      </c>
      <c r="BO289" s="2154">
        <f t="shared" si="123"/>
        <v>7717.4999999999991</v>
      </c>
      <c r="BP289" s="2154"/>
      <c r="BQ289" s="2154">
        <f t="shared" si="145"/>
        <v>5355</v>
      </c>
      <c r="BR289" s="2154">
        <f t="shared" si="145"/>
        <v>5355</v>
      </c>
      <c r="BS289" s="2154">
        <f t="shared" si="145"/>
        <v>5355</v>
      </c>
      <c r="BT289" s="2155"/>
      <c r="BU289" s="2155"/>
      <c r="BV289" s="2155"/>
      <c r="BW289" s="2155"/>
      <c r="BX289" s="2155"/>
      <c r="BY289" s="2155"/>
      <c r="BZ289" s="2155"/>
      <c r="CA289" s="2155"/>
      <c r="CB289" s="2046"/>
      <c r="CC289" s="2046"/>
      <c r="CD289" s="2046"/>
      <c r="CE289" s="2046"/>
      <c r="CF289" s="2046"/>
      <c r="CG289" s="2156"/>
      <c r="CH289" s="2047">
        <v>0</v>
      </c>
      <c r="CI289" s="2047">
        <v>0</v>
      </c>
      <c r="CJ289" s="2047">
        <v>0</v>
      </c>
      <c r="CK289" s="2047">
        <v>0</v>
      </c>
      <c r="CL289" s="2047">
        <v>0</v>
      </c>
      <c r="CM289" s="2157">
        <v>9.0711001693750425E-5</v>
      </c>
      <c r="CN289" s="2153">
        <v>8.636867751263726E-4</v>
      </c>
      <c r="CO289" s="2047">
        <v>0</v>
      </c>
      <c r="CP289" s="2063">
        <v>0</v>
      </c>
      <c r="CQ289" s="2063">
        <f t="shared" si="128"/>
        <v>0</v>
      </c>
      <c r="CR289" s="2153">
        <v>1</v>
      </c>
      <c r="CS289" s="2153">
        <v>1</v>
      </c>
      <c r="CT289" s="2153">
        <v>1</v>
      </c>
      <c r="CU289" s="2153">
        <v>1</v>
      </c>
      <c r="CV289" s="2160"/>
      <c r="CW289" s="2160"/>
      <c r="CX289" s="2160"/>
      <c r="CY289" s="2160"/>
      <c r="CZ289" s="2160"/>
      <c r="DA289" s="2160"/>
    </row>
    <row r="290" spans="1:105" x14ac:dyDescent="0.25">
      <c r="A290" s="2261" t="s">
        <v>262</v>
      </c>
      <c r="B290" s="2093" t="str">
        <f>IF(B170="","",B170)</f>
        <v/>
      </c>
      <c r="C290" s="1974">
        <v>15</v>
      </c>
      <c r="D290" s="1974"/>
      <c r="E290" s="1974">
        <v>101.616</v>
      </c>
      <c r="F290" s="1974"/>
      <c r="G290" s="1974">
        <v>1.1599999999999999E-2</v>
      </c>
      <c r="H290" s="1974"/>
      <c r="I290" s="1974">
        <v>0</v>
      </c>
      <c r="J290" s="2027"/>
      <c r="K290" s="1974" t="s">
        <v>2997</v>
      </c>
      <c r="L290" s="1974" t="s">
        <v>2997</v>
      </c>
      <c r="M290" s="2026">
        <v>0.96199999999999997</v>
      </c>
      <c r="N290" s="2026">
        <v>0.96199999999999997</v>
      </c>
      <c r="O290" s="2026">
        <v>0.96199999999999997</v>
      </c>
      <c r="P290" s="2026">
        <v>0.96199999999999997</v>
      </c>
      <c r="Q290" s="2027">
        <f t="shared" si="139"/>
        <v>97.754592000000002</v>
      </c>
      <c r="R290" s="2027">
        <f t="shared" si="139"/>
        <v>97.754592000000002</v>
      </c>
      <c r="S290" s="2027">
        <f t="shared" si="139"/>
        <v>97.754592000000002</v>
      </c>
      <c r="T290" s="2027">
        <f t="shared" si="139"/>
        <v>97.754592000000002</v>
      </c>
      <c r="U290" s="2026">
        <v>0.96199999999999997</v>
      </c>
      <c r="V290" s="2026">
        <v>0.96199999999999997</v>
      </c>
      <c r="W290" s="2026">
        <v>0.96199999999999997</v>
      </c>
      <c r="X290" s="2026">
        <v>0.96199999999999997</v>
      </c>
      <c r="Y290" s="2028">
        <f t="shared" si="140"/>
        <v>1.1159199999999999E-2</v>
      </c>
      <c r="Z290" s="2028">
        <f t="shared" si="140"/>
        <v>1.1159199999999999E-2</v>
      </c>
      <c r="AA290" s="2028">
        <f t="shared" si="140"/>
        <v>1.1159199999999999E-2</v>
      </c>
      <c r="AB290" s="2028">
        <f t="shared" si="140"/>
        <v>1.1159199999999999E-2</v>
      </c>
      <c r="AC290" s="2026">
        <v>0.96199999999999997</v>
      </c>
      <c r="AD290" s="2026">
        <v>0.96199999999999997</v>
      </c>
      <c r="AE290" s="2026">
        <v>0.96199999999999997</v>
      </c>
      <c r="AF290" s="2026">
        <v>0.96199999999999997</v>
      </c>
      <c r="AG290" s="2027">
        <f t="shared" si="141"/>
        <v>0</v>
      </c>
      <c r="AH290" s="2027">
        <f t="shared" si="141"/>
        <v>0</v>
      </c>
      <c r="AI290" s="2027">
        <f t="shared" si="141"/>
        <v>0</v>
      </c>
      <c r="AJ290" s="2027">
        <f t="shared" si="141"/>
        <v>0</v>
      </c>
      <c r="AK290" s="2027">
        <v>18</v>
      </c>
      <c r="AL290" s="2027">
        <v>18</v>
      </c>
      <c r="AM290" s="2027">
        <v>28</v>
      </c>
      <c r="AN290" s="2027">
        <v>19</v>
      </c>
      <c r="AO290" s="2027">
        <f t="shared" si="116"/>
        <v>1759.582656</v>
      </c>
      <c r="AP290" s="2027">
        <f t="shared" si="142"/>
        <v>1759.582656</v>
      </c>
      <c r="AQ290" s="2027">
        <f t="shared" si="142"/>
        <v>2737.1285760000001</v>
      </c>
      <c r="AR290" s="2027" t="s">
        <v>3286</v>
      </c>
      <c r="AS290" s="2027">
        <f t="shared" si="118"/>
        <v>1857.337248</v>
      </c>
      <c r="AT290" s="2027">
        <f t="shared" si="119"/>
        <v>0</v>
      </c>
      <c r="AU290" s="2027">
        <f t="shared" si="143"/>
        <v>0</v>
      </c>
      <c r="AV290" s="2027">
        <f t="shared" si="143"/>
        <v>0</v>
      </c>
      <c r="AW290" s="2027">
        <f t="shared" si="143"/>
        <v>0</v>
      </c>
      <c r="AX290" s="2124">
        <v>250</v>
      </c>
      <c r="AY290" s="2029">
        <v>250</v>
      </c>
      <c r="AZ290" s="2029">
        <v>250</v>
      </c>
      <c r="BA290" s="2029">
        <v>250</v>
      </c>
      <c r="BB290" s="2124">
        <v>0</v>
      </c>
      <c r="BC290" s="2029">
        <v>0</v>
      </c>
      <c r="BD290" s="2029">
        <v>0</v>
      </c>
      <c r="BE290" s="2029">
        <v>0</v>
      </c>
      <c r="BF290" s="2124">
        <v>224</v>
      </c>
      <c r="BG290" s="2029">
        <v>224</v>
      </c>
      <c r="BH290" s="2029">
        <v>224</v>
      </c>
      <c r="BI290" s="2029">
        <v>224</v>
      </c>
      <c r="BJ290" s="2030">
        <f t="shared" si="144"/>
        <v>4500</v>
      </c>
      <c r="BK290" s="2030">
        <f t="shared" si="144"/>
        <v>4500</v>
      </c>
      <c r="BL290" s="2030">
        <f t="shared" si="144"/>
        <v>7000</v>
      </c>
      <c r="BM290" s="2030"/>
      <c r="BN290" s="2030">
        <f t="shared" si="122"/>
        <v>4750</v>
      </c>
      <c r="BO290" s="2030">
        <f t="shared" si="123"/>
        <v>0</v>
      </c>
      <c r="BP290" s="2030"/>
      <c r="BQ290" s="2030">
        <f t="shared" si="145"/>
        <v>0</v>
      </c>
      <c r="BR290" s="2030">
        <f t="shared" si="145"/>
        <v>0</v>
      </c>
      <c r="BS290" s="2030">
        <f t="shared" si="145"/>
        <v>0</v>
      </c>
      <c r="BT290" s="2125"/>
      <c r="BU290" s="2125"/>
      <c r="BV290" s="2125"/>
      <c r="BW290" s="2125"/>
      <c r="BX290" s="2125"/>
      <c r="BY290" s="2125"/>
      <c r="BZ290" s="2125"/>
      <c r="CA290" s="2125"/>
      <c r="CB290" s="2029"/>
      <c r="CC290" s="2029"/>
      <c r="CD290" s="2029"/>
      <c r="CE290" s="2029"/>
      <c r="CF290" s="2029"/>
      <c r="CG290" s="2032"/>
      <c r="CH290" s="1974">
        <v>0</v>
      </c>
      <c r="CI290" s="1974">
        <v>0</v>
      </c>
      <c r="CJ290" s="1974">
        <v>0</v>
      </c>
      <c r="CK290" s="1974">
        <v>0</v>
      </c>
      <c r="CL290" s="1974">
        <v>0</v>
      </c>
      <c r="CM290" s="2033">
        <v>6.0584896960873795E-6</v>
      </c>
      <c r="CN290" s="2026">
        <v>0</v>
      </c>
      <c r="CO290" s="1974">
        <v>0</v>
      </c>
      <c r="CP290" s="2031">
        <v>0</v>
      </c>
      <c r="CQ290" s="2031">
        <f t="shared" si="128"/>
        <v>0</v>
      </c>
      <c r="CR290" s="2026">
        <v>1</v>
      </c>
      <c r="CS290" s="2026">
        <v>1</v>
      </c>
      <c r="CT290" s="2026">
        <v>1</v>
      </c>
      <c r="CU290" s="2026">
        <v>1</v>
      </c>
      <c r="CV290" s="2036"/>
      <c r="CW290" s="2036"/>
      <c r="CX290" s="2036"/>
      <c r="CY290" s="2036"/>
      <c r="CZ290" s="2036"/>
      <c r="DA290" s="2036"/>
    </row>
    <row r="291" spans="1:105" s="2161" customFormat="1" x14ac:dyDescent="0.25">
      <c r="A291" s="2187" t="s">
        <v>183</v>
      </c>
      <c r="B291" s="2047" t="str">
        <f>IF(B173="","",B173)</f>
        <v/>
      </c>
      <c r="C291" s="2047">
        <v>15</v>
      </c>
      <c r="D291" s="2047"/>
      <c r="E291" s="2047">
        <v>9003.1426966292202</v>
      </c>
      <c r="F291" s="2047"/>
      <c r="G291" s="2047">
        <v>0.23703852327447691</v>
      </c>
      <c r="H291" s="2047"/>
      <c r="I291" s="2047">
        <v>0</v>
      </c>
      <c r="J291" s="2146"/>
      <c r="K291" s="2047" t="s">
        <v>2997</v>
      </c>
      <c r="L291" s="2047" t="s">
        <v>2997</v>
      </c>
      <c r="M291" s="2153">
        <v>0.96199999999999997</v>
      </c>
      <c r="N291" s="2153">
        <v>0.96199999999999997</v>
      </c>
      <c r="O291" s="2153">
        <v>0.96199999999999997</v>
      </c>
      <c r="P291" s="2153">
        <v>0.96199999999999997</v>
      </c>
      <c r="Q291" s="2146">
        <f t="shared" si="139"/>
        <v>8661.0232741573091</v>
      </c>
      <c r="R291" s="2146">
        <f t="shared" si="139"/>
        <v>8661.0232741573091</v>
      </c>
      <c r="S291" s="2146">
        <f t="shared" si="139"/>
        <v>8661.0232741573091</v>
      </c>
      <c r="T291" s="2146">
        <f t="shared" si="139"/>
        <v>8661.0232741573091</v>
      </c>
      <c r="U291" s="2153">
        <v>0.96199999999999997</v>
      </c>
      <c r="V291" s="2153">
        <v>0.96199999999999997</v>
      </c>
      <c r="W291" s="2153">
        <v>0.96199999999999997</v>
      </c>
      <c r="X291" s="2153">
        <v>0.96199999999999997</v>
      </c>
      <c r="Y291" s="2129">
        <f t="shared" si="140"/>
        <v>0.22803105939004678</v>
      </c>
      <c r="Z291" s="2129">
        <f t="shared" si="140"/>
        <v>0.22803105939004678</v>
      </c>
      <c r="AA291" s="2129">
        <f t="shared" si="140"/>
        <v>0.22803105939004678</v>
      </c>
      <c r="AB291" s="2129">
        <f t="shared" si="140"/>
        <v>0.22803105939004678</v>
      </c>
      <c r="AC291" s="2153">
        <v>0.96199999999999997</v>
      </c>
      <c r="AD291" s="2153">
        <v>0.96199999999999997</v>
      </c>
      <c r="AE291" s="2153">
        <v>0.96199999999999997</v>
      </c>
      <c r="AF291" s="2153">
        <v>0.96199999999999997</v>
      </c>
      <c r="AG291" s="2146">
        <f t="shared" si="141"/>
        <v>0</v>
      </c>
      <c r="AH291" s="2146">
        <f t="shared" si="141"/>
        <v>0</v>
      </c>
      <c r="AI291" s="2146">
        <f t="shared" si="141"/>
        <v>0</v>
      </c>
      <c r="AJ291" s="2146">
        <f t="shared" si="141"/>
        <v>0</v>
      </c>
      <c r="AK291" s="2146">
        <v>9</v>
      </c>
      <c r="AL291" s="2129">
        <v>9</v>
      </c>
      <c r="AM291" s="2129">
        <v>10</v>
      </c>
      <c r="AN291" s="2129">
        <v>10</v>
      </c>
      <c r="AO291" s="2146">
        <f t="shared" si="116"/>
        <v>77949.209467415785</v>
      </c>
      <c r="AP291" s="2146">
        <f t="shared" si="142"/>
        <v>77949.209467415785</v>
      </c>
      <c r="AQ291" s="2146">
        <f t="shared" si="142"/>
        <v>86610.232741573098</v>
      </c>
      <c r="AR291" s="2027" t="s">
        <v>3286</v>
      </c>
      <c r="AS291" s="2146">
        <f t="shared" si="118"/>
        <v>86610.232741573098</v>
      </c>
      <c r="AT291" s="2146">
        <f t="shared" si="119"/>
        <v>0</v>
      </c>
      <c r="AU291" s="2146">
        <f t="shared" si="143"/>
        <v>0</v>
      </c>
      <c r="AV291" s="2146">
        <f t="shared" si="143"/>
        <v>0</v>
      </c>
      <c r="AW291" s="2146">
        <f t="shared" si="143"/>
        <v>0</v>
      </c>
      <c r="AX291" s="2046">
        <v>562.5</v>
      </c>
      <c r="AY291" s="2046">
        <v>562.5</v>
      </c>
      <c r="AZ291" s="2046">
        <v>562.5</v>
      </c>
      <c r="BA291" s="2046">
        <v>562.5</v>
      </c>
      <c r="BB291" s="2046">
        <v>0</v>
      </c>
      <c r="BC291" s="2046">
        <v>0</v>
      </c>
      <c r="BD291" s="2046">
        <v>0</v>
      </c>
      <c r="BE291" s="2046">
        <v>0</v>
      </c>
      <c r="BF291" s="2046">
        <v>400</v>
      </c>
      <c r="BG291" s="2046">
        <v>400</v>
      </c>
      <c r="BH291" s="2046">
        <v>400</v>
      </c>
      <c r="BI291" s="2046">
        <v>400</v>
      </c>
      <c r="BJ291" s="2154">
        <f t="shared" si="144"/>
        <v>5062.5</v>
      </c>
      <c r="BK291" s="2154">
        <f t="shared" si="144"/>
        <v>5062.5</v>
      </c>
      <c r="BL291" s="2154">
        <f t="shared" si="144"/>
        <v>5625</v>
      </c>
      <c r="BM291" s="2154"/>
      <c r="BN291" s="2154">
        <f t="shared" si="122"/>
        <v>5625</v>
      </c>
      <c r="BO291" s="2154">
        <f t="shared" si="123"/>
        <v>0</v>
      </c>
      <c r="BP291" s="2154"/>
      <c r="BQ291" s="2154">
        <f t="shared" si="145"/>
        <v>0</v>
      </c>
      <c r="BR291" s="2154">
        <f t="shared" si="145"/>
        <v>0</v>
      </c>
      <c r="BS291" s="2154">
        <f t="shared" si="145"/>
        <v>0</v>
      </c>
      <c r="BT291" s="2155"/>
      <c r="BU291" s="2155"/>
      <c r="BV291" s="2155"/>
      <c r="BW291" s="2155"/>
      <c r="BX291" s="2155"/>
      <c r="BY291" s="2155"/>
      <c r="BZ291" s="2155"/>
      <c r="CA291" s="2155"/>
      <c r="CB291" s="2046"/>
      <c r="CC291" s="2046"/>
      <c r="CD291" s="2046"/>
      <c r="CE291" s="2046"/>
      <c r="CF291" s="2046"/>
      <c r="CG291" s="2156"/>
      <c r="CH291" s="2047">
        <v>0</v>
      </c>
      <c r="CI291" s="2047">
        <v>0</v>
      </c>
      <c r="CJ291" s="2047">
        <v>0</v>
      </c>
      <c r="CK291" s="2047">
        <v>0</v>
      </c>
      <c r="CL291" s="2047">
        <v>0</v>
      </c>
      <c r="CM291" s="2157">
        <v>2.683900530424956E-4</v>
      </c>
      <c r="CN291" s="2153">
        <v>0</v>
      </c>
      <c r="CO291" s="2047">
        <v>0</v>
      </c>
      <c r="CP291" s="2063">
        <v>0</v>
      </c>
      <c r="CQ291" s="2063">
        <f t="shared" si="128"/>
        <v>0</v>
      </c>
      <c r="CR291" s="2153">
        <v>1</v>
      </c>
      <c r="CS291" s="2153">
        <v>1</v>
      </c>
      <c r="CT291" s="2153">
        <v>1</v>
      </c>
      <c r="CU291" s="2153">
        <v>1</v>
      </c>
      <c r="CV291" s="2160"/>
      <c r="CW291" s="2160"/>
      <c r="CX291" s="2160"/>
      <c r="CY291" s="2160"/>
      <c r="CZ291" s="2160"/>
      <c r="DA291" s="2160"/>
    </row>
    <row r="292" spans="1:105" x14ac:dyDescent="0.25">
      <c r="A292" s="2027" t="str">
        <f t="shared" ref="A292:A313" si="146">A225</f>
        <v>Rooftop Unit Controls</v>
      </c>
      <c r="B292" s="2027"/>
      <c r="C292" s="2027">
        <v>10</v>
      </c>
      <c r="D292" s="2027"/>
      <c r="E292" s="2127">
        <v>330</v>
      </c>
      <c r="F292" s="2127"/>
      <c r="G292" s="2127">
        <v>0</v>
      </c>
      <c r="H292" s="2127"/>
      <c r="I292" s="2027">
        <v>0</v>
      </c>
      <c r="J292" s="2027"/>
      <c r="K292" s="1974" t="s">
        <v>2997</v>
      </c>
      <c r="L292" s="1974" t="s">
        <v>2997</v>
      </c>
      <c r="M292" s="2026">
        <v>0.96199999999999997</v>
      </c>
      <c r="N292" s="2026">
        <v>0.96199999999999997</v>
      </c>
      <c r="O292" s="2026">
        <v>0.96199999999999997</v>
      </c>
      <c r="P292" s="2026">
        <v>0.96199999999999997</v>
      </c>
      <c r="Q292" s="2027">
        <f t="shared" si="139"/>
        <v>317.45999999999998</v>
      </c>
      <c r="R292" s="2027">
        <f t="shared" si="139"/>
        <v>317.45999999999998</v>
      </c>
      <c r="S292" s="2027">
        <f t="shared" si="139"/>
        <v>317.45999999999998</v>
      </c>
      <c r="T292" s="2027">
        <f>$E292*P292</f>
        <v>317.45999999999998</v>
      </c>
      <c r="U292" s="2026">
        <v>0.96199999999999997</v>
      </c>
      <c r="V292" s="2026">
        <v>0.96199999999999997</v>
      </c>
      <c r="W292" s="2026">
        <v>0.96199999999999997</v>
      </c>
      <c r="X292" s="2026">
        <v>0.96199999999999997</v>
      </c>
      <c r="Y292" s="2028">
        <f t="shared" si="140"/>
        <v>0</v>
      </c>
      <c r="Z292" s="2028">
        <f t="shared" si="140"/>
        <v>0</v>
      </c>
      <c r="AA292" s="2028">
        <f t="shared" si="140"/>
        <v>0</v>
      </c>
      <c r="AB292" s="2028">
        <f>$G292*X292</f>
        <v>0</v>
      </c>
      <c r="AC292" s="2026">
        <v>0.96199999999999997</v>
      </c>
      <c r="AD292" s="2026">
        <v>0.96199999999999997</v>
      </c>
      <c r="AE292" s="2026">
        <v>0.96199999999999997</v>
      </c>
      <c r="AF292" s="2026">
        <v>0.96199999999999997</v>
      </c>
      <c r="AG292" s="2027">
        <f t="shared" si="141"/>
        <v>0</v>
      </c>
      <c r="AH292" s="2027">
        <f t="shared" si="141"/>
        <v>0</v>
      </c>
      <c r="AI292" s="2027">
        <f t="shared" si="141"/>
        <v>0</v>
      </c>
      <c r="AJ292" s="2027">
        <f>$I292*AF292</f>
        <v>0</v>
      </c>
      <c r="AK292" s="2027">
        <v>4</v>
      </c>
      <c r="AL292" s="2027">
        <v>4</v>
      </c>
      <c r="AM292" s="2027">
        <v>8</v>
      </c>
      <c r="AN292" s="2027">
        <v>4</v>
      </c>
      <c r="AO292" s="2027">
        <f t="shared" si="116"/>
        <v>1269.8399999999999</v>
      </c>
      <c r="AP292" s="2027">
        <f t="shared" si="142"/>
        <v>1269.8399999999999</v>
      </c>
      <c r="AQ292" s="2027">
        <f t="shared" si="142"/>
        <v>2539.6799999999998</v>
      </c>
      <c r="AR292" s="2027" t="s">
        <v>3286</v>
      </c>
      <c r="AS292" s="2027">
        <f t="shared" si="118"/>
        <v>1269.8399999999999</v>
      </c>
      <c r="AT292" s="2027">
        <f t="shared" si="119"/>
        <v>0</v>
      </c>
      <c r="AU292" s="2027">
        <f t="shared" si="143"/>
        <v>0</v>
      </c>
      <c r="AV292" s="2027">
        <f t="shared" si="143"/>
        <v>0</v>
      </c>
      <c r="AW292" s="2027">
        <f t="shared" si="143"/>
        <v>0</v>
      </c>
      <c r="AX292" s="2124">
        <v>300</v>
      </c>
      <c r="AY292" s="2029">
        <v>300</v>
      </c>
      <c r="AZ292" s="2029">
        <v>300</v>
      </c>
      <c r="BA292" s="2029">
        <v>300</v>
      </c>
      <c r="BB292" s="2124">
        <v>0</v>
      </c>
      <c r="BC292" s="2029">
        <v>0</v>
      </c>
      <c r="BD292" s="2029">
        <v>0</v>
      </c>
      <c r="BE292" s="2029">
        <v>0</v>
      </c>
      <c r="BF292" s="2124">
        <v>300</v>
      </c>
      <c r="BG292" s="2029">
        <v>300</v>
      </c>
      <c r="BH292" s="2029">
        <v>300</v>
      </c>
      <c r="BI292" s="2029">
        <v>300</v>
      </c>
      <c r="BJ292" s="2030">
        <f t="shared" si="144"/>
        <v>1200</v>
      </c>
      <c r="BK292" s="2030">
        <f t="shared" si="144"/>
        <v>1200</v>
      </c>
      <c r="BL292" s="2030">
        <f t="shared" si="144"/>
        <v>2400</v>
      </c>
      <c r="BM292" s="2030"/>
      <c r="BN292" s="2030">
        <f t="shared" si="122"/>
        <v>1200</v>
      </c>
      <c r="BO292" s="2030">
        <f t="shared" si="123"/>
        <v>0</v>
      </c>
      <c r="BP292" s="2030"/>
      <c r="BQ292" s="2030">
        <f t="shared" si="145"/>
        <v>0</v>
      </c>
      <c r="BR292" s="2030">
        <f t="shared" si="145"/>
        <v>0</v>
      </c>
      <c r="BS292" s="2030">
        <f t="shared" si="145"/>
        <v>0</v>
      </c>
      <c r="BT292" s="2125"/>
      <c r="BU292" s="2125"/>
      <c r="BV292" s="2125"/>
      <c r="BW292" s="2125"/>
      <c r="BX292" s="2125"/>
      <c r="BY292" s="2125"/>
      <c r="BZ292" s="2125"/>
      <c r="CA292" s="2125"/>
      <c r="CB292" s="2029"/>
      <c r="CC292" s="2029"/>
      <c r="CD292" s="2029"/>
      <c r="CE292" s="2029"/>
      <c r="CF292" s="2029"/>
      <c r="CG292" s="2032"/>
      <c r="CH292" s="1974">
        <v>0</v>
      </c>
      <c r="CI292" s="1974">
        <v>0</v>
      </c>
      <c r="CJ292" s="1974">
        <v>0</v>
      </c>
      <c r="CK292" s="1974">
        <v>0</v>
      </c>
      <c r="CL292" s="1974">
        <v>0</v>
      </c>
      <c r="CM292" s="2033">
        <v>3.9350133831460297E-6</v>
      </c>
      <c r="CN292" s="2026">
        <v>0</v>
      </c>
      <c r="CO292" s="1974">
        <v>0</v>
      </c>
      <c r="CP292" s="2031">
        <v>0</v>
      </c>
      <c r="CQ292" s="2031">
        <f t="shared" si="128"/>
        <v>0</v>
      </c>
      <c r="CR292" s="2026">
        <v>1</v>
      </c>
      <c r="CS292" s="2026">
        <v>1</v>
      </c>
      <c r="CT292" s="2026">
        <v>1</v>
      </c>
      <c r="CU292" s="2026">
        <v>1</v>
      </c>
      <c r="CV292" s="2036"/>
      <c r="CW292" s="2036"/>
      <c r="CX292" s="2036"/>
      <c r="CY292" s="2036"/>
      <c r="CZ292" s="2036"/>
      <c r="DA292" s="2036"/>
    </row>
    <row r="293" spans="1:105" x14ac:dyDescent="0.25">
      <c r="A293" s="2027" t="str">
        <f t="shared" si="146"/>
        <v>DDC Standard Incentive</v>
      </c>
      <c r="B293" s="2027"/>
      <c r="C293" s="2027">
        <v>0</v>
      </c>
      <c r="D293" s="2027"/>
      <c r="E293" s="2127">
        <v>0</v>
      </c>
      <c r="F293" s="2127"/>
      <c r="G293" s="2127">
        <v>0</v>
      </c>
      <c r="H293" s="2127"/>
      <c r="I293" s="2027">
        <v>0</v>
      </c>
      <c r="J293" s="2027"/>
      <c r="K293" s="1974" t="s">
        <v>2997</v>
      </c>
      <c r="L293" s="1974" t="s">
        <v>2997</v>
      </c>
      <c r="M293" s="2026">
        <v>0.96199999999999997</v>
      </c>
      <c r="N293" s="2026">
        <v>0.96199999999999997</v>
      </c>
      <c r="O293" s="2026">
        <v>0.96199999999999997</v>
      </c>
      <c r="P293" s="2026">
        <v>0.96199999999999997</v>
      </c>
      <c r="Q293" s="2027">
        <f t="shared" ref="Q293:T308" si="147">$E293*M293</f>
        <v>0</v>
      </c>
      <c r="R293" s="2027">
        <f t="shared" si="147"/>
        <v>0</v>
      </c>
      <c r="S293" s="2027">
        <f t="shared" si="147"/>
        <v>0</v>
      </c>
      <c r="T293" s="2027">
        <f>$E293*P293</f>
        <v>0</v>
      </c>
      <c r="U293" s="2026">
        <v>0.96199999999999997</v>
      </c>
      <c r="V293" s="2026">
        <v>0.96199999999999997</v>
      </c>
      <c r="W293" s="2026">
        <v>0.96199999999999997</v>
      </c>
      <c r="X293" s="2026">
        <v>0.96199999999999997</v>
      </c>
      <c r="Y293" s="2028">
        <f t="shared" ref="Y293:AB308" si="148">$G293*U293</f>
        <v>0</v>
      </c>
      <c r="Z293" s="2028">
        <f t="shared" si="148"/>
        <v>0</v>
      </c>
      <c r="AA293" s="2028">
        <f t="shared" si="148"/>
        <v>0</v>
      </c>
      <c r="AB293" s="2028">
        <f>$G293*X293</f>
        <v>0</v>
      </c>
      <c r="AC293" s="2026">
        <v>0.96199999999999997</v>
      </c>
      <c r="AD293" s="2026">
        <v>0.96199999999999997</v>
      </c>
      <c r="AE293" s="2026">
        <v>0.96199999999999997</v>
      </c>
      <c r="AF293" s="2026">
        <v>0.96199999999999997</v>
      </c>
      <c r="AG293" s="2027">
        <f t="shared" ref="AG293:AJ308" si="149">$I293*AC293</f>
        <v>0</v>
      </c>
      <c r="AH293" s="2027">
        <f t="shared" si="149"/>
        <v>0</v>
      </c>
      <c r="AI293" s="2027">
        <f t="shared" si="149"/>
        <v>0</v>
      </c>
      <c r="AJ293" s="2027">
        <f>$I293*AF293</f>
        <v>0</v>
      </c>
      <c r="AK293" s="2027">
        <v>0</v>
      </c>
      <c r="AL293" s="2028"/>
      <c r="AM293" s="2028"/>
      <c r="AN293" s="2028"/>
      <c r="AO293" s="2027">
        <f t="shared" si="116"/>
        <v>0</v>
      </c>
      <c r="AP293" s="2027">
        <f t="shared" si="142"/>
        <v>0</v>
      </c>
      <c r="AQ293" s="2027">
        <f t="shared" si="142"/>
        <v>0</v>
      </c>
      <c r="AR293" s="2027" t="s">
        <v>3286</v>
      </c>
      <c r="AS293" s="2027">
        <f t="shared" si="118"/>
        <v>0</v>
      </c>
      <c r="AT293" s="2027">
        <f t="shared" si="119"/>
        <v>0</v>
      </c>
      <c r="AU293" s="2027">
        <f t="shared" si="143"/>
        <v>0</v>
      </c>
      <c r="AV293" s="2027">
        <f t="shared" si="143"/>
        <v>0</v>
      </c>
      <c r="AW293" s="2027">
        <f t="shared" si="143"/>
        <v>0</v>
      </c>
      <c r="AX293" s="2124">
        <v>0</v>
      </c>
      <c r="AY293" s="2029">
        <v>0</v>
      </c>
      <c r="AZ293" s="2029">
        <v>0</v>
      </c>
      <c r="BA293" s="2029">
        <v>0</v>
      </c>
      <c r="BB293" s="2124">
        <v>0</v>
      </c>
      <c r="BC293" s="2029">
        <v>0</v>
      </c>
      <c r="BD293" s="2029">
        <v>0</v>
      </c>
      <c r="BE293" s="2029">
        <v>0</v>
      </c>
      <c r="BF293" s="2124">
        <v>0</v>
      </c>
      <c r="BG293" s="2029">
        <v>0</v>
      </c>
      <c r="BH293" s="2029">
        <v>0</v>
      </c>
      <c r="BI293" s="2029">
        <v>0</v>
      </c>
      <c r="BJ293" s="2030">
        <f t="shared" si="144"/>
        <v>0</v>
      </c>
      <c r="BK293" s="2030">
        <f t="shared" si="144"/>
        <v>0</v>
      </c>
      <c r="BL293" s="2030">
        <f t="shared" si="144"/>
        <v>0</v>
      </c>
      <c r="BM293" s="2030"/>
      <c r="BN293" s="2030">
        <f t="shared" si="122"/>
        <v>0</v>
      </c>
      <c r="BO293" s="2030">
        <f t="shared" si="123"/>
        <v>0</v>
      </c>
      <c r="BP293" s="2030"/>
      <c r="BQ293" s="2030">
        <f t="shared" si="145"/>
        <v>0</v>
      </c>
      <c r="BR293" s="2030">
        <f t="shared" si="145"/>
        <v>0</v>
      </c>
      <c r="BS293" s="2030">
        <f t="shared" si="145"/>
        <v>0</v>
      </c>
      <c r="BT293" s="2125"/>
      <c r="BU293" s="2125"/>
      <c r="BV293" s="2125"/>
      <c r="BW293" s="2125"/>
      <c r="BX293" s="2125"/>
      <c r="BY293" s="2125"/>
      <c r="BZ293" s="2125"/>
      <c r="CA293" s="2125"/>
      <c r="CB293" s="2029"/>
      <c r="CC293" s="2029"/>
      <c r="CD293" s="2029"/>
      <c r="CE293" s="2029"/>
      <c r="CF293" s="2029"/>
      <c r="CG293" s="2032"/>
      <c r="CH293" s="1974">
        <v>0</v>
      </c>
      <c r="CI293" s="1974">
        <v>0</v>
      </c>
      <c r="CJ293" s="1974">
        <v>0</v>
      </c>
      <c r="CK293" s="1974">
        <v>0</v>
      </c>
      <c r="CL293" s="1974">
        <v>0</v>
      </c>
      <c r="CM293" s="2033">
        <v>0</v>
      </c>
      <c r="CN293" s="2026">
        <v>0</v>
      </c>
      <c r="CO293" s="1974">
        <v>0</v>
      </c>
      <c r="CP293" s="2031">
        <v>0</v>
      </c>
      <c r="CQ293" s="2031">
        <f t="shared" si="128"/>
        <v>0</v>
      </c>
      <c r="CR293" s="2026">
        <v>1</v>
      </c>
      <c r="CS293" s="2026">
        <v>1</v>
      </c>
      <c r="CT293" s="2026">
        <v>1</v>
      </c>
      <c r="CU293" s="2026">
        <v>1</v>
      </c>
      <c r="CV293" s="2036"/>
      <c r="CW293" s="2036"/>
      <c r="CX293" s="2036"/>
      <c r="CY293" s="2036"/>
      <c r="CZ293" s="2036"/>
      <c r="DA293" s="2036"/>
    </row>
    <row r="294" spans="1:105" x14ac:dyDescent="0.25">
      <c r="A294" s="2027" t="str">
        <f t="shared" si="146"/>
        <v>Ductless Heat Pumps</v>
      </c>
      <c r="B294" s="2027"/>
      <c r="C294" s="2027">
        <v>18</v>
      </c>
      <c r="D294" s="2027"/>
      <c r="E294" s="2127">
        <v>4596</v>
      </c>
      <c r="F294" s="2127"/>
      <c r="G294" s="2127">
        <v>1.4</v>
      </c>
      <c r="H294" s="2127"/>
      <c r="I294" s="2027">
        <v>0</v>
      </c>
      <c r="J294" s="2027"/>
      <c r="K294" s="1974" t="s">
        <v>2997</v>
      </c>
      <c r="L294" s="1974" t="s">
        <v>2997</v>
      </c>
      <c r="M294" s="2026">
        <v>0.96199999999999997</v>
      </c>
      <c r="N294" s="2026">
        <v>0.96199999999999997</v>
      </c>
      <c r="O294" s="2026">
        <v>0.96199999999999997</v>
      </c>
      <c r="P294" s="2026">
        <v>0.96199999999999997</v>
      </c>
      <c r="Q294" s="2027">
        <f t="shared" si="147"/>
        <v>4421.3519999999999</v>
      </c>
      <c r="R294" s="2027">
        <f t="shared" si="147"/>
        <v>4421.3519999999999</v>
      </c>
      <c r="S294" s="2027">
        <f t="shared" si="147"/>
        <v>4421.3519999999999</v>
      </c>
      <c r="T294" s="2027">
        <f>$E294*P294</f>
        <v>4421.3519999999999</v>
      </c>
      <c r="U294" s="2026">
        <v>0.96199999999999997</v>
      </c>
      <c r="V294" s="2026">
        <v>0.96199999999999997</v>
      </c>
      <c r="W294" s="2026">
        <v>0.96199999999999997</v>
      </c>
      <c r="X294" s="2026">
        <v>0.96199999999999997</v>
      </c>
      <c r="Y294" s="2028">
        <f t="shared" si="148"/>
        <v>1.3467999999999998</v>
      </c>
      <c r="Z294" s="2028">
        <f t="shared" si="148"/>
        <v>1.3467999999999998</v>
      </c>
      <c r="AA294" s="2028">
        <f t="shared" si="148"/>
        <v>1.3467999999999998</v>
      </c>
      <c r="AB294" s="2028">
        <f>$G294*X294</f>
        <v>1.3467999999999998</v>
      </c>
      <c r="AC294" s="2026">
        <v>0.96199999999999997</v>
      </c>
      <c r="AD294" s="2026">
        <v>0.96199999999999997</v>
      </c>
      <c r="AE294" s="2026">
        <v>0.96199999999999997</v>
      </c>
      <c r="AF294" s="2026">
        <v>0.96199999999999997</v>
      </c>
      <c r="AG294" s="2027">
        <f t="shared" si="149"/>
        <v>0</v>
      </c>
      <c r="AH294" s="2027">
        <f t="shared" si="149"/>
        <v>0</v>
      </c>
      <c r="AI294" s="2027">
        <f t="shared" si="149"/>
        <v>0</v>
      </c>
      <c r="AJ294" s="2027">
        <f>$I294*AF294</f>
        <v>0</v>
      </c>
      <c r="AK294" s="2027">
        <v>0</v>
      </c>
      <c r="AL294" s="2028"/>
      <c r="AM294" s="2028"/>
      <c r="AN294" s="2028"/>
      <c r="AO294" s="2027">
        <f t="shared" si="116"/>
        <v>0</v>
      </c>
      <c r="AP294" s="2027">
        <f t="shared" si="142"/>
        <v>0</v>
      </c>
      <c r="AQ294" s="2027">
        <f t="shared" si="142"/>
        <v>0</v>
      </c>
      <c r="AR294" s="2027" t="s">
        <v>3286</v>
      </c>
      <c r="AS294" s="2027">
        <f t="shared" si="118"/>
        <v>0</v>
      </c>
      <c r="AT294" s="2027">
        <f t="shared" si="119"/>
        <v>0</v>
      </c>
      <c r="AU294" s="2027">
        <f t="shared" si="143"/>
        <v>0</v>
      </c>
      <c r="AV294" s="2027">
        <f t="shared" si="143"/>
        <v>0</v>
      </c>
      <c r="AW294" s="2027">
        <f t="shared" si="143"/>
        <v>0</v>
      </c>
      <c r="AX294" s="2124">
        <v>1050</v>
      </c>
      <c r="AY294" s="2029">
        <v>1050</v>
      </c>
      <c r="AZ294" s="2029">
        <v>1050</v>
      </c>
      <c r="BA294" s="2029">
        <v>1050</v>
      </c>
      <c r="BB294" s="2124">
        <v>0</v>
      </c>
      <c r="BC294" s="2029">
        <v>0</v>
      </c>
      <c r="BD294" s="2029">
        <v>0</v>
      </c>
      <c r="BE294" s="2029">
        <v>0</v>
      </c>
      <c r="BF294" s="2124">
        <v>3750</v>
      </c>
      <c r="BG294" s="2029">
        <v>3750</v>
      </c>
      <c r="BH294" s="2029">
        <v>3750</v>
      </c>
      <c r="BI294" s="2029">
        <v>3750</v>
      </c>
      <c r="BJ294" s="2030">
        <f t="shared" si="144"/>
        <v>0</v>
      </c>
      <c r="BK294" s="2030">
        <f t="shared" si="144"/>
        <v>0</v>
      </c>
      <c r="BL294" s="2030">
        <f t="shared" si="144"/>
        <v>0</v>
      </c>
      <c r="BM294" s="2030"/>
      <c r="BN294" s="2030">
        <f t="shared" si="122"/>
        <v>0</v>
      </c>
      <c r="BO294" s="2030">
        <f t="shared" si="123"/>
        <v>0</v>
      </c>
      <c r="BP294" s="2030"/>
      <c r="BQ294" s="2030">
        <f t="shared" si="145"/>
        <v>0</v>
      </c>
      <c r="BR294" s="2030">
        <f t="shared" si="145"/>
        <v>0</v>
      </c>
      <c r="BS294" s="2030">
        <f t="shared" si="145"/>
        <v>0</v>
      </c>
      <c r="BT294" s="2125"/>
      <c r="BU294" s="2125"/>
      <c r="BV294" s="2125"/>
      <c r="BW294" s="2125"/>
      <c r="BX294" s="2125"/>
      <c r="BY294" s="2125"/>
      <c r="BZ294" s="2125"/>
      <c r="CA294" s="2125"/>
      <c r="CB294" s="2029"/>
      <c r="CC294" s="2029"/>
      <c r="CD294" s="2029"/>
      <c r="CE294" s="2029"/>
      <c r="CF294" s="2029"/>
      <c r="CG294" s="2032"/>
      <c r="CH294" s="1974">
        <v>0</v>
      </c>
      <c r="CI294" s="1974">
        <v>0</v>
      </c>
      <c r="CJ294" s="1974">
        <v>0</v>
      </c>
      <c r="CK294" s="1974">
        <v>0</v>
      </c>
      <c r="CL294" s="1974">
        <v>0</v>
      </c>
      <c r="CM294" s="2033">
        <v>0</v>
      </c>
      <c r="CN294" s="2026">
        <v>0</v>
      </c>
      <c r="CO294" s="1974">
        <v>0</v>
      </c>
      <c r="CP294" s="2031">
        <v>0</v>
      </c>
      <c r="CQ294" s="2031">
        <f t="shared" si="128"/>
        <v>0</v>
      </c>
      <c r="CR294" s="2026">
        <v>1</v>
      </c>
      <c r="CS294" s="2026">
        <v>1</v>
      </c>
      <c r="CT294" s="2026">
        <v>1</v>
      </c>
      <c r="CU294" s="2026">
        <v>1</v>
      </c>
      <c r="CV294" s="2036"/>
      <c r="CW294" s="2036"/>
      <c r="CX294" s="2036"/>
      <c r="CY294" s="2036"/>
      <c r="CZ294" s="2036"/>
      <c r="DA294" s="2036"/>
    </row>
    <row r="295" spans="1:105" x14ac:dyDescent="0.25">
      <c r="A295" s="2027" t="str">
        <f t="shared" si="146"/>
        <v>Night Curtains</v>
      </c>
      <c r="B295" s="2027"/>
      <c r="C295" s="2027">
        <v>0</v>
      </c>
      <c r="D295" s="2027"/>
      <c r="E295" s="2127">
        <v>0</v>
      </c>
      <c r="F295" s="2127"/>
      <c r="G295" s="2127">
        <v>0</v>
      </c>
      <c r="H295" s="2127"/>
      <c r="I295" s="2027">
        <v>0</v>
      </c>
      <c r="J295" s="2027"/>
      <c r="K295" s="1974" t="s">
        <v>2997</v>
      </c>
      <c r="L295" s="1974" t="s">
        <v>2997</v>
      </c>
      <c r="M295" s="2026">
        <v>0.96199999999999997</v>
      </c>
      <c r="N295" s="2026">
        <v>0.96199999999999997</v>
      </c>
      <c r="O295" s="2026">
        <v>0.96199999999999997</v>
      </c>
      <c r="P295" s="2026">
        <v>0.96199999999999997</v>
      </c>
      <c r="Q295" s="2027">
        <f t="shared" si="147"/>
        <v>0</v>
      </c>
      <c r="R295" s="2027">
        <f t="shared" si="147"/>
        <v>0</v>
      </c>
      <c r="S295" s="2027">
        <f t="shared" si="147"/>
        <v>0</v>
      </c>
      <c r="T295" s="2027">
        <f>$E295*P295</f>
        <v>0</v>
      </c>
      <c r="U295" s="2026">
        <v>0.96199999999999997</v>
      </c>
      <c r="V295" s="2026">
        <v>0.96199999999999997</v>
      </c>
      <c r="W295" s="2026">
        <v>0.96199999999999997</v>
      </c>
      <c r="X295" s="2026">
        <v>0.96199999999999997</v>
      </c>
      <c r="Y295" s="2028">
        <f t="shared" si="148"/>
        <v>0</v>
      </c>
      <c r="Z295" s="2028">
        <f t="shared" si="148"/>
        <v>0</v>
      </c>
      <c r="AA295" s="2028">
        <f t="shared" si="148"/>
        <v>0</v>
      </c>
      <c r="AB295" s="2028">
        <f>$G295*X295</f>
        <v>0</v>
      </c>
      <c r="AC295" s="2026">
        <v>0.96199999999999997</v>
      </c>
      <c r="AD295" s="2026">
        <v>0.96199999999999997</v>
      </c>
      <c r="AE295" s="2026">
        <v>0.96199999999999997</v>
      </c>
      <c r="AF295" s="2026">
        <v>0.96199999999999997</v>
      </c>
      <c r="AG295" s="2027">
        <f t="shared" si="149"/>
        <v>0</v>
      </c>
      <c r="AH295" s="2027">
        <f t="shared" si="149"/>
        <v>0</v>
      </c>
      <c r="AI295" s="2027">
        <f t="shared" si="149"/>
        <v>0</v>
      </c>
      <c r="AJ295" s="2027">
        <f>$I295*AF295</f>
        <v>0</v>
      </c>
      <c r="AK295" s="2027">
        <v>0</v>
      </c>
      <c r="AL295" s="2028"/>
      <c r="AM295" s="2028"/>
      <c r="AN295" s="2028"/>
      <c r="AO295" s="2027">
        <f t="shared" si="116"/>
        <v>0</v>
      </c>
      <c r="AP295" s="2027">
        <f t="shared" si="142"/>
        <v>0</v>
      </c>
      <c r="AQ295" s="2027">
        <f t="shared" si="142"/>
        <v>0</v>
      </c>
      <c r="AR295" s="2027" t="s">
        <v>3286</v>
      </c>
      <c r="AS295" s="2027">
        <f t="shared" si="118"/>
        <v>0</v>
      </c>
      <c r="AT295" s="2027">
        <f t="shared" si="119"/>
        <v>0</v>
      </c>
      <c r="AU295" s="2027">
        <f t="shared" si="143"/>
        <v>0</v>
      </c>
      <c r="AV295" s="2027">
        <f t="shared" si="143"/>
        <v>0</v>
      </c>
      <c r="AW295" s="2027">
        <f t="shared" si="143"/>
        <v>0</v>
      </c>
      <c r="AX295" s="2124">
        <v>0</v>
      </c>
      <c r="AY295" s="2029">
        <v>0</v>
      </c>
      <c r="AZ295" s="2029">
        <v>0</v>
      </c>
      <c r="BA295" s="2029">
        <v>0</v>
      </c>
      <c r="BB295" s="2124">
        <v>0</v>
      </c>
      <c r="BC295" s="2029">
        <v>0</v>
      </c>
      <c r="BD295" s="2029">
        <v>0</v>
      </c>
      <c r="BE295" s="2029">
        <v>0</v>
      </c>
      <c r="BF295" s="2124">
        <v>0</v>
      </c>
      <c r="BG295" s="2029">
        <v>0</v>
      </c>
      <c r="BH295" s="2029">
        <v>0</v>
      </c>
      <c r="BI295" s="2029">
        <v>0</v>
      </c>
      <c r="BJ295" s="2030">
        <f t="shared" si="144"/>
        <v>0</v>
      </c>
      <c r="BK295" s="2030">
        <f t="shared" si="144"/>
        <v>0</v>
      </c>
      <c r="BL295" s="2030">
        <f t="shared" si="144"/>
        <v>0</v>
      </c>
      <c r="BM295" s="2030"/>
      <c r="BN295" s="2030">
        <f t="shared" si="122"/>
        <v>0</v>
      </c>
      <c r="BO295" s="2030">
        <f t="shared" si="123"/>
        <v>0</v>
      </c>
      <c r="BP295" s="2030"/>
      <c r="BQ295" s="2030">
        <f t="shared" si="145"/>
        <v>0</v>
      </c>
      <c r="BR295" s="2030">
        <f t="shared" si="145"/>
        <v>0</v>
      </c>
      <c r="BS295" s="2030">
        <f t="shared" si="145"/>
        <v>0</v>
      </c>
      <c r="BT295" s="2125"/>
      <c r="BU295" s="2125"/>
      <c r="BV295" s="2125"/>
      <c r="BW295" s="2125"/>
      <c r="BX295" s="2125"/>
      <c r="BY295" s="2125"/>
      <c r="BZ295" s="2125"/>
      <c r="CA295" s="2125"/>
      <c r="CB295" s="2029"/>
      <c r="CC295" s="2029"/>
      <c r="CD295" s="2029"/>
      <c r="CE295" s="2029"/>
      <c r="CF295" s="2029"/>
      <c r="CG295" s="2032"/>
      <c r="CH295" s="1974">
        <v>0</v>
      </c>
      <c r="CI295" s="1974">
        <v>0</v>
      </c>
      <c r="CJ295" s="1974">
        <v>0</v>
      </c>
      <c r="CK295" s="1974">
        <v>0</v>
      </c>
      <c r="CL295" s="1974">
        <v>0</v>
      </c>
      <c r="CM295" s="2033">
        <v>0</v>
      </c>
      <c r="CN295" s="2026">
        <v>0</v>
      </c>
      <c r="CO295" s="1974">
        <v>0</v>
      </c>
      <c r="CP295" s="2031">
        <v>0</v>
      </c>
      <c r="CQ295" s="2031">
        <f t="shared" si="128"/>
        <v>0</v>
      </c>
      <c r="CR295" s="2026">
        <v>0</v>
      </c>
      <c r="CS295" s="2026">
        <v>0</v>
      </c>
      <c r="CT295" s="2026">
        <v>0</v>
      </c>
      <c r="CU295" s="2026">
        <v>0</v>
      </c>
      <c r="CV295" s="2036"/>
      <c r="CW295" s="2036"/>
      <c r="CX295" s="2036"/>
      <c r="CY295" s="2036"/>
      <c r="CZ295" s="2036"/>
      <c r="DA295" s="2036"/>
    </row>
    <row r="296" spans="1:105" s="2161" customFormat="1" x14ac:dyDescent="0.25">
      <c r="A296" s="2146" t="str">
        <f>A229&amp;" 2018"</f>
        <v>Linear Tube 2' LED (Midstream) 2018</v>
      </c>
      <c r="B296" s="2146"/>
      <c r="C296" s="2146">
        <v>15</v>
      </c>
      <c r="D296" s="2146"/>
      <c r="E296" s="2130">
        <v>27.794957926000002</v>
      </c>
      <c r="F296" s="2130"/>
      <c r="G296" s="2130">
        <v>5.9527580800000012E-3</v>
      </c>
      <c r="H296" s="2130"/>
      <c r="I296" s="2146">
        <v>-0.56099915080000007</v>
      </c>
      <c r="J296" s="2146"/>
      <c r="K296" s="2047" t="s">
        <v>2997</v>
      </c>
      <c r="L296" s="2047" t="s">
        <v>2997</v>
      </c>
      <c r="M296" s="2153">
        <v>0.96199999999999997</v>
      </c>
      <c r="N296" s="2153">
        <v>0.96199999999999997</v>
      </c>
      <c r="O296" s="2153">
        <v>0.96199999999999997</v>
      </c>
      <c r="P296" s="2153">
        <v>0.96199999999999997</v>
      </c>
      <c r="Q296" s="2146">
        <f t="shared" si="147"/>
        <v>26.738749524812</v>
      </c>
      <c r="R296" s="2146">
        <f t="shared" si="147"/>
        <v>26.738749524812</v>
      </c>
      <c r="S296" s="2146">
        <f t="shared" si="147"/>
        <v>26.738749524812</v>
      </c>
      <c r="T296" s="2146">
        <f>$E296*P296</f>
        <v>26.738749524812</v>
      </c>
      <c r="U296" s="2153">
        <v>0.96199999999999997</v>
      </c>
      <c r="V296" s="2153">
        <v>0.96199999999999997</v>
      </c>
      <c r="W296" s="2153">
        <v>0.96199999999999997</v>
      </c>
      <c r="X296" s="2153">
        <v>0.96199999999999997</v>
      </c>
      <c r="Y296" s="2129">
        <f t="shared" si="148"/>
        <v>5.7265532729600006E-3</v>
      </c>
      <c r="Z296" s="2129">
        <f t="shared" si="148"/>
        <v>5.7265532729600006E-3</v>
      </c>
      <c r="AA296" s="2129">
        <f t="shared" si="148"/>
        <v>5.7265532729600006E-3</v>
      </c>
      <c r="AB296" s="2129">
        <f>$G296*X296</f>
        <v>5.7265532729600006E-3</v>
      </c>
      <c r="AC296" s="2153">
        <v>0.96199999999999997</v>
      </c>
      <c r="AD296" s="2153">
        <v>0.96199999999999997</v>
      </c>
      <c r="AE296" s="2153">
        <v>0.96199999999999997</v>
      </c>
      <c r="AF296" s="2153">
        <v>0.96199999999999997</v>
      </c>
      <c r="AG296" s="2146">
        <f t="shared" si="149"/>
        <v>-0.5396811830696</v>
      </c>
      <c r="AH296" s="2146">
        <f t="shared" si="149"/>
        <v>-0.5396811830696</v>
      </c>
      <c r="AI296" s="2146">
        <f t="shared" si="149"/>
        <v>-0.5396811830696</v>
      </c>
      <c r="AJ296" s="2146">
        <f>$I296*AF296</f>
        <v>-0.5396811830696</v>
      </c>
      <c r="AK296" s="2146">
        <v>876</v>
      </c>
      <c r="AL296" s="2129">
        <v>883</v>
      </c>
      <c r="AM296" s="2129">
        <v>903</v>
      </c>
      <c r="AN296" s="2129">
        <v>895</v>
      </c>
      <c r="AO296" s="2146">
        <f t="shared" si="116"/>
        <v>23423.144583735313</v>
      </c>
      <c r="AP296" s="2146">
        <f t="shared" si="142"/>
        <v>23610.315830408996</v>
      </c>
      <c r="AQ296" s="2146">
        <f t="shared" si="142"/>
        <v>18108.818115678929</v>
      </c>
      <c r="AR296" s="2027"/>
      <c r="AS296" s="2146">
        <f t="shared" si="118"/>
        <v>17948.385618530057</v>
      </c>
      <c r="AT296" s="2146">
        <f t="shared" si="119"/>
        <v>-472.76071636896961</v>
      </c>
      <c r="AU296" s="2146">
        <f t="shared" si="143"/>
        <v>-476.53848465045678</v>
      </c>
      <c r="AV296" s="2146">
        <f t="shared" si="143"/>
        <v>-365.49908123388661</v>
      </c>
      <c r="AW296" s="2146">
        <f t="shared" si="143"/>
        <v>-362.26099413546899</v>
      </c>
      <c r="AX296" s="2046">
        <v>9</v>
      </c>
      <c r="AY296" s="2046">
        <v>8.5</v>
      </c>
      <c r="AZ296" s="2046">
        <v>8</v>
      </c>
      <c r="BA296" s="2046">
        <v>8</v>
      </c>
      <c r="BB296" s="2046">
        <v>0</v>
      </c>
      <c r="BC296" s="2046">
        <v>0</v>
      </c>
      <c r="BD296" s="2046">
        <v>0</v>
      </c>
      <c r="BE296" s="2046">
        <v>0</v>
      </c>
      <c r="BF296" s="2046">
        <v>1.2999999999999989</v>
      </c>
      <c r="BG296" s="2046">
        <v>1.2999999999999989</v>
      </c>
      <c r="BH296" s="2046">
        <v>1.2999999999999989</v>
      </c>
      <c r="BI296" s="2046">
        <v>1.2999999999999989</v>
      </c>
      <c r="BJ296" s="2154">
        <f t="shared" si="144"/>
        <v>7884</v>
      </c>
      <c r="BK296" s="2154">
        <f t="shared" si="144"/>
        <v>7505.5</v>
      </c>
      <c r="BL296" s="2154">
        <f t="shared" si="144"/>
        <v>7224</v>
      </c>
      <c r="BM296" s="2154"/>
      <c r="BN296" s="2154">
        <f t="shared" si="122"/>
        <v>7160</v>
      </c>
      <c r="BO296" s="2154">
        <f t="shared" si="123"/>
        <v>0</v>
      </c>
      <c r="BP296" s="2154"/>
      <c r="BQ296" s="2154">
        <f t="shared" si="145"/>
        <v>0</v>
      </c>
      <c r="BR296" s="2154">
        <f t="shared" si="145"/>
        <v>0</v>
      </c>
      <c r="BS296" s="2154">
        <f t="shared" si="145"/>
        <v>0</v>
      </c>
      <c r="BT296" s="2155"/>
      <c r="BU296" s="2155"/>
      <c r="BV296" s="2155"/>
      <c r="BW296" s="2155"/>
      <c r="BX296" s="2155"/>
      <c r="BY296" s="2155"/>
      <c r="BZ296" s="2155"/>
      <c r="CA296" s="2155"/>
      <c r="CB296" s="2046"/>
      <c r="CC296" s="2046"/>
      <c r="CD296" s="2046"/>
      <c r="CE296" s="2046"/>
      <c r="CF296" s="2046"/>
      <c r="CG296" s="2156"/>
      <c r="CH296" s="2047">
        <v>0</v>
      </c>
      <c r="CI296" s="2047">
        <v>0</v>
      </c>
      <c r="CJ296" s="2047">
        <v>0</v>
      </c>
      <c r="CK296" s="2047">
        <v>0</v>
      </c>
      <c r="CL296" s="2047">
        <v>0</v>
      </c>
      <c r="CM296" s="2157">
        <v>0</v>
      </c>
      <c r="CN296" s="2153">
        <v>-1.9030448002173341E-4</v>
      </c>
      <c r="CO296" s="2047">
        <v>1</v>
      </c>
      <c r="CP296" s="2063">
        <v>-1.1461222222222223</v>
      </c>
      <c r="CQ296" s="2063">
        <f t="shared" si="128"/>
        <v>1.1461222222222223</v>
      </c>
      <c r="CR296" s="2153">
        <v>1</v>
      </c>
      <c r="CS296" s="2153">
        <v>1</v>
      </c>
      <c r="CT296" s="2153">
        <v>0.75</v>
      </c>
      <c r="CU296" s="2153">
        <v>0.75</v>
      </c>
      <c r="CV296" s="2160"/>
      <c r="CW296" s="2160"/>
      <c r="CX296" s="2160"/>
      <c r="CY296" s="2160"/>
      <c r="CZ296" s="2160"/>
      <c r="DA296" s="2160"/>
    </row>
    <row r="297" spans="1:105" x14ac:dyDescent="0.25">
      <c r="A297" s="2027" t="str">
        <f t="shared" si="146"/>
        <v>Additional Measure 2</v>
      </c>
      <c r="B297" s="2027"/>
      <c r="C297" s="2027">
        <v>0</v>
      </c>
      <c r="D297" s="2027"/>
      <c r="E297" s="2127">
        <v>0</v>
      </c>
      <c r="F297" s="2127"/>
      <c r="G297" s="2127">
        <v>0</v>
      </c>
      <c r="H297" s="2127"/>
      <c r="I297" s="2027">
        <v>0</v>
      </c>
      <c r="J297" s="2027"/>
      <c r="K297" s="1974" t="s">
        <v>2997</v>
      </c>
      <c r="L297" s="1974" t="s">
        <v>2997</v>
      </c>
      <c r="M297" s="2026">
        <v>0.96199999999999997</v>
      </c>
      <c r="N297" s="2026">
        <v>0.96199999999999997</v>
      </c>
      <c r="O297" s="2026">
        <v>0.96199999999999997</v>
      </c>
      <c r="P297" s="2026">
        <v>0.96199999999999997</v>
      </c>
      <c r="Q297" s="2027">
        <f t="shared" si="147"/>
        <v>0</v>
      </c>
      <c r="R297" s="2027">
        <f t="shared" si="147"/>
        <v>0</v>
      </c>
      <c r="S297" s="2027">
        <f t="shared" si="147"/>
        <v>0</v>
      </c>
      <c r="T297" s="2027">
        <f t="shared" si="147"/>
        <v>0</v>
      </c>
      <c r="U297" s="2026">
        <v>0.96199999999999997</v>
      </c>
      <c r="V297" s="2026">
        <v>0.96199999999999997</v>
      </c>
      <c r="W297" s="2026">
        <v>0.96199999999999997</v>
      </c>
      <c r="X297" s="2026">
        <v>0.96199999999999997</v>
      </c>
      <c r="Y297" s="2028">
        <f t="shared" si="148"/>
        <v>0</v>
      </c>
      <c r="Z297" s="2028">
        <f t="shared" si="148"/>
        <v>0</v>
      </c>
      <c r="AA297" s="2028">
        <f t="shared" si="148"/>
        <v>0</v>
      </c>
      <c r="AB297" s="2028">
        <f t="shared" si="148"/>
        <v>0</v>
      </c>
      <c r="AC297" s="2026">
        <v>0.96199999999999997</v>
      </c>
      <c r="AD297" s="2026">
        <v>0.96199999999999997</v>
      </c>
      <c r="AE297" s="2026">
        <v>0.96199999999999997</v>
      </c>
      <c r="AF297" s="2026">
        <v>0.96199999999999997</v>
      </c>
      <c r="AG297" s="2027">
        <f t="shared" si="149"/>
        <v>0</v>
      </c>
      <c r="AH297" s="2027">
        <f t="shared" si="149"/>
        <v>0</v>
      </c>
      <c r="AI297" s="2027">
        <f t="shared" si="149"/>
        <v>0</v>
      </c>
      <c r="AJ297" s="2027">
        <f t="shared" si="149"/>
        <v>0</v>
      </c>
      <c r="AK297" s="2027">
        <v>0</v>
      </c>
      <c r="AL297" s="2028"/>
      <c r="AM297" s="2028"/>
      <c r="AN297" s="2028"/>
      <c r="AO297" s="2027">
        <f t="shared" si="116"/>
        <v>0</v>
      </c>
      <c r="AP297" s="2027">
        <f t="shared" si="142"/>
        <v>0</v>
      </c>
      <c r="AQ297" s="2027">
        <f t="shared" si="142"/>
        <v>0</v>
      </c>
      <c r="AR297" s="2027" t="s">
        <v>3286</v>
      </c>
      <c r="AS297" s="2027">
        <f t="shared" si="118"/>
        <v>0</v>
      </c>
      <c r="AT297" s="2027">
        <f t="shared" si="119"/>
        <v>0</v>
      </c>
      <c r="AU297" s="2027">
        <f t="shared" si="143"/>
        <v>0</v>
      </c>
      <c r="AV297" s="2027">
        <f t="shared" si="143"/>
        <v>0</v>
      </c>
      <c r="AW297" s="2027">
        <f t="shared" si="143"/>
        <v>0</v>
      </c>
      <c r="AX297" s="2124">
        <v>0</v>
      </c>
      <c r="AY297" s="2029">
        <v>0</v>
      </c>
      <c r="AZ297" s="2029">
        <v>0</v>
      </c>
      <c r="BA297" s="2029">
        <v>0</v>
      </c>
      <c r="BB297" s="2124">
        <v>0</v>
      </c>
      <c r="BC297" s="2029">
        <v>0</v>
      </c>
      <c r="BD297" s="2029">
        <v>0</v>
      </c>
      <c r="BE297" s="2029">
        <v>0</v>
      </c>
      <c r="BF297" s="2124">
        <v>0</v>
      </c>
      <c r="BG297" s="2029">
        <v>0</v>
      </c>
      <c r="BH297" s="2029">
        <v>0</v>
      </c>
      <c r="BI297" s="2029">
        <v>0</v>
      </c>
      <c r="BJ297" s="2030">
        <f t="shared" si="144"/>
        <v>0</v>
      </c>
      <c r="BK297" s="2030">
        <f t="shared" si="144"/>
        <v>0</v>
      </c>
      <c r="BL297" s="2030">
        <f t="shared" si="144"/>
        <v>0</v>
      </c>
      <c r="BM297" s="2030"/>
      <c r="BN297" s="2030">
        <f t="shared" si="122"/>
        <v>0</v>
      </c>
      <c r="BO297" s="2030">
        <f t="shared" si="123"/>
        <v>0</v>
      </c>
      <c r="BP297" s="2030"/>
      <c r="BQ297" s="2030">
        <f t="shared" si="145"/>
        <v>0</v>
      </c>
      <c r="BR297" s="2030">
        <f t="shared" si="145"/>
        <v>0</v>
      </c>
      <c r="BS297" s="2030">
        <f t="shared" si="145"/>
        <v>0</v>
      </c>
      <c r="BT297" s="2125"/>
      <c r="BU297" s="2125"/>
      <c r="BV297" s="2125"/>
      <c r="BW297" s="2125"/>
      <c r="BX297" s="2125"/>
      <c r="BY297" s="2125"/>
      <c r="BZ297" s="2125"/>
      <c r="CA297" s="2125"/>
      <c r="CB297" s="2029"/>
      <c r="CC297" s="2029"/>
      <c r="CD297" s="2029"/>
      <c r="CE297" s="2029"/>
      <c r="CF297" s="2029"/>
      <c r="CG297" s="2032"/>
      <c r="CH297" s="1974">
        <v>0</v>
      </c>
      <c r="CI297" s="1974">
        <v>0</v>
      </c>
      <c r="CJ297" s="1974">
        <v>0</v>
      </c>
      <c r="CK297" s="1974">
        <v>0</v>
      </c>
      <c r="CL297" s="1974">
        <v>0</v>
      </c>
      <c r="CM297" s="2033">
        <v>0</v>
      </c>
      <c r="CN297" s="2026">
        <v>0</v>
      </c>
      <c r="CO297" s="1974">
        <v>0</v>
      </c>
      <c r="CP297" s="2031">
        <v>0</v>
      </c>
      <c r="CQ297" s="2031">
        <f t="shared" si="128"/>
        <v>0</v>
      </c>
      <c r="CR297" s="2026">
        <v>0</v>
      </c>
      <c r="CS297" s="2026">
        <v>0</v>
      </c>
      <c r="CT297" s="2026">
        <v>0</v>
      </c>
      <c r="CU297" s="2026">
        <v>0</v>
      </c>
      <c r="CV297" s="2036"/>
      <c r="CW297" s="2036"/>
      <c r="CX297" s="2036"/>
      <c r="CY297" s="2036"/>
      <c r="CZ297" s="2036"/>
      <c r="DA297" s="2036"/>
    </row>
    <row r="298" spans="1:105" x14ac:dyDescent="0.25">
      <c r="A298" s="2027" t="str">
        <f t="shared" si="146"/>
        <v>Additional Measure 3</v>
      </c>
      <c r="B298" s="2027"/>
      <c r="C298" s="2027">
        <v>0</v>
      </c>
      <c r="D298" s="2027"/>
      <c r="E298" s="2127">
        <v>0</v>
      </c>
      <c r="F298" s="2127"/>
      <c r="G298" s="2127">
        <v>0</v>
      </c>
      <c r="H298" s="2127"/>
      <c r="I298" s="2027">
        <v>0</v>
      </c>
      <c r="J298" s="2027"/>
      <c r="K298" s="1974" t="s">
        <v>2997</v>
      </c>
      <c r="L298" s="1974" t="s">
        <v>2997</v>
      </c>
      <c r="M298" s="2026">
        <v>0.96199999999999997</v>
      </c>
      <c r="N298" s="2026">
        <v>0.96199999999999997</v>
      </c>
      <c r="O298" s="2026">
        <v>0.96199999999999997</v>
      </c>
      <c r="P298" s="2026">
        <v>0.96199999999999997</v>
      </c>
      <c r="Q298" s="2027">
        <f t="shared" si="147"/>
        <v>0</v>
      </c>
      <c r="R298" s="2027">
        <f t="shared" si="147"/>
        <v>0</v>
      </c>
      <c r="S298" s="2027">
        <f t="shared" si="147"/>
        <v>0</v>
      </c>
      <c r="T298" s="2027">
        <f t="shared" si="147"/>
        <v>0</v>
      </c>
      <c r="U298" s="2026">
        <v>0.96199999999999997</v>
      </c>
      <c r="V298" s="2026">
        <v>0.96199999999999997</v>
      </c>
      <c r="W298" s="2026">
        <v>0.96199999999999997</v>
      </c>
      <c r="X298" s="2026">
        <v>0.96199999999999997</v>
      </c>
      <c r="Y298" s="2028">
        <f t="shared" si="148"/>
        <v>0</v>
      </c>
      <c r="Z298" s="2028">
        <f t="shared" si="148"/>
        <v>0</v>
      </c>
      <c r="AA298" s="2028">
        <f t="shared" si="148"/>
        <v>0</v>
      </c>
      <c r="AB298" s="2028">
        <f t="shared" si="148"/>
        <v>0</v>
      </c>
      <c r="AC298" s="2026">
        <v>0.96199999999999997</v>
      </c>
      <c r="AD298" s="2026">
        <v>0.96199999999999997</v>
      </c>
      <c r="AE298" s="2026">
        <v>0.96199999999999997</v>
      </c>
      <c r="AF298" s="2026">
        <v>0.96199999999999997</v>
      </c>
      <c r="AG298" s="2027">
        <f t="shared" si="149"/>
        <v>0</v>
      </c>
      <c r="AH298" s="2027">
        <f t="shared" si="149"/>
        <v>0</v>
      </c>
      <c r="AI298" s="2027">
        <f t="shared" si="149"/>
        <v>0</v>
      </c>
      <c r="AJ298" s="2027">
        <f t="shared" si="149"/>
        <v>0</v>
      </c>
      <c r="AK298" s="2027">
        <v>0</v>
      </c>
      <c r="AL298" s="2028"/>
      <c r="AM298" s="2028"/>
      <c r="AN298" s="2028"/>
      <c r="AO298" s="2027">
        <f t="shared" si="116"/>
        <v>0</v>
      </c>
      <c r="AP298" s="2027">
        <f t="shared" si="142"/>
        <v>0</v>
      </c>
      <c r="AQ298" s="2027">
        <f t="shared" si="142"/>
        <v>0</v>
      </c>
      <c r="AR298" s="2027" t="s">
        <v>3286</v>
      </c>
      <c r="AS298" s="2027">
        <f t="shared" si="118"/>
        <v>0</v>
      </c>
      <c r="AT298" s="2027">
        <f t="shared" si="119"/>
        <v>0</v>
      </c>
      <c r="AU298" s="2027">
        <f t="shared" si="143"/>
        <v>0</v>
      </c>
      <c r="AV298" s="2027">
        <f t="shared" si="143"/>
        <v>0</v>
      </c>
      <c r="AW298" s="2027">
        <f t="shared" si="143"/>
        <v>0</v>
      </c>
      <c r="AX298" s="2124">
        <v>0</v>
      </c>
      <c r="AY298" s="2029">
        <v>0</v>
      </c>
      <c r="AZ298" s="2029">
        <v>0</v>
      </c>
      <c r="BA298" s="2029">
        <v>0</v>
      </c>
      <c r="BB298" s="2124">
        <v>0</v>
      </c>
      <c r="BC298" s="2029">
        <v>0</v>
      </c>
      <c r="BD298" s="2029">
        <v>0</v>
      </c>
      <c r="BE298" s="2029">
        <v>0</v>
      </c>
      <c r="BF298" s="2124">
        <v>0</v>
      </c>
      <c r="BG298" s="2029">
        <v>0</v>
      </c>
      <c r="BH298" s="2029">
        <v>0</v>
      </c>
      <c r="BI298" s="2029">
        <v>0</v>
      </c>
      <c r="BJ298" s="2030">
        <f t="shared" si="144"/>
        <v>0</v>
      </c>
      <c r="BK298" s="2030">
        <f t="shared" si="144"/>
        <v>0</v>
      </c>
      <c r="BL298" s="2030">
        <f t="shared" si="144"/>
        <v>0</v>
      </c>
      <c r="BM298" s="2030"/>
      <c r="BN298" s="2030">
        <f t="shared" si="122"/>
        <v>0</v>
      </c>
      <c r="BO298" s="2030">
        <f t="shared" si="123"/>
        <v>0</v>
      </c>
      <c r="BP298" s="2030"/>
      <c r="BQ298" s="2030">
        <f t="shared" si="145"/>
        <v>0</v>
      </c>
      <c r="BR298" s="2030">
        <f t="shared" si="145"/>
        <v>0</v>
      </c>
      <c r="BS298" s="2030">
        <f t="shared" si="145"/>
        <v>0</v>
      </c>
      <c r="BT298" s="2125"/>
      <c r="BU298" s="2125"/>
      <c r="BV298" s="2125"/>
      <c r="BW298" s="2125"/>
      <c r="BX298" s="2125"/>
      <c r="BY298" s="2125"/>
      <c r="BZ298" s="2125"/>
      <c r="CA298" s="2125"/>
      <c r="CB298" s="2029"/>
      <c r="CC298" s="2029"/>
      <c r="CD298" s="2029"/>
      <c r="CE298" s="2029"/>
      <c r="CF298" s="2029"/>
      <c r="CG298" s="2032"/>
      <c r="CH298" s="1974">
        <v>0</v>
      </c>
      <c r="CI298" s="1974">
        <v>0</v>
      </c>
      <c r="CJ298" s="1974">
        <v>0</v>
      </c>
      <c r="CK298" s="1974">
        <v>0</v>
      </c>
      <c r="CL298" s="1974">
        <v>0</v>
      </c>
      <c r="CM298" s="2033">
        <v>0</v>
      </c>
      <c r="CN298" s="2026">
        <v>0</v>
      </c>
      <c r="CO298" s="1974">
        <v>0</v>
      </c>
      <c r="CP298" s="2031">
        <v>0</v>
      </c>
      <c r="CQ298" s="2031">
        <f t="shared" si="128"/>
        <v>0</v>
      </c>
      <c r="CR298" s="2026">
        <v>0</v>
      </c>
      <c r="CS298" s="2026">
        <v>0</v>
      </c>
      <c r="CT298" s="2026">
        <v>0</v>
      </c>
      <c r="CU298" s="2026">
        <v>0</v>
      </c>
      <c r="CV298" s="2036"/>
      <c r="CW298" s="2036"/>
      <c r="CX298" s="2036"/>
      <c r="CY298" s="2036"/>
      <c r="CZ298" s="2036"/>
      <c r="DA298" s="2036"/>
    </row>
    <row r="299" spans="1:105" x14ac:dyDescent="0.25">
      <c r="A299" s="2027" t="str">
        <f t="shared" si="146"/>
        <v>Additional Measure 4</v>
      </c>
      <c r="B299" s="2027"/>
      <c r="C299" s="2027">
        <v>0</v>
      </c>
      <c r="D299" s="2027"/>
      <c r="E299" s="2127">
        <v>0</v>
      </c>
      <c r="F299" s="2127"/>
      <c r="G299" s="2127">
        <v>0</v>
      </c>
      <c r="H299" s="2127"/>
      <c r="I299" s="2027">
        <v>0</v>
      </c>
      <c r="J299" s="2027"/>
      <c r="K299" s="1974" t="s">
        <v>2997</v>
      </c>
      <c r="L299" s="1974" t="s">
        <v>2997</v>
      </c>
      <c r="M299" s="2026">
        <v>0.96199999999999997</v>
      </c>
      <c r="N299" s="2026">
        <v>0.96199999999999997</v>
      </c>
      <c r="O299" s="2026">
        <v>0.96199999999999997</v>
      </c>
      <c r="P299" s="2026">
        <v>0.96199999999999997</v>
      </c>
      <c r="Q299" s="2027">
        <f t="shared" si="147"/>
        <v>0</v>
      </c>
      <c r="R299" s="2027">
        <f t="shared" si="147"/>
        <v>0</v>
      </c>
      <c r="S299" s="2027">
        <f t="shared" si="147"/>
        <v>0</v>
      </c>
      <c r="T299" s="2027">
        <f t="shared" si="147"/>
        <v>0</v>
      </c>
      <c r="U299" s="2026">
        <v>0.96199999999999997</v>
      </c>
      <c r="V299" s="2026">
        <v>0.96199999999999997</v>
      </c>
      <c r="W299" s="2026">
        <v>0.96199999999999997</v>
      </c>
      <c r="X299" s="2026">
        <v>0.96199999999999997</v>
      </c>
      <c r="Y299" s="2028">
        <f t="shared" si="148"/>
        <v>0</v>
      </c>
      <c r="Z299" s="2028">
        <f t="shared" si="148"/>
        <v>0</v>
      </c>
      <c r="AA299" s="2028">
        <f t="shared" si="148"/>
        <v>0</v>
      </c>
      <c r="AB299" s="2028">
        <f t="shared" si="148"/>
        <v>0</v>
      </c>
      <c r="AC299" s="2026">
        <v>0.96199999999999997</v>
      </c>
      <c r="AD299" s="2026">
        <v>0.96199999999999997</v>
      </c>
      <c r="AE299" s="2026">
        <v>0.96199999999999997</v>
      </c>
      <c r="AF299" s="2026">
        <v>0.96199999999999997</v>
      </c>
      <c r="AG299" s="2027">
        <f t="shared" si="149"/>
        <v>0</v>
      </c>
      <c r="AH299" s="2027">
        <f t="shared" si="149"/>
        <v>0</v>
      </c>
      <c r="AI299" s="2027">
        <f t="shared" si="149"/>
        <v>0</v>
      </c>
      <c r="AJ299" s="2027">
        <f t="shared" si="149"/>
        <v>0</v>
      </c>
      <c r="AK299" s="2027">
        <v>0</v>
      </c>
      <c r="AL299" s="2028"/>
      <c r="AM299" s="2028"/>
      <c r="AN299" s="2028"/>
      <c r="AO299" s="2027">
        <f t="shared" si="116"/>
        <v>0</v>
      </c>
      <c r="AP299" s="2027">
        <f t="shared" si="142"/>
        <v>0</v>
      </c>
      <c r="AQ299" s="2027">
        <f t="shared" si="142"/>
        <v>0</v>
      </c>
      <c r="AR299" s="2027" t="s">
        <v>3286</v>
      </c>
      <c r="AS299" s="2027">
        <f t="shared" si="118"/>
        <v>0</v>
      </c>
      <c r="AT299" s="2027">
        <f t="shared" si="119"/>
        <v>0</v>
      </c>
      <c r="AU299" s="2027">
        <f t="shared" si="143"/>
        <v>0</v>
      </c>
      <c r="AV299" s="2027">
        <f t="shared" si="143"/>
        <v>0</v>
      </c>
      <c r="AW299" s="2027">
        <f t="shared" si="143"/>
        <v>0</v>
      </c>
      <c r="AX299" s="2124">
        <v>0</v>
      </c>
      <c r="AY299" s="2029">
        <v>0</v>
      </c>
      <c r="AZ299" s="2029">
        <v>0</v>
      </c>
      <c r="BA299" s="2029">
        <v>0</v>
      </c>
      <c r="BB299" s="2124">
        <v>0</v>
      </c>
      <c r="BC299" s="2029">
        <v>0</v>
      </c>
      <c r="BD299" s="2029">
        <v>0</v>
      </c>
      <c r="BE299" s="2029">
        <v>0</v>
      </c>
      <c r="BF299" s="2124">
        <v>0</v>
      </c>
      <c r="BG299" s="2029">
        <v>0</v>
      </c>
      <c r="BH299" s="2029">
        <v>0</v>
      </c>
      <c r="BI299" s="2029">
        <v>0</v>
      </c>
      <c r="BJ299" s="2030">
        <f t="shared" si="144"/>
        <v>0</v>
      </c>
      <c r="BK299" s="2030">
        <f t="shared" si="144"/>
        <v>0</v>
      </c>
      <c r="BL299" s="2030">
        <f t="shared" si="144"/>
        <v>0</v>
      </c>
      <c r="BM299" s="2030"/>
      <c r="BN299" s="2030">
        <f t="shared" si="122"/>
        <v>0</v>
      </c>
      <c r="BO299" s="2030">
        <f t="shared" si="123"/>
        <v>0</v>
      </c>
      <c r="BP299" s="2030"/>
      <c r="BQ299" s="2030">
        <f t="shared" si="145"/>
        <v>0</v>
      </c>
      <c r="BR299" s="2030">
        <f t="shared" si="145"/>
        <v>0</v>
      </c>
      <c r="BS299" s="2030">
        <f t="shared" si="145"/>
        <v>0</v>
      </c>
      <c r="BT299" s="2125"/>
      <c r="BU299" s="2125"/>
      <c r="BV299" s="2125"/>
      <c r="BW299" s="2125"/>
      <c r="BX299" s="2125"/>
      <c r="BY299" s="2125"/>
      <c r="BZ299" s="2125"/>
      <c r="CA299" s="2125"/>
      <c r="CB299" s="2029"/>
      <c r="CC299" s="2029"/>
      <c r="CD299" s="2029"/>
      <c r="CE299" s="2029"/>
      <c r="CF299" s="2029"/>
      <c r="CG299" s="2032"/>
      <c r="CH299" s="1974">
        <v>0</v>
      </c>
      <c r="CI299" s="1974">
        <v>0</v>
      </c>
      <c r="CJ299" s="1974">
        <v>0</v>
      </c>
      <c r="CK299" s="1974">
        <v>0</v>
      </c>
      <c r="CL299" s="1974">
        <v>0</v>
      </c>
      <c r="CM299" s="2033">
        <v>0</v>
      </c>
      <c r="CN299" s="2026">
        <v>0</v>
      </c>
      <c r="CO299" s="1974">
        <v>0</v>
      </c>
      <c r="CP299" s="2031">
        <v>0</v>
      </c>
      <c r="CQ299" s="2031">
        <f t="shared" si="128"/>
        <v>0</v>
      </c>
      <c r="CR299" s="2026">
        <v>0</v>
      </c>
      <c r="CS299" s="2026">
        <v>0</v>
      </c>
      <c r="CT299" s="2026">
        <v>0</v>
      </c>
      <c r="CU299" s="2026">
        <v>0</v>
      </c>
      <c r="CV299" s="2036"/>
      <c r="CW299" s="2036"/>
      <c r="CX299" s="2036"/>
      <c r="CY299" s="2036"/>
      <c r="CZ299" s="2036"/>
      <c r="DA299" s="2036"/>
    </row>
    <row r="300" spans="1:105" x14ac:dyDescent="0.25">
      <c r="A300" s="2027" t="str">
        <f t="shared" si="146"/>
        <v>Additional Measure 5</v>
      </c>
      <c r="B300" s="2027"/>
      <c r="C300" s="2027">
        <v>0</v>
      </c>
      <c r="D300" s="2027"/>
      <c r="E300" s="2127">
        <v>0</v>
      </c>
      <c r="F300" s="2127"/>
      <c r="G300" s="2127">
        <v>0</v>
      </c>
      <c r="H300" s="2127"/>
      <c r="I300" s="2027">
        <v>0</v>
      </c>
      <c r="J300" s="2027"/>
      <c r="K300" s="1974" t="s">
        <v>2997</v>
      </c>
      <c r="L300" s="1974" t="s">
        <v>2997</v>
      </c>
      <c r="M300" s="2026">
        <v>0.96199999999999997</v>
      </c>
      <c r="N300" s="2026">
        <v>0.96199999999999997</v>
      </c>
      <c r="O300" s="2026">
        <v>0.96199999999999997</v>
      </c>
      <c r="P300" s="2026">
        <v>0.96199999999999997</v>
      </c>
      <c r="Q300" s="2027">
        <f t="shared" si="147"/>
        <v>0</v>
      </c>
      <c r="R300" s="2027">
        <f t="shared" si="147"/>
        <v>0</v>
      </c>
      <c r="S300" s="2027">
        <f t="shared" si="147"/>
        <v>0</v>
      </c>
      <c r="T300" s="2027">
        <f t="shared" si="147"/>
        <v>0</v>
      </c>
      <c r="U300" s="2026">
        <v>0.96199999999999997</v>
      </c>
      <c r="V300" s="2026">
        <v>0.96199999999999997</v>
      </c>
      <c r="W300" s="2026">
        <v>0.96199999999999997</v>
      </c>
      <c r="X300" s="2026">
        <v>0.96199999999999997</v>
      </c>
      <c r="Y300" s="2028">
        <f t="shared" si="148"/>
        <v>0</v>
      </c>
      <c r="Z300" s="2028">
        <f t="shared" si="148"/>
        <v>0</v>
      </c>
      <c r="AA300" s="2028">
        <f t="shared" si="148"/>
        <v>0</v>
      </c>
      <c r="AB300" s="2028">
        <f t="shared" si="148"/>
        <v>0</v>
      </c>
      <c r="AC300" s="2026">
        <v>0.96199999999999997</v>
      </c>
      <c r="AD300" s="2026">
        <v>0.96199999999999997</v>
      </c>
      <c r="AE300" s="2026">
        <v>0.96199999999999997</v>
      </c>
      <c r="AF300" s="2026">
        <v>0.96199999999999997</v>
      </c>
      <c r="AG300" s="2027">
        <f t="shared" si="149"/>
        <v>0</v>
      </c>
      <c r="AH300" s="2027">
        <f t="shared" si="149"/>
        <v>0</v>
      </c>
      <c r="AI300" s="2027">
        <f t="shared" si="149"/>
        <v>0</v>
      </c>
      <c r="AJ300" s="2027">
        <f t="shared" si="149"/>
        <v>0</v>
      </c>
      <c r="AK300" s="2027">
        <v>0</v>
      </c>
      <c r="AL300" s="2028"/>
      <c r="AM300" s="2028"/>
      <c r="AN300" s="2028"/>
      <c r="AO300" s="2027">
        <f t="shared" si="116"/>
        <v>0</v>
      </c>
      <c r="AP300" s="2027">
        <f t="shared" si="142"/>
        <v>0</v>
      </c>
      <c r="AQ300" s="2027">
        <f t="shared" si="142"/>
        <v>0</v>
      </c>
      <c r="AR300" s="2027" t="s">
        <v>3286</v>
      </c>
      <c r="AS300" s="2027">
        <f t="shared" si="118"/>
        <v>0</v>
      </c>
      <c r="AT300" s="2027">
        <f t="shared" si="119"/>
        <v>0</v>
      </c>
      <c r="AU300" s="2027">
        <f t="shared" si="143"/>
        <v>0</v>
      </c>
      <c r="AV300" s="2027">
        <f t="shared" si="143"/>
        <v>0</v>
      </c>
      <c r="AW300" s="2027">
        <f t="shared" si="143"/>
        <v>0</v>
      </c>
      <c r="AX300" s="2124">
        <v>0</v>
      </c>
      <c r="AY300" s="2029">
        <v>0</v>
      </c>
      <c r="AZ300" s="2029">
        <v>0</v>
      </c>
      <c r="BA300" s="2029">
        <v>0</v>
      </c>
      <c r="BB300" s="2124">
        <v>0</v>
      </c>
      <c r="BC300" s="2029">
        <v>0</v>
      </c>
      <c r="BD300" s="2029">
        <v>0</v>
      </c>
      <c r="BE300" s="2029">
        <v>0</v>
      </c>
      <c r="BF300" s="2124">
        <v>0</v>
      </c>
      <c r="BG300" s="2029">
        <v>0</v>
      </c>
      <c r="BH300" s="2029">
        <v>0</v>
      </c>
      <c r="BI300" s="2029">
        <v>0</v>
      </c>
      <c r="BJ300" s="2030">
        <f t="shared" si="144"/>
        <v>0</v>
      </c>
      <c r="BK300" s="2030">
        <f t="shared" si="144"/>
        <v>0</v>
      </c>
      <c r="BL300" s="2030">
        <f t="shared" si="144"/>
        <v>0</v>
      </c>
      <c r="BM300" s="2030"/>
      <c r="BN300" s="2030">
        <f t="shared" si="122"/>
        <v>0</v>
      </c>
      <c r="BO300" s="2030">
        <f t="shared" si="123"/>
        <v>0</v>
      </c>
      <c r="BP300" s="2030"/>
      <c r="BQ300" s="2030">
        <f t="shared" si="145"/>
        <v>0</v>
      </c>
      <c r="BR300" s="2030">
        <f t="shared" si="145"/>
        <v>0</v>
      </c>
      <c r="BS300" s="2030">
        <f t="shared" si="145"/>
        <v>0</v>
      </c>
      <c r="BT300" s="2125"/>
      <c r="BU300" s="2125"/>
      <c r="BV300" s="2125"/>
      <c r="BW300" s="2125"/>
      <c r="BX300" s="2125"/>
      <c r="BY300" s="2125"/>
      <c r="BZ300" s="2125"/>
      <c r="CA300" s="2125"/>
      <c r="CB300" s="2029"/>
      <c r="CC300" s="2029"/>
      <c r="CD300" s="2029"/>
      <c r="CE300" s="2029"/>
      <c r="CF300" s="2029"/>
      <c r="CG300" s="2032"/>
      <c r="CH300" s="1974">
        <v>0</v>
      </c>
      <c r="CI300" s="1974">
        <v>0</v>
      </c>
      <c r="CJ300" s="1974">
        <v>0</v>
      </c>
      <c r="CK300" s="1974">
        <v>0</v>
      </c>
      <c r="CL300" s="1974">
        <v>0</v>
      </c>
      <c r="CM300" s="2033">
        <v>0</v>
      </c>
      <c r="CN300" s="2026">
        <v>0</v>
      </c>
      <c r="CO300" s="1974">
        <v>0</v>
      </c>
      <c r="CP300" s="2031">
        <v>0</v>
      </c>
      <c r="CQ300" s="2031">
        <f t="shared" si="128"/>
        <v>0</v>
      </c>
      <c r="CR300" s="2026">
        <v>0</v>
      </c>
      <c r="CS300" s="2026">
        <v>0</v>
      </c>
      <c r="CT300" s="2026">
        <v>0</v>
      </c>
      <c r="CU300" s="2026">
        <v>0</v>
      </c>
      <c r="CV300" s="2036"/>
      <c r="CW300" s="2036"/>
      <c r="CX300" s="2036"/>
      <c r="CY300" s="2036"/>
      <c r="CZ300" s="2036"/>
      <c r="DA300" s="2036"/>
    </row>
    <row r="301" spans="1:105" x14ac:dyDescent="0.25">
      <c r="A301" s="2027" t="str">
        <f t="shared" si="146"/>
        <v>Additional Measure 6</v>
      </c>
      <c r="B301" s="2027"/>
      <c r="C301" s="2027">
        <v>0</v>
      </c>
      <c r="D301" s="2027"/>
      <c r="E301" s="2127">
        <v>0</v>
      </c>
      <c r="F301" s="2127"/>
      <c r="G301" s="2127">
        <v>0</v>
      </c>
      <c r="H301" s="2127"/>
      <c r="I301" s="2027">
        <v>0</v>
      </c>
      <c r="J301" s="2027"/>
      <c r="K301" s="1974" t="s">
        <v>2997</v>
      </c>
      <c r="L301" s="1974" t="s">
        <v>2997</v>
      </c>
      <c r="M301" s="2026">
        <v>0.96199999999999997</v>
      </c>
      <c r="N301" s="2026">
        <v>0.96199999999999997</v>
      </c>
      <c r="O301" s="2026">
        <v>0.96199999999999997</v>
      </c>
      <c r="P301" s="2026">
        <v>0.96199999999999997</v>
      </c>
      <c r="Q301" s="2027">
        <f t="shared" si="147"/>
        <v>0</v>
      </c>
      <c r="R301" s="2027">
        <f t="shared" si="147"/>
        <v>0</v>
      </c>
      <c r="S301" s="2027">
        <f t="shared" si="147"/>
        <v>0</v>
      </c>
      <c r="T301" s="2027">
        <f t="shared" si="147"/>
        <v>0</v>
      </c>
      <c r="U301" s="2026">
        <v>0.96199999999999997</v>
      </c>
      <c r="V301" s="2026">
        <v>0.96199999999999997</v>
      </c>
      <c r="W301" s="2026">
        <v>0.96199999999999997</v>
      </c>
      <c r="X301" s="2026">
        <v>0.96199999999999997</v>
      </c>
      <c r="Y301" s="2028">
        <f t="shared" si="148"/>
        <v>0</v>
      </c>
      <c r="Z301" s="2028">
        <f t="shared" si="148"/>
        <v>0</v>
      </c>
      <c r="AA301" s="2028">
        <f t="shared" si="148"/>
        <v>0</v>
      </c>
      <c r="AB301" s="2028">
        <f t="shared" si="148"/>
        <v>0</v>
      </c>
      <c r="AC301" s="2026">
        <v>0.96199999999999997</v>
      </c>
      <c r="AD301" s="2026">
        <v>0.96199999999999997</v>
      </c>
      <c r="AE301" s="2026">
        <v>0.96199999999999997</v>
      </c>
      <c r="AF301" s="2026">
        <v>0.96199999999999997</v>
      </c>
      <c r="AG301" s="2027">
        <f t="shared" si="149"/>
        <v>0</v>
      </c>
      <c r="AH301" s="2027">
        <f t="shared" si="149"/>
        <v>0</v>
      </c>
      <c r="AI301" s="2027">
        <f t="shared" si="149"/>
        <v>0</v>
      </c>
      <c r="AJ301" s="2027">
        <f t="shared" si="149"/>
        <v>0</v>
      </c>
      <c r="AK301" s="2027">
        <v>0</v>
      </c>
      <c r="AL301" s="2028"/>
      <c r="AM301" s="2028"/>
      <c r="AN301" s="2028"/>
      <c r="AO301" s="2027">
        <f t="shared" si="116"/>
        <v>0</v>
      </c>
      <c r="AP301" s="2027">
        <f t="shared" si="142"/>
        <v>0</v>
      </c>
      <c r="AQ301" s="2027">
        <f t="shared" si="142"/>
        <v>0</v>
      </c>
      <c r="AR301" s="2027" t="s">
        <v>3286</v>
      </c>
      <c r="AS301" s="2027">
        <f t="shared" si="118"/>
        <v>0</v>
      </c>
      <c r="AT301" s="2027">
        <f t="shared" si="119"/>
        <v>0</v>
      </c>
      <c r="AU301" s="2027">
        <f t="shared" si="143"/>
        <v>0</v>
      </c>
      <c r="AV301" s="2027">
        <f t="shared" si="143"/>
        <v>0</v>
      </c>
      <c r="AW301" s="2027">
        <f t="shared" si="143"/>
        <v>0</v>
      </c>
      <c r="AX301" s="2124">
        <v>0</v>
      </c>
      <c r="AY301" s="2029">
        <v>0</v>
      </c>
      <c r="AZ301" s="2029">
        <v>0</v>
      </c>
      <c r="BA301" s="2029">
        <v>0</v>
      </c>
      <c r="BB301" s="2124">
        <v>0</v>
      </c>
      <c r="BC301" s="2029">
        <v>0</v>
      </c>
      <c r="BD301" s="2029">
        <v>0</v>
      </c>
      <c r="BE301" s="2029">
        <v>0</v>
      </c>
      <c r="BF301" s="2124">
        <v>0</v>
      </c>
      <c r="BG301" s="2029">
        <v>0</v>
      </c>
      <c r="BH301" s="2029">
        <v>0</v>
      </c>
      <c r="BI301" s="2029">
        <v>0</v>
      </c>
      <c r="BJ301" s="2030">
        <f t="shared" si="144"/>
        <v>0</v>
      </c>
      <c r="BK301" s="2030">
        <f t="shared" si="144"/>
        <v>0</v>
      </c>
      <c r="BL301" s="2030">
        <f t="shared" si="144"/>
        <v>0</v>
      </c>
      <c r="BM301" s="2030"/>
      <c r="BN301" s="2030">
        <f t="shared" si="122"/>
        <v>0</v>
      </c>
      <c r="BO301" s="2030">
        <f t="shared" si="123"/>
        <v>0</v>
      </c>
      <c r="BP301" s="2030"/>
      <c r="BQ301" s="2030">
        <f t="shared" si="145"/>
        <v>0</v>
      </c>
      <c r="BR301" s="2030">
        <f t="shared" si="145"/>
        <v>0</v>
      </c>
      <c r="BS301" s="2030">
        <f t="shared" si="145"/>
        <v>0</v>
      </c>
      <c r="BT301" s="2125"/>
      <c r="BU301" s="2125"/>
      <c r="BV301" s="2125"/>
      <c r="BW301" s="2125"/>
      <c r="BX301" s="2125"/>
      <c r="BY301" s="2125"/>
      <c r="BZ301" s="2125"/>
      <c r="CA301" s="2125"/>
      <c r="CB301" s="2029"/>
      <c r="CC301" s="2029"/>
      <c r="CD301" s="2029"/>
      <c r="CE301" s="2029"/>
      <c r="CF301" s="2029"/>
      <c r="CG301" s="2032"/>
      <c r="CH301" s="1974">
        <v>0</v>
      </c>
      <c r="CI301" s="1974">
        <v>0</v>
      </c>
      <c r="CJ301" s="1974">
        <v>0</v>
      </c>
      <c r="CK301" s="1974">
        <v>0</v>
      </c>
      <c r="CL301" s="1974">
        <v>0</v>
      </c>
      <c r="CM301" s="2033">
        <v>0</v>
      </c>
      <c r="CN301" s="2026">
        <v>0</v>
      </c>
      <c r="CO301" s="1974">
        <v>0</v>
      </c>
      <c r="CP301" s="2031">
        <v>0</v>
      </c>
      <c r="CQ301" s="2031">
        <f t="shared" si="128"/>
        <v>0</v>
      </c>
      <c r="CR301" s="2026">
        <v>0</v>
      </c>
      <c r="CS301" s="2026">
        <v>0</v>
      </c>
      <c r="CT301" s="2026">
        <v>0</v>
      </c>
      <c r="CU301" s="2026">
        <v>0</v>
      </c>
      <c r="CV301" s="2036"/>
      <c r="CW301" s="2036"/>
      <c r="CX301" s="2036"/>
      <c r="CY301" s="2036"/>
      <c r="CZ301" s="2036"/>
      <c r="DA301" s="2036"/>
    </row>
    <row r="302" spans="1:105" x14ac:dyDescent="0.25">
      <c r="A302" s="2027" t="str">
        <f t="shared" si="146"/>
        <v>Additional Measure 7</v>
      </c>
      <c r="B302" s="2027"/>
      <c r="C302" s="2027">
        <v>0</v>
      </c>
      <c r="D302" s="2027"/>
      <c r="E302" s="2127">
        <v>0</v>
      </c>
      <c r="F302" s="2127"/>
      <c r="G302" s="2127">
        <v>0</v>
      </c>
      <c r="H302" s="2127"/>
      <c r="I302" s="2027">
        <v>0</v>
      </c>
      <c r="J302" s="2027"/>
      <c r="K302" s="1974" t="s">
        <v>2997</v>
      </c>
      <c r="L302" s="1974" t="s">
        <v>2997</v>
      </c>
      <c r="M302" s="2026">
        <v>0.96199999999999997</v>
      </c>
      <c r="N302" s="2026">
        <v>0.96199999999999997</v>
      </c>
      <c r="O302" s="2026">
        <v>0.96199999999999997</v>
      </c>
      <c r="P302" s="2026">
        <v>0.96199999999999997</v>
      </c>
      <c r="Q302" s="2027">
        <f t="shared" si="147"/>
        <v>0</v>
      </c>
      <c r="R302" s="2027">
        <f t="shared" si="147"/>
        <v>0</v>
      </c>
      <c r="S302" s="2027">
        <f t="shared" si="147"/>
        <v>0</v>
      </c>
      <c r="T302" s="2027">
        <f t="shared" si="147"/>
        <v>0</v>
      </c>
      <c r="U302" s="2026">
        <v>0.96199999999999997</v>
      </c>
      <c r="V302" s="2026">
        <v>0.96199999999999997</v>
      </c>
      <c r="W302" s="2026">
        <v>0.96199999999999997</v>
      </c>
      <c r="X302" s="2026">
        <v>0.96199999999999997</v>
      </c>
      <c r="Y302" s="2028">
        <f t="shared" si="148"/>
        <v>0</v>
      </c>
      <c r="Z302" s="2028">
        <f t="shared" si="148"/>
        <v>0</v>
      </c>
      <c r="AA302" s="2028">
        <f t="shared" si="148"/>
        <v>0</v>
      </c>
      <c r="AB302" s="2028">
        <f t="shared" si="148"/>
        <v>0</v>
      </c>
      <c r="AC302" s="2026">
        <v>0.96199999999999997</v>
      </c>
      <c r="AD302" s="2026">
        <v>0.96199999999999997</v>
      </c>
      <c r="AE302" s="2026">
        <v>0.96199999999999997</v>
      </c>
      <c r="AF302" s="2026">
        <v>0.96199999999999997</v>
      </c>
      <c r="AG302" s="2027">
        <f t="shared" si="149"/>
        <v>0</v>
      </c>
      <c r="AH302" s="2027">
        <f t="shared" si="149"/>
        <v>0</v>
      </c>
      <c r="AI302" s="2027">
        <f t="shared" si="149"/>
        <v>0</v>
      </c>
      <c r="AJ302" s="2027">
        <f t="shared" si="149"/>
        <v>0</v>
      </c>
      <c r="AK302" s="2027">
        <v>0</v>
      </c>
      <c r="AL302" s="2028"/>
      <c r="AM302" s="2028"/>
      <c r="AN302" s="2028"/>
      <c r="AO302" s="2027">
        <f t="shared" si="116"/>
        <v>0</v>
      </c>
      <c r="AP302" s="2027">
        <f t="shared" si="142"/>
        <v>0</v>
      </c>
      <c r="AQ302" s="2027">
        <f t="shared" si="142"/>
        <v>0</v>
      </c>
      <c r="AR302" s="2027" t="s">
        <v>3286</v>
      </c>
      <c r="AS302" s="2027">
        <f t="shared" si="118"/>
        <v>0</v>
      </c>
      <c r="AT302" s="2027">
        <f t="shared" si="119"/>
        <v>0</v>
      </c>
      <c r="AU302" s="2027">
        <f t="shared" si="143"/>
        <v>0</v>
      </c>
      <c r="AV302" s="2027">
        <f t="shared" si="143"/>
        <v>0</v>
      </c>
      <c r="AW302" s="2027">
        <f t="shared" si="143"/>
        <v>0</v>
      </c>
      <c r="AX302" s="2124">
        <v>0</v>
      </c>
      <c r="AY302" s="2029">
        <v>0</v>
      </c>
      <c r="AZ302" s="2029">
        <v>0</v>
      </c>
      <c r="BA302" s="2029">
        <v>0</v>
      </c>
      <c r="BB302" s="2124">
        <v>0</v>
      </c>
      <c r="BC302" s="2029">
        <v>0</v>
      </c>
      <c r="BD302" s="2029">
        <v>0</v>
      </c>
      <c r="BE302" s="2029">
        <v>0</v>
      </c>
      <c r="BF302" s="2124">
        <v>0</v>
      </c>
      <c r="BG302" s="2029">
        <v>0</v>
      </c>
      <c r="BH302" s="2029">
        <v>0</v>
      </c>
      <c r="BI302" s="2029">
        <v>0</v>
      </c>
      <c r="BJ302" s="2030">
        <f t="shared" si="144"/>
        <v>0</v>
      </c>
      <c r="BK302" s="2030">
        <f t="shared" si="144"/>
        <v>0</v>
      </c>
      <c r="BL302" s="2030">
        <f t="shared" si="144"/>
        <v>0</v>
      </c>
      <c r="BM302" s="2030"/>
      <c r="BN302" s="2030">
        <f t="shared" si="122"/>
        <v>0</v>
      </c>
      <c r="BO302" s="2030">
        <f t="shared" si="123"/>
        <v>0</v>
      </c>
      <c r="BP302" s="2030"/>
      <c r="BQ302" s="2030">
        <f t="shared" si="145"/>
        <v>0</v>
      </c>
      <c r="BR302" s="2030">
        <f t="shared" si="145"/>
        <v>0</v>
      </c>
      <c r="BS302" s="2030">
        <f t="shared" si="145"/>
        <v>0</v>
      </c>
      <c r="BT302" s="2125"/>
      <c r="BU302" s="2125"/>
      <c r="BV302" s="2125"/>
      <c r="BW302" s="2125"/>
      <c r="BX302" s="2125"/>
      <c r="BY302" s="2125"/>
      <c r="BZ302" s="2125"/>
      <c r="CA302" s="2125"/>
      <c r="CB302" s="2029"/>
      <c r="CC302" s="2029"/>
      <c r="CD302" s="2029"/>
      <c r="CE302" s="2029"/>
      <c r="CF302" s="2029"/>
      <c r="CG302" s="2032"/>
      <c r="CH302" s="1974">
        <v>0</v>
      </c>
      <c r="CI302" s="1974">
        <v>0</v>
      </c>
      <c r="CJ302" s="1974">
        <v>0</v>
      </c>
      <c r="CK302" s="1974">
        <v>0</v>
      </c>
      <c r="CL302" s="1974">
        <v>0</v>
      </c>
      <c r="CM302" s="2033">
        <v>0</v>
      </c>
      <c r="CN302" s="2026">
        <v>0</v>
      </c>
      <c r="CO302" s="1974">
        <v>0</v>
      </c>
      <c r="CP302" s="2031">
        <v>0</v>
      </c>
      <c r="CQ302" s="2031">
        <f t="shared" si="128"/>
        <v>0</v>
      </c>
      <c r="CR302" s="2026">
        <v>0</v>
      </c>
      <c r="CS302" s="2026">
        <v>0</v>
      </c>
      <c r="CT302" s="2026">
        <v>0</v>
      </c>
      <c r="CU302" s="2026">
        <v>0</v>
      </c>
      <c r="CV302" s="2036"/>
      <c r="CW302" s="2036"/>
      <c r="CX302" s="2036"/>
      <c r="CY302" s="2036"/>
      <c r="CZ302" s="2036"/>
      <c r="DA302" s="2036"/>
    </row>
    <row r="303" spans="1:105" x14ac:dyDescent="0.25">
      <c r="A303" s="2027" t="str">
        <f t="shared" si="146"/>
        <v>Additional Measure 8</v>
      </c>
      <c r="B303" s="2027"/>
      <c r="C303" s="2027">
        <v>0</v>
      </c>
      <c r="D303" s="2027"/>
      <c r="E303" s="2127">
        <v>0</v>
      </c>
      <c r="F303" s="2127"/>
      <c r="G303" s="2127">
        <v>0</v>
      </c>
      <c r="H303" s="2127"/>
      <c r="I303" s="2027">
        <v>0</v>
      </c>
      <c r="J303" s="2027"/>
      <c r="K303" s="1974" t="s">
        <v>2997</v>
      </c>
      <c r="L303" s="1974" t="s">
        <v>2997</v>
      </c>
      <c r="M303" s="2026">
        <v>0.96199999999999997</v>
      </c>
      <c r="N303" s="2026">
        <v>0.96199999999999997</v>
      </c>
      <c r="O303" s="2026">
        <v>0.96199999999999997</v>
      </c>
      <c r="P303" s="2026">
        <v>0.96199999999999997</v>
      </c>
      <c r="Q303" s="2027">
        <f t="shared" si="147"/>
        <v>0</v>
      </c>
      <c r="R303" s="2027">
        <f t="shared" si="147"/>
        <v>0</v>
      </c>
      <c r="S303" s="2027">
        <f t="shared" si="147"/>
        <v>0</v>
      </c>
      <c r="T303" s="2027">
        <f t="shared" si="147"/>
        <v>0</v>
      </c>
      <c r="U303" s="2026">
        <v>0.96199999999999997</v>
      </c>
      <c r="V303" s="2026">
        <v>0.96199999999999997</v>
      </c>
      <c r="W303" s="2026">
        <v>0.96199999999999997</v>
      </c>
      <c r="X303" s="2026">
        <v>0.96199999999999997</v>
      </c>
      <c r="Y303" s="2028">
        <f t="shared" si="148"/>
        <v>0</v>
      </c>
      <c r="Z303" s="2028">
        <f t="shared" si="148"/>
        <v>0</v>
      </c>
      <c r="AA303" s="2028">
        <f t="shared" si="148"/>
        <v>0</v>
      </c>
      <c r="AB303" s="2028">
        <f t="shared" si="148"/>
        <v>0</v>
      </c>
      <c r="AC303" s="2026">
        <v>0.96199999999999997</v>
      </c>
      <c r="AD303" s="2026">
        <v>0.96199999999999997</v>
      </c>
      <c r="AE303" s="2026">
        <v>0.96199999999999997</v>
      </c>
      <c r="AF303" s="2026">
        <v>0.96199999999999997</v>
      </c>
      <c r="AG303" s="2027">
        <f t="shared" si="149"/>
        <v>0</v>
      </c>
      <c r="AH303" s="2027">
        <f t="shared" si="149"/>
        <v>0</v>
      </c>
      <c r="AI303" s="2027">
        <f t="shared" si="149"/>
        <v>0</v>
      </c>
      <c r="AJ303" s="2027">
        <f t="shared" si="149"/>
        <v>0</v>
      </c>
      <c r="AK303" s="2027">
        <v>0</v>
      </c>
      <c r="AL303" s="2028"/>
      <c r="AM303" s="2028"/>
      <c r="AN303" s="2028"/>
      <c r="AO303" s="2027">
        <f t="shared" si="116"/>
        <v>0</v>
      </c>
      <c r="AP303" s="2027">
        <f t="shared" si="142"/>
        <v>0</v>
      </c>
      <c r="AQ303" s="2027">
        <f t="shared" si="142"/>
        <v>0</v>
      </c>
      <c r="AR303" s="2027" t="s">
        <v>3286</v>
      </c>
      <c r="AS303" s="2027">
        <f t="shared" si="118"/>
        <v>0</v>
      </c>
      <c r="AT303" s="2027">
        <f t="shared" si="119"/>
        <v>0</v>
      </c>
      <c r="AU303" s="2027">
        <f t="shared" si="143"/>
        <v>0</v>
      </c>
      <c r="AV303" s="2027">
        <f t="shared" si="143"/>
        <v>0</v>
      </c>
      <c r="AW303" s="2027">
        <f t="shared" si="143"/>
        <v>0</v>
      </c>
      <c r="AX303" s="2124">
        <v>0</v>
      </c>
      <c r="AY303" s="2029">
        <v>0</v>
      </c>
      <c r="AZ303" s="2029">
        <v>0</v>
      </c>
      <c r="BA303" s="2029">
        <v>0</v>
      </c>
      <c r="BB303" s="2124">
        <v>0</v>
      </c>
      <c r="BC303" s="2029">
        <v>0</v>
      </c>
      <c r="BD303" s="2029">
        <v>0</v>
      </c>
      <c r="BE303" s="2029">
        <v>0</v>
      </c>
      <c r="BF303" s="2124">
        <v>0</v>
      </c>
      <c r="BG303" s="2029">
        <v>0</v>
      </c>
      <c r="BH303" s="2029">
        <v>0</v>
      </c>
      <c r="BI303" s="2029">
        <v>0</v>
      </c>
      <c r="BJ303" s="2030">
        <f t="shared" si="144"/>
        <v>0</v>
      </c>
      <c r="BK303" s="2030">
        <f t="shared" si="144"/>
        <v>0</v>
      </c>
      <c r="BL303" s="2030">
        <f t="shared" si="144"/>
        <v>0</v>
      </c>
      <c r="BM303" s="2030"/>
      <c r="BN303" s="2030">
        <f t="shared" si="122"/>
        <v>0</v>
      </c>
      <c r="BO303" s="2030">
        <f t="shared" si="123"/>
        <v>0</v>
      </c>
      <c r="BP303" s="2030"/>
      <c r="BQ303" s="2030">
        <f t="shared" si="145"/>
        <v>0</v>
      </c>
      <c r="BR303" s="2030">
        <f t="shared" si="145"/>
        <v>0</v>
      </c>
      <c r="BS303" s="2030">
        <f t="shared" si="145"/>
        <v>0</v>
      </c>
      <c r="BT303" s="2125"/>
      <c r="BU303" s="2125"/>
      <c r="BV303" s="2125"/>
      <c r="BW303" s="2125"/>
      <c r="BX303" s="2125"/>
      <c r="BY303" s="2125"/>
      <c r="BZ303" s="2125"/>
      <c r="CA303" s="2125"/>
      <c r="CB303" s="2029"/>
      <c r="CC303" s="2029"/>
      <c r="CD303" s="2029"/>
      <c r="CE303" s="2029"/>
      <c r="CF303" s="2029"/>
      <c r="CG303" s="2032"/>
      <c r="CH303" s="1974">
        <v>0</v>
      </c>
      <c r="CI303" s="1974">
        <v>0</v>
      </c>
      <c r="CJ303" s="1974">
        <v>0</v>
      </c>
      <c r="CK303" s="1974">
        <v>0</v>
      </c>
      <c r="CL303" s="1974">
        <v>0</v>
      </c>
      <c r="CM303" s="2033">
        <v>0</v>
      </c>
      <c r="CN303" s="2026">
        <v>0</v>
      </c>
      <c r="CO303" s="1974">
        <v>0</v>
      </c>
      <c r="CP303" s="2031">
        <v>0</v>
      </c>
      <c r="CQ303" s="2031">
        <f t="shared" si="128"/>
        <v>0</v>
      </c>
      <c r="CR303" s="2026">
        <v>0</v>
      </c>
      <c r="CS303" s="2026">
        <v>0</v>
      </c>
      <c r="CT303" s="2026">
        <v>0</v>
      </c>
      <c r="CU303" s="2026">
        <v>0</v>
      </c>
      <c r="CV303" s="2036"/>
      <c r="CW303" s="2036"/>
      <c r="CX303" s="2036"/>
      <c r="CY303" s="2036"/>
      <c r="CZ303" s="2036"/>
      <c r="DA303" s="2036"/>
    </row>
    <row r="304" spans="1:105" x14ac:dyDescent="0.25">
      <c r="A304" s="2027" t="str">
        <f t="shared" si="146"/>
        <v>Additional Measure 9</v>
      </c>
      <c r="B304" s="2027"/>
      <c r="C304" s="2027">
        <v>0</v>
      </c>
      <c r="D304" s="2027"/>
      <c r="E304" s="2127">
        <v>0</v>
      </c>
      <c r="F304" s="2127"/>
      <c r="G304" s="2127">
        <v>0</v>
      </c>
      <c r="H304" s="2127"/>
      <c r="I304" s="2027">
        <v>0</v>
      </c>
      <c r="J304" s="2027"/>
      <c r="K304" s="1974" t="s">
        <v>2997</v>
      </c>
      <c r="L304" s="1974" t="s">
        <v>2997</v>
      </c>
      <c r="M304" s="2026">
        <v>0.96199999999999997</v>
      </c>
      <c r="N304" s="2026">
        <v>0.96199999999999997</v>
      </c>
      <c r="O304" s="2026">
        <v>0.96199999999999997</v>
      </c>
      <c r="P304" s="2026">
        <v>0.96199999999999997</v>
      </c>
      <c r="Q304" s="2027">
        <f t="shared" si="147"/>
        <v>0</v>
      </c>
      <c r="R304" s="2027">
        <f t="shared" si="147"/>
        <v>0</v>
      </c>
      <c r="S304" s="2027">
        <f t="shared" si="147"/>
        <v>0</v>
      </c>
      <c r="T304" s="2027">
        <f t="shared" si="147"/>
        <v>0</v>
      </c>
      <c r="U304" s="2026">
        <v>0.96199999999999997</v>
      </c>
      <c r="V304" s="2026">
        <v>0.96199999999999997</v>
      </c>
      <c r="W304" s="2026">
        <v>0.96199999999999997</v>
      </c>
      <c r="X304" s="2026">
        <v>0.96199999999999997</v>
      </c>
      <c r="Y304" s="2028">
        <f t="shared" si="148"/>
        <v>0</v>
      </c>
      <c r="Z304" s="2028">
        <f t="shared" si="148"/>
        <v>0</v>
      </c>
      <c r="AA304" s="2028">
        <f t="shared" si="148"/>
        <v>0</v>
      </c>
      <c r="AB304" s="2028">
        <f t="shared" si="148"/>
        <v>0</v>
      </c>
      <c r="AC304" s="2026">
        <v>0.96199999999999997</v>
      </c>
      <c r="AD304" s="2026">
        <v>0.96199999999999997</v>
      </c>
      <c r="AE304" s="2026">
        <v>0.96199999999999997</v>
      </c>
      <c r="AF304" s="2026">
        <v>0.96199999999999997</v>
      </c>
      <c r="AG304" s="2027">
        <f t="shared" si="149"/>
        <v>0</v>
      </c>
      <c r="AH304" s="2027">
        <f t="shared" si="149"/>
        <v>0</v>
      </c>
      <c r="AI304" s="2027">
        <f t="shared" si="149"/>
        <v>0</v>
      </c>
      <c r="AJ304" s="2027">
        <f t="shared" si="149"/>
        <v>0</v>
      </c>
      <c r="AK304" s="2027">
        <v>0</v>
      </c>
      <c r="AL304" s="2028"/>
      <c r="AM304" s="2028"/>
      <c r="AN304" s="2028"/>
      <c r="AO304" s="2027">
        <f t="shared" si="116"/>
        <v>0</v>
      </c>
      <c r="AP304" s="2027">
        <f t="shared" si="142"/>
        <v>0</v>
      </c>
      <c r="AQ304" s="2027">
        <f t="shared" si="142"/>
        <v>0</v>
      </c>
      <c r="AR304" s="2027" t="s">
        <v>3286</v>
      </c>
      <c r="AS304" s="2027">
        <f t="shared" si="118"/>
        <v>0</v>
      </c>
      <c r="AT304" s="2027">
        <f t="shared" si="119"/>
        <v>0</v>
      </c>
      <c r="AU304" s="2027">
        <f t="shared" si="143"/>
        <v>0</v>
      </c>
      <c r="AV304" s="2027">
        <f t="shared" si="143"/>
        <v>0</v>
      </c>
      <c r="AW304" s="2027">
        <f t="shared" si="143"/>
        <v>0</v>
      </c>
      <c r="AX304" s="2124">
        <v>0</v>
      </c>
      <c r="AY304" s="2029">
        <v>0</v>
      </c>
      <c r="AZ304" s="2029">
        <v>0</v>
      </c>
      <c r="BA304" s="2029">
        <v>0</v>
      </c>
      <c r="BB304" s="2124">
        <v>0</v>
      </c>
      <c r="BC304" s="2029">
        <v>0</v>
      </c>
      <c r="BD304" s="2029">
        <v>0</v>
      </c>
      <c r="BE304" s="2029">
        <v>0</v>
      </c>
      <c r="BF304" s="2124">
        <v>0</v>
      </c>
      <c r="BG304" s="2029">
        <v>0</v>
      </c>
      <c r="BH304" s="2029">
        <v>0</v>
      </c>
      <c r="BI304" s="2029">
        <v>0</v>
      </c>
      <c r="BJ304" s="2030">
        <f t="shared" si="144"/>
        <v>0</v>
      </c>
      <c r="BK304" s="2030">
        <f t="shared" si="144"/>
        <v>0</v>
      </c>
      <c r="BL304" s="2030">
        <f t="shared" si="144"/>
        <v>0</v>
      </c>
      <c r="BM304" s="2030"/>
      <c r="BN304" s="2030">
        <f t="shared" si="122"/>
        <v>0</v>
      </c>
      <c r="BO304" s="2030">
        <f t="shared" si="123"/>
        <v>0</v>
      </c>
      <c r="BP304" s="2030"/>
      <c r="BQ304" s="2030">
        <f t="shared" si="145"/>
        <v>0</v>
      </c>
      <c r="BR304" s="2030">
        <f t="shared" si="145"/>
        <v>0</v>
      </c>
      <c r="BS304" s="2030">
        <f t="shared" si="145"/>
        <v>0</v>
      </c>
      <c r="BT304" s="2125"/>
      <c r="BU304" s="2125"/>
      <c r="BV304" s="2125"/>
      <c r="BW304" s="2125"/>
      <c r="BX304" s="2125"/>
      <c r="BY304" s="2125"/>
      <c r="BZ304" s="2125"/>
      <c r="CA304" s="2125"/>
      <c r="CB304" s="2029"/>
      <c r="CC304" s="2029"/>
      <c r="CD304" s="2029"/>
      <c r="CE304" s="2029"/>
      <c r="CF304" s="2029"/>
      <c r="CG304" s="2032"/>
      <c r="CH304" s="1974">
        <v>0</v>
      </c>
      <c r="CI304" s="1974">
        <v>0</v>
      </c>
      <c r="CJ304" s="1974">
        <v>0</v>
      </c>
      <c r="CK304" s="1974">
        <v>0</v>
      </c>
      <c r="CL304" s="1974">
        <v>0</v>
      </c>
      <c r="CM304" s="2033">
        <v>0</v>
      </c>
      <c r="CN304" s="2026">
        <v>0</v>
      </c>
      <c r="CO304" s="1974">
        <v>0</v>
      </c>
      <c r="CP304" s="2031">
        <v>0</v>
      </c>
      <c r="CQ304" s="2031">
        <f t="shared" si="128"/>
        <v>0</v>
      </c>
      <c r="CR304" s="2026">
        <v>0</v>
      </c>
      <c r="CS304" s="2026">
        <v>0</v>
      </c>
      <c r="CT304" s="2026">
        <v>0</v>
      </c>
      <c r="CU304" s="2026">
        <v>0</v>
      </c>
      <c r="CV304" s="2036"/>
      <c r="CW304" s="2036"/>
      <c r="CX304" s="2036"/>
      <c r="CY304" s="2036"/>
      <c r="CZ304" s="2036"/>
      <c r="DA304" s="2036"/>
    </row>
    <row r="305" spans="1:105" x14ac:dyDescent="0.25">
      <c r="A305" s="2027" t="str">
        <f t="shared" si="146"/>
        <v>Additional Measure 10</v>
      </c>
      <c r="B305" s="2027"/>
      <c r="C305" s="2027">
        <v>0</v>
      </c>
      <c r="D305" s="2027"/>
      <c r="E305" s="2127">
        <v>0</v>
      </c>
      <c r="F305" s="2127"/>
      <c r="G305" s="2127">
        <v>0</v>
      </c>
      <c r="H305" s="2127"/>
      <c r="I305" s="2027">
        <v>0</v>
      </c>
      <c r="J305" s="2027"/>
      <c r="K305" s="1974" t="s">
        <v>2997</v>
      </c>
      <c r="L305" s="1974" t="s">
        <v>2997</v>
      </c>
      <c r="M305" s="2026">
        <v>0.96199999999999997</v>
      </c>
      <c r="N305" s="2026">
        <v>0.96199999999999997</v>
      </c>
      <c r="O305" s="2026">
        <v>0.96199999999999997</v>
      </c>
      <c r="P305" s="2026">
        <v>0.96199999999999997</v>
      </c>
      <c r="Q305" s="2027">
        <f t="shared" si="147"/>
        <v>0</v>
      </c>
      <c r="R305" s="2027">
        <f t="shared" si="147"/>
        <v>0</v>
      </c>
      <c r="S305" s="2027">
        <f t="shared" si="147"/>
        <v>0</v>
      </c>
      <c r="T305" s="2027">
        <f t="shared" si="147"/>
        <v>0</v>
      </c>
      <c r="U305" s="2026">
        <v>0.96199999999999997</v>
      </c>
      <c r="V305" s="2026">
        <v>0.96199999999999997</v>
      </c>
      <c r="W305" s="2026">
        <v>0.96199999999999997</v>
      </c>
      <c r="X305" s="2026">
        <v>0.96199999999999997</v>
      </c>
      <c r="Y305" s="2028">
        <f t="shared" si="148"/>
        <v>0</v>
      </c>
      <c r="Z305" s="2028">
        <f t="shared" si="148"/>
        <v>0</v>
      </c>
      <c r="AA305" s="2028">
        <f t="shared" si="148"/>
        <v>0</v>
      </c>
      <c r="AB305" s="2028">
        <f t="shared" si="148"/>
        <v>0</v>
      </c>
      <c r="AC305" s="2026">
        <v>0.96199999999999997</v>
      </c>
      <c r="AD305" s="2026">
        <v>0.96199999999999997</v>
      </c>
      <c r="AE305" s="2026">
        <v>0.96199999999999997</v>
      </c>
      <c r="AF305" s="2026">
        <v>0.96199999999999997</v>
      </c>
      <c r="AG305" s="2027">
        <f t="shared" si="149"/>
        <v>0</v>
      </c>
      <c r="AH305" s="2027">
        <f t="shared" si="149"/>
        <v>0</v>
      </c>
      <c r="AI305" s="2027">
        <f t="shared" si="149"/>
        <v>0</v>
      </c>
      <c r="AJ305" s="2027">
        <f t="shared" si="149"/>
        <v>0</v>
      </c>
      <c r="AK305" s="2027">
        <v>0</v>
      </c>
      <c r="AL305" s="2028"/>
      <c r="AM305" s="2028"/>
      <c r="AN305" s="2028"/>
      <c r="AO305" s="2027">
        <f t="shared" si="116"/>
        <v>0</v>
      </c>
      <c r="AP305" s="2027">
        <f t="shared" si="142"/>
        <v>0</v>
      </c>
      <c r="AQ305" s="2027">
        <f t="shared" si="142"/>
        <v>0</v>
      </c>
      <c r="AR305" s="2027" t="s">
        <v>3286</v>
      </c>
      <c r="AS305" s="2027">
        <f t="shared" si="118"/>
        <v>0</v>
      </c>
      <c r="AT305" s="2027">
        <f t="shared" si="119"/>
        <v>0</v>
      </c>
      <c r="AU305" s="2027">
        <f t="shared" si="143"/>
        <v>0</v>
      </c>
      <c r="AV305" s="2027">
        <f t="shared" si="143"/>
        <v>0</v>
      </c>
      <c r="AW305" s="2027">
        <f t="shared" si="143"/>
        <v>0</v>
      </c>
      <c r="AX305" s="2124">
        <v>0</v>
      </c>
      <c r="AY305" s="2029">
        <v>0</v>
      </c>
      <c r="AZ305" s="2029">
        <v>0</v>
      </c>
      <c r="BA305" s="2029">
        <v>0</v>
      </c>
      <c r="BB305" s="2124">
        <v>0</v>
      </c>
      <c r="BC305" s="2029">
        <v>0</v>
      </c>
      <c r="BD305" s="2029">
        <v>0</v>
      </c>
      <c r="BE305" s="2029">
        <v>0</v>
      </c>
      <c r="BF305" s="2124">
        <v>0</v>
      </c>
      <c r="BG305" s="2029">
        <v>0</v>
      </c>
      <c r="BH305" s="2029">
        <v>0</v>
      </c>
      <c r="BI305" s="2029">
        <v>0</v>
      </c>
      <c r="BJ305" s="2030">
        <f t="shared" si="144"/>
        <v>0</v>
      </c>
      <c r="BK305" s="2030">
        <f t="shared" si="144"/>
        <v>0</v>
      </c>
      <c r="BL305" s="2030">
        <f t="shared" si="144"/>
        <v>0</v>
      </c>
      <c r="BM305" s="2030"/>
      <c r="BN305" s="2030">
        <f t="shared" si="122"/>
        <v>0</v>
      </c>
      <c r="BO305" s="2030">
        <f t="shared" si="123"/>
        <v>0</v>
      </c>
      <c r="BP305" s="2030"/>
      <c r="BQ305" s="2030">
        <f t="shared" si="145"/>
        <v>0</v>
      </c>
      <c r="BR305" s="2030">
        <f t="shared" si="145"/>
        <v>0</v>
      </c>
      <c r="BS305" s="2030">
        <f t="shared" si="145"/>
        <v>0</v>
      </c>
      <c r="BT305" s="2125"/>
      <c r="BU305" s="2125"/>
      <c r="BV305" s="2125"/>
      <c r="BW305" s="2125"/>
      <c r="BX305" s="2125"/>
      <c r="BY305" s="2125"/>
      <c r="BZ305" s="2125"/>
      <c r="CA305" s="2125"/>
      <c r="CB305" s="2029"/>
      <c r="CC305" s="2029"/>
      <c r="CD305" s="2029"/>
      <c r="CE305" s="2029"/>
      <c r="CF305" s="2029"/>
      <c r="CG305" s="2032"/>
      <c r="CH305" s="1974">
        <v>0</v>
      </c>
      <c r="CI305" s="1974">
        <v>0</v>
      </c>
      <c r="CJ305" s="1974">
        <v>0</v>
      </c>
      <c r="CK305" s="1974">
        <v>0</v>
      </c>
      <c r="CL305" s="1974">
        <v>0</v>
      </c>
      <c r="CM305" s="2033">
        <v>0</v>
      </c>
      <c r="CN305" s="2026">
        <v>0</v>
      </c>
      <c r="CO305" s="1974">
        <v>0</v>
      </c>
      <c r="CP305" s="2031">
        <v>0</v>
      </c>
      <c r="CQ305" s="2031">
        <f t="shared" si="128"/>
        <v>0</v>
      </c>
      <c r="CR305" s="2026">
        <v>0</v>
      </c>
      <c r="CS305" s="2026">
        <v>0</v>
      </c>
      <c r="CT305" s="2026">
        <v>0</v>
      </c>
      <c r="CU305" s="2026">
        <v>0</v>
      </c>
      <c r="CV305" s="2036"/>
      <c r="CW305" s="2036"/>
      <c r="CX305" s="2036"/>
      <c r="CY305" s="2036"/>
      <c r="CZ305" s="2036"/>
      <c r="DA305" s="2036"/>
    </row>
    <row r="306" spans="1:105" x14ac:dyDescent="0.25">
      <c r="A306" s="2027" t="str">
        <f t="shared" si="146"/>
        <v>Additional Measure 11</v>
      </c>
      <c r="B306" s="2027"/>
      <c r="C306" s="2027">
        <v>0</v>
      </c>
      <c r="D306" s="2027"/>
      <c r="E306" s="2127">
        <v>0</v>
      </c>
      <c r="F306" s="2127"/>
      <c r="G306" s="2127">
        <v>0</v>
      </c>
      <c r="H306" s="2127"/>
      <c r="I306" s="2027">
        <v>0</v>
      </c>
      <c r="J306" s="2027"/>
      <c r="K306" s="1974" t="s">
        <v>2997</v>
      </c>
      <c r="L306" s="1974" t="s">
        <v>2997</v>
      </c>
      <c r="M306" s="2026">
        <v>0.96199999999999997</v>
      </c>
      <c r="N306" s="2026">
        <v>0.96199999999999997</v>
      </c>
      <c r="O306" s="2026">
        <v>0.96199999999999997</v>
      </c>
      <c r="P306" s="2026">
        <v>0.96199999999999997</v>
      </c>
      <c r="Q306" s="2027">
        <f t="shared" si="147"/>
        <v>0</v>
      </c>
      <c r="R306" s="2027">
        <f t="shared" si="147"/>
        <v>0</v>
      </c>
      <c r="S306" s="2027">
        <f t="shared" si="147"/>
        <v>0</v>
      </c>
      <c r="T306" s="2027">
        <f t="shared" si="147"/>
        <v>0</v>
      </c>
      <c r="U306" s="2026">
        <v>0.96199999999999997</v>
      </c>
      <c r="V306" s="2026">
        <v>0.96199999999999997</v>
      </c>
      <c r="W306" s="2026">
        <v>0.96199999999999997</v>
      </c>
      <c r="X306" s="2026">
        <v>0.96199999999999997</v>
      </c>
      <c r="Y306" s="2028">
        <f t="shared" si="148"/>
        <v>0</v>
      </c>
      <c r="Z306" s="2028">
        <f t="shared" si="148"/>
        <v>0</v>
      </c>
      <c r="AA306" s="2028">
        <f t="shared" si="148"/>
        <v>0</v>
      </c>
      <c r="AB306" s="2028">
        <f t="shared" si="148"/>
        <v>0</v>
      </c>
      <c r="AC306" s="2026">
        <v>0.96199999999999997</v>
      </c>
      <c r="AD306" s="2026">
        <v>0.96199999999999997</v>
      </c>
      <c r="AE306" s="2026">
        <v>0.96199999999999997</v>
      </c>
      <c r="AF306" s="2026">
        <v>0.96199999999999997</v>
      </c>
      <c r="AG306" s="2027">
        <f t="shared" si="149"/>
        <v>0</v>
      </c>
      <c r="AH306" s="2027">
        <f t="shared" si="149"/>
        <v>0</v>
      </c>
      <c r="AI306" s="2027">
        <f t="shared" si="149"/>
        <v>0</v>
      </c>
      <c r="AJ306" s="2027">
        <f t="shared" si="149"/>
        <v>0</v>
      </c>
      <c r="AK306" s="2027">
        <v>0</v>
      </c>
      <c r="AL306" s="2028"/>
      <c r="AM306" s="2028"/>
      <c r="AN306" s="2028"/>
      <c r="AO306" s="2027">
        <f t="shared" si="116"/>
        <v>0</v>
      </c>
      <c r="AP306" s="2027">
        <f t="shared" si="142"/>
        <v>0</v>
      </c>
      <c r="AQ306" s="2027">
        <f t="shared" si="142"/>
        <v>0</v>
      </c>
      <c r="AR306" s="2027" t="s">
        <v>3286</v>
      </c>
      <c r="AS306" s="2027">
        <f t="shared" si="118"/>
        <v>0</v>
      </c>
      <c r="AT306" s="2027">
        <f t="shared" si="119"/>
        <v>0</v>
      </c>
      <c r="AU306" s="2027">
        <f t="shared" si="143"/>
        <v>0</v>
      </c>
      <c r="AV306" s="2027">
        <f t="shared" si="143"/>
        <v>0</v>
      </c>
      <c r="AW306" s="2027">
        <f t="shared" si="143"/>
        <v>0</v>
      </c>
      <c r="AX306" s="2124">
        <v>0</v>
      </c>
      <c r="AY306" s="2029">
        <v>0</v>
      </c>
      <c r="AZ306" s="2029">
        <v>0</v>
      </c>
      <c r="BA306" s="2029">
        <v>0</v>
      </c>
      <c r="BB306" s="2124">
        <v>0</v>
      </c>
      <c r="BC306" s="2029">
        <v>0</v>
      </c>
      <c r="BD306" s="2029">
        <v>0</v>
      </c>
      <c r="BE306" s="2029">
        <v>0</v>
      </c>
      <c r="BF306" s="2124">
        <v>0</v>
      </c>
      <c r="BG306" s="2029">
        <v>0</v>
      </c>
      <c r="BH306" s="2029">
        <v>0</v>
      </c>
      <c r="BI306" s="2029">
        <v>0</v>
      </c>
      <c r="BJ306" s="2030">
        <f t="shared" si="144"/>
        <v>0</v>
      </c>
      <c r="BK306" s="2030">
        <f t="shared" si="144"/>
        <v>0</v>
      </c>
      <c r="BL306" s="2030">
        <f t="shared" si="144"/>
        <v>0</v>
      </c>
      <c r="BM306" s="2030"/>
      <c r="BN306" s="2030">
        <f t="shared" si="122"/>
        <v>0</v>
      </c>
      <c r="BO306" s="2030">
        <f t="shared" si="123"/>
        <v>0</v>
      </c>
      <c r="BP306" s="2030"/>
      <c r="BQ306" s="2030">
        <f t="shared" si="145"/>
        <v>0</v>
      </c>
      <c r="BR306" s="2030">
        <f t="shared" si="145"/>
        <v>0</v>
      </c>
      <c r="BS306" s="2030">
        <f t="shared" si="145"/>
        <v>0</v>
      </c>
      <c r="BT306" s="2125"/>
      <c r="BU306" s="2125"/>
      <c r="BV306" s="2125"/>
      <c r="BW306" s="2125"/>
      <c r="BX306" s="2125"/>
      <c r="BY306" s="2125"/>
      <c r="BZ306" s="2125"/>
      <c r="CA306" s="2125"/>
      <c r="CB306" s="2029"/>
      <c r="CC306" s="2029"/>
      <c r="CD306" s="2029"/>
      <c r="CE306" s="2029"/>
      <c r="CF306" s="2029"/>
      <c r="CG306" s="2032"/>
      <c r="CH306" s="1974">
        <v>0</v>
      </c>
      <c r="CI306" s="1974">
        <v>0</v>
      </c>
      <c r="CJ306" s="1974">
        <v>0</v>
      </c>
      <c r="CK306" s="1974">
        <v>0</v>
      </c>
      <c r="CL306" s="1974">
        <v>0</v>
      </c>
      <c r="CM306" s="2033">
        <v>0</v>
      </c>
      <c r="CN306" s="2026">
        <v>0</v>
      </c>
      <c r="CO306" s="1974">
        <v>0</v>
      </c>
      <c r="CP306" s="2031">
        <v>0</v>
      </c>
      <c r="CQ306" s="2031">
        <f t="shared" si="128"/>
        <v>0</v>
      </c>
      <c r="CR306" s="2026">
        <v>0</v>
      </c>
      <c r="CS306" s="2026">
        <v>0</v>
      </c>
      <c r="CT306" s="2026">
        <v>0</v>
      </c>
      <c r="CU306" s="2026">
        <v>0</v>
      </c>
      <c r="CV306" s="2036"/>
      <c r="CW306" s="2036"/>
      <c r="CX306" s="2036"/>
      <c r="CY306" s="2036"/>
      <c r="CZ306" s="2036"/>
      <c r="DA306" s="2036"/>
    </row>
    <row r="307" spans="1:105" x14ac:dyDescent="0.25">
      <c r="A307" s="2027" t="str">
        <f t="shared" si="146"/>
        <v>Additional Measure 12</v>
      </c>
      <c r="B307" s="2027"/>
      <c r="C307" s="2027">
        <v>0</v>
      </c>
      <c r="D307" s="2027"/>
      <c r="E307" s="2127">
        <v>0</v>
      </c>
      <c r="F307" s="2127"/>
      <c r="G307" s="2127">
        <v>0</v>
      </c>
      <c r="H307" s="2127"/>
      <c r="I307" s="2027">
        <v>0</v>
      </c>
      <c r="J307" s="2027"/>
      <c r="K307" s="1974" t="s">
        <v>2997</v>
      </c>
      <c r="L307" s="1974" t="s">
        <v>2997</v>
      </c>
      <c r="M307" s="2026">
        <v>0.96199999999999997</v>
      </c>
      <c r="N307" s="2026">
        <v>0.96199999999999997</v>
      </c>
      <c r="O307" s="2026">
        <v>0.96199999999999997</v>
      </c>
      <c r="P307" s="2026">
        <v>0.96199999999999997</v>
      </c>
      <c r="Q307" s="2027">
        <f t="shared" si="147"/>
        <v>0</v>
      </c>
      <c r="R307" s="2027">
        <f t="shared" si="147"/>
        <v>0</v>
      </c>
      <c r="S307" s="2027">
        <f t="shared" si="147"/>
        <v>0</v>
      </c>
      <c r="T307" s="2027">
        <f t="shared" si="147"/>
        <v>0</v>
      </c>
      <c r="U307" s="2026">
        <v>0.96199999999999997</v>
      </c>
      <c r="V307" s="2026">
        <v>0.96199999999999997</v>
      </c>
      <c r="W307" s="2026">
        <v>0.96199999999999997</v>
      </c>
      <c r="X307" s="2026">
        <v>0.96199999999999997</v>
      </c>
      <c r="Y307" s="2028">
        <f t="shared" si="148"/>
        <v>0</v>
      </c>
      <c r="Z307" s="2028">
        <f t="shared" si="148"/>
        <v>0</v>
      </c>
      <c r="AA307" s="2028">
        <f t="shared" si="148"/>
        <v>0</v>
      </c>
      <c r="AB307" s="2028">
        <f t="shared" si="148"/>
        <v>0</v>
      </c>
      <c r="AC307" s="2026">
        <v>0.96199999999999997</v>
      </c>
      <c r="AD307" s="2026">
        <v>0.96199999999999997</v>
      </c>
      <c r="AE307" s="2026">
        <v>0.96199999999999997</v>
      </c>
      <c r="AF307" s="2026">
        <v>0.96199999999999997</v>
      </c>
      <c r="AG307" s="2027">
        <f t="shared" si="149"/>
        <v>0</v>
      </c>
      <c r="AH307" s="2027">
        <f t="shared" si="149"/>
        <v>0</v>
      </c>
      <c r="AI307" s="2027">
        <f t="shared" si="149"/>
        <v>0</v>
      </c>
      <c r="AJ307" s="2027">
        <f t="shared" si="149"/>
        <v>0</v>
      </c>
      <c r="AK307" s="2027">
        <v>0</v>
      </c>
      <c r="AL307" s="2028"/>
      <c r="AM307" s="2028"/>
      <c r="AN307" s="2028"/>
      <c r="AO307" s="2027">
        <f t="shared" si="116"/>
        <v>0</v>
      </c>
      <c r="AP307" s="2027">
        <f t="shared" si="142"/>
        <v>0</v>
      </c>
      <c r="AQ307" s="2027">
        <f t="shared" si="142"/>
        <v>0</v>
      </c>
      <c r="AR307" s="2027" t="s">
        <v>3286</v>
      </c>
      <c r="AS307" s="2027">
        <f t="shared" si="118"/>
        <v>0</v>
      </c>
      <c r="AT307" s="2027">
        <f t="shared" si="119"/>
        <v>0</v>
      </c>
      <c r="AU307" s="2027">
        <f t="shared" si="143"/>
        <v>0</v>
      </c>
      <c r="AV307" s="2027">
        <f t="shared" si="143"/>
        <v>0</v>
      </c>
      <c r="AW307" s="2027">
        <f t="shared" si="143"/>
        <v>0</v>
      </c>
      <c r="AX307" s="2124">
        <v>0</v>
      </c>
      <c r="AY307" s="2029">
        <v>0</v>
      </c>
      <c r="AZ307" s="2029">
        <v>0</v>
      </c>
      <c r="BA307" s="2029">
        <v>0</v>
      </c>
      <c r="BB307" s="2124">
        <v>0</v>
      </c>
      <c r="BC307" s="2029">
        <v>0</v>
      </c>
      <c r="BD307" s="2029">
        <v>0</v>
      </c>
      <c r="BE307" s="2029">
        <v>0</v>
      </c>
      <c r="BF307" s="2124">
        <v>0</v>
      </c>
      <c r="BG307" s="2029">
        <v>0</v>
      </c>
      <c r="BH307" s="2029">
        <v>0</v>
      </c>
      <c r="BI307" s="2029">
        <v>0</v>
      </c>
      <c r="BJ307" s="2030">
        <f t="shared" si="144"/>
        <v>0</v>
      </c>
      <c r="BK307" s="2030">
        <f t="shared" si="144"/>
        <v>0</v>
      </c>
      <c r="BL307" s="2030">
        <f t="shared" si="144"/>
        <v>0</v>
      </c>
      <c r="BM307" s="2030"/>
      <c r="BN307" s="2030">
        <f t="shared" si="122"/>
        <v>0</v>
      </c>
      <c r="BO307" s="2030">
        <f t="shared" si="123"/>
        <v>0</v>
      </c>
      <c r="BP307" s="2030"/>
      <c r="BQ307" s="2030">
        <f t="shared" si="145"/>
        <v>0</v>
      </c>
      <c r="BR307" s="2030">
        <f t="shared" si="145"/>
        <v>0</v>
      </c>
      <c r="BS307" s="2030">
        <f t="shared" si="145"/>
        <v>0</v>
      </c>
      <c r="BT307" s="2125"/>
      <c r="BU307" s="2125"/>
      <c r="BV307" s="2125"/>
      <c r="BW307" s="2125"/>
      <c r="BX307" s="2125"/>
      <c r="BY307" s="2125"/>
      <c r="BZ307" s="2125"/>
      <c r="CA307" s="2125"/>
      <c r="CB307" s="2029"/>
      <c r="CC307" s="2029"/>
      <c r="CD307" s="2029"/>
      <c r="CE307" s="2029"/>
      <c r="CF307" s="2029"/>
      <c r="CG307" s="2032"/>
      <c r="CH307" s="1974">
        <v>0</v>
      </c>
      <c r="CI307" s="1974">
        <v>0</v>
      </c>
      <c r="CJ307" s="1974">
        <v>0</v>
      </c>
      <c r="CK307" s="1974">
        <v>0</v>
      </c>
      <c r="CL307" s="1974">
        <v>0</v>
      </c>
      <c r="CM307" s="2033">
        <v>0</v>
      </c>
      <c r="CN307" s="2026">
        <v>0</v>
      </c>
      <c r="CO307" s="1974">
        <v>0</v>
      </c>
      <c r="CP307" s="2031">
        <v>0</v>
      </c>
      <c r="CQ307" s="2031">
        <f t="shared" si="128"/>
        <v>0</v>
      </c>
      <c r="CR307" s="2026">
        <v>0</v>
      </c>
      <c r="CS307" s="2026">
        <v>0</v>
      </c>
      <c r="CT307" s="2026">
        <v>0</v>
      </c>
      <c r="CU307" s="2026">
        <v>0</v>
      </c>
      <c r="CV307" s="2036"/>
      <c r="CW307" s="2036"/>
      <c r="CX307" s="2036"/>
      <c r="CY307" s="2036"/>
      <c r="CZ307" s="2036"/>
      <c r="DA307" s="2036"/>
    </row>
    <row r="308" spans="1:105" x14ac:dyDescent="0.25">
      <c r="A308" s="2027" t="str">
        <f t="shared" si="146"/>
        <v>Additional Measure 13</v>
      </c>
      <c r="B308" s="2027"/>
      <c r="C308" s="2027">
        <v>0</v>
      </c>
      <c r="D308" s="2027"/>
      <c r="E308" s="2127">
        <v>0</v>
      </c>
      <c r="F308" s="2127"/>
      <c r="G308" s="2127">
        <v>0</v>
      </c>
      <c r="H308" s="2127"/>
      <c r="I308" s="2027">
        <v>0</v>
      </c>
      <c r="J308" s="2027"/>
      <c r="K308" s="1974" t="s">
        <v>2997</v>
      </c>
      <c r="L308" s="1974" t="s">
        <v>2997</v>
      </c>
      <c r="M308" s="2026">
        <v>0.96199999999999997</v>
      </c>
      <c r="N308" s="2026">
        <v>0.96199999999999997</v>
      </c>
      <c r="O308" s="2026">
        <v>0.96199999999999997</v>
      </c>
      <c r="P308" s="2026">
        <v>0.96199999999999997</v>
      </c>
      <c r="Q308" s="2027">
        <f t="shared" si="147"/>
        <v>0</v>
      </c>
      <c r="R308" s="2027">
        <f t="shared" si="147"/>
        <v>0</v>
      </c>
      <c r="S308" s="2027">
        <f t="shared" si="147"/>
        <v>0</v>
      </c>
      <c r="T308" s="2027">
        <f t="shared" si="147"/>
        <v>0</v>
      </c>
      <c r="U308" s="2026">
        <v>0.96199999999999997</v>
      </c>
      <c r="V308" s="2026">
        <v>0.96199999999999997</v>
      </c>
      <c r="W308" s="2026">
        <v>0.96199999999999997</v>
      </c>
      <c r="X308" s="2026">
        <v>0.96199999999999997</v>
      </c>
      <c r="Y308" s="2028">
        <f t="shared" si="148"/>
        <v>0</v>
      </c>
      <c r="Z308" s="2028">
        <f t="shared" si="148"/>
        <v>0</v>
      </c>
      <c r="AA308" s="2028">
        <f t="shared" si="148"/>
        <v>0</v>
      </c>
      <c r="AB308" s="2028">
        <f t="shared" si="148"/>
        <v>0</v>
      </c>
      <c r="AC308" s="2026">
        <v>0.96199999999999997</v>
      </c>
      <c r="AD308" s="2026">
        <v>0.96199999999999997</v>
      </c>
      <c r="AE308" s="2026">
        <v>0.96199999999999997</v>
      </c>
      <c r="AF308" s="2026">
        <v>0.96199999999999997</v>
      </c>
      <c r="AG308" s="2027">
        <f t="shared" si="149"/>
        <v>0</v>
      </c>
      <c r="AH308" s="2027">
        <f t="shared" si="149"/>
        <v>0</v>
      </c>
      <c r="AI308" s="2027">
        <f t="shared" si="149"/>
        <v>0</v>
      </c>
      <c r="AJ308" s="2027">
        <f t="shared" si="149"/>
        <v>0</v>
      </c>
      <c r="AK308" s="2027">
        <v>0</v>
      </c>
      <c r="AL308" s="2028"/>
      <c r="AM308" s="2028"/>
      <c r="AN308" s="2028"/>
      <c r="AO308" s="2027">
        <f t="shared" si="116"/>
        <v>0</v>
      </c>
      <c r="AP308" s="2027">
        <f t="shared" si="142"/>
        <v>0</v>
      </c>
      <c r="AQ308" s="2027">
        <f t="shared" si="142"/>
        <v>0</v>
      </c>
      <c r="AR308" s="2027" t="s">
        <v>3286</v>
      </c>
      <c r="AS308" s="2027">
        <f t="shared" si="118"/>
        <v>0</v>
      </c>
      <c r="AT308" s="2027">
        <f t="shared" si="119"/>
        <v>0</v>
      </c>
      <c r="AU308" s="2027">
        <f t="shared" si="143"/>
        <v>0</v>
      </c>
      <c r="AV308" s="2027">
        <f t="shared" si="143"/>
        <v>0</v>
      </c>
      <c r="AW308" s="2027">
        <f t="shared" si="143"/>
        <v>0</v>
      </c>
      <c r="AX308" s="2124">
        <v>0</v>
      </c>
      <c r="AY308" s="2029">
        <v>0</v>
      </c>
      <c r="AZ308" s="2029">
        <v>0</v>
      </c>
      <c r="BA308" s="2029">
        <v>0</v>
      </c>
      <c r="BB308" s="2124">
        <v>0</v>
      </c>
      <c r="BC308" s="2029">
        <v>0</v>
      </c>
      <c r="BD308" s="2029">
        <v>0</v>
      </c>
      <c r="BE308" s="2029">
        <v>0</v>
      </c>
      <c r="BF308" s="2124">
        <v>0</v>
      </c>
      <c r="BG308" s="2029">
        <v>0</v>
      </c>
      <c r="BH308" s="2029">
        <v>0</v>
      </c>
      <c r="BI308" s="2029">
        <v>0</v>
      </c>
      <c r="BJ308" s="2030">
        <f t="shared" si="144"/>
        <v>0</v>
      </c>
      <c r="BK308" s="2030">
        <f t="shared" si="144"/>
        <v>0</v>
      </c>
      <c r="BL308" s="2030">
        <f t="shared" si="144"/>
        <v>0</v>
      </c>
      <c r="BM308" s="2030"/>
      <c r="BN308" s="2030">
        <f t="shared" si="122"/>
        <v>0</v>
      </c>
      <c r="BO308" s="2030">
        <f t="shared" si="123"/>
        <v>0</v>
      </c>
      <c r="BP308" s="2030"/>
      <c r="BQ308" s="2030">
        <f t="shared" si="145"/>
        <v>0</v>
      </c>
      <c r="BR308" s="2030">
        <f t="shared" si="145"/>
        <v>0</v>
      </c>
      <c r="BS308" s="2030">
        <f t="shared" si="145"/>
        <v>0</v>
      </c>
      <c r="BT308" s="2125"/>
      <c r="BU308" s="2125"/>
      <c r="BV308" s="2125"/>
      <c r="BW308" s="2125"/>
      <c r="BX308" s="2125"/>
      <c r="BY308" s="2125"/>
      <c r="BZ308" s="2125"/>
      <c r="CA308" s="2125"/>
      <c r="CB308" s="2029"/>
      <c r="CC308" s="2029"/>
      <c r="CD308" s="2029"/>
      <c r="CE308" s="2029"/>
      <c r="CF308" s="2029"/>
      <c r="CG308" s="2032"/>
      <c r="CH308" s="1974">
        <v>0</v>
      </c>
      <c r="CI308" s="1974">
        <v>0</v>
      </c>
      <c r="CJ308" s="1974">
        <v>0</v>
      </c>
      <c r="CK308" s="1974">
        <v>0</v>
      </c>
      <c r="CL308" s="1974">
        <v>0</v>
      </c>
      <c r="CM308" s="2033">
        <v>0</v>
      </c>
      <c r="CN308" s="2026">
        <v>0</v>
      </c>
      <c r="CO308" s="1974">
        <v>0</v>
      </c>
      <c r="CP308" s="2031">
        <v>0</v>
      </c>
      <c r="CQ308" s="2031">
        <f t="shared" si="128"/>
        <v>0</v>
      </c>
      <c r="CR308" s="2026">
        <v>0</v>
      </c>
      <c r="CS308" s="2026">
        <v>0</v>
      </c>
      <c r="CT308" s="2026">
        <v>0</v>
      </c>
      <c r="CU308" s="2026">
        <v>0</v>
      </c>
      <c r="CV308" s="2036"/>
      <c r="CW308" s="2036"/>
      <c r="CX308" s="2036"/>
      <c r="CY308" s="2036"/>
      <c r="CZ308" s="2036"/>
      <c r="DA308" s="2036"/>
    </row>
    <row r="309" spans="1:105" x14ac:dyDescent="0.25">
      <c r="A309" s="2027" t="str">
        <f t="shared" si="146"/>
        <v>Additional Measure 14</v>
      </c>
      <c r="B309" s="2027"/>
      <c r="C309" s="2027">
        <v>0</v>
      </c>
      <c r="D309" s="2027"/>
      <c r="E309" s="2127">
        <v>0</v>
      </c>
      <c r="F309" s="2127"/>
      <c r="G309" s="2127">
        <v>0</v>
      </c>
      <c r="H309" s="2127"/>
      <c r="I309" s="2027">
        <v>0</v>
      </c>
      <c r="J309" s="2027"/>
      <c r="K309" s="1974" t="s">
        <v>2997</v>
      </c>
      <c r="L309" s="1974" t="s">
        <v>2997</v>
      </c>
      <c r="M309" s="2026">
        <v>0.96199999999999997</v>
      </c>
      <c r="N309" s="2026">
        <v>0.96199999999999997</v>
      </c>
      <c r="O309" s="2026">
        <v>0.96199999999999997</v>
      </c>
      <c r="P309" s="2026">
        <v>0.96199999999999997</v>
      </c>
      <c r="Q309" s="2027">
        <f t="shared" ref="Q309:T313" si="150">$E309*M309</f>
        <v>0</v>
      </c>
      <c r="R309" s="2027">
        <f t="shared" si="150"/>
        <v>0</v>
      </c>
      <c r="S309" s="2027">
        <f t="shared" si="150"/>
        <v>0</v>
      </c>
      <c r="T309" s="2027">
        <f t="shared" si="150"/>
        <v>0</v>
      </c>
      <c r="U309" s="2026">
        <v>0.96199999999999997</v>
      </c>
      <c r="V309" s="2026">
        <v>0.96199999999999997</v>
      </c>
      <c r="W309" s="2026">
        <v>0.96199999999999997</v>
      </c>
      <c r="X309" s="2026">
        <v>0.96199999999999997</v>
      </c>
      <c r="Y309" s="2028">
        <f t="shared" ref="Y309:AB313" si="151">$G309*U309</f>
        <v>0</v>
      </c>
      <c r="Z309" s="2028">
        <f t="shared" si="151"/>
        <v>0</v>
      </c>
      <c r="AA309" s="2028">
        <f t="shared" si="151"/>
        <v>0</v>
      </c>
      <c r="AB309" s="2028">
        <f t="shared" si="151"/>
        <v>0</v>
      </c>
      <c r="AC309" s="2026">
        <v>0.96199999999999997</v>
      </c>
      <c r="AD309" s="2026">
        <v>0.96199999999999997</v>
      </c>
      <c r="AE309" s="2026">
        <v>0.96199999999999997</v>
      </c>
      <c r="AF309" s="2026">
        <v>0.96199999999999997</v>
      </c>
      <c r="AG309" s="2027">
        <f t="shared" ref="AG309:AJ313" si="152">$I309*AC309</f>
        <v>0</v>
      </c>
      <c r="AH309" s="2027">
        <f t="shared" si="152"/>
        <v>0</v>
      </c>
      <c r="AI309" s="2027">
        <f t="shared" si="152"/>
        <v>0</v>
      </c>
      <c r="AJ309" s="2027">
        <f t="shared" si="152"/>
        <v>0</v>
      </c>
      <c r="AK309" s="2027">
        <v>0</v>
      </c>
      <c r="AL309" s="2028"/>
      <c r="AM309" s="2028"/>
      <c r="AN309" s="2028"/>
      <c r="AO309" s="2027">
        <f t="shared" si="116"/>
        <v>0</v>
      </c>
      <c r="AP309" s="2027">
        <f t="shared" si="142"/>
        <v>0</v>
      </c>
      <c r="AQ309" s="2027">
        <f t="shared" si="142"/>
        <v>0</v>
      </c>
      <c r="AR309" s="2027" t="s">
        <v>3286</v>
      </c>
      <c r="AS309" s="2027">
        <f t="shared" si="118"/>
        <v>0</v>
      </c>
      <c r="AT309" s="2027">
        <f t="shared" si="119"/>
        <v>0</v>
      </c>
      <c r="AU309" s="2027">
        <f t="shared" si="143"/>
        <v>0</v>
      </c>
      <c r="AV309" s="2027">
        <f t="shared" si="143"/>
        <v>0</v>
      </c>
      <c r="AW309" s="2027">
        <f t="shared" si="143"/>
        <v>0</v>
      </c>
      <c r="AX309" s="2124">
        <v>0</v>
      </c>
      <c r="AY309" s="2029">
        <v>0</v>
      </c>
      <c r="AZ309" s="2029">
        <v>0</v>
      </c>
      <c r="BA309" s="2029">
        <v>0</v>
      </c>
      <c r="BB309" s="2124">
        <v>0</v>
      </c>
      <c r="BC309" s="2029">
        <v>0</v>
      </c>
      <c r="BD309" s="2029">
        <v>0</v>
      </c>
      <c r="BE309" s="2029">
        <v>0</v>
      </c>
      <c r="BF309" s="2124">
        <v>0</v>
      </c>
      <c r="BG309" s="2029">
        <v>0</v>
      </c>
      <c r="BH309" s="2029">
        <v>0</v>
      </c>
      <c r="BI309" s="2029">
        <v>0</v>
      </c>
      <c r="BJ309" s="2030">
        <f t="shared" si="144"/>
        <v>0</v>
      </c>
      <c r="BK309" s="2030">
        <f t="shared" si="144"/>
        <v>0</v>
      </c>
      <c r="BL309" s="2030">
        <f t="shared" si="144"/>
        <v>0</v>
      </c>
      <c r="BM309" s="2030"/>
      <c r="BN309" s="2030">
        <f t="shared" si="122"/>
        <v>0</v>
      </c>
      <c r="BO309" s="2030">
        <f t="shared" si="123"/>
        <v>0</v>
      </c>
      <c r="BP309" s="2030"/>
      <c r="BQ309" s="2030">
        <f t="shared" si="145"/>
        <v>0</v>
      </c>
      <c r="BR309" s="2030">
        <f t="shared" si="145"/>
        <v>0</v>
      </c>
      <c r="BS309" s="2030">
        <f t="shared" si="145"/>
        <v>0</v>
      </c>
      <c r="BT309" s="2125"/>
      <c r="BU309" s="2125"/>
      <c r="BV309" s="2125"/>
      <c r="BW309" s="2125"/>
      <c r="BX309" s="2125"/>
      <c r="BY309" s="2125"/>
      <c r="BZ309" s="2125"/>
      <c r="CA309" s="2125"/>
      <c r="CB309" s="2029"/>
      <c r="CC309" s="2029"/>
      <c r="CD309" s="2029"/>
      <c r="CE309" s="2029"/>
      <c r="CF309" s="2029"/>
      <c r="CG309" s="2032"/>
      <c r="CH309" s="1974">
        <v>0</v>
      </c>
      <c r="CI309" s="1974">
        <v>0</v>
      </c>
      <c r="CJ309" s="1974">
        <v>0</v>
      </c>
      <c r="CK309" s="1974">
        <v>0</v>
      </c>
      <c r="CL309" s="1974">
        <v>0</v>
      </c>
      <c r="CM309" s="2033">
        <v>0</v>
      </c>
      <c r="CN309" s="2026">
        <v>0</v>
      </c>
      <c r="CO309" s="1974">
        <v>0</v>
      </c>
      <c r="CP309" s="2031">
        <v>0</v>
      </c>
      <c r="CQ309" s="2031">
        <f t="shared" si="128"/>
        <v>0</v>
      </c>
      <c r="CR309" s="2026">
        <v>0</v>
      </c>
      <c r="CS309" s="2026">
        <v>0</v>
      </c>
      <c r="CT309" s="2026">
        <v>0</v>
      </c>
      <c r="CU309" s="2026">
        <v>0</v>
      </c>
      <c r="CV309" s="2036"/>
      <c r="CW309" s="2036"/>
      <c r="CX309" s="2036"/>
      <c r="CY309" s="2036"/>
      <c r="CZ309" s="2036"/>
      <c r="DA309" s="2036"/>
    </row>
    <row r="310" spans="1:105" x14ac:dyDescent="0.25">
      <c r="A310" s="2027" t="str">
        <f t="shared" si="146"/>
        <v>Additional Measure 15</v>
      </c>
      <c r="B310" s="2027"/>
      <c r="C310" s="2027">
        <v>0</v>
      </c>
      <c r="D310" s="2027"/>
      <c r="E310" s="2127">
        <v>0</v>
      </c>
      <c r="F310" s="2127"/>
      <c r="G310" s="2127">
        <v>0</v>
      </c>
      <c r="H310" s="2127"/>
      <c r="I310" s="2027">
        <v>0</v>
      </c>
      <c r="J310" s="2027"/>
      <c r="K310" s="1974" t="s">
        <v>2997</v>
      </c>
      <c r="L310" s="1974" t="s">
        <v>2997</v>
      </c>
      <c r="M310" s="2026">
        <v>0.96199999999999997</v>
      </c>
      <c r="N310" s="2026">
        <v>0.96199999999999997</v>
      </c>
      <c r="O310" s="2026">
        <v>0.96199999999999997</v>
      </c>
      <c r="P310" s="2026">
        <v>0.96199999999999997</v>
      </c>
      <c r="Q310" s="2027">
        <f t="shared" si="150"/>
        <v>0</v>
      </c>
      <c r="R310" s="2027">
        <f t="shared" si="150"/>
        <v>0</v>
      </c>
      <c r="S310" s="2027">
        <f t="shared" si="150"/>
        <v>0</v>
      </c>
      <c r="T310" s="2027">
        <f t="shared" si="150"/>
        <v>0</v>
      </c>
      <c r="U310" s="2026">
        <v>0.96199999999999997</v>
      </c>
      <c r="V310" s="2026">
        <v>0.96199999999999997</v>
      </c>
      <c r="W310" s="2026">
        <v>0.96199999999999997</v>
      </c>
      <c r="X310" s="2026">
        <v>0.96199999999999997</v>
      </c>
      <c r="Y310" s="2028">
        <f t="shared" si="151"/>
        <v>0</v>
      </c>
      <c r="Z310" s="2028">
        <f t="shared" si="151"/>
        <v>0</v>
      </c>
      <c r="AA310" s="2028">
        <f t="shared" si="151"/>
        <v>0</v>
      </c>
      <c r="AB310" s="2028">
        <f t="shared" si="151"/>
        <v>0</v>
      </c>
      <c r="AC310" s="2026">
        <v>0.96199999999999997</v>
      </c>
      <c r="AD310" s="2026">
        <v>0.96199999999999997</v>
      </c>
      <c r="AE310" s="2026">
        <v>0.96199999999999997</v>
      </c>
      <c r="AF310" s="2026">
        <v>0.96199999999999997</v>
      </c>
      <c r="AG310" s="2027">
        <f t="shared" si="152"/>
        <v>0</v>
      </c>
      <c r="AH310" s="2027">
        <f t="shared" si="152"/>
        <v>0</v>
      </c>
      <c r="AI310" s="2027">
        <f t="shared" si="152"/>
        <v>0</v>
      </c>
      <c r="AJ310" s="2027">
        <f t="shared" si="152"/>
        <v>0</v>
      </c>
      <c r="AK310" s="2027">
        <v>0</v>
      </c>
      <c r="AL310" s="2028"/>
      <c r="AM310" s="2028"/>
      <c r="AN310" s="2028"/>
      <c r="AO310" s="2027">
        <f t="shared" si="116"/>
        <v>0</v>
      </c>
      <c r="AP310" s="2027">
        <f t="shared" si="142"/>
        <v>0</v>
      </c>
      <c r="AQ310" s="2027">
        <f t="shared" si="142"/>
        <v>0</v>
      </c>
      <c r="AR310" s="2027" t="s">
        <v>3286</v>
      </c>
      <c r="AS310" s="2027">
        <f t="shared" si="118"/>
        <v>0</v>
      </c>
      <c r="AT310" s="2027">
        <f t="shared" si="119"/>
        <v>0</v>
      </c>
      <c r="AU310" s="2027">
        <f t="shared" si="143"/>
        <v>0</v>
      </c>
      <c r="AV310" s="2027">
        <f t="shared" si="143"/>
        <v>0</v>
      </c>
      <c r="AW310" s="2027">
        <f t="shared" si="143"/>
        <v>0</v>
      </c>
      <c r="AX310" s="2124">
        <v>0</v>
      </c>
      <c r="AY310" s="2029">
        <v>0</v>
      </c>
      <c r="AZ310" s="2029">
        <v>0</v>
      </c>
      <c r="BA310" s="2029">
        <v>0</v>
      </c>
      <c r="BB310" s="2124">
        <v>0</v>
      </c>
      <c r="BC310" s="2029">
        <v>0</v>
      </c>
      <c r="BD310" s="2029">
        <v>0</v>
      </c>
      <c r="BE310" s="2029">
        <v>0</v>
      </c>
      <c r="BF310" s="2124">
        <v>0</v>
      </c>
      <c r="BG310" s="2029">
        <v>0</v>
      </c>
      <c r="BH310" s="2029">
        <v>0</v>
      </c>
      <c r="BI310" s="2029">
        <v>0</v>
      </c>
      <c r="BJ310" s="2030">
        <f t="shared" si="144"/>
        <v>0</v>
      </c>
      <c r="BK310" s="2030">
        <f t="shared" si="144"/>
        <v>0</v>
      </c>
      <c r="BL310" s="2030">
        <f t="shared" si="144"/>
        <v>0</v>
      </c>
      <c r="BM310" s="2030"/>
      <c r="BN310" s="2030">
        <f t="shared" si="122"/>
        <v>0</v>
      </c>
      <c r="BO310" s="2030">
        <f t="shared" si="123"/>
        <v>0</v>
      </c>
      <c r="BP310" s="2030"/>
      <c r="BQ310" s="2030">
        <f t="shared" si="145"/>
        <v>0</v>
      </c>
      <c r="BR310" s="2030">
        <f t="shared" si="145"/>
        <v>0</v>
      </c>
      <c r="BS310" s="2030">
        <f t="shared" si="145"/>
        <v>0</v>
      </c>
      <c r="BT310" s="2125"/>
      <c r="BU310" s="2125"/>
      <c r="BV310" s="2125"/>
      <c r="BW310" s="2125"/>
      <c r="BX310" s="2125"/>
      <c r="BY310" s="2125"/>
      <c r="BZ310" s="2125"/>
      <c r="CA310" s="2125"/>
      <c r="CB310" s="2029"/>
      <c r="CC310" s="2029"/>
      <c r="CD310" s="2029"/>
      <c r="CE310" s="2029"/>
      <c r="CF310" s="2029"/>
      <c r="CG310" s="2032"/>
      <c r="CH310" s="1974">
        <v>0</v>
      </c>
      <c r="CI310" s="1974">
        <v>0</v>
      </c>
      <c r="CJ310" s="1974">
        <v>0</v>
      </c>
      <c r="CK310" s="1974">
        <v>0</v>
      </c>
      <c r="CL310" s="1974">
        <v>0</v>
      </c>
      <c r="CM310" s="2033">
        <v>0</v>
      </c>
      <c r="CN310" s="2026">
        <v>0</v>
      </c>
      <c r="CO310" s="1974">
        <v>0</v>
      </c>
      <c r="CP310" s="2031">
        <v>0</v>
      </c>
      <c r="CQ310" s="2031">
        <f t="shared" si="128"/>
        <v>0</v>
      </c>
      <c r="CR310" s="2026">
        <v>0</v>
      </c>
      <c r="CS310" s="2026">
        <v>0</v>
      </c>
      <c r="CT310" s="2026">
        <v>0</v>
      </c>
      <c r="CU310" s="2026">
        <v>0</v>
      </c>
      <c r="CV310" s="2036"/>
      <c r="CW310" s="2036"/>
      <c r="CX310" s="2036"/>
      <c r="CY310" s="2036"/>
      <c r="CZ310" s="2036"/>
      <c r="DA310" s="2036"/>
    </row>
    <row r="311" spans="1:105" x14ac:dyDescent="0.25">
      <c r="A311" s="2027" t="str">
        <f t="shared" si="146"/>
        <v>Additional Measure 16</v>
      </c>
      <c r="B311" s="2027"/>
      <c r="C311" s="2027">
        <v>0</v>
      </c>
      <c r="D311" s="2027"/>
      <c r="E311" s="2127">
        <v>0</v>
      </c>
      <c r="F311" s="2127"/>
      <c r="G311" s="2127">
        <v>0</v>
      </c>
      <c r="H311" s="2127"/>
      <c r="I311" s="2027">
        <v>0</v>
      </c>
      <c r="J311" s="2027"/>
      <c r="K311" s="1974" t="s">
        <v>2997</v>
      </c>
      <c r="L311" s="1974" t="s">
        <v>2997</v>
      </c>
      <c r="M311" s="2026">
        <v>0.96199999999999997</v>
      </c>
      <c r="N311" s="2026">
        <v>0.96199999999999997</v>
      </c>
      <c r="O311" s="2026">
        <v>0.96199999999999997</v>
      </c>
      <c r="P311" s="2026">
        <v>0.96199999999999997</v>
      </c>
      <c r="Q311" s="2027">
        <f t="shared" si="150"/>
        <v>0</v>
      </c>
      <c r="R311" s="2027">
        <f t="shared" si="150"/>
        <v>0</v>
      </c>
      <c r="S311" s="2027">
        <f t="shared" si="150"/>
        <v>0</v>
      </c>
      <c r="T311" s="2027">
        <f t="shared" si="150"/>
        <v>0</v>
      </c>
      <c r="U311" s="2026">
        <v>0.96199999999999997</v>
      </c>
      <c r="V311" s="2026">
        <v>0.96199999999999997</v>
      </c>
      <c r="W311" s="2026">
        <v>0.96199999999999997</v>
      </c>
      <c r="X311" s="2026">
        <v>0.96199999999999997</v>
      </c>
      <c r="Y311" s="2028">
        <f t="shared" si="151"/>
        <v>0</v>
      </c>
      <c r="Z311" s="2028">
        <f t="shared" si="151"/>
        <v>0</v>
      </c>
      <c r="AA311" s="2028">
        <f t="shared" si="151"/>
        <v>0</v>
      </c>
      <c r="AB311" s="2028">
        <f t="shared" si="151"/>
        <v>0</v>
      </c>
      <c r="AC311" s="2026">
        <v>0.96199999999999997</v>
      </c>
      <c r="AD311" s="2026">
        <v>0.96199999999999997</v>
      </c>
      <c r="AE311" s="2026">
        <v>0.96199999999999997</v>
      </c>
      <c r="AF311" s="2026">
        <v>0.96199999999999997</v>
      </c>
      <c r="AG311" s="2027">
        <f t="shared" si="152"/>
        <v>0</v>
      </c>
      <c r="AH311" s="2027">
        <f t="shared" si="152"/>
        <v>0</v>
      </c>
      <c r="AI311" s="2027">
        <f t="shared" si="152"/>
        <v>0</v>
      </c>
      <c r="AJ311" s="2027">
        <f t="shared" si="152"/>
        <v>0</v>
      </c>
      <c r="AK311" s="2027">
        <v>0</v>
      </c>
      <c r="AL311" s="2028"/>
      <c r="AM311" s="2028"/>
      <c r="AN311" s="2028"/>
      <c r="AO311" s="2027">
        <f t="shared" si="116"/>
        <v>0</v>
      </c>
      <c r="AP311" s="2027">
        <f t="shared" si="142"/>
        <v>0</v>
      </c>
      <c r="AQ311" s="2027">
        <f t="shared" si="142"/>
        <v>0</v>
      </c>
      <c r="AR311" s="2027" t="s">
        <v>3286</v>
      </c>
      <c r="AS311" s="2027">
        <f t="shared" si="118"/>
        <v>0</v>
      </c>
      <c r="AT311" s="2027">
        <f t="shared" si="119"/>
        <v>0</v>
      </c>
      <c r="AU311" s="2027">
        <f t="shared" si="143"/>
        <v>0</v>
      </c>
      <c r="AV311" s="2027">
        <f t="shared" si="143"/>
        <v>0</v>
      </c>
      <c r="AW311" s="2027">
        <f t="shared" si="143"/>
        <v>0</v>
      </c>
      <c r="AX311" s="2124">
        <v>0</v>
      </c>
      <c r="AY311" s="2029">
        <v>0</v>
      </c>
      <c r="AZ311" s="2029">
        <v>0</v>
      </c>
      <c r="BA311" s="2029">
        <v>0</v>
      </c>
      <c r="BB311" s="2124">
        <v>0</v>
      </c>
      <c r="BC311" s="2029">
        <v>0</v>
      </c>
      <c r="BD311" s="2029">
        <v>0</v>
      </c>
      <c r="BE311" s="2029">
        <v>0</v>
      </c>
      <c r="BF311" s="2124">
        <v>0</v>
      </c>
      <c r="BG311" s="2029">
        <v>0</v>
      </c>
      <c r="BH311" s="2029">
        <v>0</v>
      </c>
      <c r="BI311" s="2029">
        <v>0</v>
      </c>
      <c r="BJ311" s="2030">
        <f t="shared" si="144"/>
        <v>0</v>
      </c>
      <c r="BK311" s="2030">
        <f t="shared" si="144"/>
        <v>0</v>
      </c>
      <c r="BL311" s="2030">
        <f t="shared" si="144"/>
        <v>0</v>
      </c>
      <c r="BM311" s="2030"/>
      <c r="BN311" s="2030">
        <f t="shared" si="122"/>
        <v>0</v>
      </c>
      <c r="BO311" s="2030">
        <f t="shared" si="123"/>
        <v>0</v>
      </c>
      <c r="BP311" s="2030"/>
      <c r="BQ311" s="2030">
        <f t="shared" si="145"/>
        <v>0</v>
      </c>
      <c r="BR311" s="2030">
        <f t="shared" si="145"/>
        <v>0</v>
      </c>
      <c r="BS311" s="2030">
        <f t="shared" si="145"/>
        <v>0</v>
      </c>
      <c r="BT311" s="2125"/>
      <c r="BU311" s="2125"/>
      <c r="BV311" s="2125"/>
      <c r="BW311" s="2125"/>
      <c r="BX311" s="2125"/>
      <c r="BY311" s="2125"/>
      <c r="BZ311" s="2125"/>
      <c r="CA311" s="2125"/>
      <c r="CB311" s="2029"/>
      <c r="CC311" s="2029"/>
      <c r="CD311" s="2029"/>
      <c r="CE311" s="2029"/>
      <c r="CF311" s="2029"/>
      <c r="CG311" s="2032"/>
      <c r="CH311" s="1974">
        <v>0</v>
      </c>
      <c r="CI311" s="1974">
        <v>0</v>
      </c>
      <c r="CJ311" s="1974">
        <v>0</v>
      </c>
      <c r="CK311" s="1974">
        <v>0</v>
      </c>
      <c r="CL311" s="1974">
        <v>0</v>
      </c>
      <c r="CM311" s="2033">
        <v>0</v>
      </c>
      <c r="CN311" s="2026">
        <v>0</v>
      </c>
      <c r="CO311" s="1974">
        <v>0</v>
      </c>
      <c r="CP311" s="2031">
        <v>0</v>
      </c>
      <c r="CQ311" s="2031">
        <f t="shared" si="128"/>
        <v>0</v>
      </c>
      <c r="CR311" s="2026">
        <v>0</v>
      </c>
      <c r="CS311" s="2026">
        <v>0</v>
      </c>
      <c r="CT311" s="2026">
        <v>0</v>
      </c>
      <c r="CU311" s="2026">
        <v>0</v>
      </c>
      <c r="CV311" s="2036"/>
      <c r="CW311" s="2036"/>
      <c r="CX311" s="2036"/>
      <c r="CY311" s="2036"/>
      <c r="CZ311" s="2036"/>
      <c r="DA311" s="2036"/>
    </row>
    <row r="312" spans="1:105" x14ac:dyDescent="0.25">
      <c r="A312" s="2027" t="str">
        <f t="shared" si="146"/>
        <v>Combination Oven - Gas</v>
      </c>
      <c r="B312" s="2027"/>
      <c r="C312" s="2027">
        <v>12</v>
      </c>
      <c r="D312" s="2027"/>
      <c r="E312" s="2127">
        <v>0</v>
      </c>
      <c r="F312" s="2127"/>
      <c r="G312" s="2127">
        <v>0</v>
      </c>
      <c r="H312" s="2127"/>
      <c r="I312" s="2027">
        <v>257</v>
      </c>
      <c r="J312" s="2027"/>
      <c r="K312" s="1974" t="s">
        <v>2997</v>
      </c>
      <c r="L312" s="1974" t="s">
        <v>2997</v>
      </c>
      <c r="M312" s="2026">
        <v>0.96199999999999997</v>
      </c>
      <c r="N312" s="2026">
        <v>0.96199999999999997</v>
      </c>
      <c r="O312" s="2026">
        <v>0.96199999999999997</v>
      </c>
      <c r="P312" s="2026">
        <v>0.96199999999999997</v>
      </c>
      <c r="Q312" s="2027">
        <f t="shared" si="150"/>
        <v>0</v>
      </c>
      <c r="R312" s="2027">
        <f t="shared" si="150"/>
        <v>0</v>
      </c>
      <c r="S312" s="2027">
        <f t="shared" si="150"/>
        <v>0</v>
      </c>
      <c r="T312" s="2027">
        <f t="shared" si="150"/>
        <v>0</v>
      </c>
      <c r="U312" s="2026">
        <v>0.96199999999999997</v>
      </c>
      <c r="V312" s="2026">
        <v>0.96199999999999997</v>
      </c>
      <c r="W312" s="2026">
        <v>0.96199999999999997</v>
      </c>
      <c r="X312" s="2026">
        <v>0.96199999999999997</v>
      </c>
      <c r="Y312" s="2028">
        <f t="shared" si="151"/>
        <v>0</v>
      </c>
      <c r="Z312" s="2028">
        <f t="shared" si="151"/>
        <v>0</v>
      </c>
      <c r="AA312" s="2028">
        <f t="shared" si="151"/>
        <v>0</v>
      </c>
      <c r="AB312" s="2028">
        <f t="shared" si="151"/>
        <v>0</v>
      </c>
      <c r="AC312" s="2026">
        <v>0.96199999999999997</v>
      </c>
      <c r="AD312" s="2026">
        <v>0.96199999999999997</v>
      </c>
      <c r="AE312" s="2026">
        <v>0.96199999999999997</v>
      </c>
      <c r="AF312" s="2026">
        <v>0.96199999999999997</v>
      </c>
      <c r="AG312" s="2027">
        <f t="shared" si="152"/>
        <v>247.23399999999998</v>
      </c>
      <c r="AH312" s="2027">
        <f t="shared" si="152"/>
        <v>247.23399999999998</v>
      </c>
      <c r="AI312" s="2027">
        <f t="shared" si="152"/>
        <v>247.23399999999998</v>
      </c>
      <c r="AJ312" s="2027">
        <f t="shared" si="152"/>
        <v>247.23399999999998</v>
      </c>
      <c r="AK312" s="2027">
        <v>0</v>
      </c>
      <c r="AL312" s="2028"/>
      <c r="AM312" s="2028"/>
      <c r="AN312" s="2028"/>
      <c r="AO312" s="2027">
        <f t="shared" si="116"/>
        <v>0</v>
      </c>
      <c r="AP312" s="2027">
        <f t="shared" si="142"/>
        <v>0</v>
      </c>
      <c r="AQ312" s="2027">
        <f t="shared" si="142"/>
        <v>0</v>
      </c>
      <c r="AR312" s="2027" t="s">
        <v>3286</v>
      </c>
      <c r="AS312" s="2027">
        <f t="shared" si="118"/>
        <v>0</v>
      </c>
      <c r="AT312" s="2027">
        <f t="shared" si="119"/>
        <v>0</v>
      </c>
      <c r="AU312" s="2027">
        <f t="shared" si="143"/>
        <v>0</v>
      </c>
      <c r="AV312" s="2027">
        <f t="shared" si="143"/>
        <v>0</v>
      </c>
      <c r="AW312" s="2027">
        <f t="shared" si="143"/>
        <v>0</v>
      </c>
      <c r="AX312" s="2124">
        <v>0</v>
      </c>
      <c r="AY312" s="2029">
        <v>0</v>
      </c>
      <c r="AZ312" s="2029">
        <v>0</v>
      </c>
      <c r="BA312" s="2029">
        <v>0</v>
      </c>
      <c r="BB312" s="2124">
        <v>780</v>
      </c>
      <c r="BC312" s="2029">
        <v>780</v>
      </c>
      <c r="BD312" s="2029">
        <v>780</v>
      </c>
      <c r="BE312" s="2029">
        <v>780</v>
      </c>
      <c r="BF312" s="2124">
        <v>1000</v>
      </c>
      <c r="BG312" s="2029">
        <v>1000</v>
      </c>
      <c r="BH312" s="2029">
        <v>1000</v>
      </c>
      <c r="BI312" s="2029">
        <v>1000</v>
      </c>
      <c r="BJ312" s="2030">
        <f t="shared" si="144"/>
        <v>0</v>
      </c>
      <c r="BK312" s="2030">
        <f t="shared" si="144"/>
        <v>0</v>
      </c>
      <c r="BL312" s="2030">
        <f t="shared" si="144"/>
        <v>0</v>
      </c>
      <c r="BM312" s="2030"/>
      <c r="BN312" s="2030">
        <f t="shared" si="122"/>
        <v>0</v>
      </c>
      <c r="BO312" s="2030">
        <f t="shared" si="123"/>
        <v>0</v>
      </c>
      <c r="BP312" s="2030"/>
      <c r="BQ312" s="2030">
        <f t="shared" si="145"/>
        <v>0</v>
      </c>
      <c r="BR312" s="2030">
        <f t="shared" si="145"/>
        <v>0</v>
      </c>
      <c r="BS312" s="2030">
        <f t="shared" si="145"/>
        <v>0</v>
      </c>
      <c r="BT312" s="2125"/>
      <c r="BU312" s="2125"/>
      <c r="BV312" s="2125"/>
      <c r="BW312" s="2125"/>
      <c r="BX312" s="2125"/>
      <c r="BY312" s="2125"/>
      <c r="BZ312" s="2125"/>
      <c r="CA312" s="2125"/>
      <c r="CB312" s="2029"/>
      <c r="CC312" s="2029"/>
      <c r="CD312" s="2029"/>
      <c r="CE312" s="2029"/>
      <c r="CF312" s="2029"/>
      <c r="CG312" s="2032"/>
      <c r="CH312" s="1974">
        <v>0</v>
      </c>
      <c r="CI312" s="1974">
        <v>0</v>
      </c>
      <c r="CJ312" s="1974">
        <v>0</v>
      </c>
      <c r="CK312" s="1974">
        <v>0</v>
      </c>
      <c r="CL312" s="1974">
        <v>0</v>
      </c>
      <c r="CM312" s="2033">
        <v>0</v>
      </c>
      <c r="CN312" s="2026">
        <v>0</v>
      </c>
      <c r="CO312" s="1974">
        <v>0</v>
      </c>
      <c r="CP312" s="2031">
        <v>0</v>
      </c>
      <c r="CQ312" s="2031">
        <f t="shared" si="128"/>
        <v>0</v>
      </c>
      <c r="CR312" s="2026">
        <v>1</v>
      </c>
      <c r="CS312" s="2026">
        <v>1</v>
      </c>
      <c r="CT312" s="2026">
        <v>1</v>
      </c>
      <c r="CU312" s="2026">
        <v>1</v>
      </c>
      <c r="CV312" s="2036"/>
      <c r="CW312" s="2036"/>
      <c r="CX312" s="2036"/>
      <c r="CY312" s="2036"/>
      <c r="CZ312" s="2036"/>
      <c r="DA312" s="2036"/>
    </row>
    <row r="313" spans="1:105" x14ac:dyDescent="0.25">
      <c r="A313" s="2027" t="str">
        <f t="shared" si="146"/>
        <v>Heat Pump Water Heaters</v>
      </c>
      <c r="B313" s="2027"/>
      <c r="C313" s="2027">
        <v>0</v>
      </c>
      <c r="D313" s="2027"/>
      <c r="E313" s="2127">
        <v>0</v>
      </c>
      <c r="F313" s="2127"/>
      <c r="G313" s="2127">
        <v>0</v>
      </c>
      <c r="H313" s="2127"/>
      <c r="I313" s="2027">
        <v>0</v>
      </c>
      <c r="J313" s="2027"/>
      <c r="K313" s="1974" t="s">
        <v>2997</v>
      </c>
      <c r="L313" s="1974" t="s">
        <v>2997</v>
      </c>
      <c r="M313" s="2026">
        <v>0.96199999999999997</v>
      </c>
      <c r="N313" s="2026">
        <v>0.96199999999999997</v>
      </c>
      <c r="O313" s="2026">
        <v>0.96199999999999997</v>
      </c>
      <c r="P313" s="2026">
        <v>0.96199999999999997</v>
      </c>
      <c r="Q313" s="2027">
        <f t="shared" si="150"/>
        <v>0</v>
      </c>
      <c r="R313" s="2027">
        <f t="shared" si="150"/>
        <v>0</v>
      </c>
      <c r="S313" s="2027">
        <f t="shared" si="150"/>
        <v>0</v>
      </c>
      <c r="T313" s="2027">
        <f t="shared" si="150"/>
        <v>0</v>
      </c>
      <c r="U313" s="2026">
        <v>0.96199999999999997</v>
      </c>
      <c r="V313" s="2026">
        <v>0.96199999999999997</v>
      </c>
      <c r="W313" s="2026">
        <v>0.96199999999999997</v>
      </c>
      <c r="X313" s="2026">
        <v>0.96199999999999997</v>
      </c>
      <c r="Y313" s="2028">
        <f t="shared" si="151"/>
        <v>0</v>
      </c>
      <c r="Z313" s="2028">
        <f t="shared" si="151"/>
        <v>0</v>
      </c>
      <c r="AA313" s="2028">
        <f t="shared" si="151"/>
        <v>0</v>
      </c>
      <c r="AB313" s="2028">
        <f t="shared" si="151"/>
        <v>0</v>
      </c>
      <c r="AC313" s="2026">
        <v>0.96199999999999997</v>
      </c>
      <c r="AD313" s="2026">
        <v>0.96199999999999997</v>
      </c>
      <c r="AE313" s="2026">
        <v>0.96199999999999997</v>
      </c>
      <c r="AF313" s="2026">
        <v>0.96199999999999997</v>
      </c>
      <c r="AG313" s="2027">
        <f t="shared" si="152"/>
        <v>0</v>
      </c>
      <c r="AH313" s="2027">
        <f t="shared" si="152"/>
        <v>0</v>
      </c>
      <c r="AI313" s="2027">
        <f t="shared" si="152"/>
        <v>0</v>
      </c>
      <c r="AJ313" s="2027">
        <f t="shared" si="152"/>
        <v>0</v>
      </c>
      <c r="AK313" s="2027">
        <v>0</v>
      </c>
      <c r="AL313" s="2028"/>
      <c r="AM313" s="2028"/>
      <c r="AN313" s="2028"/>
      <c r="AO313" s="2027">
        <f t="shared" si="116"/>
        <v>0</v>
      </c>
      <c r="AP313" s="2027">
        <f t="shared" si="142"/>
        <v>0</v>
      </c>
      <c r="AQ313" s="2027">
        <f t="shared" si="142"/>
        <v>0</v>
      </c>
      <c r="AR313" s="2027">
        <v>9293089.0065118056</v>
      </c>
      <c r="AS313" s="2027">
        <f t="shared" si="118"/>
        <v>0</v>
      </c>
      <c r="AT313" s="2027">
        <f t="shared" si="119"/>
        <v>0</v>
      </c>
      <c r="AU313" s="2027">
        <f t="shared" si="143"/>
        <v>0</v>
      </c>
      <c r="AV313" s="2027">
        <f t="shared" si="143"/>
        <v>0</v>
      </c>
      <c r="AW313" s="2027">
        <f t="shared" si="143"/>
        <v>0</v>
      </c>
      <c r="AX313" s="2124">
        <v>0</v>
      </c>
      <c r="AY313" s="2029">
        <v>0</v>
      </c>
      <c r="AZ313" s="2029">
        <v>0</v>
      </c>
      <c r="BA313" s="2029">
        <v>0</v>
      </c>
      <c r="BB313" s="2124">
        <v>0</v>
      </c>
      <c r="BC313" s="2029">
        <v>0</v>
      </c>
      <c r="BD313" s="2029">
        <v>0</v>
      </c>
      <c r="BE313" s="2029">
        <v>0</v>
      </c>
      <c r="BF313" s="2124">
        <v>0</v>
      </c>
      <c r="BG313" s="2029">
        <v>0</v>
      </c>
      <c r="BH313" s="2029">
        <v>0</v>
      </c>
      <c r="BI313" s="2029">
        <v>0</v>
      </c>
      <c r="BJ313" s="2030">
        <f t="shared" si="144"/>
        <v>0</v>
      </c>
      <c r="BK313" s="2030">
        <f t="shared" si="144"/>
        <v>0</v>
      </c>
      <c r="BL313" s="2030">
        <f t="shared" si="144"/>
        <v>0</v>
      </c>
      <c r="BM313" s="2030"/>
      <c r="BN313" s="2030">
        <f t="shared" si="122"/>
        <v>0</v>
      </c>
      <c r="BO313" s="2030">
        <f t="shared" si="123"/>
        <v>0</v>
      </c>
      <c r="BP313" s="2030"/>
      <c r="BQ313" s="2030">
        <f t="shared" si="145"/>
        <v>0</v>
      </c>
      <c r="BR313" s="2030">
        <f t="shared" si="145"/>
        <v>0</v>
      </c>
      <c r="BS313" s="2030">
        <f t="shared" si="145"/>
        <v>0</v>
      </c>
      <c r="BT313" s="2125"/>
      <c r="BU313" s="2125"/>
      <c r="BV313" s="2125"/>
      <c r="BW313" s="2125"/>
      <c r="BX313" s="2125"/>
      <c r="BY313" s="2125"/>
      <c r="BZ313" s="2125"/>
      <c r="CA313" s="2125"/>
      <c r="CB313" s="2029"/>
      <c r="CC313" s="2029"/>
      <c r="CD313" s="2029"/>
      <c r="CE313" s="2029"/>
      <c r="CF313" s="2029"/>
      <c r="CG313" s="2032"/>
      <c r="CH313" s="1974">
        <v>0</v>
      </c>
      <c r="CI313" s="1974">
        <v>0</v>
      </c>
      <c r="CJ313" s="1974">
        <v>0</v>
      </c>
      <c r="CK313" s="1974">
        <v>0</v>
      </c>
      <c r="CL313" s="1974">
        <v>1</v>
      </c>
      <c r="CM313" s="2033">
        <v>0</v>
      </c>
      <c r="CN313" s="2026">
        <v>0</v>
      </c>
      <c r="CO313" s="1974">
        <v>0</v>
      </c>
      <c r="CP313" s="2031">
        <v>0</v>
      </c>
      <c r="CQ313" s="2031">
        <f t="shared" si="128"/>
        <v>0</v>
      </c>
      <c r="CR313" s="2026">
        <v>1</v>
      </c>
      <c r="CS313" s="2026">
        <v>1</v>
      </c>
      <c r="CT313" s="2026">
        <v>1</v>
      </c>
      <c r="CU313" s="2026">
        <v>1</v>
      </c>
      <c r="CV313" s="2036"/>
      <c r="CW313" s="2036"/>
      <c r="CX313" s="2036"/>
      <c r="CY313" s="2036"/>
      <c r="CZ313" s="2036"/>
      <c r="DA313" s="2036"/>
    </row>
    <row r="314" spans="1:105" x14ac:dyDescent="0.25">
      <c r="A314" s="2264" t="s">
        <v>278</v>
      </c>
      <c r="B314" s="2264"/>
      <c r="C314" s="1974">
        <v>15</v>
      </c>
      <c r="D314" s="1974">
        <v>0</v>
      </c>
      <c r="E314" s="1970">
        <f>F314*$CS314</f>
        <v>1807.2102776975823</v>
      </c>
      <c r="F314" s="1974">
        <f>F267</f>
        <v>1807.2102776975823</v>
      </c>
      <c r="G314" s="1970">
        <f>H314*$CS314</f>
        <v>0</v>
      </c>
      <c r="H314" s="1974">
        <f>H267</f>
        <v>0</v>
      </c>
      <c r="I314" s="1970">
        <f>J314*$CS314</f>
        <v>0</v>
      </c>
      <c r="J314" s="1974">
        <v>0</v>
      </c>
      <c r="K314" s="1974" t="s">
        <v>2997</v>
      </c>
      <c r="L314" s="1974" t="s">
        <v>2997</v>
      </c>
      <c r="M314" s="2026">
        <v>0.96199999999999997</v>
      </c>
      <c r="N314" s="2026">
        <v>0.96199999999999997</v>
      </c>
      <c r="O314" s="2026">
        <v>0.96199999999999997</v>
      </c>
      <c r="P314" s="2026">
        <v>0.96199999999999997</v>
      </c>
      <c r="Q314" s="2027">
        <f t="shared" ref="Q314:T320" si="153">$F314*M314</f>
        <v>1738.5362871450741</v>
      </c>
      <c r="R314" s="2027">
        <f t="shared" si="153"/>
        <v>1738.5362871450741</v>
      </c>
      <c r="S314" s="2027">
        <f t="shared" si="153"/>
        <v>1738.5362871450741</v>
      </c>
      <c r="T314" s="2027">
        <f t="shared" si="153"/>
        <v>1738.5362871450741</v>
      </c>
      <c r="U314" s="2026">
        <v>0.96199999999999997</v>
      </c>
      <c r="V314" s="2026">
        <v>0.96199999999999997</v>
      </c>
      <c r="W314" s="2026">
        <v>0.96199999999999997</v>
      </c>
      <c r="X314" s="2026">
        <v>0.96199999999999997</v>
      </c>
      <c r="Y314" s="2028">
        <f t="shared" ref="Y314:AB320" si="154">$H314*U314</f>
        <v>0</v>
      </c>
      <c r="Z314" s="2028">
        <f t="shared" si="154"/>
        <v>0</v>
      </c>
      <c r="AA314" s="2028">
        <f t="shared" si="154"/>
        <v>0</v>
      </c>
      <c r="AB314" s="2028">
        <f t="shared" si="154"/>
        <v>0</v>
      </c>
      <c r="AC314" s="2026">
        <v>0.96199999999999997</v>
      </c>
      <c r="AD314" s="2026">
        <v>0.96199999999999997</v>
      </c>
      <c r="AE314" s="2026">
        <v>0.96199999999999997</v>
      </c>
      <c r="AF314" s="2026">
        <v>0.96199999999999997</v>
      </c>
      <c r="AG314" s="2027">
        <f t="shared" ref="AG314:AJ320" si="155">$J314*AC314</f>
        <v>0</v>
      </c>
      <c r="AH314" s="2027">
        <f t="shared" si="155"/>
        <v>0</v>
      </c>
      <c r="AI314" s="2027">
        <f t="shared" si="155"/>
        <v>0</v>
      </c>
      <c r="AJ314" s="2027">
        <f t="shared" si="155"/>
        <v>0</v>
      </c>
      <c r="AK314" s="2027"/>
      <c r="AL314" s="2146">
        <v>5395</v>
      </c>
      <c r="AM314" s="2146">
        <v>5417</v>
      </c>
      <c r="AN314" s="2146">
        <v>5405</v>
      </c>
      <c r="AO314" s="2027">
        <f t="shared" ref="AO314:AO320" si="156">AK314*Q314</f>
        <v>0</v>
      </c>
      <c r="AP314" s="2027">
        <f t="shared" ref="AP314:AQ320" si="157">AL314*R314*CS314</f>
        <v>9379403.2691476755</v>
      </c>
      <c r="AQ314" s="2265">
        <f t="shared" si="157"/>
        <v>9293089.0065118056</v>
      </c>
      <c r="AR314" s="2027" t="s">
        <v>3283</v>
      </c>
      <c r="AS314" s="2027">
        <f t="shared" ref="AS314:AS320" si="158">AN314*T314*CU314</f>
        <v>9272502.5069588907</v>
      </c>
      <c r="AT314" s="2027">
        <f t="shared" ref="AT314:AT320" si="159">AK314*AG314</f>
        <v>0</v>
      </c>
      <c r="AU314" s="2027">
        <f t="shared" ref="AU314:AW320" si="160">AL314*AH314*CS314</f>
        <v>0</v>
      </c>
      <c r="AV314" s="2027">
        <f t="shared" si="160"/>
        <v>0</v>
      </c>
      <c r="AW314" s="2027">
        <f t="shared" si="160"/>
        <v>0</v>
      </c>
      <c r="AX314" s="2046">
        <v>245.25012811259469</v>
      </c>
      <c r="AY314" s="2046">
        <v>245.25012811259469</v>
      </c>
      <c r="AZ314" s="2046">
        <v>245.25012811259469</v>
      </c>
      <c r="BA314" s="2046">
        <v>245.25012811259469</v>
      </c>
      <c r="BB314" s="2124">
        <v>0</v>
      </c>
      <c r="BC314" s="2029">
        <v>0</v>
      </c>
      <c r="BD314" s="2029">
        <v>0</v>
      </c>
      <c r="BE314" s="2029">
        <v>0</v>
      </c>
      <c r="BF314" s="2046">
        <v>189.73709076145795</v>
      </c>
      <c r="BG314" s="2029">
        <v>122.661</v>
      </c>
      <c r="BH314" s="2029">
        <v>122.661</v>
      </c>
      <c r="BI314" s="2029">
        <v>122.661</v>
      </c>
      <c r="BJ314" s="2030">
        <f t="shared" ref="BJ314:BL320" si="161">AX314*AK314</f>
        <v>0</v>
      </c>
      <c r="BK314" s="2030">
        <f t="shared" si="161"/>
        <v>1323124.4411674484</v>
      </c>
      <c r="BL314" s="2030">
        <f t="shared" si="161"/>
        <v>1328519.9439859255</v>
      </c>
      <c r="BM314" s="2030"/>
      <c r="BN314" s="2030">
        <f t="shared" ref="BN314:BN320" si="162">BA314*AN314</f>
        <v>1325576.9424485744</v>
      </c>
      <c r="BO314" s="2030">
        <f t="shared" ref="BO314:BO320" si="163">BB314*AK314</f>
        <v>0</v>
      </c>
      <c r="BP314" s="2030"/>
      <c r="BQ314" s="2030">
        <f t="shared" ref="BQ314:BS320" si="164">BC314*AL314</f>
        <v>0</v>
      </c>
      <c r="BR314" s="2030">
        <f t="shared" si="164"/>
        <v>0</v>
      </c>
      <c r="BS314" s="2030">
        <f t="shared" si="164"/>
        <v>0</v>
      </c>
      <c r="BT314" s="2125"/>
      <c r="BU314" s="2125"/>
      <c r="BV314" s="2125"/>
      <c r="BW314" s="2125"/>
      <c r="BX314" s="2125"/>
      <c r="BY314" s="2125"/>
      <c r="BZ314" s="2125"/>
      <c r="CA314" s="2125"/>
      <c r="CB314" s="2029"/>
      <c r="CC314" s="2029"/>
      <c r="CD314" s="2029"/>
      <c r="CE314" s="2029"/>
      <c r="CF314" s="2029"/>
      <c r="CG314" s="2032"/>
      <c r="CH314" s="1974">
        <v>0</v>
      </c>
      <c r="CI314" s="1974">
        <v>0</v>
      </c>
      <c r="CJ314" s="1974">
        <v>0</v>
      </c>
      <c r="CK314" s="1974">
        <v>0</v>
      </c>
      <c r="CL314" s="1974">
        <v>1</v>
      </c>
      <c r="CM314" s="2033">
        <v>9.6363637388535723E-3</v>
      </c>
      <c r="CN314" s="2026">
        <v>0</v>
      </c>
      <c r="CO314" s="1974">
        <v>1</v>
      </c>
      <c r="CP314" s="2031">
        <v>-16.835977777777774</v>
      </c>
      <c r="CQ314" s="2031">
        <f t="shared" si="128"/>
        <v>16.835977777777774</v>
      </c>
      <c r="CR314" s="2026">
        <v>1</v>
      </c>
      <c r="CS314" s="2026">
        <v>1</v>
      </c>
      <c r="CT314" s="2026">
        <v>0.98677355318637949</v>
      </c>
      <c r="CU314" s="2026">
        <v>0.98677355318637949</v>
      </c>
      <c r="CV314" s="2036"/>
      <c r="CW314" s="2036"/>
      <c r="CX314" s="2036"/>
      <c r="CY314" s="2036"/>
      <c r="CZ314" s="2036"/>
      <c r="DA314" s="2036"/>
    </row>
    <row r="315" spans="1:105" x14ac:dyDescent="0.25">
      <c r="A315" s="2264" t="s">
        <v>279</v>
      </c>
      <c r="B315" s="2264"/>
      <c r="C315" s="1974">
        <v>11</v>
      </c>
      <c r="D315" s="1974">
        <v>0</v>
      </c>
      <c r="E315" s="1970">
        <f>F315*$CS315</f>
        <v>402.77418446313504</v>
      </c>
      <c r="F315" s="1974">
        <v>402.77418446313504</v>
      </c>
      <c r="G315" s="1970">
        <f>H315*$CS315</f>
        <v>7.6724492832285066E-2</v>
      </c>
      <c r="H315" s="1974">
        <v>7.6724492832285066E-2</v>
      </c>
      <c r="I315" s="1970">
        <f>J315*$CS315</f>
        <v>-5.2649053908958043</v>
      </c>
      <c r="J315" s="1974">
        <v>-5.2649053908958043</v>
      </c>
      <c r="K315" s="1974" t="s">
        <v>2997</v>
      </c>
      <c r="L315" s="1974" t="s">
        <v>2997</v>
      </c>
      <c r="M315" s="2026">
        <v>0.96199999999999997</v>
      </c>
      <c r="N315" s="2026">
        <v>0.96199999999999997</v>
      </c>
      <c r="O315" s="2026">
        <v>0.96199999999999997</v>
      </c>
      <c r="P315" s="2026">
        <v>0.96199999999999997</v>
      </c>
      <c r="Q315" s="2027">
        <f t="shared" si="153"/>
        <v>387.46876545353592</v>
      </c>
      <c r="R315" s="2027">
        <f t="shared" si="153"/>
        <v>387.46876545353592</v>
      </c>
      <c r="S315" s="2027">
        <f t="shared" si="153"/>
        <v>387.46876545353592</v>
      </c>
      <c r="T315" s="2027">
        <f t="shared" si="153"/>
        <v>387.46876545353592</v>
      </c>
      <c r="U315" s="2026">
        <v>0.96199999999999997</v>
      </c>
      <c r="V315" s="2026">
        <v>0.96199999999999997</v>
      </c>
      <c r="W315" s="2026">
        <v>0.96199999999999997</v>
      </c>
      <c r="X315" s="2026">
        <v>0.96199999999999997</v>
      </c>
      <c r="Y315" s="2028">
        <f t="shared" si="154"/>
        <v>7.3808962104658232E-2</v>
      </c>
      <c r="Z315" s="2028">
        <f t="shared" si="154"/>
        <v>7.3808962104658232E-2</v>
      </c>
      <c r="AA315" s="2028">
        <f t="shared" si="154"/>
        <v>7.3808962104658232E-2</v>
      </c>
      <c r="AB315" s="2028">
        <f t="shared" si="154"/>
        <v>7.3808962104658232E-2</v>
      </c>
      <c r="AC315" s="2026">
        <v>0.96199999999999997</v>
      </c>
      <c r="AD315" s="2026">
        <v>0.96199999999999997</v>
      </c>
      <c r="AE315" s="2026">
        <v>0.96199999999999997</v>
      </c>
      <c r="AF315" s="2026">
        <v>0.96199999999999997</v>
      </c>
      <c r="AG315" s="2027">
        <f t="shared" si="155"/>
        <v>-5.0648389860417637</v>
      </c>
      <c r="AH315" s="2027">
        <f t="shared" si="155"/>
        <v>-5.0648389860417637</v>
      </c>
      <c r="AI315" s="2027">
        <f t="shared" si="155"/>
        <v>-5.0648389860417637</v>
      </c>
      <c r="AJ315" s="2027">
        <f t="shared" si="155"/>
        <v>-5.0648389860417637</v>
      </c>
      <c r="AK315" s="2027"/>
      <c r="AL315" s="2027">
        <v>139</v>
      </c>
      <c r="AM315" s="2027">
        <v>145</v>
      </c>
      <c r="AN315" s="2027">
        <v>146</v>
      </c>
      <c r="AO315" s="2027">
        <f t="shared" si="156"/>
        <v>0</v>
      </c>
      <c r="AP315" s="2027">
        <f t="shared" si="157"/>
        <v>53858.158398041494</v>
      </c>
      <c r="AQ315" s="2265">
        <f t="shared" si="157"/>
        <v>47257.449358187645</v>
      </c>
      <c r="AR315" s="2027" t="s">
        <v>3283</v>
      </c>
      <c r="AS315" s="2027">
        <f t="shared" si="158"/>
        <v>47583.362802037205</v>
      </c>
      <c r="AT315" s="2027">
        <f t="shared" si="159"/>
        <v>0</v>
      </c>
      <c r="AU315" s="2027">
        <f t="shared" si="160"/>
        <v>-704.01261905980516</v>
      </c>
      <c r="AV315" s="2027">
        <f t="shared" si="160"/>
        <v>-617.73075207773195</v>
      </c>
      <c r="AW315" s="2027">
        <f t="shared" si="160"/>
        <v>-621.99096416102668</v>
      </c>
      <c r="AX315" s="2124">
        <f>AX268</f>
        <v>20.519999999999996</v>
      </c>
      <c r="AY315" s="2029">
        <f t="shared" ref="AY315:BA316" si="165">AY268</f>
        <v>20.519999999999996</v>
      </c>
      <c r="AZ315" s="2029">
        <f t="shared" si="165"/>
        <v>20.519999999999996</v>
      </c>
      <c r="BA315" s="2029">
        <f t="shared" si="165"/>
        <v>20.519999999999996</v>
      </c>
      <c r="BB315" s="2124">
        <v>0</v>
      </c>
      <c r="BC315" s="2029">
        <v>0</v>
      </c>
      <c r="BD315" s="2029">
        <v>0</v>
      </c>
      <c r="BE315" s="2029">
        <v>0</v>
      </c>
      <c r="BF315" s="2124">
        <v>12</v>
      </c>
      <c r="BG315" s="2029">
        <v>12</v>
      </c>
      <c r="BH315" s="2029">
        <v>12</v>
      </c>
      <c r="BI315" s="2029">
        <v>12</v>
      </c>
      <c r="BJ315" s="2030">
        <f t="shared" si="161"/>
        <v>0</v>
      </c>
      <c r="BK315" s="2030">
        <f t="shared" si="161"/>
        <v>2852.2799999999993</v>
      </c>
      <c r="BL315" s="2030">
        <f t="shared" si="161"/>
        <v>2975.3999999999996</v>
      </c>
      <c r="BM315" s="2030"/>
      <c r="BN315" s="2030">
        <f t="shared" si="162"/>
        <v>2995.9199999999996</v>
      </c>
      <c r="BO315" s="2030">
        <f t="shared" si="163"/>
        <v>0</v>
      </c>
      <c r="BP315" s="2030"/>
      <c r="BQ315" s="2030">
        <f t="shared" si="164"/>
        <v>0</v>
      </c>
      <c r="BR315" s="2030">
        <f t="shared" si="164"/>
        <v>0</v>
      </c>
      <c r="BS315" s="2030">
        <f t="shared" si="164"/>
        <v>0</v>
      </c>
      <c r="BT315" s="2125"/>
      <c r="BU315" s="2125"/>
      <c r="BV315" s="2125"/>
      <c r="BW315" s="2125"/>
      <c r="BX315" s="2125"/>
      <c r="BY315" s="2125"/>
      <c r="BZ315" s="2125"/>
      <c r="CA315" s="2125"/>
      <c r="CB315" s="2029"/>
      <c r="CC315" s="2029"/>
      <c r="CD315" s="2029"/>
      <c r="CE315" s="2029"/>
      <c r="CF315" s="2029"/>
      <c r="CG315" s="2032"/>
      <c r="CH315" s="1974">
        <v>0</v>
      </c>
      <c r="CI315" s="1974">
        <v>0</v>
      </c>
      <c r="CJ315" s="1974">
        <v>0</v>
      </c>
      <c r="CK315" s="1974">
        <v>0</v>
      </c>
      <c r="CL315" s="1974">
        <v>1</v>
      </c>
      <c r="CM315" s="2033">
        <v>1.8010475071001867E-4</v>
      </c>
      <c r="CN315" s="2026">
        <v>-2.2640586667892079E-4</v>
      </c>
      <c r="CO315" s="1974">
        <v>0</v>
      </c>
      <c r="CP315" s="2031">
        <v>0</v>
      </c>
      <c r="CQ315" s="2031">
        <f t="shared" ref="CQ315:CQ320" si="166">CP315*(-1)</f>
        <v>0</v>
      </c>
      <c r="CR315" s="2026">
        <v>1</v>
      </c>
      <c r="CS315" s="2026">
        <v>1</v>
      </c>
      <c r="CT315" s="2026">
        <v>0.84113475177304964</v>
      </c>
      <c r="CU315" s="2026">
        <v>0.84113475177304964</v>
      </c>
      <c r="CV315" s="2036"/>
      <c r="CW315" s="2036"/>
      <c r="CX315" s="2036"/>
      <c r="CY315" s="2036"/>
      <c r="CZ315" s="2036"/>
      <c r="DA315" s="2036"/>
    </row>
    <row r="316" spans="1:105" x14ac:dyDescent="0.25">
      <c r="A316" s="2264" t="s">
        <v>280</v>
      </c>
      <c r="B316" s="2264"/>
      <c r="C316" s="1974">
        <v>15</v>
      </c>
      <c r="D316" s="1974">
        <v>0</v>
      </c>
      <c r="E316" s="1970">
        <f>F316*$CS316</f>
        <v>573.79834962481209</v>
      </c>
      <c r="F316" s="1974">
        <v>573.79834962481209</v>
      </c>
      <c r="G316" s="1970">
        <f>H316*$CS316</f>
        <v>7.6551859795615587E-2</v>
      </c>
      <c r="H316" s="1974">
        <v>7.6551859795615587E-2</v>
      </c>
      <c r="I316" s="1970">
        <f>J316*$CS316</f>
        <v>0</v>
      </c>
      <c r="J316" s="1974">
        <v>0</v>
      </c>
      <c r="K316" s="1974" t="s">
        <v>2997</v>
      </c>
      <c r="L316" s="1974" t="s">
        <v>2997</v>
      </c>
      <c r="M316" s="2026">
        <v>0.96199999999999997</v>
      </c>
      <c r="N316" s="2026">
        <v>0.96199999999999997</v>
      </c>
      <c r="O316" s="2026">
        <v>0.96199999999999997</v>
      </c>
      <c r="P316" s="2026">
        <v>0.96199999999999997</v>
      </c>
      <c r="Q316" s="2027">
        <f t="shared" si="153"/>
        <v>551.99401233906917</v>
      </c>
      <c r="R316" s="2027">
        <f t="shared" si="153"/>
        <v>551.99401233906917</v>
      </c>
      <c r="S316" s="2027">
        <f t="shared" si="153"/>
        <v>551.99401233906917</v>
      </c>
      <c r="T316" s="2027">
        <f t="shared" si="153"/>
        <v>551.99401233906917</v>
      </c>
      <c r="U316" s="2026">
        <v>0.96199999999999997</v>
      </c>
      <c r="V316" s="2026">
        <v>0.96199999999999997</v>
      </c>
      <c r="W316" s="2026">
        <v>0.96199999999999997</v>
      </c>
      <c r="X316" s="2026">
        <v>0.96199999999999997</v>
      </c>
      <c r="Y316" s="2028">
        <f t="shared" si="154"/>
        <v>7.3642889123382196E-2</v>
      </c>
      <c r="Z316" s="2028">
        <f t="shared" si="154"/>
        <v>7.3642889123382196E-2</v>
      </c>
      <c r="AA316" s="2028">
        <f t="shared" si="154"/>
        <v>7.3642889123382196E-2</v>
      </c>
      <c r="AB316" s="2028">
        <f t="shared" si="154"/>
        <v>7.3642889123382196E-2</v>
      </c>
      <c r="AC316" s="2026">
        <v>0.96199999999999997</v>
      </c>
      <c r="AD316" s="2026">
        <v>0.96199999999999997</v>
      </c>
      <c r="AE316" s="2026">
        <v>0.96199999999999997</v>
      </c>
      <c r="AF316" s="2026">
        <v>0.96199999999999997</v>
      </c>
      <c r="AG316" s="2027">
        <f t="shared" si="155"/>
        <v>0</v>
      </c>
      <c r="AH316" s="2027">
        <f t="shared" si="155"/>
        <v>0</v>
      </c>
      <c r="AI316" s="2027">
        <f t="shared" si="155"/>
        <v>0</v>
      </c>
      <c r="AJ316" s="2027">
        <f t="shared" si="155"/>
        <v>0</v>
      </c>
      <c r="AK316" s="2027"/>
      <c r="AL316" s="2027">
        <v>285</v>
      </c>
      <c r="AM316" s="2027">
        <v>240</v>
      </c>
      <c r="AN316" s="2027">
        <v>195</v>
      </c>
      <c r="AO316" s="2027">
        <f t="shared" si="156"/>
        <v>0</v>
      </c>
      <c r="AP316" s="2027">
        <f t="shared" si="157"/>
        <v>157318.2935166347</v>
      </c>
      <c r="AQ316" s="2265">
        <f t="shared" si="157"/>
        <v>39743.568888412978</v>
      </c>
      <c r="AR316" s="2027" t="s">
        <v>3283</v>
      </c>
      <c r="AS316" s="2027">
        <f t="shared" si="158"/>
        <v>32291.649721835543</v>
      </c>
      <c r="AT316" s="2027">
        <f t="shared" si="159"/>
        <v>0</v>
      </c>
      <c r="AU316" s="2027">
        <f t="shared" si="160"/>
        <v>0</v>
      </c>
      <c r="AV316" s="2027">
        <f t="shared" si="160"/>
        <v>0</v>
      </c>
      <c r="AW316" s="2027">
        <f t="shared" si="160"/>
        <v>0</v>
      </c>
      <c r="AX316" s="2124">
        <f>AX269</f>
        <v>60.42</v>
      </c>
      <c r="AY316" s="2029">
        <f t="shared" si="165"/>
        <v>60.42</v>
      </c>
      <c r="AZ316" s="2029">
        <f t="shared" si="165"/>
        <v>60.42</v>
      </c>
      <c r="BA316" s="2029">
        <f t="shared" si="165"/>
        <v>60.42</v>
      </c>
      <c r="BB316" s="2124">
        <v>0</v>
      </c>
      <c r="BC316" s="2029">
        <v>0</v>
      </c>
      <c r="BD316" s="2029">
        <v>0</v>
      </c>
      <c r="BE316" s="2029">
        <v>0</v>
      </c>
      <c r="BF316" s="2124">
        <v>42</v>
      </c>
      <c r="BG316" s="2029">
        <v>42</v>
      </c>
      <c r="BH316" s="2029">
        <v>42</v>
      </c>
      <c r="BI316" s="2029">
        <v>42</v>
      </c>
      <c r="BJ316" s="2030">
        <f t="shared" si="161"/>
        <v>0</v>
      </c>
      <c r="BK316" s="2030">
        <f t="shared" si="161"/>
        <v>17219.7</v>
      </c>
      <c r="BL316" s="2030">
        <f t="shared" si="161"/>
        <v>14500.800000000001</v>
      </c>
      <c r="BM316" s="2030"/>
      <c r="BN316" s="2030">
        <f t="shared" si="162"/>
        <v>11781.9</v>
      </c>
      <c r="BO316" s="2030">
        <f t="shared" si="163"/>
        <v>0</v>
      </c>
      <c r="BP316" s="2030"/>
      <c r="BQ316" s="2030">
        <f t="shared" si="164"/>
        <v>0</v>
      </c>
      <c r="BR316" s="2030">
        <f t="shared" si="164"/>
        <v>0</v>
      </c>
      <c r="BS316" s="2030">
        <f t="shared" si="164"/>
        <v>0</v>
      </c>
      <c r="BT316" s="2125"/>
      <c r="BU316" s="2125"/>
      <c r="BV316" s="2125"/>
      <c r="BW316" s="2125"/>
      <c r="BX316" s="2125"/>
      <c r="BY316" s="2125"/>
      <c r="BZ316" s="2125"/>
      <c r="CA316" s="2125"/>
      <c r="CB316" s="2029"/>
      <c r="CC316" s="2029"/>
      <c r="CD316" s="2029"/>
      <c r="CE316" s="2029"/>
      <c r="CF316" s="2029"/>
      <c r="CG316" s="2032"/>
      <c r="CH316" s="1974">
        <v>0</v>
      </c>
      <c r="CI316" s="1974">
        <v>0</v>
      </c>
      <c r="CJ316" s="1974">
        <v>0</v>
      </c>
      <c r="CK316" s="1974">
        <v>0</v>
      </c>
      <c r="CL316" s="1974">
        <v>1</v>
      </c>
      <c r="CM316" s="2033">
        <v>6.5000271992445556E-4</v>
      </c>
      <c r="CN316" s="2026">
        <v>0</v>
      </c>
      <c r="CO316" s="1974">
        <v>1</v>
      </c>
      <c r="CP316" s="2031">
        <v>0.13682777777777794</v>
      </c>
      <c r="CQ316" s="2031">
        <f t="shared" si="166"/>
        <v>-0.13682777777777794</v>
      </c>
      <c r="CR316" s="2026">
        <v>1</v>
      </c>
      <c r="CS316" s="2026">
        <v>1</v>
      </c>
      <c r="CT316" s="2026">
        <v>0.3</v>
      </c>
      <c r="CU316" s="2026">
        <v>0.3</v>
      </c>
      <c r="CV316" s="2036"/>
      <c r="CW316" s="2036"/>
      <c r="CX316" s="2036"/>
      <c r="CY316" s="2036"/>
      <c r="CZ316" s="2036"/>
      <c r="DA316" s="2036"/>
    </row>
    <row r="317" spans="1:105" x14ac:dyDescent="0.25">
      <c r="A317" s="2264" t="s">
        <v>281</v>
      </c>
      <c r="B317" s="2264"/>
      <c r="C317" s="1974">
        <v>15</v>
      </c>
      <c r="D317" s="1974">
        <v>0</v>
      </c>
      <c r="E317" s="1970">
        <f>F317*$CS317</f>
        <v>731.41972555287646</v>
      </c>
      <c r="F317" s="1974">
        <v>731.41972555287646</v>
      </c>
      <c r="G317" s="1970">
        <f>H317*$CS317</f>
        <v>0.12756038898084868</v>
      </c>
      <c r="H317" s="1974">
        <v>0.12756038898084868</v>
      </c>
      <c r="I317" s="1970">
        <f>J317*$CS317</f>
        <v>-12.323260536976173</v>
      </c>
      <c r="J317" s="1974">
        <v>-12.323260536976173</v>
      </c>
      <c r="K317" s="1974" t="s">
        <v>2997</v>
      </c>
      <c r="L317" s="1974" t="s">
        <v>2997</v>
      </c>
      <c r="M317" s="2026">
        <v>0.96199999999999997</v>
      </c>
      <c r="N317" s="2026">
        <v>0.96199999999999997</v>
      </c>
      <c r="O317" s="2026">
        <v>0.96199999999999997</v>
      </c>
      <c r="P317" s="2026">
        <v>0.96199999999999997</v>
      </c>
      <c r="Q317" s="2027">
        <f t="shared" si="153"/>
        <v>703.62577598186715</v>
      </c>
      <c r="R317" s="2027">
        <f t="shared" si="153"/>
        <v>703.62577598186715</v>
      </c>
      <c r="S317" s="2027">
        <f t="shared" si="153"/>
        <v>703.62577598186715</v>
      </c>
      <c r="T317" s="2027">
        <f t="shared" si="153"/>
        <v>703.62577598186715</v>
      </c>
      <c r="U317" s="2026">
        <v>0.96199999999999997</v>
      </c>
      <c r="V317" s="2026">
        <v>0.96199999999999997</v>
      </c>
      <c r="W317" s="2026">
        <v>0.96199999999999997</v>
      </c>
      <c r="X317" s="2026">
        <v>0.96199999999999997</v>
      </c>
      <c r="Y317" s="2028">
        <f t="shared" si="154"/>
        <v>0.12271309419957642</v>
      </c>
      <c r="Z317" s="2028">
        <f t="shared" si="154"/>
        <v>0.12271309419957642</v>
      </c>
      <c r="AA317" s="2028">
        <f t="shared" si="154"/>
        <v>0.12271309419957642</v>
      </c>
      <c r="AB317" s="2028">
        <f t="shared" si="154"/>
        <v>0.12271309419957642</v>
      </c>
      <c r="AC317" s="2026">
        <v>0.96199999999999997</v>
      </c>
      <c r="AD317" s="2026">
        <v>0.96199999999999997</v>
      </c>
      <c r="AE317" s="2026">
        <v>0.96199999999999997</v>
      </c>
      <c r="AF317" s="2026">
        <v>0.96199999999999997</v>
      </c>
      <c r="AG317" s="2027">
        <f t="shared" si="155"/>
        <v>-11.854976636571077</v>
      </c>
      <c r="AH317" s="2027">
        <f t="shared" si="155"/>
        <v>-11.854976636571077</v>
      </c>
      <c r="AI317" s="2027">
        <f t="shared" si="155"/>
        <v>-11.854976636571077</v>
      </c>
      <c r="AJ317" s="2027">
        <f t="shared" si="155"/>
        <v>-11.854976636571077</v>
      </c>
      <c r="AK317" s="2027">
        <v>0</v>
      </c>
      <c r="AL317" s="2027">
        <v>17984</v>
      </c>
      <c r="AM317" s="2027">
        <v>18055</v>
      </c>
      <c r="AN317" s="2027">
        <v>18014</v>
      </c>
      <c r="AO317" s="2027">
        <f t="shared" si="156"/>
        <v>0</v>
      </c>
      <c r="AP317" s="2027">
        <f t="shared" si="157"/>
        <v>12654005.955257898</v>
      </c>
      <c r="AQ317" s="2265">
        <f t="shared" si="157"/>
        <v>11671131.858485404</v>
      </c>
      <c r="AR317" s="2027" t="s">
        <v>3283</v>
      </c>
      <c r="AS317" s="2027">
        <f t="shared" si="158"/>
        <v>11644628.595887903</v>
      </c>
      <c r="AT317" s="2027">
        <f t="shared" si="159"/>
        <v>0</v>
      </c>
      <c r="AU317" s="2027">
        <f t="shared" si="160"/>
        <v>-213199.89983209426</v>
      </c>
      <c r="AV317" s="2027">
        <f t="shared" si="160"/>
        <v>-196640.03256789516</v>
      </c>
      <c r="AW317" s="2027">
        <f t="shared" si="160"/>
        <v>-196193.4946927756</v>
      </c>
      <c r="AX317" s="2124">
        <f>AX273</f>
        <v>137.97751027115856</v>
      </c>
      <c r="AY317" s="2029">
        <f t="shared" ref="AY317:BA317" si="167">AY273</f>
        <v>137.97751027115856</v>
      </c>
      <c r="AZ317" s="2029">
        <f t="shared" si="167"/>
        <v>137.97751027115856</v>
      </c>
      <c r="BA317" s="2029">
        <f t="shared" si="167"/>
        <v>137.97751027115856</v>
      </c>
      <c r="BB317" s="2124">
        <v>0</v>
      </c>
      <c r="BC317" s="2029">
        <v>0</v>
      </c>
      <c r="BD317" s="2029">
        <v>0</v>
      </c>
      <c r="BE317" s="2029">
        <v>0</v>
      </c>
      <c r="BF317" s="2124">
        <v>266.88716398638337</v>
      </c>
      <c r="BG317" s="2029">
        <v>266.88716398638337</v>
      </c>
      <c r="BH317" s="2029">
        <v>266.88716398638337</v>
      </c>
      <c r="BI317" s="2029">
        <v>266.88716398638337</v>
      </c>
      <c r="BJ317" s="2030">
        <f t="shared" si="161"/>
        <v>0</v>
      </c>
      <c r="BK317" s="2030">
        <f t="shared" si="161"/>
        <v>2481387.5447165156</v>
      </c>
      <c r="BL317" s="2030">
        <f t="shared" si="161"/>
        <v>2491183.947945768</v>
      </c>
      <c r="BM317" s="2030"/>
      <c r="BN317" s="2030">
        <f t="shared" si="162"/>
        <v>2485526.8700246504</v>
      </c>
      <c r="BO317" s="2030">
        <f t="shared" si="163"/>
        <v>0</v>
      </c>
      <c r="BP317" s="2030"/>
      <c r="BQ317" s="2030">
        <f t="shared" si="164"/>
        <v>0</v>
      </c>
      <c r="BR317" s="2030">
        <f t="shared" si="164"/>
        <v>0</v>
      </c>
      <c r="BS317" s="2030">
        <f t="shared" si="164"/>
        <v>0</v>
      </c>
      <c r="BT317" s="2125"/>
      <c r="BU317" s="2125"/>
      <c r="BV317" s="2125"/>
      <c r="BW317" s="2125"/>
      <c r="BX317" s="2125"/>
      <c r="BY317" s="2125"/>
      <c r="BZ317" s="2125"/>
      <c r="CA317" s="2125"/>
      <c r="CB317" s="2029"/>
      <c r="CC317" s="2029"/>
      <c r="CD317" s="2029"/>
      <c r="CE317" s="2029"/>
      <c r="CF317" s="2029"/>
      <c r="CG317" s="2032"/>
      <c r="CH317" s="1974">
        <v>0</v>
      </c>
      <c r="CI317" s="1974">
        <v>0</v>
      </c>
      <c r="CJ317" s="1974">
        <v>0</v>
      </c>
      <c r="CK317" s="1974">
        <v>0</v>
      </c>
      <c r="CL317" s="1974">
        <v>1</v>
      </c>
      <c r="CM317" s="2033">
        <v>8.7216557840835304E-2</v>
      </c>
      <c r="CN317" s="2026">
        <v>-0.14131604274137535</v>
      </c>
      <c r="CO317" s="1974">
        <v>1</v>
      </c>
      <c r="CP317" s="2031">
        <v>-5.387533986928104</v>
      </c>
      <c r="CQ317" s="2031">
        <f t="shared" si="166"/>
        <v>5.387533986928104</v>
      </c>
      <c r="CR317" s="2026">
        <v>1</v>
      </c>
      <c r="CS317" s="2026">
        <v>1</v>
      </c>
      <c r="CT317" s="2026">
        <v>0.91870005481454409</v>
      </c>
      <c r="CU317" s="2026">
        <v>0.91870005481454409</v>
      </c>
      <c r="CV317" s="2036"/>
      <c r="CW317" s="2036"/>
      <c r="CX317" s="2036"/>
      <c r="CY317" s="2036"/>
      <c r="CZ317" s="2036"/>
      <c r="DA317" s="2036"/>
    </row>
    <row r="318" spans="1:105" x14ac:dyDescent="0.25">
      <c r="A318" s="2264" t="s">
        <v>1024</v>
      </c>
      <c r="B318" s="2264"/>
      <c r="C318" s="1974">
        <v>15</v>
      </c>
      <c r="D318" s="1974">
        <v>2</v>
      </c>
      <c r="E318" s="1970">
        <f>F318*CU$264</f>
        <v>62.438983373278184</v>
      </c>
      <c r="F318" s="1974">
        <f>F264</f>
        <v>132.64364949904598</v>
      </c>
      <c r="G318" s="1970">
        <f>H318*CW$264</f>
        <v>0</v>
      </c>
      <c r="H318" s="1974">
        <f>H264</f>
        <v>2.6460530662842971E-2</v>
      </c>
      <c r="I318" s="1970">
        <f>J318*CY$264</f>
        <v>0</v>
      </c>
      <c r="J318" s="1974">
        <f>J264</f>
        <v>-2.6801434517075093</v>
      </c>
      <c r="K318" s="1974" t="s">
        <v>2997</v>
      </c>
      <c r="L318" s="1974" t="s">
        <v>2997</v>
      </c>
      <c r="M318" s="2026">
        <v>0.96199999999999997</v>
      </c>
      <c r="N318" s="2026">
        <v>0.96199999999999997</v>
      </c>
      <c r="O318" s="2026">
        <v>0.96199999999999997</v>
      </c>
      <c r="P318" s="2026">
        <v>0.96199999999999997</v>
      </c>
      <c r="Q318" s="2027">
        <f t="shared" si="153"/>
        <v>127.60319081808223</v>
      </c>
      <c r="R318" s="2027">
        <f t="shared" si="153"/>
        <v>127.60319081808223</v>
      </c>
      <c r="S318" s="2027">
        <f t="shared" si="153"/>
        <v>127.60319081808223</v>
      </c>
      <c r="T318" s="2027">
        <f t="shared" si="153"/>
        <v>127.60319081808223</v>
      </c>
      <c r="U318" s="2026">
        <v>0.96199999999999997</v>
      </c>
      <c r="V318" s="2026">
        <v>0.96199999999999997</v>
      </c>
      <c r="W318" s="2026">
        <v>0.96199999999999997</v>
      </c>
      <c r="X318" s="2026">
        <v>0.96199999999999997</v>
      </c>
      <c r="Y318" s="2028">
        <f t="shared" si="154"/>
        <v>2.5455030497654938E-2</v>
      </c>
      <c r="Z318" s="2028">
        <f t="shared" si="154"/>
        <v>2.5455030497654938E-2</v>
      </c>
      <c r="AA318" s="2028">
        <f t="shared" si="154"/>
        <v>2.5455030497654938E-2</v>
      </c>
      <c r="AB318" s="2028">
        <f t="shared" si="154"/>
        <v>2.5455030497654938E-2</v>
      </c>
      <c r="AC318" s="2026">
        <v>0.96199999999999997</v>
      </c>
      <c r="AD318" s="2026">
        <v>0.96199999999999997</v>
      </c>
      <c r="AE318" s="2026">
        <v>0.96199999999999997</v>
      </c>
      <c r="AF318" s="2026">
        <v>0.96199999999999997</v>
      </c>
      <c r="AG318" s="2027">
        <f t="shared" si="155"/>
        <v>-2.5782980005426239</v>
      </c>
      <c r="AH318" s="2027">
        <f t="shared" si="155"/>
        <v>-2.5782980005426239</v>
      </c>
      <c r="AI318" s="2027">
        <f t="shared" si="155"/>
        <v>-2.5782980005426239</v>
      </c>
      <c r="AJ318" s="2027">
        <f t="shared" si="155"/>
        <v>-2.5782980005426239</v>
      </c>
      <c r="AK318" s="2027">
        <v>0</v>
      </c>
      <c r="AL318" s="2146">
        <v>17984</v>
      </c>
      <c r="AM318" s="2146"/>
      <c r="AN318" s="2146"/>
      <c r="AO318" s="2027">
        <f t="shared" si="156"/>
        <v>0</v>
      </c>
      <c r="AP318" s="2027">
        <f t="shared" si="157"/>
        <v>2294815.783672391</v>
      </c>
      <c r="AQ318" s="2027">
        <f t="shared" si="157"/>
        <v>0</v>
      </c>
      <c r="AR318" s="2027" t="s">
        <v>3286</v>
      </c>
      <c r="AS318" s="2027">
        <f t="shared" si="158"/>
        <v>0</v>
      </c>
      <c r="AT318" s="2027">
        <f t="shared" si="159"/>
        <v>0</v>
      </c>
      <c r="AU318" s="2027">
        <f t="shared" si="160"/>
        <v>-46368.111241758546</v>
      </c>
      <c r="AV318" s="2027">
        <f t="shared" si="160"/>
        <v>0</v>
      </c>
      <c r="AW318" s="2027">
        <f t="shared" si="160"/>
        <v>0</v>
      </c>
      <c r="AX318" s="2046">
        <v>5.5880607181083963</v>
      </c>
      <c r="AY318" s="2046">
        <v>5.5880607181083963</v>
      </c>
      <c r="AZ318" s="2046">
        <v>4.4704485744867171</v>
      </c>
      <c r="BA318" s="2046">
        <v>4.4704485744867171</v>
      </c>
      <c r="BB318" s="2124">
        <v>0</v>
      </c>
      <c r="BC318" s="2029">
        <v>0</v>
      </c>
      <c r="BD318" s="2029">
        <v>0</v>
      </c>
      <c r="BE318" s="2029">
        <v>0</v>
      </c>
      <c r="BF318" s="2124">
        <v>10.748999999999999</v>
      </c>
      <c r="BG318" s="2029">
        <v>10.748999999999999</v>
      </c>
      <c r="BH318" s="2029">
        <v>10.748999999999999</v>
      </c>
      <c r="BI318" s="2029">
        <v>10.748999999999999</v>
      </c>
      <c r="BJ318" s="2030">
        <f t="shared" si="161"/>
        <v>0</v>
      </c>
      <c r="BK318" s="2030">
        <f t="shared" si="161"/>
        <v>100495.6839544614</v>
      </c>
      <c r="BL318" s="2030">
        <f t="shared" si="161"/>
        <v>0</v>
      </c>
      <c r="BM318" s="2030"/>
      <c r="BN318" s="2030">
        <f t="shared" si="162"/>
        <v>0</v>
      </c>
      <c r="BO318" s="2030">
        <f t="shared" si="163"/>
        <v>0</v>
      </c>
      <c r="BP318" s="2030"/>
      <c r="BQ318" s="2030">
        <f t="shared" si="164"/>
        <v>0</v>
      </c>
      <c r="BR318" s="2030">
        <f t="shared" si="164"/>
        <v>0</v>
      </c>
      <c r="BS318" s="2030">
        <f t="shared" si="164"/>
        <v>0</v>
      </c>
      <c r="BT318" s="2125"/>
      <c r="BU318" s="2125"/>
      <c r="BV318" s="2125"/>
      <c r="BW318" s="2125"/>
      <c r="BX318" s="2125"/>
      <c r="BY318" s="2125"/>
      <c r="BZ318" s="2125"/>
      <c r="CA318" s="2125"/>
      <c r="CB318" s="2029"/>
      <c r="CC318" s="2029"/>
      <c r="CD318" s="2029"/>
      <c r="CE318" s="2029"/>
      <c r="CF318" s="2029"/>
      <c r="CG318" s="2032"/>
      <c r="CH318" s="1974">
        <v>0</v>
      </c>
      <c r="CI318" s="1974">
        <v>0</v>
      </c>
      <c r="CJ318" s="1974">
        <v>0</v>
      </c>
      <c r="CK318" s="1974">
        <v>0</v>
      </c>
      <c r="CL318" s="1974">
        <v>1</v>
      </c>
      <c r="CM318" s="2033">
        <v>1.6239699943485141E-2</v>
      </c>
      <c r="CN318" s="2026">
        <v>-3.2038882682082562E-2</v>
      </c>
      <c r="CO318" s="1974">
        <v>1</v>
      </c>
      <c r="CP318" s="2031">
        <v>-0.20832982508570624</v>
      </c>
      <c r="CQ318" s="2031">
        <f t="shared" si="166"/>
        <v>0.20832982508570624</v>
      </c>
      <c r="CR318" s="2026">
        <v>1</v>
      </c>
      <c r="CS318" s="2026">
        <v>1</v>
      </c>
      <c r="CT318" s="2026">
        <v>0.47072727272727272</v>
      </c>
      <c r="CU318" s="2026">
        <v>0.47072727272727272</v>
      </c>
      <c r="CV318" s="2036"/>
      <c r="CW318" s="2036"/>
      <c r="CX318" s="2036"/>
      <c r="CY318" s="2036"/>
      <c r="CZ318" s="2036"/>
      <c r="DA318" s="2036"/>
    </row>
    <row r="319" spans="1:105" x14ac:dyDescent="0.25">
      <c r="A319" s="2264" t="s">
        <v>1025</v>
      </c>
      <c r="B319" s="2264"/>
      <c r="C319" s="1974">
        <v>15</v>
      </c>
      <c r="D319" s="1974">
        <v>1</v>
      </c>
      <c r="E319" s="1970">
        <f>F319*CU$264</f>
        <v>62.438983373278184</v>
      </c>
      <c r="F319" s="1974">
        <f>F318</f>
        <v>132.64364949904598</v>
      </c>
      <c r="G319" s="1970">
        <f>H319*CW$264</f>
        <v>0</v>
      </c>
      <c r="H319" s="1974">
        <f>H318</f>
        <v>2.6460530662842971E-2</v>
      </c>
      <c r="I319" s="1970">
        <f>J319*CY$264</f>
        <v>0</v>
      </c>
      <c r="J319" s="1974">
        <f>J318</f>
        <v>-2.6801434517075093</v>
      </c>
      <c r="K319" s="1974" t="s">
        <v>2997</v>
      </c>
      <c r="L319" s="1974" t="s">
        <v>2997</v>
      </c>
      <c r="M319" s="2026">
        <v>0.96199999999999997</v>
      </c>
      <c r="N319" s="2026">
        <v>0.96199999999999997</v>
      </c>
      <c r="O319" s="2026">
        <v>0.96199999999999997</v>
      </c>
      <c r="P319" s="2026">
        <v>0.96199999999999997</v>
      </c>
      <c r="Q319" s="2027">
        <f t="shared" si="153"/>
        <v>127.60319081808223</v>
      </c>
      <c r="R319" s="2027">
        <f t="shared" si="153"/>
        <v>127.60319081808223</v>
      </c>
      <c r="S319" s="2027">
        <f t="shared" si="153"/>
        <v>127.60319081808223</v>
      </c>
      <c r="T319" s="2027">
        <f t="shared" si="153"/>
        <v>127.60319081808223</v>
      </c>
      <c r="U319" s="2026">
        <v>0.96199999999999997</v>
      </c>
      <c r="V319" s="2026">
        <v>0.96199999999999997</v>
      </c>
      <c r="W319" s="2026">
        <v>0.96199999999999997</v>
      </c>
      <c r="X319" s="2026">
        <v>0.96199999999999997</v>
      </c>
      <c r="Y319" s="2028">
        <f t="shared" si="154"/>
        <v>2.5455030497654938E-2</v>
      </c>
      <c r="Z319" s="2028">
        <f t="shared" si="154"/>
        <v>2.5455030497654938E-2</v>
      </c>
      <c r="AA319" s="2028">
        <f t="shared" si="154"/>
        <v>2.5455030497654938E-2</v>
      </c>
      <c r="AB319" s="2028">
        <f t="shared" si="154"/>
        <v>2.5455030497654938E-2</v>
      </c>
      <c r="AC319" s="2026">
        <v>0.96199999999999997</v>
      </c>
      <c r="AD319" s="2026">
        <v>0.96199999999999997</v>
      </c>
      <c r="AE319" s="2026">
        <v>0.96199999999999997</v>
      </c>
      <c r="AF319" s="2026">
        <v>0.96199999999999997</v>
      </c>
      <c r="AG319" s="2027">
        <f t="shared" si="155"/>
        <v>-2.5782980005426239</v>
      </c>
      <c r="AH319" s="2027">
        <f t="shared" si="155"/>
        <v>-2.5782980005426239</v>
      </c>
      <c r="AI319" s="2027">
        <f t="shared" si="155"/>
        <v>-2.5782980005426239</v>
      </c>
      <c r="AJ319" s="2027">
        <f t="shared" si="155"/>
        <v>-2.5782980005426239</v>
      </c>
      <c r="AK319" s="2027">
        <v>0</v>
      </c>
      <c r="AL319" s="2146"/>
      <c r="AM319" s="2146">
        <v>10833</v>
      </c>
      <c r="AN319" s="2146"/>
      <c r="AO319" s="2027">
        <f t="shared" si="156"/>
        <v>0</v>
      </c>
      <c r="AP319" s="2027">
        <f t="shared" si="157"/>
        <v>0</v>
      </c>
      <c r="AQ319" s="2027">
        <f t="shared" si="157"/>
        <v>650698.24962117907</v>
      </c>
      <c r="AR319" s="2027" t="s">
        <v>3283</v>
      </c>
      <c r="AS319" s="2027">
        <f t="shared" si="158"/>
        <v>0</v>
      </c>
      <c r="AT319" s="2027">
        <f t="shared" si="159"/>
        <v>0</v>
      </c>
      <c r="AU319" s="2027">
        <f t="shared" si="160"/>
        <v>0</v>
      </c>
      <c r="AV319" s="2027">
        <f t="shared" si="160"/>
        <v>-13147.743290735414</v>
      </c>
      <c r="AW319" s="2027">
        <f t="shared" si="160"/>
        <v>0</v>
      </c>
      <c r="AX319" s="2046">
        <v>4.4704485744867171</v>
      </c>
      <c r="AY319" s="2046">
        <v>5.5880607181083963</v>
      </c>
      <c r="AZ319" s="2046">
        <v>4.4704485744867171</v>
      </c>
      <c r="BA319" s="2046">
        <v>4.4704485744867171</v>
      </c>
      <c r="BB319" s="2124">
        <v>0</v>
      </c>
      <c r="BC319" s="2029">
        <v>0</v>
      </c>
      <c r="BD319" s="2029">
        <v>0</v>
      </c>
      <c r="BE319" s="2029">
        <v>0</v>
      </c>
      <c r="BF319" s="2124">
        <v>10.748999999999999</v>
      </c>
      <c r="BG319" s="2029">
        <v>10.748999999999999</v>
      </c>
      <c r="BH319" s="2029">
        <v>10.748999999999999</v>
      </c>
      <c r="BI319" s="2029">
        <v>10.748999999999999</v>
      </c>
      <c r="BJ319" s="2030">
        <f t="shared" si="161"/>
        <v>0</v>
      </c>
      <c r="BK319" s="2030">
        <f t="shared" si="161"/>
        <v>0</v>
      </c>
      <c r="BL319" s="2030">
        <f t="shared" si="161"/>
        <v>48428.369407414604</v>
      </c>
      <c r="BM319" s="2030"/>
      <c r="BN319" s="2030">
        <f t="shared" si="162"/>
        <v>0</v>
      </c>
      <c r="BO319" s="2030">
        <f t="shared" si="163"/>
        <v>0</v>
      </c>
      <c r="BP319" s="2030"/>
      <c r="BQ319" s="2030">
        <f t="shared" si="164"/>
        <v>0</v>
      </c>
      <c r="BR319" s="2030">
        <f t="shared" si="164"/>
        <v>0</v>
      </c>
      <c r="BS319" s="2030">
        <f t="shared" si="164"/>
        <v>0</v>
      </c>
      <c r="BT319" s="2125"/>
      <c r="BU319" s="2125"/>
      <c r="BV319" s="2125"/>
      <c r="BW319" s="2125"/>
      <c r="BX319" s="2125"/>
      <c r="BY319" s="2125"/>
      <c r="BZ319" s="2125"/>
      <c r="CA319" s="2125"/>
      <c r="CB319" s="2029"/>
      <c r="CC319" s="2029"/>
      <c r="CD319" s="2029"/>
      <c r="CE319" s="2029"/>
      <c r="CF319" s="2029"/>
      <c r="CG319" s="2032"/>
      <c r="CH319" s="1974">
        <v>0</v>
      </c>
      <c r="CI319" s="1974">
        <v>0</v>
      </c>
      <c r="CJ319" s="1974">
        <v>0</v>
      </c>
      <c r="CK319" s="1974">
        <v>0</v>
      </c>
      <c r="CL319" s="1974">
        <v>1</v>
      </c>
      <c r="CM319" s="2033">
        <v>1.6239699943485141E-2</v>
      </c>
      <c r="CN319" s="2026">
        <v>-3.2038882682082562E-2</v>
      </c>
      <c r="CO319" s="1974">
        <v>1</v>
      </c>
      <c r="CP319" s="2031">
        <v>-0.20832982508570624</v>
      </c>
      <c r="CQ319" s="2031">
        <f t="shared" si="166"/>
        <v>0.20832982508570624</v>
      </c>
      <c r="CR319" s="2026">
        <v>1</v>
      </c>
      <c r="CS319" s="2026">
        <v>1</v>
      </c>
      <c r="CT319" s="2026">
        <v>0.47072727272727272</v>
      </c>
      <c r="CU319" s="2026">
        <v>0.47072727272727272</v>
      </c>
      <c r="CV319" s="2036"/>
      <c r="CW319" s="2036"/>
      <c r="CX319" s="2036"/>
      <c r="CY319" s="2036"/>
      <c r="CZ319" s="2036"/>
      <c r="DA319" s="2036"/>
    </row>
    <row r="320" spans="1:105" x14ac:dyDescent="0.25">
      <c r="A320" s="2264" t="s">
        <v>1053</v>
      </c>
      <c r="B320" s="2264"/>
      <c r="C320" s="1974">
        <v>15</v>
      </c>
      <c r="D320" s="1974">
        <v>0</v>
      </c>
      <c r="E320" s="1970">
        <f>F320*CU$264</f>
        <v>62.438983373278184</v>
      </c>
      <c r="F320" s="1974">
        <f>F319</f>
        <v>132.64364949904598</v>
      </c>
      <c r="G320" s="1970">
        <f>H320*CW$264</f>
        <v>0</v>
      </c>
      <c r="H320" s="1974">
        <f>H319</f>
        <v>2.6460530662842971E-2</v>
      </c>
      <c r="I320" s="1970">
        <f>J320*CY$264</f>
        <v>0</v>
      </c>
      <c r="J320" s="1974">
        <f>J319</f>
        <v>-2.6801434517075093</v>
      </c>
      <c r="K320" s="1974" t="s">
        <v>2997</v>
      </c>
      <c r="L320" s="1974" t="s">
        <v>2997</v>
      </c>
      <c r="M320" s="2026">
        <v>0.96199999999999997</v>
      </c>
      <c r="N320" s="2026">
        <v>0.96199999999999997</v>
      </c>
      <c r="O320" s="2026">
        <v>0.96199999999999997</v>
      </c>
      <c r="P320" s="2026">
        <v>0.96199999999999997</v>
      </c>
      <c r="Q320" s="2027">
        <f t="shared" si="153"/>
        <v>127.60319081808223</v>
      </c>
      <c r="R320" s="2027">
        <f t="shared" si="153"/>
        <v>127.60319081808223</v>
      </c>
      <c r="S320" s="2027">
        <f t="shared" si="153"/>
        <v>127.60319081808223</v>
      </c>
      <c r="T320" s="2027">
        <f t="shared" si="153"/>
        <v>127.60319081808223</v>
      </c>
      <c r="U320" s="2026">
        <v>0.96199999999999997</v>
      </c>
      <c r="V320" s="2026">
        <v>0.96199999999999997</v>
      </c>
      <c r="W320" s="2026">
        <v>0.96199999999999997</v>
      </c>
      <c r="X320" s="2026">
        <v>0.96199999999999997</v>
      </c>
      <c r="Y320" s="2028">
        <f t="shared" si="154"/>
        <v>2.5455030497654938E-2</v>
      </c>
      <c r="Z320" s="2028">
        <f t="shared" si="154"/>
        <v>2.5455030497654938E-2</v>
      </c>
      <c r="AA320" s="2028">
        <f t="shared" si="154"/>
        <v>2.5455030497654938E-2</v>
      </c>
      <c r="AB320" s="2028">
        <f t="shared" si="154"/>
        <v>2.5455030497654938E-2</v>
      </c>
      <c r="AC320" s="2026">
        <v>0.96199999999999997</v>
      </c>
      <c r="AD320" s="2026">
        <v>0.96199999999999997</v>
      </c>
      <c r="AE320" s="2026">
        <v>0.96199999999999997</v>
      </c>
      <c r="AF320" s="2026">
        <v>0.96199999999999997</v>
      </c>
      <c r="AG320" s="2027">
        <f t="shared" si="155"/>
        <v>-2.5782980005426239</v>
      </c>
      <c r="AH320" s="2027">
        <f t="shared" si="155"/>
        <v>-2.5782980005426239</v>
      </c>
      <c r="AI320" s="2027">
        <f t="shared" si="155"/>
        <v>-2.5782980005426239</v>
      </c>
      <c r="AJ320" s="2027">
        <f t="shared" si="155"/>
        <v>-2.5782980005426239</v>
      </c>
      <c r="AK320" s="2027">
        <v>0</v>
      </c>
      <c r="AL320" s="2146"/>
      <c r="AM320" s="2146"/>
      <c r="AN320" s="2146">
        <v>10809</v>
      </c>
      <c r="AO320" s="2027">
        <f t="shared" si="156"/>
        <v>0</v>
      </c>
      <c r="AP320" s="2027">
        <f t="shared" si="157"/>
        <v>0</v>
      </c>
      <c r="AQ320" s="2027">
        <f t="shared" si="157"/>
        <v>0</v>
      </c>
      <c r="AR320" s="2027" t="s">
        <v>3286</v>
      </c>
      <c r="AS320" s="2027">
        <f t="shared" si="158"/>
        <v>649256.65837305679</v>
      </c>
      <c r="AT320" s="2027">
        <f t="shared" si="159"/>
        <v>0</v>
      </c>
      <c r="AU320" s="2027">
        <f t="shared" si="160"/>
        <v>0</v>
      </c>
      <c r="AV320" s="2027">
        <f t="shared" si="160"/>
        <v>0</v>
      </c>
      <c r="AW320" s="2027">
        <f t="shared" si="160"/>
        <v>-13118.615086269647</v>
      </c>
      <c r="AX320" s="2046">
        <v>4.4704485744867171</v>
      </c>
      <c r="AY320" s="2046">
        <v>5.5880607181083963</v>
      </c>
      <c r="AZ320" s="2046">
        <v>4.4704485744867171</v>
      </c>
      <c r="BA320" s="2046">
        <v>4.4704485744867171</v>
      </c>
      <c r="BB320" s="2124">
        <v>0</v>
      </c>
      <c r="BC320" s="2029">
        <v>0</v>
      </c>
      <c r="BD320" s="2029">
        <v>0</v>
      </c>
      <c r="BE320" s="2029">
        <v>0</v>
      </c>
      <c r="BF320" s="2124">
        <v>10.748999999999999</v>
      </c>
      <c r="BG320" s="2029">
        <v>10.748999999999999</v>
      </c>
      <c r="BH320" s="2029">
        <v>10.748999999999999</v>
      </c>
      <c r="BI320" s="2029">
        <v>10.748999999999999</v>
      </c>
      <c r="BJ320" s="2030">
        <f t="shared" si="161"/>
        <v>0</v>
      </c>
      <c r="BK320" s="2030">
        <f t="shared" si="161"/>
        <v>0</v>
      </c>
      <c r="BL320" s="2030">
        <f t="shared" si="161"/>
        <v>0</v>
      </c>
      <c r="BM320" s="2030"/>
      <c r="BN320" s="2030">
        <f t="shared" si="162"/>
        <v>48321.078641626926</v>
      </c>
      <c r="BO320" s="2030">
        <f t="shared" si="163"/>
        <v>0</v>
      </c>
      <c r="BP320" s="2030"/>
      <c r="BQ320" s="2030">
        <f t="shared" si="164"/>
        <v>0</v>
      </c>
      <c r="BR320" s="2030">
        <f t="shared" si="164"/>
        <v>0</v>
      </c>
      <c r="BS320" s="2030">
        <f t="shared" si="164"/>
        <v>0</v>
      </c>
      <c r="BT320" s="2125"/>
      <c r="BU320" s="2125"/>
      <c r="BV320" s="2125"/>
      <c r="BW320" s="2125"/>
      <c r="BX320" s="2125"/>
      <c r="BY320" s="2125"/>
      <c r="BZ320" s="2125"/>
      <c r="CA320" s="2125"/>
      <c r="CB320" s="2029"/>
      <c r="CC320" s="2029"/>
      <c r="CD320" s="2029"/>
      <c r="CE320" s="2029"/>
      <c r="CF320" s="2029"/>
      <c r="CG320" s="2032"/>
      <c r="CH320" s="1974">
        <v>0</v>
      </c>
      <c r="CI320" s="1974">
        <v>0</v>
      </c>
      <c r="CJ320" s="1974">
        <v>0</v>
      </c>
      <c r="CK320" s="1974">
        <v>0</v>
      </c>
      <c r="CL320" s="1974">
        <v>1</v>
      </c>
      <c r="CM320" s="2033">
        <v>1.6239699943485141E-2</v>
      </c>
      <c r="CN320" s="2026">
        <v>-3.2038882682082562E-2</v>
      </c>
      <c r="CO320" s="1974">
        <v>1</v>
      </c>
      <c r="CP320" s="2031">
        <v>-0.20832982508570624</v>
      </c>
      <c r="CQ320" s="2031">
        <f t="shared" si="166"/>
        <v>0.20832982508570624</v>
      </c>
      <c r="CR320" s="2026">
        <v>1</v>
      </c>
      <c r="CS320" s="2026">
        <v>1</v>
      </c>
      <c r="CT320" s="2026">
        <v>0.47072727272727272</v>
      </c>
      <c r="CU320" s="2026">
        <v>0.47072727272727272</v>
      </c>
      <c r="CV320" s="2036"/>
      <c r="CW320" s="2036"/>
      <c r="CX320" s="2036"/>
      <c r="CY320" s="2036"/>
      <c r="CZ320" s="2036"/>
      <c r="DA320" s="2036"/>
    </row>
    <row r="321" spans="1:106" x14ac:dyDescent="0.25">
      <c r="A321" s="2264"/>
      <c r="B321" s="2264"/>
      <c r="C321" s="2264"/>
      <c r="D321" s="2264"/>
      <c r="E321" s="2266"/>
      <c r="F321" s="2266"/>
      <c r="G321" s="2266"/>
      <c r="H321" s="2266"/>
      <c r="I321" s="2264"/>
      <c r="J321" s="2264"/>
      <c r="K321" s="2267"/>
      <c r="L321" s="2267"/>
      <c r="M321" s="2268"/>
      <c r="N321" s="2268"/>
      <c r="O321" s="2268"/>
      <c r="P321" s="2268"/>
      <c r="Q321" s="2264"/>
      <c r="R321" s="2264"/>
      <c r="S321" s="2264"/>
      <c r="T321" s="2264"/>
      <c r="U321" s="2268"/>
      <c r="V321" s="2268"/>
      <c r="W321" s="2268"/>
      <c r="X321" s="2268"/>
      <c r="Y321" s="2269"/>
      <c r="Z321" s="2269"/>
      <c r="AA321" s="2269"/>
      <c r="AB321" s="2269"/>
      <c r="AC321" s="2268"/>
      <c r="AD321" s="2268"/>
      <c r="AE321" s="2268"/>
      <c r="AF321" s="2268"/>
      <c r="AG321" s="2264"/>
      <c r="AH321" s="2264"/>
      <c r="AI321" s="2264"/>
      <c r="AJ321" s="2264"/>
      <c r="AK321" s="2264"/>
      <c r="AL321" s="2269"/>
      <c r="AM321" s="2269"/>
      <c r="AN321" s="2264"/>
      <c r="AO321" s="2264"/>
      <c r="AP321" s="2264"/>
      <c r="AQ321" s="2264"/>
      <c r="AR321" s="2264"/>
      <c r="AS321" s="2264"/>
      <c r="AT321" s="2264"/>
      <c r="AU321" s="2264"/>
      <c r="AV321" s="2264"/>
      <c r="AW321" s="2264"/>
      <c r="AX321" s="2270"/>
      <c r="AY321" s="2271"/>
      <c r="AZ321" s="2271"/>
      <c r="BA321" s="2271"/>
      <c r="BB321" s="2270"/>
      <c r="BC321" s="2271"/>
      <c r="BD321" s="2271"/>
      <c r="BE321" s="2271"/>
      <c r="BF321" s="2270"/>
      <c r="BG321" s="2271"/>
      <c r="BH321" s="2271"/>
      <c r="BI321" s="2271"/>
      <c r="BJ321" s="2272"/>
      <c r="BK321" s="2272"/>
      <c r="BL321" s="2272"/>
      <c r="BM321" s="2272"/>
      <c r="BN321" s="2272"/>
      <c r="BO321" s="2272"/>
      <c r="BP321" s="2272"/>
      <c r="BQ321" s="2272"/>
      <c r="BR321" s="2272"/>
      <c r="BS321" s="2272"/>
      <c r="BT321" s="2273"/>
      <c r="BU321" s="2273"/>
      <c r="BV321" s="2273"/>
      <c r="BW321" s="2273"/>
      <c r="BX321" s="2273"/>
      <c r="BY321" s="2273"/>
      <c r="BZ321" s="2273"/>
      <c r="CA321" s="2273"/>
      <c r="CB321" s="2271"/>
      <c r="CC321" s="2271"/>
      <c r="CD321" s="2271"/>
      <c r="CE321" s="2271"/>
      <c r="CF321" s="2271"/>
      <c r="CG321" s="2271"/>
      <c r="CH321" s="2267"/>
      <c r="CI321" s="2267"/>
      <c r="CJ321" s="2267"/>
      <c r="CK321" s="2267"/>
      <c r="CL321" s="2267"/>
      <c r="CM321" s="2274"/>
      <c r="CN321" s="2268"/>
      <c r="CO321" s="2267"/>
      <c r="CP321" s="2275"/>
      <c r="CQ321" s="2275"/>
      <c r="CR321" s="2268"/>
      <c r="CS321" s="2268"/>
      <c r="CT321" s="2268"/>
      <c r="CU321" s="2268"/>
      <c r="CV321" s="2276"/>
      <c r="CW321" s="2276"/>
      <c r="CX321" s="2276"/>
      <c r="CY321" s="2276"/>
      <c r="CZ321" s="2276"/>
      <c r="DA321" s="2276"/>
    </row>
    <row r="323" spans="1:106" s="2018" customFormat="1" x14ac:dyDescent="0.25">
      <c r="A323" s="2260" t="s">
        <v>3000</v>
      </c>
      <c r="B323" s="2019"/>
      <c r="C323" s="2019"/>
      <c r="D323" s="2019"/>
      <c r="E323" s="2019"/>
      <c r="F323" s="2019"/>
      <c r="G323" s="2019"/>
      <c r="H323" s="2019"/>
      <c r="I323" s="2019"/>
      <c r="J323" s="2020"/>
      <c r="K323" s="2019"/>
      <c r="L323" s="2019"/>
      <c r="M323" s="2019"/>
      <c r="N323" s="2019"/>
      <c r="O323" s="2019"/>
      <c r="P323" s="2019"/>
      <c r="Q323" s="2019"/>
      <c r="R323" s="2019"/>
      <c r="S323" s="2019"/>
      <c r="T323" s="2019"/>
      <c r="U323" s="2019"/>
      <c r="V323" s="2019"/>
      <c r="W323" s="2019"/>
      <c r="X323" s="2020"/>
      <c r="Y323" s="2020"/>
      <c r="Z323" s="2020"/>
      <c r="AA323" s="2020"/>
      <c r="AB323" s="2020"/>
      <c r="AC323" s="2020"/>
      <c r="AD323" s="2020"/>
      <c r="AE323" s="2020"/>
      <c r="AF323" s="2020"/>
      <c r="AG323" s="2020"/>
      <c r="AH323" s="2020"/>
      <c r="AI323" s="2020"/>
      <c r="AJ323" s="2020"/>
      <c r="AK323" s="2020"/>
      <c r="AL323" s="2020"/>
      <c r="AM323" s="2020"/>
      <c r="AN323" s="2020"/>
      <c r="AO323" s="2072">
        <f>SUMIF(AO324:AO448,"&gt;0",AO324:AO448)</f>
        <v>15161233.230025053</v>
      </c>
      <c r="AP323" s="2072">
        <f>SUMIF(AP324:AP448,"&gt;0",AP324:AP448)</f>
        <v>15229537.491176259</v>
      </c>
      <c r="AQ323" s="2072">
        <f t="shared" ref="AQ323:AS323" si="168">SUMIF(AQ324:AQ448,"&gt;0",AQ324:AQ448)</f>
        <v>13791887.624784376</v>
      </c>
      <c r="AR323" s="2072"/>
      <c r="AS323" s="2072">
        <f t="shared" si="168"/>
        <v>13707353.577709025</v>
      </c>
      <c r="AT323" s="2072">
        <f>SUMIF(AT324:AT442,"&gt;0")</f>
        <v>294747.26028561115</v>
      </c>
      <c r="AU323" s="2072">
        <f>SUMIF(AU324:AU442,"&gt;0")</f>
        <v>286441.19783947151</v>
      </c>
      <c r="AV323" s="2072">
        <f>SUMIF(AV324:AV442,"&gt;0")</f>
        <v>285086.10290944466</v>
      </c>
      <c r="AW323" s="2072">
        <f>SUMIF(AW324:AW442,"&gt;0")</f>
        <v>288697.95071319945</v>
      </c>
      <c r="BJ323" s="2019">
        <f>SUM(BJ324:BJ448)</f>
        <v>2900222.1197232287</v>
      </c>
      <c r="BK323" s="2019">
        <f>SUM(BK324:BK448)</f>
        <v>2821831.7963166423</v>
      </c>
      <c r="BL323" s="2019">
        <f>SUM(BL324:BL448)</f>
        <v>2806436.352565574</v>
      </c>
      <c r="BM323" s="2019"/>
      <c r="BN323" s="2019">
        <f>SUM(BN324:BN448)</f>
        <v>2804312.8594040805</v>
      </c>
      <c r="BO323" s="2019">
        <f t="shared" ref="BO323:BS323" si="169">SUM(BO324:BO448)</f>
        <v>490402.9476923077</v>
      </c>
      <c r="BP323" s="2019"/>
      <c r="BQ323" s="2019">
        <f t="shared" si="169"/>
        <v>481928.4938461539</v>
      </c>
      <c r="BR323" s="2019">
        <f t="shared" si="169"/>
        <v>481159.82769230771</v>
      </c>
      <c r="BS323" s="2019">
        <f t="shared" si="169"/>
        <v>478298.42769230768</v>
      </c>
      <c r="BT323" s="2247">
        <v>1948554.6997492241</v>
      </c>
      <c r="BU323" s="2247">
        <v>1885032.8207097081</v>
      </c>
      <c r="BV323" s="2247">
        <v>1894263.9572120584</v>
      </c>
      <c r="BW323" s="2247">
        <v>1906754.5809966119</v>
      </c>
      <c r="BX323" s="2248">
        <v>291163.34593953914</v>
      </c>
      <c r="BY323" s="2248">
        <v>281671.57091064611</v>
      </c>
      <c r="BZ323" s="2248">
        <v>283050.93613513513</v>
      </c>
      <c r="CA323" s="2248">
        <v>284917.35118340165</v>
      </c>
      <c r="CB323" s="2019"/>
      <c r="CC323" s="2019"/>
      <c r="CD323" s="2019"/>
      <c r="CE323" s="2019"/>
      <c r="CF323" s="2019"/>
      <c r="CG323" s="2019"/>
      <c r="CH323" s="2076"/>
      <c r="CI323" s="2076"/>
      <c r="CJ323" s="2076"/>
      <c r="CK323" s="2076"/>
      <c r="CL323" s="2076"/>
      <c r="CM323" s="2076"/>
      <c r="CN323" s="2076"/>
      <c r="CO323" s="2076"/>
      <c r="CV323" s="2020"/>
      <c r="CW323" s="2020"/>
      <c r="CX323" s="2020"/>
      <c r="CY323" s="2020"/>
      <c r="CZ323" s="2020"/>
      <c r="DA323" s="2020"/>
    </row>
    <row r="324" spans="1:106" x14ac:dyDescent="0.25">
      <c r="A324" s="2277" t="str">
        <f t="shared" ref="A324:B337" si="170">IF(A6="","",A6)</f>
        <v>Highbay Fixture Replacement Option</v>
      </c>
      <c r="B324" s="1974" t="str">
        <f t="shared" si="170"/>
        <v>BPL91</v>
      </c>
      <c r="C324" s="2027">
        <v>15</v>
      </c>
      <c r="D324" s="2027"/>
      <c r="E324" s="2144">
        <v>710.20525505865373</v>
      </c>
      <c r="F324" s="2144"/>
      <c r="G324" s="2145">
        <v>0.14089978063595535</v>
      </c>
      <c r="H324" s="2145"/>
      <c r="I324" s="2027">
        <v>-17.789148632614037</v>
      </c>
      <c r="J324" s="2027"/>
      <c r="K324" s="1974" t="s">
        <v>2988</v>
      </c>
      <c r="L324" s="1974" t="s">
        <v>2988</v>
      </c>
      <c r="M324" s="2026">
        <v>0.9</v>
      </c>
      <c r="N324" s="2026">
        <v>0.9</v>
      </c>
      <c r="O324" s="2026">
        <v>0.9</v>
      </c>
      <c r="P324" s="2026">
        <v>0.9</v>
      </c>
      <c r="Q324" s="2027">
        <f>$E324*M324</f>
        <v>639.18472955278833</v>
      </c>
      <c r="R324" s="2027">
        <f>$E324*N324</f>
        <v>639.18472955278833</v>
      </c>
      <c r="S324" s="2027">
        <f>$E324*O324</f>
        <v>639.18472955278833</v>
      </c>
      <c r="T324" s="2027">
        <f>$E324*P324</f>
        <v>639.18472955278833</v>
      </c>
      <c r="U324" s="2026">
        <v>0.9</v>
      </c>
      <c r="V324" s="2026">
        <v>0.9</v>
      </c>
      <c r="W324" s="2026">
        <v>0.9</v>
      </c>
      <c r="X324" s="2026">
        <v>0.9</v>
      </c>
      <c r="Y324" s="2028">
        <f>$G324*U324</f>
        <v>0.12680980257235983</v>
      </c>
      <c r="Z324" s="2028">
        <f>$G324*V324</f>
        <v>0.12680980257235983</v>
      </c>
      <c r="AA324" s="2028">
        <f>$G324*W324</f>
        <v>0.12680980257235983</v>
      </c>
      <c r="AB324" s="2028">
        <f>$G324*X324</f>
        <v>0.12680980257235983</v>
      </c>
      <c r="AC324" s="2026">
        <v>0.9</v>
      </c>
      <c r="AD324" s="2026">
        <v>0.9</v>
      </c>
      <c r="AE324" s="2026">
        <v>0.9</v>
      </c>
      <c r="AF324" s="2026">
        <v>0.9</v>
      </c>
      <c r="AG324" s="2027">
        <f>$I324*AC324</f>
        <v>-16.010233769352634</v>
      </c>
      <c r="AH324" s="2027">
        <f>$I324*AD324</f>
        <v>-16.010233769352634</v>
      </c>
      <c r="AI324" s="2027">
        <f>$I324*AE324</f>
        <v>-16.010233769352634</v>
      </c>
      <c r="AJ324" s="2027">
        <f>$I324*AF324</f>
        <v>-16.010233769352634</v>
      </c>
      <c r="AK324" s="2027">
        <v>215</v>
      </c>
      <c r="AL324" s="2027">
        <v>215</v>
      </c>
      <c r="AM324" s="2027">
        <v>155</v>
      </c>
      <c r="AN324" s="2027">
        <v>0</v>
      </c>
      <c r="AO324" s="2027">
        <f t="shared" ref="AO324:AO387" si="171">AK324*Q324</f>
        <v>137424.7168538495</v>
      </c>
      <c r="AP324" s="2027">
        <f t="shared" ref="AP324:AQ355" si="172">AL324*R324*CS324</f>
        <v>137424.7168538495</v>
      </c>
      <c r="AQ324" s="2027">
        <f t="shared" si="172"/>
        <v>99073.633080682193</v>
      </c>
      <c r="AR324" s="2027" t="s">
        <v>3286</v>
      </c>
      <c r="AS324" s="2027">
        <f t="shared" ref="AS324:AS387" si="173">AN324*T324*CU324</f>
        <v>0</v>
      </c>
      <c r="AT324" s="2027">
        <f t="shared" ref="AT324:AT387" si="174">AK324*AG324</f>
        <v>-3442.2002604108166</v>
      </c>
      <c r="AU324" s="2027">
        <f t="shared" ref="AU324:AW355" si="175">AL324*AH324*CS324</f>
        <v>-3442.2002604108166</v>
      </c>
      <c r="AV324" s="2027">
        <f t="shared" si="175"/>
        <v>-2481.5862342496584</v>
      </c>
      <c r="AW324" s="2027">
        <f t="shared" si="175"/>
        <v>0</v>
      </c>
      <c r="AX324" s="2124">
        <v>67.777499999999989</v>
      </c>
      <c r="AY324" s="2029">
        <v>67.777499999999989</v>
      </c>
      <c r="AZ324" s="2029">
        <v>67.777499999999989</v>
      </c>
      <c r="BA324" s="2029">
        <v>67.777499999999989</v>
      </c>
      <c r="BB324" s="2124">
        <v>0</v>
      </c>
      <c r="BC324" s="2029">
        <v>0</v>
      </c>
      <c r="BD324" s="2029">
        <v>0</v>
      </c>
      <c r="BE324" s="2029">
        <v>0</v>
      </c>
      <c r="BF324" s="2124">
        <v>206.25</v>
      </c>
      <c r="BG324" s="2029">
        <v>206.25</v>
      </c>
      <c r="BH324" s="2029">
        <v>206.25</v>
      </c>
      <c r="BI324" s="2029">
        <v>206.25</v>
      </c>
      <c r="BJ324" s="2030">
        <f t="shared" ref="BJ324:BL355" si="176">AX324*AK324</f>
        <v>14572.162499999999</v>
      </c>
      <c r="BK324" s="2030">
        <f t="shared" si="176"/>
        <v>14572.162499999999</v>
      </c>
      <c r="BL324" s="2030">
        <f t="shared" si="176"/>
        <v>10505.512499999999</v>
      </c>
      <c r="BM324" s="2030" t="s">
        <v>3286</v>
      </c>
      <c r="BN324" s="2030">
        <f t="shared" ref="BN324:BN387" si="177">BA324*AN324</f>
        <v>0</v>
      </c>
      <c r="BO324" s="2030">
        <f t="shared" ref="BO324:BO387" si="178">BB324*AK324</f>
        <v>0</v>
      </c>
      <c r="BP324" s="2030" t="s">
        <v>3286</v>
      </c>
      <c r="BQ324" s="2030">
        <f t="shared" ref="BQ324:BS355" si="179">BC324*AL324</f>
        <v>0</v>
      </c>
      <c r="BR324" s="2030">
        <f t="shared" si="179"/>
        <v>0</v>
      </c>
      <c r="BS324" s="2030">
        <f t="shared" si="179"/>
        <v>0</v>
      </c>
      <c r="BT324" s="2125"/>
      <c r="BU324" s="2125"/>
      <c r="BV324" s="2125"/>
      <c r="BW324" s="2125"/>
      <c r="BX324" s="2125"/>
      <c r="BY324" s="2125"/>
      <c r="BZ324" s="2125"/>
      <c r="CA324" s="2125"/>
      <c r="CB324" s="2029"/>
      <c r="CC324" s="2029"/>
      <c r="CD324" s="2029"/>
      <c r="CE324" s="2029"/>
      <c r="CF324" s="2029"/>
      <c r="CG324" s="2032"/>
      <c r="CH324" s="1974">
        <v>0</v>
      </c>
      <c r="CI324" s="1974">
        <v>0</v>
      </c>
      <c r="CJ324" s="1974">
        <v>0</v>
      </c>
      <c r="CK324" s="1974">
        <v>0</v>
      </c>
      <c r="CL324" s="1974">
        <v>0</v>
      </c>
      <c r="CM324" s="2033">
        <v>5.1682787902060043E-4</v>
      </c>
      <c r="CN324" s="2026">
        <v>-1.24494675645639E-3</v>
      </c>
      <c r="CO324" s="1974">
        <v>1</v>
      </c>
      <c r="CP324" s="2031">
        <v>-21.886333333333333</v>
      </c>
      <c r="CQ324" s="2031">
        <f>CP324*(-1)</f>
        <v>21.886333333333333</v>
      </c>
      <c r="CR324" s="2026">
        <v>1</v>
      </c>
      <c r="CS324" s="2026">
        <v>1</v>
      </c>
      <c r="CT324" s="2026">
        <v>1</v>
      </c>
      <c r="CU324" s="2026">
        <v>1</v>
      </c>
      <c r="CV324" s="2036"/>
      <c r="CW324" s="2036"/>
      <c r="CX324" s="2036"/>
      <c r="CY324" s="2036"/>
      <c r="CZ324" s="2036"/>
      <c r="DA324" s="2036"/>
      <c r="DB324" s="1973">
        <v>1</v>
      </c>
    </row>
    <row r="325" spans="1:106" x14ac:dyDescent="0.25">
      <c r="A325" s="2277" t="str">
        <f t="shared" si="170"/>
        <v>T8 U-tube Lamps and Ballasts Replacing  T12 U-bend Lamps and Ballasts</v>
      </c>
      <c r="B325" s="1974" t="str">
        <f t="shared" si="170"/>
        <v xml:space="preserve">BPL40  </v>
      </c>
      <c r="C325" s="2027">
        <v>15</v>
      </c>
      <c r="D325" s="2027">
        <v>1</v>
      </c>
      <c r="E325" s="1973">
        <f>F325*$CS325</f>
        <v>86.114923649963785</v>
      </c>
      <c r="F325" s="2144">
        <v>86.114923649963785</v>
      </c>
      <c r="G325" s="1973">
        <f>H325*$CS325</f>
        <v>1.5650509753839279E-2</v>
      </c>
      <c r="H325" s="2145">
        <v>1.5650509753839279E-2</v>
      </c>
      <c r="I325" s="1973">
        <f>J325*$CS325</f>
        <v>-1.2241137551056831</v>
      </c>
      <c r="J325" s="2027">
        <v>-1.2241137551056831</v>
      </c>
      <c r="K325" s="1974" t="s">
        <v>2988</v>
      </c>
      <c r="L325" s="1974" t="s">
        <v>2988</v>
      </c>
      <c r="M325" s="2026">
        <v>0.9</v>
      </c>
      <c r="N325" s="2026">
        <v>0.9</v>
      </c>
      <c r="O325" s="2026">
        <v>0.9</v>
      </c>
      <c r="P325" s="2026">
        <v>0.9</v>
      </c>
      <c r="Q325" s="2027">
        <f t="shared" ref="Q325:T328" si="180">$F325*M325</f>
        <v>77.503431284967405</v>
      </c>
      <c r="R325" s="2027">
        <f t="shared" si="180"/>
        <v>77.503431284967405</v>
      </c>
      <c r="S325" s="2027">
        <f t="shared" si="180"/>
        <v>77.503431284967405</v>
      </c>
      <c r="T325" s="2027">
        <f t="shared" si="180"/>
        <v>77.503431284967405</v>
      </c>
      <c r="U325" s="2026">
        <v>0.9</v>
      </c>
      <c r="V325" s="2026">
        <v>0.9</v>
      </c>
      <c r="W325" s="2026">
        <v>0.9</v>
      </c>
      <c r="X325" s="2026">
        <v>0.9</v>
      </c>
      <c r="Y325" s="2028">
        <f t="shared" ref="Y325:AB328" si="181">$H325*U325</f>
        <v>1.4085458778455351E-2</v>
      </c>
      <c r="Z325" s="2028">
        <f t="shared" si="181"/>
        <v>1.4085458778455351E-2</v>
      </c>
      <c r="AA325" s="2028">
        <f t="shared" si="181"/>
        <v>1.4085458778455351E-2</v>
      </c>
      <c r="AB325" s="2028">
        <f t="shared" si="181"/>
        <v>1.4085458778455351E-2</v>
      </c>
      <c r="AC325" s="2026">
        <v>0.9</v>
      </c>
      <c r="AD325" s="2026">
        <v>0.9</v>
      </c>
      <c r="AE325" s="2026">
        <v>0.9</v>
      </c>
      <c r="AF325" s="2026">
        <v>0.9</v>
      </c>
      <c r="AG325" s="2027">
        <f t="shared" ref="AG325:AJ328" si="182">$J325*AC325</f>
        <v>-1.1017023795951149</v>
      </c>
      <c r="AH325" s="2027">
        <f t="shared" si="182"/>
        <v>-1.1017023795951149</v>
      </c>
      <c r="AI325" s="2027">
        <f t="shared" si="182"/>
        <v>-1.1017023795951149</v>
      </c>
      <c r="AJ325" s="2027">
        <f t="shared" si="182"/>
        <v>-1.1017023795951149</v>
      </c>
      <c r="AK325" s="2027">
        <v>6</v>
      </c>
      <c r="AL325" s="2027">
        <v>0</v>
      </c>
      <c r="AM325" s="2027">
        <v>0</v>
      </c>
      <c r="AN325" s="2027">
        <v>0</v>
      </c>
      <c r="AO325" s="2027">
        <f t="shared" si="171"/>
        <v>465.02058770980443</v>
      </c>
      <c r="AP325" s="2027">
        <f t="shared" si="172"/>
        <v>0</v>
      </c>
      <c r="AQ325" s="2027">
        <f t="shared" si="172"/>
        <v>0</v>
      </c>
      <c r="AR325" s="2027" t="s">
        <v>3286</v>
      </c>
      <c r="AS325" s="2027">
        <f t="shared" si="173"/>
        <v>0</v>
      </c>
      <c r="AT325" s="2027">
        <f t="shared" si="174"/>
        <v>-6.6102142775706891</v>
      </c>
      <c r="AU325" s="2027">
        <f t="shared" si="175"/>
        <v>0</v>
      </c>
      <c r="AV325" s="2027">
        <f t="shared" si="175"/>
        <v>0</v>
      </c>
      <c r="AW325" s="2027">
        <f t="shared" si="175"/>
        <v>0</v>
      </c>
      <c r="AX325" s="2124">
        <v>9.3239999999999981</v>
      </c>
      <c r="AY325" s="2029">
        <v>9.3239999999999981</v>
      </c>
      <c r="AZ325" s="2029">
        <v>9.3239999999999981</v>
      </c>
      <c r="BA325" s="2029">
        <v>9.3239999999999981</v>
      </c>
      <c r="BB325" s="2124">
        <v>0</v>
      </c>
      <c r="BC325" s="2029">
        <v>0</v>
      </c>
      <c r="BD325" s="2029">
        <v>0</v>
      </c>
      <c r="BE325" s="2029">
        <v>0</v>
      </c>
      <c r="BF325" s="2124">
        <v>57.5</v>
      </c>
      <c r="BG325" s="2029">
        <v>57.5</v>
      </c>
      <c r="BH325" s="2029">
        <v>57.5</v>
      </c>
      <c r="BI325" s="2029">
        <v>57.5</v>
      </c>
      <c r="BJ325" s="2030">
        <f t="shared" si="176"/>
        <v>55.943999999999988</v>
      </c>
      <c r="BK325" s="2030">
        <f t="shared" si="176"/>
        <v>0</v>
      </c>
      <c r="BL325" s="2030">
        <f t="shared" si="176"/>
        <v>0</v>
      </c>
      <c r="BM325" s="2030" t="s">
        <v>3286</v>
      </c>
      <c r="BN325" s="2030">
        <f t="shared" si="177"/>
        <v>0</v>
      </c>
      <c r="BO325" s="2030">
        <f t="shared" si="178"/>
        <v>0</v>
      </c>
      <c r="BP325" s="2030" t="s">
        <v>3286</v>
      </c>
      <c r="BQ325" s="2030">
        <f t="shared" si="179"/>
        <v>0</v>
      </c>
      <c r="BR325" s="2030">
        <f t="shared" si="179"/>
        <v>0</v>
      </c>
      <c r="BS325" s="2030">
        <f t="shared" si="179"/>
        <v>0</v>
      </c>
      <c r="BT325" s="2125"/>
      <c r="BU325" s="2125"/>
      <c r="BV325" s="2125"/>
      <c r="BW325" s="2125"/>
      <c r="BX325" s="2125"/>
      <c r="BY325" s="2125"/>
      <c r="BZ325" s="2125"/>
      <c r="CA325" s="2125"/>
      <c r="CB325" s="2029"/>
      <c r="CC325" s="2029"/>
      <c r="CD325" s="2029"/>
      <c r="CE325" s="2029"/>
      <c r="CF325" s="2029"/>
      <c r="CG325" s="2032"/>
      <c r="CH325" s="1974">
        <v>0</v>
      </c>
      <c r="CI325" s="1974">
        <v>0</v>
      </c>
      <c r="CJ325" s="1974">
        <v>0</v>
      </c>
      <c r="CK325" s="1974">
        <v>0</v>
      </c>
      <c r="CL325" s="1974">
        <v>1</v>
      </c>
      <c r="CM325" s="2033">
        <v>1.4797149508620081E-6</v>
      </c>
      <c r="CN325" s="2026">
        <v>-2.0228094889170441E-6</v>
      </c>
      <c r="CO325" s="1974">
        <v>1</v>
      </c>
      <c r="CP325" s="2031">
        <v>-0.67827777777777754</v>
      </c>
      <c r="CQ325" s="2031">
        <f t="shared" ref="CQ325:CQ388" si="183">CP325*(-1)</f>
        <v>0.67827777777777754</v>
      </c>
      <c r="CR325" s="2026">
        <v>1</v>
      </c>
      <c r="CS325" s="2026">
        <v>1</v>
      </c>
      <c r="CT325" s="2026">
        <v>0.3</v>
      </c>
      <c r="CU325" s="2026">
        <v>0.3</v>
      </c>
      <c r="CV325" s="2036"/>
      <c r="CW325" s="2036"/>
      <c r="CX325" s="2036"/>
      <c r="CY325" s="2036"/>
      <c r="CZ325" s="2036"/>
      <c r="DA325" s="2036"/>
      <c r="DB325" s="1973">
        <v>1</v>
      </c>
    </row>
    <row r="326" spans="1:106" x14ac:dyDescent="0.25">
      <c r="A326" s="2277" t="str">
        <f t="shared" si="170"/>
        <v>New, high performance T8 (32W) lamps and ballasts replacing existing T12 lamps and ballasts</v>
      </c>
      <c r="B326" s="1974" t="str">
        <f t="shared" si="170"/>
        <v xml:space="preserve">BPL60  </v>
      </c>
      <c r="C326" s="2027">
        <v>15</v>
      </c>
      <c r="D326" s="2027">
        <v>1</v>
      </c>
      <c r="E326" s="1973">
        <f>F326*$CS326</f>
        <v>155.87587624130421</v>
      </c>
      <c r="F326" s="2144">
        <v>155.87587624130421</v>
      </c>
      <c r="G326" s="1973">
        <f>H326*$CS326</f>
        <v>3.1842910385456197E-2</v>
      </c>
      <c r="H326" s="2145">
        <v>3.1842910385456197E-2</v>
      </c>
      <c r="I326" s="1973">
        <f>J326*$CS326</f>
        <v>-3.3979249924155255</v>
      </c>
      <c r="J326" s="2027">
        <v>-3.3979249924155255</v>
      </c>
      <c r="K326" s="1974" t="s">
        <v>2988</v>
      </c>
      <c r="L326" s="1974" t="s">
        <v>2988</v>
      </c>
      <c r="M326" s="2026">
        <v>0.9</v>
      </c>
      <c r="N326" s="2026">
        <v>0.9</v>
      </c>
      <c r="O326" s="2026">
        <v>0.9</v>
      </c>
      <c r="P326" s="2026">
        <v>0.9</v>
      </c>
      <c r="Q326" s="2027">
        <f t="shared" si="180"/>
        <v>140.28828861717381</v>
      </c>
      <c r="R326" s="2027">
        <f t="shared" si="180"/>
        <v>140.28828861717381</v>
      </c>
      <c r="S326" s="2027">
        <f t="shared" si="180"/>
        <v>140.28828861717381</v>
      </c>
      <c r="T326" s="2027">
        <f t="shared" si="180"/>
        <v>140.28828861717381</v>
      </c>
      <c r="U326" s="2026">
        <v>0.9</v>
      </c>
      <c r="V326" s="2026">
        <v>0.9</v>
      </c>
      <c r="W326" s="2026">
        <v>0.9</v>
      </c>
      <c r="X326" s="2026">
        <v>0.9</v>
      </c>
      <c r="Y326" s="2028">
        <f t="shared" si="181"/>
        <v>2.8658619346910576E-2</v>
      </c>
      <c r="Z326" s="2028">
        <f t="shared" si="181"/>
        <v>2.8658619346910576E-2</v>
      </c>
      <c r="AA326" s="2028">
        <f t="shared" si="181"/>
        <v>2.8658619346910576E-2</v>
      </c>
      <c r="AB326" s="2028">
        <f t="shared" si="181"/>
        <v>2.8658619346910576E-2</v>
      </c>
      <c r="AC326" s="2026">
        <v>0.9</v>
      </c>
      <c r="AD326" s="2026">
        <v>0.9</v>
      </c>
      <c r="AE326" s="2026">
        <v>0.9</v>
      </c>
      <c r="AF326" s="2026">
        <v>0.9</v>
      </c>
      <c r="AG326" s="2027">
        <f t="shared" si="182"/>
        <v>-3.0581324931739728</v>
      </c>
      <c r="AH326" s="2027">
        <f t="shared" si="182"/>
        <v>-3.0581324931739728</v>
      </c>
      <c r="AI326" s="2027">
        <f t="shared" si="182"/>
        <v>-3.0581324931739728</v>
      </c>
      <c r="AJ326" s="2027">
        <f t="shared" si="182"/>
        <v>-3.0581324931739728</v>
      </c>
      <c r="AK326" s="2027">
        <v>87</v>
      </c>
      <c r="AL326" s="2027">
        <v>0</v>
      </c>
      <c r="AM326" s="2027">
        <v>0</v>
      </c>
      <c r="AN326" s="2027">
        <v>0</v>
      </c>
      <c r="AO326" s="2027">
        <f t="shared" si="171"/>
        <v>12205.081109694122</v>
      </c>
      <c r="AP326" s="2027">
        <f t="shared" si="172"/>
        <v>0</v>
      </c>
      <c r="AQ326" s="2027">
        <f t="shared" si="172"/>
        <v>0</v>
      </c>
      <c r="AR326" s="2027" t="s">
        <v>3286</v>
      </c>
      <c r="AS326" s="2027">
        <f t="shared" si="173"/>
        <v>0</v>
      </c>
      <c r="AT326" s="2027">
        <f t="shared" si="174"/>
        <v>-266.05752690613565</v>
      </c>
      <c r="AU326" s="2027">
        <f t="shared" si="175"/>
        <v>0</v>
      </c>
      <c r="AV326" s="2027">
        <f t="shared" si="175"/>
        <v>0</v>
      </c>
      <c r="AW326" s="2027">
        <f t="shared" si="175"/>
        <v>0</v>
      </c>
      <c r="AX326" s="2124">
        <v>9.3239999999999981</v>
      </c>
      <c r="AY326" s="2029">
        <v>9.3239999999999981</v>
      </c>
      <c r="AZ326" s="2029">
        <v>9.3239999999999981</v>
      </c>
      <c r="BA326" s="2029">
        <v>9.3239999999999981</v>
      </c>
      <c r="BB326" s="2124">
        <v>0</v>
      </c>
      <c r="BC326" s="2029">
        <v>0</v>
      </c>
      <c r="BD326" s="2029">
        <v>0</v>
      </c>
      <c r="BE326" s="2029">
        <v>0</v>
      </c>
      <c r="BF326" s="2124">
        <v>57.5</v>
      </c>
      <c r="BG326" s="2029">
        <v>57.5</v>
      </c>
      <c r="BH326" s="2029">
        <v>57.5</v>
      </c>
      <c r="BI326" s="2029">
        <v>57.5</v>
      </c>
      <c r="BJ326" s="2030">
        <f t="shared" si="176"/>
        <v>811.18799999999987</v>
      </c>
      <c r="BK326" s="2030">
        <f t="shared" si="176"/>
        <v>0</v>
      </c>
      <c r="BL326" s="2030">
        <f t="shared" si="176"/>
        <v>0</v>
      </c>
      <c r="BM326" s="2030" t="s">
        <v>3286</v>
      </c>
      <c r="BN326" s="2030">
        <f t="shared" si="177"/>
        <v>0</v>
      </c>
      <c r="BO326" s="2030">
        <f t="shared" si="178"/>
        <v>0</v>
      </c>
      <c r="BP326" s="2030" t="s">
        <v>3286</v>
      </c>
      <c r="BQ326" s="2030">
        <f t="shared" si="179"/>
        <v>0</v>
      </c>
      <c r="BR326" s="2030">
        <f t="shared" si="179"/>
        <v>0</v>
      </c>
      <c r="BS326" s="2030">
        <f t="shared" si="179"/>
        <v>0</v>
      </c>
      <c r="BT326" s="2125"/>
      <c r="BU326" s="2125"/>
      <c r="BV326" s="2125"/>
      <c r="BW326" s="2125"/>
      <c r="BX326" s="2125"/>
      <c r="BY326" s="2125"/>
      <c r="BZ326" s="2125"/>
      <c r="CA326" s="2125"/>
      <c r="CB326" s="2029"/>
      <c r="CC326" s="2029"/>
      <c r="CD326" s="2029"/>
      <c r="CE326" s="2029"/>
      <c r="CF326" s="2029"/>
      <c r="CG326" s="2032"/>
      <c r="CH326" s="1974">
        <v>0</v>
      </c>
      <c r="CI326" s="1974">
        <v>0</v>
      </c>
      <c r="CJ326" s="1974">
        <v>0</v>
      </c>
      <c r="CK326" s="1974">
        <v>0</v>
      </c>
      <c r="CL326" s="1974">
        <v>1</v>
      </c>
      <c r="CM326" s="2033">
        <v>4.5603611045081589E-5</v>
      </c>
      <c r="CN326" s="2026">
        <v>-9.5602153694244042E-5</v>
      </c>
      <c r="CO326" s="1974">
        <v>1</v>
      </c>
      <c r="CP326" s="2031">
        <v>-0.67827777777777754</v>
      </c>
      <c r="CQ326" s="2031">
        <f t="shared" si="183"/>
        <v>0.67827777777777754</v>
      </c>
      <c r="CR326" s="2026">
        <v>1</v>
      </c>
      <c r="CS326" s="2026">
        <v>1</v>
      </c>
      <c r="CT326" s="2026">
        <v>0.32114942528735629</v>
      </c>
      <c r="CU326" s="2026">
        <v>0.32114942528735629</v>
      </c>
      <c r="CV326" s="2036"/>
      <c r="CW326" s="2036"/>
      <c r="CX326" s="2036"/>
      <c r="CY326" s="2036"/>
      <c r="CZ326" s="2036"/>
      <c r="DA326" s="2036"/>
      <c r="DB326" s="1973">
        <v>1</v>
      </c>
    </row>
    <row r="327" spans="1:106" x14ac:dyDescent="0.25">
      <c r="A327" s="2277" t="str">
        <f t="shared" si="170"/>
        <v>Reduced wattage T8 (28W) lamps and ballasts replacing existing T12 lamps and ballasts</v>
      </c>
      <c r="B327" s="1974" t="str">
        <f t="shared" si="170"/>
        <v xml:space="preserve">BPL41 </v>
      </c>
      <c r="C327" s="2027">
        <v>15</v>
      </c>
      <c r="D327" s="2027">
        <v>1</v>
      </c>
      <c r="E327" s="1973">
        <f>F327*$CS327</f>
        <v>157.42805203348595</v>
      </c>
      <c r="F327" s="2144">
        <v>157.42805203348595</v>
      </c>
      <c r="G327" s="1973">
        <f>H327*$CS327</f>
        <v>3.1434195269497256E-2</v>
      </c>
      <c r="H327" s="2145">
        <v>3.1434195269497256E-2</v>
      </c>
      <c r="I327" s="1973">
        <f>J327*$CS327</f>
        <v>-3.2860315522710426</v>
      </c>
      <c r="J327" s="2027">
        <v>-3.2860315522710426</v>
      </c>
      <c r="K327" s="1974" t="s">
        <v>2988</v>
      </c>
      <c r="L327" s="1974" t="s">
        <v>2988</v>
      </c>
      <c r="M327" s="2026">
        <v>0.9</v>
      </c>
      <c r="N327" s="2026">
        <v>0.9</v>
      </c>
      <c r="O327" s="2026">
        <v>0.9</v>
      </c>
      <c r="P327" s="2026">
        <v>0.9</v>
      </c>
      <c r="Q327" s="2027">
        <f t="shared" si="180"/>
        <v>141.68524683013737</v>
      </c>
      <c r="R327" s="2027">
        <f t="shared" si="180"/>
        <v>141.68524683013737</v>
      </c>
      <c r="S327" s="2027">
        <f t="shared" si="180"/>
        <v>141.68524683013737</v>
      </c>
      <c r="T327" s="2027">
        <f t="shared" si="180"/>
        <v>141.68524683013737</v>
      </c>
      <c r="U327" s="2026">
        <v>0.9</v>
      </c>
      <c r="V327" s="2026">
        <v>0.9</v>
      </c>
      <c r="W327" s="2026">
        <v>0.9</v>
      </c>
      <c r="X327" s="2026">
        <v>0.9</v>
      </c>
      <c r="Y327" s="2028">
        <f t="shared" si="181"/>
        <v>2.8290775742547531E-2</v>
      </c>
      <c r="Z327" s="2028">
        <f t="shared" si="181"/>
        <v>2.8290775742547531E-2</v>
      </c>
      <c r="AA327" s="2028">
        <f t="shared" si="181"/>
        <v>2.8290775742547531E-2</v>
      </c>
      <c r="AB327" s="2028">
        <f t="shared" si="181"/>
        <v>2.8290775742547531E-2</v>
      </c>
      <c r="AC327" s="2026">
        <v>0.9</v>
      </c>
      <c r="AD327" s="2026">
        <v>0.9</v>
      </c>
      <c r="AE327" s="2026">
        <v>0.9</v>
      </c>
      <c r="AF327" s="2026">
        <v>0.9</v>
      </c>
      <c r="AG327" s="2027">
        <f t="shared" si="182"/>
        <v>-2.9574283970439383</v>
      </c>
      <c r="AH327" s="2027">
        <f t="shared" si="182"/>
        <v>-2.9574283970439383</v>
      </c>
      <c r="AI327" s="2027">
        <f t="shared" si="182"/>
        <v>-2.9574283970439383</v>
      </c>
      <c r="AJ327" s="2027">
        <f t="shared" si="182"/>
        <v>-2.9574283970439383</v>
      </c>
      <c r="AK327" s="2027">
        <v>100</v>
      </c>
      <c r="AL327" s="2027">
        <v>0</v>
      </c>
      <c r="AM327" s="2027">
        <v>0</v>
      </c>
      <c r="AN327" s="2027">
        <v>0</v>
      </c>
      <c r="AO327" s="2027">
        <f t="shared" si="171"/>
        <v>14168.524683013737</v>
      </c>
      <c r="AP327" s="2027">
        <f t="shared" si="172"/>
        <v>0</v>
      </c>
      <c r="AQ327" s="2027">
        <f t="shared" si="172"/>
        <v>0</v>
      </c>
      <c r="AR327" s="2027" t="s">
        <v>3286</v>
      </c>
      <c r="AS327" s="2027">
        <f t="shared" si="173"/>
        <v>0</v>
      </c>
      <c r="AT327" s="2027">
        <f t="shared" si="174"/>
        <v>-295.74283970439382</v>
      </c>
      <c r="AU327" s="2027">
        <f t="shared" si="175"/>
        <v>0</v>
      </c>
      <c r="AV327" s="2027">
        <f t="shared" si="175"/>
        <v>0</v>
      </c>
      <c r="AW327" s="2027">
        <f t="shared" si="175"/>
        <v>0</v>
      </c>
      <c r="AX327" s="2124">
        <v>12.104399999999998</v>
      </c>
      <c r="AY327" s="2029">
        <v>12.104399999999998</v>
      </c>
      <c r="AZ327" s="2029">
        <v>12.104399999999998</v>
      </c>
      <c r="BA327" s="2029">
        <v>12.104399999999998</v>
      </c>
      <c r="BB327" s="2124">
        <v>0</v>
      </c>
      <c r="BC327" s="2029">
        <v>0</v>
      </c>
      <c r="BD327" s="2029">
        <v>0</v>
      </c>
      <c r="BE327" s="2029">
        <v>0</v>
      </c>
      <c r="BF327" s="2124">
        <v>57.5</v>
      </c>
      <c r="BG327" s="2029">
        <v>57.5</v>
      </c>
      <c r="BH327" s="2029">
        <v>57.5</v>
      </c>
      <c r="BI327" s="2029">
        <v>57.5</v>
      </c>
      <c r="BJ327" s="2030">
        <f t="shared" si="176"/>
        <v>1210.4399999999998</v>
      </c>
      <c r="BK327" s="2030">
        <f t="shared" si="176"/>
        <v>0</v>
      </c>
      <c r="BL327" s="2030">
        <f t="shared" si="176"/>
        <v>0</v>
      </c>
      <c r="BM327" s="2030" t="s">
        <v>3286</v>
      </c>
      <c r="BN327" s="2030">
        <f t="shared" si="177"/>
        <v>0</v>
      </c>
      <c r="BO327" s="2030">
        <f t="shared" si="178"/>
        <v>0</v>
      </c>
      <c r="BP327" s="2030" t="s">
        <v>3286</v>
      </c>
      <c r="BQ327" s="2030">
        <f t="shared" si="179"/>
        <v>0</v>
      </c>
      <c r="BR327" s="2030">
        <f t="shared" si="179"/>
        <v>0</v>
      </c>
      <c r="BS327" s="2030">
        <f t="shared" si="179"/>
        <v>0</v>
      </c>
      <c r="BT327" s="2125"/>
      <c r="BU327" s="2125"/>
      <c r="BV327" s="2125"/>
      <c r="BW327" s="2125"/>
      <c r="BX327" s="2125"/>
      <c r="BY327" s="2125"/>
      <c r="BZ327" s="2125"/>
      <c r="CA327" s="2125"/>
      <c r="CB327" s="2029"/>
      <c r="CC327" s="2029"/>
      <c r="CD327" s="2029"/>
      <c r="CE327" s="2029"/>
      <c r="CF327" s="2029"/>
      <c r="CG327" s="2032"/>
      <c r="CH327" s="1974">
        <v>0</v>
      </c>
      <c r="CI327" s="1974">
        <v>0</v>
      </c>
      <c r="CJ327" s="1974">
        <v>0</v>
      </c>
      <c r="CK327" s="1974">
        <v>0</v>
      </c>
      <c r="CL327" s="1974">
        <v>1</v>
      </c>
      <c r="CM327" s="2033">
        <v>5.286790462313809E-5</v>
      </c>
      <c r="CN327" s="2026">
        <v>-1.0612440505056116E-4</v>
      </c>
      <c r="CO327" s="1974">
        <v>1</v>
      </c>
      <c r="CP327" s="2031">
        <v>-0.67827777777777754</v>
      </c>
      <c r="CQ327" s="2031">
        <f t="shared" si="183"/>
        <v>0.67827777777777754</v>
      </c>
      <c r="CR327" s="2026">
        <v>1</v>
      </c>
      <c r="CS327" s="2026">
        <v>1</v>
      </c>
      <c r="CT327" s="2026">
        <v>0.31805100441658357</v>
      </c>
      <c r="CU327" s="2026">
        <v>0.31805100441658357</v>
      </c>
      <c r="CV327" s="2036"/>
      <c r="CW327" s="2036"/>
      <c r="CX327" s="2036"/>
      <c r="CY327" s="2036"/>
      <c r="CZ327" s="2036"/>
      <c r="DA327" s="2036"/>
      <c r="DB327" s="1973">
        <v>1</v>
      </c>
    </row>
    <row r="328" spans="1:106" x14ac:dyDescent="0.25">
      <c r="A328" s="2277" t="str">
        <f t="shared" si="170"/>
        <v>Ultra-low wattage T8 (25W) lamps and ballasts replacing existing T12 lamps and ballasts</v>
      </c>
      <c r="B328" s="1974" t="str">
        <f t="shared" si="170"/>
        <v xml:space="preserve">BPL42 </v>
      </c>
      <c r="C328" s="2027">
        <v>15</v>
      </c>
      <c r="D328" s="2027">
        <v>1</v>
      </c>
      <c r="E328" s="1973">
        <f>F328*$CS328</f>
        <v>223.83021550428805</v>
      </c>
      <c r="F328" s="2144">
        <v>223.83021550428805</v>
      </c>
      <c r="G328" s="1973">
        <f>H328*$CS328</f>
        <v>3.5855263320402772E-2</v>
      </c>
      <c r="H328" s="2145">
        <v>3.5855263320402772E-2</v>
      </c>
      <c r="I328" s="1973">
        <f>J328*$CS328</f>
        <v>-2.8886794006649192</v>
      </c>
      <c r="J328" s="2027">
        <v>-2.8886794006649192</v>
      </c>
      <c r="K328" s="1974" t="s">
        <v>2988</v>
      </c>
      <c r="L328" s="1974" t="s">
        <v>2988</v>
      </c>
      <c r="M328" s="2026">
        <v>0.9</v>
      </c>
      <c r="N328" s="2026">
        <v>0.9</v>
      </c>
      <c r="O328" s="2026">
        <v>0.9</v>
      </c>
      <c r="P328" s="2026">
        <v>0.9</v>
      </c>
      <c r="Q328" s="2027">
        <f t="shared" si="180"/>
        <v>201.44719395385926</v>
      </c>
      <c r="R328" s="2027">
        <f t="shared" si="180"/>
        <v>201.44719395385926</v>
      </c>
      <c r="S328" s="2027">
        <f t="shared" si="180"/>
        <v>201.44719395385926</v>
      </c>
      <c r="T328" s="2027">
        <f t="shared" si="180"/>
        <v>201.44719395385926</v>
      </c>
      <c r="U328" s="2026">
        <v>0.9</v>
      </c>
      <c r="V328" s="2026">
        <v>0.9</v>
      </c>
      <c r="W328" s="2026">
        <v>0.9</v>
      </c>
      <c r="X328" s="2026">
        <v>0.9</v>
      </c>
      <c r="Y328" s="2028">
        <f t="shared" si="181"/>
        <v>3.2269736988362496E-2</v>
      </c>
      <c r="Z328" s="2028">
        <f t="shared" si="181"/>
        <v>3.2269736988362496E-2</v>
      </c>
      <c r="AA328" s="2028">
        <f t="shared" si="181"/>
        <v>3.2269736988362496E-2</v>
      </c>
      <c r="AB328" s="2028">
        <f t="shared" si="181"/>
        <v>3.2269736988362496E-2</v>
      </c>
      <c r="AC328" s="2026">
        <v>0.9</v>
      </c>
      <c r="AD328" s="2026">
        <v>0.9</v>
      </c>
      <c r="AE328" s="2026">
        <v>0.9</v>
      </c>
      <c r="AF328" s="2026">
        <v>0.9</v>
      </c>
      <c r="AG328" s="2027">
        <f t="shared" si="182"/>
        <v>-2.5998114605984273</v>
      </c>
      <c r="AH328" s="2027">
        <f t="shared" si="182"/>
        <v>-2.5998114605984273</v>
      </c>
      <c r="AI328" s="2027">
        <f t="shared" si="182"/>
        <v>-2.5998114605984273</v>
      </c>
      <c r="AJ328" s="2027">
        <f t="shared" si="182"/>
        <v>-2.5998114605984273</v>
      </c>
      <c r="AK328" s="2027">
        <v>16</v>
      </c>
      <c r="AL328" s="2027">
        <v>0</v>
      </c>
      <c r="AM328" s="2027">
        <v>0</v>
      </c>
      <c r="AN328" s="2027">
        <v>0</v>
      </c>
      <c r="AO328" s="2027">
        <f t="shared" si="171"/>
        <v>3223.1551032617481</v>
      </c>
      <c r="AP328" s="2027">
        <f t="shared" si="172"/>
        <v>0</v>
      </c>
      <c r="AQ328" s="2027">
        <f t="shared" si="172"/>
        <v>0</v>
      </c>
      <c r="AR328" s="2027" t="s">
        <v>3286</v>
      </c>
      <c r="AS328" s="2027">
        <f t="shared" si="173"/>
        <v>0</v>
      </c>
      <c r="AT328" s="2027">
        <f t="shared" si="174"/>
        <v>-41.596983369574836</v>
      </c>
      <c r="AU328" s="2027">
        <f t="shared" si="175"/>
        <v>0</v>
      </c>
      <c r="AV328" s="2027">
        <f t="shared" si="175"/>
        <v>0</v>
      </c>
      <c r="AW328" s="2027">
        <f t="shared" si="175"/>
        <v>0</v>
      </c>
      <c r="AX328" s="2124">
        <v>14.783999999999999</v>
      </c>
      <c r="AY328" s="2029">
        <v>14.783999999999999</v>
      </c>
      <c r="AZ328" s="2029">
        <v>14.783999999999999</v>
      </c>
      <c r="BA328" s="2029">
        <v>14.783999999999999</v>
      </c>
      <c r="BB328" s="2124">
        <v>0</v>
      </c>
      <c r="BC328" s="2029">
        <v>0</v>
      </c>
      <c r="BD328" s="2029">
        <v>0</v>
      </c>
      <c r="BE328" s="2029">
        <v>0</v>
      </c>
      <c r="BF328" s="2124">
        <v>57.5</v>
      </c>
      <c r="BG328" s="2029">
        <v>57.5</v>
      </c>
      <c r="BH328" s="2029">
        <v>57.5</v>
      </c>
      <c r="BI328" s="2029">
        <v>57.5</v>
      </c>
      <c r="BJ328" s="2030">
        <f t="shared" si="176"/>
        <v>236.54399999999998</v>
      </c>
      <c r="BK328" s="2030">
        <f t="shared" si="176"/>
        <v>0</v>
      </c>
      <c r="BL328" s="2030">
        <f t="shared" si="176"/>
        <v>0</v>
      </c>
      <c r="BM328" s="2030" t="s">
        <v>3286</v>
      </c>
      <c r="BN328" s="2030">
        <f t="shared" si="177"/>
        <v>0</v>
      </c>
      <c r="BO328" s="2030">
        <f t="shared" si="178"/>
        <v>0</v>
      </c>
      <c r="BP328" s="2030" t="s">
        <v>3286</v>
      </c>
      <c r="BQ328" s="2030">
        <f t="shared" si="179"/>
        <v>0</v>
      </c>
      <c r="BR328" s="2030">
        <f t="shared" si="179"/>
        <v>0</v>
      </c>
      <c r="BS328" s="2030">
        <f t="shared" si="179"/>
        <v>0</v>
      </c>
      <c r="BT328" s="2125"/>
      <c r="BU328" s="2125"/>
      <c r="BV328" s="2125"/>
      <c r="BW328" s="2125"/>
      <c r="BX328" s="2125"/>
      <c r="BY328" s="2125"/>
      <c r="BZ328" s="2125"/>
      <c r="CA328" s="2125"/>
      <c r="CB328" s="2029"/>
      <c r="CC328" s="2029"/>
      <c r="CD328" s="2029"/>
      <c r="CE328" s="2029"/>
      <c r="CF328" s="2029"/>
      <c r="CG328" s="2032"/>
      <c r="CH328" s="1974">
        <v>0</v>
      </c>
      <c r="CI328" s="1974">
        <v>0</v>
      </c>
      <c r="CJ328" s="1974">
        <v>0</v>
      </c>
      <c r="CK328" s="1974">
        <v>0</v>
      </c>
      <c r="CL328" s="1974">
        <v>1</v>
      </c>
      <c r="CM328" s="2033">
        <v>1.1504503525456534E-5</v>
      </c>
      <c r="CN328" s="2026">
        <v>-1.4278483246440147E-5</v>
      </c>
      <c r="CO328" s="1974">
        <v>1</v>
      </c>
      <c r="CP328" s="2031">
        <v>-0.67827777777777754</v>
      </c>
      <c r="CQ328" s="2031">
        <f t="shared" si="183"/>
        <v>0.67827777777777754</v>
      </c>
      <c r="CR328" s="2026">
        <v>1</v>
      </c>
      <c r="CS328" s="2026">
        <v>1</v>
      </c>
      <c r="CT328" s="2026">
        <v>0.3</v>
      </c>
      <c r="CU328" s="2026">
        <v>0.3</v>
      </c>
      <c r="CV328" s="2036"/>
      <c r="CW328" s="2036"/>
      <c r="CX328" s="2036"/>
      <c r="CY328" s="2036"/>
      <c r="CZ328" s="2036"/>
      <c r="DA328" s="2036"/>
      <c r="DB328" s="1973">
        <v>1</v>
      </c>
    </row>
    <row r="329" spans="1:106" x14ac:dyDescent="0.25">
      <c r="A329" s="2277" t="str">
        <f t="shared" si="170"/>
        <v>T5 or reduced wattage T8 relamp and reballast upgrading an existing 32W T8</v>
      </c>
      <c r="B329" s="1974" t="str">
        <f t="shared" si="170"/>
        <v xml:space="preserve">BPL44 </v>
      </c>
      <c r="C329" s="2027">
        <v>15</v>
      </c>
      <c r="D329" s="2027"/>
      <c r="E329" s="2144">
        <v>54.266720902047183</v>
      </c>
      <c r="F329" s="2144"/>
      <c r="G329" s="2145">
        <v>1.0164417671374734E-2</v>
      </c>
      <c r="H329" s="2145"/>
      <c r="I329" s="2027">
        <v>-1.2747637537728052</v>
      </c>
      <c r="J329" s="2027"/>
      <c r="K329" s="1974" t="s">
        <v>2988</v>
      </c>
      <c r="L329" s="1974" t="s">
        <v>2988</v>
      </c>
      <c r="M329" s="2026">
        <v>0.9</v>
      </c>
      <c r="N329" s="2026">
        <v>0.9</v>
      </c>
      <c r="O329" s="2026">
        <v>0.9</v>
      </c>
      <c r="P329" s="2026">
        <v>0.9</v>
      </c>
      <c r="Q329" s="2027">
        <f t="shared" ref="Q329:T363" si="184">$E329*M329</f>
        <v>48.840048811842465</v>
      </c>
      <c r="R329" s="2027">
        <f t="shared" si="184"/>
        <v>48.840048811842465</v>
      </c>
      <c r="S329" s="2027">
        <f t="shared" si="184"/>
        <v>48.840048811842465</v>
      </c>
      <c r="T329" s="2027">
        <f t="shared" si="184"/>
        <v>48.840048811842465</v>
      </c>
      <c r="U329" s="2026">
        <v>0.9</v>
      </c>
      <c r="V329" s="2026">
        <v>0.9</v>
      </c>
      <c r="W329" s="2026">
        <v>0.9</v>
      </c>
      <c r="X329" s="2026">
        <v>0.9</v>
      </c>
      <c r="Y329" s="2028">
        <f t="shared" ref="Y329:AB363" si="185">$G329*U329</f>
        <v>9.1479759042372606E-3</v>
      </c>
      <c r="Z329" s="2028">
        <f t="shared" si="185"/>
        <v>9.1479759042372606E-3</v>
      </c>
      <c r="AA329" s="2028">
        <f t="shared" si="185"/>
        <v>9.1479759042372606E-3</v>
      </c>
      <c r="AB329" s="2028">
        <f t="shared" si="185"/>
        <v>9.1479759042372606E-3</v>
      </c>
      <c r="AC329" s="2026">
        <v>0.9</v>
      </c>
      <c r="AD329" s="2026">
        <v>0.9</v>
      </c>
      <c r="AE329" s="2026">
        <v>0.9</v>
      </c>
      <c r="AF329" s="2026">
        <v>0.9</v>
      </c>
      <c r="AG329" s="2027">
        <f t="shared" ref="AG329:AJ363" si="186">$I329*AC329</f>
        <v>-1.1472873783955246</v>
      </c>
      <c r="AH329" s="2027">
        <f t="shared" si="186"/>
        <v>-1.1472873783955246</v>
      </c>
      <c r="AI329" s="2027">
        <f t="shared" si="186"/>
        <v>-1.1472873783955246</v>
      </c>
      <c r="AJ329" s="2027">
        <f t="shared" si="186"/>
        <v>-1.1472873783955246</v>
      </c>
      <c r="AK329" s="2027">
        <v>88</v>
      </c>
      <c r="AL329" s="2027">
        <v>0</v>
      </c>
      <c r="AM329" s="2027">
        <v>0</v>
      </c>
      <c r="AN329" s="2027">
        <v>0</v>
      </c>
      <c r="AO329" s="2027">
        <f t="shared" si="171"/>
        <v>4297.924295442137</v>
      </c>
      <c r="AP329" s="2027">
        <f t="shared" si="172"/>
        <v>0</v>
      </c>
      <c r="AQ329" s="2027">
        <f t="shared" si="172"/>
        <v>0</v>
      </c>
      <c r="AR329" s="2027" t="s">
        <v>3286</v>
      </c>
      <c r="AS329" s="2027">
        <f t="shared" si="173"/>
        <v>0</v>
      </c>
      <c r="AT329" s="2027">
        <f t="shared" si="174"/>
        <v>-100.96128929880616</v>
      </c>
      <c r="AU329" s="2027">
        <f t="shared" si="175"/>
        <v>0</v>
      </c>
      <c r="AV329" s="2027">
        <f t="shared" si="175"/>
        <v>0</v>
      </c>
      <c r="AW329" s="2027">
        <f t="shared" si="175"/>
        <v>0</v>
      </c>
      <c r="AX329" s="2124">
        <v>7.4592000000000001</v>
      </c>
      <c r="AY329" s="2029">
        <v>7.4592000000000001</v>
      </c>
      <c r="AZ329" s="2029">
        <v>7.4592000000000001</v>
      </c>
      <c r="BA329" s="2029">
        <v>7.4592000000000001</v>
      </c>
      <c r="BB329" s="2124">
        <v>0</v>
      </c>
      <c r="BC329" s="2029">
        <v>0</v>
      </c>
      <c r="BD329" s="2029">
        <v>0</v>
      </c>
      <c r="BE329" s="2029">
        <v>0</v>
      </c>
      <c r="BF329" s="2124">
        <v>56.25</v>
      </c>
      <c r="BG329" s="2029">
        <v>56.25</v>
      </c>
      <c r="BH329" s="2029">
        <v>56.25</v>
      </c>
      <c r="BI329" s="2029">
        <v>56.25</v>
      </c>
      <c r="BJ329" s="2030">
        <f t="shared" si="176"/>
        <v>656.40959999999995</v>
      </c>
      <c r="BK329" s="2030">
        <f t="shared" si="176"/>
        <v>0</v>
      </c>
      <c r="BL329" s="2030">
        <f t="shared" si="176"/>
        <v>0</v>
      </c>
      <c r="BM329" s="2030" t="s">
        <v>3286</v>
      </c>
      <c r="BN329" s="2030">
        <f t="shared" si="177"/>
        <v>0</v>
      </c>
      <c r="BO329" s="2030">
        <f t="shared" si="178"/>
        <v>0</v>
      </c>
      <c r="BP329" s="2030" t="s">
        <v>3286</v>
      </c>
      <c r="BQ329" s="2030">
        <f t="shared" si="179"/>
        <v>0</v>
      </c>
      <c r="BR329" s="2030">
        <f t="shared" si="179"/>
        <v>0</v>
      </c>
      <c r="BS329" s="2030">
        <f t="shared" si="179"/>
        <v>0</v>
      </c>
      <c r="BT329" s="2125"/>
      <c r="BU329" s="2125"/>
      <c r="BV329" s="2125"/>
      <c r="BW329" s="2125"/>
      <c r="BX329" s="2125"/>
      <c r="BY329" s="2125"/>
      <c r="BZ329" s="2125"/>
      <c r="CA329" s="2125"/>
      <c r="CB329" s="2029"/>
      <c r="CC329" s="2029"/>
      <c r="CD329" s="2029"/>
      <c r="CE329" s="2029"/>
      <c r="CF329" s="2029"/>
      <c r="CG329" s="2032"/>
      <c r="CH329" s="1974">
        <v>0</v>
      </c>
      <c r="CI329" s="1974">
        <v>0</v>
      </c>
      <c r="CJ329" s="1974">
        <v>0</v>
      </c>
      <c r="CK329" s="1974">
        <v>0</v>
      </c>
      <c r="CL329" s="1974">
        <v>0</v>
      </c>
      <c r="CM329" s="2033">
        <v>1.6195470143941471E-5</v>
      </c>
      <c r="CN329" s="2026">
        <v>-3.6586700857373851E-5</v>
      </c>
      <c r="CO329" s="1974">
        <v>1</v>
      </c>
      <c r="CP329" s="2031">
        <v>1.1477222222222219</v>
      </c>
      <c r="CQ329" s="2031">
        <f t="shared" si="183"/>
        <v>-1.1477222222222219</v>
      </c>
      <c r="CR329" s="2026">
        <v>1</v>
      </c>
      <c r="CS329" s="2026">
        <v>1</v>
      </c>
      <c r="CT329" s="2026">
        <v>1</v>
      </c>
      <c r="CU329" s="2026">
        <v>1</v>
      </c>
      <c r="CV329" s="2036"/>
      <c r="CW329" s="2036"/>
      <c r="CX329" s="2036"/>
      <c r="CY329" s="2036"/>
      <c r="CZ329" s="2036"/>
      <c r="DA329" s="2036"/>
      <c r="DB329" s="1973">
        <v>1</v>
      </c>
    </row>
    <row r="330" spans="1:106" x14ac:dyDescent="0.25">
      <c r="A330" s="2277" t="str">
        <f t="shared" si="170"/>
        <v>2-foot T8 lamps (17W) and ballasts replacing 2-foot T12 lamps/ballasts OR replacing 4-foot T12 U-tube lamps/ballasts</v>
      </c>
      <c r="B330" s="1974" t="str">
        <f t="shared" si="170"/>
        <v xml:space="preserve">BPL66 </v>
      </c>
      <c r="C330" s="2027">
        <v>15</v>
      </c>
      <c r="D330" s="2027">
        <v>1</v>
      </c>
      <c r="E330" s="1973">
        <f>F330*$CS330</f>
        <v>172.49652076776721</v>
      </c>
      <c r="F330" s="2144">
        <v>172.49652076776721</v>
      </c>
      <c r="G330" s="1973">
        <f>H330*$CS330</f>
        <v>3.2541272579253697E-2</v>
      </c>
      <c r="H330" s="2145">
        <v>3.2541272579253697E-2</v>
      </c>
      <c r="I330" s="1973">
        <f>J330*$CS330</f>
        <v>-2.8002599595061124</v>
      </c>
      <c r="J330" s="2027">
        <v>-2.8002599595061124</v>
      </c>
      <c r="K330" s="1974" t="s">
        <v>2988</v>
      </c>
      <c r="L330" s="1974" t="s">
        <v>2988</v>
      </c>
      <c r="M330" s="2026">
        <v>0.9</v>
      </c>
      <c r="N330" s="2026">
        <v>0.9</v>
      </c>
      <c r="O330" s="2026">
        <v>0.9</v>
      </c>
      <c r="P330" s="2026">
        <v>0.9</v>
      </c>
      <c r="Q330" s="2027">
        <f t="shared" ref="Q330:T333" si="187">$F330*M330</f>
        <v>155.24686869099048</v>
      </c>
      <c r="R330" s="2027">
        <f t="shared" si="187"/>
        <v>155.24686869099048</v>
      </c>
      <c r="S330" s="2027">
        <f t="shared" si="187"/>
        <v>155.24686869099048</v>
      </c>
      <c r="T330" s="2027">
        <f t="shared" si="187"/>
        <v>155.24686869099048</v>
      </c>
      <c r="U330" s="2026">
        <v>0.9</v>
      </c>
      <c r="V330" s="2026">
        <v>0.9</v>
      </c>
      <c r="W330" s="2026">
        <v>0.9</v>
      </c>
      <c r="X330" s="2026">
        <v>0.9</v>
      </c>
      <c r="Y330" s="2028">
        <f t="shared" ref="Y330:AB333" si="188">$H330*U330</f>
        <v>2.9287145321328329E-2</v>
      </c>
      <c r="Z330" s="2028">
        <f t="shared" si="188"/>
        <v>2.9287145321328329E-2</v>
      </c>
      <c r="AA330" s="2028">
        <f t="shared" si="188"/>
        <v>2.9287145321328329E-2</v>
      </c>
      <c r="AB330" s="2028">
        <f t="shared" si="188"/>
        <v>2.9287145321328329E-2</v>
      </c>
      <c r="AC330" s="2026">
        <v>0.9</v>
      </c>
      <c r="AD330" s="2026">
        <v>0.9</v>
      </c>
      <c r="AE330" s="2026">
        <v>0.9</v>
      </c>
      <c r="AF330" s="2026">
        <v>0.9</v>
      </c>
      <c r="AG330" s="2027">
        <f t="shared" ref="AG330:AJ333" si="189">$J330*AC330</f>
        <v>-2.5202339635555013</v>
      </c>
      <c r="AH330" s="2027">
        <f t="shared" si="189"/>
        <v>-2.5202339635555013</v>
      </c>
      <c r="AI330" s="2027">
        <f t="shared" si="189"/>
        <v>-2.5202339635555013</v>
      </c>
      <c r="AJ330" s="2027">
        <f t="shared" si="189"/>
        <v>-2.5202339635555013</v>
      </c>
      <c r="AK330" s="2027">
        <v>2</v>
      </c>
      <c r="AL330" s="2027">
        <v>0</v>
      </c>
      <c r="AM330" s="2027">
        <v>0</v>
      </c>
      <c r="AN330" s="2027">
        <v>0</v>
      </c>
      <c r="AO330" s="2027">
        <f t="shared" si="171"/>
        <v>310.49373738198096</v>
      </c>
      <c r="AP330" s="2027">
        <f t="shared" si="172"/>
        <v>0</v>
      </c>
      <c r="AQ330" s="2027">
        <f t="shared" si="172"/>
        <v>0</v>
      </c>
      <c r="AR330" s="2027" t="s">
        <v>3286</v>
      </c>
      <c r="AS330" s="2027">
        <f t="shared" si="173"/>
        <v>0</v>
      </c>
      <c r="AT330" s="2027">
        <f t="shared" si="174"/>
        <v>-5.0404679271110027</v>
      </c>
      <c r="AU330" s="2027">
        <f t="shared" si="175"/>
        <v>0</v>
      </c>
      <c r="AV330" s="2027">
        <f t="shared" si="175"/>
        <v>0</v>
      </c>
      <c r="AW330" s="2027">
        <f t="shared" si="175"/>
        <v>0</v>
      </c>
      <c r="AX330" s="2124">
        <v>1.5749999999999995</v>
      </c>
      <c r="AY330" s="2029">
        <v>1.5749999999999995</v>
      </c>
      <c r="AZ330" s="2029">
        <v>1.5749999999999995</v>
      </c>
      <c r="BA330" s="2029">
        <v>1.5749999999999995</v>
      </c>
      <c r="BB330" s="2124">
        <v>0</v>
      </c>
      <c r="BC330" s="2029">
        <v>0</v>
      </c>
      <c r="BD330" s="2029">
        <v>0</v>
      </c>
      <c r="BE330" s="2029">
        <v>0</v>
      </c>
      <c r="BF330" s="2124">
        <v>57.5</v>
      </c>
      <c r="BG330" s="2029">
        <v>57.5</v>
      </c>
      <c r="BH330" s="2029">
        <v>57.5</v>
      </c>
      <c r="BI330" s="2029">
        <v>57.5</v>
      </c>
      <c r="BJ330" s="2030">
        <f t="shared" si="176"/>
        <v>3.149999999999999</v>
      </c>
      <c r="BK330" s="2030">
        <f t="shared" si="176"/>
        <v>0</v>
      </c>
      <c r="BL330" s="2030">
        <f t="shared" si="176"/>
        <v>0</v>
      </c>
      <c r="BM330" s="2030" t="s">
        <v>3286</v>
      </c>
      <c r="BN330" s="2030">
        <f t="shared" si="177"/>
        <v>0</v>
      </c>
      <c r="BO330" s="2030">
        <f t="shared" si="178"/>
        <v>0</v>
      </c>
      <c r="BP330" s="2030" t="s">
        <v>3286</v>
      </c>
      <c r="BQ330" s="2030">
        <f t="shared" si="179"/>
        <v>0</v>
      </c>
      <c r="BR330" s="2030">
        <f t="shared" si="179"/>
        <v>0</v>
      </c>
      <c r="BS330" s="2030">
        <f t="shared" si="179"/>
        <v>0</v>
      </c>
      <c r="BT330" s="2125"/>
      <c r="BU330" s="2125"/>
      <c r="BV330" s="2125"/>
      <c r="BW330" s="2125"/>
      <c r="BX330" s="2125"/>
      <c r="BY330" s="2125"/>
      <c r="BZ330" s="2125"/>
      <c r="CA330" s="2125"/>
      <c r="CB330" s="2029"/>
      <c r="CC330" s="2029"/>
      <c r="CD330" s="2029"/>
      <c r="CE330" s="2029"/>
      <c r="CF330" s="2029"/>
      <c r="CG330" s="2032"/>
      <c r="CH330" s="1974">
        <v>0</v>
      </c>
      <c r="CI330" s="1974">
        <v>0</v>
      </c>
      <c r="CJ330" s="1974">
        <v>0</v>
      </c>
      <c r="CK330" s="1974">
        <v>0</v>
      </c>
      <c r="CL330" s="1974">
        <v>1</v>
      </c>
      <c r="CM330" s="2033">
        <v>9.1000373296176648E-7</v>
      </c>
      <c r="CN330" s="2026">
        <v>-1.4206750314108836E-6</v>
      </c>
      <c r="CO330" s="1974">
        <v>1</v>
      </c>
      <c r="CP330" s="2031">
        <v>-0.67827777777777754</v>
      </c>
      <c r="CQ330" s="2031">
        <f t="shared" si="183"/>
        <v>0.67827777777777754</v>
      </c>
      <c r="CR330" s="2026">
        <v>1</v>
      </c>
      <c r="CS330" s="2026">
        <v>1</v>
      </c>
      <c r="CT330" s="2026">
        <v>0.45</v>
      </c>
      <c r="CU330" s="2026">
        <v>0.45</v>
      </c>
      <c r="CV330" s="2036"/>
      <c r="CW330" s="2036"/>
      <c r="CX330" s="2036"/>
      <c r="CY330" s="2036"/>
      <c r="CZ330" s="2036"/>
      <c r="DA330" s="2036"/>
      <c r="DB330" s="1973">
        <v>1</v>
      </c>
    </row>
    <row r="331" spans="1:106" x14ac:dyDescent="0.25">
      <c r="A331" s="2277" t="str">
        <f t="shared" si="170"/>
        <v>New high performance T8 fixture (with or without a reflector) replacing an existing T12 fixture</v>
      </c>
      <c r="B331" s="1974" t="str">
        <f t="shared" si="170"/>
        <v>BPL62</v>
      </c>
      <c r="C331" s="2027">
        <v>15</v>
      </c>
      <c r="D331" s="2027">
        <v>1</v>
      </c>
      <c r="E331" s="1973">
        <f>F331*$CS331</f>
        <v>208.22562949330643</v>
      </c>
      <c r="F331" s="2144">
        <v>208.22562949330643</v>
      </c>
      <c r="G331" s="1973">
        <f>H331*$CS331</f>
        <v>4.3121396703483098E-2</v>
      </c>
      <c r="H331" s="2145">
        <v>4.3121396703483098E-2</v>
      </c>
      <c r="I331" s="1973">
        <f>J331*$CS331</f>
        <v>-4.5766954392087689</v>
      </c>
      <c r="J331" s="2027">
        <v>-4.5766954392087689</v>
      </c>
      <c r="K331" s="1974" t="s">
        <v>2988</v>
      </c>
      <c r="L331" s="1974" t="s">
        <v>2988</v>
      </c>
      <c r="M331" s="2026">
        <v>0.9</v>
      </c>
      <c r="N331" s="2026">
        <v>0.9</v>
      </c>
      <c r="O331" s="2026">
        <v>0.9</v>
      </c>
      <c r="P331" s="2026">
        <v>0.9</v>
      </c>
      <c r="Q331" s="2027">
        <f t="shared" si="187"/>
        <v>187.4030665439758</v>
      </c>
      <c r="R331" s="2027">
        <f t="shared" si="187"/>
        <v>187.4030665439758</v>
      </c>
      <c r="S331" s="2027">
        <f t="shared" si="187"/>
        <v>187.4030665439758</v>
      </c>
      <c r="T331" s="2027">
        <f t="shared" si="187"/>
        <v>187.4030665439758</v>
      </c>
      <c r="U331" s="2026">
        <v>0.9</v>
      </c>
      <c r="V331" s="2026">
        <v>0.9</v>
      </c>
      <c r="W331" s="2026">
        <v>0.9</v>
      </c>
      <c r="X331" s="2026">
        <v>0.9</v>
      </c>
      <c r="Y331" s="2028">
        <f t="shared" si="188"/>
        <v>3.8809257033134786E-2</v>
      </c>
      <c r="Z331" s="2028">
        <f t="shared" si="188"/>
        <v>3.8809257033134786E-2</v>
      </c>
      <c r="AA331" s="2028">
        <f t="shared" si="188"/>
        <v>3.8809257033134786E-2</v>
      </c>
      <c r="AB331" s="2028">
        <f t="shared" si="188"/>
        <v>3.8809257033134786E-2</v>
      </c>
      <c r="AC331" s="2026">
        <v>0.9</v>
      </c>
      <c r="AD331" s="2026">
        <v>0.9</v>
      </c>
      <c r="AE331" s="2026">
        <v>0.9</v>
      </c>
      <c r="AF331" s="2026">
        <v>0.9</v>
      </c>
      <c r="AG331" s="2027">
        <f t="shared" si="189"/>
        <v>-4.1190258952878924</v>
      </c>
      <c r="AH331" s="2027">
        <f t="shared" si="189"/>
        <v>-4.1190258952878924</v>
      </c>
      <c r="AI331" s="2027">
        <f t="shared" si="189"/>
        <v>-4.1190258952878924</v>
      </c>
      <c r="AJ331" s="2027">
        <f t="shared" si="189"/>
        <v>-4.1190258952878924</v>
      </c>
      <c r="AK331" s="2027">
        <v>35</v>
      </c>
      <c r="AL331" s="2027">
        <v>0</v>
      </c>
      <c r="AM331" s="2027">
        <v>0</v>
      </c>
      <c r="AN331" s="2027">
        <v>0</v>
      </c>
      <c r="AO331" s="2027">
        <f t="shared" si="171"/>
        <v>6559.1073290391532</v>
      </c>
      <c r="AP331" s="2027">
        <f t="shared" si="172"/>
        <v>0</v>
      </c>
      <c r="AQ331" s="2027">
        <f t="shared" si="172"/>
        <v>0</v>
      </c>
      <c r="AR331" s="2027" t="s">
        <v>3286</v>
      </c>
      <c r="AS331" s="2027">
        <f t="shared" si="173"/>
        <v>0</v>
      </c>
      <c r="AT331" s="2027">
        <f t="shared" si="174"/>
        <v>-144.16590633507624</v>
      </c>
      <c r="AU331" s="2027">
        <f t="shared" si="175"/>
        <v>0</v>
      </c>
      <c r="AV331" s="2027">
        <f t="shared" si="175"/>
        <v>0</v>
      </c>
      <c r="AW331" s="2027">
        <f t="shared" si="175"/>
        <v>0</v>
      </c>
      <c r="AX331" s="2124">
        <v>9.2749986</v>
      </c>
      <c r="AY331" s="2029">
        <v>9.2749986</v>
      </c>
      <c r="AZ331" s="2029">
        <v>9.2749986</v>
      </c>
      <c r="BA331" s="2029">
        <v>9.2749986</v>
      </c>
      <c r="BB331" s="2124">
        <v>0</v>
      </c>
      <c r="BC331" s="2029">
        <v>0</v>
      </c>
      <c r="BD331" s="2029">
        <v>0</v>
      </c>
      <c r="BE331" s="2029">
        <v>0</v>
      </c>
      <c r="BF331" s="2124">
        <v>57.5</v>
      </c>
      <c r="BG331" s="2029">
        <v>57.5</v>
      </c>
      <c r="BH331" s="2029">
        <v>57.5</v>
      </c>
      <c r="BI331" s="2029">
        <v>57.5</v>
      </c>
      <c r="BJ331" s="2030">
        <f t="shared" si="176"/>
        <v>324.62495100000001</v>
      </c>
      <c r="BK331" s="2030">
        <f t="shared" si="176"/>
        <v>0</v>
      </c>
      <c r="BL331" s="2030">
        <f t="shared" si="176"/>
        <v>0</v>
      </c>
      <c r="BM331" s="2030" t="s">
        <v>3286</v>
      </c>
      <c r="BN331" s="2030">
        <f t="shared" si="177"/>
        <v>0</v>
      </c>
      <c r="BO331" s="2030">
        <f t="shared" si="178"/>
        <v>0</v>
      </c>
      <c r="BP331" s="2030" t="s">
        <v>3286</v>
      </c>
      <c r="BQ331" s="2030">
        <f t="shared" si="179"/>
        <v>0</v>
      </c>
      <c r="BR331" s="2030">
        <f t="shared" si="179"/>
        <v>0</v>
      </c>
      <c r="BS331" s="2030">
        <f t="shared" si="179"/>
        <v>0</v>
      </c>
      <c r="BT331" s="2125"/>
      <c r="BU331" s="2125"/>
      <c r="BV331" s="2125"/>
      <c r="BW331" s="2125"/>
      <c r="BX331" s="2125"/>
      <c r="BY331" s="2125"/>
      <c r="BZ331" s="2125"/>
      <c r="CA331" s="2125"/>
      <c r="CB331" s="2029"/>
      <c r="CC331" s="2029"/>
      <c r="CD331" s="2029"/>
      <c r="CE331" s="2029"/>
      <c r="CF331" s="2029"/>
      <c r="CG331" s="2032"/>
      <c r="CH331" s="1974">
        <v>0</v>
      </c>
      <c r="CI331" s="1974">
        <v>0</v>
      </c>
      <c r="CJ331" s="1974">
        <v>0</v>
      </c>
      <c r="CK331" s="1974">
        <v>0</v>
      </c>
      <c r="CL331" s="1974">
        <v>1</v>
      </c>
      <c r="CM331" s="2033">
        <v>2.4606227558572962E-5</v>
      </c>
      <c r="CN331" s="2026">
        <v>-5.2011146640564506E-5</v>
      </c>
      <c r="CO331" s="1974">
        <v>1</v>
      </c>
      <c r="CP331" s="2031">
        <v>-0.67827777777777754</v>
      </c>
      <c r="CQ331" s="2031">
        <f t="shared" si="183"/>
        <v>0.67827777777777754</v>
      </c>
      <c r="CR331" s="2026">
        <v>1</v>
      </c>
      <c r="CS331" s="2026">
        <v>1</v>
      </c>
      <c r="CT331" s="2026">
        <v>0.33985765124555156</v>
      </c>
      <c r="CU331" s="2026">
        <v>0.33985765124555156</v>
      </c>
      <c r="CV331" s="2036"/>
      <c r="CW331" s="2036"/>
      <c r="CX331" s="2036"/>
      <c r="CY331" s="2036"/>
      <c r="CZ331" s="2036"/>
      <c r="DA331" s="2036"/>
      <c r="DB331" s="1973">
        <v>1</v>
      </c>
    </row>
    <row r="332" spans="1:106" x14ac:dyDescent="0.25">
      <c r="A332" s="2277" t="str">
        <f t="shared" si="170"/>
        <v>New T5 fluorescent replacing an existing T12</v>
      </c>
      <c r="B332" s="1974" t="str">
        <f t="shared" si="170"/>
        <v xml:space="preserve">BPL43 </v>
      </c>
      <c r="C332" s="2027">
        <v>15</v>
      </c>
      <c r="D332" s="2027">
        <v>1</v>
      </c>
      <c r="E332" s="1973">
        <f>F332*$CS332</f>
        <v>439.1147088838627</v>
      </c>
      <c r="F332" s="2144">
        <v>439.1147088838627</v>
      </c>
      <c r="G332" s="1973">
        <f>H332*$CS332</f>
        <v>7.9816451466530131E-2</v>
      </c>
      <c r="H332" s="2145">
        <v>7.9816451466530131E-2</v>
      </c>
      <c r="I332" s="1973">
        <f>J332*$CS332</f>
        <v>-6.9807196028869232</v>
      </c>
      <c r="J332" s="2027">
        <v>-6.9807196028869232</v>
      </c>
      <c r="K332" s="1974" t="s">
        <v>2988</v>
      </c>
      <c r="L332" s="1974" t="s">
        <v>2988</v>
      </c>
      <c r="M332" s="2026">
        <v>0.9</v>
      </c>
      <c r="N332" s="2026">
        <v>0.9</v>
      </c>
      <c r="O332" s="2026">
        <v>0.9</v>
      </c>
      <c r="P332" s="2026">
        <v>0.9</v>
      </c>
      <c r="Q332" s="2027">
        <f t="shared" si="187"/>
        <v>395.20323799547646</v>
      </c>
      <c r="R332" s="2027">
        <f t="shared" si="187"/>
        <v>395.20323799547646</v>
      </c>
      <c r="S332" s="2027">
        <f t="shared" si="187"/>
        <v>395.20323799547646</v>
      </c>
      <c r="T332" s="2027">
        <f t="shared" si="187"/>
        <v>395.20323799547646</v>
      </c>
      <c r="U332" s="2026">
        <v>0.9</v>
      </c>
      <c r="V332" s="2026">
        <v>0.9</v>
      </c>
      <c r="W332" s="2026">
        <v>0.9</v>
      </c>
      <c r="X332" s="2026">
        <v>0.9</v>
      </c>
      <c r="Y332" s="2028">
        <f t="shared" si="188"/>
        <v>7.1834806319877126E-2</v>
      </c>
      <c r="Z332" s="2028">
        <f t="shared" si="188"/>
        <v>7.1834806319877126E-2</v>
      </c>
      <c r="AA332" s="2028">
        <f t="shared" si="188"/>
        <v>7.1834806319877126E-2</v>
      </c>
      <c r="AB332" s="2028">
        <f t="shared" si="188"/>
        <v>7.1834806319877126E-2</v>
      </c>
      <c r="AC332" s="2026">
        <v>0.9</v>
      </c>
      <c r="AD332" s="2026">
        <v>0.9</v>
      </c>
      <c r="AE332" s="2026">
        <v>0.9</v>
      </c>
      <c r="AF332" s="2026">
        <v>0.9</v>
      </c>
      <c r="AG332" s="2027">
        <f t="shared" si="189"/>
        <v>-6.2826476425982314</v>
      </c>
      <c r="AH332" s="2027">
        <f t="shared" si="189"/>
        <v>-6.2826476425982314</v>
      </c>
      <c r="AI332" s="2027">
        <f t="shared" si="189"/>
        <v>-6.2826476425982314</v>
      </c>
      <c r="AJ332" s="2027">
        <f t="shared" si="189"/>
        <v>-6.2826476425982314</v>
      </c>
      <c r="AK332" s="2027">
        <v>8</v>
      </c>
      <c r="AL332" s="2027">
        <v>0</v>
      </c>
      <c r="AM332" s="2027">
        <v>0</v>
      </c>
      <c r="AN332" s="2027">
        <v>0</v>
      </c>
      <c r="AO332" s="2027">
        <f t="shared" si="171"/>
        <v>3161.6259039638117</v>
      </c>
      <c r="AP332" s="2027">
        <f t="shared" si="172"/>
        <v>0</v>
      </c>
      <c r="AQ332" s="2027">
        <f t="shared" si="172"/>
        <v>0</v>
      </c>
      <c r="AR332" s="2027" t="s">
        <v>3286</v>
      </c>
      <c r="AS332" s="2027">
        <f t="shared" si="173"/>
        <v>0</v>
      </c>
      <c r="AT332" s="2027">
        <f t="shared" si="174"/>
        <v>-50.261181140785851</v>
      </c>
      <c r="AU332" s="2027">
        <f t="shared" si="175"/>
        <v>0</v>
      </c>
      <c r="AV332" s="2027">
        <f t="shared" si="175"/>
        <v>0</v>
      </c>
      <c r="AW332" s="2027">
        <f t="shared" si="175"/>
        <v>0</v>
      </c>
      <c r="AX332" s="2124">
        <v>10.727499299999998</v>
      </c>
      <c r="AY332" s="2029">
        <v>10.727499299999998</v>
      </c>
      <c r="AZ332" s="2029">
        <v>10.727499299999998</v>
      </c>
      <c r="BA332" s="2029">
        <v>10.727499299999998</v>
      </c>
      <c r="BB332" s="2124">
        <v>0</v>
      </c>
      <c r="BC332" s="2029">
        <v>0</v>
      </c>
      <c r="BD332" s="2029">
        <v>0</v>
      </c>
      <c r="BE332" s="2029">
        <v>0</v>
      </c>
      <c r="BF332" s="2124">
        <v>55</v>
      </c>
      <c r="BG332" s="2029">
        <v>55</v>
      </c>
      <c r="BH332" s="2029">
        <v>55</v>
      </c>
      <c r="BI332" s="2029">
        <v>55</v>
      </c>
      <c r="BJ332" s="2030">
        <f t="shared" si="176"/>
        <v>85.819994399999985</v>
      </c>
      <c r="BK332" s="2030">
        <f t="shared" si="176"/>
        <v>0</v>
      </c>
      <c r="BL332" s="2030">
        <f t="shared" si="176"/>
        <v>0</v>
      </c>
      <c r="BM332" s="2030" t="s">
        <v>3286</v>
      </c>
      <c r="BN332" s="2030">
        <f t="shared" si="177"/>
        <v>0</v>
      </c>
      <c r="BO332" s="2030">
        <f t="shared" si="178"/>
        <v>0</v>
      </c>
      <c r="BP332" s="2030" t="s">
        <v>3286</v>
      </c>
      <c r="BQ332" s="2030">
        <f t="shared" si="179"/>
        <v>0</v>
      </c>
      <c r="BR332" s="2030">
        <f t="shared" si="179"/>
        <v>0</v>
      </c>
      <c r="BS332" s="2030">
        <f t="shared" si="179"/>
        <v>0</v>
      </c>
      <c r="BT332" s="2125"/>
      <c r="BU332" s="2125"/>
      <c r="BV332" s="2125"/>
      <c r="BW332" s="2125"/>
      <c r="BX332" s="2125"/>
      <c r="BY332" s="2125"/>
      <c r="BZ332" s="2125"/>
      <c r="CA332" s="2125"/>
      <c r="CB332" s="2029"/>
      <c r="CC332" s="2029"/>
      <c r="CD332" s="2029"/>
      <c r="CE332" s="2029"/>
      <c r="CF332" s="2029"/>
      <c r="CG332" s="2032"/>
      <c r="CH332" s="1974">
        <v>0</v>
      </c>
      <c r="CI332" s="1974">
        <v>0</v>
      </c>
      <c r="CJ332" s="1974">
        <v>0</v>
      </c>
      <c r="CK332" s="1974">
        <v>0</v>
      </c>
      <c r="CL332" s="1974">
        <v>1</v>
      </c>
      <c r="CM332" s="2033">
        <v>1.191366213412803E-5</v>
      </c>
      <c r="CN332" s="2026">
        <v>-1.821382048414428E-5</v>
      </c>
      <c r="CO332" s="1974">
        <v>1</v>
      </c>
      <c r="CP332" s="2031">
        <v>2.5533333333333332</v>
      </c>
      <c r="CQ332" s="2031">
        <f t="shared" si="183"/>
        <v>-2.5533333333333332</v>
      </c>
      <c r="CR332" s="2026">
        <v>1</v>
      </c>
      <c r="CS332" s="2026">
        <v>1</v>
      </c>
      <c r="CT332" s="2026">
        <v>0.6123711340206186</v>
      </c>
      <c r="CU332" s="2026">
        <v>0.6123711340206186</v>
      </c>
      <c r="CV332" s="2036"/>
      <c r="CW332" s="2036"/>
      <c r="CX332" s="2036"/>
      <c r="CY332" s="2036"/>
      <c r="CZ332" s="2036"/>
      <c r="DA332" s="2036"/>
      <c r="DB332" s="1973">
        <v>1</v>
      </c>
    </row>
    <row r="333" spans="1:106" x14ac:dyDescent="0.25">
      <c r="A333" s="2277" t="str">
        <f t="shared" si="170"/>
        <v>High efficiency T5 or T8 fluorescent fixtures replacing existing T12 recessed or surface mounted troffer (prismatic, parabolic, or semi-indirect fixture)</v>
      </c>
      <c r="B333" s="1974" t="str">
        <f t="shared" si="170"/>
        <v xml:space="preserve">BPL64  </v>
      </c>
      <c r="C333" s="2027">
        <v>15</v>
      </c>
      <c r="D333" s="2027">
        <v>1</v>
      </c>
      <c r="E333" s="1973">
        <f>F333*$CS333</f>
        <v>294.92441911098473</v>
      </c>
      <c r="F333" s="2144">
        <v>294.92441911098473</v>
      </c>
      <c r="G333" s="1973">
        <f>H333*$CS333</f>
        <v>5.9785319096292269E-2</v>
      </c>
      <c r="H333" s="2145">
        <v>5.9785319096292269E-2</v>
      </c>
      <c r="I333" s="1973">
        <f>J333*$CS333</f>
        <v>-6.3152950628887501</v>
      </c>
      <c r="J333" s="2027">
        <v>-6.3152950628887501</v>
      </c>
      <c r="K333" s="1974" t="s">
        <v>2988</v>
      </c>
      <c r="L333" s="1974" t="s">
        <v>2988</v>
      </c>
      <c r="M333" s="2026">
        <v>0.9</v>
      </c>
      <c r="N333" s="2026">
        <v>0.9</v>
      </c>
      <c r="O333" s="2026">
        <v>0.9</v>
      </c>
      <c r="P333" s="2026">
        <v>0.9</v>
      </c>
      <c r="Q333" s="2027">
        <f t="shared" si="187"/>
        <v>265.43197719988626</v>
      </c>
      <c r="R333" s="2027">
        <f t="shared" si="187"/>
        <v>265.43197719988626</v>
      </c>
      <c r="S333" s="2027">
        <f t="shared" si="187"/>
        <v>265.43197719988626</v>
      </c>
      <c r="T333" s="2027">
        <f t="shared" si="187"/>
        <v>265.43197719988626</v>
      </c>
      <c r="U333" s="2026">
        <v>0.9</v>
      </c>
      <c r="V333" s="2026">
        <v>0.9</v>
      </c>
      <c r="W333" s="2026">
        <v>0.9</v>
      </c>
      <c r="X333" s="2026">
        <v>0.9</v>
      </c>
      <c r="Y333" s="2028">
        <f t="shared" si="188"/>
        <v>5.3806787186663041E-2</v>
      </c>
      <c r="Z333" s="2028">
        <f t="shared" si="188"/>
        <v>5.3806787186663041E-2</v>
      </c>
      <c r="AA333" s="2028">
        <f t="shared" si="188"/>
        <v>5.3806787186663041E-2</v>
      </c>
      <c r="AB333" s="2028">
        <f t="shared" si="188"/>
        <v>5.3806787186663041E-2</v>
      </c>
      <c r="AC333" s="2026">
        <v>0.9</v>
      </c>
      <c r="AD333" s="2026">
        <v>0.9</v>
      </c>
      <c r="AE333" s="2026">
        <v>0.9</v>
      </c>
      <c r="AF333" s="2026">
        <v>0.9</v>
      </c>
      <c r="AG333" s="2027">
        <f t="shared" si="189"/>
        <v>-5.6837655565998748</v>
      </c>
      <c r="AH333" s="2027">
        <f t="shared" si="189"/>
        <v>-5.6837655565998748</v>
      </c>
      <c r="AI333" s="2027">
        <f t="shared" si="189"/>
        <v>-5.6837655565998748</v>
      </c>
      <c r="AJ333" s="2027">
        <f t="shared" si="189"/>
        <v>-5.6837655565998748</v>
      </c>
      <c r="AK333" s="2027">
        <v>12</v>
      </c>
      <c r="AL333" s="2027">
        <v>0</v>
      </c>
      <c r="AM333" s="2027">
        <v>0</v>
      </c>
      <c r="AN333" s="2027">
        <v>0</v>
      </c>
      <c r="AO333" s="2027">
        <f t="shared" si="171"/>
        <v>3185.1837263986354</v>
      </c>
      <c r="AP333" s="2027">
        <f t="shared" si="172"/>
        <v>0</v>
      </c>
      <c r="AQ333" s="2027">
        <f t="shared" si="172"/>
        <v>0</v>
      </c>
      <c r="AR333" s="2027" t="s">
        <v>3286</v>
      </c>
      <c r="AS333" s="2027">
        <f t="shared" si="173"/>
        <v>0</v>
      </c>
      <c r="AT333" s="2027">
        <f t="shared" si="174"/>
        <v>-68.205186679198505</v>
      </c>
      <c r="AU333" s="2027">
        <f t="shared" si="175"/>
        <v>0</v>
      </c>
      <c r="AV333" s="2027">
        <f t="shared" si="175"/>
        <v>0</v>
      </c>
      <c r="AW333" s="2027">
        <f t="shared" si="175"/>
        <v>0</v>
      </c>
      <c r="AX333" s="2124">
        <v>7.6912499999999984</v>
      </c>
      <c r="AY333" s="2029">
        <v>7.6912499999999984</v>
      </c>
      <c r="AZ333" s="2029">
        <v>7.6912499999999984</v>
      </c>
      <c r="BA333" s="2029">
        <v>7.6912499999999984</v>
      </c>
      <c r="BB333" s="2124">
        <v>0</v>
      </c>
      <c r="BC333" s="2029">
        <v>0</v>
      </c>
      <c r="BD333" s="2029">
        <v>0</v>
      </c>
      <c r="BE333" s="2029">
        <v>0</v>
      </c>
      <c r="BF333" s="2124">
        <v>55</v>
      </c>
      <c r="BG333" s="2029">
        <v>55</v>
      </c>
      <c r="BH333" s="2029">
        <v>55</v>
      </c>
      <c r="BI333" s="2029">
        <v>55</v>
      </c>
      <c r="BJ333" s="2030">
        <f t="shared" si="176"/>
        <v>92.294999999999987</v>
      </c>
      <c r="BK333" s="2030">
        <f t="shared" si="176"/>
        <v>0</v>
      </c>
      <c r="BL333" s="2030">
        <f t="shared" si="176"/>
        <v>0</v>
      </c>
      <c r="BM333" s="2030" t="s">
        <v>3286</v>
      </c>
      <c r="BN333" s="2030">
        <f t="shared" si="177"/>
        <v>0</v>
      </c>
      <c r="BO333" s="2030">
        <f t="shared" si="178"/>
        <v>0</v>
      </c>
      <c r="BP333" s="2030" t="s">
        <v>3286</v>
      </c>
      <c r="BQ333" s="2030">
        <f t="shared" si="179"/>
        <v>0</v>
      </c>
      <c r="BR333" s="2030">
        <f t="shared" si="179"/>
        <v>0</v>
      </c>
      <c r="BS333" s="2030">
        <f t="shared" si="179"/>
        <v>0</v>
      </c>
      <c r="BT333" s="2125"/>
      <c r="BU333" s="2125"/>
      <c r="BV333" s="2125"/>
      <c r="BW333" s="2125"/>
      <c r="BX333" s="2125"/>
      <c r="BY333" s="2125"/>
      <c r="BZ333" s="2125"/>
      <c r="CA333" s="2125"/>
      <c r="CB333" s="2029"/>
      <c r="CC333" s="2029"/>
      <c r="CD333" s="2029"/>
      <c r="CE333" s="2029"/>
      <c r="CF333" s="2029"/>
      <c r="CG333" s="2032"/>
      <c r="CH333" s="1974">
        <v>0</v>
      </c>
      <c r="CI333" s="1974">
        <v>0</v>
      </c>
      <c r="CJ333" s="1974">
        <v>0</v>
      </c>
      <c r="CK333" s="1974">
        <v>0</v>
      </c>
      <c r="CL333" s="1974">
        <v>1</v>
      </c>
      <c r="CM333" s="2033">
        <v>1.133563106750504E-5</v>
      </c>
      <c r="CN333" s="2026">
        <v>-2.3343296143959473E-5</v>
      </c>
      <c r="CO333" s="1974">
        <v>1</v>
      </c>
      <c r="CP333" s="2031">
        <v>-0.67827777777777754</v>
      </c>
      <c r="CQ333" s="2031">
        <f t="shared" si="183"/>
        <v>0.67827777777777754</v>
      </c>
      <c r="CR333" s="2026">
        <v>1</v>
      </c>
      <c r="CS333" s="2026">
        <v>1</v>
      </c>
      <c r="CT333" s="2026">
        <v>0.45</v>
      </c>
      <c r="CU333" s="2026">
        <v>0.45</v>
      </c>
      <c r="CV333" s="2036"/>
      <c r="CW333" s="2036"/>
      <c r="CX333" s="2036"/>
      <c r="CY333" s="2036"/>
      <c r="CZ333" s="2036"/>
      <c r="DA333" s="2036"/>
      <c r="DB333" s="1973">
        <v>1</v>
      </c>
    </row>
    <row r="334" spans="1:106" x14ac:dyDescent="0.25">
      <c r="A334" s="2277" t="str">
        <f t="shared" si="170"/>
        <v>Fixture mounted occupancy sensor for fluorescent or LED systems</v>
      </c>
      <c r="B334" s="1974" t="str">
        <f t="shared" si="170"/>
        <v>BPL72</v>
      </c>
      <c r="C334" s="2027">
        <v>8</v>
      </c>
      <c r="D334" s="2027"/>
      <c r="E334" s="2285">
        <v>111.37728</v>
      </c>
      <c r="F334" s="2144"/>
      <c r="G334" s="2145">
        <v>8.7393600000000002E-2</v>
      </c>
      <c r="H334" s="2145"/>
      <c r="I334" s="2027">
        <v>-3.2113999999999998</v>
      </c>
      <c r="J334" s="2027"/>
      <c r="K334" s="1974" t="s">
        <v>2988</v>
      </c>
      <c r="L334" s="1974" t="s">
        <v>2988</v>
      </c>
      <c r="M334" s="2026">
        <v>0.9</v>
      </c>
      <c r="N334" s="2026">
        <v>0.9</v>
      </c>
      <c r="O334" s="2026">
        <v>0.9</v>
      </c>
      <c r="P334" s="2026">
        <v>0.9</v>
      </c>
      <c r="Q334" s="2027">
        <f t="shared" si="184"/>
        <v>100.239552</v>
      </c>
      <c r="R334" s="2027">
        <f t="shared" si="184"/>
        <v>100.239552</v>
      </c>
      <c r="S334" s="2027">
        <f t="shared" si="184"/>
        <v>100.239552</v>
      </c>
      <c r="T334" s="2027">
        <f t="shared" si="184"/>
        <v>100.239552</v>
      </c>
      <c r="U334" s="2026">
        <v>0.9</v>
      </c>
      <c r="V334" s="2026">
        <v>0.9</v>
      </c>
      <c r="W334" s="2026">
        <v>0.9</v>
      </c>
      <c r="X334" s="2026">
        <v>0.9</v>
      </c>
      <c r="Y334" s="2028">
        <f t="shared" si="185"/>
        <v>7.865424E-2</v>
      </c>
      <c r="Z334" s="2028">
        <f t="shared" si="185"/>
        <v>7.865424E-2</v>
      </c>
      <c r="AA334" s="2028">
        <f t="shared" si="185"/>
        <v>7.865424E-2</v>
      </c>
      <c r="AB334" s="2028">
        <f t="shared" si="185"/>
        <v>7.865424E-2</v>
      </c>
      <c r="AC334" s="2026">
        <v>0.9</v>
      </c>
      <c r="AD334" s="2026">
        <v>0.9</v>
      </c>
      <c r="AE334" s="2026">
        <v>0.9</v>
      </c>
      <c r="AF334" s="2026">
        <v>0.9</v>
      </c>
      <c r="AG334" s="2027">
        <f t="shared" si="186"/>
        <v>-2.8902600000000001</v>
      </c>
      <c r="AH334" s="2027">
        <f t="shared" si="186"/>
        <v>-2.8902600000000001</v>
      </c>
      <c r="AI334" s="2027">
        <f t="shared" si="186"/>
        <v>-2.8902600000000001</v>
      </c>
      <c r="AJ334" s="2027">
        <f t="shared" si="186"/>
        <v>-2.8902600000000001</v>
      </c>
      <c r="AK334" s="2027">
        <v>46</v>
      </c>
      <c r="AL334" s="2027">
        <v>49</v>
      </c>
      <c r="AM334" s="2027">
        <v>51</v>
      </c>
      <c r="AN334" s="2027">
        <v>52</v>
      </c>
      <c r="AO334" s="2027">
        <f t="shared" si="171"/>
        <v>4611.0193920000002</v>
      </c>
      <c r="AP334" s="2027">
        <f t="shared" si="172"/>
        <v>4911.7380480000002</v>
      </c>
      <c r="AQ334" s="2027">
        <f t="shared" si="172"/>
        <v>5112.2171520000002</v>
      </c>
      <c r="AR334" s="2027" t="s">
        <v>3286</v>
      </c>
      <c r="AS334" s="2027">
        <f t="shared" si="173"/>
        <v>5212.4567040000002</v>
      </c>
      <c r="AT334" s="2027">
        <f t="shared" si="174"/>
        <v>-132.95196000000001</v>
      </c>
      <c r="AU334" s="2027">
        <f t="shared" si="175"/>
        <v>-141.62273999999999</v>
      </c>
      <c r="AV334" s="2027">
        <f t="shared" si="175"/>
        <v>-147.40325999999999</v>
      </c>
      <c r="AW334" s="2027">
        <f t="shared" si="175"/>
        <v>-150.29352</v>
      </c>
      <c r="AX334" s="2124">
        <v>42</v>
      </c>
      <c r="AY334" s="2029">
        <v>42</v>
      </c>
      <c r="AZ334" s="2029">
        <v>42</v>
      </c>
      <c r="BA334" s="2029">
        <v>42</v>
      </c>
      <c r="BB334" s="2124">
        <v>0</v>
      </c>
      <c r="BC334" s="2029">
        <v>0</v>
      </c>
      <c r="BD334" s="2029">
        <v>0</v>
      </c>
      <c r="BE334" s="2029">
        <v>0</v>
      </c>
      <c r="BF334" s="2124">
        <v>91.83</v>
      </c>
      <c r="BG334" s="2029">
        <v>91.83</v>
      </c>
      <c r="BH334" s="2029">
        <v>91.83</v>
      </c>
      <c r="BI334" s="2029">
        <v>91.83</v>
      </c>
      <c r="BJ334" s="2030">
        <f t="shared" si="176"/>
        <v>1932</v>
      </c>
      <c r="BK334" s="2030">
        <f t="shared" si="176"/>
        <v>2058</v>
      </c>
      <c r="BL334" s="2030">
        <f t="shared" si="176"/>
        <v>2142</v>
      </c>
      <c r="BM334" s="2030" t="s">
        <v>3286</v>
      </c>
      <c r="BN334" s="2030">
        <f t="shared" si="177"/>
        <v>2184</v>
      </c>
      <c r="BO334" s="2030">
        <f t="shared" si="178"/>
        <v>0</v>
      </c>
      <c r="BP334" s="2030" t="s">
        <v>3286</v>
      </c>
      <c r="BQ334" s="2030">
        <f t="shared" si="179"/>
        <v>0</v>
      </c>
      <c r="BR334" s="2030">
        <f t="shared" si="179"/>
        <v>0</v>
      </c>
      <c r="BS334" s="2030">
        <f t="shared" si="179"/>
        <v>0</v>
      </c>
      <c r="BT334" s="2125"/>
      <c r="BU334" s="2125"/>
      <c r="BV334" s="2125"/>
      <c r="BW334" s="2125"/>
      <c r="BX334" s="2125"/>
      <c r="BY334" s="2125"/>
      <c r="BZ334" s="2125"/>
      <c r="CA334" s="2125"/>
      <c r="CB334" s="2029"/>
      <c r="CC334" s="2029"/>
      <c r="CD334" s="2029"/>
      <c r="CE334" s="2029"/>
      <c r="CF334" s="2029"/>
      <c r="CG334" s="2032"/>
      <c r="CH334" s="1974">
        <v>0</v>
      </c>
      <c r="CI334" s="1974">
        <v>0</v>
      </c>
      <c r="CJ334" s="1974">
        <v>0</v>
      </c>
      <c r="CK334" s="1974">
        <v>0</v>
      </c>
      <c r="CL334" s="1974">
        <v>0</v>
      </c>
      <c r="CM334" s="2033">
        <v>1.7123461789809912E-5</v>
      </c>
      <c r="CN334" s="2026">
        <v>-4.7481335703368405E-5</v>
      </c>
      <c r="CO334" s="1974">
        <v>0</v>
      </c>
      <c r="CP334" s="2031">
        <v>0</v>
      </c>
      <c r="CQ334" s="2031">
        <f t="shared" si="183"/>
        <v>0</v>
      </c>
      <c r="CR334" s="2026">
        <v>1</v>
      </c>
      <c r="CS334" s="2026">
        <v>1</v>
      </c>
      <c r="CT334" s="2026">
        <v>1</v>
      </c>
      <c r="CU334" s="2026">
        <v>1</v>
      </c>
      <c r="CV334" s="2036"/>
      <c r="CW334" s="2036"/>
      <c r="CX334" s="2036"/>
      <c r="CY334" s="2036"/>
      <c r="CZ334" s="2036"/>
      <c r="DA334" s="2036"/>
      <c r="DB334" s="1973">
        <v>1</v>
      </c>
    </row>
    <row r="335" spans="1:106" x14ac:dyDescent="0.25">
      <c r="A335" s="2277" t="str">
        <f t="shared" si="170"/>
        <v>Remote mounted occupancy sensors using ultrasonic or passive infrared technology</v>
      </c>
      <c r="B335" s="1974" t="str">
        <f t="shared" si="170"/>
        <v>BPL73</v>
      </c>
      <c r="C335" s="2027">
        <v>8</v>
      </c>
      <c r="D335" s="2027"/>
      <c r="E335" s="2144">
        <v>342.19058999999999</v>
      </c>
      <c r="F335" s="2144"/>
      <c r="G335" s="2145">
        <v>0.25101370000000001</v>
      </c>
      <c r="H335" s="2145"/>
      <c r="I335" s="2027">
        <v>-9.8665699999999994</v>
      </c>
      <c r="J335" s="2027"/>
      <c r="K335" s="1974" t="s">
        <v>2988</v>
      </c>
      <c r="L335" s="1974" t="s">
        <v>2988</v>
      </c>
      <c r="M335" s="2026">
        <v>0.9</v>
      </c>
      <c r="N335" s="2026">
        <v>0.9</v>
      </c>
      <c r="O335" s="2026">
        <v>0.9</v>
      </c>
      <c r="P335" s="2026">
        <v>0.9</v>
      </c>
      <c r="Q335" s="2027">
        <f t="shared" si="184"/>
        <v>307.97153099999997</v>
      </c>
      <c r="R335" s="2027">
        <f t="shared" si="184"/>
        <v>307.97153099999997</v>
      </c>
      <c r="S335" s="2027">
        <f t="shared" si="184"/>
        <v>307.97153099999997</v>
      </c>
      <c r="T335" s="2027">
        <f t="shared" si="184"/>
        <v>307.97153099999997</v>
      </c>
      <c r="U335" s="2026">
        <v>0.9</v>
      </c>
      <c r="V335" s="2026">
        <v>0.9</v>
      </c>
      <c r="W335" s="2026">
        <v>0.9</v>
      </c>
      <c r="X335" s="2026">
        <v>0.9</v>
      </c>
      <c r="Y335" s="2028">
        <f t="shared" si="185"/>
        <v>0.22591233000000002</v>
      </c>
      <c r="Z335" s="2028">
        <f t="shared" si="185"/>
        <v>0.22591233000000002</v>
      </c>
      <c r="AA335" s="2028">
        <f t="shared" si="185"/>
        <v>0.22591233000000002</v>
      </c>
      <c r="AB335" s="2028">
        <f t="shared" si="185"/>
        <v>0.22591233000000002</v>
      </c>
      <c r="AC335" s="2026">
        <v>0.9</v>
      </c>
      <c r="AD335" s="2026">
        <v>0.9</v>
      </c>
      <c r="AE335" s="2026">
        <v>0.9</v>
      </c>
      <c r="AF335" s="2026">
        <v>0.9</v>
      </c>
      <c r="AG335" s="2027">
        <f t="shared" si="186"/>
        <v>-8.8799130000000002</v>
      </c>
      <c r="AH335" s="2027">
        <f t="shared" si="186"/>
        <v>-8.8799130000000002</v>
      </c>
      <c r="AI335" s="2027">
        <f t="shared" si="186"/>
        <v>-8.8799130000000002</v>
      </c>
      <c r="AJ335" s="2027">
        <f t="shared" si="186"/>
        <v>-8.8799130000000002</v>
      </c>
      <c r="AK335" s="2027">
        <v>32</v>
      </c>
      <c r="AL335" s="2027">
        <v>35</v>
      </c>
      <c r="AM335" s="2027">
        <v>36</v>
      </c>
      <c r="AN335" s="2027">
        <v>37</v>
      </c>
      <c r="AO335" s="2027">
        <f t="shared" si="171"/>
        <v>9855.0889919999991</v>
      </c>
      <c r="AP335" s="2027">
        <f t="shared" si="172"/>
        <v>10779.003584999999</v>
      </c>
      <c r="AQ335" s="2027">
        <f t="shared" si="172"/>
        <v>11086.975116</v>
      </c>
      <c r="AR335" s="2027" t="s">
        <v>3286</v>
      </c>
      <c r="AS335" s="2027">
        <f t="shared" si="173"/>
        <v>11394.946646999999</v>
      </c>
      <c r="AT335" s="2027">
        <f t="shared" si="174"/>
        <v>-284.15721600000001</v>
      </c>
      <c r="AU335" s="2027">
        <f t="shared" si="175"/>
        <v>-310.79695500000003</v>
      </c>
      <c r="AV335" s="2027">
        <f t="shared" si="175"/>
        <v>-319.67686800000001</v>
      </c>
      <c r="AW335" s="2027">
        <f t="shared" si="175"/>
        <v>-328.556781</v>
      </c>
      <c r="AX335" s="2124">
        <v>42</v>
      </c>
      <c r="AY335" s="2029">
        <v>42</v>
      </c>
      <c r="AZ335" s="2029">
        <v>42</v>
      </c>
      <c r="BA335" s="2029">
        <v>42</v>
      </c>
      <c r="BB335" s="2124">
        <v>0</v>
      </c>
      <c r="BC335" s="2029">
        <v>0</v>
      </c>
      <c r="BD335" s="2029">
        <v>0</v>
      </c>
      <c r="BE335" s="2029">
        <v>0</v>
      </c>
      <c r="BF335" s="2124">
        <v>102</v>
      </c>
      <c r="BG335" s="2029">
        <v>102</v>
      </c>
      <c r="BH335" s="2029">
        <v>102</v>
      </c>
      <c r="BI335" s="2029">
        <v>102</v>
      </c>
      <c r="BJ335" s="2030">
        <f t="shared" si="176"/>
        <v>1344</v>
      </c>
      <c r="BK335" s="2030">
        <f t="shared" si="176"/>
        <v>1470</v>
      </c>
      <c r="BL335" s="2030">
        <f t="shared" si="176"/>
        <v>1512</v>
      </c>
      <c r="BM335" s="2030" t="s">
        <v>3286</v>
      </c>
      <c r="BN335" s="2030">
        <f t="shared" si="177"/>
        <v>1554</v>
      </c>
      <c r="BO335" s="2030">
        <f t="shared" si="178"/>
        <v>0</v>
      </c>
      <c r="BP335" s="2030" t="s">
        <v>3286</v>
      </c>
      <c r="BQ335" s="2030">
        <f t="shared" si="179"/>
        <v>0</v>
      </c>
      <c r="BR335" s="2030">
        <f t="shared" si="179"/>
        <v>0</v>
      </c>
      <c r="BS335" s="2030">
        <f t="shared" si="179"/>
        <v>0</v>
      </c>
      <c r="BT335" s="2125"/>
      <c r="BU335" s="2125"/>
      <c r="BV335" s="2125"/>
      <c r="BW335" s="2125"/>
      <c r="BX335" s="2125"/>
      <c r="BY335" s="2125"/>
      <c r="BZ335" s="2125"/>
      <c r="CA335" s="2125"/>
      <c r="CB335" s="2029"/>
      <c r="CC335" s="2029"/>
      <c r="CD335" s="2029"/>
      <c r="CE335" s="2029"/>
      <c r="CF335" s="2029"/>
      <c r="CG335" s="2032"/>
      <c r="CH335" s="1974">
        <v>0</v>
      </c>
      <c r="CI335" s="1974">
        <v>0</v>
      </c>
      <c r="CJ335" s="1974">
        <v>0</v>
      </c>
      <c r="CK335" s="1974">
        <v>0</v>
      </c>
      <c r="CL335" s="1974">
        <v>0</v>
      </c>
      <c r="CM335" s="2033">
        <v>3.713601928844655E-5</v>
      </c>
      <c r="CN335" s="2026">
        <v>-1.0297387375360212E-4</v>
      </c>
      <c r="CO335" s="1974">
        <v>0</v>
      </c>
      <c r="CP335" s="2031">
        <v>0</v>
      </c>
      <c r="CQ335" s="2031">
        <f t="shared" si="183"/>
        <v>0</v>
      </c>
      <c r="CR335" s="2026">
        <v>1</v>
      </c>
      <c r="CS335" s="2026">
        <v>1</v>
      </c>
      <c r="CT335" s="2026">
        <v>1</v>
      </c>
      <c r="CU335" s="2026">
        <v>1</v>
      </c>
      <c r="CV335" s="2036"/>
      <c r="CW335" s="2036"/>
      <c r="CX335" s="2036"/>
      <c r="CY335" s="2036"/>
      <c r="CZ335" s="2036"/>
      <c r="DA335" s="2036"/>
      <c r="DB335" s="1973">
        <v>1</v>
      </c>
    </row>
    <row r="336" spans="1:106" x14ac:dyDescent="0.25">
      <c r="A336" s="2277" t="str">
        <f t="shared" si="170"/>
        <v>Wall switch plate mounted occupancy sensors using ultrasonic or passive infrared technology</v>
      </c>
      <c r="B336" s="1974" t="str">
        <f t="shared" si="170"/>
        <v>BPL74</v>
      </c>
      <c r="C336" s="2027">
        <v>8</v>
      </c>
      <c r="D336" s="2027"/>
      <c r="E336" s="2144">
        <v>212.89099999999999</v>
      </c>
      <c r="F336" s="2144"/>
      <c r="G336" s="2145">
        <v>6.9999999999999993E-2</v>
      </c>
      <c r="H336" s="2145"/>
      <c r="I336" s="2027">
        <v>-4.42</v>
      </c>
      <c r="J336" s="2027"/>
      <c r="K336" s="1974" t="s">
        <v>2988</v>
      </c>
      <c r="L336" s="1974" t="s">
        <v>2988</v>
      </c>
      <c r="M336" s="2026">
        <v>0.9</v>
      </c>
      <c r="N336" s="2026">
        <v>0.9</v>
      </c>
      <c r="O336" s="2026">
        <v>0.9</v>
      </c>
      <c r="P336" s="2026">
        <v>0.9</v>
      </c>
      <c r="Q336" s="2027">
        <f t="shared" si="184"/>
        <v>191.6019</v>
      </c>
      <c r="R336" s="2027">
        <f t="shared" si="184"/>
        <v>191.6019</v>
      </c>
      <c r="S336" s="2027">
        <f t="shared" si="184"/>
        <v>191.6019</v>
      </c>
      <c r="T336" s="2027">
        <f t="shared" si="184"/>
        <v>191.6019</v>
      </c>
      <c r="U336" s="2026">
        <v>0.9</v>
      </c>
      <c r="V336" s="2026">
        <v>0.9</v>
      </c>
      <c r="W336" s="2026">
        <v>0.9</v>
      </c>
      <c r="X336" s="2026">
        <v>0.9</v>
      </c>
      <c r="Y336" s="2028">
        <f t="shared" si="185"/>
        <v>6.3E-2</v>
      </c>
      <c r="Z336" s="2028">
        <f t="shared" si="185"/>
        <v>6.3E-2</v>
      </c>
      <c r="AA336" s="2028">
        <f t="shared" si="185"/>
        <v>6.3E-2</v>
      </c>
      <c r="AB336" s="2028">
        <f t="shared" si="185"/>
        <v>6.3E-2</v>
      </c>
      <c r="AC336" s="2026">
        <v>0.9</v>
      </c>
      <c r="AD336" s="2026">
        <v>0.9</v>
      </c>
      <c r="AE336" s="2026">
        <v>0.9</v>
      </c>
      <c r="AF336" s="2026">
        <v>0.9</v>
      </c>
      <c r="AG336" s="2027">
        <f t="shared" si="186"/>
        <v>-3.9780000000000002</v>
      </c>
      <c r="AH336" s="2027">
        <f t="shared" si="186"/>
        <v>-3.9780000000000002</v>
      </c>
      <c r="AI336" s="2027">
        <f t="shared" si="186"/>
        <v>-3.9780000000000002</v>
      </c>
      <c r="AJ336" s="2027">
        <f t="shared" si="186"/>
        <v>-3.9780000000000002</v>
      </c>
      <c r="AK336" s="2027">
        <v>45</v>
      </c>
      <c r="AL336" s="2027">
        <v>47</v>
      </c>
      <c r="AM336" s="2027">
        <v>49</v>
      </c>
      <c r="AN336" s="2027">
        <v>50</v>
      </c>
      <c r="AO336" s="2027">
        <f t="shared" si="171"/>
        <v>8622.0854999999992</v>
      </c>
      <c r="AP336" s="2027">
        <f t="shared" si="172"/>
        <v>9005.2893000000004</v>
      </c>
      <c r="AQ336" s="2027">
        <f t="shared" si="172"/>
        <v>9388.4930999999997</v>
      </c>
      <c r="AR336" s="2027" t="s">
        <v>3286</v>
      </c>
      <c r="AS336" s="2027">
        <f t="shared" si="173"/>
        <v>9580.0949999999993</v>
      </c>
      <c r="AT336" s="2027">
        <f t="shared" si="174"/>
        <v>-179.01000000000002</v>
      </c>
      <c r="AU336" s="2027">
        <f t="shared" si="175"/>
        <v>-186.96600000000001</v>
      </c>
      <c r="AV336" s="2027">
        <f t="shared" si="175"/>
        <v>-194.922</v>
      </c>
      <c r="AW336" s="2027">
        <f t="shared" si="175"/>
        <v>-198.9</v>
      </c>
      <c r="AX336" s="2124">
        <v>28</v>
      </c>
      <c r="AY336" s="2029">
        <v>28</v>
      </c>
      <c r="AZ336" s="2029">
        <v>28</v>
      </c>
      <c r="BA336" s="2029">
        <v>28</v>
      </c>
      <c r="BB336" s="2124">
        <v>0</v>
      </c>
      <c r="BC336" s="2029">
        <v>0</v>
      </c>
      <c r="BD336" s="2029">
        <v>0</v>
      </c>
      <c r="BE336" s="2029">
        <v>0</v>
      </c>
      <c r="BF336" s="2124">
        <v>61</v>
      </c>
      <c r="BG336" s="2029">
        <v>61</v>
      </c>
      <c r="BH336" s="2029">
        <v>61</v>
      </c>
      <c r="BI336" s="2029">
        <v>61</v>
      </c>
      <c r="BJ336" s="2030">
        <f t="shared" si="176"/>
        <v>1260</v>
      </c>
      <c r="BK336" s="2030">
        <f t="shared" si="176"/>
        <v>1316</v>
      </c>
      <c r="BL336" s="2030">
        <f t="shared" si="176"/>
        <v>1372</v>
      </c>
      <c r="BM336" s="2030" t="s">
        <v>3286</v>
      </c>
      <c r="BN336" s="2030">
        <f t="shared" si="177"/>
        <v>1400</v>
      </c>
      <c r="BO336" s="2030">
        <f t="shared" si="178"/>
        <v>0</v>
      </c>
      <c r="BP336" s="2030" t="s">
        <v>3286</v>
      </c>
      <c r="BQ336" s="2030">
        <f t="shared" si="179"/>
        <v>0</v>
      </c>
      <c r="BR336" s="2030">
        <f t="shared" si="179"/>
        <v>0</v>
      </c>
      <c r="BS336" s="2030">
        <f t="shared" si="179"/>
        <v>0</v>
      </c>
      <c r="BT336" s="2125"/>
      <c r="BU336" s="2125"/>
      <c r="BV336" s="2125"/>
      <c r="BW336" s="2125"/>
      <c r="BX336" s="2125"/>
      <c r="BY336" s="2125"/>
      <c r="BZ336" s="2125"/>
      <c r="CA336" s="2125"/>
      <c r="CB336" s="2029"/>
      <c r="CC336" s="2029"/>
      <c r="CD336" s="2029"/>
      <c r="CE336" s="2029"/>
      <c r="CF336" s="2029"/>
      <c r="CG336" s="2032"/>
      <c r="CH336" s="1974">
        <v>0</v>
      </c>
      <c r="CI336" s="1974">
        <v>0</v>
      </c>
      <c r="CJ336" s="1974">
        <v>0</v>
      </c>
      <c r="CK336" s="1974">
        <v>0</v>
      </c>
      <c r="CL336" s="1974">
        <v>0</v>
      </c>
      <c r="CM336" s="2033">
        <v>3.2088697681997246E-5</v>
      </c>
      <c r="CN336" s="2026">
        <v>-6.4069394879054761E-5</v>
      </c>
      <c r="CO336" s="1974">
        <v>0</v>
      </c>
      <c r="CP336" s="2031">
        <v>0</v>
      </c>
      <c r="CQ336" s="2031">
        <f t="shared" si="183"/>
        <v>0</v>
      </c>
      <c r="CR336" s="2026">
        <v>1</v>
      </c>
      <c r="CS336" s="2026">
        <v>1</v>
      </c>
      <c r="CT336" s="2026">
        <v>1</v>
      </c>
      <c r="CU336" s="2026">
        <v>1</v>
      </c>
      <c r="CV336" s="2036"/>
      <c r="CW336" s="2036"/>
      <c r="CX336" s="2036"/>
      <c r="CY336" s="2036"/>
      <c r="CZ336" s="2036"/>
      <c r="DA336" s="2036"/>
      <c r="DB336" s="1973">
        <v>1</v>
      </c>
    </row>
    <row r="337" spans="1:106" x14ac:dyDescent="0.25">
      <c r="A337" s="2277" t="str">
        <f t="shared" si="170"/>
        <v>Low wattage occupancy sensors or daylight dimming controls</v>
      </c>
      <c r="B337" s="1974" t="str">
        <f t="shared" si="170"/>
        <v xml:space="preserve">BPL79 </v>
      </c>
      <c r="C337" s="2027">
        <v>8</v>
      </c>
      <c r="D337" s="2027"/>
      <c r="E337" s="2144">
        <v>61.87624799999999</v>
      </c>
      <c r="F337" s="2144"/>
      <c r="G337" s="2145">
        <v>4.8551999999999998E-2</v>
      </c>
      <c r="H337" s="2145"/>
      <c r="I337" s="2027">
        <v>-1.7841100000000001</v>
      </c>
      <c r="J337" s="2027"/>
      <c r="K337" s="1974" t="s">
        <v>2988</v>
      </c>
      <c r="L337" s="1974" t="s">
        <v>2988</v>
      </c>
      <c r="M337" s="2026">
        <v>0.9</v>
      </c>
      <c r="N337" s="2026">
        <v>0.9</v>
      </c>
      <c r="O337" s="2026">
        <v>0.9</v>
      </c>
      <c r="P337" s="2026">
        <v>0.9</v>
      </c>
      <c r="Q337" s="2027">
        <f t="shared" si="184"/>
        <v>55.688623199999995</v>
      </c>
      <c r="R337" s="2027">
        <f t="shared" si="184"/>
        <v>55.688623199999995</v>
      </c>
      <c r="S337" s="2027">
        <f t="shared" si="184"/>
        <v>55.688623199999995</v>
      </c>
      <c r="T337" s="2027">
        <f t="shared" si="184"/>
        <v>55.688623199999995</v>
      </c>
      <c r="U337" s="2026">
        <v>0.9</v>
      </c>
      <c r="V337" s="2026">
        <v>0.9</v>
      </c>
      <c r="W337" s="2026">
        <v>0.9</v>
      </c>
      <c r="X337" s="2026">
        <v>0.9</v>
      </c>
      <c r="Y337" s="2028">
        <f t="shared" si="185"/>
        <v>4.3696800000000001E-2</v>
      </c>
      <c r="Z337" s="2028">
        <f t="shared" si="185"/>
        <v>4.3696800000000001E-2</v>
      </c>
      <c r="AA337" s="2028">
        <f t="shared" si="185"/>
        <v>4.3696800000000001E-2</v>
      </c>
      <c r="AB337" s="2028">
        <f t="shared" si="185"/>
        <v>4.3696800000000001E-2</v>
      </c>
      <c r="AC337" s="2026">
        <v>0.9</v>
      </c>
      <c r="AD337" s="2026">
        <v>0.9</v>
      </c>
      <c r="AE337" s="2026">
        <v>0.9</v>
      </c>
      <c r="AF337" s="2026">
        <v>0.9</v>
      </c>
      <c r="AG337" s="2027">
        <f t="shared" si="186"/>
        <v>-1.6056990000000002</v>
      </c>
      <c r="AH337" s="2027">
        <f t="shared" si="186"/>
        <v>-1.6056990000000002</v>
      </c>
      <c r="AI337" s="2027">
        <f t="shared" si="186"/>
        <v>-1.6056990000000002</v>
      </c>
      <c r="AJ337" s="2027">
        <f t="shared" si="186"/>
        <v>-1.6056990000000002</v>
      </c>
      <c r="AK337" s="2027">
        <v>760</v>
      </c>
      <c r="AL337" s="2027">
        <v>967</v>
      </c>
      <c r="AM337" s="2027">
        <v>1005</v>
      </c>
      <c r="AN337" s="2027">
        <v>1025</v>
      </c>
      <c r="AO337" s="2027">
        <f t="shared" si="171"/>
        <v>42323.353631999998</v>
      </c>
      <c r="AP337" s="2027">
        <f t="shared" si="172"/>
        <v>53850.898634399993</v>
      </c>
      <c r="AQ337" s="2027">
        <f t="shared" si="172"/>
        <v>55967.066315999997</v>
      </c>
      <c r="AR337" s="2027" t="s">
        <v>3286</v>
      </c>
      <c r="AS337" s="2027">
        <f t="shared" si="173"/>
        <v>57080.838779999998</v>
      </c>
      <c r="AT337" s="2027">
        <f t="shared" si="174"/>
        <v>-1220.3312400000002</v>
      </c>
      <c r="AU337" s="2027">
        <f t="shared" si="175"/>
        <v>-1552.7109330000003</v>
      </c>
      <c r="AV337" s="2027">
        <f t="shared" si="175"/>
        <v>-1613.7274950000003</v>
      </c>
      <c r="AW337" s="2027">
        <f t="shared" si="175"/>
        <v>-1645.8414750000002</v>
      </c>
      <c r="AX337" s="2124">
        <v>21</v>
      </c>
      <c r="AY337" s="2029">
        <v>21</v>
      </c>
      <c r="AZ337" s="2029">
        <v>21</v>
      </c>
      <c r="BA337" s="2029">
        <v>21</v>
      </c>
      <c r="BB337" s="2124">
        <v>0</v>
      </c>
      <c r="BC337" s="2029">
        <v>0</v>
      </c>
      <c r="BD337" s="2029">
        <v>0</v>
      </c>
      <c r="BE337" s="2029">
        <v>0</v>
      </c>
      <c r="BF337" s="2124">
        <v>51</v>
      </c>
      <c r="BG337" s="2029">
        <v>51</v>
      </c>
      <c r="BH337" s="2029">
        <v>51</v>
      </c>
      <c r="BI337" s="2029">
        <v>51</v>
      </c>
      <c r="BJ337" s="2030">
        <f t="shared" si="176"/>
        <v>15960</v>
      </c>
      <c r="BK337" s="2030">
        <f t="shared" si="176"/>
        <v>20307</v>
      </c>
      <c r="BL337" s="2030">
        <f t="shared" si="176"/>
        <v>21105</v>
      </c>
      <c r="BM337" s="2030" t="s">
        <v>3286</v>
      </c>
      <c r="BN337" s="2030">
        <f t="shared" si="177"/>
        <v>21525</v>
      </c>
      <c r="BO337" s="2030">
        <f t="shared" si="178"/>
        <v>0</v>
      </c>
      <c r="BP337" s="2030" t="s">
        <v>3286</v>
      </c>
      <c r="BQ337" s="2030">
        <f t="shared" si="179"/>
        <v>0</v>
      </c>
      <c r="BR337" s="2030">
        <f t="shared" si="179"/>
        <v>0</v>
      </c>
      <c r="BS337" s="2030">
        <f t="shared" si="179"/>
        <v>0</v>
      </c>
      <c r="BT337" s="2125"/>
      <c r="BU337" s="2125"/>
      <c r="BV337" s="2125"/>
      <c r="BW337" s="2125"/>
      <c r="BX337" s="2125"/>
      <c r="BY337" s="2125"/>
      <c r="BZ337" s="2125"/>
      <c r="CA337" s="2125"/>
      <c r="CB337" s="2029"/>
      <c r="CC337" s="2029"/>
      <c r="CD337" s="2029"/>
      <c r="CE337" s="2029"/>
      <c r="CF337" s="2029"/>
      <c r="CG337" s="2032"/>
      <c r="CH337" s="1974">
        <v>0</v>
      </c>
      <c r="CI337" s="1974">
        <v>0</v>
      </c>
      <c r="CJ337" s="1974">
        <v>0</v>
      </c>
      <c r="CK337" s="1974">
        <v>0</v>
      </c>
      <c r="CL337" s="1974">
        <v>0</v>
      </c>
      <c r="CM337" s="2033">
        <v>1.5948317443967901E-4</v>
      </c>
      <c r="CN337" s="2026">
        <v>-4.422278512375936E-4</v>
      </c>
      <c r="CO337" s="1974">
        <v>0</v>
      </c>
      <c r="CP337" s="2031">
        <v>0</v>
      </c>
      <c r="CQ337" s="2031">
        <f t="shared" si="183"/>
        <v>0</v>
      </c>
      <c r="CR337" s="2026">
        <v>1</v>
      </c>
      <c r="CS337" s="2026">
        <v>1</v>
      </c>
      <c r="CT337" s="2026">
        <v>1</v>
      </c>
      <c r="CU337" s="2026">
        <v>1</v>
      </c>
      <c r="CV337" s="2036"/>
      <c r="CW337" s="2036"/>
      <c r="CX337" s="2036"/>
      <c r="CY337" s="2036"/>
      <c r="CZ337" s="2036"/>
      <c r="DA337" s="2036"/>
      <c r="DB337" s="1973">
        <v>1</v>
      </c>
    </row>
    <row r="338" spans="1:106" s="2161" customFormat="1" x14ac:dyDescent="0.25">
      <c r="A338" s="2047" t="s">
        <v>1055</v>
      </c>
      <c r="B338" s="2047" t="str">
        <f>IF(B20="","",B20)</f>
        <v>BPL81</v>
      </c>
      <c r="C338" s="2146">
        <v>15</v>
      </c>
      <c r="D338" s="2146">
        <v>3</v>
      </c>
      <c r="E338" s="2161">
        <f>F338*$CU338</f>
        <v>62.438983373278184</v>
      </c>
      <c r="F338" s="2147">
        <v>132.64364949904598</v>
      </c>
      <c r="G338" s="2161">
        <f>H338*$CU338</f>
        <v>1.2455693433836446E-2</v>
      </c>
      <c r="H338" s="2148">
        <v>2.6460530662842971E-2</v>
      </c>
      <c r="I338" s="2161">
        <f>J338*$CU338</f>
        <v>-1.2616166175401349</v>
      </c>
      <c r="J338" s="2146">
        <v>-2.6801434517075093</v>
      </c>
      <c r="K338" s="2047" t="s">
        <v>2988</v>
      </c>
      <c r="L338" s="2047" t="s">
        <v>2988</v>
      </c>
      <c r="M338" s="2153">
        <v>0.9</v>
      </c>
      <c r="N338" s="2153">
        <v>0.9</v>
      </c>
      <c r="O338" s="2153">
        <v>0.9</v>
      </c>
      <c r="P338" s="2153">
        <v>0.9</v>
      </c>
      <c r="Q338" s="2146">
        <f>$F338*M338</f>
        <v>119.37928454914139</v>
      </c>
      <c r="R338" s="2146">
        <f>$F338*N338</f>
        <v>119.37928454914139</v>
      </c>
      <c r="S338" s="2146">
        <f>$F338*O338</f>
        <v>119.37928454914139</v>
      </c>
      <c r="T338" s="2146">
        <f>$F338*P338</f>
        <v>119.37928454914139</v>
      </c>
      <c r="U338" s="2153">
        <v>0.9</v>
      </c>
      <c r="V338" s="2153">
        <v>0.9</v>
      </c>
      <c r="W338" s="2153">
        <v>0.9</v>
      </c>
      <c r="X338" s="2153">
        <v>0.9</v>
      </c>
      <c r="Y338" s="2129">
        <f>$H338*U338</f>
        <v>2.3814477596558675E-2</v>
      </c>
      <c r="Z338" s="2129">
        <f>$H338*V338</f>
        <v>2.3814477596558675E-2</v>
      </c>
      <c r="AA338" s="2129">
        <f>$H338*W338</f>
        <v>2.3814477596558675E-2</v>
      </c>
      <c r="AB338" s="2129">
        <f>$H338*X338</f>
        <v>2.3814477596558675E-2</v>
      </c>
      <c r="AC338" s="2153">
        <v>0.9</v>
      </c>
      <c r="AD338" s="2153">
        <v>0.9</v>
      </c>
      <c r="AE338" s="2153">
        <v>0.9</v>
      </c>
      <c r="AF338" s="2153">
        <v>0.9</v>
      </c>
      <c r="AG338" s="2146">
        <f>$J338*AC338</f>
        <v>-2.4121291065367583</v>
      </c>
      <c r="AH338" s="2146">
        <f>$J338*AD338</f>
        <v>-2.4121291065367583</v>
      </c>
      <c r="AI338" s="2146">
        <f>$J338*AE338</f>
        <v>-2.4121291065367583</v>
      </c>
      <c r="AJ338" s="2146">
        <f>$J338*AF338</f>
        <v>-2.4121291065367583</v>
      </c>
      <c r="AK338" s="2265">
        <v>13332</v>
      </c>
      <c r="AL338" s="2146"/>
      <c r="AM338" s="2146"/>
      <c r="AN338" s="2146"/>
      <c r="AO338" s="2146">
        <f t="shared" si="171"/>
        <v>1591564.621609153</v>
      </c>
      <c r="AP338" s="2146">
        <f t="shared" si="172"/>
        <v>0</v>
      </c>
      <c r="AQ338" s="2146">
        <f t="shared" si="172"/>
        <v>0</v>
      </c>
      <c r="AR338" s="2027" t="s">
        <v>3286</v>
      </c>
      <c r="AS338" s="2146">
        <f t="shared" si="173"/>
        <v>0</v>
      </c>
      <c r="AT338" s="2146">
        <f t="shared" si="174"/>
        <v>-32158.505248348061</v>
      </c>
      <c r="AU338" s="2146">
        <f t="shared" si="175"/>
        <v>0</v>
      </c>
      <c r="AV338" s="2146">
        <f t="shared" si="175"/>
        <v>0</v>
      </c>
      <c r="AW338" s="2146">
        <f t="shared" si="175"/>
        <v>0</v>
      </c>
      <c r="AX338" s="2046">
        <v>4.4704485744867171</v>
      </c>
      <c r="AY338" s="2046">
        <v>4.4704485744867171</v>
      </c>
      <c r="AZ338" s="2046">
        <v>3.1293140021407018</v>
      </c>
      <c r="BA338" s="2046">
        <v>3.1293140021407018</v>
      </c>
      <c r="BB338" s="2046">
        <v>0</v>
      </c>
      <c r="BC338" s="2046">
        <v>0</v>
      </c>
      <c r="BD338" s="2046">
        <v>0</v>
      </c>
      <c r="BE338" s="2046">
        <v>0</v>
      </c>
      <c r="BF338" s="2046">
        <v>1.7695299211832249</v>
      </c>
      <c r="BG338" s="2046">
        <v>1.7695299211832249</v>
      </c>
      <c r="BH338" s="2046">
        <v>1.7695299211832249</v>
      </c>
      <c r="BI338" s="2046">
        <v>1.7695299211832249</v>
      </c>
      <c r="BJ338" s="2154">
        <f t="shared" si="176"/>
        <v>59600.020395056912</v>
      </c>
      <c r="BK338" s="2154">
        <f t="shared" si="176"/>
        <v>0</v>
      </c>
      <c r="BL338" s="2154">
        <f t="shared" si="176"/>
        <v>0</v>
      </c>
      <c r="BM338" s="2030" t="s">
        <v>3286</v>
      </c>
      <c r="BN338" s="2154">
        <f t="shared" si="177"/>
        <v>0</v>
      </c>
      <c r="BO338" s="2154">
        <f t="shared" si="178"/>
        <v>0</v>
      </c>
      <c r="BP338" s="2030" t="s">
        <v>3286</v>
      </c>
      <c r="BQ338" s="2154">
        <f t="shared" si="179"/>
        <v>0</v>
      </c>
      <c r="BR338" s="2154">
        <f t="shared" si="179"/>
        <v>0</v>
      </c>
      <c r="BS338" s="2154">
        <f t="shared" si="179"/>
        <v>0</v>
      </c>
      <c r="BT338" s="2155"/>
      <c r="BU338" s="2155"/>
      <c r="BV338" s="2155"/>
      <c r="BW338" s="2155"/>
      <c r="BX338" s="2155"/>
      <c r="BY338" s="2155"/>
      <c r="BZ338" s="2155"/>
      <c r="CA338" s="2155"/>
      <c r="CB338" s="2046"/>
      <c r="CC338" s="2046"/>
      <c r="CD338" s="2046"/>
      <c r="CE338" s="2046"/>
      <c r="CF338" s="2046"/>
      <c r="CG338" s="2156"/>
      <c r="CH338" s="2047">
        <v>0</v>
      </c>
      <c r="CI338" s="2047">
        <v>0</v>
      </c>
      <c r="CJ338" s="2047">
        <v>0</v>
      </c>
      <c r="CK338" s="2047">
        <v>0</v>
      </c>
      <c r="CL338" s="2047">
        <v>1</v>
      </c>
      <c r="CM338" s="2157">
        <v>1.1122978004362715E-2</v>
      </c>
      <c r="CN338" s="2153">
        <v>-2.8214016069755286E-2</v>
      </c>
      <c r="CO338" s="2047">
        <v>1</v>
      </c>
      <c r="CP338" s="2063">
        <v>-0.20832982508570624</v>
      </c>
      <c r="CQ338" s="2063">
        <f t="shared" si="183"/>
        <v>0.20832982508570624</v>
      </c>
      <c r="CR338" s="2153">
        <v>1</v>
      </c>
      <c r="CS338" s="2153">
        <v>1</v>
      </c>
      <c r="CT338" s="2153">
        <v>0.47072727272727272</v>
      </c>
      <c r="CU338" s="2153">
        <v>0.47072727272727272</v>
      </c>
      <c r="CV338" s="2160"/>
      <c r="CW338" s="2160"/>
      <c r="CX338" s="2160"/>
      <c r="CY338" s="2160"/>
      <c r="CZ338" s="2160"/>
      <c r="DA338" s="2160"/>
      <c r="DB338" s="2161">
        <v>1</v>
      </c>
    </row>
    <row r="339" spans="1:106" x14ac:dyDescent="0.25">
      <c r="A339" s="2277" t="str">
        <f>IF(A21="","",A21)</f>
        <v>LED recessed down fixture</v>
      </c>
      <c r="B339" s="1974" t="str">
        <f>IF(B21="","",B21)</f>
        <v>BPL84</v>
      </c>
      <c r="C339" s="2027">
        <v>15</v>
      </c>
      <c r="D339" s="2027"/>
      <c r="E339" s="2144">
        <v>147.04338624743932</v>
      </c>
      <c r="F339" s="2144"/>
      <c r="G339" s="2145">
        <v>3.4341046582165323E-2</v>
      </c>
      <c r="H339" s="2145"/>
      <c r="I339" s="2027">
        <v>-2.63781847754217</v>
      </c>
      <c r="J339" s="2027"/>
      <c r="K339" s="1974" t="s">
        <v>2988</v>
      </c>
      <c r="L339" s="1974" t="s">
        <v>2988</v>
      </c>
      <c r="M339" s="2026">
        <v>0.9</v>
      </c>
      <c r="N339" s="2026">
        <v>0.9</v>
      </c>
      <c r="O339" s="2026">
        <v>0.9</v>
      </c>
      <c r="P339" s="2026">
        <v>0.9</v>
      </c>
      <c r="Q339" s="2027">
        <f t="shared" si="184"/>
        <v>132.33904762269538</v>
      </c>
      <c r="R339" s="2027">
        <f t="shared" si="184"/>
        <v>132.33904762269538</v>
      </c>
      <c r="S339" s="2027">
        <f t="shared" si="184"/>
        <v>132.33904762269538</v>
      </c>
      <c r="T339" s="2027">
        <f t="shared" si="184"/>
        <v>132.33904762269538</v>
      </c>
      <c r="U339" s="2026">
        <v>0.9</v>
      </c>
      <c r="V339" s="2026">
        <v>0.9</v>
      </c>
      <c r="W339" s="2026">
        <v>0.9</v>
      </c>
      <c r="X339" s="2026">
        <v>0.9</v>
      </c>
      <c r="Y339" s="2028">
        <f t="shared" si="185"/>
        <v>3.0906941923948793E-2</v>
      </c>
      <c r="Z339" s="2028">
        <f t="shared" si="185"/>
        <v>3.0906941923948793E-2</v>
      </c>
      <c r="AA339" s="2028">
        <f t="shared" si="185"/>
        <v>3.0906941923948793E-2</v>
      </c>
      <c r="AB339" s="2028">
        <f t="shared" si="185"/>
        <v>3.0906941923948793E-2</v>
      </c>
      <c r="AC339" s="2026">
        <v>0.9</v>
      </c>
      <c r="AD339" s="2026">
        <v>0.9</v>
      </c>
      <c r="AE339" s="2026">
        <v>0.9</v>
      </c>
      <c r="AF339" s="2026">
        <v>0.9</v>
      </c>
      <c r="AG339" s="2027">
        <f t="shared" si="186"/>
        <v>-2.3740366297879532</v>
      </c>
      <c r="AH339" s="2027">
        <f t="shared" si="186"/>
        <v>-2.3740366297879532</v>
      </c>
      <c r="AI339" s="2027">
        <f t="shared" si="186"/>
        <v>-2.3740366297879532</v>
      </c>
      <c r="AJ339" s="2027">
        <f t="shared" si="186"/>
        <v>-2.3740366297879532</v>
      </c>
      <c r="AK339" s="2027">
        <v>978</v>
      </c>
      <c r="AL339" s="2027">
        <v>990</v>
      </c>
      <c r="AM339" s="2027">
        <v>994</v>
      </c>
      <c r="AN339" s="2027">
        <v>991</v>
      </c>
      <c r="AO339" s="2027">
        <f t="shared" si="171"/>
        <v>129427.58857499607</v>
      </c>
      <c r="AP339" s="2027">
        <f t="shared" si="172"/>
        <v>131015.65714646842</v>
      </c>
      <c r="AQ339" s="2027">
        <f t="shared" si="172"/>
        <v>131545.01333695921</v>
      </c>
      <c r="AR339" s="2027" t="s">
        <v>3286</v>
      </c>
      <c r="AS339" s="2027">
        <f t="shared" si="173"/>
        <v>131147.99619409113</v>
      </c>
      <c r="AT339" s="2027">
        <f t="shared" si="174"/>
        <v>-2321.8078239326182</v>
      </c>
      <c r="AU339" s="2027">
        <f t="shared" si="175"/>
        <v>-2350.2962634900737</v>
      </c>
      <c r="AV339" s="2027">
        <f t="shared" si="175"/>
        <v>-2359.7924100092255</v>
      </c>
      <c r="AW339" s="2027">
        <f t="shared" si="175"/>
        <v>-2352.6703001198616</v>
      </c>
      <c r="AX339" s="2046">
        <v>8.3999999999999986</v>
      </c>
      <c r="AY339" s="2046">
        <v>8.3999999999999986</v>
      </c>
      <c r="AZ339" s="2046">
        <v>8.3999999999999986</v>
      </c>
      <c r="BA339" s="2046">
        <v>8.3999999999999986</v>
      </c>
      <c r="BB339" s="2124">
        <v>0</v>
      </c>
      <c r="BC339" s="2029">
        <v>0</v>
      </c>
      <c r="BD339" s="2029">
        <v>0</v>
      </c>
      <c r="BE339" s="2029">
        <v>0</v>
      </c>
      <c r="BF339" s="2124">
        <v>35.83</v>
      </c>
      <c r="BG339" s="2029">
        <v>35.83</v>
      </c>
      <c r="BH339" s="2029">
        <v>35.83</v>
      </c>
      <c r="BI339" s="2029">
        <v>35.83</v>
      </c>
      <c r="BJ339" s="2030">
        <f t="shared" si="176"/>
        <v>8215.1999999999989</v>
      </c>
      <c r="BK339" s="2030">
        <f t="shared" si="176"/>
        <v>8315.9999999999982</v>
      </c>
      <c r="BL339" s="2030">
        <f>AZ339*AM339</f>
        <v>8349.5999999999985</v>
      </c>
      <c r="BM339" s="2030"/>
      <c r="BN339" s="2030">
        <f t="shared" si="177"/>
        <v>8324.3999999999978</v>
      </c>
      <c r="BO339" s="2030">
        <f t="shared" si="178"/>
        <v>0</v>
      </c>
      <c r="BP339" s="2030" t="s">
        <v>3286</v>
      </c>
      <c r="BQ339" s="2030">
        <f t="shared" si="179"/>
        <v>0</v>
      </c>
      <c r="BR339" s="2030">
        <f t="shared" si="179"/>
        <v>0</v>
      </c>
      <c r="BS339" s="2030">
        <f t="shared" si="179"/>
        <v>0</v>
      </c>
      <c r="BT339" s="2125"/>
      <c r="BU339" s="2125"/>
      <c r="BV339" s="2125"/>
      <c r="BW339" s="2125"/>
      <c r="BX339" s="2125"/>
      <c r="BY339" s="2125"/>
      <c r="BZ339" s="2125"/>
      <c r="CA339" s="2125"/>
      <c r="CB339" s="2029"/>
      <c r="CC339" s="2029"/>
      <c r="CD339" s="2029"/>
      <c r="CE339" s="2029"/>
      <c r="CF339" s="2029"/>
      <c r="CG339" s="2032"/>
      <c r="CH339" s="1974">
        <v>0</v>
      </c>
      <c r="CI339" s="1974">
        <v>0</v>
      </c>
      <c r="CJ339" s="1974">
        <v>0</v>
      </c>
      <c r="CK339" s="1974">
        <v>0</v>
      </c>
      <c r="CL339" s="1974">
        <v>0</v>
      </c>
      <c r="CM339" s="2033">
        <v>6.3786838093987468E-4</v>
      </c>
      <c r="CN339" s="2026">
        <v>-1.1004341223181113E-3</v>
      </c>
      <c r="CO339" s="1974">
        <v>1</v>
      </c>
      <c r="CP339" s="2031">
        <v>-12.181999999999999</v>
      </c>
      <c r="CQ339" s="2031">
        <f t="shared" si="183"/>
        <v>12.181999999999999</v>
      </c>
      <c r="CR339" s="2026">
        <v>1</v>
      </c>
      <c r="CS339" s="2026">
        <v>1</v>
      </c>
      <c r="CT339" s="2026">
        <v>1</v>
      </c>
      <c r="CU339" s="2026">
        <v>1</v>
      </c>
      <c r="CV339" s="2036"/>
      <c r="CW339" s="2036"/>
      <c r="CX339" s="2036"/>
      <c r="CY339" s="2036"/>
      <c r="CZ339" s="2036"/>
      <c r="DA339" s="2036"/>
      <c r="DB339" s="1973">
        <v>1</v>
      </c>
    </row>
    <row r="340" spans="1:106" x14ac:dyDescent="0.25">
      <c r="A340" s="2277" t="str">
        <f>IF(A22="","",A22)</f>
        <v>Fixture mounted occupancy sensor for new LED systems</v>
      </c>
      <c r="B340" s="1974" t="str">
        <f>IF(B22="","",B22)</f>
        <v>BPL72B</v>
      </c>
      <c r="C340" s="2027">
        <v>8</v>
      </c>
      <c r="D340" s="2027"/>
      <c r="E340" s="2144">
        <v>111.37728</v>
      </c>
      <c r="F340" s="2144"/>
      <c r="G340" s="2145">
        <v>8.7393600000000002E-2</v>
      </c>
      <c r="H340" s="2145"/>
      <c r="I340" s="2027">
        <v>-3.2113999999999998</v>
      </c>
      <c r="J340" s="2027"/>
      <c r="K340" s="1974" t="s">
        <v>2988</v>
      </c>
      <c r="L340" s="1974" t="s">
        <v>2988</v>
      </c>
      <c r="M340" s="2026">
        <v>0.9</v>
      </c>
      <c r="N340" s="2026">
        <v>0.9</v>
      </c>
      <c r="O340" s="2026">
        <v>0.9</v>
      </c>
      <c r="P340" s="2026">
        <v>0.9</v>
      </c>
      <c r="Q340" s="2027">
        <f t="shared" si="184"/>
        <v>100.239552</v>
      </c>
      <c r="R340" s="2027">
        <f t="shared" si="184"/>
        <v>100.239552</v>
      </c>
      <c r="S340" s="2027">
        <f t="shared" si="184"/>
        <v>100.239552</v>
      </c>
      <c r="T340" s="2027">
        <f t="shared" si="184"/>
        <v>100.239552</v>
      </c>
      <c r="U340" s="2026">
        <v>0.9</v>
      </c>
      <c r="V340" s="2026">
        <v>0.9</v>
      </c>
      <c r="W340" s="2026">
        <v>0.9</v>
      </c>
      <c r="X340" s="2026">
        <v>0.9</v>
      </c>
      <c r="Y340" s="2028">
        <f t="shared" si="185"/>
        <v>7.865424E-2</v>
      </c>
      <c r="Z340" s="2028">
        <f t="shared" si="185"/>
        <v>7.865424E-2</v>
      </c>
      <c r="AA340" s="2028">
        <f t="shared" si="185"/>
        <v>7.865424E-2</v>
      </c>
      <c r="AB340" s="2028">
        <f t="shared" si="185"/>
        <v>7.865424E-2</v>
      </c>
      <c r="AC340" s="2026">
        <v>0.9</v>
      </c>
      <c r="AD340" s="2026">
        <v>0.9</v>
      </c>
      <c r="AE340" s="2026">
        <v>0.9</v>
      </c>
      <c r="AF340" s="2026">
        <v>0.9</v>
      </c>
      <c r="AG340" s="2027">
        <f t="shared" si="186"/>
        <v>-2.8902600000000001</v>
      </c>
      <c r="AH340" s="2027">
        <f t="shared" si="186"/>
        <v>-2.8902600000000001</v>
      </c>
      <c r="AI340" s="2027">
        <f t="shared" si="186"/>
        <v>-2.8902600000000001</v>
      </c>
      <c r="AJ340" s="2027">
        <f t="shared" si="186"/>
        <v>-2.8902600000000001</v>
      </c>
      <c r="AK340" s="2027">
        <v>1085</v>
      </c>
      <c r="AL340" s="2027">
        <v>1160</v>
      </c>
      <c r="AM340" s="2027">
        <v>1207</v>
      </c>
      <c r="AN340" s="2027">
        <v>1229</v>
      </c>
      <c r="AO340" s="2027">
        <f t="shared" si="171"/>
        <v>108759.91392000001</v>
      </c>
      <c r="AP340" s="2027">
        <f t="shared" si="172"/>
        <v>116277.88032</v>
      </c>
      <c r="AQ340" s="2027">
        <f t="shared" si="172"/>
        <v>120989.139264</v>
      </c>
      <c r="AR340" s="2027" t="s">
        <v>3286</v>
      </c>
      <c r="AS340" s="2027">
        <f t="shared" si="173"/>
        <v>123194.40940800001</v>
      </c>
      <c r="AT340" s="2027">
        <f t="shared" si="174"/>
        <v>-3135.9321</v>
      </c>
      <c r="AU340" s="2027">
        <f t="shared" si="175"/>
        <v>-3352.7015999999999</v>
      </c>
      <c r="AV340" s="2027">
        <f t="shared" si="175"/>
        <v>-3488.5438199999999</v>
      </c>
      <c r="AW340" s="2027">
        <f t="shared" si="175"/>
        <v>-3552.1295399999999</v>
      </c>
      <c r="AX340" s="2124">
        <v>42</v>
      </c>
      <c r="AY340" s="2029">
        <v>42</v>
      </c>
      <c r="AZ340" s="2029">
        <v>42</v>
      </c>
      <c r="BA340" s="2029">
        <v>42</v>
      </c>
      <c r="BB340" s="2124">
        <v>0</v>
      </c>
      <c r="BC340" s="2029">
        <v>0</v>
      </c>
      <c r="BD340" s="2029">
        <v>0</v>
      </c>
      <c r="BE340" s="2029">
        <v>0</v>
      </c>
      <c r="BF340" s="2124">
        <v>54</v>
      </c>
      <c r="BG340" s="2029">
        <v>54</v>
      </c>
      <c r="BH340" s="2029">
        <v>54</v>
      </c>
      <c r="BI340" s="2029">
        <v>54</v>
      </c>
      <c r="BJ340" s="2030">
        <f t="shared" si="176"/>
        <v>45570</v>
      </c>
      <c r="BK340" s="2030">
        <f t="shared" si="176"/>
        <v>48720</v>
      </c>
      <c r="BL340" s="2030">
        <f t="shared" si="176"/>
        <v>50694</v>
      </c>
      <c r="BM340" s="2030" t="s">
        <v>3286</v>
      </c>
      <c r="BN340" s="2030">
        <f t="shared" si="177"/>
        <v>51618</v>
      </c>
      <c r="BO340" s="2030">
        <f t="shared" si="178"/>
        <v>0</v>
      </c>
      <c r="BP340" s="2030" t="s">
        <v>3286</v>
      </c>
      <c r="BQ340" s="2030">
        <f t="shared" si="179"/>
        <v>0</v>
      </c>
      <c r="BR340" s="2030">
        <f t="shared" si="179"/>
        <v>0</v>
      </c>
      <c r="BS340" s="2030">
        <f t="shared" si="179"/>
        <v>0</v>
      </c>
      <c r="BT340" s="2125"/>
      <c r="BU340" s="2125"/>
      <c r="BV340" s="2125"/>
      <c r="BW340" s="2125"/>
      <c r="BX340" s="2125"/>
      <c r="BY340" s="2125"/>
      <c r="BZ340" s="2125"/>
      <c r="CA340" s="2125"/>
      <c r="CB340" s="2029"/>
      <c r="CC340" s="2029"/>
      <c r="CD340" s="2029"/>
      <c r="CE340" s="2029"/>
      <c r="CF340" s="2029"/>
      <c r="CG340" s="2032"/>
      <c r="CH340" s="1974">
        <v>0</v>
      </c>
      <c r="CI340" s="1974">
        <v>0</v>
      </c>
      <c r="CJ340" s="1974">
        <v>0</v>
      </c>
      <c r="CK340" s="1974">
        <v>0</v>
      </c>
      <c r="CL340" s="1974">
        <v>0</v>
      </c>
      <c r="CM340" s="2033">
        <v>4.0962006634447237E-4</v>
      </c>
      <c r="CN340" s="2026">
        <v>-1.1358280305511659E-3</v>
      </c>
      <c r="CO340" s="1974">
        <v>0</v>
      </c>
      <c r="CP340" s="2031">
        <v>0</v>
      </c>
      <c r="CQ340" s="2031">
        <f t="shared" si="183"/>
        <v>0</v>
      </c>
      <c r="CR340" s="2026">
        <v>1</v>
      </c>
      <c r="CS340" s="2026">
        <v>1</v>
      </c>
      <c r="CT340" s="2026">
        <v>1</v>
      </c>
      <c r="CU340" s="2026">
        <v>1</v>
      </c>
      <c r="CV340" s="2036"/>
      <c r="CW340" s="2036"/>
      <c r="CX340" s="2036"/>
      <c r="CY340" s="2036"/>
      <c r="CZ340" s="2036"/>
      <c r="DA340" s="2036"/>
      <c r="DB340" s="1973">
        <v>1</v>
      </c>
    </row>
    <row r="341" spans="1:106" s="2161" customFormat="1" x14ac:dyDescent="0.25">
      <c r="A341" s="2047" t="str">
        <f>IF(A23="","",A23)</f>
        <v xml:space="preserve">Exterior Lighting  </v>
      </c>
      <c r="B341" s="2047" t="str">
        <f>IF(B23="","",B23)</f>
        <v>BPL50 and Online Store</v>
      </c>
      <c r="C341" s="2146">
        <v>15</v>
      </c>
      <c r="D341" s="2146">
        <v>1</v>
      </c>
      <c r="E341" s="2161">
        <f>F341*$CS341</f>
        <v>1807.2102776975823</v>
      </c>
      <c r="F341" s="2147">
        <v>1807.2102776975823</v>
      </c>
      <c r="G341" s="2161">
        <f>H341*$CS341</f>
        <v>0</v>
      </c>
      <c r="H341" s="2148">
        <v>0</v>
      </c>
      <c r="I341" s="2161">
        <f>J341*$CS341</f>
        <v>0</v>
      </c>
      <c r="J341" s="2146">
        <v>0</v>
      </c>
      <c r="K341" s="2047" t="s">
        <v>2988</v>
      </c>
      <c r="L341" s="2047" t="s">
        <v>2988</v>
      </c>
      <c r="M341" s="2153">
        <v>0.9</v>
      </c>
      <c r="N341" s="2153">
        <v>0.9</v>
      </c>
      <c r="O341" s="2153">
        <v>0.9</v>
      </c>
      <c r="P341" s="2153">
        <v>0.9</v>
      </c>
      <c r="Q341" s="2146">
        <f t="shared" ref="Q341:T342" si="190">$F341*M341</f>
        <v>1626.4892499278242</v>
      </c>
      <c r="R341" s="2146">
        <f t="shared" si="190"/>
        <v>1626.4892499278242</v>
      </c>
      <c r="S341" s="2146">
        <f t="shared" si="190"/>
        <v>1626.4892499278242</v>
      </c>
      <c r="T341" s="2146">
        <f t="shared" si="190"/>
        <v>1626.4892499278242</v>
      </c>
      <c r="U341" s="2153">
        <v>0.9</v>
      </c>
      <c r="V341" s="2153">
        <v>0.9</v>
      </c>
      <c r="W341" s="2153">
        <v>0.9</v>
      </c>
      <c r="X341" s="2153">
        <v>0.9</v>
      </c>
      <c r="Y341" s="2129">
        <f t="shared" ref="Y341:AB342" si="191">$H341*U341</f>
        <v>0</v>
      </c>
      <c r="Z341" s="2129">
        <f t="shared" si="191"/>
        <v>0</v>
      </c>
      <c r="AA341" s="2129">
        <f t="shared" si="191"/>
        <v>0</v>
      </c>
      <c r="AB341" s="2129">
        <f t="shared" si="191"/>
        <v>0</v>
      </c>
      <c r="AC341" s="2153">
        <v>0.9</v>
      </c>
      <c r="AD341" s="2153">
        <v>0.9</v>
      </c>
      <c r="AE341" s="2153">
        <v>0.9</v>
      </c>
      <c r="AF341" s="2153">
        <v>0.9</v>
      </c>
      <c r="AG341" s="2146">
        <f t="shared" ref="AG341:AJ342" si="192">$J341*AC341</f>
        <v>0</v>
      </c>
      <c r="AH341" s="2146">
        <f t="shared" si="192"/>
        <v>0</v>
      </c>
      <c r="AI341" s="2146">
        <f t="shared" si="192"/>
        <v>0</v>
      </c>
      <c r="AJ341" s="2146">
        <f t="shared" si="192"/>
        <v>0</v>
      </c>
      <c r="AK341" s="2146">
        <v>889</v>
      </c>
      <c r="AL341" s="2146"/>
      <c r="AM341" s="2146"/>
      <c r="AN341" s="2146"/>
      <c r="AO341" s="2146">
        <f t="shared" si="171"/>
        <v>1445948.9431858356</v>
      </c>
      <c r="AP341" s="2146">
        <f t="shared" si="172"/>
        <v>0</v>
      </c>
      <c r="AQ341" s="2146">
        <f t="shared" si="172"/>
        <v>0</v>
      </c>
      <c r="AR341" s="2027" t="s">
        <v>3286</v>
      </c>
      <c r="AS341" s="2146">
        <f t="shared" si="173"/>
        <v>0</v>
      </c>
      <c r="AT341" s="2146">
        <f t="shared" si="174"/>
        <v>0</v>
      </c>
      <c r="AU341" s="2146">
        <f t="shared" si="175"/>
        <v>0</v>
      </c>
      <c r="AV341" s="2146">
        <f t="shared" si="175"/>
        <v>0</v>
      </c>
      <c r="AW341" s="2146">
        <f t="shared" si="175"/>
        <v>0</v>
      </c>
      <c r="AX341" s="2046">
        <v>180.71062071454347</v>
      </c>
      <c r="AY341" s="2046">
        <v>180.71062071454347</v>
      </c>
      <c r="AZ341" s="2046">
        <v>180.71062071454347</v>
      </c>
      <c r="BA341" s="2046">
        <v>180.71062071454347</v>
      </c>
      <c r="BB341" s="2046">
        <v>0</v>
      </c>
      <c r="BC341" s="2046">
        <v>0</v>
      </c>
      <c r="BD341" s="2046">
        <v>0</v>
      </c>
      <c r="BE341" s="2046">
        <v>0</v>
      </c>
      <c r="BF341" s="2046">
        <v>189.73709076145795</v>
      </c>
      <c r="BG341" s="2046">
        <v>189.73709076145795</v>
      </c>
      <c r="BH341" s="2046">
        <v>189.73709076145795</v>
      </c>
      <c r="BI341" s="2046">
        <v>189.73709076145795</v>
      </c>
      <c r="BJ341" s="2154">
        <f t="shared" si="176"/>
        <v>160651.74181522915</v>
      </c>
      <c r="BK341" s="2154">
        <f t="shared" si="176"/>
        <v>0</v>
      </c>
      <c r="BL341" s="2154">
        <f t="shared" si="176"/>
        <v>0</v>
      </c>
      <c r="BM341" s="2030" t="s">
        <v>3286</v>
      </c>
      <c r="BN341" s="2154">
        <f t="shared" si="177"/>
        <v>0</v>
      </c>
      <c r="BO341" s="2154">
        <f t="shared" si="178"/>
        <v>0</v>
      </c>
      <c r="BP341" s="2030" t="s">
        <v>3286</v>
      </c>
      <c r="BQ341" s="2154">
        <f t="shared" si="179"/>
        <v>0</v>
      </c>
      <c r="BR341" s="2154">
        <f t="shared" si="179"/>
        <v>0</v>
      </c>
      <c r="BS341" s="2154">
        <f t="shared" si="179"/>
        <v>0</v>
      </c>
      <c r="BT341" s="2155"/>
      <c r="BU341" s="2155"/>
      <c r="BV341" s="2155"/>
      <c r="BW341" s="2155"/>
      <c r="BX341" s="2155"/>
      <c r="BY341" s="2155"/>
      <c r="BZ341" s="2155"/>
      <c r="CA341" s="2155"/>
      <c r="CB341" s="2046"/>
      <c r="CC341" s="2046"/>
      <c r="CD341" s="2046"/>
      <c r="CE341" s="2046"/>
      <c r="CF341" s="2046"/>
      <c r="CG341" s="2156"/>
      <c r="CH341" s="2047">
        <v>0</v>
      </c>
      <c r="CI341" s="2047">
        <v>0</v>
      </c>
      <c r="CJ341" s="2047">
        <v>0</v>
      </c>
      <c r="CK341" s="2047">
        <v>0</v>
      </c>
      <c r="CL341" s="2047">
        <v>1</v>
      </c>
      <c r="CM341" s="2157">
        <v>1.5158324982466292E-3</v>
      </c>
      <c r="CN341" s="2153">
        <v>0</v>
      </c>
      <c r="CO341" s="2047">
        <v>1</v>
      </c>
      <c r="CP341" s="2063">
        <v>-16.835977777777774</v>
      </c>
      <c r="CQ341" s="2063">
        <f t="shared" si="183"/>
        <v>16.835977777777774</v>
      </c>
      <c r="CR341" s="2153">
        <v>1</v>
      </c>
      <c r="CS341" s="2153">
        <v>1</v>
      </c>
      <c r="CT341" s="2153">
        <v>0.98677355318637949</v>
      </c>
      <c r="CU341" s="2153">
        <v>0.98677355318637949</v>
      </c>
      <c r="CV341" s="2160"/>
      <c r="CW341" s="2160"/>
      <c r="CX341" s="2160"/>
      <c r="CY341" s="2160"/>
      <c r="CZ341" s="2160"/>
      <c r="DA341" s="2160"/>
      <c r="DB341" s="2161">
        <v>1</v>
      </c>
    </row>
    <row r="342" spans="1:106" x14ac:dyDescent="0.25">
      <c r="A342" s="2277" t="str">
        <f>IF(A24="","",A24)</f>
        <v>Permanent Fixture/Lamp Removal</v>
      </c>
      <c r="B342" s="1974" t="str">
        <f>IF(B24="","",B24)</f>
        <v xml:space="preserve">BPL68 </v>
      </c>
      <c r="C342" s="2027">
        <v>11</v>
      </c>
      <c r="D342" s="2027">
        <v>1</v>
      </c>
      <c r="E342" s="1973">
        <f>F342*$CS342</f>
        <v>313.26881013799391</v>
      </c>
      <c r="F342" s="2144">
        <v>313.26881013799391</v>
      </c>
      <c r="G342" s="1973">
        <f>H342*$CS342</f>
        <v>5.9674605536221718E-2</v>
      </c>
      <c r="H342" s="2145">
        <v>5.9674605536221718E-2</v>
      </c>
      <c r="I342" s="1973">
        <f>J342*$CS342</f>
        <v>-5.2649053908958043</v>
      </c>
      <c r="J342" s="2027">
        <v>-5.2649053908958043</v>
      </c>
      <c r="K342" s="1974" t="s">
        <v>2988</v>
      </c>
      <c r="L342" s="1974" t="s">
        <v>2988</v>
      </c>
      <c r="M342" s="2026">
        <v>0.9</v>
      </c>
      <c r="N342" s="2026">
        <v>0.9</v>
      </c>
      <c r="O342" s="2026">
        <v>0.9</v>
      </c>
      <c r="P342" s="2026">
        <v>0.9</v>
      </c>
      <c r="Q342" s="2027">
        <f t="shared" si="190"/>
        <v>281.94192912419453</v>
      </c>
      <c r="R342" s="2027">
        <f t="shared" si="190"/>
        <v>281.94192912419453</v>
      </c>
      <c r="S342" s="2027">
        <f t="shared" si="190"/>
        <v>281.94192912419453</v>
      </c>
      <c r="T342" s="2027">
        <f t="shared" si="190"/>
        <v>281.94192912419453</v>
      </c>
      <c r="U342" s="2026">
        <v>0.9</v>
      </c>
      <c r="V342" s="2026">
        <v>0.9</v>
      </c>
      <c r="W342" s="2026">
        <v>0.9</v>
      </c>
      <c r="X342" s="2026">
        <v>0.9</v>
      </c>
      <c r="Y342" s="2028">
        <f t="shared" si="191"/>
        <v>5.3707144982599549E-2</v>
      </c>
      <c r="Z342" s="2028">
        <f t="shared" si="191"/>
        <v>5.3707144982599549E-2</v>
      </c>
      <c r="AA342" s="2028">
        <f t="shared" si="191"/>
        <v>5.3707144982599549E-2</v>
      </c>
      <c r="AB342" s="2028">
        <f t="shared" si="191"/>
        <v>5.3707144982599549E-2</v>
      </c>
      <c r="AC342" s="2026">
        <v>0.9</v>
      </c>
      <c r="AD342" s="2026">
        <v>0.9</v>
      </c>
      <c r="AE342" s="2026">
        <v>0.9</v>
      </c>
      <c r="AF342" s="2026">
        <v>0.9</v>
      </c>
      <c r="AG342" s="2027">
        <f t="shared" si="192"/>
        <v>-4.7384148518062243</v>
      </c>
      <c r="AH342" s="2027">
        <f t="shared" si="192"/>
        <v>-4.7384148518062243</v>
      </c>
      <c r="AI342" s="2027">
        <f t="shared" si="192"/>
        <v>-4.7384148518062243</v>
      </c>
      <c r="AJ342" s="2027">
        <f t="shared" si="192"/>
        <v>-4.7384148518062243</v>
      </c>
      <c r="AK342" s="2027">
        <v>36</v>
      </c>
      <c r="AL342" s="2027"/>
      <c r="AM342" s="2027"/>
      <c r="AN342" s="2027"/>
      <c r="AO342" s="2027">
        <f t="shared" si="171"/>
        <v>10149.909448471004</v>
      </c>
      <c r="AP342" s="2027">
        <f t="shared" si="172"/>
        <v>0</v>
      </c>
      <c r="AQ342" s="2027">
        <f t="shared" si="172"/>
        <v>0</v>
      </c>
      <c r="AR342" s="2027" t="s">
        <v>3286</v>
      </c>
      <c r="AS342" s="2027">
        <f t="shared" si="173"/>
        <v>0</v>
      </c>
      <c r="AT342" s="2027">
        <f t="shared" si="174"/>
        <v>-170.58293466502408</v>
      </c>
      <c r="AU342" s="2027">
        <f t="shared" si="175"/>
        <v>0</v>
      </c>
      <c r="AV342" s="2027">
        <f t="shared" si="175"/>
        <v>0</v>
      </c>
      <c r="AW342" s="2027">
        <f t="shared" si="175"/>
        <v>0</v>
      </c>
      <c r="AX342" s="2124">
        <v>15.119999999999997</v>
      </c>
      <c r="AY342" s="2029">
        <v>15.119999999999997</v>
      </c>
      <c r="AZ342" s="2029">
        <v>15.119999999999997</v>
      </c>
      <c r="BA342" s="2029">
        <v>15.119999999999997</v>
      </c>
      <c r="BB342" s="2124">
        <v>0</v>
      </c>
      <c r="BC342" s="2029">
        <v>0</v>
      </c>
      <c r="BD342" s="2029">
        <v>0</v>
      </c>
      <c r="BE342" s="2029">
        <v>0</v>
      </c>
      <c r="BF342" s="2124">
        <v>12</v>
      </c>
      <c r="BG342" s="2029">
        <v>12</v>
      </c>
      <c r="BH342" s="2029">
        <v>12</v>
      </c>
      <c r="BI342" s="2029">
        <v>12</v>
      </c>
      <c r="BJ342" s="2030">
        <f t="shared" si="176"/>
        <v>544.31999999999994</v>
      </c>
      <c r="BK342" s="2030">
        <f t="shared" si="176"/>
        <v>0</v>
      </c>
      <c r="BL342" s="2030">
        <f t="shared" si="176"/>
        <v>0</v>
      </c>
      <c r="BM342" s="2030" t="s">
        <v>3286</v>
      </c>
      <c r="BN342" s="2030">
        <f t="shared" si="177"/>
        <v>0</v>
      </c>
      <c r="BO342" s="2030">
        <f t="shared" si="178"/>
        <v>0</v>
      </c>
      <c r="BP342" s="2030" t="s">
        <v>3286</v>
      </c>
      <c r="BQ342" s="2030">
        <f t="shared" si="179"/>
        <v>0</v>
      </c>
      <c r="BR342" s="2030">
        <f t="shared" si="179"/>
        <v>0</v>
      </c>
      <c r="BS342" s="2030">
        <f t="shared" si="179"/>
        <v>0</v>
      </c>
      <c r="BT342" s="2125"/>
      <c r="BU342" s="2125"/>
      <c r="BV342" s="2125"/>
      <c r="BW342" s="2125"/>
      <c r="BX342" s="2125"/>
      <c r="BY342" s="2125"/>
      <c r="BZ342" s="2125"/>
      <c r="CA342" s="2125"/>
      <c r="CB342" s="2029"/>
      <c r="CC342" s="2029"/>
      <c r="CD342" s="2029"/>
      <c r="CE342" s="2029"/>
      <c r="CF342" s="2029"/>
      <c r="CG342" s="2032"/>
      <c r="CH342" s="1974">
        <v>0</v>
      </c>
      <c r="CI342" s="1974">
        <v>0</v>
      </c>
      <c r="CJ342" s="1974">
        <v>0</v>
      </c>
      <c r="CK342" s="1974">
        <v>0</v>
      </c>
      <c r="CL342" s="1974">
        <v>1</v>
      </c>
      <c r="CM342" s="2033">
        <v>3.7774779175134998E-5</v>
      </c>
      <c r="CN342" s="2026">
        <v>-6.1053267419034833E-5</v>
      </c>
      <c r="CO342" s="1974">
        <v>0</v>
      </c>
      <c r="CP342" s="2031">
        <v>0</v>
      </c>
      <c r="CQ342" s="2031">
        <f t="shared" si="183"/>
        <v>0</v>
      </c>
      <c r="CR342" s="2026">
        <v>1</v>
      </c>
      <c r="CS342" s="2026">
        <v>1</v>
      </c>
      <c r="CT342" s="2026">
        <v>0.84113475177304964</v>
      </c>
      <c r="CU342" s="2026">
        <v>0.84113475177304964</v>
      </c>
      <c r="CV342" s="2036"/>
      <c r="CW342" s="2036"/>
      <c r="CX342" s="2036"/>
      <c r="CY342" s="2036"/>
      <c r="CZ342" s="2036"/>
      <c r="DA342" s="2036"/>
      <c r="DB342" s="1973">
        <v>1</v>
      </c>
    </row>
    <row r="343" spans="1:106" x14ac:dyDescent="0.25">
      <c r="A343" s="2277" t="str">
        <f t="shared" ref="A343:B353" si="193">IF(A28="","",A28)</f>
        <v>LED, T-1 or electroluminescent exit sign</v>
      </c>
      <c r="B343" s="1974" t="str">
        <f t="shared" si="193"/>
        <v>BPL78</v>
      </c>
      <c r="C343" s="2027">
        <v>16</v>
      </c>
      <c r="D343" s="2027"/>
      <c r="E343" s="2144">
        <v>168.15846977737141</v>
      </c>
      <c r="F343" s="2144"/>
      <c r="G343" s="2145">
        <v>1.7948763681793118E-2</v>
      </c>
      <c r="H343" s="2145"/>
      <c r="I343" s="2027">
        <v>-3.3246040586220444</v>
      </c>
      <c r="J343" s="2027"/>
      <c r="K343" s="1974" t="s">
        <v>2988</v>
      </c>
      <c r="L343" s="1974" t="s">
        <v>2988</v>
      </c>
      <c r="M343" s="2026">
        <v>0.9</v>
      </c>
      <c r="N343" s="2026">
        <v>0.9</v>
      </c>
      <c r="O343" s="2026">
        <v>0.9</v>
      </c>
      <c r="P343" s="2026">
        <v>0.9</v>
      </c>
      <c r="Q343" s="2027">
        <f t="shared" si="184"/>
        <v>151.34262279963428</v>
      </c>
      <c r="R343" s="2027">
        <f t="shared" si="184"/>
        <v>151.34262279963428</v>
      </c>
      <c r="S343" s="2027">
        <f t="shared" si="184"/>
        <v>151.34262279963428</v>
      </c>
      <c r="T343" s="2027">
        <f t="shared" si="184"/>
        <v>151.34262279963428</v>
      </c>
      <c r="U343" s="2026">
        <v>0.9</v>
      </c>
      <c r="V343" s="2026">
        <v>0.9</v>
      </c>
      <c r="W343" s="2026">
        <v>0.9</v>
      </c>
      <c r="X343" s="2026">
        <v>0.9</v>
      </c>
      <c r="Y343" s="2028">
        <f t="shared" si="185"/>
        <v>1.6153887313613807E-2</v>
      </c>
      <c r="Z343" s="2028">
        <f t="shared" si="185"/>
        <v>1.6153887313613807E-2</v>
      </c>
      <c r="AA343" s="2028">
        <f t="shared" si="185"/>
        <v>1.6153887313613807E-2</v>
      </c>
      <c r="AB343" s="2028">
        <f t="shared" si="185"/>
        <v>1.6153887313613807E-2</v>
      </c>
      <c r="AC343" s="2026">
        <v>0.9</v>
      </c>
      <c r="AD343" s="2026">
        <v>0.9</v>
      </c>
      <c r="AE343" s="2026">
        <v>0.9</v>
      </c>
      <c r="AF343" s="2026">
        <v>0.9</v>
      </c>
      <c r="AG343" s="2027">
        <f t="shared" si="186"/>
        <v>-2.99214365275984</v>
      </c>
      <c r="AH343" s="2027">
        <f t="shared" si="186"/>
        <v>-2.99214365275984</v>
      </c>
      <c r="AI343" s="2027">
        <f t="shared" si="186"/>
        <v>-2.99214365275984</v>
      </c>
      <c r="AJ343" s="2027">
        <f t="shared" si="186"/>
        <v>-2.99214365275984</v>
      </c>
      <c r="AK343" s="2027">
        <v>36</v>
      </c>
      <c r="AL343" s="2027">
        <v>38</v>
      </c>
      <c r="AM343" s="2027">
        <v>30</v>
      </c>
      <c r="AN343" s="2027">
        <v>20</v>
      </c>
      <c r="AO343" s="2027">
        <f t="shared" si="171"/>
        <v>5448.334420786834</v>
      </c>
      <c r="AP343" s="2027">
        <f t="shared" si="172"/>
        <v>5751.0196663861025</v>
      </c>
      <c r="AQ343" s="2027">
        <f t="shared" si="172"/>
        <v>4540.2786839890287</v>
      </c>
      <c r="AR343" s="2027" t="s">
        <v>3286</v>
      </c>
      <c r="AS343" s="2027">
        <f t="shared" si="173"/>
        <v>3026.8524559926855</v>
      </c>
      <c r="AT343" s="2027">
        <f t="shared" si="174"/>
        <v>-107.71717149935424</v>
      </c>
      <c r="AU343" s="2027">
        <f t="shared" si="175"/>
        <v>-113.70145880487392</v>
      </c>
      <c r="AV343" s="2027">
        <f t="shared" si="175"/>
        <v>-89.764309582795192</v>
      </c>
      <c r="AW343" s="2027">
        <f t="shared" si="175"/>
        <v>-59.842873055196797</v>
      </c>
      <c r="AX343" s="2124">
        <v>28</v>
      </c>
      <c r="AY343" s="2029">
        <v>28</v>
      </c>
      <c r="AZ343" s="2029">
        <v>28</v>
      </c>
      <c r="BA343" s="2029">
        <v>28</v>
      </c>
      <c r="BB343" s="2124">
        <v>0</v>
      </c>
      <c r="BC343" s="2029">
        <v>0</v>
      </c>
      <c r="BD343" s="2029">
        <v>0</v>
      </c>
      <c r="BE343" s="2029">
        <v>0</v>
      </c>
      <c r="BF343" s="2124">
        <v>30</v>
      </c>
      <c r="BG343" s="2029">
        <v>30</v>
      </c>
      <c r="BH343" s="2029">
        <v>30</v>
      </c>
      <c r="BI343" s="2029">
        <v>30</v>
      </c>
      <c r="BJ343" s="2030">
        <f t="shared" si="176"/>
        <v>1008</v>
      </c>
      <c r="BK343" s="2030">
        <f t="shared" si="176"/>
        <v>1064</v>
      </c>
      <c r="BL343" s="2030">
        <f t="shared" si="176"/>
        <v>840</v>
      </c>
      <c r="BM343" s="2030" t="s">
        <v>3286</v>
      </c>
      <c r="BN343" s="2030">
        <f t="shared" si="177"/>
        <v>560</v>
      </c>
      <c r="BO343" s="2030">
        <f t="shared" si="178"/>
        <v>0</v>
      </c>
      <c r="BP343" s="2030" t="s">
        <v>3286</v>
      </c>
      <c r="BQ343" s="2030">
        <f t="shared" si="179"/>
        <v>0</v>
      </c>
      <c r="BR343" s="2030">
        <f t="shared" si="179"/>
        <v>0</v>
      </c>
      <c r="BS343" s="2030">
        <f t="shared" si="179"/>
        <v>0</v>
      </c>
      <c r="BT343" s="2125"/>
      <c r="BU343" s="2125"/>
      <c r="BV343" s="2125"/>
      <c r="BW343" s="2125"/>
      <c r="BX343" s="2125"/>
      <c r="BY343" s="2125"/>
      <c r="BZ343" s="2125"/>
      <c r="CA343" s="2125"/>
      <c r="CB343" s="2029"/>
      <c r="CC343" s="2029"/>
      <c r="CD343" s="2029"/>
      <c r="CE343" s="2029"/>
      <c r="CF343" s="2029"/>
      <c r="CG343" s="2032"/>
      <c r="CH343" s="1974">
        <v>0</v>
      </c>
      <c r="CI343" s="1974">
        <v>0</v>
      </c>
      <c r="CJ343" s="1974">
        <v>0</v>
      </c>
      <c r="CK343" s="1974">
        <v>0</v>
      </c>
      <c r="CL343" s="1974">
        <v>0</v>
      </c>
      <c r="CM343" s="2033">
        <v>2.027699169754792E-5</v>
      </c>
      <c r="CN343" s="2026">
        <v>-3.8553008189749113E-5</v>
      </c>
      <c r="CO343" s="1974">
        <v>1</v>
      </c>
      <c r="CP343" s="2031">
        <v>-5.10948905109489</v>
      </c>
      <c r="CQ343" s="2031">
        <f t="shared" si="183"/>
        <v>5.10948905109489</v>
      </c>
      <c r="CR343" s="2026">
        <v>1</v>
      </c>
      <c r="CS343" s="2026">
        <v>1</v>
      </c>
      <c r="CT343" s="2026">
        <v>1</v>
      </c>
      <c r="CU343" s="2026">
        <v>1</v>
      </c>
      <c r="CV343" s="2036"/>
      <c r="CW343" s="2036"/>
      <c r="CX343" s="2036"/>
      <c r="CY343" s="2036"/>
      <c r="CZ343" s="2036"/>
      <c r="DA343" s="2036"/>
      <c r="DB343" s="1973">
        <v>1</v>
      </c>
    </row>
    <row r="344" spans="1:106" x14ac:dyDescent="0.25">
      <c r="A344" s="2277" t="str">
        <f t="shared" si="193"/>
        <v>LED Exit Sign Retro-fit Kit 6W or less</v>
      </c>
      <c r="B344" s="1974" t="str">
        <f t="shared" si="193"/>
        <v xml:space="preserve">BPL82 </v>
      </c>
      <c r="C344" s="2027">
        <v>16</v>
      </c>
      <c r="D344" s="2027"/>
      <c r="E344" s="2144">
        <v>190.97729817559465</v>
      </c>
      <c r="F344" s="2144"/>
      <c r="G344" s="2145">
        <v>5.6296797675680868E-2</v>
      </c>
      <c r="H344" s="2145"/>
      <c r="I344" s="2027">
        <v>-2.483570128272278</v>
      </c>
      <c r="J344" s="2027"/>
      <c r="K344" s="1974" t="s">
        <v>2988</v>
      </c>
      <c r="L344" s="1974" t="s">
        <v>2988</v>
      </c>
      <c r="M344" s="2026">
        <v>0.9</v>
      </c>
      <c r="N344" s="2026">
        <v>0.9</v>
      </c>
      <c r="O344" s="2026">
        <v>0.9</v>
      </c>
      <c r="P344" s="2026">
        <v>0.9</v>
      </c>
      <c r="Q344" s="2027">
        <f t="shared" si="184"/>
        <v>171.87956835803519</v>
      </c>
      <c r="R344" s="2027">
        <f t="shared" si="184"/>
        <v>171.87956835803519</v>
      </c>
      <c r="S344" s="2027">
        <f t="shared" si="184"/>
        <v>171.87956835803519</v>
      </c>
      <c r="T344" s="2027">
        <f t="shared" si="184"/>
        <v>171.87956835803519</v>
      </c>
      <c r="U344" s="2026">
        <v>0.9</v>
      </c>
      <c r="V344" s="2026">
        <v>0.9</v>
      </c>
      <c r="W344" s="2026">
        <v>0.9</v>
      </c>
      <c r="X344" s="2026">
        <v>0.9</v>
      </c>
      <c r="Y344" s="2028">
        <f t="shared" si="185"/>
        <v>5.0667117908112784E-2</v>
      </c>
      <c r="Z344" s="2028">
        <f t="shared" si="185"/>
        <v>5.0667117908112784E-2</v>
      </c>
      <c r="AA344" s="2028">
        <f t="shared" si="185"/>
        <v>5.0667117908112784E-2</v>
      </c>
      <c r="AB344" s="2028">
        <f t="shared" si="185"/>
        <v>5.0667117908112784E-2</v>
      </c>
      <c r="AC344" s="2026">
        <v>0.9</v>
      </c>
      <c r="AD344" s="2026">
        <v>0.9</v>
      </c>
      <c r="AE344" s="2026">
        <v>0.9</v>
      </c>
      <c r="AF344" s="2026">
        <v>0.9</v>
      </c>
      <c r="AG344" s="2027">
        <f t="shared" si="186"/>
        <v>-2.2352131154450503</v>
      </c>
      <c r="AH344" s="2027">
        <f t="shared" si="186"/>
        <v>-2.2352131154450503</v>
      </c>
      <c r="AI344" s="2027">
        <f t="shared" si="186"/>
        <v>-2.2352131154450503</v>
      </c>
      <c r="AJ344" s="2027">
        <f t="shared" si="186"/>
        <v>-2.2352131154450503</v>
      </c>
      <c r="AK344" s="2027">
        <v>5</v>
      </c>
      <c r="AL344" s="2027">
        <v>5</v>
      </c>
      <c r="AM344" s="2027">
        <v>4</v>
      </c>
      <c r="AN344" s="2027">
        <v>3</v>
      </c>
      <c r="AO344" s="2027">
        <f t="shared" si="171"/>
        <v>859.3978417901759</v>
      </c>
      <c r="AP344" s="2027">
        <f t="shared" si="172"/>
        <v>859.3978417901759</v>
      </c>
      <c r="AQ344" s="2027">
        <f t="shared" si="172"/>
        <v>687.51827343214075</v>
      </c>
      <c r="AR344" s="2027" t="s">
        <v>3286</v>
      </c>
      <c r="AS344" s="2027">
        <f t="shared" si="173"/>
        <v>515.63870507410559</v>
      </c>
      <c r="AT344" s="2027">
        <f t="shared" si="174"/>
        <v>-11.176065577225252</v>
      </c>
      <c r="AU344" s="2027">
        <f t="shared" si="175"/>
        <v>-11.176065577225252</v>
      </c>
      <c r="AV344" s="2027">
        <f t="shared" si="175"/>
        <v>-8.9408524617802012</v>
      </c>
      <c r="AW344" s="2027">
        <f t="shared" si="175"/>
        <v>-6.7056393463351505</v>
      </c>
      <c r="AX344" s="2124">
        <v>14</v>
      </c>
      <c r="AY344" s="2029">
        <v>14</v>
      </c>
      <c r="AZ344" s="2029">
        <v>14</v>
      </c>
      <c r="BA344" s="2029">
        <v>14</v>
      </c>
      <c r="BB344" s="2124">
        <v>0</v>
      </c>
      <c r="BC344" s="2029">
        <v>0</v>
      </c>
      <c r="BD344" s="2029">
        <v>0</v>
      </c>
      <c r="BE344" s="2029">
        <v>0</v>
      </c>
      <c r="BF344" s="2124">
        <v>30</v>
      </c>
      <c r="BG344" s="2029">
        <v>30</v>
      </c>
      <c r="BH344" s="2029">
        <v>30</v>
      </c>
      <c r="BI344" s="2029">
        <v>30</v>
      </c>
      <c r="BJ344" s="2030">
        <f t="shared" si="176"/>
        <v>70</v>
      </c>
      <c r="BK344" s="2030">
        <f t="shared" si="176"/>
        <v>70</v>
      </c>
      <c r="BL344" s="2030">
        <f t="shared" si="176"/>
        <v>56</v>
      </c>
      <c r="BM344" s="2030" t="s">
        <v>3286</v>
      </c>
      <c r="BN344" s="2030">
        <f t="shared" si="177"/>
        <v>42</v>
      </c>
      <c r="BO344" s="2030">
        <f t="shared" si="178"/>
        <v>0</v>
      </c>
      <c r="BP344" s="2030" t="s">
        <v>3286</v>
      </c>
      <c r="BQ344" s="2030">
        <f t="shared" si="179"/>
        <v>0</v>
      </c>
      <c r="BR344" s="2030">
        <f t="shared" si="179"/>
        <v>0</v>
      </c>
      <c r="BS344" s="2030">
        <f t="shared" si="179"/>
        <v>0</v>
      </c>
      <c r="BT344" s="2125"/>
      <c r="BU344" s="2125"/>
      <c r="BV344" s="2125"/>
      <c r="BW344" s="2125"/>
      <c r="BX344" s="2125"/>
      <c r="BY344" s="2125"/>
      <c r="BZ344" s="2125"/>
      <c r="CA344" s="2125"/>
      <c r="CB344" s="2029"/>
      <c r="CC344" s="2029"/>
      <c r="CD344" s="2029"/>
      <c r="CE344" s="2029"/>
      <c r="CF344" s="2029"/>
      <c r="CG344" s="2032"/>
      <c r="CH344" s="1974">
        <v>0</v>
      </c>
      <c r="CI344" s="1974">
        <v>0</v>
      </c>
      <c r="CJ344" s="1974">
        <v>0</v>
      </c>
      <c r="CK344" s="1974">
        <v>0</v>
      </c>
      <c r="CL344" s="1974">
        <v>0</v>
      </c>
      <c r="CM344" s="2033">
        <v>2.8785682745072835E-6</v>
      </c>
      <c r="CN344" s="2026">
        <v>-3.6000188972421101E-6</v>
      </c>
      <c r="CO344" s="1974">
        <v>1</v>
      </c>
      <c r="CP344" s="2031">
        <v>-5.10948905109489</v>
      </c>
      <c r="CQ344" s="2031">
        <f t="shared" si="183"/>
        <v>5.10948905109489</v>
      </c>
      <c r="CR344" s="2026">
        <v>1</v>
      </c>
      <c r="CS344" s="2026">
        <v>1</v>
      </c>
      <c r="CT344" s="2026">
        <v>1</v>
      </c>
      <c r="CU344" s="2026">
        <v>1</v>
      </c>
      <c r="CV344" s="2036"/>
      <c r="CW344" s="2036"/>
      <c r="CX344" s="2036"/>
      <c r="CY344" s="2036"/>
      <c r="CZ344" s="2036"/>
      <c r="DA344" s="2036"/>
      <c r="DB344" s="1973">
        <v>1</v>
      </c>
    </row>
    <row r="345" spans="1:106" x14ac:dyDescent="0.25">
      <c r="A345" s="2277" t="str">
        <f t="shared" si="193"/>
        <v>Interior LED Lamps and Fixtures</v>
      </c>
      <c r="B345" s="1974" t="str">
        <f t="shared" si="193"/>
        <v>BPL67</v>
      </c>
      <c r="C345" s="2027">
        <v>15</v>
      </c>
      <c r="D345" s="2027">
        <v>1</v>
      </c>
      <c r="E345" s="1973">
        <f>F345*$CS345</f>
        <v>568.88200876334827</v>
      </c>
      <c r="F345" s="2144">
        <v>568.88200876334827</v>
      </c>
      <c r="G345" s="1973">
        <f>H345*$CS345</f>
        <v>9.92136358739934E-2</v>
      </c>
      <c r="H345" s="2145">
        <v>9.92136358739934E-2</v>
      </c>
      <c r="I345" s="1973">
        <f>J345*$CS345</f>
        <v>-12.323260536976173</v>
      </c>
      <c r="J345" s="2027">
        <v>-12.323260536976173</v>
      </c>
      <c r="K345" s="1974" t="s">
        <v>2988</v>
      </c>
      <c r="L345" s="1974" t="s">
        <v>2988</v>
      </c>
      <c r="M345" s="2026">
        <v>0.9</v>
      </c>
      <c r="N345" s="2026">
        <v>0.9</v>
      </c>
      <c r="O345" s="2026">
        <v>0.9</v>
      </c>
      <c r="P345" s="2026">
        <v>0.9</v>
      </c>
      <c r="Q345" s="2027">
        <f>$F345*M345</f>
        <v>511.99380788701347</v>
      </c>
      <c r="R345" s="2027">
        <f>$F345*N345</f>
        <v>511.99380788701347</v>
      </c>
      <c r="S345" s="2027">
        <f>$F345*O345</f>
        <v>511.99380788701347</v>
      </c>
      <c r="T345" s="2027">
        <f>$F345*P345</f>
        <v>511.99380788701347</v>
      </c>
      <c r="U345" s="2026">
        <v>0.9</v>
      </c>
      <c r="V345" s="2026">
        <v>0.9</v>
      </c>
      <c r="W345" s="2026">
        <v>0.9</v>
      </c>
      <c r="X345" s="2026">
        <v>0.9</v>
      </c>
      <c r="Y345" s="2028">
        <f>$H345*U345</f>
        <v>8.929227228659406E-2</v>
      </c>
      <c r="Z345" s="2028">
        <f>$H345*V345</f>
        <v>8.929227228659406E-2</v>
      </c>
      <c r="AA345" s="2028">
        <f>$H345*W345</f>
        <v>8.929227228659406E-2</v>
      </c>
      <c r="AB345" s="2028">
        <f>$H345*X345</f>
        <v>8.929227228659406E-2</v>
      </c>
      <c r="AC345" s="2026">
        <v>0.9</v>
      </c>
      <c r="AD345" s="2026">
        <v>0.9</v>
      </c>
      <c r="AE345" s="2026">
        <v>0.9</v>
      </c>
      <c r="AF345" s="2026">
        <v>0.9</v>
      </c>
      <c r="AG345" s="2027">
        <f>$J345*AC345</f>
        <v>-11.090934483278556</v>
      </c>
      <c r="AH345" s="2027">
        <f>$J345*AD345</f>
        <v>-11.090934483278556</v>
      </c>
      <c r="AI345" s="2027">
        <f>$J345*AE345</f>
        <v>-11.090934483278556</v>
      </c>
      <c r="AJ345" s="2027">
        <f>$J345*AF345</f>
        <v>-11.090934483278556</v>
      </c>
      <c r="AK345" s="2027">
        <v>13000</v>
      </c>
      <c r="AL345" s="2027"/>
      <c r="AM345" s="2027"/>
      <c r="AN345" s="2027"/>
      <c r="AO345" s="2027">
        <f t="shared" si="171"/>
        <v>6655919.5025311755</v>
      </c>
      <c r="AP345" s="2027">
        <f t="shared" si="172"/>
        <v>0</v>
      </c>
      <c r="AQ345" s="2027">
        <f t="shared" si="172"/>
        <v>0</v>
      </c>
      <c r="AR345" s="2027" t="s">
        <v>3286</v>
      </c>
      <c r="AS345" s="2027">
        <f t="shared" si="173"/>
        <v>0</v>
      </c>
      <c r="AT345" s="2027">
        <f t="shared" si="174"/>
        <v>-144182.14828262123</v>
      </c>
      <c r="AU345" s="2027">
        <f t="shared" si="175"/>
        <v>0</v>
      </c>
      <c r="AV345" s="2027">
        <f t="shared" si="175"/>
        <v>0</v>
      </c>
      <c r="AW345" s="2027">
        <f t="shared" si="175"/>
        <v>0</v>
      </c>
      <c r="AX345" s="2124">
        <v>96.584257189810984</v>
      </c>
      <c r="AY345" s="2029">
        <v>96.584257189810984</v>
      </c>
      <c r="AZ345" s="2029">
        <v>96.584257189810984</v>
      </c>
      <c r="BA345" s="2029">
        <v>96.584257189810984</v>
      </c>
      <c r="BB345" s="2124">
        <v>0</v>
      </c>
      <c r="BC345" s="2029">
        <v>0</v>
      </c>
      <c r="BD345" s="2029">
        <v>0</v>
      </c>
      <c r="BE345" s="2029">
        <v>0</v>
      </c>
      <c r="BF345" s="2124">
        <v>266.88716398638337</v>
      </c>
      <c r="BG345" s="2029">
        <v>266.88716398638337</v>
      </c>
      <c r="BH345" s="2029">
        <v>266.88716398638337</v>
      </c>
      <c r="BI345" s="2029">
        <v>266.88716398638337</v>
      </c>
      <c r="BJ345" s="2030">
        <f t="shared" si="176"/>
        <v>1255595.3434675429</v>
      </c>
      <c r="BK345" s="2030">
        <f t="shared" si="176"/>
        <v>0</v>
      </c>
      <c r="BL345" s="2030">
        <f t="shared" si="176"/>
        <v>0</v>
      </c>
      <c r="BM345" s="2030" t="s">
        <v>3286</v>
      </c>
      <c r="BN345" s="2030">
        <f t="shared" si="177"/>
        <v>0</v>
      </c>
      <c r="BO345" s="2030">
        <f t="shared" si="178"/>
        <v>0</v>
      </c>
      <c r="BP345" s="2030" t="s">
        <v>3286</v>
      </c>
      <c r="BQ345" s="2030">
        <f t="shared" si="179"/>
        <v>0</v>
      </c>
      <c r="BR345" s="2030">
        <f t="shared" si="179"/>
        <v>0</v>
      </c>
      <c r="BS345" s="2030">
        <f t="shared" si="179"/>
        <v>0</v>
      </c>
      <c r="BT345" s="2125"/>
      <c r="BU345" s="2125"/>
      <c r="BV345" s="2125"/>
      <c r="BW345" s="2125"/>
      <c r="BX345" s="2125"/>
      <c r="BY345" s="2125"/>
      <c r="BZ345" s="2125"/>
      <c r="CA345" s="2125"/>
      <c r="CB345" s="2029"/>
      <c r="CC345" s="2029"/>
      <c r="CD345" s="2029"/>
      <c r="CE345" s="2029"/>
      <c r="CF345" s="2029"/>
      <c r="CG345" s="2032"/>
      <c r="CH345" s="1974">
        <v>0</v>
      </c>
      <c r="CI345" s="1974">
        <v>0</v>
      </c>
      <c r="CJ345" s="1974">
        <v>0</v>
      </c>
      <c r="CK345" s="1974">
        <v>0</v>
      </c>
      <c r="CL345" s="1974">
        <v>1</v>
      </c>
      <c r="CM345" s="2033">
        <v>2.5723984756426146E-2</v>
      </c>
      <c r="CN345" s="2026">
        <v>-5.3588948792375482E-2</v>
      </c>
      <c r="CO345" s="1974">
        <v>1</v>
      </c>
      <c r="CP345" s="2031">
        <v>-5.387533986928104</v>
      </c>
      <c r="CQ345" s="2031">
        <f t="shared" si="183"/>
        <v>5.387533986928104</v>
      </c>
      <c r="CR345" s="2026">
        <v>1</v>
      </c>
      <c r="CS345" s="2026">
        <v>1</v>
      </c>
      <c r="CT345" s="2026">
        <v>0.91870005481454409</v>
      </c>
      <c r="CU345" s="2026">
        <v>0.91870005481454409</v>
      </c>
      <c r="CV345" s="2036"/>
      <c r="CW345" s="2036"/>
      <c r="CX345" s="2036"/>
      <c r="CY345" s="2036"/>
      <c r="CZ345" s="2036"/>
      <c r="DA345" s="2036"/>
      <c r="DB345" s="1973">
        <v>1</v>
      </c>
    </row>
    <row r="346" spans="1:106" x14ac:dyDescent="0.25">
      <c r="A346" s="2278" t="str">
        <f t="shared" si="193"/>
        <v>Air Conditioner Tune-Up</v>
      </c>
      <c r="B346" s="1974" t="str">
        <f t="shared" si="193"/>
        <v>BPC21</v>
      </c>
      <c r="C346" s="2027">
        <v>3</v>
      </c>
      <c r="D346" s="2027"/>
      <c r="E346" s="2144">
        <v>878</v>
      </c>
      <c r="F346" s="2144"/>
      <c r="G346" s="2145">
        <v>0.39</v>
      </c>
      <c r="H346" s="2145"/>
      <c r="I346" s="2027">
        <v>0</v>
      </c>
      <c r="J346" s="2027"/>
      <c r="K346" s="1974" t="s">
        <v>2988</v>
      </c>
      <c r="L346" s="1974" t="s">
        <v>2988</v>
      </c>
      <c r="M346" s="2026">
        <v>0.9</v>
      </c>
      <c r="N346" s="2026">
        <v>0.9</v>
      </c>
      <c r="O346" s="2026">
        <v>0.9</v>
      </c>
      <c r="P346" s="2026">
        <v>0.9</v>
      </c>
      <c r="Q346" s="2027">
        <f t="shared" si="184"/>
        <v>790.2</v>
      </c>
      <c r="R346" s="2027">
        <f t="shared" si="184"/>
        <v>790.2</v>
      </c>
      <c r="S346" s="2027">
        <f t="shared" si="184"/>
        <v>790.2</v>
      </c>
      <c r="T346" s="2027">
        <f t="shared" si="184"/>
        <v>790.2</v>
      </c>
      <c r="U346" s="2026">
        <v>0.9</v>
      </c>
      <c r="V346" s="2026">
        <v>0.9</v>
      </c>
      <c r="W346" s="2026">
        <v>0.9</v>
      </c>
      <c r="X346" s="2026">
        <v>0.9</v>
      </c>
      <c r="Y346" s="2028">
        <f t="shared" si="185"/>
        <v>0.35100000000000003</v>
      </c>
      <c r="Z346" s="2028">
        <f t="shared" si="185"/>
        <v>0.35100000000000003</v>
      </c>
      <c r="AA346" s="2028">
        <f t="shared" si="185"/>
        <v>0.35100000000000003</v>
      </c>
      <c r="AB346" s="2028">
        <f t="shared" si="185"/>
        <v>0.35100000000000003</v>
      </c>
      <c r="AC346" s="2026">
        <v>0.9</v>
      </c>
      <c r="AD346" s="2026">
        <v>0.9</v>
      </c>
      <c r="AE346" s="2026">
        <v>0.9</v>
      </c>
      <c r="AF346" s="2026">
        <v>0.9</v>
      </c>
      <c r="AG346" s="2027">
        <f t="shared" si="186"/>
        <v>0</v>
      </c>
      <c r="AH346" s="2027">
        <f t="shared" si="186"/>
        <v>0</v>
      </c>
      <c r="AI346" s="2027">
        <f t="shared" si="186"/>
        <v>0</v>
      </c>
      <c r="AJ346" s="2027">
        <f t="shared" si="186"/>
        <v>0</v>
      </c>
      <c r="AK346" s="2027">
        <v>9</v>
      </c>
      <c r="AL346" s="2028">
        <v>10</v>
      </c>
      <c r="AM346" s="2028">
        <v>10</v>
      </c>
      <c r="AN346" s="2028">
        <v>10</v>
      </c>
      <c r="AO346" s="2027">
        <f t="shared" si="171"/>
        <v>7111.8</v>
      </c>
      <c r="AP346" s="2027">
        <f t="shared" si="172"/>
        <v>7902</v>
      </c>
      <c r="AQ346" s="2027">
        <f t="shared" si="172"/>
        <v>7902</v>
      </c>
      <c r="AR346" s="2027" t="s">
        <v>3286</v>
      </c>
      <c r="AS346" s="2027">
        <f t="shared" si="173"/>
        <v>7902</v>
      </c>
      <c r="AT346" s="2027">
        <f t="shared" si="174"/>
        <v>0</v>
      </c>
      <c r="AU346" s="2027">
        <f t="shared" si="175"/>
        <v>0</v>
      </c>
      <c r="AV346" s="2027">
        <f t="shared" si="175"/>
        <v>0</v>
      </c>
      <c r="AW346" s="2027">
        <f t="shared" si="175"/>
        <v>0</v>
      </c>
      <c r="AX346" s="2124">
        <v>120</v>
      </c>
      <c r="AY346" s="2029">
        <v>120</v>
      </c>
      <c r="AZ346" s="2029">
        <v>120</v>
      </c>
      <c r="BA346" s="2029">
        <v>120</v>
      </c>
      <c r="BB346" s="2124">
        <v>0</v>
      </c>
      <c r="BC346" s="2029">
        <v>0</v>
      </c>
      <c r="BD346" s="2029">
        <v>0</v>
      </c>
      <c r="BE346" s="2029">
        <v>0</v>
      </c>
      <c r="BF346" s="2124">
        <v>140</v>
      </c>
      <c r="BG346" s="2029">
        <v>140</v>
      </c>
      <c r="BH346" s="2029">
        <v>140</v>
      </c>
      <c r="BI346" s="2029">
        <v>140</v>
      </c>
      <c r="BJ346" s="2030">
        <f t="shared" si="176"/>
        <v>1080</v>
      </c>
      <c r="BK346" s="2030">
        <f t="shared" si="176"/>
        <v>1200</v>
      </c>
      <c r="BL346" s="2030">
        <f t="shared" si="176"/>
        <v>1200</v>
      </c>
      <c r="BM346" s="2030" t="s">
        <v>3286</v>
      </c>
      <c r="BN346" s="2030">
        <f t="shared" si="177"/>
        <v>1200</v>
      </c>
      <c r="BO346" s="2030">
        <f t="shared" si="178"/>
        <v>0</v>
      </c>
      <c r="BP346" s="2030" t="s">
        <v>3286</v>
      </c>
      <c r="BQ346" s="2030">
        <f t="shared" si="179"/>
        <v>0</v>
      </c>
      <c r="BR346" s="2030">
        <f t="shared" si="179"/>
        <v>0</v>
      </c>
      <c r="BS346" s="2030">
        <f t="shared" si="179"/>
        <v>0</v>
      </c>
      <c r="BT346" s="2125"/>
      <c r="BU346" s="2125"/>
      <c r="BV346" s="2125"/>
      <c r="BW346" s="2125"/>
      <c r="BX346" s="2125"/>
      <c r="BY346" s="2125"/>
      <c r="BZ346" s="2125"/>
      <c r="CA346" s="2125"/>
      <c r="CB346" s="2029"/>
      <c r="CC346" s="2029"/>
      <c r="CD346" s="2029"/>
      <c r="CE346" s="2029"/>
      <c r="CF346" s="2029"/>
      <c r="CG346" s="2032"/>
      <c r="CH346" s="1974">
        <v>0</v>
      </c>
      <c r="CI346" s="1974">
        <v>0</v>
      </c>
      <c r="CJ346" s="1974">
        <v>0</v>
      </c>
      <c r="CK346" s="1974">
        <v>0</v>
      </c>
      <c r="CL346" s="1974">
        <v>0</v>
      </c>
      <c r="CM346" s="2033">
        <v>2.6467888792662521E-5</v>
      </c>
      <c r="CN346" s="2026">
        <v>0</v>
      </c>
      <c r="CO346" s="1974">
        <v>0</v>
      </c>
      <c r="CP346" s="2031">
        <v>0</v>
      </c>
      <c r="CQ346" s="2031">
        <f t="shared" si="183"/>
        <v>0</v>
      </c>
      <c r="CR346" s="2026">
        <v>1</v>
      </c>
      <c r="CS346" s="2026">
        <v>1</v>
      </c>
      <c r="CT346" s="2026">
        <v>1</v>
      </c>
      <c r="CU346" s="2026">
        <v>1</v>
      </c>
      <c r="CV346" s="2036"/>
      <c r="CW346" s="2036"/>
      <c r="CX346" s="2036"/>
      <c r="CY346" s="2036"/>
      <c r="CZ346" s="2036"/>
      <c r="DA346" s="2036"/>
      <c r="DB346" s="1973">
        <v>1</v>
      </c>
    </row>
    <row r="347" spans="1:106" x14ac:dyDescent="0.25">
      <c r="A347" s="2278" t="str">
        <f t="shared" si="193"/>
        <v>Unitary and Split AC Systems and Air Source Heat Pumps (up to 65,000 Btuh input, minimum 15 SEER)</v>
      </c>
      <c r="B347" s="1974" t="str">
        <f t="shared" si="193"/>
        <v>BPC2</v>
      </c>
      <c r="C347" s="2027">
        <v>15</v>
      </c>
      <c r="D347" s="2027"/>
      <c r="E347" s="2144">
        <v>514.38</v>
      </c>
      <c r="F347" s="2144"/>
      <c r="G347" s="2145">
        <v>0.5</v>
      </c>
      <c r="H347" s="2145"/>
      <c r="I347" s="2027">
        <v>0</v>
      </c>
      <c r="J347" s="2027"/>
      <c r="K347" s="1974" t="s">
        <v>2988</v>
      </c>
      <c r="L347" s="1974" t="s">
        <v>2988</v>
      </c>
      <c r="M347" s="2026">
        <v>0.9</v>
      </c>
      <c r="N347" s="2026">
        <v>0.9</v>
      </c>
      <c r="O347" s="2026">
        <v>0.9</v>
      </c>
      <c r="P347" s="2026">
        <v>0.9</v>
      </c>
      <c r="Q347" s="2027">
        <f t="shared" si="184"/>
        <v>462.94200000000001</v>
      </c>
      <c r="R347" s="2027">
        <f t="shared" si="184"/>
        <v>462.94200000000001</v>
      </c>
      <c r="S347" s="2027">
        <f t="shared" si="184"/>
        <v>462.94200000000001</v>
      </c>
      <c r="T347" s="2027">
        <f t="shared" si="184"/>
        <v>462.94200000000001</v>
      </c>
      <c r="U347" s="2026">
        <v>0.9</v>
      </c>
      <c r="V347" s="2026">
        <v>0.9</v>
      </c>
      <c r="W347" s="2026">
        <v>0.9</v>
      </c>
      <c r="X347" s="2026">
        <v>0.9</v>
      </c>
      <c r="Y347" s="2028">
        <f t="shared" si="185"/>
        <v>0.45</v>
      </c>
      <c r="Z347" s="2028">
        <f t="shared" si="185"/>
        <v>0.45</v>
      </c>
      <c r="AA347" s="2028">
        <f t="shared" si="185"/>
        <v>0.45</v>
      </c>
      <c r="AB347" s="2028">
        <f t="shared" si="185"/>
        <v>0.45</v>
      </c>
      <c r="AC347" s="2026">
        <v>0.9</v>
      </c>
      <c r="AD347" s="2026">
        <v>0.9</v>
      </c>
      <c r="AE347" s="2026">
        <v>0.9</v>
      </c>
      <c r="AF347" s="2026">
        <v>0.9</v>
      </c>
      <c r="AG347" s="2027">
        <f t="shared" si="186"/>
        <v>0</v>
      </c>
      <c r="AH347" s="2027">
        <f t="shared" si="186"/>
        <v>0</v>
      </c>
      <c r="AI347" s="2027">
        <f t="shared" si="186"/>
        <v>0</v>
      </c>
      <c r="AJ347" s="2027">
        <f t="shared" si="186"/>
        <v>0</v>
      </c>
      <c r="AK347" s="2027">
        <v>4</v>
      </c>
      <c r="AL347" s="2028">
        <v>5</v>
      </c>
      <c r="AM347" s="2028">
        <v>5</v>
      </c>
      <c r="AN347" s="2028">
        <v>5</v>
      </c>
      <c r="AO347" s="2027">
        <f t="shared" si="171"/>
        <v>1851.768</v>
      </c>
      <c r="AP347" s="2027">
        <f t="shared" si="172"/>
        <v>2314.71</v>
      </c>
      <c r="AQ347" s="2027">
        <f t="shared" si="172"/>
        <v>2314.71</v>
      </c>
      <c r="AR347" s="2027" t="s">
        <v>3286</v>
      </c>
      <c r="AS347" s="2027">
        <f t="shared" si="173"/>
        <v>2314.71</v>
      </c>
      <c r="AT347" s="2027">
        <f t="shared" si="174"/>
        <v>0</v>
      </c>
      <c r="AU347" s="2027">
        <f t="shared" si="175"/>
        <v>0</v>
      </c>
      <c r="AV347" s="2027">
        <f t="shared" si="175"/>
        <v>0</v>
      </c>
      <c r="AW347" s="2027">
        <f t="shared" si="175"/>
        <v>0</v>
      </c>
      <c r="AX347" s="2124">
        <v>50</v>
      </c>
      <c r="AY347" s="2029">
        <v>50</v>
      </c>
      <c r="AZ347" s="2029">
        <v>50</v>
      </c>
      <c r="BA347" s="2029">
        <v>50</v>
      </c>
      <c r="BB347" s="2124">
        <v>0</v>
      </c>
      <c r="BC347" s="2029">
        <v>0</v>
      </c>
      <c r="BD347" s="2029">
        <v>0</v>
      </c>
      <c r="BE347" s="2029">
        <v>0</v>
      </c>
      <c r="BF347" s="2124">
        <v>300</v>
      </c>
      <c r="BG347" s="2029">
        <v>300</v>
      </c>
      <c r="BH347" s="2029">
        <v>300</v>
      </c>
      <c r="BI347" s="2029">
        <v>300</v>
      </c>
      <c r="BJ347" s="2030">
        <f t="shared" si="176"/>
        <v>200</v>
      </c>
      <c r="BK347" s="2030">
        <f t="shared" si="176"/>
        <v>250</v>
      </c>
      <c r="BL347" s="2030">
        <f t="shared" si="176"/>
        <v>250</v>
      </c>
      <c r="BM347" s="2030" t="s">
        <v>3286</v>
      </c>
      <c r="BN347" s="2030">
        <f t="shared" si="177"/>
        <v>250</v>
      </c>
      <c r="BO347" s="2030">
        <f t="shared" si="178"/>
        <v>0</v>
      </c>
      <c r="BP347" s="2030" t="s">
        <v>3286</v>
      </c>
      <c r="BQ347" s="2030">
        <f t="shared" si="179"/>
        <v>0</v>
      </c>
      <c r="BR347" s="2030">
        <f t="shared" si="179"/>
        <v>0</v>
      </c>
      <c r="BS347" s="2030">
        <f t="shared" si="179"/>
        <v>0</v>
      </c>
      <c r="BT347" s="2125"/>
      <c r="BU347" s="2125"/>
      <c r="BV347" s="2125"/>
      <c r="BW347" s="2125"/>
      <c r="BX347" s="2125"/>
      <c r="BY347" s="2125"/>
      <c r="BZ347" s="2125"/>
      <c r="CA347" s="2125"/>
      <c r="CB347" s="2029"/>
      <c r="CC347" s="2029"/>
      <c r="CD347" s="2029"/>
      <c r="CE347" s="2029"/>
      <c r="CF347" s="2029"/>
      <c r="CG347" s="2032"/>
      <c r="CH347" s="1974">
        <v>0</v>
      </c>
      <c r="CI347" s="1974">
        <v>0</v>
      </c>
      <c r="CJ347" s="1974">
        <v>0</v>
      </c>
      <c r="CK347" s="1974">
        <v>0</v>
      </c>
      <c r="CL347" s="1974">
        <v>0</v>
      </c>
      <c r="CM347" s="2033">
        <v>6.2025296752481769E-6</v>
      </c>
      <c r="CN347" s="2026">
        <v>0</v>
      </c>
      <c r="CO347" s="1974">
        <v>0</v>
      </c>
      <c r="CP347" s="2031">
        <v>0</v>
      </c>
      <c r="CQ347" s="2031">
        <f t="shared" si="183"/>
        <v>0</v>
      </c>
      <c r="CR347" s="2026">
        <v>1</v>
      </c>
      <c r="CS347" s="2026">
        <v>1</v>
      </c>
      <c r="CT347" s="2026">
        <v>1</v>
      </c>
      <c r="CU347" s="2026">
        <v>1</v>
      </c>
      <c r="CV347" s="2036"/>
      <c r="CW347" s="2036"/>
      <c r="CX347" s="2036"/>
      <c r="CY347" s="2036"/>
      <c r="CZ347" s="2036"/>
      <c r="DA347" s="2036"/>
      <c r="DB347" s="1973">
        <v>1</v>
      </c>
    </row>
    <row r="348" spans="1:106" x14ac:dyDescent="0.25">
      <c r="A348" s="2278" t="str">
        <f t="shared" si="193"/>
        <v>Unitary and Split AC Systems and Air Source Heat Pumps (65,000 to 134,999 Btuh input, minimum 12 EER)</v>
      </c>
      <c r="B348" s="1974" t="str">
        <f t="shared" si="193"/>
        <v>BPC4</v>
      </c>
      <c r="C348" s="2027">
        <v>15</v>
      </c>
      <c r="D348" s="2027"/>
      <c r="E348" s="2144">
        <v>744.5</v>
      </c>
      <c r="F348" s="2144"/>
      <c r="G348" s="2145">
        <v>0.747</v>
      </c>
      <c r="H348" s="2145"/>
      <c r="I348" s="2027">
        <v>0</v>
      </c>
      <c r="J348" s="2027"/>
      <c r="K348" s="1974" t="s">
        <v>2988</v>
      </c>
      <c r="L348" s="1974" t="s">
        <v>2988</v>
      </c>
      <c r="M348" s="2026">
        <v>0.9</v>
      </c>
      <c r="N348" s="2026">
        <v>0.9</v>
      </c>
      <c r="O348" s="2026">
        <v>0.9</v>
      </c>
      <c r="P348" s="2026">
        <v>0.9</v>
      </c>
      <c r="Q348" s="2027">
        <f t="shared" si="184"/>
        <v>670.05000000000007</v>
      </c>
      <c r="R348" s="2027">
        <f t="shared" si="184"/>
        <v>670.05000000000007</v>
      </c>
      <c r="S348" s="2027">
        <f t="shared" si="184"/>
        <v>670.05000000000007</v>
      </c>
      <c r="T348" s="2027">
        <f t="shared" si="184"/>
        <v>670.05000000000007</v>
      </c>
      <c r="U348" s="2026">
        <v>0.9</v>
      </c>
      <c r="V348" s="2026">
        <v>0.9</v>
      </c>
      <c r="W348" s="2026">
        <v>0.9</v>
      </c>
      <c r="X348" s="2026">
        <v>0.9</v>
      </c>
      <c r="Y348" s="2028">
        <f t="shared" si="185"/>
        <v>0.67230000000000001</v>
      </c>
      <c r="Z348" s="2028">
        <f t="shared" si="185"/>
        <v>0.67230000000000001</v>
      </c>
      <c r="AA348" s="2028">
        <f t="shared" si="185"/>
        <v>0.67230000000000001</v>
      </c>
      <c r="AB348" s="2028">
        <f t="shared" si="185"/>
        <v>0.67230000000000001</v>
      </c>
      <c r="AC348" s="2026">
        <v>0.9</v>
      </c>
      <c r="AD348" s="2026">
        <v>0.9</v>
      </c>
      <c r="AE348" s="2026">
        <v>0.9</v>
      </c>
      <c r="AF348" s="2026">
        <v>0.9</v>
      </c>
      <c r="AG348" s="2027">
        <f t="shared" si="186"/>
        <v>0</v>
      </c>
      <c r="AH348" s="2027">
        <f t="shared" si="186"/>
        <v>0</v>
      </c>
      <c r="AI348" s="2027">
        <f t="shared" si="186"/>
        <v>0</v>
      </c>
      <c r="AJ348" s="2027">
        <f t="shared" si="186"/>
        <v>0</v>
      </c>
      <c r="AK348" s="2027">
        <v>2</v>
      </c>
      <c r="AL348" s="2028">
        <v>3</v>
      </c>
      <c r="AM348" s="2028">
        <v>3</v>
      </c>
      <c r="AN348" s="2028">
        <v>3</v>
      </c>
      <c r="AO348" s="2027">
        <f t="shared" si="171"/>
        <v>1340.1000000000001</v>
      </c>
      <c r="AP348" s="2027">
        <f t="shared" si="172"/>
        <v>2010.15</v>
      </c>
      <c r="AQ348" s="2027">
        <f t="shared" si="172"/>
        <v>2010.15</v>
      </c>
      <c r="AR348" s="2027" t="s">
        <v>3286</v>
      </c>
      <c r="AS348" s="2027">
        <f t="shared" si="173"/>
        <v>2010.15</v>
      </c>
      <c r="AT348" s="2027">
        <f t="shared" si="174"/>
        <v>0</v>
      </c>
      <c r="AU348" s="2027">
        <f t="shared" si="175"/>
        <v>0</v>
      </c>
      <c r="AV348" s="2027">
        <f t="shared" si="175"/>
        <v>0</v>
      </c>
      <c r="AW348" s="2027">
        <f t="shared" si="175"/>
        <v>0</v>
      </c>
      <c r="AX348" s="2124">
        <v>50</v>
      </c>
      <c r="AY348" s="2029">
        <v>50</v>
      </c>
      <c r="AZ348" s="2029">
        <v>50</v>
      </c>
      <c r="BA348" s="2029">
        <v>50</v>
      </c>
      <c r="BB348" s="2124">
        <v>0</v>
      </c>
      <c r="BC348" s="2029">
        <v>0</v>
      </c>
      <c r="BD348" s="2029">
        <v>0</v>
      </c>
      <c r="BE348" s="2029">
        <v>0</v>
      </c>
      <c r="BF348" s="2124">
        <v>1000</v>
      </c>
      <c r="BG348" s="2029">
        <v>1000</v>
      </c>
      <c r="BH348" s="2029">
        <v>1000</v>
      </c>
      <c r="BI348" s="2029">
        <v>1000</v>
      </c>
      <c r="BJ348" s="2030">
        <f t="shared" si="176"/>
        <v>100</v>
      </c>
      <c r="BK348" s="2030">
        <f t="shared" si="176"/>
        <v>150</v>
      </c>
      <c r="BL348" s="2030">
        <f t="shared" si="176"/>
        <v>150</v>
      </c>
      <c r="BM348" s="2030" t="s">
        <v>3286</v>
      </c>
      <c r="BN348" s="2030">
        <f t="shared" si="177"/>
        <v>150</v>
      </c>
      <c r="BO348" s="2030">
        <f t="shared" si="178"/>
        <v>0</v>
      </c>
      <c r="BP348" s="2030" t="s">
        <v>3286</v>
      </c>
      <c r="BQ348" s="2030">
        <f t="shared" si="179"/>
        <v>0</v>
      </c>
      <c r="BR348" s="2030">
        <f t="shared" si="179"/>
        <v>0</v>
      </c>
      <c r="BS348" s="2030">
        <f t="shared" si="179"/>
        <v>0</v>
      </c>
      <c r="BT348" s="2125"/>
      <c r="BU348" s="2125"/>
      <c r="BV348" s="2125"/>
      <c r="BW348" s="2125"/>
      <c r="BX348" s="2125"/>
      <c r="BY348" s="2125"/>
      <c r="BZ348" s="2125"/>
      <c r="CA348" s="2125"/>
      <c r="CB348" s="2029"/>
      <c r="CC348" s="2029"/>
      <c r="CD348" s="2029"/>
      <c r="CE348" s="2029"/>
      <c r="CF348" s="2029"/>
      <c r="CG348" s="2032"/>
      <c r="CH348" s="1974">
        <v>0</v>
      </c>
      <c r="CI348" s="1974">
        <v>0</v>
      </c>
      <c r="CJ348" s="1974">
        <v>0</v>
      </c>
      <c r="CK348" s="1974">
        <v>0</v>
      </c>
      <c r="CL348" s="1974">
        <v>0</v>
      </c>
      <c r="CM348" s="2033">
        <v>4.4886886574344531E-6</v>
      </c>
      <c r="CN348" s="2026">
        <v>0</v>
      </c>
      <c r="CO348" s="1974">
        <v>0</v>
      </c>
      <c r="CP348" s="2031">
        <v>0</v>
      </c>
      <c r="CQ348" s="2031">
        <f t="shared" si="183"/>
        <v>0</v>
      </c>
      <c r="CR348" s="2026">
        <v>1</v>
      </c>
      <c r="CS348" s="2026">
        <v>1</v>
      </c>
      <c r="CT348" s="2026">
        <v>1</v>
      </c>
      <c r="CU348" s="2026">
        <v>1</v>
      </c>
      <c r="CV348" s="2036"/>
      <c r="CW348" s="2036"/>
      <c r="CX348" s="2036"/>
      <c r="CY348" s="2036"/>
      <c r="CZ348" s="2036"/>
      <c r="DA348" s="2036"/>
      <c r="DB348" s="1973">
        <v>1</v>
      </c>
    </row>
    <row r="349" spans="1:106" x14ac:dyDescent="0.25">
      <c r="A349" s="2278" t="str">
        <f t="shared" si="193"/>
        <v>Unitary and Split AC Systems and Air Source Heat Pumps (240,000 to 759,999 Btuh input, minimum 10.8 EER/12.0 IPLV)</v>
      </c>
      <c r="B349" s="1974" t="str">
        <f t="shared" si="193"/>
        <v>BPC6</v>
      </c>
      <c r="C349" s="2027">
        <v>15</v>
      </c>
      <c r="D349" s="2027"/>
      <c r="E349" s="2144">
        <v>9363.2099999999991</v>
      </c>
      <c r="F349" s="2144"/>
      <c r="G349" s="2145">
        <v>9.27</v>
      </c>
      <c r="H349" s="2145"/>
      <c r="I349" s="2027">
        <v>0</v>
      </c>
      <c r="J349" s="2027"/>
      <c r="K349" s="1974" t="s">
        <v>2988</v>
      </c>
      <c r="L349" s="1974" t="s">
        <v>2988</v>
      </c>
      <c r="M349" s="2026">
        <v>0.9</v>
      </c>
      <c r="N349" s="2026">
        <v>0.9</v>
      </c>
      <c r="O349" s="2026">
        <v>0.9</v>
      </c>
      <c r="P349" s="2026">
        <v>0.9</v>
      </c>
      <c r="Q349" s="2027">
        <f t="shared" si="184"/>
        <v>8426.8889999999992</v>
      </c>
      <c r="R349" s="2027">
        <f t="shared" si="184"/>
        <v>8426.8889999999992</v>
      </c>
      <c r="S349" s="2027">
        <f t="shared" si="184"/>
        <v>8426.8889999999992</v>
      </c>
      <c r="T349" s="2027">
        <f t="shared" si="184"/>
        <v>8426.8889999999992</v>
      </c>
      <c r="U349" s="2026">
        <v>0.9</v>
      </c>
      <c r="V349" s="2026">
        <v>0.9</v>
      </c>
      <c r="W349" s="2026">
        <v>0.9</v>
      </c>
      <c r="X349" s="2026">
        <v>0.9</v>
      </c>
      <c r="Y349" s="2028">
        <f t="shared" si="185"/>
        <v>8.343</v>
      </c>
      <c r="Z349" s="2028">
        <f t="shared" si="185"/>
        <v>8.343</v>
      </c>
      <c r="AA349" s="2028">
        <f t="shared" si="185"/>
        <v>8.343</v>
      </c>
      <c r="AB349" s="2028">
        <f t="shared" si="185"/>
        <v>8.343</v>
      </c>
      <c r="AC349" s="2026">
        <v>0.9</v>
      </c>
      <c r="AD349" s="2026">
        <v>0.9</v>
      </c>
      <c r="AE349" s="2026">
        <v>0.9</v>
      </c>
      <c r="AF349" s="2026">
        <v>0.9</v>
      </c>
      <c r="AG349" s="2027">
        <f t="shared" si="186"/>
        <v>0</v>
      </c>
      <c r="AH349" s="2027">
        <f t="shared" si="186"/>
        <v>0</v>
      </c>
      <c r="AI349" s="2027">
        <f t="shared" si="186"/>
        <v>0</v>
      </c>
      <c r="AJ349" s="2027">
        <f t="shared" si="186"/>
        <v>0</v>
      </c>
      <c r="AK349" s="2027">
        <v>1</v>
      </c>
      <c r="AL349" s="2028">
        <v>2</v>
      </c>
      <c r="AM349" s="2028">
        <v>2</v>
      </c>
      <c r="AN349" s="2028">
        <v>2</v>
      </c>
      <c r="AO349" s="2027">
        <f t="shared" si="171"/>
        <v>8426.8889999999992</v>
      </c>
      <c r="AP349" s="2027">
        <f t="shared" si="172"/>
        <v>16853.777999999998</v>
      </c>
      <c r="AQ349" s="2027">
        <f t="shared" si="172"/>
        <v>16853.777999999998</v>
      </c>
      <c r="AR349" s="2027" t="s">
        <v>3286</v>
      </c>
      <c r="AS349" s="2027">
        <f t="shared" si="173"/>
        <v>16853.777999999998</v>
      </c>
      <c r="AT349" s="2027">
        <f t="shared" si="174"/>
        <v>0</v>
      </c>
      <c r="AU349" s="2027">
        <f t="shared" si="175"/>
        <v>0</v>
      </c>
      <c r="AV349" s="2027">
        <f t="shared" si="175"/>
        <v>0</v>
      </c>
      <c r="AW349" s="2027">
        <f t="shared" si="175"/>
        <v>0</v>
      </c>
      <c r="AX349" s="2124">
        <v>300</v>
      </c>
      <c r="AY349" s="2029">
        <v>300</v>
      </c>
      <c r="AZ349" s="2029">
        <v>300</v>
      </c>
      <c r="BA349" s="2029">
        <v>300</v>
      </c>
      <c r="BB349" s="2124">
        <v>0</v>
      </c>
      <c r="BC349" s="2029">
        <v>0</v>
      </c>
      <c r="BD349" s="2029">
        <v>0</v>
      </c>
      <c r="BE349" s="2029">
        <v>0</v>
      </c>
      <c r="BF349" s="2124">
        <v>4000</v>
      </c>
      <c r="BG349" s="2029">
        <v>4000</v>
      </c>
      <c r="BH349" s="2029">
        <v>4000</v>
      </c>
      <c r="BI349" s="2029">
        <v>4000</v>
      </c>
      <c r="BJ349" s="2030">
        <f t="shared" si="176"/>
        <v>300</v>
      </c>
      <c r="BK349" s="2030">
        <f t="shared" si="176"/>
        <v>600</v>
      </c>
      <c r="BL349" s="2030">
        <f t="shared" si="176"/>
        <v>600</v>
      </c>
      <c r="BM349" s="2030" t="s">
        <v>3286</v>
      </c>
      <c r="BN349" s="2030">
        <f t="shared" si="177"/>
        <v>600</v>
      </c>
      <c r="BO349" s="2030">
        <f t="shared" si="178"/>
        <v>0</v>
      </c>
      <c r="BP349" s="2030" t="s">
        <v>3286</v>
      </c>
      <c r="BQ349" s="2030">
        <f t="shared" si="179"/>
        <v>0</v>
      </c>
      <c r="BR349" s="2030">
        <f t="shared" si="179"/>
        <v>0</v>
      </c>
      <c r="BS349" s="2030">
        <f t="shared" si="179"/>
        <v>0</v>
      </c>
      <c r="BT349" s="2125"/>
      <c r="BU349" s="2125"/>
      <c r="BV349" s="2125"/>
      <c r="BW349" s="2125"/>
      <c r="BX349" s="2125"/>
      <c r="BY349" s="2125"/>
      <c r="BZ349" s="2125"/>
      <c r="CA349" s="2125"/>
      <c r="CB349" s="2029"/>
      <c r="CC349" s="2029"/>
      <c r="CD349" s="2029"/>
      <c r="CE349" s="2029"/>
      <c r="CF349" s="2029"/>
      <c r="CG349" s="2032"/>
      <c r="CH349" s="1974">
        <v>0</v>
      </c>
      <c r="CI349" s="1974">
        <v>0</v>
      </c>
      <c r="CJ349" s="1974">
        <v>0</v>
      </c>
      <c r="CK349" s="1974">
        <v>0</v>
      </c>
      <c r="CL349" s="1974">
        <v>0</v>
      </c>
      <c r="CM349" s="2033">
        <v>2.8226013783866244E-5</v>
      </c>
      <c r="CN349" s="2026">
        <v>0</v>
      </c>
      <c r="CO349" s="1974">
        <v>0</v>
      </c>
      <c r="CP349" s="2031">
        <v>0</v>
      </c>
      <c r="CQ349" s="2031">
        <f t="shared" si="183"/>
        <v>0</v>
      </c>
      <c r="CR349" s="2026">
        <v>1</v>
      </c>
      <c r="CS349" s="2026">
        <v>1</v>
      </c>
      <c r="CT349" s="2026">
        <v>1</v>
      </c>
      <c r="CU349" s="2026">
        <v>1</v>
      </c>
      <c r="CV349" s="2036"/>
      <c r="CW349" s="2036"/>
      <c r="CX349" s="2036"/>
      <c r="CY349" s="2036"/>
      <c r="CZ349" s="2036"/>
      <c r="DA349" s="2036"/>
      <c r="DB349" s="1973">
        <v>1</v>
      </c>
    </row>
    <row r="350" spans="1:106" x14ac:dyDescent="0.25">
      <c r="A350" s="2278" t="str">
        <f t="shared" si="193"/>
        <v>Unitary and Split AC Systems and Air Source Heat Pumps (760,000 or more Btuh input, minimum 10.2 EER/11.0 IPLV)</v>
      </c>
      <c r="B350" s="1974" t="str">
        <f t="shared" si="193"/>
        <v>BPC8</v>
      </c>
      <c r="C350" s="2027">
        <v>15</v>
      </c>
      <c r="D350" s="2027"/>
      <c r="E350" s="2144">
        <v>15220.95</v>
      </c>
      <c r="F350" s="2144"/>
      <c r="G350" s="2145">
        <v>15.56</v>
      </c>
      <c r="H350" s="2145"/>
      <c r="I350" s="2027">
        <v>0</v>
      </c>
      <c r="J350" s="2027"/>
      <c r="K350" s="1974" t="s">
        <v>2988</v>
      </c>
      <c r="L350" s="1974" t="s">
        <v>2988</v>
      </c>
      <c r="M350" s="2026">
        <v>0.9</v>
      </c>
      <c r="N350" s="2026">
        <v>0.9</v>
      </c>
      <c r="O350" s="2026">
        <v>0.9</v>
      </c>
      <c r="P350" s="2026">
        <v>0.9</v>
      </c>
      <c r="Q350" s="2027">
        <f t="shared" si="184"/>
        <v>13698.855000000001</v>
      </c>
      <c r="R350" s="2027">
        <f t="shared" si="184"/>
        <v>13698.855000000001</v>
      </c>
      <c r="S350" s="2027">
        <f t="shared" si="184"/>
        <v>13698.855000000001</v>
      </c>
      <c r="T350" s="2027">
        <f t="shared" si="184"/>
        <v>13698.855000000001</v>
      </c>
      <c r="U350" s="2026">
        <v>0.9</v>
      </c>
      <c r="V350" s="2026">
        <v>0.9</v>
      </c>
      <c r="W350" s="2026">
        <v>0.9</v>
      </c>
      <c r="X350" s="2026">
        <v>0.9</v>
      </c>
      <c r="Y350" s="2028">
        <f t="shared" si="185"/>
        <v>14.004000000000001</v>
      </c>
      <c r="Z350" s="2028">
        <f t="shared" si="185"/>
        <v>14.004000000000001</v>
      </c>
      <c r="AA350" s="2028">
        <f t="shared" si="185"/>
        <v>14.004000000000001</v>
      </c>
      <c r="AB350" s="2028">
        <f t="shared" si="185"/>
        <v>14.004000000000001</v>
      </c>
      <c r="AC350" s="2026">
        <v>0.9</v>
      </c>
      <c r="AD350" s="2026">
        <v>0.9</v>
      </c>
      <c r="AE350" s="2026">
        <v>0.9</v>
      </c>
      <c r="AF350" s="2026">
        <v>0.9</v>
      </c>
      <c r="AG350" s="2027">
        <f t="shared" si="186"/>
        <v>0</v>
      </c>
      <c r="AH350" s="2027">
        <f t="shared" si="186"/>
        <v>0</v>
      </c>
      <c r="AI350" s="2027">
        <f t="shared" si="186"/>
        <v>0</v>
      </c>
      <c r="AJ350" s="2027">
        <f t="shared" si="186"/>
        <v>0</v>
      </c>
      <c r="AK350" s="2027">
        <v>0</v>
      </c>
      <c r="AL350" s="2028"/>
      <c r="AM350" s="2028"/>
      <c r="AN350" s="2028"/>
      <c r="AO350" s="2027">
        <f t="shared" si="171"/>
        <v>0</v>
      </c>
      <c r="AP350" s="2027">
        <f t="shared" si="172"/>
        <v>0</v>
      </c>
      <c r="AQ350" s="2027">
        <f t="shared" si="172"/>
        <v>0</v>
      </c>
      <c r="AR350" s="2027" t="s">
        <v>3286</v>
      </c>
      <c r="AS350" s="2027">
        <f t="shared" si="173"/>
        <v>0</v>
      </c>
      <c r="AT350" s="2027">
        <f t="shared" si="174"/>
        <v>0</v>
      </c>
      <c r="AU350" s="2027">
        <f t="shared" si="175"/>
        <v>0</v>
      </c>
      <c r="AV350" s="2027">
        <f t="shared" si="175"/>
        <v>0</v>
      </c>
      <c r="AW350" s="2027">
        <f t="shared" si="175"/>
        <v>0</v>
      </c>
      <c r="AX350" s="2124">
        <v>500</v>
      </c>
      <c r="AY350" s="2029">
        <v>500</v>
      </c>
      <c r="AZ350" s="2029">
        <v>500</v>
      </c>
      <c r="BA350" s="2029">
        <v>500</v>
      </c>
      <c r="BB350" s="2124">
        <v>0</v>
      </c>
      <c r="BC350" s="2029">
        <v>0</v>
      </c>
      <c r="BD350" s="2029">
        <v>0</v>
      </c>
      <c r="BE350" s="2029">
        <v>0</v>
      </c>
      <c r="BF350" s="2124">
        <v>6500</v>
      </c>
      <c r="BG350" s="2029">
        <v>6500</v>
      </c>
      <c r="BH350" s="2029">
        <v>6500</v>
      </c>
      <c r="BI350" s="2029">
        <v>6500</v>
      </c>
      <c r="BJ350" s="2030">
        <f t="shared" si="176"/>
        <v>0</v>
      </c>
      <c r="BK350" s="2030">
        <f t="shared" si="176"/>
        <v>0</v>
      </c>
      <c r="BL350" s="2030">
        <f t="shared" si="176"/>
        <v>0</v>
      </c>
      <c r="BM350" s="2030" t="s">
        <v>3286</v>
      </c>
      <c r="BN350" s="2030">
        <f t="shared" si="177"/>
        <v>0</v>
      </c>
      <c r="BO350" s="2030">
        <f t="shared" si="178"/>
        <v>0</v>
      </c>
      <c r="BP350" s="2030" t="s">
        <v>3286</v>
      </c>
      <c r="BQ350" s="2030">
        <f t="shared" si="179"/>
        <v>0</v>
      </c>
      <c r="BR350" s="2030">
        <f t="shared" si="179"/>
        <v>0</v>
      </c>
      <c r="BS350" s="2030">
        <f t="shared" si="179"/>
        <v>0</v>
      </c>
      <c r="BT350" s="2125"/>
      <c r="BU350" s="2125"/>
      <c r="BV350" s="2125"/>
      <c r="BW350" s="2125"/>
      <c r="BX350" s="2125"/>
      <c r="BY350" s="2125"/>
      <c r="BZ350" s="2125"/>
      <c r="CA350" s="2125"/>
      <c r="CB350" s="2029"/>
      <c r="CC350" s="2029"/>
      <c r="CD350" s="2029"/>
      <c r="CE350" s="2029"/>
      <c r="CF350" s="2029"/>
      <c r="CG350" s="2032"/>
      <c r="CH350" s="1974">
        <v>0</v>
      </c>
      <c r="CI350" s="1974">
        <v>0</v>
      </c>
      <c r="CJ350" s="1974">
        <v>0</v>
      </c>
      <c r="CK350" s="1974">
        <v>0</v>
      </c>
      <c r="CL350" s="1974">
        <v>0</v>
      </c>
      <c r="CM350" s="2033">
        <v>0</v>
      </c>
      <c r="CN350" s="2026">
        <v>0</v>
      </c>
      <c r="CO350" s="1974">
        <v>0</v>
      </c>
      <c r="CP350" s="2031">
        <v>0</v>
      </c>
      <c r="CQ350" s="2031">
        <f t="shared" si="183"/>
        <v>0</v>
      </c>
      <c r="CR350" s="2026">
        <v>1</v>
      </c>
      <c r="CS350" s="2026">
        <v>1</v>
      </c>
      <c r="CT350" s="2026">
        <v>1</v>
      </c>
      <c r="CU350" s="2026">
        <v>1</v>
      </c>
      <c r="CV350" s="2036"/>
      <c r="CW350" s="2036"/>
      <c r="CX350" s="2036"/>
      <c r="CY350" s="2036"/>
      <c r="CZ350" s="2036"/>
      <c r="DA350" s="2036"/>
      <c r="DB350" s="1973">
        <v>1</v>
      </c>
    </row>
    <row r="351" spans="1:106" x14ac:dyDescent="0.25">
      <c r="A351" s="2278" t="str">
        <f t="shared" si="193"/>
        <v>Air-Cooled Chillers (up to 150 tons)</v>
      </c>
      <c r="B351" s="1974" t="str">
        <f t="shared" si="193"/>
        <v>BPC12</v>
      </c>
      <c r="C351" s="2027">
        <v>20</v>
      </c>
      <c r="D351" s="2027"/>
      <c r="E351" s="2144">
        <v>7993</v>
      </c>
      <c r="F351" s="2144"/>
      <c r="G351" s="2145">
        <v>6.66</v>
      </c>
      <c r="H351" s="2145"/>
      <c r="I351" s="2027">
        <v>0</v>
      </c>
      <c r="J351" s="2027"/>
      <c r="K351" s="1974" t="s">
        <v>2988</v>
      </c>
      <c r="L351" s="1974" t="s">
        <v>2988</v>
      </c>
      <c r="M351" s="2026">
        <v>0.9</v>
      </c>
      <c r="N351" s="2026">
        <v>0.9</v>
      </c>
      <c r="O351" s="2026">
        <v>0.9</v>
      </c>
      <c r="P351" s="2026">
        <v>0.9</v>
      </c>
      <c r="Q351" s="2027">
        <f t="shared" si="184"/>
        <v>7193.7</v>
      </c>
      <c r="R351" s="2027">
        <f t="shared" si="184"/>
        <v>7193.7</v>
      </c>
      <c r="S351" s="2027">
        <f t="shared" si="184"/>
        <v>7193.7</v>
      </c>
      <c r="T351" s="2027">
        <f t="shared" si="184"/>
        <v>7193.7</v>
      </c>
      <c r="U351" s="2026">
        <v>0.9</v>
      </c>
      <c r="V351" s="2026">
        <v>0.9</v>
      </c>
      <c r="W351" s="2026">
        <v>0.9</v>
      </c>
      <c r="X351" s="2026">
        <v>0.9</v>
      </c>
      <c r="Y351" s="2028">
        <f t="shared" si="185"/>
        <v>5.9940000000000007</v>
      </c>
      <c r="Z351" s="2028">
        <f t="shared" si="185"/>
        <v>5.9940000000000007</v>
      </c>
      <c r="AA351" s="2028">
        <f t="shared" si="185"/>
        <v>5.9940000000000007</v>
      </c>
      <c r="AB351" s="2028">
        <f t="shared" si="185"/>
        <v>5.9940000000000007</v>
      </c>
      <c r="AC351" s="2026">
        <v>0.9</v>
      </c>
      <c r="AD351" s="2026">
        <v>0.9</v>
      </c>
      <c r="AE351" s="2026">
        <v>0.9</v>
      </c>
      <c r="AF351" s="2026">
        <v>0.9</v>
      </c>
      <c r="AG351" s="2027">
        <f t="shared" si="186"/>
        <v>0</v>
      </c>
      <c r="AH351" s="2027">
        <f t="shared" si="186"/>
        <v>0</v>
      </c>
      <c r="AI351" s="2027">
        <f t="shared" si="186"/>
        <v>0</v>
      </c>
      <c r="AJ351" s="2027">
        <f t="shared" si="186"/>
        <v>0</v>
      </c>
      <c r="AK351" s="2027">
        <v>1</v>
      </c>
      <c r="AL351" s="2028">
        <v>2</v>
      </c>
      <c r="AM351" s="2028">
        <v>2</v>
      </c>
      <c r="AN351" s="2028">
        <v>2</v>
      </c>
      <c r="AO351" s="2027">
        <f t="shared" si="171"/>
        <v>7193.7</v>
      </c>
      <c r="AP351" s="2027">
        <f t="shared" si="172"/>
        <v>14387.4</v>
      </c>
      <c r="AQ351" s="2027">
        <f t="shared" si="172"/>
        <v>14387.4</v>
      </c>
      <c r="AR351" s="2027" t="s">
        <v>3286</v>
      </c>
      <c r="AS351" s="2027">
        <f t="shared" si="173"/>
        <v>14387.4</v>
      </c>
      <c r="AT351" s="2027">
        <f t="shared" si="174"/>
        <v>0</v>
      </c>
      <c r="AU351" s="2027">
        <f t="shared" si="175"/>
        <v>0</v>
      </c>
      <c r="AV351" s="2027">
        <f t="shared" si="175"/>
        <v>0</v>
      </c>
      <c r="AW351" s="2027">
        <f t="shared" si="175"/>
        <v>0</v>
      </c>
      <c r="AX351" s="2124">
        <v>500</v>
      </c>
      <c r="AY351" s="2029">
        <v>500</v>
      </c>
      <c r="AZ351" s="2029">
        <v>500</v>
      </c>
      <c r="BA351" s="2029">
        <v>500</v>
      </c>
      <c r="BB351" s="2124">
        <v>0</v>
      </c>
      <c r="BC351" s="2029">
        <v>0</v>
      </c>
      <c r="BD351" s="2029">
        <v>0</v>
      </c>
      <c r="BE351" s="2029">
        <v>0</v>
      </c>
      <c r="BF351" s="2124">
        <v>9525</v>
      </c>
      <c r="BG351" s="2029">
        <v>9525</v>
      </c>
      <c r="BH351" s="2029">
        <v>9525</v>
      </c>
      <c r="BI351" s="2029">
        <v>9525</v>
      </c>
      <c r="BJ351" s="2030">
        <f t="shared" si="176"/>
        <v>500</v>
      </c>
      <c r="BK351" s="2030">
        <f t="shared" si="176"/>
        <v>1000</v>
      </c>
      <c r="BL351" s="2030">
        <f t="shared" si="176"/>
        <v>1000</v>
      </c>
      <c r="BM351" s="2030" t="s">
        <v>3286</v>
      </c>
      <c r="BN351" s="2030">
        <f t="shared" si="177"/>
        <v>1000</v>
      </c>
      <c r="BO351" s="2030">
        <f t="shared" si="178"/>
        <v>0</v>
      </c>
      <c r="BP351" s="2030" t="s">
        <v>3286</v>
      </c>
      <c r="BQ351" s="2030">
        <f t="shared" si="179"/>
        <v>0</v>
      </c>
      <c r="BR351" s="2030">
        <f t="shared" si="179"/>
        <v>0</v>
      </c>
      <c r="BS351" s="2030">
        <f t="shared" si="179"/>
        <v>0</v>
      </c>
      <c r="BT351" s="2125"/>
      <c r="BU351" s="2125"/>
      <c r="BV351" s="2125"/>
      <c r="BW351" s="2125"/>
      <c r="BX351" s="2125"/>
      <c r="BY351" s="2125"/>
      <c r="BZ351" s="2125"/>
      <c r="CA351" s="2125"/>
      <c r="CB351" s="2029"/>
      <c r="CC351" s="2029"/>
      <c r="CD351" s="2029"/>
      <c r="CE351" s="2029"/>
      <c r="CF351" s="2029"/>
      <c r="CG351" s="2032"/>
      <c r="CH351" s="1974">
        <v>0</v>
      </c>
      <c r="CI351" s="1974">
        <v>0</v>
      </c>
      <c r="CJ351" s="1974">
        <v>0</v>
      </c>
      <c r="CK351" s="1974">
        <v>0</v>
      </c>
      <c r="CL351" s="1974">
        <v>0</v>
      </c>
      <c r="CM351" s="2033">
        <v>2.4095425412272384E-5</v>
      </c>
      <c r="CN351" s="2026">
        <v>0</v>
      </c>
      <c r="CO351" s="1974">
        <v>0</v>
      </c>
      <c r="CP351" s="2031">
        <v>0</v>
      </c>
      <c r="CQ351" s="2031">
        <f t="shared" si="183"/>
        <v>0</v>
      </c>
      <c r="CR351" s="2026">
        <v>1</v>
      </c>
      <c r="CS351" s="2026">
        <v>1</v>
      </c>
      <c r="CT351" s="2026">
        <v>1</v>
      </c>
      <c r="CU351" s="2026">
        <v>1</v>
      </c>
      <c r="CV351" s="2036"/>
      <c r="CW351" s="2036"/>
      <c r="CX351" s="2036"/>
      <c r="CY351" s="2036"/>
      <c r="CZ351" s="2036"/>
      <c r="DA351" s="2036"/>
      <c r="DB351" s="1973">
        <v>1</v>
      </c>
    </row>
    <row r="352" spans="1:106" x14ac:dyDescent="0.25">
      <c r="A352" s="2278" t="str">
        <f t="shared" si="193"/>
        <v>Unitary and Split AC Systems and Air Source Heat Pumps 135,000 to 239,999 Btuh input, greater than 12.0 EER)</v>
      </c>
      <c r="B352" s="1974" t="str">
        <f t="shared" si="193"/>
        <v>BPC25</v>
      </c>
      <c r="C352" s="2027">
        <v>15</v>
      </c>
      <c r="D352" s="2027"/>
      <c r="E352" s="2144">
        <v>2850.2260000000001</v>
      </c>
      <c r="F352" s="2144"/>
      <c r="G352" s="2145">
        <v>2.84</v>
      </c>
      <c r="H352" s="2145"/>
      <c r="I352" s="2027">
        <v>0</v>
      </c>
      <c r="J352" s="2027"/>
      <c r="K352" s="1974" t="s">
        <v>2988</v>
      </c>
      <c r="L352" s="1974" t="s">
        <v>2988</v>
      </c>
      <c r="M352" s="2026">
        <v>0.9</v>
      </c>
      <c r="N352" s="2026">
        <v>0.9</v>
      </c>
      <c r="O352" s="2026">
        <v>0.9</v>
      </c>
      <c r="P352" s="2026">
        <v>0.9</v>
      </c>
      <c r="Q352" s="2027">
        <f t="shared" si="184"/>
        <v>2565.2034000000003</v>
      </c>
      <c r="R352" s="2027">
        <f t="shared" si="184"/>
        <v>2565.2034000000003</v>
      </c>
      <c r="S352" s="2027">
        <f t="shared" si="184"/>
        <v>2565.2034000000003</v>
      </c>
      <c r="T352" s="2027">
        <f t="shared" si="184"/>
        <v>2565.2034000000003</v>
      </c>
      <c r="U352" s="2026">
        <v>0.9</v>
      </c>
      <c r="V352" s="2026">
        <v>0.9</v>
      </c>
      <c r="W352" s="2026">
        <v>0.9</v>
      </c>
      <c r="X352" s="2026">
        <v>0.9</v>
      </c>
      <c r="Y352" s="2028">
        <f t="shared" si="185"/>
        <v>2.556</v>
      </c>
      <c r="Z352" s="2028">
        <f t="shared" si="185"/>
        <v>2.556</v>
      </c>
      <c r="AA352" s="2028">
        <f t="shared" si="185"/>
        <v>2.556</v>
      </c>
      <c r="AB352" s="2028">
        <f t="shared" si="185"/>
        <v>2.556</v>
      </c>
      <c r="AC352" s="2026">
        <v>0.9</v>
      </c>
      <c r="AD352" s="2026">
        <v>0.9</v>
      </c>
      <c r="AE352" s="2026">
        <v>0.9</v>
      </c>
      <c r="AF352" s="2026">
        <v>0.9</v>
      </c>
      <c r="AG352" s="2027">
        <f t="shared" si="186"/>
        <v>0</v>
      </c>
      <c r="AH352" s="2027">
        <f t="shared" si="186"/>
        <v>0</v>
      </c>
      <c r="AI352" s="2027">
        <f t="shared" si="186"/>
        <v>0</v>
      </c>
      <c r="AJ352" s="2027">
        <f t="shared" si="186"/>
        <v>0</v>
      </c>
      <c r="AK352" s="2027">
        <v>1</v>
      </c>
      <c r="AL352" s="2028">
        <v>2</v>
      </c>
      <c r="AM352" s="2028">
        <v>2</v>
      </c>
      <c r="AN352" s="2028">
        <v>2</v>
      </c>
      <c r="AO352" s="2027">
        <f t="shared" si="171"/>
        <v>2565.2034000000003</v>
      </c>
      <c r="AP352" s="2027">
        <f t="shared" si="172"/>
        <v>5130.4068000000007</v>
      </c>
      <c r="AQ352" s="2027">
        <f t="shared" si="172"/>
        <v>5130.4068000000007</v>
      </c>
      <c r="AR352" s="2027" t="s">
        <v>3286</v>
      </c>
      <c r="AS352" s="2027">
        <f t="shared" si="173"/>
        <v>5130.4068000000007</v>
      </c>
      <c r="AT352" s="2027">
        <f t="shared" si="174"/>
        <v>0</v>
      </c>
      <c r="AU352" s="2027">
        <f t="shared" si="175"/>
        <v>0</v>
      </c>
      <c r="AV352" s="2027">
        <f t="shared" si="175"/>
        <v>0</v>
      </c>
      <c r="AW352" s="2027">
        <f t="shared" si="175"/>
        <v>0</v>
      </c>
      <c r="AX352" s="2124">
        <v>150</v>
      </c>
      <c r="AY352" s="2029">
        <v>150</v>
      </c>
      <c r="AZ352" s="2029">
        <v>150</v>
      </c>
      <c r="BA352" s="2029">
        <v>150</v>
      </c>
      <c r="BB352" s="2124">
        <v>0</v>
      </c>
      <c r="BC352" s="2029">
        <v>0</v>
      </c>
      <c r="BD352" s="2029">
        <v>0</v>
      </c>
      <c r="BE352" s="2029">
        <v>0</v>
      </c>
      <c r="BF352" s="2124">
        <v>1563</v>
      </c>
      <c r="BG352" s="2029">
        <v>1563</v>
      </c>
      <c r="BH352" s="2029">
        <v>1563</v>
      </c>
      <c r="BI352" s="2029">
        <v>1563</v>
      </c>
      <c r="BJ352" s="2030">
        <f t="shared" si="176"/>
        <v>150</v>
      </c>
      <c r="BK352" s="2030">
        <f t="shared" si="176"/>
        <v>300</v>
      </c>
      <c r="BL352" s="2030">
        <f t="shared" si="176"/>
        <v>300</v>
      </c>
      <c r="BM352" s="2030" t="s">
        <v>3286</v>
      </c>
      <c r="BN352" s="2030">
        <f t="shared" si="177"/>
        <v>300</v>
      </c>
      <c r="BO352" s="2030">
        <f t="shared" si="178"/>
        <v>0</v>
      </c>
      <c r="BP352" s="2030" t="s">
        <v>3286</v>
      </c>
      <c r="BQ352" s="2030">
        <f t="shared" si="179"/>
        <v>0</v>
      </c>
      <c r="BR352" s="2030">
        <f t="shared" si="179"/>
        <v>0</v>
      </c>
      <c r="BS352" s="2030">
        <f t="shared" si="179"/>
        <v>0</v>
      </c>
      <c r="BT352" s="2125"/>
      <c r="BU352" s="2125"/>
      <c r="BV352" s="2125"/>
      <c r="BW352" s="2125"/>
      <c r="BX352" s="2125"/>
      <c r="BY352" s="2125"/>
      <c r="BZ352" s="2125"/>
      <c r="CA352" s="2125"/>
      <c r="CB352" s="2029"/>
      <c r="CC352" s="2029"/>
      <c r="CD352" s="2029"/>
      <c r="CE352" s="2029"/>
      <c r="CF352" s="2029"/>
      <c r="CG352" s="2032"/>
      <c r="CH352" s="1974">
        <v>0</v>
      </c>
      <c r="CI352" s="1974">
        <v>0</v>
      </c>
      <c r="CJ352" s="1974">
        <v>0</v>
      </c>
      <c r="CK352" s="1974">
        <v>0</v>
      </c>
      <c r="CL352" s="1974">
        <v>0</v>
      </c>
      <c r="CM352" s="2033">
        <v>8.5921941687876243E-6</v>
      </c>
      <c r="CN352" s="2026">
        <v>0</v>
      </c>
      <c r="CO352" s="1974">
        <v>0</v>
      </c>
      <c r="CP352" s="2031">
        <v>0</v>
      </c>
      <c r="CQ352" s="2031">
        <f t="shared" si="183"/>
        <v>0</v>
      </c>
      <c r="CR352" s="2026">
        <v>1</v>
      </c>
      <c r="CS352" s="2026">
        <v>1</v>
      </c>
      <c r="CT352" s="2026">
        <v>1</v>
      </c>
      <c r="CU352" s="2026">
        <v>1</v>
      </c>
      <c r="CV352" s="2036"/>
      <c r="CW352" s="2036"/>
      <c r="CX352" s="2036"/>
      <c r="CY352" s="2036"/>
      <c r="CZ352" s="2036"/>
      <c r="DA352" s="2036"/>
      <c r="DB352" s="1973">
        <v>1</v>
      </c>
    </row>
    <row r="353" spans="1:106" x14ac:dyDescent="0.25">
      <c r="A353" s="2278" t="str">
        <f t="shared" si="193"/>
        <v>Air-Cooled Chillers (150 tons and larger)</v>
      </c>
      <c r="B353" s="1974" t="str">
        <f t="shared" si="193"/>
        <v>BPC26</v>
      </c>
      <c r="C353" s="2027">
        <v>20</v>
      </c>
      <c r="D353" s="2027"/>
      <c r="E353" s="2144">
        <v>17532</v>
      </c>
      <c r="F353" s="2144"/>
      <c r="G353" s="2145">
        <v>17.8</v>
      </c>
      <c r="H353" s="2145"/>
      <c r="I353" s="2027">
        <v>0</v>
      </c>
      <c r="J353" s="2027"/>
      <c r="K353" s="1974" t="s">
        <v>2988</v>
      </c>
      <c r="L353" s="1974" t="s">
        <v>2988</v>
      </c>
      <c r="M353" s="2026">
        <v>0.9</v>
      </c>
      <c r="N353" s="2026">
        <v>0.9</v>
      </c>
      <c r="O353" s="2026">
        <v>0.9</v>
      </c>
      <c r="P353" s="2026">
        <v>0.9</v>
      </c>
      <c r="Q353" s="2027">
        <f t="shared" si="184"/>
        <v>15778.800000000001</v>
      </c>
      <c r="R353" s="2027">
        <f t="shared" si="184"/>
        <v>15778.800000000001</v>
      </c>
      <c r="S353" s="2027">
        <f t="shared" si="184"/>
        <v>15778.800000000001</v>
      </c>
      <c r="T353" s="2027">
        <f t="shared" si="184"/>
        <v>15778.800000000001</v>
      </c>
      <c r="U353" s="2026">
        <v>0.9</v>
      </c>
      <c r="V353" s="2026">
        <v>0.9</v>
      </c>
      <c r="W353" s="2026">
        <v>0.9</v>
      </c>
      <c r="X353" s="2026">
        <v>0.9</v>
      </c>
      <c r="Y353" s="2028">
        <f t="shared" si="185"/>
        <v>16.02</v>
      </c>
      <c r="Z353" s="2028">
        <f t="shared" si="185"/>
        <v>16.02</v>
      </c>
      <c r="AA353" s="2028">
        <f t="shared" si="185"/>
        <v>16.02</v>
      </c>
      <c r="AB353" s="2028">
        <f t="shared" si="185"/>
        <v>16.02</v>
      </c>
      <c r="AC353" s="2026">
        <v>0.9</v>
      </c>
      <c r="AD353" s="2026">
        <v>0.9</v>
      </c>
      <c r="AE353" s="2026">
        <v>0.9</v>
      </c>
      <c r="AF353" s="2026">
        <v>0.9</v>
      </c>
      <c r="AG353" s="2027">
        <f t="shared" si="186"/>
        <v>0</v>
      </c>
      <c r="AH353" s="2027">
        <f t="shared" si="186"/>
        <v>0</v>
      </c>
      <c r="AI353" s="2027">
        <f t="shared" si="186"/>
        <v>0</v>
      </c>
      <c r="AJ353" s="2027">
        <f t="shared" si="186"/>
        <v>0</v>
      </c>
      <c r="AK353" s="2027">
        <v>1</v>
      </c>
      <c r="AL353" s="2028">
        <v>2</v>
      </c>
      <c r="AM353" s="2028">
        <v>2</v>
      </c>
      <c r="AN353" s="2028">
        <v>2</v>
      </c>
      <c r="AO353" s="2027">
        <f t="shared" si="171"/>
        <v>15778.800000000001</v>
      </c>
      <c r="AP353" s="2027">
        <f t="shared" si="172"/>
        <v>31557.600000000002</v>
      </c>
      <c r="AQ353" s="2027">
        <f t="shared" si="172"/>
        <v>31557.600000000002</v>
      </c>
      <c r="AR353" s="2027" t="s">
        <v>3286</v>
      </c>
      <c r="AS353" s="2027">
        <f t="shared" si="173"/>
        <v>31557.600000000002</v>
      </c>
      <c r="AT353" s="2027">
        <f t="shared" si="174"/>
        <v>0</v>
      </c>
      <c r="AU353" s="2027">
        <f t="shared" si="175"/>
        <v>0</v>
      </c>
      <c r="AV353" s="2027">
        <f t="shared" si="175"/>
        <v>0</v>
      </c>
      <c r="AW353" s="2027">
        <f t="shared" si="175"/>
        <v>0</v>
      </c>
      <c r="AX353" s="2124">
        <v>500</v>
      </c>
      <c r="AY353" s="2029">
        <v>500</v>
      </c>
      <c r="AZ353" s="2029">
        <v>500</v>
      </c>
      <c r="BA353" s="2029">
        <v>500</v>
      </c>
      <c r="BB353" s="2124">
        <v>0</v>
      </c>
      <c r="BC353" s="2029">
        <v>0</v>
      </c>
      <c r="BD353" s="2029">
        <v>0</v>
      </c>
      <c r="BE353" s="2029">
        <v>0</v>
      </c>
      <c r="BF353" s="2124">
        <v>25400</v>
      </c>
      <c r="BG353" s="2029">
        <v>25400</v>
      </c>
      <c r="BH353" s="2029">
        <v>25400</v>
      </c>
      <c r="BI353" s="2029">
        <v>25400</v>
      </c>
      <c r="BJ353" s="2030">
        <f t="shared" si="176"/>
        <v>500</v>
      </c>
      <c r="BK353" s="2030">
        <f t="shared" si="176"/>
        <v>1000</v>
      </c>
      <c r="BL353" s="2030">
        <f t="shared" si="176"/>
        <v>1000</v>
      </c>
      <c r="BM353" s="2030" t="s">
        <v>3286</v>
      </c>
      <c r="BN353" s="2030">
        <f t="shared" si="177"/>
        <v>1000</v>
      </c>
      <c r="BO353" s="2030">
        <f t="shared" si="178"/>
        <v>0</v>
      </c>
      <c r="BP353" s="2030" t="s">
        <v>3286</v>
      </c>
      <c r="BQ353" s="2030">
        <f t="shared" si="179"/>
        <v>0</v>
      </c>
      <c r="BR353" s="2030">
        <f t="shared" si="179"/>
        <v>0</v>
      </c>
      <c r="BS353" s="2030">
        <f t="shared" si="179"/>
        <v>0</v>
      </c>
      <c r="BT353" s="2125"/>
      <c r="BU353" s="2125"/>
      <c r="BV353" s="2125"/>
      <c r="BW353" s="2125"/>
      <c r="BX353" s="2125"/>
      <c r="BY353" s="2125"/>
      <c r="BZ353" s="2125"/>
      <c r="CA353" s="2125"/>
      <c r="CB353" s="2029"/>
      <c r="CC353" s="2029"/>
      <c r="CD353" s="2029"/>
      <c r="CE353" s="2029"/>
      <c r="CF353" s="2029"/>
      <c r="CG353" s="2032"/>
      <c r="CH353" s="1974">
        <v>0</v>
      </c>
      <c r="CI353" s="1974">
        <v>0</v>
      </c>
      <c r="CJ353" s="1974">
        <v>0</v>
      </c>
      <c r="CK353" s="1974">
        <v>0</v>
      </c>
      <c r="CL353" s="1974">
        <v>0</v>
      </c>
      <c r="CM353" s="2033">
        <v>5.2851369739517011E-5</v>
      </c>
      <c r="CN353" s="2026">
        <v>0</v>
      </c>
      <c r="CO353" s="1974">
        <v>0</v>
      </c>
      <c r="CP353" s="2031">
        <v>0</v>
      </c>
      <c r="CQ353" s="2031">
        <f t="shared" si="183"/>
        <v>0</v>
      </c>
      <c r="CR353" s="2026">
        <v>1</v>
      </c>
      <c r="CS353" s="2026">
        <v>1</v>
      </c>
      <c r="CT353" s="2026">
        <v>1</v>
      </c>
      <c r="CU353" s="2026">
        <v>1</v>
      </c>
      <c r="CV353" s="2036"/>
      <c r="CW353" s="2036"/>
      <c r="CX353" s="2036"/>
      <c r="CY353" s="2036"/>
      <c r="CZ353" s="2036"/>
      <c r="DA353" s="2036"/>
      <c r="DB353" s="1973">
        <v>1</v>
      </c>
    </row>
    <row r="354" spans="1:106" x14ac:dyDescent="0.25">
      <c r="A354" s="2278" t="str">
        <f t="shared" ref="A354:B356" si="194">IF(A40="","",A40)</f>
        <v>Variable Frequency Drive on HVAC Motors – Supply or Return Fans</v>
      </c>
      <c r="B354" s="1974" t="str">
        <f t="shared" si="194"/>
        <v>BPC20</v>
      </c>
      <c r="C354" s="2027">
        <v>15</v>
      </c>
      <c r="D354" s="2027"/>
      <c r="E354" s="2144">
        <v>2235.4499999999998</v>
      </c>
      <c r="F354" s="2144"/>
      <c r="G354" s="2145">
        <v>0</v>
      </c>
      <c r="H354" s="2145"/>
      <c r="I354" s="2027">
        <v>0</v>
      </c>
      <c r="J354" s="2027"/>
      <c r="K354" s="1974" t="s">
        <v>2988</v>
      </c>
      <c r="L354" s="1974" t="s">
        <v>2988</v>
      </c>
      <c r="M354" s="2026">
        <v>0.9</v>
      </c>
      <c r="N354" s="2026">
        <v>0.9</v>
      </c>
      <c r="O354" s="2026">
        <v>0.9</v>
      </c>
      <c r="P354" s="2026">
        <v>0.9</v>
      </c>
      <c r="Q354" s="2027">
        <f t="shared" si="184"/>
        <v>2011.905</v>
      </c>
      <c r="R354" s="2027">
        <f t="shared" si="184"/>
        <v>2011.905</v>
      </c>
      <c r="S354" s="2027">
        <f t="shared" si="184"/>
        <v>2011.905</v>
      </c>
      <c r="T354" s="2027">
        <f t="shared" si="184"/>
        <v>2011.905</v>
      </c>
      <c r="U354" s="2026">
        <v>0.9</v>
      </c>
      <c r="V354" s="2026">
        <v>0.9</v>
      </c>
      <c r="W354" s="2026">
        <v>0.9</v>
      </c>
      <c r="X354" s="2026">
        <v>0.9</v>
      </c>
      <c r="Y354" s="2028">
        <f t="shared" si="185"/>
        <v>0</v>
      </c>
      <c r="Z354" s="2028">
        <f t="shared" si="185"/>
        <v>0</v>
      </c>
      <c r="AA354" s="2028">
        <f t="shared" si="185"/>
        <v>0</v>
      </c>
      <c r="AB354" s="2028">
        <f t="shared" si="185"/>
        <v>0</v>
      </c>
      <c r="AC354" s="2026">
        <v>0.9</v>
      </c>
      <c r="AD354" s="2026">
        <v>0.9</v>
      </c>
      <c r="AE354" s="2026">
        <v>0.9</v>
      </c>
      <c r="AF354" s="2026">
        <v>0.9</v>
      </c>
      <c r="AG354" s="2027">
        <f t="shared" si="186"/>
        <v>0</v>
      </c>
      <c r="AH354" s="2027">
        <f t="shared" si="186"/>
        <v>0</v>
      </c>
      <c r="AI354" s="2027">
        <f t="shared" si="186"/>
        <v>0</v>
      </c>
      <c r="AJ354" s="2027">
        <f t="shared" si="186"/>
        <v>0</v>
      </c>
      <c r="AK354" s="2027">
        <v>36</v>
      </c>
      <c r="AL354" s="2027">
        <v>36</v>
      </c>
      <c r="AM354" s="2027">
        <v>37</v>
      </c>
      <c r="AN354" s="2027">
        <v>37</v>
      </c>
      <c r="AO354" s="2027">
        <f t="shared" si="171"/>
        <v>72428.58</v>
      </c>
      <c r="AP354" s="2027">
        <f t="shared" si="172"/>
        <v>72428.58</v>
      </c>
      <c r="AQ354" s="2027">
        <f t="shared" si="172"/>
        <v>74440.485000000001</v>
      </c>
      <c r="AR354" s="2027" t="s">
        <v>3286</v>
      </c>
      <c r="AS354" s="2027">
        <f t="shared" si="173"/>
        <v>74440.485000000001</v>
      </c>
      <c r="AT354" s="2027">
        <f t="shared" si="174"/>
        <v>0</v>
      </c>
      <c r="AU354" s="2027">
        <f t="shared" si="175"/>
        <v>0</v>
      </c>
      <c r="AV354" s="2027">
        <f t="shared" si="175"/>
        <v>0</v>
      </c>
      <c r="AW354" s="2027">
        <f t="shared" si="175"/>
        <v>0</v>
      </c>
      <c r="AX354" s="2124">
        <v>100</v>
      </c>
      <c r="AY354" s="2029">
        <v>100</v>
      </c>
      <c r="AZ354" s="2029">
        <v>100</v>
      </c>
      <c r="BA354" s="2029">
        <v>100</v>
      </c>
      <c r="BB354" s="2124">
        <v>0</v>
      </c>
      <c r="BC354" s="2029">
        <v>0</v>
      </c>
      <c r="BD354" s="2029">
        <v>0</v>
      </c>
      <c r="BE354" s="2029">
        <v>0</v>
      </c>
      <c r="BF354" s="2124">
        <v>159.31</v>
      </c>
      <c r="BG354" s="2029">
        <v>159.31</v>
      </c>
      <c r="BH354" s="2029">
        <v>159.31</v>
      </c>
      <c r="BI354" s="2029">
        <v>159.31</v>
      </c>
      <c r="BJ354" s="2030">
        <f t="shared" si="176"/>
        <v>3600</v>
      </c>
      <c r="BK354" s="2030">
        <f t="shared" si="176"/>
        <v>3600</v>
      </c>
      <c r="BL354" s="2030">
        <f t="shared" si="176"/>
        <v>3700</v>
      </c>
      <c r="BM354" s="2030" t="s">
        <v>3286</v>
      </c>
      <c r="BN354" s="2030">
        <f t="shared" si="177"/>
        <v>3700</v>
      </c>
      <c r="BO354" s="2030">
        <f t="shared" si="178"/>
        <v>0</v>
      </c>
      <c r="BP354" s="2030" t="s">
        <v>3286</v>
      </c>
      <c r="BQ354" s="2030">
        <f t="shared" si="179"/>
        <v>0</v>
      </c>
      <c r="BR354" s="2030">
        <f t="shared" si="179"/>
        <v>0</v>
      </c>
      <c r="BS354" s="2030">
        <f t="shared" si="179"/>
        <v>0</v>
      </c>
      <c r="BT354" s="2125"/>
      <c r="BU354" s="2125"/>
      <c r="BV354" s="2125"/>
      <c r="BW354" s="2125"/>
      <c r="BX354" s="2125"/>
      <c r="BY354" s="2125"/>
      <c r="BZ354" s="2125"/>
      <c r="CA354" s="2125"/>
      <c r="CB354" s="2029"/>
      <c r="CC354" s="2029"/>
      <c r="CD354" s="2029"/>
      <c r="CE354" s="2029"/>
      <c r="CF354" s="2029"/>
      <c r="CG354" s="2032"/>
      <c r="CH354" s="1974">
        <v>0</v>
      </c>
      <c r="CI354" s="1974">
        <v>0</v>
      </c>
      <c r="CJ354" s="1974">
        <v>0</v>
      </c>
      <c r="CK354" s="1974">
        <v>0</v>
      </c>
      <c r="CL354" s="1974">
        <v>0</v>
      </c>
      <c r="CM354" s="2033">
        <v>2.6955645558796097E-4</v>
      </c>
      <c r="CN354" s="2026">
        <v>0</v>
      </c>
      <c r="CO354" s="1974">
        <v>0</v>
      </c>
      <c r="CP354" s="2031">
        <v>0</v>
      </c>
      <c r="CQ354" s="2031">
        <f t="shared" si="183"/>
        <v>0</v>
      </c>
      <c r="CR354" s="2026">
        <v>1</v>
      </c>
      <c r="CS354" s="2026">
        <v>1</v>
      </c>
      <c r="CT354" s="2026">
        <v>1</v>
      </c>
      <c r="CU354" s="2026">
        <v>1</v>
      </c>
      <c r="CV354" s="2036"/>
      <c r="CW354" s="2036"/>
      <c r="CX354" s="2036"/>
      <c r="CY354" s="2036"/>
      <c r="CZ354" s="2036"/>
      <c r="DA354" s="2036"/>
      <c r="DB354" s="1973">
        <v>1</v>
      </c>
    </row>
    <row r="355" spans="1:106" x14ac:dyDescent="0.25">
      <c r="A355" s="2278" t="str">
        <f t="shared" si="194"/>
        <v>High Efficiency Tanked Water Heater (electric)</v>
      </c>
      <c r="B355" s="1974" t="str">
        <f t="shared" si="194"/>
        <v>BPWH1</v>
      </c>
      <c r="C355" s="2027">
        <v>5</v>
      </c>
      <c r="D355" s="2027"/>
      <c r="E355" s="2144">
        <v>5005.72</v>
      </c>
      <c r="F355" s="2144"/>
      <c r="G355" s="2145">
        <v>0.56999999999999995</v>
      </c>
      <c r="H355" s="2145"/>
      <c r="I355" s="2027">
        <v>0</v>
      </c>
      <c r="J355" s="2027"/>
      <c r="K355" s="1974" t="s">
        <v>2988</v>
      </c>
      <c r="L355" s="1974" t="s">
        <v>2988</v>
      </c>
      <c r="M355" s="2026">
        <v>0.9</v>
      </c>
      <c r="N355" s="2026">
        <v>0.9</v>
      </c>
      <c r="O355" s="2026">
        <v>0.9</v>
      </c>
      <c r="P355" s="2026">
        <v>0.9</v>
      </c>
      <c r="Q355" s="2027">
        <f t="shared" si="184"/>
        <v>4505.1480000000001</v>
      </c>
      <c r="R355" s="2027">
        <f t="shared" si="184"/>
        <v>4505.1480000000001</v>
      </c>
      <c r="S355" s="2027">
        <f t="shared" si="184"/>
        <v>4505.1480000000001</v>
      </c>
      <c r="T355" s="2027">
        <f t="shared" si="184"/>
        <v>4505.1480000000001</v>
      </c>
      <c r="U355" s="2026">
        <v>0.9</v>
      </c>
      <c r="V355" s="2026">
        <v>0.9</v>
      </c>
      <c r="W355" s="2026">
        <v>0.9</v>
      </c>
      <c r="X355" s="2026">
        <v>0.9</v>
      </c>
      <c r="Y355" s="2028">
        <f t="shared" si="185"/>
        <v>0.51300000000000001</v>
      </c>
      <c r="Z355" s="2028">
        <f t="shared" si="185"/>
        <v>0.51300000000000001</v>
      </c>
      <c r="AA355" s="2028">
        <f t="shared" si="185"/>
        <v>0.51300000000000001</v>
      </c>
      <c r="AB355" s="2028">
        <f t="shared" si="185"/>
        <v>0.51300000000000001</v>
      </c>
      <c r="AC355" s="2026">
        <v>0.9</v>
      </c>
      <c r="AD355" s="2026">
        <v>0.9</v>
      </c>
      <c r="AE355" s="2026">
        <v>0.9</v>
      </c>
      <c r="AF355" s="2026">
        <v>0.9</v>
      </c>
      <c r="AG355" s="2027">
        <f t="shared" si="186"/>
        <v>0</v>
      </c>
      <c r="AH355" s="2027">
        <f t="shared" si="186"/>
        <v>0</v>
      </c>
      <c r="AI355" s="2027">
        <f t="shared" si="186"/>
        <v>0</v>
      </c>
      <c r="AJ355" s="2027">
        <f t="shared" si="186"/>
        <v>0</v>
      </c>
      <c r="AK355" s="2027">
        <v>1</v>
      </c>
      <c r="AL355" s="2028">
        <v>1</v>
      </c>
      <c r="AM355" s="2028">
        <v>1</v>
      </c>
      <c r="AN355" s="2028">
        <v>1</v>
      </c>
      <c r="AO355" s="2027">
        <f t="shared" si="171"/>
        <v>4505.1480000000001</v>
      </c>
      <c r="AP355" s="2027">
        <f t="shared" si="172"/>
        <v>4505.1480000000001</v>
      </c>
      <c r="AQ355" s="2027">
        <f t="shared" si="172"/>
        <v>4505.1480000000001</v>
      </c>
      <c r="AR355" s="2027" t="s">
        <v>3286</v>
      </c>
      <c r="AS355" s="2027">
        <f t="shared" si="173"/>
        <v>4505.1480000000001</v>
      </c>
      <c r="AT355" s="2027">
        <f t="shared" si="174"/>
        <v>0</v>
      </c>
      <c r="AU355" s="2027">
        <f t="shared" si="175"/>
        <v>0</v>
      </c>
      <c r="AV355" s="2027">
        <f t="shared" si="175"/>
        <v>0</v>
      </c>
      <c r="AW355" s="2027">
        <f t="shared" si="175"/>
        <v>0</v>
      </c>
      <c r="AX355" s="2124">
        <v>150</v>
      </c>
      <c r="AY355" s="2029">
        <v>150</v>
      </c>
      <c r="AZ355" s="2029">
        <v>150</v>
      </c>
      <c r="BA355" s="2029">
        <v>150</v>
      </c>
      <c r="BB355" s="2124">
        <v>0</v>
      </c>
      <c r="BC355" s="2029">
        <v>0</v>
      </c>
      <c r="BD355" s="2029">
        <v>0</v>
      </c>
      <c r="BE355" s="2029">
        <v>0</v>
      </c>
      <c r="BF355" s="2124">
        <v>1350</v>
      </c>
      <c r="BG355" s="2029">
        <v>1350</v>
      </c>
      <c r="BH355" s="2029">
        <v>1350</v>
      </c>
      <c r="BI355" s="2029">
        <v>1350</v>
      </c>
      <c r="BJ355" s="2030">
        <f t="shared" si="176"/>
        <v>150</v>
      </c>
      <c r="BK355" s="2030">
        <f t="shared" si="176"/>
        <v>150</v>
      </c>
      <c r="BL355" s="2030">
        <f t="shared" si="176"/>
        <v>150</v>
      </c>
      <c r="BM355" s="2030" t="s">
        <v>3286</v>
      </c>
      <c r="BN355" s="2030">
        <f t="shared" si="177"/>
        <v>150</v>
      </c>
      <c r="BO355" s="2030">
        <f t="shared" si="178"/>
        <v>0</v>
      </c>
      <c r="BP355" s="2030" t="s">
        <v>3286</v>
      </c>
      <c r="BQ355" s="2030">
        <f t="shared" si="179"/>
        <v>0</v>
      </c>
      <c r="BR355" s="2030">
        <f t="shared" si="179"/>
        <v>0</v>
      </c>
      <c r="BS355" s="2030">
        <f t="shared" si="179"/>
        <v>0</v>
      </c>
      <c r="BT355" s="2125"/>
      <c r="BU355" s="2125"/>
      <c r="BV355" s="2125"/>
      <c r="BW355" s="2125"/>
      <c r="BX355" s="2125"/>
      <c r="BY355" s="2125"/>
      <c r="BZ355" s="2125"/>
      <c r="CA355" s="2125"/>
      <c r="CB355" s="2029"/>
      <c r="CC355" s="2029"/>
      <c r="CD355" s="2029"/>
      <c r="CE355" s="2029"/>
      <c r="CF355" s="2029"/>
      <c r="CG355" s="2032"/>
      <c r="CH355" s="1974">
        <v>0</v>
      </c>
      <c r="CI355" s="1974">
        <v>0</v>
      </c>
      <c r="CJ355" s="1974">
        <v>0</v>
      </c>
      <c r="CK355" s="1974">
        <v>0</v>
      </c>
      <c r="CL355" s="1974">
        <v>0</v>
      </c>
      <c r="CM355" s="2033">
        <v>1.5090072925649959E-5</v>
      </c>
      <c r="CN355" s="2026">
        <v>0</v>
      </c>
      <c r="CO355" s="1974">
        <v>0</v>
      </c>
      <c r="CP355" s="2031">
        <v>0</v>
      </c>
      <c r="CQ355" s="2031">
        <f t="shared" si="183"/>
        <v>0</v>
      </c>
      <c r="CR355" s="2026">
        <v>1</v>
      </c>
      <c r="CS355" s="2026">
        <v>1</v>
      </c>
      <c r="CT355" s="2026">
        <v>1</v>
      </c>
      <c r="CU355" s="2026">
        <v>1</v>
      </c>
      <c r="CV355" s="2036"/>
      <c r="CW355" s="2036"/>
      <c r="CX355" s="2036"/>
      <c r="CY355" s="2036"/>
      <c r="CZ355" s="2036"/>
      <c r="DA355" s="2036"/>
      <c r="DB355" s="1973">
        <v>1</v>
      </c>
    </row>
    <row r="356" spans="1:106" x14ac:dyDescent="0.25">
      <c r="A356" s="2278" t="str">
        <f t="shared" si="194"/>
        <v>High Efficiency Tankless Water Heaters (electric)</v>
      </c>
      <c r="B356" s="1974" t="str">
        <f t="shared" si="194"/>
        <v>BPWH2</v>
      </c>
      <c r="C356" s="2027">
        <v>5</v>
      </c>
      <c r="D356" s="2027"/>
      <c r="E356" s="2144">
        <v>7925.1</v>
      </c>
      <c r="F356" s="2144"/>
      <c r="G356" s="2145">
        <v>0.9</v>
      </c>
      <c r="H356" s="2145"/>
      <c r="I356" s="2027">
        <v>0</v>
      </c>
      <c r="J356" s="2027"/>
      <c r="K356" s="1974" t="s">
        <v>2988</v>
      </c>
      <c r="L356" s="1974" t="s">
        <v>2988</v>
      </c>
      <c r="M356" s="2026">
        <v>0.9</v>
      </c>
      <c r="N356" s="2026">
        <v>0.9</v>
      </c>
      <c r="O356" s="2026">
        <v>0.9</v>
      </c>
      <c r="P356" s="2026">
        <v>0.9</v>
      </c>
      <c r="Q356" s="2027">
        <f t="shared" si="184"/>
        <v>7132.59</v>
      </c>
      <c r="R356" s="2027">
        <f t="shared" si="184"/>
        <v>7132.59</v>
      </c>
      <c r="S356" s="2027">
        <f t="shared" si="184"/>
        <v>7132.59</v>
      </c>
      <c r="T356" s="2027">
        <f t="shared" si="184"/>
        <v>7132.59</v>
      </c>
      <c r="U356" s="2026">
        <v>0.9</v>
      </c>
      <c r="V356" s="2026">
        <v>0.9</v>
      </c>
      <c r="W356" s="2026">
        <v>0.9</v>
      </c>
      <c r="X356" s="2026">
        <v>0.9</v>
      </c>
      <c r="Y356" s="2028">
        <f t="shared" si="185"/>
        <v>0.81</v>
      </c>
      <c r="Z356" s="2028">
        <f t="shared" si="185"/>
        <v>0.81</v>
      </c>
      <c r="AA356" s="2028">
        <f t="shared" si="185"/>
        <v>0.81</v>
      </c>
      <c r="AB356" s="2028">
        <f t="shared" si="185"/>
        <v>0.81</v>
      </c>
      <c r="AC356" s="2026">
        <v>0.9</v>
      </c>
      <c r="AD356" s="2026">
        <v>0.9</v>
      </c>
      <c r="AE356" s="2026">
        <v>0.9</v>
      </c>
      <c r="AF356" s="2026">
        <v>0.9</v>
      </c>
      <c r="AG356" s="2027">
        <f t="shared" si="186"/>
        <v>0</v>
      </c>
      <c r="AH356" s="2027">
        <f t="shared" si="186"/>
        <v>0</v>
      </c>
      <c r="AI356" s="2027">
        <f t="shared" si="186"/>
        <v>0</v>
      </c>
      <c r="AJ356" s="2027">
        <f t="shared" si="186"/>
        <v>0</v>
      </c>
      <c r="AK356" s="2027">
        <v>0</v>
      </c>
      <c r="AL356" s="2028"/>
      <c r="AM356" s="2028">
        <v>1</v>
      </c>
      <c r="AN356" s="2028"/>
      <c r="AO356" s="2027">
        <f t="shared" si="171"/>
        <v>0</v>
      </c>
      <c r="AP356" s="2027">
        <f t="shared" ref="AP356:AQ387" si="195">AL356*R356*CS356</f>
        <v>0</v>
      </c>
      <c r="AQ356" s="2027">
        <f t="shared" si="195"/>
        <v>7132.59</v>
      </c>
      <c r="AR356" s="2027" t="s">
        <v>3286</v>
      </c>
      <c r="AS356" s="2027">
        <f t="shared" si="173"/>
        <v>0</v>
      </c>
      <c r="AT356" s="2027">
        <f t="shared" si="174"/>
        <v>0</v>
      </c>
      <c r="AU356" s="2027">
        <f t="shared" ref="AU356:AW387" si="196">AL356*AH356*CS356</f>
        <v>0</v>
      </c>
      <c r="AV356" s="2027">
        <f t="shared" si="196"/>
        <v>0</v>
      </c>
      <c r="AW356" s="2027">
        <f t="shared" si="196"/>
        <v>0</v>
      </c>
      <c r="AX356" s="2124">
        <v>300</v>
      </c>
      <c r="AY356" s="2029">
        <v>300</v>
      </c>
      <c r="AZ356" s="2029">
        <v>300</v>
      </c>
      <c r="BA356" s="2029">
        <v>300</v>
      </c>
      <c r="BB356" s="2124">
        <v>0</v>
      </c>
      <c r="BC356" s="2029">
        <v>0</v>
      </c>
      <c r="BD356" s="2029">
        <v>0</v>
      </c>
      <c r="BE356" s="2029">
        <v>0</v>
      </c>
      <c r="BF356" s="2124">
        <v>1350</v>
      </c>
      <c r="BG356" s="2029">
        <v>1350</v>
      </c>
      <c r="BH356" s="2029">
        <v>1350</v>
      </c>
      <c r="BI356" s="2029">
        <v>1350</v>
      </c>
      <c r="BJ356" s="2030">
        <f t="shared" ref="BJ356:BL387" si="197">AX356*AK356</f>
        <v>0</v>
      </c>
      <c r="BK356" s="2030">
        <f t="shared" si="197"/>
        <v>0</v>
      </c>
      <c r="BL356" s="2030">
        <f t="shared" si="197"/>
        <v>300</v>
      </c>
      <c r="BM356" s="2030" t="s">
        <v>3286</v>
      </c>
      <c r="BN356" s="2030">
        <f t="shared" si="177"/>
        <v>0</v>
      </c>
      <c r="BO356" s="2030">
        <f t="shared" si="178"/>
        <v>0</v>
      </c>
      <c r="BP356" s="2030" t="s">
        <v>3286</v>
      </c>
      <c r="BQ356" s="2030">
        <f t="shared" ref="BQ356:BS387" si="198">BC356*AL356</f>
        <v>0</v>
      </c>
      <c r="BR356" s="2030">
        <f t="shared" si="198"/>
        <v>0</v>
      </c>
      <c r="BS356" s="2030">
        <f t="shared" si="198"/>
        <v>0</v>
      </c>
      <c r="BT356" s="2125"/>
      <c r="BU356" s="2125"/>
      <c r="BV356" s="2125"/>
      <c r="BW356" s="2125"/>
      <c r="BX356" s="2125"/>
      <c r="BY356" s="2125"/>
      <c r="BZ356" s="2125"/>
      <c r="CA356" s="2125"/>
      <c r="CB356" s="2029"/>
      <c r="CC356" s="2029"/>
      <c r="CD356" s="2029"/>
      <c r="CE356" s="2029"/>
      <c r="CF356" s="2029"/>
      <c r="CG356" s="2032"/>
      <c r="CH356" s="1974">
        <v>0</v>
      </c>
      <c r="CI356" s="1974">
        <v>0</v>
      </c>
      <c r="CJ356" s="1974">
        <v>0</v>
      </c>
      <c r="CK356" s="1974">
        <v>0</v>
      </c>
      <c r="CL356" s="1974">
        <v>0</v>
      </c>
      <c r="CM356" s="2033">
        <v>0</v>
      </c>
      <c r="CN356" s="2026">
        <v>0</v>
      </c>
      <c r="CO356" s="1974">
        <v>0</v>
      </c>
      <c r="CP356" s="2031">
        <v>0</v>
      </c>
      <c r="CQ356" s="2031">
        <f t="shared" si="183"/>
        <v>0</v>
      </c>
      <c r="CR356" s="2026">
        <v>1</v>
      </c>
      <c r="CS356" s="2026">
        <v>1</v>
      </c>
      <c r="CT356" s="2026">
        <v>1</v>
      </c>
      <c r="CU356" s="2026">
        <v>1</v>
      </c>
      <c r="CV356" s="2036"/>
      <c r="CW356" s="2036"/>
      <c r="CX356" s="2036"/>
      <c r="CY356" s="2036"/>
      <c r="CZ356" s="2036"/>
      <c r="DA356" s="2036"/>
      <c r="DB356" s="1973">
        <v>1</v>
      </c>
    </row>
    <row r="357" spans="1:106" x14ac:dyDescent="0.25">
      <c r="A357" s="2278" t="str">
        <f>IF(A44="","",A44)</f>
        <v>Beverage Machine Control</v>
      </c>
      <c r="B357" s="1974" t="str">
        <f>IF(B44="","",B44)</f>
        <v>BPR9</v>
      </c>
      <c r="C357" s="2027">
        <v>5</v>
      </c>
      <c r="D357" s="2027"/>
      <c r="E357" s="2144">
        <v>1411.33</v>
      </c>
      <c r="F357" s="2144"/>
      <c r="G357" s="2145">
        <v>0</v>
      </c>
      <c r="H357" s="2145"/>
      <c r="I357" s="2027">
        <v>0</v>
      </c>
      <c r="J357" s="2027"/>
      <c r="K357" s="1974" t="s">
        <v>2988</v>
      </c>
      <c r="L357" s="1974" t="s">
        <v>2988</v>
      </c>
      <c r="M357" s="2026">
        <v>0.9</v>
      </c>
      <c r="N357" s="2026">
        <v>0.9</v>
      </c>
      <c r="O357" s="2026">
        <v>0.9</v>
      </c>
      <c r="P357" s="2026">
        <v>0.9</v>
      </c>
      <c r="Q357" s="2027">
        <f t="shared" si="184"/>
        <v>1270.1969999999999</v>
      </c>
      <c r="R357" s="2027">
        <f t="shared" si="184"/>
        <v>1270.1969999999999</v>
      </c>
      <c r="S357" s="2027">
        <f t="shared" si="184"/>
        <v>1270.1969999999999</v>
      </c>
      <c r="T357" s="2027">
        <f t="shared" si="184"/>
        <v>1270.1969999999999</v>
      </c>
      <c r="U357" s="2026">
        <v>0.9</v>
      </c>
      <c r="V357" s="2026">
        <v>0.9</v>
      </c>
      <c r="W357" s="2026">
        <v>0.9</v>
      </c>
      <c r="X357" s="2026">
        <v>0.9</v>
      </c>
      <c r="Y357" s="2028">
        <f t="shared" si="185"/>
        <v>0</v>
      </c>
      <c r="Z357" s="2028">
        <f t="shared" si="185"/>
        <v>0</v>
      </c>
      <c r="AA357" s="2028">
        <f t="shared" si="185"/>
        <v>0</v>
      </c>
      <c r="AB357" s="2028">
        <f t="shared" si="185"/>
        <v>0</v>
      </c>
      <c r="AC357" s="2026">
        <v>0.9</v>
      </c>
      <c r="AD357" s="2026">
        <v>0.9</v>
      </c>
      <c r="AE357" s="2026">
        <v>0.9</v>
      </c>
      <c r="AF357" s="2026">
        <v>0.9</v>
      </c>
      <c r="AG357" s="2027">
        <f t="shared" si="186"/>
        <v>0</v>
      </c>
      <c r="AH357" s="2027">
        <f t="shared" si="186"/>
        <v>0</v>
      </c>
      <c r="AI357" s="2027">
        <f t="shared" si="186"/>
        <v>0</v>
      </c>
      <c r="AJ357" s="2027">
        <f t="shared" si="186"/>
        <v>0</v>
      </c>
      <c r="AK357" s="2027">
        <v>1</v>
      </c>
      <c r="AL357" s="2027">
        <v>1</v>
      </c>
      <c r="AM357" s="2027">
        <v>1</v>
      </c>
      <c r="AN357" s="2027">
        <v>1</v>
      </c>
      <c r="AO357" s="2027">
        <f t="shared" si="171"/>
        <v>1270.1969999999999</v>
      </c>
      <c r="AP357" s="2027">
        <f t="shared" si="195"/>
        <v>1270.1969999999999</v>
      </c>
      <c r="AQ357" s="2027">
        <f t="shared" si="195"/>
        <v>1270.1969999999999</v>
      </c>
      <c r="AR357" s="2027" t="s">
        <v>3286</v>
      </c>
      <c r="AS357" s="2027">
        <f t="shared" si="173"/>
        <v>1270.1969999999999</v>
      </c>
      <c r="AT357" s="2027">
        <f t="shared" si="174"/>
        <v>0</v>
      </c>
      <c r="AU357" s="2027">
        <f t="shared" si="196"/>
        <v>0</v>
      </c>
      <c r="AV357" s="2027">
        <f t="shared" si="196"/>
        <v>0</v>
      </c>
      <c r="AW357" s="2027">
        <f t="shared" si="196"/>
        <v>0</v>
      </c>
      <c r="AX357" s="2124">
        <v>150</v>
      </c>
      <c r="AY357" s="2029">
        <v>150</v>
      </c>
      <c r="AZ357" s="2029">
        <v>150</v>
      </c>
      <c r="BA357" s="2029">
        <v>150</v>
      </c>
      <c r="BB357" s="2124">
        <v>0</v>
      </c>
      <c r="BC357" s="2029">
        <v>0</v>
      </c>
      <c r="BD357" s="2029">
        <v>0</v>
      </c>
      <c r="BE357" s="2029">
        <v>0</v>
      </c>
      <c r="BF357" s="2124">
        <v>180</v>
      </c>
      <c r="BG357" s="2029">
        <v>180</v>
      </c>
      <c r="BH357" s="2029">
        <v>180</v>
      </c>
      <c r="BI357" s="2029">
        <v>180</v>
      </c>
      <c r="BJ357" s="2030">
        <f t="shared" si="197"/>
        <v>150</v>
      </c>
      <c r="BK357" s="2030">
        <f t="shared" si="197"/>
        <v>150</v>
      </c>
      <c r="BL357" s="2030">
        <f t="shared" si="197"/>
        <v>150</v>
      </c>
      <c r="BM357" s="2030" t="s">
        <v>3286</v>
      </c>
      <c r="BN357" s="2030">
        <f t="shared" si="177"/>
        <v>150</v>
      </c>
      <c r="BO357" s="2030">
        <f t="shared" si="178"/>
        <v>0</v>
      </c>
      <c r="BP357" s="2030" t="s">
        <v>3286</v>
      </c>
      <c r="BQ357" s="2030">
        <f t="shared" si="198"/>
        <v>0</v>
      </c>
      <c r="BR357" s="2030">
        <f t="shared" si="198"/>
        <v>0</v>
      </c>
      <c r="BS357" s="2030">
        <f t="shared" si="198"/>
        <v>0</v>
      </c>
      <c r="BT357" s="2125"/>
      <c r="BU357" s="2125"/>
      <c r="BV357" s="2125"/>
      <c r="BW357" s="2125"/>
      <c r="BX357" s="2125"/>
      <c r="BY357" s="2125"/>
      <c r="BZ357" s="2125"/>
      <c r="CA357" s="2125"/>
      <c r="CB357" s="2029"/>
      <c r="CC357" s="2029"/>
      <c r="CD357" s="2029"/>
      <c r="CE357" s="2029"/>
      <c r="CF357" s="2029"/>
      <c r="CG357" s="2032"/>
      <c r="CH357" s="1974">
        <v>0</v>
      </c>
      <c r="CI357" s="1974">
        <v>0</v>
      </c>
      <c r="CJ357" s="1974">
        <v>0</v>
      </c>
      <c r="CK357" s="1974">
        <v>0</v>
      </c>
      <c r="CL357" s="1974">
        <v>0</v>
      </c>
      <c r="CM357" s="2033">
        <v>4.2545473222948056E-6</v>
      </c>
      <c r="CN357" s="2026">
        <v>0</v>
      </c>
      <c r="CO357" s="1974">
        <v>0</v>
      </c>
      <c r="CP357" s="2031">
        <v>0</v>
      </c>
      <c r="CQ357" s="2031">
        <f t="shared" si="183"/>
        <v>0</v>
      </c>
      <c r="CR357" s="2026">
        <v>1</v>
      </c>
      <c r="CS357" s="2026">
        <v>1</v>
      </c>
      <c r="CT357" s="2026">
        <v>1</v>
      </c>
      <c r="CU357" s="2026">
        <v>1</v>
      </c>
      <c r="CV357" s="2036"/>
      <c r="CW357" s="2036"/>
      <c r="CX357" s="2036"/>
      <c r="CY357" s="2036"/>
      <c r="CZ357" s="2036"/>
      <c r="DA357" s="2036"/>
      <c r="DB357" s="1973">
        <v>1</v>
      </c>
    </row>
    <row r="358" spans="1:106" x14ac:dyDescent="0.25">
      <c r="A358" s="2278" t="str">
        <f>IF(A45="","",A45)</f>
        <v>Snack Machine Control</v>
      </c>
      <c r="B358" s="1974" t="str">
        <f>IF(B45="","",B45)</f>
        <v>BPR10</v>
      </c>
      <c r="C358" s="2027">
        <v>5</v>
      </c>
      <c r="D358" s="2027"/>
      <c r="E358" s="2144">
        <v>342.75</v>
      </c>
      <c r="F358" s="2144"/>
      <c r="G358" s="2145">
        <v>0</v>
      </c>
      <c r="H358" s="2145"/>
      <c r="I358" s="2027">
        <v>0</v>
      </c>
      <c r="J358" s="2027"/>
      <c r="K358" s="1974" t="s">
        <v>2988</v>
      </c>
      <c r="L358" s="1974" t="s">
        <v>2988</v>
      </c>
      <c r="M358" s="2026">
        <v>0.9</v>
      </c>
      <c r="N358" s="2026">
        <v>0.9</v>
      </c>
      <c r="O358" s="2026">
        <v>0.9</v>
      </c>
      <c r="P358" s="2026">
        <v>0.9</v>
      </c>
      <c r="Q358" s="2027">
        <f t="shared" si="184"/>
        <v>308.47500000000002</v>
      </c>
      <c r="R358" s="2027">
        <f t="shared" si="184"/>
        <v>308.47500000000002</v>
      </c>
      <c r="S358" s="2027">
        <f t="shared" si="184"/>
        <v>308.47500000000002</v>
      </c>
      <c r="T358" s="2027">
        <f t="shared" si="184"/>
        <v>308.47500000000002</v>
      </c>
      <c r="U358" s="2026">
        <v>0.9</v>
      </c>
      <c r="V358" s="2026">
        <v>0.9</v>
      </c>
      <c r="W358" s="2026">
        <v>0.9</v>
      </c>
      <c r="X358" s="2026">
        <v>0.9</v>
      </c>
      <c r="Y358" s="2028">
        <f t="shared" si="185"/>
        <v>0</v>
      </c>
      <c r="Z358" s="2028">
        <f t="shared" si="185"/>
        <v>0</v>
      </c>
      <c r="AA358" s="2028">
        <f t="shared" si="185"/>
        <v>0</v>
      </c>
      <c r="AB358" s="2028">
        <f t="shared" si="185"/>
        <v>0</v>
      </c>
      <c r="AC358" s="2026">
        <v>0.9</v>
      </c>
      <c r="AD358" s="2026">
        <v>0.9</v>
      </c>
      <c r="AE358" s="2026">
        <v>0.9</v>
      </c>
      <c r="AF358" s="2026">
        <v>0.9</v>
      </c>
      <c r="AG358" s="2027">
        <f t="shared" si="186"/>
        <v>0</v>
      </c>
      <c r="AH358" s="2027">
        <f t="shared" si="186"/>
        <v>0</v>
      </c>
      <c r="AI358" s="2027">
        <f t="shared" si="186"/>
        <v>0</v>
      </c>
      <c r="AJ358" s="2027">
        <f t="shared" si="186"/>
        <v>0</v>
      </c>
      <c r="AK358" s="2027">
        <v>1</v>
      </c>
      <c r="AL358" s="2027">
        <v>1</v>
      </c>
      <c r="AM358" s="2027">
        <v>1</v>
      </c>
      <c r="AN358" s="2027">
        <v>1</v>
      </c>
      <c r="AO358" s="2027">
        <f t="shared" si="171"/>
        <v>308.47500000000002</v>
      </c>
      <c r="AP358" s="2027">
        <f t="shared" si="195"/>
        <v>308.47500000000002</v>
      </c>
      <c r="AQ358" s="2027">
        <f t="shared" si="195"/>
        <v>308.47500000000002</v>
      </c>
      <c r="AR358" s="2027" t="s">
        <v>3286</v>
      </c>
      <c r="AS358" s="2027">
        <f t="shared" si="173"/>
        <v>308.47500000000002</v>
      </c>
      <c r="AT358" s="2027">
        <f t="shared" si="174"/>
        <v>0</v>
      </c>
      <c r="AU358" s="2027">
        <f t="shared" si="196"/>
        <v>0</v>
      </c>
      <c r="AV358" s="2027">
        <f t="shared" si="196"/>
        <v>0</v>
      </c>
      <c r="AW358" s="2027">
        <f t="shared" si="196"/>
        <v>0</v>
      </c>
      <c r="AX358" s="2124">
        <v>50</v>
      </c>
      <c r="AY358" s="2029">
        <v>50</v>
      </c>
      <c r="AZ358" s="2029">
        <v>50</v>
      </c>
      <c r="BA358" s="2029">
        <v>50</v>
      </c>
      <c r="BB358" s="2124">
        <v>0</v>
      </c>
      <c r="BC358" s="2029">
        <v>0</v>
      </c>
      <c r="BD358" s="2029">
        <v>0</v>
      </c>
      <c r="BE358" s="2029">
        <v>0</v>
      </c>
      <c r="BF358" s="2124">
        <v>80</v>
      </c>
      <c r="BG358" s="2029">
        <v>80</v>
      </c>
      <c r="BH358" s="2029">
        <v>80</v>
      </c>
      <c r="BI358" s="2029">
        <v>80</v>
      </c>
      <c r="BJ358" s="2030">
        <f t="shared" si="197"/>
        <v>50</v>
      </c>
      <c r="BK358" s="2030">
        <f t="shared" si="197"/>
        <v>50</v>
      </c>
      <c r="BL358" s="2030">
        <f t="shared" si="197"/>
        <v>50</v>
      </c>
      <c r="BM358" s="2030" t="s">
        <v>3286</v>
      </c>
      <c r="BN358" s="2030">
        <f t="shared" si="177"/>
        <v>50</v>
      </c>
      <c r="BO358" s="2030">
        <f t="shared" si="178"/>
        <v>0</v>
      </c>
      <c r="BP358" s="2030" t="s">
        <v>3286</v>
      </c>
      <c r="BQ358" s="2030">
        <f t="shared" si="198"/>
        <v>0</v>
      </c>
      <c r="BR358" s="2030">
        <f t="shared" si="198"/>
        <v>0</v>
      </c>
      <c r="BS358" s="2030">
        <f t="shared" si="198"/>
        <v>0</v>
      </c>
      <c r="BT358" s="2125"/>
      <c r="BU358" s="2125"/>
      <c r="BV358" s="2125"/>
      <c r="BW358" s="2125"/>
      <c r="BX358" s="2125"/>
      <c r="BY358" s="2125"/>
      <c r="BZ358" s="2125"/>
      <c r="CA358" s="2125"/>
      <c r="CB358" s="2029"/>
      <c r="CC358" s="2029"/>
      <c r="CD358" s="2029"/>
      <c r="CE358" s="2029"/>
      <c r="CF358" s="2029"/>
      <c r="CG358" s="2032"/>
      <c r="CH358" s="1974">
        <v>0</v>
      </c>
      <c r="CI358" s="1974">
        <v>0</v>
      </c>
      <c r="CJ358" s="1974">
        <v>0</v>
      </c>
      <c r="CK358" s="1974">
        <v>0</v>
      </c>
      <c r="CL358" s="1974">
        <v>0</v>
      </c>
      <c r="CM358" s="2033">
        <v>1.0332424696680046E-6</v>
      </c>
      <c r="CN358" s="2026">
        <v>0</v>
      </c>
      <c r="CO358" s="1974">
        <v>0</v>
      </c>
      <c r="CP358" s="2031">
        <v>0</v>
      </c>
      <c r="CQ358" s="2031">
        <f t="shared" si="183"/>
        <v>0</v>
      </c>
      <c r="CR358" s="2026">
        <v>1</v>
      </c>
      <c r="CS358" s="2026">
        <v>1</v>
      </c>
      <c r="CT358" s="2026">
        <v>1</v>
      </c>
      <c r="CU358" s="2026">
        <v>1</v>
      </c>
      <c r="CV358" s="2036"/>
      <c r="CW358" s="2036"/>
      <c r="CX358" s="2036"/>
      <c r="CY358" s="2036"/>
      <c r="CZ358" s="2036"/>
      <c r="DA358" s="2036"/>
      <c r="DB358" s="1973">
        <v>1</v>
      </c>
    </row>
    <row r="359" spans="1:106" x14ac:dyDescent="0.25">
      <c r="A359" s="2278" t="str">
        <f t="shared" ref="A359:B363" si="199">IF(A54="","",A54)</f>
        <v>Evaporator Fan Controls</v>
      </c>
      <c r="B359" s="1974" t="str">
        <f t="shared" si="199"/>
        <v>BPR6</v>
      </c>
      <c r="C359" s="2027">
        <v>16</v>
      </c>
      <c r="D359" s="2027"/>
      <c r="E359" s="2144">
        <v>478</v>
      </c>
      <c r="F359" s="2144"/>
      <c r="G359" s="2145">
        <v>0.06</v>
      </c>
      <c r="H359" s="2145"/>
      <c r="I359" s="2027">
        <v>0</v>
      </c>
      <c r="J359" s="2027"/>
      <c r="K359" s="1974" t="s">
        <v>2988</v>
      </c>
      <c r="L359" s="1974" t="s">
        <v>2988</v>
      </c>
      <c r="M359" s="2026">
        <v>0.9</v>
      </c>
      <c r="N359" s="2026">
        <v>0.9</v>
      </c>
      <c r="O359" s="2026">
        <v>0.9</v>
      </c>
      <c r="P359" s="2026">
        <v>0.9</v>
      </c>
      <c r="Q359" s="2027">
        <f t="shared" si="184"/>
        <v>430.2</v>
      </c>
      <c r="R359" s="2027">
        <f t="shared" si="184"/>
        <v>430.2</v>
      </c>
      <c r="S359" s="2027">
        <f t="shared" si="184"/>
        <v>430.2</v>
      </c>
      <c r="T359" s="2027">
        <f t="shared" si="184"/>
        <v>430.2</v>
      </c>
      <c r="U359" s="2026">
        <v>0.9</v>
      </c>
      <c r="V359" s="2026">
        <v>0.9</v>
      </c>
      <c r="W359" s="2026">
        <v>0.9</v>
      </c>
      <c r="X359" s="2026">
        <v>0.9</v>
      </c>
      <c r="Y359" s="2028">
        <f t="shared" si="185"/>
        <v>5.3999999999999999E-2</v>
      </c>
      <c r="Z359" s="2028">
        <f t="shared" si="185"/>
        <v>5.3999999999999999E-2</v>
      </c>
      <c r="AA359" s="2028">
        <f t="shared" si="185"/>
        <v>5.3999999999999999E-2</v>
      </c>
      <c r="AB359" s="2028">
        <f t="shared" si="185"/>
        <v>5.3999999999999999E-2</v>
      </c>
      <c r="AC359" s="2026">
        <v>0.9</v>
      </c>
      <c r="AD359" s="2026">
        <v>0.9</v>
      </c>
      <c r="AE359" s="2026">
        <v>0.9</v>
      </c>
      <c r="AF359" s="2026">
        <v>0.9</v>
      </c>
      <c r="AG359" s="2027">
        <f t="shared" si="186"/>
        <v>0</v>
      </c>
      <c r="AH359" s="2027">
        <f t="shared" si="186"/>
        <v>0</v>
      </c>
      <c r="AI359" s="2027">
        <f t="shared" si="186"/>
        <v>0</v>
      </c>
      <c r="AJ359" s="2027">
        <f t="shared" si="186"/>
        <v>0</v>
      </c>
      <c r="AK359" s="2027">
        <v>1</v>
      </c>
      <c r="AL359" s="2028">
        <v>1</v>
      </c>
      <c r="AM359" s="2028">
        <v>1</v>
      </c>
      <c r="AN359" s="2028">
        <v>1</v>
      </c>
      <c r="AO359" s="2027">
        <f t="shared" si="171"/>
        <v>430.2</v>
      </c>
      <c r="AP359" s="2027">
        <f t="shared" si="195"/>
        <v>430.2</v>
      </c>
      <c r="AQ359" s="2027">
        <f t="shared" si="195"/>
        <v>430.2</v>
      </c>
      <c r="AR359" s="2027" t="s">
        <v>3286</v>
      </c>
      <c r="AS359" s="2027">
        <f t="shared" si="173"/>
        <v>430.2</v>
      </c>
      <c r="AT359" s="2027">
        <f t="shared" si="174"/>
        <v>0</v>
      </c>
      <c r="AU359" s="2027">
        <f t="shared" si="196"/>
        <v>0</v>
      </c>
      <c r="AV359" s="2027">
        <f t="shared" si="196"/>
        <v>0</v>
      </c>
      <c r="AW359" s="2027">
        <f t="shared" si="196"/>
        <v>0</v>
      </c>
      <c r="AX359" s="2124">
        <v>60</v>
      </c>
      <c r="AY359" s="2029">
        <v>60</v>
      </c>
      <c r="AZ359" s="2029">
        <v>60</v>
      </c>
      <c r="BA359" s="2029">
        <v>60</v>
      </c>
      <c r="BB359" s="2124">
        <v>0</v>
      </c>
      <c r="BC359" s="2029">
        <v>0</v>
      </c>
      <c r="BD359" s="2029">
        <v>0</v>
      </c>
      <c r="BE359" s="2029">
        <v>0</v>
      </c>
      <c r="BF359" s="2124">
        <v>291</v>
      </c>
      <c r="BG359" s="2029">
        <v>291</v>
      </c>
      <c r="BH359" s="2029">
        <v>291</v>
      </c>
      <c r="BI359" s="2029">
        <v>291</v>
      </c>
      <c r="BJ359" s="2030">
        <f t="shared" si="197"/>
        <v>60</v>
      </c>
      <c r="BK359" s="2030">
        <f t="shared" si="197"/>
        <v>60</v>
      </c>
      <c r="BL359" s="2030">
        <f t="shared" si="197"/>
        <v>60</v>
      </c>
      <c r="BM359" s="2030" t="s">
        <v>3286</v>
      </c>
      <c r="BN359" s="2030">
        <f t="shared" si="177"/>
        <v>60</v>
      </c>
      <c r="BO359" s="2030">
        <f t="shared" si="178"/>
        <v>0</v>
      </c>
      <c r="BP359" s="2030" t="s">
        <v>3286</v>
      </c>
      <c r="BQ359" s="2030">
        <f t="shared" si="198"/>
        <v>0</v>
      </c>
      <c r="BR359" s="2030">
        <f t="shared" si="198"/>
        <v>0</v>
      </c>
      <c r="BS359" s="2030">
        <f t="shared" si="198"/>
        <v>0</v>
      </c>
      <c r="BT359" s="2125"/>
      <c r="BU359" s="2125"/>
      <c r="BV359" s="2125"/>
      <c r="BW359" s="2125"/>
      <c r="BX359" s="2125"/>
      <c r="BY359" s="2125"/>
      <c r="BZ359" s="2125"/>
      <c r="CA359" s="2125"/>
      <c r="CB359" s="2029"/>
      <c r="CC359" s="2029"/>
      <c r="CD359" s="2029"/>
      <c r="CE359" s="2029"/>
      <c r="CF359" s="2029"/>
      <c r="CG359" s="2032"/>
      <c r="CH359" s="1974">
        <v>0</v>
      </c>
      <c r="CI359" s="1974">
        <v>0</v>
      </c>
      <c r="CJ359" s="1974">
        <v>0</v>
      </c>
      <c r="CK359" s="1974">
        <v>0</v>
      </c>
      <c r="CL359" s="1974">
        <v>0</v>
      </c>
      <c r="CM359" s="2033">
        <v>1.4409625105800325E-6</v>
      </c>
      <c r="CN359" s="2026">
        <v>0</v>
      </c>
      <c r="CO359" s="1974">
        <v>0</v>
      </c>
      <c r="CP359" s="2031">
        <v>0</v>
      </c>
      <c r="CQ359" s="2031">
        <f t="shared" si="183"/>
        <v>0</v>
      </c>
      <c r="CR359" s="2026">
        <v>1</v>
      </c>
      <c r="CS359" s="2026">
        <v>1</v>
      </c>
      <c r="CT359" s="2026">
        <v>1</v>
      </c>
      <c r="CU359" s="2026">
        <v>1</v>
      </c>
      <c r="CV359" s="2036"/>
      <c r="CW359" s="2036"/>
      <c r="CX359" s="2036"/>
      <c r="CY359" s="2036"/>
      <c r="CZ359" s="2036"/>
      <c r="DA359" s="2036"/>
      <c r="DB359" s="1973">
        <v>1</v>
      </c>
    </row>
    <row r="360" spans="1:106" x14ac:dyDescent="0.25">
      <c r="A360" s="2278" t="str">
        <f t="shared" si="199"/>
        <v>Solid Door Freezer (up to 15 cu ft)</v>
      </c>
      <c r="B360" s="1974" t="str">
        <f t="shared" si="199"/>
        <v>BPR27</v>
      </c>
      <c r="C360" s="2027">
        <v>12</v>
      </c>
      <c r="D360" s="2027"/>
      <c r="E360" s="2144">
        <v>269.89999999999998</v>
      </c>
      <c r="F360" s="2144"/>
      <c r="G360" s="2145">
        <v>0.03</v>
      </c>
      <c r="H360" s="2145"/>
      <c r="I360" s="2027">
        <v>0</v>
      </c>
      <c r="J360" s="2027"/>
      <c r="K360" s="1974" t="s">
        <v>2988</v>
      </c>
      <c r="L360" s="1974" t="s">
        <v>2988</v>
      </c>
      <c r="M360" s="2026">
        <v>0.9</v>
      </c>
      <c r="N360" s="2026">
        <v>0.9</v>
      </c>
      <c r="O360" s="2026">
        <v>0.9</v>
      </c>
      <c r="P360" s="2026">
        <v>0.9</v>
      </c>
      <c r="Q360" s="2027">
        <f t="shared" si="184"/>
        <v>242.91</v>
      </c>
      <c r="R360" s="2027">
        <f t="shared" si="184"/>
        <v>242.91</v>
      </c>
      <c r="S360" s="2027">
        <f t="shared" si="184"/>
        <v>242.91</v>
      </c>
      <c r="T360" s="2027">
        <f t="shared" si="184"/>
        <v>242.91</v>
      </c>
      <c r="U360" s="2026">
        <v>0.9</v>
      </c>
      <c r="V360" s="2026">
        <v>0.9</v>
      </c>
      <c r="W360" s="2026">
        <v>0.9</v>
      </c>
      <c r="X360" s="2026">
        <v>0.9</v>
      </c>
      <c r="Y360" s="2028">
        <f t="shared" si="185"/>
        <v>2.7E-2</v>
      </c>
      <c r="Z360" s="2028">
        <f t="shared" si="185"/>
        <v>2.7E-2</v>
      </c>
      <c r="AA360" s="2028">
        <f t="shared" si="185"/>
        <v>2.7E-2</v>
      </c>
      <c r="AB360" s="2028">
        <f t="shared" si="185"/>
        <v>2.7E-2</v>
      </c>
      <c r="AC360" s="2026">
        <v>0.9</v>
      </c>
      <c r="AD360" s="2026">
        <v>0.9</v>
      </c>
      <c r="AE360" s="2026">
        <v>0.9</v>
      </c>
      <c r="AF360" s="2026">
        <v>0.9</v>
      </c>
      <c r="AG360" s="2027">
        <f t="shared" si="186"/>
        <v>0</v>
      </c>
      <c r="AH360" s="2027">
        <f t="shared" si="186"/>
        <v>0</v>
      </c>
      <c r="AI360" s="2027">
        <f t="shared" si="186"/>
        <v>0</v>
      </c>
      <c r="AJ360" s="2027">
        <f t="shared" si="186"/>
        <v>0</v>
      </c>
      <c r="AK360" s="2027">
        <v>1</v>
      </c>
      <c r="AL360" s="2028"/>
      <c r="AM360" s="2028"/>
      <c r="AN360" s="2028"/>
      <c r="AO360" s="2027">
        <f t="shared" si="171"/>
        <v>242.91</v>
      </c>
      <c r="AP360" s="2027">
        <f t="shared" si="195"/>
        <v>0</v>
      </c>
      <c r="AQ360" s="2027">
        <f t="shared" si="195"/>
        <v>0</v>
      </c>
      <c r="AR360" s="2027" t="s">
        <v>3286</v>
      </c>
      <c r="AS360" s="2027">
        <f t="shared" si="173"/>
        <v>0</v>
      </c>
      <c r="AT360" s="2027">
        <f t="shared" si="174"/>
        <v>0</v>
      </c>
      <c r="AU360" s="2027">
        <f t="shared" si="196"/>
        <v>0</v>
      </c>
      <c r="AV360" s="2027">
        <f t="shared" si="196"/>
        <v>0</v>
      </c>
      <c r="AW360" s="2027">
        <f t="shared" si="196"/>
        <v>0</v>
      </c>
      <c r="AX360" s="2124">
        <v>35</v>
      </c>
      <c r="AY360" s="2029">
        <v>35</v>
      </c>
      <c r="AZ360" s="2029">
        <v>35</v>
      </c>
      <c r="BA360" s="2029">
        <v>35</v>
      </c>
      <c r="BB360" s="2124">
        <v>0</v>
      </c>
      <c r="BC360" s="2029">
        <v>0</v>
      </c>
      <c r="BD360" s="2029">
        <v>0</v>
      </c>
      <c r="BE360" s="2029">
        <v>0</v>
      </c>
      <c r="BF360" s="2124">
        <v>142</v>
      </c>
      <c r="BG360" s="2029">
        <v>142</v>
      </c>
      <c r="BH360" s="2029">
        <v>142</v>
      </c>
      <c r="BI360" s="2029">
        <v>142</v>
      </c>
      <c r="BJ360" s="2030">
        <f t="shared" si="197"/>
        <v>35</v>
      </c>
      <c r="BK360" s="2030">
        <f t="shared" si="197"/>
        <v>0</v>
      </c>
      <c r="BL360" s="2030">
        <f t="shared" si="197"/>
        <v>0</v>
      </c>
      <c r="BM360" s="2030" t="s">
        <v>3286</v>
      </c>
      <c r="BN360" s="2030">
        <f t="shared" si="177"/>
        <v>0</v>
      </c>
      <c r="BO360" s="2030">
        <f t="shared" si="178"/>
        <v>0</v>
      </c>
      <c r="BP360" s="2030" t="s">
        <v>3286</v>
      </c>
      <c r="BQ360" s="2030">
        <f t="shared" si="198"/>
        <v>0</v>
      </c>
      <c r="BR360" s="2030">
        <f t="shared" si="198"/>
        <v>0</v>
      </c>
      <c r="BS360" s="2030">
        <f t="shared" si="198"/>
        <v>0</v>
      </c>
      <c r="BT360" s="2125"/>
      <c r="BU360" s="2125"/>
      <c r="BV360" s="2125"/>
      <c r="BW360" s="2125"/>
      <c r="BX360" s="2125"/>
      <c r="BY360" s="2125"/>
      <c r="BZ360" s="2125"/>
      <c r="CA360" s="2125"/>
      <c r="CB360" s="2029"/>
      <c r="CC360" s="2029"/>
      <c r="CD360" s="2029"/>
      <c r="CE360" s="2029"/>
      <c r="CF360" s="2029"/>
      <c r="CG360" s="2032"/>
      <c r="CH360" s="1974">
        <v>0</v>
      </c>
      <c r="CI360" s="1974">
        <v>0</v>
      </c>
      <c r="CJ360" s="1974">
        <v>0</v>
      </c>
      <c r="CK360" s="1974">
        <v>0</v>
      </c>
      <c r="CL360" s="1974">
        <v>0</v>
      </c>
      <c r="CM360" s="2033">
        <v>8.1363134227102673E-7</v>
      </c>
      <c r="CN360" s="2026">
        <v>0</v>
      </c>
      <c r="CO360" s="1974">
        <v>0</v>
      </c>
      <c r="CP360" s="2031">
        <v>0</v>
      </c>
      <c r="CQ360" s="2031">
        <f t="shared" si="183"/>
        <v>0</v>
      </c>
      <c r="CR360" s="2026">
        <v>1</v>
      </c>
      <c r="CS360" s="2026">
        <v>1</v>
      </c>
      <c r="CT360" s="2026">
        <v>1</v>
      </c>
      <c r="CU360" s="2026">
        <v>1</v>
      </c>
      <c r="CV360" s="2036"/>
      <c r="CW360" s="2036"/>
      <c r="CX360" s="2036"/>
      <c r="CY360" s="2036"/>
      <c r="CZ360" s="2036"/>
      <c r="DA360" s="2036"/>
      <c r="DB360" s="1973">
        <v>1</v>
      </c>
    </row>
    <row r="361" spans="1:106" x14ac:dyDescent="0.25">
      <c r="A361" s="2278" t="str">
        <f t="shared" si="199"/>
        <v>Solid Door Freezer (15-30 cu ft)</v>
      </c>
      <c r="B361" s="1974" t="str">
        <f t="shared" si="199"/>
        <v>BPR28</v>
      </c>
      <c r="C361" s="2027">
        <v>12</v>
      </c>
      <c r="D361" s="2027"/>
      <c r="E361" s="2144">
        <v>595.4</v>
      </c>
      <c r="F361" s="2144"/>
      <c r="G361" s="2145">
        <v>0.06</v>
      </c>
      <c r="H361" s="2145"/>
      <c r="I361" s="2027">
        <v>0</v>
      </c>
      <c r="J361" s="2027"/>
      <c r="K361" s="1974" t="s">
        <v>2988</v>
      </c>
      <c r="L361" s="1974" t="s">
        <v>2988</v>
      </c>
      <c r="M361" s="2026">
        <v>0.9</v>
      </c>
      <c r="N361" s="2026">
        <v>0.9</v>
      </c>
      <c r="O361" s="2026">
        <v>0.9</v>
      </c>
      <c r="P361" s="2026">
        <v>0.9</v>
      </c>
      <c r="Q361" s="2027">
        <f t="shared" si="184"/>
        <v>535.86</v>
      </c>
      <c r="R361" s="2027">
        <f t="shared" si="184"/>
        <v>535.86</v>
      </c>
      <c r="S361" s="2027">
        <f t="shared" si="184"/>
        <v>535.86</v>
      </c>
      <c r="T361" s="2027">
        <f t="shared" si="184"/>
        <v>535.86</v>
      </c>
      <c r="U361" s="2026">
        <v>0.9</v>
      </c>
      <c r="V361" s="2026">
        <v>0.9</v>
      </c>
      <c r="W361" s="2026">
        <v>0.9</v>
      </c>
      <c r="X361" s="2026">
        <v>0.9</v>
      </c>
      <c r="Y361" s="2028">
        <f t="shared" si="185"/>
        <v>5.3999999999999999E-2</v>
      </c>
      <c r="Z361" s="2028">
        <f t="shared" si="185"/>
        <v>5.3999999999999999E-2</v>
      </c>
      <c r="AA361" s="2028">
        <f t="shared" si="185"/>
        <v>5.3999999999999999E-2</v>
      </c>
      <c r="AB361" s="2028">
        <f t="shared" si="185"/>
        <v>5.3999999999999999E-2</v>
      </c>
      <c r="AC361" s="2026">
        <v>0.9</v>
      </c>
      <c r="AD361" s="2026">
        <v>0.9</v>
      </c>
      <c r="AE361" s="2026">
        <v>0.9</v>
      </c>
      <c r="AF361" s="2026">
        <v>0.9</v>
      </c>
      <c r="AG361" s="2027">
        <f t="shared" si="186"/>
        <v>0</v>
      </c>
      <c r="AH361" s="2027">
        <f t="shared" si="186"/>
        <v>0</v>
      </c>
      <c r="AI361" s="2027">
        <f t="shared" si="186"/>
        <v>0</v>
      </c>
      <c r="AJ361" s="2027">
        <f t="shared" si="186"/>
        <v>0</v>
      </c>
      <c r="AK361" s="2027">
        <v>0</v>
      </c>
      <c r="AL361" s="2028"/>
      <c r="AM361" s="2028">
        <v>1</v>
      </c>
      <c r="AN361" s="2028"/>
      <c r="AO361" s="2027">
        <f t="shared" si="171"/>
        <v>0</v>
      </c>
      <c r="AP361" s="2027">
        <f t="shared" si="195"/>
        <v>0</v>
      </c>
      <c r="AQ361" s="2027">
        <f t="shared" si="195"/>
        <v>535.86</v>
      </c>
      <c r="AR361" s="2027" t="s">
        <v>3286</v>
      </c>
      <c r="AS361" s="2027">
        <f t="shared" si="173"/>
        <v>0</v>
      </c>
      <c r="AT361" s="2027">
        <f t="shared" si="174"/>
        <v>0</v>
      </c>
      <c r="AU361" s="2027">
        <f t="shared" si="196"/>
        <v>0</v>
      </c>
      <c r="AV361" s="2027">
        <f t="shared" si="196"/>
        <v>0</v>
      </c>
      <c r="AW361" s="2027">
        <f t="shared" si="196"/>
        <v>0</v>
      </c>
      <c r="AX361" s="2124">
        <v>50</v>
      </c>
      <c r="AY361" s="2029">
        <v>50</v>
      </c>
      <c r="AZ361" s="2029">
        <v>50</v>
      </c>
      <c r="BA361" s="2029">
        <v>50</v>
      </c>
      <c r="BB361" s="2124">
        <v>0</v>
      </c>
      <c r="BC361" s="2029">
        <v>0</v>
      </c>
      <c r="BD361" s="2029">
        <v>0</v>
      </c>
      <c r="BE361" s="2029">
        <v>0</v>
      </c>
      <c r="BF361" s="2124">
        <v>166</v>
      </c>
      <c r="BG361" s="2029">
        <v>166</v>
      </c>
      <c r="BH361" s="2029">
        <v>166</v>
      </c>
      <c r="BI361" s="2029">
        <v>166</v>
      </c>
      <c r="BJ361" s="2030">
        <f t="shared" si="197"/>
        <v>0</v>
      </c>
      <c r="BK361" s="2030">
        <f t="shared" si="197"/>
        <v>0</v>
      </c>
      <c r="BL361" s="2030">
        <f t="shared" si="197"/>
        <v>50</v>
      </c>
      <c r="BM361" s="2030" t="s">
        <v>3286</v>
      </c>
      <c r="BN361" s="2030">
        <f t="shared" si="177"/>
        <v>0</v>
      </c>
      <c r="BO361" s="2030">
        <f t="shared" si="178"/>
        <v>0</v>
      </c>
      <c r="BP361" s="2030" t="s">
        <v>3286</v>
      </c>
      <c r="BQ361" s="2030">
        <f t="shared" si="198"/>
        <v>0</v>
      </c>
      <c r="BR361" s="2030">
        <f t="shared" si="198"/>
        <v>0</v>
      </c>
      <c r="BS361" s="2030">
        <f t="shared" si="198"/>
        <v>0</v>
      </c>
      <c r="BT361" s="2125"/>
      <c r="BU361" s="2125"/>
      <c r="BV361" s="2125"/>
      <c r="BW361" s="2125"/>
      <c r="BX361" s="2125"/>
      <c r="BY361" s="2125"/>
      <c r="BZ361" s="2125"/>
      <c r="CA361" s="2125"/>
      <c r="CB361" s="2029"/>
      <c r="CC361" s="2029"/>
      <c r="CD361" s="2029"/>
      <c r="CE361" s="2029"/>
      <c r="CF361" s="2029"/>
      <c r="CG361" s="2032"/>
      <c r="CH361" s="1974">
        <v>0</v>
      </c>
      <c r="CI361" s="1974">
        <v>0</v>
      </c>
      <c r="CJ361" s="1974">
        <v>0</v>
      </c>
      <c r="CK361" s="1974">
        <v>0</v>
      </c>
      <c r="CL361" s="1974">
        <v>0</v>
      </c>
      <c r="CM361" s="2033">
        <v>0</v>
      </c>
      <c r="CN361" s="2026">
        <v>0</v>
      </c>
      <c r="CO361" s="1974">
        <v>0</v>
      </c>
      <c r="CP361" s="2031">
        <v>0</v>
      </c>
      <c r="CQ361" s="2031">
        <f t="shared" si="183"/>
        <v>0</v>
      </c>
      <c r="CR361" s="2026">
        <v>1</v>
      </c>
      <c r="CS361" s="2026">
        <v>1</v>
      </c>
      <c r="CT361" s="2026">
        <v>1</v>
      </c>
      <c r="CU361" s="2026">
        <v>1</v>
      </c>
      <c r="CV361" s="2036"/>
      <c r="CW361" s="2036"/>
      <c r="CX361" s="2036"/>
      <c r="CY361" s="2036"/>
      <c r="CZ361" s="2036"/>
      <c r="DA361" s="2036"/>
      <c r="DB361" s="1973">
        <v>1</v>
      </c>
    </row>
    <row r="362" spans="1:106" x14ac:dyDescent="0.25">
      <c r="A362" s="2278" t="str">
        <f t="shared" si="199"/>
        <v>Solid Door Freezer (31-50 cu ft)</v>
      </c>
      <c r="B362" s="1974" t="str">
        <f t="shared" si="199"/>
        <v>BPR29</v>
      </c>
      <c r="C362" s="2027">
        <v>12</v>
      </c>
      <c r="D362" s="2027"/>
      <c r="E362" s="2144">
        <v>958.4</v>
      </c>
      <c r="F362" s="2144"/>
      <c r="G362" s="2145">
        <v>0.1</v>
      </c>
      <c r="H362" s="2145"/>
      <c r="I362" s="2027">
        <v>0</v>
      </c>
      <c r="J362" s="2027"/>
      <c r="K362" s="1974" t="s">
        <v>2988</v>
      </c>
      <c r="L362" s="1974" t="s">
        <v>2988</v>
      </c>
      <c r="M362" s="2026">
        <v>0.9</v>
      </c>
      <c r="N362" s="2026">
        <v>0.9</v>
      </c>
      <c r="O362" s="2026">
        <v>0.9</v>
      </c>
      <c r="P362" s="2026">
        <v>0.9</v>
      </c>
      <c r="Q362" s="2027">
        <f t="shared" si="184"/>
        <v>862.56</v>
      </c>
      <c r="R362" s="2027">
        <f t="shared" si="184"/>
        <v>862.56</v>
      </c>
      <c r="S362" s="2027">
        <f t="shared" si="184"/>
        <v>862.56</v>
      </c>
      <c r="T362" s="2027">
        <f t="shared" si="184"/>
        <v>862.56</v>
      </c>
      <c r="U362" s="2026">
        <v>0.9</v>
      </c>
      <c r="V362" s="2026">
        <v>0.9</v>
      </c>
      <c r="W362" s="2026">
        <v>0.9</v>
      </c>
      <c r="X362" s="2026">
        <v>0.9</v>
      </c>
      <c r="Y362" s="2028">
        <f t="shared" si="185"/>
        <v>9.0000000000000011E-2</v>
      </c>
      <c r="Z362" s="2028">
        <f t="shared" si="185"/>
        <v>9.0000000000000011E-2</v>
      </c>
      <c r="AA362" s="2028">
        <f t="shared" si="185"/>
        <v>9.0000000000000011E-2</v>
      </c>
      <c r="AB362" s="2028">
        <f t="shared" si="185"/>
        <v>9.0000000000000011E-2</v>
      </c>
      <c r="AC362" s="2026">
        <v>0.9</v>
      </c>
      <c r="AD362" s="2026">
        <v>0.9</v>
      </c>
      <c r="AE362" s="2026">
        <v>0.9</v>
      </c>
      <c r="AF362" s="2026">
        <v>0.9</v>
      </c>
      <c r="AG362" s="2027">
        <f t="shared" si="186"/>
        <v>0</v>
      </c>
      <c r="AH362" s="2027">
        <f t="shared" si="186"/>
        <v>0</v>
      </c>
      <c r="AI362" s="2027">
        <f t="shared" si="186"/>
        <v>0</v>
      </c>
      <c r="AJ362" s="2027">
        <f t="shared" si="186"/>
        <v>0</v>
      </c>
      <c r="AK362" s="2027">
        <v>0</v>
      </c>
      <c r="AL362" s="2028">
        <v>1</v>
      </c>
      <c r="AM362" s="2028"/>
      <c r="AN362" s="2028">
        <v>1</v>
      </c>
      <c r="AO362" s="2027">
        <f t="shared" si="171"/>
        <v>0</v>
      </c>
      <c r="AP362" s="2027">
        <f t="shared" si="195"/>
        <v>862.56</v>
      </c>
      <c r="AQ362" s="2027">
        <f t="shared" si="195"/>
        <v>0</v>
      </c>
      <c r="AR362" s="2027" t="s">
        <v>3286</v>
      </c>
      <c r="AS362" s="2027">
        <f t="shared" si="173"/>
        <v>862.56</v>
      </c>
      <c r="AT362" s="2027">
        <f t="shared" si="174"/>
        <v>0</v>
      </c>
      <c r="AU362" s="2027">
        <f t="shared" si="196"/>
        <v>0</v>
      </c>
      <c r="AV362" s="2027">
        <f t="shared" si="196"/>
        <v>0</v>
      </c>
      <c r="AW362" s="2027">
        <f t="shared" si="196"/>
        <v>0</v>
      </c>
      <c r="AX362" s="2124">
        <v>100</v>
      </c>
      <c r="AY362" s="2029">
        <v>100</v>
      </c>
      <c r="AZ362" s="2029">
        <v>100</v>
      </c>
      <c r="BA362" s="2029">
        <v>100</v>
      </c>
      <c r="BB362" s="2124">
        <v>0</v>
      </c>
      <c r="BC362" s="2029">
        <v>0</v>
      </c>
      <c r="BD362" s="2029">
        <v>0</v>
      </c>
      <c r="BE362" s="2029">
        <v>0</v>
      </c>
      <c r="BF362" s="2124">
        <v>166</v>
      </c>
      <c r="BG362" s="2029">
        <v>166</v>
      </c>
      <c r="BH362" s="2029">
        <v>166</v>
      </c>
      <c r="BI362" s="2029">
        <v>166</v>
      </c>
      <c r="BJ362" s="2030">
        <f t="shared" si="197"/>
        <v>0</v>
      </c>
      <c r="BK362" s="2030">
        <f t="shared" si="197"/>
        <v>100</v>
      </c>
      <c r="BL362" s="2030">
        <f t="shared" si="197"/>
        <v>0</v>
      </c>
      <c r="BM362" s="2030" t="s">
        <v>3286</v>
      </c>
      <c r="BN362" s="2030">
        <f t="shared" si="177"/>
        <v>100</v>
      </c>
      <c r="BO362" s="2030">
        <f t="shared" si="178"/>
        <v>0</v>
      </c>
      <c r="BP362" s="2030" t="s">
        <v>3286</v>
      </c>
      <c r="BQ362" s="2030">
        <f t="shared" si="198"/>
        <v>0</v>
      </c>
      <c r="BR362" s="2030">
        <f t="shared" si="198"/>
        <v>0</v>
      </c>
      <c r="BS362" s="2030">
        <f t="shared" si="198"/>
        <v>0</v>
      </c>
      <c r="BT362" s="2125"/>
      <c r="BU362" s="2125"/>
      <c r="BV362" s="2125"/>
      <c r="BW362" s="2125"/>
      <c r="BX362" s="2125"/>
      <c r="BY362" s="2125"/>
      <c r="BZ362" s="2125"/>
      <c r="CA362" s="2125"/>
      <c r="CB362" s="2029"/>
      <c r="CC362" s="2029"/>
      <c r="CD362" s="2029"/>
      <c r="CE362" s="2029"/>
      <c r="CF362" s="2029"/>
      <c r="CG362" s="2032"/>
      <c r="CH362" s="1974">
        <v>0</v>
      </c>
      <c r="CI362" s="1974">
        <v>0</v>
      </c>
      <c r="CJ362" s="1974">
        <v>0</v>
      </c>
      <c r="CK362" s="1974">
        <v>0</v>
      </c>
      <c r="CL362" s="1974">
        <v>0</v>
      </c>
      <c r="CM362" s="2033">
        <v>0</v>
      </c>
      <c r="CN362" s="2026">
        <v>0</v>
      </c>
      <c r="CO362" s="1974">
        <v>0</v>
      </c>
      <c r="CP362" s="2031">
        <v>0</v>
      </c>
      <c r="CQ362" s="2031">
        <f t="shared" si="183"/>
        <v>0</v>
      </c>
      <c r="CR362" s="2026">
        <v>1</v>
      </c>
      <c r="CS362" s="2026">
        <v>1</v>
      </c>
      <c r="CT362" s="2026">
        <v>1</v>
      </c>
      <c r="CU362" s="2026">
        <v>1</v>
      </c>
      <c r="CV362" s="2036"/>
      <c r="CW362" s="2036"/>
      <c r="CX362" s="2036"/>
      <c r="CY362" s="2036"/>
      <c r="CZ362" s="2036"/>
      <c r="DA362" s="2036"/>
      <c r="DB362" s="1973">
        <v>1</v>
      </c>
    </row>
    <row r="363" spans="1:106" x14ac:dyDescent="0.25">
      <c r="A363" s="2278" t="str">
        <f t="shared" si="199"/>
        <v>Solid Door Freezer (51 cu ft or more)</v>
      </c>
      <c r="B363" s="1974" t="str">
        <f t="shared" si="199"/>
        <v>BPR30</v>
      </c>
      <c r="C363" s="2027">
        <v>12</v>
      </c>
      <c r="D363" s="2027"/>
      <c r="E363" s="2144">
        <v>2765.5</v>
      </c>
      <c r="F363" s="2144"/>
      <c r="G363" s="2145">
        <v>0.3</v>
      </c>
      <c r="H363" s="2145"/>
      <c r="I363" s="2027">
        <v>0</v>
      </c>
      <c r="J363" s="2027"/>
      <c r="K363" s="1974" t="s">
        <v>2988</v>
      </c>
      <c r="L363" s="1974" t="s">
        <v>2988</v>
      </c>
      <c r="M363" s="2026">
        <v>0.9</v>
      </c>
      <c r="N363" s="2026">
        <v>0.9</v>
      </c>
      <c r="O363" s="2026">
        <v>0.9</v>
      </c>
      <c r="P363" s="2026">
        <v>0.9</v>
      </c>
      <c r="Q363" s="2027">
        <f t="shared" si="184"/>
        <v>2488.9500000000003</v>
      </c>
      <c r="R363" s="2027">
        <f t="shared" si="184"/>
        <v>2488.9500000000003</v>
      </c>
      <c r="S363" s="2027">
        <f t="shared" si="184"/>
        <v>2488.9500000000003</v>
      </c>
      <c r="T363" s="2027">
        <f t="shared" si="184"/>
        <v>2488.9500000000003</v>
      </c>
      <c r="U363" s="2026">
        <v>0.9</v>
      </c>
      <c r="V363" s="2026">
        <v>0.9</v>
      </c>
      <c r="W363" s="2026">
        <v>0.9</v>
      </c>
      <c r="X363" s="2026">
        <v>0.9</v>
      </c>
      <c r="Y363" s="2028">
        <f t="shared" si="185"/>
        <v>0.27</v>
      </c>
      <c r="Z363" s="2028">
        <f t="shared" si="185"/>
        <v>0.27</v>
      </c>
      <c r="AA363" s="2028">
        <f t="shared" si="185"/>
        <v>0.27</v>
      </c>
      <c r="AB363" s="2028">
        <f t="shared" si="185"/>
        <v>0.27</v>
      </c>
      <c r="AC363" s="2026">
        <v>0.9</v>
      </c>
      <c r="AD363" s="2026">
        <v>0.9</v>
      </c>
      <c r="AE363" s="2026">
        <v>0.9</v>
      </c>
      <c r="AF363" s="2026">
        <v>0.9</v>
      </c>
      <c r="AG363" s="2027">
        <f t="shared" si="186"/>
        <v>0</v>
      </c>
      <c r="AH363" s="2027">
        <f t="shared" si="186"/>
        <v>0</v>
      </c>
      <c r="AI363" s="2027">
        <f t="shared" si="186"/>
        <v>0</v>
      </c>
      <c r="AJ363" s="2027">
        <f t="shared" si="186"/>
        <v>0</v>
      </c>
      <c r="AK363" s="2027">
        <v>1</v>
      </c>
      <c r="AL363" s="2028"/>
      <c r="AM363" s="2028">
        <v>1</v>
      </c>
      <c r="AN363" s="2028"/>
      <c r="AO363" s="2027">
        <f t="shared" si="171"/>
        <v>2488.9500000000003</v>
      </c>
      <c r="AP363" s="2027">
        <f t="shared" si="195"/>
        <v>0</v>
      </c>
      <c r="AQ363" s="2027">
        <f t="shared" si="195"/>
        <v>2488.9500000000003</v>
      </c>
      <c r="AR363" s="2027" t="s">
        <v>3286</v>
      </c>
      <c r="AS363" s="2027">
        <f t="shared" si="173"/>
        <v>0</v>
      </c>
      <c r="AT363" s="2027">
        <f t="shared" si="174"/>
        <v>0</v>
      </c>
      <c r="AU363" s="2027">
        <f t="shared" si="196"/>
        <v>0</v>
      </c>
      <c r="AV363" s="2027">
        <f t="shared" si="196"/>
        <v>0</v>
      </c>
      <c r="AW363" s="2027">
        <f t="shared" si="196"/>
        <v>0</v>
      </c>
      <c r="AX363" s="2124">
        <v>200</v>
      </c>
      <c r="AY363" s="2029">
        <v>200</v>
      </c>
      <c r="AZ363" s="2029">
        <v>200</v>
      </c>
      <c r="BA363" s="2029">
        <v>200</v>
      </c>
      <c r="BB363" s="2124">
        <v>0</v>
      </c>
      <c r="BC363" s="2029">
        <v>0</v>
      </c>
      <c r="BD363" s="2029">
        <v>0</v>
      </c>
      <c r="BE363" s="2029">
        <v>0</v>
      </c>
      <c r="BF363" s="2124">
        <v>407</v>
      </c>
      <c r="BG363" s="2029">
        <v>407</v>
      </c>
      <c r="BH363" s="2029">
        <v>407</v>
      </c>
      <c r="BI363" s="2029">
        <v>407</v>
      </c>
      <c r="BJ363" s="2030">
        <f t="shared" si="197"/>
        <v>200</v>
      </c>
      <c r="BK363" s="2030">
        <f t="shared" si="197"/>
        <v>0</v>
      </c>
      <c r="BL363" s="2030">
        <f t="shared" si="197"/>
        <v>200</v>
      </c>
      <c r="BM363" s="2030" t="s">
        <v>3286</v>
      </c>
      <c r="BN363" s="2030">
        <f t="shared" si="177"/>
        <v>0</v>
      </c>
      <c r="BO363" s="2030">
        <f t="shared" si="178"/>
        <v>0</v>
      </c>
      <c r="BP363" s="2030" t="s">
        <v>3286</v>
      </c>
      <c r="BQ363" s="2030">
        <f t="shared" si="198"/>
        <v>0</v>
      </c>
      <c r="BR363" s="2030">
        <f t="shared" si="198"/>
        <v>0</v>
      </c>
      <c r="BS363" s="2030">
        <f t="shared" si="198"/>
        <v>0</v>
      </c>
      <c r="BT363" s="2125"/>
      <c r="BU363" s="2125"/>
      <c r="BV363" s="2125"/>
      <c r="BW363" s="2125"/>
      <c r="BX363" s="2125"/>
      <c r="BY363" s="2125"/>
      <c r="BZ363" s="2125"/>
      <c r="CA363" s="2125"/>
      <c r="CB363" s="2029"/>
      <c r="CC363" s="2029"/>
      <c r="CD363" s="2029"/>
      <c r="CE363" s="2029"/>
      <c r="CF363" s="2029"/>
      <c r="CG363" s="2032"/>
      <c r="CH363" s="1974">
        <v>0</v>
      </c>
      <c r="CI363" s="1974">
        <v>0</v>
      </c>
      <c r="CJ363" s="1974">
        <v>0</v>
      </c>
      <c r="CK363" s="1974">
        <v>0</v>
      </c>
      <c r="CL363" s="1974">
        <v>0</v>
      </c>
      <c r="CM363" s="2033">
        <v>8.3367820565043519E-6</v>
      </c>
      <c r="CN363" s="2026">
        <v>0</v>
      </c>
      <c r="CO363" s="1974">
        <v>0</v>
      </c>
      <c r="CP363" s="2031">
        <v>0</v>
      </c>
      <c r="CQ363" s="2031">
        <f t="shared" si="183"/>
        <v>0</v>
      </c>
      <c r="CR363" s="2026">
        <v>1</v>
      </c>
      <c r="CS363" s="2026">
        <v>1</v>
      </c>
      <c r="CT363" s="2026">
        <v>1</v>
      </c>
      <c r="CU363" s="2026">
        <v>1</v>
      </c>
      <c r="CV363" s="2036"/>
      <c r="CW363" s="2036"/>
      <c r="CX363" s="2036"/>
      <c r="CY363" s="2036"/>
      <c r="CZ363" s="2036"/>
      <c r="DA363" s="2036"/>
      <c r="DB363" s="1973">
        <v>1</v>
      </c>
    </row>
    <row r="364" spans="1:106" x14ac:dyDescent="0.25">
      <c r="A364" s="2278" t="str">
        <f>IF(A75="","",A75)</f>
        <v>Variable Frequency Drive on HVAC Motors – Cooling Tower Fans or HVAC Pumps</v>
      </c>
      <c r="B364" s="1974" t="str">
        <f>IF(B75="","",B75)</f>
        <v>BPC20</v>
      </c>
      <c r="C364" s="2027">
        <v>15</v>
      </c>
      <c r="D364" s="2027"/>
      <c r="E364" s="2144">
        <v>740.87800000000004</v>
      </c>
      <c r="F364" s="2144"/>
      <c r="G364" s="2145">
        <v>0.18777586019093728</v>
      </c>
      <c r="H364" s="2145"/>
      <c r="I364" s="2027">
        <v>0</v>
      </c>
      <c r="J364" s="2027"/>
      <c r="K364" s="1974" t="s">
        <v>2988</v>
      </c>
      <c r="L364" s="1974" t="s">
        <v>2988</v>
      </c>
      <c r="M364" s="2026">
        <v>0.9</v>
      </c>
      <c r="N364" s="2026">
        <v>0.9</v>
      </c>
      <c r="O364" s="2026">
        <v>0.9</v>
      </c>
      <c r="P364" s="2026">
        <v>0.9</v>
      </c>
      <c r="Q364" s="2027">
        <f t="shared" ref="Q364:T396" si="200">$E364*M364</f>
        <v>666.79020000000003</v>
      </c>
      <c r="R364" s="2027">
        <f t="shared" si="200"/>
        <v>666.79020000000003</v>
      </c>
      <c r="S364" s="2027">
        <f t="shared" si="200"/>
        <v>666.79020000000003</v>
      </c>
      <c r="T364" s="2027">
        <f t="shared" si="200"/>
        <v>666.79020000000003</v>
      </c>
      <c r="U364" s="2026">
        <v>0.9</v>
      </c>
      <c r="V364" s="2026">
        <v>0.9</v>
      </c>
      <c r="W364" s="2026">
        <v>0.9</v>
      </c>
      <c r="X364" s="2026">
        <v>0.9</v>
      </c>
      <c r="Y364" s="2028">
        <f t="shared" ref="Y364:AB396" si="201">$G364*U364</f>
        <v>0.16899827417184357</v>
      </c>
      <c r="Z364" s="2028">
        <f t="shared" si="201"/>
        <v>0.16899827417184357</v>
      </c>
      <c r="AA364" s="2028">
        <f t="shared" si="201"/>
        <v>0.16899827417184357</v>
      </c>
      <c r="AB364" s="2028">
        <f t="shared" si="201"/>
        <v>0.16899827417184357</v>
      </c>
      <c r="AC364" s="2026">
        <v>0.9</v>
      </c>
      <c r="AD364" s="2026">
        <v>0.9</v>
      </c>
      <c r="AE364" s="2026">
        <v>0.9</v>
      </c>
      <c r="AF364" s="2026">
        <v>0.9</v>
      </c>
      <c r="AG364" s="2027">
        <f t="shared" ref="AG364:AJ396" si="202">$I364*AC364</f>
        <v>0</v>
      </c>
      <c r="AH364" s="2027">
        <f t="shared" si="202"/>
        <v>0</v>
      </c>
      <c r="AI364" s="2027">
        <f t="shared" si="202"/>
        <v>0</v>
      </c>
      <c r="AJ364" s="2027">
        <f t="shared" si="202"/>
        <v>0</v>
      </c>
      <c r="AK364" s="2027">
        <v>63</v>
      </c>
      <c r="AL364" s="2027">
        <v>63</v>
      </c>
      <c r="AM364" s="2027">
        <v>64</v>
      </c>
      <c r="AN364" s="2027">
        <v>64</v>
      </c>
      <c r="AO364" s="2027">
        <f t="shared" si="171"/>
        <v>42007.782599999999</v>
      </c>
      <c r="AP364" s="2027">
        <f t="shared" si="195"/>
        <v>42007.782599999999</v>
      </c>
      <c r="AQ364" s="2027">
        <f t="shared" si="195"/>
        <v>42674.572800000002</v>
      </c>
      <c r="AR364" s="2027" t="s">
        <v>3286</v>
      </c>
      <c r="AS364" s="2027">
        <f t="shared" si="173"/>
        <v>42674.572800000002</v>
      </c>
      <c r="AT364" s="2027">
        <f t="shared" si="174"/>
        <v>0</v>
      </c>
      <c r="AU364" s="2027">
        <f t="shared" si="196"/>
        <v>0</v>
      </c>
      <c r="AV364" s="2027">
        <f t="shared" si="196"/>
        <v>0</v>
      </c>
      <c r="AW364" s="2027">
        <f t="shared" si="196"/>
        <v>0</v>
      </c>
      <c r="AX364" s="2124">
        <v>100</v>
      </c>
      <c r="AY364" s="2029">
        <v>100</v>
      </c>
      <c r="AZ364" s="2029">
        <v>100</v>
      </c>
      <c r="BA364" s="2029">
        <v>100</v>
      </c>
      <c r="BB364" s="2124">
        <v>0</v>
      </c>
      <c r="BC364" s="2029">
        <v>0</v>
      </c>
      <c r="BD364" s="2029">
        <v>0</v>
      </c>
      <c r="BE364" s="2029">
        <v>0</v>
      </c>
      <c r="BF364" s="2124">
        <v>159.31</v>
      </c>
      <c r="BG364" s="2029">
        <v>159.31</v>
      </c>
      <c r="BH364" s="2029">
        <v>159.31</v>
      </c>
      <c r="BI364" s="2029">
        <v>159.31</v>
      </c>
      <c r="BJ364" s="2030">
        <f t="shared" si="197"/>
        <v>6300</v>
      </c>
      <c r="BK364" s="2030">
        <f t="shared" si="197"/>
        <v>6300</v>
      </c>
      <c r="BL364" s="2030">
        <f t="shared" si="197"/>
        <v>6400</v>
      </c>
      <c r="BM364" s="2030" t="s">
        <v>3286</v>
      </c>
      <c r="BN364" s="2030">
        <f t="shared" si="177"/>
        <v>6400</v>
      </c>
      <c r="BO364" s="2030">
        <f t="shared" si="178"/>
        <v>0</v>
      </c>
      <c r="BP364" s="2030" t="s">
        <v>3286</v>
      </c>
      <c r="BQ364" s="2030">
        <f t="shared" si="198"/>
        <v>0</v>
      </c>
      <c r="BR364" s="2030">
        <f t="shared" si="198"/>
        <v>0</v>
      </c>
      <c r="BS364" s="2030">
        <f t="shared" si="198"/>
        <v>0</v>
      </c>
      <c r="BT364" s="2125"/>
      <c r="BU364" s="2125"/>
      <c r="BV364" s="2125"/>
      <c r="BW364" s="2125"/>
      <c r="BX364" s="2125"/>
      <c r="BY364" s="2125"/>
      <c r="BZ364" s="2125"/>
      <c r="CA364" s="2125"/>
      <c r="CB364" s="2029"/>
      <c r="CC364" s="2029"/>
      <c r="CD364" s="2029"/>
      <c r="CE364" s="2029"/>
      <c r="CF364" s="2029"/>
      <c r="CG364" s="2032"/>
      <c r="CH364" s="1974">
        <v>0</v>
      </c>
      <c r="CI364" s="1974">
        <v>0</v>
      </c>
      <c r="CJ364" s="1974">
        <v>0</v>
      </c>
      <c r="CK364" s="1974">
        <v>0</v>
      </c>
      <c r="CL364" s="1974">
        <v>0</v>
      </c>
      <c r="CM364" s="2033">
        <v>1.5633978996641408E-4</v>
      </c>
      <c r="CN364" s="2026">
        <v>0</v>
      </c>
      <c r="CO364" s="1974">
        <v>0</v>
      </c>
      <c r="CP364" s="2031">
        <v>0</v>
      </c>
      <c r="CQ364" s="2031">
        <f t="shared" si="183"/>
        <v>0</v>
      </c>
      <c r="CR364" s="2026">
        <v>1</v>
      </c>
      <c r="CS364" s="2026">
        <v>1</v>
      </c>
      <c r="CT364" s="2026">
        <v>1</v>
      </c>
      <c r="CU364" s="2026">
        <v>1</v>
      </c>
      <c r="CV364" s="2036"/>
      <c r="CW364" s="2036"/>
      <c r="CX364" s="2036"/>
      <c r="CY364" s="2036"/>
      <c r="CZ364" s="2036"/>
      <c r="DA364" s="2036"/>
      <c r="DB364" s="1973">
        <v>1</v>
      </c>
    </row>
    <row r="365" spans="1:106" x14ac:dyDescent="0.25">
      <c r="A365" s="2278" t="str">
        <f t="shared" ref="A365:B373" si="203">IF(A82="","",A82)</f>
        <v>Electric Steamer (3 pan)</v>
      </c>
      <c r="B365" s="1974" t="str">
        <f t="shared" si="203"/>
        <v>BPCK1</v>
      </c>
      <c r="C365" s="2027">
        <v>12</v>
      </c>
      <c r="D365" s="2027"/>
      <c r="E365" s="2144">
        <v>14521.3</v>
      </c>
      <c r="F365" s="2144"/>
      <c r="G365" s="2145">
        <v>2.52</v>
      </c>
      <c r="H365" s="2145"/>
      <c r="I365" s="2027">
        <v>0</v>
      </c>
      <c r="J365" s="2027"/>
      <c r="K365" s="1974" t="s">
        <v>2988</v>
      </c>
      <c r="L365" s="1974" t="s">
        <v>2988</v>
      </c>
      <c r="M365" s="2026">
        <v>0.9</v>
      </c>
      <c r="N365" s="2026">
        <v>0.9</v>
      </c>
      <c r="O365" s="2026">
        <v>0.9</v>
      </c>
      <c r="P365" s="2026">
        <v>0.9</v>
      </c>
      <c r="Q365" s="2027">
        <f t="shared" si="200"/>
        <v>13069.17</v>
      </c>
      <c r="R365" s="2027">
        <f t="shared" si="200"/>
        <v>13069.17</v>
      </c>
      <c r="S365" s="2027">
        <f t="shared" si="200"/>
        <v>13069.17</v>
      </c>
      <c r="T365" s="2027">
        <f t="shared" si="200"/>
        <v>13069.17</v>
      </c>
      <c r="U365" s="2026">
        <v>0.9</v>
      </c>
      <c r="V365" s="2026">
        <v>0.9</v>
      </c>
      <c r="W365" s="2026">
        <v>0.9</v>
      </c>
      <c r="X365" s="2026">
        <v>0.9</v>
      </c>
      <c r="Y365" s="2028">
        <f t="shared" si="201"/>
        <v>2.2680000000000002</v>
      </c>
      <c r="Z365" s="2028">
        <f t="shared" si="201"/>
        <v>2.2680000000000002</v>
      </c>
      <c r="AA365" s="2028">
        <f t="shared" si="201"/>
        <v>2.2680000000000002</v>
      </c>
      <c r="AB365" s="2028">
        <f t="shared" si="201"/>
        <v>2.2680000000000002</v>
      </c>
      <c r="AC365" s="2026">
        <v>0.9</v>
      </c>
      <c r="AD365" s="2026">
        <v>0.9</v>
      </c>
      <c r="AE365" s="2026">
        <v>0.9</v>
      </c>
      <c r="AF365" s="2026">
        <v>0.9</v>
      </c>
      <c r="AG365" s="2027">
        <f t="shared" si="202"/>
        <v>0</v>
      </c>
      <c r="AH365" s="2027">
        <f t="shared" si="202"/>
        <v>0</v>
      </c>
      <c r="AI365" s="2027">
        <f t="shared" si="202"/>
        <v>0</v>
      </c>
      <c r="AJ365" s="2027">
        <f t="shared" si="202"/>
        <v>0</v>
      </c>
      <c r="AK365" s="2027">
        <v>0</v>
      </c>
      <c r="AL365" s="2028"/>
      <c r="AM365" s="2028"/>
      <c r="AN365" s="2028">
        <v>1</v>
      </c>
      <c r="AO365" s="2027">
        <f t="shared" si="171"/>
        <v>0</v>
      </c>
      <c r="AP365" s="2027">
        <f t="shared" si="195"/>
        <v>0</v>
      </c>
      <c r="AQ365" s="2027">
        <f t="shared" si="195"/>
        <v>0</v>
      </c>
      <c r="AR365" s="2027" t="s">
        <v>3286</v>
      </c>
      <c r="AS365" s="2027">
        <f t="shared" si="173"/>
        <v>13069.17</v>
      </c>
      <c r="AT365" s="2027">
        <f t="shared" si="174"/>
        <v>0</v>
      </c>
      <c r="AU365" s="2027">
        <f t="shared" si="196"/>
        <v>0</v>
      </c>
      <c r="AV365" s="2027">
        <f t="shared" si="196"/>
        <v>0</v>
      </c>
      <c r="AW365" s="2027">
        <f t="shared" si="196"/>
        <v>0</v>
      </c>
      <c r="AX365" s="2124">
        <v>350</v>
      </c>
      <c r="AY365" s="2029">
        <v>350</v>
      </c>
      <c r="AZ365" s="2029">
        <v>350</v>
      </c>
      <c r="BA365" s="2029">
        <v>350</v>
      </c>
      <c r="BB365" s="2124">
        <v>0</v>
      </c>
      <c r="BC365" s="2029">
        <v>0</v>
      </c>
      <c r="BD365" s="2029">
        <v>0</v>
      </c>
      <c r="BE365" s="2029">
        <v>0</v>
      </c>
      <c r="BF365" s="2124">
        <v>2490</v>
      </c>
      <c r="BG365" s="2029">
        <v>2490</v>
      </c>
      <c r="BH365" s="2029">
        <v>2490</v>
      </c>
      <c r="BI365" s="2029">
        <v>2490</v>
      </c>
      <c r="BJ365" s="2030">
        <f t="shared" si="197"/>
        <v>0</v>
      </c>
      <c r="BK365" s="2030">
        <f t="shared" si="197"/>
        <v>0</v>
      </c>
      <c r="BL365" s="2030">
        <f t="shared" si="197"/>
        <v>0</v>
      </c>
      <c r="BM365" s="2030" t="s">
        <v>3286</v>
      </c>
      <c r="BN365" s="2030">
        <f t="shared" si="177"/>
        <v>350</v>
      </c>
      <c r="BO365" s="2030">
        <f t="shared" si="178"/>
        <v>0</v>
      </c>
      <c r="BP365" s="2030" t="s">
        <v>3286</v>
      </c>
      <c r="BQ365" s="2030">
        <f t="shared" si="198"/>
        <v>0</v>
      </c>
      <c r="BR365" s="2030">
        <f t="shared" si="198"/>
        <v>0</v>
      </c>
      <c r="BS365" s="2030">
        <f t="shared" si="198"/>
        <v>0</v>
      </c>
      <c r="BT365" s="2125"/>
      <c r="BU365" s="2125"/>
      <c r="BV365" s="2125"/>
      <c r="BW365" s="2125"/>
      <c r="BX365" s="2125"/>
      <c r="BY365" s="2125"/>
      <c r="BZ365" s="2125"/>
      <c r="CA365" s="2125"/>
      <c r="CB365" s="2029"/>
      <c r="CC365" s="2029"/>
      <c r="CD365" s="2029"/>
      <c r="CE365" s="2029"/>
      <c r="CF365" s="2029"/>
      <c r="CG365" s="2032"/>
      <c r="CH365" s="1974">
        <v>76703</v>
      </c>
      <c r="CI365" s="1974">
        <v>0</v>
      </c>
      <c r="CJ365" s="1974">
        <v>0</v>
      </c>
      <c r="CK365" s="1974">
        <v>0</v>
      </c>
      <c r="CL365" s="1974">
        <v>0</v>
      </c>
      <c r="CM365" s="2033">
        <v>0</v>
      </c>
      <c r="CN365" s="2026">
        <v>0</v>
      </c>
      <c r="CO365" s="1974">
        <v>0</v>
      </c>
      <c r="CP365" s="2031">
        <v>0</v>
      </c>
      <c r="CQ365" s="2031">
        <f t="shared" si="183"/>
        <v>0</v>
      </c>
      <c r="CR365" s="2026">
        <v>1</v>
      </c>
      <c r="CS365" s="2026">
        <v>1</v>
      </c>
      <c r="CT365" s="2026">
        <v>1</v>
      </c>
      <c r="CU365" s="2026">
        <v>1</v>
      </c>
      <c r="CV365" s="2036"/>
      <c r="CW365" s="2036"/>
      <c r="CX365" s="2036"/>
      <c r="CY365" s="2036"/>
      <c r="CZ365" s="2036"/>
      <c r="DA365" s="2036"/>
      <c r="DB365" s="1973">
        <v>1</v>
      </c>
    </row>
    <row r="366" spans="1:106" x14ac:dyDescent="0.25">
      <c r="A366" s="2278" t="str">
        <f t="shared" si="203"/>
        <v>Electric Steamer (4 pan)</v>
      </c>
      <c r="B366" s="1974" t="str">
        <f t="shared" si="203"/>
        <v>BPCK2</v>
      </c>
      <c r="C366" s="2027">
        <v>12</v>
      </c>
      <c r="D366" s="2027"/>
      <c r="E366" s="2144">
        <v>16929.41</v>
      </c>
      <c r="F366" s="2144"/>
      <c r="G366" s="2145">
        <v>2.94</v>
      </c>
      <c r="H366" s="2145"/>
      <c r="I366" s="2027">
        <v>0</v>
      </c>
      <c r="J366" s="2027"/>
      <c r="K366" s="1974" t="s">
        <v>2988</v>
      </c>
      <c r="L366" s="1974" t="s">
        <v>2988</v>
      </c>
      <c r="M366" s="2026">
        <v>0.9</v>
      </c>
      <c r="N366" s="2026">
        <v>0.9</v>
      </c>
      <c r="O366" s="2026">
        <v>0.9</v>
      </c>
      <c r="P366" s="2026">
        <v>0.9</v>
      </c>
      <c r="Q366" s="2027">
        <f t="shared" si="200"/>
        <v>15236.469000000001</v>
      </c>
      <c r="R366" s="2027">
        <f t="shared" si="200"/>
        <v>15236.469000000001</v>
      </c>
      <c r="S366" s="2027">
        <f t="shared" si="200"/>
        <v>15236.469000000001</v>
      </c>
      <c r="T366" s="2027">
        <f t="shared" si="200"/>
        <v>15236.469000000001</v>
      </c>
      <c r="U366" s="2026">
        <v>0.9</v>
      </c>
      <c r="V366" s="2026">
        <v>0.9</v>
      </c>
      <c r="W366" s="2026">
        <v>0.9</v>
      </c>
      <c r="X366" s="2026">
        <v>0.9</v>
      </c>
      <c r="Y366" s="2028">
        <f t="shared" si="201"/>
        <v>2.6459999999999999</v>
      </c>
      <c r="Z366" s="2028">
        <f t="shared" si="201"/>
        <v>2.6459999999999999</v>
      </c>
      <c r="AA366" s="2028">
        <f t="shared" si="201"/>
        <v>2.6459999999999999</v>
      </c>
      <c r="AB366" s="2028">
        <f t="shared" si="201"/>
        <v>2.6459999999999999</v>
      </c>
      <c r="AC366" s="2026">
        <v>0.9</v>
      </c>
      <c r="AD366" s="2026">
        <v>0.9</v>
      </c>
      <c r="AE366" s="2026">
        <v>0.9</v>
      </c>
      <c r="AF366" s="2026">
        <v>0.9</v>
      </c>
      <c r="AG366" s="2027">
        <f t="shared" si="202"/>
        <v>0</v>
      </c>
      <c r="AH366" s="2027">
        <f t="shared" si="202"/>
        <v>0</v>
      </c>
      <c r="AI366" s="2027">
        <f t="shared" si="202"/>
        <v>0</v>
      </c>
      <c r="AJ366" s="2027">
        <f t="shared" si="202"/>
        <v>0</v>
      </c>
      <c r="AK366" s="2027">
        <v>0</v>
      </c>
      <c r="AL366" s="2028"/>
      <c r="AM366" s="2028">
        <v>1</v>
      </c>
      <c r="AN366" s="2028"/>
      <c r="AO366" s="2027">
        <f t="shared" si="171"/>
        <v>0</v>
      </c>
      <c r="AP366" s="2027">
        <f t="shared" si="195"/>
        <v>0</v>
      </c>
      <c r="AQ366" s="2027">
        <f t="shared" si="195"/>
        <v>15236.469000000001</v>
      </c>
      <c r="AR366" s="2027" t="s">
        <v>3286</v>
      </c>
      <c r="AS366" s="2027">
        <f t="shared" si="173"/>
        <v>0</v>
      </c>
      <c r="AT366" s="2027">
        <f t="shared" si="174"/>
        <v>0</v>
      </c>
      <c r="AU366" s="2027">
        <f t="shared" si="196"/>
        <v>0</v>
      </c>
      <c r="AV366" s="2027">
        <f t="shared" si="196"/>
        <v>0</v>
      </c>
      <c r="AW366" s="2027">
        <f t="shared" si="196"/>
        <v>0</v>
      </c>
      <c r="AX366" s="2124">
        <v>400</v>
      </c>
      <c r="AY366" s="2029">
        <v>400</v>
      </c>
      <c r="AZ366" s="2029">
        <v>400</v>
      </c>
      <c r="BA366" s="2029">
        <v>400</v>
      </c>
      <c r="BB366" s="2124">
        <v>0</v>
      </c>
      <c r="BC366" s="2029">
        <v>0</v>
      </c>
      <c r="BD366" s="2029">
        <v>0</v>
      </c>
      <c r="BE366" s="2029">
        <v>0</v>
      </c>
      <c r="BF366" s="2124">
        <v>2490</v>
      </c>
      <c r="BG366" s="2029">
        <v>2490</v>
      </c>
      <c r="BH366" s="2029">
        <v>2490</v>
      </c>
      <c r="BI366" s="2029">
        <v>2490</v>
      </c>
      <c r="BJ366" s="2030">
        <f t="shared" si="197"/>
        <v>0</v>
      </c>
      <c r="BK366" s="2030">
        <f t="shared" si="197"/>
        <v>0</v>
      </c>
      <c r="BL366" s="2030">
        <f t="shared" si="197"/>
        <v>400</v>
      </c>
      <c r="BM366" s="2030" t="s">
        <v>3286</v>
      </c>
      <c r="BN366" s="2030">
        <f t="shared" si="177"/>
        <v>0</v>
      </c>
      <c r="BO366" s="2030">
        <f t="shared" si="178"/>
        <v>0</v>
      </c>
      <c r="BP366" s="2030" t="s">
        <v>3286</v>
      </c>
      <c r="BQ366" s="2030">
        <f t="shared" si="198"/>
        <v>0</v>
      </c>
      <c r="BR366" s="2030">
        <f t="shared" si="198"/>
        <v>0</v>
      </c>
      <c r="BS366" s="2030">
        <f t="shared" si="198"/>
        <v>0</v>
      </c>
      <c r="BT366" s="2125"/>
      <c r="BU366" s="2125"/>
      <c r="BV366" s="2125"/>
      <c r="BW366" s="2125"/>
      <c r="BX366" s="2125"/>
      <c r="BY366" s="2125"/>
      <c r="BZ366" s="2125"/>
      <c r="CA366" s="2125"/>
      <c r="CB366" s="2029"/>
      <c r="CC366" s="2029"/>
      <c r="CD366" s="2029"/>
      <c r="CE366" s="2029"/>
      <c r="CF366" s="2029"/>
      <c r="CG366" s="2032"/>
      <c r="CH366" s="1974">
        <v>76703</v>
      </c>
      <c r="CI366" s="1974">
        <v>0</v>
      </c>
      <c r="CJ366" s="1974">
        <v>0</v>
      </c>
      <c r="CK366" s="1974">
        <v>0</v>
      </c>
      <c r="CL366" s="1974">
        <v>0</v>
      </c>
      <c r="CM366" s="2033">
        <v>0</v>
      </c>
      <c r="CN366" s="2026">
        <v>0</v>
      </c>
      <c r="CO366" s="1974">
        <v>0</v>
      </c>
      <c r="CP366" s="2031">
        <v>0</v>
      </c>
      <c r="CQ366" s="2031">
        <f t="shared" si="183"/>
        <v>0</v>
      </c>
      <c r="CR366" s="2026">
        <v>1</v>
      </c>
      <c r="CS366" s="2026">
        <v>1</v>
      </c>
      <c r="CT366" s="2026">
        <v>1</v>
      </c>
      <c r="CU366" s="2026">
        <v>1</v>
      </c>
      <c r="CV366" s="2036"/>
      <c r="CW366" s="2036"/>
      <c r="CX366" s="2036"/>
      <c r="CY366" s="2036"/>
      <c r="CZ366" s="2036"/>
      <c r="DA366" s="2036"/>
      <c r="DB366" s="1973">
        <v>1</v>
      </c>
    </row>
    <row r="367" spans="1:106" x14ac:dyDescent="0.25">
      <c r="A367" s="2278" t="str">
        <f t="shared" si="203"/>
        <v>Electric Steamer (5 pan)</v>
      </c>
      <c r="B367" s="1974" t="str">
        <f t="shared" si="203"/>
        <v>BPCK3</v>
      </c>
      <c r="C367" s="2027">
        <v>12</v>
      </c>
      <c r="D367" s="2027"/>
      <c r="E367" s="2144">
        <v>25206.89</v>
      </c>
      <c r="F367" s="2144"/>
      <c r="G367" s="2145">
        <v>4.38</v>
      </c>
      <c r="H367" s="2145"/>
      <c r="I367" s="2027">
        <v>0</v>
      </c>
      <c r="J367" s="2027"/>
      <c r="K367" s="1974" t="s">
        <v>2988</v>
      </c>
      <c r="L367" s="1974" t="s">
        <v>2988</v>
      </c>
      <c r="M367" s="2026">
        <v>0.9</v>
      </c>
      <c r="N367" s="2026">
        <v>0.9</v>
      </c>
      <c r="O367" s="2026">
        <v>0.9</v>
      </c>
      <c r="P367" s="2026">
        <v>0.9</v>
      </c>
      <c r="Q367" s="2027">
        <f t="shared" si="200"/>
        <v>22686.201000000001</v>
      </c>
      <c r="R367" s="2027">
        <f t="shared" si="200"/>
        <v>22686.201000000001</v>
      </c>
      <c r="S367" s="2027">
        <f t="shared" si="200"/>
        <v>22686.201000000001</v>
      </c>
      <c r="T367" s="2027">
        <f t="shared" si="200"/>
        <v>22686.201000000001</v>
      </c>
      <c r="U367" s="2026">
        <v>0.9</v>
      </c>
      <c r="V367" s="2026">
        <v>0.9</v>
      </c>
      <c r="W367" s="2026">
        <v>0.9</v>
      </c>
      <c r="X367" s="2026">
        <v>0.9</v>
      </c>
      <c r="Y367" s="2028">
        <f t="shared" si="201"/>
        <v>3.9420000000000002</v>
      </c>
      <c r="Z367" s="2028">
        <f t="shared" si="201"/>
        <v>3.9420000000000002</v>
      </c>
      <c r="AA367" s="2028">
        <f t="shared" si="201"/>
        <v>3.9420000000000002</v>
      </c>
      <c r="AB367" s="2028">
        <f t="shared" si="201"/>
        <v>3.9420000000000002</v>
      </c>
      <c r="AC367" s="2026">
        <v>0.9</v>
      </c>
      <c r="AD367" s="2026">
        <v>0.9</v>
      </c>
      <c r="AE367" s="2026">
        <v>0.9</v>
      </c>
      <c r="AF367" s="2026">
        <v>0.9</v>
      </c>
      <c r="AG367" s="2027">
        <f t="shared" si="202"/>
        <v>0</v>
      </c>
      <c r="AH367" s="2027">
        <f t="shared" si="202"/>
        <v>0</v>
      </c>
      <c r="AI367" s="2027">
        <f t="shared" si="202"/>
        <v>0</v>
      </c>
      <c r="AJ367" s="2027">
        <f t="shared" si="202"/>
        <v>0</v>
      </c>
      <c r="AK367" s="2027">
        <v>0</v>
      </c>
      <c r="AL367" s="2028">
        <v>1</v>
      </c>
      <c r="AM367" s="2028"/>
      <c r="AN367" s="2028"/>
      <c r="AO367" s="2027">
        <f t="shared" si="171"/>
        <v>0</v>
      </c>
      <c r="AP367" s="2027">
        <f t="shared" si="195"/>
        <v>22686.201000000001</v>
      </c>
      <c r="AQ367" s="2027">
        <f t="shared" si="195"/>
        <v>0</v>
      </c>
      <c r="AR367" s="2027" t="s">
        <v>3286</v>
      </c>
      <c r="AS367" s="2027">
        <f t="shared" si="173"/>
        <v>0</v>
      </c>
      <c r="AT367" s="2027">
        <f t="shared" si="174"/>
        <v>0</v>
      </c>
      <c r="AU367" s="2027">
        <f t="shared" si="196"/>
        <v>0</v>
      </c>
      <c r="AV367" s="2027">
        <f t="shared" si="196"/>
        <v>0</v>
      </c>
      <c r="AW367" s="2027">
        <f t="shared" si="196"/>
        <v>0</v>
      </c>
      <c r="AX367" s="2124">
        <v>450</v>
      </c>
      <c r="AY367" s="2029">
        <v>450</v>
      </c>
      <c r="AZ367" s="2029">
        <v>450</v>
      </c>
      <c r="BA367" s="2029">
        <v>450</v>
      </c>
      <c r="BB367" s="2124">
        <v>0</v>
      </c>
      <c r="BC367" s="2029">
        <v>0</v>
      </c>
      <c r="BD367" s="2029">
        <v>0</v>
      </c>
      <c r="BE367" s="2029">
        <v>0</v>
      </c>
      <c r="BF367" s="2124">
        <v>2490</v>
      </c>
      <c r="BG367" s="2029">
        <v>2490</v>
      </c>
      <c r="BH367" s="2029">
        <v>2490</v>
      </c>
      <c r="BI367" s="2029">
        <v>2490</v>
      </c>
      <c r="BJ367" s="2030">
        <f t="shared" si="197"/>
        <v>0</v>
      </c>
      <c r="BK367" s="2030">
        <f t="shared" si="197"/>
        <v>450</v>
      </c>
      <c r="BL367" s="2030">
        <f t="shared" si="197"/>
        <v>0</v>
      </c>
      <c r="BM367" s="2030" t="s">
        <v>3286</v>
      </c>
      <c r="BN367" s="2030">
        <f t="shared" si="177"/>
        <v>0</v>
      </c>
      <c r="BO367" s="2030">
        <f t="shared" si="178"/>
        <v>0</v>
      </c>
      <c r="BP367" s="2030" t="s">
        <v>3286</v>
      </c>
      <c r="BQ367" s="2030">
        <f t="shared" si="198"/>
        <v>0</v>
      </c>
      <c r="BR367" s="2030">
        <f t="shared" si="198"/>
        <v>0</v>
      </c>
      <c r="BS367" s="2030">
        <f t="shared" si="198"/>
        <v>0</v>
      </c>
      <c r="BT367" s="2125"/>
      <c r="BU367" s="2125"/>
      <c r="BV367" s="2125"/>
      <c r="BW367" s="2125"/>
      <c r="BX367" s="2125"/>
      <c r="BY367" s="2125"/>
      <c r="BZ367" s="2125"/>
      <c r="CA367" s="2125"/>
      <c r="CB367" s="2029"/>
      <c r="CC367" s="2029"/>
      <c r="CD367" s="2029"/>
      <c r="CE367" s="2029"/>
      <c r="CF367" s="2029"/>
      <c r="CG367" s="2032"/>
      <c r="CH367" s="1974">
        <v>76703</v>
      </c>
      <c r="CI367" s="1974">
        <v>0</v>
      </c>
      <c r="CJ367" s="1974">
        <v>0</v>
      </c>
      <c r="CK367" s="1974">
        <v>0</v>
      </c>
      <c r="CL367" s="1974">
        <v>0</v>
      </c>
      <c r="CM367" s="2033">
        <v>0</v>
      </c>
      <c r="CN367" s="2026">
        <v>0</v>
      </c>
      <c r="CO367" s="1974">
        <v>0</v>
      </c>
      <c r="CP367" s="2031">
        <v>0</v>
      </c>
      <c r="CQ367" s="2031">
        <f t="shared" si="183"/>
        <v>0</v>
      </c>
      <c r="CR367" s="2026">
        <v>1</v>
      </c>
      <c r="CS367" s="2026">
        <v>1</v>
      </c>
      <c r="CT367" s="2026">
        <v>1</v>
      </c>
      <c r="CU367" s="2026">
        <v>1</v>
      </c>
      <c r="CV367" s="2036"/>
      <c r="CW367" s="2036"/>
      <c r="CX367" s="2036"/>
      <c r="CY367" s="2036"/>
      <c r="CZ367" s="2036"/>
      <c r="DA367" s="2036"/>
      <c r="DB367" s="1973">
        <v>1</v>
      </c>
    </row>
    <row r="368" spans="1:106" x14ac:dyDescent="0.25">
      <c r="A368" s="2278" t="str">
        <f t="shared" si="203"/>
        <v>Electric Steamer (6 pan)</v>
      </c>
      <c r="B368" s="1974" t="str">
        <f t="shared" si="203"/>
        <v>BPCK4</v>
      </c>
      <c r="C368" s="2027">
        <v>12</v>
      </c>
      <c r="D368" s="2027"/>
      <c r="E368" s="2144">
        <v>26089.03</v>
      </c>
      <c r="F368" s="2144"/>
      <c r="G368" s="2145">
        <v>4.54</v>
      </c>
      <c r="H368" s="2145"/>
      <c r="I368" s="2027">
        <v>0</v>
      </c>
      <c r="J368" s="2027"/>
      <c r="K368" s="1974" t="s">
        <v>2988</v>
      </c>
      <c r="L368" s="1974" t="s">
        <v>2988</v>
      </c>
      <c r="M368" s="2026">
        <v>0.9</v>
      </c>
      <c r="N368" s="2026">
        <v>0.9</v>
      </c>
      <c r="O368" s="2026">
        <v>0.9</v>
      </c>
      <c r="P368" s="2026">
        <v>0.9</v>
      </c>
      <c r="Q368" s="2027">
        <f t="shared" si="200"/>
        <v>23480.127</v>
      </c>
      <c r="R368" s="2027">
        <f t="shared" si="200"/>
        <v>23480.127</v>
      </c>
      <c r="S368" s="2027">
        <f t="shared" si="200"/>
        <v>23480.127</v>
      </c>
      <c r="T368" s="2027">
        <f t="shared" si="200"/>
        <v>23480.127</v>
      </c>
      <c r="U368" s="2026">
        <v>0.9</v>
      </c>
      <c r="V368" s="2026">
        <v>0.9</v>
      </c>
      <c r="W368" s="2026">
        <v>0.9</v>
      </c>
      <c r="X368" s="2026">
        <v>0.9</v>
      </c>
      <c r="Y368" s="2028">
        <f t="shared" si="201"/>
        <v>4.0860000000000003</v>
      </c>
      <c r="Z368" s="2028">
        <f t="shared" si="201"/>
        <v>4.0860000000000003</v>
      </c>
      <c r="AA368" s="2028">
        <f t="shared" si="201"/>
        <v>4.0860000000000003</v>
      </c>
      <c r="AB368" s="2028">
        <f t="shared" si="201"/>
        <v>4.0860000000000003</v>
      </c>
      <c r="AC368" s="2026">
        <v>0.9</v>
      </c>
      <c r="AD368" s="2026">
        <v>0.9</v>
      </c>
      <c r="AE368" s="2026">
        <v>0.9</v>
      </c>
      <c r="AF368" s="2026">
        <v>0.9</v>
      </c>
      <c r="AG368" s="2027">
        <f t="shared" si="202"/>
        <v>0</v>
      </c>
      <c r="AH368" s="2027">
        <f t="shared" si="202"/>
        <v>0</v>
      </c>
      <c r="AI368" s="2027">
        <f t="shared" si="202"/>
        <v>0</v>
      </c>
      <c r="AJ368" s="2027">
        <f t="shared" si="202"/>
        <v>0</v>
      </c>
      <c r="AK368" s="2027">
        <v>1</v>
      </c>
      <c r="AL368" s="2028"/>
      <c r="AM368" s="2028"/>
      <c r="AN368" s="2028"/>
      <c r="AO368" s="2027">
        <f t="shared" si="171"/>
        <v>23480.127</v>
      </c>
      <c r="AP368" s="2027">
        <f t="shared" si="195"/>
        <v>0</v>
      </c>
      <c r="AQ368" s="2027">
        <f t="shared" si="195"/>
        <v>0</v>
      </c>
      <c r="AR368" s="2027" t="s">
        <v>3286</v>
      </c>
      <c r="AS368" s="2027">
        <f t="shared" si="173"/>
        <v>0</v>
      </c>
      <c r="AT368" s="2027">
        <f t="shared" si="174"/>
        <v>0</v>
      </c>
      <c r="AU368" s="2027">
        <f t="shared" si="196"/>
        <v>0</v>
      </c>
      <c r="AV368" s="2027">
        <f t="shared" si="196"/>
        <v>0</v>
      </c>
      <c r="AW368" s="2027">
        <f t="shared" si="196"/>
        <v>0</v>
      </c>
      <c r="AX368" s="2124">
        <v>500</v>
      </c>
      <c r="AY368" s="2029">
        <v>500</v>
      </c>
      <c r="AZ368" s="2029">
        <v>500</v>
      </c>
      <c r="BA368" s="2029">
        <v>500</v>
      </c>
      <c r="BB368" s="2124">
        <v>0</v>
      </c>
      <c r="BC368" s="2029">
        <v>0</v>
      </c>
      <c r="BD368" s="2029">
        <v>0</v>
      </c>
      <c r="BE368" s="2029">
        <v>0</v>
      </c>
      <c r="BF368" s="2124">
        <v>2490</v>
      </c>
      <c r="BG368" s="2029">
        <v>2490</v>
      </c>
      <c r="BH368" s="2029">
        <v>2490</v>
      </c>
      <c r="BI368" s="2029">
        <v>2490</v>
      </c>
      <c r="BJ368" s="2030">
        <f t="shared" si="197"/>
        <v>500</v>
      </c>
      <c r="BK368" s="2030">
        <f t="shared" si="197"/>
        <v>0</v>
      </c>
      <c r="BL368" s="2030">
        <f t="shared" si="197"/>
        <v>0</v>
      </c>
      <c r="BM368" s="2030" t="s">
        <v>3286</v>
      </c>
      <c r="BN368" s="2030">
        <f t="shared" si="177"/>
        <v>0</v>
      </c>
      <c r="BO368" s="2030">
        <f t="shared" si="178"/>
        <v>0</v>
      </c>
      <c r="BP368" s="2030" t="s">
        <v>3286</v>
      </c>
      <c r="BQ368" s="2030">
        <f t="shared" si="198"/>
        <v>0</v>
      </c>
      <c r="BR368" s="2030">
        <f t="shared" si="198"/>
        <v>0</v>
      </c>
      <c r="BS368" s="2030">
        <f t="shared" si="198"/>
        <v>0</v>
      </c>
      <c r="BT368" s="2125"/>
      <c r="BU368" s="2125"/>
      <c r="BV368" s="2125"/>
      <c r="BW368" s="2125"/>
      <c r="BX368" s="2125"/>
      <c r="BY368" s="2125"/>
      <c r="BZ368" s="2125"/>
      <c r="CA368" s="2125"/>
      <c r="CB368" s="2029"/>
      <c r="CC368" s="2029"/>
      <c r="CD368" s="2029"/>
      <c r="CE368" s="2029"/>
      <c r="CF368" s="2029"/>
      <c r="CG368" s="2032"/>
      <c r="CH368" s="1974">
        <v>76703</v>
      </c>
      <c r="CI368" s="1974">
        <v>0</v>
      </c>
      <c r="CJ368" s="1974">
        <v>0</v>
      </c>
      <c r="CK368" s="1974">
        <v>0</v>
      </c>
      <c r="CL368" s="1974">
        <v>0</v>
      </c>
      <c r="CM368" s="2033">
        <v>7.8647100768614611E-5</v>
      </c>
      <c r="CN368" s="2026">
        <v>0</v>
      </c>
      <c r="CO368" s="1974">
        <v>0</v>
      </c>
      <c r="CP368" s="2031">
        <v>0</v>
      </c>
      <c r="CQ368" s="2031">
        <f t="shared" si="183"/>
        <v>0</v>
      </c>
      <c r="CR368" s="2026">
        <v>1</v>
      </c>
      <c r="CS368" s="2026">
        <v>1</v>
      </c>
      <c r="CT368" s="2026">
        <v>1</v>
      </c>
      <c r="CU368" s="2026">
        <v>1</v>
      </c>
      <c r="CV368" s="2036"/>
      <c r="CW368" s="2036"/>
      <c r="CX368" s="2036"/>
      <c r="CY368" s="2036"/>
      <c r="CZ368" s="2036"/>
      <c r="DA368" s="2036"/>
      <c r="DB368" s="1973">
        <v>1</v>
      </c>
    </row>
    <row r="369" spans="1:106" x14ac:dyDescent="0.25">
      <c r="A369" s="2278" t="str">
        <f t="shared" si="203"/>
        <v>Hot Holding Cabinet (half size)</v>
      </c>
      <c r="B369" s="1974" t="str">
        <f t="shared" si="203"/>
        <v>BPCK5</v>
      </c>
      <c r="C369" s="2027">
        <v>12</v>
      </c>
      <c r="D369" s="2027"/>
      <c r="E369" s="2144">
        <v>2628</v>
      </c>
      <c r="F369" s="2144"/>
      <c r="G369" s="2145">
        <v>1.2</v>
      </c>
      <c r="H369" s="2145"/>
      <c r="I369" s="2027">
        <v>0</v>
      </c>
      <c r="J369" s="2027"/>
      <c r="K369" s="1974" t="s">
        <v>2988</v>
      </c>
      <c r="L369" s="1974" t="s">
        <v>2988</v>
      </c>
      <c r="M369" s="2026">
        <v>0.9</v>
      </c>
      <c r="N369" s="2026">
        <v>0.9</v>
      </c>
      <c r="O369" s="2026">
        <v>0.9</v>
      </c>
      <c r="P369" s="2026">
        <v>0.9</v>
      </c>
      <c r="Q369" s="2027">
        <f t="shared" si="200"/>
        <v>2365.2000000000003</v>
      </c>
      <c r="R369" s="2027">
        <f t="shared" si="200"/>
        <v>2365.2000000000003</v>
      </c>
      <c r="S369" s="2027">
        <f t="shared" si="200"/>
        <v>2365.2000000000003</v>
      </c>
      <c r="T369" s="2027">
        <f t="shared" si="200"/>
        <v>2365.2000000000003</v>
      </c>
      <c r="U369" s="2026">
        <v>0.9</v>
      </c>
      <c r="V369" s="2026">
        <v>0.9</v>
      </c>
      <c r="W369" s="2026">
        <v>0.9</v>
      </c>
      <c r="X369" s="2026">
        <v>0.9</v>
      </c>
      <c r="Y369" s="2028">
        <f t="shared" si="201"/>
        <v>1.08</v>
      </c>
      <c r="Z369" s="2028">
        <f t="shared" si="201"/>
        <v>1.08</v>
      </c>
      <c r="AA369" s="2028">
        <f t="shared" si="201"/>
        <v>1.08</v>
      </c>
      <c r="AB369" s="2028">
        <f t="shared" si="201"/>
        <v>1.08</v>
      </c>
      <c r="AC369" s="2026">
        <v>0.9</v>
      </c>
      <c r="AD369" s="2026">
        <v>0.9</v>
      </c>
      <c r="AE369" s="2026">
        <v>0.9</v>
      </c>
      <c r="AF369" s="2026">
        <v>0.9</v>
      </c>
      <c r="AG369" s="2027">
        <f t="shared" si="202"/>
        <v>0</v>
      </c>
      <c r="AH369" s="2027">
        <f t="shared" si="202"/>
        <v>0</v>
      </c>
      <c r="AI369" s="2027">
        <f t="shared" si="202"/>
        <v>0</v>
      </c>
      <c r="AJ369" s="2027">
        <f t="shared" si="202"/>
        <v>0</v>
      </c>
      <c r="AK369" s="2027">
        <v>0</v>
      </c>
      <c r="AL369" s="2028"/>
      <c r="AM369" s="2028">
        <v>1</v>
      </c>
      <c r="AN369" s="2028"/>
      <c r="AO369" s="2027">
        <f t="shared" si="171"/>
        <v>0</v>
      </c>
      <c r="AP369" s="2027">
        <f t="shared" si="195"/>
        <v>0</v>
      </c>
      <c r="AQ369" s="2027">
        <f t="shared" si="195"/>
        <v>2365.2000000000003</v>
      </c>
      <c r="AR369" s="2027" t="s">
        <v>3286</v>
      </c>
      <c r="AS369" s="2027">
        <f t="shared" si="173"/>
        <v>0</v>
      </c>
      <c r="AT369" s="2027">
        <f t="shared" si="174"/>
        <v>0</v>
      </c>
      <c r="AU369" s="2027">
        <f t="shared" si="196"/>
        <v>0</v>
      </c>
      <c r="AV369" s="2027">
        <f t="shared" si="196"/>
        <v>0</v>
      </c>
      <c r="AW369" s="2027">
        <f t="shared" si="196"/>
        <v>0</v>
      </c>
      <c r="AX369" s="2124">
        <v>500</v>
      </c>
      <c r="AY369" s="2029">
        <v>500</v>
      </c>
      <c r="AZ369" s="2029">
        <v>500</v>
      </c>
      <c r="BA369" s="2029">
        <v>500</v>
      </c>
      <c r="BB369" s="2124">
        <v>0</v>
      </c>
      <c r="BC369" s="2029">
        <v>0</v>
      </c>
      <c r="BD369" s="2029">
        <v>0</v>
      </c>
      <c r="BE369" s="2029">
        <v>0</v>
      </c>
      <c r="BF369" s="2124">
        <v>1500</v>
      </c>
      <c r="BG369" s="2029">
        <v>1500</v>
      </c>
      <c r="BH369" s="2029">
        <v>1500</v>
      </c>
      <c r="BI369" s="2029">
        <v>1500</v>
      </c>
      <c r="BJ369" s="2030">
        <f t="shared" si="197"/>
        <v>0</v>
      </c>
      <c r="BK369" s="2030">
        <f t="shared" si="197"/>
        <v>0</v>
      </c>
      <c r="BL369" s="2030">
        <f t="shared" si="197"/>
        <v>500</v>
      </c>
      <c r="BM369" s="2030" t="s">
        <v>3286</v>
      </c>
      <c r="BN369" s="2030">
        <f t="shared" si="177"/>
        <v>0</v>
      </c>
      <c r="BO369" s="2030">
        <f t="shared" si="178"/>
        <v>0</v>
      </c>
      <c r="BP369" s="2030" t="s">
        <v>3286</v>
      </c>
      <c r="BQ369" s="2030">
        <f t="shared" si="198"/>
        <v>0</v>
      </c>
      <c r="BR369" s="2030">
        <f t="shared" si="198"/>
        <v>0</v>
      </c>
      <c r="BS369" s="2030">
        <f t="shared" si="198"/>
        <v>0</v>
      </c>
      <c r="BT369" s="2125"/>
      <c r="BU369" s="2125"/>
      <c r="BV369" s="2125"/>
      <c r="BW369" s="2125"/>
      <c r="BX369" s="2125"/>
      <c r="BY369" s="2125"/>
      <c r="BZ369" s="2125"/>
      <c r="CA369" s="2125"/>
      <c r="CB369" s="2029"/>
      <c r="CC369" s="2029"/>
      <c r="CD369" s="2029"/>
      <c r="CE369" s="2029"/>
      <c r="CF369" s="2029"/>
      <c r="CG369" s="2032"/>
      <c r="CH369" s="1974">
        <v>0</v>
      </c>
      <c r="CI369" s="1974">
        <v>0</v>
      </c>
      <c r="CJ369" s="1974">
        <v>0</v>
      </c>
      <c r="CK369" s="1974">
        <v>0</v>
      </c>
      <c r="CL369" s="1974">
        <v>0</v>
      </c>
      <c r="CM369" s="2033">
        <v>0</v>
      </c>
      <c r="CN369" s="2026">
        <v>0</v>
      </c>
      <c r="CO369" s="1974">
        <v>0</v>
      </c>
      <c r="CP369" s="2031">
        <v>0</v>
      </c>
      <c r="CQ369" s="2031">
        <f t="shared" si="183"/>
        <v>0</v>
      </c>
      <c r="CR369" s="2026">
        <v>1</v>
      </c>
      <c r="CS369" s="2026">
        <v>1</v>
      </c>
      <c r="CT369" s="2026">
        <v>1</v>
      </c>
      <c r="CU369" s="2026">
        <v>1</v>
      </c>
      <c r="CV369" s="2036"/>
      <c r="CW369" s="2036"/>
      <c r="CX369" s="2036"/>
      <c r="CY369" s="2036"/>
      <c r="CZ369" s="2036"/>
      <c r="DA369" s="2036"/>
      <c r="DB369" s="1973">
        <v>1</v>
      </c>
    </row>
    <row r="370" spans="1:106" x14ac:dyDescent="0.25">
      <c r="A370" s="2278" t="str">
        <f t="shared" si="203"/>
        <v>Hot Holding Cabinet (three-quarter size)</v>
      </c>
      <c r="B370" s="1974" t="str">
        <f t="shared" si="203"/>
        <v>BPCK6</v>
      </c>
      <c r="C370" s="2027">
        <v>12</v>
      </c>
      <c r="D370" s="2027"/>
      <c r="E370" s="2144">
        <v>3942</v>
      </c>
      <c r="F370" s="2144"/>
      <c r="G370" s="2145">
        <v>1.8</v>
      </c>
      <c r="H370" s="2145"/>
      <c r="I370" s="2027">
        <v>0</v>
      </c>
      <c r="J370" s="2027"/>
      <c r="K370" s="1974" t="s">
        <v>2988</v>
      </c>
      <c r="L370" s="1974" t="s">
        <v>2988</v>
      </c>
      <c r="M370" s="2026">
        <v>0.9</v>
      </c>
      <c r="N370" s="2026">
        <v>0.9</v>
      </c>
      <c r="O370" s="2026">
        <v>0.9</v>
      </c>
      <c r="P370" s="2026">
        <v>0.9</v>
      </c>
      <c r="Q370" s="2027">
        <f t="shared" si="200"/>
        <v>3547.8</v>
      </c>
      <c r="R370" s="2027">
        <f t="shared" si="200"/>
        <v>3547.8</v>
      </c>
      <c r="S370" s="2027">
        <f t="shared" si="200"/>
        <v>3547.8</v>
      </c>
      <c r="T370" s="2027">
        <f t="shared" si="200"/>
        <v>3547.8</v>
      </c>
      <c r="U370" s="2026">
        <v>0.9</v>
      </c>
      <c r="V370" s="2026">
        <v>0.9</v>
      </c>
      <c r="W370" s="2026">
        <v>0.9</v>
      </c>
      <c r="X370" s="2026">
        <v>0.9</v>
      </c>
      <c r="Y370" s="2028">
        <f t="shared" si="201"/>
        <v>1.62</v>
      </c>
      <c r="Z370" s="2028">
        <f t="shared" si="201"/>
        <v>1.62</v>
      </c>
      <c r="AA370" s="2028">
        <f t="shared" si="201"/>
        <v>1.62</v>
      </c>
      <c r="AB370" s="2028">
        <f t="shared" si="201"/>
        <v>1.62</v>
      </c>
      <c r="AC370" s="2026">
        <v>0.9</v>
      </c>
      <c r="AD370" s="2026">
        <v>0.9</v>
      </c>
      <c r="AE370" s="2026">
        <v>0.9</v>
      </c>
      <c r="AF370" s="2026">
        <v>0.9</v>
      </c>
      <c r="AG370" s="2027">
        <f t="shared" si="202"/>
        <v>0</v>
      </c>
      <c r="AH370" s="2027">
        <f t="shared" si="202"/>
        <v>0</v>
      </c>
      <c r="AI370" s="2027">
        <f t="shared" si="202"/>
        <v>0</v>
      </c>
      <c r="AJ370" s="2027">
        <f t="shared" si="202"/>
        <v>0</v>
      </c>
      <c r="AK370" s="2027">
        <v>0</v>
      </c>
      <c r="AL370" s="2028">
        <v>1</v>
      </c>
      <c r="AM370" s="2028"/>
      <c r="AN370" s="2028"/>
      <c r="AO370" s="2027">
        <f t="shared" si="171"/>
        <v>0</v>
      </c>
      <c r="AP370" s="2027">
        <f t="shared" si="195"/>
        <v>3547.8</v>
      </c>
      <c r="AQ370" s="2027">
        <f t="shared" si="195"/>
        <v>0</v>
      </c>
      <c r="AR370" s="2027" t="s">
        <v>3286</v>
      </c>
      <c r="AS370" s="2027">
        <f t="shared" si="173"/>
        <v>0</v>
      </c>
      <c r="AT370" s="2027">
        <f t="shared" si="174"/>
        <v>0</v>
      </c>
      <c r="AU370" s="2027">
        <f t="shared" si="196"/>
        <v>0</v>
      </c>
      <c r="AV370" s="2027">
        <f t="shared" si="196"/>
        <v>0</v>
      </c>
      <c r="AW370" s="2027">
        <f t="shared" si="196"/>
        <v>0</v>
      </c>
      <c r="AX370" s="2124">
        <v>750</v>
      </c>
      <c r="AY370" s="2029">
        <v>750</v>
      </c>
      <c r="AZ370" s="2029">
        <v>750</v>
      </c>
      <c r="BA370" s="2029">
        <v>750</v>
      </c>
      <c r="BB370" s="2124">
        <v>0</v>
      </c>
      <c r="BC370" s="2029">
        <v>0</v>
      </c>
      <c r="BD370" s="2029">
        <v>0</v>
      </c>
      <c r="BE370" s="2029">
        <v>0</v>
      </c>
      <c r="BF370" s="2124">
        <v>1800</v>
      </c>
      <c r="BG370" s="2029">
        <v>1800</v>
      </c>
      <c r="BH370" s="2029">
        <v>1800</v>
      </c>
      <c r="BI370" s="2029">
        <v>1800</v>
      </c>
      <c r="BJ370" s="2030">
        <f t="shared" si="197"/>
        <v>0</v>
      </c>
      <c r="BK370" s="2030">
        <f t="shared" si="197"/>
        <v>750</v>
      </c>
      <c r="BL370" s="2030">
        <f t="shared" si="197"/>
        <v>0</v>
      </c>
      <c r="BM370" s="2030" t="s">
        <v>3286</v>
      </c>
      <c r="BN370" s="2030">
        <f t="shared" si="177"/>
        <v>0</v>
      </c>
      <c r="BO370" s="2030">
        <f t="shared" si="178"/>
        <v>0</v>
      </c>
      <c r="BP370" s="2030" t="s">
        <v>3286</v>
      </c>
      <c r="BQ370" s="2030">
        <f t="shared" si="198"/>
        <v>0</v>
      </c>
      <c r="BR370" s="2030">
        <f t="shared" si="198"/>
        <v>0</v>
      </c>
      <c r="BS370" s="2030">
        <f t="shared" si="198"/>
        <v>0</v>
      </c>
      <c r="BT370" s="2125"/>
      <c r="BU370" s="2125"/>
      <c r="BV370" s="2125"/>
      <c r="BW370" s="2125"/>
      <c r="BX370" s="2125"/>
      <c r="BY370" s="2125"/>
      <c r="BZ370" s="2125"/>
      <c r="CA370" s="2125"/>
      <c r="CB370" s="2029"/>
      <c r="CC370" s="2029"/>
      <c r="CD370" s="2029"/>
      <c r="CE370" s="2029"/>
      <c r="CF370" s="2029"/>
      <c r="CG370" s="2032"/>
      <c r="CH370" s="1974">
        <v>0</v>
      </c>
      <c r="CI370" s="1974">
        <v>0</v>
      </c>
      <c r="CJ370" s="1974">
        <v>0</v>
      </c>
      <c r="CK370" s="1974">
        <v>0</v>
      </c>
      <c r="CL370" s="1974">
        <v>0</v>
      </c>
      <c r="CM370" s="2033">
        <v>0</v>
      </c>
      <c r="CN370" s="2026">
        <v>0</v>
      </c>
      <c r="CO370" s="1974">
        <v>0</v>
      </c>
      <c r="CP370" s="2031">
        <v>0</v>
      </c>
      <c r="CQ370" s="2031">
        <f t="shared" si="183"/>
        <v>0</v>
      </c>
      <c r="CR370" s="2026">
        <v>1</v>
      </c>
      <c r="CS370" s="2026">
        <v>1</v>
      </c>
      <c r="CT370" s="2026">
        <v>1</v>
      </c>
      <c r="CU370" s="2026">
        <v>1</v>
      </c>
      <c r="CV370" s="2036"/>
      <c r="CW370" s="2036"/>
      <c r="CX370" s="2036"/>
      <c r="CY370" s="2036"/>
      <c r="CZ370" s="2036"/>
      <c r="DA370" s="2036"/>
      <c r="DB370" s="1973">
        <v>1</v>
      </c>
    </row>
    <row r="371" spans="1:106" x14ac:dyDescent="0.25">
      <c r="A371" s="2278" t="str">
        <f t="shared" si="203"/>
        <v>Hot Holding Cabinet (full size)</v>
      </c>
      <c r="B371" s="1974" t="str">
        <f t="shared" si="203"/>
        <v>BPCK7</v>
      </c>
      <c r="C371" s="2027">
        <v>12</v>
      </c>
      <c r="D371" s="2027"/>
      <c r="E371" s="2144">
        <v>9308</v>
      </c>
      <c r="F371" s="2144"/>
      <c r="G371" s="2145">
        <v>4.25</v>
      </c>
      <c r="H371" s="2145"/>
      <c r="I371" s="2027">
        <v>0</v>
      </c>
      <c r="J371" s="2027"/>
      <c r="K371" s="1974" t="s">
        <v>2988</v>
      </c>
      <c r="L371" s="1974" t="s">
        <v>2988</v>
      </c>
      <c r="M371" s="2026">
        <v>0.9</v>
      </c>
      <c r="N371" s="2026">
        <v>0.9</v>
      </c>
      <c r="O371" s="2026">
        <v>0.9</v>
      </c>
      <c r="P371" s="2026">
        <v>0.9</v>
      </c>
      <c r="Q371" s="2027">
        <f t="shared" si="200"/>
        <v>8377.2000000000007</v>
      </c>
      <c r="R371" s="2027">
        <f t="shared" si="200"/>
        <v>8377.2000000000007</v>
      </c>
      <c r="S371" s="2027">
        <f t="shared" si="200"/>
        <v>8377.2000000000007</v>
      </c>
      <c r="T371" s="2027">
        <f t="shared" si="200"/>
        <v>8377.2000000000007</v>
      </c>
      <c r="U371" s="2026">
        <v>0.9</v>
      </c>
      <c r="V371" s="2026">
        <v>0.9</v>
      </c>
      <c r="W371" s="2026">
        <v>0.9</v>
      </c>
      <c r="X371" s="2026">
        <v>0.9</v>
      </c>
      <c r="Y371" s="2028">
        <f t="shared" si="201"/>
        <v>3.8250000000000002</v>
      </c>
      <c r="Z371" s="2028">
        <f t="shared" si="201"/>
        <v>3.8250000000000002</v>
      </c>
      <c r="AA371" s="2028">
        <f t="shared" si="201"/>
        <v>3.8250000000000002</v>
      </c>
      <c r="AB371" s="2028">
        <f t="shared" si="201"/>
        <v>3.8250000000000002</v>
      </c>
      <c r="AC371" s="2026">
        <v>0.9</v>
      </c>
      <c r="AD371" s="2026">
        <v>0.9</v>
      </c>
      <c r="AE371" s="2026">
        <v>0.9</v>
      </c>
      <c r="AF371" s="2026">
        <v>0.9</v>
      </c>
      <c r="AG371" s="2027">
        <f t="shared" si="202"/>
        <v>0</v>
      </c>
      <c r="AH371" s="2027">
        <f t="shared" si="202"/>
        <v>0</v>
      </c>
      <c r="AI371" s="2027">
        <f t="shared" si="202"/>
        <v>0</v>
      </c>
      <c r="AJ371" s="2027">
        <f t="shared" si="202"/>
        <v>0</v>
      </c>
      <c r="AK371" s="2027">
        <v>1</v>
      </c>
      <c r="AL371" s="2028"/>
      <c r="AM371" s="2028"/>
      <c r="AN371" s="2028"/>
      <c r="AO371" s="2027">
        <f t="shared" si="171"/>
        <v>8377.2000000000007</v>
      </c>
      <c r="AP371" s="2027">
        <f t="shared" si="195"/>
        <v>0</v>
      </c>
      <c r="AQ371" s="2027">
        <f t="shared" si="195"/>
        <v>0</v>
      </c>
      <c r="AR371" s="2027" t="s">
        <v>3286</v>
      </c>
      <c r="AS371" s="2027">
        <f t="shared" si="173"/>
        <v>0</v>
      </c>
      <c r="AT371" s="2027">
        <f t="shared" si="174"/>
        <v>0</v>
      </c>
      <c r="AU371" s="2027">
        <f t="shared" si="196"/>
        <v>0</v>
      </c>
      <c r="AV371" s="2027">
        <f t="shared" si="196"/>
        <v>0</v>
      </c>
      <c r="AW371" s="2027">
        <f t="shared" si="196"/>
        <v>0</v>
      </c>
      <c r="AX371" s="2124">
        <v>1000</v>
      </c>
      <c r="AY371" s="2029">
        <v>1000</v>
      </c>
      <c r="AZ371" s="2029">
        <v>1000</v>
      </c>
      <c r="BA371" s="2029">
        <v>1000</v>
      </c>
      <c r="BB371" s="2124">
        <v>0</v>
      </c>
      <c r="BC371" s="2029">
        <v>0</v>
      </c>
      <c r="BD371" s="2029">
        <v>0</v>
      </c>
      <c r="BE371" s="2029">
        <v>0</v>
      </c>
      <c r="BF371" s="2124">
        <v>1200</v>
      </c>
      <c r="BG371" s="2029">
        <v>1200</v>
      </c>
      <c r="BH371" s="2029">
        <v>1200</v>
      </c>
      <c r="BI371" s="2029">
        <v>1200</v>
      </c>
      <c r="BJ371" s="2030">
        <f t="shared" si="197"/>
        <v>1000</v>
      </c>
      <c r="BK371" s="2030">
        <f t="shared" si="197"/>
        <v>0</v>
      </c>
      <c r="BL371" s="2030">
        <f t="shared" si="197"/>
        <v>0</v>
      </c>
      <c r="BM371" s="2030" t="s">
        <v>3286</v>
      </c>
      <c r="BN371" s="2030">
        <f t="shared" si="177"/>
        <v>0</v>
      </c>
      <c r="BO371" s="2030">
        <f t="shared" si="178"/>
        <v>0</v>
      </c>
      <c r="BP371" s="2030" t="s">
        <v>3286</v>
      </c>
      <c r="BQ371" s="2030">
        <f t="shared" si="198"/>
        <v>0</v>
      </c>
      <c r="BR371" s="2030">
        <f t="shared" si="198"/>
        <v>0</v>
      </c>
      <c r="BS371" s="2030">
        <f t="shared" si="198"/>
        <v>0</v>
      </c>
      <c r="BT371" s="2125"/>
      <c r="BU371" s="2125"/>
      <c r="BV371" s="2125"/>
      <c r="BW371" s="2125"/>
      <c r="BX371" s="2125"/>
      <c r="BY371" s="2125"/>
      <c r="BZ371" s="2125"/>
      <c r="CA371" s="2125"/>
      <c r="CB371" s="2029"/>
      <c r="CC371" s="2029"/>
      <c r="CD371" s="2029"/>
      <c r="CE371" s="2029"/>
      <c r="CF371" s="2029"/>
      <c r="CG371" s="2032"/>
      <c r="CH371" s="1974">
        <v>0</v>
      </c>
      <c r="CI371" s="1974">
        <v>0</v>
      </c>
      <c r="CJ371" s="1974">
        <v>0</v>
      </c>
      <c r="CK371" s="1974">
        <v>0</v>
      </c>
      <c r="CL371" s="1974">
        <v>0</v>
      </c>
      <c r="CM371" s="2033">
        <v>2.8059579599328334E-5</v>
      </c>
      <c r="CN371" s="2026">
        <v>0</v>
      </c>
      <c r="CO371" s="1974">
        <v>0</v>
      </c>
      <c r="CP371" s="2031">
        <v>0</v>
      </c>
      <c r="CQ371" s="2031">
        <f t="shared" si="183"/>
        <v>0</v>
      </c>
      <c r="CR371" s="2026">
        <v>1</v>
      </c>
      <c r="CS371" s="2026">
        <v>1</v>
      </c>
      <c r="CT371" s="2026">
        <v>1</v>
      </c>
      <c r="CU371" s="2026">
        <v>1</v>
      </c>
      <c r="CV371" s="2036"/>
      <c r="CW371" s="2036"/>
      <c r="CX371" s="2036"/>
      <c r="CY371" s="2036"/>
      <c r="CZ371" s="2036"/>
      <c r="DA371" s="2036"/>
      <c r="DB371" s="1973">
        <v>1</v>
      </c>
    </row>
    <row r="372" spans="1:106" x14ac:dyDescent="0.25">
      <c r="A372" s="2278" t="str">
        <f t="shared" si="203"/>
        <v>Electric Griddle</v>
      </c>
      <c r="B372" s="1974" t="str">
        <f t="shared" si="203"/>
        <v>BPCK8</v>
      </c>
      <c r="C372" s="2027">
        <v>12</v>
      </c>
      <c r="D372" s="2027"/>
      <c r="E372" s="2144">
        <v>2597</v>
      </c>
      <c r="F372" s="2144"/>
      <c r="G372" s="2145">
        <v>0.22</v>
      </c>
      <c r="H372" s="2145"/>
      <c r="I372" s="2027">
        <v>0</v>
      </c>
      <c r="J372" s="2027"/>
      <c r="K372" s="1974" t="s">
        <v>2988</v>
      </c>
      <c r="L372" s="1974" t="s">
        <v>2988</v>
      </c>
      <c r="M372" s="2026">
        <v>0.9</v>
      </c>
      <c r="N372" s="2026">
        <v>0.9</v>
      </c>
      <c r="O372" s="2026">
        <v>0.9</v>
      </c>
      <c r="P372" s="2026">
        <v>0.9</v>
      </c>
      <c r="Q372" s="2027">
        <f t="shared" si="200"/>
        <v>2337.3000000000002</v>
      </c>
      <c r="R372" s="2027">
        <f t="shared" si="200"/>
        <v>2337.3000000000002</v>
      </c>
      <c r="S372" s="2027">
        <f t="shared" si="200"/>
        <v>2337.3000000000002</v>
      </c>
      <c r="T372" s="2027">
        <f t="shared" si="200"/>
        <v>2337.3000000000002</v>
      </c>
      <c r="U372" s="2026">
        <v>0.9</v>
      </c>
      <c r="V372" s="2026">
        <v>0.9</v>
      </c>
      <c r="W372" s="2026">
        <v>0.9</v>
      </c>
      <c r="X372" s="2026">
        <v>0.9</v>
      </c>
      <c r="Y372" s="2028">
        <f t="shared" si="201"/>
        <v>0.19800000000000001</v>
      </c>
      <c r="Z372" s="2028">
        <f t="shared" si="201"/>
        <v>0.19800000000000001</v>
      </c>
      <c r="AA372" s="2028">
        <f t="shared" si="201"/>
        <v>0.19800000000000001</v>
      </c>
      <c r="AB372" s="2028">
        <f t="shared" si="201"/>
        <v>0.19800000000000001</v>
      </c>
      <c r="AC372" s="2026">
        <v>0.9</v>
      </c>
      <c r="AD372" s="2026">
        <v>0.9</v>
      </c>
      <c r="AE372" s="2026">
        <v>0.9</v>
      </c>
      <c r="AF372" s="2026">
        <v>0.9</v>
      </c>
      <c r="AG372" s="2027">
        <f t="shared" si="202"/>
        <v>0</v>
      </c>
      <c r="AH372" s="2027">
        <f t="shared" si="202"/>
        <v>0</v>
      </c>
      <c r="AI372" s="2027">
        <f t="shared" si="202"/>
        <v>0</v>
      </c>
      <c r="AJ372" s="2027">
        <f t="shared" si="202"/>
        <v>0</v>
      </c>
      <c r="AK372" s="2027">
        <v>1</v>
      </c>
      <c r="AL372" s="2028"/>
      <c r="AM372" s="2028"/>
      <c r="AN372" s="2028"/>
      <c r="AO372" s="2027">
        <f t="shared" si="171"/>
        <v>2337.3000000000002</v>
      </c>
      <c r="AP372" s="2027">
        <f t="shared" si="195"/>
        <v>0</v>
      </c>
      <c r="AQ372" s="2027">
        <f t="shared" si="195"/>
        <v>0</v>
      </c>
      <c r="AR372" s="2027" t="s">
        <v>3286</v>
      </c>
      <c r="AS372" s="2027">
        <f t="shared" si="173"/>
        <v>0</v>
      </c>
      <c r="AT372" s="2027">
        <f t="shared" si="174"/>
        <v>0</v>
      </c>
      <c r="AU372" s="2027">
        <f t="shared" si="196"/>
        <v>0</v>
      </c>
      <c r="AV372" s="2027">
        <f t="shared" si="196"/>
        <v>0</v>
      </c>
      <c r="AW372" s="2027">
        <f t="shared" si="196"/>
        <v>0</v>
      </c>
      <c r="AX372" s="2124">
        <v>120</v>
      </c>
      <c r="AY372" s="2029">
        <v>120</v>
      </c>
      <c r="AZ372" s="2029">
        <v>120</v>
      </c>
      <c r="BA372" s="2029">
        <v>120</v>
      </c>
      <c r="BB372" s="2124">
        <v>0</v>
      </c>
      <c r="BC372" s="2029">
        <v>0</v>
      </c>
      <c r="BD372" s="2029">
        <v>0</v>
      </c>
      <c r="BE372" s="2029">
        <v>0</v>
      </c>
      <c r="BF372" s="2124">
        <v>0</v>
      </c>
      <c r="BG372" s="2029">
        <v>0</v>
      </c>
      <c r="BH372" s="2029">
        <v>0</v>
      </c>
      <c r="BI372" s="2029">
        <v>0</v>
      </c>
      <c r="BJ372" s="2030">
        <f t="shared" si="197"/>
        <v>120</v>
      </c>
      <c r="BK372" s="2030">
        <f t="shared" si="197"/>
        <v>0</v>
      </c>
      <c r="BL372" s="2030">
        <f t="shared" si="197"/>
        <v>0</v>
      </c>
      <c r="BM372" s="2030" t="s">
        <v>3286</v>
      </c>
      <c r="BN372" s="2030">
        <f t="shared" si="177"/>
        <v>0</v>
      </c>
      <c r="BO372" s="2030">
        <f t="shared" si="178"/>
        <v>0</v>
      </c>
      <c r="BP372" s="2030" t="s">
        <v>3286</v>
      </c>
      <c r="BQ372" s="2030">
        <f t="shared" si="198"/>
        <v>0</v>
      </c>
      <c r="BR372" s="2030">
        <f t="shared" si="198"/>
        <v>0</v>
      </c>
      <c r="BS372" s="2030">
        <f t="shared" si="198"/>
        <v>0</v>
      </c>
      <c r="BT372" s="2125"/>
      <c r="BU372" s="2125"/>
      <c r="BV372" s="2125"/>
      <c r="BW372" s="2125"/>
      <c r="BX372" s="2125"/>
      <c r="BY372" s="2125"/>
      <c r="BZ372" s="2125"/>
      <c r="CA372" s="2125"/>
      <c r="CB372" s="2029"/>
      <c r="CC372" s="2029"/>
      <c r="CD372" s="2029"/>
      <c r="CE372" s="2029"/>
      <c r="CF372" s="2029"/>
      <c r="CG372" s="2032"/>
      <c r="CH372" s="1974">
        <v>0</v>
      </c>
      <c r="CI372" s="1974">
        <v>0</v>
      </c>
      <c r="CJ372" s="1974">
        <v>0</v>
      </c>
      <c r="CK372" s="1974">
        <v>0</v>
      </c>
      <c r="CL372" s="1974">
        <v>0</v>
      </c>
      <c r="CM372" s="2033">
        <v>7.8288276986952817E-6</v>
      </c>
      <c r="CN372" s="2026">
        <v>0</v>
      </c>
      <c r="CO372" s="1974">
        <v>0</v>
      </c>
      <c r="CP372" s="2031">
        <v>0</v>
      </c>
      <c r="CQ372" s="2031">
        <f t="shared" si="183"/>
        <v>0</v>
      </c>
      <c r="CR372" s="2026">
        <v>1</v>
      </c>
      <c r="CS372" s="2026">
        <v>1</v>
      </c>
      <c r="CT372" s="2026">
        <v>1</v>
      </c>
      <c r="CU372" s="2026">
        <v>1</v>
      </c>
      <c r="CV372" s="2036"/>
      <c r="CW372" s="2036"/>
      <c r="CX372" s="2036"/>
      <c r="CY372" s="2036"/>
      <c r="CZ372" s="2036"/>
      <c r="DA372" s="2036"/>
      <c r="DB372" s="1973">
        <v>1</v>
      </c>
    </row>
    <row r="373" spans="1:106" x14ac:dyDescent="0.25">
      <c r="A373" s="2277" t="str">
        <f t="shared" si="203"/>
        <v>Dishwasher, High Temp (Includes Booster Heater)</v>
      </c>
      <c r="B373" s="1974" t="str">
        <f t="shared" si="203"/>
        <v>BPCK13</v>
      </c>
      <c r="C373" s="2027">
        <v>15</v>
      </c>
      <c r="D373" s="2027"/>
      <c r="E373" s="2144">
        <v>4339.74</v>
      </c>
      <c r="F373" s="2144"/>
      <c r="G373" s="2145">
        <v>0.66</v>
      </c>
      <c r="H373" s="2145"/>
      <c r="I373" s="2027">
        <v>279</v>
      </c>
      <c r="J373" s="2027"/>
      <c r="K373" s="1974" t="s">
        <v>2988</v>
      </c>
      <c r="L373" s="1974" t="s">
        <v>2988</v>
      </c>
      <c r="M373" s="2026">
        <v>0.9</v>
      </c>
      <c r="N373" s="2026">
        <v>0.9</v>
      </c>
      <c r="O373" s="2026">
        <v>0.9</v>
      </c>
      <c r="P373" s="2026">
        <v>0.9</v>
      </c>
      <c r="Q373" s="2027">
        <f t="shared" si="200"/>
        <v>3905.7660000000001</v>
      </c>
      <c r="R373" s="2027">
        <f t="shared" si="200"/>
        <v>3905.7660000000001</v>
      </c>
      <c r="S373" s="2027">
        <f t="shared" si="200"/>
        <v>3905.7660000000001</v>
      </c>
      <c r="T373" s="2027">
        <f t="shared" si="200"/>
        <v>3905.7660000000001</v>
      </c>
      <c r="U373" s="2026">
        <v>0.9</v>
      </c>
      <c r="V373" s="2026">
        <v>0.9</v>
      </c>
      <c r="W373" s="2026">
        <v>0.9</v>
      </c>
      <c r="X373" s="2026">
        <v>0.9</v>
      </c>
      <c r="Y373" s="2028">
        <f t="shared" si="201"/>
        <v>0.59400000000000008</v>
      </c>
      <c r="Z373" s="2028">
        <f t="shared" si="201"/>
        <v>0.59400000000000008</v>
      </c>
      <c r="AA373" s="2028">
        <f t="shared" si="201"/>
        <v>0.59400000000000008</v>
      </c>
      <c r="AB373" s="2028">
        <f t="shared" si="201"/>
        <v>0.59400000000000008</v>
      </c>
      <c r="AC373" s="2026">
        <v>0.9</v>
      </c>
      <c r="AD373" s="2026">
        <v>0.9</v>
      </c>
      <c r="AE373" s="2026">
        <v>0.9</v>
      </c>
      <c r="AF373" s="2026">
        <v>0.9</v>
      </c>
      <c r="AG373" s="2027">
        <f t="shared" si="202"/>
        <v>251.1</v>
      </c>
      <c r="AH373" s="2027">
        <f t="shared" si="202"/>
        <v>251.1</v>
      </c>
      <c r="AI373" s="2027">
        <f t="shared" si="202"/>
        <v>251.1</v>
      </c>
      <c r="AJ373" s="2027">
        <f t="shared" si="202"/>
        <v>251.1</v>
      </c>
      <c r="AK373" s="2027">
        <v>3</v>
      </c>
      <c r="AL373" s="2028">
        <v>4</v>
      </c>
      <c r="AM373" s="2028">
        <v>3</v>
      </c>
      <c r="AN373" s="2028">
        <v>3</v>
      </c>
      <c r="AO373" s="2027">
        <f t="shared" si="171"/>
        <v>11717.298000000001</v>
      </c>
      <c r="AP373" s="2027">
        <f t="shared" si="195"/>
        <v>15623.064</v>
      </c>
      <c r="AQ373" s="2027">
        <f t="shared" si="195"/>
        <v>11717.298000000001</v>
      </c>
      <c r="AR373" s="2027" t="s">
        <v>3286</v>
      </c>
      <c r="AS373" s="2027">
        <f t="shared" si="173"/>
        <v>11717.298000000001</v>
      </c>
      <c r="AT373" s="2027">
        <f t="shared" si="174"/>
        <v>753.3</v>
      </c>
      <c r="AU373" s="2027">
        <f t="shared" si="196"/>
        <v>1004.4</v>
      </c>
      <c r="AV373" s="2027">
        <f t="shared" si="196"/>
        <v>753.3</v>
      </c>
      <c r="AW373" s="2027">
        <f t="shared" si="196"/>
        <v>753.3</v>
      </c>
      <c r="AX373" s="2046">
        <v>523.58333333333337</v>
      </c>
      <c r="AY373" s="2046">
        <v>523.58333333333337</v>
      </c>
      <c r="AZ373" s="2046">
        <v>523.58333333333337</v>
      </c>
      <c r="BA373" s="2046">
        <v>523.58333333333337</v>
      </c>
      <c r="BB373" s="2046">
        <v>334.75</v>
      </c>
      <c r="BC373" s="2046">
        <v>334.75</v>
      </c>
      <c r="BD373" s="2046">
        <v>334.75</v>
      </c>
      <c r="BE373" s="2046">
        <v>334.75</v>
      </c>
      <c r="BF373" s="2124">
        <v>1686</v>
      </c>
      <c r="BG373" s="2029">
        <v>1124</v>
      </c>
      <c r="BH373" s="2029">
        <v>1124</v>
      </c>
      <c r="BI373" s="2029">
        <v>1124</v>
      </c>
      <c r="BJ373" s="2030">
        <f t="shared" si="197"/>
        <v>1570.75</v>
      </c>
      <c r="BK373" s="2030">
        <f t="shared" si="197"/>
        <v>2094.3333333333335</v>
      </c>
      <c r="BL373" s="2030">
        <f t="shared" si="197"/>
        <v>1570.75</v>
      </c>
      <c r="BM373" s="2030" t="s">
        <v>3286</v>
      </c>
      <c r="BN373" s="2030">
        <f t="shared" si="177"/>
        <v>1570.75</v>
      </c>
      <c r="BO373" s="2030">
        <f t="shared" si="178"/>
        <v>1004.25</v>
      </c>
      <c r="BP373" s="2030" t="s">
        <v>3286</v>
      </c>
      <c r="BQ373" s="2030">
        <f t="shared" si="198"/>
        <v>1339</v>
      </c>
      <c r="BR373" s="2030">
        <f t="shared" si="198"/>
        <v>1004.25</v>
      </c>
      <c r="BS373" s="2030">
        <f t="shared" si="198"/>
        <v>1004.25</v>
      </c>
      <c r="BT373" s="2125"/>
      <c r="BU373" s="2125"/>
      <c r="BV373" s="2125"/>
      <c r="BW373" s="2125"/>
      <c r="BX373" s="2125"/>
      <c r="BY373" s="2125"/>
      <c r="BZ373" s="2125"/>
      <c r="CA373" s="2125"/>
      <c r="CB373" s="2029"/>
      <c r="CC373" s="2029"/>
      <c r="CD373" s="2029"/>
      <c r="CE373" s="2029"/>
      <c r="CF373" s="2029"/>
      <c r="CG373" s="2032"/>
      <c r="CH373" s="1974">
        <v>35711</v>
      </c>
      <c r="CI373" s="1974">
        <v>0</v>
      </c>
      <c r="CJ373" s="1974">
        <v>0</v>
      </c>
      <c r="CK373" s="1974">
        <v>0</v>
      </c>
      <c r="CL373" s="1974">
        <v>0</v>
      </c>
      <c r="CM373" s="2033">
        <v>3.9247296939317514E-5</v>
      </c>
      <c r="CN373" s="2026">
        <v>2.4265196160076392E-4</v>
      </c>
      <c r="CO373" s="1974">
        <v>0</v>
      </c>
      <c r="CP373" s="2031">
        <v>0</v>
      </c>
      <c r="CQ373" s="2031">
        <f t="shared" si="183"/>
        <v>0</v>
      </c>
      <c r="CR373" s="2026">
        <v>1</v>
      </c>
      <c r="CS373" s="2026">
        <v>1</v>
      </c>
      <c r="CT373" s="2026">
        <v>1</v>
      </c>
      <c r="CU373" s="2026">
        <v>1</v>
      </c>
      <c r="CV373" s="2036"/>
      <c r="CW373" s="2036"/>
      <c r="CX373" s="2036"/>
      <c r="CY373" s="2036"/>
      <c r="CZ373" s="2036"/>
      <c r="DA373" s="2036"/>
      <c r="DB373" s="1973">
        <v>1</v>
      </c>
    </row>
    <row r="374" spans="1:106" x14ac:dyDescent="0.25">
      <c r="A374" s="2278" t="str">
        <f t="shared" ref="A374:B377" si="204">IF(A99="","",A99)</f>
        <v>Pre-Rinse Sprayers, Elec Booster</v>
      </c>
      <c r="B374" s="1974" t="str">
        <f t="shared" si="204"/>
        <v/>
      </c>
      <c r="C374" s="2027">
        <v>5</v>
      </c>
      <c r="D374" s="2027"/>
      <c r="E374" s="2144">
        <v>4154.43</v>
      </c>
      <c r="F374" s="2144"/>
      <c r="G374" s="2145">
        <v>0</v>
      </c>
      <c r="H374" s="2145"/>
      <c r="I374" s="2027">
        <v>0</v>
      </c>
      <c r="J374" s="2027"/>
      <c r="K374" s="1974" t="s">
        <v>2988</v>
      </c>
      <c r="L374" s="1974" t="s">
        <v>2988</v>
      </c>
      <c r="M374" s="2026">
        <v>0.9</v>
      </c>
      <c r="N374" s="2026">
        <v>0.9</v>
      </c>
      <c r="O374" s="2026">
        <v>0.9</v>
      </c>
      <c r="P374" s="2026">
        <v>0.9</v>
      </c>
      <c r="Q374" s="2027">
        <f t="shared" si="200"/>
        <v>3738.9870000000005</v>
      </c>
      <c r="R374" s="2027">
        <f t="shared" si="200"/>
        <v>3738.9870000000005</v>
      </c>
      <c r="S374" s="2027">
        <f t="shared" si="200"/>
        <v>3738.9870000000005</v>
      </c>
      <c r="T374" s="2027">
        <f t="shared" si="200"/>
        <v>3738.9870000000005</v>
      </c>
      <c r="U374" s="2026">
        <v>0.9</v>
      </c>
      <c r="V374" s="2026">
        <v>0.9</v>
      </c>
      <c r="W374" s="2026">
        <v>0.9</v>
      </c>
      <c r="X374" s="2026">
        <v>0.9</v>
      </c>
      <c r="Y374" s="2028">
        <f t="shared" si="201"/>
        <v>0</v>
      </c>
      <c r="Z374" s="2028">
        <f t="shared" si="201"/>
        <v>0</v>
      </c>
      <c r="AA374" s="2028">
        <f t="shared" si="201"/>
        <v>0</v>
      </c>
      <c r="AB374" s="2028">
        <f t="shared" si="201"/>
        <v>0</v>
      </c>
      <c r="AC374" s="2026">
        <v>0.9</v>
      </c>
      <c r="AD374" s="2026">
        <v>0.9</v>
      </c>
      <c r="AE374" s="2026">
        <v>0.9</v>
      </c>
      <c r="AF374" s="2026">
        <v>0.9</v>
      </c>
      <c r="AG374" s="2027">
        <f t="shared" si="202"/>
        <v>0</v>
      </c>
      <c r="AH374" s="2027">
        <f t="shared" si="202"/>
        <v>0</v>
      </c>
      <c r="AI374" s="2027">
        <f t="shared" si="202"/>
        <v>0</v>
      </c>
      <c r="AJ374" s="2027">
        <f t="shared" si="202"/>
        <v>0</v>
      </c>
      <c r="AK374" s="2027">
        <v>1</v>
      </c>
      <c r="AL374" s="2027">
        <v>1</v>
      </c>
      <c r="AM374" s="2027">
        <v>1</v>
      </c>
      <c r="AN374" s="2027">
        <v>1</v>
      </c>
      <c r="AO374" s="2027">
        <f t="shared" si="171"/>
        <v>3738.9870000000005</v>
      </c>
      <c r="AP374" s="2027">
        <f t="shared" si="195"/>
        <v>3738.9870000000005</v>
      </c>
      <c r="AQ374" s="2027">
        <f t="shared" si="195"/>
        <v>3738.9870000000005</v>
      </c>
      <c r="AR374" s="2027" t="s">
        <v>3286</v>
      </c>
      <c r="AS374" s="2027">
        <f t="shared" si="173"/>
        <v>3738.9870000000005</v>
      </c>
      <c r="AT374" s="2027">
        <f t="shared" si="174"/>
        <v>0</v>
      </c>
      <c r="AU374" s="2027">
        <f t="shared" si="196"/>
        <v>0</v>
      </c>
      <c r="AV374" s="2027">
        <f t="shared" si="196"/>
        <v>0</v>
      </c>
      <c r="AW374" s="2027">
        <f t="shared" si="196"/>
        <v>0</v>
      </c>
      <c r="AX374" s="2124">
        <v>100</v>
      </c>
      <c r="AY374" s="2029">
        <v>100</v>
      </c>
      <c r="AZ374" s="2029">
        <v>100</v>
      </c>
      <c r="BA374" s="2029">
        <v>100</v>
      </c>
      <c r="BB374" s="2124">
        <v>0</v>
      </c>
      <c r="BC374" s="2029">
        <v>0</v>
      </c>
      <c r="BD374" s="2029">
        <v>0</v>
      </c>
      <c r="BE374" s="2029">
        <v>0</v>
      </c>
      <c r="BF374" s="2124">
        <v>100</v>
      </c>
      <c r="BG374" s="2029">
        <v>100</v>
      </c>
      <c r="BH374" s="2029">
        <v>100</v>
      </c>
      <c r="BI374" s="2029">
        <v>100</v>
      </c>
      <c r="BJ374" s="2030">
        <f t="shared" si="197"/>
        <v>100</v>
      </c>
      <c r="BK374" s="2030">
        <f t="shared" si="197"/>
        <v>100</v>
      </c>
      <c r="BL374" s="2030">
        <f t="shared" si="197"/>
        <v>100</v>
      </c>
      <c r="BM374" s="2030" t="s">
        <v>3286</v>
      </c>
      <c r="BN374" s="2030">
        <f t="shared" si="177"/>
        <v>100</v>
      </c>
      <c r="BO374" s="2030">
        <f t="shared" si="178"/>
        <v>0</v>
      </c>
      <c r="BP374" s="2030" t="s">
        <v>3286</v>
      </c>
      <c r="BQ374" s="2030">
        <f t="shared" si="198"/>
        <v>0</v>
      </c>
      <c r="BR374" s="2030">
        <f t="shared" si="198"/>
        <v>0</v>
      </c>
      <c r="BS374" s="2030">
        <f t="shared" si="198"/>
        <v>0</v>
      </c>
      <c r="BT374" s="2125"/>
      <c r="BU374" s="2125"/>
      <c r="BV374" s="2125"/>
      <c r="BW374" s="2125"/>
      <c r="BX374" s="2125"/>
      <c r="BY374" s="2125"/>
      <c r="BZ374" s="2125"/>
      <c r="CA374" s="2125"/>
      <c r="CB374" s="2029"/>
      <c r="CC374" s="2029"/>
      <c r="CD374" s="2029"/>
      <c r="CE374" s="2029"/>
      <c r="CF374" s="2029"/>
      <c r="CG374" s="2032"/>
      <c r="CH374" s="1974">
        <v>23587</v>
      </c>
      <c r="CI374" s="1974">
        <v>0</v>
      </c>
      <c r="CJ374" s="1974">
        <v>0</v>
      </c>
      <c r="CK374" s="1974">
        <v>0</v>
      </c>
      <c r="CL374" s="1974">
        <v>0</v>
      </c>
      <c r="CM374" s="2033">
        <v>1.2523803102152731E-5</v>
      </c>
      <c r="CN374" s="2026">
        <v>0</v>
      </c>
      <c r="CO374" s="1974">
        <v>0</v>
      </c>
      <c r="CP374" s="2031">
        <v>0</v>
      </c>
      <c r="CQ374" s="2031">
        <f t="shared" si="183"/>
        <v>0</v>
      </c>
      <c r="CR374" s="2026">
        <v>1</v>
      </c>
      <c r="CS374" s="2026">
        <v>1</v>
      </c>
      <c r="CT374" s="2026">
        <v>1</v>
      </c>
      <c r="CU374" s="2026">
        <v>1</v>
      </c>
      <c r="CV374" s="2036"/>
      <c r="CW374" s="2036"/>
      <c r="CX374" s="2036"/>
      <c r="CY374" s="2036"/>
      <c r="CZ374" s="2036"/>
      <c r="DA374" s="2036"/>
      <c r="DB374" s="1973">
        <v>1</v>
      </c>
    </row>
    <row r="375" spans="1:106" x14ac:dyDescent="0.25">
      <c r="A375" s="2278" t="str">
        <f t="shared" si="204"/>
        <v>Pre-Rinse Sprayers, Gas Booster</v>
      </c>
      <c r="B375" s="1974" t="str">
        <f t="shared" si="204"/>
        <v/>
      </c>
      <c r="C375" s="2027">
        <v>5</v>
      </c>
      <c r="D375" s="2027"/>
      <c r="E375" s="2144">
        <v>0</v>
      </c>
      <c r="F375" s="2144"/>
      <c r="G375" s="2145">
        <v>0</v>
      </c>
      <c r="H375" s="2145"/>
      <c r="I375" s="2027">
        <v>172</v>
      </c>
      <c r="J375" s="2027"/>
      <c r="K375" s="1974" t="s">
        <v>2988</v>
      </c>
      <c r="L375" s="1974" t="s">
        <v>2988</v>
      </c>
      <c r="M375" s="2026">
        <v>0.9</v>
      </c>
      <c r="N375" s="2026">
        <v>0.9</v>
      </c>
      <c r="O375" s="2026">
        <v>0.9</v>
      </c>
      <c r="P375" s="2026">
        <v>0.9</v>
      </c>
      <c r="Q375" s="2027">
        <f t="shared" si="200"/>
        <v>0</v>
      </c>
      <c r="R375" s="2027">
        <f t="shared" si="200"/>
        <v>0</v>
      </c>
      <c r="S375" s="2027">
        <f t="shared" si="200"/>
        <v>0</v>
      </c>
      <c r="T375" s="2027">
        <f t="shared" si="200"/>
        <v>0</v>
      </c>
      <c r="U375" s="2026">
        <v>0.9</v>
      </c>
      <c r="V375" s="2026">
        <v>0.9</v>
      </c>
      <c r="W375" s="2026">
        <v>0.9</v>
      </c>
      <c r="X375" s="2026">
        <v>0.9</v>
      </c>
      <c r="Y375" s="2028">
        <f t="shared" si="201"/>
        <v>0</v>
      </c>
      <c r="Z375" s="2028">
        <f t="shared" si="201"/>
        <v>0</v>
      </c>
      <c r="AA375" s="2028">
        <f t="shared" si="201"/>
        <v>0</v>
      </c>
      <c r="AB375" s="2028">
        <f t="shared" si="201"/>
        <v>0</v>
      </c>
      <c r="AC375" s="2026">
        <v>0.9</v>
      </c>
      <c r="AD375" s="2026">
        <v>0.9</v>
      </c>
      <c r="AE375" s="2026">
        <v>0.9</v>
      </c>
      <c r="AF375" s="2026">
        <v>0.9</v>
      </c>
      <c r="AG375" s="2027">
        <f t="shared" si="202"/>
        <v>154.80000000000001</v>
      </c>
      <c r="AH375" s="2027">
        <f t="shared" si="202"/>
        <v>154.80000000000001</v>
      </c>
      <c r="AI375" s="2027">
        <f t="shared" si="202"/>
        <v>154.80000000000001</v>
      </c>
      <c r="AJ375" s="2027">
        <f t="shared" si="202"/>
        <v>154.80000000000001</v>
      </c>
      <c r="AK375" s="2027">
        <v>7</v>
      </c>
      <c r="AL375" s="2027">
        <v>7</v>
      </c>
      <c r="AM375" s="2027">
        <v>7</v>
      </c>
      <c r="AN375" s="2027">
        <v>5</v>
      </c>
      <c r="AO375" s="2027">
        <f t="shared" si="171"/>
        <v>0</v>
      </c>
      <c r="AP375" s="2027">
        <f t="shared" si="195"/>
        <v>0</v>
      </c>
      <c r="AQ375" s="2027">
        <f t="shared" si="195"/>
        <v>0</v>
      </c>
      <c r="AR375" s="2027" t="s">
        <v>3286</v>
      </c>
      <c r="AS375" s="2027">
        <f t="shared" si="173"/>
        <v>0</v>
      </c>
      <c r="AT375" s="2027">
        <f t="shared" si="174"/>
        <v>1083.6000000000001</v>
      </c>
      <c r="AU375" s="2027">
        <f t="shared" si="196"/>
        <v>1083.6000000000001</v>
      </c>
      <c r="AV375" s="2027">
        <f t="shared" si="196"/>
        <v>1083.6000000000001</v>
      </c>
      <c r="AW375" s="2027">
        <f t="shared" si="196"/>
        <v>774</v>
      </c>
      <c r="AX375" s="2124">
        <v>0</v>
      </c>
      <c r="AY375" s="2029">
        <v>0</v>
      </c>
      <c r="AZ375" s="2029">
        <v>0</v>
      </c>
      <c r="BA375" s="2029">
        <v>0</v>
      </c>
      <c r="BB375" s="2124">
        <v>100</v>
      </c>
      <c r="BC375" s="2029">
        <v>100</v>
      </c>
      <c r="BD375" s="2029">
        <v>100</v>
      </c>
      <c r="BE375" s="2029">
        <v>100</v>
      </c>
      <c r="BF375" s="2124">
        <v>100</v>
      </c>
      <c r="BG375" s="2029">
        <v>100</v>
      </c>
      <c r="BH375" s="2029">
        <v>100</v>
      </c>
      <c r="BI375" s="2029">
        <v>100</v>
      </c>
      <c r="BJ375" s="2030">
        <f t="shared" si="197"/>
        <v>0</v>
      </c>
      <c r="BK375" s="2030">
        <f t="shared" si="197"/>
        <v>0</v>
      </c>
      <c r="BL375" s="2030">
        <f t="shared" si="197"/>
        <v>0</v>
      </c>
      <c r="BM375" s="2030" t="s">
        <v>3286</v>
      </c>
      <c r="BN375" s="2030">
        <f t="shared" si="177"/>
        <v>0</v>
      </c>
      <c r="BO375" s="2030">
        <f t="shared" si="178"/>
        <v>700</v>
      </c>
      <c r="BP375" s="2030" t="s">
        <v>3286</v>
      </c>
      <c r="BQ375" s="2030">
        <f t="shared" si="198"/>
        <v>700</v>
      </c>
      <c r="BR375" s="2030">
        <f t="shared" si="198"/>
        <v>700</v>
      </c>
      <c r="BS375" s="2030">
        <f t="shared" si="198"/>
        <v>500</v>
      </c>
      <c r="BT375" s="2125"/>
      <c r="BU375" s="2125"/>
      <c r="BV375" s="2125"/>
      <c r="BW375" s="2125"/>
      <c r="BX375" s="2125"/>
      <c r="BY375" s="2125"/>
      <c r="BZ375" s="2125"/>
      <c r="CA375" s="2125"/>
      <c r="CB375" s="2029"/>
      <c r="CC375" s="2029"/>
      <c r="CD375" s="2029"/>
      <c r="CE375" s="2029"/>
      <c r="CF375" s="2029"/>
      <c r="CG375" s="2032"/>
      <c r="CH375" s="1974">
        <v>23587</v>
      </c>
      <c r="CI375" s="1974">
        <v>0</v>
      </c>
      <c r="CJ375" s="1974">
        <v>0</v>
      </c>
      <c r="CK375" s="1974">
        <v>0</v>
      </c>
      <c r="CL375" s="1974">
        <v>0</v>
      </c>
      <c r="CM375" s="2033">
        <v>0</v>
      </c>
      <c r="CN375" s="2026">
        <v>3.4904774404697709E-4</v>
      </c>
      <c r="CO375" s="1974">
        <v>0</v>
      </c>
      <c r="CP375" s="2031">
        <v>0</v>
      </c>
      <c r="CQ375" s="2031">
        <f t="shared" si="183"/>
        <v>0</v>
      </c>
      <c r="CR375" s="2026">
        <v>1</v>
      </c>
      <c r="CS375" s="2026">
        <v>1</v>
      </c>
      <c r="CT375" s="2026">
        <v>1</v>
      </c>
      <c r="CU375" s="2026">
        <v>1</v>
      </c>
      <c r="CV375" s="2036"/>
      <c r="CW375" s="2036"/>
      <c r="CX375" s="2036"/>
      <c r="CY375" s="2036"/>
      <c r="CZ375" s="2036"/>
      <c r="DA375" s="2036"/>
      <c r="DB375" s="1973">
        <v>1</v>
      </c>
    </row>
    <row r="376" spans="1:106" x14ac:dyDescent="0.25">
      <c r="A376" s="2278" t="str">
        <f t="shared" si="204"/>
        <v>Early Replacement Furnace</v>
      </c>
      <c r="B376" s="1974" t="str">
        <f t="shared" si="204"/>
        <v>BPH8</v>
      </c>
      <c r="C376" s="2027">
        <v>16.5</v>
      </c>
      <c r="D376" s="2027"/>
      <c r="E376" s="2144">
        <v>710</v>
      </c>
      <c r="F376" s="2144"/>
      <c r="G376" s="2145">
        <v>3.8899999999999997E-2</v>
      </c>
      <c r="H376" s="2145"/>
      <c r="I376" s="2027">
        <v>503.6</v>
      </c>
      <c r="J376" s="2027"/>
      <c r="K376" s="1974" t="s">
        <v>2988</v>
      </c>
      <c r="L376" s="1974" t="s">
        <v>2988</v>
      </c>
      <c r="M376" s="2026">
        <v>0.9</v>
      </c>
      <c r="N376" s="2026">
        <v>0.9</v>
      </c>
      <c r="O376" s="2026">
        <v>0.9</v>
      </c>
      <c r="P376" s="2026">
        <v>0.9</v>
      </c>
      <c r="Q376" s="2027">
        <f t="shared" si="200"/>
        <v>639</v>
      </c>
      <c r="R376" s="2027">
        <f t="shared" si="200"/>
        <v>639</v>
      </c>
      <c r="S376" s="2027">
        <f t="shared" si="200"/>
        <v>639</v>
      </c>
      <c r="T376" s="2027">
        <f t="shared" si="200"/>
        <v>639</v>
      </c>
      <c r="U376" s="2026">
        <v>0.9</v>
      </c>
      <c r="V376" s="2026">
        <v>0.9</v>
      </c>
      <c r="W376" s="2026">
        <v>0.9</v>
      </c>
      <c r="X376" s="2026">
        <v>0.9</v>
      </c>
      <c r="Y376" s="2028">
        <f t="shared" si="201"/>
        <v>3.5009999999999999E-2</v>
      </c>
      <c r="Z376" s="2028">
        <f t="shared" si="201"/>
        <v>3.5009999999999999E-2</v>
      </c>
      <c r="AA376" s="2028">
        <f t="shared" si="201"/>
        <v>3.5009999999999999E-2</v>
      </c>
      <c r="AB376" s="2028">
        <f t="shared" si="201"/>
        <v>3.5009999999999999E-2</v>
      </c>
      <c r="AC376" s="2026">
        <v>0.9</v>
      </c>
      <c r="AD376" s="2026">
        <v>0.9</v>
      </c>
      <c r="AE376" s="2026">
        <v>0.9</v>
      </c>
      <c r="AF376" s="2026">
        <v>0.9</v>
      </c>
      <c r="AG376" s="2027">
        <f t="shared" si="202"/>
        <v>453.24</v>
      </c>
      <c r="AH376" s="2027">
        <f t="shared" si="202"/>
        <v>453.24</v>
      </c>
      <c r="AI376" s="2027">
        <f t="shared" si="202"/>
        <v>453.24</v>
      </c>
      <c r="AJ376" s="2027">
        <f t="shared" si="202"/>
        <v>453.24</v>
      </c>
      <c r="AK376" s="2027">
        <v>34</v>
      </c>
      <c r="AL376" s="2028">
        <v>34</v>
      </c>
      <c r="AM376" s="2028">
        <v>30</v>
      </c>
      <c r="AN376" s="2028">
        <v>22</v>
      </c>
      <c r="AO376" s="2027">
        <f t="shared" si="171"/>
        <v>21726</v>
      </c>
      <c r="AP376" s="2027">
        <f t="shared" si="195"/>
        <v>21726</v>
      </c>
      <c r="AQ376" s="2027">
        <f t="shared" si="195"/>
        <v>19170</v>
      </c>
      <c r="AR376" s="2027" t="s">
        <v>3286</v>
      </c>
      <c r="AS376" s="2027">
        <f t="shared" si="173"/>
        <v>14058</v>
      </c>
      <c r="AT376" s="2027">
        <f t="shared" si="174"/>
        <v>15410.16</v>
      </c>
      <c r="AU376" s="2027">
        <f t="shared" si="196"/>
        <v>15410.16</v>
      </c>
      <c r="AV376" s="2027">
        <f t="shared" si="196"/>
        <v>13597.2</v>
      </c>
      <c r="AW376" s="2027">
        <f t="shared" si="196"/>
        <v>9971.2800000000007</v>
      </c>
      <c r="AX376" s="2046">
        <v>160</v>
      </c>
      <c r="AY376" s="2046">
        <v>160</v>
      </c>
      <c r="AZ376" s="2046">
        <v>160</v>
      </c>
      <c r="BA376" s="2046">
        <v>160</v>
      </c>
      <c r="BB376" s="2046">
        <v>1440</v>
      </c>
      <c r="BC376" s="2046">
        <v>1440</v>
      </c>
      <c r="BD376" s="2046">
        <v>1440</v>
      </c>
      <c r="BE376" s="2046">
        <v>1440</v>
      </c>
      <c r="BF376" s="2124">
        <v>1406.36</v>
      </c>
      <c r="BG376" s="2029">
        <v>1406.36</v>
      </c>
      <c r="BH376" s="2029">
        <v>1406.36</v>
      </c>
      <c r="BI376" s="2029">
        <v>1406.36</v>
      </c>
      <c r="BJ376" s="2030">
        <f t="shared" si="197"/>
        <v>5440</v>
      </c>
      <c r="BK376" s="2030">
        <f t="shared" si="197"/>
        <v>5440</v>
      </c>
      <c r="BL376" s="2030">
        <f t="shared" si="197"/>
        <v>4800</v>
      </c>
      <c r="BM376" s="2030" t="s">
        <v>3286</v>
      </c>
      <c r="BN376" s="2030">
        <f t="shared" si="177"/>
        <v>3520</v>
      </c>
      <c r="BO376" s="2030">
        <f t="shared" si="178"/>
        <v>48960</v>
      </c>
      <c r="BP376" s="2030" t="s">
        <v>3286</v>
      </c>
      <c r="BQ376" s="2030">
        <f t="shared" si="198"/>
        <v>48960</v>
      </c>
      <c r="BR376" s="2030">
        <f t="shared" si="198"/>
        <v>43200</v>
      </c>
      <c r="BS376" s="2030">
        <f t="shared" si="198"/>
        <v>31680</v>
      </c>
      <c r="BT376" s="2125"/>
      <c r="BU376" s="2125"/>
      <c r="BV376" s="2125"/>
      <c r="BW376" s="2125"/>
      <c r="BX376" s="2125"/>
      <c r="BY376" s="2125"/>
      <c r="BZ376" s="2125"/>
      <c r="CA376" s="2125"/>
      <c r="CB376" s="2029"/>
      <c r="CC376" s="2029"/>
      <c r="CD376" s="2029"/>
      <c r="CE376" s="2029"/>
      <c r="CF376" s="2029"/>
      <c r="CG376" s="2032"/>
      <c r="CH376" s="1974">
        <v>0</v>
      </c>
      <c r="CI376" s="1974" t="s">
        <v>2945</v>
      </c>
      <c r="CJ376" s="1974" t="s">
        <v>2946</v>
      </c>
      <c r="CK376" s="1974">
        <v>58.92</v>
      </c>
      <c r="CL376" s="1974">
        <v>1</v>
      </c>
      <c r="CM376" s="2033">
        <v>6.4210254132541193E-5</v>
      </c>
      <c r="CN376" s="2026">
        <v>4.3799113929084126E-3</v>
      </c>
      <c r="CO376" s="1974">
        <v>0</v>
      </c>
      <c r="CP376" s="2031">
        <v>0</v>
      </c>
      <c r="CQ376" s="2031">
        <f t="shared" si="183"/>
        <v>0</v>
      </c>
      <c r="CR376" s="2026">
        <v>1</v>
      </c>
      <c r="CS376" s="2026">
        <v>1</v>
      </c>
      <c r="CT376" s="2026">
        <v>1</v>
      </c>
      <c r="CU376" s="2026">
        <v>1</v>
      </c>
      <c r="CV376" s="2036"/>
      <c r="CW376" s="2036"/>
      <c r="CX376" s="2036"/>
      <c r="CY376" s="2036"/>
      <c r="CZ376" s="2036"/>
      <c r="DA376" s="2036"/>
      <c r="DB376" s="1973">
        <v>1</v>
      </c>
    </row>
    <row r="377" spans="1:106" x14ac:dyDescent="0.25">
      <c r="A377" s="2277" t="str">
        <f t="shared" si="204"/>
        <v>Boiler Lockout/Reset Controls</v>
      </c>
      <c r="B377" s="1974" t="str">
        <f t="shared" si="204"/>
        <v/>
      </c>
      <c r="C377" s="2027">
        <v>20</v>
      </c>
      <c r="D377" s="2027"/>
      <c r="E377" s="2144">
        <v>0</v>
      </c>
      <c r="F377" s="2144"/>
      <c r="G377" s="2145">
        <v>0</v>
      </c>
      <c r="H377" s="2145"/>
      <c r="I377" s="2027">
        <v>1356</v>
      </c>
      <c r="J377" s="2027"/>
      <c r="K377" s="1974" t="s">
        <v>2988</v>
      </c>
      <c r="L377" s="1974" t="s">
        <v>2988</v>
      </c>
      <c r="M377" s="2026">
        <v>0.9</v>
      </c>
      <c r="N377" s="2026">
        <v>0.9</v>
      </c>
      <c r="O377" s="2026">
        <v>0.9</v>
      </c>
      <c r="P377" s="2026">
        <v>0.9</v>
      </c>
      <c r="Q377" s="2027">
        <f t="shared" si="200"/>
        <v>0</v>
      </c>
      <c r="R377" s="2027">
        <f t="shared" si="200"/>
        <v>0</v>
      </c>
      <c r="S377" s="2027">
        <f t="shared" si="200"/>
        <v>0</v>
      </c>
      <c r="T377" s="2027">
        <f t="shared" si="200"/>
        <v>0</v>
      </c>
      <c r="U377" s="2026">
        <v>0.9</v>
      </c>
      <c r="V377" s="2026">
        <v>0.9</v>
      </c>
      <c r="W377" s="2026">
        <v>0.9</v>
      </c>
      <c r="X377" s="2026">
        <v>0.9</v>
      </c>
      <c r="Y377" s="2028">
        <f t="shared" si="201"/>
        <v>0</v>
      </c>
      <c r="Z377" s="2028">
        <f t="shared" si="201"/>
        <v>0</v>
      </c>
      <c r="AA377" s="2028">
        <f t="shared" si="201"/>
        <v>0</v>
      </c>
      <c r="AB377" s="2028">
        <f t="shared" si="201"/>
        <v>0</v>
      </c>
      <c r="AC377" s="2026">
        <v>0.9</v>
      </c>
      <c r="AD377" s="2026">
        <v>0.9</v>
      </c>
      <c r="AE377" s="2026">
        <v>0.9</v>
      </c>
      <c r="AF377" s="2026">
        <v>0.9</v>
      </c>
      <c r="AG377" s="2027">
        <f t="shared" si="202"/>
        <v>1220.4000000000001</v>
      </c>
      <c r="AH377" s="2027">
        <f t="shared" si="202"/>
        <v>1220.4000000000001</v>
      </c>
      <c r="AI377" s="2027">
        <f t="shared" si="202"/>
        <v>1220.4000000000001</v>
      </c>
      <c r="AJ377" s="2027">
        <f t="shared" si="202"/>
        <v>1220.4000000000001</v>
      </c>
      <c r="AK377" s="2265">
        <v>25</v>
      </c>
      <c r="AL377" s="2265">
        <v>25</v>
      </c>
      <c r="AM377" s="2265">
        <v>25</v>
      </c>
      <c r="AN377" s="2265">
        <v>25</v>
      </c>
      <c r="AO377" s="2027">
        <f t="shared" si="171"/>
        <v>0</v>
      </c>
      <c r="AP377" s="2027">
        <f t="shared" si="195"/>
        <v>0</v>
      </c>
      <c r="AQ377" s="2027">
        <f t="shared" si="195"/>
        <v>0</v>
      </c>
      <c r="AR377" s="2027" t="s">
        <v>3286</v>
      </c>
      <c r="AS377" s="2027">
        <f t="shared" si="173"/>
        <v>0</v>
      </c>
      <c r="AT377" s="2027">
        <f t="shared" si="174"/>
        <v>30510.000000000004</v>
      </c>
      <c r="AU377" s="2027">
        <f t="shared" si="196"/>
        <v>30510.000000000004</v>
      </c>
      <c r="AV377" s="2027">
        <f t="shared" si="196"/>
        <v>30510.000000000004</v>
      </c>
      <c r="AW377" s="2027">
        <f t="shared" si="196"/>
        <v>30510.000000000004</v>
      </c>
      <c r="AX377" s="2124">
        <v>0</v>
      </c>
      <c r="AY377" s="2029">
        <v>0</v>
      </c>
      <c r="AZ377" s="2029">
        <v>0</v>
      </c>
      <c r="BA377" s="2029">
        <v>0</v>
      </c>
      <c r="BB377" s="2124">
        <v>1200</v>
      </c>
      <c r="BC377" s="2029">
        <v>1200</v>
      </c>
      <c r="BD377" s="2029">
        <v>1200</v>
      </c>
      <c r="BE377" s="2029">
        <v>1200</v>
      </c>
      <c r="BF377" s="2124">
        <v>612</v>
      </c>
      <c r="BG377" s="2029">
        <v>612</v>
      </c>
      <c r="BH377" s="2029">
        <v>612</v>
      </c>
      <c r="BI377" s="2029">
        <v>612</v>
      </c>
      <c r="BJ377" s="2030">
        <f t="shared" si="197"/>
        <v>0</v>
      </c>
      <c r="BK377" s="2030">
        <f t="shared" si="197"/>
        <v>0</v>
      </c>
      <c r="BL377" s="2030">
        <f t="shared" si="197"/>
        <v>0</v>
      </c>
      <c r="BM377" s="2030" t="s">
        <v>3286</v>
      </c>
      <c r="BN377" s="2030">
        <f t="shared" si="177"/>
        <v>0</v>
      </c>
      <c r="BO377" s="2030">
        <f t="shared" si="178"/>
        <v>30000</v>
      </c>
      <c r="BP377" s="2030" t="s">
        <v>3286</v>
      </c>
      <c r="BQ377" s="2030">
        <f t="shared" si="198"/>
        <v>30000</v>
      </c>
      <c r="BR377" s="2030">
        <f t="shared" si="198"/>
        <v>30000</v>
      </c>
      <c r="BS377" s="2030">
        <f t="shared" si="198"/>
        <v>30000</v>
      </c>
      <c r="BT377" s="2125"/>
      <c r="BU377" s="2125"/>
      <c r="BV377" s="2125"/>
      <c r="BW377" s="2125"/>
      <c r="BX377" s="2125"/>
      <c r="BY377" s="2125"/>
      <c r="BZ377" s="2125"/>
      <c r="CA377" s="2125"/>
      <c r="CB377" s="2029"/>
      <c r="CC377" s="2029"/>
      <c r="CD377" s="2029"/>
      <c r="CE377" s="2029"/>
      <c r="CF377" s="2029"/>
      <c r="CG377" s="2032"/>
      <c r="CH377" s="1974">
        <v>0</v>
      </c>
      <c r="CI377" s="1974">
        <v>0</v>
      </c>
      <c r="CJ377" s="1974">
        <v>0</v>
      </c>
      <c r="CK377" s="1974">
        <v>0</v>
      </c>
      <c r="CL377" s="1974">
        <v>0</v>
      </c>
      <c r="CM377" s="2033">
        <v>0</v>
      </c>
      <c r="CN377" s="2026">
        <v>5.8967035829863065E-3</v>
      </c>
      <c r="CO377" s="1974">
        <v>0</v>
      </c>
      <c r="CP377" s="2031">
        <v>0</v>
      </c>
      <c r="CQ377" s="2031">
        <f t="shared" si="183"/>
        <v>0</v>
      </c>
      <c r="CR377" s="2026">
        <v>1</v>
      </c>
      <c r="CS377" s="2026">
        <v>1</v>
      </c>
      <c r="CT377" s="2026">
        <v>1</v>
      </c>
      <c r="CU377" s="2026">
        <v>1</v>
      </c>
      <c r="CV377" s="2036"/>
      <c r="CW377" s="2036"/>
      <c r="CX377" s="2036"/>
      <c r="CY377" s="2036"/>
      <c r="CZ377" s="2036"/>
      <c r="DA377" s="2036"/>
      <c r="DB377" s="1973">
        <v>1</v>
      </c>
    </row>
    <row r="378" spans="1:106" x14ac:dyDescent="0.25">
      <c r="A378" s="2277" t="str">
        <f>IF(A105="","",A105)</f>
        <v>Commercial Pool covers</v>
      </c>
      <c r="B378" s="1974" t="str">
        <f>IF(B105="","",B105)</f>
        <v/>
      </c>
      <c r="C378" s="2027">
        <v>6</v>
      </c>
      <c r="D378" s="2027"/>
      <c r="E378" s="2144">
        <v>0</v>
      </c>
      <c r="F378" s="2144"/>
      <c r="G378" s="2145">
        <v>0</v>
      </c>
      <c r="H378" s="2145"/>
      <c r="I378" s="2027">
        <v>587.29999999999995</v>
      </c>
      <c r="J378" s="2027"/>
      <c r="K378" s="1974" t="s">
        <v>2988</v>
      </c>
      <c r="L378" s="1974" t="s">
        <v>2988</v>
      </c>
      <c r="M378" s="2026">
        <v>0.9</v>
      </c>
      <c r="N378" s="2026">
        <v>0.9</v>
      </c>
      <c r="O378" s="2026">
        <v>0.9</v>
      </c>
      <c r="P378" s="2026">
        <v>0.9</v>
      </c>
      <c r="Q378" s="2027">
        <f t="shared" si="200"/>
        <v>0</v>
      </c>
      <c r="R378" s="2027">
        <f t="shared" si="200"/>
        <v>0</v>
      </c>
      <c r="S378" s="2027">
        <f t="shared" si="200"/>
        <v>0</v>
      </c>
      <c r="T378" s="2027">
        <f t="shared" si="200"/>
        <v>0</v>
      </c>
      <c r="U378" s="2026">
        <v>0.9</v>
      </c>
      <c r="V378" s="2026">
        <v>0.9</v>
      </c>
      <c r="W378" s="2026">
        <v>0.9</v>
      </c>
      <c r="X378" s="2026">
        <v>0.9</v>
      </c>
      <c r="Y378" s="2028">
        <f t="shared" si="201"/>
        <v>0</v>
      </c>
      <c r="Z378" s="2028">
        <f t="shared" si="201"/>
        <v>0</v>
      </c>
      <c r="AA378" s="2028">
        <f t="shared" si="201"/>
        <v>0</v>
      </c>
      <c r="AB378" s="2028">
        <f t="shared" si="201"/>
        <v>0</v>
      </c>
      <c r="AC378" s="2026">
        <v>0.9</v>
      </c>
      <c r="AD378" s="2026">
        <v>0.9</v>
      </c>
      <c r="AE378" s="2026">
        <v>0.9</v>
      </c>
      <c r="AF378" s="2026">
        <v>0.9</v>
      </c>
      <c r="AG378" s="2027">
        <f t="shared" si="202"/>
        <v>528.56999999999994</v>
      </c>
      <c r="AH378" s="2027">
        <f t="shared" si="202"/>
        <v>528.56999999999994</v>
      </c>
      <c r="AI378" s="2027">
        <f t="shared" si="202"/>
        <v>528.56999999999994</v>
      </c>
      <c r="AJ378" s="2027">
        <f t="shared" si="202"/>
        <v>528.56999999999994</v>
      </c>
      <c r="AK378" s="2265">
        <v>5</v>
      </c>
      <c r="AL378" s="2279">
        <v>5</v>
      </c>
      <c r="AM378" s="2279">
        <v>5</v>
      </c>
      <c r="AN378" s="2279">
        <v>5</v>
      </c>
      <c r="AO378" s="2027">
        <f t="shared" si="171"/>
        <v>0</v>
      </c>
      <c r="AP378" s="2027">
        <f t="shared" si="195"/>
        <v>0</v>
      </c>
      <c r="AQ378" s="2027">
        <f t="shared" si="195"/>
        <v>0</v>
      </c>
      <c r="AR378" s="2027" t="s">
        <v>3286</v>
      </c>
      <c r="AS378" s="2027">
        <f t="shared" si="173"/>
        <v>0</v>
      </c>
      <c r="AT378" s="2027">
        <f t="shared" si="174"/>
        <v>2642.8499999999995</v>
      </c>
      <c r="AU378" s="2027">
        <f t="shared" si="196"/>
        <v>2642.8499999999995</v>
      </c>
      <c r="AV378" s="2027">
        <f t="shared" si="196"/>
        <v>2642.8499999999995</v>
      </c>
      <c r="AW378" s="2027">
        <f t="shared" si="196"/>
        <v>2642.8499999999995</v>
      </c>
      <c r="AX378" s="2124">
        <v>0</v>
      </c>
      <c r="AY378" s="2029">
        <v>0</v>
      </c>
      <c r="AZ378" s="2029">
        <v>0</v>
      </c>
      <c r="BA378" s="2029">
        <v>0</v>
      </c>
      <c r="BB378" s="2124">
        <v>600</v>
      </c>
      <c r="BC378" s="2029">
        <v>600</v>
      </c>
      <c r="BD378" s="2029">
        <v>600</v>
      </c>
      <c r="BE378" s="2029">
        <v>600</v>
      </c>
      <c r="BF378" s="2124">
        <v>550</v>
      </c>
      <c r="BG378" s="2029">
        <v>550</v>
      </c>
      <c r="BH378" s="2029">
        <v>550</v>
      </c>
      <c r="BI378" s="2029">
        <v>550</v>
      </c>
      <c r="BJ378" s="2030">
        <f t="shared" si="197"/>
        <v>0</v>
      </c>
      <c r="BK378" s="2030">
        <f t="shared" si="197"/>
        <v>0</v>
      </c>
      <c r="BL378" s="2030">
        <f t="shared" si="197"/>
        <v>0</v>
      </c>
      <c r="BM378" s="2030" t="s">
        <v>3286</v>
      </c>
      <c r="BN378" s="2030">
        <f t="shared" si="177"/>
        <v>0</v>
      </c>
      <c r="BO378" s="2030">
        <f t="shared" si="178"/>
        <v>3000</v>
      </c>
      <c r="BP378" s="2030" t="s">
        <v>3286</v>
      </c>
      <c r="BQ378" s="2030">
        <f t="shared" si="198"/>
        <v>3000</v>
      </c>
      <c r="BR378" s="2030">
        <f t="shared" si="198"/>
        <v>3000</v>
      </c>
      <c r="BS378" s="2030">
        <f t="shared" si="198"/>
        <v>3000</v>
      </c>
      <c r="BT378" s="2125"/>
      <c r="BU378" s="2125"/>
      <c r="BV378" s="2125"/>
      <c r="BW378" s="2125"/>
      <c r="BX378" s="2125"/>
      <c r="BY378" s="2125"/>
      <c r="BZ378" s="2125"/>
      <c r="CA378" s="2125"/>
      <c r="CB378" s="2029"/>
      <c r="CC378" s="2029"/>
      <c r="CD378" s="2029"/>
      <c r="CE378" s="2029"/>
      <c r="CF378" s="2029"/>
      <c r="CG378" s="2032"/>
      <c r="CH378" s="1974">
        <v>3438</v>
      </c>
      <c r="CI378" s="1974">
        <v>0</v>
      </c>
      <c r="CJ378" s="1974">
        <v>0</v>
      </c>
      <c r="CK378" s="1974">
        <v>0</v>
      </c>
      <c r="CL378" s="1974">
        <v>0</v>
      </c>
      <c r="CM378" s="2033">
        <v>0</v>
      </c>
      <c r="CN378" s="2026">
        <v>1.7026224259035681E-4</v>
      </c>
      <c r="CO378" s="1974">
        <v>0</v>
      </c>
      <c r="CP378" s="2031">
        <v>0</v>
      </c>
      <c r="CQ378" s="2031">
        <f t="shared" si="183"/>
        <v>0</v>
      </c>
      <c r="CR378" s="2026">
        <v>1</v>
      </c>
      <c r="CS378" s="2026">
        <v>1</v>
      </c>
      <c r="CT378" s="2026">
        <v>1</v>
      </c>
      <c r="CU378" s="2026">
        <v>1</v>
      </c>
      <c r="CV378" s="2036"/>
      <c r="CW378" s="2036"/>
      <c r="CX378" s="2036"/>
      <c r="CY378" s="2036"/>
      <c r="CZ378" s="2036"/>
      <c r="DA378" s="2036"/>
      <c r="DB378" s="1973">
        <v>1</v>
      </c>
    </row>
    <row r="379" spans="1:106" x14ac:dyDescent="0.25">
      <c r="A379" s="2278" t="str">
        <f t="shared" ref="A379:B385" si="205">IF(A108="","",A108)</f>
        <v>Infrared Upright Broiler</v>
      </c>
      <c r="B379" s="1974" t="str">
        <f t="shared" si="205"/>
        <v/>
      </c>
      <c r="C379" s="2027">
        <v>10</v>
      </c>
      <c r="D379" s="2027"/>
      <c r="E379" s="2144">
        <v>0</v>
      </c>
      <c r="F379" s="2144"/>
      <c r="G379" s="2145">
        <v>0</v>
      </c>
      <c r="H379" s="2145"/>
      <c r="I379" s="2027">
        <v>1089</v>
      </c>
      <c r="J379" s="2027"/>
      <c r="K379" s="1974" t="s">
        <v>2988</v>
      </c>
      <c r="L379" s="1974" t="s">
        <v>2988</v>
      </c>
      <c r="M379" s="2026">
        <v>0.9</v>
      </c>
      <c r="N379" s="2026">
        <v>0.9</v>
      </c>
      <c r="O379" s="2026">
        <v>0.9</v>
      </c>
      <c r="P379" s="2026">
        <v>0.9</v>
      </c>
      <c r="Q379" s="2027">
        <f t="shared" si="200"/>
        <v>0</v>
      </c>
      <c r="R379" s="2027">
        <f t="shared" si="200"/>
        <v>0</v>
      </c>
      <c r="S379" s="2027">
        <f t="shared" si="200"/>
        <v>0</v>
      </c>
      <c r="T379" s="2027">
        <f t="shared" si="200"/>
        <v>0</v>
      </c>
      <c r="U379" s="2026">
        <v>0.9</v>
      </c>
      <c r="V379" s="2026">
        <v>0.9</v>
      </c>
      <c r="W379" s="2026">
        <v>0.9</v>
      </c>
      <c r="X379" s="2026">
        <v>0.9</v>
      </c>
      <c r="Y379" s="2028">
        <f t="shared" si="201"/>
        <v>0</v>
      </c>
      <c r="Z379" s="2028">
        <f t="shared" si="201"/>
        <v>0</v>
      </c>
      <c r="AA379" s="2028">
        <f t="shared" si="201"/>
        <v>0</v>
      </c>
      <c r="AB379" s="2028">
        <f t="shared" si="201"/>
        <v>0</v>
      </c>
      <c r="AC379" s="2026">
        <v>0.9</v>
      </c>
      <c r="AD379" s="2026">
        <v>0.9</v>
      </c>
      <c r="AE379" s="2026">
        <v>0.9</v>
      </c>
      <c r="AF379" s="2026">
        <v>0.9</v>
      </c>
      <c r="AG379" s="2027">
        <f t="shared" si="202"/>
        <v>980.1</v>
      </c>
      <c r="AH379" s="2027">
        <f t="shared" si="202"/>
        <v>980.1</v>
      </c>
      <c r="AI379" s="2027">
        <f t="shared" si="202"/>
        <v>980.1</v>
      </c>
      <c r="AJ379" s="2027">
        <f t="shared" si="202"/>
        <v>980.1</v>
      </c>
      <c r="AK379" s="2027">
        <v>0</v>
      </c>
      <c r="AL379" s="2028">
        <v>1</v>
      </c>
      <c r="AM379" s="2028"/>
      <c r="AN379" s="2028"/>
      <c r="AO379" s="2027">
        <f t="shared" si="171"/>
        <v>0</v>
      </c>
      <c r="AP379" s="2027">
        <f t="shared" si="195"/>
        <v>0</v>
      </c>
      <c r="AQ379" s="2027">
        <f t="shared" si="195"/>
        <v>0</v>
      </c>
      <c r="AR379" s="2027" t="s">
        <v>3286</v>
      </c>
      <c r="AS379" s="2027">
        <f t="shared" si="173"/>
        <v>0</v>
      </c>
      <c r="AT379" s="2027">
        <f t="shared" si="174"/>
        <v>0</v>
      </c>
      <c r="AU379" s="2027">
        <f t="shared" si="196"/>
        <v>980.1</v>
      </c>
      <c r="AV379" s="2027">
        <f t="shared" si="196"/>
        <v>0</v>
      </c>
      <c r="AW379" s="2027">
        <f t="shared" si="196"/>
        <v>0</v>
      </c>
      <c r="AX379" s="2124">
        <v>0</v>
      </c>
      <c r="AY379" s="2029">
        <v>0</v>
      </c>
      <c r="AZ379" s="2029">
        <v>0</v>
      </c>
      <c r="BA379" s="2029">
        <v>0</v>
      </c>
      <c r="BB379" s="2124">
        <v>3000</v>
      </c>
      <c r="BC379" s="2029">
        <v>3000</v>
      </c>
      <c r="BD379" s="2029">
        <v>3000</v>
      </c>
      <c r="BE379" s="2029">
        <v>3000</v>
      </c>
      <c r="BF379" s="2124">
        <v>5900</v>
      </c>
      <c r="BG379" s="2029">
        <v>5900</v>
      </c>
      <c r="BH379" s="2029">
        <v>5900</v>
      </c>
      <c r="BI379" s="2029">
        <v>5900</v>
      </c>
      <c r="BJ379" s="2030">
        <f t="shared" si="197"/>
        <v>0</v>
      </c>
      <c r="BK379" s="2030">
        <f t="shared" si="197"/>
        <v>0</v>
      </c>
      <c r="BL379" s="2030">
        <f t="shared" si="197"/>
        <v>0</v>
      </c>
      <c r="BM379" s="2030" t="s">
        <v>3286</v>
      </c>
      <c r="BN379" s="2030">
        <f t="shared" si="177"/>
        <v>0</v>
      </c>
      <c r="BO379" s="2030">
        <f t="shared" si="178"/>
        <v>0</v>
      </c>
      <c r="BP379" s="2030" t="s">
        <v>3286</v>
      </c>
      <c r="BQ379" s="2030">
        <f t="shared" si="198"/>
        <v>3000</v>
      </c>
      <c r="BR379" s="2030">
        <f t="shared" si="198"/>
        <v>0</v>
      </c>
      <c r="BS379" s="2030">
        <f t="shared" si="198"/>
        <v>0</v>
      </c>
      <c r="BT379" s="2125"/>
      <c r="BU379" s="2125"/>
      <c r="BV379" s="2125"/>
      <c r="BW379" s="2125"/>
      <c r="BX379" s="2125"/>
      <c r="BY379" s="2125"/>
      <c r="BZ379" s="2125"/>
      <c r="CA379" s="2125"/>
      <c r="CB379" s="2029"/>
      <c r="CC379" s="2029"/>
      <c r="CD379" s="2029"/>
      <c r="CE379" s="2029"/>
      <c r="CF379" s="2029"/>
      <c r="CG379" s="2032"/>
      <c r="CH379" s="1974">
        <v>0</v>
      </c>
      <c r="CI379" s="1974">
        <v>0</v>
      </c>
      <c r="CJ379" s="1974">
        <v>0</v>
      </c>
      <c r="CK379" s="1974">
        <v>0</v>
      </c>
      <c r="CL379" s="1974">
        <v>0</v>
      </c>
      <c r="CM379" s="2033">
        <v>0</v>
      </c>
      <c r="CN379" s="2026">
        <v>0</v>
      </c>
      <c r="CO379" s="1974">
        <v>0</v>
      </c>
      <c r="CP379" s="2031">
        <v>0</v>
      </c>
      <c r="CQ379" s="2031">
        <f t="shared" si="183"/>
        <v>0</v>
      </c>
      <c r="CR379" s="2026">
        <v>1</v>
      </c>
      <c r="CS379" s="2026">
        <v>1</v>
      </c>
      <c r="CT379" s="2026">
        <v>1</v>
      </c>
      <c r="CU379" s="2026">
        <v>1</v>
      </c>
      <c r="CV379" s="2036"/>
      <c r="CW379" s="2036"/>
      <c r="CX379" s="2036"/>
      <c r="CY379" s="2036"/>
      <c r="CZ379" s="2036"/>
      <c r="DA379" s="2036"/>
      <c r="DB379" s="1973">
        <v>1</v>
      </c>
    </row>
    <row r="380" spans="1:106" x14ac:dyDescent="0.25">
      <c r="A380" s="2278" t="str">
        <f t="shared" si="205"/>
        <v>Infrared Salamander Broiler</v>
      </c>
      <c r="B380" s="1974" t="str">
        <f t="shared" si="205"/>
        <v/>
      </c>
      <c r="C380" s="2027">
        <v>12</v>
      </c>
      <c r="D380" s="2027"/>
      <c r="E380" s="2144">
        <v>0</v>
      </c>
      <c r="F380" s="2144"/>
      <c r="G380" s="2145">
        <v>0</v>
      </c>
      <c r="H380" s="2145"/>
      <c r="I380" s="2027">
        <v>239</v>
      </c>
      <c r="J380" s="2027"/>
      <c r="K380" s="1974" t="s">
        <v>2988</v>
      </c>
      <c r="L380" s="1974" t="s">
        <v>2988</v>
      </c>
      <c r="M380" s="2026">
        <v>0.9</v>
      </c>
      <c r="N380" s="2026">
        <v>0.9</v>
      </c>
      <c r="O380" s="2026">
        <v>0.9</v>
      </c>
      <c r="P380" s="2026">
        <v>0.9</v>
      </c>
      <c r="Q380" s="2027">
        <f t="shared" si="200"/>
        <v>0</v>
      </c>
      <c r="R380" s="2027">
        <f t="shared" si="200"/>
        <v>0</v>
      </c>
      <c r="S380" s="2027">
        <f t="shared" si="200"/>
        <v>0</v>
      </c>
      <c r="T380" s="2027">
        <f t="shared" si="200"/>
        <v>0</v>
      </c>
      <c r="U380" s="2026">
        <v>0.9</v>
      </c>
      <c r="V380" s="2026">
        <v>0.9</v>
      </c>
      <c r="W380" s="2026">
        <v>0.9</v>
      </c>
      <c r="X380" s="2026">
        <v>0.9</v>
      </c>
      <c r="Y380" s="2028">
        <f t="shared" si="201"/>
        <v>0</v>
      </c>
      <c r="Z380" s="2028">
        <f t="shared" si="201"/>
        <v>0</v>
      </c>
      <c r="AA380" s="2028">
        <f t="shared" si="201"/>
        <v>0</v>
      </c>
      <c r="AB380" s="2028">
        <f t="shared" si="201"/>
        <v>0</v>
      </c>
      <c r="AC380" s="2026">
        <v>0.9</v>
      </c>
      <c r="AD380" s="2026">
        <v>0.9</v>
      </c>
      <c r="AE380" s="2026">
        <v>0.9</v>
      </c>
      <c r="AF380" s="2026">
        <v>0.9</v>
      </c>
      <c r="AG380" s="2027">
        <f t="shared" si="202"/>
        <v>215.1</v>
      </c>
      <c r="AH380" s="2027">
        <f t="shared" si="202"/>
        <v>215.1</v>
      </c>
      <c r="AI380" s="2027">
        <f t="shared" si="202"/>
        <v>215.1</v>
      </c>
      <c r="AJ380" s="2027">
        <f t="shared" si="202"/>
        <v>215.1</v>
      </c>
      <c r="AK380" s="2027">
        <v>0</v>
      </c>
      <c r="AL380" s="2028"/>
      <c r="AM380" s="2028"/>
      <c r="AN380" s="2028"/>
      <c r="AO380" s="2027">
        <f t="shared" si="171"/>
        <v>0</v>
      </c>
      <c r="AP380" s="2027">
        <f t="shared" si="195"/>
        <v>0</v>
      </c>
      <c r="AQ380" s="2027">
        <f t="shared" si="195"/>
        <v>0</v>
      </c>
      <c r="AR380" s="2027" t="s">
        <v>3286</v>
      </c>
      <c r="AS380" s="2027">
        <f t="shared" si="173"/>
        <v>0</v>
      </c>
      <c r="AT380" s="2027">
        <f t="shared" si="174"/>
        <v>0</v>
      </c>
      <c r="AU380" s="2027">
        <f t="shared" si="196"/>
        <v>0</v>
      </c>
      <c r="AV380" s="2027">
        <f t="shared" si="196"/>
        <v>0</v>
      </c>
      <c r="AW380" s="2027">
        <f t="shared" si="196"/>
        <v>0</v>
      </c>
      <c r="AX380" s="2124">
        <v>0</v>
      </c>
      <c r="AY380" s="2029">
        <v>0</v>
      </c>
      <c r="AZ380" s="2029">
        <v>0</v>
      </c>
      <c r="BA380" s="2029">
        <v>0</v>
      </c>
      <c r="BB380" s="2124">
        <v>750</v>
      </c>
      <c r="BC380" s="2029">
        <v>750</v>
      </c>
      <c r="BD380" s="2029">
        <v>750</v>
      </c>
      <c r="BE380" s="2029">
        <v>750</v>
      </c>
      <c r="BF380" s="2124">
        <v>1000</v>
      </c>
      <c r="BG380" s="2029">
        <v>1000</v>
      </c>
      <c r="BH380" s="2029">
        <v>1000</v>
      </c>
      <c r="BI380" s="2029">
        <v>1000</v>
      </c>
      <c r="BJ380" s="2030">
        <f t="shared" si="197"/>
        <v>0</v>
      </c>
      <c r="BK380" s="2030">
        <f t="shared" si="197"/>
        <v>0</v>
      </c>
      <c r="BL380" s="2030">
        <f t="shared" si="197"/>
        <v>0</v>
      </c>
      <c r="BM380" s="2030" t="s">
        <v>3286</v>
      </c>
      <c r="BN380" s="2030">
        <f t="shared" si="177"/>
        <v>0</v>
      </c>
      <c r="BO380" s="2030">
        <f t="shared" si="178"/>
        <v>0</v>
      </c>
      <c r="BP380" s="2030" t="s">
        <v>3286</v>
      </c>
      <c r="BQ380" s="2030">
        <f t="shared" si="198"/>
        <v>0</v>
      </c>
      <c r="BR380" s="2030">
        <f t="shared" si="198"/>
        <v>0</v>
      </c>
      <c r="BS380" s="2030">
        <f t="shared" si="198"/>
        <v>0</v>
      </c>
      <c r="BT380" s="2125"/>
      <c r="BU380" s="2125"/>
      <c r="BV380" s="2125"/>
      <c r="BW380" s="2125"/>
      <c r="BX380" s="2125"/>
      <c r="BY380" s="2125"/>
      <c r="BZ380" s="2125"/>
      <c r="CA380" s="2125"/>
      <c r="CB380" s="2029"/>
      <c r="CC380" s="2029"/>
      <c r="CD380" s="2029"/>
      <c r="CE380" s="2029"/>
      <c r="CF380" s="2029"/>
      <c r="CG380" s="2032"/>
      <c r="CH380" s="1974">
        <v>0</v>
      </c>
      <c r="CI380" s="1974">
        <v>0</v>
      </c>
      <c r="CJ380" s="1974">
        <v>0</v>
      </c>
      <c r="CK380" s="1974">
        <v>0</v>
      </c>
      <c r="CL380" s="1974">
        <v>0</v>
      </c>
      <c r="CM380" s="2033">
        <v>0</v>
      </c>
      <c r="CN380" s="2026">
        <v>0</v>
      </c>
      <c r="CO380" s="1974">
        <v>0</v>
      </c>
      <c r="CP380" s="2031">
        <v>0</v>
      </c>
      <c r="CQ380" s="2031">
        <f t="shared" si="183"/>
        <v>0</v>
      </c>
      <c r="CR380" s="2026">
        <v>1</v>
      </c>
      <c r="CS380" s="2026">
        <v>1</v>
      </c>
      <c r="CT380" s="2026">
        <v>1</v>
      </c>
      <c r="CU380" s="2026">
        <v>1</v>
      </c>
      <c r="CV380" s="2036"/>
      <c r="CW380" s="2036"/>
      <c r="CX380" s="2036"/>
      <c r="CY380" s="2036"/>
      <c r="CZ380" s="2036"/>
      <c r="DA380" s="2036"/>
      <c r="DB380" s="1973">
        <v>1</v>
      </c>
    </row>
    <row r="381" spans="1:106" x14ac:dyDescent="0.25">
      <c r="A381" s="2278" t="str">
        <f t="shared" si="205"/>
        <v>Infrared Char Broiler</v>
      </c>
      <c r="B381" s="1974" t="str">
        <f t="shared" si="205"/>
        <v/>
      </c>
      <c r="C381" s="2027">
        <v>12</v>
      </c>
      <c r="D381" s="2027"/>
      <c r="E381" s="2144">
        <v>0</v>
      </c>
      <c r="F381" s="2144"/>
      <c r="G381" s="2145">
        <v>0</v>
      </c>
      <c r="H381" s="2145"/>
      <c r="I381" s="2027">
        <v>661</v>
      </c>
      <c r="J381" s="2027"/>
      <c r="K381" s="1974" t="s">
        <v>2988</v>
      </c>
      <c r="L381" s="1974" t="s">
        <v>2988</v>
      </c>
      <c r="M381" s="2026">
        <v>0.9</v>
      </c>
      <c r="N381" s="2026">
        <v>0.9</v>
      </c>
      <c r="O381" s="2026">
        <v>0.9</v>
      </c>
      <c r="P381" s="2026">
        <v>0.9</v>
      </c>
      <c r="Q381" s="2027">
        <f t="shared" si="200"/>
        <v>0</v>
      </c>
      <c r="R381" s="2027">
        <f t="shared" si="200"/>
        <v>0</v>
      </c>
      <c r="S381" s="2027">
        <f t="shared" si="200"/>
        <v>0</v>
      </c>
      <c r="T381" s="2027">
        <f t="shared" si="200"/>
        <v>0</v>
      </c>
      <c r="U381" s="2026">
        <v>0.9</v>
      </c>
      <c r="V381" s="2026">
        <v>0.9</v>
      </c>
      <c r="W381" s="2026">
        <v>0.9</v>
      </c>
      <c r="X381" s="2026">
        <v>0.9</v>
      </c>
      <c r="Y381" s="2028">
        <f t="shared" si="201"/>
        <v>0</v>
      </c>
      <c r="Z381" s="2028">
        <f t="shared" si="201"/>
        <v>0</v>
      </c>
      <c r="AA381" s="2028">
        <f t="shared" si="201"/>
        <v>0</v>
      </c>
      <c r="AB381" s="2028">
        <f t="shared" si="201"/>
        <v>0</v>
      </c>
      <c r="AC381" s="2026">
        <v>0.9</v>
      </c>
      <c r="AD381" s="2026">
        <v>0.9</v>
      </c>
      <c r="AE381" s="2026">
        <v>0.9</v>
      </c>
      <c r="AF381" s="2026">
        <v>0.9</v>
      </c>
      <c r="AG381" s="2027">
        <f t="shared" si="202"/>
        <v>594.9</v>
      </c>
      <c r="AH381" s="2027">
        <f t="shared" si="202"/>
        <v>594.9</v>
      </c>
      <c r="AI381" s="2027">
        <f t="shared" si="202"/>
        <v>594.9</v>
      </c>
      <c r="AJ381" s="2027">
        <f t="shared" si="202"/>
        <v>594.9</v>
      </c>
      <c r="AK381" s="2027">
        <v>0</v>
      </c>
      <c r="AL381" s="2028"/>
      <c r="AM381" s="2028"/>
      <c r="AN381" s="2028">
        <v>1</v>
      </c>
      <c r="AO381" s="2027">
        <f t="shared" si="171"/>
        <v>0</v>
      </c>
      <c r="AP381" s="2027">
        <f t="shared" si="195"/>
        <v>0</v>
      </c>
      <c r="AQ381" s="2027">
        <f t="shared" si="195"/>
        <v>0</v>
      </c>
      <c r="AR381" s="2027" t="s">
        <v>3286</v>
      </c>
      <c r="AS381" s="2027">
        <f t="shared" si="173"/>
        <v>0</v>
      </c>
      <c r="AT381" s="2027">
        <f t="shared" si="174"/>
        <v>0</v>
      </c>
      <c r="AU381" s="2027">
        <f t="shared" si="196"/>
        <v>0</v>
      </c>
      <c r="AV381" s="2027">
        <f t="shared" si="196"/>
        <v>0</v>
      </c>
      <c r="AW381" s="2027">
        <f t="shared" si="196"/>
        <v>594.9</v>
      </c>
      <c r="AX381" s="2124">
        <v>0</v>
      </c>
      <c r="AY381" s="2029">
        <v>0</v>
      </c>
      <c r="AZ381" s="2029">
        <v>0</v>
      </c>
      <c r="BA381" s="2029">
        <v>0</v>
      </c>
      <c r="BB381" s="2124">
        <v>1500</v>
      </c>
      <c r="BC381" s="2029">
        <v>1500</v>
      </c>
      <c r="BD381" s="2029">
        <v>1500</v>
      </c>
      <c r="BE381" s="2029">
        <v>1500</v>
      </c>
      <c r="BF381" s="2124">
        <v>2200</v>
      </c>
      <c r="BG381" s="2029">
        <v>2200</v>
      </c>
      <c r="BH381" s="2029">
        <v>2200</v>
      </c>
      <c r="BI381" s="2029">
        <v>2200</v>
      </c>
      <c r="BJ381" s="2030">
        <f t="shared" si="197"/>
        <v>0</v>
      </c>
      <c r="BK381" s="2030">
        <f t="shared" si="197"/>
        <v>0</v>
      </c>
      <c r="BL381" s="2030">
        <f t="shared" si="197"/>
        <v>0</v>
      </c>
      <c r="BM381" s="2030" t="s">
        <v>3286</v>
      </c>
      <c r="BN381" s="2030">
        <f t="shared" si="177"/>
        <v>0</v>
      </c>
      <c r="BO381" s="2030">
        <f t="shared" si="178"/>
        <v>0</v>
      </c>
      <c r="BP381" s="2030" t="s">
        <v>3286</v>
      </c>
      <c r="BQ381" s="2030">
        <f t="shared" si="198"/>
        <v>0</v>
      </c>
      <c r="BR381" s="2030">
        <f t="shared" si="198"/>
        <v>0</v>
      </c>
      <c r="BS381" s="2030">
        <f t="shared" si="198"/>
        <v>1500</v>
      </c>
      <c r="BT381" s="2125"/>
      <c r="BU381" s="2125"/>
      <c r="BV381" s="2125"/>
      <c r="BW381" s="2125"/>
      <c r="BX381" s="2125"/>
      <c r="BY381" s="2125"/>
      <c r="BZ381" s="2125"/>
      <c r="CA381" s="2125"/>
      <c r="CB381" s="2029"/>
      <c r="CC381" s="2029"/>
      <c r="CD381" s="2029"/>
      <c r="CE381" s="2029"/>
      <c r="CF381" s="2029"/>
      <c r="CG381" s="2032"/>
      <c r="CH381" s="1974">
        <v>0</v>
      </c>
      <c r="CI381" s="1974">
        <v>0</v>
      </c>
      <c r="CJ381" s="1974">
        <v>0</v>
      </c>
      <c r="CK381" s="1974">
        <v>0</v>
      </c>
      <c r="CL381" s="1974">
        <v>0</v>
      </c>
      <c r="CM381" s="2033">
        <v>0</v>
      </c>
      <c r="CN381" s="2026">
        <v>0</v>
      </c>
      <c r="CO381" s="1974">
        <v>0</v>
      </c>
      <c r="CP381" s="2031">
        <v>0</v>
      </c>
      <c r="CQ381" s="2031">
        <f t="shared" si="183"/>
        <v>0</v>
      </c>
      <c r="CR381" s="2026">
        <v>1</v>
      </c>
      <c r="CS381" s="2026">
        <v>1</v>
      </c>
      <c r="CT381" s="2026">
        <v>1</v>
      </c>
      <c r="CU381" s="2026">
        <v>1</v>
      </c>
      <c r="CV381" s="2036"/>
      <c r="CW381" s="2036"/>
      <c r="CX381" s="2036"/>
      <c r="CY381" s="2036"/>
      <c r="CZ381" s="2036"/>
      <c r="DA381" s="2036"/>
      <c r="DB381" s="1973">
        <v>1</v>
      </c>
    </row>
    <row r="382" spans="1:106" x14ac:dyDescent="0.25">
      <c r="A382" s="2278" t="str">
        <f t="shared" si="205"/>
        <v>Infrared Rotisserie Oven</v>
      </c>
      <c r="B382" s="1974" t="str">
        <f t="shared" si="205"/>
        <v/>
      </c>
      <c r="C382" s="2027">
        <v>12</v>
      </c>
      <c r="D382" s="2027"/>
      <c r="E382" s="2144">
        <v>0</v>
      </c>
      <c r="F382" s="2144"/>
      <c r="G382" s="2145">
        <v>0</v>
      </c>
      <c r="H382" s="2145"/>
      <c r="I382" s="2027">
        <v>554</v>
      </c>
      <c r="J382" s="2027"/>
      <c r="K382" s="1974" t="s">
        <v>2988</v>
      </c>
      <c r="L382" s="1974" t="s">
        <v>2988</v>
      </c>
      <c r="M382" s="2026">
        <v>0.9</v>
      </c>
      <c r="N382" s="2026">
        <v>0.9</v>
      </c>
      <c r="O382" s="2026">
        <v>0.9</v>
      </c>
      <c r="P382" s="2026">
        <v>0.9</v>
      </c>
      <c r="Q382" s="2027">
        <f t="shared" si="200"/>
        <v>0</v>
      </c>
      <c r="R382" s="2027">
        <f t="shared" si="200"/>
        <v>0</v>
      </c>
      <c r="S382" s="2027">
        <f t="shared" si="200"/>
        <v>0</v>
      </c>
      <c r="T382" s="2027">
        <f t="shared" si="200"/>
        <v>0</v>
      </c>
      <c r="U382" s="2026">
        <v>0.9</v>
      </c>
      <c r="V382" s="2026">
        <v>0.9</v>
      </c>
      <c r="W382" s="2026">
        <v>0.9</v>
      </c>
      <c r="X382" s="2026">
        <v>0.9</v>
      </c>
      <c r="Y382" s="2028">
        <f t="shared" si="201"/>
        <v>0</v>
      </c>
      <c r="Z382" s="2028">
        <f t="shared" si="201"/>
        <v>0</v>
      </c>
      <c r="AA382" s="2028">
        <f t="shared" si="201"/>
        <v>0</v>
      </c>
      <c r="AB382" s="2028">
        <f t="shared" si="201"/>
        <v>0</v>
      </c>
      <c r="AC382" s="2026">
        <v>0.9</v>
      </c>
      <c r="AD382" s="2026">
        <v>0.9</v>
      </c>
      <c r="AE382" s="2026">
        <v>0.9</v>
      </c>
      <c r="AF382" s="2026">
        <v>0.9</v>
      </c>
      <c r="AG382" s="2027">
        <f t="shared" si="202"/>
        <v>498.6</v>
      </c>
      <c r="AH382" s="2027">
        <f t="shared" si="202"/>
        <v>498.6</v>
      </c>
      <c r="AI382" s="2027">
        <f t="shared" si="202"/>
        <v>498.6</v>
      </c>
      <c r="AJ382" s="2027">
        <f t="shared" si="202"/>
        <v>498.6</v>
      </c>
      <c r="AK382" s="2027">
        <v>0</v>
      </c>
      <c r="AL382" s="2028"/>
      <c r="AM382" s="2028"/>
      <c r="AN382" s="2028"/>
      <c r="AO382" s="2027">
        <f t="shared" si="171"/>
        <v>0</v>
      </c>
      <c r="AP382" s="2027">
        <f t="shared" si="195"/>
        <v>0</v>
      </c>
      <c r="AQ382" s="2027">
        <f t="shared" si="195"/>
        <v>0</v>
      </c>
      <c r="AR382" s="2027" t="s">
        <v>3286</v>
      </c>
      <c r="AS382" s="2027">
        <f t="shared" si="173"/>
        <v>0</v>
      </c>
      <c r="AT382" s="2027">
        <f t="shared" si="174"/>
        <v>0</v>
      </c>
      <c r="AU382" s="2027">
        <f t="shared" si="196"/>
        <v>0</v>
      </c>
      <c r="AV382" s="2027">
        <f t="shared" si="196"/>
        <v>0</v>
      </c>
      <c r="AW382" s="2027">
        <f t="shared" si="196"/>
        <v>0</v>
      </c>
      <c r="AX382" s="2124">
        <v>0</v>
      </c>
      <c r="AY382" s="2029">
        <v>0</v>
      </c>
      <c r="AZ382" s="2029">
        <v>0</v>
      </c>
      <c r="BA382" s="2029">
        <v>0</v>
      </c>
      <c r="BB382" s="2124">
        <v>2000</v>
      </c>
      <c r="BC382" s="2029">
        <v>2000</v>
      </c>
      <c r="BD382" s="2029">
        <v>2000</v>
      </c>
      <c r="BE382" s="2029">
        <v>2000</v>
      </c>
      <c r="BF382" s="2124">
        <v>2700</v>
      </c>
      <c r="BG382" s="2029">
        <v>2700</v>
      </c>
      <c r="BH382" s="2029">
        <v>2700</v>
      </c>
      <c r="BI382" s="2029">
        <v>2700</v>
      </c>
      <c r="BJ382" s="2030">
        <f t="shared" si="197"/>
        <v>0</v>
      </c>
      <c r="BK382" s="2030">
        <f t="shared" si="197"/>
        <v>0</v>
      </c>
      <c r="BL382" s="2030">
        <f t="shared" si="197"/>
        <v>0</v>
      </c>
      <c r="BM382" s="2030" t="s">
        <v>3286</v>
      </c>
      <c r="BN382" s="2030">
        <f t="shared" si="177"/>
        <v>0</v>
      </c>
      <c r="BO382" s="2030">
        <f t="shared" si="178"/>
        <v>0</v>
      </c>
      <c r="BP382" s="2030" t="s">
        <v>3286</v>
      </c>
      <c r="BQ382" s="2030">
        <f t="shared" si="198"/>
        <v>0</v>
      </c>
      <c r="BR382" s="2030">
        <f t="shared" si="198"/>
        <v>0</v>
      </c>
      <c r="BS382" s="2030">
        <f t="shared" si="198"/>
        <v>0</v>
      </c>
      <c r="BT382" s="2125"/>
      <c r="BU382" s="2125"/>
      <c r="BV382" s="2125"/>
      <c r="BW382" s="2125"/>
      <c r="BX382" s="2125"/>
      <c r="BY382" s="2125"/>
      <c r="BZ382" s="2125"/>
      <c r="CA382" s="2125"/>
      <c r="CB382" s="2029"/>
      <c r="CC382" s="2029"/>
      <c r="CD382" s="2029"/>
      <c r="CE382" s="2029"/>
      <c r="CF382" s="2029"/>
      <c r="CG382" s="2032"/>
      <c r="CH382" s="1974">
        <v>0</v>
      </c>
      <c r="CI382" s="1974">
        <v>0</v>
      </c>
      <c r="CJ382" s="1974">
        <v>0</v>
      </c>
      <c r="CK382" s="1974">
        <v>0</v>
      </c>
      <c r="CL382" s="1974">
        <v>0</v>
      </c>
      <c r="CM382" s="2033">
        <v>0</v>
      </c>
      <c r="CN382" s="2026">
        <v>0</v>
      </c>
      <c r="CO382" s="1974">
        <v>0</v>
      </c>
      <c r="CP382" s="2031">
        <v>0</v>
      </c>
      <c r="CQ382" s="2031">
        <f t="shared" si="183"/>
        <v>0</v>
      </c>
      <c r="CR382" s="2026">
        <v>1</v>
      </c>
      <c r="CS382" s="2026">
        <v>1</v>
      </c>
      <c r="CT382" s="2026">
        <v>1</v>
      </c>
      <c r="CU382" s="2026">
        <v>1</v>
      </c>
      <c r="CV382" s="2036"/>
      <c r="CW382" s="2036"/>
      <c r="CX382" s="2036"/>
      <c r="CY382" s="2036"/>
      <c r="CZ382" s="2036"/>
      <c r="DA382" s="2036"/>
      <c r="DB382" s="1973">
        <v>1</v>
      </c>
    </row>
    <row r="383" spans="1:106" x14ac:dyDescent="0.25">
      <c r="A383" s="2278" t="str">
        <f t="shared" si="205"/>
        <v>Pasta Cooker</v>
      </c>
      <c r="B383" s="1974" t="str">
        <f t="shared" si="205"/>
        <v/>
      </c>
      <c r="C383" s="2027">
        <v>12</v>
      </c>
      <c r="D383" s="2027"/>
      <c r="E383" s="2144">
        <v>0</v>
      </c>
      <c r="F383" s="2144"/>
      <c r="G383" s="2145">
        <v>0</v>
      </c>
      <c r="H383" s="2145"/>
      <c r="I383" s="2027">
        <v>1380</v>
      </c>
      <c r="J383" s="2027"/>
      <c r="K383" s="1974" t="s">
        <v>2988</v>
      </c>
      <c r="L383" s="1974" t="s">
        <v>2988</v>
      </c>
      <c r="M383" s="2026">
        <v>0.9</v>
      </c>
      <c r="N383" s="2026">
        <v>0.9</v>
      </c>
      <c r="O383" s="2026">
        <v>0.9</v>
      </c>
      <c r="P383" s="2026">
        <v>0.9</v>
      </c>
      <c r="Q383" s="2027">
        <f t="shared" si="200"/>
        <v>0</v>
      </c>
      <c r="R383" s="2027">
        <f t="shared" si="200"/>
        <v>0</v>
      </c>
      <c r="S383" s="2027">
        <f t="shared" si="200"/>
        <v>0</v>
      </c>
      <c r="T383" s="2027">
        <f t="shared" si="200"/>
        <v>0</v>
      </c>
      <c r="U383" s="2026">
        <v>0.9</v>
      </c>
      <c r="V383" s="2026">
        <v>0.9</v>
      </c>
      <c r="W383" s="2026">
        <v>0.9</v>
      </c>
      <c r="X383" s="2026">
        <v>0.9</v>
      </c>
      <c r="Y383" s="2028">
        <f t="shared" si="201"/>
        <v>0</v>
      </c>
      <c r="Z383" s="2028">
        <f t="shared" si="201"/>
        <v>0</v>
      </c>
      <c r="AA383" s="2028">
        <f t="shared" si="201"/>
        <v>0</v>
      </c>
      <c r="AB383" s="2028">
        <f t="shared" si="201"/>
        <v>0</v>
      </c>
      <c r="AC383" s="2026">
        <v>0.9</v>
      </c>
      <c r="AD383" s="2026">
        <v>0.9</v>
      </c>
      <c r="AE383" s="2026">
        <v>0.9</v>
      </c>
      <c r="AF383" s="2026">
        <v>0.9</v>
      </c>
      <c r="AG383" s="2027">
        <f t="shared" si="202"/>
        <v>1242</v>
      </c>
      <c r="AH383" s="2027">
        <f t="shared" si="202"/>
        <v>1242</v>
      </c>
      <c r="AI383" s="2027">
        <f t="shared" si="202"/>
        <v>1242</v>
      </c>
      <c r="AJ383" s="2027">
        <f t="shared" si="202"/>
        <v>1242</v>
      </c>
      <c r="AK383" s="2027">
        <v>0</v>
      </c>
      <c r="AL383" s="2028">
        <v>1</v>
      </c>
      <c r="AM383" s="2028"/>
      <c r="AN383" s="2028"/>
      <c r="AO383" s="2027">
        <f t="shared" si="171"/>
        <v>0</v>
      </c>
      <c r="AP383" s="2027">
        <f t="shared" si="195"/>
        <v>0</v>
      </c>
      <c r="AQ383" s="2027">
        <f t="shared" si="195"/>
        <v>0</v>
      </c>
      <c r="AR383" s="2027" t="s">
        <v>3286</v>
      </c>
      <c r="AS383" s="2027">
        <f t="shared" si="173"/>
        <v>0</v>
      </c>
      <c r="AT383" s="2027">
        <f t="shared" si="174"/>
        <v>0</v>
      </c>
      <c r="AU383" s="2027">
        <f t="shared" si="196"/>
        <v>1242</v>
      </c>
      <c r="AV383" s="2027">
        <f t="shared" si="196"/>
        <v>0</v>
      </c>
      <c r="AW383" s="2027">
        <f t="shared" si="196"/>
        <v>0</v>
      </c>
      <c r="AX383" s="2124">
        <v>0</v>
      </c>
      <c r="AY383" s="2029">
        <v>0</v>
      </c>
      <c r="AZ383" s="2029">
        <v>0</v>
      </c>
      <c r="BA383" s="2029">
        <v>0</v>
      </c>
      <c r="BB383" s="2124">
        <v>1000</v>
      </c>
      <c r="BC383" s="2029">
        <v>1000</v>
      </c>
      <c r="BD383" s="2029">
        <v>1000</v>
      </c>
      <c r="BE383" s="2029">
        <v>1000</v>
      </c>
      <c r="BF383" s="2124">
        <v>2400</v>
      </c>
      <c r="BG383" s="2029">
        <v>2400</v>
      </c>
      <c r="BH383" s="2029">
        <v>2400</v>
      </c>
      <c r="BI383" s="2029">
        <v>2400</v>
      </c>
      <c r="BJ383" s="2030">
        <f t="shared" si="197"/>
        <v>0</v>
      </c>
      <c r="BK383" s="2030">
        <f t="shared" si="197"/>
        <v>0</v>
      </c>
      <c r="BL383" s="2030">
        <f t="shared" si="197"/>
        <v>0</v>
      </c>
      <c r="BM383" s="2030" t="s">
        <v>3286</v>
      </c>
      <c r="BN383" s="2030">
        <f t="shared" si="177"/>
        <v>0</v>
      </c>
      <c r="BO383" s="2030">
        <f t="shared" si="178"/>
        <v>0</v>
      </c>
      <c r="BP383" s="2030" t="s">
        <v>3286</v>
      </c>
      <c r="BQ383" s="2030">
        <f t="shared" si="198"/>
        <v>1000</v>
      </c>
      <c r="BR383" s="2030">
        <f t="shared" si="198"/>
        <v>0</v>
      </c>
      <c r="BS383" s="2030">
        <f t="shared" si="198"/>
        <v>0</v>
      </c>
      <c r="BT383" s="2125"/>
      <c r="BU383" s="2125"/>
      <c r="BV383" s="2125"/>
      <c r="BW383" s="2125"/>
      <c r="BX383" s="2125"/>
      <c r="BY383" s="2125"/>
      <c r="BZ383" s="2125"/>
      <c r="CA383" s="2125"/>
      <c r="CB383" s="2029"/>
      <c r="CC383" s="2029"/>
      <c r="CD383" s="2029"/>
      <c r="CE383" s="2029"/>
      <c r="CF383" s="2029"/>
      <c r="CG383" s="2032"/>
      <c r="CH383" s="1974">
        <v>0</v>
      </c>
      <c r="CI383" s="1974">
        <v>0</v>
      </c>
      <c r="CJ383" s="1974">
        <v>0</v>
      </c>
      <c r="CK383" s="1974">
        <v>0</v>
      </c>
      <c r="CL383" s="1974">
        <v>0</v>
      </c>
      <c r="CM383" s="2033">
        <v>0</v>
      </c>
      <c r="CN383" s="2026">
        <v>0</v>
      </c>
      <c r="CO383" s="1974">
        <v>0</v>
      </c>
      <c r="CP383" s="2031">
        <v>0</v>
      </c>
      <c r="CQ383" s="2031">
        <f t="shared" si="183"/>
        <v>0</v>
      </c>
      <c r="CR383" s="2026">
        <v>1</v>
      </c>
      <c r="CS383" s="2026">
        <v>1</v>
      </c>
      <c r="CT383" s="2026">
        <v>1</v>
      </c>
      <c r="CU383" s="2026">
        <v>1</v>
      </c>
      <c r="CV383" s="2036"/>
      <c r="CW383" s="2036"/>
      <c r="CX383" s="2036"/>
      <c r="CY383" s="2036"/>
      <c r="CZ383" s="2036"/>
      <c r="DA383" s="2036"/>
      <c r="DB383" s="1973">
        <v>1</v>
      </c>
    </row>
    <row r="384" spans="1:106" x14ac:dyDescent="0.25">
      <c r="A384" s="2278" t="str">
        <f t="shared" si="205"/>
        <v>Rack Double Oven</v>
      </c>
      <c r="B384" s="1974" t="str">
        <f t="shared" si="205"/>
        <v/>
      </c>
      <c r="C384" s="2027">
        <v>12</v>
      </c>
      <c r="D384" s="2027"/>
      <c r="E384" s="2144">
        <v>0</v>
      </c>
      <c r="F384" s="2144"/>
      <c r="G384" s="2145">
        <v>0</v>
      </c>
      <c r="H384" s="2145"/>
      <c r="I384" s="2027">
        <v>2064</v>
      </c>
      <c r="J384" s="2027"/>
      <c r="K384" s="1974" t="s">
        <v>2988</v>
      </c>
      <c r="L384" s="1974" t="s">
        <v>2988</v>
      </c>
      <c r="M384" s="2026">
        <v>0.9</v>
      </c>
      <c r="N384" s="2026">
        <v>0.9</v>
      </c>
      <c r="O384" s="2026">
        <v>0.9</v>
      </c>
      <c r="P384" s="2026">
        <v>0.9</v>
      </c>
      <c r="Q384" s="2027">
        <f t="shared" si="200"/>
        <v>0</v>
      </c>
      <c r="R384" s="2027">
        <f t="shared" si="200"/>
        <v>0</v>
      </c>
      <c r="S384" s="2027">
        <f t="shared" si="200"/>
        <v>0</v>
      </c>
      <c r="T384" s="2027">
        <f t="shared" si="200"/>
        <v>0</v>
      </c>
      <c r="U384" s="2026">
        <v>0.9</v>
      </c>
      <c r="V384" s="2026">
        <v>0.9</v>
      </c>
      <c r="W384" s="2026">
        <v>0.9</v>
      </c>
      <c r="X384" s="2026">
        <v>0.9</v>
      </c>
      <c r="Y384" s="2028">
        <f t="shared" si="201"/>
        <v>0</v>
      </c>
      <c r="Z384" s="2028">
        <f t="shared" si="201"/>
        <v>0</v>
      </c>
      <c r="AA384" s="2028">
        <f t="shared" si="201"/>
        <v>0</v>
      </c>
      <c r="AB384" s="2028">
        <f t="shared" si="201"/>
        <v>0</v>
      </c>
      <c r="AC384" s="2026">
        <v>0.9</v>
      </c>
      <c r="AD384" s="2026">
        <v>0.9</v>
      </c>
      <c r="AE384" s="2026">
        <v>0.9</v>
      </c>
      <c r="AF384" s="2026">
        <v>0.9</v>
      </c>
      <c r="AG384" s="2027">
        <f t="shared" si="202"/>
        <v>1857.6000000000001</v>
      </c>
      <c r="AH384" s="2027">
        <f t="shared" si="202"/>
        <v>1857.6000000000001</v>
      </c>
      <c r="AI384" s="2027">
        <f t="shared" si="202"/>
        <v>1857.6000000000001</v>
      </c>
      <c r="AJ384" s="2027">
        <f t="shared" si="202"/>
        <v>1857.6000000000001</v>
      </c>
      <c r="AK384" s="2027">
        <v>0</v>
      </c>
      <c r="AL384" s="2028"/>
      <c r="AM384" s="2028"/>
      <c r="AN384" s="2028"/>
      <c r="AO384" s="2027">
        <f t="shared" si="171"/>
        <v>0</v>
      </c>
      <c r="AP384" s="2027">
        <f t="shared" si="195"/>
        <v>0</v>
      </c>
      <c r="AQ384" s="2027">
        <f t="shared" si="195"/>
        <v>0</v>
      </c>
      <c r="AR384" s="2027" t="s">
        <v>3286</v>
      </c>
      <c r="AS384" s="2027">
        <f t="shared" si="173"/>
        <v>0</v>
      </c>
      <c r="AT384" s="2027">
        <f t="shared" si="174"/>
        <v>0</v>
      </c>
      <c r="AU384" s="2027">
        <f t="shared" si="196"/>
        <v>0</v>
      </c>
      <c r="AV384" s="2027">
        <f t="shared" si="196"/>
        <v>0</v>
      </c>
      <c r="AW384" s="2027">
        <f t="shared" si="196"/>
        <v>0</v>
      </c>
      <c r="AX384" s="2124">
        <v>0</v>
      </c>
      <c r="AY384" s="2029">
        <v>0</v>
      </c>
      <c r="AZ384" s="2029">
        <v>0</v>
      </c>
      <c r="BA384" s="2029">
        <v>0</v>
      </c>
      <c r="BB384" s="2124">
        <v>2500</v>
      </c>
      <c r="BC384" s="2029">
        <v>2500</v>
      </c>
      <c r="BD384" s="2029">
        <v>2500</v>
      </c>
      <c r="BE384" s="2029">
        <v>2500</v>
      </c>
      <c r="BF384" s="2124">
        <v>8646</v>
      </c>
      <c r="BG384" s="2029">
        <v>8646</v>
      </c>
      <c r="BH384" s="2029">
        <v>8646</v>
      </c>
      <c r="BI384" s="2029">
        <v>8646</v>
      </c>
      <c r="BJ384" s="2030">
        <f t="shared" si="197"/>
        <v>0</v>
      </c>
      <c r="BK384" s="2030">
        <f t="shared" si="197"/>
        <v>0</v>
      </c>
      <c r="BL384" s="2030">
        <f t="shared" si="197"/>
        <v>0</v>
      </c>
      <c r="BM384" s="2030" t="s">
        <v>3286</v>
      </c>
      <c r="BN384" s="2030">
        <f t="shared" si="177"/>
        <v>0</v>
      </c>
      <c r="BO384" s="2030">
        <f t="shared" si="178"/>
        <v>0</v>
      </c>
      <c r="BP384" s="2030" t="s">
        <v>3286</v>
      </c>
      <c r="BQ384" s="2030">
        <f t="shared" si="198"/>
        <v>0</v>
      </c>
      <c r="BR384" s="2030">
        <f t="shared" si="198"/>
        <v>0</v>
      </c>
      <c r="BS384" s="2030">
        <f t="shared" si="198"/>
        <v>0</v>
      </c>
      <c r="BT384" s="2125"/>
      <c r="BU384" s="2125"/>
      <c r="BV384" s="2125"/>
      <c r="BW384" s="2125"/>
      <c r="BX384" s="2125"/>
      <c r="BY384" s="2125"/>
      <c r="BZ384" s="2125"/>
      <c r="CA384" s="2125"/>
      <c r="CB384" s="2029"/>
      <c r="CC384" s="2029"/>
      <c r="CD384" s="2029"/>
      <c r="CE384" s="2029"/>
      <c r="CF384" s="2029"/>
      <c r="CG384" s="2032"/>
      <c r="CH384" s="1974">
        <v>0</v>
      </c>
      <c r="CI384" s="1974">
        <v>0</v>
      </c>
      <c r="CJ384" s="1974">
        <v>0</v>
      </c>
      <c r="CK384" s="1974">
        <v>0</v>
      </c>
      <c r="CL384" s="1974">
        <v>0</v>
      </c>
      <c r="CM384" s="2033">
        <v>0</v>
      </c>
      <c r="CN384" s="2026">
        <v>0</v>
      </c>
      <c r="CO384" s="1974">
        <v>0</v>
      </c>
      <c r="CP384" s="2031">
        <v>0</v>
      </c>
      <c r="CQ384" s="2031">
        <f t="shared" si="183"/>
        <v>0</v>
      </c>
      <c r="CR384" s="2026">
        <v>1</v>
      </c>
      <c r="CS384" s="2026">
        <v>1</v>
      </c>
      <c r="CT384" s="2026">
        <v>1</v>
      </c>
      <c r="CU384" s="2026">
        <v>1</v>
      </c>
      <c r="CV384" s="2036"/>
      <c r="CW384" s="2036"/>
      <c r="CX384" s="2036"/>
      <c r="CY384" s="2036"/>
      <c r="CZ384" s="2036"/>
      <c r="DA384" s="2036"/>
      <c r="DB384" s="1973">
        <v>1</v>
      </c>
    </row>
    <row r="385" spans="1:106" x14ac:dyDescent="0.25">
      <c r="A385" s="2277" t="str">
        <f t="shared" si="205"/>
        <v>Ozone Laundry</v>
      </c>
      <c r="B385" s="1974" t="str">
        <f t="shared" si="205"/>
        <v/>
      </c>
      <c r="C385" s="2027">
        <v>10</v>
      </c>
      <c r="D385" s="2027"/>
      <c r="E385" s="2144">
        <v>746</v>
      </c>
      <c r="F385" s="2144"/>
      <c r="G385" s="2145">
        <v>0</v>
      </c>
      <c r="H385" s="2145"/>
      <c r="I385" s="2027">
        <v>7815</v>
      </c>
      <c r="J385" s="2027"/>
      <c r="K385" s="1974" t="s">
        <v>2988</v>
      </c>
      <c r="L385" s="1974" t="s">
        <v>2988</v>
      </c>
      <c r="M385" s="2026">
        <v>0.9</v>
      </c>
      <c r="N385" s="2026">
        <v>0.9</v>
      </c>
      <c r="O385" s="2026">
        <v>0.9</v>
      </c>
      <c r="P385" s="2026">
        <v>0.9</v>
      </c>
      <c r="Q385" s="2027">
        <f t="shared" si="200"/>
        <v>671.4</v>
      </c>
      <c r="R385" s="2027">
        <f t="shared" si="200"/>
        <v>671.4</v>
      </c>
      <c r="S385" s="2027">
        <f t="shared" si="200"/>
        <v>671.4</v>
      </c>
      <c r="T385" s="2027">
        <f t="shared" si="200"/>
        <v>671.4</v>
      </c>
      <c r="U385" s="2026">
        <v>0.9</v>
      </c>
      <c r="V385" s="2026">
        <v>0.9</v>
      </c>
      <c r="W385" s="2026">
        <v>0.9</v>
      </c>
      <c r="X385" s="2026">
        <v>0.9</v>
      </c>
      <c r="Y385" s="2028">
        <f t="shared" si="201"/>
        <v>0</v>
      </c>
      <c r="Z385" s="2028">
        <f t="shared" si="201"/>
        <v>0</v>
      </c>
      <c r="AA385" s="2028">
        <f t="shared" si="201"/>
        <v>0</v>
      </c>
      <c r="AB385" s="2028">
        <f t="shared" si="201"/>
        <v>0</v>
      </c>
      <c r="AC385" s="2026">
        <v>0.9</v>
      </c>
      <c r="AD385" s="2026">
        <v>0.9</v>
      </c>
      <c r="AE385" s="2026">
        <v>0.9</v>
      </c>
      <c r="AF385" s="2026">
        <v>0.9</v>
      </c>
      <c r="AG385" s="2027">
        <f t="shared" si="202"/>
        <v>7033.5</v>
      </c>
      <c r="AH385" s="2027">
        <f t="shared" si="202"/>
        <v>7033.5</v>
      </c>
      <c r="AI385" s="2027">
        <f t="shared" si="202"/>
        <v>7033.5</v>
      </c>
      <c r="AJ385" s="2027">
        <f t="shared" si="202"/>
        <v>7033.5</v>
      </c>
      <c r="AK385" s="2280">
        <v>2</v>
      </c>
      <c r="AL385" s="2279">
        <v>2</v>
      </c>
      <c r="AM385" s="2279">
        <v>2</v>
      </c>
      <c r="AN385" s="2279">
        <v>2</v>
      </c>
      <c r="AO385" s="2027">
        <f t="shared" si="171"/>
        <v>1342.8</v>
      </c>
      <c r="AP385" s="2027">
        <f t="shared" si="195"/>
        <v>1342.8</v>
      </c>
      <c r="AQ385" s="2027">
        <f t="shared" si="195"/>
        <v>1342.8</v>
      </c>
      <c r="AR385" s="2027" t="s">
        <v>3283</v>
      </c>
      <c r="AS385" s="2027">
        <f t="shared" si="173"/>
        <v>1342.8</v>
      </c>
      <c r="AT385" s="2027">
        <f t="shared" si="174"/>
        <v>14067</v>
      </c>
      <c r="AU385" s="2027">
        <f t="shared" si="196"/>
        <v>14067</v>
      </c>
      <c r="AV385" s="2027">
        <f t="shared" si="196"/>
        <v>14067</v>
      </c>
      <c r="AW385" s="2027">
        <f t="shared" si="196"/>
        <v>14067</v>
      </c>
      <c r="AX385" s="2046">
        <v>210</v>
      </c>
      <c r="AY385" s="2046">
        <v>210</v>
      </c>
      <c r="AZ385" s="2046">
        <v>210</v>
      </c>
      <c r="BA385" s="2046">
        <v>210</v>
      </c>
      <c r="BB385" s="2046">
        <v>20790</v>
      </c>
      <c r="BC385" s="2046">
        <v>20790</v>
      </c>
      <c r="BD385" s="2046">
        <v>20790</v>
      </c>
      <c r="BE385" s="2046">
        <v>20790</v>
      </c>
      <c r="BF385" s="2124">
        <v>17245.84</v>
      </c>
      <c r="BG385" s="2029">
        <v>17245.84</v>
      </c>
      <c r="BH385" s="2029">
        <v>17245.84</v>
      </c>
      <c r="BI385" s="2029">
        <v>17245.84</v>
      </c>
      <c r="BJ385" s="2030">
        <f t="shared" si="197"/>
        <v>420</v>
      </c>
      <c r="BK385" s="2030">
        <f t="shared" si="197"/>
        <v>420</v>
      </c>
      <c r="BL385" s="2030">
        <f t="shared" si="197"/>
        <v>420</v>
      </c>
      <c r="BM385" s="2030" t="s">
        <v>3286</v>
      </c>
      <c r="BN385" s="2030">
        <f t="shared" si="177"/>
        <v>420</v>
      </c>
      <c r="BO385" s="2030">
        <f t="shared" si="178"/>
        <v>41580</v>
      </c>
      <c r="BP385" s="2030" t="s">
        <v>3286</v>
      </c>
      <c r="BQ385" s="2030">
        <f t="shared" si="198"/>
        <v>41580</v>
      </c>
      <c r="BR385" s="2030">
        <f t="shared" si="198"/>
        <v>41580</v>
      </c>
      <c r="BS385" s="2030">
        <f t="shared" si="198"/>
        <v>41580</v>
      </c>
      <c r="BT385" s="2125"/>
      <c r="BU385" s="2125"/>
      <c r="BV385" s="2125"/>
      <c r="BW385" s="2125"/>
      <c r="BX385" s="2125"/>
      <c r="BY385" s="2125"/>
      <c r="BZ385" s="2125"/>
      <c r="CA385" s="2125"/>
      <c r="CB385" s="2029"/>
      <c r="CC385" s="2029"/>
      <c r="CD385" s="2029"/>
      <c r="CE385" s="2029"/>
      <c r="CF385" s="2029"/>
      <c r="CG385" s="2032"/>
      <c r="CH385" s="1974">
        <v>464946</v>
      </c>
      <c r="CI385" s="1974">
        <v>0</v>
      </c>
      <c r="CJ385" s="1974">
        <v>0</v>
      </c>
      <c r="CK385" s="1974">
        <v>0</v>
      </c>
      <c r="CL385" s="1974">
        <v>0</v>
      </c>
      <c r="CM385" s="2033">
        <v>1.1244330887998997E-6</v>
      </c>
      <c r="CN385" s="2026">
        <v>1.132810680949803E-3</v>
      </c>
      <c r="CO385" s="1974">
        <v>1</v>
      </c>
      <c r="CP385" s="2031">
        <v>200.96020000000001</v>
      </c>
      <c r="CQ385" s="2031">
        <f t="shared" si="183"/>
        <v>-200.96020000000001</v>
      </c>
      <c r="CR385" s="2026">
        <v>1</v>
      </c>
      <c r="CS385" s="2026">
        <v>1</v>
      </c>
      <c r="CT385" s="2026">
        <v>1</v>
      </c>
      <c r="CU385" s="2026">
        <v>1</v>
      </c>
      <c r="CV385" s="2036"/>
      <c r="CW385" s="2036"/>
      <c r="CX385" s="2036"/>
      <c r="CY385" s="2036"/>
      <c r="CZ385" s="2036"/>
      <c r="DA385" s="2036"/>
      <c r="DB385" s="1973">
        <v>1</v>
      </c>
    </row>
    <row r="386" spans="1:106" x14ac:dyDescent="0.25">
      <c r="A386" s="2277" t="str">
        <f>IF(A117="","",A117)</f>
        <v>Kitchen Demand Control Ventilation</v>
      </c>
      <c r="B386" s="1974" t="str">
        <f>IF(B117="","",B117)</f>
        <v>BPCK21</v>
      </c>
      <c r="C386" s="2027">
        <v>15</v>
      </c>
      <c r="D386" s="2027"/>
      <c r="E386" s="2144">
        <v>4486</v>
      </c>
      <c r="F386" s="2144"/>
      <c r="G386" s="2145">
        <v>0.76</v>
      </c>
      <c r="H386" s="2145"/>
      <c r="I386" s="2027">
        <v>7822.7093750000004</v>
      </c>
      <c r="J386" s="2027"/>
      <c r="K386" s="1974" t="s">
        <v>2988</v>
      </c>
      <c r="L386" s="1974" t="s">
        <v>2988</v>
      </c>
      <c r="M386" s="2026">
        <v>0.9</v>
      </c>
      <c r="N386" s="2026">
        <v>0.9</v>
      </c>
      <c r="O386" s="2026">
        <v>0.9</v>
      </c>
      <c r="P386" s="2026">
        <v>0.9</v>
      </c>
      <c r="Q386" s="2027">
        <f t="shared" si="200"/>
        <v>4037.4</v>
      </c>
      <c r="R386" s="2027">
        <f t="shared" si="200"/>
        <v>4037.4</v>
      </c>
      <c r="S386" s="2027">
        <f t="shared" si="200"/>
        <v>4037.4</v>
      </c>
      <c r="T386" s="2027">
        <f t="shared" si="200"/>
        <v>4037.4</v>
      </c>
      <c r="U386" s="2026">
        <v>0.9</v>
      </c>
      <c r="V386" s="2026">
        <v>0.9</v>
      </c>
      <c r="W386" s="2026">
        <v>0.9</v>
      </c>
      <c r="X386" s="2026">
        <v>0.9</v>
      </c>
      <c r="Y386" s="2028">
        <f t="shared" si="201"/>
        <v>0.68400000000000005</v>
      </c>
      <c r="Z386" s="2028">
        <f t="shared" si="201"/>
        <v>0.68400000000000005</v>
      </c>
      <c r="AA386" s="2028">
        <f t="shared" si="201"/>
        <v>0.68400000000000005</v>
      </c>
      <c r="AB386" s="2028">
        <f t="shared" si="201"/>
        <v>0.68400000000000005</v>
      </c>
      <c r="AC386" s="2026">
        <v>0.9</v>
      </c>
      <c r="AD386" s="2026">
        <v>0.9</v>
      </c>
      <c r="AE386" s="2026">
        <v>0.9</v>
      </c>
      <c r="AF386" s="2026">
        <v>0.9</v>
      </c>
      <c r="AG386" s="2027">
        <f t="shared" si="202"/>
        <v>7040.4384375000009</v>
      </c>
      <c r="AH386" s="2027">
        <f t="shared" si="202"/>
        <v>7040.4384375000009</v>
      </c>
      <c r="AI386" s="2027">
        <f t="shared" si="202"/>
        <v>7040.4384375000009</v>
      </c>
      <c r="AJ386" s="2027">
        <f t="shared" si="202"/>
        <v>7040.4384375000009</v>
      </c>
      <c r="AK386" s="2265">
        <v>7</v>
      </c>
      <c r="AL386" s="2265">
        <v>6</v>
      </c>
      <c r="AM386" s="2265">
        <v>5</v>
      </c>
      <c r="AN386" s="2265">
        <v>5</v>
      </c>
      <c r="AO386" s="2027">
        <f t="shared" si="171"/>
        <v>28261.8</v>
      </c>
      <c r="AP386" s="2027">
        <f t="shared" si="195"/>
        <v>24224.400000000001</v>
      </c>
      <c r="AQ386" s="2027">
        <f t="shared" si="195"/>
        <v>20187</v>
      </c>
      <c r="AR386" s="2027" t="s">
        <v>3286</v>
      </c>
      <c r="AS386" s="2027">
        <f t="shared" si="173"/>
        <v>20187</v>
      </c>
      <c r="AT386" s="2027">
        <f t="shared" si="174"/>
        <v>49283.069062500006</v>
      </c>
      <c r="AU386" s="2027">
        <f t="shared" si="196"/>
        <v>42242.630625000005</v>
      </c>
      <c r="AV386" s="2027">
        <f t="shared" si="196"/>
        <v>35202.192187500004</v>
      </c>
      <c r="AW386" s="2027">
        <f t="shared" si="196"/>
        <v>35202.192187500004</v>
      </c>
      <c r="AX386" s="2046">
        <v>267.75</v>
      </c>
      <c r="AY386" s="2046">
        <v>267.75</v>
      </c>
      <c r="AZ386" s="2046">
        <v>267.75</v>
      </c>
      <c r="BA386" s="2046">
        <v>267.75</v>
      </c>
      <c r="BB386" s="2046">
        <v>4194.75</v>
      </c>
      <c r="BC386" s="2046">
        <v>4194.75</v>
      </c>
      <c r="BD386" s="2046">
        <v>4194.75</v>
      </c>
      <c r="BE386" s="2046">
        <v>4194.75</v>
      </c>
      <c r="BF386" s="2124">
        <v>1988</v>
      </c>
      <c r="BG386" s="2029">
        <v>1988</v>
      </c>
      <c r="BH386" s="2029">
        <v>1988</v>
      </c>
      <c r="BI386" s="2029">
        <v>1988</v>
      </c>
      <c r="BJ386" s="2030">
        <f t="shared" si="197"/>
        <v>1874.25</v>
      </c>
      <c r="BK386" s="2030">
        <f t="shared" si="197"/>
        <v>1606.5</v>
      </c>
      <c r="BL386" s="2030">
        <f t="shared" si="197"/>
        <v>1338.75</v>
      </c>
      <c r="BM386" s="2030" t="s">
        <v>3286</v>
      </c>
      <c r="BN386" s="2030">
        <f t="shared" si="177"/>
        <v>1338.75</v>
      </c>
      <c r="BO386" s="2030">
        <f t="shared" si="178"/>
        <v>29363.25</v>
      </c>
      <c r="BP386" s="2030" t="s">
        <v>3286</v>
      </c>
      <c r="BQ386" s="2030">
        <f t="shared" si="198"/>
        <v>25168.5</v>
      </c>
      <c r="BR386" s="2030">
        <f t="shared" si="198"/>
        <v>20973.75</v>
      </c>
      <c r="BS386" s="2030">
        <f t="shared" si="198"/>
        <v>20973.75</v>
      </c>
      <c r="BT386" s="2125"/>
      <c r="BU386" s="2125"/>
      <c r="BV386" s="2125"/>
      <c r="BW386" s="2125"/>
      <c r="BX386" s="2125"/>
      <c r="BY386" s="2125"/>
      <c r="BZ386" s="2125"/>
      <c r="CA386" s="2125"/>
      <c r="CB386" s="2029"/>
      <c r="CC386" s="2029"/>
      <c r="CD386" s="2029"/>
      <c r="CE386" s="2029"/>
      <c r="CF386" s="2029"/>
      <c r="CG386" s="2032"/>
      <c r="CH386" s="1974">
        <v>0</v>
      </c>
      <c r="CI386" s="1974">
        <v>0</v>
      </c>
      <c r="CJ386" s="1974">
        <v>0</v>
      </c>
      <c r="CK386" s="1974">
        <v>0</v>
      </c>
      <c r="CL386" s="1974">
        <v>0</v>
      </c>
      <c r="CM386" s="2033">
        <v>8.1140056348895723E-5</v>
      </c>
      <c r="CN386" s="2026">
        <v>1.3607138171157249E-2</v>
      </c>
      <c r="CO386" s="1974">
        <v>0</v>
      </c>
      <c r="CP386" s="2031">
        <v>0</v>
      </c>
      <c r="CQ386" s="2031">
        <f t="shared" si="183"/>
        <v>0</v>
      </c>
      <c r="CR386" s="2026">
        <v>1</v>
      </c>
      <c r="CS386" s="2026">
        <v>1</v>
      </c>
      <c r="CT386" s="2026">
        <v>1</v>
      </c>
      <c r="CU386" s="2026">
        <v>1</v>
      </c>
      <c r="CV386" s="2036"/>
      <c r="CW386" s="2036"/>
      <c r="CX386" s="2036"/>
      <c r="CY386" s="2036"/>
      <c r="CZ386" s="2036"/>
      <c r="DA386" s="2036"/>
      <c r="DB386" s="1973">
        <v>1</v>
      </c>
    </row>
    <row r="387" spans="1:106" x14ac:dyDescent="0.25">
      <c r="A387" s="2277" t="str">
        <f>IF(A119="","",A119)</f>
        <v>Multi-level Lighting Controls</v>
      </c>
      <c r="B387" s="1974" t="str">
        <f>IF(B119="","",B119)</f>
        <v/>
      </c>
      <c r="C387" s="2027">
        <v>8</v>
      </c>
      <c r="D387" s="2027"/>
      <c r="E387" s="2144">
        <v>1104</v>
      </c>
      <c r="F387" s="2144"/>
      <c r="G387" s="2145">
        <v>0.182</v>
      </c>
      <c r="H387" s="2145"/>
      <c r="I387" s="2027">
        <v>-19.39</v>
      </c>
      <c r="J387" s="2027"/>
      <c r="K387" s="1974" t="s">
        <v>2988</v>
      </c>
      <c r="L387" s="1974" t="s">
        <v>2988</v>
      </c>
      <c r="M387" s="2026">
        <v>0.9</v>
      </c>
      <c r="N387" s="2026">
        <v>0.9</v>
      </c>
      <c r="O387" s="2026">
        <v>0.9</v>
      </c>
      <c r="P387" s="2026">
        <v>0.9</v>
      </c>
      <c r="Q387" s="2027">
        <f t="shared" si="200"/>
        <v>993.6</v>
      </c>
      <c r="R387" s="2027">
        <f t="shared" si="200"/>
        <v>993.6</v>
      </c>
      <c r="S387" s="2027">
        <f t="shared" si="200"/>
        <v>993.6</v>
      </c>
      <c r="T387" s="2027">
        <f t="shared" si="200"/>
        <v>993.6</v>
      </c>
      <c r="U387" s="2026">
        <v>0.9</v>
      </c>
      <c r="V387" s="2026">
        <v>0.9</v>
      </c>
      <c r="W387" s="2026">
        <v>0.9</v>
      </c>
      <c r="X387" s="2026">
        <v>0.9</v>
      </c>
      <c r="Y387" s="2028">
        <f t="shared" si="201"/>
        <v>0.1638</v>
      </c>
      <c r="Z387" s="2028">
        <f t="shared" si="201"/>
        <v>0.1638</v>
      </c>
      <c r="AA387" s="2028">
        <f t="shared" si="201"/>
        <v>0.1638</v>
      </c>
      <c r="AB387" s="2028">
        <f t="shared" si="201"/>
        <v>0.1638</v>
      </c>
      <c r="AC387" s="2026">
        <v>0.9</v>
      </c>
      <c r="AD387" s="2026">
        <v>0.9</v>
      </c>
      <c r="AE387" s="2026">
        <v>0.9</v>
      </c>
      <c r="AF387" s="2026">
        <v>0.9</v>
      </c>
      <c r="AG387" s="2027">
        <f t="shared" si="202"/>
        <v>-17.451000000000001</v>
      </c>
      <c r="AH387" s="2027">
        <f t="shared" si="202"/>
        <v>-17.451000000000001</v>
      </c>
      <c r="AI387" s="2027">
        <f t="shared" si="202"/>
        <v>-17.451000000000001</v>
      </c>
      <c r="AJ387" s="2027">
        <f t="shared" si="202"/>
        <v>-17.451000000000001</v>
      </c>
      <c r="AK387" s="2027">
        <v>9</v>
      </c>
      <c r="AL387" s="2027">
        <v>18</v>
      </c>
      <c r="AM387" s="2027">
        <v>28</v>
      </c>
      <c r="AN387" s="2027">
        <v>37</v>
      </c>
      <c r="AO387" s="2027">
        <f t="shared" si="171"/>
        <v>8942.4</v>
      </c>
      <c r="AP387" s="2027">
        <f t="shared" si="195"/>
        <v>17884.8</v>
      </c>
      <c r="AQ387" s="2027">
        <f t="shared" si="195"/>
        <v>27820.799999999999</v>
      </c>
      <c r="AR387" s="2027" t="s">
        <v>3286</v>
      </c>
      <c r="AS387" s="2027">
        <f t="shared" si="173"/>
        <v>36763.200000000004</v>
      </c>
      <c r="AT387" s="2027">
        <f t="shared" si="174"/>
        <v>-157.059</v>
      </c>
      <c r="AU387" s="2027">
        <f t="shared" si="196"/>
        <v>-314.11799999999999</v>
      </c>
      <c r="AV387" s="2027">
        <f t="shared" si="196"/>
        <v>-488.62800000000004</v>
      </c>
      <c r="AW387" s="2027">
        <f t="shared" si="196"/>
        <v>-645.68700000000001</v>
      </c>
      <c r="AX387" s="2124">
        <v>70</v>
      </c>
      <c r="AY387" s="2029">
        <v>70</v>
      </c>
      <c r="AZ387" s="2029">
        <v>70</v>
      </c>
      <c r="BA387" s="2029">
        <v>70</v>
      </c>
      <c r="BB387" s="2124">
        <v>0</v>
      </c>
      <c r="BC387" s="2029">
        <v>0</v>
      </c>
      <c r="BD387" s="2029">
        <v>0</v>
      </c>
      <c r="BE387" s="2029">
        <v>0</v>
      </c>
      <c r="BF387" s="2124">
        <v>274</v>
      </c>
      <c r="BG387" s="2029">
        <v>274</v>
      </c>
      <c r="BH387" s="2029">
        <v>274</v>
      </c>
      <c r="BI387" s="2029">
        <v>274</v>
      </c>
      <c r="BJ387" s="2030">
        <f t="shared" si="197"/>
        <v>630</v>
      </c>
      <c r="BK387" s="2030">
        <f t="shared" si="197"/>
        <v>1260</v>
      </c>
      <c r="BL387" s="2030">
        <f t="shared" si="197"/>
        <v>1960</v>
      </c>
      <c r="BM387" s="2030" t="s">
        <v>3286</v>
      </c>
      <c r="BN387" s="2030">
        <f t="shared" si="177"/>
        <v>2590</v>
      </c>
      <c r="BO387" s="2030">
        <f t="shared" si="178"/>
        <v>0</v>
      </c>
      <c r="BP387" s="2030" t="s">
        <v>3286</v>
      </c>
      <c r="BQ387" s="2030">
        <f t="shared" si="198"/>
        <v>0</v>
      </c>
      <c r="BR387" s="2030">
        <f t="shared" si="198"/>
        <v>0</v>
      </c>
      <c r="BS387" s="2030">
        <f t="shared" si="198"/>
        <v>0</v>
      </c>
      <c r="BT387" s="2125"/>
      <c r="BU387" s="2125"/>
      <c r="BV387" s="2125"/>
      <c r="BW387" s="2125"/>
      <c r="BX387" s="2125"/>
      <c r="BY387" s="2125"/>
      <c r="BZ387" s="2125"/>
      <c r="CA387" s="2125"/>
      <c r="CB387" s="2029"/>
      <c r="CC387" s="2029"/>
      <c r="CD387" s="2029"/>
      <c r="CE387" s="2029"/>
      <c r="CF387" s="2029"/>
      <c r="CG387" s="2032"/>
      <c r="CH387" s="1974">
        <v>0</v>
      </c>
      <c r="CI387" s="1974">
        <v>0</v>
      </c>
      <c r="CJ387" s="1974">
        <v>0</v>
      </c>
      <c r="CK387" s="1974">
        <v>0</v>
      </c>
      <c r="CL387" s="1974">
        <v>0</v>
      </c>
      <c r="CM387" s="2033">
        <v>3.3280807775739662E-5</v>
      </c>
      <c r="CN387" s="2026">
        <v>-5.6212921570356184E-5</v>
      </c>
      <c r="CO387" s="1974">
        <v>0</v>
      </c>
      <c r="CP387" s="2031">
        <v>0</v>
      </c>
      <c r="CQ387" s="2031">
        <f t="shared" si="183"/>
        <v>0</v>
      </c>
      <c r="CR387" s="2026">
        <v>1</v>
      </c>
      <c r="CS387" s="2026">
        <v>1</v>
      </c>
      <c r="CT387" s="2026">
        <v>1</v>
      </c>
      <c r="CU387" s="2026">
        <v>1</v>
      </c>
      <c r="CV387" s="2036"/>
      <c r="CW387" s="2036"/>
      <c r="CX387" s="2036"/>
      <c r="CY387" s="2036"/>
      <c r="CZ387" s="2036"/>
      <c r="DA387" s="2036"/>
      <c r="DB387" s="1973">
        <v>1</v>
      </c>
    </row>
    <row r="388" spans="1:106" x14ac:dyDescent="0.25">
      <c r="A388" s="2278" t="str">
        <f>IF(A120="","",A120)</f>
        <v>Energy Star Beverage Vending Machine</v>
      </c>
      <c r="B388" s="1974" t="str">
        <f>IF(B120="","",B120)</f>
        <v/>
      </c>
      <c r="C388" s="2027">
        <v>14</v>
      </c>
      <c r="D388" s="2027"/>
      <c r="E388" s="2144">
        <v>1310</v>
      </c>
      <c r="F388" s="2144"/>
      <c r="G388" s="2145">
        <v>0</v>
      </c>
      <c r="H388" s="2145"/>
      <c r="I388" s="2027">
        <v>0</v>
      </c>
      <c r="J388" s="2027"/>
      <c r="K388" s="1974" t="s">
        <v>2988</v>
      </c>
      <c r="L388" s="1974" t="s">
        <v>2988</v>
      </c>
      <c r="M388" s="2026">
        <v>0.9</v>
      </c>
      <c r="N388" s="2026">
        <v>0.9</v>
      </c>
      <c r="O388" s="2026">
        <v>0.9</v>
      </c>
      <c r="P388" s="2026">
        <v>0.9</v>
      </c>
      <c r="Q388" s="2027">
        <f t="shared" si="200"/>
        <v>1179</v>
      </c>
      <c r="R388" s="2027">
        <f t="shared" si="200"/>
        <v>1179</v>
      </c>
      <c r="S388" s="2027">
        <f t="shared" si="200"/>
        <v>1179</v>
      </c>
      <c r="T388" s="2027">
        <f t="shared" si="200"/>
        <v>1179</v>
      </c>
      <c r="U388" s="2026">
        <v>0.9</v>
      </c>
      <c r="V388" s="2026">
        <v>0.9</v>
      </c>
      <c r="W388" s="2026">
        <v>0.9</v>
      </c>
      <c r="X388" s="2026">
        <v>0.9</v>
      </c>
      <c r="Y388" s="2028">
        <f t="shared" si="201"/>
        <v>0</v>
      </c>
      <c r="Z388" s="2028">
        <f t="shared" si="201"/>
        <v>0</v>
      </c>
      <c r="AA388" s="2028">
        <f t="shared" si="201"/>
        <v>0</v>
      </c>
      <c r="AB388" s="2028">
        <f t="shared" si="201"/>
        <v>0</v>
      </c>
      <c r="AC388" s="2026">
        <v>0.9</v>
      </c>
      <c r="AD388" s="2026">
        <v>0.9</v>
      </c>
      <c r="AE388" s="2026">
        <v>0.9</v>
      </c>
      <c r="AF388" s="2026">
        <v>0.9</v>
      </c>
      <c r="AG388" s="2027">
        <f t="shared" si="202"/>
        <v>0</v>
      </c>
      <c r="AH388" s="2027">
        <f t="shared" si="202"/>
        <v>0</v>
      </c>
      <c r="AI388" s="2027">
        <f t="shared" si="202"/>
        <v>0</v>
      </c>
      <c r="AJ388" s="2027">
        <f t="shared" si="202"/>
        <v>0</v>
      </c>
      <c r="AK388" s="2027">
        <v>1</v>
      </c>
      <c r="AL388" s="2028">
        <v>1</v>
      </c>
      <c r="AM388" s="2028"/>
      <c r="AN388" s="2028">
        <v>1</v>
      </c>
      <c r="AO388" s="2027">
        <f t="shared" ref="AO388:AO445" si="206">AK388*Q388</f>
        <v>1179</v>
      </c>
      <c r="AP388" s="2027">
        <f t="shared" ref="AP388:AQ419" si="207">AL388*R388*CS388</f>
        <v>1179</v>
      </c>
      <c r="AQ388" s="2027">
        <f t="shared" si="207"/>
        <v>0</v>
      </c>
      <c r="AR388" s="2027" t="s">
        <v>3286</v>
      </c>
      <c r="AS388" s="2027">
        <f t="shared" ref="AS388:AS448" si="208">AN388*T388*CU388</f>
        <v>1179</v>
      </c>
      <c r="AT388" s="2027">
        <f t="shared" ref="AT388:AT448" si="209">AK388*AG388</f>
        <v>0</v>
      </c>
      <c r="AU388" s="2027">
        <f t="shared" ref="AU388:AW419" si="210">AL388*AH388*CS388</f>
        <v>0</v>
      </c>
      <c r="AV388" s="2027">
        <f t="shared" si="210"/>
        <v>0</v>
      </c>
      <c r="AW388" s="2027">
        <f t="shared" si="210"/>
        <v>0</v>
      </c>
      <c r="AX388" s="2124">
        <v>100</v>
      </c>
      <c r="AY388" s="2029">
        <v>100</v>
      </c>
      <c r="AZ388" s="2029">
        <v>100</v>
      </c>
      <c r="BA388" s="2029">
        <v>100</v>
      </c>
      <c r="BB388" s="2124">
        <v>0</v>
      </c>
      <c r="BC388" s="2029">
        <v>0</v>
      </c>
      <c r="BD388" s="2029">
        <v>0</v>
      </c>
      <c r="BE388" s="2029">
        <v>0</v>
      </c>
      <c r="BF388" s="2124">
        <v>500</v>
      </c>
      <c r="BG388" s="2029">
        <v>500</v>
      </c>
      <c r="BH388" s="2029">
        <v>500</v>
      </c>
      <c r="BI388" s="2029">
        <v>500</v>
      </c>
      <c r="BJ388" s="2030">
        <f t="shared" ref="BJ388:BL419" si="211">AX388*AK388</f>
        <v>100</v>
      </c>
      <c r="BK388" s="2030">
        <f t="shared" si="211"/>
        <v>100</v>
      </c>
      <c r="BL388" s="2030">
        <f t="shared" si="211"/>
        <v>0</v>
      </c>
      <c r="BM388" s="2030" t="s">
        <v>3286</v>
      </c>
      <c r="BN388" s="2030">
        <f t="shared" ref="BN388:BN448" si="212">BA388*AN388</f>
        <v>100</v>
      </c>
      <c r="BO388" s="2030">
        <f t="shared" ref="BO388:BO448" si="213">BB388*AK388</f>
        <v>0</v>
      </c>
      <c r="BP388" s="2030" t="s">
        <v>3286</v>
      </c>
      <c r="BQ388" s="2030">
        <f t="shared" ref="BQ388:BS419" si="214">BC388*AL388</f>
        <v>0</v>
      </c>
      <c r="BR388" s="2030">
        <f t="shared" si="214"/>
        <v>0</v>
      </c>
      <c r="BS388" s="2030">
        <f t="shared" si="214"/>
        <v>0</v>
      </c>
      <c r="BT388" s="2125"/>
      <c r="BU388" s="2125"/>
      <c r="BV388" s="2125"/>
      <c r="BW388" s="2125"/>
      <c r="BX388" s="2125"/>
      <c r="BY388" s="2125"/>
      <c r="BZ388" s="2125"/>
      <c r="CA388" s="2125"/>
      <c r="CB388" s="2029"/>
      <c r="CC388" s="2029"/>
      <c r="CD388" s="2029"/>
      <c r="CE388" s="2029"/>
      <c r="CF388" s="2029"/>
      <c r="CG388" s="2032"/>
      <c r="CH388" s="1974">
        <v>0</v>
      </c>
      <c r="CI388" s="1974">
        <v>0</v>
      </c>
      <c r="CJ388" s="1974">
        <v>0</v>
      </c>
      <c r="CK388" s="1974">
        <v>0</v>
      </c>
      <c r="CL388" s="1974">
        <v>0</v>
      </c>
      <c r="CM388" s="2033">
        <v>3.949081357447369E-6</v>
      </c>
      <c r="CN388" s="2026">
        <v>0</v>
      </c>
      <c r="CO388" s="1974">
        <v>0</v>
      </c>
      <c r="CP388" s="2031">
        <v>0</v>
      </c>
      <c r="CQ388" s="2031">
        <f t="shared" si="183"/>
        <v>0</v>
      </c>
      <c r="CR388" s="2026">
        <v>1</v>
      </c>
      <c r="CS388" s="2026">
        <v>1</v>
      </c>
      <c r="CT388" s="2026">
        <v>1</v>
      </c>
      <c r="CU388" s="2026">
        <v>1</v>
      </c>
      <c r="CV388" s="2036"/>
      <c r="CW388" s="2036"/>
      <c r="CX388" s="2036"/>
      <c r="CY388" s="2036"/>
      <c r="CZ388" s="2036"/>
      <c r="DA388" s="2036"/>
      <c r="DB388" s="1973">
        <v>1</v>
      </c>
    </row>
    <row r="389" spans="1:106" x14ac:dyDescent="0.25">
      <c r="A389" s="2278" t="str">
        <f>IF(A122="","",A122)</f>
        <v>ERVs</v>
      </c>
      <c r="B389" s="1974" t="str">
        <f>IF(B122="","",B122)</f>
        <v/>
      </c>
      <c r="C389" s="2027">
        <v>15</v>
      </c>
      <c r="D389" s="2027"/>
      <c r="E389" s="2144">
        <v>0</v>
      </c>
      <c r="F389" s="2144"/>
      <c r="G389" s="2145">
        <v>0</v>
      </c>
      <c r="H389" s="2145"/>
      <c r="I389" s="2027">
        <v>5.1875000000000004E-2</v>
      </c>
      <c r="J389" s="2027"/>
      <c r="K389" s="1974" t="s">
        <v>2988</v>
      </c>
      <c r="L389" s="1974" t="s">
        <v>2988</v>
      </c>
      <c r="M389" s="2026">
        <v>0.9</v>
      </c>
      <c r="N389" s="2026">
        <v>0.9</v>
      </c>
      <c r="O389" s="2026">
        <v>0.9</v>
      </c>
      <c r="P389" s="2026">
        <v>0.9</v>
      </c>
      <c r="Q389" s="2027">
        <f t="shared" si="200"/>
        <v>0</v>
      </c>
      <c r="R389" s="2027">
        <f t="shared" si="200"/>
        <v>0</v>
      </c>
      <c r="S389" s="2027">
        <f t="shared" si="200"/>
        <v>0</v>
      </c>
      <c r="T389" s="2027">
        <f t="shared" si="200"/>
        <v>0</v>
      </c>
      <c r="U389" s="2026">
        <v>0.9</v>
      </c>
      <c r="V389" s="2026">
        <v>0.9</v>
      </c>
      <c r="W389" s="2026">
        <v>0.9</v>
      </c>
      <c r="X389" s="2026">
        <v>0.9</v>
      </c>
      <c r="Y389" s="2028">
        <f t="shared" si="201"/>
        <v>0</v>
      </c>
      <c r="Z389" s="2028">
        <f t="shared" si="201"/>
        <v>0</v>
      </c>
      <c r="AA389" s="2028">
        <f t="shared" si="201"/>
        <v>0</v>
      </c>
      <c r="AB389" s="2028">
        <f t="shared" si="201"/>
        <v>0</v>
      </c>
      <c r="AC389" s="2026">
        <v>0.9</v>
      </c>
      <c r="AD389" s="2026">
        <v>0.9</v>
      </c>
      <c r="AE389" s="2026">
        <v>0.9</v>
      </c>
      <c r="AF389" s="2026">
        <v>0.9</v>
      </c>
      <c r="AG389" s="2027">
        <f t="shared" si="202"/>
        <v>4.6687500000000007E-2</v>
      </c>
      <c r="AH389" s="2027">
        <f t="shared" si="202"/>
        <v>4.6687500000000007E-2</v>
      </c>
      <c r="AI389" s="2027">
        <f t="shared" si="202"/>
        <v>4.6687500000000007E-2</v>
      </c>
      <c r="AJ389" s="2027">
        <f t="shared" si="202"/>
        <v>4.6687500000000007E-2</v>
      </c>
      <c r="AK389" s="2265">
        <v>12000</v>
      </c>
      <c r="AL389" s="2279">
        <v>12000</v>
      </c>
      <c r="AM389" s="2279">
        <v>12000</v>
      </c>
      <c r="AN389" s="2279">
        <v>12000</v>
      </c>
      <c r="AO389" s="2027">
        <f t="shared" si="206"/>
        <v>0</v>
      </c>
      <c r="AP389" s="2027">
        <f t="shared" si="207"/>
        <v>0</v>
      </c>
      <c r="AQ389" s="2027">
        <f t="shared" si="207"/>
        <v>0</v>
      </c>
      <c r="AR389" s="2027" t="s">
        <v>3286</v>
      </c>
      <c r="AS389" s="2027">
        <f t="shared" si="208"/>
        <v>0</v>
      </c>
      <c r="AT389" s="2027">
        <f t="shared" si="209"/>
        <v>560.25000000000011</v>
      </c>
      <c r="AU389" s="2027">
        <f t="shared" si="210"/>
        <v>560.25000000000011</v>
      </c>
      <c r="AV389" s="2027">
        <f t="shared" si="210"/>
        <v>560.25000000000011</v>
      </c>
      <c r="AW389" s="2027">
        <f t="shared" si="210"/>
        <v>560.25000000000011</v>
      </c>
      <c r="AX389" s="2124">
        <v>0</v>
      </c>
      <c r="AY389" s="2029">
        <v>0</v>
      </c>
      <c r="AZ389" s="2029">
        <v>0</v>
      </c>
      <c r="BA389" s="2029">
        <v>0</v>
      </c>
      <c r="BB389" s="2124">
        <v>4</v>
      </c>
      <c r="BC389" s="2029">
        <v>4</v>
      </c>
      <c r="BD389" s="2029">
        <v>4</v>
      </c>
      <c r="BE389" s="2029">
        <v>4</v>
      </c>
      <c r="BF389" s="2124">
        <v>6</v>
      </c>
      <c r="BG389" s="2029">
        <v>6</v>
      </c>
      <c r="BH389" s="2029">
        <v>6</v>
      </c>
      <c r="BI389" s="2029">
        <v>6</v>
      </c>
      <c r="BJ389" s="2030">
        <f t="shared" si="211"/>
        <v>0</v>
      </c>
      <c r="BK389" s="2030">
        <f t="shared" si="211"/>
        <v>0</v>
      </c>
      <c r="BL389" s="2030">
        <f t="shared" si="211"/>
        <v>0</v>
      </c>
      <c r="BM389" s="2030" t="s">
        <v>3286</v>
      </c>
      <c r="BN389" s="2030">
        <f t="shared" si="212"/>
        <v>0</v>
      </c>
      <c r="BO389" s="2030">
        <f t="shared" si="213"/>
        <v>48000</v>
      </c>
      <c r="BP389" s="2030" t="s">
        <v>3286</v>
      </c>
      <c r="BQ389" s="2030">
        <f t="shared" si="214"/>
        <v>48000</v>
      </c>
      <c r="BR389" s="2030">
        <f t="shared" si="214"/>
        <v>48000</v>
      </c>
      <c r="BS389" s="2030">
        <f t="shared" si="214"/>
        <v>48000</v>
      </c>
      <c r="BT389" s="2125"/>
      <c r="BU389" s="2125"/>
      <c r="BV389" s="2125"/>
      <c r="BW389" s="2125"/>
      <c r="BX389" s="2125"/>
      <c r="BY389" s="2125"/>
      <c r="BZ389" s="2125"/>
      <c r="CA389" s="2125"/>
      <c r="CB389" s="2029"/>
      <c r="CC389" s="2029"/>
      <c r="CD389" s="2029"/>
      <c r="CE389" s="2029"/>
      <c r="CF389" s="2029"/>
      <c r="CG389" s="2032"/>
      <c r="CH389" s="1974">
        <v>0</v>
      </c>
      <c r="CI389" s="1974">
        <v>0</v>
      </c>
      <c r="CJ389" s="1974">
        <v>0</v>
      </c>
      <c r="CK389" s="1974">
        <v>0</v>
      </c>
      <c r="CL389" s="1974">
        <v>0</v>
      </c>
      <c r="CM389" s="2033">
        <v>0</v>
      </c>
      <c r="CN389" s="2026">
        <v>6.0155653562913413E-5</v>
      </c>
      <c r="CO389" s="1974">
        <v>0</v>
      </c>
      <c r="CP389" s="2031">
        <v>0</v>
      </c>
      <c r="CQ389" s="2031">
        <f t="shared" ref="CQ389:CQ448" si="215">CP389*(-1)</f>
        <v>0</v>
      </c>
      <c r="CR389" s="2026">
        <v>1</v>
      </c>
      <c r="CS389" s="2026">
        <v>1</v>
      </c>
      <c r="CT389" s="2026">
        <v>1</v>
      </c>
      <c r="CU389" s="2026">
        <v>1</v>
      </c>
      <c r="CV389" s="2036"/>
      <c r="CW389" s="2036"/>
      <c r="CX389" s="2036"/>
      <c r="CY389" s="2036"/>
      <c r="CZ389" s="2036"/>
      <c r="DA389" s="2036"/>
      <c r="DB389" s="1973">
        <v>1</v>
      </c>
    </row>
    <row r="390" spans="1:106" x14ac:dyDescent="0.25">
      <c r="A390" s="2278" t="str">
        <f>IF(A123="","",A123)</f>
        <v>Notched V-belts for HVAC systems</v>
      </c>
      <c r="B390" s="1974" t="str">
        <f>IF(B123="","",B123)</f>
        <v/>
      </c>
      <c r="C390" s="2027">
        <v>6.6</v>
      </c>
      <c r="D390" s="2027"/>
      <c r="E390" s="2144">
        <v>265.27999999999997</v>
      </c>
      <c r="F390" s="2144"/>
      <c r="G390" s="2145">
        <v>0.06</v>
      </c>
      <c r="H390" s="2145"/>
      <c r="I390" s="2027">
        <v>0</v>
      </c>
      <c r="J390" s="2027"/>
      <c r="K390" s="1974" t="s">
        <v>2988</v>
      </c>
      <c r="L390" s="1974" t="s">
        <v>2988</v>
      </c>
      <c r="M390" s="2026">
        <v>0.9</v>
      </c>
      <c r="N390" s="2026">
        <v>0.9</v>
      </c>
      <c r="O390" s="2026">
        <v>0.9</v>
      </c>
      <c r="P390" s="2026">
        <v>0.9</v>
      </c>
      <c r="Q390" s="2027">
        <f t="shared" si="200"/>
        <v>238.75199999999998</v>
      </c>
      <c r="R390" s="2027">
        <f t="shared" si="200"/>
        <v>238.75199999999998</v>
      </c>
      <c r="S390" s="2027">
        <f t="shared" si="200"/>
        <v>238.75199999999998</v>
      </c>
      <c r="T390" s="2027">
        <f t="shared" si="200"/>
        <v>238.75199999999998</v>
      </c>
      <c r="U390" s="2026">
        <v>0.9</v>
      </c>
      <c r="V390" s="2026">
        <v>0.9</v>
      </c>
      <c r="W390" s="2026">
        <v>0.9</v>
      </c>
      <c r="X390" s="2026">
        <v>0.9</v>
      </c>
      <c r="Y390" s="2028">
        <f t="shared" si="201"/>
        <v>5.3999999999999999E-2</v>
      </c>
      <c r="Z390" s="2028">
        <f t="shared" si="201"/>
        <v>5.3999999999999999E-2</v>
      </c>
      <c r="AA390" s="2028">
        <f t="shared" si="201"/>
        <v>5.3999999999999999E-2</v>
      </c>
      <c r="AB390" s="2028">
        <f t="shared" si="201"/>
        <v>5.3999999999999999E-2</v>
      </c>
      <c r="AC390" s="2026">
        <v>0.9</v>
      </c>
      <c r="AD390" s="2026">
        <v>0.9</v>
      </c>
      <c r="AE390" s="2026">
        <v>0.9</v>
      </c>
      <c r="AF390" s="2026">
        <v>0.9</v>
      </c>
      <c r="AG390" s="2027">
        <f t="shared" si="202"/>
        <v>0</v>
      </c>
      <c r="AH390" s="2027">
        <f t="shared" si="202"/>
        <v>0</v>
      </c>
      <c r="AI390" s="2027">
        <f t="shared" si="202"/>
        <v>0</v>
      </c>
      <c r="AJ390" s="2027">
        <f t="shared" si="202"/>
        <v>0</v>
      </c>
      <c r="AK390" s="2027">
        <v>14</v>
      </c>
      <c r="AL390" s="2027">
        <v>14</v>
      </c>
      <c r="AM390" s="2027">
        <v>14</v>
      </c>
      <c r="AN390" s="2027">
        <v>14</v>
      </c>
      <c r="AO390" s="2027">
        <f t="shared" si="206"/>
        <v>3342.5279999999998</v>
      </c>
      <c r="AP390" s="2027">
        <f t="shared" si="207"/>
        <v>3342.5279999999998</v>
      </c>
      <c r="AQ390" s="2027">
        <f t="shared" si="207"/>
        <v>3342.5279999999998</v>
      </c>
      <c r="AR390" s="2027" t="s">
        <v>3286</v>
      </c>
      <c r="AS390" s="2027">
        <f t="shared" si="208"/>
        <v>3342.5279999999998</v>
      </c>
      <c r="AT390" s="2027">
        <f t="shared" si="209"/>
        <v>0</v>
      </c>
      <c r="AU390" s="2027">
        <f t="shared" si="210"/>
        <v>0</v>
      </c>
      <c r="AV390" s="2027">
        <f t="shared" si="210"/>
        <v>0</v>
      </c>
      <c r="AW390" s="2027">
        <f t="shared" si="210"/>
        <v>0</v>
      </c>
      <c r="AX390" s="2124">
        <v>17.5</v>
      </c>
      <c r="AY390" s="2029">
        <v>17.5</v>
      </c>
      <c r="AZ390" s="2029">
        <v>17.5</v>
      </c>
      <c r="BA390" s="2029">
        <v>17.5</v>
      </c>
      <c r="BB390" s="2124">
        <v>0</v>
      </c>
      <c r="BC390" s="2029">
        <v>0</v>
      </c>
      <c r="BD390" s="2029">
        <v>0</v>
      </c>
      <c r="BE390" s="2029">
        <v>0</v>
      </c>
      <c r="BF390" s="2124">
        <v>17.5</v>
      </c>
      <c r="BG390" s="2029">
        <v>17.5</v>
      </c>
      <c r="BH390" s="2029">
        <v>17.5</v>
      </c>
      <c r="BI390" s="2029">
        <v>17.5</v>
      </c>
      <c r="BJ390" s="2030">
        <f t="shared" si="211"/>
        <v>245</v>
      </c>
      <c r="BK390" s="2030">
        <f t="shared" si="211"/>
        <v>245</v>
      </c>
      <c r="BL390" s="2030">
        <f t="shared" si="211"/>
        <v>245</v>
      </c>
      <c r="BM390" s="2030" t="s">
        <v>3286</v>
      </c>
      <c r="BN390" s="2030">
        <f t="shared" si="212"/>
        <v>245</v>
      </c>
      <c r="BO390" s="2030">
        <f t="shared" si="213"/>
        <v>0</v>
      </c>
      <c r="BP390" s="2030" t="s">
        <v>3286</v>
      </c>
      <c r="BQ390" s="2030">
        <f t="shared" si="214"/>
        <v>0</v>
      </c>
      <c r="BR390" s="2030">
        <f t="shared" si="214"/>
        <v>0</v>
      </c>
      <c r="BS390" s="2030">
        <f t="shared" si="214"/>
        <v>0</v>
      </c>
      <c r="BT390" s="2125"/>
      <c r="BU390" s="2125"/>
      <c r="BV390" s="2125"/>
      <c r="BW390" s="2125"/>
      <c r="BX390" s="2125"/>
      <c r="BY390" s="2125"/>
      <c r="BZ390" s="2125"/>
      <c r="CA390" s="2125"/>
      <c r="CB390" s="2029"/>
      <c r="CC390" s="2029"/>
      <c r="CD390" s="2029"/>
      <c r="CE390" s="2029"/>
      <c r="CF390" s="2029"/>
      <c r="CG390" s="2032"/>
      <c r="CH390" s="1974">
        <v>0</v>
      </c>
      <c r="CI390" s="1974">
        <v>0</v>
      </c>
      <c r="CJ390" s="1974">
        <v>0</v>
      </c>
      <c r="CK390" s="1974">
        <v>0</v>
      </c>
      <c r="CL390" s="1974">
        <v>0</v>
      </c>
      <c r="CM390" s="2033">
        <v>1.1995560715690512E-5</v>
      </c>
      <c r="CN390" s="2026">
        <v>0</v>
      </c>
      <c r="CO390" s="1974">
        <v>0</v>
      </c>
      <c r="CP390" s="2031">
        <v>0</v>
      </c>
      <c r="CQ390" s="2031">
        <f t="shared" si="215"/>
        <v>0</v>
      </c>
      <c r="CR390" s="2026">
        <v>1</v>
      </c>
      <c r="CS390" s="2026">
        <v>1</v>
      </c>
      <c r="CT390" s="2026">
        <v>1</v>
      </c>
      <c r="CU390" s="2026">
        <v>1</v>
      </c>
      <c r="CV390" s="2036"/>
      <c r="CW390" s="2036"/>
      <c r="CX390" s="2036"/>
      <c r="CY390" s="2036"/>
      <c r="CZ390" s="2036"/>
      <c r="DA390" s="2036"/>
      <c r="DB390" s="1973">
        <v>1</v>
      </c>
    </row>
    <row r="391" spans="1:106" x14ac:dyDescent="0.25">
      <c r="A391" s="2278" t="str">
        <f>IF(A125="","",A125)</f>
        <v>Electric Convection Oven</v>
      </c>
      <c r="B391" s="1974" t="str">
        <f>IF(B125="","",B125)</f>
        <v>BPCK23</v>
      </c>
      <c r="C391" s="2027">
        <v>12</v>
      </c>
      <c r="D391" s="2027"/>
      <c r="E391" s="2144">
        <v>2200</v>
      </c>
      <c r="F391" s="2144"/>
      <c r="G391" s="2145">
        <v>0.4</v>
      </c>
      <c r="H391" s="2145"/>
      <c r="I391" s="2027">
        <v>0</v>
      </c>
      <c r="J391" s="2027"/>
      <c r="K391" s="1974" t="s">
        <v>2988</v>
      </c>
      <c r="L391" s="1974" t="s">
        <v>2988</v>
      </c>
      <c r="M391" s="2026">
        <v>0.9</v>
      </c>
      <c r="N391" s="2026">
        <v>0.9</v>
      </c>
      <c r="O391" s="2026">
        <v>0.9</v>
      </c>
      <c r="P391" s="2026">
        <v>0.9</v>
      </c>
      <c r="Q391" s="2027">
        <f t="shared" si="200"/>
        <v>1980</v>
      </c>
      <c r="R391" s="2027">
        <f t="shared" si="200"/>
        <v>1980</v>
      </c>
      <c r="S391" s="2027">
        <f t="shared" si="200"/>
        <v>1980</v>
      </c>
      <c r="T391" s="2027">
        <f t="shared" si="200"/>
        <v>1980</v>
      </c>
      <c r="U391" s="2026">
        <v>0.9</v>
      </c>
      <c r="V391" s="2026">
        <v>0.9</v>
      </c>
      <c r="W391" s="2026">
        <v>0.9</v>
      </c>
      <c r="X391" s="2026">
        <v>0.9</v>
      </c>
      <c r="Y391" s="2028">
        <f t="shared" si="201"/>
        <v>0.36000000000000004</v>
      </c>
      <c r="Z391" s="2028">
        <f t="shared" si="201"/>
        <v>0.36000000000000004</v>
      </c>
      <c r="AA391" s="2028">
        <f t="shared" si="201"/>
        <v>0.36000000000000004</v>
      </c>
      <c r="AB391" s="2028">
        <f t="shared" si="201"/>
        <v>0.36000000000000004</v>
      </c>
      <c r="AC391" s="2026">
        <v>0.9</v>
      </c>
      <c r="AD391" s="2026">
        <v>0.9</v>
      </c>
      <c r="AE391" s="2026">
        <v>0.9</v>
      </c>
      <c r="AF391" s="2026">
        <v>0.9</v>
      </c>
      <c r="AG391" s="2027">
        <f t="shared" si="202"/>
        <v>0</v>
      </c>
      <c r="AH391" s="2027">
        <f t="shared" si="202"/>
        <v>0</v>
      </c>
      <c r="AI391" s="2027">
        <f t="shared" si="202"/>
        <v>0</v>
      </c>
      <c r="AJ391" s="2027">
        <f t="shared" si="202"/>
        <v>0</v>
      </c>
      <c r="AK391" s="2027">
        <v>0</v>
      </c>
      <c r="AL391" s="2028">
        <v>1</v>
      </c>
      <c r="AM391" s="2028"/>
      <c r="AN391" s="2028">
        <v>1</v>
      </c>
      <c r="AO391" s="2027">
        <f t="shared" si="206"/>
        <v>0</v>
      </c>
      <c r="AP391" s="2027">
        <f t="shared" si="207"/>
        <v>1980</v>
      </c>
      <c r="AQ391" s="2027">
        <f t="shared" si="207"/>
        <v>0</v>
      </c>
      <c r="AR391" s="2027" t="s">
        <v>3286</v>
      </c>
      <c r="AS391" s="2027">
        <f t="shared" si="208"/>
        <v>1980</v>
      </c>
      <c r="AT391" s="2027">
        <f t="shared" si="209"/>
        <v>0</v>
      </c>
      <c r="AU391" s="2027">
        <f t="shared" si="210"/>
        <v>0</v>
      </c>
      <c r="AV391" s="2027">
        <f t="shared" si="210"/>
        <v>0</v>
      </c>
      <c r="AW391" s="2027">
        <f t="shared" si="210"/>
        <v>0</v>
      </c>
      <c r="AX391" s="2124">
        <v>300</v>
      </c>
      <c r="AY391" s="2029">
        <v>300</v>
      </c>
      <c r="AZ391" s="2029">
        <v>300</v>
      </c>
      <c r="BA391" s="2029">
        <v>300</v>
      </c>
      <c r="BB391" s="2124">
        <v>0</v>
      </c>
      <c r="BC391" s="2029">
        <v>0</v>
      </c>
      <c r="BD391" s="2029">
        <v>0</v>
      </c>
      <c r="BE391" s="2029">
        <v>0</v>
      </c>
      <c r="BF391" s="2124">
        <v>900</v>
      </c>
      <c r="BG391" s="2029">
        <v>900</v>
      </c>
      <c r="BH391" s="2029">
        <v>900</v>
      </c>
      <c r="BI391" s="2029">
        <v>900</v>
      </c>
      <c r="BJ391" s="2030">
        <f t="shared" si="211"/>
        <v>0</v>
      </c>
      <c r="BK391" s="2030">
        <f t="shared" si="211"/>
        <v>300</v>
      </c>
      <c r="BL391" s="2030">
        <f t="shared" si="211"/>
        <v>0</v>
      </c>
      <c r="BM391" s="2030" t="s">
        <v>3286</v>
      </c>
      <c r="BN391" s="2030">
        <f t="shared" si="212"/>
        <v>300</v>
      </c>
      <c r="BO391" s="2030">
        <f t="shared" si="213"/>
        <v>0</v>
      </c>
      <c r="BP391" s="2030" t="s">
        <v>3286</v>
      </c>
      <c r="BQ391" s="2030">
        <f t="shared" si="214"/>
        <v>0</v>
      </c>
      <c r="BR391" s="2030">
        <f t="shared" si="214"/>
        <v>0</v>
      </c>
      <c r="BS391" s="2030">
        <f t="shared" si="214"/>
        <v>0</v>
      </c>
      <c r="BT391" s="2125"/>
      <c r="BU391" s="2125"/>
      <c r="BV391" s="2125"/>
      <c r="BW391" s="2125"/>
      <c r="BX391" s="2125"/>
      <c r="BY391" s="2125"/>
      <c r="BZ391" s="2125"/>
      <c r="CA391" s="2125"/>
      <c r="CB391" s="2029"/>
      <c r="CC391" s="2029"/>
      <c r="CD391" s="2029"/>
      <c r="CE391" s="2029"/>
      <c r="CF391" s="2029"/>
      <c r="CG391" s="2032"/>
      <c r="CH391" s="1974">
        <v>0</v>
      </c>
      <c r="CI391" s="1974">
        <v>0</v>
      </c>
      <c r="CJ391" s="1974">
        <v>0</v>
      </c>
      <c r="CK391" s="1974">
        <v>0</v>
      </c>
      <c r="CL391" s="1974">
        <v>0</v>
      </c>
      <c r="CM391" s="2033">
        <v>0</v>
      </c>
      <c r="CN391" s="2026">
        <v>0</v>
      </c>
      <c r="CO391" s="1974">
        <v>0</v>
      </c>
      <c r="CP391" s="2031">
        <v>0</v>
      </c>
      <c r="CQ391" s="2031">
        <f t="shared" si="215"/>
        <v>0</v>
      </c>
      <c r="CR391" s="2026">
        <v>1</v>
      </c>
      <c r="CS391" s="2026">
        <v>1</v>
      </c>
      <c r="CT391" s="2026">
        <v>1</v>
      </c>
      <c r="CU391" s="2026">
        <v>1</v>
      </c>
      <c r="CV391" s="2036"/>
      <c r="CW391" s="2036"/>
      <c r="CX391" s="2036"/>
      <c r="CY391" s="2036"/>
      <c r="CZ391" s="2036"/>
      <c r="DA391" s="2036"/>
      <c r="DB391" s="1973">
        <v>1</v>
      </c>
    </row>
    <row r="392" spans="1:106" x14ac:dyDescent="0.25">
      <c r="A392" s="2278" t="str">
        <f>IF(A127="","",A127)</f>
        <v>Programmable thermostat (new)</v>
      </c>
      <c r="B392" s="1974" t="str">
        <f>IF(B127="","",B127)</f>
        <v/>
      </c>
      <c r="C392" s="2027">
        <v>4</v>
      </c>
      <c r="D392" s="2027"/>
      <c r="E392" s="2144">
        <v>4726</v>
      </c>
      <c r="F392" s="2144"/>
      <c r="G392" s="2145">
        <v>0</v>
      </c>
      <c r="H392" s="2145"/>
      <c r="I392" s="2027">
        <v>73.599999999999994</v>
      </c>
      <c r="J392" s="2027"/>
      <c r="K392" s="1974" t="s">
        <v>2988</v>
      </c>
      <c r="L392" s="1974" t="s">
        <v>2988</v>
      </c>
      <c r="M392" s="2026">
        <v>0.9</v>
      </c>
      <c r="N392" s="2026">
        <v>0.9</v>
      </c>
      <c r="O392" s="2026">
        <v>0.9</v>
      </c>
      <c r="P392" s="2026">
        <v>0.9</v>
      </c>
      <c r="Q392" s="2027">
        <f t="shared" si="200"/>
        <v>4253.4000000000005</v>
      </c>
      <c r="R392" s="2027">
        <f t="shared" si="200"/>
        <v>4253.4000000000005</v>
      </c>
      <c r="S392" s="2027">
        <f t="shared" si="200"/>
        <v>4253.4000000000005</v>
      </c>
      <c r="T392" s="2027">
        <f t="shared" si="200"/>
        <v>4253.4000000000005</v>
      </c>
      <c r="U392" s="2026">
        <v>0.9</v>
      </c>
      <c r="V392" s="2026">
        <v>0.9</v>
      </c>
      <c r="W392" s="2026">
        <v>0.9</v>
      </c>
      <c r="X392" s="2026">
        <v>0.9</v>
      </c>
      <c r="Y392" s="2028">
        <f t="shared" si="201"/>
        <v>0</v>
      </c>
      <c r="Z392" s="2028">
        <f t="shared" si="201"/>
        <v>0</v>
      </c>
      <c r="AA392" s="2028">
        <f t="shared" si="201"/>
        <v>0</v>
      </c>
      <c r="AB392" s="2028">
        <f t="shared" si="201"/>
        <v>0</v>
      </c>
      <c r="AC392" s="2026">
        <v>0.9</v>
      </c>
      <c r="AD392" s="2026">
        <v>0.9</v>
      </c>
      <c r="AE392" s="2026">
        <v>0.9</v>
      </c>
      <c r="AF392" s="2026">
        <v>0.9</v>
      </c>
      <c r="AG392" s="2027">
        <f t="shared" si="202"/>
        <v>66.239999999999995</v>
      </c>
      <c r="AH392" s="2027">
        <f t="shared" si="202"/>
        <v>66.239999999999995</v>
      </c>
      <c r="AI392" s="2027">
        <f t="shared" si="202"/>
        <v>66.239999999999995</v>
      </c>
      <c r="AJ392" s="2027">
        <f t="shared" si="202"/>
        <v>66.239999999999995</v>
      </c>
      <c r="AK392" s="2027">
        <v>6</v>
      </c>
      <c r="AL392" s="2027">
        <v>4</v>
      </c>
      <c r="AM392" s="2027">
        <v>1</v>
      </c>
      <c r="AN392" s="2027">
        <v>1</v>
      </c>
      <c r="AO392" s="2027">
        <f t="shared" si="206"/>
        <v>25520.400000000001</v>
      </c>
      <c r="AP392" s="2027">
        <f t="shared" si="207"/>
        <v>17013.600000000002</v>
      </c>
      <c r="AQ392" s="2027">
        <f t="shared" si="207"/>
        <v>4253.4000000000005</v>
      </c>
      <c r="AR392" s="2027" t="s">
        <v>3286</v>
      </c>
      <c r="AS392" s="2027">
        <f t="shared" si="208"/>
        <v>4253.4000000000005</v>
      </c>
      <c r="AT392" s="2027">
        <f t="shared" si="209"/>
        <v>397.43999999999994</v>
      </c>
      <c r="AU392" s="2027">
        <f t="shared" si="210"/>
        <v>264.95999999999998</v>
      </c>
      <c r="AV392" s="2027">
        <f t="shared" si="210"/>
        <v>66.239999999999995</v>
      </c>
      <c r="AW392" s="2027">
        <f t="shared" si="210"/>
        <v>66.239999999999995</v>
      </c>
      <c r="AX392" s="2046">
        <v>85</v>
      </c>
      <c r="AY392" s="2046">
        <v>85</v>
      </c>
      <c r="AZ392" s="2046">
        <v>85</v>
      </c>
      <c r="BA392" s="2046">
        <v>85</v>
      </c>
      <c r="BB392" s="2046">
        <v>15</v>
      </c>
      <c r="BC392" s="2046">
        <v>15</v>
      </c>
      <c r="BD392" s="2046">
        <v>15</v>
      </c>
      <c r="BE392" s="2046">
        <v>15</v>
      </c>
      <c r="BF392" s="2124">
        <v>181</v>
      </c>
      <c r="BG392" s="2029">
        <v>181</v>
      </c>
      <c r="BH392" s="2029">
        <v>181</v>
      </c>
      <c r="BI392" s="2029">
        <v>181</v>
      </c>
      <c r="BJ392" s="2030">
        <f t="shared" si="211"/>
        <v>510</v>
      </c>
      <c r="BK392" s="2030">
        <f t="shared" si="211"/>
        <v>340</v>
      </c>
      <c r="BL392" s="2030">
        <f t="shared" si="211"/>
        <v>85</v>
      </c>
      <c r="BM392" s="2030" t="s">
        <v>3286</v>
      </c>
      <c r="BN392" s="2030">
        <f t="shared" si="212"/>
        <v>85</v>
      </c>
      <c r="BO392" s="2030">
        <f t="shared" si="213"/>
        <v>90</v>
      </c>
      <c r="BP392" s="2030" t="s">
        <v>3286</v>
      </c>
      <c r="BQ392" s="2030">
        <f t="shared" si="214"/>
        <v>60</v>
      </c>
      <c r="BR392" s="2030">
        <f t="shared" si="214"/>
        <v>15</v>
      </c>
      <c r="BS392" s="2030">
        <f t="shared" si="214"/>
        <v>15</v>
      </c>
      <c r="BT392" s="2125"/>
      <c r="BU392" s="2125"/>
      <c r="BV392" s="2125"/>
      <c r="BW392" s="2125"/>
      <c r="BX392" s="2125"/>
      <c r="BY392" s="2125"/>
      <c r="BZ392" s="2125"/>
      <c r="CA392" s="2125"/>
      <c r="CB392" s="2029"/>
      <c r="CC392" s="2029"/>
      <c r="CD392" s="2029"/>
      <c r="CE392" s="2029"/>
      <c r="CF392" s="2029"/>
      <c r="CG392" s="2032"/>
      <c r="CH392" s="1974">
        <v>0</v>
      </c>
      <c r="CI392" s="1974">
        <v>0</v>
      </c>
      <c r="CJ392" s="1974">
        <v>0</v>
      </c>
      <c r="CK392" s="1974">
        <v>0</v>
      </c>
      <c r="CL392" s="1974">
        <v>0</v>
      </c>
      <c r="CM392" s="2033">
        <v>7.1234192730138438E-5</v>
      </c>
      <c r="CN392" s="2026">
        <v>1.0668568921037172E-4</v>
      </c>
      <c r="CO392" s="1974">
        <v>0</v>
      </c>
      <c r="CP392" s="2031">
        <v>0</v>
      </c>
      <c r="CQ392" s="2031">
        <f t="shared" si="215"/>
        <v>0</v>
      </c>
      <c r="CR392" s="2026">
        <v>1</v>
      </c>
      <c r="CS392" s="2026">
        <v>1</v>
      </c>
      <c r="CT392" s="2026">
        <v>1</v>
      </c>
      <c r="CU392" s="2026">
        <v>1</v>
      </c>
      <c r="CV392" s="2036"/>
      <c r="CW392" s="2036"/>
      <c r="CX392" s="2036"/>
      <c r="CY392" s="2036"/>
      <c r="CZ392" s="2036"/>
      <c r="DA392" s="2036"/>
      <c r="DB392" s="1973">
        <v>1</v>
      </c>
    </row>
    <row r="393" spans="1:106" x14ac:dyDescent="0.25">
      <c r="A393" s="2278" t="str">
        <f>IF(A130="","",A130)</f>
        <v>DCV</v>
      </c>
      <c r="B393" s="1974" t="str">
        <f>IF(B130="","",B130)</f>
        <v/>
      </c>
      <c r="C393" s="2027">
        <v>10</v>
      </c>
      <c r="D393" s="2027"/>
      <c r="E393" s="2144">
        <v>4468</v>
      </c>
      <c r="F393" s="2144"/>
      <c r="G393" s="2145">
        <v>0</v>
      </c>
      <c r="H393" s="2145"/>
      <c r="I393" s="2027">
        <v>623</v>
      </c>
      <c r="J393" s="2027"/>
      <c r="K393" s="1974" t="s">
        <v>2988</v>
      </c>
      <c r="L393" s="1974" t="s">
        <v>2988</v>
      </c>
      <c r="M393" s="2026">
        <v>0.9</v>
      </c>
      <c r="N393" s="2026">
        <v>0.9</v>
      </c>
      <c r="O393" s="2026">
        <v>0.9</v>
      </c>
      <c r="P393" s="2026">
        <v>0.9</v>
      </c>
      <c r="Q393" s="2027">
        <f t="shared" si="200"/>
        <v>4021.2000000000003</v>
      </c>
      <c r="R393" s="2027">
        <f t="shared" si="200"/>
        <v>4021.2000000000003</v>
      </c>
      <c r="S393" s="2027">
        <f t="shared" si="200"/>
        <v>4021.2000000000003</v>
      </c>
      <c r="T393" s="2027">
        <f t="shared" si="200"/>
        <v>4021.2000000000003</v>
      </c>
      <c r="U393" s="2026">
        <v>0.9</v>
      </c>
      <c r="V393" s="2026">
        <v>0.9</v>
      </c>
      <c r="W393" s="2026">
        <v>0.9</v>
      </c>
      <c r="X393" s="2026">
        <v>0.9</v>
      </c>
      <c r="Y393" s="2028">
        <f t="shared" si="201"/>
        <v>0</v>
      </c>
      <c r="Z393" s="2028">
        <f t="shared" si="201"/>
        <v>0</v>
      </c>
      <c r="AA393" s="2028">
        <f t="shared" si="201"/>
        <v>0</v>
      </c>
      <c r="AB393" s="2028">
        <f t="shared" si="201"/>
        <v>0</v>
      </c>
      <c r="AC393" s="2026">
        <v>0.9</v>
      </c>
      <c r="AD393" s="2026">
        <v>0.9</v>
      </c>
      <c r="AE393" s="2026">
        <v>0.9</v>
      </c>
      <c r="AF393" s="2026">
        <v>0.9</v>
      </c>
      <c r="AG393" s="2027">
        <f t="shared" si="202"/>
        <v>560.70000000000005</v>
      </c>
      <c r="AH393" s="2027">
        <f t="shared" si="202"/>
        <v>560.70000000000005</v>
      </c>
      <c r="AI393" s="2027">
        <f t="shared" si="202"/>
        <v>560.70000000000005</v>
      </c>
      <c r="AJ393" s="2027">
        <f t="shared" si="202"/>
        <v>560.70000000000005</v>
      </c>
      <c r="AK393" s="2265">
        <v>40</v>
      </c>
      <c r="AL393" s="2265">
        <v>40</v>
      </c>
      <c r="AM393" s="2265">
        <v>40</v>
      </c>
      <c r="AN393" s="2265">
        <v>40</v>
      </c>
      <c r="AO393" s="2027">
        <f t="shared" si="206"/>
        <v>160848</v>
      </c>
      <c r="AP393" s="2027">
        <f t="shared" si="207"/>
        <v>160848</v>
      </c>
      <c r="AQ393" s="2027">
        <f t="shared" si="207"/>
        <v>160848</v>
      </c>
      <c r="AR393" s="2027" t="s">
        <v>3283</v>
      </c>
      <c r="AS393" s="2027">
        <f t="shared" si="208"/>
        <v>160848</v>
      </c>
      <c r="AT393" s="2027">
        <f t="shared" si="209"/>
        <v>22428</v>
      </c>
      <c r="AU393" s="2027">
        <f t="shared" si="210"/>
        <v>22428</v>
      </c>
      <c r="AV393" s="2027">
        <f t="shared" si="210"/>
        <v>22428</v>
      </c>
      <c r="AW393" s="2027">
        <f t="shared" si="210"/>
        <v>22428</v>
      </c>
      <c r="AX393" s="2046">
        <v>700</v>
      </c>
      <c r="AY393" s="2046">
        <v>700</v>
      </c>
      <c r="AZ393" s="2046">
        <v>700</v>
      </c>
      <c r="BA393" s="2046">
        <v>700</v>
      </c>
      <c r="BB393" s="2046">
        <v>1300</v>
      </c>
      <c r="BC393" s="2046">
        <v>1300</v>
      </c>
      <c r="BD393" s="2046">
        <v>1300</v>
      </c>
      <c r="BE393" s="2046">
        <v>1300</v>
      </c>
      <c r="BF393" s="2124">
        <v>1500</v>
      </c>
      <c r="BG393" s="2029">
        <v>1500</v>
      </c>
      <c r="BH393" s="2029">
        <v>1500</v>
      </c>
      <c r="BI393" s="2029">
        <v>1500</v>
      </c>
      <c r="BJ393" s="2030">
        <f t="shared" si="211"/>
        <v>28000</v>
      </c>
      <c r="BK393" s="2030">
        <f t="shared" si="211"/>
        <v>28000</v>
      </c>
      <c r="BL393" s="2030">
        <f t="shared" si="211"/>
        <v>28000</v>
      </c>
      <c r="BM393" s="2030" t="s">
        <v>3286</v>
      </c>
      <c r="BN393" s="2030">
        <f t="shared" si="212"/>
        <v>28000</v>
      </c>
      <c r="BO393" s="2030">
        <f t="shared" si="213"/>
        <v>52000</v>
      </c>
      <c r="BP393" s="2030" t="s">
        <v>3286</v>
      </c>
      <c r="BQ393" s="2030">
        <f t="shared" si="214"/>
        <v>52000</v>
      </c>
      <c r="BR393" s="2030">
        <f t="shared" si="214"/>
        <v>52000</v>
      </c>
      <c r="BS393" s="2030">
        <f t="shared" si="214"/>
        <v>52000</v>
      </c>
      <c r="BT393" s="2125"/>
      <c r="BU393" s="2125"/>
      <c r="BV393" s="2125"/>
      <c r="BW393" s="2125"/>
      <c r="BX393" s="2125"/>
      <c r="BY393" s="2125"/>
      <c r="BZ393" s="2125"/>
      <c r="CA393" s="2125"/>
      <c r="CB393" s="2029"/>
      <c r="CC393" s="2029"/>
      <c r="CD393" s="2029"/>
      <c r="CE393" s="2029"/>
      <c r="CF393" s="2029"/>
      <c r="CG393" s="2032"/>
      <c r="CH393" s="1974">
        <v>0</v>
      </c>
      <c r="CI393" s="1974">
        <v>0</v>
      </c>
      <c r="CJ393" s="1974">
        <v>0</v>
      </c>
      <c r="CK393" s="1974">
        <v>0</v>
      </c>
      <c r="CL393" s="1974">
        <v>0</v>
      </c>
      <c r="CM393" s="2033">
        <v>3.3672701345562685E-4</v>
      </c>
      <c r="CN393" s="2026">
        <v>4.5152978517704881E-3</v>
      </c>
      <c r="CO393" s="1974">
        <v>0</v>
      </c>
      <c r="CP393" s="2031">
        <v>0</v>
      </c>
      <c r="CQ393" s="2031">
        <f t="shared" si="215"/>
        <v>0</v>
      </c>
      <c r="CR393" s="2026">
        <v>1</v>
      </c>
      <c r="CS393" s="2026">
        <v>1</v>
      </c>
      <c r="CT393" s="2026">
        <v>1</v>
      </c>
      <c r="CU393" s="2026">
        <v>1</v>
      </c>
      <c r="CV393" s="2036"/>
      <c r="CW393" s="2036"/>
      <c r="CX393" s="2036"/>
      <c r="CY393" s="2036"/>
      <c r="CZ393" s="2036"/>
      <c r="DA393" s="2036"/>
      <c r="DB393" s="1973">
        <v>1</v>
      </c>
    </row>
    <row r="394" spans="1:106" x14ac:dyDescent="0.25">
      <c r="A394" s="2278" t="str">
        <f>IF(A131="","",A131)</f>
        <v>Energy Star Desktop Computer</v>
      </c>
      <c r="B394" s="1974" t="str">
        <f>IF(B131="","",B131)</f>
        <v/>
      </c>
      <c r="C394" s="2027">
        <v>4</v>
      </c>
      <c r="D394" s="2027"/>
      <c r="E394" s="2144">
        <v>124</v>
      </c>
      <c r="F394" s="2144"/>
      <c r="G394" s="2145">
        <v>0</v>
      </c>
      <c r="H394" s="2145"/>
      <c r="I394" s="2027">
        <v>0</v>
      </c>
      <c r="J394" s="2027"/>
      <c r="K394" s="1974" t="s">
        <v>2988</v>
      </c>
      <c r="L394" s="1974" t="s">
        <v>2988</v>
      </c>
      <c r="M394" s="2026">
        <v>0.9</v>
      </c>
      <c r="N394" s="2026">
        <v>0.9</v>
      </c>
      <c r="O394" s="2026">
        <v>0.9</v>
      </c>
      <c r="P394" s="2026">
        <v>0.9</v>
      </c>
      <c r="Q394" s="2027">
        <f t="shared" si="200"/>
        <v>111.60000000000001</v>
      </c>
      <c r="R394" s="2027">
        <f t="shared" si="200"/>
        <v>111.60000000000001</v>
      </c>
      <c r="S394" s="2027">
        <f t="shared" si="200"/>
        <v>111.60000000000001</v>
      </c>
      <c r="T394" s="2027">
        <f t="shared" si="200"/>
        <v>111.60000000000001</v>
      </c>
      <c r="U394" s="2026">
        <v>0.9</v>
      </c>
      <c r="V394" s="2026">
        <v>0.9</v>
      </c>
      <c r="W394" s="2026">
        <v>0.9</v>
      </c>
      <c r="X394" s="2026">
        <v>0.9</v>
      </c>
      <c r="Y394" s="2028">
        <f t="shared" si="201"/>
        <v>0</v>
      </c>
      <c r="Z394" s="2028">
        <f t="shared" si="201"/>
        <v>0</v>
      </c>
      <c r="AA394" s="2028">
        <f t="shared" si="201"/>
        <v>0</v>
      </c>
      <c r="AB394" s="2028">
        <f t="shared" si="201"/>
        <v>0</v>
      </c>
      <c r="AC394" s="2026">
        <v>0.9</v>
      </c>
      <c r="AD394" s="2026">
        <v>0.9</v>
      </c>
      <c r="AE394" s="2026">
        <v>0.9</v>
      </c>
      <c r="AF394" s="2026">
        <v>0.9</v>
      </c>
      <c r="AG394" s="2027">
        <f t="shared" si="202"/>
        <v>0</v>
      </c>
      <c r="AH394" s="2027">
        <f t="shared" si="202"/>
        <v>0</v>
      </c>
      <c r="AI394" s="2027">
        <f t="shared" si="202"/>
        <v>0</v>
      </c>
      <c r="AJ394" s="2027">
        <f t="shared" si="202"/>
        <v>0</v>
      </c>
      <c r="AK394" s="2027">
        <v>5</v>
      </c>
      <c r="AL394" s="2028">
        <v>5</v>
      </c>
      <c r="AM394" s="2028">
        <v>5</v>
      </c>
      <c r="AN394" s="2028">
        <v>5</v>
      </c>
      <c r="AO394" s="2027">
        <f t="shared" si="206"/>
        <v>558</v>
      </c>
      <c r="AP394" s="2027">
        <f t="shared" si="207"/>
        <v>558</v>
      </c>
      <c r="AQ394" s="2027">
        <f t="shared" si="207"/>
        <v>558</v>
      </c>
      <c r="AR394" s="2027" t="s">
        <v>3286</v>
      </c>
      <c r="AS394" s="2027">
        <f t="shared" si="208"/>
        <v>558</v>
      </c>
      <c r="AT394" s="2027">
        <f t="shared" si="209"/>
        <v>0</v>
      </c>
      <c r="AU394" s="2027">
        <f t="shared" si="210"/>
        <v>0</v>
      </c>
      <c r="AV394" s="2027">
        <f t="shared" si="210"/>
        <v>0</v>
      </c>
      <c r="AW394" s="2027">
        <f t="shared" si="210"/>
        <v>0</v>
      </c>
      <c r="AX394" s="2124">
        <v>10</v>
      </c>
      <c r="AY394" s="2029">
        <v>10</v>
      </c>
      <c r="AZ394" s="2029">
        <v>10</v>
      </c>
      <c r="BA394" s="2029">
        <v>10</v>
      </c>
      <c r="BB394" s="2124">
        <v>0</v>
      </c>
      <c r="BC394" s="2029">
        <v>0</v>
      </c>
      <c r="BD394" s="2029">
        <v>0</v>
      </c>
      <c r="BE394" s="2029">
        <v>0</v>
      </c>
      <c r="BF394" s="2124">
        <v>9</v>
      </c>
      <c r="BG394" s="2029">
        <v>9</v>
      </c>
      <c r="BH394" s="2029">
        <v>9</v>
      </c>
      <c r="BI394" s="2029">
        <v>9</v>
      </c>
      <c r="BJ394" s="2030">
        <f t="shared" si="211"/>
        <v>50</v>
      </c>
      <c r="BK394" s="2030">
        <f t="shared" si="211"/>
        <v>50</v>
      </c>
      <c r="BL394" s="2030">
        <f t="shared" si="211"/>
        <v>50</v>
      </c>
      <c r="BM394" s="2030" t="s">
        <v>3286</v>
      </c>
      <c r="BN394" s="2030">
        <f t="shared" si="212"/>
        <v>50</v>
      </c>
      <c r="BO394" s="2030">
        <f t="shared" si="213"/>
        <v>0</v>
      </c>
      <c r="BP394" s="2030" t="s">
        <v>3286</v>
      </c>
      <c r="BQ394" s="2030">
        <f t="shared" si="214"/>
        <v>0</v>
      </c>
      <c r="BR394" s="2030">
        <f t="shared" si="214"/>
        <v>0</v>
      </c>
      <c r="BS394" s="2030">
        <f t="shared" si="214"/>
        <v>0</v>
      </c>
      <c r="BT394" s="2125"/>
      <c r="BU394" s="2125"/>
      <c r="BV394" s="2125"/>
      <c r="BW394" s="2125"/>
      <c r="BX394" s="2125"/>
      <c r="BY394" s="2125"/>
      <c r="BZ394" s="2125"/>
      <c r="CA394" s="2125"/>
      <c r="CB394" s="2029"/>
      <c r="CC394" s="2029"/>
      <c r="CD394" s="2029"/>
      <c r="CE394" s="2029"/>
      <c r="CF394" s="2029"/>
      <c r="CG394" s="2032"/>
      <c r="CH394" s="1974">
        <v>0</v>
      </c>
      <c r="CI394" s="1974">
        <v>0</v>
      </c>
      <c r="CJ394" s="1974">
        <v>0</v>
      </c>
      <c r="CK394" s="1974">
        <v>0</v>
      </c>
      <c r="CL394" s="1974">
        <v>0</v>
      </c>
      <c r="CM394" s="2033">
        <v>1.8690308714636405E-6</v>
      </c>
      <c r="CN394" s="2026">
        <v>0</v>
      </c>
      <c r="CO394" s="1974">
        <v>0</v>
      </c>
      <c r="CP394" s="2031">
        <v>0</v>
      </c>
      <c r="CQ394" s="2031">
        <f t="shared" si="215"/>
        <v>0</v>
      </c>
      <c r="CR394" s="2026">
        <v>1</v>
      </c>
      <c r="CS394" s="2026">
        <v>1</v>
      </c>
      <c r="CT394" s="2026">
        <v>1</v>
      </c>
      <c r="CU394" s="2026">
        <v>1</v>
      </c>
      <c r="CV394" s="2036"/>
      <c r="CW394" s="2036"/>
      <c r="CX394" s="2036"/>
      <c r="CY394" s="2036"/>
      <c r="CZ394" s="2036"/>
      <c r="DA394" s="2036"/>
      <c r="DB394" s="1973">
        <v>1</v>
      </c>
    </row>
    <row r="395" spans="1:106" x14ac:dyDescent="0.25">
      <c r="A395" s="2277" t="str">
        <f>IF(A133="","",A133)</f>
        <v>RW T8 lamps (Midstream)</v>
      </c>
      <c r="B395" s="1974" t="str">
        <f>IF(B133="","",B133)</f>
        <v/>
      </c>
      <c r="C395" s="2027">
        <v>6.4</v>
      </c>
      <c r="D395" s="2027"/>
      <c r="E395" s="2144">
        <v>18.478182004249195</v>
      </c>
      <c r="F395" s="2144"/>
      <c r="G395" s="2145">
        <v>3.6662845075411819E-3</v>
      </c>
      <c r="H395" s="2145"/>
      <c r="I395" s="2027">
        <v>-0.31568684654610324</v>
      </c>
      <c r="J395" s="2027"/>
      <c r="K395" s="1974" t="s">
        <v>2988</v>
      </c>
      <c r="L395" s="1974" t="s">
        <v>2988</v>
      </c>
      <c r="M395" s="2026">
        <v>0.9</v>
      </c>
      <c r="N395" s="2026">
        <v>0.9</v>
      </c>
      <c r="O395" s="2026">
        <v>0.9</v>
      </c>
      <c r="P395" s="2026">
        <v>0.9</v>
      </c>
      <c r="Q395" s="2027">
        <f t="shared" si="200"/>
        <v>16.630363803824277</v>
      </c>
      <c r="R395" s="2027">
        <f t="shared" si="200"/>
        <v>16.630363803824277</v>
      </c>
      <c r="S395" s="2027">
        <f t="shared" si="200"/>
        <v>16.630363803824277</v>
      </c>
      <c r="T395" s="2027">
        <f t="shared" si="200"/>
        <v>16.630363803824277</v>
      </c>
      <c r="U395" s="2026">
        <v>0.9</v>
      </c>
      <c r="V395" s="2026">
        <v>0.9</v>
      </c>
      <c r="W395" s="2026">
        <v>0.9</v>
      </c>
      <c r="X395" s="2026">
        <v>0.9</v>
      </c>
      <c r="Y395" s="2028">
        <f t="shared" si="201"/>
        <v>3.299656056787064E-3</v>
      </c>
      <c r="Z395" s="2028">
        <f t="shared" si="201"/>
        <v>3.299656056787064E-3</v>
      </c>
      <c r="AA395" s="2028">
        <f t="shared" si="201"/>
        <v>3.299656056787064E-3</v>
      </c>
      <c r="AB395" s="2028">
        <f t="shared" si="201"/>
        <v>3.299656056787064E-3</v>
      </c>
      <c r="AC395" s="2026">
        <v>0.9</v>
      </c>
      <c r="AD395" s="2026">
        <v>0.9</v>
      </c>
      <c r="AE395" s="2026">
        <v>0.9</v>
      </c>
      <c r="AF395" s="2026">
        <v>0.9</v>
      </c>
      <c r="AG395" s="2027">
        <f t="shared" si="202"/>
        <v>-0.28411816189149292</v>
      </c>
      <c r="AH395" s="2027">
        <f t="shared" si="202"/>
        <v>-0.28411816189149292</v>
      </c>
      <c r="AI395" s="2027">
        <f t="shared" si="202"/>
        <v>-0.28411816189149292</v>
      </c>
      <c r="AJ395" s="2027">
        <f t="shared" si="202"/>
        <v>-0.28411816189149292</v>
      </c>
      <c r="AK395" s="2265">
        <v>356</v>
      </c>
      <c r="AL395" s="2279">
        <v>270</v>
      </c>
      <c r="AM395" s="2279">
        <v>181</v>
      </c>
      <c r="AN395" s="2279">
        <v>91</v>
      </c>
      <c r="AO395" s="2027">
        <f t="shared" si="206"/>
        <v>5920.4095141614425</v>
      </c>
      <c r="AP395" s="2027">
        <f t="shared" si="207"/>
        <v>4490.1982270325552</v>
      </c>
      <c r="AQ395" s="2027">
        <f t="shared" si="207"/>
        <v>3010.0958484921944</v>
      </c>
      <c r="AR395" s="2027" t="s">
        <v>3286</v>
      </c>
      <c r="AS395" s="2027">
        <f t="shared" si="208"/>
        <v>1513.3631061480091</v>
      </c>
      <c r="AT395" s="2027">
        <f t="shared" si="209"/>
        <v>-101.14606563337148</v>
      </c>
      <c r="AU395" s="2027">
        <f t="shared" si="210"/>
        <v>-76.711903710703083</v>
      </c>
      <c r="AV395" s="2027">
        <f t="shared" si="210"/>
        <v>-51.425387302360221</v>
      </c>
      <c r="AW395" s="2027">
        <f t="shared" si="210"/>
        <v>-25.854752732125856</v>
      </c>
      <c r="AX395" s="2046">
        <v>1</v>
      </c>
      <c r="AY395" s="2046">
        <v>1</v>
      </c>
      <c r="AZ395" s="2046">
        <v>1</v>
      </c>
      <c r="BA395" s="2046">
        <v>1</v>
      </c>
      <c r="BB395" s="2046">
        <v>0</v>
      </c>
      <c r="BC395" s="2046">
        <v>0</v>
      </c>
      <c r="BD395" s="2046">
        <v>0</v>
      </c>
      <c r="BE395" s="2046">
        <v>0</v>
      </c>
      <c r="BF395" s="2124">
        <v>2</v>
      </c>
      <c r="BG395" s="2029">
        <v>2</v>
      </c>
      <c r="BH395" s="2029">
        <v>2</v>
      </c>
      <c r="BI395" s="2029">
        <v>2</v>
      </c>
      <c r="BJ395" s="2030">
        <f t="shared" si="211"/>
        <v>356</v>
      </c>
      <c r="BK395" s="2030">
        <f t="shared" si="211"/>
        <v>270</v>
      </c>
      <c r="BL395" s="2030">
        <f t="shared" si="211"/>
        <v>181</v>
      </c>
      <c r="BM395" s="2030" t="s">
        <v>3286</v>
      </c>
      <c r="BN395" s="2030">
        <f t="shared" si="212"/>
        <v>91</v>
      </c>
      <c r="BO395" s="2030">
        <f t="shared" si="213"/>
        <v>0</v>
      </c>
      <c r="BP395" s="2030" t="s">
        <v>3286</v>
      </c>
      <c r="BQ395" s="2030">
        <f t="shared" si="214"/>
        <v>0</v>
      </c>
      <c r="BR395" s="2030">
        <f t="shared" si="214"/>
        <v>0</v>
      </c>
      <c r="BS395" s="2030">
        <f t="shared" si="214"/>
        <v>0</v>
      </c>
      <c r="BT395" s="2125"/>
      <c r="BU395" s="2125"/>
      <c r="BV395" s="2125"/>
      <c r="BW395" s="2125"/>
      <c r="BX395" s="2125"/>
      <c r="BY395" s="2125"/>
      <c r="BZ395" s="2125"/>
      <c r="CA395" s="2125"/>
      <c r="CB395" s="2029"/>
      <c r="CC395" s="2029"/>
      <c r="CD395" s="2029"/>
      <c r="CE395" s="2029"/>
      <c r="CF395" s="2029"/>
      <c r="CG395" s="2032"/>
      <c r="CH395" s="1974">
        <v>0</v>
      </c>
      <c r="CI395" s="1974">
        <v>0</v>
      </c>
      <c r="CJ395" s="1974">
        <v>0</v>
      </c>
      <c r="CK395" s="1974">
        <v>0</v>
      </c>
      <c r="CL395" s="1974">
        <v>0</v>
      </c>
      <c r="CM395" s="2033">
        <v>2.2281479106106861E-5</v>
      </c>
      <c r="CN395" s="2026">
        <v>-3.6607900867847697E-5</v>
      </c>
      <c r="CO395" s="1974">
        <v>1</v>
      </c>
      <c r="CP395" s="2031">
        <v>-1.0682031250000001</v>
      </c>
      <c r="CQ395" s="2031">
        <f t="shared" si="215"/>
        <v>1.0682031250000001</v>
      </c>
      <c r="CR395" s="2026">
        <v>1</v>
      </c>
      <c r="CS395" s="2026">
        <v>1</v>
      </c>
      <c r="CT395" s="2026">
        <v>1</v>
      </c>
      <c r="CU395" s="2026">
        <v>1</v>
      </c>
      <c r="CV395" s="2036"/>
      <c r="CW395" s="2036"/>
      <c r="CX395" s="2036"/>
      <c r="CY395" s="2036"/>
      <c r="CZ395" s="2036"/>
      <c r="DA395" s="2036"/>
      <c r="DB395" s="1973">
        <v>1</v>
      </c>
    </row>
    <row r="396" spans="1:106" x14ac:dyDescent="0.25">
      <c r="A396" s="2277" t="str">
        <f>IF(A134="","",A134)</f>
        <v>RW T5 lamps (Midstream)</v>
      </c>
      <c r="B396" s="1974" t="str">
        <f>IF(B134="","",B134)</f>
        <v/>
      </c>
      <c r="C396" s="2027">
        <v>6.4</v>
      </c>
      <c r="D396" s="2027"/>
      <c r="E396" s="2144">
        <v>21.991008069072514</v>
      </c>
      <c r="F396" s="2144"/>
      <c r="G396" s="2145">
        <v>4.3632697291493983E-3</v>
      </c>
      <c r="H396" s="2145"/>
      <c r="I396" s="2027">
        <v>-0.38562087317472998</v>
      </c>
      <c r="J396" s="2027"/>
      <c r="K396" s="1974" t="s">
        <v>2988</v>
      </c>
      <c r="L396" s="1974" t="s">
        <v>2988</v>
      </c>
      <c r="M396" s="2026">
        <v>0.9</v>
      </c>
      <c r="N396" s="2026">
        <v>0.9</v>
      </c>
      <c r="O396" s="2026">
        <v>0.9</v>
      </c>
      <c r="P396" s="2026">
        <v>0.9</v>
      </c>
      <c r="Q396" s="2027">
        <f t="shared" si="200"/>
        <v>19.791907262165264</v>
      </c>
      <c r="R396" s="2027">
        <f t="shared" si="200"/>
        <v>19.791907262165264</v>
      </c>
      <c r="S396" s="2027">
        <f t="shared" si="200"/>
        <v>19.791907262165264</v>
      </c>
      <c r="T396" s="2027">
        <f t="shared" si="200"/>
        <v>19.791907262165264</v>
      </c>
      <c r="U396" s="2026">
        <v>0.9</v>
      </c>
      <c r="V396" s="2026">
        <v>0.9</v>
      </c>
      <c r="W396" s="2026">
        <v>0.9</v>
      </c>
      <c r="X396" s="2026">
        <v>0.9</v>
      </c>
      <c r="Y396" s="2028">
        <f t="shared" si="201"/>
        <v>3.9269427562344588E-3</v>
      </c>
      <c r="Z396" s="2028">
        <f t="shared" si="201"/>
        <v>3.9269427562344588E-3</v>
      </c>
      <c r="AA396" s="2028">
        <f t="shared" si="201"/>
        <v>3.9269427562344588E-3</v>
      </c>
      <c r="AB396" s="2028">
        <f t="shared" si="201"/>
        <v>3.9269427562344588E-3</v>
      </c>
      <c r="AC396" s="2026">
        <v>0.9</v>
      </c>
      <c r="AD396" s="2026">
        <v>0.9</v>
      </c>
      <c r="AE396" s="2026">
        <v>0.9</v>
      </c>
      <c r="AF396" s="2026">
        <v>0.9</v>
      </c>
      <c r="AG396" s="2027">
        <f t="shared" si="202"/>
        <v>-0.34705878585725697</v>
      </c>
      <c r="AH396" s="2027">
        <f t="shared" si="202"/>
        <v>-0.34705878585725697</v>
      </c>
      <c r="AI396" s="2027">
        <f t="shared" si="202"/>
        <v>-0.34705878585725697</v>
      </c>
      <c r="AJ396" s="2027">
        <f t="shared" si="202"/>
        <v>-0.34705878585725697</v>
      </c>
      <c r="AK396" s="2265">
        <v>89</v>
      </c>
      <c r="AL396" s="2279">
        <v>68</v>
      </c>
      <c r="AM396" s="2279">
        <v>46</v>
      </c>
      <c r="AN396" s="2279">
        <v>23</v>
      </c>
      <c r="AO396" s="2027">
        <f t="shared" si="206"/>
        <v>1761.4797463327084</v>
      </c>
      <c r="AP396" s="2027">
        <f t="shared" si="207"/>
        <v>1345.8496938272378</v>
      </c>
      <c r="AQ396" s="2027">
        <f t="shared" si="207"/>
        <v>910.42773405960213</v>
      </c>
      <c r="AR396" s="2027" t="s">
        <v>3286</v>
      </c>
      <c r="AS396" s="2027">
        <f t="shared" si="208"/>
        <v>455.21386702980107</v>
      </c>
      <c r="AT396" s="2027">
        <f t="shared" si="209"/>
        <v>-30.888231941295871</v>
      </c>
      <c r="AU396" s="2027">
        <f t="shared" si="210"/>
        <v>-23.599997438293475</v>
      </c>
      <c r="AV396" s="2027">
        <f t="shared" si="210"/>
        <v>-15.964704149433821</v>
      </c>
      <c r="AW396" s="2027">
        <f t="shared" si="210"/>
        <v>-7.9823520747169106</v>
      </c>
      <c r="AX396" s="2046">
        <v>1</v>
      </c>
      <c r="AY396" s="2046">
        <v>1</v>
      </c>
      <c r="AZ396" s="2046">
        <v>1</v>
      </c>
      <c r="BA396" s="2046">
        <v>1</v>
      </c>
      <c r="BB396" s="2046">
        <v>0</v>
      </c>
      <c r="BC396" s="2046">
        <v>0</v>
      </c>
      <c r="BD396" s="2046">
        <v>0</v>
      </c>
      <c r="BE396" s="2046">
        <v>0</v>
      </c>
      <c r="BF396" s="2124">
        <v>2</v>
      </c>
      <c r="BG396" s="2029">
        <v>2</v>
      </c>
      <c r="BH396" s="2029">
        <v>2</v>
      </c>
      <c r="BI396" s="2029">
        <v>2</v>
      </c>
      <c r="BJ396" s="2030">
        <f t="shared" si="211"/>
        <v>89</v>
      </c>
      <c r="BK396" s="2030">
        <f t="shared" si="211"/>
        <v>68</v>
      </c>
      <c r="BL396" s="2030">
        <f t="shared" si="211"/>
        <v>46</v>
      </c>
      <c r="BM396" s="2030" t="s">
        <v>3286</v>
      </c>
      <c r="BN396" s="2030">
        <f t="shared" si="212"/>
        <v>23</v>
      </c>
      <c r="BO396" s="2030">
        <f t="shared" si="213"/>
        <v>0</v>
      </c>
      <c r="BP396" s="2030" t="s">
        <v>3286</v>
      </c>
      <c r="BQ396" s="2030">
        <f t="shared" si="214"/>
        <v>0</v>
      </c>
      <c r="BR396" s="2030">
        <f t="shared" si="214"/>
        <v>0</v>
      </c>
      <c r="BS396" s="2030">
        <f t="shared" si="214"/>
        <v>0</v>
      </c>
      <c r="BT396" s="2125"/>
      <c r="BU396" s="2125"/>
      <c r="BV396" s="2125"/>
      <c r="BW396" s="2125"/>
      <c r="BX396" s="2125"/>
      <c r="BY396" s="2125"/>
      <c r="BZ396" s="2125"/>
      <c r="CA396" s="2125"/>
      <c r="CB396" s="2029"/>
      <c r="CC396" s="2029"/>
      <c r="CD396" s="2029"/>
      <c r="CE396" s="2029"/>
      <c r="CF396" s="2029"/>
      <c r="CG396" s="2032"/>
      <c r="CH396" s="1974">
        <v>0</v>
      </c>
      <c r="CI396" s="1974">
        <v>0</v>
      </c>
      <c r="CJ396" s="1974">
        <v>0</v>
      </c>
      <c r="CK396" s="1974">
        <v>0</v>
      </c>
      <c r="CL396" s="1974">
        <v>0</v>
      </c>
      <c r="CM396" s="2033">
        <v>6.6293343509197665E-6</v>
      </c>
      <c r="CN396" s="2026">
        <v>-1.117940995341071E-5</v>
      </c>
      <c r="CO396" s="1974">
        <v>1</v>
      </c>
      <c r="CP396" s="2031">
        <v>0</v>
      </c>
      <c r="CQ396" s="2031">
        <f t="shared" si="215"/>
        <v>0</v>
      </c>
      <c r="CR396" s="2026">
        <v>1</v>
      </c>
      <c r="CS396" s="2026">
        <v>1</v>
      </c>
      <c r="CT396" s="2026">
        <v>1</v>
      </c>
      <c r="CU396" s="2026">
        <v>1</v>
      </c>
      <c r="CV396" s="2036"/>
      <c r="CW396" s="2036"/>
      <c r="CX396" s="2036"/>
      <c r="CY396" s="2036"/>
      <c r="CZ396" s="2036"/>
      <c r="DA396" s="2036"/>
      <c r="DB396" s="1973">
        <v>1</v>
      </c>
    </row>
    <row r="397" spans="1:106" x14ac:dyDescent="0.25">
      <c r="A397" s="2277" t="str">
        <f t="shared" ref="A397:B399" si="216">IF(A136="","",A136)</f>
        <v>Low-Flow Showerheads</v>
      </c>
      <c r="B397" s="1974" t="str">
        <f t="shared" si="216"/>
        <v/>
      </c>
      <c r="C397" s="2027">
        <v>10</v>
      </c>
      <c r="D397" s="2027"/>
      <c r="E397" s="2144">
        <v>20.576568549600005</v>
      </c>
      <c r="F397" s="2144"/>
      <c r="G397" s="2145">
        <v>6.7886315422358541E-3</v>
      </c>
      <c r="H397" s="2145"/>
      <c r="I397" s="2027">
        <v>5.3588189352600013</v>
      </c>
      <c r="J397" s="2027"/>
      <c r="K397" s="1974" t="s">
        <v>2988</v>
      </c>
      <c r="L397" s="1974" t="s">
        <v>2988</v>
      </c>
      <c r="M397" s="2026">
        <v>0.9</v>
      </c>
      <c r="N397" s="2026">
        <v>0.9</v>
      </c>
      <c r="O397" s="2026">
        <v>0.9</v>
      </c>
      <c r="P397" s="2026">
        <v>0.9</v>
      </c>
      <c r="Q397" s="2027">
        <f t="shared" ref="Q397:T421" si="217">$E397*M397</f>
        <v>18.518911694640003</v>
      </c>
      <c r="R397" s="2027">
        <f t="shared" si="217"/>
        <v>18.518911694640003</v>
      </c>
      <c r="S397" s="2027">
        <f t="shared" si="217"/>
        <v>18.518911694640003</v>
      </c>
      <c r="T397" s="2027">
        <f t="shared" si="217"/>
        <v>18.518911694640003</v>
      </c>
      <c r="U397" s="2026">
        <v>0.9</v>
      </c>
      <c r="V397" s="2026">
        <v>0.9</v>
      </c>
      <c r="W397" s="2026">
        <v>0.9</v>
      </c>
      <c r="X397" s="2026">
        <v>0.9</v>
      </c>
      <c r="Y397" s="2028">
        <f t="shared" ref="Y397:AB421" si="218">$G397*U397</f>
        <v>6.1097683880122688E-3</v>
      </c>
      <c r="Z397" s="2028">
        <f t="shared" si="218"/>
        <v>6.1097683880122688E-3</v>
      </c>
      <c r="AA397" s="2028">
        <f t="shared" si="218"/>
        <v>6.1097683880122688E-3</v>
      </c>
      <c r="AB397" s="2028">
        <f t="shared" si="218"/>
        <v>6.1097683880122688E-3</v>
      </c>
      <c r="AC397" s="2026">
        <v>0.9</v>
      </c>
      <c r="AD397" s="2026">
        <v>0.9</v>
      </c>
      <c r="AE397" s="2026">
        <v>0.9</v>
      </c>
      <c r="AF397" s="2026">
        <v>0.9</v>
      </c>
      <c r="AG397" s="2027">
        <f t="shared" ref="AG397:AJ421" si="219">$I397*AC397</f>
        <v>4.8229370417340016</v>
      </c>
      <c r="AH397" s="2027">
        <f t="shared" si="219"/>
        <v>4.8229370417340016</v>
      </c>
      <c r="AI397" s="2027">
        <f t="shared" si="219"/>
        <v>4.8229370417340016</v>
      </c>
      <c r="AJ397" s="2027">
        <f t="shared" si="219"/>
        <v>4.8229370417340016</v>
      </c>
      <c r="AK397" s="2265">
        <v>7</v>
      </c>
      <c r="AL397" s="2279">
        <v>6</v>
      </c>
      <c r="AM397" s="2279">
        <v>6</v>
      </c>
      <c r="AN397" s="2279">
        <v>6</v>
      </c>
      <c r="AO397" s="2027">
        <f t="shared" si="206"/>
        <v>129.63238186248003</v>
      </c>
      <c r="AP397" s="2027">
        <f t="shared" si="207"/>
        <v>111.11347016784002</v>
      </c>
      <c r="AQ397" s="2027">
        <f t="shared" si="207"/>
        <v>111.11347016784002</v>
      </c>
      <c r="AR397" s="2027" t="s">
        <v>3283</v>
      </c>
      <c r="AS397" s="2027">
        <f t="shared" si="208"/>
        <v>111.11347016784002</v>
      </c>
      <c r="AT397" s="2027">
        <f t="shared" si="209"/>
        <v>33.760559292138012</v>
      </c>
      <c r="AU397" s="2027">
        <f t="shared" si="210"/>
        <v>28.937622250404011</v>
      </c>
      <c r="AV397" s="2027">
        <f t="shared" si="210"/>
        <v>28.937622250404011</v>
      </c>
      <c r="AW397" s="2027">
        <f t="shared" si="210"/>
        <v>28.937622250404011</v>
      </c>
      <c r="AX397" s="2124">
        <v>2.6879999999999997</v>
      </c>
      <c r="AY397" s="2029">
        <v>2.6879999999999997</v>
      </c>
      <c r="AZ397" s="2029">
        <v>2.6879999999999997</v>
      </c>
      <c r="BA397" s="2029">
        <v>2.6879999999999997</v>
      </c>
      <c r="BB397" s="2124">
        <v>15.120000000000001</v>
      </c>
      <c r="BC397" s="2029">
        <v>15.120000000000001</v>
      </c>
      <c r="BD397" s="2029">
        <v>15.120000000000001</v>
      </c>
      <c r="BE397" s="2029">
        <v>15.120000000000001</v>
      </c>
      <c r="BF397" s="2124">
        <v>12</v>
      </c>
      <c r="BG397" s="2029">
        <v>12</v>
      </c>
      <c r="BH397" s="2029">
        <v>12</v>
      </c>
      <c r="BI397" s="2029">
        <v>12</v>
      </c>
      <c r="BJ397" s="2030">
        <f t="shared" si="211"/>
        <v>18.815999999999999</v>
      </c>
      <c r="BK397" s="2030">
        <f t="shared" si="211"/>
        <v>16.128</v>
      </c>
      <c r="BL397" s="2030">
        <f t="shared" si="211"/>
        <v>16.128</v>
      </c>
      <c r="BM397" s="2030" t="s">
        <v>3286</v>
      </c>
      <c r="BN397" s="2030">
        <f t="shared" si="212"/>
        <v>16.128</v>
      </c>
      <c r="BO397" s="2030">
        <f t="shared" si="213"/>
        <v>105.84</v>
      </c>
      <c r="BP397" s="2030" t="s">
        <v>3286</v>
      </c>
      <c r="BQ397" s="2030">
        <f t="shared" si="214"/>
        <v>90.72</v>
      </c>
      <c r="BR397" s="2030">
        <f t="shared" si="214"/>
        <v>90.72</v>
      </c>
      <c r="BS397" s="2030">
        <f t="shared" si="214"/>
        <v>90.72</v>
      </c>
      <c r="BT397" s="2125"/>
      <c r="BU397" s="2125"/>
      <c r="BV397" s="2125"/>
      <c r="BW397" s="2125"/>
      <c r="BX397" s="2125"/>
      <c r="BY397" s="2125"/>
      <c r="BZ397" s="2125"/>
      <c r="CA397" s="2125"/>
      <c r="CB397" s="2029"/>
      <c r="CC397" s="2029"/>
      <c r="CD397" s="2029"/>
      <c r="CE397" s="2029"/>
      <c r="CF397" s="2029"/>
      <c r="CG397" s="2032"/>
      <c r="CH397" s="1974">
        <v>1012.626405</v>
      </c>
      <c r="CI397" s="1974">
        <v>0</v>
      </c>
      <c r="CJ397" s="1974">
        <v>0</v>
      </c>
      <c r="CK397" s="1974">
        <v>0</v>
      </c>
      <c r="CL397" s="1974">
        <v>0</v>
      </c>
      <c r="CM397" s="2033">
        <v>0</v>
      </c>
      <c r="CN397" s="2026">
        <v>3.1071157144663242E-6</v>
      </c>
      <c r="CO397" s="1974">
        <v>0</v>
      </c>
      <c r="CP397" s="2031">
        <v>0</v>
      </c>
      <c r="CQ397" s="2031">
        <f t="shared" si="215"/>
        <v>0</v>
      </c>
      <c r="CR397" s="2026">
        <v>1</v>
      </c>
      <c r="CS397" s="2026">
        <v>1</v>
      </c>
      <c r="CT397" s="2026">
        <v>1</v>
      </c>
      <c r="CU397" s="2026">
        <v>1</v>
      </c>
      <c r="CV397" s="2036"/>
      <c r="CW397" s="2036"/>
      <c r="CX397" s="2036"/>
      <c r="CY397" s="2036"/>
      <c r="CZ397" s="2036"/>
      <c r="DA397" s="2036"/>
      <c r="DB397" s="1973">
        <v>1</v>
      </c>
    </row>
    <row r="398" spans="1:106" s="2161" customFormat="1" x14ac:dyDescent="0.25">
      <c r="A398" s="2047" t="str">
        <f t="shared" si="216"/>
        <v>Linear Tube LED (Midstream)</v>
      </c>
      <c r="B398" s="2047" t="str">
        <f t="shared" si="216"/>
        <v/>
      </c>
      <c r="C398" s="2146">
        <v>11.264926929375578</v>
      </c>
      <c r="D398" s="2146"/>
      <c r="E398" s="2147">
        <v>42.69534774200001</v>
      </c>
      <c r="F398" s="2147"/>
      <c r="G398" s="2148">
        <v>9.1439273599999999E-3</v>
      </c>
      <c r="H398" s="2148"/>
      <c r="I398" s="2146">
        <v>-0.86174096360000019</v>
      </c>
      <c r="J398" s="2146"/>
      <c r="K398" s="2047" t="s">
        <v>2988</v>
      </c>
      <c r="L398" s="2047" t="s">
        <v>2988</v>
      </c>
      <c r="M398" s="2153">
        <v>0.9</v>
      </c>
      <c r="N398" s="2153">
        <v>0.9</v>
      </c>
      <c r="O398" s="2153">
        <v>0.9</v>
      </c>
      <c r="P398" s="2153">
        <v>0.9</v>
      </c>
      <c r="Q398" s="2146">
        <f t="shared" si="217"/>
        <v>38.425812967800013</v>
      </c>
      <c r="R398" s="2146">
        <f t="shared" si="217"/>
        <v>38.425812967800013</v>
      </c>
      <c r="S398" s="2146">
        <f t="shared" si="217"/>
        <v>38.425812967800013</v>
      </c>
      <c r="T398" s="2146">
        <f t="shared" si="217"/>
        <v>38.425812967800013</v>
      </c>
      <c r="U398" s="2153">
        <v>0.9</v>
      </c>
      <c r="V398" s="2153">
        <v>0.9</v>
      </c>
      <c r="W398" s="2153">
        <v>0.9</v>
      </c>
      <c r="X398" s="2153">
        <v>0.9</v>
      </c>
      <c r="Y398" s="2129">
        <f t="shared" si="218"/>
        <v>8.2295346239999994E-3</v>
      </c>
      <c r="Z398" s="2129">
        <f t="shared" si="218"/>
        <v>8.2295346239999994E-3</v>
      </c>
      <c r="AA398" s="2129">
        <f t="shared" si="218"/>
        <v>8.2295346239999994E-3</v>
      </c>
      <c r="AB398" s="2129">
        <f t="shared" si="218"/>
        <v>8.2295346239999994E-3</v>
      </c>
      <c r="AC398" s="2153">
        <v>0.9</v>
      </c>
      <c r="AD398" s="2153">
        <v>0.9</v>
      </c>
      <c r="AE398" s="2153">
        <v>0.9</v>
      </c>
      <c r="AF398" s="2153">
        <v>0.9</v>
      </c>
      <c r="AG398" s="2146">
        <f t="shared" si="219"/>
        <v>-0.77556686724000024</v>
      </c>
      <c r="AH398" s="2146">
        <f t="shared" si="219"/>
        <v>-0.77556686724000024</v>
      </c>
      <c r="AI398" s="2146">
        <f t="shared" si="219"/>
        <v>-0.77556686724000024</v>
      </c>
      <c r="AJ398" s="2146">
        <f t="shared" si="219"/>
        <v>-0.77556686724000024</v>
      </c>
      <c r="AK398" s="2146">
        <v>110000</v>
      </c>
      <c r="AL398" s="2146">
        <v>110000</v>
      </c>
      <c r="AM398" s="2146">
        <v>110000</v>
      </c>
      <c r="AN398" s="2146">
        <v>110000</v>
      </c>
      <c r="AO398" s="2146">
        <f t="shared" si="206"/>
        <v>4226839.4264580011</v>
      </c>
      <c r="AP398" s="2146">
        <f t="shared" si="207"/>
        <v>4226839.4264580011</v>
      </c>
      <c r="AQ398" s="2146">
        <f t="shared" si="207"/>
        <v>3761887.0895476211</v>
      </c>
      <c r="AR398" s="2027"/>
      <c r="AS398" s="2146">
        <f t="shared" si="208"/>
        <v>3761887.0895476211</v>
      </c>
      <c r="AT398" s="2146">
        <f t="shared" si="209"/>
        <v>-85312.355396400031</v>
      </c>
      <c r="AU398" s="2146">
        <f t="shared" si="210"/>
        <v>-85312.355396400031</v>
      </c>
      <c r="AV398" s="2146">
        <f t="shared" si="210"/>
        <v>-75927.996302796033</v>
      </c>
      <c r="AW398" s="2146">
        <f t="shared" si="210"/>
        <v>-75927.996302796033</v>
      </c>
      <c r="AX398" s="2029">
        <v>10.8</v>
      </c>
      <c r="AY398" s="2029">
        <v>9.9</v>
      </c>
      <c r="AZ398" s="2029">
        <v>9</v>
      </c>
      <c r="BA398" s="2029">
        <v>9</v>
      </c>
      <c r="BB398" s="2029">
        <v>0</v>
      </c>
      <c r="BC398" s="2029">
        <v>0</v>
      </c>
      <c r="BD398" s="2029">
        <v>0</v>
      </c>
      <c r="BE398" s="2029">
        <v>0</v>
      </c>
      <c r="BF398" s="2046">
        <v>4.1099999999999994</v>
      </c>
      <c r="BG398" s="2046">
        <v>4.1099999999999994</v>
      </c>
      <c r="BH398" s="2046">
        <v>4.1099999999999994</v>
      </c>
      <c r="BI398" s="2046">
        <v>4.1099999999999994</v>
      </c>
      <c r="BJ398" s="2154">
        <f t="shared" si="211"/>
        <v>1188000</v>
      </c>
      <c r="BK398" s="2154">
        <f t="shared" si="211"/>
        <v>1089000</v>
      </c>
      <c r="BL398" s="2154">
        <f t="shared" si="211"/>
        <v>990000</v>
      </c>
      <c r="BM398" s="2030"/>
      <c r="BN398" s="2154">
        <f t="shared" si="212"/>
        <v>990000</v>
      </c>
      <c r="BO398" s="2154">
        <f t="shared" si="213"/>
        <v>0</v>
      </c>
      <c r="BP398" s="2030" t="s">
        <v>3286</v>
      </c>
      <c r="BQ398" s="2154">
        <f t="shared" si="214"/>
        <v>0</v>
      </c>
      <c r="BR398" s="2154">
        <f t="shared" si="214"/>
        <v>0</v>
      </c>
      <c r="BS398" s="2154">
        <f t="shared" si="214"/>
        <v>0</v>
      </c>
      <c r="BT398" s="2155"/>
      <c r="BU398" s="2155"/>
      <c r="BV398" s="2155"/>
      <c r="BW398" s="2155"/>
      <c r="BX398" s="2155"/>
      <c r="BY398" s="2155"/>
      <c r="BZ398" s="2155"/>
      <c r="CA398" s="2155"/>
      <c r="CB398" s="2046"/>
      <c r="CC398" s="2046"/>
      <c r="CD398" s="2046"/>
      <c r="CE398" s="2046"/>
      <c r="CF398" s="2046"/>
      <c r="CG398" s="2156"/>
      <c r="CH398" s="2047">
        <v>0</v>
      </c>
      <c r="CI398" s="2047">
        <v>0</v>
      </c>
      <c r="CJ398" s="2047">
        <v>0</v>
      </c>
      <c r="CK398" s="2047">
        <v>0</v>
      </c>
      <c r="CL398" s="2047">
        <v>0</v>
      </c>
      <c r="CM398" s="2157">
        <v>1.0798196930520169E-2</v>
      </c>
      <c r="CN398" s="2153">
        <v>-1.6800226460598658E-2</v>
      </c>
      <c r="CO398" s="2047">
        <v>1</v>
      </c>
      <c r="CP398" s="2063">
        <v>-1.176912501648</v>
      </c>
      <c r="CQ398" s="2063">
        <f t="shared" si="215"/>
        <v>1.176912501648</v>
      </c>
      <c r="CR398" s="2153">
        <v>1</v>
      </c>
      <c r="CS398" s="2153">
        <v>1</v>
      </c>
      <c r="CT398" s="2153">
        <v>0.89</v>
      </c>
      <c r="CU398" s="2153">
        <v>0.89</v>
      </c>
      <c r="CV398" s="2160"/>
      <c r="CW398" s="2160"/>
      <c r="CX398" s="2160"/>
      <c r="CY398" s="2160"/>
      <c r="CZ398" s="2160"/>
      <c r="DA398" s="2160"/>
      <c r="DB398" s="2161">
        <v>1</v>
      </c>
    </row>
    <row r="399" spans="1:106" x14ac:dyDescent="0.25">
      <c r="A399" s="2277" t="str">
        <f t="shared" si="216"/>
        <v>LED Wallpack Fixture (Midstream)</v>
      </c>
      <c r="B399" s="1974" t="str">
        <f t="shared" si="216"/>
        <v/>
      </c>
      <c r="C399" s="2027">
        <v>10.197838058331634</v>
      </c>
      <c r="D399" s="2027"/>
      <c r="E399" s="2144">
        <v>511.38289999999995</v>
      </c>
      <c r="F399" s="2144"/>
      <c r="G399" s="2145">
        <v>0</v>
      </c>
      <c r="H399" s="2145"/>
      <c r="I399" s="2027">
        <v>0</v>
      </c>
      <c r="J399" s="2027"/>
      <c r="K399" s="1974" t="s">
        <v>2988</v>
      </c>
      <c r="L399" s="1974" t="s">
        <v>2988</v>
      </c>
      <c r="M399" s="2026">
        <v>0.9</v>
      </c>
      <c r="N399" s="2026">
        <v>0.9</v>
      </c>
      <c r="O399" s="2026">
        <v>0.9</v>
      </c>
      <c r="P399" s="2026">
        <v>0.9</v>
      </c>
      <c r="Q399" s="2027">
        <f t="shared" si="217"/>
        <v>460.24460999999997</v>
      </c>
      <c r="R399" s="2027">
        <f t="shared" si="217"/>
        <v>460.24460999999997</v>
      </c>
      <c r="S399" s="2027">
        <f t="shared" si="217"/>
        <v>460.24460999999997</v>
      </c>
      <c r="T399" s="2027">
        <f t="shared" si="217"/>
        <v>460.24460999999997</v>
      </c>
      <c r="U399" s="2026">
        <v>0.9</v>
      </c>
      <c r="V399" s="2026">
        <v>0.9</v>
      </c>
      <c r="W399" s="2026">
        <v>0.9</v>
      </c>
      <c r="X399" s="2026">
        <v>0.9</v>
      </c>
      <c r="Y399" s="2028">
        <f t="shared" si="218"/>
        <v>0</v>
      </c>
      <c r="Z399" s="2028">
        <f t="shared" si="218"/>
        <v>0</v>
      </c>
      <c r="AA399" s="2028">
        <f t="shared" si="218"/>
        <v>0</v>
      </c>
      <c r="AB399" s="2028">
        <f t="shared" si="218"/>
        <v>0</v>
      </c>
      <c r="AC399" s="2026">
        <v>0.9</v>
      </c>
      <c r="AD399" s="2026">
        <v>0.9</v>
      </c>
      <c r="AE399" s="2026">
        <v>0.9</v>
      </c>
      <c r="AF399" s="2026">
        <v>0.9</v>
      </c>
      <c r="AG399" s="2027">
        <f t="shared" si="219"/>
        <v>0</v>
      </c>
      <c r="AH399" s="2027">
        <f t="shared" si="219"/>
        <v>0</v>
      </c>
      <c r="AI399" s="2027">
        <f t="shared" si="219"/>
        <v>0</v>
      </c>
      <c r="AJ399" s="2027">
        <f t="shared" si="219"/>
        <v>0</v>
      </c>
      <c r="AK399" s="2027">
        <v>20</v>
      </c>
      <c r="AL399" s="2027">
        <v>30</v>
      </c>
      <c r="AM399" s="2027">
        <v>40</v>
      </c>
      <c r="AN399" s="2027">
        <v>50</v>
      </c>
      <c r="AO399" s="2027">
        <f t="shared" si="206"/>
        <v>9204.8921999999984</v>
      </c>
      <c r="AP399" s="2027">
        <f t="shared" si="207"/>
        <v>13807.338299999999</v>
      </c>
      <c r="AQ399" s="2027">
        <f t="shared" si="207"/>
        <v>18409.784399999997</v>
      </c>
      <c r="AR399" s="2027" t="s">
        <v>3286</v>
      </c>
      <c r="AS399" s="2027">
        <f t="shared" si="208"/>
        <v>23012.230499999998</v>
      </c>
      <c r="AT399" s="2027">
        <f t="shared" si="209"/>
        <v>0</v>
      </c>
      <c r="AU399" s="2027">
        <f t="shared" si="210"/>
        <v>0</v>
      </c>
      <c r="AV399" s="2027">
        <f t="shared" si="210"/>
        <v>0</v>
      </c>
      <c r="AW399" s="2027">
        <f t="shared" si="210"/>
        <v>0</v>
      </c>
      <c r="AX399" s="2046">
        <v>64</v>
      </c>
      <c r="AY399" s="2046">
        <v>64</v>
      </c>
      <c r="AZ399" s="2046">
        <v>64</v>
      </c>
      <c r="BA399" s="2046">
        <v>64</v>
      </c>
      <c r="BB399" s="2046">
        <v>0</v>
      </c>
      <c r="BC399" s="2046">
        <v>0</v>
      </c>
      <c r="BD399" s="2046">
        <v>0</v>
      </c>
      <c r="BE399" s="2046">
        <v>0</v>
      </c>
      <c r="BF399" s="2124">
        <v>143.75</v>
      </c>
      <c r="BG399" s="2029">
        <v>143.75</v>
      </c>
      <c r="BH399" s="2029">
        <v>143.75</v>
      </c>
      <c r="BI399" s="2029">
        <v>143.75</v>
      </c>
      <c r="BJ399" s="2030">
        <f t="shared" si="211"/>
        <v>1280</v>
      </c>
      <c r="BK399" s="2030">
        <f t="shared" si="211"/>
        <v>1920</v>
      </c>
      <c r="BL399" s="2030">
        <f t="shared" si="211"/>
        <v>2560</v>
      </c>
      <c r="BM399" s="2030" t="s">
        <v>3286</v>
      </c>
      <c r="BN399" s="2030">
        <f t="shared" si="212"/>
        <v>3200</v>
      </c>
      <c r="BO399" s="2030">
        <f t="shared" si="213"/>
        <v>0</v>
      </c>
      <c r="BP399" s="2030" t="s">
        <v>3286</v>
      </c>
      <c r="BQ399" s="2030">
        <f t="shared" si="214"/>
        <v>0</v>
      </c>
      <c r="BR399" s="2030">
        <f t="shared" si="214"/>
        <v>0</v>
      </c>
      <c r="BS399" s="2030">
        <f t="shared" si="214"/>
        <v>0</v>
      </c>
      <c r="BT399" s="2125"/>
      <c r="BU399" s="2125"/>
      <c r="BV399" s="2125"/>
      <c r="BW399" s="2125"/>
      <c r="BX399" s="2125"/>
      <c r="BY399" s="2125"/>
      <c r="BZ399" s="2125"/>
      <c r="CA399" s="2125"/>
      <c r="CB399" s="2029"/>
      <c r="CC399" s="2029"/>
      <c r="CD399" s="2029"/>
      <c r="CE399" s="2029"/>
      <c r="CF399" s="2029"/>
      <c r="CG399" s="2032"/>
      <c r="CH399" s="1974">
        <v>0</v>
      </c>
      <c r="CI399" s="1974">
        <v>0</v>
      </c>
      <c r="CJ399" s="1974">
        <v>0</v>
      </c>
      <c r="CK399" s="1974">
        <v>0</v>
      </c>
      <c r="CL399" s="1974">
        <v>0</v>
      </c>
      <c r="CM399" s="2033">
        <v>3.0831949265761405E-5</v>
      </c>
      <c r="CN399" s="2026">
        <v>0</v>
      </c>
      <c r="CO399" s="1974">
        <v>1</v>
      </c>
      <c r="CP399" s="2031">
        <v>-24.764039713333329</v>
      </c>
      <c r="CQ399" s="2031">
        <f t="shared" si="215"/>
        <v>24.764039713333329</v>
      </c>
      <c r="CR399" s="2026">
        <v>1</v>
      </c>
      <c r="CS399" s="2026">
        <v>1</v>
      </c>
      <c r="CT399" s="2026">
        <v>1</v>
      </c>
      <c r="CU399" s="2026">
        <v>1</v>
      </c>
      <c r="CV399" s="2036"/>
      <c r="CW399" s="2036"/>
      <c r="CX399" s="2036"/>
      <c r="CY399" s="2036"/>
      <c r="CZ399" s="2036"/>
      <c r="DA399" s="2036"/>
      <c r="DB399" s="1973">
        <v>1</v>
      </c>
    </row>
    <row r="400" spans="1:106" s="2161" customFormat="1" x14ac:dyDescent="0.25">
      <c r="A400" s="2047" t="str">
        <f>IF(A147="","",A147)</f>
        <v>T5 Linear LED Lamp Retrofit (Midstream)</v>
      </c>
      <c r="B400" s="2047" t="str">
        <f>IF(B147="","",B147)</f>
        <v/>
      </c>
      <c r="C400" s="2146">
        <v>15</v>
      </c>
      <c r="D400" s="2146"/>
      <c r="E400" s="2147">
        <v>51.998408000000012</v>
      </c>
      <c r="F400" s="2147"/>
      <c r="G400" s="2148">
        <v>1.41994336E-2</v>
      </c>
      <c r="H400" s="2148"/>
      <c r="I400" s="2146">
        <v>-0.57198248800000018</v>
      </c>
      <c r="J400" s="2146"/>
      <c r="K400" s="2047" t="s">
        <v>2988</v>
      </c>
      <c r="L400" s="2047" t="s">
        <v>2988</v>
      </c>
      <c r="M400" s="2153">
        <v>0.9</v>
      </c>
      <c r="N400" s="2153">
        <v>0.9</v>
      </c>
      <c r="O400" s="2153">
        <v>0.9</v>
      </c>
      <c r="P400" s="2153">
        <v>0.9</v>
      </c>
      <c r="Q400" s="2146">
        <f t="shared" si="217"/>
        <v>46.798567200000015</v>
      </c>
      <c r="R400" s="2146">
        <f t="shared" si="217"/>
        <v>46.798567200000015</v>
      </c>
      <c r="S400" s="2146">
        <f t="shared" si="217"/>
        <v>46.798567200000015</v>
      </c>
      <c r="T400" s="2146">
        <f t="shared" si="217"/>
        <v>46.798567200000015</v>
      </c>
      <c r="U400" s="2153">
        <v>0.9</v>
      </c>
      <c r="V400" s="2153">
        <v>0.9</v>
      </c>
      <c r="W400" s="2153">
        <v>0.9</v>
      </c>
      <c r="X400" s="2153">
        <v>0.9</v>
      </c>
      <c r="Y400" s="2129">
        <f t="shared" si="218"/>
        <v>1.277949024E-2</v>
      </c>
      <c r="Z400" s="2129">
        <f t="shared" si="218"/>
        <v>1.277949024E-2</v>
      </c>
      <c r="AA400" s="2129">
        <f t="shared" si="218"/>
        <v>1.277949024E-2</v>
      </c>
      <c r="AB400" s="2129">
        <f t="shared" si="218"/>
        <v>1.277949024E-2</v>
      </c>
      <c r="AC400" s="2153">
        <v>0.9</v>
      </c>
      <c r="AD400" s="2153">
        <v>0.9</v>
      </c>
      <c r="AE400" s="2153">
        <v>0.9</v>
      </c>
      <c r="AF400" s="2153">
        <v>0.9</v>
      </c>
      <c r="AG400" s="2146">
        <f t="shared" si="219"/>
        <v>-0.51478423920000016</v>
      </c>
      <c r="AH400" s="2146">
        <f t="shared" si="219"/>
        <v>-0.51478423920000016</v>
      </c>
      <c r="AI400" s="2146">
        <f t="shared" si="219"/>
        <v>-0.51478423920000016</v>
      </c>
      <c r="AJ400" s="2146">
        <f t="shared" si="219"/>
        <v>-0.51478423920000016</v>
      </c>
      <c r="AK400" s="2146">
        <v>2000</v>
      </c>
      <c r="AL400" s="2146">
        <v>2500</v>
      </c>
      <c r="AM400" s="2146">
        <v>3000</v>
      </c>
      <c r="AN400" s="2146">
        <v>3500</v>
      </c>
      <c r="AO400" s="2146">
        <f t="shared" si="206"/>
        <v>93597.134400000024</v>
      </c>
      <c r="AP400" s="2146">
        <f t="shared" si="207"/>
        <v>116996.41800000003</v>
      </c>
      <c r="AQ400" s="2146">
        <f t="shared" si="207"/>
        <v>140395.70160000006</v>
      </c>
      <c r="AR400" s="2027"/>
      <c r="AS400" s="2146">
        <f t="shared" si="208"/>
        <v>163794.98520000005</v>
      </c>
      <c r="AT400" s="2146">
        <f t="shared" si="209"/>
        <v>-1029.5684784000002</v>
      </c>
      <c r="AU400" s="2146">
        <f t="shared" si="210"/>
        <v>-1286.9605980000003</v>
      </c>
      <c r="AV400" s="2146">
        <f t="shared" si="210"/>
        <v>-1544.3527176000005</v>
      </c>
      <c r="AW400" s="2146">
        <f t="shared" si="210"/>
        <v>-1801.7448372000006</v>
      </c>
      <c r="AX400" s="2029">
        <v>27</v>
      </c>
      <c r="AY400" s="2029">
        <v>27</v>
      </c>
      <c r="AZ400" s="2029">
        <v>25</v>
      </c>
      <c r="BA400" s="2029">
        <v>24</v>
      </c>
      <c r="BB400" s="2029">
        <v>0</v>
      </c>
      <c r="BC400" s="2029">
        <v>0</v>
      </c>
      <c r="BD400" s="2029">
        <v>0</v>
      </c>
      <c r="BE400" s="2029">
        <v>0</v>
      </c>
      <c r="BF400" s="2046">
        <v>16</v>
      </c>
      <c r="BG400" s="2046">
        <v>15</v>
      </c>
      <c r="BH400" s="2046">
        <v>12</v>
      </c>
      <c r="BI400" s="2046">
        <v>10</v>
      </c>
      <c r="BJ400" s="2154">
        <f t="shared" si="211"/>
        <v>54000</v>
      </c>
      <c r="BK400" s="2154">
        <f t="shared" si="211"/>
        <v>67500</v>
      </c>
      <c r="BL400" s="2154">
        <f t="shared" si="211"/>
        <v>75000</v>
      </c>
      <c r="BM400" s="2030"/>
      <c r="BN400" s="2154">
        <f t="shared" si="212"/>
        <v>84000</v>
      </c>
      <c r="BO400" s="2154">
        <f t="shared" si="213"/>
        <v>0</v>
      </c>
      <c r="BP400" s="2030" t="s">
        <v>3286</v>
      </c>
      <c r="BQ400" s="2154">
        <f t="shared" si="214"/>
        <v>0</v>
      </c>
      <c r="BR400" s="2154">
        <f t="shared" si="214"/>
        <v>0</v>
      </c>
      <c r="BS400" s="2154">
        <f t="shared" si="214"/>
        <v>0</v>
      </c>
      <c r="BT400" s="2155"/>
      <c r="BU400" s="2155"/>
      <c r="BV400" s="2155"/>
      <c r="BW400" s="2155"/>
      <c r="BX400" s="2155"/>
      <c r="BY400" s="2155"/>
      <c r="BZ400" s="2155"/>
      <c r="CA400" s="2155"/>
      <c r="CB400" s="2046"/>
      <c r="CC400" s="2046"/>
      <c r="CD400" s="2046"/>
      <c r="CE400" s="2046"/>
      <c r="CF400" s="2046"/>
      <c r="CG400" s="2156"/>
      <c r="CH400" s="2047">
        <v>0</v>
      </c>
      <c r="CI400" s="2047">
        <v>0</v>
      </c>
      <c r="CJ400" s="2047">
        <v>0</v>
      </c>
      <c r="CK400" s="2047">
        <v>0</v>
      </c>
      <c r="CL400" s="2047">
        <v>0</v>
      </c>
      <c r="CM400" s="2157">
        <v>1.0128045085641764E-3</v>
      </c>
      <c r="CN400" s="2153">
        <v>-1.965872610985919E-3</v>
      </c>
      <c r="CO400" s="2047">
        <v>1</v>
      </c>
      <c r="CP400" s="2063">
        <v>-1.176912501648</v>
      </c>
      <c r="CQ400" s="2063">
        <f t="shared" si="215"/>
        <v>1.176912501648</v>
      </c>
      <c r="CR400" s="2153">
        <v>1</v>
      </c>
      <c r="CS400" s="2153">
        <v>1</v>
      </c>
      <c r="CT400" s="2153">
        <v>1</v>
      </c>
      <c r="CU400" s="2153">
        <v>1</v>
      </c>
      <c r="CV400" s="2160"/>
      <c r="CW400" s="2160"/>
      <c r="CX400" s="2160"/>
      <c r="CY400" s="2160"/>
      <c r="CZ400" s="2160"/>
      <c r="DA400" s="2160"/>
      <c r="DB400" s="2161">
        <v>1</v>
      </c>
    </row>
    <row r="401" spans="1:106" x14ac:dyDescent="0.25">
      <c r="A401" s="2277" t="str">
        <f t="shared" ref="A401:B404" si="220">IF(A155="","",A155)</f>
        <v>Low-Flow Faucet Aerators</v>
      </c>
      <c r="B401" s="1974" t="str">
        <f t="shared" si="220"/>
        <v/>
      </c>
      <c r="C401" s="2027">
        <v>9</v>
      </c>
      <c r="D401" s="2027"/>
      <c r="E401" s="2144">
        <v>37.146562321527398</v>
      </c>
      <c r="F401" s="2144"/>
      <c r="G401" s="2145">
        <v>6.4206635727597598E-3</v>
      </c>
      <c r="H401" s="2145"/>
      <c r="I401" s="2027">
        <v>7.4212283375760961</v>
      </c>
      <c r="J401" s="2027"/>
      <c r="K401" s="1974" t="s">
        <v>2988</v>
      </c>
      <c r="L401" s="1974" t="s">
        <v>2988</v>
      </c>
      <c r="M401" s="2026">
        <v>0.9</v>
      </c>
      <c r="N401" s="2026">
        <v>0.9</v>
      </c>
      <c r="O401" s="2026">
        <v>0.9</v>
      </c>
      <c r="P401" s="2026">
        <v>0.9</v>
      </c>
      <c r="Q401" s="2027">
        <f t="shared" si="217"/>
        <v>33.431906089374657</v>
      </c>
      <c r="R401" s="2027">
        <f t="shared" si="217"/>
        <v>33.431906089374657</v>
      </c>
      <c r="S401" s="2027">
        <f t="shared" si="217"/>
        <v>33.431906089374657</v>
      </c>
      <c r="T401" s="2027">
        <f t="shared" si="217"/>
        <v>33.431906089374657</v>
      </c>
      <c r="U401" s="2026">
        <v>0.9</v>
      </c>
      <c r="V401" s="2026">
        <v>0.9</v>
      </c>
      <c r="W401" s="2026">
        <v>0.9</v>
      </c>
      <c r="X401" s="2026">
        <v>0.9</v>
      </c>
      <c r="Y401" s="2028">
        <f t="shared" si="218"/>
        <v>5.7785972154837844E-3</v>
      </c>
      <c r="Z401" s="2028">
        <f t="shared" si="218"/>
        <v>5.7785972154837844E-3</v>
      </c>
      <c r="AA401" s="2028">
        <f t="shared" si="218"/>
        <v>5.7785972154837844E-3</v>
      </c>
      <c r="AB401" s="2028">
        <f t="shared" si="218"/>
        <v>5.7785972154837844E-3</v>
      </c>
      <c r="AC401" s="2026">
        <v>0.9</v>
      </c>
      <c r="AD401" s="2026">
        <v>0.9</v>
      </c>
      <c r="AE401" s="2026">
        <v>0.9</v>
      </c>
      <c r="AF401" s="2026">
        <v>0.9</v>
      </c>
      <c r="AG401" s="2027">
        <f t="shared" si="219"/>
        <v>6.6791055038184863</v>
      </c>
      <c r="AH401" s="2027">
        <f t="shared" si="219"/>
        <v>6.6791055038184863</v>
      </c>
      <c r="AI401" s="2027">
        <f t="shared" si="219"/>
        <v>6.6791055038184863</v>
      </c>
      <c r="AJ401" s="2027">
        <f t="shared" si="219"/>
        <v>6.6791055038184863</v>
      </c>
      <c r="AK401" s="2027">
        <v>1173</v>
      </c>
      <c r="AL401" s="2027">
        <v>1107</v>
      </c>
      <c r="AM401" s="2027">
        <v>1110</v>
      </c>
      <c r="AN401" s="2027">
        <v>1111</v>
      </c>
      <c r="AO401" s="2027">
        <f t="shared" si="206"/>
        <v>39215.625842836474</v>
      </c>
      <c r="AP401" s="2027">
        <f t="shared" si="207"/>
        <v>37009.120040937742</v>
      </c>
      <c r="AQ401" s="2027">
        <f t="shared" si="207"/>
        <v>37109.415759205869</v>
      </c>
      <c r="AR401" s="2027" t="s">
        <v>3286</v>
      </c>
      <c r="AS401" s="2027">
        <f t="shared" si="208"/>
        <v>37142.847665295245</v>
      </c>
      <c r="AT401" s="2027">
        <f t="shared" si="209"/>
        <v>7834.5907559790849</v>
      </c>
      <c r="AU401" s="2027">
        <f t="shared" si="210"/>
        <v>7393.7697927270647</v>
      </c>
      <c r="AV401" s="2027">
        <f t="shared" si="210"/>
        <v>7413.8071092385198</v>
      </c>
      <c r="AW401" s="2027">
        <f t="shared" si="210"/>
        <v>7420.4862147423382</v>
      </c>
      <c r="AX401" s="2124">
        <v>3.6000000000000019</v>
      </c>
      <c r="AY401" s="2029">
        <v>3.6000000000000019</v>
      </c>
      <c r="AZ401" s="2029">
        <v>3.6000000000000019</v>
      </c>
      <c r="BA401" s="2029">
        <v>3.6000000000000019</v>
      </c>
      <c r="BB401" s="2124">
        <v>14.400000000000007</v>
      </c>
      <c r="BC401" s="2029">
        <v>14.400000000000007</v>
      </c>
      <c r="BD401" s="2029">
        <v>14.400000000000007</v>
      </c>
      <c r="BE401" s="2029">
        <v>14.400000000000007</v>
      </c>
      <c r="BF401" s="2124">
        <v>8</v>
      </c>
      <c r="BG401" s="2029">
        <v>8</v>
      </c>
      <c r="BH401" s="2029">
        <v>8</v>
      </c>
      <c r="BI401" s="2029">
        <v>8</v>
      </c>
      <c r="BJ401" s="2030">
        <f t="shared" si="211"/>
        <v>4222.800000000002</v>
      </c>
      <c r="BK401" s="2030">
        <f t="shared" si="211"/>
        <v>3985.2000000000021</v>
      </c>
      <c r="BL401" s="2030">
        <f t="shared" si="211"/>
        <v>3996.0000000000023</v>
      </c>
      <c r="BM401" s="2030" t="s">
        <v>3286</v>
      </c>
      <c r="BN401" s="2030">
        <f t="shared" si="212"/>
        <v>3999.6000000000022</v>
      </c>
      <c r="BO401" s="2030">
        <f t="shared" si="213"/>
        <v>16891.200000000008</v>
      </c>
      <c r="BP401" s="2030" t="s">
        <v>3286</v>
      </c>
      <c r="BQ401" s="2030">
        <f t="shared" si="214"/>
        <v>15940.800000000008</v>
      </c>
      <c r="BR401" s="2030">
        <f t="shared" si="214"/>
        <v>15984.000000000009</v>
      </c>
      <c r="BS401" s="2030">
        <f t="shared" si="214"/>
        <v>15998.400000000009</v>
      </c>
      <c r="BT401" s="2125"/>
      <c r="BU401" s="2125"/>
      <c r="BV401" s="2125"/>
      <c r="BW401" s="2125"/>
      <c r="BX401" s="2125"/>
      <c r="BY401" s="2125"/>
      <c r="BZ401" s="2125"/>
      <c r="CA401" s="2125"/>
      <c r="CB401" s="2029"/>
      <c r="CC401" s="2029"/>
      <c r="CD401" s="2029"/>
      <c r="CE401" s="2029"/>
      <c r="CF401" s="2029"/>
      <c r="CG401" s="2032"/>
      <c r="CH401" s="1974">
        <v>2021.0316823464311</v>
      </c>
      <c r="CI401" s="1974">
        <v>0</v>
      </c>
      <c r="CJ401" s="1974">
        <v>0</v>
      </c>
      <c r="CK401" s="1974">
        <v>0</v>
      </c>
      <c r="CL401" s="1974">
        <v>0</v>
      </c>
      <c r="CM401" s="2033">
        <v>1.1198076088335932E-4</v>
      </c>
      <c r="CN401" s="2026">
        <v>2.1514642934289318E-3</v>
      </c>
      <c r="CO401" s="1974">
        <v>0</v>
      </c>
      <c r="CP401" s="2031">
        <v>0</v>
      </c>
      <c r="CQ401" s="2031">
        <f t="shared" si="215"/>
        <v>0</v>
      </c>
      <c r="CR401" s="2026">
        <v>1</v>
      </c>
      <c r="CS401" s="2026">
        <v>1</v>
      </c>
      <c r="CT401" s="2026">
        <v>1</v>
      </c>
      <c r="CU401" s="2026">
        <v>1</v>
      </c>
      <c r="CV401" s="2036"/>
      <c r="CW401" s="2036"/>
      <c r="CX401" s="2036"/>
      <c r="CY401" s="2036"/>
      <c r="CZ401" s="2036"/>
      <c r="DA401" s="2036"/>
      <c r="DB401" s="1973">
        <v>1</v>
      </c>
    </row>
    <row r="402" spans="1:106" x14ac:dyDescent="0.25">
      <c r="A402" s="2277" t="str">
        <f t="shared" si="220"/>
        <v>Laminar Flow Restrictors</v>
      </c>
      <c r="B402" s="1974" t="str">
        <f t="shared" si="220"/>
        <v/>
      </c>
      <c r="C402" s="2027">
        <v>9</v>
      </c>
      <c r="D402" s="2027"/>
      <c r="E402" s="2144">
        <v>37.146562321527398</v>
      </c>
      <c r="F402" s="2144"/>
      <c r="G402" s="2145">
        <v>6.4206635727597598E-3</v>
      </c>
      <c r="H402" s="2145"/>
      <c r="I402" s="2027">
        <v>7.4212283375760961</v>
      </c>
      <c r="J402" s="2027"/>
      <c r="K402" s="1974" t="s">
        <v>2988</v>
      </c>
      <c r="L402" s="1974" t="s">
        <v>2988</v>
      </c>
      <c r="M402" s="2026">
        <v>0.9</v>
      </c>
      <c r="N402" s="2026">
        <v>0.9</v>
      </c>
      <c r="O402" s="2026">
        <v>0.9</v>
      </c>
      <c r="P402" s="2026">
        <v>0.9</v>
      </c>
      <c r="Q402" s="2027">
        <f t="shared" si="217"/>
        <v>33.431906089374657</v>
      </c>
      <c r="R402" s="2027">
        <f t="shared" si="217"/>
        <v>33.431906089374657</v>
      </c>
      <c r="S402" s="2027">
        <f t="shared" si="217"/>
        <v>33.431906089374657</v>
      </c>
      <c r="T402" s="2027">
        <f t="shared" si="217"/>
        <v>33.431906089374657</v>
      </c>
      <c r="U402" s="2026">
        <v>0.9</v>
      </c>
      <c r="V402" s="2026">
        <v>0.9</v>
      </c>
      <c r="W402" s="2026">
        <v>0.9</v>
      </c>
      <c r="X402" s="2026">
        <v>0.9</v>
      </c>
      <c r="Y402" s="2028">
        <f t="shared" si="218"/>
        <v>5.7785972154837844E-3</v>
      </c>
      <c r="Z402" s="2028">
        <f t="shared" si="218"/>
        <v>5.7785972154837844E-3</v>
      </c>
      <c r="AA402" s="2028">
        <f t="shared" si="218"/>
        <v>5.7785972154837844E-3</v>
      </c>
      <c r="AB402" s="2028">
        <f t="shared" si="218"/>
        <v>5.7785972154837844E-3</v>
      </c>
      <c r="AC402" s="2026">
        <v>0.9</v>
      </c>
      <c r="AD402" s="2026">
        <v>0.9</v>
      </c>
      <c r="AE402" s="2026">
        <v>0.9</v>
      </c>
      <c r="AF402" s="2026">
        <v>0.9</v>
      </c>
      <c r="AG402" s="2027">
        <f t="shared" si="219"/>
        <v>6.6791055038184863</v>
      </c>
      <c r="AH402" s="2027">
        <f t="shared" si="219"/>
        <v>6.6791055038184863</v>
      </c>
      <c r="AI402" s="2027">
        <f t="shared" si="219"/>
        <v>6.6791055038184863</v>
      </c>
      <c r="AJ402" s="2027">
        <f t="shared" si="219"/>
        <v>6.6791055038184863</v>
      </c>
      <c r="AK402" s="2027">
        <v>236</v>
      </c>
      <c r="AL402" s="2027">
        <v>222</v>
      </c>
      <c r="AM402" s="2027">
        <v>222</v>
      </c>
      <c r="AN402" s="2027">
        <v>223</v>
      </c>
      <c r="AO402" s="2027">
        <f t="shared" si="206"/>
        <v>7889.9298370924189</v>
      </c>
      <c r="AP402" s="2027">
        <f t="shared" si="207"/>
        <v>7421.8831518411735</v>
      </c>
      <c r="AQ402" s="2027">
        <f t="shared" si="207"/>
        <v>7421.8831518411735</v>
      </c>
      <c r="AR402" s="2027" t="s">
        <v>3286</v>
      </c>
      <c r="AS402" s="2027">
        <f t="shared" si="208"/>
        <v>7455.3150579305484</v>
      </c>
      <c r="AT402" s="2027">
        <f t="shared" si="209"/>
        <v>1576.2688989011629</v>
      </c>
      <c r="AU402" s="2027">
        <f t="shared" si="210"/>
        <v>1482.761421847704</v>
      </c>
      <c r="AV402" s="2027">
        <f t="shared" si="210"/>
        <v>1482.761421847704</v>
      </c>
      <c r="AW402" s="2027">
        <f t="shared" si="210"/>
        <v>1489.4405273515224</v>
      </c>
      <c r="AX402" s="2124">
        <v>4.8000000000000025</v>
      </c>
      <c r="AY402" s="2029">
        <v>4.8000000000000025</v>
      </c>
      <c r="AZ402" s="2029">
        <v>4.8000000000000025</v>
      </c>
      <c r="BA402" s="2029">
        <v>4.8000000000000025</v>
      </c>
      <c r="BB402" s="2124">
        <v>19.20000000000001</v>
      </c>
      <c r="BC402" s="2029">
        <v>19.20000000000001</v>
      </c>
      <c r="BD402" s="2029">
        <v>19.20000000000001</v>
      </c>
      <c r="BE402" s="2029">
        <v>19.20000000000001</v>
      </c>
      <c r="BF402" s="2124">
        <v>8</v>
      </c>
      <c r="BG402" s="2029">
        <v>8</v>
      </c>
      <c r="BH402" s="2029">
        <v>8</v>
      </c>
      <c r="BI402" s="2029">
        <v>8</v>
      </c>
      <c r="BJ402" s="2030">
        <f t="shared" si="211"/>
        <v>1132.8000000000006</v>
      </c>
      <c r="BK402" s="2030">
        <f t="shared" si="211"/>
        <v>1065.6000000000006</v>
      </c>
      <c r="BL402" s="2030">
        <f t="shared" si="211"/>
        <v>1065.6000000000006</v>
      </c>
      <c r="BM402" s="2030" t="s">
        <v>3286</v>
      </c>
      <c r="BN402" s="2030">
        <f t="shared" si="212"/>
        <v>1070.4000000000005</v>
      </c>
      <c r="BO402" s="2030">
        <f t="shared" si="213"/>
        <v>4531.2000000000025</v>
      </c>
      <c r="BP402" s="2030" t="s">
        <v>3286</v>
      </c>
      <c r="BQ402" s="2030">
        <f t="shared" si="214"/>
        <v>4262.4000000000024</v>
      </c>
      <c r="BR402" s="2030">
        <f t="shared" si="214"/>
        <v>4262.4000000000024</v>
      </c>
      <c r="BS402" s="2030">
        <f t="shared" si="214"/>
        <v>4281.6000000000022</v>
      </c>
      <c r="BT402" s="2125"/>
      <c r="BU402" s="2125"/>
      <c r="BV402" s="2125"/>
      <c r="BW402" s="2125"/>
      <c r="BX402" s="2125"/>
      <c r="BY402" s="2125"/>
      <c r="BZ402" s="2125"/>
      <c r="CA402" s="2125"/>
      <c r="CB402" s="2029"/>
      <c r="CC402" s="2029"/>
      <c r="CD402" s="2029"/>
      <c r="CE402" s="2029"/>
      <c r="CF402" s="2029"/>
      <c r="CG402" s="2032"/>
      <c r="CH402" s="1974">
        <v>2021.0316823464311</v>
      </c>
      <c r="CI402" s="1974">
        <v>0</v>
      </c>
      <c r="CJ402" s="1974">
        <v>0</v>
      </c>
      <c r="CK402" s="1974">
        <v>0</v>
      </c>
      <c r="CL402" s="1974">
        <v>0</v>
      </c>
      <c r="CM402" s="2033">
        <v>2.2396152176671865E-5</v>
      </c>
      <c r="CN402" s="2026">
        <v>4.3029285868578641E-4</v>
      </c>
      <c r="CO402" s="1974">
        <v>0</v>
      </c>
      <c r="CP402" s="2031">
        <v>0</v>
      </c>
      <c r="CQ402" s="2031">
        <f t="shared" si="215"/>
        <v>0</v>
      </c>
      <c r="CR402" s="2026">
        <v>1</v>
      </c>
      <c r="CS402" s="2026">
        <v>1</v>
      </c>
      <c r="CT402" s="2026">
        <v>1</v>
      </c>
      <c r="CU402" s="2026">
        <v>1</v>
      </c>
      <c r="CV402" s="2036"/>
      <c r="CW402" s="2036"/>
      <c r="CX402" s="2036"/>
      <c r="CY402" s="2036"/>
      <c r="CZ402" s="2036"/>
      <c r="DA402" s="2036"/>
      <c r="DB402" s="1973">
        <v>1</v>
      </c>
    </row>
    <row r="403" spans="1:106" x14ac:dyDescent="0.25">
      <c r="A403" s="2277" t="str">
        <f t="shared" si="220"/>
        <v>Occupancy Controlled Bi-level Fixtures</v>
      </c>
      <c r="B403" s="1974" t="str">
        <f t="shared" si="220"/>
        <v/>
      </c>
      <c r="C403" s="2027">
        <v>8</v>
      </c>
      <c r="D403" s="2027"/>
      <c r="E403" s="2144">
        <v>4384.6000000000004</v>
      </c>
      <c r="F403" s="2144"/>
      <c r="G403" s="2145">
        <v>0.14000000000000001</v>
      </c>
      <c r="H403" s="2145"/>
      <c r="I403" s="2027">
        <v>-46.1</v>
      </c>
      <c r="J403" s="2027"/>
      <c r="K403" s="1974" t="s">
        <v>2988</v>
      </c>
      <c r="L403" s="1974" t="s">
        <v>2988</v>
      </c>
      <c r="M403" s="2026">
        <v>0.9</v>
      </c>
      <c r="N403" s="2026">
        <v>0.9</v>
      </c>
      <c r="O403" s="2026">
        <v>0.9</v>
      </c>
      <c r="P403" s="2026">
        <v>0.9</v>
      </c>
      <c r="Q403" s="2027">
        <f t="shared" si="217"/>
        <v>3946.1400000000003</v>
      </c>
      <c r="R403" s="2027">
        <f t="shared" si="217"/>
        <v>3946.1400000000003</v>
      </c>
      <c r="S403" s="2027">
        <f t="shared" si="217"/>
        <v>3946.1400000000003</v>
      </c>
      <c r="T403" s="2027">
        <f t="shared" si="217"/>
        <v>3946.1400000000003</v>
      </c>
      <c r="U403" s="2026">
        <v>0.9</v>
      </c>
      <c r="V403" s="2026">
        <v>0.9</v>
      </c>
      <c r="W403" s="2026">
        <v>0.9</v>
      </c>
      <c r="X403" s="2026">
        <v>0.9</v>
      </c>
      <c r="Y403" s="2028">
        <f t="shared" si="218"/>
        <v>0.12600000000000003</v>
      </c>
      <c r="Z403" s="2028">
        <f t="shared" si="218"/>
        <v>0.12600000000000003</v>
      </c>
      <c r="AA403" s="2028">
        <f t="shared" si="218"/>
        <v>0.12600000000000003</v>
      </c>
      <c r="AB403" s="2028">
        <f t="shared" si="218"/>
        <v>0.12600000000000003</v>
      </c>
      <c r="AC403" s="2026">
        <v>0.9</v>
      </c>
      <c r="AD403" s="2026">
        <v>0.9</v>
      </c>
      <c r="AE403" s="2026">
        <v>0.9</v>
      </c>
      <c r="AF403" s="2026">
        <v>0.9</v>
      </c>
      <c r="AG403" s="2027">
        <f t="shared" si="219"/>
        <v>-41.49</v>
      </c>
      <c r="AH403" s="2027">
        <f t="shared" si="219"/>
        <v>-41.49</v>
      </c>
      <c r="AI403" s="2027">
        <f t="shared" si="219"/>
        <v>-41.49</v>
      </c>
      <c r="AJ403" s="2027">
        <f t="shared" si="219"/>
        <v>-41.49</v>
      </c>
      <c r="AK403" s="2027">
        <v>1</v>
      </c>
      <c r="AL403" s="2028">
        <v>1</v>
      </c>
      <c r="AM403" s="2028">
        <v>1</v>
      </c>
      <c r="AN403" s="2028">
        <v>1</v>
      </c>
      <c r="AO403" s="2027">
        <f t="shared" si="206"/>
        <v>3946.1400000000003</v>
      </c>
      <c r="AP403" s="2027">
        <f t="shared" si="207"/>
        <v>3946.1400000000003</v>
      </c>
      <c r="AQ403" s="2027">
        <f t="shared" si="207"/>
        <v>3946.1400000000003</v>
      </c>
      <c r="AR403" s="2027" t="s">
        <v>3286</v>
      </c>
      <c r="AS403" s="2027">
        <f t="shared" si="208"/>
        <v>3946.1400000000003</v>
      </c>
      <c r="AT403" s="2027">
        <f t="shared" si="209"/>
        <v>-41.49</v>
      </c>
      <c r="AU403" s="2027">
        <f t="shared" si="210"/>
        <v>-41.49</v>
      </c>
      <c r="AV403" s="2027">
        <f t="shared" si="210"/>
        <v>-41.49</v>
      </c>
      <c r="AW403" s="2027">
        <f t="shared" si="210"/>
        <v>-41.49</v>
      </c>
      <c r="AX403" s="2124">
        <v>140</v>
      </c>
      <c r="AY403" s="2029">
        <v>140</v>
      </c>
      <c r="AZ403" s="2029">
        <v>140</v>
      </c>
      <c r="BA403" s="2029">
        <v>140</v>
      </c>
      <c r="BB403" s="2124">
        <v>0</v>
      </c>
      <c r="BC403" s="2029">
        <v>0</v>
      </c>
      <c r="BD403" s="2029">
        <v>0</v>
      </c>
      <c r="BE403" s="2029">
        <v>0</v>
      </c>
      <c r="BF403" s="2124">
        <v>274</v>
      </c>
      <c r="BG403" s="2029">
        <v>274</v>
      </c>
      <c r="BH403" s="2029">
        <v>274</v>
      </c>
      <c r="BI403" s="2029">
        <v>274</v>
      </c>
      <c r="BJ403" s="2030">
        <f t="shared" si="211"/>
        <v>140</v>
      </c>
      <c r="BK403" s="2030">
        <f t="shared" si="211"/>
        <v>140</v>
      </c>
      <c r="BL403" s="2030">
        <f t="shared" si="211"/>
        <v>140</v>
      </c>
      <c r="BM403" s="2030" t="s">
        <v>3286</v>
      </c>
      <c r="BN403" s="2030">
        <f t="shared" si="212"/>
        <v>140</v>
      </c>
      <c r="BO403" s="2030">
        <f t="shared" si="213"/>
        <v>0</v>
      </c>
      <c r="BP403" s="2030" t="s">
        <v>3286</v>
      </c>
      <c r="BQ403" s="2030">
        <f t="shared" si="214"/>
        <v>0</v>
      </c>
      <c r="BR403" s="2030">
        <f t="shared" si="214"/>
        <v>0</v>
      </c>
      <c r="BS403" s="2030">
        <f t="shared" si="214"/>
        <v>0</v>
      </c>
      <c r="BT403" s="2125"/>
      <c r="BU403" s="2125"/>
      <c r="BV403" s="2125"/>
      <c r="BW403" s="2125"/>
      <c r="BX403" s="2125"/>
      <c r="BY403" s="2125"/>
      <c r="BZ403" s="2125"/>
      <c r="CA403" s="2125"/>
      <c r="CB403" s="2029"/>
      <c r="CC403" s="2029"/>
      <c r="CD403" s="2029"/>
      <c r="CE403" s="2029"/>
      <c r="CF403" s="2029"/>
      <c r="CG403" s="2032"/>
      <c r="CH403" s="1974">
        <v>0</v>
      </c>
      <c r="CI403" s="1974">
        <v>0</v>
      </c>
      <c r="CJ403" s="1974">
        <v>0</v>
      </c>
      <c r="CK403" s="1974">
        <v>0</v>
      </c>
      <c r="CL403" s="1974">
        <v>0</v>
      </c>
      <c r="CM403" s="2033">
        <v>1.3217665740353997E-5</v>
      </c>
      <c r="CN403" s="2026">
        <v>-1.3364701827712328E-5</v>
      </c>
      <c r="CO403" s="1974">
        <v>0</v>
      </c>
      <c r="CP403" s="2031">
        <v>0</v>
      </c>
      <c r="CQ403" s="2031">
        <f t="shared" si="215"/>
        <v>0</v>
      </c>
      <c r="CR403" s="2026">
        <v>1</v>
      </c>
      <c r="CS403" s="2026">
        <v>1</v>
      </c>
      <c r="CT403" s="2026">
        <v>1</v>
      </c>
      <c r="CU403" s="2026">
        <v>1</v>
      </c>
      <c r="CV403" s="2036"/>
      <c r="CW403" s="2036"/>
      <c r="CX403" s="2036"/>
      <c r="CY403" s="2036"/>
      <c r="CZ403" s="2036"/>
      <c r="DA403" s="2036"/>
      <c r="DB403" s="1973">
        <v>1</v>
      </c>
    </row>
    <row r="404" spans="1:106" x14ac:dyDescent="0.25">
      <c r="A404" s="2277" t="str">
        <f t="shared" si="220"/>
        <v>Advanced Thermostats</v>
      </c>
      <c r="B404" s="1974" t="str">
        <f t="shared" si="220"/>
        <v/>
      </c>
      <c r="C404" s="2027">
        <v>10</v>
      </c>
      <c r="D404" s="2027"/>
      <c r="E404" s="2144">
        <v>621</v>
      </c>
      <c r="F404" s="2144"/>
      <c r="G404" s="2145">
        <v>5.7634999999999999E-2</v>
      </c>
      <c r="H404" s="2145"/>
      <c r="I404" s="2027">
        <v>61.482900000000001</v>
      </c>
      <c r="J404" s="2027"/>
      <c r="K404" s="1974" t="s">
        <v>2988</v>
      </c>
      <c r="L404" s="1974" t="s">
        <v>2988</v>
      </c>
      <c r="M404" s="2026">
        <v>0.9</v>
      </c>
      <c r="N404" s="2026">
        <v>0.9</v>
      </c>
      <c r="O404" s="2026">
        <v>0.9</v>
      </c>
      <c r="P404" s="2026">
        <v>0.9</v>
      </c>
      <c r="Q404" s="2027">
        <f t="shared" si="217"/>
        <v>558.9</v>
      </c>
      <c r="R404" s="2027">
        <f t="shared" si="217"/>
        <v>558.9</v>
      </c>
      <c r="S404" s="2027">
        <f t="shared" si="217"/>
        <v>558.9</v>
      </c>
      <c r="T404" s="2027">
        <f t="shared" si="217"/>
        <v>558.9</v>
      </c>
      <c r="U404" s="2026">
        <v>0.9</v>
      </c>
      <c r="V404" s="2026">
        <v>0.9</v>
      </c>
      <c r="W404" s="2026">
        <v>0.9</v>
      </c>
      <c r="X404" s="2026">
        <v>0.9</v>
      </c>
      <c r="Y404" s="2028">
        <f t="shared" si="218"/>
        <v>5.1871500000000001E-2</v>
      </c>
      <c r="Z404" s="2028">
        <f t="shared" si="218"/>
        <v>5.1871500000000001E-2</v>
      </c>
      <c r="AA404" s="2028">
        <f t="shared" si="218"/>
        <v>5.1871500000000001E-2</v>
      </c>
      <c r="AB404" s="2028">
        <f t="shared" si="218"/>
        <v>5.1871500000000001E-2</v>
      </c>
      <c r="AC404" s="2026">
        <v>0.9</v>
      </c>
      <c r="AD404" s="2026">
        <v>0.9</v>
      </c>
      <c r="AE404" s="2026">
        <v>0.9</v>
      </c>
      <c r="AF404" s="2026">
        <v>0.9</v>
      </c>
      <c r="AG404" s="2027">
        <f t="shared" si="219"/>
        <v>55.334610000000005</v>
      </c>
      <c r="AH404" s="2027">
        <f t="shared" si="219"/>
        <v>55.334610000000005</v>
      </c>
      <c r="AI404" s="2027">
        <f t="shared" si="219"/>
        <v>55.334610000000005</v>
      </c>
      <c r="AJ404" s="2027">
        <f t="shared" si="219"/>
        <v>55.334610000000005</v>
      </c>
      <c r="AK404" s="2265">
        <v>35</v>
      </c>
      <c r="AL404" s="2265">
        <v>35</v>
      </c>
      <c r="AM404" s="2265">
        <v>35</v>
      </c>
      <c r="AN404" s="2265">
        <v>35</v>
      </c>
      <c r="AO404" s="2027">
        <f t="shared" si="206"/>
        <v>19561.5</v>
      </c>
      <c r="AP404" s="2027">
        <f t="shared" si="207"/>
        <v>19561.5</v>
      </c>
      <c r="AQ404" s="2027">
        <f t="shared" si="207"/>
        <v>19561.5</v>
      </c>
      <c r="AR404" s="2027"/>
      <c r="AS404" s="2027">
        <f t="shared" si="208"/>
        <v>19561.5</v>
      </c>
      <c r="AT404" s="2027">
        <f t="shared" si="209"/>
        <v>1936.7113500000003</v>
      </c>
      <c r="AU404" s="2027">
        <f t="shared" si="210"/>
        <v>1936.7113500000003</v>
      </c>
      <c r="AV404" s="2027">
        <f t="shared" si="210"/>
        <v>1936.7113500000003</v>
      </c>
      <c r="AW404" s="2027">
        <f t="shared" si="210"/>
        <v>1936.7113500000003</v>
      </c>
      <c r="AX404" s="2046">
        <v>107.10000000000001</v>
      </c>
      <c r="AY404" s="2046">
        <v>68.599999999999994</v>
      </c>
      <c r="AZ404" s="2046">
        <v>68.599999999999994</v>
      </c>
      <c r="BA404" s="2046">
        <v>68.599999999999994</v>
      </c>
      <c r="BB404" s="2046">
        <v>102.89999999999999</v>
      </c>
      <c r="BC404" s="2046">
        <v>71.400000000000006</v>
      </c>
      <c r="BD404" s="2046">
        <v>71.400000000000006</v>
      </c>
      <c r="BE404" s="2046">
        <v>71.400000000000006</v>
      </c>
      <c r="BF404" s="2124">
        <v>175</v>
      </c>
      <c r="BG404" s="2029">
        <v>175</v>
      </c>
      <c r="BH404" s="2029">
        <v>175</v>
      </c>
      <c r="BI404" s="2029">
        <v>175</v>
      </c>
      <c r="BJ404" s="2030">
        <f t="shared" si="211"/>
        <v>3748.5000000000005</v>
      </c>
      <c r="BK404" s="2030">
        <f t="shared" si="211"/>
        <v>2401</v>
      </c>
      <c r="BL404" s="2030">
        <f t="shared" si="211"/>
        <v>2401</v>
      </c>
      <c r="BM404" s="2030"/>
      <c r="BN404" s="2030">
        <f t="shared" si="212"/>
        <v>2401</v>
      </c>
      <c r="BO404" s="2030">
        <f t="shared" si="213"/>
        <v>3601.4999999999995</v>
      </c>
      <c r="BP404" s="2030" t="s">
        <v>3286</v>
      </c>
      <c r="BQ404" s="2030">
        <f t="shared" si="214"/>
        <v>2499</v>
      </c>
      <c r="BR404" s="2030">
        <f t="shared" si="214"/>
        <v>2499</v>
      </c>
      <c r="BS404" s="2030">
        <f t="shared" si="214"/>
        <v>2499</v>
      </c>
      <c r="BT404" s="2125"/>
      <c r="BU404" s="2125"/>
      <c r="BV404" s="2125"/>
      <c r="BW404" s="2125"/>
      <c r="BX404" s="2125"/>
      <c r="BY404" s="2125"/>
      <c r="BZ404" s="2125"/>
      <c r="CA404" s="2125"/>
      <c r="CB404" s="2029"/>
      <c r="CC404" s="2029"/>
      <c r="CD404" s="2029"/>
      <c r="CE404" s="2029"/>
      <c r="CF404" s="2029"/>
      <c r="CG404" s="2032"/>
      <c r="CH404" s="1974">
        <v>0</v>
      </c>
      <c r="CI404" s="1974">
        <v>0</v>
      </c>
      <c r="CJ404" s="1974">
        <v>0</v>
      </c>
      <c r="CK404" s="1974">
        <v>0</v>
      </c>
      <c r="CL404" s="1974">
        <v>0</v>
      </c>
      <c r="CM404" s="2033">
        <v>3.7440908747707117E-5</v>
      </c>
      <c r="CN404" s="2026">
        <v>3.5648617180175895E-4</v>
      </c>
      <c r="CO404" s="1974">
        <v>0</v>
      </c>
      <c r="CP404" s="2031">
        <v>0</v>
      </c>
      <c r="CQ404" s="2031">
        <f t="shared" si="215"/>
        <v>0</v>
      </c>
      <c r="CR404" s="2026">
        <v>1</v>
      </c>
      <c r="CS404" s="2026">
        <v>1</v>
      </c>
      <c r="CT404" s="2026">
        <v>1</v>
      </c>
      <c r="CU404" s="2026">
        <v>1</v>
      </c>
      <c r="CV404" s="2036"/>
      <c r="CW404" s="2036"/>
      <c r="CX404" s="2036"/>
      <c r="CY404" s="2036"/>
      <c r="CZ404" s="2036"/>
      <c r="DA404" s="2036"/>
      <c r="DB404" s="1973">
        <v>1</v>
      </c>
    </row>
    <row r="405" spans="1:106" x14ac:dyDescent="0.25">
      <c r="A405" s="2278" t="str">
        <f>IF(A163="","",A163)</f>
        <v>Combination Oven - Electric</v>
      </c>
      <c r="B405" s="1974" t="str">
        <f>IF(B163="","",B163)</f>
        <v/>
      </c>
      <c r="C405" s="2027">
        <v>12</v>
      </c>
      <c r="D405" s="2027"/>
      <c r="E405" s="2144">
        <v>6368</v>
      </c>
      <c r="F405" s="2144"/>
      <c r="G405" s="2145">
        <v>0.74</v>
      </c>
      <c r="H405" s="2145"/>
      <c r="I405" s="2027">
        <v>0</v>
      </c>
      <c r="J405" s="2027"/>
      <c r="K405" s="1974" t="s">
        <v>2988</v>
      </c>
      <c r="L405" s="1974" t="s">
        <v>2988</v>
      </c>
      <c r="M405" s="2026">
        <v>0.9</v>
      </c>
      <c r="N405" s="2026">
        <v>0.9</v>
      </c>
      <c r="O405" s="2026">
        <v>0.9</v>
      </c>
      <c r="P405" s="2026">
        <v>0.9</v>
      </c>
      <c r="Q405" s="2027">
        <f t="shared" si="217"/>
        <v>5731.2</v>
      </c>
      <c r="R405" s="2027">
        <f t="shared" si="217"/>
        <v>5731.2</v>
      </c>
      <c r="S405" s="2027">
        <f t="shared" si="217"/>
        <v>5731.2</v>
      </c>
      <c r="T405" s="2027">
        <f t="shared" si="217"/>
        <v>5731.2</v>
      </c>
      <c r="U405" s="2026">
        <v>0.9</v>
      </c>
      <c r="V405" s="2026">
        <v>0.9</v>
      </c>
      <c r="W405" s="2026">
        <v>0.9</v>
      </c>
      <c r="X405" s="2026">
        <v>0.9</v>
      </c>
      <c r="Y405" s="2028">
        <f t="shared" si="218"/>
        <v>0.66600000000000004</v>
      </c>
      <c r="Z405" s="2028">
        <f t="shared" si="218"/>
        <v>0.66600000000000004</v>
      </c>
      <c r="AA405" s="2028">
        <f t="shared" si="218"/>
        <v>0.66600000000000004</v>
      </c>
      <c r="AB405" s="2028">
        <f t="shared" si="218"/>
        <v>0.66600000000000004</v>
      </c>
      <c r="AC405" s="2026">
        <v>0.9</v>
      </c>
      <c r="AD405" s="2026">
        <v>0.9</v>
      </c>
      <c r="AE405" s="2026">
        <v>0.9</v>
      </c>
      <c r="AF405" s="2026">
        <v>0.9</v>
      </c>
      <c r="AG405" s="2027">
        <f t="shared" si="219"/>
        <v>0</v>
      </c>
      <c r="AH405" s="2027">
        <f t="shared" si="219"/>
        <v>0</v>
      </c>
      <c r="AI405" s="2027">
        <f t="shared" si="219"/>
        <v>0</v>
      </c>
      <c r="AJ405" s="2027">
        <f t="shared" si="219"/>
        <v>0</v>
      </c>
      <c r="AK405" s="2027">
        <v>0</v>
      </c>
      <c r="AL405" s="2028">
        <v>1</v>
      </c>
      <c r="AM405" s="2028"/>
      <c r="AN405" s="2028"/>
      <c r="AO405" s="2027">
        <f t="shared" si="206"/>
        <v>0</v>
      </c>
      <c r="AP405" s="2027">
        <f t="shared" si="207"/>
        <v>5731.2</v>
      </c>
      <c r="AQ405" s="2027">
        <f t="shared" si="207"/>
        <v>0</v>
      </c>
      <c r="AR405" s="2027" t="s">
        <v>3286</v>
      </c>
      <c r="AS405" s="2027">
        <f t="shared" si="208"/>
        <v>0</v>
      </c>
      <c r="AT405" s="2027">
        <f t="shared" si="209"/>
        <v>0</v>
      </c>
      <c r="AU405" s="2027">
        <f t="shared" si="210"/>
        <v>0</v>
      </c>
      <c r="AV405" s="2027">
        <f t="shared" si="210"/>
        <v>0</v>
      </c>
      <c r="AW405" s="2027">
        <f t="shared" si="210"/>
        <v>0</v>
      </c>
      <c r="AX405" s="2124">
        <v>300</v>
      </c>
      <c r="AY405" s="2029">
        <v>300</v>
      </c>
      <c r="AZ405" s="2029">
        <v>300</v>
      </c>
      <c r="BA405" s="2029">
        <v>300</v>
      </c>
      <c r="BB405" s="2124">
        <v>0</v>
      </c>
      <c r="BC405" s="2029">
        <v>0</v>
      </c>
      <c r="BD405" s="2029">
        <v>0</v>
      </c>
      <c r="BE405" s="2029">
        <v>0</v>
      </c>
      <c r="BF405" s="2124">
        <v>1000</v>
      </c>
      <c r="BG405" s="2029">
        <v>1000</v>
      </c>
      <c r="BH405" s="2029">
        <v>1000</v>
      </c>
      <c r="BI405" s="2029">
        <v>1000</v>
      </c>
      <c r="BJ405" s="2030">
        <f t="shared" si="211"/>
        <v>0</v>
      </c>
      <c r="BK405" s="2030">
        <f t="shared" si="211"/>
        <v>300</v>
      </c>
      <c r="BL405" s="2030">
        <f t="shared" si="211"/>
        <v>0</v>
      </c>
      <c r="BM405" s="2030" t="s">
        <v>3286</v>
      </c>
      <c r="BN405" s="2030">
        <f t="shared" si="212"/>
        <v>0</v>
      </c>
      <c r="BO405" s="2030">
        <f t="shared" si="213"/>
        <v>0</v>
      </c>
      <c r="BP405" s="2030" t="s">
        <v>3286</v>
      </c>
      <c r="BQ405" s="2030">
        <f t="shared" si="214"/>
        <v>0</v>
      </c>
      <c r="BR405" s="2030">
        <f t="shared" si="214"/>
        <v>0</v>
      </c>
      <c r="BS405" s="2030">
        <f t="shared" si="214"/>
        <v>0</v>
      </c>
      <c r="BT405" s="2125"/>
      <c r="BU405" s="2125"/>
      <c r="BV405" s="2125"/>
      <c r="BW405" s="2125"/>
      <c r="BX405" s="2125"/>
      <c r="BY405" s="2125"/>
      <c r="BZ405" s="2125"/>
      <c r="CA405" s="2125"/>
      <c r="CB405" s="2029"/>
      <c r="CC405" s="2029"/>
      <c r="CD405" s="2029"/>
      <c r="CE405" s="2029"/>
      <c r="CF405" s="2029"/>
      <c r="CG405" s="2032"/>
      <c r="CH405" s="1974">
        <v>0</v>
      </c>
      <c r="CI405" s="1974">
        <v>0</v>
      </c>
      <c r="CJ405" s="1974">
        <v>0</v>
      </c>
      <c r="CK405" s="1974">
        <v>0</v>
      </c>
      <c r="CL405" s="1974">
        <v>0</v>
      </c>
      <c r="CM405" s="2033">
        <v>0</v>
      </c>
      <c r="CN405" s="2026">
        <v>0</v>
      </c>
      <c r="CO405" s="1974">
        <v>0</v>
      </c>
      <c r="CP405" s="2031">
        <v>0</v>
      </c>
      <c r="CQ405" s="2031">
        <f t="shared" si="215"/>
        <v>0</v>
      </c>
      <c r="CR405" s="2026">
        <v>1</v>
      </c>
      <c r="CS405" s="2026">
        <v>1</v>
      </c>
      <c r="CT405" s="2026">
        <v>1</v>
      </c>
      <c r="CU405" s="2026">
        <v>1</v>
      </c>
      <c r="CV405" s="2036"/>
      <c r="CW405" s="2036"/>
      <c r="CX405" s="2036"/>
      <c r="CY405" s="2036"/>
      <c r="CZ405" s="2036"/>
      <c r="DA405" s="2036"/>
      <c r="DB405" s="1973">
        <v>1</v>
      </c>
    </row>
    <row r="406" spans="1:106" x14ac:dyDescent="0.25">
      <c r="A406" s="2278" t="str">
        <f>IF(A166="","",A166)</f>
        <v>Unitary HVAC Condensing Furnace</v>
      </c>
      <c r="B406" s="1974" t="str">
        <f>IF(B166="","",B166)</f>
        <v/>
      </c>
      <c r="C406" s="2027">
        <v>15</v>
      </c>
      <c r="D406" s="2027"/>
      <c r="E406" s="2144">
        <v>-1388</v>
      </c>
      <c r="F406" s="2144"/>
      <c r="G406" s="2145">
        <v>-0.22</v>
      </c>
      <c r="H406" s="2145"/>
      <c r="I406" s="2027">
        <v>1788</v>
      </c>
      <c r="J406" s="2027"/>
      <c r="K406" s="1974" t="s">
        <v>2988</v>
      </c>
      <c r="L406" s="1974" t="s">
        <v>2988</v>
      </c>
      <c r="M406" s="2026">
        <v>0.9</v>
      </c>
      <c r="N406" s="2026">
        <v>0.9</v>
      </c>
      <c r="O406" s="2026">
        <v>0.9</v>
      </c>
      <c r="P406" s="2026">
        <v>0.9</v>
      </c>
      <c r="Q406" s="2027">
        <f t="shared" si="217"/>
        <v>-1249.2</v>
      </c>
      <c r="R406" s="2027">
        <f t="shared" si="217"/>
        <v>-1249.2</v>
      </c>
      <c r="S406" s="2027">
        <f t="shared" si="217"/>
        <v>-1249.2</v>
      </c>
      <c r="T406" s="2027">
        <f t="shared" si="217"/>
        <v>-1249.2</v>
      </c>
      <c r="U406" s="2026">
        <v>0.9</v>
      </c>
      <c r="V406" s="2026">
        <v>0.9</v>
      </c>
      <c r="W406" s="2026">
        <v>0.9</v>
      </c>
      <c r="X406" s="2026">
        <v>0.9</v>
      </c>
      <c r="Y406" s="2028">
        <f t="shared" si="218"/>
        <v>-0.19800000000000001</v>
      </c>
      <c r="Z406" s="2028">
        <f t="shared" si="218"/>
        <v>-0.19800000000000001</v>
      </c>
      <c r="AA406" s="2028">
        <f t="shared" si="218"/>
        <v>-0.19800000000000001</v>
      </c>
      <c r="AB406" s="2028">
        <f t="shared" si="218"/>
        <v>-0.19800000000000001</v>
      </c>
      <c r="AC406" s="2026">
        <v>0.9</v>
      </c>
      <c r="AD406" s="2026">
        <v>0.9</v>
      </c>
      <c r="AE406" s="2026">
        <v>0.9</v>
      </c>
      <c r="AF406" s="2026">
        <v>0.9</v>
      </c>
      <c r="AG406" s="2027">
        <f t="shared" si="219"/>
        <v>1609.2</v>
      </c>
      <c r="AH406" s="2027">
        <f t="shared" si="219"/>
        <v>1609.2</v>
      </c>
      <c r="AI406" s="2027">
        <f t="shared" si="219"/>
        <v>1609.2</v>
      </c>
      <c r="AJ406" s="2027">
        <f t="shared" si="219"/>
        <v>1609.2</v>
      </c>
      <c r="AK406" s="2027">
        <v>14</v>
      </c>
      <c r="AL406" s="2028">
        <v>14</v>
      </c>
      <c r="AM406" s="2028">
        <v>18</v>
      </c>
      <c r="AN406" s="2028">
        <v>23</v>
      </c>
      <c r="AO406" s="2027">
        <f t="shared" si="206"/>
        <v>-17488.8</v>
      </c>
      <c r="AP406" s="2027">
        <f t="shared" si="207"/>
        <v>-17488.8</v>
      </c>
      <c r="AQ406" s="2027">
        <f t="shared" si="207"/>
        <v>-22485.600000000002</v>
      </c>
      <c r="AR406" s="2027" t="s">
        <v>3283</v>
      </c>
      <c r="AS406" s="2027">
        <f t="shared" si="208"/>
        <v>-28731.600000000002</v>
      </c>
      <c r="AT406" s="2027">
        <f t="shared" si="209"/>
        <v>22528.799999999999</v>
      </c>
      <c r="AU406" s="2027">
        <f t="shared" si="210"/>
        <v>22528.799999999999</v>
      </c>
      <c r="AV406" s="2027">
        <f t="shared" si="210"/>
        <v>28965.600000000002</v>
      </c>
      <c r="AW406" s="2027">
        <f t="shared" si="210"/>
        <v>37011.599999999999</v>
      </c>
      <c r="AX406" s="2124">
        <v>0</v>
      </c>
      <c r="AY406" s="2029">
        <v>0</v>
      </c>
      <c r="AZ406" s="2029">
        <v>0</v>
      </c>
      <c r="BA406" s="2029">
        <v>0</v>
      </c>
      <c r="BB406" s="2124">
        <v>2500</v>
      </c>
      <c r="BC406" s="2029">
        <v>2500</v>
      </c>
      <c r="BD406" s="2029">
        <v>2500</v>
      </c>
      <c r="BE406" s="2029">
        <v>2500</v>
      </c>
      <c r="BF406" s="2124">
        <v>2710</v>
      </c>
      <c r="BG406" s="2029">
        <v>2710</v>
      </c>
      <c r="BH406" s="2029">
        <v>2710</v>
      </c>
      <c r="BI406" s="2029">
        <v>2710</v>
      </c>
      <c r="BJ406" s="2030">
        <f t="shared" si="211"/>
        <v>0</v>
      </c>
      <c r="BK406" s="2030">
        <f t="shared" si="211"/>
        <v>0</v>
      </c>
      <c r="BL406" s="2030">
        <f t="shared" si="211"/>
        <v>0</v>
      </c>
      <c r="BM406" s="2030" t="s">
        <v>3286</v>
      </c>
      <c r="BN406" s="2030">
        <f t="shared" si="212"/>
        <v>0</v>
      </c>
      <c r="BO406" s="2030">
        <f t="shared" si="213"/>
        <v>35000</v>
      </c>
      <c r="BP406" s="2030" t="s">
        <v>3286</v>
      </c>
      <c r="BQ406" s="2030">
        <f t="shared" si="214"/>
        <v>35000</v>
      </c>
      <c r="BR406" s="2030">
        <f t="shared" si="214"/>
        <v>45000</v>
      </c>
      <c r="BS406" s="2030">
        <f t="shared" si="214"/>
        <v>57500</v>
      </c>
      <c r="BT406" s="2125"/>
      <c r="BU406" s="2125"/>
      <c r="BV406" s="2125"/>
      <c r="BW406" s="2125"/>
      <c r="BX406" s="2125"/>
      <c r="BY406" s="2125"/>
      <c r="BZ406" s="2125"/>
      <c r="CA406" s="2125"/>
      <c r="CB406" s="2029"/>
      <c r="CC406" s="2029"/>
      <c r="CD406" s="2029"/>
      <c r="CE406" s="2029"/>
      <c r="CF406" s="2029"/>
      <c r="CG406" s="2032"/>
      <c r="CH406" s="1974">
        <v>0</v>
      </c>
      <c r="CI406" s="1974">
        <v>0</v>
      </c>
      <c r="CJ406" s="1974">
        <v>0</v>
      </c>
      <c r="CK406" s="1974">
        <v>0</v>
      </c>
      <c r="CL406" s="1974">
        <v>0</v>
      </c>
      <c r="CM406" s="2033">
        <v>-4.1842174993411821E-5</v>
      </c>
      <c r="CN406" s="2026">
        <v>5.1835329431561038E-3</v>
      </c>
      <c r="CO406" s="1974">
        <v>1</v>
      </c>
      <c r="CP406" s="2031">
        <v>25</v>
      </c>
      <c r="CQ406" s="2031">
        <f t="shared" si="215"/>
        <v>-25</v>
      </c>
      <c r="CR406" s="2026">
        <v>1</v>
      </c>
      <c r="CS406" s="2026">
        <v>1</v>
      </c>
      <c r="CT406" s="2026">
        <v>1</v>
      </c>
      <c r="CU406" s="2026">
        <v>1</v>
      </c>
      <c r="CV406" s="2036"/>
      <c r="CW406" s="2036"/>
      <c r="CX406" s="2036"/>
      <c r="CY406" s="2036"/>
      <c r="CZ406" s="2036"/>
      <c r="DA406" s="2036"/>
      <c r="DB406" s="1973">
        <v>1</v>
      </c>
    </row>
    <row r="407" spans="1:106" x14ac:dyDescent="0.25">
      <c r="A407" s="2277" t="str">
        <f>IF(A167="","",A167)</f>
        <v>Modulated Commercial Gas Clothes Dryer</v>
      </c>
      <c r="B407" s="1974" t="str">
        <f>IF(B167="","",B167)</f>
        <v/>
      </c>
      <c r="C407" s="2027">
        <v>14</v>
      </c>
      <c r="D407" s="2027"/>
      <c r="E407" s="2144">
        <v>0</v>
      </c>
      <c r="F407" s="2144"/>
      <c r="G407" s="2145">
        <v>0</v>
      </c>
      <c r="H407" s="2145"/>
      <c r="I407" s="2027">
        <v>405</v>
      </c>
      <c r="J407" s="2027"/>
      <c r="K407" s="1974" t="s">
        <v>2988</v>
      </c>
      <c r="L407" s="1974" t="s">
        <v>2988</v>
      </c>
      <c r="M407" s="2026">
        <v>0.9</v>
      </c>
      <c r="N407" s="2026">
        <v>0.9</v>
      </c>
      <c r="O407" s="2026">
        <v>0.9</v>
      </c>
      <c r="P407" s="2026">
        <v>0.9</v>
      </c>
      <c r="Q407" s="2027">
        <f t="shared" si="217"/>
        <v>0</v>
      </c>
      <c r="R407" s="2027">
        <f t="shared" si="217"/>
        <v>0</v>
      </c>
      <c r="S407" s="2027">
        <f t="shared" si="217"/>
        <v>0</v>
      </c>
      <c r="T407" s="2027">
        <f t="shared" si="217"/>
        <v>0</v>
      </c>
      <c r="U407" s="2026">
        <v>0.9</v>
      </c>
      <c r="V407" s="2026">
        <v>0.9</v>
      </c>
      <c r="W407" s="2026">
        <v>0.9</v>
      </c>
      <c r="X407" s="2026">
        <v>0.9</v>
      </c>
      <c r="Y407" s="2028">
        <f t="shared" si="218"/>
        <v>0</v>
      </c>
      <c r="Z407" s="2028">
        <f t="shared" si="218"/>
        <v>0</v>
      </c>
      <c r="AA407" s="2028">
        <f t="shared" si="218"/>
        <v>0</v>
      </c>
      <c r="AB407" s="2028">
        <f t="shared" si="218"/>
        <v>0</v>
      </c>
      <c r="AC407" s="2026">
        <v>0.9</v>
      </c>
      <c r="AD407" s="2026">
        <v>0.9</v>
      </c>
      <c r="AE407" s="2026">
        <v>0.9</v>
      </c>
      <c r="AF407" s="2026">
        <v>0.9</v>
      </c>
      <c r="AG407" s="2027">
        <f t="shared" si="219"/>
        <v>364.5</v>
      </c>
      <c r="AH407" s="2027">
        <f t="shared" si="219"/>
        <v>364.5</v>
      </c>
      <c r="AI407" s="2027">
        <f t="shared" si="219"/>
        <v>364.5</v>
      </c>
      <c r="AJ407" s="2027">
        <f t="shared" si="219"/>
        <v>364.5</v>
      </c>
      <c r="AK407" s="2027">
        <v>2</v>
      </c>
      <c r="AL407" s="2028">
        <v>2</v>
      </c>
      <c r="AM407" s="2028">
        <v>3</v>
      </c>
      <c r="AN407" s="2028">
        <v>2</v>
      </c>
      <c r="AO407" s="2027">
        <f t="shared" si="206"/>
        <v>0</v>
      </c>
      <c r="AP407" s="2027">
        <f t="shared" si="207"/>
        <v>0</v>
      </c>
      <c r="AQ407" s="2027">
        <f t="shared" si="207"/>
        <v>0</v>
      </c>
      <c r="AR407" s="2027" t="s">
        <v>3286</v>
      </c>
      <c r="AS407" s="2027">
        <f t="shared" si="208"/>
        <v>0</v>
      </c>
      <c r="AT407" s="2027">
        <f t="shared" si="209"/>
        <v>729</v>
      </c>
      <c r="AU407" s="2027">
        <f t="shared" si="210"/>
        <v>729</v>
      </c>
      <c r="AV407" s="2027">
        <f t="shared" si="210"/>
        <v>1093.5</v>
      </c>
      <c r="AW407" s="2027">
        <f t="shared" si="210"/>
        <v>729</v>
      </c>
      <c r="AX407" s="2124">
        <v>0</v>
      </c>
      <c r="AY407" s="2029">
        <v>0</v>
      </c>
      <c r="AZ407" s="2029">
        <v>0</v>
      </c>
      <c r="BA407" s="2029">
        <v>0</v>
      </c>
      <c r="BB407" s="2124">
        <v>975</v>
      </c>
      <c r="BC407" s="2029">
        <v>975</v>
      </c>
      <c r="BD407" s="2029">
        <v>975</v>
      </c>
      <c r="BE407" s="2029">
        <v>975</v>
      </c>
      <c r="BF407" s="2124">
        <v>700</v>
      </c>
      <c r="BG407" s="2029">
        <v>700</v>
      </c>
      <c r="BH407" s="2029">
        <v>700</v>
      </c>
      <c r="BI407" s="2029">
        <v>700</v>
      </c>
      <c r="BJ407" s="2030">
        <f t="shared" si="211"/>
        <v>0</v>
      </c>
      <c r="BK407" s="2030">
        <f t="shared" si="211"/>
        <v>0</v>
      </c>
      <c r="BL407" s="2030">
        <f t="shared" si="211"/>
        <v>0</v>
      </c>
      <c r="BM407" s="2030" t="s">
        <v>3286</v>
      </c>
      <c r="BN407" s="2030">
        <f t="shared" si="212"/>
        <v>0</v>
      </c>
      <c r="BO407" s="2030">
        <f t="shared" si="213"/>
        <v>1950</v>
      </c>
      <c r="BP407" s="2030" t="s">
        <v>3286</v>
      </c>
      <c r="BQ407" s="2030">
        <f t="shared" si="214"/>
        <v>1950</v>
      </c>
      <c r="BR407" s="2030">
        <f t="shared" si="214"/>
        <v>2925</v>
      </c>
      <c r="BS407" s="2030">
        <f t="shared" si="214"/>
        <v>1950</v>
      </c>
      <c r="BT407" s="2125"/>
      <c r="BU407" s="2125"/>
      <c r="BV407" s="2125"/>
      <c r="BW407" s="2125"/>
      <c r="BX407" s="2125"/>
      <c r="BY407" s="2125"/>
      <c r="BZ407" s="2125"/>
      <c r="CA407" s="2125"/>
      <c r="CB407" s="2029"/>
      <c r="CC407" s="2029"/>
      <c r="CD407" s="2029"/>
      <c r="CE407" s="2029"/>
      <c r="CF407" s="2029"/>
      <c r="CG407" s="2032"/>
      <c r="CH407" s="1974">
        <v>0</v>
      </c>
      <c r="CI407" s="1974">
        <v>0</v>
      </c>
      <c r="CJ407" s="1974">
        <v>0</v>
      </c>
      <c r="CK407" s="1974">
        <v>0</v>
      </c>
      <c r="CL407" s="1974">
        <v>0</v>
      </c>
      <c r="CM407" s="2033">
        <v>0</v>
      </c>
      <c r="CN407" s="2026">
        <v>2.3482447896848124E-4</v>
      </c>
      <c r="CO407" s="1974">
        <v>0</v>
      </c>
      <c r="CP407" s="2031">
        <v>0</v>
      </c>
      <c r="CQ407" s="2031">
        <f t="shared" si="215"/>
        <v>0</v>
      </c>
      <c r="CR407" s="2026">
        <v>1</v>
      </c>
      <c r="CS407" s="2026">
        <v>1</v>
      </c>
      <c r="CT407" s="2026">
        <v>1</v>
      </c>
      <c r="CU407" s="2026">
        <v>1</v>
      </c>
      <c r="CV407" s="2036"/>
      <c r="CW407" s="2036"/>
      <c r="CX407" s="2036"/>
      <c r="CY407" s="2036"/>
      <c r="CZ407" s="2036"/>
      <c r="DA407" s="2036"/>
      <c r="DB407" s="1973">
        <v>1</v>
      </c>
    </row>
    <row r="408" spans="1:106" x14ac:dyDescent="0.25">
      <c r="A408" s="2278" t="str">
        <f>IF(A183="","",A183)</f>
        <v>Gas Boiler Tune-Up</v>
      </c>
      <c r="B408" s="1974" t="str">
        <f>IF(B183="","",B183)</f>
        <v>BPH1</v>
      </c>
      <c r="C408" s="2027">
        <v>3</v>
      </c>
      <c r="D408" s="2027"/>
      <c r="E408" s="2144">
        <v>0</v>
      </c>
      <c r="F408" s="2144"/>
      <c r="G408" s="2145">
        <v>0</v>
      </c>
      <c r="H408" s="2145"/>
      <c r="I408" s="2027">
        <v>1596.992328311999</v>
      </c>
      <c r="J408" s="2027"/>
      <c r="K408" s="1974" t="s">
        <v>2988</v>
      </c>
      <c r="L408" s="1974" t="s">
        <v>2988</v>
      </c>
      <c r="M408" s="2026">
        <v>0.9</v>
      </c>
      <c r="N408" s="2026">
        <v>0.9</v>
      </c>
      <c r="O408" s="2026">
        <v>0.9</v>
      </c>
      <c r="P408" s="2026">
        <v>0.9</v>
      </c>
      <c r="Q408" s="2027">
        <f t="shared" si="217"/>
        <v>0</v>
      </c>
      <c r="R408" s="2027">
        <f t="shared" si="217"/>
        <v>0</v>
      </c>
      <c r="S408" s="2027">
        <f t="shared" si="217"/>
        <v>0</v>
      </c>
      <c r="T408" s="2027">
        <f t="shared" si="217"/>
        <v>0</v>
      </c>
      <c r="U408" s="2026">
        <v>0.9</v>
      </c>
      <c r="V408" s="2026">
        <v>0.9</v>
      </c>
      <c r="W408" s="2026">
        <v>0.9</v>
      </c>
      <c r="X408" s="2026">
        <v>0.9</v>
      </c>
      <c r="Y408" s="2028">
        <f t="shared" si="218"/>
        <v>0</v>
      </c>
      <c r="Z408" s="2028">
        <f t="shared" si="218"/>
        <v>0</v>
      </c>
      <c r="AA408" s="2028">
        <f t="shared" si="218"/>
        <v>0</v>
      </c>
      <c r="AB408" s="2028">
        <f t="shared" si="218"/>
        <v>0</v>
      </c>
      <c r="AC408" s="2026">
        <v>0.9</v>
      </c>
      <c r="AD408" s="2026">
        <v>0.9</v>
      </c>
      <c r="AE408" s="2026">
        <v>0.9</v>
      </c>
      <c r="AF408" s="2026">
        <v>0.9</v>
      </c>
      <c r="AG408" s="2027">
        <f t="shared" si="219"/>
        <v>1437.2930954807991</v>
      </c>
      <c r="AH408" s="2027">
        <f t="shared" si="219"/>
        <v>1437.2930954807991</v>
      </c>
      <c r="AI408" s="2027">
        <f t="shared" si="219"/>
        <v>1437.2930954807991</v>
      </c>
      <c r="AJ408" s="2027">
        <f t="shared" si="219"/>
        <v>1437.2930954807991</v>
      </c>
      <c r="AK408" s="2027">
        <v>30</v>
      </c>
      <c r="AL408" s="2027">
        <v>28</v>
      </c>
      <c r="AM408" s="2027">
        <v>30</v>
      </c>
      <c r="AN408" s="2027">
        <v>30</v>
      </c>
      <c r="AO408" s="2027">
        <f t="shared" si="206"/>
        <v>0</v>
      </c>
      <c r="AP408" s="2027">
        <f t="shared" si="207"/>
        <v>0</v>
      </c>
      <c r="AQ408" s="2027">
        <f t="shared" si="207"/>
        <v>0</v>
      </c>
      <c r="AR408" s="2027" t="s">
        <v>3286</v>
      </c>
      <c r="AS408" s="2027">
        <f t="shared" si="208"/>
        <v>0</v>
      </c>
      <c r="AT408" s="2027">
        <f t="shared" si="209"/>
        <v>43118.792864423973</v>
      </c>
      <c r="AU408" s="2027">
        <f t="shared" si="210"/>
        <v>40244.206673462373</v>
      </c>
      <c r="AV408" s="2027">
        <f t="shared" si="210"/>
        <v>43118.792864423973</v>
      </c>
      <c r="AW408" s="2027">
        <f t="shared" si="210"/>
        <v>43118.792864423973</v>
      </c>
      <c r="AX408" s="2124">
        <v>0</v>
      </c>
      <c r="AY408" s="2029">
        <v>0</v>
      </c>
      <c r="AZ408" s="2029">
        <v>0</v>
      </c>
      <c r="BA408" s="2029">
        <v>0</v>
      </c>
      <c r="BB408" s="2124">
        <v>873.81692307692299</v>
      </c>
      <c r="BC408" s="2029">
        <v>873.81692307692299</v>
      </c>
      <c r="BD408" s="2029">
        <v>873.81692307692299</v>
      </c>
      <c r="BE408" s="2029">
        <v>873.81692307692299</v>
      </c>
      <c r="BF408" s="2124">
        <v>604.39003846153832</v>
      </c>
      <c r="BG408" s="2029">
        <v>604.39003846153832</v>
      </c>
      <c r="BH408" s="2029">
        <v>604.39003846153832</v>
      </c>
      <c r="BI408" s="2029">
        <v>604.39003846153832</v>
      </c>
      <c r="BJ408" s="2030">
        <f t="shared" si="211"/>
        <v>0</v>
      </c>
      <c r="BK408" s="2030">
        <f t="shared" si="211"/>
        <v>0</v>
      </c>
      <c r="BL408" s="2030">
        <f t="shared" si="211"/>
        <v>0</v>
      </c>
      <c r="BM408" s="2030" t="s">
        <v>3286</v>
      </c>
      <c r="BN408" s="2030">
        <f t="shared" si="212"/>
        <v>0</v>
      </c>
      <c r="BO408" s="2030">
        <f t="shared" si="213"/>
        <v>26214.507692307689</v>
      </c>
      <c r="BP408" s="2030" t="s">
        <v>3286</v>
      </c>
      <c r="BQ408" s="2030">
        <f t="shared" si="214"/>
        <v>24466.873846153845</v>
      </c>
      <c r="BR408" s="2030">
        <f t="shared" si="214"/>
        <v>26214.507692307689</v>
      </c>
      <c r="BS408" s="2030">
        <f t="shared" si="214"/>
        <v>26214.507692307689</v>
      </c>
      <c r="BT408" s="2125"/>
      <c r="BU408" s="2125"/>
      <c r="BV408" s="2125"/>
      <c r="BW408" s="2125"/>
      <c r="BX408" s="2125"/>
      <c r="BY408" s="2125"/>
      <c r="BZ408" s="2125"/>
      <c r="CA408" s="2125"/>
      <c r="CB408" s="2029"/>
      <c r="CC408" s="2029"/>
      <c r="CD408" s="2029"/>
      <c r="CE408" s="2029"/>
      <c r="CF408" s="2029"/>
      <c r="CG408" s="2032"/>
      <c r="CH408" s="1974">
        <v>0</v>
      </c>
      <c r="CI408" s="1974">
        <v>0</v>
      </c>
      <c r="CJ408" s="1974">
        <v>0</v>
      </c>
      <c r="CK408" s="1974">
        <v>0</v>
      </c>
      <c r="CL408" s="1974">
        <v>0</v>
      </c>
      <c r="CM408" s="2033">
        <v>0</v>
      </c>
      <c r="CN408" s="2026">
        <v>1.1574471957176756E-2</v>
      </c>
      <c r="CO408" s="1974">
        <v>0</v>
      </c>
      <c r="CP408" s="2031">
        <v>0</v>
      </c>
      <c r="CQ408" s="2031">
        <f t="shared" si="215"/>
        <v>0</v>
      </c>
      <c r="CR408" s="2026">
        <v>1</v>
      </c>
      <c r="CS408" s="2026">
        <v>1</v>
      </c>
      <c r="CT408" s="2026">
        <v>1</v>
      </c>
      <c r="CU408" s="2026">
        <v>1</v>
      </c>
      <c r="CV408" s="2036"/>
      <c r="CW408" s="2036"/>
      <c r="CX408" s="2036"/>
      <c r="CY408" s="2036"/>
      <c r="CZ408" s="2036"/>
      <c r="DA408" s="2036"/>
      <c r="DB408" s="1973">
        <v>1</v>
      </c>
    </row>
    <row r="409" spans="1:106" x14ac:dyDescent="0.25">
      <c r="A409" s="2278" t="str">
        <f>IF(A185="","",A185)</f>
        <v>Gas Boiler Replacement (Thermal Eff 90%)</v>
      </c>
      <c r="B409" s="1974" t="str">
        <f>IF(B185="","",B185)</f>
        <v>BPH4</v>
      </c>
      <c r="C409" s="2027">
        <v>20</v>
      </c>
      <c r="D409" s="2027"/>
      <c r="E409" s="2144">
        <v>0</v>
      </c>
      <c r="F409" s="2144"/>
      <c r="G409" s="2145">
        <v>0</v>
      </c>
      <c r="H409" s="2145"/>
      <c r="I409" s="2027">
        <v>562.26776594947137</v>
      </c>
      <c r="J409" s="2027"/>
      <c r="K409" s="1974" t="s">
        <v>2988</v>
      </c>
      <c r="L409" s="1974" t="s">
        <v>2988</v>
      </c>
      <c r="M409" s="2026">
        <v>0.9</v>
      </c>
      <c r="N409" s="2026">
        <v>0.9</v>
      </c>
      <c r="O409" s="2026">
        <v>0.9</v>
      </c>
      <c r="P409" s="2026">
        <v>0.9</v>
      </c>
      <c r="Q409" s="2027">
        <f t="shared" si="217"/>
        <v>0</v>
      </c>
      <c r="R409" s="2027">
        <f t="shared" si="217"/>
        <v>0</v>
      </c>
      <c r="S409" s="2027">
        <f t="shared" si="217"/>
        <v>0</v>
      </c>
      <c r="T409" s="2027">
        <f t="shared" si="217"/>
        <v>0</v>
      </c>
      <c r="U409" s="2026">
        <v>0.9</v>
      </c>
      <c r="V409" s="2026">
        <v>0.9</v>
      </c>
      <c r="W409" s="2026">
        <v>0.9</v>
      </c>
      <c r="X409" s="2026">
        <v>0.9</v>
      </c>
      <c r="Y409" s="2028">
        <f t="shared" si="218"/>
        <v>0</v>
      </c>
      <c r="Z409" s="2028">
        <f t="shared" si="218"/>
        <v>0</v>
      </c>
      <c r="AA409" s="2028">
        <f t="shared" si="218"/>
        <v>0</v>
      </c>
      <c r="AB409" s="2028">
        <f t="shared" si="218"/>
        <v>0</v>
      </c>
      <c r="AC409" s="2026">
        <v>0.9</v>
      </c>
      <c r="AD409" s="2026">
        <v>0.9</v>
      </c>
      <c r="AE409" s="2026">
        <v>0.9</v>
      </c>
      <c r="AF409" s="2026">
        <v>0.9</v>
      </c>
      <c r="AG409" s="2027">
        <f t="shared" si="219"/>
        <v>506.04098935452424</v>
      </c>
      <c r="AH409" s="2027">
        <f t="shared" si="219"/>
        <v>506.04098935452424</v>
      </c>
      <c r="AI409" s="2027">
        <f t="shared" si="219"/>
        <v>506.04098935452424</v>
      </c>
      <c r="AJ409" s="2027">
        <f t="shared" si="219"/>
        <v>506.04098935452424</v>
      </c>
      <c r="AK409" s="2265">
        <v>20</v>
      </c>
      <c r="AL409" s="2279">
        <v>20</v>
      </c>
      <c r="AM409" s="2279">
        <v>20</v>
      </c>
      <c r="AN409" s="2279">
        <v>20</v>
      </c>
      <c r="AO409" s="2027">
        <f t="shared" si="206"/>
        <v>0</v>
      </c>
      <c r="AP409" s="2027">
        <f t="shared" si="207"/>
        <v>0</v>
      </c>
      <c r="AQ409" s="2027">
        <f t="shared" si="207"/>
        <v>0</v>
      </c>
      <c r="AR409" s="2027" t="s">
        <v>3286</v>
      </c>
      <c r="AS409" s="2027">
        <f t="shared" si="208"/>
        <v>0</v>
      </c>
      <c r="AT409" s="2027">
        <f t="shared" si="209"/>
        <v>10120.819787090484</v>
      </c>
      <c r="AU409" s="2027">
        <f t="shared" si="210"/>
        <v>10120.819787090484</v>
      </c>
      <c r="AV409" s="2027">
        <f t="shared" si="210"/>
        <v>10120.819787090484</v>
      </c>
      <c r="AW409" s="2027">
        <f t="shared" si="210"/>
        <v>10120.819787090484</v>
      </c>
      <c r="AX409" s="2124">
        <v>0</v>
      </c>
      <c r="AY409" s="2029">
        <v>0</v>
      </c>
      <c r="AZ409" s="2029">
        <v>0</v>
      </c>
      <c r="BA409" s="2029">
        <v>0</v>
      </c>
      <c r="BB409" s="2124">
        <v>2200</v>
      </c>
      <c r="BC409" s="2029">
        <v>2200</v>
      </c>
      <c r="BD409" s="2029">
        <v>2200</v>
      </c>
      <c r="BE409" s="2029">
        <v>2200</v>
      </c>
      <c r="BF409" s="2124">
        <v>2400</v>
      </c>
      <c r="BG409" s="2029">
        <v>2400</v>
      </c>
      <c r="BH409" s="2029">
        <v>2400</v>
      </c>
      <c r="BI409" s="2029">
        <v>2400</v>
      </c>
      <c r="BJ409" s="2030">
        <f t="shared" si="211"/>
        <v>0</v>
      </c>
      <c r="BK409" s="2030">
        <f t="shared" si="211"/>
        <v>0</v>
      </c>
      <c r="BL409" s="2030">
        <f t="shared" si="211"/>
        <v>0</v>
      </c>
      <c r="BM409" s="2030" t="s">
        <v>3286</v>
      </c>
      <c r="BN409" s="2030">
        <f t="shared" si="212"/>
        <v>0</v>
      </c>
      <c r="BO409" s="2030">
        <f t="shared" si="213"/>
        <v>44000</v>
      </c>
      <c r="BP409" s="2030" t="s">
        <v>3286</v>
      </c>
      <c r="BQ409" s="2030">
        <f t="shared" si="214"/>
        <v>44000</v>
      </c>
      <c r="BR409" s="2030">
        <f t="shared" si="214"/>
        <v>44000</v>
      </c>
      <c r="BS409" s="2030">
        <f t="shared" si="214"/>
        <v>44000</v>
      </c>
      <c r="BT409" s="2125"/>
      <c r="BU409" s="2125"/>
      <c r="BV409" s="2125"/>
      <c r="BW409" s="2125"/>
      <c r="BX409" s="2125"/>
      <c r="BY409" s="2125"/>
      <c r="BZ409" s="2125"/>
      <c r="CA409" s="2125"/>
      <c r="CB409" s="2029"/>
      <c r="CC409" s="2029"/>
      <c r="CD409" s="2029"/>
      <c r="CE409" s="2029"/>
      <c r="CF409" s="2029"/>
      <c r="CG409" s="2032"/>
      <c r="CH409" s="1974">
        <v>0</v>
      </c>
      <c r="CI409" s="1974">
        <v>0</v>
      </c>
      <c r="CJ409" s="1974">
        <v>0</v>
      </c>
      <c r="CK409" s="1974">
        <v>0</v>
      </c>
      <c r="CL409" s="1974">
        <v>0</v>
      </c>
      <c r="CM409" s="2033">
        <v>0</v>
      </c>
      <c r="CN409" s="2026">
        <v>1.9560627434052824E-3</v>
      </c>
      <c r="CO409" s="1974">
        <v>0</v>
      </c>
      <c r="CP409" s="2031">
        <v>0</v>
      </c>
      <c r="CQ409" s="2031">
        <f t="shared" si="215"/>
        <v>0</v>
      </c>
      <c r="CR409" s="2026">
        <v>1</v>
      </c>
      <c r="CS409" s="2026">
        <v>1</v>
      </c>
      <c r="CT409" s="2026">
        <v>1</v>
      </c>
      <c r="CU409" s="2026">
        <v>1</v>
      </c>
      <c r="CV409" s="2036"/>
      <c r="CW409" s="2036"/>
      <c r="CX409" s="2036"/>
      <c r="CY409" s="2036"/>
      <c r="CZ409" s="2036"/>
      <c r="DA409" s="2036"/>
      <c r="DB409" s="1973">
        <v>1</v>
      </c>
    </row>
    <row r="410" spans="1:106" x14ac:dyDescent="0.25">
      <c r="A410" s="2278" t="str">
        <f t="shared" ref="A410:B421" si="221">IF(A187="","",A187)</f>
        <v>Gas Furnace Replacement (94% AFUE)</v>
      </c>
      <c r="B410" s="1974" t="str">
        <f t="shared" si="221"/>
        <v>BPH7</v>
      </c>
      <c r="C410" s="2027">
        <v>16.5</v>
      </c>
      <c r="D410" s="2027"/>
      <c r="E410" s="2144">
        <v>710</v>
      </c>
      <c r="F410" s="2144"/>
      <c r="G410" s="2145">
        <v>3.8899999999999997E-2</v>
      </c>
      <c r="H410" s="2145"/>
      <c r="I410" s="2027">
        <v>213.1</v>
      </c>
      <c r="J410" s="2027"/>
      <c r="K410" s="1974" t="s">
        <v>2988</v>
      </c>
      <c r="L410" s="1974" t="s">
        <v>2988</v>
      </c>
      <c r="M410" s="2026">
        <v>0.9</v>
      </c>
      <c r="N410" s="2026">
        <v>0.9</v>
      </c>
      <c r="O410" s="2026">
        <v>0.9</v>
      </c>
      <c r="P410" s="2026">
        <v>0.9</v>
      </c>
      <c r="Q410" s="2027">
        <f t="shared" si="217"/>
        <v>639</v>
      </c>
      <c r="R410" s="2027">
        <f t="shared" si="217"/>
        <v>639</v>
      </c>
      <c r="S410" s="2027">
        <f t="shared" si="217"/>
        <v>639</v>
      </c>
      <c r="T410" s="2027">
        <f t="shared" si="217"/>
        <v>639</v>
      </c>
      <c r="U410" s="2026">
        <v>0.9</v>
      </c>
      <c r="V410" s="2026">
        <v>0.9</v>
      </c>
      <c r="W410" s="2026">
        <v>0.9</v>
      </c>
      <c r="X410" s="2026">
        <v>0.9</v>
      </c>
      <c r="Y410" s="2028">
        <f t="shared" si="218"/>
        <v>3.5009999999999999E-2</v>
      </c>
      <c r="Z410" s="2028">
        <f t="shared" si="218"/>
        <v>3.5009999999999999E-2</v>
      </c>
      <c r="AA410" s="2028">
        <f t="shared" si="218"/>
        <v>3.5009999999999999E-2</v>
      </c>
      <c r="AB410" s="2028">
        <f t="shared" si="218"/>
        <v>3.5009999999999999E-2</v>
      </c>
      <c r="AC410" s="2026">
        <v>0.9</v>
      </c>
      <c r="AD410" s="2026">
        <v>0.9</v>
      </c>
      <c r="AE410" s="2026">
        <v>0.9</v>
      </c>
      <c r="AF410" s="2026">
        <v>0.9</v>
      </c>
      <c r="AG410" s="2027">
        <f t="shared" si="219"/>
        <v>191.79</v>
      </c>
      <c r="AH410" s="2027">
        <f t="shared" si="219"/>
        <v>191.79</v>
      </c>
      <c r="AI410" s="2027">
        <f t="shared" si="219"/>
        <v>191.79</v>
      </c>
      <c r="AJ410" s="2027">
        <f t="shared" si="219"/>
        <v>191.79</v>
      </c>
      <c r="AK410" s="2265">
        <v>34</v>
      </c>
      <c r="AL410" s="2265">
        <v>32</v>
      </c>
      <c r="AM410" s="2265">
        <v>32</v>
      </c>
      <c r="AN410" s="2265">
        <v>29</v>
      </c>
      <c r="AO410" s="2027">
        <f t="shared" si="206"/>
        <v>21726</v>
      </c>
      <c r="AP410" s="2027">
        <f t="shared" si="207"/>
        <v>20448</v>
      </c>
      <c r="AQ410" s="2027">
        <f t="shared" si="207"/>
        <v>20448</v>
      </c>
      <c r="AR410" s="2027" t="s">
        <v>3283</v>
      </c>
      <c r="AS410" s="2027">
        <f t="shared" si="208"/>
        <v>18531</v>
      </c>
      <c r="AT410" s="2027">
        <f t="shared" si="209"/>
        <v>6520.86</v>
      </c>
      <c r="AU410" s="2027">
        <f t="shared" si="210"/>
        <v>6137.28</v>
      </c>
      <c r="AV410" s="2027">
        <f t="shared" si="210"/>
        <v>6137.28</v>
      </c>
      <c r="AW410" s="2027">
        <f t="shared" si="210"/>
        <v>5561.91</v>
      </c>
      <c r="AX410" s="2046">
        <v>200</v>
      </c>
      <c r="AY410" s="2046">
        <v>200</v>
      </c>
      <c r="AZ410" s="2046">
        <v>200</v>
      </c>
      <c r="BA410" s="2046">
        <v>200</v>
      </c>
      <c r="BB410" s="2046">
        <v>800</v>
      </c>
      <c r="BC410" s="2046">
        <v>800</v>
      </c>
      <c r="BD410" s="2046">
        <v>800</v>
      </c>
      <c r="BE410" s="2046">
        <v>800</v>
      </c>
      <c r="BF410" s="2124">
        <v>1275</v>
      </c>
      <c r="BG410" s="2029">
        <v>1275</v>
      </c>
      <c r="BH410" s="2029">
        <v>1275</v>
      </c>
      <c r="BI410" s="2029">
        <v>1275</v>
      </c>
      <c r="BJ410" s="2030">
        <f t="shared" si="211"/>
        <v>6800</v>
      </c>
      <c r="BK410" s="2030">
        <f t="shared" si="211"/>
        <v>6400</v>
      </c>
      <c r="BL410" s="2030">
        <f t="shared" si="211"/>
        <v>6400</v>
      </c>
      <c r="BM410" s="2030" t="s">
        <v>3286</v>
      </c>
      <c r="BN410" s="2030">
        <f t="shared" si="212"/>
        <v>5800</v>
      </c>
      <c r="BO410" s="2030">
        <f t="shared" si="213"/>
        <v>27200</v>
      </c>
      <c r="BP410" s="2030" t="s">
        <v>3286</v>
      </c>
      <c r="BQ410" s="2030">
        <f t="shared" si="214"/>
        <v>25600</v>
      </c>
      <c r="BR410" s="2030">
        <f t="shared" si="214"/>
        <v>25600</v>
      </c>
      <c r="BS410" s="2030">
        <f t="shared" si="214"/>
        <v>23200</v>
      </c>
      <c r="BT410" s="2125"/>
      <c r="BU410" s="2125"/>
      <c r="BV410" s="2125"/>
      <c r="BW410" s="2125"/>
      <c r="BX410" s="2125"/>
      <c r="BY410" s="2125"/>
      <c r="BZ410" s="2125"/>
      <c r="CA410" s="2125"/>
      <c r="CB410" s="2029"/>
      <c r="CC410" s="2029"/>
      <c r="CD410" s="2029"/>
      <c r="CE410" s="2029"/>
      <c r="CF410" s="2029"/>
      <c r="CG410" s="2032"/>
      <c r="CH410" s="1974">
        <v>0</v>
      </c>
      <c r="CI410" s="1974">
        <v>0</v>
      </c>
      <c r="CJ410" s="1974">
        <v>0</v>
      </c>
      <c r="CK410" s="1974">
        <v>0</v>
      </c>
      <c r="CL410" s="1974">
        <v>0</v>
      </c>
      <c r="CM410" s="2033">
        <v>5.3508545110450997E-5</v>
      </c>
      <c r="CN410" s="2026">
        <v>1.5444782860550416E-3</v>
      </c>
      <c r="CO410" s="1974">
        <v>0</v>
      </c>
      <c r="CP410" s="2031">
        <v>0</v>
      </c>
      <c r="CQ410" s="2031">
        <f t="shared" si="215"/>
        <v>0</v>
      </c>
      <c r="CR410" s="2026">
        <v>1</v>
      </c>
      <c r="CS410" s="2026">
        <v>1</v>
      </c>
      <c r="CT410" s="2026">
        <v>1</v>
      </c>
      <c r="CU410" s="2026">
        <v>1</v>
      </c>
      <c r="CV410" s="2036"/>
      <c r="CW410" s="2036"/>
      <c r="CX410" s="2036"/>
      <c r="CY410" s="2036"/>
      <c r="CZ410" s="2036"/>
      <c r="DA410" s="2036"/>
      <c r="DB410" s="1973">
        <v>1</v>
      </c>
    </row>
    <row r="411" spans="1:106" x14ac:dyDescent="0.25">
      <c r="A411" s="2278" t="str">
        <f t="shared" si="221"/>
        <v>High Efficiency Tankless Water Heater (gas)</v>
      </c>
      <c r="B411" s="1974" t="str">
        <f t="shared" si="221"/>
        <v>BPWH3</v>
      </c>
      <c r="C411" s="2027">
        <v>20</v>
      </c>
      <c r="D411" s="2027"/>
      <c r="E411" s="2144">
        <v>0</v>
      </c>
      <c r="F411" s="2144"/>
      <c r="G411" s="2145">
        <v>0</v>
      </c>
      <c r="H411" s="2145"/>
      <c r="I411" s="2027">
        <v>172.09</v>
      </c>
      <c r="J411" s="2027"/>
      <c r="K411" s="1974" t="s">
        <v>2988</v>
      </c>
      <c r="L411" s="1974" t="s">
        <v>2988</v>
      </c>
      <c r="M411" s="2026">
        <v>0.9</v>
      </c>
      <c r="N411" s="2026">
        <v>0.9</v>
      </c>
      <c r="O411" s="2026">
        <v>0.9</v>
      </c>
      <c r="P411" s="2026">
        <v>0.9</v>
      </c>
      <c r="Q411" s="2027">
        <f t="shared" si="217"/>
        <v>0</v>
      </c>
      <c r="R411" s="2027">
        <f t="shared" si="217"/>
        <v>0</v>
      </c>
      <c r="S411" s="2027">
        <f t="shared" si="217"/>
        <v>0</v>
      </c>
      <c r="T411" s="2027">
        <f t="shared" si="217"/>
        <v>0</v>
      </c>
      <c r="U411" s="2026">
        <v>0.9</v>
      </c>
      <c r="V411" s="2026">
        <v>0.9</v>
      </c>
      <c r="W411" s="2026">
        <v>0.9</v>
      </c>
      <c r="X411" s="2026">
        <v>0.9</v>
      </c>
      <c r="Y411" s="2028">
        <f t="shared" si="218"/>
        <v>0</v>
      </c>
      <c r="Z411" s="2028">
        <f t="shared" si="218"/>
        <v>0</v>
      </c>
      <c r="AA411" s="2028">
        <f t="shared" si="218"/>
        <v>0</v>
      </c>
      <c r="AB411" s="2028">
        <f t="shared" si="218"/>
        <v>0</v>
      </c>
      <c r="AC411" s="2026">
        <v>0.9</v>
      </c>
      <c r="AD411" s="2026">
        <v>0.9</v>
      </c>
      <c r="AE411" s="2026">
        <v>0.9</v>
      </c>
      <c r="AF411" s="2026">
        <v>0.9</v>
      </c>
      <c r="AG411" s="2027">
        <f t="shared" si="219"/>
        <v>154.881</v>
      </c>
      <c r="AH411" s="2027">
        <f t="shared" si="219"/>
        <v>154.881</v>
      </c>
      <c r="AI411" s="2027">
        <f t="shared" si="219"/>
        <v>154.881</v>
      </c>
      <c r="AJ411" s="2027">
        <f t="shared" si="219"/>
        <v>154.881</v>
      </c>
      <c r="AK411" s="2027">
        <v>1</v>
      </c>
      <c r="AL411" s="2028">
        <v>1</v>
      </c>
      <c r="AM411" s="2028">
        <v>1</v>
      </c>
      <c r="AN411" s="2028">
        <v>1</v>
      </c>
      <c r="AO411" s="2027">
        <f t="shared" si="206"/>
        <v>0</v>
      </c>
      <c r="AP411" s="2027">
        <f t="shared" si="207"/>
        <v>0</v>
      </c>
      <c r="AQ411" s="2027">
        <f t="shared" si="207"/>
        <v>0</v>
      </c>
      <c r="AR411" s="2027" t="s">
        <v>3286</v>
      </c>
      <c r="AS411" s="2027">
        <f t="shared" si="208"/>
        <v>0</v>
      </c>
      <c r="AT411" s="2027">
        <f t="shared" si="209"/>
        <v>154.881</v>
      </c>
      <c r="AU411" s="2027">
        <f t="shared" si="210"/>
        <v>154.881</v>
      </c>
      <c r="AV411" s="2027">
        <f t="shared" si="210"/>
        <v>154.881</v>
      </c>
      <c r="AW411" s="2027">
        <f t="shared" si="210"/>
        <v>154.881</v>
      </c>
      <c r="AX411" s="2124">
        <v>0</v>
      </c>
      <c r="AY411" s="2029">
        <v>0</v>
      </c>
      <c r="AZ411" s="2029">
        <v>0</v>
      </c>
      <c r="BA411" s="2029">
        <v>0</v>
      </c>
      <c r="BB411" s="2124">
        <v>500</v>
      </c>
      <c r="BC411" s="2029">
        <v>500</v>
      </c>
      <c r="BD411" s="2029">
        <v>500</v>
      </c>
      <c r="BE411" s="2029">
        <v>500</v>
      </c>
      <c r="BF411" s="2124">
        <v>652.73</v>
      </c>
      <c r="BG411" s="2029">
        <v>652.73</v>
      </c>
      <c r="BH411" s="2029">
        <v>652.73</v>
      </c>
      <c r="BI411" s="2029">
        <v>652.73</v>
      </c>
      <c r="BJ411" s="2030">
        <f t="shared" si="211"/>
        <v>0</v>
      </c>
      <c r="BK411" s="2030">
        <f t="shared" si="211"/>
        <v>0</v>
      </c>
      <c r="BL411" s="2030">
        <f t="shared" si="211"/>
        <v>0</v>
      </c>
      <c r="BM411" s="2030" t="s">
        <v>3286</v>
      </c>
      <c r="BN411" s="2030">
        <f t="shared" si="212"/>
        <v>0</v>
      </c>
      <c r="BO411" s="2030">
        <f t="shared" si="213"/>
        <v>500</v>
      </c>
      <c r="BP411" s="2030" t="s">
        <v>3286</v>
      </c>
      <c r="BQ411" s="2030">
        <f t="shared" si="214"/>
        <v>500</v>
      </c>
      <c r="BR411" s="2030">
        <f t="shared" si="214"/>
        <v>500</v>
      </c>
      <c r="BS411" s="2030">
        <f t="shared" si="214"/>
        <v>500</v>
      </c>
      <c r="BT411" s="2125"/>
      <c r="BU411" s="2125"/>
      <c r="BV411" s="2125"/>
      <c r="BW411" s="2125"/>
      <c r="BX411" s="2125"/>
      <c r="BY411" s="2125"/>
      <c r="BZ411" s="2125"/>
      <c r="CA411" s="2125"/>
      <c r="CB411" s="2029"/>
      <c r="CC411" s="2029"/>
      <c r="CD411" s="2029"/>
      <c r="CE411" s="2029"/>
      <c r="CF411" s="2029"/>
      <c r="CG411" s="2032"/>
      <c r="CH411" s="1974">
        <v>0</v>
      </c>
      <c r="CI411" s="1974">
        <v>0</v>
      </c>
      <c r="CJ411" s="1974">
        <v>0</v>
      </c>
      <c r="CK411" s="1974">
        <v>0</v>
      </c>
      <c r="CL411" s="1974">
        <v>0</v>
      </c>
      <c r="CM411" s="2033">
        <v>0</v>
      </c>
      <c r="CN411" s="2026">
        <v>4.9890055044056707E-5</v>
      </c>
      <c r="CO411" s="1974">
        <v>1</v>
      </c>
      <c r="CP411" s="2031">
        <v>100</v>
      </c>
      <c r="CQ411" s="2031">
        <f t="shared" si="215"/>
        <v>-100</v>
      </c>
      <c r="CR411" s="2026">
        <v>1</v>
      </c>
      <c r="CS411" s="2026">
        <v>1</v>
      </c>
      <c r="CT411" s="2026">
        <v>1</v>
      </c>
      <c r="CU411" s="2026">
        <v>1</v>
      </c>
      <c r="CV411" s="2036"/>
      <c r="CW411" s="2036"/>
      <c r="CX411" s="2036"/>
      <c r="CY411" s="2036"/>
      <c r="CZ411" s="2036"/>
      <c r="DA411" s="2036"/>
      <c r="DB411" s="1973">
        <v>1</v>
      </c>
    </row>
    <row r="412" spans="1:106" x14ac:dyDescent="0.25">
      <c r="A412" s="2278" t="str">
        <f t="shared" si="221"/>
        <v>High Efficiency Condensing Tanked Water Heater (gas)</v>
      </c>
      <c r="B412" s="1974" t="str">
        <f t="shared" si="221"/>
        <v>BPWH4</v>
      </c>
      <c r="C412" s="2027">
        <v>15</v>
      </c>
      <c r="D412" s="2027"/>
      <c r="E412" s="2144">
        <v>0</v>
      </c>
      <c r="F412" s="2144"/>
      <c r="G412" s="2145">
        <v>0</v>
      </c>
      <c r="H412" s="2145"/>
      <c r="I412" s="2027">
        <v>74.088335735912239</v>
      </c>
      <c r="J412" s="2027"/>
      <c r="K412" s="1974" t="s">
        <v>2988</v>
      </c>
      <c r="L412" s="1974" t="s">
        <v>2988</v>
      </c>
      <c r="M412" s="2026">
        <v>0.9</v>
      </c>
      <c r="N412" s="2026">
        <v>0.9</v>
      </c>
      <c r="O412" s="2026">
        <v>0.9</v>
      </c>
      <c r="P412" s="2026">
        <v>0.9</v>
      </c>
      <c r="Q412" s="2027">
        <f t="shared" si="217"/>
        <v>0</v>
      </c>
      <c r="R412" s="2027">
        <f t="shared" si="217"/>
        <v>0</v>
      </c>
      <c r="S412" s="2027">
        <f t="shared" si="217"/>
        <v>0</v>
      </c>
      <c r="T412" s="2027">
        <f t="shared" si="217"/>
        <v>0</v>
      </c>
      <c r="U412" s="2026">
        <v>0.9</v>
      </c>
      <c r="V412" s="2026">
        <v>0.9</v>
      </c>
      <c r="W412" s="2026">
        <v>0.9</v>
      </c>
      <c r="X412" s="2026">
        <v>0.9</v>
      </c>
      <c r="Y412" s="2028">
        <f t="shared" si="218"/>
        <v>0</v>
      </c>
      <c r="Z412" s="2028">
        <f t="shared" si="218"/>
        <v>0</v>
      </c>
      <c r="AA412" s="2028">
        <f t="shared" si="218"/>
        <v>0</v>
      </c>
      <c r="AB412" s="2028">
        <f t="shared" si="218"/>
        <v>0</v>
      </c>
      <c r="AC412" s="2026">
        <v>0.9</v>
      </c>
      <c r="AD412" s="2026">
        <v>0.9</v>
      </c>
      <c r="AE412" s="2026">
        <v>0.9</v>
      </c>
      <c r="AF412" s="2026">
        <v>0.9</v>
      </c>
      <c r="AG412" s="2027">
        <f t="shared" si="219"/>
        <v>66.679502162321015</v>
      </c>
      <c r="AH412" s="2027">
        <f t="shared" si="219"/>
        <v>66.679502162321015</v>
      </c>
      <c r="AI412" s="2027">
        <f t="shared" si="219"/>
        <v>66.679502162321015</v>
      </c>
      <c r="AJ412" s="2027">
        <f t="shared" si="219"/>
        <v>66.679502162321015</v>
      </c>
      <c r="AK412" s="2027">
        <v>12</v>
      </c>
      <c r="AL412" s="2028">
        <v>11</v>
      </c>
      <c r="AM412" s="2028">
        <v>11</v>
      </c>
      <c r="AN412" s="2028">
        <v>11</v>
      </c>
      <c r="AO412" s="2027">
        <f t="shared" si="206"/>
        <v>0</v>
      </c>
      <c r="AP412" s="2027">
        <f t="shared" si="207"/>
        <v>0</v>
      </c>
      <c r="AQ412" s="2027">
        <f t="shared" si="207"/>
        <v>0</v>
      </c>
      <c r="AR412" s="2027" t="s">
        <v>3286</v>
      </c>
      <c r="AS412" s="2027">
        <f t="shared" si="208"/>
        <v>0</v>
      </c>
      <c r="AT412" s="2027">
        <f t="shared" si="209"/>
        <v>800.15402594785223</v>
      </c>
      <c r="AU412" s="2027">
        <f t="shared" si="210"/>
        <v>733.47452378553112</v>
      </c>
      <c r="AV412" s="2027">
        <f t="shared" si="210"/>
        <v>733.47452378553112</v>
      </c>
      <c r="AW412" s="2027">
        <f t="shared" si="210"/>
        <v>733.47452378553112</v>
      </c>
      <c r="AX412" s="2124">
        <v>0</v>
      </c>
      <c r="AY412" s="2029">
        <v>0</v>
      </c>
      <c r="AZ412" s="2029">
        <v>0</v>
      </c>
      <c r="BA412" s="2029">
        <v>0</v>
      </c>
      <c r="BB412" s="2124">
        <v>700</v>
      </c>
      <c r="BC412" s="2029">
        <v>700</v>
      </c>
      <c r="BD412" s="2029">
        <v>700</v>
      </c>
      <c r="BE412" s="2029">
        <v>700</v>
      </c>
      <c r="BF412" s="2124">
        <v>1135</v>
      </c>
      <c r="BG412" s="2029">
        <v>1135</v>
      </c>
      <c r="BH412" s="2029">
        <v>1135</v>
      </c>
      <c r="BI412" s="2029">
        <v>1135</v>
      </c>
      <c r="BJ412" s="2030">
        <f t="shared" si="211"/>
        <v>0</v>
      </c>
      <c r="BK412" s="2030">
        <f t="shared" si="211"/>
        <v>0</v>
      </c>
      <c r="BL412" s="2030">
        <f t="shared" si="211"/>
        <v>0</v>
      </c>
      <c r="BM412" s="2030" t="s">
        <v>3286</v>
      </c>
      <c r="BN412" s="2030">
        <f t="shared" si="212"/>
        <v>0</v>
      </c>
      <c r="BO412" s="2030">
        <f t="shared" si="213"/>
        <v>8400</v>
      </c>
      <c r="BP412" s="2030" t="s">
        <v>3286</v>
      </c>
      <c r="BQ412" s="2030">
        <f t="shared" si="214"/>
        <v>7700</v>
      </c>
      <c r="BR412" s="2030">
        <f t="shared" si="214"/>
        <v>7700</v>
      </c>
      <c r="BS412" s="2030">
        <f t="shared" si="214"/>
        <v>7700</v>
      </c>
      <c r="BT412" s="2125"/>
      <c r="BU412" s="2125"/>
      <c r="BV412" s="2125"/>
      <c r="BW412" s="2125"/>
      <c r="BX412" s="2125"/>
      <c r="BY412" s="2125"/>
      <c r="BZ412" s="2125"/>
      <c r="CA412" s="2125"/>
      <c r="CB412" s="2029"/>
      <c r="CC412" s="2029"/>
      <c r="CD412" s="2029"/>
      <c r="CE412" s="2029"/>
      <c r="CF412" s="2029"/>
      <c r="CG412" s="2032"/>
      <c r="CH412" s="1974">
        <v>0</v>
      </c>
      <c r="CI412" s="1974">
        <v>0</v>
      </c>
      <c r="CJ412" s="1974">
        <v>0</v>
      </c>
      <c r="CK412" s="1974">
        <v>0</v>
      </c>
      <c r="CL412" s="1974">
        <v>0</v>
      </c>
      <c r="CM412" s="2033">
        <v>0</v>
      </c>
      <c r="CN412" s="2026">
        <v>2.1478709675095678E-4</v>
      </c>
      <c r="CO412" s="1974">
        <v>0</v>
      </c>
      <c r="CP412" s="2031">
        <v>0</v>
      </c>
      <c r="CQ412" s="2031">
        <f t="shared" si="215"/>
        <v>0</v>
      </c>
      <c r="CR412" s="2026">
        <v>1</v>
      </c>
      <c r="CS412" s="2026">
        <v>1</v>
      </c>
      <c r="CT412" s="2026">
        <v>1</v>
      </c>
      <c r="CU412" s="2026">
        <v>1</v>
      </c>
      <c r="CV412" s="2036"/>
      <c r="CW412" s="2036"/>
      <c r="CX412" s="2036"/>
      <c r="CY412" s="2036"/>
      <c r="CZ412" s="2036"/>
      <c r="DA412" s="2036"/>
      <c r="DB412" s="1973">
        <v>1</v>
      </c>
    </row>
    <row r="413" spans="1:106" x14ac:dyDescent="0.25">
      <c r="A413" s="2278" t="str">
        <f t="shared" si="221"/>
        <v>High Efficiency Tanked Water Heater (gas)</v>
      </c>
      <c r="B413" s="1974" t="str">
        <f t="shared" si="221"/>
        <v>BPWH5</v>
      </c>
      <c r="C413" s="2027">
        <v>15</v>
      </c>
      <c r="D413" s="2027"/>
      <c r="E413" s="2144">
        <v>0</v>
      </c>
      <c r="F413" s="2144"/>
      <c r="G413" s="2145">
        <v>0</v>
      </c>
      <c r="H413" s="2145"/>
      <c r="I413" s="2027">
        <v>61.859410093619729</v>
      </c>
      <c r="J413" s="2027"/>
      <c r="K413" s="1974" t="s">
        <v>2988</v>
      </c>
      <c r="L413" s="1974" t="s">
        <v>2988</v>
      </c>
      <c r="M413" s="2026">
        <v>0.9</v>
      </c>
      <c r="N413" s="2026">
        <v>0.9</v>
      </c>
      <c r="O413" s="2026">
        <v>0.9</v>
      </c>
      <c r="P413" s="2026">
        <v>0.9</v>
      </c>
      <c r="Q413" s="2027">
        <f t="shared" si="217"/>
        <v>0</v>
      </c>
      <c r="R413" s="2027">
        <f t="shared" si="217"/>
        <v>0</v>
      </c>
      <c r="S413" s="2027">
        <f t="shared" si="217"/>
        <v>0</v>
      </c>
      <c r="T413" s="2027">
        <f t="shared" si="217"/>
        <v>0</v>
      </c>
      <c r="U413" s="2026">
        <v>0.9</v>
      </c>
      <c r="V413" s="2026">
        <v>0.9</v>
      </c>
      <c r="W413" s="2026">
        <v>0.9</v>
      </c>
      <c r="X413" s="2026">
        <v>0.9</v>
      </c>
      <c r="Y413" s="2028">
        <f t="shared" si="218"/>
        <v>0</v>
      </c>
      <c r="Z413" s="2028">
        <f t="shared" si="218"/>
        <v>0</v>
      </c>
      <c r="AA413" s="2028">
        <f t="shared" si="218"/>
        <v>0</v>
      </c>
      <c r="AB413" s="2028">
        <f t="shared" si="218"/>
        <v>0</v>
      </c>
      <c r="AC413" s="2026">
        <v>0.9</v>
      </c>
      <c r="AD413" s="2026">
        <v>0.9</v>
      </c>
      <c r="AE413" s="2026">
        <v>0.9</v>
      </c>
      <c r="AF413" s="2026">
        <v>0.9</v>
      </c>
      <c r="AG413" s="2027">
        <f t="shared" si="219"/>
        <v>55.673469084257761</v>
      </c>
      <c r="AH413" s="2027">
        <f t="shared" si="219"/>
        <v>55.673469084257761</v>
      </c>
      <c r="AI413" s="2027">
        <f t="shared" si="219"/>
        <v>55.673469084257761</v>
      </c>
      <c r="AJ413" s="2027">
        <f t="shared" si="219"/>
        <v>55.673469084257761</v>
      </c>
      <c r="AK413" s="2027">
        <v>17</v>
      </c>
      <c r="AL413" s="2027">
        <v>15</v>
      </c>
      <c r="AM413" s="2027">
        <v>15</v>
      </c>
      <c r="AN413" s="2027">
        <v>12</v>
      </c>
      <c r="AO413" s="2027">
        <f t="shared" si="206"/>
        <v>0</v>
      </c>
      <c r="AP413" s="2027">
        <f t="shared" si="207"/>
        <v>0</v>
      </c>
      <c r="AQ413" s="2027">
        <f t="shared" si="207"/>
        <v>0</v>
      </c>
      <c r="AR413" s="2027" t="s">
        <v>3286</v>
      </c>
      <c r="AS413" s="2027">
        <f t="shared" si="208"/>
        <v>0</v>
      </c>
      <c r="AT413" s="2027">
        <f t="shared" si="209"/>
        <v>946.44897443238187</v>
      </c>
      <c r="AU413" s="2027">
        <f t="shared" si="210"/>
        <v>835.10203626386647</v>
      </c>
      <c r="AV413" s="2027">
        <f t="shared" si="210"/>
        <v>835.10203626386647</v>
      </c>
      <c r="AW413" s="2027">
        <f t="shared" si="210"/>
        <v>668.08162901109313</v>
      </c>
      <c r="AX413" s="2124">
        <v>0</v>
      </c>
      <c r="AY413" s="2029">
        <v>0</v>
      </c>
      <c r="AZ413" s="2029">
        <v>0</v>
      </c>
      <c r="BA413" s="2029">
        <v>0</v>
      </c>
      <c r="BB413" s="2124">
        <v>600</v>
      </c>
      <c r="BC413" s="2029">
        <v>600</v>
      </c>
      <c r="BD413" s="2029">
        <v>600</v>
      </c>
      <c r="BE413" s="2029">
        <v>600</v>
      </c>
      <c r="BF413" s="2124">
        <v>879</v>
      </c>
      <c r="BG413" s="2029">
        <v>879</v>
      </c>
      <c r="BH413" s="2029">
        <v>879</v>
      </c>
      <c r="BI413" s="2029">
        <v>879</v>
      </c>
      <c r="BJ413" s="2030">
        <f t="shared" si="211"/>
        <v>0</v>
      </c>
      <c r="BK413" s="2030">
        <f t="shared" si="211"/>
        <v>0</v>
      </c>
      <c r="BL413" s="2030">
        <f t="shared" si="211"/>
        <v>0</v>
      </c>
      <c r="BM413" s="2030" t="s">
        <v>3286</v>
      </c>
      <c r="BN413" s="2030">
        <f t="shared" si="212"/>
        <v>0</v>
      </c>
      <c r="BO413" s="2030">
        <f t="shared" si="213"/>
        <v>10200</v>
      </c>
      <c r="BP413" s="2030" t="s">
        <v>3286</v>
      </c>
      <c r="BQ413" s="2030">
        <f t="shared" si="214"/>
        <v>9000</v>
      </c>
      <c r="BR413" s="2030">
        <f t="shared" si="214"/>
        <v>9000</v>
      </c>
      <c r="BS413" s="2030">
        <f t="shared" si="214"/>
        <v>7200</v>
      </c>
      <c r="BT413" s="2125"/>
      <c r="BU413" s="2125"/>
      <c r="BV413" s="2125"/>
      <c r="BW413" s="2125"/>
      <c r="BX413" s="2125"/>
      <c r="BY413" s="2125"/>
      <c r="BZ413" s="2125"/>
      <c r="CA413" s="2125"/>
      <c r="CB413" s="2029"/>
      <c r="CC413" s="2029"/>
      <c r="CD413" s="2029"/>
      <c r="CE413" s="2029"/>
      <c r="CF413" s="2029"/>
      <c r="CG413" s="2032"/>
      <c r="CH413" s="1974">
        <v>0</v>
      </c>
      <c r="CI413" s="1974">
        <v>0</v>
      </c>
      <c r="CJ413" s="1974">
        <v>0</v>
      </c>
      <c r="CK413" s="1974">
        <v>0</v>
      </c>
      <c r="CL413" s="1974">
        <v>0</v>
      </c>
      <c r="CM413" s="2033">
        <v>0</v>
      </c>
      <c r="CN413" s="2026">
        <v>2.6900192119503453E-4</v>
      </c>
      <c r="CO413" s="1974">
        <v>0</v>
      </c>
      <c r="CP413" s="2031">
        <v>0</v>
      </c>
      <c r="CQ413" s="2031">
        <f t="shared" si="215"/>
        <v>0</v>
      </c>
      <c r="CR413" s="2026">
        <v>1</v>
      </c>
      <c r="CS413" s="2026">
        <v>1</v>
      </c>
      <c r="CT413" s="2026">
        <v>1</v>
      </c>
      <c r="CU413" s="2026">
        <v>1</v>
      </c>
      <c r="CV413" s="2036"/>
      <c r="CW413" s="2036"/>
      <c r="CX413" s="2036"/>
      <c r="CY413" s="2036"/>
      <c r="CZ413" s="2036"/>
      <c r="DA413" s="2036"/>
      <c r="DB413" s="1973">
        <v>1</v>
      </c>
    </row>
    <row r="414" spans="1:106" x14ac:dyDescent="0.25">
      <c r="A414" s="2278" t="str">
        <f t="shared" si="221"/>
        <v>Gas Steamer (5 pan)</v>
      </c>
      <c r="B414" s="1974" t="str">
        <f t="shared" si="221"/>
        <v>BPCK9</v>
      </c>
      <c r="C414" s="2027">
        <v>12</v>
      </c>
      <c r="D414" s="2027"/>
      <c r="E414" s="2144">
        <v>0</v>
      </c>
      <c r="F414" s="2144"/>
      <c r="G414" s="2145">
        <v>0</v>
      </c>
      <c r="H414" s="2145"/>
      <c r="I414" s="2027">
        <v>1321</v>
      </c>
      <c r="J414" s="2027"/>
      <c r="K414" s="1974" t="s">
        <v>2988</v>
      </c>
      <c r="L414" s="1974" t="s">
        <v>2988</v>
      </c>
      <c r="M414" s="2026">
        <v>0.9</v>
      </c>
      <c r="N414" s="2026">
        <v>0.9</v>
      </c>
      <c r="O414" s="2026">
        <v>0.9</v>
      </c>
      <c r="P414" s="2026">
        <v>0.9</v>
      </c>
      <c r="Q414" s="2027">
        <f t="shared" si="217"/>
        <v>0</v>
      </c>
      <c r="R414" s="2027">
        <f t="shared" si="217"/>
        <v>0</v>
      </c>
      <c r="S414" s="2027">
        <f t="shared" si="217"/>
        <v>0</v>
      </c>
      <c r="T414" s="2027">
        <f t="shared" si="217"/>
        <v>0</v>
      </c>
      <c r="U414" s="2026">
        <v>0.9</v>
      </c>
      <c r="V414" s="2026">
        <v>0.9</v>
      </c>
      <c r="W414" s="2026">
        <v>0.9</v>
      </c>
      <c r="X414" s="2026">
        <v>0.9</v>
      </c>
      <c r="Y414" s="2028">
        <f t="shared" si="218"/>
        <v>0</v>
      </c>
      <c r="Z414" s="2028">
        <f t="shared" si="218"/>
        <v>0</v>
      </c>
      <c r="AA414" s="2028">
        <f t="shared" si="218"/>
        <v>0</v>
      </c>
      <c r="AB414" s="2028">
        <f t="shared" si="218"/>
        <v>0</v>
      </c>
      <c r="AC414" s="2026">
        <v>0.9</v>
      </c>
      <c r="AD414" s="2026">
        <v>0.9</v>
      </c>
      <c r="AE414" s="2026">
        <v>0.9</v>
      </c>
      <c r="AF414" s="2026">
        <v>0.9</v>
      </c>
      <c r="AG414" s="2027">
        <f t="shared" si="219"/>
        <v>1188.9000000000001</v>
      </c>
      <c r="AH414" s="2027">
        <f t="shared" si="219"/>
        <v>1188.9000000000001</v>
      </c>
      <c r="AI414" s="2027">
        <f t="shared" si="219"/>
        <v>1188.9000000000001</v>
      </c>
      <c r="AJ414" s="2027">
        <f t="shared" si="219"/>
        <v>1188.9000000000001</v>
      </c>
      <c r="AK414" s="2027">
        <v>0</v>
      </c>
      <c r="AL414" s="2028">
        <v>1</v>
      </c>
      <c r="AM414" s="2028"/>
      <c r="AN414" s="2028"/>
      <c r="AO414" s="2027">
        <f t="shared" si="206"/>
        <v>0</v>
      </c>
      <c r="AP414" s="2027">
        <f t="shared" si="207"/>
        <v>0</v>
      </c>
      <c r="AQ414" s="2027">
        <f t="shared" si="207"/>
        <v>0</v>
      </c>
      <c r="AR414" s="2027" t="s">
        <v>3286</v>
      </c>
      <c r="AS414" s="2027">
        <f t="shared" si="208"/>
        <v>0</v>
      </c>
      <c r="AT414" s="2027">
        <f t="shared" si="209"/>
        <v>0</v>
      </c>
      <c r="AU414" s="2027">
        <f t="shared" si="210"/>
        <v>1188.9000000000001</v>
      </c>
      <c r="AV414" s="2027">
        <f t="shared" si="210"/>
        <v>0</v>
      </c>
      <c r="AW414" s="2027">
        <f t="shared" si="210"/>
        <v>0</v>
      </c>
      <c r="AX414" s="2124">
        <v>0</v>
      </c>
      <c r="AY414" s="2029">
        <v>0</v>
      </c>
      <c r="AZ414" s="2029">
        <v>0</v>
      </c>
      <c r="BA414" s="2029">
        <v>0</v>
      </c>
      <c r="BB414" s="2124">
        <v>1000</v>
      </c>
      <c r="BC414" s="2029">
        <v>1000</v>
      </c>
      <c r="BD414" s="2029">
        <v>1000</v>
      </c>
      <c r="BE414" s="2029">
        <v>1000</v>
      </c>
      <c r="BF414" s="2124">
        <v>998</v>
      </c>
      <c r="BG414" s="2029">
        <v>998</v>
      </c>
      <c r="BH414" s="2029">
        <v>998</v>
      </c>
      <c r="BI414" s="2029">
        <v>998</v>
      </c>
      <c r="BJ414" s="2030">
        <f t="shared" si="211"/>
        <v>0</v>
      </c>
      <c r="BK414" s="2030">
        <f t="shared" si="211"/>
        <v>0</v>
      </c>
      <c r="BL414" s="2030">
        <f t="shared" si="211"/>
        <v>0</v>
      </c>
      <c r="BM414" s="2030" t="s">
        <v>3286</v>
      </c>
      <c r="BN414" s="2030">
        <f t="shared" si="212"/>
        <v>0</v>
      </c>
      <c r="BO414" s="2030">
        <f t="shared" si="213"/>
        <v>0</v>
      </c>
      <c r="BP414" s="2030" t="s">
        <v>3286</v>
      </c>
      <c r="BQ414" s="2030">
        <f t="shared" si="214"/>
        <v>1000</v>
      </c>
      <c r="BR414" s="2030">
        <f t="shared" si="214"/>
        <v>0</v>
      </c>
      <c r="BS414" s="2030">
        <f t="shared" si="214"/>
        <v>0</v>
      </c>
      <c r="BT414" s="2125"/>
      <c r="BU414" s="2125"/>
      <c r="BV414" s="2125"/>
      <c r="BW414" s="2125"/>
      <c r="BX414" s="2125"/>
      <c r="BY414" s="2125"/>
      <c r="BZ414" s="2125"/>
      <c r="CA414" s="2125"/>
      <c r="CB414" s="2029"/>
      <c r="CC414" s="2029"/>
      <c r="CD414" s="2029"/>
      <c r="CE414" s="2029"/>
      <c r="CF414" s="2029"/>
      <c r="CG414" s="2032"/>
      <c r="CH414" s="1974">
        <v>76703</v>
      </c>
      <c r="CI414" s="1974">
        <v>0</v>
      </c>
      <c r="CJ414" s="1974">
        <v>0</v>
      </c>
      <c r="CK414" s="1974">
        <v>0</v>
      </c>
      <c r="CL414" s="1974">
        <v>0</v>
      </c>
      <c r="CM414" s="2033">
        <v>0</v>
      </c>
      <c r="CN414" s="2026">
        <v>0</v>
      </c>
      <c r="CO414" s="1974">
        <v>0</v>
      </c>
      <c r="CP414" s="2031">
        <v>0</v>
      </c>
      <c r="CQ414" s="2031">
        <f t="shared" si="215"/>
        <v>0</v>
      </c>
      <c r="CR414" s="2026">
        <v>1</v>
      </c>
      <c r="CS414" s="2026">
        <v>1</v>
      </c>
      <c r="CT414" s="2026">
        <v>1</v>
      </c>
      <c r="CU414" s="2026">
        <v>1</v>
      </c>
      <c r="CV414" s="2036"/>
      <c r="CW414" s="2036"/>
      <c r="CX414" s="2036"/>
      <c r="CY414" s="2036"/>
      <c r="CZ414" s="2036"/>
      <c r="DA414" s="2036"/>
      <c r="DB414" s="1973">
        <v>1</v>
      </c>
    </row>
    <row r="415" spans="1:106" x14ac:dyDescent="0.25">
      <c r="A415" s="2278" t="str">
        <f t="shared" si="221"/>
        <v>Gas Steamer (6 pan)</v>
      </c>
      <c r="B415" s="1974" t="str">
        <f t="shared" si="221"/>
        <v>BPCK10</v>
      </c>
      <c r="C415" s="2027">
        <v>12</v>
      </c>
      <c r="D415" s="2027"/>
      <c r="E415" s="2144">
        <v>0</v>
      </c>
      <c r="F415" s="2144"/>
      <c r="G415" s="2145">
        <v>0</v>
      </c>
      <c r="H415" s="2145"/>
      <c r="I415" s="2027">
        <v>1591</v>
      </c>
      <c r="J415" s="2027"/>
      <c r="K415" s="1974" t="s">
        <v>2988</v>
      </c>
      <c r="L415" s="1974" t="s">
        <v>2988</v>
      </c>
      <c r="M415" s="2026">
        <v>0.9</v>
      </c>
      <c r="N415" s="2026">
        <v>0.9</v>
      </c>
      <c r="O415" s="2026">
        <v>0.9</v>
      </c>
      <c r="P415" s="2026">
        <v>0.9</v>
      </c>
      <c r="Q415" s="2027">
        <f t="shared" si="217"/>
        <v>0</v>
      </c>
      <c r="R415" s="2027">
        <f t="shared" si="217"/>
        <v>0</v>
      </c>
      <c r="S415" s="2027">
        <f t="shared" si="217"/>
        <v>0</v>
      </c>
      <c r="T415" s="2027">
        <f t="shared" si="217"/>
        <v>0</v>
      </c>
      <c r="U415" s="2026">
        <v>0.9</v>
      </c>
      <c r="V415" s="2026">
        <v>0.9</v>
      </c>
      <c r="W415" s="2026">
        <v>0.9</v>
      </c>
      <c r="X415" s="2026">
        <v>0.9</v>
      </c>
      <c r="Y415" s="2028">
        <f t="shared" si="218"/>
        <v>0</v>
      </c>
      <c r="Z415" s="2028">
        <f t="shared" si="218"/>
        <v>0</v>
      </c>
      <c r="AA415" s="2028">
        <f t="shared" si="218"/>
        <v>0</v>
      </c>
      <c r="AB415" s="2028">
        <f t="shared" si="218"/>
        <v>0</v>
      </c>
      <c r="AC415" s="2026">
        <v>0.9</v>
      </c>
      <c r="AD415" s="2026">
        <v>0.9</v>
      </c>
      <c r="AE415" s="2026">
        <v>0.9</v>
      </c>
      <c r="AF415" s="2026">
        <v>0.9</v>
      </c>
      <c r="AG415" s="2027">
        <f t="shared" si="219"/>
        <v>1431.9</v>
      </c>
      <c r="AH415" s="2027">
        <f t="shared" si="219"/>
        <v>1431.9</v>
      </c>
      <c r="AI415" s="2027">
        <f t="shared" si="219"/>
        <v>1431.9</v>
      </c>
      <c r="AJ415" s="2027">
        <f t="shared" si="219"/>
        <v>1431.9</v>
      </c>
      <c r="AK415" s="2027">
        <v>0</v>
      </c>
      <c r="AL415" s="2028"/>
      <c r="AM415" s="2028">
        <v>1</v>
      </c>
      <c r="AN415" s="2028">
        <v>1</v>
      </c>
      <c r="AO415" s="2027">
        <f t="shared" si="206"/>
        <v>0</v>
      </c>
      <c r="AP415" s="2027">
        <f t="shared" si="207"/>
        <v>0</v>
      </c>
      <c r="AQ415" s="2027">
        <f t="shared" si="207"/>
        <v>0</v>
      </c>
      <c r="AR415" s="2027" t="s">
        <v>3286</v>
      </c>
      <c r="AS415" s="2027">
        <f t="shared" si="208"/>
        <v>0</v>
      </c>
      <c r="AT415" s="2027">
        <f t="shared" si="209"/>
        <v>0</v>
      </c>
      <c r="AU415" s="2027">
        <f t="shared" si="210"/>
        <v>0</v>
      </c>
      <c r="AV415" s="2027">
        <f t="shared" si="210"/>
        <v>1431.9</v>
      </c>
      <c r="AW415" s="2027">
        <f t="shared" si="210"/>
        <v>1431.9</v>
      </c>
      <c r="AX415" s="2124">
        <v>0</v>
      </c>
      <c r="AY415" s="2029">
        <v>0</v>
      </c>
      <c r="AZ415" s="2029">
        <v>0</v>
      </c>
      <c r="BA415" s="2029">
        <v>0</v>
      </c>
      <c r="BB415" s="2124">
        <v>1200</v>
      </c>
      <c r="BC415" s="2029">
        <v>1200</v>
      </c>
      <c r="BD415" s="2029">
        <v>1200</v>
      </c>
      <c r="BE415" s="2029">
        <v>1200</v>
      </c>
      <c r="BF415" s="2124">
        <v>998</v>
      </c>
      <c r="BG415" s="2029">
        <v>998</v>
      </c>
      <c r="BH415" s="2029">
        <v>998</v>
      </c>
      <c r="BI415" s="2029">
        <v>998</v>
      </c>
      <c r="BJ415" s="2030">
        <f t="shared" si="211"/>
        <v>0</v>
      </c>
      <c r="BK415" s="2030">
        <f t="shared" si="211"/>
        <v>0</v>
      </c>
      <c r="BL415" s="2030">
        <f t="shared" si="211"/>
        <v>0</v>
      </c>
      <c r="BM415" s="2030" t="s">
        <v>3286</v>
      </c>
      <c r="BN415" s="2030">
        <f t="shared" si="212"/>
        <v>0</v>
      </c>
      <c r="BO415" s="2030">
        <f t="shared" si="213"/>
        <v>0</v>
      </c>
      <c r="BP415" s="2030" t="s">
        <v>3286</v>
      </c>
      <c r="BQ415" s="2030">
        <f t="shared" si="214"/>
        <v>0</v>
      </c>
      <c r="BR415" s="2030">
        <f t="shared" si="214"/>
        <v>1200</v>
      </c>
      <c r="BS415" s="2030">
        <f t="shared" si="214"/>
        <v>1200</v>
      </c>
      <c r="BT415" s="2125"/>
      <c r="BU415" s="2125"/>
      <c r="BV415" s="2125"/>
      <c r="BW415" s="2125"/>
      <c r="BX415" s="2125"/>
      <c r="BY415" s="2125"/>
      <c r="BZ415" s="2125"/>
      <c r="CA415" s="2125"/>
      <c r="CB415" s="2029"/>
      <c r="CC415" s="2029"/>
      <c r="CD415" s="2029"/>
      <c r="CE415" s="2029"/>
      <c r="CF415" s="2029"/>
      <c r="CG415" s="2032"/>
      <c r="CH415" s="1974">
        <v>76703</v>
      </c>
      <c r="CI415" s="1974">
        <v>0</v>
      </c>
      <c r="CJ415" s="1974">
        <v>0</v>
      </c>
      <c r="CK415" s="1974">
        <v>0</v>
      </c>
      <c r="CL415" s="1974">
        <v>0</v>
      </c>
      <c r="CM415" s="2033">
        <v>0</v>
      </c>
      <c r="CN415" s="2026">
        <v>0</v>
      </c>
      <c r="CO415" s="1974">
        <v>0</v>
      </c>
      <c r="CP415" s="2031">
        <v>0</v>
      </c>
      <c r="CQ415" s="2031">
        <f t="shared" si="215"/>
        <v>0</v>
      </c>
      <c r="CR415" s="2026">
        <v>1</v>
      </c>
      <c r="CS415" s="2026">
        <v>1</v>
      </c>
      <c r="CT415" s="2026">
        <v>1</v>
      </c>
      <c r="CU415" s="2026">
        <v>1</v>
      </c>
      <c r="CV415" s="2036"/>
      <c r="CW415" s="2036"/>
      <c r="CX415" s="2036"/>
      <c r="CY415" s="2036"/>
      <c r="CZ415" s="2036"/>
      <c r="DA415" s="2036"/>
      <c r="DB415" s="1973">
        <v>1</v>
      </c>
    </row>
    <row r="416" spans="1:106" x14ac:dyDescent="0.25">
      <c r="A416" s="2278" t="str">
        <f t="shared" si="221"/>
        <v>Gas Griddle</v>
      </c>
      <c r="B416" s="1974" t="str">
        <f t="shared" si="221"/>
        <v>BPCK11</v>
      </c>
      <c r="C416" s="2027">
        <v>12</v>
      </c>
      <c r="D416" s="2027"/>
      <c r="E416" s="2144">
        <v>0</v>
      </c>
      <c r="F416" s="2144"/>
      <c r="G416" s="2145">
        <v>0</v>
      </c>
      <c r="H416" s="2145"/>
      <c r="I416" s="2027">
        <v>149</v>
      </c>
      <c r="J416" s="2027"/>
      <c r="K416" s="1974" t="s">
        <v>2988</v>
      </c>
      <c r="L416" s="1974" t="s">
        <v>2988</v>
      </c>
      <c r="M416" s="2026">
        <v>0.9</v>
      </c>
      <c r="N416" s="2026">
        <v>0.9</v>
      </c>
      <c r="O416" s="2026">
        <v>0.9</v>
      </c>
      <c r="P416" s="2026">
        <v>0.9</v>
      </c>
      <c r="Q416" s="2027">
        <f t="shared" si="217"/>
        <v>0</v>
      </c>
      <c r="R416" s="2027">
        <f t="shared" si="217"/>
        <v>0</v>
      </c>
      <c r="S416" s="2027">
        <f t="shared" si="217"/>
        <v>0</v>
      </c>
      <c r="T416" s="2027">
        <f t="shared" si="217"/>
        <v>0</v>
      </c>
      <c r="U416" s="2026">
        <v>0.9</v>
      </c>
      <c r="V416" s="2026">
        <v>0.9</v>
      </c>
      <c r="W416" s="2026">
        <v>0.9</v>
      </c>
      <c r="X416" s="2026">
        <v>0.9</v>
      </c>
      <c r="Y416" s="2028">
        <f t="shared" si="218"/>
        <v>0</v>
      </c>
      <c r="Z416" s="2028">
        <f t="shared" si="218"/>
        <v>0</v>
      </c>
      <c r="AA416" s="2028">
        <f t="shared" si="218"/>
        <v>0</v>
      </c>
      <c r="AB416" s="2028">
        <f t="shared" si="218"/>
        <v>0</v>
      </c>
      <c r="AC416" s="2026">
        <v>0.9</v>
      </c>
      <c r="AD416" s="2026">
        <v>0.9</v>
      </c>
      <c r="AE416" s="2026">
        <v>0.9</v>
      </c>
      <c r="AF416" s="2026">
        <v>0.9</v>
      </c>
      <c r="AG416" s="2027">
        <f t="shared" si="219"/>
        <v>134.1</v>
      </c>
      <c r="AH416" s="2027">
        <f t="shared" si="219"/>
        <v>134.1</v>
      </c>
      <c r="AI416" s="2027">
        <f t="shared" si="219"/>
        <v>134.1</v>
      </c>
      <c r="AJ416" s="2027">
        <f t="shared" si="219"/>
        <v>134.1</v>
      </c>
      <c r="AK416" s="2027">
        <v>2</v>
      </c>
      <c r="AL416" s="2028">
        <v>1</v>
      </c>
      <c r="AM416" s="2028">
        <v>1</v>
      </c>
      <c r="AN416" s="2028">
        <v>1</v>
      </c>
      <c r="AO416" s="2027">
        <f t="shared" si="206"/>
        <v>0</v>
      </c>
      <c r="AP416" s="2027">
        <f t="shared" si="207"/>
        <v>0</v>
      </c>
      <c r="AQ416" s="2027">
        <f t="shared" si="207"/>
        <v>0</v>
      </c>
      <c r="AR416" s="2027" t="s">
        <v>3286</v>
      </c>
      <c r="AS416" s="2027">
        <f t="shared" si="208"/>
        <v>0</v>
      </c>
      <c r="AT416" s="2027">
        <f t="shared" si="209"/>
        <v>268.2</v>
      </c>
      <c r="AU416" s="2027">
        <f t="shared" si="210"/>
        <v>134.1</v>
      </c>
      <c r="AV416" s="2027">
        <f t="shared" si="210"/>
        <v>134.1</v>
      </c>
      <c r="AW416" s="2027">
        <f t="shared" si="210"/>
        <v>134.1</v>
      </c>
      <c r="AX416" s="2124">
        <v>0</v>
      </c>
      <c r="AY416" s="2029">
        <v>0</v>
      </c>
      <c r="AZ416" s="2029">
        <v>0</v>
      </c>
      <c r="BA416" s="2029">
        <v>0</v>
      </c>
      <c r="BB416" s="2124">
        <v>200</v>
      </c>
      <c r="BC416" s="2029">
        <v>200</v>
      </c>
      <c r="BD416" s="2029">
        <v>200</v>
      </c>
      <c r="BE416" s="2029">
        <v>200</v>
      </c>
      <c r="BF416" s="2124">
        <v>60</v>
      </c>
      <c r="BG416" s="2029">
        <v>60</v>
      </c>
      <c r="BH416" s="2029">
        <v>60</v>
      </c>
      <c r="BI416" s="2029">
        <v>60</v>
      </c>
      <c r="BJ416" s="2030">
        <f t="shared" si="211"/>
        <v>0</v>
      </c>
      <c r="BK416" s="2030">
        <f t="shared" si="211"/>
        <v>0</v>
      </c>
      <c r="BL416" s="2030">
        <f t="shared" si="211"/>
        <v>0</v>
      </c>
      <c r="BM416" s="2030" t="s">
        <v>3286</v>
      </c>
      <c r="BN416" s="2030">
        <f t="shared" si="212"/>
        <v>0</v>
      </c>
      <c r="BO416" s="2030">
        <f t="shared" si="213"/>
        <v>400</v>
      </c>
      <c r="BP416" s="2030" t="s">
        <v>3286</v>
      </c>
      <c r="BQ416" s="2030">
        <f t="shared" si="214"/>
        <v>200</v>
      </c>
      <c r="BR416" s="2030">
        <f t="shared" si="214"/>
        <v>200</v>
      </c>
      <c r="BS416" s="2030">
        <f t="shared" si="214"/>
        <v>200</v>
      </c>
      <c r="BT416" s="2125"/>
      <c r="BU416" s="2125"/>
      <c r="BV416" s="2125"/>
      <c r="BW416" s="2125"/>
      <c r="BX416" s="2125"/>
      <c r="BY416" s="2125"/>
      <c r="BZ416" s="2125"/>
      <c r="CA416" s="2125"/>
      <c r="CB416" s="2029"/>
      <c r="CC416" s="2029"/>
      <c r="CD416" s="2029"/>
      <c r="CE416" s="2029"/>
      <c r="CF416" s="2029"/>
      <c r="CG416" s="2032"/>
      <c r="CH416" s="1974">
        <v>0</v>
      </c>
      <c r="CI416" s="1974">
        <v>0</v>
      </c>
      <c r="CJ416" s="1974">
        <v>0</v>
      </c>
      <c r="CK416" s="1974">
        <v>0</v>
      </c>
      <c r="CL416" s="1974">
        <v>0</v>
      </c>
      <c r="CM416" s="2033">
        <v>0</v>
      </c>
      <c r="CN416" s="2026">
        <v>4.3196107859634199E-5</v>
      </c>
      <c r="CO416" s="1974">
        <v>0</v>
      </c>
      <c r="CP416" s="2031">
        <v>0</v>
      </c>
      <c r="CQ416" s="2031">
        <f t="shared" si="215"/>
        <v>0</v>
      </c>
      <c r="CR416" s="2026">
        <v>1</v>
      </c>
      <c r="CS416" s="2026">
        <v>1</v>
      </c>
      <c r="CT416" s="2026">
        <v>1</v>
      </c>
      <c r="CU416" s="2026">
        <v>1</v>
      </c>
      <c r="CV416" s="2036"/>
      <c r="CW416" s="2036"/>
      <c r="CX416" s="2036"/>
      <c r="CY416" s="2036"/>
      <c r="CZ416" s="2036"/>
      <c r="DA416" s="2036"/>
      <c r="DB416" s="1973">
        <v>1</v>
      </c>
    </row>
    <row r="417" spans="1:106" x14ac:dyDescent="0.25">
      <c r="A417" s="2278" t="str">
        <f t="shared" si="221"/>
        <v>Gas Fryer</v>
      </c>
      <c r="B417" s="1974" t="str">
        <f t="shared" si="221"/>
        <v>BPCK12</v>
      </c>
      <c r="C417" s="2027">
        <v>15</v>
      </c>
      <c r="D417" s="2027"/>
      <c r="E417" s="2144">
        <v>0</v>
      </c>
      <c r="F417" s="2144"/>
      <c r="G417" s="2145">
        <v>0</v>
      </c>
      <c r="H417" s="2145"/>
      <c r="I417" s="2027">
        <v>505</v>
      </c>
      <c r="J417" s="2027"/>
      <c r="K417" s="1974" t="s">
        <v>2988</v>
      </c>
      <c r="L417" s="1974" t="s">
        <v>2988</v>
      </c>
      <c r="M417" s="2026">
        <v>0.9</v>
      </c>
      <c r="N417" s="2026">
        <v>0.9</v>
      </c>
      <c r="O417" s="2026">
        <v>0.9</v>
      </c>
      <c r="P417" s="2026">
        <v>0.9</v>
      </c>
      <c r="Q417" s="2027">
        <f t="shared" si="217"/>
        <v>0</v>
      </c>
      <c r="R417" s="2027">
        <f t="shared" si="217"/>
        <v>0</v>
      </c>
      <c r="S417" s="2027">
        <f t="shared" si="217"/>
        <v>0</v>
      </c>
      <c r="T417" s="2027">
        <f t="shared" si="217"/>
        <v>0</v>
      </c>
      <c r="U417" s="2026">
        <v>0.9</v>
      </c>
      <c r="V417" s="2026">
        <v>0.9</v>
      </c>
      <c r="W417" s="2026">
        <v>0.9</v>
      </c>
      <c r="X417" s="2026">
        <v>0.9</v>
      </c>
      <c r="Y417" s="2028">
        <f t="shared" si="218"/>
        <v>0</v>
      </c>
      <c r="Z417" s="2028">
        <f t="shared" si="218"/>
        <v>0</v>
      </c>
      <c r="AA417" s="2028">
        <f t="shared" si="218"/>
        <v>0</v>
      </c>
      <c r="AB417" s="2028">
        <f t="shared" si="218"/>
        <v>0</v>
      </c>
      <c r="AC417" s="2026">
        <v>0.9</v>
      </c>
      <c r="AD417" s="2026">
        <v>0.9</v>
      </c>
      <c r="AE417" s="2026">
        <v>0.9</v>
      </c>
      <c r="AF417" s="2026">
        <v>0.9</v>
      </c>
      <c r="AG417" s="2027">
        <f t="shared" si="219"/>
        <v>454.5</v>
      </c>
      <c r="AH417" s="2027">
        <f t="shared" si="219"/>
        <v>454.5</v>
      </c>
      <c r="AI417" s="2027">
        <f t="shared" si="219"/>
        <v>454.5</v>
      </c>
      <c r="AJ417" s="2027">
        <f t="shared" si="219"/>
        <v>454.5</v>
      </c>
      <c r="AK417" s="2027">
        <v>2</v>
      </c>
      <c r="AL417" s="2028">
        <v>1</v>
      </c>
      <c r="AM417" s="2028">
        <v>1</v>
      </c>
      <c r="AN417" s="2028">
        <v>1</v>
      </c>
      <c r="AO417" s="2027">
        <f t="shared" si="206"/>
        <v>0</v>
      </c>
      <c r="AP417" s="2027">
        <f t="shared" si="207"/>
        <v>0</v>
      </c>
      <c r="AQ417" s="2027">
        <f t="shared" si="207"/>
        <v>0</v>
      </c>
      <c r="AR417" s="2027" t="s">
        <v>3286</v>
      </c>
      <c r="AS417" s="2027">
        <f t="shared" si="208"/>
        <v>0</v>
      </c>
      <c r="AT417" s="2027">
        <f t="shared" si="209"/>
        <v>909</v>
      </c>
      <c r="AU417" s="2027">
        <f t="shared" si="210"/>
        <v>454.5</v>
      </c>
      <c r="AV417" s="2027">
        <f t="shared" si="210"/>
        <v>454.5</v>
      </c>
      <c r="AW417" s="2027">
        <f t="shared" si="210"/>
        <v>454.5</v>
      </c>
      <c r="AX417" s="2124">
        <v>0</v>
      </c>
      <c r="AY417" s="2029">
        <v>0</v>
      </c>
      <c r="AZ417" s="2029">
        <v>0</v>
      </c>
      <c r="BA417" s="2029">
        <v>0</v>
      </c>
      <c r="BB417" s="2124">
        <v>1200</v>
      </c>
      <c r="BC417" s="2029">
        <v>1200</v>
      </c>
      <c r="BD417" s="2029">
        <v>1200</v>
      </c>
      <c r="BE417" s="2029">
        <v>1200</v>
      </c>
      <c r="BF417" s="2124">
        <v>1200</v>
      </c>
      <c r="BG417" s="2029">
        <v>1200</v>
      </c>
      <c r="BH417" s="2029">
        <v>1200</v>
      </c>
      <c r="BI417" s="2029">
        <v>1200</v>
      </c>
      <c r="BJ417" s="2030">
        <f t="shared" si="211"/>
        <v>0</v>
      </c>
      <c r="BK417" s="2030">
        <f t="shared" si="211"/>
        <v>0</v>
      </c>
      <c r="BL417" s="2030">
        <f t="shared" si="211"/>
        <v>0</v>
      </c>
      <c r="BM417" s="2030" t="s">
        <v>3286</v>
      </c>
      <c r="BN417" s="2030">
        <f t="shared" si="212"/>
        <v>0</v>
      </c>
      <c r="BO417" s="2030">
        <f t="shared" si="213"/>
        <v>2400</v>
      </c>
      <c r="BP417" s="2030" t="s">
        <v>3286</v>
      </c>
      <c r="BQ417" s="2030">
        <f t="shared" si="214"/>
        <v>1200</v>
      </c>
      <c r="BR417" s="2030">
        <f t="shared" si="214"/>
        <v>1200</v>
      </c>
      <c r="BS417" s="2030">
        <f t="shared" si="214"/>
        <v>1200</v>
      </c>
      <c r="BT417" s="2125"/>
      <c r="BU417" s="2125"/>
      <c r="BV417" s="2125"/>
      <c r="BW417" s="2125"/>
      <c r="BX417" s="2125"/>
      <c r="BY417" s="2125"/>
      <c r="BZ417" s="2125"/>
      <c r="CA417" s="2125"/>
      <c r="CB417" s="2029"/>
      <c r="CC417" s="2029"/>
      <c r="CD417" s="2029"/>
      <c r="CE417" s="2029"/>
      <c r="CF417" s="2029"/>
      <c r="CG417" s="2032"/>
      <c r="CH417" s="1974">
        <v>0</v>
      </c>
      <c r="CI417" s="1974">
        <v>0</v>
      </c>
      <c r="CJ417" s="1974">
        <v>0</v>
      </c>
      <c r="CK417" s="1974">
        <v>0</v>
      </c>
      <c r="CL417" s="1974">
        <v>0</v>
      </c>
      <c r="CM417" s="2033">
        <v>0</v>
      </c>
      <c r="CN417" s="2026">
        <v>1.4640291590010249E-4</v>
      </c>
      <c r="CO417" s="1974">
        <v>0</v>
      </c>
      <c r="CP417" s="2031">
        <v>0</v>
      </c>
      <c r="CQ417" s="2031">
        <f t="shared" si="215"/>
        <v>0</v>
      </c>
      <c r="CR417" s="2026">
        <v>1</v>
      </c>
      <c r="CS417" s="2026">
        <v>1</v>
      </c>
      <c r="CT417" s="2026">
        <v>1</v>
      </c>
      <c r="CU417" s="2026">
        <v>1</v>
      </c>
      <c r="CV417" s="2036"/>
      <c r="CW417" s="2036"/>
      <c r="CX417" s="2036"/>
      <c r="CY417" s="2036"/>
      <c r="CZ417" s="2036"/>
      <c r="DA417" s="2036"/>
      <c r="DB417" s="1973">
        <v>1</v>
      </c>
    </row>
    <row r="418" spans="1:106" x14ac:dyDescent="0.25">
      <c r="A418" s="2278" t="str">
        <f t="shared" si="221"/>
        <v>Steam Trap Survey (HVAC)</v>
      </c>
      <c r="B418" s="1974" t="str">
        <f t="shared" si="221"/>
        <v>BPST1</v>
      </c>
      <c r="C418" s="2027">
        <v>6</v>
      </c>
      <c r="D418" s="2027"/>
      <c r="E418" s="2144">
        <v>0</v>
      </c>
      <c r="F418" s="2144"/>
      <c r="G418" s="2145">
        <v>0</v>
      </c>
      <c r="H418" s="2145"/>
      <c r="I418" s="2027">
        <v>0</v>
      </c>
      <c r="J418" s="2027"/>
      <c r="K418" s="1974" t="s">
        <v>2988</v>
      </c>
      <c r="L418" s="1974" t="s">
        <v>2988</v>
      </c>
      <c r="M418" s="2026">
        <v>0.9</v>
      </c>
      <c r="N418" s="2026">
        <v>0.9</v>
      </c>
      <c r="O418" s="2026">
        <v>0.9</v>
      </c>
      <c r="P418" s="2026">
        <v>0.9</v>
      </c>
      <c r="Q418" s="2027">
        <f t="shared" si="217"/>
        <v>0</v>
      </c>
      <c r="R418" s="2027">
        <f t="shared" si="217"/>
        <v>0</v>
      </c>
      <c r="S418" s="2027">
        <f t="shared" si="217"/>
        <v>0</v>
      </c>
      <c r="T418" s="2027">
        <f t="shared" si="217"/>
        <v>0</v>
      </c>
      <c r="U418" s="2026">
        <v>0.9</v>
      </c>
      <c r="V418" s="2026">
        <v>0.9</v>
      </c>
      <c r="W418" s="2026">
        <v>0.9</v>
      </c>
      <c r="X418" s="2026">
        <v>0.9</v>
      </c>
      <c r="Y418" s="2028">
        <f t="shared" si="218"/>
        <v>0</v>
      </c>
      <c r="Z418" s="2028">
        <f t="shared" si="218"/>
        <v>0</v>
      </c>
      <c r="AA418" s="2028">
        <f t="shared" si="218"/>
        <v>0</v>
      </c>
      <c r="AB418" s="2028">
        <f t="shared" si="218"/>
        <v>0</v>
      </c>
      <c r="AC418" s="2026">
        <v>0.9</v>
      </c>
      <c r="AD418" s="2026">
        <v>0.9</v>
      </c>
      <c r="AE418" s="2026">
        <v>0.9</v>
      </c>
      <c r="AF418" s="2026">
        <v>0.9</v>
      </c>
      <c r="AG418" s="2027">
        <f t="shared" si="219"/>
        <v>0</v>
      </c>
      <c r="AH418" s="2027">
        <f t="shared" si="219"/>
        <v>0</v>
      </c>
      <c r="AI418" s="2027">
        <f t="shared" si="219"/>
        <v>0</v>
      </c>
      <c r="AJ418" s="2027">
        <f t="shared" si="219"/>
        <v>0</v>
      </c>
      <c r="AK418" s="2027">
        <v>900</v>
      </c>
      <c r="AL418" s="2027">
        <v>900</v>
      </c>
      <c r="AM418" s="2027">
        <v>900</v>
      </c>
      <c r="AN418" s="2027">
        <v>900</v>
      </c>
      <c r="AO418" s="2027">
        <f t="shared" si="206"/>
        <v>0</v>
      </c>
      <c r="AP418" s="2027">
        <f t="shared" si="207"/>
        <v>0</v>
      </c>
      <c r="AQ418" s="2027">
        <f t="shared" si="207"/>
        <v>0</v>
      </c>
      <c r="AR418" s="2027" t="s">
        <v>3286</v>
      </c>
      <c r="AS418" s="2027">
        <f t="shared" si="208"/>
        <v>0</v>
      </c>
      <c r="AT418" s="2027">
        <f t="shared" si="209"/>
        <v>0</v>
      </c>
      <c r="AU418" s="2027">
        <f t="shared" si="210"/>
        <v>0</v>
      </c>
      <c r="AV418" s="2027">
        <f t="shared" si="210"/>
        <v>0</v>
      </c>
      <c r="AW418" s="2027">
        <f t="shared" si="210"/>
        <v>0</v>
      </c>
      <c r="AX418" s="2124">
        <v>0</v>
      </c>
      <c r="AY418" s="2029">
        <v>0</v>
      </c>
      <c r="AZ418" s="2029">
        <v>0</v>
      </c>
      <c r="BA418" s="2029">
        <v>0</v>
      </c>
      <c r="BB418" s="2124">
        <v>40</v>
      </c>
      <c r="BC418" s="2029">
        <v>40</v>
      </c>
      <c r="BD418" s="2029">
        <v>40</v>
      </c>
      <c r="BE418" s="2029">
        <v>40</v>
      </c>
      <c r="BF418" s="2124">
        <v>20</v>
      </c>
      <c r="BG418" s="2029">
        <v>20</v>
      </c>
      <c r="BH418" s="2029">
        <v>20</v>
      </c>
      <c r="BI418" s="2029">
        <v>20</v>
      </c>
      <c r="BJ418" s="2030">
        <f t="shared" si="211"/>
        <v>0</v>
      </c>
      <c r="BK418" s="2030">
        <f t="shared" si="211"/>
        <v>0</v>
      </c>
      <c r="BL418" s="2030">
        <f t="shared" si="211"/>
        <v>0</v>
      </c>
      <c r="BM418" s="2030" t="s">
        <v>3286</v>
      </c>
      <c r="BN418" s="2030">
        <f t="shared" si="212"/>
        <v>0</v>
      </c>
      <c r="BO418" s="2030">
        <f t="shared" si="213"/>
        <v>36000</v>
      </c>
      <c r="BP418" s="2030" t="s">
        <v>3286</v>
      </c>
      <c r="BQ418" s="2030">
        <f t="shared" si="214"/>
        <v>36000</v>
      </c>
      <c r="BR418" s="2030">
        <f t="shared" si="214"/>
        <v>36000</v>
      </c>
      <c r="BS418" s="2030">
        <f t="shared" si="214"/>
        <v>36000</v>
      </c>
      <c r="BT418" s="2125"/>
      <c r="BU418" s="2125"/>
      <c r="BV418" s="2125"/>
      <c r="BW418" s="2125"/>
      <c r="BX418" s="2125"/>
      <c r="BY418" s="2125"/>
      <c r="BZ418" s="2125"/>
      <c r="CA418" s="2125"/>
      <c r="CB418" s="2029"/>
      <c r="CC418" s="2029"/>
      <c r="CD418" s="2029"/>
      <c r="CE418" s="2029"/>
      <c r="CF418" s="2029"/>
      <c r="CG418" s="2032"/>
      <c r="CH418" s="1974">
        <v>0</v>
      </c>
      <c r="CI418" s="1974">
        <v>0</v>
      </c>
      <c r="CJ418" s="1974">
        <v>0</v>
      </c>
      <c r="CK418" s="1974">
        <v>0</v>
      </c>
      <c r="CL418" s="1974">
        <v>0</v>
      </c>
      <c r="CM418" s="2033">
        <v>0</v>
      </c>
      <c r="CN418" s="2026">
        <v>0</v>
      </c>
      <c r="CO418" s="1974">
        <v>0</v>
      </c>
      <c r="CP418" s="2031">
        <v>0</v>
      </c>
      <c r="CQ418" s="2031">
        <f t="shared" si="215"/>
        <v>0</v>
      </c>
      <c r="CR418" s="2026">
        <v>1</v>
      </c>
      <c r="CS418" s="2026">
        <v>1</v>
      </c>
      <c r="CT418" s="2026">
        <v>1</v>
      </c>
      <c r="CU418" s="2026">
        <v>1</v>
      </c>
      <c r="CV418" s="2036"/>
      <c r="CW418" s="2036"/>
      <c r="CX418" s="2036"/>
      <c r="CY418" s="2036"/>
      <c r="CZ418" s="2036"/>
      <c r="DA418" s="2036"/>
      <c r="DB418" s="1973">
        <v>1</v>
      </c>
    </row>
    <row r="419" spans="1:106" x14ac:dyDescent="0.25">
      <c r="A419" s="2278" t="str">
        <f t="shared" si="221"/>
        <v>Steam Trap Repair / Replacement (HVAC)</v>
      </c>
      <c r="B419" s="1974" t="str">
        <f t="shared" si="221"/>
        <v>BPST2</v>
      </c>
      <c r="C419" s="2027">
        <v>6</v>
      </c>
      <c r="D419" s="2027"/>
      <c r="E419" s="2144">
        <v>0</v>
      </c>
      <c r="F419" s="2144"/>
      <c r="G419" s="2145">
        <v>0</v>
      </c>
      <c r="H419" s="2145"/>
      <c r="I419" s="2027">
        <v>297.65043171806178</v>
      </c>
      <c r="J419" s="2027"/>
      <c r="K419" s="1974" t="s">
        <v>2988</v>
      </c>
      <c r="L419" s="1974" t="s">
        <v>2988</v>
      </c>
      <c r="M419" s="2026">
        <v>0.9</v>
      </c>
      <c r="N419" s="2026">
        <v>0.9</v>
      </c>
      <c r="O419" s="2026">
        <v>0.9</v>
      </c>
      <c r="P419" s="2026">
        <v>0.9</v>
      </c>
      <c r="Q419" s="2027">
        <f t="shared" si="217"/>
        <v>0</v>
      </c>
      <c r="R419" s="2027">
        <f t="shared" si="217"/>
        <v>0</v>
      </c>
      <c r="S419" s="2027">
        <f t="shared" si="217"/>
        <v>0</v>
      </c>
      <c r="T419" s="2027">
        <f t="shared" si="217"/>
        <v>0</v>
      </c>
      <c r="U419" s="2026">
        <v>0.9</v>
      </c>
      <c r="V419" s="2026">
        <v>0.9</v>
      </c>
      <c r="W419" s="2026">
        <v>0.9</v>
      </c>
      <c r="X419" s="2026">
        <v>0.9</v>
      </c>
      <c r="Y419" s="2028">
        <f t="shared" si="218"/>
        <v>0</v>
      </c>
      <c r="Z419" s="2028">
        <f t="shared" si="218"/>
        <v>0</v>
      </c>
      <c r="AA419" s="2028">
        <f t="shared" si="218"/>
        <v>0</v>
      </c>
      <c r="AB419" s="2028">
        <f t="shared" si="218"/>
        <v>0</v>
      </c>
      <c r="AC419" s="2026">
        <v>0.9</v>
      </c>
      <c r="AD419" s="2026">
        <v>0.9</v>
      </c>
      <c r="AE419" s="2026">
        <v>0.9</v>
      </c>
      <c r="AF419" s="2026">
        <v>0.9</v>
      </c>
      <c r="AG419" s="2027">
        <f t="shared" si="219"/>
        <v>267.88538854625563</v>
      </c>
      <c r="AH419" s="2027">
        <f t="shared" si="219"/>
        <v>267.88538854625563</v>
      </c>
      <c r="AI419" s="2027">
        <f t="shared" si="219"/>
        <v>267.88538854625563</v>
      </c>
      <c r="AJ419" s="2027">
        <f t="shared" si="219"/>
        <v>267.88538854625563</v>
      </c>
      <c r="AK419" s="2027">
        <v>150</v>
      </c>
      <c r="AL419" s="2027">
        <v>150</v>
      </c>
      <c r="AM419" s="2027">
        <v>150</v>
      </c>
      <c r="AN419" s="2027">
        <v>150</v>
      </c>
      <c r="AO419" s="2027">
        <f t="shared" si="206"/>
        <v>0</v>
      </c>
      <c r="AP419" s="2027">
        <f t="shared" si="207"/>
        <v>0</v>
      </c>
      <c r="AQ419" s="2027">
        <f t="shared" si="207"/>
        <v>0</v>
      </c>
      <c r="AR419" s="2027" t="s">
        <v>3286</v>
      </c>
      <c r="AS419" s="2027">
        <f t="shared" si="208"/>
        <v>0</v>
      </c>
      <c r="AT419" s="2027">
        <f t="shared" si="209"/>
        <v>40182.808281938342</v>
      </c>
      <c r="AU419" s="2027">
        <f t="shared" si="210"/>
        <v>40182.808281938342</v>
      </c>
      <c r="AV419" s="2027">
        <f t="shared" si="210"/>
        <v>40182.808281938342</v>
      </c>
      <c r="AW419" s="2027">
        <f t="shared" si="210"/>
        <v>40182.808281938342</v>
      </c>
      <c r="AX419" s="2124">
        <v>0</v>
      </c>
      <c r="AY419" s="2029">
        <v>0</v>
      </c>
      <c r="AZ419" s="2029">
        <v>0</v>
      </c>
      <c r="BA419" s="2029">
        <v>0</v>
      </c>
      <c r="BB419" s="2124">
        <v>100</v>
      </c>
      <c r="BC419" s="2029">
        <v>100</v>
      </c>
      <c r="BD419" s="2029">
        <v>100</v>
      </c>
      <c r="BE419" s="2029">
        <v>100</v>
      </c>
      <c r="BF419" s="2124">
        <v>77</v>
      </c>
      <c r="BG419" s="2029">
        <v>77</v>
      </c>
      <c r="BH419" s="2029">
        <v>77</v>
      </c>
      <c r="BI419" s="2029">
        <v>77</v>
      </c>
      <c r="BJ419" s="2030">
        <f t="shared" si="211"/>
        <v>0</v>
      </c>
      <c r="BK419" s="2030">
        <f t="shared" si="211"/>
        <v>0</v>
      </c>
      <c r="BL419" s="2030">
        <f t="shared" si="211"/>
        <v>0</v>
      </c>
      <c r="BM419" s="2030" t="s">
        <v>3286</v>
      </c>
      <c r="BN419" s="2030">
        <f t="shared" si="212"/>
        <v>0</v>
      </c>
      <c r="BO419" s="2030">
        <f t="shared" si="213"/>
        <v>15000</v>
      </c>
      <c r="BP419" s="2030" t="s">
        <v>3286</v>
      </c>
      <c r="BQ419" s="2030">
        <f t="shared" si="214"/>
        <v>15000</v>
      </c>
      <c r="BR419" s="2030">
        <f t="shared" si="214"/>
        <v>15000</v>
      </c>
      <c r="BS419" s="2030">
        <f t="shared" si="214"/>
        <v>15000</v>
      </c>
      <c r="BT419" s="2125"/>
      <c r="BU419" s="2125"/>
      <c r="BV419" s="2125"/>
      <c r="BW419" s="2125"/>
      <c r="BX419" s="2125"/>
      <c r="BY419" s="2125"/>
      <c r="BZ419" s="2125"/>
      <c r="CA419" s="2125"/>
      <c r="CB419" s="2029"/>
      <c r="CC419" s="2029"/>
      <c r="CD419" s="2029"/>
      <c r="CE419" s="2029"/>
      <c r="CF419" s="2029"/>
      <c r="CG419" s="2032"/>
      <c r="CH419" s="1974">
        <v>0</v>
      </c>
      <c r="CI419" s="1974">
        <v>0</v>
      </c>
      <c r="CJ419" s="1974">
        <v>0</v>
      </c>
      <c r="CK419" s="1974">
        <v>0</v>
      </c>
      <c r="CL419" s="1974">
        <v>0</v>
      </c>
      <c r="CM419" s="2033">
        <v>0</v>
      </c>
      <c r="CN419" s="2026">
        <v>7.7661786158819291E-3</v>
      </c>
      <c r="CO419" s="1974">
        <v>0</v>
      </c>
      <c r="CP419" s="2031">
        <v>0</v>
      </c>
      <c r="CQ419" s="2031">
        <f t="shared" si="215"/>
        <v>0</v>
      </c>
      <c r="CR419" s="2026">
        <v>1</v>
      </c>
      <c r="CS419" s="2026">
        <v>1</v>
      </c>
      <c r="CT419" s="2026">
        <v>1</v>
      </c>
      <c r="CU419" s="2026">
        <v>1</v>
      </c>
      <c r="CV419" s="2036"/>
      <c r="CW419" s="2036"/>
      <c r="CX419" s="2036"/>
      <c r="CY419" s="2036"/>
      <c r="CZ419" s="2036"/>
      <c r="DA419" s="2036"/>
      <c r="DB419" s="1973">
        <v>1</v>
      </c>
    </row>
    <row r="420" spans="1:106" x14ac:dyDescent="0.25">
      <c r="A420" s="2278" t="str">
        <f t="shared" si="221"/>
        <v>Steam Trap Survey (Industrial Process or Multi-use HVAC/Process Boilers over 7,750 hours per year operation)</v>
      </c>
      <c r="B420" s="1974" t="str">
        <f t="shared" si="221"/>
        <v>BPST4</v>
      </c>
      <c r="C420" s="2027">
        <v>6</v>
      </c>
      <c r="D420" s="2027"/>
      <c r="E420" s="2144">
        <v>0</v>
      </c>
      <c r="F420" s="2144"/>
      <c r="G420" s="2145">
        <v>0</v>
      </c>
      <c r="H420" s="2145"/>
      <c r="I420" s="2027">
        <v>0</v>
      </c>
      <c r="J420" s="2027"/>
      <c r="K420" s="1974" t="s">
        <v>2988</v>
      </c>
      <c r="L420" s="1974" t="s">
        <v>2988</v>
      </c>
      <c r="M420" s="2026">
        <v>0.9</v>
      </c>
      <c r="N420" s="2026">
        <v>0.9</v>
      </c>
      <c r="O420" s="2026">
        <v>0.9</v>
      </c>
      <c r="P420" s="2026">
        <v>0.9</v>
      </c>
      <c r="Q420" s="2027">
        <f t="shared" si="217"/>
        <v>0</v>
      </c>
      <c r="R420" s="2027">
        <f t="shared" si="217"/>
        <v>0</v>
      </c>
      <c r="S420" s="2027">
        <f t="shared" si="217"/>
        <v>0</v>
      </c>
      <c r="T420" s="2027">
        <f t="shared" si="217"/>
        <v>0</v>
      </c>
      <c r="U420" s="2026">
        <v>0.9</v>
      </c>
      <c r="V420" s="2026">
        <v>0.9</v>
      </c>
      <c r="W420" s="2026">
        <v>0.9</v>
      </c>
      <c r="X420" s="2026">
        <v>0.9</v>
      </c>
      <c r="Y420" s="2028">
        <f t="shared" si="218"/>
        <v>0</v>
      </c>
      <c r="Z420" s="2028">
        <f t="shared" si="218"/>
        <v>0</v>
      </c>
      <c r="AA420" s="2028">
        <f t="shared" si="218"/>
        <v>0</v>
      </c>
      <c r="AB420" s="2028">
        <f t="shared" si="218"/>
        <v>0</v>
      </c>
      <c r="AC420" s="2026">
        <v>0.9</v>
      </c>
      <c r="AD420" s="2026">
        <v>0.9</v>
      </c>
      <c r="AE420" s="2026">
        <v>0.9</v>
      </c>
      <c r="AF420" s="2026">
        <v>0.9</v>
      </c>
      <c r="AG420" s="2027">
        <f t="shared" si="219"/>
        <v>0</v>
      </c>
      <c r="AH420" s="2027">
        <f t="shared" si="219"/>
        <v>0</v>
      </c>
      <c r="AI420" s="2027">
        <f t="shared" si="219"/>
        <v>0</v>
      </c>
      <c r="AJ420" s="2027">
        <f t="shared" si="219"/>
        <v>0</v>
      </c>
      <c r="AK420" s="2027">
        <v>30</v>
      </c>
      <c r="AL420" s="2027">
        <v>30</v>
      </c>
      <c r="AM420" s="2027">
        <v>30</v>
      </c>
      <c r="AN420" s="2027">
        <v>30</v>
      </c>
      <c r="AO420" s="2027">
        <f t="shared" si="206"/>
        <v>0</v>
      </c>
      <c r="AP420" s="2027">
        <f t="shared" ref="AP420:AQ448" si="222">AL420*R420*CS420</f>
        <v>0</v>
      </c>
      <c r="AQ420" s="2027">
        <f t="shared" si="222"/>
        <v>0</v>
      </c>
      <c r="AR420" s="2027" t="s">
        <v>3286</v>
      </c>
      <c r="AS420" s="2027">
        <f t="shared" si="208"/>
        <v>0</v>
      </c>
      <c r="AT420" s="2027">
        <f t="shared" si="209"/>
        <v>0</v>
      </c>
      <c r="AU420" s="2027">
        <f t="shared" ref="AU420:AW448" si="223">AL420*AH420*CS420</f>
        <v>0</v>
      </c>
      <c r="AV420" s="2027">
        <f t="shared" si="223"/>
        <v>0</v>
      </c>
      <c r="AW420" s="2027">
        <f t="shared" si="223"/>
        <v>0</v>
      </c>
      <c r="AX420" s="2124">
        <v>0</v>
      </c>
      <c r="AY420" s="2029">
        <v>0</v>
      </c>
      <c r="AZ420" s="2029">
        <v>0</v>
      </c>
      <c r="BA420" s="2029">
        <v>0</v>
      </c>
      <c r="BB420" s="2124">
        <v>46.54</v>
      </c>
      <c r="BC420" s="2029">
        <v>46.54</v>
      </c>
      <c r="BD420" s="2029">
        <v>46.54</v>
      </c>
      <c r="BE420" s="2029">
        <v>46.54</v>
      </c>
      <c r="BF420" s="2124">
        <v>20</v>
      </c>
      <c r="BG420" s="2029">
        <v>20</v>
      </c>
      <c r="BH420" s="2029">
        <v>20</v>
      </c>
      <c r="BI420" s="2029">
        <v>20</v>
      </c>
      <c r="BJ420" s="2030">
        <f t="shared" ref="BJ420:BL448" si="224">AX420*AK420</f>
        <v>0</v>
      </c>
      <c r="BK420" s="2030">
        <f t="shared" si="224"/>
        <v>0</v>
      </c>
      <c r="BL420" s="2030">
        <f t="shared" si="224"/>
        <v>0</v>
      </c>
      <c r="BM420" s="2030" t="s">
        <v>3286</v>
      </c>
      <c r="BN420" s="2030">
        <f t="shared" si="212"/>
        <v>0</v>
      </c>
      <c r="BO420" s="2030">
        <f t="shared" si="213"/>
        <v>1396.2</v>
      </c>
      <c r="BP420" s="2030" t="s">
        <v>3286</v>
      </c>
      <c r="BQ420" s="2030">
        <f t="shared" ref="BQ420:BS448" si="225">BC420*AL420</f>
        <v>1396.2</v>
      </c>
      <c r="BR420" s="2030">
        <f t="shared" si="225"/>
        <v>1396.2</v>
      </c>
      <c r="BS420" s="2030">
        <f t="shared" si="225"/>
        <v>1396.2</v>
      </c>
      <c r="BT420" s="2125"/>
      <c r="BU420" s="2125"/>
      <c r="BV420" s="2125"/>
      <c r="BW420" s="2125"/>
      <c r="BX420" s="2125"/>
      <c r="BY420" s="2125"/>
      <c r="BZ420" s="2125"/>
      <c r="CA420" s="2125"/>
      <c r="CB420" s="2029"/>
      <c r="CC420" s="2029"/>
      <c r="CD420" s="2029"/>
      <c r="CE420" s="2029"/>
      <c r="CF420" s="2029"/>
      <c r="CG420" s="2032"/>
      <c r="CH420" s="1974">
        <v>0</v>
      </c>
      <c r="CI420" s="1974">
        <v>0</v>
      </c>
      <c r="CJ420" s="1974">
        <v>0</v>
      </c>
      <c r="CK420" s="1974">
        <v>0</v>
      </c>
      <c r="CL420" s="1974">
        <v>0</v>
      </c>
      <c r="CM420" s="2033">
        <v>0</v>
      </c>
      <c r="CN420" s="2026">
        <v>0</v>
      </c>
      <c r="CO420" s="1974">
        <v>0</v>
      </c>
      <c r="CP420" s="2031">
        <v>0</v>
      </c>
      <c r="CQ420" s="2031">
        <f t="shared" si="215"/>
        <v>0</v>
      </c>
      <c r="CR420" s="2026">
        <v>1</v>
      </c>
      <c r="CS420" s="2026">
        <v>1</v>
      </c>
      <c r="CT420" s="2026">
        <v>1</v>
      </c>
      <c r="CU420" s="2026">
        <v>1</v>
      </c>
      <c r="CV420" s="2036"/>
      <c r="CW420" s="2036"/>
      <c r="CX420" s="2036"/>
      <c r="CY420" s="2036"/>
      <c r="CZ420" s="2036"/>
      <c r="DA420" s="2036"/>
      <c r="DB420" s="1973">
        <v>1</v>
      </c>
    </row>
    <row r="421" spans="1:106" s="2138" customFormat="1" ht="12" thickBot="1" x14ac:dyDescent="0.3">
      <c r="A421" s="2278" t="str">
        <f t="shared" si="221"/>
        <v>Steam Trap Repair / Replacement (Industrial Process or Multi-use HVAC/Process Boilers over 7,750 hours per year operation)</v>
      </c>
      <c r="B421" s="1974" t="str">
        <f t="shared" si="221"/>
        <v>BPST5</v>
      </c>
      <c r="C421" s="2027">
        <v>6</v>
      </c>
      <c r="D421" s="2027"/>
      <c r="E421" s="2144">
        <v>0</v>
      </c>
      <c r="F421" s="2144"/>
      <c r="G421" s="2145">
        <v>0</v>
      </c>
      <c r="H421" s="2145"/>
      <c r="I421" s="2027">
        <v>4382.0432722457281</v>
      </c>
      <c r="J421" s="2027"/>
      <c r="K421" s="1974" t="s">
        <v>2988</v>
      </c>
      <c r="L421" s="1974" t="s">
        <v>2988</v>
      </c>
      <c r="M421" s="2026">
        <v>0.9</v>
      </c>
      <c r="N421" s="2026">
        <v>0.9</v>
      </c>
      <c r="O421" s="2026">
        <v>0.9</v>
      </c>
      <c r="P421" s="2026">
        <v>0.9</v>
      </c>
      <c r="Q421" s="2027">
        <f t="shared" si="217"/>
        <v>0</v>
      </c>
      <c r="R421" s="2027">
        <f t="shared" si="217"/>
        <v>0</v>
      </c>
      <c r="S421" s="2027">
        <f t="shared" si="217"/>
        <v>0</v>
      </c>
      <c r="T421" s="2027">
        <f t="shared" si="217"/>
        <v>0</v>
      </c>
      <c r="U421" s="2026">
        <v>0.9</v>
      </c>
      <c r="V421" s="2026">
        <v>0.9</v>
      </c>
      <c r="W421" s="2026">
        <v>0.9</v>
      </c>
      <c r="X421" s="2026">
        <v>0.9</v>
      </c>
      <c r="Y421" s="2028">
        <f t="shared" si="218"/>
        <v>0</v>
      </c>
      <c r="Z421" s="2028">
        <f t="shared" si="218"/>
        <v>0</v>
      </c>
      <c r="AA421" s="2028">
        <f t="shared" si="218"/>
        <v>0</v>
      </c>
      <c r="AB421" s="2028">
        <f t="shared" si="218"/>
        <v>0</v>
      </c>
      <c r="AC421" s="2026">
        <v>0.9</v>
      </c>
      <c r="AD421" s="2026">
        <v>0.9</v>
      </c>
      <c r="AE421" s="2026">
        <v>0.9</v>
      </c>
      <c r="AF421" s="2026">
        <v>0.9</v>
      </c>
      <c r="AG421" s="2027">
        <f t="shared" si="219"/>
        <v>3943.8389450211553</v>
      </c>
      <c r="AH421" s="2027">
        <f t="shared" si="219"/>
        <v>3943.8389450211553</v>
      </c>
      <c r="AI421" s="2027">
        <f t="shared" si="219"/>
        <v>3943.8389450211553</v>
      </c>
      <c r="AJ421" s="2027">
        <f t="shared" si="219"/>
        <v>3943.8389450211553</v>
      </c>
      <c r="AK421" s="2027">
        <v>5</v>
      </c>
      <c r="AL421" s="2027">
        <v>5</v>
      </c>
      <c r="AM421" s="2027">
        <v>5</v>
      </c>
      <c r="AN421" s="2027">
        <v>5</v>
      </c>
      <c r="AO421" s="2027">
        <f t="shared" si="206"/>
        <v>0</v>
      </c>
      <c r="AP421" s="2027">
        <f t="shared" si="222"/>
        <v>0</v>
      </c>
      <c r="AQ421" s="2027">
        <f t="shared" si="222"/>
        <v>0</v>
      </c>
      <c r="AR421" s="2027" t="s">
        <v>3286</v>
      </c>
      <c r="AS421" s="2027">
        <f t="shared" si="208"/>
        <v>0</v>
      </c>
      <c r="AT421" s="2027">
        <f t="shared" si="209"/>
        <v>19719.194725105775</v>
      </c>
      <c r="AU421" s="2027">
        <f t="shared" si="223"/>
        <v>19719.194725105775</v>
      </c>
      <c r="AV421" s="2027">
        <f t="shared" si="223"/>
        <v>19719.194725105775</v>
      </c>
      <c r="AW421" s="2027">
        <f t="shared" si="223"/>
        <v>19719.194725105775</v>
      </c>
      <c r="AX421" s="2124">
        <v>0</v>
      </c>
      <c r="AY421" s="2029">
        <v>0</v>
      </c>
      <c r="AZ421" s="2029">
        <v>0</v>
      </c>
      <c r="BA421" s="2029">
        <v>0</v>
      </c>
      <c r="BB421" s="2124">
        <v>263</v>
      </c>
      <c r="BC421" s="2029">
        <v>263</v>
      </c>
      <c r="BD421" s="2029">
        <v>263</v>
      </c>
      <c r="BE421" s="2029">
        <v>263</v>
      </c>
      <c r="BF421" s="2124">
        <v>275.3700657894737</v>
      </c>
      <c r="BG421" s="2029">
        <v>275.3700657894737</v>
      </c>
      <c r="BH421" s="2029">
        <v>275.3700657894737</v>
      </c>
      <c r="BI421" s="2029">
        <v>275.3700657894737</v>
      </c>
      <c r="BJ421" s="2030">
        <f t="shared" si="224"/>
        <v>0</v>
      </c>
      <c r="BK421" s="2030">
        <f t="shared" si="224"/>
        <v>0</v>
      </c>
      <c r="BL421" s="2030">
        <f t="shared" si="224"/>
        <v>0</v>
      </c>
      <c r="BM421" s="2030" t="s">
        <v>3286</v>
      </c>
      <c r="BN421" s="2030">
        <f t="shared" si="212"/>
        <v>0</v>
      </c>
      <c r="BO421" s="2030">
        <f t="shared" si="213"/>
        <v>1315</v>
      </c>
      <c r="BP421" s="2030" t="s">
        <v>3286</v>
      </c>
      <c r="BQ421" s="2030">
        <f t="shared" si="225"/>
        <v>1315</v>
      </c>
      <c r="BR421" s="2030">
        <f t="shared" si="225"/>
        <v>1315</v>
      </c>
      <c r="BS421" s="2030">
        <f t="shared" si="225"/>
        <v>1315</v>
      </c>
      <c r="BT421" s="2125"/>
      <c r="BU421" s="2125"/>
      <c r="BV421" s="2125"/>
      <c r="BW421" s="2125"/>
      <c r="BX421" s="2125"/>
      <c r="BY421" s="2125"/>
      <c r="BZ421" s="2125"/>
      <c r="CA421" s="2125"/>
      <c r="CB421" s="2029"/>
      <c r="CC421" s="2029"/>
      <c r="CD421" s="2029"/>
      <c r="CE421" s="2029"/>
      <c r="CF421" s="2029"/>
      <c r="CG421" s="2032"/>
      <c r="CH421" s="1974">
        <v>0</v>
      </c>
      <c r="CI421" s="1974">
        <v>0</v>
      </c>
      <c r="CJ421" s="1974">
        <v>0</v>
      </c>
      <c r="CK421" s="1974">
        <v>0</v>
      </c>
      <c r="CL421" s="1974">
        <v>0</v>
      </c>
      <c r="CM421" s="2033">
        <v>0</v>
      </c>
      <c r="CN421" s="2026">
        <v>6.3519199272990224E-3</v>
      </c>
      <c r="CO421" s="1974">
        <v>0</v>
      </c>
      <c r="CP421" s="2031">
        <v>0</v>
      </c>
      <c r="CQ421" s="2031">
        <f t="shared" si="215"/>
        <v>0</v>
      </c>
      <c r="CR421" s="2026">
        <v>1</v>
      </c>
      <c r="CS421" s="2026">
        <v>1</v>
      </c>
      <c r="CT421" s="2026">
        <v>1</v>
      </c>
      <c r="CU421" s="2026">
        <v>1</v>
      </c>
      <c r="CV421" s="2036"/>
      <c r="CW421" s="2036"/>
      <c r="CX421" s="2036"/>
      <c r="CY421" s="2036"/>
      <c r="CZ421" s="2036"/>
      <c r="DA421" s="2036"/>
      <c r="DB421" s="1973">
        <v>1</v>
      </c>
    </row>
    <row r="422" spans="1:106" x14ac:dyDescent="0.25">
      <c r="A422" s="2281" t="str">
        <f>A225</f>
        <v>Rooftop Unit Controls</v>
      </c>
      <c r="B422" s="1974" t="str">
        <f>IF(B225="","",B225)</f>
        <v/>
      </c>
      <c r="C422" s="2027">
        <v>10</v>
      </c>
      <c r="D422" s="2027"/>
      <c r="E422" s="2144">
        <v>330</v>
      </c>
      <c r="F422" s="2144"/>
      <c r="G422" s="2145">
        <v>0</v>
      </c>
      <c r="H422" s="2145"/>
      <c r="I422" s="2027">
        <v>0</v>
      </c>
      <c r="J422" s="2027"/>
      <c r="K422" s="1974" t="s">
        <v>2988</v>
      </c>
      <c r="L422" s="1974" t="s">
        <v>2988</v>
      </c>
      <c r="M422" s="2026">
        <v>0.9</v>
      </c>
      <c r="N422" s="2026">
        <v>0.9</v>
      </c>
      <c r="O422" s="2026">
        <v>0.9</v>
      </c>
      <c r="P422" s="2026">
        <v>0.9</v>
      </c>
      <c r="Q422" s="2027">
        <f t="shared" ref="Q422:T437" si="226">$E422*M422</f>
        <v>297</v>
      </c>
      <c r="R422" s="2027">
        <f t="shared" si="226"/>
        <v>297</v>
      </c>
      <c r="S422" s="2027">
        <f t="shared" si="226"/>
        <v>297</v>
      </c>
      <c r="T422" s="2027">
        <f t="shared" si="226"/>
        <v>297</v>
      </c>
      <c r="U422" s="2026">
        <v>0.9</v>
      </c>
      <c r="V422" s="2026">
        <v>0.9</v>
      </c>
      <c r="W422" s="2026">
        <v>0.9</v>
      </c>
      <c r="X422" s="2026">
        <v>0.9</v>
      </c>
      <c r="Y422" s="2028">
        <f t="shared" ref="Y422:AB437" si="227">$G422*U422</f>
        <v>0</v>
      </c>
      <c r="Z422" s="2028">
        <f t="shared" si="227"/>
        <v>0</v>
      </c>
      <c r="AA422" s="2028">
        <f t="shared" si="227"/>
        <v>0</v>
      </c>
      <c r="AB422" s="2028">
        <f t="shared" si="227"/>
        <v>0</v>
      </c>
      <c r="AC422" s="2026">
        <v>0.9</v>
      </c>
      <c r="AD422" s="2026">
        <v>0.9</v>
      </c>
      <c r="AE422" s="2026">
        <v>0.9</v>
      </c>
      <c r="AF422" s="2026">
        <v>0.9</v>
      </c>
      <c r="AG422" s="2027">
        <f t="shared" ref="AG422:AJ437" si="228">$I422*AC422</f>
        <v>0</v>
      </c>
      <c r="AH422" s="2027">
        <f t="shared" si="228"/>
        <v>0</v>
      </c>
      <c r="AI422" s="2027">
        <f t="shared" si="228"/>
        <v>0</v>
      </c>
      <c r="AJ422" s="2027">
        <f t="shared" si="228"/>
        <v>0</v>
      </c>
      <c r="AK422" s="2027">
        <v>4</v>
      </c>
      <c r="AL422" s="2027">
        <v>4</v>
      </c>
      <c r="AM422" s="2027">
        <v>4</v>
      </c>
      <c r="AN422" s="2027">
        <v>4</v>
      </c>
      <c r="AO422" s="2027">
        <f t="shared" si="206"/>
        <v>1188</v>
      </c>
      <c r="AP422" s="2027">
        <f t="shared" si="222"/>
        <v>1188</v>
      </c>
      <c r="AQ422" s="2027">
        <f t="shared" si="222"/>
        <v>1188</v>
      </c>
      <c r="AR422" s="2027" t="s">
        <v>3286</v>
      </c>
      <c r="AS422" s="2027">
        <f t="shared" si="208"/>
        <v>1188</v>
      </c>
      <c r="AT422" s="2027">
        <f t="shared" si="209"/>
        <v>0</v>
      </c>
      <c r="AU422" s="2027">
        <f t="shared" si="223"/>
        <v>0</v>
      </c>
      <c r="AV422" s="2027">
        <f t="shared" si="223"/>
        <v>0</v>
      </c>
      <c r="AW422" s="2027">
        <f t="shared" si="223"/>
        <v>0</v>
      </c>
      <c r="AX422" s="2124">
        <v>150</v>
      </c>
      <c r="AY422" s="2029">
        <v>150</v>
      </c>
      <c r="AZ422" s="2029">
        <v>150</v>
      </c>
      <c r="BA422" s="2029">
        <v>150</v>
      </c>
      <c r="BB422" s="2124">
        <v>0</v>
      </c>
      <c r="BC422" s="2029">
        <v>0</v>
      </c>
      <c r="BD422" s="2029">
        <v>0</v>
      </c>
      <c r="BE422" s="2029">
        <v>0</v>
      </c>
      <c r="BF422" s="2124">
        <v>300</v>
      </c>
      <c r="BG422" s="2029">
        <v>300</v>
      </c>
      <c r="BH422" s="2029">
        <v>300</v>
      </c>
      <c r="BI422" s="2029">
        <v>300</v>
      </c>
      <c r="BJ422" s="2030">
        <f t="shared" si="224"/>
        <v>600</v>
      </c>
      <c r="BK422" s="2030">
        <f t="shared" si="224"/>
        <v>600</v>
      </c>
      <c r="BL422" s="2030">
        <f t="shared" si="224"/>
        <v>600</v>
      </c>
      <c r="BM422" s="2030" t="s">
        <v>3286</v>
      </c>
      <c r="BN422" s="2030">
        <f t="shared" si="212"/>
        <v>600</v>
      </c>
      <c r="BO422" s="2030">
        <f t="shared" si="213"/>
        <v>0</v>
      </c>
      <c r="BP422" s="2030" t="s">
        <v>3286</v>
      </c>
      <c r="BQ422" s="2030">
        <f t="shared" si="225"/>
        <v>0</v>
      </c>
      <c r="BR422" s="2030">
        <f t="shared" si="225"/>
        <v>0</v>
      </c>
      <c r="BS422" s="2030">
        <f t="shared" si="225"/>
        <v>0</v>
      </c>
      <c r="BT422" s="2125"/>
      <c r="BU422" s="2125"/>
      <c r="BV422" s="2125"/>
      <c r="BW422" s="2125"/>
      <c r="BX422" s="2125"/>
      <c r="BY422" s="2125"/>
      <c r="BZ422" s="2125"/>
      <c r="CA422" s="2125"/>
      <c r="CB422" s="2029"/>
      <c r="CC422" s="2029"/>
      <c r="CD422" s="2029"/>
      <c r="CE422" s="2029"/>
      <c r="CF422" s="2029"/>
      <c r="CG422" s="2032"/>
      <c r="CH422" s="1974">
        <v>0</v>
      </c>
      <c r="CI422" s="1974">
        <v>0</v>
      </c>
      <c r="CJ422" s="1974">
        <v>0</v>
      </c>
      <c r="CK422" s="1974">
        <v>0</v>
      </c>
      <c r="CL422" s="1974">
        <v>0</v>
      </c>
      <c r="CM422" s="2033">
        <v>3.979227016664525E-6</v>
      </c>
      <c r="CN422" s="2026">
        <v>0</v>
      </c>
      <c r="CO422" s="1974">
        <v>0</v>
      </c>
      <c r="CP422" s="2031">
        <v>0</v>
      </c>
      <c r="CQ422" s="2031">
        <f t="shared" si="215"/>
        <v>0</v>
      </c>
      <c r="CR422" s="2026">
        <v>1</v>
      </c>
      <c r="CS422" s="2026">
        <v>1</v>
      </c>
      <c r="CT422" s="2026">
        <v>1</v>
      </c>
      <c r="CU422" s="2026">
        <v>1</v>
      </c>
      <c r="CV422" s="2036"/>
      <c r="CW422" s="2036"/>
      <c r="CX422" s="2036"/>
      <c r="CY422" s="2036"/>
      <c r="CZ422" s="2036"/>
      <c r="DA422" s="2036"/>
      <c r="DB422" s="1973">
        <v>1</v>
      </c>
    </row>
    <row r="423" spans="1:106" x14ac:dyDescent="0.25">
      <c r="A423" s="2281" t="str">
        <f t="shared" ref="A423:A442" si="229">A227</f>
        <v>Ductless Heat Pumps</v>
      </c>
      <c r="B423" s="1974" t="str">
        <f t="shared" ref="B423:B442" si="230">IF(B227="","",B227)</f>
        <v/>
      </c>
      <c r="C423" s="2027">
        <v>18</v>
      </c>
      <c r="D423" s="2027"/>
      <c r="E423" s="2144">
        <v>4596</v>
      </c>
      <c r="F423" s="2144"/>
      <c r="G423" s="2145">
        <v>1.4</v>
      </c>
      <c r="H423" s="2145"/>
      <c r="I423" s="2027">
        <v>0</v>
      </c>
      <c r="J423" s="2027"/>
      <c r="K423" s="1974" t="s">
        <v>2988</v>
      </c>
      <c r="L423" s="1974" t="s">
        <v>2988</v>
      </c>
      <c r="M423" s="2026">
        <v>0.9</v>
      </c>
      <c r="N423" s="2026">
        <v>0.9</v>
      </c>
      <c r="O423" s="2026">
        <v>0.9</v>
      </c>
      <c r="P423" s="2026">
        <v>0.9</v>
      </c>
      <c r="Q423" s="2027">
        <f t="shared" si="226"/>
        <v>4136.4000000000005</v>
      </c>
      <c r="R423" s="2027">
        <f t="shared" si="226"/>
        <v>4136.4000000000005</v>
      </c>
      <c r="S423" s="2027">
        <f t="shared" si="226"/>
        <v>4136.4000000000005</v>
      </c>
      <c r="T423" s="2027">
        <f t="shared" si="226"/>
        <v>4136.4000000000005</v>
      </c>
      <c r="U423" s="2026">
        <v>0.9</v>
      </c>
      <c r="V423" s="2026">
        <v>0.9</v>
      </c>
      <c r="W423" s="2026">
        <v>0.9</v>
      </c>
      <c r="X423" s="2026">
        <v>0.9</v>
      </c>
      <c r="Y423" s="2028">
        <f t="shared" si="227"/>
        <v>1.26</v>
      </c>
      <c r="Z423" s="2028">
        <f t="shared" si="227"/>
        <v>1.26</v>
      </c>
      <c r="AA423" s="2028">
        <f t="shared" si="227"/>
        <v>1.26</v>
      </c>
      <c r="AB423" s="2028">
        <f t="shared" si="227"/>
        <v>1.26</v>
      </c>
      <c r="AC423" s="2026">
        <v>0.9</v>
      </c>
      <c r="AD423" s="2026">
        <v>0.9</v>
      </c>
      <c r="AE423" s="2026">
        <v>0.9</v>
      </c>
      <c r="AF423" s="2026">
        <v>0.9</v>
      </c>
      <c r="AG423" s="2027">
        <f t="shared" si="228"/>
        <v>0</v>
      </c>
      <c r="AH423" s="2027">
        <f t="shared" si="228"/>
        <v>0</v>
      </c>
      <c r="AI423" s="2027">
        <f t="shared" si="228"/>
        <v>0</v>
      </c>
      <c r="AJ423" s="2027">
        <f t="shared" si="228"/>
        <v>0</v>
      </c>
      <c r="AK423" s="2027">
        <v>3</v>
      </c>
      <c r="AL423" s="2028">
        <v>3</v>
      </c>
      <c r="AM423" s="2028">
        <v>3</v>
      </c>
      <c r="AN423" s="2028">
        <v>3</v>
      </c>
      <c r="AO423" s="2027">
        <f t="shared" si="206"/>
        <v>12409.2</v>
      </c>
      <c r="AP423" s="2027">
        <f t="shared" si="222"/>
        <v>12409.2</v>
      </c>
      <c r="AQ423" s="2027">
        <f t="shared" si="222"/>
        <v>12409.2</v>
      </c>
      <c r="AR423" s="2027" t="s">
        <v>3286</v>
      </c>
      <c r="AS423" s="2027">
        <f t="shared" si="208"/>
        <v>12409.2</v>
      </c>
      <c r="AT423" s="2027">
        <f t="shared" si="209"/>
        <v>0</v>
      </c>
      <c r="AU423" s="2027">
        <f t="shared" si="223"/>
        <v>0</v>
      </c>
      <c r="AV423" s="2027">
        <f t="shared" si="223"/>
        <v>0</v>
      </c>
      <c r="AW423" s="2027">
        <f t="shared" si="223"/>
        <v>0</v>
      </c>
      <c r="AX423" s="2124">
        <v>700</v>
      </c>
      <c r="AY423" s="2029">
        <v>700</v>
      </c>
      <c r="AZ423" s="2029">
        <v>700</v>
      </c>
      <c r="BA423" s="2029">
        <v>700</v>
      </c>
      <c r="BB423" s="2124">
        <v>0</v>
      </c>
      <c r="BC423" s="2029">
        <v>0</v>
      </c>
      <c r="BD423" s="2029">
        <v>0</v>
      </c>
      <c r="BE423" s="2029">
        <v>0</v>
      </c>
      <c r="BF423" s="2124">
        <v>3750</v>
      </c>
      <c r="BG423" s="2029">
        <v>3750</v>
      </c>
      <c r="BH423" s="2029">
        <v>3750</v>
      </c>
      <c r="BI423" s="2029">
        <v>3750</v>
      </c>
      <c r="BJ423" s="2030">
        <f t="shared" si="224"/>
        <v>2100</v>
      </c>
      <c r="BK423" s="2030">
        <f t="shared" si="224"/>
        <v>2100</v>
      </c>
      <c r="BL423" s="2030">
        <f t="shared" si="224"/>
        <v>2100</v>
      </c>
      <c r="BM423" s="2030" t="s">
        <v>3286</v>
      </c>
      <c r="BN423" s="2030">
        <f t="shared" si="212"/>
        <v>2100</v>
      </c>
      <c r="BO423" s="2030">
        <f t="shared" si="213"/>
        <v>0</v>
      </c>
      <c r="BP423" s="2030" t="s">
        <v>3286</v>
      </c>
      <c r="BQ423" s="2030">
        <f t="shared" si="225"/>
        <v>0</v>
      </c>
      <c r="BR423" s="2030">
        <f t="shared" si="225"/>
        <v>0</v>
      </c>
      <c r="BS423" s="2030">
        <f t="shared" si="225"/>
        <v>0</v>
      </c>
      <c r="BT423" s="2125"/>
      <c r="BU423" s="2125"/>
      <c r="BV423" s="2125"/>
      <c r="BW423" s="2125"/>
      <c r="BX423" s="2125"/>
      <c r="BY423" s="2125"/>
      <c r="BZ423" s="2125"/>
      <c r="CA423" s="2125"/>
      <c r="CB423" s="2029"/>
      <c r="CC423" s="2029"/>
      <c r="CD423" s="2029"/>
      <c r="CE423" s="2029"/>
      <c r="CF423" s="2029"/>
      <c r="CG423" s="2032"/>
      <c r="CH423" s="1974">
        <v>0</v>
      </c>
      <c r="CI423" s="1974">
        <v>0</v>
      </c>
      <c r="CJ423" s="1974">
        <v>0</v>
      </c>
      <c r="CK423" s="1974">
        <v>0</v>
      </c>
      <c r="CL423" s="1974">
        <v>0</v>
      </c>
      <c r="CM423" s="2033">
        <v>4.1564834928613996E-5</v>
      </c>
      <c r="CN423" s="2026">
        <v>0</v>
      </c>
      <c r="CO423" s="1974">
        <v>0</v>
      </c>
      <c r="CP423" s="2031">
        <v>0</v>
      </c>
      <c r="CQ423" s="2031">
        <f t="shared" si="215"/>
        <v>0</v>
      </c>
      <c r="CR423" s="2026">
        <v>1</v>
      </c>
      <c r="CS423" s="2026">
        <v>1</v>
      </c>
      <c r="CT423" s="2026">
        <v>1</v>
      </c>
      <c r="CU423" s="2026">
        <v>1</v>
      </c>
      <c r="CV423" s="2036"/>
      <c r="CW423" s="2036"/>
      <c r="CX423" s="2036"/>
      <c r="CY423" s="2036"/>
      <c r="CZ423" s="2036"/>
      <c r="DA423" s="2036"/>
      <c r="DB423" s="1973">
        <v>1</v>
      </c>
    </row>
    <row r="424" spans="1:106" x14ac:dyDescent="0.25">
      <c r="A424" s="2027" t="str">
        <f t="shared" si="229"/>
        <v>Night Curtains</v>
      </c>
      <c r="B424" s="1974" t="str">
        <f t="shared" si="230"/>
        <v/>
      </c>
      <c r="C424" s="2027">
        <v>0</v>
      </c>
      <c r="D424" s="2027"/>
      <c r="E424" s="2144">
        <v>0</v>
      </c>
      <c r="F424" s="2144"/>
      <c r="G424" s="2145">
        <v>0</v>
      </c>
      <c r="H424" s="2145"/>
      <c r="I424" s="2027">
        <v>0</v>
      </c>
      <c r="J424" s="2027"/>
      <c r="K424" s="1974" t="s">
        <v>2988</v>
      </c>
      <c r="L424" s="1974" t="s">
        <v>2988</v>
      </c>
      <c r="M424" s="2026">
        <v>0.9</v>
      </c>
      <c r="N424" s="2026">
        <v>0.9</v>
      </c>
      <c r="O424" s="2026">
        <v>0.9</v>
      </c>
      <c r="P424" s="2026">
        <v>0.9</v>
      </c>
      <c r="Q424" s="2027">
        <f t="shared" si="226"/>
        <v>0</v>
      </c>
      <c r="R424" s="2027">
        <f t="shared" si="226"/>
        <v>0</v>
      </c>
      <c r="S424" s="2027">
        <f t="shared" si="226"/>
        <v>0</v>
      </c>
      <c r="T424" s="2027">
        <f t="shared" si="226"/>
        <v>0</v>
      </c>
      <c r="U424" s="2026">
        <v>0.9</v>
      </c>
      <c r="V424" s="2026">
        <v>0.9</v>
      </c>
      <c r="W424" s="2026">
        <v>0.9</v>
      </c>
      <c r="X424" s="2026">
        <v>0.9</v>
      </c>
      <c r="Y424" s="2028">
        <f t="shared" si="227"/>
        <v>0</v>
      </c>
      <c r="Z424" s="2028">
        <f t="shared" si="227"/>
        <v>0</v>
      </c>
      <c r="AA424" s="2028">
        <f t="shared" si="227"/>
        <v>0</v>
      </c>
      <c r="AB424" s="2028">
        <f t="shared" si="227"/>
        <v>0</v>
      </c>
      <c r="AC424" s="2026">
        <v>0.9</v>
      </c>
      <c r="AD424" s="2026">
        <v>0.9</v>
      </c>
      <c r="AE424" s="2026">
        <v>0.9</v>
      </c>
      <c r="AF424" s="2026">
        <v>0.9</v>
      </c>
      <c r="AG424" s="2027">
        <f t="shared" si="228"/>
        <v>0</v>
      </c>
      <c r="AH424" s="2027">
        <f t="shared" si="228"/>
        <v>0</v>
      </c>
      <c r="AI424" s="2027">
        <f t="shared" si="228"/>
        <v>0</v>
      </c>
      <c r="AJ424" s="2027">
        <f t="shared" si="228"/>
        <v>0</v>
      </c>
      <c r="AK424" s="2027">
        <v>0</v>
      </c>
      <c r="AL424" s="2028"/>
      <c r="AM424" s="2028"/>
      <c r="AN424" s="2028"/>
      <c r="AO424" s="2027">
        <f t="shared" si="206"/>
        <v>0</v>
      </c>
      <c r="AP424" s="2027">
        <f t="shared" si="222"/>
        <v>0</v>
      </c>
      <c r="AQ424" s="2027">
        <f t="shared" si="222"/>
        <v>0</v>
      </c>
      <c r="AR424" s="2027" t="s">
        <v>3286</v>
      </c>
      <c r="AS424" s="2027">
        <f t="shared" si="208"/>
        <v>0</v>
      </c>
      <c r="AT424" s="2027">
        <f t="shared" si="209"/>
        <v>0</v>
      </c>
      <c r="AU424" s="2027">
        <f t="shared" si="223"/>
        <v>0</v>
      </c>
      <c r="AV424" s="2027">
        <f t="shared" si="223"/>
        <v>0</v>
      </c>
      <c r="AW424" s="2027">
        <f t="shared" si="223"/>
        <v>0</v>
      </c>
      <c r="AX424" s="2124">
        <v>0</v>
      </c>
      <c r="AY424" s="2029">
        <v>0</v>
      </c>
      <c r="AZ424" s="2029">
        <v>0</v>
      </c>
      <c r="BA424" s="2029">
        <v>0</v>
      </c>
      <c r="BB424" s="2124">
        <v>0</v>
      </c>
      <c r="BC424" s="2029">
        <v>0</v>
      </c>
      <c r="BD424" s="2029">
        <v>0</v>
      </c>
      <c r="BE424" s="2029">
        <v>0</v>
      </c>
      <c r="BF424" s="2124">
        <v>0</v>
      </c>
      <c r="BG424" s="2029">
        <v>0</v>
      </c>
      <c r="BH424" s="2029">
        <v>0</v>
      </c>
      <c r="BI424" s="2029">
        <v>0</v>
      </c>
      <c r="BJ424" s="2030">
        <f t="shared" si="224"/>
        <v>0</v>
      </c>
      <c r="BK424" s="2030">
        <f t="shared" si="224"/>
        <v>0</v>
      </c>
      <c r="BL424" s="2030">
        <f t="shared" si="224"/>
        <v>0</v>
      </c>
      <c r="BM424" s="2030" t="s">
        <v>3286</v>
      </c>
      <c r="BN424" s="2030">
        <f t="shared" si="212"/>
        <v>0</v>
      </c>
      <c r="BO424" s="2030">
        <f t="shared" si="213"/>
        <v>0</v>
      </c>
      <c r="BP424" s="2030" t="s">
        <v>3286</v>
      </c>
      <c r="BQ424" s="2030">
        <f t="shared" si="225"/>
        <v>0</v>
      </c>
      <c r="BR424" s="2030">
        <f t="shared" si="225"/>
        <v>0</v>
      </c>
      <c r="BS424" s="2030">
        <f t="shared" si="225"/>
        <v>0</v>
      </c>
      <c r="BT424" s="2125"/>
      <c r="BU424" s="2125"/>
      <c r="BV424" s="2125"/>
      <c r="BW424" s="2125"/>
      <c r="BX424" s="2125"/>
      <c r="BY424" s="2125"/>
      <c r="BZ424" s="2125"/>
      <c r="CA424" s="2125"/>
      <c r="CB424" s="2029"/>
      <c r="CC424" s="2029"/>
      <c r="CD424" s="2029"/>
      <c r="CE424" s="2029"/>
      <c r="CF424" s="2029"/>
      <c r="CG424" s="2032"/>
      <c r="CH424" s="1974">
        <v>0</v>
      </c>
      <c r="CI424" s="1974">
        <v>0</v>
      </c>
      <c r="CJ424" s="1974">
        <v>0</v>
      </c>
      <c r="CK424" s="1974">
        <v>0</v>
      </c>
      <c r="CL424" s="1974">
        <v>0</v>
      </c>
      <c r="CM424" s="2033">
        <v>0</v>
      </c>
      <c r="CN424" s="2026">
        <v>0</v>
      </c>
      <c r="CO424" s="1974">
        <v>0</v>
      </c>
      <c r="CP424" s="2031">
        <v>0</v>
      </c>
      <c r="CQ424" s="2031">
        <f t="shared" si="215"/>
        <v>0</v>
      </c>
      <c r="CR424" s="2026">
        <v>0</v>
      </c>
      <c r="CS424" s="2026">
        <v>0</v>
      </c>
      <c r="CT424" s="2026">
        <v>0</v>
      </c>
      <c r="CU424" s="2026">
        <v>0</v>
      </c>
      <c r="CV424" s="2036"/>
      <c r="CW424" s="2036"/>
      <c r="CX424" s="2036"/>
      <c r="CY424" s="2036"/>
      <c r="CZ424" s="2036"/>
      <c r="DA424" s="2036"/>
      <c r="DB424" s="1973">
        <v>1</v>
      </c>
    </row>
    <row r="425" spans="1:106" s="2161" customFormat="1" x14ac:dyDescent="0.25">
      <c r="A425" s="2146" t="str">
        <f t="shared" si="229"/>
        <v>Linear Tube 2' LED (Midstream)</v>
      </c>
      <c r="B425" s="2047" t="str">
        <f t="shared" si="230"/>
        <v/>
      </c>
      <c r="C425" s="2146">
        <v>15</v>
      </c>
      <c r="D425" s="2146"/>
      <c r="E425" s="2147">
        <v>27.794957926000002</v>
      </c>
      <c r="F425" s="2147"/>
      <c r="G425" s="2148">
        <v>5.9527580800000012E-3</v>
      </c>
      <c r="H425" s="2148"/>
      <c r="I425" s="2146">
        <v>-0.56099915080000007</v>
      </c>
      <c r="J425" s="2146"/>
      <c r="K425" s="2047" t="s">
        <v>2988</v>
      </c>
      <c r="L425" s="2047" t="s">
        <v>2988</v>
      </c>
      <c r="M425" s="2153">
        <v>0.9</v>
      </c>
      <c r="N425" s="2153">
        <v>0.9</v>
      </c>
      <c r="O425" s="2153">
        <v>0.9</v>
      </c>
      <c r="P425" s="2153">
        <v>0.9</v>
      </c>
      <c r="Q425" s="2146">
        <f t="shared" si="226"/>
        <v>25.015462133400003</v>
      </c>
      <c r="R425" s="2146">
        <f t="shared" si="226"/>
        <v>25.015462133400003</v>
      </c>
      <c r="S425" s="2146">
        <f t="shared" si="226"/>
        <v>25.015462133400003</v>
      </c>
      <c r="T425" s="2146">
        <f t="shared" si="226"/>
        <v>25.015462133400003</v>
      </c>
      <c r="U425" s="2153">
        <v>0.9</v>
      </c>
      <c r="V425" s="2153">
        <v>0.9</v>
      </c>
      <c r="W425" s="2153">
        <v>0.9</v>
      </c>
      <c r="X425" s="2153">
        <v>0.9</v>
      </c>
      <c r="Y425" s="2129">
        <f t="shared" si="227"/>
        <v>5.3574822720000009E-3</v>
      </c>
      <c r="Z425" s="2129">
        <f t="shared" si="227"/>
        <v>5.3574822720000009E-3</v>
      </c>
      <c r="AA425" s="2129">
        <f t="shared" si="227"/>
        <v>5.3574822720000009E-3</v>
      </c>
      <c r="AB425" s="2129">
        <f t="shared" si="227"/>
        <v>5.3574822720000009E-3</v>
      </c>
      <c r="AC425" s="2153">
        <v>0.9</v>
      </c>
      <c r="AD425" s="2153">
        <v>0.9</v>
      </c>
      <c r="AE425" s="2153">
        <v>0.9</v>
      </c>
      <c r="AF425" s="2153">
        <v>0.9</v>
      </c>
      <c r="AG425" s="2146">
        <f t="shared" si="228"/>
        <v>-0.50489923572000006</v>
      </c>
      <c r="AH425" s="2146">
        <f t="shared" si="228"/>
        <v>-0.50489923572000006</v>
      </c>
      <c r="AI425" s="2146">
        <f t="shared" si="228"/>
        <v>-0.50489923572000006</v>
      </c>
      <c r="AJ425" s="2146">
        <f t="shared" si="228"/>
        <v>-0.50489923572000006</v>
      </c>
      <c r="AK425" s="2146">
        <v>2000</v>
      </c>
      <c r="AL425" s="2146">
        <v>2000</v>
      </c>
      <c r="AM425" s="2146">
        <v>2000</v>
      </c>
      <c r="AN425" s="2146">
        <v>2000</v>
      </c>
      <c r="AO425" s="2146">
        <f t="shared" si="206"/>
        <v>50030.924266800008</v>
      </c>
      <c r="AP425" s="2146">
        <f t="shared" si="222"/>
        <v>50030.924266800008</v>
      </c>
      <c r="AQ425" s="2146">
        <f t="shared" si="222"/>
        <v>37523.19320010001</v>
      </c>
      <c r="AR425" s="2027"/>
      <c r="AS425" s="2146">
        <f t="shared" si="208"/>
        <v>37523.19320010001</v>
      </c>
      <c r="AT425" s="2146">
        <f t="shared" si="209"/>
        <v>-1009.7984714400001</v>
      </c>
      <c r="AU425" s="2146">
        <f t="shared" si="223"/>
        <v>-1009.7984714400001</v>
      </c>
      <c r="AV425" s="2146">
        <f t="shared" si="223"/>
        <v>-757.34885358000008</v>
      </c>
      <c r="AW425" s="2146">
        <f t="shared" si="223"/>
        <v>-757.34885358000008</v>
      </c>
      <c r="AX425" s="2046">
        <v>7</v>
      </c>
      <c r="AY425" s="2046">
        <v>6.5</v>
      </c>
      <c r="AZ425" s="2046">
        <v>6</v>
      </c>
      <c r="BA425" s="2046">
        <v>6</v>
      </c>
      <c r="BB425" s="2046">
        <v>0</v>
      </c>
      <c r="BC425" s="2046">
        <v>0</v>
      </c>
      <c r="BD425" s="2046">
        <v>0</v>
      </c>
      <c r="BE425" s="2046">
        <v>0</v>
      </c>
      <c r="BF425" s="2046">
        <v>1.2999999999999989</v>
      </c>
      <c r="BG425" s="2046">
        <v>1.2999999999999989</v>
      </c>
      <c r="BH425" s="2046">
        <v>1.2999999999999989</v>
      </c>
      <c r="BI425" s="2046">
        <v>1.2999999999999989</v>
      </c>
      <c r="BJ425" s="2154">
        <f t="shared" si="224"/>
        <v>14000</v>
      </c>
      <c r="BK425" s="2154">
        <f t="shared" si="224"/>
        <v>13000</v>
      </c>
      <c r="BL425" s="2154">
        <f t="shared" si="224"/>
        <v>12000</v>
      </c>
      <c r="BM425" s="2030"/>
      <c r="BN425" s="2154">
        <f t="shared" si="212"/>
        <v>12000</v>
      </c>
      <c r="BO425" s="2154">
        <f t="shared" si="213"/>
        <v>0</v>
      </c>
      <c r="BP425" s="2030" t="s">
        <v>3286</v>
      </c>
      <c r="BQ425" s="2154">
        <f t="shared" si="225"/>
        <v>0</v>
      </c>
      <c r="BR425" s="2154">
        <f t="shared" si="225"/>
        <v>0</v>
      </c>
      <c r="BS425" s="2154">
        <f t="shared" si="225"/>
        <v>0</v>
      </c>
      <c r="BT425" s="2155"/>
      <c r="BU425" s="2155"/>
      <c r="BV425" s="2155"/>
      <c r="BW425" s="2155"/>
      <c r="BX425" s="2155"/>
      <c r="BY425" s="2155"/>
      <c r="BZ425" s="2155"/>
      <c r="CA425" s="2155"/>
      <c r="CB425" s="2046"/>
      <c r="CC425" s="2046"/>
      <c r="CD425" s="2046"/>
      <c r="CE425" s="2046"/>
      <c r="CF425" s="2046"/>
      <c r="CG425" s="2156"/>
      <c r="CH425" s="2047">
        <v>0</v>
      </c>
      <c r="CI425" s="2047">
        <v>0</v>
      </c>
      <c r="CJ425" s="2047">
        <v>0</v>
      </c>
      <c r="CK425" s="2047">
        <v>0</v>
      </c>
      <c r="CL425" s="2047">
        <v>0</v>
      </c>
      <c r="CM425" s="2157">
        <v>0</v>
      </c>
      <c r="CN425" s="2153">
        <v>0</v>
      </c>
      <c r="CO425" s="2047">
        <v>1</v>
      </c>
      <c r="CP425" s="2063">
        <v>-1.1461222222222223</v>
      </c>
      <c r="CQ425" s="2063">
        <f t="shared" si="215"/>
        <v>1.1461222222222223</v>
      </c>
      <c r="CR425" s="2153">
        <v>1</v>
      </c>
      <c r="CS425" s="2153">
        <v>1</v>
      </c>
      <c r="CT425" s="2153">
        <v>0.75</v>
      </c>
      <c r="CU425" s="2153">
        <v>0.75</v>
      </c>
      <c r="CV425" s="2160"/>
      <c r="CW425" s="2160"/>
      <c r="CX425" s="2160"/>
      <c r="CY425" s="2160"/>
      <c r="CZ425" s="2160"/>
      <c r="DA425" s="2160"/>
      <c r="DB425" s="2161">
        <v>1</v>
      </c>
    </row>
    <row r="426" spans="1:106" x14ac:dyDescent="0.25">
      <c r="A426" s="2027" t="str">
        <f t="shared" si="229"/>
        <v>Additional Measure 2</v>
      </c>
      <c r="B426" s="1974" t="str">
        <f t="shared" si="230"/>
        <v/>
      </c>
      <c r="C426" s="2027">
        <v>0</v>
      </c>
      <c r="D426" s="2027"/>
      <c r="E426" s="2144">
        <v>0</v>
      </c>
      <c r="F426" s="2144"/>
      <c r="G426" s="2145">
        <v>0</v>
      </c>
      <c r="H426" s="2145"/>
      <c r="I426" s="2027">
        <v>0</v>
      </c>
      <c r="J426" s="2027"/>
      <c r="K426" s="1974" t="s">
        <v>2988</v>
      </c>
      <c r="L426" s="1974" t="s">
        <v>2988</v>
      </c>
      <c r="M426" s="2026">
        <v>0.9</v>
      </c>
      <c r="N426" s="2026">
        <v>0.9</v>
      </c>
      <c r="O426" s="2026">
        <v>0.9</v>
      </c>
      <c r="P426" s="2026">
        <v>0.9</v>
      </c>
      <c r="Q426" s="2027">
        <f t="shared" si="226"/>
        <v>0</v>
      </c>
      <c r="R426" s="2027">
        <f t="shared" si="226"/>
        <v>0</v>
      </c>
      <c r="S426" s="2027">
        <f t="shared" si="226"/>
        <v>0</v>
      </c>
      <c r="T426" s="2027">
        <f t="shared" si="226"/>
        <v>0</v>
      </c>
      <c r="U426" s="2026">
        <v>0.9</v>
      </c>
      <c r="V426" s="2026">
        <v>0.9</v>
      </c>
      <c r="W426" s="2026">
        <v>0.9</v>
      </c>
      <c r="X426" s="2026">
        <v>0.9</v>
      </c>
      <c r="Y426" s="2028">
        <f t="shared" si="227"/>
        <v>0</v>
      </c>
      <c r="Z426" s="2028">
        <f t="shared" si="227"/>
        <v>0</v>
      </c>
      <c r="AA426" s="2028">
        <f t="shared" si="227"/>
        <v>0</v>
      </c>
      <c r="AB426" s="2028">
        <f t="shared" si="227"/>
        <v>0</v>
      </c>
      <c r="AC426" s="2026">
        <v>0.9</v>
      </c>
      <c r="AD426" s="2026">
        <v>0.9</v>
      </c>
      <c r="AE426" s="2026">
        <v>0.9</v>
      </c>
      <c r="AF426" s="2026">
        <v>0.9</v>
      </c>
      <c r="AG426" s="2027">
        <f t="shared" si="228"/>
        <v>0</v>
      </c>
      <c r="AH426" s="2027">
        <f t="shared" si="228"/>
        <v>0</v>
      </c>
      <c r="AI426" s="2027">
        <f t="shared" si="228"/>
        <v>0</v>
      </c>
      <c r="AJ426" s="2027">
        <f t="shared" si="228"/>
        <v>0</v>
      </c>
      <c r="AK426" s="2027">
        <v>0</v>
      </c>
      <c r="AL426" s="2028"/>
      <c r="AM426" s="2028"/>
      <c r="AN426" s="2028"/>
      <c r="AO426" s="2027">
        <f t="shared" si="206"/>
        <v>0</v>
      </c>
      <c r="AP426" s="2027">
        <f t="shared" si="222"/>
        <v>0</v>
      </c>
      <c r="AQ426" s="2027">
        <f t="shared" si="222"/>
        <v>0</v>
      </c>
      <c r="AR426" s="2027" t="s">
        <v>3286</v>
      </c>
      <c r="AS426" s="2027">
        <f t="shared" si="208"/>
        <v>0</v>
      </c>
      <c r="AT426" s="2027">
        <f t="shared" si="209"/>
        <v>0</v>
      </c>
      <c r="AU426" s="2027">
        <f t="shared" si="223"/>
        <v>0</v>
      </c>
      <c r="AV426" s="2027">
        <f t="shared" si="223"/>
        <v>0</v>
      </c>
      <c r="AW426" s="2027">
        <f t="shared" si="223"/>
        <v>0</v>
      </c>
      <c r="AX426" s="2124">
        <v>0</v>
      </c>
      <c r="AY426" s="2029">
        <v>0</v>
      </c>
      <c r="AZ426" s="2029">
        <v>0</v>
      </c>
      <c r="BA426" s="2029">
        <v>0</v>
      </c>
      <c r="BB426" s="2124">
        <v>0</v>
      </c>
      <c r="BC426" s="2029">
        <v>0</v>
      </c>
      <c r="BD426" s="2029">
        <v>0</v>
      </c>
      <c r="BE426" s="2029">
        <v>0</v>
      </c>
      <c r="BF426" s="2124">
        <v>0</v>
      </c>
      <c r="BG426" s="2029">
        <v>0</v>
      </c>
      <c r="BH426" s="2029">
        <v>0</v>
      </c>
      <c r="BI426" s="2029">
        <v>0</v>
      </c>
      <c r="BJ426" s="2030">
        <f t="shared" si="224"/>
        <v>0</v>
      </c>
      <c r="BK426" s="2030">
        <f t="shared" si="224"/>
        <v>0</v>
      </c>
      <c r="BL426" s="2030">
        <f t="shared" si="224"/>
        <v>0</v>
      </c>
      <c r="BM426" s="2030" t="s">
        <v>3286</v>
      </c>
      <c r="BN426" s="2030">
        <f t="shared" si="212"/>
        <v>0</v>
      </c>
      <c r="BO426" s="2030">
        <f t="shared" si="213"/>
        <v>0</v>
      </c>
      <c r="BP426" s="2030" t="s">
        <v>3286</v>
      </c>
      <c r="BQ426" s="2030">
        <f t="shared" si="225"/>
        <v>0</v>
      </c>
      <c r="BR426" s="2030">
        <f t="shared" si="225"/>
        <v>0</v>
      </c>
      <c r="BS426" s="2030">
        <f t="shared" si="225"/>
        <v>0</v>
      </c>
      <c r="BT426" s="2125"/>
      <c r="BU426" s="2125"/>
      <c r="BV426" s="2125"/>
      <c r="BW426" s="2125"/>
      <c r="BX426" s="2125"/>
      <c r="BY426" s="2125"/>
      <c r="BZ426" s="2125"/>
      <c r="CA426" s="2125"/>
      <c r="CB426" s="2029"/>
      <c r="CC426" s="2029"/>
      <c r="CD426" s="2029"/>
      <c r="CE426" s="2029"/>
      <c r="CF426" s="2029"/>
      <c r="CG426" s="2032"/>
      <c r="CH426" s="1974">
        <v>0</v>
      </c>
      <c r="CI426" s="1974">
        <v>0</v>
      </c>
      <c r="CJ426" s="1974">
        <v>0</v>
      </c>
      <c r="CK426" s="1974">
        <v>0</v>
      </c>
      <c r="CL426" s="1974">
        <v>0</v>
      </c>
      <c r="CM426" s="2033">
        <v>0</v>
      </c>
      <c r="CN426" s="2026">
        <v>0</v>
      </c>
      <c r="CO426" s="1974">
        <v>0</v>
      </c>
      <c r="CP426" s="2031">
        <v>0</v>
      </c>
      <c r="CQ426" s="2031">
        <f t="shared" si="215"/>
        <v>0</v>
      </c>
      <c r="CR426" s="2026">
        <v>0</v>
      </c>
      <c r="CS426" s="2026">
        <v>0</v>
      </c>
      <c r="CT426" s="2026">
        <v>0</v>
      </c>
      <c r="CU426" s="2026">
        <v>0</v>
      </c>
      <c r="CV426" s="2036"/>
      <c r="CW426" s="2036"/>
      <c r="CX426" s="2036"/>
      <c r="CY426" s="2036"/>
      <c r="CZ426" s="2036"/>
      <c r="DA426" s="2036"/>
      <c r="DB426" s="1973">
        <v>1</v>
      </c>
    </row>
    <row r="427" spans="1:106" x14ac:dyDescent="0.25">
      <c r="A427" s="2027" t="str">
        <f t="shared" si="229"/>
        <v>Additional Measure 3</v>
      </c>
      <c r="B427" s="1974" t="str">
        <f t="shared" si="230"/>
        <v/>
      </c>
      <c r="C427" s="2027">
        <v>0</v>
      </c>
      <c r="D427" s="2027"/>
      <c r="E427" s="2144">
        <v>0</v>
      </c>
      <c r="F427" s="2144"/>
      <c r="G427" s="2145">
        <v>0</v>
      </c>
      <c r="H427" s="2145"/>
      <c r="I427" s="2027">
        <v>0</v>
      </c>
      <c r="J427" s="2027"/>
      <c r="K427" s="1974" t="s">
        <v>2988</v>
      </c>
      <c r="L427" s="1974" t="s">
        <v>2988</v>
      </c>
      <c r="M427" s="2026">
        <v>0.9</v>
      </c>
      <c r="N427" s="2026">
        <v>0.9</v>
      </c>
      <c r="O427" s="2026">
        <v>0.9</v>
      </c>
      <c r="P427" s="2026">
        <v>0.9</v>
      </c>
      <c r="Q427" s="2027">
        <f t="shared" si="226"/>
        <v>0</v>
      </c>
      <c r="R427" s="2027">
        <f t="shared" si="226"/>
        <v>0</v>
      </c>
      <c r="S427" s="2027">
        <f t="shared" si="226"/>
        <v>0</v>
      </c>
      <c r="T427" s="2027">
        <f t="shared" si="226"/>
        <v>0</v>
      </c>
      <c r="U427" s="2026">
        <v>0.9</v>
      </c>
      <c r="V427" s="2026">
        <v>0.9</v>
      </c>
      <c r="W427" s="2026">
        <v>0.9</v>
      </c>
      <c r="X427" s="2026">
        <v>0.9</v>
      </c>
      <c r="Y427" s="2028">
        <f t="shared" si="227"/>
        <v>0</v>
      </c>
      <c r="Z427" s="2028">
        <f t="shared" si="227"/>
        <v>0</v>
      </c>
      <c r="AA427" s="2028">
        <f t="shared" si="227"/>
        <v>0</v>
      </c>
      <c r="AB427" s="2028">
        <f t="shared" si="227"/>
        <v>0</v>
      </c>
      <c r="AC427" s="2026">
        <v>0.9</v>
      </c>
      <c r="AD427" s="2026">
        <v>0.9</v>
      </c>
      <c r="AE427" s="2026">
        <v>0.9</v>
      </c>
      <c r="AF427" s="2026">
        <v>0.9</v>
      </c>
      <c r="AG427" s="2027">
        <f t="shared" si="228"/>
        <v>0</v>
      </c>
      <c r="AH427" s="2027">
        <f t="shared" si="228"/>
        <v>0</v>
      </c>
      <c r="AI427" s="2027">
        <f t="shared" si="228"/>
        <v>0</v>
      </c>
      <c r="AJ427" s="2027">
        <f t="shared" si="228"/>
        <v>0</v>
      </c>
      <c r="AK427" s="2027">
        <v>0</v>
      </c>
      <c r="AL427" s="2028"/>
      <c r="AM427" s="2028"/>
      <c r="AN427" s="2028"/>
      <c r="AO427" s="2027">
        <f t="shared" si="206"/>
        <v>0</v>
      </c>
      <c r="AP427" s="2027">
        <f t="shared" si="222"/>
        <v>0</v>
      </c>
      <c r="AQ427" s="2027">
        <f t="shared" si="222"/>
        <v>0</v>
      </c>
      <c r="AR427" s="2027" t="s">
        <v>3286</v>
      </c>
      <c r="AS427" s="2027">
        <f t="shared" si="208"/>
        <v>0</v>
      </c>
      <c r="AT427" s="2027">
        <f t="shared" si="209"/>
        <v>0</v>
      </c>
      <c r="AU427" s="2027">
        <f t="shared" si="223"/>
        <v>0</v>
      </c>
      <c r="AV427" s="2027">
        <f t="shared" si="223"/>
        <v>0</v>
      </c>
      <c r="AW427" s="2027">
        <f t="shared" si="223"/>
        <v>0</v>
      </c>
      <c r="AX427" s="2124">
        <v>0</v>
      </c>
      <c r="AY427" s="2029">
        <v>0</v>
      </c>
      <c r="AZ427" s="2029">
        <v>0</v>
      </c>
      <c r="BA427" s="2029">
        <v>0</v>
      </c>
      <c r="BB427" s="2124">
        <v>0</v>
      </c>
      <c r="BC427" s="2029">
        <v>0</v>
      </c>
      <c r="BD427" s="2029">
        <v>0</v>
      </c>
      <c r="BE427" s="2029">
        <v>0</v>
      </c>
      <c r="BF427" s="2124">
        <v>0</v>
      </c>
      <c r="BG427" s="2029">
        <v>0</v>
      </c>
      <c r="BH427" s="2029">
        <v>0</v>
      </c>
      <c r="BI427" s="2029">
        <v>0</v>
      </c>
      <c r="BJ427" s="2030">
        <f t="shared" si="224"/>
        <v>0</v>
      </c>
      <c r="BK427" s="2030">
        <f t="shared" si="224"/>
        <v>0</v>
      </c>
      <c r="BL427" s="2030">
        <f t="shared" si="224"/>
        <v>0</v>
      </c>
      <c r="BM427" s="2030" t="s">
        <v>3286</v>
      </c>
      <c r="BN427" s="2030">
        <f t="shared" si="212"/>
        <v>0</v>
      </c>
      <c r="BO427" s="2030">
        <f t="shared" si="213"/>
        <v>0</v>
      </c>
      <c r="BP427" s="2030" t="s">
        <v>3286</v>
      </c>
      <c r="BQ427" s="2030">
        <f t="shared" si="225"/>
        <v>0</v>
      </c>
      <c r="BR427" s="2030">
        <f t="shared" si="225"/>
        <v>0</v>
      </c>
      <c r="BS427" s="2030">
        <f t="shared" si="225"/>
        <v>0</v>
      </c>
      <c r="BT427" s="2125"/>
      <c r="BU427" s="2125"/>
      <c r="BV427" s="2125"/>
      <c r="BW427" s="2125"/>
      <c r="BX427" s="2125"/>
      <c r="BY427" s="2125"/>
      <c r="BZ427" s="2125"/>
      <c r="CA427" s="2125"/>
      <c r="CB427" s="2029"/>
      <c r="CC427" s="2029"/>
      <c r="CD427" s="2029"/>
      <c r="CE427" s="2029"/>
      <c r="CF427" s="2029"/>
      <c r="CG427" s="2032"/>
      <c r="CH427" s="1974">
        <v>0</v>
      </c>
      <c r="CI427" s="1974">
        <v>0</v>
      </c>
      <c r="CJ427" s="1974">
        <v>0</v>
      </c>
      <c r="CK427" s="1974">
        <v>0</v>
      </c>
      <c r="CL427" s="1974">
        <v>0</v>
      </c>
      <c r="CM427" s="2033">
        <v>0</v>
      </c>
      <c r="CN427" s="2026">
        <v>0</v>
      </c>
      <c r="CO427" s="1974">
        <v>0</v>
      </c>
      <c r="CP427" s="2031">
        <v>0</v>
      </c>
      <c r="CQ427" s="2031">
        <f t="shared" si="215"/>
        <v>0</v>
      </c>
      <c r="CR427" s="2026">
        <v>0</v>
      </c>
      <c r="CS427" s="2026">
        <v>0</v>
      </c>
      <c r="CT427" s="2026">
        <v>0</v>
      </c>
      <c r="CU427" s="2026">
        <v>0</v>
      </c>
      <c r="CV427" s="2036"/>
      <c r="CW427" s="2036"/>
      <c r="CX427" s="2036"/>
      <c r="CY427" s="2036"/>
      <c r="CZ427" s="2036"/>
      <c r="DA427" s="2036"/>
      <c r="DB427" s="1973">
        <v>1</v>
      </c>
    </row>
    <row r="428" spans="1:106" x14ac:dyDescent="0.25">
      <c r="A428" s="2027" t="str">
        <f t="shared" si="229"/>
        <v>Additional Measure 4</v>
      </c>
      <c r="B428" s="1974" t="str">
        <f t="shared" si="230"/>
        <v/>
      </c>
      <c r="C428" s="2027">
        <v>0</v>
      </c>
      <c r="D428" s="2027"/>
      <c r="E428" s="2144">
        <v>0</v>
      </c>
      <c r="F428" s="2144"/>
      <c r="G428" s="2145">
        <v>0</v>
      </c>
      <c r="H428" s="2145"/>
      <c r="I428" s="2027">
        <v>0</v>
      </c>
      <c r="J428" s="2027"/>
      <c r="K428" s="1974" t="s">
        <v>2988</v>
      </c>
      <c r="L428" s="1974" t="s">
        <v>2988</v>
      </c>
      <c r="M428" s="2026">
        <v>0.9</v>
      </c>
      <c r="N428" s="2026">
        <v>0.9</v>
      </c>
      <c r="O428" s="2026">
        <v>0.9</v>
      </c>
      <c r="P428" s="2026">
        <v>0.9</v>
      </c>
      <c r="Q428" s="2027">
        <f t="shared" si="226"/>
        <v>0</v>
      </c>
      <c r="R428" s="2027">
        <f t="shared" si="226"/>
        <v>0</v>
      </c>
      <c r="S428" s="2027">
        <f t="shared" si="226"/>
        <v>0</v>
      </c>
      <c r="T428" s="2027">
        <f t="shared" si="226"/>
        <v>0</v>
      </c>
      <c r="U428" s="2026">
        <v>0.9</v>
      </c>
      <c r="V428" s="2026">
        <v>0.9</v>
      </c>
      <c r="W428" s="2026">
        <v>0.9</v>
      </c>
      <c r="X428" s="2026">
        <v>0.9</v>
      </c>
      <c r="Y428" s="2028">
        <f t="shared" si="227"/>
        <v>0</v>
      </c>
      <c r="Z428" s="2028">
        <f t="shared" si="227"/>
        <v>0</v>
      </c>
      <c r="AA428" s="2028">
        <f t="shared" si="227"/>
        <v>0</v>
      </c>
      <c r="AB428" s="2028">
        <f t="shared" si="227"/>
        <v>0</v>
      </c>
      <c r="AC428" s="2026">
        <v>0.9</v>
      </c>
      <c r="AD428" s="2026">
        <v>0.9</v>
      </c>
      <c r="AE428" s="2026">
        <v>0.9</v>
      </c>
      <c r="AF428" s="2026">
        <v>0.9</v>
      </c>
      <c r="AG428" s="2027">
        <f t="shared" si="228"/>
        <v>0</v>
      </c>
      <c r="AH428" s="2027">
        <f t="shared" si="228"/>
        <v>0</v>
      </c>
      <c r="AI428" s="2027">
        <f t="shared" si="228"/>
        <v>0</v>
      </c>
      <c r="AJ428" s="2027">
        <f t="shared" si="228"/>
        <v>0</v>
      </c>
      <c r="AK428" s="2027">
        <v>0</v>
      </c>
      <c r="AL428" s="2028"/>
      <c r="AM428" s="2028"/>
      <c r="AN428" s="2028"/>
      <c r="AO428" s="2027">
        <f t="shared" si="206"/>
        <v>0</v>
      </c>
      <c r="AP428" s="2027">
        <f t="shared" si="222"/>
        <v>0</v>
      </c>
      <c r="AQ428" s="2027">
        <f t="shared" si="222"/>
        <v>0</v>
      </c>
      <c r="AR428" s="2027" t="s">
        <v>3286</v>
      </c>
      <c r="AS428" s="2027">
        <f t="shared" si="208"/>
        <v>0</v>
      </c>
      <c r="AT428" s="2027">
        <f t="shared" si="209"/>
        <v>0</v>
      </c>
      <c r="AU428" s="2027">
        <f t="shared" si="223"/>
        <v>0</v>
      </c>
      <c r="AV428" s="2027">
        <f t="shared" si="223"/>
        <v>0</v>
      </c>
      <c r="AW428" s="2027">
        <f t="shared" si="223"/>
        <v>0</v>
      </c>
      <c r="AX428" s="2124">
        <v>0</v>
      </c>
      <c r="AY428" s="2029">
        <v>0</v>
      </c>
      <c r="AZ428" s="2029">
        <v>0</v>
      </c>
      <c r="BA428" s="2029">
        <v>0</v>
      </c>
      <c r="BB428" s="2124">
        <v>0</v>
      </c>
      <c r="BC428" s="2029">
        <v>0</v>
      </c>
      <c r="BD428" s="2029">
        <v>0</v>
      </c>
      <c r="BE428" s="2029">
        <v>0</v>
      </c>
      <c r="BF428" s="2124">
        <v>0</v>
      </c>
      <c r="BG428" s="2029">
        <v>0</v>
      </c>
      <c r="BH428" s="2029">
        <v>0</v>
      </c>
      <c r="BI428" s="2029">
        <v>0</v>
      </c>
      <c r="BJ428" s="2030">
        <f t="shared" si="224"/>
        <v>0</v>
      </c>
      <c r="BK428" s="2030">
        <f t="shared" si="224"/>
        <v>0</v>
      </c>
      <c r="BL428" s="2030">
        <f t="shared" si="224"/>
        <v>0</v>
      </c>
      <c r="BM428" s="2030" t="s">
        <v>3286</v>
      </c>
      <c r="BN428" s="2030">
        <f t="shared" si="212"/>
        <v>0</v>
      </c>
      <c r="BO428" s="2030">
        <f t="shared" si="213"/>
        <v>0</v>
      </c>
      <c r="BP428" s="2030" t="s">
        <v>3286</v>
      </c>
      <c r="BQ428" s="2030">
        <f t="shared" si="225"/>
        <v>0</v>
      </c>
      <c r="BR428" s="2030">
        <f t="shared" si="225"/>
        <v>0</v>
      </c>
      <c r="BS428" s="2030">
        <f t="shared" si="225"/>
        <v>0</v>
      </c>
      <c r="BT428" s="2125"/>
      <c r="BU428" s="2125"/>
      <c r="BV428" s="2125"/>
      <c r="BW428" s="2125"/>
      <c r="BX428" s="2125"/>
      <c r="BY428" s="2125"/>
      <c r="BZ428" s="2125"/>
      <c r="CA428" s="2125"/>
      <c r="CB428" s="2029"/>
      <c r="CC428" s="2029"/>
      <c r="CD428" s="2029"/>
      <c r="CE428" s="2029"/>
      <c r="CF428" s="2029"/>
      <c r="CG428" s="2032"/>
      <c r="CH428" s="1974">
        <v>0</v>
      </c>
      <c r="CI428" s="1974">
        <v>0</v>
      </c>
      <c r="CJ428" s="1974">
        <v>0</v>
      </c>
      <c r="CK428" s="1974">
        <v>0</v>
      </c>
      <c r="CL428" s="1974">
        <v>0</v>
      </c>
      <c r="CM428" s="2033">
        <v>0</v>
      </c>
      <c r="CN428" s="2026">
        <v>0</v>
      </c>
      <c r="CO428" s="1974">
        <v>0</v>
      </c>
      <c r="CP428" s="2031">
        <v>0</v>
      </c>
      <c r="CQ428" s="2031">
        <f t="shared" si="215"/>
        <v>0</v>
      </c>
      <c r="CR428" s="2026">
        <v>0</v>
      </c>
      <c r="CS428" s="2026">
        <v>0</v>
      </c>
      <c r="CT428" s="2026">
        <v>0</v>
      </c>
      <c r="CU428" s="2026">
        <v>0</v>
      </c>
      <c r="CV428" s="2036"/>
      <c r="CW428" s="2036"/>
      <c r="CX428" s="2036"/>
      <c r="CY428" s="2036"/>
      <c r="CZ428" s="2036"/>
      <c r="DA428" s="2036"/>
      <c r="DB428" s="1973">
        <v>1</v>
      </c>
    </row>
    <row r="429" spans="1:106" x14ac:dyDescent="0.25">
      <c r="A429" s="2027" t="str">
        <f t="shared" si="229"/>
        <v>Additional Measure 5</v>
      </c>
      <c r="B429" s="1974" t="str">
        <f t="shared" si="230"/>
        <v/>
      </c>
      <c r="C429" s="2027">
        <v>0</v>
      </c>
      <c r="D429" s="2027"/>
      <c r="E429" s="2144">
        <v>0</v>
      </c>
      <c r="F429" s="2144"/>
      <c r="G429" s="2145">
        <v>0</v>
      </c>
      <c r="H429" s="2145"/>
      <c r="I429" s="2027">
        <v>0</v>
      </c>
      <c r="J429" s="2027"/>
      <c r="K429" s="1974" t="s">
        <v>2988</v>
      </c>
      <c r="L429" s="1974" t="s">
        <v>2988</v>
      </c>
      <c r="M429" s="2026">
        <v>0.9</v>
      </c>
      <c r="N429" s="2026">
        <v>0.9</v>
      </c>
      <c r="O429" s="2026">
        <v>0.9</v>
      </c>
      <c r="P429" s="2026">
        <v>0.9</v>
      </c>
      <c r="Q429" s="2027">
        <f t="shared" si="226"/>
        <v>0</v>
      </c>
      <c r="R429" s="2027">
        <f t="shared" si="226"/>
        <v>0</v>
      </c>
      <c r="S429" s="2027">
        <f t="shared" si="226"/>
        <v>0</v>
      </c>
      <c r="T429" s="2027">
        <f t="shared" si="226"/>
        <v>0</v>
      </c>
      <c r="U429" s="2026">
        <v>0.9</v>
      </c>
      <c r="V429" s="2026">
        <v>0.9</v>
      </c>
      <c r="W429" s="2026">
        <v>0.9</v>
      </c>
      <c r="X429" s="2026">
        <v>0.9</v>
      </c>
      <c r="Y429" s="2028">
        <f t="shared" si="227"/>
        <v>0</v>
      </c>
      <c r="Z429" s="2028">
        <f t="shared" si="227"/>
        <v>0</v>
      </c>
      <c r="AA429" s="2028">
        <f t="shared" si="227"/>
        <v>0</v>
      </c>
      <c r="AB429" s="2028">
        <f t="shared" si="227"/>
        <v>0</v>
      </c>
      <c r="AC429" s="2026">
        <v>0.9</v>
      </c>
      <c r="AD429" s="2026">
        <v>0.9</v>
      </c>
      <c r="AE429" s="2026">
        <v>0.9</v>
      </c>
      <c r="AF429" s="2026">
        <v>0.9</v>
      </c>
      <c r="AG429" s="2027">
        <f t="shared" si="228"/>
        <v>0</v>
      </c>
      <c r="AH429" s="2027">
        <f t="shared" si="228"/>
        <v>0</v>
      </c>
      <c r="AI429" s="2027">
        <f t="shared" si="228"/>
        <v>0</v>
      </c>
      <c r="AJ429" s="2027">
        <f t="shared" si="228"/>
        <v>0</v>
      </c>
      <c r="AK429" s="2027">
        <v>0</v>
      </c>
      <c r="AL429" s="2028"/>
      <c r="AM429" s="2028"/>
      <c r="AN429" s="2028"/>
      <c r="AO429" s="2027">
        <f t="shared" si="206"/>
        <v>0</v>
      </c>
      <c r="AP429" s="2027">
        <f t="shared" si="222"/>
        <v>0</v>
      </c>
      <c r="AQ429" s="2027">
        <f t="shared" si="222"/>
        <v>0</v>
      </c>
      <c r="AR429" s="2027" t="s">
        <v>3286</v>
      </c>
      <c r="AS429" s="2027">
        <f t="shared" si="208"/>
        <v>0</v>
      </c>
      <c r="AT429" s="2027">
        <f t="shared" si="209"/>
        <v>0</v>
      </c>
      <c r="AU429" s="2027">
        <f t="shared" si="223"/>
        <v>0</v>
      </c>
      <c r="AV429" s="2027">
        <f t="shared" si="223"/>
        <v>0</v>
      </c>
      <c r="AW429" s="2027">
        <f t="shared" si="223"/>
        <v>0</v>
      </c>
      <c r="AX429" s="2124">
        <v>0</v>
      </c>
      <c r="AY429" s="2029">
        <v>0</v>
      </c>
      <c r="AZ429" s="2029">
        <v>0</v>
      </c>
      <c r="BA429" s="2029">
        <v>0</v>
      </c>
      <c r="BB429" s="2124">
        <v>0</v>
      </c>
      <c r="BC429" s="2029">
        <v>0</v>
      </c>
      <c r="BD429" s="2029">
        <v>0</v>
      </c>
      <c r="BE429" s="2029">
        <v>0</v>
      </c>
      <c r="BF429" s="2124">
        <v>0</v>
      </c>
      <c r="BG429" s="2029">
        <v>0</v>
      </c>
      <c r="BH429" s="2029">
        <v>0</v>
      </c>
      <c r="BI429" s="2029">
        <v>0</v>
      </c>
      <c r="BJ429" s="2030">
        <f t="shared" si="224"/>
        <v>0</v>
      </c>
      <c r="BK429" s="2030">
        <f t="shared" si="224"/>
        <v>0</v>
      </c>
      <c r="BL429" s="2030">
        <f t="shared" si="224"/>
        <v>0</v>
      </c>
      <c r="BM429" s="2030" t="s">
        <v>3286</v>
      </c>
      <c r="BN429" s="2030">
        <f t="shared" si="212"/>
        <v>0</v>
      </c>
      <c r="BO429" s="2030">
        <f t="shared" si="213"/>
        <v>0</v>
      </c>
      <c r="BP429" s="2030" t="s">
        <v>3286</v>
      </c>
      <c r="BQ429" s="2030">
        <f t="shared" si="225"/>
        <v>0</v>
      </c>
      <c r="BR429" s="2030">
        <f t="shared" si="225"/>
        <v>0</v>
      </c>
      <c r="BS429" s="2030">
        <f t="shared" si="225"/>
        <v>0</v>
      </c>
      <c r="BT429" s="2125"/>
      <c r="BU429" s="2125"/>
      <c r="BV429" s="2125"/>
      <c r="BW429" s="2125"/>
      <c r="BX429" s="2125"/>
      <c r="BY429" s="2125"/>
      <c r="BZ429" s="2125"/>
      <c r="CA429" s="2125"/>
      <c r="CB429" s="2029"/>
      <c r="CC429" s="2029"/>
      <c r="CD429" s="2029"/>
      <c r="CE429" s="2029"/>
      <c r="CF429" s="2029"/>
      <c r="CG429" s="2032"/>
      <c r="CH429" s="1974">
        <v>0</v>
      </c>
      <c r="CI429" s="1974">
        <v>0</v>
      </c>
      <c r="CJ429" s="1974">
        <v>0</v>
      </c>
      <c r="CK429" s="1974">
        <v>0</v>
      </c>
      <c r="CL429" s="1974">
        <v>0</v>
      </c>
      <c r="CM429" s="2033">
        <v>0</v>
      </c>
      <c r="CN429" s="2026">
        <v>0</v>
      </c>
      <c r="CO429" s="1974">
        <v>0</v>
      </c>
      <c r="CP429" s="2031">
        <v>0</v>
      </c>
      <c r="CQ429" s="2031">
        <f t="shared" si="215"/>
        <v>0</v>
      </c>
      <c r="CR429" s="2026">
        <v>0</v>
      </c>
      <c r="CS429" s="2026">
        <v>0</v>
      </c>
      <c r="CT429" s="2026">
        <v>0</v>
      </c>
      <c r="CU429" s="2026">
        <v>0</v>
      </c>
      <c r="CV429" s="2036"/>
      <c r="CW429" s="2036"/>
      <c r="CX429" s="2036"/>
      <c r="CY429" s="2036"/>
      <c r="CZ429" s="2036"/>
      <c r="DA429" s="2036"/>
      <c r="DB429" s="1973">
        <v>1</v>
      </c>
    </row>
    <row r="430" spans="1:106" x14ac:dyDescent="0.25">
      <c r="A430" s="2027" t="str">
        <f t="shared" si="229"/>
        <v>Additional Measure 6</v>
      </c>
      <c r="B430" s="1974" t="str">
        <f t="shared" si="230"/>
        <v/>
      </c>
      <c r="C430" s="2027">
        <v>0</v>
      </c>
      <c r="D430" s="2027"/>
      <c r="E430" s="2144">
        <v>0</v>
      </c>
      <c r="F430" s="2144"/>
      <c r="G430" s="2145">
        <v>0</v>
      </c>
      <c r="H430" s="2145"/>
      <c r="I430" s="2027">
        <v>0</v>
      </c>
      <c r="J430" s="2027"/>
      <c r="K430" s="1974" t="s">
        <v>2988</v>
      </c>
      <c r="L430" s="1974" t="s">
        <v>2988</v>
      </c>
      <c r="M430" s="2026">
        <v>0.9</v>
      </c>
      <c r="N430" s="2026">
        <v>0.9</v>
      </c>
      <c r="O430" s="2026">
        <v>0.9</v>
      </c>
      <c r="P430" s="2026">
        <v>0.9</v>
      </c>
      <c r="Q430" s="2027">
        <f t="shared" si="226"/>
        <v>0</v>
      </c>
      <c r="R430" s="2027">
        <f t="shared" si="226"/>
        <v>0</v>
      </c>
      <c r="S430" s="2027">
        <f t="shared" si="226"/>
        <v>0</v>
      </c>
      <c r="T430" s="2027">
        <f t="shared" si="226"/>
        <v>0</v>
      </c>
      <c r="U430" s="2026">
        <v>0.9</v>
      </c>
      <c r="V430" s="2026">
        <v>0.9</v>
      </c>
      <c r="W430" s="2026">
        <v>0.9</v>
      </c>
      <c r="X430" s="2026">
        <v>0.9</v>
      </c>
      <c r="Y430" s="2028">
        <f t="shared" si="227"/>
        <v>0</v>
      </c>
      <c r="Z430" s="2028">
        <f t="shared" si="227"/>
        <v>0</v>
      </c>
      <c r="AA430" s="2028">
        <f t="shared" si="227"/>
        <v>0</v>
      </c>
      <c r="AB430" s="2028">
        <f t="shared" si="227"/>
        <v>0</v>
      </c>
      <c r="AC430" s="2026">
        <v>0.9</v>
      </c>
      <c r="AD430" s="2026">
        <v>0.9</v>
      </c>
      <c r="AE430" s="2026">
        <v>0.9</v>
      </c>
      <c r="AF430" s="2026">
        <v>0.9</v>
      </c>
      <c r="AG430" s="2027">
        <f t="shared" si="228"/>
        <v>0</v>
      </c>
      <c r="AH430" s="2027">
        <f t="shared" si="228"/>
        <v>0</v>
      </c>
      <c r="AI430" s="2027">
        <f t="shared" si="228"/>
        <v>0</v>
      </c>
      <c r="AJ430" s="2027">
        <f t="shared" si="228"/>
        <v>0</v>
      </c>
      <c r="AK430" s="2027">
        <v>0</v>
      </c>
      <c r="AL430" s="2028"/>
      <c r="AM430" s="2028"/>
      <c r="AN430" s="2028"/>
      <c r="AO430" s="2027">
        <f t="shared" si="206"/>
        <v>0</v>
      </c>
      <c r="AP430" s="2027">
        <f t="shared" si="222"/>
        <v>0</v>
      </c>
      <c r="AQ430" s="2027">
        <f t="shared" si="222"/>
        <v>0</v>
      </c>
      <c r="AR430" s="2027" t="s">
        <v>3286</v>
      </c>
      <c r="AS430" s="2027">
        <f t="shared" si="208"/>
        <v>0</v>
      </c>
      <c r="AT430" s="2027">
        <f t="shared" si="209"/>
        <v>0</v>
      </c>
      <c r="AU430" s="2027">
        <f t="shared" si="223"/>
        <v>0</v>
      </c>
      <c r="AV430" s="2027">
        <f t="shared" si="223"/>
        <v>0</v>
      </c>
      <c r="AW430" s="2027">
        <f t="shared" si="223"/>
        <v>0</v>
      </c>
      <c r="AX430" s="2124">
        <v>0</v>
      </c>
      <c r="AY430" s="2029">
        <v>0</v>
      </c>
      <c r="AZ430" s="2029">
        <v>0</v>
      </c>
      <c r="BA430" s="2029">
        <v>0</v>
      </c>
      <c r="BB430" s="2124">
        <v>0</v>
      </c>
      <c r="BC430" s="2029">
        <v>0</v>
      </c>
      <c r="BD430" s="2029">
        <v>0</v>
      </c>
      <c r="BE430" s="2029">
        <v>0</v>
      </c>
      <c r="BF430" s="2124">
        <v>0</v>
      </c>
      <c r="BG430" s="2029">
        <v>0</v>
      </c>
      <c r="BH430" s="2029">
        <v>0</v>
      </c>
      <c r="BI430" s="2029">
        <v>0</v>
      </c>
      <c r="BJ430" s="2030">
        <f t="shared" si="224"/>
        <v>0</v>
      </c>
      <c r="BK430" s="2030">
        <f t="shared" si="224"/>
        <v>0</v>
      </c>
      <c r="BL430" s="2030">
        <f t="shared" si="224"/>
        <v>0</v>
      </c>
      <c r="BM430" s="2030" t="s">
        <v>3286</v>
      </c>
      <c r="BN430" s="2030">
        <f t="shared" si="212"/>
        <v>0</v>
      </c>
      <c r="BO430" s="2030">
        <f t="shared" si="213"/>
        <v>0</v>
      </c>
      <c r="BP430" s="2030" t="s">
        <v>3286</v>
      </c>
      <c r="BQ430" s="2030">
        <f t="shared" si="225"/>
        <v>0</v>
      </c>
      <c r="BR430" s="2030">
        <f t="shared" si="225"/>
        <v>0</v>
      </c>
      <c r="BS430" s="2030">
        <f t="shared" si="225"/>
        <v>0</v>
      </c>
      <c r="BT430" s="2125"/>
      <c r="BU430" s="2125"/>
      <c r="BV430" s="2125"/>
      <c r="BW430" s="2125"/>
      <c r="BX430" s="2125"/>
      <c r="BY430" s="2125"/>
      <c r="BZ430" s="2125"/>
      <c r="CA430" s="2125"/>
      <c r="CB430" s="2029"/>
      <c r="CC430" s="2029"/>
      <c r="CD430" s="2029"/>
      <c r="CE430" s="2029"/>
      <c r="CF430" s="2029"/>
      <c r="CG430" s="2032"/>
      <c r="CH430" s="1974">
        <v>0</v>
      </c>
      <c r="CI430" s="1974">
        <v>0</v>
      </c>
      <c r="CJ430" s="1974">
        <v>0</v>
      </c>
      <c r="CK430" s="1974">
        <v>0</v>
      </c>
      <c r="CL430" s="1974">
        <v>0</v>
      </c>
      <c r="CM430" s="2033">
        <v>0</v>
      </c>
      <c r="CN430" s="2026">
        <v>0</v>
      </c>
      <c r="CO430" s="1974">
        <v>0</v>
      </c>
      <c r="CP430" s="2031">
        <v>0</v>
      </c>
      <c r="CQ430" s="2031">
        <f t="shared" si="215"/>
        <v>0</v>
      </c>
      <c r="CR430" s="2026">
        <v>0</v>
      </c>
      <c r="CS430" s="2026">
        <v>0</v>
      </c>
      <c r="CT430" s="2026">
        <v>0</v>
      </c>
      <c r="CU430" s="2026">
        <v>0</v>
      </c>
      <c r="CV430" s="2036"/>
      <c r="CW430" s="2036"/>
      <c r="CX430" s="2036"/>
      <c r="CY430" s="2036"/>
      <c r="CZ430" s="2036"/>
      <c r="DA430" s="2036"/>
      <c r="DB430" s="1973">
        <v>1</v>
      </c>
    </row>
    <row r="431" spans="1:106" x14ac:dyDescent="0.25">
      <c r="A431" s="2027" t="str">
        <f t="shared" si="229"/>
        <v>Additional Measure 7</v>
      </c>
      <c r="B431" s="1974" t="str">
        <f t="shared" si="230"/>
        <v/>
      </c>
      <c r="C431" s="2027">
        <v>0</v>
      </c>
      <c r="D431" s="2027"/>
      <c r="E431" s="2144">
        <v>0</v>
      </c>
      <c r="F431" s="2144"/>
      <c r="G431" s="2145">
        <v>0</v>
      </c>
      <c r="H431" s="2145"/>
      <c r="I431" s="2027">
        <v>0</v>
      </c>
      <c r="J431" s="2027"/>
      <c r="K431" s="1974" t="s">
        <v>2988</v>
      </c>
      <c r="L431" s="1974" t="s">
        <v>2988</v>
      </c>
      <c r="M431" s="2026">
        <v>0.9</v>
      </c>
      <c r="N431" s="2026">
        <v>0.9</v>
      </c>
      <c r="O431" s="2026">
        <v>0.9</v>
      </c>
      <c r="P431" s="2026">
        <v>0.9</v>
      </c>
      <c r="Q431" s="2027">
        <f t="shared" si="226"/>
        <v>0</v>
      </c>
      <c r="R431" s="2027">
        <f t="shared" si="226"/>
        <v>0</v>
      </c>
      <c r="S431" s="2027">
        <f t="shared" si="226"/>
        <v>0</v>
      </c>
      <c r="T431" s="2027">
        <f t="shared" si="226"/>
        <v>0</v>
      </c>
      <c r="U431" s="2026">
        <v>0.9</v>
      </c>
      <c r="V431" s="2026">
        <v>0.9</v>
      </c>
      <c r="W431" s="2026">
        <v>0.9</v>
      </c>
      <c r="X431" s="2026">
        <v>0.9</v>
      </c>
      <c r="Y431" s="2028">
        <f t="shared" si="227"/>
        <v>0</v>
      </c>
      <c r="Z431" s="2028">
        <f t="shared" si="227"/>
        <v>0</v>
      </c>
      <c r="AA431" s="2028">
        <f t="shared" si="227"/>
        <v>0</v>
      </c>
      <c r="AB431" s="2028">
        <f t="shared" si="227"/>
        <v>0</v>
      </c>
      <c r="AC431" s="2026">
        <v>0.9</v>
      </c>
      <c r="AD431" s="2026">
        <v>0.9</v>
      </c>
      <c r="AE431" s="2026">
        <v>0.9</v>
      </c>
      <c r="AF431" s="2026">
        <v>0.9</v>
      </c>
      <c r="AG431" s="2027">
        <f t="shared" si="228"/>
        <v>0</v>
      </c>
      <c r="AH431" s="2027">
        <f t="shared" si="228"/>
        <v>0</v>
      </c>
      <c r="AI431" s="2027">
        <f t="shared" si="228"/>
        <v>0</v>
      </c>
      <c r="AJ431" s="2027">
        <f t="shared" si="228"/>
        <v>0</v>
      </c>
      <c r="AK431" s="2027">
        <v>0</v>
      </c>
      <c r="AL431" s="2028"/>
      <c r="AM431" s="2028"/>
      <c r="AN431" s="2028"/>
      <c r="AO431" s="2027">
        <f t="shared" si="206"/>
        <v>0</v>
      </c>
      <c r="AP431" s="2027">
        <f t="shared" si="222"/>
        <v>0</v>
      </c>
      <c r="AQ431" s="2027">
        <f t="shared" si="222"/>
        <v>0</v>
      </c>
      <c r="AR431" s="2027" t="s">
        <v>3286</v>
      </c>
      <c r="AS431" s="2027">
        <f t="shared" si="208"/>
        <v>0</v>
      </c>
      <c r="AT431" s="2027">
        <f t="shared" si="209"/>
        <v>0</v>
      </c>
      <c r="AU431" s="2027">
        <f t="shared" si="223"/>
        <v>0</v>
      </c>
      <c r="AV431" s="2027">
        <f t="shared" si="223"/>
        <v>0</v>
      </c>
      <c r="AW431" s="2027">
        <f t="shared" si="223"/>
        <v>0</v>
      </c>
      <c r="AX431" s="2124">
        <v>0</v>
      </c>
      <c r="AY431" s="2029">
        <v>0</v>
      </c>
      <c r="AZ431" s="2029">
        <v>0</v>
      </c>
      <c r="BA431" s="2029">
        <v>0</v>
      </c>
      <c r="BB431" s="2124">
        <v>0</v>
      </c>
      <c r="BC431" s="2029">
        <v>0</v>
      </c>
      <c r="BD431" s="2029">
        <v>0</v>
      </c>
      <c r="BE431" s="2029">
        <v>0</v>
      </c>
      <c r="BF431" s="2124">
        <v>0</v>
      </c>
      <c r="BG431" s="2029">
        <v>0</v>
      </c>
      <c r="BH431" s="2029">
        <v>0</v>
      </c>
      <c r="BI431" s="2029">
        <v>0</v>
      </c>
      <c r="BJ431" s="2030">
        <f t="shared" si="224"/>
        <v>0</v>
      </c>
      <c r="BK431" s="2030">
        <f t="shared" si="224"/>
        <v>0</v>
      </c>
      <c r="BL431" s="2030">
        <f t="shared" si="224"/>
        <v>0</v>
      </c>
      <c r="BM431" s="2030" t="s">
        <v>3286</v>
      </c>
      <c r="BN431" s="2030">
        <f t="shared" si="212"/>
        <v>0</v>
      </c>
      <c r="BO431" s="2030">
        <f t="shared" si="213"/>
        <v>0</v>
      </c>
      <c r="BP431" s="2030" t="s">
        <v>3286</v>
      </c>
      <c r="BQ431" s="2030">
        <f t="shared" si="225"/>
        <v>0</v>
      </c>
      <c r="BR431" s="2030">
        <f t="shared" si="225"/>
        <v>0</v>
      </c>
      <c r="BS431" s="2030">
        <f t="shared" si="225"/>
        <v>0</v>
      </c>
      <c r="BT431" s="2125"/>
      <c r="BU431" s="2125"/>
      <c r="BV431" s="2125"/>
      <c r="BW431" s="2125"/>
      <c r="BX431" s="2125"/>
      <c r="BY431" s="2125"/>
      <c r="BZ431" s="2125"/>
      <c r="CA431" s="2125"/>
      <c r="CB431" s="2029"/>
      <c r="CC431" s="2029"/>
      <c r="CD431" s="2029"/>
      <c r="CE431" s="2029"/>
      <c r="CF431" s="2029"/>
      <c r="CG431" s="2032"/>
      <c r="CH431" s="1974">
        <v>0</v>
      </c>
      <c r="CI431" s="1974">
        <v>0</v>
      </c>
      <c r="CJ431" s="1974">
        <v>0</v>
      </c>
      <c r="CK431" s="1974">
        <v>0</v>
      </c>
      <c r="CL431" s="1974">
        <v>0</v>
      </c>
      <c r="CM431" s="2033">
        <v>0</v>
      </c>
      <c r="CN431" s="2026">
        <v>0</v>
      </c>
      <c r="CO431" s="1974">
        <v>0</v>
      </c>
      <c r="CP431" s="2031">
        <v>0</v>
      </c>
      <c r="CQ431" s="2031">
        <f t="shared" si="215"/>
        <v>0</v>
      </c>
      <c r="CR431" s="2026">
        <v>0</v>
      </c>
      <c r="CS431" s="2026">
        <v>0</v>
      </c>
      <c r="CT431" s="2026">
        <v>0</v>
      </c>
      <c r="CU431" s="2026">
        <v>0</v>
      </c>
      <c r="CV431" s="2036"/>
      <c r="CW431" s="2036"/>
      <c r="CX431" s="2036"/>
      <c r="CY431" s="2036"/>
      <c r="CZ431" s="2036"/>
      <c r="DA431" s="2036"/>
      <c r="DB431" s="1973">
        <v>1</v>
      </c>
    </row>
    <row r="432" spans="1:106" x14ac:dyDescent="0.25">
      <c r="A432" s="2027" t="str">
        <f t="shared" si="229"/>
        <v>Additional Measure 8</v>
      </c>
      <c r="B432" s="1974" t="str">
        <f t="shared" si="230"/>
        <v/>
      </c>
      <c r="C432" s="2027">
        <v>0</v>
      </c>
      <c r="D432" s="2027"/>
      <c r="E432" s="2144">
        <v>0</v>
      </c>
      <c r="F432" s="2144"/>
      <c r="G432" s="2145">
        <v>0</v>
      </c>
      <c r="H432" s="2145"/>
      <c r="I432" s="2027">
        <v>0</v>
      </c>
      <c r="J432" s="2027"/>
      <c r="K432" s="1974" t="s">
        <v>2988</v>
      </c>
      <c r="L432" s="1974" t="s">
        <v>2988</v>
      </c>
      <c r="M432" s="2026">
        <v>0.9</v>
      </c>
      <c r="N432" s="2026">
        <v>0.9</v>
      </c>
      <c r="O432" s="2026">
        <v>0.9</v>
      </c>
      <c r="P432" s="2026">
        <v>0.9</v>
      </c>
      <c r="Q432" s="2027">
        <f t="shared" si="226"/>
        <v>0</v>
      </c>
      <c r="R432" s="2027">
        <f t="shared" si="226"/>
        <v>0</v>
      </c>
      <c r="S432" s="2027">
        <f t="shared" si="226"/>
        <v>0</v>
      </c>
      <c r="T432" s="2027">
        <f t="shared" si="226"/>
        <v>0</v>
      </c>
      <c r="U432" s="2026">
        <v>0.9</v>
      </c>
      <c r="V432" s="2026">
        <v>0.9</v>
      </c>
      <c r="W432" s="2026">
        <v>0.9</v>
      </c>
      <c r="X432" s="2026">
        <v>0.9</v>
      </c>
      <c r="Y432" s="2028">
        <f t="shared" si="227"/>
        <v>0</v>
      </c>
      <c r="Z432" s="2028">
        <f t="shared" si="227"/>
        <v>0</v>
      </c>
      <c r="AA432" s="2028">
        <f t="shared" si="227"/>
        <v>0</v>
      </c>
      <c r="AB432" s="2028">
        <f t="shared" si="227"/>
        <v>0</v>
      </c>
      <c r="AC432" s="2026">
        <v>0.9</v>
      </c>
      <c r="AD432" s="2026">
        <v>0.9</v>
      </c>
      <c r="AE432" s="2026">
        <v>0.9</v>
      </c>
      <c r="AF432" s="2026">
        <v>0.9</v>
      </c>
      <c r="AG432" s="2027">
        <f t="shared" si="228"/>
        <v>0</v>
      </c>
      <c r="AH432" s="2027">
        <f t="shared" si="228"/>
        <v>0</v>
      </c>
      <c r="AI432" s="2027">
        <f t="shared" si="228"/>
        <v>0</v>
      </c>
      <c r="AJ432" s="2027">
        <f t="shared" si="228"/>
        <v>0</v>
      </c>
      <c r="AK432" s="2027">
        <v>0</v>
      </c>
      <c r="AL432" s="2028"/>
      <c r="AM432" s="2028"/>
      <c r="AN432" s="2028"/>
      <c r="AO432" s="2027">
        <f t="shared" si="206"/>
        <v>0</v>
      </c>
      <c r="AP432" s="2027">
        <f t="shared" si="222"/>
        <v>0</v>
      </c>
      <c r="AQ432" s="2027">
        <f t="shared" si="222"/>
        <v>0</v>
      </c>
      <c r="AR432" s="2027" t="s">
        <v>3286</v>
      </c>
      <c r="AS432" s="2027">
        <f t="shared" si="208"/>
        <v>0</v>
      </c>
      <c r="AT432" s="2027">
        <f t="shared" si="209"/>
        <v>0</v>
      </c>
      <c r="AU432" s="2027">
        <f t="shared" si="223"/>
        <v>0</v>
      </c>
      <c r="AV432" s="2027">
        <f t="shared" si="223"/>
        <v>0</v>
      </c>
      <c r="AW432" s="2027">
        <f t="shared" si="223"/>
        <v>0</v>
      </c>
      <c r="AX432" s="2124">
        <v>0</v>
      </c>
      <c r="AY432" s="2029">
        <v>0</v>
      </c>
      <c r="AZ432" s="2029">
        <v>0</v>
      </c>
      <c r="BA432" s="2029">
        <v>0</v>
      </c>
      <c r="BB432" s="2124">
        <v>0</v>
      </c>
      <c r="BC432" s="2029">
        <v>0</v>
      </c>
      <c r="BD432" s="2029">
        <v>0</v>
      </c>
      <c r="BE432" s="2029">
        <v>0</v>
      </c>
      <c r="BF432" s="2124">
        <v>0</v>
      </c>
      <c r="BG432" s="2029">
        <v>0</v>
      </c>
      <c r="BH432" s="2029">
        <v>0</v>
      </c>
      <c r="BI432" s="2029">
        <v>0</v>
      </c>
      <c r="BJ432" s="2030">
        <f t="shared" si="224"/>
        <v>0</v>
      </c>
      <c r="BK432" s="2030">
        <f t="shared" si="224"/>
        <v>0</v>
      </c>
      <c r="BL432" s="2030">
        <f t="shared" si="224"/>
        <v>0</v>
      </c>
      <c r="BM432" s="2030" t="s">
        <v>3286</v>
      </c>
      <c r="BN432" s="2030">
        <f t="shared" si="212"/>
        <v>0</v>
      </c>
      <c r="BO432" s="2030">
        <f t="shared" si="213"/>
        <v>0</v>
      </c>
      <c r="BP432" s="2030" t="s">
        <v>3286</v>
      </c>
      <c r="BQ432" s="2030">
        <f t="shared" si="225"/>
        <v>0</v>
      </c>
      <c r="BR432" s="2030">
        <f t="shared" si="225"/>
        <v>0</v>
      </c>
      <c r="BS432" s="2030">
        <f t="shared" si="225"/>
        <v>0</v>
      </c>
      <c r="BT432" s="2125"/>
      <c r="BU432" s="2125"/>
      <c r="BV432" s="2125"/>
      <c r="BW432" s="2125"/>
      <c r="BX432" s="2125"/>
      <c r="BY432" s="2125"/>
      <c r="BZ432" s="2125"/>
      <c r="CA432" s="2125"/>
      <c r="CB432" s="2029"/>
      <c r="CC432" s="2029"/>
      <c r="CD432" s="2029"/>
      <c r="CE432" s="2029"/>
      <c r="CF432" s="2029"/>
      <c r="CG432" s="2032"/>
      <c r="CH432" s="1974">
        <v>0</v>
      </c>
      <c r="CI432" s="1974">
        <v>0</v>
      </c>
      <c r="CJ432" s="1974">
        <v>0</v>
      </c>
      <c r="CK432" s="1974">
        <v>0</v>
      </c>
      <c r="CL432" s="1974">
        <v>0</v>
      </c>
      <c r="CM432" s="2033">
        <v>0</v>
      </c>
      <c r="CN432" s="2026">
        <v>0</v>
      </c>
      <c r="CO432" s="1974">
        <v>0</v>
      </c>
      <c r="CP432" s="2031">
        <v>0</v>
      </c>
      <c r="CQ432" s="2031">
        <f t="shared" si="215"/>
        <v>0</v>
      </c>
      <c r="CR432" s="2026">
        <v>0</v>
      </c>
      <c r="CS432" s="2026">
        <v>0</v>
      </c>
      <c r="CT432" s="2026">
        <v>0</v>
      </c>
      <c r="CU432" s="2026">
        <v>0</v>
      </c>
      <c r="CV432" s="2036"/>
      <c r="CW432" s="2036"/>
      <c r="CX432" s="2036"/>
      <c r="CY432" s="2036"/>
      <c r="CZ432" s="2036"/>
      <c r="DA432" s="2036"/>
      <c r="DB432" s="1973">
        <v>1</v>
      </c>
    </row>
    <row r="433" spans="1:106" x14ac:dyDescent="0.25">
      <c r="A433" s="2027" t="str">
        <f t="shared" si="229"/>
        <v>Additional Measure 9</v>
      </c>
      <c r="B433" s="1974" t="str">
        <f t="shared" si="230"/>
        <v/>
      </c>
      <c r="C433" s="2027">
        <v>0</v>
      </c>
      <c r="D433" s="2027"/>
      <c r="E433" s="2144">
        <v>0</v>
      </c>
      <c r="F433" s="2144"/>
      <c r="G433" s="2145">
        <v>0</v>
      </c>
      <c r="H433" s="2145"/>
      <c r="I433" s="2027">
        <v>0</v>
      </c>
      <c r="J433" s="2027"/>
      <c r="K433" s="1974" t="s">
        <v>2988</v>
      </c>
      <c r="L433" s="1974" t="s">
        <v>2988</v>
      </c>
      <c r="M433" s="2026">
        <v>0.9</v>
      </c>
      <c r="N433" s="2026">
        <v>0.9</v>
      </c>
      <c r="O433" s="2026">
        <v>0.9</v>
      </c>
      <c r="P433" s="2026">
        <v>0.9</v>
      </c>
      <c r="Q433" s="2027">
        <f t="shared" si="226"/>
        <v>0</v>
      </c>
      <c r="R433" s="2027">
        <f t="shared" si="226"/>
        <v>0</v>
      </c>
      <c r="S433" s="2027">
        <f t="shared" si="226"/>
        <v>0</v>
      </c>
      <c r="T433" s="2027">
        <f t="shared" si="226"/>
        <v>0</v>
      </c>
      <c r="U433" s="2026">
        <v>0.9</v>
      </c>
      <c r="V433" s="2026">
        <v>0.9</v>
      </c>
      <c r="W433" s="2026">
        <v>0.9</v>
      </c>
      <c r="X433" s="2026">
        <v>0.9</v>
      </c>
      <c r="Y433" s="2028">
        <f t="shared" si="227"/>
        <v>0</v>
      </c>
      <c r="Z433" s="2028">
        <f t="shared" si="227"/>
        <v>0</v>
      </c>
      <c r="AA433" s="2028">
        <f t="shared" si="227"/>
        <v>0</v>
      </c>
      <c r="AB433" s="2028">
        <f t="shared" si="227"/>
        <v>0</v>
      </c>
      <c r="AC433" s="2026">
        <v>0.9</v>
      </c>
      <c r="AD433" s="2026">
        <v>0.9</v>
      </c>
      <c r="AE433" s="2026">
        <v>0.9</v>
      </c>
      <c r="AF433" s="2026">
        <v>0.9</v>
      </c>
      <c r="AG433" s="2027">
        <f t="shared" si="228"/>
        <v>0</v>
      </c>
      <c r="AH433" s="2027">
        <f t="shared" si="228"/>
        <v>0</v>
      </c>
      <c r="AI433" s="2027">
        <f t="shared" si="228"/>
        <v>0</v>
      </c>
      <c r="AJ433" s="2027">
        <f t="shared" si="228"/>
        <v>0</v>
      </c>
      <c r="AK433" s="2027">
        <v>0</v>
      </c>
      <c r="AL433" s="2028"/>
      <c r="AM433" s="2028"/>
      <c r="AN433" s="2028"/>
      <c r="AO433" s="2027">
        <f t="shared" si="206"/>
        <v>0</v>
      </c>
      <c r="AP433" s="2027">
        <f t="shared" si="222"/>
        <v>0</v>
      </c>
      <c r="AQ433" s="2027">
        <f t="shared" si="222"/>
        <v>0</v>
      </c>
      <c r="AR433" s="2027" t="s">
        <v>3286</v>
      </c>
      <c r="AS433" s="2027">
        <f t="shared" si="208"/>
        <v>0</v>
      </c>
      <c r="AT433" s="2027">
        <f t="shared" si="209"/>
        <v>0</v>
      </c>
      <c r="AU433" s="2027">
        <f t="shared" si="223"/>
        <v>0</v>
      </c>
      <c r="AV433" s="2027">
        <f t="shared" si="223"/>
        <v>0</v>
      </c>
      <c r="AW433" s="2027">
        <f t="shared" si="223"/>
        <v>0</v>
      </c>
      <c r="AX433" s="2124">
        <v>0</v>
      </c>
      <c r="AY433" s="2029">
        <v>0</v>
      </c>
      <c r="AZ433" s="2029">
        <v>0</v>
      </c>
      <c r="BA433" s="2029">
        <v>0</v>
      </c>
      <c r="BB433" s="2124">
        <v>0</v>
      </c>
      <c r="BC433" s="2029">
        <v>0</v>
      </c>
      <c r="BD433" s="2029">
        <v>0</v>
      </c>
      <c r="BE433" s="2029">
        <v>0</v>
      </c>
      <c r="BF433" s="2124">
        <v>0</v>
      </c>
      <c r="BG433" s="2029">
        <v>0</v>
      </c>
      <c r="BH433" s="2029">
        <v>0</v>
      </c>
      <c r="BI433" s="2029">
        <v>0</v>
      </c>
      <c r="BJ433" s="2030">
        <f t="shared" si="224"/>
        <v>0</v>
      </c>
      <c r="BK433" s="2030">
        <f t="shared" si="224"/>
        <v>0</v>
      </c>
      <c r="BL433" s="2030">
        <f t="shared" si="224"/>
        <v>0</v>
      </c>
      <c r="BM433" s="2030" t="s">
        <v>3286</v>
      </c>
      <c r="BN433" s="2030">
        <f t="shared" si="212"/>
        <v>0</v>
      </c>
      <c r="BO433" s="2030">
        <f t="shared" si="213"/>
        <v>0</v>
      </c>
      <c r="BP433" s="2030" t="s">
        <v>3286</v>
      </c>
      <c r="BQ433" s="2030">
        <f t="shared" si="225"/>
        <v>0</v>
      </c>
      <c r="BR433" s="2030">
        <f t="shared" si="225"/>
        <v>0</v>
      </c>
      <c r="BS433" s="2030">
        <f t="shared" si="225"/>
        <v>0</v>
      </c>
      <c r="BT433" s="2125"/>
      <c r="BU433" s="2125"/>
      <c r="BV433" s="2125"/>
      <c r="BW433" s="2125"/>
      <c r="BX433" s="2125"/>
      <c r="BY433" s="2125"/>
      <c r="BZ433" s="2125"/>
      <c r="CA433" s="2125"/>
      <c r="CB433" s="2029"/>
      <c r="CC433" s="2029"/>
      <c r="CD433" s="2029"/>
      <c r="CE433" s="2029"/>
      <c r="CF433" s="2029"/>
      <c r="CG433" s="2032"/>
      <c r="CH433" s="1974">
        <v>0</v>
      </c>
      <c r="CI433" s="1974">
        <v>0</v>
      </c>
      <c r="CJ433" s="1974">
        <v>0</v>
      </c>
      <c r="CK433" s="1974">
        <v>0</v>
      </c>
      <c r="CL433" s="1974">
        <v>0</v>
      </c>
      <c r="CM433" s="2033">
        <v>0</v>
      </c>
      <c r="CN433" s="2026">
        <v>0</v>
      </c>
      <c r="CO433" s="1974">
        <v>0</v>
      </c>
      <c r="CP433" s="2031">
        <v>0</v>
      </c>
      <c r="CQ433" s="2031">
        <f t="shared" si="215"/>
        <v>0</v>
      </c>
      <c r="CR433" s="2026">
        <v>0</v>
      </c>
      <c r="CS433" s="2026">
        <v>0</v>
      </c>
      <c r="CT433" s="2026">
        <v>0</v>
      </c>
      <c r="CU433" s="2026">
        <v>0</v>
      </c>
      <c r="CV433" s="2036"/>
      <c r="CW433" s="2036"/>
      <c r="CX433" s="2036"/>
      <c r="CY433" s="2036"/>
      <c r="CZ433" s="2036"/>
      <c r="DA433" s="2036"/>
      <c r="DB433" s="1973">
        <v>1</v>
      </c>
    </row>
    <row r="434" spans="1:106" x14ac:dyDescent="0.25">
      <c r="A434" s="2027" t="str">
        <f t="shared" si="229"/>
        <v>Additional Measure 10</v>
      </c>
      <c r="B434" s="1974" t="str">
        <f t="shared" si="230"/>
        <v/>
      </c>
      <c r="C434" s="2027">
        <v>0</v>
      </c>
      <c r="D434" s="2027"/>
      <c r="E434" s="2144">
        <v>0</v>
      </c>
      <c r="F434" s="2144"/>
      <c r="G434" s="2145">
        <v>0</v>
      </c>
      <c r="H434" s="2145"/>
      <c r="I434" s="2027">
        <v>0</v>
      </c>
      <c r="J434" s="2027"/>
      <c r="K434" s="1974" t="s">
        <v>2988</v>
      </c>
      <c r="L434" s="1974" t="s">
        <v>2988</v>
      </c>
      <c r="M434" s="2026">
        <v>0.9</v>
      </c>
      <c r="N434" s="2026">
        <v>0.9</v>
      </c>
      <c r="O434" s="2026">
        <v>0.9</v>
      </c>
      <c r="P434" s="2026">
        <v>0.9</v>
      </c>
      <c r="Q434" s="2027">
        <f t="shared" si="226"/>
        <v>0</v>
      </c>
      <c r="R434" s="2027">
        <f t="shared" si="226"/>
        <v>0</v>
      </c>
      <c r="S434" s="2027">
        <f t="shared" si="226"/>
        <v>0</v>
      </c>
      <c r="T434" s="2027">
        <f t="shared" si="226"/>
        <v>0</v>
      </c>
      <c r="U434" s="2026">
        <v>0.9</v>
      </c>
      <c r="V434" s="2026">
        <v>0.9</v>
      </c>
      <c r="W434" s="2026">
        <v>0.9</v>
      </c>
      <c r="X434" s="2026">
        <v>0.9</v>
      </c>
      <c r="Y434" s="2028">
        <f t="shared" si="227"/>
        <v>0</v>
      </c>
      <c r="Z434" s="2028">
        <f t="shared" si="227"/>
        <v>0</v>
      </c>
      <c r="AA434" s="2028">
        <f t="shared" si="227"/>
        <v>0</v>
      </c>
      <c r="AB434" s="2028">
        <f t="shared" si="227"/>
        <v>0</v>
      </c>
      <c r="AC434" s="2026">
        <v>0.9</v>
      </c>
      <c r="AD434" s="2026">
        <v>0.9</v>
      </c>
      <c r="AE434" s="2026">
        <v>0.9</v>
      </c>
      <c r="AF434" s="2026">
        <v>0.9</v>
      </c>
      <c r="AG434" s="2027">
        <f t="shared" si="228"/>
        <v>0</v>
      </c>
      <c r="AH434" s="2027">
        <f t="shared" si="228"/>
        <v>0</v>
      </c>
      <c r="AI434" s="2027">
        <f t="shared" si="228"/>
        <v>0</v>
      </c>
      <c r="AJ434" s="2027">
        <f t="shared" si="228"/>
        <v>0</v>
      </c>
      <c r="AK434" s="2027">
        <v>0</v>
      </c>
      <c r="AL434" s="2028"/>
      <c r="AM434" s="2028"/>
      <c r="AN434" s="2028"/>
      <c r="AO434" s="2027">
        <f t="shared" si="206"/>
        <v>0</v>
      </c>
      <c r="AP434" s="2027">
        <f t="shared" si="222"/>
        <v>0</v>
      </c>
      <c r="AQ434" s="2027">
        <f t="shared" si="222"/>
        <v>0</v>
      </c>
      <c r="AR434" s="2027" t="s">
        <v>3286</v>
      </c>
      <c r="AS434" s="2027">
        <f t="shared" si="208"/>
        <v>0</v>
      </c>
      <c r="AT434" s="2027">
        <f t="shared" si="209"/>
        <v>0</v>
      </c>
      <c r="AU434" s="2027">
        <f t="shared" si="223"/>
        <v>0</v>
      </c>
      <c r="AV434" s="2027">
        <f t="shared" si="223"/>
        <v>0</v>
      </c>
      <c r="AW434" s="2027">
        <f t="shared" si="223"/>
        <v>0</v>
      </c>
      <c r="AX434" s="2124">
        <v>0</v>
      </c>
      <c r="AY434" s="2029">
        <v>0</v>
      </c>
      <c r="AZ434" s="2029">
        <v>0</v>
      </c>
      <c r="BA434" s="2029">
        <v>0</v>
      </c>
      <c r="BB434" s="2124">
        <v>0</v>
      </c>
      <c r="BC434" s="2029">
        <v>0</v>
      </c>
      <c r="BD434" s="2029">
        <v>0</v>
      </c>
      <c r="BE434" s="2029">
        <v>0</v>
      </c>
      <c r="BF434" s="2124">
        <v>0</v>
      </c>
      <c r="BG434" s="2029">
        <v>0</v>
      </c>
      <c r="BH434" s="2029">
        <v>0</v>
      </c>
      <c r="BI434" s="2029">
        <v>0</v>
      </c>
      <c r="BJ434" s="2030">
        <f t="shared" si="224"/>
        <v>0</v>
      </c>
      <c r="BK434" s="2030">
        <f t="shared" si="224"/>
        <v>0</v>
      </c>
      <c r="BL434" s="2030">
        <f t="shared" si="224"/>
        <v>0</v>
      </c>
      <c r="BM434" s="2030" t="s">
        <v>3286</v>
      </c>
      <c r="BN434" s="2030">
        <f t="shared" si="212"/>
        <v>0</v>
      </c>
      <c r="BO434" s="2030">
        <f t="shared" si="213"/>
        <v>0</v>
      </c>
      <c r="BP434" s="2030" t="s">
        <v>3286</v>
      </c>
      <c r="BQ434" s="2030">
        <f t="shared" si="225"/>
        <v>0</v>
      </c>
      <c r="BR434" s="2030">
        <f t="shared" si="225"/>
        <v>0</v>
      </c>
      <c r="BS434" s="2030">
        <f t="shared" si="225"/>
        <v>0</v>
      </c>
      <c r="BT434" s="2125"/>
      <c r="BU434" s="2125"/>
      <c r="BV434" s="2125"/>
      <c r="BW434" s="2125"/>
      <c r="BX434" s="2125"/>
      <c r="BY434" s="2125"/>
      <c r="BZ434" s="2125"/>
      <c r="CA434" s="2125"/>
      <c r="CB434" s="2029"/>
      <c r="CC434" s="2029"/>
      <c r="CD434" s="2029"/>
      <c r="CE434" s="2029"/>
      <c r="CF434" s="2029"/>
      <c r="CG434" s="2032"/>
      <c r="CH434" s="1974">
        <v>0</v>
      </c>
      <c r="CI434" s="1974">
        <v>0</v>
      </c>
      <c r="CJ434" s="1974">
        <v>0</v>
      </c>
      <c r="CK434" s="1974">
        <v>0</v>
      </c>
      <c r="CL434" s="1974">
        <v>0</v>
      </c>
      <c r="CM434" s="2033">
        <v>0</v>
      </c>
      <c r="CN434" s="2026">
        <v>0</v>
      </c>
      <c r="CO434" s="1974">
        <v>0</v>
      </c>
      <c r="CP434" s="2031">
        <v>0</v>
      </c>
      <c r="CQ434" s="2031">
        <f t="shared" si="215"/>
        <v>0</v>
      </c>
      <c r="CR434" s="2026">
        <v>0</v>
      </c>
      <c r="CS434" s="2026">
        <v>0</v>
      </c>
      <c r="CT434" s="2026">
        <v>0</v>
      </c>
      <c r="CU434" s="2026">
        <v>0</v>
      </c>
      <c r="CV434" s="2036"/>
      <c r="CW434" s="2036"/>
      <c r="CX434" s="2036"/>
      <c r="CY434" s="2036"/>
      <c r="CZ434" s="2036"/>
      <c r="DA434" s="2036"/>
      <c r="DB434" s="1973">
        <v>1</v>
      </c>
    </row>
    <row r="435" spans="1:106" x14ac:dyDescent="0.25">
      <c r="A435" s="2027" t="str">
        <f t="shared" si="229"/>
        <v>Additional Measure 11</v>
      </c>
      <c r="B435" s="1974" t="str">
        <f t="shared" si="230"/>
        <v/>
      </c>
      <c r="C435" s="2027">
        <v>0</v>
      </c>
      <c r="D435" s="2027"/>
      <c r="E435" s="2144">
        <v>0</v>
      </c>
      <c r="F435" s="2144"/>
      <c r="G435" s="2145">
        <v>0</v>
      </c>
      <c r="H435" s="2145"/>
      <c r="I435" s="2027">
        <v>0</v>
      </c>
      <c r="J435" s="2027"/>
      <c r="K435" s="1974" t="s">
        <v>2988</v>
      </c>
      <c r="L435" s="1974" t="s">
        <v>2988</v>
      </c>
      <c r="M435" s="2026">
        <v>0.9</v>
      </c>
      <c r="N435" s="2026">
        <v>0.9</v>
      </c>
      <c r="O435" s="2026">
        <v>0.9</v>
      </c>
      <c r="P435" s="2026">
        <v>0.9</v>
      </c>
      <c r="Q435" s="2027">
        <f t="shared" si="226"/>
        <v>0</v>
      </c>
      <c r="R435" s="2027">
        <f t="shared" si="226"/>
        <v>0</v>
      </c>
      <c r="S435" s="2027">
        <f t="shared" si="226"/>
        <v>0</v>
      </c>
      <c r="T435" s="2027">
        <f t="shared" si="226"/>
        <v>0</v>
      </c>
      <c r="U435" s="2026">
        <v>0.9</v>
      </c>
      <c r="V435" s="2026">
        <v>0.9</v>
      </c>
      <c r="W435" s="2026">
        <v>0.9</v>
      </c>
      <c r="X435" s="2026">
        <v>0.9</v>
      </c>
      <c r="Y435" s="2028">
        <f t="shared" si="227"/>
        <v>0</v>
      </c>
      <c r="Z435" s="2028">
        <f t="shared" si="227"/>
        <v>0</v>
      </c>
      <c r="AA435" s="2028">
        <f t="shared" si="227"/>
        <v>0</v>
      </c>
      <c r="AB435" s="2028">
        <f t="shared" si="227"/>
        <v>0</v>
      </c>
      <c r="AC435" s="2026">
        <v>0.9</v>
      </c>
      <c r="AD435" s="2026">
        <v>0.9</v>
      </c>
      <c r="AE435" s="2026">
        <v>0.9</v>
      </c>
      <c r="AF435" s="2026">
        <v>0.9</v>
      </c>
      <c r="AG435" s="2027">
        <f t="shared" si="228"/>
        <v>0</v>
      </c>
      <c r="AH435" s="2027">
        <f t="shared" si="228"/>
        <v>0</v>
      </c>
      <c r="AI435" s="2027">
        <f t="shared" si="228"/>
        <v>0</v>
      </c>
      <c r="AJ435" s="2027">
        <f t="shared" si="228"/>
        <v>0</v>
      </c>
      <c r="AK435" s="2027">
        <v>0</v>
      </c>
      <c r="AL435" s="2028"/>
      <c r="AM435" s="2028"/>
      <c r="AN435" s="2028"/>
      <c r="AO435" s="2027">
        <f t="shared" si="206"/>
        <v>0</v>
      </c>
      <c r="AP435" s="2027">
        <f t="shared" si="222"/>
        <v>0</v>
      </c>
      <c r="AQ435" s="2027">
        <f t="shared" si="222"/>
        <v>0</v>
      </c>
      <c r="AR435" s="2027" t="s">
        <v>3286</v>
      </c>
      <c r="AS435" s="2027">
        <f t="shared" si="208"/>
        <v>0</v>
      </c>
      <c r="AT435" s="2027">
        <f t="shared" si="209"/>
        <v>0</v>
      </c>
      <c r="AU435" s="2027">
        <f t="shared" si="223"/>
        <v>0</v>
      </c>
      <c r="AV435" s="2027">
        <f t="shared" si="223"/>
        <v>0</v>
      </c>
      <c r="AW435" s="2027">
        <f t="shared" si="223"/>
        <v>0</v>
      </c>
      <c r="AX435" s="2124">
        <v>0</v>
      </c>
      <c r="AY435" s="2029">
        <v>0</v>
      </c>
      <c r="AZ435" s="2029">
        <v>0</v>
      </c>
      <c r="BA435" s="2029">
        <v>0</v>
      </c>
      <c r="BB435" s="2124">
        <v>0</v>
      </c>
      <c r="BC435" s="2029">
        <v>0</v>
      </c>
      <c r="BD435" s="2029">
        <v>0</v>
      </c>
      <c r="BE435" s="2029">
        <v>0</v>
      </c>
      <c r="BF435" s="2124">
        <v>0</v>
      </c>
      <c r="BG435" s="2029">
        <v>0</v>
      </c>
      <c r="BH435" s="2029">
        <v>0</v>
      </c>
      <c r="BI435" s="2029">
        <v>0</v>
      </c>
      <c r="BJ435" s="2030">
        <f t="shared" si="224"/>
        <v>0</v>
      </c>
      <c r="BK435" s="2030">
        <f t="shared" si="224"/>
        <v>0</v>
      </c>
      <c r="BL435" s="2030">
        <f t="shared" si="224"/>
        <v>0</v>
      </c>
      <c r="BM435" s="2030" t="s">
        <v>3286</v>
      </c>
      <c r="BN435" s="2030">
        <f t="shared" si="212"/>
        <v>0</v>
      </c>
      <c r="BO435" s="2030">
        <f t="shared" si="213"/>
        <v>0</v>
      </c>
      <c r="BP435" s="2030" t="s">
        <v>3286</v>
      </c>
      <c r="BQ435" s="2030">
        <f t="shared" si="225"/>
        <v>0</v>
      </c>
      <c r="BR435" s="2030">
        <f t="shared" si="225"/>
        <v>0</v>
      </c>
      <c r="BS435" s="2030">
        <f t="shared" si="225"/>
        <v>0</v>
      </c>
      <c r="BT435" s="2125"/>
      <c r="BU435" s="2125"/>
      <c r="BV435" s="2125"/>
      <c r="BW435" s="2125"/>
      <c r="BX435" s="2125"/>
      <c r="BY435" s="2125"/>
      <c r="BZ435" s="2125"/>
      <c r="CA435" s="2125"/>
      <c r="CB435" s="2029"/>
      <c r="CC435" s="2029"/>
      <c r="CD435" s="2029"/>
      <c r="CE435" s="2029"/>
      <c r="CF435" s="2029"/>
      <c r="CG435" s="2032"/>
      <c r="CH435" s="1974">
        <v>0</v>
      </c>
      <c r="CI435" s="1974">
        <v>0</v>
      </c>
      <c r="CJ435" s="1974">
        <v>0</v>
      </c>
      <c r="CK435" s="1974">
        <v>0</v>
      </c>
      <c r="CL435" s="1974">
        <v>0</v>
      </c>
      <c r="CM435" s="2033">
        <v>0</v>
      </c>
      <c r="CN435" s="2026">
        <v>0</v>
      </c>
      <c r="CO435" s="1974">
        <v>0</v>
      </c>
      <c r="CP435" s="2031">
        <v>0</v>
      </c>
      <c r="CQ435" s="2031">
        <f t="shared" si="215"/>
        <v>0</v>
      </c>
      <c r="CR435" s="2026">
        <v>0</v>
      </c>
      <c r="CS435" s="2026">
        <v>0</v>
      </c>
      <c r="CT435" s="2026">
        <v>0</v>
      </c>
      <c r="CU435" s="2026">
        <v>0</v>
      </c>
      <c r="CV435" s="2036"/>
      <c r="CW435" s="2036"/>
      <c r="CX435" s="2036"/>
      <c r="CY435" s="2036"/>
      <c r="CZ435" s="2036"/>
      <c r="DA435" s="2036"/>
      <c r="DB435" s="1973">
        <v>1</v>
      </c>
    </row>
    <row r="436" spans="1:106" x14ac:dyDescent="0.25">
      <c r="A436" s="2027" t="str">
        <f t="shared" si="229"/>
        <v>Additional Measure 12</v>
      </c>
      <c r="B436" s="1974" t="str">
        <f t="shared" si="230"/>
        <v/>
      </c>
      <c r="C436" s="2027">
        <v>0</v>
      </c>
      <c r="D436" s="2027"/>
      <c r="E436" s="2144">
        <v>0</v>
      </c>
      <c r="F436" s="2144"/>
      <c r="G436" s="2145">
        <v>0</v>
      </c>
      <c r="H436" s="2145"/>
      <c r="I436" s="2027">
        <v>0</v>
      </c>
      <c r="J436" s="2027"/>
      <c r="K436" s="1974" t="s">
        <v>2988</v>
      </c>
      <c r="L436" s="1974" t="s">
        <v>2988</v>
      </c>
      <c r="M436" s="2026">
        <v>0.9</v>
      </c>
      <c r="N436" s="2026">
        <v>0.9</v>
      </c>
      <c r="O436" s="2026">
        <v>0.9</v>
      </c>
      <c r="P436" s="2026">
        <v>0.9</v>
      </c>
      <c r="Q436" s="2027">
        <f t="shared" si="226"/>
        <v>0</v>
      </c>
      <c r="R436" s="2027">
        <f t="shared" si="226"/>
        <v>0</v>
      </c>
      <c r="S436" s="2027">
        <f t="shared" si="226"/>
        <v>0</v>
      </c>
      <c r="T436" s="2027">
        <f t="shared" si="226"/>
        <v>0</v>
      </c>
      <c r="U436" s="2026">
        <v>0.9</v>
      </c>
      <c r="V436" s="2026">
        <v>0.9</v>
      </c>
      <c r="W436" s="2026">
        <v>0.9</v>
      </c>
      <c r="X436" s="2026">
        <v>0.9</v>
      </c>
      <c r="Y436" s="2028">
        <f t="shared" si="227"/>
        <v>0</v>
      </c>
      <c r="Z436" s="2028">
        <f t="shared" si="227"/>
        <v>0</v>
      </c>
      <c r="AA436" s="2028">
        <f t="shared" si="227"/>
        <v>0</v>
      </c>
      <c r="AB436" s="2028">
        <f t="shared" si="227"/>
        <v>0</v>
      </c>
      <c r="AC436" s="2026">
        <v>0.9</v>
      </c>
      <c r="AD436" s="2026">
        <v>0.9</v>
      </c>
      <c r="AE436" s="2026">
        <v>0.9</v>
      </c>
      <c r="AF436" s="2026">
        <v>0.9</v>
      </c>
      <c r="AG436" s="2027">
        <f t="shared" si="228"/>
        <v>0</v>
      </c>
      <c r="AH436" s="2027">
        <f t="shared" si="228"/>
        <v>0</v>
      </c>
      <c r="AI436" s="2027">
        <f t="shared" si="228"/>
        <v>0</v>
      </c>
      <c r="AJ436" s="2027">
        <f t="shared" si="228"/>
        <v>0</v>
      </c>
      <c r="AK436" s="2027">
        <v>0</v>
      </c>
      <c r="AL436" s="2028"/>
      <c r="AM436" s="2028"/>
      <c r="AN436" s="2028"/>
      <c r="AO436" s="2027">
        <f t="shared" si="206"/>
        <v>0</v>
      </c>
      <c r="AP436" s="2027">
        <f t="shared" si="222"/>
        <v>0</v>
      </c>
      <c r="AQ436" s="2027">
        <f t="shared" si="222"/>
        <v>0</v>
      </c>
      <c r="AR436" s="2027" t="s">
        <v>3286</v>
      </c>
      <c r="AS436" s="2027">
        <f t="shared" si="208"/>
        <v>0</v>
      </c>
      <c r="AT436" s="2027">
        <f t="shared" si="209"/>
        <v>0</v>
      </c>
      <c r="AU436" s="2027">
        <f t="shared" si="223"/>
        <v>0</v>
      </c>
      <c r="AV436" s="2027">
        <f t="shared" si="223"/>
        <v>0</v>
      </c>
      <c r="AW436" s="2027">
        <f t="shared" si="223"/>
        <v>0</v>
      </c>
      <c r="AX436" s="2124">
        <v>0</v>
      </c>
      <c r="AY436" s="2029">
        <v>0</v>
      </c>
      <c r="AZ436" s="2029">
        <v>0</v>
      </c>
      <c r="BA436" s="2029">
        <v>0</v>
      </c>
      <c r="BB436" s="2124">
        <v>0</v>
      </c>
      <c r="BC436" s="2029">
        <v>0</v>
      </c>
      <c r="BD436" s="2029">
        <v>0</v>
      </c>
      <c r="BE436" s="2029">
        <v>0</v>
      </c>
      <c r="BF436" s="2124">
        <v>0</v>
      </c>
      <c r="BG436" s="2029">
        <v>0</v>
      </c>
      <c r="BH436" s="2029">
        <v>0</v>
      </c>
      <c r="BI436" s="2029">
        <v>0</v>
      </c>
      <c r="BJ436" s="2030">
        <f t="shared" si="224"/>
        <v>0</v>
      </c>
      <c r="BK436" s="2030">
        <f t="shared" si="224"/>
        <v>0</v>
      </c>
      <c r="BL436" s="2030">
        <f t="shared" si="224"/>
        <v>0</v>
      </c>
      <c r="BM436" s="2030" t="s">
        <v>3286</v>
      </c>
      <c r="BN436" s="2030">
        <f t="shared" si="212"/>
        <v>0</v>
      </c>
      <c r="BO436" s="2030">
        <f t="shared" si="213"/>
        <v>0</v>
      </c>
      <c r="BP436" s="2030" t="s">
        <v>3286</v>
      </c>
      <c r="BQ436" s="2030">
        <f t="shared" si="225"/>
        <v>0</v>
      </c>
      <c r="BR436" s="2030">
        <f t="shared" si="225"/>
        <v>0</v>
      </c>
      <c r="BS436" s="2030">
        <f t="shared" si="225"/>
        <v>0</v>
      </c>
      <c r="BT436" s="2125"/>
      <c r="BU436" s="2125"/>
      <c r="BV436" s="2125"/>
      <c r="BW436" s="2125"/>
      <c r="BX436" s="2125"/>
      <c r="BY436" s="2125"/>
      <c r="BZ436" s="2125"/>
      <c r="CA436" s="2125"/>
      <c r="CB436" s="2029"/>
      <c r="CC436" s="2029"/>
      <c r="CD436" s="2029"/>
      <c r="CE436" s="2029"/>
      <c r="CF436" s="2029"/>
      <c r="CG436" s="2032"/>
      <c r="CH436" s="1974">
        <v>0</v>
      </c>
      <c r="CI436" s="1974">
        <v>0</v>
      </c>
      <c r="CJ436" s="1974">
        <v>0</v>
      </c>
      <c r="CK436" s="1974">
        <v>0</v>
      </c>
      <c r="CL436" s="1974">
        <v>0</v>
      </c>
      <c r="CM436" s="2033">
        <v>0</v>
      </c>
      <c r="CN436" s="2026">
        <v>0</v>
      </c>
      <c r="CO436" s="1974">
        <v>0</v>
      </c>
      <c r="CP436" s="2031">
        <v>0</v>
      </c>
      <c r="CQ436" s="2031">
        <f t="shared" si="215"/>
        <v>0</v>
      </c>
      <c r="CR436" s="2026">
        <v>0</v>
      </c>
      <c r="CS436" s="2026">
        <v>0</v>
      </c>
      <c r="CT436" s="2026">
        <v>0</v>
      </c>
      <c r="CU436" s="2026">
        <v>0</v>
      </c>
      <c r="CV436" s="2036"/>
      <c r="CW436" s="2036"/>
      <c r="CX436" s="2036"/>
      <c r="CY436" s="2036"/>
      <c r="CZ436" s="2036"/>
      <c r="DA436" s="2036"/>
      <c r="DB436" s="1973">
        <v>1</v>
      </c>
    </row>
    <row r="437" spans="1:106" x14ac:dyDescent="0.25">
      <c r="A437" s="2027" t="str">
        <f t="shared" si="229"/>
        <v>Additional Measure 13</v>
      </c>
      <c r="B437" s="1974" t="str">
        <f t="shared" si="230"/>
        <v/>
      </c>
      <c r="C437" s="2027">
        <v>0</v>
      </c>
      <c r="D437" s="2027"/>
      <c r="E437" s="2144">
        <v>0</v>
      </c>
      <c r="F437" s="2144"/>
      <c r="G437" s="2145">
        <v>0</v>
      </c>
      <c r="H437" s="2145"/>
      <c r="I437" s="2027">
        <v>0</v>
      </c>
      <c r="J437" s="2027"/>
      <c r="K437" s="1974" t="s">
        <v>2988</v>
      </c>
      <c r="L437" s="1974" t="s">
        <v>2988</v>
      </c>
      <c r="M437" s="2026">
        <v>0.9</v>
      </c>
      <c r="N437" s="2026">
        <v>0.9</v>
      </c>
      <c r="O437" s="2026">
        <v>0.9</v>
      </c>
      <c r="P437" s="2026">
        <v>0.9</v>
      </c>
      <c r="Q437" s="2027">
        <f t="shared" si="226"/>
        <v>0</v>
      </c>
      <c r="R437" s="2027">
        <f t="shared" si="226"/>
        <v>0</v>
      </c>
      <c r="S437" s="2027">
        <f t="shared" si="226"/>
        <v>0</v>
      </c>
      <c r="T437" s="2027">
        <f t="shared" si="226"/>
        <v>0</v>
      </c>
      <c r="U437" s="2026">
        <v>0.9</v>
      </c>
      <c r="V437" s="2026">
        <v>0.9</v>
      </c>
      <c r="W437" s="2026">
        <v>0.9</v>
      </c>
      <c r="X437" s="2026">
        <v>0.9</v>
      </c>
      <c r="Y437" s="2028">
        <f t="shared" si="227"/>
        <v>0</v>
      </c>
      <c r="Z437" s="2028">
        <f t="shared" si="227"/>
        <v>0</v>
      </c>
      <c r="AA437" s="2028">
        <f t="shared" si="227"/>
        <v>0</v>
      </c>
      <c r="AB437" s="2028">
        <f t="shared" si="227"/>
        <v>0</v>
      </c>
      <c r="AC437" s="2026">
        <v>0.9</v>
      </c>
      <c r="AD437" s="2026">
        <v>0.9</v>
      </c>
      <c r="AE437" s="2026">
        <v>0.9</v>
      </c>
      <c r="AF437" s="2026">
        <v>0.9</v>
      </c>
      <c r="AG437" s="2027">
        <f t="shared" si="228"/>
        <v>0</v>
      </c>
      <c r="AH437" s="2027">
        <f t="shared" si="228"/>
        <v>0</v>
      </c>
      <c r="AI437" s="2027">
        <f t="shared" si="228"/>
        <v>0</v>
      </c>
      <c r="AJ437" s="2027">
        <f t="shared" si="228"/>
        <v>0</v>
      </c>
      <c r="AK437" s="2027">
        <v>0</v>
      </c>
      <c r="AL437" s="2028"/>
      <c r="AM437" s="2028"/>
      <c r="AN437" s="2028"/>
      <c r="AO437" s="2027">
        <f t="shared" si="206"/>
        <v>0</v>
      </c>
      <c r="AP437" s="2027">
        <f t="shared" si="222"/>
        <v>0</v>
      </c>
      <c r="AQ437" s="2027">
        <f t="shared" si="222"/>
        <v>0</v>
      </c>
      <c r="AR437" s="2027" t="s">
        <v>3286</v>
      </c>
      <c r="AS437" s="2027">
        <f t="shared" si="208"/>
        <v>0</v>
      </c>
      <c r="AT437" s="2027">
        <f t="shared" si="209"/>
        <v>0</v>
      </c>
      <c r="AU437" s="2027">
        <f t="shared" si="223"/>
        <v>0</v>
      </c>
      <c r="AV437" s="2027">
        <f t="shared" si="223"/>
        <v>0</v>
      </c>
      <c r="AW437" s="2027">
        <f t="shared" si="223"/>
        <v>0</v>
      </c>
      <c r="AX437" s="2124">
        <v>0</v>
      </c>
      <c r="AY437" s="2029">
        <v>0</v>
      </c>
      <c r="AZ437" s="2029">
        <v>0</v>
      </c>
      <c r="BA437" s="2029">
        <v>0</v>
      </c>
      <c r="BB437" s="2124">
        <v>0</v>
      </c>
      <c r="BC437" s="2029">
        <v>0</v>
      </c>
      <c r="BD437" s="2029">
        <v>0</v>
      </c>
      <c r="BE437" s="2029">
        <v>0</v>
      </c>
      <c r="BF437" s="2124">
        <v>0</v>
      </c>
      <c r="BG437" s="2029">
        <v>0</v>
      </c>
      <c r="BH437" s="2029">
        <v>0</v>
      </c>
      <c r="BI437" s="2029">
        <v>0</v>
      </c>
      <c r="BJ437" s="2030">
        <f t="shared" si="224"/>
        <v>0</v>
      </c>
      <c r="BK437" s="2030">
        <f t="shared" si="224"/>
        <v>0</v>
      </c>
      <c r="BL437" s="2030">
        <f t="shared" si="224"/>
        <v>0</v>
      </c>
      <c r="BM437" s="2030" t="s">
        <v>3286</v>
      </c>
      <c r="BN437" s="2030">
        <f t="shared" si="212"/>
        <v>0</v>
      </c>
      <c r="BO437" s="2030">
        <f t="shared" si="213"/>
        <v>0</v>
      </c>
      <c r="BP437" s="2030" t="s">
        <v>3286</v>
      </c>
      <c r="BQ437" s="2030">
        <f t="shared" si="225"/>
        <v>0</v>
      </c>
      <c r="BR437" s="2030">
        <f t="shared" si="225"/>
        <v>0</v>
      </c>
      <c r="BS437" s="2030">
        <f t="shared" si="225"/>
        <v>0</v>
      </c>
      <c r="BT437" s="2125"/>
      <c r="BU437" s="2125"/>
      <c r="BV437" s="2125"/>
      <c r="BW437" s="2125"/>
      <c r="BX437" s="2125"/>
      <c r="BY437" s="2125"/>
      <c r="BZ437" s="2125"/>
      <c r="CA437" s="2125"/>
      <c r="CB437" s="2029"/>
      <c r="CC437" s="2029"/>
      <c r="CD437" s="2029"/>
      <c r="CE437" s="2029"/>
      <c r="CF437" s="2029"/>
      <c r="CG437" s="2032"/>
      <c r="CH437" s="1974">
        <v>0</v>
      </c>
      <c r="CI437" s="1974">
        <v>0</v>
      </c>
      <c r="CJ437" s="1974">
        <v>0</v>
      </c>
      <c r="CK437" s="1974">
        <v>0</v>
      </c>
      <c r="CL437" s="1974">
        <v>0</v>
      </c>
      <c r="CM437" s="2033">
        <v>0</v>
      </c>
      <c r="CN437" s="2026">
        <v>0</v>
      </c>
      <c r="CO437" s="1974">
        <v>0</v>
      </c>
      <c r="CP437" s="2031">
        <v>0</v>
      </c>
      <c r="CQ437" s="2031">
        <f t="shared" si="215"/>
        <v>0</v>
      </c>
      <c r="CR437" s="2026">
        <v>0</v>
      </c>
      <c r="CS437" s="2026">
        <v>0</v>
      </c>
      <c r="CT437" s="2026">
        <v>0</v>
      </c>
      <c r="CU437" s="2026">
        <v>0</v>
      </c>
      <c r="CV437" s="2036"/>
      <c r="CW437" s="2036"/>
      <c r="CX437" s="2036"/>
      <c r="CY437" s="2036"/>
      <c r="CZ437" s="2036"/>
      <c r="DA437" s="2036"/>
      <c r="DB437" s="1973">
        <v>1</v>
      </c>
    </row>
    <row r="438" spans="1:106" x14ac:dyDescent="0.25">
      <c r="A438" s="2027" t="str">
        <f t="shared" si="229"/>
        <v>Additional Measure 14</v>
      </c>
      <c r="B438" s="1974" t="str">
        <f t="shared" si="230"/>
        <v/>
      </c>
      <c r="C438" s="2027">
        <v>0</v>
      </c>
      <c r="D438" s="2027"/>
      <c r="E438" s="2144">
        <v>0</v>
      </c>
      <c r="F438" s="2144"/>
      <c r="G438" s="2145">
        <v>0</v>
      </c>
      <c r="H438" s="2145"/>
      <c r="I438" s="2027">
        <v>0</v>
      </c>
      <c r="J438" s="2027"/>
      <c r="K438" s="1974" t="s">
        <v>2988</v>
      </c>
      <c r="L438" s="1974" t="s">
        <v>2988</v>
      </c>
      <c r="M438" s="2026">
        <v>0.9</v>
      </c>
      <c r="N438" s="2026">
        <v>0.9</v>
      </c>
      <c r="O438" s="2026">
        <v>0.9</v>
      </c>
      <c r="P438" s="2026">
        <v>0.9</v>
      </c>
      <c r="Q438" s="2027">
        <f t="shared" ref="Q438:T442" si="231">$E438*M438</f>
        <v>0</v>
      </c>
      <c r="R438" s="2027">
        <f t="shared" si="231"/>
        <v>0</v>
      </c>
      <c r="S438" s="2027">
        <f t="shared" si="231"/>
        <v>0</v>
      </c>
      <c r="T438" s="2027">
        <f t="shared" si="231"/>
        <v>0</v>
      </c>
      <c r="U438" s="2026">
        <v>0.9</v>
      </c>
      <c r="V438" s="2026">
        <v>0.9</v>
      </c>
      <c r="W438" s="2026">
        <v>0.9</v>
      </c>
      <c r="X438" s="2026">
        <v>0.9</v>
      </c>
      <c r="Y438" s="2028">
        <f t="shared" ref="Y438:AB442" si="232">$G438*U438</f>
        <v>0</v>
      </c>
      <c r="Z438" s="2028">
        <f t="shared" si="232"/>
        <v>0</v>
      </c>
      <c r="AA438" s="2028">
        <f t="shared" si="232"/>
        <v>0</v>
      </c>
      <c r="AB438" s="2028">
        <f t="shared" si="232"/>
        <v>0</v>
      </c>
      <c r="AC438" s="2026">
        <v>0.9</v>
      </c>
      <c r="AD438" s="2026">
        <v>0.9</v>
      </c>
      <c r="AE438" s="2026">
        <v>0.9</v>
      </c>
      <c r="AF438" s="2026">
        <v>0.9</v>
      </c>
      <c r="AG438" s="2027">
        <f t="shared" ref="AG438:AJ442" si="233">$I438*AC438</f>
        <v>0</v>
      </c>
      <c r="AH438" s="2027">
        <f t="shared" si="233"/>
        <v>0</v>
      </c>
      <c r="AI438" s="2027">
        <f t="shared" si="233"/>
        <v>0</v>
      </c>
      <c r="AJ438" s="2027">
        <f t="shared" si="233"/>
        <v>0</v>
      </c>
      <c r="AK438" s="2027">
        <v>0</v>
      </c>
      <c r="AL438" s="2028"/>
      <c r="AM438" s="2028"/>
      <c r="AN438" s="2028"/>
      <c r="AO438" s="2027">
        <f t="shared" si="206"/>
        <v>0</v>
      </c>
      <c r="AP438" s="2027">
        <f t="shared" si="222"/>
        <v>0</v>
      </c>
      <c r="AQ438" s="2027">
        <f t="shared" si="222"/>
        <v>0</v>
      </c>
      <c r="AR438" s="2027" t="s">
        <v>3286</v>
      </c>
      <c r="AS438" s="2027">
        <f t="shared" si="208"/>
        <v>0</v>
      </c>
      <c r="AT438" s="2027">
        <f t="shared" si="209"/>
        <v>0</v>
      </c>
      <c r="AU438" s="2027">
        <f t="shared" si="223"/>
        <v>0</v>
      </c>
      <c r="AV438" s="2027">
        <f t="shared" si="223"/>
        <v>0</v>
      </c>
      <c r="AW438" s="2027">
        <f t="shared" si="223"/>
        <v>0</v>
      </c>
      <c r="AX438" s="2124">
        <v>0</v>
      </c>
      <c r="AY438" s="2029">
        <v>0</v>
      </c>
      <c r="AZ438" s="2029">
        <v>0</v>
      </c>
      <c r="BA438" s="2029">
        <v>0</v>
      </c>
      <c r="BB438" s="2124">
        <v>0</v>
      </c>
      <c r="BC438" s="2029">
        <v>0</v>
      </c>
      <c r="BD438" s="2029">
        <v>0</v>
      </c>
      <c r="BE438" s="2029">
        <v>0</v>
      </c>
      <c r="BF438" s="2124">
        <v>0</v>
      </c>
      <c r="BG438" s="2029">
        <v>0</v>
      </c>
      <c r="BH438" s="2029">
        <v>0</v>
      </c>
      <c r="BI438" s="2029">
        <v>0</v>
      </c>
      <c r="BJ438" s="2030">
        <f t="shared" si="224"/>
        <v>0</v>
      </c>
      <c r="BK438" s="2030">
        <f t="shared" si="224"/>
        <v>0</v>
      </c>
      <c r="BL438" s="2030">
        <f t="shared" si="224"/>
        <v>0</v>
      </c>
      <c r="BM438" s="2030" t="s">
        <v>3286</v>
      </c>
      <c r="BN438" s="2030">
        <f t="shared" si="212"/>
        <v>0</v>
      </c>
      <c r="BO438" s="2030">
        <f t="shared" si="213"/>
        <v>0</v>
      </c>
      <c r="BP438" s="2030" t="s">
        <v>3286</v>
      </c>
      <c r="BQ438" s="2030">
        <f t="shared" si="225"/>
        <v>0</v>
      </c>
      <c r="BR438" s="2030">
        <f t="shared" si="225"/>
        <v>0</v>
      </c>
      <c r="BS438" s="2030">
        <f t="shared" si="225"/>
        <v>0</v>
      </c>
      <c r="BT438" s="2125"/>
      <c r="BU438" s="2125"/>
      <c r="BV438" s="2125"/>
      <c r="BW438" s="2125"/>
      <c r="BX438" s="2125"/>
      <c r="BY438" s="2125"/>
      <c r="BZ438" s="2125"/>
      <c r="CA438" s="2125"/>
      <c r="CB438" s="2029"/>
      <c r="CC438" s="2029"/>
      <c r="CD438" s="2029"/>
      <c r="CE438" s="2029"/>
      <c r="CF438" s="2029"/>
      <c r="CG438" s="2032"/>
      <c r="CH438" s="1974">
        <v>0</v>
      </c>
      <c r="CI438" s="1974">
        <v>0</v>
      </c>
      <c r="CJ438" s="1974">
        <v>0</v>
      </c>
      <c r="CK438" s="1974">
        <v>0</v>
      </c>
      <c r="CL438" s="1974">
        <v>0</v>
      </c>
      <c r="CM438" s="2033">
        <v>0</v>
      </c>
      <c r="CN438" s="2026">
        <v>0</v>
      </c>
      <c r="CO438" s="1974">
        <v>0</v>
      </c>
      <c r="CP438" s="2031">
        <v>0</v>
      </c>
      <c r="CQ438" s="2031">
        <f t="shared" si="215"/>
        <v>0</v>
      </c>
      <c r="CR438" s="2026">
        <v>0</v>
      </c>
      <c r="CS438" s="2026">
        <v>0</v>
      </c>
      <c r="CT438" s="2026">
        <v>0</v>
      </c>
      <c r="CU438" s="2026">
        <v>0</v>
      </c>
      <c r="CV438" s="2036"/>
      <c r="CW438" s="2036"/>
      <c r="CX438" s="2036"/>
      <c r="CY438" s="2036"/>
      <c r="CZ438" s="2036"/>
      <c r="DA438" s="2036"/>
      <c r="DB438" s="1973">
        <v>1</v>
      </c>
    </row>
    <row r="439" spans="1:106" x14ac:dyDescent="0.25">
      <c r="A439" s="2027" t="str">
        <f t="shared" si="229"/>
        <v>Additional Measure 15</v>
      </c>
      <c r="B439" s="1974" t="str">
        <f t="shared" si="230"/>
        <v/>
      </c>
      <c r="C439" s="2027">
        <v>0</v>
      </c>
      <c r="D439" s="2027"/>
      <c r="E439" s="2144">
        <v>0</v>
      </c>
      <c r="F439" s="2144"/>
      <c r="G439" s="2145">
        <v>0</v>
      </c>
      <c r="H439" s="2145"/>
      <c r="I439" s="2027">
        <v>0</v>
      </c>
      <c r="J439" s="2027"/>
      <c r="K439" s="1974" t="s">
        <v>2988</v>
      </c>
      <c r="L439" s="1974" t="s">
        <v>2988</v>
      </c>
      <c r="M439" s="2026">
        <v>0.9</v>
      </c>
      <c r="N439" s="2026">
        <v>0.9</v>
      </c>
      <c r="O439" s="2026">
        <v>0.9</v>
      </c>
      <c r="P439" s="2026">
        <v>0.9</v>
      </c>
      <c r="Q439" s="2027">
        <f t="shared" si="231"/>
        <v>0</v>
      </c>
      <c r="R439" s="2027">
        <f t="shared" si="231"/>
        <v>0</v>
      </c>
      <c r="S439" s="2027">
        <f t="shared" si="231"/>
        <v>0</v>
      </c>
      <c r="T439" s="2027">
        <f t="shared" si="231"/>
        <v>0</v>
      </c>
      <c r="U439" s="2026">
        <v>0.9</v>
      </c>
      <c r="V439" s="2026">
        <v>0.9</v>
      </c>
      <c r="W439" s="2026">
        <v>0.9</v>
      </c>
      <c r="X439" s="2026">
        <v>0.9</v>
      </c>
      <c r="Y439" s="2028">
        <f t="shared" si="232"/>
        <v>0</v>
      </c>
      <c r="Z439" s="2028">
        <f t="shared" si="232"/>
        <v>0</v>
      </c>
      <c r="AA439" s="2028">
        <f t="shared" si="232"/>
        <v>0</v>
      </c>
      <c r="AB439" s="2028">
        <f t="shared" si="232"/>
        <v>0</v>
      </c>
      <c r="AC439" s="2026">
        <v>0.9</v>
      </c>
      <c r="AD439" s="2026">
        <v>0.9</v>
      </c>
      <c r="AE439" s="2026">
        <v>0.9</v>
      </c>
      <c r="AF439" s="2026">
        <v>0.9</v>
      </c>
      <c r="AG439" s="2027">
        <f t="shared" si="233"/>
        <v>0</v>
      </c>
      <c r="AH439" s="2027">
        <f t="shared" si="233"/>
        <v>0</v>
      </c>
      <c r="AI439" s="2027">
        <f t="shared" si="233"/>
        <v>0</v>
      </c>
      <c r="AJ439" s="2027">
        <f t="shared" si="233"/>
        <v>0</v>
      </c>
      <c r="AK439" s="2027">
        <v>0</v>
      </c>
      <c r="AL439" s="2028"/>
      <c r="AM439" s="2028"/>
      <c r="AN439" s="2028"/>
      <c r="AO439" s="2027">
        <f t="shared" si="206"/>
        <v>0</v>
      </c>
      <c r="AP439" s="2027">
        <f t="shared" si="222"/>
        <v>0</v>
      </c>
      <c r="AQ439" s="2027">
        <f t="shared" si="222"/>
        <v>0</v>
      </c>
      <c r="AR439" s="2027" t="s">
        <v>3286</v>
      </c>
      <c r="AS439" s="2027">
        <f t="shared" si="208"/>
        <v>0</v>
      </c>
      <c r="AT439" s="2027">
        <f t="shared" si="209"/>
        <v>0</v>
      </c>
      <c r="AU439" s="2027">
        <f t="shared" si="223"/>
        <v>0</v>
      </c>
      <c r="AV439" s="2027">
        <f t="shared" si="223"/>
        <v>0</v>
      </c>
      <c r="AW439" s="2027">
        <f t="shared" si="223"/>
        <v>0</v>
      </c>
      <c r="AX439" s="2124">
        <v>0</v>
      </c>
      <c r="AY439" s="2029">
        <v>0</v>
      </c>
      <c r="AZ439" s="2029">
        <v>0</v>
      </c>
      <c r="BA439" s="2029">
        <v>0</v>
      </c>
      <c r="BB439" s="2124">
        <v>0</v>
      </c>
      <c r="BC439" s="2029">
        <v>0</v>
      </c>
      <c r="BD439" s="2029">
        <v>0</v>
      </c>
      <c r="BE439" s="2029">
        <v>0</v>
      </c>
      <c r="BF439" s="2124">
        <v>0</v>
      </c>
      <c r="BG439" s="2029">
        <v>0</v>
      </c>
      <c r="BH439" s="2029">
        <v>0</v>
      </c>
      <c r="BI439" s="2029">
        <v>0</v>
      </c>
      <c r="BJ439" s="2030">
        <f t="shared" si="224"/>
        <v>0</v>
      </c>
      <c r="BK439" s="2030">
        <f t="shared" si="224"/>
        <v>0</v>
      </c>
      <c r="BL439" s="2030">
        <f t="shared" si="224"/>
        <v>0</v>
      </c>
      <c r="BM439" s="2030" t="s">
        <v>3286</v>
      </c>
      <c r="BN439" s="2030">
        <f t="shared" si="212"/>
        <v>0</v>
      </c>
      <c r="BO439" s="2030">
        <f t="shared" si="213"/>
        <v>0</v>
      </c>
      <c r="BP439" s="2030" t="s">
        <v>3286</v>
      </c>
      <c r="BQ439" s="2030">
        <f t="shared" si="225"/>
        <v>0</v>
      </c>
      <c r="BR439" s="2030">
        <f t="shared" si="225"/>
        <v>0</v>
      </c>
      <c r="BS439" s="2030">
        <f t="shared" si="225"/>
        <v>0</v>
      </c>
      <c r="BT439" s="2125"/>
      <c r="BU439" s="2125"/>
      <c r="BV439" s="2125"/>
      <c r="BW439" s="2125"/>
      <c r="BX439" s="2125"/>
      <c r="BY439" s="2125"/>
      <c r="BZ439" s="2125"/>
      <c r="CA439" s="2125"/>
      <c r="CB439" s="2029"/>
      <c r="CC439" s="2029"/>
      <c r="CD439" s="2029"/>
      <c r="CE439" s="2029"/>
      <c r="CF439" s="2029"/>
      <c r="CG439" s="2032"/>
      <c r="CH439" s="1974">
        <v>0</v>
      </c>
      <c r="CI439" s="1974">
        <v>0</v>
      </c>
      <c r="CJ439" s="1974">
        <v>0</v>
      </c>
      <c r="CK439" s="1974">
        <v>0</v>
      </c>
      <c r="CL439" s="1974">
        <v>0</v>
      </c>
      <c r="CM439" s="2033">
        <v>0</v>
      </c>
      <c r="CN439" s="2026">
        <v>0</v>
      </c>
      <c r="CO439" s="1974">
        <v>0</v>
      </c>
      <c r="CP439" s="2031">
        <v>0</v>
      </c>
      <c r="CQ439" s="2031">
        <f t="shared" si="215"/>
        <v>0</v>
      </c>
      <c r="CR439" s="2026">
        <v>0</v>
      </c>
      <c r="CS439" s="2026">
        <v>0</v>
      </c>
      <c r="CT439" s="2026">
        <v>0</v>
      </c>
      <c r="CU439" s="2026">
        <v>0</v>
      </c>
      <c r="CV439" s="2036"/>
      <c r="CW439" s="2036"/>
      <c r="CX439" s="2036"/>
      <c r="CY439" s="2036"/>
      <c r="CZ439" s="2036"/>
      <c r="DA439" s="2036"/>
      <c r="DB439" s="1973">
        <v>1</v>
      </c>
    </row>
    <row r="440" spans="1:106" x14ac:dyDescent="0.25">
      <c r="A440" s="2027" t="str">
        <f t="shared" si="229"/>
        <v>Additional Measure 16</v>
      </c>
      <c r="B440" s="1974" t="str">
        <f t="shared" si="230"/>
        <v/>
      </c>
      <c r="C440" s="2027">
        <v>0</v>
      </c>
      <c r="D440" s="2027"/>
      <c r="E440" s="2144">
        <v>0</v>
      </c>
      <c r="F440" s="2144"/>
      <c r="G440" s="2145">
        <v>0</v>
      </c>
      <c r="H440" s="2145"/>
      <c r="I440" s="2027">
        <v>0</v>
      </c>
      <c r="J440" s="2027"/>
      <c r="K440" s="1974" t="s">
        <v>2988</v>
      </c>
      <c r="L440" s="1974" t="s">
        <v>2988</v>
      </c>
      <c r="M440" s="2026">
        <v>0.9</v>
      </c>
      <c r="N440" s="2026">
        <v>0.9</v>
      </c>
      <c r="O440" s="2026">
        <v>0.9</v>
      </c>
      <c r="P440" s="2026">
        <v>0.9</v>
      </c>
      <c r="Q440" s="2027">
        <f t="shared" si="231"/>
        <v>0</v>
      </c>
      <c r="R440" s="2027">
        <f t="shared" si="231"/>
        <v>0</v>
      </c>
      <c r="S440" s="2027">
        <f t="shared" si="231"/>
        <v>0</v>
      </c>
      <c r="T440" s="2027">
        <f t="shared" si="231"/>
        <v>0</v>
      </c>
      <c r="U440" s="2026">
        <v>0.9</v>
      </c>
      <c r="V440" s="2026">
        <v>0.9</v>
      </c>
      <c r="W440" s="2026">
        <v>0.9</v>
      </c>
      <c r="X440" s="2026">
        <v>0.9</v>
      </c>
      <c r="Y440" s="2028">
        <f t="shared" si="232"/>
        <v>0</v>
      </c>
      <c r="Z440" s="2028">
        <f t="shared" si="232"/>
        <v>0</v>
      </c>
      <c r="AA440" s="2028">
        <f t="shared" si="232"/>
        <v>0</v>
      </c>
      <c r="AB440" s="2028">
        <f t="shared" si="232"/>
        <v>0</v>
      </c>
      <c r="AC440" s="2026">
        <v>0.9</v>
      </c>
      <c r="AD440" s="2026">
        <v>0.9</v>
      </c>
      <c r="AE440" s="2026">
        <v>0.9</v>
      </c>
      <c r="AF440" s="2026">
        <v>0.9</v>
      </c>
      <c r="AG440" s="2027">
        <f t="shared" si="233"/>
        <v>0</v>
      </c>
      <c r="AH440" s="2027">
        <f t="shared" si="233"/>
        <v>0</v>
      </c>
      <c r="AI440" s="2027">
        <f t="shared" si="233"/>
        <v>0</v>
      </c>
      <c r="AJ440" s="2027">
        <f t="shared" si="233"/>
        <v>0</v>
      </c>
      <c r="AK440" s="2027">
        <v>0</v>
      </c>
      <c r="AL440" s="2028"/>
      <c r="AM440" s="2028"/>
      <c r="AN440" s="2028"/>
      <c r="AO440" s="2027">
        <f t="shared" si="206"/>
        <v>0</v>
      </c>
      <c r="AP440" s="2027">
        <f t="shared" si="222"/>
        <v>0</v>
      </c>
      <c r="AQ440" s="2027">
        <f t="shared" si="222"/>
        <v>0</v>
      </c>
      <c r="AR440" s="2027" t="s">
        <v>3286</v>
      </c>
      <c r="AS440" s="2027">
        <f t="shared" si="208"/>
        <v>0</v>
      </c>
      <c r="AT440" s="2027">
        <f t="shared" si="209"/>
        <v>0</v>
      </c>
      <c r="AU440" s="2027">
        <f t="shared" si="223"/>
        <v>0</v>
      </c>
      <c r="AV440" s="2027">
        <f t="shared" si="223"/>
        <v>0</v>
      </c>
      <c r="AW440" s="2027">
        <f t="shared" si="223"/>
        <v>0</v>
      </c>
      <c r="AX440" s="2124">
        <v>0</v>
      </c>
      <c r="AY440" s="2029">
        <v>0</v>
      </c>
      <c r="AZ440" s="2029">
        <v>0</v>
      </c>
      <c r="BA440" s="2029">
        <v>0</v>
      </c>
      <c r="BB440" s="2124">
        <v>0</v>
      </c>
      <c r="BC440" s="2029">
        <v>0</v>
      </c>
      <c r="BD440" s="2029">
        <v>0</v>
      </c>
      <c r="BE440" s="2029">
        <v>0</v>
      </c>
      <c r="BF440" s="2124">
        <v>0</v>
      </c>
      <c r="BG440" s="2029">
        <v>0</v>
      </c>
      <c r="BH440" s="2029">
        <v>0</v>
      </c>
      <c r="BI440" s="2029">
        <v>0</v>
      </c>
      <c r="BJ440" s="2030">
        <f t="shared" si="224"/>
        <v>0</v>
      </c>
      <c r="BK440" s="2030">
        <f t="shared" si="224"/>
        <v>0</v>
      </c>
      <c r="BL440" s="2030">
        <f t="shared" si="224"/>
        <v>0</v>
      </c>
      <c r="BM440" s="2030" t="s">
        <v>3286</v>
      </c>
      <c r="BN440" s="2030">
        <f t="shared" si="212"/>
        <v>0</v>
      </c>
      <c r="BO440" s="2030">
        <f t="shared" si="213"/>
        <v>0</v>
      </c>
      <c r="BP440" s="2030" t="s">
        <v>3286</v>
      </c>
      <c r="BQ440" s="2030">
        <f t="shared" si="225"/>
        <v>0</v>
      </c>
      <c r="BR440" s="2030">
        <f t="shared" si="225"/>
        <v>0</v>
      </c>
      <c r="BS440" s="2030">
        <f t="shared" si="225"/>
        <v>0</v>
      </c>
      <c r="BT440" s="2125"/>
      <c r="BU440" s="2125"/>
      <c r="BV440" s="2125"/>
      <c r="BW440" s="2125"/>
      <c r="BX440" s="2125"/>
      <c r="BY440" s="2125"/>
      <c r="BZ440" s="2125"/>
      <c r="CA440" s="2125"/>
      <c r="CB440" s="2029"/>
      <c r="CC440" s="2029"/>
      <c r="CD440" s="2029"/>
      <c r="CE440" s="2029"/>
      <c r="CF440" s="2029"/>
      <c r="CG440" s="2032"/>
      <c r="CH440" s="1974">
        <v>0</v>
      </c>
      <c r="CI440" s="1974">
        <v>0</v>
      </c>
      <c r="CJ440" s="1974">
        <v>0</v>
      </c>
      <c r="CK440" s="1974">
        <v>0</v>
      </c>
      <c r="CL440" s="1974">
        <v>0</v>
      </c>
      <c r="CM440" s="2033">
        <v>0</v>
      </c>
      <c r="CN440" s="2026">
        <v>0</v>
      </c>
      <c r="CO440" s="1974">
        <v>0</v>
      </c>
      <c r="CP440" s="2031">
        <v>0</v>
      </c>
      <c r="CQ440" s="2031">
        <f t="shared" si="215"/>
        <v>0</v>
      </c>
      <c r="CR440" s="2026">
        <v>0</v>
      </c>
      <c r="CS440" s="2026">
        <v>0</v>
      </c>
      <c r="CT440" s="2026">
        <v>0</v>
      </c>
      <c r="CU440" s="2026">
        <v>0</v>
      </c>
      <c r="CV440" s="2036"/>
      <c r="CW440" s="2036"/>
      <c r="CX440" s="2036"/>
      <c r="CY440" s="2036"/>
      <c r="CZ440" s="2036"/>
      <c r="DA440" s="2036"/>
      <c r="DB440" s="1973">
        <v>1</v>
      </c>
    </row>
    <row r="441" spans="1:106" x14ac:dyDescent="0.25">
      <c r="A441" s="2281" t="str">
        <f t="shared" si="229"/>
        <v>Combination Oven - Gas</v>
      </c>
      <c r="B441" s="1974" t="str">
        <f t="shared" si="230"/>
        <v/>
      </c>
      <c r="C441" s="2027">
        <v>12</v>
      </c>
      <c r="D441" s="2027"/>
      <c r="E441" s="2144">
        <v>0</v>
      </c>
      <c r="F441" s="2144"/>
      <c r="G441" s="2145">
        <v>0</v>
      </c>
      <c r="H441" s="2145"/>
      <c r="I441" s="2027">
        <v>257</v>
      </c>
      <c r="J441" s="2027"/>
      <c r="K441" s="1974" t="s">
        <v>2988</v>
      </c>
      <c r="L441" s="1974" t="s">
        <v>2988</v>
      </c>
      <c r="M441" s="2026">
        <v>0.9</v>
      </c>
      <c r="N441" s="2026">
        <v>0.9</v>
      </c>
      <c r="O441" s="2026">
        <v>0.9</v>
      </c>
      <c r="P441" s="2026">
        <v>0.9</v>
      </c>
      <c r="Q441" s="2027">
        <f t="shared" si="231"/>
        <v>0</v>
      </c>
      <c r="R441" s="2027">
        <f t="shared" si="231"/>
        <v>0</v>
      </c>
      <c r="S441" s="2027">
        <f t="shared" si="231"/>
        <v>0</v>
      </c>
      <c r="T441" s="2027">
        <f t="shared" si="231"/>
        <v>0</v>
      </c>
      <c r="U441" s="2026">
        <v>0.9</v>
      </c>
      <c r="V441" s="2026">
        <v>0.9</v>
      </c>
      <c r="W441" s="2026">
        <v>0.9</v>
      </c>
      <c r="X441" s="2026">
        <v>0.9</v>
      </c>
      <c r="Y441" s="2028">
        <f t="shared" si="232"/>
        <v>0</v>
      </c>
      <c r="Z441" s="2028">
        <f t="shared" si="232"/>
        <v>0</v>
      </c>
      <c r="AA441" s="2028">
        <f t="shared" si="232"/>
        <v>0</v>
      </c>
      <c r="AB441" s="2028">
        <f t="shared" si="232"/>
        <v>0</v>
      </c>
      <c r="AC441" s="2026">
        <v>0.9</v>
      </c>
      <c r="AD441" s="2026">
        <v>0.9</v>
      </c>
      <c r="AE441" s="2026">
        <v>0.9</v>
      </c>
      <c r="AF441" s="2026">
        <v>0.9</v>
      </c>
      <c r="AG441" s="2027">
        <f t="shared" si="233"/>
        <v>231.3</v>
      </c>
      <c r="AH441" s="2027">
        <f t="shared" si="233"/>
        <v>231.3</v>
      </c>
      <c r="AI441" s="2027">
        <f t="shared" si="233"/>
        <v>231.3</v>
      </c>
      <c r="AJ441" s="2027">
        <f t="shared" si="233"/>
        <v>231.3</v>
      </c>
      <c r="AK441" s="2027">
        <v>1</v>
      </c>
      <c r="AL441" s="2028"/>
      <c r="AM441" s="2028">
        <v>1</v>
      </c>
      <c r="AN441" s="2028">
        <v>1</v>
      </c>
      <c r="AO441" s="2027">
        <f t="shared" si="206"/>
        <v>0</v>
      </c>
      <c r="AP441" s="2027">
        <f t="shared" si="222"/>
        <v>0</v>
      </c>
      <c r="AQ441" s="2027">
        <f t="shared" si="222"/>
        <v>0</v>
      </c>
      <c r="AR441" s="2027" t="s">
        <v>3286</v>
      </c>
      <c r="AS441" s="2027">
        <f t="shared" si="208"/>
        <v>0</v>
      </c>
      <c r="AT441" s="2027">
        <f t="shared" si="209"/>
        <v>231.3</v>
      </c>
      <c r="AU441" s="2027">
        <f t="shared" si="223"/>
        <v>0</v>
      </c>
      <c r="AV441" s="2027">
        <f t="shared" si="223"/>
        <v>231.3</v>
      </c>
      <c r="AW441" s="2027">
        <f t="shared" si="223"/>
        <v>231.3</v>
      </c>
      <c r="AX441" s="2124">
        <v>0</v>
      </c>
      <c r="AY441" s="2029">
        <v>0</v>
      </c>
      <c r="AZ441" s="2029">
        <v>0</v>
      </c>
      <c r="BA441" s="2029">
        <v>0</v>
      </c>
      <c r="BB441" s="2124">
        <v>600</v>
      </c>
      <c r="BC441" s="2029">
        <v>600</v>
      </c>
      <c r="BD441" s="2029">
        <v>600</v>
      </c>
      <c r="BE441" s="2029">
        <v>600</v>
      </c>
      <c r="BF441" s="2124">
        <v>1000</v>
      </c>
      <c r="BG441" s="2029">
        <v>1000</v>
      </c>
      <c r="BH441" s="2029">
        <v>1000</v>
      </c>
      <c r="BI441" s="2029">
        <v>1000</v>
      </c>
      <c r="BJ441" s="2030">
        <f t="shared" si="224"/>
        <v>0</v>
      </c>
      <c r="BK441" s="2030">
        <f t="shared" si="224"/>
        <v>0</v>
      </c>
      <c r="BL441" s="2030">
        <f t="shared" si="224"/>
        <v>0</v>
      </c>
      <c r="BM441" s="2030" t="s">
        <v>3286</v>
      </c>
      <c r="BN441" s="2030">
        <f t="shared" si="212"/>
        <v>0</v>
      </c>
      <c r="BO441" s="2030">
        <f t="shared" si="213"/>
        <v>600</v>
      </c>
      <c r="BP441" s="2030" t="s">
        <v>3286</v>
      </c>
      <c r="BQ441" s="2030">
        <f t="shared" si="225"/>
        <v>0</v>
      </c>
      <c r="BR441" s="2030">
        <f t="shared" si="225"/>
        <v>600</v>
      </c>
      <c r="BS441" s="2030">
        <f t="shared" si="225"/>
        <v>600</v>
      </c>
      <c r="BT441" s="2125"/>
      <c r="BU441" s="2125"/>
      <c r="BV441" s="2125"/>
      <c r="BW441" s="2125"/>
      <c r="BX441" s="2125"/>
      <c r="BY441" s="2125"/>
      <c r="BZ441" s="2125"/>
      <c r="CA441" s="2125"/>
      <c r="CB441" s="2029"/>
      <c r="CC441" s="2029"/>
      <c r="CD441" s="2029"/>
      <c r="CE441" s="2029"/>
      <c r="CF441" s="2029"/>
      <c r="CG441" s="2032"/>
      <c r="CH441" s="1974">
        <v>0</v>
      </c>
      <c r="CI441" s="1974">
        <v>0</v>
      </c>
      <c r="CJ441" s="1974">
        <v>0</v>
      </c>
      <c r="CK441" s="1974">
        <v>0</v>
      </c>
      <c r="CL441" s="1974">
        <v>0</v>
      </c>
      <c r="CM441" s="2033">
        <v>0</v>
      </c>
      <c r="CN441" s="2026">
        <v>7.4506038388765035E-5</v>
      </c>
      <c r="CO441" s="1974">
        <v>0</v>
      </c>
      <c r="CP441" s="2031">
        <v>0</v>
      </c>
      <c r="CQ441" s="2031">
        <f t="shared" si="215"/>
        <v>0</v>
      </c>
      <c r="CR441" s="2026">
        <v>1</v>
      </c>
      <c r="CS441" s="2026">
        <v>1</v>
      </c>
      <c r="CT441" s="2026">
        <v>1</v>
      </c>
      <c r="CU441" s="2026">
        <v>1</v>
      </c>
      <c r="CV441" s="2036"/>
      <c r="CW441" s="2036"/>
      <c r="CX441" s="2036"/>
      <c r="CY441" s="2036"/>
      <c r="CZ441" s="2036"/>
      <c r="DA441" s="2036"/>
      <c r="DB441" s="1973">
        <v>1</v>
      </c>
    </row>
    <row r="442" spans="1:106" x14ac:dyDescent="0.25">
      <c r="A442" s="2027" t="str">
        <f t="shared" si="229"/>
        <v>Heat Pump Water Heaters</v>
      </c>
      <c r="B442" s="1974" t="str">
        <f t="shared" si="230"/>
        <v/>
      </c>
      <c r="C442" s="2027">
        <v>0</v>
      </c>
      <c r="D442" s="2027"/>
      <c r="E442" s="2144">
        <v>0</v>
      </c>
      <c r="F442" s="2144"/>
      <c r="G442" s="2145">
        <v>0</v>
      </c>
      <c r="H442" s="2145"/>
      <c r="I442" s="2027">
        <v>0</v>
      </c>
      <c r="J442" s="2027"/>
      <c r="K442" s="1974" t="s">
        <v>2988</v>
      </c>
      <c r="L442" s="1974" t="s">
        <v>2988</v>
      </c>
      <c r="M442" s="2026">
        <v>0.9</v>
      </c>
      <c r="N442" s="2026">
        <v>0.9</v>
      </c>
      <c r="O442" s="2026">
        <v>0.9</v>
      </c>
      <c r="P442" s="2026">
        <v>0.9</v>
      </c>
      <c r="Q442" s="2027">
        <f t="shared" si="231"/>
        <v>0</v>
      </c>
      <c r="R442" s="2027">
        <f t="shared" si="231"/>
        <v>0</v>
      </c>
      <c r="S442" s="2027">
        <f t="shared" si="231"/>
        <v>0</v>
      </c>
      <c r="T442" s="2027">
        <f t="shared" si="231"/>
        <v>0</v>
      </c>
      <c r="U442" s="2026">
        <v>0.9</v>
      </c>
      <c r="V442" s="2026">
        <v>0.9</v>
      </c>
      <c r="W442" s="2026">
        <v>0.9</v>
      </c>
      <c r="X442" s="2026">
        <v>0.9</v>
      </c>
      <c r="Y442" s="2028">
        <f t="shared" si="232"/>
        <v>0</v>
      </c>
      <c r="Z442" s="2028">
        <f t="shared" si="232"/>
        <v>0</v>
      </c>
      <c r="AA442" s="2028">
        <f t="shared" si="232"/>
        <v>0</v>
      </c>
      <c r="AB442" s="2028">
        <f t="shared" si="232"/>
        <v>0</v>
      </c>
      <c r="AC442" s="2026">
        <v>0.9</v>
      </c>
      <c r="AD442" s="2026">
        <v>0.9</v>
      </c>
      <c r="AE442" s="2026">
        <v>0.9</v>
      </c>
      <c r="AF442" s="2026">
        <v>0.9</v>
      </c>
      <c r="AG442" s="2027">
        <f t="shared" si="233"/>
        <v>0</v>
      </c>
      <c r="AH442" s="2027">
        <f t="shared" si="233"/>
        <v>0</v>
      </c>
      <c r="AI442" s="2027">
        <f t="shared" si="233"/>
        <v>0</v>
      </c>
      <c r="AJ442" s="2027">
        <f t="shared" si="233"/>
        <v>0</v>
      </c>
      <c r="AK442" s="2027">
        <v>0</v>
      </c>
      <c r="AL442" s="2028"/>
      <c r="AM442" s="2028"/>
      <c r="AN442" s="2028"/>
      <c r="AO442" s="2027">
        <f t="shared" si="206"/>
        <v>0</v>
      </c>
      <c r="AP442" s="2027">
        <f t="shared" si="222"/>
        <v>0</v>
      </c>
      <c r="AQ442" s="2027">
        <f t="shared" si="222"/>
        <v>0</v>
      </c>
      <c r="AR442" s="2027" t="s">
        <v>3286</v>
      </c>
      <c r="AS442" s="2027">
        <f t="shared" si="208"/>
        <v>0</v>
      </c>
      <c r="AT442" s="2027">
        <f t="shared" si="209"/>
        <v>0</v>
      </c>
      <c r="AU442" s="2027">
        <f t="shared" si="223"/>
        <v>0</v>
      </c>
      <c r="AV442" s="2027">
        <f t="shared" si="223"/>
        <v>0</v>
      </c>
      <c r="AW442" s="2027">
        <f t="shared" si="223"/>
        <v>0</v>
      </c>
      <c r="AX442" s="2124">
        <v>0</v>
      </c>
      <c r="AY442" s="2029">
        <v>0</v>
      </c>
      <c r="AZ442" s="2029">
        <v>0</v>
      </c>
      <c r="BA442" s="2029">
        <v>0</v>
      </c>
      <c r="BB442" s="2124">
        <v>0</v>
      </c>
      <c r="BC442" s="2029">
        <v>0</v>
      </c>
      <c r="BD442" s="2029">
        <v>0</v>
      </c>
      <c r="BE442" s="2029">
        <v>0</v>
      </c>
      <c r="BF442" s="2124">
        <v>0</v>
      </c>
      <c r="BG442" s="2029">
        <v>0</v>
      </c>
      <c r="BH442" s="2029">
        <v>0</v>
      </c>
      <c r="BI442" s="2029">
        <v>0</v>
      </c>
      <c r="BJ442" s="2030">
        <f t="shared" si="224"/>
        <v>0</v>
      </c>
      <c r="BK442" s="2030">
        <f t="shared" si="224"/>
        <v>0</v>
      </c>
      <c r="BL442" s="2030">
        <f t="shared" si="224"/>
        <v>0</v>
      </c>
      <c r="BM442" s="2030" t="s">
        <v>3286</v>
      </c>
      <c r="BN442" s="2030">
        <f t="shared" si="212"/>
        <v>0</v>
      </c>
      <c r="BO442" s="2030">
        <f t="shared" si="213"/>
        <v>0</v>
      </c>
      <c r="BP442" s="2030" t="s">
        <v>3286</v>
      </c>
      <c r="BQ442" s="2030">
        <f t="shared" si="225"/>
        <v>0</v>
      </c>
      <c r="BR442" s="2030">
        <f t="shared" si="225"/>
        <v>0</v>
      </c>
      <c r="BS442" s="2030">
        <f t="shared" si="225"/>
        <v>0</v>
      </c>
      <c r="BT442" s="2125"/>
      <c r="BU442" s="2125"/>
      <c r="BV442" s="2125"/>
      <c r="BW442" s="2125"/>
      <c r="BX442" s="2125"/>
      <c r="BY442" s="2125"/>
      <c r="BZ442" s="2125"/>
      <c r="CA442" s="2125"/>
      <c r="CB442" s="2029"/>
      <c r="CC442" s="2029"/>
      <c r="CD442" s="2029"/>
      <c r="CE442" s="2029"/>
      <c r="CF442" s="2029"/>
      <c r="CG442" s="2032"/>
      <c r="CH442" s="1974">
        <v>0</v>
      </c>
      <c r="CI442" s="1974">
        <v>0</v>
      </c>
      <c r="CJ442" s="1974">
        <v>0</v>
      </c>
      <c r="CK442" s="1974">
        <v>0</v>
      </c>
      <c r="CL442" s="1974">
        <v>1</v>
      </c>
      <c r="CM442" s="2033">
        <v>0</v>
      </c>
      <c r="CN442" s="2026">
        <v>0</v>
      </c>
      <c r="CO442" s="1974">
        <v>0</v>
      </c>
      <c r="CP442" s="2031">
        <v>0</v>
      </c>
      <c r="CQ442" s="2031">
        <f t="shared" si="215"/>
        <v>0</v>
      </c>
      <c r="CR442" s="2026">
        <v>1</v>
      </c>
      <c r="CS442" s="2026">
        <v>1</v>
      </c>
      <c r="CT442" s="2026">
        <v>1</v>
      </c>
      <c r="CU442" s="2026">
        <v>1</v>
      </c>
      <c r="CV442" s="2036"/>
      <c r="CW442" s="2036"/>
      <c r="CX442" s="2036"/>
      <c r="CY442" s="2036"/>
      <c r="CZ442" s="2036"/>
      <c r="DA442" s="2036"/>
      <c r="DB442" s="1973">
        <v>1</v>
      </c>
    </row>
    <row r="443" spans="1:106" x14ac:dyDescent="0.25">
      <c r="A443" s="2277" t="s">
        <v>1024</v>
      </c>
      <c r="B443" s="1974" t="str">
        <f t="shared" ref="B443:B445" si="234">IF(B125="","",B125)</f>
        <v>BPCK23</v>
      </c>
      <c r="C443" s="2027">
        <v>15</v>
      </c>
      <c r="D443" s="2027">
        <v>1</v>
      </c>
      <c r="E443" s="1973">
        <f>F443*$CU443</f>
        <v>62.438983373278184</v>
      </c>
      <c r="F443" s="2144">
        <f>F338</f>
        <v>132.64364949904598</v>
      </c>
      <c r="G443" s="1973">
        <f>H443*$CU443</f>
        <v>1.2455693433836446E-2</v>
      </c>
      <c r="H443" s="2145">
        <f>H338</f>
        <v>2.6460530662842971E-2</v>
      </c>
      <c r="I443" s="1973">
        <f>J443*$CU443</f>
        <v>-1.2616166175401349</v>
      </c>
      <c r="J443" s="2027">
        <f>J338</f>
        <v>-2.6801434517075093</v>
      </c>
      <c r="K443" s="1974" t="s">
        <v>2988</v>
      </c>
      <c r="L443" s="1974" t="s">
        <v>2988</v>
      </c>
      <c r="M443" s="2026">
        <v>0.9</v>
      </c>
      <c r="N443" s="2026">
        <v>0.9</v>
      </c>
      <c r="O443" s="2026">
        <v>0.9</v>
      </c>
      <c r="P443" s="2026">
        <v>0.9</v>
      </c>
      <c r="Q443" s="2027">
        <f t="shared" ref="Q443:T448" si="235">$F443*M443</f>
        <v>119.37928454914139</v>
      </c>
      <c r="R443" s="2027">
        <f t="shared" si="235"/>
        <v>119.37928454914139</v>
      </c>
      <c r="S443" s="2027">
        <f t="shared" si="235"/>
        <v>119.37928454914139</v>
      </c>
      <c r="T443" s="2027">
        <f t="shared" si="235"/>
        <v>119.37928454914139</v>
      </c>
      <c r="U443" s="2026">
        <v>0.9</v>
      </c>
      <c r="V443" s="2026">
        <v>0.9</v>
      </c>
      <c r="W443" s="2026">
        <v>0.9</v>
      </c>
      <c r="X443" s="2026">
        <v>0.9</v>
      </c>
      <c r="Y443" s="2028">
        <f t="shared" ref="Y443:AB448" si="236">$H443*U443</f>
        <v>2.3814477596558675E-2</v>
      </c>
      <c r="Z443" s="2028">
        <f t="shared" si="236"/>
        <v>2.3814477596558675E-2</v>
      </c>
      <c r="AA443" s="2028">
        <f t="shared" si="236"/>
        <v>2.3814477596558675E-2</v>
      </c>
      <c r="AB443" s="2028">
        <f t="shared" si="236"/>
        <v>2.3814477596558675E-2</v>
      </c>
      <c r="AC443" s="2026">
        <v>0.9</v>
      </c>
      <c r="AD443" s="2026">
        <v>0.9</v>
      </c>
      <c r="AE443" s="2026">
        <v>0.9</v>
      </c>
      <c r="AF443" s="2026">
        <v>0.9</v>
      </c>
      <c r="AG443" s="2027">
        <f t="shared" ref="AG443:AJ448" si="237">$J443*AC443</f>
        <v>-2.4121291065367583</v>
      </c>
      <c r="AH443" s="2027">
        <f t="shared" si="237"/>
        <v>-2.4121291065367583</v>
      </c>
      <c r="AI443" s="2027">
        <f t="shared" si="237"/>
        <v>-2.4121291065367583</v>
      </c>
      <c r="AJ443" s="2027">
        <f t="shared" si="237"/>
        <v>-2.4121291065367583</v>
      </c>
      <c r="AK443" s="2027">
        <v>0</v>
      </c>
      <c r="AL443" s="2146">
        <v>13488</v>
      </c>
      <c r="AM443" s="2146"/>
      <c r="AN443" s="2146"/>
      <c r="AO443" s="2027">
        <f t="shared" si="206"/>
        <v>0</v>
      </c>
      <c r="AP443" s="2027">
        <f t="shared" si="222"/>
        <v>1610187.7899988191</v>
      </c>
      <c r="AQ443" s="2027">
        <f t="shared" si="222"/>
        <v>0</v>
      </c>
      <c r="AR443" s="2027" t="s">
        <v>3286</v>
      </c>
      <c r="AS443" s="2027">
        <f t="shared" si="208"/>
        <v>0</v>
      </c>
      <c r="AT443" s="2027">
        <f t="shared" si="209"/>
        <v>0</v>
      </c>
      <c r="AU443" s="2027">
        <f t="shared" si="223"/>
        <v>-32534.797388967796</v>
      </c>
      <c r="AV443" s="2027">
        <f t="shared" si="223"/>
        <v>0</v>
      </c>
      <c r="AW443" s="2027">
        <f t="shared" si="223"/>
        <v>0</v>
      </c>
      <c r="AX443" s="2124">
        <f>AX338</f>
        <v>4.4704485744867171</v>
      </c>
      <c r="AY443" s="2029">
        <f t="shared" ref="AY443:BA443" si="238">AY338</f>
        <v>4.4704485744867171</v>
      </c>
      <c r="AZ443" s="2029">
        <f t="shared" si="238"/>
        <v>3.1293140021407018</v>
      </c>
      <c r="BA443" s="2029">
        <f t="shared" si="238"/>
        <v>3.1293140021407018</v>
      </c>
      <c r="BB443" s="2124">
        <v>0</v>
      </c>
      <c r="BC443" s="2029">
        <v>0</v>
      </c>
      <c r="BD443" s="2029">
        <v>0</v>
      </c>
      <c r="BE443" s="2029">
        <v>0</v>
      </c>
      <c r="BF443" s="2124">
        <v>10.748999999999999</v>
      </c>
      <c r="BG443" s="2029">
        <v>10.748999999999999</v>
      </c>
      <c r="BH443" s="2029">
        <v>10.748999999999999</v>
      </c>
      <c r="BI443" s="2029">
        <v>10.748999999999999</v>
      </c>
      <c r="BJ443" s="2030">
        <f t="shared" si="224"/>
        <v>0</v>
      </c>
      <c r="BK443" s="2030">
        <f t="shared" si="224"/>
        <v>60297.410372676837</v>
      </c>
      <c r="BL443" s="2030">
        <f t="shared" si="224"/>
        <v>0</v>
      </c>
      <c r="BM443" s="2030" t="s">
        <v>3286</v>
      </c>
      <c r="BN443" s="2030">
        <f t="shared" si="212"/>
        <v>0</v>
      </c>
      <c r="BO443" s="2030">
        <f t="shared" si="213"/>
        <v>0</v>
      </c>
      <c r="BP443" s="2030" t="s">
        <v>3286</v>
      </c>
      <c r="BQ443" s="2030">
        <f t="shared" si="225"/>
        <v>0</v>
      </c>
      <c r="BR443" s="2030">
        <f t="shared" si="225"/>
        <v>0</v>
      </c>
      <c r="BS443" s="2030">
        <f t="shared" si="225"/>
        <v>0</v>
      </c>
      <c r="BT443" s="2125"/>
      <c r="BU443" s="2125"/>
      <c r="BV443" s="2125"/>
      <c r="BW443" s="2125"/>
      <c r="BX443" s="2125"/>
      <c r="BY443" s="2125"/>
      <c r="BZ443" s="2125"/>
      <c r="CA443" s="2125"/>
      <c r="CB443" s="2029"/>
      <c r="CC443" s="2029"/>
      <c r="CD443" s="2029"/>
      <c r="CE443" s="2029"/>
      <c r="CF443" s="2029"/>
      <c r="CG443" s="2032"/>
      <c r="CH443" s="1974">
        <v>0</v>
      </c>
      <c r="CI443" s="1974">
        <v>0</v>
      </c>
      <c r="CJ443" s="1974">
        <v>0</v>
      </c>
      <c r="CK443" s="1974">
        <v>0</v>
      </c>
      <c r="CL443" s="1974">
        <v>1</v>
      </c>
      <c r="CM443" s="2033">
        <v>1.1122978004362715E-2</v>
      </c>
      <c r="CN443" s="2026">
        <v>-2.8214016069755286E-2</v>
      </c>
      <c r="CO443" s="1974">
        <v>1</v>
      </c>
      <c r="CP443" s="2031">
        <v>-0.20832982508570624</v>
      </c>
      <c r="CQ443" s="2031">
        <f t="shared" si="215"/>
        <v>0.20832982508570624</v>
      </c>
      <c r="CR443" s="2026">
        <v>1</v>
      </c>
      <c r="CS443" s="2026">
        <v>1</v>
      </c>
      <c r="CT443" s="2026">
        <v>0.47072727272727272</v>
      </c>
      <c r="CU443" s="2026">
        <v>0.47072727272727272</v>
      </c>
      <c r="CV443" s="2036"/>
      <c r="CW443" s="2036"/>
      <c r="CX443" s="2036"/>
      <c r="CY443" s="2036"/>
      <c r="CZ443" s="2036"/>
      <c r="DA443" s="2036"/>
      <c r="DB443" s="1973">
        <v>1</v>
      </c>
    </row>
    <row r="444" spans="1:106" x14ac:dyDescent="0.25">
      <c r="A444" s="2277" t="s">
        <v>1025</v>
      </c>
      <c r="B444" s="1974" t="str">
        <f t="shared" si="234"/>
        <v/>
      </c>
      <c r="C444" s="2027">
        <v>15</v>
      </c>
      <c r="D444" s="2027">
        <v>0</v>
      </c>
      <c r="E444" s="1973">
        <f>F444*$CU444</f>
        <v>62.438983373278184</v>
      </c>
      <c r="F444" s="2144">
        <f>F443</f>
        <v>132.64364949904598</v>
      </c>
      <c r="G444" s="1973">
        <f>H444*$CU444</f>
        <v>1.2455693433836446E-2</v>
      </c>
      <c r="H444" s="2145">
        <f>H443</f>
        <v>2.6460530662842971E-2</v>
      </c>
      <c r="I444" s="1973">
        <f>J444*$CU444</f>
        <v>-1.2616166175401349</v>
      </c>
      <c r="J444" s="2027">
        <f>J443</f>
        <v>-2.6801434517075093</v>
      </c>
      <c r="K444" s="1974" t="s">
        <v>2988</v>
      </c>
      <c r="L444" s="1974" t="s">
        <v>2988</v>
      </c>
      <c r="M444" s="2026">
        <v>0.9</v>
      </c>
      <c r="N444" s="2026">
        <v>0.9</v>
      </c>
      <c r="O444" s="2026">
        <v>0.9</v>
      </c>
      <c r="P444" s="2026">
        <v>0.9</v>
      </c>
      <c r="Q444" s="2027">
        <f t="shared" si="235"/>
        <v>119.37928454914139</v>
      </c>
      <c r="R444" s="2027">
        <f t="shared" si="235"/>
        <v>119.37928454914139</v>
      </c>
      <c r="S444" s="2027">
        <f t="shared" si="235"/>
        <v>119.37928454914139</v>
      </c>
      <c r="T444" s="2027">
        <f t="shared" si="235"/>
        <v>119.37928454914139</v>
      </c>
      <c r="U444" s="2026">
        <v>0.9</v>
      </c>
      <c r="V444" s="2026">
        <v>0.9</v>
      </c>
      <c r="W444" s="2026">
        <v>0.9</v>
      </c>
      <c r="X444" s="2026">
        <v>0.9</v>
      </c>
      <c r="Y444" s="2028">
        <f t="shared" si="236"/>
        <v>2.3814477596558675E-2</v>
      </c>
      <c r="Z444" s="2028">
        <f t="shared" si="236"/>
        <v>2.3814477596558675E-2</v>
      </c>
      <c r="AA444" s="2028">
        <f t="shared" si="236"/>
        <v>2.3814477596558675E-2</v>
      </c>
      <c r="AB444" s="2028">
        <f t="shared" si="236"/>
        <v>2.3814477596558675E-2</v>
      </c>
      <c r="AC444" s="2026">
        <v>0.9</v>
      </c>
      <c r="AD444" s="2026">
        <v>0.9</v>
      </c>
      <c r="AE444" s="2026">
        <v>0.9</v>
      </c>
      <c r="AF444" s="2026">
        <v>0.9</v>
      </c>
      <c r="AG444" s="2027">
        <f t="shared" si="237"/>
        <v>-2.4121291065367583</v>
      </c>
      <c r="AH444" s="2027">
        <f t="shared" si="237"/>
        <v>-2.4121291065367583</v>
      </c>
      <c r="AI444" s="2027">
        <f t="shared" si="237"/>
        <v>-2.4121291065367583</v>
      </c>
      <c r="AJ444" s="2027">
        <f t="shared" si="237"/>
        <v>-2.4121291065367583</v>
      </c>
      <c r="AK444" s="2027">
        <v>0</v>
      </c>
      <c r="AL444" s="2146"/>
      <c r="AM444" s="2146">
        <v>13541</v>
      </c>
      <c r="AN444" s="2146"/>
      <c r="AO444" s="2027">
        <f t="shared" si="206"/>
        <v>0</v>
      </c>
      <c r="AP444" s="2027">
        <f t="shared" si="222"/>
        <v>0</v>
      </c>
      <c r="AQ444" s="2027">
        <f t="shared" si="222"/>
        <v>760937.64647180401</v>
      </c>
      <c r="AR444" s="2027" t="s">
        <v>3286</v>
      </c>
      <c r="AS444" s="2027">
        <f t="shared" si="208"/>
        <v>0</v>
      </c>
      <c r="AT444" s="2027">
        <f t="shared" si="209"/>
        <v>0</v>
      </c>
      <c r="AU444" s="2027">
        <f t="shared" si="223"/>
        <v>0</v>
      </c>
      <c r="AV444" s="2027">
        <f t="shared" si="223"/>
        <v>-15375.195556299868</v>
      </c>
      <c r="AW444" s="2027">
        <f t="shared" si="223"/>
        <v>0</v>
      </c>
      <c r="AX444" s="2029">
        <v>3.13</v>
      </c>
      <c r="AY444" s="2029">
        <f t="shared" ref="AY444:BA445" si="239">AY443</f>
        <v>4.4704485744867171</v>
      </c>
      <c r="AZ444" s="2029">
        <f t="shared" si="239"/>
        <v>3.1293140021407018</v>
      </c>
      <c r="BA444" s="2029">
        <f t="shared" si="239"/>
        <v>3.1293140021407018</v>
      </c>
      <c r="BB444" s="2124">
        <v>0</v>
      </c>
      <c r="BC444" s="2029">
        <v>0</v>
      </c>
      <c r="BD444" s="2029">
        <v>0</v>
      </c>
      <c r="BE444" s="2029">
        <v>0</v>
      </c>
      <c r="BF444" s="2124">
        <v>10.748999999999999</v>
      </c>
      <c r="BG444" s="2029">
        <v>10.748999999999999</v>
      </c>
      <c r="BH444" s="2029">
        <v>10.748999999999999</v>
      </c>
      <c r="BI444" s="2029">
        <v>10.748999999999999</v>
      </c>
      <c r="BJ444" s="2030">
        <f t="shared" si="224"/>
        <v>0</v>
      </c>
      <c r="BK444" s="2030">
        <f t="shared" si="224"/>
        <v>0</v>
      </c>
      <c r="BL444" s="2030">
        <f>AZ444*AM444</f>
        <v>42374.040902987246</v>
      </c>
      <c r="BM444" s="2030" t="s">
        <v>3286</v>
      </c>
      <c r="BN444" s="2030">
        <f t="shared" si="212"/>
        <v>0</v>
      </c>
      <c r="BO444" s="2030">
        <f t="shared" si="213"/>
        <v>0</v>
      </c>
      <c r="BP444" s="2030" t="s">
        <v>3286</v>
      </c>
      <c r="BQ444" s="2030">
        <f t="shared" si="225"/>
        <v>0</v>
      </c>
      <c r="BR444" s="2030">
        <f t="shared" si="225"/>
        <v>0</v>
      </c>
      <c r="BS444" s="2030">
        <f t="shared" si="225"/>
        <v>0</v>
      </c>
      <c r="BT444" s="2125"/>
      <c r="BU444" s="2125"/>
      <c r="BV444" s="2125"/>
      <c r="BW444" s="2125"/>
      <c r="BX444" s="2125"/>
      <c r="BY444" s="2125"/>
      <c r="BZ444" s="2125"/>
      <c r="CA444" s="2125"/>
      <c r="CB444" s="2029"/>
      <c r="CC444" s="2029"/>
      <c r="CD444" s="2029"/>
      <c r="CE444" s="2029"/>
      <c r="CF444" s="2029"/>
      <c r="CG444" s="2032"/>
      <c r="CH444" s="1974">
        <v>0</v>
      </c>
      <c r="CI444" s="1974">
        <v>0</v>
      </c>
      <c r="CJ444" s="1974">
        <v>0</v>
      </c>
      <c r="CK444" s="1974">
        <v>0</v>
      </c>
      <c r="CL444" s="1974">
        <v>1</v>
      </c>
      <c r="CM444" s="2033">
        <v>1.1122978004362715E-2</v>
      </c>
      <c r="CN444" s="2026">
        <v>-2.8214016069755286E-2</v>
      </c>
      <c r="CO444" s="1974">
        <v>1</v>
      </c>
      <c r="CP444" s="2031">
        <v>-0.20832982508570624</v>
      </c>
      <c r="CQ444" s="2031">
        <f t="shared" si="215"/>
        <v>0.20832982508570624</v>
      </c>
      <c r="CR444" s="2026">
        <v>1</v>
      </c>
      <c r="CS444" s="2026">
        <v>1</v>
      </c>
      <c r="CT444" s="2026">
        <v>0.47072727272727272</v>
      </c>
      <c r="CU444" s="2026">
        <v>0.47072727272727272</v>
      </c>
      <c r="CV444" s="2036"/>
      <c r="CW444" s="2036"/>
      <c r="CX444" s="2036"/>
      <c r="CY444" s="2036"/>
      <c r="CZ444" s="2036"/>
      <c r="DA444" s="2036"/>
      <c r="DB444" s="1973">
        <v>1</v>
      </c>
    </row>
    <row r="445" spans="1:106" x14ac:dyDescent="0.25">
      <c r="A445" s="2277" t="s">
        <v>1053</v>
      </c>
      <c r="B445" s="1974" t="str">
        <f t="shared" si="234"/>
        <v/>
      </c>
      <c r="C445" s="2027">
        <v>15</v>
      </c>
      <c r="D445" s="2027">
        <v>0</v>
      </c>
      <c r="E445" s="1973">
        <f>F445*$CU445</f>
        <v>62.438983373278184</v>
      </c>
      <c r="F445" s="2144">
        <f>F444</f>
        <v>132.64364949904598</v>
      </c>
      <c r="G445" s="1973">
        <f>H445*$CU445</f>
        <v>1.2455693433836446E-2</v>
      </c>
      <c r="H445" s="2145">
        <f>H444</f>
        <v>2.6460530662842971E-2</v>
      </c>
      <c r="I445" s="1973">
        <f>J445*$CU445</f>
        <v>-1.2616166175401349</v>
      </c>
      <c r="J445" s="2027">
        <f>J444</f>
        <v>-2.6801434517075093</v>
      </c>
      <c r="K445" s="1974" t="s">
        <v>2988</v>
      </c>
      <c r="L445" s="1974" t="s">
        <v>2988</v>
      </c>
      <c r="M445" s="2026">
        <v>0.9</v>
      </c>
      <c r="N445" s="2026">
        <v>0.9</v>
      </c>
      <c r="O445" s="2026">
        <v>0.9</v>
      </c>
      <c r="P445" s="2026">
        <v>0.9</v>
      </c>
      <c r="Q445" s="2027">
        <f t="shared" si="235"/>
        <v>119.37928454914139</v>
      </c>
      <c r="R445" s="2027">
        <f t="shared" si="235"/>
        <v>119.37928454914139</v>
      </c>
      <c r="S445" s="2027">
        <f t="shared" si="235"/>
        <v>119.37928454914139</v>
      </c>
      <c r="T445" s="2027">
        <f t="shared" si="235"/>
        <v>119.37928454914139</v>
      </c>
      <c r="U445" s="2026">
        <v>0.9</v>
      </c>
      <c r="V445" s="2026">
        <v>0.9</v>
      </c>
      <c r="W445" s="2026">
        <v>0.9</v>
      </c>
      <c r="X445" s="2026">
        <v>0.9</v>
      </c>
      <c r="Y445" s="2028">
        <f t="shared" si="236"/>
        <v>2.3814477596558675E-2</v>
      </c>
      <c r="Z445" s="2028">
        <f t="shared" si="236"/>
        <v>2.3814477596558675E-2</v>
      </c>
      <c r="AA445" s="2028">
        <f t="shared" si="236"/>
        <v>2.3814477596558675E-2</v>
      </c>
      <c r="AB445" s="2028">
        <f t="shared" si="236"/>
        <v>2.3814477596558675E-2</v>
      </c>
      <c r="AC445" s="2026">
        <v>0.9</v>
      </c>
      <c r="AD445" s="2026">
        <v>0.9</v>
      </c>
      <c r="AE445" s="2026">
        <v>0.9</v>
      </c>
      <c r="AF445" s="2026">
        <v>0.9</v>
      </c>
      <c r="AG445" s="2027">
        <f t="shared" si="237"/>
        <v>-2.4121291065367583</v>
      </c>
      <c r="AH445" s="2027">
        <f t="shared" si="237"/>
        <v>-2.4121291065367583</v>
      </c>
      <c r="AI445" s="2027">
        <f t="shared" si="237"/>
        <v>-2.4121291065367583</v>
      </c>
      <c r="AJ445" s="2027">
        <f t="shared" si="237"/>
        <v>-2.4121291065367583</v>
      </c>
      <c r="AK445" s="2027">
        <v>0</v>
      </c>
      <c r="AL445" s="2146"/>
      <c r="AM445" s="2146"/>
      <c r="AN445" s="2146">
        <v>13511</v>
      </c>
      <c r="AO445" s="2027">
        <f t="shared" si="206"/>
        <v>0</v>
      </c>
      <c r="AP445" s="2027">
        <f t="shared" si="222"/>
        <v>0</v>
      </c>
      <c r="AQ445" s="2027">
        <f t="shared" si="222"/>
        <v>0</v>
      </c>
      <c r="AR445" s="2027" t="s">
        <v>3286</v>
      </c>
      <c r="AS445" s="2027">
        <f t="shared" si="208"/>
        <v>759251.79392072547</v>
      </c>
      <c r="AT445" s="2027">
        <f t="shared" si="209"/>
        <v>0</v>
      </c>
      <c r="AU445" s="2027">
        <f t="shared" si="223"/>
        <v>0</v>
      </c>
      <c r="AV445" s="2027">
        <f t="shared" si="223"/>
        <v>0</v>
      </c>
      <c r="AW445" s="2027">
        <f t="shared" si="223"/>
        <v>-15341.131907626284</v>
      </c>
      <c r="AX445" s="2029">
        <v>3.13</v>
      </c>
      <c r="AY445" s="2029">
        <f t="shared" si="239"/>
        <v>4.4704485744867171</v>
      </c>
      <c r="AZ445" s="2029">
        <f t="shared" si="239"/>
        <v>3.1293140021407018</v>
      </c>
      <c r="BA445" s="2029">
        <f t="shared" si="239"/>
        <v>3.1293140021407018</v>
      </c>
      <c r="BB445" s="2124">
        <v>0</v>
      </c>
      <c r="BC445" s="2029">
        <v>0</v>
      </c>
      <c r="BD445" s="2029">
        <v>0</v>
      </c>
      <c r="BE445" s="2029">
        <v>0</v>
      </c>
      <c r="BF445" s="2124">
        <v>10.748999999999999</v>
      </c>
      <c r="BG445" s="2029">
        <v>10.748999999999999</v>
      </c>
      <c r="BH445" s="2029">
        <v>10.748999999999999</v>
      </c>
      <c r="BI445" s="2029">
        <v>10.748999999999999</v>
      </c>
      <c r="BJ445" s="2030">
        <f t="shared" si="224"/>
        <v>0</v>
      </c>
      <c r="BK445" s="2030">
        <f t="shared" si="224"/>
        <v>0</v>
      </c>
      <c r="BL445" s="2030">
        <f t="shared" si="224"/>
        <v>0</v>
      </c>
      <c r="BM445" s="2030" t="s">
        <v>3286</v>
      </c>
      <c r="BN445" s="2030">
        <f t="shared" si="212"/>
        <v>42280.161482923024</v>
      </c>
      <c r="BO445" s="2030">
        <f t="shared" si="213"/>
        <v>0</v>
      </c>
      <c r="BP445" s="2030" t="s">
        <v>3286</v>
      </c>
      <c r="BQ445" s="2030">
        <f t="shared" si="225"/>
        <v>0</v>
      </c>
      <c r="BR445" s="2030">
        <f t="shared" si="225"/>
        <v>0</v>
      </c>
      <c r="BS445" s="2030">
        <f t="shared" si="225"/>
        <v>0</v>
      </c>
      <c r="BT445" s="2125"/>
      <c r="BU445" s="2125"/>
      <c r="BV445" s="2125"/>
      <c r="BW445" s="2125"/>
      <c r="BX445" s="2125"/>
      <c r="BY445" s="2125"/>
      <c r="BZ445" s="2125"/>
      <c r="CA445" s="2125"/>
      <c r="CB445" s="2029"/>
      <c r="CC445" s="2029"/>
      <c r="CD445" s="2029"/>
      <c r="CE445" s="2029"/>
      <c r="CF445" s="2029"/>
      <c r="CG445" s="2032"/>
      <c r="CH445" s="1974">
        <v>0</v>
      </c>
      <c r="CI445" s="1974">
        <v>0</v>
      </c>
      <c r="CJ445" s="1974">
        <v>0</v>
      </c>
      <c r="CK445" s="1974">
        <v>0</v>
      </c>
      <c r="CL445" s="1974">
        <v>1</v>
      </c>
      <c r="CM445" s="2033">
        <v>1.1122978004362715E-2</v>
      </c>
      <c r="CN445" s="2026">
        <v>-2.8214016069755286E-2</v>
      </c>
      <c r="CO445" s="1974">
        <v>1</v>
      </c>
      <c r="CP445" s="2031">
        <v>-0.20832982508570624</v>
      </c>
      <c r="CQ445" s="2031">
        <f t="shared" si="215"/>
        <v>0.20832982508570624</v>
      </c>
      <c r="CR445" s="2026">
        <v>1</v>
      </c>
      <c r="CS445" s="2026">
        <v>1</v>
      </c>
      <c r="CT445" s="2026">
        <v>0.47072727272727272</v>
      </c>
      <c r="CU445" s="2026">
        <v>0.47072727272727272</v>
      </c>
      <c r="CV445" s="2036"/>
      <c r="CW445" s="2036"/>
      <c r="CX445" s="2036"/>
      <c r="CY445" s="2036"/>
      <c r="CZ445" s="2036"/>
      <c r="DA445" s="2036"/>
      <c r="DB445" s="1973">
        <v>1</v>
      </c>
    </row>
    <row r="446" spans="1:106" x14ac:dyDescent="0.25">
      <c r="A446" s="2277" t="s">
        <v>1056</v>
      </c>
      <c r="B446" s="1974" t="str">
        <f>IF(B128="","",B128)</f>
        <v/>
      </c>
      <c r="C446" s="2027">
        <v>15</v>
      </c>
      <c r="D446" s="2027">
        <v>0</v>
      </c>
      <c r="E446" s="1973">
        <f>E341</f>
        <v>1807.2102776975823</v>
      </c>
      <c r="F446" s="2144">
        <f t="shared" ref="F446:J447" si="240">F341</f>
        <v>1807.2102776975823</v>
      </c>
      <c r="G446" s="1973">
        <f t="shared" si="240"/>
        <v>0</v>
      </c>
      <c r="H446" s="2145">
        <f t="shared" si="240"/>
        <v>0</v>
      </c>
      <c r="I446" s="1973">
        <f t="shared" si="240"/>
        <v>0</v>
      </c>
      <c r="J446" s="2027">
        <f t="shared" si="240"/>
        <v>0</v>
      </c>
      <c r="K446" s="1974" t="s">
        <v>2988</v>
      </c>
      <c r="L446" s="1974" t="s">
        <v>2988</v>
      </c>
      <c r="M446" s="2026">
        <v>0.9</v>
      </c>
      <c r="N446" s="2026">
        <v>0.9</v>
      </c>
      <c r="O446" s="2026">
        <v>0.9</v>
      </c>
      <c r="P446" s="2026">
        <v>0.9</v>
      </c>
      <c r="Q446" s="2027">
        <f t="shared" si="235"/>
        <v>1626.4892499278242</v>
      </c>
      <c r="R446" s="2027">
        <f t="shared" si="235"/>
        <v>1626.4892499278242</v>
      </c>
      <c r="S446" s="2027">
        <f t="shared" si="235"/>
        <v>1626.4892499278242</v>
      </c>
      <c r="T446" s="2027">
        <f t="shared" si="235"/>
        <v>1626.4892499278242</v>
      </c>
      <c r="U446" s="2026">
        <v>0.9</v>
      </c>
      <c r="V446" s="2026">
        <v>0.9</v>
      </c>
      <c r="W446" s="2026">
        <v>0.9</v>
      </c>
      <c r="X446" s="2026">
        <v>0.9</v>
      </c>
      <c r="Y446" s="2028">
        <f t="shared" si="236"/>
        <v>0</v>
      </c>
      <c r="Z446" s="2028">
        <f t="shared" si="236"/>
        <v>0</v>
      </c>
      <c r="AA446" s="2028">
        <f t="shared" si="236"/>
        <v>0</v>
      </c>
      <c r="AB446" s="2028">
        <f t="shared" si="236"/>
        <v>0</v>
      </c>
      <c r="AC446" s="2026">
        <v>0.9</v>
      </c>
      <c r="AD446" s="2026">
        <v>0.9</v>
      </c>
      <c r="AE446" s="2026">
        <v>0.9</v>
      </c>
      <c r="AF446" s="2026">
        <v>0.9</v>
      </c>
      <c r="AG446" s="2027">
        <f t="shared" si="237"/>
        <v>0</v>
      </c>
      <c r="AH446" s="2027">
        <f t="shared" si="237"/>
        <v>0</v>
      </c>
      <c r="AI446" s="2027">
        <f t="shared" si="237"/>
        <v>0</v>
      </c>
      <c r="AJ446" s="2027">
        <f t="shared" si="237"/>
        <v>0</v>
      </c>
      <c r="AK446" s="2027"/>
      <c r="AL446" s="2146">
        <v>900</v>
      </c>
      <c r="AM446" s="2146">
        <v>903</v>
      </c>
      <c r="AN446" s="2146">
        <v>901</v>
      </c>
      <c r="AO446" s="2027">
        <f>AK446*Q446</f>
        <v>0</v>
      </c>
      <c r="AP446" s="2027">
        <f t="shared" si="222"/>
        <v>1463840.3249350418</v>
      </c>
      <c r="AQ446" s="2027">
        <f t="shared" si="222"/>
        <v>1449293.8484627677</v>
      </c>
      <c r="AR446" s="2027" t="s">
        <v>3286</v>
      </c>
      <c r="AS446" s="2027">
        <f t="shared" si="208"/>
        <v>1446083.8953100261</v>
      </c>
      <c r="AT446" s="2027">
        <f t="shared" si="209"/>
        <v>0</v>
      </c>
      <c r="AU446" s="2027">
        <f t="shared" si="223"/>
        <v>0</v>
      </c>
      <c r="AV446" s="2027">
        <f t="shared" si="223"/>
        <v>0</v>
      </c>
      <c r="AW446" s="2027">
        <f t="shared" si="223"/>
        <v>0</v>
      </c>
      <c r="AX446" s="2124">
        <f t="shared" ref="AX446:BA446" si="241">AX341</f>
        <v>180.71062071454347</v>
      </c>
      <c r="AY446" s="2029">
        <f t="shared" si="241"/>
        <v>180.71062071454347</v>
      </c>
      <c r="AZ446" s="2029">
        <f t="shared" si="241"/>
        <v>180.71062071454347</v>
      </c>
      <c r="BA446" s="2029">
        <f t="shared" si="241"/>
        <v>180.71062071454347</v>
      </c>
      <c r="BB446" s="2124">
        <v>0</v>
      </c>
      <c r="BC446" s="2029">
        <v>0</v>
      </c>
      <c r="BD446" s="2029">
        <v>0</v>
      </c>
      <c r="BE446" s="2029">
        <v>0</v>
      </c>
      <c r="BF446" s="2124">
        <f t="shared" ref="BF446:BI446" si="242">BF341</f>
        <v>189.73709076145795</v>
      </c>
      <c r="BG446" s="2029">
        <f t="shared" si="242"/>
        <v>189.73709076145795</v>
      </c>
      <c r="BH446" s="2029">
        <f t="shared" si="242"/>
        <v>189.73709076145795</v>
      </c>
      <c r="BI446" s="2029">
        <f t="shared" si="242"/>
        <v>189.73709076145795</v>
      </c>
      <c r="BJ446" s="2030">
        <f t="shared" si="224"/>
        <v>0</v>
      </c>
      <c r="BK446" s="2030">
        <f t="shared" si="224"/>
        <v>162639.55864308911</v>
      </c>
      <c r="BL446" s="2030">
        <f t="shared" si="224"/>
        <v>163181.69050523275</v>
      </c>
      <c r="BM446" s="2030" t="s">
        <v>3286</v>
      </c>
      <c r="BN446" s="2030">
        <f t="shared" si="212"/>
        <v>162820.26926380367</v>
      </c>
      <c r="BO446" s="2030">
        <f t="shared" si="213"/>
        <v>0</v>
      </c>
      <c r="BP446" s="2030" t="s">
        <v>3286</v>
      </c>
      <c r="BQ446" s="2030">
        <f t="shared" si="225"/>
        <v>0</v>
      </c>
      <c r="BR446" s="2030">
        <f t="shared" si="225"/>
        <v>0</v>
      </c>
      <c r="BS446" s="2030">
        <f t="shared" si="225"/>
        <v>0</v>
      </c>
      <c r="BT446" s="2125"/>
      <c r="BU446" s="2125"/>
      <c r="BV446" s="2125"/>
      <c r="BW446" s="2125"/>
      <c r="BX446" s="2125"/>
      <c r="BY446" s="2125"/>
      <c r="BZ446" s="2125"/>
      <c r="CA446" s="2125"/>
      <c r="CB446" s="2029"/>
      <c r="CC446" s="2029"/>
      <c r="CD446" s="2029"/>
      <c r="CE446" s="2029"/>
      <c r="CF446" s="2029"/>
      <c r="CG446" s="2032"/>
      <c r="CH446" s="1974">
        <v>0</v>
      </c>
      <c r="CI446" s="1974">
        <v>0</v>
      </c>
      <c r="CJ446" s="1974">
        <v>0</v>
      </c>
      <c r="CK446" s="1974">
        <v>0</v>
      </c>
      <c r="CL446" s="1974">
        <v>1</v>
      </c>
      <c r="CM446" s="2033">
        <v>1.5158324982466292E-3</v>
      </c>
      <c r="CN446" s="2026">
        <v>0</v>
      </c>
      <c r="CO446" s="1974">
        <v>1</v>
      </c>
      <c r="CP446" s="2031">
        <v>-16.835977777777774</v>
      </c>
      <c r="CQ446" s="2031">
        <f t="shared" si="215"/>
        <v>16.835977777777774</v>
      </c>
      <c r="CR446" s="2026">
        <v>1</v>
      </c>
      <c r="CS446" s="2026">
        <v>1</v>
      </c>
      <c r="CT446" s="2026">
        <v>0.98677355318637949</v>
      </c>
      <c r="CU446" s="2026">
        <v>0.98677355318637949</v>
      </c>
      <c r="CV446" s="2036"/>
      <c r="CW446" s="2036"/>
      <c r="CX446" s="2036"/>
      <c r="CY446" s="2036"/>
      <c r="CZ446" s="2036"/>
      <c r="DA446" s="2036"/>
      <c r="DB446" s="1973">
        <v>1</v>
      </c>
    </row>
    <row r="447" spans="1:106" x14ac:dyDescent="0.25">
      <c r="A447" s="2277" t="s">
        <v>1057</v>
      </c>
      <c r="B447" s="1974" t="str">
        <f>IF(B129="","",B129)</f>
        <v/>
      </c>
      <c r="C447" s="2027">
        <v>11</v>
      </c>
      <c r="D447" s="2027">
        <v>0</v>
      </c>
      <c r="E447" s="1973">
        <f>E342</f>
        <v>313.26881013799391</v>
      </c>
      <c r="F447" s="2144">
        <f t="shared" si="240"/>
        <v>313.26881013799391</v>
      </c>
      <c r="G447" s="1973">
        <f t="shared" si="240"/>
        <v>5.9674605536221718E-2</v>
      </c>
      <c r="H447" s="2145">
        <f t="shared" si="240"/>
        <v>5.9674605536221718E-2</v>
      </c>
      <c r="I447" s="1973">
        <f t="shared" si="240"/>
        <v>-5.2649053908958043</v>
      </c>
      <c r="J447" s="2027">
        <f t="shared" si="240"/>
        <v>-5.2649053908958043</v>
      </c>
      <c r="K447" s="1974" t="s">
        <v>2988</v>
      </c>
      <c r="L447" s="1974" t="s">
        <v>2988</v>
      </c>
      <c r="M447" s="2026">
        <v>0.9</v>
      </c>
      <c r="N447" s="2026">
        <v>0.9</v>
      </c>
      <c r="O447" s="2026">
        <v>0.9</v>
      </c>
      <c r="P447" s="2026">
        <v>0.9</v>
      </c>
      <c r="Q447" s="2027">
        <f t="shared" si="235"/>
        <v>281.94192912419453</v>
      </c>
      <c r="R447" s="2027">
        <f t="shared" si="235"/>
        <v>281.94192912419453</v>
      </c>
      <c r="S447" s="2027">
        <f t="shared" si="235"/>
        <v>281.94192912419453</v>
      </c>
      <c r="T447" s="2027">
        <f t="shared" si="235"/>
        <v>281.94192912419453</v>
      </c>
      <c r="U447" s="2026">
        <v>0.9</v>
      </c>
      <c r="V447" s="2026">
        <v>0.9</v>
      </c>
      <c r="W447" s="2026">
        <v>0.9</v>
      </c>
      <c r="X447" s="2026">
        <v>0.9</v>
      </c>
      <c r="Y447" s="2028">
        <f t="shared" si="236"/>
        <v>5.3707144982599549E-2</v>
      </c>
      <c r="Z447" s="2028">
        <f t="shared" si="236"/>
        <v>5.3707144982599549E-2</v>
      </c>
      <c r="AA447" s="2028">
        <f t="shared" si="236"/>
        <v>5.3707144982599549E-2</v>
      </c>
      <c r="AB447" s="2028">
        <f t="shared" si="236"/>
        <v>5.3707144982599549E-2</v>
      </c>
      <c r="AC447" s="2026">
        <v>0.9</v>
      </c>
      <c r="AD447" s="2026">
        <v>0.9</v>
      </c>
      <c r="AE447" s="2026">
        <v>0.9</v>
      </c>
      <c r="AF447" s="2026">
        <v>0.9</v>
      </c>
      <c r="AG447" s="2027">
        <f t="shared" si="237"/>
        <v>-4.7384148518062243</v>
      </c>
      <c r="AH447" s="2027">
        <f t="shared" si="237"/>
        <v>-4.7384148518062243</v>
      </c>
      <c r="AI447" s="2027">
        <f t="shared" si="237"/>
        <v>-4.7384148518062243</v>
      </c>
      <c r="AJ447" s="2027">
        <f t="shared" si="237"/>
        <v>-4.7384148518062243</v>
      </c>
      <c r="AK447" s="2027"/>
      <c r="AL447" s="2027">
        <v>38</v>
      </c>
      <c r="AM447" s="2027">
        <v>39</v>
      </c>
      <c r="AN447" s="2027">
        <v>40</v>
      </c>
      <c r="AO447" s="2027">
        <f>AK447*Q447</f>
        <v>0</v>
      </c>
      <c r="AP447" s="2027">
        <f t="shared" si="222"/>
        <v>10713.793306719392</v>
      </c>
      <c r="AQ447" s="2027">
        <f t="shared" si="222"/>
        <v>9248.8950281634716</v>
      </c>
      <c r="AR447" s="2027" t="s">
        <v>3286</v>
      </c>
      <c r="AS447" s="2027">
        <f t="shared" si="208"/>
        <v>9486.0461827317649</v>
      </c>
      <c r="AT447" s="2027">
        <f t="shared" si="209"/>
        <v>0</v>
      </c>
      <c r="AU447" s="2027">
        <f t="shared" si="223"/>
        <v>-180.05976436863654</v>
      </c>
      <c r="AV447" s="2027">
        <f t="shared" si="223"/>
        <v>-155.44017060669867</v>
      </c>
      <c r="AW447" s="2027">
        <f t="shared" si="223"/>
        <v>-159.42581600687043</v>
      </c>
      <c r="AX447" s="2124">
        <v>15.119999999999997</v>
      </c>
      <c r="AY447" s="2029">
        <v>15.119999999999997</v>
      </c>
      <c r="AZ447" s="2029">
        <v>15.119999999999997</v>
      </c>
      <c r="BA447" s="2029">
        <v>15.119999999999997</v>
      </c>
      <c r="BB447" s="2124">
        <v>0</v>
      </c>
      <c r="BC447" s="2029">
        <v>0</v>
      </c>
      <c r="BD447" s="2029">
        <v>0</v>
      </c>
      <c r="BE447" s="2029">
        <v>0</v>
      </c>
      <c r="BF447" s="2124">
        <v>12</v>
      </c>
      <c r="BG447" s="2029">
        <v>12</v>
      </c>
      <c r="BH447" s="2029">
        <v>12</v>
      </c>
      <c r="BI447" s="2029">
        <v>12</v>
      </c>
      <c r="BJ447" s="2030">
        <f t="shared" si="224"/>
        <v>0</v>
      </c>
      <c r="BK447" s="2030">
        <f t="shared" si="224"/>
        <v>574.55999999999995</v>
      </c>
      <c r="BL447" s="2030">
        <f t="shared" si="224"/>
        <v>589.67999999999995</v>
      </c>
      <c r="BM447" s="2030" t="s">
        <v>3286</v>
      </c>
      <c r="BN447" s="2030">
        <f t="shared" si="212"/>
        <v>604.79999999999995</v>
      </c>
      <c r="BO447" s="2030">
        <f t="shared" si="213"/>
        <v>0</v>
      </c>
      <c r="BP447" s="2030" t="s">
        <v>3286</v>
      </c>
      <c r="BQ447" s="2030">
        <f t="shared" si="225"/>
        <v>0</v>
      </c>
      <c r="BR447" s="2030">
        <f t="shared" si="225"/>
        <v>0</v>
      </c>
      <c r="BS447" s="2030">
        <f t="shared" si="225"/>
        <v>0</v>
      </c>
      <c r="BT447" s="2125"/>
      <c r="BU447" s="2125"/>
      <c r="BV447" s="2125"/>
      <c r="BW447" s="2125"/>
      <c r="BX447" s="2125"/>
      <c r="BY447" s="2125"/>
      <c r="BZ447" s="2125"/>
      <c r="CA447" s="2125"/>
      <c r="CB447" s="2029"/>
      <c r="CC447" s="2029"/>
      <c r="CD447" s="2029"/>
      <c r="CE447" s="2029"/>
      <c r="CF447" s="2029"/>
      <c r="CG447" s="2032"/>
      <c r="CH447" s="1974">
        <v>0</v>
      </c>
      <c r="CI447" s="1974">
        <v>0</v>
      </c>
      <c r="CJ447" s="1974">
        <v>0</v>
      </c>
      <c r="CK447" s="1974">
        <v>0</v>
      </c>
      <c r="CL447" s="1974">
        <v>1</v>
      </c>
      <c r="CM447" s="2033">
        <v>3.7774779175134998E-5</v>
      </c>
      <c r="CN447" s="2026">
        <v>-6.1053267419034833E-5</v>
      </c>
      <c r="CO447" s="1974">
        <v>0</v>
      </c>
      <c r="CP447" s="2031">
        <v>0</v>
      </c>
      <c r="CQ447" s="2031">
        <f t="shared" si="215"/>
        <v>0</v>
      </c>
      <c r="CR447" s="2026">
        <v>1</v>
      </c>
      <c r="CS447" s="2026">
        <v>1</v>
      </c>
      <c r="CT447" s="2026">
        <v>0.84113475177304964</v>
      </c>
      <c r="CU447" s="2026">
        <v>0.84113475177304964</v>
      </c>
      <c r="CV447" s="2036"/>
      <c r="CW447" s="2036"/>
      <c r="CX447" s="2036"/>
      <c r="CY447" s="2036"/>
      <c r="CZ447" s="2036"/>
      <c r="DA447" s="2036"/>
      <c r="DB447" s="1973">
        <v>1</v>
      </c>
    </row>
    <row r="448" spans="1:106" x14ac:dyDescent="0.25">
      <c r="A448" s="2277" t="s">
        <v>1058</v>
      </c>
      <c r="B448" s="1974" t="str">
        <f>IF(B133="","",B133)</f>
        <v/>
      </c>
      <c r="C448" s="2027">
        <v>15</v>
      </c>
      <c r="D448" s="2027">
        <v>0</v>
      </c>
      <c r="E448" s="1973">
        <f>E345</f>
        <v>568.88200876334827</v>
      </c>
      <c r="F448" s="2285">
        <f>F345</f>
        <v>568.88200876334827</v>
      </c>
      <c r="G448" s="1973">
        <f t="shared" ref="G448:J448" si="243">G345</f>
        <v>9.92136358739934E-2</v>
      </c>
      <c r="H448" s="2145">
        <f t="shared" si="243"/>
        <v>9.92136358739934E-2</v>
      </c>
      <c r="I448" s="1973">
        <f t="shared" si="243"/>
        <v>-12.323260536976173</v>
      </c>
      <c r="J448" s="2027">
        <f t="shared" si="243"/>
        <v>-12.323260536976173</v>
      </c>
      <c r="K448" s="1974" t="s">
        <v>2988</v>
      </c>
      <c r="L448" s="1974" t="s">
        <v>2988</v>
      </c>
      <c r="M448" s="2026">
        <v>0.9</v>
      </c>
      <c r="N448" s="2026">
        <v>0.9</v>
      </c>
      <c r="O448" s="2026">
        <v>0.9</v>
      </c>
      <c r="P448" s="2026">
        <v>0.9</v>
      </c>
      <c r="Q448" s="2027">
        <f t="shared" si="235"/>
        <v>511.99380788701347</v>
      </c>
      <c r="R448" s="2027">
        <f t="shared" si="235"/>
        <v>511.99380788701347</v>
      </c>
      <c r="S448" s="2027">
        <f t="shared" si="235"/>
        <v>511.99380788701347</v>
      </c>
      <c r="T448" s="2027">
        <f t="shared" si="235"/>
        <v>511.99380788701347</v>
      </c>
      <c r="U448" s="2026">
        <v>0.9</v>
      </c>
      <c r="V448" s="2026">
        <v>0.9</v>
      </c>
      <c r="W448" s="2026">
        <v>0.9</v>
      </c>
      <c r="X448" s="2026">
        <v>0.9</v>
      </c>
      <c r="Y448" s="2028">
        <f t="shared" si="236"/>
        <v>8.929227228659406E-2</v>
      </c>
      <c r="Z448" s="2028">
        <f t="shared" si="236"/>
        <v>8.929227228659406E-2</v>
      </c>
      <c r="AA448" s="2028">
        <f t="shared" si="236"/>
        <v>8.929227228659406E-2</v>
      </c>
      <c r="AB448" s="2028">
        <f t="shared" si="236"/>
        <v>8.929227228659406E-2</v>
      </c>
      <c r="AC448" s="2026">
        <v>0.9</v>
      </c>
      <c r="AD448" s="2026">
        <v>0.9</v>
      </c>
      <c r="AE448" s="2026">
        <v>0.9</v>
      </c>
      <c r="AF448" s="2026">
        <v>0.9</v>
      </c>
      <c r="AG448" s="2027">
        <f t="shared" si="237"/>
        <v>-11.090934483278556</v>
      </c>
      <c r="AH448" s="2027">
        <f t="shared" si="237"/>
        <v>-11.090934483278556</v>
      </c>
      <c r="AI448" s="2027">
        <f t="shared" si="237"/>
        <v>-11.090934483278556</v>
      </c>
      <c r="AJ448" s="2027">
        <f t="shared" si="237"/>
        <v>-11.090934483278556</v>
      </c>
      <c r="AK448" s="2027">
        <v>0</v>
      </c>
      <c r="AL448" s="2265">
        <v>13000</v>
      </c>
      <c r="AM448" s="2265">
        <v>14000</v>
      </c>
      <c r="AN448" s="2265">
        <v>14000</v>
      </c>
      <c r="AO448" s="2027">
        <f>AK448*Q448</f>
        <v>0</v>
      </c>
      <c r="AP448" s="2146">
        <f t="shared" si="222"/>
        <v>6655919.5025311755</v>
      </c>
      <c r="AQ448" s="2027">
        <f t="shared" si="222"/>
        <v>6585162.3511870904</v>
      </c>
      <c r="AR448" s="2027" t="s">
        <v>3283</v>
      </c>
      <c r="AS448" s="2027">
        <f t="shared" si="208"/>
        <v>6585162.3511870904</v>
      </c>
      <c r="AT448" s="2027">
        <f t="shared" si="209"/>
        <v>0</v>
      </c>
      <c r="AU448" s="2027">
        <f t="shared" si="223"/>
        <v>-144182.14828262123</v>
      </c>
      <c r="AV448" s="2027">
        <f t="shared" si="223"/>
        <v>-142649.38964825537</v>
      </c>
      <c r="AW448" s="2027">
        <f t="shared" si="223"/>
        <v>-142649.38964825537</v>
      </c>
      <c r="AX448" s="2124">
        <v>96.584257189810984</v>
      </c>
      <c r="AY448" s="2029">
        <v>96.584257189810984</v>
      </c>
      <c r="AZ448" s="2029">
        <v>96.584257189810984</v>
      </c>
      <c r="BA448" s="2029">
        <v>96.584257189810984</v>
      </c>
      <c r="BB448" s="2124">
        <v>0</v>
      </c>
      <c r="BC448" s="2029">
        <v>0</v>
      </c>
      <c r="BD448" s="2029">
        <v>0</v>
      </c>
      <c r="BE448" s="2029">
        <v>0</v>
      </c>
      <c r="BF448" s="2124">
        <v>266.88716398638337</v>
      </c>
      <c r="BG448" s="2029">
        <v>266.88716398638337</v>
      </c>
      <c r="BH448" s="2029">
        <v>266.88716398638337</v>
      </c>
      <c r="BI448" s="2029">
        <v>266.88716398638337</v>
      </c>
      <c r="BJ448" s="2030">
        <f t="shared" si="224"/>
        <v>0</v>
      </c>
      <c r="BK448" s="2030">
        <f t="shared" si="224"/>
        <v>1255595.3434675429</v>
      </c>
      <c r="BL448" s="2030">
        <f t="shared" si="224"/>
        <v>1352179.6006573539</v>
      </c>
      <c r="BM448" s="2030" t="s">
        <v>3286</v>
      </c>
      <c r="BN448" s="2030">
        <f t="shared" si="212"/>
        <v>1352179.6006573539</v>
      </c>
      <c r="BO448" s="2030">
        <f t="shared" si="213"/>
        <v>0</v>
      </c>
      <c r="BP448" s="2030" t="s">
        <v>3286</v>
      </c>
      <c r="BQ448" s="2030">
        <f t="shared" si="225"/>
        <v>0</v>
      </c>
      <c r="BR448" s="2030">
        <f t="shared" si="225"/>
        <v>0</v>
      </c>
      <c r="BS448" s="2030">
        <f t="shared" si="225"/>
        <v>0</v>
      </c>
      <c r="BT448" s="2125"/>
      <c r="BU448" s="2125"/>
      <c r="BV448" s="2125"/>
      <c r="BW448" s="2125"/>
      <c r="BX448" s="2125"/>
      <c r="BY448" s="2125"/>
      <c r="BZ448" s="2125"/>
      <c r="CA448" s="2125"/>
      <c r="CB448" s="2029"/>
      <c r="CC448" s="2029"/>
      <c r="CD448" s="2029"/>
      <c r="CE448" s="2029"/>
      <c r="CF448" s="2029"/>
      <c r="CG448" s="2032"/>
      <c r="CH448" s="1974">
        <v>0</v>
      </c>
      <c r="CI448" s="1974">
        <v>0</v>
      </c>
      <c r="CJ448" s="1974">
        <v>0</v>
      </c>
      <c r="CK448" s="1974">
        <v>0</v>
      </c>
      <c r="CL448" s="1974">
        <v>1</v>
      </c>
      <c r="CM448" s="2033">
        <v>2.5723984756426146E-2</v>
      </c>
      <c r="CN448" s="2026">
        <v>-5.3588948792375482E-2</v>
      </c>
      <c r="CO448" s="1974">
        <v>1</v>
      </c>
      <c r="CP448" s="2031">
        <v>-5.387533986928104</v>
      </c>
      <c r="CQ448" s="2031">
        <f t="shared" si="215"/>
        <v>5.387533986928104</v>
      </c>
      <c r="CR448" s="2026">
        <v>1</v>
      </c>
      <c r="CS448" s="2026">
        <v>1</v>
      </c>
      <c r="CT448" s="2026">
        <v>0.91870005481454409</v>
      </c>
      <c r="CU448" s="2026">
        <v>0.91870005481454409</v>
      </c>
      <c r="CV448" s="2036"/>
      <c r="CW448" s="2036"/>
      <c r="CX448" s="2036"/>
      <c r="CY448" s="2036"/>
      <c r="CZ448" s="2036"/>
      <c r="DA448" s="2036"/>
      <c r="DB448" s="1973">
        <v>1</v>
      </c>
    </row>
    <row r="449" spans="1:106" x14ac:dyDescent="0.25">
      <c r="A449" s="2264"/>
      <c r="B449" s="2267"/>
      <c r="C449" s="2264"/>
      <c r="D449" s="2264"/>
      <c r="E449" s="2282"/>
      <c r="F449" s="2282"/>
      <c r="G449" s="2283"/>
      <c r="H449" s="2283"/>
      <c r="I449" s="2264"/>
      <c r="J449" s="2264"/>
      <c r="K449" s="2267"/>
      <c r="L449" s="2267"/>
      <c r="M449" s="2268"/>
      <c r="N449" s="2268"/>
      <c r="O449" s="2268"/>
      <c r="P449" s="2268"/>
      <c r="Q449" s="2264"/>
      <c r="R449" s="2264"/>
      <c r="S449" s="2264"/>
      <c r="T449" s="2264"/>
      <c r="U449" s="2268"/>
      <c r="V449" s="2268"/>
      <c r="W449" s="2268"/>
      <c r="X449" s="2268"/>
      <c r="Y449" s="2269"/>
      <c r="Z449" s="2269"/>
      <c r="AA449" s="2269"/>
      <c r="AB449" s="2269"/>
      <c r="AC449" s="2268"/>
      <c r="AD449" s="2268"/>
      <c r="AE449" s="2268"/>
      <c r="AF449" s="2268"/>
      <c r="AG449" s="2264"/>
      <c r="AH449" s="2264"/>
      <c r="AI449" s="2264"/>
      <c r="AJ449" s="2264"/>
      <c r="AK449" s="2264"/>
      <c r="AL449" s="2269"/>
      <c r="AM449" s="2269"/>
      <c r="AN449" s="2269"/>
      <c r="AO449" s="2264"/>
      <c r="AP449" s="2264"/>
      <c r="AQ449" s="2264"/>
      <c r="AR449" s="2264"/>
      <c r="AS449" s="2264"/>
      <c r="AT449" s="2264"/>
      <c r="AU449" s="2264"/>
      <c r="AV449" s="2264"/>
      <c r="AW449" s="2264"/>
      <c r="AX449" s="2270"/>
      <c r="AY449" s="2271"/>
      <c r="AZ449" s="2271"/>
      <c r="BA449" s="2271"/>
      <c r="BB449" s="2270"/>
      <c r="BC449" s="2271"/>
      <c r="BD449" s="2271"/>
      <c r="BE449" s="2271"/>
      <c r="BF449" s="2270"/>
      <c r="BG449" s="2271"/>
      <c r="BH449" s="2271"/>
      <c r="BI449" s="2271"/>
      <c r="BJ449" s="2272"/>
      <c r="BK449" s="2272"/>
      <c r="BL449" s="2272"/>
      <c r="BM449" s="2272"/>
      <c r="BN449" s="2272"/>
      <c r="BO449" s="2272"/>
      <c r="BP449" s="2272"/>
      <c r="BQ449" s="2272"/>
      <c r="BR449" s="2272"/>
      <c r="BS449" s="2272"/>
      <c r="BT449" s="2273"/>
      <c r="BU449" s="2273"/>
      <c r="BV449" s="2273"/>
      <c r="BW449" s="2273"/>
      <c r="BX449" s="2273"/>
      <c r="BY449" s="2273"/>
      <c r="BZ449" s="2273"/>
      <c r="CA449" s="2273"/>
      <c r="CB449" s="2271"/>
      <c r="CC449" s="2271"/>
      <c r="CD449" s="2271"/>
      <c r="CE449" s="2271"/>
      <c r="CF449" s="2271"/>
      <c r="CG449" s="2271"/>
      <c r="CH449" s="2267"/>
      <c r="CI449" s="2267"/>
      <c r="CJ449" s="2267"/>
      <c r="CK449" s="2267"/>
      <c r="CL449" s="2267"/>
      <c r="CM449" s="2274"/>
      <c r="CN449" s="2268"/>
      <c r="CO449" s="2267"/>
      <c r="CP449" s="2275"/>
      <c r="CQ449" s="2275"/>
      <c r="CR449" s="2268"/>
      <c r="CS449" s="2268"/>
      <c r="CT449" s="2268"/>
      <c r="CU449" s="2268"/>
      <c r="CV449" s="2276"/>
      <c r="CW449" s="2276"/>
      <c r="CX449" s="2276"/>
      <c r="CY449" s="2276"/>
      <c r="CZ449" s="2276"/>
      <c r="DA449" s="2276"/>
    </row>
    <row r="451" spans="1:106" s="2018" customFormat="1" x14ac:dyDescent="0.25">
      <c r="A451" s="2251" t="s">
        <v>3001</v>
      </c>
      <c r="B451" s="2019"/>
      <c r="C451" s="2019"/>
      <c r="D451" s="2019"/>
      <c r="E451" s="2019"/>
      <c r="F451" s="2019"/>
      <c r="G451" s="2019"/>
      <c r="H451" s="2019"/>
      <c r="I451" s="2019"/>
      <c r="J451" s="2020"/>
      <c r="K451" s="2019"/>
      <c r="L451" s="2019"/>
      <c r="M451" s="2019"/>
      <c r="N451" s="2019"/>
      <c r="O451" s="2019"/>
      <c r="P451" s="2019"/>
      <c r="Q451" s="2019"/>
      <c r="R451" s="2019"/>
      <c r="S451" s="2019"/>
      <c r="T451" s="2019"/>
      <c r="U451" s="2019"/>
      <c r="V451" s="2019"/>
      <c r="W451" s="2019"/>
      <c r="X451" s="2020"/>
      <c r="Y451" s="2020"/>
      <c r="Z451" s="2020"/>
      <c r="AA451" s="2020"/>
      <c r="AB451" s="2020"/>
      <c r="AC451" s="2020"/>
      <c r="AD451" s="2020"/>
      <c r="AE451" s="2020"/>
      <c r="AF451" s="2020"/>
      <c r="AG451" s="2020"/>
      <c r="AH451" s="2020"/>
      <c r="AI451" s="2020"/>
      <c r="AJ451" s="2020"/>
      <c r="AK451" s="2020"/>
      <c r="AL451" s="2020"/>
      <c r="AM451" s="2020"/>
      <c r="AN451" s="2020"/>
      <c r="AO451" s="2072">
        <f>SUM(AO452)</f>
        <v>223494.4296</v>
      </c>
      <c r="AP451" s="2072">
        <f t="shared" ref="AP451:AW451" si="244">SUM(AP452)</f>
        <v>223494.4296</v>
      </c>
      <c r="AQ451" s="2072">
        <f t="shared" si="244"/>
        <v>223494.4296</v>
      </c>
      <c r="AR451" s="2072"/>
      <c r="AS451" s="2072">
        <f t="shared" si="244"/>
        <v>223494.4296</v>
      </c>
      <c r="AT451" s="2072">
        <f t="shared" si="244"/>
        <v>0</v>
      </c>
      <c r="AU451" s="2072">
        <f t="shared" si="244"/>
        <v>0</v>
      </c>
      <c r="AV451" s="2072">
        <f t="shared" si="244"/>
        <v>0</v>
      </c>
      <c r="AW451" s="2072">
        <f t="shared" si="244"/>
        <v>0</v>
      </c>
      <c r="BJ451" s="2019">
        <f>SUM(BJ452)</f>
        <v>20000</v>
      </c>
      <c r="BK451" s="2019">
        <f t="shared" ref="BK451:BS451" si="245">SUM(BK452)</f>
        <v>20000</v>
      </c>
      <c r="BL451" s="2019">
        <f t="shared" si="245"/>
        <v>20000</v>
      </c>
      <c r="BM451" s="2019"/>
      <c r="BN451" s="2019">
        <f t="shared" si="245"/>
        <v>20000</v>
      </c>
      <c r="BO451" s="2019">
        <f t="shared" si="245"/>
        <v>0</v>
      </c>
      <c r="BP451" s="2019"/>
      <c r="BQ451" s="2019">
        <f t="shared" si="245"/>
        <v>0</v>
      </c>
      <c r="BR451" s="2019">
        <f t="shared" si="245"/>
        <v>0</v>
      </c>
      <c r="BS451" s="2019">
        <f t="shared" si="245"/>
        <v>0</v>
      </c>
      <c r="BT451" s="2063">
        <v>14064.241624090584</v>
      </c>
      <c r="BU451" s="2063">
        <v>14103.827333071571</v>
      </c>
      <c r="BV451" s="2063">
        <v>14138.708761202863</v>
      </c>
      <c r="BW451" s="2063">
        <v>14142.544141230723</v>
      </c>
      <c r="BX451" s="2019">
        <v>0</v>
      </c>
      <c r="BY451" s="2019">
        <v>0</v>
      </c>
      <c r="BZ451" s="2019">
        <v>0</v>
      </c>
      <c r="CA451" s="2019">
        <v>0</v>
      </c>
      <c r="CB451" s="2019"/>
      <c r="CC451" s="2019"/>
      <c r="CD451" s="2019"/>
      <c r="CE451" s="2019"/>
      <c r="CF451" s="2019"/>
      <c r="CG451" s="2019"/>
      <c r="CH451" s="2076"/>
      <c r="CI451" s="2076"/>
      <c r="CJ451" s="2076"/>
      <c r="CK451" s="2076"/>
      <c r="CL451" s="2076"/>
      <c r="CM451" s="2076"/>
      <c r="CN451" s="2076"/>
      <c r="CO451" s="2076"/>
      <c r="CV451" s="2020"/>
      <c r="CW451" s="2020"/>
      <c r="CX451" s="2020"/>
      <c r="CY451" s="2020"/>
      <c r="CZ451" s="2020"/>
      <c r="DA451" s="2020"/>
    </row>
    <row r="452" spans="1:106" x14ac:dyDescent="0.25">
      <c r="A452" s="2284" t="s">
        <v>271</v>
      </c>
      <c r="B452" s="2022" t="s">
        <v>2987</v>
      </c>
      <c r="C452" s="2023">
        <v>15</v>
      </c>
      <c r="D452" s="2023"/>
      <c r="E452" s="2044">
        <v>620.81786</v>
      </c>
      <c r="F452" s="2024"/>
      <c r="G452" s="2024">
        <v>0</v>
      </c>
      <c r="H452" s="2024"/>
      <c r="I452" s="2023">
        <v>0</v>
      </c>
      <c r="J452" s="2027"/>
      <c r="K452" s="1974" t="s">
        <v>2988</v>
      </c>
      <c r="L452" s="1974" t="s">
        <v>2988</v>
      </c>
      <c r="M452" s="2026">
        <v>0.9</v>
      </c>
      <c r="N452" s="2026">
        <v>0.9</v>
      </c>
      <c r="O452" s="2026">
        <v>0.9</v>
      </c>
      <c r="P452" s="2026">
        <v>0.9</v>
      </c>
      <c r="Q452" s="2027">
        <f>$E452*M452</f>
        <v>558.73607400000003</v>
      </c>
      <c r="R452" s="2027">
        <f>$E452*N452</f>
        <v>558.73607400000003</v>
      </c>
      <c r="S452" s="2027">
        <f>$E452*O452</f>
        <v>558.73607400000003</v>
      </c>
      <c r="T452" s="2027">
        <f>$E452*P452</f>
        <v>558.73607400000003</v>
      </c>
      <c r="U452" s="2026">
        <v>0.9</v>
      </c>
      <c r="V452" s="2026">
        <v>0.9</v>
      </c>
      <c r="W452" s="2026">
        <v>0.9</v>
      </c>
      <c r="X452" s="2026">
        <v>0.9</v>
      </c>
      <c r="Y452" s="2028">
        <f>$G452*U452</f>
        <v>0</v>
      </c>
      <c r="Z452" s="2028">
        <f>$G452*V452</f>
        <v>0</v>
      </c>
      <c r="AA452" s="2028">
        <f>$G452*W452</f>
        <v>0</v>
      </c>
      <c r="AB452" s="2028">
        <f>$G452*X452</f>
        <v>0</v>
      </c>
      <c r="AC452" s="2026">
        <v>0.9</v>
      </c>
      <c r="AD452" s="2026">
        <v>0.9</v>
      </c>
      <c r="AE452" s="2026">
        <v>0.9</v>
      </c>
      <c r="AF452" s="2026">
        <v>0.9</v>
      </c>
      <c r="AG452" s="2027">
        <f>$I452*AC452</f>
        <v>0</v>
      </c>
      <c r="AH452" s="2027">
        <f>$I452*AD452</f>
        <v>0</v>
      </c>
      <c r="AI452" s="2027"/>
      <c r="AJ452" s="2027">
        <f>$I452*AF452</f>
        <v>0</v>
      </c>
      <c r="AK452" s="2027">
        <v>400</v>
      </c>
      <c r="AL452" s="2027">
        <v>400</v>
      </c>
      <c r="AM452" s="2027">
        <v>400</v>
      </c>
      <c r="AN452" s="2027">
        <v>400</v>
      </c>
      <c r="AO452" s="2027">
        <f>AK452*Q452</f>
        <v>223494.4296</v>
      </c>
      <c r="AP452" s="2027">
        <f>AL452*R452</f>
        <v>223494.4296</v>
      </c>
      <c r="AQ452" s="2027">
        <f>AM452*S452</f>
        <v>223494.4296</v>
      </c>
      <c r="AR452" s="2027"/>
      <c r="AS452" s="2027">
        <f>AN452*T452</f>
        <v>223494.4296</v>
      </c>
      <c r="AT452" s="2027">
        <f>AK452*AG452</f>
        <v>0</v>
      </c>
      <c r="AU452" s="2027">
        <f>AL452*AH452</f>
        <v>0</v>
      </c>
      <c r="AV452" s="2027">
        <f>AM452*AI452</f>
        <v>0</v>
      </c>
      <c r="AW452" s="2027">
        <f>AN452*AJ452</f>
        <v>0</v>
      </c>
      <c r="AX452" s="2046">
        <v>50</v>
      </c>
      <c r="AY452" s="2046">
        <v>50</v>
      </c>
      <c r="AZ452" s="2046">
        <v>50</v>
      </c>
      <c r="BA452" s="2046">
        <v>50</v>
      </c>
      <c r="BB452" s="1974"/>
      <c r="BC452" s="2029">
        <v>0</v>
      </c>
      <c r="BD452" s="2029">
        <v>0</v>
      </c>
      <c r="BE452" s="2029">
        <v>0</v>
      </c>
      <c r="BF452" s="2029">
        <v>841.24</v>
      </c>
      <c r="BG452" s="2029">
        <v>841.24</v>
      </c>
      <c r="BH452" s="2029">
        <v>841.24</v>
      </c>
      <c r="BI452" s="2029">
        <v>841.24</v>
      </c>
      <c r="BJ452" s="2030">
        <f>AX452*AK452</f>
        <v>20000</v>
      </c>
      <c r="BK452" s="2030">
        <f>AY452*AL452</f>
        <v>20000</v>
      </c>
      <c r="BL452" s="2030">
        <f>AZ452*AM452</f>
        <v>20000</v>
      </c>
      <c r="BM452" s="2030"/>
      <c r="BN452" s="2030">
        <f>BA452*AN452</f>
        <v>20000</v>
      </c>
      <c r="BO452" s="2030">
        <f>BB452*AK452</f>
        <v>0</v>
      </c>
      <c r="BP452" s="2030"/>
      <c r="BQ452" s="2030">
        <f>BC452*AL452</f>
        <v>0</v>
      </c>
      <c r="BR452" s="2030">
        <f>BD452*AM452</f>
        <v>0</v>
      </c>
      <c r="BS452" s="2030">
        <f>BE452*AN452</f>
        <v>0</v>
      </c>
      <c r="BT452" s="2063">
        <v>14064.241624090584</v>
      </c>
      <c r="BU452" s="2063">
        <v>14103.827333071571</v>
      </c>
      <c r="BV452" s="2063">
        <v>14138.708761202863</v>
      </c>
      <c r="BW452" s="2063">
        <v>14142.544141230723</v>
      </c>
      <c r="BX452" s="2031">
        <v>0</v>
      </c>
      <c r="BY452" s="2031">
        <v>0</v>
      </c>
      <c r="BZ452" s="2031">
        <v>0</v>
      </c>
      <c r="CA452" s="2031">
        <v>0</v>
      </c>
      <c r="CB452" s="2029"/>
      <c r="CC452" s="2029"/>
      <c r="CD452" s="2029"/>
      <c r="CE452" s="2029"/>
      <c r="CF452" s="2029"/>
      <c r="CG452" s="2032"/>
      <c r="CH452" s="2170">
        <v>0</v>
      </c>
      <c r="CI452" s="2170">
        <v>0</v>
      </c>
      <c r="CJ452" s="2170">
        <v>0</v>
      </c>
      <c r="CK452" s="2170">
        <v>0</v>
      </c>
      <c r="CL452" s="2170">
        <v>1</v>
      </c>
      <c r="CM452" s="2033">
        <v>4.5992508771792928E-3</v>
      </c>
      <c r="CN452" s="2026">
        <v>0</v>
      </c>
      <c r="CO452" s="1974">
        <v>1</v>
      </c>
      <c r="CP452" s="2040">
        <v>-16.835977777777774</v>
      </c>
      <c r="CQ452" s="2040">
        <f>CP452*(-1)</f>
        <v>16.835977777777774</v>
      </c>
      <c r="CR452" s="2062">
        <v>1</v>
      </c>
      <c r="CS452" s="2062">
        <v>1</v>
      </c>
      <c r="CT452" s="2062">
        <v>1</v>
      </c>
      <c r="CU452" s="2062">
        <v>1</v>
      </c>
      <c r="CV452" s="2036"/>
      <c r="CW452" s="2036"/>
      <c r="CX452" s="2036"/>
      <c r="CY452" s="2036"/>
      <c r="CZ452" s="2036"/>
      <c r="DA452" s="2036"/>
      <c r="DB452" s="1973">
        <v>1</v>
      </c>
    </row>
    <row r="457" spans="1:106" x14ac:dyDescent="0.25">
      <c r="AZ457" s="2040">
        <f>AM444*AZ444</f>
        <v>42374.040902987246</v>
      </c>
      <c r="BA457" s="1973">
        <f>13541*3.13</f>
        <v>42383.33</v>
      </c>
    </row>
  </sheetData>
  <mergeCells count="20">
    <mergeCell ref="BF2:BI2"/>
    <mergeCell ref="M2:P2"/>
    <mergeCell ref="Q2:T2"/>
    <mergeCell ref="U2:X2"/>
    <mergeCell ref="Y2:AB2"/>
    <mergeCell ref="AC2:AF2"/>
    <mergeCell ref="AG2:AJ2"/>
    <mergeCell ref="AK2:AN2"/>
    <mergeCell ref="AO2:AS2"/>
    <mergeCell ref="AT2:AW2"/>
    <mergeCell ref="AX2:BA2"/>
    <mergeCell ref="BB2:BE2"/>
    <mergeCell ref="CV2:CX2"/>
    <mergeCell ref="CY2:DA2"/>
    <mergeCell ref="BJ2:BN2"/>
    <mergeCell ref="BO2:BS2"/>
    <mergeCell ref="BT2:BW2"/>
    <mergeCell ref="BX2:CA2"/>
    <mergeCell ref="CB2:CD2"/>
    <mergeCell ref="CE2:CG2"/>
  </mergeCells>
  <conditionalFormatting sqref="N1:P1 AL1:AN1 AK1:AK2 AO1:AO2 AU1:AW1 AT1:AT2 Q1:AG2 AO174:AO194 I199 L1:M2 I217:I224 I79:I94 M79:N94 AO79:AO81 I37:I75 I165:I182 I322 I247:I249 K246:L246 M7:N21 I209:I215 M23:N75 AO7:AO21 AT7:AT21 AO23:AO75 AP7:AP92 AT196:AT198 AT174:AT194 AT23:AT75 M96:N198 P7:R21 O7:O198 M6:R6 AO196:AO198 AW7:AW203 I453:I1048576 I157:I163 K157:K198 K79:K94 K96:K155 K23:K75 L3:L5 K1:K21 AH1:AJ1 J1 S6:AJ21 K199:AJ205 K453:AJ1048576 M4:AW5 K208:AJ215 M216:AJ216 P22:AJ198 AG225:AJ246 AG3:AJ3 AG207:AJ207 M206:AJ206 M452:AJ452 I1:I6 I11 I16:I19 I21 I26:I29 I31:I35 I96:I117 I119:I155 AJ323:AN323 M324:AJ442 J3:J250 J255 J260:J263 J265:J266 J270:J272 J274:J313 J321:J324 J329 J334:J337 J339:J340 J343:J344 J346:J442 J449:J1048576 AP99:AP134 AP136:AP198 M317:AK320 M443:AK445 M446:AJ447 M448:AK448 AU199:AV204 AU205:AW210 AU7:AV75 AS7:AS198 AS199:AT210 AQ7:AR210 AT79:AV81 AT93:AV94 AT96:AV98 AO93:AP98 AO135:AP135 AK209:AP210 AO199:AP208 M321:AM321 AP225:AR246 AP1:AS1 AO6:AW6 K247:AW249 AK211:AW215 K450:AW450 AK452:AW1048576 AJ451:AW451 K322:AW322 M449:AW449 AO3:AW3 K217:AW224 AO216:AW216 AO323:AW448 AO250:AW321 M250:AJ316 AW204:BS204 AX199:BS199 BJ5:BS5 BJ249:BS249 BJ3:BN3 BJ451:BS451 BJ323:BS323">
    <cfRule type="cellIs" dxfId="178" priority="179" operator="lessThan">
      <formula>0</formula>
    </cfRule>
  </conditionalFormatting>
  <conditionalFormatting sqref="M3:P3">
    <cfRule type="cellIs" dxfId="177" priority="178" operator="lessThan">
      <formula>0</formula>
    </cfRule>
  </conditionalFormatting>
  <conditionalFormatting sqref="AO82:AO92 AT82:AT92">
    <cfRule type="cellIs" dxfId="176" priority="177" operator="lessThan">
      <formula>0</formula>
    </cfRule>
  </conditionalFormatting>
  <conditionalFormatting sqref="AO99:AO134 AO136:AO173 AT99:AT173 AU135:AV135">
    <cfRule type="cellIs" dxfId="175" priority="176" operator="lessThan">
      <formula>0</formula>
    </cfRule>
  </conditionalFormatting>
  <conditionalFormatting sqref="I183:I198">
    <cfRule type="cellIs" dxfId="174" priority="175" operator="lessThan">
      <formula>0</formula>
    </cfRule>
  </conditionalFormatting>
  <conditionalFormatting sqref="L6:L21 L96:L155 L23:L75 L79:L94 L157:L198">
    <cfRule type="cellIs" dxfId="173" priority="174" operator="lessThan">
      <formula>0</formula>
    </cfRule>
  </conditionalFormatting>
  <conditionalFormatting sqref="I78 M78:N78 AO78 K78 AT78:AV78">
    <cfRule type="cellIs" dxfId="172" priority="156" operator="lessThan">
      <formula>0</formula>
    </cfRule>
  </conditionalFormatting>
  <conditionalFormatting sqref="I95 M95:N95 K95 AT95:AV95">
    <cfRule type="cellIs" dxfId="171" priority="173" operator="lessThan">
      <formula>0</formula>
    </cfRule>
  </conditionalFormatting>
  <conditionalFormatting sqref="L95">
    <cfRule type="cellIs" dxfId="170" priority="172" operator="lessThan">
      <formula>0</formula>
    </cfRule>
  </conditionalFormatting>
  <conditionalFormatting sqref="I216">
    <cfRule type="cellIs" dxfId="169" priority="171" operator="lessThan">
      <formula>0</formula>
    </cfRule>
  </conditionalFormatting>
  <conditionalFormatting sqref="I225 M225:AF225 K225">
    <cfRule type="cellIs" dxfId="168" priority="170" operator="lessThan">
      <formula>0</formula>
    </cfRule>
  </conditionalFormatting>
  <conditionalFormatting sqref="L225">
    <cfRule type="cellIs" dxfId="167" priority="169" operator="lessThan">
      <formula>0</formula>
    </cfRule>
  </conditionalFormatting>
  <conditionalFormatting sqref="I226 M226:AF226 K226">
    <cfRule type="cellIs" dxfId="166" priority="168" operator="lessThan">
      <formula>0</formula>
    </cfRule>
  </conditionalFormatting>
  <conditionalFormatting sqref="L226">
    <cfRule type="cellIs" dxfId="165" priority="167" operator="lessThan">
      <formula>0</formula>
    </cfRule>
  </conditionalFormatting>
  <conditionalFormatting sqref="I22 M22:N22 AO22 AT22 K22">
    <cfRule type="cellIs" dxfId="164" priority="166" operator="lessThan">
      <formula>0</formula>
    </cfRule>
  </conditionalFormatting>
  <conditionalFormatting sqref="L22">
    <cfRule type="cellIs" dxfId="163" priority="165" operator="lessThan">
      <formula>0</formula>
    </cfRule>
  </conditionalFormatting>
  <conditionalFormatting sqref="M228:P246 Q228:X245 Y228:AB244 M227:AF227 AC228:AF245 I227:I228 K227 I230:I244">
    <cfRule type="cellIs" dxfId="162" priority="164" operator="lessThan">
      <formula>0</formula>
    </cfRule>
  </conditionalFormatting>
  <conditionalFormatting sqref="L227">
    <cfRule type="cellIs" dxfId="161" priority="163" operator="lessThan">
      <formula>0</formula>
    </cfRule>
  </conditionalFormatting>
  <conditionalFormatting sqref="CB199:CG199">
    <cfRule type="cellIs" dxfId="160" priority="162" operator="lessThan">
      <formula>0</formula>
    </cfRule>
  </conditionalFormatting>
  <conditionalFormatting sqref="CB204:CG204">
    <cfRule type="cellIs" dxfId="159" priority="161" operator="lessThan">
      <formula>0</formula>
    </cfRule>
  </conditionalFormatting>
  <conditionalFormatting sqref="I76 M76:N76 AO76 K76 AT76:AV76">
    <cfRule type="cellIs" dxfId="158" priority="160" operator="lessThan">
      <formula>0</formula>
    </cfRule>
  </conditionalFormatting>
  <conditionalFormatting sqref="L76">
    <cfRule type="cellIs" dxfId="157" priority="159" operator="lessThan">
      <formula>0</formula>
    </cfRule>
  </conditionalFormatting>
  <conditionalFormatting sqref="I77 M77:N77 AO77 K77 AT77:AV77">
    <cfRule type="cellIs" dxfId="156" priority="158" operator="lessThan">
      <formula>0</formula>
    </cfRule>
  </conditionalFormatting>
  <conditionalFormatting sqref="L77">
    <cfRule type="cellIs" dxfId="155" priority="157" operator="lessThan">
      <formula>0</formula>
    </cfRule>
  </conditionalFormatting>
  <conditionalFormatting sqref="L78">
    <cfRule type="cellIs" dxfId="154" priority="155" operator="lessThan">
      <formula>0</formula>
    </cfRule>
  </conditionalFormatting>
  <conditionalFormatting sqref="I36">
    <cfRule type="cellIs" dxfId="153" priority="154" operator="lessThan">
      <formula>0</formula>
    </cfRule>
  </conditionalFormatting>
  <conditionalFormatting sqref="I245:I246 Q246:AF246 Y245:AB245 K245">
    <cfRule type="cellIs" dxfId="152" priority="153" operator="lessThan">
      <formula>0</formula>
    </cfRule>
  </conditionalFormatting>
  <conditionalFormatting sqref="L245">
    <cfRule type="cellIs" dxfId="151" priority="152" operator="lessThan">
      <formula>0</formula>
    </cfRule>
  </conditionalFormatting>
  <conditionalFormatting sqref="AT225:AT246">
    <cfRule type="cellIs" dxfId="150" priority="151" operator="lessThan">
      <formula>0</formula>
    </cfRule>
  </conditionalFormatting>
  <conditionalFormatting sqref="I164">
    <cfRule type="cellIs" dxfId="149" priority="150" operator="lessThan">
      <formula>0</formula>
    </cfRule>
  </conditionalFormatting>
  <conditionalFormatting sqref="CB5:CG5">
    <cfRule type="cellIs" dxfId="148" priority="149" operator="lessThan">
      <formula>0</formula>
    </cfRule>
  </conditionalFormatting>
  <conditionalFormatting sqref="CM6:CM194 CM196:CM204 CM208:CM248 CM250:CM313 CM324:CM442 CM321 CM449">
    <cfRule type="cellIs" dxfId="147" priority="148" operator="greaterThan">
      <formula>0.005</formula>
    </cfRule>
  </conditionalFormatting>
  <conditionalFormatting sqref="CN6:CN194 CN196:CN204 CN208:CN248 CN250:CN295 CN324:CN442 CN321 CN449 CN297:CN313">
    <cfRule type="cellIs" dxfId="146" priority="145" operator="greaterThan">
      <formula>0.005</formula>
    </cfRule>
    <cfRule type="cellIs" dxfId="145" priority="146" operator="greaterThan">
      <formula>0.5</formula>
    </cfRule>
    <cfRule type="cellIs" dxfId="144" priority="147" operator="greaterThan">
      <formula>0.5</formula>
    </cfRule>
  </conditionalFormatting>
  <conditionalFormatting sqref="CV5:DA5">
    <cfRule type="cellIs" dxfId="143" priority="144" operator="lessThan">
      <formula>0</formula>
    </cfRule>
  </conditionalFormatting>
  <conditionalFormatting sqref="CV199:DA199">
    <cfRule type="cellIs" dxfId="142" priority="143" operator="lessThan">
      <formula>0</formula>
    </cfRule>
  </conditionalFormatting>
  <conditionalFormatting sqref="CV204:DA204">
    <cfRule type="cellIs" dxfId="141" priority="142" operator="lessThan">
      <formula>0</formula>
    </cfRule>
  </conditionalFormatting>
  <conditionalFormatting sqref="CB249:CG249">
    <cfRule type="cellIs" dxfId="140" priority="141" operator="lessThan">
      <formula>0</formula>
    </cfRule>
  </conditionalFormatting>
  <conditionalFormatting sqref="CV249:DA249">
    <cfRule type="cellIs" dxfId="139" priority="140" operator="lessThan">
      <formula>0</formula>
    </cfRule>
  </conditionalFormatting>
  <conditionalFormatting sqref="AK246:AN246">
    <cfRule type="cellIs" dxfId="138" priority="139" operator="lessThan">
      <formula>0</formula>
    </cfRule>
  </conditionalFormatting>
  <conditionalFormatting sqref="CM205:CM207">
    <cfRule type="cellIs" dxfId="137" priority="138" operator="greaterThan">
      <formula>0.005</formula>
    </cfRule>
  </conditionalFormatting>
  <conditionalFormatting sqref="CN205:CN207">
    <cfRule type="cellIs" dxfId="136" priority="135" operator="greaterThan">
      <formula>0.005</formula>
    </cfRule>
    <cfRule type="cellIs" dxfId="135" priority="136" operator="greaterThan">
      <formula>0.5</formula>
    </cfRule>
    <cfRule type="cellIs" dxfId="134" priority="137" operator="greaterThan">
      <formula>0.5</formula>
    </cfRule>
  </conditionalFormatting>
  <conditionalFormatting sqref="AO195 AT195">
    <cfRule type="cellIs" dxfId="133" priority="134" operator="lessThan">
      <formula>0</formula>
    </cfRule>
  </conditionalFormatting>
  <conditionalFormatting sqref="CM195">
    <cfRule type="cellIs" dxfId="132" priority="133" operator="greaterThan">
      <formula>0.005</formula>
    </cfRule>
  </conditionalFormatting>
  <conditionalFormatting sqref="CN195">
    <cfRule type="cellIs" dxfId="131" priority="130" operator="greaterThan">
      <formula>0.005</formula>
    </cfRule>
    <cfRule type="cellIs" dxfId="130" priority="131" operator="greaterThan">
      <formula>0.5</formula>
    </cfRule>
    <cfRule type="cellIs" dxfId="129" priority="132" operator="greaterThan">
      <formula>0.5</formula>
    </cfRule>
  </conditionalFormatting>
  <conditionalFormatting sqref="BF3:BI3">
    <cfRule type="cellIs" dxfId="128" priority="118" operator="lessThan">
      <formula>0</formula>
    </cfRule>
  </conditionalFormatting>
  <conditionalFormatting sqref="AU82:AV92">
    <cfRule type="cellIs" dxfId="127" priority="129" operator="lessThan">
      <formula>0</formula>
    </cfRule>
  </conditionalFormatting>
  <conditionalFormatting sqref="AU99:AV134">
    <cfRule type="cellIs" dxfId="126" priority="128" operator="lessThan">
      <formula>0</formula>
    </cfRule>
  </conditionalFormatting>
  <conditionalFormatting sqref="AU136:AV198">
    <cfRule type="cellIs" dxfId="125" priority="127" operator="lessThan">
      <formula>0</formula>
    </cfRule>
  </conditionalFormatting>
  <conditionalFormatting sqref="AU225:AV246">
    <cfRule type="cellIs" dxfId="124" priority="126" operator="lessThan">
      <formula>0</formula>
    </cfRule>
  </conditionalFormatting>
  <conditionalFormatting sqref="Q3:T3">
    <cfRule type="cellIs" dxfId="123" priority="125" operator="lessThan">
      <formula>0</formula>
    </cfRule>
  </conditionalFormatting>
  <conditionalFormatting sqref="U3:X3">
    <cfRule type="cellIs" dxfId="122" priority="124" operator="lessThan">
      <formula>0</formula>
    </cfRule>
  </conditionalFormatting>
  <conditionalFormatting sqref="Y3:AB3">
    <cfRule type="cellIs" dxfId="121" priority="123" operator="lessThan">
      <formula>0</formula>
    </cfRule>
  </conditionalFormatting>
  <conditionalFormatting sqref="AC3:AF3">
    <cfRule type="cellIs" dxfId="120" priority="122" operator="lessThan">
      <formula>0</formula>
    </cfRule>
  </conditionalFormatting>
  <conditionalFormatting sqref="AK3:AN3">
    <cfRule type="cellIs" dxfId="119" priority="121" operator="lessThan">
      <formula>0</formula>
    </cfRule>
  </conditionalFormatting>
  <conditionalFormatting sqref="AX3:BA3">
    <cfRule type="cellIs" dxfId="118" priority="120" operator="lessThan">
      <formula>0</formula>
    </cfRule>
  </conditionalFormatting>
  <conditionalFormatting sqref="BB3:BE3">
    <cfRule type="cellIs" dxfId="117" priority="119" operator="lessThan">
      <formula>0</formula>
    </cfRule>
  </conditionalFormatting>
  <conditionalFormatting sqref="BO3:BS3">
    <cfRule type="cellIs" dxfId="116" priority="117" operator="lessThan">
      <formula>0</formula>
    </cfRule>
  </conditionalFormatting>
  <conditionalFormatting sqref="BT3:BW3">
    <cfRule type="cellIs" dxfId="115" priority="116" operator="lessThan">
      <formula>0</formula>
    </cfRule>
  </conditionalFormatting>
  <conditionalFormatting sqref="BX3:CA3">
    <cfRule type="cellIs" dxfId="114" priority="115" operator="lessThan">
      <formula>0</formula>
    </cfRule>
  </conditionalFormatting>
  <conditionalFormatting sqref="AS225:AS246">
    <cfRule type="cellIs" dxfId="113" priority="114" operator="lessThan">
      <formula>0</formula>
    </cfRule>
  </conditionalFormatting>
  <conditionalFormatting sqref="AO225:AO246">
    <cfRule type="cellIs" dxfId="112" priority="113" operator="lessThan">
      <formula>0</formula>
    </cfRule>
  </conditionalFormatting>
  <conditionalFormatting sqref="AW225:AW246">
    <cfRule type="cellIs" dxfId="111" priority="112" operator="lessThan">
      <formula>0</formula>
    </cfRule>
  </conditionalFormatting>
  <conditionalFormatting sqref="K228">
    <cfRule type="cellIs" dxfId="110" priority="111" operator="lessThan">
      <formula>0</formula>
    </cfRule>
  </conditionalFormatting>
  <conditionalFormatting sqref="L228">
    <cfRule type="cellIs" dxfId="109" priority="110" operator="lessThan">
      <formula>0</formula>
    </cfRule>
  </conditionalFormatting>
  <conditionalFormatting sqref="K230:K244">
    <cfRule type="cellIs" dxfId="108" priority="109" operator="lessThan">
      <formula>0</formula>
    </cfRule>
  </conditionalFormatting>
  <conditionalFormatting sqref="L230:L244">
    <cfRule type="cellIs" dxfId="107" priority="108" operator="lessThan">
      <formula>0</formula>
    </cfRule>
  </conditionalFormatting>
  <conditionalFormatting sqref="B323:I323 K323:Q323">
    <cfRule type="cellIs" dxfId="106" priority="107" operator="lessThan">
      <formula>0</formula>
    </cfRule>
  </conditionalFormatting>
  <conditionalFormatting sqref="R323:W323">
    <cfRule type="cellIs" dxfId="105" priority="106" operator="lessThan">
      <formula>0</formula>
    </cfRule>
  </conditionalFormatting>
  <conditionalFormatting sqref="X323:AI323">
    <cfRule type="cellIs" dxfId="104" priority="105" operator="lessThan">
      <formula>0</formula>
    </cfRule>
  </conditionalFormatting>
  <conditionalFormatting sqref="I450">
    <cfRule type="cellIs" dxfId="103" priority="104" operator="lessThan">
      <formula>0</formula>
    </cfRule>
  </conditionalFormatting>
  <conditionalFormatting sqref="CB323:CG323">
    <cfRule type="cellIs" dxfId="102" priority="103" operator="lessThan">
      <formula>0</formula>
    </cfRule>
  </conditionalFormatting>
  <conditionalFormatting sqref="CV323:DA323">
    <cfRule type="cellIs" dxfId="101" priority="102" operator="lessThan">
      <formula>0</formula>
    </cfRule>
  </conditionalFormatting>
  <conditionalFormatting sqref="R451:W451">
    <cfRule type="cellIs" dxfId="100" priority="92" operator="lessThan">
      <formula>0</formula>
    </cfRule>
  </conditionalFormatting>
  <conditionalFormatting sqref="I156 K156">
    <cfRule type="cellIs" dxfId="99" priority="101" operator="lessThan">
      <formula>0</formula>
    </cfRule>
  </conditionalFormatting>
  <conditionalFormatting sqref="L156">
    <cfRule type="cellIs" dxfId="98" priority="100" operator="lessThan">
      <formula>0</formula>
    </cfRule>
  </conditionalFormatting>
  <conditionalFormatting sqref="M207:AF207">
    <cfRule type="cellIs" dxfId="97" priority="99" operator="lessThan">
      <formula>0</formula>
    </cfRule>
  </conditionalFormatting>
  <conditionalFormatting sqref="CV451:DA451">
    <cfRule type="cellIs" dxfId="96" priority="88" operator="lessThan">
      <formula>0</formula>
    </cfRule>
  </conditionalFormatting>
  <conditionalFormatting sqref="BX451:CA451">
    <cfRule type="cellIs" dxfId="95" priority="90" operator="lessThan">
      <formula>0</formula>
    </cfRule>
  </conditionalFormatting>
  <conditionalFormatting sqref="CB451:CG451">
    <cfRule type="cellIs" dxfId="94" priority="89" operator="lessThan">
      <formula>0</formula>
    </cfRule>
  </conditionalFormatting>
  <conditionalFormatting sqref="I452">
    <cfRule type="cellIs" dxfId="93" priority="98" operator="lessThan">
      <formula>0</formula>
    </cfRule>
  </conditionalFormatting>
  <conditionalFormatting sqref="CM452">
    <cfRule type="cellIs" dxfId="92" priority="97" operator="greaterThan">
      <formula>0.005</formula>
    </cfRule>
  </conditionalFormatting>
  <conditionalFormatting sqref="CN452">
    <cfRule type="cellIs" dxfId="91" priority="94" operator="greaterThan">
      <formula>0.005</formula>
    </cfRule>
    <cfRule type="cellIs" dxfId="90" priority="95" operator="greaterThan">
      <formula>0.5</formula>
    </cfRule>
    <cfRule type="cellIs" dxfId="89" priority="96" operator="greaterThan">
      <formula>0.5</formula>
    </cfRule>
  </conditionalFormatting>
  <conditionalFormatting sqref="B451:I451 K451:Q451">
    <cfRule type="cellIs" dxfId="88" priority="93" operator="lessThan">
      <formula>0</formula>
    </cfRule>
  </conditionalFormatting>
  <conditionalFormatting sqref="X451:AI451">
    <cfRule type="cellIs" dxfId="87" priority="91" operator="lessThan">
      <formula>0</formula>
    </cfRule>
  </conditionalFormatting>
  <conditionalFormatting sqref="J2">
    <cfRule type="cellIs" dxfId="86" priority="87" operator="lessThan">
      <formula>0</formula>
    </cfRule>
  </conditionalFormatting>
  <conditionalFormatting sqref="CM314:CM316">
    <cfRule type="cellIs" dxfId="85" priority="86" operator="greaterThan">
      <formula>0.005</formula>
    </cfRule>
  </conditionalFormatting>
  <conditionalFormatting sqref="CN314:CN316">
    <cfRule type="cellIs" dxfId="84" priority="83" operator="greaterThan">
      <formula>0.005</formula>
    </cfRule>
    <cfRule type="cellIs" dxfId="83" priority="84" operator="greaterThan">
      <formula>0.5</formula>
    </cfRule>
    <cfRule type="cellIs" dxfId="82" priority="85" operator="greaterThan">
      <formula>0.5</formula>
    </cfRule>
  </conditionalFormatting>
  <conditionalFormatting sqref="CM317">
    <cfRule type="cellIs" dxfId="81" priority="82" operator="greaterThan">
      <formula>0.005</formula>
    </cfRule>
  </conditionalFormatting>
  <conditionalFormatting sqref="CN317">
    <cfRule type="cellIs" dxfId="80" priority="79" operator="greaterThan">
      <formula>0.005</formula>
    </cfRule>
    <cfRule type="cellIs" dxfId="79" priority="80" operator="greaterThan">
      <formula>0.5</formula>
    </cfRule>
    <cfRule type="cellIs" dxfId="78" priority="81" operator="greaterThan">
      <formula>0.5</formula>
    </cfRule>
  </conditionalFormatting>
  <conditionalFormatting sqref="CM318">
    <cfRule type="cellIs" dxfId="77" priority="78" operator="greaterThan">
      <formula>0.005</formula>
    </cfRule>
  </conditionalFormatting>
  <conditionalFormatting sqref="CN318">
    <cfRule type="cellIs" dxfId="76" priority="75" operator="greaterThan">
      <formula>0.005</formula>
    </cfRule>
    <cfRule type="cellIs" dxfId="75" priority="76" operator="greaterThan">
      <formula>0.5</formula>
    </cfRule>
    <cfRule type="cellIs" dxfId="74" priority="77" operator="greaterThan">
      <formula>0.5</formula>
    </cfRule>
  </conditionalFormatting>
  <conditionalFormatting sqref="CM319">
    <cfRule type="cellIs" dxfId="73" priority="74" operator="greaterThan">
      <formula>0.005</formula>
    </cfRule>
  </conditionalFormatting>
  <conditionalFormatting sqref="CN319">
    <cfRule type="cellIs" dxfId="72" priority="71" operator="greaterThan">
      <formula>0.005</formula>
    </cfRule>
    <cfRule type="cellIs" dxfId="71" priority="72" operator="greaterThan">
      <formula>0.5</formula>
    </cfRule>
    <cfRule type="cellIs" dxfId="70" priority="73" operator="greaterThan">
      <formula>0.5</formula>
    </cfRule>
  </conditionalFormatting>
  <conditionalFormatting sqref="CM320">
    <cfRule type="cellIs" dxfId="69" priority="70" operator="greaterThan">
      <formula>0.005</formula>
    </cfRule>
  </conditionalFormatting>
  <conditionalFormatting sqref="CN320">
    <cfRule type="cellIs" dxfId="68" priority="67" operator="greaterThan">
      <formula>0.005</formula>
    </cfRule>
    <cfRule type="cellIs" dxfId="67" priority="68" operator="greaterThan">
      <formula>0.5</formula>
    </cfRule>
    <cfRule type="cellIs" dxfId="66" priority="69" operator="greaterThan">
      <formula>0.5</formula>
    </cfRule>
  </conditionalFormatting>
  <conditionalFormatting sqref="CM448">
    <cfRule type="cellIs" dxfId="65" priority="58" operator="greaterThan">
      <formula>0.005</formula>
    </cfRule>
  </conditionalFormatting>
  <conditionalFormatting sqref="CN448">
    <cfRule type="cellIs" dxfId="64" priority="55" operator="greaterThan">
      <formula>0.005</formula>
    </cfRule>
    <cfRule type="cellIs" dxfId="63" priority="56" operator="greaterThan">
      <formula>0.5</formula>
    </cfRule>
    <cfRule type="cellIs" dxfId="62" priority="57" operator="greaterThan">
      <formula>0.5</formula>
    </cfRule>
  </conditionalFormatting>
  <conditionalFormatting sqref="CM443:CM445">
    <cfRule type="cellIs" dxfId="61" priority="66" operator="greaterThan">
      <formula>0.005</formula>
    </cfRule>
  </conditionalFormatting>
  <conditionalFormatting sqref="CN443:CN445">
    <cfRule type="cellIs" dxfId="60" priority="63" operator="greaterThan">
      <formula>0.005</formula>
    </cfRule>
    <cfRule type="cellIs" dxfId="59" priority="64" operator="greaterThan">
      <formula>0.5</formula>
    </cfRule>
    <cfRule type="cellIs" dxfId="58" priority="65" operator="greaterThan">
      <formula>0.5</formula>
    </cfRule>
  </conditionalFormatting>
  <conditionalFormatting sqref="CM446:CM447">
    <cfRule type="cellIs" dxfId="57" priority="62" operator="greaterThan">
      <formula>0.005</formula>
    </cfRule>
  </conditionalFormatting>
  <conditionalFormatting sqref="CN446:CN447">
    <cfRule type="cellIs" dxfId="56" priority="59" operator="greaterThan">
      <formula>0.005</formula>
    </cfRule>
    <cfRule type="cellIs" dxfId="55" priority="60" operator="greaterThan">
      <formula>0.5</formula>
    </cfRule>
    <cfRule type="cellIs" dxfId="54" priority="61" operator="greaterThan">
      <formula>0.5</formula>
    </cfRule>
  </conditionalFormatting>
  <conditionalFormatting sqref="AK250:AN313">
    <cfRule type="cellIs" dxfId="53" priority="54" operator="lessThan">
      <formula>0</formula>
    </cfRule>
  </conditionalFormatting>
  <conditionalFormatting sqref="AK314:AK316">
    <cfRule type="cellIs" dxfId="52" priority="53" operator="lessThan">
      <formula>0</formula>
    </cfRule>
  </conditionalFormatting>
  <conditionalFormatting sqref="AK446:AK447">
    <cfRule type="cellIs" dxfId="51" priority="52" operator="lessThan">
      <formula>0</formula>
    </cfRule>
  </conditionalFormatting>
  <conditionalFormatting sqref="I229">
    <cfRule type="cellIs" dxfId="50" priority="51" operator="lessThan">
      <formula>0</formula>
    </cfRule>
  </conditionalFormatting>
  <conditionalFormatting sqref="BT199:CA199 BT204:CA204">
    <cfRule type="cellIs" dxfId="49" priority="46" operator="lessThan">
      <formula>0</formula>
    </cfRule>
  </conditionalFormatting>
  <conditionalFormatting sqref="K229">
    <cfRule type="cellIs" dxfId="48" priority="50" operator="lessThan">
      <formula>0</formula>
    </cfRule>
  </conditionalFormatting>
  <conditionalFormatting sqref="L229">
    <cfRule type="cellIs" dxfId="47" priority="49" operator="lessThan">
      <formula>0</formula>
    </cfRule>
  </conditionalFormatting>
  <conditionalFormatting sqref="I204">
    <cfRule type="cellIs" dxfId="46" priority="48" operator="lessThan">
      <formula>0</formula>
    </cfRule>
  </conditionalFormatting>
  <conditionalFormatting sqref="AK199:AN199 AK204:AN204">
    <cfRule type="cellIs" dxfId="45" priority="47" operator="lessThan">
      <formula>0</formula>
    </cfRule>
  </conditionalFormatting>
  <conditionalFormatting sqref="AK216:AN216">
    <cfRule type="cellIs" dxfId="44" priority="45" operator="lessThan">
      <formula>0</formula>
    </cfRule>
  </conditionalFormatting>
  <conditionalFormatting sqref="AN321">
    <cfRule type="cellIs" dxfId="43" priority="44" operator="lessThan">
      <formula>0</formula>
    </cfRule>
  </conditionalFormatting>
  <conditionalFormatting sqref="AL315:AN316">
    <cfRule type="cellIs" dxfId="42" priority="43" operator="lessThan">
      <formula>0</formula>
    </cfRule>
  </conditionalFormatting>
  <conditionalFormatting sqref="CN296">
    <cfRule type="cellIs" dxfId="41" priority="40" operator="greaterThan">
      <formula>0.005</formula>
    </cfRule>
    <cfRule type="cellIs" dxfId="40" priority="41" operator="greaterThan">
      <formula>0.5</formula>
    </cfRule>
    <cfRule type="cellIs" dxfId="39" priority="42" operator="greaterThan">
      <formula>0.5</formula>
    </cfRule>
  </conditionalFormatting>
  <conditionalFormatting sqref="AL447:AN447">
    <cfRule type="cellIs" dxfId="38" priority="34" operator="lessThan">
      <formula>0</formula>
    </cfRule>
  </conditionalFormatting>
  <conditionalFormatting sqref="AK423:AN442 AK324:AN344 AK346:AN376 AL345:AN345 AK387:AN388 AK398:AN398 AK400:AN403 AK405:AN408 AK411:AN415 AK379:AN384 AK390:AN392">
    <cfRule type="cellIs" dxfId="37" priority="39" operator="lessThan">
      <formula>0</formula>
    </cfRule>
  </conditionalFormatting>
  <conditionalFormatting sqref="AK421:AN422">
    <cfRule type="cellIs" dxfId="36" priority="38" operator="lessThan">
      <formula>0</formula>
    </cfRule>
  </conditionalFormatting>
  <conditionalFormatting sqref="AK420:AN420">
    <cfRule type="cellIs" dxfId="35" priority="37" operator="lessThan">
      <formula>0</formula>
    </cfRule>
  </conditionalFormatting>
  <conditionalFormatting sqref="AL446:AN446">
    <cfRule type="cellIs" dxfId="34" priority="36" operator="lessThan">
      <formula>0</formula>
    </cfRule>
  </conditionalFormatting>
  <conditionalFormatting sqref="AL448:AN448">
    <cfRule type="cellIs" dxfId="33" priority="35" operator="lessThan">
      <formula>0</formula>
    </cfRule>
  </conditionalFormatting>
  <conditionalFormatting sqref="BT5:CA5">
    <cfRule type="cellIs" dxfId="32" priority="33" operator="lessThan">
      <formula>0</formula>
    </cfRule>
  </conditionalFormatting>
  <conditionalFormatting sqref="AL444:AN444">
    <cfRule type="cellIs" dxfId="31" priority="32" operator="lessThan">
      <formula>0</formula>
    </cfRule>
  </conditionalFormatting>
  <conditionalFormatting sqref="AL445:AN445">
    <cfRule type="cellIs" dxfId="30" priority="31" operator="lessThan">
      <formula>0</formula>
    </cfRule>
  </conditionalFormatting>
  <conditionalFormatting sqref="AK6:AN22 AK23:AK25 AK32:AK39 AK138:AN169 AK170 AK40:AN136 AK171:AN174 AK183:AN198 AK175:AK182 AL23:AN23 AK26:AN31">
    <cfRule type="cellIs" dxfId="29" priority="30" operator="lessThan">
      <formula>0</formula>
    </cfRule>
  </conditionalFormatting>
  <conditionalFormatting sqref="AL25:AN25">
    <cfRule type="cellIs" dxfId="28" priority="28" operator="lessThan">
      <formula>0</formula>
    </cfRule>
  </conditionalFormatting>
  <conditionalFormatting sqref="AL32:AN39">
    <cfRule type="cellIs" dxfId="27" priority="27" operator="lessThan">
      <formula>0</formula>
    </cfRule>
  </conditionalFormatting>
  <conditionalFormatting sqref="AK137:AN137">
    <cfRule type="cellIs" dxfId="26" priority="26" operator="lessThan">
      <formula>0</formula>
    </cfRule>
  </conditionalFormatting>
  <conditionalFormatting sqref="AL170:AN170">
    <cfRule type="cellIs" dxfId="25" priority="25" operator="lessThan">
      <formula>0</formula>
    </cfRule>
  </conditionalFormatting>
  <conditionalFormatting sqref="AL24:AN24">
    <cfRule type="cellIs" dxfId="24" priority="29" operator="lessThan">
      <formula>0</formula>
    </cfRule>
  </conditionalFormatting>
  <conditionalFormatting sqref="AL175:AN182">
    <cfRule type="cellIs" dxfId="23" priority="24" operator="lessThan">
      <formula>0</formula>
    </cfRule>
  </conditionalFormatting>
  <conditionalFormatting sqref="AK225:AN245">
    <cfRule type="cellIs" dxfId="22" priority="23" operator="lessThan">
      <formula>0</formula>
    </cfRule>
  </conditionalFormatting>
  <conditionalFormatting sqref="AL314:AN314">
    <cfRule type="cellIs" dxfId="21" priority="22" operator="lessThan">
      <formula>0</formula>
    </cfRule>
  </conditionalFormatting>
  <conditionalFormatting sqref="AL317:AN317">
    <cfRule type="cellIs" dxfId="20" priority="21" operator="lessThan">
      <formula>0</formula>
    </cfRule>
  </conditionalFormatting>
  <conditionalFormatting sqref="AL318:AN318">
    <cfRule type="cellIs" dxfId="19" priority="20" operator="lessThan">
      <formula>0</formula>
    </cfRule>
  </conditionalFormatting>
  <conditionalFormatting sqref="AL319:AN319">
    <cfRule type="cellIs" dxfId="18" priority="19" operator="lessThan">
      <formula>0</formula>
    </cfRule>
  </conditionalFormatting>
  <conditionalFormatting sqref="AL320:AN320">
    <cfRule type="cellIs" dxfId="17" priority="18" operator="lessThan">
      <formula>0</formula>
    </cfRule>
  </conditionalFormatting>
  <conditionalFormatting sqref="AL443:AN443">
    <cfRule type="cellIs" dxfId="16" priority="17" operator="lessThan">
      <formula>0</formula>
    </cfRule>
  </conditionalFormatting>
  <conditionalFormatting sqref="AK399:AN399">
    <cfRule type="cellIs" dxfId="15" priority="9" operator="lessThan">
      <formula>0</formula>
    </cfRule>
  </conditionalFormatting>
  <conditionalFormatting sqref="AK345">
    <cfRule type="cellIs" dxfId="14" priority="14" operator="lessThan">
      <formula>0</formula>
    </cfRule>
  </conditionalFormatting>
  <conditionalFormatting sqref="AK385:AN385">
    <cfRule type="cellIs" dxfId="13" priority="13" operator="lessThan">
      <formula>0</formula>
    </cfRule>
  </conditionalFormatting>
  <conditionalFormatting sqref="AK386:AN386">
    <cfRule type="cellIs" dxfId="12" priority="12" operator="lessThan">
      <formula>0</formula>
    </cfRule>
  </conditionalFormatting>
  <conditionalFormatting sqref="AK393:AN396">
    <cfRule type="cellIs" dxfId="11" priority="11" operator="lessThan">
      <formula>0</formula>
    </cfRule>
  </conditionalFormatting>
  <conditionalFormatting sqref="AK397:AN397">
    <cfRule type="cellIs" dxfId="10" priority="10" operator="lessThan">
      <formula>0</formula>
    </cfRule>
  </conditionalFormatting>
  <conditionalFormatting sqref="AK200:AN203">
    <cfRule type="cellIs" dxfId="9" priority="16" operator="lessThan">
      <formula>0</formula>
    </cfRule>
  </conditionalFormatting>
  <conditionalFormatting sqref="AK205:AN208">
    <cfRule type="cellIs" dxfId="8" priority="15" operator="lessThan">
      <formula>0</formula>
    </cfRule>
  </conditionalFormatting>
  <conditionalFormatting sqref="AK410:AN410">
    <cfRule type="cellIs" dxfId="7" priority="7" operator="lessThan">
      <formula>0</formula>
    </cfRule>
  </conditionalFormatting>
  <conditionalFormatting sqref="AK404:AN404">
    <cfRule type="cellIs" dxfId="6" priority="8" operator="lessThan">
      <formula>0</formula>
    </cfRule>
  </conditionalFormatting>
  <conditionalFormatting sqref="AK377:AN378">
    <cfRule type="cellIs" dxfId="5" priority="6" operator="lessThan">
      <formula>0</formula>
    </cfRule>
  </conditionalFormatting>
  <conditionalFormatting sqref="AK389:AN389">
    <cfRule type="cellIs" dxfId="4" priority="5" operator="lessThan">
      <formula>0</formula>
    </cfRule>
  </conditionalFormatting>
  <conditionalFormatting sqref="AK409:AN409">
    <cfRule type="cellIs" dxfId="3" priority="4" operator="lessThan">
      <formula>0</formula>
    </cfRule>
  </conditionalFormatting>
  <conditionalFormatting sqref="AK416:AN417">
    <cfRule type="cellIs" dxfId="2" priority="3" operator="lessThan">
      <formula>0</formula>
    </cfRule>
  </conditionalFormatting>
  <conditionalFormatting sqref="AK419:AN419">
    <cfRule type="cellIs" dxfId="1" priority="2" operator="lessThan">
      <formula>0</formula>
    </cfRule>
  </conditionalFormatting>
  <conditionalFormatting sqref="AK418:AN418">
    <cfRule type="cellIs" dxfId="0" priority="1" operator="lessThan">
      <formula>0</formula>
    </cfRule>
  </conditionalFormatting>
  <pageMargins left="0.7" right="0.7" top="0.75" bottom="0.75" header="0.3" footer="0.3"/>
  <pageSetup scale="21" fitToWidth="2" fitToHeight="2" orientation="landscape" r:id="rId1"/>
  <headerFooter>
    <oddHeader>&amp;CMeasure Level Details&amp;R&amp;P</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2:Z56"/>
  <sheetViews>
    <sheetView topLeftCell="C1" workbookViewId="0">
      <selection activeCell="A26" sqref="A26:XFD26"/>
    </sheetView>
  </sheetViews>
  <sheetFormatPr defaultRowHeight="14.5" x14ac:dyDescent="0.35"/>
  <cols>
    <col min="1" max="1" width="16.26953125" customWidth="1"/>
    <col min="2" max="2" width="37.81640625" customWidth="1"/>
    <col min="3" max="14" width="9" customWidth="1"/>
    <col min="15" max="15" width="10.54296875" customWidth="1"/>
    <col min="16" max="26" width="9.1796875" customWidth="1"/>
  </cols>
  <sheetData>
    <row r="2" spans="1:26" ht="21" x14ac:dyDescent="0.5">
      <c r="B2" s="2875" t="s">
        <v>3291</v>
      </c>
      <c r="C2" s="2875"/>
      <c r="D2" s="2875"/>
      <c r="E2" s="2875"/>
      <c r="F2" s="2875"/>
      <c r="G2" s="2875"/>
      <c r="H2" s="2875"/>
      <c r="I2" s="2875"/>
      <c r="J2" s="2875"/>
      <c r="K2" s="2875"/>
      <c r="L2" s="2875"/>
      <c r="M2" s="2875"/>
      <c r="N2" s="2875"/>
      <c r="O2" s="2875"/>
      <c r="P2" s="2875"/>
      <c r="Q2" s="2875"/>
      <c r="R2" s="2875"/>
      <c r="S2" s="2875"/>
      <c r="T2" s="2875"/>
      <c r="U2" s="2875"/>
      <c r="V2" s="2875"/>
      <c r="W2" s="2875"/>
      <c r="X2" s="2875"/>
      <c r="Y2" s="2875"/>
      <c r="Z2" s="2875"/>
    </row>
    <row r="3" spans="1:26" ht="15" thickBot="1" x14ac:dyDescent="0.4">
      <c r="B3" s="625"/>
      <c r="C3" s="625"/>
      <c r="D3" s="625"/>
      <c r="E3" s="625"/>
      <c r="F3" s="625"/>
      <c r="G3" s="625"/>
      <c r="H3" s="625"/>
      <c r="I3" s="625"/>
      <c r="J3" s="625"/>
      <c r="K3" s="625"/>
      <c r="L3" s="625"/>
      <c r="M3" s="625"/>
      <c r="N3" s="625"/>
      <c r="O3" s="625"/>
      <c r="P3" s="625"/>
      <c r="Q3" s="625"/>
      <c r="R3" s="625"/>
      <c r="S3" s="625"/>
      <c r="T3" s="625"/>
    </row>
    <row r="4" spans="1:26" ht="15" customHeight="1" x14ac:dyDescent="0.35">
      <c r="B4" s="2869" t="s">
        <v>1882</v>
      </c>
      <c r="C4" s="2872" t="s">
        <v>1883</v>
      </c>
      <c r="D4" s="2872"/>
      <c r="E4" s="2872"/>
      <c r="F4" s="2872"/>
      <c r="G4" s="2872"/>
      <c r="H4" s="2872"/>
      <c r="I4" s="2872"/>
      <c r="J4" s="2872"/>
      <c r="K4" s="2872"/>
      <c r="L4" s="2872"/>
      <c r="M4" s="2872"/>
      <c r="N4" s="2873"/>
      <c r="O4" s="2874" t="s">
        <v>1884</v>
      </c>
      <c r="P4" s="2872"/>
      <c r="Q4" s="2872"/>
      <c r="R4" s="2872"/>
      <c r="S4" s="2872"/>
      <c r="T4" s="2872"/>
      <c r="U4" s="2872"/>
      <c r="V4" s="2872"/>
      <c r="W4" s="2872"/>
      <c r="X4" s="2872"/>
      <c r="Y4" s="2872"/>
      <c r="Z4" s="2873"/>
    </row>
    <row r="5" spans="1:26" ht="42" customHeight="1" thickBot="1" x14ac:dyDescent="0.4">
      <c r="B5" s="2870"/>
      <c r="C5" s="626" t="s">
        <v>3269</v>
      </c>
      <c r="D5" s="627" t="s">
        <v>3270</v>
      </c>
      <c r="E5" s="627" t="s">
        <v>3271</v>
      </c>
      <c r="F5" s="626" t="s">
        <v>3272</v>
      </c>
      <c r="G5" s="627" t="s">
        <v>3273</v>
      </c>
      <c r="H5" s="627" t="s">
        <v>3274</v>
      </c>
      <c r="I5" s="626" t="s">
        <v>3276</v>
      </c>
      <c r="J5" s="627" t="s">
        <v>3275</v>
      </c>
      <c r="K5" s="627" t="s">
        <v>3277</v>
      </c>
      <c r="L5" s="626" t="s">
        <v>3278</v>
      </c>
      <c r="M5" s="627" t="s">
        <v>3279</v>
      </c>
      <c r="N5" s="628" t="s">
        <v>3280</v>
      </c>
      <c r="O5" s="629" t="s">
        <v>3269</v>
      </c>
      <c r="P5" s="627" t="s">
        <v>3270</v>
      </c>
      <c r="Q5" s="627" t="s">
        <v>3271</v>
      </c>
      <c r="R5" s="626" t="s">
        <v>3272</v>
      </c>
      <c r="S5" s="627" t="s">
        <v>3273</v>
      </c>
      <c r="T5" s="627" t="s">
        <v>3274</v>
      </c>
      <c r="U5" s="626" t="s">
        <v>3276</v>
      </c>
      <c r="V5" s="627" t="s">
        <v>3275</v>
      </c>
      <c r="W5" s="627" t="s">
        <v>3277</v>
      </c>
      <c r="X5" s="626" t="s">
        <v>3278</v>
      </c>
      <c r="Y5" s="627" t="s">
        <v>3279</v>
      </c>
      <c r="Z5" s="628" t="s">
        <v>3280</v>
      </c>
    </row>
    <row r="6" spans="1:26" ht="14.25" customHeight="1" x14ac:dyDescent="0.35">
      <c r="A6" s="645" t="s">
        <v>1906</v>
      </c>
      <c r="B6" s="630" t="s">
        <v>1887</v>
      </c>
      <c r="C6" s="631">
        <v>3574.7963199036376</v>
      </c>
      <c r="D6" s="647">
        <f ca="1">SUMIF('Measure Level Adjustments Tab'!$B$5:$B$125,$A6,'Measure Level Adjustments Tab'!$BN$5:$BN$109)/1000</f>
        <v>476.82948553208161</v>
      </c>
      <c r="E6" s="632">
        <f ca="1">D6-C6</f>
        <v>-3097.9668343715562</v>
      </c>
      <c r="F6" s="631">
        <v>4751.4257944656101</v>
      </c>
      <c r="G6" s="632">
        <f ca="1">SUMIF('Measure Level Adjustments Tab'!$B$5:$B$125,$A6,'Measure Level Adjustments Tab'!$BO$5:$BO$109)/1000</f>
        <v>476.82948553208161</v>
      </c>
      <c r="H6" s="632">
        <f ca="1">G6-F6</f>
        <v>-4274.5963089335282</v>
      </c>
      <c r="I6" s="631">
        <v>6643.3032289647399</v>
      </c>
      <c r="J6" s="632">
        <f ca="1">SUMIF('Measure Level Adjustments Tab'!$B$5:$B$125,$A6,'Measure Level Adjustments Tab'!$BP$5:$BP$109)/1000</f>
        <v>476.82948553208161</v>
      </c>
      <c r="K6" s="632">
        <f ca="1">J6-I6</f>
        <v>-6166.473743432658</v>
      </c>
      <c r="L6" s="631">
        <v>6643.3032289647399</v>
      </c>
      <c r="M6" s="632">
        <f ca="1">SUMIF('Measure Level Adjustments Tab'!$B$5:$B$125,$A6,'Measure Level Adjustments Tab'!$BQ$5:$BQ$109)/1000</f>
        <v>476.82948553208161</v>
      </c>
      <c r="N6" s="633">
        <f ca="1">M6-L6</f>
        <v>-6166.473743432658</v>
      </c>
      <c r="O6" s="634">
        <v>192389.08907999998</v>
      </c>
      <c r="P6" s="649">
        <f>SUMIFS('Measure Level Adjustments Tab'!$BR$5:$BR$127,'Measure Level Adjustments Tab'!$BR$5:$BR$127,"&gt;0",'Measure Level Adjustments Tab'!$B$5:$B$127,$A6)</f>
        <v>205432.99907999998</v>
      </c>
      <c r="Q6" s="632">
        <f>P6-O6</f>
        <v>13043.910000000003</v>
      </c>
      <c r="R6" s="631">
        <v>192389.08907999998</v>
      </c>
      <c r="S6" s="649">
        <f>SUMIFS('Measure Level Adjustments Tab'!$BS$5:$BS$127,'Measure Level Adjustments Tab'!$BS$5:$BS$127,"&gt;0",'Measure Level Adjustments Tab'!$B$5:$B$127,$A6)</f>
        <v>205432.99907999998</v>
      </c>
      <c r="T6" s="649">
        <f>S6-R6</f>
        <v>13043.910000000003</v>
      </c>
      <c r="U6" s="631">
        <v>192389.08907999998</v>
      </c>
      <c r="V6" s="649">
        <f>SUMIFS('Measure Level Adjustments Tab'!$BT$5:$BT$127,'Measure Level Adjustments Tab'!$BT$5:$BT$127,"&gt;0",'Measure Level Adjustments Tab'!$B$5:$B$127,$A6)</f>
        <v>205432.99907999998</v>
      </c>
      <c r="W6" s="649">
        <f>V6-U6</f>
        <v>13043.910000000003</v>
      </c>
      <c r="X6" s="650">
        <v>192389.08907999998</v>
      </c>
      <c r="Y6" s="649">
        <f>SUMIFS('Measure Level Adjustments Tab'!$BU$5:$BU$127,'Measure Level Adjustments Tab'!$BU$5:$BU$127,"&gt;0",'Measure Level Adjustments Tab'!$B$5:$B$127,$A6)</f>
        <v>205432.99907999998</v>
      </c>
      <c r="Z6" s="651">
        <f>Y6-X6</f>
        <v>13043.910000000003</v>
      </c>
    </row>
    <row r="7" spans="1:26" ht="14.25" customHeight="1" x14ac:dyDescent="0.35">
      <c r="A7" s="645" t="s">
        <v>1907</v>
      </c>
      <c r="B7" s="630" t="s">
        <v>1893</v>
      </c>
      <c r="C7" s="631">
        <v>1373.0801095466741</v>
      </c>
      <c r="D7" s="647">
        <f ca="1">SUMIF('Measure Level Adjustments Tab'!$B$5:$B$125,$A7,'Measure Level Adjustments Tab'!$BN$5:$BN$109)/1000</f>
        <v>20.123517120000002</v>
      </c>
      <c r="E7" s="632">
        <f t="shared" ref="E7:E15" ca="1" si="0">D7-C7</f>
        <v>-1352.956592426674</v>
      </c>
      <c r="F7" s="631">
        <v>1373.0801095466741</v>
      </c>
      <c r="G7" s="632">
        <f ca="1">SUMIF('Measure Level Adjustments Tab'!$B$5:$B$125,$A7,'Measure Level Adjustments Tab'!$BO$5:$BO$109)/1000</f>
        <v>20.123517120000002</v>
      </c>
      <c r="H7" s="632">
        <f t="shared" ref="H7:H13" ca="1" si="1">G7-F7</f>
        <v>-1352.956592426674</v>
      </c>
      <c r="I7" s="631">
        <v>1544.3782378731098</v>
      </c>
      <c r="J7" s="632">
        <f ca="1">SUMIF('Measure Level Adjustments Tab'!$B$5:$B$125,$A7,'Measure Level Adjustments Tab'!$BP$5:$BP$109)/1000</f>
        <v>23.190199200000002</v>
      </c>
      <c r="K7" s="632">
        <f t="shared" ref="K7:K13" ca="1" si="2">J7-I7</f>
        <v>-1521.1880386731098</v>
      </c>
      <c r="L7" s="631">
        <v>1544.3782378731098</v>
      </c>
      <c r="M7" s="632">
        <f ca="1">SUMIF('Measure Level Adjustments Tab'!$B$5:$B$125,$A7,'Measure Level Adjustments Tab'!$BQ$5:$BQ$109)/1000</f>
        <v>23.190199200000002</v>
      </c>
      <c r="N7" s="633">
        <f t="shared" ref="N7:N13" ca="1" si="3">M7-L7</f>
        <v>-1521.1880386731098</v>
      </c>
      <c r="O7" s="634">
        <v>78418.683218830774</v>
      </c>
      <c r="P7" s="649">
        <f>SUMIFS('Measure Level Adjustments Tab'!$BR$5:$BR$127,'Measure Level Adjustments Tab'!$BR$5:$BR$127,"&gt;0",'Measure Level Adjustments Tab'!$B$5:$B$127,$A7)</f>
        <v>68928.86825012308</v>
      </c>
      <c r="Q7" s="632">
        <f t="shared" ref="Q7:Q14" si="4">P7-O7</f>
        <v>-9489.8149687076948</v>
      </c>
      <c r="R7" s="631">
        <v>78418.683218830774</v>
      </c>
      <c r="S7" s="649">
        <f>SUMIFS('Measure Level Adjustments Tab'!$BS$5:$BS$127,'Measure Level Adjustments Tab'!$BS$5:$BS$127,"&gt;0",'Measure Level Adjustments Tab'!$B$5:$B$127,$A7)</f>
        <v>68928.86825012308</v>
      </c>
      <c r="T7" s="649">
        <f t="shared" ref="T7:T14" si="5">S7-R7</f>
        <v>-9489.8149687076948</v>
      </c>
      <c r="U7" s="631">
        <v>91913.172179187692</v>
      </c>
      <c r="V7" s="649">
        <f>SUMIFS('Measure Level Adjustments Tab'!$BT$5:$BT$127,'Measure Level Adjustments Tab'!$BT$5:$BT$127,"&gt;0",'Measure Level Adjustments Tab'!$B$5:$B$127,$A7)</f>
        <v>80719.839977690775</v>
      </c>
      <c r="W7" s="649">
        <f>V7-U7</f>
        <v>-11193.332201496916</v>
      </c>
      <c r="X7" s="650">
        <v>91913.172179187692</v>
      </c>
      <c r="Y7" s="649">
        <f>SUMIFS('Measure Level Adjustments Tab'!$BU$5:$BU$127,'Measure Level Adjustments Tab'!$BU$5:$BU$127,"&gt;0",'Measure Level Adjustments Tab'!$B$5:$B$127,$A7)</f>
        <v>80719.839977690775</v>
      </c>
      <c r="Z7" s="651">
        <f t="shared" ref="Z7:Z14" si="6">Y7-X7</f>
        <v>-11193.332201496916</v>
      </c>
    </row>
    <row r="8" spans="1:26" ht="14.25" customHeight="1" x14ac:dyDescent="0.35">
      <c r="A8" s="645" t="s">
        <v>1908</v>
      </c>
      <c r="B8" s="630" t="s">
        <v>1885</v>
      </c>
      <c r="C8" s="631">
        <v>2842.0401241579616</v>
      </c>
      <c r="D8" s="647">
        <f ca="1">SUMIF('Measure Level Adjustments Tab'!$B$5:$B$125,$A8,'Measure Level Adjustments Tab'!$BN$5:$BN$109)/1000</f>
        <v>0</v>
      </c>
      <c r="E8" s="632">
        <f t="shared" ca="1" si="0"/>
        <v>-2842.0401241579616</v>
      </c>
      <c r="F8" s="631">
        <v>2842.0401241579616</v>
      </c>
      <c r="G8" s="632">
        <f ca="1">SUMIF('Measure Level Adjustments Tab'!$B$5:$B$125,$A8,'Measure Level Adjustments Tab'!$BO$5:$BO$109)/1000</f>
        <v>0</v>
      </c>
      <c r="H8" s="632">
        <f t="shared" ca="1" si="1"/>
        <v>-2842.0401241579616</v>
      </c>
      <c r="I8" s="631">
        <v>2842.0401241579616</v>
      </c>
      <c r="J8" s="632">
        <f ca="1">SUMIF('Measure Level Adjustments Tab'!$B$5:$B$125,$A8,'Measure Level Adjustments Tab'!$BP$5:$BP$109)/1000</f>
        <v>0</v>
      </c>
      <c r="K8" s="632">
        <f t="shared" ca="1" si="2"/>
        <v>-2842.0401241579616</v>
      </c>
      <c r="L8" s="631">
        <v>2842.0401241579616</v>
      </c>
      <c r="M8" s="632">
        <f ca="1">SUMIF('Measure Level Adjustments Tab'!$B$5:$B$125,$A8,'Measure Level Adjustments Tab'!$BQ$5:$BQ$109)/1000</f>
        <v>0</v>
      </c>
      <c r="N8" s="633">
        <f t="shared" ca="1" si="3"/>
        <v>-2842.0401241579616</v>
      </c>
      <c r="O8" s="634">
        <v>0</v>
      </c>
      <c r="P8" s="649">
        <f>SUMIFS('Measure Level Adjustments Tab'!$BR$5:$BR$127,'Measure Level Adjustments Tab'!$BR$5:$BR$127,"&gt;0",'Measure Level Adjustments Tab'!$B$5:$B$127,$A8)</f>
        <v>0</v>
      </c>
      <c r="Q8" s="632">
        <f t="shared" si="4"/>
        <v>0</v>
      </c>
      <c r="R8" s="631">
        <v>0</v>
      </c>
      <c r="S8" s="649">
        <f>SUMIFS('Measure Level Adjustments Tab'!$BS$5:$BS$127,'Measure Level Adjustments Tab'!$BS$5:$BS$127,"&gt;0",'Measure Level Adjustments Tab'!$B$5:$B$127,$A8)</f>
        <v>0</v>
      </c>
      <c r="T8" s="649">
        <f t="shared" si="5"/>
        <v>0</v>
      </c>
      <c r="U8" s="631">
        <v>0</v>
      </c>
      <c r="V8" s="649">
        <f>SUMIFS('Measure Level Adjustments Tab'!$BT$5:$BT$127,'Measure Level Adjustments Tab'!$BT$5:$BT$127,"&gt;0",'Measure Level Adjustments Tab'!$B$5:$B$127,$A8)</f>
        <v>0</v>
      </c>
      <c r="W8" s="649">
        <f t="shared" ref="W8:W14" si="7">V8-U8</f>
        <v>0</v>
      </c>
      <c r="X8" s="650">
        <v>0</v>
      </c>
      <c r="Y8" s="649">
        <f>SUMIFS('Measure Level Adjustments Tab'!$BU$5:$BU$127,'Measure Level Adjustments Tab'!$BU$5:$BU$127,"&gt;0",'Measure Level Adjustments Tab'!$B$5:$B$127,$A8)</f>
        <v>0</v>
      </c>
      <c r="Z8" s="651">
        <f t="shared" si="6"/>
        <v>0</v>
      </c>
    </row>
    <row r="9" spans="1:26" ht="14.25" customHeight="1" x14ac:dyDescent="0.35">
      <c r="A9" s="645" t="s">
        <v>1909</v>
      </c>
      <c r="B9" s="630" t="s">
        <v>1894</v>
      </c>
      <c r="C9" s="631">
        <v>1363.390428939437</v>
      </c>
      <c r="D9" s="647">
        <f ca="1">SUMIF('Measure Level Adjustments Tab'!$B$5:$B$125,$A9,'Measure Level Adjustments Tab'!$BN$5:$BN$109)/1000</f>
        <v>0</v>
      </c>
      <c r="E9" s="632">
        <f t="shared" ca="1" si="0"/>
        <v>-1363.390428939437</v>
      </c>
      <c r="F9" s="631">
        <v>1446.332747522132</v>
      </c>
      <c r="G9" s="632">
        <f ca="1">SUMIF('Measure Level Adjustments Tab'!$B$5:$B$125,$A9,'Measure Level Adjustments Tab'!$BO$5:$BO$109)/1000</f>
        <v>0</v>
      </c>
      <c r="H9" s="632">
        <f t="shared" ca="1" si="1"/>
        <v>-1446.332747522132</v>
      </c>
      <c r="I9" s="631">
        <v>1516.5147093997971</v>
      </c>
      <c r="J9" s="632">
        <f ca="1">SUMIF('Measure Level Adjustments Tab'!$B$5:$B$125,$A9,'Measure Level Adjustments Tab'!$BP$5:$BP$109)/1000</f>
        <v>0</v>
      </c>
      <c r="K9" s="632">
        <f t="shared" ca="1" si="2"/>
        <v>-1516.5147093997971</v>
      </c>
      <c r="L9" s="631">
        <v>1516.5147093997971</v>
      </c>
      <c r="M9" s="632">
        <f ca="1">SUMIF('Measure Level Adjustments Tab'!$B$5:$B$125,$A9,'Measure Level Adjustments Tab'!$BQ$5:$BQ$109)/1000</f>
        <v>0</v>
      </c>
      <c r="N9" s="633">
        <f t="shared" ca="1" si="3"/>
        <v>-1516.5147093997971</v>
      </c>
      <c r="O9" s="634">
        <v>50010.488572056922</v>
      </c>
      <c r="P9" s="649">
        <f>SUMIFS('Measure Level Adjustments Tab'!$BR$5:$BR$127,'Measure Level Adjustments Tab'!$BR$5:$BR$127,"&gt;0",'Measure Level Adjustments Tab'!$B$5:$B$127,$A9)</f>
        <v>31409.478141299998</v>
      </c>
      <c r="Q9" s="632">
        <f t="shared" si="4"/>
        <v>-18601.010430756924</v>
      </c>
      <c r="R9" s="631">
        <v>50010.488572056922</v>
      </c>
      <c r="S9" s="649">
        <f>SUMIFS('Measure Level Adjustments Tab'!$BS$5:$BS$127,'Measure Level Adjustments Tab'!$BS$5:$BS$127,"&gt;0",'Measure Level Adjustments Tab'!$B$5:$B$127,$A9)</f>
        <v>31409.478141299998</v>
      </c>
      <c r="T9" s="649">
        <f t="shared" si="5"/>
        <v>-18601.010430756924</v>
      </c>
      <c r="U9" s="631">
        <v>50010.488572056922</v>
      </c>
      <c r="V9" s="649">
        <f>SUMIFS('Measure Level Adjustments Tab'!$BT$5:$BT$127,'Measure Level Adjustments Tab'!$BT$5:$BT$127,"&gt;0",'Measure Level Adjustments Tab'!$B$5:$B$127,$A9)</f>
        <v>31409.478141299998</v>
      </c>
      <c r="W9" s="649">
        <f t="shared" si="7"/>
        <v>-18601.010430756924</v>
      </c>
      <c r="X9" s="650">
        <v>50010.488572056922</v>
      </c>
      <c r="Y9" s="649">
        <f>SUMIFS('Measure Level Adjustments Tab'!$BU$5:$BU$127,'Measure Level Adjustments Tab'!$BU$5:$BU$127,"&gt;0",'Measure Level Adjustments Tab'!$B$5:$B$127,$A9)</f>
        <v>31409.478141299998</v>
      </c>
      <c r="Z9" s="651">
        <f t="shared" si="6"/>
        <v>-18601.010430756924</v>
      </c>
    </row>
    <row r="10" spans="1:26" ht="14.25" customHeight="1" x14ac:dyDescent="0.35">
      <c r="A10" s="645" t="s">
        <v>1910</v>
      </c>
      <c r="B10" s="653" t="s">
        <v>1895</v>
      </c>
      <c r="C10" s="650">
        <v>51596.214649150374</v>
      </c>
      <c r="D10" s="657">
        <f ca="1">SUMIF('Measure Level Adjustments Tab'!$B$5:$B$125,$A10,'Measure Level Adjustments Tab'!$BN$5:$BN$109)/1000</f>
        <v>1422.1920000000002</v>
      </c>
      <c r="E10" s="649">
        <f t="shared" ca="1" si="0"/>
        <v>-50174.022649150371</v>
      </c>
      <c r="F10" s="650">
        <v>49871.167025397779</v>
      </c>
      <c r="G10" s="649">
        <f ca="1">SUMIF('Measure Level Adjustments Tab'!$B$5:$B$125,$A10,'Measure Level Adjustments Tab'!$BO$5:$BO$109)/1000</f>
        <v>1422.1920000000002</v>
      </c>
      <c r="H10" s="649">
        <f t="shared" ca="1" si="1"/>
        <v>-48448.975025397776</v>
      </c>
      <c r="I10" s="650">
        <v>32928.6879969695</v>
      </c>
      <c r="J10" s="649">
        <f ca="1">SUMIF('Measure Level Adjustments Tab'!$B$5:$B$125,$A10,'Measure Level Adjustments Tab'!$BP$5:$BP$109)/1000</f>
        <v>1777.7400000000002</v>
      </c>
      <c r="K10" s="649">
        <f t="shared" ca="1" si="2"/>
        <v>-31150.947996969498</v>
      </c>
      <c r="L10" s="650">
        <v>29123.73644124237</v>
      </c>
      <c r="M10" s="649">
        <v>29123.73644124237</v>
      </c>
      <c r="N10" s="651">
        <f t="shared" si="3"/>
        <v>0</v>
      </c>
      <c r="O10" s="656">
        <v>305808</v>
      </c>
      <c r="P10" s="649">
        <f>SUMIFS('Measure Level Adjustments Tab'!$BR$5:$BR$127,'Measure Level Adjustments Tab'!$BR$5:$BR$127,"&gt;0",'Measure Level Adjustments Tab'!$B$5:$B$127,$A10)</f>
        <v>319872</v>
      </c>
      <c r="Q10" s="649">
        <f t="shared" si="4"/>
        <v>14064</v>
      </c>
      <c r="R10" s="650">
        <v>305808</v>
      </c>
      <c r="S10" s="649">
        <f>SUMIFS('Measure Level Adjustments Tab'!$BS$5:$BS$127,'Measure Level Adjustments Tab'!$BS$5:$BS$127,"&gt;0",'Measure Level Adjustments Tab'!$B$5:$B$127,$A10)</f>
        <v>319872</v>
      </c>
      <c r="T10" s="649">
        <f t="shared" si="5"/>
        <v>14064</v>
      </c>
      <c r="U10" s="650">
        <v>382260</v>
      </c>
      <c r="V10" s="649">
        <f>SUMIFS('Measure Level Adjustments Tab'!$BT$5:$BT$127,'Measure Level Adjustments Tab'!$BT$5:$BT$127,"&gt;0",'Measure Level Adjustments Tab'!$B$5:$B$127,$A10)</f>
        <v>399840.00000000006</v>
      </c>
      <c r="W10" s="649">
        <f t="shared" si="7"/>
        <v>17580.000000000058</v>
      </c>
      <c r="X10" s="650">
        <v>382260</v>
      </c>
      <c r="Y10" s="649">
        <f>SUMIFS('Measure Level Adjustments Tab'!$BU$5:$BU$127,'Measure Level Adjustments Tab'!$BU$5:$BU$127,"&gt;0",'Measure Level Adjustments Tab'!$B$5:$B$127,$A10)</f>
        <v>399840.00000000006</v>
      </c>
      <c r="Z10" s="651">
        <f t="shared" si="6"/>
        <v>17580.000000000058</v>
      </c>
    </row>
    <row r="11" spans="1:26" ht="14.25" customHeight="1" x14ac:dyDescent="0.35">
      <c r="A11" s="645" t="s">
        <v>1911</v>
      </c>
      <c r="B11" s="653" t="s">
        <v>1886</v>
      </c>
      <c r="C11" s="650">
        <v>6290</v>
      </c>
      <c r="D11" s="654">
        <f>SUMIFS('Measure Level Adjustments Tab'!$BN$5:$BN$127,'Measure Level Adjustments Tab'!$B$5:$B$127,$A11,'Measure Level Adjustments Tab'!$H$5:$H$127,"2018 1st Year Savings")/1000</f>
        <v>6290</v>
      </c>
      <c r="E11" s="649">
        <f t="shared" si="0"/>
        <v>0</v>
      </c>
      <c r="F11" s="650">
        <v>6290</v>
      </c>
      <c r="G11" s="649">
        <f>SUMIFS('Measure Level Adjustments Tab'!$BO$5:$BO$127,'Measure Level Adjustments Tab'!$B$5:$B$127,$A11,'Measure Level Adjustments Tab'!$H$5:$H$127,"2019 1st Year Savings")/1000</f>
        <v>6290</v>
      </c>
      <c r="H11" s="649">
        <f t="shared" si="1"/>
        <v>0</v>
      </c>
      <c r="I11" s="650">
        <v>6290</v>
      </c>
      <c r="J11" s="649">
        <f>SUMIFS('Measure Level Adjustments Tab'!$BP$5:$BP$127,'Measure Level Adjustments Tab'!$B$5:$B$127,$A11,'Measure Level Adjustments Tab'!$H$5:$H$127,"2020 1st Year Savings")/1000</f>
        <v>6290</v>
      </c>
      <c r="K11" s="649">
        <f t="shared" si="2"/>
        <v>0</v>
      </c>
      <c r="L11" s="650">
        <v>6290</v>
      </c>
      <c r="M11" s="655">
        <f>SUMIFS('Measure Level Adjustments Tab'!$BQ$5:$BQ$127,'Measure Level Adjustments Tab'!$B$5:$B$127,$A11,'Measure Level Adjustments Tab'!$H$5:$H$127,"2021 1st Year Savings")/1000</f>
        <v>6290</v>
      </c>
      <c r="N11" s="651">
        <f t="shared" si="3"/>
        <v>0</v>
      </c>
      <c r="O11" s="656">
        <v>229999.99999999997</v>
      </c>
      <c r="P11" s="649">
        <f>SUMIFS('Measure Level Adjustments Tab'!$BR$5:$BR$127,'Measure Level Adjustments Tab'!$B$5:$B$127,$A11,'Measure Level Adjustments Tab'!$H$5:$H$127,"2018 1st Year Savings")</f>
        <v>229999.99999999997</v>
      </c>
      <c r="Q11" s="649">
        <f t="shared" si="4"/>
        <v>0</v>
      </c>
      <c r="R11" s="650">
        <v>229999.99999999997</v>
      </c>
      <c r="S11" s="649">
        <f>SUMIFS('Measure Level Adjustments Tab'!$BS$5:$BS$127,'Measure Level Adjustments Tab'!$B$5:$B$127,$A11,'Measure Level Adjustments Tab'!$H$5:$H$127,"2019 1st Year Savings")</f>
        <v>229999.99999999997</v>
      </c>
      <c r="T11" s="649">
        <f t="shared" si="5"/>
        <v>0</v>
      </c>
      <c r="U11" s="650">
        <v>229999.99999999997</v>
      </c>
      <c r="V11" s="649">
        <f>SUMIFS('Measure Level Adjustments Tab'!$BT$5:$BT$127,'Measure Level Adjustments Tab'!$B$5:$B$127,$A11,'Measure Level Adjustments Tab'!$H$5:$H$127,"2020 1st Year Savings")</f>
        <v>229999.99999999997</v>
      </c>
      <c r="W11" s="649">
        <f t="shared" si="7"/>
        <v>0</v>
      </c>
      <c r="X11" s="650">
        <v>229999.99999999997</v>
      </c>
      <c r="Y11" s="649">
        <f>SUMIFS('Measure Level Adjustments Tab'!$BU$5:$BU$127,'Measure Level Adjustments Tab'!$B$5:$B$127,$A11,'Measure Level Adjustments Tab'!$H$5:$H$127,"2021 1st Year Savings")</f>
        <v>229999.99999999997</v>
      </c>
      <c r="Z11" s="651">
        <f t="shared" si="6"/>
        <v>0</v>
      </c>
    </row>
    <row r="12" spans="1:26" ht="14.25" customHeight="1" x14ac:dyDescent="0.35">
      <c r="A12" s="645" t="s">
        <v>1912</v>
      </c>
      <c r="B12" s="653" t="s">
        <v>1896</v>
      </c>
      <c r="C12" s="650">
        <v>617.84195667704171</v>
      </c>
      <c r="D12" s="657">
        <f ca="1">SUMIF('Measure Level Adjustments Tab'!$B$5:$B$125,$A12,'Measure Level Adjustments Tab'!$BN$5:$BN$109)/1000</f>
        <v>146.44393371107148</v>
      </c>
      <c r="E12" s="649">
        <f ca="1">D12-C12</f>
        <v>-471.3980229659702</v>
      </c>
      <c r="F12" s="650">
        <v>617.84195667704171</v>
      </c>
      <c r="G12" s="649">
        <f ca="1">SUMIF('Measure Level Adjustments Tab'!$B$5:$B$125,$A12,'Measure Level Adjustments Tab'!$BO$5:$BO$109)/1000</f>
        <v>146.44393371107148</v>
      </c>
      <c r="H12" s="649">
        <f t="shared" ca="1" si="1"/>
        <v>-471.3980229659702</v>
      </c>
      <c r="I12" s="650">
        <v>617.84195667704171</v>
      </c>
      <c r="J12" s="649">
        <f ca="1">SUMIF('Measure Level Adjustments Tab'!$B$5:$B$125,$A12,'Measure Level Adjustments Tab'!$BP$5:$BP$109)/1000</f>
        <v>146.44393371107148</v>
      </c>
      <c r="K12" s="649">
        <f t="shared" ca="1" si="2"/>
        <v>-471.3980229659702</v>
      </c>
      <c r="L12" s="650">
        <v>617.84195667704171</v>
      </c>
      <c r="M12" s="649">
        <f ca="1">SUMIF('Measure Level Adjustments Tab'!$B$5:$B$125,$A12,'Measure Level Adjustments Tab'!$BQ$5:$BQ$109)/1000</f>
        <v>146.44393371107148</v>
      </c>
      <c r="N12" s="651">
        <f t="shared" ca="1" si="3"/>
        <v>-471.3980229659702</v>
      </c>
      <c r="O12" s="656">
        <v>52040.085532238219</v>
      </c>
      <c r="P12" s="649">
        <f>SUMIFS('Measure Level Adjustments Tab'!$BR$5:$BR$127,'Measure Level Adjustments Tab'!$BR$5:$BR$127,"&gt;0",'Measure Level Adjustments Tab'!$B$5:$B$127,$A12)</f>
        <v>53282.837923995125</v>
      </c>
      <c r="Q12" s="649">
        <f t="shared" si="4"/>
        <v>1242.7523917569051</v>
      </c>
      <c r="R12" s="650">
        <v>52040.085532238219</v>
      </c>
      <c r="S12" s="649">
        <f>SUMIFS('Measure Level Adjustments Tab'!$BS$5:$BS$127,'Measure Level Adjustments Tab'!$BS$5:$BS$127,"&gt;0",'Measure Level Adjustments Tab'!$B$5:$B$127,$A12)</f>
        <v>53282.837923995125</v>
      </c>
      <c r="T12" s="649">
        <f t="shared" si="5"/>
        <v>1242.7523917569051</v>
      </c>
      <c r="U12" s="650">
        <v>52040.085532238219</v>
      </c>
      <c r="V12" s="649">
        <f>SUMIFS('Measure Level Adjustments Tab'!$BT$5:$BT$127,'Measure Level Adjustments Tab'!$BT$5:$BT$127,"&gt;0",'Measure Level Adjustments Tab'!$B$5:$B$127,$A12)</f>
        <v>53282.837923995125</v>
      </c>
      <c r="W12" s="649">
        <f t="shared" si="7"/>
        <v>1242.7523917569051</v>
      </c>
      <c r="X12" s="650">
        <v>52040.085532238219</v>
      </c>
      <c r="Y12" s="649">
        <f>SUMIFS('Measure Level Adjustments Tab'!$BU$5:$BU$127,'Measure Level Adjustments Tab'!$BU$5:$BU$127,"&gt;0",'Measure Level Adjustments Tab'!$B$5:$B$127,$A12)</f>
        <v>53282.837923995125</v>
      </c>
      <c r="Z12" s="651">
        <f t="shared" si="6"/>
        <v>1242.7523917569051</v>
      </c>
    </row>
    <row r="13" spans="1:26" ht="14.25" customHeight="1" x14ac:dyDescent="0.35">
      <c r="A13" s="2335" t="s">
        <v>3268</v>
      </c>
      <c r="B13" s="653" t="s">
        <v>3267</v>
      </c>
      <c r="C13" s="650">
        <v>25313.746192798797</v>
      </c>
      <c r="D13" s="657">
        <f ca="1">SUMIF('Measure Level Adjustments Tab'!$B$5:$B$125,$A13,'Measure Level Adjustments Tab'!$BN$5:$BN$109)/1000</f>
        <v>2375.0970200168813</v>
      </c>
      <c r="E13" s="649">
        <f ca="1">D13-C13</f>
        <v>-22938.649172781916</v>
      </c>
      <c r="F13" s="650">
        <v>25318.624256130544</v>
      </c>
      <c r="G13" s="649">
        <f ca="1">SUMIF('Measure Level Adjustments Tab'!$B$5:$B$125,$A13,'Measure Level Adjustments Tab'!$BO$5:$BO$109)/1000</f>
        <v>2404.4491247222372</v>
      </c>
      <c r="H13" s="649">
        <f t="shared" ca="1" si="1"/>
        <v>-22914.175131408309</v>
      </c>
      <c r="I13" s="650">
        <v>18172.79474010332</v>
      </c>
      <c r="J13" s="649">
        <f ca="1">SUMIF('Measure Level Adjustments Tab'!$B$5:$B$125,$A13,'Measure Level Adjustments Tab'!$BP$5:$BP$109)/1000</f>
        <v>2197.7975685238271</v>
      </c>
      <c r="K13" s="649">
        <f t="shared" ca="1" si="2"/>
        <v>-15974.997171579493</v>
      </c>
      <c r="L13" s="650">
        <v>17088.464268380067</v>
      </c>
      <c r="M13" s="649">
        <f ca="1">SUMIF('Measure Level Adjustments Tab'!$B$5:$B$125,$A13,'Measure Level Adjustments Tab'!$BQ$5:$BQ$109)/1000</f>
        <v>2328.098027801122</v>
      </c>
      <c r="N13" s="651">
        <f t="shared" ca="1" si="3"/>
        <v>-14760.366240578944</v>
      </c>
      <c r="O13" s="656">
        <v>957922.58194732573</v>
      </c>
      <c r="P13" s="649">
        <f>SUMIFS('Measure Level Adjustments Tab'!$BR$5:$BR$127,'Measure Level Adjustments Tab'!$BR$5:$BR$127,"&gt;0",'Measure Level Adjustments Tab'!$B$5:$B$127,$A13)</f>
        <v>994990.71332927141</v>
      </c>
      <c r="Q13" s="649">
        <f>P13-O13</f>
        <v>37068.131381945685</v>
      </c>
      <c r="R13" s="650">
        <v>985590.92667881865</v>
      </c>
      <c r="S13" s="649">
        <f>SUMIFS('Measure Level Adjustments Tab'!$BS$5:$BS$127,'Measure Level Adjustments Tab'!$BS$5:$BS$127,"&gt;0",'Measure Level Adjustments Tab'!$B$5:$B$127,$A13)</f>
        <v>1022542.6187482578</v>
      </c>
      <c r="T13" s="649">
        <f t="shared" si="5"/>
        <v>36951.692069439101</v>
      </c>
      <c r="U13" s="650">
        <v>955972.92178633483</v>
      </c>
      <c r="V13" s="649">
        <f>SUMIFS('Measure Level Adjustments Tab'!$BT$5:$BT$127,'Measure Level Adjustments Tab'!$BT$5:$BT$127,"&gt;0",'Measure Level Adjustments Tab'!$B$5:$B$127,$A13)</f>
        <v>1010708.1677855259</v>
      </c>
      <c r="W13" s="649">
        <f t="shared" si="7"/>
        <v>54735.245999191073</v>
      </c>
      <c r="X13" s="650">
        <v>955973.28022731736</v>
      </c>
      <c r="Y13" s="649">
        <f>SUMIFS('Measure Level Adjustments Tab'!$BU$5:$BU$127,'Measure Level Adjustments Tab'!$BU$5:$BU$127,"&gt;0",'Measure Level Adjustments Tab'!$B$5:$B$127,$A13)</f>
        <v>1002735.417946143</v>
      </c>
      <c r="Z13" s="651">
        <f t="shared" si="6"/>
        <v>46762.137718825601</v>
      </c>
    </row>
    <row r="14" spans="1:26" ht="14.25" customHeight="1" thickBot="1" x14ac:dyDescent="0.4">
      <c r="A14" s="645" t="s">
        <v>1913</v>
      </c>
      <c r="B14" s="653" t="s">
        <v>1897</v>
      </c>
      <c r="C14" s="650">
        <v>1010.5227600000001</v>
      </c>
      <c r="D14" s="657">
        <f ca="1">SUMIF('Measure Level Adjustments Tab'!$B$5:$B$125,$A14,'Measure Level Adjustments Tab'!$BN$5:$BN$109)/1000</f>
        <v>1010.5227600000001</v>
      </c>
      <c r="E14" s="649"/>
      <c r="F14" s="650">
        <v>0</v>
      </c>
      <c r="G14" s="649">
        <f ca="1">SUMIF('Measure Level Adjustments Tab'!$B$5:$B$125,$A14,'Measure Level Adjustments Tab'!$BO$5:$BO$109)/1000</f>
        <v>0</v>
      </c>
      <c r="H14" s="649"/>
      <c r="I14" s="650">
        <v>0</v>
      </c>
      <c r="J14" s="649">
        <f ca="1">SUMIF('Measure Level Adjustments Tab'!$B$5:$B$125,$A14,'Measure Level Adjustments Tab'!$BP$5:$BP$109)/1000</f>
        <v>0</v>
      </c>
      <c r="K14" s="649"/>
      <c r="L14" s="650">
        <v>0</v>
      </c>
      <c r="M14" s="649">
        <f ca="1">SUMIF('Measure Level Adjustments Tab'!$B$5:$B$125,$A14,'Measure Level Adjustments Tab'!$BQ$5:$BQ$109)/1000</f>
        <v>0</v>
      </c>
      <c r="N14" s="651"/>
      <c r="O14" s="656">
        <v>8892</v>
      </c>
      <c r="P14" s="649">
        <f>SUMIFS('Measure Level Adjustments Tab'!$BR$5:$BR$127,'Measure Level Adjustments Tab'!$BR$5:$BR$127,"&gt;0",'Measure Level Adjustments Tab'!$B$5:$B$127,$A14)</f>
        <v>8892</v>
      </c>
      <c r="Q14" s="649">
        <f t="shared" si="4"/>
        <v>0</v>
      </c>
      <c r="R14" s="650">
        <v>0</v>
      </c>
      <c r="S14" s="649">
        <f>SUMIFS('Measure Level Adjustments Tab'!$BS$5:$BS$127,'Measure Level Adjustments Tab'!$BS$5:$BS$127,"&gt;0",'Measure Level Adjustments Tab'!$B$5:$B$127,$A14)</f>
        <v>0</v>
      </c>
      <c r="T14" s="649">
        <f t="shared" si="5"/>
        <v>0</v>
      </c>
      <c r="U14" s="650">
        <v>0</v>
      </c>
      <c r="V14" s="649">
        <f>SUMIFS('Measure Level Adjustments Tab'!$BT$5:$BT$127,'Measure Level Adjustments Tab'!$BT$5:$BT$127,"&gt;0",'Measure Level Adjustments Tab'!$B$5:$B$127,$A14)</f>
        <v>0</v>
      </c>
      <c r="W14" s="649">
        <f t="shared" si="7"/>
        <v>0</v>
      </c>
      <c r="X14" s="650">
        <v>0</v>
      </c>
      <c r="Y14" s="649">
        <f>SUMIFS('Measure Level Adjustments Tab'!$BU$5:$BU$127,'Measure Level Adjustments Tab'!$BU$5:$BU$127,"&gt;0",'Measure Level Adjustments Tab'!$B$5:$B$127,$A14)</f>
        <v>0</v>
      </c>
      <c r="Z14" s="651">
        <f t="shared" si="6"/>
        <v>0</v>
      </c>
    </row>
    <row r="15" spans="1:26" ht="14.25" customHeight="1" thickBot="1" x14ac:dyDescent="0.4">
      <c r="A15" s="646"/>
      <c r="B15" s="635" t="s">
        <v>1888</v>
      </c>
      <c r="C15" s="636">
        <f>SUM(C6:C14)</f>
        <v>93981.632541173938</v>
      </c>
      <c r="D15" s="648">
        <f ca="1">SUM(D6:D14)</f>
        <v>11741.208716380033</v>
      </c>
      <c r="E15" s="637">
        <f t="shared" ca="1" si="0"/>
        <v>-82240.423824793907</v>
      </c>
      <c r="F15" s="636">
        <f>SUM(F6:F14)</f>
        <v>92510.512013897751</v>
      </c>
      <c r="G15" s="637">
        <f ca="1">SUM(G6:G14)</f>
        <v>10760.03806108539</v>
      </c>
      <c r="H15" s="637">
        <f ca="1">G15-F15</f>
        <v>-81750.473952812361</v>
      </c>
      <c r="I15" s="636">
        <f>SUM(I6:I14)</f>
        <v>70555.560994145475</v>
      </c>
      <c r="J15" s="637">
        <f ca="1">SUM(J6:J14)</f>
        <v>10912.00118696698</v>
      </c>
      <c r="K15" s="637">
        <f t="shared" ref="K15" ca="1" si="8">J15-I15</f>
        <v>-59643.559807178492</v>
      </c>
      <c r="L15" s="636">
        <f>SUM(L6:L14)</f>
        <v>65666.278966695085</v>
      </c>
      <c r="M15" s="637">
        <f ca="1">SUM(M6:M14)</f>
        <v>38388.298087486648</v>
      </c>
      <c r="N15" s="638">
        <f t="shared" ref="N15" ca="1" si="9">M15-L15</f>
        <v>-27277.980879208437</v>
      </c>
      <c r="O15" s="636">
        <f>SUM(O6:O14)</f>
        <v>1875480.9283504516</v>
      </c>
      <c r="P15" s="637">
        <f>SUM(P6:P14)</f>
        <v>1912808.8967246898</v>
      </c>
      <c r="Q15" s="637">
        <f t="shared" ref="Q15:Q25" si="10">P15-O15</f>
        <v>37327.968374238117</v>
      </c>
      <c r="R15" s="636">
        <f>SUM(R6:R14)</f>
        <v>1894257.2730819446</v>
      </c>
      <c r="S15" s="637">
        <f>SUM(S6:S14)</f>
        <v>1931468.802143676</v>
      </c>
      <c r="T15" s="637">
        <f t="shared" ref="T15" si="11">S15-R15</f>
        <v>37211.529061731417</v>
      </c>
      <c r="U15" s="636">
        <f>SUM(U6:U14)</f>
        <v>1954585.7571498177</v>
      </c>
      <c r="V15" s="637">
        <f>SUM(V6:V14)</f>
        <v>2011393.3229085119</v>
      </c>
      <c r="W15" s="637">
        <f t="shared" ref="W15" si="12">V15-U15</f>
        <v>56807.565758694196</v>
      </c>
      <c r="X15" s="636">
        <f>SUM(X6:X14)</f>
        <v>1954586.1155908001</v>
      </c>
      <c r="Y15" s="637">
        <f>SUM(Y6:Y14)</f>
        <v>2003420.5730691289</v>
      </c>
      <c r="Z15" s="638">
        <f t="shared" ref="Z15" si="13">Y15-X15</f>
        <v>48834.457478328841</v>
      </c>
    </row>
    <row r="16" spans="1:26" ht="14.25" customHeight="1" x14ac:dyDescent="0.35">
      <c r="A16" s="646" t="s">
        <v>3004</v>
      </c>
      <c r="B16" s="630" t="s">
        <v>1889</v>
      </c>
      <c r="C16" s="631">
        <v>106140.54627875134</v>
      </c>
      <c r="D16" s="632">
        <f>SUMIFS('Measure Level Adjustments Tab'!$BN$5:$BN$1506,'Measure Level Adjustments Tab'!$BN$5:$BN$1506,"&gt;0",'Measure Level Adjustments Tab'!$B$5:$B$1506,$A16)/1000</f>
        <v>331.48653508249276</v>
      </c>
      <c r="E16" s="632">
        <f>D16-C16</f>
        <v>-105809.05974366884</v>
      </c>
      <c r="F16" s="631">
        <v>101989.01258599923</v>
      </c>
      <c r="G16" s="2318">
        <f>SUMIFS('Measure Level Adjustments Tab'!$BO$5:$BO$1506,'Measure Level Adjustments Tab'!$BO$5:$BO$1506,"&gt;0",'Measure Level Adjustments Tab'!$B$5:$B$1506,$A16)/1000</f>
        <v>265.07617508882402</v>
      </c>
      <c r="H16" s="632">
        <f t="shared" ref="H16:H25" si="14">G16-F16</f>
        <v>-101723.93641091041</v>
      </c>
      <c r="I16" s="631">
        <v>101641.27128708392</v>
      </c>
      <c r="J16" s="632">
        <f>SUMIFS('Measure Level Adjustments Tab'!$BP$5:$BP$1506,'Measure Level Adjustments Tab'!$BP$5:$BP$1506,"&gt;0",'Measure Level Adjustments Tab'!$B$5:$B$1506,$A16)/1000</f>
        <v>315.70700866830941</v>
      </c>
      <c r="K16" s="632">
        <f t="shared" ref="K16:K25" si="15">J16-I16</f>
        <v>-101325.56427841561</v>
      </c>
      <c r="L16" s="631">
        <v>99853.33549670667</v>
      </c>
      <c r="M16" s="632">
        <f>SUMIFS('Measure Level Adjustments Tab'!$BQ$5:$BQ$1506,'Measure Level Adjustments Tab'!$BQ$5:$BQ$1506,"&gt;0",'Measure Level Adjustments Tab'!$B$5:$B$1506,$A16)/1000</f>
        <v>317.28467675638797</v>
      </c>
      <c r="N16" s="633">
        <f t="shared" ref="N16:N25" si="16">M16-L16</f>
        <v>-99536.05081995028</v>
      </c>
      <c r="O16" s="634">
        <v>985845.24646425643</v>
      </c>
      <c r="P16" s="632">
        <f>SUMIFS('Measure Level Adjustments Tab'!$BR$5:$BR$1506,'Measure Level Adjustments Tab'!$BR$5:$BR$1506,"&gt;0",'Measure Level Adjustments Tab'!$B$5:$B$1506,$A16)</f>
        <v>1003903.067981876</v>
      </c>
      <c r="Q16" s="632">
        <f t="shared" si="10"/>
        <v>18057.821517619537</v>
      </c>
      <c r="R16" s="631">
        <v>908518.77907831501</v>
      </c>
      <c r="S16" s="632">
        <f>SUMIFS('Measure Level Adjustments Tab'!$BS$5:$BS$1506,'Measure Level Adjustments Tab'!$BS$5:$BS$1506,"&gt;0",'Measure Level Adjustments Tab'!$B$5:$B$1506,$A16)</f>
        <v>925178.92952247243</v>
      </c>
      <c r="T16" s="632">
        <f t="shared" ref="T16:T24" si="17">S16-R16</f>
        <v>16660.150444157422</v>
      </c>
      <c r="U16" s="631">
        <v>380145.80114745174</v>
      </c>
      <c r="V16" s="632">
        <f>SUMIFS('Measure Level Adjustments Tab'!$BT$5:$BT$1506,'Measure Level Adjustments Tab'!$BT$5:$BT$1506,"&gt;0",'Measure Level Adjustments Tab'!$B$5:$B$1506,$A16)</f>
        <v>398825.6015616291</v>
      </c>
      <c r="W16" s="632">
        <f t="shared" ref="W16:W25" si="18">V16-U16</f>
        <v>18679.800414177356</v>
      </c>
      <c r="X16" s="631">
        <v>390740.32387967745</v>
      </c>
      <c r="Y16" s="632">
        <f>SUMIFS('Measure Level Adjustments Tab'!$BU$5:$BU$1506,'Measure Level Adjustments Tab'!$BU$5:$BU$1506,"&gt;0",'Measure Level Adjustments Tab'!$B$5:$B$1506,$A16)</f>
        <v>409564.4793796622</v>
      </c>
      <c r="Z16" s="633">
        <f t="shared" ref="Z16:Z25" si="19">Y16-X16</f>
        <v>18824.155499984743</v>
      </c>
    </row>
    <row r="17" spans="1:26" ht="14.25" customHeight="1" x14ac:dyDescent="0.35">
      <c r="A17" s="646" t="s">
        <v>3005</v>
      </c>
      <c r="B17" s="630" t="s">
        <v>1898</v>
      </c>
      <c r="C17" s="631">
        <v>34024.196012164539</v>
      </c>
      <c r="D17" s="632">
        <f>SUMIFS('Measure Level Adjustments Tab'!$BN$5:$BN$1506,'Measure Level Adjustments Tab'!$BN$5:$BN$1506,"&gt;0",'Measure Level Adjustments Tab'!$B$5:$B$1506,$A17)/1000</f>
        <v>533.74716180382325</v>
      </c>
      <c r="E17" s="632">
        <f t="shared" ref="E17:E23" si="20">D17-C17</f>
        <v>-33490.448850360714</v>
      </c>
      <c r="F17" s="631">
        <v>32174.573483948399</v>
      </c>
      <c r="G17" s="2318">
        <f>SUMIFS('Measure Level Adjustments Tab'!$BO$5:$BO$1506,'Measure Level Adjustments Tab'!$BO$5:$BO$1506,"&gt;0",'Measure Level Adjustments Tab'!$B$5:$B$1506,$A17)/1000</f>
        <v>320.93265508476395</v>
      </c>
      <c r="H17" s="632">
        <f t="shared" si="14"/>
        <v>-31853.640828863634</v>
      </c>
      <c r="I17" s="631">
        <v>30898.446986101539</v>
      </c>
      <c r="J17" s="632">
        <f>SUMIFS('Measure Level Adjustments Tab'!$BP$5:$BP$1506,'Measure Level Adjustments Tab'!$BP$5:$BP$1506,"&gt;0",'Measure Level Adjustments Tab'!$B$5:$B$1506,$A17)/1000</f>
        <v>360.0246821591669</v>
      </c>
      <c r="K17" s="632">
        <f t="shared" si="15"/>
        <v>-30538.42230394237</v>
      </c>
      <c r="L17" s="631">
        <v>30723.163652189043</v>
      </c>
      <c r="M17" s="632">
        <f>SUMIFS('Measure Level Adjustments Tab'!$BQ$5:$BQ$1506,'Measure Level Adjustments Tab'!$BQ$5:$BQ$1506,"&gt;0",'Measure Level Adjustments Tab'!$B$5:$B$1506,$A17)/1000</f>
        <v>359.75778257238761</v>
      </c>
      <c r="N17" s="633">
        <f t="shared" si="16"/>
        <v>-30363.405869616654</v>
      </c>
      <c r="O17" s="634">
        <v>186845.39106917835</v>
      </c>
      <c r="P17" s="632">
        <f>SUMIFS('Measure Level Adjustments Tab'!$BR$5:$BR$1506,'Measure Level Adjustments Tab'!$BR$5:$BR$1506,"&gt;0",'Measure Level Adjustments Tab'!$B$5:$B$1506,$A17)</f>
        <v>188424.23760623689</v>
      </c>
      <c r="Q17" s="632">
        <f t="shared" si="10"/>
        <v>1578.8465370585327</v>
      </c>
      <c r="R17" s="631">
        <v>143229.069496546</v>
      </c>
      <c r="S17" s="632">
        <f>SUMIFS('Measure Level Adjustments Tab'!$BS$5:$BS$1506,'Measure Level Adjustments Tab'!$BS$5:$BS$1506,"&gt;0",'Measure Level Adjustments Tab'!$B$5:$B$1506,$A17)</f>
        <v>144807.91603360456</v>
      </c>
      <c r="T17" s="632">
        <f t="shared" si="17"/>
        <v>1578.8465370585618</v>
      </c>
      <c r="U17" s="631">
        <v>148664.77337052277</v>
      </c>
      <c r="V17" s="632">
        <f>SUMIFS('Measure Level Adjustments Tab'!$BT$5:$BT$1506,'Measure Level Adjustments Tab'!$BT$5:$BT$1506,"&gt;0",'Measure Level Adjustments Tab'!$B$5:$B$1506,$A17)</f>
        <v>150243.61990758136</v>
      </c>
      <c r="W17" s="632">
        <f t="shared" si="18"/>
        <v>1578.8465370585909</v>
      </c>
      <c r="X17" s="631">
        <v>181147.30247349894</v>
      </c>
      <c r="Y17" s="632">
        <f>SUMIFS('Measure Level Adjustments Tab'!$BU$5:$BU$1506,'Measure Level Adjustments Tab'!$BU$5:$BU$1506,"&gt;0",'Measure Level Adjustments Tab'!$B$5:$B$1506,$A17)</f>
        <v>182726.14901055751</v>
      </c>
      <c r="Z17" s="633">
        <f t="shared" si="19"/>
        <v>1578.8465370585618</v>
      </c>
    </row>
    <row r="18" spans="1:26" ht="14.25" customHeight="1" x14ac:dyDescent="0.35">
      <c r="A18" s="646" t="s">
        <v>3006</v>
      </c>
      <c r="B18" s="630" t="s">
        <v>1899</v>
      </c>
      <c r="C18" s="631">
        <v>15191.841598068775</v>
      </c>
      <c r="D18" s="632">
        <f>SUMIFS('Measure Level Adjustments Tab'!$BN$5:$BN$1506,'Measure Level Adjustments Tab'!$BN$5:$BN$1506,"&gt;0",'Measure Level Adjustments Tab'!$B$5:$B$1506,$A18)/1000</f>
        <v>416.46265736270635</v>
      </c>
      <c r="E18" s="632">
        <f>D18-C18</f>
        <v>-14775.378940706069</v>
      </c>
      <c r="F18" s="631">
        <v>14095.086619556965</v>
      </c>
      <c r="G18" s="2318">
        <f>SUMIFS('Measure Level Adjustments Tab'!$BO$5:$BO$1506,'Measure Level Adjustments Tab'!$BO$5:$BO$1506,"&gt;0",'Measure Level Adjustments Tab'!$B$5:$B$1506,$A18)/1000</f>
        <v>339.74135255330879</v>
      </c>
      <c r="H18" s="632">
        <f t="shared" si="14"/>
        <v>-13755.345267003657</v>
      </c>
      <c r="I18" s="631">
        <v>13742.956991965752</v>
      </c>
      <c r="J18" s="632">
        <f>SUMIFS('Measure Level Adjustments Tab'!$BP$5:$BP$1506,'Measure Level Adjustments Tab'!$BP$5:$BP$1506,"&gt;0",'Measure Level Adjustments Tab'!$B$5:$B$1506,$A18)/1000</f>
        <v>372.87556872355981</v>
      </c>
      <c r="K18" s="632">
        <f t="shared" si="15"/>
        <v>-13370.081423242191</v>
      </c>
      <c r="L18" s="631">
        <v>13595.874211314031</v>
      </c>
      <c r="M18" s="632">
        <f>SUMIFS('Measure Level Adjustments Tab'!$BQ$5:$BQ$1506,'Measure Level Adjustments Tab'!$BQ$5:$BQ$1506,"&gt;0",'Measure Level Adjustments Tab'!$B$5:$B$1506,$A18)/1000</f>
        <v>371.04366155302489</v>
      </c>
      <c r="N18" s="633">
        <f t="shared" si="16"/>
        <v>-13224.830549761005</v>
      </c>
      <c r="O18" s="634">
        <v>277488.00946212956</v>
      </c>
      <c r="P18" s="632">
        <f>SUMIFS('Measure Level Adjustments Tab'!$BR$5:$BR$1506,'Measure Level Adjustments Tab'!$BR$5:$BR$1506,"&gt;0",'Measure Level Adjustments Tab'!$B$5:$B$1506,$A18)</f>
        <v>289115.44303767529</v>
      </c>
      <c r="Q18" s="632">
        <f t="shared" si="10"/>
        <v>11627.433575545729</v>
      </c>
      <c r="R18" s="631">
        <v>264919.19277703069</v>
      </c>
      <c r="S18" s="632">
        <f>SUMIFS('Measure Level Adjustments Tab'!$BS$5:$BS$1506,'Measure Level Adjustments Tab'!$BS$5:$BS$1506,"&gt;0",'Measure Level Adjustments Tab'!$B$5:$B$1506,$A18)</f>
        <v>275444.47746081481</v>
      </c>
      <c r="T18" s="632">
        <f t="shared" si="17"/>
        <v>10525.284683784121</v>
      </c>
      <c r="U18" s="631">
        <v>277389.6843981744</v>
      </c>
      <c r="V18" s="632">
        <f>SUMIFS('Measure Level Adjustments Tab'!$BT$5:$BT$1506,'Measure Level Adjustments Tab'!$BT$5:$BT$1506,"&gt;0",'Measure Level Adjustments Tab'!$B$5:$B$1506,$A18)</f>
        <v>288298.59589995845</v>
      </c>
      <c r="W18" s="632">
        <f t="shared" si="18"/>
        <v>10908.911501784052</v>
      </c>
      <c r="X18" s="631">
        <v>277993.68363918766</v>
      </c>
      <c r="Y18" s="632">
        <f>SUMIFS('Measure Level Adjustments Tab'!$BU$5:$BU$1506,'Measure Level Adjustments Tab'!$BU$5:$BU$1506,"&gt;0",'Measure Level Adjustments Tab'!$B$5:$B$1506,$A18)</f>
        <v>288707.46796500828</v>
      </c>
      <c r="Z18" s="633">
        <f t="shared" si="19"/>
        <v>10713.784325820627</v>
      </c>
    </row>
    <row r="19" spans="1:26" ht="14.25" customHeight="1" x14ac:dyDescent="0.35">
      <c r="A19" s="646" t="s">
        <v>3007</v>
      </c>
      <c r="B19" s="630" t="s">
        <v>1900</v>
      </c>
      <c r="C19" s="631">
        <v>223.49442960000002</v>
      </c>
      <c r="D19" s="632">
        <f>SUMIFS('Measure Level Adjustments Tab'!$BN$5:$BN$1506,'Measure Level Adjustments Tab'!$BN$5:$BN$1506,"&gt;0",'Measure Level Adjustments Tab'!$B$5:$B$1506,$A19)/1000</f>
        <v>0</v>
      </c>
      <c r="E19" s="632">
        <f>D19-C19</f>
        <v>-223.49442960000002</v>
      </c>
      <c r="F19" s="631">
        <v>223.49442960000002</v>
      </c>
      <c r="G19" s="2318">
        <f>SUMIFS('Measure Level Adjustments Tab'!$BO$5:$BO$1506,'Measure Level Adjustments Tab'!$BO$5:$BO$1506,"&gt;0",'Measure Level Adjustments Tab'!$B$5:$B$1506,$A19)/1000</f>
        <v>0</v>
      </c>
      <c r="H19" s="632">
        <f t="shared" si="14"/>
        <v>-223.49442960000002</v>
      </c>
      <c r="I19" s="631">
        <v>223.49442960000002</v>
      </c>
      <c r="J19" s="632">
        <f>SUMIFS('Measure Level Adjustments Tab'!$BP$5:$BP$1506,'Measure Level Adjustments Tab'!$BP$5:$BP$1506,"&gt;0",'Measure Level Adjustments Tab'!$B$5:$B$1506,$A19)/1000</f>
        <v>0</v>
      </c>
      <c r="K19" s="632">
        <f t="shared" si="15"/>
        <v>-223.49442960000002</v>
      </c>
      <c r="L19" s="631">
        <v>223.49442960000002</v>
      </c>
      <c r="M19" s="632">
        <f>SUMIFS('Measure Level Adjustments Tab'!$BQ$5:$BQ$1506,'Measure Level Adjustments Tab'!$BQ$5:$BQ$1506,"&gt;0",'Measure Level Adjustments Tab'!$B$5:$B$1506,$A19)/1000</f>
        <v>0</v>
      </c>
      <c r="N19" s="633">
        <f t="shared" si="16"/>
        <v>-223.49442960000002</v>
      </c>
      <c r="O19" s="634">
        <v>0</v>
      </c>
      <c r="P19" s="632">
        <f>SUMIFS('Measure Level Adjustments Tab'!$BR$5:$BR$1506,'Measure Level Adjustments Tab'!$BR$5:$BR$1506,"&gt;0",'Measure Level Adjustments Tab'!$B$5:$B$1506,$A19)</f>
        <v>0</v>
      </c>
      <c r="Q19" s="632">
        <f t="shared" si="10"/>
        <v>0</v>
      </c>
      <c r="R19" s="631">
        <v>0</v>
      </c>
      <c r="S19" s="632">
        <f>SUMIFS('Measure Level Adjustments Tab'!$BS$5:$BS$1506,'Measure Level Adjustments Tab'!$BS$5:$BS$1506,"&gt;0",'Measure Level Adjustments Tab'!$B$5:$B$1506,$A19)</f>
        <v>0</v>
      </c>
      <c r="T19" s="632">
        <f t="shared" si="17"/>
        <v>0</v>
      </c>
      <c r="U19" s="631">
        <v>0</v>
      </c>
      <c r="V19" s="632">
        <f>SUMIFS('Measure Level Adjustments Tab'!$BT$5:$BT$1506,'Measure Level Adjustments Tab'!$BT$5:$BT$1506,"&gt;0",'Measure Level Adjustments Tab'!$B$5:$B$1506,$A19)</f>
        <v>0</v>
      </c>
      <c r="W19" s="632">
        <f t="shared" si="18"/>
        <v>0</v>
      </c>
      <c r="X19" s="631">
        <v>0</v>
      </c>
      <c r="Y19" s="632">
        <f>SUMIFS('Measure Level Adjustments Tab'!$BU$5:$BU$1506,'Measure Level Adjustments Tab'!$BU$5:$BU$1506,"&gt;0",'Measure Level Adjustments Tab'!$B$5:$B$1506,$A19)</f>
        <v>0</v>
      </c>
      <c r="Z19" s="633">
        <f t="shared" si="19"/>
        <v>0</v>
      </c>
    </row>
    <row r="20" spans="1:26" ht="14.25" customHeight="1" x14ac:dyDescent="0.35">
      <c r="A20" s="646" t="s">
        <v>3008</v>
      </c>
      <c r="B20" s="630" t="s">
        <v>1890</v>
      </c>
      <c r="C20" s="631">
        <v>61893.387870600003</v>
      </c>
      <c r="D20" s="632">
        <f>SUMIFS('Measure Level Adjustments Tab'!$BN$5:$BN$1506,'Measure Level Adjustments Tab'!$BN$5:$BN$1506,"&gt;0",'Measure Level Adjustments Tab'!$B$5:$B$1506,$A20)/1000</f>
        <v>61893.387870599996</v>
      </c>
      <c r="E20" s="632">
        <f>D20-C20</f>
        <v>0</v>
      </c>
      <c r="F20" s="631">
        <v>67776.977367512198</v>
      </c>
      <c r="G20" s="2318">
        <f>SUMIFS('Measure Level Adjustments Tab'!$BO$5:$BO$1506,'Measure Level Adjustments Tab'!$BO$5:$BO$1506,"&gt;0",'Measure Level Adjustments Tab'!$B$5:$B$1506,$A20)/1000</f>
        <v>67776.977367512183</v>
      </c>
      <c r="H20" s="632">
        <f t="shared" ref="H20:H24" si="21">G20-F20</f>
        <v>0</v>
      </c>
      <c r="I20" s="631">
        <v>73077.011036560987</v>
      </c>
      <c r="J20" s="632">
        <f>SUMIFS('Measure Level Adjustments Tab'!$BP$5:$BP$1506,'Measure Level Adjustments Tab'!$BP$5:$BP$1506,"&gt;0",'Measure Level Adjustments Tab'!$B$5:$B$1506,$A20)/1000</f>
        <v>73077.011036560973</v>
      </c>
      <c r="K20" s="632">
        <f t="shared" ref="K20:K24" si="22">J20-I20</f>
        <v>0</v>
      </c>
      <c r="L20" s="631">
        <v>104246.16650580001</v>
      </c>
      <c r="M20" s="632">
        <f>SUMIFS('Measure Level Adjustments Tab'!$BQ$5:$BQ$1506,'Measure Level Adjustments Tab'!$BQ$5:$BQ$1506,"&gt;0",'Measure Level Adjustments Tab'!$B$5:$B$1506,$A20)/1000</f>
        <v>104246.16650579999</v>
      </c>
      <c r="N20" s="633">
        <f t="shared" si="16"/>
        <v>0</v>
      </c>
      <c r="O20" s="634">
        <v>411337.77659999992</v>
      </c>
      <c r="P20" s="632">
        <f>SUMIFS('Measure Level Adjustments Tab'!$BR$5:$BR$1506,'Measure Level Adjustments Tab'!$BR$5:$BR$1506,"&gt;0",'Measure Level Adjustments Tab'!$B$5:$B$1506,$A20)</f>
        <v>411337.77659999992</v>
      </c>
      <c r="Q20" s="632">
        <f t="shared" ref="Q20:Q24" si="23">P20-O20</f>
        <v>0</v>
      </c>
      <c r="R20" s="631">
        <v>351658.50479999994</v>
      </c>
      <c r="S20" s="632">
        <f>SUMIFS('Measure Level Adjustments Tab'!$BS$5:$BS$1506,'Measure Level Adjustments Tab'!$BS$5:$BS$1506,"&gt;0",'Measure Level Adjustments Tab'!$B$5:$B$1506,$A20)</f>
        <v>351658.50479999994</v>
      </c>
      <c r="T20" s="632">
        <f t="shared" si="17"/>
        <v>0</v>
      </c>
      <c r="U20" s="631">
        <v>334332.26459999999</v>
      </c>
      <c r="V20" s="632">
        <f>SUMIFS('Measure Level Adjustments Tab'!$BT$5:$BT$1506,'Measure Level Adjustments Tab'!$BT$5:$BT$1506,"&gt;0",'Measure Level Adjustments Tab'!$B$5:$B$1506,$A20)</f>
        <v>334332.26459999999</v>
      </c>
      <c r="W20" s="632">
        <f t="shared" ref="W20:W24" si="24">V20-U20</f>
        <v>0</v>
      </c>
      <c r="X20" s="631">
        <v>343316.24099999998</v>
      </c>
      <c r="Y20" s="632">
        <f>SUMIFS('Measure Level Adjustments Tab'!$BU$5:$BU$1506,'Measure Level Adjustments Tab'!$BU$5:$BU$1506,"&gt;0",'Measure Level Adjustments Tab'!$B$5:$B$1506,$A20)</f>
        <v>343316.24099999998</v>
      </c>
      <c r="Z20" s="633">
        <f t="shared" si="19"/>
        <v>0</v>
      </c>
    </row>
    <row r="21" spans="1:26" ht="14.25" customHeight="1" x14ac:dyDescent="0.35">
      <c r="A21" s="646" t="s">
        <v>3009</v>
      </c>
      <c r="B21" s="630" t="s">
        <v>1901</v>
      </c>
      <c r="C21" s="631">
        <v>6572.7491543999995</v>
      </c>
      <c r="D21" s="632">
        <f>SUMIFS('Measure Level Adjustments Tab'!$BN$5:$BN$1506,'Measure Level Adjustments Tab'!$BN$5:$BN$1506,"&gt;0",'Measure Level Adjustments Tab'!$B$5:$B$1506,$A21)/1000</f>
        <v>6572.7491543999995</v>
      </c>
      <c r="E21" s="632">
        <f t="shared" si="20"/>
        <v>0</v>
      </c>
      <c r="F21" s="631">
        <v>6657.0151691999999</v>
      </c>
      <c r="G21" s="2318">
        <f>SUMIFS('Measure Level Adjustments Tab'!$BO$5:$BO$1506,'Measure Level Adjustments Tab'!$BO$5:$BO$1506,"&gt;0",'Measure Level Adjustments Tab'!$B$5:$B$1506,$A21)/1000</f>
        <v>6657.015169199999</v>
      </c>
      <c r="H21" s="632">
        <f t="shared" si="21"/>
        <v>0</v>
      </c>
      <c r="I21" s="631">
        <v>6657.0151691999999</v>
      </c>
      <c r="J21" s="632">
        <f>SUMIFS('Measure Level Adjustments Tab'!$BP$5:$BP$1506,'Measure Level Adjustments Tab'!$BP$5:$BP$1506,"&gt;0",'Measure Level Adjustments Tab'!$B$5:$B$1506,$A21)/1000</f>
        <v>6657.015169199999</v>
      </c>
      <c r="K21" s="632">
        <f t="shared" si="22"/>
        <v>0</v>
      </c>
      <c r="L21" s="631">
        <v>6657.0151691999999</v>
      </c>
      <c r="M21" s="632">
        <f>SUMIFS('Measure Level Adjustments Tab'!$BQ$5:$BQ$1506,'Measure Level Adjustments Tab'!$BQ$5:$BQ$1506,"&gt;0",'Measure Level Adjustments Tab'!$B$5:$B$1506,$A21)/1000</f>
        <v>6657.015169199999</v>
      </c>
      <c r="N21" s="633">
        <f t="shared" si="16"/>
        <v>0</v>
      </c>
      <c r="O21" s="634">
        <v>96256.889999999985</v>
      </c>
      <c r="P21" s="632">
        <f>SUMIFS('Measure Level Adjustments Tab'!$BR$5:$BR$1506,'Measure Level Adjustments Tab'!$BR$5:$BR$1506,"&gt;0",'Measure Level Adjustments Tab'!$B$5:$B$1506,$A21)</f>
        <v>96256.889999999985</v>
      </c>
      <c r="Q21" s="632">
        <f t="shared" si="23"/>
        <v>0</v>
      </c>
      <c r="R21" s="631">
        <v>96256.889999999985</v>
      </c>
      <c r="S21" s="632">
        <f>SUMIFS('Measure Level Adjustments Tab'!$BS$5:$BS$1506,'Measure Level Adjustments Tab'!$BS$5:$BS$1506,"&gt;0",'Measure Level Adjustments Tab'!$B$5:$B$1506,$A21)</f>
        <v>96256.889999999985</v>
      </c>
      <c r="T21" s="632">
        <f t="shared" si="17"/>
        <v>0</v>
      </c>
      <c r="U21" s="631">
        <v>96256.889999999985</v>
      </c>
      <c r="V21" s="632">
        <f>SUMIFS('Measure Level Adjustments Tab'!$BT$5:$BT$1506,'Measure Level Adjustments Tab'!$BT$5:$BT$1506,"&gt;0",'Measure Level Adjustments Tab'!$B$5:$B$1506,$A21)</f>
        <v>96256.889999999985</v>
      </c>
      <c r="W21" s="632">
        <f t="shared" si="24"/>
        <v>0</v>
      </c>
      <c r="X21" s="631">
        <v>98182.027799999996</v>
      </c>
      <c r="Y21" s="632">
        <f>SUMIFS('Measure Level Adjustments Tab'!$BU$5:$BU$1506,'Measure Level Adjustments Tab'!$BU$5:$BU$1506,"&gt;0",'Measure Level Adjustments Tab'!$B$5:$B$1506,$A21)</f>
        <v>98182.027799999996</v>
      </c>
      <c r="Z21" s="633">
        <f t="shared" si="19"/>
        <v>0</v>
      </c>
    </row>
    <row r="22" spans="1:26" ht="14.25" customHeight="1" x14ac:dyDescent="0.35">
      <c r="A22" s="646" t="s">
        <v>3010</v>
      </c>
      <c r="B22" s="630" t="s">
        <v>1902</v>
      </c>
      <c r="C22" s="631">
        <v>10124.498648000001</v>
      </c>
      <c r="D22" s="632">
        <f>SUMIFS('Measure Level Adjustments Tab'!$BN$5:$BN$1506,'Measure Level Adjustments Tab'!$BN$5:$BN$1506,"&gt;0",'Measure Level Adjustments Tab'!$B$5:$B$1506,$A22)/1000</f>
        <v>10124.498648000001</v>
      </c>
      <c r="E22" s="632">
        <f t="shared" si="20"/>
        <v>0</v>
      </c>
      <c r="F22" s="631">
        <v>10381.901156</v>
      </c>
      <c r="G22" s="2318">
        <f>SUMIFS('Measure Level Adjustments Tab'!$BO$5:$BO$1506,'Measure Level Adjustments Tab'!$BO$5:$BO$1506,"&gt;0",'Measure Level Adjustments Tab'!$B$5:$B$1506,$A22)/1000</f>
        <v>10381.901156000002</v>
      </c>
      <c r="H22" s="632">
        <f t="shared" si="21"/>
        <v>0</v>
      </c>
      <c r="I22" s="631">
        <v>10424.801574000001</v>
      </c>
      <c r="J22" s="632">
        <f>SUMIFS('Measure Level Adjustments Tab'!$BP$5:$BP$1506,'Measure Level Adjustments Tab'!$BP$5:$BP$1506,"&gt;0",'Measure Level Adjustments Tab'!$B$5:$B$1506,$A22)/1000</f>
        <v>10424.801574000001</v>
      </c>
      <c r="K22" s="632">
        <f t="shared" si="22"/>
        <v>0</v>
      </c>
      <c r="L22" s="631">
        <v>10253.199902</v>
      </c>
      <c r="M22" s="632">
        <f>SUMIFS('Measure Level Adjustments Tab'!$BQ$5:$BQ$1506,'Measure Level Adjustments Tab'!$BQ$5:$BQ$1506,"&gt;0",'Measure Level Adjustments Tab'!$B$5:$B$1506,$A22)/1000</f>
        <v>10253.199902</v>
      </c>
      <c r="N22" s="633">
        <f t="shared" si="16"/>
        <v>0</v>
      </c>
      <c r="O22" s="634">
        <v>280429.82400000002</v>
      </c>
      <c r="P22" s="632">
        <f>SUMIFS('Measure Level Adjustments Tab'!$BR$5:$BR$1506,'Measure Level Adjustments Tab'!$BR$5:$BR$1506,"&gt;0",'Measure Level Adjustments Tab'!$B$5:$B$1506,$A22)</f>
        <v>280429.82400000002</v>
      </c>
      <c r="Q22" s="632">
        <f t="shared" si="23"/>
        <v>0</v>
      </c>
      <c r="R22" s="631">
        <v>262902.96000000002</v>
      </c>
      <c r="S22" s="632">
        <f>SUMIFS('Measure Level Adjustments Tab'!$BS$5:$BS$1506,'Measure Level Adjustments Tab'!$BS$5:$BS$1506,"&gt;0",'Measure Level Adjustments Tab'!$B$5:$B$1506,$A22)</f>
        <v>262902.96000000002</v>
      </c>
      <c r="T22" s="632">
        <f t="shared" si="17"/>
        <v>0</v>
      </c>
      <c r="U22" s="631">
        <v>280429.82400000002</v>
      </c>
      <c r="V22" s="632">
        <f>SUMIFS('Measure Level Adjustments Tab'!$BT$5:$BT$1506,'Measure Level Adjustments Tab'!$BT$5:$BT$1506,"&gt;0",'Measure Level Adjustments Tab'!$B$5:$B$1506,$A22)</f>
        <v>280429.82400000002</v>
      </c>
      <c r="W22" s="632">
        <f t="shared" si="24"/>
        <v>0</v>
      </c>
      <c r="X22" s="631">
        <v>280429.82400000002</v>
      </c>
      <c r="Y22" s="632">
        <f>SUMIFS('Measure Level Adjustments Tab'!$BU$5:$BU$1506,'Measure Level Adjustments Tab'!$BU$5:$BU$1506,"&gt;0",'Measure Level Adjustments Tab'!$B$5:$B$1506,$A22)</f>
        <v>280429.82400000002</v>
      </c>
      <c r="Z22" s="633">
        <f t="shared" si="19"/>
        <v>0</v>
      </c>
    </row>
    <row r="23" spans="1:26" ht="14.25" customHeight="1" x14ac:dyDescent="0.35">
      <c r="A23" s="646" t="s">
        <v>3011</v>
      </c>
      <c r="B23" s="630" t="s">
        <v>1903</v>
      </c>
      <c r="C23" s="631">
        <v>514.80501599999991</v>
      </c>
      <c r="D23" s="632">
        <f>SUMIFS('Measure Level Adjustments Tab'!$BN$5:$BN$1506,'Measure Level Adjustments Tab'!$BN$5:$BN$1506,"&gt;0",'Measure Level Adjustments Tab'!$B$5:$B$1506,$A23)/1000</f>
        <v>514.80501600000002</v>
      </c>
      <c r="E23" s="632">
        <f t="shared" si="20"/>
        <v>0</v>
      </c>
      <c r="F23" s="631">
        <v>514.80501599999991</v>
      </c>
      <c r="G23" s="2318">
        <f>SUMIFS('Measure Level Adjustments Tab'!$BO$5:$BO$1506,'Measure Level Adjustments Tab'!$BO$5:$BO$1506,"&gt;0",'Measure Level Adjustments Tab'!$B$5:$B$1506,$A23)/1000</f>
        <v>514.80501600000002</v>
      </c>
      <c r="H23" s="632">
        <f t="shared" si="21"/>
        <v>0</v>
      </c>
      <c r="I23" s="631">
        <v>514.80501599999991</v>
      </c>
      <c r="J23" s="632">
        <f>SUMIFS('Measure Level Adjustments Tab'!$BP$5:$BP$1506,'Measure Level Adjustments Tab'!$BP$5:$BP$1506,"&gt;0",'Measure Level Adjustments Tab'!$B$5:$B$1506,$A23)/1000</f>
        <v>514.80501600000002</v>
      </c>
      <c r="K23" s="632">
        <f t="shared" si="22"/>
        <v>0</v>
      </c>
      <c r="L23" s="631">
        <v>514.80501599999991</v>
      </c>
      <c r="M23" s="632">
        <f>SUMIFS('Measure Level Adjustments Tab'!$BQ$5:$BQ$1506,'Measure Level Adjustments Tab'!$BQ$5:$BQ$1506,"&gt;0",'Measure Level Adjustments Tab'!$B$5:$B$1506,$A23)/1000</f>
        <v>514.80501600000002</v>
      </c>
      <c r="N23" s="633">
        <f t="shared" si="16"/>
        <v>0</v>
      </c>
      <c r="O23" s="634">
        <v>43817.16</v>
      </c>
      <c r="P23" s="632">
        <f>SUMIFS('Measure Level Adjustments Tab'!$BR$5:$BR$1506,'Measure Level Adjustments Tab'!$BR$5:$BR$1506,"&gt;0",'Measure Level Adjustments Tab'!$B$5:$B$1506,$A23)</f>
        <v>43817.16</v>
      </c>
      <c r="Q23" s="632">
        <f t="shared" si="23"/>
        <v>0</v>
      </c>
      <c r="R23" s="631">
        <v>43817.16</v>
      </c>
      <c r="S23" s="632">
        <f>SUMIFS('Measure Level Adjustments Tab'!$BS$5:$BS$1506,'Measure Level Adjustments Tab'!$BS$5:$BS$1506,"&gt;0",'Measure Level Adjustments Tab'!$B$5:$B$1506,$A23)</f>
        <v>43817.16</v>
      </c>
      <c r="T23" s="632">
        <f t="shared" si="17"/>
        <v>0</v>
      </c>
      <c r="U23" s="631">
        <v>43817.16</v>
      </c>
      <c r="V23" s="632">
        <f>SUMIFS('Measure Level Adjustments Tab'!$BT$5:$BT$1506,'Measure Level Adjustments Tab'!$BT$5:$BT$1506,"&gt;0",'Measure Level Adjustments Tab'!$B$5:$B$1506,$A23)</f>
        <v>43817.16</v>
      </c>
      <c r="W23" s="632">
        <f t="shared" si="24"/>
        <v>0</v>
      </c>
      <c r="X23" s="631">
        <v>43817.16</v>
      </c>
      <c r="Y23" s="632">
        <f>SUMIFS('Measure Level Adjustments Tab'!$BU$5:$BU$1506,'Measure Level Adjustments Tab'!$BU$5:$BU$1506,"&gt;0",'Measure Level Adjustments Tab'!$B$5:$B$1506,$A23)</f>
        <v>43817.16</v>
      </c>
      <c r="Z23" s="633">
        <f t="shared" si="19"/>
        <v>0</v>
      </c>
    </row>
    <row r="24" spans="1:26" ht="14.25" customHeight="1" thickBot="1" x14ac:dyDescent="0.4">
      <c r="A24" s="646" t="s">
        <v>3012</v>
      </c>
      <c r="B24" s="630" t="s">
        <v>1904</v>
      </c>
      <c r="C24" s="631">
        <v>5587.360740000001</v>
      </c>
      <c r="D24" s="632">
        <f>SUMIFS('Measure Level Adjustments Tab'!$BN$5:$BN$1506,'Measure Level Adjustments Tab'!$BN$5:$BN$1506,"&gt;0",'Measure Level Adjustments Tab'!$B$5:$B$1506,$A24)/1000</f>
        <v>0</v>
      </c>
      <c r="E24" s="632">
        <f>D24-C24</f>
        <v>-5587.360740000001</v>
      </c>
      <c r="F24" s="631">
        <v>5587.360740000001</v>
      </c>
      <c r="G24" s="2318">
        <f>SUMIFS('Measure Level Adjustments Tab'!$BO$5:$BO$1506,'Measure Level Adjustments Tab'!$BO$5:$BO$1506,"&gt;0",'Measure Level Adjustments Tab'!$B$5:$B$1506,$A24)/1000</f>
        <v>0</v>
      </c>
      <c r="H24" s="632">
        <f t="shared" si="21"/>
        <v>-5587.360740000001</v>
      </c>
      <c r="I24" s="631">
        <v>5587.360740000001</v>
      </c>
      <c r="J24" s="632">
        <f>SUMIFS('Measure Level Adjustments Tab'!$BP$5:$BP$1506,'Measure Level Adjustments Tab'!$BP$5:$BP$1506,"&gt;0",'Measure Level Adjustments Tab'!$B$5:$B$1506,$A24)/1000</f>
        <v>0</v>
      </c>
      <c r="K24" s="632">
        <f t="shared" si="22"/>
        <v>-5587.360740000001</v>
      </c>
      <c r="L24" s="631">
        <v>5587.360740000001</v>
      </c>
      <c r="M24" s="632">
        <f>SUMIFS('Measure Level Adjustments Tab'!$BQ$5:$BQ$1506,'Measure Level Adjustments Tab'!$BQ$5:$BQ$1506,"&gt;0",'Measure Level Adjustments Tab'!$B$5:$B$1506,$A24)/1000</f>
        <v>0</v>
      </c>
      <c r="N24" s="633">
        <f t="shared" si="16"/>
        <v>-5587.360740000001</v>
      </c>
      <c r="O24" s="634">
        <v>0</v>
      </c>
      <c r="P24" s="632">
        <f>SUMIFS('Measure Level Adjustments Tab'!$BR$5:$BR$1506,'Measure Level Adjustments Tab'!$BR$5:$BR$1506,"&gt;0",'Measure Level Adjustments Tab'!$B$5:$B$1506,$A24)</f>
        <v>0</v>
      </c>
      <c r="Q24" s="632">
        <f t="shared" si="23"/>
        <v>0</v>
      </c>
      <c r="R24" s="631">
        <v>0</v>
      </c>
      <c r="S24" s="632">
        <f>SUMIFS('Measure Level Adjustments Tab'!$BS$5:$BS$1506,'Measure Level Adjustments Tab'!$BS$5:$BS$1506,"&gt;0",'Measure Level Adjustments Tab'!$B$5:$B$1506,$A24)</f>
        <v>0</v>
      </c>
      <c r="T24" s="632">
        <f t="shared" si="17"/>
        <v>0</v>
      </c>
      <c r="U24" s="631">
        <v>0</v>
      </c>
      <c r="V24" s="632">
        <f>SUMIFS('Measure Level Adjustments Tab'!$BT$5:$BT$1506,'Measure Level Adjustments Tab'!$BT$5:$BT$1506,"&gt;0",'Measure Level Adjustments Tab'!$B$5:$B$1506,$A24)</f>
        <v>0</v>
      </c>
      <c r="W24" s="632">
        <f t="shared" si="24"/>
        <v>0</v>
      </c>
      <c r="X24" s="631">
        <v>0</v>
      </c>
      <c r="Y24" s="632">
        <f>SUMIFS('Measure Level Adjustments Tab'!$BU$5:$BU$1506,'Measure Level Adjustments Tab'!$BU$5:$BU$1506,"&gt;0",'Measure Level Adjustments Tab'!$B$5:$B$1506,$A24)</f>
        <v>0</v>
      </c>
      <c r="Z24" s="633">
        <f t="shared" si="19"/>
        <v>0</v>
      </c>
    </row>
    <row r="25" spans="1:26" ht="14.25" customHeight="1" thickBot="1" x14ac:dyDescent="0.4">
      <c r="A25" s="646"/>
      <c r="B25" s="635" t="s">
        <v>1891</v>
      </c>
      <c r="C25" s="2323">
        <f>SUM(C16:C24)</f>
        <v>240272.87974758464</v>
      </c>
      <c r="D25" s="637">
        <f>SUM(D16:D24)</f>
        <v>80387.137043249008</v>
      </c>
      <c r="E25" s="637">
        <f t="shared" ref="E25" si="25">D25-C25</f>
        <v>-159885.74270433563</v>
      </c>
      <c r="F25" s="636">
        <f>SUM(F16:F24)</f>
        <v>239400.22656781678</v>
      </c>
      <c r="G25" s="637">
        <f>SUM(G16:G24)</f>
        <v>86256.448891439082</v>
      </c>
      <c r="H25" s="637">
        <f t="shared" si="14"/>
        <v>-153143.77767637768</v>
      </c>
      <c r="I25" s="636">
        <f>SUM(I16:I24)</f>
        <v>242767.16323051217</v>
      </c>
      <c r="J25" s="637">
        <f>SUM(J16:J24)</f>
        <v>91722.240055311995</v>
      </c>
      <c r="K25" s="637">
        <f t="shared" si="15"/>
        <v>-151044.92317520018</v>
      </c>
      <c r="L25" s="636">
        <f>SUM(L16:L24)</f>
        <v>271654.4151228097</v>
      </c>
      <c r="M25" s="637">
        <f>SUM(M16:M24)</f>
        <v>122719.27271388177</v>
      </c>
      <c r="N25" s="638">
        <f t="shared" si="16"/>
        <v>-148935.14240892793</v>
      </c>
      <c r="O25" s="639">
        <f>SUM(O16:O24)</f>
        <v>2282020.2975955643</v>
      </c>
      <c r="P25" s="637">
        <f>SUM(P16:P24)</f>
        <v>2313284.3992257882</v>
      </c>
      <c r="Q25" s="637">
        <f t="shared" si="10"/>
        <v>31264.101630223915</v>
      </c>
      <c r="R25" s="636">
        <f>SUM(R16:R24)</f>
        <v>2071302.5561518914</v>
      </c>
      <c r="S25" s="637">
        <f>SUM(S16:S24)</f>
        <v>2100066.8378168917</v>
      </c>
      <c r="T25" s="637">
        <f t="shared" ref="T25" si="26">S25-R25</f>
        <v>28764.281665000366</v>
      </c>
      <c r="U25" s="636">
        <f>SUM(U16:U24)</f>
        <v>1561036.3975161486</v>
      </c>
      <c r="V25" s="637">
        <f>SUM(V16:V24)</f>
        <v>1592203.9559691688</v>
      </c>
      <c r="W25" s="637">
        <f t="shared" si="18"/>
        <v>31167.558453020174</v>
      </c>
      <c r="X25" s="636">
        <f>SUM(X16:X24)</f>
        <v>1615626.562792364</v>
      </c>
      <c r="Y25" s="637">
        <f>SUM(Y16:Y24)</f>
        <v>1646743.3491552279</v>
      </c>
      <c r="Z25" s="638">
        <f t="shared" si="19"/>
        <v>31116.786362863844</v>
      </c>
    </row>
    <row r="26" spans="1:26" s="600" customFormat="1" ht="14.25" customHeight="1" thickBot="1" x14ac:dyDescent="0.4">
      <c r="A26" s="646"/>
      <c r="B26" s="640" t="s">
        <v>3302</v>
      </c>
      <c r="C26" s="641">
        <v>12921.558515334506</v>
      </c>
      <c r="D26" s="2324">
        <v>12921.558515334506</v>
      </c>
      <c r="E26" s="2325"/>
      <c r="F26" s="641">
        <v>12921.558515334506</v>
      </c>
      <c r="G26" s="2324">
        <v>12921.558515334506</v>
      </c>
      <c r="H26" s="2325"/>
      <c r="I26" s="641">
        <v>12921.558515334506</v>
      </c>
      <c r="J26" s="2324">
        <v>12921.558515334506</v>
      </c>
      <c r="K26" s="2325"/>
      <c r="L26" s="641">
        <v>12921.558515334506</v>
      </c>
      <c r="M26" s="2324">
        <v>12921.558515334506</v>
      </c>
      <c r="N26" s="2325"/>
      <c r="O26" s="2326">
        <v>-441008.82304895925</v>
      </c>
      <c r="P26" s="2327">
        <v>-441008.82304895925</v>
      </c>
      <c r="Q26" s="2327"/>
      <c r="R26" s="2328">
        <v>-441008.82304895925</v>
      </c>
      <c r="S26" s="2327">
        <v>-441008.82304895925</v>
      </c>
      <c r="T26" s="2327"/>
      <c r="U26" s="2328">
        <v>-441008.82304895925</v>
      </c>
      <c r="V26" s="2327">
        <v>-441008.82304895925</v>
      </c>
      <c r="W26" s="2327"/>
      <c r="X26" s="2328">
        <v>-441008.82304895925</v>
      </c>
      <c r="Y26" s="2327">
        <v>-441008.82304895925</v>
      </c>
      <c r="Z26" s="2329"/>
    </row>
    <row r="27" spans="1:26" ht="14.25" customHeight="1" thickBot="1" x14ac:dyDescent="0.4">
      <c r="A27" s="646"/>
      <c r="B27" s="640" t="s">
        <v>1892</v>
      </c>
      <c r="C27" s="641">
        <f t="shared" ref="C27:Z27" si="27">SUM(C15,C25,C26)</f>
        <v>347176.07080409309</v>
      </c>
      <c r="D27" s="2324">
        <f t="shared" ca="1" si="27"/>
        <v>105049.90427496354</v>
      </c>
      <c r="E27" s="2324">
        <f t="shared" ca="1" si="27"/>
        <v>-242126.16652912955</v>
      </c>
      <c r="F27" s="641">
        <f t="shared" si="27"/>
        <v>344832.29709704901</v>
      </c>
      <c r="G27" s="2324">
        <f t="shared" ca="1" si="27"/>
        <v>109938.04546785897</v>
      </c>
      <c r="H27" s="2324">
        <f ca="1">SUM(H15,H25,H26)</f>
        <v>-234894.25162919005</v>
      </c>
      <c r="I27" s="641">
        <f t="shared" si="27"/>
        <v>326244.28273999214</v>
      </c>
      <c r="J27" s="2324">
        <f t="shared" ca="1" si="27"/>
        <v>115555.79975761348</v>
      </c>
      <c r="K27" s="2324">
        <f t="shared" ca="1" si="27"/>
        <v>-210688.48298237869</v>
      </c>
      <c r="L27" s="641">
        <f t="shared" si="27"/>
        <v>350242.25260483928</v>
      </c>
      <c r="M27" s="2324">
        <f t="shared" ca="1" si="27"/>
        <v>174029.12931670292</v>
      </c>
      <c r="N27" s="2324">
        <f t="shared" ca="1" si="27"/>
        <v>-176213.12328813638</v>
      </c>
      <c r="O27" s="2326">
        <f t="shared" si="27"/>
        <v>3716492.4028970562</v>
      </c>
      <c r="P27" s="2330">
        <f t="shared" si="27"/>
        <v>3785084.4729015185</v>
      </c>
      <c r="Q27" s="2330">
        <f t="shared" si="27"/>
        <v>68592.070004462032</v>
      </c>
      <c r="R27" s="2328">
        <f t="shared" si="27"/>
        <v>3524551.0061848769</v>
      </c>
      <c r="S27" s="2330">
        <f t="shared" si="27"/>
        <v>3590526.816911608</v>
      </c>
      <c r="T27" s="2330">
        <f t="shared" si="27"/>
        <v>65975.810726731783</v>
      </c>
      <c r="U27" s="2328">
        <f t="shared" si="27"/>
        <v>3074613.331617007</v>
      </c>
      <c r="V27" s="2330">
        <f t="shared" si="27"/>
        <v>3162588.4558287216</v>
      </c>
      <c r="W27" s="2330">
        <f t="shared" si="27"/>
        <v>87975.12421171437</v>
      </c>
      <c r="X27" s="2328">
        <f t="shared" si="27"/>
        <v>3129203.8553342046</v>
      </c>
      <c r="Y27" s="2330">
        <f t="shared" si="27"/>
        <v>3209155.0991753973</v>
      </c>
      <c r="Z27" s="2331">
        <f t="shared" si="27"/>
        <v>79951.243841192685</v>
      </c>
    </row>
    <row r="28" spans="1:26" ht="14.25" customHeight="1" x14ac:dyDescent="0.35">
      <c r="B28" s="642"/>
      <c r="C28" s="643"/>
      <c r="D28" s="643"/>
      <c r="E28" s="643"/>
      <c r="F28" s="643"/>
      <c r="G28" s="643"/>
      <c r="H28" s="643"/>
      <c r="I28" s="643"/>
      <c r="J28" s="643"/>
      <c r="K28" s="643"/>
      <c r="L28" s="643"/>
      <c r="M28" s="643"/>
      <c r="N28" s="643"/>
      <c r="O28" s="643"/>
      <c r="P28" s="643"/>
      <c r="Q28" s="643"/>
      <c r="R28" s="643"/>
      <c r="S28" s="644"/>
      <c r="T28" s="643"/>
    </row>
    <row r="29" spans="1:26" ht="14.25" customHeight="1" x14ac:dyDescent="0.35">
      <c r="B29" s="2871" t="s">
        <v>3296</v>
      </c>
      <c r="C29" s="2871"/>
      <c r="D29" s="2871"/>
      <c r="E29" s="2871"/>
      <c r="F29" s="2871"/>
      <c r="G29" s="2871"/>
      <c r="H29" s="2871"/>
      <c r="I29" s="2871"/>
      <c r="J29" s="2871"/>
      <c r="K29" s="2871"/>
      <c r="L29" s="2871"/>
      <c r="M29" s="2871"/>
      <c r="N29" s="2871"/>
      <c r="O29" s="2871"/>
      <c r="P29" s="2871"/>
      <c r="Q29" s="2871"/>
      <c r="R29" s="2871"/>
      <c r="S29" s="2871"/>
      <c r="T29" s="2871"/>
    </row>
    <row r="30" spans="1:26" ht="14.25" customHeight="1" x14ac:dyDescent="0.35">
      <c r="B30" s="2871"/>
      <c r="C30" s="2871"/>
      <c r="D30" s="2871"/>
      <c r="E30" s="2871"/>
      <c r="F30" s="2871"/>
      <c r="G30" s="2871"/>
      <c r="H30" s="2871"/>
      <c r="I30" s="2871"/>
      <c r="J30" s="2871"/>
      <c r="K30" s="2871"/>
      <c r="L30" s="2871"/>
      <c r="M30" s="2871"/>
      <c r="N30" s="2871"/>
      <c r="O30" s="2871"/>
      <c r="P30" s="2871"/>
      <c r="Q30" s="2871"/>
      <c r="R30" s="2871"/>
      <c r="S30" s="2871"/>
      <c r="T30" s="2871"/>
    </row>
    <row r="31" spans="1:26" ht="14.25" customHeight="1" x14ac:dyDescent="0.35">
      <c r="B31" s="2871"/>
      <c r="C31" s="2871"/>
      <c r="D31" s="2871"/>
      <c r="E31" s="2871"/>
      <c r="F31" s="2871"/>
      <c r="G31" s="2871"/>
      <c r="H31" s="2871"/>
      <c r="I31" s="2871"/>
      <c r="J31" s="2871"/>
      <c r="K31" s="2871"/>
      <c r="L31" s="2871"/>
      <c r="M31" s="2871"/>
      <c r="N31" s="2871"/>
      <c r="O31" s="2871"/>
      <c r="P31" s="2871"/>
      <c r="Q31" s="2871"/>
      <c r="R31" s="2871"/>
      <c r="S31" s="2871"/>
      <c r="T31" s="2871"/>
    </row>
    <row r="32" spans="1:26" ht="14.25" customHeight="1" x14ac:dyDescent="0.35">
      <c r="B32" s="2871"/>
      <c r="C32" s="2871"/>
      <c r="D32" s="2871"/>
      <c r="E32" s="2871"/>
      <c r="F32" s="2871"/>
      <c r="G32" s="2871"/>
      <c r="H32" s="2871"/>
      <c r="I32" s="2871"/>
      <c r="J32" s="2871"/>
      <c r="K32" s="2871"/>
      <c r="L32" s="2871"/>
      <c r="M32" s="2871"/>
      <c r="N32" s="2871"/>
      <c r="O32" s="2871"/>
      <c r="P32" s="2871"/>
      <c r="Q32" s="2871"/>
      <c r="R32" s="2871"/>
      <c r="S32" s="2871"/>
      <c r="T32" s="2871"/>
    </row>
    <row r="33" spans="2:20" ht="14.25" customHeight="1" x14ac:dyDescent="0.35">
      <c r="B33" s="2871"/>
      <c r="C33" s="2871"/>
      <c r="D33" s="2871"/>
      <c r="E33" s="2871"/>
      <c r="F33" s="2871"/>
      <c r="G33" s="2871"/>
      <c r="H33" s="2871"/>
      <c r="I33" s="2871"/>
      <c r="J33" s="2871"/>
      <c r="K33" s="2871"/>
      <c r="L33" s="2871"/>
      <c r="M33" s="2871"/>
      <c r="N33" s="2871"/>
      <c r="O33" s="2871"/>
      <c r="P33" s="2871"/>
      <c r="Q33" s="2871"/>
      <c r="R33" s="2871"/>
      <c r="S33" s="2871"/>
      <c r="T33" s="2871"/>
    </row>
    <row r="35" spans="2:20" hidden="1" x14ac:dyDescent="0.35">
      <c r="B35" t="s">
        <v>3266</v>
      </c>
      <c r="C35" s="442">
        <f>SUM(C24,C19)</f>
        <v>5810.8551696000013</v>
      </c>
      <c r="D35" s="442"/>
      <c r="E35" s="442"/>
      <c r="F35" s="442"/>
      <c r="G35" s="442"/>
      <c r="H35" s="442"/>
      <c r="I35" s="442"/>
      <c r="J35" s="442"/>
      <c r="K35" s="442"/>
      <c r="L35" s="442"/>
      <c r="M35" s="442"/>
      <c r="N35" s="442"/>
      <c r="O35" s="442">
        <f t="shared" ref="O35" si="28">SUM(O24,O19)</f>
        <v>0</v>
      </c>
    </row>
    <row r="36" spans="2:20" hidden="1" x14ac:dyDescent="0.35">
      <c r="B36" t="s">
        <v>211</v>
      </c>
      <c r="C36" s="442">
        <f>SUM(C20:C21)</f>
        <v>68466.137025000004</v>
      </c>
      <c r="D36" s="442"/>
      <c r="E36" s="442"/>
      <c r="F36" s="442"/>
      <c r="G36" s="442"/>
      <c r="H36" s="442"/>
      <c r="I36" s="442"/>
      <c r="J36" s="442"/>
      <c r="K36" s="442"/>
      <c r="L36" s="442"/>
      <c r="M36" s="442"/>
      <c r="N36" s="442"/>
      <c r="O36" s="442">
        <f t="shared" ref="O36" si="29">SUM(O20:O21)</f>
        <v>507594.66659999988</v>
      </c>
    </row>
    <row r="37" spans="2:20" hidden="1" x14ac:dyDescent="0.35">
      <c r="B37" t="s">
        <v>212</v>
      </c>
      <c r="C37" s="442">
        <f>SUM(C22:C23)</f>
        <v>10639.303664000001</v>
      </c>
      <c r="D37" s="442"/>
      <c r="E37" s="442"/>
      <c r="F37" s="442"/>
      <c r="G37" s="442"/>
      <c r="H37" s="442"/>
      <c r="I37" s="442"/>
      <c r="J37" s="442"/>
      <c r="K37" s="442"/>
      <c r="L37" s="442"/>
      <c r="M37" s="442"/>
      <c r="N37" s="442"/>
      <c r="O37" s="442">
        <f t="shared" ref="O37" si="30">SUM(O22:O23)</f>
        <v>324246.98400000005</v>
      </c>
    </row>
    <row r="38" spans="2:20" hidden="1" x14ac:dyDescent="0.35">
      <c r="B38" t="s">
        <v>81</v>
      </c>
      <c r="C38" s="442">
        <f>SUM(C16:C18)</f>
        <v>155356.58388898463</v>
      </c>
      <c r="D38" s="442"/>
      <c r="E38" s="442"/>
      <c r="F38" s="442"/>
      <c r="G38" s="442"/>
      <c r="H38" s="442"/>
      <c r="I38" s="442"/>
      <c r="J38" s="442"/>
      <c r="K38" s="442"/>
      <c r="L38" s="442"/>
      <c r="M38" s="442"/>
      <c r="N38" s="442"/>
      <c r="O38" s="442">
        <f t="shared" ref="O38" si="31">SUM(O16:O18)</f>
        <v>1450178.6469955642</v>
      </c>
    </row>
    <row r="39" spans="2:20" hidden="1" x14ac:dyDescent="0.35">
      <c r="C39" s="442">
        <f>SUM(C35:C38)</f>
        <v>240272.87974758464</v>
      </c>
      <c r="D39" s="442"/>
      <c r="E39" s="442"/>
      <c r="F39" s="442"/>
      <c r="G39" s="442"/>
      <c r="H39" s="442"/>
      <c r="I39" s="442"/>
      <c r="J39" s="442"/>
      <c r="K39" s="442"/>
      <c r="L39" s="442"/>
      <c r="M39" s="442"/>
      <c r="N39" s="442"/>
      <c r="O39" s="442">
        <f t="shared" ref="O39" si="32">SUM(O35:O38)</f>
        <v>2282020.2975955643</v>
      </c>
    </row>
    <row r="42" spans="2:20" x14ac:dyDescent="0.35">
      <c r="C42" s="442"/>
      <c r="O42" s="442"/>
    </row>
    <row r="43" spans="2:20" x14ac:dyDescent="0.35">
      <c r="C43" s="442"/>
      <c r="O43" s="442"/>
    </row>
    <row r="44" spans="2:20" x14ac:dyDescent="0.35">
      <c r="C44" s="442"/>
      <c r="O44" s="442"/>
    </row>
    <row r="45" spans="2:20" x14ac:dyDescent="0.35">
      <c r="C45" s="442"/>
      <c r="O45" s="442"/>
    </row>
    <row r="46" spans="2:20" x14ac:dyDescent="0.35">
      <c r="C46" s="442"/>
      <c r="O46" s="442"/>
    </row>
    <row r="47" spans="2:20" x14ac:dyDescent="0.35">
      <c r="C47" s="442"/>
      <c r="O47" s="442"/>
    </row>
    <row r="48" spans="2:20" x14ac:dyDescent="0.35">
      <c r="C48" s="442"/>
      <c r="O48" s="442"/>
    </row>
    <row r="49" spans="3:15" x14ac:dyDescent="0.35">
      <c r="C49" s="442"/>
      <c r="O49" s="442"/>
    </row>
    <row r="50" spans="3:15" x14ac:dyDescent="0.35">
      <c r="C50" s="442"/>
      <c r="O50" s="442"/>
    </row>
    <row r="51" spans="3:15" x14ac:dyDescent="0.35">
      <c r="C51" s="442"/>
      <c r="O51" s="442"/>
    </row>
    <row r="52" spans="3:15" x14ac:dyDescent="0.35">
      <c r="C52" s="442"/>
      <c r="O52" s="442"/>
    </row>
    <row r="53" spans="3:15" x14ac:dyDescent="0.35">
      <c r="C53" s="442"/>
      <c r="O53" s="442"/>
    </row>
    <row r="54" spans="3:15" x14ac:dyDescent="0.35">
      <c r="C54" s="442"/>
      <c r="O54" s="442"/>
    </row>
    <row r="55" spans="3:15" x14ac:dyDescent="0.35">
      <c r="C55" s="442"/>
      <c r="O55" s="442"/>
    </row>
    <row r="56" spans="3:15" x14ac:dyDescent="0.35">
      <c r="C56" s="442"/>
      <c r="O56" s="442"/>
    </row>
  </sheetData>
  <mergeCells count="5">
    <mergeCell ref="B4:B5"/>
    <mergeCell ref="B29:T33"/>
    <mergeCell ref="C4:N4"/>
    <mergeCell ref="O4:Z4"/>
    <mergeCell ref="B2:Z2"/>
  </mergeCells>
  <pageMargins left="0.7" right="0.7" top="0.75" bottom="0.75" header="0.3" footer="0.3"/>
  <pageSetup scale="47" orientation="landscape" r:id="rId1"/>
  <headerFooter>
    <oddHeader>&amp;CPortfolio Summary</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X1063"/>
  <sheetViews>
    <sheetView workbookViewId="0"/>
  </sheetViews>
  <sheetFormatPr defaultRowHeight="14.5" x14ac:dyDescent="0.35"/>
  <cols>
    <col min="3" max="3" width="19.81640625" customWidth="1"/>
    <col min="4" max="4" width="25.81640625" customWidth="1"/>
    <col min="5" max="5" width="33.81640625" customWidth="1"/>
    <col min="11" max="12" width="13.1796875" customWidth="1"/>
    <col min="13" max="16" width="14.7265625" customWidth="1"/>
    <col min="17" max="19" width="11.54296875" bestFit="1" customWidth="1"/>
    <col min="20" max="20" width="11.26953125" bestFit="1" customWidth="1"/>
    <col min="31" max="31" width="44" customWidth="1"/>
    <col min="38" max="38" width="33.54296875" customWidth="1"/>
    <col min="39" max="42" width="14.1796875" style="314" customWidth="1"/>
    <col min="43" max="49" width="13.1796875" style="314" customWidth="1"/>
  </cols>
  <sheetData>
    <row r="1" spans="1:50" x14ac:dyDescent="0.35">
      <c r="A1">
        <v>1</v>
      </c>
      <c r="B1">
        <v>2</v>
      </c>
      <c r="C1">
        <v>3</v>
      </c>
      <c r="D1">
        <v>4</v>
      </c>
      <c r="E1">
        <v>5</v>
      </c>
      <c r="F1">
        <v>6</v>
      </c>
      <c r="G1">
        <v>7</v>
      </c>
      <c r="H1">
        <v>8</v>
      </c>
      <c r="I1">
        <v>9</v>
      </c>
      <c r="J1">
        <v>10</v>
      </c>
      <c r="K1">
        <v>11</v>
      </c>
      <c r="L1">
        <v>12</v>
      </c>
      <c r="M1">
        <v>13</v>
      </c>
      <c r="N1">
        <v>14</v>
      </c>
      <c r="O1">
        <v>15</v>
      </c>
      <c r="P1">
        <v>16</v>
      </c>
      <c r="Q1">
        <v>17</v>
      </c>
      <c r="R1">
        <v>18</v>
      </c>
      <c r="S1">
        <v>19</v>
      </c>
      <c r="T1">
        <v>20</v>
      </c>
    </row>
    <row r="2" spans="1:50" x14ac:dyDescent="0.35">
      <c r="M2" s="2891" t="s">
        <v>73</v>
      </c>
      <c r="N2" s="2892"/>
      <c r="O2" s="2892"/>
      <c r="P2" s="2893"/>
      <c r="Q2" s="3178" t="s">
        <v>74</v>
      </c>
      <c r="R2" s="3179"/>
      <c r="S2" s="3179"/>
      <c r="T2" s="3179"/>
      <c r="AA2">
        <v>1</v>
      </c>
      <c r="AB2">
        <v>2</v>
      </c>
      <c r="AC2">
        <v>3</v>
      </c>
      <c r="AD2">
        <v>4</v>
      </c>
      <c r="AE2">
        <v>5</v>
      </c>
      <c r="AF2">
        <v>6</v>
      </c>
      <c r="AH2">
        <v>1</v>
      </c>
      <c r="AI2">
        <v>2</v>
      </c>
      <c r="AJ2">
        <v>3</v>
      </c>
      <c r="AK2">
        <v>4</v>
      </c>
      <c r="AL2">
        <v>5</v>
      </c>
      <c r="AM2">
        <v>6</v>
      </c>
      <c r="AN2">
        <v>7</v>
      </c>
      <c r="AO2">
        <v>8</v>
      </c>
      <c r="AP2">
        <v>9</v>
      </c>
      <c r="AQ2">
        <v>10</v>
      </c>
      <c r="AR2">
        <v>11</v>
      </c>
      <c r="AS2">
        <v>12</v>
      </c>
      <c r="AT2">
        <v>13</v>
      </c>
      <c r="AU2">
        <v>14</v>
      </c>
      <c r="AV2">
        <v>15</v>
      </c>
      <c r="AW2">
        <v>16</v>
      </c>
      <c r="AX2">
        <v>17</v>
      </c>
    </row>
    <row r="3" spans="1:50" x14ac:dyDescent="0.35">
      <c r="A3" t="s">
        <v>870</v>
      </c>
      <c r="B3" t="s">
        <v>285</v>
      </c>
      <c r="C3" t="s">
        <v>286</v>
      </c>
      <c r="D3" t="s">
        <v>871</v>
      </c>
      <c r="E3" t="s">
        <v>568</v>
      </c>
      <c r="F3">
        <v>2018</v>
      </c>
      <c r="G3">
        <v>2019</v>
      </c>
      <c r="H3">
        <v>2020</v>
      </c>
      <c r="I3">
        <v>2021</v>
      </c>
      <c r="J3" t="s">
        <v>284</v>
      </c>
      <c r="K3" t="s">
        <v>283</v>
      </c>
      <c r="L3" t="s">
        <v>593</v>
      </c>
      <c r="M3" s="320">
        <v>2018</v>
      </c>
      <c r="N3" s="320">
        <v>2019</v>
      </c>
      <c r="O3" s="320">
        <v>2020</v>
      </c>
      <c r="P3" s="320">
        <v>2021</v>
      </c>
      <c r="Q3" s="320">
        <v>2018</v>
      </c>
      <c r="R3" s="320">
        <v>2019</v>
      </c>
      <c r="S3" s="320">
        <v>2020</v>
      </c>
      <c r="T3" s="320">
        <v>2021</v>
      </c>
      <c r="AF3" t="s">
        <v>283</v>
      </c>
      <c r="AG3" t="s">
        <v>593</v>
      </c>
      <c r="AH3" t="s">
        <v>870</v>
      </c>
      <c r="AI3" t="s">
        <v>285</v>
      </c>
      <c r="AJ3" t="s">
        <v>286</v>
      </c>
      <c r="AK3" t="s">
        <v>871</v>
      </c>
      <c r="AL3" t="s">
        <v>568</v>
      </c>
      <c r="AM3" s="3177" t="s">
        <v>872</v>
      </c>
      <c r="AN3" s="3177"/>
      <c r="AO3" s="3177"/>
      <c r="AP3" s="3177"/>
      <c r="AQ3" s="3177" t="s">
        <v>873</v>
      </c>
      <c r="AR3" s="3177"/>
      <c r="AS3" s="3177"/>
      <c r="AT3" s="3177"/>
      <c r="AU3" s="3177" t="s">
        <v>874</v>
      </c>
      <c r="AV3" s="3177"/>
      <c r="AW3" s="3177"/>
      <c r="AX3" s="3177"/>
    </row>
    <row r="4" spans="1:50" x14ac:dyDescent="0.35">
      <c r="A4">
        <v>126</v>
      </c>
      <c r="B4" t="s">
        <v>80</v>
      </c>
      <c r="C4" t="s">
        <v>81</v>
      </c>
      <c r="D4" t="s">
        <v>4</v>
      </c>
      <c r="E4" t="s">
        <v>82</v>
      </c>
      <c r="F4">
        <v>1778</v>
      </c>
      <c r="G4">
        <v>1206</v>
      </c>
      <c r="H4">
        <v>903</v>
      </c>
      <c r="I4">
        <v>0</v>
      </c>
      <c r="J4">
        <v>3887</v>
      </c>
      <c r="K4" s="7">
        <f>INDEX($AF$4:$AF$2000,MATCH(A4,$AA$4:$AA$2000,0))</f>
        <v>15</v>
      </c>
      <c r="L4" s="7">
        <f>INDEX($AG$4:$AG$2000,MATCH(A4,$AA$4:$AA$2000,0))</f>
        <v>0</v>
      </c>
      <c r="M4" s="243">
        <f>INDEX($AM$4:$AM$2000,MATCH($A4,$AH$4:$AH$2000,0))</f>
        <v>1655774.6226315766</v>
      </c>
      <c r="N4" s="243">
        <f>INDEX($AN$4:$AN20900,MATCH($A4,$AH$4:$AH$2000,0))</f>
        <v>1123095.722662363</v>
      </c>
      <c r="O4" s="243">
        <f t="shared" ref="O4:O23" si="0">INDEX($AO$4:$AO$2000,MATCH($A4,$AH$4:$AH$2000,0))</f>
        <v>840924.90676958032</v>
      </c>
      <c r="P4" s="243">
        <f>INDEX($AP$4:$AP$2000,MATCH($A4,$AH$4:$AH$2000,0))</f>
        <v>0</v>
      </c>
      <c r="Q4" s="243">
        <f>INDEX($AU$4:$AU$2000,MATCH($A4,$AH$4:$AH$2000,0))</f>
        <v>-21786.964106813295</v>
      </c>
      <c r="R4" s="243">
        <f>INDEX($AV$4:$AV$2000,MATCH($A4,$AH$4:$AH$2000,0))</f>
        <v>-14777.88454039192</v>
      </c>
      <c r="S4" s="243">
        <f t="shared" ref="S4:S23" si="1">INDEX($AW$4:$AW$2000,MATCH($A4,$AH$4:$AH$2000,0))</f>
        <v>-11065.032951885492</v>
      </c>
      <c r="T4" s="243">
        <f>INDEX($AX$4:$AX$2000,MATCH($A4,$AH$4:$AH$2000,0))</f>
        <v>0</v>
      </c>
      <c r="AA4" s="6">
        <v>126</v>
      </c>
      <c r="AB4" t="s">
        <v>80</v>
      </c>
      <c r="AC4" t="s">
        <v>81</v>
      </c>
      <c r="AD4" t="s">
        <v>4</v>
      </c>
      <c r="AE4" t="s">
        <v>82</v>
      </c>
      <c r="AF4">
        <v>15</v>
      </c>
      <c r="AG4">
        <v>0</v>
      </c>
      <c r="AH4">
        <v>126</v>
      </c>
      <c r="AI4" t="s">
        <v>80</v>
      </c>
      <c r="AJ4" t="s">
        <v>81</v>
      </c>
      <c r="AK4" t="s">
        <v>4</v>
      </c>
      <c r="AL4" t="s">
        <v>82</v>
      </c>
      <c r="AM4" s="314">
        <v>1655774.6226315766</v>
      </c>
      <c r="AN4" s="314">
        <v>1123095.722662363</v>
      </c>
      <c r="AO4" s="314">
        <v>840924.90676958032</v>
      </c>
      <c r="AP4" s="314">
        <v>0</v>
      </c>
      <c r="AQ4" s="314">
        <v>270.40582287027905</v>
      </c>
      <c r="AR4" s="314">
        <v>183.4136233867022</v>
      </c>
      <c r="AS4" s="314">
        <v>137.33209114277952</v>
      </c>
      <c r="AT4" s="314">
        <v>0</v>
      </c>
      <c r="AU4" s="314">
        <v>-21786.964106813295</v>
      </c>
      <c r="AV4" s="314">
        <v>-14777.88454039192</v>
      </c>
      <c r="AW4" s="314">
        <v>-11065.032951885492</v>
      </c>
      <c r="AX4">
        <v>0</v>
      </c>
    </row>
    <row r="5" spans="1:50" x14ac:dyDescent="0.35">
      <c r="A5">
        <v>171</v>
      </c>
      <c r="B5" t="s">
        <v>80</v>
      </c>
      <c r="C5" t="s">
        <v>81</v>
      </c>
      <c r="D5" t="s">
        <v>4</v>
      </c>
      <c r="E5" t="s">
        <v>83</v>
      </c>
      <c r="F5">
        <v>100</v>
      </c>
      <c r="G5">
        <v>0</v>
      </c>
      <c r="H5">
        <v>0</v>
      </c>
      <c r="I5">
        <v>0</v>
      </c>
      <c r="J5" s="600">
        <v>100</v>
      </c>
      <c r="K5" s="7">
        <f t="shared" ref="K5:K68" si="2">INDEX($AF$4:$AF$2000,MATCH(A5,$AA$4:$AA$2000,0))</f>
        <v>15</v>
      </c>
      <c r="L5" s="7">
        <f t="shared" ref="L5:L68" si="3">INDEX($AG$4:$AG$2000,MATCH(A5,$AA$4:$AA$2000,0))</f>
        <v>1</v>
      </c>
      <c r="M5" s="243">
        <f t="shared" ref="M5:M68" si="4">INDEX($AM$4:$AM$2000,MATCH($A5,$AH$4:$AH$2000,0))</f>
        <v>9571.0586570959749</v>
      </c>
      <c r="N5" s="243">
        <f>INDEX($AN$4:$AN20901,MATCH($A5,$AH$4:$AH$2000,0))</f>
        <v>0</v>
      </c>
      <c r="O5" s="243">
        <f t="shared" si="0"/>
        <v>0</v>
      </c>
      <c r="P5" s="243">
        <f t="shared" ref="P5:P68" si="5">INDEX($AP$4:$AP$2000,MATCH($A5,$AH$4:$AH$2000,0))</f>
        <v>0</v>
      </c>
      <c r="Q5" s="243">
        <f t="shared" ref="Q5:Q68" si="6">INDEX($AU$4:$AU$2000,MATCH($A5,$AH$4:$AH$2000,0))</f>
        <v>-28.570815044166643</v>
      </c>
      <c r="R5" s="243">
        <f t="shared" ref="R5:R68" si="7">INDEX($AV$4:$AV$2000,MATCH($A5,$AH$4:$AH$2000,0))</f>
        <v>0</v>
      </c>
      <c r="S5" s="243">
        <f t="shared" si="1"/>
        <v>0</v>
      </c>
      <c r="T5" s="243">
        <f t="shared" ref="T5:T68" si="8">INDEX($AX$4:$AX$2000,MATCH($A5,$AH$4:$AH$2000,0))</f>
        <v>0</v>
      </c>
      <c r="AA5" s="6">
        <v>171</v>
      </c>
      <c r="AB5" t="s">
        <v>80</v>
      </c>
      <c r="AC5" t="s">
        <v>81</v>
      </c>
      <c r="AD5" t="s">
        <v>4</v>
      </c>
      <c r="AE5" t="s">
        <v>83</v>
      </c>
      <c r="AF5">
        <v>15</v>
      </c>
      <c r="AG5">
        <v>1</v>
      </c>
      <c r="AH5">
        <v>171</v>
      </c>
      <c r="AI5" t="s">
        <v>80</v>
      </c>
      <c r="AJ5" t="s">
        <v>81</v>
      </c>
      <c r="AK5" t="s">
        <v>4</v>
      </c>
      <c r="AL5" t="s">
        <v>83</v>
      </c>
      <c r="AM5" s="314">
        <v>9571.0586570959749</v>
      </c>
      <c r="AN5" s="314">
        <v>0</v>
      </c>
      <c r="AO5" s="314">
        <v>0</v>
      </c>
      <c r="AP5" s="314">
        <v>0</v>
      </c>
      <c r="AQ5" s="314">
        <v>1.7394423697838515</v>
      </c>
      <c r="AR5" s="314">
        <v>0</v>
      </c>
      <c r="AS5" s="314">
        <v>0</v>
      </c>
      <c r="AT5" s="314">
        <v>0</v>
      </c>
      <c r="AU5" s="314">
        <v>-28.570815044166643</v>
      </c>
      <c r="AV5" s="314">
        <v>0</v>
      </c>
      <c r="AW5" s="314">
        <v>0</v>
      </c>
      <c r="AX5">
        <v>0</v>
      </c>
    </row>
    <row r="6" spans="1:50" x14ac:dyDescent="0.35">
      <c r="A6">
        <v>159</v>
      </c>
      <c r="B6" t="s">
        <v>80</v>
      </c>
      <c r="C6" t="s">
        <v>81</v>
      </c>
      <c r="D6" t="s">
        <v>4</v>
      </c>
      <c r="E6" t="s">
        <v>84</v>
      </c>
      <c r="F6">
        <v>712</v>
      </c>
      <c r="G6">
        <v>0</v>
      </c>
      <c r="H6">
        <v>0</v>
      </c>
      <c r="I6">
        <v>0</v>
      </c>
      <c r="J6" s="600">
        <v>712</v>
      </c>
      <c r="K6" s="7">
        <f t="shared" si="2"/>
        <v>15</v>
      </c>
      <c r="L6" s="7">
        <f t="shared" si="3"/>
        <v>1</v>
      </c>
      <c r="M6" s="243">
        <f t="shared" si="4"/>
        <v>123350.37054514728</v>
      </c>
      <c r="N6" s="243">
        <f>INDEX($AN$4:$AN20902,MATCH($A6,$AH$4:$AH$2000,0))</f>
        <v>0</v>
      </c>
      <c r="O6" s="243">
        <f t="shared" si="0"/>
        <v>0</v>
      </c>
      <c r="P6" s="243">
        <f t="shared" si="5"/>
        <v>0</v>
      </c>
      <c r="Q6" s="243">
        <f t="shared" si="6"/>
        <v>-604.47803933387695</v>
      </c>
      <c r="R6" s="243">
        <f t="shared" si="7"/>
        <v>0</v>
      </c>
      <c r="S6" s="243">
        <f t="shared" si="1"/>
        <v>0</v>
      </c>
      <c r="T6" s="243">
        <f t="shared" si="8"/>
        <v>0</v>
      </c>
      <c r="AA6" s="6">
        <v>159</v>
      </c>
      <c r="AB6" t="s">
        <v>80</v>
      </c>
      <c r="AC6" t="s">
        <v>81</v>
      </c>
      <c r="AD6" t="s">
        <v>4</v>
      </c>
      <c r="AE6" t="s">
        <v>84</v>
      </c>
      <c r="AF6">
        <v>15</v>
      </c>
      <c r="AG6">
        <v>1</v>
      </c>
      <c r="AH6">
        <v>159</v>
      </c>
      <c r="AI6" t="s">
        <v>80</v>
      </c>
      <c r="AJ6" t="s">
        <v>81</v>
      </c>
      <c r="AK6" t="s">
        <v>4</v>
      </c>
      <c r="AL6" t="s">
        <v>84</v>
      </c>
      <c r="AM6" s="314">
        <v>123350.37054514728</v>
      </c>
      <c r="AN6" s="314">
        <v>0</v>
      </c>
      <c r="AO6" s="314">
        <v>0</v>
      </c>
      <c r="AP6" s="314">
        <v>0</v>
      </c>
      <c r="AQ6" s="314">
        <v>25.198477724682952</v>
      </c>
      <c r="AR6" s="314">
        <v>0</v>
      </c>
      <c r="AS6" s="314">
        <v>0</v>
      </c>
      <c r="AT6" s="314">
        <v>0</v>
      </c>
      <c r="AU6" s="314">
        <v>-604.47803933387695</v>
      </c>
      <c r="AV6" s="314">
        <v>0</v>
      </c>
      <c r="AW6" s="314">
        <v>0</v>
      </c>
      <c r="AX6">
        <v>0</v>
      </c>
    </row>
    <row r="7" spans="1:50" x14ac:dyDescent="0.35">
      <c r="A7">
        <v>163</v>
      </c>
      <c r="B7" t="s">
        <v>80</v>
      </c>
      <c r="C7" t="s">
        <v>81</v>
      </c>
      <c r="D7" t="s">
        <v>4</v>
      </c>
      <c r="E7" t="s">
        <v>85</v>
      </c>
      <c r="F7">
        <v>1778</v>
      </c>
      <c r="G7">
        <v>0</v>
      </c>
      <c r="H7">
        <v>0</v>
      </c>
      <c r="I7">
        <v>0</v>
      </c>
      <c r="J7" s="600">
        <v>1778</v>
      </c>
      <c r="K7" s="7">
        <f t="shared" si="2"/>
        <v>15</v>
      </c>
      <c r="L7" s="7">
        <f t="shared" si="3"/>
        <v>1</v>
      </c>
      <c r="M7" s="243">
        <f t="shared" si="4"/>
        <v>311096.7221844123</v>
      </c>
      <c r="N7" s="243">
        <f>INDEX($AN$4:$AN20903,MATCH($A7,$AH$4:$AH$2000,0))</f>
        <v>0</v>
      </c>
      <c r="O7" s="243">
        <f t="shared" si="0"/>
        <v>0</v>
      </c>
      <c r="P7" s="243">
        <f t="shared" si="5"/>
        <v>0</v>
      </c>
      <c r="Q7" s="243">
        <f t="shared" si="6"/>
        <v>-1445.7055699150433</v>
      </c>
      <c r="R7" s="243">
        <f t="shared" si="7"/>
        <v>0</v>
      </c>
      <c r="S7" s="243">
        <f t="shared" si="1"/>
        <v>0</v>
      </c>
      <c r="T7" s="243">
        <f t="shared" si="8"/>
        <v>0</v>
      </c>
      <c r="AA7" s="6">
        <v>163</v>
      </c>
      <c r="AB7" t="s">
        <v>80</v>
      </c>
      <c r="AC7" t="s">
        <v>81</v>
      </c>
      <c r="AD7" t="s">
        <v>4</v>
      </c>
      <c r="AE7" t="s">
        <v>85</v>
      </c>
      <c r="AF7">
        <v>15</v>
      </c>
      <c r="AG7">
        <v>1</v>
      </c>
      <c r="AH7">
        <v>163</v>
      </c>
      <c r="AI7" t="s">
        <v>80</v>
      </c>
      <c r="AJ7" t="s">
        <v>81</v>
      </c>
      <c r="AK7" t="s">
        <v>4</v>
      </c>
      <c r="AL7" t="s">
        <v>85</v>
      </c>
      <c r="AM7" s="314">
        <v>311096.7221844123</v>
      </c>
      <c r="AN7" s="314">
        <v>0</v>
      </c>
      <c r="AO7" s="314">
        <v>0</v>
      </c>
      <c r="AP7" s="314">
        <v>0</v>
      </c>
      <c r="AQ7" s="314">
        <v>62.117741955958927</v>
      </c>
      <c r="AR7" s="314">
        <v>0</v>
      </c>
      <c r="AS7" s="314">
        <v>0</v>
      </c>
      <c r="AT7" s="314">
        <v>0</v>
      </c>
      <c r="AU7" s="314">
        <v>-1445.7055699150433</v>
      </c>
      <c r="AV7" s="314">
        <v>0</v>
      </c>
      <c r="AW7" s="314">
        <v>0</v>
      </c>
      <c r="AX7">
        <v>0</v>
      </c>
    </row>
    <row r="8" spans="1:50" ht="15.75" customHeight="1" x14ac:dyDescent="0.35">
      <c r="A8">
        <v>172</v>
      </c>
      <c r="B8" t="s">
        <v>80</v>
      </c>
      <c r="C8" t="s">
        <v>81</v>
      </c>
      <c r="D8" t="s">
        <v>4</v>
      </c>
      <c r="E8" t="s">
        <v>86</v>
      </c>
      <c r="F8">
        <v>297</v>
      </c>
      <c r="G8">
        <v>0</v>
      </c>
      <c r="H8">
        <v>0</v>
      </c>
      <c r="I8">
        <v>0</v>
      </c>
      <c r="J8" s="600">
        <v>297</v>
      </c>
      <c r="K8" s="7">
        <f t="shared" si="2"/>
        <v>15</v>
      </c>
      <c r="L8" s="7">
        <f t="shared" si="3"/>
        <v>1</v>
      </c>
      <c r="M8" s="243">
        <f t="shared" si="4"/>
        <v>73885.075108162608</v>
      </c>
      <c r="N8" s="243">
        <f>INDEX($AN$4:$AN20904,MATCH($A8,$AH$4:$AH$2000,0))</f>
        <v>0</v>
      </c>
      <c r="O8" s="243">
        <f t="shared" si="0"/>
        <v>0</v>
      </c>
      <c r="P8" s="243">
        <f t="shared" si="5"/>
        <v>0</v>
      </c>
      <c r="Q8" s="243">
        <f t="shared" si="6"/>
        <v>-200.24267831821209</v>
      </c>
      <c r="R8" s="243">
        <f t="shared" si="7"/>
        <v>0</v>
      </c>
      <c r="S8" s="243">
        <f t="shared" si="1"/>
        <v>0</v>
      </c>
      <c r="T8" s="243">
        <f t="shared" si="8"/>
        <v>0</v>
      </c>
      <c r="AA8" s="6">
        <v>172</v>
      </c>
      <c r="AB8" t="s">
        <v>80</v>
      </c>
      <c r="AC8" t="s">
        <v>81</v>
      </c>
      <c r="AD8" t="s">
        <v>4</v>
      </c>
      <c r="AE8" t="s">
        <v>86</v>
      </c>
      <c r="AF8">
        <v>15</v>
      </c>
      <c r="AG8">
        <v>1</v>
      </c>
      <c r="AH8">
        <v>172</v>
      </c>
      <c r="AI8" t="s">
        <v>80</v>
      </c>
      <c r="AJ8" t="s">
        <v>81</v>
      </c>
      <c r="AK8" t="s">
        <v>4</v>
      </c>
      <c r="AL8" t="s">
        <v>86</v>
      </c>
      <c r="AM8" s="314">
        <v>73885.075108162608</v>
      </c>
      <c r="AN8" s="314">
        <v>0</v>
      </c>
      <c r="AO8" s="314">
        <v>0</v>
      </c>
      <c r="AP8" s="314">
        <v>0</v>
      </c>
      <c r="AQ8" s="314">
        <v>11.835617534845982</v>
      </c>
      <c r="AR8" s="314">
        <v>0</v>
      </c>
      <c r="AS8" s="314">
        <v>0</v>
      </c>
      <c r="AT8" s="314">
        <v>0</v>
      </c>
      <c r="AU8" s="314">
        <v>-200.24267831821209</v>
      </c>
      <c r="AV8" s="314">
        <v>0</v>
      </c>
      <c r="AW8" s="314">
        <v>0</v>
      </c>
      <c r="AX8">
        <v>0</v>
      </c>
    </row>
    <row r="9" spans="1:50" x14ac:dyDescent="0.35">
      <c r="A9">
        <v>170</v>
      </c>
      <c r="B9" t="s">
        <v>80</v>
      </c>
      <c r="C9" t="s">
        <v>81</v>
      </c>
      <c r="D9" t="s">
        <v>4</v>
      </c>
      <c r="E9" t="s">
        <v>87</v>
      </c>
      <c r="F9">
        <v>1722</v>
      </c>
      <c r="G9">
        <v>0</v>
      </c>
      <c r="H9">
        <v>0</v>
      </c>
      <c r="I9">
        <v>0</v>
      </c>
      <c r="J9" s="600">
        <v>1722</v>
      </c>
      <c r="K9" s="7">
        <f t="shared" si="2"/>
        <v>15</v>
      </c>
      <c r="L9" s="7">
        <f t="shared" si="3"/>
        <v>0</v>
      </c>
      <c r="M9" s="243">
        <f t="shared" si="4"/>
        <v>103859.99180001007</v>
      </c>
      <c r="N9" s="243">
        <f>INDEX($AN$4:$AN20905,MATCH($A9,$AH$4:$AH$2000,0))</f>
        <v>0</v>
      </c>
      <c r="O9" s="243">
        <f t="shared" si="0"/>
        <v>0</v>
      </c>
      <c r="P9" s="243">
        <f t="shared" si="5"/>
        <v>0</v>
      </c>
      <c r="Q9" s="243">
        <f t="shared" si="6"/>
        <v>-1707.8213971494874</v>
      </c>
      <c r="R9" s="243">
        <f t="shared" si="7"/>
        <v>0</v>
      </c>
      <c r="S9" s="243">
        <f t="shared" si="1"/>
        <v>0</v>
      </c>
      <c r="T9" s="243">
        <f t="shared" si="8"/>
        <v>0</v>
      </c>
      <c r="AA9" s="6">
        <v>170</v>
      </c>
      <c r="AB9" t="s">
        <v>80</v>
      </c>
      <c r="AC9" t="s">
        <v>81</v>
      </c>
      <c r="AD9" t="s">
        <v>4</v>
      </c>
      <c r="AE9" t="s">
        <v>87</v>
      </c>
      <c r="AF9">
        <v>15</v>
      </c>
      <c r="AG9">
        <v>0</v>
      </c>
      <c r="AH9">
        <v>170</v>
      </c>
      <c r="AI9" t="s">
        <v>80</v>
      </c>
      <c r="AJ9" t="s">
        <v>81</v>
      </c>
      <c r="AK9" t="s">
        <v>4</v>
      </c>
      <c r="AL9" t="s">
        <v>87</v>
      </c>
      <c r="AM9" s="314">
        <v>103859.99180001007</v>
      </c>
      <c r="AN9" s="314">
        <v>0</v>
      </c>
      <c r="AO9" s="314">
        <v>0</v>
      </c>
      <c r="AP9" s="314">
        <v>0</v>
      </c>
      <c r="AQ9" s="314">
        <v>19.453475692890677</v>
      </c>
      <c r="AR9" s="314">
        <v>0</v>
      </c>
      <c r="AS9" s="314">
        <v>0</v>
      </c>
      <c r="AT9" s="314">
        <v>0</v>
      </c>
      <c r="AU9" s="314">
        <v>-1707.8213971494874</v>
      </c>
      <c r="AV9" s="314">
        <v>0</v>
      </c>
      <c r="AW9" s="314">
        <v>0</v>
      </c>
      <c r="AX9">
        <v>0</v>
      </c>
    </row>
    <row r="10" spans="1:50" x14ac:dyDescent="0.35">
      <c r="A10">
        <v>116</v>
      </c>
      <c r="B10" t="s">
        <v>80</v>
      </c>
      <c r="C10" t="s">
        <v>81</v>
      </c>
      <c r="D10" t="s">
        <v>4</v>
      </c>
      <c r="E10" t="s">
        <v>88</v>
      </c>
      <c r="F10">
        <v>32</v>
      </c>
      <c r="G10">
        <v>0</v>
      </c>
      <c r="H10">
        <v>0</v>
      </c>
      <c r="I10">
        <v>0</v>
      </c>
      <c r="J10" s="600">
        <v>32</v>
      </c>
      <c r="K10" s="7">
        <f t="shared" si="2"/>
        <v>15</v>
      </c>
      <c r="L10" s="7">
        <f t="shared" si="3"/>
        <v>1</v>
      </c>
      <c r="M10" s="243">
        <f t="shared" si="4"/>
        <v>6134.9619729061897</v>
      </c>
      <c r="N10" s="243">
        <f>INDEX($AN$4:$AN20906,MATCH($A10,$AH$4:$AH$2000,0))</f>
        <v>0</v>
      </c>
      <c r="O10" s="243">
        <f t="shared" si="0"/>
        <v>0</v>
      </c>
      <c r="P10" s="243">
        <f t="shared" si="5"/>
        <v>0</v>
      </c>
      <c r="Q10" s="243">
        <f t="shared" si="6"/>
        <v>-31.371872378338882</v>
      </c>
      <c r="R10" s="243">
        <f t="shared" si="7"/>
        <v>0</v>
      </c>
      <c r="S10" s="243">
        <f t="shared" si="1"/>
        <v>0</v>
      </c>
      <c r="T10" s="243">
        <f t="shared" si="8"/>
        <v>0</v>
      </c>
      <c r="AA10" s="6">
        <v>116</v>
      </c>
      <c r="AB10" t="s">
        <v>80</v>
      </c>
      <c r="AC10" t="s">
        <v>81</v>
      </c>
      <c r="AD10" t="s">
        <v>4</v>
      </c>
      <c r="AE10" t="s">
        <v>88</v>
      </c>
      <c r="AF10">
        <v>15</v>
      </c>
      <c r="AG10">
        <v>1</v>
      </c>
      <c r="AH10">
        <v>116</v>
      </c>
      <c r="AI10" t="s">
        <v>80</v>
      </c>
      <c r="AJ10" t="s">
        <v>81</v>
      </c>
      <c r="AK10" t="s">
        <v>4</v>
      </c>
      <c r="AL10" t="s">
        <v>88</v>
      </c>
      <c r="AM10" s="314">
        <v>6134.9619729061897</v>
      </c>
      <c r="AN10" s="314">
        <v>0</v>
      </c>
      <c r="AO10" s="314">
        <v>0</v>
      </c>
      <c r="AP10" s="314">
        <v>0</v>
      </c>
      <c r="AQ10" s="314">
        <v>1.157353603047286</v>
      </c>
      <c r="AR10" s="314">
        <v>0</v>
      </c>
      <c r="AS10" s="314">
        <v>0</v>
      </c>
      <c r="AT10" s="314">
        <v>0</v>
      </c>
      <c r="AU10" s="314">
        <v>-31.371872378338882</v>
      </c>
      <c r="AV10" s="314">
        <v>0</v>
      </c>
      <c r="AW10" s="314">
        <v>0</v>
      </c>
      <c r="AX10">
        <v>0</v>
      </c>
    </row>
    <row r="11" spans="1:50" x14ac:dyDescent="0.35">
      <c r="A11">
        <v>157</v>
      </c>
      <c r="B11" t="s">
        <v>80</v>
      </c>
      <c r="C11" t="s">
        <v>81</v>
      </c>
      <c r="D11" t="s">
        <v>4</v>
      </c>
      <c r="E11" t="s">
        <v>89</v>
      </c>
      <c r="F11">
        <v>416</v>
      </c>
      <c r="G11">
        <v>0</v>
      </c>
      <c r="H11">
        <v>0</v>
      </c>
      <c r="I11">
        <v>0</v>
      </c>
      <c r="J11" s="600">
        <v>416</v>
      </c>
      <c r="K11" s="7">
        <f t="shared" si="2"/>
        <v>15</v>
      </c>
      <c r="L11" s="7">
        <f t="shared" si="3"/>
        <v>1</v>
      </c>
      <c r="M11" s="243">
        <f t="shared" si="4"/>
        <v>96274.012191785194</v>
      </c>
      <c r="N11" s="243">
        <f>INDEX($AN$4:$AN20907,MATCH($A11,$AH$4:$AH$2000,0))</f>
        <v>0</v>
      </c>
      <c r="O11" s="243">
        <f t="shared" si="0"/>
        <v>0</v>
      </c>
      <c r="P11" s="243">
        <f t="shared" si="5"/>
        <v>0</v>
      </c>
      <c r="Q11" s="243">
        <f t="shared" si="6"/>
        <v>-503.410178242396</v>
      </c>
      <c r="R11" s="243">
        <f t="shared" si="7"/>
        <v>0</v>
      </c>
      <c r="S11" s="243">
        <f t="shared" si="1"/>
        <v>0</v>
      </c>
      <c r="T11" s="243">
        <f t="shared" si="8"/>
        <v>0</v>
      </c>
      <c r="AA11" s="6">
        <v>157</v>
      </c>
      <c r="AB11" t="s">
        <v>80</v>
      </c>
      <c r="AC11" t="s">
        <v>81</v>
      </c>
      <c r="AD11" t="s">
        <v>4</v>
      </c>
      <c r="AE11" t="s">
        <v>89</v>
      </c>
      <c r="AF11">
        <v>15</v>
      </c>
      <c r="AG11">
        <v>1</v>
      </c>
      <c r="AH11">
        <v>157</v>
      </c>
      <c r="AI11" t="s">
        <v>80</v>
      </c>
      <c r="AJ11" t="s">
        <v>81</v>
      </c>
      <c r="AK11" t="s">
        <v>4</v>
      </c>
      <c r="AL11" t="s">
        <v>89</v>
      </c>
      <c r="AM11" s="314">
        <v>96274.012191785194</v>
      </c>
      <c r="AN11" s="314">
        <v>0</v>
      </c>
      <c r="AO11" s="314">
        <v>0</v>
      </c>
      <c r="AP11" s="314">
        <v>0</v>
      </c>
      <c r="AQ11" s="314">
        <v>19.937362571841284</v>
      </c>
      <c r="AR11" s="314">
        <v>0</v>
      </c>
      <c r="AS11" s="314">
        <v>0</v>
      </c>
      <c r="AT11" s="314">
        <v>0</v>
      </c>
      <c r="AU11" s="314">
        <v>-503.410178242396</v>
      </c>
      <c r="AV11" s="314">
        <v>0</v>
      </c>
      <c r="AW11" s="314">
        <v>0</v>
      </c>
      <c r="AX11">
        <v>0</v>
      </c>
    </row>
    <row r="12" spans="1:50" x14ac:dyDescent="0.35">
      <c r="A12">
        <v>158</v>
      </c>
      <c r="B12" t="s">
        <v>80</v>
      </c>
      <c r="C12" t="s">
        <v>81</v>
      </c>
      <c r="D12" t="s">
        <v>4</v>
      </c>
      <c r="E12" t="s">
        <v>90</v>
      </c>
      <c r="F12">
        <v>158</v>
      </c>
      <c r="G12">
        <v>0</v>
      </c>
      <c r="H12">
        <v>0</v>
      </c>
      <c r="I12">
        <v>0</v>
      </c>
      <c r="J12" s="600">
        <v>158</v>
      </c>
      <c r="K12" s="7">
        <f t="shared" si="2"/>
        <v>15</v>
      </c>
      <c r="L12" s="7">
        <f t="shared" si="3"/>
        <v>1</v>
      </c>
      <c r="M12" s="243">
        <f t="shared" si="4"/>
        <v>77111.052106914198</v>
      </c>
      <c r="N12" s="243">
        <f>INDEX($AN$4:$AN20908,MATCH($A12,$AH$4:$AH$2000,0))</f>
        <v>0</v>
      </c>
      <c r="O12" s="243">
        <f t="shared" si="0"/>
        <v>0</v>
      </c>
      <c r="P12" s="243">
        <f t="shared" si="5"/>
        <v>0</v>
      </c>
      <c r="Q12" s="243">
        <f t="shared" si="6"/>
        <v>-525.47443094883681</v>
      </c>
      <c r="R12" s="243">
        <f t="shared" si="7"/>
        <v>0</v>
      </c>
      <c r="S12" s="243">
        <f t="shared" si="1"/>
        <v>0</v>
      </c>
      <c r="T12" s="243">
        <f t="shared" si="8"/>
        <v>0</v>
      </c>
      <c r="AA12" s="6">
        <v>158</v>
      </c>
      <c r="AB12" t="s">
        <v>80</v>
      </c>
      <c r="AC12" t="s">
        <v>81</v>
      </c>
      <c r="AD12" t="s">
        <v>4</v>
      </c>
      <c r="AE12" t="s">
        <v>90</v>
      </c>
      <c r="AF12">
        <v>15</v>
      </c>
      <c r="AG12">
        <v>1</v>
      </c>
      <c r="AH12">
        <v>158</v>
      </c>
      <c r="AI12" t="s">
        <v>80</v>
      </c>
      <c r="AJ12" t="s">
        <v>81</v>
      </c>
      <c r="AK12" t="s">
        <v>4</v>
      </c>
      <c r="AL12" t="s">
        <v>90</v>
      </c>
      <c r="AM12" s="314">
        <v>77111.052106914198</v>
      </c>
      <c r="AN12" s="314">
        <v>0</v>
      </c>
      <c r="AO12" s="314">
        <v>0</v>
      </c>
      <c r="AP12" s="314">
        <v>0</v>
      </c>
      <c r="AQ12" s="314">
        <v>14.016224971531074</v>
      </c>
      <c r="AR12" s="314">
        <v>0</v>
      </c>
      <c r="AS12" s="314">
        <v>0</v>
      </c>
      <c r="AT12" s="314">
        <v>0</v>
      </c>
      <c r="AU12" s="314">
        <v>-525.47443094883681</v>
      </c>
      <c r="AV12" s="314">
        <v>0</v>
      </c>
      <c r="AW12" s="314">
        <v>0</v>
      </c>
      <c r="AX12">
        <v>0</v>
      </c>
    </row>
    <row r="13" spans="1:50" x14ac:dyDescent="0.35">
      <c r="A13">
        <v>125</v>
      </c>
      <c r="B13" t="s">
        <v>80</v>
      </c>
      <c r="C13" t="s">
        <v>81</v>
      </c>
      <c r="D13" t="s">
        <v>4</v>
      </c>
      <c r="E13" t="s">
        <v>91</v>
      </c>
      <c r="F13">
        <v>223</v>
      </c>
      <c r="G13">
        <v>0</v>
      </c>
      <c r="H13">
        <v>0</v>
      </c>
      <c r="I13">
        <v>0</v>
      </c>
      <c r="J13" s="600">
        <v>223</v>
      </c>
      <c r="K13" s="7">
        <f t="shared" si="2"/>
        <v>15</v>
      </c>
      <c r="L13" s="7">
        <f t="shared" si="3"/>
        <v>1</v>
      </c>
      <c r="M13" s="243">
        <f t="shared" si="4"/>
        <v>73096.595956058838</v>
      </c>
      <c r="N13" s="243">
        <f>INDEX($AN$4:$AN20909,MATCH($A13,$AH$4:$AH$2000,0))</f>
        <v>0</v>
      </c>
      <c r="O13" s="243">
        <f t="shared" si="0"/>
        <v>0</v>
      </c>
      <c r="P13" s="243">
        <f t="shared" si="5"/>
        <v>0</v>
      </c>
      <c r="Q13" s="243">
        <f t="shared" si="6"/>
        <v>-493.04961073836938</v>
      </c>
      <c r="R13" s="243">
        <f t="shared" si="7"/>
        <v>0</v>
      </c>
      <c r="S13" s="243">
        <f t="shared" si="1"/>
        <v>0</v>
      </c>
      <c r="T13" s="243">
        <f t="shared" si="8"/>
        <v>0</v>
      </c>
      <c r="AA13" s="6">
        <v>125</v>
      </c>
      <c r="AB13" t="s">
        <v>80</v>
      </c>
      <c r="AC13" t="s">
        <v>81</v>
      </c>
      <c r="AD13" t="s">
        <v>4</v>
      </c>
      <c r="AE13" t="s">
        <v>91</v>
      </c>
      <c r="AF13">
        <v>15</v>
      </c>
      <c r="AG13">
        <v>1</v>
      </c>
      <c r="AH13">
        <v>125</v>
      </c>
      <c r="AI13" t="s">
        <v>80</v>
      </c>
      <c r="AJ13" t="s">
        <v>81</v>
      </c>
      <c r="AK13" t="s">
        <v>4</v>
      </c>
      <c r="AL13" t="s">
        <v>91</v>
      </c>
      <c r="AM13" s="314">
        <v>73096.595956058838</v>
      </c>
      <c r="AN13" s="314">
        <v>0</v>
      </c>
      <c r="AO13" s="314">
        <v>0</v>
      </c>
      <c r="AP13" s="314">
        <v>0</v>
      </c>
      <c r="AQ13" s="314">
        <v>14.817705930417331</v>
      </c>
      <c r="AR13" s="314">
        <v>0</v>
      </c>
      <c r="AS13" s="314">
        <v>0</v>
      </c>
      <c r="AT13" s="314">
        <v>0</v>
      </c>
      <c r="AU13" s="314">
        <v>-493.04961073836938</v>
      </c>
      <c r="AV13" s="314">
        <v>0</v>
      </c>
      <c r="AW13" s="314">
        <v>0</v>
      </c>
      <c r="AX13">
        <v>0</v>
      </c>
    </row>
    <row r="14" spans="1:50" x14ac:dyDescent="0.35">
      <c r="A14">
        <v>120</v>
      </c>
      <c r="B14" t="s">
        <v>80</v>
      </c>
      <c r="C14" t="s">
        <v>81</v>
      </c>
      <c r="D14" t="s">
        <v>4</v>
      </c>
      <c r="E14" t="s">
        <v>92</v>
      </c>
      <c r="F14">
        <v>6435</v>
      </c>
      <c r="G14">
        <v>6902</v>
      </c>
      <c r="H14">
        <v>7227</v>
      </c>
      <c r="I14">
        <v>7351</v>
      </c>
      <c r="J14" s="600">
        <v>27915</v>
      </c>
      <c r="K14" s="7">
        <f t="shared" si="2"/>
        <v>8</v>
      </c>
      <c r="L14" s="7">
        <f t="shared" si="3"/>
        <v>0</v>
      </c>
      <c r="M14" s="243">
        <f t="shared" si="4"/>
        <v>1234027.6419540155</v>
      </c>
      <c r="N14" s="243">
        <f>INDEX($AN$4:$AN20910,MATCH($A14,$AH$4:$AH$2000,0))</f>
        <v>1323583.3387360708</v>
      </c>
      <c r="O14" s="243">
        <f t="shared" si="0"/>
        <v>1385907.9671175866</v>
      </c>
      <c r="P14" s="243">
        <f t="shared" si="5"/>
        <v>1409687.2099462266</v>
      </c>
      <c r="Q14" s="243">
        <f t="shared" si="6"/>
        <v>-37751.55035547397</v>
      </c>
      <c r="R14" s="243">
        <f t="shared" si="7"/>
        <v>-40491.251057262059</v>
      </c>
      <c r="S14" s="243">
        <f t="shared" si="1"/>
        <v>-42397.895014609225</v>
      </c>
      <c r="T14" s="243">
        <f t="shared" si="8"/>
        <v>-43125.353016797068</v>
      </c>
      <c r="AA14" s="6">
        <v>120</v>
      </c>
      <c r="AB14" t="s">
        <v>80</v>
      </c>
      <c r="AC14" t="s">
        <v>81</v>
      </c>
      <c r="AD14" t="s">
        <v>4</v>
      </c>
      <c r="AE14" t="s">
        <v>92</v>
      </c>
      <c r="AF14">
        <v>8</v>
      </c>
      <c r="AG14">
        <v>0</v>
      </c>
      <c r="AH14">
        <v>120</v>
      </c>
      <c r="AI14" t="s">
        <v>80</v>
      </c>
      <c r="AJ14" t="s">
        <v>81</v>
      </c>
      <c r="AK14" t="s">
        <v>4</v>
      </c>
      <c r="AL14" t="s">
        <v>92</v>
      </c>
      <c r="AM14" s="314">
        <v>1234027.6419540155</v>
      </c>
      <c r="AN14" s="314">
        <v>1323583.3387360708</v>
      </c>
      <c r="AO14" s="314">
        <v>1385907.9671175866</v>
      </c>
      <c r="AP14" s="314">
        <v>1409687.2099462266</v>
      </c>
      <c r="AQ14" s="314">
        <v>495.90449334997032</v>
      </c>
      <c r="AR14" s="314">
        <v>531.89321104918338</v>
      </c>
      <c r="AS14" s="314">
        <v>556.93889253150508</v>
      </c>
      <c r="AT14" s="314">
        <v>566.49478331245245</v>
      </c>
      <c r="AU14" s="314">
        <v>-37751.55035547397</v>
      </c>
      <c r="AV14" s="314">
        <v>-40491.251057262059</v>
      </c>
      <c r="AW14" s="314">
        <v>-42397.895014609225</v>
      </c>
      <c r="AX14">
        <v>-43125.353016797068</v>
      </c>
    </row>
    <row r="15" spans="1:50" x14ac:dyDescent="0.35">
      <c r="A15">
        <v>164</v>
      </c>
      <c r="B15" t="s">
        <v>80</v>
      </c>
      <c r="C15" t="s">
        <v>81</v>
      </c>
      <c r="D15" t="s">
        <v>4</v>
      </c>
      <c r="E15" t="s">
        <v>93</v>
      </c>
      <c r="F15">
        <v>167</v>
      </c>
      <c r="G15">
        <v>175</v>
      </c>
      <c r="H15">
        <v>183</v>
      </c>
      <c r="I15">
        <v>186</v>
      </c>
      <c r="J15" s="600">
        <v>711</v>
      </c>
      <c r="K15" s="7">
        <f t="shared" si="2"/>
        <v>8</v>
      </c>
      <c r="L15" s="7">
        <f t="shared" si="3"/>
        <v>0</v>
      </c>
      <c r="M15" s="243">
        <f t="shared" si="4"/>
        <v>63513.506566200005</v>
      </c>
      <c r="N15" s="243">
        <f>INDEX($AN$4:$AN20911,MATCH($A15,$AH$4:$AH$2000,0))</f>
        <v>66556.069755000004</v>
      </c>
      <c r="O15" s="243">
        <f t="shared" si="0"/>
        <v>69598.63294380001</v>
      </c>
      <c r="P15" s="243">
        <f t="shared" si="5"/>
        <v>70739.594139600013</v>
      </c>
      <c r="Q15" s="243">
        <f t="shared" si="6"/>
        <v>-1281.9239738199999</v>
      </c>
      <c r="R15" s="243">
        <f t="shared" si="7"/>
        <v>-1343.3335055</v>
      </c>
      <c r="S15" s="243">
        <f t="shared" si="1"/>
        <v>-1404.7430371800001</v>
      </c>
      <c r="T15" s="243">
        <f t="shared" si="8"/>
        <v>-1427.7716115600001</v>
      </c>
      <c r="AA15" s="6">
        <v>164</v>
      </c>
      <c r="AB15" t="s">
        <v>80</v>
      </c>
      <c r="AC15" t="s">
        <v>81</v>
      </c>
      <c r="AD15" t="s">
        <v>4</v>
      </c>
      <c r="AE15" t="s">
        <v>93</v>
      </c>
      <c r="AF15">
        <v>8</v>
      </c>
      <c r="AG15">
        <v>0</v>
      </c>
      <c r="AH15">
        <v>164</v>
      </c>
      <c r="AI15" t="s">
        <v>80</v>
      </c>
      <c r="AJ15" t="s">
        <v>81</v>
      </c>
      <c r="AK15" t="s">
        <v>4</v>
      </c>
      <c r="AL15" t="s">
        <v>93</v>
      </c>
      <c r="AM15" s="314">
        <v>63513.506566200005</v>
      </c>
      <c r="AN15" s="314">
        <v>66556.069755000004</v>
      </c>
      <c r="AO15" s="314">
        <v>69598.63294380001</v>
      </c>
      <c r="AP15" s="314">
        <v>70739.594139600013</v>
      </c>
      <c r="AQ15" s="314">
        <v>46.590294266000001</v>
      </c>
      <c r="AR15" s="314">
        <v>48.822164649999998</v>
      </c>
      <c r="AS15" s="314">
        <v>51.054035034000002</v>
      </c>
      <c r="AT15" s="314">
        <v>51.890986427999998</v>
      </c>
      <c r="AU15" s="314">
        <v>-1281.9239738199999</v>
      </c>
      <c r="AV15" s="314">
        <v>-1343.3335055</v>
      </c>
      <c r="AW15" s="314">
        <v>-1404.7430371800001</v>
      </c>
      <c r="AX15">
        <v>-1427.7716115600001</v>
      </c>
    </row>
    <row r="16" spans="1:50" x14ac:dyDescent="0.35">
      <c r="A16">
        <v>174</v>
      </c>
      <c r="B16" t="s">
        <v>80</v>
      </c>
      <c r="C16" t="s">
        <v>81</v>
      </c>
      <c r="D16" t="s">
        <v>4</v>
      </c>
      <c r="E16" t="s">
        <v>94</v>
      </c>
      <c r="F16">
        <v>166</v>
      </c>
      <c r="G16">
        <v>173</v>
      </c>
      <c r="H16">
        <v>173</v>
      </c>
      <c r="I16">
        <v>166</v>
      </c>
      <c r="J16" s="600">
        <v>678</v>
      </c>
      <c r="K16" s="7">
        <f t="shared" si="2"/>
        <v>8</v>
      </c>
      <c r="L16" s="7">
        <f t="shared" si="3"/>
        <v>0</v>
      </c>
      <c r="M16" s="243">
        <f>INDEX($AM$4:$AM$2000,MATCH($A16,$AH$4:$AH$2000,0))</f>
        <v>39277.781240000004</v>
      </c>
      <c r="N16" s="243">
        <f>INDEX($AN$4:$AN20912,MATCH($A16,$AH$4:$AH$2000,0))</f>
        <v>40934.073220000006</v>
      </c>
      <c r="O16" s="243">
        <f t="shared" si="0"/>
        <v>40934.073220000006</v>
      </c>
      <c r="P16" s="243">
        <f t="shared" si="5"/>
        <v>39277.781240000004</v>
      </c>
      <c r="Q16" s="243">
        <f t="shared" si="6"/>
        <v>-570.83416</v>
      </c>
      <c r="R16" s="243">
        <f t="shared" si="7"/>
        <v>-594.90548000000001</v>
      </c>
      <c r="S16" s="243">
        <f t="shared" si="1"/>
        <v>-594.90548000000001</v>
      </c>
      <c r="T16" s="243">
        <f t="shared" si="8"/>
        <v>-570.83416</v>
      </c>
      <c r="AA16" s="6">
        <v>174</v>
      </c>
      <c r="AB16" t="s">
        <v>80</v>
      </c>
      <c r="AC16" t="s">
        <v>81</v>
      </c>
      <c r="AD16" t="s">
        <v>4</v>
      </c>
      <c r="AE16" t="s">
        <v>94</v>
      </c>
      <c r="AF16">
        <v>8</v>
      </c>
      <c r="AG16">
        <v>0</v>
      </c>
      <c r="AH16">
        <v>174</v>
      </c>
      <c r="AI16" t="s">
        <v>80</v>
      </c>
      <c r="AJ16" t="s">
        <v>81</v>
      </c>
      <c r="AK16" t="s">
        <v>4</v>
      </c>
      <c r="AL16" t="s">
        <v>94</v>
      </c>
      <c r="AM16" s="314">
        <v>39277.781240000004</v>
      </c>
      <c r="AN16" s="314">
        <v>40934.073220000006</v>
      </c>
      <c r="AO16" s="314">
        <v>40934.073220000006</v>
      </c>
      <c r="AP16" s="314">
        <v>39277.781240000004</v>
      </c>
      <c r="AQ16" s="314">
        <v>12.914800000000001</v>
      </c>
      <c r="AR16" s="314">
        <v>13.459400000000002</v>
      </c>
      <c r="AS16" s="314">
        <v>13.459400000000002</v>
      </c>
      <c r="AT16" s="314">
        <v>12.914800000000001</v>
      </c>
      <c r="AU16" s="314">
        <v>-570.83416</v>
      </c>
      <c r="AV16" s="314">
        <v>-594.90548000000001</v>
      </c>
      <c r="AW16" s="314">
        <v>-594.90548000000001</v>
      </c>
      <c r="AX16">
        <v>-570.83416</v>
      </c>
    </row>
    <row r="17" spans="1:50" x14ac:dyDescent="0.35">
      <c r="A17">
        <v>155</v>
      </c>
      <c r="B17" t="s">
        <v>80</v>
      </c>
      <c r="C17" t="s">
        <v>81</v>
      </c>
      <c r="D17" t="s">
        <v>4</v>
      </c>
      <c r="E17" t="s">
        <v>95</v>
      </c>
      <c r="F17">
        <v>2610</v>
      </c>
      <c r="G17">
        <v>5721</v>
      </c>
      <c r="H17">
        <v>6086</v>
      </c>
      <c r="I17">
        <v>6384</v>
      </c>
      <c r="J17" s="600">
        <v>20801</v>
      </c>
      <c r="K17" s="7">
        <f t="shared" si="2"/>
        <v>8</v>
      </c>
      <c r="L17" s="7">
        <f t="shared" si="3"/>
        <v>0</v>
      </c>
      <c r="M17" s="243">
        <f t="shared" si="4"/>
        <v>179492.3880912</v>
      </c>
      <c r="N17" s="243">
        <f>INDEX($AN$4:$AN20913,MATCH($A17,$AH$4:$AH$2000,0))</f>
        <v>393439.06217232003</v>
      </c>
      <c r="O17" s="243">
        <f t="shared" si="0"/>
        <v>418540.48809312005</v>
      </c>
      <c r="P17" s="243">
        <f t="shared" si="5"/>
        <v>439034.25500928005</v>
      </c>
      <c r="Q17" s="243">
        <f t="shared" si="6"/>
        <v>-3622.7780838000008</v>
      </c>
      <c r="R17" s="243">
        <f t="shared" si="7"/>
        <v>-7940.9629951800016</v>
      </c>
      <c r="S17" s="243">
        <f t="shared" si="1"/>
        <v>-8447.5967118800017</v>
      </c>
      <c r="T17" s="243">
        <f t="shared" si="8"/>
        <v>-8861.2319107200019</v>
      </c>
      <c r="AA17" s="6">
        <v>155</v>
      </c>
      <c r="AB17" t="s">
        <v>80</v>
      </c>
      <c r="AC17" t="s">
        <v>81</v>
      </c>
      <c r="AD17" t="s">
        <v>4</v>
      </c>
      <c r="AE17" t="s">
        <v>95</v>
      </c>
      <c r="AF17">
        <v>8</v>
      </c>
      <c r="AG17">
        <v>0</v>
      </c>
      <c r="AH17">
        <v>155</v>
      </c>
      <c r="AI17" t="s">
        <v>80</v>
      </c>
      <c r="AJ17" t="s">
        <v>81</v>
      </c>
      <c r="AK17" t="s">
        <v>4</v>
      </c>
      <c r="AL17" t="s">
        <v>95</v>
      </c>
      <c r="AM17" s="314">
        <v>179492.3880912</v>
      </c>
      <c r="AN17" s="314">
        <v>393439.06217232003</v>
      </c>
      <c r="AO17" s="314">
        <v>418540.48809312005</v>
      </c>
      <c r="AP17" s="314">
        <v>439034.25500928005</v>
      </c>
      <c r="AQ17" s="314">
        <v>140.8410288</v>
      </c>
      <c r="AR17" s="314">
        <v>308.71705968000003</v>
      </c>
      <c r="AS17" s="314">
        <v>328.41321887999999</v>
      </c>
      <c r="AT17" s="314">
        <v>344.49391872000001</v>
      </c>
      <c r="AU17" s="314">
        <v>-3622.7780838000008</v>
      </c>
      <c r="AV17" s="314">
        <v>-7940.9629951800016</v>
      </c>
      <c r="AW17" s="314">
        <v>-8447.5967118800017</v>
      </c>
      <c r="AX17">
        <v>-8861.2319107200019</v>
      </c>
    </row>
    <row r="18" spans="1:50" x14ac:dyDescent="0.35">
      <c r="A18">
        <v>138</v>
      </c>
      <c r="B18" t="s">
        <v>80</v>
      </c>
      <c r="C18" t="s">
        <v>81</v>
      </c>
      <c r="D18" t="s">
        <v>4</v>
      </c>
      <c r="E18" t="s">
        <v>1010</v>
      </c>
      <c r="F18">
        <v>50000</v>
      </c>
      <c r="G18">
        <v>0</v>
      </c>
      <c r="H18">
        <v>0</v>
      </c>
      <c r="I18">
        <v>0</v>
      </c>
      <c r="J18" s="600">
        <v>50000</v>
      </c>
      <c r="K18" s="7">
        <f t="shared" si="2"/>
        <v>15</v>
      </c>
      <c r="L18" s="7">
        <f t="shared" si="3"/>
        <v>2</v>
      </c>
      <c r="M18" s="243">
        <f t="shared" si="4"/>
        <v>5126677.0531381266</v>
      </c>
      <c r="N18" s="243">
        <f>INDEX($AN$4:$AN20914,MATCH($A18,$AH$4:$AH$2000,0))</f>
        <v>0</v>
      </c>
      <c r="O18" s="243">
        <f t="shared" si="0"/>
        <v>0</v>
      </c>
      <c r="P18" s="243">
        <f t="shared" si="5"/>
        <v>0</v>
      </c>
      <c r="Q18" s="243">
        <f t="shared" si="6"/>
        <v>-48761.482267926214</v>
      </c>
      <c r="R18" s="243">
        <f t="shared" si="7"/>
        <v>0</v>
      </c>
      <c r="S18" s="243">
        <f t="shared" si="1"/>
        <v>0</v>
      </c>
      <c r="T18" s="243">
        <f t="shared" si="8"/>
        <v>0</v>
      </c>
      <c r="AA18" s="6">
        <v>138</v>
      </c>
      <c r="AB18" t="s">
        <v>80</v>
      </c>
      <c r="AC18" t="s">
        <v>81</v>
      </c>
      <c r="AD18" t="s">
        <v>4</v>
      </c>
      <c r="AE18" t="s">
        <v>1010</v>
      </c>
      <c r="AF18">
        <v>15</v>
      </c>
      <c r="AG18">
        <v>2</v>
      </c>
      <c r="AH18">
        <v>138</v>
      </c>
      <c r="AI18" t="s">
        <v>80</v>
      </c>
      <c r="AJ18" t="s">
        <v>81</v>
      </c>
      <c r="AK18" t="s">
        <v>4</v>
      </c>
      <c r="AL18" t="s">
        <v>1010</v>
      </c>
      <c r="AM18" s="314">
        <v>5126677.0531381266</v>
      </c>
      <c r="AN18" s="314">
        <v>0</v>
      </c>
      <c r="AO18" s="314">
        <v>0</v>
      </c>
      <c r="AP18" s="314">
        <v>0</v>
      </c>
      <c r="AQ18" s="314">
        <v>1022.6995101188808</v>
      </c>
      <c r="AR18" s="314">
        <v>0</v>
      </c>
      <c r="AS18" s="314">
        <v>0</v>
      </c>
      <c r="AT18" s="314">
        <v>0</v>
      </c>
      <c r="AU18" s="314">
        <v>-48761.482267926214</v>
      </c>
      <c r="AV18" s="314">
        <v>0</v>
      </c>
      <c r="AW18" s="314">
        <v>0</v>
      </c>
      <c r="AX18">
        <v>0</v>
      </c>
    </row>
    <row r="19" spans="1:50" x14ac:dyDescent="0.35">
      <c r="A19">
        <v>142</v>
      </c>
      <c r="B19" t="s">
        <v>80</v>
      </c>
      <c r="C19" t="s">
        <v>81</v>
      </c>
      <c r="D19" t="s">
        <v>4</v>
      </c>
      <c r="E19" t="s">
        <v>1859</v>
      </c>
      <c r="F19">
        <v>2222</v>
      </c>
      <c r="G19">
        <v>0</v>
      </c>
      <c r="H19">
        <v>0</v>
      </c>
      <c r="I19">
        <v>0</v>
      </c>
      <c r="J19" s="600">
        <v>2222</v>
      </c>
      <c r="K19" s="7">
        <f t="shared" si="2"/>
        <v>15</v>
      </c>
      <c r="L19" s="7">
        <f t="shared" si="3"/>
        <v>0</v>
      </c>
      <c r="M19" s="243">
        <f t="shared" si="4"/>
        <v>180627.51182231313</v>
      </c>
      <c r="N19" s="243">
        <f>INDEX($AN$4:$AN20915,MATCH($A19,$AH$4:$AH$2000,0))</f>
        <v>0</v>
      </c>
      <c r="O19" s="243">
        <f t="shared" si="0"/>
        <v>0</v>
      </c>
      <c r="P19" s="243">
        <f t="shared" si="5"/>
        <v>0</v>
      </c>
      <c r="Q19" s="243">
        <f t="shared" si="6"/>
        <v>-3645.6928991659529</v>
      </c>
      <c r="R19" s="243">
        <f t="shared" si="7"/>
        <v>0</v>
      </c>
      <c r="S19" s="243">
        <f t="shared" si="1"/>
        <v>0</v>
      </c>
      <c r="T19" s="243">
        <f t="shared" si="8"/>
        <v>0</v>
      </c>
      <c r="AA19" s="6">
        <v>142</v>
      </c>
      <c r="AB19" t="s">
        <v>80</v>
      </c>
      <c r="AC19" t="s">
        <v>81</v>
      </c>
      <c r="AD19" t="s">
        <v>4</v>
      </c>
      <c r="AE19" t="s">
        <v>1859</v>
      </c>
      <c r="AF19">
        <v>15</v>
      </c>
      <c r="AG19">
        <v>0</v>
      </c>
      <c r="AH19">
        <v>142</v>
      </c>
      <c r="AI19" t="s">
        <v>80</v>
      </c>
      <c r="AJ19" t="s">
        <v>81</v>
      </c>
      <c r="AK19" t="s">
        <v>4</v>
      </c>
      <c r="AL19" t="s">
        <v>1859</v>
      </c>
      <c r="AM19" s="314">
        <v>180627.51182231313</v>
      </c>
      <c r="AN19" s="314">
        <v>0</v>
      </c>
      <c r="AO19" s="314">
        <v>0</v>
      </c>
      <c r="AP19" s="314">
        <v>0</v>
      </c>
      <c r="AQ19" s="314">
        <v>38.684421949233268</v>
      </c>
      <c r="AR19" s="314">
        <v>0</v>
      </c>
      <c r="AS19" s="314">
        <v>0</v>
      </c>
      <c r="AT19" s="314">
        <v>0</v>
      </c>
      <c r="AU19" s="314">
        <v>-3645.6928991659529</v>
      </c>
      <c r="AV19" s="314">
        <v>0</v>
      </c>
      <c r="AW19" s="314">
        <v>0</v>
      </c>
      <c r="AX19">
        <v>0</v>
      </c>
    </row>
    <row r="20" spans="1:50" x14ac:dyDescent="0.35">
      <c r="A20">
        <v>121</v>
      </c>
      <c r="B20" t="s">
        <v>80</v>
      </c>
      <c r="C20" t="s">
        <v>81</v>
      </c>
      <c r="D20" t="s">
        <v>4</v>
      </c>
      <c r="E20" t="s">
        <v>96</v>
      </c>
      <c r="F20">
        <v>4897</v>
      </c>
      <c r="G20">
        <v>5122</v>
      </c>
      <c r="H20">
        <v>5350</v>
      </c>
      <c r="I20">
        <v>6101</v>
      </c>
      <c r="J20" s="600">
        <v>21470</v>
      </c>
      <c r="K20" s="7">
        <f t="shared" si="2"/>
        <v>8</v>
      </c>
      <c r="L20" s="7">
        <f t="shared" si="3"/>
        <v>0</v>
      </c>
      <c r="M20" s="243">
        <f t="shared" si="4"/>
        <v>431840.59558343573</v>
      </c>
      <c r="N20" s="243">
        <f>INDEX($AN$4:$AN20916,MATCH($A20,$AH$4:$AH$2000,0))</f>
        <v>451682.15858247044</v>
      </c>
      <c r="O20" s="243">
        <f t="shared" si="0"/>
        <v>471788.27575482562</v>
      </c>
      <c r="P20" s="243">
        <f t="shared" si="5"/>
        <v>538015.00380938151</v>
      </c>
      <c r="Q20" s="243">
        <f t="shared" si="6"/>
        <v>-25359.191885782606</v>
      </c>
      <c r="R20" s="243">
        <f t="shared" si="7"/>
        <v>-26524.357941388302</v>
      </c>
      <c r="S20" s="243">
        <f t="shared" si="1"/>
        <v>-27705.059544402073</v>
      </c>
      <c r="T20" s="243">
        <f t="shared" si="8"/>
        <v>-31594.124912223746</v>
      </c>
      <c r="AA20" s="6">
        <v>121</v>
      </c>
      <c r="AB20" t="s">
        <v>80</v>
      </c>
      <c r="AC20" t="s">
        <v>81</v>
      </c>
      <c r="AD20" t="s">
        <v>4</v>
      </c>
      <c r="AE20" t="s">
        <v>96</v>
      </c>
      <c r="AF20">
        <v>8</v>
      </c>
      <c r="AG20">
        <v>0</v>
      </c>
      <c r="AH20">
        <v>121</v>
      </c>
      <c r="AI20" t="s">
        <v>80</v>
      </c>
      <c r="AJ20" t="s">
        <v>81</v>
      </c>
      <c r="AK20" t="s">
        <v>4</v>
      </c>
      <c r="AL20" t="s">
        <v>96</v>
      </c>
      <c r="AM20" s="314">
        <v>431840.59558343573</v>
      </c>
      <c r="AN20" s="314">
        <v>451682.15858247044</v>
      </c>
      <c r="AO20" s="314">
        <v>471788.27575482562</v>
      </c>
      <c r="AP20" s="314">
        <v>538015.00380938151</v>
      </c>
      <c r="AQ20" s="314">
        <v>323.69709553096232</v>
      </c>
      <c r="AR20" s="314">
        <v>338.56984343671411</v>
      </c>
      <c r="AS20" s="314">
        <v>353.64089464787594</v>
      </c>
      <c r="AT20" s="314">
        <v>403.28282210218521</v>
      </c>
      <c r="AU20" s="314">
        <v>-25359.191885782606</v>
      </c>
      <c r="AV20" s="314">
        <v>-26524.357941388302</v>
      </c>
      <c r="AW20" s="314">
        <v>-27705.059544402073</v>
      </c>
      <c r="AX20">
        <v>-31594.124912223746</v>
      </c>
    </row>
    <row r="21" spans="1:50" x14ac:dyDescent="0.35">
      <c r="A21">
        <v>119</v>
      </c>
      <c r="B21" t="s">
        <v>80</v>
      </c>
      <c r="C21" t="s">
        <v>81</v>
      </c>
      <c r="D21" t="s">
        <v>4</v>
      </c>
      <c r="E21" t="s">
        <v>1860</v>
      </c>
      <c r="F21">
        <v>21000</v>
      </c>
      <c r="G21">
        <v>0</v>
      </c>
      <c r="H21">
        <v>0</v>
      </c>
      <c r="I21">
        <v>0</v>
      </c>
      <c r="J21" s="600">
        <v>21000</v>
      </c>
      <c r="K21" s="7">
        <f t="shared" si="2"/>
        <v>15</v>
      </c>
      <c r="L21" s="7">
        <f t="shared" si="3"/>
        <v>1</v>
      </c>
      <c r="M21" s="243">
        <f t="shared" si="4"/>
        <v>29526201.517023098</v>
      </c>
      <c r="N21" s="243">
        <f>INDEX($AN$4:$AN20917,MATCH($A21,$AH$4:$AH$2000,0))</f>
        <v>0</v>
      </c>
      <c r="O21" s="243">
        <f t="shared" si="0"/>
        <v>0</v>
      </c>
      <c r="P21" s="243">
        <f t="shared" si="5"/>
        <v>0</v>
      </c>
      <c r="Q21" s="243">
        <f t="shared" si="6"/>
        <v>0</v>
      </c>
      <c r="R21" s="243">
        <f t="shared" si="7"/>
        <v>0</v>
      </c>
      <c r="S21" s="243">
        <f t="shared" si="1"/>
        <v>0</v>
      </c>
      <c r="T21" s="243">
        <f t="shared" si="8"/>
        <v>0</v>
      </c>
      <c r="AA21" s="6">
        <v>119</v>
      </c>
      <c r="AB21" t="s">
        <v>80</v>
      </c>
      <c r="AC21" t="s">
        <v>81</v>
      </c>
      <c r="AD21" t="s">
        <v>4</v>
      </c>
      <c r="AE21" t="s">
        <v>1860</v>
      </c>
      <c r="AF21">
        <v>15</v>
      </c>
      <c r="AG21">
        <v>1</v>
      </c>
      <c r="AH21">
        <v>119</v>
      </c>
      <c r="AI21" t="s">
        <v>80</v>
      </c>
      <c r="AJ21" t="s">
        <v>81</v>
      </c>
      <c r="AK21" t="s">
        <v>4</v>
      </c>
      <c r="AL21" t="s">
        <v>1860</v>
      </c>
      <c r="AM21" s="314">
        <v>29526201.517023098</v>
      </c>
      <c r="AN21" s="314">
        <v>0</v>
      </c>
      <c r="AO21" s="314">
        <v>0</v>
      </c>
      <c r="AP21" s="314">
        <v>0</v>
      </c>
      <c r="AQ21" s="314">
        <v>0</v>
      </c>
      <c r="AR21" s="314">
        <v>0</v>
      </c>
      <c r="AS21" s="314">
        <v>0</v>
      </c>
      <c r="AT21" s="314">
        <v>0</v>
      </c>
      <c r="AU21" s="314">
        <v>0</v>
      </c>
      <c r="AV21" s="314">
        <v>0</v>
      </c>
      <c r="AW21" s="314">
        <v>0</v>
      </c>
      <c r="AX21">
        <v>0</v>
      </c>
    </row>
    <row r="22" spans="1:50" x14ac:dyDescent="0.35">
      <c r="A22">
        <v>161</v>
      </c>
      <c r="B22" t="s">
        <v>80</v>
      </c>
      <c r="C22" t="s">
        <v>81</v>
      </c>
      <c r="D22" t="s">
        <v>4</v>
      </c>
      <c r="E22" t="s">
        <v>1861</v>
      </c>
      <c r="F22">
        <v>176</v>
      </c>
      <c r="G22">
        <v>0</v>
      </c>
      <c r="H22">
        <v>0</v>
      </c>
      <c r="I22">
        <v>0</v>
      </c>
      <c r="J22" s="600">
        <v>176</v>
      </c>
      <c r="K22" s="7">
        <f t="shared" si="2"/>
        <v>11</v>
      </c>
      <c r="L22" s="7">
        <f t="shared" si="3"/>
        <v>1</v>
      </c>
      <c r="M22" s="243">
        <f t="shared" si="4"/>
        <v>61278.959477964621</v>
      </c>
      <c r="N22" s="243">
        <f>INDEX($AN$4:$AN20918,MATCH($A22,$AH$4:$AH$2000,0))</f>
        <v>0</v>
      </c>
      <c r="O22" s="243">
        <f t="shared" si="0"/>
        <v>0</v>
      </c>
      <c r="P22" s="243">
        <f t="shared" si="5"/>
        <v>0</v>
      </c>
      <c r="Q22" s="243">
        <f t="shared" si="6"/>
        <v>-606.38494817190974</v>
      </c>
      <c r="R22" s="243">
        <f t="shared" si="7"/>
        <v>0</v>
      </c>
      <c r="S22" s="243">
        <f t="shared" si="1"/>
        <v>0</v>
      </c>
      <c r="T22" s="243">
        <f t="shared" si="8"/>
        <v>0</v>
      </c>
      <c r="AA22" s="6">
        <v>161</v>
      </c>
      <c r="AB22" t="s">
        <v>80</v>
      </c>
      <c r="AC22" t="s">
        <v>81</v>
      </c>
      <c r="AD22" t="s">
        <v>4</v>
      </c>
      <c r="AE22" t="s">
        <v>1861</v>
      </c>
      <c r="AF22">
        <v>11</v>
      </c>
      <c r="AG22">
        <v>1</v>
      </c>
      <c r="AH22">
        <v>161</v>
      </c>
      <c r="AI22" t="s">
        <v>80</v>
      </c>
      <c r="AJ22" t="s">
        <v>81</v>
      </c>
      <c r="AK22" t="s">
        <v>4</v>
      </c>
      <c r="AL22" t="s">
        <v>1861</v>
      </c>
      <c r="AM22" s="314">
        <v>61278.959477964621</v>
      </c>
      <c r="AN22" s="314">
        <v>0</v>
      </c>
      <c r="AO22" s="314">
        <v>0</v>
      </c>
      <c r="AP22" s="314">
        <v>0</v>
      </c>
      <c r="AQ22" s="314">
        <v>11.673034838376811</v>
      </c>
      <c r="AR22" s="314">
        <v>0</v>
      </c>
      <c r="AS22" s="314">
        <v>0</v>
      </c>
      <c r="AT22" s="314">
        <v>0</v>
      </c>
      <c r="AU22" s="314">
        <v>-606.38494817190974</v>
      </c>
      <c r="AV22" s="314">
        <v>0</v>
      </c>
      <c r="AW22" s="314">
        <v>0</v>
      </c>
      <c r="AX22">
        <v>0</v>
      </c>
    </row>
    <row r="23" spans="1:50" x14ac:dyDescent="0.35">
      <c r="A23">
        <v>122</v>
      </c>
      <c r="B23" t="s">
        <v>80</v>
      </c>
      <c r="C23" t="s">
        <v>81</v>
      </c>
      <c r="D23" t="s">
        <v>4</v>
      </c>
      <c r="E23" t="s">
        <v>1862</v>
      </c>
      <c r="F23">
        <v>351</v>
      </c>
      <c r="G23">
        <v>0</v>
      </c>
      <c r="H23">
        <v>0</v>
      </c>
      <c r="I23">
        <v>0</v>
      </c>
      <c r="J23" s="600">
        <v>351</v>
      </c>
      <c r="K23" s="7">
        <f t="shared" si="2"/>
        <v>15</v>
      </c>
      <c r="L23" s="7">
        <f t="shared" si="3"/>
        <v>1</v>
      </c>
      <c r="M23" s="243">
        <f t="shared" si="4"/>
        <v>174101.89524316048</v>
      </c>
      <c r="N23" s="243">
        <f>INDEX($AN$4:$AN20919,MATCH($A23,$AH$4:$AH$2000,0))</f>
        <v>0</v>
      </c>
      <c r="O23" s="243">
        <f t="shared" si="0"/>
        <v>0</v>
      </c>
      <c r="P23" s="243">
        <f t="shared" si="5"/>
        <v>0</v>
      </c>
      <c r="Q23" s="243">
        <f t="shared" si="6"/>
        <v>0</v>
      </c>
      <c r="R23" s="243">
        <f t="shared" si="7"/>
        <v>0</v>
      </c>
      <c r="S23" s="243">
        <f t="shared" si="1"/>
        <v>0</v>
      </c>
      <c r="T23" s="243">
        <f t="shared" si="8"/>
        <v>0</v>
      </c>
      <c r="AA23" s="6">
        <v>122</v>
      </c>
      <c r="AB23" t="s">
        <v>80</v>
      </c>
      <c r="AC23" t="s">
        <v>81</v>
      </c>
      <c r="AD23" t="s">
        <v>4</v>
      </c>
      <c r="AE23" t="s">
        <v>1862</v>
      </c>
      <c r="AF23">
        <v>15</v>
      </c>
      <c r="AG23">
        <v>1</v>
      </c>
      <c r="AH23">
        <v>122</v>
      </c>
      <c r="AI23" t="s">
        <v>80</v>
      </c>
      <c r="AJ23" t="s">
        <v>81</v>
      </c>
      <c r="AK23" t="s">
        <v>4</v>
      </c>
      <c r="AL23" t="s">
        <v>1862</v>
      </c>
      <c r="AM23" s="314">
        <v>174101.89524316048</v>
      </c>
      <c r="AN23" s="314">
        <v>0</v>
      </c>
      <c r="AO23" s="314">
        <v>0</v>
      </c>
      <c r="AP23" s="314">
        <v>0</v>
      </c>
      <c r="AQ23" s="314">
        <v>23.227365299185678</v>
      </c>
      <c r="AR23" s="314">
        <v>0</v>
      </c>
      <c r="AS23" s="314">
        <v>0</v>
      </c>
      <c r="AT23" s="314">
        <v>0</v>
      </c>
      <c r="AU23" s="314">
        <v>0</v>
      </c>
      <c r="AV23" s="314">
        <v>0</v>
      </c>
      <c r="AW23" s="314">
        <v>0</v>
      </c>
      <c r="AX23">
        <v>0</v>
      </c>
    </row>
    <row r="24" spans="1:50" x14ac:dyDescent="0.35">
      <c r="A24">
        <v>124</v>
      </c>
      <c r="B24" t="s">
        <v>80</v>
      </c>
      <c r="C24" t="s">
        <v>81</v>
      </c>
      <c r="D24" t="s">
        <v>4</v>
      </c>
      <c r="E24" t="s">
        <v>97</v>
      </c>
      <c r="F24">
        <v>23</v>
      </c>
      <c r="G24">
        <v>24</v>
      </c>
      <c r="H24">
        <v>25</v>
      </c>
      <c r="I24">
        <v>26</v>
      </c>
      <c r="J24" s="600">
        <v>98</v>
      </c>
      <c r="K24" s="7">
        <f t="shared" si="2"/>
        <v>8</v>
      </c>
      <c r="L24" s="7">
        <f t="shared" si="3"/>
        <v>0</v>
      </c>
      <c r="M24" s="243">
        <f t="shared" si="4"/>
        <v>1285.5206627370769</v>
      </c>
      <c r="N24" s="243">
        <f>INDEX($AN$4:$AN20920,MATCH($A24,$AH$4:$AH$2000,0))</f>
        <v>1341.4128654647761</v>
      </c>
      <c r="O24" s="243">
        <f t="shared" ref="O24:O43" si="9">INDEX($AO$4:$AO$2000,MATCH($A24,$AH$4:$AH$2000,0))</f>
        <v>1397.3050681924751</v>
      </c>
      <c r="P24" s="243">
        <f t="shared" si="5"/>
        <v>1453.1972709201741</v>
      </c>
      <c r="Q24" s="243">
        <f t="shared" si="6"/>
        <v>0</v>
      </c>
      <c r="R24" s="243">
        <f t="shared" si="7"/>
        <v>0</v>
      </c>
      <c r="S24" s="243">
        <f t="shared" ref="S24:S43" si="10">INDEX($AW$4:$AW$2000,MATCH($A24,$AH$4:$AH$2000,0))</f>
        <v>0</v>
      </c>
      <c r="T24" s="243">
        <f t="shared" si="8"/>
        <v>0</v>
      </c>
      <c r="AA24" s="6">
        <v>124</v>
      </c>
      <c r="AB24" t="s">
        <v>80</v>
      </c>
      <c r="AC24" t="s">
        <v>81</v>
      </c>
      <c r="AD24" t="s">
        <v>4</v>
      </c>
      <c r="AE24" t="s">
        <v>97</v>
      </c>
      <c r="AF24">
        <v>8</v>
      </c>
      <c r="AG24">
        <v>0</v>
      </c>
      <c r="AH24">
        <v>124</v>
      </c>
      <c r="AI24" t="s">
        <v>80</v>
      </c>
      <c r="AJ24" t="s">
        <v>81</v>
      </c>
      <c r="AK24" t="s">
        <v>4</v>
      </c>
      <c r="AL24" t="s">
        <v>97</v>
      </c>
      <c r="AM24" s="314">
        <v>1285.5206627370769</v>
      </c>
      <c r="AN24" s="314">
        <v>1341.4128654647761</v>
      </c>
      <c r="AO24" s="314">
        <v>1397.3050681924751</v>
      </c>
      <c r="AP24" s="314">
        <v>1453.1972709201741</v>
      </c>
      <c r="AQ24" s="314">
        <v>0.57564279863350476</v>
      </c>
      <c r="AR24" s="314">
        <v>0.60067074640017892</v>
      </c>
      <c r="AS24" s="314">
        <v>0.62569869416685309</v>
      </c>
      <c r="AT24" s="314">
        <v>0.65072664193352714</v>
      </c>
      <c r="AU24" s="314">
        <v>0</v>
      </c>
      <c r="AV24" s="314">
        <v>0</v>
      </c>
      <c r="AW24" s="314">
        <v>0</v>
      </c>
      <c r="AX24">
        <v>0</v>
      </c>
    </row>
    <row r="25" spans="1:50" x14ac:dyDescent="0.35">
      <c r="A25">
        <v>148</v>
      </c>
      <c r="B25" t="s">
        <v>80</v>
      </c>
      <c r="C25" t="s">
        <v>81</v>
      </c>
      <c r="D25" t="s">
        <v>4</v>
      </c>
      <c r="E25" t="s">
        <v>98</v>
      </c>
      <c r="F25">
        <v>263</v>
      </c>
      <c r="G25">
        <v>248</v>
      </c>
      <c r="H25">
        <v>240</v>
      </c>
      <c r="I25">
        <v>170</v>
      </c>
      <c r="J25" s="600">
        <v>921</v>
      </c>
      <c r="K25" s="7">
        <f t="shared" si="2"/>
        <v>5</v>
      </c>
      <c r="L25" s="7">
        <f t="shared" si="3"/>
        <v>0</v>
      </c>
      <c r="M25" s="243">
        <f t="shared" si="4"/>
        <v>49153.681621467251</v>
      </c>
      <c r="N25" s="243">
        <f>INDEX($AN$4:$AN20921,MATCH($A25,$AH$4:$AH$2000,0))</f>
        <v>46350.239703893072</v>
      </c>
      <c r="O25" s="243">
        <f t="shared" si="9"/>
        <v>44855.070681186844</v>
      </c>
      <c r="P25" s="243">
        <f t="shared" si="5"/>
        <v>31772.341732507346</v>
      </c>
      <c r="Q25" s="243">
        <f t="shared" si="6"/>
        <v>-680.26053485089108</v>
      </c>
      <c r="R25" s="243">
        <f t="shared" si="7"/>
        <v>-641.46240548677179</v>
      </c>
      <c r="S25" s="243">
        <f t="shared" si="10"/>
        <v>-620.77006982590819</v>
      </c>
      <c r="T25" s="243">
        <f t="shared" si="8"/>
        <v>-439.7121327933516</v>
      </c>
      <c r="AA25" s="6">
        <v>115</v>
      </c>
      <c r="AB25" t="s">
        <v>80</v>
      </c>
      <c r="AC25" t="s">
        <v>81</v>
      </c>
      <c r="AD25" t="s">
        <v>4</v>
      </c>
      <c r="AE25">
        <v>0</v>
      </c>
      <c r="AG25">
        <v>0</v>
      </c>
      <c r="AH25">
        <v>148</v>
      </c>
      <c r="AI25" t="s">
        <v>80</v>
      </c>
      <c r="AJ25" t="s">
        <v>81</v>
      </c>
      <c r="AK25" t="s">
        <v>4</v>
      </c>
      <c r="AL25" t="s">
        <v>98</v>
      </c>
      <c r="AM25" s="314">
        <v>49153.681621467251</v>
      </c>
      <c r="AN25" s="314">
        <v>46350.239703893072</v>
      </c>
      <c r="AO25" s="314">
        <v>44855.070681186844</v>
      </c>
      <c r="AP25" s="314">
        <v>31772.341732507346</v>
      </c>
      <c r="AQ25" s="314">
        <v>5.2465261885520249</v>
      </c>
      <c r="AR25" s="314">
        <v>4.9472946568855596</v>
      </c>
      <c r="AS25" s="314">
        <v>4.7877045066634443</v>
      </c>
      <c r="AT25" s="314">
        <v>3.3912906922199397</v>
      </c>
      <c r="AU25" s="314">
        <v>-680.26053485089108</v>
      </c>
      <c r="AV25" s="314">
        <v>-641.46240548677179</v>
      </c>
      <c r="AW25" s="314">
        <v>-620.77006982590819</v>
      </c>
      <c r="AX25">
        <v>-439.7121327933516</v>
      </c>
    </row>
    <row r="26" spans="1:50" x14ac:dyDescent="0.35">
      <c r="A26">
        <v>129</v>
      </c>
      <c r="B26" t="s">
        <v>80</v>
      </c>
      <c r="C26" t="s">
        <v>81</v>
      </c>
      <c r="D26" t="s">
        <v>4</v>
      </c>
      <c r="E26" t="s">
        <v>99</v>
      </c>
      <c r="F26">
        <v>14</v>
      </c>
      <c r="G26">
        <v>18</v>
      </c>
      <c r="H26">
        <v>19</v>
      </c>
      <c r="I26">
        <v>16</v>
      </c>
      <c r="J26" s="600">
        <v>67</v>
      </c>
      <c r="K26" s="7">
        <f t="shared" si="2"/>
        <v>5</v>
      </c>
      <c r="L26" s="7">
        <f t="shared" si="3"/>
        <v>0</v>
      </c>
      <c r="M26" s="243">
        <f t="shared" si="4"/>
        <v>2971.606759612253</v>
      </c>
      <c r="N26" s="243">
        <f>INDEX($AN$4:$AN20922,MATCH($A26,$AH$4:$AH$2000,0))</f>
        <v>3820.6372623586112</v>
      </c>
      <c r="O26" s="243">
        <f t="shared" si="9"/>
        <v>4032.8948880452008</v>
      </c>
      <c r="P26" s="243">
        <f t="shared" si="5"/>
        <v>3396.1220109854321</v>
      </c>
      <c r="Q26" s="243">
        <f t="shared" si="6"/>
        <v>-27.051045837141654</v>
      </c>
      <c r="R26" s="243">
        <f t="shared" si="7"/>
        <v>-34.77991607632498</v>
      </c>
      <c r="S26" s="243">
        <f t="shared" si="10"/>
        <v>-36.712133636120818</v>
      </c>
      <c r="T26" s="243">
        <f t="shared" si="8"/>
        <v>-30.915480956733319</v>
      </c>
      <c r="AA26" s="6">
        <v>148</v>
      </c>
      <c r="AB26" t="s">
        <v>80</v>
      </c>
      <c r="AC26" t="s">
        <v>81</v>
      </c>
      <c r="AD26" t="s">
        <v>4</v>
      </c>
      <c r="AE26" t="s">
        <v>98</v>
      </c>
      <c r="AF26" s="1">
        <v>5</v>
      </c>
      <c r="AG26">
        <v>0</v>
      </c>
      <c r="AH26">
        <v>129</v>
      </c>
      <c r="AI26" t="s">
        <v>80</v>
      </c>
      <c r="AJ26" t="s">
        <v>81</v>
      </c>
      <c r="AK26" t="s">
        <v>4</v>
      </c>
      <c r="AL26" t="s">
        <v>99</v>
      </c>
      <c r="AM26" s="314">
        <v>2971.606759612253</v>
      </c>
      <c r="AN26" s="314">
        <v>3820.6372623586112</v>
      </c>
      <c r="AO26" s="314">
        <v>4032.8948880452008</v>
      </c>
      <c r="AP26" s="314">
        <v>3396.1220109854321</v>
      </c>
      <c r="AQ26" s="314">
        <v>0.87597817183359439</v>
      </c>
      <c r="AR26" s="314">
        <v>1.1262576495003356</v>
      </c>
      <c r="AS26" s="314">
        <v>1.188827518917021</v>
      </c>
      <c r="AT26" s="314">
        <v>1.001117910666965</v>
      </c>
      <c r="AU26" s="314">
        <v>-27.051045837141654</v>
      </c>
      <c r="AV26" s="314">
        <v>-34.77991607632498</v>
      </c>
      <c r="AW26" s="314">
        <v>-36.712133636120818</v>
      </c>
      <c r="AX26">
        <v>-30.915480956733319</v>
      </c>
    </row>
    <row r="27" spans="1:50" x14ac:dyDescent="0.35">
      <c r="A27">
        <v>127</v>
      </c>
      <c r="B27" t="s">
        <v>80</v>
      </c>
      <c r="C27" t="s">
        <v>81</v>
      </c>
      <c r="D27" t="s">
        <v>4</v>
      </c>
      <c r="E27" t="s">
        <v>1863</v>
      </c>
      <c r="F27">
        <v>56750</v>
      </c>
      <c r="G27">
        <v>0</v>
      </c>
      <c r="H27">
        <v>0</v>
      </c>
      <c r="I27">
        <v>0</v>
      </c>
      <c r="J27" s="600">
        <v>56750</v>
      </c>
      <c r="K27" s="7">
        <f t="shared" si="2"/>
        <v>15</v>
      </c>
      <c r="L27" s="7">
        <f t="shared" si="3"/>
        <v>1</v>
      </c>
      <c r="M27" s="243">
        <f t="shared" si="4"/>
        <v>35881420.014164247</v>
      </c>
      <c r="N27" s="243">
        <f>INDEX($AN$4:$AN20923,MATCH($A27,$AH$4:$AH$2000,0))</f>
        <v>0</v>
      </c>
      <c r="O27" s="243">
        <f t="shared" si="9"/>
        <v>0</v>
      </c>
      <c r="P27" s="243">
        <f t="shared" si="5"/>
        <v>0</v>
      </c>
      <c r="Q27" s="243">
        <f t="shared" si="6"/>
        <v>-499855.9148456307</v>
      </c>
      <c r="R27" s="243">
        <f t="shared" si="7"/>
        <v>0</v>
      </c>
      <c r="S27" s="243">
        <f t="shared" si="10"/>
        <v>0</v>
      </c>
      <c r="T27" s="243">
        <f t="shared" si="8"/>
        <v>0</v>
      </c>
      <c r="AA27" s="6">
        <v>129</v>
      </c>
      <c r="AB27" t="s">
        <v>80</v>
      </c>
      <c r="AC27" t="s">
        <v>81</v>
      </c>
      <c r="AD27" t="s">
        <v>4</v>
      </c>
      <c r="AE27" t="s">
        <v>99</v>
      </c>
      <c r="AF27" s="1">
        <v>5</v>
      </c>
      <c r="AG27">
        <v>0</v>
      </c>
      <c r="AH27">
        <v>127</v>
      </c>
      <c r="AI27" t="s">
        <v>80</v>
      </c>
      <c r="AJ27" t="s">
        <v>81</v>
      </c>
      <c r="AK27" t="s">
        <v>4</v>
      </c>
      <c r="AL27" t="s">
        <v>1863</v>
      </c>
      <c r="AM27" s="314">
        <v>35881420.014164247</v>
      </c>
      <c r="AN27" s="314">
        <v>0</v>
      </c>
      <c r="AO27" s="314">
        <v>0</v>
      </c>
      <c r="AP27" s="314">
        <v>0</v>
      </c>
      <c r="AQ27" s="314">
        <v>6257.7583489866001</v>
      </c>
      <c r="AR27" s="314">
        <v>0</v>
      </c>
      <c r="AS27" s="314">
        <v>0</v>
      </c>
      <c r="AT27" s="314">
        <v>0</v>
      </c>
      <c r="AU27" s="314">
        <v>-499855.9148456307</v>
      </c>
      <c r="AV27" s="314">
        <v>0</v>
      </c>
      <c r="AW27" s="314">
        <v>0</v>
      </c>
      <c r="AX27">
        <v>0</v>
      </c>
    </row>
    <row r="28" spans="1:50" x14ac:dyDescent="0.35">
      <c r="A28">
        <v>49</v>
      </c>
      <c r="B28" t="s">
        <v>80</v>
      </c>
      <c r="C28" t="s">
        <v>81</v>
      </c>
      <c r="D28" t="s">
        <v>100</v>
      </c>
      <c r="E28" t="s">
        <v>101</v>
      </c>
      <c r="F28">
        <v>45</v>
      </c>
      <c r="G28">
        <v>47</v>
      </c>
      <c r="H28">
        <v>49</v>
      </c>
      <c r="I28">
        <v>50</v>
      </c>
      <c r="J28" s="600">
        <v>191</v>
      </c>
      <c r="K28" s="7">
        <f t="shared" si="2"/>
        <v>3</v>
      </c>
      <c r="L28" s="7">
        <f t="shared" si="3"/>
        <v>0</v>
      </c>
      <c r="M28" s="243">
        <f t="shared" si="4"/>
        <v>22007.070000000003</v>
      </c>
      <c r="N28" s="243">
        <f>INDEX($AN$4:$AN20924,MATCH($A28,$AH$4:$AH$2000,0))</f>
        <v>22985.162000000004</v>
      </c>
      <c r="O28" s="243">
        <f t="shared" si="9"/>
        <v>23963.254000000001</v>
      </c>
      <c r="P28" s="243">
        <f t="shared" si="5"/>
        <v>24452.300000000003</v>
      </c>
      <c r="Q28" s="243">
        <f t="shared" si="6"/>
        <v>0</v>
      </c>
      <c r="R28" s="243">
        <f t="shared" si="7"/>
        <v>0</v>
      </c>
      <c r="S28" s="243">
        <f t="shared" si="10"/>
        <v>0</v>
      </c>
      <c r="T28" s="243">
        <f t="shared" si="8"/>
        <v>0</v>
      </c>
      <c r="AA28" s="6">
        <v>127</v>
      </c>
      <c r="AB28" t="s">
        <v>80</v>
      </c>
      <c r="AC28" t="s">
        <v>81</v>
      </c>
      <c r="AD28" t="s">
        <v>4</v>
      </c>
      <c r="AE28" t="s">
        <v>1863</v>
      </c>
      <c r="AF28">
        <v>15</v>
      </c>
      <c r="AG28">
        <v>1</v>
      </c>
      <c r="AH28">
        <v>49</v>
      </c>
      <c r="AI28" t="s">
        <v>80</v>
      </c>
      <c r="AJ28" t="s">
        <v>81</v>
      </c>
      <c r="AK28" t="s">
        <v>100</v>
      </c>
      <c r="AL28" t="s">
        <v>101</v>
      </c>
      <c r="AM28" s="314">
        <v>22007.070000000003</v>
      </c>
      <c r="AN28" s="314">
        <v>22985.162000000004</v>
      </c>
      <c r="AO28" s="314">
        <v>23963.254000000001</v>
      </c>
      <c r="AP28" s="314">
        <v>24452.300000000003</v>
      </c>
      <c r="AQ28" s="314">
        <v>9.7753500000000013</v>
      </c>
      <c r="AR28" s="314">
        <v>10.209810000000001</v>
      </c>
      <c r="AS28" s="314">
        <v>10.644270000000002</v>
      </c>
      <c r="AT28" s="314">
        <v>10.861500000000001</v>
      </c>
      <c r="AU28" s="314">
        <v>0</v>
      </c>
      <c r="AV28" s="314">
        <v>0</v>
      </c>
      <c r="AW28" s="314">
        <v>0</v>
      </c>
      <c r="AX28">
        <v>0</v>
      </c>
    </row>
    <row r="29" spans="1:50" x14ac:dyDescent="0.35">
      <c r="A29">
        <v>95</v>
      </c>
      <c r="B29" t="s">
        <v>80</v>
      </c>
      <c r="C29" t="s">
        <v>81</v>
      </c>
      <c r="D29" t="s">
        <v>100</v>
      </c>
      <c r="E29" t="s">
        <v>213</v>
      </c>
      <c r="F29">
        <v>18</v>
      </c>
      <c r="G29">
        <v>19</v>
      </c>
      <c r="H29">
        <v>23</v>
      </c>
      <c r="I29">
        <v>20</v>
      </c>
      <c r="J29" s="600">
        <v>80</v>
      </c>
      <c r="K29" s="7">
        <f t="shared" si="2"/>
        <v>15</v>
      </c>
      <c r="L29" s="7">
        <f t="shared" si="3"/>
        <v>0</v>
      </c>
      <c r="M29" s="243">
        <f t="shared" si="4"/>
        <v>5157.1738800000003</v>
      </c>
      <c r="N29" s="243">
        <f>INDEX($AN$4:$AN20925,MATCH($A29,$AH$4:$AH$2000,0))</f>
        <v>5443.68354</v>
      </c>
      <c r="O29" s="243">
        <f t="shared" si="9"/>
        <v>6589.7221799999998</v>
      </c>
      <c r="P29" s="243">
        <f t="shared" si="5"/>
        <v>5730.1931999999997</v>
      </c>
      <c r="Q29" s="243">
        <f t="shared" si="6"/>
        <v>0</v>
      </c>
      <c r="R29" s="243">
        <f t="shared" si="7"/>
        <v>0</v>
      </c>
      <c r="S29" s="243">
        <f t="shared" si="10"/>
        <v>0</v>
      </c>
      <c r="T29" s="243">
        <f t="shared" si="8"/>
        <v>0</v>
      </c>
      <c r="AA29" s="6">
        <v>49</v>
      </c>
      <c r="AB29" t="s">
        <v>80</v>
      </c>
      <c r="AC29" t="s">
        <v>81</v>
      </c>
      <c r="AD29" t="s">
        <v>100</v>
      </c>
      <c r="AE29" t="s">
        <v>101</v>
      </c>
      <c r="AF29">
        <v>3</v>
      </c>
      <c r="AG29">
        <v>0</v>
      </c>
      <c r="AH29">
        <v>95</v>
      </c>
      <c r="AI29" t="s">
        <v>80</v>
      </c>
      <c r="AJ29" t="s">
        <v>81</v>
      </c>
      <c r="AK29" t="s">
        <v>100</v>
      </c>
      <c r="AL29" t="s">
        <v>213</v>
      </c>
      <c r="AM29" s="314">
        <v>5157.1738800000003</v>
      </c>
      <c r="AN29" s="314">
        <v>5443.68354</v>
      </c>
      <c r="AO29" s="314">
        <v>6589.7221799999998</v>
      </c>
      <c r="AP29" s="314">
        <v>5730.1931999999997</v>
      </c>
      <c r="AQ29" s="314">
        <v>5.0130000000000008</v>
      </c>
      <c r="AR29" s="314">
        <v>5.2915000000000001</v>
      </c>
      <c r="AS29" s="314">
        <v>6.4055000000000009</v>
      </c>
      <c r="AT29" s="314">
        <v>5.57</v>
      </c>
      <c r="AU29" s="314">
        <v>0</v>
      </c>
      <c r="AV29" s="314">
        <v>0</v>
      </c>
      <c r="AW29" s="314">
        <v>0</v>
      </c>
      <c r="AX29">
        <v>0</v>
      </c>
    </row>
    <row r="30" spans="1:50" x14ac:dyDescent="0.35">
      <c r="A30">
        <v>93</v>
      </c>
      <c r="B30" t="s">
        <v>80</v>
      </c>
      <c r="C30" t="s">
        <v>81</v>
      </c>
      <c r="D30" t="s">
        <v>100</v>
      </c>
      <c r="E30" t="s">
        <v>214</v>
      </c>
      <c r="F30">
        <v>9</v>
      </c>
      <c r="G30">
        <v>10</v>
      </c>
      <c r="H30">
        <v>14</v>
      </c>
      <c r="I30">
        <v>10</v>
      </c>
      <c r="J30" s="600">
        <v>43</v>
      </c>
      <c r="K30" s="7">
        <f t="shared" si="2"/>
        <v>15</v>
      </c>
      <c r="L30" s="7">
        <f t="shared" si="3"/>
        <v>0</v>
      </c>
      <c r="M30" s="243">
        <f t="shared" si="4"/>
        <v>3732.1785</v>
      </c>
      <c r="N30" s="243">
        <f>INDEX($AN$4:$AN20926,MATCH($A30,$AH$4:$AH$2000,0))</f>
        <v>4146.8649999999998</v>
      </c>
      <c r="O30" s="243">
        <f t="shared" si="9"/>
        <v>5805.6110000000008</v>
      </c>
      <c r="P30" s="243">
        <f t="shared" si="5"/>
        <v>4146.8649999999998</v>
      </c>
      <c r="Q30" s="243">
        <f t="shared" si="6"/>
        <v>0</v>
      </c>
      <c r="R30" s="243">
        <f t="shared" si="7"/>
        <v>0</v>
      </c>
      <c r="S30" s="243">
        <f t="shared" si="10"/>
        <v>0</v>
      </c>
      <c r="T30" s="243">
        <f t="shared" si="8"/>
        <v>0</v>
      </c>
      <c r="AA30" s="6">
        <v>95</v>
      </c>
      <c r="AB30" t="s">
        <v>80</v>
      </c>
      <c r="AC30" t="s">
        <v>81</v>
      </c>
      <c r="AD30" t="s">
        <v>100</v>
      </c>
      <c r="AE30" t="s">
        <v>213</v>
      </c>
      <c r="AF30">
        <v>15</v>
      </c>
      <c r="AG30">
        <v>0</v>
      </c>
      <c r="AH30">
        <v>93</v>
      </c>
      <c r="AI30" t="s">
        <v>80</v>
      </c>
      <c r="AJ30" t="s">
        <v>81</v>
      </c>
      <c r="AK30" t="s">
        <v>100</v>
      </c>
      <c r="AL30" t="s">
        <v>214</v>
      </c>
      <c r="AM30" s="314">
        <v>3732.1785</v>
      </c>
      <c r="AN30" s="314">
        <v>4146.8649999999998</v>
      </c>
      <c r="AO30" s="314">
        <v>5805.6110000000008</v>
      </c>
      <c r="AP30" s="314">
        <v>4146.8649999999998</v>
      </c>
      <c r="AQ30" s="314">
        <v>3.7447110000000001</v>
      </c>
      <c r="AR30" s="314">
        <v>4.1607900000000004</v>
      </c>
      <c r="AS30" s="314">
        <v>5.8251060000000008</v>
      </c>
      <c r="AT30" s="314">
        <v>4.1607900000000004</v>
      </c>
      <c r="AU30" s="314">
        <v>0</v>
      </c>
      <c r="AV30" s="314">
        <v>0</v>
      </c>
      <c r="AW30" s="314">
        <v>0</v>
      </c>
      <c r="AX30">
        <v>0</v>
      </c>
    </row>
    <row r="31" spans="1:50" x14ac:dyDescent="0.35">
      <c r="A31">
        <v>92</v>
      </c>
      <c r="B31" t="s">
        <v>80</v>
      </c>
      <c r="C31" t="s">
        <v>81</v>
      </c>
      <c r="D31" t="s">
        <v>100</v>
      </c>
      <c r="E31" t="s">
        <v>215</v>
      </c>
      <c r="F31">
        <v>5</v>
      </c>
      <c r="G31">
        <v>6</v>
      </c>
      <c r="H31">
        <v>6</v>
      </c>
      <c r="I31">
        <v>6</v>
      </c>
      <c r="J31" s="600">
        <v>23</v>
      </c>
      <c r="K31" s="7">
        <f t="shared" si="2"/>
        <v>15</v>
      </c>
      <c r="L31" s="7">
        <f t="shared" si="3"/>
        <v>0</v>
      </c>
      <c r="M31" s="243">
        <f t="shared" si="4"/>
        <v>26076.539850000001</v>
      </c>
      <c r="N31" s="243">
        <f>INDEX($AN$4:$AN20927,MATCH($A31,$AH$4:$AH$2000,0))</f>
        <v>31291.847819999999</v>
      </c>
      <c r="O31" s="243">
        <f t="shared" si="9"/>
        <v>31291.847819999999</v>
      </c>
      <c r="P31" s="243">
        <f t="shared" si="5"/>
        <v>31291.847819999999</v>
      </c>
      <c r="Q31" s="243">
        <f t="shared" si="6"/>
        <v>0</v>
      </c>
      <c r="R31" s="243">
        <f t="shared" si="7"/>
        <v>0</v>
      </c>
      <c r="S31" s="243">
        <f t="shared" si="10"/>
        <v>0</v>
      </c>
      <c r="T31" s="243">
        <f t="shared" si="8"/>
        <v>0</v>
      </c>
      <c r="AA31" s="6">
        <v>93</v>
      </c>
      <c r="AB31" t="s">
        <v>80</v>
      </c>
      <c r="AC31" t="s">
        <v>81</v>
      </c>
      <c r="AD31" t="s">
        <v>100</v>
      </c>
      <c r="AE31" t="s">
        <v>214</v>
      </c>
      <c r="AF31">
        <v>15</v>
      </c>
      <c r="AG31">
        <v>0</v>
      </c>
      <c r="AH31">
        <v>92</v>
      </c>
      <c r="AI31" t="s">
        <v>80</v>
      </c>
      <c r="AJ31" t="s">
        <v>81</v>
      </c>
      <c r="AK31" t="s">
        <v>100</v>
      </c>
      <c r="AL31" t="s">
        <v>215</v>
      </c>
      <c r="AM31" s="314">
        <v>26076.539850000001</v>
      </c>
      <c r="AN31" s="314">
        <v>31291.847819999999</v>
      </c>
      <c r="AO31" s="314">
        <v>31291.847819999999</v>
      </c>
      <c r="AP31" s="314">
        <v>31291.847819999999</v>
      </c>
      <c r="AQ31" s="314">
        <v>25.816950000000002</v>
      </c>
      <c r="AR31" s="314">
        <v>30.980340000000005</v>
      </c>
      <c r="AS31" s="314">
        <v>30.980340000000005</v>
      </c>
      <c r="AT31" s="314">
        <v>30.980340000000005</v>
      </c>
      <c r="AU31" s="314">
        <v>0</v>
      </c>
      <c r="AV31" s="314">
        <v>0</v>
      </c>
      <c r="AW31" s="314">
        <v>0</v>
      </c>
      <c r="AX31">
        <v>0</v>
      </c>
    </row>
    <row r="32" spans="1:50" x14ac:dyDescent="0.35">
      <c r="A32">
        <v>94</v>
      </c>
      <c r="B32" t="s">
        <v>80</v>
      </c>
      <c r="C32" t="s">
        <v>81</v>
      </c>
      <c r="D32" t="s">
        <v>100</v>
      </c>
      <c r="E32" t="s">
        <v>216</v>
      </c>
      <c r="F32">
        <v>5</v>
      </c>
      <c r="G32">
        <v>6</v>
      </c>
      <c r="H32">
        <v>6</v>
      </c>
      <c r="I32">
        <v>6</v>
      </c>
      <c r="J32" s="600">
        <v>23</v>
      </c>
      <c r="K32" s="7">
        <f t="shared" si="2"/>
        <v>15</v>
      </c>
      <c r="L32" s="7">
        <f t="shared" si="3"/>
        <v>0</v>
      </c>
      <c r="M32" s="243">
        <f t="shared" si="4"/>
        <v>42390.345750000008</v>
      </c>
      <c r="N32" s="243">
        <f>INDEX($AN$4:$AN20928,MATCH($A32,$AH$4:$AH$2000,0))</f>
        <v>50868.414900000003</v>
      </c>
      <c r="O32" s="243">
        <f t="shared" si="9"/>
        <v>50868.414900000003</v>
      </c>
      <c r="P32" s="243">
        <f t="shared" si="5"/>
        <v>50868.414900000003</v>
      </c>
      <c r="Q32" s="243">
        <f t="shared" si="6"/>
        <v>0</v>
      </c>
      <c r="R32" s="243">
        <f t="shared" si="7"/>
        <v>0</v>
      </c>
      <c r="S32" s="243">
        <f t="shared" si="10"/>
        <v>0</v>
      </c>
      <c r="T32" s="243">
        <f t="shared" si="8"/>
        <v>0</v>
      </c>
      <c r="AA32" s="6">
        <v>92</v>
      </c>
      <c r="AB32" t="s">
        <v>80</v>
      </c>
      <c r="AC32" t="s">
        <v>81</v>
      </c>
      <c r="AD32" t="s">
        <v>100</v>
      </c>
      <c r="AE32" t="s">
        <v>215</v>
      </c>
      <c r="AF32">
        <v>15</v>
      </c>
      <c r="AG32">
        <v>0</v>
      </c>
      <c r="AH32">
        <v>94</v>
      </c>
      <c r="AI32" t="s">
        <v>80</v>
      </c>
      <c r="AJ32" t="s">
        <v>81</v>
      </c>
      <c r="AK32" t="s">
        <v>100</v>
      </c>
      <c r="AL32" t="s">
        <v>216</v>
      </c>
      <c r="AM32" s="314">
        <v>42390.345750000008</v>
      </c>
      <c r="AN32" s="314">
        <v>50868.414900000003</v>
      </c>
      <c r="AO32" s="314">
        <v>50868.414900000003</v>
      </c>
      <c r="AP32" s="314">
        <v>50868.414900000003</v>
      </c>
      <c r="AQ32" s="314">
        <v>43.334600000000009</v>
      </c>
      <c r="AR32" s="314">
        <v>52.001520000000006</v>
      </c>
      <c r="AS32" s="314">
        <v>52.001520000000006</v>
      </c>
      <c r="AT32" s="314">
        <v>52.001520000000006</v>
      </c>
      <c r="AU32" s="314">
        <v>0</v>
      </c>
      <c r="AV32" s="314">
        <v>0</v>
      </c>
      <c r="AW32" s="314">
        <v>0</v>
      </c>
      <c r="AX32">
        <v>0</v>
      </c>
    </row>
    <row r="33" spans="1:50" x14ac:dyDescent="0.35">
      <c r="A33">
        <v>51</v>
      </c>
      <c r="B33" t="s">
        <v>80</v>
      </c>
      <c r="C33" t="s">
        <v>81</v>
      </c>
      <c r="D33" t="s">
        <v>100</v>
      </c>
      <c r="E33" t="s">
        <v>217</v>
      </c>
      <c r="F33">
        <v>5</v>
      </c>
      <c r="G33">
        <v>6</v>
      </c>
      <c r="H33">
        <v>6</v>
      </c>
      <c r="I33">
        <v>6</v>
      </c>
      <c r="J33" s="600">
        <v>23</v>
      </c>
      <c r="K33" s="7">
        <f t="shared" si="2"/>
        <v>23</v>
      </c>
      <c r="L33" s="7">
        <f t="shared" si="3"/>
        <v>0</v>
      </c>
      <c r="M33" s="243">
        <f t="shared" si="4"/>
        <v>22260.505000000005</v>
      </c>
      <c r="N33" s="243">
        <f>INDEX($AN$4:$AN20929,MATCH($A33,$AH$4:$AH$2000,0))</f>
        <v>26712.606000000003</v>
      </c>
      <c r="O33" s="243">
        <f t="shared" si="9"/>
        <v>26712.606000000003</v>
      </c>
      <c r="P33" s="243">
        <f t="shared" si="5"/>
        <v>26712.606000000003</v>
      </c>
      <c r="Q33" s="243">
        <f t="shared" si="6"/>
        <v>0</v>
      </c>
      <c r="R33" s="243">
        <f t="shared" si="7"/>
        <v>0</v>
      </c>
      <c r="S33" s="243">
        <f t="shared" si="10"/>
        <v>0</v>
      </c>
      <c r="T33" s="243">
        <f t="shared" si="8"/>
        <v>0</v>
      </c>
      <c r="AA33" s="6">
        <v>94</v>
      </c>
      <c r="AB33" t="s">
        <v>80</v>
      </c>
      <c r="AC33" t="s">
        <v>81</v>
      </c>
      <c r="AD33" t="s">
        <v>100</v>
      </c>
      <c r="AE33" t="s">
        <v>216</v>
      </c>
      <c r="AF33">
        <v>15</v>
      </c>
      <c r="AG33">
        <v>0</v>
      </c>
      <c r="AH33">
        <v>51</v>
      </c>
      <c r="AI33" t="s">
        <v>80</v>
      </c>
      <c r="AJ33" t="s">
        <v>81</v>
      </c>
      <c r="AK33" t="s">
        <v>100</v>
      </c>
      <c r="AL33" t="s">
        <v>217</v>
      </c>
      <c r="AM33" s="314">
        <v>22260.505000000005</v>
      </c>
      <c r="AN33" s="314">
        <v>26712.606000000003</v>
      </c>
      <c r="AO33" s="314">
        <v>26712.606000000003</v>
      </c>
      <c r="AP33" s="314">
        <v>26712.606000000003</v>
      </c>
      <c r="AQ33" s="314">
        <v>18.548100000000002</v>
      </c>
      <c r="AR33" s="314">
        <v>22.257720000000003</v>
      </c>
      <c r="AS33" s="314">
        <v>22.257720000000003</v>
      </c>
      <c r="AT33" s="314">
        <v>22.257720000000003</v>
      </c>
      <c r="AU33" s="314">
        <v>0</v>
      </c>
      <c r="AV33" s="314">
        <v>0</v>
      </c>
      <c r="AW33" s="314">
        <v>0</v>
      </c>
      <c r="AX33">
        <v>0</v>
      </c>
    </row>
    <row r="34" spans="1:50" x14ac:dyDescent="0.35">
      <c r="A34">
        <v>96</v>
      </c>
      <c r="B34" t="s">
        <v>80</v>
      </c>
      <c r="C34" t="s">
        <v>81</v>
      </c>
      <c r="D34" t="s">
        <v>100</v>
      </c>
      <c r="E34" t="s">
        <v>218</v>
      </c>
      <c r="F34">
        <v>5</v>
      </c>
      <c r="G34">
        <v>6</v>
      </c>
      <c r="H34">
        <v>6</v>
      </c>
      <c r="I34">
        <v>6</v>
      </c>
      <c r="J34" s="600">
        <v>23</v>
      </c>
      <c r="K34" s="7">
        <f t="shared" si="2"/>
        <v>15</v>
      </c>
      <c r="L34" s="7">
        <f t="shared" si="3"/>
        <v>0</v>
      </c>
      <c r="M34" s="243">
        <f t="shared" si="4"/>
        <v>7937.8794100000014</v>
      </c>
      <c r="N34" s="243">
        <f>INDEX($AN$4:$AN20930,MATCH($A34,$AH$4:$AH$2000,0))</f>
        <v>9525.4552920000024</v>
      </c>
      <c r="O34" s="243">
        <f t="shared" si="9"/>
        <v>9525.4552920000024</v>
      </c>
      <c r="P34" s="243">
        <f t="shared" si="5"/>
        <v>9525.4552920000024</v>
      </c>
      <c r="Q34" s="243">
        <f t="shared" si="6"/>
        <v>0</v>
      </c>
      <c r="R34" s="243">
        <f t="shared" si="7"/>
        <v>0</v>
      </c>
      <c r="S34" s="243">
        <f t="shared" si="10"/>
        <v>0</v>
      </c>
      <c r="T34" s="243">
        <f t="shared" si="8"/>
        <v>0</v>
      </c>
      <c r="AA34" s="6">
        <v>51</v>
      </c>
      <c r="AB34" t="s">
        <v>80</v>
      </c>
      <c r="AC34" t="s">
        <v>81</v>
      </c>
      <c r="AD34" t="s">
        <v>100</v>
      </c>
      <c r="AE34" t="s">
        <v>217</v>
      </c>
      <c r="AF34" s="1">
        <v>23</v>
      </c>
      <c r="AG34">
        <v>0</v>
      </c>
      <c r="AH34">
        <v>96</v>
      </c>
      <c r="AI34" t="s">
        <v>80</v>
      </c>
      <c r="AJ34" t="s">
        <v>81</v>
      </c>
      <c r="AK34" t="s">
        <v>100</v>
      </c>
      <c r="AL34" t="s">
        <v>218</v>
      </c>
      <c r="AM34" s="314">
        <v>7937.8794100000014</v>
      </c>
      <c r="AN34" s="314">
        <v>9525.4552920000024</v>
      </c>
      <c r="AO34" s="314">
        <v>9525.4552920000024</v>
      </c>
      <c r="AP34" s="314">
        <v>9525.4552920000024</v>
      </c>
      <c r="AQ34" s="314">
        <v>7.9094000000000007</v>
      </c>
      <c r="AR34" s="314">
        <v>9.4912800000000015</v>
      </c>
      <c r="AS34" s="314">
        <v>9.4912800000000015</v>
      </c>
      <c r="AT34" s="314">
        <v>9.4912800000000015</v>
      </c>
      <c r="AU34" s="314">
        <v>0</v>
      </c>
      <c r="AV34" s="314">
        <v>0</v>
      </c>
      <c r="AW34" s="314">
        <v>0</v>
      </c>
      <c r="AX34">
        <v>0</v>
      </c>
    </row>
    <row r="35" spans="1:50" x14ac:dyDescent="0.35">
      <c r="A35">
        <v>50</v>
      </c>
      <c r="B35" t="s">
        <v>80</v>
      </c>
      <c r="C35" t="s">
        <v>81</v>
      </c>
      <c r="D35" t="s">
        <v>100</v>
      </c>
      <c r="E35" t="s">
        <v>219</v>
      </c>
      <c r="F35">
        <v>5</v>
      </c>
      <c r="G35">
        <v>6</v>
      </c>
      <c r="H35">
        <v>6</v>
      </c>
      <c r="I35">
        <v>6</v>
      </c>
      <c r="J35" s="600">
        <v>23</v>
      </c>
      <c r="K35" s="7">
        <f t="shared" si="2"/>
        <v>23</v>
      </c>
      <c r="L35" s="7">
        <f t="shared" si="3"/>
        <v>0</v>
      </c>
      <c r="M35" s="243">
        <f t="shared" si="4"/>
        <v>48826.62</v>
      </c>
      <c r="N35" s="243">
        <f>INDEX($AN$4:$AN20931,MATCH($A35,$AH$4:$AH$2000,0))</f>
        <v>58591.944000000003</v>
      </c>
      <c r="O35" s="243">
        <f t="shared" si="9"/>
        <v>58591.944000000003</v>
      </c>
      <c r="P35" s="243">
        <f t="shared" si="5"/>
        <v>58591.944000000003</v>
      </c>
      <c r="Q35" s="243">
        <f t="shared" si="6"/>
        <v>0</v>
      </c>
      <c r="R35" s="243">
        <f t="shared" si="7"/>
        <v>0</v>
      </c>
      <c r="S35" s="243">
        <f t="shared" si="10"/>
        <v>0</v>
      </c>
      <c r="T35" s="243">
        <f t="shared" si="8"/>
        <v>0</v>
      </c>
      <c r="AA35" s="6">
        <v>96</v>
      </c>
      <c r="AB35" t="s">
        <v>80</v>
      </c>
      <c r="AC35" t="s">
        <v>81</v>
      </c>
      <c r="AD35" t="s">
        <v>100</v>
      </c>
      <c r="AE35" t="s">
        <v>218</v>
      </c>
      <c r="AF35">
        <v>15</v>
      </c>
      <c r="AG35">
        <v>0</v>
      </c>
      <c r="AH35">
        <v>50</v>
      </c>
      <c r="AI35" t="s">
        <v>80</v>
      </c>
      <c r="AJ35" t="s">
        <v>81</v>
      </c>
      <c r="AK35" t="s">
        <v>100</v>
      </c>
      <c r="AL35" t="s">
        <v>219</v>
      </c>
      <c r="AM35" s="314">
        <v>48826.62</v>
      </c>
      <c r="AN35" s="314">
        <v>58591.944000000003</v>
      </c>
      <c r="AO35" s="314">
        <v>58591.944000000003</v>
      </c>
      <c r="AP35" s="314">
        <v>58591.944000000003</v>
      </c>
      <c r="AQ35" s="314">
        <v>49.573000000000008</v>
      </c>
      <c r="AR35" s="314">
        <v>59.487600000000015</v>
      </c>
      <c r="AS35" s="314">
        <v>59.487600000000015</v>
      </c>
      <c r="AT35" s="314">
        <v>59.487600000000015</v>
      </c>
      <c r="AU35" s="314">
        <v>0</v>
      </c>
      <c r="AV35" s="314">
        <v>0</v>
      </c>
      <c r="AW35" s="314">
        <v>0</v>
      </c>
      <c r="AX35">
        <v>0</v>
      </c>
    </row>
    <row r="36" spans="1:50" x14ac:dyDescent="0.35">
      <c r="A36">
        <v>82</v>
      </c>
      <c r="B36" t="s">
        <v>80</v>
      </c>
      <c r="C36" t="s">
        <v>81</v>
      </c>
      <c r="D36" t="s">
        <v>100</v>
      </c>
      <c r="E36" t="s">
        <v>220</v>
      </c>
      <c r="F36">
        <v>5</v>
      </c>
      <c r="G36">
        <v>6</v>
      </c>
      <c r="H36">
        <v>6</v>
      </c>
      <c r="I36">
        <v>6</v>
      </c>
      <c r="J36" s="600">
        <v>23</v>
      </c>
      <c r="K36" s="7">
        <f t="shared" si="2"/>
        <v>8</v>
      </c>
      <c r="L36" s="7">
        <f t="shared" si="3"/>
        <v>0</v>
      </c>
      <c r="M36" s="243">
        <f t="shared" si="4"/>
        <v>499.01630000000006</v>
      </c>
      <c r="N36" s="243">
        <f>INDEX($AN$4:$AN20932,MATCH($A36,$AH$4:$AH$2000,0))</f>
        <v>598.81956000000002</v>
      </c>
      <c r="O36" s="243">
        <f t="shared" si="9"/>
        <v>598.81956000000002</v>
      </c>
      <c r="P36" s="243">
        <f t="shared" si="5"/>
        <v>598.81956000000002</v>
      </c>
      <c r="Q36" s="243">
        <f t="shared" si="6"/>
        <v>0</v>
      </c>
      <c r="R36" s="243">
        <f t="shared" si="7"/>
        <v>0</v>
      </c>
      <c r="S36" s="243">
        <f t="shared" si="10"/>
        <v>0</v>
      </c>
      <c r="T36" s="243">
        <f t="shared" si="8"/>
        <v>0</v>
      </c>
      <c r="AA36" s="6">
        <v>50</v>
      </c>
      <c r="AB36" t="s">
        <v>80</v>
      </c>
      <c r="AC36" t="s">
        <v>81</v>
      </c>
      <c r="AD36" t="s">
        <v>100</v>
      </c>
      <c r="AE36" t="s">
        <v>219</v>
      </c>
      <c r="AF36" s="1">
        <v>23</v>
      </c>
      <c r="AG36">
        <v>0</v>
      </c>
      <c r="AH36">
        <v>82</v>
      </c>
      <c r="AI36" t="s">
        <v>80</v>
      </c>
      <c r="AJ36" t="s">
        <v>81</v>
      </c>
      <c r="AK36" t="s">
        <v>100</v>
      </c>
      <c r="AL36" t="s">
        <v>220</v>
      </c>
      <c r="AM36" s="314">
        <v>499.01630000000006</v>
      </c>
      <c r="AN36" s="314">
        <v>598.81956000000002</v>
      </c>
      <c r="AO36" s="314">
        <v>598.81956000000002</v>
      </c>
      <c r="AP36" s="314">
        <v>598.81956000000002</v>
      </c>
      <c r="AQ36" s="314">
        <v>0.55700000000000005</v>
      </c>
      <c r="AR36" s="314">
        <v>0.66840000000000011</v>
      </c>
      <c r="AS36" s="314">
        <v>0.66840000000000011</v>
      </c>
      <c r="AT36" s="314">
        <v>0.66840000000000011</v>
      </c>
      <c r="AU36" s="314">
        <v>0</v>
      </c>
      <c r="AV36" s="314">
        <v>0</v>
      </c>
      <c r="AW36" s="314">
        <v>0</v>
      </c>
      <c r="AX36">
        <v>0</v>
      </c>
    </row>
    <row r="37" spans="1:50" x14ac:dyDescent="0.35">
      <c r="A37">
        <v>99</v>
      </c>
      <c r="B37" t="s">
        <v>80</v>
      </c>
      <c r="C37" t="s">
        <v>81</v>
      </c>
      <c r="D37" t="s">
        <v>100</v>
      </c>
      <c r="E37" t="s">
        <v>102</v>
      </c>
      <c r="F37">
        <v>382</v>
      </c>
      <c r="G37">
        <v>382</v>
      </c>
      <c r="H37">
        <v>382</v>
      </c>
      <c r="I37">
        <v>382</v>
      </c>
      <c r="J37" s="600">
        <v>1528</v>
      </c>
      <c r="K37" s="7">
        <f t="shared" si="2"/>
        <v>15</v>
      </c>
      <c r="L37" s="7">
        <f t="shared" si="3"/>
        <v>0</v>
      </c>
      <c r="M37" s="243">
        <f t="shared" si="4"/>
        <v>527639.68912191433</v>
      </c>
      <c r="N37" s="243">
        <f>INDEX($AN$4:$AN20933,MATCH($A37,$AH$4:$AH$2000,0))</f>
        <v>527639.68912191433</v>
      </c>
      <c r="O37" s="243">
        <f t="shared" si="9"/>
        <v>527639.68912191433</v>
      </c>
      <c r="P37" s="243">
        <f t="shared" si="5"/>
        <v>527639.68912191433</v>
      </c>
      <c r="Q37" s="243">
        <f t="shared" si="6"/>
        <v>0</v>
      </c>
      <c r="R37" s="243">
        <f t="shared" si="7"/>
        <v>0</v>
      </c>
      <c r="S37" s="243">
        <f t="shared" si="10"/>
        <v>0</v>
      </c>
      <c r="T37" s="243">
        <f t="shared" si="8"/>
        <v>0</v>
      </c>
      <c r="AA37" s="6">
        <v>82</v>
      </c>
      <c r="AB37" t="s">
        <v>80</v>
      </c>
      <c r="AC37" t="s">
        <v>81</v>
      </c>
      <c r="AD37" t="s">
        <v>100</v>
      </c>
      <c r="AE37" t="s">
        <v>220</v>
      </c>
      <c r="AF37" s="2546">
        <v>8</v>
      </c>
      <c r="AG37">
        <v>0</v>
      </c>
      <c r="AH37">
        <v>99</v>
      </c>
      <c r="AI37" t="s">
        <v>80</v>
      </c>
      <c r="AJ37" t="s">
        <v>81</v>
      </c>
      <c r="AK37" t="s">
        <v>100</v>
      </c>
      <c r="AL37" t="s">
        <v>102</v>
      </c>
      <c r="AM37" s="314">
        <v>527639.68912191433</v>
      </c>
      <c r="AN37" s="314">
        <v>527639.68912191433</v>
      </c>
      <c r="AO37" s="314">
        <v>527639.68912191433</v>
      </c>
      <c r="AP37" s="314">
        <v>527639.68912191433</v>
      </c>
      <c r="AQ37" s="314">
        <v>0</v>
      </c>
      <c r="AR37" s="314">
        <v>0</v>
      </c>
      <c r="AS37" s="314">
        <v>0</v>
      </c>
      <c r="AT37" s="314">
        <v>0</v>
      </c>
      <c r="AU37" s="314">
        <v>0</v>
      </c>
      <c r="AV37" s="314">
        <v>0</v>
      </c>
      <c r="AW37" s="314">
        <v>0</v>
      </c>
      <c r="AX37">
        <v>0</v>
      </c>
    </row>
    <row r="38" spans="1:50" x14ac:dyDescent="0.35">
      <c r="A38">
        <v>234</v>
      </c>
      <c r="B38" t="s">
        <v>80</v>
      </c>
      <c r="C38" t="s">
        <v>81</v>
      </c>
      <c r="D38" t="s">
        <v>15</v>
      </c>
      <c r="E38" t="s">
        <v>103</v>
      </c>
      <c r="F38">
        <v>18</v>
      </c>
      <c r="G38">
        <v>19</v>
      </c>
      <c r="H38">
        <v>20</v>
      </c>
      <c r="I38">
        <v>20</v>
      </c>
      <c r="J38" s="600">
        <v>77</v>
      </c>
      <c r="K38" s="7">
        <f t="shared" si="2"/>
        <v>5</v>
      </c>
      <c r="L38" s="7">
        <f t="shared" si="3"/>
        <v>0</v>
      </c>
      <c r="M38" s="243">
        <f t="shared" si="4"/>
        <v>50187.348720000009</v>
      </c>
      <c r="N38" s="243">
        <f>INDEX($AN$4:$AN20934,MATCH($A38,$AH$4:$AH$2000,0))</f>
        <v>52975.53476000001</v>
      </c>
      <c r="O38" s="243">
        <f t="shared" si="9"/>
        <v>55763.72080000001</v>
      </c>
      <c r="P38" s="243">
        <f t="shared" si="5"/>
        <v>55763.72080000001</v>
      </c>
      <c r="Q38" s="243">
        <f t="shared" si="6"/>
        <v>0</v>
      </c>
      <c r="R38" s="243">
        <f t="shared" si="7"/>
        <v>0</v>
      </c>
      <c r="S38" s="243">
        <f t="shared" si="10"/>
        <v>0</v>
      </c>
      <c r="T38" s="243">
        <f t="shared" si="8"/>
        <v>0</v>
      </c>
      <c r="AA38" s="6">
        <v>99</v>
      </c>
      <c r="AB38" t="s">
        <v>80</v>
      </c>
      <c r="AC38" t="s">
        <v>81</v>
      </c>
      <c r="AD38" t="s">
        <v>100</v>
      </c>
      <c r="AE38" t="s">
        <v>102</v>
      </c>
      <c r="AF38">
        <v>15</v>
      </c>
      <c r="AG38">
        <v>0</v>
      </c>
      <c r="AH38">
        <v>234</v>
      </c>
      <c r="AI38" t="s">
        <v>80</v>
      </c>
      <c r="AJ38" t="s">
        <v>81</v>
      </c>
      <c r="AK38" t="s">
        <v>15</v>
      </c>
      <c r="AL38" t="s">
        <v>103</v>
      </c>
      <c r="AM38" s="314">
        <v>50187.348720000009</v>
      </c>
      <c r="AN38" s="314">
        <v>52975.53476000001</v>
      </c>
      <c r="AO38" s="314">
        <v>55763.72080000001</v>
      </c>
      <c r="AP38" s="314">
        <v>55763.72080000001</v>
      </c>
      <c r="AQ38" s="314">
        <v>5.7148199999999996</v>
      </c>
      <c r="AR38" s="314">
        <v>6.0323099999999998</v>
      </c>
      <c r="AS38" s="314">
        <v>6.3498000000000001</v>
      </c>
      <c r="AT38" s="314">
        <v>6.3498000000000001</v>
      </c>
      <c r="AU38" s="314">
        <v>0</v>
      </c>
      <c r="AV38" s="314">
        <v>0</v>
      </c>
      <c r="AW38" s="314">
        <v>0</v>
      </c>
      <c r="AX38">
        <v>0</v>
      </c>
    </row>
    <row r="39" spans="1:50" x14ac:dyDescent="0.35">
      <c r="A39">
        <v>237</v>
      </c>
      <c r="B39" t="s">
        <v>80</v>
      </c>
      <c r="C39" t="s">
        <v>81</v>
      </c>
      <c r="D39" t="s">
        <v>15</v>
      </c>
      <c r="E39" t="s">
        <v>104</v>
      </c>
      <c r="F39">
        <v>2</v>
      </c>
      <c r="G39">
        <v>3</v>
      </c>
      <c r="H39">
        <v>3</v>
      </c>
      <c r="I39">
        <v>3</v>
      </c>
      <c r="J39" s="600">
        <v>11</v>
      </c>
      <c r="K39" s="7">
        <f t="shared" si="2"/>
        <v>5</v>
      </c>
      <c r="L39" s="7">
        <f t="shared" si="3"/>
        <v>0</v>
      </c>
      <c r="M39" s="243">
        <f t="shared" si="4"/>
        <v>8828.5614000000005</v>
      </c>
      <c r="N39" s="243">
        <f>INDEX($AN$4:$AN20935,MATCH($A39,$AH$4:$AH$2000,0))</f>
        <v>13242.842100000002</v>
      </c>
      <c r="O39" s="243">
        <f t="shared" si="9"/>
        <v>13242.842100000002</v>
      </c>
      <c r="P39" s="243">
        <f t="shared" si="5"/>
        <v>13242.842100000002</v>
      </c>
      <c r="Q39" s="243">
        <f t="shared" si="6"/>
        <v>0</v>
      </c>
      <c r="R39" s="243">
        <f t="shared" si="7"/>
        <v>0</v>
      </c>
      <c r="S39" s="243">
        <f t="shared" si="10"/>
        <v>0</v>
      </c>
      <c r="T39" s="243">
        <f t="shared" si="8"/>
        <v>0</v>
      </c>
      <c r="AA39" s="6">
        <v>234</v>
      </c>
      <c r="AB39" t="s">
        <v>80</v>
      </c>
      <c r="AC39" t="s">
        <v>81</v>
      </c>
      <c r="AD39" t="s">
        <v>15</v>
      </c>
      <c r="AE39" t="s">
        <v>103</v>
      </c>
      <c r="AF39">
        <v>5</v>
      </c>
      <c r="AG39">
        <v>0</v>
      </c>
      <c r="AH39">
        <v>237</v>
      </c>
      <c r="AI39" t="s">
        <v>80</v>
      </c>
      <c r="AJ39" t="s">
        <v>81</v>
      </c>
      <c r="AK39" t="s">
        <v>15</v>
      </c>
      <c r="AL39" t="s">
        <v>104</v>
      </c>
      <c r="AM39" s="314">
        <v>8828.5614000000005</v>
      </c>
      <c r="AN39" s="314">
        <v>13242.842100000002</v>
      </c>
      <c r="AO39" s="314">
        <v>13242.842100000002</v>
      </c>
      <c r="AP39" s="314">
        <v>13242.842100000002</v>
      </c>
      <c r="AQ39" s="314">
        <v>1.0026000000000002</v>
      </c>
      <c r="AR39" s="314">
        <v>1.5039000000000002</v>
      </c>
      <c r="AS39" s="314">
        <v>1.5039000000000002</v>
      </c>
      <c r="AT39" s="314">
        <v>1.5039000000000002</v>
      </c>
      <c r="AU39" s="314">
        <v>0</v>
      </c>
      <c r="AV39" s="314">
        <v>0</v>
      </c>
      <c r="AW39" s="314">
        <v>0</v>
      </c>
      <c r="AX39">
        <v>0</v>
      </c>
    </row>
    <row r="40" spans="1:50" x14ac:dyDescent="0.35">
      <c r="A40">
        <v>81</v>
      </c>
      <c r="B40" t="s">
        <v>80</v>
      </c>
      <c r="C40" t="s">
        <v>81</v>
      </c>
      <c r="D40" t="s">
        <v>100</v>
      </c>
      <c r="E40" t="s">
        <v>221</v>
      </c>
      <c r="F40">
        <v>5</v>
      </c>
      <c r="G40">
        <v>3</v>
      </c>
      <c r="H40">
        <v>6</v>
      </c>
      <c r="I40">
        <v>3</v>
      </c>
      <c r="J40" s="600">
        <v>17</v>
      </c>
      <c r="K40" s="7">
        <f t="shared" si="2"/>
        <v>8</v>
      </c>
      <c r="L40" s="7">
        <f t="shared" si="3"/>
        <v>0</v>
      </c>
      <c r="M40" s="243">
        <f t="shared" si="4"/>
        <v>998.75670000000014</v>
      </c>
      <c r="N40" s="243">
        <f>INDEX($AN$4:$AN20936,MATCH($A40,$AH$4:$AH$2000,0))</f>
        <v>599.25402000000008</v>
      </c>
      <c r="O40" s="243">
        <f t="shared" si="9"/>
        <v>1198.5080400000002</v>
      </c>
      <c r="P40" s="243">
        <f t="shared" si="5"/>
        <v>599.25402000000008</v>
      </c>
      <c r="Q40" s="243">
        <f t="shared" si="6"/>
        <v>0</v>
      </c>
      <c r="R40" s="243">
        <f t="shared" si="7"/>
        <v>0</v>
      </c>
      <c r="S40" s="243">
        <f t="shared" si="10"/>
        <v>0</v>
      </c>
      <c r="T40" s="243">
        <f t="shared" si="8"/>
        <v>0</v>
      </c>
      <c r="AA40" s="6">
        <v>237</v>
      </c>
      <c r="AB40" t="s">
        <v>80</v>
      </c>
      <c r="AC40" t="s">
        <v>81</v>
      </c>
      <c r="AD40" t="s">
        <v>15</v>
      </c>
      <c r="AE40" t="s">
        <v>104</v>
      </c>
      <c r="AF40">
        <v>5</v>
      </c>
      <c r="AG40">
        <v>0</v>
      </c>
      <c r="AH40">
        <v>81</v>
      </c>
      <c r="AI40" t="s">
        <v>80</v>
      </c>
      <c r="AJ40" t="s">
        <v>81</v>
      </c>
      <c r="AK40" t="s">
        <v>100</v>
      </c>
      <c r="AL40" t="s">
        <v>221</v>
      </c>
      <c r="AM40" s="314">
        <v>998.75670000000014</v>
      </c>
      <c r="AN40" s="314">
        <v>599.25402000000008</v>
      </c>
      <c r="AO40" s="314">
        <v>1198.5080400000002</v>
      </c>
      <c r="AP40" s="314">
        <v>599.25402000000008</v>
      </c>
      <c r="AQ40" s="314">
        <v>0.75195000000000012</v>
      </c>
      <c r="AR40" s="314">
        <v>0.45117000000000007</v>
      </c>
      <c r="AS40" s="314">
        <v>0.90234000000000014</v>
      </c>
      <c r="AT40" s="314">
        <v>0.45117000000000007</v>
      </c>
      <c r="AU40" s="314">
        <v>0</v>
      </c>
      <c r="AV40" s="314">
        <v>0</v>
      </c>
      <c r="AW40" s="314">
        <v>0</v>
      </c>
      <c r="AX40">
        <v>0</v>
      </c>
    </row>
    <row r="41" spans="1:50" x14ac:dyDescent="0.35">
      <c r="A41">
        <v>176</v>
      </c>
      <c r="B41" t="s">
        <v>80</v>
      </c>
      <c r="C41" t="s">
        <v>81</v>
      </c>
      <c r="D41" t="s">
        <v>5</v>
      </c>
      <c r="E41" t="s">
        <v>222</v>
      </c>
      <c r="F41">
        <v>4</v>
      </c>
      <c r="G41">
        <v>5</v>
      </c>
      <c r="H41">
        <v>5</v>
      </c>
      <c r="I41">
        <v>5</v>
      </c>
      <c r="J41" s="600">
        <v>19</v>
      </c>
      <c r="K41" s="7">
        <f t="shared" si="2"/>
        <v>5</v>
      </c>
      <c r="L41" s="7">
        <f t="shared" si="3"/>
        <v>0</v>
      </c>
      <c r="M41" s="243">
        <f t="shared" si="4"/>
        <v>4792.8766799999994</v>
      </c>
      <c r="N41" s="243">
        <f>INDEX($AN$4:$AN20937,MATCH($A41,$AH$4:$AH$2000,0))</f>
        <v>5991.0958499999997</v>
      </c>
      <c r="O41" s="243">
        <f t="shared" si="9"/>
        <v>5991.0958499999997</v>
      </c>
      <c r="P41" s="243">
        <f t="shared" si="5"/>
        <v>5991.0958499999997</v>
      </c>
      <c r="Q41" s="243">
        <f t="shared" si="6"/>
        <v>0</v>
      </c>
      <c r="R41" s="243">
        <f t="shared" si="7"/>
        <v>0</v>
      </c>
      <c r="S41" s="243">
        <f t="shared" si="10"/>
        <v>0</v>
      </c>
      <c r="T41" s="243">
        <f t="shared" si="8"/>
        <v>0</v>
      </c>
      <c r="AA41" s="6">
        <v>81</v>
      </c>
      <c r="AB41" t="s">
        <v>80</v>
      </c>
      <c r="AC41" t="s">
        <v>81</v>
      </c>
      <c r="AD41" t="s">
        <v>100</v>
      </c>
      <c r="AE41" t="s">
        <v>221</v>
      </c>
      <c r="AF41" s="2546">
        <v>8</v>
      </c>
      <c r="AG41">
        <v>0</v>
      </c>
      <c r="AH41">
        <v>176</v>
      </c>
      <c r="AI41" t="s">
        <v>80</v>
      </c>
      <c r="AJ41" t="s">
        <v>81</v>
      </c>
      <c r="AK41" t="s">
        <v>5</v>
      </c>
      <c r="AL41" t="s">
        <v>222</v>
      </c>
      <c r="AM41" s="314">
        <v>4792.8766799999994</v>
      </c>
      <c r="AN41" s="314">
        <v>5991.0958499999997</v>
      </c>
      <c r="AO41" s="314">
        <v>5991.0958499999997</v>
      </c>
      <c r="AP41" s="314">
        <v>5991.0958499999997</v>
      </c>
      <c r="AQ41" s="314">
        <v>0</v>
      </c>
      <c r="AR41" s="314">
        <v>0</v>
      </c>
      <c r="AS41" s="314">
        <v>0</v>
      </c>
      <c r="AT41" s="314">
        <v>0</v>
      </c>
      <c r="AU41" s="314">
        <v>0</v>
      </c>
      <c r="AV41" s="314">
        <v>0</v>
      </c>
      <c r="AW41" s="314">
        <v>0</v>
      </c>
      <c r="AX41">
        <v>0</v>
      </c>
    </row>
    <row r="42" spans="1:50" x14ac:dyDescent="0.35">
      <c r="A42">
        <v>195</v>
      </c>
      <c r="B42" t="s">
        <v>80</v>
      </c>
      <c r="C42" t="s">
        <v>81</v>
      </c>
      <c r="D42" t="s">
        <v>5</v>
      </c>
      <c r="E42" t="s">
        <v>223</v>
      </c>
      <c r="F42">
        <v>2</v>
      </c>
      <c r="G42">
        <v>3</v>
      </c>
      <c r="H42">
        <v>3</v>
      </c>
      <c r="I42">
        <v>3</v>
      </c>
      <c r="J42" s="600">
        <v>11</v>
      </c>
      <c r="K42" s="7">
        <f t="shared" si="2"/>
        <v>5</v>
      </c>
      <c r="L42" s="7">
        <f t="shared" si="3"/>
        <v>0</v>
      </c>
      <c r="M42" s="243">
        <f t="shared" si="4"/>
        <v>581.98950000000002</v>
      </c>
      <c r="N42" s="243">
        <f>INDEX($AN$4:$AN20938,MATCH($A42,$AH$4:$AH$2000,0))</f>
        <v>872.98424999999997</v>
      </c>
      <c r="O42" s="243">
        <f t="shared" si="9"/>
        <v>872.98424999999997</v>
      </c>
      <c r="P42" s="243">
        <f t="shared" si="5"/>
        <v>872.98424999999997</v>
      </c>
      <c r="Q42" s="243">
        <f t="shared" si="6"/>
        <v>0</v>
      </c>
      <c r="R42" s="243">
        <f t="shared" si="7"/>
        <v>0</v>
      </c>
      <c r="S42" s="243">
        <f t="shared" si="10"/>
        <v>0</v>
      </c>
      <c r="T42" s="243">
        <f t="shared" si="8"/>
        <v>0</v>
      </c>
      <c r="AA42" s="6">
        <v>176</v>
      </c>
      <c r="AB42" t="s">
        <v>80</v>
      </c>
      <c r="AC42" t="s">
        <v>81</v>
      </c>
      <c r="AD42" t="s">
        <v>5</v>
      </c>
      <c r="AE42" t="s">
        <v>222</v>
      </c>
      <c r="AF42">
        <v>5</v>
      </c>
      <c r="AG42">
        <v>0</v>
      </c>
      <c r="AH42">
        <v>195</v>
      </c>
      <c r="AI42" t="s">
        <v>80</v>
      </c>
      <c r="AJ42" t="s">
        <v>81</v>
      </c>
      <c r="AK42" t="s">
        <v>5</v>
      </c>
      <c r="AL42" t="s">
        <v>223</v>
      </c>
      <c r="AM42" s="314">
        <v>581.98950000000002</v>
      </c>
      <c r="AN42" s="314">
        <v>872.98424999999997</v>
      </c>
      <c r="AO42" s="314">
        <v>872.98424999999997</v>
      </c>
      <c r="AP42" s="314">
        <v>872.98424999999997</v>
      </c>
      <c r="AQ42" s="314">
        <v>0</v>
      </c>
      <c r="AR42" s="314">
        <v>0</v>
      </c>
      <c r="AS42" s="314">
        <v>0</v>
      </c>
      <c r="AT42" s="314">
        <v>0</v>
      </c>
      <c r="AU42" s="314">
        <v>0</v>
      </c>
      <c r="AV42" s="314">
        <v>0</v>
      </c>
      <c r="AW42" s="314">
        <v>0</v>
      </c>
      <c r="AX42">
        <v>0</v>
      </c>
    </row>
    <row r="43" spans="1:50" x14ac:dyDescent="0.35">
      <c r="A43">
        <v>209</v>
      </c>
      <c r="B43" t="s">
        <v>80</v>
      </c>
      <c r="C43" t="s">
        <v>81</v>
      </c>
      <c r="D43" t="s">
        <v>105</v>
      </c>
      <c r="E43" t="s">
        <v>106</v>
      </c>
      <c r="F43">
        <v>27</v>
      </c>
      <c r="G43">
        <v>15</v>
      </c>
      <c r="H43">
        <v>16</v>
      </c>
      <c r="I43">
        <v>16</v>
      </c>
      <c r="J43" s="600">
        <v>74</v>
      </c>
      <c r="K43" s="7">
        <f t="shared" si="2"/>
        <v>8</v>
      </c>
      <c r="L43" s="7">
        <f t="shared" si="3"/>
        <v>0</v>
      </c>
      <c r="M43" s="243">
        <f t="shared" si="4"/>
        <v>37249.875</v>
      </c>
      <c r="N43" s="243">
        <f>INDEX($AN$4:$AN20939,MATCH($A43,$AH$4:$AH$2000,0))</f>
        <v>20694.375</v>
      </c>
      <c r="O43" s="243">
        <f t="shared" si="9"/>
        <v>22074</v>
      </c>
      <c r="P43" s="243">
        <f t="shared" si="5"/>
        <v>22074</v>
      </c>
      <c r="Q43" s="243">
        <f t="shared" si="6"/>
        <v>0</v>
      </c>
      <c r="R43" s="243">
        <f t="shared" si="7"/>
        <v>0</v>
      </c>
      <c r="S43" s="243">
        <f t="shared" si="10"/>
        <v>0</v>
      </c>
      <c r="T43" s="243">
        <f t="shared" si="8"/>
        <v>0</v>
      </c>
      <c r="AA43" s="6">
        <v>195</v>
      </c>
      <c r="AB43" t="s">
        <v>80</v>
      </c>
      <c r="AC43" t="s">
        <v>81</v>
      </c>
      <c r="AD43" t="s">
        <v>5</v>
      </c>
      <c r="AE43" t="s">
        <v>223</v>
      </c>
      <c r="AF43">
        <v>5</v>
      </c>
      <c r="AG43">
        <v>0</v>
      </c>
      <c r="AH43">
        <v>209</v>
      </c>
      <c r="AI43" t="s">
        <v>80</v>
      </c>
      <c r="AJ43" t="s">
        <v>81</v>
      </c>
      <c r="AK43" t="s">
        <v>105</v>
      </c>
      <c r="AL43" t="s">
        <v>106</v>
      </c>
      <c r="AM43" s="314">
        <v>37249.875</v>
      </c>
      <c r="AN43" s="314">
        <v>20694.375</v>
      </c>
      <c r="AO43" s="314">
        <v>22074</v>
      </c>
      <c r="AP43" s="314">
        <v>22074</v>
      </c>
      <c r="AQ43" s="314">
        <v>5.1118290000000002</v>
      </c>
      <c r="AR43" s="314">
        <v>2.8399049999999999</v>
      </c>
      <c r="AS43" s="314">
        <v>3.0292319999999999</v>
      </c>
      <c r="AT43" s="314">
        <v>3.0292319999999999</v>
      </c>
      <c r="AU43" s="314">
        <v>0</v>
      </c>
      <c r="AV43" s="314">
        <v>0</v>
      </c>
      <c r="AW43" s="314">
        <v>0</v>
      </c>
      <c r="AX43">
        <v>0</v>
      </c>
    </row>
    <row r="44" spans="1:50" x14ac:dyDescent="0.35">
      <c r="A44">
        <v>208</v>
      </c>
      <c r="B44" t="s">
        <v>80</v>
      </c>
      <c r="C44" t="s">
        <v>81</v>
      </c>
      <c r="D44" t="s">
        <v>105</v>
      </c>
      <c r="E44" t="s">
        <v>107</v>
      </c>
      <c r="F44">
        <v>1</v>
      </c>
      <c r="G44">
        <v>2</v>
      </c>
      <c r="H44">
        <v>2</v>
      </c>
      <c r="I44">
        <v>2</v>
      </c>
      <c r="J44" s="600">
        <v>7</v>
      </c>
      <c r="K44" s="7">
        <f t="shared" si="2"/>
        <v>8</v>
      </c>
      <c r="L44" s="7">
        <f t="shared" si="3"/>
        <v>0</v>
      </c>
      <c r="M44" s="243">
        <f t="shared" si="4"/>
        <v>1379.625</v>
      </c>
      <c r="N44" s="243">
        <f>INDEX($AN$4:$AN20940,MATCH($A44,$AH$4:$AH$2000,0))</f>
        <v>2759.25</v>
      </c>
      <c r="O44" s="243">
        <f t="shared" ref="O44:O63" si="11">INDEX($AO$4:$AO$2000,MATCH($A44,$AH$4:$AH$2000,0))</f>
        <v>2759.25</v>
      </c>
      <c r="P44" s="243">
        <f t="shared" si="5"/>
        <v>2759.25</v>
      </c>
      <c r="Q44" s="243">
        <f t="shared" si="6"/>
        <v>0</v>
      </c>
      <c r="R44" s="243">
        <f t="shared" si="7"/>
        <v>0</v>
      </c>
      <c r="S44" s="243">
        <f t="shared" ref="S44:S63" si="12">INDEX($AW$4:$AW$2000,MATCH($A44,$AH$4:$AH$2000,0))</f>
        <v>0</v>
      </c>
      <c r="T44" s="243">
        <f t="shared" si="8"/>
        <v>0</v>
      </c>
      <c r="AA44" s="6">
        <v>209</v>
      </c>
      <c r="AB44" t="s">
        <v>80</v>
      </c>
      <c r="AC44" t="s">
        <v>81</v>
      </c>
      <c r="AD44" t="s">
        <v>105</v>
      </c>
      <c r="AE44" t="s">
        <v>106</v>
      </c>
      <c r="AF44">
        <v>8</v>
      </c>
      <c r="AG44">
        <v>0</v>
      </c>
      <c r="AH44">
        <v>208</v>
      </c>
      <c r="AI44" t="s">
        <v>80</v>
      </c>
      <c r="AJ44" t="s">
        <v>81</v>
      </c>
      <c r="AK44" t="s">
        <v>105</v>
      </c>
      <c r="AL44" t="s">
        <v>107</v>
      </c>
      <c r="AM44" s="314">
        <v>1379.625</v>
      </c>
      <c r="AN44" s="314">
        <v>2759.25</v>
      </c>
      <c r="AO44" s="314">
        <v>2759.25</v>
      </c>
      <c r="AP44" s="314">
        <v>2759.25</v>
      </c>
      <c r="AQ44" s="314">
        <v>0.18678</v>
      </c>
      <c r="AR44" s="314">
        <v>0.37356</v>
      </c>
      <c r="AS44" s="314">
        <v>0.37356</v>
      </c>
      <c r="AT44" s="314">
        <v>0.37356</v>
      </c>
      <c r="AU44" s="314">
        <v>0</v>
      </c>
      <c r="AV44" s="314">
        <v>0</v>
      </c>
      <c r="AW44" s="314">
        <v>0</v>
      </c>
      <c r="AX44">
        <v>0</v>
      </c>
    </row>
    <row r="45" spans="1:50" x14ac:dyDescent="0.35">
      <c r="A45">
        <v>229</v>
      </c>
      <c r="B45" t="s">
        <v>80</v>
      </c>
      <c r="C45" t="s">
        <v>81</v>
      </c>
      <c r="D45" t="s">
        <v>105</v>
      </c>
      <c r="E45" t="s">
        <v>108</v>
      </c>
      <c r="F45">
        <v>13</v>
      </c>
      <c r="G45">
        <v>14</v>
      </c>
      <c r="H45">
        <v>15</v>
      </c>
      <c r="I45">
        <v>15</v>
      </c>
      <c r="J45" s="600">
        <v>57</v>
      </c>
      <c r="K45" s="7">
        <f t="shared" si="2"/>
        <v>6</v>
      </c>
      <c r="L45" s="7">
        <f t="shared" si="3"/>
        <v>0</v>
      </c>
      <c r="M45" s="243">
        <f t="shared" si="4"/>
        <v>18740.825999999997</v>
      </c>
      <c r="N45" s="243">
        <f>INDEX($AN$4:$AN20941,MATCH($A45,$AH$4:$AH$2000,0))</f>
        <v>20182.428</v>
      </c>
      <c r="O45" s="243">
        <f t="shared" si="11"/>
        <v>21624.03</v>
      </c>
      <c r="P45" s="243">
        <f t="shared" si="5"/>
        <v>21624.03</v>
      </c>
      <c r="Q45" s="243">
        <f t="shared" si="6"/>
        <v>0</v>
      </c>
      <c r="R45" s="243">
        <f t="shared" si="7"/>
        <v>0</v>
      </c>
      <c r="S45" s="243">
        <f t="shared" si="12"/>
        <v>0</v>
      </c>
      <c r="T45" s="243">
        <f t="shared" si="8"/>
        <v>0</v>
      </c>
      <c r="AA45" s="6">
        <v>208</v>
      </c>
      <c r="AB45" t="s">
        <v>80</v>
      </c>
      <c r="AC45" t="s">
        <v>81</v>
      </c>
      <c r="AD45" t="s">
        <v>105</v>
      </c>
      <c r="AE45" t="s">
        <v>107</v>
      </c>
      <c r="AF45">
        <v>8</v>
      </c>
      <c r="AG45">
        <v>0</v>
      </c>
      <c r="AH45">
        <v>229</v>
      </c>
      <c r="AI45" t="s">
        <v>80</v>
      </c>
      <c r="AJ45" t="s">
        <v>81</v>
      </c>
      <c r="AK45" t="s">
        <v>105</v>
      </c>
      <c r="AL45" t="s">
        <v>108</v>
      </c>
      <c r="AM45" s="314">
        <v>18740.825999999997</v>
      </c>
      <c r="AN45" s="314">
        <v>20182.428</v>
      </c>
      <c r="AO45" s="314">
        <v>21624.03</v>
      </c>
      <c r="AP45" s="314">
        <v>21624.03</v>
      </c>
      <c r="AQ45" s="314">
        <v>2.2074000000000003</v>
      </c>
      <c r="AR45" s="314">
        <v>2.3772000000000002</v>
      </c>
      <c r="AS45" s="314">
        <v>2.5470000000000002</v>
      </c>
      <c r="AT45" s="314">
        <v>2.5470000000000002</v>
      </c>
      <c r="AU45" s="314">
        <v>0</v>
      </c>
      <c r="AV45" s="314">
        <v>0</v>
      </c>
      <c r="AW45" s="314">
        <v>0</v>
      </c>
      <c r="AX45">
        <v>0</v>
      </c>
    </row>
    <row r="46" spans="1:50" x14ac:dyDescent="0.35">
      <c r="A46">
        <v>215</v>
      </c>
      <c r="B46" t="s">
        <v>80</v>
      </c>
      <c r="C46" t="s">
        <v>81</v>
      </c>
      <c r="D46" t="s">
        <v>105</v>
      </c>
      <c r="E46" t="s">
        <v>109</v>
      </c>
      <c r="F46">
        <v>5</v>
      </c>
      <c r="G46">
        <v>5</v>
      </c>
      <c r="H46">
        <v>5</v>
      </c>
      <c r="I46">
        <v>6</v>
      </c>
      <c r="J46" s="600">
        <v>21</v>
      </c>
      <c r="K46" s="7">
        <f t="shared" si="2"/>
        <v>12</v>
      </c>
      <c r="L46" s="7">
        <f t="shared" si="3"/>
        <v>0</v>
      </c>
      <c r="M46" s="243">
        <f t="shared" si="4"/>
        <v>16435.154250000003</v>
      </c>
      <c r="N46" s="243">
        <f>INDEX($AN$4:$AN20942,MATCH($A46,$AH$4:$AH$2000,0))</f>
        <v>16435.154250000003</v>
      </c>
      <c r="O46" s="243">
        <f t="shared" si="11"/>
        <v>16435.154250000003</v>
      </c>
      <c r="P46" s="243">
        <f t="shared" si="5"/>
        <v>19722.185100000002</v>
      </c>
      <c r="Q46" s="243">
        <f t="shared" si="6"/>
        <v>0</v>
      </c>
      <c r="R46" s="243">
        <f t="shared" si="7"/>
        <v>0</v>
      </c>
      <c r="S46" s="243">
        <f t="shared" si="12"/>
        <v>0</v>
      </c>
      <c r="T46" s="243">
        <f t="shared" si="8"/>
        <v>0</v>
      </c>
      <c r="AA46" s="6">
        <v>229</v>
      </c>
      <c r="AB46" t="s">
        <v>80</v>
      </c>
      <c r="AC46" t="s">
        <v>81</v>
      </c>
      <c r="AD46" t="s">
        <v>105</v>
      </c>
      <c r="AE46" t="s">
        <v>108</v>
      </c>
      <c r="AF46">
        <v>6</v>
      </c>
      <c r="AG46">
        <v>0</v>
      </c>
      <c r="AH46">
        <v>215</v>
      </c>
      <c r="AI46" t="s">
        <v>80</v>
      </c>
      <c r="AJ46" t="s">
        <v>81</v>
      </c>
      <c r="AK46" t="s">
        <v>105</v>
      </c>
      <c r="AL46" t="s">
        <v>109</v>
      </c>
      <c r="AM46" s="314">
        <v>16435.154250000003</v>
      </c>
      <c r="AN46" s="314">
        <v>16435.154250000003</v>
      </c>
      <c r="AO46" s="314">
        <v>16435.154250000003</v>
      </c>
      <c r="AP46" s="314">
        <v>19722.185100000002</v>
      </c>
      <c r="AQ46" s="314">
        <v>1.7579611338184933</v>
      </c>
      <c r="AR46" s="314">
        <v>1.7579611338184933</v>
      </c>
      <c r="AS46" s="314">
        <v>1.7579611338184933</v>
      </c>
      <c r="AT46" s="314">
        <v>2.1095533605821921</v>
      </c>
      <c r="AU46" s="314">
        <v>0</v>
      </c>
      <c r="AV46" s="314">
        <v>0</v>
      </c>
      <c r="AW46" s="314">
        <v>0</v>
      </c>
      <c r="AX46">
        <v>0</v>
      </c>
    </row>
    <row r="47" spans="1:50" x14ac:dyDescent="0.35">
      <c r="A47">
        <v>216</v>
      </c>
      <c r="B47" t="s">
        <v>80</v>
      </c>
      <c r="C47" t="s">
        <v>81</v>
      </c>
      <c r="D47" t="s">
        <v>105</v>
      </c>
      <c r="E47" t="s">
        <v>110</v>
      </c>
      <c r="F47">
        <v>5</v>
      </c>
      <c r="G47">
        <v>5</v>
      </c>
      <c r="H47">
        <v>5</v>
      </c>
      <c r="I47">
        <v>6</v>
      </c>
      <c r="J47" s="600">
        <v>21</v>
      </c>
      <c r="K47" s="7">
        <f t="shared" si="2"/>
        <v>12</v>
      </c>
      <c r="L47" s="7">
        <f t="shared" si="3"/>
        <v>0</v>
      </c>
      <c r="M47" s="243">
        <f t="shared" si="4"/>
        <v>31164.773625000002</v>
      </c>
      <c r="N47" s="243">
        <f>INDEX($AN$4:$AN20943,MATCH($A47,$AH$4:$AH$2000,0))</f>
        <v>31164.773625000002</v>
      </c>
      <c r="O47" s="243">
        <f t="shared" si="11"/>
        <v>31164.773625000002</v>
      </c>
      <c r="P47" s="243">
        <f t="shared" si="5"/>
        <v>37397.728350000005</v>
      </c>
      <c r="Q47" s="243">
        <f t="shared" si="6"/>
        <v>0</v>
      </c>
      <c r="R47" s="243">
        <f t="shared" si="7"/>
        <v>0</v>
      </c>
      <c r="S47" s="243">
        <f t="shared" si="12"/>
        <v>0</v>
      </c>
      <c r="T47" s="243">
        <f t="shared" si="8"/>
        <v>0</v>
      </c>
      <c r="AA47" s="6">
        <v>205</v>
      </c>
      <c r="AB47" t="s">
        <v>80</v>
      </c>
      <c r="AC47" t="s">
        <v>81</v>
      </c>
      <c r="AD47" t="s">
        <v>105</v>
      </c>
      <c r="AE47">
        <v>0</v>
      </c>
      <c r="AG47">
        <v>0</v>
      </c>
      <c r="AH47">
        <v>216</v>
      </c>
      <c r="AI47" t="s">
        <v>80</v>
      </c>
      <c r="AJ47" t="s">
        <v>81</v>
      </c>
      <c r="AK47" t="s">
        <v>105</v>
      </c>
      <c r="AL47" t="s">
        <v>110</v>
      </c>
      <c r="AM47" s="314">
        <v>31164.773625000002</v>
      </c>
      <c r="AN47" s="314">
        <v>31164.773625000002</v>
      </c>
      <c r="AO47" s="314">
        <v>31164.773625000002</v>
      </c>
      <c r="AP47" s="314">
        <v>37397.728350000005</v>
      </c>
      <c r="AQ47" s="314">
        <v>3.3334923386558217</v>
      </c>
      <c r="AR47" s="314">
        <v>3.3334923386558217</v>
      </c>
      <c r="AS47" s="314">
        <v>3.3334923386558217</v>
      </c>
      <c r="AT47" s="314">
        <v>4.0001908063869864</v>
      </c>
      <c r="AU47" s="314">
        <v>0</v>
      </c>
      <c r="AV47" s="314">
        <v>0</v>
      </c>
      <c r="AW47" s="314">
        <v>0</v>
      </c>
      <c r="AX47">
        <v>0</v>
      </c>
    </row>
    <row r="48" spans="1:50" x14ac:dyDescent="0.35">
      <c r="A48">
        <v>207</v>
      </c>
      <c r="B48" t="s">
        <v>80</v>
      </c>
      <c r="C48" t="s">
        <v>81</v>
      </c>
      <c r="D48" t="s">
        <v>105</v>
      </c>
      <c r="E48" t="s">
        <v>111</v>
      </c>
      <c r="F48">
        <v>5</v>
      </c>
      <c r="G48">
        <v>6</v>
      </c>
      <c r="H48">
        <v>6</v>
      </c>
      <c r="I48">
        <v>6</v>
      </c>
      <c r="J48" s="600">
        <v>23</v>
      </c>
      <c r="K48" s="7">
        <f t="shared" si="2"/>
        <v>10</v>
      </c>
      <c r="L48" s="7">
        <f t="shared" si="3"/>
        <v>0</v>
      </c>
      <c r="M48" s="243">
        <f t="shared" si="4"/>
        <v>11500.555578454008</v>
      </c>
      <c r="N48" s="243">
        <f>INDEX($AN$4:$AN20944,MATCH($A48,$AH$4:$AH$2000,0))</f>
        <v>13800.666694144811</v>
      </c>
      <c r="O48" s="243">
        <f t="shared" si="11"/>
        <v>13800.666694144811</v>
      </c>
      <c r="P48" s="243">
        <f t="shared" si="5"/>
        <v>13800.666694144811</v>
      </c>
      <c r="Q48" s="243">
        <f t="shared" si="6"/>
        <v>0</v>
      </c>
      <c r="R48" s="243">
        <f t="shared" si="7"/>
        <v>0</v>
      </c>
      <c r="S48" s="243">
        <f t="shared" si="12"/>
        <v>0</v>
      </c>
      <c r="T48" s="243">
        <f t="shared" si="8"/>
        <v>0</v>
      </c>
      <c r="AA48" s="6">
        <v>215</v>
      </c>
      <c r="AB48" t="s">
        <v>80</v>
      </c>
      <c r="AC48" t="s">
        <v>81</v>
      </c>
      <c r="AD48" t="s">
        <v>105</v>
      </c>
      <c r="AE48" t="s">
        <v>109</v>
      </c>
      <c r="AF48">
        <v>12</v>
      </c>
      <c r="AG48">
        <v>0</v>
      </c>
      <c r="AH48">
        <v>207</v>
      </c>
      <c r="AI48" t="s">
        <v>80</v>
      </c>
      <c r="AJ48" t="s">
        <v>81</v>
      </c>
      <c r="AK48" t="s">
        <v>105</v>
      </c>
      <c r="AL48" t="s">
        <v>111</v>
      </c>
      <c r="AM48" s="314">
        <v>11500.555578454008</v>
      </c>
      <c r="AN48" s="314">
        <v>13800.666694144811</v>
      </c>
      <c r="AO48" s="314">
        <v>13800.666694144811</v>
      </c>
      <c r="AP48" s="314">
        <v>13800.666694144811</v>
      </c>
      <c r="AQ48" s="314">
        <v>0</v>
      </c>
      <c r="AR48" s="314">
        <v>0</v>
      </c>
      <c r="AS48" s="314">
        <v>0</v>
      </c>
      <c r="AT48" s="314">
        <v>0</v>
      </c>
      <c r="AU48" s="314">
        <v>0</v>
      </c>
      <c r="AV48" s="314">
        <v>0</v>
      </c>
      <c r="AW48" s="314">
        <v>0</v>
      </c>
      <c r="AX48">
        <v>0</v>
      </c>
    </row>
    <row r="49" spans="1:50" x14ac:dyDescent="0.35">
      <c r="A49">
        <v>206</v>
      </c>
      <c r="B49" t="s">
        <v>80</v>
      </c>
      <c r="C49" t="s">
        <v>81</v>
      </c>
      <c r="D49" t="s">
        <v>105</v>
      </c>
      <c r="E49" t="s">
        <v>112</v>
      </c>
      <c r="F49">
        <v>5</v>
      </c>
      <c r="G49">
        <v>7</v>
      </c>
      <c r="H49">
        <v>7</v>
      </c>
      <c r="I49">
        <v>6</v>
      </c>
      <c r="J49" s="600">
        <v>25</v>
      </c>
      <c r="K49" s="7">
        <f t="shared" si="2"/>
        <v>10</v>
      </c>
      <c r="L49" s="7">
        <f t="shared" si="3"/>
        <v>0</v>
      </c>
      <c r="M49" s="243">
        <f t="shared" si="4"/>
        <v>5425.9105471573866</v>
      </c>
      <c r="N49" s="243">
        <f>INDEX($AN$4:$AN20945,MATCH($A49,$AH$4:$AH$2000,0))</f>
        <v>7596.2747660203413</v>
      </c>
      <c r="O49" s="243">
        <f t="shared" si="11"/>
        <v>7596.2747660203413</v>
      </c>
      <c r="P49" s="243">
        <f t="shared" si="5"/>
        <v>6511.092656588864</v>
      </c>
      <c r="Q49" s="243">
        <f t="shared" si="6"/>
        <v>0</v>
      </c>
      <c r="R49" s="243">
        <f t="shared" si="7"/>
        <v>0</v>
      </c>
      <c r="S49" s="243">
        <f t="shared" si="12"/>
        <v>0</v>
      </c>
      <c r="T49" s="243">
        <f t="shared" si="8"/>
        <v>0</v>
      </c>
      <c r="AA49" s="6">
        <v>216</v>
      </c>
      <c r="AB49" t="s">
        <v>80</v>
      </c>
      <c r="AC49" t="s">
        <v>81</v>
      </c>
      <c r="AD49" t="s">
        <v>105</v>
      </c>
      <c r="AE49" t="s">
        <v>110</v>
      </c>
      <c r="AF49">
        <v>12</v>
      </c>
      <c r="AG49">
        <v>0</v>
      </c>
      <c r="AH49">
        <v>206</v>
      </c>
      <c r="AI49" t="s">
        <v>80</v>
      </c>
      <c r="AJ49" t="s">
        <v>81</v>
      </c>
      <c r="AK49" t="s">
        <v>105</v>
      </c>
      <c r="AL49" t="s">
        <v>112</v>
      </c>
      <c r="AM49" s="314">
        <v>5425.9105471573866</v>
      </c>
      <c r="AN49" s="314">
        <v>7596.2747660203413</v>
      </c>
      <c r="AO49" s="314">
        <v>7596.2747660203413</v>
      </c>
      <c r="AP49" s="314">
        <v>6511.092656588864</v>
      </c>
      <c r="AQ49" s="314">
        <v>0</v>
      </c>
      <c r="AR49" s="314">
        <v>0</v>
      </c>
      <c r="AS49" s="314">
        <v>0</v>
      </c>
      <c r="AT49" s="314">
        <v>0</v>
      </c>
      <c r="AU49" s="314">
        <v>0</v>
      </c>
      <c r="AV49" s="314">
        <v>0</v>
      </c>
      <c r="AW49" s="314">
        <v>0</v>
      </c>
      <c r="AX49">
        <v>0</v>
      </c>
    </row>
    <row r="50" spans="1:50" x14ac:dyDescent="0.35">
      <c r="A50">
        <v>214</v>
      </c>
      <c r="B50" t="s">
        <v>80</v>
      </c>
      <c r="C50" t="s">
        <v>81</v>
      </c>
      <c r="D50" t="s">
        <v>105</v>
      </c>
      <c r="E50" t="s">
        <v>113</v>
      </c>
      <c r="F50">
        <v>14</v>
      </c>
      <c r="G50">
        <v>15</v>
      </c>
      <c r="H50">
        <v>16</v>
      </c>
      <c r="I50">
        <v>16</v>
      </c>
      <c r="J50" s="600">
        <v>61</v>
      </c>
      <c r="K50" s="7">
        <f t="shared" si="2"/>
        <v>15</v>
      </c>
      <c r="L50" s="7">
        <f t="shared" si="3"/>
        <v>0</v>
      </c>
      <c r="M50" s="243">
        <f t="shared" si="4"/>
        <v>5681.5079999999998</v>
      </c>
      <c r="N50" s="243">
        <f>INDEX($AN$4:$AN20946,MATCH($A50,$AH$4:$AH$2000,0))</f>
        <v>6087.33</v>
      </c>
      <c r="O50" s="243">
        <f t="shared" si="11"/>
        <v>6493.152</v>
      </c>
      <c r="P50" s="243">
        <f t="shared" si="5"/>
        <v>6493.152</v>
      </c>
      <c r="Q50" s="243">
        <f t="shared" si="6"/>
        <v>0</v>
      </c>
      <c r="R50" s="243">
        <f t="shared" si="7"/>
        <v>0</v>
      </c>
      <c r="S50" s="243">
        <f t="shared" si="12"/>
        <v>0</v>
      </c>
      <c r="T50" s="243">
        <f t="shared" si="8"/>
        <v>0</v>
      </c>
      <c r="AA50" s="6">
        <v>207</v>
      </c>
      <c r="AB50" t="s">
        <v>80</v>
      </c>
      <c r="AC50" t="s">
        <v>81</v>
      </c>
      <c r="AD50" t="s">
        <v>105</v>
      </c>
      <c r="AE50" t="s">
        <v>111</v>
      </c>
      <c r="AF50" s="1">
        <v>10</v>
      </c>
      <c r="AG50">
        <v>0</v>
      </c>
      <c r="AH50">
        <v>214</v>
      </c>
      <c r="AI50" t="s">
        <v>80</v>
      </c>
      <c r="AJ50" t="s">
        <v>81</v>
      </c>
      <c r="AK50" t="s">
        <v>105</v>
      </c>
      <c r="AL50" t="s">
        <v>113</v>
      </c>
      <c r="AM50" s="314">
        <v>5681.5079999999998</v>
      </c>
      <c r="AN50" s="314">
        <v>6087.33</v>
      </c>
      <c r="AO50" s="314">
        <v>6493.152</v>
      </c>
      <c r="AP50" s="314">
        <v>6493.152</v>
      </c>
      <c r="AQ50" s="314">
        <v>0.71316000000000002</v>
      </c>
      <c r="AR50" s="314">
        <v>0.7641</v>
      </c>
      <c r="AS50" s="314">
        <v>0.81503999999999999</v>
      </c>
      <c r="AT50" s="314">
        <v>0.81503999999999999</v>
      </c>
      <c r="AU50" s="314">
        <v>0</v>
      </c>
      <c r="AV50" s="314">
        <v>0</v>
      </c>
      <c r="AW50" s="314">
        <v>0</v>
      </c>
      <c r="AX50">
        <v>0</v>
      </c>
    </row>
    <row r="51" spans="1:50" x14ac:dyDescent="0.35">
      <c r="A51">
        <v>228</v>
      </c>
      <c r="B51" t="s">
        <v>80</v>
      </c>
      <c r="C51" t="s">
        <v>81</v>
      </c>
      <c r="D51" t="s">
        <v>105</v>
      </c>
      <c r="E51" t="s">
        <v>114</v>
      </c>
      <c r="F51">
        <v>1</v>
      </c>
      <c r="G51">
        <v>2</v>
      </c>
      <c r="H51">
        <v>1</v>
      </c>
      <c r="I51">
        <v>2</v>
      </c>
      <c r="J51" s="600">
        <v>6</v>
      </c>
      <c r="K51" s="7">
        <f t="shared" si="2"/>
        <v>12</v>
      </c>
      <c r="L51" s="7">
        <f t="shared" si="3"/>
        <v>0</v>
      </c>
      <c r="M51" s="243">
        <f t="shared" si="4"/>
        <v>229.14509999999999</v>
      </c>
      <c r="N51" s="243">
        <f>INDEX($AN$4:$AN20947,MATCH($A51,$AH$4:$AH$2000,0))</f>
        <v>458.29019999999997</v>
      </c>
      <c r="O51" s="243">
        <f t="shared" si="11"/>
        <v>229.14509999999999</v>
      </c>
      <c r="P51" s="243">
        <f t="shared" si="5"/>
        <v>458.29019999999997</v>
      </c>
      <c r="Q51" s="243">
        <f t="shared" si="6"/>
        <v>0</v>
      </c>
      <c r="R51" s="243">
        <f t="shared" si="7"/>
        <v>0</v>
      </c>
      <c r="S51" s="243">
        <f t="shared" si="12"/>
        <v>0</v>
      </c>
      <c r="T51" s="243">
        <f t="shared" si="8"/>
        <v>0</v>
      </c>
      <c r="AA51" s="6">
        <v>206</v>
      </c>
      <c r="AB51" t="s">
        <v>80</v>
      </c>
      <c r="AC51" t="s">
        <v>81</v>
      </c>
      <c r="AD51" t="s">
        <v>105</v>
      </c>
      <c r="AE51" t="s">
        <v>112</v>
      </c>
      <c r="AF51" s="1">
        <v>10</v>
      </c>
      <c r="AG51">
        <v>0</v>
      </c>
      <c r="AH51">
        <v>228</v>
      </c>
      <c r="AI51" t="s">
        <v>80</v>
      </c>
      <c r="AJ51" t="s">
        <v>81</v>
      </c>
      <c r="AK51" t="s">
        <v>105</v>
      </c>
      <c r="AL51" t="s">
        <v>114</v>
      </c>
      <c r="AM51" s="314">
        <v>229.14509999999999</v>
      </c>
      <c r="AN51" s="314">
        <v>458.29019999999997</v>
      </c>
      <c r="AO51" s="314">
        <v>229.14509999999999</v>
      </c>
      <c r="AP51" s="314">
        <v>458.29019999999997</v>
      </c>
      <c r="AQ51" s="314">
        <v>2.547E-2</v>
      </c>
      <c r="AR51" s="314">
        <v>5.0939999999999999E-2</v>
      </c>
      <c r="AS51" s="314">
        <v>2.547E-2</v>
      </c>
      <c r="AT51" s="314">
        <v>5.0939999999999999E-2</v>
      </c>
      <c r="AU51" s="314">
        <v>0</v>
      </c>
      <c r="AV51" s="314">
        <v>0</v>
      </c>
      <c r="AW51" s="314">
        <v>0</v>
      </c>
      <c r="AX51">
        <v>0</v>
      </c>
    </row>
    <row r="52" spans="1:50" x14ac:dyDescent="0.35">
      <c r="A52">
        <v>225</v>
      </c>
      <c r="B52" t="s">
        <v>80</v>
      </c>
      <c r="C52" t="s">
        <v>81</v>
      </c>
      <c r="D52" t="s">
        <v>105</v>
      </c>
      <c r="E52" t="s">
        <v>115</v>
      </c>
      <c r="F52">
        <v>1</v>
      </c>
      <c r="G52">
        <v>1</v>
      </c>
      <c r="H52">
        <v>2</v>
      </c>
      <c r="I52">
        <v>1</v>
      </c>
      <c r="J52" s="600">
        <v>5</v>
      </c>
      <c r="K52" s="7">
        <f t="shared" si="2"/>
        <v>12</v>
      </c>
      <c r="L52" s="7">
        <f t="shared" si="3"/>
        <v>0</v>
      </c>
      <c r="M52" s="243">
        <f t="shared" si="4"/>
        <v>505.49459999999999</v>
      </c>
      <c r="N52" s="243">
        <f>INDEX($AN$4:$AN20948,MATCH($A52,$AH$4:$AH$2000,0))</f>
        <v>505.49459999999999</v>
      </c>
      <c r="O52" s="243">
        <f t="shared" si="11"/>
        <v>1010.9892</v>
      </c>
      <c r="P52" s="243">
        <f t="shared" si="5"/>
        <v>505.49459999999999</v>
      </c>
      <c r="Q52" s="243">
        <f t="shared" si="6"/>
        <v>0</v>
      </c>
      <c r="R52" s="243">
        <f t="shared" si="7"/>
        <v>0</v>
      </c>
      <c r="S52" s="243">
        <f t="shared" si="12"/>
        <v>0</v>
      </c>
      <c r="T52" s="243">
        <f t="shared" si="8"/>
        <v>0</v>
      </c>
      <c r="AA52" s="6">
        <v>214</v>
      </c>
      <c r="AB52" t="s">
        <v>80</v>
      </c>
      <c r="AC52" t="s">
        <v>81</v>
      </c>
      <c r="AD52" t="s">
        <v>105</v>
      </c>
      <c r="AE52" t="s">
        <v>113</v>
      </c>
      <c r="AF52" s="1">
        <v>15</v>
      </c>
      <c r="AG52">
        <v>0</v>
      </c>
      <c r="AH52">
        <v>225</v>
      </c>
      <c r="AI52" t="s">
        <v>80</v>
      </c>
      <c r="AJ52" t="s">
        <v>81</v>
      </c>
      <c r="AK52" t="s">
        <v>105</v>
      </c>
      <c r="AL52" t="s">
        <v>115</v>
      </c>
      <c r="AM52" s="314">
        <v>505.49459999999999</v>
      </c>
      <c r="AN52" s="314">
        <v>505.49459999999999</v>
      </c>
      <c r="AO52" s="314">
        <v>1010.9892</v>
      </c>
      <c r="AP52" s="314">
        <v>505.49459999999999</v>
      </c>
      <c r="AQ52" s="314">
        <v>5.0939999999999999E-2</v>
      </c>
      <c r="AR52" s="314">
        <v>5.0939999999999999E-2</v>
      </c>
      <c r="AS52" s="314">
        <v>0.10188</v>
      </c>
      <c r="AT52" s="314">
        <v>5.0939999999999999E-2</v>
      </c>
      <c r="AU52" s="314">
        <v>0</v>
      </c>
      <c r="AV52" s="314">
        <v>0</v>
      </c>
      <c r="AW52" s="314">
        <v>0</v>
      </c>
      <c r="AX52">
        <v>0</v>
      </c>
    </row>
    <row r="53" spans="1:50" x14ac:dyDescent="0.35">
      <c r="A53">
        <v>226</v>
      </c>
      <c r="B53" t="s">
        <v>80</v>
      </c>
      <c r="C53" t="s">
        <v>81</v>
      </c>
      <c r="D53" t="s">
        <v>105</v>
      </c>
      <c r="E53" t="s">
        <v>116</v>
      </c>
      <c r="F53">
        <v>2</v>
      </c>
      <c r="G53">
        <v>3</v>
      </c>
      <c r="H53">
        <v>2</v>
      </c>
      <c r="I53">
        <v>2</v>
      </c>
      <c r="J53" s="600">
        <v>9</v>
      </c>
      <c r="K53" s="7">
        <f t="shared" si="2"/>
        <v>12</v>
      </c>
      <c r="L53" s="7">
        <f t="shared" si="3"/>
        <v>0</v>
      </c>
      <c r="M53" s="243">
        <f t="shared" si="4"/>
        <v>1627.3632</v>
      </c>
      <c r="N53" s="243">
        <f>INDEX($AN$4:$AN20949,MATCH($A53,$AH$4:$AH$2000,0))</f>
        <v>2441.0448000000001</v>
      </c>
      <c r="O53" s="243">
        <f t="shared" si="11"/>
        <v>1627.3632</v>
      </c>
      <c r="P53" s="243">
        <f t="shared" si="5"/>
        <v>1627.3632</v>
      </c>
      <c r="Q53" s="243">
        <f t="shared" si="6"/>
        <v>0</v>
      </c>
      <c r="R53" s="243">
        <f t="shared" si="7"/>
        <v>0</v>
      </c>
      <c r="S53" s="243">
        <f t="shared" si="12"/>
        <v>0</v>
      </c>
      <c r="T53" s="243">
        <f t="shared" si="8"/>
        <v>0</v>
      </c>
      <c r="AA53" s="6">
        <v>228</v>
      </c>
      <c r="AB53" t="s">
        <v>80</v>
      </c>
      <c r="AC53" t="s">
        <v>81</v>
      </c>
      <c r="AD53" t="s">
        <v>105</v>
      </c>
      <c r="AE53" t="s">
        <v>114</v>
      </c>
      <c r="AF53">
        <v>12</v>
      </c>
      <c r="AG53">
        <v>0</v>
      </c>
      <c r="AH53">
        <v>226</v>
      </c>
      <c r="AI53" t="s">
        <v>80</v>
      </c>
      <c r="AJ53" t="s">
        <v>81</v>
      </c>
      <c r="AK53" t="s">
        <v>105</v>
      </c>
      <c r="AL53" t="s">
        <v>116</v>
      </c>
      <c r="AM53" s="314">
        <v>1627.3632</v>
      </c>
      <c r="AN53" s="314">
        <v>2441.0448000000001</v>
      </c>
      <c r="AO53" s="314">
        <v>1627.3632</v>
      </c>
      <c r="AP53" s="314">
        <v>1627.3632</v>
      </c>
      <c r="AQ53" s="314">
        <v>0.16980000000000001</v>
      </c>
      <c r="AR53" s="314">
        <v>0.25470000000000004</v>
      </c>
      <c r="AS53" s="314">
        <v>0.16980000000000001</v>
      </c>
      <c r="AT53" s="314">
        <v>0.16980000000000001</v>
      </c>
      <c r="AU53" s="314">
        <v>0</v>
      </c>
      <c r="AV53" s="314">
        <v>0</v>
      </c>
      <c r="AW53" s="314">
        <v>0</v>
      </c>
      <c r="AX53">
        <v>0</v>
      </c>
    </row>
    <row r="54" spans="1:50" x14ac:dyDescent="0.35">
      <c r="A54">
        <v>227</v>
      </c>
      <c r="B54" t="s">
        <v>80</v>
      </c>
      <c r="C54" t="s">
        <v>81</v>
      </c>
      <c r="D54" t="s">
        <v>105</v>
      </c>
      <c r="E54" t="s">
        <v>117</v>
      </c>
      <c r="F54">
        <v>2</v>
      </c>
      <c r="G54">
        <v>2</v>
      </c>
      <c r="H54">
        <v>2</v>
      </c>
      <c r="I54">
        <v>3</v>
      </c>
      <c r="J54" s="600">
        <v>9</v>
      </c>
      <c r="K54" s="7">
        <f t="shared" si="2"/>
        <v>12</v>
      </c>
      <c r="L54" s="7">
        <f t="shared" si="3"/>
        <v>0</v>
      </c>
      <c r="M54" s="243">
        <f t="shared" si="4"/>
        <v>4695.8189999999995</v>
      </c>
      <c r="N54" s="243">
        <f>INDEX($AN$4:$AN20950,MATCH($A54,$AH$4:$AH$2000,0))</f>
        <v>4695.8189999999995</v>
      </c>
      <c r="O54" s="243">
        <f t="shared" si="11"/>
        <v>4695.8189999999995</v>
      </c>
      <c r="P54" s="243">
        <f t="shared" si="5"/>
        <v>7043.7284999999993</v>
      </c>
      <c r="Q54" s="243">
        <f t="shared" si="6"/>
        <v>0</v>
      </c>
      <c r="R54" s="243">
        <f t="shared" si="7"/>
        <v>0</v>
      </c>
      <c r="S54" s="243">
        <f t="shared" si="12"/>
        <v>0</v>
      </c>
      <c r="T54" s="243">
        <f t="shared" si="8"/>
        <v>0</v>
      </c>
      <c r="AA54" s="6">
        <v>225</v>
      </c>
      <c r="AB54" t="s">
        <v>80</v>
      </c>
      <c r="AC54" t="s">
        <v>81</v>
      </c>
      <c r="AD54" t="s">
        <v>105</v>
      </c>
      <c r="AE54" t="s">
        <v>115</v>
      </c>
      <c r="AF54">
        <v>12</v>
      </c>
      <c r="AG54">
        <v>0</v>
      </c>
      <c r="AH54">
        <v>227</v>
      </c>
      <c r="AI54" t="s">
        <v>80</v>
      </c>
      <c r="AJ54" t="s">
        <v>81</v>
      </c>
      <c r="AK54" t="s">
        <v>105</v>
      </c>
      <c r="AL54" t="s">
        <v>117</v>
      </c>
      <c r="AM54" s="314">
        <v>4695.8189999999995</v>
      </c>
      <c r="AN54" s="314">
        <v>4695.8189999999995</v>
      </c>
      <c r="AO54" s="314">
        <v>4695.8189999999995</v>
      </c>
      <c r="AP54" s="314">
        <v>7043.7284999999993</v>
      </c>
      <c r="AQ54" s="314">
        <v>0.50939999999999996</v>
      </c>
      <c r="AR54" s="314">
        <v>0.50939999999999996</v>
      </c>
      <c r="AS54" s="314">
        <v>0.50939999999999996</v>
      </c>
      <c r="AT54" s="314">
        <v>0.7641</v>
      </c>
      <c r="AU54" s="314">
        <v>0</v>
      </c>
      <c r="AV54" s="314">
        <v>0</v>
      </c>
      <c r="AW54" s="314">
        <v>0</v>
      </c>
      <c r="AX54">
        <v>0</v>
      </c>
    </row>
    <row r="55" spans="1:50" x14ac:dyDescent="0.35">
      <c r="A55">
        <v>212</v>
      </c>
      <c r="B55" t="s">
        <v>80</v>
      </c>
      <c r="C55" t="s">
        <v>81</v>
      </c>
      <c r="D55" t="s">
        <v>105</v>
      </c>
      <c r="E55" t="s">
        <v>118</v>
      </c>
      <c r="F55">
        <v>9</v>
      </c>
      <c r="G55">
        <v>10</v>
      </c>
      <c r="H55">
        <v>10</v>
      </c>
      <c r="I55">
        <v>10</v>
      </c>
      <c r="J55" s="600">
        <v>39</v>
      </c>
      <c r="K55" s="7">
        <f t="shared" si="2"/>
        <v>15</v>
      </c>
      <c r="L55" s="7">
        <f t="shared" si="3"/>
        <v>0</v>
      </c>
      <c r="M55" s="243">
        <f t="shared" si="4"/>
        <v>2731.6574999999998</v>
      </c>
      <c r="N55" s="243">
        <f>INDEX($AN$4:$AN20951,MATCH($A55,$AH$4:$AH$2000,0))</f>
        <v>3035.1749999999997</v>
      </c>
      <c r="O55" s="243">
        <f t="shared" si="11"/>
        <v>3035.1749999999997</v>
      </c>
      <c r="P55" s="243">
        <f t="shared" si="5"/>
        <v>3035.1749999999997</v>
      </c>
      <c r="Q55" s="243">
        <f t="shared" si="6"/>
        <v>0</v>
      </c>
      <c r="R55" s="243">
        <f t="shared" si="7"/>
        <v>0</v>
      </c>
      <c r="S55" s="243">
        <f t="shared" si="12"/>
        <v>0</v>
      </c>
      <c r="T55" s="243">
        <f t="shared" si="8"/>
        <v>0</v>
      </c>
      <c r="AA55" s="6">
        <v>226</v>
      </c>
      <c r="AB55" t="s">
        <v>80</v>
      </c>
      <c r="AC55" t="s">
        <v>81</v>
      </c>
      <c r="AD55" t="s">
        <v>105</v>
      </c>
      <c r="AE55" t="s">
        <v>116</v>
      </c>
      <c r="AF55">
        <v>12</v>
      </c>
      <c r="AG55">
        <v>0</v>
      </c>
      <c r="AH55">
        <v>212</v>
      </c>
      <c r="AI55" t="s">
        <v>80</v>
      </c>
      <c r="AJ55" t="s">
        <v>81</v>
      </c>
      <c r="AK55" t="s">
        <v>105</v>
      </c>
      <c r="AL55" t="s">
        <v>118</v>
      </c>
      <c r="AM55" s="314">
        <v>2731.6574999999998</v>
      </c>
      <c r="AN55" s="314">
        <v>3035.1749999999997</v>
      </c>
      <c r="AO55" s="314">
        <v>3035.1749999999997</v>
      </c>
      <c r="AP55" s="314">
        <v>3035.1749999999997</v>
      </c>
      <c r="AQ55" s="314">
        <v>0.30563999999999997</v>
      </c>
      <c r="AR55" s="314">
        <v>0.33959999999999996</v>
      </c>
      <c r="AS55" s="314">
        <v>0.33959999999999996</v>
      </c>
      <c r="AT55" s="314">
        <v>0.33959999999999996</v>
      </c>
      <c r="AU55" s="314">
        <v>0</v>
      </c>
      <c r="AV55" s="314">
        <v>0</v>
      </c>
      <c r="AW55" s="314">
        <v>0</v>
      </c>
      <c r="AX55">
        <v>0</v>
      </c>
    </row>
    <row r="56" spans="1:50" x14ac:dyDescent="0.35">
      <c r="A56">
        <v>213</v>
      </c>
      <c r="B56" t="s">
        <v>80</v>
      </c>
      <c r="C56" t="s">
        <v>81</v>
      </c>
      <c r="D56" t="s">
        <v>105</v>
      </c>
      <c r="E56" t="s">
        <v>119</v>
      </c>
      <c r="F56">
        <v>9</v>
      </c>
      <c r="G56">
        <v>10</v>
      </c>
      <c r="H56">
        <v>10</v>
      </c>
      <c r="I56">
        <v>10</v>
      </c>
      <c r="J56" s="600">
        <v>39</v>
      </c>
      <c r="K56" s="7">
        <f t="shared" si="2"/>
        <v>15</v>
      </c>
      <c r="L56" s="7">
        <f t="shared" si="3"/>
        <v>0</v>
      </c>
      <c r="M56" s="243">
        <f t="shared" si="4"/>
        <v>4408.857</v>
      </c>
      <c r="N56" s="243">
        <f>INDEX($AN$4:$AN20952,MATCH($A56,$AH$4:$AH$2000,0))</f>
        <v>4898.7299999999996</v>
      </c>
      <c r="O56" s="243">
        <f t="shared" si="11"/>
        <v>4898.7299999999996</v>
      </c>
      <c r="P56" s="243">
        <f t="shared" si="5"/>
        <v>4898.7299999999996</v>
      </c>
      <c r="Q56" s="243">
        <f t="shared" si="6"/>
        <v>0</v>
      </c>
      <c r="R56" s="243">
        <f t="shared" si="7"/>
        <v>0</v>
      </c>
      <c r="S56" s="243">
        <f t="shared" si="12"/>
        <v>0</v>
      </c>
      <c r="T56" s="243">
        <f t="shared" si="8"/>
        <v>0</v>
      </c>
      <c r="AA56" s="6">
        <v>227</v>
      </c>
      <c r="AB56" t="s">
        <v>80</v>
      </c>
      <c r="AC56" t="s">
        <v>81</v>
      </c>
      <c r="AD56" t="s">
        <v>105</v>
      </c>
      <c r="AE56" t="s">
        <v>117</v>
      </c>
      <c r="AF56">
        <v>12</v>
      </c>
      <c r="AG56">
        <v>0</v>
      </c>
      <c r="AH56">
        <v>213</v>
      </c>
      <c r="AI56" t="s">
        <v>80</v>
      </c>
      <c r="AJ56" t="s">
        <v>81</v>
      </c>
      <c r="AK56" t="s">
        <v>105</v>
      </c>
      <c r="AL56" t="s">
        <v>119</v>
      </c>
      <c r="AM56" s="314">
        <v>4408.857</v>
      </c>
      <c r="AN56" s="314">
        <v>4898.7299999999996</v>
      </c>
      <c r="AO56" s="314">
        <v>4898.7299999999996</v>
      </c>
      <c r="AP56" s="314">
        <v>4898.7299999999996</v>
      </c>
      <c r="AQ56" s="314">
        <v>0.68768999999999991</v>
      </c>
      <c r="AR56" s="314">
        <v>0.76409999999999989</v>
      </c>
      <c r="AS56" s="314">
        <v>0.76409999999999989</v>
      </c>
      <c r="AT56" s="314">
        <v>0.76409999999999989</v>
      </c>
      <c r="AU56" s="314">
        <v>0</v>
      </c>
      <c r="AV56" s="314">
        <v>0</v>
      </c>
      <c r="AW56" s="314">
        <v>0</v>
      </c>
      <c r="AX56">
        <v>0</v>
      </c>
    </row>
    <row r="57" spans="1:50" x14ac:dyDescent="0.35">
      <c r="A57">
        <v>210</v>
      </c>
      <c r="B57" t="s">
        <v>80</v>
      </c>
      <c r="C57" t="s">
        <v>81</v>
      </c>
      <c r="D57" t="s">
        <v>105</v>
      </c>
      <c r="E57" t="s">
        <v>120</v>
      </c>
      <c r="F57">
        <v>9</v>
      </c>
      <c r="G57">
        <v>10</v>
      </c>
      <c r="H57">
        <v>10</v>
      </c>
      <c r="I57">
        <v>10</v>
      </c>
      <c r="J57" s="600">
        <v>39</v>
      </c>
      <c r="K57" s="7">
        <f t="shared" si="2"/>
        <v>15</v>
      </c>
      <c r="L57" s="7">
        <f t="shared" si="3"/>
        <v>0</v>
      </c>
      <c r="M57" s="243">
        <f t="shared" si="4"/>
        <v>2620.8629999999998</v>
      </c>
      <c r="N57" s="243">
        <f>INDEX($AN$4:$AN20953,MATCH($A57,$AH$4:$AH$2000,0))</f>
        <v>2912.0699999999997</v>
      </c>
      <c r="O57" s="243">
        <f t="shared" si="11"/>
        <v>2912.0699999999997</v>
      </c>
      <c r="P57" s="243">
        <f t="shared" si="5"/>
        <v>2912.0699999999997</v>
      </c>
      <c r="Q57" s="243">
        <f t="shared" si="6"/>
        <v>0</v>
      </c>
      <c r="R57" s="243">
        <f t="shared" si="7"/>
        <v>0</v>
      </c>
      <c r="S57" s="243">
        <f t="shared" si="12"/>
        <v>0</v>
      </c>
      <c r="T57" s="243">
        <f t="shared" si="8"/>
        <v>0</v>
      </c>
      <c r="AA57" s="6">
        <v>212</v>
      </c>
      <c r="AB57" t="s">
        <v>80</v>
      </c>
      <c r="AC57" t="s">
        <v>81</v>
      </c>
      <c r="AD57" t="s">
        <v>105</v>
      </c>
      <c r="AE57" t="s">
        <v>118</v>
      </c>
      <c r="AF57">
        <v>15</v>
      </c>
      <c r="AG57">
        <v>0</v>
      </c>
      <c r="AH57">
        <v>210</v>
      </c>
      <c r="AI57" t="s">
        <v>80</v>
      </c>
      <c r="AJ57" t="s">
        <v>81</v>
      </c>
      <c r="AK57" t="s">
        <v>105</v>
      </c>
      <c r="AL57" t="s">
        <v>120</v>
      </c>
      <c r="AM57" s="314">
        <v>2620.8629999999998</v>
      </c>
      <c r="AN57" s="314">
        <v>2912.0699999999997</v>
      </c>
      <c r="AO57" s="314">
        <v>2912.0699999999997</v>
      </c>
      <c r="AP57" s="314">
        <v>2912.0699999999997</v>
      </c>
      <c r="AQ57" s="314">
        <v>0.22922999999999999</v>
      </c>
      <c r="AR57" s="314">
        <v>0.25469999999999998</v>
      </c>
      <c r="AS57" s="314">
        <v>0.25469999999999998</v>
      </c>
      <c r="AT57" s="314">
        <v>0.25469999999999998</v>
      </c>
      <c r="AU57" s="314">
        <v>0</v>
      </c>
      <c r="AV57" s="314">
        <v>0</v>
      </c>
      <c r="AW57" s="314">
        <v>0</v>
      </c>
      <c r="AX57">
        <v>0</v>
      </c>
    </row>
    <row r="58" spans="1:50" x14ac:dyDescent="0.35">
      <c r="A58">
        <v>211</v>
      </c>
      <c r="B58" t="s">
        <v>80</v>
      </c>
      <c r="C58" t="s">
        <v>81</v>
      </c>
      <c r="D58" t="s">
        <v>105</v>
      </c>
      <c r="E58" t="s">
        <v>121</v>
      </c>
      <c r="F58">
        <v>9</v>
      </c>
      <c r="G58">
        <v>10</v>
      </c>
      <c r="H58">
        <v>10</v>
      </c>
      <c r="I58">
        <v>10</v>
      </c>
      <c r="J58" s="600">
        <v>39</v>
      </c>
      <c r="K58" s="7">
        <f t="shared" si="2"/>
        <v>15</v>
      </c>
      <c r="L58" s="7">
        <f t="shared" si="3"/>
        <v>0</v>
      </c>
      <c r="M58" s="243">
        <f t="shared" si="4"/>
        <v>3946.5764999999997</v>
      </c>
      <c r="N58" s="243">
        <f>INDEX($AN$4:$AN20954,MATCH($A58,$AH$4:$AH$2000,0))</f>
        <v>4385.085</v>
      </c>
      <c r="O58" s="243">
        <f t="shared" si="11"/>
        <v>4385.085</v>
      </c>
      <c r="P58" s="243">
        <f t="shared" si="5"/>
        <v>4385.085</v>
      </c>
      <c r="Q58" s="243">
        <f t="shared" si="6"/>
        <v>0</v>
      </c>
      <c r="R58" s="243">
        <f t="shared" si="7"/>
        <v>0</v>
      </c>
      <c r="S58" s="243">
        <f t="shared" si="12"/>
        <v>0</v>
      </c>
      <c r="T58" s="243">
        <f t="shared" si="8"/>
        <v>0</v>
      </c>
      <c r="AA58" s="6">
        <v>213</v>
      </c>
      <c r="AB58" t="s">
        <v>80</v>
      </c>
      <c r="AC58" t="s">
        <v>81</v>
      </c>
      <c r="AD58" t="s">
        <v>105</v>
      </c>
      <c r="AE58" t="s">
        <v>119</v>
      </c>
      <c r="AF58">
        <v>15</v>
      </c>
      <c r="AG58">
        <v>0</v>
      </c>
      <c r="AH58">
        <v>211</v>
      </c>
      <c r="AI58" t="s">
        <v>80</v>
      </c>
      <c r="AJ58" t="s">
        <v>81</v>
      </c>
      <c r="AK58" t="s">
        <v>105</v>
      </c>
      <c r="AL58" t="s">
        <v>121</v>
      </c>
      <c r="AM58" s="314">
        <v>3946.5764999999997</v>
      </c>
      <c r="AN58" s="314">
        <v>4385.085</v>
      </c>
      <c r="AO58" s="314">
        <v>4385.085</v>
      </c>
      <c r="AP58" s="314">
        <v>4385.085</v>
      </c>
      <c r="AQ58" s="314">
        <v>0.30563999999999997</v>
      </c>
      <c r="AR58" s="314">
        <v>0.33959999999999996</v>
      </c>
      <c r="AS58" s="314">
        <v>0.33959999999999996</v>
      </c>
      <c r="AT58" s="314">
        <v>0.33959999999999996</v>
      </c>
      <c r="AU58" s="314">
        <v>0</v>
      </c>
      <c r="AV58" s="314">
        <v>0</v>
      </c>
      <c r="AW58" s="314">
        <v>0</v>
      </c>
      <c r="AX58">
        <v>0</v>
      </c>
    </row>
    <row r="59" spans="1:50" x14ac:dyDescent="0.35">
      <c r="A59">
        <v>220</v>
      </c>
      <c r="B59" t="s">
        <v>80</v>
      </c>
      <c r="C59" t="s">
        <v>81</v>
      </c>
      <c r="D59" t="s">
        <v>105</v>
      </c>
      <c r="E59" t="s">
        <v>122</v>
      </c>
      <c r="F59">
        <v>1</v>
      </c>
      <c r="G59">
        <v>1</v>
      </c>
      <c r="H59">
        <v>1</v>
      </c>
      <c r="I59">
        <v>1</v>
      </c>
      <c r="J59" s="600">
        <v>4</v>
      </c>
      <c r="K59" s="7">
        <f t="shared" si="2"/>
        <v>7</v>
      </c>
      <c r="L59" s="7">
        <f t="shared" si="3"/>
        <v>0</v>
      </c>
      <c r="M59" s="243">
        <f t="shared" si="4"/>
        <v>315.94685999999996</v>
      </c>
      <c r="N59" s="243">
        <f>INDEX($AN$4:$AN20955,MATCH($A59,$AH$4:$AH$2000,0))</f>
        <v>315.94685999999996</v>
      </c>
      <c r="O59" s="243">
        <f t="shared" si="11"/>
        <v>315.94685999999996</v>
      </c>
      <c r="P59" s="243">
        <f t="shared" si="5"/>
        <v>315.94685999999996</v>
      </c>
      <c r="Q59" s="243">
        <f t="shared" si="6"/>
        <v>0</v>
      </c>
      <c r="R59" s="243">
        <f t="shared" si="7"/>
        <v>0</v>
      </c>
      <c r="S59" s="243">
        <f t="shared" si="12"/>
        <v>0</v>
      </c>
      <c r="T59" s="243">
        <f t="shared" si="8"/>
        <v>0</v>
      </c>
      <c r="AA59" s="6">
        <v>210</v>
      </c>
      <c r="AB59" t="s">
        <v>80</v>
      </c>
      <c r="AC59" t="s">
        <v>81</v>
      </c>
      <c r="AD59" t="s">
        <v>105</v>
      </c>
      <c r="AE59" t="s">
        <v>120</v>
      </c>
      <c r="AF59">
        <v>15</v>
      </c>
      <c r="AG59">
        <v>0</v>
      </c>
      <c r="AH59">
        <v>220</v>
      </c>
      <c r="AI59" t="s">
        <v>80</v>
      </c>
      <c r="AJ59" t="s">
        <v>81</v>
      </c>
      <c r="AK59" t="s">
        <v>105</v>
      </c>
      <c r="AL59" t="s">
        <v>122</v>
      </c>
      <c r="AM59" s="314">
        <v>315.94685999999996</v>
      </c>
      <c r="AN59" s="314">
        <v>315.94685999999996</v>
      </c>
      <c r="AO59" s="314">
        <v>315.94685999999996</v>
      </c>
      <c r="AP59" s="314">
        <v>315.94685999999996</v>
      </c>
      <c r="AQ59" s="314">
        <v>0.10188</v>
      </c>
      <c r="AR59" s="314">
        <v>0.10188</v>
      </c>
      <c r="AS59" s="314">
        <v>0.10188</v>
      </c>
      <c r="AT59" s="314">
        <v>0.10188</v>
      </c>
      <c r="AU59" s="314">
        <v>0</v>
      </c>
      <c r="AV59" s="314">
        <v>0</v>
      </c>
      <c r="AW59" s="314">
        <v>0</v>
      </c>
      <c r="AX59">
        <v>0</v>
      </c>
    </row>
    <row r="60" spans="1:50" x14ac:dyDescent="0.35">
      <c r="A60">
        <v>221</v>
      </c>
      <c r="B60" t="s">
        <v>80</v>
      </c>
      <c r="C60" t="s">
        <v>81</v>
      </c>
      <c r="D60" t="s">
        <v>105</v>
      </c>
      <c r="E60" t="s">
        <v>123</v>
      </c>
      <c r="F60">
        <v>1</v>
      </c>
      <c r="G60">
        <v>1</v>
      </c>
      <c r="H60">
        <v>1</v>
      </c>
      <c r="I60">
        <v>1</v>
      </c>
      <c r="J60" s="600">
        <v>4</v>
      </c>
      <c r="K60" s="7">
        <f t="shared" si="2"/>
        <v>7</v>
      </c>
      <c r="L60" s="7">
        <f t="shared" si="3"/>
        <v>0</v>
      </c>
      <c r="M60" s="243">
        <f t="shared" si="4"/>
        <v>530.82027000000005</v>
      </c>
      <c r="N60" s="243">
        <f>INDEX($AN$4:$AN20956,MATCH($A60,$AH$4:$AH$2000,0))</f>
        <v>530.82027000000005</v>
      </c>
      <c r="O60" s="243">
        <f t="shared" si="11"/>
        <v>530.82027000000005</v>
      </c>
      <c r="P60" s="243">
        <f t="shared" si="5"/>
        <v>530.82027000000005</v>
      </c>
      <c r="Q60" s="243">
        <f t="shared" si="6"/>
        <v>0</v>
      </c>
      <c r="R60" s="243">
        <f t="shared" si="7"/>
        <v>0</v>
      </c>
      <c r="S60" s="243">
        <f t="shared" si="12"/>
        <v>0</v>
      </c>
      <c r="T60" s="243">
        <f t="shared" si="8"/>
        <v>0</v>
      </c>
      <c r="AA60" s="6">
        <v>211</v>
      </c>
      <c r="AB60" t="s">
        <v>80</v>
      </c>
      <c r="AC60" t="s">
        <v>81</v>
      </c>
      <c r="AD60" t="s">
        <v>105</v>
      </c>
      <c r="AE60" t="s">
        <v>121</v>
      </c>
      <c r="AF60">
        <v>15</v>
      </c>
      <c r="AG60">
        <v>0</v>
      </c>
      <c r="AH60">
        <v>221</v>
      </c>
      <c r="AI60" t="s">
        <v>80</v>
      </c>
      <c r="AJ60" t="s">
        <v>81</v>
      </c>
      <c r="AK60" t="s">
        <v>105</v>
      </c>
      <c r="AL60" t="s">
        <v>123</v>
      </c>
      <c r="AM60" s="314">
        <v>530.82027000000005</v>
      </c>
      <c r="AN60" s="314">
        <v>530.82027000000005</v>
      </c>
      <c r="AO60" s="314">
        <v>530.82027000000005</v>
      </c>
      <c r="AP60" s="314">
        <v>530.82027000000005</v>
      </c>
      <c r="AQ60" s="314">
        <v>0.16980000000000001</v>
      </c>
      <c r="AR60" s="314">
        <v>0.16980000000000001</v>
      </c>
      <c r="AS60" s="314">
        <v>0.16980000000000001</v>
      </c>
      <c r="AT60" s="314">
        <v>0.16980000000000001</v>
      </c>
      <c r="AU60" s="314">
        <v>0</v>
      </c>
      <c r="AV60" s="314">
        <v>0</v>
      </c>
      <c r="AW60" s="314">
        <v>0</v>
      </c>
      <c r="AX60">
        <v>0</v>
      </c>
    </row>
    <row r="61" spans="1:50" x14ac:dyDescent="0.35">
      <c r="A61">
        <v>222</v>
      </c>
      <c r="B61" t="s">
        <v>80</v>
      </c>
      <c r="C61" t="s">
        <v>81</v>
      </c>
      <c r="D61" t="s">
        <v>105</v>
      </c>
      <c r="E61" t="s">
        <v>124</v>
      </c>
      <c r="F61">
        <v>1</v>
      </c>
      <c r="G61">
        <v>1</v>
      </c>
      <c r="H61">
        <v>1</v>
      </c>
      <c r="I61">
        <v>1</v>
      </c>
      <c r="J61" s="600">
        <v>4</v>
      </c>
      <c r="K61" s="7">
        <f t="shared" si="2"/>
        <v>7</v>
      </c>
      <c r="L61" s="7">
        <f t="shared" si="3"/>
        <v>0</v>
      </c>
      <c r="M61" s="243">
        <f t="shared" si="4"/>
        <v>952.8836399999999</v>
      </c>
      <c r="N61" s="243">
        <f>INDEX($AN$4:$AN20957,MATCH($A61,$AH$4:$AH$2000,0))</f>
        <v>952.8836399999999</v>
      </c>
      <c r="O61" s="243">
        <f t="shared" si="11"/>
        <v>952.8836399999999</v>
      </c>
      <c r="P61" s="243">
        <f t="shared" si="5"/>
        <v>952.8836399999999</v>
      </c>
      <c r="Q61" s="243">
        <f t="shared" si="6"/>
        <v>0</v>
      </c>
      <c r="R61" s="243">
        <f t="shared" si="7"/>
        <v>0</v>
      </c>
      <c r="S61" s="243">
        <f t="shared" si="12"/>
        <v>0</v>
      </c>
      <c r="T61" s="243">
        <f t="shared" si="8"/>
        <v>0</v>
      </c>
      <c r="AA61" s="6">
        <v>220</v>
      </c>
      <c r="AB61" t="s">
        <v>80</v>
      </c>
      <c r="AC61" t="s">
        <v>81</v>
      </c>
      <c r="AD61" t="s">
        <v>105</v>
      </c>
      <c r="AE61" t="s">
        <v>122</v>
      </c>
      <c r="AF61">
        <v>7</v>
      </c>
      <c r="AG61">
        <v>0</v>
      </c>
      <c r="AH61">
        <v>222</v>
      </c>
      <c r="AI61" t="s">
        <v>80</v>
      </c>
      <c r="AJ61" t="s">
        <v>81</v>
      </c>
      <c r="AK61" t="s">
        <v>105</v>
      </c>
      <c r="AL61" t="s">
        <v>124</v>
      </c>
      <c r="AM61" s="314">
        <v>952.8836399999999</v>
      </c>
      <c r="AN61" s="314">
        <v>952.8836399999999</v>
      </c>
      <c r="AO61" s="314">
        <v>952.8836399999999</v>
      </c>
      <c r="AP61" s="314">
        <v>952.8836399999999</v>
      </c>
      <c r="AQ61" s="314">
        <v>0.30563999999999997</v>
      </c>
      <c r="AR61" s="314">
        <v>0.30563999999999997</v>
      </c>
      <c r="AS61" s="314">
        <v>0.30563999999999997</v>
      </c>
      <c r="AT61" s="314">
        <v>0.30563999999999997</v>
      </c>
      <c r="AU61" s="314">
        <v>0</v>
      </c>
      <c r="AV61" s="314">
        <v>0</v>
      </c>
      <c r="AW61" s="314">
        <v>0</v>
      </c>
      <c r="AX61">
        <v>0</v>
      </c>
    </row>
    <row r="62" spans="1:50" x14ac:dyDescent="0.35">
      <c r="A62">
        <v>217</v>
      </c>
      <c r="B62" t="s">
        <v>80</v>
      </c>
      <c r="C62" t="s">
        <v>81</v>
      </c>
      <c r="D62" t="s">
        <v>105</v>
      </c>
      <c r="E62" t="s">
        <v>125</v>
      </c>
      <c r="F62">
        <v>1</v>
      </c>
      <c r="G62">
        <v>1</v>
      </c>
      <c r="H62">
        <v>1</v>
      </c>
      <c r="I62">
        <v>1</v>
      </c>
      <c r="J62" s="600">
        <v>4</v>
      </c>
      <c r="K62" s="7">
        <f t="shared" si="2"/>
        <v>7</v>
      </c>
      <c r="L62" s="7">
        <f t="shared" si="3"/>
        <v>0</v>
      </c>
      <c r="M62" s="243">
        <f t="shared" si="4"/>
        <v>315.94685999999996</v>
      </c>
      <c r="N62" s="243">
        <f>INDEX($AN$4:$AN20958,MATCH($A62,$AH$4:$AH$2000,0))</f>
        <v>315.94685999999996</v>
      </c>
      <c r="O62" s="243">
        <f t="shared" si="11"/>
        <v>315.94685999999996</v>
      </c>
      <c r="P62" s="243">
        <f t="shared" si="5"/>
        <v>315.94685999999996</v>
      </c>
      <c r="Q62" s="243">
        <f t="shared" si="6"/>
        <v>0</v>
      </c>
      <c r="R62" s="243">
        <f t="shared" si="7"/>
        <v>0</v>
      </c>
      <c r="S62" s="243">
        <f t="shared" si="12"/>
        <v>0</v>
      </c>
      <c r="T62" s="243">
        <f t="shared" si="8"/>
        <v>0</v>
      </c>
      <c r="AA62" s="6">
        <v>221</v>
      </c>
      <c r="AB62" t="s">
        <v>80</v>
      </c>
      <c r="AC62" t="s">
        <v>81</v>
      </c>
      <c r="AD62" t="s">
        <v>105</v>
      </c>
      <c r="AE62" t="s">
        <v>123</v>
      </c>
      <c r="AF62">
        <v>7</v>
      </c>
      <c r="AG62">
        <v>0</v>
      </c>
      <c r="AH62">
        <v>217</v>
      </c>
      <c r="AI62" t="s">
        <v>80</v>
      </c>
      <c r="AJ62" t="s">
        <v>81</v>
      </c>
      <c r="AK62" t="s">
        <v>105</v>
      </c>
      <c r="AL62" t="s">
        <v>125</v>
      </c>
      <c r="AM62" s="314">
        <v>315.94685999999996</v>
      </c>
      <c r="AN62" s="314">
        <v>315.94685999999996</v>
      </c>
      <c r="AO62" s="314">
        <v>315.94685999999996</v>
      </c>
      <c r="AP62" s="314">
        <v>315.94685999999996</v>
      </c>
      <c r="AQ62" s="314">
        <v>0.10188</v>
      </c>
      <c r="AR62" s="314">
        <v>0.10188</v>
      </c>
      <c r="AS62" s="314">
        <v>0.10188</v>
      </c>
      <c r="AT62" s="314">
        <v>0.10188</v>
      </c>
      <c r="AU62" s="314">
        <v>0</v>
      </c>
      <c r="AV62" s="314">
        <v>0</v>
      </c>
      <c r="AW62" s="314">
        <v>0</v>
      </c>
      <c r="AX62">
        <v>0</v>
      </c>
    </row>
    <row r="63" spans="1:50" x14ac:dyDescent="0.35">
      <c r="A63">
        <v>218</v>
      </c>
      <c r="B63" t="s">
        <v>80</v>
      </c>
      <c r="C63" t="s">
        <v>81</v>
      </c>
      <c r="D63" t="s">
        <v>105</v>
      </c>
      <c r="E63" t="s">
        <v>126</v>
      </c>
      <c r="F63">
        <v>1</v>
      </c>
      <c r="G63">
        <v>1</v>
      </c>
      <c r="H63">
        <v>1</v>
      </c>
      <c r="I63">
        <v>1</v>
      </c>
      <c r="J63" s="600">
        <v>4</v>
      </c>
      <c r="K63" s="7">
        <f t="shared" si="2"/>
        <v>7</v>
      </c>
      <c r="L63" s="7">
        <f t="shared" si="3"/>
        <v>0</v>
      </c>
      <c r="M63" s="243">
        <f t="shared" si="4"/>
        <v>530.82027000000005</v>
      </c>
      <c r="N63" s="243">
        <f>INDEX($AN$4:$AN20959,MATCH($A63,$AH$4:$AH$2000,0))</f>
        <v>530.82027000000005</v>
      </c>
      <c r="O63" s="243">
        <f t="shared" si="11"/>
        <v>530.82027000000005</v>
      </c>
      <c r="P63" s="243">
        <f t="shared" si="5"/>
        <v>530.82027000000005</v>
      </c>
      <c r="Q63" s="243">
        <f t="shared" si="6"/>
        <v>0</v>
      </c>
      <c r="R63" s="243">
        <f t="shared" si="7"/>
        <v>0</v>
      </c>
      <c r="S63" s="243">
        <f t="shared" si="12"/>
        <v>0</v>
      </c>
      <c r="T63" s="243">
        <f t="shared" si="8"/>
        <v>0</v>
      </c>
      <c r="AA63" s="6">
        <v>222</v>
      </c>
      <c r="AB63" t="s">
        <v>80</v>
      </c>
      <c r="AC63" t="s">
        <v>81</v>
      </c>
      <c r="AD63" t="s">
        <v>105</v>
      </c>
      <c r="AE63" t="s">
        <v>124</v>
      </c>
      <c r="AF63">
        <v>7</v>
      </c>
      <c r="AG63">
        <v>0</v>
      </c>
      <c r="AH63">
        <v>218</v>
      </c>
      <c r="AI63" t="s">
        <v>80</v>
      </c>
      <c r="AJ63" t="s">
        <v>81</v>
      </c>
      <c r="AK63" t="s">
        <v>105</v>
      </c>
      <c r="AL63" t="s">
        <v>126</v>
      </c>
      <c r="AM63" s="314">
        <v>530.82027000000005</v>
      </c>
      <c r="AN63" s="314">
        <v>530.82027000000005</v>
      </c>
      <c r="AO63" s="314">
        <v>530.82027000000005</v>
      </c>
      <c r="AP63" s="314">
        <v>530.82027000000005</v>
      </c>
      <c r="AQ63" s="314">
        <v>0.16980000000000001</v>
      </c>
      <c r="AR63" s="314">
        <v>0.16980000000000001</v>
      </c>
      <c r="AS63" s="314">
        <v>0.16980000000000001</v>
      </c>
      <c r="AT63" s="314">
        <v>0.16980000000000001</v>
      </c>
      <c r="AU63" s="314">
        <v>0</v>
      </c>
      <c r="AV63" s="314">
        <v>0</v>
      </c>
      <c r="AW63" s="314">
        <v>0</v>
      </c>
      <c r="AX63">
        <v>0</v>
      </c>
    </row>
    <row r="64" spans="1:50" x14ac:dyDescent="0.35">
      <c r="A64">
        <v>219</v>
      </c>
      <c r="B64" t="s">
        <v>80</v>
      </c>
      <c r="C64" t="s">
        <v>81</v>
      </c>
      <c r="D64" t="s">
        <v>105</v>
      </c>
      <c r="E64" t="s">
        <v>127</v>
      </c>
      <c r="F64">
        <v>1</v>
      </c>
      <c r="G64">
        <v>1</v>
      </c>
      <c r="H64">
        <v>1</v>
      </c>
      <c r="I64">
        <v>1</v>
      </c>
      <c r="J64" s="600">
        <v>4</v>
      </c>
      <c r="K64" s="7">
        <f t="shared" si="2"/>
        <v>7</v>
      </c>
      <c r="L64" s="7">
        <f t="shared" si="3"/>
        <v>0</v>
      </c>
      <c r="M64" s="243">
        <f t="shared" si="4"/>
        <v>952.8836399999999</v>
      </c>
      <c r="N64" s="243">
        <f>INDEX($AN$4:$AN20960,MATCH($A64,$AH$4:$AH$2000,0))</f>
        <v>952.8836399999999</v>
      </c>
      <c r="O64" s="243">
        <f t="shared" ref="O64:O83" si="13">INDEX($AO$4:$AO$2000,MATCH($A64,$AH$4:$AH$2000,0))</f>
        <v>952.8836399999999</v>
      </c>
      <c r="P64" s="243">
        <f t="shared" si="5"/>
        <v>952.8836399999999</v>
      </c>
      <c r="Q64" s="243">
        <f t="shared" si="6"/>
        <v>0</v>
      </c>
      <c r="R64" s="243">
        <f t="shared" si="7"/>
        <v>0</v>
      </c>
      <c r="S64" s="243">
        <f t="shared" ref="S64:S83" si="14">INDEX($AW$4:$AW$2000,MATCH($A64,$AH$4:$AH$2000,0))</f>
        <v>0</v>
      </c>
      <c r="T64" s="243">
        <f t="shared" si="8"/>
        <v>0</v>
      </c>
      <c r="AA64" s="6">
        <v>217</v>
      </c>
      <c r="AB64" t="s">
        <v>80</v>
      </c>
      <c r="AC64" t="s">
        <v>81</v>
      </c>
      <c r="AD64" t="s">
        <v>105</v>
      </c>
      <c r="AE64" t="s">
        <v>125</v>
      </c>
      <c r="AF64">
        <v>7</v>
      </c>
      <c r="AG64">
        <v>0</v>
      </c>
      <c r="AH64">
        <v>219</v>
      </c>
      <c r="AI64" t="s">
        <v>80</v>
      </c>
      <c r="AJ64" t="s">
        <v>81</v>
      </c>
      <c r="AK64" t="s">
        <v>105</v>
      </c>
      <c r="AL64" t="s">
        <v>127</v>
      </c>
      <c r="AM64" s="314">
        <v>952.8836399999999</v>
      </c>
      <c r="AN64" s="314">
        <v>952.8836399999999</v>
      </c>
      <c r="AO64" s="314">
        <v>952.8836399999999</v>
      </c>
      <c r="AP64" s="314">
        <v>952.8836399999999</v>
      </c>
      <c r="AQ64" s="314">
        <v>0.30563999999999997</v>
      </c>
      <c r="AR64" s="314">
        <v>0.30563999999999997</v>
      </c>
      <c r="AS64" s="314">
        <v>0.30563999999999997</v>
      </c>
      <c r="AT64" s="314">
        <v>0.30563999999999997</v>
      </c>
      <c r="AU64" s="314">
        <v>0</v>
      </c>
      <c r="AV64" s="314">
        <v>0</v>
      </c>
      <c r="AW64" s="314">
        <v>0</v>
      </c>
      <c r="AX64">
        <v>0</v>
      </c>
    </row>
    <row r="65" spans="1:50" x14ac:dyDescent="0.35">
      <c r="A65">
        <v>187</v>
      </c>
      <c r="B65" t="s">
        <v>80</v>
      </c>
      <c r="C65" t="s">
        <v>81</v>
      </c>
      <c r="D65" t="s">
        <v>5</v>
      </c>
      <c r="E65" t="s">
        <v>224</v>
      </c>
      <c r="F65">
        <v>0</v>
      </c>
      <c r="G65">
        <v>1</v>
      </c>
      <c r="H65">
        <v>1</v>
      </c>
      <c r="I65">
        <v>0</v>
      </c>
      <c r="J65" s="600">
        <v>2</v>
      </c>
      <c r="K65" s="7">
        <f t="shared" si="2"/>
        <v>10</v>
      </c>
      <c r="L65" s="7">
        <f t="shared" si="3"/>
        <v>0</v>
      </c>
      <c r="M65" s="243">
        <f t="shared" si="4"/>
        <v>0</v>
      </c>
      <c r="N65" s="243">
        <f>INDEX($AN$4:$AN20961,MATCH($A65,$AH$4:$AH$2000,0))</f>
        <v>8505.4687799999992</v>
      </c>
      <c r="O65" s="243">
        <f t="shared" si="13"/>
        <v>8505.4687799999992</v>
      </c>
      <c r="P65" s="243">
        <f t="shared" si="5"/>
        <v>0</v>
      </c>
      <c r="Q65" s="243">
        <f t="shared" si="6"/>
        <v>0</v>
      </c>
      <c r="R65" s="243">
        <f t="shared" si="7"/>
        <v>0</v>
      </c>
      <c r="S65" s="243">
        <f t="shared" si="14"/>
        <v>0</v>
      </c>
      <c r="T65" s="243">
        <f t="shared" si="8"/>
        <v>0</v>
      </c>
      <c r="AA65" s="6">
        <v>218</v>
      </c>
      <c r="AB65" t="s">
        <v>80</v>
      </c>
      <c r="AC65" t="s">
        <v>81</v>
      </c>
      <c r="AD65" t="s">
        <v>105</v>
      </c>
      <c r="AE65" t="s">
        <v>126</v>
      </c>
      <c r="AF65">
        <v>7</v>
      </c>
      <c r="AG65">
        <v>0</v>
      </c>
      <c r="AH65">
        <v>187</v>
      </c>
      <c r="AI65" t="s">
        <v>80</v>
      </c>
      <c r="AJ65" t="s">
        <v>81</v>
      </c>
      <c r="AK65" t="s">
        <v>5</v>
      </c>
      <c r="AL65" t="s">
        <v>224</v>
      </c>
      <c r="AM65" s="314">
        <v>0</v>
      </c>
      <c r="AN65" s="314">
        <v>8505.4687799999992</v>
      </c>
      <c r="AO65" s="314">
        <v>8505.4687799999992</v>
      </c>
      <c r="AP65" s="314">
        <v>0</v>
      </c>
      <c r="AQ65" s="314">
        <v>0</v>
      </c>
      <c r="AR65" s="314">
        <v>3.1141319999999997</v>
      </c>
      <c r="AS65" s="314">
        <v>3.1141319999999997</v>
      </c>
      <c r="AT65" s="314">
        <v>0</v>
      </c>
      <c r="AU65" s="314">
        <v>0</v>
      </c>
      <c r="AV65" s="314">
        <v>0</v>
      </c>
      <c r="AW65" s="314">
        <v>0</v>
      </c>
      <c r="AX65">
        <v>0</v>
      </c>
    </row>
    <row r="66" spans="1:50" x14ac:dyDescent="0.35">
      <c r="A66">
        <v>185</v>
      </c>
      <c r="B66" t="s">
        <v>80</v>
      </c>
      <c r="C66" t="s">
        <v>81</v>
      </c>
      <c r="D66" t="s">
        <v>5</v>
      </c>
      <c r="E66" t="s">
        <v>225</v>
      </c>
      <c r="F66">
        <v>0</v>
      </c>
      <c r="G66">
        <v>0</v>
      </c>
      <c r="H66">
        <v>1</v>
      </c>
      <c r="I66">
        <v>1</v>
      </c>
      <c r="J66" s="600">
        <v>2</v>
      </c>
      <c r="K66" s="7">
        <f t="shared" si="2"/>
        <v>3</v>
      </c>
      <c r="L66" s="7">
        <f t="shared" si="3"/>
        <v>0</v>
      </c>
      <c r="M66" s="243">
        <f t="shared" si="4"/>
        <v>0</v>
      </c>
      <c r="N66" s="243">
        <f>INDEX($AN$4:$AN20962,MATCH($A66,$AH$4:$AH$2000,0))</f>
        <v>0</v>
      </c>
      <c r="O66" s="243">
        <f t="shared" si="13"/>
        <v>563.73599999999999</v>
      </c>
      <c r="P66" s="243">
        <f t="shared" si="5"/>
        <v>563.73599999999999</v>
      </c>
      <c r="Q66" s="243">
        <f t="shared" si="6"/>
        <v>0</v>
      </c>
      <c r="R66" s="243">
        <f t="shared" si="7"/>
        <v>0</v>
      </c>
      <c r="S66" s="243">
        <f t="shared" si="14"/>
        <v>0</v>
      </c>
      <c r="T66" s="243">
        <f t="shared" si="8"/>
        <v>0</v>
      </c>
      <c r="AA66" s="6">
        <v>219</v>
      </c>
      <c r="AB66" t="s">
        <v>80</v>
      </c>
      <c r="AC66" t="s">
        <v>81</v>
      </c>
      <c r="AD66" t="s">
        <v>105</v>
      </c>
      <c r="AE66" t="s">
        <v>127</v>
      </c>
      <c r="AF66">
        <v>7</v>
      </c>
      <c r="AG66">
        <v>0</v>
      </c>
      <c r="AH66">
        <v>185</v>
      </c>
      <c r="AI66" t="s">
        <v>80</v>
      </c>
      <c r="AJ66" t="s">
        <v>81</v>
      </c>
      <c r="AK66" t="s">
        <v>5</v>
      </c>
      <c r="AL66" t="s">
        <v>225</v>
      </c>
      <c r="AM66" s="314">
        <v>0</v>
      </c>
      <c r="AN66" s="314">
        <v>0</v>
      </c>
      <c r="AO66" s="314">
        <v>563.73599999999999</v>
      </c>
      <c r="AP66" s="314">
        <v>563.73599999999999</v>
      </c>
      <c r="AQ66" s="314">
        <v>0</v>
      </c>
      <c r="AR66" s="314">
        <v>0</v>
      </c>
      <c r="AS66" s="314">
        <v>0</v>
      </c>
      <c r="AT66" s="314">
        <v>0</v>
      </c>
      <c r="AU66" s="314">
        <v>0</v>
      </c>
      <c r="AV66" s="314">
        <v>0</v>
      </c>
      <c r="AW66" s="314">
        <v>0</v>
      </c>
      <c r="AX66">
        <v>0</v>
      </c>
    </row>
    <row r="67" spans="1:50" x14ac:dyDescent="0.35">
      <c r="A67">
        <v>188</v>
      </c>
      <c r="B67" t="s">
        <v>80</v>
      </c>
      <c r="C67" t="s">
        <v>81</v>
      </c>
      <c r="D67" t="s">
        <v>5</v>
      </c>
      <c r="E67" t="s">
        <v>226</v>
      </c>
      <c r="F67">
        <v>0</v>
      </c>
      <c r="G67">
        <v>1</v>
      </c>
      <c r="H67">
        <v>0</v>
      </c>
      <c r="I67">
        <v>0</v>
      </c>
      <c r="J67" s="600">
        <v>1</v>
      </c>
      <c r="K67" s="7">
        <f t="shared" si="2"/>
        <v>10</v>
      </c>
      <c r="L67" s="7">
        <f t="shared" si="3"/>
        <v>0</v>
      </c>
      <c r="M67" s="243">
        <f t="shared" si="4"/>
        <v>0</v>
      </c>
      <c r="N67" s="243">
        <f>INDEX($AN$4:$AN20963,MATCH($A67,$AH$4:$AH$2000,0))</f>
        <v>1352.3296499999999</v>
      </c>
      <c r="O67" s="243">
        <f t="shared" si="13"/>
        <v>0</v>
      </c>
      <c r="P67" s="243">
        <f t="shared" si="5"/>
        <v>0</v>
      </c>
      <c r="Q67" s="243">
        <f t="shared" si="6"/>
        <v>0</v>
      </c>
      <c r="R67" s="243">
        <f t="shared" si="7"/>
        <v>0</v>
      </c>
      <c r="S67" s="243">
        <f t="shared" si="14"/>
        <v>0</v>
      </c>
      <c r="T67" s="243">
        <f t="shared" si="8"/>
        <v>0</v>
      </c>
      <c r="AA67" s="6">
        <v>187</v>
      </c>
      <c r="AB67" t="s">
        <v>80</v>
      </c>
      <c r="AC67" t="s">
        <v>81</v>
      </c>
      <c r="AD67" t="s">
        <v>5</v>
      </c>
      <c r="AE67" t="s">
        <v>224</v>
      </c>
      <c r="AF67">
        <v>10</v>
      </c>
      <c r="AG67">
        <v>0</v>
      </c>
      <c r="AH67">
        <v>188</v>
      </c>
      <c r="AI67" t="s">
        <v>80</v>
      </c>
      <c r="AJ67" t="s">
        <v>81</v>
      </c>
      <c r="AK67" t="s">
        <v>5</v>
      </c>
      <c r="AL67" t="s">
        <v>226</v>
      </c>
      <c r="AM67" s="314">
        <v>0</v>
      </c>
      <c r="AN67" s="314">
        <v>1352.3296499999999</v>
      </c>
      <c r="AO67" s="314">
        <v>0</v>
      </c>
      <c r="AP67" s="314">
        <v>0</v>
      </c>
      <c r="AQ67" s="314">
        <v>0</v>
      </c>
      <c r="AR67" s="314">
        <v>0.44997000000000004</v>
      </c>
      <c r="AS67" s="314">
        <v>0</v>
      </c>
      <c r="AT67" s="314">
        <v>0</v>
      </c>
      <c r="AU67" s="314">
        <v>0</v>
      </c>
      <c r="AV67" s="314">
        <v>0</v>
      </c>
      <c r="AW67" s="314">
        <v>0</v>
      </c>
      <c r="AX67">
        <v>0</v>
      </c>
    </row>
    <row r="68" spans="1:50" x14ac:dyDescent="0.35">
      <c r="A68">
        <v>189</v>
      </c>
      <c r="B68" t="s">
        <v>80</v>
      </c>
      <c r="C68" t="s">
        <v>81</v>
      </c>
      <c r="D68" t="s">
        <v>5</v>
      </c>
      <c r="E68" t="s">
        <v>227</v>
      </c>
      <c r="F68">
        <v>0</v>
      </c>
      <c r="G68">
        <v>1</v>
      </c>
      <c r="H68">
        <v>0</v>
      </c>
      <c r="I68">
        <v>1</v>
      </c>
      <c r="J68" s="600">
        <v>2</v>
      </c>
      <c r="K68" s="7">
        <f t="shared" si="2"/>
        <v>10</v>
      </c>
      <c r="L68" s="7">
        <f t="shared" si="3"/>
        <v>0</v>
      </c>
      <c r="M68" s="243">
        <f t="shared" si="4"/>
        <v>0</v>
      </c>
      <c r="N68" s="243">
        <f>INDEX($AN$4:$AN20964,MATCH($A68,$AH$4:$AH$2000,0))</f>
        <v>2833.4526000000001</v>
      </c>
      <c r="O68" s="243">
        <f t="shared" si="13"/>
        <v>0</v>
      </c>
      <c r="P68" s="243">
        <f t="shared" si="5"/>
        <v>2833.4526000000001</v>
      </c>
      <c r="Q68" s="243">
        <f t="shared" si="6"/>
        <v>0</v>
      </c>
      <c r="R68" s="243">
        <f t="shared" si="7"/>
        <v>0</v>
      </c>
      <c r="S68" s="243">
        <f t="shared" si="14"/>
        <v>0</v>
      </c>
      <c r="T68" s="243">
        <f t="shared" si="8"/>
        <v>0</v>
      </c>
      <c r="AA68" s="6">
        <v>185</v>
      </c>
      <c r="AB68" t="s">
        <v>80</v>
      </c>
      <c r="AC68" t="s">
        <v>81</v>
      </c>
      <c r="AD68" t="s">
        <v>5</v>
      </c>
      <c r="AE68" t="s">
        <v>225</v>
      </c>
      <c r="AF68">
        <v>3</v>
      </c>
      <c r="AG68">
        <v>0</v>
      </c>
      <c r="AH68">
        <v>189</v>
      </c>
      <c r="AI68" t="s">
        <v>80</v>
      </c>
      <c r="AJ68" t="s">
        <v>81</v>
      </c>
      <c r="AK68" t="s">
        <v>5</v>
      </c>
      <c r="AL68" t="s">
        <v>227</v>
      </c>
      <c r="AM68" s="314">
        <v>0</v>
      </c>
      <c r="AN68" s="314">
        <v>2833.4526000000001</v>
      </c>
      <c r="AO68" s="314">
        <v>0</v>
      </c>
      <c r="AP68" s="314">
        <v>2833.4526000000001</v>
      </c>
      <c r="AQ68" s="314">
        <v>0</v>
      </c>
      <c r="AR68" s="314">
        <v>0.70466999999999991</v>
      </c>
      <c r="AS68" s="314">
        <v>0</v>
      </c>
      <c r="AT68" s="314">
        <v>0.70466999999999991</v>
      </c>
      <c r="AU68" s="314">
        <v>0</v>
      </c>
      <c r="AV68" s="314">
        <v>0</v>
      </c>
      <c r="AW68" s="314">
        <v>0</v>
      </c>
      <c r="AX68">
        <v>0</v>
      </c>
    </row>
    <row r="69" spans="1:50" x14ac:dyDescent="0.35">
      <c r="A69">
        <v>98</v>
      </c>
      <c r="B69" t="s">
        <v>80</v>
      </c>
      <c r="C69" t="s">
        <v>81</v>
      </c>
      <c r="D69" t="s">
        <v>100</v>
      </c>
      <c r="E69" t="s">
        <v>128</v>
      </c>
      <c r="F69">
        <v>570</v>
      </c>
      <c r="G69">
        <v>570</v>
      </c>
      <c r="H69">
        <v>570</v>
      </c>
      <c r="I69">
        <v>570</v>
      </c>
      <c r="J69" s="600">
        <v>2280</v>
      </c>
      <c r="K69" s="7">
        <f t="shared" ref="K69:K132" si="15">INDEX($AF$4:$AF$2000,MATCH(A69,$AA$4:$AA$2000,0))</f>
        <v>15</v>
      </c>
      <c r="L69" s="7">
        <f t="shared" ref="L69:L132" si="16">INDEX($AG$4:$AG$2000,MATCH(A69,$AA$4:$AA$2000,0))</f>
        <v>0</v>
      </c>
      <c r="M69" s="243">
        <f t="shared" ref="M69:M132" si="17">INDEX($AM$4:$AM$2000,MATCH($A69,$AH$4:$AH$2000,0))</f>
        <v>222140.9322745282</v>
      </c>
      <c r="N69" s="243">
        <f>INDEX($AN$4:$AN20965,MATCH($A69,$AH$4:$AH$2000,0))</f>
        <v>222140.9322745282</v>
      </c>
      <c r="O69" s="243">
        <f t="shared" si="13"/>
        <v>222140.9322745282</v>
      </c>
      <c r="P69" s="243">
        <f t="shared" ref="P69:P132" si="18">INDEX($AP$4:$AP$2000,MATCH($A69,$AH$4:$AH$2000,0))</f>
        <v>222140.9322745282</v>
      </c>
      <c r="Q69" s="243">
        <f t="shared" ref="Q69:Q132" si="19">INDEX($AU$4:$AU$2000,MATCH($A69,$AH$4:$AH$2000,0))</f>
        <v>0</v>
      </c>
      <c r="R69" s="243">
        <f t="shared" ref="R69:R132" si="20">INDEX($AV$4:$AV$2000,MATCH($A69,$AH$4:$AH$2000,0))</f>
        <v>0</v>
      </c>
      <c r="S69" s="243">
        <f t="shared" si="14"/>
        <v>0</v>
      </c>
      <c r="T69" s="243">
        <f t="shared" ref="T69:T132" si="21">INDEX($AX$4:$AX$2000,MATCH($A69,$AH$4:$AH$2000,0))</f>
        <v>0</v>
      </c>
      <c r="AA69" s="6">
        <v>188</v>
      </c>
      <c r="AB69" t="s">
        <v>80</v>
      </c>
      <c r="AC69" t="s">
        <v>81</v>
      </c>
      <c r="AD69" t="s">
        <v>5</v>
      </c>
      <c r="AE69" t="s">
        <v>226</v>
      </c>
      <c r="AF69">
        <v>10</v>
      </c>
      <c r="AG69">
        <v>0</v>
      </c>
      <c r="AH69">
        <v>98</v>
      </c>
      <c r="AI69" t="s">
        <v>80</v>
      </c>
      <c r="AJ69" t="s">
        <v>81</v>
      </c>
      <c r="AK69" t="s">
        <v>100</v>
      </c>
      <c r="AL69" t="s">
        <v>128</v>
      </c>
      <c r="AM69" s="314">
        <v>222140.9322745282</v>
      </c>
      <c r="AN69" s="314">
        <v>222140.9322745282</v>
      </c>
      <c r="AO69" s="314">
        <v>222140.9322745282</v>
      </c>
      <c r="AP69" s="314">
        <v>222140.9322745282</v>
      </c>
      <c r="AQ69" s="314">
        <v>55.040103058708432</v>
      </c>
      <c r="AR69" s="314">
        <v>55.040103058708432</v>
      </c>
      <c r="AS69" s="314">
        <v>55.040103058708432</v>
      </c>
      <c r="AT69" s="314">
        <v>55.040103058708432</v>
      </c>
      <c r="AU69" s="314">
        <v>0</v>
      </c>
      <c r="AV69" s="314">
        <v>0</v>
      </c>
      <c r="AW69" s="314">
        <v>0</v>
      </c>
      <c r="AX69">
        <v>0</v>
      </c>
    </row>
    <row r="70" spans="1:50" x14ac:dyDescent="0.35">
      <c r="A70">
        <v>37</v>
      </c>
      <c r="B70" t="s">
        <v>80</v>
      </c>
      <c r="C70" t="s">
        <v>81</v>
      </c>
      <c r="D70" t="s">
        <v>129</v>
      </c>
      <c r="E70" t="s">
        <v>232</v>
      </c>
      <c r="F70">
        <v>1</v>
      </c>
      <c r="G70">
        <v>1</v>
      </c>
      <c r="H70">
        <v>1</v>
      </c>
      <c r="I70">
        <v>1</v>
      </c>
      <c r="J70" s="600">
        <v>4</v>
      </c>
      <c r="K70" s="7">
        <f t="shared" si="15"/>
        <v>12</v>
      </c>
      <c r="L70" s="7">
        <f t="shared" si="16"/>
        <v>0</v>
      </c>
      <c r="M70" s="243">
        <f t="shared" si="17"/>
        <v>12328.583699999999</v>
      </c>
      <c r="N70" s="243">
        <f>INDEX($AN$4:$AN20966,MATCH($A70,$AH$4:$AH$2000,0))</f>
        <v>12328.583699999999</v>
      </c>
      <c r="O70" s="243">
        <f t="shared" si="13"/>
        <v>12328.583699999999</v>
      </c>
      <c r="P70" s="243">
        <f t="shared" si="18"/>
        <v>12328.583699999999</v>
      </c>
      <c r="Q70" s="243">
        <f t="shared" si="19"/>
        <v>0</v>
      </c>
      <c r="R70" s="243">
        <f t="shared" si="20"/>
        <v>0</v>
      </c>
      <c r="S70" s="243">
        <f t="shared" si="14"/>
        <v>0</v>
      </c>
      <c r="T70" s="243">
        <f t="shared" si="21"/>
        <v>0</v>
      </c>
      <c r="AA70" s="6">
        <v>189</v>
      </c>
      <c r="AB70" t="s">
        <v>80</v>
      </c>
      <c r="AC70" t="s">
        <v>81</v>
      </c>
      <c r="AD70" t="s">
        <v>5</v>
      </c>
      <c r="AE70" t="s">
        <v>227</v>
      </c>
      <c r="AF70">
        <v>10</v>
      </c>
      <c r="AG70">
        <v>0</v>
      </c>
      <c r="AH70">
        <v>37</v>
      </c>
      <c r="AI70" t="s">
        <v>80</v>
      </c>
      <c r="AJ70" t="s">
        <v>81</v>
      </c>
      <c r="AK70" t="s">
        <v>129</v>
      </c>
      <c r="AL70" t="s">
        <v>232</v>
      </c>
      <c r="AM70" s="314">
        <v>12328.583699999999</v>
      </c>
      <c r="AN70" s="314">
        <v>12328.583699999999</v>
      </c>
      <c r="AO70" s="314">
        <v>12328.583699999999</v>
      </c>
      <c r="AP70" s="314">
        <v>12328.583699999999</v>
      </c>
      <c r="AQ70" s="314">
        <v>2.1394799999999998</v>
      </c>
      <c r="AR70" s="314">
        <v>2.1394799999999998</v>
      </c>
      <c r="AS70" s="314">
        <v>2.1394799999999998</v>
      </c>
      <c r="AT70" s="314">
        <v>2.1394799999999998</v>
      </c>
      <c r="AU70" s="314">
        <v>0</v>
      </c>
      <c r="AV70" s="314">
        <v>0</v>
      </c>
      <c r="AW70" s="314">
        <v>0</v>
      </c>
      <c r="AX70">
        <v>0</v>
      </c>
    </row>
    <row r="71" spans="1:50" x14ac:dyDescent="0.35">
      <c r="A71">
        <v>38</v>
      </c>
      <c r="B71" t="s">
        <v>80</v>
      </c>
      <c r="C71" t="s">
        <v>81</v>
      </c>
      <c r="D71" t="s">
        <v>129</v>
      </c>
      <c r="E71" t="s">
        <v>130</v>
      </c>
      <c r="F71">
        <v>1</v>
      </c>
      <c r="G71">
        <v>1</v>
      </c>
      <c r="H71">
        <v>1</v>
      </c>
      <c r="I71">
        <v>1</v>
      </c>
      <c r="J71" s="600">
        <v>4</v>
      </c>
      <c r="K71" s="7">
        <f t="shared" si="15"/>
        <v>12</v>
      </c>
      <c r="L71" s="7">
        <f t="shared" si="16"/>
        <v>0</v>
      </c>
      <c r="M71" s="243">
        <f t="shared" si="17"/>
        <v>14373.069089999999</v>
      </c>
      <c r="N71" s="243">
        <f>INDEX($AN$4:$AN20967,MATCH($A71,$AH$4:$AH$2000,0))</f>
        <v>14373.069089999999</v>
      </c>
      <c r="O71" s="243">
        <f t="shared" si="13"/>
        <v>14373.069089999999</v>
      </c>
      <c r="P71" s="243">
        <f t="shared" si="18"/>
        <v>14373.069089999999</v>
      </c>
      <c r="Q71" s="243">
        <f t="shared" si="19"/>
        <v>0</v>
      </c>
      <c r="R71" s="243">
        <f t="shared" si="20"/>
        <v>0</v>
      </c>
      <c r="S71" s="243">
        <f t="shared" si="14"/>
        <v>0</v>
      </c>
      <c r="T71" s="243">
        <f t="shared" si="21"/>
        <v>0</v>
      </c>
      <c r="AA71" s="6">
        <v>69</v>
      </c>
      <c r="AB71" t="s">
        <v>80</v>
      </c>
      <c r="AC71" t="s">
        <v>81</v>
      </c>
      <c r="AD71" t="s">
        <v>100</v>
      </c>
      <c r="AE71" t="s">
        <v>228</v>
      </c>
      <c r="AF71">
        <v>15</v>
      </c>
      <c r="AG71">
        <v>0</v>
      </c>
      <c r="AH71">
        <v>38</v>
      </c>
      <c r="AI71" t="s">
        <v>80</v>
      </c>
      <c r="AJ71" t="s">
        <v>81</v>
      </c>
      <c r="AK71" t="s">
        <v>129</v>
      </c>
      <c r="AL71" t="s">
        <v>130</v>
      </c>
      <c r="AM71" s="314">
        <v>14373.069089999999</v>
      </c>
      <c r="AN71" s="314">
        <v>14373.069089999999</v>
      </c>
      <c r="AO71" s="314">
        <v>14373.069089999999</v>
      </c>
      <c r="AP71" s="314">
        <v>14373.069089999999</v>
      </c>
      <c r="AQ71" s="314">
        <v>2.4960599999999999</v>
      </c>
      <c r="AR71" s="314">
        <v>2.4960599999999999</v>
      </c>
      <c r="AS71" s="314">
        <v>2.4960599999999999</v>
      </c>
      <c r="AT71" s="314">
        <v>2.4960599999999999</v>
      </c>
      <c r="AU71" s="314">
        <v>0</v>
      </c>
      <c r="AV71" s="314">
        <v>0</v>
      </c>
      <c r="AW71" s="314">
        <v>0</v>
      </c>
      <c r="AX71">
        <v>0</v>
      </c>
    </row>
    <row r="72" spans="1:50" x14ac:dyDescent="0.35">
      <c r="A72">
        <v>39</v>
      </c>
      <c r="B72" t="s">
        <v>80</v>
      </c>
      <c r="C72" t="s">
        <v>81</v>
      </c>
      <c r="D72" t="s">
        <v>129</v>
      </c>
      <c r="E72" t="s">
        <v>233</v>
      </c>
      <c r="F72">
        <v>1</v>
      </c>
      <c r="G72">
        <v>1</v>
      </c>
      <c r="H72">
        <v>1</v>
      </c>
      <c r="I72">
        <v>1</v>
      </c>
      <c r="J72" s="600">
        <v>4</v>
      </c>
      <c r="K72" s="7">
        <f t="shared" si="15"/>
        <v>12</v>
      </c>
      <c r="L72" s="7">
        <f t="shared" si="16"/>
        <v>0</v>
      </c>
      <c r="M72" s="243">
        <f t="shared" si="17"/>
        <v>21400.64961</v>
      </c>
      <c r="N72" s="243">
        <f>INDEX($AN$4:$AN20968,MATCH($A72,$AH$4:$AH$2000,0))</f>
        <v>21400.64961</v>
      </c>
      <c r="O72" s="243">
        <f t="shared" si="13"/>
        <v>21400.64961</v>
      </c>
      <c r="P72" s="243">
        <f t="shared" si="18"/>
        <v>21400.64961</v>
      </c>
      <c r="Q72" s="243">
        <f t="shared" si="19"/>
        <v>0</v>
      </c>
      <c r="R72" s="243">
        <f t="shared" si="20"/>
        <v>0</v>
      </c>
      <c r="S72" s="243">
        <f t="shared" si="14"/>
        <v>0</v>
      </c>
      <c r="T72" s="243">
        <f t="shared" si="21"/>
        <v>0</v>
      </c>
      <c r="AA72" s="6">
        <v>70</v>
      </c>
      <c r="AB72" t="s">
        <v>80</v>
      </c>
      <c r="AC72" t="s">
        <v>81</v>
      </c>
      <c r="AD72" t="s">
        <v>100</v>
      </c>
      <c r="AE72" t="s">
        <v>229</v>
      </c>
      <c r="AF72">
        <v>15</v>
      </c>
      <c r="AG72">
        <v>0</v>
      </c>
      <c r="AH72">
        <v>39</v>
      </c>
      <c r="AI72" t="s">
        <v>80</v>
      </c>
      <c r="AJ72" t="s">
        <v>81</v>
      </c>
      <c r="AK72" t="s">
        <v>129</v>
      </c>
      <c r="AL72" t="s">
        <v>233</v>
      </c>
      <c r="AM72" s="314">
        <v>21400.64961</v>
      </c>
      <c r="AN72" s="314">
        <v>21400.64961</v>
      </c>
      <c r="AO72" s="314">
        <v>21400.64961</v>
      </c>
      <c r="AP72" s="314">
        <v>21400.64961</v>
      </c>
      <c r="AQ72" s="314">
        <v>3.7186199999999996</v>
      </c>
      <c r="AR72" s="314">
        <v>3.7186199999999996</v>
      </c>
      <c r="AS72" s="314">
        <v>3.7186199999999996</v>
      </c>
      <c r="AT72" s="314">
        <v>3.7186199999999996</v>
      </c>
      <c r="AU72" s="314">
        <v>0</v>
      </c>
      <c r="AV72" s="314">
        <v>0</v>
      </c>
      <c r="AW72" s="314">
        <v>0</v>
      </c>
      <c r="AX72">
        <v>0</v>
      </c>
    </row>
    <row r="73" spans="1:50" x14ac:dyDescent="0.35">
      <c r="A73">
        <v>40</v>
      </c>
      <c r="B73" t="s">
        <v>80</v>
      </c>
      <c r="C73" t="s">
        <v>81</v>
      </c>
      <c r="D73" t="s">
        <v>129</v>
      </c>
      <c r="E73" t="s">
        <v>234</v>
      </c>
      <c r="F73">
        <v>1</v>
      </c>
      <c r="G73">
        <v>1</v>
      </c>
      <c r="H73">
        <v>1</v>
      </c>
      <c r="I73">
        <v>1</v>
      </c>
      <c r="J73" s="600">
        <v>4</v>
      </c>
      <c r="K73" s="7">
        <f t="shared" si="15"/>
        <v>12</v>
      </c>
      <c r="L73" s="7">
        <f t="shared" si="16"/>
        <v>0</v>
      </c>
      <c r="M73" s="243">
        <f t="shared" si="17"/>
        <v>22149.586469999998</v>
      </c>
      <c r="N73" s="243">
        <f>INDEX($AN$4:$AN20969,MATCH($A73,$AH$4:$AH$2000,0))</f>
        <v>22149.586469999998</v>
      </c>
      <c r="O73" s="243">
        <f t="shared" si="13"/>
        <v>22149.586469999998</v>
      </c>
      <c r="P73" s="243">
        <f t="shared" si="18"/>
        <v>22149.586469999998</v>
      </c>
      <c r="Q73" s="243">
        <f t="shared" si="19"/>
        <v>0</v>
      </c>
      <c r="R73" s="243">
        <f t="shared" si="20"/>
        <v>0</v>
      </c>
      <c r="S73" s="243">
        <f t="shared" si="14"/>
        <v>0</v>
      </c>
      <c r="T73" s="243">
        <f t="shared" si="21"/>
        <v>0</v>
      </c>
      <c r="AA73" s="6">
        <v>98</v>
      </c>
      <c r="AB73" t="s">
        <v>80</v>
      </c>
      <c r="AC73" t="s">
        <v>81</v>
      </c>
      <c r="AD73" t="s">
        <v>100</v>
      </c>
      <c r="AE73" t="s">
        <v>128</v>
      </c>
      <c r="AF73">
        <v>15</v>
      </c>
      <c r="AG73">
        <v>0</v>
      </c>
      <c r="AH73">
        <v>40</v>
      </c>
      <c r="AI73" t="s">
        <v>80</v>
      </c>
      <c r="AJ73" t="s">
        <v>81</v>
      </c>
      <c r="AK73" t="s">
        <v>129</v>
      </c>
      <c r="AL73" t="s">
        <v>234</v>
      </c>
      <c r="AM73" s="314">
        <v>22149.586469999998</v>
      </c>
      <c r="AN73" s="314">
        <v>22149.586469999998</v>
      </c>
      <c r="AO73" s="314">
        <v>22149.586469999998</v>
      </c>
      <c r="AP73" s="314">
        <v>22149.586469999998</v>
      </c>
      <c r="AQ73" s="314">
        <v>3.85446</v>
      </c>
      <c r="AR73" s="314">
        <v>3.85446</v>
      </c>
      <c r="AS73" s="314">
        <v>3.85446</v>
      </c>
      <c r="AT73" s="314">
        <v>3.85446</v>
      </c>
      <c r="AU73" s="314">
        <v>0</v>
      </c>
      <c r="AV73" s="314">
        <v>0</v>
      </c>
      <c r="AW73" s="314">
        <v>0</v>
      </c>
      <c r="AX73">
        <v>0</v>
      </c>
    </row>
    <row r="74" spans="1:50" x14ac:dyDescent="0.35">
      <c r="A74">
        <v>42</v>
      </c>
      <c r="B74" t="s">
        <v>80</v>
      </c>
      <c r="C74" t="s">
        <v>81</v>
      </c>
      <c r="D74" t="s">
        <v>129</v>
      </c>
      <c r="E74" t="s">
        <v>131</v>
      </c>
      <c r="F74">
        <v>1</v>
      </c>
      <c r="G74">
        <v>1</v>
      </c>
      <c r="H74">
        <v>1</v>
      </c>
      <c r="I74">
        <v>1</v>
      </c>
      <c r="J74" s="600">
        <v>4</v>
      </c>
      <c r="K74" s="7">
        <f t="shared" si="15"/>
        <v>12</v>
      </c>
      <c r="L74" s="7">
        <f t="shared" si="16"/>
        <v>0</v>
      </c>
      <c r="M74" s="243">
        <f t="shared" si="17"/>
        <v>2231.172</v>
      </c>
      <c r="N74" s="243">
        <f>INDEX($AN$4:$AN20970,MATCH($A74,$AH$4:$AH$2000,0))</f>
        <v>2231.172</v>
      </c>
      <c r="O74" s="243">
        <f t="shared" si="13"/>
        <v>2231.172</v>
      </c>
      <c r="P74" s="243">
        <f t="shared" si="18"/>
        <v>2231.172</v>
      </c>
      <c r="Q74" s="243">
        <f t="shared" si="19"/>
        <v>0</v>
      </c>
      <c r="R74" s="243">
        <f t="shared" si="20"/>
        <v>0</v>
      </c>
      <c r="S74" s="243">
        <f t="shared" si="14"/>
        <v>0</v>
      </c>
      <c r="T74" s="243">
        <f t="shared" si="21"/>
        <v>0</v>
      </c>
      <c r="AA74" s="6">
        <v>247</v>
      </c>
      <c r="AB74" t="s">
        <v>80</v>
      </c>
      <c r="AC74" t="s">
        <v>81</v>
      </c>
      <c r="AD74" t="s">
        <v>15</v>
      </c>
      <c r="AE74" t="s">
        <v>230</v>
      </c>
      <c r="AG74">
        <v>0</v>
      </c>
      <c r="AH74">
        <v>42</v>
      </c>
      <c r="AI74" t="s">
        <v>80</v>
      </c>
      <c r="AJ74" t="s">
        <v>81</v>
      </c>
      <c r="AK74" t="s">
        <v>129</v>
      </c>
      <c r="AL74" t="s">
        <v>131</v>
      </c>
      <c r="AM74" s="314">
        <v>2231.172</v>
      </c>
      <c r="AN74" s="314">
        <v>2231.172</v>
      </c>
      <c r="AO74" s="314">
        <v>2231.172</v>
      </c>
      <c r="AP74" s="314">
        <v>2231.172</v>
      </c>
      <c r="AQ74" s="314">
        <v>1.0187999999999999</v>
      </c>
      <c r="AR74" s="314">
        <v>1.0187999999999999</v>
      </c>
      <c r="AS74" s="314">
        <v>1.0187999999999999</v>
      </c>
      <c r="AT74" s="314">
        <v>1.0187999999999999</v>
      </c>
      <c r="AU74" s="314">
        <v>0</v>
      </c>
      <c r="AV74" s="314">
        <v>0</v>
      </c>
      <c r="AW74" s="314">
        <v>0</v>
      </c>
      <c r="AX74">
        <v>0</v>
      </c>
    </row>
    <row r="75" spans="1:50" x14ac:dyDescent="0.35">
      <c r="A75">
        <v>43</v>
      </c>
      <c r="B75" t="s">
        <v>80</v>
      </c>
      <c r="C75" t="s">
        <v>81</v>
      </c>
      <c r="D75" t="s">
        <v>129</v>
      </c>
      <c r="E75" t="s">
        <v>132</v>
      </c>
      <c r="F75">
        <v>1</v>
      </c>
      <c r="G75">
        <v>2</v>
      </c>
      <c r="H75">
        <v>1</v>
      </c>
      <c r="I75">
        <v>2</v>
      </c>
      <c r="J75" s="600">
        <v>6</v>
      </c>
      <c r="K75" s="7">
        <f t="shared" si="15"/>
        <v>12</v>
      </c>
      <c r="L75" s="7">
        <f t="shared" si="16"/>
        <v>0</v>
      </c>
      <c r="M75" s="243">
        <f t="shared" si="17"/>
        <v>3346.7579999999998</v>
      </c>
      <c r="N75" s="243">
        <f>INDEX($AN$4:$AN20971,MATCH($A75,$AH$4:$AH$2000,0))</f>
        <v>6693.5159999999996</v>
      </c>
      <c r="O75" s="243">
        <f t="shared" si="13"/>
        <v>3346.7579999999998</v>
      </c>
      <c r="P75" s="243">
        <f t="shared" si="18"/>
        <v>6693.5159999999996</v>
      </c>
      <c r="Q75" s="243">
        <f t="shared" si="19"/>
        <v>0</v>
      </c>
      <c r="R75" s="243">
        <f t="shared" si="20"/>
        <v>0</v>
      </c>
      <c r="S75" s="243">
        <f t="shared" si="14"/>
        <v>0</v>
      </c>
      <c r="T75" s="243">
        <f t="shared" si="21"/>
        <v>0</v>
      </c>
      <c r="AA75" s="6">
        <v>246</v>
      </c>
      <c r="AB75" t="s">
        <v>80</v>
      </c>
      <c r="AC75" t="s">
        <v>81</v>
      </c>
      <c r="AD75" t="s">
        <v>15</v>
      </c>
      <c r="AE75" t="s">
        <v>231</v>
      </c>
      <c r="AG75">
        <v>0</v>
      </c>
      <c r="AH75">
        <v>43</v>
      </c>
      <c r="AI75" t="s">
        <v>80</v>
      </c>
      <c r="AJ75" t="s">
        <v>81</v>
      </c>
      <c r="AK75" t="s">
        <v>129</v>
      </c>
      <c r="AL75" t="s">
        <v>132</v>
      </c>
      <c r="AM75" s="314">
        <v>3346.7579999999998</v>
      </c>
      <c r="AN75" s="314">
        <v>6693.5159999999996</v>
      </c>
      <c r="AO75" s="314">
        <v>3346.7579999999998</v>
      </c>
      <c r="AP75" s="314">
        <v>6693.5159999999996</v>
      </c>
      <c r="AQ75" s="314">
        <v>1.5282</v>
      </c>
      <c r="AR75" s="314">
        <v>3.0564</v>
      </c>
      <c r="AS75" s="314">
        <v>1.5282</v>
      </c>
      <c r="AT75" s="314">
        <v>3.0564</v>
      </c>
      <c r="AU75" s="314">
        <v>0</v>
      </c>
      <c r="AV75" s="314">
        <v>0</v>
      </c>
      <c r="AW75" s="314">
        <v>0</v>
      </c>
      <c r="AX75">
        <v>0</v>
      </c>
    </row>
    <row r="76" spans="1:50" x14ac:dyDescent="0.35">
      <c r="A76">
        <v>41</v>
      </c>
      <c r="B76" t="s">
        <v>80</v>
      </c>
      <c r="C76" t="s">
        <v>81</v>
      </c>
      <c r="D76" t="s">
        <v>129</v>
      </c>
      <c r="E76" t="s">
        <v>133</v>
      </c>
      <c r="F76">
        <v>1</v>
      </c>
      <c r="G76">
        <v>1</v>
      </c>
      <c r="H76">
        <v>2</v>
      </c>
      <c r="I76">
        <v>1</v>
      </c>
      <c r="J76" s="600">
        <v>5</v>
      </c>
      <c r="K76" s="7">
        <f t="shared" si="15"/>
        <v>12</v>
      </c>
      <c r="L76" s="7">
        <f t="shared" si="16"/>
        <v>0</v>
      </c>
      <c r="M76" s="243">
        <f t="shared" si="17"/>
        <v>7902.4920000000002</v>
      </c>
      <c r="N76" s="243">
        <f>INDEX($AN$4:$AN20972,MATCH($A76,$AH$4:$AH$2000,0))</f>
        <v>7902.4920000000002</v>
      </c>
      <c r="O76" s="243">
        <f t="shared" si="13"/>
        <v>15804.984</v>
      </c>
      <c r="P76" s="243">
        <f t="shared" si="18"/>
        <v>7902.4920000000002</v>
      </c>
      <c r="Q76" s="243">
        <f t="shared" si="19"/>
        <v>0</v>
      </c>
      <c r="R76" s="243">
        <f t="shared" si="20"/>
        <v>0</v>
      </c>
      <c r="S76" s="243">
        <f t="shared" si="14"/>
        <v>0</v>
      </c>
      <c r="T76" s="243">
        <f t="shared" si="21"/>
        <v>0</v>
      </c>
      <c r="AA76" s="6">
        <v>30</v>
      </c>
      <c r="AB76" t="s">
        <v>80</v>
      </c>
      <c r="AC76" t="s">
        <v>81</v>
      </c>
      <c r="AD76">
        <v>0</v>
      </c>
      <c r="AE76" t="s">
        <v>1011</v>
      </c>
      <c r="AG76">
        <v>0</v>
      </c>
      <c r="AH76">
        <v>41</v>
      </c>
      <c r="AI76" t="s">
        <v>80</v>
      </c>
      <c r="AJ76" t="s">
        <v>81</v>
      </c>
      <c r="AK76" t="s">
        <v>129</v>
      </c>
      <c r="AL76" t="s">
        <v>133</v>
      </c>
      <c r="AM76" s="314">
        <v>7902.4920000000002</v>
      </c>
      <c r="AN76" s="314">
        <v>7902.4920000000002</v>
      </c>
      <c r="AO76" s="314">
        <v>15804.984</v>
      </c>
      <c r="AP76" s="314">
        <v>7902.4920000000002</v>
      </c>
      <c r="AQ76" s="314">
        <v>3.60825</v>
      </c>
      <c r="AR76" s="314">
        <v>3.60825</v>
      </c>
      <c r="AS76" s="314">
        <v>7.2164999999999999</v>
      </c>
      <c r="AT76" s="314">
        <v>3.60825</v>
      </c>
      <c r="AU76" s="314">
        <v>0</v>
      </c>
      <c r="AV76" s="314">
        <v>0</v>
      </c>
      <c r="AW76" s="314">
        <v>0</v>
      </c>
      <c r="AX76">
        <v>0</v>
      </c>
    </row>
    <row r="77" spans="1:50" x14ac:dyDescent="0.35">
      <c r="A77">
        <v>36</v>
      </c>
      <c r="B77" t="s">
        <v>80</v>
      </c>
      <c r="C77" t="s">
        <v>81</v>
      </c>
      <c r="D77" t="s">
        <v>129</v>
      </c>
      <c r="E77" t="s">
        <v>134</v>
      </c>
      <c r="F77">
        <v>2</v>
      </c>
      <c r="G77">
        <v>2</v>
      </c>
      <c r="H77">
        <v>2</v>
      </c>
      <c r="I77">
        <v>2</v>
      </c>
      <c r="J77" s="600">
        <v>8</v>
      </c>
      <c r="K77" s="7">
        <f t="shared" si="15"/>
        <v>12</v>
      </c>
      <c r="L77" s="7">
        <f t="shared" si="16"/>
        <v>0</v>
      </c>
      <c r="M77" s="243">
        <f t="shared" si="17"/>
        <v>4409.7060000000001</v>
      </c>
      <c r="N77" s="243">
        <f>INDEX($AN$4:$AN20973,MATCH($A77,$AH$4:$AH$2000,0))</f>
        <v>4409.7060000000001</v>
      </c>
      <c r="O77" s="243">
        <f t="shared" si="13"/>
        <v>4409.7060000000001</v>
      </c>
      <c r="P77" s="243">
        <f t="shared" si="18"/>
        <v>4409.7060000000001</v>
      </c>
      <c r="Q77" s="243">
        <f t="shared" si="19"/>
        <v>0</v>
      </c>
      <c r="R77" s="243">
        <f t="shared" si="20"/>
        <v>0</v>
      </c>
      <c r="S77" s="243">
        <f t="shared" si="14"/>
        <v>0</v>
      </c>
      <c r="T77" s="243">
        <f t="shared" si="21"/>
        <v>0</v>
      </c>
      <c r="AA77" s="6">
        <v>31</v>
      </c>
      <c r="AB77" t="s">
        <v>80</v>
      </c>
      <c r="AC77" t="s">
        <v>81</v>
      </c>
      <c r="AD77">
        <v>0</v>
      </c>
      <c r="AE77" t="s">
        <v>1012</v>
      </c>
      <c r="AG77">
        <v>0</v>
      </c>
      <c r="AH77">
        <v>36</v>
      </c>
      <c r="AI77" t="s">
        <v>80</v>
      </c>
      <c r="AJ77" t="s">
        <v>81</v>
      </c>
      <c r="AK77" t="s">
        <v>129</v>
      </c>
      <c r="AL77" t="s">
        <v>134</v>
      </c>
      <c r="AM77" s="314">
        <v>4409.7060000000001</v>
      </c>
      <c r="AN77" s="314">
        <v>4409.7060000000001</v>
      </c>
      <c r="AO77" s="314">
        <v>4409.7060000000001</v>
      </c>
      <c r="AP77" s="314">
        <v>4409.7060000000001</v>
      </c>
      <c r="AQ77" s="314">
        <v>0.37356</v>
      </c>
      <c r="AR77" s="314">
        <v>0.37356</v>
      </c>
      <c r="AS77" s="314">
        <v>0.37356</v>
      </c>
      <c r="AT77" s="314">
        <v>0.37356</v>
      </c>
      <c r="AU77" s="314">
        <v>0</v>
      </c>
      <c r="AV77" s="314">
        <v>0</v>
      </c>
      <c r="AW77" s="314">
        <v>0</v>
      </c>
      <c r="AX77">
        <v>0</v>
      </c>
    </row>
    <row r="78" spans="1:50" x14ac:dyDescent="0.35">
      <c r="A78">
        <v>35</v>
      </c>
      <c r="B78" t="s">
        <v>80</v>
      </c>
      <c r="C78" t="s">
        <v>81</v>
      </c>
      <c r="D78" t="s">
        <v>129</v>
      </c>
      <c r="E78" t="s">
        <v>135</v>
      </c>
      <c r="F78">
        <v>9</v>
      </c>
      <c r="G78">
        <v>8</v>
      </c>
      <c r="H78">
        <v>8</v>
      </c>
      <c r="I78">
        <v>8</v>
      </c>
      <c r="J78" s="600">
        <v>33</v>
      </c>
      <c r="K78" s="7">
        <f t="shared" si="15"/>
        <v>15</v>
      </c>
      <c r="L78" s="7">
        <f t="shared" si="16"/>
        <v>0</v>
      </c>
      <c r="M78" s="243">
        <f t="shared" si="17"/>
        <v>33159.95334</v>
      </c>
      <c r="N78" s="243">
        <f>INDEX($AN$4:$AN20974,MATCH($A78,$AH$4:$AH$2000,0))</f>
        <v>29475.514079999997</v>
      </c>
      <c r="O78" s="243">
        <f t="shared" si="13"/>
        <v>29475.514079999997</v>
      </c>
      <c r="P78" s="243">
        <f t="shared" si="18"/>
        <v>29475.514079999997</v>
      </c>
      <c r="Q78" s="243">
        <f t="shared" si="19"/>
        <v>1694.9250000000002</v>
      </c>
      <c r="R78" s="243">
        <f t="shared" si="20"/>
        <v>1506.6000000000001</v>
      </c>
      <c r="S78" s="243">
        <f t="shared" si="14"/>
        <v>1506.6000000000001</v>
      </c>
      <c r="T78" s="243">
        <f t="shared" si="21"/>
        <v>1506.6000000000001</v>
      </c>
      <c r="AA78" s="6">
        <v>32</v>
      </c>
      <c r="AB78" t="s">
        <v>80</v>
      </c>
      <c r="AC78" t="s">
        <v>81</v>
      </c>
      <c r="AD78">
        <v>0</v>
      </c>
      <c r="AE78" t="s">
        <v>1013</v>
      </c>
      <c r="AG78">
        <v>0</v>
      </c>
      <c r="AH78">
        <v>35</v>
      </c>
      <c r="AI78" t="s">
        <v>80</v>
      </c>
      <c r="AJ78" t="s">
        <v>81</v>
      </c>
      <c r="AK78" t="s">
        <v>129</v>
      </c>
      <c r="AL78" t="s">
        <v>135</v>
      </c>
      <c r="AM78" s="314">
        <v>33159.95334</v>
      </c>
      <c r="AN78" s="314">
        <v>29475.514079999997</v>
      </c>
      <c r="AO78" s="314">
        <v>29475.514079999997</v>
      </c>
      <c r="AP78" s="314">
        <v>29475.514079999997</v>
      </c>
      <c r="AQ78" s="314">
        <v>5.0430600000000005</v>
      </c>
      <c r="AR78" s="314">
        <v>4.4827200000000005</v>
      </c>
      <c r="AS78" s="314">
        <v>4.4827200000000005</v>
      </c>
      <c r="AT78" s="314">
        <v>4.4827200000000005</v>
      </c>
      <c r="AU78" s="314">
        <v>1694.9250000000002</v>
      </c>
      <c r="AV78" s="314">
        <v>1506.6000000000001</v>
      </c>
      <c r="AW78" s="314">
        <v>1506.6000000000001</v>
      </c>
      <c r="AX78">
        <v>1506.6000000000001</v>
      </c>
    </row>
    <row r="79" spans="1:50" x14ac:dyDescent="0.35">
      <c r="A79">
        <v>100</v>
      </c>
      <c r="B79" t="s">
        <v>80</v>
      </c>
      <c r="C79" t="s">
        <v>81</v>
      </c>
      <c r="D79" t="s">
        <v>100</v>
      </c>
      <c r="E79" t="s">
        <v>137</v>
      </c>
      <c r="F79">
        <v>1500</v>
      </c>
      <c r="G79">
        <v>1500</v>
      </c>
      <c r="H79">
        <v>1500</v>
      </c>
      <c r="I79">
        <v>1500</v>
      </c>
      <c r="J79" s="600">
        <v>6000</v>
      </c>
      <c r="K79" s="7">
        <f t="shared" si="15"/>
        <v>13</v>
      </c>
      <c r="L79" s="7">
        <f t="shared" si="16"/>
        <v>0</v>
      </c>
      <c r="M79" s="243">
        <f t="shared" si="17"/>
        <v>14165581.5</v>
      </c>
      <c r="N79" s="243">
        <f>INDEX($AN$4:$AN20975,MATCH($A79,$AH$4:$AH$2000,0))</f>
        <v>14165581.5</v>
      </c>
      <c r="O79" s="243">
        <f t="shared" si="13"/>
        <v>14165581.5</v>
      </c>
      <c r="P79" s="243">
        <f t="shared" si="18"/>
        <v>14165581.5</v>
      </c>
      <c r="Q79" s="243">
        <f t="shared" si="19"/>
        <v>0</v>
      </c>
      <c r="R79" s="243">
        <f t="shared" si="20"/>
        <v>0</v>
      </c>
      <c r="S79" s="243">
        <f t="shared" si="14"/>
        <v>0</v>
      </c>
      <c r="T79" s="243">
        <f t="shared" si="21"/>
        <v>0</v>
      </c>
      <c r="AA79" s="6">
        <v>33</v>
      </c>
      <c r="AB79" t="s">
        <v>80</v>
      </c>
      <c r="AC79" t="s">
        <v>81</v>
      </c>
      <c r="AD79">
        <v>0</v>
      </c>
      <c r="AE79" t="s">
        <v>1014</v>
      </c>
      <c r="AG79">
        <v>0</v>
      </c>
      <c r="AH79">
        <v>100</v>
      </c>
      <c r="AI79" t="s">
        <v>80</v>
      </c>
      <c r="AJ79" t="s">
        <v>81</v>
      </c>
      <c r="AK79" t="s">
        <v>100</v>
      </c>
      <c r="AL79" t="s">
        <v>137</v>
      </c>
      <c r="AM79" s="314">
        <v>14165581.5</v>
      </c>
      <c r="AN79" s="314">
        <v>14165581.5</v>
      </c>
      <c r="AO79" s="314">
        <v>14165581.5</v>
      </c>
      <c r="AP79" s="314">
        <v>14165581.5</v>
      </c>
      <c r="AQ79" s="314">
        <v>1399.44</v>
      </c>
      <c r="AR79" s="314">
        <v>1399.44</v>
      </c>
      <c r="AS79" s="314">
        <v>1399.44</v>
      </c>
      <c r="AT79" s="314">
        <v>1399.44</v>
      </c>
      <c r="AU79" s="314">
        <v>0</v>
      </c>
      <c r="AV79" s="314">
        <v>0</v>
      </c>
      <c r="AW79" s="314">
        <v>0</v>
      </c>
      <c r="AX79">
        <v>0</v>
      </c>
    </row>
    <row r="80" spans="1:50" x14ac:dyDescent="0.35">
      <c r="A80">
        <v>243</v>
      </c>
      <c r="B80" t="s">
        <v>80</v>
      </c>
      <c r="C80" t="s">
        <v>81</v>
      </c>
      <c r="D80" t="s">
        <v>15</v>
      </c>
      <c r="E80" t="s">
        <v>138</v>
      </c>
      <c r="F80">
        <v>12</v>
      </c>
      <c r="G80">
        <v>15</v>
      </c>
      <c r="H80">
        <v>16</v>
      </c>
      <c r="I80">
        <v>16</v>
      </c>
      <c r="J80" s="600">
        <v>59</v>
      </c>
      <c r="K80" s="7">
        <f t="shared" si="15"/>
        <v>5</v>
      </c>
      <c r="L80" s="7">
        <f t="shared" si="16"/>
        <v>0</v>
      </c>
      <c r="M80" s="243">
        <f t="shared" si="17"/>
        <v>45864.907200000001</v>
      </c>
      <c r="N80" s="243">
        <f>INDEX($AN$4:$AN20976,MATCH($A80,$AH$4:$AH$2000,0))</f>
        <v>57331.134000000005</v>
      </c>
      <c r="O80" s="243">
        <f t="shared" si="13"/>
        <v>61153.209600000002</v>
      </c>
      <c r="P80" s="243">
        <f t="shared" si="18"/>
        <v>61153.209600000002</v>
      </c>
      <c r="Q80" s="243">
        <f t="shared" si="19"/>
        <v>0</v>
      </c>
      <c r="R80" s="243">
        <f t="shared" si="20"/>
        <v>0</v>
      </c>
      <c r="S80" s="243">
        <f t="shared" si="14"/>
        <v>0</v>
      </c>
      <c r="T80" s="243">
        <f t="shared" si="21"/>
        <v>0</v>
      </c>
      <c r="AA80" s="6">
        <v>37</v>
      </c>
      <c r="AB80" t="s">
        <v>80</v>
      </c>
      <c r="AC80" t="s">
        <v>81</v>
      </c>
      <c r="AD80" t="s">
        <v>129</v>
      </c>
      <c r="AE80" t="s">
        <v>232</v>
      </c>
      <c r="AF80">
        <v>12</v>
      </c>
      <c r="AG80">
        <v>0</v>
      </c>
      <c r="AH80">
        <v>243</v>
      </c>
      <c r="AI80" t="s">
        <v>80</v>
      </c>
      <c r="AJ80" t="s">
        <v>81</v>
      </c>
      <c r="AK80" t="s">
        <v>15</v>
      </c>
      <c r="AL80" t="s">
        <v>138</v>
      </c>
      <c r="AM80" s="314">
        <v>45864.907200000001</v>
      </c>
      <c r="AN80" s="314">
        <v>57331.134000000005</v>
      </c>
      <c r="AO80" s="314">
        <v>61153.209600000002</v>
      </c>
      <c r="AP80" s="314">
        <v>61153.209600000002</v>
      </c>
      <c r="AQ80" s="314">
        <v>0</v>
      </c>
      <c r="AR80" s="314">
        <v>0</v>
      </c>
      <c r="AS80" s="314">
        <v>0</v>
      </c>
      <c r="AT80" s="314">
        <v>0</v>
      </c>
      <c r="AU80" s="314">
        <v>0</v>
      </c>
      <c r="AV80" s="314">
        <v>0</v>
      </c>
      <c r="AW80" s="314">
        <v>0</v>
      </c>
      <c r="AX80">
        <v>0</v>
      </c>
    </row>
    <row r="81" spans="1:50" x14ac:dyDescent="0.35">
      <c r="A81">
        <v>244</v>
      </c>
      <c r="B81" t="s">
        <v>80</v>
      </c>
      <c r="C81" t="s">
        <v>81</v>
      </c>
      <c r="D81" t="s">
        <v>15</v>
      </c>
      <c r="E81" t="s">
        <v>139</v>
      </c>
      <c r="F81">
        <v>20</v>
      </c>
      <c r="G81">
        <v>20</v>
      </c>
      <c r="H81">
        <v>35</v>
      </c>
      <c r="I81">
        <v>35</v>
      </c>
      <c r="J81" s="600">
        <v>110</v>
      </c>
      <c r="K81" s="7">
        <f t="shared" si="15"/>
        <v>5</v>
      </c>
      <c r="L81" s="7">
        <f t="shared" si="16"/>
        <v>0</v>
      </c>
      <c r="M81" s="243">
        <f t="shared" si="17"/>
        <v>0</v>
      </c>
      <c r="N81" s="243">
        <f>INDEX($AN$4:$AN20977,MATCH($A81,$AH$4:$AH$2000,0))</f>
        <v>0</v>
      </c>
      <c r="O81" s="243">
        <f t="shared" si="13"/>
        <v>0</v>
      </c>
      <c r="P81" s="243">
        <f t="shared" si="18"/>
        <v>0</v>
      </c>
      <c r="Q81" s="243">
        <f t="shared" si="19"/>
        <v>3061.6000000000004</v>
      </c>
      <c r="R81" s="243">
        <f t="shared" si="20"/>
        <v>3061.6000000000004</v>
      </c>
      <c r="S81" s="243">
        <f t="shared" si="14"/>
        <v>5357.8</v>
      </c>
      <c r="T81" s="243">
        <f t="shared" si="21"/>
        <v>5357.8</v>
      </c>
      <c r="AA81" s="6">
        <v>38</v>
      </c>
      <c r="AB81" t="s">
        <v>80</v>
      </c>
      <c r="AC81" t="s">
        <v>81</v>
      </c>
      <c r="AD81" t="s">
        <v>129</v>
      </c>
      <c r="AE81" t="s">
        <v>130</v>
      </c>
      <c r="AF81">
        <v>12</v>
      </c>
      <c r="AG81">
        <v>0</v>
      </c>
      <c r="AH81">
        <v>244</v>
      </c>
      <c r="AI81" t="s">
        <v>80</v>
      </c>
      <c r="AJ81" t="s">
        <v>81</v>
      </c>
      <c r="AK81" t="s">
        <v>15</v>
      </c>
      <c r="AL81" t="s">
        <v>139</v>
      </c>
      <c r="AM81" s="314">
        <v>0</v>
      </c>
      <c r="AN81" s="314">
        <v>0</v>
      </c>
      <c r="AO81" s="314">
        <v>0</v>
      </c>
      <c r="AP81" s="314">
        <v>0</v>
      </c>
      <c r="AQ81" s="314">
        <v>0</v>
      </c>
      <c r="AR81" s="314">
        <v>0</v>
      </c>
      <c r="AS81" s="314">
        <v>0</v>
      </c>
      <c r="AT81" s="314">
        <v>0</v>
      </c>
      <c r="AU81" s="314">
        <v>3061.6000000000004</v>
      </c>
      <c r="AV81" s="314">
        <v>3061.6000000000004</v>
      </c>
      <c r="AW81" s="314">
        <v>5357.8</v>
      </c>
      <c r="AX81">
        <v>5357.8</v>
      </c>
    </row>
    <row r="82" spans="1:50" x14ac:dyDescent="0.35">
      <c r="A82">
        <v>61</v>
      </c>
      <c r="B82" t="s">
        <v>80</v>
      </c>
      <c r="C82" t="s">
        <v>81</v>
      </c>
      <c r="D82" t="s">
        <v>100</v>
      </c>
      <c r="E82" t="s">
        <v>140</v>
      </c>
      <c r="F82">
        <v>70</v>
      </c>
      <c r="G82">
        <v>60</v>
      </c>
      <c r="H82">
        <v>62</v>
      </c>
      <c r="I82">
        <v>64</v>
      </c>
      <c r="J82" s="600">
        <v>256</v>
      </c>
      <c r="K82" s="7">
        <f t="shared" si="15"/>
        <v>16.5</v>
      </c>
      <c r="L82" s="7">
        <f t="shared" si="16"/>
        <v>0</v>
      </c>
      <c r="M82" s="243">
        <f t="shared" si="17"/>
        <v>27427.679705197126</v>
      </c>
      <c r="N82" s="243">
        <f>INDEX($AN$4:$AN20978,MATCH($A82,$AH$4:$AH$2000,0))</f>
        <v>23509.439747311822</v>
      </c>
      <c r="O82" s="243">
        <f t="shared" si="13"/>
        <v>24293.087738888884</v>
      </c>
      <c r="P82" s="243">
        <f t="shared" si="18"/>
        <v>25076.735730465945</v>
      </c>
      <c r="Q82" s="243">
        <f t="shared" si="19"/>
        <v>18760.5052966933</v>
      </c>
      <c r="R82" s="243">
        <f t="shared" si="20"/>
        <v>16080.433111451401</v>
      </c>
      <c r="S82" s="243">
        <f t="shared" si="14"/>
        <v>16616.447548499782</v>
      </c>
      <c r="T82" s="243">
        <f t="shared" si="21"/>
        <v>17152.461985548161</v>
      </c>
      <c r="AA82" s="6">
        <v>39</v>
      </c>
      <c r="AB82" t="s">
        <v>80</v>
      </c>
      <c r="AC82" t="s">
        <v>81</v>
      </c>
      <c r="AD82" t="s">
        <v>129</v>
      </c>
      <c r="AE82" t="s">
        <v>233</v>
      </c>
      <c r="AF82">
        <v>12</v>
      </c>
      <c r="AG82">
        <v>0</v>
      </c>
      <c r="AH82">
        <v>61</v>
      </c>
      <c r="AI82" t="s">
        <v>80</v>
      </c>
      <c r="AJ82" t="s">
        <v>81</v>
      </c>
      <c r="AK82" t="s">
        <v>100</v>
      </c>
      <c r="AL82" t="s">
        <v>140</v>
      </c>
      <c r="AM82" s="314">
        <v>27427.679705197126</v>
      </c>
      <c r="AN82" s="314">
        <v>23509.439747311822</v>
      </c>
      <c r="AO82" s="314">
        <v>24293.087738888884</v>
      </c>
      <c r="AP82" s="314">
        <v>25076.735730465945</v>
      </c>
      <c r="AQ82" s="314">
        <v>5.4112739619595649</v>
      </c>
      <c r="AR82" s="314">
        <v>4.6382348245367702</v>
      </c>
      <c r="AS82" s="314">
        <v>4.7928426520213296</v>
      </c>
      <c r="AT82" s="314">
        <v>4.9474504795058882</v>
      </c>
      <c r="AU82" s="314">
        <v>18760.5052966933</v>
      </c>
      <c r="AV82" s="314">
        <v>16080.433111451401</v>
      </c>
      <c r="AW82" s="314">
        <v>16616.447548499782</v>
      </c>
      <c r="AX82">
        <v>17152.461985548161</v>
      </c>
    </row>
    <row r="83" spans="1:50" x14ac:dyDescent="0.35">
      <c r="A83">
        <v>52</v>
      </c>
      <c r="B83" t="s">
        <v>80</v>
      </c>
      <c r="C83" t="s">
        <v>81</v>
      </c>
      <c r="D83" t="s">
        <v>100</v>
      </c>
      <c r="E83" t="s">
        <v>141</v>
      </c>
      <c r="F83">
        <v>18</v>
      </c>
      <c r="G83">
        <v>16</v>
      </c>
      <c r="H83">
        <v>23</v>
      </c>
      <c r="I83">
        <v>24</v>
      </c>
      <c r="J83" s="600">
        <v>81</v>
      </c>
      <c r="K83" s="7">
        <f t="shared" si="15"/>
        <v>20</v>
      </c>
      <c r="L83" s="7">
        <f t="shared" si="16"/>
        <v>0</v>
      </c>
      <c r="M83" s="243">
        <f t="shared" si="17"/>
        <v>0</v>
      </c>
      <c r="N83" s="243">
        <f>INDEX($AN$4:$AN20979,MATCH($A83,$AH$4:$AH$2000,0))</f>
        <v>0</v>
      </c>
      <c r="O83" s="243">
        <f t="shared" si="13"/>
        <v>0</v>
      </c>
      <c r="P83" s="243">
        <f t="shared" si="18"/>
        <v>0</v>
      </c>
      <c r="Q83" s="243">
        <f t="shared" si="19"/>
        <v>11895.066509976001</v>
      </c>
      <c r="R83" s="243">
        <f t="shared" si="20"/>
        <v>10573.392453312001</v>
      </c>
      <c r="S83" s="243">
        <f t="shared" si="14"/>
        <v>15199.251651636001</v>
      </c>
      <c r="T83" s="243">
        <f t="shared" si="21"/>
        <v>15860.088679968001</v>
      </c>
      <c r="AA83" s="6">
        <v>40</v>
      </c>
      <c r="AB83" t="s">
        <v>80</v>
      </c>
      <c r="AC83" t="s">
        <v>81</v>
      </c>
      <c r="AD83" t="s">
        <v>129</v>
      </c>
      <c r="AE83" t="s">
        <v>234</v>
      </c>
      <c r="AF83">
        <v>12</v>
      </c>
      <c r="AG83">
        <v>0</v>
      </c>
      <c r="AH83">
        <v>52</v>
      </c>
      <c r="AI83" t="s">
        <v>80</v>
      </c>
      <c r="AJ83" t="s">
        <v>81</v>
      </c>
      <c r="AK83" t="s">
        <v>100</v>
      </c>
      <c r="AL83" t="s">
        <v>141</v>
      </c>
      <c r="AM83" s="314">
        <v>0</v>
      </c>
      <c r="AN83" s="314">
        <v>0</v>
      </c>
      <c r="AO83" s="314">
        <v>0</v>
      </c>
      <c r="AP83" s="314">
        <v>0</v>
      </c>
      <c r="AQ83" s="314">
        <v>0</v>
      </c>
      <c r="AR83" s="314">
        <v>0</v>
      </c>
      <c r="AS83" s="314">
        <v>0</v>
      </c>
      <c r="AT83" s="314">
        <v>0</v>
      </c>
      <c r="AU83" s="314">
        <v>11895.066509976001</v>
      </c>
      <c r="AV83" s="314">
        <v>10573.392453312001</v>
      </c>
      <c r="AW83" s="314">
        <v>15199.251651636001</v>
      </c>
      <c r="AX83">
        <v>15860.088679968001</v>
      </c>
    </row>
    <row r="84" spans="1:50" x14ac:dyDescent="0.35">
      <c r="A84">
        <v>74</v>
      </c>
      <c r="B84" t="s">
        <v>80</v>
      </c>
      <c r="C84" t="s">
        <v>81</v>
      </c>
      <c r="D84" t="s">
        <v>100</v>
      </c>
      <c r="E84" t="s">
        <v>142</v>
      </c>
      <c r="F84">
        <v>18</v>
      </c>
      <c r="G84">
        <v>16</v>
      </c>
      <c r="H84">
        <v>23</v>
      </c>
      <c r="I84">
        <v>30</v>
      </c>
      <c r="J84" s="600">
        <v>87</v>
      </c>
      <c r="K84" s="7">
        <f t="shared" si="15"/>
        <v>12</v>
      </c>
      <c r="L84" s="7">
        <f t="shared" si="16"/>
        <v>0</v>
      </c>
      <c r="M84" s="243">
        <f t="shared" si="17"/>
        <v>0</v>
      </c>
      <c r="N84" s="243">
        <f>INDEX($AN$4:$AN20980,MATCH($A84,$AH$4:$AH$2000,0))</f>
        <v>0</v>
      </c>
      <c r="O84" s="243">
        <f t="shared" ref="O84:O103" si="22">INDEX($AO$4:$AO$2000,MATCH($A84,$AH$4:$AH$2000,0))</f>
        <v>0</v>
      </c>
      <c r="P84" s="243">
        <f t="shared" si="18"/>
        <v>0</v>
      </c>
      <c r="Q84" s="243">
        <f t="shared" si="19"/>
        <v>4010.2920000000004</v>
      </c>
      <c r="R84" s="243">
        <f t="shared" si="20"/>
        <v>3564.7040000000002</v>
      </c>
      <c r="S84" s="243">
        <f t="shared" ref="S84:S103" si="23">INDEX($AW$4:$AW$2000,MATCH($A84,$AH$4:$AH$2000,0))</f>
        <v>5124.2620000000006</v>
      </c>
      <c r="T84" s="243">
        <f t="shared" si="21"/>
        <v>6683.8200000000006</v>
      </c>
      <c r="AA84" s="6">
        <v>42</v>
      </c>
      <c r="AB84" t="s">
        <v>80</v>
      </c>
      <c r="AC84" t="s">
        <v>81</v>
      </c>
      <c r="AD84" t="s">
        <v>129</v>
      </c>
      <c r="AE84" t="s">
        <v>131</v>
      </c>
      <c r="AF84">
        <v>12</v>
      </c>
      <c r="AG84">
        <v>0</v>
      </c>
      <c r="AH84">
        <v>74</v>
      </c>
      <c r="AI84" t="s">
        <v>80</v>
      </c>
      <c r="AJ84" t="s">
        <v>81</v>
      </c>
      <c r="AK84" t="s">
        <v>100</v>
      </c>
      <c r="AL84" t="s">
        <v>142</v>
      </c>
      <c r="AM84" s="314">
        <v>0</v>
      </c>
      <c r="AN84" s="314">
        <v>0</v>
      </c>
      <c r="AO84" s="314">
        <v>0</v>
      </c>
      <c r="AP84" s="314">
        <v>0</v>
      </c>
      <c r="AQ84" s="314">
        <v>0</v>
      </c>
      <c r="AR84" s="314">
        <v>0</v>
      </c>
      <c r="AS84" s="314">
        <v>0</v>
      </c>
      <c r="AT84" s="314">
        <v>0</v>
      </c>
      <c r="AU84" s="314">
        <v>4010.2920000000004</v>
      </c>
      <c r="AV84" s="314">
        <v>3564.7040000000002</v>
      </c>
      <c r="AW84" s="314">
        <v>5124.2620000000006</v>
      </c>
      <c r="AX84">
        <v>6683.8200000000006</v>
      </c>
    </row>
    <row r="85" spans="1:50" x14ac:dyDescent="0.35">
      <c r="A85">
        <v>230</v>
      </c>
      <c r="B85" t="s">
        <v>80</v>
      </c>
      <c r="C85" t="s">
        <v>81</v>
      </c>
      <c r="D85" t="s">
        <v>15</v>
      </c>
      <c r="E85" t="s">
        <v>143</v>
      </c>
      <c r="F85">
        <v>4</v>
      </c>
      <c r="G85">
        <v>3</v>
      </c>
      <c r="H85">
        <v>5</v>
      </c>
      <c r="I85">
        <v>10</v>
      </c>
      <c r="J85" s="600">
        <v>22</v>
      </c>
      <c r="K85" s="7">
        <f t="shared" si="15"/>
        <v>12</v>
      </c>
      <c r="L85" s="7">
        <f t="shared" si="16"/>
        <v>0</v>
      </c>
      <c r="M85" s="243">
        <f t="shared" si="17"/>
        <v>0</v>
      </c>
      <c r="N85" s="243">
        <f>INDEX($AN$4:$AN20981,MATCH($A85,$AH$4:$AH$2000,0))</f>
        <v>0</v>
      </c>
      <c r="O85" s="243">
        <f t="shared" si="22"/>
        <v>0</v>
      </c>
      <c r="P85" s="243">
        <f t="shared" si="18"/>
        <v>0</v>
      </c>
      <c r="Q85" s="243">
        <f t="shared" si="19"/>
        <v>525.61599999999999</v>
      </c>
      <c r="R85" s="243">
        <f t="shared" si="20"/>
        <v>394.21199999999999</v>
      </c>
      <c r="S85" s="243">
        <f t="shared" si="23"/>
        <v>657.02</v>
      </c>
      <c r="T85" s="243">
        <f t="shared" si="21"/>
        <v>1314.04</v>
      </c>
      <c r="AA85" s="6">
        <v>43</v>
      </c>
      <c r="AB85" t="s">
        <v>80</v>
      </c>
      <c r="AC85" t="s">
        <v>81</v>
      </c>
      <c r="AD85" t="s">
        <v>129</v>
      </c>
      <c r="AE85" t="s">
        <v>132</v>
      </c>
      <c r="AF85">
        <v>12</v>
      </c>
      <c r="AG85">
        <v>0</v>
      </c>
      <c r="AH85">
        <v>230</v>
      </c>
      <c r="AI85" t="s">
        <v>80</v>
      </c>
      <c r="AJ85" t="s">
        <v>81</v>
      </c>
      <c r="AK85" t="s">
        <v>15</v>
      </c>
      <c r="AL85" t="s">
        <v>143</v>
      </c>
      <c r="AM85" s="314">
        <v>0</v>
      </c>
      <c r="AN85" s="314">
        <v>0</v>
      </c>
      <c r="AO85" s="314">
        <v>0</v>
      </c>
      <c r="AP85" s="314">
        <v>0</v>
      </c>
      <c r="AQ85" s="314">
        <v>0</v>
      </c>
      <c r="AR85" s="314">
        <v>0</v>
      </c>
      <c r="AS85" s="314">
        <v>0</v>
      </c>
      <c r="AT85" s="314">
        <v>0</v>
      </c>
      <c r="AU85" s="314">
        <v>525.61599999999999</v>
      </c>
      <c r="AV85" s="314">
        <v>394.21199999999999</v>
      </c>
      <c r="AW85" s="314">
        <v>657.02</v>
      </c>
      <c r="AX85">
        <v>1314.04</v>
      </c>
    </row>
    <row r="86" spans="1:50" x14ac:dyDescent="0.35">
      <c r="A86">
        <v>177</v>
      </c>
      <c r="B86" t="s">
        <v>80</v>
      </c>
      <c r="C86" t="s">
        <v>81</v>
      </c>
      <c r="D86" t="s">
        <v>5</v>
      </c>
      <c r="E86" t="s">
        <v>144</v>
      </c>
      <c r="F86">
        <v>6</v>
      </c>
      <c r="G86">
        <v>5</v>
      </c>
      <c r="H86">
        <v>7</v>
      </c>
      <c r="I86">
        <v>9</v>
      </c>
      <c r="J86" s="600">
        <v>27</v>
      </c>
      <c r="K86" s="7">
        <f t="shared" si="15"/>
        <v>6</v>
      </c>
      <c r="L86" s="7">
        <f t="shared" si="16"/>
        <v>0</v>
      </c>
      <c r="M86" s="243">
        <f t="shared" si="17"/>
        <v>0</v>
      </c>
      <c r="N86" s="243">
        <f>INDEX($AN$4:$AN20982,MATCH($A86,$AH$4:$AH$2000,0))</f>
        <v>0</v>
      </c>
      <c r="O86" s="243">
        <f t="shared" si="22"/>
        <v>0</v>
      </c>
      <c r="P86" s="243">
        <f t="shared" si="18"/>
        <v>0</v>
      </c>
      <c r="Q86" s="243">
        <f t="shared" si="19"/>
        <v>2378.5650000000001</v>
      </c>
      <c r="R86" s="243">
        <f t="shared" si="20"/>
        <v>1982.1375</v>
      </c>
      <c r="S86" s="243">
        <f t="shared" si="23"/>
        <v>2774.9925000000003</v>
      </c>
      <c r="T86" s="243">
        <f t="shared" si="21"/>
        <v>3567.8474999999999</v>
      </c>
      <c r="AA86" s="6">
        <v>41</v>
      </c>
      <c r="AB86" t="s">
        <v>80</v>
      </c>
      <c r="AC86" t="s">
        <v>81</v>
      </c>
      <c r="AD86" t="s">
        <v>129</v>
      </c>
      <c r="AE86" t="s">
        <v>133</v>
      </c>
      <c r="AF86">
        <v>12</v>
      </c>
      <c r="AG86">
        <v>0</v>
      </c>
      <c r="AH86">
        <v>177</v>
      </c>
      <c r="AI86" t="s">
        <v>80</v>
      </c>
      <c r="AJ86" t="s">
        <v>81</v>
      </c>
      <c r="AK86" t="s">
        <v>5</v>
      </c>
      <c r="AL86" t="s">
        <v>144</v>
      </c>
      <c r="AM86" s="314">
        <v>0</v>
      </c>
      <c r="AN86" s="314">
        <v>0</v>
      </c>
      <c r="AO86" s="314">
        <v>0</v>
      </c>
      <c r="AP86" s="314">
        <v>0</v>
      </c>
      <c r="AQ86" s="314">
        <v>0</v>
      </c>
      <c r="AR86" s="314">
        <v>0</v>
      </c>
      <c r="AS86" s="314">
        <v>0</v>
      </c>
      <c r="AT86" s="314">
        <v>0</v>
      </c>
      <c r="AU86" s="314">
        <v>2378.5650000000001</v>
      </c>
      <c r="AV86" s="314">
        <v>1982.1375</v>
      </c>
      <c r="AW86" s="314">
        <v>2774.9925000000003</v>
      </c>
      <c r="AX86">
        <v>3567.8474999999999</v>
      </c>
    </row>
    <row r="87" spans="1:50" x14ac:dyDescent="0.35">
      <c r="A87">
        <v>101</v>
      </c>
      <c r="B87" t="s">
        <v>80</v>
      </c>
      <c r="C87" t="s">
        <v>81</v>
      </c>
      <c r="D87" t="s">
        <v>100</v>
      </c>
      <c r="E87" t="s">
        <v>145</v>
      </c>
      <c r="F87">
        <v>3</v>
      </c>
      <c r="G87">
        <v>4</v>
      </c>
      <c r="H87">
        <v>4</v>
      </c>
      <c r="I87">
        <v>4</v>
      </c>
      <c r="J87" s="600">
        <v>15</v>
      </c>
      <c r="K87" s="7">
        <f t="shared" si="15"/>
        <v>13</v>
      </c>
      <c r="L87" s="7">
        <f t="shared" si="16"/>
        <v>0</v>
      </c>
      <c r="M87" s="243">
        <f t="shared" si="17"/>
        <v>33518.927519999997</v>
      </c>
      <c r="N87" s="243">
        <f>INDEX($AN$4:$AN20983,MATCH($A87,$AH$4:$AH$2000,0))</f>
        <v>44691.903359999997</v>
      </c>
      <c r="O87" s="243">
        <f t="shared" si="22"/>
        <v>44691.903359999997</v>
      </c>
      <c r="P87" s="243">
        <f t="shared" si="18"/>
        <v>44691.903359999997</v>
      </c>
      <c r="Q87" s="243">
        <f t="shared" si="19"/>
        <v>0</v>
      </c>
      <c r="R87" s="243">
        <f t="shared" si="20"/>
        <v>0</v>
      </c>
      <c r="S87" s="243">
        <f t="shared" si="23"/>
        <v>0</v>
      </c>
      <c r="T87" s="243">
        <f t="shared" si="21"/>
        <v>0</v>
      </c>
      <c r="AA87" s="6">
        <v>36</v>
      </c>
      <c r="AB87" t="s">
        <v>80</v>
      </c>
      <c r="AC87" t="s">
        <v>81</v>
      </c>
      <c r="AD87" t="s">
        <v>129</v>
      </c>
      <c r="AE87" t="s">
        <v>134</v>
      </c>
      <c r="AF87">
        <v>12</v>
      </c>
      <c r="AG87">
        <v>0</v>
      </c>
      <c r="AH87">
        <v>101</v>
      </c>
      <c r="AI87" t="s">
        <v>80</v>
      </c>
      <c r="AJ87" t="s">
        <v>81</v>
      </c>
      <c r="AK87" t="s">
        <v>100</v>
      </c>
      <c r="AL87" t="s">
        <v>145</v>
      </c>
      <c r="AM87" s="314">
        <v>33518.927519999997</v>
      </c>
      <c r="AN87" s="314">
        <v>44691.903359999997</v>
      </c>
      <c r="AO87" s="314">
        <v>44691.903359999997</v>
      </c>
      <c r="AP87" s="314">
        <v>44691.903359999997</v>
      </c>
      <c r="AQ87" s="314">
        <v>8.0587079999999993</v>
      </c>
      <c r="AR87" s="314">
        <v>10.744944</v>
      </c>
      <c r="AS87" s="314">
        <v>10.744944</v>
      </c>
      <c r="AT87" s="314">
        <v>10.744944</v>
      </c>
      <c r="AU87" s="314">
        <v>0</v>
      </c>
      <c r="AV87" s="314">
        <v>0</v>
      </c>
      <c r="AW87" s="314">
        <v>0</v>
      </c>
      <c r="AX87">
        <v>0</v>
      </c>
    </row>
    <row r="88" spans="1:50" x14ac:dyDescent="0.35">
      <c r="A88">
        <v>44</v>
      </c>
      <c r="B88" t="s">
        <v>80</v>
      </c>
      <c r="C88" t="s">
        <v>81</v>
      </c>
      <c r="D88" t="s">
        <v>146</v>
      </c>
      <c r="E88" t="s">
        <v>147</v>
      </c>
      <c r="F88">
        <v>351</v>
      </c>
      <c r="G88">
        <v>367</v>
      </c>
      <c r="H88">
        <v>383</v>
      </c>
      <c r="I88">
        <v>389</v>
      </c>
      <c r="J88" s="600">
        <v>1490</v>
      </c>
      <c r="K88" s="7">
        <f t="shared" si="15"/>
        <v>5</v>
      </c>
      <c r="L88" s="7">
        <f t="shared" si="16"/>
        <v>0</v>
      </c>
      <c r="M88" s="243">
        <f t="shared" si="17"/>
        <v>665285.4</v>
      </c>
      <c r="N88" s="243">
        <f>INDEX($AN$4:$AN20984,MATCH($A88,$AH$4:$AH$2000,0))</f>
        <v>695611.8</v>
      </c>
      <c r="O88" s="243">
        <f t="shared" si="22"/>
        <v>725938.20000000007</v>
      </c>
      <c r="P88" s="243">
        <f t="shared" si="18"/>
        <v>737310.60000000009</v>
      </c>
      <c r="Q88" s="243">
        <f t="shared" si="19"/>
        <v>0</v>
      </c>
      <c r="R88" s="243">
        <f t="shared" si="20"/>
        <v>0</v>
      </c>
      <c r="S88" s="243">
        <f t="shared" si="23"/>
        <v>0</v>
      </c>
      <c r="T88" s="243">
        <f t="shared" si="21"/>
        <v>0</v>
      </c>
      <c r="AA88" s="6">
        <v>35</v>
      </c>
      <c r="AB88" t="s">
        <v>80</v>
      </c>
      <c r="AC88" t="s">
        <v>81</v>
      </c>
      <c r="AD88" t="s">
        <v>129</v>
      </c>
      <c r="AE88" t="s">
        <v>135</v>
      </c>
      <c r="AF88">
        <v>15</v>
      </c>
      <c r="AG88">
        <v>0</v>
      </c>
      <c r="AH88">
        <v>44</v>
      </c>
      <c r="AI88" t="s">
        <v>80</v>
      </c>
      <c r="AJ88" t="s">
        <v>81</v>
      </c>
      <c r="AK88" t="s">
        <v>146</v>
      </c>
      <c r="AL88" t="s">
        <v>147</v>
      </c>
      <c r="AM88" s="314">
        <v>665285.4</v>
      </c>
      <c r="AN88" s="314">
        <v>695611.8</v>
      </c>
      <c r="AO88" s="314">
        <v>725938.20000000007</v>
      </c>
      <c r="AP88" s="314">
        <v>737310.60000000009</v>
      </c>
      <c r="AQ88" s="314">
        <v>123.20100000000001</v>
      </c>
      <c r="AR88" s="314">
        <v>128.81700000000001</v>
      </c>
      <c r="AS88" s="314">
        <v>134.43300000000002</v>
      </c>
      <c r="AT88" s="314">
        <v>136.53900000000002</v>
      </c>
      <c r="AU88" s="314">
        <v>0</v>
      </c>
      <c r="AV88" s="314">
        <v>0</v>
      </c>
      <c r="AW88" s="314">
        <v>0</v>
      </c>
      <c r="AX88">
        <v>0</v>
      </c>
    </row>
    <row r="89" spans="1:50" x14ac:dyDescent="0.35">
      <c r="A89">
        <v>112</v>
      </c>
      <c r="B89" t="s">
        <v>80</v>
      </c>
      <c r="C89" t="s">
        <v>81</v>
      </c>
      <c r="D89" t="s">
        <v>148</v>
      </c>
      <c r="E89" t="s">
        <v>149</v>
      </c>
      <c r="F89">
        <v>1</v>
      </c>
      <c r="G89">
        <v>1</v>
      </c>
      <c r="H89">
        <v>1</v>
      </c>
      <c r="I89">
        <v>2</v>
      </c>
      <c r="J89" s="600">
        <v>5</v>
      </c>
      <c r="K89" s="7">
        <f t="shared" si="15"/>
        <v>10</v>
      </c>
      <c r="L89" s="7">
        <f t="shared" si="16"/>
        <v>0</v>
      </c>
      <c r="M89" s="243">
        <f t="shared" si="17"/>
        <v>0</v>
      </c>
      <c r="N89" s="243">
        <f>INDEX($AN$4:$AN20985,MATCH($A89,$AH$4:$AH$2000,0))</f>
        <v>0</v>
      </c>
      <c r="O89" s="243">
        <f t="shared" si="22"/>
        <v>0</v>
      </c>
      <c r="P89" s="243">
        <f t="shared" si="18"/>
        <v>0</v>
      </c>
      <c r="Q89" s="243">
        <f t="shared" si="19"/>
        <v>735.07500000000005</v>
      </c>
      <c r="R89" s="243">
        <f t="shared" si="20"/>
        <v>735.07500000000005</v>
      </c>
      <c r="S89" s="243">
        <f t="shared" si="23"/>
        <v>735.07500000000005</v>
      </c>
      <c r="T89" s="243">
        <f t="shared" si="21"/>
        <v>1470.15</v>
      </c>
      <c r="AA89" s="6">
        <v>83</v>
      </c>
      <c r="AB89" t="s">
        <v>80</v>
      </c>
      <c r="AC89" t="s">
        <v>81</v>
      </c>
      <c r="AD89" t="s">
        <v>100</v>
      </c>
      <c r="AE89" t="s">
        <v>136</v>
      </c>
      <c r="AF89">
        <v>4</v>
      </c>
      <c r="AG89">
        <v>0</v>
      </c>
      <c r="AH89">
        <v>112</v>
      </c>
      <c r="AI89" t="s">
        <v>80</v>
      </c>
      <c r="AJ89" t="s">
        <v>81</v>
      </c>
      <c r="AK89" t="s">
        <v>148</v>
      </c>
      <c r="AL89" t="s">
        <v>149</v>
      </c>
      <c r="AM89" s="314">
        <v>0</v>
      </c>
      <c r="AN89" s="314">
        <v>0</v>
      </c>
      <c r="AO89" s="314">
        <v>0</v>
      </c>
      <c r="AP89" s="314">
        <v>0</v>
      </c>
      <c r="AQ89" s="314">
        <v>0</v>
      </c>
      <c r="AR89" s="314">
        <v>0</v>
      </c>
      <c r="AS89" s="314">
        <v>0</v>
      </c>
      <c r="AT89" s="314">
        <v>0</v>
      </c>
      <c r="AU89" s="314">
        <v>735.07500000000005</v>
      </c>
      <c r="AV89" s="314">
        <v>735.07500000000005</v>
      </c>
      <c r="AW89" s="314">
        <v>735.07500000000005</v>
      </c>
      <c r="AX89">
        <v>1470.15</v>
      </c>
    </row>
    <row r="90" spans="1:50" x14ac:dyDescent="0.35">
      <c r="A90">
        <v>111</v>
      </c>
      <c r="B90" t="s">
        <v>80</v>
      </c>
      <c r="C90" t="s">
        <v>81</v>
      </c>
      <c r="D90" t="s">
        <v>148</v>
      </c>
      <c r="E90" t="s">
        <v>150</v>
      </c>
      <c r="F90">
        <v>1</v>
      </c>
      <c r="G90">
        <v>1</v>
      </c>
      <c r="H90">
        <v>1</v>
      </c>
      <c r="I90">
        <v>1</v>
      </c>
      <c r="J90" s="600">
        <v>4</v>
      </c>
      <c r="K90" s="7">
        <f t="shared" si="15"/>
        <v>12</v>
      </c>
      <c r="L90" s="7">
        <f t="shared" si="16"/>
        <v>0</v>
      </c>
      <c r="M90" s="243">
        <f t="shared" si="17"/>
        <v>0</v>
      </c>
      <c r="N90" s="243">
        <f>INDEX($AN$4:$AN20986,MATCH($A90,$AH$4:$AH$2000,0))</f>
        <v>0</v>
      </c>
      <c r="O90" s="243">
        <f t="shared" si="22"/>
        <v>0</v>
      </c>
      <c r="P90" s="243">
        <f t="shared" si="18"/>
        <v>0</v>
      </c>
      <c r="Q90" s="243">
        <f t="shared" si="19"/>
        <v>161.32500000000002</v>
      </c>
      <c r="R90" s="243">
        <f t="shared" si="20"/>
        <v>161.32500000000002</v>
      </c>
      <c r="S90" s="243">
        <f t="shared" si="23"/>
        <v>161.32500000000002</v>
      </c>
      <c r="T90" s="243">
        <f t="shared" si="21"/>
        <v>161.32500000000002</v>
      </c>
      <c r="AA90" s="6">
        <v>100</v>
      </c>
      <c r="AB90" t="s">
        <v>80</v>
      </c>
      <c r="AC90" t="s">
        <v>81</v>
      </c>
      <c r="AD90" t="s">
        <v>100</v>
      </c>
      <c r="AE90" t="s">
        <v>137</v>
      </c>
      <c r="AF90" s="1">
        <v>13</v>
      </c>
      <c r="AG90">
        <v>0</v>
      </c>
      <c r="AH90">
        <v>111</v>
      </c>
      <c r="AI90" t="s">
        <v>80</v>
      </c>
      <c r="AJ90" t="s">
        <v>81</v>
      </c>
      <c r="AK90" t="s">
        <v>148</v>
      </c>
      <c r="AL90" t="s">
        <v>150</v>
      </c>
      <c r="AM90" s="314">
        <v>0</v>
      </c>
      <c r="AN90" s="314">
        <v>0</v>
      </c>
      <c r="AO90" s="314">
        <v>0</v>
      </c>
      <c r="AP90" s="314">
        <v>0</v>
      </c>
      <c r="AQ90" s="314">
        <v>0</v>
      </c>
      <c r="AR90" s="314">
        <v>0</v>
      </c>
      <c r="AS90" s="314">
        <v>0</v>
      </c>
      <c r="AT90" s="314">
        <v>0</v>
      </c>
      <c r="AU90" s="314">
        <v>161.32500000000002</v>
      </c>
      <c r="AV90" s="314">
        <v>161.32500000000002</v>
      </c>
      <c r="AW90" s="314">
        <v>161.32500000000002</v>
      </c>
      <c r="AX90">
        <v>161.32500000000002</v>
      </c>
    </row>
    <row r="91" spans="1:50" x14ac:dyDescent="0.35">
      <c r="A91">
        <v>109</v>
      </c>
      <c r="B91" t="s">
        <v>80</v>
      </c>
      <c r="C91" t="s">
        <v>81</v>
      </c>
      <c r="D91" t="s">
        <v>148</v>
      </c>
      <c r="E91" t="s">
        <v>151</v>
      </c>
      <c r="F91">
        <v>1</v>
      </c>
      <c r="G91">
        <v>1</v>
      </c>
      <c r="H91">
        <v>1</v>
      </c>
      <c r="I91">
        <v>1</v>
      </c>
      <c r="J91" s="600">
        <v>4</v>
      </c>
      <c r="K91" s="7">
        <f t="shared" si="15"/>
        <v>12</v>
      </c>
      <c r="L91" s="7">
        <f t="shared" si="16"/>
        <v>0</v>
      </c>
      <c r="M91" s="243">
        <f t="shared" si="17"/>
        <v>0</v>
      </c>
      <c r="N91" s="243">
        <f>INDEX($AN$4:$AN20987,MATCH($A91,$AH$4:$AH$2000,0))</f>
        <v>0</v>
      </c>
      <c r="O91" s="243">
        <f t="shared" si="22"/>
        <v>0</v>
      </c>
      <c r="P91" s="243">
        <f t="shared" si="18"/>
        <v>0</v>
      </c>
      <c r="Q91" s="243">
        <f t="shared" si="19"/>
        <v>446.17500000000001</v>
      </c>
      <c r="R91" s="243">
        <f t="shared" si="20"/>
        <v>446.17500000000001</v>
      </c>
      <c r="S91" s="243">
        <f t="shared" si="23"/>
        <v>446.17500000000001</v>
      </c>
      <c r="T91" s="243">
        <f t="shared" si="21"/>
        <v>446.17500000000001</v>
      </c>
      <c r="AA91" s="6">
        <v>46</v>
      </c>
      <c r="AB91" t="s">
        <v>80</v>
      </c>
      <c r="AC91" t="s">
        <v>81</v>
      </c>
      <c r="AD91" t="s">
        <v>146</v>
      </c>
      <c r="AE91" t="s">
        <v>235</v>
      </c>
      <c r="AG91">
        <v>0</v>
      </c>
      <c r="AH91">
        <v>109</v>
      </c>
      <c r="AI91" t="s">
        <v>80</v>
      </c>
      <c r="AJ91" t="s">
        <v>81</v>
      </c>
      <c r="AK91" t="s">
        <v>148</v>
      </c>
      <c r="AL91" t="s">
        <v>151</v>
      </c>
      <c r="AM91" s="314">
        <v>0</v>
      </c>
      <c r="AN91" s="314">
        <v>0</v>
      </c>
      <c r="AO91" s="314">
        <v>0</v>
      </c>
      <c r="AP91" s="314">
        <v>0</v>
      </c>
      <c r="AQ91" s="314">
        <v>0</v>
      </c>
      <c r="AR91" s="314">
        <v>0</v>
      </c>
      <c r="AS91" s="314">
        <v>0</v>
      </c>
      <c r="AT91" s="314">
        <v>0</v>
      </c>
      <c r="AU91" s="314">
        <v>446.17500000000001</v>
      </c>
      <c r="AV91" s="314">
        <v>446.17500000000001</v>
      </c>
      <c r="AW91" s="314">
        <v>446.17500000000001</v>
      </c>
      <c r="AX91">
        <v>446.17500000000001</v>
      </c>
    </row>
    <row r="92" spans="1:50" x14ac:dyDescent="0.35">
      <c r="A92">
        <v>110</v>
      </c>
      <c r="B92" t="s">
        <v>80</v>
      </c>
      <c r="C92" t="s">
        <v>81</v>
      </c>
      <c r="D92" t="s">
        <v>148</v>
      </c>
      <c r="E92" t="s">
        <v>152</v>
      </c>
      <c r="F92">
        <v>1</v>
      </c>
      <c r="G92">
        <v>1</v>
      </c>
      <c r="H92">
        <v>1</v>
      </c>
      <c r="I92">
        <v>1</v>
      </c>
      <c r="J92" s="600">
        <v>4</v>
      </c>
      <c r="K92" s="7">
        <f t="shared" si="15"/>
        <v>12</v>
      </c>
      <c r="L92" s="7">
        <f t="shared" si="16"/>
        <v>0</v>
      </c>
      <c r="M92" s="243">
        <f t="shared" si="17"/>
        <v>0</v>
      </c>
      <c r="N92" s="243">
        <f>INDEX($AN$4:$AN20988,MATCH($A92,$AH$4:$AH$2000,0))</f>
        <v>0</v>
      </c>
      <c r="O92" s="243">
        <f t="shared" si="22"/>
        <v>0</v>
      </c>
      <c r="P92" s="243">
        <f t="shared" si="18"/>
        <v>0</v>
      </c>
      <c r="Q92" s="243">
        <f t="shared" si="19"/>
        <v>373.95000000000005</v>
      </c>
      <c r="R92" s="243">
        <f t="shared" si="20"/>
        <v>373.95000000000005</v>
      </c>
      <c r="S92" s="243">
        <f t="shared" si="23"/>
        <v>373.95000000000005</v>
      </c>
      <c r="T92" s="243">
        <f t="shared" si="21"/>
        <v>373.95000000000005</v>
      </c>
      <c r="AA92" s="6">
        <v>45</v>
      </c>
      <c r="AB92" t="s">
        <v>80</v>
      </c>
      <c r="AC92" t="s">
        <v>81</v>
      </c>
      <c r="AD92" t="s">
        <v>146</v>
      </c>
      <c r="AE92" t="s">
        <v>236</v>
      </c>
      <c r="AG92">
        <v>0</v>
      </c>
      <c r="AH92">
        <v>110</v>
      </c>
      <c r="AI92" t="s">
        <v>80</v>
      </c>
      <c r="AJ92" t="s">
        <v>81</v>
      </c>
      <c r="AK92" t="s">
        <v>148</v>
      </c>
      <c r="AL92" t="s">
        <v>152</v>
      </c>
      <c r="AM92" s="314">
        <v>0</v>
      </c>
      <c r="AN92" s="314">
        <v>0</v>
      </c>
      <c r="AO92" s="314">
        <v>0</v>
      </c>
      <c r="AP92" s="314">
        <v>0</v>
      </c>
      <c r="AQ92" s="314">
        <v>0</v>
      </c>
      <c r="AR92" s="314">
        <v>0</v>
      </c>
      <c r="AS92" s="314">
        <v>0</v>
      </c>
      <c r="AT92" s="314">
        <v>0</v>
      </c>
      <c r="AU92" s="314">
        <v>373.95000000000005</v>
      </c>
      <c r="AV92" s="314">
        <v>373.95000000000005</v>
      </c>
      <c r="AW92" s="314">
        <v>373.95000000000005</v>
      </c>
      <c r="AX92">
        <v>373.95000000000005</v>
      </c>
    </row>
    <row r="93" spans="1:50" x14ac:dyDescent="0.35">
      <c r="A93">
        <v>113</v>
      </c>
      <c r="B93" t="s">
        <v>80</v>
      </c>
      <c r="C93" t="s">
        <v>81</v>
      </c>
      <c r="D93" t="s">
        <v>148</v>
      </c>
      <c r="E93" t="s">
        <v>153</v>
      </c>
      <c r="F93">
        <v>1</v>
      </c>
      <c r="G93">
        <v>0</v>
      </c>
      <c r="H93">
        <v>2</v>
      </c>
      <c r="I93">
        <v>2</v>
      </c>
      <c r="J93" s="600">
        <v>5</v>
      </c>
      <c r="K93" s="7">
        <f t="shared" si="15"/>
        <v>12</v>
      </c>
      <c r="L93" s="7">
        <f t="shared" si="16"/>
        <v>0</v>
      </c>
      <c r="M93" s="243">
        <f t="shared" si="17"/>
        <v>0</v>
      </c>
      <c r="N93" s="243">
        <f>INDEX($AN$4:$AN20989,MATCH($A93,$AH$4:$AH$2000,0))</f>
        <v>0</v>
      </c>
      <c r="O93" s="243">
        <f t="shared" si="22"/>
        <v>0</v>
      </c>
      <c r="P93" s="243">
        <f t="shared" si="18"/>
        <v>0</v>
      </c>
      <c r="Q93" s="243">
        <f t="shared" si="19"/>
        <v>931.50000000000011</v>
      </c>
      <c r="R93" s="243">
        <f t="shared" si="20"/>
        <v>0</v>
      </c>
      <c r="S93" s="243">
        <f t="shared" si="23"/>
        <v>1863.0000000000002</v>
      </c>
      <c r="T93" s="243">
        <f t="shared" si="21"/>
        <v>1863.0000000000002</v>
      </c>
      <c r="AA93" s="6">
        <v>73</v>
      </c>
      <c r="AB93" t="s">
        <v>80</v>
      </c>
      <c r="AC93" t="s">
        <v>81</v>
      </c>
      <c r="AD93" t="s">
        <v>100</v>
      </c>
      <c r="AE93" t="s">
        <v>237</v>
      </c>
      <c r="AG93">
        <v>0</v>
      </c>
      <c r="AH93">
        <v>113</v>
      </c>
      <c r="AI93" t="s">
        <v>80</v>
      </c>
      <c r="AJ93" t="s">
        <v>81</v>
      </c>
      <c r="AK93" t="s">
        <v>148</v>
      </c>
      <c r="AL93" t="s">
        <v>153</v>
      </c>
      <c r="AM93" s="314">
        <v>0</v>
      </c>
      <c r="AN93" s="314">
        <v>0</v>
      </c>
      <c r="AO93" s="314">
        <v>0</v>
      </c>
      <c r="AP93" s="314">
        <v>0</v>
      </c>
      <c r="AQ93" s="314">
        <v>0</v>
      </c>
      <c r="AR93" s="314">
        <v>0</v>
      </c>
      <c r="AS93" s="314">
        <v>0</v>
      </c>
      <c r="AT93" s="314">
        <v>0</v>
      </c>
      <c r="AU93" s="314">
        <v>931.50000000000011</v>
      </c>
      <c r="AV93" s="314">
        <v>0</v>
      </c>
      <c r="AW93" s="314">
        <v>1863.0000000000002</v>
      </c>
      <c r="AX93">
        <v>1863.0000000000002</v>
      </c>
    </row>
    <row r="94" spans="1:50" x14ac:dyDescent="0.35">
      <c r="A94">
        <v>114</v>
      </c>
      <c r="B94" t="s">
        <v>80</v>
      </c>
      <c r="C94" t="s">
        <v>81</v>
      </c>
      <c r="D94" t="s">
        <v>148</v>
      </c>
      <c r="E94" t="s">
        <v>154</v>
      </c>
      <c r="F94">
        <v>1</v>
      </c>
      <c r="G94">
        <v>1</v>
      </c>
      <c r="H94">
        <v>1</v>
      </c>
      <c r="I94">
        <v>2</v>
      </c>
      <c r="J94" s="600">
        <v>5</v>
      </c>
      <c r="K94" s="7">
        <f t="shared" si="15"/>
        <v>12</v>
      </c>
      <c r="L94" s="7">
        <f t="shared" si="16"/>
        <v>0</v>
      </c>
      <c r="M94" s="243">
        <f t="shared" si="17"/>
        <v>0</v>
      </c>
      <c r="N94" s="243">
        <f>INDEX($AN$4:$AN20990,MATCH($A94,$AH$4:$AH$2000,0))</f>
        <v>0</v>
      </c>
      <c r="O94" s="243">
        <f t="shared" si="22"/>
        <v>0</v>
      </c>
      <c r="P94" s="243">
        <f t="shared" si="18"/>
        <v>0</v>
      </c>
      <c r="Q94" s="243">
        <f t="shared" si="19"/>
        <v>1393.2</v>
      </c>
      <c r="R94" s="243">
        <f t="shared" si="20"/>
        <v>1393.2</v>
      </c>
      <c r="S94" s="243">
        <f t="shared" si="23"/>
        <v>1393.2</v>
      </c>
      <c r="T94" s="243">
        <f t="shared" si="21"/>
        <v>2786.4</v>
      </c>
      <c r="AA94" s="6">
        <v>62</v>
      </c>
      <c r="AB94" t="s">
        <v>80</v>
      </c>
      <c r="AC94" t="s">
        <v>81</v>
      </c>
      <c r="AD94" t="s">
        <v>100</v>
      </c>
      <c r="AE94" t="s">
        <v>238</v>
      </c>
      <c r="AG94">
        <v>0</v>
      </c>
      <c r="AH94">
        <v>114</v>
      </c>
      <c r="AI94" t="s">
        <v>80</v>
      </c>
      <c r="AJ94" t="s">
        <v>81</v>
      </c>
      <c r="AK94" t="s">
        <v>148</v>
      </c>
      <c r="AL94" t="s">
        <v>154</v>
      </c>
      <c r="AM94" s="314">
        <v>0</v>
      </c>
      <c r="AN94" s="314">
        <v>0</v>
      </c>
      <c r="AO94" s="314">
        <v>0</v>
      </c>
      <c r="AP94" s="314">
        <v>0</v>
      </c>
      <c r="AQ94" s="314">
        <v>0</v>
      </c>
      <c r="AR94" s="314">
        <v>0</v>
      </c>
      <c r="AS94" s="314">
        <v>0</v>
      </c>
      <c r="AT94" s="314">
        <v>0</v>
      </c>
      <c r="AU94" s="314">
        <v>1393.2</v>
      </c>
      <c r="AV94" s="314">
        <v>1393.2</v>
      </c>
      <c r="AW94" s="314">
        <v>1393.2</v>
      </c>
      <c r="AX94">
        <v>2786.4</v>
      </c>
    </row>
    <row r="95" spans="1:50" x14ac:dyDescent="0.35">
      <c r="A95">
        <v>191</v>
      </c>
      <c r="B95" t="s">
        <v>80</v>
      </c>
      <c r="C95" t="s">
        <v>81</v>
      </c>
      <c r="D95" t="s">
        <v>5</v>
      </c>
      <c r="E95" t="s">
        <v>155</v>
      </c>
      <c r="F95">
        <v>3</v>
      </c>
      <c r="G95">
        <v>3</v>
      </c>
      <c r="H95">
        <v>4</v>
      </c>
      <c r="I95">
        <v>4</v>
      </c>
      <c r="J95" s="600">
        <v>14</v>
      </c>
      <c r="K95" s="7">
        <f t="shared" si="15"/>
        <v>10</v>
      </c>
      <c r="L95" s="7">
        <f t="shared" si="16"/>
        <v>0</v>
      </c>
      <c r="M95" s="243">
        <f t="shared" si="17"/>
        <v>1773.3912</v>
      </c>
      <c r="N95" s="243">
        <f>INDEX($AN$4:$AN20991,MATCH($A95,$AH$4:$AH$2000,0))</f>
        <v>1773.3912</v>
      </c>
      <c r="O95" s="243">
        <f t="shared" si="22"/>
        <v>2364.5216</v>
      </c>
      <c r="P95" s="243">
        <f t="shared" si="18"/>
        <v>2364.5216</v>
      </c>
      <c r="Q95" s="243">
        <f t="shared" si="19"/>
        <v>8154.3328794899999</v>
      </c>
      <c r="R95" s="243">
        <f t="shared" si="20"/>
        <v>8154.3328794899999</v>
      </c>
      <c r="S95" s="243">
        <f t="shared" si="23"/>
        <v>10872.44383932</v>
      </c>
      <c r="T95" s="243">
        <f t="shared" si="21"/>
        <v>10872.44383932</v>
      </c>
      <c r="AA95" s="6">
        <v>78</v>
      </c>
      <c r="AB95" t="s">
        <v>80</v>
      </c>
      <c r="AC95" t="s">
        <v>81</v>
      </c>
      <c r="AD95" t="s">
        <v>100</v>
      </c>
      <c r="AE95" t="s">
        <v>239</v>
      </c>
      <c r="AG95">
        <v>0</v>
      </c>
      <c r="AH95">
        <v>191</v>
      </c>
      <c r="AI95" t="s">
        <v>80</v>
      </c>
      <c r="AJ95" t="s">
        <v>81</v>
      </c>
      <c r="AK95" t="s">
        <v>5</v>
      </c>
      <c r="AL95" t="s">
        <v>155</v>
      </c>
      <c r="AM95" s="314">
        <v>1773.3912</v>
      </c>
      <c r="AN95" s="314">
        <v>1773.3912</v>
      </c>
      <c r="AO95" s="314">
        <v>2364.5216</v>
      </c>
      <c r="AP95" s="314">
        <v>2364.5216</v>
      </c>
      <c r="AQ95" s="314">
        <v>0</v>
      </c>
      <c r="AR95" s="314">
        <v>0</v>
      </c>
      <c r="AS95" s="314">
        <v>0</v>
      </c>
      <c r="AT95" s="314">
        <v>0</v>
      </c>
      <c r="AU95" s="314">
        <v>8154.3328794899999</v>
      </c>
      <c r="AV95" s="314">
        <v>8154.3328794899999</v>
      </c>
      <c r="AW95" s="314">
        <v>10872.44383932</v>
      </c>
      <c r="AX95">
        <v>10872.44383932</v>
      </c>
    </row>
    <row r="96" spans="1:50" x14ac:dyDescent="0.35">
      <c r="A96">
        <v>224</v>
      </c>
      <c r="B96" t="s">
        <v>80</v>
      </c>
      <c r="C96" t="s">
        <v>81</v>
      </c>
      <c r="D96" t="s">
        <v>105</v>
      </c>
      <c r="E96" t="s">
        <v>156</v>
      </c>
      <c r="F96">
        <v>1</v>
      </c>
      <c r="G96">
        <v>1</v>
      </c>
      <c r="H96">
        <v>2</v>
      </c>
      <c r="I96">
        <v>2</v>
      </c>
      <c r="J96" s="600">
        <v>6</v>
      </c>
      <c r="K96" s="7">
        <f t="shared" si="15"/>
        <v>15</v>
      </c>
      <c r="L96" s="7">
        <f t="shared" si="16"/>
        <v>0</v>
      </c>
      <c r="M96" s="243">
        <f t="shared" si="17"/>
        <v>5323.1196300000001</v>
      </c>
      <c r="N96" s="243">
        <f>INDEX($AN$4:$AN20992,MATCH($A96,$AH$4:$AH$2000,0))</f>
        <v>5323.1196300000001</v>
      </c>
      <c r="O96" s="243">
        <f t="shared" si="22"/>
        <v>10646.23926</v>
      </c>
      <c r="P96" s="243">
        <f t="shared" si="18"/>
        <v>10646.23926</v>
      </c>
      <c r="Q96" s="243">
        <f t="shared" si="19"/>
        <v>0</v>
      </c>
      <c r="R96" s="243">
        <f t="shared" si="20"/>
        <v>0</v>
      </c>
      <c r="S96" s="243">
        <f t="shared" si="23"/>
        <v>0</v>
      </c>
      <c r="T96" s="243">
        <f t="shared" si="21"/>
        <v>0</v>
      </c>
      <c r="AA96" s="6">
        <v>72</v>
      </c>
      <c r="AB96" t="s">
        <v>80</v>
      </c>
      <c r="AC96" t="s">
        <v>81</v>
      </c>
      <c r="AD96" t="s">
        <v>100</v>
      </c>
      <c r="AE96" t="s">
        <v>240</v>
      </c>
      <c r="AG96">
        <v>0</v>
      </c>
      <c r="AH96">
        <v>224</v>
      </c>
      <c r="AI96" t="s">
        <v>80</v>
      </c>
      <c r="AJ96" t="s">
        <v>81</v>
      </c>
      <c r="AK96" t="s">
        <v>105</v>
      </c>
      <c r="AL96" t="s">
        <v>156</v>
      </c>
      <c r="AM96" s="314">
        <v>5323.1196300000001</v>
      </c>
      <c r="AN96" s="314">
        <v>5323.1196300000001</v>
      </c>
      <c r="AO96" s="314">
        <v>10646.23926</v>
      </c>
      <c r="AP96" s="314">
        <v>10646.23926</v>
      </c>
      <c r="AQ96" s="314">
        <v>0</v>
      </c>
      <c r="AR96" s="314">
        <v>0</v>
      </c>
      <c r="AS96" s="314">
        <v>0</v>
      </c>
      <c r="AT96" s="314">
        <v>0</v>
      </c>
      <c r="AU96" s="314">
        <v>0</v>
      </c>
      <c r="AV96" s="314">
        <v>0</v>
      </c>
      <c r="AW96" s="314">
        <v>0</v>
      </c>
      <c r="AX96">
        <v>0</v>
      </c>
    </row>
    <row r="97" spans="1:50" x14ac:dyDescent="0.35">
      <c r="A97">
        <v>77</v>
      </c>
      <c r="B97" t="s">
        <v>80</v>
      </c>
      <c r="C97" t="s">
        <v>81</v>
      </c>
      <c r="D97" t="s">
        <v>100</v>
      </c>
      <c r="E97" t="s">
        <v>157</v>
      </c>
      <c r="F97">
        <v>8</v>
      </c>
      <c r="G97">
        <v>9</v>
      </c>
      <c r="H97">
        <v>10</v>
      </c>
      <c r="I97">
        <v>10</v>
      </c>
      <c r="J97" s="600">
        <v>37</v>
      </c>
      <c r="K97" s="7">
        <f t="shared" si="15"/>
        <v>10</v>
      </c>
      <c r="L97" s="7">
        <f t="shared" si="16"/>
        <v>0</v>
      </c>
      <c r="M97" s="243">
        <f t="shared" si="17"/>
        <v>13377.93072</v>
      </c>
      <c r="N97" s="243">
        <f>INDEX($AN$4:$AN20993,MATCH($A97,$AH$4:$AH$2000,0))</f>
        <v>15050.172060000001</v>
      </c>
      <c r="O97" s="243">
        <f t="shared" si="22"/>
        <v>16722.413400000001</v>
      </c>
      <c r="P97" s="243">
        <f t="shared" si="18"/>
        <v>16722.413400000001</v>
      </c>
      <c r="Q97" s="243">
        <f t="shared" si="19"/>
        <v>0</v>
      </c>
      <c r="R97" s="243">
        <f t="shared" si="20"/>
        <v>0</v>
      </c>
      <c r="S97" s="243">
        <f t="shared" si="23"/>
        <v>0</v>
      </c>
      <c r="T97" s="243">
        <f t="shared" si="21"/>
        <v>0</v>
      </c>
      <c r="AA97" s="6">
        <v>243</v>
      </c>
      <c r="AB97" t="s">
        <v>80</v>
      </c>
      <c r="AC97" t="s">
        <v>81</v>
      </c>
      <c r="AD97" t="s">
        <v>15</v>
      </c>
      <c r="AE97" t="s">
        <v>138</v>
      </c>
      <c r="AF97">
        <v>5</v>
      </c>
      <c r="AG97">
        <v>0</v>
      </c>
      <c r="AH97">
        <v>77</v>
      </c>
      <c r="AI97" t="s">
        <v>80</v>
      </c>
      <c r="AJ97" t="s">
        <v>81</v>
      </c>
      <c r="AK97" t="s">
        <v>100</v>
      </c>
      <c r="AL97" t="s">
        <v>157</v>
      </c>
      <c r="AM97" s="314">
        <v>13377.93072</v>
      </c>
      <c r="AN97" s="314">
        <v>15050.172060000001</v>
      </c>
      <c r="AO97" s="314">
        <v>16722.413400000001</v>
      </c>
      <c r="AP97" s="314">
        <v>16722.413400000001</v>
      </c>
      <c r="AQ97" s="314">
        <v>2.0715599999999998</v>
      </c>
      <c r="AR97" s="314">
        <v>2.3305049999999996</v>
      </c>
      <c r="AS97" s="314">
        <v>2.5894499999999998</v>
      </c>
      <c r="AT97" s="314">
        <v>2.5894499999999998</v>
      </c>
      <c r="AU97" s="314">
        <v>0</v>
      </c>
      <c r="AV97" s="314">
        <v>0</v>
      </c>
      <c r="AW97" s="314">
        <v>0</v>
      </c>
      <c r="AX97">
        <v>0</v>
      </c>
    </row>
    <row r="98" spans="1:50" x14ac:dyDescent="0.35">
      <c r="A98">
        <v>75</v>
      </c>
      <c r="B98" t="s">
        <v>80</v>
      </c>
      <c r="C98" t="s">
        <v>81</v>
      </c>
      <c r="D98" t="s">
        <v>100</v>
      </c>
      <c r="E98" t="s">
        <v>158</v>
      </c>
      <c r="F98">
        <v>4</v>
      </c>
      <c r="G98">
        <v>3</v>
      </c>
      <c r="H98">
        <v>3</v>
      </c>
      <c r="I98">
        <v>3</v>
      </c>
      <c r="J98" s="600">
        <v>13</v>
      </c>
      <c r="K98" s="7">
        <f t="shared" si="15"/>
        <v>15</v>
      </c>
      <c r="L98" s="7">
        <f t="shared" si="16"/>
        <v>0</v>
      </c>
      <c r="M98" s="243">
        <f t="shared" si="17"/>
        <v>16864.536</v>
      </c>
      <c r="N98" s="243">
        <f>INDEX($AN$4:$AN20994,MATCH($A98,$AH$4:$AH$2000,0))</f>
        <v>12648.402</v>
      </c>
      <c r="O98" s="243">
        <f t="shared" si="22"/>
        <v>12648.402</v>
      </c>
      <c r="P98" s="243">
        <f t="shared" si="18"/>
        <v>12648.402</v>
      </c>
      <c r="Q98" s="243">
        <f t="shared" si="19"/>
        <v>14864.428125</v>
      </c>
      <c r="R98" s="243">
        <f t="shared" si="20"/>
        <v>11148.321093750001</v>
      </c>
      <c r="S98" s="243">
        <f t="shared" si="23"/>
        <v>11148.321093750001</v>
      </c>
      <c r="T98" s="243">
        <f t="shared" si="21"/>
        <v>11148.321093750001</v>
      </c>
      <c r="AA98" s="6">
        <v>244</v>
      </c>
      <c r="AB98" t="s">
        <v>80</v>
      </c>
      <c r="AC98" t="s">
        <v>81</v>
      </c>
      <c r="AD98" t="s">
        <v>15</v>
      </c>
      <c r="AE98" t="s">
        <v>139</v>
      </c>
      <c r="AF98">
        <v>5</v>
      </c>
      <c r="AG98">
        <v>0</v>
      </c>
      <c r="AH98">
        <v>75</v>
      </c>
      <c r="AI98" t="s">
        <v>80</v>
      </c>
      <c r="AJ98" t="s">
        <v>81</v>
      </c>
      <c r="AK98" t="s">
        <v>100</v>
      </c>
      <c r="AL98" t="s">
        <v>158</v>
      </c>
      <c r="AM98" s="314">
        <v>16864.536</v>
      </c>
      <c r="AN98" s="314">
        <v>12648.402</v>
      </c>
      <c r="AO98" s="314">
        <v>12648.402</v>
      </c>
      <c r="AP98" s="314">
        <v>12648.402</v>
      </c>
      <c r="AQ98" s="314">
        <v>2.3092799999999998</v>
      </c>
      <c r="AR98" s="314">
        <v>1.7319599999999999</v>
      </c>
      <c r="AS98" s="314">
        <v>1.7319599999999999</v>
      </c>
      <c r="AT98" s="314">
        <v>1.7319599999999999</v>
      </c>
      <c r="AU98" s="314">
        <v>14864.428125</v>
      </c>
      <c r="AV98" s="314">
        <v>11148.321093750001</v>
      </c>
      <c r="AW98" s="314">
        <v>11148.321093750001</v>
      </c>
      <c r="AX98">
        <v>11148.321093750001</v>
      </c>
    </row>
    <row r="99" spans="1:50" x14ac:dyDescent="0.35">
      <c r="A99">
        <v>117</v>
      </c>
      <c r="B99" t="s">
        <v>80</v>
      </c>
      <c r="C99" t="s">
        <v>81</v>
      </c>
      <c r="D99" t="s">
        <v>4</v>
      </c>
      <c r="E99" t="s">
        <v>159</v>
      </c>
      <c r="F99">
        <v>8</v>
      </c>
      <c r="G99">
        <v>0</v>
      </c>
      <c r="H99">
        <v>0</v>
      </c>
      <c r="I99">
        <v>0</v>
      </c>
      <c r="J99" s="600">
        <v>8</v>
      </c>
      <c r="K99" s="7">
        <f t="shared" si="15"/>
        <v>15</v>
      </c>
      <c r="L99" s="7">
        <f t="shared" si="16"/>
        <v>1</v>
      </c>
      <c r="M99" s="243">
        <f t="shared" si="17"/>
        <v>1039.4694147062983</v>
      </c>
      <c r="N99" s="243">
        <f>INDEX($AN$4:$AN20995,MATCH($A99,$AH$4:$AH$2000,0))</f>
        <v>0</v>
      </c>
      <c r="O99" s="243">
        <f t="shared" si="22"/>
        <v>0</v>
      </c>
      <c r="P99" s="243">
        <f t="shared" si="18"/>
        <v>0</v>
      </c>
      <c r="Q99" s="243">
        <f t="shared" si="19"/>
        <v>-4.7584541593787009</v>
      </c>
      <c r="R99" s="243">
        <f t="shared" si="20"/>
        <v>0</v>
      </c>
      <c r="S99" s="243">
        <f t="shared" si="23"/>
        <v>0</v>
      </c>
      <c r="T99" s="243">
        <f t="shared" si="21"/>
        <v>0</v>
      </c>
      <c r="AA99" s="6">
        <v>61</v>
      </c>
      <c r="AB99" t="s">
        <v>80</v>
      </c>
      <c r="AC99" t="s">
        <v>81</v>
      </c>
      <c r="AD99" t="s">
        <v>100</v>
      </c>
      <c r="AE99" t="s">
        <v>140</v>
      </c>
      <c r="AF99">
        <v>16.5</v>
      </c>
      <c r="AG99">
        <v>0</v>
      </c>
      <c r="AH99">
        <v>117</v>
      </c>
      <c r="AI99" t="s">
        <v>80</v>
      </c>
      <c r="AJ99" t="s">
        <v>81</v>
      </c>
      <c r="AK99" t="s">
        <v>4</v>
      </c>
      <c r="AL99" t="s">
        <v>159</v>
      </c>
      <c r="AM99" s="314">
        <v>1039.4694147062983</v>
      </c>
      <c r="AN99" s="314">
        <v>0</v>
      </c>
      <c r="AO99" s="314">
        <v>0</v>
      </c>
      <c r="AP99" s="314">
        <v>0</v>
      </c>
      <c r="AQ99" s="314">
        <v>0.22816419184818587</v>
      </c>
      <c r="AR99" s="314">
        <v>0</v>
      </c>
      <c r="AS99" s="314">
        <v>0</v>
      </c>
      <c r="AT99" s="314">
        <v>0</v>
      </c>
      <c r="AU99" s="314">
        <v>-4.7584541593787009</v>
      </c>
      <c r="AV99" s="314">
        <v>0</v>
      </c>
      <c r="AW99" s="314">
        <v>0</v>
      </c>
      <c r="AX99">
        <v>0</v>
      </c>
    </row>
    <row r="100" spans="1:50" x14ac:dyDescent="0.35">
      <c r="A100">
        <v>156</v>
      </c>
      <c r="B100" t="s">
        <v>80</v>
      </c>
      <c r="C100" t="s">
        <v>81</v>
      </c>
      <c r="D100" t="s">
        <v>4</v>
      </c>
      <c r="E100" t="s">
        <v>160</v>
      </c>
      <c r="F100">
        <v>121</v>
      </c>
      <c r="G100">
        <v>157</v>
      </c>
      <c r="H100">
        <v>192</v>
      </c>
      <c r="I100">
        <v>243</v>
      </c>
      <c r="J100" s="600">
        <v>713</v>
      </c>
      <c r="K100" s="7">
        <f t="shared" si="15"/>
        <v>8</v>
      </c>
      <c r="L100" s="7">
        <f t="shared" si="16"/>
        <v>0</v>
      </c>
      <c r="M100" s="243">
        <f t="shared" si="17"/>
        <v>103928.352</v>
      </c>
      <c r="N100" s="243">
        <f>INDEX($AN$4:$AN20996,MATCH($A100,$AH$4:$AH$2000,0))</f>
        <v>134849.18400000001</v>
      </c>
      <c r="O100" s="243">
        <f t="shared" si="22"/>
        <v>164911.10399999999</v>
      </c>
      <c r="P100" s="243">
        <f t="shared" si="18"/>
        <v>208715.61600000001</v>
      </c>
      <c r="Q100" s="243">
        <f t="shared" si="19"/>
        <v>-1825.33582</v>
      </c>
      <c r="R100" s="243">
        <f t="shared" si="20"/>
        <v>-2368.4109400000002</v>
      </c>
      <c r="S100" s="243">
        <f t="shared" si="23"/>
        <v>-2896.4006400000003</v>
      </c>
      <c r="T100" s="243">
        <f t="shared" si="21"/>
        <v>-3665.7570600000004</v>
      </c>
      <c r="AA100" s="6">
        <v>52</v>
      </c>
      <c r="AB100" t="s">
        <v>80</v>
      </c>
      <c r="AC100" t="s">
        <v>81</v>
      </c>
      <c r="AD100" t="s">
        <v>100</v>
      </c>
      <c r="AE100" t="s">
        <v>141</v>
      </c>
      <c r="AF100">
        <v>20</v>
      </c>
      <c r="AG100">
        <v>0</v>
      </c>
      <c r="AH100">
        <v>156</v>
      </c>
      <c r="AI100" t="s">
        <v>80</v>
      </c>
      <c r="AJ100" t="s">
        <v>81</v>
      </c>
      <c r="AK100" t="s">
        <v>4</v>
      </c>
      <c r="AL100" t="s">
        <v>160</v>
      </c>
      <c r="AM100" s="314">
        <v>103928.352</v>
      </c>
      <c r="AN100" s="314">
        <v>134849.18400000001</v>
      </c>
      <c r="AO100" s="314">
        <v>164911.10399999999</v>
      </c>
      <c r="AP100" s="314">
        <v>208715.61600000001</v>
      </c>
      <c r="AQ100" s="314">
        <v>17.133116000000001</v>
      </c>
      <c r="AR100" s="314">
        <v>22.230571999999999</v>
      </c>
      <c r="AS100" s="314">
        <v>27.186432</v>
      </c>
      <c r="AT100" s="314">
        <v>34.407828000000002</v>
      </c>
      <c r="AU100" s="314">
        <v>-1825.33582</v>
      </c>
      <c r="AV100" s="314">
        <v>-2368.4109400000002</v>
      </c>
      <c r="AW100" s="314">
        <v>-2896.4006400000003</v>
      </c>
      <c r="AX100">
        <v>-3665.7570600000004</v>
      </c>
    </row>
    <row r="101" spans="1:50" x14ac:dyDescent="0.35">
      <c r="A101">
        <v>183</v>
      </c>
      <c r="B101" t="s">
        <v>80</v>
      </c>
      <c r="C101" t="s">
        <v>81</v>
      </c>
      <c r="D101" t="s">
        <v>5</v>
      </c>
      <c r="E101" t="s">
        <v>161</v>
      </c>
      <c r="F101">
        <v>1</v>
      </c>
      <c r="G101">
        <v>2</v>
      </c>
      <c r="H101">
        <v>2</v>
      </c>
      <c r="I101">
        <v>2</v>
      </c>
      <c r="J101" s="600">
        <v>7</v>
      </c>
      <c r="K101" s="7">
        <f t="shared" si="15"/>
        <v>14</v>
      </c>
      <c r="L101" s="7">
        <f t="shared" si="16"/>
        <v>0</v>
      </c>
      <c r="M101" s="243">
        <f t="shared" si="17"/>
        <v>1112.19</v>
      </c>
      <c r="N101" s="243">
        <f>INDEX($AN$4:$AN20997,MATCH($A101,$AH$4:$AH$2000,0))</f>
        <v>2224.38</v>
      </c>
      <c r="O101" s="243">
        <f t="shared" si="22"/>
        <v>2224.38</v>
      </c>
      <c r="P101" s="243">
        <f t="shared" si="18"/>
        <v>2224.38</v>
      </c>
      <c r="Q101" s="243">
        <f t="shared" si="19"/>
        <v>0</v>
      </c>
      <c r="R101" s="243">
        <f t="shared" si="20"/>
        <v>0</v>
      </c>
      <c r="S101" s="243">
        <f t="shared" si="23"/>
        <v>0</v>
      </c>
      <c r="T101" s="243">
        <f t="shared" si="21"/>
        <v>0</v>
      </c>
      <c r="AA101" s="6">
        <v>74</v>
      </c>
      <c r="AB101" t="s">
        <v>80</v>
      </c>
      <c r="AC101" t="s">
        <v>81</v>
      </c>
      <c r="AD101" t="s">
        <v>100</v>
      </c>
      <c r="AE101" t="s">
        <v>142</v>
      </c>
      <c r="AF101">
        <v>12</v>
      </c>
      <c r="AG101">
        <v>0</v>
      </c>
      <c r="AH101">
        <v>183</v>
      </c>
      <c r="AI101" t="s">
        <v>80</v>
      </c>
      <c r="AJ101" t="s">
        <v>81</v>
      </c>
      <c r="AK101" t="s">
        <v>5</v>
      </c>
      <c r="AL101" t="s">
        <v>161</v>
      </c>
      <c r="AM101" s="314">
        <v>1112.19</v>
      </c>
      <c r="AN101" s="314">
        <v>2224.38</v>
      </c>
      <c r="AO101" s="314">
        <v>2224.38</v>
      </c>
      <c r="AP101" s="314">
        <v>2224.38</v>
      </c>
      <c r="AQ101" s="314">
        <v>0</v>
      </c>
      <c r="AR101" s="314">
        <v>0</v>
      </c>
      <c r="AS101" s="314">
        <v>0</v>
      </c>
      <c r="AT101" s="314">
        <v>0</v>
      </c>
      <c r="AU101" s="314">
        <v>0</v>
      </c>
      <c r="AV101" s="314">
        <v>0</v>
      </c>
      <c r="AW101" s="314">
        <v>0</v>
      </c>
      <c r="AX101">
        <v>0</v>
      </c>
    </row>
    <row r="102" spans="1:50" x14ac:dyDescent="0.35">
      <c r="A102">
        <v>181</v>
      </c>
      <c r="B102" t="s">
        <v>80</v>
      </c>
      <c r="C102" t="s">
        <v>81</v>
      </c>
      <c r="D102" t="s">
        <v>5</v>
      </c>
      <c r="E102" t="s">
        <v>162</v>
      </c>
      <c r="F102">
        <v>1</v>
      </c>
      <c r="G102">
        <v>1</v>
      </c>
      <c r="H102">
        <v>1</v>
      </c>
      <c r="I102">
        <v>1</v>
      </c>
      <c r="J102" s="600">
        <v>4</v>
      </c>
      <c r="K102" s="7">
        <f t="shared" si="15"/>
        <v>10</v>
      </c>
      <c r="L102" s="7">
        <f t="shared" si="16"/>
        <v>0</v>
      </c>
      <c r="M102" s="243">
        <f t="shared" si="17"/>
        <v>520.60680000000002</v>
      </c>
      <c r="N102" s="243">
        <f>INDEX($AN$4:$AN20998,MATCH($A102,$AH$4:$AH$2000,0))</f>
        <v>520.60680000000002</v>
      </c>
      <c r="O102" s="243">
        <f t="shared" si="22"/>
        <v>520.60680000000002</v>
      </c>
      <c r="P102" s="243">
        <f t="shared" si="18"/>
        <v>520.60680000000002</v>
      </c>
      <c r="Q102" s="243">
        <f t="shared" si="19"/>
        <v>-6.48</v>
      </c>
      <c r="R102" s="243">
        <f t="shared" si="20"/>
        <v>-6.48</v>
      </c>
      <c r="S102" s="243">
        <f t="shared" si="23"/>
        <v>-6.48</v>
      </c>
      <c r="T102" s="243">
        <f t="shared" si="21"/>
        <v>-6.48</v>
      </c>
      <c r="AA102" s="6">
        <v>230</v>
      </c>
      <c r="AB102" t="s">
        <v>80</v>
      </c>
      <c r="AC102" t="s">
        <v>81</v>
      </c>
      <c r="AD102" t="s">
        <v>15</v>
      </c>
      <c r="AE102" t="s">
        <v>143</v>
      </c>
      <c r="AF102">
        <v>12</v>
      </c>
      <c r="AG102">
        <v>0</v>
      </c>
      <c r="AH102">
        <v>181</v>
      </c>
      <c r="AI102" t="s">
        <v>80</v>
      </c>
      <c r="AJ102" t="s">
        <v>81</v>
      </c>
      <c r="AK102" t="s">
        <v>5</v>
      </c>
      <c r="AL102" t="s">
        <v>162</v>
      </c>
      <c r="AM102" s="314">
        <v>520.60680000000002</v>
      </c>
      <c r="AN102" s="314">
        <v>520.60680000000002</v>
      </c>
      <c r="AO102" s="314">
        <v>520.60680000000002</v>
      </c>
      <c r="AP102" s="314">
        <v>520.60680000000002</v>
      </c>
      <c r="AQ102" s="314">
        <v>4.2450000000000002E-2</v>
      </c>
      <c r="AR102" s="314">
        <v>4.2450000000000002E-2</v>
      </c>
      <c r="AS102" s="314">
        <v>4.2450000000000002E-2</v>
      </c>
      <c r="AT102" s="314">
        <v>4.2450000000000002E-2</v>
      </c>
      <c r="AU102" s="314">
        <v>-6.48</v>
      </c>
      <c r="AV102" s="314">
        <v>-6.48</v>
      </c>
      <c r="AW102" s="314">
        <v>-6.48</v>
      </c>
      <c r="AX102">
        <v>-6.48</v>
      </c>
    </row>
    <row r="103" spans="1:50" x14ac:dyDescent="0.35">
      <c r="A103">
        <v>186</v>
      </c>
      <c r="B103" t="s">
        <v>80</v>
      </c>
      <c r="C103" t="s">
        <v>81</v>
      </c>
      <c r="D103" t="s">
        <v>5</v>
      </c>
      <c r="E103" t="s">
        <v>241</v>
      </c>
      <c r="F103">
        <v>10100</v>
      </c>
      <c r="G103">
        <v>6500</v>
      </c>
      <c r="H103">
        <v>25400</v>
      </c>
      <c r="I103">
        <v>34200</v>
      </c>
      <c r="J103" s="600">
        <v>76200</v>
      </c>
      <c r="K103" s="7">
        <f t="shared" si="15"/>
        <v>15</v>
      </c>
      <c r="L103" s="7">
        <f t="shared" si="16"/>
        <v>0</v>
      </c>
      <c r="M103" s="243">
        <f t="shared" si="17"/>
        <v>0</v>
      </c>
      <c r="N103" s="243">
        <f>INDEX($AN$4:$AN20999,MATCH($A103,$AH$4:$AH$2000,0))</f>
        <v>0</v>
      </c>
      <c r="O103" s="243">
        <f t="shared" si="22"/>
        <v>0</v>
      </c>
      <c r="P103" s="243">
        <f t="shared" si="18"/>
        <v>0</v>
      </c>
      <c r="Q103" s="243">
        <f t="shared" si="19"/>
        <v>258.82512500000001</v>
      </c>
      <c r="R103" s="243">
        <f t="shared" si="20"/>
        <v>166.57062500000001</v>
      </c>
      <c r="S103" s="243">
        <f t="shared" si="23"/>
        <v>650.9067500000001</v>
      </c>
      <c r="T103" s="243">
        <f t="shared" si="21"/>
        <v>876.41775000000007</v>
      </c>
      <c r="AA103" s="6">
        <v>177</v>
      </c>
      <c r="AB103" t="s">
        <v>80</v>
      </c>
      <c r="AC103" t="s">
        <v>81</v>
      </c>
      <c r="AD103" t="s">
        <v>5</v>
      </c>
      <c r="AE103" t="s">
        <v>144</v>
      </c>
      <c r="AF103">
        <v>6</v>
      </c>
      <c r="AG103">
        <v>0</v>
      </c>
      <c r="AH103">
        <v>186</v>
      </c>
      <c r="AI103" t="s">
        <v>80</v>
      </c>
      <c r="AJ103" t="s">
        <v>81</v>
      </c>
      <c r="AK103" t="s">
        <v>5</v>
      </c>
      <c r="AL103" t="s">
        <v>241</v>
      </c>
      <c r="AM103" s="314">
        <v>0</v>
      </c>
      <c r="AN103" s="314">
        <v>0</v>
      </c>
      <c r="AO103" s="314">
        <v>0</v>
      </c>
      <c r="AP103" s="314">
        <v>0</v>
      </c>
      <c r="AQ103" s="314">
        <v>0</v>
      </c>
      <c r="AR103" s="314">
        <v>0</v>
      </c>
      <c r="AS103" s="314">
        <v>0</v>
      </c>
      <c r="AT103" s="314">
        <v>0</v>
      </c>
      <c r="AU103" s="314">
        <v>258.82512500000001</v>
      </c>
      <c r="AV103" s="314">
        <v>166.57062500000001</v>
      </c>
      <c r="AW103" s="314">
        <v>650.9067500000001</v>
      </c>
      <c r="AX103">
        <v>876.41775000000007</v>
      </c>
    </row>
    <row r="104" spans="1:50" x14ac:dyDescent="0.35">
      <c r="A104">
        <v>79</v>
      </c>
      <c r="B104" t="s">
        <v>80</v>
      </c>
      <c r="C104" t="s">
        <v>81</v>
      </c>
      <c r="D104" t="s">
        <v>100</v>
      </c>
      <c r="E104" t="s">
        <v>163</v>
      </c>
      <c r="F104">
        <v>132</v>
      </c>
      <c r="G104">
        <v>139</v>
      </c>
      <c r="H104">
        <v>145</v>
      </c>
      <c r="I104">
        <v>146</v>
      </c>
      <c r="J104" s="600">
        <v>562</v>
      </c>
      <c r="K104" s="7">
        <f t="shared" si="15"/>
        <v>6.6</v>
      </c>
      <c r="L104" s="7">
        <f t="shared" si="16"/>
        <v>0</v>
      </c>
      <c r="M104" s="243">
        <f t="shared" si="17"/>
        <v>19504.44672</v>
      </c>
      <c r="N104" s="243">
        <f>INDEX($AN$4:$AN21000,MATCH($A104,$AH$4:$AH$2000,0))</f>
        <v>20538.773440000001</v>
      </c>
      <c r="O104" s="243">
        <f t="shared" ref="O104:O123" si="24">INDEX($AO$4:$AO$2000,MATCH($A104,$AH$4:$AH$2000,0))</f>
        <v>21425.339200000002</v>
      </c>
      <c r="P104" s="243">
        <f t="shared" si="18"/>
        <v>21573.100160000002</v>
      </c>
      <c r="Q104" s="243">
        <f t="shared" si="19"/>
        <v>0</v>
      </c>
      <c r="R104" s="243">
        <f t="shared" si="20"/>
        <v>0</v>
      </c>
      <c r="S104" s="243">
        <f t="shared" ref="S104:S123" si="25">INDEX($AW$4:$AW$2000,MATCH($A104,$AH$4:$AH$2000,0))</f>
        <v>0</v>
      </c>
      <c r="T104" s="243">
        <f t="shared" si="21"/>
        <v>0</v>
      </c>
      <c r="AA104" s="6">
        <v>101</v>
      </c>
      <c r="AB104" t="s">
        <v>80</v>
      </c>
      <c r="AC104" t="s">
        <v>81</v>
      </c>
      <c r="AD104" t="s">
        <v>100</v>
      </c>
      <c r="AE104" t="s">
        <v>145</v>
      </c>
      <c r="AF104" s="1">
        <v>13</v>
      </c>
      <c r="AG104">
        <v>0</v>
      </c>
      <c r="AH104">
        <v>79</v>
      </c>
      <c r="AI104" t="s">
        <v>80</v>
      </c>
      <c r="AJ104" t="s">
        <v>81</v>
      </c>
      <c r="AK104" t="s">
        <v>100</v>
      </c>
      <c r="AL104" t="s">
        <v>163</v>
      </c>
      <c r="AM104" s="314">
        <v>19504.44672</v>
      </c>
      <c r="AN104" s="314">
        <v>20538.773440000001</v>
      </c>
      <c r="AO104" s="314">
        <v>21425.339200000002</v>
      </c>
      <c r="AP104" s="314">
        <v>21573.100160000002</v>
      </c>
      <c r="AQ104" s="314">
        <v>4.4114400000000007</v>
      </c>
      <c r="AR104" s="314">
        <v>4.6453800000000012</v>
      </c>
      <c r="AS104" s="314">
        <v>4.8459000000000003</v>
      </c>
      <c r="AT104" s="314">
        <v>4.8793200000000008</v>
      </c>
      <c r="AU104" s="314">
        <v>0</v>
      </c>
      <c r="AV104" s="314">
        <v>0</v>
      </c>
      <c r="AW104" s="314">
        <v>0</v>
      </c>
      <c r="AX104">
        <v>0</v>
      </c>
    </row>
    <row r="105" spans="1:50" x14ac:dyDescent="0.35">
      <c r="A105">
        <v>232</v>
      </c>
      <c r="B105" t="s">
        <v>80</v>
      </c>
      <c r="C105" t="s">
        <v>81</v>
      </c>
      <c r="D105" t="s">
        <v>15</v>
      </c>
      <c r="E105" t="s">
        <v>164</v>
      </c>
      <c r="F105">
        <v>1</v>
      </c>
      <c r="G105">
        <v>2</v>
      </c>
      <c r="H105">
        <v>2</v>
      </c>
      <c r="I105">
        <v>2</v>
      </c>
      <c r="J105" s="600">
        <v>7</v>
      </c>
      <c r="K105" s="7">
        <f t="shared" si="15"/>
        <v>15</v>
      </c>
      <c r="L105" s="7">
        <f t="shared" si="16"/>
        <v>0</v>
      </c>
      <c r="M105" s="243">
        <f t="shared" si="17"/>
        <v>381.11609999999996</v>
      </c>
      <c r="N105" s="243">
        <f>INDEX($AN$4:$AN21001,MATCH($A105,$AH$4:$AH$2000,0))</f>
        <v>762.23219999999992</v>
      </c>
      <c r="O105" s="243">
        <f t="shared" si="24"/>
        <v>762.23219999999992</v>
      </c>
      <c r="P105" s="243">
        <f t="shared" si="18"/>
        <v>762.23219999999992</v>
      </c>
      <c r="Q105" s="243">
        <f t="shared" si="19"/>
        <v>0</v>
      </c>
      <c r="R105" s="243">
        <f t="shared" si="20"/>
        <v>0</v>
      </c>
      <c r="S105" s="243">
        <f t="shared" si="25"/>
        <v>0</v>
      </c>
      <c r="T105" s="243">
        <f t="shared" si="21"/>
        <v>0</v>
      </c>
      <c r="AA105" s="6">
        <v>44</v>
      </c>
      <c r="AB105" t="s">
        <v>80</v>
      </c>
      <c r="AC105" t="s">
        <v>81</v>
      </c>
      <c r="AD105" t="s">
        <v>146</v>
      </c>
      <c r="AE105" t="s">
        <v>147</v>
      </c>
      <c r="AF105">
        <v>5</v>
      </c>
      <c r="AG105">
        <v>0</v>
      </c>
      <c r="AH105">
        <v>232</v>
      </c>
      <c r="AI105" t="s">
        <v>80</v>
      </c>
      <c r="AJ105" t="s">
        <v>81</v>
      </c>
      <c r="AK105" t="s">
        <v>15</v>
      </c>
      <c r="AL105" t="s">
        <v>164</v>
      </c>
      <c r="AM105" s="314">
        <v>381.11609999999996</v>
      </c>
      <c r="AN105" s="314">
        <v>762.23219999999992</v>
      </c>
      <c r="AO105" s="314">
        <v>762.23219999999992</v>
      </c>
      <c r="AP105" s="314">
        <v>762.23219999999992</v>
      </c>
      <c r="AQ105" s="314">
        <v>0.18338399999999999</v>
      </c>
      <c r="AR105" s="314">
        <v>0.36676799999999998</v>
      </c>
      <c r="AS105" s="314">
        <v>0.36676799999999998</v>
      </c>
      <c r="AT105" s="314">
        <v>0.36676799999999998</v>
      </c>
      <c r="AU105" s="314">
        <v>0</v>
      </c>
      <c r="AV105" s="314">
        <v>0</v>
      </c>
      <c r="AW105" s="314">
        <v>0</v>
      </c>
      <c r="AX105">
        <v>0</v>
      </c>
    </row>
    <row r="106" spans="1:50" x14ac:dyDescent="0.35">
      <c r="A106">
        <v>104</v>
      </c>
      <c r="B106" t="s">
        <v>80</v>
      </c>
      <c r="C106" t="s">
        <v>81</v>
      </c>
      <c r="D106" t="s">
        <v>148</v>
      </c>
      <c r="E106" t="s">
        <v>165</v>
      </c>
      <c r="F106">
        <v>1</v>
      </c>
      <c r="G106">
        <v>2</v>
      </c>
      <c r="H106">
        <v>2</v>
      </c>
      <c r="I106">
        <v>2</v>
      </c>
      <c r="J106" s="600">
        <v>7</v>
      </c>
      <c r="K106" s="7">
        <f t="shared" si="15"/>
        <v>12</v>
      </c>
      <c r="L106" s="7">
        <f t="shared" si="16"/>
        <v>0</v>
      </c>
      <c r="M106" s="243">
        <f t="shared" si="17"/>
        <v>1867.8</v>
      </c>
      <c r="N106" s="243">
        <f>INDEX($AN$4:$AN21002,MATCH($A106,$AH$4:$AH$2000,0))</f>
        <v>3735.6</v>
      </c>
      <c r="O106" s="243">
        <f t="shared" si="24"/>
        <v>3735.6</v>
      </c>
      <c r="P106" s="243">
        <f t="shared" si="18"/>
        <v>3735.6</v>
      </c>
      <c r="Q106" s="243">
        <f t="shared" si="19"/>
        <v>0</v>
      </c>
      <c r="R106" s="243">
        <f t="shared" si="20"/>
        <v>0</v>
      </c>
      <c r="S106" s="243">
        <f t="shared" si="25"/>
        <v>0</v>
      </c>
      <c r="T106" s="243">
        <f t="shared" si="21"/>
        <v>0</v>
      </c>
      <c r="AA106" s="6">
        <v>112</v>
      </c>
      <c r="AB106" t="s">
        <v>80</v>
      </c>
      <c r="AC106" t="s">
        <v>81</v>
      </c>
      <c r="AD106" t="s">
        <v>148</v>
      </c>
      <c r="AE106" t="s">
        <v>149</v>
      </c>
      <c r="AF106">
        <v>10</v>
      </c>
      <c r="AG106">
        <v>0</v>
      </c>
      <c r="AH106">
        <v>104</v>
      </c>
      <c r="AI106" t="s">
        <v>80</v>
      </c>
      <c r="AJ106" t="s">
        <v>81</v>
      </c>
      <c r="AK106" t="s">
        <v>148</v>
      </c>
      <c r="AL106" t="s">
        <v>165</v>
      </c>
      <c r="AM106" s="314">
        <v>1867.8</v>
      </c>
      <c r="AN106" s="314">
        <v>3735.6</v>
      </c>
      <c r="AO106" s="314">
        <v>3735.6</v>
      </c>
      <c r="AP106" s="314">
        <v>3735.6</v>
      </c>
      <c r="AQ106" s="314">
        <v>0.33960000000000001</v>
      </c>
      <c r="AR106" s="314">
        <v>0.67920000000000003</v>
      </c>
      <c r="AS106" s="314">
        <v>0.67920000000000003</v>
      </c>
      <c r="AT106" s="314">
        <v>0.67920000000000003</v>
      </c>
      <c r="AU106" s="314">
        <v>0</v>
      </c>
      <c r="AV106" s="314">
        <v>0</v>
      </c>
      <c r="AW106" s="314">
        <v>0</v>
      </c>
      <c r="AX106">
        <v>0</v>
      </c>
    </row>
    <row r="107" spans="1:50" x14ac:dyDescent="0.35">
      <c r="A107">
        <v>193</v>
      </c>
      <c r="B107" t="s">
        <v>80</v>
      </c>
      <c r="C107" t="s">
        <v>81</v>
      </c>
      <c r="D107" t="s">
        <v>5</v>
      </c>
      <c r="E107" t="s">
        <v>166</v>
      </c>
      <c r="F107">
        <v>1</v>
      </c>
      <c r="G107">
        <v>1</v>
      </c>
      <c r="H107">
        <v>1</v>
      </c>
      <c r="I107">
        <v>1</v>
      </c>
      <c r="J107" s="600">
        <v>4</v>
      </c>
      <c r="K107" s="7">
        <f t="shared" si="15"/>
        <v>8</v>
      </c>
      <c r="L107" s="7">
        <f t="shared" si="16"/>
        <v>0</v>
      </c>
      <c r="M107" s="243">
        <f t="shared" si="17"/>
        <v>260.52907999999996</v>
      </c>
      <c r="N107" s="243">
        <f>INDEX($AN$4:$AN21003,MATCH($A107,$AH$4:$AH$2000,0))</f>
        <v>260.52907999999996</v>
      </c>
      <c r="O107" s="243">
        <f t="shared" si="24"/>
        <v>260.52907999999996</v>
      </c>
      <c r="P107" s="243">
        <f t="shared" si="18"/>
        <v>260.52907999999996</v>
      </c>
      <c r="Q107" s="243">
        <f t="shared" si="19"/>
        <v>0</v>
      </c>
      <c r="R107" s="243">
        <f t="shared" si="20"/>
        <v>0</v>
      </c>
      <c r="S107" s="243">
        <f t="shared" si="25"/>
        <v>0</v>
      </c>
      <c r="T107" s="243">
        <f t="shared" si="21"/>
        <v>0</v>
      </c>
      <c r="AA107" s="6">
        <v>111</v>
      </c>
      <c r="AB107" t="s">
        <v>80</v>
      </c>
      <c r="AC107" t="s">
        <v>81</v>
      </c>
      <c r="AD107" t="s">
        <v>148</v>
      </c>
      <c r="AE107" t="s">
        <v>150</v>
      </c>
      <c r="AF107">
        <v>12</v>
      </c>
      <c r="AG107">
        <v>0</v>
      </c>
      <c r="AH107">
        <v>193</v>
      </c>
      <c r="AI107" t="s">
        <v>80</v>
      </c>
      <c r="AJ107" t="s">
        <v>81</v>
      </c>
      <c r="AK107" t="s">
        <v>5</v>
      </c>
      <c r="AL107" t="s">
        <v>166</v>
      </c>
      <c r="AM107" s="314">
        <v>260.52907999999996</v>
      </c>
      <c r="AN107" s="314">
        <v>260.52907999999996</v>
      </c>
      <c r="AO107" s="314">
        <v>260.52907999999996</v>
      </c>
      <c r="AP107" s="314">
        <v>260.52907999999996</v>
      </c>
      <c r="AQ107" s="314">
        <v>2.2990799999999999E-2</v>
      </c>
      <c r="AR107" s="314">
        <v>2.2990799999999999E-2</v>
      </c>
      <c r="AS107" s="314">
        <v>2.2990799999999999E-2</v>
      </c>
      <c r="AT107" s="314">
        <v>2.2990799999999999E-2</v>
      </c>
      <c r="AU107" s="314">
        <v>0</v>
      </c>
      <c r="AV107" s="314">
        <v>0</v>
      </c>
      <c r="AW107" s="314">
        <v>0</v>
      </c>
      <c r="AX107">
        <v>0</v>
      </c>
    </row>
    <row r="108" spans="1:50" x14ac:dyDescent="0.35">
      <c r="A108">
        <v>80</v>
      </c>
      <c r="B108" t="s">
        <v>80</v>
      </c>
      <c r="C108" t="s">
        <v>81</v>
      </c>
      <c r="D108" t="s">
        <v>100</v>
      </c>
      <c r="E108" t="s">
        <v>167</v>
      </c>
      <c r="F108">
        <v>19</v>
      </c>
      <c r="G108">
        <v>6</v>
      </c>
      <c r="H108">
        <v>1</v>
      </c>
      <c r="I108">
        <v>1</v>
      </c>
      <c r="J108" s="600">
        <v>27</v>
      </c>
      <c r="K108" s="7">
        <f t="shared" si="15"/>
        <v>8</v>
      </c>
      <c r="L108" s="7">
        <f t="shared" si="16"/>
        <v>0</v>
      </c>
      <c r="M108" s="243">
        <f t="shared" si="17"/>
        <v>50015.258000000002</v>
      </c>
      <c r="N108" s="243">
        <f>INDEX($AN$4:$AN21004,MATCH($A108,$AH$4:$AH$2000,0))</f>
        <v>15794.292000000001</v>
      </c>
      <c r="O108" s="243">
        <f t="shared" si="24"/>
        <v>2632.3820000000001</v>
      </c>
      <c r="P108" s="243">
        <f t="shared" si="18"/>
        <v>2632.3820000000001</v>
      </c>
      <c r="Q108" s="243">
        <f t="shared" si="19"/>
        <v>690.80959999999993</v>
      </c>
      <c r="R108" s="243">
        <f t="shared" si="20"/>
        <v>218.15039999999999</v>
      </c>
      <c r="S108" s="243">
        <f t="shared" si="25"/>
        <v>36.358399999999996</v>
      </c>
      <c r="T108" s="243">
        <f t="shared" si="21"/>
        <v>36.358399999999996</v>
      </c>
      <c r="AA108" s="6">
        <v>109</v>
      </c>
      <c r="AB108" t="s">
        <v>80</v>
      </c>
      <c r="AC108" t="s">
        <v>81</v>
      </c>
      <c r="AD108" t="s">
        <v>148</v>
      </c>
      <c r="AE108" t="s">
        <v>151</v>
      </c>
      <c r="AF108">
        <v>12</v>
      </c>
      <c r="AG108">
        <v>0</v>
      </c>
      <c r="AH108">
        <v>80</v>
      </c>
      <c r="AI108" t="s">
        <v>80</v>
      </c>
      <c r="AJ108" t="s">
        <v>81</v>
      </c>
      <c r="AK108" t="s">
        <v>100</v>
      </c>
      <c r="AL108" t="s">
        <v>167</v>
      </c>
      <c r="AM108" s="314">
        <v>50015.258000000002</v>
      </c>
      <c r="AN108" s="314">
        <v>15794.292000000001</v>
      </c>
      <c r="AO108" s="314">
        <v>2632.3820000000001</v>
      </c>
      <c r="AP108" s="314">
        <v>2632.3820000000001</v>
      </c>
      <c r="AQ108" s="314">
        <v>0</v>
      </c>
      <c r="AR108" s="314">
        <v>0</v>
      </c>
      <c r="AS108" s="314">
        <v>0</v>
      </c>
      <c r="AT108" s="314">
        <v>0</v>
      </c>
      <c r="AU108" s="314">
        <v>690.80959999999993</v>
      </c>
      <c r="AV108" s="314">
        <v>218.15039999999999</v>
      </c>
      <c r="AW108" s="314">
        <v>36.358399999999996</v>
      </c>
      <c r="AX108">
        <v>36.358399999999996</v>
      </c>
    </row>
    <row r="109" spans="1:50" x14ac:dyDescent="0.35">
      <c r="A109">
        <v>241</v>
      </c>
      <c r="B109" t="s">
        <v>80</v>
      </c>
      <c r="C109" t="s">
        <v>81</v>
      </c>
      <c r="D109" t="s">
        <v>15</v>
      </c>
      <c r="E109" t="s">
        <v>242</v>
      </c>
      <c r="F109">
        <v>0</v>
      </c>
      <c r="G109">
        <v>0</v>
      </c>
      <c r="H109">
        <v>1</v>
      </c>
      <c r="I109">
        <v>0</v>
      </c>
      <c r="J109" s="600">
        <v>1</v>
      </c>
      <c r="K109" s="7">
        <f t="shared" si="15"/>
        <v>15</v>
      </c>
      <c r="L109" s="7">
        <f t="shared" si="16"/>
        <v>0</v>
      </c>
      <c r="M109" s="243">
        <f t="shared" si="17"/>
        <v>0</v>
      </c>
      <c r="N109" s="243">
        <f>INDEX($AN$4:$AN21005,MATCH($A109,$AH$4:$AH$2000,0))</f>
        <v>0</v>
      </c>
      <c r="O109" s="243">
        <f t="shared" si="24"/>
        <v>0</v>
      </c>
      <c r="P109" s="243">
        <f t="shared" si="18"/>
        <v>0</v>
      </c>
      <c r="Q109" s="243">
        <f t="shared" si="19"/>
        <v>0</v>
      </c>
      <c r="R109" s="243">
        <f t="shared" si="20"/>
        <v>0</v>
      </c>
      <c r="S109" s="243">
        <f t="shared" si="25"/>
        <v>4.9399999999999995</v>
      </c>
      <c r="T109" s="243">
        <f t="shared" si="21"/>
        <v>0</v>
      </c>
      <c r="AA109" s="6">
        <v>110</v>
      </c>
      <c r="AB109" t="s">
        <v>80</v>
      </c>
      <c r="AC109" t="s">
        <v>81</v>
      </c>
      <c r="AD109" t="s">
        <v>148</v>
      </c>
      <c r="AE109" t="s">
        <v>152</v>
      </c>
      <c r="AF109">
        <v>12</v>
      </c>
      <c r="AG109">
        <v>0</v>
      </c>
      <c r="AH109">
        <v>241</v>
      </c>
      <c r="AI109" t="s">
        <v>80</v>
      </c>
      <c r="AJ109" t="s">
        <v>81</v>
      </c>
      <c r="AK109" t="s">
        <v>15</v>
      </c>
      <c r="AL109" t="s">
        <v>242</v>
      </c>
      <c r="AM109" s="314">
        <v>0</v>
      </c>
      <c r="AN109" s="314">
        <v>0</v>
      </c>
      <c r="AO109" s="314">
        <v>0</v>
      </c>
      <c r="AP109" s="314">
        <v>0</v>
      </c>
      <c r="AQ109" s="314">
        <v>0</v>
      </c>
      <c r="AR109" s="314">
        <v>0</v>
      </c>
      <c r="AS109" s="314">
        <v>0</v>
      </c>
      <c r="AT109" s="314">
        <v>0</v>
      </c>
      <c r="AU109" s="314">
        <v>0</v>
      </c>
      <c r="AV109" s="314">
        <v>0</v>
      </c>
      <c r="AW109" s="314">
        <v>4.9399999999999995</v>
      </c>
      <c r="AX109">
        <v>0</v>
      </c>
    </row>
    <row r="110" spans="1:50" x14ac:dyDescent="0.35">
      <c r="A110">
        <v>231</v>
      </c>
      <c r="B110" t="s">
        <v>80</v>
      </c>
      <c r="C110" t="s">
        <v>81</v>
      </c>
      <c r="D110" t="s">
        <v>15</v>
      </c>
      <c r="E110" t="s">
        <v>243</v>
      </c>
      <c r="F110">
        <v>1</v>
      </c>
      <c r="G110">
        <v>0</v>
      </c>
      <c r="H110">
        <v>1</v>
      </c>
      <c r="I110">
        <v>0</v>
      </c>
      <c r="J110" s="600">
        <v>2</v>
      </c>
      <c r="K110" s="7">
        <f t="shared" si="15"/>
        <v>15</v>
      </c>
      <c r="L110" s="7">
        <f t="shared" si="16"/>
        <v>0</v>
      </c>
      <c r="M110" s="243">
        <f t="shared" si="17"/>
        <v>362.60700000000003</v>
      </c>
      <c r="N110" s="243">
        <f>INDEX($AN$4:$AN21006,MATCH($A110,$AH$4:$AH$2000,0))</f>
        <v>0</v>
      </c>
      <c r="O110" s="243">
        <f t="shared" si="24"/>
        <v>362.60700000000003</v>
      </c>
      <c r="P110" s="243">
        <f t="shared" si="18"/>
        <v>0</v>
      </c>
      <c r="Q110" s="243">
        <f t="shared" si="19"/>
        <v>276.14600000000002</v>
      </c>
      <c r="R110" s="243">
        <f t="shared" si="20"/>
        <v>0</v>
      </c>
      <c r="S110" s="243">
        <f t="shared" si="25"/>
        <v>276.14600000000002</v>
      </c>
      <c r="T110" s="243">
        <f t="shared" si="21"/>
        <v>0</v>
      </c>
      <c r="AA110" s="6">
        <v>113</v>
      </c>
      <c r="AB110" t="s">
        <v>80</v>
      </c>
      <c r="AC110" t="s">
        <v>81</v>
      </c>
      <c r="AD110" t="s">
        <v>148</v>
      </c>
      <c r="AE110" t="s">
        <v>153</v>
      </c>
      <c r="AF110">
        <v>12</v>
      </c>
      <c r="AG110">
        <v>0</v>
      </c>
      <c r="AH110">
        <v>231</v>
      </c>
      <c r="AI110" t="s">
        <v>80</v>
      </c>
      <c r="AJ110" t="s">
        <v>81</v>
      </c>
      <c r="AK110" t="s">
        <v>15</v>
      </c>
      <c r="AL110" t="s">
        <v>243</v>
      </c>
      <c r="AM110" s="314">
        <v>362.60700000000003</v>
      </c>
      <c r="AN110" s="314">
        <v>0</v>
      </c>
      <c r="AO110" s="314">
        <v>362.60700000000003</v>
      </c>
      <c r="AP110" s="314">
        <v>0</v>
      </c>
      <c r="AQ110" s="314">
        <v>0</v>
      </c>
      <c r="AR110" s="314">
        <v>0</v>
      </c>
      <c r="AS110" s="314">
        <v>0</v>
      </c>
      <c r="AT110" s="314">
        <v>0</v>
      </c>
      <c r="AU110" s="314">
        <v>276.14600000000002</v>
      </c>
      <c r="AV110" s="314">
        <v>0</v>
      </c>
      <c r="AW110" s="314">
        <v>276.14600000000002</v>
      </c>
      <c r="AX110">
        <v>0</v>
      </c>
    </row>
    <row r="111" spans="1:50" x14ac:dyDescent="0.35">
      <c r="A111">
        <v>53</v>
      </c>
      <c r="B111" t="s">
        <v>80</v>
      </c>
      <c r="C111" t="s">
        <v>81</v>
      </c>
      <c r="D111" t="s">
        <v>100</v>
      </c>
      <c r="E111" t="s">
        <v>168</v>
      </c>
      <c r="F111">
        <v>30</v>
      </c>
      <c r="G111">
        <v>19</v>
      </c>
      <c r="H111">
        <v>30</v>
      </c>
      <c r="I111">
        <v>30</v>
      </c>
      <c r="J111" s="600">
        <v>109</v>
      </c>
      <c r="K111" s="7">
        <f t="shared" si="15"/>
        <v>10</v>
      </c>
      <c r="L111" s="7">
        <f t="shared" si="16"/>
        <v>0</v>
      </c>
      <c r="M111" s="243">
        <f t="shared" si="17"/>
        <v>74660.280000000013</v>
      </c>
      <c r="N111" s="243">
        <f>INDEX($AN$4:$AN21007,MATCH($A111,$AH$4:$AH$2000,0))</f>
        <v>47284.844000000005</v>
      </c>
      <c r="O111" s="243">
        <f t="shared" si="24"/>
        <v>74660.280000000013</v>
      </c>
      <c r="P111" s="243">
        <f t="shared" si="18"/>
        <v>74660.280000000013</v>
      </c>
      <c r="Q111" s="243">
        <f t="shared" si="19"/>
        <v>9232.86</v>
      </c>
      <c r="R111" s="243">
        <f t="shared" si="20"/>
        <v>5847.4780000000001</v>
      </c>
      <c r="S111" s="243">
        <f t="shared" si="25"/>
        <v>9232.86</v>
      </c>
      <c r="T111" s="243">
        <f t="shared" si="21"/>
        <v>9232.86</v>
      </c>
      <c r="AA111" s="6">
        <v>114</v>
      </c>
      <c r="AB111" t="s">
        <v>80</v>
      </c>
      <c r="AC111" t="s">
        <v>81</v>
      </c>
      <c r="AD111" t="s">
        <v>148</v>
      </c>
      <c r="AE111" t="s">
        <v>154</v>
      </c>
      <c r="AF111">
        <v>12</v>
      </c>
      <c r="AG111">
        <v>0</v>
      </c>
      <c r="AH111">
        <v>53</v>
      </c>
      <c r="AI111" t="s">
        <v>80</v>
      </c>
      <c r="AJ111" t="s">
        <v>81</v>
      </c>
      <c r="AK111" t="s">
        <v>100</v>
      </c>
      <c r="AL111" t="s">
        <v>168</v>
      </c>
      <c r="AM111" s="314">
        <v>74660.280000000013</v>
      </c>
      <c r="AN111" s="314">
        <v>47284.844000000005</v>
      </c>
      <c r="AO111" s="314">
        <v>74660.280000000013</v>
      </c>
      <c r="AP111" s="314">
        <v>74660.280000000013</v>
      </c>
      <c r="AQ111" s="314">
        <v>0</v>
      </c>
      <c r="AR111" s="314">
        <v>0</v>
      </c>
      <c r="AS111" s="314">
        <v>0</v>
      </c>
      <c r="AT111" s="314">
        <v>0</v>
      </c>
      <c r="AU111" s="314">
        <v>9232.86</v>
      </c>
      <c r="AV111" s="314">
        <v>5847.4780000000001</v>
      </c>
      <c r="AW111" s="314">
        <v>9232.86</v>
      </c>
      <c r="AX111">
        <v>9232.86</v>
      </c>
    </row>
    <row r="112" spans="1:50" x14ac:dyDescent="0.35">
      <c r="A112">
        <v>184</v>
      </c>
      <c r="B112" t="s">
        <v>80</v>
      </c>
      <c r="C112" t="s">
        <v>81</v>
      </c>
      <c r="D112" t="s">
        <v>5</v>
      </c>
      <c r="E112" t="s">
        <v>169</v>
      </c>
      <c r="F112">
        <v>23</v>
      </c>
      <c r="G112">
        <v>23</v>
      </c>
      <c r="H112">
        <v>23</v>
      </c>
      <c r="I112">
        <v>23</v>
      </c>
      <c r="J112" s="600">
        <v>92</v>
      </c>
      <c r="K112" s="7">
        <f t="shared" si="15"/>
        <v>4</v>
      </c>
      <c r="L112" s="7">
        <f t="shared" si="16"/>
        <v>0</v>
      </c>
      <c r="M112" s="243">
        <f t="shared" si="17"/>
        <v>2421.348</v>
      </c>
      <c r="N112" s="243">
        <f>INDEX($AN$4:$AN21008,MATCH($A112,$AH$4:$AH$2000,0))</f>
        <v>2421.348</v>
      </c>
      <c r="O112" s="243">
        <f t="shared" si="24"/>
        <v>2421.348</v>
      </c>
      <c r="P112" s="243">
        <f t="shared" si="18"/>
        <v>2421.348</v>
      </c>
      <c r="Q112" s="243">
        <f t="shared" si="19"/>
        <v>0</v>
      </c>
      <c r="R112" s="243">
        <f t="shared" si="20"/>
        <v>0</v>
      </c>
      <c r="S112" s="243">
        <f t="shared" si="25"/>
        <v>0</v>
      </c>
      <c r="T112" s="243">
        <f t="shared" si="21"/>
        <v>0</v>
      </c>
      <c r="AA112" s="6">
        <v>191</v>
      </c>
      <c r="AB112" t="s">
        <v>80</v>
      </c>
      <c r="AC112" t="s">
        <v>81</v>
      </c>
      <c r="AD112" t="s">
        <v>5</v>
      </c>
      <c r="AE112" t="s">
        <v>155</v>
      </c>
      <c r="AF112">
        <v>10</v>
      </c>
      <c r="AG112">
        <v>0</v>
      </c>
      <c r="AH112">
        <v>184</v>
      </c>
      <c r="AI112" t="s">
        <v>80</v>
      </c>
      <c r="AJ112" t="s">
        <v>81</v>
      </c>
      <c r="AK112" t="s">
        <v>5</v>
      </c>
      <c r="AL112" t="s">
        <v>169</v>
      </c>
      <c r="AM112" s="314">
        <v>2421.348</v>
      </c>
      <c r="AN112" s="314">
        <v>2421.348</v>
      </c>
      <c r="AO112" s="314">
        <v>2421.348</v>
      </c>
      <c r="AP112" s="314">
        <v>2421.348</v>
      </c>
      <c r="AQ112" s="314">
        <v>0</v>
      </c>
      <c r="AR112" s="314">
        <v>0</v>
      </c>
      <c r="AS112" s="314">
        <v>0</v>
      </c>
      <c r="AT112" s="314">
        <v>0</v>
      </c>
      <c r="AU112" s="314">
        <v>0</v>
      </c>
      <c r="AV112" s="314">
        <v>0</v>
      </c>
      <c r="AW112" s="314">
        <v>0</v>
      </c>
      <c r="AX112">
        <v>0</v>
      </c>
    </row>
    <row r="113" spans="1:50" x14ac:dyDescent="0.35">
      <c r="A113">
        <v>178</v>
      </c>
      <c r="B113" t="s">
        <v>80</v>
      </c>
      <c r="C113" t="s">
        <v>81</v>
      </c>
      <c r="D113" t="s">
        <v>5</v>
      </c>
      <c r="E113" t="s">
        <v>170</v>
      </c>
      <c r="F113">
        <v>1</v>
      </c>
      <c r="G113">
        <v>1</v>
      </c>
      <c r="H113">
        <v>1</v>
      </c>
      <c r="I113">
        <v>1</v>
      </c>
      <c r="J113" s="600">
        <v>4</v>
      </c>
      <c r="K113" s="7">
        <f t="shared" si="15"/>
        <v>5</v>
      </c>
      <c r="L113" s="7">
        <f t="shared" si="16"/>
        <v>0</v>
      </c>
      <c r="M113" s="243">
        <f t="shared" si="17"/>
        <v>169.79999999999998</v>
      </c>
      <c r="N113" s="243">
        <f>INDEX($AN$4:$AN21009,MATCH($A113,$AH$4:$AH$2000,0))</f>
        <v>169.79999999999998</v>
      </c>
      <c r="O113" s="243">
        <f t="shared" si="24"/>
        <v>169.79999999999998</v>
      </c>
      <c r="P113" s="243">
        <f t="shared" si="18"/>
        <v>169.79999999999998</v>
      </c>
      <c r="Q113" s="243">
        <f t="shared" si="19"/>
        <v>0</v>
      </c>
      <c r="R113" s="243">
        <f t="shared" si="20"/>
        <v>0</v>
      </c>
      <c r="S113" s="243">
        <f t="shared" si="25"/>
        <v>0</v>
      </c>
      <c r="T113" s="243">
        <f t="shared" si="21"/>
        <v>0</v>
      </c>
      <c r="AA113" s="6">
        <v>224</v>
      </c>
      <c r="AB113" t="s">
        <v>80</v>
      </c>
      <c r="AC113" t="s">
        <v>81</v>
      </c>
      <c r="AD113" t="s">
        <v>105</v>
      </c>
      <c r="AE113" t="s">
        <v>156</v>
      </c>
      <c r="AF113">
        <v>15</v>
      </c>
      <c r="AG113">
        <v>0</v>
      </c>
      <c r="AH113">
        <v>178</v>
      </c>
      <c r="AI113" t="s">
        <v>80</v>
      </c>
      <c r="AJ113" t="s">
        <v>81</v>
      </c>
      <c r="AK113" t="s">
        <v>5</v>
      </c>
      <c r="AL113" t="s">
        <v>170</v>
      </c>
      <c r="AM113" s="314">
        <v>169.79999999999998</v>
      </c>
      <c r="AN113" s="314">
        <v>169.79999999999998</v>
      </c>
      <c r="AO113" s="314">
        <v>169.79999999999998</v>
      </c>
      <c r="AP113" s="314">
        <v>169.79999999999998</v>
      </c>
      <c r="AQ113" s="314">
        <v>0</v>
      </c>
      <c r="AR113" s="314">
        <v>0</v>
      </c>
      <c r="AS113" s="314">
        <v>0</v>
      </c>
      <c r="AT113" s="314">
        <v>0</v>
      </c>
      <c r="AU113" s="314">
        <v>0</v>
      </c>
      <c r="AV113" s="314">
        <v>0</v>
      </c>
      <c r="AW113" s="314">
        <v>0</v>
      </c>
      <c r="AX113">
        <v>0</v>
      </c>
    </row>
    <row r="114" spans="1:50" x14ac:dyDescent="0.35">
      <c r="A114">
        <v>166</v>
      </c>
      <c r="B114" t="s">
        <v>80</v>
      </c>
      <c r="C114" t="s">
        <v>81</v>
      </c>
      <c r="D114" t="s">
        <v>4</v>
      </c>
      <c r="E114" t="s">
        <v>171</v>
      </c>
      <c r="F114">
        <v>526</v>
      </c>
      <c r="G114">
        <v>310</v>
      </c>
      <c r="H114">
        <v>312</v>
      </c>
      <c r="I114">
        <v>180</v>
      </c>
      <c r="J114" s="600">
        <v>1328</v>
      </c>
      <c r="K114" s="7">
        <f t="shared" si="15"/>
        <v>6.4</v>
      </c>
      <c r="L114" s="7">
        <f t="shared" si="16"/>
        <v>0</v>
      </c>
      <c r="M114" s="243">
        <f t="shared" si="17"/>
        <v>7561.7894652348896</v>
      </c>
      <c r="N114" s="243">
        <f>INDEX($AN$4:$AN21010,MATCH($A114,$AH$4:$AH$2000,0))</f>
        <v>4456.5679357848212</v>
      </c>
      <c r="O114" s="243">
        <f t="shared" si="24"/>
        <v>4485.3199869834325</v>
      </c>
      <c r="P114" s="243">
        <f t="shared" si="18"/>
        <v>2587.6846078750573</v>
      </c>
      <c r="Q114" s="243">
        <f t="shared" si="19"/>
        <v>-129.18789683836874</v>
      </c>
      <c r="R114" s="243">
        <f t="shared" si="20"/>
        <v>-76.13735364998918</v>
      </c>
      <c r="S114" s="243">
        <f t="shared" si="25"/>
        <v>-76.628562383214913</v>
      </c>
      <c r="T114" s="243">
        <f t="shared" si="21"/>
        <v>-44.208785990316301</v>
      </c>
      <c r="AA114" s="6">
        <v>77</v>
      </c>
      <c r="AB114" t="s">
        <v>80</v>
      </c>
      <c r="AC114" t="s">
        <v>81</v>
      </c>
      <c r="AD114" t="s">
        <v>100</v>
      </c>
      <c r="AE114" t="s">
        <v>157</v>
      </c>
      <c r="AF114">
        <v>10</v>
      </c>
      <c r="AG114">
        <v>0</v>
      </c>
      <c r="AH114">
        <v>166</v>
      </c>
      <c r="AI114" t="s">
        <v>80</v>
      </c>
      <c r="AJ114" t="s">
        <v>81</v>
      </c>
      <c r="AK114" t="s">
        <v>4</v>
      </c>
      <c r="AL114" t="s">
        <v>171</v>
      </c>
      <c r="AM114" s="314">
        <v>7561.7894652348896</v>
      </c>
      <c r="AN114" s="314">
        <v>4456.5679357848212</v>
      </c>
      <c r="AO114" s="314">
        <v>4485.3199869834325</v>
      </c>
      <c r="AP114" s="314">
        <v>2587.6846078750573</v>
      </c>
      <c r="AQ114" s="314">
        <v>1.500346276452063</v>
      </c>
      <c r="AR114" s="314">
        <v>0.88423449752878236</v>
      </c>
      <c r="AS114" s="314">
        <v>0.88993923622251647</v>
      </c>
      <c r="AT114" s="314">
        <v>0.51342648243606714</v>
      </c>
      <c r="AU114" s="314">
        <v>-129.18789683836874</v>
      </c>
      <c r="AV114" s="314">
        <v>-76.13735364998918</v>
      </c>
      <c r="AW114" s="314">
        <v>-76.628562383214913</v>
      </c>
      <c r="AX114">
        <v>-44.208785990316301</v>
      </c>
    </row>
    <row r="115" spans="1:50" x14ac:dyDescent="0.35">
      <c r="A115">
        <v>165</v>
      </c>
      <c r="B115" t="s">
        <v>80</v>
      </c>
      <c r="C115" t="s">
        <v>81</v>
      </c>
      <c r="D115" t="s">
        <v>4</v>
      </c>
      <c r="E115" t="s">
        <v>172</v>
      </c>
      <c r="F115">
        <v>526</v>
      </c>
      <c r="G115">
        <v>310</v>
      </c>
      <c r="H115">
        <v>312</v>
      </c>
      <c r="I115">
        <v>180</v>
      </c>
      <c r="J115" s="600">
        <v>1328</v>
      </c>
      <c r="K115" s="7">
        <f t="shared" si="15"/>
        <v>6.4</v>
      </c>
      <c r="L115" s="7">
        <f t="shared" si="16"/>
        <v>0</v>
      </c>
      <c r="M115" s="243">
        <f t="shared" si="17"/>
        <v>8999.3362500904077</v>
      </c>
      <c r="N115" s="243">
        <f>INDEX($AN$4:$AN21011,MATCH($A115,$AH$4:$AH$2000,0))</f>
        <v>5303.7913260989098</v>
      </c>
      <c r="O115" s="243">
        <f t="shared" si="24"/>
        <v>5338.0093346543863</v>
      </c>
      <c r="P115" s="243">
        <f t="shared" si="18"/>
        <v>3079.620769992915</v>
      </c>
      <c r="Q115" s="243">
        <f t="shared" si="19"/>
        <v>-157.80685868754841</v>
      </c>
      <c r="R115" s="243">
        <f t="shared" si="20"/>
        <v>-93.004042192281389</v>
      </c>
      <c r="S115" s="243">
        <f t="shared" si="25"/>
        <v>-93.604068270941269</v>
      </c>
      <c r="T115" s="243">
        <f t="shared" si="21"/>
        <v>-54.002347079389189</v>
      </c>
      <c r="AA115" s="6">
        <v>75</v>
      </c>
      <c r="AB115" t="s">
        <v>80</v>
      </c>
      <c r="AC115" t="s">
        <v>81</v>
      </c>
      <c r="AD115" t="s">
        <v>100</v>
      </c>
      <c r="AE115" t="s">
        <v>158</v>
      </c>
      <c r="AF115">
        <v>15</v>
      </c>
      <c r="AG115">
        <v>0</v>
      </c>
      <c r="AH115">
        <v>165</v>
      </c>
      <c r="AI115" t="s">
        <v>80</v>
      </c>
      <c r="AJ115" t="s">
        <v>81</v>
      </c>
      <c r="AK115" t="s">
        <v>4</v>
      </c>
      <c r="AL115" t="s">
        <v>172</v>
      </c>
      <c r="AM115" s="314">
        <v>8999.3362500904077</v>
      </c>
      <c r="AN115" s="314">
        <v>5303.7913260989098</v>
      </c>
      <c r="AO115" s="314">
        <v>5338.0093346543863</v>
      </c>
      <c r="AP115" s="314">
        <v>3079.620769992915</v>
      </c>
      <c r="AQ115" s="314">
        <v>1.7855721447203501</v>
      </c>
      <c r="AR115" s="314">
        <v>1.052333393276252</v>
      </c>
      <c r="AS115" s="314">
        <v>1.0591226409748085</v>
      </c>
      <c r="AT115" s="314">
        <v>0.61103229287008176</v>
      </c>
      <c r="AU115" s="314">
        <v>-157.80685868754841</v>
      </c>
      <c r="AV115" s="314">
        <v>-93.004042192281389</v>
      </c>
      <c r="AW115" s="314">
        <v>-93.604068270941269</v>
      </c>
      <c r="AX115">
        <v>-54.002347079389189</v>
      </c>
    </row>
    <row r="116" spans="1:50" x14ac:dyDescent="0.35">
      <c r="A116">
        <v>240</v>
      </c>
      <c r="B116" t="s">
        <v>80</v>
      </c>
      <c r="C116" t="s">
        <v>81</v>
      </c>
      <c r="D116" t="s">
        <v>15</v>
      </c>
      <c r="E116" t="s">
        <v>1016</v>
      </c>
      <c r="F116">
        <v>22</v>
      </c>
      <c r="G116">
        <v>23</v>
      </c>
      <c r="H116">
        <v>24</v>
      </c>
      <c r="I116">
        <v>25</v>
      </c>
      <c r="J116" s="600">
        <v>94</v>
      </c>
      <c r="K116" s="7">
        <f t="shared" si="15"/>
        <v>10</v>
      </c>
      <c r="L116" s="7">
        <f t="shared" si="16"/>
        <v>0</v>
      </c>
      <c r="M116" s="243">
        <f t="shared" si="17"/>
        <v>362.14760647296004</v>
      </c>
      <c r="N116" s="243">
        <f>INDEX($AN$4:$AN21012,MATCH($A116,$AH$4:$AH$2000,0))</f>
        <v>378.60886131264004</v>
      </c>
      <c r="O116" s="243">
        <f t="shared" si="24"/>
        <v>395.07011615232005</v>
      </c>
      <c r="P116" s="243">
        <f t="shared" si="18"/>
        <v>411.53137099200006</v>
      </c>
      <c r="Q116" s="243">
        <f t="shared" si="19"/>
        <v>71.207986011734903</v>
      </c>
      <c r="R116" s="243">
        <f t="shared" si="20"/>
        <v>74.444712648631935</v>
      </c>
      <c r="S116" s="243">
        <f t="shared" si="25"/>
        <v>77.681439285528981</v>
      </c>
      <c r="T116" s="243">
        <f t="shared" si="21"/>
        <v>80.918165922426027</v>
      </c>
      <c r="AA116" s="6">
        <v>117</v>
      </c>
      <c r="AB116" t="s">
        <v>80</v>
      </c>
      <c r="AC116" t="s">
        <v>81</v>
      </c>
      <c r="AD116" t="s">
        <v>4</v>
      </c>
      <c r="AE116" t="s">
        <v>159</v>
      </c>
      <c r="AF116">
        <v>15</v>
      </c>
      <c r="AG116">
        <v>1</v>
      </c>
      <c r="AH116">
        <v>240</v>
      </c>
      <c r="AI116" t="s">
        <v>80</v>
      </c>
      <c r="AJ116" t="s">
        <v>81</v>
      </c>
      <c r="AK116" t="s">
        <v>15</v>
      </c>
      <c r="AL116" t="s">
        <v>1016</v>
      </c>
      <c r="AM116" s="314">
        <v>362.14760647296004</v>
      </c>
      <c r="AN116" s="314">
        <v>378.60886131264004</v>
      </c>
      <c r="AO116" s="314">
        <v>395.07011615232005</v>
      </c>
      <c r="AP116" s="314">
        <v>411.53137099200006</v>
      </c>
      <c r="AQ116" s="314">
        <v>0.11947991514335102</v>
      </c>
      <c r="AR116" s="314">
        <v>0.1249108203771397</v>
      </c>
      <c r="AS116" s="314">
        <v>0.13034172561092838</v>
      </c>
      <c r="AT116" s="314">
        <v>0.13577263084471708</v>
      </c>
      <c r="AU116" s="314">
        <v>71.207986011734903</v>
      </c>
      <c r="AV116" s="314">
        <v>74.444712648631935</v>
      </c>
      <c r="AW116" s="314">
        <v>77.681439285528981</v>
      </c>
      <c r="AX116">
        <v>80.918165922426027</v>
      </c>
    </row>
    <row r="117" spans="1:50" x14ac:dyDescent="0.35">
      <c r="A117">
        <v>151</v>
      </c>
      <c r="B117" t="s">
        <v>80</v>
      </c>
      <c r="C117" t="s">
        <v>81</v>
      </c>
      <c r="D117" t="s">
        <v>4</v>
      </c>
      <c r="E117" t="s">
        <v>1017</v>
      </c>
      <c r="F117">
        <v>337424.2</v>
      </c>
      <c r="G117">
        <v>0</v>
      </c>
      <c r="H117">
        <v>0</v>
      </c>
      <c r="I117">
        <v>0</v>
      </c>
      <c r="J117" s="600">
        <v>337424.2</v>
      </c>
      <c r="K117" s="7">
        <f t="shared" si="15"/>
        <v>15</v>
      </c>
      <c r="L117" s="7">
        <f t="shared" si="16"/>
        <v>0</v>
      </c>
      <c r="M117" s="243">
        <f t="shared" si="17"/>
        <v>11136180.868452642</v>
      </c>
      <c r="N117" s="243">
        <f>INDEX($AN$4:$AN21013,MATCH($A117,$AH$4:$AH$2000,0))</f>
        <v>0</v>
      </c>
      <c r="O117" s="243">
        <f t="shared" si="24"/>
        <v>0</v>
      </c>
      <c r="P117" s="243">
        <f t="shared" si="18"/>
        <v>0</v>
      </c>
      <c r="Q117" s="243">
        <f t="shared" si="19"/>
        <v>-224766.95330821848</v>
      </c>
      <c r="R117" s="243">
        <f t="shared" si="20"/>
        <v>0</v>
      </c>
      <c r="S117" s="243">
        <f t="shared" si="25"/>
        <v>0</v>
      </c>
      <c r="T117" s="243">
        <f t="shared" si="21"/>
        <v>0</v>
      </c>
      <c r="AA117" s="6">
        <v>156</v>
      </c>
      <c r="AB117" t="s">
        <v>80</v>
      </c>
      <c r="AC117" t="s">
        <v>81</v>
      </c>
      <c r="AD117" t="s">
        <v>4</v>
      </c>
      <c r="AE117" t="s">
        <v>160</v>
      </c>
      <c r="AF117">
        <v>8</v>
      </c>
      <c r="AG117">
        <v>0</v>
      </c>
      <c r="AH117">
        <v>151</v>
      </c>
      <c r="AI117" t="s">
        <v>80</v>
      </c>
      <c r="AJ117" t="s">
        <v>81</v>
      </c>
      <c r="AK117" t="s">
        <v>4</v>
      </c>
      <c r="AL117" t="s">
        <v>1017</v>
      </c>
      <c r="AM117" s="314">
        <v>11136180.868452642</v>
      </c>
      <c r="AN117" s="314">
        <v>0</v>
      </c>
      <c r="AO117" s="314">
        <v>0</v>
      </c>
      <c r="AP117" s="314">
        <v>0</v>
      </c>
      <c r="AQ117" s="314">
        <v>2385.0005753386249</v>
      </c>
      <c r="AR117" s="314">
        <v>0</v>
      </c>
      <c r="AS117" s="314">
        <v>0</v>
      </c>
      <c r="AT117" s="314">
        <v>0</v>
      </c>
      <c r="AU117" s="314">
        <v>-224766.95330821848</v>
      </c>
      <c r="AV117" s="314">
        <v>0</v>
      </c>
      <c r="AW117" s="314">
        <v>0</v>
      </c>
      <c r="AX117">
        <v>0</v>
      </c>
    </row>
    <row r="118" spans="1:50" x14ac:dyDescent="0.35">
      <c r="A118">
        <v>147</v>
      </c>
      <c r="B118" t="s">
        <v>80</v>
      </c>
      <c r="C118" t="s">
        <v>81</v>
      </c>
      <c r="D118" t="s">
        <v>4</v>
      </c>
      <c r="E118" t="s">
        <v>173</v>
      </c>
      <c r="F118">
        <v>123</v>
      </c>
      <c r="G118">
        <v>231</v>
      </c>
      <c r="H118">
        <v>240</v>
      </c>
      <c r="I118">
        <v>195</v>
      </c>
      <c r="J118" s="600">
        <v>789</v>
      </c>
      <c r="K118" s="7">
        <f t="shared" si="15"/>
        <v>10.197838058331634</v>
      </c>
      <c r="L118" s="7">
        <f t="shared" si="16"/>
        <v>0</v>
      </c>
      <c r="M118" s="243">
        <f t="shared" si="17"/>
        <v>48621.774749099997</v>
      </c>
      <c r="N118" s="243">
        <f>INDEX($AN$4:$AN21014,MATCH($A118,$AH$4:$AH$2000,0))</f>
        <v>91314.064772699989</v>
      </c>
      <c r="O118" s="243">
        <f t="shared" si="24"/>
        <v>94871.755607999992</v>
      </c>
      <c r="P118" s="243">
        <f t="shared" si="18"/>
        <v>77083.301431499989</v>
      </c>
      <c r="Q118" s="243">
        <f t="shared" si="19"/>
        <v>0</v>
      </c>
      <c r="R118" s="243">
        <f t="shared" si="20"/>
        <v>0</v>
      </c>
      <c r="S118" s="243">
        <f t="shared" si="25"/>
        <v>0</v>
      </c>
      <c r="T118" s="243">
        <f t="shared" si="21"/>
        <v>0</v>
      </c>
      <c r="AA118" s="6">
        <v>183</v>
      </c>
      <c r="AB118" t="s">
        <v>80</v>
      </c>
      <c r="AC118" t="s">
        <v>81</v>
      </c>
      <c r="AD118" t="s">
        <v>5</v>
      </c>
      <c r="AE118" t="s">
        <v>161</v>
      </c>
      <c r="AF118">
        <v>14</v>
      </c>
      <c r="AG118">
        <v>0</v>
      </c>
      <c r="AH118">
        <v>147</v>
      </c>
      <c r="AI118" t="s">
        <v>80</v>
      </c>
      <c r="AJ118" t="s">
        <v>81</v>
      </c>
      <c r="AK118" t="s">
        <v>4</v>
      </c>
      <c r="AL118" t="s">
        <v>173</v>
      </c>
      <c r="AM118" s="314">
        <v>48621.774749099997</v>
      </c>
      <c r="AN118" s="314">
        <v>91314.064772699989</v>
      </c>
      <c r="AO118" s="314">
        <v>94871.755607999992</v>
      </c>
      <c r="AP118" s="314">
        <v>77083.301431499989</v>
      </c>
      <c r="AQ118" s="314">
        <v>0</v>
      </c>
      <c r="AR118" s="314">
        <v>0</v>
      </c>
      <c r="AS118" s="314">
        <v>0</v>
      </c>
      <c r="AT118" s="314">
        <v>0</v>
      </c>
      <c r="AU118" s="314">
        <v>0</v>
      </c>
      <c r="AV118" s="314">
        <v>0</v>
      </c>
      <c r="AW118" s="314">
        <v>0</v>
      </c>
      <c r="AX118">
        <v>0</v>
      </c>
    </row>
    <row r="119" spans="1:50" x14ac:dyDescent="0.35">
      <c r="A119">
        <v>167</v>
      </c>
      <c r="B119" t="s">
        <v>80</v>
      </c>
      <c r="C119" t="s">
        <v>81</v>
      </c>
      <c r="D119" t="s">
        <v>4</v>
      </c>
      <c r="E119" t="s">
        <v>1018</v>
      </c>
      <c r="F119">
        <v>32000</v>
      </c>
      <c r="G119">
        <v>38000</v>
      </c>
      <c r="H119">
        <v>0</v>
      </c>
      <c r="I119">
        <v>0</v>
      </c>
      <c r="J119" s="600">
        <v>70000</v>
      </c>
      <c r="K119" s="7">
        <f t="shared" si="15"/>
        <v>15</v>
      </c>
      <c r="L119" s="7">
        <f t="shared" si="16"/>
        <v>0</v>
      </c>
      <c r="M119" s="243">
        <f t="shared" si="17"/>
        <v>2219365.1729920004</v>
      </c>
      <c r="N119" s="243">
        <f>INDEX($AN$4:$AN21015,MATCH($A119,$AH$4:$AH$2000,0))</f>
        <v>2635496.1429280001</v>
      </c>
      <c r="O119" s="243">
        <f t="shared" si="24"/>
        <v>0</v>
      </c>
      <c r="P119" s="243">
        <f t="shared" si="18"/>
        <v>0</v>
      </c>
      <c r="Q119" s="243">
        <f t="shared" si="19"/>
        <v>-24413.016902912008</v>
      </c>
      <c r="R119" s="243">
        <f t="shared" si="20"/>
        <v>-28990.457572208012</v>
      </c>
      <c r="S119" s="243">
        <f t="shared" si="25"/>
        <v>0</v>
      </c>
      <c r="T119" s="243">
        <f t="shared" si="21"/>
        <v>0</v>
      </c>
      <c r="AA119" s="6">
        <v>181</v>
      </c>
      <c r="AB119" t="s">
        <v>80</v>
      </c>
      <c r="AC119" t="s">
        <v>81</v>
      </c>
      <c r="AD119" t="s">
        <v>5</v>
      </c>
      <c r="AE119" t="s">
        <v>162</v>
      </c>
      <c r="AF119">
        <v>10</v>
      </c>
      <c r="AG119">
        <v>0</v>
      </c>
      <c r="AH119">
        <v>167</v>
      </c>
      <c r="AI119" t="s">
        <v>80</v>
      </c>
      <c r="AJ119" t="s">
        <v>81</v>
      </c>
      <c r="AK119" t="s">
        <v>4</v>
      </c>
      <c r="AL119" t="s">
        <v>1018</v>
      </c>
      <c r="AM119" s="314">
        <v>2219365.1729920004</v>
      </c>
      <c r="AN119" s="314">
        <v>2635496.1429280001</v>
      </c>
      <c r="AO119" s="314">
        <v>0</v>
      </c>
      <c r="AP119" s="314">
        <v>0</v>
      </c>
      <c r="AQ119" s="314">
        <v>351.23718952960002</v>
      </c>
      <c r="AR119" s="314">
        <v>417.09416256640003</v>
      </c>
      <c r="AS119" s="314">
        <v>0</v>
      </c>
      <c r="AT119" s="314">
        <v>0</v>
      </c>
      <c r="AU119" s="314">
        <v>-24413.016902912008</v>
      </c>
      <c r="AV119" s="314">
        <v>-28990.457572208012</v>
      </c>
      <c r="AW119" s="314">
        <v>0</v>
      </c>
      <c r="AX119">
        <v>0</v>
      </c>
    </row>
    <row r="120" spans="1:50" x14ac:dyDescent="0.35">
      <c r="A120">
        <v>57</v>
      </c>
      <c r="B120" t="s">
        <v>80</v>
      </c>
      <c r="C120" t="s">
        <v>81</v>
      </c>
      <c r="D120" t="s">
        <v>100</v>
      </c>
      <c r="E120" t="s">
        <v>255</v>
      </c>
      <c r="F120">
        <v>1</v>
      </c>
      <c r="G120">
        <v>1</v>
      </c>
      <c r="H120">
        <v>1</v>
      </c>
      <c r="I120">
        <v>1</v>
      </c>
      <c r="J120" s="600">
        <v>4</v>
      </c>
      <c r="K120" s="7">
        <f t="shared" si="15"/>
        <v>10</v>
      </c>
      <c r="L120" s="7">
        <f t="shared" si="16"/>
        <v>0</v>
      </c>
      <c r="M120" s="243">
        <f t="shared" si="17"/>
        <v>17.571821052656414</v>
      </c>
      <c r="N120" s="243">
        <f>INDEX($AN$4:$AN21016,MATCH($A120,$AH$4:$AH$2000,0))</f>
        <v>17.571821052656414</v>
      </c>
      <c r="O120" s="243">
        <f t="shared" si="24"/>
        <v>17.571821052656414</v>
      </c>
      <c r="P120" s="243">
        <f t="shared" si="18"/>
        <v>17.571821052656414</v>
      </c>
      <c r="Q120" s="243">
        <f t="shared" si="19"/>
        <v>569.60592187500015</v>
      </c>
      <c r="R120" s="243">
        <f t="shared" si="20"/>
        <v>569.60592187500015</v>
      </c>
      <c r="S120" s="243">
        <f t="shared" si="25"/>
        <v>569.60592187500015</v>
      </c>
      <c r="T120" s="243">
        <f t="shared" si="21"/>
        <v>569.60592187500015</v>
      </c>
      <c r="AA120" s="6">
        <v>186</v>
      </c>
      <c r="AB120" t="s">
        <v>80</v>
      </c>
      <c r="AC120" t="s">
        <v>81</v>
      </c>
      <c r="AD120" t="s">
        <v>5</v>
      </c>
      <c r="AE120" t="s">
        <v>241</v>
      </c>
      <c r="AF120">
        <v>15</v>
      </c>
      <c r="AG120">
        <v>0</v>
      </c>
      <c r="AH120">
        <v>57</v>
      </c>
      <c r="AI120" t="s">
        <v>80</v>
      </c>
      <c r="AJ120" t="s">
        <v>81</v>
      </c>
      <c r="AK120" t="s">
        <v>100</v>
      </c>
      <c r="AL120" t="s">
        <v>255</v>
      </c>
      <c r="AM120" s="314">
        <v>17.571821052656414</v>
      </c>
      <c r="AN120" s="314">
        <v>17.571821052656414</v>
      </c>
      <c r="AO120" s="314">
        <v>17.571821052656414</v>
      </c>
      <c r="AP120" s="314">
        <v>17.571821052656414</v>
      </c>
      <c r="AQ120" s="314">
        <v>0</v>
      </c>
      <c r="AR120" s="314">
        <v>0</v>
      </c>
      <c r="AS120" s="314">
        <v>0</v>
      </c>
      <c r="AT120" s="314">
        <v>0</v>
      </c>
      <c r="AU120" s="314">
        <v>569.60592187500015</v>
      </c>
      <c r="AV120" s="314">
        <v>569.60592187500015</v>
      </c>
      <c r="AW120" s="314">
        <v>569.60592187500015</v>
      </c>
      <c r="AX120">
        <v>569.60592187500015</v>
      </c>
    </row>
    <row r="121" spans="1:50" x14ac:dyDescent="0.35">
      <c r="A121">
        <v>58</v>
      </c>
      <c r="B121" t="s">
        <v>80</v>
      </c>
      <c r="C121" t="s">
        <v>81</v>
      </c>
      <c r="D121" t="s">
        <v>100</v>
      </c>
      <c r="E121" t="s">
        <v>256</v>
      </c>
      <c r="F121">
        <v>2</v>
      </c>
      <c r="G121">
        <v>2</v>
      </c>
      <c r="H121">
        <v>2</v>
      </c>
      <c r="I121">
        <v>2</v>
      </c>
      <c r="J121" s="600">
        <v>8</v>
      </c>
      <c r="K121" s="7">
        <f t="shared" si="15"/>
        <v>10</v>
      </c>
      <c r="L121" s="7">
        <f t="shared" si="16"/>
        <v>0</v>
      </c>
      <c r="M121" s="243">
        <f t="shared" si="17"/>
        <v>1111.9114712761873</v>
      </c>
      <c r="N121" s="243">
        <f>INDEX($AN$4:$AN21017,MATCH($A121,$AH$4:$AH$2000,0))</f>
        <v>1111.9114712761873</v>
      </c>
      <c r="O121" s="243">
        <f t="shared" si="24"/>
        <v>1111.9114712761873</v>
      </c>
      <c r="P121" s="243">
        <f t="shared" si="18"/>
        <v>1111.9114712761873</v>
      </c>
      <c r="Q121" s="243">
        <f t="shared" si="19"/>
        <v>1345.38620625</v>
      </c>
      <c r="R121" s="243">
        <f t="shared" si="20"/>
        <v>1345.38620625</v>
      </c>
      <c r="S121" s="243">
        <f t="shared" si="25"/>
        <v>1345.38620625</v>
      </c>
      <c r="T121" s="243">
        <f t="shared" si="21"/>
        <v>1345.38620625</v>
      </c>
      <c r="AA121" s="6">
        <v>79</v>
      </c>
      <c r="AB121" t="s">
        <v>80</v>
      </c>
      <c r="AC121" t="s">
        <v>81</v>
      </c>
      <c r="AD121" t="s">
        <v>100</v>
      </c>
      <c r="AE121" t="s">
        <v>163</v>
      </c>
      <c r="AF121">
        <v>6.6</v>
      </c>
      <c r="AG121">
        <v>0</v>
      </c>
      <c r="AH121">
        <v>58</v>
      </c>
      <c r="AI121" t="s">
        <v>80</v>
      </c>
      <c r="AJ121" t="s">
        <v>81</v>
      </c>
      <c r="AK121" t="s">
        <v>100</v>
      </c>
      <c r="AL121" t="s">
        <v>256</v>
      </c>
      <c r="AM121" s="314">
        <v>1111.9114712761873</v>
      </c>
      <c r="AN121" s="314">
        <v>1111.9114712761873</v>
      </c>
      <c r="AO121" s="314">
        <v>1111.9114712761873</v>
      </c>
      <c r="AP121" s="314">
        <v>1111.9114712761873</v>
      </c>
      <c r="AQ121" s="314">
        <v>0</v>
      </c>
      <c r="AR121" s="314">
        <v>0</v>
      </c>
      <c r="AS121" s="314">
        <v>0</v>
      </c>
      <c r="AT121" s="314">
        <v>0</v>
      </c>
      <c r="AU121" s="314">
        <v>1345.38620625</v>
      </c>
      <c r="AV121" s="314">
        <v>1345.38620625</v>
      </c>
      <c r="AW121" s="314">
        <v>1345.38620625</v>
      </c>
      <c r="AX121">
        <v>1345.38620625</v>
      </c>
    </row>
    <row r="122" spans="1:50" x14ac:dyDescent="0.35">
      <c r="A122">
        <v>59</v>
      </c>
      <c r="B122" t="s">
        <v>80</v>
      </c>
      <c r="C122" t="s">
        <v>81</v>
      </c>
      <c r="D122" t="s">
        <v>100</v>
      </c>
      <c r="E122" t="s">
        <v>257</v>
      </c>
      <c r="F122">
        <v>2</v>
      </c>
      <c r="G122">
        <v>2</v>
      </c>
      <c r="H122">
        <v>2</v>
      </c>
      <c r="I122">
        <v>2</v>
      </c>
      <c r="J122" s="600">
        <v>8</v>
      </c>
      <c r="K122" s="7">
        <f t="shared" si="15"/>
        <v>10</v>
      </c>
      <c r="L122" s="7">
        <f t="shared" si="16"/>
        <v>0</v>
      </c>
      <c r="M122" s="243">
        <f t="shared" si="17"/>
        <v>1766.8880807400001</v>
      </c>
      <c r="N122" s="243">
        <f>INDEX($AN$4:$AN21018,MATCH($A122,$AH$4:$AH$2000,0))</f>
        <v>1766.8880807400001</v>
      </c>
      <c r="O122" s="243">
        <f t="shared" si="24"/>
        <v>1766.8880807400001</v>
      </c>
      <c r="P122" s="243">
        <f t="shared" si="18"/>
        <v>1766.8880807400001</v>
      </c>
      <c r="Q122" s="243">
        <f t="shared" si="19"/>
        <v>1470.7980000000002</v>
      </c>
      <c r="R122" s="243">
        <f t="shared" si="20"/>
        <v>1470.7980000000002</v>
      </c>
      <c r="S122" s="243">
        <f t="shared" si="25"/>
        <v>1470.7980000000002</v>
      </c>
      <c r="T122" s="243">
        <f t="shared" si="21"/>
        <v>1470.7980000000002</v>
      </c>
      <c r="AA122" s="6">
        <v>232</v>
      </c>
      <c r="AB122" t="s">
        <v>80</v>
      </c>
      <c r="AC122" t="s">
        <v>81</v>
      </c>
      <c r="AD122" t="s">
        <v>15</v>
      </c>
      <c r="AE122" t="s">
        <v>164</v>
      </c>
      <c r="AF122">
        <v>15</v>
      </c>
      <c r="AG122">
        <v>0</v>
      </c>
      <c r="AH122">
        <v>59</v>
      </c>
      <c r="AI122" t="s">
        <v>80</v>
      </c>
      <c r="AJ122" t="s">
        <v>81</v>
      </c>
      <c r="AK122" t="s">
        <v>100</v>
      </c>
      <c r="AL122" t="s">
        <v>257</v>
      </c>
      <c r="AM122" s="314">
        <v>1766.8880807400001</v>
      </c>
      <c r="AN122" s="314">
        <v>1766.8880807400001</v>
      </c>
      <c r="AO122" s="314">
        <v>1766.8880807400001</v>
      </c>
      <c r="AP122" s="314">
        <v>1766.8880807400001</v>
      </c>
      <c r="AQ122" s="314">
        <v>0</v>
      </c>
      <c r="AR122" s="314">
        <v>0</v>
      </c>
      <c r="AS122" s="314">
        <v>0</v>
      </c>
      <c r="AT122" s="314">
        <v>0</v>
      </c>
      <c r="AU122" s="314">
        <v>1470.7980000000002</v>
      </c>
      <c r="AV122" s="314">
        <v>1470.7980000000002</v>
      </c>
      <c r="AW122" s="314">
        <v>1470.7980000000002</v>
      </c>
      <c r="AX122">
        <v>1470.7980000000002</v>
      </c>
    </row>
    <row r="123" spans="1:50" x14ac:dyDescent="0.35">
      <c r="A123">
        <v>85</v>
      </c>
      <c r="B123" t="s">
        <v>80</v>
      </c>
      <c r="C123" t="s">
        <v>81</v>
      </c>
      <c r="D123" t="s">
        <v>100</v>
      </c>
      <c r="E123" t="s">
        <v>174</v>
      </c>
      <c r="F123">
        <v>150</v>
      </c>
      <c r="G123">
        <v>120</v>
      </c>
      <c r="H123">
        <v>114</v>
      </c>
      <c r="I123">
        <v>64</v>
      </c>
      <c r="J123" s="600">
        <v>448</v>
      </c>
      <c r="K123" s="7">
        <f t="shared" si="15"/>
        <v>6</v>
      </c>
      <c r="L123" s="7">
        <f t="shared" si="16"/>
        <v>0</v>
      </c>
      <c r="M123" s="243">
        <f t="shared" si="17"/>
        <v>0</v>
      </c>
      <c r="N123" s="243">
        <f>INDEX($AN$4:$AN21019,MATCH($A123,$AH$4:$AH$2000,0))</f>
        <v>0</v>
      </c>
      <c r="O123" s="243">
        <f t="shared" si="24"/>
        <v>0</v>
      </c>
      <c r="P123" s="243">
        <f t="shared" si="18"/>
        <v>0</v>
      </c>
      <c r="Q123" s="243">
        <f t="shared" si="19"/>
        <v>19020.671999999999</v>
      </c>
      <c r="R123" s="243">
        <f t="shared" si="20"/>
        <v>15216.537599999998</v>
      </c>
      <c r="S123" s="243">
        <f t="shared" si="25"/>
        <v>14455.710719999997</v>
      </c>
      <c r="T123" s="243">
        <f t="shared" si="21"/>
        <v>8115.486719999999</v>
      </c>
      <c r="AA123" s="6">
        <v>104</v>
      </c>
      <c r="AB123" t="s">
        <v>80</v>
      </c>
      <c r="AC123" t="s">
        <v>81</v>
      </c>
      <c r="AD123" t="s">
        <v>148</v>
      </c>
      <c r="AE123" t="s">
        <v>165</v>
      </c>
      <c r="AF123">
        <v>12</v>
      </c>
      <c r="AG123">
        <v>0</v>
      </c>
      <c r="AH123">
        <v>85</v>
      </c>
      <c r="AI123" t="s">
        <v>80</v>
      </c>
      <c r="AJ123" t="s">
        <v>81</v>
      </c>
      <c r="AK123" t="s">
        <v>100</v>
      </c>
      <c r="AL123" t="s">
        <v>174</v>
      </c>
      <c r="AM123" s="314">
        <v>0</v>
      </c>
      <c r="AN123" s="314">
        <v>0</v>
      </c>
      <c r="AO123" s="314">
        <v>0</v>
      </c>
      <c r="AP123" s="314">
        <v>0</v>
      </c>
      <c r="AQ123" s="314">
        <v>0</v>
      </c>
      <c r="AR123" s="314">
        <v>0</v>
      </c>
      <c r="AS123" s="314">
        <v>0</v>
      </c>
      <c r="AT123" s="314">
        <v>0</v>
      </c>
      <c r="AU123" s="314">
        <v>19020.671999999999</v>
      </c>
      <c r="AV123" s="314">
        <v>15216.537599999998</v>
      </c>
      <c r="AW123" s="314">
        <v>14455.710719999997</v>
      </c>
      <c r="AX123">
        <v>8115.486719999999</v>
      </c>
    </row>
    <row r="124" spans="1:50" x14ac:dyDescent="0.35">
      <c r="A124">
        <v>239</v>
      </c>
      <c r="B124" t="s">
        <v>80</v>
      </c>
      <c r="C124" t="s">
        <v>81</v>
      </c>
      <c r="D124" t="s">
        <v>15</v>
      </c>
      <c r="E124" t="s">
        <v>1019</v>
      </c>
      <c r="F124">
        <v>700</v>
      </c>
      <c r="G124">
        <v>700</v>
      </c>
      <c r="H124">
        <v>846</v>
      </c>
      <c r="I124">
        <v>844</v>
      </c>
      <c r="J124" s="600">
        <v>3090</v>
      </c>
      <c r="K124" s="7">
        <f t="shared" si="15"/>
        <v>9</v>
      </c>
      <c r="L124" s="7">
        <f t="shared" si="16"/>
        <v>0</v>
      </c>
      <c r="M124" s="243">
        <f t="shared" si="17"/>
        <v>15225.150937559471</v>
      </c>
      <c r="N124" s="243">
        <f>INDEX($AN$4:$AN21020,MATCH($A124,$AH$4:$AH$2000,0))</f>
        <v>15225.150937559471</v>
      </c>
      <c r="O124" s="243">
        <f t="shared" ref="O124:O143" si="26">INDEX($AO$4:$AO$2000,MATCH($A124,$AH$4:$AH$2000,0))</f>
        <v>18400.682418821874</v>
      </c>
      <c r="P124" s="243">
        <f t="shared" si="18"/>
        <v>18357.181987571705</v>
      </c>
      <c r="Q124" s="243">
        <f t="shared" si="19"/>
        <v>2296.4961617656363</v>
      </c>
      <c r="R124" s="243">
        <f t="shared" si="20"/>
        <v>2296.4961617656363</v>
      </c>
      <c r="S124" s="243">
        <f t="shared" ref="S124:S143" si="27">INDEX($AW$4:$AW$2000,MATCH($A124,$AH$4:$AH$2000,0))</f>
        <v>2775.4796469338976</v>
      </c>
      <c r="T124" s="243">
        <f t="shared" si="21"/>
        <v>2768.9182293288532</v>
      </c>
      <c r="AA124" s="6">
        <v>193</v>
      </c>
      <c r="AB124" t="s">
        <v>80</v>
      </c>
      <c r="AC124" t="s">
        <v>81</v>
      </c>
      <c r="AD124" t="s">
        <v>5</v>
      </c>
      <c r="AE124" t="s">
        <v>166</v>
      </c>
      <c r="AF124" s="1">
        <v>8</v>
      </c>
      <c r="AG124">
        <v>0</v>
      </c>
      <c r="AH124">
        <v>239</v>
      </c>
      <c r="AI124" t="s">
        <v>80</v>
      </c>
      <c r="AJ124" t="s">
        <v>81</v>
      </c>
      <c r="AK124" t="s">
        <v>15</v>
      </c>
      <c r="AL124" t="s">
        <v>1019</v>
      </c>
      <c r="AM124" s="314">
        <v>15225.150937559471</v>
      </c>
      <c r="AN124" s="314">
        <v>15225.150937559471</v>
      </c>
      <c r="AO124" s="314">
        <v>18400.682418821874</v>
      </c>
      <c r="AP124" s="314">
        <v>18357.181987571705</v>
      </c>
      <c r="AQ124" s="314">
        <v>2.6316182684260196</v>
      </c>
      <c r="AR124" s="314">
        <v>2.6316182684260196</v>
      </c>
      <c r="AS124" s="314">
        <v>3.1804986501263035</v>
      </c>
      <c r="AT124" s="314">
        <v>3.1729797407879436</v>
      </c>
      <c r="AU124" s="314">
        <v>2296.4961617656363</v>
      </c>
      <c r="AV124" s="314">
        <v>2296.4961617656363</v>
      </c>
      <c r="AW124" s="314">
        <v>2775.4796469338976</v>
      </c>
      <c r="AX124">
        <v>2768.9182293288532</v>
      </c>
    </row>
    <row r="125" spans="1:50" x14ac:dyDescent="0.35">
      <c r="A125">
        <v>238</v>
      </c>
      <c r="B125" t="s">
        <v>80</v>
      </c>
      <c r="C125" t="s">
        <v>81</v>
      </c>
      <c r="D125" t="s">
        <v>15</v>
      </c>
      <c r="E125" t="s">
        <v>1020</v>
      </c>
      <c r="F125">
        <v>1200</v>
      </c>
      <c r="G125">
        <v>1200</v>
      </c>
      <c r="H125">
        <v>1692</v>
      </c>
      <c r="I125">
        <v>1687</v>
      </c>
      <c r="J125" s="600">
        <v>5779</v>
      </c>
      <c r="K125" s="7">
        <f t="shared" si="15"/>
        <v>9</v>
      </c>
      <c r="L125" s="7">
        <f t="shared" si="16"/>
        <v>0</v>
      </c>
      <c r="M125" s="243">
        <f t="shared" si="17"/>
        <v>35988.691776062813</v>
      </c>
      <c r="N125" s="243">
        <f>INDEX($AN$4:$AN21021,MATCH($A125,$AH$4:$AH$2000,0))</f>
        <v>35988.691776062813</v>
      </c>
      <c r="O125" s="243">
        <f t="shared" si="26"/>
        <v>50744.055404248575</v>
      </c>
      <c r="P125" s="243">
        <f t="shared" si="18"/>
        <v>50594.102521848312</v>
      </c>
      <c r="Q125" s="243">
        <f t="shared" si="19"/>
        <v>5428.3791910927921</v>
      </c>
      <c r="R125" s="243">
        <f t="shared" si="20"/>
        <v>5428.3791910927921</v>
      </c>
      <c r="S125" s="243">
        <f t="shared" si="27"/>
        <v>7654.014659440837</v>
      </c>
      <c r="T125" s="243">
        <f t="shared" si="21"/>
        <v>7631.3964128112839</v>
      </c>
      <c r="AA125" s="6">
        <v>80</v>
      </c>
      <c r="AB125" t="s">
        <v>80</v>
      </c>
      <c r="AC125" t="s">
        <v>81</v>
      </c>
      <c r="AD125" t="s">
        <v>100</v>
      </c>
      <c r="AE125" t="s">
        <v>167</v>
      </c>
      <c r="AF125" s="1">
        <v>8</v>
      </c>
      <c r="AG125">
        <v>0</v>
      </c>
      <c r="AH125">
        <v>238</v>
      </c>
      <c r="AI125" t="s">
        <v>80</v>
      </c>
      <c r="AJ125" t="s">
        <v>81</v>
      </c>
      <c r="AK125" t="s">
        <v>15</v>
      </c>
      <c r="AL125" t="s">
        <v>1020</v>
      </c>
      <c r="AM125" s="314">
        <v>35988.691776062813</v>
      </c>
      <c r="AN125" s="314">
        <v>35988.691776062813</v>
      </c>
      <c r="AO125" s="314">
        <v>50744.055404248575</v>
      </c>
      <c r="AP125" s="314">
        <v>50594.102521848312</v>
      </c>
      <c r="AQ125" s="314">
        <v>6.2205293808286912</v>
      </c>
      <c r="AR125" s="314">
        <v>6.2205293808286912</v>
      </c>
      <c r="AS125" s="314">
        <v>8.7709464269684538</v>
      </c>
      <c r="AT125" s="314">
        <v>8.7450275545483347</v>
      </c>
      <c r="AU125" s="314">
        <v>5428.3791910927921</v>
      </c>
      <c r="AV125" s="314">
        <v>5428.3791910927921</v>
      </c>
      <c r="AW125" s="314">
        <v>7654.014659440837</v>
      </c>
      <c r="AX125">
        <v>7631.3964128112839</v>
      </c>
    </row>
    <row r="126" spans="1:50" x14ac:dyDescent="0.35">
      <c r="A126">
        <v>160</v>
      </c>
      <c r="B126" t="s">
        <v>80</v>
      </c>
      <c r="C126" t="s">
        <v>81</v>
      </c>
      <c r="D126" t="s">
        <v>4</v>
      </c>
      <c r="E126" t="s">
        <v>175</v>
      </c>
      <c r="F126">
        <v>27</v>
      </c>
      <c r="G126">
        <v>54</v>
      </c>
      <c r="H126">
        <v>55</v>
      </c>
      <c r="I126">
        <v>52</v>
      </c>
      <c r="J126" s="600">
        <v>188</v>
      </c>
      <c r="K126" s="7">
        <f t="shared" si="15"/>
        <v>8</v>
      </c>
      <c r="L126" s="7">
        <f t="shared" si="16"/>
        <v>0</v>
      </c>
      <c r="M126" s="243">
        <f t="shared" si="17"/>
        <v>92102.90760000002</v>
      </c>
      <c r="N126" s="243">
        <f>INDEX($AN$4:$AN21022,MATCH($A126,$AH$4:$AH$2000,0))</f>
        <v>184205.81520000004</v>
      </c>
      <c r="O126" s="243">
        <f t="shared" si="26"/>
        <v>187617.03400000004</v>
      </c>
      <c r="P126" s="243">
        <f t="shared" si="18"/>
        <v>177383.37760000004</v>
      </c>
      <c r="Q126" s="243">
        <f t="shared" si="19"/>
        <v>-968.37660000000005</v>
      </c>
      <c r="R126" s="243">
        <f t="shared" si="20"/>
        <v>-1936.7532000000001</v>
      </c>
      <c r="S126" s="243">
        <f t="shared" si="27"/>
        <v>-1972.6189999999999</v>
      </c>
      <c r="T126" s="243">
        <f t="shared" si="21"/>
        <v>-1865.0216</v>
      </c>
      <c r="AA126" s="6">
        <v>241</v>
      </c>
      <c r="AB126" t="s">
        <v>80</v>
      </c>
      <c r="AC126" t="s">
        <v>81</v>
      </c>
      <c r="AD126" t="s">
        <v>15</v>
      </c>
      <c r="AE126" t="s">
        <v>242</v>
      </c>
      <c r="AF126">
        <v>15</v>
      </c>
      <c r="AG126">
        <v>0</v>
      </c>
      <c r="AH126">
        <v>160</v>
      </c>
      <c r="AI126" t="s">
        <v>80</v>
      </c>
      <c r="AJ126" t="s">
        <v>81</v>
      </c>
      <c r="AK126" t="s">
        <v>4</v>
      </c>
      <c r="AL126" t="s">
        <v>175</v>
      </c>
      <c r="AM126" s="314">
        <v>92102.90760000002</v>
      </c>
      <c r="AN126" s="314">
        <v>184205.81520000004</v>
      </c>
      <c r="AO126" s="314">
        <v>187617.03400000004</v>
      </c>
      <c r="AP126" s="314">
        <v>177383.37760000004</v>
      </c>
      <c r="AQ126" s="314">
        <v>2.9408400000000006</v>
      </c>
      <c r="AR126" s="314">
        <v>5.8816800000000011</v>
      </c>
      <c r="AS126" s="314">
        <v>5.9906000000000006</v>
      </c>
      <c r="AT126" s="314">
        <v>5.6638400000000004</v>
      </c>
      <c r="AU126" s="314">
        <v>-968.37660000000005</v>
      </c>
      <c r="AV126" s="314">
        <v>-1936.7532000000001</v>
      </c>
      <c r="AW126" s="314">
        <v>-1972.6189999999999</v>
      </c>
      <c r="AX126">
        <v>-1865.0216</v>
      </c>
    </row>
    <row r="127" spans="1:50" x14ac:dyDescent="0.35">
      <c r="A127">
        <v>47</v>
      </c>
      <c r="B127" t="s">
        <v>80</v>
      </c>
      <c r="C127" t="s">
        <v>81</v>
      </c>
      <c r="D127" t="s">
        <v>100</v>
      </c>
      <c r="E127" t="s">
        <v>1021</v>
      </c>
      <c r="F127">
        <v>65</v>
      </c>
      <c r="G127">
        <v>0</v>
      </c>
      <c r="H127">
        <v>0</v>
      </c>
      <c r="I127">
        <v>0</v>
      </c>
      <c r="J127" s="600">
        <v>65</v>
      </c>
      <c r="K127" s="7">
        <f t="shared" si="15"/>
        <v>10</v>
      </c>
      <c r="L127" s="7">
        <f t="shared" si="16"/>
        <v>0</v>
      </c>
      <c r="M127" s="243">
        <f t="shared" si="17"/>
        <v>22483.305000000004</v>
      </c>
      <c r="N127" s="243">
        <f>INDEX($AN$4:$AN21023,MATCH($A127,$AH$4:$AH$2000,0))</f>
        <v>0</v>
      </c>
      <c r="O127" s="243">
        <f t="shared" si="26"/>
        <v>0</v>
      </c>
      <c r="P127" s="243">
        <f t="shared" si="18"/>
        <v>0</v>
      </c>
      <c r="Q127" s="243">
        <f t="shared" si="19"/>
        <v>1974.215919</v>
      </c>
      <c r="R127" s="243">
        <f t="shared" si="20"/>
        <v>0</v>
      </c>
      <c r="S127" s="243">
        <f t="shared" si="27"/>
        <v>0</v>
      </c>
      <c r="T127" s="243">
        <f t="shared" si="21"/>
        <v>0</v>
      </c>
      <c r="AA127" s="6">
        <v>231</v>
      </c>
      <c r="AB127" t="s">
        <v>80</v>
      </c>
      <c r="AC127" t="s">
        <v>81</v>
      </c>
      <c r="AD127" t="s">
        <v>15</v>
      </c>
      <c r="AE127" t="s">
        <v>243</v>
      </c>
      <c r="AF127">
        <v>15</v>
      </c>
      <c r="AG127">
        <v>0</v>
      </c>
      <c r="AH127">
        <v>47</v>
      </c>
      <c r="AI127" t="s">
        <v>80</v>
      </c>
      <c r="AJ127" t="s">
        <v>81</v>
      </c>
      <c r="AK127" t="s">
        <v>100</v>
      </c>
      <c r="AL127" t="s">
        <v>1021</v>
      </c>
      <c r="AM127" s="314">
        <v>22483.305000000004</v>
      </c>
      <c r="AN127" s="314">
        <v>0</v>
      </c>
      <c r="AO127" s="314">
        <v>0</v>
      </c>
      <c r="AP127" s="314">
        <v>0</v>
      </c>
      <c r="AQ127" s="314">
        <v>2.0866751749999999</v>
      </c>
      <c r="AR127" s="314">
        <v>0</v>
      </c>
      <c r="AS127" s="314">
        <v>0</v>
      </c>
      <c r="AT127" s="314">
        <v>0</v>
      </c>
      <c r="AU127" s="314">
        <v>1974.215919</v>
      </c>
      <c r="AV127" s="314">
        <v>0</v>
      </c>
      <c r="AW127" s="314">
        <v>0</v>
      </c>
      <c r="AX127">
        <v>0</v>
      </c>
    </row>
    <row r="128" spans="1:50" x14ac:dyDescent="0.35">
      <c r="A128">
        <v>242</v>
      </c>
      <c r="B128" t="s">
        <v>80</v>
      </c>
      <c r="C128" t="s">
        <v>81</v>
      </c>
      <c r="D128" t="s">
        <v>15</v>
      </c>
      <c r="E128" t="s">
        <v>176</v>
      </c>
      <c r="F128">
        <v>6000</v>
      </c>
      <c r="G128">
        <v>5000</v>
      </c>
      <c r="H128">
        <v>9000</v>
      </c>
      <c r="I128">
        <v>9000</v>
      </c>
      <c r="J128" s="600">
        <v>29000</v>
      </c>
      <c r="K128" s="7">
        <f t="shared" si="15"/>
        <v>15</v>
      </c>
      <c r="L128" s="7">
        <f t="shared" si="16"/>
        <v>0</v>
      </c>
      <c r="M128" s="243">
        <f t="shared" si="17"/>
        <v>0</v>
      </c>
      <c r="N128" s="243">
        <f>INDEX($AN$4:$AN21024,MATCH($A128,$AH$4:$AH$2000,0))</f>
        <v>0</v>
      </c>
      <c r="O128" s="243">
        <f t="shared" si="26"/>
        <v>0</v>
      </c>
      <c r="P128" s="243">
        <f t="shared" si="18"/>
        <v>0</v>
      </c>
      <c r="Q128" s="243">
        <f t="shared" si="19"/>
        <v>5798.4000000000005</v>
      </c>
      <c r="R128" s="243">
        <f t="shared" si="20"/>
        <v>4832</v>
      </c>
      <c r="S128" s="243">
        <f t="shared" si="27"/>
        <v>8697.6</v>
      </c>
      <c r="T128" s="243">
        <f t="shared" si="21"/>
        <v>8697.6</v>
      </c>
      <c r="AA128" s="6">
        <v>53</v>
      </c>
      <c r="AB128" t="s">
        <v>80</v>
      </c>
      <c r="AC128" t="s">
        <v>81</v>
      </c>
      <c r="AD128" t="s">
        <v>100</v>
      </c>
      <c r="AE128" t="s">
        <v>168</v>
      </c>
      <c r="AF128">
        <v>10</v>
      </c>
      <c r="AG128">
        <v>0</v>
      </c>
      <c r="AH128">
        <v>242</v>
      </c>
      <c r="AI128" t="s">
        <v>80</v>
      </c>
      <c r="AJ128" t="s">
        <v>81</v>
      </c>
      <c r="AK128" t="s">
        <v>15</v>
      </c>
      <c r="AL128" t="s">
        <v>176</v>
      </c>
      <c r="AM128" s="314">
        <v>0</v>
      </c>
      <c r="AN128" s="314">
        <v>0</v>
      </c>
      <c r="AO128" s="314">
        <v>0</v>
      </c>
      <c r="AP128" s="314">
        <v>0</v>
      </c>
      <c r="AQ128" s="314">
        <v>0</v>
      </c>
      <c r="AR128" s="314">
        <v>0</v>
      </c>
      <c r="AS128" s="314">
        <v>0</v>
      </c>
      <c r="AT128" s="314">
        <v>0</v>
      </c>
      <c r="AU128" s="314">
        <v>5798.4000000000005</v>
      </c>
      <c r="AV128" s="314">
        <v>4832</v>
      </c>
      <c r="AW128" s="314">
        <v>8697.6</v>
      </c>
      <c r="AX128">
        <v>8697.6</v>
      </c>
    </row>
    <row r="129" spans="1:50" x14ac:dyDescent="0.35">
      <c r="A129">
        <v>71</v>
      </c>
      <c r="B129" t="s">
        <v>80</v>
      </c>
      <c r="C129" t="s">
        <v>81</v>
      </c>
      <c r="D129" t="s">
        <v>100</v>
      </c>
      <c r="E129" t="s">
        <v>177</v>
      </c>
      <c r="F129">
        <v>0</v>
      </c>
      <c r="G129">
        <v>1</v>
      </c>
      <c r="H129">
        <v>0</v>
      </c>
      <c r="I129">
        <v>1</v>
      </c>
      <c r="J129" s="600">
        <v>2</v>
      </c>
      <c r="K129" s="7">
        <f t="shared" si="15"/>
        <v>15</v>
      </c>
      <c r="L129" s="7">
        <f t="shared" si="16"/>
        <v>0</v>
      </c>
      <c r="M129" s="243">
        <f t="shared" si="17"/>
        <v>0</v>
      </c>
      <c r="N129" s="243">
        <f>INDEX($AN$4:$AN21025,MATCH($A129,$AH$4:$AH$2000,0))</f>
        <v>93406.130999999994</v>
      </c>
      <c r="O129" s="243">
        <f t="shared" si="26"/>
        <v>0</v>
      </c>
      <c r="P129" s="243">
        <f t="shared" si="18"/>
        <v>93406.130999999994</v>
      </c>
      <c r="Q129" s="243">
        <f t="shared" si="19"/>
        <v>0</v>
      </c>
      <c r="R129" s="243">
        <f t="shared" si="20"/>
        <v>0</v>
      </c>
      <c r="S129" s="243">
        <f t="shared" si="27"/>
        <v>0</v>
      </c>
      <c r="T129" s="243">
        <f t="shared" si="21"/>
        <v>0</v>
      </c>
      <c r="AA129" s="6">
        <v>184</v>
      </c>
      <c r="AB129" t="s">
        <v>80</v>
      </c>
      <c r="AC129" t="s">
        <v>81</v>
      </c>
      <c r="AD129" t="s">
        <v>5</v>
      </c>
      <c r="AE129" t="s">
        <v>169</v>
      </c>
      <c r="AF129">
        <v>4</v>
      </c>
      <c r="AG129">
        <v>0</v>
      </c>
      <c r="AH129">
        <v>71</v>
      </c>
      <c r="AI129" t="s">
        <v>80</v>
      </c>
      <c r="AJ129" t="s">
        <v>81</v>
      </c>
      <c r="AK129" t="s">
        <v>100</v>
      </c>
      <c r="AL129" t="s">
        <v>177</v>
      </c>
      <c r="AM129" s="314">
        <v>0</v>
      </c>
      <c r="AN129" s="314">
        <v>93406.130999999994</v>
      </c>
      <c r="AO129" s="314">
        <v>0</v>
      </c>
      <c r="AP129" s="314">
        <v>93406.130999999994</v>
      </c>
      <c r="AQ129" s="314">
        <v>0</v>
      </c>
      <c r="AR129" s="314">
        <v>9.5409770999999992</v>
      </c>
      <c r="AS129" s="314">
        <v>0</v>
      </c>
      <c r="AT129" s="314">
        <v>9.5409770999999992</v>
      </c>
      <c r="AU129" s="314">
        <v>0</v>
      </c>
      <c r="AV129" s="314">
        <v>0</v>
      </c>
      <c r="AW129" s="314">
        <v>0</v>
      </c>
      <c r="AX129">
        <v>0</v>
      </c>
    </row>
    <row r="130" spans="1:50" x14ac:dyDescent="0.35">
      <c r="A130">
        <v>179</v>
      </c>
      <c r="B130" t="s">
        <v>80</v>
      </c>
      <c r="C130" t="s">
        <v>81</v>
      </c>
      <c r="D130" t="s">
        <v>5</v>
      </c>
      <c r="E130" t="s">
        <v>178</v>
      </c>
      <c r="F130">
        <v>3000</v>
      </c>
      <c r="G130">
        <v>1799</v>
      </c>
      <c r="H130">
        <v>2709</v>
      </c>
      <c r="I130">
        <v>1982</v>
      </c>
      <c r="J130" s="600">
        <v>9490</v>
      </c>
      <c r="K130" s="7">
        <f t="shared" si="15"/>
        <v>13</v>
      </c>
      <c r="L130" s="7">
        <f t="shared" si="16"/>
        <v>0</v>
      </c>
      <c r="M130" s="243">
        <f t="shared" si="17"/>
        <v>17396.009999999998</v>
      </c>
      <c r="N130" s="243">
        <f>INDEX($AN$4:$AN21026,MATCH($A130,$AH$4:$AH$2000,0))</f>
        <v>10431.80733</v>
      </c>
      <c r="O130" s="243">
        <f t="shared" si="26"/>
        <v>15708.597029999999</v>
      </c>
      <c r="P130" s="243">
        <f t="shared" si="18"/>
        <v>11492.96394</v>
      </c>
      <c r="Q130" s="243">
        <f t="shared" si="19"/>
        <v>0</v>
      </c>
      <c r="R130" s="243">
        <f t="shared" si="20"/>
        <v>0</v>
      </c>
      <c r="S130" s="243">
        <f t="shared" si="27"/>
        <v>0</v>
      </c>
      <c r="T130" s="243">
        <f t="shared" si="21"/>
        <v>0</v>
      </c>
      <c r="AA130" s="6">
        <v>178</v>
      </c>
      <c r="AB130" t="s">
        <v>80</v>
      </c>
      <c r="AC130" t="s">
        <v>81</v>
      </c>
      <c r="AD130" t="s">
        <v>5</v>
      </c>
      <c r="AE130" t="s">
        <v>170</v>
      </c>
      <c r="AF130">
        <v>5</v>
      </c>
      <c r="AG130">
        <v>0</v>
      </c>
      <c r="AH130">
        <v>179</v>
      </c>
      <c r="AI130" t="s">
        <v>80</v>
      </c>
      <c r="AJ130" t="s">
        <v>81</v>
      </c>
      <c r="AK130" t="s">
        <v>5</v>
      </c>
      <c r="AL130" t="s">
        <v>178</v>
      </c>
      <c r="AM130" s="314">
        <v>17396.009999999998</v>
      </c>
      <c r="AN130" s="314">
        <v>10431.80733</v>
      </c>
      <c r="AO130" s="314">
        <v>15708.597029999999</v>
      </c>
      <c r="AP130" s="314">
        <v>11492.96394</v>
      </c>
      <c r="AQ130" s="314">
        <v>2.8959389999999998</v>
      </c>
      <c r="AR130" s="314">
        <v>1.736598087</v>
      </c>
      <c r="AS130" s="314">
        <v>2.6150329169999997</v>
      </c>
      <c r="AT130" s="314">
        <v>1.913250366</v>
      </c>
      <c r="AU130" s="314">
        <v>0</v>
      </c>
      <c r="AV130" s="314">
        <v>0</v>
      </c>
      <c r="AW130" s="314">
        <v>0</v>
      </c>
      <c r="AX130">
        <v>0</v>
      </c>
    </row>
    <row r="131" spans="1:50" x14ac:dyDescent="0.35">
      <c r="A131">
        <v>102</v>
      </c>
      <c r="B131" t="s">
        <v>80</v>
      </c>
      <c r="C131" t="s">
        <v>81</v>
      </c>
      <c r="D131" t="s">
        <v>148</v>
      </c>
      <c r="E131" t="s">
        <v>179</v>
      </c>
      <c r="F131">
        <v>4</v>
      </c>
      <c r="G131">
        <v>2</v>
      </c>
      <c r="H131">
        <v>2</v>
      </c>
      <c r="I131">
        <v>5</v>
      </c>
      <c r="J131" s="600">
        <v>13</v>
      </c>
      <c r="K131" s="7">
        <f t="shared" si="15"/>
        <v>12</v>
      </c>
      <c r="L131" s="7">
        <f t="shared" si="16"/>
        <v>0</v>
      </c>
      <c r="M131" s="243">
        <f t="shared" si="17"/>
        <v>21625.727999999999</v>
      </c>
      <c r="N131" s="243">
        <f>INDEX($AN$4:$AN21027,MATCH($A131,$AH$4:$AH$2000,0))</f>
        <v>10812.864</v>
      </c>
      <c r="O131" s="243">
        <f t="shared" si="26"/>
        <v>10812.864</v>
      </c>
      <c r="P131" s="243">
        <f t="shared" si="18"/>
        <v>27032.16</v>
      </c>
      <c r="Q131" s="243">
        <f t="shared" si="19"/>
        <v>0</v>
      </c>
      <c r="R131" s="243">
        <f t="shared" si="20"/>
        <v>0</v>
      </c>
      <c r="S131" s="243">
        <f t="shared" si="27"/>
        <v>0</v>
      </c>
      <c r="T131" s="243">
        <f t="shared" si="21"/>
        <v>0</v>
      </c>
      <c r="AA131" s="6">
        <v>166</v>
      </c>
      <c r="AB131" t="s">
        <v>80</v>
      </c>
      <c r="AC131" t="s">
        <v>81</v>
      </c>
      <c r="AD131" t="s">
        <v>4</v>
      </c>
      <c r="AE131" t="s">
        <v>171</v>
      </c>
      <c r="AF131">
        <v>6.4</v>
      </c>
      <c r="AG131">
        <v>0</v>
      </c>
      <c r="AH131">
        <v>102</v>
      </c>
      <c r="AI131" t="s">
        <v>80</v>
      </c>
      <c r="AJ131" t="s">
        <v>81</v>
      </c>
      <c r="AK131" t="s">
        <v>148</v>
      </c>
      <c r="AL131" t="s">
        <v>179</v>
      </c>
      <c r="AM131" s="314">
        <v>21625.727999999999</v>
      </c>
      <c r="AN131" s="314">
        <v>10812.864</v>
      </c>
      <c r="AO131" s="314">
        <v>10812.864</v>
      </c>
      <c r="AP131" s="314">
        <v>27032.16</v>
      </c>
      <c r="AQ131" s="314">
        <v>2.5130399999999997</v>
      </c>
      <c r="AR131" s="314">
        <v>1.2565199999999999</v>
      </c>
      <c r="AS131" s="314">
        <v>1.2565199999999999</v>
      </c>
      <c r="AT131" s="314">
        <v>3.1412999999999998</v>
      </c>
      <c r="AU131" s="314">
        <v>0</v>
      </c>
      <c r="AV131" s="314">
        <v>0</v>
      </c>
      <c r="AW131" s="314">
        <v>0</v>
      </c>
      <c r="AX131">
        <v>0</v>
      </c>
    </row>
    <row r="132" spans="1:50" x14ac:dyDescent="0.35">
      <c r="A132">
        <v>223</v>
      </c>
      <c r="B132" t="s">
        <v>80</v>
      </c>
      <c r="C132" t="s">
        <v>81</v>
      </c>
      <c r="D132" t="s">
        <v>105</v>
      </c>
      <c r="E132" t="s">
        <v>180</v>
      </c>
      <c r="F132">
        <v>1</v>
      </c>
      <c r="G132">
        <v>2</v>
      </c>
      <c r="H132">
        <v>2</v>
      </c>
      <c r="I132">
        <v>2</v>
      </c>
      <c r="J132" s="600">
        <v>7</v>
      </c>
      <c r="K132" s="7">
        <f t="shared" si="15"/>
        <v>15</v>
      </c>
      <c r="L132" s="7">
        <f t="shared" si="16"/>
        <v>0</v>
      </c>
      <c r="M132" s="243">
        <f t="shared" si="17"/>
        <v>8968.3266000000003</v>
      </c>
      <c r="N132" s="243">
        <f>INDEX($AN$4:$AN21028,MATCH($A132,$AH$4:$AH$2000,0))</f>
        <v>17936.653200000001</v>
      </c>
      <c r="O132" s="243">
        <f t="shared" si="26"/>
        <v>17936.653200000001</v>
      </c>
      <c r="P132" s="243">
        <f t="shared" si="18"/>
        <v>17936.653200000001</v>
      </c>
      <c r="Q132" s="243">
        <f t="shared" si="19"/>
        <v>427.14</v>
      </c>
      <c r="R132" s="243">
        <f t="shared" si="20"/>
        <v>854.28</v>
      </c>
      <c r="S132" s="243">
        <f t="shared" si="27"/>
        <v>854.28</v>
      </c>
      <c r="T132" s="243">
        <f t="shared" si="21"/>
        <v>854.28</v>
      </c>
      <c r="AA132" s="6">
        <v>165</v>
      </c>
      <c r="AB132" t="s">
        <v>80</v>
      </c>
      <c r="AC132" t="s">
        <v>81</v>
      </c>
      <c r="AD132" t="s">
        <v>4</v>
      </c>
      <c r="AE132" t="s">
        <v>172</v>
      </c>
      <c r="AF132">
        <v>6.4</v>
      </c>
      <c r="AG132">
        <v>0</v>
      </c>
      <c r="AH132">
        <v>223</v>
      </c>
      <c r="AI132" t="s">
        <v>80</v>
      </c>
      <c r="AJ132" t="s">
        <v>81</v>
      </c>
      <c r="AK132" t="s">
        <v>105</v>
      </c>
      <c r="AL132" t="s">
        <v>180</v>
      </c>
      <c r="AM132" s="314">
        <v>8968.3266000000003</v>
      </c>
      <c r="AN132" s="314">
        <v>17936.653200000001</v>
      </c>
      <c r="AO132" s="314">
        <v>17936.653200000001</v>
      </c>
      <c r="AP132" s="314">
        <v>17936.653200000001</v>
      </c>
      <c r="AQ132" s="314">
        <v>46.949699999999993</v>
      </c>
      <c r="AR132" s="314">
        <v>93.899399999999986</v>
      </c>
      <c r="AS132" s="314">
        <v>93.899399999999986</v>
      </c>
      <c r="AT132" s="314">
        <v>93.899399999999986</v>
      </c>
      <c r="AU132" s="314">
        <v>427.14</v>
      </c>
      <c r="AV132" s="314">
        <v>854.28</v>
      </c>
      <c r="AW132" s="314">
        <v>854.28</v>
      </c>
      <c r="AX132">
        <v>854.28</v>
      </c>
    </row>
    <row r="133" spans="1:50" x14ac:dyDescent="0.35">
      <c r="A133">
        <v>97</v>
      </c>
      <c r="B133" t="s">
        <v>80</v>
      </c>
      <c r="C133" t="s">
        <v>81</v>
      </c>
      <c r="D133" t="s">
        <v>100</v>
      </c>
      <c r="E133" t="s">
        <v>181</v>
      </c>
      <c r="F133">
        <v>14</v>
      </c>
      <c r="G133">
        <v>10</v>
      </c>
      <c r="H133">
        <v>23</v>
      </c>
      <c r="I133">
        <v>23</v>
      </c>
      <c r="J133" s="600">
        <v>70</v>
      </c>
      <c r="K133" s="7">
        <f t="shared" ref="K133:K196" si="28">INDEX($AF$4:$AF$2000,MATCH(A133,$AA$4:$AA$2000,0))</f>
        <v>15</v>
      </c>
      <c r="L133" s="7">
        <f t="shared" ref="L133:L196" si="29">INDEX($AG$4:$AG$2000,MATCH(A133,$AA$4:$AA$2000,0))</f>
        <v>0</v>
      </c>
      <c r="M133" s="243">
        <f t="shared" ref="M133:M196" si="30">INDEX($AM$4:$AM$2000,MATCH($A133,$AH$4:$AH$2000,0))</f>
        <v>-8607.7096374339817</v>
      </c>
      <c r="N133" s="243">
        <f>INDEX($AN$4:$AN21029,MATCH($A133,$AH$4:$AH$2000,0))</f>
        <v>-6148.3640267385581</v>
      </c>
      <c r="O133" s="243">
        <f t="shared" si="26"/>
        <v>-14141.237261498683</v>
      </c>
      <c r="P133" s="243">
        <f t="shared" ref="P133:P196" si="31">INDEX($AP$4:$AP$2000,MATCH($A133,$AH$4:$AH$2000,0))</f>
        <v>-14141.237261498683</v>
      </c>
      <c r="Q133" s="243">
        <f t="shared" ref="Q133:Q196" si="32">INDEX($AU$4:$AU$2000,MATCH($A133,$AH$4:$AH$2000,0))</f>
        <v>9757.8862774227418</v>
      </c>
      <c r="R133" s="243">
        <f t="shared" ref="R133:R196" si="33">INDEX($AV$4:$AV$2000,MATCH($A133,$AH$4:$AH$2000,0))</f>
        <v>6969.9187695876735</v>
      </c>
      <c r="S133" s="243">
        <f t="shared" si="27"/>
        <v>16030.813170051648</v>
      </c>
      <c r="T133" s="243">
        <f t="shared" ref="T133:T196" si="34">INDEX($AX$4:$AX$2000,MATCH($A133,$AH$4:$AH$2000,0))</f>
        <v>16030.813170051648</v>
      </c>
      <c r="AA133" s="6">
        <v>34</v>
      </c>
      <c r="AB133" t="s">
        <v>80</v>
      </c>
      <c r="AC133" t="s">
        <v>81</v>
      </c>
      <c r="AD133">
        <v>0</v>
      </c>
      <c r="AE133" t="s">
        <v>1015</v>
      </c>
      <c r="AG133">
        <v>0</v>
      </c>
      <c r="AH133">
        <v>97</v>
      </c>
      <c r="AI133" t="s">
        <v>80</v>
      </c>
      <c r="AJ133" t="s">
        <v>81</v>
      </c>
      <c r="AK133" t="s">
        <v>100</v>
      </c>
      <c r="AL133" t="s">
        <v>181</v>
      </c>
      <c r="AM133" s="314">
        <v>-8607.7096374339817</v>
      </c>
      <c r="AN133" s="314">
        <v>-6148.3640267385581</v>
      </c>
      <c r="AO133" s="314">
        <v>-14141.237261498683</v>
      </c>
      <c r="AP133" s="314">
        <v>-14141.237261498683</v>
      </c>
      <c r="AQ133" s="314">
        <v>-1.3800377787558689</v>
      </c>
      <c r="AR133" s="314">
        <v>-0.98574127053990623</v>
      </c>
      <c r="AS133" s="314">
        <v>-2.2672049222417843</v>
      </c>
      <c r="AT133" s="314">
        <v>-2.2672049222417843</v>
      </c>
      <c r="AU133" s="314">
        <v>9757.8862774227418</v>
      </c>
      <c r="AV133" s="314">
        <v>6969.9187695876735</v>
      </c>
      <c r="AW133" s="314">
        <v>16030.813170051648</v>
      </c>
      <c r="AX133">
        <v>16030.813170051648</v>
      </c>
    </row>
    <row r="134" spans="1:50" x14ac:dyDescent="0.35">
      <c r="A134">
        <v>190</v>
      </c>
      <c r="B134" t="s">
        <v>80</v>
      </c>
      <c r="C134" t="s">
        <v>81</v>
      </c>
      <c r="D134" t="s">
        <v>5</v>
      </c>
      <c r="E134" t="s">
        <v>182</v>
      </c>
      <c r="F134">
        <v>5</v>
      </c>
      <c r="G134">
        <v>4</v>
      </c>
      <c r="H134">
        <v>5</v>
      </c>
      <c r="I134">
        <v>6</v>
      </c>
      <c r="J134" s="600">
        <v>20</v>
      </c>
      <c r="K134" s="7">
        <f t="shared" si="28"/>
        <v>14</v>
      </c>
      <c r="L134" s="7">
        <f t="shared" si="29"/>
        <v>0</v>
      </c>
      <c r="M134" s="243">
        <f t="shared" si="30"/>
        <v>0</v>
      </c>
      <c r="N134" s="243">
        <f>INDEX($AN$4:$AN21030,MATCH($A134,$AH$4:$AH$2000,0))</f>
        <v>0</v>
      </c>
      <c r="O134" s="243">
        <f t="shared" si="26"/>
        <v>0</v>
      </c>
      <c r="P134" s="243">
        <f t="shared" si="31"/>
        <v>0</v>
      </c>
      <c r="Q134" s="243">
        <f t="shared" si="32"/>
        <v>1367.3610000000003</v>
      </c>
      <c r="R134" s="243">
        <f t="shared" si="33"/>
        <v>1093.8888000000002</v>
      </c>
      <c r="S134" s="243">
        <f t="shared" si="27"/>
        <v>1367.3610000000003</v>
      </c>
      <c r="T134" s="243">
        <f t="shared" si="34"/>
        <v>1640.8332000000003</v>
      </c>
      <c r="AA134" s="6">
        <v>240</v>
      </c>
      <c r="AB134" t="s">
        <v>80</v>
      </c>
      <c r="AC134" t="s">
        <v>81</v>
      </c>
      <c r="AD134" t="s">
        <v>15</v>
      </c>
      <c r="AE134" t="s">
        <v>1016</v>
      </c>
      <c r="AF134">
        <v>10</v>
      </c>
      <c r="AG134">
        <v>0</v>
      </c>
      <c r="AH134">
        <v>190</v>
      </c>
      <c r="AI134" t="s">
        <v>80</v>
      </c>
      <c r="AJ134" t="s">
        <v>81</v>
      </c>
      <c r="AK134" t="s">
        <v>5</v>
      </c>
      <c r="AL134" t="s">
        <v>182</v>
      </c>
      <c r="AM134" s="314">
        <v>0</v>
      </c>
      <c r="AN134" s="314">
        <v>0</v>
      </c>
      <c r="AO134" s="314">
        <v>0</v>
      </c>
      <c r="AP134" s="314">
        <v>0</v>
      </c>
      <c r="AQ134" s="314">
        <v>0</v>
      </c>
      <c r="AR134" s="314">
        <v>0</v>
      </c>
      <c r="AS134" s="314">
        <v>0</v>
      </c>
      <c r="AT134" s="314">
        <v>0</v>
      </c>
      <c r="AU134" s="314">
        <v>1367.3610000000003</v>
      </c>
      <c r="AV134" s="314">
        <v>1093.8888000000002</v>
      </c>
      <c r="AW134" s="314">
        <v>1367.3610000000003</v>
      </c>
      <c r="AX134">
        <v>1640.8332000000003</v>
      </c>
    </row>
    <row r="135" spans="1:50" x14ac:dyDescent="0.35">
      <c r="A135">
        <v>194</v>
      </c>
      <c r="B135" t="s">
        <v>80</v>
      </c>
      <c r="C135" t="s">
        <v>81</v>
      </c>
      <c r="D135" t="s">
        <v>5</v>
      </c>
      <c r="E135" t="s">
        <v>262</v>
      </c>
      <c r="F135">
        <v>9</v>
      </c>
      <c r="G135">
        <v>11</v>
      </c>
      <c r="H135">
        <v>11</v>
      </c>
      <c r="I135">
        <v>11</v>
      </c>
      <c r="J135" s="600">
        <v>42</v>
      </c>
      <c r="K135" s="7">
        <f t="shared" si="28"/>
        <v>15</v>
      </c>
      <c r="L135" s="7">
        <f t="shared" si="29"/>
        <v>0</v>
      </c>
      <c r="M135" s="243">
        <f t="shared" si="30"/>
        <v>776.447856</v>
      </c>
      <c r="N135" s="243">
        <f>INDEX($AN$4:$AN21031,MATCH($A135,$AH$4:$AH$2000,0))</f>
        <v>948.99182400000007</v>
      </c>
      <c r="O135" s="243">
        <f t="shared" si="26"/>
        <v>948.99182400000007</v>
      </c>
      <c r="P135" s="243">
        <f t="shared" si="31"/>
        <v>948.99182400000007</v>
      </c>
      <c r="Q135" s="243">
        <f t="shared" si="32"/>
        <v>0</v>
      </c>
      <c r="R135" s="243">
        <f t="shared" si="33"/>
        <v>0</v>
      </c>
      <c r="S135" s="243">
        <f t="shared" si="27"/>
        <v>0</v>
      </c>
      <c r="T135" s="243">
        <f t="shared" si="34"/>
        <v>0</v>
      </c>
      <c r="AA135" s="6">
        <v>151</v>
      </c>
      <c r="AB135" t="s">
        <v>80</v>
      </c>
      <c r="AC135" t="s">
        <v>81</v>
      </c>
      <c r="AD135" t="s">
        <v>4</v>
      </c>
      <c r="AE135" t="s">
        <v>1017</v>
      </c>
      <c r="AF135">
        <v>15</v>
      </c>
      <c r="AG135">
        <v>0</v>
      </c>
      <c r="AH135">
        <v>194</v>
      </c>
      <c r="AI135" t="s">
        <v>80</v>
      </c>
      <c r="AJ135" t="s">
        <v>81</v>
      </c>
      <c r="AK135" t="s">
        <v>5</v>
      </c>
      <c r="AL135" t="s">
        <v>262</v>
      </c>
      <c r="AM135" s="314">
        <v>776.447856</v>
      </c>
      <c r="AN135" s="314">
        <v>948.99182400000007</v>
      </c>
      <c r="AO135" s="314">
        <v>948.99182400000007</v>
      </c>
      <c r="AP135" s="314">
        <v>948.99182400000007</v>
      </c>
      <c r="AQ135" s="314">
        <v>8.8635599999999981E-2</v>
      </c>
      <c r="AR135" s="314">
        <v>0.10833239999999998</v>
      </c>
      <c r="AS135" s="314">
        <v>0.10833239999999998</v>
      </c>
      <c r="AT135" s="314">
        <v>0.10833239999999998</v>
      </c>
      <c r="AU135" s="314">
        <v>0</v>
      </c>
      <c r="AV135" s="314">
        <v>0</v>
      </c>
      <c r="AW135" s="314">
        <v>0</v>
      </c>
      <c r="AX135">
        <v>0</v>
      </c>
    </row>
    <row r="136" spans="1:50" x14ac:dyDescent="0.35">
      <c r="A136">
        <v>175</v>
      </c>
      <c r="B136" t="s">
        <v>80</v>
      </c>
      <c r="C136" t="s">
        <v>81</v>
      </c>
      <c r="D136" t="s">
        <v>5</v>
      </c>
      <c r="E136" t="s">
        <v>183</v>
      </c>
      <c r="F136">
        <v>45</v>
      </c>
      <c r="G136">
        <v>47</v>
      </c>
      <c r="H136">
        <v>49</v>
      </c>
      <c r="I136">
        <v>50</v>
      </c>
      <c r="J136" s="600">
        <v>191</v>
      </c>
      <c r="K136" s="7">
        <f t="shared" si="28"/>
        <v>15</v>
      </c>
      <c r="L136" s="7">
        <f t="shared" si="29"/>
        <v>0</v>
      </c>
      <c r="M136" s="243">
        <f t="shared" si="30"/>
        <v>324113.13707865187</v>
      </c>
      <c r="N136" s="243">
        <f>INDEX($AN$4:$AN21032,MATCH($A136,$AH$4:$AH$2000,0))</f>
        <v>338518.16539325862</v>
      </c>
      <c r="O136" s="243">
        <f t="shared" si="26"/>
        <v>352923.19370786537</v>
      </c>
      <c r="P136" s="243">
        <f t="shared" si="31"/>
        <v>360125.70786516875</v>
      </c>
      <c r="Q136" s="243">
        <f t="shared" si="32"/>
        <v>0</v>
      </c>
      <c r="R136" s="243">
        <f t="shared" si="33"/>
        <v>0</v>
      </c>
      <c r="S136" s="243">
        <f t="shared" si="27"/>
        <v>0</v>
      </c>
      <c r="T136" s="243">
        <f t="shared" si="34"/>
        <v>0</v>
      </c>
      <c r="AA136" s="6">
        <v>147</v>
      </c>
      <c r="AB136" t="s">
        <v>80</v>
      </c>
      <c r="AC136" t="s">
        <v>81</v>
      </c>
      <c r="AD136" t="s">
        <v>4</v>
      </c>
      <c r="AE136" t="s">
        <v>173</v>
      </c>
      <c r="AF136">
        <v>10.197838058331634</v>
      </c>
      <c r="AG136">
        <v>0</v>
      </c>
      <c r="AH136">
        <v>175</v>
      </c>
      <c r="AI136" t="s">
        <v>80</v>
      </c>
      <c r="AJ136" t="s">
        <v>81</v>
      </c>
      <c r="AK136" t="s">
        <v>5</v>
      </c>
      <c r="AL136" t="s">
        <v>183</v>
      </c>
      <c r="AM136" s="314">
        <v>324113.13707865187</v>
      </c>
      <c r="AN136" s="314">
        <v>338518.16539325862</v>
      </c>
      <c r="AO136" s="314">
        <v>352923.19370786537</v>
      </c>
      <c r="AP136" s="314">
        <v>360125.70786516875</v>
      </c>
      <c r="AQ136" s="314">
        <v>8.5333868378811673</v>
      </c>
      <c r="AR136" s="314">
        <v>8.9126484751203314</v>
      </c>
      <c r="AS136" s="314">
        <v>9.2919101123594938</v>
      </c>
      <c r="AT136" s="314">
        <v>9.4815409309790759</v>
      </c>
      <c r="AU136" s="314">
        <v>0</v>
      </c>
      <c r="AV136" s="314">
        <v>0</v>
      </c>
      <c r="AW136" s="314">
        <v>0</v>
      </c>
      <c r="AX136">
        <v>0</v>
      </c>
    </row>
    <row r="137" spans="1:50" x14ac:dyDescent="0.35">
      <c r="A137">
        <v>173</v>
      </c>
      <c r="B137" t="s">
        <v>80</v>
      </c>
      <c r="C137" t="s">
        <v>81</v>
      </c>
      <c r="D137" t="s">
        <v>4</v>
      </c>
      <c r="E137" t="s">
        <v>184</v>
      </c>
      <c r="F137">
        <v>1</v>
      </c>
      <c r="G137">
        <v>2</v>
      </c>
      <c r="H137">
        <v>2</v>
      </c>
      <c r="I137">
        <v>2</v>
      </c>
      <c r="J137" s="600">
        <v>7</v>
      </c>
      <c r="K137" s="7">
        <f t="shared" si="28"/>
        <v>8</v>
      </c>
      <c r="L137" s="7">
        <f t="shared" si="29"/>
        <v>0</v>
      </c>
      <c r="M137" s="243">
        <f t="shared" si="30"/>
        <v>224.04063481200001</v>
      </c>
      <c r="N137" s="243">
        <f>INDEX($AN$4:$AN21033,MATCH($A137,$AH$4:$AH$2000,0))</f>
        <v>448.08126962400002</v>
      </c>
      <c r="O137" s="243">
        <f t="shared" si="26"/>
        <v>448.08126962400002</v>
      </c>
      <c r="P137" s="243">
        <f t="shared" si="31"/>
        <v>448.08126962400002</v>
      </c>
      <c r="Q137" s="243">
        <f t="shared" si="32"/>
        <v>-4.5219210695999994</v>
      </c>
      <c r="R137" s="243">
        <f t="shared" si="33"/>
        <v>-9.0438421391999988</v>
      </c>
      <c r="S137" s="243">
        <f t="shared" si="27"/>
        <v>-9.0438421391999988</v>
      </c>
      <c r="T137" s="243">
        <f t="shared" si="34"/>
        <v>-9.0438421391999988</v>
      </c>
      <c r="AA137" s="6">
        <v>130</v>
      </c>
      <c r="AB137" t="s">
        <v>80</v>
      </c>
      <c r="AC137" t="s">
        <v>81</v>
      </c>
      <c r="AD137" t="s">
        <v>4</v>
      </c>
      <c r="AE137" t="s">
        <v>244</v>
      </c>
      <c r="AF137">
        <v>12.8</v>
      </c>
      <c r="AG137">
        <v>0</v>
      </c>
      <c r="AH137">
        <v>173</v>
      </c>
      <c r="AI137" t="s">
        <v>80</v>
      </c>
      <c r="AJ137" t="s">
        <v>81</v>
      </c>
      <c r="AK137" t="s">
        <v>4</v>
      </c>
      <c r="AL137" t="s">
        <v>184</v>
      </c>
      <c r="AM137" s="314">
        <v>224.04063481200001</v>
      </c>
      <c r="AN137" s="314">
        <v>448.08126962400002</v>
      </c>
      <c r="AO137" s="314">
        <v>448.08126962400002</v>
      </c>
      <c r="AP137" s="314">
        <v>448.08126962400002</v>
      </c>
      <c r="AQ137" s="314">
        <v>0.175796388</v>
      </c>
      <c r="AR137" s="314">
        <v>0.351592776</v>
      </c>
      <c r="AS137" s="314">
        <v>0.351592776</v>
      </c>
      <c r="AT137" s="314">
        <v>0.351592776</v>
      </c>
      <c r="AU137" s="314">
        <v>-4.5219210695999994</v>
      </c>
      <c r="AV137" s="314">
        <v>-9.0438421391999988</v>
      </c>
      <c r="AW137" s="314">
        <v>-9.0438421391999988</v>
      </c>
      <c r="AX137">
        <v>-9.0438421391999988</v>
      </c>
    </row>
    <row r="138" spans="1:50" x14ac:dyDescent="0.35">
      <c r="A138">
        <v>202</v>
      </c>
      <c r="B138" t="s">
        <v>80</v>
      </c>
      <c r="C138" t="s">
        <v>81</v>
      </c>
      <c r="D138" t="s">
        <v>5</v>
      </c>
      <c r="E138" t="s">
        <v>185</v>
      </c>
      <c r="F138">
        <v>1</v>
      </c>
      <c r="G138">
        <v>2</v>
      </c>
      <c r="H138">
        <v>2</v>
      </c>
      <c r="I138">
        <v>2</v>
      </c>
      <c r="J138" s="600">
        <v>7</v>
      </c>
      <c r="K138" s="7">
        <f t="shared" si="28"/>
        <v>5</v>
      </c>
      <c r="L138" s="7">
        <f t="shared" si="29"/>
        <v>0</v>
      </c>
      <c r="M138" s="243">
        <f t="shared" si="30"/>
        <v>1340.403</v>
      </c>
      <c r="N138" s="243">
        <f>INDEX($AN$4:$AN21034,MATCH($A138,$AH$4:$AH$2000,0))</f>
        <v>2680.806</v>
      </c>
      <c r="O138" s="243">
        <f t="shared" si="26"/>
        <v>2680.806</v>
      </c>
      <c r="P138" s="243">
        <f t="shared" si="31"/>
        <v>2680.806</v>
      </c>
      <c r="Q138" s="243">
        <f t="shared" si="32"/>
        <v>0</v>
      </c>
      <c r="R138" s="243">
        <f t="shared" si="33"/>
        <v>0</v>
      </c>
      <c r="S138" s="243">
        <f t="shared" si="27"/>
        <v>0</v>
      </c>
      <c r="T138" s="243">
        <f t="shared" si="34"/>
        <v>0</v>
      </c>
      <c r="AA138" s="6">
        <v>131</v>
      </c>
      <c r="AB138" t="s">
        <v>80</v>
      </c>
      <c r="AC138" t="s">
        <v>81</v>
      </c>
      <c r="AD138" t="s">
        <v>4</v>
      </c>
      <c r="AE138" t="s">
        <v>245</v>
      </c>
      <c r="AF138">
        <v>12.8</v>
      </c>
      <c r="AG138">
        <v>0</v>
      </c>
      <c r="AH138">
        <v>202</v>
      </c>
      <c r="AI138" t="s">
        <v>80</v>
      </c>
      <c r="AJ138" t="s">
        <v>81</v>
      </c>
      <c r="AK138" t="s">
        <v>5</v>
      </c>
      <c r="AL138" t="s">
        <v>185</v>
      </c>
      <c r="AM138" s="314">
        <v>1340.403</v>
      </c>
      <c r="AN138" s="314">
        <v>2680.806</v>
      </c>
      <c r="AO138" s="314">
        <v>2680.806</v>
      </c>
      <c r="AP138" s="314">
        <v>2680.806</v>
      </c>
      <c r="AQ138" s="314">
        <v>0.33240000000000003</v>
      </c>
      <c r="AR138" s="314">
        <v>0.66480000000000006</v>
      </c>
      <c r="AS138" s="314">
        <v>0.66480000000000006</v>
      </c>
      <c r="AT138" s="314">
        <v>0.66480000000000006</v>
      </c>
      <c r="AU138" s="314">
        <v>0</v>
      </c>
      <c r="AV138" s="314">
        <v>0</v>
      </c>
      <c r="AW138" s="314">
        <v>0</v>
      </c>
      <c r="AX138">
        <v>0</v>
      </c>
    </row>
    <row r="139" spans="1:50" x14ac:dyDescent="0.35">
      <c r="A139">
        <v>203</v>
      </c>
      <c r="B139" t="s">
        <v>80</v>
      </c>
      <c r="C139" t="s">
        <v>81</v>
      </c>
      <c r="D139" t="s">
        <v>5</v>
      </c>
      <c r="E139" t="s">
        <v>186</v>
      </c>
      <c r="F139">
        <v>1</v>
      </c>
      <c r="G139">
        <v>2</v>
      </c>
      <c r="H139">
        <v>2</v>
      </c>
      <c r="I139">
        <v>2</v>
      </c>
      <c r="J139" s="600">
        <v>7</v>
      </c>
      <c r="K139" s="7">
        <f t="shared" si="28"/>
        <v>5</v>
      </c>
      <c r="L139" s="7">
        <f t="shared" si="29"/>
        <v>0</v>
      </c>
      <c r="M139" s="243">
        <f t="shared" si="30"/>
        <v>1340.403</v>
      </c>
      <c r="N139" s="243">
        <f>INDEX($AN$4:$AN21035,MATCH($A139,$AH$4:$AH$2000,0))</f>
        <v>2680.806</v>
      </c>
      <c r="O139" s="243">
        <f t="shared" si="26"/>
        <v>2680.806</v>
      </c>
      <c r="P139" s="243">
        <f t="shared" si="31"/>
        <v>2680.806</v>
      </c>
      <c r="Q139" s="243">
        <f t="shared" si="32"/>
        <v>0</v>
      </c>
      <c r="R139" s="243">
        <f t="shared" si="33"/>
        <v>0</v>
      </c>
      <c r="S139" s="243">
        <f t="shared" si="27"/>
        <v>0</v>
      </c>
      <c r="T139" s="243">
        <f t="shared" si="34"/>
        <v>0</v>
      </c>
      <c r="AA139" s="6">
        <v>132</v>
      </c>
      <c r="AB139" t="s">
        <v>80</v>
      </c>
      <c r="AC139" t="s">
        <v>81</v>
      </c>
      <c r="AD139" t="s">
        <v>4</v>
      </c>
      <c r="AE139" t="s">
        <v>246</v>
      </c>
      <c r="AF139">
        <v>12.8</v>
      </c>
      <c r="AG139">
        <v>0</v>
      </c>
      <c r="AH139">
        <v>203</v>
      </c>
      <c r="AI139" t="s">
        <v>80</v>
      </c>
      <c r="AJ139" t="s">
        <v>81</v>
      </c>
      <c r="AK139" t="s">
        <v>5</v>
      </c>
      <c r="AL139" t="s">
        <v>186</v>
      </c>
      <c r="AM139" s="314">
        <v>1340.403</v>
      </c>
      <c r="AN139" s="314">
        <v>2680.806</v>
      </c>
      <c r="AO139" s="314">
        <v>2680.806</v>
      </c>
      <c r="AP139" s="314">
        <v>2680.806</v>
      </c>
      <c r="AQ139" s="314">
        <v>0.33240000000000003</v>
      </c>
      <c r="AR139" s="314">
        <v>0.66480000000000006</v>
      </c>
      <c r="AS139" s="314">
        <v>0.66480000000000006</v>
      </c>
      <c r="AT139" s="314">
        <v>0.66480000000000006</v>
      </c>
      <c r="AU139" s="314">
        <v>0</v>
      </c>
      <c r="AV139" s="314">
        <v>0</v>
      </c>
      <c r="AW139" s="314">
        <v>0</v>
      </c>
      <c r="AX139">
        <v>0</v>
      </c>
    </row>
    <row r="140" spans="1:50" x14ac:dyDescent="0.35">
      <c r="A140">
        <v>201</v>
      </c>
      <c r="B140" t="s">
        <v>80</v>
      </c>
      <c r="C140" t="s">
        <v>81</v>
      </c>
      <c r="D140" t="s">
        <v>5</v>
      </c>
      <c r="E140" t="s">
        <v>187</v>
      </c>
      <c r="F140">
        <v>1</v>
      </c>
      <c r="G140">
        <v>2</v>
      </c>
      <c r="H140">
        <v>2</v>
      </c>
      <c r="I140">
        <v>2</v>
      </c>
      <c r="J140" s="600">
        <v>7</v>
      </c>
      <c r="K140" s="7">
        <f t="shared" si="28"/>
        <v>5</v>
      </c>
      <c r="L140" s="7">
        <f t="shared" si="29"/>
        <v>0</v>
      </c>
      <c r="M140" s="243">
        <f t="shared" si="30"/>
        <v>1340.403</v>
      </c>
      <c r="N140" s="243">
        <f>INDEX($AN$4:$AN21036,MATCH($A140,$AH$4:$AH$2000,0))</f>
        <v>2680.806</v>
      </c>
      <c r="O140" s="243">
        <f t="shared" si="26"/>
        <v>2680.806</v>
      </c>
      <c r="P140" s="243">
        <f t="shared" si="31"/>
        <v>2680.806</v>
      </c>
      <c r="Q140" s="243">
        <f t="shared" si="32"/>
        <v>0</v>
      </c>
      <c r="R140" s="243">
        <f t="shared" si="33"/>
        <v>0</v>
      </c>
      <c r="S140" s="243">
        <f t="shared" si="27"/>
        <v>0</v>
      </c>
      <c r="T140" s="243">
        <f t="shared" si="34"/>
        <v>0</v>
      </c>
      <c r="AA140" s="6">
        <v>133</v>
      </c>
      <c r="AB140" t="s">
        <v>80</v>
      </c>
      <c r="AC140" t="s">
        <v>81</v>
      </c>
      <c r="AD140" t="s">
        <v>4</v>
      </c>
      <c r="AE140" t="s">
        <v>247</v>
      </c>
      <c r="AF140">
        <v>12.8</v>
      </c>
      <c r="AG140">
        <v>0</v>
      </c>
      <c r="AH140">
        <v>201</v>
      </c>
      <c r="AI140" t="s">
        <v>80</v>
      </c>
      <c r="AJ140" t="s">
        <v>81</v>
      </c>
      <c r="AK140" t="s">
        <v>5</v>
      </c>
      <c r="AL140" t="s">
        <v>187</v>
      </c>
      <c r="AM140" s="314">
        <v>1340.403</v>
      </c>
      <c r="AN140" s="314">
        <v>2680.806</v>
      </c>
      <c r="AO140" s="314">
        <v>2680.806</v>
      </c>
      <c r="AP140" s="314">
        <v>2680.806</v>
      </c>
      <c r="AQ140" s="314">
        <v>0.33240000000000003</v>
      </c>
      <c r="AR140" s="314">
        <v>0.66480000000000006</v>
      </c>
      <c r="AS140" s="314">
        <v>0.66480000000000006</v>
      </c>
      <c r="AT140" s="314">
        <v>0.66480000000000006</v>
      </c>
      <c r="AU140" s="314">
        <v>0</v>
      </c>
      <c r="AV140" s="314">
        <v>0</v>
      </c>
      <c r="AW140" s="314">
        <v>0</v>
      </c>
      <c r="AX140">
        <v>0</v>
      </c>
    </row>
    <row r="141" spans="1:50" x14ac:dyDescent="0.35">
      <c r="A141">
        <v>204</v>
      </c>
      <c r="B141" t="s">
        <v>80</v>
      </c>
      <c r="C141" t="s">
        <v>81</v>
      </c>
      <c r="D141" t="s">
        <v>5</v>
      </c>
      <c r="E141" t="s">
        <v>188</v>
      </c>
      <c r="F141">
        <v>1</v>
      </c>
      <c r="G141">
        <v>2</v>
      </c>
      <c r="H141">
        <v>2</v>
      </c>
      <c r="I141">
        <v>2</v>
      </c>
      <c r="J141" s="600">
        <v>7</v>
      </c>
      <c r="K141" s="7">
        <f t="shared" si="28"/>
        <v>5</v>
      </c>
      <c r="L141" s="7">
        <f t="shared" si="29"/>
        <v>0</v>
      </c>
      <c r="M141" s="243">
        <f t="shared" si="30"/>
        <v>1340.403</v>
      </c>
      <c r="N141" s="243">
        <f>INDEX($AN$4:$AN21037,MATCH($A141,$AH$4:$AH$2000,0))</f>
        <v>2680.806</v>
      </c>
      <c r="O141" s="243">
        <f t="shared" si="26"/>
        <v>2680.806</v>
      </c>
      <c r="P141" s="243">
        <f t="shared" si="31"/>
        <v>2680.806</v>
      </c>
      <c r="Q141" s="243">
        <f t="shared" si="32"/>
        <v>0</v>
      </c>
      <c r="R141" s="243">
        <f t="shared" si="33"/>
        <v>0</v>
      </c>
      <c r="S141" s="243">
        <f t="shared" si="27"/>
        <v>0</v>
      </c>
      <c r="T141" s="243">
        <f t="shared" si="34"/>
        <v>0</v>
      </c>
      <c r="AA141" s="6">
        <v>137</v>
      </c>
      <c r="AB141" t="s">
        <v>80</v>
      </c>
      <c r="AC141" t="s">
        <v>81</v>
      </c>
      <c r="AD141" t="s">
        <v>4</v>
      </c>
      <c r="AE141" t="s">
        <v>248</v>
      </c>
      <c r="AF141">
        <v>14.2</v>
      </c>
      <c r="AG141">
        <v>1</v>
      </c>
      <c r="AH141">
        <v>204</v>
      </c>
      <c r="AI141" t="s">
        <v>80</v>
      </c>
      <c r="AJ141" t="s">
        <v>81</v>
      </c>
      <c r="AK141" t="s">
        <v>5</v>
      </c>
      <c r="AL141" t="s">
        <v>188</v>
      </c>
      <c r="AM141" s="314">
        <v>1340.403</v>
      </c>
      <c r="AN141" s="314">
        <v>2680.806</v>
      </c>
      <c r="AO141" s="314">
        <v>2680.806</v>
      </c>
      <c r="AP141" s="314">
        <v>2680.806</v>
      </c>
      <c r="AQ141" s="314">
        <v>0.33240000000000003</v>
      </c>
      <c r="AR141" s="314">
        <v>0.66480000000000006</v>
      </c>
      <c r="AS141" s="314">
        <v>0.66480000000000006</v>
      </c>
      <c r="AT141" s="314">
        <v>0.66480000000000006</v>
      </c>
      <c r="AU141" s="314">
        <v>0</v>
      </c>
      <c r="AV141" s="314">
        <v>0</v>
      </c>
      <c r="AW141" s="314">
        <v>0</v>
      </c>
      <c r="AX141">
        <v>0</v>
      </c>
    </row>
    <row r="142" spans="1:50" x14ac:dyDescent="0.35">
      <c r="A142">
        <v>196</v>
      </c>
      <c r="B142" t="s">
        <v>80</v>
      </c>
      <c r="C142" t="s">
        <v>81</v>
      </c>
      <c r="D142" t="s">
        <v>5</v>
      </c>
      <c r="E142" t="s">
        <v>189</v>
      </c>
      <c r="F142">
        <v>1</v>
      </c>
      <c r="G142">
        <v>2</v>
      </c>
      <c r="H142">
        <v>2</v>
      </c>
      <c r="I142">
        <v>2</v>
      </c>
      <c r="J142" s="600">
        <v>7</v>
      </c>
      <c r="K142" s="7">
        <f t="shared" si="28"/>
        <v>5</v>
      </c>
      <c r="L142" s="7">
        <f t="shared" si="29"/>
        <v>0</v>
      </c>
      <c r="M142" s="243">
        <f t="shared" si="30"/>
        <v>321.59699999999998</v>
      </c>
      <c r="N142" s="243">
        <f>INDEX($AN$4:$AN21038,MATCH($A142,$AH$4:$AH$2000,0))</f>
        <v>643.19399999999996</v>
      </c>
      <c r="O142" s="243">
        <f t="shared" si="26"/>
        <v>643.19399999999996</v>
      </c>
      <c r="P142" s="243">
        <f t="shared" si="31"/>
        <v>643.19399999999996</v>
      </c>
      <c r="Q142" s="243">
        <f t="shared" si="32"/>
        <v>0</v>
      </c>
      <c r="R142" s="243">
        <f t="shared" si="33"/>
        <v>0</v>
      </c>
      <c r="S142" s="243">
        <f t="shared" si="27"/>
        <v>0</v>
      </c>
      <c r="T142" s="243">
        <f t="shared" si="34"/>
        <v>0</v>
      </c>
      <c r="AA142" s="6">
        <v>136</v>
      </c>
      <c r="AB142" t="s">
        <v>80</v>
      </c>
      <c r="AC142" t="s">
        <v>81</v>
      </c>
      <c r="AD142" t="s">
        <v>4</v>
      </c>
      <c r="AE142" t="s">
        <v>249</v>
      </c>
      <c r="AF142">
        <v>14.2</v>
      </c>
      <c r="AG142">
        <v>0</v>
      </c>
      <c r="AH142">
        <v>196</v>
      </c>
      <c r="AI142" t="s">
        <v>80</v>
      </c>
      <c r="AJ142" t="s">
        <v>81</v>
      </c>
      <c r="AK142" t="s">
        <v>5</v>
      </c>
      <c r="AL142" t="s">
        <v>189</v>
      </c>
      <c r="AM142" s="314">
        <v>321.59699999999998</v>
      </c>
      <c r="AN142" s="314">
        <v>643.19399999999996</v>
      </c>
      <c r="AO142" s="314">
        <v>643.19399999999996</v>
      </c>
      <c r="AP142" s="314">
        <v>643.19399999999996</v>
      </c>
      <c r="AQ142" s="314">
        <v>8.3100000000000007E-2</v>
      </c>
      <c r="AR142" s="314">
        <v>0.16620000000000001</v>
      </c>
      <c r="AS142" s="314">
        <v>0.16620000000000001</v>
      </c>
      <c r="AT142" s="314">
        <v>0.16620000000000001</v>
      </c>
      <c r="AU142" s="314">
        <v>0</v>
      </c>
      <c r="AV142" s="314">
        <v>0</v>
      </c>
      <c r="AW142" s="314">
        <v>0</v>
      </c>
      <c r="AX142">
        <v>0</v>
      </c>
    </row>
    <row r="143" spans="1:50" x14ac:dyDescent="0.35">
      <c r="A143">
        <v>199</v>
      </c>
      <c r="B143" t="s">
        <v>80</v>
      </c>
      <c r="C143" t="s">
        <v>81</v>
      </c>
      <c r="D143" t="s">
        <v>5</v>
      </c>
      <c r="E143" t="s">
        <v>190</v>
      </c>
      <c r="F143">
        <v>1</v>
      </c>
      <c r="G143">
        <v>2</v>
      </c>
      <c r="H143">
        <v>2</v>
      </c>
      <c r="I143">
        <v>2</v>
      </c>
      <c r="J143" s="600">
        <v>7</v>
      </c>
      <c r="K143" s="7">
        <f t="shared" si="28"/>
        <v>5</v>
      </c>
      <c r="L143" s="7">
        <f t="shared" si="29"/>
        <v>0</v>
      </c>
      <c r="M143" s="243">
        <f t="shared" si="30"/>
        <v>321.59699999999998</v>
      </c>
      <c r="N143" s="243">
        <f>INDEX($AN$4:$AN21039,MATCH($A143,$AH$4:$AH$2000,0))</f>
        <v>643.19399999999996</v>
      </c>
      <c r="O143" s="243">
        <f t="shared" si="26"/>
        <v>643.19399999999996</v>
      </c>
      <c r="P143" s="243">
        <f t="shared" si="31"/>
        <v>643.19399999999996</v>
      </c>
      <c r="Q143" s="243">
        <f t="shared" si="32"/>
        <v>0</v>
      </c>
      <c r="R143" s="243">
        <f t="shared" si="33"/>
        <v>0</v>
      </c>
      <c r="S143" s="243">
        <f t="shared" si="27"/>
        <v>0</v>
      </c>
      <c r="T143" s="243">
        <f t="shared" si="34"/>
        <v>0</v>
      </c>
      <c r="AA143" s="6">
        <v>134</v>
      </c>
      <c r="AB143" t="s">
        <v>80</v>
      </c>
      <c r="AC143" t="s">
        <v>81</v>
      </c>
      <c r="AD143" t="s">
        <v>4</v>
      </c>
      <c r="AE143" t="s">
        <v>250</v>
      </c>
      <c r="AF143">
        <v>14.2</v>
      </c>
      <c r="AG143">
        <v>1</v>
      </c>
      <c r="AH143">
        <v>199</v>
      </c>
      <c r="AI143" t="s">
        <v>80</v>
      </c>
      <c r="AJ143" t="s">
        <v>81</v>
      </c>
      <c r="AK143" t="s">
        <v>5</v>
      </c>
      <c r="AL143" t="s">
        <v>190</v>
      </c>
      <c r="AM143" s="314">
        <v>321.59699999999998</v>
      </c>
      <c r="AN143" s="314">
        <v>643.19399999999996</v>
      </c>
      <c r="AO143" s="314">
        <v>643.19399999999996</v>
      </c>
      <c r="AP143" s="314">
        <v>643.19399999999996</v>
      </c>
      <c r="AQ143" s="314">
        <v>8.3100000000000007E-2</v>
      </c>
      <c r="AR143" s="314">
        <v>0.16620000000000001</v>
      </c>
      <c r="AS143" s="314">
        <v>0.16620000000000001</v>
      </c>
      <c r="AT143" s="314">
        <v>0.16620000000000001</v>
      </c>
      <c r="AU143" s="314">
        <v>0</v>
      </c>
      <c r="AV143" s="314">
        <v>0</v>
      </c>
      <c r="AW143" s="314">
        <v>0</v>
      </c>
      <c r="AX143">
        <v>0</v>
      </c>
    </row>
    <row r="144" spans="1:50" x14ac:dyDescent="0.35">
      <c r="A144">
        <v>197</v>
      </c>
      <c r="B144" t="s">
        <v>80</v>
      </c>
      <c r="C144" t="s">
        <v>81</v>
      </c>
      <c r="D144" t="s">
        <v>5</v>
      </c>
      <c r="E144" t="s">
        <v>191</v>
      </c>
      <c r="F144">
        <v>1</v>
      </c>
      <c r="G144">
        <v>2</v>
      </c>
      <c r="H144">
        <v>2</v>
      </c>
      <c r="I144">
        <v>2</v>
      </c>
      <c r="J144" s="600">
        <v>7</v>
      </c>
      <c r="K144" s="7">
        <f t="shared" si="28"/>
        <v>5</v>
      </c>
      <c r="L144" s="7">
        <f t="shared" si="29"/>
        <v>0</v>
      </c>
      <c r="M144" s="243">
        <f t="shared" si="30"/>
        <v>321.59699999999998</v>
      </c>
      <c r="N144" s="243">
        <f>INDEX($AN$4:$AN21040,MATCH($A144,$AH$4:$AH$2000,0))</f>
        <v>643.19399999999996</v>
      </c>
      <c r="O144" s="243">
        <f t="shared" ref="O144:O163" si="35">INDEX($AO$4:$AO$2000,MATCH($A144,$AH$4:$AH$2000,0))</f>
        <v>643.19399999999996</v>
      </c>
      <c r="P144" s="243">
        <f t="shared" si="31"/>
        <v>643.19399999999996</v>
      </c>
      <c r="Q144" s="243">
        <f t="shared" si="32"/>
        <v>0</v>
      </c>
      <c r="R144" s="243">
        <f t="shared" si="33"/>
        <v>0</v>
      </c>
      <c r="S144" s="243">
        <f t="shared" ref="S144:S163" si="36">INDEX($AW$4:$AW$2000,MATCH($A144,$AH$4:$AH$2000,0))</f>
        <v>0</v>
      </c>
      <c r="T144" s="243">
        <f t="shared" si="34"/>
        <v>0</v>
      </c>
      <c r="AA144" s="6">
        <v>135</v>
      </c>
      <c r="AB144" t="s">
        <v>80</v>
      </c>
      <c r="AC144" t="s">
        <v>81</v>
      </c>
      <c r="AD144" t="s">
        <v>4</v>
      </c>
      <c r="AE144" t="s">
        <v>251</v>
      </c>
      <c r="AF144">
        <v>14.2</v>
      </c>
      <c r="AG144">
        <v>0</v>
      </c>
      <c r="AH144">
        <v>197</v>
      </c>
      <c r="AI144" t="s">
        <v>80</v>
      </c>
      <c r="AJ144" t="s">
        <v>81</v>
      </c>
      <c r="AK144" t="s">
        <v>5</v>
      </c>
      <c r="AL144" t="s">
        <v>191</v>
      </c>
      <c r="AM144" s="314">
        <v>321.59699999999998</v>
      </c>
      <c r="AN144" s="314">
        <v>643.19399999999996</v>
      </c>
      <c r="AO144" s="314">
        <v>643.19399999999996</v>
      </c>
      <c r="AP144" s="314">
        <v>643.19399999999996</v>
      </c>
      <c r="AQ144" s="314">
        <v>8.3100000000000007E-2</v>
      </c>
      <c r="AR144" s="314">
        <v>0.16620000000000001</v>
      </c>
      <c r="AS144" s="314">
        <v>0.16620000000000001</v>
      </c>
      <c r="AT144" s="314">
        <v>0.16620000000000001</v>
      </c>
      <c r="AU144" s="314">
        <v>0</v>
      </c>
      <c r="AV144" s="314">
        <v>0</v>
      </c>
      <c r="AW144" s="314">
        <v>0</v>
      </c>
      <c r="AX144">
        <v>0</v>
      </c>
    </row>
    <row r="145" spans="1:50" x14ac:dyDescent="0.35">
      <c r="A145">
        <v>198</v>
      </c>
      <c r="B145" t="s">
        <v>80</v>
      </c>
      <c r="C145" t="s">
        <v>81</v>
      </c>
      <c r="D145" t="s">
        <v>5</v>
      </c>
      <c r="E145" t="s">
        <v>192</v>
      </c>
      <c r="F145">
        <v>1</v>
      </c>
      <c r="G145">
        <v>2</v>
      </c>
      <c r="H145">
        <v>2</v>
      </c>
      <c r="I145">
        <v>2</v>
      </c>
      <c r="J145" s="600">
        <v>7</v>
      </c>
      <c r="K145" s="7">
        <f t="shared" si="28"/>
        <v>5</v>
      </c>
      <c r="L145" s="7">
        <f t="shared" si="29"/>
        <v>0</v>
      </c>
      <c r="M145" s="243">
        <f t="shared" si="30"/>
        <v>321.59699999999998</v>
      </c>
      <c r="N145" s="243">
        <f>INDEX($AN$4:$AN21041,MATCH($A145,$AH$4:$AH$2000,0))</f>
        <v>643.19399999999996</v>
      </c>
      <c r="O145" s="243">
        <f t="shared" si="35"/>
        <v>643.19399999999996</v>
      </c>
      <c r="P145" s="243">
        <f t="shared" si="31"/>
        <v>643.19399999999996</v>
      </c>
      <c r="Q145" s="243">
        <f t="shared" si="32"/>
        <v>0</v>
      </c>
      <c r="R145" s="243">
        <f t="shared" si="33"/>
        <v>0</v>
      </c>
      <c r="S145" s="243">
        <f t="shared" si="36"/>
        <v>0</v>
      </c>
      <c r="T145" s="243">
        <f t="shared" si="34"/>
        <v>0</v>
      </c>
      <c r="AA145" s="6">
        <v>167</v>
      </c>
      <c r="AB145" t="s">
        <v>80</v>
      </c>
      <c r="AC145" t="s">
        <v>81</v>
      </c>
      <c r="AD145" t="s">
        <v>4</v>
      </c>
      <c r="AE145" t="s">
        <v>1018</v>
      </c>
      <c r="AF145">
        <v>15</v>
      </c>
      <c r="AG145">
        <v>0</v>
      </c>
      <c r="AH145">
        <v>198</v>
      </c>
      <c r="AI145" t="s">
        <v>80</v>
      </c>
      <c r="AJ145" t="s">
        <v>81</v>
      </c>
      <c r="AK145" t="s">
        <v>5</v>
      </c>
      <c r="AL145" t="s">
        <v>192</v>
      </c>
      <c r="AM145" s="314">
        <v>321.59699999999998</v>
      </c>
      <c r="AN145" s="314">
        <v>643.19399999999996</v>
      </c>
      <c r="AO145" s="314">
        <v>643.19399999999996</v>
      </c>
      <c r="AP145" s="314">
        <v>643.19399999999996</v>
      </c>
      <c r="AQ145" s="314">
        <v>8.3100000000000007E-2</v>
      </c>
      <c r="AR145" s="314">
        <v>0.16620000000000001</v>
      </c>
      <c r="AS145" s="314">
        <v>0.16620000000000001</v>
      </c>
      <c r="AT145" s="314">
        <v>0.16620000000000001</v>
      </c>
      <c r="AU145" s="314">
        <v>0</v>
      </c>
      <c r="AV145" s="314">
        <v>0</v>
      </c>
      <c r="AW145" s="314">
        <v>0</v>
      </c>
      <c r="AX145">
        <v>0</v>
      </c>
    </row>
    <row r="146" spans="1:50" x14ac:dyDescent="0.35">
      <c r="A146">
        <v>66</v>
      </c>
      <c r="B146" t="s">
        <v>80</v>
      </c>
      <c r="C146" t="s">
        <v>81</v>
      </c>
      <c r="D146" t="s">
        <v>100</v>
      </c>
      <c r="E146" t="s">
        <v>193</v>
      </c>
      <c r="F146">
        <v>26</v>
      </c>
      <c r="G146">
        <v>20</v>
      </c>
      <c r="H146">
        <v>28</v>
      </c>
      <c r="I146">
        <v>35</v>
      </c>
      <c r="J146" s="600">
        <v>109</v>
      </c>
      <c r="K146" s="7">
        <f t="shared" si="28"/>
        <v>3</v>
      </c>
      <c r="L146" s="7">
        <f t="shared" si="29"/>
        <v>0</v>
      </c>
      <c r="M146" s="243">
        <f t="shared" si="30"/>
        <v>0</v>
      </c>
      <c r="N146" s="243">
        <f>INDEX($AN$4:$AN21042,MATCH($A146,$AH$4:$AH$2000,0))</f>
        <v>0</v>
      </c>
      <c r="O146" s="243">
        <f t="shared" si="35"/>
        <v>0</v>
      </c>
      <c r="P146" s="243">
        <f t="shared" si="31"/>
        <v>0</v>
      </c>
      <c r="Q146" s="243">
        <f t="shared" si="32"/>
        <v>20511.769464839315</v>
      </c>
      <c r="R146" s="243">
        <f t="shared" si="33"/>
        <v>15778.284203722551</v>
      </c>
      <c r="S146" s="243">
        <f t="shared" si="36"/>
        <v>22089.597885211573</v>
      </c>
      <c r="T146" s="243">
        <f t="shared" si="34"/>
        <v>27611.997356514465</v>
      </c>
      <c r="AA146" s="6">
        <v>54</v>
      </c>
      <c r="AB146" t="s">
        <v>80</v>
      </c>
      <c r="AC146" t="s">
        <v>81</v>
      </c>
      <c r="AD146" t="s">
        <v>100</v>
      </c>
      <c r="AE146" t="s">
        <v>252</v>
      </c>
      <c r="AF146">
        <v>10</v>
      </c>
      <c r="AG146">
        <v>0</v>
      </c>
      <c r="AH146">
        <v>66</v>
      </c>
      <c r="AI146" t="s">
        <v>80</v>
      </c>
      <c r="AJ146" t="s">
        <v>81</v>
      </c>
      <c r="AK146" t="s">
        <v>100</v>
      </c>
      <c r="AL146" t="s">
        <v>193</v>
      </c>
      <c r="AM146" s="314">
        <v>0</v>
      </c>
      <c r="AN146" s="314">
        <v>0</v>
      </c>
      <c r="AO146" s="314">
        <v>0</v>
      </c>
      <c r="AP146" s="314">
        <v>0</v>
      </c>
      <c r="AQ146" s="314">
        <v>0</v>
      </c>
      <c r="AR146" s="314">
        <v>0</v>
      </c>
      <c r="AS146" s="314">
        <v>0</v>
      </c>
      <c r="AT146" s="314">
        <v>0</v>
      </c>
      <c r="AU146" s="314">
        <v>20511.769464839315</v>
      </c>
      <c r="AV146" s="314">
        <v>15778.284203722551</v>
      </c>
      <c r="AW146" s="314">
        <v>22089.597885211573</v>
      </c>
      <c r="AX146">
        <v>27611.997356514465</v>
      </c>
    </row>
    <row r="147" spans="1:50" x14ac:dyDescent="0.35">
      <c r="A147">
        <v>65</v>
      </c>
      <c r="B147" t="s">
        <v>80</v>
      </c>
      <c r="C147" t="s">
        <v>81</v>
      </c>
      <c r="D147" t="s">
        <v>100</v>
      </c>
      <c r="E147" t="s">
        <v>194</v>
      </c>
      <c r="F147">
        <v>30</v>
      </c>
      <c r="G147">
        <v>24</v>
      </c>
      <c r="H147">
        <v>29</v>
      </c>
      <c r="I147">
        <v>33</v>
      </c>
      <c r="J147" s="600">
        <v>116</v>
      </c>
      <c r="K147" s="7">
        <f t="shared" si="28"/>
        <v>20</v>
      </c>
      <c r="L147" s="7">
        <f t="shared" si="29"/>
        <v>0</v>
      </c>
      <c r="M147" s="243">
        <f t="shared" si="30"/>
        <v>0</v>
      </c>
      <c r="N147" s="243">
        <f>INDEX($AN$4:$AN21043,MATCH($A147,$AH$4:$AH$2000,0))</f>
        <v>0</v>
      </c>
      <c r="O147" s="243">
        <f t="shared" si="35"/>
        <v>0</v>
      </c>
      <c r="P147" s="243">
        <f t="shared" si="31"/>
        <v>0</v>
      </c>
      <c r="Q147" s="243">
        <f t="shared" si="32"/>
        <v>15880.727067839849</v>
      </c>
      <c r="R147" s="243">
        <f t="shared" si="33"/>
        <v>12704.581654271879</v>
      </c>
      <c r="S147" s="243">
        <f t="shared" si="36"/>
        <v>15351.369498911854</v>
      </c>
      <c r="T147" s="243">
        <f t="shared" si="34"/>
        <v>17468.799774623832</v>
      </c>
      <c r="AA147" s="6">
        <v>55</v>
      </c>
      <c r="AB147" t="s">
        <v>80</v>
      </c>
      <c r="AC147" t="s">
        <v>81</v>
      </c>
      <c r="AD147" t="s">
        <v>100</v>
      </c>
      <c r="AE147" t="s">
        <v>253</v>
      </c>
      <c r="AF147">
        <v>10</v>
      </c>
      <c r="AG147">
        <v>0</v>
      </c>
      <c r="AH147">
        <v>65</v>
      </c>
      <c r="AI147" t="s">
        <v>80</v>
      </c>
      <c r="AJ147" t="s">
        <v>81</v>
      </c>
      <c r="AK147" t="s">
        <v>100</v>
      </c>
      <c r="AL147" t="s">
        <v>194</v>
      </c>
      <c r="AM147" s="314">
        <v>0</v>
      </c>
      <c r="AN147" s="314">
        <v>0</v>
      </c>
      <c r="AO147" s="314">
        <v>0</v>
      </c>
      <c r="AP147" s="314">
        <v>0</v>
      </c>
      <c r="AQ147" s="314">
        <v>0</v>
      </c>
      <c r="AR147" s="314">
        <v>0</v>
      </c>
      <c r="AS147" s="314">
        <v>0</v>
      </c>
      <c r="AT147" s="314">
        <v>0</v>
      </c>
      <c r="AU147" s="314">
        <v>15880.727067839849</v>
      </c>
      <c r="AV147" s="314">
        <v>12704.581654271879</v>
      </c>
      <c r="AW147" s="314">
        <v>15351.369498911854</v>
      </c>
      <c r="AX147">
        <v>17468.799774623832</v>
      </c>
    </row>
    <row r="148" spans="1:50" x14ac:dyDescent="0.35">
      <c r="A148">
        <v>68</v>
      </c>
      <c r="B148" t="s">
        <v>80</v>
      </c>
      <c r="C148" t="s">
        <v>81</v>
      </c>
      <c r="D148" t="s">
        <v>100</v>
      </c>
      <c r="E148" t="s">
        <v>195</v>
      </c>
      <c r="F148">
        <v>60</v>
      </c>
      <c r="G148">
        <v>55</v>
      </c>
      <c r="H148">
        <v>60</v>
      </c>
      <c r="I148">
        <v>60</v>
      </c>
      <c r="J148" s="600">
        <v>235</v>
      </c>
      <c r="K148" s="7">
        <f t="shared" si="28"/>
        <v>16.5</v>
      </c>
      <c r="L148" s="7">
        <f t="shared" si="29"/>
        <v>0</v>
      </c>
      <c r="M148" s="243">
        <f t="shared" si="30"/>
        <v>23591.820905472639</v>
      </c>
      <c r="N148" s="243">
        <f>INDEX($AN$4:$AN21044,MATCH($A148,$AH$4:$AH$2000,0))</f>
        <v>21625.835830016586</v>
      </c>
      <c r="O148" s="243">
        <f t="shared" si="35"/>
        <v>23591.820905472639</v>
      </c>
      <c r="P148" s="243">
        <f t="shared" si="31"/>
        <v>23591.820905472639</v>
      </c>
      <c r="Q148" s="243">
        <f t="shared" si="32"/>
        <v>6784.268526774199</v>
      </c>
      <c r="R148" s="243">
        <f t="shared" si="33"/>
        <v>6218.9128162096822</v>
      </c>
      <c r="S148" s="243">
        <f t="shared" si="36"/>
        <v>6784.268526774199</v>
      </c>
      <c r="T148" s="243">
        <f t="shared" si="34"/>
        <v>6784.268526774199</v>
      </c>
      <c r="AA148" s="6">
        <v>56</v>
      </c>
      <c r="AB148" t="s">
        <v>80</v>
      </c>
      <c r="AC148" t="s">
        <v>81</v>
      </c>
      <c r="AD148" t="s">
        <v>100</v>
      </c>
      <c r="AE148" t="s">
        <v>254</v>
      </c>
      <c r="AF148">
        <v>10</v>
      </c>
      <c r="AG148">
        <v>0</v>
      </c>
      <c r="AH148">
        <v>68</v>
      </c>
      <c r="AI148" t="s">
        <v>80</v>
      </c>
      <c r="AJ148" t="s">
        <v>81</v>
      </c>
      <c r="AK148" t="s">
        <v>100</v>
      </c>
      <c r="AL148" t="s">
        <v>195</v>
      </c>
      <c r="AM148" s="314">
        <v>23591.820905472639</v>
      </c>
      <c r="AN148" s="314">
        <v>21625.835830016586</v>
      </c>
      <c r="AO148" s="314">
        <v>23591.820905472639</v>
      </c>
      <c r="AP148" s="314">
        <v>23591.820905472639</v>
      </c>
      <c r="AQ148" s="314">
        <v>3.9809877970030101</v>
      </c>
      <c r="AR148" s="314">
        <v>3.6492388139194256</v>
      </c>
      <c r="AS148" s="314">
        <v>3.9809877970030101</v>
      </c>
      <c r="AT148" s="314">
        <v>3.9809877970030101</v>
      </c>
      <c r="AU148" s="314">
        <v>6784.268526774199</v>
      </c>
      <c r="AV148" s="314">
        <v>6218.9128162096822</v>
      </c>
      <c r="AW148" s="314">
        <v>6784.268526774199</v>
      </c>
      <c r="AX148">
        <v>6784.268526774199</v>
      </c>
    </row>
    <row r="149" spans="1:50" x14ac:dyDescent="0.35">
      <c r="A149">
        <v>236</v>
      </c>
      <c r="B149" t="s">
        <v>80</v>
      </c>
      <c r="C149" t="s">
        <v>81</v>
      </c>
      <c r="D149" t="s">
        <v>15</v>
      </c>
      <c r="E149" t="s">
        <v>196</v>
      </c>
      <c r="F149">
        <v>15</v>
      </c>
      <c r="G149">
        <v>12</v>
      </c>
      <c r="H149">
        <v>15</v>
      </c>
      <c r="I149">
        <v>15</v>
      </c>
      <c r="J149" s="600">
        <v>57</v>
      </c>
      <c r="K149" s="7">
        <f t="shared" si="28"/>
        <v>20</v>
      </c>
      <c r="L149" s="7">
        <f t="shared" si="29"/>
        <v>0</v>
      </c>
      <c r="M149" s="243">
        <f t="shared" si="30"/>
        <v>0</v>
      </c>
      <c r="N149" s="243">
        <f>INDEX($AN$4:$AN21045,MATCH($A149,$AH$4:$AH$2000,0))</f>
        <v>0</v>
      </c>
      <c r="O149" s="243">
        <f t="shared" si="35"/>
        <v>0</v>
      </c>
      <c r="P149" s="243">
        <f t="shared" si="31"/>
        <v>0</v>
      </c>
      <c r="Q149" s="243">
        <f t="shared" si="32"/>
        <v>1275.1869000000002</v>
      </c>
      <c r="R149" s="243">
        <f t="shared" si="33"/>
        <v>1020.1495200000001</v>
      </c>
      <c r="S149" s="243">
        <f t="shared" si="36"/>
        <v>1275.1869000000002</v>
      </c>
      <c r="T149" s="243">
        <f t="shared" si="34"/>
        <v>1275.1869000000002</v>
      </c>
      <c r="AA149" s="6">
        <v>57</v>
      </c>
      <c r="AB149" t="s">
        <v>80</v>
      </c>
      <c r="AC149" t="s">
        <v>81</v>
      </c>
      <c r="AD149" t="s">
        <v>100</v>
      </c>
      <c r="AE149" t="s">
        <v>255</v>
      </c>
      <c r="AF149">
        <v>10</v>
      </c>
      <c r="AG149">
        <v>0</v>
      </c>
      <c r="AH149">
        <v>236</v>
      </c>
      <c r="AI149" t="s">
        <v>80</v>
      </c>
      <c r="AJ149" t="s">
        <v>81</v>
      </c>
      <c r="AK149" t="s">
        <v>15</v>
      </c>
      <c r="AL149" t="s">
        <v>196</v>
      </c>
      <c r="AM149" s="314">
        <v>0</v>
      </c>
      <c r="AN149" s="314">
        <v>0</v>
      </c>
      <c r="AO149" s="314">
        <v>0</v>
      </c>
      <c r="AP149" s="314">
        <v>0</v>
      </c>
      <c r="AQ149" s="314">
        <v>0</v>
      </c>
      <c r="AR149" s="314">
        <v>0</v>
      </c>
      <c r="AS149" s="314">
        <v>0</v>
      </c>
      <c r="AT149" s="314">
        <v>0</v>
      </c>
      <c r="AU149" s="314">
        <v>1275.1869000000002</v>
      </c>
      <c r="AV149" s="314">
        <v>1020.1495200000001</v>
      </c>
      <c r="AW149" s="314">
        <v>1275.1869000000002</v>
      </c>
      <c r="AX149">
        <v>1275.1869000000002</v>
      </c>
    </row>
    <row r="150" spans="1:50" x14ac:dyDescent="0.35">
      <c r="A150">
        <v>233</v>
      </c>
      <c r="B150" t="s">
        <v>80</v>
      </c>
      <c r="C150" t="s">
        <v>81</v>
      </c>
      <c r="D150" t="s">
        <v>15</v>
      </c>
      <c r="E150" t="s">
        <v>197</v>
      </c>
      <c r="F150">
        <v>35</v>
      </c>
      <c r="G150">
        <v>30</v>
      </c>
      <c r="H150">
        <v>42</v>
      </c>
      <c r="I150">
        <v>42</v>
      </c>
      <c r="J150" s="600">
        <v>149</v>
      </c>
      <c r="K150" s="7">
        <f t="shared" si="28"/>
        <v>15</v>
      </c>
      <c r="L150" s="7">
        <f t="shared" si="29"/>
        <v>0</v>
      </c>
      <c r="M150" s="243">
        <f t="shared" si="30"/>
        <v>0</v>
      </c>
      <c r="N150" s="243">
        <f>INDEX($AN$4:$AN21046,MATCH($A150,$AH$4:$AH$2000,0))</f>
        <v>0</v>
      </c>
      <c r="O150" s="243">
        <f t="shared" si="35"/>
        <v>0</v>
      </c>
      <c r="P150" s="243">
        <f t="shared" si="31"/>
        <v>0</v>
      </c>
      <c r="Q150" s="243">
        <f t="shared" si="32"/>
        <v>1304.4777432210697</v>
      </c>
      <c r="R150" s="243">
        <f t="shared" si="33"/>
        <v>1118.123779903774</v>
      </c>
      <c r="S150" s="243">
        <f t="shared" si="36"/>
        <v>1565.3732918652836</v>
      </c>
      <c r="T150" s="243">
        <f t="shared" si="34"/>
        <v>1565.3732918652836</v>
      </c>
      <c r="AA150" s="6">
        <v>58</v>
      </c>
      <c r="AB150" t="s">
        <v>80</v>
      </c>
      <c r="AC150" t="s">
        <v>81</v>
      </c>
      <c r="AD150" t="s">
        <v>100</v>
      </c>
      <c r="AE150" t="s">
        <v>256</v>
      </c>
      <c r="AF150">
        <v>10</v>
      </c>
      <c r="AG150">
        <v>0</v>
      </c>
      <c r="AH150">
        <v>233</v>
      </c>
      <c r="AI150" t="s">
        <v>80</v>
      </c>
      <c r="AJ150" t="s">
        <v>81</v>
      </c>
      <c r="AK150" t="s">
        <v>15</v>
      </c>
      <c r="AL150" t="s">
        <v>197</v>
      </c>
      <c r="AM150" s="314">
        <v>0</v>
      </c>
      <c r="AN150" s="314">
        <v>0</v>
      </c>
      <c r="AO150" s="314">
        <v>0</v>
      </c>
      <c r="AP150" s="314">
        <v>0</v>
      </c>
      <c r="AQ150" s="314">
        <v>0</v>
      </c>
      <c r="AR150" s="314">
        <v>0</v>
      </c>
      <c r="AS150" s="314">
        <v>0</v>
      </c>
      <c r="AT150" s="314">
        <v>0</v>
      </c>
      <c r="AU150" s="314">
        <v>1304.4777432210697</v>
      </c>
      <c r="AV150" s="314">
        <v>1118.123779903774</v>
      </c>
      <c r="AW150" s="314">
        <v>1565.3732918652836</v>
      </c>
      <c r="AX150">
        <v>1565.3732918652836</v>
      </c>
    </row>
    <row r="151" spans="1:50" x14ac:dyDescent="0.35">
      <c r="A151">
        <v>235</v>
      </c>
      <c r="B151" t="s">
        <v>80</v>
      </c>
      <c r="C151" t="s">
        <v>81</v>
      </c>
      <c r="D151" t="s">
        <v>15</v>
      </c>
      <c r="E151" t="s">
        <v>198</v>
      </c>
      <c r="F151">
        <v>70</v>
      </c>
      <c r="G151">
        <v>70</v>
      </c>
      <c r="H151">
        <v>75</v>
      </c>
      <c r="I151">
        <v>80</v>
      </c>
      <c r="J151" s="600">
        <v>295</v>
      </c>
      <c r="K151" s="7">
        <f t="shared" si="28"/>
        <v>15</v>
      </c>
      <c r="L151" s="7">
        <f t="shared" si="29"/>
        <v>0</v>
      </c>
      <c r="M151" s="243">
        <f t="shared" si="30"/>
        <v>0</v>
      </c>
      <c r="N151" s="243">
        <f>INDEX($AN$4:$AN21047,MATCH($A151,$AH$4:$AH$2000,0))</f>
        <v>0</v>
      </c>
      <c r="O151" s="243">
        <f t="shared" si="35"/>
        <v>0</v>
      </c>
      <c r="P151" s="243">
        <f t="shared" si="31"/>
        <v>0</v>
      </c>
      <c r="Q151" s="243">
        <f t="shared" si="32"/>
        <v>2171.8426205515743</v>
      </c>
      <c r="R151" s="243">
        <f t="shared" si="33"/>
        <v>2171.8426205515743</v>
      </c>
      <c r="S151" s="243">
        <f t="shared" si="36"/>
        <v>2326.9742363052583</v>
      </c>
      <c r="T151" s="243">
        <f t="shared" si="34"/>
        <v>2482.1058520589422</v>
      </c>
      <c r="AA151" s="6">
        <v>59</v>
      </c>
      <c r="AB151" t="s">
        <v>80</v>
      </c>
      <c r="AC151" t="s">
        <v>81</v>
      </c>
      <c r="AD151" t="s">
        <v>100</v>
      </c>
      <c r="AE151" t="s">
        <v>257</v>
      </c>
      <c r="AF151">
        <v>10</v>
      </c>
      <c r="AG151">
        <v>0</v>
      </c>
      <c r="AH151">
        <v>235</v>
      </c>
      <c r="AI151" t="s">
        <v>80</v>
      </c>
      <c r="AJ151" t="s">
        <v>81</v>
      </c>
      <c r="AK151" t="s">
        <v>15</v>
      </c>
      <c r="AL151" t="s">
        <v>198</v>
      </c>
      <c r="AM151" s="314">
        <v>0</v>
      </c>
      <c r="AN151" s="314">
        <v>0</v>
      </c>
      <c r="AO151" s="314">
        <v>0</v>
      </c>
      <c r="AP151" s="314">
        <v>0</v>
      </c>
      <c r="AQ151" s="314">
        <v>0</v>
      </c>
      <c r="AR151" s="314">
        <v>0</v>
      </c>
      <c r="AS151" s="314">
        <v>0</v>
      </c>
      <c r="AT151" s="314">
        <v>0</v>
      </c>
      <c r="AU151" s="314">
        <v>2171.8426205515743</v>
      </c>
      <c r="AV151" s="314">
        <v>2171.8426205515743</v>
      </c>
      <c r="AW151" s="314">
        <v>2326.9742363052583</v>
      </c>
      <c r="AX151">
        <v>2482.1058520589422</v>
      </c>
    </row>
    <row r="152" spans="1:50" x14ac:dyDescent="0.35">
      <c r="A152">
        <v>107</v>
      </c>
      <c r="B152" t="s">
        <v>80</v>
      </c>
      <c r="C152" t="s">
        <v>81</v>
      </c>
      <c r="D152" t="s">
        <v>148</v>
      </c>
      <c r="E152" t="s">
        <v>199</v>
      </c>
      <c r="F152">
        <v>4</v>
      </c>
      <c r="G152">
        <v>2</v>
      </c>
      <c r="H152">
        <v>4</v>
      </c>
      <c r="I152">
        <v>4</v>
      </c>
      <c r="J152" s="600">
        <v>14</v>
      </c>
      <c r="K152" s="7">
        <f t="shared" si="28"/>
        <v>12</v>
      </c>
      <c r="L152" s="7">
        <f t="shared" si="29"/>
        <v>0</v>
      </c>
      <c r="M152" s="243">
        <f t="shared" si="30"/>
        <v>0</v>
      </c>
      <c r="N152" s="243">
        <f>INDEX($AN$4:$AN21048,MATCH($A152,$AH$4:$AH$2000,0))</f>
        <v>0</v>
      </c>
      <c r="O152" s="243">
        <f t="shared" si="35"/>
        <v>0</v>
      </c>
      <c r="P152" s="243">
        <f t="shared" si="31"/>
        <v>0</v>
      </c>
      <c r="Q152" s="243">
        <f t="shared" si="32"/>
        <v>3566.7000000000003</v>
      </c>
      <c r="R152" s="243">
        <f t="shared" si="33"/>
        <v>1783.3500000000001</v>
      </c>
      <c r="S152" s="243">
        <f t="shared" si="36"/>
        <v>3566.7000000000003</v>
      </c>
      <c r="T152" s="243">
        <f t="shared" si="34"/>
        <v>3566.7000000000003</v>
      </c>
      <c r="AA152" s="6">
        <v>85</v>
      </c>
      <c r="AB152" t="s">
        <v>80</v>
      </c>
      <c r="AC152" t="s">
        <v>81</v>
      </c>
      <c r="AD152" t="s">
        <v>100</v>
      </c>
      <c r="AE152" t="s">
        <v>174</v>
      </c>
      <c r="AF152">
        <v>6</v>
      </c>
      <c r="AG152">
        <v>0</v>
      </c>
      <c r="AH152">
        <v>107</v>
      </c>
      <c r="AI152" t="s">
        <v>80</v>
      </c>
      <c r="AJ152" t="s">
        <v>81</v>
      </c>
      <c r="AK152" t="s">
        <v>148</v>
      </c>
      <c r="AL152" t="s">
        <v>199</v>
      </c>
      <c r="AM152" s="314">
        <v>0</v>
      </c>
      <c r="AN152" s="314">
        <v>0</v>
      </c>
      <c r="AO152" s="314">
        <v>0</v>
      </c>
      <c r="AP152" s="314">
        <v>0</v>
      </c>
      <c r="AQ152" s="314">
        <v>0</v>
      </c>
      <c r="AR152" s="314">
        <v>0</v>
      </c>
      <c r="AS152" s="314">
        <v>0</v>
      </c>
      <c r="AT152" s="314">
        <v>0</v>
      </c>
      <c r="AU152" s="314">
        <v>3566.7000000000003</v>
      </c>
      <c r="AV152" s="314">
        <v>1783.3500000000001</v>
      </c>
      <c r="AW152" s="314">
        <v>3566.7000000000003</v>
      </c>
      <c r="AX152">
        <v>3566.7000000000003</v>
      </c>
    </row>
    <row r="153" spans="1:50" x14ac:dyDescent="0.35">
      <c r="A153">
        <v>108</v>
      </c>
      <c r="B153" t="s">
        <v>80</v>
      </c>
      <c r="C153" t="s">
        <v>81</v>
      </c>
      <c r="D153" t="s">
        <v>148</v>
      </c>
      <c r="E153" t="s">
        <v>200</v>
      </c>
      <c r="F153">
        <v>4</v>
      </c>
      <c r="G153">
        <v>2</v>
      </c>
      <c r="H153">
        <v>4</v>
      </c>
      <c r="I153">
        <v>4</v>
      </c>
      <c r="J153" s="600">
        <v>14</v>
      </c>
      <c r="K153" s="7">
        <f t="shared" si="28"/>
        <v>12</v>
      </c>
      <c r="L153" s="7">
        <f t="shared" si="29"/>
        <v>0</v>
      </c>
      <c r="M153" s="243">
        <f t="shared" si="30"/>
        <v>0</v>
      </c>
      <c r="N153" s="243">
        <f>INDEX($AN$4:$AN21049,MATCH($A153,$AH$4:$AH$2000,0))</f>
        <v>0</v>
      </c>
      <c r="O153" s="243">
        <f t="shared" si="35"/>
        <v>0</v>
      </c>
      <c r="P153" s="243">
        <f t="shared" si="31"/>
        <v>0</v>
      </c>
      <c r="Q153" s="243">
        <f t="shared" si="32"/>
        <v>4295.7000000000007</v>
      </c>
      <c r="R153" s="243">
        <f t="shared" si="33"/>
        <v>2147.8500000000004</v>
      </c>
      <c r="S153" s="243">
        <f t="shared" si="36"/>
        <v>4295.7000000000007</v>
      </c>
      <c r="T153" s="243">
        <f t="shared" si="34"/>
        <v>4295.7000000000007</v>
      </c>
      <c r="AA153" s="6">
        <v>239</v>
      </c>
      <c r="AB153" t="s">
        <v>80</v>
      </c>
      <c r="AC153" t="s">
        <v>81</v>
      </c>
      <c r="AD153" t="s">
        <v>15</v>
      </c>
      <c r="AE153" t="s">
        <v>1019</v>
      </c>
      <c r="AF153">
        <v>9</v>
      </c>
      <c r="AG153">
        <v>0</v>
      </c>
      <c r="AH153">
        <v>108</v>
      </c>
      <c r="AI153" t="s">
        <v>80</v>
      </c>
      <c r="AJ153" t="s">
        <v>81</v>
      </c>
      <c r="AK153" t="s">
        <v>148</v>
      </c>
      <c r="AL153" t="s">
        <v>200</v>
      </c>
      <c r="AM153" s="314">
        <v>0</v>
      </c>
      <c r="AN153" s="314">
        <v>0</v>
      </c>
      <c r="AO153" s="314">
        <v>0</v>
      </c>
      <c r="AP153" s="314">
        <v>0</v>
      </c>
      <c r="AQ153" s="314">
        <v>0</v>
      </c>
      <c r="AR153" s="314">
        <v>0</v>
      </c>
      <c r="AS153" s="314">
        <v>0</v>
      </c>
      <c r="AT153" s="314">
        <v>0</v>
      </c>
      <c r="AU153" s="314">
        <v>4295.7000000000007</v>
      </c>
      <c r="AV153" s="314">
        <v>2147.8500000000004</v>
      </c>
      <c r="AW153" s="314">
        <v>4295.7000000000007</v>
      </c>
      <c r="AX153">
        <v>4295.7000000000007</v>
      </c>
    </row>
    <row r="154" spans="1:50" x14ac:dyDescent="0.35">
      <c r="A154">
        <v>106</v>
      </c>
      <c r="B154" t="s">
        <v>80</v>
      </c>
      <c r="C154" t="s">
        <v>81</v>
      </c>
      <c r="D154" t="s">
        <v>148</v>
      </c>
      <c r="E154" t="s">
        <v>201</v>
      </c>
      <c r="F154">
        <v>10</v>
      </c>
      <c r="G154">
        <v>9</v>
      </c>
      <c r="H154">
        <v>11</v>
      </c>
      <c r="I154">
        <v>11</v>
      </c>
      <c r="J154" s="600">
        <v>41</v>
      </c>
      <c r="K154" s="7">
        <f t="shared" si="28"/>
        <v>12</v>
      </c>
      <c r="L154" s="7">
        <f t="shared" si="29"/>
        <v>0</v>
      </c>
      <c r="M154" s="243">
        <f t="shared" si="30"/>
        <v>0</v>
      </c>
      <c r="N154" s="243">
        <f>INDEX($AN$4:$AN21050,MATCH($A154,$AH$4:$AH$2000,0))</f>
        <v>0</v>
      </c>
      <c r="O154" s="243">
        <f t="shared" si="35"/>
        <v>0</v>
      </c>
      <c r="P154" s="243">
        <f t="shared" si="31"/>
        <v>0</v>
      </c>
      <c r="Q154" s="243">
        <f t="shared" si="32"/>
        <v>1005.75</v>
      </c>
      <c r="R154" s="243">
        <f t="shared" si="33"/>
        <v>905.17500000000007</v>
      </c>
      <c r="S154" s="243">
        <f t="shared" si="36"/>
        <v>1106.325</v>
      </c>
      <c r="T154" s="243">
        <f t="shared" si="34"/>
        <v>1106.325</v>
      </c>
      <c r="AA154" s="6">
        <v>238</v>
      </c>
      <c r="AB154" t="s">
        <v>80</v>
      </c>
      <c r="AC154" t="s">
        <v>81</v>
      </c>
      <c r="AD154" t="s">
        <v>15</v>
      </c>
      <c r="AE154" t="s">
        <v>1020</v>
      </c>
      <c r="AF154">
        <v>9</v>
      </c>
      <c r="AG154">
        <v>0</v>
      </c>
      <c r="AH154">
        <v>106</v>
      </c>
      <c r="AI154" t="s">
        <v>80</v>
      </c>
      <c r="AJ154" t="s">
        <v>81</v>
      </c>
      <c r="AK154" t="s">
        <v>148</v>
      </c>
      <c r="AL154" t="s">
        <v>201</v>
      </c>
      <c r="AM154" s="314">
        <v>0</v>
      </c>
      <c r="AN154" s="314">
        <v>0</v>
      </c>
      <c r="AO154" s="314">
        <v>0</v>
      </c>
      <c r="AP154" s="314">
        <v>0</v>
      </c>
      <c r="AQ154" s="314">
        <v>0</v>
      </c>
      <c r="AR154" s="314">
        <v>0</v>
      </c>
      <c r="AS154" s="314">
        <v>0</v>
      </c>
      <c r="AT154" s="314">
        <v>0</v>
      </c>
      <c r="AU154" s="314">
        <v>1005.75</v>
      </c>
      <c r="AV154" s="314">
        <v>905.17500000000007</v>
      </c>
      <c r="AW154" s="314">
        <v>1106.325</v>
      </c>
      <c r="AX154">
        <v>1106.325</v>
      </c>
    </row>
    <row r="155" spans="1:50" x14ac:dyDescent="0.35">
      <c r="A155">
        <v>105</v>
      </c>
      <c r="B155" t="s">
        <v>80</v>
      </c>
      <c r="C155" t="s">
        <v>81</v>
      </c>
      <c r="D155" t="s">
        <v>148</v>
      </c>
      <c r="E155" t="s">
        <v>202</v>
      </c>
      <c r="F155">
        <v>17</v>
      </c>
      <c r="G155">
        <v>16</v>
      </c>
      <c r="H155">
        <v>20</v>
      </c>
      <c r="I155">
        <v>22</v>
      </c>
      <c r="J155" s="600">
        <v>75</v>
      </c>
      <c r="K155" s="7">
        <f t="shared" si="28"/>
        <v>15</v>
      </c>
      <c r="L155" s="7">
        <f t="shared" si="29"/>
        <v>0</v>
      </c>
      <c r="M155" s="243">
        <f t="shared" si="30"/>
        <v>0</v>
      </c>
      <c r="N155" s="243">
        <f>INDEX($AN$4:$AN21051,MATCH($A155,$AH$4:$AH$2000,0))</f>
        <v>0</v>
      </c>
      <c r="O155" s="243">
        <f t="shared" si="35"/>
        <v>0</v>
      </c>
      <c r="P155" s="243">
        <f t="shared" si="31"/>
        <v>0</v>
      </c>
      <c r="Q155" s="243">
        <f t="shared" si="32"/>
        <v>5797.5678546428571</v>
      </c>
      <c r="R155" s="243">
        <f t="shared" si="33"/>
        <v>5456.5344514285716</v>
      </c>
      <c r="S155" s="243">
        <f t="shared" si="36"/>
        <v>6820.6680642857145</v>
      </c>
      <c r="T155" s="243">
        <f t="shared" si="34"/>
        <v>7502.7348707142864</v>
      </c>
      <c r="AA155" s="6">
        <v>160</v>
      </c>
      <c r="AB155" t="s">
        <v>80</v>
      </c>
      <c r="AC155" t="s">
        <v>81</v>
      </c>
      <c r="AD155" t="s">
        <v>4</v>
      </c>
      <c r="AE155" t="s">
        <v>175</v>
      </c>
      <c r="AF155">
        <v>8</v>
      </c>
      <c r="AG155">
        <v>0</v>
      </c>
      <c r="AH155">
        <v>105</v>
      </c>
      <c r="AI155" t="s">
        <v>80</v>
      </c>
      <c r="AJ155" t="s">
        <v>81</v>
      </c>
      <c r="AK155" t="s">
        <v>148</v>
      </c>
      <c r="AL155" t="s">
        <v>202</v>
      </c>
      <c r="AM155" s="314">
        <v>0</v>
      </c>
      <c r="AN155" s="314">
        <v>0</v>
      </c>
      <c r="AO155" s="314">
        <v>0</v>
      </c>
      <c r="AP155" s="314">
        <v>0</v>
      </c>
      <c r="AQ155" s="314">
        <v>0</v>
      </c>
      <c r="AR155" s="314">
        <v>0</v>
      </c>
      <c r="AS155" s="314">
        <v>0</v>
      </c>
      <c r="AT155" s="314">
        <v>0</v>
      </c>
      <c r="AU155" s="314">
        <v>5797.5678546428571</v>
      </c>
      <c r="AV155" s="314">
        <v>5456.5344514285716</v>
      </c>
      <c r="AW155" s="314">
        <v>6820.6680642857145</v>
      </c>
      <c r="AX155">
        <v>7502.7348707142864</v>
      </c>
    </row>
    <row r="156" spans="1:50" x14ac:dyDescent="0.35">
      <c r="A156">
        <v>89</v>
      </c>
      <c r="B156" t="s">
        <v>80</v>
      </c>
      <c r="C156" t="s">
        <v>81</v>
      </c>
      <c r="D156" t="s">
        <v>100</v>
      </c>
      <c r="E156" t="s">
        <v>203</v>
      </c>
      <c r="F156">
        <v>1140</v>
      </c>
      <c r="G156">
        <v>1140</v>
      </c>
      <c r="H156">
        <v>1290</v>
      </c>
      <c r="I156">
        <v>1350</v>
      </c>
      <c r="J156" s="600">
        <v>4920</v>
      </c>
      <c r="K156" s="7">
        <f t="shared" si="28"/>
        <v>6</v>
      </c>
      <c r="L156" s="7">
        <f t="shared" si="29"/>
        <v>0</v>
      </c>
      <c r="M156" s="243">
        <f t="shared" si="30"/>
        <v>0</v>
      </c>
      <c r="N156" s="243">
        <f>INDEX($AN$4:$AN21052,MATCH($A156,$AH$4:$AH$2000,0))</f>
        <v>0</v>
      </c>
      <c r="O156" s="243">
        <f t="shared" si="35"/>
        <v>0</v>
      </c>
      <c r="P156" s="243">
        <f t="shared" si="31"/>
        <v>0</v>
      </c>
      <c r="Q156" s="243">
        <f t="shared" si="32"/>
        <v>0</v>
      </c>
      <c r="R156" s="243">
        <f t="shared" si="33"/>
        <v>0</v>
      </c>
      <c r="S156" s="243">
        <f t="shared" si="36"/>
        <v>0</v>
      </c>
      <c r="T156" s="243">
        <f t="shared" si="34"/>
        <v>0</v>
      </c>
      <c r="AA156" s="6">
        <v>47</v>
      </c>
      <c r="AB156" t="s">
        <v>80</v>
      </c>
      <c r="AC156" t="s">
        <v>81</v>
      </c>
      <c r="AD156" t="s">
        <v>100</v>
      </c>
      <c r="AE156" t="s">
        <v>1021</v>
      </c>
      <c r="AF156">
        <v>10</v>
      </c>
      <c r="AG156">
        <v>0</v>
      </c>
      <c r="AH156">
        <v>89</v>
      </c>
      <c r="AI156" t="s">
        <v>80</v>
      </c>
      <c r="AJ156" t="s">
        <v>81</v>
      </c>
      <c r="AK156" t="s">
        <v>100</v>
      </c>
      <c r="AL156" t="s">
        <v>203</v>
      </c>
      <c r="AM156" s="314">
        <v>0</v>
      </c>
      <c r="AN156" s="314">
        <v>0</v>
      </c>
      <c r="AO156" s="314">
        <v>0</v>
      </c>
      <c r="AP156" s="314">
        <v>0</v>
      </c>
      <c r="AQ156" s="314">
        <v>0</v>
      </c>
      <c r="AR156" s="314">
        <v>0</v>
      </c>
      <c r="AS156" s="314">
        <v>0</v>
      </c>
      <c r="AT156" s="314">
        <v>0</v>
      </c>
      <c r="AU156" s="314">
        <v>0</v>
      </c>
      <c r="AV156" s="314">
        <v>0</v>
      </c>
      <c r="AW156" s="314">
        <v>0</v>
      </c>
      <c r="AX156">
        <v>0</v>
      </c>
    </row>
    <row r="157" spans="1:50" x14ac:dyDescent="0.35">
      <c r="A157">
        <v>86</v>
      </c>
      <c r="B157" t="s">
        <v>80</v>
      </c>
      <c r="C157" t="s">
        <v>81</v>
      </c>
      <c r="D157" t="s">
        <v>100</v>
      </c>
      <c r="E157" t="s">
        <v>204</v>
      </c>
      <c r="F157">
        <v>190</v>
      </c>
      <c r="G157">
        <v>190</v>
      </c>
      <c r="H157">
        <v>215</v>
      </c>
      <c r="I157">
        <v>225</v>
      </c>
      <c r="J157" s="600">
        <v>820</v>
      </c>
      <c r="K157" s="7">
        <f t="shared" si="28"/>
        <v>6</v>
      </c>
      <c r="L157" s="7">
        <f t="shared" si="29"/>
        <v>0</v>
      </c>
      <c r="M157" s="243">
        <f t="shared" si="30"/>
        <v>0</v>
      </c>
      <c r="N157" s="243">
        <f>INDEX($AN$4:$AN21053,MATCH($A157,$AH$4:$AH$2000,0))</f>
        <v>0</v>
      </c>
      <c r="O157" s="243">
        <f t="shared" si="35"/>
        <v>0</v>
      </c>
      <c r="P157" s="243">
        <f t="shared" si="31"/>
        <v>0</v>
      </c>
      <c r="Q157" s="243">
        <f t="shared" si="32"/>
        <v>34384.577872070498</v>
      </c>
      <c r="R157" s="243">
        <f t="shared" si="33"/>
        <v>34384.577872070498</v>
      </c>
      <c r="S157" s="243">
        <f t="shared" si="36"/>
        <v>38908.864434185038</v>
      </c>
      <c r="T157" s="243">
        <f t="shared" si="34"/>
        <v>40718.579059030853</v>
      </c>
      <c r="AA157" s="6">
        <v>242</v>
      </c>
      <c r="AB157" t="s">
        <v>80</v>
      </c>
      <c r="AC157" t="s">
        <v>81</v>
      </c>
      <c r="AD157" t="s">
        <v>15</v>
      </c>
      <c r="AE157" t="s">
        <v>176</v>
      </c>
      <c r="AF157">
        <v>15</v>
      </c>
      <c r="AG157">
        <v>0</v>
      </c>
      <c r="AH157">
        <v>86</v>
      </c>
      <c r="AI157" t="s">
        <v>80</v>
      </c>
      <c r="AJ157" t="s">
        <v>81</v>
      </c>
      <c r="AK157" t="s">
        <v>100</v>
      </c>
      <c r="AL157" t="s">
        <v>204</v>
      </c>
      <c r="AM157" s="314">
        <v>0</v>
      </c>
      <c r="AN157" s="314">
        <v>0</v>
      </c>
      <c r="AO157" s="314">
        <v>0</v>
      </c>
      <c r="AP157" s="314">
        <v>0</v>
      </c>
      <c r="AQ157" s="314">
        <v>0</v>
      </c>
      <c r="AR157" s="314">
        <v>0</v>
      </c>
      <c r="AS157" s="314">
        <v>0</v>
      </c>
      <c r="AT157" s="314">
        <v>0</v>
      </c>
      <c r="AU157" s="314">
        <v>34384.577872070498</v>
      </c>
      <c r="AV157" s="314">
        <v>34384.577872070498</v>
      </c>
      <c r="AW157" s="314">
        <v>38908.864434185038</v>
      </c>
      <c r="AX157">
        <v>40718.579059030853</v>
      </c>
    </row>
    <row r="158" spans="1:50" x14ac:dyDescent="0.35">
      <c r="A158">
        <v>90</v>
      </c>
      <c r="B158" t="s">
        <v>80</v>
      </c>
      <c r="C158" t="s">
        <v>81</v>
      </c>
      <c r="D158" t="s">
        <v>100</v>
      </c>
      <c r="E158" t="s">
        <v>1022</v>
      </c>
      <c r="F158">
        <v>1710</v>
      </c>
      <c r="G158">
        <v>1614</v>
      </c>
      <c r="H158">
        <v>0</v>
      </c>
      <c r="I158">
        <v>0</v>
      </c>
      <c r="J158" s="600">
        <v>3324</v>
      </c>
      <c r="K158" s="7">
        <f t="shared" si="28"/>
        <v>6</v>
      </c>
      <c r="L158" s="7">
        <f t="shared" si="29"/>
        <v>0</v>
      </c>
      <c r="M158" s="243">
        <f t="shared" si="30"/>
        <v>0</v>
      </c>
      <c r="N158" s="243">
        <f>INDEX($AN$4:$AN21054,MATCH($A158,$AH$4:$AH$2000,0))</f>
        <v>0</v>
      </c>
      <c r="O158" s="243">
        <f t="shared" si="35"/>
        <v>0</v>
      </c>
      <c r="P158" s="243">
        <f t="shared" si="31"/>
        <v>0</v>
      </c>
      <c r="Q158" s="243">
        <f t="shared" si="32"/>
        <v>0</v>
      </c>
      <c r="R158" s="243">
        <f t="shared" si="33"/>
        <v>0</v>
      </c>
      <c r="S158" s="243">
        <f t="shared" si="36"/>
        <v>0</v>
      </c>
      <c r="T158" s="243">
        <f t="shared" si="34"/>
        <v>0</v>
      </c>
      <c r="AA158" s="6">
        <v>245</v>
      </c>
      <c r="AB158" t="s">
        <v>80</v>
      </c>
      <c r="AC158" t="s">
        <v>81</v>
      </c>
      <c r="AD158" t="s">
        <v>15</v>
      </c>
      <c r="AE158" t="s">
        <v>258</v>
      </c>
      <c r="AF158">
        <v>15</v>
      </c>
      <c r="AG158">
        <v>0</v>
      </c>
      <c r="AH158">
        <v>90</v>
      </c>
      <c r="AI158" t="s">
        <v>80</v>
      </c>
      <c r="AJ158" t="s">
        <v>81</v>
      </c>
      <c r="AK158" t="s">
        <v>100</v>
      </c>
      <c r="AL158" t="s">
        <v>1022</v>
      </c>
      <c r="AM158" s="314">
        <v>0</v>
      </c>
      <c r="AN158" s="314">
        <v>0</v>
      </c>
      <c r="AO158" s="314">
        <v>0</v>
      </c>
      <c r="AP158" s="314">
        <v>0</v>
      </c>
      <c r="AQ158" s="314">
        <v>0</v>
      </c>
      <c r="AR158" s="314">
        <v>0</v>
      </c>
      <c r="AS158" s="314">
        <v>0</v>
      </c>
      <c r="AT158" s="314">
        <v>0</v>
      </c>
      <c r="AU158" s="314">
        <v>0</v>
      </c>
      <c r="AV158" s="314">
        <v>0</v>
      </c>
      <c r="AW158" s="314">
        <v>0</v>
      </c>
      <c r="AX158">
        <v>0</v>
      </c>
    </row>
    <row r="159" spans="1:50" x14ac:dyDescent="0.35">
      <c r="A159">
        <v>87</v>
      </c>
      <c r="B159" t="s">
        <v>80</v>
      </c>
      <c r="C159" t="s">
        <v>81</v>
      </c>
      <c r="D159" t="s">
        <v>100</v>
      </c>
      <c r="E159" t="s">
        <v>1023</v>
      </c>
      <c r="F159">
        <v>285</v>
      </c>
      <c r="G159">
        <v>269</v>
      </c>
      <c r="H159">
        <v>0</v>
      </c>
      <c r="I159">
        <v>0</v>
      </c>
      <c r="J159" s="600">
        <v>554</v>
      </c>
      <c r="K159" s="7">
        <f t="shared" si="28"/>
        <v>6</v>
      </c>
      <c r="L159" s="7">
        <f t="shared" si="29"/>
        <v>0</v>
      </c>
      <c r="M159" s="243">
        <f t="shared" si="30"/>
        <v>0</v>
      </c>
      <c r="N159" s="243">
        <f>INDEX($AN$4:$AN21055,MATCH($A159,$AH$4:$AH$2000,0))</f>
        <v>0</v>
      </c>
      <c r="O159" s="243">
        <f t="shared" si="35"/>
        <v>0</v>
      </c>
      <c r="P159" s="243">
        <f t="shared" si="31"/>
        <v>0</v>
      </c>
      <c r="Q159" s="243">
        <f t="shared" si="32"/>
        <v>759320.45821473969</v>
      </c>
      <c r="R159" s="243">
        <f t="shared" si="33"/>
        <v>716691.9412623333</v>
      </c>
      <c r="S159" s="243">
        <f t="shared" si="36"/>
        <v>0</v>
      </c>
      <c r="T159" s="243">
        <f t="shared" si="34"/>
        <v>0</v>
      </c>
      <c r="AA159" s="6">
        <v>71</v>
      </c>
      <c r="AB159" t="s">
        <v>80</v>
      </c>
      <c r="AC159" t="s">
        <v>81</v>
      </c>
      <c r="AD159" t="s">
        <v>100</v>
      </c>
      <c r="AE159" t="s">
        <v>177</v>
      </c>
      <c r="AF159">
        <v>15</v>
      </c>
      <c r="AG159">
        <v>0</v>
      </c>
      <c r="AH159">
        <v>87</v>
      </c>
      <c r="AI159" t="s">
        <v>80</v>
      </c>
      <c r="AJ159" t="s">
        <v>81</v>
      </c>
      <c r="AK159" t="s">
        <v>100</v>
      </c>
      <c r="AL159" t="s">
        <v>1023</v>
      </c>
      <c r="AM159" s="314">
        <v>0</v>
      </c>
      <c r="AN159" s="314">
        <v>0</v>
      </c>
      <c r="AO159" s="314">
        <v>0</v>
      </c>
      <c r="AP159" s="314">
        <v>0</v>
      </c>
      <c r="AQ159" s="314">
        <v>0</v>
      </c>
      <c r="AR159" s="314">
        <v>0</v>
      </c>
      <c r="AS159" s="314">
        <v>0</v>
      </c>
      <c r="AT159" s="314">
        <v>0</v>
      </c>
      <c r="AU159" s="314">
        <v>759320.45821473969</v>
      </c>
      <c r="AV159" s="314">
        <v>716691.9412623333</v>
      </c>
      <c r="AW159" s="314">
        <v>0</v>
      </c>
      <c r="AX159">
        <v>0</v>
      </c>
    </row>
    <row r="160" spans="1:50" x14ac:dyDescent="0.35">
      <c r="A160">
        <v>84</v>
      </c>
      <c r="B160" t="s">
        <v>80</v>
      </c>
      <c r="C160" t="s">
        <v>81</v>
      </c>
      <c r="D160" t="s">
        <v>100</v>
      </c>
      <c r="E160" t="s">
        <v>207</v>
      </c>
      <c r="F160">
        <v>15</v>
      </c>
      <c r="G160">
        <v>16</v>
      </c>
      <c r="H160">
        <v>20</v>
      </c>
      <c r="I160">
        <v>17</v>
      </c>
      <c r="J160" s="600">
        <v>68</v>
      </c>
      <c r="K160" s="7">
        <f t="shared" si="28"/>
        <v>10</v>
      </c>
      <c r="L160" s="7">
        <f t="shared" si="29"/>
        <v>0</v>
      </c>
      <c r="M160" s="243">
        <f t="shared" si="30"/>
        <v>3960</v>
      </c>
      <c r="N160" s="243">
        <f>INDEX($AN$4:$AN21056,MATCH($A160,$AH$4:$AH$2000,0))</f>
        <v>4224</v>
      </c>
      <c r="O160" s="243">
        <f t="shared" si="35"/>
        <v>5280</v>
      </c>
      <c r="P160" s="243">
        <f t="shared" si="31"/>
        <v>4488</v>
      </c>
      <c r="Q160" s="243">
        <f t="shared" si="32"/>
        <v>0</v>
      </c>
      <c r="R160" s="243">
        <f t="shared" si="33"/>
        <v>0</v>
      </c>
      <c r="S160" s="243">
        <f t="shared" si="36"/>
        <v>0</v>
      </c>
      <c r="T160" s="243">
        <f t="shared" si="34"/>
        <v>0</v>
      </c>
      <c r="AA160" s="6">
        <v>179</v>
      </c>
      <c r="AB160" t="s">
        <v>80</v>
      </c>
      <c r="AC160" t="s">
        <v>81</v>
      </c>
      <c r="AD160" t="s">
        <v>5</v>
      </c>
      <c r="AE160" t="s">
        <v>178</v>
      </c>
      <c r="AF160" s="1">
        <v>13</v>
      </c>
      <c r="AG160">
        <v>0</v>
      </c>
      <c r="AH160">
        <v>84</v>
      </c>
      <c r="AI160" t="s">
        <v>80</v>
      </c>
      <c r="AJ160" t="s">
        <v>81</v>
      </c>
      <c r="AK160" t="s">
        <v>100</v>
      </c>
      <c r="AL160" t="s">
        <v>207</v>
      </c>
      <c r="AM160" s="314">
        <v>3960</v>
      </c>
      <c r="AN160" s="314">
        <v>4224</v>
      </c>
      <c r="AO160" s="314">
        <v>5280</v>
      </c>
      <c r="AP160" s="314">
        <v>4488</v>
      </c>
      <c r="AQ160" s="314">
        <v>0</v>
      </c>
      <c r="AR160" s="314">
        <v>0</v>
      </c>
      <c r="AS160" s="314">
        <v>0</v>
      </c>
      <c r="AT160" s="314">
        <v>0</v>
      </c>
      <c r="AU160" s="314">
        <v>0</v>
      </c>
      <c r="AV160" s="314">
        <v>0</v>
      </c>
      <c r="AW160" s="314">
        <v>0</v>
      </c>
      <c r="AX160">
        <v>0</v>
      </c>
    </row>
    <row r="161" spans="1:50" x14ac:dyDescent="0.35">
      <c r="A161">
        <v>60</v>
      </c>
      <c r="B161" t="s">
        <v>80</v>
      </c>
      <c r="C161" t="s">
        <v>81</v>
      </c>
      <c r="D161" t="s">
        <v>100</v>
      </c>
      <c r="E161" t="s">
        <v>208</v>
      </c>
      <c r="F161">
        <v>18</v>
      </c>
      <c r="G161">
        <v>19</v>
      </c>
      <c r="H161">
        <v>39</v>
      </c>
      <c r="I161">
        <v>40</v>
      </c>
      <c r="J161" s="600">
        <v>116</v>
      </c>
      <c r="K161" s="7">
        <f t="shared" si="28"/>
        <v>18</v>
      </c>
      <c r="L161" s="7">
        <f t="shared" si="29"/>
        <v>0</v>
      </c>
      <c r="M161" s="243">
        <f t="shared" si="30"/>
        <v>66182.400000000009</v>
      </c>
      <c r="N161" s="243">
        <f>INDEX($AN$4:$AN21057,MATCH($A161,$AH$4:$AH$2000,0))</f>
        <v>69859.199999999997</v>
      </c>
      <c r="O161" s="243">
        <f t="shared" si="35"/>
        <v>143395.20000000001</v>
      </c>
      <c r="P161" s="243">
        <f t="shared" si="31"/>
        <v>147072</v>
      </c>
      <c r="Q161" s="243">
        <f t="shared" si="32"/>
        <v>0</v>
      </c>
      <c r="R161" s="243">
        <f t="shared" si="33"/>
        <v>0</v>
      </c>
      <c r="S161" s="243">
        <f t="shared" si="36"/>
        <v>0</v>
      </c>
      <c r="T161" s="243">
        <f t="shared" si="34"/>
        <v>0</v>
      </c>
      <c r="AA161" s="6">
        <v>102</v>
      </c>
      <c r="AB161" t="s">
        <v>80</v>
      </c>
      <c r="AC161" t="s">
        <v>81</v>
      </c>
      <c r="AD161" t="s">
        <v>148</v>
      </c>
      <c r="AE161" t="s">
        <v>179</v>
      </c>
      <c r="AF161">
        <v>12</v>
      </c>
      <c r="AG161">
        <v>0</v>
      </c>
      <c r="AH161">
        <v>60</v>
      </c>
      <c r="AI161" t="s">
        <v>80</v>
      </c>
      <c r="AJ161" t="s">
        <v>81</v>
      </c>
      <c r="AK161" t="s">
        <v>100</v>
      </c>
      <c r="AL161" t="s">
        <v>208</v>
      </c>
      <c r="AM161" s="314">
        <v>66182.400000000009</v>
      </c>
      <c r="AN161" s="314">
        <v>69859.199999999997</v>
      </c>
      <c r="AO161" s="314">
        <v>143395.20000000001</v>
      </c>
      <c r="AP161" s="314">
        <v>147072</v>
      </c>
      <c r="AQ161" s="314">
        <v>20.159999999999997</v>
      </c>
      <c r="AR161" s="314">
        <v>21.279999999999998</v>
      </c>
      <c r="AS161" s="314">
        <v>43.679999999999993</v>
      </c>
      <c r="AT161" s="314">
        <v>44.8</v>
      </c>
      <c r="AU161" s="314">
        <v>0</v>
      </c>
      <c r="AV161" s="314">
        <v>0</v>
      </c>
      <c r="AW161" s="314">
        <v>0</v>
      </c>
      <c r="AX161">
        <v>0</v>
      </c>
    </row>
    <row r="162" spans="1:50" x14ac:dyDescent="0.35">
      <c r="A162">
        <v>103</v>
      </c>
      <c r="B162" t="s">
        <v>80</v>
      </c>
      <c r="C162" t="s">
        <v>81</v>
      </c>
      <c r="D162" t="s">
        <v>148</v>
      </c>
      <c r="E162" t="s">
        <v>209</v>
      </c>
      <c r="F162">
        <v>1</v>
      </c>
      <c r="G162">
        <v>1</v>
      </c>
      <c r="H162">
        <v>2</v>
      </c>
      <c r="I162">
        <v>2</v>
      </c>
      <c r="J162" s="600">
        <v>6</v>
      </c>
      <c r="K162" s="7">
        <f t="shared" si="28"/>
        <v>12</v>
      </c>
      <c r="L162" s="7">
        <f t="shared" si="29"/>
        <v>0</v>
      </c>
      <c r="M162" s="243">
        <f t="shared" si="30"/>
        <v>0</v>
      </c>
      <c r="N162" s="243">
        <f>INDEX($AN$4:$AN21058,MATCH($A162,$AH$4:$AH$2000,0))</f>
        <v>0</v>
      </c>
      <c r="O162" s="243">
        <f t="shared" si="35"/>
        <v>0</v>
      </c>
      <c r="P162" s="243">
        <f t="shared" si="31"/>
        <v>0</v>
      </c>
      <c r="Q162" s="243">
        <f t="shared" si="32"/>
        <v>173.47500000000002</v>
      </c>
      <c r="R162" s="243">
        <f t="shared" si="33"/>
        <v>173.47500000000002</v>
      </c>
      <c r="S162" s="243">
        <f t="shared" si="36"/>
        <v>346.95000000000005</v>
      </c>
      <c r="T162" s="243">
        <f t="shared" si="34"/>
        <v>346.95000000000005</v>
      </c>
      <c r="AA162" s="6">
        <v>223</v>
      </c>
      <c r="AB162" t="s">
        <v>80</v>
      </c>
      <c r="AC162" t="s">
        <v>81</v>
      </c>
      <c r="AD162" t="s">
        <v>105</v>
      </c>
      <c r="AE162" t="s">
        <v>180</v>
      </c>
      <c r="AF162">
        <v>15</v>
      </c>
      <c r="AG162">
        <v>0</v>
      </c>
      <c r="AH162">
        <v>103</v>
      </c>
      <c r="AI162" t="s">
        <v>80</v>
      </c>
      <c r="AJ162" t="s">
        <v>81</v>
      </c>
      <c r="AK162" t="s">
        <v>148</v>
      </c>
      <c r="AL162" t="s">
        <v>209</v>
      </c>
      <c r="AM162" s="314">
        <v>0</v>
      </c>
      <c r="AN162" s="314">
        <v>0</v>
      </c>
      <c r="AO162" s="314">
        <v>0</v>
      </c>
      <c r="AP162" s="314">
        <v>0</v>
      </c>
      <c r="AQ162" s="314">
        <v>0</v>
      </c>
      <c r="AR162" s="314">
        <v>0</v>
      </c>
      <c r="AS162" s="314">
        <v>0</v>
      </c>
      <c r="AT162" s="314">
        <v>0</v>
      </c>
      <c r="AU162" s="314">
        <v>173.47500000000002</v>
      </c>
      <c r="AV162" s="314">
        <v>173.47500000000002</v>
      </c>
      <c r="AW162" s="314">
        <v>346.95000000000005</v>
      </c>
      <c r="AX162">
        <v>346.95000000000005</v>
      </c>
    </row>
    <row r="163" spans="1:50" x14ac:dyDescent="0.35">
      <c r="A163">
        <v>614</v>
      </c>
      <c r="B163" t="s">
        <v>0</v>
      </c>
      <c r="C163" t="s">
        <v>1933</v>
      </c>
      <c r="D163" t="s">
        <v>7</v>
      </c>
      <c r="E163" t="s">
        <v>35</v>
      </c>
      <c r="F163">
        <v>703.680745</v>
      </c>
      <c r="G163">
        <v>705.45945900000004</v>
      </c>
      <c r="H163">
        <v>651.15974999999992</v>
      </c>
      <c r="I163">
        <v>697.81326000000001</v>
      </c>
      <c r="J163" s="600">
        <v>2732</v>
      </c>
      <c r="K163" s="7">
        <f t="shared" si="28"/>
        <v>10</v>
      </c>
      <c r="L163" s="7">
        <f t="shared" si="29"/>
        <v>0</v>
      </c>
      <c r="M163" s="243">
        <f t="shared" si="30"/>
        <v>179742.36</v>
      </c>
      <c r="N163" s="243">
        <f>INDEX($AN$4:$AN21059,MATCH($A163,$AH$4:$AH$2000,0))</f>
        <v>180258.12</v>
      </c>
      <c r="O163" s="243">
        <f t="shared" si="35"/>
        <v>166332.6</v>
      </c>
      <c r="P163" s="243">
        <f t="shared" si="31"/>
        <v>178195.08</v>
      </c>
      <c r="Q163" s="243">
        <f t="shared" si="32"/>
        <v>0</v>
      </c>
      <c r="R163" s="243">
        <f t="shared" si="33"/>
        <v>0</v>
      </c>
      <c r="S163" s="243">
        <f t="shared" si="36"/>
        <v>0</v>
      </c>
      <c r="T163" s="243">
        <f t="shared" si="34"/>
        <v>0</v>
      </c>
      <c r="AA163" s="6">
        <v>63</v>
      </c>
      <c r="AB163" t="s">
        <v>80</v>
      </c>
      <c r="AC163" t="s">
        <v>81</v>
      </c>
      <c r="AD163" t="s">
        <v>100</v>
      </c>
      <c r="AE163" t="s">
        <v>259</v>
      </c>
      <c r="AG163">
        <v>0</v>
      </c>
      <c r="AH163">
        <v>614</v>
      </c>
      <c r="AI163" t="s">
        <v>0</v>
      </c>
      <c r="AJ163" t="s">
        <v>1933</v>
      </c>
      <c r="AK163" t="s">
        <v>7</v>
      </c>
      <c r="AL163" t="s">
        <v>35</v>
      </c>
      <c r="AM163" s="314">
        <v>179742.36</v>
      </c>
      <c r="AN163" s="314">
        <v>180258.12</v>
      </c>
      <c r="AO163" s="314">
        <v>166332.6</v>
      </c>
      <c r="AP163" s="314">
        <v>178195.08</v>
      </c>
      <c r="AQ163" s="314">
        <v>16.546780000000002</v>
      </c>
      <c r="AR163" s="314">
        <v>16.594260000000002</v>
      </c>
      <c r="AS163" s="314">
        <v>15.3123</v>
      </c>
      <c r="AT163" s="314">
        <v>16.404340000000001</v>
      </c>
      <c r="AU163" s="314">
        <v>0</v>
      </c>
      <c r="AV163" s="314">
        <v>0</v>
      </c>
      <c r="AW163" s="314">
        <v>0</v>
      </c>
      <c r="AX163">
        <v>0</v>
      </c>
    </row>
    <row r="164" spans="1:50" x14ac:dyDescent="0.35">
      <c r="A164">
        <v>599</v>
      </c>
      <c r="B164" t="s">
        <v>0</v>
      </c>
      <c r="C164" t="s">
        <v>1933</v>
      </c>
      <c r="D164" t="s">
        <v>7</v>
      </c>
      <c r="E164" t="s">
        <v>1801</v>
      </c>
      <c r="F164">
        <v>1125.4853579999999</v>
      </c>
      <c r="G164">
        <v>1129.0379067000001</v>
      </c>
      <c r="H164">
        <v>1041.2498699999999</v>
      </c>
      <c r="I164">
        <v>1117.2748697459999</v>
      </c>
      <c r="J164" s="600">
        <v>4371.2660999999998</v>
      </c>
      <c r="K164" s="7">
        <f t="shared" si="28"/>
        <v>9</v>
      </c>
      <c r="L164" s="7">
        <f t="shared" si="29"/>
        <v>0</v>
      </c>
      <c r="M164" s="243">
        <f t="shared" si="30"/>
        <v>76508.723999999987</v>
      </c>
      <c r="N164" s="243">
        <f>INDEX($AN$4:$AN21060,MATCH($A164,$AH$4:$AH$2000,0))</f>
        <v>76776.380999999994</v>
      </c>
      <c r="O164" s="243">
        <f t="shared" ref="O164:O183" si="37">INDEX($AO$4:$AO$2000,MATCH($A164,$AH$4:$AH$2000,0))</f>
        <v>70784.981999999989</v>
      </c>
      <c r="P164" s="243">
        <f t="shared" si="31"/>
        <v>75929.905442999996</v>
      </c>
      <c r="Q164" s="243">
        <f t="shared" si="32"/>
        <v>0</v>
      </c>
      <c r="R164" s="243">
        <f t="shared" si="33"/>
        <v>0</v>
      </c>
      <c r="S164" s="243">
        <f t="shared" ref="S164:S183" si="38">INDEX($AW$4:$AW$2000,MATCH($A164,$AH$4:$AH$2000,0))</f>
        <v>0</v>
      </c>
      <c r="T164" s="243">
        <f t="shared" si="34"/>
        <v>0</v>
      </c>
      <c r="AA164" s="6">
        <v>97</v>
      </c>
      <c r="AB164" t="s">
        <v>80</v>
      </c>
      <c r="AC164" t="s">
        <v>81</v>
      </c>
      <c r="AD164" t="s">
        <v>100</v>
      </c>
      <c r="AE164" t="s">
        <v>181</v>
      </c>
      <c r="AF164">
        <v>15</v>
      </c>
      <c r="AG164">
        <v>0</v>
      </c>
      <c r="AH164">
        <v>599</v>
      </c>
      <c r="AI164" t="s">
        <v>0</v>
      </c>
      <c r="AJ164" t="s">
        <v>1933</v>
      </c>
      <c r="AK164" t="s">
        <v>7</v>
      </c>
      <c r="AL164" t="s">
        <v>1801</v>
      </c>
      <c r="AM164" s="314">
        <v>76508.723999999987</v>
      </c>
      <c r="AN164" s="314">
        <v>76776.380999999994</v>
      </c>
      <c r="AO164" s="314">
        <v>70784.981999999989</v>
      </c>
      <c r="AP164" s="314">
        <v>75929.905442999996</v>
      </c>
      <c r="AQ164" s="314">
        <v>32.362643999999996</v>
      </c>
      <c r="AR164" s="314">
        <v>32.475861000000002</v>
      </c>
      <c r="AS164" s="314">
        <v>29.941541999999995</v>
      </c>
      <c r="AT164" s="314">
        <v>32.117807882999998</v>
      </c>
      <c r="AU164" s="314">
        <v>0</v>
      </c>
      <c r="AV164" s="314">
        <v>0</v>
      </c>
      <c r="AW164" s="314">
        <v>0</v>
      </c>
      <c r="AX164">
        <v>0</v>
      </c>
    </row>
    <row r="165" spans="1:50" x14ac:dyDescent="0.35">
      <c r="A165">
        <v>615</v>
      </c>
      <c r="B165" t="s">
        <v>0</v>
      </c>
      <c r="C165" t="s">
        <v>1933</v>
      </c>
      <c r="D165" t="s">
        <v>7</v>
      </c>
      <c r="E165" t="s">
        <v>39</v>
      </c>
      <c r="F165">
        <v>1625.75</v>
      </c>
      <c r="G165">
        <v>1631.4374999999998</v>
      </c>
      <c r="H165">
        <v>1504.125</v>
      </c>
      <c r="I165">
        <v>1613.4505624999999</v>
      </c>
      <c r="J165" s="600">
        <v>6374.7630625000002</v>
      </c>
      <c r="K165" s="7">
        <f t="shared" si="28"/>
        <v>10</v>
      </c>
      <c r="L165" s="7">
        <f t="shared" si="29"/>
        <v>0</v>
      </c>
      <c r="M165" s="243">
        <f t="shared" si="30"/>
        <v>0</v>
      </c>
      <c r="N165" s="243">
        <f>INDEX($AN$4:$AN21061,MATCH($A165,$AH$4:$AH$2000,0))</f>
        <v>0</v>
      </c>
      <c r="O165" s="243">
        <f t="shared" si="37"/>
        <v>0</v>
      </c>
      <c r="P165" s="243">
        <f t="shared" si="31"/>
        <v>0</v>
      </c>
      <c r="Q165" s="243">
        <f t="shared" si="32"/>
        <v>17948.28</v>
      </c>
      <c r="R165" s="243">
        <f t="shared" si="33"/>
        <v>18011.069999999996</v>
      </c>
      <c r="S165" s="243">
        <f t="shared" si="38"/>
        <v>16605.539999999997</v>
      </c>
      <c r="T165" s="243">
        <f t="shared" si="34"/>
        <v>17812.494209999997</v>
      </c>
      <c r="AA165" s="6">
        <v>190</v>
      </c>
      <c r="AB165" t="s">
        <v>80</v>
      </c>
      <c r="AC165" t="s">
        <v>81</v>
      </c>
      <c r="AD165" t="s">
        <v>5</v>
      </c>
      <c r="AE165" t="s">
        <v>182</v>
      </c>
      <c r="AF165">
        <v>14</v>
      </c>
      <c r="AG165">
        <v>0</v>
      </c>
      <c r="AH165">
        <v>615</v>
      </c>
      <c r="AI165" t="s">
        <v>0</v>
      </c>
      <c r="AJ165" t="s">
        <v>1933</v>
      </c>
      <c r="AK165" t="s">
        <v>7</v>
      </c>
      <c r="AL165" t="s">
        <v>39</v>
      </c>
      <c r="AM165" s="314">
        <v>0</v>
      </c>
      <c r="AN165" s="314">
        <v>0</v>
      </c>
      <c r="AO165" s="314">
        <v>0</v>
      </c>
      <c r="AP165" s="314">
        <v>0</v>
      </c>
      <c r="AQ165" s="314">
        <v>0</v>
      </c>
      <c r="AR165" s="314">
        <v>0</v>
      </c>
      <c r="AS165" s="314">
        <v>0</v>
      </c>
      <c r="AT165" s="314">
        <v>0</v>
      </c>
      <c r="AU165" s="314">
        <v>17948.28</v>
      </c>
      <c r="AV165" s="314">
        <v>18011.069999999996</v>
      </c>
      <c r="AW165" s="314">
        <v>16605.539999999997</v>
      </c>
      <c r="AX165">
        <v>17812.494209999997</v>
      </c>
    </row>
    <row r="166" spans="1:50" x14ac:dyDescent="0.35">
      <c r="A166">
        <v>600</v>
      </c>
      <c r="B166" t="s">
        <v>0</v>
      </c>
      <c r="C166" t="s">
        <v>1933</v>
      </c>
      <c r="D166" t="s">
        <v>7</v>
      </c>
      <c r="E166" t="s">
        <v>1802</v>
      </c>
      <c r="F166">
        <v>2601</v>
      </c>
      <c r="G166">
        <v>2610</v>
      </c>
      <c r="H166">
        <v>2407</v>
      </c>
      <c r="I166">
        <v>2582</v>
      </c>
      <c r="J166" s="600">
        <v>10200</v>
      </c>
      <c r="K166" s="7">
        <f t="shared" si="28"/>
        <v>9</v>
      </c>
      <c r="L166" s="7">
        <f t="shared" si="29"/>
        <v>0</v>
      </c>
      <c r="M166" s="243">
        <f t="shared" si="30"/>
        <v>0</v>
      </c>
      <c r="N166" s="243">
        <f>INDEX($AN$4:$AN21062,MATCH($A166,$AH$4:$AH$2000,0))</f>
        <v>0</v>
      </c>
      <c r="O166" s="243">
        <f t="shared" si="37"/>
        <v>0</v>
      </c>
      <c r="P166" s="243">
        <f t="shared" si="31"/>
        <v>0</v>
      </c>
      <c r="Q166" s="243">
        <f t="shared" si="32"/>
        <v>7646.94</v>
      </c>
      <c r="R166" s="243">
        <f t="shared" si="33"/>
        <v>7673.4</v>
      </c>
      <c r="S166" s="243">
        <f t="shared" si="38"/>
        <v>7076.58</v>
      </c>
      <c r="T166" s="243">
        <f t="shared" si="34"/>
        <v>7591.08</v>
      </c>
      <c r="AA166" s="6">
        <v>200</v>
      </c>
      <c r="AB166" t="s">
        <v>80</v>
      </c>
      <c r="AC166" t="s">
        <v>81</v>
      </c>
      <c r="AD166" t="s">
        <v>5</v>
      </c>
      <c r="AE166" t="s">
        <v>260</v>
      </c>
      <c r="AG166">
        <v>0</v>
      </c>
      <c r="AH166">
        <v>600</v>
      </c>
      <c r="AI166" t="s">
        <v>0</v>
      </c>
      <c r="AJ166" t="s">
        <v>1933</v>
      </c>
      <c r="AK166" t="s">
        <v>7</v>
      </c>
      <c r="AL166" t="s">
        <v>1802</v>
      </c>
      <c r="AM166" s="314">
        <v>0</v>
      </c>
      <c r="AN166" s="314">
        <v>0</v>
      </c>
      <c r="AO166" s="314">
        <v>0</v>
      </c>
      <c r="AP166" s="314">
        <v>0</v>
      </c>
      <c r="AQ166" s="314">
        <v>0</v>
      </c>
      <c r="AR166" s="314">
        <v>0</v>
      </c>
      <c r="AS166" s="314">
        <v>0</v>
      </c>
      <c r="AT166" s="314">
        <v>0</v>
      </c>
      <c r="AU166" s="314">
        <v>7646.94</v>
      </c>
      <c r="AV166" s="314">
        <v>7673.4</v>
      </c>
      <c r="AW166" s="314">
        <v>7076.58</v>
      </c>
      <c r="AX166">
        <v>7591.08</v>
      </c>
    </row>
    <row r="167" spans="1:50" x14ac:dyDescent="0.35">
      <c r="A167">
        <v>559</v>
      </c>
      <c r="B167" t="s">
        <v>0</v>
      </c>
      <c r="C167" t="s">
        <v>1933</v>
      </c>
      <c r="D167" t="s">
        <v>7</v>
      </c>
      <c r="E167" t="s">
        <v>1803</v>
      </c>
      <c r="F167">
        <v>271.80471395699999</v>
      </c>
      <c r="G167">
        <v>272.66265446804994</v>
      </c>
      <c r="H167">
        <v>251.46184360499996</v>
      </c>
      <c r="I167">
        <v>269.821881043659</v>
      </c>
      <c r="J167" s="600">
        <v>1055.6607631499999</v>
      </c>
      <c r="K167" s="7">
        <f t="shared" si="28"/>
        <v>15</v>
      </c>
      <c r="L167" s="7">
        <f t="shared" si="29"/>
        <v>0</v>
      </c>
      <c r="M167" s="243">
        <f t="shared" si="30"/>
        <v>597349.60700624995</v>
      </c>
      <c r="N167" s="243">
        <f>INDEX($AN$4:$AN21063,MATCH($A167,$AH$4:$AH$2000,0))</f>
        <v>599439.36612656235</v>
      </c>
      <c r="O167" s="243">
        <f t="shared" si="37"/>
        <v>552660.91197187488</v>
      </c>
      <c r="P167" s="243">
        <f t="shared" si="31"/>
        <v>592830.42253322341</v>
      </c>
      <c r="Q167" s="243">
        <f t="shared" si="32"/>
        <v>0</v>
      </c>
      <c r="R167" s="243">
        <f t="shared" si="33"/>
        <v>0</v>
      </c>
      <c r="S167" s="243">
        <f t="shared" si="38"/>
        <v>0</v>
      </c>
      <c r="T167" s="243">
        <f t="shared" si="34"/>
        <v>0</v>
      </c>
      <c r="AA167" s="6">
        <v>192</v>
      </c>
      <c r="AB167" t="s">
        <v>80</v>
      </c>
      <c r="AC167" t="s">
        <v>81</v>
      </c>
      <c r="AD167" t="s">
        <v>5</v>
      </c>
      <c r="AE167" t="s">
        <v>261</v>
      </c>
      <c r="AG167">
        <v>0</v>
      </c>
      <c r="AH167">
        <v>559</v>
      </c>
      <c r="AI167" t="s">
        <v>0</v>
      </c>
      <c r="AJ167" t="s">
        <v>1933</v>
      </c>
      <c r="AK167" t="s">
        <v>7</v>
      </c>
      <c r="AL167" t="s">
        <v>1803</v>
      </c>
      <c r="AM167" s="314">
        <v>597349.60700624995</v>
      </c>
      <c r="AN167" s="314">
        <v>599439.36612656235</v>
      </c>
      <c r="AO167" s="314">
        <v>552660.91197187488</v>
      </c>
      <c r="AP167" s="314">
        <v>592830.42253322341</v>
      </c>
      <c r="AQ167" s="314">
        <v>84.805622999999997</v>
      </c>
      <c r="AR167" s="314">
        <v>85.102305749999971</v>
      </c>
      <c r="AS167" s="314">
        <v>78.461176499999993</v>
      </c>
      <c r="AT167" s="314">
        <v>84.16403514225</v>
      </c>
      <c r="AU167" s="314">
        <v>0</v>
      </c>
      <c r="AV167" s="314">
        <v>0</v>
      </c>
      <c r="AW167" s="314">
        <v>0</v>
      </c>
      <c r="AX167">
        <v>0</v>
      </c>
    </row>
    <row r="168" spans="1:50" x14ac:dyDescent="0.35">
      <c r="A168">
        <v>610</v>
      </c>
      <c r="B168" t="s">
        <v>0</v>
      </c>
      <c r="C168" t="s">
        <v>1933</v>
      </c>
      <c r="D168" t="s">
        <v>7</v>
      </c>
      <c r="E168" t="s">
        <v>1804</v>
      </c>
      <c r="F168">
        <v>58.555929999999996</v>
      </c>
      <c r="G168">
        <v>58.535978</v>
      </c>
      <c r="H168">
        <v>53.506149999999998</v>
      </c>
      <c r="I168">
        <v>57.562019999999997</v>
      </c>
      <c r="J168" s="600">
        <v>226</v>
      </c>
      <c r="K168" s="7">
        <f t="shared" si="28"/>
        <v>25</v>
      </c>
      <c r="L168" s="7">
        <f t="shared" si="29"/>
        <v>0</v>
      </c>
      <c r="M168" s="243">
        <f t="shared" si="30"/>
        <v>61538</v>
      </c>
      <c r="N168" s="243">
        <f>INDEX($AN$4:$AN21064,MATCH($A168,$AH$4:$AH$2000,0))</f>
        <v>61538</v>
      </c>
      <c r="O168" s="243">
        <f t="shared" si="37"/>
        <v>56233</v>
      </c>
      <c r="P168" s="243">
        <f t="shared" si="31"/>
        <v>60477</v>
      </c>
      <c r="Q168" s="243">
        <f t="shared" si="32"/>
        <v>0</v>
      </c>
      <c r="R168" s="243">
        <f t="shared" si="33"/>
        <v>0</v>
      </c>
      <c r="S168" s="243">
        <f t="shared" si="38"/>
        <v>0</v>
      </c>
      <c r="T168" s="243">
        <f t="shared" si="34"/>
        <v>0</v>
      </c>
      <c r="AA168" s="6">
        <v>194</v>
      </c>
      <c r="AB168" t="s">
        <v>80</v>
      </c>
      <c r="AC168" t="s">
        <v>81</v>
      </c>
      <c r="AD168" t="s">
        <v>5</v>
      </c>
      <c r="AE168" t="s">
        <v>262</v>
      </c>
      <c r="AF168">
        <v>15</v>
      </c>
      <c r="AG168">
        <v>0</v>
      </c>
      <c r="AH168">
        <v>610</v>
      </c>
      <c r="AI168" t="s">
        <v>0</v>
      </c>
      <c r="AJ168" t="s">
        <v>1933</v>
      </c>
      <c r="AK168" t="s">
        <v>7</v>
      </c>
      <c r="AL168" t="s">
        <v>1804</v>
      </c>
      <c r="AM168" s="314">
        <v>61538</v>
      </c>
      <c r="AN168" s="314">
        <v>61538</v>
      </c>
      <c r="AO168" s="314">
        <v>56233</v>
      </c>
      <c r="AP168" s="314">
        <v>60477</v>
      </c>
      <c r="AQ168" s="314">
        <v>5.5920845334848712</v>
      </c>
      <c r="AR168" s="314">
        <v>5.5920845334848712</v>
      </c>
      <c r="AS168" s="314">
        <v>5.1100082805982439</v>
      </c>
      <c r="AT168" s="314">
        <v>5.4956692829075457</v>
      </c>
      <c r="AU168" s="314">
        <v>0</v>
      </c>
      <c r="AV168" s="314">
        <v>0</v>
      </c>
      <c r="AW168" s="314">
        <v>0</v>
      </c>
      <c r="AX168">
        <v>0</v>
      </c>
    </row>
    <row r="169" spans="1:50" x14ac:dyDescent="0.35">
      <c r="A169">
        <v>612</v>
      </c>
      <c r="B169" t="s">
        <v>0</v>
      </c>
      <c r="C169" t="s">
        <v>1933</v>
      </c>
      <c r="D169" t="s">
        <v>7</v>
      </c>
      <c r="E169" t="s">
        <v>1805</v>
      </c>
      <c r="F169">
        <v>136.29397499999999</v>
      </c>
      <c r="G169">
        <v>136.247535</v>
      </c>
      <c r="H169">
        <v>126.19374999999999</v>
      </c>
      <c r="I169">
        <v>135.32123999999999</v>
      </c>
      <c r="J169" s="600">
        <v>529</v>
      </c>
      <c r="K169" s="7">
        <f t="shared" si="28"/>
        <v>25</v>
      </c>
      <c r="L169" s="7">
        <f t="shared" si="29"/>
        <v>0</v>
      </c>
      <c r="M169" s="243">
        <f t="shared" si="30"/>
        <v>32421.09375</v>
      </c>
      <c r="N169" s="243">
        <f>INDEX($AN$4:$AN21065,MATCH($A169,$AH$4:$AH$2000,0))</f>
        <v>32421.09375</v>
      </c>
      <c r="O169" s="243">
        <f t="shared" si="37"/>
        <v>30019.53125</v>
      </c>
      <c r="P169" s="243">
        <f t="shared" si="31"/>
        <v>32180.9375</v>
      </c>
      <c r="Q169" s="243">
        <f t="shared" si="32"/>
        <v>0</v>
      </c>
      <c r="R169" s="243">
        <f t="shared" si="33"/>
        <v>0</v>
      </c>
      <c r="S169" s="243">
        <f t="shared" si="38"/>
        <v>0</v>
      </c>
      <c r="T169" s="243">
        <f t="shared" si="34"/>
        <v>0</v>
      </c>
      <c r="AA169" s="6">
        <v>76</v>
      </c>
      <c r="AB169" t="s">
        <v>80</v>
      </c>
      <c r="AC169" t="s">
        <v>81</v>
      </c>
      <c r="AD169" t="s">
        <v>100</v>
      </c>
      <c r="AE169" t="s">
        <v>263</v>
      </c>
      <c r="AG169">
        <v>0</v>
      </c>
      <c r="AH169">
        <v>612</v>
      </c>
      <c r="AI169" t="s">
        <v>0</v>
      </c>
      <c r="AJ169" t="s">
        <v>1933</v>
      </c>
      <c r="AK169" t="s">
        <v>7</v>
      </c>
      <c r="AL169" t="s">
        <v>1805</v>
      </c>
      <c r="AM169" s="314">
        <v>32421.09375</v>
      </c>
      <c r="AN169" s="314">
        <v>32421.09375</v>
      </c>
      <c r="AO169" s="314">
        <v>30019.53125</v>
      </c>
      <c r="AP169" s="314">
        <v>32180.9375</v>
      </c>
      <c r="AQ169" s="314">
        <v>2.7419100039898918</v>
      </c>
      <c r="AR169" s="314">
        <v>2.7419100039898918</v>
      </c>
      <c r="AS169" s="314">
        <v>2.5388055592498997</v>
      </c>
      <c r="AT169" s="314">
        <v>2.7215995595158926</v>
      </c>
      <c r="AU169" s="314">
        <v>0</v>
      </c>
      <c r="AV169" s="314">
        <v>0</v>
      </c>
      <c r="AW169" s="314">
        <v>0</v>
      </c>
      <c r="AX169">
        <v>0</v>
      </c>
    </row>
    <row r="170" spans="1:50" x14ac:dyDescent="0.35">
      <c r="A170">
        <v>585</v>
      </c>
      <c r="B170" t="s">
        <v>0</v>
      </c>
      <c r="C170" t="s">
        <v>1933</v>
      </c>
      <c r="D170" t="s">
        <v>7</v>
      </c>
      <c r="E170" t="s">
        <v>1806</v>
      </c>
      <c r="F170">
        <v>19.182115</v>
      </c>
      <c r="G170">
        <v>19.175579000000003</v>
      </c>
      <c r="H170">
        <v>18.171900000000001</v>
      </c>
      <c r="I170">
        <v>19.187339999999999</v>
      </c>
      <c r="J170" s="600">
        <v>75</v>
      </c>
      <c r="K170" s="7">
        <f t="shared" si="28"/>
        <v>25</v>
      </c>
      <c r="L170" s="7">
        <f t="shared" si="29"/>
        <v>0</v>
      </c>
      <c r="M170" s="243">
        <f t="shared" si="30"/>
        <v>28638.224999999999</v>
      </c>
      <c r="N170" s="243">
        <f>INDEX($AN$4:$AN21066,MATCH($A170,$AH$4:$AH$2000,0))</f>
        <v>28638.224999999999</v>
      </c>
      <c r="O170" s="243">
        <f t="shared" si="37"/>
        <v>27130.949999999997</v>
      </c>
      <c r="P170" s="243">
        <f t="shared" si="31"/>
        <v>28638.224999999999</v>
      </c>
      <c r="Q170" s="243">
        <f t="shared" si="32"/>
        <v>0</v>
      </c>
      <c r="R170" s="243">
        <f t="shared" si="33"/>
        <v>0</v>
      </c>
      <c r="S170" s="243">
        <f t="shared" si="38"/>
        <v>0</v>
      </c>
      <c r="T170" s="243">
        <f t="shared" si="34"/>
        <v>0</v>
      </c>
      <c r="AA170" s="6">
        <v>182</v>
      </c>
      <c r="AB170" t="s">
        <v>80</v>
      </c>
      <c r="AC170" t="s">
        <v>81</v>
      </c>
      <c r="AD170" t="s">
        <v>5</v>
      </c>
      <c r="AE170" t="s">
        <v>264</v>
      </c>
      <c r="AG170">
        <v>0</v>
      </c>
      <c r="AH170">
        <v>585</v>
      </c>
      <c r="AI170" t="s">
        <v>0</v>
      </c>
      <c r="AJ170" t="s">
        <v>1933</v>
      </c>
      <c r="AK170" t="s">
        <v>7</v>
      </c>
      <c r="AL170" t="s">
        <v>1806</v>
      </c>
      <c r="AM170" s="314">
        <v>28638.224999999999</v>
      </c>
      <c r="AN170" s="314">
        <v>28638.224999999999</v>
      </c>
      <c r="AO170" s="314">
        <v>27130.949999999997</v>
      </c>
      <c r="AP170" s="314">
        <v>28638.224999999999</v>
      </c>
      <c r="AQ170" s="314">
        <v>1.688305696901184</v>
      </c>
      <c r="AR170" s="314">
        <v>1.688305696901184</v>
      </c>
      <c r="AS170" s="314">
        <v>1.5994475023274375</v>
      </c>
      <c r="AT170" s="314">
        <v>1.688305696901184</v>
      </c>
      <c r="AU170" s="314">
        <v>0</v>
      </c>
      <c r="AV170" s="314">
        <v>0</v>
      </c>
      <c r="AW170" s="314">
        <v>0</v>
      </c>
      <c r="AX170">
        <v>0</v>
      </c>
    </row>
    <row r="171" spans="1:50" x14ac:dyDescent="0.35">
      <c r="A171">
        <v>560</v>
      </c>
      <c r="B171" t="s">
        <v>0</v>
      </c>
      <c r="C171" t="s">
        <v>1933</v>
      </c>
      <c r="D171" t="s">
        <v>7</v>
      </c>
      <c r="E171" t="s">
        <v>1807</v>
      </c>
      <c r="F171">
        <v>718</v>
      </c>
      <c r="G171">
        <v>720</v>
      </c>
      <c r="H171">
        <v>664</v>
      </c>
      <c r="I171">
        <v>712</v>
      </c>
      <c r="J171" s="600">
        <v>2814</v>
      </c>
      <c r="K171" s="7">
        <f t="shared" si="28"/>
        <v>15</v>
      </c>
      <c r="L171" s="7">
        <f t="shared" si="29"/>
        <v>0</v>
      </c>
      <c r="M171" s="243">
        <f t="shared" si="30"/>
        <v>316638.00000000006</v>
      </c>
      <c r="N171" s="243">
        <f>INDEX($AN$4:$AN21067,MATCH($A171,$AH$4:$AH$2000,0))</f>
        <v>317520.00000000006</v>
      </c>
      <c r="O171" s="243">
        <f t="shared" si="37"/>
        <v>292824.00000000006</v>
      </c>
      <c r="P171" s="243">
        <f t="shared" si="31"/>
        <v>313992.00000000006</v>
      </c>
      <c r="Q171" s="243">
        <f t="shared" si="32"/>
        <v>82917.077860465128</v>
      </c>
      <c r="R171" s="243">
        <f t="shared" si="33"/>
        <v>83148.044651162811</v>
      </c>
      <c r="S171" s="243">
        <f t="shared" si="38"/>
        <v>76680.974511627923</v>
      </c>
      <c r="T171" s="243">
        <f t="shared" si="34"/>
        <v>82224.177488372108</v>
      </c>
      <c r="AA171" s="6">
        <v>175</v>
      </c>
      <c r="AB171" t="s">
        <v>80</v>
      </c>
      <c r="AC171" t="s">
        <v>81</v>
      </c>
      <c r="AD171" t="s">
        <v>5</v>
      </c>
      <c r="AE171" t="s">
        <v>183</v>
      </c>
      <c r="AF171">
        <v>15</v>
      </c>
      <c r="AG171">
        <v>0</v>
      </c>
      <c r="AH171">
        <v>560</v>
      </c>
      <c r="AI171" t="s">
        <v>0</v>
      </c>
      <c r="AJ171" t="s">
        <v>1933</v>
      </c>
      <c r="AK171" t="s">
        <v>7</v>
      </c>
      <c r="AL171" t="s">
        <v>1807</v>
      </c>
      <c r="AM171" s="314">
        <v>316638.00000000006</v>
      </c>
      <c r="AN171" s="314">
        <v>317520.00000000006</v>
      </c>
      <c r="AO171" s="314">
        <v>292824.00000000006</v>
      </c>
      <c r="AP171" s="314">
        <v>313992.00000000006</v>
      </c>
      <c r="AQ171" s="314">
        <v>226.17</v>
      </c>
      <c r="AR171" s="314">
        <v>226.8</v>
      </c>
      <c r="AS171" s="314">
        <v>209.16</v>
      </c>
      <c r="AT171" s="314">
        <v>224.28</v>
      </c>
      <c r="AU171" s="314">
        <v>82917.077860465128</v>
      </c>
      <c r="AV171" s="314">
        <v>83148.044651162811</v>
      </c>
      <c r="AW171" s="314">
        <v>76680.974511627923</v>
      </c>
      <c r="AX171">
        <v>82224.177488372108</v>
      </c>
    </row>
    <row r="172" spans="1:50" x14ac:dyDescent="0.35">
      <c r="A172">
        <v>611</v>
      </c>
      <c r="B172" t="s">
        <v>0</v>
      </c>
      <c r="C172" t="s">
        <v>1933</v>
      </c>
      <c r="D172" t="s">
        <v>7</v>
      </c>
      <c r="E172" t="s">
        <v>1808</v>
      </c>
      <c r="F172">
        <v>135</v>
      </c>
      <c r="G172">
        <v>135</v>
      </c>
      <c r="H172">
        <v>125</v>
      </c>
      <c r="I172">
        <v>134</v>
      </c>
      <c r="J172" s="600">
        <v>529</v>
      </c>
      <c r="K172" s="7">
        <f t="shared" si="28"/>
        <v>25</v>
      </c>
      <c r="L172" s="7">
        <f t="shared" si="29"/>
        <v>0</v>
      </c>
      <c r="M172" s="243">
        <f t="shared" si="30"/>
        <v>23315.163908835628</v>
      </c>
      <c r="N172" s="243">
        <f>INDEX($AN$4:$AN21068,MATCH($A172,$AH$4:$AH$2000,0))</f>
        <v>23315.163908835628</v>
      </c>
      <c r="O172" s="243">
        <f t="shared" si="37"/>
        <v>21588.114730403358</v>
      </c>
      <c r="P172" s="243">
        <f t="shared" si="31"/>
        <v>23142.4589909924</v>
      </c>
      <c r="Q172" s="243">
        <f t="shared" si="32"/>
        <v>7115.1639088356251</v>
      </c>
      <c r="R172" s="243">
        <f t="shared" si="33"/>
        <v>7115.1639088356251</v>
      </c>
      <c r="S172" s="243">
        <f t="shared" si="38"/>
        <v>6588.1147304033566</v>
      </c>
      <c r="T172" s="243">
        <f t="shared" si="34"/>
        <v>7062.458990992398</v>
      </c>
      <c r="AA172" s="6">
        <v>173</v>
      </c>
      <c r="AB172" t="s">
        <v>80</v>
      </c>
      <c r="AC172" t="s">
        <v>81</v>
      </c>
      <c r="AD172" t="s">
        <v>4</v>
      </c>
      <c r="AE172" t="s">
        <v>184</v>
      </c>
      <c r="AF172">
        <v>8</v>
      </c>
      <c r="AG172">
        <v>0</v>
      </c>
      <c r="AH172">
        <v>611</v>
      </c>
      <c r="AI172" t="s">
        <v>0</v>
      </c>
      <c r="AJ172" t="s">
        <v>1933</v>
      </c>
      <c r="AK172" t="s">
        <v>7</v>
      </c>
      <c r="AL172" t="s">
        <v>1808</v>
      </c>
      <c r="AM172" s="314">
        <v>23315.163908835628</v>
      </c>
      <c r="AN172" s="314">
        <v>23315.163908835628</v>
      </c>
      <c r="AO172" s="314">
        <v>21588.114730403358</v>
      </c>
      <c r="AP172" s="314">
        <v>23142.4589909924</v>
      </c>
      <c r="AQ172" s="314">
        <v>14.875495803358769</v>
      </c>
      <c r="AR172" s="314">
        <v>14.875495803358769</v>
      </c>
      <c r="AS172" s="314">
        <v>13.773607225332194</v>
      </c>
      <c r="AT172" s="314">
        <v>14.765306945556112</v>
      </c>
      <c r="AU172" s="314">
        <v>7115.1639088356251</v>
      </c>
      <c r="AV172" s="314">
        <v>7115.1639088356251</v>
      </c>
      <c r="AW172" s="314">
        <v>6588.1147304033566</v>
      </c>
      <c r="AX172">
        <v>7062.458990992398</v>
      </c>
    </row>
    <row r="173" spans="1:50" x14ac:dyDescent="0.35">
      <c r="A173">
        <v>613</v>
      </c>
      <c r="B173" t="s">
        <v>0</v>
      </c>
      <c r="C173" t="s">
        <v>1933</v>
      </c>
      <c r="D173" t="s">
        <v>7</v>
      </c>
      <c r="E173" t="s">
        <v>1809</v>
      </c>
      <c r="F173">
        <v>314</v>
      </c>
      <c r="G173">
        <v>315</v>
      </c>
      <c r="H173">
        <v>291</v>
      </c>
      <c r="I173">
        <v>312</v>
      </c>
      <c r="J173" s="600">
        <v>1232</v>
      </c>
      <c r="K173" s="7">
        <f t="shared" si="28"/>
        <v>25</v>
      </c>
      <c r="L173" s="7">
        <f t="shared" si="29"/>
        <v>0</v>
      </c>
      <c r="M173" s="243">
        <f t="shared" si="30"/>
        <v>9106</v>
      </c>
      <c r="N173" s="243">
        <f>INDEX($AN$4:$AN21069,MATCH($A173,$AH$4:$AH$2000,0))</f>
        <v>9135</v>
      </c>
      <c r="O173" s="243">
        <f t="shared" si="37"/>
        <v>8439</v>
      </c>
      <c r="P173" s="243">
        <f t="shared" si="31"/>
        <v>9048</v>
      </c>
      <c r="Q173" s="243">
        <f t="shared" si="32"/>
        <v>850.84093657249628</v>
      </c>
      <c r="R173" s="243">
        <f t="shared" si="33"/>
        <v>853.55062108387369</v>
      </c>
      <c r="S173" s="243">
        <f t="shared" si="38"/>
        <v>788.51819281081657</v>
      </c>
      <c r="T173" s="243">
        <f t="shared" si="34"/>
        <v>845.42156754974155</v>
      </c>
      <c r="AA173" s="6">
        <v>202</v>
      </c>
      <c r="AB173" t="s">
        <v>80</v>
      </c>
      <c r="AC173" t="s">
        <v>81</v>
      </c>
      <c r="AD173" t="s">
        <v>5</v>
      </c>
      <c r="AE173" t="s">
        <v>185</v>
      </c>
      <c r="AF173">
        <v>5</v>
      </c>
      <c r="AG173">
        <v>0</v>
      </c>
      <c r="AH173">
        <v>613</v>
      </c>
      <c r="AI173" t="s">
        <v>0</v>
      </c>
      <c r="AJ173" t="s">
        <v>1933</v>
      </c>
      <c r="AK173" t="s">
        <v>7</v>
      </c>
      <c r="AL173" t="s">
        <v>1809</v>
      </c>
      <c r="AM173" s="314">
        <v>9106</v>
      </c>
      <c r="AN173" s="314">
        <v>9135</v>
      </c>
      <c r="AO173" s="314">
        <v>8439</v>
      </c>
      <c r="AP173" s="314">
        <v>9048</v>
      </c>
      <c r="AQ173" s="314">
        <v>6.3774795648357481</v>
      </c>
      <c r="AR173" s="314">
        <v>6.3977900093097473</v>
      </c>
      <c r="AS173" s="314">
        <v>5.9103393419337662</v>
      </c>
      <c r="AT173" s="314">
        <v>6.3368586758877496</v>
      </c>
      <c r="AU173" s="314">
        <v>850.84093657249628</v>
      </c>
      <c r="AV173" s="314">
        <v>853.55062108387369</v>
      </c>
      <c r="AW173" s="314">
        <v>788.51819281081657</v>
      </c>
      <c r="AX173">
        <v>845.42156754974155</v>
      </c>
    </row>
    <row r="174" spans="1:50" x14ac:dyDescent="0.35">
      <c r="A174">
        <v>586</v>
      </c>
      <c r="B174" t="s">
        <v>0</v>
      </c>
      <c r="C174" t="s">
        <v>1933</v>
      </c>
      <c r="D174" t="s">
        <v>7</v>
      </c>
      <c r="E174" t="s">
        <v>1810</v>
      </c>
      <c r="F174">
        <v>45</v>
      </c>
      <c r="G174">
        <v>45</v>
      </c>
      <c r="H174">
        <v>42</v>
      </c>
      <c r="I174">
        <v>45</v>
      </c>
      <c r="J174" s="600">
        <v>177</v>
      </c>
      <c r="K174" s="7">
        <f t="shared" si="28"/>
        <v>25</v>
      </c>
      <c r="L174" s="7">
        <f t="shared" si="29"/>
        <v>0</v>
      </c>
      <c r="M174" s="243">
        <f t="shared" si="30"/>
        <v>7242.7500000000009</v>
      </c>
      <c r="N174" s="243">
        <f>INDEX($AN$4:$AN21070,MATCH($A174,$AH$4:$AH$2000,0))</f>
        <v>7242.7500000000009</v>
      </c>
      <c r="O174" s="243">
        <f t="shared" si="37"/>
        <v>6759.9000000000005</v>
      </c>
      <c r="P174" s="243">
        <f t="shared" si="31"/>
        <v>7242.7500000000009</v>
      </c>
      <c r="Q174" s="243">
        <f t="shared" si="32"/>
        <v>3872.4888755407032</v>
      </c>
      <c r="R174" s="243">
        <f t="shared" si="33"/>
        <v>3872.4888755407032</v>
      </c>
      <c r="S174" s="243">
        <f t="shared" si="38"/>
        <v>3614.3229505046565</v>
      </c>
      <c r="T174" s="243">
        <f t="shared" si="34"/>
        <v>3872.4888755407032</v>
      </c>
      <c r="AA174" s="6">
        <v>203</v>
      </c>
      <c r="AB174" t="s">
        <v>80</v>
      </c>
      <c r="AC174" t="s">
        <v>81</v>
      </c>
      <c r="AD174" t="s">
        <v>5</v>
      </c>
      <c r="AE174" t="s">
        <v>186</v>
      </c>
      <c r="AF174">
        <v>5</v>
      </c>
      <c r="AG174">
        <v>0</v>
      </c>
      <c r="AH174">
        <v>586</v>
      </c>
      <c r="AI174" t="s">
        <v>0</v>
      </c>
      <c r="AJ174" t="s">
        <v>1933</v>
      </c>
      <c r="AK174" t="s">
        <v>7</v>
      </c>
      <c r="AL174" t="s">
        <v>1810</v>
      </c>
      <c r="AM174" s="314">
        <v>7242.7500000000009</v>
      </c>
      <c r="AN174" s="314">
        <v>7242.7500000000009</v>
      </c>
      <c r="AO174" s="314">
        <v>6759.9000000000005</v>
      </c>
      <c r="AP174" s="314">
        <v>7242.7500000000009</v>
      </c>
      <c r="AQ174" s="314">
        <v>4.5698500066498209</v>
      </c>
      <c r="AR174" s="314">
        <v>4.5698500066498209</v>
      </c>
      <c r="AS174" s="314">
        <v>4.2651933395398327</v>
      </c>
      <c r="AT174" s="314">
        <v>4.5698500066498209</v>
      </c>
      <c r="AU174" s="314">
        <v>3872.4888755407032</v>
      </c>
      <c r="AV174" s="314">
        <v>3872.4888755407032</v>
      </c>
      <c r="AW174" s="314">
        <v>3614.3229505046565</v>
      </c>
      <c r="AX174">
        <v>3872.4888755407032</v>
      </c>
    </row>
    <row r="175" spans="1:50" x14ac:dyDescent="0.35">
      <c r="A175">
        <v>568</v>
      </c>
      <c r="B175" t="s">
        <v>0</v>
      </c>
      <c r="C175" t="s">
        <v>1933</v>
      </c>
      <c r="D175" t="s">
        <v>7</v>
      </c>
      <c r="E175" t="s">
        <v>1811</v>
      </c>
      <c r="F175">
        <v>45.431325000000001</v>
      </c>
      <c r="G175">
        <v>45.415845000000004</v>
      </c>
      <c r="H175">
        <v>42.4011</v>
      </c>
      <c r="I175">
        <v>45.4437</v>
      </c>
      <c r="J175" s="600">
        <v>177</v>
      </c>
      <c r="K175" s="7">
        <f t="shared" si="28"/>
        <v>20</v>
      </c>
      <c r="L175" s="7">
        <f t="shared" si="29"/>
        <v>0</v>
      </c>
      <c r="M175" s="243">
        <f t="shared" si="30"/>
        <v>21105</v>
      </c>
      <c r="N175" s="243">
        <f>INDEX($AN$4:$AN21071,MATCH($A175,$AH$4:$AH$2000,0))</f>
        <v>21105</v>
      </c>
      <c r="O175" s="243">
        <f t="shared" si="37"/>
        <v>19698</v>
      </c>
      <c r="P175" s="243">
        <f t="shared" si="31"/>
        <v>21105</v>
      </c>
      <c r="Q175" s="243">
        <f t="shared" si="32"/>
        <v>0</v>
      </c>
      <c r="R175" s="243">
        <f t="shared" si="33"/>
        <v>0</v>
      </c>
      <c r="S175" s="243">
        <f t="shared" si="38"/>
        <v>0</v>
      </c>
      <c r="T175" s="243">
        <f t="shared" si="34"/>
        <v>0</v>
      </c>
      <c r="AA175" s="6">
        <v>201</v>
      </c>
      <c r="AB175" t="s">
        <v>80</v>
      </c>
      <c r="AC175" t="s">
        <v>81</v>
      </c>
      <c r="AD175" t="s">
        <v>5</v>
      </c>
      <c r="AE175" t="s">
        <v>187</v>
      </c>
      <c r="AF175">
        <v>5</v>
      </c>
      <c r="AG175">
        <v>0</v>
      </c>
      <c r="AH175">
        <v>568</v>
      </c>
      <c r="AI175" t="s">
        <v>0</v>
      </c>
      <c r="AJ175" t="s">
        <v>1933</v>
      </c>
      <c r="AK175" t="s">
        <v>7</v>
      </c>
      <c r="AL175" t="s">
        <v>1811</v>
      </c>
      <c r="AM175" s="314">
        <v>21105</v>
      </c>
      <c r="AN175" s="314">
        <v>21105</v>
      </c>
      <c r="AO175" s="314">
        <v>19698</v>
      </c>
      <c r="AP175" s="314">
        <v>21105</v>
      </c>
      <c r="AQ175" s="314">
        <v>0</v>
      </c>
      <c r="AR175" s="314">
        <v>0</v>
      </c>
      <c r="AS175" s="314">
        <v>0</v>
      </c>
      <c r="AT175" s="314">
        <v>0</v>
      </c>
      <c r="AU175" s="314">
        <v>0</v>
      </c>
      <c r="AV175" s="314">
        <v>0</v>
      </c>
      <c r="AW175" s="314">
        <v>0</v>
      </c>
      <c r="AX175">
        <v>0</v>
      </c>
    </row>
    <row r="176" spans="1:50" x14ac:dyDescent="0.35">
      <c r="A176">
        <v>608</v>
      </c>
      <c r="B176" t="s">
        <v>0</v>
      </c>
      <c r="C176" t="s">
        <v>1933</v>
      </c>
      <c r="D176" t="s">
        <v>7</v>
      </c>
      <c r="E176" t="s">
        <v>1812</v>
      </c>
      <c r="F176">
        <v>39.373815</v>
      </c>
      <c r="G176">
        <v>39.360399000000001</v>
      </c>
      <c r="H176">
        <v>36.343800000000002</v>
      </c>
      <c r="I176">
        <v>38.374679999999998</v>
      </c>
      <c r="J176" s="600">
        <v>152</v>
      </c>
      <c r="K176" s="7">
        <f t="shared" si="28"/>
        <v>5</v>
      </c>
      <c r="L176" s="7">
        <f t="shared" si="29"/>
        <v>0</v>
      </c>
      <c r="M176" s="243">
        <f t="shared" si="30"/>
        <v>25301.952000000001</v>
      </c>
      <c r="N176" s="243">
        <f>INDEX($AN$4:$AN21072,MATCH($A176,$AH$4:$AH$2000,0))</f>
        <v>25301.952000000001</v>
      </c>
      <c r="O176" s="243">
        <f t="shared" si="37"/>
        <v>23355.648000000001</v>
      </c>
      <c r="P176" s="243">
        <f t="shared" si="31"/>
        <v>24653.184000000001</v>
      </c>
      <c r="Q176" s="243">
        <f t="shared" si="32"/>
        <v>0</v>
      </c>
      <c r="R176" s="243">
        <f t="shared" si="33"/>
        <v>0</v>
      </c>
      <c r="S176" s="243">
        <f t="shared" si="38"/>
        <v>0</v>
      </c>
      <c r="T176" s="243">
        <f t="shared" si="34"/>
        <v>0</v>
      </c>
      <c r="AA176" s="6">
        <v>204</v>
      </c>
      <c r="AB176" t="s">
        <v>80</v>
      </c>
      <c r="AC176" t="s">
        <v>81</v>
      </c>
      <c r="AD176" t="s">
        <v>5</v>
      </c>
      <c r="AE176" t="s">
        <v>188</v>
      </c>
      <c r="AF176">
        <v>5</v>
      </c>
      <c r="AG176">
        <v>0</v>
      </c>
      <c r="AH176">
        <v>608</v>
      </c>
      <c r="AI176" t="s">
        <v>0</v>
      </c>
      <c r="AJ176" t="s">
        <v>1933</v>
      </c>
      <c r="AK176" t="s">
        <v>7</v>
      </c>
      <c r="AL176" t="s">
        <v>1812</v>
      </c>
      <c r="AM176" s="314">
        <v>25301.952000000001</v>
      </c>
      <c r="AN176" s="314">
        <v>25301.952000000001</v>
      </c>
      <c r="AO176" s="314">
        <v>23355.648000000001</v>
      </c>
      <c r="AP176" s="314">
        <v>24653.184000000001</v>
      </c>
      <c r="AQ176" s="314">
        <v>0</v>
      </c>
      <c r="AR176" s="314">
        <v>0</v>
      </c>
      <c r="AS176" s="314">
        <v>0</v>
      </c>
      <c r="AT176" s="314">
        <v>0</v>
      </c>
      <c r="AU176" s="314">
        <v>0</v>
      </c>
      <c r="AV176" s="314">
        <v>0</v>
      </c>
      <c r="AW176" s="314">
        <v>0</v>
      </c>
      <c r="AX176">
        <v>0</v>
      </c>
    </row>
    <row r="177" spans="1:50" x14ac:dyDescent="0.35">
      <c r="A177">
        <v>567</v>
      </c>
      <c r="B177" t="s">
        <v>0</v>
      </c>
      <c r="C177" t="s">
        <v>1933</v>
      </c>
      <c r="D177" t="s">
        <v>7</v>
      </c>
      <c r="E177" t="s">
        <v>1070</v>
      </c>
      <c r="F177">
        <v>3</v>
      </c>
      <c r="G177">
        <v>3</v>
      </c>
      <c r="H177">
        <v>3</v>
      </c>
      <c r="I177">
        <v>3</v>
      </c>
      <c r="J177" s="600">
        <v>12</v>
      </c>
      <c r="K177" s="7">
        <f t="shared" si="28"/>
        <v>25</v>
      </c>
      <c r="L177" s="7">
        <f t="shared" si="29"/>
        <v>0</v>
      </c>
      <c r="M177" s="243">
        <f t="shared" si="30"/>
        <v>0</v>
      </c>
      <c r="N177" s="243">
        <f>INDEX($AN$4:$AN21073,MATCH($A177,$AH$4:$AH$2000,0))</f>
        <v>0</v>
      </c>
      <c r="O177" s="243">
        <f t="shared" si="37"/>
        <v>0</v>
      </c>
      <c r="P177" s="243">
        <f t="shared" si="31"/>
        <v>0</v>
      </c>
      <c r="Q177" s="243">
        <f t="shared" si="32"/>
        <v>433.14</v>
      </c>
      <c r="R177" s="243">
        <f t="shared" si="33"/>
        <v>433.14</v>
      </c>
      <c r="S177" s="243">
        <f t="shared" si="38"/>
        <v>433.14</v>
      </c>
      <c r="T177" s="243">
        <f t="shared" si="34"/>
        <v>433.14</v>
      </c>
      <c r="AA177" s="6">
        <v>196</v>
      </c>
      <c r="AB177" t="s">
        <v>80</v>
      </c>
      <c r="AC177" t="s">
        <v>81</v>
      </c>
      <c r="AD177" t="s">
        <v>5</v>
      </c>
      <c r="AE177" t="s">
        <v>189</v>
      </c>
      <c r="AF177">
        <v>5</v>
      </c>
      <c r="AG177">
        <v>0</v>
      </c>
      <c r="AH177">
        <v>567</v>
      </c>
      <c r="AI177" t="s">
        <v>0</v>
      </c>
      <c r="AJ177" t="s">
        <v>1933</v>
      </c>
      <c r="AK177" t="s">
        <v>7</v>
      </c>
      <c r="AL177" t="s">
        <v>1070</v>
      </c>
      <c r="AM177" s="314">
        <v>0</v>
      </c>
      <c r="AN177" s="314">
        <v>0</v>
      </c>
      <c r="AO177" s="314">
        <v>0</v>
      </c>
      <c r="AP177" s="314">
        <v>0</v>
      </c>
      <c r="AQ177" s="314">
        <v>0</v>
      </c>
      <c r="AR177" s="314">
        <v>0</v>
      </c>
      <c r="AS177" s="314">
        <v>0</v>
      </c>
      <c r="AT177" s="314">
        <v>0</v>
      </c>
      <c r="AU177" s="314">
        <v>433.14</v>
      </c>
      <c r="AV177" s="314">
        <v>433.14</v>
      </c>
      <c r="AW177" s="314">
        <v>433.14</v>
      </c>
      <c r="AX177">
        <v>433.14</v>
      </c>
    </row>
    <row r="178" spans="1:50" x14ac:dyDescent="0.35">
      <c r="A178">
        <v>609</v>
      </c>
      <c r="B178" t="s">
        <v>0</v>
      </c>
      <c r="C178" t="s">
        <v>1933</v>
      </c>
      <c r="D178" t="s">
        <v>7</v>
      </c>
      <c r="E178" t="s">
        <v>1813</v>
      </c>
      <c r="F178">
        <v>1171</v>
      </c>
      <c r="G178">
        <v>1175</v>
      </c>
      <c r="H178">
        <v>1083</v>
      </c>
      <c r="I178">
        <v>1161.684405</v>
      </c>
      <c r="J178" s="600">
        <v>4590.684405</v>
      </c>
      <c r="K178" s="7">
        <f t="shared" si="28"/>
        <v>5</v>
      </c>
      <c r="L178" s="7">
        <f t="shared" si="29"/>
        <v>0</v>
      </c>
      <c r="M178" s="243">
        <f t="shared" si="30"/>
        <v>57510.746446439996</v>
      </c>
      <c r="N178" s="243">
        <f>INDEX($AN$4:$AN21074,MATCH($A178,$AH$4:$AH$2000,0))</f>
        <v>57707.196476999998</v>
      </c>
      <c r="O178" s="243">
        <f t="shared" si="37"/>
        <v>53188.845774119996</v>
      </c>
      <c r="P178" s="243">
        <f t="shared" si="31"/>
        <v>57053.234215831348</v>
      </c>
      <c r="Q178" s="243">
        <f t="shared" si="32"/>
        <v>62510.322</v>
      </c>
      <c r="R178" s="243">
        <f t="shared" si="33"/>
        <v>62723.85</v>
      </c>
      <c r="S178" s="243">
        <f t="shared" si="38"/>
        <v>57812.705999999998</v>
      </c>
      <c r="T178" s="243">
        <f t="shared" si="34"/>
        <v>62013.036907709997</v>
      </c>
      <c r="AA178" s="6">
        <v>199</v>
      </c>
      <c r="AB178" t="s">
        <v>80</v>
      </c>
      <c r="AC178" t="s">
        <v>81</v>
      </c>
      <c r="AD178" t="s">
        <v>5</v>
      </c>
      <c r="AE178" t="s">
        <v>190</v>
      </c>
      <c r="AF178">
        <v>5</v>
      </c>
      <c r="AG178">
        <v>0</v>
      </c>
      <c r="AH178">
        <v>609</v>
      </c>
      <c r="AI178" t="s">
        <v>0</v>
      </c>
      <c r="AJ178" t="s">
        <v>1933</v>
      </c>
      <c r="AK178" t="s">
        <v>7</v>
      </c>
      <c r="AL178" t="s">
        <v>1813</v>
      </c>
      <c r="AM178" s="314">
        <v>57510.746446439996</v>
      </c>
      <c r="AN178" s="314">
        <v>57707.196476999998</v>
      </c>
      <c r="AO178" s="314">
        <v>53188.845774119996</v>
      </c>
      <c r="AP178" s="314">
        <v>57053.234215831348</v>
      </c>
      <c r="AQ178" s="314">
        <v>0</v>
      </c>
      <c r="AR178" s="314">
        <v>0</v>
      </c>
      <c r="AS178" s="314">
        <v>0</v>
      </c>
      <c r="AT178" s="314">
        <v>0</v>
      </c>
      <c r="AU178" s="314">
        <v>62510.322</v>
      </c>
      <c r="AV178" s="314">
        <v>62723.85</v>
      </c>
      <c r="AW178" s="314">
        <v>57812.705999999998</v>
      </c>
      <c r="AX178">
        <v>62013.036907709997</v>
      </c>
    </row>
    <row r="179" spans="1:50" x14ac:dyDescent="0.35">
      <c r="A179">
        <v>831</v>
      </c>
      <c r="B179" t="s">
        <v>0</v>
      </c>
      <c r="C179" t="s">
        <v>8</v>
      </c>
      <c r="D179" t="s">
        <v>4</v>
      </c>
      <c r="E179" t="s">
        <v>9</v>
      </c>
      <c r="F179">
        <v>7524</v>
      </c>
      <c r="G179">
        <v>7524</v>
      </c>
      <c r="H179">
        <v>0</v>
      </c>
      <c r="I179">
        <v>0</v>
      </c>
      <c r="J179" s="600">
        <v>15048</v>
      </c>
      <c r="K179" s="7">
        <f t="shared" si="28"/>
        <v>10</v>
      </c>
      <c r="L179" s="7">
        <f t="shared" si="29"/>
        <v>6</v>
      </c>
      <c r="M179" s="243">
        <f t="shared" si="30"/>
        <v>84597.839084686828</v>
      </c>
      <c r="N179" s="243">
        <f>INDEX($AN$4:$AN21075,MATCH($A179,$AH$4:$AH$2000,0))</f>
        <v>84597.839084686828</v>
      </c>
      <c r="O179" s="243">
        <f t="shared" si="37"/>
        <v>0</v>
      </c>
      <c r="P179" s="243">
        <f t="shared" si="31"/>
        <v>0</v>
      </c>
      <c r="Q179" s="243">
        <f t="shared" si="32"/>
        <v>0</v>
      </c>
      <c r="R179" s="243">
        <f t="shared" si="33"/>
        <v>0</v>
      </c>
      <c r="S179" s="243">
        <f t="shared" si="38"/>
        <v>0</v>
      </c>
      <c r="T179" s="243">
        <f t="shared" si="34"/>
        <v>0</v>
      </c>
      <c r="AA179" s="6">
        <v>197</v>
      </c>
      <c r="AB179" t="s">
        <v>80</v>
      </c>
      <c r="AC179" t="s">
        <v>81</v>
      </c>
      <c r="AD179" t="s">
        <v>5</v>
      </c>
      <c r="AE179" t="s">
        <v>191</v>
      </c>
      <c r="AF179">
        <v>5</v>
      </c>
      <c r="AG179">
        <v>0</v>
      </c>
      <c r="AH179">
        <v>831</v>
      </c>
      <c r="AI179" t="s">
        <v>0</v>
      </c>
      <c r="AJ179" t="s">
        <v>8</v>
      </c>
      <c r="AK179" t="s">
        <v>4</v>
      </c>
      <c r="AL179" t="s">
        <v>9</v>
      </c>
      <c r="AM179" s="314">
        <v>84597.839084686828</v>
      </c>
      <c r="AN179" s="314">
        <v>84597.839084686828</v>
      </c>
      <c r="AO179" s="314">
        <v>0</v>
      </c>
      <c r="AP179" s="314">
        <v>0</v>
      </c>
      <c r="AQ179" s="314">
        <v>14.136203807539703</v>
      </c>
      <c r="AR179" s="314">
        <v>14.136203807539703</v>
      </c>
      <c r="AS179" s="314">
        <v>0</v>
      </c>
      <c r="AT179" s="314">
        <v>0</v>
      </c>
      <c r="AU179" s="314">
        <v>0</v>
      </c>
      <c r="AV179" s="314">
        <v>0</v>
      </c>
      <c r="AW179" s="314">
        <v>0</v>
      </c>
      <c r="AX179">
        <v>0</v>
      </c>
    </row>
    <row r="180" spans="1:50" x14ac:dyDescent="0.35">
      <c r="A180">
        <v>832</v>
      </c>
      <c r="B180" t="s">
        <v>0</v>
      </c>
      <c r="C180" t="s">
        <v>8</v>
      </c>
      <c r="D180" t="s">
        <v>4</v>
      </c>
      <c r="E180" t="s">
        <v>10</v>
      </c>
      <c r="F180">
        <v>3010</v>
      </c>
      <c r="G180">
        <v>3010</v>
      </c>
      <c r="H180">
        <v>0</v>
      </c>
      <c r="I180">
        <v>0</v>
      </c>
      <c r="J180" s="600">
        <v>6020</v>
      </c>
      <c r="K180" s="7">
        <f t="shared" si="28"/>
        <v>10</v>
      </c>
      <c r="L180" s="7">
        <f t="shared" si="29"/>
        <v>6</v>
      </c>
      <c r="M180" s="243">
        <f t="shared" si="30"/>
        <v>41022.585608059446</v>
      </c>
      <c r="N180" s="243">
        <f>INDEX($AN$4:$AN21076,MATCH($A180,$AH$4:$AH$2000,0))</f>
        <v>41022.585608059446</v>
      </c>
      <c r="O180" s="243">
        <f t="shared" si="37"/>
        <v>0</v>
      </c>
      <c r="P180" s="243">
        <f t="shared" si="31"/>
        <v>0</v>
      </c>
      <c r="Q180" s="243">
        <f t="shared" si="32"/>
        <v>0</v>
      </c>
      <c r="R180" s="243">
        <f t="shared" si="33"/>
        <v>0</v>
      </c>
      <c r="S180" s="243">
        <f t="shared" si="38"/>
        <v>0</v>
      </c>
      <c r="T180" s="243">
        <f t="shared" si="34"/>
        <v>0</v>
      </c>
      <c r="AA180" s="6">
        <v>198</v>
      </c>
      <c r="AB180" t="s">
        <v>80</v>
      </c>
      <c r="AC180" t="s">
        <v>81</v>
      </c>
      <c r="AD180" t="s">
        <v>5</v>
      </c>
      <c r="AE180" t="s">
        <v>192</v>
      </c>
      <c r="AF180">
        <v>5</v>
      </c>
      <c r="AG180">
        <v>0</v>
      </c>
      <c r="AH180">
        <v>832</v>
      </c>
      <c r="AI180" t="s">
        <v>0</v>
      </c>
      <c r="AJ180" t="s">
        <v>8</v>
      </c>
      <c r="AK180" t="s">
        <v>4</v>
      </c>
      <c r="AL180" t="s">
        <v>10</v>
      </c>
      <c r="AM180" s="314">
        <v>41022.585608059446</v>
      </c>
      <c r="AN180" s="314">
        <v>41022.585608059446</v>
      </c>
      <c r="AO180" s="314">
        <v>0</v>
      </c>
      <c r="AP180" s="314">
        <v>0</v>
      </c>
      <c r="AQ180" s="314">
        <v>6.8548279381847994</v>
      </c>
      <c r="AR180" s="314">
        <v>6.8548279381847994</v>
      </c>
      <c r="AS180" s="314">
        <v>0</v>
      </c>
      <c r="AT180" s="314">
        <v>0</v>
      </c>
      <c r="AU180" s="314">
        <v>0</v>
      </c>
      <c r="AV180" s="314">
        <v>0</v>
      </c>
      <c r="AW180" s="314">
        <v>0</v>
      </c>
      <c r="AX180">
        <v>0</v>
      </c>
    </row>
    <row r="181" spans="1:50" x14ac:dyDescent="0.35">
      <c r="A181">
        <v>833</v>
      </c>
      <c r="B181" t="s">
        <v>0</v>
      </c>
      <c r="C181" t="s">
        <v>8</v>
      </c>
      <c r="D181" t="s">
        <v>4</v>
      </c>
      <c r="E181" t="s">
        <v>11</v>
      </c>
      <c r="F181">
        <v>1505</v>
      </c>
      <c r="G181">
        <v>1505</v>
      </c>
      <c r="H181">
        <v>0</v>
      </c>
      <c r="I181">
        <v>0</v>
      </c>
      <c r="J181" s="600">
        <v>3010</v>
      </c>
      <c r="K181" s="7">
        <f t="shared" si="28"/>
        <v>10</v>
      </c>
      <c r="L181" s="7">
        <f t="shared" si="29"/>
        <v>6</v>
      </c>
      <c r="M181" s="243">
        <f t="shared" si="30"/>
        <v>28203.027605540865</v>
      </c>
      <c r="N181" s="243">
        <f>INDEX($AN$4:$AN21077,MATCH($A181,$AH$4:$AH$2000,0))</f>
        <v>28203.027605540865</v>
      </c>
      <c r="O181" s="243">
        <f t="shared" si="37"/>
        <v>0</v>
      </c>
      <c r="P181" s="243">
        <f t="shared" si="31"/>
        <v>0</v>
      </c>
      <c r="Q181" s="243">
        <f t="shared" si="32"/>
        <v>0</v>
      </c>
      <c r="R181" s="243">
        <f t="shared" si="33"/>
        <v>0</v>
      </c>
      <c r="S181" s="243">
        <f t="shared" si="38"/>
        <v>0</v>
      </c>
      <c r="T181" s="243">
        <f t="shared" si="34"/>
        <v>0</v>
      </c>
      <c r="AA181" s="6">
        <v>66</v>
      </c>
      <c r="AB181" t="s">
        <v>80</v>
      </c>
      <c r="AC181" t="s">
        <v>81</v>
      </c>
      <c r="AD181" t="s">
        <v>100</v>
      </c>
      <c r="AE181" t="s">
        <v>193</v>
      </c>
      <c r="AF181">
        <v>3</v>
      </c>
      <c r="AG181">
        <v>0</v>
      </c>
      <c r="AH181">
        <v>833</v>
      </c>
      <c r="AI181" t="s">
        <v>0</v>
      </c>
      <c r="AJ181" t="s">
        <v>8</v>
      </c>
      <c r="AK181" t="s">
        <v>4</v>
      </c>
      <c r="AL181" t="s">
        <v>11</v>
      </c>
      <c r="AM181" s="314">
        <v>28203.027605540865</v>
      </c>
      <c r="AN181" s="314">
        <v>28203.027605540865</v>
      </c>
      <c r="AO181" s="314">
        <v>0</v>
      </c>
      <c r="AP181" s="314">
        <v>0</v>
      </c>
      <c r="AQ181" s="314">
        <v>4.7126942075020501</v>
      </c>
      <c r="AR181" s="314">
        <v>4.7126942075020501</v>
      </c>
      <c r="AS181" s="314">
        <v>0</v>
      </c>
      <c r="AT181" s="314">
        <v>0</v>
      </c>
      <c r="AU181" s="314">
        <v>0</v>
      </c>
      <c r="AV181" s="314">
        <v>0</v>
      </c>
      <c r="AW181" s="314">
        <v>0</v>
      </c>
      <c r="AX181">
        <v>0</v>
      </c>
    </row>
    <row r="182" spans="1:50" x14ac:dyDescent="0.35">
      <c r="A182">
        <v>835</v>
      </c>
      <c r="B182" t="s">
        <v>0</v>
      </c>
      <c r="C182" t="s">
        <v>8</v>
      </c>
      <c r="D182" t="s">
        <v>4</v>
      </c>
      <c r="E182" t="s">
        <v>12</v>
      </c>
      <c r="F182">
        <v>6019</v>
      </c>
      <c r="G182">
        <v>6019</v>
      </c>
      <c r="H182">
        <v>6932</v>
      </c>
      <c r="I182">
        <v>6932</v>
      </c>
      <c r="J182" s="600">
        <v>25902</v>
      </c>
      <c r="K182" s="7">
        <f t="shared" si="28"/>
        <v>10</v>
      </c>
      <c r="L182" s="7">
        <f t="shared" si="29"/>
        <v>0</v>
      </c>
      <c r="M182" s="243">
        <f t="shared" si="30"/>
        <v>93369.358266836673</v>
      </c>
      <c r="N182" s="243">
        <f>INDEX($AN$4:$AN21078,MATCH($A182,$AH$4:$AH$2000,0))</f>
        <v>93369.358266836673</v>
      </c>
      <c r="O182" s="243">
        <f t="shared" si="37"/>
        <v>107532.21324235118</v>
      </c>
      <c r="P182" s="243">
        <f t="shared" si="31"/>
        <v>107532.21324235118</v>
      </c>
      <c r="Q182" s="243">
        <f t="shared" si="32"/>
        <v>0</v>
      </c>
      <c r="R182" s="243">
        <f t="shared" si="33"/>
        <v>0</v>
      </c>
      <c r="S182" s="243">
        <f t="shared" si="38"/>
        <v>0</v>
      </c>
      <c r="T182" s="243">
        <f t="shared" si="34"/>
        <v>0</v>
      </c>
      <c r="AA182" s="6">
        <v>64</v>
      </c>
      <c r="AB182" t="s">
        <v>80</v>
      </c>
      <c r="AC182" t="s">
        <v>81</v>
      </c>
      <c r="AD182" t="s">
        <v>100</v>
      </c>
      <c r="AE182" t="s">
        <v>265</v>
      </c>
      <c r="AF182">
        <v>20</v>
      </c>
      <c r="AG182">
        <v>0</v>
      </c>
      <c r="AH182">
        <v>835</v>
      </c>
      <c r="AI182" t="s">
        <v>0</v>
      </c>
      <c r="AJ182" t="s">
        <v>8</v>
      </c>
      <c r="AK182" t="s">
        <v>4</v>
      </c>
      <c r="AL182" t="s">
        <v>12</v>
      </c>
      <c r="AM182" s="314">
        <v>93369.358266836673</v>
      </c>
      <c r="AN182" s="314">
        <v>93369.358266836673</v>
      </c>
      <c r="AO182" s="314">
        <v>107532.21324235118</v>
      </c>
      <c r="AP182" s="314">
        <v>107532.21324235118</v>
      </c>
      <c r="AQ182" s="314">
        <v>19.185503393119049</v>
      </c>
      <c r="AR182" s="314">
        <v>19.185503393119049</v>
      </c>
      <c r="AS182" s="314">
        <v>22.095681927413402</v>
      </c>
      <c r="AT182" s="314">
        <v>22.095681927413402</v>
      </c>
      <c r="AU182" s="314">
        <v>0</v>
      </c>
      <c r="AV182" s="314">
        <v>0</v>
      </c>
      <c r="AW182" s="314">
        <v>0</v>
      </c>
      <c r="AX182">
        <v>0</v>
      </c>
    </row>
    <row r="183" spans="1:50" x14ac:dyDescent="0.35">
      <c r="A183">
        <v>834</v>
      </c>
      <c r="B183" t="s">
        <v>0</v>
      </c>
      <c r="C183" t="s">
        <v>8</v>
      </c>
      <c r="D183" t="s">
        <v>4</v>
      </c>
      <c r="E183" t="s">
        <v>13</v>
      </c>
      <c r="F183">
        <v>3010</v>
      </c>
      <c r="G183">
        <v>3010</v>
      </c>
      <c r="H183">
        <v>3466</v>
      </c>
      <c r="I183">
        <v>3466</v>
      </c>
      <c r="J183" s="600">
        <v>12952</v>
      </c>
      <c r="K183" s="7">
        <f t="shared" si="28"/>
        <v>10</v>
      </c>
      <c r="L183" s="7">
        <f t="shared" si="29"/>
        <v>0</v>
      </c>
      <c r="M183" s="243">
        <f t="shared" si="30"/>
        <v>56277.690730424103</v>
      </c>
      <c r="N183" s="243">
        <f>INDEX($AN$4:$AN21079,MATCH($A183,$AH$4:$AH$2000,0))</f>
        <v>56277.690730424103</v>
      </c>
      <c r="O183" s="243">
        <f t="shared" si="37"/>
        <v>64803.480422475062</v>
      </c>
      <c r="P183" s="243">
        <f t="shared" si="31"/>
        <v>64803.480422475062</v>
      </c>
      <c r="Q183" s="243">
        <f t="shared" si="32"/>
        <v>0</v>
      </c>
      <c r="R183" s="243">
        <f t="shared" si="33"/>
        <v>0</v>
      </c>
      <c r="S183" s="243">
        <f t="shared" si="38"/>
        <v>0</v>
      </c>
      <c r="T183" s="243">
        <f t="shared" si="34"/>
        <v>0</v>
      </c>
      <c r="AA183" s="6">
        <v>65</v>
      </c>
      <c r="AB183" t="s">
        <v>80</v>
      </c>
      <c r="AC183" t="s">
        <v>81</v>
      </c>
      <c r="AD183" t="s">
        <v>100</v>
      </c>
      <c r="AE183" t="s">
        <v>194</v>
      </c>
      <c r="AF183">
        <v>20</v>
      </c>
      <c r="AG183">
        <v>0</v>
      </c>
      <c r="AH183">
        <v>834</v>
      </c>
      <c r="AI183" t="s">
        <v>0</v>
      </c>
      <c r="AJ183" t="s">
        <v>8</v>
      </c>
      <c r="AK183" t="s">
        <v>4</v>
      </c>
      <c r="AL183" t="s">
        <v>13</v>
      </c>
      <c r="AM183" s="314">
        <v>56277.690730424103</v>
      </c>
      <c r="AN183" s="314">
        <v>56277.690730424103</v>
      </c>
      <c r="AO183" s="314">
        <v>64803.480422475062</v>
      </c>
      <c r="AP183" s="314">
        <v>64803.480422475062</v>
      </c>
      <c r="AQ183" s="314">
        <v>10.221900112046701</v>
      </c>
      <c r="AR183" s="314">
        <v>10.221900112046701</v>
      </c>
      <c r="AS183" s="314">
        <v>11.77046703932022</v>
      </c>
      <c r="AT183" s="314">
        <v>11.77046703932022</v>
      </c>
      <c r="AU183" s="314">
        <v>0</v>
      </c>
      <c r="AV183" s="314">
        <v>0</v>
      </c>
      <c r="AW183" s="314">
        <v>0</v>
      </c>
      <c r="AX183">
        <v>0</v>
      </c>
    </row>
    <row r="184" spans="1:50" x14ac:dyDescent="0.35">
      <c r="A184">
        <v>836</v>
      </c>
      <c r="B184" t="s">
        <v>0</v>
      </c>
      <c r="C184" t="s">
        <v>8</v>
      </c>
      <c r="D184" t="s">
        <v>4</v>
      </c>
      <c r="E184" t="s">
        <v>14</v>
      </c>
      <c r="F184">
        <v>3010</v>
      </c>
      <c r="G184">
        <v>3010</v>
      </c>
      <c r="H184">
        <v>3466</v>
      </c>
      <c r="I184">
        <v>3466</v>
      </c>
      <c r="J184" s="600">
        <v>12952</v>
      </c>
      <c r="K184" s="7">
        <f t="shared" si="28"/>
        <v>10</v>
      </c>
      <c r="L184" s="7">
        <f t="shared" si="29"/>
        <v>0</v>
      </c>
      <c r="M184" s="243">
        <f t="shared" si="30"/>
        <v>61659.540482627679</v>
      </c>
      <c r="N184" s="243">
        <f>INDEX($AN$4:$AN21080,MATCH($A184,$AH$4:$AH$2000,0))</f>
        <v>61659.540482627679</v>
      </c>
      <c r="O184" s="243">
        <f t="shared" ref="O184:O203" si="39">INDEX($AO$4:$AO$2000,MATCH($A184,$AH$4:$AH$2000,0))</f>
        <v>71000.653592288218</v>
      </c>
      <c r="P184" s="243">
        <f t="shared" si="31"/>
        <v>71000.653592288218</v>
      </c>
      <c r="Q184" s="243">
        <f t="shared" si="32"/>
        <v>0</v>
      </c>
      <c r="R184" s="243">
        <f t="shared" si="33"/>
        <v>0</v>
      </c>
      <c r="S184" s="243">
        <f t="shared" ref="S184:S203" si="40">INDEX($AW$4:$AW$2000,MATCH($A184,$AH$4:$AH$2000,0))</f>
        <v>0</v>
      </c>
      <c r="T184" s="243">
        <f t="shared" si="34"/>
        <v>0</v>
      </c>
      <c r="AA184" s="6">
        <v>67</v>
      </c>
      <c r="AB184" t="s">
        <v>80</v>
      </c>
      <c r="AC184" t="s">
        <v>81</v>
      </c>
      <c r="AD184" t="s">
        <v>100</v>
      </c>
      <c r="AE184" t="s">
        <v>266</v>
      </c>
      <c r="AF184">
        <v>16.5</v>
      </c>
      <c r="AG184">
        <v>0</v>
      </c>
      <c r="AH184">
        <v>836</v>
      </c>
      <c r="AI184" t="s">
        <v>0</v>
      </c>
      <c r="AJ184" t="s">
        <v>8</v>
      </c>
      <c r="AK184" t="s">
        <v>4</v>
      </c>
      <c r="AL184" t="s">
        <v>14</v>
      </c>
      <c r="AM184" s="314">
        <v>61659.540482627679</v>
      </c>
      <c r="AN184" s="314">
        <v>61659.540482627679</v>
      </c>
      <c r="AO184" s="314">
        <v>71000.653592288218</v>
      </c>
      <c r="AP184" s="314">
        <v>71000.653592288218</v>
      </c>
      <c r="AQ184" s="314">
        <v>11.641139135868062</v>
      </c>
      <c r="AR184" s="314">
        <v>11.641139135868062</v>
      </c>
      <c r="AS184" s="314">
        <v>13.404713702630797</v>
      </c>
      <c r="AT184" s="314">
        <v>13.404713702630797</v>
      </c>
      <c r="AU184" s="314">
        <v>0</v>
      </c>
      <c r="AV184" s="314">
        <v>0</v>
      </c>
      <c r="AW184" s="314">
        <v>0</v>
      </c>
      <c r="AX184">
        <v>0</v>
      </c>
    </row>
    <row r="185" spans="1:50" x14ac:dyDescent="0.35">
      <c r="A185">
        <v>842</v>
      </c>
      <c r="B185" t="s">
        <v>0</v>
      </c>
      <c r="C185" t="s">
        <v>8</v>
      </c>
      <c r="D185" t="s">
        <v>15</v>
      </c>
      <c r="E185" t="s">
        <v>16</v>
      </c>
      <c r="F185">
        <v>572</v>
      </c>
      <c r="G185">
        <v>572</v>
      </c>
      <c r="H185">
        <v>660</v>
      </c>
      <c r="I185">
        <v>660</v>
      </c>
      <c r="J185" s="600">
        <v>2464</v>
      </c>
      <c r="K185" s="7">
        <f t="shared" si="28"/>
        <v>10</v>
      </c>
      <c r="L185" s="7">
        <f t="shared" si="29"/>
        <v>0</v>
      </c>
      <c r="M185" s="243">
        <f t="shared" si="30"/>
        <v>128238.87648000001</v>
      </c>
      <c r="N185" s="243">
        <f>INDEX($AN$4:$AN21081,MATCH($A185,$AH$4:$AH$2000,0))</f>
        <v>128238.87648000001</v>
      </c>
      <c r="O185" s="243">
        <f t="shared" si="39"/>
        <v>147967.93440000003</v>
      </c>
      <c r="P185" s="243">
        <f t="shared" si="31"/>
        <v>147967.93440000003</v>
      </c>
      <c r="Q185" s="243">
        <f t="shared" si="32"/>
        <v>0</v>
      </c>
      <c r="R185" s="243">
        <f t="shared" si="33"/>
        <v>0</v>
      </c>
      <c r="S185" s="243">
        <f t="shared" si="40"/>
        <v>0</v>
      </c>
      <c r="T185" s="243">
        <f t="shared" si="34"/>
        <v>0</v>
      </c>
      <c r="AA185" s="6">
        <v>68</v>
      </c>
      <c r="AB185" t="s">
        <v>80</v>
      </c>
      <c r="AC185" t="s">
        <v>81</v>
      </c>
      <c r="AD185" t="s">
        <v>100</v>
      </c>
      <c r="AE185" t="s">
        <v>195</v>
      </c>
      <c r="AF185">
        <v>16.5</v>
      </c>
      <c r="AG185">
        <v>0</v>
      </c>
      <c r="AH185">
        <v>842</v>
      </c>
      <c r="AI185" t="s">
        <v>0</v>
      </c>
      <c r="AJ185" t="s">
        <v>8</v>
      </c>
      <c r="AK185" t="s">
        <v>15</v>
      </c>
      <c r="AL185" t="s">
        <v>16</v>
      </c>
      <c r="AM185" s="314">
        <v>128238.87648000001</v>
      </c>
      <c r="AN185" s="314">
        <v>128238.87648000001</v>
      </c>
      <c r="AO185" s="314">
        <v>147967.93440000003</v>
      </c>
      <c r="AP185" s="314">
        <v>147967.93440000003</v>
      </c>
      <c r="AQ185" s="314">
        <v>11.803826320000001</v>
      </c>
      <c r="AR185" s="314">
        <v>11.803826320000001</v>
      </c>
      <c r="AS185" s="314">
        <v>13.6197996</v>
      </c>
      <c r="AT185" s="314">
        <v>13.6197996</v>
      </c>
      <c r="AU185" s="314">
        <v>0</v>
      </c>
      <c r="AV185" s="314">
        <v>0</v>
      </c>
      <c r="AW185" s="314">
        <v>0</v>
      </c>
      <c r="AX185">
        <v>0</v>
      </c>
    </row>
    <row r="186" spans="1:50" x14ac:dyDescent="0.35">
      <c r="A186">
        <v>840</v>
      </c>
      <c r="B186" t="s">
        <v>0</v>
      </c>
      <c r="C186" t="s">
        <v>8</v>
      </c>
      <c r="D186" t="s">
        <v>15</v>
      </c>
      <c r="E186" t="s">
        <v>17</v>
      </c>
      <c r="F186">
        <v>1144</v>
      </c>
      <c r="G186">
        <v>1144</v>
      </c>
      <c r="H186">
        <v>1317</v>
      </c>
      <c r="I186">
        <v>1317</v>
      </c>
      <c r="J186" s="600">
        <v>4922</v>
      </c>
      <c r="K186" s="7">
        <f t="shared" si="28"/>
        <v>9</v>
      </c>
      <c r="L186" s="7">
        <f t="shared" si="29"/>
        <v>0</v>
      </c>
      <c r="M186" s="243">
        <f t="shared" si="30"/>
        <v>58542.255200000007</v>
      </c>
      <c r="N186" s="243">
        <f>INDEX($AN$4:$AN21082,MATCH($A186,$AH$4:$AH$2000,0))</f>
        <v>58542.255200000007</v>
      </c>
      <c r="O186" s="243">
        <f t="shared" si="39"/>
        <v>67395.236100000009</v>
      </c>
      <c r="P186" s="243">
        <f t="shared" si="31"/>
        <v>67395.236100000009</v>
      </c>
      <c r="Q186" s="243">
        <f t="shared" si="32"/>
        <v>0</v>
      </c>
      <c r="R186" s="243">
        <f t="shared" si="33"/>
        <v>0</v>
      </c>
      <c r="S186" s="243">
        <f t="shared" si="40"/>
        <v>0</v>
      </c>
      <c r="T186" s="243">
        <f t="shared" si="34"/>
        <v>0</v>
      </c>
      <c r="AA186" s="6">
        <v>236</v>
      </c>
      <c r="AB186" t="s">
        <v>80</v>
      </c>
      <c r="AC186" t="s">
        <v>81</v>
      </c>
      <c r="AD186" t="s">
        <v>15</v>
      </c>
      <c r="AE186" t="s">
        <v>196</v>
      </c>
      <c r="AF186">
        <v>20</v>
      </c>
      <c r="AG186">
        <v>0</v>
      </c>
      <c r="AH186">
        <v>840</v>
      </c>
      <c r="AI186" t="s">
        <v>0</v>
      </c>
      <c r="AJ186" t="s">
        <v>8</v>
      </c>
      <c r="AK186" t="s">
        <v>15</v>
      </c>
      <c r="AL186" t="s">
        <v>17</v>
      </c>
      <c r="AM186" s="314">
        <v>58542.255200000007</v>
      </c>
      <c r="AN186" s="314">
        <v>58542.255200000007</v>
      </c>
      <c r="AO186" s="314">
        <v>67395.236100000009</v>
      </c>
      <c r="AP186" s="314">
        <v>67395.236100000009</v>
      </c>
      <c r="AQ186" s="314">
        <v>25.760408959999999</v>
      </c>
      <c r="AR186" s="314">
        <v>25.760408959999999</v>
      </c>
      <c r="AS186" s="314">
        <v>29.655995280000003</v>
      </c>
      <c r="AT186" s="314">
        <v>29.655995280000003</v>
      </c>
      <c r="AU186" s="314">
        <v>0</v>
      </c>
      <c r="AV186" s="314">
        <v>0</v>
      </c>
      <c r="AW186" s="314">
        <v>0</v>
      </c>
      <c r="AX186">
        <v>0</v>
      </c>
    </row>
    <row r="187" spans="1:50" x14ac:dyDescent="0.35">
      <c r="A187">
        <v>843</v>
      </c>
      <c r="B187" t="s">
        <v>0</v>
      </c>
      <c r="C187" t="s">
        <v>8</v>
      </c>
      <c r="D187" t="s">
        <v>15</v>
      </c>
      <c r="E187" t="s">
        <v>18</v>
      </c>
      <c r="F187">
        <v>2287</v>
      </c>
      <c r="G187">
        <v>2287</v>
      </c>
      <c r="H187">
        <v>2634</v>
      </c>
      <c r="I187">
        <v>2634</v>
      </c>
      <c r="J187" s="600">
        <v>9842</v>
      </c>
      <c r="K187" s="7">
        <f t="shared" si="28"/>
        <v>10</v>
      </c>
      <c r="L187" s="7">
        <f t="shared" si="29"/>
        <v>0</v>
      </c>
      <c r="M187" s="243">
        <f t="shared" si="30"/>
        <v>0</v>
      </c>
      <c r="N187" s="243">
        <f>INDEX($AN$4:$AN21083,MATCH($A187,$AH$4:$AH$2000,0))</f>
        <v>0</v>
      </c>
      <c r="O187" s="243">
        <f t="shared" si="39"/>
        <v>0</v>
      </c>
      <c r="P187" s="243">
        <f t="shared" si="31"/>
        <v>0</v>
      </c>
      <c r="Q187" s="243">
        <f t="shared" si="32"/>
        <v>32178.09</v>
      </c>
      <c r="R187" s="243">
        <f t="shared" si="33"/>
        <v>32178.09</v>
      </c>
      <c r="S187" s="243">
        <f t="shared" si="40"/>
        <v>37060.379999999997</v>
      </c>
      <c r="T187" s="243">
        <f t="shared" si="34"/>
        <v>37060.379999999997</v>
      </c>
      <c r="AA187" s="6">
        <v>233</v>
      </c>
      <c r="AB187" t="s">
        <v>80</v>
      </c>
      <c r="AC187" t="s">
        <v>81</v>
      </c>
      <c r="AD187" t="s">
        <v>15</v>
      </c>
      <c r="AE187" t="s">
        <v>197</v>
      </c>
      <c r="AF187">
        <v>15</v>
      </c>
      <c r="AG187">
        <v>0</v>
      </c>
      <c r="AH187">
        <v>843</v>
      </c>
      <c r="AI187" t="s">
        <v>0</v>
      </c>
      <c r="AJ187" t="s">
        <v>8</v>
      </c>
      <c r="AK187" t="s">
        <v>15</v>
      </c>
      <c r="AL187" t="s">
        <v>18</v>
      </c>
      <c r="AM187" s="314">
        <v>0</v>
      </c>
      <c r="AN187" s="314">
        <v>0</v>
      </c>
      <c r="AO187" s="314">
        <v>0</v>
      </c>
      <c r="AP187" s="314">
        <v>0</v>
      </c>
      <c r="AQ187" s="314">
        <v>0</v>
      </c>
      <c r="AR187" s="314">
        <v>0</v>
      </c>
      <c r="AS187" s="314">
        <v>0</v>
      </c>
      <c r="AT187" s="314">
        <v>0</v>
      </c>
      <c r="AU187" s="314">
        <v>32178.09</v>
      </c>
      <c r="AV187" s="314">
        <v>32178.09</v>
      </c>
      <c r="AW187" s="314">
        <v>37060.379999999997</v>
      </c>
      <c r="AX187">
        <v>37060.379999999997</v>
      </c>
    </row>
    <row r="188" spans="1:50" x14ac:dyDescent="0.35">
      <c r="A188">
        <v>841</v>
      </c>
      <c r="B188" t="s">
        <v>0</v>
      </c>
      <c r="C188" t="s">
        <v>8</v>
      </c>
      <c r="D188" t="s">
        <v>15</v>
      </c>
      <c r="E188" t="s">
        <v>19</v>
      </c>
      <c r="F188">
        <v>4574</v>
      </c>
      <c r="G188">
        <v>4574</v>
      </c>
      <c r="H188">
        <v>5268</v>
      </c>
      <c r="I188">
        <v>5268</v>
      </c>
      <c r="J188" s="600">
        <v>19684</v>
      </c>
      <c r="K188" s="7">
        <f t="shared" si="28"/>
        <v>9</v>
      </c>
      <c r="L188" s="7">
        <f t="shared" si="29"/>
        <v>0</v>
      </c>
      <c r="M188" s="243">
        <f t="shared" si="30"/>
        <v>0</v>
      </c>
      <c r="N188" s="243">
        <f>INDEX($AN$4:$AN21084,MATCH($A188,$AH$4:$AH$2000,0))</f>
        <v>0</v>
      </c>
      <c r="O188" s="243">
        <f t="shared" si="39"/>
        <v>0</v>
      </c>
      <c r="P188" s="243">
        <f t="shared" si="31"/>
        <v>0</v>
      </c>
      <c r="Q188" s="243">
        <f t="shared" si="32"/>
        <v>14728.28</v>
      </c>
      <c r="R188" s="243">
        <f t="shared" si="33"/>
        <v>14728.28</v>
      </c>
      <c r="S188" s="243">
        <f t="shared" si="40"/>
        <v>16962.960000000003</v>
      </c>
      <c r="T188" s="243">
        <f t="shared" si="34"/>
        <v>16962.960000000003</v>
      </c>
      <c r="AA188" s="6">
        <v>235</v>
      </c>
      <c r="AB188" t="s">
        <v>80</v>
      </c>
      <c r="AC188" t="s">
        <v>81</v>
      </c>
      <c r="AD188" t="s">
        <v>15</v>
      </c>
      <c r="AE188" t="s">
        <v>198</v>
      </c>
      <c r="AF188">
        <v>15</v>
      </c>
      <c r="AG188">
        <v>0</v>
      </c>
      <c r="AH188">
        <v>841</v>
      </c>
      <c r="AI188" t="s">
        <v>0</v>
      </c>
      <c r="AJ188" t="s">
        <v>8</v>
      </c>
      <c r="AK188" t="s">
        <v>15</v>
      </c>
      <c r="AL188" t="s">
        <v>19</v>
      </c>
      <c r="AM188" s="314">
        <v>0</v>
      </c>
      <c r="AN188" s="314">
        <v>0</v>
      </c>
      <c r="AO188" s="314">
        <v>0</v>
      </c>
      <c r="AP188" s="314">
        <v>0</v>
      </c>
      <c r="AQ188" s="314">
        <v>0</v>
      </c>
      <c r="AR188" s="314">
        <v>0</v>
      </c>
      <c r="AS188" s="314">
        <v>0</v>
      </c>
      <c r="AT188" s="314">
        <v>0</v>
      </c>
      <c r="AU188" s="314">
        <v>14728.28</v>
      </c>
      <c r="AV188" s="314">
        <v>14728.28</v>
      </c>
      <c r="AW188" s="314">
        <v>16962.960000000003</v>
      </c>
      <c r="AX188">
        <v>16962.960000000003</v>
      </c>
    </row>
    <row r="189" spans="1:50" x14ac:dyDescent="0.35">
      <c r="A189">
        <v>819</v>
      </c>
      <c r="B189" t="s">
        <v>0</v>
      </c>
      <c r="C189" t="s">
        <v>8</v>
      </c>
      <c r="D189" t="s">
        <v>20</v>
      </c>
      <c r="E189" t="s">
        <v>21</v>
      </c>
      <c r="F189">
        <v>271</v>
      </c>
      <c r="G189">
        <v>271</v>
      </c>
      <c r="H189">
        <v>312</v>
      </c>
      <c r="I189">
        <v>312</v>
      </c>
      <c r="J189" s="600">
        <v>1166</v>
      </c>
      <c r="K189" s="7">
        <f t="shared" si="28"/>
        <v>5</v>
      </c>
      <c r="L189" s="7">
        <f t="shared" si="29"/>
        <v>0</v>
      </c>
      <c r="M189" s="243">
        <f t="shared" si="30"/>
        <v>132025.94112305</v>
      </c>
      <c r="N189" s="243">
        <f>INDEX($AN$4:$AN21085,MATCH($A189,$AH$4:$AH$2000,0))</f>
        <v>132025.94112305</v>
      </c>
      <c r="O189" s="243">
        <f t="shared" si="39"/>
        <v>152000.34549959999</v>
      </c>
      <c r="P189" s="243">
        <f t="shared" si="31"/>
        <v>152000.34549959999</v>
      </c>
      <c r="Q189" s="243">
        <f t="shared" si="32"/>
        <v>0</v>
      </c>
      <c r="R189" s="243">
        <f t="shared" si="33"/>
        <v>0</v>
      </c>
      <c r="S189" s="243">
        <f t="shared" si="40"/>
        <v>0</v>
      </c>
      <c r="T189" s="243">
        <f t="shared" si="34"/>
        <v>0</v>
      </c>
      <c r="AA189" s="6">
        <v>107</v>
      </c>
      <c r="AB189" t="s">
        <v>80</v>
      </c>
      <c r="AC189" t="s">
        <v>81</v>
      </c>
      <c r="AD189" t="s">
        <v>148</v>
      </c>
      <c r="AE189" t="s">
        <v>199</v>
      </c>
      <c r="AF189">
        <v>12</v>
      </c>
      <c r="AG189">
        <v>0</v>
      </c>
      <c r="AH189">
        <v>819</v>
      </c>
      <c r="AI189" t="s">
        <v>0</v>
      </c>
      <c r="AJ189" t="s">
        <v>8</v>
      </c>
      <c r="AK189" t="s">
        <v>20</v>
      </c>
      <c r="AL189" t="s">
        <v>21</v>
      </c>
      <c r="AM189" s="314">
        <v>132025.94112305</v>
      </c>
      <c r="AN189" s="314">
        <v>132025.94112305</v>
      </c>
      <c r="AO189" s="314">
        <v>152000.34549959999</v>
      </c>
      <c r="AP189" s="314">
        <v>152000.34549959999</v>
      </c>
      <c r="AQ189" s="314">
        <v>0</v>
      </c>
      <c r="AR189" s="314">
        <v>0</v>
      </c>
      <c r="AS189" s="314">
        <v>0</v>
      </c>
      <c r="AT189" s="314">
        <v>0</v>
      </c>
      <c r="AU189" s="314">
        <v>0</v>
      </c>
      <c r="AV189" s="314">
        <v>0</v>
      </c>
      <c r="AW189" s="314">
        <v>0</v>
      </c>
      <c r="AX189">
        <v>0</v>
      </c>
    </row>
    <row r="190" spans="1:50" x14ac:dyDescent="0.35">
      <c r="A190">
        <v>820</v>
      </c>
      <c r="B190" t="s">
        <v>0</v>
      </c>
      <c r="C190" t="s">
        <v>8</v>
      </c>
      <c r="D190" t="s">
        <v>20</v>
      </c>
      <c r="E190" t="s">
        <v>22</v>
      </c>
      <c r="F190">
        <v>794</v>
      </c>
      <c r="G190">
        <v>794</v>
      </c>
      <c r="H190">
        <v>915</v>
      </c>
      <c r="I190">
        <v>915</v>
      </c>
      <c r="J190" s="600">
        <v>3418</v>
      </c>
      <c r="K190" s="7">
        <f t="shared" si="28"/>
        <v>5</v>
      </c>
      <c r="L190" s="7">
        <f t="shared" si="29"/>
        <v>0</v>
      </c>
      <c r="M190" s="243">
        <f t="shared" si="30"/>
        <v>20123.517120000004</v>
      </c>
      <c r="N190" s="243">
        <f>INDEX($AN$4:$AN21086,MATCH($A190,$AH$4:$AH$2000,0))</f>
        <v>20123.517120000004</v>
      </c>
      <c r="O190" s="243">
        <f t="shared" si="39"/>
        <v>23190.199200000003</v>
      </c>
      <c r="P190" s="243">
        <f t="shared" si="31"/>
        <v>23190.199200000003</v>
      </c>
      <c r="Q190" s="243">
        <f t="shared" si="32"/>
        <v>27550.450200000003</v>
      </c>
      <c r="R190" s="243">
        <f t="shared" si="33"/>
        <v>27550.450200000003</v>
      </c>
      <c r="S190" s="243">
        <f t="shared" si="40"/>
        <v>31748.944500000001</v>
      </c>
      <c r="T190" s="243">
        <f t="shared" si="34"/>
        <v>31748.944500000001</v>
      </c>
      <c r="AA190" s="6">
        <v>108</v>
      </c>
      <c r="AB190" t="s">
        <v>80</v>
      </c>
      <c r="AC190" t="s">
        <v>81</v>
      </c>
      <c r="AD190" t="s">
        <v>148</v>
      </c>
      <c r="AE190" t="s">
        <v>200</v>
      </c>
      <c r="AF190">
        <v>12</v>
      </c>
      <c r="AH190">
        <v>820</v>
      </c>
      <c r="AI190" t="s">
        <v>0</v>
      </c>
      <c r="AJ190" t="s">
        <v>8</v>
      </c>
      <c r="AK190" t="s">
        <v>20</v>
      </c>
      <c r="AL190" t="s">
        <v>22</v>
      </c>
      <c r="AM190" s="314">
        <v>20123.517120000004</v>
      </c>
      <c r="AN190" s="314">
        <v>20123.517120000004</v>
      </c>
      <c r="AO190" s="314">
        <v>23190.199200000003</v>
      </c>
      <c r="AP190" s="314">
        <v>23190.199200000003</v>
      </c>
      <c r="AQ190" s="314">
        <v>0</v>
      </c>
      <c r="AR190" s="314">
        <v>0</v>
      </c>
      <c r="AS190" s="314">
        <v>0</v>
      </c>
      <c r="AT190" s="314">
        <v>0</v>
      </c>
      <c r="AU190" s="314">
        <v>27550.450200000003</v>
      </c>
      <c r="AV190" s="314">
        <v>27550.450200000003</v>
      </c>
      <c r="AW190" s="314">
        <v>31748.944500000001</v>
      </c>
      <c r="AX190">
        <v>31748.944500000001</v>
      </c>
    </row>
    <row r="191" spans="1:50" x14ac:dyDescent="0.35">
      <c r="A191">
        <v>824</v>
      </c>
      <c r="B191" t="s">
        <v>0</v>
      </c>
      <c r="C191" t="s">
        <v>8</v>
      </c>
      <c r="D191" t="s">
        <v>4</v>
      </c>
      <c r="E191" t="s">
        <v>26</v>
      </c>
      <c r="F191">
        <v>157</v>
      </c>
      <c r="G191">
        <v>157</v>
      </c>
      <c r="H191">
        <v>181</v>
      </c>
      <c r="I191">
        <v>181</v>
      </c>
      <c r="J191" s="600">
        <v>676</v>
      </c>
      <c r="K191" s="7">
        <f t="shared" si="28"/>
        <v>10</v>
      </c>
      <c r="L191" s="7">
        <f t="shared" si="29"/>
        <v>6</v>
      </c>
      <c r="M191" s="243">
        <f t="shared" si="30"/>
        <v>20430.422831610002</v>
      </c>
      <c r="N191" s="243">
        <f>INDEX($AN$4:$AN21087,MATCH($A191,$AH$4:$AH$2000,0))</f>
        <v>20430.422831610002</v>
      </c>
      <c r="O191" s="243">
        <f t="shared" si="39"/>
        <v>23553.54479313</v>
      </c>
      <c r="P191" s="243">
        <f t="shared" si="31"/>
        <v>23553.54479313</v>
      </c>
      <c r="Q191" s="243">
        <f t="shared" si="32"/>
        <v>0</v>
      </c>
      <c r="R191" s="243">
        <f t="shared" si="33"/>
        <v>0</v>
      </c>
      <c r="S191" s="243">
        <f t="shared" si="40"/>
        <v>0</v>
      </c>
      <c r="T191" s="243">
        <f t="shared" si="34"/>
        <v>0</v>
      </c>
      <c r="AA191" s="6">
        <v>106</v>
      </c>
      <c r="AB191" t="s">
        <v>80</v>
      </c>
      <c r="AC191" t="s">
        <v>81</v>
      </c>
      <c r="AD191" t="s">
        <v>148</v>
      </c>
      <c r="AE191" t="s">
        <v>201</v>
      </c>
      <c r="AF191">
        <v>12</v>
      </c>
      <c r="AH191">
        <v>824</v>
      </c>
      <c r="AI191" t="s">
        <v>0</v>
      </c>
      <c r="AJ191" t="s">
        <v>8</v>
      </c>
      <c r="AK191" t="s">
        <v>4</v>
      </c>
      <c r="AL191" t="s">
        <v>26</v>
      </c>
      <c r="AM191" s="314">
        <v>20430.422831610002</v>
      </c>
      <c r="AN191" s="314">
        <v>20430.422831610002</v>
      </c>
      <c r="AO191" s="314">
        <v>23553.54479313</v>
      </c>
      <c r="AP191" s="314">
        <v>23553.54479313</v>
      </c>
      <c r="AQ191" s="314">
        <v>0</v>
      </c>
      <c r="AR191" s="314">
        <v>0</v>
      </c>
      <c r="AS191" s="314">
        <v>0</v>
      </c>
      <c r="AT191" s="314">
        <v>0</v>
      </c>
      <c r="AU191" s="314">
        <v>0</v>
      </c>
      <c r="AV191" s="314">
        <v>0</v>
      </c>
      <c r="AW191" s="314">
        <v>0</v>
      </c>
      <c r="AX191">
        <v>0</v>
      </c>
    </row>
    <row r="192" spans="1:50" x14ac:dyDescent="0.35">
      <c r="A192">
        <v>825</v>
      </c>
      <c r="B192" t="s">
        <v>0</v>
      </c>
      <c r="C192" t="s">
        <v>8</v>
      </c>
      <c r="D192" t="s">
        <v>4</v>
      </c>
      <c r="E192" t="s">
        <v>27</v>
      </c>
      <c r="F192">
        <v>157</v>
      </c>
      <c r="G192">
        <v>157</v>
      </c>
      <c r="H192">
        <v>181</v>
      </c>
      <c r="I192">
        <v>181</v>
      </c>
      <c r="J192" s="600">
        <v>676</v>
      </c>
      <c r="K192" s="7">
        <f t="shared" si="28"/>
        <v>10</v>
      </c>
      <c r="L192" s="7">
        <f t="shared" si="29"/>
        <v>6</v>
      </c>
      <c r="M192" s="243">
        <f t="shared" si="30"/>
        <v>24764.148886800005</v>
      </c>
      <c r="N192" s="243">
        <f>INDEX($AN$4:$AN21088,MATCH($A192,$AH$4:$AH$2000,0))</f>
        <v>24764.148886800005</v>
      </c>
      <c r="O192" s="243">
        <f t="shared" si="39"/>
        <v>28549.751264400005</v>
      </c>
      <c r="P192" s="243">
        <f t="shared" si="31"/>
        <v>28549.751264400005</v>
      </c>
      <c r="Q192" s="243">
        <f t="shared" si="32"/>
        <v>0</v>
      </c>
      <c r="R192" s="243">
        <f t="shared" si="33"/>
        <v>0</v>
      </c>
      <c r="S192" s="243">
        <f t="shared" si="40"/>
        <v>0</v>
      </c>
      <c r="T192" s="243">
        <f t="shared" si="34"/>
        <v>0</v>
      </c>
      <c r="AA192" s="6">
        <v>105</v>
      </c>
      <c r="AB192" t="s">
        <v>80</v>
      </c>
      <c r="AC192" t="s">
        <v>81</v>
      </c>
      <c r="AD192" t="s">
        <v>148</v>
      </c>
      <c r="AE192" t="s">
        <v>202</v>
      </c>
      <c r="AF192">
        <v>15</v>
      </c>
      <c r="AH192">
        <v>825</v>
      </c>
      <c r="AI192" t="s">
        <v>0</v>
      </c>
      <c r="AJ192" t="s">
        <v>8</v>
      </c>
      <c r="AK192" t="s">
        <v>4</v>
      </c>
      <c r="AL192" t="s">
        <v>27</v>
      </c>
      <c r="AM192" s="314">
        <v>24764.148886800005</v>
      </c>
      <c r="AN192" s="314">
        <v>24764.148886800005</v>
      </c>
      <c r="AO192" s="314">
        <v>28549.751264400005</v>
      </c>
      <c r="AP192" s="314">
        <v>28549.751264400005</v>
      </c>
      <c r="AQ192" s="314">
        <v>0</v>
      </c>
      <c r="AR192" s="314">
        <v>0</v>
      </c>
      <c r="AS192" s="314">
        <v>0</v>
      </c>
      <c r="AT192" s="314">
        <v>0</v>
      </c>
      <c r="AU192" s="314">
        <v>0</v>
      </c>
      <c r="AV192" s="314">
        <v>0</v>
      </c>
      <c r="AW192" s="314">
        <v>0</v>
      </c>
      <c r="AX192">
        <v>0</v>
      </c>
    </row>
    <row r="193" spans="1:50" x14ac:dyDescent="0.35">
      <c r="A193">
        <v>826</v>
      </c>
      <c r="B193" t="s">
        <v>0</v>
      </c>
      <c r="C193" t="s">
        <v>8</v>
      </c>
      <c r="D193" t="s">
        <v>4</v>
      </c>
      <c r="E193" t="s">
        <v>28</v>
      </c>
      <c r="F193">
        <v>752</v>
      </c>
      <c r="G193">
        <v>752</v>
      </c>
      <c r="H193">
        <v>867</v>
      </c>
      <c r="I193">
        <v>867</v>
      </c>
      <c r="J193" s="600">
        <v>3238</v>
      </c>
      <c r="K193" s="7">
        <f t="shared" si="28"/>
        <v>10</v>
      </c>
      <c r="L193" s="7">
        <f t="shared" si="29"/>
        <v>6</v>
      </c>
      <c r="M193" s="243">
        <f t="shared" si="30"/>
        <v>163096.36910160002</v>
      </c>
      <c r="N193" s="243">
        <f>INDEX($AN$4:$AN21089,MATCH($A193,$AH$4:$AH$2000,0))</f>
        <v>163096.36910160002</v>
      </c>
      <c r="O193" s="243">
        <f t="shared" si="39"/>
        <v>188037.96809985003</v>
      </c>
      <c r="P193" s="243">
        <f t="shared" si="31"/>
        <v>188037.96809985003</v>
      </c>
      <c r="Q193" s="243">
        <f t="shared" si="32"/>
        <v>0</v>
      </c>
      <c r="R193" s="243">
        <f t="shared" si="33"/>
        <v>0</v>
      </c>
      <c r="S193" s="243">
        <f t="shared" si="40"/>
        <v>0</v>
      </c>
      <c r="T193" s="243">
        <f t="shared" si="34"/>
        <v>0</v>
      </c>
      <c r="AA193" s="6">
        <v>89</v>
      </c>
      <c r="AB193" t="s">
        <v>80</v>
      </c>
      <c r="AC193" t="s">
        <v>81</v>
      </c>
      <c r="AD193" t="s">
        <v>100</v>
      </c>
      <c r="AE193" t="s">
        <v>203</v>
      </c>
      <c r="AF193">
        <v>6</v>
      </c>
      <c r="AH193">
        <v>826</v>
      </c>
      <c r="AI193" t="s">
        <v>0</v>
      </c>
      <c r="AJ193" t="s">
        <v>8</v>
      </c>
      <c r="AK193" t="s">
        <v>4</v>
      </c>
      <c r="AL193" t="s">
        <v>28</v>
      </c>
      <c r="AM193" s="314">
        <v>163096.36910160002</v>
      </c>
      <c r="AN193" s="314">
        <v>163096.36910160002</v>
      </c>
      <c r="AO193" s="314">
        <v>188037.96809985003</v>
      </c>
      <c r="AP193" s="314">
        <v>188037.96809985003</v>
      </c>
      <c r="AQ193" s="314">
        <v>0</v>
      </c>
      <c r="AR193" s="314">
        <v>0</v>
      </c>
      <c r="AS193" s="314">
        <v>0</v>
      </c>
      <c r="AT193" s="314">
        <v>0</v>
      </c>
      <c r="AU193" s="314">
        <v>0</v>
      </c>
      <c r="AV193" s="314">
        <v>0</v>
      </c>
      <c r="AW193" s="314">
        <v>0</v>
      </c>
      <c r="AX193">
        <v>0</v>
      </c>
    </row>
    <row r="194" spans="1:50" x14ac:dyDescent="0.35">
      <c r="A194">
        <v>829</v>
      </c>
      <c r="B194" t="s">
        <v>0</v>
      </c>
      <c r="C194" t="s">
        <v>8</v>
      </c>
      <c r="D194" t="s">
        <v>4</v>
      </c>
      <c r="E194" t="s">
        <v>29</v>
      </c>
      <c r="F194">
        <v>95</v>
      </c>
      <c r="G194">
        <v>95</v>
      </c>
      <c r="H194">
        <v>109</v>
      </c>
      <c r="I194">
        <v>109</v>
      </c>
      <c r="J194" s="600">
        <v>408</v>
      </c>
      <c r="K194" s="7">
        <f t="shared" si="28"/>
        <v>8.4033613445378155</v>
      </c>
      <c r="L194" s="7">
        <f t="shared" si="29"/>
        <v>0</v>
      </c>
      <c r="M194" s="243">
        <f t="shared" si="30"/>
        <v>27467.754769349998</v>
      </c>
      <c r="N194" s="243">
        <f>INDEX($AN$4:$AN21090,MATCH($A194,$AH$4:$AH$2000,0))</f>
        <v>27467.754769349998</v>
      </c>
      <c r="O194" s="243">
        <f t="shared" si="39"/>
        <v>31515.63441957</v>
      </c>
      <c r="P194" s="243">
        <f t="shared" si="31"/>
        <v>31515.63441957</v>
      </c>
      <c r="Q194" s="243">
        <f t="shared" si="32"/>
        <v>0</v>
      </c>
      <c r="R194" s="243">
        <f t="shared" si="33"/>
        <v>0</v>
      </c>
      <c r="S194" s="243">
        <f t="shared" si="40"/>
        <v>0</v>
      </c>
      <c r="T194" s="243">
        <f t="shared" si="34"/>
        <v>0</v>
      </c>
      <c r="AA194" s="6">
        <v>86</v>
      </c>
      <c r="AB194" t="s">
        <v>80</v>
      </c>
      <c r="AC194" t="s">
        <v>81</v>
      </c>
      <c r="AD194" t="s">
        <v>100</v>
      </c>
      <c r="AE194" t="s">
        <v>204</v>
      </c>
      <c r="AF194">
        <v>6</v>
      </c>
      <c r="AH194">
        <v>829</v>
      </c>
      <c r="AI194" t="s">
        <v>0</v>
      </c>
      <c r="AJ194" t="s">
        <v>8</v>
      </c>
      <c r="AK194" t="s">
        <v>4</v>
      </c>
      <c r="AL194" t="s">
        <v>29</v>
      </c>
      <c r="AM194" s="314">
        <v>27467.754769349998</v>
      </c>
      <c r="AN194" s="314">
        <v>27467.754769349998</v>
      </c>
      <c r="AO194" s="314">
        <v>31515.63441957</v>
      </c>
      <c r="AP194" s="314">
        <v>31515.63441957</v>
      </c>
      <c r="AQ194" s="314">
        <v>3.4210171353600005</v>
      </c>
      <c r="AR194" s="314">
        <v>3.4210171353600005</v>
      </c>
      <c r="AS194" s="314">
        <v>3.9251670289920009</v>
      </c>
      <c r="AT194" s="314">
        <v>3.9251670289920009</v>
      </c>
      <c r="AU194" s="314">
        <v>0</v>
      </c>
      <c r="AV194" s="314">
        <v>0</v>
      </c>
      <c r="AW194" s="314">
        <v>0</v>
      </c>
      <c r="AX194">
        <v>0</v>
      </c>
    </row>
    <row r="195" spans="1:50" x14ac:dyDescent="0.35">
      <c r="A195">
        <v>827</v>
      </c>
      <c r="B195" t="s">
        <v>0</v>
      </c>
      <c r="C195" t="s">
        <v>8</v>
      </c>
      <c r="D195" t="s">
        <v>4</v>
      </c>
      <c r="E195" t="s">
        <v>30</v>
      </c>
      <c r="F195">
        <v>188</v>
      </c>
      <c r="G195">
        <v>188</v>
      </c>
      <c r="H195">
        <v>217</v>
      </c>
      <c r="I195">
        <v>217</v>
      </c>
      <c r="J195" s="600">
        <v>810</v>
      </c>
      <c r="K195" s="7">
        <f t="shared" si="28"/>
        <v>8.4033613445378155</v>
      </c>
      <c r="L195" s="7">
        <f t="shared" si="29"/>
        <v>0</v>
      </c>
      <c r="M195" s="243">
        <f t="shared" si="30"/>
        <v>35896.291237799996</v>
      </c>
      <c r="N195" s="243">
        <f>INDEX($AN$4:$AN21091,MATCH($A195,$AH$4:$AH$2000,0))</f>
        <v>35896.291237799996</v>
      </c>
      <c r="O195" s="243">
        <f t="shared" si="39"/>
        <v>41433.485098949997</v>
      </c>
      <c r="P195" s="243">
        <f t="shared" si="31"/>
        <v>41433.485098949997</v>
      </c>
      <c r="Q195" s="243">
        <f t="shared" si="32"/>
        <v>0</v>
      </c>
      <c r="R195" s="243">
        <f t="shared" si="33"/>
        <v>0</v>
      </c>
      <c r="S195" s="243">
        <f t="shared" si="40"/>
        <v>0</v>
      </c>
      <c r="T195" s="243">
        <f t="shared" si="34"/>
        <v>0</v>
      </c>
      <c r="AA195" s="6">
        <v>90</v>
      </c>
      <c r="AB195" t="s">
        <v>80</v>
      </c>
      <c r="AC195" t="s">
        <v>81</v>
      </c>
      <c r="AD195" t="s">
        <v>100</v>
      </c>
      <c r="AE195" t="s">
        <v>1022</v>
      </c>
      <c r="AF195">
        <v>6</v>
      </c>
      <c r="AH195">
        <v>827</v>
      </c>
      <c r="AI195" t="s">
        <v>0</v>
      </c>
      <c r="AJ195" t="s">
        <v>8</v>
      </c>
      <c r="AK195" t="s">
        <v>4</v>
      </c>
      <c r="AL195" t="s">
        <v>30</v>
      </c>
      <c r="AM195" s="314">
        <v>35896.291237799996</v>
      </c>
      <c r="AN195" s="314">
        <v>35896.291237799996</v>
      </c>
      <c r="AO195" s="314">
        <v>41433.485098949997</v>
      </c>
      <c r="AP195" s="314">
        <v>41433.485098949997</v>
      </c>
      <c r="AQ195" s="314">
        <v>4.470763207680001</v>
      </c>
      <c r="AR195" s="314">
        <v>4.470763207680001</v>
      </c>
      <c r="AS195" s="314">
        <v>5.1604022131200011</v>
      </c>
      <c r="AT195" s="314">
        <v>5.1604022131200011</v>
      </c>
      <c r="AU195" s="314">
        <v>0</v>
      </c>
      <c r="AV195" s="314">
        <v>0</v>
      </c>
      <c r="AW195" s="314">
        <v>0</v>
      </c>
      <c r="AX195">
        <v>0</v>
      </c>
    </row>
    <row r="196" spans="1:50" x14ac:dyDescent="0.35">
      <c r="A196">
        <v>830</v>
      </c>
      <c r="B196" t="s">
        <v>0</v>
      </c>
      <c r="C196" t="s">
        <v>8</v>
      </c>
      <c r="D196" t="s">
        <v>4</v>
      </c>
      <c r="E196" t="s">
        <v>31</v>
      </c>
      <c r="F196">
        <v>94</v>
      </c>
      <c r="G196">
        <v>94</v>
      </c>
      <c r="H196">
        <v>108</v>
      </c>
      <c r="I196">
        <v>108</v>
      </c>
      <c r="J196" s="600">
        <v>404</v>
      </c>
      <c r="K196" s="7">
        <f t="shared" si="28"/>
        <v>8.4033613445378155</v>
      </c>
      <c r="L196" s="7">
        <f t="shared" si="29"/>
        <v>0</v>
      </c>
      <c r="M196" s="243">
        <f t="shared" si="30"/>
        <v>27178.620508619999</v>
      </c>
      <c r="N196" s="243">
        <f>INDEX($AN$4:$AN21092,MATCH($A196,$AH$4:$AH$2000,0))</f>
        <v>27178.620508619999</v>
      </c>
      <c r="O196" s="243">
        <f t="shared" si="39"/>
        <v>31226.500158840001</v>
      </c>
      <c r="P196" s="243">
        <f t="shared" si="31"/>
        <v>31226.500158840001</v>
      </c>
      <c r="Q196" s="243">
        <f t="shared" si="32"/>
        <v>0</v>
      </c>
      <c r="R196" s="243">
        <f t="shared" si="33"/>
        <v>0</v>
      </c>
      <c r="S196" s="243">
        <f t="shared" si="40"/>
        <v>0</v>
      </c>
      <c r="T196" s="243">
        <f t="shared" si="34"/>
        <v>0</v>
      </c>
      <c r="AA196" s="6">
        <v>87</v>
      </c>
      <c r="AB196" t="s">
        <v>80</v>
      </c>
      <c r="AC196" t="s">
        <v>81</v>
      </c>
      <c r="AD196" t="s">
        <v>100</v>
      </c>
      <c r="AE196" t="s">
        <v>1023</v>
      </c>
      <c r="AF196">
        <v>6</v>
      </c>
      <c r="AH196">
        <v>830</v>
      </c>
      <c r="AI196" t="s">
        <v>0</v>
      </c>
      <c r="AJ196" t="s">
        <v>8</v>
      </c>
      <c r="AK196" t="s">
        <v>4</v>
      </c>
      <c r="AL196" t="s">
        <v>31</v>
      </c>
      <c r="AM196" s="314">
        <v>27178.620508619999</v>
      </c>
      <c r="AN196" s="314">
        <v>27178.620508619999</v>
      </c>
      <c r="AO196" s="314">
        <v>31226.500158840001</v>
      </c>
      <c r="AP196" s="314">
        <v>31226.500158840001</v>
      </c>
      <c r="AQ196" s="314">
        <v>3.3850064286720007</v>
      </c>
      <c r="AR196" s="314">
        <v>3.3850064286720007</v>
      </c>
      <c r="AS196" s="314">
        <v>3.8891563223040007</v>
      </c>
      <c r="AT196" s="314">
        <v>3.8891563223040007</v>
      </c>
      <c r="AU196" s="314">
        <v>0</v>
      </c>
      <c r="AV196" s="314">
        <v>0</v>
      </c>
      <c r="AW196" s="314">
        <v>0</v>
      </c>
      <c r="AX196">
        <v>0</v>
      </c>
    </row>
    <row r="197" spans="1:50" x14ac:dyDescent="0.35">
      <c r="A197">
        <v>828</v>
      </c>
      <c r="B197" t="s">
        <v>0</v>
      </c>
      <c r="C197" t="s">
        <v>8</v>
      </c>
      <c r="D197" t="s">
        <v>4</v>
      </c>
      <c r="E197" t="s">
        <v>32</v>
      </c>
      <c r="F197">
        <v>94</v>
      </c>
      <c r="G197">
        <v>94</v>
      </c>
      <c r="H197">
        <v>108</v>
      </c>
      <c r="I197">
        <v>108</v>
      </c>
      <c r="J197" s="600">
        <v>404</v>
      </c>
      <c r="K197" s="7">
        <f t="shared" ref="K197:K260" si="41">INDEX($AF$4:$AF$2000,MATCH(A197,$AA$4:$AA$2000,0))</f>
        <v>10.197838058331634</v>
      </c>
      <c r="L197" s="7">
        <f t="shared" ref="L197:L260" si="42">INDEX($AG$4:$AG$2000,MATCH(A197,$AA$4:$AA$2000,0))</f>
        <v>0</v>
      </c>
      <c r="M197" s="243">
        <f t="shared" ref="M197:M260" si="43">INDEX($AM$4:$AM$2000,MATCH($A197,$AH$4:$AH$2000,0))</f>
        <v>19645.69900542</v>
      </c>
      <c r="N197" s="243">
        <f>INDEX($AN$4:$AN21093,MATCH($A197,$AH$4:$AH$2000,0))</f>
        <v>19645.69900542</v>
      </c>
      <c r="O197" s="243">
        <f t="shared" si="39"/>
        <v>22571.654176440003</v>
      </c>
      <c r="P197" s="243">
        <f t="shared" ref="P197:P260" si="44">INDEX($AP$4:$AP$2000,MATCH($A197,$AH$4:$AH$2000,0))</f>
        <v>22571.654176440003</v>
      </c>
      <c r="Q197" s="243">
        <f t="shared" ref="Q197:Q260" si="45">INDEX($AU$4:$AU$2000,MATCH($A197,$AH$4:$AH$2000,0))</f>
        <v>0</v>
      </c>
      <c r="R197" s="243">
        <f t="shared" ref="R197:R260" si="46">INDEX($AV$4:$AV$2000,MATCH($A197,$AH$4:$AH$2000,0))</f>
        <v>0</v>
      </c>
      <c r="S197" s="243">
        <f t="shared" si="40"/>
        <v>0</v>
      </c>
      <c r="T197" s="243">
        <f t="shared" ref="T197:T260" si="47">INDEX($AX$4:$AX$2000,MATCH($A197,$AH$4:$AH$2000,0))</f>
        <v>0</v>
      </c>
      <c r="AA197" s="6">
        <v>14</v>
      </c>
      <c r="AB197" t="s">
        <v>80</v>
      </c>
      <c r="AC197" t="s">
        <v>211</v>
      </c>
      <c r="AD197">
        <v>0</v>
      </c>
      <c r="AE197" t="s">
        <v>267</v>
      </c>
      <c r="AF197">
        <v>13</v>
      </c>
      <c r="AG197">
        <v>0</v>
      </c>
      <c r="AH197">
        <v>828</v>
      </c>
      <c r="AI197" t="s">
        <v>0</v>
      </c>
      <c r="AJ197" t="s">
        <v>8</v>
      </c>
      <c r="AK197" t="s">
        <v>4</v>
      </c>
      <c r="AL197" t="s">
        <v>32</v>
      </c>
      <c r="AM197" s="314">
        <v>19645.69900542</v>
      </c>
      <c r="AN197" s="314">
        <v>19645.69900542</v>
      </c>
      <c r="AO197" s="314">
        <v>22571.654176440003</v>
      </c>
      <c r="AP197" s="314">
        <v>22571.654176440003</v>
      </c>
      <c r="AQ197" s="314">
        <v>0</v>
      </c>
      <c r="AR197" s="314">
        <v>0</v>
      </c>
      <c r="AS197" s="314">
        <v>0</v>
      </c>
      <c r="AT197" s="314">
        <v>0</v>
      </c>
      <c r="AU197" s="314">
        <v>0</v>
      </c>
      <c r="AV197" s="314">
        <v>0</v>
      </c>
      <c r="AW197" s="314">
        <v>0</v>
      </c>
      <c r="AX197">
        <v>0</v>
      </c>
    </row>
    <row r="198" spans="1:50" x14ac:dyDescent="0.35">
      <c r="A198">
        <v>469</v>
      </c>
      <c r="B198" t="s">
        <v>0</v>
      </c>
      <c r="C198" t="s">
        <v>273</v>
      </c>
      <c r="D198">
        <v>0</v>
      </c>
      <c r="E198" t="s">
        <v>274</v>
      </c>
      <c r="F198">
        <v>5063</v>
      </c>
      <c r="G198">
        <v>5063</v>
      </c>
      <c r="H198">
        <v>5063</v>
      </c>
      <c r="I198">
        <v>5063</v>
      </c>
      <c r="J198" s="600">
        <v>20252</v>
      </c>
      <c r="K198" s="7">
        <f t="shared" si="41"/>
        <v>8</v>
      </c>
      <c r="L198" s="7">
        <f t="shared" si="42"/>
        <v>0</v>
      </c>
      <c r="M198" s="243">
        <f t="shared" si="43"/>
        <v>2372656.477524539</v>
      </c>
      <c r="N198" s="243">
        <f>INDEX($AN$4:$AN21094,MATCH($A198,$AH$4:$AH$2000,0))</f>
        <v>2372656.477524539</v>
      </c>
      <c r="O198" s="243">
        <f t="shared" si="39"/>
        <v>2372656.477524539</v>
      </c>
      <c r="P198" s="243">
        <f t="shared" si="44"/>
        <v>2372656.477524539</v>
      </c>
      <c r="Q198" s="243">
        <f t="shared" si="45"/>
        <v>0</v>
      </c>
      <c r="R198" s="243">
        <f t="shared" si="46"/>
        <v>0</v>
      </c>
      <c r="S198" s="243">
        <f t="shared" si="40"/>
        <v>0</v>
      </c>
      <c r="T198" s="243">
        <f t="shared" si="47"/>
        <v>0</v>
      </c>
      <c r="AA198" s="6">
        <v>15</v>
      </c>
      <c r="AB198" t="s">
        <v>80</v>
      </c>
      <c r="AC198" t="s">
        <v>211</v>
      </c>
      <c r="AD198">
        <v>0</v>
      </c>
      <c r="AE198" t="s">
        <v>268</v>
      </c>
      <c r="AF198">
        <v>13</v>
      </c>
      <c r="AG198">
        <v>0</v>
      </c>
      <c r="AH198">
        <v>469</v>
      </c>
      <c r="AI198" t="s">
        <v>0</v>
      </c>
      <c r="AJ198" t="s">
        <v>273</v>
      </c>
      <c r="AK198">
        <v>0</v>
      </c>
      <c r="AL198" t="s">
        <v>274</v>
      </c>
      <c r="AM198" s="314">
        <v>2372656.477524539</v>
      </c>
      <c r="AN198" s="314">
        <v>2372656.477524539</v>
      </c>
      <c r="AO198" s="314">
        <v>2372656.477524539</v>
      </c>
      <c r="AP198" s="314">
        <v>2372656.477524539</v>
      </c>
      <c r="AQ198" s="314">
        <v>292.58973901483307</v>
      </c>
      <c r="AR198" s="314">
        <v>292.58973901483307</v>
      </c>
      <c r="AS198" s="314">
        <v>292.58973901483307</v>
      </c>
      <c r="AT198" s="314">
        <v>292.58973901483307</v>
      </c>
      <c r="AU198" s="314">
        <v>0</v>
      </c>
      <c r="AV198" s="314">
        <v>0</v>
      </c>
      <c r="AW198" s="314">
        <v>0</v>
      </c>
      <c r="AX198">
        <v>0</v>
      </c>
    </row>
    <row r="199" spans="1:50" x14ac:dyDescent="0.35">
      <c r="A199">
        <v>468</v>
      </c>
      <c r="B199" t="s">
        <v>0</v>
      </c>
      <c r="C199" t="s">
        <v>273</v>
      </c>
      <c r="D199">
        <v>0</v>
      </c>
      <c r="E199" t="s">
        <v>275</v>
      </c>
      <c r="F199">
        <v>937</v>
      </c>
      <c r="G199">
        <v>937</v>
      </c>
      <c r="H199">
        <v>937</v>
      </c>
      <c r="I199">
        <v>937</v>
      </c>
      <c r="J199" s="600">
        <v>3748</v>
      </c>
      <c r="K199" s="7">
        <f t="shared" si="41"/>
        <v>8</v>
      </c>
      <c r="L199" s="7">
        <f t="shared" si="42"/>
        <v>0</v>
      </c>
      <c r="M199" s="243">
        <f t="shared" si="43"/>
        <v>469383.6466334227</v>
      </c>
      <c r="N199" s="243">
        <f>INDEX($AN$4:$AN21095,MATCH($A199,$AH$4:$AH$2000,0))</f>
        <v>469383.6466334227</v>
      </c>
      <c r="O199" s="243">
        <f t="shared" si="39"/>
        <v>469383.6466334227</v>
      </c>
      <c r="P199" s="243">
        <f t="shared" si="44"/>
        <v>469383.6466334227</v>
      </c>
      <c r="Q199" s="243">
        <f t="shared" si="45"/>
        <v>0</v>
      </c>
      <c r="R199" s="243">
        <f t="shared" si="46"/>
        <v>0</v>
      </c>
      <c r="S199" s="243">
        <f t="shared" si="40"/>
        <v>0</v>
      </c>
      <c r="T199" s="243">
        <f t="shared" si="47"/>
        <v>0</v>
      </c>
      <c r="AA199" s="6">
        <v>24</v>
      </c>
      <c r="AB199" t="s">
        <v>80</v>
      </c>
      <c r="AC199" t="s">
        <v>212</v>
      </c>
      <c r="AD199">
        <v>0</v>
      </c>
      <c r="AE199" t="s">
        <v>269</v>
      </c>
      <c r="AF199">
        <v>5</v>
      </c>
      <c r="AG199">
        <v>0</v>
      </c>
      <c r="AH199">
        <v>468</v>
      </c>
      <c r="AI199" t="s">
        <v>0</v>
      </c>
      <c r="AJ199" t="s">
        <v>273</v>
      </c>
      <c r="AK199">
        <v>0</v>
      </c>
      <c r="AL199" t="s">
        <v>275</v>
      </c>
      <c r="AM199" s="314">
        <v>469383.6466334227</v>
      </c>
      <c r="AN199" s="314">
        <v>469383.6466334227</v>
      </c>
      <c r="AO199" s="314">
        <v>469383.6466334227</v>
      </c>
      <c r="AP199" s="314">
        <v>469383.6466334227</v>
      </c>
      <c r="AQ199" s="314">
        <v>55.045218884229811</v>
      </c>
      <c r="AR199" s="314">
        <v>55.045218884229811</v>
      </c>
      <c r="AS199" s="314">
        <v>55.045218884229811</v>
      </c>
      <c r="AT199" s="314">
        <v>55.045218884229811</v>
      </c>
      <c r="AU199" s="314">
        <v>0</v>
      </c>
      <c r="AV199" s="314">
        <v>0</v>
      </c>
      <c r="AW199" s="314">
        <v>0</v>
      </c>
      <c r="AX199">
        <v>0</v>
      </c>
    </row>
    <row r="200" spans="1:50" x14ac:dyDescent="0.35">
      <c r="A200">
        <v>491</v>
      </c>
      <c r="B200" t="s">
        <v>0</v>
      </c>
      <c r="C200" t="s">
        <v>33</v>
      </c>
      <c r="D200" t="s">
        <v>34</v>
      </c>
      <c r="E200" t="s">
        <v>2</v>
      </c>
      <c r="F200">
        <v>30000</v>
      </c>
      <c r="G200">
        <v>30000</v>
      </c>
      <c r="H200">
        <v>30000</v>
      </c>
      <c r="I200">
        <v>30000</v>
      </c>
      <c r="J200" s="600">
        <v>120000</v>
      </c>
      <c r="K200" s="7">
        <f t="shared" si="41"/>
        <v>10</v>
      </c>
      <c r="L200" s="7">
        <f t="shared" si="42"/>
        <v>6</v>
      </c>
      <c r="M200" s="243">
        <f t="shared" si="43"/>
        <v>389190.87950341502</v>
      </c>
      <c r="N200" s="243">
        <f>INDEX($AN$4:$AN21096,MATCH($A200,$AH$4:$AH$2000,0))</f>
        <v>389190.87950341502</v>
      </c>
      <c r="O200" s="243">
        <f t="shared" si="39"/>
        <v>389190.87950341502</v>
      </c>
      <c r="P200" s="243">
        <f t="shared" si="44"/>
        <v>389190.87950341502</v>
      </c>
      <c r="Q200" s="243">
        <f t="shared" si="45"/>
        <v>-1226.6643080122201</v>
      </c>
      <c r="R200" s="243">
        <f t="shared" si="46"/>
        <v>-1226.6643080122201</v>
      </c>
      <c r="S200" s="243">
        <f t="shared" si="40"/>
        <v>-1226.6643080122201</v>
      </c>
      <c r="T200" s="243">
        <f t="shared" si="47"/>
        <v>-1226.6643080122201</v>
      </c>
      <c r="AA200" s="6">
        <v>25</v>
      </c>
      <c r="AB200" t="s">
        <v>80</v>
      </c>
      <c r="AC200" t="s">
        <v>212</v>
      </c>
      <c r="AD200">
        <v>0</v>
      </c>
      <c r="AE200" t="s">
        <v>270</v>
      </c>
      <c r="AF200">
        <v>5</v>
      </c>
      <c r="AG200">
        <v>0</v>
      </c>
      <c r="AH200">
        <v>491</v>
      </c>
      <c r="AI200" t="s">
        <v>0</v>
      </c>
      <c r="AJ200" t="s">
        <v>33</v>
      </c>
      <c r="AK200" t="s">
        <v>34</v>
      </c>
      <c r="AL200" t="s">
        <v>2</v>
      </c>
      <c r="AM200" s="314">
        <v>389190.87950341502</v>
      </c>
      <c r="AN200" s="314">
        <v>389190.87950341502</v>
      </c>
      <c r="AO200" s="314">
        <v>389190.87950341502</v>
      </c>
      <c r="AP200" s="314">
        <v>389190.87950341502</v>
      </c>
      <c r="AQ200" s="314">
        <v>39.502487969999997</v>
      </c>
      <c r="AR200" s="314">
        <v>39.502487969999997</v>
      </c>
      <c r="AS200" s="314">
        <v>39.502487969999997</v>
      </c>
      <c r="AT200" s="314">
        <v>39.502487969999997</v>
      </c>
      <c r="AU200" s="314">
        <v>-1226.6643080122201</v>
      </c>
      <c r="AV200" s="314">
        <v>-1226.6643080122201</v>
      </c>
      <c r="AW200" s="314">
        <v>-1226.6643080122201</v>
      </c>
      <c r="AX200">
        <v>-1226.6643080122201</v>
      </c>
    </row>
    <row r="201" spans="1:50" x14ac:dyDescent="0.35">
      <c r="A201">
        <v>498</v>
      </c>
      <c r="B201" t="s">
        <v>0</v>
      </c>
      <c r="C201" t="s">
        <v>33</v>
      </c>
      <c r="D201" t="s">
        <v>34</v>
      </c>
      <c r="E201" t="s">
        <v>35</v>
      </c>
      <c r="F201">
        <v>1200</v>
      </c>
      <c r="G201">
        <v>1200</v>
      </c>
      <c r="H201">
        <v>1200</v>
      </c>
      <c r="I201">
        <v>1200</v>
      </c>
      <c r="J201" s="600">
        <v>4800</v>
      </c>
      <c r="K201" s="7">
        <f t="shared" si="41"/>
        <v>10</v>
      </c>
      <c r="L201" s="7">
        <f t="shared" si="42"/>
        <v>0</v>
      </c>
      <c r="M201" s="243">
        <f t="shared" si="43"/>
        <v>99469.171572415667</v>
      </c>
      <c r="N201" s="243">
        <f>INDEX($AN$4:$AN21097,MATCH($A201,$AH$4:$AH$2000,0))</f>
        <v>99469.171572415667</v>
      </c>
      <c r="O201" s="243">
        <f t="shared" si="39"/>
        <v>99469.171572415667</v>
      </c>
      <c r="P201" s="243">
        <f t="shared" si="44"/>
        <v>99469.171572415667</v>
      </c>
      <c r="Q201" s="243">
        <f t="shared" si="45"/>
        <v>0</v>
      </c>
      <c r="R201" s="243">
        <f t="shared" si="46"/>
        <v>0</v>
      </c>
      <c r="S201" s="243">
        <f t="shared" si="40"/>
        <v>0</v>
      </c>
      <c r="T201" s="243">
        <f t="shared" si="47"/>
        <v>0</v>
      </c>
      <c r="AA201" s="6">
        <v>146</v>
      </c>
      <c r="AB201" t="s">
        <v>80</v>
      </c>
      <c r="AC201" t="s">
        <v>81</v>
      </c>
      <c r="AD201" t="s">
        <v>4</v>
      </c>
      <c r="AE201" t="s">
        <v>271</v>
      </c>
      <c r="AF201">
        <v>15</v>
      </c>
      <c r="AG201">
        <v>0</v>
      </c>
      <c r="AH201">
        <v>498</v>
      </c>
      <c r="AI201" t="s">
        <v>0</v>
      </c>
      <c r="AJ201" t="s">
        <v>33</v>
      </c>
      <c r="AK201" t="s">
        <v>34</v>
      </c>
      <c r="AL201" t="s">
        <v>35</v>
      </c>
      <c r="AM201" s="314">
        <v>99469.171572415667</v>
      </c>
      <c r="AN201" s="314">
        <v>99469.171572415667</v>
      </c>
      <c r="AO201" s="314">
        <v>99469.171572415667</v>
      </c>
      <c r="AP201" s="314">
        <v>99469.171572415667</v>
      </c>
      <c r="AQ201" s="314">
        <v>10.395650262079533</v>
      </c>
      <c r="AR201" s="314">
        <v>10.395650262079533</v>
      </c>
      <c r="AS201" s="314">
        <v>10.395650262079533</v>
      </c>
      <c r="AT201" s="314">
        <v>10.395650262079533</v>
      </c>
      <c r="AU201" s="314">
        <v>0</v>
      </c>
      <c r="AV201" s="314">
        <v>0</v>
      </c>
      <c r="AW201" s="314">
        <v>0</v>
      </c>
      <c r="AX201">
        <v>0</v>
      </c>
    </row>
    <row r="202" spans="1:50" x14ac:dyDescent="0.35">
      <c r="A202">
        <v>494</v>
      </c>
      <c r="B202" t="s">
        <v>0</v>
      </c>
      <c r="C202" t="s">
        <v>33</v>
      </c>
      <c r="D202" t="s">
        <v>34</v>
      </c>
      <c r="E202" t="s">
        <v>36</v>
      </c>
      <c r="F202">
        <v>1200</v>
      </c>
      <c r="G202">
        <v>1200</v>
      </c>
      <c r="H202">
        <v>1200</v>
      </c>
      <c r="I202">
        <v>1200</v>
      </c>
      <c r="J202" s="600">
        <v>4800</v>
      </c>
      <c r="K202" s="7">
        <f t="shared" si="41"/>
        <v>9</v>
      </c>
      <c r="L202" s="7">
        <f t="shared" si="42"/>
        <v>0</v>
      </c>
      <c r="M202" s="243">
        <f t="shared" si="43"/>
        <v>8709.3216682244511</v>
      </c>
      <c r="N202" s="243">
        <f>INDEX($AN$4:$AN21098,MATCH($A202,$AH$4:$AH$2000,0))</f>
        <v>8709.3216682244511</v>
      </c>
      <c r="O202" s="243">
        <f t="shared" si="39"/>
        <v>8709.3216682244511</v>
      </c>
      <c r="P202" s="243">
        <f t="shared" si="44"/>
        <v>8709.3216682244511</v>
      </c>
      <c r="Q202" s="243">
        <f t="shared" si="45"/>
        <v>0</v>
      </c>
      <c r="R202" s="243">
        <f t="shared" si="46"/>
        <v>0</v>
      </c>
      <c r="S202" s="243">
        <f t="shared" si="40"/>
        <v>0</v>
      </c>
      <c r="T202" s="243">
        <f t="shared" si="47"/>
        <v>0</v>
      </c>
      <c r="AA202" s="6">
        <v>84</v>
      </c>
      <c r="AB202" t="s">
        <v>80</v>
      </c>
      <c r="AC202" t="s">
        <v>81</v>
      </c>
      <c r="AD202" t="s">
        <v>100</v>
      </c>
      <c r="AE202" t="s">
        <v>207</v>
      </c>
      <c r="AF202">
        <v>10</v>
      </c>
      <c r="AG202">
        <v>0</v>
      </c>
      <c r="AH202">
        <v>494</v>
      </c>
      <c r="AI202" t="s">
        <v>0</v>
      </c>
      <c r="AJ202" t="s">
        <v>33</v>
      </c>
      <c r="AK202" t="s">
        <v>34</v>
      </c>
      <c r="AL202" t="s">
        <v>36</v>
      </c>
      <c r="AM202" s="314">
        <v>8709.3216682244511</v>
      </c>
      <c r="AN202" s="314">
        <v>8709.3216682244511</v>
      </c>
      <c r="AO202" s="314">
        <v>8709.3216682244511</v>
      </c>
      <c r="AP202" s="314">
        <v>8709.3216682244511</v>
      </c>
      <c r="AQ202" s="314">
        <v>13.68607690720985</v>
      </c>
      <c r="AR202" s="314">
        <v>13.68607690720985</v>
      </c>
      <c r="AS202" s="314">
        <v>13.68607690720985</v>
      </c>
      <c r="AT202" s="314">
        <v>13.68607690720985</v>
      </c>
      <c r="AU202" s="314">
        <v>0</v>
      </c>
      <c r="AV202" s="314">
        <v>0</v>
      </c>
      <c r="AW202" s="314">
        <v>0</v>
      </c>
      <c r="AX202">
        <v>0</v>
      </c>
    </row>
    <row r="203" spans="1:50" x14ac:dyDescent="0.35">
      <c r="A203">
        <v>496</v>
      </c>
      <c r="B203" t="s">
        <v>0</v>
      </c>
      <c r="C203" t="s">
        <v>33</v>
      </c>
      <c r="D203" t="s">
        <v>34</v>
      </c>
      <c r="E203" t="s">
        <v>37</v>
      </c>
      <c r="F203">
        <v>1200</v>
      </c>
      <c r="G203">
        <v>1200</v>
      </c>
      <c r="H203">
        <v>1200</v>
      </c>
      <c r="I203">
        <v>1200</v>
      </c>
      <c r="J203" s="600">
        <v>4800</v>
      </c>
      <c r="K203" s="7">
        <f t="shared" si="41"/>
        <v>9</v>
      </c>
      <c r="L203" s="7">
        <f t="shared" si="42"/>
        <v>0</v>
      </c>
      <c r="M203" s="243">
        <f t="shared" si="43"/>
        <v>71005.168036800009</v>
      </c>
      <c r="N203" s="243">
        <f>INDEX($AN$4:$AN21099,MATCH($A203,$AH$4:$AH$2000,0))</f>
        <v>71005.168036800009</v>
      </c>
      <c r="O203" s="243">
        <f t="shared" si="39"/>
        <v>71005.168036800009</v>
      </c>
      <c r="P203" s="243">
        <f t="shared" si="44"/>
        <v>71005.168036800009</v>
      </c>
      <c r="Q203" s="243">
        <f t="shared" si="45"/>
        <v>0</v>
      </c>
      <c r="R203" s="243">
        <f t="shared" si="46"/>
        <v>0</v>
      </c>
      <c r="S203" s="243">
        <f t="shared" si="40"/>
        <v>0</v>
      </c>
      <c r="T203" s="243">
        <f t="shared" si="47"/>
        <v>0</v>
      </c>
      <c r="AA203" s="6">
        <v>180</v>
      </c>
      <c r="AB203" t="s">
        <v>80</v>
      </c>
      <c r="AC203" t="s">
        <v>81</v>
      </c>
      <c r="AD203" t="s">
        <v>5</v>
      </c>
      <c r="AE203" t="s">
        <v>272</v>
      </c>
      <c r="AF203">
        <v>0</v>
      </c>
      <c r="AG203">
        <v>0</v>
      </c>
      <c r="AH203">
        <v>496</v>
      </c>
      <c r="AI203" t="s">
        <v>0</v>
      </c>
      <c r="AJ203" t="s">
        <v>33</v>
      </c>
      <c r="AK203" t="s">
        <v>34</v>
      </c>
      <c r="AL203" t="s">
        <v>37</v>
      </c>
      <c r="AM203" s="314">
        <v>71005.168036800009</v>
      </c>
      <c r="AN203" s="314">
        <v>71005.168036800009</v>
      </c>
      <c r="AO203" s="314">
        <v>71005.168036800009</v>
      </c>
      <c r="AP203" s="314">
        <v>71005.168036800009</v>
      </c>
      <c r="AQ203" s="314">
        <v>16.618230817123408</v>
      </c>
      <c r="AR203" s="314">
        <v>16.618230817123408</v>
      </c>
      <c r="AS203" s="314">
        <v>16.618230817123408</v>
      </c>
      <c r="AT203" s="314">
        <v>16.618230817123408</v>
      </c>
      <c r="AU203" s="314">
        <v>0</v>
      </c>
      <c r="AV203" s="314">
        <v>0</v>
      </c>
      <c r="AW203" s="314">
        <v>0</v>
      </c>
      <c r="AX203">
        <v>0</v>
      </c>
    </row>
    <row r="204" spans="1:50" x14ac:dyDescent="0.35">
      <c r="A204">
        <v>501</v>
      </c>
      <c r="B204" t="s">
        <v>0</v>
      </c>
      <c r="C204" t="s">
        <v>33</v>
      </c>
      <c r="D204" t="s">
        <v>34</v>
      </c>
      <c r="E204" t="s">
        <v>38</v>
      </c>
      <c r="F204">
        <v>1200</v>
      </c>
      <c r="G204">
        <v>1200</v>
      </c>
      <c r="H204">
        <v>1200</v>
      </c>
      <c r="I204">
        <v>1200</v>
      </c>
      <c r="J204" s="600">
        <v>4800</v>
      </c>
      <c r="K204" s="7">
        <f t="shared" si="41"/>
        <v>2</v>
      </c>
      <c r="L204" s="7">
        <f t="shared" si="42"/>
        <v>0</v>
      </c>
      <c r="M204" s="243">
        <f t="shared" si="43"/>
        <v>22515.888158581623</v>
      </c>
      <c r="N204" s="243">
        <f>INDEX($AN$4:$AN21100,MATCH($A204,$AH$4:$AH$2000,0))</f>
        <v>22515.888158581623</v>
      </c>
      <c r="O204" s="243">
        <f t="shared" ref="O204:O223" si="48">INDEX($AO$4:$AO$2000,MATCH($A204,$AH$4:$AH$2000,0))</f>
        <v>22515.888158581623</v>
      </c>
      <c r="P204" s="243">
        <f t="shared" si="44"/>
        <v>22515.888158581623</v>
      </c>
      <c r="Q204" s="243">
        <f t="shared" si="45"/>
        <v>0</v>
      </c>
      <c r="R204" s="243">
        <f t="shared" si="46"/>
        <v>0</v>
      </c>
      <c r="S204" s="243">
        <f t="shared" ref="S204:S223" si="49">INDEX($AW$4:$AW$2000,MATCH($A204,$AH$4:$AH$2000,0))</f>
        <v>0</v>
      </c>
      <c r="T204" s="243">
        <f t="shared" si="47"/>
        <v>0</v>
      </c>
      <c r="AA204" s="6">
        <v>60</v>
      </c>
      <c r="AB204" t="s">
        <v>80</v>
      </c>
      <c r="AC204" t="s">
        <v>81</v>
      </c>
      <c r="AD204" t="s">
        <v>100</v>
      </c>
      <c r="AE204" t="s">
        <v>208</v>
      </c>
      <c r="AF204">
        <v>18</v>
      </c>
      <c r="AG204">
        <v>0</v>
      </c>
      <c r="AH204">
        <v>501</v>
      </c>
      <c r="AI204" t="s">
        <v>0</v>
      </c>
      <c r="AJ204" t="s">
        <v>33</v>
      </c>
      <c r="AK204" t="s">
        <v>34</v>
      </c>
      <c r="AL204" t="s">
        <v>38</v>
      </c>
      <c r="AM204" s="314">
        <v>22515.888158581623</v>
      </c>
      <c r="AN204" s="314">
        <v>22515.888158581623</v>
      </c>
      <c r="AO204" s="314">
        <v>22515.888158581623</v>
      </c>
      <c r="AP204" s="314">
        <v>22515.888158581623</v>
      </c>
      <c r="AQ204" s="314">
        <v>2.5685475882479607</v>
      </c>
      <c r="AR204" s="314">
        <v>2.5685475882479607</v>
      </c>
      <c r="AS204" s="314">
        <v>2.5685475882479607</v>
      </c>
      <c r="AT204" s="314">
        <v>2.5685475882479607</v>
      </c>
      <c r="AU204" s="314">
        <v>0</v>
      </c>
      <c r="AV204" s="314">
        <v>0</v>
      </c>
      <c r="AW204" s="314">
        <v>0</v>
      </c>
      <c r="AX204">
        <v>0</v>
      </c>
    </row>
    <row r="205" spans="1:50" x14ac:dyDescent="0.35">
      <c r="A205">
        <v>499</v>
      </c>
      <c r="B205" t="s">
        <v>0</v>
      </c>
      <c r="C205" t="s">
        <v>33</v>
      </c>
      <c r="D205" t="s">
        <v>34</v>
      </c>
      <c r="E205" t="s">
        <v>39</v>
      </c>
      <c r="F205">
        <v>6300</v>
      </c>
      <c r="G205">
        <v>6300</v>
      </c>
      <c r="H205">
        <v>6300</v>
      </c>
      <c r="I205">
        <v>6300</v>
      </c>
      <c r="J205" s="600">
        <v>25200</v>
      </c>
      <c r="K205" s="7">
        <f t="shared" si="41"/>
        <v>10</v>
      </c>
      <c r="L205" s="7">
        <f t="shared" si="42"/>
        <v>0</v>
      </c>
      <c r="M205" s="243">
        <f t="shared" si="43"/>
        <v>0</v>
      </c>
      <c r="N205" s="243">
        <f>INDEX($AN$4:$AN21101,MATCH($A205,$AH$4:$AH$2000,0))</f>
        <v>0</v>
      </c>
      <c r="O205" s="243">
        <f t="shared" si="48"/>
        <v>0</v>
      </c>
      <c r="P205" s="243">
        <f t="shared" si="44"/>
        <v>0</v>
      </c>
      <c r="Q205" s="243">
        <f t="shared" si="45"/>
        <v>22358.7</v>
      </c>
      <c r="R205" s="243">
        <f t="shared" si="46"/>
        <v>22358.7</v>
      </c>
      <c r="S205" s="243">
        <f t="shared" si="49"/>
        <v>22358.7</v>
      </c>
      <c r="T205" s="243">
        <f t="shared" si="47"/>
        <v>22358.7</v>
      </c>
      <c r="AA205" s="6">
        <v>103</v>
      </c>
      <c r="AB205" t="s">
        <v>80</v>
      </c>
      <c r="AC205" t="s">
        <v>81</v>
      </c>
      <c r="AD205" t="s">
        <v>148</v>
      </c>
      <c r="AE205" t="s">
        <v>209</v>
      </c>
      <c r="AF205">
        <v>12</v>
      </c>
      <c r="AG205">
        <v>0</v>
      </c>
      <c r="AH205">
        <v>499</v>
      </c>
      <c r="AI205" t="s">
        <v>0</v>
      </c>
      <c r="AJ205" t="s">
        <v>33</v>
      </c>
      <c r="AK205" t="s">
        <v>34</v>
      </c>
      <c r="AL205" t="s">
        <v>39</v>
      </c>
      <c r="AM205" s="314">
        <v>0</v>
      </c>
      <c r="AN205" s="314">
        <v>0</v>
      </c>
      <c r="AO205" s="314">
        <v>0</v>
      </c>
      <c r="AP205" s="314">
        <v>0</v>
      </c>
      <c r="AQ205" s="314">
        <v>0</v>
      </c>
      <c r="AR205" s="314">
        <v>0</v>
      </c>
      <c r="AS205" s="314">
        <v>0</v>
      </c>
      <c r="AT205" s="314">
        <v>0</v>
      </c>
      <c r="AU205" s="314">
        <v>22358.7</v>
      </c>
      <c r="AV205" s="314">
        <v>22358.7</v>
      </c>
      <c r="AW205" s="314">
        <v>22358.7</v>
      </c>
      <c r="AX205">
        <v>22358.7</v>
      </c>
    </row>
    <row r="206" spans="1:50" x14ac:dyDescent="0.35">
      <c r="A206">
        <v>495</v>
      </c>
      <c r="B206" t="s">
        <v>0</v>
      </c>
      <c r="C206" t="s">
        <v>33</v>
      </c>
      <c r="D206" t="s">
        <v>34</v>
      </c>
      <c r="E206" t="s">
        <v>40</v>
      </c>
      <c r="F206">
        <v>6300</v>
      </c>
      <c r="G206">
        <v>6300</v>
      </c>
      <c r="H206">
        <v>6300</v>
      </c>
      <c r="I206">
        <v>6300</v>
      </c>
      <c r="J206" s="600">
        <v>25200</v>
      </c>
      <c r="K206" s="7">
        <f t="shared" si="41"/>
        <v>9</v>
      </c>
      <c r="L206" s="7">
        <f t="shared" si="42"/>
        <v>0</v>
      </c>
      <c r="M206" s="243">
        <f t="shared" si="43"/>
        <v>0</v>
      </c>
      <c r="N206" s="243">
        <f>INDEX($AN$4:$AN21102,MATCH($A206,$AH$4:$AH$2000,0))</f>
        <v>0</v>
      </c>
      <c r="O206" s="243">
        <f t="shared" si="48"/>
        <v>0</v>
      </c>
      <c r="P206" s="243">
        <f t="shared" si="44"/>
        <v>0</v>
      </c>
      <c r="Q206" s="243">
        <f t="shared" si="45"/>
        <v>2293.1999999999998</v>
      </c>
      <c r="R206" s="243">
        <f t="shared" si="46"/>
        <v>2293.1999999999998</v>
      </c>
      <c r="S206" s="243">
        <f t="shared" si="49"/>
        <v>2293.1999999999998</v>
      </c>
      <c r="T206" s="243">
        <f t="shared" si="47"/>
        <v>2293.1999999999998</v>
      </c>
      <c r="AA206" s="6">
        <v>614</v>
      </c>
      <c r="AB206" t="s">
        <v>0</v>
      </c>
      <c r="AC206" t="s">
        <v>1933</v>
      </c>
      <c r="AD206" t="s">
        <v>7</v>
      </c>
      <c r="AE206" t="s">
        <v>35</v>
      </c>
      <c r="AF206">
        <v>10</v>
      </c>
      <c r="AG206">
        <v>0</v>
      </c>
      <c r="AH206">
        <v>495</v>
      </c>
      <c r="AI206" t="s">
        <v>0</v>
      </c>
      <c r="AJ206" t="s">
        <v>33</v>
      </c>
      <c r="AK206" t="s">
        <v>34</v>
      </c>
      <c r="AL206" t="s">
        <v>40</v>
      </c>
      <c r="AM206" s="314">
        <v>0</v>
      </c>
      <c r="AN206" s="314">
        <v>0</v>
      </c>
      <c r="AO206" s="314">
        <v>0</v>
      </c>
      <c r="AP206" s="314">
        <v>0</v>
      </c>
      <c r="AQ206" s="314">
        <v>0</v>
      </c>
      <c r="AR206" s="314">
        <v>0</v>
      </c>
      <c r="AS206" s="314">
        <v>0</v>
      </c>
      <c r="AT206" s="314">
        <v>0</v>
      </c>
      <c r="AU206" s="314">
        <v>2293.1999999999998</v>
      </c>
      <c r="AV206" s="314">
        <v>2293.1999999999998</v>
      </c>
      <c r="AW206" s="314">
        <v>2293.1999999999998</v>
      </c>
      <c r="AX206">
        <v>2293.1999999999998</v>
      </c>
    </row>
    <row r="207" spans="1:50" x14ac:dyDescent="0.35">
      <c r="A207">
        <v>497</v>
      </c>
      <c r="B207" t="s">
        <v>0</v>
      </c>
      <c r="C207" t="s">
        <v>33</v>
      </c>
      <c r="D207" t="s">
        <v>34</v>
      </c>
      <c r="E207" t="s">
        <v>41</v>
      </c>
      <c r="F207">
        <v>6300</v>
      </c>
      <c r="G207">
        <v>6300</v>
      </c>
      <c r="H207">
        <v>6300</v>
      </c>
      <c r="I207">
        <v>6300</v>
      </c>
      <c r="J207" s="600">
        <v>25200</v>
      </c>
      <c r="K207" s="7">
        <f t="shared" si="41"/>
        <v>9</v>
      </c>
      <c r="L207" s="7">
        <f t="shared" si="42"/>
        <v>0</v>
      </c>
      <c r="M207" s="243">
        <f t="shared" si="43"/>
        <v>0</v>
      </c>
      <c r="N207" s="243">
        <f>INDEX($AN$4:$AN21103,MATCH($A207,$AH$4:$AH$2000,0))</f>
        <v>0</v>
      </c>
      <c r="O207" s="243">
        <f t="shared" si="48"/>
        <v>0</v>
      </c>
      <c r="P207" s="243">
        <f t="shared" si="44"/>
        <v>0</v>
      </c>
      <c r="Q207" s="243">
        <f t="shared" si="45"/>
        <v>15183</v>
      </c>
      <c r="R207" s="243">
        <f t="shared" si="46"/>
        <v>15183</v>
      </c>
      <c r="S207" s="243">
        <f t="shared" si="49"/>
        <v>15183</v>
      </c>
      <c r="T207" s="243">
        <f t="shared" si="47"/>
        <v>15183</v>
      </c>
      <c r="AA207" s="6">
        <v>599</v>
      </c>
      <c r="AB207" t="s">
        <v>0</v>
      </c>
      <c r="AC207" t="s">
        <v>1933</v>
      </c>
      <c r="AD207" t="s">
        <v>7</v>
      </c>
      <c r="AE207" t="s">
        <v>1801</v>
      </c>
      <c r="AF207">
        <v>9</v>
      </c>
      <c r="AG207">
        <v>0</v>
      </c>
      <c r="AH207">
        <v>497</v>
      </c>
      <c r="AI207" t="s">
        <v>0</v>
      </c>
      <c r="AJ207" t="s">
        <v>33</v>
      </c>
      <c r="AK207" t="s">
        <v>34</v>
      </c>
      <c r="AL207" t="s">
        <v>41</v>
      </c>
      <c r="AM207" s="314">
        <v>0</v>
      </c>
      <c r="AN207" s="314">
        <v>0</v>
      </c>
      <c r="AO207" s="314">
        <v>0</v>
      </c>
      <c r="AP207" s="314">
        <v>0</v>
      </c>
      <c r="AQ207" s="314">
        <v>0</v>
      </c>
      <c r="AR207" s="314">
        <v>0</v>
      </c>
      <c r="AS207" s="314">
        <v>0</v>
      </c>
      <c r="AT207" s="314">
        <v>0</v>
      </c>
      <c r="AU207" s="314">
        <v>15183</v>
      </c>
      <c r="AV207" s="314">
        <v>15183</v>
      </c>
      <c r="AW207" s="314">
        <v>15183</v>
      </c>
      <c r="AX207">
        <v>15183</v>
      </c>
    </row>
    <row r="208" spans="1:50" x14ac:dyDescent="0.35">
      <c r="A208">
        <v>502</v>
      </c>
      <c r="B208" t="s">
        <v>0</v>
      </c>
      <c r="C208" t="s">
        <v>33</v>
      </c>
      <c r="D208" t="s">
        <v>34</v>
      </c>
      <c r="E208" t="s">
        <v>42</v>
      </c>
      <c r="F208">
        <v>6300</v>
      </c>
      <c r="G208">
        <v>6300</v>
      </c>
      <c r="H208">
        <v>6300</v>
      </c>
      <c r="I208">
        <v>6300</v>
      </c>
      <c r="J208" s="600">
        <v>25200</v>
      </c>
      <c r="K208" s="7">
        <f t="shared" si="41"/>
        <v>2</v>
      </c>
      <c r="L208" s="7">
        <f t="shared" si="42"/>
        <v>0</v>
      </c>
      <c r="M208" s="243">
        <f t="shared" si="43"/>
        <v>0</v>
      </c>
      <c r="N208" s="243">
        <f>INDEX($AN$4:$AN21104,MATCH($A208,$AH$4:$AH$2000,0))</f>
        <v>0</v>
      </c>
      <c r="O208" s="243">
        <f t="shared" si="48"/>
        <v>0</v>
      </c>
      <c r="P208" s="243">
        <f t="shared" si="44"/>
        <v>0</v>
      </c>
      <c r="Q208" s="243">
        <f t="shared" si="45"/>
        <v>10175.588572056922</v>
      </c>
      <c r="R208" s="243">
        <f t="shared" si="46"/>
        <v>10175.588572056922</v>
      </c>
      <c r="S208" s="243">
        <f t="shared" si="49"/>
        <v>10175.588572056922</v>
      </c>
      <c r="T208" s="243">
        <f t="shared" si="47"/>
        <v>10175.588572056922</v>
      </c>
      <c r="AA208" s="6">
        <v>615</v>
      </c>
      <c r="AB208" t="s">
        <v>0</v>
      </c>
      <c r="AC208" t="s">
        <v>1933</v>
      </c>
      <c r="AD208" t="s">
        <v>7</v>
      </c>
      <c r="AE208" t="s">
        <v>39</v>
      </c>
      <c r="AF208">
        <v>10</v>
      </c>
      <c r="AG208">
        <v>0</v>
      </c>
      <c r="AH208">
        <v>502</v>
      </c>
      <c r="AI208" t="s">
        <v>0</v>
      </c>
      <c r="AJ208" t="s">
        <v>33</v>
      </c>
      <c r="AK208" t="s">
        <v>34</v>
      </c>
      <c r="AL208" t="s">
        <v>42</v>
      </c>
      <c r="AM208" s="314">
        <v>0</v>
      </c>
      <c r="AN208" s="314">
        <v>0</v>
      </c>
      <c r="AO208" s="314">
        <v>0</v>
      </c>
      <c r="AP208" s="314">
        <v>0</v>
      </c>
      <c r="AQ208" s="314">
        <v>0</v>
      </c>
      <c r="AR208" s="314">
        <v>0</v>
      </c>
      <c r="AS208" s="314">
        <v>0</v>
      </c>
      <c r="AT208" s="314">
        <v>0</v>
      </c>
      <c r="AU208" s="314">
        <v>10175.588572056922</v>
      </c>
      <c r="AV208" s="314">
        <v>10175.588572056922</v>
      </c>
      <c r="AW208" s="314">
        <v>10175.588572056922</v>
      </c>
      <c r="AX208">
        <v>10175.588572056922</v>
      </c>
    </row>
    <row r="209" spans="1:50" x14ac:dyDescent="0.35">
      <c r="A209">
        <v>492</v>
      </c>
      <c r="B209" t="s">
        <v>0</v>
      </c>
      <c r="C209" t="s">
        <v>33</v>
      </c>
      <c r="D209" t="s">
        <v>34</v>
      </c>
      <c r="E209" t="s">
        <v>276</v>
      </c>
      <c r="F209">
        <v>0</v>
      </c>
      <c r="G209">
        <v>30000</v>
      </c>
      <c r="H209">
        <v>30000</v>
      </c>
      <c r="I209">
        <v>30000</v>
      </c>
      <c r="J209" s="600">
        <v>90000</v>
      </c>
      <c r="K209" s="7">
        <f t="shared" si="41"/>
        <v>10</v>
      </c>
      <c r="L209" s="7">
        <f t="shared" si="42"/>
        <v>6</v>
      </c>
      <c r="M209" s="243">
        <f t="shared" si="43"/>
        <v>0</v>
      </c>
      <c r="N209" s="243">
        <f>INDEX($AN$4:$AN21105,MATCH($A209,$AH$4:$AH$2000,0))</f>
        <v>82942.318582695021</v>
      </c>
      <c r="O209" s="243">
        <f t="shared" si="48"/>
        <v>82942.318582695021</v>
      </c>
      <c r="P209" s="243">
        <f t="shared" si="44"/>
        <v>82942.318582695021</v>
      </c>
      <c r="Q209" s="243">
        <f t="shared" si="45"/>
        <v>0</v>
      </c>
      <c r="R209" s="243">
        <f t="shared" si="46"/>
        <v>-261.42026236326001</v>
      </c>
      <c r="S209" s="243">
        <f t="shared" si="49"/>
        <v>-261.42026236326001</v>
      </c>
      <c r="T209" s="243">
        <f t="shared" si="47"/>
        <v>-261.42026236326001</v>
      </c>
      <c r="AA209" s="6">
        <v>600</v>
      </c>
      <c r="AB209" t="s">
        <v>0</v>
      </c>
      <c r="AC209" t="s">
        <v>1933</v>
      </c>
      <c r="AD209" t="s">
        <v>7</v>
      </c>
      <c r="AE209" t="s">
        <v>1802</v>
      </c>
      <c r="AF209">
        <v>9</v>
      </c>
      <c r="AG209">
        <v>0</v>
      </c>
      <c r="AH209">
        <v>492</v>
      </c>
      <c r="AI209" t="s">
        <v>0</v>
      </c>
      <c r="AJ209" t="s">
        <v>33</v>
      </c>
      <c r="AK209" t="s">
        <v>34</v>
      </c>
      <c r="AL209" t="s">
        <v>276</v>
      </c>
      <c r="AM209" s="314">
        <v>0</v>
      </c>
      <c r="AN209" s="314">
        <v>82942.318582695021</v>
      </c>
      <c r="AO209" s="314">
        <v>82942.318582695021</v>
      </c>
      <c r="AP209" s="314">
        <v>82942.318582695021</v>
      </c>
      <c r="AQ209" s="314">
        <v>0</v>
      </c>
      <c r="AR209" s="314">
        <v>8.4185630100000015</v>
      </c>
      <c r="AS209" s="314">
        <v>8.4185630100000015</v>
      </c>
      <c r="AT209" s="314">
        <v>8.4185630100000015</v>
      </c>
      <c r="AU209" s="314">
        <v>0</v>
      </c>
      <c r="AV209" s="314">
        <v>-261.42026236326001</v>
      </c>
      <c r="AW209" s="314">
        <v>-261.42026236326001</v>
      </c>
      <c r="AX209">
        <v>-261.42026236326001</v>
      </c>
    </row>
    <row r="210" spans="1:50" x14ac:dyDescent="0.35">
      <c r="A210">
        <v>493</v>
      </c>
      <c r="B210" t="s">
        <v>0</v>
      </c>
      <c r="C210" t="s">
        <v>33</v>
      </c>
      <c r="D210" t="s">
        <v>34</v>
      </c>
      <c r="E210" t="s">
        <v>277</v>
      </c>
      <c r="F210">
        <v>0</v>
      </c>
      <c r="G210">
        <v>0</v>
      </c>
      <c r="H210">
        <v>30000</v>
      </c>
      <c r="I210">
        <v>30000</v>
      </c>
      <c r="J210" s="600">
        <v>60000</v>
      </c>
      <c r="K210" s="7">
        <f t="shared" si="41"/>
        <v>10</v>
      </c>
      <c r="L210" s="7">
        <f t="shared" si="42"/>
        <v>6</v>
      </c>
      <c r="M210" s="243">
        <f t="shared" si="43"/>
        <v>0</v>
      </c>
      <c r="N210" s="243">
        <f>INDEX($AN$4:$AN21106,MATCH($A210,$AH$4:$AH$2000,0))</f>
        <v>0</v>
      </c>
      <c r="O210" s="243">
        <f t="shared" si="48"/>
        <v>70181.961877665017</v>
      </c>
      <c r="P210" s="243">
        <f t="shared" si="44"/>
        <v>70181.961877665017</v>
      </c>
      <c r="Q210" s="243">
        <f t="shared" si="45"/>
        <v>0</v>
      </c>
      <c r="R210" s="243">
        <f t="shared" si="46"/>
        <v>0</v>
      </c>
      <c r="S210" s="243">
        <f t="shared" si="49"/>
        <v>-221.20176046122</v>
      </c>
      <c r="T210" s="243">
        <f t="shared" si="47"/>
        <v>-221.20176046122</v>
      </c>
      <c r="AA210" s="6">
        <v>559</v>
      </c>
      <c r="AB210" t="s">
        <v>0</v>
      </c>
      <c r="AC210" t="s">
        <v>1933</v>
      </c>
      <c r="AD210" t="s">
        <v>7</v>
      </c>
      <c r="AE210" t="s">
        <v>1803</v>
      </c>
      <c r="AF210">
        <v>15</v>
      </c>
      <c r="AG210">
        <v>0</v>
      </c>
      <c r="AH210">
        <v>493</v>
      </c>
      <c r="AI210" t="s">
        <v>0</v>
      </c>
      <c r="AJ210" t="s">
        <v>33</v>
      </c>
      <c r="AK210" t="s">
        <v>34</v>
      </c>
      <c r="AL210" t="s">
        <v>277</v>
      </c>
      <c r="AM210" s="314">
        <v>0</v>
      </c>
      <c r="AN210" s="314">
        <v>0</v>
      </c>
      <c r="AO210" s="314">
        <v>70181.961877665017</v>
      </c>
      <c r="AP210" s="314">
        <v>70181.961877665017</v>
      </c>
      <c r="AQ210" s="314">
        <v>0</v>
      </c>
      <c r="AR210" s="314">
        <v>0</v>
      </c>
      <c r="AS210" s="314">
        <v>7.1233994699999998</v>
      </c>
      <c r="AT210" s="314">
        <v>7.1233994699999998</v>
      </c>
      <c r="AU210" s="314">
        <v>0</v>
      </c>
      <c r="AV210" s="314">
        <v>0</v>
      </c>
      <c r="AW210" s="314">
        <v>-221.20176046122</v>
      </c>
      <c r="AX210">
        <v>-221.20176046122</v>
      </c>
    </row>
    <row r="211" spans="1:50" x14ac:dyDescent="0.35">
      <c r="A211">
        <v>118</v>
      </c>
      <c r="B211" t="s">
        <v>80</v>
      </c>
      <c r="C211" t="s">
        <v>81</v>
      </c>
      <c r="D211" t="s">
        <v>4</v>
      </c>
      <c r="E211" t="s">
        <v>278</v>
      </c>
      <c r="F211">
        <v>0</v>
      </c>
      <c r="G211">
        <v>21000</v>
      </c>
      <c r="H211">
        <v>21000</v>
      </c>
      <c r="I211">
        <v>21000</v>
      </c>
      <c r="J211" s="600">
        <v>63000</v>
      </c>
      <c r="K211" s="7">
        <f t="shared" si="41"/>
        <v>15</v>
      </c>
      <c r="L211" s="7">
        <f t="shared" si="42"/>
        <v>0</v>
      </c>
      <c r="M211" s="243">
        <f t="shared" si="43"/>
        <v>0</v>
      </c>
      <c r="N211" s="243">
        <f>INDEX($AN$4:$AN21107,MATCH($A211,$AH$4:$AH$2000,0))</f>
        <v>29135674.783049956</v>
      </c>
      <c r="O211" s="243">
        <f t="shared" si="48"/>
        <v>29135674.783049956</v>
      </c>
      <c r="P211" s="243">
        <f t="shared" si="44"/>
        <v>29135674.783049956</v>
      </c>
      <c r="Q211" s="243">
        <f t="shared" si="45"/>
        <v>0</v>
      </c>
      <c r="R211" s="243">
        <f t="shared" si="46"/>
        <v>0</v>
      </c>
      <c r="S211" s="243">
        <f t="shared" si="49"/>
        <v>0</v>
      </c>
      <c r="T211" s="243">
        <f t="shared" si="47"/>
        <v>0</v>
      </c>
      <c r="AA211" s="6">
        <v>610</v>
      </c>
      <c r="AB211" t="s">
        <v>0</v>
      </c>
      <c r="AC211" t="s">
        <v>1933</v>
      </c>
      <c r="AD211" t="s">
        <v>7</v>
      </c>
      <c r="AE211" t="s">
        <v>1804</v>
      </c>
      <c r="AF211">
        <v>25</v>
      </c>
      <c r="AG211">
        <v>0</v>
      </c>
      <c r="AH211">
        <v>118</v>
      </c>
      <c r="AI211" t="s">
        <v>80</v>
      </c>
      <c r="AJ211" t="s">
        <v>81</v>
      </c>
      <c r="AK211" t="s">
        <v>4</v>
      </c>
      <c r="AL211" t="s">
        <v>278</v>
      </c>
      <c r="AM211" s="314">
        <v>0</v>
      </c>
      <c r="AN211" s="314">
        <v>29135674.783049956</v>
      </c>
      <c r="AO211" s="314">
        <v>29135674.783049956</v>
      </c>
      <c r="AP211" s="314">
        <v>29135674.783049956</v>
      </c>
      <c r="AQ211" s="314">
        <v>0</v>
      </c>
      <c r="AR211" s="314">
        <v>0</v>
      </c>
      <c r="AS211" s="314">
        <v>0</v>
      </c>
      <c r="AT211" s="314">
        <v>0</v>
      </c>
      <c r="AU211" s="314">
        <v>0</v>
      </c>
      <c r="AV211" s="314">
        <v>0</v>
      </c>
      <c r="AW211" s="314">
        <v>0</v>
      </c>
      <c r="AX211">
        <v>0</v>
      </c>
    </row>
    <row r="212" spans="1:50" x14ac:dyDescent="0.35">
      <c r="A212">
        <v>162</v>
      </c>
      <c r="B212" t="s">
        <v>80</v>
      </c>
      <c r="C212" t="s">
        <v>81</v>
      </c>
      <c r="D212" t="s">
        <v>4</v>
      </c>
      <c r="E212" t="s">
        <v>279</v>
      </c>
      <c r="F212">
        <v>0</v>
      </c>
      <c r="G212">
        <v>185</v>
      </c>
      <c r="H212">
        <v>192</v>
      </c>
      <c r="I212">
        <v>195</v>
      </c>
      <c r="J212" s="600">
        <v>572</v>
      </c>
      <c r="K212" s="7">
        <f t="shared" si="41"/>
        <v>11</v>
      </c>
      <c r="L212" s="7">
        <f t="shared" si="42"/>
        <v>0</v>
      </c>
      <c r="M212" s="243">
        <f t="shared" si="43"/>
        <v>0</v>
      </c>
      <c r="N212" s="243">
        <f>INDEX($AN$4:$AN21108,MATCH($A212,$AH$4:$AH$2000,0))</f>
        <v>54179.628058753289</v>
      </c>
      <c r="O212" s="243">
        <f t="shared" si="48"/>
        <v>56229.668039354765</v>
      </c>
      <c r="P212" s="243">
        <f t="shared" si="44"/>
        <v>57108.256602469686</v>
      </c>
      <c r="Q212" s="243">
        <f t="shared" si="45"/>
        <v>0</v>
      </c>
      <c r="R212" s="243">
        <f t="shared" si="46"/>
        <v>-637.39326938524596</v>
      </c>
      <c r="S212" s="243">
        <f t="shared" si="49"/>
        <v>-661.51085255117425</v>
      </c>
      <c r="T212" s="243">
        <f t="shared" si="47"/>
        <v>-671.84695962228636</v>
      </c>
      <c r="AA212" s="6">
        <v>612</v>
      </c>
      <c r="AB212" t="s">
        <v>0</v>
      </c>
      <c r="AC212" t="s">
        <v>1933</v>
      </c>
      <c r="AD212" t="s">
        <v>7</v>
      </c>
      <c r="AE212" t="s">
        <v>1805</v>
      </c>
      <c r="AF212">
        <v>25</v>
      </c>
      <c r="AG212">
        <v>0</v>
      </c>
      <c r="AH212">
        <v>162</v>
      </c>
      <c r="AI212" t="s">
        <v>80</v>
      </c>
      <c r="AJ212" t="s">
        <v>81</v>
      </c>
      <c r="AK212" t="s">
        <v>4</v>
      </c>
      <c r="AL212" t="s">
        <v>279</v>
      </c>
      <c r="AM212" s="314">
        <v>0</v>
      </c>
      <c r="AN212" s="314">
        <v>54179.628058753289</v>
      </c>
      <c r="AO212" s="314">
        <v>56229.668039354765</v>
      </c>
      <c r="AP212" s="314">
        <v>57108.256602469686</v>
      </c>
      <c r="AQ212" s="314">
        <v>0</v>
      </c>
      <c r="AR212" s="314">
        <v>10.32068251889207</v>
      </c>
      <c r="AS212" s="314">
        <v>10.711194830417718</v>
      </c>
      <c r="AT212" s="314">
        <v>10.878557249642993</v>
      </c>
      <c r="AU212" s="314">
        <v>0</v>
      </c>
      <c r="AV212" s="314">
        <v>-637.39326938524596</v>
      </c>
      <c r="AW212" s="314">
        <v>-661.51085255117425</v>
      </c>
      <c r="AX212">
        <v>-671.84695962228636</v>
      </c>
    </row>
    <row r="213" spans="1:50" x14ac:dyDescent="0.35">
      <c r="A213">
        <v>123</v>
      </c>
      <c r="B213" t="s">
        <v>80</v>
      </c>
      <c r="C213" t="s">
        <v>81</v>
      </c>
      <c r="D213" t="s">
        <v>4</v>
      </c>
      <c r="E213" t="s">
        <v>280</v>
      </c>
      <c r="F213">
        <v>0</v>
      </c>
      <c r="G213">
        <v>322</v>
      </c>
      <c r="H213">
        <v>192</v>
      </c>
      <c r="I213">
        <v>99</v>
      </c>
      <c r="J213" s="600">
        <v>613</v>
      </c>
      <c r="K213" s="7">
        <f t="shared" si="41"/>
        <v>15</v>
      </c>
      <c r="L213" s="7">
        <f t="shared" si="42"/>
        <v>0</v>
      </c>
      <c r="M213" s="243">
        <f t="shared" si="43"/>
        <v>0</v>
      </c>
      <c r="N213" s="243">
        <f>INDEX($AN$4:$AN21109,MATCH($A213,$AH$4:$AH$2000,0))</f>
        <v>47915.22245153648</v>
      </c>
      <c r="O213" s="243">
        <f t="shared" si="48"/>
        <v>28570.567424518646</v>
      </c>
      <c r="P213" s="243">
        <f t="shared" si="44"/>
        <v>14731.698828267427</v>
      </c>
      <c r="Q213" s="243">
        <f t="shared" si="45"/>
        <v>0</v>
      </c>
      <c r="R213" s="243">
        <f t="shared" si="46"/>
        <v>0</v>
      </c>
      <c r="S213" s="243">
        <f t="shared" si="49"/>
        <v>0</v>
      </c>
      <c r="T213" s="243">
        <f t="shared" si="47"/>
        <v>0</v>
      </c>
      <c r="AA213" s="6">
        <v>585</v>
      </c>
      <c r="AB213" t="s">
        <v>0</v>
      </c>
      <c r="AC213" t="s">
        <v>1933</v>
      </c>
      <c r="AD213" t="s">
        <v>7</v>
      </c>
      <c r="AE213" t="s">
        <v>1806</v>
      </c>
      <c r="AF213">
        <v>25</v>
      </c>
      <c r="AG213">
        <v>0</v>
      </c>
      <c r="AH213">
        <v>123</v>
      </c>
      <c r="AI213" t="s">
        <v>80</v>
      </c>
      <c r="AJ213" t="s">
        <v>81</v>
      </c>
      <c r="AK213" t="s">
        <v>4</v>
      </c>
      <c r="AL213" t="s">
        <v>280</v>
      </c>
      <c r="AM213" s="314">
        <v>0</v>
      </c>
      <c r="AN213" s="314">
        <v>47915.22245153648</v>
      </c>
      <c r="AO213" s="314">
        <v>28570.567424518646</v>
      </c>
      <c r="AP213" s="314">
        <v>14731.698828267427</v>
      </c>
      <c r="AQ213" s="314">
        <v>0</v>
      </c>
      <c r="AR213" s="314">
        <v>6.392488569519478</v>
      </c>
      <c r="AS213" s="314">
        <v>3.811670202943291</v>
      </c>
      <c r="AT213" s="314">
        <v>1.9653924483926346</v>
      </c>
      <c r="AU213" s="314">
        <v>0</v>
      </c>
      <c r="AV213" s="314">
        <v>0</v>
      </c>
      <c r="AW213" s="314">
        <v>0</v>
      </c>
      <c r="AX213">
        <v>0</v>
      </c>
    </row>
    <row r="214" spans="1:50" x14ac:dyDescent="0.35">
      <c r="A214">
        <v>128</v>
      </c>
      <c r="B214" t="s">
        <v>80</v>
      </c>
      <c r="C214" t="s">
        <v>81</v>
      </c>
      <c r="D214" t="s">
        <v>4</v>
      </c>
      <c r="E214" t="s">
        <v>281</v>
      </c>
      <c r="F214">
        <v>0</v>
      </c>
      <c r="G214">
        <v>56304</v>
      </c>
      <c r="H214">
        <v>56948</v>
      </c>
      <c r="I214">
        <v>55169</v>
      </c>
      <c r="J214" s="600">
        <v>168421</v>
      </c>
      <c r="K214" s="7">
        <f t="shared" si="41"/>
        <v>15</v>
      </c>
      <c r="L214" s="7">
        <f t="shared" si="42"/>
        <v>0</v>
      </c>
      <c r="M214" s="243">
        <f t="shared" si="43"/>
        <v>0</v>
      </c>
      <c r="N214" s="243">
        <f>INDEX($AN$4:$AN21110,MATCH($A214,$AH$4:$AH$2000,0))</f>
        <v>32705195.37806385</v>
      </c>
      <c r="O214" s="243">
        <f t="shared" si="48"/>
        <v>33079274.410165887</v>
      </c>
      <c r="P214" s="243">
        <f t="shared" si="44"/>
        <v>32045910.127387121</v>
      </c>
      <c r="Q214" s="243">
        <f t="shared" si="45"/>
        <v>0</v>
      </c>
      <c r="R214" s="243">
        <f t="shared" si="46"/>
        <v>-495927.5317967998</v>
      </c>
      <c r="S214" s="243">
        <f t="shared" si="49"/>
        <v>-501599.90552650177</v>
      </c>
      <c r="T214" s="243">
        <f t="shared" si="47"/>
        <v>-485930.41349988722</v>
      </c>
      <c r="AA214" s="6">
        <v>560</v>
      </c>
      <c r="AB214" t="s">
        <v>0</v>
      </c>
      <c r="AC214" t="s">
        <v>1933</v>
      </c>
      <c r="AD214" t="s">
        <v>7</v>
      </c>
      <c r="AE214" t="s">
        <v>1807</v>
      </c>
      <c r="AF214">
        <v>15</v>
      </c>
      <c r="AG214">
        <v>0</v>
      </c>
      <c r="AH214">
        <v>128</v>
      </c>
      <c r="AI214" t="s">
        <v>80</v>
      </c>
      <c r="AJ214" t="s">
        <v>81</v>
      </c>
      <c r="AK214" t="s">
        <v>4</v>
      </c>
      <c r="AL214" t="s">
        <v>281</v>
      </c>
      <c r="AM214" s="314">
        <v>0</v>
      </c>
      <c r="AN214" s="314">
        <v>32705195.37806385</v>
      </c>
      <c r="AO214" s="314">
        <v>33079274.410165887</v>
      </c>
      <c r="AP214" s="314">
        <v>32045910.127387121</v>
      </c>
      <c r="AQ214" s="314">
        <v>0</v>
      </c>
      <c r="AR214" s="314">
        <v>5703.8213468565809</v>
      </c>
      <c r="AS214" s="314">
        <v>5769.0611335036328</v>
      </c>
      <c r="AT214" s="314">
        <v>5588.8412880919777</v>
      </c>
      <c r="AU214" s="314">
        <v>0</v>
      </c>
      <c r="AV214" s="314">
        <v>-495927.5317967998</v>
      </c>
      <c r="AW214" s="314">
        <v>-501599.90552650177</v>
      </c>
      <c r="AX214">
        <v>-485930.41349988722</v>
      </c>
    </row>
    <row r="215" spans="1:50" x14ac:dyDescent="0.35">
      <c r="A215">
        <v>139</v>
      </c>
      <c r="B215" t="s">
        <v>80</v>
      </c>
      <c r="C215" t="s">
        <v>81</v>
      </c>
      <c r="D215" t="s">
        <v>4</v>
      </c>
      <c r="E215" t="s">
        <v>1024</v>
      </c>
      <c r="F215">
        <v>0</v>
      </c>
      <c r="G215">
        <v>50000</v>
      </c>
      <c r="H215">
        <v>0</v>
      </c>
      <c r="I215">
        <v>0</v>
      </c>
      <c r="J215" s="600">
        <v>50000</v>
      </c>
      <c r="K215" s="7">
        <f t="shared" si="41"/>
        <v>15</v>
      </c>
      <c r="L215" s="7">
        <f t="shared" si="42"/>
        <v>1</v>
      </c>
      <c r="M215" s="243">
        <f t="shared" si="43"/>
        <v>0</v>
      </c>
      <c r="N215" s="243">
        <f>INDEX($AN$4:$AN21111,MATCH($A215,$AH$4:$AH$2000,0))</f>
        <v>4795067.9293905115</v>
      </c>
      <c r="O215" s="243">
        <f t="shared" si="48"/>
        <v>0</v>
      </c>
      <c r="P215" s="243">
        <f t="shared" si="44"/>
        <v>0</v>
      </c>
      <c r="Q215" s="243">
        <f t="shared" si="45"/>
        <v>0</v>
      </c>
      <c r="R215" s="243">
        <f t="shared" si="46"/>
        <v>-45607.440724075874</v>
      </c>
      <c r="S215" s="243">
        <f t="shared" si="49"/>
        <v>0</v>
      </c>
      <c r="T215" s="243">
        <f t="shared" si="47"/>
        <v>0</v>
      </c>
      <c r="AA215" s="6">
        <v>611</v>
      </c>
      <c r="AB215" t="s">
        <v>0</v>
      </c>
      <c r="AC215" t="s">
        <v>1933</v>
      </c>
      <c r="AD215" t="s">
        <v>7</v>
      </c>
      <c r="AE215" t="s">
        <v>1808</v>
      </c>
      <c r="AF215">
        <v>25</v>
      </c>
      <c r="AG215">
        <v>0</v>
      </c>
      <c r="AH215">
        <v>139</v>
      </c>
      <c r="AI215" t="s">
        <v>80</v>
      </c>
      <c r="AJ215" t="s">
        <v>81</v>
      </c>
      <c r="AK215" t="s">
        <v>4</v>
      </c>
      <c r="AL215" t="s">
        <v>1024</v>
      </c>
      <c r="AM215" s="314">
        <v>0</v>
      </c>
      <c r="AN215" s="314">
        <v>4795067.9293905115</v>
      </c>
      <c r="AO215" s="314">
        <v>0</v>
      </c>
      <c r="AP215" s="314">
        <v>0</v>
      </c>
      <c r="AQ215" s="314">
        <v>0</v>
      </c>
      <c r="AR215" s="314">
        <v>956.54818346177331</v>
      </c>
      <c r="AS215" s="314">
        <v>0</v>
      </c>
      <c r="AT215" s="314">
        <v>0</v>
      </c>
      <c r="AU215" s="314">
        <v>0</v>
      </c>
      <c r="AV215" s="314">
        <v>-45607.440724075874</v>
      </c>
      <c r="AW215" s="314">
        <v>0</v>
      </c>
      <c r="AX215">
        <v>0</v>
      </c>
    </row>
    <row r="216" spans="1:50" x14ac:dyDescent="0.35">
      <c r="A216">
        <v>140</v>
      </c>
      <c r="B216" t="s">
        <v>80</v>
      </c>
      <c r="C216" t="s">
        <v>81</v>
      </c>
      <c r="D216" t="s">
        <v>4</v>
      </c>
      <c r="E216" t="s">
        <v>1025</v>
      </c>
      <c r="F216">
        <v>0</v>
      </c>
      <c r="G216">
        <v>0</v>
      </c>
      <c r="H216">
        <v>40000</v>
      </c>
      <c r="I216">
        <v>0</v>
      </c>
      <c r="J216" s="600">
        <v>40000</v>
      </c>
      <c r="K216" s="7">
        <f t="shared" si="41"/>
        <v>15</v>
      </c>
      <c r="L216" s="7">
        <f t="shared" si="42"/>
        <v>0</v>
      </c>
      <c r="M216" s="243">
        <f t="shared" si="43"/>
        <v>0</v>
      </c>
      <c r="N216" s="243">
        <f>INDEX($AN$4:$AN21112,MATCH($A216,$AH$4:$AH$2000,0))</f>
        <v>0</v>
      </c>
      <c r="O216" s="243">
        <f t="shared" si="48"/>
        <v>1680857.4324086485</v>
      </c>
      <c r="P216" s="243">
        <f t="shared" si="44"/>
        <v>0</v>
      </c>
      <c r="Q216" s="243">
        <f t="shared" si="45"/>
        <v>0</v>
      </c>
      <c r="R216" s="243">
        <f t="shared" si="46"/>
        <v>0</v>
      </c>
      <c r="S216" s="243">
        <f t="shared" si="49"/>
        <v>-33962.719344180427</v>
      </c>
      <c r="T216" s="243">
        <f t="shared" si="47"/>
        <v>0</v>
      </c>
      <c r="AA216" s="6">
        <v>613</v>
      </c>
      <c r="AB216" t="s">
        <v>0</v>
      </c>
      <c r="AC216" t="s">
        <v>1933</v>
      </c>
      <c r="AD216" t="s">
        <v>7</v>
      </c>
      <c r="AE216" t="s">
        <v>1809</v>
      </c>
      <c r="AF216">
        <v>25</v>
      </c>
      <c r="AG216">
        <v>0</v>
      </c>
      <c r="AH216">
        <v>140</v>
      </c>
      <c r="AI216" t="s">
        <v>80</v>
      </c>
      <c r="AJ216" t="s">
        <v>81</v>
      </c>
      <c r="AK216" t="s">
        <v>4</v>
      </c>
      <c r="AL216" t="s">
        <v>1025</v>
      </c>
      <c r="AM216" s="314">
        <v>0</v>
      </c>
      <c r="AN216" s="314">
        <v>0</v>
      </c>
      <c r="AO216" s="314">
        <v>1680857.4324086485</v>
      </c>
      <c r="AP216" s="314">
        <v>0</v>
      </c>
      <c r="AQ216" s="314">
        <v>0</v>
      </c>
      <c r="AR216" s="314">
        <v>0</v>
      </c>
      <c r="AS216" s="314">
        <v>712.31748544373261</v>
      </c>
      <c r="AT216" s="314">
        <v>0</v>
      </c>
      <c r="AU216" s="314">
        <v>0</v>
      </c>
      <c r="AV216" s="314">
        <v>0</v>
      </c>
      <c r="AW216" s="314">
        <v>-33962.719344180427</v>
      </c>
      <c r="AX216">
        <v>0</v>
      </c>
    </row>
    <row r="217" spans="1:50" x14ac:dyDescent="0.35">
      <c r="A217">
        <v>523</v>
      </c>
      <c r="B217" t="s">
        <v>0</v>
      </c>
      <c r="C217" t="s">
        <v>20</v>
      </c>
      <c r="D217" t="s">
        <v>1</v>
      </c>
      <c r="E217" t="s">
        <v>1934</v>
      </c>
      <c r="F217">
        <v>90</v>
      </c>
      <c r="G217">
        <v>90</v>
      </c>
      <c r="H217">
        <v>90</v>
      </c>
      <c r="I217">
        <v>90</v>
      </c>
      <c r="J217" s="600">
        <v>360</v>
      </c>
      <c r="K217" s="7">
        <f t="shared" si="41"/>
        <v>10</v>
      </c>
      <c r="L217" s="7">
        <f t="shared" si="42"/>
        <v>0</v>
      </c>
      <c r="M217" s="243">
        <f t="shared" si="43"/>
        <v>77477.06700000001</v>
      </c>
      <c r="N217" s="243">
        <f>INDEX($AN$4:$AN21113,MATCH($A217,$AH$4:$AH$2000,0))</f>
        <v>77477.06700000001</v>
      </c>
      <c r="O217" s="243">
        <f t="shared" si="48"/>
        <v>77477.06700000001</v>
      </c>
      <c r="P217" s="243">
        <f t="shared" si="44"/>
        <v>77477.06700000001</v>
      </c>
      <c r="Q217" s="243">
        <f t="shared" si="45"/>
        <v>0</v>
      </c>
      <c r="R217" s="243">
        <f t="shared" si="46"/>
        <v>0</v>
      </c>
      <c r="S217" s="243">
        <f t="shared" si="49"/>
        <v>0</v>
      </c>
      <c r="T217" s="243">
        <f t="shared" si="47"/>
        <v>0</v>
      </c>
      <c r="AA217" s="6">
        <v>586</v>
      </c>
      <c r="AB217" t="s">
        <v>0</v>
      </c>
      <c r="AC217" t="s">
        <v>1933</v>
      </c>
      <c r="AD217" t="s">
        <v>7</v>
      </c>
      <c r="AE217" t="s">
        <v>1810</v>
      </c>
      <c r="AF217">
        <v>25</v>
      </c>
      <c r="AG217">
        <v>0</v>
      </c>
      <c r="AH217">
        <v>523</v>
      </c>
      <c r="AI217" t="s">
        <v>0</v>
      </c>
      <c r="AJ217" t="s">
        <v>20</v>
      </c>
      <c r="AK217" t="s">
        <v>1</v>
      </c>
      <c r="AL217" t="s">
        <v>1934</v>
      </c>
      <c r="AM217" s="314">
        <v>77477.06700000001</v>
      </c>
      <c r="AN217" s="314">
        <v>77477.06700000001</v>
      </c>
      <c r="AO217" s="314">
        <v>77477.06700000001</v>
      </c>
      <c r="AP217" s="314">
        <v>77477.06700000001</v>
      </c>
      <c r="AQ217" s="314">
        <v>8.3702699999999997</v>
      </c>
      <c r="AR217" s="314">
        <v>8.3702699999999997</v>
      </c>
      <c r="AS217" s="314">
        <v>8.3702699999999997</v>
      </c>
      <c r="AT217" s="314">
        <v>8.3702699999999997</v>
      </c>
      <c r="AU217" s="314">
        <v>0</v>
      </c>
      <c r="AV217" s="314">
        <v>0</v>
      </c>
      <c r="AW217" s="314">
        <v>0</v>
      </c>
      <c r="AX217">
        <v>0</v>
      </c>
    </row>
    <row r="218" spans="1:50" x14ac:dyDescent="0.35">
      <c r="A218">
        <v>524</v>
      </c>
      <c r="B218" t="s">
        <v>0</v>
      </c>
      <c r="C218" t="s">
        <v>20</v>
      </c>
      <c r="D218" t="s">
        <v>1</v>
      </c>
      <c r="E218" t="s">
        <v>1935</v>
      </c>
      <c r="F218">
        <v>1450</v>
      </c>
      <c r="G218">
        <v>1450</v>
      </c>
      <c r="H218">
        <v>1450</v>
      </c>
      <c r="I218">
        <v>1450</v>
      </c>
      <c r="J218" s="600">
        <v>5800</v>
      </c>
      <c r="K218" s="7">
        <f t="shared" si="41"/>
        <v>10</v>
      </c>
      <c r="L218" s="7">
        <f t="shared" si="42"/>
        <v>0</v>
      </c>
      <c r="M218" s="243">
        <f t="shared" si="43"/>
        <v>361785.58500000002</v>
      </c>
      <c r="N218" s="243">
        <f>INDEX($AN$4:$AN21114,MATCH($A218,$AH$4:$AH$2000,0))</f>
        <v>361785.58500000002</v>
      </c>
      <c r="O218" s="243">
        <f t="shared" si="48"/>
        <v>361785.58500000002</v>
      </c>
      <c r="P218" s="243">
        <f t="shared" si="44"/>
        <v>361785.58500000002</v>
      </c>
      <c r="Q218" s="243">
        <f t="shared" si="45"/>
        <v>80370.165000000008</v>
      </c>
      <c r="R218" s="243">
        <f t="shared" si="46"/>
        <v>80370.165000000008</v>
      </c>
      <c r="S218" s="243">
        <f t="shared" si="49"/>
        <v>80370.165000000008</v>
      </c>
      <c r="T218" s="243">
        <f t="shared" si="47"/>
        <v>80370.165000000008</v>
      </c>
      <c r="AA218" s="6">
        <v>568</v>
      </c>
      <c r="AB218" t="s">
        <v>0</v>
      </c>
      <c r="AC218" t="s">
        <v>1933</v>
      </c>
      <c r="AD218" t="s">
        <v>7</v>
      </c>
      <c r="AE218" t="s">
        <v>1811</v>
      </c>
      <c r="AF218">
        <v>20</v>
      </c>
      <c r="AG218">
        <v>0</v>
      </c>
      <c r="AH218">
        <v>524</v>
      </c>
      <c r="AI218" t="s">
        <v>0</v>
      </c>
      <c r="AJ218" t="s">
        <v>20</v>
      </c>
      <c r="AK218" t="s">
        <v>1</v>
      </c>
      <c r="AL218" t="s">
        <v>1935</v>
      </c>
      <c r="AM218" s="314">
        <v>361785.58500000002</v>
      </c>
      <c r="AN218" s="314">
        <v>361785.58500000002</v>
      </c>
      <c r="AO218" s="314">
        <v>361785.58500000002</v>
      </c>
      <c r="AP218" s="314">
        <v>361785.58500000002</v>
      </c>
      <c r="AQ218" s="314">
        <v>141.41415000000001</v>
      </c>
      <c r="AR218" s="314">
        <v>141.41415000000001</v>
      </c>
      <c r="AS218" s="314">
        <v>141.41415000000001</v>
      </c>
      <c r="AT218" s="314">
        <v>141.41415000000001</v>
      </c>
      <c r="AU218" s="314">
        <v>80370.165000000008</v>
      </c>
      <c r="AV218" s="314">
        <v>80370.165000000008</v>
      </c>
      <c r="AW218" s="314">
        <v>80370.165000000008</v>
      </c>
      <c r="AX218">
        <v>80370.165000000008</v>
      </c>
    </row>
    <row r="219" spans="1:50" x14ac:dyDescent="0.35">
      <c r="A219">
        <v>839</v>
      </c>
      <c r="B219" t="s">
        <v>0</v>
      </c>
      <c r="C219" t="s">
        <v>8</v>
      </c>
      <c r="D219" t="s">
        <v>5</v>
      </c>
      <c r="E219" t="s">
        <v>6</v>
      </c>
      <c r="F219">
        <v>2708</v>
      </c>
      <c r="G219">
        <v>2708</v>
      </c>
      <c r="H219">
        <v>4199</v>
      </c>
      <c r="I219">
        <v>4199</v>
      </c>
      <c r="J219" s="600">
        <v>13814</v>
      </c>
      <c r="K219" s="7">
        <f t="shared" si="41"/>
        <v>7</v>
      </c>
      <c r="L219" s="7">
        <f t="shared" si="42"/>
        <v>0</v>
      </c>
      <c r="M219" s="243">
        <f t="shared" si="43"/>
        <v>327559.67999999999</v>
      </c>
      <c r="N219" s="243">
        <f>INDEX($AN$4:$AN21115,MATCH($A219,$AH$4:$AH$2000,0))</f>
        <v>327559.67999999999</v>
      </c>
      <c r="O219" s="243">
        <f t="shared" si="48"/>
        <v>507911.04</v>
      </c>
      <c r="P219" s="243">
        <f t="shared" si="44"/>
        <v>507911.04</v>
      </c>
      <c r="Q219" s="243">
        <f t="shared" si="45"/>
        <v>0</v>
      </c>
      <c r="R219" s="243">
        <f t="shared" si="46"/>
        <v>0</v>
      </c>
      <c r="S219" s="243">
        <f t="shared" si="49"/>
        <v>0</v>
      </c>
      <c r="T219" s="243">
        <f t="shared" si="47"/>
        <v>0</v>
      </c>
      <c r="AA219" s="6">
        <v>608</v>
      </c>
      <c r="AB219" t="s">
        <v>0</v>
      </c>
      <c r="AC219" t="s">
        <v>1933</v>
      </c>
      <c r="AD219" t="s">
        <v>7</v>
      </c>
      <c r="AE219" t="s">
        <v>1812</v>
      </c>
      <c r="AF219">
        <v>5</v>
      </c>
      <c r="AG219">
        <v>0</v>
      </c>
      <c r="AH219">
        <v>839</v>
      </c>
      <c r="AI219" t="s">
        <v>0</v>
      </c>
      <c r="AJ219" t="s">
        <v>8</v>
      </c>
      <c r="AK219" t="s">
        <v>5</v>
      </c>
      <c r="AL219" t="s">
        <v>6</v>
      </c>
      <c r="AM219" s="314">
        <v>327559.67999999999</v>
      </c>
      <c r="AN219" s="314">
        <v>327559.67999999999</v>
      </c>
      <c r="AO219" s="314">
        <v>507911.04</v>
      </c>
      <c r="AP219" s="314">
        <v>507911.04</v>
      </c>
      <c r="AQ219" s="314">
        <v>59.828252054794518</v>
      </c>
      <c r="AR219" s="314">
        <v>59.828252054794518</v>
      </c>
      <c r="AS219" s="314">
        <v>92.76913972602739</v>
      </c>
      <c r="AT219" s="314">
        <v>92.76913972602739</v>
      </c>
      <c r="AU219" s="314">
        <v>0</v>
      </c>
      <c r="AV219" s="314">
        <v>0</v>
      </c>
      <c r="AW219" s="314">
        <v>0</v>
      </c>
      <c r="AX219">
        <v>0</v>
      </c>
    </row>
    <row r="220" spans="1:50" x14ac:dyDescent="0.35">
      <c r="A220">
        <v>562</v>
      </c>
      <c r="B220" t="s">
        <v>0</v>
      </c>
      <c r="C220" t="s">
        <v>1933</v>
      </c>
      <c r="D220" t="s">
        <v>7</v>
      </c>
      <c r="E220" t="s">
        <v>1814</v>
      </c>
      <c r="F220">
        <v>31.297134999999997</v>
      </c>
      <c r="G220">
        <v>31.286471000000002</v>
      </c>
      <c r="H220">
        <v>28.267399999999999</v>
      </c>
      <c r="I220">
        <v>31.30566</v>
      </c>
      <c r="J220" s="600">
        <v>121</v>
      </c>
      <c r="K220" s="7">
        <f t="shared" si="41"/>
        <v>15</v>
      </c>
      <c r="L220" s="7">
        <f t="shared" si="42"/>
        <v>0</v>
      </c>
      <c r="M220" s="243">
        <f t="shared" si="43"/>
        <v>54195.750000000007</v>
      </c>
      <c r="N220" s="243">
        <f>INDEX($AN$4:$AN21116,MATCH($A220,$AH$4:$AH$2000,0))</f>
        <v>54195.750000000007</v>
      </c>
      <c r="O220" s="243">
        <f t="shared" si="48"/>
        <v>48951.000000000007</v>
      </c>
      <c r="P220" s="243">
        <f t="shared" si="44"/>
        <v>54195.750000000007</v>
      </c>
      <c r="Q220" s="243">
        <f t="shared" si="45"/>
        <v>0</v>
      </c>
      <c r="R220" s="243">
        <f t="shared" si="46"/>
        <v>0</v>
      </c>
      <c r="S220" s="243">
        <f t="shared" si="49"/>
        <v>0</v>
      </c>
      <c r="T220" s="243">
        <f t="shared" si="47"/>
        <v>0</v>
      </c>
      <c r="AA220" s="6">
        <v>567</v>
      </c>
      <c r="AB220" t="s">
        <v>0</v>
      </c>
      <c r="AC220" t="s">
        <v>1933</v>
      </c>
      <c r="AD220" t="s">
        <v>7</v>
      </c>
      <c r="AE220" t="s">
        <v>1070</v>
      </c>
      <c r="AF220">
        <v>25</v>
      </c>
      <c r="AG220">
        <v>0</v>
      </c>
      <c r="AH220">
        <v>562</v>
      </c>
      <c r="AI220" t="s">
        <v>0</v>
      </c>
      <c r="AJ220" t="s">
        <v>1933</v>
      </c>
      <c r="AK220" t="s">
        <v>7</v>
      </c>
      <c r="AL220" t="s">
        <v>1814</v>
      </c>
      <c r="AM220" s="314">
        <v>54195.750000000007</v>
      </c>
      <c r="AN220" s="314">
        <v>54195.750000000007</v>
      </c>
      <c r="AO220" s="314">
        <v>48951.000000000007</v>
      </c>
      <c r="AP220" s="314">
        <v>54195.750000000007</v>
      </c>
      <c r="AQ220" s="314">
        <v>10.615618243833572</v>
      </c>
      <c r="AR220" s="314">
        <v>10.615618243833572</v>
      </c>
      <c r="AS220" s="314">
        <v>9.5883003492690335</v>
      </c>
      <c r="AT220" s="314">
        <v>10.615618243833572</v>
      </c>
      <c r="AU220" s="314">
        <v>0</v>
      </c>
      <c r="AV220" s="314">
        <v>0</v>
      </c>
      <c r="AW220" s="314">
        <v>0</v>
      </c>
      <c r="AX220">
        <v>0</v>
      </c>
    </row>
    <row r="221" spans="1:50" x14ac:dyDescent="0.35">
      <c r="A221">
        <v>564</v>
      </c>
      <c r="B221" t="s">
        <v>0</v>
      </c>
      <c r="C221" t="s">
        <v>1933</v>
      </c>
      <c r="D221" t="s">
        <v>7</v>
      </c>
      <c r="E221" t="s">
        <v>1815</v>
      </c>
      <c r="F221">
        <v>58.555929999999996</v>
      </c>
      <c r="G221">
        <v>59.545219000000003</v>
      </c>
      <c r="H221">
        <v>54.515699999999995</v>
      </c>
      <c r="I221">
        <v>58.57188</v>
      </c>
      <c r="J221" s="600">
        <v>229</v>
      </c>
      <c r="K221" s="7">
        <f t="shared" si="41"/>
        <v>15</v>
      </c>
      <c r="L221" s="7">
        <f t="shared" si="42"/>
        <v>0</v>
      </c>
      <c r="M221" s="243">
        <f t="shared" si="43"/>
        <v>141592.5</v>
      </c>
      <c r="N221" s="243">
        <f>INDEX($AN$4:$AN21117,MATCH($A221,$AH$4:$AH$2000,0))</f>
        <v>144033.75</v>
      </c>
      <c r="O221" s="243">
        <f t="shared" si="48"/>
        <v>131827.5</v>
      </c>
      <c r="P221" s="243">
        <f t="shared" si="44"/>
        <v>141592.5</v>
      </c>
      <c r="Q221" s="243">
        <f t="shared" si="45"/>
        <v>0</v>
      </c>
      <c r="R221" s="243">
        <f t="shared" si="46"/>
        <v>0</v>
      </c>
      <c r="S221" s="243">
        <f t="shared" si="49"/>
        <v>0</v>
      </c>
      <c r="T221" s="243">
        <f t="shared" si="47"/>
        <v>0</v>
      </c>
      <c r="AA221" s="6">
        <v>609</v>
      </c>
      <c r="AB221" t="s">
        <v>0</v>
      </c>
      <c r="AC221" t="s">
        <v>1933</v>
      </c>
      <c r="AD221" t="s">
        <v>7</v>
      </c>
      <c r="AE221" t="s">
        <v>1813</v>
      </c>
      <c r="AF221">
        <v>5</v>
      </c>
      <c r="AG221">
        <v>0</v>
      </c>
      <c r="AH221">
        <v>564</v>
      </c>
      <c r="AI221" t="s">
        <v>0</v>
      </c>
      <c r="AJ221" t="s">
        <v>1933</v>
      </c>
      <c r="AK221" t="s">
        <v>7</v>
      </c>
      <c r="AL221" t="s">
        <v>1815</v>
      </c>
      <c r="AM221" s="314">
        <v>141592.5</v>
      </c>
      <c r="AN221" s="314">
        <v>144033.75</v>
      </c>
      <c r="AO221" s="314">
        <v>131827.5</v>
      </c>
      <c r="AP221" s="314">
        <v>141592.5</v>
      </c>
      <c r="AQ221" s="314">
        <v>0</v>
      </c>
      <c r="AR221" s="314">
        <v>0</v>
      </c>
      <c r="AS221" s="314">
        <v>0</v>
      </c>
      <c r="AT221" s="314">
        <v>0</v>
      </c>
      <c r="AU221" s="314">
        <v>0</v>
      </c>
      <c r="AV221" s="314">
        <v>0</v>
      </c>
      <c r="AW221" s="314">
        <v>0</v>
      </c>
      <c r="AX221">
        <v>0</v>
      </c>
    </row>
    <row r="222" spans="1:50" x14ac:dyDescent="0.35">
      <c r="A222">
        <v>563</v>
      </c>
      <c r="B222" t="s">
        <v>0</v>
      </c>
      <c r="C222" t="s">
        <v>1933</v>
      </c>
      <c r="D222" t="s">
        <v>7</v>
      </c>
      <c r="E222" t="s">
        <v>1816</v>
      </c>
      <c r="F222">
        <v>220.08953</v>
      </c>
      <c r="G222">
        <v>221.02377900000002</v>
      </c>
      <c r="H222">
        <v>203.92909999999998</v>
      </c>
      <c r="I222">
        <v>219.13962000000001</v>
      </c>
      <c r="J222" s="600">
        <v>856</v>
      </c>
      <c r="K222" s="7">
        <f t="shared" si="41"/>
        <v>15</v>
      </c>
      <c r="L222" s="7">
        <f t="shared" si="42"/>
        <v>0</v>
      </c>
      <c r="M222" s="243">
        <f t="shared" si="43"/>
        <v>604296</v>
      </c>
      <c r="N222" s="243">
        <f>INDEX($AN$4:$AN21118,MATCH($A222,$AH$4:$AH$2000,0))</f>
        <v>607068</v>
      </c>
      <c r="O222" s="243">
        <f t="shared" si="48"/>
        <v>559944</v>
      </c>
      <c r="P222" s="243">
        <f t="shared" si="44"/>
        <v>601524</v>
      </c>
      <c r="Q222" s="243">
        <f t="shared" si="45"/>
        <v>0</v>
      </c>
      <c r="R222" s="243">
        <f t="shared" si="46"/>
        <v>0</v>
      </c>
      <c r="S222" s="243">
        <f t="shared" si="49"/>
        <v>0</v>
      </c>
      <c r="T222" s="243">
        <f t="shared" si="47"/>
        <v>0</v>
      </c>
      <c r="AA222" s="6">
        <v>831</v>
      </c>
      <c r="AB222" t="s">
        <v>0</v>
      </c>
      <c r="AC222" t="s">
        <v>8</v>
      </c>
      <c r="AD222" t="s">
        <v>4</v>
      </c>
      <c r="AE222" t="s">
        <v>9</v>
      </c>
      <c r="AF222">
        <v>10</v>
      </c>
      <c r="AG222">
        <v>6</v>
      </c>
      <c r="AH222">
        <v>563</v>
      </c>
      <c r="AI222" t="s">
        <v>0</v>
      </c>
      <c r="AJ222" t="s">
        <v>1933</v>
      </c>
      <c r="AK222" t="s">
        <v>7</v>
      </c>
      <c r="AL222" t="s">
        <v>1816</v>
      </c>
      <c r="AM222" s="314">
        <v>604296</v>
      </c>
      <c r="AN222" s="314">
        <v>607068</v>
      </c>
      <c r="AO222" s="314">
        <v>559944</v>
      </c>
      <c r="AP222" s="314">
        <v>601524</v>
      </c>
      <c r="AQ222" s="314">
        <v>74.651767005023189</v>
      </c>
      <c r="AR222" s="314">
        <v>74.994206303211371</v>
      </c>
      <c r="AS222" s="314">
        <v>69.172738234012314</v>
      </c>
      <c r="AT222" s="314">
        <v>74.309327706835006</v>
      </c>
      <c r="AU222" s="314">
        <v>0</v>
      </c>
      <c r="AV222" s="314">
        <v>0</v>
      </c>
      <c r="AW222" s="314">
        <v>0</v>
      </c>
      <c r="AX222">
        <v>0</v>
      </c>
    </row>
    <row r="223" spans="1:50" x14ac:dyDescent="0.35">
      <c r="A223">
        <v>595</v>
      </c>
      <c r="B223" t="s">
        <v>0</v>
      </c>
      <c r="C223" t="s">
        <v>1933</v>
      </c>
      <c r="D223" t="s">
        <v>7</v>
      </c>
      <c r="E223" t="s">
        <v>1817</v>
      </c>
      <c r="F223">
        <v>317.00968999999998</v>
      </c>
      <c r="G223">
        <v>317.91091500000005</v>
      </c>
      <c r="H223">
        <v>293.77904999999998</v>
      </c>
      <c r="I223">
        <v>315.07632000000001</v>
      </c>
      <c r="J223" s="600">
        <v>1232</v>
      </c>
      <c r="K223" s="7">
        <f t="shared" si="41"/>
        <v>20</v>
      </c>
      <c r="L223" s="7">
        <f t="shared" si="42"/>
        <v>0</v>
      </c>
      <c r="M223" s="243">
        <f t="shared" si="43"/>
        <v>222940</v>
      </c>
      <c r="N223" s="243">
        <f>INDEX($AN$4:$AN21119,MATCH($A223,$AH$4:$AH$2000,0))</f>
        <v>223650</v>
      </c>
      <c r="O223" s="243">
        <f t="shared" si="48"/>
        <v>206610</v>
      </c>
      <c r="P223" s="243">
        <f t="shared" si="44"/>
        <v>221520</v>
      </c>
      <c r="Q223" s="243">
        <f t="shared" si="45"/>
        <v>-4478.3182399999996</v>
      </c>
      <c r="R223" s="243">
        <f t="shared" si="46"/>
        <v>-4492.5803999999998</v>
      </c>
      <c r="S223" s="243">
        <f t="shared" si="49"/>
        <v>-4150.28856</v>
      </c>
      <c r="T223" s="243">
        <f t="shared" si="47"/>
        <v>-4449.7939200000001</v>
      </c>
      <c r="AA223" s="6">
        <v>832</v>
      </c>
      <c r="AB223" t="s">
        <v>0</v>
      </c>
      <c r="AC223" t="s">
        <v>8</v>
      </c>
      <c r="AD223" t="s">
        <v>4</v>
      </c>
      <c r="AE223" t="s">
        <v>10</v>
      </c>
      <c r="AF223">
        <v>10</v>
      </c>
      <c r="AG223">
        <v>6</v>
      </c>
      <c r="AH223">
        <v>595</v>
      </c>
      <c r="AI223" t="s">
        <v>0</v>
      </c>
      <c r="AJ223" t="s">
        <v>1933</v>
      </c>
      <c r="AK223" t="s">
        <v>7</v>
      </c>
      <c r="AL223" t="s">
        <v>1817</v>
      </c>
      <c r="AM223" s="314">
        <v>222940</v>
      </c>
      <c r="AN223" s="314">
        <v>223650</v>
      </c>
      <c r="AO223" s="314">
        <v>206610</v>
      </c>
      <c r="AP223" s="314">
        <v>221520</v>
      </c>
      <c r="AQ223" s="314">
        <v>70.490849315068488</v>
      </c>
      <c r="AR223" s="314">
        <v>70.715342465753423</v>
      </c>
      <c r="AS223" s="314">
        <v>65.327506849315071</v>
      </c>
      <c r="AT223" s="314">
        <v>70.041863013698631</v>
      </c>
      <c r="AU223" s="314">
        <v>-4478.3182399999996</v>
      </c>
      <c r="AV223" s="314">
        <v>-4492.5803999999998</v>
      </c>
      <c r="AW223" s="314">
        <v>-4150.28856</v>
      </c>
      <c r="AX223">
        <v>-4449.7939200000001</v>
      </c>
    </row>
    <row r="224" spans="1:50" x14ac:dyDescent="0.35">
      <c r="A224">
        <v>588</v>
      </c>
      <c r="B224" t="s">
        <v>0</v>
      </c>
      <c r="C224" t="s">
        <v>1933</v>
      </c>
      <c r="D224" t="s">
        <v>7</v>
      </c>
      <c r="E224" t="s">
        <v>1783</v>
      </c>
      <c r="F224">
        <v>18.172529999999998</v>
      </c>
      <c r="G224">
        <v>18.166338</v>
      </c>
      <c r="H224">
        <v>16.152799999999999</v>
      </c>
      <c r="I224">
        <v>18.177479999999999</v>
      </c>
      <c r="J224" s="600">
        <v>70</v>
      </c>
      <c r="K224" s="7">
        <f t="shared" si="41"/>
        <v>20</v>
      </c>
      <c r="L224" s="7">
        <f t="shared" si="42"/>
        <v>0</v>
      </c>
      <c r="M224" s="243">
        <f t="shared" si="43"/>
        <v>19401.663050694413</v>
      </c>
      <c r="N224" s="243">
        <f>INDEX($AN$4:$AN21120,MATCH($A224,$AH$4:$AH$2000,0))</f>
        <v>19401.663050694413</v>
      </c>
      <c r="O224" s="243">
        <f t="shared" ref="O224:O243" si="50">INDEX($AO$4:$AO$2000,MATCH($A224,$AH$4:$AH$2000,0))</f>
        <v>17245.922711728366</v>
      </c>
      <c r="P224" s="243">
        <f t="shared" si="44"/>
        <v>19401.663050694413</v>
      </c>
      <c r="Q224" s="243">
        <f t="shared" si="45"/>
        <v>0</v>
      </c>
      <c r="R224" s="243">
        <f t="shared" si="46"/>
        <v>0</v>
      </c>
      <c r="S224" s="243">
        <f t="shared" ref="S224:S243" si="51">INDEX($AW$4:$AW$2000,MATCH($A224,$AH$4:$AH$2000,0))</f>
        <v>0</v>
      </c>
      <c r="T224" s="243">
        <f t="shared" si="47"/>
        <v>0</v>
      </c>
      <c r="AA224" s="6">
        <v>833</v>
      </c>
      <c r="AB224" t="s">
        <v>0</v>
      </c>
      <c r="AC224" t="s">
        <v>8</v>
      </c>
      <c r="AD224" t="s">
        <v>4</v>
      </c>
      <c r="AE224" t="s">
        <v>11</v>
      </c>
      <c r="AF224">
        <v>10</v>
      </c>
      <c r="AG224">
        <v>6</v>
      </c>
      <c r="AH224">
        <v>588</v>
      </c>
      <c r="AI224" t="s">
        <v>0</v>
      </c>
      <c r="AJ224" t="s">
        <v>1933</v>
      </c>
      <c r="AK224" t="s">
        <v>7</v>
      </c>
      <c r="AL224" t="s">
        <v>1783</v>
      </c>
      <c r="AM224" s="314">
        <v>19401.663050694413</v>
      </c>
      <c r="AN224" s="314">
        <v>19401.663050694413</v>
      </c>
      <c r="AO224" s="314">
        <v>17245.922711728366</v>
      </c>
      <c r="AP224" s="314">
        <v>19401.663050694413</v>
      </c>
      <c r="AQ224" s="314">
        <v>0</v>
      </c>
      <c r="AR224" s="314">
        <v>0</v>
      </c>
      <c r="AS224" s="314">
        <v>0</v>
      </c>
      <c r="AT224" s="314">
        <v>0</v>
      </c>
      <c r="AU224" s="314">
        <v>0</v>
      </c>
      <c r="AV224" s="314">
        <v>0</v>
      </c>
      <c r="AW224" s="314">
        <v>0</v>
      </c>
      <c r="AX224">
        <v>0</v>
      </c>
    </row>
    <row r="225" spans="1:50" x14ac:dyDescent="0.35">
      <c r="A225">
        <v>590</v>
      </c>
      <c r="B225" t="s">
        <v>0</v>
      </c>
      <c r="C225" t="s">
        <v>1933</v>
      </c>
      <c r="D225" t="s">
        <v>7</v>
      </c>
      <c r="E225" t="s">
        <v>1784</v>
      </c>
      <c r="F225">
        <v>55.527175</v>
      </c>
      <c r="G225">
        <v>55.508255000000005</v>
      </c>
      <c r="H225">
        <v>51.487049999999996</v>
      </c>
      <c r="I225">
        <v>54.532440000000001</v>
      </c>
      <c r="J225" s="600">
        <v>215</v>
      </c>
      <c r="K225" s="7">
        <f t="shared" si="41"/>
        <v>20</v>
      </c>
      <c r="L225" s="7">
        <f t="shared" si="42"/>
        <v>0</v>
      </c>
      <c r="M225" s="243">
        <f t="shared" si="43"/>
        <v>70749.699321566266</v>
      </c>
      <c r="N225" s="243">
        <f>INDEX($AN$4:$AN21121,MATCH($A225,$AH$4:$AH$2000,0))</f>
        <v>70749.699321566266</v>
      </c>
      <c r="O225" s="243">
        <f t="shared" si="50"/>
        <v>65604.266643634168</v>
      </c>
      <c r="P225" s="243">
        <f t="shared" si="44"/>
        <v>69463.341152083245</v>
      </c>
      <c r="Q225" s="243">
        <f t="shared" si="45"/>
        <v>0</v>
      </c>
      <c r="R225" s="243">
        <f t="shared" si="46"/>
        <v>0</v>
      </c>
      <c r="S225" s="243">
        <f t="shared" si="51"/>
        <v>0</v>
      </c>
      <c r="T225" s="243">
        <f t="shared" si="47"/>
        <v>0</v>
      </c>
      <c r="AA225" s="6">
        <v>835</v>
      </c>
      <c r="AB225" t="s">
        <v>0</v>
      </c>
      <c r="AC225" t="s">
        <v>8</v>
      </c>
      <c r="AD225" t="s">
        <v>4</v>
      </c>
      <c r="AE225" t="s">
        <v>12</v>
      </c>
      <c r="AF225">
        <v>10</v>
      </c>
      <c r="AG225">
        <v>0</v>
      </c>
      <c r="AH225">
        <v>590</v>
      </c>
      <c r="AI225" t="s">
        <v>0</v>
      </c>
      <c r="AJ225" t="s">
        <v>1933</v>
      </c>
      <c r="AK225" t="s">
        <v>7</v>
      </c>
      <c r="AL225" t="s">
        <v>1784</v>
      </c>
      <c r="AM225" s="314">
        <v>70749.699321566266</v>
      </c>
      <c r="AN225" s="314">
        <v>70749.699321566266</v>
      </c>
      <c r="AO225" s="314">
        <v>65604.266643634168</v>
      </c>
      <c r="AP225" s="314">
        <v>69463.341152083245</v>
      </c>
      <c r="AQ225" s="314">
        <v>10.68144</v>
      </c>
      <c r="AR225" s="314">
        <v>10.68144</v>
      </c>
      <c r="AS225" s="314">
        <v>9.9046080000000014</v>
      </c>
      <c r="AT225" s="314">
        <v>10.487232000000001</v>
      </c>
      <c r="AU225" s="314">
        <v>0</v>
      </c>
      <c r="AV225" s="314">
        <v>0</v>
      </c>
      <c r="AW225" s="314">
        <v>0</v>
      </c>
      <c r="AX225">
        <v>0</v>
      </c>
    </row>
    <row r="226" spans="1:50" x14ac:dyDescent="0.35">
      <c r="A226">
        <v>592</v>
      </c>
      <c r="B226" t="s">
        <v>0</v>
      </c>
      <c r="C226" t="s">
        <v>1933</v>
      </c>
      <c r="D226" t="s">
        <v>7</v>
      </c>
      <c r="E226" t="s">
        <v>1785</v>
      </c>
      <c r="F226">
        <v>45</v>
      </c>
      <c r="G226">
        <v>180</v>
      </c>
      <c r="H226">
        <v>42</v>
      </c>
      <c r="I226">
        <v>45</v>
      </c>
      <c r="J226" s="600">
        <v>312</v>
      </c>
      <c r="K226" s="7">
        <f t="shared" si="41"/>
        <v>20</v>
      </c>
      <c r="L226" s="7">
        <f t="shared" si="42"/>
        <v>0</v>
      </c>
      <c r="M226" s="243">
        <f t="shared" si="43"/>
        <v>7595.2047931443622</v>
      </c>
      <c r="N226" s="243">
        <f>INDEX($AN$4:$AN21122,MATCH($A226,$AH$4:$AH$2000,0))</f>
        <v>30380.819172577449</v>
      </c>
      <c r="O226" s="243">
        <f t="shared" si="50"/>
        <v>7088.8578069347386</v>
      </c>
      <c r="P226" s="243">
        <f t="shared" si="44"/>
        <v>7595.2047931443622</v>
      </c>
      <c r="Q226" s="243">
        <f t="shared" si="45"/>
        <v>8255.4779169413305</v>
      </c>
      <c r="R226" s="243">
        <f t="shared" si="46"/>
        <v>33021.911667765322</v>
      </c>
      <c r="S226" s="243">
        <f t="shared" si="51"/>
        <v>7705.112722478576</v>
      </c>
      <c r="T226" s="243">
        <f t="shared" si="47"/>
        <v>8255.4779169413305</v>
      </c>
      <c r="AA226" s="6">
        <v>834</v>
      </c>
      <c r="AB226" t="s">
        <v>0</v>
      </c>
      <c r="AC226" t="s">
        <v>8</v>
      </c>
      <c r="AD226" t="s">
        <v>4</v>
      </c>
      <c r="AE226" t="s">
        <v>13</v>
      </c>
      <c r="AF226">
        <v>10</v>
      </c>
      <c r="AG226">
        <v>0</v>
      </c>
      <c r="AH226">
        <v>592</v>
      </c>
      <c r="AI226" t="s">
        <v>0</v>
      </c>
      <c r="AJ226" t="s">
        <v>1933</v>
      </c>
      <c r="AK226" t="s">
        <v>7</v>
      </c>
      <c r="AL226" t="s">
        <v>1785</v>
      </c>
      <c r="AM226" s="314">
        <v>7595.2047931443622</v>
      </c>
      <c r="AN226" s="314">
        <v>30380.819172577449</v>
      </c>
      <c r="AO226" s="314">
        <v>7088.8578069347386</v>
      </c>
      <c r="AP226" s="314">
        <v>7595.2047931443622</v>
      </c>
      <c r="AQ226" s="314">
        <v>0</v>
      </c>
      <c r="AR226" s="314">
        <v>0</v>
      </c>
      <c r="AS226" s="314">
        <v>0</v>
      </c>
      <c r="AT226" s="314">
        <v>0</v>
      </c>
      <c r="AU226" s="314">
        <v>8255.4779169413305</v>
      </c>
      <c r="AV226" s="314">
        <v>33021.911667765322</v>
      </c>
      <c r="AW226" s="314">
        <v>7705.112722478576</v>
      </c>
      <c r="AX226">
        <v>8255.4779169413305</v>
      </c>
    </row>
    <row r="227" spans="1:50" x14ac:dyDescent="0.35">
      <c r="A227">
        <v>594</v>
      </c>
      <c r="B227" t="s">
        <v>0</v>
      </c>
      <c r="C227" t="s">
        <v>1933</v>
      </c>
      <c r="D227" t="s">
        <v>7</v>
      </c>
      <c r="E227" t="s">
        <v>1786</v>
      </c>
      <c r="F227">
        <v>179</v>
      </c>
      <c r="G227">
        <v>180</v>
      </c>
      <c r="H227">
        <v>166</v>
      </c>
      <c r="I227">
        <v>178</v>
      </c>
      <c r="J227" s="600">
        <v>703</v>
      </c>
      <c r="K227" s="7">
        <f t="shared" si="41"/>
        <v>20</v>
      </c>
      <c r="L227" s="7">
        <f t="shared" si="42"/>
        <v>0</v>
      </c>
      <c r="M227" s="243">
        <f t="shared" si="43"/>
        <v>67531.388843840905</v>
      </c>
      <c r="N227" s="243">
        <f>INDEX($AN$4:$AN21123,MATCH($A227,$AH$4:$AH$2000,0))</f>
        <v>67908.659172577449</v>
      </c>
      <c r="O227" s="243">
        <f t="shared" si="50"/>
        <v>62626.874570265871</v>
      </c>
      <c r="P227" s="243">
        <f t="shared" si="44"/>
        <v>67154.118515104361</v>
      </c>
      <c r="Q227" s="243">
        <f t="shared" si="45"/>
        <v>32838.456602944403</v>
      </c>
      <c r="R227" s="243">
        <f t="shared" si="46"/>
        <v>33021.911667765322</v>
      </c>
      <c r="S227" s="243">
        <f t="shared" si="51"/>
        <v>30453.540760272466</v>
      </c>
      <c r="T227" s="243">
        <f t="shared" si="47"/>
        <v>32655.001538123488</v>
      </c>
      <c r="AA227" s="6">
        <v>836</v>
      </c>
      <c r="AB227" t="s">
        <v>0</v>
      </c>
      <c r="AC227" t="s">
        <v>8</v>
      </c>
      <c r="AD227" t="s">
        <v>4</v>
      </c>
      <c r="AE227" t="s">
        <v>14</v>
      </c>
      <c r="AF227">
        <v>10</v>
      </c>
      <c r="AG227">
        <v>0</v>
      </c>
      <c r="AH227">
        <v>594</v>
      </c>
      <c r="AI227" t="s">
        <v>0</v>
      </c>
      <c r="AJ227" t="s">
        <v>1933</v>
      </c>
      <c r="AK227" t="s">
        <v>7</v>
      </c>
      <c r="AL227" t="s">
        <v>1786</v>
      </c>
      <c r="AM227" s="314">
        <v>67531.388843840905</v>
      </c>
      <c r="AN227" s="314">
        <v>67908.659172577449</v>
      </c>
      <c r="AO227" s="314">
        <v>62626.874570265871</v>
      </c>
      <c r="AP227" s="314">
        <v>67154.118515104361</v>
      </c>
      <c r="AQ227" s="314">
        <v>34.763232000000002</v>
      </c>
      <c r="AR227" s="314">
        <v>34.957440000000005</v>
      </c>
      <c r="AS227" s="314">
        <v>32.238528000000002</v>
      </c>
      <c r="AT227" s="314">
        <v>34.569024000000006</v>
      </c>
      <c r="AU227" s="314">
        <v>32838.456602944403</v>
      </c>
      <c r="AV227" s="314">
        <v>33021.911667765322</v>
      </c>
      <c r="AW227" s="314">
        <v>30453.540760272466</v>
      </c>
      <c r="AX227">
        <v>32655.001538123488</v>
      </c>
    </row>
    <row r="228" spans="1:50" x14ac:dyDescent="0.35">
      <c r="A228">
        <v>580</v>
      </c>
      <c r="B228" t="s">
        <v>0</v>
      </c>
      <c r="C228" t="s">
        <v>1933</v>
      </c>
      <c r="D228" t="s">
        <v>7</v>
      </c>
      <c r="E228" t="s">
        <v>1773</v>
      </c>
      <c r="F228">
        <v>2.0191699999999999</v>
      </c>
      <c r="G228">
        <v>2.0184820000000001</v>
      </c>
      <c r="H228">
        <v>2.0190999999999999</v>
      </c>
      <c r="I228">
        <v>2.01972</v>
      </c>
      <c r="J228" s="600">
        <v>8</v>
      </c>
      <c r="K228" s="7">
        <f t="shared" si="41"/>
        <v>25</v>
      </c>
      <c r="L228" s="7">
        <f t="shared" si="42"/>
        <v>0</v>
      </c>
      <c r="M228" s="243">
        <f t="shared" si="43"/>
        <v>5412.8</v>
      </c>
      <c r="N228" s="243">
        <f>INDEX($AN$4:$AN21124,MATCH($A228,$AH$4:$AH$2000,0))</f>
        <v>5412.8</v>
      </c>
      <c r="O228" s="243">
        <f t="shared" si="50"/>
        <v>5412.8</v>
      </c>
      <c r="P228" s="243">
        <f t="shared" si="44"/>
        <v>5412.8</v>
      </c>
      <c r="Q228" s="243">
        <f t="shared" si="45"/>
        <v>0</v>
      </c>
      <c r="R228" s="243">
        <f t="shared" si="46"/>
        <v>0</v>
      </c>
      <c r="S228" s="243">
        <f t="shared" si="51"/>
        <v>0</v>
      </c>
      <c r="T228" s="243">
        <f t="shared" si="47"/>
        <v>0</v>
      </c>
      <c r="AA228" s="6">
        <v>842</v>
      </c>
      <c r="AB228" t="s">
        <v>0</v>
      </c>
      <c r="AC228" t="s">
        <v>8</v>
      </c>
      <c r="AD228" t="s">
        <v>15</v>
      </c>
      <c r="AE228" t="s">
        <v>16</v>
      </c>
      <c r="AF228">
        <v>10</v>
      </c>
      <c r="AG228">
        <v>0</v>
      </c>
      <c r="AH228">
        <v>580</v>
      </c>
      <c r="AI228" t="s">
        <v>0</v>
      </c>
      <c r="AJ228" t="s">
        <v>1933</v>
      </c>
      <c r="AK228" t="s">
        <v>7</v>
      </c>
      <c r="AL228" t="s">
        <v>1773</v>
      </c>
      <c r="AM228" s="314">
        <v>5412.8</v>
      </c>
      <c r="AN228" s="314">
        <v>5412.8</v>
      </c>
      <c r="AO228" s="314">
        <v>5412.8</v>
      </c>
      <c r="AP228" s="314">
        <v>5412.8</v>
      </c>
      <c r="AQ228" s="314">
        <v>0.72429747031956293</v>
      </c>
      <c r="AR228" s="314">
        <v>0.72429747031956293</v>
      </c>
      <c r="AS228" s="314">
        <v>0.72429747031956293</v>
      </c>
      <c r="AT228" s="314">
        <v>0.72429747031956293</v>
      </c>
      <c r="AU228" s="314">
        <v>0</v>
      </c>
      <c r="AV228" s="314">
        <v>0</v>
      </c>
      <c r="AW228" s="314">
        <v>0</v>
      </c>
      <c r="AX228">
        <v>0</v>
      </c>
    </row>
    <row r="229" spans="1:50" x14ac:dyDescent="0.35">
      <c r="A229">
        <v>584</v>
      </c>
      <c r="B229" t="s">
        <v>0</v>
      </c>
      <c r="C229" t="s">
        <v>1933</v>
      </c>
      <c r="D229" t="s">
        <v>7</v>
      </c>
      <c r="E229" t="s">
        <v>1823</v>
      </c>
      <c r="F229">
        <v>4.0383399999999998</v>
      </c>
      <c r="G229">
        <v>4.0369640000000002</v>
      </c>
      <c r="H229">
        <v>3.0286499999999998</v>
      </c>
      <c r="I229">
        <v>4.0394399999999999</v>
      </c>
      <c r="J229" s="600">
        <v>15</v>
      </c>
      <c r="K229" s="7">
        <f t="shared" si="41"/>
        <v>25</v>
      </c>
      <c r="L229" s="7">
        <f t="shared" si="42"/>
        <v>0</v>
      </c>
      <c r="M229" s="243">
        <f t="shared" si="43"/>
        <v>16265.6</v>
      </c>
      <c r="N229" s="243">
        <f>INDEX($AN$4:$AN21125,MATCH($A229,$AH$4:$AH$2000,0))</f>
        <v>16265.6</v>
      </c>
      <c r="O229" s="243">
        <f t="shared" si="50"/>
        <v>12199.2</v>
      </c>
      <c r="P229" s="243">
        <f t="shared" si="44"/>
        <v>16265.6</v>
      </c>
      <c r="Q229" s="243">
        <f t="shared" si="45"/>
        <v>0</v>
      </c>
      <c r="R229" s="243">
        <f t="shared" si="46"/>
        <v>0</v>
      </c>
      <c r="S229" s="243">
        <f t="shared" si="51"/>
        <v>0</v>
      </c>
      <c r="T229" s="243">
        <f t="shared" si="47"/>
        <v>0</v>
      </c>
      <c r="AA229" s="6">
        <v>840</v>
      </c>
      <c r="AB229" t="s">
        <v>0</v>
      </c>
      <c r="AC229" t="s">
        <v>8</v>
      </c>
      <c r="AD229" t="s">
        <v>15</v>
      </c>
      <c r="AE229" t="s">
        <v>17</v>
      </c>
      <c r="AF229">
        <v>9</v>
      </c>
      <c r="AG229">
        <v>0</v>
      </c>
      <c r="AH229">
        <v>584</v>
      </c>
      <c r="AI229" t="s">
        <v>0</v>
      </c>
      <c r="AJ229" t="s">
        <v>1933</v>
      </c>
      <c r="AK229" t="s">
        <v>7</v>
      </c>
      <c r="AL229" t="s">
        <v>1823</v>
      </c>
      <c r="AM229" s="314">
        <v>16265.6</v>
      </c>
      <c r="AN229" s="314">
        <v>16265.6</v>
      </c>
      <c r="AO229" s="314">
        <v>12199.2</v>
      </c>
      <c r="AP229" s="314">
        <v>16265.6</v>
      </c>
      <c r="AQ229" s="314">
        <v>0</v>
      </c>
      <c r="AR229" s="314">
        <v>0</v>
      </c>
      <c r="AS229" s="314">
        <v>0</v>
      </c>
      <c r="AT229" s="314">
        <v>0</v>
      </c>
      <c r="AU229" s="314">
        <v>0</v>
      </c>
      <c r="AV229" s="314">
        <v>0</v>
      </c>
      <c r="AW229" s="314">
        <v>0</v>
      </c>
      <c r="AX229">
        <v>0</v>
      </c>
    </row>
    <row r="230" spans="1:50" x14ac:dyDescent="0.35">
      <c r="A230">
        <v>582</v>
      </c>
      <c r="B230" t="s">
        <v>0</v>
      </c>
      <c r="C230" t="s">
        <v>1933</v>
      </c>
      <c r="D230" t="s">
        <v>7</v>
      </c>
      <c r="E230" t="s">
        <v>1774</v>
      </c>
      <c r="F230">
        <v>14.13419</v>
      </c>
      <c r="G230">
        <v>14.129374</v>
      </c>
      <c r="H230">
        <v>13.12415</v>
      </c>
      <c r="I230">
        <v>14.13804</v>
      </c>
      <c r="J230" s="600">
        <v>55</v>
      </c>
      <c r="K230" s="7">
        <f t="shared" si="41"/>
        <v>25</v>
      </c>
      <c r="L230" s="7">
        <f t="shared" si="42"/>
        <v>0</v>
      </c>
      <c r="M230" s="243">
        <f t="shared" si="43"/>
        <v>61689.600000000006</v>
      </c>
      <c r="N230" s="243">
        <f>INDEX($AN$4:$AN21126,MATCH($A230,$AH$4:$AH$2000,0))</f>
        <v>61689.600000000006</v>
      </c>
      <c r="O230" s="243">
        <f t="shared" si="50"/>
        <v>57283.200000000004</v>
      </c>
      <c r="P230" s="243">
        <f t="shared" si="44"/>
        <v>61689.600000000006</v>
      </c>
      <c r="Q230" s="243">
        <f t="shared" si="45"/>
        <v>0</v>
      </c>
      <c r="R230" s="243">
        <f t="shared" si="46"/>
        <v>0</v>
      </c>
      <c r="S230" s="243">
        <f t="shared" si="51"/>
        <v>0</v>
      </c>
      <c r="T230" s="243">
        <f t="shared" si="47"/>
        <v>0</v>
      </c>
      <c r="AA230" s="6">
        <v>843</v>
      </c>
      <c r="AB230" t="s">
        <v>0</v>
      </c>
      <c r="AC230" t="s">
        <v>8</v>
      </c>
      <c r="AD230" t="s">
        <v>15</v>
      </c>
      <c r="AE230" t="s">
        <v>18</v>
      </c>
      <c r="AF230">
        <v>10</v>
      </c>
      <c r="AG230">
        <v>0</v>
      </c>
      <c r="AH230">
        <v>582</v>
      </c>
      <c r="AI230" t="s">
        <v>0</v>
      </c>
      <c r="AJ230" t="s">
        <v>1933</v>
      </c>
      <c r="AK230" t="s">
        <v>7</v>
      </c>
      <c r="AL230" t="s">
        <v>1774</v>
      </c>
      <c r="AM230" s="314">
        <v>61689.600000000006</v>
      </c>
      <c r="AN230" s="314">
        <v>61689.600000000006</v>
      </c>
      <c r="AO230" s="314">
        <v>57283.200000000004</v>
      </c>
      <c r="AP230" s="314">
        <v>61689.600000000006</v>
      </c>
      <c r="AQ230" s="314">
        <v>5.0700822922369406</v>
      </c>
      <c r="AR230" s="314">
        <v>5.0700822922369406</v>
      </c>
      <c r="AS230" s="314">
        <v>4.7079335570771592</v>
      </c>
      <c r="AT230" s="314">
        <v>5.0700822922369406</v>
      </c>
      <c r="AU230" s="314">
        <v>0</v>
      </c>
      <c r="AV230" s="314">
        <v>0</v>
      </c>
      <c r="AW230" s="314">
        <v>0</v>
      </c>
      <c r="AX230">
        <v>0</v>
      </c>
    </row>
    <row r="231" spans="1:50" x14ac:dyDescent="0.35">
      <c r="A231">
        <v>572</v>
      </c>
      <c r="B231" t="s">
        <v>0</v>
      </c>
      <c r="C231" t="s">
        <v>1933</v>
      </c>
      <c r="D231" t="s">
        <v>7</v>
      </c>
      <c r="E231" t="s">
        <v>1775</v>
      </c>
      <c r="F231">
        <v>8.0766799999999996</v>
      </c>
      <c r="G231">
        <v>8.0739280000000004</v>
      </c>
      <c r="H231">
        <v>7.0668499999999996</v>
      </c>
      <c r="I231">
        <v>8.0788799999999998</v>
      </c>
      <c r="J231" s="600">
        <v>31</v>
      </c>
      <c r="K231" s="7">
        <f t="shared" si="41"/>
        <v>25</v>
      </c>
      <c r="L231" s="7">
        <f t="shared" si="42"/>
        <v>0</v>
      </c>
      <c r="M231" s="243">
        <f t="shared" si="43"/>
        <v>8051.2</v>
      </c>
      <c r="N231" s="243">
        <f>INDEX($AN$4:$AN21127,MATCH($A231,$AH$4:$AH$2000,0))</f>
        <v>8051.2</v>
      </c>
      <c r="O231" s="243">
        <f t="shared" si="50"/>
        <v>7044.8</v>
      </c>
      <c r="P231" s="243">
        <f t="shared" si="44"/>
        <v>8051.2</v>
      </c>
      <c r="Q231" s="243">
        <f t="shared" si="45"/>
        <v>0</v>
      </c>
      <c r="R231" s="243">
        <f t="shared" si="46"/>
        <v>0</v>
      </c>
      <c r="S231" s="243">
        <f t="shared" si="51"/>
        <v>0</v>
      </c>
      <c r="T231" s="243">
        <f t="shared" si="47"/>
        <v>0</v>
      </c>
      <c r="AA231" s="6">
        <v>841</v>
      </c>
      <c r="AB231" t="s">
        <v>0</v>
      </c>
      <c r="AC231" t="s">
        <v>8</v>
      </c>
      <c r="AD231" t="s">
        <v>15</v>
      </c>
      <c r="AE231" t="s">
        <v>19</v>
      </c>
      <c r="AF231">
        <v>9</v>
      </c>
      <c r="AG231">
        <v>0</v>
      </c>
      <c r="AH231">
        <v>572</v>
      </c>
      <c r="AI231" t="s">
        <v>0</v>
      </c>
      <c r="AJ231" t="s">
        <v>1933</v>
      </c>
      <c r="AK231" t="s">
        <v>7</v>
      </c>
      <c r="AL231" t="s">
        <v>1775</v>
      </c>
      <c r="AM231" s="314">
        <v>8051.2</v>
      </c>
      <c r="AN231" s="314">
        <v>8051.2</v>
      </c>
      <c r="AO231" s="314">
        <v>7044.8</v>
      </c>
      <c r="AP231" s="314">
        <v>8051.2</v>
      </c>
      <c r="AQ231" s="314">
        <v>1.077467311219185</v>
      </c>
      <c r="AR231" s="314">
        <v>1.077467311219185</v>
      </c>
      <c r="AS231" s="314">
        <v>0.94278389731678691</v>
      </c>
      <c r="AT231" s="314">
        <v>1.077467311219185</v>
      </c>
      <c r="AU231" s="314">
        <v>0</v>
      </c>
      <c r="AV231" s="314">
        <v>0</v>
      </c>
      <c r="AW231" s="314">
        <v>0</v>
      </c>
      <c r="AX231">
        <v>0</v>
      </c>
    </row>
    <row r="232" spans="1:50" x14ac:dyDescent="0.35">
      <c r="A232">
        <v>576</v>
      </c>
      <c r="B232" t="s">
        <v>0</v>
      </c>
      <c r="C232" t="s">
        <v>1933</v>
      </c>
      <c r="D232" t="s">
        <v>7</v>
      </c>
      <c r="E232" t="s">
        <v>1824</v>
      </c>
      <c r="F232">
        <v>15.143775</v>
      </c>
      <c r="G232">
        <v>15.138615000000001</v>
      </c>
      <c r="H232">
        <v>14.133699999999999</v>
      </c>
      <c r="I232">
        <v>15.1479</v>
      </c>
      <c r="J232" s="600">
        <v>59</v>
      </c>
      <c r="K232" s="7">
        <f t="shared" si="41"/>
        <v>25</v>
      </c>
      <c r="L232" s="7">
        <f t="shared" si="42"/>
        <v>0</v>
      </c>
      <c r="M232" s="243">
        <f t="shared" si="43"/>
        <v>22644.000000000004</v>
      </c>
      <c r="N232" s="243">
        <f>INDEX($AN$4:$AN21128,MATCH($A232,$AH$4:$AH$2000,0))</f>
        <v>22644.000000000004</v>
      </c>
      <c r="O232" s="243">
        <f t="shared" si="50"/>
        <v>21134.400000000001</v>
      </c>
      <c r="P232" s="243">
        <f t="shared" si="44"/>
        <v>22644.000000000004</v>
      </c>
      <c r="Q232" s="243">
        <f t="shared" si="45"/>
        <v>0</v>
      </c>
      <c r="R232" s="243">
        <f t="shared" si="46"/>
        <v>0</v>
      </c>
      <c r="S232" s="243">
        <f t="shared" si="51"/>
        <v>0</v>
      </c>
      <c r="T232" s="243">
        <f t="shared" si="47"/>
        <v>0</v>
      </c>
      <c r="AA232" s="6">
        <v>819</v>
      </c>
      <c r="AB232" t="s">
        <v>0</v>
      </c>
      <c r="AC232" t="s">
        <v>8</v>
      </c>
      <c r="AD232" t="s">
        <v>20</v>
      </c>
      <c r="AE232" t="s">
        <v>21</v>
      </c>
      <c r="AF232">
        <v>5</v>
      </c>
      <c r="AG232">
        <v>0</v>
      </c>
      <c r="AH232">
        <v>576</v>
      </c>
      <c r="AI232" t="s">
        <v>0</v>
      </c>
      <c r="AJ232" t="s">
        <v>1933</v>
      </c>
      <c r="AK232" t="s">
        <v>7</v>
      </c>
      <c r="AL232" t="s">
        <v>1824</v>
      </c>
      <c r="AM232" s="314">
        <v>22644.000000000004</v>
      </c>
      <c r="AN232" s="314">
        <v>22644.000000000004</v>
      </c>
      <c r="AO232" s="314">
        <v>21134.400000000001</v>
      </c>
      <c r="AP232" s="314">
        <v>22644.000000000004</v>
      </c>
      <c r="AQ232" s="314">
        <v>0</v>
      </c>
      <c r="AR232" s="314">
        <v>0</v>
      </c>
      <c r="AS232" s="314">
        <v>0</v>
      </c>
      <c r="AT232" s="314">
        <v>0</v>
      </c>
      <c r="AU232" s="314">
        <v>0</v>
      </c>
      <c r="AV232" s="314">
        <v>0</v>
      </c>
      <c r="AW232" s="314">
        <v>0</v>
      </c>
      <c r="AX232">
        <v>0</v>
      </c>
    </row>
    <row r="233" spans="1:50" x14ac:dyDescent="0.35">
      <c r="A233">
        <v>574</v>
      </c>
      <c r="B233" t="s">
        <v>0</v>
      </c>
      <c r="C233" t="s">
        <v>1933</v>
      </c>
      <c r="D233" t="s">
        <v>7</v>
      </c>
      <c r="E233" t="s">
        <v>1776</v>
      </c>
      <c r="F233">
        <v>55.527175</v>
      </c>
      <c r="G233">
        <v>55.508255000000005</v>
      </c>
      <c r="H233">
        <v>51.487049999999996</v>
      </c>
      <c r="I233">
        <v>54.532440000000001</v>
      </c>
      <c r="J233" s="600">
        <v>215</v>
      </c>
      <c r="K233" s="7">
        <f t="shared" si="41"/>
        <v>25</v>
      </c>
      <c r="L233" s="7">
        <f t="shared" si="42"/>
        <v>0</v>
      </c>
      <c r="M233" s="243">
        <f t="shared" si="43"/>
        <v>90508</v>
      </c>
      <c r="N233" s="243">
        <f>INDEX($AN$4:$AN21129,MATCH($A233,$AH$4:$AH$2000,0))</f>
        <v>90508</v>
      </c>
      <c r="O233" s="243">
        <f t="shared" si="50"/>
        <v>83925.599999999991</v>
      </c>
      <c r="P233" s="243">
        <f t="shared" si="44"/>
        <v>88862.399999999994</v>
      </c>
      <c r="Q233" s="243">
        <f t="shared" si="45"/>
        <v>0</v>
      </c>
      <c r="R233" s="243">
        <f t="shared" si="46"/>
        <v>0</v>
      </c>
      <c r="S233" s="243">
        <f t="shared" si="51"/>
        <v>0</v>
      </c>
      <c r="T233" s="243">
        <f t="shared" si="47"/>
        <v>0</v>
      </c>
      <c r="AA233" s="6">
        <v>820</v>
      </c>
      <c r="AB233" t="s">
        <v>0</v>
      </c>
      <c r="AC233" t="s">
        <v>8</v>
      </c>
      <c r="AD233" t="s">
        <v>20</v>
      </c>
      <c r="AE233" t="s">
        <v>22</v>
      </c>
      <c r="AF233">
        <v>5</v>
      </c>
      <c r="AG233">
        <v>0</v>
      </c>
      <c r="AH233">
        <v>574</v>
      </c>
      <c r="AI233" t="s">
        <v>0</v>
      </c>
      <c r="AJ233" t="s">
        <v>1933</v>
      </c>
      <c r="AK233" t="s">
        <v>7</v>
      </c>
      <c r="AL233" t="s">
        <v>1776</v>
      </c>
      <c r="AM233" s="314">
        <v>90508</v>
      </c>
      <c r="AN233" s="314">
        <v>90508</v>
      </c>
      <c r="AO233" s="314">
        <v>83925.599999999991</v>
      </c>
      <c r="AP233" s="314">
        <v>88862.399999999994</v>
      </c>
      <c r="AQ233" s="314">
        <v>7.4075877646318968</v>
      </c>
      <c r="AR233" s="314">
        <v>7.4075877646318968</v>
      </c>
      <c r="AS233" s="314">
        <v>6.8688541090223048</v>
      </c>
      <c r="AT233" s="314">
        <v>7.2729043507294993</v>
      </c>
      <c r="AU233" s="314">
        <v>0</v>
      </c>
      <c r="AV233" s="314">
        <v>0</v>
      </c>
      <c r="AW233" s="314">
        <v>0</v>
      </c>
      <c r="AX233">
        <v>0</v>
      </c>
    </row>
    <row r="234" spans="1:50" x14ac:dyDescent="0.35">
      <c r="A234">
        <v>579</v>
      </c>
      <c r="B234" t="s">
        <v>0</v>
      </c>
      <c r="C234" t="s">
        <v>1933</v>
      </c>
      <c r="D234" t="s">
        <v>7</v>
      </c>
      <c r="E234" t="s">
        <v>1825</v>
      </c>
      <c r="F234">
        <v>1.009585</v>
      </c>
      <c r="G234">
        <v>1.0092410000000001</v>
      </c>
      <c r="H234">
        <v>1.0095499999999999</v>
      </c>
      <c r="I234">
        <v>1.00986</v>
      </c>
      <c r="J234" s="600">
        <v>4</v>
      </c>
      <c r="K234" s="7">
        <f t="shared" si="41"/>
        <v>25</v>
      </c>
      <c r="L234" s="7">
        <f t="shared" si="42"/>
        <v>0</v>
      </c>
      <c r="M234" s="243">
        <f t="shared" si="43"/>
        <v>2706.4</v>
      </c>
      <c r="N234" s="243">
        <f>INDEX($AN$4:$AN21130,MATCH($A234,$AH$4:$AH$2000,0))</f>
        <v>2706.4</v>
      </c>
      <c r="O234" s="243">
        <f t="shared" si="50"/>
        <v>2706.4</v>
      </c>
      <c r="P234" s="243">
        <f t="shared" si="44"/>
        <v>2706.4</v>
      </c>
      <c r="Q234" s="243">
        <f t="shared" si="45"/>
        <v>0</v>
      </c>
      <c r="R234" s="243">
        <f t="shared" si="46"/>
        <v>0</v>
      </c>
      <c r="S234" s="243">
        <f t="shared" si="51"/>
        <v>0</v>
      </c>
      <c r="T234" s="243">
        <f t="shared" si="47"/>
        <v>0</v>
      </c>
      <c r="AA234" s="6">
        <v>821</v>
      </c>
      <c r="AB234" t="s">
        <v>0</v>
      </c>
      <c r="AC234" t="s">
        <v>8</v>
      </c>
      <c r="AD234" t="s">
        <v>4</v>
      </c>
      <c r="AE234" t="s">
        <v>23</v>
      </c>
      <c r="AF234">
        <v>8.4033613445378155</v>
      </c>
      <c r="AG234">
        <v>6</v>
      </c>
      <c r="AH234">
        <v>579</v>
      </c>
      <c r="AI234" t="s">
        <v>0</v>
      </c>
      <c r="AJ234" t="s">
        <v>1933</v>
      </c>
      <c r="AK234" t="s">
        <v>7</v>
      </c>
      <c r="AL234" t="s">
        <v>1825</v>
      </c>
      <c r="AM234" s="314">
        <v>2706.4</v>
      </c>
      <c r="AN234" s="314">
        <v>2706.4</v>
      </c>
      <c r="AO234" s="314">
        <v>2706.4</v>
      </c>
      <c r="AP234" s="314">
        <v>2706.4</v>
      </c>
      <c r="AQ234" s="314">
        <v>0.32891042659032199</v>
      </c>
      <c r="AR234" s="314">
        <v>0.32891042659032199</v>
      </c>
      <c r="AS234" s="314">
        <v>0.32891042659032199</v>
      </c>
      <c r="AT234" s="314">
        <v>0.32891042659032199</v>
      </c>
      <c r="AU234" s="314">
        <v>0</v>
      </c>
      <c r="AV234" s="314">
        <v>0</v>
      </c>
      <c r="AW234" s="314">
        <v>0</v>
      </c>
      <c r="AX234">
        <v>0</v>
      </c>
    </row>
    <row r="235" spans="1:50" x14ac:dyDescent="0.35">
      <c r="A235">
        <v>583</v>
      </c>
      <c r="B235" t="s">
        <v>0</v>
      </c>
      <c r="C235" t="s">
        <v>1933</v>
      </c>
      <c r="D235" t="s">
        <v>7</v>
      </c>
      <c r="E235" t="s">
        <v>1826</v>
      </c>
      <c r="F235">
        <v>2.0191699999999999</v>
      </c>
      <c r="G235">
        <v>2.0184820000000001</v>
      </c>
      <c r="H235">
        <v>2.0190999999999999</v>
      </c>
      <c r="I235">
        <v>2.01972</v>
      </c>
      <c r="J235" s="600">
        <v>8</v>
      </c>
      <c r="K235" s="7">
        <f t="shared" si="41"/>
        <v>25</v>
      </c>
      <c r="L235" s="7">
        <f t="shared" si="42"/>
        <v>0</v>
      </c>
      <c r="M235" s="243">
        <f t="shared" si="43"/>
        <v>8132.8</v>
      </c>
      <c r="N235" s="243">
        <f>INDEX($AN$4:$AN21131,MATCH($A235,$AH$4:$AH$2000,0))</f>
        <v>8132.8</v>
      </c>
      <c r="O235" s="243">
        <f t="shared" si="50"/>
        <v>8132.8</v>
      </c>
      <c r="P235" s="243">
        <f t="shared" si="44"/>
        <v>8132.8</v>
      </c>
      <c r="Q235" s="243">
        <f t="shared" si="45"/>
        <v>0</v>
      </c>
      <c r="R235" s="243">
        <f t="shared" si="46"/>
        <v>0</v>
      </c>
      <c r="S235" s="243">
        <f t="shared" si="51"/>
        <v>0</v>
      </c>
      <c r="T235" s="243">
        <f t="shared" si="47"/>
        <v>0</v>
      </c>
      <c r="AA235" s="6">
        <v>822</v>
      </c>
      <c r="AB235" t="s">
        <v>0</v>
      </c>
      <c r="AC235" t="s">
        <v>8</v>
      </c>
      <c r="AD235" t="s">
        <v>4</v>
      </c>
      <c r="AE235" t="s">
        <v>24</v>
      </c>
      <c r="AF235">
        <v>8.4033613445378155</v>
      </c>
      <c r="AG235">
        <v>6</v>
      </c>
      <c r="AH235">
        <v>583</v>
      </c>
      <c r="AI235" t="s">
        <v>0</v>
      </c>
      <c r="AJ235" t="s">
        <v>1933</v>
      </c>
      <c r="AK235" t="s">
        <v>7</v>
      </c>
      <c r="AL235" t="s">
        <v>1826</v>
      </c>
      <c r="AM235" s="314">
        <v>8132.8</v>
      </c>
      <c r="AN235" s="314">
        <v>8132.8</v>
      </c>
      <c r="AO235" s="314">
        <v>8132.8</v>
      </c>
      <c r="AP235" s="314">
        <v>8132.8</v>
      </c>
      <c r="AQ235" s="314">
        <v>0</v>
      </c>
      <c r="AR235" s="314">
        <v>0</v>
      </c>
      <c r="AS235" s="314">
        <v>0</v>
      </c>
      <c r="AT235" s="314">
        <v>0</v>
      </c>
      <c r="AU235" s="314">
        <v>0</v>
      </c>
      <c r="AV235" s="314">
        <v>0</v>
      </c>
      <c r="AW235" s="314">
        <v>0</v>
      </c>
      <c r="AX235">
        <v>0</v>
      </c>
    </row>
    <row r="236" spans="1:50" x14ac:dyDescent="0.35">
      <c r="A236">
        <v>581</v>
      </c>
      <c r="B236" t="s">
        <v>0</v>
      </c>
      <c r="C236" t="s">
        <v>1933</v>
      </c>
      <c r="D236" t="s">
        <v>7</v>
      </c>
      <c r="E236" t="s">
        <v>1827</v>
      </c>
      <c r="F236">
        <v>6.0575099999999997</v>
      </c>
      <c r="G236">
        <v>6.0554459999999999</v>
      </c>
      <c r="H236">
        <v>6.0572999999999997</v>
      </c>
      <c r="I236">
        <v>6.0591600000000003</v>
      </c>
      <c r="J236" s="600">
        <v>24</v>
      </c>
      <c r="K236" s="7">
        <f t="shared" si="41"/>
        <v>25</v>
      </c>
      <c r="L236" s="7">
        <f t="shared" si="42"/>
        <v>0</v>
      </c>
      <c r="M236" s="243">
        <f t="shared" si="43"/>
        <v>26438.400000000001</v>
      </c>
      <c r="N236" s="243">
        <f>INDEX($AN$4:$AN21132,MATCH($A236,$AH$4:$AH$2000,0))</f>
        <v>26438.400000000001</v>
      </c>
      <c r="O236" s="243">
        <f t="shared" si="50"/>
        <v>26438.400000000001</v>
      </c>
      <c r="P236" s="243">
        <f t="shared" si="44"/>
        <v>26438.400000000001</v>
      </c>
      <c r="Q236" s="243">
        <f t="shared" si="45"/>
        <v>0</v>
      </c>
      <c r="R236" s="243">
        <f t="shared" si="46"/>
        <v>0</v>
      </c>
      <c r="S236" s="243">
        <f t="shared" si="51"/>
        <v>0</v>
      </c>
      <c r="T236" s="243">
        <f t="shared" si="47"/>
        <v>0</v>
      </c>
      <c r="AA236" s="6">
        <v>823</v>
      </c>
      <c r="AB236" t="s">
        <v>0</v>
      </c>
      <c r="AC236" t="s">
        <v>8</v>
      </c>
      <c r="AD236" t="s">
        <v>4</v>
      </c>
      <c r="AE236" t="s">
        <v>25</v>
      </c>
      <c r="AF236">
        <v>8.4033613445378155</v>
      </c>
      <c r="AG236">
        <v>6</v>
      </c>
      <c r="AH236">
        <v>581</v>
      </c>
      <c r="AI236" t="s">
        <v>0</v>
      </c>
      <c r="AJ236" t="s">
        <v>1933</v>
      </c>
      <c r="AK236" t="s">
        <v>7</v>
      </c>
      <c r="AL236" t="s">
        <v>1827</v>
      </c>
      <c r="AM236" s="314">
        <v>26438.400000000001</v>
      </c>
      <c r="AN236" s="314">
        <v>26438.400000000001</v>
      </c>
      <c r="AO236" s="314">
        <v>26438.400000000001</v>
      </c>
      <c r="AP236" s="314">
        <v>26438.400000000001</v>
      </c>
      <c r="AQ236" s="314">
        <v>1.9734625595419319</v>
      </c>
      <c r="AR236" s="314">
        <v>1.9734625595419319</v>
      </c>
      <c r="AS236" s="314">
        <v>1.9734625595419319</v>
      </c>
      <c r="AT236" s="314">
        <v>1.9734625595419319</v>
      </c>
      <c r="AU236" s="314">
        <v>0</v>
      </c>
      <c r="AV236" s="314">
        <v>0</v>
      </c>
      <c r="AW236" s="314">
        <v>0</v>
      </c>
      <c r="AX236">
        <v>0</v>
      </c>
    </row>
    <row r="237" spans="1:50" x14ac:dyDescent="0.35">
      <c r="A237">
        <v>571</v>
      </c>
      <c r="B237" t="s">
        <v>0</v>
      </c>
      <c r="C237" t="s">
        <v>1933</v>
      </c>
      <c r="D237" t="s">
        <v>7</v>
      </c>
      <c r="E237" t="s">
        <v>1828</v>
      </c>
      <c r="F237">
        <v>3.0287549999999999</v>
      </c>
      <c r="G237">
        <v>3.0277229999999999</v>
      </c>
      <c r="H237">
        <v>3.0286499999999998</v>
      </c>
      <c r="I237">
        <v>3.0295800000000002</v>
      </c>
      <c r="J237" s="600">
        <v>12</v>
      </c>
      <c r="K237" s="7">
        <f t="shared" si="41"/>
        <v>25</v>
      </c>
      <c r="L237" s="7">
        <f t="shared" si="42"/>
        <v>0</v>
      </c>
      <c r="M237" s="243">
        <f t="shared" si="43"/>
        <v>3019.2</v>
      </c>
      <c r="N237" s="243">
        <f>INDEX($AN$4:$AN21133,MATCH($A237,$AH$4:$AH$2000,0))</f>
        <v>3019.2</v>
      </c>
      <c r="O237" s="243">
        <f t="shared" si="50"/>
        <v>3019.2</v>
      </c>
      <c r="P237" s="243">
        <f t="shared" si="44"/>
        <v>3019.2</v>
      </c>
      <c r="Q237" s="243">
        <f t="shared" si="45"/>
        <v>0</v>
      </c>
      <c r="R237" s="243">
        <f t="shared" si="46"/>
        <v>0</v>
      </c>
      <c r="S237" s="243">
        <f t="shared" si="51"/>
        <v>0</v>
      </c>
      <c r="T237" s="243">
        <f t="shared" si="47"/>
        <v>0</v>
      </c>
      <c r="AA237" s="6">
        <v>824</v>
      </c>
      <c r="AB237" t="s">
        <v>0</v>
      </c>
      <c r="AC237" t="s">
        <v>8</v>
      </c>
      <c r="AD237" t="s">
        <v>4</v>
      </c>
      <c r="AE237" t="s">
        <v>26</v>
      </c>
      <c r="AF237">
        <v>10</v>
      </c>
      <c r="AG237">
        <v>6</v>
      </c>
      <c r="AH237">
        <v>571</v>
      </c>
      <c r="AI237" t="s">
        <v>0</v>
      </c>
      <c r="AJ237" t="s">
        <v>1933</v>
      </c>
      <c r="AK237" t="s">
        <v>7</v>
      </c>
      <c r="AL237" t="s">
        <v>1828</v>
      </c>
      <c r="AM237" s="314">
        <v>3019.2</v>
      </c>
      <c r="AN237" s="314">
        <v>3019.2</v>
      </c>
      <c r="AO237" s="314">
        <v>3019.2</v>
      </c>
      <c r="AP237" s="314">
        <v>3019.2</v>
      </c>
      <c r="AQ237" s="314">
        <v>0.3669661784272189</v>
      </c>
      <c r="AR237" s="314">
        <v>0.3669661784272189</v>
      </c>
      <c r="AS237" s="314">
        <v>0.3669661784272189</v>
      </c>
      <c r="AT237" s="314">
        <v>0.3669661784272189</v>
      </c>
      <c r="AU237" s="314">
        <v>0</v>
      </c>
      <c r="AV237" s="314">
        <v>0</v>
      </c>
      <c r="AW237" s="314">
        <v>0</v>
      </c>
      <c r="AX237">
        <v>0</v>
      </c>
    </row>
    <row r="238" spans="1:50" x14ac:dyDescent="0.35">
      <c r="A238">
        <v>575</v>
      </c>
      <c r="B238" t="s">
        <v>0</v>
      </c>
      <c r="C238" t="s">
        <v>1933</v>
      </c>
      <c r="D238" t="s">
        <v>7</v>
      </c>
      <c r="E238" t="s">
        <v>1772</v>
      </c>
      <c r="F238">
        <v>7.0670950000000001</v>
      </c>
      <c r="G238">
        <v>7.0646870000000002</v>
      </c>
      <c r="H238">
        <v>6.0572999999999997</v>
      </c>
      <c r="I238">
        <v>7.0690200000000001</v>
      </c>
      <c r="J238" s="600">
        <v>27</v>
      </c>
      <c r="K238" s="7">
        <f t="shared" si="41"/>
        <v>25</v>
      </c>
      <c r="L238" s="7">
        <f t="shared" si="42"/>
        <v>0</v>
      </c>
      <c r="M238" s="243">
        <f t="shared" si="43"/>
        <v>10567.2</v>
      </c>
      <c r="N238" s="243">
        <f>INDEX($AN$4:$AN21134,MATCH($A238,$AH$4:$AH$2000,0))</f>
        <v>10567.2</v>
      </c>
      <c r="O238" s="243">
        <f t="shared" si="50"/>
        <v>9057.6</v>
      </c>
      <c r="P238" s="243">
        <f t="shared" si="44"/>
        <v>10567.2</v>
      </c>
      <c r="Q238" s="243">
        <f t="shared" si="45"/>
        <v>0</v>
      </c>
      <c r="R238" s="243">
        <f t="shared" si="46"/>
        <v>0</v>
      </c>
      <c r="S238" s="243">
        <f t="shared" si="51"/>
        <v>0</v>
      </c>
      <c r="T238" s="243">
        <f t="shared" si="47"/>
        <v>0</v>
      </c>
      <c r="AA238" s="6">
        <v>825</v>
      </c>
      <c r="AB238" t="s">
        <v>0</v>
      </c>
      <c r="AC238" t="s">
        <v>8</v>
      </c>
      <c r="AD238" t="s">
        <v>4</v>
      </c>
      <c r="AE238" t="s">
        <v>27</v>
      </c>
      <c r="AF238">
        <v>10</v>
      </c>
      <c r="AG238">
        <v>6</v>
      </c>
      <c r="AH238">
        <v>575</v>
      </c>
      <c r="AI238" t="s">
        <v>0</v>
      </c>
      <c r="AJ238" t="s">
        <v>1933</v>
      </c>
      <c r="AK238" t="s">
        <v>7</v>
      </c>
      <c r="AL238" t="s">
        <v>1772</v>
      </c>
      <c r="AM238" s="314">
        <v>10567.2</v>
      </c>
      <c r="AN238" s="314">
        <v>10567.2</v>
      </c>
      <c r="AO238" s="314">
        <v>9057.6</v>
      </c>
      <c r="AP238" s="314">
        <v>10567.2</v>
      </c>
      <c r="AQ238" s="314">
        <v>0</v>
      </c>
      <c r="AR238" s="314">
        <v>0</v>
      </c>
      <c r="AS238" s="314">
        <v>0</v>
      </c>
      <c r="AT238" s="314">
        <v>0</v>
      </c>
      <c r="AU238" s="314">
        <v>0</v>
      </c>
      <c r="AV238" s="314">
        <v>0</v>
      </c>
      <c r="AW238" s="314">
        <v>0</v>
      </c>
      <c r="AX238">
        <v>0</v>
      </c>
    </row>
    <row r="239" spans="1:50" x14ac:dyDescent="0.35">
      <c r="A239">
        <v>573</v>
      </c>
      <c r="B239" t="s">
        <v>0</v>
      </c>
      <c r="C239" t="s">
        <v>1933</v>
      </c>
      <c r="D239" t="s">
        <v>7</v>
      </c>
      <c r="E239" t="s">
        <v>1829</v>
      </c>
      <c r="F239">
        <v>25.239625</v>
      </c>
      <c r="G239">
        <v>25.231025000000002</v>
      </c>
      <c r="H239">
        <v>23.219649999999998</v>
      </c>
      <c r="I239">
        <v>24.236640000000001</v>
      </c>
      <c r="J239" s="600">
        <v>97</v>
      </c>
      <c r="K239" s="7">
        <f t="shared" si="41"/>
        <v>25</v>
      </c>
      <c r="L239" s="7">
        <f t="shared" si="42"/>
        <v>0</v>
      </c>
      <c r="M239" s="243">
        <f t="shared" si="43"/>
        <v>41140</v>
      </c>
      <c r="N239" s="243">
        <f>INDEX($AN$4:$AN21135,MATCH($A239,$AH$4:$AH$2000,0))</f>
        <v>41140</v>
      </c>
      <c r="O239" s="243">
        <f t="shared" si="50"/>
        <v>37848.799999999996</v>
      </c>
      <c r="P239" s="243">
        <f t="shared" si="44"/>
        <v>39494.399999999994</v>
      </c>
      <c r="Q239" s="243">
        <f t="shared" si="45"/>
        <v>0</v>
      </c>
      <c r="R239" s="243">
        <f t="shared" si="46"/>
        <v>0</v>
      </c>
      <c r="S239" s="243">
        <f t="shared" si="51"/>
        <v>0</v>
      </c>
      <c r="T239" s="243">
        <f t="shared" si="47"/>
        <v>0</v>
      </c>
      <c r="AA239" s="6">
        <v>826</v>
      </c>
      <c r="AB239" t="s">
        <v>0</v>
      </c>
      <c r="AC239" t="s">
        <v>8</v>
      </c>
      <c r="AD239" t="s">
        <v>4</v>
      </c>
      <c r="AE239" t="s">
        <v>28</v>
      </c>
      <c r="AF239">
        <v>10</v>
      </c>
      <c r="AG239">
        <v>6</v>
      </c>
      <c r="AH239">
        <v>573</v>
      </c>
      <c r="AI239" t="s">
        <v>0</v>
      </c>
      <c r="AJ239" t="s">
        <v>1933</v>
      </c>
      <c r="AK239" t="s">
        <v>7</v>
      </c>
      <c r="AL239" t="s">
        <v>1829</v>
      </c>
      <c r="AM239" s="314">
        <v>41140</v>
      </c>
      <c r="AN239" s="314">
        <v>41140</v>
      </c>
      <c r="AO239" s="314">
        <v>37848.799999999996</v>
      </c>
      <c r="AP239" s="314">
        <v>39494.399999999994</v>
      </c>
      <c r="AQ239" s="314">
        <v>3.0580514868934912</v>
      </c>
      <c r="AR239" s="314">
        <v>3.0580514868934912</v>
      </c>
      <c r="AS239" s="314">
        <v>2.8134073679420117</v>
      </c>
      <c r="AT239" s="314">
        <v>2.9357294274177512</v>
      </c>
      <c r="AU239" s="314">
        <v>0</v>
      </c>
      <c r="AV239" s="314">
        <v>0</v>
      </c>
      <c r="AW239" s="314">
        <v>0</v>
      </c>
      <c r="AX239">
        <v>0</v>
      </c>
    </row>
    <row r="240" spans="1:50" x14ac:dyDescent="0.35">
      <c r="A240">
        <v>596</v>
      </c>
      <c r="B240" t="s">
        <v>0</v>
      </c>
      <c r="C240" t="s">
        <v>1933</v>
      </c>
      <c r="D240" t="s">
        <v>7</v>
      </c>
      <c r="E240" t="s">
        <v>1830</v>
      </c>
      <c r="F240">
        <v>453.30366499999997</v>
      </c>
      <c r="G240">
        <v>454.15845000000002</v>
      </c>
      <c r="H240">
        <v>418.96324999999996</v>
      </c>
      <c r="I240">
        <v>449.3877</v>
      </c>
      <c r="J240" s="600">
        <v>1759</v>
      </c>
      <c r="K240" s="7">
        <f t="shared" si="41"/>
        <v>20</v>
      </c>
      <c r="L240" s="7">
        <f t="shared" si="42"/>
        <v>0</v>
      </c>
      <c r="M240" s="243">
        <f t="shared" si="43"/>
        <v>318790</v>
      </c>
      <c r="N240" s="243">
        <f>INDEX($AN$4:$AN21136,MATCH($A240,$AH$4:$AH$2000,0))</f>
        <v>319500</v>
      </c>
      <c r="O240" s="243">
        <f t="shared" si="50"/>
        <v>294650</v>
      </c>
      <c r="P240" s="243">
        <f t="shared" si="44"/>
        <v>315950</v>
      </c>
      <c r="Q240" s="243">
        <f t="shared" si="45"/>
        <v>-6403.7098399999995</v>
      </c>
      <c r="R240" s="243">
        <f t="shared" si="46"/>
        <v>-6417.9719999999998</v>
      </c>
      <c r="S240" s="243">
        <f t="shared" si="51"/>
        <v>-5918.7964000000002</v>
      </c>
      <c r="T240" s="243">
        <f t="shared" si="47"/>
        <v>-6346.6611999999996</v>
      </c>
      <c r="AA240" s="6">
        <v>829</v>
      </c>
      <c r="AB240" t="s">
        <v>0</v>
      </c>
      <c r="AC240" t="s">
        <v>8</v>
      </c>
      <c r="AD240" t="s">
        <v>4</v>
      </c>
      <c r="AE240" t="s">
        <v>29</v>
      </c>
      <c r="AF240">
        <v>8.4033613445378155</v>
      </c>
      <c r="AG240">
        <v>0</v>
      </c>
      <c r="AH240">
        <v>596</v>
      </c>
      <c r="AI240" t="s">
        <v>0</v>
      </c>
      <c r="AJ240" t="s">
        <v>1933</v>
      </c>
      <c r="AK240" t="s">
        <v>7</v>
      </c>
      <c r="AL240" t="s">
        <v>1830</v>
      </c>
      <c r="AM240" s="314">
        <v>318790</v>
      </c>
      <c r="AN240" s="314">
        <v>319500</v>
      </c>
      <c r="AO240" s="314">
        <v>294650</v>
      </c>
      <c r="AP240" s="314">
        <v>315950</v>
      </c>
      <c r="AQ240" s="314">
        <v>100.79742465753425</v>
      </c>
      <c r="AR240" s="314">
        <v>101.02191780821917</v>
      </c>
      <c r="AS240" s="314">
        <v>93.164657534246572</v>
      </c>
      <c r="AT240" s="314">
        <v>99.899452054794523</v>
      </c>
      <c r="AU240" s="314">
        <v>-6403.7098399999995</v>
      </c>
      <c r="AV240" s="314">
        <v>-6417.9719999999998</v>
      </c>
      <c r="AW240" s="314">
        <v>-5918.7964000000002</v>
      </c>
      <c r="AX240">
        <v>-6346.6611999999996</v>
      </c>
    </row>
    <row r="241" spans="1:50" x14ac:dyDescent="0.35">
      <c r="A241">
        <v>558</v>
      </c>
      <c r="B241" t="s">
        <v>0</v>
      </c>
      <c r="C241" t="s">
        <v>1933</v>
      </c>
      <c r="D241" t="s">
        <v>7</v>
      </c>
      <c r="E241" t="s">
        <v>1831</v>
      </c>
      <c r="F241">
        <v>585.27</v>
      </c>
      <c r="G241">
        <v>587.3175</v>
      </c>
      <c r="H241">
        <v>541.48500000000001</v>
      </c>
      <c r="I241">
        <v>580.84220249999998</v>
      </c>
      <c r="J241" s="600">
        <v>2294.9147025000002</v>
      </c>
      <c r="K241" s="7">
        <f t="shared" si="41"/>
        <v>20</v>
      </c>
      <c r="L241" s="7">
        <f t="shared" si="42"/>
        <v>0</v>
      </c>
      <c r="M241" s="243">
        <f t="shared" si="43"/>
        <v>0</v>
      </c>
      <c r="N241" s="243">
        <f>INDEX($AN$4:$AN21137,MATCH($A241,$AH$4:$AH$2000,0))</f>
        <v>0</v>
      </c>
      <c r="O241" s="243">
        <f t="shared" si="50"/>
        <v>0</v>
      </c>
      <c r="P241" s="243">
        <f t="shared" si="44"/>
        <v>0</v>
      </c>
      <c r="Q241" s="243">
        <f t="shared" si="45"/>
        <v>82476.864473684225</v>
      </c>
      <c r="R241" s="243">
        <f t="shared" si="46"/>
        <v>82765.400328947391</v>
      </c>
      <c r="S241" s="243">
        <f t="shared" si="51"/>
        <v>76306.636184210554</v>
      </c>
      <c r="T241" s="243">
        <f t="shared" si="47"/>
        <v>81852.894589144751</v>
      </c>
      <c r="AA241" s="6">
        <v>827</v>
      </c>
      <c r="AB241" t="s">
        <v>0</v>
      </c>
      <c r="AC241" t="s">
        <v>8</v>
      </c>
      <c r="AD241" t="s">
        <v>4</v>
      </c>
      <c r="AE241" t="s">
        <v>30</v>
      </c>
      <c r="AF241">
        <v>8.4033613445378155</v>
      </c>
      <c r="AG241">
        <v>0</v>
      </c>
      <c r="AH241">
        <v>558</v>
      </c>
      <c r="AI241" t="s">
        <v>0</v>
      </c>
      <c r="AJ241" t="s">
        <v>1933</v>
      </c>
      <c r="AK241" t="s">
        <v>7</v>
      </c>
      <c r="AL241" t="s">
        <v>1831</v>
      </c>
      <c r="AM241" s="314">
        <v>0</v>
      </c>
      <c r="AN241" s="314">
        <v>0</v>
      </c>
      <c r="AO241" s="314">
        <v>0</v>
      </c>
      <c r="AP241" s="314">
        <v>0</v>
      </c>
      <c r="AQ241" s="314">
        <v>0</v>
      </c>
      <c r="AR241" s="314">
        <v>0</v>
      </c>
      <c r="AS241" s="314">
        <v>0</v>
      </c>
      <c r="AT241" s="314">
        <v>0</v>
      </c>
      <c r="AU241" s="314">
        <v>82476.864473684225</v>
      </c>
      <c r="AV241" s="314">
        <v>82765.400328947391</v>
      </c>
      <c r="AW241" s="314">
        <v>76306.636184210554</v>
      </c>
      <c r="AX241">
        <v>81852.894589144751</v>
      </c>
    </row>
    <row r="242" spans="1:50" x14ac:dyDescent="0.35">
      <c r="A242">
        <v>557</v>
      </c>
      <c r="B242" t="s">
        <v>0</v>
      </c>
      <c r="C242" t="s">
        <v>1933</v>
      </c>
      <c r="D242" t="s">
        <v>7</v>
      </c>
      <c r="E242" t="s">
        <v>1832</v>
      </c>
      <c r="F242">
        <v>362.50007572249996</v>
      </c>
      <c r="G242">
        <v>363.64429244962497</v>
      </c>
      <c r="H242">
        <v>335.36922896249996</v>
      </c>
      <c r="I242">
        <v>359.85561429735748</v>
      </c>
      <c r="J242" s="600">
        <v>1407.9119563749998</v>
      </c>
      <c r="K242" s="7">
        <f t="shared" si="41"/>
        <v>18</v>
      </c>
      <c r="L242" s="7">
        <f t="shared" si="42"/>
        <v>0</v>
      </c>
      <c r="M242" s="243">
        <f t="shared" si="43"/>
        <v>127023.84934615387</v>
      </c>
      <c r="N242" s="243">
        <f>INDEX($AN$4:$AN21138,MATCH($A242,$AH$4:$AH$2000,0))</f>
        <v>127468.22772115387</v>
      </c>
      <c r="O242" s="243">
        <f t="shared" si="50"/>
        <v>117520.98871153848</v>
      </c>
      <c r="P242" s="243">
        <f t="shared" si="44"/>
        <v>126062.86401874041</v>
      </c>
      <c r="Q242" s="243">
        <f t="shared" si="45"/>
        <v>0</v>
      </c>
      <c r="R242" s="243">
        <f t="shared" si="46"/>
        <v>0</v>
      </c>
      <c r="S242" s="243">
        <f t="shared" si="51"/>
        <v>0</v>
      </c>
      <c r="T242" s="243">
        <f t="shared" si="47"/>
        <v>0</v>
      </c>
      <c r="AA242" s="6">
        <v>830</v>
      </c>
      <c r="AB242" t="s">
        <v>0</v>
      </c>
      <c r="AC242" t="s">
        <v>8</v>
      </c>
      <c r="AD242" t="s">
        <v>4</v>
      </c>
      <c r="AE242" t="s">
        <v>31</v>
      </c>
      <c r="AF242">
        <v>8.4033613445378155</v>
      </c>
      <c r="AG242">
        <v>0</v>
      </c>
      <c r="AH242">
        <v>557</v>
      </c>
      <c r="AI242" t="s">
        <v>0</v>
      </c>
      <c r="AJ242" t="s">
        <v>1933</v>
      </c>
      <c r="AK242" t="s">
        <v>7</v>
      </c>
      <c r="AL242" t="s">
        <v>1832</v>
      </c>
      <c r="AM242" s="314">
        <v>127023.84934615387</v>
      </c>
      <c r="AN242" s="314">
        <v>127468.22772115387</v>
      </c>
      <c r="AO242" s="314">
        <v>117520.98871153848</v>
      </c>
      <c r="AP242" s="314">
        <v>126062.86401874041</v>
      </c>
      <c r="AQ242" s="314">
        <v>92.870256211985478</v>
      </c>
      <c r="AR242" s="314">
        <v>93.195152156752911</v>
      </c>
      <c r="AS242" s="314">
        <v>85.922481393112491</v>
      </c>
      <c r="AT242" s="314">
        <v>92.167656235427998</v>
      </c>
      <c r="AU242" s="314">
        <v>0</v>
      </c>
      <c r="AV242" s="314">
        <v>0</v>
      </c>
      <c r="AW242" s="314">
        <v>0</v>
      </c>
      <c r="AX242">
        <v>0</v>
      </c>
    </row>
    <row r="243" spans="1:50" x14ac:dyDescent="0.35">
      <c r="A243">
        <v>616</v>
      </c>
      <c r="B243" t="s">
        <v>0</v>
      </c>
      <c r="C243" t="s">
        <v>1933</v>
      </c>
      <c r="D243" t="s">
        <v>7</v>
      </c>
      <c r="E243" t="s">
        <v>1833</v>
      </c>
      <c r="F243">
        <v>2.0191699999999999</v>
      </c>
      <c r="G243">
        <v>2.0184820000000001</v>
      </c>
      <c r="H243">
        <v>2.0190999999999999</v>
      </c>
      <c r="I243">
        <v>2.01972</v>
      </c>
      <c r="J243" s="600">
        <v>8</v>
      </c>
      <c r="K243" s="7">
        <f t="shared" si="41"/>
        <v>10</v>
      </c>
      <c r="L243" s="7">
        <f t="shared" si="42"/>
        <v>0</v>
      </c>
      <c r="M243" s="243">
        <f t="shared" si="43"/>
        <v>1978.9877894736842</v>
      </c>
      <c r="N243" s="243">
        <f>INDEX($AN$4:$AN21139,MATCH($A243,$AH$4:$AH$2000,0))</f>
        <v>1978.9877894736842</v>
      </c>
      <c r="O243" s="243">
        <f t="shared" si="50"/>
        <v>1978.9877894736842</v>
      </c>
      <c r="P243" s="243">
        <f t="shared" si="44"/>
        <v>1978.9877894736842</v>
      </c>
      <c r="Q243" s="243">
        <f t="shared" si="45"/>
        <v>0</v>
      </c>
      <c r="R243" s="243">
        <f t="shared" si="46"/>
        <v>0</v>
      </c>
      <c r="S243" s="243">
        <f t="shared" si="51"/>
        <v>0</v>
      </c>
      <c r="T243" s="243">
        <f t="shared" si="47"/>
        <v>0</v>
      </c>
      <c r="AA243" s="6">
        <v>828</v>
      </c>
      <c r="AB243" t="s">
        <v>0</v>
      </c>
      <c r="AC243" t="s">
        <v>8</v>
      </c>
      <c r="AD243" t="s">
        <v>4</v>
      </c>
      <c r="AE243" t="s">
        <v>32</v>
      </c>
      <c r="AF243">
        <v>10.197838058331634</v>
      </c>
      <c r="AG243">
        <v>0</v>
      </c>
      <c r="AH243">
        <v>616</v>
      </c>
      <c r="AI243" t="s">
        <v>0</v>
      </c>
      <c r="AJ243" t="s">
        <v>1933</v>
      </c>
      <c r="AK243" t="s">
        <v>7</v>
      </c>
      <c r="AL243" t="s">
        <v>1833</v>
      </c>
      <c r="AM243" s="314">
        <v>1978.9877894736842</v>
      </c>
      <c r="AN243" s="314">
        <v>1978.9877894736842</v>
      </c>
      <c r="AO243" s="314">
        <v>1978.9877894736842</v>
      </c>
      <c r="AP243" s="314">
        <v>1978.9877894736842</v>
      </c>
      <c r="AQ243" s="314">
        <v>0.21378245614035085</v>
      </c>
      <c r="AR243" s="314">
        <v>0.21378245614035085</v>
      </c>
      <c r="AS243" s="314">
        <v>0.21378245614035085</v>
      </c>
      <c r="AT243" s="314">
        <v>0.21378245614035085</v>
      </c>
      <c r="AU243" s="314">
        <v>0</v>
      </c>
      <c r="AV243" s="314">
        <v>0</v>
      </c>
      <c r="AW243" s="314">
        <v>0</v>
      </c>
      <c r="AX243">
        <v>0</v>
      </c>
    </row>
    <row r="244" spans="1:50" x14ac:dyDescent="0.35">
      <c r="A244">
        <v>617</v>
      </c>
      <c r="B244" t="s">
        <v>0</v>
      </c>
      <c r="C244" t="s">
        <v>1933</v>
      </c>
      <c r="D244" t="s">
        <v>7</v>
      </c>
      <c r="E244" t="s">
        <v>1834</v>
      </c>
      <c r="F244">
        <v>4.0383399999999998</v>
      </c>
      <c r="G244">
        <v>4.0369640000000002</v>
      </c>
      <c r="H244">
        <v>3.0286499999999998</v>
      </c>
      <c r="I244">
        <v>4.0394399999999999</v>
      </c>
      <c r="J244" s="600">
        <v>15</v>
      </c>
      <c r="K244" s="7">
        <f t="shared" si="41"/>
        <v>10</v>
      </c>
      <c r="L244" s="7">
        <f t="shared" si="42"/>
        <v>0</v>
      </c>
      <c r="M244" s="243">
        <f t="shared" si="43"/>
        <v>5265.5439999999999</v>
      </c>
      <c r="N244" s="243">
        <f>INDEX($AN$4:$AN21140,MATCH($A244,$AH$4:$AH$2000,0))</f>
        <v>5265.5439999999999</v>
      </c>
      <c r="O244" s="243">
        <f t="shared" ref="O244:O263" si="52">INDEX($AO$4:$AO$2000,MATCH($A244,$AH$4:$AH$2000,0))</f>
        <v>3949.1579999999999</v>
      </c>
      <c r="P244" s="243">
        <f t="shared" si="44"/>
        <v>5265.5439999999999</v>
      </c>
      <c r="Q244" s="243">
        <f t="shared" si="45"/>
        <v>0</v>
      </c>
      <c r="R244" s="243">
        <f t="shared" si="46"/>
        <v>0</v>
      </c>
      <c r="S244" s="243">
        <f t="shared" ref="S244:S263" si="53">INDEX($AW$4:$AW$2000,MATCH($A244,$AH$4:$AH$2000,0))</f>
        <v>0</v>
      </c>
      <c r="T244" s="243">
        <f t="shared" si="47"/>
        <v>0</v>
      </c>
      <c r="AA244" s="6">
        <v>469</v>
      </c>
      <c r="AB244" t="s">
        <v>0</v>
      </c>
      <c r="AC244" t="s">
        <v>273</v>
      </c>
      <c r="AD244">
        <v>0</v>
      </c>
      <c r="AE244" t="s">
        <v>274</v>
      </c>
      <c r="AF244">
        <v>8</v>
      </c>
      <c r="AH244">
        <v>617</v>
      </c>
      <c r="AI244" t="s">
        <v>0</v>
      </c>
      <c r="AJ244" t="s">
        <v>1933</v>
      </c>
      <c r="AK244" t="s">
        <v>7</v>
      </c>
      <c r="AL244" t="s">
        <v>1834</v>
      </c>
      <c r="AM244" s="314">
        <v>5265.5439999999999</v>
      </c>
      <c r="AN244" s="314">
        <v>5265.5439999999999</v>
      </c>
      <c r="AO244" s="314">
        <v>3949.1579999999999</v>
      </c>
      <c r="AP244" s="314">
        <v>5265.5439999999999</v>
      </c>
      <c r="AQ244" s="314">
        <v>0</v>
      </c>
      <c r="AR244" s="314">
        <v>0</v>
      </c>
      <c r="AS244" s="314">
        <v>0</v>
      </c>
      <c r="AT244" s="314">
        <v>0</v>
      </c>
      <c r="AU244" s="314">
        <v>0</v>
      </c>
      <c r="AV244" s="314">
        <v>0</v>
      </c>
      <c r="AW244" s="314">
        <v>0</v>
      </c>
      <c r="AX244">
        <v>0</v>
      </c>
    </row>
    <row r="245" spans="1:50" x14ac:dyDescent="0.35">
      <c r="A245">
        <v>618</v>
      </c>
      <c r="B245" t="s">
        <v>0</v>
      </c>
      <c r="C245" t="s">
        <v>1933</v>
      </c>
      <c r="D245" t="s">
        <v>7</v>
      </c>
      <c r="E245" t="s">
        <v>1835</v>
      </c>
      <c r="F245">
        <v>14.13419</v>
      </c>
      <c r="G245">
        <v>14.129374</v>
      </c>
      <c r="H245">
        <v>13.12415</v>
      </c>
      <c r="I245">
        <v>14.13804</v>
      </c>
      <c r="J245" s="600">
        <v>55</v>
      </c>
      <c r="K245" s="7">
        <f t="shared" si="41"/>
        <v>10</v>
      </c>
      <c r="L245" s="7">
        <f t="shared" si="42"/>
        <v>0</v>
      </c>
      <c r="M245" s="243">
        <f t="shared" si="43"/>
        <v>21623.748186046509</v>
      </c>
      <c r="N245" s="243">
        <f>INDEX($AN$4:$AN21141,MATCH($A245,$AH$4:$AH$2000,0))</f>
        <v>21623.748186046509</v>
      </c>
      <c r="O245" s="243">
        <f t="shared" si="52"/>
        <v>20079.194744186047</v>
      </c>
      <c r="P245" s="243">
        <f t="shared" si="44"/>
        <v>21623.748186046509</v>
      </c>
      <c r="Q245" s="243">
        <f t="shared" si="45"/>
        <v>0</v>
      </c>
      <c r="R245" s="243">
        <f t="shared" si="46"/>
        <v>0</v>
      </c>
      <c r="S245" s="243">
        <f t="shared" si="53"/>
        <v>0</v>
      </c>
      <c r="T245" s="243">
        <f t="shared" si="47"/>
        <v>0</v>
      </c>
      <c r="AA245" s="6">
        <v>468</v>
      </c>
      <c r="AB245" t="s">
        <v>0</v>
      </c>
      <c r="AC245" t="s">
        <v>273</v>
      </c>
      <c r="AD245">
        <v>0</v>
      </c>
      <c r="AE245" t="s">
        <v>275</v>
      </c>
      <c r="AF245">
        <v>8</v>
      </c>
      <c r="AH245">
        <v>618</v>
      </c>
      <c r="AI245" t="s">
        <v>0</v>
      </c>
      <c r="AJ245" t="s">
        <v>1933</v>
      </c>
      <c r="AK245" t="s">
        <v>7</v>
      </c>
      <c r="AL245" t="s">
        <v>1835</v>
      </c>
      <c r="AM245" s="314">
        <v>21623.748186046509</v>
      </c>
      <c r="AN245" s="314">
        <v>21623.748186046509</v>
      </c>
      <c r="AO245" s="314">
        <v>20079.194744186047</v>
      </c>
      <c r="AP245" s="314">
        <v>21623.748186046509</v>
      </c>
      <c r="AQ245" s="314">
        <v>1.5699239263803679</v>
      </c>
      <c r="AR245" s="314">
        <v>1.5699239263803679</v>
      </c>
      <c r="AS245" s="314">
        <v>1.4577865030674846</v>
      </c>
      <c r="AT245" s="314">
        <v>1.5699239263803679</v>
      </c>
      <c r="AU245" s="314">
        <v>0</v>
      </c>
      <c r="AV245" s="314">
        <v>0</v>
      </c>
      <c r="AW245" s="314">
        <v>0</v>
      </c>
      <c r="AX245">
        <v>0</v>
      </c>
    </row>
    <row r="246" spans="1:50" x14ac:dyDescent="0.35">
      <c r="A246">
        <v>619</v>
      </c>
      <c r="B246" t="s">
        <v>0</v>
      </c>
      <c r="C246" t="s">
        <v>1933</v>
      </c>
      <c r="D246" t="s">
        <v>7</v>
      </c>
      <c r="E246" t="s">
        <v>1836</v>
      </c>
      <c r="F246">
        <v>45</v>
      </c>
      <c r="G246">
        <v>45</v>
      </c>
      <c r="H246">
        <v>42</v>
      </c>
      <c r="I246">
        <v>45</v>
      </c>
      <c r="J246" s="600">
        <v>177</v>
      </c>
      <c r="K246" s="7">
        <f t="shared" si="41"/>
        <v>10</v>
      </c>
      <c r="L246" s="7">
        <f t="shared" si="42"/>
        <v>0</v>
      </c>
      <c r="M246" s="243">
        <f t="shared" si="43"/>
        <v>12905.351826320932</v>
      </c>
      <c r="N246" s="243">
        <f>INDEX($AN$4:$AN21142,MATCH($A246,$AH$4:$AH$2000,0))</f>
        <v>12905.351826320932</v>
      </c>
      <c r="O246" s="243">
        <f t="shared" si="52"/>
        <v>12044.995037899536</v>
      </c>
      <c r="P246" s="243">
        <f t="shared" si="44"/>
        <v>12905.351826320932</v>
      </c>
      <c r="Q246" s="243">
        <f t="shared" si="45"/>
        <v>2867.13</v>
      </c>
      <c r="R246" s="243">
        <f t="shared" si="46"/>
        <v>2867.13</v>
      </c>
      <c r="S246" s="243">
        <f t="shared" si="53"/>
        <v>2675.9879999999998</v>
      </c>
      <c r="T246" s="243">
        <f t="shared" si="47"/>
        <v>2867.13</v>
      </c>
      <c r="AA246" s="6">
        <v>491</v>
      </c>
      <c r="AB246" t="s">
        <v>0</v>
      </c>
      <c r="AC246" t="s">
        <v>33</v>
      </c>
      <c r="AD246" t="s">
        <v>34</v>
      </c>
      <c r="AE246" t="s">
        <v>2</v>
      </c>
      <c r="AF246">
        <v>10</v>
      </c>
      <c r="AG246">
        <v>6</v>
      </c>
      <c r="AH246">
        <v>619</v>
      </c>
      <c r="AI246" t="s">
        <v>0</v>
      </c>
      <c r="AJ246" t="s">
        <v>1933</v>
      </c>
      <c r="AK246" t="s">
        <v>7</v>
      </c>
      <c r="AL246" t="s">
        <v>1836</v>
      </c>
      <c r="AM246" s="314">
        <v>12905.351826320932</v>
      </c>
      <c r="AN246" s="314">
        <v>12905.351826320932</v>
      </c>
      <c r="AO246" s="314">
        <v>12044.995037899536</v>
      </c>
      <c r="AP246" s="314">
        <v>12905.351826320932</v>
      </c>
      <c r="AQ246" s="314">
        <v>5.0461840490797538</v>
      </c>
      <c r="AR246" s="314">
        <v>5.0461840490797538</v>
      </c>
      <c r="AS246" s="314">
        <v>4.7097717791411036</v>
      </c>
      <c r="AT246" s="314">
        <v>5.0461840490797538</v>
      </c>
      <c r="AU246" s="314">
        <v>2867.13</v>
      </c>
      <c r="AV246" s="314">
        <v>2867.13</v>
      </c>
      <c r="AW246" s="314">
        <v>2675.9879999999998</v>
      </c>
      <c r="AX246">
        <v>2867.13</v>
      </c>
    </row>
    <row r="247" spans="1:50" x14ac:dyDescent="0.35">
      <c r="A247">
        <v>620</v>
      </c>
      <c r="B247" t="s">
        <v>0</v>
      </c>
      <c r="C247" t="s">
        <v>1933</v>
      </c>
      <c r="D247" t="s">
        <v>7</v>
      </c>
      <c r="E247" t="s">
        <v>1837</v>
      </c>
      <c r="F247">
        <v>45</v>
      </c>
      <c r="G247">
        <v>45</v>
      </c>
      <c r="H247">
        <v>42</v>
      </c>
      <c r="I247">
        <v>45</v>
      </c>
      <c r="J247" s="600">
        <v>177</v>
      </c>
      <c r="K247" s="7">
        <f t="shared" si="41"/>
        <v>10</v>
      </c>
      <c r="L247" s="7">
        <f t="shared" si="42"/>
        <v>0</v>
      </c>
      <c r="M247" s="243">
        <f t="shared" si="43"/>
        <v>12905.351826320932</v>
      </c>
      <c r="N247" s="243">
        <f>INDEX($AN$4:$AN21143,MATCH($A247,$AH$4:$AH$2000,0))</f>
        <v>12905.351826320932</v>
      </c>
      <c r="O247" s="243">
        <f t="shared" si="52"/>
        <v>12044.995037899536</v>
      </c>
      <c r="P247" s="243">
        <f t="shared" si="44"/>
        <v>12905.351826320932</v>
      </c>
      <c r="Q247" s="243">
        <f t="shared" si="45"/>
        <v>2867.13</v>
      </c>
      <c r="R247" s="243">
        <f t="shared" si="46"/>
        <v>2867.13</v>
      </c>
      <c r="S247" s="243">
        <f t="shared" si="53"/>
        <v>2675.9879999999998</v>
      </c>
      <c r="T247" s="243">
        <f t="shared" si="47"/>
        <v>2867.13</v>
      </c>
      <c r="AA247" s="6">
        <v>498</v>
      </c>
      <c r="AB247" t="s">
        <v>0</v>
      </c>
      <c r="AC247" t="s">
        <v>33</v>
      </c>
      <c r="AD247" t="s">
        <v>34</v>
      </c>
      <c r="AE247" t="s">
        <v>35</v>
      </c>
      <c r="AF247">
        <v>10</v>
      </c>
      <c r="AG247">
        <v>0</v>
      </c>
      <c r="AH247">
        <v>620</v>
      </c>
      <c r="AI247" t="s">
        <v>0</v>
      </c>
      <c r="AJ247" t="s">
        <v>1933</v>
      </c>
      <c r="AK247" t="s">
        <v>7</v>
      </c>
      <c r="AL247" t="s">
        <v>1837</v>
      </c>
      <c r="AM247" s="314">
        <v>12905.351826320932</v>
      </c>
      <c r="AN247" s="314">
        <v>12905.351826320932</v>
      </c>
      <c r="AO247" s="314">
        <v>12044.995037899536</v>
      </c>
      <c r="AP247" s="314">
        <v>12905.351826320932</v>
      </c>
      <c r="AQ247" s="314">
        <v>5.0461840490797538</v>
      </c>
      <c r="AR247" s="314">
        <v>5.0461840490797538</v>
      </c>
      <c r="AS247" s="314">
        <v>4.7097717791411036</v>
      </c>
      <c r="AT247" s="314">
        <v>5.0461840490797538</v>
      </c>
      <c r="AU247" s="314">
        <v>2867.13</v>
      </c>
      <c r="AV247" s="314">
        <v>2867.13</v>
      </c>
      <c r="AW247" s="314">
        <v>2675.9879999999998</v>
      </c>
      <c r="AX247">
        <v>2867.13</v>
      </c>
    </row>
    <row r="248" spans="1:50" x14ac:dyDescent="0.35">
      <c r="A248">
        <v>587</v>
      </c>
      <c r="B248" t="s">
        <v>0</v>
      </c>
      <c r="C248" t="s">
        <v>1933</v>
      </c>
      <c r="D248" t="s">
        <v>7</v>
      </c>
      <c r="E248" t="s">
        <v>1838</v>
      </c>
      <c r="F248">
        <v>32.306719999999999</v>
      </c>
      <c r="G248">
        <v>32.295712000000002</v>
      </c>
      <c r="H248">
        <v>29.276949999999999</v>
      </c>
      <c r="I248">
        <v>32.315519999999999</v>
      </c>
      <c r="J248" s="600">
        <v>125</v>
      </c>
      <c r="K248" s="7">
        <f t="shared" si="41"/>
        <v>20</v>
      </c>
      <c r="L248" s="7">
        <f t="shared" si="42"/>
        <v>0</v>
      </c>
      <c r="M248" s="243">
        <f t="shared" si="43"/>
        <v>34491.845423456733</v>
      </c>
      <c r="N248" s="243">
        <f>INDEX($AN$4:$AN21144,MATCH($A248,$AH$4:$AH$2000,0))</f>
        <v>34491.845423456733</v>
      </c>
      <c r="O248" s="243">
        <f t="shared" si="52"/>
        <v>31258.234915007662</v>
      </c>
      <c r="P248" s="243">
        <f t="shared" si="44"/>
        <v>34491.845423456733</v>
      </c>
      <c r="Q248" s="243">
        <f t="shared" si="45"/>
        <v>0</v>
      </c>
      <c r="R248" s="243">
        <f t="shared" si="46"/>
        <v>0</v>
      </c>
      <c r="S248" s="243">
        <f t="shared" si="53"/>
        <v>0</v>
      </c>
      <c r="T248" s="243">
        <f t="shared" si="47"/>
        <v>0</v>
      </c>
      <c r="AA248" s="6">
        <v>494</v>
      </c>
      <c r="AB248" t="s">
        <v>0</v>
      </c>
      <c r="AC248" t="s">
        <v>33</v>
      </c>
      <c r="AD248" t="s">
        <v>34</v>
      </c>
      <c r="AE248" t="s">
        <v>36</v>
      </c>
      <c r="AF248">
        <v>9</v>
      </c>
      <c r="AG248">
        <v>0</v>
      </c>
      <c r="AH248">
        <v>587</v>
      </c>
      <c r="AI248" t="s">
        <v>0</v>
      </c>
      <c r="AJ248" t="s">
        <v>1933</v>
      </c>
      <c r="AK248" t="s">
        <v>7</v>
      </c>
      <c r="AL248" t="s">
        <v>1838</v>
      </c>
      <c r="AM248" s="314">
        <v>34491.845423456733</v>
      </c>
      <c r="AN248" s="314">
        <v>34491.845423456733</v>
      </c>
      <c r="AO248" s="314">
        <v>31258.234915007662</v>
      </c>
      <c r="AP248" s="314">
        <v>34491.845423456733</v>
      </c>
      <c r="AQ248" s="314">
        <v>0</v>
      </c>
      <c r="AR248" s="314">
        <v>0</v>
      </c>
      <c r="AS248" s="314">
        <v>0</v>
      </c>
      <c r="AT248" s="314">
        <v>0</v>
      </c>
      <c r="AU248" s="314">
        <v>0</v>
      </c>
      <c r="AV248" s="314">
        <v>0</v>
      </c>
      <c r="AW248" s="314">
        <v>0</v>
      </c>
      <c r="AX248">
        <v>0</v>
      </c>
    </row>
    <row r="249" spans="1:50" x14ac:dyDescent="0.35">
      <c r="A249">
        <v>589</v>
      </c>
      <c r="B249" t="s">
        <v>0</v>
      </c>
      <c r="C249" t="s">
        <v>1933</v>
      </c>
      <c r="D249" t="s">
        <v>7</v>
      </c>
      <c r="E249" t="s">
        <v>1769</v>
      </c>
      <c r="F249">
        <v>20.191699999999997</v>
      </c>
      <c r="G249">
        <v>20.184820000000002</v>
      </c>
      <c r="H249">
        <v>19.181449999999998</v>
      </c>
      <c r="I249">
        <v>20.197199999999999</v>
      </c>
      <c r="J249" s="600">
        <v>79</v>
      </c>
      <c r="K249" s="7">
        <f t="shared" si="41"/>
        <v>20</v>
      </c>
      <c r="L249" s="7">
        <f t="shared" si="42"/>
        <v>0</v>
      </c>
      <c r="M249" s="243">
        <f t="shared" si="43"/>
        <v>25344.45938966046</v>
      </c>
      <c r="N249" s="243">
        <f>INDEX($AN$4:$AN21145,MATCH($A249,$AH$4:$AH$2000,0))</f>
        <v>25344.45938966046</v>
      </c>
      <c r="O249" s="243">
        <f t="shared" si="52"/>
        <v>24077.236420177436</v>
      </c>
      <c r="P249" s="243">
        <f t="shared" si="44"/>
        <v>25344.45938966046</v>
      </c>
      <c r="Q249" s="243">
        <f t="shared" si="45"/>
        <v>0</v>
      </c>
      <c r="R249" s="243">
        <f t="shared" si="46"/>
        <v>0</v>
      </c>
      <c r="S249" s="243">
        <f t="shared" si="53"/>
        <v>0</v>
      </c>
      <c r="T249" s="243">
        <f t="shared" si="47"/>
        <v>0</v>
      </c>
      <c r="AA249" s="6">
        <v>496</v>
      </c>
      <c r="AB249" t="s">
        <v>0</v>
      </c>
      <c r="AC249" t="s">
        <v>33</v>
      </c>
      <c r="AD249" t="s">
        <v>34</v>
      </c>
      <c r="AE249" t="s">
        <v>37</v>
      </c>
      <c r="AF249">
        <v>9</v>
      </c>
      <c r="AG249">
        <v>0</v>
      </c>
      <c r="AH249">
        <v>589</v>
      </c>
      <c r="AI249" t="s">
        <v>0</v>
      </c>
      <c r="AJ249" t="s">
        <v>1933</v>
      </c>
      <c r="AK249" t="s">
        <v>7</v>
      </c>
      <c r="AL249" t="s">
        <v>1769</v>
      </c>
      <c r="AM249" s="314">
        <v>25344.45938966046</v>
      </c>
      <c r="AN249" s="314">
        <v>25344.45938966046</v>
      </c>
      <c r="AO249" s="314">
        <v>24077.236420177436</v>
      </c>
      <c r="AP249" s="314">
        <v>25344.45938966046</v>
      </c>
      <c r="AQ249" s="314">
        <v>3.8841600000000005</v>
      </c>
      <c r="AR249" s="314">
        <v>3.8841600000000005</v>
      </c>
      <c r="AS249" s="314">
        <v>3.6899520000000003</v>
      </c>
      <c r="AT249" s="314">
        <v>3.8841600000000005</v>
      </c>
      <c r="AU249" s="314">
        <v>0</v>
      </c>
      <c r="AV249" s="314">
        <v>0</v>
      </c>
      <c r="AW249" s="314">
        <v>0</v>
      </c>
      <c r="AX249">
        <v>0</v>
      </c>
    </row>
    <row r="250" spans="1:50" x14ac:dyDescent="0.35">
      <c r="A250">
        <v>591</v>
      </c>
      <c r="B250" t="s">
        <v>0</v>
      </c>
      <c r="C250" t="s">
        <v>1933</v>
      </c>
      <c r="D250" t="s">
        <v>7</v>
      </c>
      <c r="E250" t="s">
        <v>1839</v>
      </c>
      <c r="F250">
        <v>16</v>
      </c>
      <c r="G250">
        <v>16</v>
      </c>
      <c r="H250">
        <v>15</v>
      </c>
      <c r="I250">
        <v>16</v>
      </c>
      <c r="J250" s="600">
        <v>63</v>
      </c>
      <c r="K250" s="7">
        <f t="shared" si="41"/>
        <v>20</v>
      </c>
      <c r="L250" s="7">
        <f t="shared" si="42"/>
        <v>0</v>
      </c>
      <c r="M250" s="243">
        <f t="shared" si="43"/>
        <v>2700.5172597846622</v>
      </c>
      <c r="N250" s="243">
        <f>INDEX($AN$4:$AN21146,MATCH($A250,$AH$4:$AH$2000,0))</f>
        <v>2700.5172597846622</v>
      </c>
      <c r="O250" s="243">
        <f t="shared" si="52"/>
        <v>2531.7349310481209</v>
      </c>
      <c r="P250" s="243">
        <f t="shared" si="44"/>
        <v>2700.5172597846622</v>
      </c>
      <c r="Q250" s="243">
        <f t="shared" si="45"/>
        <v>2935.2810371346955</v>
      </c>
      <c r="R250" s="243">
        <f t="shared" si="46"/>
        <v>2935.2810371346955</v>
      </c>
      <c r="S250" s="243">
        <f t="shared" si="53"/>
        <v>2751.8259723137771</v>
      </c>
      <c r="T250" s="243">
        <f t="shared" si="47"/>
        <v>2935.2810371346955</v>
      </c>
      <c r="AA250" s="6">
        <v>501</v>
      </c>
      <c r="AB250" t="s">
        <v>0</v>
      </c>
      <c r="AC250" t="s">
        <v>33</v>
      </c>
      <c r="AD250" t="s">
        <v>34</v>
      </c>
      <c r="AE250" t="s">
        <v>38</v>
      </c>
      <c r="AF250">
        <v>2</v>
      </c>
      <c r="AG250">
        <v>0</v>
      </c>
      <c r="AH250">
        <v>591</v>
      </c>
      <c r="AI250" t="s">
        <v>0</v>
      </c>
      <c r="AJ250" t="s">
        <v>1933</v>
      </c>
      <c r="AK250" t="s">
        <v>7</v>
      </c>
      <c r="AL250" t="s">
        <v>1839</v>
      </c>
      <c r="AM250" s="314">
        <v>2700.5172597846622</v>
      </c>
      <c r="AN250" s="314">
        <v>2700.5172597846622</v>
      </c>
      <c r="AO250" s="314">
        <v>2531.7349310481209</v>
      </c>
      <c r="AP250" s="314">
        <v>2700.5172597846622</v>
      </c>
      <c r="AQ250" s="314">
        <v>0</v>
      </c>
      <c r="AR250" s="314">
        <v>0</v>
      </c>
      <c r="AS250" s="314">
        <v>0</v>
      </c>
      <c r="AT250" s="314">
        <v>0</v>
      </c>
      <c r="AU250" s="314">
        <v>2935.2810371346955</v>
      </c>
      <c r="AV250" s="314">
        <v>2935.2810371346955</v>
      </c>
      <c r="AW250" s="314">
        <v>2751.8259723137771</v>
      </c>
      <c r="AX250">
        <v>2935.2810371346955</v>
      </c>
    </row>
    <row r="251" spans="1:50" x14ac:dyDescent="0.35">
      <c r="A251">
        <v>593</v>
      </c>
      <c r="B251" t="s">
        <v>0</v>
      </c>
      <c r="C251" t="s">
        <v>1933</v>
      </c>
      <c r="D251" t="s">
        <v>7</v>
      </c>
      <c r="E251" t="s">
        <v>1770</v>
      </c>
      <c r="F251">
        <v>65</v>
      </c>
      <c r="G251">
        <v>65</v>
      </c>
      <c r="H251">
        <v>60</v>
      </c>
      <c r="I251">
        <v>64</v>
      </c>
      <c r="J251" s="600">
        <v>254</v>
      </c>
      <c r="K251" s="7">
        <f t="shared" si="41"/>
        <v>20</v>
      </c>
      <c r="L251" s="7">
        <f t="shared" si="42"/>
        <v>0</v>
      </c>
      <c r="M251" s="243">
        <f t="shared" si="43"/>
        <v>23278.783367875189</v>
      </c>
      <c r="N251" s="243">
        <f>INDEX($AN$4:$AN21147,MATCH($A251,$AH$4:$AH$2000,0))</f>
        <v>23278.783367875189</v>
      </c>
      <c r="O251" s="243">
        <f t="shared" si="52"/>
        <v>21488.107724192483</v>
      </c>
      <c r="P251" s="243">
        <f t="shared" si="44"/>
        <v>22920.648239138649</v>
      </c>
      <c r="Q251" s="243">
        <f t="shared" si="45"/>
        <v>11924.579213359701</v>
      </c>
      <c r="R251" s="243">
        <f t="shared" si="46"/>
        <v>11924.579213359701</v>
      </c>
      <c r="S251" s="243">
        <f t="shared" si="53"/>
        <v>11007.303889255109</v>
      </c>
      <c r="T251" s="243">
        <f t="shared" si="47"/>
        <v>11741.124148538782</v>
      </c>
      <c r="AA251" s="6">
        <v>499</v>
      </c>
      <c r="AB251" t="s">
        <v>0</v>
      </c>
      <c r="AC251" t="s">
        <v>33</v>
      </c>
      <c r="AD251" t="s">
        <v>34</v>
      </c>
      <c r="AE251" t="s">
        <v>39</v>
      </c>
      <c r="AF251">
        <v>10</v>
      </c>
      <c r="AG251">
        <v>0</v>
      </c>
      <c r="AH251">
        <v>593</v>
      </c>
      <c r="AI251" t="s">
        <v>0</v>
      </c>
      <c r="AJ251" t="s">
        <v>1933</v>
      </c>
      <c r="AK251" t="s">
        <v>7</v>
      </c>
      <c r="AL251" t="s">
        <v>1770</v>
      </c>
      <c r="AM251" s="314">
        <v>23278.783367875189</v>
      </c>
      <c r="AN251" s="314">
        <v>23278.783367875189</v>
      </c>
      <c r="AO251" s="314">
        <v>21488.107724192483</v>
      </c>
      <c r="AP251" s="314">
        <v>22920.648239138649</v>
      </c>
      <c r="AQ251" s="314">
        <v>12.623520000000001</v>
      </c>
      <c r="AR251" s="314">
        <v>12.623520000000001</v>
      </c>
      <c r="AS251" s="314">
        <v>11.652480000000001</v>
      </c>
      <c r="AT251" s="314">
        <v>12.429312000000001</v>
      </c>
      <c r="AU251" s="314">
        <v>11924.579213359701</v>
      </c>
      <c r="AV251" s="314">
        <v>11924.579213359701</v>
      </c>
      <c r="AW251" s="314">
        <v>11007.303889255109</v>
      </c>
      <c r="AX251">
        <v>11741.124148538782</v>
      </c>
    </row>
    <row r="252" spans="1:50" x14ac:dyDescent="0.35">
      <c r="A252">
        <v>561</v>
      </c>
      <c r="B252" t="s">
        <v>0</v>
      </c>
      <c r="C252" t="s">
        <v>1933</v>
      </c>
      <c r="D252" t="s">
        <v>7</v>
      </c>
      <c r="E252" t="s">
        <v>1840</v>
      </c>
      <c r="F252">
        <v>718</v>
      </c>
      <c r="G252">
        <v>720</v>
      </c>
      <c r="H252">
        <v>664</v>
      </c>
      <c r="I252">
        <v>712</v>
      </c>
      <c r="J252" s="600">
        <v>2814</v>
      </c>
      <c r="K252" s="7">
        <f t="shared" si="41"/>
        <v>15</v>
      </c>
      <c r="L252" s="7">
        <f t="shared" si="42"/>
        <v>0</v>
      </c>
      <c r="M252" s="243">
        <f t="shared" si="43"/>
        <v>316638.00000000006</v>
      </c>
      <c r="N252" s="243">
        <f>INDEX($AN$4:$AN21148,MATCH($A252,$AH$4:$AH$2000,0))</f>
        <v>317520.00000000006</v>
      </c>
      <c r="O252" s="243">
        <f t="shared" si="52"/>
        <v>292824.00000000006</v>
      </c>
      <c r="P252" s="243">
        <f t="shared" si="44"/>
        <v>313992.00000000006</v>
      </c>
      <c r="Q252" s="243">
        <f t="shared" si="45"/>
        <v>82917.077860465128</v>
      </c>
      <c r="R252" s="243">
        <f t="shared" si="46"/>
        <v>83148.044651162811</v>
      </c>
      <c r="S252" s="243">
        <f t="shared" si="53"/>
        <v>76680.974511627923</v>
      </c>
      <c r="T252" s="243">
        <f t="shared" si="47"/>
        <v>82224.177488372108</v>
      </c>
      <c r="AA252" s="6">
        <v>495</v>
      </c>
      <c r="AB252" t="s">
        <v>0</v>
      </c>
      <c r="AC252" t="s">
        <v>33</v>
      </c>
      <c r="AD252" t="s">
        <v>34</v>
      </c>
      <c r="AE252" t="s">
        <v>40</v>
      </c>
      <c r="AF252">
        <v>9</v>
      </c>
      <c r="AG252">
        <v>0</v>
      </c>
      <c r="AH252">
        <v>561</v>
      </c>
      <c r="AI252" t="s">
        <v>0</v>
      </c>
      <c r="AJ252" t="s">
        <v>1933</v>
      </c>
      <c r="AK252" t="s">
        <v>7</v>
      </c>
      <c r="AL252" t="s">
        <v>1840</v>
      </c>
      <c r="AM252" s="314">
        <v>316638.00000000006</v>
      </c>
      <c r="AN252" s="314">
        <v>317520.00000000006</v>
      </c>
      <c r="AO252" s="314">
        <v>292824.00000000006</v>
      </c>
      <c r="AP252" s="314">
        <v>313992.00000000006</v>
      </c>
      <c r="AQ252" s="314">
        <v>245.87141609911305</v>
      </c>
      <c r="AR252" s="314">
        <v>246.55629469548941</v>
      </c>
      <c r="AS252" s="314">
        <v>227.37969399695135</v>
      </c>
      <c r="AT252" s="314">
        <v>243.81678030998398</v>
      </c>
      <c r="AU252" s="314">
        <v>82917.077860465128</v>
      </c>
      <c r="AV252" s="314">
        <v>83148.044651162811</v>
      </c>
      <c r="AW252" s="314">
        <v>76680.974511627923</v>
      </c>
      <c r="AX252">
        <v>82224.177488372108</v>
      </c>
    </row>
    <row r="253" spans="1:50" x14ac:dyDescent="0.35">
      <c r="A253">
        <v>570</v>
      </c>
      <c r="B253" t="s">
        <v>0</v>
      </c>
      <c r="C253" t="s">
        <v>1933</v>
      </c>
      <c r="D253" t="s">
        <v>7</v>
      </c>
      <c r="E253" t="s">
        <v>1841</v>
      </c>
      <c r="F253">
        <v>179</v>
      </c>
      <c r="G253">
        <v>180</v>
      </c>
      <c r="H253">
        <v>166</v>
      </c>
      <c r="I253">
        <v>178</v>
      </c>
      <c r="J253" s="600">
        <v>703</v>
      </c>
      <c r="K253" s="7">
        <f t="shared" si="41"/>
        <v>25</v>
      </c>
      <c r="L253" s="7">
        <f t="shared" si="42"/>
        <v>0</v>
      </c>
      <c r="M253" s="243">
        <f t="shared" si="43"/>
        <v>36119.346614248971</v>
      </c>
      <c r="N253" s="243">
        <f>INDEX($AN$4:$AN21149,MATCH($A253,$AH$4:$AH$2000,0))</f>
        <v>36321.130673546446</v>
      </c>
      <c r="O253" s="243">
        <f t="shared" si="52"/>
        <v>33496.153843381726</v>
      </c>
      <c r="P253" s="243">
        <f t="shared" si="44"/>
        <v>35917.562554951488</v>
      </c>
      <c r="Q253" s="243">
        <f t="shared" si="45"/>
        <v>12799.011558714992</v>
      </c>
      <c r="R253" s="243">
        <f t="shared" si="46"/>
        <v>12870.514416584909</v>
      </c>
      <c r="S253" s="243">
        <f t="shared" si="53"/>
        <v>11869.474406406081</v>
      </c>
      <c r="T253" s="243">
        <f t="shared" si="47"/>
        <v>12727.508700845076</v>
      </c>
      <c r="AA253" s="6">
        <v>497</v>
      </c>
      <c r="AB253" t="s">
        <v>0</v>
      </c>
      <c r="AC253" t="s">
        <v>33</v>
      </c>
      <c r="AD253" t="s">
        <v>34</v>
      </c>
      <c r="AE253" t="s">
        <v>41</v>
      </c>
      <c r="AF253">
        <v>9</v>
      </c>
      <c r="AG253">
        <v>0</v>
      </c>
      <c r="AH253">
        <v>570</v>
      </c>
      <c r="AI253" t="s">
        <v>0</v>
      </c>
      <c r="AJ253" t="s">
        <v>1933</v>
      </c>
      <c r="AK253" t="s">
        <v>7</v>
      </c>
      <c r="AL253" t="s">
        <v>1841</v>
      </c>
      <c r="AM253" s="314">
        <v>36119.346614248971</v>
      </c>
      <c r="AN253" s="314">
        <v>36321.130673546446</v>
      </c>
      <c r="AO253" s="314">
        <v>33496.153843381726</v>
      </c>
      <c r="AP253" s="314">
        <v>35917.562554951488</v>
      </c>
      <c r="AQ253" s="314">
        <v>24.108331088529265</v>
      </c>
      <c r="AR253" s="314">
        <v>24.243014502431663</v>
      </c>
      <c r="AS253" s="314">
        <v>22.35744670779809</v>
      </c>
      <c r="AT253" s="314">
        <v>23.973647674626868</v>
      </c>
      <c r="AU253" s="314">
        <v>12799.011558714992</v>
      </c>
      <c r="AV253" s="314">
        <v>12870.514416584909</v>
      </c>
      <c r="AW253" s="314">
        <v>11869.474406406081</v>
      </c>
      <c r="AX253">
        <v>12727.508700845076</v>
      </c>
    </row>
    <row r="254" spans="1:50" x14ac:dyDescent="0.35">
      <c r="A254">
        <v>578</v>
      </c>
      <c r="B254" t="s">
        <v>0</v>
      </c>
      <c r="C254" t="s">
        <v>1933</v>
      </c>
      <c r="D254" t="s">
        <v>7</v>
      </c>
      <c r="E254" t="s">
        <v>1842</v>
      </c>
      <c r="F254">
        <v>45</v>
      </c>
      <c r="G254">
        <v>45</v>
      </c>
      <c r="H254">
        <v>42</v>
      </c>
      <c r="I254">
        <v>45</v>
      </c>
      <c r="J254" s="600">
        <v>177</v>
      </c>
      <c r="K254" s="7">
        <f t="shared" si="41"/>
        <v>25</v>
      </c>
      <c r="L254" s="7">
        <f t="shared" si="42"/>
        <v>0</v>
      </c>
      <c r="M254" s="243">
        <f t="shared" si="43"/>
        <v>23871.871174995111</v>
      </c>
      <c r="N254" s="243">
        <f>INDEX($AN$4:$AN21150,MATCH($A254,$AH$4:$AH$2000,0))</f>
        <v>23871.871174995111</v>
      </c>
      <c r="O254" s="243">
        <f t="shared" si="52"/>
        <v>22280.413096662105</v>
      </c>
      <c r="P254" s="243">
        <f t="shared" si="44"/>
        <v>23871.871174995111</v>
      </c>
      <c r="Q254" s="243">
        <f t="shared" si="45"/>
        <v>8651.8458022598534</v>
      </c>
      <c r="R254" s="243">
        <f t="shared" si="46"/>
        <v>8651.8458022598534</v>
      </c>
      <c r="S254" s="243">
        <f t="shared" si="53"/>
        <v>8075.0560821091967</v>
      </c>
      <c r="T254" s="243">
        <f t="shared" si="47"/>
        <v>8651.8458022598534</v>
      </c>
      <c r="AA254" s="6">
        <v>502</v>
      </c>
      <c r="AB254" t="s">
        <v>0</v>
      </c>
      <c r="AC254" t="s">
        <v>33</v>
      </c>
      <c r="AD254" t="s">
        <v>34</v>
      </c>
      <c r="AE254" t="s">
        <v>42</v>
      </c>
      <c r="AF254">
        <v>2</v>
      </c>
      <c r="AG254">
        <v>0</v>
      </c>
      <c r="AH254">
        <v>578</v>
      </c>
      <c r="AI254" t="s">
        <v>0</v>
      </c>
      <c r="AJ254" t="s">
        <v>1933</v>
      </c>
      <c r="AK254" t="s">
        <v>7</v>
      </c>
      <c r="AL254" t="s">
        <v>1842</v>
      </c>
      <c r="AM254" s="314">
        <v>23871.871174995111</v>
      </c>
      <c r="AN254" s="314">
        <v>23871.871174995111</v>
      </c>
      <c r="AO254" s="314">
        <v>22280.413096662105</v>
      </c>
      <c r="AP254" s="314">
        <v>23871.871174995111</v>
      </c>
      <c r="AQ254" s="314">
        <v>16.296693082190167</v>
      </c>
      <c r="AR254" s="314">
        <v>16.296693082190167</v>
      </c>
      <c r="AS254" s="314">
        <v>15.210246876710821</v>
      </c>
      <c r="AT254" s="314">
        <v>16.296693082190167</v>
      </c>
      <c r="AU254" s="314">
        <v>8651.8458022598534</v>
      </c>
      <c r="AV254" s="314">
        <v>8651.8458022598534</v>
      </c>
      <c r="AW254" s="314">
        <v>8075.0560821091967</v>
      </c>
      <c r="AX254">
        <v>8651.8458022598534</v>
      </c>
    </row>
    <row r="255" spans="1:50" x14ac:dyDescent="0.35">
      <c r="A255">
        <v>569</v>
      </c>
      <c r="B255" t="s">
        <v>0</v>
      </c>
      <c r="C255" t="s">
        <v>1933</v>
      </c>
      <c r="D255" t="s">
        <v>7</v>
      </c>
      <c r="E255" t="s">
        <v>1790</v>
      </c>
      <c r="F255">
        <v>80.637200000000007</v>
      </c>
      <c r="G255">
        <v>80.919300000000007</v>
      </c>
      <c r="H255">
        <v>74.604599999999991</v>
      </c>
      <c r="I255">
        <v>80.027147899999989</v>
      </c>
      <c r="J255" s="600">
        <v>316.18824790000002</v>
      </c>
      <c r="K255" s="7">
        <f t="shared" si="41"/>
        <v>25</v>
      </c>
      <c r="L255" s="7">
        <f t="shared" si="42"/>
        <v>0</v>
      </c>
      <c r="M255" s="243">
        <f t="shared" si="43"/>
        <v>16271.301546382778</v>
      </c>
      <c r="N255" s="243">
        <f>INDEX($AN$4:$AN21151,MATCH($A255,$AH$4:$AH$2000,0))</f>
        <v>16328.224829510596</v>
      </c>
      <c r="O255" s="243">
        <f t="shared" si="52"/>
        <v>15054.019030264795</v>
      </c>
      <c r="P255" s="243">
        <f t="shared" si="44"/>
        <v>16148.202757261821</v>
      </c>
      <c r="Q255" s="243">
        <f t="shared" si="45"/>
        <v>5765.7902506280034</v>
      </c>
      <c r="R255" s="243">
        <f t="shared" si="46"/>
        <v>5785.9612068331071</v>
      </c>
      <c r="S255" s="243">
        <f t="shared" si="53"/>
        <v>5334.4421102419465</v>
      </c>
      <c r="T255" s="243">
        <f t="shared" si="47"/>
        <v>5722.169782028458</v>
      </c>
      <c r="AA255" s="6">
        <v>492</v>
      </c>
      <c r="AB255" t="s">
        <v>0</v>
      </c>
      <c r="AC255" t="s">
        <v>33</v>
      </c>
      <c r="AD255" t="s">
        <v>34</v>
      </c>
      <c r="AE255" t="s">
        <v>276</v>
      </c>
      <c r="AF255">
        <v>10</v>
      </c>
      <c r="AG255">
        <v>6</v>
      </c>
      <c r="AH255">
        <v>569</v>
      </c>
      <c r="AI255" t="s">
        <v>0</v>
      </c>
      <c r="AJ255" t="s">
        <v>1933</v>
      </c>
      <c r="AK255" t="s">
        <v>7</v>
      </c>
      <c r="AL255" t="s">
        <v>1790</v>
      </c>
      <c r="AM255" s="314">
        <v>16271.301546382778</v>
      </c>
      <c r="AN255" s="314">
        <v>16328.224829510596</v>
      </c>
      <c r="AO255" s="314">
        <v>15054.019030264795</v>
      </c>
      <c r="AP255" s="314">
        <v>16148.202757261821</v>
      </c>
      <c r="AQ255" s="314">
        <v>9.8637083743571132</v>
      </c>
      <c r="AR255" s="314">
        <v>9.8982154273352201</v>
      </c>
      <c r="AS255" s="314">
        <v>9.1257883183637638</v>
      </c>
      <c r="AT255" s="314">
        <v>9.7890855450976115</v>
      </c>
      <c r="AU255" s="314">
        <v>5765.7902506280034</v>
      </c>
      <c r="AV255" s="314">
        <v>5785.9612068331071</v>
      </c>
      <c r="AW255" s="314">
        <v>5334.4421102419465</v>
      </c>
      <c r="AX255">
        <v>5722.169782028458</v>
      </c>
    </row>
    <row r="256" spans="1:50" x14ac:dyDescent="0.35">
      <c r="A256">
        <v>577</v>
      </c>
      <c r="B256" t="s">
        <v>0</v>
      </c>
      <c r="C256" t="s">
        <v>1933</v>
      </c>
      <c r="D256" t="s">
        <v>7</v>
      </c>
      <c r="E256" t="s">
        <v>1791</v>
      </c>
      <c r="F256">
        <v>20.159300000000002</v>
      </c>
      <c r="G256">
        <v>20.229825000000002</v>
      </c>
      <c r="H256">
        <v>18.651149999999998</v>
      </c>
      <c r="I256">
        <v>20.006786974999997</v>
      </c>
      <c r="J256" s="600">
        <v>79.047061975000005</v>
      </c>
      <c r="K256" s="7">
        <f t="shared" si="41"/>
        <v>25</v>
      </c>
      <c r="L256" s="7">
        <f t="shared" si="42"/>
        <v>0</v>
      </c>
      <c r="M256" s="243">
        <f t="shared" si="43"/>
        <v>10694.226946179533</v>
      </c>
      <c r="N256" s="243">
        <f>INDEX($AN$4:$AN21152,MATCH($A256,$AH$4:$AH$2000,0))</f>
        <v>10731.639473171012</v>
      </c>
      <c r="O256" s="243">
        <f t="shared" si="52"/>
        <v>9894.1744459002239</v>
      </c>
      <c r="P256" s="243">
        <f t="shared" si="44"/>
        <v>10613.320917617113</v>
      </c>
      <c r="Q256" s="243">
        <f t="shared" si="45"/>
        <v>3875.8923351443796</v>
      </c>
      <c r="R256" s="243">
        <f t="shared" si="46"/>
        <v>3889.4517001489212</v>
      </c>
      <c r="S256" s="243">
        <f t="shared" si="53"/>
        <v>3585.9305296626412</v>
      </c>
      <c r="T256" s="243">
        <f t="shared" si="47"/>
        <v>3846.5696868080186</v>
      </c>
      <c r="AA256" s="6">
        <v>493</v>
      </c>
      <c r="AB256" t="s">
        <v>0</v>
      </c>
      <c r="AC256" t="s">
        <v>33</v>
      </c>
      <c r="AD256" t="s">
        <v>34</v>
      </c>
      <c r="AE256" t="s">
        <v>277</v>
      </c>
      <c r="AF256">
        <v>10</v>
      </c>
      <c r="AG256">
        <v>6</v>
      </c>
      <c r="AH256">
        <v>577</v>
      </c>
      <c r="AI256" t="s">
        <v>0</v>
      </c>
      <c r="AJ256" t="s">
        <v>1933</v>
      </c>
      <c r="AK256" t="s">
        <v>7</v>
      </c>
      <c r="AL256" t="s">
        <v>1791</v>
      </c>
      <c r="AM256" s="314">
        <v>10694.226946179533</v>
      </c>
      <c r="AN256" s="314">
        <v>10731.639473171012</v>
      </c>
      <c r="AO256" s="314">
        <v>9894.1744459002239</v>
      </c>
      <c r="AP256" s="314">
        <v>10613.320917617113</v>
      </c>
      <c r="AQ256" s="314">
        <v>6.6306039627622786</v>
      </c>
      <c r="AR256" s="314">
        <v>6.653800370597561</v>
      </c>
      <c r="AS256" s="314">
        <v>6.1345577029000831</v>
      </c>
      <c r="AT256" s="314">
        <v>6.580440838648947</v>
      </c>
      <c r="AU256" s="314">
        <v>3875.8923351443796</v>
      </c>
      <c r="AV256" s="314">
        <v>3889.4517001489212</v>
      </c>
      <c r="AW256" s="314">
        <v>3585.9305296626412</v>
      </c>
      <c r="AX256">
        <v>3846.5696868080186</v>
      </c>
    </row>
    <row r="257" spans="1:50" x14ac:dyDescent="0.35">
      <c r="A257">
        <v>837</v>
      </c>
      <c r="B257" t="s">
        <v>0</v>
      </c>
      <c r="C257" t="s">
        <v>8</v>
      </c>
      <c r="D257" t="s">
        <v>44</v>
      </c>
      <c r="E257" t="s">
        <v>53</v>
      </c>
      <c r="F257">
        <v>217</v>
      </c>
      <c r="G257">
        <v>217</v>
      </c>
      <c r="H257">
        <v>337</v>
      </c>
      <c r="I257">
        <v>337</v>
      </c>
      <c r="J257" s="600">
        <v>1108</v>
      </c>
      <c r="K257" s="7">
        <f t="shared" si="41"/>
        <v>13</v>
      </c>
      <c r="L257" s="7">
        <f t="shared" si="42"/>
        <v>0</v>
      </c>
      <c r="M257" s="243">
        <f t="shared" si="43"/>
        <v>22980.491504248461</v>
      </c>
      <c r="N257" s="243">
        <f>INDEX($AN$4:$AN21153,MATCH($A257,$AH$4:$AH$2000,0))</f>
        <v>22980.491504248461</v>
      </c>
      <c r="O257" s="243">
        <f t="shared" si="52"/>
        <v>35688.597405215354</v>
      </c>
      <c r="P257" s="243">
        <f t="shared" si="44"/>
        <v>35688.597405215354</v>
      </c>
      <c r="Q257" s="243">
        <f t="shared" si="45"/>
        <v>0</v>
      </c>
      <c r="R257" s="243">
        <f t="shared" si="46"/>
        <v>0</v>
      </c>
      <c r="S257" s="243">
        <f t="shared" si="53"/>
        <v>0</v>
      </c>
      <c r="T257" s="243">
        <f t="shared" si="47"/>
        <v>0</v>
      </c>
      <c r="AA257" s="6">
        <v>118</v>
      </c>
      <c r="AB257" t="s">
        <v>80</v>
      </c>
      <c r="AC257" t="s">
        <v>81</v>
      </c>
      <c r="AD257" t="s">
        <v>4</v>
      </c>
      <c r="AE257" t="s">
        <v>278</v>
      </c>
      <c r="AF257">
        <v>15</v>
      </c>
      <c r="AH257">
        <v>837</v>
      </c>
      <c r="AI257" t="s">
        <v>0</v>
      </c>
      <c r="AJ257" t="s">
        <v>8</v>
      </c>
      <c r="AK257" t="s">
        <v>44</v>
      </c>
      <c r="AL257" t="s">
        <v>53</v>
      </c>
      <c r="AM257" s="314">
        <v>22980.491504248461</v>
      </c>
      <c r="AN257" s="314">
        <v>22980.491504248461</v>
      </c>
      <c r="AO257" s="314">
        <v>35688.597405215354</v>
      </c>
      <c r="AP257" s="314">
        <v>35688.597405215354</v>
      </c>
      <c r="AQ257" s="314">
        <v>2.6215481980662174</v>
      </c>
      <c r="AR257" s="314">
        <v>2.6215481980662174</v>
      </c>
      <c r="AS257" s="314">
        <v>4.0712522707295635</v>
      </c>
      <c r="AT257" s="314">
        <v>4.0712522707295635</v>
      </c>
      <c r="AU257" s="314">
        <v>0</v>
      </c>
      <c r="AV257" s="314">
        <v>0</v>
      </c>
      <c r="AW257" s="314">
        <v>0</v>
      </c>
      <c r="AX257">
        <v>0</v>
      </c>
    </row>
    <row r="258" spans="1:50" x14ac:dyDescent="0.35">
      <c r="A258">
        <v>838</v>
      </c>
      <c r="B258" t="s">
        <v>0</v>
      </c>
      <c r="C258" t="s">
        <v>8</v>
      </c>
      <c r="D258" t="s">
        <v>44</v>
      </c>
      <c r="E258" t="s">
        <v>54</v>
      </c>
      <c r="F258">
        <v>1060</v>
      </c>
      <c r="G258">
        <v>1060</v>
      </c>
      <c r="H258">
        <v>1643</v>
      </c>
      <c r="I258">
        <v>1643</v>
      </c>
      <c r="J258" s="600">
        <v>5406</v>
      </c>
      <c r="K258" s="7">
        <f t="shared" si="41"/>
        <v>13</v>
      </c>
      <c r="L258" s="7">
        <f t="shared" si="42"/>
        <v>0</v>
      </c>
      <c r="M258" s="243">
        <f t="shared" si="43"/>
        <v>0</v>
      </c>
      <c r="N258" s="243">
        <f>INDEX($AN$4:$AN21154,MATCH($A258,$AH$4:$AH$2000,0))</f>
        <v>0</v>
      </c>
      <c r="O258" s="243">
        <f t="shared" si="52"/>
        <v>0</v>
      </c>
      <c r="P258" s="243">
        <f t="shared" si="44"/>
        <v>0</v>
      </c>
      <c r="Q258" s="243">
        <f t="shared" si="45"/>
        <v>3961.8630188307698</v>
      </c>
      <c r="R258" s="243">
        <f t="shared" si="46"/>
        <v>3961.8630188307698</v>
      </c>
      <c r="S258" s="243">
        <f t="shared" si="53"/>
        <v>6140.8876791876928</v>
      </c>
      <c r="T258" s="243">
        <f t="shared" si="47"/>
        <v>6140.8876791876928</v>
      </c>
      <c r="AA258" s="6">
        <v>162</v>
      </c>
      <c r="AB258" t="s">
        <v>80</v>
      </c>
      <c r="AC258" t="s">
        <v>81</v>
      </c>
      <c r="AD258" t="s">
        <v>4</v>
      </c>
      <c r="AE258" t="s">
        <v>279</v>
      </c>
      <c r="AF258">
        <v>11</v>
      </c>
      <c r="AH258">
        <v>838</v>
      </c>
      <c r="AI258" t="s">
        <v>0</v>
      </c>
      <c r="AJ258" t="s">
        <v>8</v>
      </c>
      <c r="AK258" t="s">
        <v>44</v>
      </c>
      <c r="AL258" t="s">
        <v>54</v>
      </c>
      <c r="AM258" s="314">
        <v>0</v>
      </c>
      <c r="AN258" s="314">
        <v>0</v>
      </c>
      <c r="AO258" s="314">
        <v>0</v>
      </c>
      <c r="AP258" s="314">
        <v>0</v>
      </c>
      <c r="AQ258" s="314">
        <v>0</v>
      </c>
      <c r="AR258" s="314">
        <v>0</v>
      </c>
      <c r="AS258" s="314">
        <v>0</v>
      </c>
      <c r="AT258" s="314">
        <v>0</v>
      </c>
      <c r="AU258" s="314">
        <v>3961.8630188307698</v>
      </c>
      <c r="AV258" s="314">
        <v>3961.8630188307698</v>
      </c>
      <c r="AW258" s="314">
        <v>6140.8876791876928</v>
      </c>
      <c r="AX258">
        <v>6140.8876791876928</v>
      </c>
    </row>
    <row r="259" spans="1:50" x14ac:dyDescent="0.35">
      <c r="A259">
        <v>606</v>
      </c>
      <c r="B259" t="s">
        <v>0</v>
      </c>
      <c r="C259" t="s">
        <v>1933</v>
      </c>
      <c r="D259" t="s">
        <v>7</v>
      </c>
      <c r="E259" t="s">
        <v>1843</v>
      </c>
      <c r="F259">
        <v>281.674215</v>
      </c>
      <c r="G259">
        <v>282.58748000000003</v>
      </c>
      <c r="H259">
        <v>260.46389999999997</v>
      </c>
      <c r="I259">
        <v>279.73122000000001</v>
      </c>
      <c r="J259" s="600">
        <v>1094</v>
      </c>
      <c r="K259" s="7">
        <f t="shared" si="41"/>
        <v>13</v>
      </c>
      <c r="L259" s="7">
        <f t="shared" si="42"/>
        <v>0</v>
      </c>
      <c r="M259" s="243">
        <f t="shared" si="43"/>
        <v>34396.212130090826</v>
      </c>
      <c r="N259" s="243">
        <f>INDEX($AN$4:$AN21155,MATCH($A259,$AH$4:$AH$2000,0))</f>
        <v>34519.496044535597</v>
      </c>
      <c r="O259" s="243">
        <f t="shared" si="52"/>
        <v>31807.249926750657</v>
      </c>
      <c r="P259" s="243">
        <f t="shared" si="44"/>
        <v>34149.64430120129</v>
      </c>
      <c r="Q259" s="243">
        <f t="shared" si="45"/>
        <v>0</v>
      </c>
      <c r="R259" s="243">
        <f t="shared" si="46"/>
        <v>0</v>
      </c>
      <c r="S259" s="243">
        <f t="shared" si="53"/>
        <v>0</v>
      </c>
      <c r="T259" s="243">
        <f t="shared" si="47"/>
        <v>0</v>
      </c>
      <c r="AA259" s="6">
        <v>123</v>
      </c>
      <c r="AB259" t="s">
        <v>80</v>
      </c>
      <c r="AC259" t="s">
        <v>81</v>
      </c>
      <c r="AD259" t="s">
        <v>4</v>
      </c>
      <c r="AE259" t="s">
        <v>280</v>
      </c>
      <c r="AF259">
        <v>15</v>
      </c>
      <c r="AH259">
        <v>606</v>
      </c>
      <c r="AI259" t="s">
        <v>0</v>
      </c>
      <c r="AJ259" t="s">
        <v>1933</v>
      </c>
      <c r="AK259" t="s">
        <v>7</v>
      </c>
      <c r="AL259" t="s">
        <v>1843</v>
      </c>
      <c r="AM259" s="314">
        <v>34396.212130090826</v>
      </c>
      <c r="AN259" s="314">
        <v>34519.496044535597</v>
      </c>
      <c r="AO259" s="314">
        <v>31807.249926750657</v>
      </c>
      <c r="AP259" s="314">
        <v>34149.64430120129</v>
      </c>
      <c r="AQ259" s="314">
        <v>3.9238206856138294</v>
      </c>
      <c r="AR259" s="314">
        <v>3.9378845590389684</v>
      </c>
      <c r="AS259" s="314">
        <v>3.6284793436859069</v>
      </c>
      <c r="AT259" s="314">
        <v>3.8956929387635508</v>
      </c>
      <c r="AU259" s="314">
        <v>0</v>
      </c>
      <c r="AV259" s="314">
        <v>0</v>
      </c>
      <c r="AW259" s="314">
        <v>0</v>
      </c>
      <c r="AX259">
        <v>0</v>
      </c>
    </row>
    <row r="260" spans="1:50" x14ac:dyDescent="0.35">
      <c r="A260">
        <v>607</v>
      </c>
      <c r="B260" t="s">
        <v>0</v>
      </c>
      <c r="C260" t="s">
        <v>1933</v>
      </c>
      <c r="D260" t="s">
        <v>7</v>
      </c>
      <c r="E260" t="s">
        <v>1844</v>
      </c>
      <c r="F260">
        <v>650</v>
      </c>
      <c r="G260">
        <v>653</v>
      </c>
      <c r="H260">
        <v>602</v>
      </c>
      <c r="I260">
        <v>645</v>
      </c>
      <c r="J260" s="600">
        <v>2550</v>
      </c>
      <c r="K260" s="7">
        <f t="shared" si="41"/>
        <v>13</v>
      </c>
      <c r="L260" s="7">
        <f t="shared" si="42"/>
        <v>0</v>
      </c>
      <c r="M260" s="243">
        <f t="shared" si="43"/>
        <v>0</v>
      </c>
      <c r="N260" s="243">
        <f>INDEX($AN$4:$AN21156,MATCH($A260,$AH$4:$AH$2000,0))</f>
        <v>0</v>
      </c>
      <c r="O260" s="243">
        <f t="shared" si="52"/>
        <v>0</v>
      </c>
      <c r="P260" s="243">
        <f t="shared" si="44"/>
        <v>0</v>
      </c>
      <c r="Q260" s="243">
        <f t="shared" si="45"/>
        <v>3436.2719999999999</v>
      </c>
      <c r="R260" s="243">
        <f t="shared" si="46"/>
        <v>3452.131716923077</v>
      </c>
      <c r="S260" s="243">
        <f t="shared" si="53"/>
        <v>3182.5165292307693</v>
      </c>
      <c r="T260" s="243">
        <f t="shared" si="47"/>
        <v>3409.8391384615384</v>
      </c>
      <c r="AA260" s="6">
        <v>128</v>
      </c>
      <c r="AB260" t="s">
        <v>80</v>
      </c>
      <c r="AC260" t="s">
        <v>81</v>
      </c>
      <c r="AD260" t="s">
        <v>4</v>
      </c>
      <c r="AE260" t="s">
        <v>281</v>
      </c>
      <c r="AF260">
        <v>15</v>
      </c>
      <c r="AH260">
        <v>607</v>
      </c>
      <c r="AI260" t="s">
        <v>0</v>
      </c>
      <c r="AJ260" t="s">
        <v>1933</v>
      </c>
      <c r="AK260" t="s">
        <v>7</v>
      </c>
      <c r="AL260" t="s">
        <v>1844</v>
      </c>
      <c r="AM260" s="314">
        <v>0</v>
      </c>
      <c r="AN260" s="314">
        <v>0</v>
      </c>
      <c r="AO260" s="314">
        <v>0</v>
      </c>
      <c r="AP260" s="314">
        <v>0</v>
      </c>
      <c r="AQ260" s="314">
        <v>0</v>
      </c>
      <c r="AR260" s="314">
        <v>0</v>
      </c>
      <c r="AS260" s="314">
        <v>0</v>
      </c>
      <c r="AT260" s="314">
        <v>0</v>
      </c>
      <c r="AU260" s="314">
        <v>3436.2719999999999</v>
      </c>
      <c r="AV260" s="314">
        <v>3452.131716923077</v>
      </c>
      <c r="AW260" s="314">
        <v>3182.5165292307693</v>
      </c>
      <c r="AX260">
        <v>3409.8391384615384</v>
      </c>
    </row>
    <row r="261" spans="1:50" x14ac:dyDescent="0.35">
      <c r="A261">
        <v>518</v>
      </c>
      <c r="B261" t="s">
        <v>0</v>
      </c>
      <c r="C261" t="s">
        <v>20</v>
      </c>
      <c r="D261" t="s">
        <v>1</v>
      </c>
      <c r="E261" t="s">
        <v>55</v>
      </c>
      <c r="F261">
        <v>16</v>
      </c>
      <c r="G261">
        <v>16</v>
      </c>
      <c r="H261">
        <v>16</v>
      </c>
      <c r="I261">
        <v>16</v>
      </c>
      <c r="J261" s="600">
        <v>64</v>
      </c>
      <c r="K261" s="7">
        <f t="shared" ref="K261:K324" si="54">INDEX($AF$4:$AF$2000,MATCH(A261,$AA$4:$AA$2000,0))</f>
        <v>10</v>
      </c>
      <c r="L261" s="7">
        <f t="shared" ref="L261:L324" si="55">INDEX($AG$4:$AG$2000,MATCH(A261,$AA$4:$AA$2000,0))</f>
        <v>0</v>
      </c>
      <c r="M261" s="243">
        <f t="shared" ref="M261:M324" si="56">INDEX($AM$4:$AM$2000,MATCH($A261,$AH$4:$AH$2000,0))</f>
        <v>9030.8505600000008</v>
      </c>
      <c r="N261" s="243">
        <f>INDEX($AN$4:$AN21157,MATCH($A261,$AH$4:$AH$2000,0))</f>
        <v>9030.8505600000008</v>
      </c>
      <c r="O261" s="243">
        <f t="shared" si="52"/>
        <v>9030.8505600000008</v>
      </c>
      <c r="P261" s="243">
        <f t="shared" ref="P261:P324" si="57">INDEX($AP$4:$AP$2000,MATCH($A261,$AH$4:$AH$2000,0))</f>
        <v>9030.8505600000008</v>
      </c>
      <c r="Q261" s="243">
        <f t="shared" ref="Q261:Q324" si="58">INDEX($AU$4:$AU$2000,MATCH($A261,$AH$4:$AH$2000,0))</f>
        <v>0</v>
      </c>
      <c r="R261" s="243">
        <f t="shared" ref="R261:R324" si="59">INDEX($AV$4:$AV$2000,MATCH($A261,$AH$4:$AH$2000,0))</f>
        <v>0</v>
      </c>
      <c r="S261" s="243">
        <f t="shared" si="53"/>
        <v>0</v>
      </c>
      <c r="T261" s="243">
        <f t="shared" ref="T261:T324" si="60">INDEX($AX$4:$AX$2000,MATCH($A261,$AH$4:$AH$2000,0))</f>
        <v>0</v>
      </c>
      <c r="AA261" s="6">
        <v>139</v>
      </c>
      <c r="AB261" t="s">
        <v>80</v>
      </c>
      <c r="AC261" t="s">
        <v>81</v>
      </c>
      <c r="AD261" t="s">
        <v>4</v>
      </c>
      <c r="AE261" t="s">
        <v>1024</v>
      </c>
      <c r="AF261">
        <v>15</v>
      </c>
      <c r="AG261">
        <v>1</v>
      </c>
      <c r="AH261">
        <v>518</v>
      </c>
      <c r="AI261" t="s">
        <v>0</v>
      </c>
      <c r="AJ261" t="s">
        <v>20</v>
      </c>
      <c r="AK261" t="s">
        <v>1</v>
      </c>
      <c r="AL261" t="s">
        <v>55</v>
      </c>
      <c r="AM261" s="314">
        <v>9030.8505600000008</v>
      </c>
      <c r="AN261" s="314">
        <v>9030.8505600000008</v>
      </c>
      <c r="AO261" s="314">
        <v>9030.8505600000008</v>
      </c>
      <c r="AP261" s="314">
        <v>9030.8505600000008</v>
      </c>
      <c r="AQ261" s="314">
        <v>0</v>
      </c>
      <c r="AR261" s="314">
        <v>0</v>
      </c>
      <c r="AS261" s="314">
        <v>0</v>
      </c>
      <c r="AT261" s="314">
        <v>0</v>
      </c>
      <c r="AU261" s="314">
        <v>0</v>
      </c>
      <c r="AV261" s="314">
        <v>0</v>
      </c>
      <c r="AW261" s="314">
        <v>0</v>
      </c>
      <c r="AX261">
        <v>0</v>
      </c>
    </row>
    <row r="262" spans="1:50" x14ac:dyDescent="0.35">
      <c r="A262">
        <v>519</v>
      </c>
      <c r="B262" t="s">
        <v>0</v>
      </c>
      <c r="C262" t="s">
        <v>20</v>
      </c>
      <c r="D262" t="s">
        <v>1</v>
      </c>
      <c r="E262" t="s">
        <v>56</v>
      </c>
      <c r="F262">
        <v>3</v>
      </c>
      <c r="G262">
        <v>3</v>
      </c>
      <c r="H262">
        <v>3</v>
      </c>
      <c r="I262">
        <v>3</v>
      </c>
      <c r="J262" s="600">
        <v>12</v>
      </c>
      <c r="K262" s="7">
        <f t="shared" si="54"/>
        <v>10</v>
      </c>
      <c r="L262" s="7">
        <f t="shared" si="55"/>
        <v>0</v>
      </c>
      <c r="M262" s="243">
        <f t="shared" si="56"/>
        <v>2878.6159799999996</v>
      </c>
      <c r="N262" s="243">
        <f>INDEX($AN$4:$AN21158,MATCH($A262,$AH$4:$AH$2000,0))</f>
        <v>2878.6159799999996</v>
      </c>
      <c r="O262" s="243">
        <f t="shared" si="52"/>
        <v>2878.6159799999996</v>
      </c>
      <c r="P262" s="243">
        <f t="shared" si="57"/>
        <v>2878.6159799999996</v>
      </c>
      <c r="Q262" s="243">
        <f t="shared" si="58"/>
        <v>0</v>
      </c>
      <c r="R262" s="243">
        <f t="shared" si="59"/>
        <v>0</v>
      </c>
      <c r="S262" s="243">
        <f t="shared" si="53"/>
        <v>0</v>
      </c>
      <c r="T262" s="243">
        <f t="shared" si="60"/>
        <v>0</v>
      </c>
      <c r="AA262" s="6">
        <v>140</v>
      </c>
      <c r="AB262" t="s">
        <v>80</v>
      </c>
      <c r="AC262" t="s">
        <v>81</v>
      </c>
      <c r="AD262" t="s">
        <v>4</v>
      </c>
      <c r="AE262" t="s">
        <v>1025</v>
      </c>
      <c r="AF262">
        <v>15</v>
      </c>
      <c r="AG262">
        <v>0</v>
      </c>
      <c r="AH262">
        <v>519</v>
      </c>
      <c r="AI262" t="s">
        <v>0</v>
      </c>
      <c r="AJ262" t="s">
        <v>20</v>
      </c>
      <c r="AK262" t="s">
        <v>1</v>
      </c>
      <c r="AL262" t="s">
        <v>56</v>
      </c>
      <c r="AM262" s="314">
        <v>2878.6159799999996</v>
      </c>
      <c r="AN262" s="314">
        <v>2878.6159799999996</v>
      </c>
      <c r="AO262" s="314">
        <v>2878.6159799999996</v>
      </c>
      <c r="AP262" s="314">
        <v>2878.6159799999996</v>
      </c>
      <c r="AQ262" s="314">
        <v>0</v>
      </c>
      <c r="AR262" s="314">
        <v>0</v>
      </c>
      <c r="AS262" s="314">
        <v>0</v>
      </c>
      <c r="AT262" s="314">
        <v>0</v>
      </c>
      <c r="AU262" s="314">
        <v>0</v>
      </c>
      <c r="AV262" s="314">
        <v>0</v>
      </c>
      <c r="AW262" s="314">
        <v>0</v>
      </c>
      <c r="AX262">
        <v>0</v>
      </c>
    </row>
    <row r="263" spans="1:50" x14ac:dyDescent="0.35">
      <c r="A263">
        <v>520</v>
      </c>
      <c r="B263" t="s">
        <v>0</v>
      </c>
      <c r="C263" t="s">
        <v>20</v>
      </c>
      <c r="D263" t="s">
        <v>1</v>
      </c>
      <c r="E263" t="s">
        <v>57</v>
      </c>
      <c r="F263">
        <v>29</v>
      </c>
      <c r="G263">
        <v>29</v>
      </c>
      <c r="H263">
        <v>29</v>
      </c>
      <c r="I263">
        <v>29</v>
      </c>
      <c r="J263" s="600">
        <v>116</v>
      </c>
      <c r="K263" s="7">
        <f t="shared" si="54"/>
        <v>10</v>
      </c>
      <c r="L263" s="7">
        <f t="shared" si="55"/>
        <v>0</v>
      </c>
      <c r="M263" s="243">
        <f t="shared" si="56"/>
        <v>27826.621139999999</v>
      </c>
      <c r="N263" s="243">
        <f>INDEX($AN$4:$AN21159,MATCH($A263,$AH$4:$AH$2000,0))</f>
        <v>27826.621139999999</v>
      </c>
      <c r="O263" s="243">
        <f t="shared" si="52"/>
        <v>27826.621139999999</v>
      </c>
      <c r="P263" s="243">
        <f t="shared" si="57"/>
        <v>27826.621139999999</v>
      </c>
      <c r="Q263" s="243">
        <f t="shared" si="58"/>
        <v>0</v>
      </c>
      <c r="R263" s="243">
        <f t="shared" si="59"/>
        <v>0</v>
      </c>
      <c r="S263" s="243">
        <f t="shared" si="53"/>
        <v>0</v>
      </c>
      <c r="T263" s="243">
        <f t="shared" si="60"/>
        <v>0</v>
      </c>
      <c r="AA263" s="6">
        <v>523</v>
      </c>
      <c r="AB263" t="s">
        <v>0</v>
      </c>
      <c r="AC263" t="s">
        <v>20</v>
      </c>
      <c r="AD263" t="s">
        <v>1</v>
      </c>
      <c r="AE263" t="s">
        <v>1934</v>
      </c>
      <c r="AF263">
        <v>10</v>
      </c>
      <c r="AH263">
        <v>520</v>
      </c>
      <c r="AI263" t="s">
        <v>0</v>
      </c>
      <c r="AJ263" t="s">
        <v>20</v>
      </c>
      <c r="AK263" t="s">
        <v>1</v>
      </c>
      <c r="AL263" t="s">
        <v>57</v>
      </c>
      <c r="AM263" s="314">
        <v>27826.621139999999</v>
      </c>
      <c r="AN263" s="314">
        <v>27826.621139999999</v>
      </c>
      <c r="AO263" s="314">
        <v>27826.621139999999</v>
      </c>
      <c r="AP263" s="314">
        <v>27826.621139999999</v>
      </c>
      <c r="AQ263" s="314">
        <v>0</v>
      </c>
      <c r="AR263" s="314">
        <v>0</v>
      </c>
      <c r="AS263" s="314">
        <v>0</v>
      </c>
      <c r="AT263" s="314">
        <v>0</v>
      </c>
      <c r="AU263" s="314">
        <v>0</v>
      </c>
      <c r="AV263" s="314">
        <v>0</v>
      </c>
      <c r="AW263" s="314">
        <v>0</v>
      </c>
      <c r="AX263">
        <v>0</v>
      </c>
    </row>
    <row r="264" spans="1:50" x14ac:dyDescent="0.35">
      <c r="A264">
        <v>522</v>
      </c>
      <c r="B264" t="s">
        <v>0</v>
      </c>
      <c r="C264" t="s">
        <v>20</v>
      </c>
      <c r="D264" t="s">
        <v>1</v>
      </c>
      <c r="E264" t="s">
        <v>58</v>
      </c>
      <c r="F264">
        <v>2412</v>
      </c>
      <c r="G264">
        <v>2412</v>
      </c>
      <c r="H264">
        <v>2412</v>
      </c>
      <c r="I264">
        <v>2412</v>
      </c>
      <c r="J264" s="600">
        <v>9648</v>
      </c>
      <c r="K264" s="7">
        <f t="shared" si="54"/>
        <v>10</v>
      </c>
      <c r="L264" s="7">
        <f t="shared" si="55"/>
        <v>0</v>
      </c>
      <c r="M264" s="243">
        <f t="shared" si="56"/>
        <v>103059.65053208161</v>
      </c>
      <c r="N264" s="243">
        <f>INDEX($AN$4:$AN21160,MATCH($A264,$AH$4:$AH$2000,0))</f>
        <v>103059.65053208161</v>
      </c>
      <c r="O264" s="243">
        <f t="shared" ref="O264:O283" si="61">INDEX($AO$4:$AO$2000,MATCH($A264,$AH$4:$AH$2000,0))</f>
        <v>103059.65053208161</v>
      </c>
      <c r="P264" s="243">
        <f t="shared" si="57"/>
        <v>103059.65053208161</v>
      </c>
      <c r="Q264" s="243">
        <f t="shared" si="58"/>
        <v>112018.92407999998</v>
      </c>
      <c r="R264" s="243">
        <f t="shared" si="59"/>
        <v>112018.92407999998</v>
      </c>
      <c r="S264" s="243">
        <f t="shared" ref="S264:S283" si="62">INDEX($AW$4:$AW$2000,MATCH($A264,$AH$4:$AH$2000,0))</f>
        <v>112018.92407999998</v>
      </c>
      <c r="T264" s="243">
        <f t="shared" si="60"/>
        <v>112018.92407999998</v>
      </c>
      <c r="AA264" s="6">
        <v>524</v>
      </c>
      <c r="AB264" t="s">
        <v>0</v>
      </c>
      <c r="AC264" t="s">
        <v>20</v>
      </c>
      <c r="AD264" t="s">
        <v>1</v>
      </c>
      <c r="AE264" t="s">
        <v>1935</v>
      </c>
      <c r="AF264">
        <v>10</v>
      </c>
      <c r="AH264">
        <v>522</v>
      </c>
      <c r="AI264" t="s">
        <v>0</v>
      </c>
      <c r="AJ264" t="s">
        <v>20</v>
      </c>
      <c r="AK264" t="s">
        <v>1</v>
      </c>
      <c r="AL264" t="s">
        <v>58</v>
      </c>
      <c r="AM264" s="314">
        <v>103059.65053208161</v>
      </c>
      <c r="AN264" s="314">
        <v>103059.65053208161</v>
      </c>
      <c r="AO264" s="314">
        <v>103059.65053208161</v>
      </c>
      <c r="AP264" s="314">
        <v>103059.65053208161</v>
      </c>
      <c r="AQ264" s="314">
        <v>0</v>
      </c>
      <c r="AR264" s="314">
        <v>0</v>
      </c>
      <c r="AS264" s="314">
        <v>0</v>
      </c>
      <c r="AT264" s="314">
        <v>0</v>
      </c>
      <c r="AU264" s="314">
        <v>112018.92407999998</v>
      </c>
      <c r="AV264" s="314">
        <v>112018.92407999998</v>
      </c>
      <c r="AW264" s="314">
        <v>112018.92407999998</v>
      </c>
      <c r="AX264">
        <v>112018.92407999998</v>
      </c>
    </row>
    <row r="265" spans="1:50" x14ac:dyDescent="0.35">
      <c r="A265">
        <v>598</v>
      </c>
      <c r="B265" t="s">
        <v>0</v>
      </c>
      <c r="C265" t="s">
        <v>1933</v>
      </c>
      <c r="D265" t="s">
        <v>7</v>
      </c>
      <c r="E265" t="s">
        <v>1845</v>
      </c>
      <c r="F265">
        <v>75.718874999999997</v>
      </c>
      <c r="G265">
        <v>80.739280000000008</v>
      </c>
      <c r="H265">
        <v>80.763999999999996</v>
      </c>
      <c r="I265">
        <v>80.788799999999995</v>
      </c>
      <c r="J265" s="600">
        <v>315</v>
      </c>
      <c r="K265" s="7">
        <f t="shared" si="54"/>
        <v>18</v>
      </c>
      <c r="L265" s="7">
        <f t="shared" si="55"/>
        <v>6</v>
      </c>
      <c r="M265" s="243">
        <f t="shared" si="56"/>
        <v>478664.62848297216</v>
      </c>
      <c r="N265" s="243">
        <f>INDEX($AN$4:$AN21161,MATCH($A265,$AH$4:$AH$2000,0))</f>
        <v>510575.60371517029</v>
      </c>
      <c r="O265" s="243">
        <f t="shared" si="61"/>
        <v>510575.60371517029</v>
      </c>
      <c r="P265" s="243">
        <f t="shared" si="57"/>
        <v>510575.60371517029</v>
      </c>
      <c r="Q265" s="243">
        <f t="shared" si="58"/>
        <v>0</v>
      </c>
      <c r="R265" s="243">
        <f t="shared" si="59"/>
        <v>0</v>
      </c>
      <c r="S265" s="243">
        <f t="shared" si="62"/>
        <v>0</v>
      </c>
      <c r="T265" s="243">
        <f t="shared" si="60"/>
        <v>0</v>
      </c>
      <c r="AA265" s="6">
        <v>839</v>
      </c>
      <c r="AB265" t="s">
        <v>0</v>
      </c>
      <c r="AC265" t="s">
        <v>8</v>
      </c>
      <c r="AD265" t="s">
        <v>5</v>
      </c>
      <c r="AE265" t="s">
        <v>6</v>
      </c>
      <c r="AF265">
        <v>7</v>
      </c>
      <c r="AH265">
        <v>598</v>
      </c>
      <c r="AI265" t="s">
        <v>0</v>
      </c>
      <c r="AJ265" t="s">
        <v>1933</v>
      </c>
      <c r="AK265" t="s">
        <v>7</v>
      </c>
      <c r="AL265" t="s">
        <v>1845</v>
      </c>
      <c r="AM265" s="314">
        <v>478664.62848297216</v>
      </c>
      <c r="AN265" s="314">
        <v>510575.60371517029</v>
      </c>
      <c r="AO265" s="314">
        <v>510575.60371517029</v>
      </c>
      <c r="AP265" s="314">
        <v>510575.60371517029</v>
      </c>
      <c r="AQ265" s="314">
        <v>95.598086124401931</v>
      </c>
      <c r="AR265" s="314">
        <v>101.97129186602872</v>
      </c>
      <c r="AS265" s="314">
        <v>101.97129186602872</v>
      </c>
      <c r="AT265" s="314">
        <v>101.97129186602872</v>
      </c>
      <c r="AU265" s="314">
        <v>0</v>
      </c>
      <c r="AV265" s="314">
        <v>0</v>
      </c>
      <c r="AW265" s="314">
        <v>0</v>
      </c>
      <c r="AX265">
        <v>0</v>
      </c>
    </row>
    <row r="266" spans="1:50" x14ac:dyDescent="0.35">
      <c r="A266">
        <v>566</v>
      </c>
      <c r="B266" t="s">
        <v>0</v>
      </c>
      <c r="C266" t="s">
        <v>1933</v>
      </c>
      <c r="D266" t="s">
        <v>7</v>
      </c>
      <c r="E266" t="s">
        <v>1846</v>
      </c>
      <c r="F266">
        <v>75.718874999999997</v>
      </c>
      <c r="G266">
        <v>80.739280000000008</v>
      </c>
      <c r="H266">
        <v>80.763999999999996</v>
      </c>
      <c r="I266">
        <v>80.788799999999995</v>
      </c>
      <c r="J266" s="600">
        <v>315</v>
      </c>
      <c r="K266" s="7">
        <f t="shared" si="54"/>
        <v>18</v>
      </c>
      <c r="L266" s="7">
        <f>INDEX($AG$4:$AG$2000,MATCH(A266,$AA$4:$AA$2000,0))</f>
        <v>0</v>
      </c>
      <c r="M266" s="243">
        <f t="shared" si="56"/>
        <v>110317.03649367328</v>
      </c>
      <c r="N266" s="243">
        <f>INDEX($AN$4:$AN21162,MATCH($A266,$AH$4:$AH$2000,0))</f>
        <v>117671.5055932515</v>
      </c>
      <c r="O266" s="243">
        <f t="shared" si="61"/>
        <v>117671.5055932515</v>
      </c>
      <c r="P266" s="243">
        <f t="shared" si="57"/>
        <v>117671.5055932515</v>
      </c>
      <c r="Q266" s="243">
        <f t="shared" si="58"/>
        <v>0</v>
      </c>
      <c r="R266" s="243">
        <f t="shared" si="59"/>
        <v>0</v>
      </c>
      <c r="S266" s="243">
        <f t="shared" si="62"/>
        <v>0</v>
      </c>
      <c r="T266" s="243">
        <f t="shared" si="60"/>
        <v>0</v>
      </c>
      <c r="AA266" s="6">
        <v>562</v>
      </c>
      <c r="AB266" t="s">
        <v>0</v>
      </c>
      <c r="AC266" t="s">
        <v>1933</v>
      </c>
      <c r="AD266" t="s">
        <v>7</v>
      </c>
      <c r="AE266" t="s">
        <v>1814</v>
      </c>
      <c r="AF266">
        <v>15</v>
      </c>
      <c r="AG266">
        <v>0</v>
      </c>
      <c r="AH266">
        <v>566</v>
      </c>
      <c r="AI266" t="s">
        <v>0</v>
      </c>
      <c r="AJ266" t="s">
        <v>1933</v>
      </c>
      <c r="AK266" t="s">
        <v>7</v>
      </c>
      <c r="AL266" t="s">
        <v>1846</v>
      </c>
      <c r="AM266" s="314">
        <v>110317.03649367328</v>
      </c>
      <c r="AN266" s="314">
        <v>117671.5055932515</v>
      </c>
      <c r="AO266" s="314">
        <v>117671.5055932515</v>
      </c>
      <c r="AP266" s="314">
        <v>117671.5055932515</v>
      </c>
      <c r="AQ266" s="314">
        <v>66.563944530046228</v>
      </c>
      <c r="AR266" s="314">
        <v>71.001540832049315</v>
      </c>
      <c r="AS266" s="314">
        <v>71.001540832049315</v>
      </c>
      <c r="AT266" s="314">
        <v>71.001540832049315</v>
      </c>
      <c r="AU266" s="314">
        <v>0</v>
      </c>
      <c r="AV266" s="314">
        <v>0</v>
      </c>
      <c r="AW266" s="314">
        <v>0</v>
      </c>
      <c r="AX266">
        <v>0</v>
      </c>
    </row>
    <row r="267" spans="1:50" x14ac:dyDescent="0.35">
      <c r="A267">
        <v>597</v>
      </c>
      <c r="B267" t="s">
        <v>0</v>
      </c>
      <c r="C267" t="s">
        <v>1933</v>
      </c>
      <c r="D267" t="s">
        <v>7</v>
      </c>
      <c r="E267" t="s">
        <v>1847</v>
      </c>
      <c r="F267">
        <v>75.718874999999997</v>
      </c>
      <c r="G267">
        <v>80.739280000000008</v>
      </c>
      <c r="H267">
        <v>80.763999999999996</v>
      </c>
      <c r="I267">
        <v>80.788799999999995</v>
      </c>
      <c r="J267" s="600">
        <v>315</v>
      </c>
      <c r="K267" s="7">
        <f t="shared" si="54"/>
        <v>18</v>
      </c>
      <c r="L267" s="7">
        <f t="shared" si="55"/>
        <v>6</v>
      </c>
      <c r="M267" s="243">
        <f t="shared" si="56"/>
        <v>437282.39164086687</v>
      </c>
      <c r="N267" s="243">
        <f>INDEX($AN$4:$AN21163,MATCH($A267,$AH$4:$AH$2000,0))</f>
        <v>466434.55108359136</v>
      </c>
      <c r="O267" s="243">
        <f t="shared" si="61"/>
        <v>466434.55108359136</v>
      </c>
      <c r="P267" s="243">
        <f t="shared" si="57"/>
        <v>466434.55108359136</v>
      </c>
      <c r="Q267" s="243">
        <f t="shared" si="58"/>
        <v>0</v>
      </c>
      <c r="R267" s="243">
        <f t="shared" si="59"/>
        <v>0</v>
      </c>
      <c r="S267" s="243">
        <f t="shared" si="62"/>
        <v>0</v>
      </c>
      <c r="T267" s="243">
        <f t="shared" si="60"/>
        <v>0</v>
      </c>
      <c r="AA267" s="6">
        <v>564</v>
      </c>
      <c r="AB267" t="s">
        <v>0</v>
      </c>
      <c r="AC267" t="s">
        <v>1933</v>
      </c>
      <c r="AD267" t="s">
        <v>7</v>
      </c>
      <c r="AE267" t="s">
        <v>1815</v>
      </c>
      <c r="AF267">
        <v>15</v>
      </c>
      <c r="AG267">
        <v>0</v>
      </c>
      <c r="AH267">
        <v>597</v>
      </c>
      <c r="AI267" t="s">
        <v>0</v>
      </c>
      <c r="AJ267" t="s">
        <v>1933</v>
      </c>
      <c r="AK267" t="s">
        <v>7</v>
      </c>
      <c r="AL267" t="s">
        <v>1847</v>
      </c>
      <c r="AM267" s="314">
        <v>437282.39164086687</v>
      </c>
      <c r="AN267" s="314">
        <v>466434.55108359136</v>
      </c>
      <c r="AO267" s="314">
        <v>466434.55108359136</v>
      </c>
      <c r="AP267" s="314">
        <v>466434.55108359136</v>
      </c>
      <c r="AQ267" s="314">
        <v>71.824171007724061</v>
      </c>
      <c r="AR267" s="314">
        <v>76.612449074905669</v>
      </c>
      <c r="AS267" s="314">
        <v>76.612449074905669</v>
      </c>
      <c r="AT267" s="314">
        <v>76.612449074905669</v>
      </c>
      <c r="AU267" s="314">
        <v>0</v>
      </c>
      <c r="AV267" s="314">
        <v>0</v>
      </c>
      <c r="AW267" s="314">
        <v>0</v>
      </c>
      <c r="AX267">
        <v>0</v>
      </c>
    </row>
    <row r="268" spans="1:50" x14ac:dyDescent="0.35">
      <c r="A268">
        <v>565</v>
      </c>
      <c r="B268" t="s">
        <v>0</v>
      </c>
      <c r="C268" t="s">
        <v>1933</v>
      </c>
      <c r="D268" t="s">
        <v>7</v>
      </c>
      <c r="E268" t="s">
        <v>1848</v>
      </c>
      <c r="F268">
        <v>75.718874999999997</v>
      </c>
      <c r="G268">
        <v>80.739280000000008</v>
      </c>
      <c r="H268">
        <v>80.763999999999996</v>
      </c>
      <c r="I268">
        <v>80.788799999999995</v>
      </c>
      <c r="J268" s="600">
        <v>315</v>
      </c>
      <c r="K268" s="7">
        <f t="shared" si="54"/>
        <v>18</v>
      </c>
      <c r="L268" s="7">
        <f t="shared" si="55"/>
        <v>0</v>
      </c>
      <c r="M268" s="243">
        <f t="shared" si="56"/>
        <v>68934.799651568028</v>
      </c>
      <c r="N268" s="243">
        <f>INDEX($AN$4:$AN21164,MATCH($A268,$AH$4:$AH$2000,0))</f>
        <v>73530.452961672563</v>
      </c>
      <c r="O268" s="243">
        <f t="shared" si="61"/>
        <v>73530.452961672563</v>
      </c>
      <c r="P268" s="243">
        <f t="shared" si="57"/>
        <v>73530.452961672563</v>
      </c>
      <c r="Q268" s="243">
        <f t="shared" si="58"/>
        <v>0</v>
      </c>
      <c r="R268" s="243">
        <f t="shared" si="59"/>
        <v>0</v>
      </c>
      <c r="S268" s="243">
        <f t="shared" si="62"/>
        <v>0</v>
      </c>
      <c r="T268" s="243">
        <f t="shared" si="60"/>
        <v>0</v>
      </c>
      <c r="AA268" s="6">
        <v>563</v>
      </c>
      <c r="AB268" t="s">
        <v>0</v>
      </c>
      <c r="AC268" t="s">
        <v>1933</v>
      </c>
      <c r="AD268" t="s">
        <v>7</v>
      </c>
      <c r="AE268" t="s">
        <v>1816</v>
      </c>
      <c r="AF268">
        <v>15</v>
      </c>
      <c r="AG268">
        <v>0</v>
      </c>
      <c r="AH268">
        <v>565</v>
      </c>
      <c r="AI268" t="s">
        <v>0</v>
      </c>
      <c r="AJ268" t="s">
        <v>1933</v>
      </c>
      <c r="AK268" t="s">
        <v>7</v>
      </c>
      <c r="AL268" t="s">
        <v>1848</v>
      </c>
      <c r="AM268" s="314">
        <v>68934.799651568028</v>
      </c>
      <c r="AN268" s="314">
        <v>73530.452961672563</v>
      </c>
      <c r="AO268" s="314">
        <v>73530.452961672563</v>
      </c>
      <c r="AP268" s="314">
        <v>73530.452961672563</v>
      </c>
      <c r="AQ268" s="314">
        <v>9.7861224489795564</v>
      </c>
      <c r="AR268" s="314">
        <v>10.438530612244861</v>
      </c>
      <c r="AS268" s="314">
        <v>10.438530612244861</v>
      </c>
      <c r="AT268" s="314">
        <v>10.438530612244861</v>
      </c>
      <c r="AU268" s="314">
        <v>0</v>
      </c>
      <c r="AV268" s="314">
        <v>0</v>
      </c>
      <c r="AW268" s="314">
        <v>0</v>
      </c>
      <c r="AX268">
        <v>0</v>
      </c>
    </row>
    <row r="269" spans="1:50" x14ac:dyDescent="0.35">
      <c r="A269">
        <v>11</v>
      </c>
      <c r="B269" t="s">
        <v>80</v>
      </c>
      <c r="C269" t="s">
        <v>211</v>
      </c>
      <c r="D269">
        <v>0</v>
      </c>
      <c r="E269" t="s">
        <v>1026</v>
      </c>
      <c r="F269">
        <v>1</v>
      </c>
      <c r="G269">
        <v>0</v>
      </c>
      <c r="H269">
        <v>0</v>
      </c>
      <c r="I269">
        <v>0</v>
      </c>
      <c r="J269" s="600">
        <v>1</v>
      </c>
      <c r="K269" s="7">
        <f t="shared" si="54"/>
        <v>13</v>
      </c>
      <c r="L269" s="7">
        <f t="shared" si="55"/>
        <v>0</v>
      </c>
      <c r="M269" s="243">
        <f t="shared" si="56"/>
        <v>61893387.8706</v>
      </c>
      <c r="N269" s="243">
        <f>INDEX($AN$4:$AN21165,MATCH($A269,$AH$4:$AH$2000,0))</f>
        <v>0</v>
      </c>
      <c r="O269" s="243">
        <f t="shared" si="61"/>
        <v>0</v>
      </c>
      <c r="P269" s="243">
        <f t="shared" si="57"/>
        <v>0</v>
      </c>
      <c r="Q269" s="243">
        <f t="shared" si="58"/>
        <v>411337.77659999992</v>
      </c>
      <c r="R269" s="243">
        <f t="shared" si="59"/>
        <v>0</v>
      </c>
      <c r="S269" s="243">
        <f t="shared" si="62"/>
        <v>0</v>
      </c>
      <c r="T269" s="243">
        <f t="shared" si="60"/>
        <v>0</v>
      </c>
      <c r="AA269" s="6">
        <v>595</v>
      </c>
      <c r="AB269" t="s">
        <v>0</v>
      </c>
      <c r="AC269" t="s">
        <v>1933</v>
      </c>
      <c r="AD269" t="s">
        <v>7</v>
      </c>
      <c r="AE269" t="s">
        <v>1817</v>
      </c>
      <c r="AF269">
        <v>20</v>
      </c>
      <c r="AG269">
        <v>0</v>
      </c>
      <c r="AH269">
        <v>11</v>
      </c>
      <c r="AI269" t="s">
        <v>80</v>
      </c>
      <c r="AJ269" t="s">
        <v>211</v>
      </c>
      <c r="AK269">
        <v>0</v>
      </c>
      <c r="AL269" t="s">
        <v>1026</v>
      </c>
      <c r="AM269" s="314">
        <v>61893387.8706</v>
      </c>
      <c r="AN269" s="314">
        <v>0</v>
      </c>
      <c r="AO269" s="314">
        <v>0</v>
      </c>
      <c r="AP269" s="314">
        <v>0</v>
      </c>
      <c r="AQ269" s="314">
        <v>7115.9639498999995</v>
      </c>
      <c r="AR269" s="314">
        <v>0</v>
      </c>
      <c r="AS269" s="314">
        <v>0</v>
      </c>
      <c r="AT269" s="314">
        <v>0</v>
      </c>
      <c r="AU269" s="314">
        <v>411337.77659999992</v>
      </c>
      <c r="AV269" s="314">
        <v>0</v>
      </c>
      <c r="AW269" s="314">
        <v>0</v>
      </c>
      <c r="AX269">
        <v>0</v>
      </c>
    </row>
    <row r="270" spans="1:50" x14ac:dyDescent="0.35">
      <c r="A270">
        <v>12</v>
      </c>
      <c r="B270" t="s">
        <v>80</v>
      </c>
      <c r="C270" t="s">
        <v>211</v>
      </c>
      <c r="D270">
        <v>0</v>
      </c>
      <c r="E270" t="s">
        <v>1027</v>
      </c>
      <c r="F270">
        <v>0</v>
      </c>
      <c r="G270">
        <v>1</v>
      </c>
      <c r="H270">
        <v>0</v>
      </c>
      <c r="I270">
        <v>0</v>
      </c>
      <c r="J270" s="600">
        <v>1</v>
      </c>
      <c r="K270" s="7">
        <f t="shared" si="54"/>
        <v>13</v>
      </c>
      <c r="L270" s="7">
        <f t="shared" si="55"/>
        <v>0</v>
      </c>
      <c r="M270" s="243">
        <f t="shared" si="56"/>
        <v>0</v>
      </c>
      <c r="N270" s="243">
        <f>INDEX($AN$4:$AN21166,MATCH($A270,$AH$4:$AH$2000,0))</f>
        <v>67776978.230612233</v>
      </c>
      <c r="O270" s="243">
        <f t="shared" si="61"/>
        <v>0</v>
      </c>
      <c r="P270" s="243">
        <f t="shared" si="57"/>
        <v>0</v>
      </c>
      <c r="Q270" s="243">
        <f t="shared" si="58"/>
        <v>0</v>
      </c>
      <c r="R270" s="243">
        <f t="shared" si="59"/>
        <v>351658.50479999994</v>
      </c>
      <c r="S270" s="243">
        <f t="shared" si="62"/>
        <v>0</v>
      </c>
      <c r="T270" s="243">
        <f t="shared" si="60"/>
        <v>0</v>
      </c>
      <c r="AA270" s="6">
        <v>588</v>
      </c>
      <c r="AB270" t="s">
        <v>0</v>
      </c>
      <c r="AC270" t="s">
        <v>1933</v>
      </c>
      <c r="AD270" t="s">
        <v>7</v>
      </c>
      <c r="AE270" t="s">
        <v>1783</v>
      </c>
      <c r="AF270">
        <v>20</v>
      </c>
      <c r="AG270">
        <v>0</v>
      </c>
      <c r="AH270">
        <v>12</v>
      </c>
      <c r="AI270" t="s">
        <v>80</v>
      </c>
      <c r="AJ270" t="s">
        <v>211</v>
      </c>
      <c r="AK270">
        <v>0</v>
      </c>
      <c r="AL270" t="s">
        <v>1027</v>
      </c>
      <c r="AM270" s="314">
        <v>0</v>
      </c>
      <c r="AN270" s="314">
        <v>67776978.230612233</v>
      </c>
      <c r="AO270" s="314">
        <v>0</v>
      </c>
      <c r="AP270" s="314">
        <v>0</v>
      </c>
      <c r="AQ270" s="314">
        <v>0</v>
      </c>
      <c r="AR270" s="314">
        <v>6975.4854239999995</v>
      </c>
      <c r="AS270" s="314">
        <v>0</v>
      </c>
      <c r="AT270" s="314">
        <v>0</v>
      </c>
      <c r="AU270" s="314">
        <v>0</v>
      </c>
      <c r="AV270" s="314">
        <v>351658.50479999994</v>
      </c>
      <c r="AW270" s="314">
        <v>0</v>
      </c>
      <c r="AX270">
        <v>0</v>
      </c>
    </row>
    <row r="271" spans="1:50" x14ac:dyDescent="0.35">
      <c r="A271">
        <v>13</v>
      </c>
      <c r="B271" t="s">
        <v>80</v>
      </c>
      <c r="C271" t="s">
        <v>211</v>
      </c>
      <c r="D271">
        <v>0</v>
      </c>
      <c r="E271" t="s">
        <v>1028</v>
      </c>
      <c r="F271">
        <v>0</v>
      </c>
      <c r="G271">
        <v>0</v>
      </c>
      <c r="H271">
        <v>1</v>
      </c>
      <c r="I271">
        <v>0</v>
      </c>
      <c r="J271" s="600">
        <v>1</v>
      </c>
      <c r="K271" s="7">
        <f t="shared" si="54"/>
        <v>13</v>
      </c>
      <c r="L271" s="7">
        <f t="shared" si="55"/>
        <v>0</v>
      </c>
      <c r="M271" s="243">
        <f t="shared" si="56"/>
        <v>0</v>
      </c>
      <c r="N271" s="243">
        <f>INDEX($AN$4:$AN21167,MATCH($A271,$AH$4:$AH$2000,0))</f>
        <v>0</v>
      </c>
      <c r="O271" s="243">
        <f t="shared" si="61"/>
        <v>73077011.036560982</v>
      </c>
      <c r="P271" s="243">
        <f t="shared" si="57"/>
        <v>0</v>
      </c>
      <c r="Q271" s="243">
        <f t="shared" si="58"/>
        <v>0</v>
      </c>
      <c r="R271" s="243">
        <f t="shared" si="59"/>
        <v>0</v>
      </c>
      <c r="S271" s="243">
        <f t="shared" si="62"/>
        <v>334332.26459999999</v>
      </c>
      <c r="T271" s="243">
        <f t="shared" si="60"/>
        <v>0</v>
      </c>
      <c r="AA271" s="6">
        <v>590</v>
      </c>
      <c r="AB271" t="s">
        <v>0</v>
      </c>
      <c r="AC271" t="s">
        <v>1933</v>
      </c>
      <c r="AD271" t="s">
        <v>7</v>
      </c>
      <c r="AE271" t="s">
        <v>1784</v>
      </c>
      <c r="AF271">
        <v>20</v>
      </c>
      <c r="AG271">
        <v>0</v>
      </c>
      <c r="AH271">
        <v>13</v>
      </c>
      <c r="AI271" t="s">
        <v>80</v>
      </c>
      <c r="AJ271" t="s">
        <v>211</v>
      </c>
      <c r="AK271">
        <v>0</v>
      </c>
      <c r="AL271" t="s">
        <v>1028</v>
      </c>
      <c r="AM271" s="314">
        <v>0</v>
      </c>
      <c r="AN271" s="314">
        <v>0</v>
      </c>
      <c r="AO271" s="314">
        <v>73077011.036560982</v>
      </c>
      <c r="AP271" s="314">
        <v>0</v>
      </c>
      <c r="AQ271" s="314">
        <v>0</v>
      </c>
      <c r="AR271" s="314">
        <v>0</v>
      </c>
      <c r="AS271" s="314">
        <v>7096.5876014999994</v>
      </c>
      <c r="AT271" s="314">
        <v>0</v>
      </c>
      <c r="AU271" s="314">
        <v>0</v>
      </c>
      <c r="AV271" s="314">
        <v>0</v>
      </c>
      <c r="AW271" s="314">
        <v>334332.26459999999</v>
      </c>
      <c r="AX271">
        <v>0</v>
      </c>
    </row>
    <row r="272" spans="1:50" x14ac:dyDescent="0.35">
      <c r="A272">
        <v>21</v>
      </c>
      <c r="B272" t="s">
        <v>80</v>
      </c>
      <c r="C272" t="s">
        <v>212</v>
      </c>
      <c r="D272">
        <v>0</v>
      </c>
      <c r="E272" t="s">
        <v>1029</v>
      </c>
      <c r="F272">
        <v>1</v>
      </c>
      <c r="G272">
        <v>0</v>
      </c>
      <c r="H272">
        <v>0</v>
      </c>
      <c r="I272">
        <v>0</v>
      </c>
      <c r="J272" s="600">
        <v>1</v>
      </c>
      <c r="K272" s="7">
        <f t="shared" si="54"/>
        <v>5</v>
      </c>
      <c r="L272" s="7">
        <f t="shared" si="55"/>
        <v>0</v>
      </c>
      <c r="M272" s="243">
        <f t="shared" si="56"/>
        <v>10124498.648</v>
      </c>
      <c r="N272" s="243">
        <f>INDEX($AN$4:$AN21168,MATCH($A272,$AH$4:$AH$2000,0))</f>
        <v>0</v>
      </c>
      <c r="O272" s="243">
        <f t="shared" si="61"/>
        <v>0</v>
      </c>
      <c r="P272" s="243">
        <f t="shared" si="57"/>
        <v>0</v>
      </c>
      <c r="Q272" s="243">
        <f t="shared" si="58"/>
        <v>280429.82400000002</v>
      </c>
      <c r="R272" s="243">
        <f t="shared" si="59"/>
        <v>0</v>
      </c>
      <c r="S272" s="243">
        <f t="shared" si="62"/>
        <v>0</v>
      </c>
      <c r="T272" s="243">
        <f t="shared" si="60"/>
        <v>0</v>
      </c>
      <c r="AA272" s="6">
        <v>592</v>
      </c>
      <c r="AB272" t="s">
        <v>0</v>
      </c>
      <c r="AC272" t="s">
        <v>1933</v>
      </c>
      <c r="AD272" t="s">
        <v>7</v>
      </c>
      <c r="AE272" t="s">
        <v>1785</v>
      </c>
      <c r="AF272">
        <v>20</v>
      </c>
      <c r="AG272">
        <v>0</v>
      </c>
      <c r="AH272">
        <v>21</v>
      </c>
      <c r="AI272" t="s">
        <v>80</v>
      </c>
      <c r="AJ272" t="s">
        <v>212</v>
      </c>
      <c r="AK272">
        <v>0</v>
      </c>
      <c r="AL272" t="s">
        <v>1029</v>
      </c>
      <c r="AM272" s="314">
        <v>10124498.648</v>
      </c>
      <c r="AN272" s="314">
        <v>0</v>
      </c>
      <c r="AO272" s="314">
        <v>0</v>
      </c>
      <c r="AP272" s="314">
        <v>0</v>
      </c>
      <c r="AQ272" s="314">
        <v>883.37259119999999</v>
      </c>
      <c r="AR272" s="314">
        <v>0</v>
      </c>
      <c r="AS272" s="314">
        <v>0</v>
      </c>
      <c r="AT272" s="314">
        <v>0</v>
      </c>
      <c r="AU272" s="314">
        <v>280429.82400000002</v>
      </c>
      <c r="AV272" s="314">
        <v>0</v>
      </c>
      <c r="AW272" s="314">
        <v>0</v>
      </c>
      <c r="AX272">
        <v>0</v>
      </c>
    </row>
    <row r="273" spans="1:50" x14ac:dyDescent="0.35">
      <c r="A273">
        <v>22</v>
      </c>
      <c r="B273" t="s">
        <v>80</v>
      </c>
      <c r="C273" t="s">
        <v>212</v>
      </c>
      <c r="D273">
        <v>0</v>
      </c>
      <c r="E273" t="s">
        <v>1030</v>
      </c>
      <c r="F273">
        <v>0</v>
      </c>
      <c r="G273">
        <v>1</v>
      </c>
      <c r="H273">
        <v>0</v>
      </c>
      <c r="I273">
        <v>0</v>
      </c>
      <c r="J273" s="600">
        <v>1</v>
      </c>
      <c r="K273" s="7">
        <f t="shared" si="54"/>
        <v>5</v>
      </c>
      <c r="L273" s="7">
        <f t="shared" si="55"/>
        <v>0</v>
      </c>
      <c r="M273" s="243">
        <f t="shared" si="56"/>
        <v>0</v>
      </c>
      <c r="N273" s="243">
        <f>INDEX($AN$4:$AN21169,MATCH($A273,$AH$4:$AH$2000,0))</f>
        <v>10381901.156000001</v>
      </c>
      <c r="O273" s="243">
        <f t="shared" si="61"/>
        <v>0</v>
      </c>
      <c r="P273" s="243">
        <f t="shared" si="57"/>
        <v>0</v>
      </c>
      <c r="Q273" s="243">
        <f t="shared" si="58"/>
        <v>0</v>
      </c>
      <c r="R273" s="243">
        <f t="shared" si="59"/>
        <v>262902.96000000002</v>
      </c>
      <c r="S273" s="243">
        <f t="shared" si="62"/>
        <v>0</v>
      </c>
      <c r="T273" s="243">
        <f t="shared" si="60"/>
        <v>0</v>
      </c>
      <c r="AA273" s="6">
        <v>594</v>
      </c>
      <c r="AB273" t="s">
        <v>0</v>
      </c>
      <c r="AC273" t="s">
        <v>1933</v>
      </c>
      <c r="AD273" t="s">
        <v>7</v>
      </c>
      <c r="AE273" t="s">
        <v>1786</v>
      </c>
      <c r="AF273">
        <v>20</v>
      </c>
      <c r="AG273">
        <v>0</v>
      </c>
      <c r="AH273">
        <v>22</v>
      </c>
      <c r="AI273" t="s">
        <v>80</v>
      </c>
      <c r="AJ273" t="s">
        <v>212</v>
      </c>
      <c r="AK273">
        <v>0</v>
      </c>
      <c r="AL273" t="s">
        <v>1030</v>
      </c>
      <c r="AM273" s="314">
        <v>0</v>
      </c>
      <c r="AN273" s="314">
        <v>10381901.156000001</v>
      </c>
      <c r="AO273" s="314">
        <v>0</v>
      </c>
      <c r="AP273" s="314">
        <v>0</v>
      </c>
      <c r="AQ273" s="314">
        <v>0</v>
      </c>
      <c r="AR273" s="314">
        <v>905.83121640000002</v>
      </c>
      <c r="AS273" s="314">
        <v>0</v>
      </c>
      <c r="AT273" s="314">
        <v>0</v>
      </c>
      <c r="AU273" s="314">
        <v>0</v>
      </c>
      <c r="AV273" s="314">
        <v>262902.96000000002</v>
      </c>
      <c r="AW273" s="314">
        <v>0</v>
      </c>
      <c r="AX273">
        <v>0</v>
      </c>
    </row>
    <row r="274" spans="1:50" x14ac:dyDescent="0.35">
      <c r="A274">
        <v>23</v>
      </c>
      <c r="B274" t="s">
        <v>80</v>
      </c>
      <c r="C274" t="s">
        <v>212</v>
      </c>
      <c r="D274">
        <v>0</v>
      </c>
      <c r="E274" t="s">
        <v>1031</v>
      </c>
      <c r="F274">
        <v>0</v>
      </c>
      <c r="G274">
        <v>0</v>
      </c>
      <c r="H274">
        <v>1</v>
      </c>
      <c r="I274">
        <v>0</v>
      </c>
      <c r="J274" s="600">
        <v>1</v>
      </c>
      <c r="K274" s="7">
        <f t="shared" si="54"/>
        <v>5</v>
      </c>
      <c r="L274" s="7">
        <f t="shared" si="55"/>
        <v>0</v>
      </c>
      <c r="M274" s="243">
        <f t="shared" si="56"/>
        <v>0</v>
      </c>
      <c r="N274" s="243">
        <f>INDEX($AN$4:$AN21170,MATCH($A274,$AH$4:$AH$2000,0))</f>
        <v>0</v>
      </c>
      <c r="O274" s="243">
        <f t="shared" si="61"/>
        <v>10424801.574000001</v>
      </c>
      <c r="P274" s="243">
        <f t="shared" si="57"/>
        <v>0</v>
      </c>
      <c r="Q274" s="243">
        <f t="shared" si="58"/>
        <v>0</v>
      </c>
      <c r="R274" s="243">
        <f t="shared" si="59"/>
        <v>0</v>
      </c>
      <c r="S274" s="243">
        <f t="shared" si="62"/>
        <v>280429.82400000002</v>
      </c>
      <c r="T274" s="243">
        <f t="shared" si="60"/>
        <v>0</v>
      </c>
      <c r="AA274" s="6">
        <v>601</v>
      </c>
      <c r="AB274" t="s">
        <v>0</v>
      </c>
      <c r="AC274" t="s">
        <v>1933</v>
      </c>
      <c r="AD274" t="s">
        <v>7</v>
      </c>
      <c r="AE274" t="s">
        <v>1818</v>
      </c>
      <c r="AF274">
        <v>10</v>
      </c>
      <c r="AG274">
        <v>0</v>
      </c>
      <c r="AH274">
        <v>23</v>
      </c>
      <c r="AI274" t="s">
        <v>80</v>
      </c>
      <c r="AJ274" t="s">
        <v>212</v>
      </c>
      <c r="AK274">
        <v>0</v>
      </c>
      <c r="AL274" t="s">
        <v>1031</v>
      </c>
      <c r="AM274" s="314">
        <v>0</v>
      </c>
      <c r="AN274" s="314">
        <v>0</v>
      </c>
      <c r="AO274" s="314">
        <v>10424801.574000001</v>
      </c>
      <c r="AP274" s="314">
        <v>0</v>
      </c>
      <c r="AQ274" s="314">
        <v>0</v>
      </c>
      <c r="AR274" s="314">
        <v>0</v>
      </c>
      <c r="AS274" s="314">
        <v>909.57432059999996</v>
      </c>
      <c r="AT274" s="314">
        <v>0</v>
      </c>
      <c r="AU274" s="314">
        <v>0</v>
      </c>
      <c r="AV274" s="314">
        <v>0</v>
      </c>
      <c r="AW274" s="314">
        <v>280429.82400000002</v>
      </c>
      <c r="AX274">
        <v>0</v>
      </c>
    </row>
    <row r="275" spans="1:50" x14ac:dyDescent="0.35">
      <c r="A275">
        <v>500</v>
      </c>
      <c r="B275" t="s">
        <v>0</v>
      </c>
      <c r="C275" t="s">
        <v>33</v>
      </c>
      <c r="D275" t="s">
        <v>34</v>
      </c>
      <c r="E275" t="s">
        <v>43</v>
      </c>
      <c r="F275">
        <v>7500</v>
      </c>
      <c r="G275">
        <v>7500</v>
      </c>
      <c r="H275">
        <v>7500</v>
      </c>
      <c r="I275">
        <v>7500</v>
      </c>
      <c r="J275" s="600">
        <v>30000</v>
      </c>
      <c r="K275" s="7">
        <f t="shared" si="54"/>
        <v>4</v>
      </c>
      <c r="L275" s="7">
        <f t="shared" si="55"/>
        <v>0</v>
      </c>
      <c r="M275" s="243">
        <f t="shared" si="56"/>
        <v>772500</v>
      </c>
      <c r="N275" s="243">
        <f>INDEX($AN$4:$AN21171,MATCH($A275,$AH$4:$AH$2000,0))</f>
        <v>772500</v>
      </c>
      <c r="O275" s="243">
        <f t="shared" si="61"/>
        <v>772500</v>
      </c>
      <c r="P275" s="243">
        <f t="shared" si="57"/>
        <v>772500</v>
      </c>
      <c r="Q275" s="243">
        <f t="shared" si="58"/>
        <v>0</v>
      </c>
      <c r="R275" s="243">
        <f t="shared" si="59"/>
        <v>0</v>
      </c>
      <c r="S275" s="243">
        <f t="shared" si="62"/>
        <v>0</v>
      </c>
      <c r="T275" s="243">
        <f t="shared" si="60"/>
        <v>0</v>
      </c>
      <c r="AA275" s="6">
        <v>604</v>
      </c>
      <c r="AB275" t="s">
        <v>0</v>
      </c>
      <c r="AC275" t="s">
        <v>1933</v>
      </c>
      <c r="AD275" t="s">
        <v>7</v>
      </c>
      <c r="AE275" t="s">
        <v>1819</v>
      </c>
      <c r="AF275">
        <v>10</v>
      </c>
      <c r="AG275">
        <v>0</v>
      </c>
      <c r="AH275">
        <v>500</v>
      </c>
      <c r="AI275" t="s">
        <v>0</v>
      </c>
      <c r="AJ275" t="s">
        <v>33</v>
      </c>
      <c r="AK275" t="s">
        <v>34</v>
      </c>
      <c r="AL275" t="s">
        <v>43</v>
      </c>
      <c r="AM275" s="314">
        <v>772500</v>
      </c>
      <c r="AN275" s="314">
        <v>772500</v>
      </c>
      <c r="AO275" s="314">
        <v>772500</v>
      </c>
      <c r="AP275" s="314">
        <v>772500</v>
      </c>
      <c r="AQ275" s="314">
        <v>86.25</v>
      </c>
      <c r="AR275" s="314">
        <v>86.25</v>
      </c>
      <c r="AS275" s="314">
        <v>86.25</v>
      </c>
      <c r="AT275" s="314">
        <v>86.25</v>
      </c>
      <c r="AU275" s="314">
        <v>0</v>
      </c>
      <c r="AV275" s="314">
        <v>0</v>
      </c>
      <c r="AW275" s="314">
        <v>0</v>
      </c>
      <c r="AX275">
        <v>0</v>
      </c>
    </row>
    <row r="276" spans="1:50" x14ac:dyDescent="0.35">
      <c r="A276">
        <v>1049</v>
      </c>
      <c r="B276" t="s">
        <v>0</v>
      </c>
      <c r="C276" t="s">
        <v>1864</v>
      </c>
      <c r="D276" t="s">
        <v>1136</v>
      </c>
      <c r="E276" t="s">
        <v>3</v>
      </c>
      <c r="F276">
        <v>6000</v>
      </c>
      <c r="G276">
        <v>6000</v>
      </c>
      <c r="H276">
        <v>7500</v>
      </c>
      <c r="I276">
        <v>7500</v>
      </c>
      <c r="J276" s="600">
        <v>27000</v>
      </c>
      <c r="K276" s="7">
        <f t="shared" si="54"/>
        <v>10</v>
      </c>
      <c r="L276" s="7">
        <f t="shared" si="55"/>
        <v>0</v>
      </c>
      <c r="M276" s="243">
        <f t="shared" si="56"/>
        <v>1376592</v>
      </c>
      <c r="N276" s="243">
        <f>INDEX($AN$4:$AN21172,MATCH($A276,$AH$4:$AH$2000,0))</f>
        <v>1376592</v>
      </c>
      <c r="O276" s="243">
        <f t="shared" si="61"/>
        <v>1720740.0000000002</v>
      </c>
      <c r="P276" s="243">
        <f t="shared" si="57"/>
        <v>1720740.0000000002</v>
      </c>
      <c r="Q276" s="243">
        <f t="shared" si="58"/>
        <v>305808</v>
      </c>
      <c r="R276" s="243">
        <f t="shared" si="59"/>
        <v>305808</v>
      </c>
      <c r="S276" s="243">
        <f t="shared" si="62"/>
        <v>382260</v>
      </c>
      <c r="T276" s="243">
        <f t="shared" si="60"/>
        <v>382260</v>
      </c>
      <c r="AA276" s="6">
        <v>602</v>
      </c>
      <c r="AB276" t="s">
        <v>0</v>
      </c>
      <c r="AC276" t="s">
        <v>1933</v>
      </c>
      <c r="AD276" t="s">
        <v>7</v>
      </c>
      <c r="AE276" t="s">
        <v>1820</v>
      </c>
      <c r="AF276">
        <v>10</v>
      </c>
      <c r="AG276">
        <v>0</v>
      </c>
      <c r="AH276">
        <v>1049</v>
      </c>
      <c r="AI276" t="s">
        <v>0</v>
      </c>
      <c r="AJ276" t="s">
        <v>1864</v>
      </c>
      <c r="AK276" t="s">
        <v>1136</v>
      </c>
      <c r="AL276" t="s">
        <v>3</v>
      </c>
      <c r="AM276" s="314">
        <v>1376592</v>
      </c>
      <c r="AN276" s="314">
        <v>1376592</v>
      </c>
      <c r="AO276" s="314">
        <v>1720740.0000000002</v>
      </c>
      <c r="AP276" s="314">
        <v>1720740.0000000002</v>
      </c>
      <c r="AQ276" s="314">
        <v>538.08000000000004</v>
      </c>
      <c r="AR276" s="314">
        <v>538.08000000000004</v>
      </c>
      <c r="AS276" s="314">
        <v>672.6</v>
      </c>
      <c r="AT276" s="314">
        <v>672.6</v>
      </c>
      <c r="AU276" s="314">
        <v>305808</v>
      </c>
      <c r="AV276" s="314">
        <v>305808</v>
      </c>
      <c r="AW276" s="314">
        <v>382260</v>
      </c>
      <c r="AX276">
        <v>382260</v>
      </c>
    </row>
    <row r="277" spans="1:50" x14ac:dyDescent="0.35">
      <c r="A277">
        <v>440</v>
      </c>
      <c r="B277" t="s">
        <v>80</v>
      </c>
      <c r="C277" t="s">
        <v>1032</v>
      </c>
      <c r="D277" t="s">
        <v>4</v>
      </c>
      <c r="E277" t="s">
        <v>82</v>
      </c>
      <c r="F277">
        <v>208</v>
      </c>
      <c r="G277">
        <v>165</v>
      </c>
      <c r="H277">
        <v>149</v>
      </c>
      <c r="I277">
        <v>0</v>
      </c>
      <c r="J277" s="600">
        <v>522</v>
      </c>
      <c r="K277" s="7">
        <f t="shared" si="54"/>
        <v>15</v>
      </c>
      <c r="L277" s="7">
        <f t="shared" si="55"/>
        <v>0</v>
      </c>
      <c r="M277" s="243">
        <f t="shared" si="56"/>
        <v>215550.75133226183</v>
      </c>
      <c r="N277" s="243">
        <f>INDEX($AN$4:$AN21173,MATCH($A277,$AH$4:$AH$2000,0))</f>
        <v>170989.77870107308</v>
      </c>
      <c r="O277" s="243">
        <f t="shared" si="61"/>
        <v>154408.95167551449</v>
      </c>
      <c r="P277" s="243">
        <f t="shared" si="57"/>
        <v>0</v>
      </c>
      <c r="Q277" s="243">
        <f t="shared" si="58"/>
        <v>-4541.3013287363037</v>
      </c>
      <c r="R277" s="243">
        <f t="shared" si="59"/>
        <v>-3602.4746117379332</v>
      </c>
      <c r="S277" s="243">
        <f t="shared" si="62"/>
        <v>-3253.1437402966794</v>
      </c>
      <c r="T277" s="243">
        <f t="shared" si="60"/>
        <v>0</v>
      </c>
      <c r="AA277" s="6">
        <v>603</v>
      </c>
      <c r="AB277" t="s">
        <v>0</v>
      </c>
      <c r="AC277" t="s">
        <v>1933</v>
      </c>
      <c r="AD277" t="s">
        <v>7</v>
      </c>
      <c r="AE277" t="s">
        <v>1821</v>
      </c>
      <c r="AF277">
        <v>10</v>
      </c>
      <c r="AG277">
        <v>0</v>
      </c>
      <c r="AH277">
        <v>440</v>
      </c>
      <c r="AI277" t="s">
        <v>80</v>
      </c>
      <c r="AJ277" t="s">
        <v>1032</v>
      </c>
      <c r="AK277" t="s">
        <v>4</v>
      </c>
      <c r="AL277" t="s">
        <v>82</v>
      </c>
      <c r="AM277" s="314">
        <v>215550.75133226183</v>
      </c>
      <c r="AN277" s="314">
        <v>170989.77870107308</v>
      </c>
      <c r="AO277" s="314">
        <v>154408.95167551449</v>
      </c>
      <c r="AP277" s="314">
        <v>0</v>
      </c>
      <c r="AQ277" s="314">
        <v>42.093712528946703</v>
      </c>
      <c r="AR277" s="314">
        <v>33.391646958058679</v>
      </c>
      <c r="AS277" s="314">
        <v>30.153669071216626</v>
      </c>
      <c r="AT277" s="314">
        <v>0</v>
      </c>
      <c r="AU277" s="314">
        <v>-4541.3013287363037</v>
      </c>
      <c r="AV277" s="314">
        <v>-3602.4746117379332</v>
      </c>
      <c r="AW277" s="314">
        <v>-3253.1437402966794</v>
      </c>
      <c r="AX277">
        <v>0</v>
      </c>
    </row>
    <row r="278" spans="1:50" x14ac:dyDescent="0.35">
      <c r="A278">
        <v>464</v>
      </c>
      <c r="B278" t="s">
        <v>80</v>
      </c>
      <c r="C278" t="s">
        <v>1032</v>
      </c>
      <c r="D278" t="s">
        <v>4</v>
      </c>
      <c r="E278" t="s">
        <v>83</v>
      </c>
      <c r="F278">
        <v>10</v>
      </c>
      <c r="G278">
        <v>0</v>
      </c>
      <c r="H278">
        <v>0</v>
      </c>
      <c r="I278">
        <v>0</v>
      </c>
      <c r="J278" s="600">
        <v>10</v>
      </c>
      <c r="K278" s="7">
        <f t="shared" si="54"/>
        <v>15</v>
      </c>
      <c r="L278" s="7">
        <f t="shared" si="55"/>
        <v>1</v>
      </c>
      <c r="M278" s="243">
        <f t="shared" si="56"/>
        <v>1065.118584230552</v>
      </c>
      <c r="N278" s="243">
        <f>INDEX($AN$4:$AN21174,MATCH($A278,$AH$4:$AH$2000,0))</f>
        <v>0</v>
      </c>
      <c r="O278" s="243">
        <f t="shared" si="61"/>
        <v>0</v>
      </c>
      <c r="P278" s="243">
        <f t="shared" si="57"/>
        <v>0</v>
      </c>
      <c r="Q278" s="243">
        <f t="shared" si="58"/>
        <v>-3.5327922972350012</v>
      </c>
      <c r="R278" s="243">
        <f t="shared" si="59"/>
        <v>0</v>
      </c>
      <c r="S278" s="243">
        <f t="shared" si="62"/>
        <v>0</v>
      </c>
      <c r="T278" s="243">
        <f t="shared" si="60"/>
        <v>0</v>
      </c>
      <c r="AA278" s="6">
        <v>605</v>
      </c>
      <c r="AB278" t="s">
        <v>0</v>
      </c>
      <c r="AC278" t="s">
        <v>1933</v>
      </c>
      <c r="AD278" t="s">
        <v>7</v>
      </c>
      <c r="AE278" t="s">
        <v>1822</v>
      </c>
      <c r="AF278">
        <v>10</v>
      </c>
      <c r="AG278">
        <v>0</v>
      </c>
      <c r="AH278">
        <v>464</v>
      </c>
      <c r="AI278" t="s">
        <v>80</v>
      </c>
      <c r="AJ278" t="s">
        <v>1032</v>
      </c>
      <c r="AK278" t="s">
        <v>4</v>
      </c>
      <c r="AL278" t="s">
        <v>83</v>
      </c>
      <c r="AM278" s="314">
        <v>1065.118584230552</v>
      </c>
      <c r="AN278" s="314">
        <v>0</v>
      </c>
      <c r="AO278" s="314">
        <v>0</v>
      </c>
      <c r="AP278" s="314">
        <v>0</v>
      </c>
      <c r="AQ278" s="314">
        <v>0.19357444778391497</v>
      </c>
      <c r="AR278" s="314">
        <v>0</v>
      </c>
      <c r="AS278" s="314">
        <v>0</v>
      </c>
      <c r="AT278" s="314">
        <v>0</v>
      </c>
      <c r="AU278" s="314">
        <v>-3.5327922972350012</v>
      </c>
      <c r="AV278" s="314">
        <v>0</v>
      </c>
      <c r="AW278" s="314">
        <v>0</v>
      </c>
      <c r="AX278">
        <v>0</v>
      </c>
    </row>
    <row r="279" spans="1:50" x14ac:dyDescent="0.35">
      <c r="A279">
        <v>457</v>
      </c>
      <c r="B279" t="s">
        <v>80</v>
      </c>
      <c r="C279" t="s">
        <v>1032</v>
      </c>
      <c r="D279" t="s">
        <v>4</v>
      </c>
      <c r="E279" t="s">
        <v>84</v>
      </c>
      <c r="F279">
        <v>16</v>
      </c>
      <c r="G279">
        <v>0</v>
      </c>
      <c r="H279">
        <v>0</v>
      </c>
      <c r="I279">
        <v>0</v>
      </c>
      <c r="J279" s="600">
        <v>16</v>
      </c>
      <c r="K279" s="7">
        <f t="shared" si="54"/>
        <v>15</v>
      </c>
      <c r="L279" s="7">
        <f t="shared" si="55"/>
        <v>1</v>
      </c>
      <c r="M279" s="243">
        <f t="shared" si="56"/>
        <v>3084.7390548507701</v>
      </c>
      <c r="N279" s="243">
        <f>INDEX($AN$4:$AN21175,MATCH($A279,$AH$4:$AH$2000,0))</f>
        <v>0</v>
      </c>
      <c r="O279" s="243">
        <f t="shared" si="61"/>
        <v>0</v>
      </c>
      <c r="P279" s="243">
        <f t="shared" si="57"/>
        <v>0</v>
      </c>
      <c r="Q279" s="243">
        <f t="shared" si="58"/>
        <v>-16.796391607382503</v>
      </c>
      <c r="R279" s="243">
        <f t="shared" si="59"/>
        <v>0</v>
      </c>
      <c r="S279" s="243">
        <f t="shared" si="62"/>
        <v>0</v>
      </c>
      <c r="T279" s="243">
        <f t="shared" si="60"/>
        <v>0</v>
      </c>
      <c r="AA279" s="6">
        <v>580</v>
      </c>
      <c r="AB279" t="s">
        <v>0</v>
      </c>
      <c r="AC279" t="s">
        <v>1933</v>
      </c>
      <c r="AD279" t="s">
        <v>7</v>
      </c>
      <c r="AE279" t="s">
        <v>1773</v>
      </c>
      <c r="AF279">
        <v>25</v>
      </c>
      <c r="AG279">
        <v>0</v>
      </c>
      <c r="AH279">
        <v>457</v>
      </c>
      <c r="AI279" t="s">
        <v>80</v>
      </c>
      <c r="AJ279" t="s">
        <v>1032</v>
      </c>
      <c r="AK279" t="s">
        <v>4</v>
      </c>
      <c r="AL279" t="s">
        <v>84</v>
      </c>
      <c r="AM279" s="314">
        <v>3084.7390548507701</v>
      </c>
      <c r="AN279" s="314">
        <v>0</v>
      </c>
      <c r="AO279" s="314">
        <v>0</v>
      </c>
      <c r="AP279" s="314">
        <v>0</v>
      </c>
      <c r="AQ279" s="314">
        <v>0.63016209855378225</v>
      </c>
      <c r="AR279" s="314">
        <v>0</v>
      </c>
      <c r="AS279" s="314">
        <v>0</v>
      </c>
      <c r="AT279" s="314">
        <v>0</v>
      </c>
      <c r="AU279" s="314">
        <v>-16.796391607382503</v>
      </c>
      <c r="AV279" s="314">
        <v>0</v>
      </c>
      <c r="AW279" s="314">
        <v>0</v>
      </c>
      <c r="AX279">
        <v>0</v>
      </c>
    </row>
    <row r="280" spans="1:50" x14ac:dyDescent="0.35">
      <c r="A280">
        <v>459</v>
      </c>
      <c r="B280" t="s">
        <v>80</v>
      </c>
      <c r="C280" t="s">
        <v>1032</v>
      </c>
      <c r="D280" t="s">
        <v>4</v>
      </c>
      <c r="E280" t="s">
        <v>85</v>
      </c>
      <c r="F280">
        <v>192</v>
      </c>
      <c r="G280">
        <v>0</v>
      </c>
      <c r="H280">
        <v>0</v>
      </c>
      <c r="I280">
        <v>0</v>
      </c>
      <c r="J280" s="600">
        <v>192</v>
      </c>
      <c r="K280" s="7">
        <f t="shared" si="54"/>
        <v>15</v>
      </c>
      <c r="L280" s="7">
        <f t="shared" si="55"/>
        <v>1</v>
      </c>
      <c r="M280" s="243">
        <f t="shared" si="56"/>
        <v>37385.474043590984</v>
      </c>
      <c r="N280" s="243">
        <f>INDEX($AN$4:$AN21176,MATCH($A280,$AH$4:$AH$2000,0))</f>
        <v>0</v>
      </c>
      <c r="O280" s="243">
        <f t="shared" si="61"/>
        <v>0</v>
      </c>
      <c r="P280" s="243">
        <f t="shared" si="57"/>
        <v>0</v>
      </c>
      <c r="Q280" s="243">
        <f t="shared" si="58"/>
        <v>-193.03888542453188</v>
      </c>
      <c r="R280" s="243">
        <f t="shared" si="59"/>
        <v>0</v>
      </c>
      <c r="S280" s="243">
        <f t="shared" si="62"/>
        <v>0</v>
      </c>
      <c r="T280" s="243">
        <f t="shared" si="60"/>
        <v>0</v>
      </c>
      <c r="AA280" s="6">
        <v>584</v>
      </c>
      <c r="AB280" t="s">
        <v>0</v>
      </c>
      <c r="AC280" t="s">
        <v>1933</v>
      </c>
      <c r="AD280" t="s">
        <v>7</v>
      </c>
      <c r="AE280" t="s">
        <v>1823</v>
      </c>
      <c r="AF280">
        <v>25</v>
      </c>
      <c r="AG280">
        <v>0</v>
      </c>
      <c r="AH280">
        <v>459</v>
      </c>
      <c r="AI280" t="s">
        <v>80</v>
      </c>
      <c r="AJ280" t="s">
        <v>1032</v>
      </c>
      <c r="AK280" t="s">
        <v>4</v>
      </c>
      <c r="AL280" t="s">
        <v>85</v>
      </c>
      <c r="AM280" s="314">
        <v>37385.474043590984</v>
      </c>
      <c r="AN280" s="314">
        <v>0</v>
      </c>
      <c r="AO280" s="314">
        <v>0</v>
      </c>
      <c r="AP280" s="314">
        <v>0</v>
      </c>
      <c r="AQ280" s="314">
        <v>7.4648849182164279</v>
      </c>
      <c r="AR280" s="314">
        <v>0</v>
      </c>
      <c r="AS280" s="314">
        <v>0</v>
      </c>
      <c r="AT280" s="314">
        <v>0</v>
      </c>
      <c r="AU280" s="314">
        <v>-193.03888542453188</v>
      </c>
      <c r="AV280" s="314">
        <v>0</v>
      </c>
      <c r="AW280" s="314">
        <v>0</v>
      </c>
      <c r="AX280">
        <v>0</v>
      </c>
    </row>
    <row r="281" spans="1:50" x14ac:dyDescent="0.35">
      <c r="A281">
        <v>465</v>
      </c>
      <c r="B281" t="s">
        <v>80</v>
      </c>
      <c r="C281" t="s">
        <v>1032</v>
      </c>
      <c r="D281" t="s">
        <v>4</v>
      </c>
      <c r="E281" t="s">
        <v>86</v>
      </c>
      <c r="F281">
        <v>30</v>
      </c>
      <c r="G281">
        <v>0</v>
      </c>
      <c r="H281">
        <v>0</v>
      </c>
      <c r="I281">
        <v>0</v>
      </c>
      <c r="J281" s="600">
        <v>30</v>
      </c>
      <c r="K281" s="7">
        <f t="shared" si="54"/>
        <v>15</v>
      </c>
      <c r="L281" s="7">
        <f t="shared" si="55"/>
        <v>1</v>
      </c>
      <c r="M281" s="243">
        <f t="shared" si="56"/>
        <v>8305.3800250119675</v>
      </c>
      <c r="N281" s="243">
        <f>INDEX($AN$4:$AN21177,MATCH($A281,$AH$4:$AH$2000,0))</f>
        <v>0</v>
      </c>
      <c r="O281" s="243">
        <f t="shared" si="61"/>
        <v>0</v>
      </c>
      <c r="P281" s="243">
        <f t="shared" si="57"/>
        <v>0</v>
      </c>
      <c r="Q281" s="243">
        <f t="shared" si="58"/>
        <v>-25.01018625095687</v>
      </c>
      <c r="R281" s="243">
        <f t="shared" si="59"/>
        <v>0</v>
      </c>
      <c r="S281" s="243">
        <f t="shared" si="62"/>
        <v>0</v>
      </c>
      <c r="T281" s="243">
        <f t="shared" si="60"/>
        <v>0</v>
      </c>
      <c r="AA281" s="6">
        <v>582</v>
      </c>
      <c r="AB281" t="s">
        <v>0</v>
      </c>
      <c r="AC281" t="s">
        <v>1933</v>
      </c>
      <c r="AD281" t="s">
        <v>7</v>
      </c>
      <c r="AE281" t="s">
        <v>1774</v>
      </c>
      <c r="AF281">
        <v>25</v>
      </c>
      <c r="AG281">
        <v>0</v>
      </c>
      <c r="AH281">
        <v>465</v>
      </c>
      <c r="AI281" t="s">
        <v>80</v>
      </c>
      <c r="AJ281" t="s">
        <v>1032</v>
      </c>
      <c r="AK281" t="s">
        <v>4</v>
      </c>
      <c r="AL281" t="s">
        <v>86</v>
      </c>
      <c r="AM281" s="314">
        <v>8305.3800250119675</v>
      </c>
      <c r="AN281" s="314">
        <v>0</v>
      </c>
      <c r="AO281" s="314">
        <v>0</v>
      </c>
      <c r="AP281" s="314">
        <v>0</v>
      </c>
      <c r="AQ281" s="314">
        <v>1.3304351564059167</v>
      </c>
      <c r="AR281" s="314">
        <v>0</v>
      </c>
      <c r="AS281" s="314">
        <v>0</v>
      </c>
      <c r="AT281" s="314">
        <v>0</v>
      </c>
      <c r="AU281" s="314">
        <v>-25.01018625095687</v>
      </c>
      <c r="AV281" s="314">
        <v>0</v>
      </c>
      <c r="AW281" s="314">
        <v>0</v>
      </c>
      <c r="AX281">
        <v>0</v>
      </c>
    </row>
    <row r="282" spans="1:50" x14ac:dyDescent="0.35">
      <c r="A282">
        <v>463</v>
      </c>
      <c r="B282" t="s">
        <v>80</v>
      </c>
      <c r="C282" t="s">
        <v>1032</v>
      </c>
      <c r="D282" t="s">
        <v>4</v>
      </c>
      <c r="E282" t="s">
        <v>87</v>
      </c>
      <c r="F282">
        <v>170</v>
      </c>
      <c r="G282">
        <v>0</v>
      </c>
      <c r="H282">
        <v>0</v>
      </c>
      <c r="I282">
        <v>0</v>
      </c>
      <c r="J282" s="600">
        <v>170</v>
      </c>
      <c r="K282" s="7">
        <f t="shared" si="54"/>
        <v>15</v>
      </c>
      <c r="L282" s="7">
        <f t="shared" si="55"/>
        <v>0</v>
      </c>
      <c r="M282" s="243">
        <f t="shared" si="56"/>
        <v>11410.430832412452</v>
      </c>
      <c r="N282" s="243">
        <f>INDEX($AN$4:$AN21178,MATCH($A282,$AH$4:$AH$2000,0))</f>
        <v>0</v>
      </c>
      <c r="O282" s="243">
        <f t="shared" si="61"/>
        <v>0</v>
      </c>
      <c r="P282" s="243">
        <f t="shared" si="57"/>
        <v>0</v>
      </c>
      <c r="Q282" s="243">
        <f t="shared" si="58"/>
        <v>-208.47486429200453</v>
      </c>
      <c r="R282" s="243">
        <f t="shared" si="59"/>
        <v>0</v>
      </c>
      <c r="S282" s="243">
        <f t="shared" si="62"/>
        <v>0</v>
      </c>
      <c r="T282" s="243">
        <f t="shared" si="60"/>
        <v>0</v>
      </c>
      <c r="AA282" s="6">
        <v>572</v>
      </c>
      <c r="AB282" t="s">
        <v>0</v>
      </c>
      <c r="AC282" t="s">
        <v>1933</v>
      </c>
      <c r="AD282" t="s">
        <v>7</v>
      </c>
      <c r="AE282" t="s">
        <v>1775</v>
      </c>
      <c r="AF282">
        <v>25</v>
      </c>
      <c r="AG282">
        <v>0</v>
      </c>
      <c r="AH282">
        <v>463</v>
      </c>
      <c r="AI282" t="s">
        <v>80</v>
      </c>
      <c r="AJ282" t="s">
        <v>1032</v>
      </c>
      <c r="AK282" t="s">
        <v>4</v>
      </c>
      <c r="AL282" t="s">
        <v>87</v>
      </c>
      <c r="AM282" s="314">
        <v>11410.430832412452</v>
      </c>
      <c r="AN282" s="314">
        <v>0</v>
      </c>
      <c r="AO282" s="314">
        <v>0</v>
      </c>
      <c r="AP282" s="314">
        <v>0</v>
      </c>
      <c r="AQ282" s="314">
        <v>2.1372285419699453</v>
      </c>
      <c r="AR282" s="314">
        <v>0</v>
      </c>
      <c r="AS282" s="314">
        <v>0</v>
      </c>
      <c r="AT282" s="314">
        <v>0</v>
      </c>
      <c r="AU282" s="314">
        <v>-208.47486429200453</v>
      </c>
      <c r="AV282" s="314">
        <v>0</v>
      </c>
      <c r="AW282" s="314">
        <v>0</v>
      </c>
      <c r="AX282">
        <v>0</v>
      </c>
    </row>
    <row r="283" spans="1:50" x14ac:dyDescent="0.35">
      <c r="A283">
        <v>435</v>
      </c>
      <c r="B283" t="s">
        <v>80</v>
      </c>
      <c r="C283" t="s">
        <v>1032</v>
      </c>
      <c r="D283" t="s">
        <v>4</v>
      </c>
      <c r="E283" t="s">
        <v>88</v>
      </c>
      <c r="F283">
        <v>4</v>
      </c>
      <c r="G283">
        <v>0</v>
      </c>
      <c r="H283">
        <v>0</v>
      </c>
      <c r="I283">
        <v>0</v>
      </c>
      <c r="J283" s="600">
        <v>4</v>
      </c>
      <c r="K283" s="7">
        <f t="shared" si="54"/>
        <v>15</v>
      </c>
      <c r="L283" s="7">
        <f t="shared" si="55"/>
        <v>1</v>
      </c>
      <c r="M283" s="243">
        <f t="shared" si="56"/>
        <v>853.41421531847345</v>
      </c>
      <c r="N283" s="243">
        <f>INDEX($AN$4:$AN21179,MATCH($A283,$AH$4:$AH$2000,0))</f>
        <v>0</v>
      </c>
      <c r="O283" s="243">
        <f t="shared" si="61"/>
        <v>0</v>
      </c>
      <c r="P283" s="243">
        <f t="shared" si="57"/>
        <v>0</v>
      </c>
      <c r="Q283" s="243">
        <f t="shared" si="58"/>
        <v>-4.8489301458807841</v>
      </c>
      <c r="R283" s="243">
        <f t="shared" si="59"/>
        <v>0</v>
      </c>
      <c r="S283" s="243">
        <f t="shared" si="62"/>
        <v>0</v>
      </c>
      <c r="T283" s="243">
        <f t="shared" si="60"/>
        <v>0</v>
      </c>
      <c r="AA283" s="6">
        <v>576</v>
      </c>
      <c r="AB283" t="s">
        <v>0</v>
      </c>
      <c r="AC283" t="s">
        <v>1933</v>
      </c>
      <c r="AD283" t="s">
        <v>7</v>
      </c>
      <c r="AE283" t="s">
        <v>1824</v>
      </c>
      <c r="AF283">
        <v>25</v>
      </c>
      <c r="AG283">
        <v>0</v>
      </c>
      <c r="AH283">
        <v>435</v>
      </c>
      <c r="AI283" t="s">
        <v>80</v>
      </c>
      <c r="AJ283" t="s">
        <v>1032</v>
      </c>
      <c r="AK283" t="s">
        <v>4</v>
      </c>
      <c r="AL283" t="s">
        <v>88</v>
      </c>
      <c r="AM283" s="314">
        <v>853.41421531847345</v>
      </c>
      <c r="AN283" s="314">
        <v>0</v>
      </c>
      <c r="AO283" s="314">
        <v>0</v>
      </c>
      <c r="AP283" s="314">
        <v>0</v>
      </c>
      <c r="AQ283" s="314">
        <v>0.16099562170924486</v>
      </c>
      <c r="AR283" s="314">
        <v>0</v>
      </c>
      <c r="AS283" s="314">
        <v>0</v>
      </c>
      <c r="AT283" s="314">
        <v>0</v>
      </c>
      <c r="AU283" s="314">
        <v>-4.8489301458807841</v>
      </c>
      <c r="AV283" s="314">
        <v>0</v>
      </c>
      <c r="AW283" s="314">
        <v>0</v>
      </c>
      <c r="AX283">
        <v>0</v>
      </c>
    </row>
    <row r="284" spans="1:50" x14ac:dyDescent="0.35">
      <c r="A284">
        <v>455</v>
      </c>
      <c r="B284" t="s">
        <v>80</v>
      </c>
      <c r="C284" t="s">
        <v>1032</v>
      </c>
      <c r="D284" t="s">
        <v>4</v>
      </c>
      <c r="E284" t="s">
        <v>89</v>
      </c>
      <c r="F284">
        <v>42</v>
      </c>
      <c r="G284">
        <v>0</v>
      </c>
      <c r="H284">
        <v>0</v>
      </c>
      <c r="I284">
        <v>0</v>
      </c>
      <c r="J284" s="600">
        <v>42</v>
      </c>
      <c r="K284" s="7">
        <f t="shared" si="54"/>
        <v>15</v>
      </c>
      <c r="L284" s="7">
        <f t="shared" si="55"/>
        <v>1</v>
      </c>
      <c r="M284" s="243">
        <f t="shared" si="56"/>
        <v>10816.905000918281</v>
      </c>
      <c r="N284" s="243">
        <f>INDEX($AN$4:$AN21180,MATCH($A284,$AH$4:$AH$2000,0))</f>
        <v>0</v>
      </c>
      <c r="O284" s="243">
        <f t="shared" ref="O284:O303" si="63">INDEX($AO$4:$AO$2000,MATCH($A284,$AH$4:$AH$2000,0))</f>
        <v>0</v>
      </c>
      <c r="P284" s="243">
        <f t="shared" si="57"/>
        <v>0</v>
      </c>
      <c r="Q284" s="243">
        <f t="shared" si="58"/>
        <v>-62.845390182252835</v>
      </c>
      <c r="R284" s="243">
        <f t="shared" si="59"/>
        <v>0</v>
      </c>
      <c r="S284" s="243">
        <f t="shared" ref="S284:S303" si="64">INDEX($AW$4:$AW$2000,MATCH($A284,$AH$4:$AH$2000,0))</f>
        <v>0</v>
      </c>
      <c r="T284" s="243">
        <f t="shared" si="60"/>
        <v>0</v>
      </c>
      <c r="AA284" s="6">
        <v>574</v>
      </c>
      <c r="AB284" t="s">
        <v>0</v>
      </c>
      <c r="AC284" t="s">
        <v>1933</v>
      </c>
      <c r="AD284" t="s">
        <v>7</v>
      </c>
      <c r="AE284" t="s">
        <v>1776</v>
      </c>
      <c r="AF284">
        <v>25</v>
      </c>
      <c r="AG284">
        <v>0</v>
      </c>
      <c r="AH284">
        <v>455</v>
      </c>
      <c r="AI284" t="s">
        <v>80</v>
      </c>
      <c r="AJ284" t="s">
        <v>1032</v>
      </c>
      <c r="AK284" t="s">
        <v>4</v>
      </c>
      <c r="AL284" t="s">
        <v>89</v>
      </c>
      <c r="AM284" s="314">
        <v>10816.905000918281</v>
      </c>
      <c r="AN284" s="314">
        <v>0</v>
      </c>
      <c r="AO284" s="314">
        <v>0</v>
      </c>
      <c r="AP284" s="314">
        <v>0</v>
      </c>
      <c r="AQ284" s="314">
        <v>2.2400703159525399</v>
      </c>
      <c r="AR284" s="314">
        <v>0</v>
      </c>
      <c r="AS284" s="314">
        <v>0</v>
      </c>
      <c r="AT284" s="314">
        <v>0</v>
      </c>
      <c r="AU284" s="314">
        <v>-62.845390182252835</v>
      </c>
      <c r="AV284" s="314">
        <v>0</v>
      </c>
      <c r="AW284" s="314">
        <v>0</v>
      </c>
      <c r="AX284">
        <v>0</v>
      </c>
    </row>
    <row r="285" spans="1:50" x14ac:dyDescent="0.35">
      <c r="A285">
        <v>456</v>
      </c>
      <c r="B285" t="s">
        <v>80</v>
      </c>
      <c r="C285" t="s">
        <v>1032</v>
      </c>
      <c r="D285" t="s">
        <v>4</v>
      </c>
      <c r="E285" t="s">
        <v>90</v>
      </c>
      <c r="F285">
        <v>16</v>
      </c>
      <c r="G285">
        <v>0</v>
      </c>
      <c r="H285">
        <v>0</v>
      </c>
      <c r="I285">
        <v>0</v>
      </c>
      <c r="J285" s="600">
        <v>16</v>
      </c>
      <c r="K285" s="7">
        <f t="shared" si="54"/>
        <v>15</v>
      </c>
      <c r="L285" s="7">
        <f t="shared" si="55"/>
        <v>1</v>
      </c>
      <c r="M285" s="243">
        <f t="shared" si="56"/>
        <v>8689.954627466248</v>
      </c>
      <c r="N285" s="243">
        <f>INDEX($AN$4:$AN21181,MATCH($A285,$AH$4:$AH$2000,0))</f>
        <v>0</v>
      </c>
      <c r="O285" s="243">
        <f t="shared" si="63"/>
        <v>0</v>
      </c>
      <c r="P285" s="243">
        <f t="shared" si="57"/>
        <v>0</v>
      </c>
      <c r="Q285" s="243">
        <f t="shared" si="58"/>
        <v>-65.797585834861351</v>
      </c>
      <c r="R285" s="243">
        <f t="shared" si="59"/>
        <v>0</v>
      </c>
      <c r="S285" s="243">
        <f t="shared" si="64"/>
        <v>0</v>
      </c>
      <c r="T285" s="243">
        <f t="shared" si="60"/>
        <v>0</v>
      </c>
      <c r="AA285" s="6">
        <v>579</v>
      </c>
      <c r="AB285" t="s">
        <v>0</v>
      </c>
      <c r="AC285" t="s">
        <v>1933</v>
      </c>
      <c r="AD285" t="s">
        <v>7</v>
      </c>
      <c r="AE285" t="s">
        <v>1825</v>
      </c>
      <c r="AF285">
        <v>25</v>
      </c>
      <c r="AG285">
        <v>0</v>
      </c>
      <c r="AH285">
        <v>456</v>
      </c>
      <c r="AI285" t="s">
        <v>80</v>
      </c>
      <c r="AJ285" t="s">
        <v>1032</v>
      </c>
      <c r="AK285" t="s">
        <v>4</v>
      </c>
      <c r="AL285" t="s">
        <v>90</v>
      </c>
      <c r="AM285" s="314">
        <v>8689.954627466248</v>
      </c>
      <c r="AN285" s="314">
        <v>0</v>
      </c>
      <c r="AO285" s="314">
        <v>0</v>
      </c>
      <c r="AP285" s="314">
        <v>0</v>
      </c>
      <c r="AQ285" s="314">
        <v>1.5795447698222123</v>
      </c>
      <c r="AR285" s="314">
        <v>0</v>
      </c>
      <c r="AS285" s="314">
        <v>0</v>
      </c>
      <c r="AT285" s="314">
        <v>0</v>
      </c>
      <c r="AU285" s="314">
        <v>-65.797585834861351</v>
      </c>
      <c r="AV285" s="314">
        <v>0</v>
      </c>
      <c r="AW285" s="314">
        <v>0</v>
      </c>
      <c r="AX285">
        <v>0</v>
      </c>
    </row>
    <row r="286" spans="1:50" x14ac:dyDescent="0.35">
      <c r="A286">
        <v>439</v>
      </c>
      <c r="B286" t="s">
        <v>80</v>
      </c>
      <c r="C286" t="s">
        <v>1032</v>
      </c>
      <c r="D286" t="s">
        <v>4</v>
      </c>
      <c r="E286" t="s">
        <v>91</v>
      </c>
      <c r="F286">
        <v>23</v>
      </c>
      <c r="G286">
        <v>0</v>
      </c>
      <c r="H286">
        <v>0</v>
      </c>
      <c r="I286">
        <v>0</v>
      </c>
      <c r="J286" s="600">
        <v>23</v>
      </c>
      <c r="K286" s="7">
        <f t="shared" si="54"/>
        <v>15</v>
      </c>
      <c r="L286" s="7">
        <f t="shared" si="55"/>
        <v>1</v>
      </c>
      <c r="M286" s="243">
        <f t="shared" si="56"/>
        <v>8389.9256107495494</v>
      </c>
      <c r="N286" s="243">
        <f>INDEX($AN$4:$AN21182,MATCH($A286,$AH$4:$AH$2000,0))</f>
        <v>0</v>
      </c>
      <c r="O286" s="243">
        <f t="shared" si="63"/>
        <v>0</v>
      </c>
      <c r="P286" s="243">
        <f t="shared" si="57"/>
        <v>0</v>
      </c>
      <c r="Q286" s="243">
        <f t="shared" si="58"/>
        <v>-62.879498352664406</v>
      </c>
      <c r="R286" s="243">
        <f t="shared" si="59"/>
        <v>0</v>
      </c>
      <c r="S286" s="243">
        <f t="shared" si="64"/>
        <v>0</v>
      </c>
      <c r="T286" s="243">
        <f t="shared" si="60"/>
        <v>0</v>
      </c>
      <c r="AA286" s="6">
        <v>583</v>
      </c>
      <c r="AB286" t="s">
        <v>0</v>
      </c>
      <c r="AC286" t="s">
        <v>1933</v>
      </c>
      <c r="AD286" t="s">
        <v>7</v>
      </c>
      <c r="AE286" t="s">
        <v>1826</v>
      </c>
      <c r="AF286">
        <v>25</v>
      </c>
      <c r="AG286">
        <v>0</v>
      </c>
      <c r="AH286">
        <v>439</v>
      </c>
      <c r="AI286" t="s">
        <v>80</v>
      </c>
      <c r="AJ286" t="s">
        <v>1032</v>
      </c>
      <c r="AK286" t="s">
        <v>4</v>
      </c>
      <c r="AL286" t="s">
        <v>91</v>
      </c>
      <c r="AM286" s="314">
        <v>8389.9256107495494</v>
      </c>
      <c r="AN286" s="314">
        <v>0</v>
      </c>
      <c r="AO286" s="314">
        <v>0</v>
      </c>
      <c r="AP286" s="314">
        <v>0</v>
      </c>
      <c r="AQ286" s="314">
        <v>1.7007556761315812</v>
      </c>
      <c r="AR286" s="314">
        <v>0</v>
      </c>
      <c r="AS286" s="314">
        <v>0</v>
      </c>
      <c r="AT286" s="314">
        <v>0</v>
      </c>
      <c r="AU286" s="314">
        <v>-62.879498352664406</v>
      </c>
      <c r="AV286" s="314">
        <v>0</v>
      </c>
      <c r="AW286" s="314">
        <v>0</v>
      </c>
      <c r="AX286">
        <v>0</v>
      </c>
    </row>
    <row r="287" spans="1:50" x14ac:dyDescent="0.35">
      <c r="A287">
        <v>437</v>
      </c>
      <c r="B287" t="s">
        <v>80</v>
      </c>
      <c r="C287" t="s">
        <v>1032</v>
      </c>
      <c r="D287" t="s">
        <v>4</v>
      </c>
      <c r="E287" t="s">
        <v>92</v>
      </c>
      <c r="F287">
        <v>701</v>
      </c>
      <c r="G287">
        <v>733</v>
      </c>
      <c r="H287">
        <v>765</v>
      </c>
      <c r="I287">
        <v>776</v>
      </c>
      <c r="J287" s="600">
        <v>2975</v>
      </c>
      <c r="K287" s="7">
        <f t="shared" si="54"/>
        <v>8</v>
      </c>
      <c r="L287" s="7">
        <f t="shared" si="55"/>
        <v>0</v>
      </c>
      <c r="M287" s="243">
        <f t="shared" si="56"/>
        <v>148730.29336693563</v>
      </c>
      <c r="N287" s="243">
        <f>INDEX($AN$4:$AN21183,MATCH($A287,$AH$4:$AH$2000,0))</f>
        <v>155519.69334944911</v>
      </c>
      <c r="O287" s="243">
        <f t="shared" si="63"/>
        <v>162309.09333196256</v>
      </c>
      <c r="P287" s="243">
        <f t="shared" si="57"/>
        <v>164642.94957595158</v>
      </c>
      <c r="Q287" s="243">
        <f t="shared" si="58"/>
        <v>-5107.6952108372834</v>
      </c>
      <c r="R287" s="243">
        <f t="shared" si="59"/>
        <v>-5340.8567611180151</v>
      </c>
      <c r="S287" s="243">
        <f t="shared" si="64"/>
        <v>-5574.0183113987478</v>
      </c>
      <c r="T287" s="243">
        <f t="shared" si="60"/>
        <v>-5654.1675943077489</v>
      </c>
      <c r="AA287" s="6">
        <v>581</v>
      </c>
      <c r="AB287" t="s">
        <v>0</v>
      </c>
      <c r="AC287" t="s">
        <v>1933</v>
      </c>
      <c r="AD287" t="s">
        <v>7</v>
      </c>
      <c r="AE287" t="s">
        <v>1827</v>
      </c>
      <c r="AF287">
        <v>25</v>
      </c>
      <c r="AG287">
        <v>0</v>
      </c>
      <c r="AH287">
        <v>437</v>
      </c>
      <c r="AI287" t="s">
        <v>80</v>
      </c>
      <c r="AJ287" t="s">
        <v>1032</v>
      </c>
      <c r="AK287" t="s">
        <v>4</v>
      </c>
      <c r="AL287" t="s">
        <v>92</v>
      </c>
      <c r="AM287" s="314">
        <v>148730.29336693563</v>
      </c>
      <c r="AN287" s="314">
        <v>155519.69334944911</v>
      </c>
      <c r="AO287" s="314">
        <v>162309.09333196256</v>
      </c>
      <c r="AP287" s="314">
        <v>164642.94957595158</v>
      </c>
      <c r="AQ287" s="314">
        <v>63.534238311513178</v>
      </c>
      <c r="AR287" s="314">
        <v>66.43451737851521</v>
      </c>
      <c r="AS287" s="314">
        <v>69.334796445517242</v>
      </c>
      <c r="AT287" s="314">
        <v>70.331767374799185</v>
      </c>
      <c r="AU287" s="314">
        <v>-5107.6952108372834</v>
      </c>
      <c r="AV287" s="314">
        <v>-5340.8567611180151</v>
      </c>
      <c r="AW287" s="314">
        <v>-5574.0183113987478</v>
      </c>
      <c r="AX287">
        <v>-5654.1675943077489</v>
      </c>
    </row>
    <row r="288" spans="1:50" x14ac:dyDescent="0.35">
      <c r="A288">
        <v>426</v>
      </c>
      <c r="B288" t="s">
        <v>80</v>
      </c>
      <c r="C288" t="s">
        <v>1032</v>
      </c>
      <c r="D288">
        <v>0</v>
      </c>
      <c r="E288" t="s">
        <v>93</v>
      </c>
      <c r="F288">
        <v>32</v>
      </c>
      <c r="G288">
        <v>35</v>
      </c>
      <c r="H288">
        <v>36</v>
      </c>
      <c r="I288">
        <v>37</v>
      </c>
      <c r="J288" s="600">
        <v>140</v>
      </c>
      <c r="K288" s="7">
        <f t="shared" si="54"/>
        <v>8</v>
      </c>
      <c r="L288" s="7">
        <f t="shared" si="55"/>
        <v>0</v>
      </c>
      <c r="M288" s="243">
        <f t="shared" si="56"/>
        <v>13543.708014719999</v>
      </c>
      <c r="N288" s="243">
        <f>INDEX($AN$4:$AN21184,MATCH($A288,$AH$4:$AH$2000,0))</f>
        <v>14813.4306411</v>
      </c>
      <c r="O288" s="243">
        <f t="shared" si="63"/>
        <v>15236.67151656</v>
      </c>
      <c r="P288" s="243">
        <f t="shared" si="57"/>
        <v>15659.91239202</v>
      </c>
      <c r="Q288" s="243">
        <f t="shared" si="58"/>
        <v>-303.73249087999994</v>
      </c>
      <c r="R288" s="243">
        <f t="shared" si="59"/>
        <v>-332.20741189999995</v>
      </c>
      <c r="S288" s="243">
        <f t="shared" si="64"/>
        <v>-341.69905223999996</v>
      </c>
      <c r="T288" s="243">
        <f t="shared" si="60"/>
        <v>-351.19069257999996</v>
      </c>
      <c r="AA288" s="6">
        <v>571</v>
      </c>
      <c r="AB288" t="s">
        <v>0</v>
      </c>
      <c r="AC288" t="s">
        <v>1933</v>
      </c>
      <c r="AD288" t="s">
        <v>7</v>
      </c>
      <c r="AE288" t="s">
        <v>1828</v>
      </c>
      <c r="AF288">
        <v>25</v>
      </c>
      <c r="AG288">
        <v>0</v>
      </c>
      <c r="AH288">
        <v>426</v>
      </c>
      <c r="AI288" t="s">
        <v>80</v>
      </c>
      <c r="AJ288" t="s">
        <v>1032</v>
      </c>
      <c r="AK288">
        <v>0</v>
      </c>
      <c r="AL288" t="s">
        <v>93</v>
      </c>
      <c r="AM288" s="314">
        <v>13543.708014719999</v>
      </c>
      <c r="AN288" s="314">
        <v>14813.4306411</v>
      </c>
      <c r="AO288" s="314">
        <v>15236.67151656</v>
      </c>
      <c r="AP288" s="314">
        <v>15659.91239202</v>
      </c>
      <c r="AQ288" s="314">
        <v>9.9349788096000005</v>
      </c>
      <c r="AR288" s="314">
        <v>10.866383073</v>
      </c>
      <c r="AS288" s="314">
        <v>11.1768511608</v>
      </c>
      <c r="AT288" s="314">
        <v>11.4873192486</v>
      </c>
      <c r="AU288" s="314">
        <v>-303.73249087999994</v>
      </c>
      <c r="AV288" s="314">
        <v>-332.20741189999995</v>
      </c>
      <c r="AW288" s="314">
        <v>-341.69905223999996</v>
      </c>
      <c r="AX288">
        <v>-351.19069257999996</v>
      </c>
    </row>
    <row r="289" spans="1:50" x14ac:dyDescent="0.35">
      <c r="A289">
        <v>431</v>
      </c>
      <c r="B289" t="s">
        <v>80</v>
      </c>
      <c r="C289" t="s">
        <v>1032</v>
      </c>
      <c r="D289">
        <v>0</v>
      </c>
      <c r="E289" t="s">
        <v>94</v>
      </c>
      <c r="F289">
        <v>88</v>
      </c>
      <c r="G289">
        <v>93</v>
      </c>
      <c r="H289">
        <v>97</v>
      </c>
      <c r="I289">
        <v>99</v>
      </c>
      <c r="J289" s="600">
        <v>377</v>
      </c>
      <c r="K289" s="7">
        <f t="shared" si="54"/>
        <v>8</v>
      </c>
      <c r="L289" s="7">
        <f t="shared" si="55"/>
        <v>0</v>
      </c>
      <c r="M289" s="243">
        <f t="shared" si="56"/>
        <v>23171.786351999996</v>
      </c>
      <c r="N289" s="243">
        <f>INDEX($AN$4:$AN21185,MATCH($A289,$AH$4:$AH$2000,0))</f>
        <v>24488.365121999996</v>
      </c>
      <c r="O289" s="243">
        <f t="shared" si="63"/>
        <v>25541.628137999996</v>
      </c>
      <c r="P289" s="243">
        <f t="shared" si="57"/>
        <v>26068.259645999999</v>
      </c>
      <c r="Q289" s="243">
        <f t="shared" si="58"/>
        <v>-374.17952000000002</v>
      </c>
      <c r="R289" s="243">
        <f t="shared" si="59"/>
        <v>-395.43972000000002</v>
      </c>
      <c r="S289" s="243">
        <f t="shared" si="64"/>
        <v>-412.44788</v>
      </c>
      <c r="T289" s="243">
        <f t="shared" si="60"/>
        <v>-420.95195999999999</v>
      </c>
      <c r="AA289" s="6">
        <v>575</v>
      </c>
      <c r="AB289" t="s">
        <v>0</v>
      </c>
      <c r="AC289" t="s">
        <v>1933</v>
      </c>
      <c r="AD289" t="s">
        <v>7</v>
      </c>
      <c r="AE289" t="s">
        <v>1772</v>
      </c>
      <c r="AF289">
        <v>25</v>
      </c>
      <c r="AG289">
        <v>0</v>
      </c>
      <c r="AH289">
        <v>431</v>
      </c>
      <c r="AI289" t="s">
        <v>80</v>
      </c>
      <c r="AJ289" t="s">
        <v>1032</v>
      </c>
      <c r="AK289">
        <v>0</v>
      </c>
      <c r="AL289" t="s">
        <v>94</v>
      </c>
      <c r="AM289" s="314">
        <v>23171.786351999996</v>
      </c>
      <c r="AN289" s="314">
        <v>24488.365121999996</v>
      </c>
      <c r="AO289" s="314">
        <v>25541.628137999996</v>
      </c>
      <c r="AP289" s="314">
        <v>26068.259645999999</v>
      </c>
      <c r="AQ289" s="314">
        <v>7.61904</v>
      </c>
      <c r="AR289" s="314">
        <v>8.0519400000000001</v>
      </c>
      <c r="AS289" s="314">
        <v>8.3982600000000005</v>
      </c>
      <c r="AT289" s="314">
        <v>8.5714199999999998</v>
      </c>
      <c r="AU289" s="314">
        <v>-374.17952000000002</v>
      </c>
      <c r="AV289" s="314">
        <v>-395.43972000000002</v>
      </c>
      <c r="AW289" s="314">
        <v>-412.44788</v>
      </c>
      <c r="AX289">
        <v>-420.95195999999999</v>
      </c>
    </row>
    <row r="290" spans="1:50" x14ac:dyDescent="0.35">
      <c r="A290">
        <v>418</v>
      </c>
      <c r="B290" t="s">
        <v>80</v>
      </c>
      <c r="C290" t="s">
        <v>1032</v>
      </c>
      <c r="D290">
        <v>0</v>
      </c>
      <c r="E290" t="s">
        <v>95</v>
      </c>
      <c r="F290">
        <v>876</v>
      </c>
      <c r="G290">
        <v>1099</v>
      </c>
      <c r="H290">
        <v>1147</v>
      </c>
      <c r="I290">
        <v>1163</v>
      </c>
      <c r="J290" s="600">
        <v>4285</v>
      </c>
      <c r="K290" s="7">
        <f t="shared" si="54"/>
        <v>8</v>
      </c>
      <c r="L290" s="7">
        <f t="shared" si="55"/>
        <v>0</v>
      </c>
      <c r="M290" s="243">
        <f t="shared" si="56"/>
        <v>67042.101477311997</v>
      </c>
      <c r="N290" s="243">
        <f>INDEX($AN$4:$AN21186,MATCH($A290,$AH$4:$AH$2000,0))</f>
        <v>84108.755163887996</v>
      </c>
      <c r="O290" s="243">
        <f t="shared" si="63"/>
        <v>87782.294970863994</v>
      </c>
      <c r="P290" s="243">
        <f t="shared" si="57"/>
        <v>89006.808239855993</v>
      </c>
      <c r="Q290" s="243">
        <f t="shared" si="58"/>
        <v>-1503.49090632</v>
      </c>
      <c r="R290" s="243">
        <f t="shared" si="59"/>
        <v>-1886.22888818</v>
      </c>
      <c r="S290" s="243">
        <f t="shared" si="64"/>
        <v>-1968.6119515400001</v>
      </c>
      <c r="T290" s="243">
        <f t="shared" si="60"/>
        <v>-1996.07297266</v>
      </c>
      <c r="AA290" s="6">
        <v>573</v>
      </c>
      <c r="AB290" t="s">
        <v>0</v>
      </c>
      <c r="AC290" t="s">
        <v>1933</v>
      </c>
      <c r="AD290" t="s">
        <v>7</v>
      </c>
      <c r="AE290" t="s">
        <v>1829</v>
      </c>
      <c r="AF290">
        <v>25</v>
      </c>
      <c r="AG290">
        <v>0</v>
      </c>
      <c r="AH290">
        <v>418</v>
      </c>
      <c r="AI290" t="s">
        <v>80</v>
      </c>
      <c r="AJ290" t="s">
        <v>1032</v>
      </c>
      <c r="AK290">
        <v>0</v>
      </c>
      <c r="AL290" t="s">
        <v>95</v>
      </c>
      <c r="AM290" s="314">
        <v>67042.101477311997</v>
      </c>
      <c r="AN290" s="314">
        <v>84108.755163887996</v>
      </c>
      <c r="AO290" s="314">
        <v>87782.294970863994</v>
      </c>
      <c r="AP290" s="314">
        <v>89006.808239855993</v>
      </c>
      <c r="AQ290" s="314">
        <v>52.605453888000007</v>
      </c>
      <c r="AR290" s="314">
        <v>65.997024912000001</v>
      </c>
      <c r="AS290" s="314">
        <v>68.879515536</v>
      </c>
      <c r="AT290" s="314">
        <v>69.840345744000004</v>
      </c>
      <c r="AU290" s="314">
        <v>-1503.49090632</v>
      </c>
      <c r="AV290" s="314">
        <v>-1886.22888818</v>
      </c>
      <c r="AW290" s="314">
        <v>-1968.6119515400001</v>
      </c>
      <c r="AX290">
        <v>-1996.07297266</v>
      </c>
    </row>
    <row r="291" spans="1:50" x14ac:dyDescent="0.35">
      <c r="A291">
        <v>443</v>
      </c>
      <c r="B291" t="s">
        <v>80</v>
      </c>
      <c r="C291" t="s">
        <v>1032</v>
      </c>
      <c r="D291" t="s">
        <v>4</v>
      </c>
      <c r="E291" t="s">
        <v>1010</v>
      </c>
      <c r="F291">
        <v>18000</v>
      </c>
      <c r="G291">
        <v>0</v>
      </c>
      <c r="H291">
        <v>0</v>
      </c>
      <c r="I291">
        <v>0</v>
      </c>
      <c r="J291" s="600">
        <v>18000</v>
      </c>
      <c r="K291" s="7">
        <f t="shared" si="54"/>
        <v>15</v>
      </c>
      <c r="L291" s="7">
        <f t="shared" si="55"/>
        <v>2</v>
      </c>
      <c r="M291" s="243">
        <f t="shared" si="56"/>
        <v>2296857.4347254802</v>
      </c>
      <c r="N291" s="243">
        <f>INDEX($AN$4:$AN21187,MATCH($A291,$AH$4:$AH$2000,0))</f>
        <v>0</v>
      </c>
      <c r="O291" s="243">
        <f t="shared" si="63"/>
        <v>0</v>
      </c>
      <c r="P291" s="243">
        <f t="shared" si="57"/>
        <v>0</v>
      </c>
      <c r="Q291" s="243">
        <f t="shared" si="58"/>
        <v>0</v>
      </c>
      <c r="R291" s="243">
        <f t="shared" si="59"/>
        <v>0</v>
      </c>
      <c r="S291" s="243">
        <f t="shared" si="64"/>
        <v>0</v>
      </c>
      <c r="T291" s="243">
        <f t="shared" si="60"/>
        <v>0</v>
      </c>
      <c r="AA291" s="6">
        <v>596</v>
      </c>
      <c r="AB291" t="s">
        <v>0</v>
      </c>
      <c r="AC291" t="s">
        <v>1933</v>
      </c>
      <c r="AD291" t="s">
        <v>7</v>
      </c>
      <c r="AE291" t="s">
        <v>1830</v>
      </c>
      <c r="AF291">
        <v>20</v>
      </c>
      <c r="AG291">
        <v>0</v>
      </c>
      <c r="AH291">
        <v>443</v>
      </c>
      <c r="AI291" t="s">
        <v>80</v>
      </c>
      <c r="AJ291" t="s">
        <v>1032</v>
      </c>
      <c r="AK291" t="s">
        <v>4</v>
      </c>
      <c r="AL291" t="s">
        <v>1010</v>
      </c>
      <c r="AM291" s="314">
        <v>2296857.4347254802</v>
      </c>
      <c r="AN291" s="314">
        <v>0</v>
      </c>
      <c r="AO291" s="314">
        <v>0</v>
      </c>
      <c r="AP291" s="314">
        <v>0</v>
      </c>
      <c r="AQ291" s="314">
        <v>458.19054895778891</v>
      </c>
      <c r="AR291" s="314">
        <v>0</v>
      </c>
      <c r="AS291" s="314">
        <v>0</v>
      </c>
      <c r="AT291" s="314">
        <v>0</v>
      </c>
      <c r="AU291" s="314">
        <v>0</v>
      </c>
      <c r="AV291" s="314">
        <v>0</v>
      </c>
      <c r="AW291" s="314">
        <v>0</v>
      </c>
      <c r="AX291">
        <v>0</v>
      </c>
    </row>
    <row r="292" spans="1:50" x14ac:dyDescent="0.35">
      <c r="A292">
        <v>444</v>
      </c>
      <c r="B292" t="s">
        <v>80</v>
      </c>
      <c r="C292" t="s">
        <v>1032</v>
      </c>
      <c r="D292" t="s">
        <v>4</v>
      </c>
      <c r="E292" t="s">
        <v>1859</v>
      </c>
      <c r="F292">
        <v>1334</v>
      </c>
      <c r="G292">
        <v>0</v>
      </c>
      <c r="H292">
        <v>0</v>
      </c>
      <c r="I292">
        <v>0</v>
      </c>
      <c r="J292" s="600">
        <v>1334</v>
      </c>
      <c r="K292" s="7">
        <f t="shared" si="54"/>
        <v>15</v>
      </c>
      <c r="L292" s="7">
        <f t="shared" si="55"/>
        <v>0</v>
      </c>
      <c r="M292" s="243">
        <f t="shared" si="56"/>
        <v>134955.70633874647</v>
      </c>
      <c r="N292" s="243">
        <f>INDEX($AN$4:$AN21188,MATCH($A292,$AH$4:$AH$2000,0))</f>
        <v>0</v>
      </c>
      <c r="O292" s="243">
        <f t="shared" si="63"/>
        <v>0</v>
      </c>
      <c r="P292" s="243">
        <f t="shared" si="57"/>
        <v>0</v>
      </c>
      <c r="Q292" s="243">
        <f t="shared" si="58"/>
        <v>-2723.8766416994704</v>
      </c>
      <c r="R292" s="243">
        <f t="shared" si="59"/>
        <v>0</v>
      </c>
      <c r="S292" s="243">
        <f t="shared" si="64"/>
        <v>0</v>
      </c>
      <c r="T292" s="243">
        <f t="shared" si="60"/>
        <v>0</v>
      </c>
      <c r="AA292" s="6">
        <v>558</v>
      </c>
      <c r="AB292" t="s">
        <v>0</v>
      </c>
      <c r="AC292" t="s">
        <v>1933</v>
      </c>
      <c r="AD292" t="s">
        <v>7</v>
      </c>
      <c r="AE292" t="s">
        <v>1831</v>
      </c>
      <c r="AF292">
        <v>20</v>
      </c>
      <c r="AG292">
        <v>0</v>
      </c>
      <c r="AH292">
        <v>444</v>
      </c>
      <c r="AI292" t="s">
        <v>80</v>
      </c>
      <c r="AJ292" t="s">
        <v>1032</v>
      </c>
      <c r="AK292" t="s">
        <v>4</v>
      </c>
      <c r="AL292" t="s">
        <v>1859</v>
      </c>
      <c r="AM292" s="314">
        <v>134955.70633874647</v>
      </c>
      <c r="AN292" s="314">
        <v>0</v>
      </c>
      <c r="AO292" s="314">
        <v>0</v>
      </c>
      <c r="AP292" s="314">
        <v>0</v>
      </c>
      <c r="AQ292" s="314">
        <v>28.903036064631031</v>
      </c>
      <c r="AR292" s="314">
        <v>0</v>
      </c>
      <c r="AS292" s="314">
        <v>0</v>
      </c>
      <c r="AT292" s="314">
        <v>0</v>
      </c>
      <c r="AU292" s="314">
        <v>-2723.8766416994704</v>
      </c>
      <c r="AV292" s="314">
        <v>0</v>
      </c>
      <c r="AW292" s="314">
        <v>0</v>
      </c>
      <c r="AX292">
        <v>0</v>
      </c>
    </row>
    <row r="293" spans="1:50" x14ac:dyDescent="0.35">
      <c r="A293">
        <v>438</v>
      </c>
      <c r="B293" t="s">
        <v>80</v>
      </c>
      <c r="C293" t="s">
        <v>1032</v>
      </c>
      <c r="D293" t="s">
        <v>4</v>
      </c>
      <c r="E293" t="s">
        <v>96</v>
      </c>
      <c r="F293">
        <v>1750</v>
      </c>
      <c r="G293">
        <v>2288</v>
      </c>
      <c r="H293">
        <v>2867</v>
      </c>
      <c r="I293">
        <v>3390</v>
      </c>
      <c r="J293" s="600">
        <v>10295</v>
      </c>
      <c r="K293" s="7">
        <f t="shared" si="54"/>
        <v>8</v>
      </c>
      <c r="L293" s="7">
        <f t="shared" si="55"/>
        <v>0</v>
      </c>
      <c r="M293" s="243">
        <f t="shared" si="56"/>
        <v>155596.84991963516</v>
      </c>
      <c r="N293" s="243">
        <f>INDEX($AN$4:$AN21189,MATCH($A293,$AH$4:$AH$2000,0))</f>
        <v>203431.76720921442</v>
      </c>
      <c r="O293" s="243">
        <f t="shared" si="63"/>
        <v>254912.09641119657</v>
      </c>
      <c r="P293" s="243">
        <f t="shared" si="57"/>
        <v>301413.32641575037</v>
      </c>
      <c r="Q293" s="243">
        <f t="shared" si="58"/>
        <v>-12015.685063579693</v>
      </c>
      <c r="R293" s="243">
        <f t="shared" si="59"/>
        <v>-15709.649957411621</v>
      </c>
      <c r="S293" s="243">
        <f t="shared" si="64"/>
        <v>-19685.125187018843</v>
      </c>
      <c r="T293" s="243">
        <f t="shared" si="60"/>
        <v>-23276.098494591519</v>
      </c>
      <c r="AA293" s="6">
        <v>557</v>
      </c>
      <c r="AB293" t="s">
        <v>0</v>
      </c>
      <c r="AC293" t="s">
        <v>1933</v>
      </c>
      <c r="AD293" t="s">
        <v>7</v>
      </c>
      <c r="AE293" t="s">
        <v>1832</v>
      </c>
      <c r="AF293">
        <v>18</v>
      </c>
      <c r="AG293">
        <v>0</v>
      </c>
      <c r="AH293">
        <v>438</v>
      </c>
      <c r="AI293" t="s">
        <v>80</v>
      </c>
      <c r="AJ293" t="s">
        <v>1032</v>
      </c>
      <c r="AK293" t="s">
        <v>4</v>
      </c>
      <c r="AL293" t="s">
        <v>96</v>
      </c>
      <c r="AM293" s="314">
        <v>155596.84991963516</v>
      </c>
      <c r="AN293" s="314">
        <v>203431.76720921442</v>
      </c>
      <c r="AO293" s="314">
        <v>254912.09641119657</v>
      </c>
      <c r="AP293" s="314">
        <v>301413.32641575037</v>
      </c>
      <c r="AQ293" s="314">
        <v>126.37068750367509</v>
      </c>
      <c r="AR293" s="314">
        <v>165.22064743337634</v>
      </c>
      <c r="AS293" s="314">
        <v>207.03129204173513</v>
      </c>
      <c r="AT293" s="314">
        <v>244.79807464997631</v>
      </c>
      <c r="AU293" s="314">
        <v>-12015.685063579693</v>
      </c>
      <c r="AV293" s="314">
        <v>-15709.649957411621</v>
      </c>
      <c r="AW293" s="314">
        <v>-19685.125187018843</v>
      </c>
      <c r="AX293">
        <v>-23276.098494591519</v>
      </c>
    </row>
    <row r="294" spans="1:50" x14ac:dyDescent="0.35">
      <c r="A294">
        <v>436</v>
      </c>
      <c r="B294" t="s">
        <v>80</v>
      </c>
      <c r="C294" t="s">
        <v>1032</v>
      </c>
      <c r="D294" t="s">
        <v>4</v>
      </c>
      <c r="E294" t="s">
        <v>1936</v>
      </c>
      <c r="F294">
        <v>5333</v>
      </c>
      <c r="G294">
        <v>0</v>
      </c>
      <c r="H294">
        <v>0</v>
      </c>
      <c r="I294">
        <v>0</v>
      </c>
      <c r="J294" s="600">
        <v>5333</v>
      </c>
      <c r="K294" s="7">
        <f t="shared" si="54"/>
        <v>15</v>
      </c>
      <c r="L294" s="7">
        <f t="shared" si="55"/>
        <v>1</v>
      </c>
      <c r="M294" s="243">
        <f t="shared" si="56"/>
        <v>9271614.01934468</v>
      </c>
      <c r="N294" s="243">
        <f>INDEX($AN$4:$AN21190,MATCH($A294,$AH$4:$AH$2000,0))</f>
        <v>0</v>
      </c>
      <c r="O294" s="243">
        <f t="shared" si="63"/>
        <v>0</v>
      </c>
      <c r="P294" s="243">
        <f t="shared" si="57"/>
        <v>0</v>
      </c>
      <c r="Q294" s="243">
        <f t="shared" si="58"/>
        <v>0</v>
      </c>
      <c r="R294" s="243">
        <f t="shared" si="59"/>
        <v>0</v>
      </c>
      <c r="S294" s="243">
        <f t="shared" si="64"/>
        <v>0</v>
      </c>
      <c r="T294" s="243">
        <f t="shared" si="60"/>
        <v>0</v>
      </c>
      <c r="AA294" s="6">
        <v>616</v>
      </c>
      <c r="AB294" t="s">
        <v>0</v>
      </c>
      <c r="AC294" t="s">
        <v>1933</v>
      </c>
      <c r="AD294" t="s">
        <v>7</v>
      </c>
      <c r="AE294" t="s">
        <v>1833</v>
      </c>
      <c r="AF294">
        <v>10</v>
      </c>
      <c r="AG294">
        <v>0</v>
      </c>
      <c r="AH294">
        <v>436</v>
      </c>
      <c r="AI294" t="s">
        <v>80</v>
      </c>
      <c r="AJ294" t="s">
        <v>1032</v>
      </c>
      <c r="AK294" t="s">
        <v>4</v>
      </c>
      <c r="AL294" t="s">
        <v>1936</v>
      </c>
      <c r="AM294" s="314">
        <v>9271614.01934468</v>
      </c>
      <c r="AN294" s="314">
        <v>0</v>
      </c>
      <c r="AO294" s="314">
        <v>0</v>
      </c>
      <c r="AP294" s="314">
        <v>0</v>
      </c>
      <c r="AQ294" s="314">
        <v>0</v>
      </c>
      <c r="AR294" s="314">
        <v>0</v>
      </c>
      <c r="AS294" s="314">
        <v>0</v>
      </c>
      <c r="AT294" s="314">
        <v>0</v>
      </c>
      <c r="AU294" s="314">
        <v>0</v>
      </c>
      <c r="AV294" s="314">
        <v>0</v>
      </c>
      <c r="AW294" s="314">
        <v>0</v>
      </c>
      <c r="AX294">
        <v>0</v>
      </c>
    </row>
    <row r="295" spans="1:50" x14ac:dyDescent="0.35">
      <c r="A295">
        <v>458</v>
      </c>
      <c r="B295" t="s">
        <v>80</v>
      </c>
      <c r="C295" t="s">
        <v>1032</v>
      </c>
      <c r="D295" t="s">
        <v>4</v>
      </c>
      <c r="E295" t="s">
        <v>1861</v>
      </c>
      <c r="F295">
        <v>132</v>
      </c>
      <c r="G295">
        <v>0</v>
      </c>
      <c r="H295">
        <v>0</v>
      </c>
      <c r="I295">
        <v>0</v>
      </c>
      <c r="J295" s="600">
        <v>132</v>
      </c>
      <c r="K295" s="7">
        <f t="shared" si="54"/>
        <v>11</v>
      </c>
      <c r="L295" s="7">
        <f t="shared" si="55"/>
        <v>1</v>
      </c>
      <c r="M295" s="243">
        <f t="shared" si="56"/>
        <v>51145.87703986674</v>
      </c>
      <c r="N295" s="243">
        <f>INDEX($AN$4:$AN21191,MATCH($A295,$AH$4:$AH$2000,0))</f>
        <v>0</v>
      </c>
      <c r="O295" s="243">
        <f t="shared" si="63"/>
        <v>0</v>
      </c>
      <c r="P295" s="243">
        <f t="shared" si="57"/>
        <v>0</v>
      </c>
      <c r="Q295" s="243">
        <f t="shared" si="58"/>
        <v>-562.34799499490077</v>
      </c>
      <c r="R295" s="243">
        <f t="shared" si="59"/>
        <v>0</v>
      </c>
      <c r="S295" s="243">
        <f t="shared" si="64"/>
        <v>0</v>
      </c>
      <c r="T295" s="243">
        <f t="shared" si="60"/>
        <v>0</v>
      </c>
      <c r="AA295" s="6">
        <v>617</v>
      </c>
      <c r="AB295" t="s">
        <v>0</v>
      </c>
      <c r="AC295" t="s">
        <v>1933</v>
      </c>
      <c r="AD295" t="s">
        <v>7</v>
      </c>
      <c r="AE295" t="s">
        <v>1834</v>
      </c>
      <c r="AF295">
        <v>10</v>
      </c>
      <c r="AG295">
        <v>0</v>
      </c>
      <c r="AH295">
        <v>458</v>
      </c>
      <c r="AI295" t="s">
        <v>80</v>
      </c>
      <c r="AJ295" t="s">
        <v>1032</v>
      </c>
      <c r="AK295" t="s">
        <v>4</v>
      </c>
      <c r="AL295" t="s">
        <v>1861</v>
      </c>
      <c r="AM295" s="314">
        <v>51145.87703986674</v>
      </c>
      <c r="AN295" s="314">
        <v>0</v>
      </c>
      <c r="AO295" s="314">
        <v>0</v>
      </c>
      <c r="AP295" s="314">
        <v>0</v>
      </c>
      <c r="AQ295" s="314">
        <v>9.7427829978148868</v>
      </c>
      <c r="AR295" s="314">
        <v>0</v>
      </c>
      <c r="AS295" s="314">
        <v>0</v>
      </c>
      <c r="AT295" s="314">
        <v>0</v>
      </c>
      <c r="AU295" s="314">
        <v>-562.34799499490077</v>
      </c>
      <c r="AV295" s="314">
        <v>0</v>
      </c>
      <c r="AW295" s="314">
        <v>0</v>
      </c>
      <c r="AX295">
        <v>0</v>
      </c>
    </row>
    <row r="296" spans="1:50" x14ac:dyDescent="0.35">
      <c r="A296">
        <v>409</v>
      </c>
      <c r="B296" t="s">
        <v>80</v>
      </c>
      <c r="C296" t="s">
        <v>1032</v>
      </c>
      <c r="D296">
        <v>0</v>
      </c>
      <c r="E296" t="s">
        <v>1862</v>
      </c>
      <c r="F296">
        <v>333</v>
      </c>
      <c r="G296">
        <v>0</v>
      </c>
      <c r="H296">
        <v>0</v>
      </c>
      <c r="I296">
        <v>0</v>
      </c>
      <c r="J296" s="600">
        <v>333</v>
      </c>
      <c r="K296" s="7">
        <f t="shared" si="54"/>
        <v>15</v>
      </c>
      <c r="L296" s="7">
        <f t="shared" si="55"/>
        <v>1</v>
      </c>
      <c r="M296" s="243">
        <f t="shared" si="56"/>
        <v>183814.00610891002</v>
      </c>
      <c r="N296" s="243">
        <f>INDEX($AN$4:$AN21192,MATCH($A296,$AH$4:$AH$2000,0))</f>
        <v>0</v>
      </c>
      <c r="O296" s="243">
        <f t="shared" si="63"/>
        <v>0</v>
      </c>
      <c r="P296" s="243">
        <f t="shared" si="57"/>
        <v>0</v>
      </c>
      <c r="Q296" s="243">
        <f t="shared" si="58"/>
        <v>0</v>
      </c>
      <c r="R296" s="243">
        <f t="shared" si="59"/>
        <v>0</v>
      </c>
      <c r="S296" s="243">
        <f t="shared" si="64"/>
        <v>0</v>
      </c>
      <c r="T296" s="243">
        <f t="shared" si="60"/>
        <v>0</v>
      </c>
      <c r="AA296" s="6">
        <v>618</v>
      </c>
      <c r="AB296" t="s">
        <v>0</v>
      </c>
      <c r="AC296" t="s">
        <v>1933</v>
      </c>
      <c r="AD296" t="s">
        <v>7</v>
      </c>
      <c r="AE296" t="s">
        <v>1835</v>
      </c>
      <c r="AF296">
        <v>10</v>
      </c>
      <c r="AG296">
        <v>0</v>
      </c>
      <c r="AH296">
        <v>409</v>
      </c>
      <c r="AI296" t="s">
        <v>80</v>
      </c>
      <c r="AJ296" t="s">
        <v>1032</v>
      </c>
      <c r="AK296">
        <v>0</v>
      </c>
      <c r="AL296" t="s">
        <v>1862</v>
      </c>
      <c r="AM296" s="314">
        <v>183814.00610891002</v>
      </c>
      <c r="AN296" s="314">
        <v>0</v>
      </c>
      <c r="AO296" s="314">
        <v>0</v>
      </c>
      <c r="AP296" s="314">
        <v>0</v>
      </c>
      <c r="AQ296" s="314">
        <v>24.523082078086272</v>
      </c>
      <c r="AR296" s="314">
        <v>0</v>
      </c>
      <c r="AS296" s="314">
        <v>0</v>
      </c>
      <c r="AT296" s="314">
        <v>0</v>
      </c>
      <c r="AU296" s="314">
        <v>0</v>
      </c>
      <c r="AV296" s="314">
        <v>0</v>
      </c>
      <c r="AW296" s="314">
        <v>0</v>
      </c>
      <c r="AX296">
        <v>0</v>
      </c>
    </row>
    <row r="297" spans="1:50" x14ac:dyDescent="0.35">
      <c r="A297">
        <v>411</v>
      </c>
      <c r="B297" t="s">
        <v>80</v>
      </c>
      <c r="C297" t="s">
        <v>1032</v>
      </c>
      <c r="D297">
        <v>0</v>
      </c>
      <c r="E297" t="s">
        <v>97</v>
      </c>
      <c r="F297">
        <v>32</v>
      </c>
      <c r="G297">
        <v>34</v>
      </c>
      <c r="H297">
        <v>41</v>
      </c>
      <c r="I297">
        <v>35</v>
      </c>
      <c r="J297" s="600">
        <v>142</v>
      </c>
      <c r="K297" s="7">
        <f t="shared" si="54"/>
        <v>8</v>
      </c>
      <c r="L297" s="7">
        <f t="shared" si="55"/>
        <v>0</v>
      </c>
      <c r="M297" s="243">
        <f t="shared" si="56"/>
        <v>1990.3946168284542</v>
      </c>
      <c r="N297" s="243">
        <f>INDEX($AN$4:$AN21193,MATCH($A297,$AH$4:$AH$2000,0))</f>
        <v>2114.7942803802325</v>
      </c>
      <c r="O297" s="243">
        <f t="shared" si="63"/>
        <v>2550.1931028114568</v>
      </c>
      <c r="P297" s="243">
        <f t="shared" si="57"/>
        <v>2176.9941121561219</v>
      </c>
      <c r="Q297" s="243">
        <f t="shared" si="58"/>
        <v>0</v>
      </c>
      <c r="R297" s="243">
        <f t="shared" si="59"/>
        <v>0</v>
      </c>
      <c r="S297" s="243">
        <f t="shared" si="64"/>
        <v>0</v>
      </c>
      <c r="T297" s="243">
        <f t="shared" si="60"/>
        <v>0</v>
      </c>
      <c r="AA297" s="6">
        <v>619</v>
      </c>
      <c r="AB297" t="s">
        <v>0</v>
      </c>
      <c r="AC297" t="s">
        <v>1933</v>
      </c>
      <c r="AD297" t="s">
        <v>7</v>
      </c>
      <c r="AE297" t="s">
        <v>1836</v>
      </c>
      <c r="AF297">
        <v>10</v>
      </c>
      <c r="AG297">
        <v>0</v>
      </c>
      <c r="AH297">
        <v>411</v>
      </c>
      <c r="AI297" t="s">
        <v>80</v>
      </c>
      <c r="AJ297" t="s">
        <v>1032</v>
      </c>
      <c r="AK297">
        <v>0</v>
      </c>
      <c r="AL297" t="s">
        <v>97</v>
      </c>
      <c r="AM297" s="314">
        <v>1990.3946168284542</v>
      </c>
      <c r="AN297" s="314">
        <v>2114.7942803802325</v>
      </c>
      <c r="AO297" s="314">
        <v>2550.1931028114568</v>
      </c>
      <c r="AP297" s="314">
        <v>2176.9941121561219</v>
      </c>
      <c r="AQ297" s="314">
        <v>0.89127803296191077</v>
      </c>
      <c r="AR297" s="314">
        <v>0.94698291002203017</v>
      </c>
      <c r="AS297" s="314">
        <v>1.1419499797324482</v>
      </c>
      <c r="AT297" s="314">
        <v>0.97483534855208986</v>
      </c>
      <c r="AU297" s="314">
        <v>0</v>
      </c>
      <c r="AV297" s="314">
        <v>0</v>
      </c>
      <c r="AW297" s="314">
        <v>0</v>
      </c>
      <c r="AX297">
        <v>0</v>
      </c>
    </row>
    <row r="298" spans="1:50" x14ac:dyDescent="0.35">
      <c r="A298">
        <v>448</v>
      </c>
      <c r="B298" t="s">
        <v>80</v>
      </c>
      <c r="C298" t="s">
        <v>1032</v>
      </c>
      <c r="D298" t="s">
        <v>4</v>
      </c>
      <c r="E298" t="s">
        <v>98</v>
      </c>
      <c r="F298">
        <v>92</v>
      </c>
      <c r="G298">
        <v>88</v>
      </c>
      <c r="H298">
        <v>91</v>
      </c>
      <c r="I298">
        <v>63</v>
      </c>
      <c r="J298" s="600">
        <v>334</v>
      </c>
      <c r="K298" s="7">
        <f t="shared" si="54"/>
        <v>5</v>
      </c>
      <c r="L298" s="7">
        <f t="shared" si="55"/>
        <v>0</v>
      </c>
      <c r="M298" s="243">
        <f t="shared" si="56"/>
        <v>19134.896411798331</v>
      </c>
      <c r="N298" s="243">
        <f>INDEX($AN$4:$AN21194,MATCH($A298,$AH$4:$AH$2000,0))</f>
        <v>18302.944393894053</v>
      </c>
      <c r="O298" s="243">
        <f t="shared" si="63"/>
        <v>18926.908407322262</v>
      </c>
      <c r="P298" s="243">
        <f t="shared" si="57"/>
        <v>13103.244281992334</v>
      </c>
      <c r="Q298" s="243">
        <f t="shared" si="58"/>
        <v>-294.24075760428542</v>
      </c>
      <c r="R298" s="243">
        <f t="shared" si="59"/>
        <v>-281.44768118670777</v>
      </c>
      <c r="S298" s="243">
        <f t="shared" si="64"/>
        <v>-291.04248849989102</v>
      </c>
      <c r="T298" s="243">
        <f t="shared" si="60"/>
        <v>-201.49095357684763</v>
      </c>
      <c r="AA298" s="6">
        <v>620</v>
      </c>
      <c r="AB298" t="s">
        <v>0</v>
      </c>
      <c r="AC298" t="s">
        <v>1933</v>
      </c>
      <c r="AD298" t="s">
        <v>7</v>
      </c>
      <c r="AE298" t="s">
        <v>1837</v>
      </c>
      <c r="AF298">
        <v>10</v>
      </c>
      <c r="AG298">
        <v>0</v>
      </c>
      <c r="AH298">
        <v>448</v>
      </c>
      <c r="AI298" t="s">
        <v>80</v>
      </c>
      <c r="AJ298" t="s">
        <v>1032</v>
      </c>
      <c r="AK298" t="s">
        <v>4</v>
      </c>
      <c r="AL298" t="s">
        <v>98</v>
      </c>
      <c r="AM298" s="314">
        <v>19134.896411798331</v>
      </c>
      <c r="AN298" s="314">
        <v>18302.944393894053</v>
      </c>
      <c r="AO298" s="314">
        <v>18926.908407322262</v>
      </c>
      <c r="AP298" s="314">
        <v>13103.244281992334</v>
      </c>
      <c r="AQ298" s="314">
        <v>2.0424052040058229</v>
      </c>
      <c r="AR298" s="314">
        <v>1.9536049777447004</v>
      </c>
      <c r="AS298" s="314">
        <v>2.0202051474405422</v>
      </c>
      <c r="AT298" s="314">
        <v>1.3986035636126832</v>
      </c>
      <c r="AU298" s="314">
        <v>-294.24075760428542</v>
      </c>
      <c r="AV298" s="314">
        <v>-281.44768118670777</v>
      </c>
      <c r="AW298" s="314">
        <v>-291.04248849989102</v>
      </c>
      <c r="AX298">
        <v>-201.49095357684763</v>
      </c>
    </row>
    <row r="299" spans="1:50" x14ac:dyDescent="0.35">
      <c r="A299">
        <v>442</v>
      </c>
      <c r="B299" t="s">
        <v>80</v>
      </c>
      <c r="C299" t="s">
        <v>1032</v>
      </c>
      <c r="D299" t="s">
        <v>4</v>
      </c>
      <c r="E299" t="s">
        <v>99</v>
      </c>
      <c r="F299">
        <v>19</v>
      </c>
      <c r="G299">
        <v>44</v>
      </c>
      <c r="H299">
        <v>46</v>
      </c>
      <c r="I299">
        <v>36</v>
      </c>
      <c r="J299" s="600">
        <v>145</v>
      </c>
      <c r="K299" s="7">
        <f t="shared" si="54"/>
        <v>5</v>
      </c>
      <c r="L299" s="7">
        <f t="shared" si="55"/>
        <v>0</v>
      </c>
      <c r="M299" s="243">
        <f t="shared" si="56"/>
        <v>4488.0210720688101</v>
      </c>
      <c r="N299" s="243">
        <f>INDEX($AN$4:$AN21195,MATCH($A299,$AH$4:$AH$2000,0))</f>
        <v>10393.311956369876</v>
      </c>
      <c r="O299" s="243">
        <f t="shared" si="63"/>
        <v>10865.735227113963</v>
      </c>
      <c r="P299" s="243">
        <f t="shared" si="57"/>
        <v>8503.618873393536</v>
      </c>
      <c r="Q299" s="243">
        <f t="shared" si="58"/>
        <v>-45.3946948045607</v>
      </c>
      <c r="R299" s="243">
        <f t="shared" si="59"/>
        <v>-105.12455638950898</v>
      </c>
      <c r="S299" s="243">
        <f t="shared" si="64"/>
        <v>-109.90294531630485</v>
      </c>
      <c r="T299" s="243">
        <f t="shared" si="60"/>
        <v>-86.01100068232553</v>
      </c>
      <c r="AA299" s="6">
        <v>587</v>
      </c>
      <c r="AB299" t="s">
        <v>0</v>
      </c>
      <c r="AC299" t="s">
        <v>1933</v>
      </c>
      <c r="AD299" t="s">
        <v>7</v>
      </c>
      <c r="AE299" t="s">
        <v>1838</v>
      </c>
      <c r="AF299">
        <v>20</v>
      </c>
      <c r="AG299">
        <v>0</v>
      </c>
      <c r="AH299">
        <v>442</v>
      </c>
      <c r="AI299" t="s">
        <v>80</v>
      </c>
      <c r="AJ299" t="s">
        <v>1032</v>
      </c>
      <c r="AK299" t="s">
        <v>4</v>
      </c>
      <c r="AL299" t="s">
        <v>99</v>
      </c>
      <c r="AM299" s="314">
        <v>4488.0210720688101</v>
      </c>
      <c r="AN299" s="314">
        <v>10393.311956369876</v>
      </c>
      <c r="AO299" s="314">
        <v>10865.735227113963</v>
      </c>
      <c r="AP299" s="314">
        <v>8503.618873393536</v>
      </c>
      <c r="AQ299" s="314">
        <v>1.3229908301778364</v>
      </c>
      <c r="AR299" s="314">
        <v>3.0637682383065687</v>
      </c>
      <c r="AS299" s="314">
        <v>3.2030304309568671</v>
      </c>
      <c r="AT299" s="314">
        <v>2.5067194677053743</v>
      </c>
      <c r="AU299" s="314">
        <v>-45.3946948045607</v>
      </c>
      <c r="AV299" s="314">
        <v>-105.12455638950898</v>
      </c>
      <c r="AW299" s="314">
        <v>-109.90294531630485</v>
      </c>
      <c r="AX299">
        <v>-86.01100068232553</v>
      </c>
    </row>
    <row r="300" spans="1:50" x14ac:dyDescent="0.35">
      <c r="A300">
        <v>441</v>
      </c>
      <c r="B300" t="s">
        <v>80</v>
      </c>
      <c r="C300" t="s">
        <v>1032</v>
      </c>
      <c r="D300" t="s">
        <v>4</v>
      </c>
      <c r="E300" t="s">
        <v>1863</v>
      </c>
      <c r="F300">
        <v>17776</v>
      </c>
      <c r="G300">
        <v>0</v>
      </c>
      <c r="H300">
        <v>0</v>
      </c>
      <c r="I300">
        <v>0</v>
      </c>
      <c r="J300" s="600">
        <v>17776</v>
      </c>
      <c r="K300" s="7">
        <f t="shared" si="54"/>
        <v>15</v>
      </c>
      <c r="L300" s="7">
        <f t="shared" si="55"/>
        <v>1</v>
      </c>
      <c r="M300" s="243">
        <f t="shared" si="56"/>
        <v>12507651.79385367</v>
      </c>
      <c r="N300" s="243">
        <f>INDEX($AN$4:$AN21196,MATCH($A300,$AH$4:$AH$2000,0))</f>
        <v>0</v>
      </c>
      <c r="O300" s="243">
        <f t="shared" si="63"/>
        <v>0</v>
      </c>
      <c r="P300" s="243">
        <f t="shared" si="57"/>
        <v>0</v>
      </c>
      <c r="Q300" s="243">
        <f t="shared" si="58"/>
        <v>-193601.39678354497</v>
      </c>
      <c r="R300" s="243">
        <f t="shared" si="59"/>
        <v>0</v>
      </c>
      <c r="S300" s="243">
        <f t="shared" si="64"/>
        <v>0</v>
      </c>
      <c r="T300" s="243">
        <f t="shared" si="60"/>
        <v>0</v>
      </c>
      <c r="AA300" s="6">
        <v>589</v>
      </c>
      <c r="AB300" t="s">
        <v>0</v>
      </c>
      <c r="AC300" t="s">
        <v>1933</v>
      </c>
      <c r="AD300" t="s">
        <v>7</v>
      </c>
      <c r="AE300" t="s">
        <v>1769</v>
      </c>
      <c r="AF300">
        <v>20</v>
      </c>
      <c r="AG300">
        <v>0</v>
      </c>
      <c r="AH300">
        <v>441</v>
      </c>
      <c r="AI300" t="s">
        <v>80</v>
      </c>
      <c r="AJ300" t="s">
        <v>1032</v>
      </c>
      <c r="AK300" t="s">
        <v>4</v>
      </c>
      <c r="AL300" t="s">
        <v>1863</v>
      </c>
      <c r="AM300" s="314">
        <v>12507651.79385367</v>
      </c>
      <c r="AN300" s="314">
        <v>0</v>
      </c>
      <c r="AO300" s="314">
        <v>0</v>
      </c>
      <c r="AP300" s="314">
        <v>0</v>
      </c>
      <c r="AQ300" s="314">
        <v>2181.3479624916704</v>
      </c>
      <c r="AR300" s="314">
        <v>0</v>
      </c>
      <c r="AS300" s="314">
        <v>0</v>
      </c>
      <c r="AT300" s="314">
        <v>0</v>
      </c>
      <c r="AU300" s="314">
        <v>-193601.39678354497</v>
      </c>
      <c r="AV300" s="314">
        <v>0</v>
      </c>
      <c r="AW300" s="314">
        <v>0</v>
      </c>
      <c r="AX300">
        <v>0</v>
      </c>
    </row>
    <row r="301" spans="1:50" x14ac:dyDescent="0.35">
      <c r="A301">
        <v>430</v>
      </c>
      <c r="B301" t="s">
        <v>80</v>
      </c>
      <c r="C301" t="s">
        <v>1032</v>
      </c>
      <c r="D301">
        <v>0</v>
      </c>
      <c r="E301" t="s">
        <v>102</v>
      </c>
      <c r="F301">
        <v>220</v>
      </c>
      <c r="G301">
        <v>222</v>
      </c>
      <c r="H301">
        <v>223</v>
      </c>
      <c r="I301">
        <v>225</v>
      </c>
      <c r="J301" s="600">
        <v>890</v>
      </c>
      <c r="K301" s="7">
        <f t="shared" si="54"/>
        <v>15</v>
      </c>
      <c r="L301" s="7">
        <f t="shared" si="55"/>
        <v>0</v>
      </c>
      <c r="M301" s="243">
        <f t="shared" si="56"/>
        <v>524827.5814045039</v>
      </c>
      <c r="N301" s="243">
        <f>INDEX($AN$4:$AN21197,MATCH($A301,$AH$4:$AH$2000,0))</f>
        <v>529598.74123545398</v>
      </c>
      <c r="O301" s="243">
        <f t="shared" si="63"/>
        <v>531984.32115092897</v>
      </c>
      <c r="P301" s="243">
        <f t="shared" si="57"/>
        <v>536755.48098187905</v>
      </c>
      <c r="Q301" s="243">
        <f t="shared" si="58"/>
        <v>0</v>
      </c>
      <c r="R301" s="243">
        <f t="shared" si="59"/>
        <v>0</v>
      </c>
      <c r="S301" s="243">
        <f t="shared" si="64"/>
        <v>0</v>
      </c>
      <c r="T301" s="243">
        <f t="shared" si="60"/>
        <v>0</v>
      </c>
      <c r="AA301" s="6">
        <v>591</v>
      </c>
      <c r="AB301" t="s">
        <v>0</v>
      </c>
      <c r="AC301" t="s">
        <v>1933</v>
      </c>
      <c r="AD301" t="s">
        <v>7</v>
      </c>
      <c r="AE301" t="s">
        <v>1839</v>
      </c>
      <c r="AF301">
        <v>20</v>
      </c>
      <c r="AG301">
        <v>0</v>
      </c>
      <c r="AH301">
        <v>430</v>
      </c>
      <c r="AI301" t="s">
        <v>80</v>
      </c>
      <c r="AJ301" t="s">
        <v>1032</v>
      </c>
      <c r="AK301">
        <v>0</v>
      </c>
      <c r="AL301" t="s">
        <v>102</v>
      </c>
      <c r="AM301" s="314">
        <v>524827.5814045039</v>
      </c>
      <c r="AN301" s="314">
        <v>529598.74123545398</v>
      </c>
      <c r="AO301" s="314">
        <v>531984.32115092897</v>
      </c>
      <c r="AP301" s="314">
        <v>536755.48098187905</v>
      </c>
      <c r="AQ301" s="314">
        <v>0</v>
      </c>
      <c r="AR301" s="314">
        <v>0</v>
      </c>
      <c r="AS301" s="314">
        <v>0</v>
      </c>
      <c r="AT301" s="314">
        <v>0</v>
      </c>
      <c r="AU301" s="314">
        <v>0</v>
      </c>
      <c r="AV301" s="314">
        <v>0</v>
      </c>
      <c r="AW301" s="314">
        <v>0</v>
      </c>
      <c r="AX301">
        <v>0</v>
      </c>
    </row>
    <row r="302" spans="1:50" x14ac:dyDescent="0.35">
      <c r="A302">
        <v>403</v>
      </c>
      <c r="B302" t="s">
        <v>80</v>
      </c>
      <c r="C302" t="s">
        <v>1032</v>
      </c>
      <c r="D302">
        <v>0</v>
      </c>
      <c r="E302" t="s">
        <v>222</v>
      </c>
      <c r="F302">
        <v>10</v>
      </c>
      <c r="G302">
        <v>11</v>
      </c>
      <c r="H302">
        <v>11</v>
      </c>
      <c r="I302">
        <v>11</v>
      </c>
      <c r="J302" s="600">
        <v>43</v>
      </c>
      <c r="K302" s="7">
        <f t="shared" si="54"/>
        <v>5</v>
      </c>
      <c r="L302" s="7">
        <f t="shared" si="55"/>
        <v>0</v>
      </c>
      <c r="M302" s="243">
        <f t="shared" si="56"/>
        <v>13576.994599999998</v>
      </c>
      <c r="N302" s="243">
        <f>INDEX($AN$4:$AN21198,MATCH($A302,$AH$4:$AH$2000,0))</f>
        <v>14934.694059999998</v>
      </c>
      <c r="O302" s="243">
        <f t="shared" si="63"/>
        <v>14934.694059999998</v>
      </c>
      <c r="P302" s="243">
        <f t="shared" si="57"/>
        <v>14934.694059999998</v>
      </c>
      <c r="Q302" s="243">
        <f t="shared" si="58"/>
        <v>0</v>
      </c>
      <c r="R302" s="243">
        <f t="shared" si="59"/>
        <v>0</v>
      </c>
      <c r="S302" s="243">
        <f t="shared" si="64"/>
        <v>0</v>
      </c>
      <c r="T302" s="243">
        <f t="shared" si="60"/>
        <v>0</v>
      </c>
      <c r="AA302" s="6">
        <v>593</v>
      </c>
      <c r="AB302" t="s">
        <v>0</v>
      </c>
      <c r="AC302" t="s">
        <v>1933</v>
      </c>
      <c r="AD302" t="s">
        <v>7</v>
      </c>
      <c r="AE302" t="s">
        <v>1770</v>
      </c>
      <c r="AF302">
        <v>20</v>
      </c>
      <c r="AG302">
        <v>0</v>
      </c>
      <c r="AH302">
        <v>403</v>
      </c>
      <c r="AI302" t="s">
        <v>80</v>
      </c>
      <c r="AJ302" t="s">
        <v>1032</v>
      </c>
      <c r="AK302">
        <v>0</v>
      </c>
      <c r="AL302" t="s">
        <v>222</v>
      </c>
      <c r="AM302" s="314">
        <v>13576.994599999998</v>
      </c>
      <c r="AN302" s="314">
        <v>14934.694059999998</v>
      </c>
      <c r="AO302" s="314">
        <v>14934.694059999998</v>
      </c>
      <c r="AP302" s="314">
        <v>14934.694059999998</v>
      </c>
      <c r="AQ302" s="314">
        <v>0</v>
      </c>
      <c r="AR302" s="314">
        <v>0</v>
      </c>
      <c r="AS302" s="314">
        <v>0</v>
      </c>
      <c r="AT302" s="314">
        <v>0</v>
      </c>
      <c r="AU302" s="314">
        <v>0</v>
      </c>
      <c r="AV302" s="314">
        <v>0</v>
      </c>
      <c r="AW302" s="314">
        <v>0</v>
      </c>
      <c r="AX302">
        <v>0</v>
      </c>
    </row>
    <row r="303" spans="1:50" x14ac:dyDescent="0.35">
      <c r="A303">
        <v>428</v>
      </c>
      <c r="B303" t="s">
        <v>80</v>
      </c>
      <c r="C303" t="s">
        <v>1032</v>
      </c>
      <c r="D303">
        <v>0</v>
      </c>
      <c r="E303" t="s">
        <v>223</v>
      </c>
      <c r="F303">
        <v>6</v>
      </c>
      <c r="G303">
        <v>7</v>
      </c>
      <c r="H303">
        <v>7</v>
      </c>
      <c r="I303">
        <v>7</v>
      </c>
      <c r="J303" s="600">
        <v>27</v>
      </c>
      <c r="K303" s="7">
        <f t="shared" si="54"/>
        <v>5</v>
      </c>
      <c r="L303" s="7">
        <f t="shared" si="55"/>
        <v>0</v>
      </c>
      <c r="M303" s="243">
        <f t="shared" si="56"/>
        <v>1978.3530000000001</v>
      </c>
      <c r="N303" s="243">
        <f>INDEX($AN$4:$AN21199,MATCH($A303,$AH$4:$AH$2000,0))</f>
        <v>2308.0785000000001</v>
      </c>
      <c r="O303" s="243">
        <f t="shared" si="63"/>
        <v>2308.0785000000001</v>
      </c>
      <c r="P303" s="243">
        <f t="shared" si="57"/>
        <v>2308.0785000000001</v>
      </c>
      <c r="Q303" s="243">
        <f t="shared" si="58"/>
        <v>0</v>
      </c>
      <c r="R303" s="243">
        <f t="shared" si="59"/>
        <v>0</v>
      </c>
      <c r="S303" s="243">
        <f t="shared" si="64"/>
        <v>0</v>
      </c>
      <c r="T303" s="243">
        <f t="shared" si="60"/>
        <v>0</v>
      </c>
      <c r="AA303" s="6">
        <v>561</v>
      </c>
      <c r="AB303" t="s">
        <v>0</v>
      </c>
      <c r="AC303" t="s">
        <v>1933</v>
      </c>
      <c r="AD303" t="s">
        <v>7</v>
      </c>
      <c r="AE303" t="s">
        <v>1840</v>
      </c>
      <c r="AF303">
        <v>15</v>
      </c>
      <c r="AG303">
        <v>0</v>
      </c>
      <c r="AH303">
        <v>428</v>
      </c>
      <c r="AI303" t="s">
        <v>80</v>
      </c>
      <c r="AJ303" t="s">
        <v>1032</v>
      </c>
      <c r="AK303">
        <v>0</v>
      </c>
      <c r="AL303" t="s">
        <v>223</v>
      </c>
      <c r="AM303" s="314">
        <v>1978.3530000000001</v>
      </c>
      <c r="AN303" s="314">
        <v>2308.0785000000001</v>
      </c>
      <c r="AO303" s="314">
        <v>2308.0785000000001</v>
      </c>
      <c r="AP303" s="314">
        <v>2308.0785000000001</v>
      </c>
      <c r="AQ303" s="314">
        <v>0</v>
      </c>
      <c r="AR303" s="314">
        <v>0</v>
      </c>
      <c r="AS303" s="314">
        <v>0</v>
      </c>
      <c r="AT303" s="314">
        <v>0</v>
      </c>
      <c r="AU303" s="314">
        <v>0</v>
      </c>
      <c r="AV303" s="314">
        <v>0</v>
      </c>
      <c r="AW303" s="314">
        <v>0</v>
      </c>
      <c r="AX303">
        <v>0</v>
      </c>
    </row>
    <row r="304" spans="1:50" x14ac:dyDescent="0.35">
      <c r="A304">
        <v>429</v>
      </c>
      <c r="B304" t="s">
        <v>80</v>
      </c>
      <c r="C304" t="s">
        <v>1032</v>
      </c>
      <c r="D304">
        <v>0</v>
      </c>
      <c r="E304" t="s">
        <v>128</v>
      </c>
      <c r="F304">
        <v>394</v>
      </c>
      <c r="G304">
        <v>398</v>
      </c>
      <c r="H304">
        <v>401</v>
      </c>
      <c r="I304">
        <v>403</v>
      </c>
      <c r="J304" s="600">
        <v>1596</v>
      </c>
      <c r="K304" s="7">
        <f t="shared" si="54"/>
        <v>15</v>
      </c>
      <c r="L304" s="7">
        <f t="shared" si="55"/>
        <v>0</v>
      </c>
      <c r="M304" s="243">
        <f t="shared" si="56"/>
        <v>265197.74883665581</v>
      </c>
      <c r="N304" s="243">
        <f>INDEX($AN$4:$AN21200,MATCH($A304,$AH$4:$AH$2000,0))</f>
        <v>267890.11176900764</v>
      </c>
      <c r="O304" s="243">
        <f t="shared" ref="O304:O323" si="65">INDEX($AO$4:$AO$2000,MATCH($A304,$AH$4:$AH$2000,0))</f>
        <v>269909.38396827155</v>
      </c>
      <c r="P304" s="243">
        <f t="shared" si="57"/>
        <v>271255.56543444743</v>
      </c>
      <c r="Q304" s="243">
        <f t="shared" si="58"/>
        <v>0</v>
      </c>
      <c r="R304" s="243">
        <f t="shared" si="59"/>
        <v>0</v>
      </c>
      <c r="S304" s="243">
        <f t="shared" ref="S304:S323" si="66">INDEX($AW$4:$AW$2000,MATCH($A304,$AH$4:$AH$2000,0))</f>
        <v>0</v>
      </c>
      <c r="T304" s="243">
        <f t="shared" si="60"/>
        <v>0</v>
      </c>
      <c r="AA304" s="6">
        <v>570</v>
      </c>
      <c r="AB304" t="s">
        <v>0</v>
      </c>
      <c r="AC304" t="s">
        <v>1933</v>
      </c>
      <c r="AD304" t="s">
        <v>7</v>
      </c>
      <c r="AE304" t="s">
        <v>1841</v>
      </c>
      <c r="AF304">
        <v>25</v>
      </c>
      <c r="AG304">
        <v>0</v>
      </c>
      <c r="AH304">
        <v>429</v>
      </c>
      <c r="AI304" t="s">
        <v>80</v>
      </c>
      <c r="AJ304" t="s">
        <v>1032</v>
      </c>
      <c r="AK304">
        <v>0</v>
      </c>
      <c r="AL304" t="s">
        <v>128</v>
      </c>
      <c r="AM304" s="314">
        <v>265197.74883665581</v>
      </c>
      <c r="AN304" s="314">
        <v>267890.11176900764</v>
      </c>
      <c r="AO304" s="314">
        <v>269909.38396827155</v>
      </c>
      <c r="AP304" s="314">
        <v>271255.56543444743</v>
      </c>
      <c r="AQ304" s="314">
        <v>65.708337844140402</v>
      </c>
      <c r="AR304" s="314">
        <v>66.375427568446398</v>
      </c>
      <c r="AS304" s="314">
        <v>66.875744861675884</v>
      </c>
      <c r="AT304" s="314">
        <v>67.209289723828888</v>
      </c>
      <c r="AU304" s="314">
        <v>0</v>
      </c>
      <c r="AV304" s="314">
        <v>0</v>
      </c>
      <c r="AW304" s="314">
        <v>0</v>
      </c>
      <c r="AX304">
        <v>0</v>
      </c>
    </row>
    <row r="305" spans="1:50" x14ac:dyDescent="0.35">
      <c r="A305">
        <v>404</v>
      </c>
      <c r="B305" t="s">
        <v>80</v>
      </c>
      <c r="C305" t="s">
        <v>1032</v>
      </c>
      <c r="D305">
        <v>0</v>
      </c>
      <c r="E305" t="s">
        <v>141</v>
      </c>
      <c r="F305">
        <v>20</v>
      </c>
      <c r="G305">
        <v>20</v>
      </c>
      <c r="H305">
        <v>20</v>
      </c>
      <c r="I305">
        <v>20</v>
      </c>
      <c r="J305" s="600">
        <v>80</v>
      </c>
      <c r="K305" s="7">
        <f t="shared" si="54"/>
        <v>20</v>
      </c>
      <c r="L305" s="7">
        <f t="shared" si="55"/>
        <v>0</v>
      </c>
      <c r="M305" s="243">
        <f t="shared" si="56"/>
        <v>0</v>
      </c>
      <c r="N305" s="243">
        <f>INDEX($AN$4:$AN21201,MATCH($A305,$AH$4:$AH$2000,0))</f>
        <v>0</v>
      </c>
      <c r="O305" s="243">
        <f t="shared" si="65"/>
        <v>0</v>
      </c>
      <c r="P305" s="243">
        <f t="shared" si="57"/>
        <v>0</v>
      </c>
      <c r="Q305" s="243">
        <f t="shared" si="58"/>
        <v>25737.863208720006</v>
      </c>
      <c r="R305" s="243">
        <f t="shared" si="59"/>
        <v>25737.863208720006</v>
      </c>
      <c r="S305" s="243">
        <f t="shared" si="66"/>
        <v>25737.863208720006</v>
      </c>
      <c r="T305" s="243">
        <f t="shared" si="60"/>
        <v>25737.863208720006</v>
      </c>
      <c r="AA305" s="6">
        <v>578</v>
      </c>
      <c r="AB305" t="s">
        <v>0</v>
      </c>
      <c r="AC305" t="s">
        <v>1933</v>
      </c>
      <c r="AD305" t="s">
        <v>7</v>
      </c>
      <c r="AE305" t="s">
        <v>1842</v>
      </c>
      <c r="AF305">
        <v>25</v>
      </c>
      <c r="AG305">
        <v>0</v>
      </c>
      <c r="AH305">
        <v>404</v>
      </c>
      <c r="AI305" t="s">
        <v>80</v>
      </c>
      <c r="AJ305" t="s">
        <v>1032</v>
      </c>
      <c r="AK305">
        <v>0</v>
      </c>
      <c r="AL305" t="s">
        <v>141</v>
      </c>
      <c r="AM305" s="314">
        <v>0</v>
      </c>
      <c r="AN305" s="314">
        <v>0</v>
      </c>
      <c r="AO305" s="314">
        <v>0</v>
      </c>
      <c r="AP305" s="314">
        <v>0</v>
      </c>
      <c r="AQ305" s="314">
        <v>0</v>
      </c>
      <c r="AR305" s="314">
        <v>0</v>
      </c>
      <c r="AS305" s="314">
        <v>0</v>
      </c>
      <c r="AT305" s="314">
        <v>0</v>
      </c>
      <c r="AU305" s="314">
        <v>25737.863208720006</v>
      </c>
      <c r="AV305" s="314">
        <v>25737.863208720006</v>
      </c>
      <c r="AW305" s="314">
        <v>25737.863208720006</v>
      </c>
      <c r="AX305">
        <v>25737.863208720006</v>
      </c>
    </row>
    <row r="306" spans="1:50" x14ac:dyDescent="0.35">
      <c r="A306">
        <v>414</v>
      </c>
      <c r="B306" t="s">
        <v>80</v>
      </c>
      <c r="C306" t="s">
        <v>1032</v>
      </c>
      <c r="D306">
        <v>0</v>
      </c>
      <c r="E306" t="s">
        <v>158</v>
      </c>
      <c r="F306">
        <v>23</v>
      </c>
      <c r="G306">
        <v>16</v>
      </c>
      <c r="H306">
        <v>16</v>
      </c>
      <c r="I306">
        <v>23</v>
      </c>
      <c r="J306" s="600">
        <v>78</v>
      </c>
      <c r="K306" s="7">
        <f t="shared" si="54"/>
        <v>15</v>
      </c>
      <c r="L306" s="7">
        <f t="shared" si="55"/>
        <v>0</v>
      </c>
      <c r="M306" s="243">
        <f t="shared" si="56"/>
        <v>109877.71599999999</v>
      </c>
      <c r="N306" s="243">
        <f>INDEX($AN$4:$AN21202,MATCH($A306,$AH$4:$AH$2000,0))</f>
        <v>76436.671999999991</v>
      </c>
      <c r="O306" s="243">
        <f t="shared" si="65"/>
        <v>76436.671999999991</v>
      </c>
      <c r="P306" s="243">
        <f t="shared" si="57"/>
        <v>109877.71599999999</v>
      </c>
      <c r="Q306" s="243">
        <f t="shared" si="58"/>
        <v>121811.2358125</v>
      </c>
      <c r="R306" s="243">
        <f t="shared" si="59"/>
        <v>84738.251000000004</v>
      </c>
      <c r="S306" s="243">
        <f t="shared" si="66"/>
        <v>84738.251000000004</v>
      </c>
      <c r="T306" s="243">
        <f t="shared" si="60"/>
        <v>121811.2358125</v>
      </c>
      <c r="AA306" s="6">
        <v>569</v>
      </c>
      <c r="AB306" t="s">
        <v>0</v>
      </c>
      <c r="AC306" t="s">
        <v>1933</v>
      </c>
      <c r="AD306" t="s">
        <v>7</v>
      </c>
      <c r="AE306" t="s">
        <v>1790</v>
      </c>
      <c r="AF306">
        <v>25</v>
      </c>
      <c r="AG306">
        <v>0</v>
      </c>
      <c r="AH306">
        <v>414</v>
      </c>
      <c r="AI306" t="s">
        <v>80</v>
      </c>
      <c r="AJ306" t="s">
        <v>1032</v>
      </c>
      <c r="AK306">
        <v>0</v>
      </c>
      <c r="AL306" t="s">
        <v>158</v>
      </c>
      <c r="AM306" s="314">
        <v>109877.71599999999</v>
      </c>
      <c r="AN306" s="314">
        <v>76436.671999999991</v>
      </c>
      <c r="AO306" s="314">
        <v>76436.671999999991</v>
      </c>
      <c r="AP306" s="314">
        <v>109877.71599999999</v>
      </c>
      <c r="AQ306" s="314">
        <v>15.045679999999999</v>
      </c>
      <c r="AR306" s="314">
        <v>10.466559999999999</v>
      </c>
      <c r="AS306" s="314">
        <v>10.466559999999999</v>
      </c>
      <c r="AT306" s="314">
        <v>15.045679999999999</v>
      </c>
      <c r="AU306" s="314">
        <v>121811.2358125</v>
      </c>
      <c r="AV306" s="314">
        <v>84738.251000000004</v>
      </c>
      <c r="AW306" s="314">
        <v>84738.251000000004</v>
      </c>
      <c r="AX306">
        <v>121811.2358125</v>
      </c>
    </row>
    <row r="307" spans="1:50" x14ac:dyDescent="0.35">
      <c r="A307">
        <v>420</v>
      </c>
      <c r="B307" t="s">
        <v>80</v>
      </c>
      <c r="C307" t="s">
        <v>1032</v>
      </c>
      <c r="D307">
        <v>0</v>
      </c>
      <c r="E307" t="s">
        <v>160</v>
      </c>
      <c r="F307">
        <v>36</v>
      </c>
      <c r="G307">
        <v>54</v>
      </c>
      <c r="H307">
        <v>63</v>
      </c>
      <c r="I307">
        <v>73</v>
      </c>
      <c r="J307" s="600">
        <v>226</v>
      </c>
      <c r="K307" s="7">
        <f t="shared" si="54"/>
        <v>8</v>
      </c>
      <c r="L307" s="7">
        <f t="shared" si="55"/>
        <v>0</v>
      </c>
      <c r="M307" s="243">
        <f t="shared" si="56"/>
        <v>38233.728000000003</v>
      </c>
      <c r="N307" s="243">
        <f>INDEX($AN$4:$AN21203,MATCH($A307,$AH$4:$AH$2000,0))</f>
        <v>57350.591999999997</v>
      </c>
      <c r="O307" s="243">
        <f t="shared" si="65"/>
        <v>66909.024000000005</v>
      </c>
      <c r="P307" s="243">
        <f t="shared" si="57"/>
        <v>77529.504000000001</v>
      </c>
      <c r="Q307" s="243">
        <f t="shared" si="58"/>
        <v>-671.51447999999993</v>
      </c>
      <c r="R307" s="243">
        <f t="shared" si="59"/>
        <v>-1007.27172</v>
      </c>
      <c r="S307" s="243">
        <f t="shared" si="66"/>
        <v>-1175.1503399999999</v>
      </c>
      <c r="T307" s="243">
        <f t="shared" si="60"/>
        <v>-1361.6821399999999</v>
      </c>
      <c r="AA307" s="6">
        <v>577</v>
      </c>
      <c r="AB307" t="s">
        <v>0</v>
      </c>
      <c r="AC307" t="s">
        <v>1933</v>
      </c>
      <c r="AD307" t="s">
        <v>7</v>
      </c>
      <c r="AE307" t="s">
        <v>1791</v>
      </c>
      <c r="AF307">
        <v>25</v>
      </c>
      <c r="AG307">
        <v>0</v>
      </c>
      <c r="AH307">
        <v>420</v>
      </c>
      <c r="AI307" t="s">
        <v>80</v>
      </c>
      <c r="AJ307" t="s">
        <v>1032</v>
      </c>
      <c r="AK307">
        <v>0</v>
      </c>
      <c r="AL307" t="s">
        <v>160</v>
      </c>
      <c r="AM307" s="314">
        <v>38233.728000000003</v>
      </c>
      <c r="AN307" s="314">
        <v>57350.591999999997</v>
      </c>
      <c r="AO307" s="314">
        <v>66909.024000000005</v>
      </c>
      <c r="AP307" s="314">
        <v>77529.504000000001</v>
      </c>
      <c r="AQ307" s="314">
        <v>6.3030239999999997</v>
      </c>
      <c r="AR307" s="314">
        <v>9.4545359999999992</v>
      </c>
      <c r="AS307" s="314">
        <v>11.030291999999999</v>
      </c>
      <c r="AT307" s="314">
        <v>12.781131999999999</v>
      </c>
      <c r="AU307" s="314">
        <v>-671.51447999999993</v>
      </c>
      <c r="AV307" s="314">
        <v>-1007.27172</v>
      </c>
      <c r="AW307" s="314">
        <v>-1175.1503399999999</v>
      </c>
      <c r="AX307">
        <v>-1361.6821399999999</v>
      </c>
    </row>
    <row r="308" spans="1:50" x14ac:dyDescent="0.35">
      <c r="A308">
        <v>422</v>
      </c>
      <c r="B308" t="s">
        <v>80</v>
      </c>
      <c r="C308" t="s">
        <v>1032</v>
      </c>
      <c r="D308">
        <v>0</v>
      </c>
      <c r="E308" t="s">
        <v>163</v>
      </c>
      <c r="F308">
        <v>71</v>
      </c>
      <c r="G308">
        <v>72</v>
      </c>
      <c r="H308">
        <v>72</v>
      </c>
      <c r="I308">
        <v>73</v>
      </c>
      <c r="J308" s="600">
        <v>288</v>
      </c>
      <c r="K308" s="7">
        <f t="shared" si="54"/>
        <v>6.6</v>
      </c>
      <c r="L308" s="7">
        <f t="shared" si="55"/>
        <v>0</v>
      </c>
      <c r="M308" s="243">
        <f t="shared" si="56"/>
        <v>18119.154559999995</v>
      </c>
      <c r="N308" s="243">
        <f>INDEX($AN$4:$AN21204,MATCH($A308,$AH$4:$AH$2000,0))</f>
        <v>18374.353919999998</v>
      </c>
      <c r="O308" s="243">
        <f t="shared" si="65"/>
        <v>18374.353919999998</v>
      </c>
      <c r="P308" s="243">
        <f t="shared" si="57"/>
        <v>18629.553279999996</v>
      </c>
      <c r="Q308" s="243">
        <f t="shared" si="58"/>
        <v>0</v>
      </c>
      <c r="R308" s="243">
        <f t="shared" si="59"/>
        <v>0</v>
      </c>
      <c r="S308" s="243">
        <f t="shared" si="66"/>
        <v>0</v>
      </c>
      <c r="T308" s="243">
        <f t="shared" si="60"/>
        <v>0</v>
      </c>
      <c r="AA308" s="6">
        <v>837</v>
      </c>
      <c r="AB308" t="s">
        <v>0</v>
      </c>
      <c r="AC308" t="s">
        <v>8</v>
      </c>
      <c r="AD308" t="s">
        <v>44</v>
      </c>
      <c r="AE308" t="s">
        <v>53</v>
      </c>
      <c r="AF308">
        <v>13</v>
      </c>
      <c r="AG308">
        <v>0</v>
      </c>
      <c r="AH308">
        <v>422</v>
      </c>
      <c r="AI308" t="s">
        <v>80</v>
      </c>
      <c r="AJ308" t="s">
        <v>1032</v>
      </c>
      <c r="AK308">
        <v>0</v>
      </c>
      <c r="AL308" t="s">
        <v>163</v>
      </c>
      <c r="AM308" s="314">
        <v>18119.154559999995</v>
      </c>
      <c r="AN308" s="314">
        <v>18374.353919999998</v>
      </c>
      <c r="AO308" s="314">
        <v>18374.353919999998</v>
      </c>
      <c r="AP308" s="314">
        <v>18629.553279999996</v>
      </c>
      <c r="AQ308" s="314">
        <v>4.0981199999999998</v>
      </c>
      <c r="AR308" s="314">
        <v>4.1558399999999995</v>
      </c>
      <c r="AS308" s="314">
        <v>4.1558399999999995</v>
      </c>
      <c r="AT308" s="314">
        <v>4.2135599999999993</v>
      </c>
      <c r="AU308" s="314">
        <v>0</v>
      </c>
      <c r="AV308" s="314">
        <v>0</v>
      </c>
      <c r="AW308" s="314">
        <v>0</v>
      </c>
      <c r="AX308">
        <v>0</v>
      </c>
    </row>
    <row r="309" spans="1:50" x14ac:dyDescent="0.35">
      <c r="A309">
        <v>424</v>
      </c>
      <c r="B309" t="s">
        <v>80</v>
      </c>
      <c r="C309" t="s">
        <v>1032</v>
      </c>
      <c r="D309">
        <v>0</v>
      </c>
      <c r="E309" t="s">
        <v>167</v>
      </c>
      <c r="F309">
        <v>34</v>
      </c>
      <c r="G309">
        <v>1</v>
      </c>
      <c r="H309">
        <v>1</v>
      </c>
      <c r="I309">
        <v>1</v>
      </c>
      <c r="J309" s="600">
        <v>37</v>
      </c>
      <c r="K309" s="7">
        <f t="shared" si="54"/>
        <v>8</v>
      </c>
      <c r="L309" s="7">
        <f t="shared" si="55"/>
        <v>0</v>
      </c>
      <c r="M309" s="243">
        <f t="shared" si="56"/>
        <v>154578.008</v>
      </c>
      <c r="N309" s="243">
        <f>INDEX($AN$4:$AN21205,MATCH($A309,$AH$4:$AH$2000,0))</f>
        <v>4546.4120000000003</v>
      </c>
      <c r="O309" s="243">
        <f t="shared" si="65"/>
        <v>4546.4120000000003</v>
      </c>
      <c r="P309" s="243">
        <f t="shared" si="57"/>
        <v>4546.4120000000003</v>
      </c>
      <c r="Q309" s="243">
        <f t="shared" si="58"/>
        <v>2407.3087999999998</v>
      </c>
      <c r="R309" s="243">
        <f t="shared" si="59"/>
        <v>70.80319999999999</v>
      </c>
      <c r="S309" s="243">
        <f t="shared" si="66"/>
        <v>70.80319999999999</v>
      </c>
      <c r="T309" s="243">
        <f t="shared" si="60"/>
        <v>70.80319999999999</v>
      </c>
      <c r="AA309" s="6">
        <v>838</v>
      </c>
      <c r="AB309" t="s">
        <v>0</v>
      </c>
      <c r="AC309" t="s">
        <v>8</v>
      </c>
      <c r="AD309" t="s">
        <v>44</v>
      </c>
      <c r="AE309" t="s">
        <v>54</v>
      </c>
      <c r="AF309">
        <v>13</v>
      </c>
      <c r="AG309">
        <v>0</v>
      </c>
      <c r="AH309">
        <v>424</v>
      </c>
      <c r="AI309" t="s">
        <v>80</v>
      </c>
      <c r="AJ309" t="s">
        <v>1032</v>
      </c>
      <c r="AK309">
        <v>0</v>
      </c>
      <c r="AL309" t="s">
        <v>167</v>
      </c>
      <c r="AM309" s="314">
        <v>154578.008</v>
      </c>
      <c r="AN309" s="314">
        <v>4546.4120000000003</v>
      </c>
      <c r="AO309" s="314">
        <v>4546.4120000000003</v>
      </c>
      <c r="AP309" s="314">
        <v>4546.4120000000003</v>
      </c>
      <c r="AQ309" s="314">
        <v>0</v>
      </c>
      <c r="AR309" s="314">
        <v>0</v>
      </c>
      <c r="AS309" s="314">
        <v>0</v>
      </c>
      <c r="AT309" s="314">
        <v>0</v>
      </c>
      <c r="AU309" s="314">
        <v>2407.3087999999998</v>
      </c>
      <c r="AV309" s="314">
        <v>70.80319999999999</v>
      </c>
      <c r="AW309" s="314">
        <v>70.80319999999999</v>
      </c>
      <c r="AX309">
        <v>70.80319999999999</v>
      </c>
    </row>
    <row r="310" spans="1:50" x14ac:dyDescent="0.35">
      <c r="A310">
        <v>406</v>
      </c>
      <c r="B310" t="s">
        <v>80</v>
      </c>
      <c r="C310" t="s">
        <v>1032</v>
      </c>
      <c r="D310">
        <v>0</v>
      </c>
      <c r="E310" t="s">
        <v>168</v>
      </c>
      <c r="F310">
        <v>40</v>
      </c>
      <c r="G310">
        <v>37</v>
      </c>
      <c r="H310">
        <v>44</v>
      </c>
      <c r="I310">
        <v>37</v>
      </c>
      <c r="J310" s="600">
        <v>158</v>
      </c>
      <c r="K310" s="7">
        <f t="shared" si="54"/>
        <v>10</v>
      </c>
      <c r="L310" s="7">
        <f t="shared" si="55"/>
        <v>0</v>
      </c>
      <c r="M310" s="243">
        <f t="shared" si="56"/>
        <v>171928.63999999998</v>
      </c>
      <c r="N310" s="243">
        <f>INDEX($AN$4:$AN21206,MATCH($A310,$AH$4:$AH$2000,0))</f>
        <v>159033.99199999997</v>
      </c>
      <c r="O310" s="243">
        <f t="shared" si="65"/>
        <v>189121.50399999999</v>
      </c>
      <c r="P310" s="243">
        <f t="shared" si="57"/>
        <v>159033.99199999997</v>
      </c>
      <c r="Q310" s="243">
        <f t="shared" si="58"/>
        <v>23973.040000000001</v>
      </c>
      <c r="R310" s="243">
        <f t="shared" si="59"/>
        <v>22175.062000000002</v>
      </c>
      <c r="S310" s="243">
        <f t="shared" si="66"/>
        <v>26370.344000000001</v>
      </c>
      <c r="T310" s="243">
        <f t="shared" si="60"/>
        <v>22175.062000000002</v>
      </c>
      <c r="AA310" s="6">
        <v>516</v>
      </c>
      <c r="AB310" t="s">
        <v>0</v>
      </c>
      <c r="AC310" t="s">
        <v>20</v>
      </c>
      <c r="AD310" t="s">
        <v>1</v>
      </c>
      <c r="AE310" t="s">
        <v>53</v>
      </c>
      <c r="AF310">
        <v>13</v>
      </c>
      <c r="AG310">
        <v>0</v>
      </c>
      <c r="AH310">
        <v>406</v>
      </c>
      <c r="AI310" t="s">
        <v>80</v>
      </c>
      <c r="AJ310" t="s">
        <v>1032</v>
      </c>
      <c r="AK310">
        <v>0</v>
      </c>
      <c r="AL310" t="s">
        <v>168</v>
      </c>
      <c r="AM310" s="314">
        <v>171928.63999999998</v>
      </c>
      <c r="AN310" s="314">
        <v>159033.99199999997</v>
      </c>
      <c r="AO310" s="314">
        <v>189121.50399999999</v>
      </c>
      <c r="AP310" s="314">
        <v>159033.99199999997</v>
      </c>
      <c r="AQ310" s="314">
        <v>0</v>
      </c>
      <c r="AR310" s="314">
        <v>0</v>
      </c>
      <c r="AS310" s="314">
        <v>0</v>
      </c>
      <c r="AT310" s="314">
        <v>0</v>
      </c>
      <c r="AU310" s="314">
        <v>23973.040000000001</v>
      </c>
      <c r="AV310" s="314">
        <v>22175.062000000002</v>
      </c>
      <c r="AW310" s="314">
        <v>26370.344000000001</v>
      </c>
      <c r="AX310">
        <v>22175.062000000002</v>
      </c>
    </row>
    <row r="311" spans="1:50" x14ac:dyDescent="0.35">
      <c r="A311">
        <v>419</v>
      </c>
      <c r="B311" t="s">
        <v>80</v>
      </c>
      <c r="C311" t="s">
        <v>1032</v>
      </c>
      <c r="D311">
        <v>0</v>
      </c>
      <c r="E311" t="s">
        <v>1016</v>
      </c>
      <c r="F311">
        <v>150</v>
      </c>
      <c r="G311">
        <v>150</v>
      </c>
      <c r="H311">
        <v>150</v>
      </c>
      <c r="I311">
        <v>150</v>
      </c>
      <c r="J311" s="600">
        <v>600</v>
      </c>
      <c r="K311" s="7">
        <f t="shared" si="54"/>
        <v>10</v>
      </c>
      <c r="L311" s="7">
        <f t="shared" si="55"/>
        <v>0</v>
      </c>
      <c r="M311" s="243">
        <f t="shared" si="56"/>
        <v>2969.1988417072803</v>
      </c>
      <c r="N311" s="243">
        <f>INDEX($AN$4:$AN21207,MATCH($A311,$AH$4:$AH$2000,0))</f>
        <v>2969.1988417072803</v>
      </c>
      <c r="O311" s="243">
        <f t="shared" si="65"/>
        <v>2969.1988417072803</v>
      </c>
      <c r="P311" s="243">
        <f t="shared" si="57"/>
        <v>2969.1988417072803</v>
      </c>
      <c r="Q311" s="243">
        <f t="shared" si="58"/>
        <v>773.27757235801812</v>
      </c>
      <c r="R311" s="243">
        <f t="shared" si="59"/>
        <v>773.27757235801812</v>
      </c>
      <c r="S311" s="243">
        <f t="shared" si="66"/>
        <v>773.27757235801812</v>
      </c>
      <c r="T311" s="243">
        <f t="shared" si="60"/>
        <v>773.27757235801812</v>
      </c>
      <c r="AA311" s="6">
        <v>606</v>
      </c>
      <c r="AB311" t="s">
        <v>0</v>
      </c>
      <c r="AC311" t="s">
        <v>1933</v>
      </c>
      <c r="AD311" t="s">
        <v>7</v>
      </c>
      <c r="AE311" t="s">
        <v>1843</v>
      </c>
      <c r="AF311">
        <v>13</v>
      </c>
      <c r="AG311">
        <v>0</v>
      </c>
      <c r="AH311">
        <v>419</v>
      </c>
      <c r="AI311" t="s">
        <v>80</v>
      </c>
      <c r="AJ311" t="s">
        <v>1032</v>
      </c>
      <c r="AK311">
        <v>0</v>
      </c>
      <c r="AL311" t="s">
        <v>1016</v>
      </c>
      <c r="AM311" s="314">
        <v>2969.1988417072803</v>
      </c>
      <c r="AN311" s="314">
        <v>2969.1988417072803</v>
      </c>
      <c r="AO311" s="314">
        <v>2969.1988417072803</v>
      </c>
      <c r="AP311" s="314">
        <v>2969.1988417072803</v>
      </c>
      <c r="AQ311" s="314">
        <v>0.97959953154463364</v>
      </c>
      <c r="AR311" s="314">
        <v>0.97959953154463364</v>
      </c>
      <c r="AS311" s="314">
        <v>0.97959953154463364</v>
      </c>
      <c r="AT311" s="314">
        <v>0.97959953154463364</v>
      </c>
      <c r="AU311" s="314">
        <v>773.27757235801812</v>
      </c>
      <c r="AV311" s="314">
        <v>773.27757235801812</v>
      </c>
      <c r="AW311" s="314">
        <v>773.27757235801812</v>
      </c>
      <c r="AX311">
        <v>773.27757235801812</v>
      </c>
    </row>
    <row r="312" spans="1:50" x14ac:dyDescent="0.35">
      <c r="A312">
        <v>452</v>
      </c>
      <c r="B312" t="s">
        <v>80</v>
      </c>
      <c r="C312" t="s">
        <v>1032</v>
      </c>
      <c r="D312" t="s">
        <v>4</v>
      </c>
      <c r="E312" t="s">
        <v>1033</v>
      </c>
      <c r="F312">
        <v>158000</v>
      </c>
      <c r="G312">
        <v>0</v>
      </c>
      <c r="H312">
        <v>0</v>
      </c>
      <c r="I312">
        <v>0</v>
      </c>
      <c r="J312" s="600">
        <v>158000</v>
      </c>
      <c r="K312" s="7">
        <f t="shared" si="54"/>
        <v>15</v>
      </c>
      <c r="L312" s="7">
        <f t="shared" si="55"/>
        <v>0</v>
      </c>
      <c r="M312" s="243">
        <f t="shared" si="56"/>
        <v>6489522.0753930332</v>
      </c>
      <c r="N312" s="243">
        <f>INDEX($AN$4:$AN21208,MATCH($A312,$AH$4:$AH$2000,0))</f>
        <v>0</v>
      </c>
      <c r="O312" s="243">
        <f t="shared" si="65"/>
        <v>0</v>
      </c>
      <c r="P312" s="243">
        <f t="shared" si="57"/>
        <v>0</v>
      </c>
      <c r="Q312" s="243">
        <f t="shared" si="58"/>
        <v>-130981.17950334563</v>
      </c>
      <c r="R312" s="243">
        <f t="shared" si="59"/>
        <v>0</v>
      </c>
      <c r="S312" s="243">
        <f t="shared" si="66"/>
        <v>0</v>
      </c>
      <c r="T312" s="243">
        <f t="shared" si="60"/>
        <v>0</v>
      </c>
      <c r="AA312" s="6">
        <v>517</v>
      </c>
      <c r="AB312" t="s">
        <v>0</v>
      </c>
      <c r="AC312" t="s">
        <v>20</v>
      </c>
      <c r="AD312" t="s">
        <v>1</v>
      </c>
      <c r="AE312" t="s">
        <v>54</v>
      </c>
      <c r="AF312">
        <v>13</v>
      </c>
      <c r="AG312">
        <v>0</v>
      </c>
      <c r="AH312">
        <v>452</v>
      </c>
      <c r="AI312" t="s">
        <v>80</v>
      </c>
      <c r="AJ312" t="s">
        <v>1032</v>
      </c>
      <c r="AK312" t="s">
        <v>4</v>
      </c>
      <c r="AL312" t="s">
        <v>1033</v>
      </c>
      <c r="AM312" s="314">
        <v>6489522.0753930332</v>
      </c>
      <c r="AN312" s="314">
        <v>0</v>
      </c>
      <c r="AO312" s="314">
        <v>0</v>
      </c>
      <c r="AP312" s="314">
        <v>0</v>
      </c>
      <c r="AQ312" s="314">
        <v>1389.8403830105599</v>
      </c>
      <c r="AR312" s="314">
        <v>0</v>
      </c>
      <c r="AS312" s="314">
        <v>0</v>
      </c>
      <c r="AT312" s="314">
        <v>0</v>
      </c>
      <c r="AU312" s="314">
        <v>-130981.17950334563</v>
      </c>
      <c r="AV312" s="314">
        <v>0</v>
      </c>
      <c r="AW312" s="314">
        <v>0</v>
      </c>
      <c r="AX312">
        <v>0</v>
      </c>
    </row>
    <row r="313" spans="1:50" x14ac:dyDescent="0.35">
      <c r="A313">
        <v>460</v>
      </c>
      <c r="B313" t="s">
        <v>80</v>
      </c>
      <c r="C313" t="s">
        <v>1032</v>
      </c>
      <c r="D313" t="s">
        <v>4</v>
      </c>
      <c r="E313" t="s">
        <v>1034</v>
      </c>
      <c r="F313">
        <v>9960</v>
      </c>
      <c r="G313">
        <v>11089</v>
      </c>
      <c r="H313">
        <v>0</v>
      </c>
      <c r="I313">
        <v>0</v>
      </c>
      <c r="J313" s="600">
        <v>21049</v>
      </c>
      <c r="K313" s="7">
        <f t="shared" si="54"/>
        <v>15</v>
      </c>
      <c r="L313" s="7">
        <f t="shared" si="55"/>
        <v>0</v>
      </c>
      <c r="M313" s="243">
        <f t="shared" si="56"/>
        <v>859673.82730944012</v>
      </c>
      <c r="N313" s="243">
        <f>INDEX($AN$4:$AN21209,MATCH($A313,$AH$4:$AH$2000,0))</f>
        <v>957120.79026449611</v>
      </c>
      <c r="O313" s="243">
        <f t="shared" si="65"/>
        <v>0</v>
      </c>
      <c r="P313" s="243">
        <f t="shared" si="57"/>
        <v>0</v>
      </c>
      <c r="Q313" s="243">
        <f t="shared" si="58"/>
        <v>-9456.4121004038443</v>
      </c>
      <c r="R313" s="243">
        <f t="shared" si="59"/>
        <v>-10528.328692909459</v>
      </c>
      <c r="S313" s="243">
        <f t="shared" si="66"/>
        <v>0</v>
      </c>
      <c r="T313" s="243">
        <f t="shared" si="60"/>
        <v>0</v>
      </c>
      <c r="AA313" s="6">
        <v>607</v>
      </c>
      <c r="AB313" t="s">
        <v>0</v>
      </c>
      <c r="AC313" t="s">
        <v>1933</v>
      </c>
      <c r="AD313" t="s">
        <v>7</v>
      </c>
      <c r="AE313" t="s">
        <v>1844</v>
      </c>
      <c r="AF313">
        <v>13</v>
      </c>
      <c r="AG313">
        <v>0</v>
      </c>
      <c r="AH313">
        <v>460</v>
      </c>
      <c r="AI313" t="s">
        <v>80</v>
      </c>
      <c r="AJ313" t="s">
        <v>1032</v>
      </c>
      <c r="AK313" t="s">
        <v>4</v>
      </c>
      <c r="AL313" t="s">
        <v>1034</v>
      </c>
      <c r="AM313" s="314">
        <v>859673.82730944012</v>
      </c>
      <c r="AN313" s="314">
        <v>957120.79026449611</v>
      </c>
      <c r="AO313" s="314">
        <v>0</v>
      </c>
      <c r="AP313" s="314">
        <v>0</v>
      </c>
      <c r="AQ313" s="314">
        <v>136.05215702707198</v>
      </c>
      <c r="AR313" s="314">
        <v>151.4741334611648</v>
      </c>
      <c r="AS313" s="314">
        <v>0</v>
      </c>
      <c r="AT313" s="314">
        <v>0</v>
      </c>
      <c r="AU313" s="314">
        <v>-9456.4121004038443</v>
      </c>
      <c r="AV313" s="314">
        <v>-10528.328692909459</v>
      </c>
      <c r="AW313" s="314">
        <v>0</v>
      </c>
      <c r="AX313">
        <v>0</v>
      </c>
    </row>
    <row r="314" spans="1:50" x14ac:dyDescent="0.35">
      <c r="A314">
        <v>467</v>
      </c>
      <c r="B314" t="s">
        <v>80</v>
      </c>
      <c r="C314" t="s">
        <v>1032</v>
      </c>
      <c r="D314" t="s">
        <v>15</v>
      </c>
      <c r="E314" t="s">
        <v>1019</v>
      </c>
      <c r="F314">
        <v>620</v>
      </c>
      <c r="G314">
        <v>450</v>
      </c>
      <c r="H314">
        <v>526</v>
      </c>
      <c r="I314">
        <v>518</v>
      </c>
      <c r="J314" s="600">
        <v>2114</v>
      </c>
      <c r="K314" s="7">
        <f t="shared" si="54"/>
        <v>9</v>
      </c>
      <c r="L314" s="7">
        <f t="shared" si="55"/>
        <v>0</v>
      </c>
      <c r="M314" s="243">
        <f t="shared" si="56"/>
        <v>16215.873259282092</v>
      </c>
      <c r="N314" s="243">
        <f>INDEX($AN$4:$AN21210,MATCH($A314,$AH$4:$AH$2000,0))</f>
        <v>11769.5854301241</v>
      </c>
      <c r="O314" s="243">
        <f t="shared" si="65"/>
        <v>13757.337636100614</v>
      </c>
      <c r="P314" s="243">
        <f t="shared" si="57"/>
        <v>13548.100561787296</v>
      </c>
      <c r="Q314" s="243">
        <f t="shared" si="58"/>
        <v>3239.645626119906</v>
      </c>
      <c r="R314" s="243">
        <f t="shared" si="59"/>
        <v>2351.3556963773513</v>
      </c>
      <c r="S314" s="243">
        <f t="shared" si="66"/>
        <v>2748.4735473210817</v>
      </c>
      <c r="T314" s="243">
        <f t="shared" si="60"/>
        <v>2706.6716682743731</v>
      </c>
      <c r="AA314" s="6">
        <v>518</v>
      </c>
      <c r="AB314" t="s">
        <v>0</v>
      </c>
      <c r="AC314" t="s">
        <v>20</v>
      </c>
      <c r="AD314" t="s">
        <v>1</v>
      </c>
      <c r="AE314" t="s">
        <v>55</v>
      </c>
      <c r="AF314">
        <v>10</v>
      </c>
      <c r="AG314">
        <v>0</v>
      </c>
      <c r="AH314">
        <v>467</v>
      </c>
      <c r="AI314" t="s">
        <v>80</v>
      </c>
      <c r="AJ314" t="s">
        <v>1032</v>
      </c>
      <c r="AK314" t="s">
        <v>15</v>
      </c>
      <c r="AL314" t="s">
        <v>1019</v>
      </c>
      <c r="AM314" s="314">
        <v>16215.873259282092</v>
      </c>
      <c r="AN314" s="314">
        <v>11769.5854301241</v>
      </c>
      <c r="AO314" s="314">
        <v>13757.337636100614</v>
      </c>
      <c r="AP314" s="314">
        <v>13548.100561787296</v>
      </c>
      <c r="AQ314" s="314">
        <v>2.8028614286071702</v>
      </c>
      <c r="AR314" s="314">
        <v>2.034334907860043</v>
      </c>
      <c r="AS314" s="314">
        <v>2.3779114700764055</v>
      </c>
      <c r="AT314" s="314">
        <v>2.3417455161588938</v>
      </c>
      <c r="AU314" s="314">
        <v>3239.645626119906</v>
      </c>
      <c r="AV314" s="314">
        <v>2351.3556963773513</v>
      </c>
      <c r="AW314" s="314">
        <v>2748.4735473210817</v>
      </c>
      <c r="AX314">
        <v>2706.6716682743731</v>
      </c>
    </row>
    <row r="315" spans="1:50" x14ac:dyDescent="0.35">
      <c r="A315">
        <v>466</v>
      </c>
      <c r="B315" t="s">
        <v>80</v>
      </c>
      <c r="C315" t="s">
        <v>1032</v>
      </c>
      <c r="D315" t="s">
        <v>15</v>
      </c>
      <c r="E315" t="s">
        <v>1020</v>
      </c>
      <c r="F315">
        <v>620</v>
      </c>
      <c r="G315">
        <v>450</v>
      </c>
      <c r="H315">
        <v>526</v>
      </c>
      <c r="I315">
        <v>518</v>
      </c>
      <c r="J315" s="600">
        <v>2114</v>
      </c>
      <c r="K315" s="7">
        <f t="shared" si="54"/>
        <v>9</v>
      </c>
      <c r="L315" s="7">
        <f t="shared" si="55"/>
        <v>0</v>
      </c>
      <c r="M315" s="243">
        <f t="shared" si="56"/>
        <v>22359.474294703028</v>
      </c>
      <c r="N315" s="243">
        <f>INDEX($AN$4:$AN21211,MATCH($A315,$AH$4:$AH$2000,0))</f>
        <v>16228.650697768328</v>
      </c>
      <c r="O315" s="243">
        <f t="shared" si="65"/>
        <v>18969.489482280311</v>
      </c>
      <c r="P315" s="243">
        <f t="shared" si="57"/>
        <v>18680.98013654221</v>
      </c>
      <c r="Q315" s="243">
        <f t="shared" si="58"/>
        <v>4467.0288144803872</v>
      </c>
      <c r="R315" s="243">
        <f t="shared" si="59"/>
        <v>3242.1983330906037</v>
      </c>
      <c r="S315" s="243">
        <f t="shared" si="66"/>
        <v>3789.7696071236833</v>
      </c>
      <c r="T315" s="243">
        <f t="shared" si="60"/>
        <v>3732.1305256465171</v>
      </c>
      <c r="AA315" s="6">
        <v>519</v>
      </c>
      <c r="AB315" t="s">
        <v>0</v>
      </c>
      <c r="AC315" t="s">
        <v>20</v>
      </c>
      <c r="AD315" t="s">
        <v>1</v>
      </c>
      <c r="AE315" t="s">
        <v>56</v>
      </c>
      <c r="AF315">
        <v>10</v>
      </c>
      <c r="AG315">
        <v>0</v>
      </c>
      <c r="AH315">
        <v>466</v>
      </c>
      <c r="AI315" t="s">
        <v>80</v>
      </c>
      <c r="AJ315" t="s">
        <v>1032</v>
      </c>
      <c r="AK315" t="s">
        <v>15</v>
      </c>
      <c r="AL315" t="s">
        <v>1020</v>
      </c>
      <c r="AM315" s="314">
        <v>22359.474294703028</v>
      </c>
      <c r="AN315" s="314">
        <v>16228.650697768328</v>
      </c>
      <c r="AO315" s="314">
        <v>18969.489482280311</v>
      </c>
      <c r="AP315" s="314">
        <v>18680.98013654221</v>
      </c>
      <c r="AQ315" s="314">
        <v>3.8647630665640254</v>
      </c>
      <c r="AR315" s="314">
        <v>2.8050699676674378</v>
      </c>
      <c r="AS315" s="314">
        <v>3.2788151177623828</v>
      </c>
      <c r="AT315" s="314">
        <v>3.228947207226073</v>
      </c>
      <c r="AU315" s="314">
        <v>4467.0288144803872</v>
      </c>
      <c r="AV315" s="314">
        <v>3242.1983330906037</v>
      </c>
      <c r="AW315" s="314">
        <v>3789.7696071236833</v>
      </c>
      <c r="AX315">
        <v>3732.1305256465171</v>
      </c>
    </row>
    <row r="316" spans="1:50" x14ac:dyDescent="0.35">
      <c r="A316">
        <v>433</v>
      </c>
      <c r="B316" t="s">
        <v>80</v>
      </c>
      <c r="C316" t="s">
        <v>1032</v>
      </c>
      <c r="D316" t="s">
        <v>20</v>
      </c>
      <c r="E316" t="s">
        <v>1021</v>
      </c>
      <c r="F316">
        <v>75</v>
      </c>
      <c r="G316">
        <v>0</v>
      </c>
      <c r="H316">
        <v>0</v>
      </c>
      <c r="I316">
        <v>0</v>
      </c>
      <c r="J316" s="600">
        <v>75</v>
      </c>
      <c r="K316" s="7">
        <f t="shared" si="54"/>
        <v>10</v>
      </c>
      <c r="L316" s="7">
        <f t="shared" si="55"/>
        <v>0</v>
      </c>
      <c r="M316" s="243">
        <f t="shared" si="56"/>
        <v>44805.149999999994</v>
      </c>
      <c r="N316" s="243">
        <f>INDEX($AN$4:$AN21212,MATCH($A316,$AH$4:$AH$2000,0))</f>
        <v>0</v>
      </c>
      <c r="O316" s="243">
        <f t="shared" si="65"/>
        <v>0</v>
      </c>
      <c r="P316" s="243">
        <f t="shared" si="57"/>
        <v>0</v>
      </c>
      <c r="Q316" s="243">
        <f t="shared" si="58"/>
        <v>4435.9912349999995</v>
      </c>
      <c r="R316" s="243">
        <f t="shared" si="59"/>
        <v>0</v>
      </c>
      <c r="S316" s="243">
        <f t="shared" si="66"/>
        <v>0</v>
      </c>
      <c r="T316" s="243">
        <f t="shared" si="60"/>
        <v>0</v>
      </c>
      <c r="AA316" s="6">
        <v>520</v>
      </c>
      <c r="AB316" t="s">
        <v>0</v>
      </c>
      <c r="AC316" t="s">
        <v>20</v>
      </c>
      <c r="AD316" t="s">
        <v>1</v>
      </c>
      <c r="AE316" t="s">
        <v>57</v>
      </c>
      <c r="AF316">
        <v>10</v>
      </c>
      <c r="AG316">
        <v>0</v>
      </c>
      <c r="AH316">
        <v>433</v>
      </c>
      <c r="AI316" t="s">
        <v>80</v>
      </c>
      <c r="AJ316" t="s">
        <v>1032</v>
      </c>
      <c r="AK316" t="s">
        <v>20</v>
      </c>
      <c r="AL316" t="s">
        <v>1021</v>
      </c>
      <c r="AM316" s="314">
        <v>44805.149999999994</v>
      </c>
      <c r="AN316" s="314">
        <v>0</v>
      </c>
      <c r="AO316" s="314">
        <v>0</v>
      </c>
      <c r="AP316" s="314">
        <v>0</v>
      </c>
      <c r="AQ316" s="314">
        <v>4.1583652500000001</v>
      </c>
      <c r="AR316" s="314">
        <v>0</v>
      </c>
      <c r="AS316" s="314">
        <v>0</v>
      </c>
      <c r="AT316" s="314">
        <v>0</v>
      </c>
      <c r="AU316" s="314">
        <v>4435.9912349999995</v>
      </c>
      <c r="AV316" s="314">
        <v>0</v>
      </c>
      <c r="AW316" s="314">
        <v>0</v>
      </c>
      <c r="AX316">
        <v>0</v>
      </c>
    </row>
    <row r="317" spans="1:50" x14ac:dyDescent="0.35">
      <c r="A317">
        <v>425</v>
      </c>
      <c r="B317" t="s">
        <v>80</v>
      </c>
      <c r="C317" t="s">
        <v>1032</v>
      </c>
      <c r="D317">
        <v>0</v>
      </c>
      <c r="E317" t="s">
        <v>262</v>
      </c>
      <c r="F317">
        <v>18</v>
      </c>
      <c r="G317">
        <v>18</v>
      </c>
      <c r="H317">
        <v>28</v>
      </c>
      <c r="I317">
        <v>19</v>
      </c>
      <c r="J317" s="600">
        <v>83</v>
      </c>
      <c r="K317" s="7">
        <f t="shared" si="54"/>
        <v>15</v>
      </c>
      <c r="L317" s="7">
        <f t="shared" si="55"/>
        <v>0</v>
      </c>
      <c r="M317" s="243">
        <f t="shared" si="56"/>
        <v>1759.582656</v>
      </c>
      <c r="N317" s="243">
        <f>INDEX($AN$4:$AN21213,MATCH($A317,$AH$4:$AH$2000,0))</f>
        <v>1759.582656</v>
      </c>
      <c r="O317" s="243">
        <f t="shared" si="65"/>
        <v>2737.1285760000001</v>
      </c>
      <c r="P317" s="243">
        <f t="shared" si="57"/>
        <v>1857.337248</v>
      </c>
      <c r="Q317" s="243">
        <f t="shared" si="58"/>
        <v>0</v>
      </c>
      <c r="R317" s="243">
        <f t="shared" si="59"/>
        <v>0</v>
      </c>
      <c r="S317" s="243">
        <f t="shared" si="66"/>
        <v>0</v>
      </c>
      <c r="T317" s="243">
        <f t="shared" si="60"/>
        <v>0</v>
      </c>
      <c r="AA317" s="6">
        <v>522</v>
      </c>
      <c r="AB317" t="s">
        <v>0</v>
      </c>
      <c r="AC317" t="s">
        <v>20</v>
      </c>
      <c r="AD317" t="s">
        <v>1</v>
      </c>
      <c r="AE317" t="s">
        <v>58</v>
      </c>
      <c r="AF317">
        <v>10</v>
      </c>
      <c r="AG317">
        <v>0</v>
      </c>
      <c r="AH317">
        <v>425</v>
      </c>
      <c r="AI317" t="s">
        <v>80</v>
      </c>
      <c r="AJ317" t="s">
        <v>1032</v>
      </c>
      <c r="AK317">
        <v>0</v>
      </c>
      <c r="AL317" t="s">
        <v>262</v>
      </c>
      <c r="AM317" s="314">
        <v>1759.582656</v>
      </c>
      <c r="AN317" s="314">
        <v>1759.582656</v>
      </c>
      <c r="AO317" s="314">
        <v>2737.1285760000001</v>
      </c>
      <c r="AP317" s="314">
        <v>1857.337248</v>
      </c>
      <c r="AQ317" s="314">
        <v>0.20086559999999998</v>
      </c>
      <c r="AR317" s="314">
        <v>0.20086559999999998</v>
      </c>
      <c r="AS317" s="314">
        <v>0.3124576</v>
      </c>
      <c r="AT317" s="314">
        <v>0.21202479999999999</v>
      </c>
      <c r="AU317" s="314">
        <v>0</v>
      </c>
      <c r="AV317" s="314">
        <v>0</v>
      </c>
      <c r="AW317" s="314">
        <v>0</v>
      </c>
      <c r="AX317">
        <v>0</v>
      </c>
    </row>
    <row r="318" spans="1:50" x14ac:dyDescent="0.35">
      <c r="A318">
        <v>402</v>
      </c>
      <c r="B318" t="s">
        <v>80</v>
      </c>
      <c r="C318" t="s">
        <v>1032</v>
      </c>
      <c r="D318">
        <v>0</v>
      </c>
      <c r="E318" t="s">
        <v>183</v>
      </c>
      <c r="F318">
        <v>9</v>
      </c>
      <c r="G318">
        <v>9</v>
      </c>
      <c r="H318">
        <v>10</v>
      </c>
      <c r="I318">
        <v>10</v>
      </c>
      <c r="J318" s="600">
        <v>38</v>
      </c>
      <c r="K318" s="7">
        <f t="shared" si="54"/>
        <v>15</v>
      </c>
      <c r="L318" s="7">
        <f t="shared" si="55"/>
        <v>0</v>
      </c>
      <c r="M318" s="243">
        <f t="shared" si="56"/>
        <v>77949.209467415785</v>
      </c>
      <c r="N318" s="243">
        <f>INDEX($AN$4:$AN21214,MATCH($A318,$AH$4:$AH$2000,0))</f>
        <v>77949.209467415785</v>
      </c>
      <c r="O318" s="243">
        <f t="shared" si="65"/>
        <v>86610.232741573098</v>
      </c>
      <c r="P318" s="243">
        <f t="shared" si="57"/>
        <v>86610.232741573098</v>
      </c>
      <c r="Q318" s="243">
        <f t="shared" si="58"/>
        <v>0</v>
      </c>
      <c r="R318" s="243">
        <f t="shared" si="59"/>
        <v>0</v>
      </c>
      <c r="S318" s="243">
        <f t="shared" si="66"/>
        <v>0</v>
      </c>
      <c r="T318" s="243">
        <f t="shared" si="60"/>
        <v>0</v>
      </c>
      <c r="AA318" s="6">
        <v>521</v>
      </c>
      <c r="AB318" t="s">
        <v>0</v>
      </c>
      <c r="AC318" t="s">
        <v>20</v>
      </c>
      <c r="AD318" t="s">
        <v>1</v>
      </c>
      <c r="AE318" t="s">
        <v>59</v>
      </c>
      <c r="AF318">
        <v>10</v>
      </c>
      <c r="AG318">
        <v>0</v>
      </c>
      <c r="AH318">
        <v>402</v>
      </c>
      <c r="AI318" t="s">
        <v>80</v>
      </c>
      <c r="AJ318" t="s">
        <v>1032</v>
      </c>
      <c r="AK318">
        <v>0</v>
      </c>
      <c r="AL318" t="s">
        <v>183</v>
      </c>
      <c r="AM318" s="314">
        <v>77949.209467415785</v>
      </c>
      <c r="AN318" s="314">
        <v>77949.209467415785</v>
      </c>
      <c r="AO318" s="314">
        <v>86610.232741573098</v>
      </c>
      <c r="AP318" s="314">
        <v>86610.232741573098</v>
      </c>
      <c r="AQ318" s="314">
        <v>2.0522795345104212</v>
      </c>
      <c r="AR318" s="314">
        <v>2.0522795345104212</v>
      </c>
      <c r="AS318" s="314">
        <v>2.280310593900468</v>
      </c>
      <c r="AT318" s="314">
        <v>2.280310593900468</v>
      </c>
      <c r="AU318" s="314">
        <v>0</v>
      </c>
      <c r="AV318" s="314">
        <v>0</v>
      </c>
      <c r="AW318" s="314">
        <v>0</v>
      </c>
      <c r="AX318">
        <v>0</v>
      </c>
    </row>
    <row r="319" spans="1:50" x14ac:dyDescent="0.35">
      <c r="A319">
        <v>427</v>
      </c>
      <c r="B319" t="s">
        <v>80</v>
      </c>
      <c r="C319" t="s">
        <v>1032</v>
      </c>
      <c r="D319">
        <v>0</v>
      </c>
      <c r="E319" t="s">
        <v>207</v>
      </c>
      <c r="F319">
        <v>4</v>
      </c>
      <c r="G319">
        <v>4</v>
      </c>
      <c r="H319">
        <v>8</v>
      </c>
      <c r="I319">
        <v>4</v>
      </c>
      <c r="J319" s="600">
        <v>20</v>
      </c>
      <c r="K319" s="7">
        <f t="shared" si="54"/>
        <v>10</v>
      </c>
      <c r="L319" s="7">
        <f t="shared" si="55"/>
        <v>0</v>
      </c>
      <c r="M319" s="243">
        <f t="shared" si="56"/>
        <v>1269.8399999999999</v>
      </c>
      <c r="N319" s="243">
        <f>INDEX($AN$4:$AN21215,MATCH($A319,$AH$4:$AH$2000,0))</f>
        <v>1269.8399999999999</v>
      </c>
      <c r="O319" s="243">
        <f t="shared" si="65"/>
        <v>2539.6799999999998</v>
      </c>
      <c r="P319" s="243">
        <f t="shared" si="57"/>
        <v>1269.8399999999999</v>
      </c>
      <c r="Q319" s="243">
        <f t="shared" si="58"/>
        <v>0</v>
      </c>
      <c r="R319" s="243">
        <f t="shared" si="59"/>
        <v>0</v>
      </c>
      <c r="S319" s="243">
        <f t="shared" si="66"/>
        <v>0</v>
      </c>
      <c r="T319" s="243">
        <f t="shared" si="60"/>
        <v>0</v>
      </c>
      <c r="AA319" s="6">
        <v>598</v>
      </c>
      <c r="AB319" t="s">
        <v>0</v>
      </c>
      <c r="AC319" t="s">
        <v>1933</v>
      </c>
      <c r="AD319" t="s">
        <v>7</v>
      </c>
      <c r="AE319" t="s">
        <v>1845</v>
      </c>
      <c r="AF319">
        <v>18</v>
      </c>
      <c r="AG319">
        <v>6</v>
      </c>
      <c r="AH319">
        <v>427</v>
      </c>
      <c r="AI319" t="s">
        <v>80</v>
      </c>
      <c r="AJ319" t="s">
        <v>1032</v>
      </c>
      <c r="AK319">
        <v>0</v>
      </c>
      <c r="AL319" t="s">
        <v>207</v>
      </c>
      <c r="AM319" s="314">
        <v>1269.8399999999999</v>
      </c>
      <c r="AN319" s="314">
        <v>1269.8399999999999</v>
      </c>
      <c r="AO319" s="314">
        <v>2539.6799999999998</v>
      </c>
      <c r="AP319" s="314">
        <v>1269.8399999999999</v>
      </c>
      <c r="AQ319" s="314">
        <v>0</v>
      </c>
      <c r="AR319" s="314">
        <v>0</v>
      </c>
      <c r="AS319" s="314">
        <v>0</v>
      </c>
      <c r="AT319" s="314">
        <v>0</v>
      </c>
      <c r="AU319" s="314">
        <v>0</v>
      </c>
      <c r="AV319" s="314">
        <v>0</v>
      </c>
      <c r="AW319" s="314">
        <v>0</v>
      </c>
      <c r="AX319">
        <v>0</v>
      </c>
    </row>
    <row r="320" spans="1:50" x14ac:dyDescent="0.35">
      <c r="A320">
        <v>449</v>
      </c>
      <c r="B320" t="s">
        <v>80</v>
      </c>
      <c r="C320" t="s">
        <v>1032</v>
      </c>
      <c r="D320" t="s">
        <v>4</v>
      </c>
      <c r="E320" t="s">
        <v>1036</v>
      </c>
      <c r="F320">
        <v>900</v>
      </c>
      <c r="G320">
        <v>0</v>
      </c>
      <c r="H320">
        <v>0</v>
      </c>
      <c r="I320">
        <v>0</v>
      </c>
      <c r="J320" s="600">
        <v>900</v>
      </c>
      <c r="K320" s="7">
        <f t="shared" si="54"/>
        <v>15</v>
      </c>
      <c r="L320" s="7">
        <f t="shared" si="55"/>
        <v>0</v>
      </c>
      <c r="M320" s="243">
        <f t="shared" si="56"/>
        <v>24064.874572330802</v>
      </c>
      <c r="N320" s="243">
        <f>INDEX($AN$4:$AN21216,MATCH($A320,$AH$4:$AH$2000,0))</f>
        <v>0</v>
      </c>
      <c r="O320" s="243">
        <f t="shared" si="65"/>
        <v>0</v>
      </c>
      <c r="P320" s="243">
        <f t="shared" si="57"/>
        <v>0</v>
      </c>
      <c r="Q320" s="243">
        <f t="shared" si="58"/>
        <v>-485.71306476263999</v>
      </c>
      <c r="R320" s="243">
        <f t="shared" si="59"/>
        <v>0</v>
      </c>
      <c r="S320" s="243">
        <f t="shared" si="66"/>
        <v>0</v>
      </c>
      <c r="T320" s="243">
        <f t="shared" si="60"/>
        <v>0</v>
      </c>
      <c r="AA320" s="6">
        <v>566</v>
      </c>
      <c r="AB320" t="s">
        <v>0</v>
      </c>
      <c r="AC320" t="s">
        <v>1933</v>
      </c>
      <c r="AD320" t="s">
        <v>7</v>
      </c>
      <c r="AE320" t="s">
        <v>1846</v>
      </c>
      <c r="AF320">
        <v>18</v>
      </c>
      <c r="AG320">
        <v>0</v>
      </c>
      <c r="AH320">
        <v>449</v>
      </c>
      <c r="AI320" t="s">
        <v>80</v>
      </c>
      <c r="AJ320" t="s">
        <v>1032</v>
      </c>
      <c r="AK320" t="s">
        <v>4</v>
      </c>
      <c r="AL320" t="s">
        <v>1036</v>
      </c>
      <c r="AM320" s="314">
        <v>24064.874572330802</v>
      </c>
      <c r="AN320" s="314">
        <v>0</v>
      </c>
      <c r="AO320" s="314">
        <v>0</v>
      </c>
      <c r="AP320" s="314">
        <v>0</v>
      </c>
      <c r="AQ320" s="314">
        <v>5.1538979456640002</v>
      </c>
      <c r="AR320" s="314">
        <v>0</v>
      </c>
      <c r="AS320" s="314">
        <v>0</v>
      </c>
      <c r="AT320" s="314">
        <v>0</v>
      </c>
      <c r="AU320" s="314">
        <v>-485.71306476263999</v>
      </c>
      <c r="AV320" s="314">
        <v>0</v>
      </c>
      <c r="AW320" s="314">
        <v>0</v>
      </c>
      <c r="AX320">
        <v>0</v>
      </c>
    </row>
    <row r="321" spans="1:50" x14ac:dyDescent="0.35">
      <c r="A321">
        <v>408</v>
      </c>
      <c r="B321" t="s">
        <v>80</v>
      </c>
      <c r="C321" t="s">
        <v>1032</v>
      </c>
      <c r="D321">
        <v>0</v>
      </c>
      <c r="E321" t="s">
        <v>278</v>
      </c>
      <c r="F321">
        <v>0</v>
      </c>
      <c r="G321">
        <v>5395</v>
      </c>
      <c r="H321">
        <v>5417</v>
      </c>
      <c r="I321">
        <v>5405</v>
      </c>
      <c r="J321" s="600">
        <v>16217</v>
      </c>
      <c r="K321" s="7">
        <f t="shared" si="54"/>
        <v>15</v>
      </c>
      <c r="L321" s="7">
        <f t="shared" si="55"/>
        <v>0</v>
      </c>
      <c r="M321" s="243">
        <f t="shared" si="56"/>
        <v>0</v>
      </c>
      <c r="N321" s="243">
        <f>INDEX($AN$4:$AN21217,MATCH($A321,$AH$4:$AH$2000,0))</f>
        <v>9379403.2691476755</v>
      </c>
      <c r="O321" s="243">
        <f t="shared" si="65"/>
        <v>9417651.0674648657</v>
      </c>
      <c r="P321" s="243">
        <f t="shared" si="57"/>
        <v>9396788.6320191249</v>
      </c>
      <c r="Q321" s="243">
        <f t="shared" si="58"/>
        <v>0</v>
      </c>
      <c r="R321" s="243">
        <f t="shared" si="59"/>
        <v>0</v>
      </c>
      <c r="S321" s="243">
        <f t="shared" si="66"/>
        <v>0</v>
      </c>
      <c r="T321" s="243">
        <f t="shared" si="60"/>
        <v>0</v>
      </c>
      <c r="AA321" s="6">
        <v>597</v>
      </c>
      <c r="AB321" t="s">
        <v>0</v>
      </c>
      <c r="AC321" t="s">
        <v>1933</v>
      </c>
      <c r="AD321" t="s">
        <v>7</v>
      </c>
      <c r="AE321" t="s">
        <v>1847</v>
      </c>
      <c r="AF321">
        <v>18</v>
      </c>
      <c r="AG321">
        <v>6</v>
      </c>
      <c r="AH321">
        <v>408</v>
      </c>
      <c r="AI321" t="s">
        <v>80</v>
      </c>
      <c r="AJ321" t="s">
        <v>1032</v>
      </c>
      <c r="AK321">
        <v>0</v>
      </c>
      <c r="AL321" t="s">
        <v>278</v>
      </c>
      <c r="AM321" s="314">
        <v>0</v>
      </c>
      <c r="AN321" s="314">
        <v>9379403.2691476755</v>
      </c>
      <c r="AO321" s="314">
        <v>9417651.0674648657</v>
      </c>
      <c r="AP321" s="314">
        <v>9396788.6320191249</v>
      </c>
      <c r="AQ321" s="314">
        <v>0</v>
      </c>
      <c r="AR321" s="314">
        <v>0</v>
      </c>
      <c r="AS321" s="314">
        <v>0</v>
      </c>
      <c r="AT321" s="314">
        <v>0</v>
      </c>
      <c r="AU321" s="314">
        <v>0</v>
      </c>
      <c r="AV321" s="314">
        <v>0</v>
      </c>
      <c r="AW321" s="314">
        <v>0</v>
      </c>
      <c r="AX321">
        <v>0</v>
      </c>
    </row>
    <row r="322" spans="1:50" x14ac:dyDescent="0.35">
      <c r="A322">
        <v>423</v>
      </c>
      <c r="B322" t="s">
        <v>80</v>
      </c>
      <c r="C322" t="s">
        <v>1032</v>
      </c>
      <c r="D322">
        <v>0</v>
      </c>
      <c r="E322" t="s">
        <v>279</v>
      </c>
      <c r="F322">
        <v>0</v>
      </c>
      <c r="G322">
        <v>139</v>
      </c>
      <c r="H322">
        <v>145</v>
      </c>
      <c r="I322">
        <v>146</v>
      </c>
      <c r="J322" s="600">
        <v>430</v>
      </c>
      <c r="K322" s="7">
        <f t="shared" si="54"/>
        <v>11</v>
      </c>
      <c r="L322" s="7">
        <f t="shared" si="55"/>
        <v>0</v>
      </c>
      <c r="M322" s="243">
        <f t="shared" si="56"/>
        <v>0</v>
      </c>
      <c r="N322" s="243">
        <f>INDEX($AN$4:$AN21218,MATCH($A322,$AH$4:$AH$2000,0))</f>
        <v>53858.158398041494</v>
      </c>
      <c r="O322" s="243">
        <f t="shared" si="65"/>
        <v>56182.970990762711</v>
      </c>
      <c r="P322" s="243">
        <f t="shared" si="57"/>
        <v>56570.439756216241</v>
      </c>
      <c r="Q322" s="243">
        <f t="shared" si="58"/>
        <v>0</v>
      </c>
      <c r="R322" s="243">
        <f t="shared" si="59"/>
        <v>-592.16947957796367</v>
      </c>
      <c r="S322" s="243">
        <f t="shared" si="66"/>
        <v>-617.73075207773195</v>
      </c>
      <c r="T322" s="243">
        <f t="shared" si="60"/>
        <v>-621.99096416102657</v>
      </c>
      <c r="AA322" s="6">
        <v>565</v>
      </c>
      <c r="AB322" t="s">
        <v>0</v>
      </c>
      <c r="AC322" t="s">
        <v>1933</v>
      </c>
      <c r="AD322" t="s">
        <v>7</v>
      </c>
      <c r="AE322" t="s">
        <v>1848</v>
      </c>
      <c r="AF322">
        <v>18</v>
      </c>
      <c r="AG322">
        <v>0</v>
      </c>
      <c r="AH322">
        <v>423</v>
      </c>
      <c r="AI322" t="s">
        <v>80</v>
      </c>
      <c r="AJ322" t="s">
        <v>1032</v>
      </c>
      <c r="AK322">
        <v>0</v>
      </c>
      <c r="AL322" t="s">
        <v>279</v>
      </c>
      <c r="AM322" s="314">
        <v>0</v>
      </c>
      <c r="AN322" s="314">
        <v>53858.158398041494</v>
      </c>
      <c r="AO322" s="314">
        <v>56182.970990762711</v>
      </c>
      <c r="AP322" s="314">
        <v>56570.439756216241</v>
      </c>
      <c r="AQ322" s="314">
        <v>0</v>
      </c>
      <c r="AR322" s="314">
        <v>10.259445732547494</v>
      </c>
      <c r="AS322" s="314">
        <v>10.702299505175443</v>
      </c>
      <c r="AT322" s="314">
        <v>10.776108467280102</v>
      </c>
      <c r="AU322" s="314">
        <v>0</v>
      </c>
      <c r="AV322" s="314">
        <v>-592.16947957796367</v>
      </c>
      <c r="AW322" s="314">
        <v>-617.73075207773195</v>
      </c>
      <c r="AX322">
        <v>-621.99096416102657</v>
      </c>
    </row>
    <row r="323" spans="1:50" x14ac:dyDescent="0.35">
      <c r="A323">
        <v>410</v>
      </c>
      <c r="B323" t="s">
        <v>80</v>
      </c>
      <c r="C323" t="s">
        <v>1032</v>
      </c>
      <c r="D323">
        <v>0</v>
      </c>
      <c r="E323" t="s">
        <v>280</v>
      </c>
      <c r="F323">
        <v>0</v>
      </c>
      <c r="G323">
        <v>285</v>
      </c>
      <c r="H323">
        <v>240</v>
      </c>
      <c r="I323">
        <v>195</v>
      </c>
      <c r="J323" s="600">
        <v>720</v>
      </c>
      <c r="K323" s="7">
        <f t="shared" si="54"/>
        <v>15</v>
      </c>
      <c r="L323" s="7">
        <f t="shared" si="55"/>
        <v>0</v>
      </c>
      <c r="M323" s="243">
        <f t="shared" si="56"/>
        <v>0</v>
      </c>
      <c r="N323" s="243">
        <f>INDEX($AN$4:$AN21219,MATCH($A323,$AH$4:$AH$2000,0))</f>
        <v>157318.2935166347</v>
      </c>
      <c r="O323" s="243">
        <f t="shared" si="65"/>
        <v>132478.56296137659</v>
      </c>
      <c r="P323" s="243">
        <f t="shared" si="57"/>
        <v>107638.83240611848</v>
      </c>
      <c r="Q323" s="243">
        <f t="shared" si="58"/>
        <v>0</v>
      </c>
      <c r="R323" s="243">
        <f t="shared" si="59"/>
        <v>0</v>
      </c>
      <c r="S323" s="243">
        <f t="shared" si="66"/>
        <v>0</v>
      </c>
      <c r="T323" s="243">
        <f t="shared" si="60"/>
        <v>0</v>
      </c>
      <c r="AA323" s="6">
        <v>11</v>
      </c>
      <c r="AB323" t="s">
        <v>80</v>
      </c>
      <c r="AC323" t="s">
        <v>211</v>
      </c>
      <c r="AD323">
        <v>0</v>
      </c>
      <c r="AE323" t="s">
        <v>1026</v>
      </c>
      <c r="AF323">
        <v>13</v>
      </c>
      <c r="AH323">
        <v>410</v>
      </c>
      <c r="AI323" t="s">
        <v>80</v>
      </c>
      <c r="AJ323" t="s">
        <v>1032</v>
      </c>
      <c r="AK323">
        <v>0</v>
      </c>
      <c r="AL323" t="s">
        <v>280</v>
      </c>
      <c r="AM323" s="314">
        <v>0</v>
      </c>
      <c r="AN323" s="314">
        <v>157318.2935166347</v>
      </c>
      <c r="AO323" s="314">
        <v>132478.56296137659</v>
      </c>
      <c r="AP323" s="314">
        <v>107638.83240611848</v>
      </c>
      <c r="AQ323" s="314">
        <v>0</v>
      </c>
      <c r="AR323" s="314">
        <v>20.988223400163925</v>
      </c>
      <c r="AS323" s="314">
        <v>17.674293389611726</v>
      </c>
      <c r="AT323" s="314">
        <v>14.360363379059528</v>
      </c>
      <c r="AU323" s="314">
        <v>0</v>
      </c>
      <c r="AV323" s="314">
        <v>0</v>
      </c>
      <c r="AW323" s="314">
        <v>0</v>
      </c>
      <c r="AX323">
        <v>0</v>
      </c>
    </row>
    <row r="324" spans="1:50" x14ac:dyDescent="0.35">
      <c r="A324">
        <v>413</v>
      </c>
      <c r="B324" t="s">
        <v>80</v>
      </c>
      <c r="C324" t="s">
        <v>1032</v>
      </c>
      <c r="D324">
        <v>0</v>
      </c>
      <c r="E324" t="s">
        <v>281</v>
      </c>
      <c r="F324">
        <v>0</v>
      </c>
      <c r="G324">
        <v>17984</v>
      </c>
      <c r="H324">
        <v>18055</v>
      </c>
      <c r="I324">
        <v>18014</v>
      </c>
      <c r="J324" s="600">
        <v>54053</v>
      </c>
      <c r="K324" s="7">
        <f t="shared" si="54"/>
        <v>15</v>
      </c>
      <c r="L324" s="7">
        <f t="shared" si="55"/>
        <v>0</v>
      </c>
      <c r="M324" s="243">
        <f t="shared" si="56"/>
        <v>0</v>
      </c>
      <c r="N324" s="243">
        <f>INDEX($AN$4:$AN21220,MATCH($A324,$AH$4:$AH$2000,0))</f>
        <v>12654005.955257898</v>
      </c>
      <c r="O324" s="243">
        <f t="shared" ref="O324:O343" si="67">INDEX($AO$4:$AO$2000,MATCH($A324,$AH$4:$AH$2000,0))</f>
        <v>12703963.385352612</v>
      </c>
      <c r="P324" s="243">
        <f t="shared" si="57"/>
        <v>12675114.728537355</v>
      </c>
      <c r="Q324" s="243">
        <f t="shared" si="58"/>
        <v>0</v>
      </c>
      <c r="R324" s="243">
        <f t="shared" si="59"/>
        <v>-195866.75966220032</v>
      </c>
      <c r="S324" s="243">
        <f t="shared" ref="S324:S343" si="68">INDEX($AW$4:$AW$2000,MATCH($A324,$AH$4:$AH$2000,0))</f>
        <v>-196640.03256789516</v>
      </c>
      <c r="T324" s="243">
        <f t="shared" si="60"/>
        <v>-196193.4946927756</v>
      </c>
      <c r="AA324" s="6">
        <v>12</v>
      </c>
      <c r="AB324" t="s">
        <v>80</v>
      </c>
      <c r="AC324" t="s">
        <v>211</v>
      </c>
      <c r="AD324">
        <v>0</v>
      </c>
      <c r="AE324" t="s">
        <v>1027</v>
      </c>
      <c r="AF324">
        <v>13</v>
      </c>
      <c r="AH324">
        <v>413</v>
      </c>
      <c r="AI324" t="s">
        <v>80</v>
      </c>
      <c r="AJ324" t="s">
        <v>1032</v>
      </c>
      <c r="AK324">
        <v>0</v>
      </c>
      <c r="AL324" t="s">
        <v>281</v>
      </c>
      <c r="AM324" s="314">
        <v>0</v>
      </c>
      <c r="AN324" s="314">
        <v>12654005.955257898</v>
      </c>
      <c r="AO324" s="314">
        <v>12703963.385352612</v>
      </c>
      <c r="AP324" s="314">
        <v>12675114.728537355</v>
      </c>
      <c r="AQ324" s="314">
        <v>0</v>
      </c>
      <c r="AR324" s="314">
        <v>2206.8722860851822</v>
      </c>
      <c r="AS324" s="314">
        <v>2215.5849157733523</v>
      </c>
      <c r="AT324" s="314">
        <v>2210.5536789111698</v>
      </c>
      <c r="AU324" s="314">
        <v>0</v>
      </c>
      <c r="AV324" s="314">
        <v>-195866.75966220032</v>
      </c>
      <c r="AW324" s="314">
        <v>-196640.03256789516</v>
      </c>
      <c r="AX324">
        <v>-196193.4946927756</v>
      </c>
    </row>
    <row r="325" spans="1:50" x14ac:dyDescent="0.35">
      <c r="A325">
        <v>415</v>
      </c>
      <c r="B325" t="s">
        <v>80</v>
      </c>
      <c r="C325" t="s">
        <v>1032</v>
      </c>
      <c r="D325">
        <v>0</v>
      </c>
      <c r="E325" t="s">
        <v>1024</v>
      </c>
      <c r="F325">
        <v>0</v>
      </c>
      <c r="G325">
        <v>17984</v>
      </c>
      <c r="H325">
        <v>0</v>
      </c>
      <c r="I325">
        <v>0</v>
      </c>
      <c r="J325" s="600">
        <v>17984</v>
      </c>
      <c r="K325" s="7">
        <f t="shared" ref="K325:K388" si="69">INDEX($AF$4:$AF$2000,MATCH(A325,$AA$4:$AA$2000,0))</f>
        <v>15</v>
      </c>
      <c r="L325" s="7">
        <f t="shared" ref="L325:L388" si="70">INDEX($AG$4:$AG$2000,MATCH(A325,$AA$4:$AA$2000,0))</f>
        <v>1</v>
      </c>
      <c r="M325" s="243">
        <f t="shared" ref="M325:M388" si="71">INDEX($AM$4:$AM$2000,MATCH($A325,$AH$4:$AH$2000,0))</f>
        <v>0</v>
      </c>
      <c r="N325" s="243">
        <f>INDEX($AN$4:$AN21221,MATCH($A325,$AH$4:$AH$2000,0))</f>
        <v>2175542.6140428483</v>
      </c>
      <c r="O325" s="243">
        <f t="shared" si="67"/>
        <v>0</v>
      </c>
      <c r="P325" s="243">
        <f t="shared" ref="P325:P388" si="72">INDEX($AP$4:$AP$2000,MATCH($A325,$AH$4:$AH$2000,0))</f>
        <v>0</v>
      </c>
      <c r="Q325" s="243">
        <f t="shared" ref="Q325:Q388" si="73">INDEX($AU$4:$AU$2000,MATCH($A325,$AH$4:$AH$2000,0))</f>
        <v>0</v>
      </c>
      <c r="R325" s="243">
        <f t="shared" ref="R325:R388" si="74">INDEX($AV$4:$AV$2000,MATCH($A325,$AH$4:$AH$2000,0))</f>
        <v>0</v>
      </c>
      <c r="S325" s="243">
        <f t="shared" si="68"/>
        <v>0</v>
      </c>
      <c r="T325" s="243">
        <f t="shared" ref="T325:T388" si="75">INDEX($AX$4:$AX$2000,MATCH($A325,$AH$4:$AH$2000,0))</f>
        <v>0</v>
      </c>
      <c r="AA325" s="6">
        <v>13</v>
      </c>
      <c r="AB325" t="s">
        <v>80</v>
      </c>
      <c r="AC325" t="s">
        <v>211</v>
      </c>
      <c r="AD325">
        <v>0</v>
      </c>
      <c r="AE325" t="s">
        <v>1028</v>
      </c>
      <c r="AF325">
        <v>13</v>
      </c>
      <c r="AH325">
        <v>415</v>
      </c>
      <c r="AI325" t="s">
        <v>80</v>
      </c>
      <c r="AJ325" t="s">
        <v>1032</v>
      </c>
      <c r="AK325">
        <v>0</v>
      </c>
      <c r="AL325" t="s">
        <v>1024</v>
      </c>
      <c r="AM325" s="314">
        <v>0</v>
      </c>
      <c r="AN325" s="314">
        <v>2175542.6140428483</v>
      </c>
      <c r="AO325" s="314">
        <v>0</v>
      </c>
      <c r="AP325" s="314">
        <v>0</v>
      </c>
      <c r="AQ325" s="314">
        <v>0</v>
      </c>
      <c r="AR325" s="314">
        <v>433.98995929779801</v>
      </c>
      <c r="AS325" s="314">
        <v>0</v>
      </c>
      <c r="AT325" s="314">
        <v>0</v>
      </c>
      <c r="AU325" s="314">
        <v>0</v>
      </c>
      <c r="AV325" s="314">
        <v>0</v>
      </c>
      <c r="AW325" s="314">
        <v>0</v>
      </c>
      <c r="AX325">
        <v>0</v>
      </c>
    </row>
    <row r="326" spans="1:50" x14ac:dyDescent="0.35">
      <c r="A326">
        <v>416</v>
      </c>
      <c r="B326" t="s">
        <v>80</v>
      </c>
      <c r="C326" t="s">
        <v>1032</v>
      </c>
      <c r="D326">
        <v>0</v>
      </c>
      <c r="E326" t="s">
        <v>1025</v>
      </c>
      <c r="F326">
        <v>0</v>
      </c>
      <c r="G326">
        <v>0</v>
      </c>
      <c r="H326">
        <v>11000</v>
      </c>
      <c r="I326">
        <v>0</v>
      </c>
      <c r="J326" s="600">
        <v>11000</v>
      </c>
      <c r="K326" s="7">
        <f t="shared" si="69"/>
        <v>15</v>
      </c>
      <c r="L326" s="7">
        <f t="shared" si="70"/>
        <v>0</v>
      </c>
      <c r="M326" s="243">
        <f t="shared" si="71"/>
        <v>0</v>
      </c>
      <c r="N326" s="243">
        <f>INDEX($AN$4:$AN21222,MATCH($A326,$AH$4:$AH$2000,0))</f>
        <v>0</v>
      </c>
      <c r="O326" s="243">
        <f t="shared" si="67"/>
        <v>592046.44034542365</v>
      </c>
      <c r="P326" s="243">
        <f t="shared" si="72"/>
        <v>0</v>
      </c>
      <c r="Q326" s="243">
        <f t="shared" si="73"/>
        <v>0</v>
      </c>
      <c r="R326" s="243">
        <f t="shared" si="74"/>
        <v>0</v>
      </c>
      <c r="S326" s="243">
        <f t="shared" si="68"/>
        <v>0</v>
      </c>
      <c r="T326" s="243">
        <f t="shared" si="75"/>
        <v>0</v>
      </c>
      <c r="AA326" s="6">
        <v>21</v>
      </c>
      <c r="AB326" t="s">
        <v>80</v>
      </c>
      <c r="AC326" t="s">
        <v>212</v>
      </c>
      <c r="AD326">
        <v>0</v>
      </c>
      <c r="AE326" t="s">
        <v>1029</v>
      </c>
      <c r="AF326">
        <v>5</v>
      </c>
      <c r="AH326">
        <v>416</v>
      </c>
      <c r="AI326" t="s">
        <v>80</v>
      </c>
      <c r="AJ326" t="s">
        <v>1032</v>
      </c>
      <c r="AK326">
        <v>0</v>
      </c>
      <c r="AL326" t="s">
        <v>1025</v>
      </c>
      <c r="AM326" s="314">
        <v>0</v>
      </c>
      <c r="AN326" s="314">
        <v>0</v>
      </c>
      <c r="AO326" s="314">
        <v>592046.44034542365</v>
      </c>
      <c r="AP326" s="314">
        <v>0</v>
      </c>
      <c r="AQ326" s="314">
        <v>0</v>
      </c>
      <c r="AR326" s="314">
        <v>0</v>
      </c>
      <c r="AS326" s="314">
        <v>250.89875174507702</v>
      </c>
      <c r="AT326" s="314">
        <v>0</v>
      </c>
      <c r="AU326" s="314">
        <v>0</v>
      </c>
      <c r="AV326" s="314">
        <v>0</v>
      </c>
      <c r="AW326" s="314">
        <v>0</v>
      </c>
      <c r="AX326">
        <v>0</v>
      </c>
    </row>
    <row r="327" spans="1:50" x14ac:dyDescent="0.35">
      <c r="A327">
        <v>417</v>
      </c>
      <c r="B327" t="s">
        <v>80</v>
      </c>
      <c r="C327" t="s">
        <v>1032</v>
      </c>
      <c r="D327">
        <v>0</v>
      </c>
      <c r="E327" t="s">
        <v>1053</v>
      </c>
      <c r="F327">
        <v>0</v>
      </c>
      <c r="G327">
        <v>0</v>
      </c>
      <c r="H327">
        <v>0</v>
      </c>
      <c r="I327">
        <v>11000</v>
      </c>
      <c r="J327" s="600">
        <v>11000</v>
      </c>
      <c r="K327" s="7">
        <f t="shared" si="69"/>
        <v>15</v>
      </c>
      <c r="L327" s="7">
        <f t="shared" si="70"/>
        <v>0</v>
      </c>
      <c r="M327" s="243">
        <f t="shared" si="71"/>
        <v>0</v>
      </c>
      <c r="N327" s="243">
        <f>INDEX($AN$4:$AN21223,MATCH($A327,$AH$4:$AH$2000,0))</f>
        <v>0</v>
      </c>
      <c r="O327" s="243">
        <f t="shared" si="67"/>
        <v>0</v>
      </c>
      <c r="P327" s="243">
        <f t="shared" si="72"/>
        <v>1184773.0773254784</v>
      </c>
      <c r="Q327" s="243">
        <f t="shared" si="73"/>
        <v>0</v>
      </c>
      <c r="R327" s="243">
        <f t="shared" si="74"/>
        <v>0</v>
      </c>
      <c r="S327" s="243">
        <f t="shared" si="68"/>
        <v>0</v>
      </c>
      <c r="T327" s="243">
        <f t="shared" si="75"/>
        <v>0</v>
      </c>
      <c r="AA327" s="6">
        <v>22</v>
      </c>
      <c r="AB327" t="s">
        <v>80</v>
      </c>
      <c r="AC327" t="s">
        <v>212</v>
      </c>
      <c r="AD327">
        <v>0</v>
      </c>
      <c r="AE327" t="s">
        <v>1030</v>
      </c>
      <c r="AF327">
        <v>5</v>
      </c>
      <c r="AH327">
        <v>417</v>
      </c>
      <c r="AI327" t="s">
        <v>80</v>
      </c>
      <c r="AJ327" t="s">
        <v>1032</v>
      </c>
      <c r="AK327">
        <v>0</v>
      </c>
      <c r="AL327" t="s">
        <v>1053</v>
      </c>
      <c r="AM327" s="314">
        <v>0</v>
      </c>
      <c r="AN327" s="314">
        <v>0</v>
      </c>
      <c r="AO327" s="314">
        <v>0</v>
      </c>
      <c r="AP327" s="314">
        <v>1184773.0773254784</v>
      </c>
      <c r="AQ327" s="314">
        <v>0</v>
      </c>
      <c r="AR327" s="314">
        <v>0</v>
      </c>
      <c r="AS327" s="314">
        <v>0</v>
      </c>
      <c r="AT327" s="314">
        <v>236.34545988051337</v>
      </c>
      <c r="AU327" s="314">
        <v>0</v>
      </c>
      <c r="AV327" s="314">
        <v>0</v>
      </c>
      <c r="AW327" s="314">
        <v>0</v>
      </c>
      <c r="AX327">
        <v>0</v>
      </c>
    </row>
    <row r="328" spans="1:50" x14ac:dyDescent="0.35">
      <c r="A328">
        <v>303</v>
      </c>
      <c r="B328" t="s">
        <v>80</v>
      </c>
      <c r="C328" t="s">
        <v>1054</v>
      </c>
      <c r="D328">
        <v>0</v>
      </c>
      <c r="E328" t="s">
        <v>82</v>
      </c>
      <c r="F328">
        <v>215</v>
      </c>
      <c r="G328">
        <v>215</v>
      </c>
      <c r="H328">
        <v>155</v>
      </c>
      <c r="I328">
        <v>0</v>
      </c>
      <c r="J328" s="600">
        <v>585</v>
      </c>
      <c r="K328" s="7">
        <f t="shared" si="69"/>
        <v>15</v>
      </c>
      <c r="L328" s="7">
        <f t="shared" si="70"/>
        <v>0</v>
      </c>
      <c r="M328" s="243">
        <f t="shared" si="71"/>
        <v>162182.52473441881</v>
      </c>
      <c r="N328" s="243">
        <f>INDEX($AN$4:$AN21224,MATCH($A328,$AH$4:$AH$2000,0))</f>
        <v>162182.52473441881</v>
      </c>
      <c r="O328" s="243">
        <f t="shared" si="67"/>
        <v>116922.28527365076</v>
      </c>
      <c r="P328" s="243">
        <f t="shared" si="72"/>
        <v>0</v>
      </c>
      <c r="Q328" s="243">
        <f t="shared" si="73"/>
        <v>-2680.2457839881554</v>
      </c>
      <c r="R328" s="243">
        <f t="shared" si="74"/>
        <v>-2680.2457839881554</v>
      </c>
      <c r="S328" s="243">
        <f t="shared" si="68"/>
        <v>-1932.270216363554</v>
      </c>
      <c r="T328" s="243">
        <f t="shared" si="75"/>
        <v>0</v>
      </c>
      <c r="AA328" s="6">
        <v>23</v>
      </c>
      <c r="AB328" t="s">
        <v>80</v>
      </c>
      <c r="AC328" t="s">
        <v>212</v>
      </c>
      <c r="AD328">
        <v>0</v>
      </c>
      <c r="AE328" t="s">
        <v>1031</v>
      </c>
      <c r="AF328">
        <v>5</v>
      </c>
      <c r="AH328">
        <v>303</v>
      </c>
      <c r="AI328" t="s">
        <v>80</v>
      </c>
      <c r="AJ328" t="s">
        <v>1054</v>
      </c>
      <c r="AK328">
        <v>0</v>
      </c>
      <c r="AL328" t="s">
        <v>82</v>
      </c>
      <c r="AM328" s="314">
        <v>162182.52473441881</v>
      </c>
      <c r="AN328" s="314">
        <v>162182.52473441881</v>
      </c>
      <c r="AO328" s="314">
        <v>116922.28527365076</v>
      </c>
      <c r="AP328" s="314">
        <v>0</v>
      </c>
      <c r="AQ328" s="314">
        <v>33.2482847687508</v>
      </c>
      <c r="AR328" s="314">
        <v>33.2482847687508</v>
      </c>
      <c r="AS328" s="314">
        <v>23.969693670494763</v>
      </c>
      <c r="AT328" s="314">
        <v>0</v>
      </c>
      <c r="AU328" s="314">
        <v>-2680.2457839881554</v>
      </c>
      <c r="AV328" s="314">
        <v>-2680.2457839881554</v>
      </c>
      <c r="AW328" s="314">
        <v>-1932.270216363554</v>
      </c>
      <c r="AX328">
        <v>0</v>
      </c>
    </row>
    <row r="329" spans="1:50" x14ac:dyDescent="0.35">
      <c r="A329">
        <v>355</v>
      </c>
      <c r="B329" t="s">
        <v>80</v>
      </c>
      <c r="C329" t="s">
        <v>1054</v>
      </c>
      <c r="D329">
        <v>0</v>
      </c>
      <c r="E329" t="s">
        <v>83</v>
      </c>
      <c r="F329">
        <v>6</v>
      </c>
      <c r="G329">
        <v>0</v>
      </c>
      <c r="H329">
        <v>0</v>
      </c>
      <c r="I329">
        <v>0</v>
      </c>
      <c r="J329" s="600">
        <v>6</v>
      </c>
      <c r="K329" s="7">
        <f t="shared" si="69"/>
        <v>15</v>
      </c>
      <c r="L329" s="7">
        <f t="shared" si="70"/>
        <v>1</v>
      </c>
      <c r="M329" s="243">
        <f t="shared" si="71"/>
        <v>465.02058770980443</v>
      </c>
      <c r="N329" s="243">
        <f>INDEX($AN$4:$AN21225,MATCH($A329,$AH$4:$AH$2000,0))</f>
        <v>0</v>
      </c>
      <c r="O329" s="243">
        <f t="shared" si="67"/>
        <v>0</v>
      </c>
      <c r="P329" s="243">
        <f t="shared" si="72"/>
        <v>0</v>
      </c>
      <c r="Q329" s="243">
        <f t="shared" si="73"/>
        <v>-1.9830642832712067</v>
      </c>
      <c r="R329" s="243">
        <f t="shared" si="74"/>
        <v>0</v>
      </c>
      <c r="S329" s="243">
        <f t="shared" si="68"/>
        <v>0</v>
      </c>
      <c r="T329" s="243">
        <f t="shared" si="75"/>
        <v>0</v>
      </c>
      <c r="AA329" s="6">
        <v>500</v>
      </c>
      <c r="AB329" t="s">
        <v>0</v>
      </c>
      <c r="AC329" t="s">
        <v>33</v>
      </c>
      <c r="AD329" t="s">
        <v>34</v>
      </c>
      <c r="AE329" t="s">
        <v>43</v>
      </c>
      <c r="AF329">
        <v>4</v>
      </c>
      <c r="AG329">
        <v>0</v>
      </c>
      <c r="AH329">
        <v>355</v>
      </c>
      <c r="AI329" t="s">
        <v>80</v>
      </c>
      <c r="AJ329" t="s">
        <v>1054</v>
      </c>
      <c r="AK329">
        <v>0</v>
      </c>
      <c r="AL329" t="s">
        <v>83</v>
      </c>
      <c r="AM329" s="314">
        <v>465.02058770980443</v>
      </c>
      <c r="AN329" s="314">
        <v>0</v>
      </c>
      <c r="AO329" s="314">
        <v>0</v>
      </c>
      <c r="AP329" s="314">
        <v>0</v>
      </c>
      <c r="AQ329" s="314">
        <v>8.4512752670732105E-2</v>
      </c>
      <c r="AR329" s="314">
        <v>0</v>
      </c>
      <c r="AS329" s="314">
        <v>0</v>
      </c>
      <c r="AT329" s="314">
        <v>0</v>
      </c>
      <c r="AU329" s="314">
        <v>-1.9830642832712067</v>
      </c>
      <c r="AV329" s="314">
        <v>0</v>
      </c>
      <c r="AW329" s="314">
        <v>0</v>
      </c>
      <c r="AX329">
        <v>0</v>
      </c>
    </row>
    <row r="330" spans="1:50" x14ac:dyDescent="0.35">
      <c r="A330">
        <v>328</v>
      </c>
      <c r="B330" t="s">
        <v>80</v>
      </c>
      <c r="C330" t="s">
        <v>1054</v>
      </c>
      <c r="D330">
        <v>0</v>
      </c>
      <c r="E330" t="s">
        <v>84</v>
      </c>
      <c r="F330">
        <v>87</v>
      </c>
      <c r="G330">
        <v>0</v>
      </c>
      <c r="H330">
        <v>0</v>
      </c>
      <c r="I330">
        <v>0</v>
      </c>
      <c r="J330" s="600">
        <v>87</v>
      </c>
      <c r="K330" s="7">
        <f t="shared" si="69"/>
        <v>15</v>
      </c>
      <c r="L330" s="7">
        <f t="shared" si="70"/>
        <v>1</v>
      </c>
      <c r="M330" s="243">
        <f t="shared" si="71"/>
        <v>12205.081109694122</v>
      </c>
      <c r="N330" s="243">
        <f>INDEX($AN$4:$AN21226,MATCH($A330,$AH$4:$AH$2000,0))</f>
        <v>0</v>
      </c>
      <c r="O330" s="243">
        <f t="shared" si="67"/>
        <v>0</v>
      </c>
      <c r="P330" s="243">
        <f t="shared" si="72"/>
        <v>0</v>
      </c>
      <c r="Q330" s="243">
        <f t="shared" si="73"/>
        <v>-85.444221859280802</v>
      </c>
      <c r="R330" s="243">
        <f t="shared" si="74"/>
        <v>0</v>
      </c>
      <c r="S330" s="243">
        <f t="shared" si="68"/>
        <v>0</v>
      </c>
      <c r="T330" s="243">
        <f t="shared" si="75"/>
        <v>0</v>
      </c>
      <c r="AA330" s="6">
        <v>1049</v>
      </c>
      <c r="AB330" t="s">
        <v>0</v>
      </c>
      <c r="AC330" t="s">
        <v>1864</v>
      </c>
      <c r="AD330" t="s">
        <v>1136</v>
      </c>
      <c r="AE330" t="s">
        <v>3</v>
      </c>
      <c r="AF330">
        <v>10</v>
      </c>
      <c r="AG330">
        <v>0</v>
      </c>
      <c r="AH330">
        <v>328</v>
      </c>
      <c r="AI330" t="s">
        <v>80</v>
      </c>
      <c r="AJ330" t="s">
        <v>1054</v>
      </c>
      <c r="AK330">
        <v>0</v>
      </c>
      <c r="AL330" t="s">
        <v>84</v>
      </c>
      <c r="AM330" s="314">
        <v>12205.081109694122</v>
      </c>
      <c r="AN330" s="314">
        <v>0</v>
      </c>
      <c r="AO330" s="314">
        <v>0</v>
      </c>
      <c r="AP330" s="314">
        <v>0</v>
      </c>
      <c r="AQ330" s="314">
        <v>2.4932998831812201</v>
      </c>
      <c r="AR330" s="314">
        <v>0</v>
      </c>
      <c r="AS330" s="314">
        <v>0</v>
      </c>
      <c r="AT330" s="314">
        <v>0</v>
      </c>
      <c r="AU330" s="314">
        <v>-85.444221859280802</v>
      </c>
      <c r="AV330" s="314">
        <v>0</v>
      </c>
      <c r="AW330" s="314">
        <v>0</v>
      </c>
      <c r="AX330">
        <v>0</v>
      </c>
    </row>
    <row r="331" spans="1:50" x14ac:dyDescent="0.35">
      <c r="A331">
        <v>339</v>
      </c>
      <c r="B331" t="s">
        <v>80</v>
      </c>
      <c r="C331" t="s">
        <v>1054</v>
      </c>
      <c r="D331">
        <v>0</v>
      </c>
      <c r="E331" t="s">
        <v>85</v>
      </c>
      <c r="F331">
        <v>100</v>
      </c>
      <c r="G331">
        <v>0</v>
      </c>
      <c r="H331">
        <v>0</v>
      </c>
      <c r="I331">
        <v>0</v>
      </c>
      <c r="J331" s="600">
        <v>100</v>
      </c>
      <c r="K331" s="7">
        <f t="shared" si="69"/>
        <v>15</v>
      </c>
      <c r="L331" s="7">
        <f t="shared" si="70"/>
        <v>1</v>
      </c>
      <c r="M331" s="243">
        <f t="shared" si="71"/>
        <v>14168.524683013737</v>
      </c>
      <c r="N331" s="243">
        <f>INDEX($AN$4:$AN21227,MATCH($A331,$AH$4:$AH$2000,0))</f>
        <v>0</v>
      </c>
      <c r="O331" s="243">
        <f t="shared" si="67"/>
        <v>0</v>
      </c>
      <c r="P331" s="243">
        <f t="shared" si="72"/>
        <v>0</v>
      </c>
      <c r="Q331" s="243">
        <f t="shared" si="73"/>
        <v>-94.061307216995132</v>
      </c>
      <c r="R331" s="243">
        <f t="shared" si="74"/>
        <v>0</v>
      </c>
      <c r="S331" s="243">
        <f t="shared" si="68"/>
        <v>0</v>
      </c>
      <c r="T331" s="243">
        <f t="shared" si="75"/>
        <v>0</v>
      </c>
      <c r="AA331" s="6">
        <v>440</v>
      </c>
      <c r="AB331" t="s">
        <v>80</v>
      </c>
      <c r="AC331" t="s">
        <v>1032</v>
      </c>
      <c r="AD331" t="s">
        <v>4</v>
      </c>
      <c r="AE331" t="s">
        <v>82</v>
      </c>
      <c r="AF331">
        <v>15</v>
      </c>
      <c r="AH331">
        <v>339</v>
      </c>
      <c r="AI331" t="s">
        <v>80</v>
      </c>
      <c r="AJ331" t="s">
        <v>1054</v>
      </c>
      <c r="AK331">
        <v>0</v>
      </c>
      <c r="AL331" t="s">
        <v>85</v>
      </c>
      <c r="AM331" s="314">
        <v>14168.524683013737</v>
      </c>
      <c r="AN331" s="314">
        <v>0</v>
      </c>
      <c r="AO331" s="314">
        <v>0</v>
      </c>
      <c r="AP331" s="314">
        <v>0</v>
      </c>
      <c r="AQ331" s="314">
        <v>2.8290775742547529</v>
      </c>
      <c r="AR331" s="314">
        <v>0</v>
      </c>
      <c r="AS331" s="314">
        <v>0</v>
      </c>
      <c r="AT331" s="314">
        <v>0</v>
      </c>
      <c r="AU331" s="314">
        <v>-94.061307216995132</v>
      </c>
      <c r="AV331" s="314">
        <v>0</v>
      </c>
      <c r="AW331" s="314">
        <v>0</v>
      </c>
      <c r="AX331">
        <v>0</v>
      </c>
    </row>
    <row r="332" spans="1:50" x14ac:dyDescent="0.35">
      <c r="A332">
        <v>356</v>
      </c>
      <c r="B332" t="s">
        <v>80</v>
      </c>
      <c r="C332" t="s">
        <v>1054</v>
      </c>
      <c r="D332">
        <v>0</v>
      </c>
      <c r="E332" t="s">
        <v>86</v>
      </c>
      <c r="F332">
        <v>16</v>
      </c>
      <c r="G332">
        <v>0</v>
      </c>
      <c r="H332">
        <v>0</v>
      </c>
      <c r="I332">
        <v>0</v>
      </c>
      <c r="J332" s="600">
        <v>16</v>
      </c>
      <c r="K332" s="7">
        <f t="shared" si="69"/>
        <v>15</v>
      </c>
      <c r="L332" s="7">
        <f t="shared" si="70"/>
        <v>1</v>
      </c>
      <c r="M332" s="243">
        <f t="shared" si="71"/>
        <v>3223.1551032617481</v>
      </c>
      <c r="N332" s="243">
        <f>INDEX($AN$4:$AN21228,MATCH($A332,$AH$4:$AH$2000,0))</f>
        <v>0</v>
      </c>
      <c r="O332" s="243">
        <f t="shared" si="67"/>
        <v>0</v>
      </c>
      <c r="P332" s="243">
        <f t="shared" si="72"/>
        <v>0</v>
      </c>
      <c r="Q332" s="243">
        <f t="shared" si="73"/>
        <v>-12.479095010872452</v>
      </c>
      <c r="R332" s="243">
        <f t="shared" si="74"/>
        <v>0</v>
      </c>
      <c r="S332" s="243">
        <f t="shared" si="68"/>
        <v>0</v>
      </c>
      <c r="T332" s="243">
        <f t="shared" si="75"/>
        <v>0</v>
      </c>
      <c r="AA332" s="6">
        <v>464</v>
      </c>
      <c r="AB332" t="s">
        <v>80</v>
      </c>
      <c r="AC332" t="s">
        <v>1032</v>
      </c>
      <c r="AD332" t="s">
        <v>4</v>
      </c>
      <c r="AE332" t="s">
        <v>83</v>
      </c>
      <c r="AF332">
        <v>15</v>
      </c>
      <c r="AG332">
        <v>1</v>
      </c>
      <c r="AH332">
        <v>356</v>
      </c>
      <c r="AI332" t="s">
        <v>80</v>
      </c>
      <c r="AJ332" t="s">
        <v>1054</v>
      </c>
      <c r="AK332">
        <v>0</v>
      </c>
      <c r="AL332" t="s">
        <v>86</v>
      </c>
      <c r="AM332" s="314">
        <v>3223.1551032617481</v>
      </c>
      <c r="AN332" s="314">
        <v>0</v>
      </c>
      <c r="AO332" s="314">
        <v>0</v>
      </c>
      <c r="AP332" s="314">
        <v>0</v>
      </c>
      <c r="AQ332" s="314">
        <v>0.51631579181379994</v>
      </c>
      <c r="AR332" s="314">
        <v>0</v>
      </c>
      <c r="AS332" s="314">
        <v>0</v>
      </c>
      <c r="AT332" s="314">
        <v>0</v>
      </c>
      <c r="AU332" s="314">
        <v>-12.479095010872452</v>
      </c>
      <c r="AV332" s="314">
        <v>0</v>
      </c>
      <c r="AW332" s="314">
        <v>0</v>
      </c>
      <c r="AX332">
        <v>0</v>
      </c>
    </row>
    <row r="333" spans="1:50" x14ac:dyDescent="0.35">
      <c r="A333">
        <v>354</v>
      </c>
      <c r="B333" t="s">
        <v>80</v>
      </c>
      <c r="C333" t="s">
        <v>1054</v>
      </c>
      <c r="D333">
        <v>0</v>
      </c>
      <c r="E333" t="s">
        <v>87</v>
      </c>
      <c r="F333">
        <v>88</v>
      </c>
      <c r="G333">
        <v>0</v>
      </c>
      <c r="H333">
        <v>0</v>
      </c>
      <c r="I333">
        <v>0</v>
      </c>
      <c r="J333" s="600">
        <v>88</v>
      </c>
      <c r="K333" s="7">
        <f t="shared" si="69"/>
        <v>15</v>
      </c>
      <c r="L333" s="7">
        <f t="shared" si="70"/>
        <v>0</v>
      </c>
      <c r="M333" s="243">
        <f t="shared" si="71"/>
        <v>4297.924295442137</v>
      </c>
      <c r="N333" s="243">
        <f>INDEX($AN$4:$AN21229,MATCH($A333,$AH$4:$AH$2000,0))</f>
        <v>0</v>
      </c>
      <c r="O333" s="243">
        <f t="shared" si="67"/>
        <v>0</v>
      </c>
      <c r="P333" s="243">
        <f t="shared" si="72"/>
        <v>0</v>
      </c>
      <c r="Q333" s="243">
        <f t="shared" si="73"/>
        <v>-100.96128929880616</v>
      </c>
      <c r="R333" s="243">
        <f t="shared" si="74"/>
        <v>0</v>
      </c>
      <c r="S333" s="243">
        <f t="shared" si="68"/>
        <v>0</v>
      </c>
      <c r="T333" s="243">
        <f t="shared" si="75"/>
        <v>0</v>
      </c>
      <c r="AA333" s="6">
        <v>457</v>
      </c>
      <c r="AB333" t="s">
        <v>80</v>
      </c>
      <c r="AC333" t="s">
        <v>1032</v>
      </c>
      <c r="AD333" t="s">
        <v>4</v>
      </c>
      <c r="AE333" t="s">
        <v>84</v>
      </c>
      <c r="AF333">
        <v>15</v>
      </c>
      <c r="AG333">
        <v>1</v>
      </c>
      <c r="AH333">
        <v>354</v>
      </c>
      <c r="AI333" t="s">
        <v>80</v>
      </c>
      <c r="AJ333" t="s">
        <v>1054</v>
      </c>
      <c r="AK333">
        <v>0</v>
      </c>
      <c r="AL333" t="s">
        <v>87</v>
      </c>
      <c r="AM333" s="314">
        <v>4297.924295442137</v>
      </c>
      <c r="AN333" s="314">
        <v>0</v>
      </c>
      <c r="AO333" s="314">
        <v>0</v>
      </c>
      <c r="AP333" s="314">
        <v>0</v>
      </c>
      <c r="AQ333" s="314">
        <v>0.80502187957287896</v>
      </c>
      <c r="AR333" s="314">
        <v>0</v>
      </c>
      <c r="AS333" s="314">
        <v>0</v>
      </c>
      <c r="AT333" s="314">
        <v>0</v>
      </c>
      <c r="AU333" s="314">
        <v>-100.96128929880616</v>
      </c>
      <c r="AV333" s="314">
        <v>0</v>
      </c>
      <c r="AW333" s="314">
        <v>0</v>
      </c>
      <c r="AX333">
        <v>0</v>
      </c>
    </row>
    <row r="334" spans="1:50" x14ac:dyDescent="0.35">
      <c r="A334">
        <v>248</v>
      </c>
      <c r="B334" t="s">
        <v>80</v>
      </c>
      <c r="C334" t="s">
        <v>1054</v>
      </c>
      <c r="D334">
        <v>0</v>
      </c>
      <c r="E334" t="s">
        <v>88</v>
      </c>
      <c r="F334">
        <v>2</v>
      </c>
      <c r="G334">
        <v>0</v>
      </c>
      <c r="H334">
        <v>0</v>
      </c>
      <c r="I334">
        <v>0</v>
      </c>
      <c r="J334" s="600">
        <v>2</v>
      </c>
      <c r="K334" s="7">
        <f t="shared" si="69"/>
        <v>15</v>
      </c>
      <c r="L334" s="7">
        <f t="shared" si="70"/>
        <v>1</v>
      </c>
      <c r="M334" s="243">
        <f t="shared" si="71"/>
        <v>310.49373738198096</v>
      </c>
      <c r="N334" s="243">
        <f>INDEX($AN$4:$AN21230,MATCH($A334,$AH$4:$AH$2000,0))</f>
        <v>0</v>
      </c>
      <c r="O334" s="243">
        <f t="shared" si="67"/>
        <v>0</v>
      </c>
      <c r="P334" s="243">
        <f t="shared" si="72"/>
        <v>0</v>
      </c>
      <c r="Q334" s="243">
        <f t="shared" si="73"/>
        <v>-2.2682105671999513</v>
      </c>
      <c r="R334" s="243">
        <f t="shared" si="74"/>
        <v>0</v>
      </c>
      <c r="S334" s="243">
        <f t="shared" si="68"/>
        <v>0</v>
      </c>
      <c r="T334" s="243">
        <f t="shared" si="75"/>
        <v>0</v>
      </c>
      <c r="AA334" s="6">
        <v>459</v>
      </c>
      <c r="AB334" t="s">
        <v>80</v>
      </c>
      <c r="AC334" t="s">
        <v>1032</v>
      </c>
      <c r="AD334" t="s">
        <v>4</v>
      </c>
      <c r="AE334" t="s">
        <v>85</v>
      </c>
      <c r="AF334">
        <v>15</v>
      </c>
      <c r="AG334">
        <v>1</v>
      </c>
      <c r="AH334">
        <v>248</v>
      </c>
      <c r="AI334" t="s">
        <v>80</v>
      </c>
      <c r="AJ334" t="s">
        <v>1054</v>
      </c>
      <c r="AK334">
        <v>0</v>
      </c>
      <c r="AL334" t="s">
        <v>88</v>
      </c>
      <c r="AM334" s="314">
        <v>310.49373738198096</v>
      </c>
      <c r="AN334" s="314">
        <v>0</v>
      </c>
      <c r="AO334" s="314">
        <v>0</v>
      </c>
      <c r="AP334" s="314">
        <v>0</v>
      </c>
      <c r="AQ334" s="314">
        <v>5.8574290642656658E-2</v>
      </c>
      <c r="AR334" s="314">
        <v>0</v>
      </c>
      <c r="AS334" s="314">
        <v>0</v>
      </c>
      <c r="AT334" s="314">
        <v>0</v>
      </c>
      <c r="AU334" s="314">
        <v>-2.2682105671999513</v>
      </c>
      <c r="AV334" s="314">
        <v>0</v>
      </c>
      <c r="AW334" s="314">
        <v>0</v>
      </c>
      <c r="AX334">
        <v>0</v>
      </c>
    </row>
    <row r="335" spans="1:50" x14ac:dyDescent="0.35">
      <c r="A335">
        <v>326</v>
      </c>
      <c r="B335" t="s">
        <v>80</v>
      </c>
      <c r="C335" t="s">
        <v>1054</v>
      </c>
      <c r="D335">
        <v>0</v>
      </c>
      <c r="E335" t="s">
        <v>89</v>
      </c>
      <c r="F335">
        <v>35</v>
      </c>
      <c r="G335">
        <v>0</v>
      </c>
      <c r="H335">
        <v>0</v>
      </c>
      <c r="I335">
        <v>0</v>
      </c>
      <c r="J335" s="600">
        <v>35</v>
      </c>
      <c r="K335" s="7">
        <f t="shared" si="69"/>
        <v>15</v>
      </c>
      <c r="L335" s="7">
        <f t="shared" si="70"/>
        <v>1</v>
      </c>
      <c r="M335" s="243">
        <f t="shared" si="71"/>
        <v>6559.1073290391532</v>
      </c>
      <c r="N335" s="243">
        <f>INDEX($AN$4:$AN21231,MATCH($A335,$AH$4:$AH$2000,0))</f>
        <v>0</v>
      </c>
      <c r="O335" s="243">
        <f t="shared" si="67"/>
        <v>0</v>
      </c>
      <c r="P335" s="243">
        <f t="shared" si="72"/>
        <v>0</v>
      </c>
      <c r="Q335" s="243">
        <f t="shared" si="73"/>
        <v>-48.995886316725183</v>
      </c>
      <c r="R335" s="243">
        <f t="shared" si="74"/>
        <v>0</v>
      </c>
      <c r="S335" s="243">
        <f t="shared" si="68"/>
        <v>0</v>
      </c>
      <c r="T335" s="243">
        <f t="shared" si="75"/>
        <v>0</v>
      </c>
      <c r="AA335" s="6">
        <v>465</v>
      </c>
      <c r="AB335" t="s">
        <v>80</v>
      </c>
      <c r="AC335" t="s">
        <v>1032</v>
      </c>
      <c r="AD335" t="s">
        <v>4</v>
      </c>
      <c r="AE335" t="s">
        <v>86</v>
      </c>
      <c r="AF335">
        <v>15</v>
      </c>
      <c r="AG335">
        <v>1</v>
      </c>
      <c r="AH335">
        <v>326</v>
      </c>
      <c r="AI335" t="s">
        <v>80</v>
      </c>
      <c r="AJ335" t="s">
        <v>1054</v>
      </c>
      <c r="AK335">
        <v>0</v>
      </c>
      <c r="AL335" t="s">
        <v>89</v>
      </c>
      <c r="AM335" s="314">
        <v>6559.1073290391532</v>
      </c>
      <c r="AN335" s="314">
        <v>0</v>
      </c>
      <c r="AO335" s="314">
        <v>0</v>
      </c>
      <c r="AP335" s="314">
        <v>0</v>
      </c>
      <c r="AQ335" s="314">
        <v>1.3583239961597176</v>
      </c>
      <c r="AR335" s="314">
        <v>0</v>
      </c>
      <c r="AS335" s="314">
        <v>0</v>
      </c>
      <c r="AT335" s="314">
        <v>0</v>
      </c>
      <c r="AU335" s="314">
        <v>-48.995886316725183</v>
      </c>
      <c r="AV335" s="314">
        <v>0</v>
      </c>
      <c r="AW335" s="314">
        <v>0</v>
      </c>
      <c r="AX335">
        <v>0</v>
      </c>
    </row>
    <row r="336" spans="1:50" x14ac:dyDescent="0.35">
      <c r="A336">
        <v>327</v>
      </c>
      <c r="B336" t="s">
        <v>80</v>
      </c>
      <c r="C336" t="s">
        <v>1054</v>
      </c>
      <c r="D336">
        <v>0</v>
      </c>
      <c r="E336" t="s">
        <v>90</v>
      </c>
      <c r="F336">
        <v>8</v>
      </c>
      <c r="G336">
        <v>0</v>
      </c>
      <c r="H336">
        <v>0</v>
      </c>
      <c r="I336">
        <v>0</v>
      </c>
      <c r="J336" s="600">
        <v>8</v>
      </c>
      <c r="K336" s="7">
        <f t="shared" si="69"/>
        <v>15</v>
      </c>
      <c r="L336" s="7">
        <f t="shared" si="70"/>
        <v>1</v>
      </c>
      <c r="M336" s="243">
        <f t="shared" si="71"/>
        <v>3161.6259039638117</v>
      </c>
      <c r="N336" s="243">
        <f>INDEX($AN$4:$AN21232,MATCH($A336,$AH$4:$AH$2000,0))</f>
        <v>0</v>
      </c>
      <c r="O336" s="243">
        <f t="shared" si="67"/>
        <v>0</v>
      </c>
      <c r="P336" s="243">
        <f t="shared" si="72"/>
        <v>0</v>
      </c>
      <c r="Q336" s="243">
        <f t="shared" si="73"/>
        <v>-30.778496492398762</v>
      </c>
      <c r="R336" s="243">
        <f t="shared" si="74"/>
        <v>0</v>
      </c>
      <c r="S336" s="243">
        <f t="shared" si="68"/>
        <v>0</v>
      </c>
      <c r="T336" s="243">
        <f t="shared" si="75"/>
        <v>0</v>
      </c>
      <c r="AA336" s="6">
        <v>463</v>
      </c>
      <c r="AB336" t="s">
        <v>80</v>
      </c>
      <c r="AC336" t="s">
        <v>1032</v>
      </c>
      <c r="AD336" t="s">
        <v>4</v>
      </c>
      <c r="AE336" t="s">
        <v>87</v>
      </c>
      <c r="AF336">
        <v>15</v>
      </c>
      <c r="AH336">
        <v>327</v>
      </c>
      <c r="AI336" t="s">
        <v>80</v>
      </c>
      <c r="AJ336" t="s">
        <v>1054</v>
      </c>
      <c r="AK336">
        <v>0</v>
      </c>
      <c r="AL336" t="s">
        <v>90</v>
      </c>
      <c r="AM336" s="314">
        <v>3161.6259039638117</v>
      </c>
      <c r="AN336" s="314">
        <v>0</v>
      </c>
      <c r="AO336" s="314">
        <v>0</v>
      </c>
      <c r="AP336" s="314">
        <v>0</v>
      </c>
      <c r="AQ336" s="314">
        <v>0.57467845055901701</v>
      </c>
      <c r="AR336" s="314">
        <v>0</v>
      </c>
      <c r="AS336" s="314">
        <v>0</v>
      </c>
      <c r="AT336" s="314">
        <v>0</v>
      </c>
      <c r="AU336" s="314">
        <v>-30.778496492398762</v>
      </c>
      <c r="AV336" s="314">
        <v>0</v>
      </c>
      <c r="AW336" s="314">
        <v>0</v>
      </c>
      <c r="AX336">
        <v>0</v>
      </c>
    </row>
    <row r="337" spans="1:50" x14ac:dyDescent="0.35">
      <c r="A337">
        <v>298</v>
      </c>
      <c r="B337" t="s">
        <v>80</v>
      </c>
      <c r="C337" t="s">
        <v>1054</v>
      </c>
      <c r="D337">
        <v>0</v>
      </c>
      <c r="E337" t="s">
        <v>91</v>
      </c>
      <c r="F337">
        <v>12</v>
      </c>
      <c r="G337">
        <v>0</v>
      </c>
      <c r="H337">
        <v>0</v>
      </c>
      <c r="I337">
        <v>0</v>
      </c>
      <c r="J337" s="600">
        <v>12</v>
      </c>
      <c r="K337" s="7">
        <f t="shared" si="69"/>
        <v>15</v>
      </c>
      <c r="L337" s="7">
        <f t="shared" si="70"/>
        <v>1</v>
      </c>
      <c r="M337" s="243">
        <f t="shared" si="71"/>
        <v>3185.1837263986354</v>
      </c>
      <c r="N337" s="243">
        <f>INDEX($AN$4:$AN21233,MATCH($A337,$AH$4:$AH$2000,0))</f>
        <v>0</v>
      </c>
      <c r="O337" s="243">
        <f t="shared" si="67"/>
        <v>0</v>
      </c>
      <c r="P337" s="243">
        <f t="shared" si="72"/>
        <v>0</v>
      </c>
      <c r="Q337" s="243">
        <f t="shared" si="73"/>
        <v>-30.692334005639324</v>
      </c>
      <c r="R337" s="243">
        <f t="shared" si="74"/>
        <v>0</v>
      </c>
      <c r="S337" s="243">
        <f t="shared" si="68"/>
        <v>0</v>
      </c>
      <c r="T337" s="243">
        <f t="shared" si="75"/>
        <v>0</v>
      </c>
      <c r="AA337" s="6">
        <v>435</v>
      </c>
      <c r="AB337" t="s">
        <v>80</v>
      </c>
      <c r="AC337" t="s">
        <v>1032</v>
      </c>
      <c r="AD337" t="s">
        <v>4</v>
      </c>
      <c r="AE337" t="s">
        <v>88</v>
      </c>
      <c r="AF337">
        <v>15</v>
      </c>
      <c r="AG337">
        <v>1</v>
      </c>
      <c r="AH337">
        <v>298</v>
      </c>
      <c r="AI337" t="s">
        <v>80</v>
      </c>
      <c r="AJ337" t="s">
        <v>1054</v>
      </c>
      <c r="AK337">
        <v>0</v>
      </c>
      <c r="AL337" t="s">
        <v>91</v>
      </c>
      <c r="AM337" s="314">
        <v>3185.1837263986354</v>
      </c>
      <c r="AN337" s="314">
        <v>0</v>
      </c>
      <c r="AO337" s="314">
        <v>0</v>
      </c>
      <c r="AP337" s="314">
        <v>0</v>
      </c>
      <c r="AQ337" s="314">
        <v>0.64568144623995649</v>
      </c>
      <c r="AR337" s="314">
        <v>0</v>
      </c>
      <c r="AS337" s="314">
        <v>0</v>
      </c>
      <c r="AT337" s="314">
        <v>0</v>
      </c>
      <c r="AU337" s="314">
        <v>-30.692334005639324</v>
      </c>
      <c r="AV337" s="314">
        <v>0</v>
      </c>
      <c r="AW337" s="314">
        <v>0</v>
      </c>
      <c r="AX337">
        <v>0</v>
      </c>
    </row>
    <row r="338" spans="1:50" x14ac:dyDescent="0.35">
      <c r="A338">
        <v>288</v>
      </c>
      <c r="B338" t="s">
        <v>80</v>
      </c>
      <c r="C338" t="s">
        <v>1054</v>
      </c>
      <c r="D338">
        <v>0</v>
      </c>
      <c r="E338" t="s">
        <v>92</v>
      </c>
      <c r="F338">
        <v>46</v>
      </c>
      <c r="G338">
        <v>49</v>
      </c>
      <c r="H338">
        <v>51</v>
      </c>
      <c r="I338">
        <v>52</v>
      </c>
      <c r="J338" s="600">
        <v>198</v>
      </c>
      <c r="K338" s="7">
        <f t="shared" si="69"/>
        <v>8</v>
      </c>
      <c r="L338" s="7">
        <f t="shared" si="70"/>
        <v>0</v>
      </c>
      <c r="M338" s="243">
        <f t="shared" si="71"/>
        <v>7143.2380086863031</v>
      </c>
      <c r="N338" s="243">
        <f>INDEX($AN$4:$AN21234,MATCH($A338,$AH$4:$AH$2000,0))</f>
        <v>7609.1013570788882</v>
      </c>
      <c r="O338" s="243">
        <f t="shared" si="67"/>
        <v>7919.6769226739452</v>
      </c>
      <c r="P338" s="243">
        <f t="shared" si="72"/>
        <v>8074.9647054714733</v>
      </c>
      <c r="Q338" s="243">
        <f t="shared" si="73"/>
        <v>-312.18137169931913</v>
      </c>
      <c r="R338" s="243">
        <f t="shared" si="74"/>
        <v>-332.54102637536164</v>
      </c>
      <c r="S338" s="243">
        <f t="shared" si="68"/>
        <v>-346.11412949272335</v>
      </c>
      <c r="T338" s="243">
        <f t="shared" si="75"/>
        <v>-352.90068105140421</v>
      </c>
      <c r="AA338" s="6">
        <v>455</v>
      </c>
      <c r="AB338" t="s">
        <v>80</v>
      </c>
      <c r="AC338" t="s">
        <v>1032</v>
      </c>
      <c r="AD338" t="s">
        <v>4</v>
      </c>
      <c r="AE338" t="s">
        <v>89</v>
      </c>
      <c r="AF338">
        <v>15</v>
      </c>
      <c r="AG338">
        <v>1</v>
      </c>
      <c r="AH338">
        <v>288</v>
      </c>
      <c r="AI338" t="s">
        <v>80</v>
      </c>
      <c r="AJ338" t="s">
        <v>1054</v>
      </c>
      <c r="AK338">
        <v>0</v>
      </c>
      <c r="AL338" t="s">
        <v>92</v>
      </c>
      <c r="AM338" s="314">
        <v>7143.2380086863031</v>
      </c>
      <c r="AN338" s="314">
        <v>7609.1013570788882</v>
      </c>
      <c r="AO338" s="314">
        <v>7919.6769226739452</v>
      </c>
      <c r="AP338" s="314">
        <v>8074.9647054714733</v>
      </c>
      <c r="AQ338" s="314">
        <v>2.870570889292797</v>
      </c>
      <c r="AR338" s="314">
        <v>3.0577820342466753</v>
      </c>
      <c r="AS338" s="314">
        <v>3.1825894642159271</v>
      </c>
      <c r="AT338" s="314">
        <v>3.2449931792005535</v>
      </c>
      <c r="AU338" s="314">
        <v>-312.18137169931913</v>
      </c>
      <c r="AV338" s="314">
        <v>-332.54102637536164</v>
      </c>
      <c r="AW338" s="314">
        <v>-346.11412949272335</v>
      </c>
      <c r="AX338">
        <v>-352.90068105140421</v>
      </c>
    </row>
    <row r="339" spans="1:50" x14ac:dyDescent="0.35">
      <c r="A339">
        <v>340</v>
      </c>
      <c r="B339" t="s">
        <v>80</v>
      </c>
      <c r="C339" t="s">
        <v>1054</v>
      </c>
      <c r="D339">
        <v>0</v>
      </c>
      <c r="E339" t="s">
        <v>93</v>
      </c>
      <c r="F339">
        <v>32</v>
      </c>
      <c r="G339">
        <v>35</v>
      </c>
      <c r="H339">
        <v>36</v>
      </c>
      <c r="I339">
        <v>37</v>
      </c>
      <c r="J339" s="600">
        <v>140</v>
      </c>
      <c r="K339" s="7">
        <f t="shared" si="69"/>
        <v>8</v>
      </c>
      <c r="L339" s="7">
        <f t="shared" si="70"/>
        <v>0</v>
      </c>
      <c r="M339" s="243">
        <f t="shared" si="71"/>
        <v>9855.0889919999991</v>
      </c>
      <c r="N339" s="243">
        <f>INDEX($AN$4:$AN21235,MATCH($A339,$AH$4:$AH$2000,0))</f>
        <v>10779.003584999999</v>
      </c>
      <c r="O339" s="243">
        <f t="shared" si="67"/>
        <v>11086.975116</v>
      </c>
      <c r="P339" s="243">
        <f t="shared" si="72"/>
        <v>11394.946646999999</v>
      </c>
      <c r="Q339" s="243">
        <f t="shared" si="73"/>
        <v>-284.15721600000001</v>
      </c>
      <c r="R339" s="243">
        <f t="shared" si="74"/>
        <v>-310.79695500000003</v>
      </c>
      <c r="S339" s="243">
        <f t="shared" si="68"/>
        <v>-319.67686800000001</v>
      </c>
      <c r="T339" s="243">
        <f t="shared" si="75"/>
        <v>-328.556781</v>
      </c>
      <c r="AA339" s="6">
        <v>456</v>
      </c>
      <c r="AB339" t="s">
        <v>80</v>
      </c>
      <c r="AC339" t="s">
        <v>1032</v>
      </c>
      <c r="AD339" t="s">
        <v>4</v>
      </c>
      <c r="AE339" t="s">
        <v>90</v>
      </c>
      <c r="AF339">
        <v>15</v>
      </c>
      <c r="AG339">
        <v>1</v>
      </c>
      <c r="AH339">
        <v>340</v>
      </c>
      <c r="AI339" t="s">
        <v>80</v>
      </c>
      <c r="AJ339" t="s">
        <v>1054</v>
      </c>
      <c r="AK339">
        <v>0</v>
      </c>
      <c r="AL339" t="s">
        <v>93</v>
      </c>
      <c r="AM339" s="314">
        <v>9855.0889919999991</v>
      </c>
      <c r="AN339" s="314">
        <v>10779.003584999999</v>
      </c>
      <c r="AO339" s="314">
        <v>11086.975116</v>
      </c>
      <c r="AP339" s="314">
        <v>11394.946646999999</v>
      </c>
      <c r="AQ339" s="314">
        <v>7.2291945600000007</v>
      </c>
      <c r="AR339" s="314">
        <v>7.9069315500000004</v>
      </c>
      <c r="AS339" s="314">
        <v>8.1328438800000011</v>
      </c>
      <c r="AT339" s="314">
        <v>8.358756210000001</v>
      </c>
      <c r="AU339" s="314">
        <v>-284.15721600000001</v>
      </c>
      <c r="AV339" s="314">
        <v>-310.79695500000003</v>
      </c>
      <c r="AW339" s="314">
        <v>-319.67686800000001</v>
      </c>
      <c r="AX339">
        <v>-328.556781</v>
      </c>
    </row>
    <row r="340" spans="1:50" x14ac:dyDescent="0.35">
      <c r="A340">
        <v>365</v>
      </c>
      <c r="B340" t="s">
        <v>80</v>
      </c>
      <c r="C340" t="s">
        <v>1054</v>
      </c>
      <c r="D340">
        <v>0</v>
      </c>
      <c r="E340" t="s">
        <v>94</v>
      </c>
      <c r="F340">
        <v>45</v>
      </c>
      <c r="G340">
        <v>47</v>
      </c>
      <c r="H340">
        <v>49</v>
      </c>
      <c r="I340">
        <v>50</v>
      </c>
      <c r="J340" s="600">
        <v>191</v>
      </c>
      <c r="K340" s="7">
        <f t="shared" si="69"/>
        <v>8</v>
      </c>
      <c r="L340" s="7">
        <f t="shared" si="70"/>
        <v>0</v>
      </c>
      <c r="M340" s="243">
        <f t="shared" si="71"/>
        <v>8622.0854999999992</v>
      </c>
      <c r="N340" s="243">
        <f>INDEX($AN$4:$AN21236,MATCH($A340,$AH$4:$AH$2000,0))</f>
        <v>9005.2893000000004</v>
      </c>
      <c r="O340" s="243">
        <f t="shared" si="67"/>
        <v>9388.4930999999997</v>
      </c>
      <c r="P340" s="243">
        <f t="shared" si="72"/>
        <v>9580.0949999999993</v>
      </c>
      <c r="Q340" s="243">
        <f t="shared" si="73"/>
        <v>-179.01000000000002</v>
      </c>
      <c r="R340" s="243">
        <f t="shared" si="74"/>
        <v>-186.96600000000001</v>
      </c>
      <c r="S340" s="243">
        <f t="shared" si="68"/>
        <v>-194.922</v>
      </c>
      <c r="T340" s="243">
        <f t="shared" si="75"/>
        <v>-198.9</v>
      </c>
      <c r="AA340" s="6">
        <v>439</v>
      </c>
      <c r="AB340" t="s">
        <v>80</v>
      </c>
      <c r="AC340" t="s">
        <v>1032</v>
      </c>
      <c r="AD340" t="s">
        <v>4</v>
      </c>
      <c r="AE340" t="s">
        <v>91</v>
      </c>
      <c r="AF340">
        <v>15</v>
      </c>
      <c r="AG340">
        <v>1</v>
      </c>
      <c r="AH340">
        <v>365</v>
      </c>
      <c r="AI340" t="s">
        <v>80</v>
      </c>
      <c r="AJ340" t="s">
        <v>1054</v>
      </c>
      <c r="AK340">
        <v>0</v>
      </c>
      <c r="AL340" t="s">
        <v>94</v>
      </c>
      <c r="AM340" s="314">
        <v>8622.0854999999992</v>
      </c>
      <c r="AN340" s="314">
        <v>9005.2893000000004</v>
      </c>
      <c r="AO340" s="314">
        <v>9388.4930999999997</v>
      </c>
      <c r="AP340" s="314">
        <v>9580.0949999999993</v>
      </c>
      <c r="AQ340" s="314">
        <v>2.835</v>
      </c>
      <c r="AR340" s="314">
        <v>2.9609999999999999</v>
      </c>
      <c r="AS340" s="314">
        <v>3.0870000000000002</v>
      </c>
      <c r="AT340" s="314">
        <v>3.15</v>
      </c>
      <c r="AU340" s="314">
        <v>-179.01000000000002</v>
      </c>
      <c r="AV340" s="314">
        <v>-186.96600000000001</v>
      </c>
      <c r="AW340" s="314">
        <v>-194.922</v>
      </c>
      <c r="AX340">
        <v>-198.9</v>
      </c>
    </row>
    <row r="341" spans="1:50" x14ac:dyDescent="0.35">
      <c r="A341">
        <v>321</v>
      </c>
      <c r="B341" t="s">
        <v>80</v>
      </c>
      <c r="C341" t="s">
        <v>1054</v>
      </c>
      <c r="D341">
        <v>0</v>
      </c>
      <c r="E341" t="s">
        <v>95</v>
      </c>
      <c r="F341">
        <v>760</v>
      </c>
      <c r="G341">
        <v>967</v>
      </c>
      <c r="H341">
        <v>1005</v>
      </c>
      <c r="I341">
        <v>1025</v>
      </c>
      <c r="J341" s="600">
        <v>3757</v>
      </c>
      <c r="K341" s="7">
        <f t="shared" si="69"/>
        <v>8</v>
      </c>
      <c r="L341" s="7">
        <f t="shared" si="70"/>
        <v>0</v>
      </c>
      <c r="M341" s="243">
        <f t="shared" si="71"/>
        <v>42323.353631999998</v>
      </c>
      <c r="N341" s="243">
        <f>INDEX($AN$4:$AN21237,MATCH($A341,$AH$4:$AH$2000,0))</f>
        <v>53850.898634399993</v>
      </c>
      <c r="O341" s="243">
        <f t="shared" si="67"/>
        <v>55967.066315999997</v>
      </c>
      <c r="P341" s="243">
        <f t="shared" si="72"/>
        <v>57080.838779999998</v>
      </c>
      <c r="Q341" s="243">
        <f t="shared" si="73"/>
        <v>-1220.3312400000002</v>
      </c>
      <c r="R341" s="243">
        <f t="shared" si="74"/>
        <v>-1552.7109330000003</v>
      </c>
      <c r="S341" s="243">
        <f t="shared" si="68"/>
        <v>-1613.7274950000003</v>
      </c>
      <c r="T341" s="243">
        <f t="shared" si="75"/>
        <v>-1645.8414750000002</v>
      </c>
      <c r="AA341" s="6">
        <v>437</v>
      </c>
      <c r="AB341" t="s">
        <v>80</v>
      </c>
      <c r="AC341" t="s">
        <v>1032</v>
      </c>
      <c r="AD341" t="s">
        <v>4</v>
      </c>
      <c r="AE341" t="s">
        <v>92</v>
      </c>
      <c r="AF341">
        <v>8</v>
      </c>
      <c r="AH341">
        <v>321</v>
      </c>
      <c r="AI341" t="s">
        <v>80</v>
      </c>
      <c r="AJ341" t="s">
        <v>1054</v>
      </c>
      <c r="AK341">
        <v>0</v>
      </c>
      <c r="AL341" t="s">
        <v>95</v>
      </c>
      <c r="AM341" s="314">
        <v>42323.353631999998</v>
      </c>
      <c r="AN341" s="314">
        <v>53850.898634399993</v>
      </c>
      <c r="AO341" s="314">
        <v>55967.066315999997</v>
      </c>
      <c r="AP341" s="314">
        <v>57080.838779999998</v>
      </c>
      <c r="AQ341" s="314">
        <v>33.209567999999997</v>
      </c>
      <c r="AR341" s="314">
        <v>42.254805599999997</v>
      </c>
      <c r="AS341" s="314">
        <v>43.915284</v>
      </c>
      <c r="AT341" s="314">
        <v>44.78922</v>
      </c>
      <c r="AU341" s="314">
        <v>-1220.3312400000002</v>
      </c>
      <c r="AV341" s="314">
        <v>-1552.7109330000003</v>
      </c>
      <c r="AW341" s="314">
        <v>-1613.7274950000003</v>
      </c>
      <c r="AX341">
        <v>-1645.8414750000002</v>
      </c>
    </row>
    <row r="342" spans="1:50" x14ac:dyDescent="0.35">
      <c r="A342">
        <v>315</v>
      </c>
      <c r="B342" t="s">
        <v>80</v>
      </c>
      <c r="C342" t="s">
        <v>1054</v>
      </c>
      <c r="D342">
        <v>0</v>
      </c>
      <c r="E342" t="s">
        <v>1055</v>
      </c>
      <c r="F342">
        <v>13332</v>
      </c>
      <c r="G342">
        <v>0</v>
      </c>
      <c r="H342">
        <v>0</v>
      </c>
      <c r="I342">
        <v>0</v>
      </c>
      <c r="J342" s="600">
        <v>13332</v>
      </c>
      <c r="K342" s="7">
        <f t="shared" si="69"/>
        <v>15</v>
      </c>
      <c r="L342" s="7">
        <f t="shared" si="70"/>
        <v>2</v>
      </c>
      <c r="M342" s="243">
        <f t="shared" si="71"/>
        <v>1591564.621609153</v>
      </c>
      <c r="N342" s="243">
        <f>INDEX($AN$4:$AN21238,MATCH($A342,$AH$4:$AH$2000,0))</f>
        <v>0</v>
      </c>
      <c r="O342" s="243">
        <f t="shared" si="67"/>
        <v>0</v>
      </c>
      <c r="P342" s="243">
        <f t="shared" si="72"/>
        <v>0</v>
      </c>
      <c r="Q342" s="243">
        <f t="shared" si="73"/>
        <v>-15137.88547054057</v>
      </c>
      <c r="R342" s="243">
        <f t="shared" si="74"/>
        <v>0</v>
      </c>
      <c r="S342" s="243">
        <f t="shared" si="68"/>
        <v>0</v>
      </c>
      <c r="T342" s="243">
        <f t="shared" si="75"/>
        <v>0</v>
      </c>
      <c r="AA342" s="6">
        <v>426</v>
      </c>
      <c r="AB342" t="s">
        <v>80</v>
      </c>
      <c r="AC342" t="s">
        <v>1032</v>
      </c>
      <c r="AE342" t="s">
        <v>93</v>
      </c>
      <c r="AF342">
        <v>8</v>
      </c>
      <c r="AH342">
        <v>315</v>
      </c>
      <c r="AI342" t="s">
        <v>80</v>
      </c>
      <c r="AJ342" t="s">
        <v>1054</v>
      </c>
      <c r="AK342">
        <v>0</v>
      </c>
      <c r="AL342" t="s">
        <v>1055</v>
      </c>
      <c r="AM342" s="314">
        <v>1591564.621609153</v>
      </c>
      <c r="AN342" s="314">
        <v>0</v>
      </c>
      <c r="AO342" s="314">
        <v>0</v>
      </c>
      <c r="AP342" s="314">
        <v>0</v>
      </c>
      <c r="AQ342" s="314">
        <v>317.49461531732027</v>
      </c>
      <c r="AR342" s="314">
        <v>0</v>
      </c>
      <c r="AS342" s="314">
        <v>0</v>
      </c>
      <c r="AT342" s="314">
        <v>0</v>
      </c>
      <c r="AU342" s="314">
        <v>-15137.88547054057</v>
      </c>
      <c r="AV342" s="314">
        <v>0</v>
      </c>
      <c r="AW342" s="314">
        <v>0</v>
      </c>
      <c r="AX342">
        <v>0</v>
      </c>
    </row>
    <row r="343" spans="1:50" x14ac:dyDescent="0.35">
      <c r="A343">
        <v>316</v>
      </c>
      <c r="B343" t="s">
        <v>80</v>
      </c>
      <c r="C343" t="s">
        <v>1054</v>
      </c>
      <c r="D343">
        <v>0</v>
      </c>
      <c r="E343" t="s">
        <v>1859</v>
      </c>
      <c r="F343">
        <v>978</v>
      </c>
      <c r="G343">
        <v>0</v>
      </c>
      <c r="H343">
        <v>0</v>
      </c>
      <c r="I343">
        <v>0</v>
      </c>
      <c r="J343" s="600">
        <v>978</v>
      </c>
      <c r="K343" s="7">
        <f t="shared" si="69"/>
        <v>15</v>
      </c>
      <c r="L343" s="7">
        <f t="shared" si="70"/>
        <v>0</v>
      </c>
      <c r="M343" s="243">
        <f t="shared" si="71"/>
        <v>92563.915068997201</v>
      </c>
      <c r="N343" s="243">
        <f>INDEX($AN$4:$AN21239,MATCH($A343,$AH$4:$AH$2000,0))</f>
        <v>0</v>
      </c>
      <c r="O343" s="243">
        <f t="shared" si="67"/>
        <v>0</v>
      </c>
      <c r="P343" s="243">
        <f t="shared" si="72"/>
        <v>0</v>
      </c>
      <c r="Q343" s="243">
        <f t="shared" si="73"/>
        <v>-1868.2625059797599</v>
      </c>
      <c r="R343" s="243">
        <f t="shared" si="74"/>
        <v>0</v>
      </c>
      <c r="S343" s="243">
        <f t="shared" si="68"/>
        <v>0</v>
      </c>
      <c r="T343" s="243">
        <f t="shared" si="75"/>
        <v>0</v>
      </c>
      <c r="AA343" s="6">
        <v>431</v>
      </c>
      <c r="AB343" t="s">
        <v>80</v>
      </c>
      <c r="AC343" t="s">
        <v>1032</v>
      </c>
      <c r="AE343" t="s">
        <v>94</v>
      </c>
      <c r="AF343">
        <v>8</v>
      </c>
      <c r="AH343">
        <v>316</v>
      </c>
      <c r="AI343" t="s">
        <v>80</v>
      </c>
      <c r="AJ343" t="s">
        <v>1054</v>
      </c>
      <c r="AK343">
        <v>0</v>
      </c>
      <c r="AL343" t="s">
        <v>1859</v>
      </c>
      <c r="AM343" s="314">
        <v>92563.915068997201</v>
      </c>
      <c r="AN343" s="314">
        <v>0</v>
      </c>
      <c r="AO343" s="314">
        <v>0</v>
      </c>
      <c r="AP343" s="314">
        <v>0</v>
      </c>
      <c r="AQ343" s="314">
        <v>19.824120432575995</v>
      </c>
      <c r="AR343" s="314">
        <v>0</v>
      </c>
      <c r="AS343" s="314">
        <v>0</v>
      </c>
      <c r="AT343" s="314">
        <v>0</v>
      </c>
      <c r="AU343" s="314">
        <v>-1868.2625059797599</v>
      </c>
      <c r="AV343" s="314">
        <v>0</v>
      </c>
      <c r="AW343" s="314">
        <v>0</v>
      </c>
      <c r="AX343">
        <v>0</v>
      </c>
    </row>
    <row r="344" spans="1:50" x14ac:dyDescent="0.35">
      <c r="A344">
        <v>289</v>
      </c>
      <c r="B344" t="s">
        <v>80</v>
      </c>
      <c r="C344" t="s">
        <v>1054</v>
      </c>
      <c r="D344">
        <v>0</v>
      </c>
      <c r="E344" t="s">
        <v>96</v>
      </c>
      <c r="F344">
        <v>1085</v>
      </c>
      <c r="G344">
        <v>1160</v>
      </c>
      <c r="H344">
        <v>1207</v>
      </c>
      <c r="I344">
        <v>1229</v>
      </c>
      <c r="J344" s="600">
        <v>4681</v>
      </c>
      <c r="K344" s="7">
        <f t="shared" si="69"/>
        <v>8</v>
      </c>
      <c r="L344" s="7">
        <f t="shared" si="70"/>
        <v>0</v>
      </c>
      <c r="M344" s="243">
        <f t="shared" si="71"/>
        <v>77479.00821473969</v>
      </c>
      <c r="N344" s="243">
        <f>INDEX($AN$4:$AN21240,MATCH($A344,$AH$4:$AH$2000,0))</f>
        <v>82834.700026818464</v>
      </c>
      <c r="O344" s="243">
        <f t="shared" ref="O344:O363" si="76">INDEX($AO$4:$AO$2000,MATCH($A344,$AH$4:$AH$2000,0))</f>
        <v>86190.933562387843</v>
      </c>
      <c r="P344" s="243">
        <f t="shared" si="72"/>
        <v>87761.936493930945</v>
      </c>
      <c r="Q344" s="243">
        <f t="shared" si="73"/>
        <v>-6499.7695132759827</v>
      </c>
      <c r="R344" s="243">
        <f t="shared" si="74"/>
        <v>-6949.0623367743228</v>
      </c>
      <c r="S344" s="243">
        <f t="shared" ref="S344:S363" si="77">INDEX($AW$4:$AW$2000,MATCH($A344,$AH$4:$AH$2000,0))</f>
        <v>-7230.6191728332824</v>
      </c>
      <c r="T344" s="243">
        <f t="shared" si="75"/>
        <v>-7362.4117343927946</v>
      </c>
      <c r="AA344" s="6">
        <v>418</v>
      </c>
      <c r="AB344" t="s">
        <v>80</v>
      </c>
      <c r="AC344" t="s">
        <v>1032</v>
      </c>
      <c r="AE344" t="s">
        <v>95</v>
      </c>
      <c r="AF344">
        <v>8</v>
      </c>
      <c r="AH344">
        <v>289</v>
      </c>
      <c r="AI344" t="s">
        <v>80</v>
      </c>
      <c r="AJ344" t="s">
        <v>1054</v>
      </c>
      <c r="AK344">
        <v>0</v>
      </c>
      <c r="AL344" t="s">
        <v>96</v>
      </c>
      <c r="AM344" s="314">
        <v>77479.00821473969</v>
      </c>
      <c r="AN344" s="314">
        <v>82834.700026818464</v>
      </c>
      <c r="AO344" s="314">
        <v>86190.933562387843</v>
      </c>
      <c r="AP344" s="314">
        <v>87761.936493930945</v>
      </c>
      <c r="AQ344" s="314">
        <v>58.076360074131024</v>
      </c>
      <c r="AR344" s="314">
        <v>62.090855010130859</v>
      </c>
      <c r="AS344" s="314">
        <v>64.606605170024096</v>
      </c>
      <c r="AT344" s="314">
        <v>65.784190351250714</v>
      </c>
      <c r="AU344" s="314">
        <v>-6499.7695132759827</v>
      </c>
      <c r="AV344" s="314">
        <v>-6949.0623367743228</v>
      </c>
      <c r="AW344" s="314">
        <v>-7230.6191728332824</v>
      </c>
      <c r="AX344">
        <v>-7362.4117343927946</v>
      </c>
    </row>
    <row r="345" spans="1:50" x14ac:dyDescent="0.35">
      <c r="A345">
        <v>287</v>
      </c>
      <c r="B345" t="s">
        <v>80</v>
      </c>
      <c r="C345" t="s">
        <v>1054</v>
      </c>
      <c r="D345">
        <v>0</v>
      </c>
      <c r="E345" t="s">
        <v>1860</v>
      </c>
      <c r="F345">
        <v>889</v>
      </c>
      <c r="G345">
        <v>0</v>
      </c>
      <c r="H345">
        <v>0</v>
      </c>
      <c r="I345">
        <v>0</v>
      </c>
      <c r="J345" s="600">
        <v>889</v>
      </c>
      <c r="K345" s="7">
        <f t="shared" si="69"/>
        <v>15</v>
      </c>
      <c r="L345" s="7">
        <f t="shared" si="70"/>
        <v>1</v>
      </c>
      <c r="M345" s="243">
        <f t="shared" si="71"/>
        <v>1445948.9431858356</v>
      </c>
      <c r="N345" s="243">
        <f>INDEX($AN$4:$AN21241,MATCH($A345,$AH$4:$AH$2000,0))</f>
        <v>0</v>
      </c>
      <c r="O345" s="243">
        <f t="shared" si="76"/>
        <v>0</v>
      </c>
      <c r="P345" s="243">
        <f t="shared" si="72"/>
        <v>0</v>
      </c>
      <c r="Q345" s="243">
        <f t="shared" si="73"/>
        <v>0</v>
      </c>
      <c r="R345" s="243">
        <f t="shared" si="74"/>
        <v>0</v>
      </c>
      <c r="S345" s="243">
        <f t="shared" si="77"/>
        <v>0</v>
      </c>
      <c r="T345" s="243">
        <f t="shared" si="75"/>
        <v>0</v>
      </c>
      <c r="AA345" s="6">
        <v>443</v>
      </c>
      <c r="AB345" t="s">
        <v>80</v>
      </c>
      <c r="AC345" t="s">
        <v>1032</v>
      </c>
      <c r="AD345" t="s">
        <v>4</v>
      </c>
      <c r="AE345" t="s">
        <v>1010</v>
      </c>
      <c r="AF345">
        <v>15</v>
      </c>
      <c r="AG345">
        <v>2</v>
      </c>
      <c r="AH345">
        <v>287</v>
      </c>
      <c r="AI345" t="s">
        <v>80</v>
      </c>
      <c r="AJ345" t="s">
        <v>1054</v>
      </c>
      <c r="AK345">
        <v>0</v>
      </c>
      <c r="AL345" t="s">
        <v>1860</v>
      </c>
      <c r="AM345" s="314">
        <v>1445948.9431858356</v>
      </c>
      <c r="AN345" s="314">
        <v>0</v>
      </c>
      <c r="AO345" s="314">
        <v>0</v>
      </c>
      <c r="AP345" s="314">
        <v>0</v>
      </c>
      <c r="AQ345" s="314">
        <v>0</v>
      </c>
      <c r="AR345" s="314">
        <v>0</v>
      </c>
      <c r="AS345" s="314">
        <v>0</v>
      </c>
      <c r="AT345" s="314">
        <v>0</v>
      </c>
      <c r="AU345" s="314">
        <v>0</v>
      </c>
      <c r="AV345" s="314">
        <v>0</v>
      </c>
      <c r="AW345" s="314">
        <v>0</v>
      </c>
      <c r="AX345">
        <v>0</v>
      </c>
    </row>
    <row r="346" spans="1:50" x14ac:dyDescent="0.35">
      <c r="A346">
        <v>334</v>
      </c>
      <c r="B346" t="s">
        <v>80</v>
      </c>
      <c r="C346" t="s">
        <v>1054</v>
      </c>
      <c r="D346">
        <v>0</v>
      </c>
      <c r="E346" t="s">
        <v>1861</v>
      </c>
      <c r="F346">
        <v>36</v>
      </c>
      <c r="G346">
        <v>0</v>
      </c>
      <c r="H346">
        <v>0</v>
      </c>
      <c r="I346">
        <v>0</v>
      </c>
      <c r="J346" s="600">
        <v>36</v>
      </c>
      <c r="K346" s="7">
        <f t="shared" si="69"/>
        <v>11</v>
      </c>
      <c r="L346" s="7">
        <f t="shared" si="70"/>
        <v>1</v>
      </c>
      <c r="M346" s="243">
        <f t="shared" si="71"/>
        <v>10149.909448471004</v>
      </c>
      <c r="N346" s="243">
        <f>INDEX($AN$4:$AN21242,MATCH($A346,$AH$4:$AH$2000,0))</f>
        <v>0</v>
      </c>
      <c r="O346" s="243">
        <f t="shared" si="76"/>
        <v>0</v>
      </c>
      <c r="P346" s="243">
        <f t="shared" si="72"/>
        <v>0</v>
      </c>
      <c r="Q346" s="243">
        <f t="shared" si="73"/>
        <v>-143.48323440618336</v>
      </c>
      <c r="R346" s="243">
        <f t="shared" si="74"/>
        <v>0</v>
      </c>
      <c r="S346" s="243">
        <f t="shared" si="77"/>
        <v>0</v>
      </c>
      <c r="T346" s="243">
        <f t="shared" si="75"/>
        <v>0</v>
      </c>
      <c r="AA346" s="6">
        <v>444</v>
      </c>
      <c r="AB346" t="s">
        <v>80</v>
      </c>
      <c r="AC346" t="s">
        <v>1032</v>
      </c>
      <c r="AD346" t="s">
        <v>4</v>
      </c>
      <c r="AE346" t="s">
        <v>1859</v>
      </c>
      <c r="AF346">
        <v>15</v>
      </c>
      <c r="AH346">
        <v>334</v>
      </c>
      <c r="AI346" t="s">
        <v>80</v>
      </c>
      <c r="AJ346" t="s">
        <v>1054</v>
      </c>
      <c r="AK346">
        <v>0</v>
      </c>
      <c r="AL346" t="s">
        <v>1861</v>
      </c>
      <c r="AM346" s="314">
        <v>10149.909448471004</v>
      </c>
      <c r="AN346" s="314">
        <v>0</v>
      </c>
      <c r="AO346" s="314">
        <v>0</v>
      </c>
      <c r="AP346" s="314">
        <v>0</v>
      </c>
      <c r="AQ346" s="314">
        <v>1.9334572193735837</v>
      </c>
      <c r="AR346" s="314">
        <v>0</v>
      </c>
      <c r="AS346" s="314">
        <v>0</v>
      </c>
      <c r="AT346" s="314">
        <v>0</v>
      </c>
      <c r="AU346" s="314">
        <v>-143.48323440618336</v>
      </c>
      <c r="AV346" s="314">
        <v>0</v>
      </c>
      <c r="AW346" s="314">
        <v>0</v>
      </c>
      <c r="AX346">
        <v>0</v>
      </c>
    </row>
    <row r="347" spans="1:50" x14ac:dyDescent="0.35">
      <c r="A347">
        <v>318</v>
      </c>
      <c r="B347" t="s">
        <v>80</v>
      </c>
      <c r="C347" t="s">
        <v>1054</v>
      </c>
      <c r="D347">
        <v>0</v>
      </c>
      <c r="E347" t="s">
        <v>98</v>
      </c>
      <c r="F347">
        <v>36</v>
      </c>
      <c r="G347">
        <v>38</v>
      </c>
      <c r="H347">
        <v>30</v>
      </c>
      <c r="I347">
        <v>20</v>
      </c>
      <c r="J347" s="600">
        <v>124</v>
      </c>
      <c r="K347" s="7">
        <f t="shared" si="69"/>
        <v>5</v>
      </c>
      <c r="L347" s="7">
        <f t="shared" si="70"/>
        <v>0</v>
      </c>
      <c r="M347" s="243">
        <f t="shared" si="71"/>
        <v>5448.334420786834</v>
      </c>
      <c r="N347" s="243">
        <f>INDEX($AN$4:$AN21243,MATCH($A347,$AH$4:$AH$2000,0))</f>
        <v>5751.0196663861025</v>
      </c>
      <c r="O347" s="243">
        <f t="shared" si="76"/>
        <v>4540.2786839890287</v>
      </c>
      <c r="P347" s="243">
        <f t="shared" si="72"/>
        <v>3026.8524559926855</v>
      </c>
      <c r="Q347" s="243">
        <f t="shared" si="73"/>
        <v>-107.71717149935424</v>
      </c>
      <c r="R347" s="243">
        <f t="shared" si="74"/>
        <v>-113.70145880487392</v>
      </c>
      <c r="S347" s="243">
        <f t="shared" si="77"/>
        <v>-89.764309582795192</v>
      </c>
      <c r="T347" s="243">
        <f t="shared" si="75"/>
        <v>-59.842873055196797</v>
      </c>
      <c r="AA347" s="6">
        <v>438</v>
      </c>
      <c r="AB347" t="s">
        <v>80</v>
      </c>
      <c r="AC347" t="s">
        <v>1032</v>
      </c>
      <c r="AD347" t="s">
        <v>4</v>
      </c>
      <c r="AE347" t="s">
        <v>96</v>
      </c>
      <c r="AF347">
        <v>8</v>
      </c>
      <c r="AH347">
        <v>318</v>
      </c>
      <c r="AI347" t="s">
        <v>80</v>
      </c>
      <c r="AJ347" t="s">
        <v>1054</v>
      </c>
      <c r="AK347">
        <v>0</v>
      </c>
      <c r="AL347" t="s">
        <v>98</v>
      </c>
      <c r="AM347" s="314">
        <v>5448.334420786834</v>
      </c>
      <c r="AN347" s="314">
        <v>5751.0196663861025</v>
      </c>
      <c r="AO347" s="314">
        <v>4540.2786839890287</v>
      </c>
      <c r="AP347" s="314">
        <v>3026.8524559926855</v>
      </c>
      <c r="AQ347" s="314">
        <v>0.58153994329009706</v>
      </c>
      <c r="AR347" s="314">
        <v>0.61384771791732473</v>
      </c>
      <c r="AS347" s="314">
        <v>0.48461661940841422</v>
      </c>
      <c r="AT347" s="314">
        <v>0.32307774627227615</v>
      </c>
      <c r="AU347" s="314">
        <v>-107.71717149935424</v>
      </c>
      <c r="AV347" s="314">
        <v>-113.70145880487392</v>
      </c>
      <c r="AW347" s="314">
        <v>-89.764309582795192</v>
      </c>
      <c r="AX347">
        <v>-59.842873055196797</v>
      </c>
    </row>
    <row r="348" spans="1:50" x14ac:dyDescent="0.35">
      <c r="A348">
        <v>314</v>
      </c>
      <c r="B348" t="s">
        <v>80</v>
      </c>
      <c r="C348" t="s">
        <v>1054</v>
      </c>
      <c r="D348">
        <v>0</v>
      </c>
      <c r="E348" t="s">
        <v>99</v>
      </c>
      <c r="F348">
        <v>5</v>
      </c>
      <c r="G348">
        <v>5</v>
      </c>
      <c r="H348">
        <v>4</v>
      </c>
      <c r="I348">
        <v>3</v>
      </c>
      <c r="J348" s="600">
        <v>17</v>
      </c>
      <c r="K348" s="7">
        <f t="shared" si="69"/>
        <v>5</v>
      </c>
      <c r="L348" s="7">
        <f t="shared" si="70"/>
        <v>0</v>
      </c>
      <c r="M348" s="243">
        <f t="shared" si="71"/>
        <v>859.3978417901759</v>
      </c>
      <c r="N348" s="243">
        <f>INDEX($AN$4:$AN21244,MATCH($A348,$AH$4:$AH$2000,0))</f>
        <v>859.3978417901759</v>
      </c>
      <c r="O348" s="243">
        <f t="shared" si="76"/>
        <v>687.51827343214075</v>
      </c>
      <c r="P348" s="243">
        <f t="shared" si="72"/>
        <v>515.63870507410559</v>
      </c>
      <c r="Q348" s="243">
        <f t="shared" si="73"/>
        <v>-11.176065577225252</v>
      </c>
      <c r="R348" s="243">
        <f t="shared" si="74"/>
        <v>-11.176065577225252</v>
      </c>
      <c r="S348" s="243">
        <f t="shared" si="77"/>
        <v>-8.9408524617802012</v>
      </c>
      <c r="T348" s="243">
        <f t="shared" si="75"/>
        <v>-6.7056393463351505</v>
      </c>
      <c r="AA348" s="6">
        <v>436</v>
      </c>
      <c r="AB348" t="s">
        <v>80</v>
      </c>
      <c r="AC348" t="s">
        <v>1032</v>
      </c>
      <c r="AD348" t="s">
        <v>4</v>
      </c>
      <c r="AE348" t="s">
        <v>1936</v>
      </c>
      <c r="AF348">
        <v>15</v>
      </c>
      <c r="AG348">
        <v>1</v>
      </c>
      <c r="AH348">
        <v>314</v>
      </c>
      <c r="AI348" t="s">
        <v>80</v>
      </c>
      <c r="AJ348" t="s">
        <v>1054</v>
      </c>
      <c r="AK348">
        <v>0</v>
      </c>
      <c r="AL348" t="s">
        <v>99</v>
      </c>
      <c r="AM348" s="314">
        <v>859.3978417901759</v>
      </c>
      <c r="AN348" s="314">
        <v>859.3978417901759</v>
      </c>
      <c r="AO348" s="314">
        <v>687.51827343214075</v>
      </c>
      <c r="AP348" s="314">
        <v>515.63870507410559</v>
      </c>
      <c r="AQ348" s="314">
        <v>0.2533355895405639</v>
      </c>
      <c r="AR348" s="314">
        <v>0.2533355895405639</v>
      </c>
      <c r="AS348" s="314">
        <v>0.20266847163245114</v>
      </c>
      <c r="AT348" s="314">
        <v>0.15200135372433835</v>
      </c>
      <c r="AU348" s="314">
        <v>-11.176065577225252</v>
      </c>
      <c r="AV348" s="314">
        <v>-11.176065577225252</v>
      </c>
      <c r="AW348" s="314">
        <v>-8.9408524617802012</v>
      </c>
      <c r="AX348">
        <v>-6.7056393463351505</v>
      </c>
    </row>
    <row r="349" spans="1:50" x14ac:dyDescent="0.35">
      <c r="A349">
        <v>311</v>
      </c>
      <c r="B349" t="s">
        <v>80</v>
      </c>
      <c r="C349" t="s">
        <v>1054</v>
      </c>
      <c r="D349">
        <v>0</v>
      </c>
      <c r="E349" t="s">
        <v>1863</v>
      </c>
      <c r="F349">
        <v>13000</v>
      </c>
      <c r="G349">
        <v>0</v>
      </c>
      <c r="H349">
        <v>0</v>
      </c>
      <c r="I349">
        <v>0</v>
      </c>
      <c r="J349" s="600">
        <v>13000</v>
      </c>
      <c r="K349" s="7">
        <f t="shared" si="69"/>
        <v>15</v>
      </c>
      <c r="L349" s="7">
        <f t="shared" si="70"/>
        <v>1</v>
      </c>
      <c r="M349" s="243">
        <f t="shared" si="71"/>
        <v>6655919.5025311755</v>
      </c>
      <c r="N349" s="243">
        <f>INDEX($AN$4:$AN21245,MATCH($A349,$AH$4:$AH$2000,0))</f>
        <v>0</v>
      </c>
      <c r="O349" s="243">
        <f t="shared" si="76"/>
        <v>0</v>
      </c>
      <c r="P349" s="243">
        <f t="shared" si="72"/>
        <v>0</v>
      </c>
      <c r="Q349" s="243">
        <f t="shared" si="73"/>
        <v>-132460.14753052284</v>
      </c>
      <c r="R349" s="243">
        <f t="shared" si="74"/>
        <v>0</v>
      </c>
      <c r="S349" s="243">
        <f t="shared" si="77"/>
        <v>0</v>
      </c>
      <c r="T349" s="243">
        <f t="shared" si="75"/>
        <v>0</v>
      </c>
      <c r="AA349" s="6">
        <v>458</v>
      </c>
      <c r="AB349" t="s">
        <v>80</v>
      </c>
      <c r="AC349" t="s">
        <v>1032</v>
      </c>
      <c r="AD349" t="s">
        <v>4</v>
      </c>
      <c r="AE349" t="s">
        <v>1861</v>
      </c>
      <c r="AF349">
        <v>11</v>
      </c>
      <c r="AG349">
        <v>1</v>
      </c>
      <c r="AH349">
        <v>311</v>
      </c>
      <c r="AI349" t="s">
        <v>80</v>
      </c>
      <c r="AJ349" t="s">
        <v>1054</v>
      </c>
      <c r="AK349">
        <v>0</v>
      </c>
      <c r="AL349" t="s">
        <v>1863</v>
      </c>
      <c r="AM349" s="314">
        <v>6655919.5025311755</v>
      </c>
      <c r="AN349" s="314">
        <v>0</v>
      </c>
      <c r="AO349" s="314">
        <v>0</v>
      </c>
      <c r="AP349" s="314">
        <v>0</v>
      </c>
      <c r="AQ349" s="314">
        <v>1160.7995397257228</v>
      </c>
      <c r="AR349" s="314">
        <v>0</v>
      </c>
      <c r="AS349" s="314">
        <v>0</v>
      </c>
      <c r="AT349" s="314">
        <v>0</v>
      </c>
      <c r="AU349" s="314">
        <v>-132460.14753052284</v>
      </c>
      <c r="AV349" s="314">
        <v>0</v>
      </c>
      <c r="AW349" s="314">
        <v>0</v>
      </c>
      <c r="AX349">
        <v>0</v>
      </c>
    </row>
    <row r="350" spans="1:50" x14ac:dyDescent="0.35">
      <c r="A350">
        <v>265</v>
      </c>
      <c r="B350" t="s">
        <v>80</v>
      </c>
      <c r="C350" t="s">
        <v>1054</v>
      </c>
      <c r="D350">
        <v>0</v>
      </c>
      <c r="E350" t="s">
        <v>101</v>
      </c>
      <c r="F350">
        <v>9</v>
      </c>
      <c r="G350">
        <v>10</v>
      </c>
      <c r="H350">
        <v>10</v>
      </c>
      <c r="I350">
        <v>10</v>
      </c>
      <c r="J350" s="600">
        <v>39</v>
      </c>
      <c r="K350" s="7">
        <f t="shared" si="69"/>
        <v>3</v>
      </c>
      <c r="L350" s="7">
        <f t="shared" si="70"/>
        <v>0</v>
      </c>
      <c r="M350" s="243">
        <f t="shared" si="71"/>
        <v>7111.8</v>
      </c>
      <c r="N350" s="243">
        <f>INDEX($AN$4:$AN21246,MATCH($A350,$AH$4:$AH$2000,0))</f>
        <v>7902</v>
      </c>
      <c r="O350" s="243">
        <f t="shared" si="76"/>
        <v>7902</v>
      </c>
      <c r="P350" s="243">
        <f t="shared" si="72"/>
        <v>7902</v>
      </c>
      <c r="Q350" s="243">
        <f t="shared" si="73"/>
        <v>0</v>
      </c>
      <c r="R350" s="243">
        <f t="shared" si="74"/>
        <v>0</v>
      </c>
      <c r="S350" s="243">
        <f t="shared" si="77"/>
        <v>0</v>
      </c>
      <c r="T350" s="243">
        <f t="shared" si="75"/>
        <v>0</v>
      </c>
      <c r="AA350" s="6">
        <v>409</v>
      </c>
      <c r="AB350" t="s">
        <v>80</v>
      </c>
      <c r="AC350" t="s">
        <v>1032</v>
      </c>
      <c r="AE350" t="s">
        <v>1862</v>
      </c>
      <c r="AF350">
        <v>15</v>
      </c>
      <c r="AG350">
        <v>1</v>
      </c>
      <c r="AH350">
        <v>265</v>
      </c>
      <c r="AI350" t="s">
        <v>80</v>
      </c>
      <c r="AJ350" t="s">
        <v>1054</v>
      </c>
      <c r="AK350">
        <v>0</v>
      </c>
      <c r="AL350" t="s">
        <v>101</v>
      </c>
      <c r="AM350" s="314">
        <v>7111.8</v>
      </c>
      <c r="AN350" s="314">
        <v>7902</v>
      </c>
      <c r="AO350" s="314">
        <v>7902</v>
      </c>
      <c r="AP350" s="314">
        <v>7902</v>
      </c>
      <c r="AQ350" s="314">
        <v>3.1590000000000003</v>
      </c>
      <c r="AR350" s="314">
        <v>3.5100000000000002</v>
      </c>
      <c r="AS350" s="314">
        <v>3.5100000000000002</v>
      </c>
      <c r="AT350" s="314">
        <v>3.5100000000000002</v>
      </c>
      <c r="AU350" s="314">
        <v>0</v>
      </c>
      <c r="AV350" s="314">
        <v>0</v>
      </c>
      <c r="AW350" s="314">
        <v>0</v>
      </c>
      <c r="AX350">
        <v>0</v>
      </c>
    </row>
    <row r="351" spans="1:50" x14ac:dyDescent="0.35">
      <c r="A351">
        <v>360</v>
      </c>
      <c r="B351" t="s">
        <v>80</v>
      </c>
      <c r="C351" t="s">
        <v>1054</v>
      </c>
      <c r="D351">
        <v>0</v>
      </c>
      <c r="E351" t="s">
        <v>213</v>
      </c>
      <c r="F351">
        <v>4</v>
      </c>
      <c r="G351">
        <v>5</v>
      </c>
      <c r="H351">
        <v>5</v>
      </c>
      <c r="I351">
        <v>5</v>
      </c>
      <c r="J351" s="600">
        <v>19</v>
      </c>
      <c r="K351" s="7">
        <f t="shared" si="69"/>
        <v>15</v>
      </c>
      <c r="L351" s="7">
        <f t="shared" si="70"/>
        <v>0</v>
      </c>
      <c r="M351" s="243">
        <f t="shared" si="71"/>
        <v>1851.768</v>
      </c>
      <c r="N351" s="243">
        <f>INDEX($AN$4:$AN21247,MATCH($A351,$AH$4:$AH$2000,0))</f>
        <v>2314.71</v>
      </c>
      <c r="O351" s="243">
        <f t="shared" si="76"/>
        <v>2314.71</v>
      </c>
      <c r="P351" s="243">
        <f t="shared" si="72"/>
        <v>2314.71</v>
      </c>
      <c r="Q351" s="243">
        <f t="shared" si="73"/>
        <v>0</v>
      </c>
      <c r="R351" s="243">
        <f t="shared" si="74"/>
        <v>0</v>
      </c>
      <c r="S351" s="243">
        <f t="shared" si="77"/>
        <v>0</v>
      </c>
      <c r="T351" s="243">
        <f t="shared" si="75"/>
        <v>0</v>
      </c>
      <c r="AA351" s="6">
        <v>411</v>
      </c>
      <c r="AB351" t="s">
        <v>80</v>
      </c>
      <c r="AC351" t="s">
        <v>1032</v>
      </c>
      <c r="AE351" t="s">
        <v>97</v>
      </c>
      <c r="AF351">
        <v>8</v>
      </c>
      <c r="AH351">
        <v>360</v>
      </c>
      <c r="AI351" t="s">
        <v>80</v>
      </c>
      <c r="AJ351" t="s">
        <v>1054</v>
      </c>
      <c r="AK351">
        <v>0</v>
      </c>
      <c r="AL351" t="s">
        <v>213</v>
      </c>
      <c r="AM351" s="314">
        <v>1851.768</v>
      </c>
      <c r="AN351" s="314">
        <v>2314.71</v>
      </c>
      <c r="AO351" s="314">
        <v>2314.71</v>
      </c>
      <c r="AP351" s="314">
        <v>2314.71</v>
      </c>
      <c r="AQ351" s="314">
        <v>1.8</v>
      </c>
      <c r="AR351" s="314">
        <v>2.25</v>
      </c>
      <c r="AS351" s="314">
        <v>2.25</v>
      </c>
      <c r="AT351" s="314">
        <v>2.25</v>
      </c>
      <c r="AU351" s="314">
        <v>0</v>
      </c>
      <c r="AV351" s="314">
        <v>0</v>
      </c>
      <c r="AW351" s="314">
        <v>0</v>
      </c>
      <c r="AX351">
        <v>0</v>
      </c>
    </row>
    <row r="352" spans="1:50" x14ac:dyDescent="0.35">
      <c r="A352">
        <v>358</v>
      </c>
      <c r="B352" t="s">
        <v>80</v>
      </c>
      <c r="C352" t="s">
        <v>1054</v>
      </c>
      <c r="D352">
        <v>0</v>
      </c>
      <c r="E352" t="s">
        <v>214</v>
      </c>
      <c r="F352">
        <v>2</v>
      </c>
      <c r="G352">
        <v>3</v>
      </c>
      <c r="H352">
        <v>3</v>
      </c>
      <c r="I352">
        <v>3</v>
      </c>
      <c r="J352" s="600">
        <v>11</v>
      </c>
      <c r="K352" s="7">
        <f t="shared" si="69"/>
        <v>15</v>
      </c>
      <c r="L352" s="7">
        <f t="shared" si="70"/>
        <v>0</v>
      </c>
      <c r="M352" s="243">
        <f t="shared" si="71"/>
        <v>1340.1000000000001</v>
      </c>
      <c r="N352" s="243">
        <f>INDEX($AN$4:$AN21248,MATCH($A352,$AH$4:$AH$2000,0))</f>
        <v>2010.15</v>
      </c>
      <c r="O352" s="243">
        <f t="shared" si="76"/>
        <v>2010.15</v>
      </c>
      <c r="P352" s="243">
        <f t="shared" si="72"/>
        <v>2010.15</v>
      </c>
      <c r="Q352" s="243">
        <f t="shared" si="73"/>
        <v>0</v>
      </c>
      <c r="R352" s="243">
        <f t="shared" si="74"/>
        <v>0</v>
      </c>
      <c r="S352" s="243">
        <f t="shared" si="77"/>
        <v>0</v>
      </c>
      <c r="T352" s="243">
        <f t="shared" si="75"/>
        <v>0</v>
      </c>
      <c r="AA352" s="6">
        <v>448</v>
      </c>
      <c r="AB352" t="s">
        <v>80</v>
      </c>
      <c r="AC352" t="s">
        <v>1032</v>
      </c>
      <c r="AD352" t="s">
        <v>4</v>
      </c>
      <c r="AE352" t="s">
        <v>98</v>
      </c>
      <c r="AF352" s="1">
        <v>5</v>
      </c>
      <c r="AH352">
        <v>358</v>
      </c>
      <c r="AI352" t="s">
        <v>80</v>
      </c>
      <c r="AJ352" t="s">
        <v>1054</v>
      </c>
      <c r="AK352">
        <v>0</v>
      </c>
      <c r="AL352" t="s">
        <v>214</v>
      </c>
      <c r="AM352" s="314">
        <v>1340.1000000000001</v>
      </c>
      <c r="AN352" s="314">
        <v>2010.15</v>
      </c>
      <c r="AO352" s="314">
        <v>2010.15</v>
      </c>
      <c r="AP352" s="314">
        <v>2010.15</v>
      </c>
      <c r="AQ352" s="314">
        <v>1.3446</v>
      </c>
      <c r="AR352" s="314">
        <v>2.0169000000000001</v>
      </c>
      <c r="AS352" s="314">
        <v>2.0169000000000001</v>
      </c>
      <c r="AT352" s="314">
        <v>2.0169000000000001</v>
      </c>
      <c r="AU352" s="314">
        <v>0</v>
      </c>
      <c r="AV352" s="314">
        <v>0</v>
      </c>
      <c r="AW352" s="314">
        <v>0</v>
      </c>
      <c r="AX352">
        <v>0</v>
      </c>
    </row>
    <row r="353" spans="1:50" x14ac:dyDescent="0.35">
      <c r="A353">
        <v>357</v>
      </c>
      <c r="B353" t="s">
        <v>80</v>
      </c>
      <c r="C353" t="s">
        <v>1054</v>
      </c>
      <c r="D353">
        <v>0</v>
      </c>
      <c r="E353" t="s">
        <v>215</v>
      </c>
      <c r="F353">
        <v>1</v>
      </c>
      <c r="G353">
        <v>2</v>
      </c>
      <c r="H353">
        <v>2</v>
      </c>
      <c r="I353">
        <v>2</v>
      </c>
      <c r="J353" s="600">
        <v>7</v>
      </c>
      <c r="K353" s="7">
        <f t="shared" si="69"/>
        <v>15</v>
      </c>
      <c r="L353" s="7">
        <f t="shared" si="70"/>
        <v>0</v>
      </c>
      <c r="M353" s="243">
        <f t="shared" si="71"/>
        <v>8426.8889999999992</v>
      </c>
      <c r="N353" s="243">
        <f>INDEX($AN$4:$AN21249,MATCH($A353,$AH$4:$AH$2000,0))</f>
        <v>16853.777999999998</v>
      </c>
      <c r="O353" s="243">
        <f t="shared" si="76"/>
        <v>16853.777999999998</v>
      </c>
      <c r="P353" s="243">
        <f t="shared" si="72"/>
        <v>16853.777999999998</v>
      </c>
      <c r="Q353" s="243">
        <f t="shared" si="73"/>
        <v>0</v>
      </c>
      <c r="R353" s="243">
        <f t="shared" si="74"/>
        <v>0</v>
      </c>
      <c r="S353" s="243">
        <f t="shared" si="77"/>
        <v>0</v>
      </c>
      <c r="T353" s="243">
        <f t="shared" si="75"/>
        <v>0</v>
      </c>
      <c r="AA353" s="6">
        <v>442</v>
      </c>
      <c r="AB353" t="s">
        <v>80</v>
      </c>
      <c r="AC353" t="s">
        <v>1032</v>
      </c>
      <c r="AD353" t="s">
        <v>4</v>
      </c>
      <c r="AE353" t="s">
        <v>99</v>
      </c>
      <c r="AF353" s="1">
        <v>5</v>
      </c>
      <c r="AH353">
        <v>357</v>
      </c>
      <c r="AI353" t="s">
        <v>80</v>
      </c>
      <c r="AJ353" t="s">
        <v>1054</v>
      </c>
      <c r="AK353">
        <v>0</v>
      </c>
      <c r="AL353" t="s">
        <v>215</v>
      </c>
      <c r="AM353" s="314">
        <v>8426.8889999999992</v>
      </c>
      <c r="AN353" s="314">
        <v>16853.777999999998</v>
      </c>
      <c r="AO353" s="314">
        <v>16853.777999999998</v>
      </c>
      <c r="AP353" s="314">
        <v>16853.777999999998</v>
      </c>
      <c r="AQ353" s="314">
        <v>8.343</v>
      </c>
      <c r="AR353" s="314">
        <v>16.686</v>
      </c>
      <c r="AS353" s="314">
        <v>16.686</v>
      </c>
      <c r="AT353" s="314">
        <v>16.686</v>
      </c>
      <c r="AU353" s="314">
        <v>0</v>
      </c>
      <c r="AV353" s="314">
        <v>0</v>
      </c>
      <c r="AW353" s="314">
        <v>0</v>
      </c>
      <c r="AX353">
        <v>0</v>
      </c>
    </row>
    <row r="354" spans="1:50" x14ac:dyDescent="0.35">
      <c r="A354">
        <v>267</v>
      </c>
      <c r="B354" t="s">
        <v>80</v>
      </c>
      <c r="C354" t="s">
        <v>1054</v>
      </c>
      <c r="D354">
        <v>0</v>
      </c>
      <c r="E354" t="s">
        <v>217</v>
      </c>
      <c r="F354">
        <v>1</v>
      </c>
      <c r="G354">
        <v>2</v>
      </c>
      <c r="H354">
        <v>2</v>
      </c>
      <c r="I354">
        <v>2</v>
      </c>
      <c r="J354" s="600">
        <v>7</v>
      </c>
      <c r="K354" s="7">
        <f t="shared" si="69"/>
        <v>23</v>
      </c>
      <c r="L354" s="7">
        <f t="shared" si="70"/>
        <v>0</v>
      </c>
      <c r="M354" s="243">
        <f t="shared" si="71"/>
        <v>7193.7</v>
      </c>
      <c r="N354" s="243">
        <f>INDEX($AN$4:$AN21250,MATCH($A354,$AH$4:$AH$2000,0))</f>
        <v>14387.4</v>
      </c>
      <c r="O354" s="243">
        <f t="shared" si="76"/>
        <v>14387.4</v>
      </c>
      <c r="P354" s="243">
        <f t="shared" si="72"/>
        <v>14387.4</v>
      </c>
      <c r="Q354" s="243">
        <f t="shared" si="73"/>
        <v>0</v>
      </c>
      <c r="R354" s="243">
        <f t="shared" si="74"/>
        <v>0</v>
      </c>
      <c r="S354" s="243">
        <f t="shared" si="77"/>
        <v>0</v>
      </c>
      <c r="T354" s="243">
        <f t="shared" si="75"/>
        <v>0</v>
      </c>
      <c r="AA354" s="6">
        <v>441</v>
      </c>
      <c r="AB354" t="s">
        <v>80</v>
      </c>
      <c r="AC354" t="s">
        <v>1032</v>
      </c>
      <c r="AD354" t="s">
        <v>4</v>
      </c>
      <c r="AE354" t="s">
        <v>1863</v>
      </c>
      <c r="AF354">
        <v>15</v>
      </c>
      <c r="AG354">
        <v>1</v>
      </c>
      <c r="AH354">
        <v>267</v>
      </c>
      <c r="AI354" t="s">
        <v>80</v>
      </c>
      <c r="AJ354" t="s">
        <v>1054</v>
      </c>
      <c r="AK354">
        <v>0</v>
      </c>
      <c r="AL354" t="s">
        <v>217</v>
      </c>
      <c r="AM354" s="314">
        <v>7193.7</v>
      </c>
      <c r="AN354" s="314">
        <v>14387.4</v>
      </c>
      <c r="AO354" s="314">
        <v>14387.4</v>
      </c>
      <c r="AP354" s="314">
        <v>14387.4</v>
      </c>
      <c r="AQ354" s="314">
        <v>5.9940000000000007</v>
      </c>
      <c r="AR354" s="314">
        <v>11.988000000000001</v>
      </c>
      <c r="AS354" s="314">
        <v>11.988000000000001</v>
      </c>
      <c r="AT354" s="314">
        <v>11.988000000000001</v>
      </c>
      <c r="AU354" s="314">
        <v>0</v>
      </c>
      <c r="AV354" s="314">
        <v>0</v>
      </c>
      <c r="AW354" s="314">
        <v>0</v>
      </c>
      <c r="AX354">
        <v>0</v>
      </c>
    </row>
    <row r="355" spans="1:50" x14ac:dyDescent="0.35">
      <c r="A355">
        <v>361</v>
      </c>
      <c r="B355" t="s">
        <v>80</v>
      </c>
      <c r="C355" t="s">
        <v>1054</v>
      </c>
      <c r="D355">
        <v>0</v>
      </c>
      <c r="E355" t="s">
        <v>218</v>
      </c>
      <c r="F355">
        <v>1</v>
      </c>
      <c r="G355">
        <v>2</v>
      </c>
      <c r="H355">
        <v>2</v>
      </c>
      <c r="I355">
        <v>2</v>
      </c>
      <c r="J355" s="600">
        <v>7</v>
      </c>
      <c r="K355" s="7">
        <f t="shared" si="69"/>
        <v>15</v>
      </c>
      <c r="L355" s="7">
        <f t="shared" si="70"/>
        <v>0</v>
      </c>
      <c r="M355" s="243">
        <f t="shared" si="71"/>
        <v>2565.2034000000003</v>
      </c>
      <c r="N355" s="243">
        <f>INDEX($AN$4:$AN21251,MATCH($A355,$AH$4:$AH$2000,0))</f>
        <v>5130.4068000000007</v>
      </c>
      <c r="O355" s="243">
        <f t="shared" si="76"/>
        <v>5130.4068000000007</v>
      </c>
      <c r="P355" s="243">
        <f t="shared" si="72"/>
        <v>5130.4068000000007</v>
      </c>
      <c r="Q355" s="243">
        <f t="shared" si="73"/>
        <v>0</v>
      </c>
      <c r="R355" s="243">
        <f t="shared" si="74"/>
        <v>0</v>
      </c>
      <c r="S355" s="243">
        <f t="shared" si="77"/>
        <v>0</v>
      </c>
      <c r="T355" s="243">
        <f t="shared" si="75"/>
        <v>0</v>
      </c>
      <c r="AA355" s="6">
        <v>430</v>
      </c>
      <c r="AB355" t="s">
        <v>80</v>
      </c>
      <c r="AC355" t="s">
        <v>1032</v>
      </c>
      <c r="AE355" t="s">
        <v>102</v>
      </c>
      <c r="AF355">
        <v>15</v>
      </c>
      <c r="AH355">
        <v>361</v>
      </c>
      <c r="AI355" t="s">
        <v>80</v>
      </c>
      <c r="AJ355" t="s">
        <v>1054</v>
      </c>
      <c r="AK355">
        <v>0</v>
      </c>
      <c r="AL355" t="s">
        <v>218</v>
      </c>
      <c r="AM355" s="314">
        <v>2565.2034000000003</v>
      </c>
      <c r="AN355" s="314">
        <v>5130.4068000000007</v>
      </c>
      <c r="AO355" s="314">
        <v>5130.4068000000007</v>
      </c>
      <c r="AP355" s="314">
        <v>5130.4068000000007</v>
      </c>
      <c r="AQ355" s="314">
        <v>2.556</v>
      </c>
      <c r="AR355" s="314">
        <v>5.1120000000000001</v>
      </c>
      <c r="AS355" s="314">
        <v>5.1120000000000001</v>
      </c>
      <c r="AT355" s="314">
        <v>5.1120000000000001</v>
      </c>
      <c r="AU355" s="314">
        <v>0</v>
      </c>
      <c r="AV355" s="314">
        <v>0</v>
      </c>
      <c r="AW355" s="314">
        <v>0</v>
      </c>
      <c r="AX355">
        <v>0</v>
      </c>
    </row>
    <row r="356" spans="1:50" x14ac:dyDescent="0.35">
      <c r="A356">
        <v>266</v>
      </c>
      <c r="B356" t="s">
        <v>80</v>
      </c>
      <c r="C356" t="s">
        <v>1054</v>
      </c>
      <c r="D356">
        <v>0</v>
      </c>
      <c r="E356" t="s">
        <v>219</v>
      </c>
      <c r="F356">
        <v>1</v>
      </c>
      <c r="G356">
        <v>2</v>
      </c>
      <c r="H356">
        <v>2</v>
      </c>
      <c r="I356">
        <v>2</v>
      </c>
      <c r="J356" s="600">
        <v>7</v>
      </c>
      <c r="K356" s="7">
        <f t="shared" si="69"/>
        <v>23</v>
      </c>
      <c r="L356" s="7">
        <f t="shared" si="70"/>
        <v>0</v>
      </c>
      <c r="M356" s="243">
        <f t="shared" si="71"/>
        <v>15778.800000000001</v>
      </c>
      <c r="N356" s="243">
        <f>INDEX($AN$4:$AN21252,MATCH($A356,$AH$4:$AH$2000,0))</f>
        <v>31557.600000000002</v>
      </c>
      <c r="O356" s="243">
        <f t="shared" si="76"/>
        <v>31557.600000000002</v>
      </c>
      <c r="P356" s="243">
        <f t="shared" si="72"/>
        <v>31557.600000000002</v>
      </c>
      <c r="Q356" s="243">
        <f t="shared" si="73"/>
        <v>0</v>
      </c>
      <c r="R356" s="243">
        <f t="shared" si="74"/>
        <v>0</v>
      </c>
      <c r="S356" s="243">
        <f t="shared" si="77"/>
        <v>0</v>
      </c>
      <c r="T356" s="243">
        <f t="shared" si="75"/>
        <v>0</v>
      </c>
      <c r="AA356" s="6">
        <v>403</v>
      </c>
      <c r="AB356" t="s">
        <v>80</v>
      </c>
      <c r="AC356" t="s">
        <v>1032</v>
      </c>
      <c r="AE356" t="s">
        <v>222</v>
      </c>
      <c r="AF356">
        <v>5</v>
      </c>
      <c r="AH356">
        <v>266</v>
      </c>
      <c r="AI356" t="s">
        <v>80</v>
      </c>
      <c r="AJ356" t="s">
        <v>1054</v>
      </c>
      <c r="AK356">
        <v>0</v>
      </c>
      <c r="AL356" t="s">
        <v>219</v>
      </c>
      <c r="AM356" s="314">
        <v>15778.800000000001</v>
      </c>
      <c r="AN356" s="314">
        <v>31557.600000000002</v>
      </c>
      <c r="AO356" s="314">
        <v>31557.600000000002</v>
      </c>
      <c r="AP356" s="314">
        <v>31557.600000000002</v>
      </c>
      <c r="AQ356" s="314">
        <v>16.02</v>
      </c>
      <c r="AR356" s="314">
        <v>32.04</v>
      </c>
      <c r="AS356" s="314">
        <v>32.04</v>
      </c>
      <c r="AT356" s="314">
        <v>32.04</v>
      </c>
      <c r="AU356" s="314">
        <v>0</v>
      </c>
      <c r="AV356" s="314">
        <v>0</v>
      </c>
      <c r="AW356" s="314">
        <v>0</v>
      </c>
      <c r="AX356">
        <v>0</v>
      </c>
    </row>
    <row r="357" spans="1:50" x14ac:dyDescent="0.35">
      <c r="A357">
        <v>364</v>
      </c>
      <c r="B357" t="s">
        <v>80</v>
      </c>
      <c r="C357" t="s">
        <v>1054</v>
      </c>
      <c r="D357">
        <v>0</v>
      </c>
      <c r="E357" t="s">
        <v>102</v>
      </c>
      <c r="F357">
        <v>36</v>
      </c>
      <c r="G357">
        <v>36</v>
      </c>
      <c r="H357">
        <v>37</v>
      </c>
      <c r="I357">
        <v>37</v>
      </c>
      <c r="J357" s="600">
        <v>146</v>
      </c>
      <c r="K357" s="7">
        <f t="shared" si="69"/>
        <v>15</v>
      </c>
      <c r="L357" s="7">
        <f t="shared" si="70"/>
        <v>0</v>
      </c>
      <c r="M357" s="243">
        <f t="shared" si="71"/>
        <v>80345.934783150296</v>
      </c>
      <c r="N357" s="243">
        <f>INDEX($AN$4:$AN21253,MATCH($A357,$AH$4:$AH$2000,0))</f>
        <v>80345.934783150296</v>
      </c>
      <c r="O357" s="243">
        <f t="shared" si="76"/>
        <v>82577.766304904479</v>
      </c>
      <c r="P357" s="243">
        <f t="shared" si="72"/>
        <v>82577.766304904479</v>
      </c>
      <c r="Q357" s="243">
        <f t="shared" si="73"/>
        <v>0</v>
      </c>
      <c r="R357" s="243">
        <f t="shared" si="74"/>
        <v>0</v>
      </c>
      <c r="S357" s="243">
        <f t="shared" si="77"/>
        <v>0</v>
      </c>
      <c r="T357" s="243">
        <f t="shared" si="75"/>
        <v>0</v>
      </c>
      <c r="AA357" s="6">
        <v>428</v>
      </c>
      <c r="AB357" t="s">
        <v>80</v>
      </c>
      <c r="AC357" t="s">
        <v>1032</v>
      </c>
      <c r="AE357" t="s">
        <v>223</v>
      </c>
      <c r="AF357">
        <v>5</v>
      </c>
      <c r="AH357">
        <v>364</v>
      </c>
      <c r="AI357" t="s">
        <v>80</v>
      </c>
      <c r="AJ357" t="s">
        <v>1054</v>
      </c>
      <c r="AK357">
        <v>0</v>
      </c>
      <c r="AL357" t="s">
        <v>102</v>
      </c>
      <c r="AM357" s="314">
        <v>80345.934783150296</v>
      </c>
      <c r="AN357" s="314">
        <v>80345.934783150296</v>
      </c>
      <c r="AO357" s="314">
        <v>82577.766304904479</v>
      </c>
      <c r="AP357" s="314">
        <v>82577.766304904479</v>
      </c>
      <c r="AQ357" s="314">
        <v>0</v>
      </c>
      <c r="AR357" s="314">
        <v>0</v>
      </c>
      <c r="AS357" s="314">
        <v>0</v>
      </c>
      <c r="AT357" s="314">
        <v>0</v>
      </c>
      <c r="AU357" s="314">
        <v>0</v>
      </c>
      <c r="AV357" s="314">
        <v>0</v>
      </c>
      <c r="AW357" s="314">
        <v>0</v>
      </c>
      <c r="AX357">
        <v>0</v>
      </c>
    </row>
    <row r="358" spans="1:50" x14ac:dyDescent="0.35">
      <c r="A358">
        <v>299</v>
      </c>
      <c r="B358" t="s">
        <v>80</v>
      </c>
      <c r="C358" t="s">
        <v>1054</v>
      </c>
      <c r="D358">
        <v>0</v>
      </c>
      <c r="E358" t="s">
        <v>103</v>
      </c>
      <c r="F358">
        <v>1</v>
      </c>
      <c r="G358">
        <v>1</v>
      </c>
      <c r="H358">
        <v>1</v>
      </c>
      <c r="I358">
        <v>1</v>
      </c>
      <c r="J358" s="600">
        <v>4</v>
      </c>
      <c r="K358" s="7">
        <f t="shared" si="69"/>
        <v>5</v>
      </c>
      <c r="L358" s="7">
        <f t="shared" si="70"/>
        <v>0</v>
      </c>
      <c r="M358" s="243">
        <f t="shared" si="71"/>
        <v>4505.1480000000001</v>
      </c>
      <c r="N358" s="243">
        <f>INDEX($AN$4:$AN21254,MATCH($A358,$AH$4:$AH$2000,0))</f>
        <v>4505.1480000000001</v>
      </c>
      <c r="O358" s="243">
        <f t="shared" si="76"/>
        <v>4505.1480000000001</v>
      </c>
      <c r="P358" s="243">
        <f t="shared" si="72"/>
        <v>4505.1480000000001</v>
      </c>
      <c r="Q358" s="243">
        <f t="shared" si="73"/>
        <v>0</v>
      </c>
      <c r="R358" s="243">
        <f t="shared" si="74"/>
        <v>0</v>
      </c>
      <c r="S358" s="243">
        <f t="shared" si="77"/>
        <v>0</v>
      </c>
      <c r="T358" s="243">
        <f t="shared" si="75"/>
        <v>0</v>
      </c>
      <c r="AA358" s="6">
        <v>429</v>
      </c>
      <c r="AB358" t="s">
        <v>80</v>
      </c>
      <c r="AC358" t="s">
        <v>1032</v>
      </c>
      <c r="AE358" t="s">
        <v>128</v>
      </c>
      <c r="AF358">
        <v>15</v>
      </c>
      <c r="AH358">
        <v>299</v>
      </c>
      <c r="AI358" t="s">
        <v>80</v>
      </c>
      <c r="AJ358" t="s">
        <v>1054</v>
      </c>
      <c r="AK358">
        <v>0</v>
      </c>
      <c r="AL358" t="s">
        <v>103</v>
      </c>
      <c r="AM358" s="314">
        <v>4505.1480000000001</v>
      </c>
      <c r="AN358" s="314">
        <v>4505.1480000000001</v>
      </c>
      <c r="AO358" s="314">
        <v>4505.1480000000001</v>
      </c>
      <c r="AP358" s="314">
        <v>4505.1480000000001</v>
      </c>
      <c r="AQ358" s="314">
        <v>0.51300000000000001</v>
      </c>
      <c r="AR358" s="314">
        <v>0.51300000000000001</v>
      </c>
      <c r="AS358" s="314">
        <v>0.51300000000000001</v>
      </c>
      <c r="AT358" s="314">
        <v>0.51300000000000001</v>
      </c>
      <c r="AU358" s="314">
        <v>0</v>
      </c>
      <c r="AV358" s="314">
        <v>0</v>
      </c>
      <c r="AW358" s="314">
        <v>0</v>
      </c>
      <c r="AX358">
        <v>0</v>
      </c>
    </row>
    <row r="359" spans="1:50" x14ac:dyDescent="0.35">
      <c r="A359">
        <v>302</v>
      </c>
      <c r="B359" t="s">
        <v>80</v>
      </c>
      <c r="C359" t="s">
        <v>1054</v>
      </c>
      <c r="D359">
        <v>0</v>
      </c>
      <c r="E359" t="s">
        <v>104</v>
      </c>
      <c r="F359">
        <v>0</v>
      </c>
      <c r="G359">
        <v>0</v>
      </c>
      <c r="H359">
        <v>1</v>
      </c>
      <c r="I359">
        <v>0</v>
      </c>
      <c r="J359" s="600">
        <v>1</v>
      </c>
      <c r="K359" s="7">
        <f t="shared" si="69"/>
        <v>5</v>
      </c>
      <c r="L359" s="7">
        <f t="shared" si="70"/>
        <v>0</v>
      </c>
      <c r="M359" s="243">
        <f t="shared" si="71"/>
        <v>0</v>
      </c>
      <c r="N359" s="243">
        <f>INDEX($AN$4:$AN21255,MATCH($A359,$AH$4:$AH$2000,0))</f>
        <v>0</v>
      </c>
      <c r="O359" s="243">
        <f t="shared" si="76"/>
        <v>7132.59</v>
      </c>
      <c r="P359" s="243">
        <f t="shared" si="72"/>
        <v>0</v>
      </c>
      <c r="Q359" s="243">
        <f t="shared" si="73"/>
        <v>0</v>
      </c>
      <c r="R359" s="243">
        <f t="shared" si="74"/>
        <v>0</v>
      </c>
      <c r="S359" s="243">
        <f t="shared" si="77"/>
        <v>0</v>
      </c>
      <c r="T359" s="243">
        <f t="shared" si="75"/>
        <v>0</v>
      </c>
      <c r="AA359" s="6">
        <v>404</v>
      </c>
      <c r="AB359" t="s">
        <v>80</v>
      </c>
      <c r="AC359" t="s">
        <v>1032</v>
      </c>
      <c r="AE359" t="s">
        <v>141</v>
      </c>
      <c r="AF359">
        <v>20</v>
      </c>
      <c r="AH359">
        <v>302</v>
      </c>
      <c r="AI359" t="s">
        <v>80</v>
      </c>
      <c r="AJ359" t="s">
        <v>1054</v>
      </c>
      <c r="AK359">
        <v>0</v>
      </c>
      <c r="AL359" t="s">
        <v>104</v>
      </c>
      <c r="AM359" s="314">
        <v>0</v>
      </c>
      <c r="AN359" s="314">
        <v>0</v>
      </c>
      <c r="AO359" s="314">
        <v>7132.59</v>
      </c>
      <c r="AP359" s="314">
        <v>0</v>
      </c>
      <c r="AQ359" s="314">
        <v>0</v>
      </c>
      <c r="AR359" s="314">
        <v>0</v>
      </c>
      <c r="AS359" s="314">
        <v>0.81</v>
      </c>
      <c r="AT359" s="314">
        <v>0</v>
      </c>
      <c r="AU359" s="314">
        <v>0</v>
      </c>
      <c r="AV359" s="314">
        <v>0</v>
      </c>
      <c r="AW359" s="314">
        <v>0</v>
      </c>
      <c r="AX359">
        <v>0</v>
      </c>
    </row>
    <row r="360" spans="1:50" x14ac:dyDescent="0.35">
      <c r="A360">
        <v>268</v>
      </c>
      <c r="B360" t="s">
        <v>80</v>
      </c>
      <c r="C360" t="s">
        <v>1054</v>
      </c>
      <c r="D360">
        <v>0</v>
      </c>
      <c r="E360" t="s">
        <v>222</v>
      </c>
      <c r="F360">
        <v>1</v>
      </c>
      <c r="G360">
        <v>1</v>
      </c>
      <c r="H360">
        <v>1</v>
      </c>
      <c r="I360">
        <v>1</v>
      </c>
      <c r="J360" s="600">
        <v>4</v>
      </c>
      <c r="K360" s="7">
        <f t="shared" si="69"/>
        <v>5</v>
      </c>
      <c r="L360" s="7">
        <f t="shared" si="70"/>
        <v>0</v>
      </c>
      <c r="M360" s="243">
        <f t="shared" si="71"/>
        <v>1270.1969999999999</v>
      </c>
      <c r="N360" s="243">
        <f>INDEX($AN$4:$AN21256,MATCH($A360,$AH$4:$AH$2000,0))</f>
        <v>1270.1969999999999</v>
      </c>
      <c r="O360" s="243">
        <f t="shared" si="76"/>
        <v>1270.1969999999999</v>
      </c>
      <c r="P360" s="243">
        <f t="shared" si="72"/>
        <v>1270.1969999999999</v>
      </c>
      <c r="Q360" s="243">
        <f t="shared" si="73"/>
        <v>0</v>
      </c>
      <c r="R360" s="243">
        <f t="shared" si="74"/>
        <v>0</v>
      </c>
      <c r="S360" s="243">
        <f t="shared" si="77"/>
        <v>0</v>
      </c>
      <c r="T360" s="243">
        <f t="shared" si="75"/>
        <v>0</v>
      </c>
      <c r="AA360" s="6">
        <v>414</v>
      </c>
      <c r="AB360" t="s">
        <v>80</v>
      </c>
      <c r="AC360" t="s">
        <v>1032</v>
      </c>
      <c r="AE360" t="s">
        <v>158</v>
      </c>
      <c r="AF360">
        <v>15</v>
      </c>
      <c r="AH360">
        <v>268</v>
      </c>
      <c r="AI360" t="s">
        <v>80</v>
      </c>
      <c r="AJ360" t="s">
        <v>1054</v>
      </c>
      <c r="AK360">
        <v>0</v>
      </c>
      <c r="AL360" t="s">
        <v>222</v>
      </c>
      <c r="AM360" s="314">
        <v>1270.1969999999999</v>
      </c>
      <c r="AN360" s="314">
        <v>1270.1969999999999</v>
      </c>
      <c r="AO360" s="314">
        <v>1270.1969999999999</v>
      </c>
      <c r="AP360" s="314">
        <v>1270.1969999999999</v>
      </c>
      <c r="AQ360" s="314">
        <v>0</v>
      </c>
      <c r="AR360" s="314">
        <v>0</v>
      </c>
      <c r="AS360" s="314">
        <v>0</v>
      </c>
      <c r="AT360" s="314">
        <v>0</v>
      </c>
      <c r="AU360" s="314">
        <v>0</v>
      </c>
      <c r="AV360" s="314">
        <v>0</v>
      </c>
      <c r="AW360" s="314">
        <v>0</v>
      </c>
      <c r="AX360">
        <v>0</v>
      </c>
    </row>
    <row r="361" spans="1:50" x14ac:dyDescent="0.35">
      <c r="A361">
        <v>344</v>
      </c>
      <c r="B361" t="s">
        <v>80</v>
      </c>
      <c r="C361" t="s">
        <v>1054</v>
      </c>
      <c r="D361">
        <v>0</v>
      </c>
      <c r="E361" t="s">
        <v>223</v>
      </c>
      <c r="F361">
        <v>1</v>
      </c>
      <c r="G361">
        <v>1</v>
      </c>
      <c r="H361">
        <v>1</v>
      </c>
      <c r="I361">
        <v>1</v>
      </c>
      <c r="J361" s="600">
        <v>4</v>
      </c>
      <c r="K361" s="7">
        <f t="shared" si="69"/>
        <v>5</v>
      </c>
      <c r="L361" s="7">
        <f t="shared" si="70"/>
        <v>0</v>
      </c>
      <c r="M361" s="243">
        <f t="shared" si="71"/>
        <v>308.47500000000002</v>
      </c>
      <c r="N361" s="243">
        <f>INDEX($AN$4:$AN21257,MATCH($A361,$AH$4:$AH$2000,0))</f>
        <v>308.47500000000002</v>
      </c>
      <c r="O361" s="243">
        <f t="shared" si="76"/>
        <v>308.47500000000002</v>
      </c>
      <c r="P361" s="243">
        <f t="shared" si="72"/>
        <v>308.47500000000002</v>
      </c>
      <c r="Q361" s="243">
        <f t="shared" si="73"/>
        <v>0</v>
      </c>
      <c r="R361" s="243">
        <f t="shared" si="74"/>
        <v>0</v>
      </c>
      <c r="S361" s="243">
        <f t="shared" si="77"/>
        <v>0</v>
      </c>
      <c r="T361" s="243">
        <f t="shared" si="75"/>
        <v>0</v>
      </c>
      <c r="AA361" s="6">
        <v>420</v>
      </c>
      <c r="AB361" t="s">
        <v>80</v>
      </c>
      <c r="AC361" t="s">
        <v>1032</v>
      </c>
      <c r="AE361" t="s">
        <v>160</v>
      </c>
      <c r="AF361">
        <v>8</v>
      </c>
      <c r="AH361">
        <v>344</v>
      </c>
      <c r="AI361" t="s">
        <v>80</v>
      </c>
      <c r="AJ361" t="s">
        <v>1054</v>
      </c>
      <c r="AK361">
        <v>0</v>
      </c>
      <c r="AL361" t="s">
        <v>223</v>
      </c>
      <c r="AM361" s="314">
        <v>308.47500000000002</v>
      </c>
      <c r="AN361" s="314">
        <v>308.47500000000002</v>
      </c>
      <c r="AO361" s="314">
        <v>308.47500000000002</v>
      </c>
      <c r="AP361" s="314">
        <v>308.47500000000002</v>
      </c>
      <c r="AQ361" s="314">
        <v>0</v>
      </c>
      <c r="AR361" s="314">
        <v>0</v>
      </c>
      <c r="AS361" s="314">
        <v>0</v>
      </c>
      <c r="AT361" s="314">
        <v>0</v>
      </c>
      <c r="AU361" s="314">
        <v>0</v>
      </c>
      <c r="AV361" s="314">
        <v>0</v>
      </c>
      <c r="AW361" s="314">
        <v>0</v>
      </c>
      <c r="AX361">
        <v>0</v>
      </c>
    </row>
    <row r="362" spans="1:50" x14ac:dyDescent="0.35">
      <c r="A362">
        <v>286</v>
      </c>
      <c r="B362" t="s">
        <v>80</v>
      </c>
      <c r="C362" t="s">
        <v>1054</v>
      </c>
      <c r="D362">
        <v>0</v>
      </c>
      <c r="E362" t="s">
        <v>113</v>
      </c>
      <c r="F362">
        <v>1</v>
      </c>
      <c r="G362">
        <v>1</v>
      </c>
      <c r="H362">
        <v>1</v>
      </c>
      <c r="I362">
        <v>1</v>
      </c>
      <c r="J362" s="600">
        <v>4</v>
      </c>
      <c r="K362" s="7">
        <f t="shared" si="69"/>
        <v>15</v>
      </c>
      <c r="L362" s="7">
        <f t="shared" si="70"/>
        <v>0</v>
      </c>
      <c r="M362" s="243">
        <f t="shared" si="71"/>
        <v>430.2</v>
      </c>
      <c r="N362" s="243">
        <f>INDEX($AN$4:$AN21258,MATCH($A362,$AH$4:$AH$2000,0))</f>
        <v>430.2</v>
      </c>
      <c r="O362" s="243">
        <f t="shared" si="76"/>
        <v>430.2</v>
      </c>
      <c r="P362" s="243">
        <f t="shared" si="72"/>
        <v>430.2</v>
      </c>
      <c r="Q362" s="243">
        <f t="shared" si="73"/>
        <v>0</v>
      </c>
      <c r="R362" s="243">
        <f t="shared" si="74"/>
        <v>0</v>
      </c>
      <c r="S362" s="243">
        <f t="shared" si="77"/>
        <v>0</v>
      </c>
      <c r="T362" s="243">
        <f t="shared" si="75"/>
        <v>0</v>
      </c>
      <c r="AA362" s="6">
        <v>422</v>
      </c>
      <c r="AB362" t="s">
        <v>80</v>
      </c>
      <c r="AC362" t="s">
        <v>1032</v>
      </c>
      <c r="AE362" t="s">
        <v>163</v>
      </c>
      <c r="AF362">
        <v>6.6</v>
      </c>
      <c r="AH362">
        <v>286</v>
      </c>
      <c r="AI362" t="s">
        <v>80</v>
      </c>
      <c r="AJ362" t="s">
        <v>1054</v>
      </c>
      <c r="AK362">
        <v>0</v>
      </c>
      <c r="AL362" t="s">
        <v>113</v>
      </c>
      <c r="AM362" s="314">
        <v>430.2</v>
      </c>
      <c r="AN362" s="314">
        <v>430.2</v>
      </c>
      <c r="AO362" s="314">
        <v>430.2</v>
      </c>
      <c r="AP362" s="314">
        <v>430.2</v>
      </c>
      <c r="AQ362" s="314">
        <v>5.3999999999999999E-2</v>
      </c>
      <c r="AR362" s="314">
        <v>5.3999999999999999E-2</v>
      </c>
      <c r="AS362" s="314">
        <v>5.3999999999999999E-2</v>
      </c>
      <c r="AT362" s="314">
        <v>5.3999999999999999E-2</v>
      </c>
      <c r="AU362" s="314">
        <v>0</v>
      </c>
      <c r="AV362" s="314">
        <v>0</v>
      </c>
      <c r="AW362" s="314">
        <v>0</v>
      </c>
      <c r="AX362">
        <v>0</v>
      </c>
    </row>
    <row r="363" spans="1:50" x14ac:dyDescent="0.35">
      <c r="A363">
        <v>348</v>
      </c>
      <c r="B363" t="s">
        <v>80</v>
      </c>
      <c r="C363" t="s">
        <v>1054</v>
      </c>
      <c r="D363">
        <v>0</v>
      </c>
      <c r="E363" t="s">
        <v>114</v>
      </c>
      <c r="F363">
        <v>1</v>
      </c>
      <c r="G363">
        <v>0</v>
      </c>
      <c r="H363">
        <v>0</v>
      </c>
      <c r="I363">
        <v>0</v>
      </c>
      <c r="J363" s="600">
        <v>1</v>
      </c>
      <c r="K363" s="7">
        <f t="shared" si="69"/>
        <v>12</v>
      </c>
      <c r="L363" s="7">
        <f t="shared" si="70"/>
        <v>0</v>
      </c>
      <c r="M363" s="243">
        <f t="shared" si="71"/>
        <v>242.91</v>
      </c>
      <c r="N363" s="243">
        <f>INDEX($AN$4:$AN21259,MATCH($A363,$AH$4:$AH$2000,0))</f>
        <v>0</v>
      </c>
      <c r="O363" s="243">
        <f t="shared" si="76"/>
        <v>0</v>
      </c>
      <c r="P363" s="243">
        <f t="shared" si="72"/>
        <v>0</v>
      </c>
      <c r="Q363" s="243">
        <f t="shared" si="73"/>
        <v>0</v>
      </c>
      <c r="R363" s="243">
        <f t="shared" si="74"/>
        <v>0</v>
      </c>
      <c r="S363" s="243">
        <f t="shared" si="77"/>
        <v>0</v>
      </c>
      <c r="T363" s="243">
        <f t="shared" si="75"/>
        <v>0</v>
      </c>
      <c r="AA363" s="6">
        <v>424</v>
      </c>
      <c r="AB363" t="s">
        <v>80</v>
      </c>
      <c r="AC363" t="s">
        <v>1032</v>
      </c>
      <c r="AE363" t="s">
        <v>167</v>
      </c>
      <c r="AF363" s="1">
        <v>8</v>
      </c>
      <c r="AH363">
        <v>348</v>
      </c>
      <c r="AI363" t="s">
        <v>80</v>
      </c>
      <c r="AJ363" t="s">
        <v>1054</v>
      </c>
      <c r="AK363">
        <v>0</v>
      </c>
      <c r="AL363" t="s">
        <v>114</v>
      </c>
      <c r="AM363" s="314">
        <v>242.91</v>
      </c>
      <c r="AN363" s="314">
        <v>0</v>
      </c>
      <c r="AO363" s="314">
        <v>0</v>
      </c>
      <c r="AP363" s="314">
        <v>0</v>
      </c>
      <c r="AQ363" s="314">
        <v>2.7E-2</v>
      </c>
      <c r="AR363" s="314">
        <v>0</v>
      </c>
      <c r="AS363" s="314">
        <v>0</v>
      </c>
      <c r="AT363" s="314">
        <v>0</v>
      </c>
      <c r="AU363" s="314">
        <v>0</v>
      </c>
      <c r="AV363" s="314">
        <v>0</v>
      </c>
      <c r="AW363" s="314">
        <v>0</v>
      </c>
      <c r="AX363">
        <v>0</v>
      </c>
    </row>
    <row r="364" spans="1:50" x14ac:dyDescent="0.35">
      <c r="A364">
        <v>345</v>
      </c>
      <c r="B364" t="s">
        <v>80</v>
      </c>
      <c r="C364" t="s">
        <v>1054</v>
      </c>
      <c r="D364">
        <v>0</v>
      </c>
      <c r="E364" t="s">
        <v>115</v>
      </c>
      <c r="F364">
        <v>0</v>
      </c>
      <c r="G364">
        <v>0</v>
      </c>
      <c r="H364">
        <v>1</v>
      </c>
      <c r="I364">
        <v>0</v>
      </c>
      <c r="J364" s="600">
        <v>1</v>
      </c>
      <c r="K364" s="7">
        <f t="shared" si="69"/>
        <v>12</v>
      </c>
      <c r="L364" s="7">
        <f t="shared" si="70"/>
        <v>0</v>
      </c>
      <c r="M364" s="243">
        <f t="shared" si="71"/>
        <v>0</v>
      </c>
      <c r="N364" s="243">
        <f>INDEX($AN$4:$AN21260,MATCH($A364,$AH$4:$AH$2000,0))</f>
        <v>0</v>
      </c>
      <c r="O364" s="243">
        <f t="shared" ref="O364:O383" si="78">INDEX($AO$4:$AO$2000,MATCH($A364,$AH$4:$AH$2000,0))</f>
        <v>535.86</v>
      </c>
      <c r="P364" s="243">
        <f t="shared" si="72"/>
        <v>0</v>
      </c>
      <c r="Q364" s="243">
        <f t="shared" si="73"/>
        <v>0</v>
      </c>
      <c r="R364" s="243">
        <f t="shared" si="74"/>
        <v>0</v>
      </c>
      <c r="S364" s="243">
        <f t="shared" ref="S364:S383" si="79">INDEX($AW$4:$AW$2000,MATCH($A364,$AH$4:$AH$2000,0))</f>
        <v>0</v>
      </c>
      <c r="T364" s="243">
        <f t="shared" si="75"/>
        <v>0</v>
      </c>
      <c r="AA364" s="6">
        <v>406</v>
      </c>
      <c r="AB364" t="s">
        <v>80</v>
      </c>
      <c r="AC364" t="s">
        <v>1032</v>
      </c>
      <c r="AE364" t="s">
        <v>168</v>
      </c>
      <c r="AF364">
        <v>10</v>
      </c>
      <c r="AH364">
        <v>345</v>
      </c>
      <c r="AI364" t="s">
        <v>80</v>
      </c>
      <c r="AJ364" t="s">
        <v>1054</v>
      </c>
      <c r="AK364">
        <v>0</v>
      </c>
      <c r="AL364" t="s">
        <v>115</v>
      </c>
      <c r="AM364" s="314">
        <v>0</v>
      </c>
      <c r="AN364" s="314">
        <v>0</v>
      </c>
      <c r="AO364" s="314">
        <v>535.86</v>
      </c>
      <c r="AP364" s="314">
        <v>0</v>
      </c>
      <c r="AQ364" s="314">
        <v>0</v>
      </c>
      <c r="AR364" s="314">
        <v>0</v>
      </c>
      <c r="AS364" s="314">
        <v>5.3999999999999999E-2</v>
      </c>
      <c r="AT364" s="314">
        <v>0</v>
      </c>
      <c r="AU364" s="314">
        <v>0</v>
      </c>
      <c r="AV364" s="314">
        <v>0</v>
      </c>
      <c r="AW364" s="314">
        <v>0</v>
      </c>
      <c r="AX364">
        <v>0</v>
      </c>
    </row>
    <row r="365" spans="1:50" x14ac:dyDescent="0.35">
      <c r="A365">
        <v>346</v>
      </c>
      <c r="B365" t="s">
        <v>80</v>
      </c>
      <c r="C365" t="s">
        <v>1054</v>
      </c>
      <c r="D365">
        <v>0</v>
      </c>
      <c r="E365" t="s">
        <v>116</v>
      </c>
      <c r="F365">
        <v>0</v>
      </c>
      <c r="G365">
        <v>1</v>
      </c>
      <c r="H365">
        <v>0</v>
      </c>
      <c r="I365">
        <v>1</v>
      </c>
      <c r="J365" s="600">
        <v>2</v>
      </c>
      <c r="K365" s="7">
        <f t="shared" si="69"/>
        <v>12</v>
      </c>
      <c r="L365" s="7">
        <f t="shared" si="70"/>
        <v>0</v>
      </c>
      <c r="M365" s="243">
        <f t="shared" si="71"/>
        <v>0</v>
      </c>
      <c r="N365" s="243">
        <f>INDEX($AN$4:$AN21261,MATCH($A365,$AH$4:$AH$2000,0))</f>
        <v>862.56</v>
      </c>
      <c r="O365" s="243">
        <f t="shared" si="78"/>
        <v>0</v>
      </c>
      <c r="P365" s="243">
        <f t="shared" si="72"/>
        <v>862.56</v>
      </c>
      <c r="Q365" s="243">
        <f t="shared" si="73"/>
        <v>0</v>
      </c>
      <c r="R365" s="243">
        <f t="shared" si="74"/>
        <v>0</v>
      </c>
      <c r="S365" s="243">
        <f t="shared" si="79"/>
        <v>0</v>
      </c>
      <c r="T365" s="243">
        <f t="shared" si="75"/>
        <v>0</v>
      </c>
      <c r="AA365" s="6">
        <v>419</v>
      </c>
      <c r="AB365" t="s">
        <v>80</v>
      </c>
      <c r="AC365" t="s">
        <v>1032</v>
      </c>
      <c r="AE365" t="s">
        <v>1016</v>
      </c>
      <c r="AF365">
        <v>10</v>
      </c>
      <c r="AH365">
        <v>346</v>
      </c>
      <c r="AI365" t="s">
        <v>80</v>
      </c>
      <c r="AJ365" t="s">
        <v>1054</v>
      </c>
      <c r="AK365">
        <v>0</v>
      </c>
      <c r="AL365" t="s">
        <v>116</v>
      </c>
      <c r="AM365" s="314">
        <v>0</v>
      </c>
      <c r="AN365" s="314">
        <v>862.56</v>
      </c>
      <c r="AO365" s="314">
        <v>0</v>
      </c>
      <c r="AP365" s="314">
        <v>862.56</v>
      </c>
      <c r="AQ365" s="314">
        <v>0</v>
      </c>
      <c r="AR365" s="314">
        <v>9.0000000000000011E-2</v>
      </c>
      <c r="AS365" s="314">
        <v>0</v>
      </c>
      <c r="AT365" s="314">
        <v>9.0000000000000011E-2</v>
      </c>
      <c r="AU365" s="314">
        <v>0</v>
      </c>
      <c r="AV365" s="314">
        <v>0</v>
      </c>
      <c r="AW365" s="314">
        <v>0</v>
      </c>
      <c r="AX365">
        <v>0</v>
      </c>
    </row>
    <row r="366" spans="1:50" x14ac:dyDescent="0.35">
      <c r="A366">
        <v>347</v>
      </c>
      <c r="B366" t="s">
        <v>80</v>
      </c>
      <c r="C366" t="s">
        <v>1054</v>
      </c>
      <c r="D366">
        <v>0</v>
      </c>
      <c r="E366" t="s">
        <v>117</v>
      </c>
      <c r="F366">
        <v>1</v>
      </c>
      <c r="G366">
        <v>0</v>
      </c>
      <c r="H366">
        <v>1</v>
      </c>
      <c r="I366">
        <v>0</v>
      </c>
      <c r="J366" s="600">
        <v>2</v>
      </c>
      <c r="K366" s="7">
        <f t="shared" si="69"/>
        <v>12</v>
      </c>
      <c r="L366" s="7">
        <f t="shared" si="70"/>
        <v>0</v>
      </c>
      <c r="M366" s="243">
        <f t="shared" si="71"/>
        <v>2488.9500000000003</v>
      </c>
      <c r="N366" s="243">
        <f>INDEX($AN$4:$AN21262,MATCH($A366,$AH$4:$AH$2000,0))</f>
        <v>0</v>
      </c>
      <c r="O366" s="243">
        <f t="shared" si="78"/>
        <v>2488.9500000000003</v>
      </c>
      <c r="P366" s="243">
        <f t="shared" si="72"/>
        <v>0</v>
      </c>
      <c r="Q366" s="243">
        <f t="shared" si="73"/>
        <v>0</v>
      </c>
      <c r="R366" s="243">
        <f t="shared" si="74"/>
        <v>0</v>
      </c>
      <c r="S366" s="243">
        <f t="shared" si="79"/>
        <v>0</v>
      </c>
      <c r="T366" s="243">
        <f t="shared" si="75"/>
        <v>0</v>
      </c>
      <c r="AA366" s="6">
        <v>452</v>
      </c>
      <c r="AB366" t="s">
        <v>80</v>
      </c>
      <c r="AC366" t="s">
        <v>1032</v>
      </c>
      <c r="AD366" t="s">
        <v>4</v>
      </c>
      <c r="AE366" t="s">
        <v>1033</v>
      </c>
      <c r="AF366">
        <v>15</v>
      </c>
      <c r="AH366">
        <v>347</v>
      </c>
      <c r="AI366" t="s">
        <v>80</v>
      </c>
      <c r="AJ366" t="s">
        <v>1054</v>
      </c>
      <c r="AK366">
        <v>0</v>
      </c>
      <c r="AL366" t="s">
        <v>117</v>
      </c>
      <c r="AM366" s="314">
        <v>2488.9500000000003</v>
      </c>
      <c r="AN366" s="314">
        <v>0</v>
      </c>
      <c r="AO366" s="314">
        <v>2488.9500000000003</v>
      </c>
      <c r="AP366" s="314">
        <v>0</v>
      </c>
      <c r="AQ366" s="314">
        <v>0.27</v>
      </c>
      <c r="AR366" s="314">
        <v>0</v>
      </c>
      <c r="AS366" s="314">
        <v>0.27</v>
      </c>
      <c r="AT366" s="314">
        <v>0</v>
      </c>
      <c r="AU366" s="314">
        <v>0</v>
      </c>
      <c r="AV366" s="314">
        <v>0</v>
      </c>
      <c r="AW366" s="314">
        <v>0</v>
      </c>
      <c r="AX366">
        <v>0</v>
      </c>
    </row>
    <row r="367" spans="1:50" x14ac:dyDescent="0.35">
      <c r="A367">
        <v>363</v>
      </c>
      <c r="B367" t="s">
        <v>80</v>
      </c>
      <c r="C367" t="s">
        <v>1054</v>
      </c>
      <c r="D367">
        <v>0</v>
      </c>
      <c r="E367" t="s">
        <v>128</v>
      </c>
      <c r="F367">
        <v>63</v>
      </c>
      <c r="G367">
        <v>63</v>
      </c>
      <c r="H367">
        <v>64</v>
      </c>
      <c r="I367">
        <v>64</v>
      </c>
      <c r="J367" s="600">
        <v>254</v>
      </c>
      <c r="K367" s="7">
        <f t="shared" si="69"/>
        <v>15</v>
      </c>
      <c r="L367" s="7">
        <f t="shared" si="70"/>
        <v>0</v>
      </c>
      <c r="M367" s="243">
        <f t="shared" si="71"/>
        <v>39671.771898219624</v>
      </c>
      <c r="N367" s="243">
        <f>INDEX($AN$4:$AN21263,MATCH($A367,$AH$4:$AH$2000,0))</f>
        <v>39671.771898219624</v>
      </c>
      <c r="O367" s="243">
        <f t="shared" si="78"/>
        <v>40301.482563270729</v>
      </c>
      <c r="P367" s="243">
        <f t="shared" si="72"/>
        <v>40301.482563270729</v>
      </c>
      <c r="Q367" s="243">
        <f t="shared" si="73"/>
        <v>0</v>
      </c>
      <c r="R367" s="243">
        <f t="shared" si="74"/>
        <v>0</v>
      </c>
      <c r="S367" s="243">
        <f t="shared" si="79"/>
        <v>0</v>
      </c>
      <c r="T367" s="243">
        <f t="shared" si="75"/>
        <v>0</v>
      </c>
      <c r="AA367" s="6">
        <v>460</v>
      </c>
      <c r="AB367" t="s">
        <v>80</v>
      </c>
      <c r="AC367" t="s">
        <v>1032</v>
      </c>
      <c r="AD367" t="s">
        <v>4</v>
      </c>
      <c r="AE367" t="s">
        <v>1034</v>
      </c>
      <c r="AF367">
        <v>15</v>
      </c>
      <c r="AH367">
        <v>363</v>
      </c>
      <c r="AI367" t="s">
        <v>80</v>
      </c>
      <c r="AJ367" t="s">
        <v>1054</v>
      </c>
      <c r="AK367">
        <v>0</v>
      </c>
      <c r="AL367" t="s">
        <v>128</v>
      </c>
      <c r="AM367" s="314">
        <v>39671.771898219624</v>
      </c>
      <c r="AN367" s="314">
        <v>39671.771898219624</v>
      </c>
      <c r="AO367" s="314">
        <v>40301.482563270729</v>
      </c>
      <c r="AP367" s="314">
        <v>40301.482563270729</v>
      </c>
      <c r="AQ367" s="314">
        <v>9.8295185468164892</v>
      </c>
      <c r="AR367" s="314">
        <v>9.8295185468164892</v>
      </c>
      <c r="AS367" s="314">
        <v>9.985542650734212</v>
      </c>
      <c r="AT367" s="314">
        <v>9.985542650734212</v>
      </c>
      <c r="AU367" s="314">
        <v>0</v>
      </c>
      <c r="AV367" s="314">
        <v>0</v>
      </c>
      <c r="AW367" s="314">
        <v>0</v>
      </c>
      <c r="AX367">
        <v>0</v>
      </c>
    </row>
    <row r="368" spans="1:50" x14ac:dyDescent="0.35">
      <c r="A368">
        <v>279</v>
      </c>
      <c r="B368" t="s">
        <v>80</v>
      </c>
      <c r="C368" t="s">
        <v>1054</v>
      </c>
      <c r="D368">
        <v>0</v>
      </c>
      <c r="E368" t="s">
        <v>232</v>
      </c>
      <c r="F368">
        <v>0</v>
      </c>
      <c r="G368">
        <v>0</v>
      </c>
      <c r="H368">
        <v>0</v>
      </c>
      <c r="I368">
        <v>1</v>
      </c>
      <c r="J368" s="600">
        <v>1</v>
      </c>
      <c r="K368" s="7">
        <f t="shared" si="69"/>
        <v>12</v>
      </c>
      <c r="L368" s="7">
        <f t="shared" si="70"/>
        <v>0</v>
      </c>
      <c r="M368" s="243">
        <f t="shared" si="71"/>
        <v>0</v>
      </c>
      <c r="N368" s="243">
        <f>INDEX($AN$4:$AN21264,MATCH($A368,$AH$4:$AH$2000,0))</f>
        <v>0</v>
      </c>
      <c r="O368" s="243">
        <f t="shared" si="78"/>
        <v>0</v>
      </c>
      <c r="P368" s="243">
        <f t="shared" si="72"/>
        <v>13069.17</v>
      </c>
      <c r="Q368" s="243">
        <f t="shared" si="73"/>
        <v>0</v>
      </c>
      <c r="R368" s="243">
        <f t="shared" si="74"/>
        <v>0</v>
      </c>
      <c r="S368" s="243">
        <f t="shared" si="79"/>
        <v>0</v>
      </c>
      <c r="T368" s="243">
        <f t="shared" si="75"/>
        <v>0</v>
      </c>
      <c r="AA368" s="6">
        <v>467</v>
      </c>
      <c r="AB368" t="s">
        <v>80</v>
      </c>
      <c r="AC368" t="s">
        <v>1032</v>
      </c>
      <c r="AD368" t="s">
        <v>15</v>
      </c>
      <c r="AE368" t="s">
        <v>1019</v>
      </c>
      <c r="AF368">
        <v>9</v>
      </c>
      <c r="AH368">
        <v>279</v>
      </c>
      <c r="AI368" t="s">
        <v>80</v>
      </c>
      <c r="AJ368" t="s">
        <v>1054</v>
      </c>
      <c r="AK368">
        <v>0</v>
      </c>
      <c r="AL368" t="s">
        <v>232</v>
      </c>
      <c r="AM368" s="314">
        <v>0</v>
      </c>
      <c r="AN368" s="314">
        <v>0</v>
      </c>
      <c r="AO368" s="314">
        <v>0</v>
      </c>
      <c r="AP368" s="314">
        <v>13069.17</v>
      </c>
      <c r="AQ368" s="314">
        <v>0</v>
      </c>
      <c r="AR368" s="314">
        <v>0</v>
      </c>
      <c r="AS368" s="314">
        <v>0</v>
      </c>
      <c r="AT368" s="314">
        <v>2.2680000000000002</v>
      </c>
      <c r="AU368" s="314">
        <v>0</v>
      </c>
      <c r="AV368" s="314">
        <v>0</v>
      </c>
      <c r="AW368" s="314">
        <v>0</v>
      </c>
      <c r="AX368">
        <v>0</v>
      </c>
    </row>
    <row r="369" spans="1:50" x14ac:dyDescent="0.35">
      <c r="A369">
        <v>280</v>
      </c>
      <c r="B369" t="s">
        <v>80</v>
      </c>
      <c r="C369" t="s">
        <v>1054</v>
      </c>
      <c r="D369">
        <v>0</v>
      </c>
      <c r="E369" t="s">
        <v>130</v>
      </c>
      <c r="F369">
        <v>0</v>
      </c>
      <c r="G369">
        <v>0</v>
      </c>
      <c r="H369">
        <v>1</v>
      </c>
      <c r="I369">
        <v>0</v>
      </c>
      <c r="J369" s="600">
        <v>1</v>
      </c>
      <c r="K369" s="7">
        <f t="shared" si="69"/>
        <v>12</v>
      </c>
      <c r="L369" s="7">
        <f t="shared" si="70"/>
        <v>0</v>
      </c>
      <c r="M369" s="243">
        <f t="shared" si="71"/>
        <v>0</v>
      </c>
      <c r="N369" s="243">
        <f>INDEX($AN$4:$AN21265,MATCH($A369,$AH$4:$AH$2000,0))</f>
        <v>0</v>
      </c>
      <c r="O369" s="243">
        <f t="shared" si="78"/>
        <v>15236.469000000001</v>
      </c>
      <c r="P369" s="243">
        <f t="shared" si="72"/>
        <v>0</v>
      </c>
      <c r="Q369" s="243">
        <f t="shared" si="73"/>
        <v>0</v>
      </c>
      <c r="R369" s="243">
        <f t="shared" si="74"/>
        <v>0</v>
      </c>
      <c r="S369" s="243">
        <f t="shared" si="79"/>
        <v>0</v>
      </c>
      <c r="T369" s="243">
        <f t="shared" si="75"/>
        <v>0</v>
      </c>
      <c r="AA369" s="6">
        <v>466</v>
      </c>
      <c r="AB369" t="s">
        <v>80</v>
      </c>
      <c r="AC369" t="s">
        <v>1032</v>
      </c>
      <c r="AD369" t="s">
        <v>15</v>
      </c>
      <c r="AE369" t="s">
        <v>1020</v>
      </c>
      <c r="AF369">
        <v>9</v>
      </c>
      <c r="AH369">
        <v>280</v>
      </c>
      <c r="AI369" t="s">
        <v>80</v>
      </c>
      <c r="AJ369" t="s">
        <v>1054</v>
      </c>
      <c r="AK369">
        <v>0</v>
      </c>
      <c r="AL369" t="s">
        <v>130</v>
      </c>
      <c r="AM369" s="314">
        <v>0</v>
      </c>
      <c r="AN369" s="314">
        <v>0</v>
      </c>
      <c r="AO369" s="314">
        <v>15236.469000000001</v>
      </c>
      <c r="AP369" s="314">
        <v>0</v>
      </c>
      <c r="AQ369" s="314">
        <v>0</v>
      </c>
      <c r="AR369" s="314">
        <v>0</v>
      </c>
      <c r="AS369" s="314">
        <v>2.6459999999999999</v>
      </c>
      <c r="AT369" s="314">
        <v>0</v>
      </c>
      <c r="AU369" s="314">
        <v>0</v>
      </c>
      <c r="AV369" s="314">
        <v>0</v>
      </c>
      <c r="AW369" s="314">
        <v>0</v>
      </c>
      <c r="AX369">
        <v>0</v>
      </c>
    </row>
    <row r="370" spans="1:50" x14ac:dyDescent="0.35">
      <c r="A370">
        <v>281</v>
      </c>
      <c r="B370" t="s">
        <v>80</v>
      </c>
      <c r="C370" t="s">
        <v>1054</v>
      </c>
      <c r="D370">
        <v>0</v>
      </c>
      <c r="E370" t="s">
        <v>233</v>
      </c>
      <c r="F370">
        <v>0</v>
      </c>
      <c r="G370">
        <v>1</v>
      </c>
      <c r="H370">
        <v>0</v>
      </c>
      <c r="I370">
        <v>0</v>
      </c>
      <c r="J370" s="600">
        <v>1</v>
      </c>
      <c r="K370" s="7">
        <f t="shared" si="69"/>
        <v>12</v>
      </c>
      <c r="L370" s="7">
        <f t="shared" si="70"/>
        <v>0</v>
      </c>
      <c r="M370" s="243">
        <f t="shared" si="71"/>
        <v>0</v>
      </c>
      <c r="N370" s="243">
        <f>INDEX($AN$4:$AN21266,MATCH($A370,$AH$4:$AH$2000,0))</f>
        <v>22686.201000000001</v>
      </c>
      <c r="O370" s="243">
        <f t="shared" si="78"/>
        <v>0</v>
      </c>
      <c r="P370" s="243">
        <f t="shared" si="72"/>
        <v>0</v>
      </c>
      <c r="Q370" s="243">
        <f t="shared" si="73"/>
        <v>0</v>
      </c>
      <c r="R370" s="243">
        <f t="shared" si="74"/>
        <v>0</v>
      </c>
      <c r="S370" s="243">
        <f t="shared" si="79"/>
        <v>0</v>
      </c>
      <c r="T370" s="243">
        <f t="shared" si="75"/>
        <v>0</v>
      </c>
      <c r="AA370" s="6">
        <v>433</v>
      </c>
      <c r="AB370" t="s">
        <v>80</v>
      </c>
      <c r="AC370" t="s">
        <v>1032</v>
      </c>
      <c r="AD370" t="s">
        <v>20</v>
      </c>
      <c r="AE370" t="s">
        <v>1021</v>
      </c>
      <c r="AF370">
        <v>10</v>
      </c>
      <c r="AH370">
        <v>281</v>
      </c>
      <c r="AI370" t="s">
        <v>80</v>
      </c>
      <c r="AJ370" t="s">
        <v>1054</v>
      </c>
      <c r="AK370">
        <v>0</v>
      </c>
      <c r="AL370" t="s">
        <v>233</v>
      </c>
      <c r="AM370" s="314">
        <v>0</v>
      </c>
      <c r="AN370" s="314">
        <v>22686.201000000001</v>
      </c>
      <c r="AO370" s="314">
        <v>0</v>
      </c>
      <c r="AP370" s="314">
        <v>0</v>
      </c>
      <c r="AQ370" s="314">
        <v>0</v>
      </c>
      <c r="AR370" s="314">
        <v>3.9420000000000002</v>
      </c>
      <c r="AS370" s="314">
        <v>0</v>
      </c>
      <c r="AT370" s="314">
        <v>0</v>
      </c>
      <c r="AU370" s="314">
        <v>0</v>
      </c>
      <c r="AV370" s="314">
        <v>0</v>
      </c>
      <c r="AW370" s="314">
        <v>0</v>
      </c>
      <c r="AX370">
        <v>0</v>
      </c>
    </row>
    <row r="371" spans="1:50" x14ac:dyDescent="0.35">
      <c r="A371">
        <v>282</v>
      </c>
      <c r="B371" t="s">
        <v>80</v>
      </c>
      <c r="C371" t="s">
        <v>1054</v>
      </c>
      <c r="D371">
        <v>0</v>
      </c>
      <c r="E371" t="s">
        <v>234</v>
      </c>
      <c r="F371">
        <v>1</v>
      </c>
      <c r="G371">
        <v>0</v>
      </c>
      <c r="H371">
        <v>0</v>
      </c>
      <c r="I371">
        <v>0</v>
      </c>
      <c r="J371" s="600">
        <v>1</v>
      </c>
      <c r="K371" s="7">
        <f t="shared" si="69"/>
        <v>12</v>
      </c>
      <c r="L371" s="7">
        <f t="shared" si="70"/>
        <v>0</v>
      </c>
      <c r="M371" s="243">
        <f t="shared" si="71"/>
        <v>23480.127</v>
      </c>
      <c r="N371" s="243">
        <f>INDEX($AN$4:$AN21267,MATCH($A371,$AH$4:$AH$2000,0))</f>
        <v>0</v>
      </c>
      <c r="O371" s="243">
        <f t="shared" si="78"/>
        <v>0</v>
      </c>
      <c r="P371" s="243">
        <f t="shared" si="72"/>
        <v>0</v>
      </c>
      <c r="Q371" s="243">
        <f t="shared" si="73"/>
        <v>0</v>
      </c>
      <c r="R371" s="243">
        <f t="shared" si="74"/>
        <v>0</v>
      </c>
      <c r="S371" s="243">
        <f t="shared" si="79"/>
        <v>0</v>
      </c>
      <c r="T371" s="243">
        <f t="shared" si="75"/>
        <v>0</v>
      </c>
      <c r="AA371" s="6">
        <v>425</v>
      </c>
      <c r="AB371" t="s">
        <v>80</v>
      </c>
      <c r="AC371" t="s">
        <v>1032</v>
      </c>
      <c r="AE371" t="s">
        <v>262</v>
      </c>
      <c r="AF371">
        <v>15</v>
      </c>
      <c r="AH371">
        <v>282</v>
      </c>
      <c r="AI371" t="s">
        <v>80</v>
      </c>
      <c r="AJ371" t="s">
        <v>1054</v>
      </c>
      <c r="AK371">
        <v>0</v>
      </c>
      <c r="AL371" t="s">
        <v>234</v>
      </c>
      <c r="AM371" s="314">
        <v>23480.127</v>
      </c>
      <c r="AN371" s="314">
        <v>0</v>
      </c>
      <c r="AO371" s="314">
        <v>0</v>
      </c>
      <c r="AP371" s="314">
        <v>0</v>
      </c>
      <c r="AQ371" s="314">
        <v>4.0860000000000003</v>
      </c>
      <c r="AR371" s="314">
        <v>0</v>
      </c>
      <c r="AS371" s="314">
        <v>0</v>
      </c>
      <c r="AT371" s="314">
        <v>0</v>
      </c>
      <c r="AU371" s="314">
        <v>0</v>
      </c>
      <c r="AV371" s="314">
        <v>0</v>
      </c>
      <c r="AW371" s="314">
        <v>0</v>
      </c>
      <c r="AX371">
        <v>0</v>
      </c>
    </row>
    <row r="372" spans="1:50" x14ac:dyDescent="0.35">
      <c r="A372">
        <v>305</v>
      </c>
      <c r="B372" t="s">
        <v>80</v>
      </c>
      <c r="C372" t="s">
        <v>1054</v>
      </c>
      <c r="D372">
        <v>0</v>
      </c>
      <c r="E372" t="s">
        <v>131</v>
      </c>
      <c r="F372">
        <v>0</v>
      </c>
      <c r="G372">
        <v>0</v>
      </c>
      <c r="H372">
        <v>1</v>
      </c>
      <c r="I372">
        <v>0</v>
      </c>
      <c r="J372" s="600">
        <v>1</v>
      </c>
      <c r="K372" s="7">
        <f t="shared" si="69"/>
        <v>12</v>
      </c>
      <c r="L372" s="7">
        <f t="shared" si="70"/>
        <v>0</v>
      </c>
      <c r="M372" s="243">
        <f t="shared" si="71"/>
        <v>0</v>
      </c>
      <c r="N372" s="243">
        <f>INDEX($AN$4:$AN21268,MATCH($A372,$AH$4:$AH$2000,0))</f>
        <v>0</v>
      </c>
      <c r="O372" s="243">
        <f t="shared" si="78"/>
        <v>2365.2000000000003</v>
      </c>
      <c r="P372" s="243">
        <f t="shared" si="72"/>
        <v>0</v>
      </c>
      <c r="Q372" s="243">
        <f t="shared" si="73"/>
        <v>0</v>
      </c>
      <c r="R372" s="243">
        <f t="shared" si="74"/>
        <v>0</v>
      </c>
      <c r="S372" s="243">
        <f t="shared" si="79"/>
        <v>0</v>
      </c>
      <c r="T372" s="243">
        <f t="shared" si="75"/>
        <v>0</v>
      </c>
      <c r="AA372" s="6">
        <v>402</v>
      </c>
      <c r="AB372" t="s">
        <v>80</v>
      </c>
      <c r="AC372" t="s">
        <v>1032</v>
      </c>
      <c r="AE372" t="s">
        <v>183</v>
      </c>
      <c r="AF372">
        <v>15</v>
      </c>
      <c r="AH372">
        <v>305</v>
      </c>
      <c r="AI372" t="s">
        <v>80</v>
      </c>
      <c r="AJ372" t="s">
        <v>1054</v>
      </c>
      <c r="AK372">
        <v>0</v>
      </c>
      <c r="AL372" t="s">
        <v>131</v>
      </c>
      <c r="AM372" s="314">
        <v>0</v>
      </c>
      <c r="AN372" s="314">
        <v>0</v>
      </c>
      <c r="AO372" s="314">
        <v>2365.2000000000003</v>
      </c>
      <c r="AP372" s="314">
        <v>0</v>
      </c>
      <c r="AQ372" s="314">
        <v>0</v>
      </c>
      <c r="AR372" s="314">
        <v>0</v>
      </c>
      <c r="AS372" s="314">
        <v>1.08</v>
      </c>
      <c r="AT372" s="314">
        <v>0</v>
      </c>
      <c r="AU372" s="314">
        <v>0</v>
      </c>
      <c r="AV372" s="314">
        <v>0</v>
      </c>
      <c r="AW372" s="314">
        <v>0</v>
      </c>
      <c r="AX372">
        <v>0</v>
      </c>
    </row>
    <row r="373" spans="1:50" x14ac:dyDescent="0.35">
      <c r="A373">
        <v>306</v>
      </c>
      <c r="B373" t="s">
        <v>80</v>
      </c>
      <c r="C373" t="s">
        <v>1054</v>
      </c>
      <c r="D373">
        <v>0</v>
      </c>
      <c r="E373" t="s">
        <v>132</v>
      </c>
      <c r="F373">
        <v>0</v>
      </c>
      <c r="G373">
        <v>1</v>
      </c>
      <c r="H373">
        <v>0</v>
      </c>
      <c r="I373">
        <v>0</v>
      </c>
      <c r="J373" s="600">
        <v>1</v>
      </c>
      <c r="K373" s="7">
        <f t="shared" si="69"/>
        <v>12</v>
      </c>
      <c r="L373" s="7">
        <f t="shared" si="70"/>
        <v>0</v>
      </c>
      <c r="M373" s="243">
        <f t="shared" si="71"/>
        <v>0</v>
      </c>
      <c r="N373" s="243">
        <f>INDEX($AN$4:$AN21269,MATCH($A373,$AH$4:$AH$2000,0))</f>
        <v>3547.8</v>
      </c>
      <c r="O373" s="243">
        <f t="shared" si="78"/>
        <v>0</v>
      </c>
      <c r="P373" s="243">
        <f t="shared" si="72"/>
        <v>0</v>
      </c>
      <c r="Q373" s="243">
        <f t="shared" si="73"/>
        <v>0</v>
      </c>
      <c r="R373" s="243">
        <f t="shared" si="74"/>
        <v>0</v>
      </c>
      <c r="S373" s="243">
        <f t="shared" si="79"/>
        <v>0</v>
      </c>
      <c r="T373" s="243">
        <f t="shared" si="75"/>
        <v>0</v>
      </c>
      <c r="AA373" s="6">
        <v>427</v>
      </c>
      <c r="AB373" t="s">
        <v>80</v>
      </c>
      <c r="AC373" t="s">
        <v>1032</v>
      </c>
      <c r="AE373" t="s">
        <v>207</v>
      </c>
      <c r="AF373">
        <v>10</v>
      </c>
      <c r="AH373">
        <v>306</v>
      </c>
      <c r="AI373" t="s">
        <v>80</v>
      </c>
      <c r="AJ373" t="s">
        <v>1054</v>
      </c>
      <c r="AK373">
        <v>0</v>
      </c>
      <c r="AL373" t="s">
        <v>132</v>
      </c>
      <c r="AM373" s="314">
        <v>0</v>
      </c>
      <c r="AN373" s="314">
        <v>3547.8</v>
      </c>
      <c r="AO373" s="314">
        <v>0</v>
      </c>
      <c r="AP373" s="314">
        <v>0</v>
      </c>
      <c r="AQ373" s="314">
        <v>0</v>
      </c>
      <c r="AR373" s="314">
        <v>1.62</v>
      </c>
      <c r="AS373" s="314">
        <v>0</v>
      </c>
      <c r="AT373" s="314">
        <v>0</v>
      </c>
      <c r="AU373" s="314">
        <v>0</v>
      </c>
      <c r="AV373" s="314">
        <v>0</v>
      </c>
      <c r="AW373" s="314">
        <v>0</v>
      </c>
      <c r="AX373">
        <v>0</v>
      </c>
    </row>
    <row r="374" spans="1:50" x14ac:dyDescent="0.35">
      <c r="A374">
        <v>304</v>
      </c>
      <c r="B374" t="s">
        <v>80</v>
      </c>
      <c r="C374" t="s">
        <v>1054</v>
      </c>
      <c r="D374">
        <v>0</v>
      </c>
      <c r="E374" t="s">
        <v>133</v>
      </c>
      <c r="F374">
        <v>1</v>
      </c>
      <c r="G374">
        <v>0</v>
      </c>
      <c r="H374">
        <v>0</v>
      </c>
      <c r="I374">
        <v>0</v>
      </c>
      <c r="J374" s="600">
        <v>1</v>
      </c>
      <c r="K374" s="7">
        <f t="shared" si="69"/>
        <v>12</v>
      </c>
      <c r="L374" s="7">
        <f t="shared" si="70"/>
        <v>0</v>
      </c>
      <c r="M374" s="243">
        <f t="shared" si="71"/>
        <v>8377.2000000000007</v>
      </c>
      <c r="N374" s="243">
        <f>INDEX($AN$4:$AN21270,MATCH($A374,$AH$4:$AH$2000,0))</f>
        <v>0</v>
      </c>
      <c r="O374" s="243">
        <f t="shared" si="78"/>
        <v>0</v>
      </c>
      <c r="P374" s="243">
        <f t="shared" si="72"/>
        <v>0</v>
      </c>
      <c r="Q374" s="243">
        <f t="shared" si="73"/>
        <v>0</v>
      </c>
      <c r="R374" s="243">
        <f t="shared" si="74"/>
        <v>0</v>
      </c>
      <c r="S374" s="243">
        <f t="shared" si="79"/>
        <v>0</v>
      </c>
      <c r="T374" s="243">
        <f t="shared" si="75"/>
        <v>0</v>
      </c>
      <c r="AA374" s="6">
        <v>407</v>
      </c>
      <c r="AB374" t="s">
        <v>80</v>
      </c>
      <c r="AC374" t="s">
        <v>1032</v>
      </c>
      <c r="AE374" t="s">
        <v>272</v>
      </c>
      <c r="AF374">
        <v>0</v>
      </c>
      <c r="AH374">
        <v>304</v>
      </c>
      <c r="AI374" t="s">
        <v>80</v>
      </c>
      <c r="AJ374" t="s">
        <v>1054</v>
      </c>
      <c r="AK374">
        <v>0</v>
      </c>
      <c r="AL374" t="s">
        <v>133</v>
      </c>
      <c r="AM374" s="314">
        <v>8377.2000000000007</v>
      </c>
      <c r="AN374" s="314">
        <v>0</v>
      </c>
      <c r="AO374" s="314">
        <v>0</v>
      </c>
      <c r="AP374" s="314">
        <v>0</v>
      </c>
      <c r="AQ374" s="314">
        <v>3.8250000000000002</v>
      </c>
      <c r="AR374" s="314">
        <v>0</v>
      </c>
      <c r="AS374" s="314">
        <v>0</v>
      </c>
      <c r="AT374" s="314">
        <v>0</v>
      </c>
      <c r="AU374" s="314">
        <v>0</v>
      </c>
      <c r="AV374" s="314">
        <v>0</v>
      </c>
      <c r="AW374" s="314">
        <v>0</v>
      </c>
      <c r="AX374">
        <v>0</v>
      </c>
    </row>
    <row r="375" spans="1:50" x14ac:dyDescent="0.35">
      <c r="A375">
        <v>278</v>
      </c>
      <c r="B375" t="s">
        <v>80</v>
      </c>
      <c r="C375" t="s">
        <v>1054</v>
      </c>
      <c r="D375">
        <v>0</v>
      </c>
      <c r="E375" t="s">
        <v>134</v>
      </c>
      <c r="F375">
        <v>1</v>
      </c>
      <c r="G375">
        <v>0</v>
      </c>
      <c r="H375">
        <v>0</v>
      </c>
      <c r="I375">
        <v>0</v>
      </c>
      <c r="J375" s="600">
        <v>1</v>
      </c>
      <c r="K375" s="7">
        <f t="shared" si="69"/>
        <v>12</v>
      </c>
      <c r="L375" s="7">
        <f t="shared" si="70"/>
        <v>0</v>
      </c>
      <c r="M375" s="243">
        <f t="shared" si="71"/>
        <v>2337.3000000000002</v>
      </c>
      <c r="N375" s="243">
        <f>INDEX($AN$4:$AN21271,MATCH($A375,$AH$4:$AH$2000,0))</f>
        <v>0</v>
      </c>
      <c r="O375" s="243">
        <f t="shared" si="78"/>
        <v>0</v>
      </c>
      <c r="P375" s="243">
        <f t="shared" si="72"/>
        <v>0</v>
      </c>
      <c r="Q375" s="243">
        <f t="shared" si="73"/>
        <v>0</v>
      </c>
      <c r="R375" s="243">
        <f t="shared" si="74"/>
        <v>0</v>
      </c>
      <c r="S375" s="243">
        <f t="shared" si="79"/>
        <v>0</v>
      </c>
      <c r="T375" s="243">
        <f t="shared" si="75"/>
        <v>0</v>
      </c>
      <c r="AA375" s="6">
        <v>434</v>
      </c>
      <c r="AB375" t="s">
        <v>80</v>
      </c>
      <c r="AC375" t="s">
        <v>1032</v>
      </c>
      <c r="AD375" t="s">
        <v>20</v>
      </c>
      <c r="AE375" t="s">
        <v>208</v>
      </c>
      <c r="AF375">
        <v>18</v>
      </c>
      <c r="AH375">
        <v>278</v>
      </c>
      <c r="AI375" t="s">
        <v>80</v>
      </c>
      <c r="AJ375" t="s">
        <v>1054</v>
      </c>
      <c r="AK375">
        <v>0</v>
      </c>
      <c r="AL375" t="s">
        <v>134</v>
      </c>
      <c r="AM375" s="314">
        <v>2337.3000000000002</v>
      </c>
      <c r="AN375" s="314">
        <v>0</v>
      </c>
      <c r="AO375" s="314">
        <v>0</v>
      </c>
      <c r="AP375" s="314">
        <v>0</v>
      </c>
      <c r="AQ375" s="314">
        <v>0.19800000000000001</v>
      </c>
      <c r="AR375" s="314">
        <v>0</v>
      </c>
      <c r="AS375" s="314">
        <v>0</v>
      </c>
      <c r="AT375" s="314">
        <v>0</v>
      </c>
      <c r="AU375" s="314">
        <v>0</v>
      </c>
      <c r="AV375" s="314">
        <v>0</v>
      </c>
      <c r="AW375" s="314">
        <v>0</v>
      </c>
      <c r="AX375">
        <v>0</v>
      </c>
    </row>
    <row r="376" spans="1:50" x14ac:dyDescent="0.35">
      <c r="A376">
        <v>274</v>
      </c>
      <c r="B376" t="s">
        <v>80</v>
      </c>
      <c r="C376" t="s">
        <v>1054</v>
      </c>
      <c r="D376">
        <v>0</v>
      </c>
      <c r="E376" t="s">
        <v>135</v>
      </c>
      <c r="F376">
        <v>6</v>
      </c>
      <c r="G376">
        <v>6</v>
      </c>
      <c r="H376">
        <v>6</v>
      </c>
      <c r="I376">
        <v>6</v>
      </c>
      <c r="J376" s="600">
        <v>24</v>
      </c>
      <c r="K376" s="7">
        <f t="shared" si="69"/>
        <v>15</v>
      </c>
      <c r="L376" s="7">
        <f t="shared" si="70"/>
        <v>0</v>
      </c>
      <c r="M376" s="243">
        <f t="shared" si="71"/>
        <v>23434.596000000001</v>
      </c>
      <c r="N376" s="243">
        <f>INDEX($AN$4:$AN21272,MATCH($A376,$AH$4:$AH$2000,0))</f>
        <v>23434.596000000001</v>
      </c>
      <c r="O376" s="243">
        <f t="shared" si="78"/>
        <v>23434.596000000001</v>
      </c>
      <c r="P376" s="243">
        <f t="shared" si="72"/>
        <v>23434.596000000001</v>
      </c>
      <c r="Q376" s="243">
        <f t="shared" si="73"/>
        <v>1506.6</v>
      </c>
      <c r="R376" s="243">
        <f t="shared" si="74"/>
        <v>1506.6</v>
      </c>
      <c r="S376" s="243">
        <f t="shared" si="79"/>
        <v>1506.6</v>
      </c>
      <c r="T376" s="243">
        <f t="shared" si="75"/>
        <v>1506.6</v>
      </c>
      <c r="AA376" s="6">
        <v>421</v>
      </c>
      <c r="AB376" t="s">
        <v>80</v>
      </c>
      <c r="AC376" t="s">
        <v>1032</v>
      </c>
      <c r="AE376" t="s">
        <v>1035</v>
      </c>
      <c r="AF376">
        <v>0</v>
      </c>
      <c r="AH376">
        <v>274</v>
      </c>
      <c r="AI376" t="s">
        <v>80</v>
      </c>
      <c r="AJ376" t="s">
        <v>1054</v>
      </c>
      <c r="AK376">
        <v>0</v>
      </c>
      <c r="AL376" t="s">
        <v>135</v>
      </c>
      <c r="AM376" s="314">
        <v>23434.596000000001</v>
      </c>
      <c r="AN376" s="314">
        <v>23434.596000000001</v>
      </c>
      <c r="AO376" s="314">
        <v>23434.596000000001</v>
      </c>
      <c r="AP376" s="314">
        <v>23434.596000000001</v>
      </c>
      <c r="AQ376" s="314">
        <v>3.5640000000000005</v>
      </c>
      <c r="AR376" s="314">
        <v>3.5640000000000005</v>
      </c>
      <c r="AS376" s="314">
        <v>3.5640000000000005</v>
      </c>
      <c r="AT376" s="314">
        <v>3.5640000000000005</v>
      </c>
      <c r="AU376" s="314">
        <v>1506.6</v>
      </c>
      <c r="AV376" s="314">
        <v>1506.6</v>
      </c>
      <c r="AW376" s="314">
        <v>1506.6</v>
      </c>
      <c r="AX376">
        <v>1506.6</v>
      </c>
    </row>
    <row r="377" spans="1:50" x14ac:dyDescent="0.35">
      <c r="A377">
        <v>335</v>
      </c>
      <c r="B377" t="s">
        <v>80</v>
      </c>
      <c r="C377" t="s">
        <v>1054</v>
      </c>
      <c r="D377">
        <v>0</v>
      </c>
      <c r="E377" t="s">
        <v>138</v>
      </c>
      <c r="F377">
        <v>1</v>
      </c>
      <c r="G377">
        <v>1</v>
      </c>
      <c r="H377">
        <v>1</v>
      </c>
      <c r="I377">
        <v>1</v>
      </c>
      <c r="J377" s="600">
        <v>4</v>
      </c>
      <c r="K377" s="7">
        <f t="shared" si="69"/>
        <v>5</v>
      </c>
      <c r="L377" s="7">
        <f t="shared" si="70"/>
        <v>0</v>
      </c>
      <c r="M377" s="243">
        <f t="shared" si="71"/>
        <v>3738.9870000000005</v>
      </c>
      <c r="N377" s="243">
        <f>INDEX($AN$4:$AN21273,MATCH($A377,$AH$4:$AH$2000,0))</f>
        <v>3738.9870000000005</v>
      </c>
      <c r="O377" s="243">
        <f t="shared" si="78"/>
        <v>3738.9870000000005</v>
      </c>
      <c r="P377" s="243">
        <f t="shared" si="72"/>
        <v>3738.9870000000005</v>
      </c>
      <c r="Q377" s="243">
        <f t="shared" si="73"/>
        <v>0</v>
      </c>
      <c r="R377" s="243">
        <f t="shared" si="74"/>
        <v>0</v>
      </c>
      <c r="S377" s="243">
        <f t="shared" si="79"/>
        <v>0</v>
      </c>
      <c r="T377" s="243">
        <f t="shared" si="75"/>
        <v>0</v>
      </c>
      <c r="AA377" s="6">
        <v>449</v>
      </c>
      <c r="AB377" t="s">
        <v>80</v>
      </c>
      <c r="AC377" t="s">
        <v>1032</v>
      </c>
      <c r="AD377" t="s">
        <v>4</v>
      </c>
      <c r="AE377" t="s">
        <v>1036</v>
      </c>
      <c r="AF377">
        <v>15</v>
      </c>
      <c r="AH377">
        <v>335</v>
      </c>
      <c r="AI377" t="s">
        <v>80</v>
      </c>
      <c r="AJ377" t="s">
        <v>1054</v>
      </c>
      <c r="AK377">
        <v>0</v>
      </c>
      <c r="AL377" t="s">
        <v>138</v>
      </c>
      <c r="AM377" s="314">
        <v>3738.9870000000005</v>
      </c>
      <c r="AN377" s="314">
        <v>3738.9870000000005</v>
      </c>
      <c r="AO377" s="314">
        <v>3738.9870000000005</v>
      </c>
      <c r="AP377" s="314">
        <v>3738.9870000000005</v>
      </c>
      <c r="AQ377" s="314">
        <v>0</v>
      </c>
      <c r="AR377" s="314">
        <v>0</v>
      </c>
      <c r="AS377" s="314">
        <v>0</v>
      </c>
      <c r="AT377" s="314">
        <v>0</v>
      </c>
      <c r="AU377" s="314">
        <v>0</v>
      </c>
      <c r="AV377" s="314">
        <v>0</v>
      </c>
      <c r="AW377" s="314">
        <v>0</v>
      </c>
      <c r="AX377">
        <v>0</v>
      </c>
    </row>
    <row r="378" spans="1:50" x14ac:dyDescent="0.35">
      <c r="A378">
        <v>336</v>
      </c>
      <c r="B378" t="s">
        <v>80</v>
      </c>
      <c r="C378" t="s">
        <v>1054</v>
      </c>
      <c r="D378">
        <v>0</v>
      </c>
      <c r="E378" t="s">
        <v>139</v>
      </c>
      <c r="F378">
        <v>15</v>
      </c>
      <c r="G378">
        <v>15</v>
      </c>
      <c r="H378">
        <v>15</v>
      </c>
      <c r="I378">
        <v>15</v>
      </c>
      <c r="J378" s="600">
        <v>60</v>
      </c>
      <c r="K378" s="7">
        <f t="shared" si="69"/>
        <v>5</v>
      </c>
      <c r="L378" s="7">
        <f t="shared" si="70"/>
        <v>0</v>
      </c>
      <c r="M378" s="243">
        <f t="shared" si="71"/>
        <v>0</v>
      </c>
      <c r="N378" s="243">
        <f>INDEX($AN$4:$AN21274,MATCH($A378,$AH$4:$AH$2000,0))</f>
        <v>0</v>
      </c>
      <c r="O378" s="243">
        <f t="shared" si="78"/>
        <v>0</v>
      </c>
      <c r="P378" s="243">
        <f t="shared" si="72"/>
        <v>0</v>
      </c>
      <c r="Q378" s="243">
        <f t="shared" si="73"/>
        <v>2322</v>
      </c>
      <c r="R378" s="243">
        <f t="shared" si="74"/>
        <v>2322</v>
      </c>
      <c r="S378" s="243">
        <f t="shared" si="79"/>
        <v>2322</v>
      </c>
      <c r="T378" s="243">
        <f t="shared" si="75"/>
        <v>2322</v>
      </c>
      <c r="AA378" s="6">
        <v>394</v>
      </c>
      <c r="AB378" t="s">
        <v>80</v>
      </c>
      <c r="AC378" t="s">
        <v>1032</v>
      </c>
      <c r="AE378" t="s">
        <v>1037</v>
      </c>
      <c r="AF378">
        <v>0</v>
      </c>
      <c r="AH378">
        <v>336</v>
      </c>
      <c r="AI378" t="s">
        <v>80</v>
      </c>
      <c r="AJ378" t="s">
        <v>1054</v>
      </c>
      <c r="AK378">
        <v>0</v>
      </c>
      <c r="AL378" t="s">
        <v>139</v>
      </c>
      <c r="AM378" s="314">
        <v>0</v>
      </c>
      <c r="AN378" s="314">
        <v>0</v>
      </c>
      <c r="AO378" s="314">
        <v>0</v>
      </c>
      <c r="AP378" s="314">
        <v>0</v>
      </c>
      <c r="AQ378" s="314">
        <v>0</v>
      </c>
      <c r="AR378" s="314">
        <v>0</v>
      </c>
      <c r="AS378" s="314">
        <v>0</v>
      </c>
      <c r="AT378" s="314">
        <v>0</v>
      </c>
      <c r="AU378" s="314">
        <v>2322</v>
      </c>
      <c r="AV378" s="314">
        <v>2322</v>
      </c>
      <c r="AW378" s="314">
        <v>2322</v>
      </c>
      <c r="AX378">
        <v>2322</v>
      </c>
    </row>
    <row r="379" spans="1:50" x14ac:dyDescent="0.35">
      <c r="A379">
        <v>276</v>
      </c>
      <c r="B379" t="s">
        <v>80</v>
      </c>
      <c r="C379" t="s">
        <v>1054</v>
      </c>
      <c r="D379">
        <v>0</v>
      </c>
      <c r="E379" t="s">
        <v>140</v>
      </c>
      <c r="F379">
        <v>34</v>
      </c>
      <c r="G379">
        <v>30</v>
      </c>
      <c r="H379">
        <v>30</v>
      </c>
      <c r="I379">
        <v>30</v>
      </c>
      <c r="J379" s="600">
        <v>124</v>
      </c>
      <c r="K379" s="7">
        <f t="shared" si="69"/>
        <v>16.5</v>
      </c>
      <c r="L379" s="7">
        <f t="shared" si="70"/>
        <v>0</v>
      </c>
      <c r="M379" s="243">
        <f t="shared" si="71"/>
        <v>21525.698870967735</v>
      </c>
      <c r="N379" s="243">
        <f>INDEX($AN$4:$AN21275,MATCH($A379,$AH$4:$AH$2000,0))</f>
        <v>18993.263709677416</v>
      </c>
      <c r="O379" s="243">
        <f t="shared" si="78"/>
        <v>18993.263709677416</v>
      </c>
      <c r="P379" s="243">
        <f t="shared" si="72"/>
        <v>18993.263709677416</v>
      </c>
      <c r="Q379" s="243">
        <f t="shared" si="73"/>
        <v>16601.256855951851</v>
      </c>
      <c r="R379" s="243">
        <f t="shared" si="74"/>
        <v>14648.167814075165</v>
      </c>
      <c r="S379" s="243">
        <f t="shared" si="79"/>
        <v>14648.167814075165</v>
      </c>
      <c r="T379" s="243">
        <f t="shared" si="75"/>
        <v>14648.167814075165</v>
      </c>
      <c r="AA379" s="6">
        <v>395</v>
      </c>
      <c r="AB379" t="s">
        <v>80</v>
      </c>
      <c r="AC379" t="s">
        <v>1032</v>
      </c>
      <c r="AE379" t="s">
        <v>1038</v>
      </c>
      <c r="AF379">
        <v>0</v>
      </c>
      <c r="AH379">
        <v>276</v>
      </c>
      <c r="AI379" t="s">
        <v>80</v>
      </c>
      <c r="AJ379" t="s">
        <v>1054</v>
      </c>
      <c r="AK379">
        <v>0</v>
      </c>
      <c r="AL379" t="s">
        <v>140</v>
      </c>
      <c r="AM379" s="314">
        <v>21525.698870967735</v>
      </c>
      <c r="AN379" s="314">
        <v>18993.263709677416</v>
      </c>
      <c r="AO379" s="314">
        <v>18993.263709677416</v>
      </c>
      <c r="AP379" s="314">
        <v>18993.263709677416</v>
      </c>
      <c r="AQ379" s="314">
        <v>4.2468577388038655</v>
      </c>
      <c r="AR379" s="314">
        <v>3.7472274165916457</v>
      </c>
      <c r="AS379" s="314">
        <v>3.7472274165916457</v>
      </c>
      <c r="AT379" s="314">
        <v>3.7472274165916457</v>
      </c>
      <c r="AU379" s="314">
        <v>16601.256855951851</v>
      </c>
      <c r="AV379" s="314">
        <v>14648.167814075165</v>
      </c>
      <c r="AW379" s="314">
        <v>14648.167814075165</v>
      </c>
      <c r="AX379">
        <v>14648.167814075165</v>
      </c>
    </row>
    <row r="380" spans="1:50" x14ac:dyDescent="0.35">
      <c r="A380">
        <v>269</v>
      </c>
      <c r="B380" t="s">
        <v>80</v>
      </c>
      <c r="C380" t="s">
        <v>1054</v>
      </c>
      <c r="D380">
        <v>0</v>
      </c>
      <c r="E380" t="s">
        <v>141</v>
      </c>
      <c r="F380">
        <v>29</v>
      </c>
      <c r="G380">
        <v>25</v>
      </c>
      <c r="H380">
        <v>30</v>
      </c>
      <c r="I380">
        <v>30</v>
      </c>
      <c r="J380" s="600">
        <v>114</v>
      </c>
      <c r="K380" s="7">
        <f t="shared" si="69"/>
        <v>20</v>
      </c>
      <c r="L380" s="7">
        <f t="shared" si="70"/>
        <v>0</v>
      </c>
      <c r="M380" s="243">
        <f t="shared" si="71"/>
        <v>0</v>
      </c>
      <c r="N380" s="243">
        <f>INDEX($AN$4:$AN21276,MATCH($A380,$AH$4:$AH$2000,0))</f>
        <v>0</v>
      </c>
      <c r="O380" s="243">
        <f t="shared" si="78"/>
        <v>0</v>
      </c>
      <c r="P380" s="243">
        <f t="shared" si="72"/>
        <v>0</v>
      </c>
      <c r="Q380" s="243">
        <f t="shared" si="73"/>
        <v>34914.668905800012</v>
      </c>
      <c r="R380" s="243">
        <f t="shared" si="74"/>
        <v>30098.852505000006</v>
      </c>
      <c r="S380" s="243">
        <f t="shared" si="79"/>
        <v>36118.623006000009</v>
      </c>
      <c r="T380" s="243">
        <f t="shared" si="75"/>
        <v>36118.623006000009</v>
      </c>
      <c r="AA380" s="6">
        <v>396</v>
      </c>
      <c r="AB380" t="s">
        <v>80</v>
      </c>
      <c r="AC380" t="s">
        <v>1032</v>
      </c>
      <c r="AE380" t="s">
        <v>1039</v>
      </c>
      <c r="AF380">
        <v>0</v>
      </c>
      <c r="AH380">
        <v>269</v>
      </c>
      <c r="AI380" t="s">
        <v>80</v>
      </c>
      <c r="AJ380" t="s">
        <v>1054</v>
      </c>
      <c r="AK380">
        <v>0</v>
      </c>
      <c r="AL380" t="s">
        <v>141</v>
      </c>
      <c r="AM380" s="314">
        <v>0</v>
      </c>
      <c r="AN380" s="314">
        <v>0</v>
      </c>
      <c r="AO380" s="314">
        <v>0</v>
      </c>
      <c r="AP380" s="314">
        <v>0</v>
      </c>
      <c r="AQ380" s="314">
        <v>0</v>
      </c>
      <c r="AR380" s="314">
        <v>0</v>
      </c>
      <c r="AS380" s="314">
        <v>0</v>
      </c>
      <c r="AT380" s="314">
        <v>0</v>
      </c>
      <c r="AU380" s="314">
        <v>34914.668905800012</v>
      </c>
      <c r="AV380" s="314">
        <v>30098.852505000006</v>
      </c>
      <c r="AW380" s="314">
        <v>36118.623006000009</v>
      </c>
      <c r="AX380">
        <v>36118.623006000009</v>
      </c>
    </row>
    <row r="381" spans="1:50" x14ac:dyDescent="0.35">
      <c r="A381">
        <v>272</v>
      </c>
      <c r="B381" t="s">
        <v>80</v>
      </c>
      <c r="C381" t="s">
        <v>1054</v>
      </c>
      <c r="D381">
        <v>0</v>
      </c>
      <c r="E381" t="s">
        <v>144</v>
      </c>
      <c r="F381">
        <v>5</v>
      </c>
      <c r="G381">
        <v>5</v>
      </c>
      <c r="H381">
        <v>5</v>
      </c>
      <c r="I381">
        <v>5</v>
      </c>
      <c r="J381" s="600">
        <v>20</v>
      </c>
      <c r="K381" s="7">
        <f t="shared" si="69"/>
        <v>6</v>
      </c>
      <c r="L381" s="7">
        <f t="shared" si="70"/>
        <v>0</v>
      </c>
      <c r="M381" s="243">
        <f t="shared" si="71"/>
        <v>0</v>
      </c>
      <c r="N381" s="243">
        <f>INDEX($AN$4:$AN21277,MATCH($A381,$AH$4:$AH$2000,0))</f>
        <v>0</v>
      </c>
      <c r="O381" s="243">
        <f t="shared" si="78"/>
        <v>0</v>
      </c>
      <c r="P381" s="243">
        <f t="shared" si="72"/>
        <v>0</v>
      </c>
      <c r="Q381" s="243">
        <f t="shared" si="73"/>
        <v>2642.8499999999995</v>
      </c>
      <c r="R381" s="243">
        <f t="shared" si="74"/>
        <v>2642.8499999999995</v>
      </c>
      <c r="S381" s="243">
        <f t="shared" si="79"/>
        <v>2642.8499999999995</v>
      </c>
      <c r="T381" s="243">
        <f t="shared" si="75"/>
        <v>2642.8499999999995</v>
      </c>
      <c r="AA381" s="6">
        <v>397</v>
      </c>
      <c r="AB381" t="s">
        <v>80</v>
      </c>
      <c r="AC381" t="s">
        <v>1032</v>
      </c>
      <c r="AE381" t="s">
        <v>1040</v>
      </c>
      <c r="AF381">
        <v>0</v>
      </c>
      <c r="AH381">
        <v>272</v>
      </c>
      <c r="AI381" t="s">
        <v>80</v>
      </c>
      <c r="AJ381" t="s">
        <v>1054</v>
      </c>
      <c r="AK381">
        <v>0</v>
      </c>
      <c r="AL381" t="s">
        <v>144</v>
      </c>
      <c r="AM381" s="314">
        <v>0</v>
      </c>
      <c r="AN381" s="314">
        <v>0</v>
      </c>
      <c r="AO381" s="314">
        <v>0</v>
      </c>
      <c r="AP381" s="314">
        <v>0</v>
      </c>
      <c r="AQ381" s="314">
        <v>0</v>
      </c>
      <c r="AR381" s="314">
        <v>0</v>
      </c>
      <c r="AS381" s="314">
        <v>0</v>
      </c>
      <c r="AT381" s="314">
        <v>0</v>
      </c>
      <c r="AU381" s="314">
        <v>2642.8499999999995</v>
      </c>
      <c r="AV381" s="314">
        <v>2642.8499999999995</v>
      </c>
      <c r="AW381" s="314">
        <v>2642.8499999999995</v>
      </c>
      <c r="AX381">
        <v>2642.8499999999995</v>
      </c>
    </row>
    <row r="382" spans="1:50" x14ac:dyDescent="0.35">
      <c r="A382">
        <v>310</v>
      </c>
      <c r="B382" t="s">
        <v>80</v>
      </c>
      <c r="C382" t="s">
        <v>1054</v>
      </c>
      <c r="D382">
        <v>0</v>
      </c>
      <c r="E382" t="s">
        <v>149</v>
      </c>
      <c r="F382">
        <v>0</v>
      </c>
      <c r="G382">
        <v>1</v>
      </c>
      <c r="H382">
        <v>0</v>
      </c>
      <c r="I382">
        <v>1</v>
      </c>
      <c r="J382" s="600">
        <v>2</v>
      </c>
      <c r="K382" s="7">
        <f t="shared" si="69"/>
        <v>10</v>
      </c>
      <c r="L382" s="7">
        <f t="shared" si="70"/>
        <v>0</v>
      </c>
      <c r="M382" s="243">
        <f t="shared" si="71"/>
        <v>0</v>
      </c>
      <c r="N382" s="243">
        <f>INDEX($AN$4:$AN21278,MATCH($A382,$AH$4:$AH$2000,0))</f>
        <v>0</v>
      </c>
      <c r="O382" s="243">
        <f t="shared" si="78"/>
        <v>0</v>
      </c>
      <c r="P382" s="243">
        <f t="shared" si="72"/>
        <v>0</v>
      </c>
      <c r="Q382" s="243">
        <f t="shared" si="73"/>
        <v>0</v>
      </c>
      <c r="R382" s="243">
        <f t="shared" si="74"/>
        <v>980.1</v>
      </c>
      <c r="S382" s="243">
        <f t="shared" si="79"/>
        <v>0</v>
      </c>
      <c r="T382" s="243">
        <f t="shared" si="75"/>
        <v>980.1</v>
      </c>
      <c r="AA382" s="6">
        <v>398</v>
      </c>
      <c r="AB382" t="s">
        <v>80</v>
      </c>
      <c r="AC382" t="s">
        <v>1032</v>
      </c>
      <c r="AE382" t="s">
        <v>1041</v>
      </c>
      <c r="AF382">
        <v>0</v>
      </c>
      <c r="AH382">
        <v>310</v>
      </c>
      <c r="AI382" t="s">
        <v>80</v>
      </c>
      <c r="AJ382" t="s">
        <v>1054</v>
      </c>
      <c r="AK382">
        <v>0</v>
      </c>
      <c r="AL382" t="s">
        <v>149</v>
      </c>
      <c r="AM382" s="314">
        <v>0</v>
      </c>
      <c r="AN382" s="314">
        <v>0</v>
      </c>
      <c r="AO382" s="314">
        <v>0</v>
      </c>
      <c r="AP382" s="314">
        <v>0</v>
      </c>
      <c r="AQ382" s="314">
        <v>0</v>
      </c>
      <c r="AR382" s="314">
        <v>0</v>
      </c>
      <c r="AS382" s="314">
        <v>0</v>
      </c>
      <c r="AT382" s="314">
        <v>0</v>
      </c>
      <c r="AU382" s="314">
        <v>0</v>
      </c>
      <c r="AV382" s="314">
        <v>980.1</v>
      </c>
      <c r="AW382" s="314">
        <v>0</v>
      </c>
      <c r="AX382">
        <v>980.1</v>
      </c>
    </row>
    <row r="383" spans="1:50" x14ac:dyDescent="0.35">
      <c r="A383">
        <v>307</v>
      </c>
      <c r="B383" t="s">
        <v>80</v>
      </c>
      <c r="C383" t="s">
        <v>1054</v>
      </c>
      <c r="D383">
        <v>0</v>
      </c>
      <c r="E383" t="s">
        <v>151</v>
      </c>
      <c r="F383">
        <v>0</v>
      </c>
      <c r="G383">
        <v>0</v>
      </c>
      <c r="H383">
        <v>0</v>
      </c>
      <c r="I383">
        <v>1</v>
      </c>
      <c r="J383" s="600">
        <v>1</v>
      </c>
      <c r="K383" s="7">
        <f t="shared" si="69"/>
        <v>12</v>
      </c>
      <c r="L383" s="7">
        <f t="shared" si="70"/>
        <v>0</v>
      </c>
      <c r="M383" s="243">
        <f t="shared" si="71"/>
        <v>0</v>
      </c>
      <c r="N383" s="243">
        <f>INDEX($AN$4:$AN21279,MATCH($A383,$AH$4:$AH$2000,0))</f>
        <v>0</v>
      </c>
      <c r="O383" s="243">
        <f t="shared" si="78"/>
        <v>0</v>
      </c>
      <c r="P383" s="243">
        <f t="shared" si="72"/>
        <v>0</v>
      </c>
      <c r="Q383" s="243">
        <f t="shared" si="73"/>
        <v>0</v>
      </c>
      <c r="R383" s="243">
        <f t="shared" si="74"/>
        <v>0</v>
      </c>
      <c r="S383" s="243">
        <f t="shared" si="79"/>
        <v>0</v>
      </c>
      <c r="T383" s="243">
        <f t="shared" si="75"/>
        <v>594.9</v>
      </c>
      <c r="AA383" s="6">
        <v>399</v>
      </c>
      <c r="AB383" t="s">
        <v>80</v>
      </c>
      <c r="AC383" t="s">
        <v>1032</v>
      </c>
      <c r="AE383" t="s">
        <v>1042</v>
      </c>
      <c r="AF383">
        <v>0</v>
      </c>
      <c r="AH383">
        <v>307</v>
      </c>
      <c r="AI383" t="s">
        <v>80</v>
      </c>
      <c r="AJ383" t="s">
        <v>1054</v>
      </c>
      <c r="AK383">
        <v>0</v>
      </c>
      <c r="AL383" t="s">
        <v>151</v>
      </c>
      <c r="AM383" s="314">
        <v>0</v>
      </c>
      <c r="AN383" s="314">
        <v>0</v>
      </c>
      <c r="AO383" s="314">
        <v>0</v>
      </c>
      <c r="AP383" s="314">
        <v>0</v>
      </c>
      <c r="AQ383" s="314">
        <v>0</v>
      </c>
      <c r="AR383" s="314">
        <v>0</v>
      </c>
      <c r="AS383" s="314">
        <v>0</v>
      </c>
      <c r="AT383" s="314">
        <v>0</v>
      </c>
      <c r="AU383" s="314">
        <v>0</v>
      </c>
      <c r="AV383" s="314">
        <v>0</v>
      </c>
      <c r="AW383" s="314">
        <v>0</v>
      </c>
      <c r="AX383">
        <v>594.9</v>
      </c>
    </row>
    <row r="384" spans="1:50" x14ac:dyDescent="0.35">
      <c r="A384">
        <v>333</v>
      </c>
      <c r="B384" t="s">
        <v>80</v>
      </c>
      <c r="C384" t="s">
        <v>1054</v>
      </c>
      <c r="D384">
        <v>0</v>
      </c>
      <c r="E384" t="s">
        <v>153</v>
      </c>
      <c r="F384">
        <v>0</v>
      </c>
      <c r="G384">
        <v>1</v>
      </c>
      <c r="H384">
        <v>0</v>
      </c>
      <c r="I384">
        <v>0</v>
      </c>
      <c r="J384" s="600">
        <v>1</v>
      </c>
      <c r="K384" s="7">
        <f t="shared" si="69"/>
        <v>12</v>
      </c>
      <c r="L384" s="7">
        <f t="shared" si="70"/>
        <v>0</v>
      </c>
      <c r="M384" s="243">
        <f t="shared" si="71"/>
        <v>0</v>
      </c>
      <c r="N384" s="243">
        <f>INDEX($AN$4:$AN21280,MATCH($A384,$AH$4:$AH$2000,0))</f>
        <v>0</v>
      </c>
      <c r="O384" s="243">
        <f t="shared" ref="O384:O403" si="80">INDEX($AO$4:$AO$2000,MATCH($A384,$AH$4:$AH$2000,0))</f>
        <v>0</v>
      </c>
      <c r="P384" s="243">
        <f t="shared" si="72"/>
        <v>0</v>
      </c>
      <c r="Q384" s="243">
        <f t="shared" si="73"/>
        <v>0</v>
      </c>
      <c r="R384" s="243">
        <f t="shared" si="74"/>
        <v>1242</v>
      </c>
      <c r="S384" s="243">
        <f t="shared" ref="S384:S403" si="81">INDEX($AW$4:$AW$2000,MATCH($A384,$AH$4:$AH$2000,0))</f>
        <v>0</v>
      </c>
      <c r="T384" s="243">
        <f t="shared" si="75"/>
        <v>0</v>
      </c>
      <c r="AA384" s="6">
        <v>400</v>
      </c>
      <c r="AB384" t="s">
        <v>80</v>
      </c>
      <c r="AC384" t="s">
        <v>1032</v>
      </c>
      <c r="AE384" t="s">
        <v>1043</v>
      </c>
      <c r="AF384">
        <v>0</v>
      </c>
      <c r="AH384">
        <v>333</v>
      </c>
      <c r="AI384" t="s">
        <v>80</v>
      </c>
      <c r="AJ384" t="s">
        <v>1054</v>
      </c>
      <c r="AK384">
        <v>0</v>
      </c>
      <c r="AL384" t="s">
        <v>153</v>
      </c>
      <c r="AM384" s="314">
        <v>0</v>
      </c>
      <c r="AN384" s="314">
        <v>0</v>
      </c>
      <c r="AO384" s="314">
        <v>0</v>
      </c>
      <c r="AP384" s="314">
        <v>0</v>
      </c>
      <c r="AQ384" s="314">
        <v>0</v>
      </c>
      <c r="AR384" s="314">
        <v>0</v>
      </c>
      <c r="AS384" s="314">
        <v>0</v>
      </c>
      <c r="AT384" s="314">
        <v>0</v>
      </c>
      <c r="AU384" s="314">
        <v>0</v>
      </c>
      <c r="AV384" s="314">
        <v>1242</v>
      </c>
      <c r="AW384" s="314">
        <v>0</v>
      </c>
      <c r="AX384">
        <v>0</v>
      </c>
    </row>
    <row r="385" spans="1:50" x14ac:dyDescent="0.35">
      <c r="A385">
        <v>338</v>
      </c>
      <c r="B385" t="s">
        <v>80</v>
      </c>
      <c r="C385" t="s">
        <v>1054</v>
      </c>
      <c r="D385">
        <v>0</v>
      </c>
      <c r="E385" t="s">
        <v>154</v>
      </c>
      <c r="F385">
        <v>1</v>
      </c>
      <c r="G385">
        <v>0</v>
      </c>
      <c r="H385">
        <v>1</v>
      </c>
      <c r="I385">
        <v>1</v>
      </c>
      <c r="J385" s="600">
        <v>3</v>
      </c>
      <c r="K385" s="7">
        <f t="shared" si="69"/>
        <v>12</v>
      </c>
      <c r="L385" s="7">
        <f t="shared" si="70"/>
        <v>0</v>
      </c>
      <c r="M385" s="243">
        <f t="shared" si="71"/>
        <v>0</v>
      </c>
      <c r="N385" s="243">
        <f>INDEX($AN$4:$AN21281,MATCH($A385,$AH$4:$AH$2000,0))</f>
        <v>0</v>
      </c>
      <c r="O385" s="243">
        <f t="shared" si="80"/>
        <v>0</v>
      </c>
      <c r="P385" s="243">
        <f t="shared" si="72"/>
        <v>0</v>
      </c>
      <c r="Q385" s="243">
        <f t="shared" si="73"/>
        <v>1857.6000000000001</v>
      </c>
      <c r="R385" s="243">
        <f t="shared" si="74"/>
        <v>0</v>
      </c>
      <c r="S385" s="243">
        <f t="shared" si="81"/>
        <v>1857.6000000000001</v>
      </c>
      <c r="T385" s="243">
        <f t="shared" si="75"/>
        <v>1857.6000000000001</v>
      </c>
      <c r="AA385" s="6">
        <v>401</v>
      </c>
      <c r="AB385" t="s">
        <v>80</v>
      </c>
      <c r="AC385" t="s">
        <v>1032</v>
      </c>
      <c r="AE385" t="s">
        <v>1044</v>
      </c>
      <c r="AF385">
        <v>0</v>
      </c>
      <c r="AH385">
        <v>338</v>
      </c>
      <c r="AI385" t="s">
        <v>80</v>
      </c>
      <c r="AJ385" t="s">
        <v>1054</v>
      </c>
      <c r="AK385">
        <v>0</v>
      </c>
      <c r="AL385" t="s">
        <v>154</v>
      </c>
      <c r="AM385" s="314">
        <v>0</v>
      </c>
      <c r="AN385" s="314">
        <v>0</v>
      </c>
      <c r="AO385" s="314">
        <v>0</v>
      </c>
      <c r="AP385" s="314">
        <v>0</v>
      </c>
      <c r="AQ385" s="314">
        <v>0</v>
      </c>
      <c r="AR385" s="314">
        <v>0</v>
      </c>
      <c r="AS385" s="314">
        <v>0</v>
      </c>
      <c r="AT385" s="314">
        <v>0</v>
      </c>
      <c r="AU385" s="314">
        <v>1857.6000000000001</v>
      </c>
      <c r="AV385" s="314">
        <v>0</v>
      </c>
      <c r="AW385" s="314">
        <v>1857.6000000000001</v>
      </c>
      <c r="AX385">
        <v>1857.6000000000001</v>
      </c>
    </row>
    <row r="386" spans="1:50" x14ac:dyDescent="0.35">
      <c r="A386">
        <v>332</v>
      </c>
      <c r="B386" t="s">
        <v>80</v>
      </c>
      <c r="C386" t="s">
        <v>1054</v>
      </c>
      <c r="D386">
        <v>0</v>
      </c>
      <c r="E386" t="s">
        <v>155</v>
      </c>
      <c r="F386">
        <v>2</v>
      </c>
      <c r="G386">
        <v>2</v>
      </c>
      <c r="H386">
        <v>2</v>
      </c>
      <c r="I386">
        <v>2</v>
      </c>
      <c r="J386" s="600">
        <v>8</v>
      </c>
      <c r="K386" s="7">
        <f t="shared" si="69"/>
        <v>10</v>
      </c>
      <c r="L386" s="7">
        <f t="shared" si="70"/>
        <v>0</v>
      </c>
      <c r="M386" s="243">
        <f t="shared" si="71"/>
        <v>1253.28</v>
      </c>
      <c r="N386" s="243">
        <f>INDEX($AN$4:$AN21282,MATCH($A386,$AH$4:$AH$2000,0))</f>
        <v>1253.28</v>
      </c>
      <c r="O386" s="243">
        <f t="shared" si="80"/>
        <v>1253.28</v>
      </c>
      <c r="P386" s="243">
        <f t="shared" si="72"/>
        <v>1253.28</v>
      </c>
      <c r="Q386" s="243">
        <f t="shared" si="73"/>
        <v>7248.2958928799999</v>
      </c>
      <c r="R386" s="243">
        <f t="shared" si="74"/>
        <v>7248.2958928799999</v>
      </c>
      <c r="S386" s="243">
        <f t="shared" si="81"/>
        <v>7248.2958928799999</v>
      </c>
      <c r="T386" s="243">
        <f t="shared" si="75"/>
        <v>7248.2958928799999</v>
      </c>
      <c r="AA386" s="6">
        <v>387</v>
      </c>
      <c r="AB386" t="s">
        <v>80</v>
      </c>
      <c r="AC386" t="s">
        <v>1032</v>
      </c>
      <c r="AE386" t="s">
        <v>1045</v>
      </c>
      <c r="AF386">
        <v>0</v>
      </c>
      <c r="AH386">
        <v>332</v>
      </c>
      <c r="AI386" t="s">
        <v>80</v>
      </c>
      <c r="AJ386" t="s">
        <v>1054</v>
      </c>
      <c r="AK386">
        <v>0</v>
      </c>
      <c r="AL386" t="s">
        <v>155</v>
      </c>
      <c r="AM386" s="314">
        <v>1253.28</v>
      </c>
      <c r="AN386" s="314">
        <v>1253.28</v>
      </c>
      <c r="AO386" s="314">
        <v>1253.28</v>
      </c>
      <c r="AP386" s="314">
        <v>1253.28</v>
      </c>
      <c r="AQ386" s="314">
        <v>0</v>
      </c>
      <c r="AR386" s="314">
        <v>0</v>
      </c>
      <c r="AS386" s="314">
        <v>0</v>
      </c>
      <c r="AT386" s="314">
        <v>0</v>
      </c>
      <c r="AU386" s="314">
        <v>7248.2958928799999</v>
      </c>
      <c r="AV386" s="314">
        <v>7248.2958928799999</v>
      </c>
      <c r="AW386" s="314">
        <v>7248.2958928799999</v>
      </c>
      <c r="AX386">
        <v>7248.2958928799999</v>
      </c>
    </row>
    <row r="387" spans="1:50" x14ac:dyDescent="0.35">
      <c r="A387">
        <v>312</v>
      </c>
      <c r="B387" t="s">
        <v>80</v>
      </c>
      <c r="C387" t="s">
        <v>1054</v>
      </c>
      <c r="D387">
        <v>0</v>
      </c>
      <c r="E387" t="s">
        <v>158</v>
      </c>
      <c r="F387">
        <v>7</v>
      </c>
      <c r="G387">
        <v>7</v>
      </c>
      <c r="H387">
        <v>7</v>
      </c>
      <c r="I387">
        <v>7</v>
      </c>
      <c r="J387" s="600">
        <v>28</v>
      </c>
      <c r="K387" s="7">
        <f t="shared" si="69"/>
        <v>15</v>
      </c>
      <c r="L387" s="7">
        <f t="shared" si="70"/>
        <v>0</v>
      </c>
      <c r="M387" s="243">
        <f t="shared" si="71"/>
        <v>31285.800000000003</v>
      </c>
      <c r="N387" s="243">
        <f>INDEX($AN$4:$AN21283,MATCH($A387,$AH$4:$AH$2000,0))</f>
        <v>31285.800000000003</v>
      </c>
      <c r="O387" s="243">
        <f t="shared" si="80"/>
        <v>31285.800000000003</v>
      </c>
      <c r="P387" s="243">
        <f t="shared" si="72"/>
        <v>31285.800000000003</v>
      </c>
      <c r="Q387" s="243">
        <f t="shared" si="73"/>
        <v>34683.665625000001</v>
      </c>
      <c r="R387" s="243">
        <f t="shared" si="74"/>
        <v>34683.665625000001</v>
      </c>
      <c r="S387" s="243">
        <f t="shared" si="81"/>
        <v>34683.665625000001</v>
      </c>
      <c r="T387" s="243">
        <f t="shared" si="75"/>
        <v>34683.665625000001</v>
      </c>
      <c r="AA387" s="6">
        <v>388</v>
      </c>
      <c r="AB387" t="s">
        <v>80</v>
      </c>
      <c r="AC387" t="s">
        <v>1032</v>
      </c>
      <c r="AE387" t="s">
        <v>1046</v>
      </c>
      <c r="AF387">
        <v>0</v>
      </c>
      <c r="AH387">
        <v>312</v>
      </c>
      <c r="AI387" t="s">
        <v>80</v>
      </c>
      <c r="AJ387" t="s">
        <v>1054</v>
      </c>
      <c r="AK387">
        <v>0</v>
      </c>
      <c r="AL387" t="s">
        <v>158</v>
      </c>
      <c r="AM387" s="314">
        <v>31285.800000000003</v>
      </c>
      <c r="AN387" s="314">
        <v>31285.800000000003</v>
      </c>
      <c r="AO387" s="314">
        <v>31285.800000000003</v>
      </c>
      <c r="AP387" s="314">
        <v>31285.800000000003</v>
      </c>
      <c r="AQ387" s="314">
        <v>4.2839999999999998</v>
      </c>
      <c r="AR387" s="314">
        <v>4.2839999999999998</v>
      </c>
      <c r="AS387" s="314">
        <v>4.2839999999999998</v>
      </c>
      <c r="AT387" s="314">
        <v>4.2839999999999998</v>
      </c>
      <c r="AU387" s="314">
        <v>34683.665625000001</v>
      </c>
      <c r="AV387" s="314">
        <v>34683.665625000001</v>
      </c>
      <c r="AW387" s="314">
        <v>34683.665625000001</v>
      </c>
      <c r="AX387">
        <v>34683.665625000001</v>
      </c>
    </row>
    <row r="388" spans="1:50" x14ac:dyDescent="0.35">
      <c r="A388">
        <v>325</v>
      </c>
      <c r="B388" t="s">
        <v>80</v>
      </c>
      <c r="C388" t="s">
        <v>1054</v>
      </c>
      <c r="D388">
        <v>0</v>
      </c>
      <c r="E388" t="s">
        <v>160</v>
      </c>
      <c r="F388">
        <v>9</v>
      </c>
      <c r="G388">
        <v>18</v>
      </c>
      <c r="H388">
        <v>28</v>
      </c>
      <c r="I388">
        <v>37</v>
      </c>
      <c r="J388" s="600">
        <v>92</v>
      </c>
      <c r="K388" s="7">
        <f t="shared" si="69"/>
        <v>8</v>
      </c>
      <c r="L388" s="7">
        <f t="shared" si="70"/>
        <v>0</v>
      </c>
      <c r="M388" s="243">
        <f t="shared" si="71"/>
        <v>8942.4</v>
      </c>
      <c r="N388" s="243">
        <f>INDEX($AN$4:$AN21284,MATCH($A388,$AH$4:$AH$2000,0))</f>
        <v>17884.8</v>
      </c>
      <c r="O388" s="243">
        <f t="shared" si="80"/>
        <v>27820.799999999999</v>
      </c>
      <c r="P388" s="243">
        <f t="shared" si="72"/>
        <v>36763.200000000004</v>
      </c>
      <c r="Q388" s="243">
        <f t="shared" si="73"/>
        <v>-157.059</v>
      </c>
      <c r="R388" s="243">
        <f t="shared" si="74"/>
        <v>-314.11799999999999</v>
      </c>
      <c r="S388" s="243">
        <f t="shared" si="81"/>
        <v>-488.62800000000004</v>
      </c>
      <c r="T388" s="243">
        <f t="shared" si="75"/>
        <v>-645.68700000000001</v>
      </c>
      <c r="AA388" s="6">
        <v>389</v>
      </c>
      <c r="AB388" t="s">
        <v>80</v>
      </c>
      <c r="AC388" t="s">
        <v>1032</v>
      </c>
      <c r="AE388" t="s">
        <v>1047</v>
      </c>
      <c r="AF388">
        <v>0</v>
      </c>
      <c r="AH388">
        <v>325</v>
      </c>
      <c r="AI388" t="s">
        <v>80</v>
      </c>
      <c r="AJ388" t="s">
        <v>1054</v>
      </c>
      <c r="AK388">
        <v>0</v>
      </c>
      <c r="AL388" t="s">
        <v>160</v>
      </c>
      <c r="AM388" s="314">
        <v>8942.4</v>
      </c>
      <c r="AN388" s="314">
        <v>17884.8</v>
      </c>
      <c r="AO388" s="314">
        <v>27820.799999999999</v>
      </c>
      <c r="AP388" s="314">
        <v>36763.200000000004</v>
      </c>
      <c r="AQ388" s="314">
        <v>1.4742</v>
      </c>
      <c r="AR388" s="314">
        <v>2.9483999999999999</v>
      </c>
      <c r="AS388" s="314">
        <v>4.5864000000000003</v>
      </c>
      <c r="AT388" s="314">
        <v>6.0606</v>
      </c>
      <c r="AU388" s="314">
        <v>-157.059</v>
      </c>
      <c r="AV388" s="314">
        <v>-314.11799999999999</v>
      </c>
      <c r="AW388" s="314">
        <v>-488.62800000000004</v>
      </c>
      <c r="AX388">
        <v>-645.68700000000001</v>
      </c>
    </row>
    <row r="389" spans="1:50" x14ac:dyDescent="0.35">
      <c r="A389">
        <v>283</v>
      </c>
      <c r="B389" t="s">
        <v>80</v>
      </c>
      <c r="C389" t="s">
        <v>1054</v>
      </c>
      <c r="D389">
        <v>0</v>
      </c>
      <c r="E389" t="s">
        <v>161</v>
      </c>
      <c r="F389">
        <v>1</v>
      </c>
      <c r="G389">
        <v>1</v>
      </c>
      <c r="H389">
        <v>0</v>
      </c>
      <c r="I389">
        <v>1</v>
      </c>
      <c r="J389" s="600">
        <v>3</v>
      </c>
      <c r="K389" s="7">
        <f t="shared" ref="K389:K452" si="82">INDEX($AF$4:$AF$2000,MATCH(A389,$AA$4:$AA$2000,0))</f>
        <v>14</v>
      </c>
      <c r="L389" s="7">
        <f t="shared" ref="L389:L452" si="83">INDEX($AG$4:$AG$2000,MATCH(A389,$AA$4:$AA$2000,0))</f>
        <v>0</v>
      </c>
      <c r="M389" s="243">
        <f t="shared" ref="M389:M452" si="84">INDEX($AM$4:$AM$2000,MATCH($A389,$AH$4:$AH$2000,0))</f>
        <v>1179</v>
      </c>
      <c r="N389" s="243">
        <f>INDEX($AN$4:$AN21285,MATCH($A389,$AH$4:$AH$2000,0))</f>
        <v>1179</v>
      </c>
      <c r="O389" s="243">
        <f t="shared" si="80"/>
        <v>0</v>
      </c>
      <c r="P389" s="243">
        <f t="shared" ref="P389:P452" si="85">INDEX($AP$4:$AP$2000,MATCH($A389,$AH$4:$AH$2000,0))</f>
        <v>1179</v>
      </c>
      <c r="Q389" s="243">
        <f t="shared" ref="Q389:Q452" si="86">INDEX($AU$4:$AU$2000,MATCH($A389,$AH$4:$AH$2000,0))</f>
        <v>0</v>
      </c>
      <c r="R389" s="243">
        <f t="shared" ref="R389:R452" si="87">INDEX($AV$4:$AV$2000,MATCH($A389,$AH$4:$AH$2000,0))</f>
        <v>0</v>
      </c>
      <c r="S389" s="243">
        <f t="shared" si="81"/>
        <v>0</v>
      </c>
      <c r="T389" s="243">
        <f t="shared" ref="T389:T452" si="88">INDEX($AX$4:$AX$2000,MATCH($A389,$AH$4:$AH$2000,0))</f>
        <v>0</v>
      </c>
      <c r="AA389" s="6">
        <v>390</v>
      </c>
      <c r="AB389" t="s">
        <v>80</v>
      </c>
      <c r="AC389" t="s">
        <v>1032</v>
      </c>
      <c r="AE389" t="s">
        <v>1048</v>
      </c>
      <c r="AF389">
        <v>0</v>
      </c>
      <c r="AH389">
        <v>283</v>
      </c>
      <c r="AI389" t="s">
        <v>80</v>
      </c>
      <c r="AJ389" t="s">
        <v>1054</v>
      </c>
      <c r="AK389">
        <v>0</v>
      </c>
      <c r="AL389" t="s">
        <v>161</v>
      </c>
      <c r="AM389" s="314">
        <v>1179</v>
      </c>
      <c r="AN389" s="314">
        <v>1179</v>
      </c>
      <c r="AO389" s="314">
        <v>0</v>
      </c>
      <c r="AP389" s="314">
        <v>1179</v>
      </c>
      <c r="AQ389" s="314">
        <v>0</v>
      </c>
      <c r="AR389" s="314">
        <v>0</v>
      </c>
      <c r="AS389" s="314">
        <v>0</v>
      </c>
      <c r="AT389" s="314">
        <v>0</v>
      </c>
      <c r="AU389" s="314">
        <v>0</v>
      </c>
      <c r="AV389" s="314">
        <v>0</v>
      </c>
      <c r="AW389" s="314">
        <v>0</v>
      </c>
      <c r="AX389">
        <v>0</v>
      </c>
    </row>
    <row r="390" spans="1:50" x14ac:dyDescent="0.35">
      <c r="A390">
        <v>285</v>
      </c>
      <c r="B390" t="s">
        <v>80</v>
      </c>
      <c r="C390" t="s">
        <v>1054</v>
      </c>
      <c r="D390">
        <v>0</v>
      </c>
      <c r="E390" t="s">
        <v>241</v>
      </c>
      <c r="F390">
        <v>15000</v>
      </c>
      <c r="G390">
        <v>15000</v>
      </c>
      <c r="H390">
        <v>15000</v>
      </c>
      <c r="I390">
        <v>15000</v>
      </c>
      <c r="J390" s="600">
        <v>60000</v>
      </c>
      <c r="K390" s="7">
        <f t="shared" si="82"/>
        <v>15</v>
      </c>
      <c r="L390" s="7">
        <f t="shared" si="83"/>
        <v>0</v>
      </c>
      <c r="M390" s="243">
        <f t="shared" si="84"/>
        <v>0</v>
      </c>
      <c r="N390" s="243">
        <f>INDEX($AN$4:$AN21286,MATCH($A390,$AH$4:$AH$2000,0))</f>
        <v>0</v>
      </c>
      <c r="O390" s="243">
        <f t="shared" si="80"/>
        <v>0</v>
      </c>
      <c r="P390" s="243">
        <f t="shared" si="85"/>
        <v>0</v>
      </c>
      <c r="Q390" s="243">
        <f t="shared" si="86"/>
        <v>700.31250000000011</v>
      </c>
      <c r="R390" s="243">
        <f t="shared" si="87"/>
        <v>700.31250000000011</v>
      </c>
      <c r="S390" s="243">
        <f t="shared" si="81"/>
        <v>700.31250000000011</v>
      </c>
      <c r="T390" s="243">
        <f t="shared" si="88"/>
        <v>700.31250000000011</v>
      </c>
      <c r="AA390" s="6">
        <v>391</v>
      </c>
      <c r="AB390" t="s">
        <v>80</v>
      </c>
      <c r="AC390" t="s">
        <v>1032</v>
      </c>
      <c r="AE390" t="s">
        <v>1049</v>
      </c>
      <c r="AF390">
        <v>0</v>
      </c>
      <c r="AH390">
        <v>285</v>
      </c>
      <c r="AI390" t="s">
        <v>80</v>
      </c>
      <c r="AJ390" t="s">
        <v>1054</v>
      </c>
      <c r="AK390">
        <v>0</v>
      </c>
      <c r="AL390" t="s">
        <v>241</v>
      </c>
      <c r="AM390" s="314">
        <v>0</v>
      </c>
      <c r="AN390" s="314">
        <v>0</v>
      </c>
      <c r="AO390" s="314">
        <v>0</v>
      </c>
      <c r="AP390" s="314">
        <v>0</v>
      </c>
      <c r="AQ390" s="314">
        <v>0</v>
      </c>
      <c r="AR390" s="314">
        <v>0</v>
      </c>
      <c r="AS390" s="314">
        <v>0</v>
      </c>
      <c r="AT390" s="314">
        <v>0</v>
      </c>
      <c r="AU390" s="314">
        <v>700.31250000000011</v>
      </c>
      <c r="AV390" s="314">
        <v>700.31250000000011</v>
      </c>
      <c r="AW390" s="314">
        <v>700.31250000000011</v>
      </c>
      <c r="AX390">
        <v>700.31250000000011</v>
      </c>
    </row>
    <row r="391" spans="1:50" x14ac:dyDescent="0.35">
      <c r="A391">
        <v>330</v>
      </c>
      <c r="B391" t="s">
        <v>80</v>
      </c>
      <c r="C391" t="s">
        <v>1054</v>
      </c>
      <c r="D391">
        <v>0</v>
      </c>
      <c r="E391" t="s">
        <v>163</v>
      </c>
      <c r="F391">
        <v>14</v>
      </c>
      <c r="G391">
        <v>14</v>
      </c>
      <c r="H391">
        <v>14</v>
      </c>
      <c r="I391">
        <v>14</v>
      </c>
      <c r="J391" s="600">
        <v>56</v>
      </c>
      <c r="K391" s="7">
        <f t="shared" si="82"/>
        <v>6.6</v>
      </c>
      <c r="L391" s="7">
        <f t="shared" si="83"/>
        <v>0</v>
      </c>
      <c r="M391" s="243">
        <f t="shared" si="84"/>
        <v>3342.5279999999998</v>
      </c>
      <c r="N391" s="243">
        <f>INDEX($AN$4:$AN21287,MATCH($A391,$AH$4:$AH$2000,0))</f>
        <v>3342.5279999999998</v>
      </c>
      <c r="O391" s="243">
        <f t="shared" si="80"/>
        <v>3342.5279999999998</v>
      </c>
      <c r="P391" s="243">
        <f t="shared" si="85"/>
        <v>3342.5279999999998</v>
      </c>
      <c r="Q391" s="243">
        <f t="shared" si="86"/>
        <v>0</v>
      </c>
      <c r="R391" s="243">
        <f t="shared" si="87"/>
        <v>0</v>
      </c>
      <c r="S391" s="243">
        <f t="shared" si="81"/>
        <v>0</v>
      </c>
      <c r="T391" s="243">
        <f t="shared" si="88"/>
        <v>0</v>
      </c>
      <c r="AA391" s="6">
        <v>392</v>
      </c>
      <c r="AB391" t="s">
        <v>80</v>
      </c>
      <c r="AC391" t="s">
        <v>1032</v>
      </c>
      <c r="AE391" t="s">
        <v>1050</v>
      </c>
      <c r="AF391">
        <v>0</v>
      </c>
      <c r="AH391">
        <v>330</v>
      </c>
      <c r="AI391" t="s">
        <v>80</v>
      </c>
      <c r="AJ391" t="s">
        <v>1054</v>
      </c>
      <c r="AK391">
        <v>0</v>
      </c>
      <c r="AL391" t="s">
        <v>163</v>
      </c>
      <c r="AM391" s="314">
        <v>3342.5279999999998</v>
      </c>
      <c r="AN391" s="314">
        <v>3342.5279999999998</v>
      </c>
      <c r="AO391" s="314">
        <v>3342.5279999999998</v>
      </c>
      <c r="AP391" s="314">
        <v>3342.5279999999998</v>
      </c>
      <c r="AQ391" s="314">
        <v>0.75600000000000001</v>
      </c>
      <c r="AR391" s="314">
        <v>0.75600000000000001</v>
      </c>
      <c r="AS391" s="314">
        <v>0.75600000000000001</v>
      </c>
      <c r="AT391" s="314">
        <v>0.75600000000000001</v>
      </c>
      <c r="AU391" s="314">
        <v>0</v>
      </c>
      <c r="AV391" s="314">
        <v>0</v>
      </c>
      <c r="AW391" s="314">
        <v>0</v>
      </c>
      <c r="AX391">
        <v>0</v>
      </c>
    </row>
    <row r="392" spans="1:50" x14ac:dyDescent="0.35">
      <c r="A392">
        <v>277</v>
      </c>
      <c r="B392" t="s">
        <v>80</v>
      </c>
      <c r="C392" t="s">
        <v>1054</v>
      </c>
      <c r="D392">
        <v>0</v>
      </c>
      <c r="E392" t="s">
        <v>165</v>
      </c>
      <c r="F392">
        <v>0</v>
      </c>
      <c r="G392">
        <v>1</v>
      </c>
      <c r="H392">
        <v>0</v>
      </c>
      <c r="I392">
        <v>1</v>
      </c>
      <c r="J392" s="600">
        <v>2</v>
      </c>
      <c r="K392" s="7">
        <f t="shared" si="82"/>
        <v>12</v>
      </c>
      <c r="L392" s="7">
        <f t="shared" si="83"/>
        <v>0</v>
      </c>
      <c r="M392" s="243">
        <f t="shared" si="84"/>
        <v>0</v>
      </c>
      <c r="N392" s="243">
        <f>INDEX($AN$4:$AN21288,MATCH($A392,$AH$4:$AH$2000,0))</f>
        <v>1980</v>
      </c>
      <c r="O392" s="243">
        <f t="shared" si="80"/>
        <v>0</v>
      </c>
      <c r="P392" s="243">
        <f t="shared" si="85"/>
        <v>1980</v>
      </c>
      <c r="Q392" s="243">
        <f t="shared" si="86"/>
        <v>0</v>
      </c>
      <c r="R392" s="243">
        <f t="shared" si="87"/>
        <v>0</v>
      </c>
      <c r="S392" s="243">
        <f t="shared" si="81"/>
        <v>0</v>
      </c>
      <c r="T392" s="243">
        <f t="shared" si="88"/>
        <v>0</v>
      </c>
      <c r="AA392" s="6">
        <v>393</v>
      </c>
      <c r="AB392" t="s">
        <v>80</v>
      </c>
      <c r="AC392" t="s">
        <v>1032</v>
      </c>
      <c r="AE392" t="s">
        <v>1051</v>
      </c>
      <c r="AF392">
        <v>0</v>
      </c>
      <c r="AH392">
        <v>277</v>
      </c>
      <c r="AI392" t="s">
        <v>80</v>
      </c>
      <c r="AJ392" t="s">
        <v>1054</v>
      </c>
      <c r="AK392">
        <v>0</v>
      </c>
      <c r="AL392" t="s">
        <v>165</v>
      </c>
      <c r="AM392" s="314">
        <v>0</v>
      </c>
      <c r="AN392" s="314">
        <v>1980</v>
      </c>
      <c r="AO392" s="314">
        <v>0</v>
      </c>
      <c r="AP392" s="314">
        <v>1980</v>
      </c>
      <c r="AQ392" s="314">
        <v>0</v>
      </c>
      <c r="AR392" s="314">
        <v>0.36000000000000004</v>
      </c>
      <c r="AS392" s="314">
        <v>0</v>
      </c>
      <c r="AT392" s="314">
        <v>0.36000000000000004</v>
      </c>
      <c r="AU392" s="314">
        <v>0</v>
      </c>
      <c r="AV392" s="314">
        <v>0</v>
      </c>
      <c r="AW392" s="314">
        <v>0</v>
      </c>
      <c r="AX392">
        <v>0</v>
      </c>
    </row>
    <row r="393" spans="1:50" x14ac:dyDescent="0.35">
      <c r="A393">
        <v>337</v>
      </c>
      <c r="B393" t="s">
        <v>80</v>
      </c>
      <c r="C393" t="s">
        <v>1054</v>
      </c>
      <c r="D393">
        <v>0</v>
      </c>
      <c r="E393" t="s">
        <v>167</v>
      </c>
      <c r="F393">
        <v>12</v>
      </c>
      <c r="G393">
        <v>4</v>
      </c>
      <c r="H393">
        <v>1</v>
      </c>
      <c r="I393">
        <v>1</v>
      </c>
      <c r="J393" s="600">
        <v>18</v>
      </c>
      <c r="K393" s="7">
        <f t="shared" si="82"/>
        <v>8</v>
      </c>
      <c r="L393" s="7">
        <f t="shared" si="83"/>
        <v>0</v>
      </c>
      <c r="M393" s="243">
        <f t="shared" si="84"/>
        <v>51040.800000000003</v>
      </c>
      <c r="N393" s="243">
        <f>INDEX($AN$4:$AN21289,MATCH($A393,$AH$4:$AH$2000,0))</f>
        <v>17013.600000000002</v>
      </c>
      <c r="O393" s="243">
        <f t="shared" si="80"/>
        <v>4253.4000000000005</v>
      </c>
      <c r="P393" s="243">
        <f t="shared" si="85"/>
        <v>4253.4000000000005</v>
      </c>
      <c r="Q393" s="243">
        <f t="shared" si="86"/>
        <v>794.87999999999988</v>
      </c>
      <c r="R393" s="243">
        <f t="shared" si="87"/>
        <v>264.95999999999998</v>
      </c>
      <c r="S393" s="243">
        <f t="shared" si="81"/>
        <v>66.239999999999995</v>
      </c>
      <c r="T393" s="243">
        <f t="shared" si="88"/>
        <v>66.239999999999995</v>
      </c>
      <c r="AA393" s="6">
        <v>405</v>
      </c>
      <c r="AB393" t="s">
        <v>80</v>
      </c>
      <c r="AC393" t="s">
        <v>1032</v>
      </c>
      <c r="AE393" t="s">
        <v>209</v>
      </c>
      <c r="AF393">
        <v>12</v>
      </c>
      <c r="AH393">
        <v>337</v>
      </c>
      <c r="AI393" t="s">
        <v>80</v>
      </c>
      <c r="AJ393" t="s">
        <v>1054</v>
      </c>
      <c r="AK393">
        <v>0</v>
      </c>
      <c r="AL393" t="s">
        <v>167</v>
      </c>
      <c r="AM393" s="314">
        <v>51040.800000000003</v>
      </c>
      <c r="AN393" s="314">
        <v>17013.600000000002</v>
      </c>
      <c r="AO393" s="314">
        <v>4253.4000000000005</v>
      </c>
      <c r="AP393" s="314">
        <v>4253.4000000000005</v>
      </c>
      <c r="AQ393" s="314">
        <v>0</v>
      </c>
      <c r="AR393" s="314">
        <v>0</v>
      </c>
      <c r="AS393" s="314">
        <v>0</v>
      </c>
      <c r="AT393" s="314">
        <v>0</v>
      </c>
      <c r="AU393" s="314">
        <v>794.87999999999988</v>
      </c>
      <c r="AV393" s="314">
        <v>264.95999999999998</v>
      </c>
      <c r="AW393" s="314">
        <v>66.239999999999995</v>
      </c>
      <c r="AX393">
        <v>66.239999999999995</v>
      </c>
    </row>
    <row r="394" spans="1:50" x14ac:dyDescent="0.35">
      <c r="A394">
        <v>273</v>
      </c>
      <c r="B394" t="s">
        <v>80</v>
      </c>
      <c r="C394" t="s">
        <v>1054</v>
      </c>
      <c r="D394">
        <v>0</v>
      </c>
      <c r="E394" t="s">
        <v>168</v>
      </c>
      <c r="F394">
        <v>48</v>
      </c>
      <c r="G394">
        <v>40</v>
      </c>
      <c r="H394">
        <v>50</v>
      </c>
      <c r="I394">
        <v>50</v>
      </c>
      <c r="J394" s="600">
        <v>188</v>
      </c>
      <c r="K394" s="7">
        <f t="shared" si="82"/>
        <v>10</v>
      </c>
      <c r="L394" s="7">
        <f t="shared" si="83"/>
        <v>0</v>
      </c>
      <c r="M394" s="243">
        <f t="shared" si="84"/>
        <v>193017.60000000001</v>
      </c>
      <c r="N394" s="243">
        <f>INDEX($AN$4:$AN21290,MATCH($A394,$AH$4:$AH$2000,0))</f>
        <v>160848</v>
      </c>
      <c r="O394" s="243">
        <f t="shared" si="80"/>
        <v>201060</v>
      </c>
      <c r="P394" s="243">
        <f t="shared" si="85"/>
        <v>201060</v>
      </c>
      <c r="Q394" s="243">
        <f t="shared" si="86"/>
        <v>26913.600000000002</v>
      </c>
      <c r="R394" s="243">
        <f t="shared" si="87"/>
        <v>22428</v>
      </c>
      <c r="S394" s="243">
        <f t="shared" si="81"/>
        <v>28035.000000000004</v>
      </c>
      <c r="T394" s="243">
        <f t="shared" si="88"/>
        <v>28035.000000000004</v>
      </c>
      <c r="AA394" s="6">
        <v>412</v>
      </c>
      <c r="AB394" t="s">
        <v>80</v>
      </c>
      <c r="AC394" t="s">
        <v>1032</v>
      </c>
      <c r="AE394" t="s">
        <v>1052</v>
      </c>
      <c r="AF394">
        <v>0</v>
      </c>
      <c r="AH394">
        <v>273</v>
      </c>
      <c r="AI394" t="s">
        <v>80</v>
      </c>
      <c r="AJ394" t="s">
        <v>1054</v>
      </c>
      <c r="AK394">
        <v>0</v>
      </c>
      <c r="AL394" t="s">
        <v>168</v>
      </c>
      <c r="AM394" s="314">
        <v>193017.60000000001</v>
      </c>
      <c r="AN394" s="314">
        <v>160848</v>
      </c>
      <c r="AO394" s="314">
        <v>201060</v>
      </c>
      <c r="AP394" s="314">
        <v>201060</v>
      </c>
      <c r="AQ394" s="314">
        <v>0</v>
      </c>
      <c r="AR394" s="314">
        <v>0</v>
      </c>
      <c r="AS394" s="314">
        <v>0</v>
      </c>
      <c r="AT394" s="314">
        <v>0</v>
      </c>
      <c r="AU394" s="314">
        <v>26913.600000000002</v>
      </c>
      <c r="AV394" s="314">
        <v>22428</v>
      </c>
      <c r="AW394" s="314">
        <v>28035.000000000004</v>
      </c>
      <c r="AX394">
        <v>28035.000000000004</v>
      </c>
    </row>
    <row r="395" spans="1:50" x14ac:dyDescent="0.35">
      <c r="A395">
        <v>284</v>
      </c>
      <c r="B395" t="s">
        <v>80</v>
      </c>
      <c r="C395" t="s">
        <v>1054</v>
      </c>
      <c r="D395">
        <v>0</v>
      </c>
      <c r="E395" t="s">
        <v>169</v>
      </c>
      <c r="F395">
        <v>5</v>
      </c>
      <c r="G395">
        <v>5</v>
      </c>
      <c r="H395">
        <v>5</v>
      </c>
      <c r="I395">
        <v>5</v>
      </c>
      <c r="J395" s="600">
        <v>20</v>
      </c>
      <c r="K395" s="7">
        <f t="shared" si="82"/>
        <v>4</v>
      </c>
      <c r="L395" s="7">
        <f t="shared" si="83"/>
        <v>0</v>
      </c>
      <c r="M395" s="243">
        <f t="shared" si="84"/>
        <v>558</v>
      </c>
      <c r="N395" s="243">
        <f>INDEX($AN$4:$AN21291,MATCH($A395,$AH$4:$AH$2000,0))</f>
        <v>558</v>
      </c>
      <c r="O395" s="243">
        <f t="shared" si="80"/>
        <v>558</v>
      </c>
      <c r="P395" s="243">
        <f t="shared" si="85"/>
        <v>558</v>
      </c>
      <c r="Q395" s="243">
        <f t="shared" si="86"/>
        <v>0</v>
      </c>
      <c r="R395" s="243">
        <f t="shared" si="87"/>
        <v>0</v>
      </c>
      <c r="S395" s="243">
        <f t="shared" si="81"/>
        <v>0</v>
      </c>
      <c r="T395" s="243">
        <f t="shared" si="88"/>
        <v>0</v>
      </c>
      <c r="AA395" s="6">
        <v>408</v>
      </c>
      <c r="AB395" t="s">
        <v>80</v>
      </c>
      <c r="AC395" t="s">
        <v>1032</v>
      </c>
      <c r="AE395" t="s">
        <v>278</v>
      </c>
      <c r="AF395">
        <v>15</v>
      </c>
      <c r="AG395">
        <v>0</v>
      </c>
      <c r="AH395">
        <v>284</v>
      </c>
      <c r="AI395" t="s">
        <v>80</v>
      </c>
      <c r="AJ395" t="s">
        <v>1054</v>
      </c>
      <c r="AK395">
        <v>0</v>
      </c>
      <c r="AL395" t="s">
        <v>169</v>
      </c>
      <c r="AM395" s="314">
        <v>558</v>
      </c>
      <c r="AN395" s="314">
        <v>558</v>
      </c>
      <c r="AO395" s="314">
        <v>558</v>
      </c>
      <c r="AP395" s="314">
        <v>558</v>
      </c>
      <c r="AQ395" s="314">
        <v>0</v>
      </c>
      <c r="AR395" s="314">
        <v>0</v>
      </c>
      <c r="AS395" s="314">
        <v>0</v>
      </c>
      <c r="AT395" s="314">
        <v>0</v>
      </c>
      <c r="AU395" s="314">
        <v>0</v>
      </c>
      <c r="AV395" s="314">
        <v>0</v>
      </c>
      <c r="AW395" s="314">
        <v>0</v>
      </c>
      <c r="AX395">
        <v>0</v>
      </c>
    </row>
    <row r="396" spans="1:50" x14ac:dyDescent="0.35">
      <c r="A396">
        <v>343</v>
      </c>
      <c r="B396" t="s">
        <v>80</v>
      </c>
      <c r="C396" t="s">
        <v>1054</v>
      </c>
      <c r="D396">
        <v>0</v>
      </c>
      <c r="E396" t="s">
        <v>171</v>
      </c>
      <c r="F396">
        <v>356</v>
      </c>
      <c r="G396">
        <v>270</v>
      </c>
      <c r="H396">
        <v>181</v>
      </c>
      <c r="I396">
        <v>91</v>
      </c>
      <c r="J396" s="600">
        <v>898</v>
      </c>
      <c r="K396" s="7">
        <f t="shared" si="82"/>
        <v>6.4</v>
      </c>
      <c r="L396" s="7">
        <f t="shared" si="83"/>
        <v>0</v>
      </c>
      <c r="M396" s="243">
        <f t="shared" si="84"/>
        <v>5920.4095141614425</v>
      </c>
      <c r="N396" s="243">
        <f>INDEX($AN$4:$AN21292,MATCH($A396,$AH$4:$AH$2000,0))</f>
        <v>4490.1982270325552</v>
      </c>
      <c r="O396" s="243">
        <f t="shared" si="80"/>
        <v>3010.0958484921944</v>
      </c>
      <c r="P396" s="243">
        <f t="shared" si="85"/>
        <v>1513.3631061480091</v>
      </c>
      <c r="Q396" s="243">
        <f t="shared" si="86"/>
        <v>-101.14606563337148</v>
      </c>
      <c r="R396" s="243">
        <f t="shared" si="87"/>
        <v>-76.711903710703083</v>
      </c>
      <c r="S396" s="243">
        <f t="shared" si="81"/>
        <v>-51.425387302360221</v>
      </c>
      <c r="T396" s="243">
        <f t="shared" si="88"/>
        <v>-25.854752732125856</v>
      </c>
      <c r="AA396" s="6">
        <v>423</v>
      </c>
      <c r="AB396" t="s">
        <v>80</v>
      </c>
      <c r="AC396" t="s">
        <v>1032</v>
      </c>
      <c r="AE396" t="s">
        <v>279</v>
      </c>
      <c r="AF396">
        <v>11</v>
      </c>
      <c r="AG396">
        <v>0</v>
      </c>
      <c r="AH396">
        <v>343</v>
      </c>
      <c r="AI396" t="s">
        <v>80</v>
      </c>
      <c r="AJ396" t="s">
        <v>1054</v>
      </c>
      <c r="AK396">
        <v>0</v>
      </c>
      <c r="AL396" t="s">
        <v>171</v>
      </c>
      <c r="AM396" s="314">
        <v>5920.4095141614425</v>
      </c>
      <c r="AN396" s="314">
        <v>4490.1982270325552</v>
      </c>
      <c r="AO396" s="314">
        <v>3010.0958484921944</v>
      </c>
      <c r="AP396" s="314">
        <v>1513.3631061480091</v>
      </c>
      <c r="AQ396" s="314">
        <v>1.1746775562161949</v>
      </c>
      <c r="AR396" s="314">
        <v>0.89090713533250732</v>
      </c>
      <c r="AS396" s="314">
        <v>0.5972377462784586</v>
      </c>
      <c r="AT396" s="314">
        <v>0.30026870116762283</v>
      </c>
      <c r="AU396" s="314">
        <v>-101.14606563337148</v>
      </c>
      <c r="AV396" s="314">
        <v>-76.711903710703083</v>
      </c>
      <c r="AW396" s="314">
        <v>-51.425387302360221</v>
      </c>
      <c r="AX396">
        <v>-25.854752732125856</v>
      </c>
    </row>
    <row r="397" spans="1:50" x14ac:dyDescent="0.35">
      <c r="A397">
        <v>342</v>
      </c>
      <c r="B397" t="s">
        <v>80</v>
      </c>
      <c r="C397" t="s">
        <v>1054</v>
      </c>
      <c r="D397">
        <v>0</v>
      </c>
      <c r="E397" t="s">
        <v>172</v>
      </c>
      <c r="F397">
        <v>89</v>
      </c>
      <c r="G397">
        <v>68</v>
      </c>
      <c r="H397">
        <v>46</v>
      </c>
      <c r="I397">
        <v>23</v>
      </c>
      <c r="J397" s="600">
        <v>226</v>
      </c>
      <c r="K397" s="7">
        <f t="shared" si="82"/>
        <v>6.4</v>
      </c>
      <c r="L397" s="7">
        <f t="shared" si="83"/>
        <v>0</v>
      </c>
      <c r="M397" s="243">
        <f t="shared" si="84"/>
        <v>1761.4797463327084</v>
      </c>
      <c r="N397" s="243">
        <f>INDEX($AN$4:$AN21293,MATCH($A397,$AH$4:$AH$2000,0))</f>
        <v>1345.8496938272378</v>
      </c>
      <c r="O397" s="243">
        <f t="shared" si="80"/>
        <v>910.42773405960213</v>
      </c>
      <c r="P397" s="243">
        <f t="shared" si="85"/>
        <v>455.21386702980107</v>
      </c>
      <c r="Q397" s="243">
        <f t="shared" si="86"/>
        <v>-30.888231941295871</v>
      </c>
      <c r="R397" s="243">
        <f t="shared" si="87"/>
        <v>-23.599997438293475</v>
      </c>
      <c r="S397" s="243">
        <f t="shared" si="81"/>
        <v>-15.964704149433821</v>
      </c>
      <c r="T397" s="243">
        <f t="shared" si="88"/>
        <v>-7.9823520747169106</v>
      </c>
      <c r="AA397" s="6">
        <v>410</v>
      </c>
      <c r="AB397" t="s">
        <v>80</v>
      </c>
      <c r="AC397" t="s">
        <v>1032</v>
      </c>
      <c r="AE397" t="s">
        <v>280</v>
      </c>
      <c r="AF397">
        <v>15</v>
      </c>
      <c r="AG397">
        <v>0</v>
      </c>
      <c r="AH397">
        <v>342</v>
      </c>
      <c r="AI397" t="s">
        <v>80</v>
      </c>
      <c r="AJ397" t="s">
        <v>1054</v>
      </c>
      <c r="AK397">
        <v>0</v>
      </c>
      <c r="AL397" t="s">
        <v>172</v>
      </c>
      <c r="AM397" s="314">
        <v>1761.4797463327084</v>
      </c>
      <c r="AN397" s="314">
        <v>1345.8496938272378</v>
      </c>
      <c r="AO397" s="314">
        <v>910.42773405960213</v>
      </c>
      <c r="AP397" s="314">
        <v>455.21386702980107</v>
      </c>
      <c r="AQ397" s="314">
        <v>0.34949790530486685</v>
      </c>
      <c r="AR397" s="314">
        <v>0.26703210742394318</v>
      </c>
      <c r="AS397" s="314">
        <v>0.1806393667867851</v>
      </c>
      <c r="AT397" s="314">
        <v>9.0319683393392552E-2</v>
      </c>
      <c r="AU397" s="314">
        <v>-30.888231941295871</v>
      </c>
      <c r="AV397" s="314">
        <v>-23.599997438293475</v>
      </c>
      <c r="AW397" s="314">
        <v>-15.964704149433821</v>
      </c>
      <c r="AX397">
        <v>-7.9823520747169106</v>
      </c>
    </row>
    <row r="398" spans="1:50" x14ac:dyDescent="0.35">
      <c r="A398">
        <v>323</v>
      </c>
      <c r="B398" t="s">
        <v>80</v>
      </c>
      <c r="C398" t="s">
        <v>1054</v>
      </c>
      <c r="D398">
        <v>0</v>
      </c>
      <c r="E398" t="s">
        <v>1016</v>
      </c>
      <c r="F398">
        <v>20</v>
      </c>
      <c r="G398">
        <v>20</v>
      </c>
      <c r="H398">
        <v>20</v>
      </c>
      <c r="I398">
        <v>20</v>
      </c>
      <c r="J398" s="600">
        <v>80</v>
      </c>
      <c r="K398" s="7">
        <f t="shared" si="82"/>
        <v>10</v>
      </c>
      <c r="L398" s="7">
        <f t="shared" si="83"/>
        <v>0</v>
      </c>
      <c r="M398" s="243">
        <f t="shared" si="84"/>
        <v>349.41342820075488</v>
      </c>
      <c r="N398" s="243">
        <f>INDEX($AN$4:$AN21294,MATCH($A398,$AH$4:$AH$2000,0))</f>
        <v>349.41342820075488</v>
      </c>
      <c r="O398" s="243">
        <f t="shared" si="80"/>
        <v>349.41342820075488</v>
      </c>
      <c r="P398" s="243">
        <f t="shared" si="85"/>
        <v>349.41342820075488</v>
      </c>
      <c r="Q398" s="243">
        <f t="shared" si="86"/>
        <v>97.498727258773613</v>
      </c>
      <c r="R398" s="243">
        <f t="shared" si="87"/>
        <v>97.498727258773613</v>
      </c>
      <c r="S398" s="243">
        <f t="shared" si="81"/>
        <v>97.498727258773613</v>
      </c>
      <c r="T398" s="243">
        <f t="shared" si="88"/>
        <v>97.498727258773613</v>
      </c>
      <c r="AA398" s="6">
        <v>413</v>
      </c>
      <c r="AB398" t="s">
        <v>80</v>
      </c>
      <c r="AC398" t="s">
        <v>1032</v>
      </c>
      <c r="AE398" t="s">
        <v>281</v>
      </c>
      <c r="AF398">
        <v>15</v>
      </c>
      <c r="AG398">
        <v>0</v>
      </c>
      <c r="AH398">
        <v>323</v>
      </c>
      <c r="AI398" t="s">
        <v>80</v>
      </c>
      <c r="AJ398" t="s">
        <v>1054</v>
      </c>
      <c r="AK398">
        <v>0</v>
      </c>
      <c r="AL398" t="s">
        <v>1016</v>
      </c>
      <c r="AM398" s="314">
        <v>349.41342820075488</v>
      </c>
      <c r="AN398" s="314">
        <v>349.41342820075488</v>
      </c>
      <c r="AO398" s="314">
        <v>349.41342820075488</v>
      </c>
      <c r="AP398" s="314">
        <v>349.41342820075488</v>
      </c>
      <c r="AQ398" s="314">
        <v>0.11527864883042022</v>
      </c>
      <c r="AR398" s="314">
        <v>0.11527864883042022</v>
      </c>
      <c r="AS398" s="314">
        <v>0.11527864883042022</v>
      </c>
      <c r="AT398" s="314">
        <v>0.11527864883042022</v>
      </c>
      <c r="AU398" s="314">
        <v>97.498727258773613</v>
      </c>
      <c r="AV398" s="314">
        <v>97.498727258773613</v>
      </c>
      <c r="AW398" s="314">
        <v>97.498727258773613</v>
      </c>
      <c r="AX398">
        <v>97.498727258773613</v>
      </c>
    </row>
    <row r="399" spans="1:50" x14ac:dyDescent="0.35">
      <c r="A399">
        <v>320</v>
      </c>
      <c r="B399" t="s">
        <v>80</v>
      </c>
      <c r="C399" t="s">
        <v>1054</v>
      </c>
      <c r="D399">
        <v>0</v>
      </c>
      <c r="E399" t="s">
        <v>1017</v>
      </c>
      <c r="F399">
        <v>110000</v>
      </c>
      <c r="G399">
        <v>0</v>
      </c>
      <c r="H399">
        <v>0</v>
      </c>
      <c r="I399">
        <v>0</v>
      </c>
      <c r="J399" s="600">
        <v>110000</v>
      </c>
      <c r="K399" s="7">
        <f t="shared" si="82"/>
        <v>11.264926929375578</v>
      </c>
      <c r="L399" s="7">
        <f t="shared" si="83"/>
        <v>0</v>
      </c>
      <c r="M399" s="243">
        <f t="shared" si="84"/>
        <v>4226839.4264580011</v>
      </c>
      <c r="N399" s="243">
        <f>INDEX($AN$4:$AN21295,MATCH($A399,$AH$4:$AH$2000,0))</f>
        <v>0</v>
      </c>
      <c r="O399" s="243">
        <f t="shared" si="80"/>
        <v>0</v>
      </c>
      <c r="P399" s="243">
        <f t="shared" si="85"/>
        <v>0</v>
      </c>
      <c r="Q399" s="243">
        <f t="shared" si="86"/>
        <v>-85312.355396400031</v>
      </c>
      <c r="R399" s="243">
        <f t="shared" si="87"/>
        <v>0</v>
      </c>
      <c r="S399" s="243">
        <f t="shared" si="81"/>
        <v>0</v>
      </c>
      <c r="T399" s="243">
        <f t="shared" si="88"/>
        <v>0</v>
      </c>
      <c r="AA399" s="6">
        <v>415</v>
      </c>
      <c r="AB399" t="s">
        <v>80</v>
      </c>
      <c r="AC399" t="s">
        <v>1032</v>
      </c>
      <c r="AE399" t="s">
        <v>1024</v>
      </c>
      <c r="AF399">
        <v>15</v>
      </c>
      <c r="AG399">
        <v>1</v>
      </c>
      <c r="AH399">
        <v>320</v>
      </c>
      <c r="AI399" t="s">
        <v>80</v>
      </c>
      <c r="AJ399" t="s">
        <v>1054</v>
      </c>
      <c r="AK399">
        <v>0</v>
      </c>
      <c r="AL399" t="s">
        <v>1017</v>
      </c>
      <c r="AM399" s="314">
        <v>4226839.4264580011</v>
      </c>
      <c r="AN399" s="314">
        <v>0</v>
      </c>
      <c r="AO399" s="314">
        <v>0</v>
      </c>
      <c r="AP399" s="314">
        <v>0</v>
      </c>
      <c r="AQ399" s="314">
        <v>905.24880863999988</v>
      </c>
      <c r="AR399" s="314">
        <v>0</v>
      </c>
      <c r="AS399" s="314">
        <v>0</v>
      </c>
      <c r="AT399" s="314">
        <v>0</v>
      </c>
      <c r="AU399" s="314">
        <v>-85312.355396400031</v>
      </c>
      <c r="AV399" s="314">
        <v>0</v>
      </c>
      <c r="AW399" s="314">
        <v>0</v>
      </c>
      <c r="AX399">
        <v>0</v>
      </c>
    </row>
    <row r="400" spans="1:50" x14ac:dyDescent="0.35">
      <c r="A400">
        <v>317</v>
      </c>
      <c r="B400" t="s">
        <v>80</v>
      </c>
      <c r="C400" t="s">
        <v>1054</v>
      </c>
      <c r="D400">
        <v>0</v>
      </c>
      <c r="E400" t="s">
        <v>173</v>
      </c>
      <c r="F400">
        <v>20</v>
      </c>
      <c r="G400">
        <v>30</v>
      </c>
      <c r="H400">
        <v>40</v>
      </c>
      <c r="I400">
        <v>50</v>
      </c>
      <c r="J400" s="600">
        <v>140</v>
      </c>
      <c r="K400" s="7">
        <f t="shared" si="82"/>
        <v>10.197838058331634</v>
      </c>
      <c r="L400" s="7">
        <f t="shared" si="83"/>
        <v>0</v>
      </c>
      <c r="M400" s="243">
        <f t="shared" si="84"/>
        <v>9204.8921999999984</v>
      </c>
      <c r="N400" s="243">
        <f>INDEX($AN$4:$AN21296,MATCH($A400,$AH$4:$AH$2000,0))</f>
        <v>13807.338299999999</v>
      </c>
      <c r="O400" s="243">
        <f t="shared" si="80"/>
        <v>18409.784399999997</v>
      </c>
      <c r="P400" s="243">
        <f t="shared" si="85"/>
        <v>23012.230499999998</v>
      </c>
      <c r="Q400" s="243">
        <f t="shared" si="86"/>
        <v>0</v>
      </c>
      <c r="R400" s="243">
        <f t="shared" si="87"/>
        <v>0</v>
      </c>
      <c r="S400" s="243">
        <f t="shared" si="81"/>
        <v>0</v>
      </c>
      <c r="T400" s="243">
        <f t="shared" si="88"/>
        <v>0</v>
      </c>
      <c r="AA400" s="6">
        <v>416</v>
      </c>
      <c r="AB400" t="s">
        <v>80</v>
      </c>
      <c r="AC400" t="s">
        <v>1032</v>
      </c>
      <c r="AE400" t="s">
        <v>1025</v>
      </c>
      <c r="AF400">
        <v>15</v>
      </c>
      <c r="AG400">
        <v>0</v>
      </c>
      <c r="AH400">
        <v>317</v>
      </c>
      <c r="AI400" t="s">
        <v>80</v>
      </c>
      <c r="AJ400" t="s">
        <v>1054</v>
      </c>
      <c r="AK400">
        <v>0</v>
      </c>
      <c r="AL400" t="s">
        <v>173</v>
      </c>
      <c r="AM400" s="314">
        <v>9204.8921999999984</v>
      </c>
      <c r="AN400" s="314">
        <v>13807.338299999999</v>
      </c>
      <c r="AO400" s="314">
        <v>18409.784399999997</v>
      </c>
      <c r="AP400" s="314">
        <v>23012.230499999998</v>
      </c>
      <c r="AQ400" s="314">
        <v>0</v>
      </c>
      <c r="AR400" s="314">
        <v>0</v>
      </c>
      <c r="AS400" s="314">
        <v>0</v>
      </c>
      <c r="AT400" s="314">
        <v>0</v>
      </c>
      <c r="AU400" s="314">
        <v>0</v>
      </c>
      <c r="AV400" s="314">
        <v>0</v>
      </c>
      <c r="AW400" s="314">
        <v>0</v>
      </c>
      <c r="AX400">
        <v>0</v>
      </c>
    </row>
    <row r="401" spans="1:50" x14ac:dyDescent="0.35">
      <c r="A401">
        <v>353</v>
      </c>
      <c r="B401" t="s">
        <v>80</v>
      </c>
      <c r="C401" t="s">
        <v>1054</v>
      </c>
      <c r="D401">
        <v>0</v>
      </c>
      <c r="E401" t="s">
        <v>1018</v>
      </c>
      <c r="F401">
        <v>2000</v>
      </c>
      <c r="G401">
        <v>2500</v>
      </c>
      <c r="H401">
        <v>0</v>
      </c>
      <c r="I401">
        <v>0</v>
      </c>
      <c r="J401" s="600">
        <v>4500</v>
      </c>
      <c r="K401" s="7">
        <f t="shared" si="82"/>
        <v>15</v>
      </c>
      <c r="L401" s="7">
        <f t="shared" si="83"/>
        <v>0</v>
      </c>
      <c r="M401" s="243">
        <f t="shared" si="84"/>
        <v>93597.134400000024</v>
      </c>
      <c r="N401" s="243">
        <f>INDEX($AN$4:$AN21297,MATCH($A401,$AH$4:$AH$2000,0))</f>
        <v>116996.41800000003</v>
      </c>
      <c r="O401" s="243">
        <f t="shared" si="80"/>
        <v>0</v>
      </c>
      <c r="P401" s="243">
        <f t="shared" si="85"/>
        <v>0</v>
      </c>
      <c r="Q401" s="243">
        <f t="shared" si="86"/>
        <v>-1029.5684784000002</v>
      </c>
      <c r="R401" s="243">
        <f t="shared" si="87"/>
        <v>-1286.9605980000003</v>
      </c>
      <c r="S401" s="243">
        <f t="shared" si="81"/>
        <v>0</v>
      </c>
      <c r="T401" s="243">
        <f t="shared" si="88"/>
        <v>0</v>
      </c>
      <c r="AA401" s="6">
        <v>417</v>
      </c>
      <c r="AB401" t="s">
        <v>80</v>
      </c>
      <c r="AC401" t="s">
        <v>1032</v>
      </c>
      <c r="AE401" t="s">
        <v>1053</v>
      </c>
      <c r="AF401">
        <v>15</v>
      </c>
      <c r="AG401">
        <v>0</v>
      </c>
      <c r="AH401">
        <v>353</v>
      </c>
      <c r="AI401" t="s">
        <v>80</v>
      </c>
      <c r="AJ401" t="s">
        <v>1054</v>
      </c>
      <c r="AK401">
        <v>0</v>
      </c>
      <c r="AL401" t="s">
        <v>1018</v>
      </c>
      <c r="AM401" s="314">
        <v>93597.134400000024</v>
      </c>
      <c r="AN401" s="314">
        <v>116996.41800000003</v>
      </c>
      <c r="AO401" s="314">
        <v>0</v>
      </c>
      <c r="AP401" s="314">
        <v>0</v>
      </c>
      <c r="AQ401" s="314">
        <v>25.558980479999999</v>
      </c>
      <c r="AR401" s="314">
        <v>31.9487256</v>
      </c>
      <c r="AS401" s="314">
        <v>0</v>
      </c>
      <c r="AT401" s="314">
        <v>0</v>
      </c>
      <c r="AU401" s="314">
        <v>-1029.5684784000002</v>
      </c>
      <c r="AV401" s="314">
        <v>-1286.9605980000003</v>
      </c>
      <c r="AW401" s="314">
        <v>0</v>
      </c>
      <c r="AX401">
        <v>0</v>
      </c>
    </row>
    <row r="402" spans="1:50" x14ac:dyDescent="0.35">
      <c r="A402">
        <v>322</v>
      </c>
      <c r="B402" t="s">
        <v>80</v>
      </c>
      <c r="C402" t="s">
        <v>1054</v>
      </c>
      <c r="D402">
        <v>0</v>
      </c>
      <c r="E402" t="s">
        <v>1019</v>
      </c>
      <c r="F402">
        <v>1173</v>
      </c>
      <c r="G402">
        <v>1107</v>
      </c>
      <c r="H402">
        <v>1110</v>
      </c>
      <c r="I402">
        <v>1111</v>
      </c>
      <c r="J402" s="600">
        <v>4501</v>
      </c>
      <c r="K402" s="7">
        <f t="shared" si="82"/>
        <v>9</v>
      </c>
      <c r="L402" s="7">
        <f t="shared" si="83"/>
        <v>0</v>
      </c>
      <c r="M402" s="243">
        <f t="shared" si="84"/>
        <v>28702.128294252743</v>
      </c>
      <c r="N402" s="243">
        <f>INDEX($AN$4:$AN21298,MATCH($A402,$AH$4:$AH$2000,0))</f>
        <v>27087.174784090184</v>
      </c>
      <c r="O402" s="243">
        <f t="shared" si="80"/>
        <v>27160.581761824847</v>
      </c>
      <c r="P402" s="243">
        <f t="shared" si="85"/>
        <v>27185.050754403066</v>
      </c>
      <c r="Q402" s="243">
        <f t="shared" si="86"/>
        <v>5734.1792761967417</v>
      </c>
      <c r="R402" s="243">
        <f t="shared" si="87"/>
        <v>5411.5400330347775</v>
      </c>
      <c r="S402" s="243">
        <f t="shared" si="81"/>
        <v>5426.2054531785025</v>
      </c>
      <c r="T402" s="243">
        <f t="shared" si="88"/>
        <v>5431.0939265597444</v>
      </c>
      <c r="AA402" s="6">
        <v>303</v>
      </c>
      <c r="AB402" t="s">
        <v>80</v>
      </c>
      <c r="AC402" t="s">
        <v>1054</v>
      </c>
      <c r="AE402" t="s">
        <v>82</v>
      </c>
      <c r="AF402">
        <v>15</v>
      </c>
      <c r="AH402">
        <v>322</v>
      </c>
      <c r="AI402" t="s">
        <v>80</v>
      </c>
      <c r="AJ402" t="s">
        <v>1054</v>
      </c>
      <c r="AK402">
        <v>0</v>
      </c>
      <c r="AL402" t="s">
        <v>1019</v>
      </c>
      <c r="AM402" s="314">
        <v>28702.128294252743</v>
      </c>
      <c r="AN402" s="314">
        <v>27087.174784090184</v>
      </c>
      <c r="AO402" s="314">
        <v>27160.581761824847</v>
      </c>
      <c r="AP402" s="314">
        <v>27185.050754403066</v>
      </c>
      <c r="AQ402" s="314">
        <v>4.9610703678166947</v>
      </c>
      <c r="AR402" s="314">
        <v>4.6819308586300776</v>
      </c>
      <c r="AS402" s="314">
        <v>4.6946190181385603</v>
      </c>
      <c r="AT402" s="314">
        <v>4.6988484046413879</v>
      </c>
      <c r="AU402" s="314">
        <v>5734.1792761967417</v>
      </c>
      <c r="AV402" s="314">
        <v>5411.5400330347775</v>
      </c>
      <c r="AW402" s="314">
        <v>5426.2054531785025</v>
      </c>
      <c r="AX402">
        <v>5431.0939265597444</v>
      </c>
    </row>
    <row r="403" spans="1:50" x14ac:dyDescent="0.35">
      <c r="A403">
        <v>313</v>
      </c>
      <c r="B403" t="s">
        <v>80</v>
      </c>
      <c r="C403" t="s">
        <v>1054</v>
      </c>
      <c r="D403">
        <v>0</v>
      </c>
      <c r="E403" t="s">
        <v>1020</v>
      </c>
      <c r="F403">
        <v>236</v>
      </c>
      <c r="G403">
        <v>222</v>
      </c>
      <c r="H403">
        <v>222</v>
      </c>
      <c r="I403">
        <v>223</v>
      </c>
      <c r="J403" s="600">
        <v>903</v>
      </c>
      <c r="K403" s="7">
        <f t="shared" si="82"/>
        <v>9</v>
      </c>
      <c r="L403" s="7">
        <f t="shared" si="83"/>
        <v>0</v>
      </c>
      <c r="M403" s="243">
        <f t="shared" si="84"/>
        <v>7962.4980554538988</v>
      </c>
      <c r="N403" s="243">
        <f>INDEX($AN$4:$AN21299,MATCH($A403,$AH$4:$AH$2000,0))</f>
        <v>7490.1464758930742</v>
      </c>
      <c r="O403" s="243">
        <f t="shared" si="80"/>
        <v>7490.1464758930742</v>
      </c>
      <c r="P403" s="243">
        <f t="shared" si="85"/>
        <v>7523.8858744331328</v>
      </c>
      <c r="Q403" s="243">
        <f t="shared" si="86"/>
        <v>1590.7667497076559</v>
      </c>
      <c r="R403" s="243">
        <f t="shared" si="87"/>
        <v>1496.3992306572018</v>
      </c>
      <c r="S403" s="243">
        <f t="shared" si="81"/>
        <v>1496.3992306572018</v>
      </c>
      <c r="T403" s="243">
        <f t="shared" si="88"/>
        <v>1503.1397677322343</v>
      </c>
      <c r="AA403" s="6">
        <v>355</v>
      </c>
      <c r="AB403" t="s">
        <v>80</v>
      </c>
      <c r="AC403" t="s">
        <v>1054</v>
      </c>
      <c r="AE403" t="s">
        <v>83</v>
      </c>
      <c r="AF403">
        <v>15</v>
      </c>
      <c r="AG403">
        <v>1</v>
      </c>
      <c r="AH403">
        <v>313</v>
      </c>
      <c r="AI403" t="s">
        <v>80</v>
      </c>
      <c r="AJ403" t="s">
        <v>1054</v>
      </c>
      <c r="AK403">
        <v>0</v>
      </c>
      <c r="AL403" t="s">
        <v>1020</v>
      </c>
      <c r="AM403" s="314">
        <v>7962.4980554538988</v>
      </c>
      <c r="AN403" s="314">
        <v>7490.1464758930742</v>
      </c>
      <c r="AO403" s="314">
        <v>7490.1464758930742</v>
      </c>
      <c r="AP403" s="314">
        <v>7523.8858744331328</v>
      </c>
      <c r="AQ403" s="314">
        <v>1.376292125508348</v>
      </c>
      <c r="AR403" s="314">
        <v>1.2946476773849713</v>
      </c>
      <c r="AS403" s="314">
        <v>1.2946476773849713</v>
      </c>
      <c r="AT403" s="314">
        <v>1.3004794236794983</v>
      </c>
      <c r="AU403" s="314">
        <v>1590.7667497076559</v>
      </c>
      <c r="AV403" s="314">
        <v>1496.3992306572018</v>
      </c>
      <c r="AW403" s="314">
        <v>1496.3992306572018</v>
      </c>
      <c r="AX403">
        <v>1503.1397677322343</v>
      </c>
    </row>
    <row r="404" spans="1:50" x14ac:dyDescent="0.35">
      <c r="A404">
        <v>331</v>
      </c>
      <c r="B404" t="s">
        <v>80</v>
      </c>
      <c r="C404" t="s">
        <v>1054</v>
      </c>
      <c r="D404">
        <v>0</v>
      </c>
      <c r="E404" t="s">
        <v>175</v>
      </c>
      <c r="F404">
        <v>1</v>
      </c>
      <c r="G404">
        <v>1</v>
      </c>
      <c r="H404">
        <v>1</v>
      </c>
      <c r="I404">
        <v>1</v>
      </c>
      <c r="J404" s="600">
        <v>4</v>
      </c>
      <c r="K404" s="7">
        <f t="shared" si="82"/>
        <v>8</v>
      </c>
      <c r="L404" s="7">
        <f t="shared" si="83"/>
        <v>0</v>
      </c>
      <c r="M404" s="243">
        <f t="shared" si="84"/>
        <v>3946.1400000000003</v>
      </c>
      <c r="N404" s="243">
        <f>INDEX($AN$4:$AN21300,MATCH($A404,$AH$4:$AH$2000,0))</f>
        <v>3946.1400000000003</v>
      </c>
      <c r="O404" s="243">
        <f t="shared" ref="O404:O423" si="89">INDEX($AO$4:$AO$2000,MATCH($A404,$AH$4:$AH$2000,0))</f>
        <v>3946.1400000000003</v>
      </c>
      <c r="P404" s="243">
        <f t="shared" si="85"/>
        <v>3946.1400000000003</v>
      </c>
      <c r="Q404" s="243">
        <f t="shared" si="86"/>
        <v>-41.49</v>
      </c>
      <c r="R404" s="243">
        <f t="shared" si="87"/>
        <v>-41.49</v>
      </c>
      <c r="S404" s="243">
        <f t="shared" ref="S404:S423" si="90">INDEX($AW$4:$AW$2000,MATCH($A404,$AH$4:$AH$2000,0))</f>
        <v>-41.49</v>
      </c>
      <c r="T404" s="243">
        <f t="shared" si="88"/>
        <v>-41.49</v>
      </c>
      <c r="AA404" s="6">
        <v>328</v>
      </c>
      <c r="AB404" t="s">
        <v>80</v>
      </c>
      <c r="AC404" t="s">
        <v>1054</v>
      </c>
      <c r="AE404" t="s">
        <v>84</v>
      </c>
      <c r="AF404">
        <v>15</v>
      </c>
      <c r="AG404">
        <v>1</v>
      </c>
      <c r="AH404">
        <v>331</v>
      </c>
      <c r="AI404" t="s">
        <v>80</v>
      </c>
      <c r="AJ404" t="s">
        <v>1054</v>
      </c>
      <c r="AK404">
        <v>0</v>
      </c>
      <c r="AL404" t="s">
        <v>175</v>
      </c>
      <c r="AM404" s="314">
        <v>3946.1400000000003</v>
      </c>
      <c r="AN404" s="314">
        <v>3946.1400000000003</v>
      </c>
      <c r="AO404" s="314">
        <v>3946.1400000000003</v>
      </c>
      <c r="AP404" s="314">
        <v>3946.1400000000003</v>
      </c>
      <c r="AQ404" s="314">
        <v>0.12600000000000003</v>
      </c>
      <c r="AR404" s="314">
        <v>0.12600000000000003</v>
      </c>
      <c r="AS404" s="314">
        <v>0.12600000000000003</v>
      </c>
      <c r="AT404" s="314">
        <v>0.12600000000000003</v>
      </c>
      <c r="AU404" s="314">
        <v>-41.49</v>
      </c>
      <c r="AV404" s="314">
        <v>-41.49</v>
      </c>
      <c r="AW404" s="314">
        <v>-41.49</v>
      </c>
      <c r="AX404">
        <v>-41.49</v>
      </c>
    </row>
    <row r="405" spans="1:50" x14ac:dyDescent="0.35">
      <c r="A405">
        <v>264</v>
      </c>
      <c r="B405" t="s">
        <v>80</v>
      </c>
      <c r="C405" t="s">
        <v>1054</v>
      </c>
      <c r="D405">
        <v>0</v>
      </c>
      <c r="E405" t="s">
        <v>1021</v>
      </c>
      <c r="F405">
        <v>40</v>
      </c>
      <c r="G405">
        <v>0</v>
      </c>
      <c r="H405">
        <v>0</v>
      </c>
      <c r="I405">
        <v>0</v>
      </c>
      <c r="J405" s="600">
        <v>40</v>
      </c>
      <c r="K405" s="7">
        <f t="shared" si="82"/>
        <v>10</v>
      </c>
      <c r="L405" s="7">
        <f t="shared" si="83"/>
        <v>0</v>
      </c>
      <c r="M405" s="243">
        <f t="shared" si="84"/>
        <v>22356</v>
      </c>
      <c r="N405" s="243">
        <f>INDEX($AN$4:$AN21301,MATCH($A405,$AH$4:$AH$2000,0))</f>
        <v>0</v>
      </c>
      <c r="O405" s="243">
        <f t="shared" si="89"/>
        <v>0</v>
      </c>
      <c r="P405" s="243">
        <f t="shared" si="85"/>
        <v>0</v>
      </c>
      <c r="Q405" s="243">
        <f t="shared" si="86"/>
        <v>2213.3844000000004</v>
      </c>
      <c r="R405" s="243">
        <f t="shared" si="87"/>
        <v>0</v>
      </c>
      <c r="S405" s="243">
        <f t="shared" si="90"/>
        <v>0</v>
      </c>
      <c r="T405" s="243">
        <f t="shared" si="88"/>
        <v>0</v>
      </c>
      <c r="AA405" s="6">
        <v>339</v>
      </c>
      <c r="AB405" t="s">
        <v>80</v>
      </c>
      <c r="AC405" t="s">
        <v>1054</v>
      </c>
      <c r="AE405" t="s">
        <v>85</v>
      </c>
      <c r="AF405">
        <v>15</v>
      </c>
      <c r="AG405">
        <v>1</v>
      </c>
      <c r="AH405">
        <v>264</v>
      </c>
      <c r="AI405" t="s">
        <v>80</v>
      </c>
      <c r="AJ405" t="s">
        <v>1054</v>
      </c>
      <c r="AK405">
        <v>0</v>
      </c>
      <c r="AL405" t="s">
        <v>1021</v>
      </c>
      <c r="AM405" s="314">
        <v>22356</v>
      </c>
      <c r="AN405" s="314">
        <v>0</v>
      </c>
      <c r="AO405" s="314">
        <v>0</v>
      </c>
      <c r="AP405" s="314">
        <v>0</v>
      </c>
      <c r="AQ405" s="314">
        <v>2.0748600000000001</v>
      </c>
      <c r="AR405" s="314">
        <v>0</v>
      </c>
      <c r="AS405" s="314">
        <v>0</v>
      </c>
      <c r="AT405" s="314">
        <v>0</v>
      </c>
      <c r="AU405" s="314">
        <v>2213.3844000000004</v>
      </c>
      <c r="AV405" s="314">
        <v>0</v>
      </c>
      <c r="AW405" s="314">
        <v>0</v>
      </c>
      <c r="AX405">
        <v>0</v>
      </c>
    </row>
    <row r="406" spans="1:50" x14ac:dyDescent="0.35">
      <c r="A406">
        <v>270</v>
      </c>
      <c r="B406" t="s">
        <v>80</v>
      </c>
      <c r="C406" t="s">
        <v>1054</v>
      </c>
      <c r="D406">
        <v>0</v>
      </c>
      <c r="E406" t="s">
        <v>179</v>
      </c>
      <c r="F406">
        <v>0</v>
      </c>
      <c r="G406">
        <v>1</v>
      </c>
      <c r="H406">
        <v>0</v>
      </c>
      <c r="I406">
        <v>0</v>
      </c>
      <c r="J406" s="600">
        <v>1</v>
      </c>
      <c r="K406" s="7">
        <f t="shared" si="82"/>
        <v>12</v>
      </c>
      <c r="L406" s="7">
        <f t="shared" si="83"/>
        <v>0</v>
      </c>
      <c r="M406" s="243">
        <f t="shared" si="84"/>
        <v>0</v>
      </c>
      <c r="N406" s="243">
        <f>INDEX($AN$4:$AN21302,MATCH($A406,$AH$4:$AH$2000,0))</f>
        <v>5731.2</v>
      </c>
      <c r="O406" s="243">
        <f t="shared" si="89"/>
        <v>0</v>
      </c>
      <c r="P406" s="243">
        <f t="shared" si="85"/>
        <v>0</v>
      </c>
      <c r="Q406" s="243">
        <f t="shared" si="86"/>
        <v>0</v>
      </c>
      <c r="R406" s="243">
        <f t="shared" si="87"/>
        <v>0</v>
      </c>
      <c r="S406" s="243">
        <f t="shared" si="90"/>
        <v>0</v>
      </c>
      <c r="T406" s="243">
        <f t="shared" si="88"/>
        <v>0</v>
      </c>
      <c r="AA406" s="6">
        <v>356</v>
      </c>
      <c r="AB406" t="s">
        <v>80</v>
      </c>
      <c r="AC406" t="s">
        <v>1054</v>
      </c>
      <c r="AE406" t="s">
        <v>86</v>
      </c>
      <c r="AF406">
        <v>15</v>
      </c>
      <c r="AG406">
        <v>1</v>
      </c>
      <c r="AH406">
        <v>270</v>
      </c>
      <c r="AI406" t="s">
        <v>80</v>
      </c>
      <c r="AJ406" t="s">
        <v>1054</v>
      </c>
      <c r="AK406">
        <v>0</v>
      </c>
      <c r="AL406" t="s">
        <v>179</v>
      </c>
      <c r="AM406" s="314">
        <v>0</v>
      </c>
      <c r="AN406" s="314">
        <v>5731.2</v>
      </c>
      <c r="AO406" s="314">
        <v>0</v>
      </c>
      <c r="AP406" s="314">
        <v>0</v>
      </c>
      <c r="AQ406" s="314">
        <v>0</v>
      </c>
      <c r="AR406" s="314">
        <v>0.66600000000000004</v>
      </c>
      <c r="AS406" s="314">
        <v>0</v>
      </c>
      <c r="AT406" s="314">
        <v>0</v>
      </c>
      <c r="AU406" s="314">
        <v>0</v>
      </c>
      <c r="AV406" s="314">
        <v>0</v>
      </c>
      <c r="AW406" s="314">
        <v>0</v>
      </c>
      <c r="AX406">
        <v>0</v>
      </c>
    </row>
    <row r="407" spans="1:50" x14ac:dyDescent="0.35">
      <c r="A407">
        <v>362</v>
      </c>
      <c r="B407" t="s">
        <v>80</v>
      </c>
      <c r="C407" t="s">
        <v>1054</v>
      </c>
      <c r="D407">
        <v>0</v>
      </c>
      <c r="E407" t="s">
        <v>181</v>
      </c>
      <c r="F407">
        <v>6</v>
      </c>
      <c r="G407">
        <v>6</v>
      </c>
      <c r="H407">
        <v>6</v>
      </c>
      <c r="I407">
        <v>6</v>
      </c>
      <c r="J407" s="600">
        <v>24</v>
      </c>
      <c r="K407" s="7">
        <f t="shared" si="82"/>
        <v>15</v>
      </c>
      <c r="L407" s="7">
        <f t="shared" si="83"/>
        <v>0</v>
      </c>
      <c r="M407" s="243">
        <f t="shared" si="84"/>
        <v>-5960.7119828345076</v>
      </c>
      <c r="N407" s="243">
        <f>INDEX($AN$4:$AN21303,MATCH($A407,$AH$4:$AH$2000,0))</f>
        <v>-5960.7119828345076</v>
      </c>
      <c r="O407" s="243">
        <f t="shared" si="89"/>
        <v>-5960.7119828345076</v>
      </c>
      <c r="P407" s="243">
        <f t="shared" si="85"/>
        <v>-5960.7119828345076</v>
      </c>
      <c r="Q407" s="243">
        <f t="shared" si="86"/>
        <v>7618.9395457031242</v>
      </c>
      <c r="R407" s="243">
        <f t="shared" si="87"/>
        <v>7618.9395457031242</v>
      </c>
      <c r="S407" s="243">
        <f t="shared" si="90"/>
        <v>7618.9395457031242</v>
      </c>
      <c r="T407" s="243">
        <f t="shared" si="88"/>
        <v>7618.9395457031242</v>
      </c>
      <c r="AA407" s="6">
        <v>354</v>
      </c>
      <c r="AB407" t="s">
        <v>80</v>
      </c>
      <c r="AC407" t="s">
        <v>1054</v>
      </c>
      <c r="AE407" t="s">
        <v>87</v>
      </c>
      <c r="AF407">
        <v>15</v>
      </c>
      <c r="AH407">
        <v>362</v>
      </c>
      <c r="AI407" t="s">
        <v>80</v>
      </c>
      <c r="AJ407" t="s">
        <v>1054</v>
      </c>
      <c r="AK407">
        <v>0</v>
      </c>
      <c r="AL407" t="s">
        <v>181</v>
      </c>
      <c r="AM407" s="314">
        <v>-5960.7119828345076</v>
      </c>
      <c r="AN407" s="314">
        <v>-5960.7119828345076</v>
      </c>
      <c r="AO407" s="314">
        <v>-5960.7119828345076</v>
      </c>
      <c r="AP407" s="314">
        <v>-5960.7119828345076</v>
      </c>
      <c r="AQ407" s="314">
        <v>-0.9556558098591551</v>
      </c>
      <c r="AR407" s="314">
        <v>-0.9556558098591551</v>
      </c>
      <c r="AS407" s="314">
        <v>-0.9556558098591551</v>
      </c>
      <c r="AT407" s="314">
        <v>-0.9556558098591551</v>
      </c>
      <c r="AU407" s="314">
        <v>7618.9395457031242</v>
      </c>
      <c r="AV407" s="314">
        <v>7618.9395457031242</v>
      </c>
      <c r="AW407" s="314">
        <v>7618.9395457031242</v>
      </c>
      <c r="AX407">
        <v>7618.9395457031242</v>
      </c>
    </row>
    <row r="408" spans="1:50" x14ac:dyDescent="0.35">
      <c r="A408">
        <v>324</v>
      </c>
      <c r="B408" t="s">
        <v>80</v>
      </c>
      <c r="C408" t="s">
        <v>1054</v>
      </c>
      <c r="D408">
        <v>0</v>
      </c>
      <c r="E408" t="s">
        <v>182</v>
      </c>
      <c r="F408">
        <v>2</v>
      </c>
      <c r="G408">
        <v>2</v>
      </c>
      <c r="H408">
        <v>3</v>
      </c>
      <c r="I408">
        <v>2</v>
      </c>
      <c r="J408" s="600">
        <v>9</v>
      </c>
      <c r="K408" s="7">
        <f t="shared" si="82"/>
        <v>14</v>
      </c>
      <c r="L408" s="7">
        <f t="shared" si="83"/>
        <v>0</v>
      </c>
      <c r="M408" s="243">
        <f t="shared" si="84"/>
        <v>0</v>
      </c>
      <c r="N408" s="243">
        <f>INDEX($AN$4:$AN21304,MATCH($A408,$AH$4:$AH$2000,0))</f>
        <v>0</v>
      </c>
      <c r="O408" s="243">
        <f t="shared" si="89"/>
        <v>0</v>
      </c>
      <c r="P408" s="243">
        <f t="shared" si="85"/>
        <v>0</v>
      </c>
      <c r="Q408" s="243">
        <f t="shared" si="86"/>
        <v>729.25920000000008</v>
      </c>
      <c r="R408" s="243">
        <f t="shared" si="87"/>
        <v>729.25920000000008</v>
      </c>
      <c r="S408" s="243">
        <f t="shared" si="90"/>
        <v>1093.8888000000002</v>
      </c>
      <c r="T408" s="243">
        <f t="shared" si="88"/>
        <v>729.25920000000008</v>
      </c>
      <c r="AA408" s="6">
        <v>248</v>
      </c>
      <c r="AB408" t="s">
        <v>80</v>
      </c>
      <c r="AC408" t="s">
        <v>1054</v>
      </c>
      <c r="AE408" t="s">
        <v>88</v>
      </c>
      <c r="AF408">
        <v>15</v>
      </c>
      <c r="AG408">
        <v>1</v>
      </c>
      <c r="AH408">
        <v>324</v>
      </c>
      <c r="AI408" t="s">
        <v>80</v>
      </c>
      <c r="AJ408" t="s">
        <v>1054</v>
      </c>
      <c r="AK408">
        <v>0</v>
      </c>
      <c r="AL408" t="s">
        <v>182</v>
      </c>
      <c r="AM408" s="314">
        <v>0</v>
      </c>
      <c r="AN408" s="314">
        <v>0</v>
      </c>
      <c r="AO408" s="314">
        <v>0</v>
      </c>
      <c r="AP408" s="314">
        <v>0</v>
      </c>
      <c r="AQ408" s="314">
        <v>0</v>
      </c>
      <c r="AR408" s="314">
        <v>0</v>
      </c>
      <c r="AS408" s="314">
        <v>0</v>
      </c>
      <c r="AT408" s="314">
        <v>0</v>
      </c>
      <c r="AU408" s="314">
        <v>729.25920000000008</v>
      </c>
      <c r="AV408" s="314">
        <v>729.25920000000008</v>
      </c>
      <c r="AW408" s="314">
        <v>1093.8888000000002</v>
      </c>
      <c r="AX408">
        <v>729.25920000000008</v>
      </c>
    </row>
    <row r="409" spans="1:50" x14ac:dyDescent="0.35">
      <c r="A409">
        <v>291</v>
      </c>
      <c r="B409" t="s">
        <v>80</v>
      </c>
      <c r="C409" t="s">
        <v>1054</v>
      </c>
      <c r="D409">
        <v>0</v>
      </c>
      <c r="E409" t="s">
        <v>193</v>
      </c>
      <c r="F409">
        <v>36</v>
      </c>
      <c r="G409">
        <v>36</v>
      </c>
      <c r="H409">
        <v>36</v>
      </c>
      <c r="I409">
        <v>36</v>
      </c>
      <c r="J409" s="600">
        <v>144</v>
      </c>
      <c r="K409" s="7">
        <f t="shared" si="82"/>
        <v>3</v>
      </c>
      <c r="L409" s="7">
        <f t="shared" si="83"/>
        <v>0</v>
      </c>
      <c r="M409" s="243">
        <f t="shared" si="84"/>
        <v>0</v>
      </c>
      <c r="N409" s="243">
        <f>INDEX($AN$4:$AN21305,MATCH($A409,$AH$4:$AH$2000,0))</f>
        <v>0</v>
      </c>
      <c r="O409" s="243">
        <f t="shared" si="89"/>
        <v>0</v>
      </c>
      <c r="P409" s="243">
        <f t="shared" si="85"/>
        <v>0</v>
      </c>
      <c r="Q409" s="243">
        <f t="shared" si="86"/>
        <v>51742.551437308772</v>
      </c>
      <c r="R409" s="243">
        <f t="shared" si="87"/>
        <v>51742.551437308772</v>
      </c>
      <c r="S409" s="243">
        <f t="shared" si="90"/>
        <v>51742.551437308772</v>
      </c>
      <c r="T409" s="243">
        <f t="shared" si="88"/>
        <v>51742.551437308772</v>
      </c>
      <c r="AA409" s="6">
        <v>326</v>
      </c>
      <c r="AB409" t="s">
        <v>80</v>
      </c>
      <c r="AC409" t="s">
        <v>1054</v>
      </c>
      <c r="AE409" t="s">
        <v>89</v>
      </c>
      <c r="AF409">
        <v>15</v>
      </c>
      <c r="AG409">
        <v>1</v>
      </c>
      <c r="AH409">
        <v>291</v>
      </c>
      <c r="AI409" t="s">
        <v>80</v>
      </c>
      <c r="AJ409" t="s">
        <v>1054</v>
      </c>
      <c r="AK409">
        <v>0</v>
      </c>
      <c r="AL409" t="s">
        <v>193</v>
      </c>
      <c r="AM409" s="314">
        <v>0</v>
      </c>
      <c r="AN409" s="314">
        <v>0</v>
      </c>
      <c r="AO409" s="314">
        <v>0</v>
      </c>
      <c r="AP409" s="314">
        <v>0</v>
      </c>
      <c r="AQ409" s="314">
        <v>0</v>
      </c>
      <c r="AR409" s="314">
        <v>0</v>
      </c>
      <c r="AS409" s="314">
        <v>0</v>
      </c>
      <c r="AT409" s="314">
        <v>0</v>
      </c>
      <c r="AU409" s="314">
        <v>51742.551437308772</v>
      </c>
      <c r="AV409" s="314">
        <v>51742.551437308772</v>
      </c>
      <c r="AW409" s="314">
        <v>51742.551437308772</v>
      </c>
      <c r="AX409">
        <v>51742.551437308772</v>
      </c>
    </row>
    <row r="410" spans="1:50" x14ac:dyDescent="0.35">
      <c r="A410">
        <v>290</v>
      </c>
      <c r="B410" t="s">
        <v>80</v>
      </c>
      <c r="C410" t="s">
        <v>1054</v>
      </c>
      <c r="D410">
        <v>0</v>
      </c>
      <c r="E410" t="s">
        <v>194</v>
      </c>
      <c r="F410">
        <v>22</v>
      </c>
      <c r="G410">
        <v>22</v>
      </c>
      <c r="H410">
        <v>22</v>
      </c>
      <c r="I410">
        <v>22</v>
      </c>
      <c r="J410" s="600">
        <v>88</v>
      </c>
      <c r="K410" s="7">
        <f t="shared" si="82"/>
        <v>20</v>
      </c>
      <c r="L410" s="7">
        <f t="shared" si="83"/>
        <v>0</v>
      </c>
      <c r="M410" s="243">
        <f t="shared" si="84"/>
        <v>0</v>
      </c>
      <c r="N410" s="243">
        <f>INDEX($AN$4:$AN21306,MATCH($A410,$AH$4:$AH$2000,0))</f>
        <v>0</v>
      </c>
      <c r="O410" s="243">
        <f t="shared" si="89"/>
        <v>0</v>
      </c>
      <c r="P410" s="243">
        <f t="shared" si="85"/>
        <v>0</v>
      </c>
      <c r="Q410" s="243">
        <f t="shared" si="86"/>
        <v>21217.165718166601</v>
      </c>
      <c r="R410" s="243">
        <f t="shared" si="87"/>
        <v>21217.165718166601</v>
      </c>
      <c r="S410" s="243">
        <f t="shared" si="90"/>
        <v>21217.165718166601</v>
      </c>
      <c r="T410" s="243">
        <f t="shared" si="88"/>
        <v>21217.165718166601</v>
      </c>
      <c r="AA410" s="6">
        <v>327</v>
      </c>
      <c r="AB410" t="s">
        <v>80</v>
      </c>
      <c r="AC410" t="s">
        <v>1054</v>
      </c>
      <c r="AE410" t="s">
        <v>90</v>
      </c>
      <c r="AF410">
        <v>15</v>
      </c>
      <c r="AG410">
        <v>1</v>
      </c>
      <c r="AH410">
        <v>290</v>
      </c>
      <c r="AI410" t="s">
        <v>80</v>
      </c>
      <c r="AJ410" t="s">
        <v>1054</v>
      </c>
      <c r="AK410">
        <v>0</v>
      </c>
      <c r="AL410" t="s">
        <v>194</v>
      </c>
      <c r="AM410" s="314">
        <v>0</v>
      </c>
      <c r="AN410" s="314">
        <v>0</v>
      </c>
      <c r="AO410" s="314">
        <v>0</v>
      </c>
      <c r="AP410" s="314">
        <v>0</v>
      </c>
      <c r="AQ410" s="314">
        <v>0</v>
      </c>
      <c r="AR410" s="314">
        <v>0</v>
      </c>
      <c r="AS410" s="314">
        <v>0</v>
      </c>
      <c r="AT410" s="314">
        <v>0</v>
      </c>
      <c r="AU410" s="314">
        <v>21217.165718166601</v>
      </c>
      <c r="AV410" s="314">
        <v>21217.165718166601</v>
      </c>
      <c r="AW410" s="314">
        <v>21217.165718166601</v>
      </c>
      <c r="AX410">
        <v>21217.165718166601</v>
      </c>
    </row>
    <row r="411" spans="1:50" x14ac:dyDescent="0.35">
      <c r="A411">
        <v>293</v>
      </c>
      <c r="B411" t="s">
        <v>80</v>
      </c>
      <c r="C411" t="s">
        <v>1054</v>
      </c>
      <c r="D411">
        <v>0</v>
      </c>
      <c r="E411" t="s">
        <v>195</v>
      </c>
      <c r="F411">
        <v>36</v>
      </c>
      <c r="G411">
        <v>32</v>
      </c>
      <c r="H411">
        <v>32</v>
      </c>
      <c r="I411">
        <v>29</v>
      </c>
      <c r="J411" s="600">
        <v>129</v>
      </c>
      <c r="K411" s="7">
        <f t="shared" si="82"/>
        <v>16.5</v>
      </c>
      <c r="L411" s="7">
        <f t="shared" si="83"/>
        <v>0</v>
      </c>
      <c r="M411" s="243">
        <f t="shared" si="84"/>
        <v>22871.783283582088</v>
      </c>
      <c r="N411" s="243">
        <f>INDEX($AN$4:$AN21307,MATCH($A411,$AH$4:$AH$2000,0))</f>
        <v>20330.474029850746</v>
      </c>
      <c r="O411" s="243">
        <f t="shared" si="89"/>
        <v>20330.474029850746</v>
      </c>
      <c r="P411" s="243">
        <f t="shared" si="85"/>
        <v>18424.492089552237</v>
      </c>
      <c r="Q411" s="243">
        <f t="shared" si="86"/>
        <v>7416.0020333159264</v>
      </c>
      <c r="R411" s="243">
        <f t="shared" si="87"/>
        <v>6592.0018073919346</v>
      </c>
      <c r="S411" s="243">
        <f t="shared" si="90"/>
        <v>6592.0018073919346</v>
      </c>
      <c r="T411" s="243">
        <f t="shared" si="88"/>
        <v>5974.0016379489407</v>
      </c>
      <c r="AA411" s="6">
        <v>298</v>
      </c>
      <c r="AB411" t="s">
        <v>80</v>
      </c>
      <c r="AC411" t="s">
        <v>1054</v>
      </c>
      <c r="AE411" t="s">
        <v>91</v>
      </c>
      <c r="AF411">
        <v>15</v>
      </c>
      <c r="AG411">
        <v>1</v>
      </c>
      <c r="AH411">
        <v>293</v>
      </c>
      <c r="AI411" t="s">
        <v>80</v>
      </c>
      <c r="AJ411" t="s">
        <v>1054</v>
      </c>
      <c r="AK411">
        <v>0</v>
      </c>
      <c r="AL411" t="s">
        <v>195</v>
      </c>
      <c r="AM411" s="314">
        <v>22871.783283582088</v>
      </c>
      <c r="AN411" s="314">
        <v>20330.474029850746</v>
      </c>
      <c r="AO411" s="314">
        <v>20330.474029850746</v>
      </c>
      <c r="AP411" s="314">
        <v>18424.492089552237</v>
      </c>
      <c r="AQ411" s="314">
        <v>3.8594854764481599</v>
      </c>
      <c r="AR411" s="314">
        <v>3.4306537568428088</v>
      </c>
      <c r="AS411" s="314">
        <v>3.4306537568428088</v>
      </c>
      <c r="AT411" s="314">
        <v>3.1090299671387953</v>
      </c>
      <c r="AU411" s="314">
        <v>7416.0020333159264</v>
      </c>
      <c r="AV411" s="314">
        <v>6592.0018073919346</v>
      </c>
      <c r="AW411" s="314">
        <v>6592.0018073919346</v>
      </c>
      <c r="AX411">
        <v>5974.0016379489407</v>
      </c>
    </row>
    <row r="412" spans="1:50" x14ac:dyDescent="0.35">
      <c r="A412">
        <v>301</v>
      </c>
      <c r="B412" t="s">
        <v>80</v>
      </c>
      <c r="C412" t="s">
        <v>1054</v>
      </c>
      <c r="D412">
        <v>0</v>
      </c>
      <c r="E412" t="s">
        <v>196</v>
      </c>
      <c r="F412">
        <v>1</v>
      </c>
      <c r="G412">
        <v>1</v>
      </c>
      <c r="H412">
        <v>1</v>
      </c>
      <c r="I412">
        <v>1</v>
      </c>
      <c r="J412" s="600">
        <v>4</v>
      </c>
      <c r="K412" s="7">
        <f t="shared" si="82"/>
        <v>20</v>
      </c>
      <c r="L412" s="7">
        <f t="shared" si="83"/>
        <v>0</v>
      </c>
      <c r="M412" s="243">
        <f t="shared" si="84"/>
        <v>0</v>
      </c>
      <c r="N412" s="243">
        <f>INDEX($AN$4:$AN21308,MATCH($A412,$AH$4:$AH$2000,0))</f>
        <v>0</v>
      </c>
      <c r="O412" s="243">
        <f t="shared" si="89"/>
        <v>0</v>
      </c>
      <c r="P412" s="243">
        <f t="shared" si="85"/>
        <v>0</v>
      </c>
      <c r="Q412" s="243">
        <f t="shared" si="86"/>
        <v>154.881</v>
      </c>
      <c r="R412" s="243">
        <f t="shared" si="87"/>
        <v>154.881</v>
      </c>
      <c r="S412" s="243">
        <f t="shared" si="90"/>
        <v>154.881</v>
      </c>
      <c r="T412" s="243">
        <f t="shared" si="88"/>
        <v>154.881</v>
      </c>
      <c r="AA412" s="6">
        <v>288</v>
      </c>
      <c r="AB412" t="s">
        <v>80</v>
      </c>
      <c r="AC412" t="s">
        <v>1054</v>
      </c>
      <c r="AE412" t="s">
        <v>92</v>
      </c>
      <c r="AF412">
        <v>8</v>
      </c>
      <c r="AH412">
        <v>301</v>
      </c>
      <c r="AI412" t="s">
        <v>80</v>
      </c>
      <c r="AJ412" t="s">
        <v>1054</v>
      </c>
      <c r="AK412">
        <v>0</v>
      </c>
      <c r="AL412" t="s">
        <v>196</v>
      </c>
      <c r="AM412" s="314">
        <v>0</v>
      </c>
      <c r="AN412" s="314">
        <v>0</v>
      </c>
      <c r="AO412" s="314">
        <v>0</v>
      </c>
      <c r="AP412" s="314">
        <v>0</v>
      </c>
      <c r="AQ412" s="314">
        <v>0</v>
      </c>
      <c r="AR412" s="314">
        <v>0</v>
      </c>
      <c r="AS412" s="314">
        <v>0</v>
      </c>
      <c r="AT412" s="314">
        <v>0</v>
      </c>
      <c r="AU412" s="314">
        <v>154.881</v>
      </c>
      <c r="AV412" s="314">
        <v>154.881</v>
      </c>
      <c r="AW412" s="314">
        <v>154.881</v>
      </c>
      <c r="AX412">
        <v>154.881</v>
      </c>
    </row>
    <row r="413" spans="1:50" x14ac:dyDescent="0.35">
      <c r="A413">
        <v>297</v>
      </c>
      <c r="B413" t="s">
        <v>80</v>
      </c>
      <c r="C413" t="s">
        <v>1054</v>
      </c>
      <c r="D413">
        <v>0</v>
      </c>
      <c r="E413" t="s">
        <v>197</v>
      </c>
      <c r="F413">
        <v>7</v>
      </c>
      <c r="G413">
        <v>7</v>
      </c>
      <c r="H413">
        <v>7</v>
      </c>
      <c r="I413">
        <v>7</v>
      </c>
      <c r="J413" s="600">
        <v>28</v>
      </c>
      <c r="K413" s="7">
        <f t="shared" si="82"/>
        <v>15</v>
      </c>
      <c r="L413" s="7">
        <f t="shared" si="83"/>
        <v>0</v>
      </c>
      <c r="M413" s="243">
        <f t="shared" si="84"/>
        <v>0</v>
      </c>
      <c r="N413" s="243">
        <f>INDEX($AN$4:$AN21309,MATCH($A413,$AH$4:$AH$2000,0))</f>
        <v>0</v>
      </c>
      <c r="O413" s="243">
        <f t="shared" si="89"/>
        <v>0</v>
      </c>
      <c r="P413" s="243">
        <f t="shared" si="85"/>
        <v>0</v>
      </c>
      <c r="Q413" s="243">
        <f t="shared" si="86"/>
        <v>475.31577688217118</v>
      </c>
      <c r="R413" s="243">
        <f t="shared" si="87"/>
        <v>475.31577688217118</v>
      </c>
      <c r="S413" s="243">
        <f t="shared" si="90"/>
        <v>475.31577688217118</v>
      </c>
      <c r="T413" s="243">
        <f t="shared" si="88"/>
        <v>475.31577688217118</v>
      </c>
      <c r="AA413" s="6">
        <v>340</v>
      </c>
      <c r="AB413" t="s">
        <v>80</v>
      </c>
      <c r="AC413" t="s">
        <v>1054</v>
      </c>
      <c r="AE413" t="s">
        <v>93</v>
      </c>
      <c r="AF413">
        <v>8</v>
      </c>
      <c r="AH413">
        <v>297</v>
      </c>
      <c r="AI413" t="s">
        <v>80</v>
      </c>
      <c r="AJ413" t="s">
        <v>1054</v>
      </c>
      <c r="AK413">
        <v>0</v>
      </c>
      <c r="AL413" t="s">
        <v>197</v>
      </c>
      <c r="AM413" s="314">
        <v>0</v>
      </c>
      <c r="AN413" s="314">
        <v>0</v>
      </c>
      <c r="AO413" s="314">
        <v>0</v>
      </c>
      <c r="AP413" s="314">
        <v>0</v>
      </c>
      <c r="AQ413" s="314">
        <v>0</v>
      </c>
      <c r="AR413" s="314">
        <v>0</v>
      </c>
      <c r="AS413" s="314">
        <v>0</v>
      </c>
      <c r="AT413" s="314">
        <v>0</v>
      </c>
      <c r="AU413" s="314">
        <v>475.31577688217118</v>
      </c>
      <c r="AV413" s="314">
        <v>475.31577688217118</v>
      </c>
      <c r="AW413" s="314">
        <v>475.31577688217118</v>
      </c>
      <c r="AX413">
        <v>475.31577688217118</v>
      </c>
    </row>
    <row r="414" spans="1:50" x14ac:dyDescent="0.35">
      <c r="A414">
        <v>300</v>
      </c>
      <c r="B414" t="s">
        <v>80</v>
      </c>
      <c r="C414" t="s">
        <v>1054</v>
      </c>
      <c r="D414">
        <v>0</v>
      </c>
      <c r="E414" t="s">
        <v>198</v>
      </c>
      <c r="F414">
        <v>7</v>
      </c>
      <c r="G414">
        <v>7</v>
      </c>
      <c r="H414">
        <v>7</v>
      </c>
      <c r="I414">
        <v>7</v>
      </c>
      <c r="J414" s="600">
        <v>28</v>
      </c>
      <c r="K414" s="7">
        <f t="shared" si="82"/>
        <v>15</v>
      </c>
      <c r="L414" s="7">
        <f t="shared" si="83"/>
        <v>0</v>
      </c>
      <c r="M414" s="243">
        <f t="shared" si="84"/>
        <v>0</v>
      </c>
      <c r="N414" s="243">
        <f>INDEX($AN$4:$AN21310,MATCH($A414,$AH$4:$AH$2000,0))</f>
        <v>0</v>
      </c>
      <c r="O414" s="243">
        <f t="shared" si="89"/>
        <v>0</v>
      </c>
      <c r="P414" s="243">
        <f t="shared" si="85"/>
        <v>0</v>
      </c>
      <c r="Q414" s="243">
        <f t="shared" si="86"/>
        <v>395.67982965514517</v>
      </c>
      <c r="R414" s="243">
        <f t="shared" si="87"/>
        <v>395.67982965514517</v>
      </c>
      <c r="S414" s="243">
        <f t="shared" si="90"/>
        <v>395.67982965514517</v>
      </c>
      <c r="T414" s="243">
        <f t="shared" si="88"/>
        <v>395.67982965514517</v>
      </c>
      <c r="AA414" s="6">
        <v>365</v>
      </c>
      <c r="AB414" t="s">
        <v>80</v>
      </c>
      <c r="AC414" t="s">
        <v>1054</v>
      </c>
      <c r="AE414" t="s">
        <v>94</v>
      </c>
      <c r="AF414">
        <v>8</v>
      </c>
      <c r="AH414">
        <v>300</v>
      </c>
      <c r="AI414" t="s">
        <v>80</v>
      </c>
      <c r="AJ414" t="s">
        <v>1054</v>
      </c>
      <c r="AK414">
        <v>0</v>
      </c>
      <c r="AL414" t="s">
        <v>198</v>
      </c>
      <c r="AM414" s="314">
        <v>0</v>
      </c>
      <c r="AN414" s="314">
        <v>0</v>
      </c>
      <c r="AO414" s="314">
        <v>0</v>
      </c>
      <c r="AP414" s="314">
        <v>0</v>
      </c>
      <c r="AQ414" s="314">
        <v>0</v>
      </c>
      <c r="AR414" s="314">
        <v>0</v>
      </c>
      <c r="AS414" s="314">
        <v>0</v>
      </c>
      <c r="AT414" s="314">
        <v>0</v>
      </c>
      <c r="AU414" s="314">
        <v>395.67982965514517</v>
      </c>
      <c r="AV414" s="314">
        <v>395.67982965514517</v>
      </c>
      <c r="AW414" s="314">
        <v>395.67982965514517</v>
      </c>
      <c r="AX414">
        <v>395.67982965514517</v>
      </c>
    </row>
    <row r="415" spans="1:50" x14ac:dyDescent="0.35">
      <c r="A415">
        <v>295</v>
      </c>
      <c r="B415" t="s">
        <v>80</v>
      </c>
      <c r="C415" t="s">
        <v>1054</v>
      </c>
      <c r="D415">
        <v>0</v>
      </c>
      <c r="E415" t="s">
        <v>199</v>
      </c>
      <c r="F415">
        <v>0</v>
      </c>
      <c r="G415">
        <v>1</v>
      </c>
      <c r="H415">
        <v>0</v>
      </c>
      <c r="I415">
        <v>0</v>
      </c>
      <c r="J415" s="600">
        <v>1</v>
      </c>
      <c r="K415" s="7">
        <f t="shared" si="82"/>
        <v>12</v>
      </c>
      <c r="L415" s="7">
        <f t="shared" si="83"/>
        <v>0</v>
      </c>
      <c r="M415" s="243">
        <f t="shared" si="84"/>
        <v>0</v>
      </c>
      <c r="N415" s="243">
        <f>INDEX($AN$4:$AN21311,MATCH($A415,$AH$4:$AH$2000,0))</f>
        <v>0</v>
      </c>
      <c r="O415" s="243">
        <f t="shared" si="89"/>
        <v>0</v>
      </c>
      <c r="P415" s="243">
        <f t="shared" si="85"/>
        <v>0</v>
      </c>
      <c r="Q415" s="243">
        <f t="shared" si="86"/>
        <v>0</v>
      </c>
      <c r="R415" s="243">
        <f t="shared" si="87"/>
        <v>1188.9000000000001</v>
      </c>
      <c r="S415" s="243">
        <f t="shared" si="90"/>
        <v>0</v>
      </c>
      <c r="T415" s="243">
        <f t="shared" si="88"/>
        <v>0</v>
      </c>
      <c r="AA415" s="6">
        <v>321</v>
      </c>
      <c r="AB415" t="s">
        <v>80</v>
      </c>
      <c r="AC415" t="s">
        <v>1054</v>
      </c>
      <c r="AE415" t="s">
        <v>95</v>
      </c>
      <c r="AF415">
        <v>8</v>
      </c>
      <c r="AH415">
        <v>295</v>
      </c>
      <c r="AI415" t="s">
        <v>80</v>
      </c>
      <c r="AJ415" t="s">
        <v>1054</v>
      </c>
      <c r="AK415">
        <v>0</v>
      </c>
      <c r="AL415" t="s">
        <v>199</v>
      </c>
      <c r="AM415" s="314">
        <v>0</v>
      </c>
      <c r="AN415" s="314">
        <v>0</v>
      </c>
      <c r="AO415" s="314">
        <v>0</v>
      </c>
      <c r="AP415" s="314">
        <v>0</v>
      </c>
      <c r="AQ415" s="314">
        <v>0</v>
      </c>
      <c r="AR415" s="314">
        <v>0</v>
      </c>
      <c r="AS415" s="314">
        <v>0</v>
      </c>
      <c r="AT415" s="314">
        <v>0</v>
      </c>
      <c r="AU415" s="314">
        <v>0</v>
      </c>
      <c r="AV415" s="314">
        <v>1188.9000000000001</v>
      </c>
      <c r="AW415" s="314">
        <v>0</v>
      </c>
      <c r="AX415">
        <v>0</v>
      </c>
    </row>
    <row r="416" spans="1:50" x14ac:dyDescent="0.35">
      <c r="A416">
        <v>296</v>
      </c>
      <c r="B416" t="s">
        <v>80</v>
      </c>
      <c r="C416" t="s">
        <v>1054</v>
      </c>
      <c r="D416">
        <v>0</v>
      </c>
      <c r="E416" t="s">
        <v>200</v>
      </c>
      <c r="F416">
        <v>0</v>
      </c>
      <c r="G416">
        <v>0</v>
      </c>
      <c r="H416">
        <v>1</v>
      </c>
      <c r="I416">
        <v>1</v>
      </c>
      <c r="J416" s="600">
        <v>2</v>
      </c>
      <c r="K416" s="7">
        <f t="shared" si="82"/>
        <v>12</v>
      </c>
      <c r="L416" s="7">
        <f t="shared" si="83"/>
        <v>0</v>
      </c>
      <c r="M416" s="243">
        <f t="shared" si="84"/>
        <v>0</v>
      </c>
      <c r="N416" s="243">
        <f>INDEX($AN$4:$AN21312,MATCH($A416,$AH$4:$AH$2000,0))</f>
        <v>0</v>
      </c>
      <c r="O416" s="243">
        <f t="shared" si="89"/>
        <v>0</v>
      </c>
      <c r="P416" s="243">
        <f t="shared" si="85"/>
        <v>0</v>
      </c>
      <c r="Q416" s="243">
        <f t="shared" si="86"/>
        <v>0</v>
      </c>
      <c r="R416" s="243">
        <f t="shared" si="87"/>
        <v>0</v>
      </c>
      <c r="S416" s="243">
        <f t="shared" si="90"/>
        <v>1431.9</v>
      </c>
      <c r="T416" s="243">
        <f t="shared" si="88"/>
        <v>1431.9</v>
      </c>
      <c r="AA416" s="6">
        <v>315</v>
      </c>
      <c r="AB416" t="s">
        <v>80</v>
      </c>
      <c r="AC416" t="s">
        <v>1054</v>
      </c>
      <c r="AE416" t="s">
        <v>1055</v>
      </c>
      <c r="AF416">
        <v>15</v>
      </c>
      <c r="AG416">
        <v>2</v>
      </c>
      <c r="AH416">
        <v>296</v>
      </c>
      <c r="AI416" t="s">
        <v>80</v>
      </c>
      <c r="AJ416" t="s">
        <v>1054</v>
      </c>
      <c r="AK416">
        <v>0</v>
      </c>
      <c r="AL416" t="s">
        <v>200</v>
      </c>
      <c r="AM416" s="314">
        <v>0</v>
      </c>
      <c r="AN416" s="314">
        <v>0</v>
      </c>
      <c r="AO416" s="314">
        <v>0</v>
      </c>
      <c r="AP416" s="314">
        <v>0</v>
      </c>
      <c r="AQ416" s="314">
        <v>0</v>
      </c>
      <c r="AR416" s="314">
        <v>0</v>
      </c>
      <c r="AS416" s="314">
        <v>0</v>
      </c>
      <c r="AT416" s="314">
        <v>0</v>
      </c>
      <c r="AU416" s="314">
        <v>0</v>
      </c>
      <c r="AV416" s="314">
        <v>0</v>
      </c>
      <c r="AW416" s="314">
        <v>1431.9</v>
      </c>
      <c r="AX416">
        <v>1431.9</v>
      </c>
    </row>
    <row r="417" spans="1:50" x14ac:dyDescent="0.35">
      <c r="A417">
        <v>294</v>
      </c>
      <c r="B417" t="s">
        <v>80</v>
      </c>
      <c r="C417" t="s">
        <v>1054</v>
      </c>
      <c r="D417">
        <v>0</v>
      </c>
      <c r="E417" t="s">
        <v>201</v>
      </c>
      <c r="F417">
        <v>2</v>
      </c>
      <c r="G417">
        <v>1</v>
      </c>
      <c r="H417">
        <v>1</v>
      </c>
      <c r="I417">
        <v>1</v>
      </c>
      <c r="J417" s="600">
        <v>5</v>
      </c>
      <c r="K417" s="7">
        <f t="shared" si="82"/>
        <v>12</v>
      </c>
      <c r="L417" s="7">
        <f t="shared" si="83"/>
        <v>0</v>
      </c>
      <c r="M417" s="243">
        <f t="shared" si="84"/>
        <v>0</v>
      </c>
      <c r="N417" s="243">
        <f>INDEX($AN$4:$AN21313,MATCH($A417,$AH$4:$AH$2000,0))</f>
        <v>0</v>
      </c>
      <c r="O417" s="243">
        <f t="shared" si="89"/>
        <v>0</v>
      </c>
      <c r="P417" s="243">
        <f t="shared" si="85"/>
        <v>0</v>
      </c>
      <c r="Q417" s="243">
        <f t="shared" si="86"/>
        <v>268.2</v>
      </c>
      <c r="R417" s="243">
        <f t="shared" si="87"/>
        <v>134.1</v>
      </c>
      <c r="S417" s="243">
        <f t="shared" si="90"/>
        <v>134.1</v>
      </c>
      <c r="T417" s="243">
        <f t="shared" si="88"/>
        <v>134.1</v>
      </c>
      <c r="AA417" s="6">
        <v>316</v>
      </c>
      <c r="AB417" t="s">
        <v>80</v>
      </c>
      <c r="AC417" t="s">
        <v>1054</v>
      </c>
      <c r="AE417" t="s">
        <v>1859</v>
      </c>
      <c r="AF417">
        <v>15</v>
      </c>
      <c r="AH417">
        <v>294</v>
      </c>
      <c r="AI417" t="s">
        <v>80</v>
      </c>
      <c r="AJ417" t="s">
        <v>1054</v>
      </c>
      <c r="AK417">
        <v>0</v>
      </c>
      <c r="AL417" t="s">
        <v>201</v>
      </c>
      <c r="AM417" s="314">
        <v>0</v>
      </c>
      <c r="AN417" s="314">
        <v>0</v>
      </c>
      <c r="AO417" s="314">
        <v>0</v>
      </c>
      <c r="AP417" s="314">
        <v>0</v>
      </c>
      <c r="AQ417" s="314">
        <v>0</v>
      </c>
      <c r="AR417" s="314">
        <v>0</v>
      </c>
      <c r="AS417" s="314">
        <v>0</v>
      </c>
      <c r="AT417" s="314">
        <v>0</v>
      </c>
      <c r="AU417" s="314">
        <v>268.2</v>
      </c>
      <c r="AV417" s="314">
        <v>134.1</v>
      </c>
      <c r="AW417" s="314">
        <v>134.1</v>
      </c>
      <c r="AX417">
        <v>134.1</v>
      </c>
    </row>
    <row r="418" spans="1:50" x14ac:dyDescent="0.35">
      <c r="A418">
        <v>292</v>
      </c>
      <c r="B418" t="s">
        <v>80</v>
      </c>
      <c r="C418" t="s">
        <v>1054</v>
      </c>
      <c r="D418">
        <v>0</v>
      </c>
      <c r="E418" t="s">
        <v>202</v>
      </c>
      <c r="F418">
        <v>2</v>
      </c>
      <c r="G418">
        <v>1</v>
      </c>
      <c r="H418">
        <v>1</v>
      </c>
      <c r="I418">
        <v>1</v>
      </c>
      <c r="J418" s="600">
        <v>5</v>
      </c>
      <c r="K418" s="7">
        <f t="shared" si="82"/>
        <v>15</v>
      </c>
      <c r="L418" s="7">
        <f t="shared" si="83"/>
        <v>0</v>
      </c>
      <c r="M418" s="243">
        <f t="shared" si="84"/>
        <v>0</v>
      </c>
      <c r="N418" s="243">
        <f>INDEX($AN$4:$AN21314,MATCH($A418,$AH$4:$AH$2000,0))</f>
        <v>0</v>
      </c>
      <c r="O418" s="243">
        <f t="shared" si="89"/>
        <v>0</v>
      </c>
      <c r="P418" s="243">
        <f t="shared" si="85"/>
        <v>0</v>
      </c>
      <c r="Q418" s="243">
        <f t="shared" si="86"/>
        <v>909.42240857142849</v>
      </c>
      <c r="R418" s="243">
        <f t="shared" si="87"/>
        <v>454.71120428571425</v>
      </c>
      <c r="S418" s="243">
        <f t="shared" si="90"/>
        <v>454.71120428571425</v>
      </c>
      <c r="T418" s="243">
        <f t="shared" si="88"/>
        <v>454.71120428571425</v>
      </c>
      <c r="AA418" s="6">
        <v>289</v>
      </c>
      <c r="AB418" t="s">
        <v>80</v>
      </c>
      <c r="AC418" t="s">
        <v>1054</v>
      </c>
      <c r="AE418" t="s">
        <v>96</v>
      </c>
      <c r="AF418">
        <v>8</v>
      </c>
      <c r="AH418">
        <v>292</v>
      </c>
      <c r="AI418" t="s">
        <v>80</v>
      </c>
      <c r="AJ418" t="s">
        <v>1054</v>
      </c>
      <c r="AK418">
        <v>0</v>
      </c>
      <c r="AL418" t="s">
        <v>202</v>
      </c>
      <c r="AM418" s="314">
        <v>0</v>
      </c>
      <c r="AN418" s="314">
        <v>0</v>
      </c>
      <c r="AO418" s="314">
        <v>0</v>
      </c>
      <c r="AP418" s="314">
        <v>0</v>
      </c>
      <c r="AQ418" s="314">
        <v>0</v>
      </c>
      <c r="AR418" s="314">
        <v>0</v>
      </c>
      <c r="AS418" s="314">
        <v>0</v>
      </c>
      <c r="AT418" s="314">
        <v>0</v>
      </c>
      <c r="AU418" s="314">
        <v>909.42240857142849</v>
      </c>
      <c r="AV418" s="314">
        <v>454.71120428571425</v>
      </c>
      <c r="AW418" s="314">
        <v>454.71120428571425</v>
      </c>
      <c r="AX418">
        <v>454.71120428571425</v>
      </c>
    </row>
    <row r="419" spans="1:50" x14ac:dyDescent="0.35">
      <c r="A419">
        <v>351</v>
      </c>
      <c r="B419" t="s">
        <v>80</v>
      </c>
      <c r="C419" t="s">
        <v>1054</v>
      </c>
      <c r="D419">
        <v>0</v>
      </c>
      <c r="E419" t="s">
        <v>203</v>
      </c>
      <c r="F419">
        <v>600</v>
      </c>
      <c r="G419">
        <v>600</v>
      </c>
      <c r="H419">
        <v>600</v>
      </c>
      <c r="I419">
        <v>600</v>
      </c>
      <c r="J419" s="600">
        <v>2400</v>
      </c>
      <c r="K419" s="7">
        <f t="shared" si="82"/>
        <v>6</v>
      </c>
      <c r="L419" s="7">
        <f t="shared" si="83"/>
        <v>0</v>
      </c>
      <c r="M419" s="243">
        <f t="shared" si="84"/>
        <v>0</v>
      </c>
      <c r="N419" s="243">
        <f>INDEX($AN$4:$AN21315,MATCH($A419,$AH$4:$AH$2000,0))</f>
        <v>0</v>
      </c>
      <c r="O419" s="243">
        <f t="shared" si="89"/>
        <v>0</v>
      </c>
      <c r="P419" s="243">
        <f t="shared" si="85"/>
        <v>0</v>
      </c>
      <c r="Q419" s="243">
        <f t="shared" si="86"/>
        <v>0</v>
      </c>
      <c r="R419" s="243">
        <f t="shared" si="87"/>
        <v>0</v>
      </c>
      <c r="S419" s="243">
        <f t="shared" si="90"/>
        <v>0</v>
      </c>
      <c r="T419" s="243">
        <f t="shared" si="88"/>
        <v>0</v>
      </c>
      <c r="AA419" s="6">
        <v>287</v>
      </c>
      <c r="AB419" t="s">
        <v>80</v>
      </c>
      <c r="AC419" t="s">
        <v>1054</v>
      </c>
      <c r="AE419" t="s">
        <v>1860</v>
      </c>
      <c r="AF419">
        <v>15</v>
      </c>
      <c r="AG419">
        <v>1</v>
      </c>
      <c r="AH419">
        <v>351</v>
      </c>
      <c r="AI419" t="s">
        <v>80</v>
      </c>
      <c r="AJ419" t="s">
        <v>1054</v>
      </c>
      <c r="AK419">
        <v>0</v>
      </c>
      <c r="AL419" t="s">
        <v>203</v>
      </c>
      <c r="AM419" s="314">
        <v>0</v>
      </c>
      <c r="AN419" s="314">
        <v>0</v>
      </c>
      <c r="AO419" s="314">
        <v>0</v>
      </c>
      <c r="AP419" s="314">
        <v>0</v>
      </c>
      <c r="AQ419" s="314">
        <v>0</v>
      </c>
      <c r="AR419" s="314">
        <v>0</v>
      </c>
      <c r="AS419" s="314">
        <v>0</v>
      </c>
      <c r="AT419" s="314">
        <v>0</v>
      </c>
      <c r="AU419" s="314">
        <v>0</v>
      </c>
      <c r="AV419" s="314">
        <v>0</v>
      </c>
      <c r="AW419" s="314">
        <v>0</v>
      </c>
      <c r="AX419">
        <v>0</v>
      </c>
    </row>
    <row r="420" spans="1:50" x14ac:dyDescent="0.35">
      <c r="A420">
        <v>349</v>
      </c>
      <c r="B420" t="s">
        <v>80</v>
      </c>
      <c r="C420" t="s">
        <v>1054</v>
      </c>
      <c r="D420">
        <v>0</v>
      </c>
      <c r="E420" t="s">
        <v>204</v>
      </c>
      <c r="F420">
        <v>100</v>
      </c>
      <c r="G420">
        <v>100</v>
      </c>
      <c r="H420">
        <v>100</v>
      </c>
      <c r="I420">
        <v>100</v>
      </c>
      <c r="J420" s="600">
        <v>400</v>
      </c>
      <c r="K420" s="7">
        <f t="shared" si="82"/>
        <v>6</v>
      </c>
      <c r="L420" s="7">
        <f t="shared" si="83"/>
        <v>0</v>
      </c>
      <c r="M420" s="243">
        <f t="shared" si="84"/>
        <v>0</v>
      </c>
      <c r="N420" s="243">
        <f>INDEX($AN$4:$AN21316,MATCH($A420,$AH$4:$AH$2000,0))</f>
        <v>0</v>
      </c>
      <c r="O420" s="243">
        <f t="shared" si="89"/>
        <v>0</v>
      </c>
      <c r="P420" s="243">
        <f t="shared" si="85"/>
        <v>0</v>
      </c>
      <c r="Q420" s="243">
        <f t="shared" si="86"/>
        <v>26788.538854625564</v>
      </c>
      <c r="R420" s="243">
        <f t="shared" si="87"/>
        <v>26788.538854625564</v>
      </c>
      <c r="S420" s="243">
        <f t="shared" si="90"/>
        <v>26788.538854625564</v>
      </c>
      <c r="T420" s="243">
        <f t="shared" si="88"/>
        <v>26788.538854625564</v>
      </c>
      <c r="AA420" s="6">
        <v>334</v>
      </c>
      <c r="AB420" t="s">
        <v>80</v>
      </c>
      <c r="AC420" t="s">
        <v>1054</v>
      </c>
      <c r="AE420" t="s">
        <v>1861</v>
      </c>
      <c r="AF420">
        <v>11</v>
      </c>
      <c r="AG420">
        <v>1</v>
      </c>
      <c r="AH420">
        <v>349</v>
      </c>
      <c r="AI420" t="s">
        <v>80</v>
      </c>
      <c r="AJ420" t="s">
        <v>1054</v>
      </c>
      <c r="AK420">
        <v>0</v>
      </c>
      <c r="AL420" t="s">
        <v>204</v>
      </c>
      <c r="AM420" s="314">
        <v>0</v>
      </c>
      <c r="AN420" s="314">
        <v>0</v>
      </c>
      <c r="AO420" s="314">
        <v>0</v>
      </c>
      <c r="AP420" s="314">
        <v>0</v>
      </c>
      <c r="AQ420" s="314">
        <v>0</v>
      </c>
      <c r="AR420" s="314">
        <v>0</v>
      </c>
      <c r="AS420" s="314">
        <v>0</v>
      </c>
      <c r="AT420" s="314">
        <v>0</v>
      </c>
      <c r="AU420" s="314">
        <v>26788.538854625564</v>
      </c>
      <c r="AV420" s="314">
        <v>26788.538854625564</v>
      </c>
      <c r="AW420" s="314">
        <v>26788.538854625564</v>
      </c>
      <c r="AX420">
        <v>26788.538854625564</v>
      </c>
    </row>
    <row r="421" spans="1:50" x14ac:dyDescent="0.35">
      <c r="A421">
        <v>352</v>
      </c>
      <c r="B421" t="s">
        <v>80</v>
      </c>
      <c r="C421" t="s">
        <v>1054</v>
      </c>
      <c r="D421">
        <v>0</v>
      </c>
      <c r="E421" t="s">
        <v>205</v>
      </c>
      <c r="F421">
        <v>30</v>
      </c>
      <c r="G421">
        <v>30</v>
      </c>
      <c r="H421">
        <v>30</v>
      </c>
      <c r="I421">
        <v>30</v>
      </c>
      <c r="J421" s="600">
        <v>120</v>
      </c>
      <c r="K421" s="7">
        <f t="shared" si="82"/>
        <v>6</v>
      </c>
      <c r="L421" s="7">
        <f t="shared" si="83"/>
        <v>0</v>
      </c>
      <c r="M421" s="243">
        <f t="shared" si="84"/>
        <v>0</v>
      </c>
      <c r="N421" s="243">
        <f>INDEX($AN$4:$AN21317,MATCH($A421,$AH$4:$AH$2000,0))</f>
        <v>0</v>
      </c>
      <c r="O421" s="243">
        <f t="shared" si="89"/>
        <v>0</v>
      </c>
      <c r="P421" s="243">
        <f t="shared" si="85"/>
        <v>0</v>
      </c>
      <c r="Q421" s="243">
        <f t="shared" si="86"/>
        <v>0</v>
      </c>
      <c r="R421" s="243">
        <f t="shared" si="87"/>
        <v>0</v>
      </c>
      <c r="S421" s="243">
        <f t="shared" si="90"/>
        <v>0</v>
      </c>
      <c r="T421" s="243">
        <f t="shared" si="88"/>
        <v>0</v>
      </c>
      <c r="AA421" s="6">
        <v>318</v>
      </c>
      <c r="AB421" t="s">
        <v>80</v>
      </c>
      <c r="AC421" t="s">
        <v>1054</v>
      </c>
      <c r="AE421" t="s">
        <v>98</v>
      </c>
      <c r="AF421" s="1">
        <v>5</v>
      </c>
      <c r="AH421">
        <v>352</v>
      </c>
      <c r="AI421" t="s">
        <v>80</v>
      </c>
      <c r="AJ421" t="s">
        <v>1054</v>
      </c>
      <c r="AK421">
        <v>0</v>
      </c>
      <c r="AL421" t="s">
        <v>205</v>
      </c>
      <c r="AM421" s="314">
        <v>0</v>
      </c>
      <c r="AN421" s="314">
        <v>0</v>
      </c>
      <c r="AO421" s="314">
        <v>0</v>
      </c>
      <c r="AP421" s="314">
        <v>0</v>
      </c>
      <c r="AQ421" s="314">
        <v>0</v>
      </c>
      <c r="AR421" s="314">
        <v>0</v>
      </c>
      <c r="AS421" s="314">
        <v>0</v>
      </c>
      <c r="AT421" s="314">
        <v>0</v>
      </c>
      <c r="AU421" s="314">
        <v>0</v>
      </c>
      <c r="AV421" s="314">
        <v>0</v>
      </c>
      <c r="AW421" s="314">
        <v>0</v>
      </c>
      <c r="AX421">
        <v>0</v>
      </c>
    </row>
    <row r="422" spans="1:50" x14ac:dyDescent="0.35">
      <c r="A422">
        <v>350</v>
      </c>
      <c r="B422" t="s">
        <v>80</v>
      </c>
      <c r="C422" t="s">
        <v>1054</v>
      </c>
      <c r="D422">
        <v>0</v>
      </c>
      <c r="E422" t="s">
        <v>206</v>
      </c>
      <c r="F422">
        <v>5</v>
      </c>
      <c r="G422">
        <v>5</v>
      </c>
      <c r="H422">
        <v>5</v>
      </c>
      <c r="I422">
        <v>5</v>
      </c>
      <c r="J422" s="600">
        <v>20</v>
      </c>
      <c r="K422" s="7">
        <f t="shared" si="82"/>
        <v>6</v>
      </c>
      <c r="L422" s="7">
        <f t="shared" si="83"/>
        <v>0</v>
      </c>
      <c r="M422" s="243">
        <f t="shared" si="84"/>
        <v>0</v>
      </c>
      <c r="N422" s="243">
        <f>INDEX($AN$4:$AN21318,MATCH($A422,$AH$4:$AH$2000,0))</f>
        <v>0</v>
      </c>
      <c r="O422" s="243">
        <f t="shared" si="89"/>
        <v>0</v>
      </c>
      <c r="P422" s="243">
        <f t="shared" si="85"/>
        <v>0</v>
      </c>
      <c r="Q422" s="243">
        <f t="shared" si="86"/>
        <v>19719.194725105775</v>
      </c>
      <c r="R422" s="243">
        <f t="shared" si="87"/>
        <v>19719.194725105775</v>
      </c>
      <c r="S422" s="243">
        <f t="shared" si="90"/>
        <v>19719.194725105775</v>
      </c>
      <c r="T422" s="243">
        <f t="shared" si="88"/>
        <v>19719.194725105775</v>
      </c>
      <c r="AA422" s="6">
        <v>314</v>
      </c>
      <c r="AB422" t="s">
        <v>80</v>
      </c>
      <c r="AC422" t="s">
        <v>1054</v>
      </c>
      <c r="AE422" t="s">
        <v>99</v>
      </c>
      <c r="AF422" s="1">
        <v>5</v>
      </c>
      <c r="AH422">
        <v>350</v>
      </c>
      <c r="AI422" t="s">
        <v>80</v>
      </c>
      <c r="AJ422" t="s">
        <v>1054</v>
      </c>
      <c r="AK422">
        <v>0</v>
      </c>
      <c r="AL422" t="s">
        <v>206</v>
      </c>
      <c r="AM422" s="314">
        <v>0</v>
      </c>
      <c r="AN422" s="314">
        <v>0</v>
      </c>
      <c r="AO422" s="314">
        <v>0</v>
      </c>
      <c r="AP422" s="314">
        <v>0</v>
      </c>
      <c r="AQ422" s="314">
        <v>0</v>
      </c>
      <c r="AR422" s="314">
        <v>0</v>
      </c>
      <c r="AS422" s="314">
        <v>0</v>
      </c>
      <c r="AT422" s="314">
        <v>0</v>
      </c>
      <c r="AU422" s="314">
        <v>19719.194725105775</v>
      </c>
      <c r="AV422" s="314">
        <v>19719.194725105775</v>
      </c>
      <c r="AW422" s="314">
        <v>19719.194725105775</v>
      </c>
      <c r="AX422">
        <v>19719.194725105775</v>
      </c>
    </row>
    <row r="423" spans="1:50" x14ac:dyDescent="0.35">
      <c r="A423">
        <v>341</v>
      </c>
      <c r="B423" t="s">
        <v>80</v>
      </c>
      <c r="C423" t="s">
        <v>1054</v>
      </c>
      <c r="D423">
        <v>0</v>
      </c>
      <c r="E423" t="s">
        <v>207</v>
      </c>
      <c r="F423">
        <v>4</v>
      </c>
      <c r="G423">
        <v>4</v>
      </c>
      <c r="H423">
        <v>4</v>
      </c>
      <c r="I423">
        <v>4</v>
      </c>
      <c r="J423" s="600">
        <v>16</v>
      </c>
      <c r="K423" s="7">
        <f t="shared" si="82"/>
        <v>10</v>
      </c>
      <c r="L423" s="7">
        <f t="shared" si="83"/>
        <v>0</v>
      </c>
      <c r="M423" s="243">
        <f t="shared" si="84"/>
        <v>1188</v>
      </c>
      <c r="N423" s="243">
        <f>INDEX($AN$4:$AN21319,MATCH($A423,$AH$4:$AH$2000,0))</f>
        <v>1188</v>
      </c>
      <c r="O423" s="243">
        <f t="shared" si="89"/>
        <v>1188</v>
      </c>
      <c r="P423" s="243">
        <f t="shared" si="85"/>
        <v>1188</v>
      </c>
      <c r="Q423" s="243">
        <f t="shared" si="86"/>
        <v>0</v>
      </c>
      <c r="R423" s="243">
        <f t="shared" si="87"/>
        <v>0</v>
      </c>
      <c r="S423" s="243">
        <f t="shared" si="90"/>
        <v>0</v>
      </c>
      <c r="T423" s="243">
        <f t="shared" si="88"/>
        <v>0</v>
      </c>
      <c r="AA423" s="6">
        <v>311</v>
      </c>
      <c r="AB423" t="s">
        <v>80</v>
      </c>
      <c r="AC423" t="s">
        <v>1054</v>
      </c>
      <c r="AE423" t="s">
        <v>1863</v>
      </c>
      <c r="AF423">
        <v>15</v>
      </c>
      <c r="AG423">
        <v>1</v>
      </c>
      <c r="AH423">
        <v>341</v>
      </c>
      <c r="AI423" t="s">
        <v>80</v>
      </c>
      <c r="AJ423" t="s">
        <v>1054</v>
      </c>
      <c r="AK423">
        <v>0</v>
      </c>
      <c r="AL423" t="s">
        <v>207</v>
      </c>
      <c r="AM423" s="314">
        <v>1188</v>
      </c>
      <c r="AN423" s="314">
        <v>1188</v>
      </c>
      <c r="AO423" s="314">
        <v>1188</v>
      </c>
      <c r="AP423" s="314">
        <v>1188</v>
      </c>
      <c r="AQ423" s="314">
        <v>0</v>
      </c>
      <c r="AR423" s="314">
        <v>0</v>
      </c>
      <c r="AS423" s="314">
        <v>0</v>
      </c>
      <c r="AT423" s="314">
        <v>0</v>
      </c>
      <c r="AU423" s="314">
        <v>0</v>
      </c>
      <c r="AV423" s="314">
        <v>0</v>
      </c>
      <c r="AW423" s="314">
        <v>0</v>
      </c>
      <c r="AX423">
        <v>0</v>
      </c>
    </row>
    <row r="424" spans="1:50" x14ac:dyDescent="0.35">
      <c r="A424">
        <v>275</v>
      </c>
      <c r="B424" t="s">
        <v>80</v>
      </c>
      <c r="C424" t="s">
        <v>1054</v>
      </c>
      <c r="D424">
        <v>0</v>
      </c>
      <c r="E424" t="s">
        <v>208</v>
      </c>
      <c r="F424">
        <v>3</v>
      </c>
      <c r="G424">
        <v>3</v>
      </c>
      <c r="H424">
        <v>3</v>
      </c>
      <c r="I424">
        <v>3</v>
      </c>
      <c r="J424" s="600">
        <v>12</v>
      </c>
      <c r="K424" s="7">
        <f t="shared" si="82"/>
        <v>18</v>
      </c>
      <c r="L424" s="7">
        <f t="shared" si="83"/>
        <v>0</v>
      </c>
      <c r="M424" s="243">
        <f t="shared" si="84"/>
        <v>12409.2</v>
      </c>
      <c r="N424" s="243">
        <f>INDEX($AN$4:$AN21320,MATCH($A424,$AH$4:$AH$2000,0))</f>
        <v>12409.2</v>
      </c>
      <c r="O424" s="243">
        <f t="shared" ref="O424:O443" si="91">INDEX($AO$4:$AO$2000,MATCH($A424,$AH$4:$AH$2000,0))</f>
        <v>12409.2</v>
      </c>
      <c r="P424" s="243">
        <f t="shared" si="85"/>
        <v>12409.2</v>
      </c>
      <c r="Q424" s="243">
        <f t="shared" si="86"/>
        <v>0</v>
      </c>
      <c r="R424" s="243">
        <f t="shared" si="87"/>
        <v>0</v>
      </c>
      <c r="S424" s="243">
        <f t="shared" ref="S424:S443" si="92">INDEX($AW$4:$AW$2000,MATCH($A424,$AH$4:$AH$2000,0))</f>
        <v>0</v>
      </c>
      <c r="T424" s="243">
        <f t="shared" si="88"/>
        <v>0</v>
      </c>
      <c r="AA424" s="6">
        <v>265</v>
      </c>
      <c r="AB424" t="s">
        <v>80</v>
      </c>
      <c r="AC424" t="s">
        <v>1054</v>
      </c>
      <c r="AE424" t="s">
        <v>101</v>
      </c>
      <c r="AF424">
        <v>3</v>
      </c>
      <c r="AH424">
        <v>275</v>
      </c>
      <c r="AI424" t="s">
        <v>80</v>
      </c>
      <c r="AJ424" t="s">
        <v>1054</v>
      </c>
      <c r="AK424">
        <v>0</v>
      </c>
      <c r="AL424" t="s">
        <v>208</v>
      </c>
      <c r="AM424" s="314">
        <v>12409.2</v>
      </c>
      <c r="AN424" s="314">
        <v>12409.2</v>
      </c>
      <c r="AO424" s="314">
        <v>12409.2</v>
      </c>
      <c r="AP424" s="314">
        <v>12409.2</v>
      </c>
      <c r="AQ424" s="314">
        <v>3.7800000000000002</v>
      </c>
      <c r="AR424" s="314">
        <v>3.7800000000000002</v>
      </c>
      <c r="AS424" s="314">
        <v>3.7800000000000002</v>
      </c>
      <c r="AT424" s="314">
        <v>3.7800000000000002</v>
      </c>
      <c r="AU424" s="314">
        <v>0</v>
      </c>
      <c r="AV424" s="314">
        <v>0</v>
      </c>
      <c r="AW424" s="314">
        <v>0</v>
      </c>
      <c r="AX424">
        <v>0</v>
      </c>
    </row>
    <row r="425" spans="1:50" x14ac:dyDescent="0.35">
      <c r="A425">
        <v>319</v>
      </c>
      <c r="B425" t="s">
        <v>80</v>
      </c>
      <c r="C425" t="s">
        <v>1054</v>
      </c>
      <c r="D425">
        <v>0</v>
      </c>
      <c r="E425" t="s">
        <v>1036</v>
      </c>
      <c r="F425">
        <v>2000</v>
      </c>
      <c r="G425">
        <v>0</v>
      </c>
      <c r="H425">
        <v>0</v>
      </c>
      <c r="I425">
        <v>0</v>
      </c>
      <c r="J425" s="600">
        <v>2000</v>
      </c>
      <c r="K425" s="7">
        <f t="shared" si="82"/>
        <v>15</v>
      </c>
      <c r="L425" s="7">
        <f t="shared" si="83"/>
        <v>0</v>
      </c>
      <c r="M425" s="243">
        <f t="shared" si="84"/>
        <v>50030.924266800008</v>
      </c>
      <c r="N425" s="243">
        <f>INDEX($AN$4:$AN21321,MATCH($A425,$AH$4:$AH$2000,0))</f>
        <v>0</v>
      </c>
      <c r="O425" s="243">
        <f t="shared" si="91"/>
        <v>0</v>
      </c>
      <c r="P425" s="243">
        <f t="shared" si="85"/>
        <v>0</v>
      </c>
      <c r="Q425" s="243">
        <f t="shared" si="86"/>
        <v>-1009.7984714400001</v>
      </c>
      <c r="R425" s="243">
        <f t="shared" si="87"/>
        <v>0</v>
      </c>
      <c r="S425" s="243">
        <f t="shared" si="92"/>
        <v>0</v>
      </c>
      <c r="T425" s="243">
        <f t="shared" si="88"/>
        <v>0</v>
      </c>
      <c r="AA425" s="6">
        <v>360</v>
      </c>
      <c r="AB425" t="s">
        <v>80</v>
      </c>
      <c r="AC425" t="s">
        <v>1054</v>
      </c>
      <c r="AE425" t="s">
        <v>213</v>
      </c>
      <c r="AF425">
        <v>15</v>
      </c>
      <c r="AH425">
        <v>319</v>
      </c>
      <c r="AI425" t="s">
        <v>80</v>
      </c>
      <c r="AJ425" t="s">
        <v>1054</v>
      </c>
      <c r="AK425">
        <v>0</v>
      </c>
      <c r="AL425" t="s">
        <v>1036</v>
      </c>
      <c r="AM425" s="314">
        <v>50030.924266800008</v>
      </c>
      <c r="AN425" s="314">
        <v>0</v>
      </c>
      <c r="AO425" s="314">
        <v>0</v>
      </c>
      <c r="AP425" s="314">
        <v>0</v>
      </c>
      <c r="AQ425" s="314">
        <v>10.714964544000003</v>
      </c>
      <c r="AR425" s="314">
        <v>0</v>
      </c>
      <c r="AS425" s="314">
        <v>0</v>
      </c>
      <c r="AT425" s="314">
        <v>0</v>
      </c>
      <c r="AU425" s="314">
        <v>-1009.7984714400001</v>
      </c>
      <c r="AV425" s="314">
        <v>0</v>
      </c>
      <c r="AW425" s="314">
        <v>0</v>
      </c>
      <c r="AX425">
        <v>0</v>
      </c>
    </row>
    <row r="426" spans="1:50" x14ac:dyDescent="0.35">
      <c r="A426">
        <v>271</v>
      </c>
      <c r="B426" t="s">
        <v>80</v>
      </c>
      <c r="C426" t="s">
        <v>1054</v>
      </c>
      <c r="D426">
        <v>0</v>
      </c>
      <c r="E426" t="s">
        <v>209</v>
      </c>
      <c r="F426">
        <v>1</v>
      </c>
      <c r="G426">
        <v>0</v>
      </c>
      <c r="H426">
        <v>1</v>
      </c>
      <c r="I426">
        <v>1</v>
      </c>
      <c r="J426" s="600">
        <v>3</v>
      </c>
      <c r="K426" s="7">
        <f t="shared" si="82"/>
        <v>12</v>
      </c>
      <c r="L426" s="7">
        <f t="shared" si="83"/>
        <v>0</v>
      </c>
      <c r="M426" s="243">
        <f t="shared" si="84"/>
        <v>0</v>
      </c>
      <c r="N426" s="243">
        <f>INDEX($AN$4:$AN21322,MATCH($A426,$AH$4:$AH$2000,0))</f>
        <v>0</v>
      </c>
      <c r="O426" s="243">
        <f t="shared" si="91"/>
        <v>0</v>
      </c>
      <c r="P426" s="243">
        <f t="shared" si="85"/>
        <v>0</v>
      </c>
      <c r="Q426" s="243">
        <f t="shared" si="86"/>
        <v>231.3</v>
      </c>
      <c r="R426" s="243">
        <f t="shared" si="87"/>
        <v>0</v>
      </c>
      <c r="S426" s="243">
        <f t="shared" si="92"/>
        <v>231.3</v>
      </c>
      <c r="T426" s="243">
        <f t="shared" si="88"/>
        <v>231.3</v>
      </c>
      <c r="AA426" s="6">
        <v>358</v>
      </c>
      <c r="AB426" t="s">
        <v>80</v>
      </c>
      <c r="AC426" t="s">
        <v>1054</v>
      </c>
      <c r="AE426" t="s">
        <v>214</v>
      </c>
      <c r="AF426">
        <v>15</v>
      </c>
      <c r="AH426">
        <v>271</v>
      </c>
      <c r="AI426" t="s">
        <v>80</v>
      </c>
      <c r="AJ426" t="s">
        <v>1054</v>
      </c>
      <c r="AK426">
        <v>0</v>
      </c>
      <c r="AL426" t="s">
        <v>209</v>
      </c>
      <c r="AM426" s="314">
        <v>0</v>
      </c>
      <c r="AN426" s="314">
        <v>0</v>
      </c>
      <c r="AO426" s="314">
        <v>0</v>
      </c>
      <c r="AP426" s="314">
        <v>0</v>
      </c>
      <c r="AQ426" s="314">
        <v>0</v>
      </c>
      <c r="AR426" s="314">
        <v>0</v>
      </c>
      <c r="AS426" s="314">
        <v>0</v>
      </c>
      <c r="AT426" s="314">
        <v>0</v>
      </c>
      <c r="AU426" s="314">
        <v>231.3</v>
      </c>
      <c r="AV426" s="314">
        <v>0</v>
      </c>
      <c r="AW426" s="314">
        <v>231.3</v>
      </c>
      <c r="AX426">
        <v>231.3</v>
      </c>
    </row>
    <row r="427" spans="1:50" x14ac:dyDescent="0.35">
      <c r="A427">
        <v>369</v>
      </c>
      <c r="B427" t="s">
        <v>80</v>
      </c>
      <c r="C427" t="s">
        <v>1054</v>
      </c>
      <c r="D427" t="s">
        <v>4</v>
      </c>
      <c r="E427" t="s">
        <v>1024</v>
      </c>
      <c r="F427">
        <v>0</v>
      </c>
      <c r="G427">
        <v>13488</v>
      </c>
      <c r="H427">
        <v>0</v>
      </c>
      <c r="I427">
        <v>0</v>
      </c>
      <c r="J427" s="600">
        <v>13488</v>
      </c>
      <c r="K427" s="7">
        <f t="shared" si="82"/>
        <v>15</v>
      </c>
      <c r="L427" s="7">
        <f t="shared" si="83"/>
        <v>1</v>
      </c>
      <c r="M427" s="243">
        <f t="shared" si="84"/>
        <v>0</v>
      </c>
      <c r="N427" s="243">
        <f>INDEX($AN$4:$AN21323,MATCH($A427,$AH$4:$AH$2000,0))</f>
        <v>1520732.9127766623</v>
      </c>
      <c r="O427" s="243">
        <f t="shared" si="91"/>
        <v>0</v>
      </c>
      <c r="P427" s="243">
        <f t="shared" si="85"/>
        <v>0</v>
      </c>
      <c r="Q427" s="243">
        <f t="shared" si="86"/>
        <v>0</v>
      </c>
      <c r="R427" s="243">
        <f t="shared" si="87"/>
        <v>-14464.182196774136</v>
      </c>
      <c r="S427" s="243">
        <f t="shared" si="92"/>
        <v>0</v>
      </c>
      <c r="T427" s="243">
        <f t="shared" si="88"/>
        <v>0</v>
      </c>
      <c r="AA427" s="6">
        <v>357</v>
      </c>
      <c r="AB427" t="s">
        <v>80</v>
      </c>
      <c r="AC427" t="s">
        <v>1054</v>
      </c>
      <c r="AE427" t="s">
        <v>215</v>
      </c>
      <c r="AF427">
        <v>15</v>
      </c>
      <c r="AH427">
        <v>369</v>
      </c>
      <c r="AI427" t="s">
        <v>80</v>
      </c>
      <c r="AJ427" t="s">
        <v>1054</v>
      </c>
      <c r="AK427" t="s">
        <v>4</v>
      </c>
      <c r="AL427" t="s">
        <v>1024</v>
      </c>
      <c r="AM427" s="314">
        <v>0</v>
      </c>
      <c r="AN427" s="314">
        <v>1520732.9127766623</v>
      </c>
      <c r="AO427" s="314">
        <v>0</v>
      </c>
      <c r="AP427" s="314">
        <v>0</v>
      </c>
      <c r="AQ427" s="314">
        <v>0</v>
      </c>
      <c r="AR427" s="314">
        <v>303.36469194336206</v>
      </c>
      <c r="AS427" s="314">
        <v>0</v>
      </c>
      <c r="AT427" s="314">
        <v>0</v>
      </c>
      <c r="AU427" s="314">
        <v>0</v>
      </c>
      <c r="AV427" s="314">
        <v>-14464.182196774136</v>
      </c>
      <c r="AW427" s="314">
        <v>0</v>
      </c>
      <c r="AX427">
        <v>0</v>
      </c>
    </row>
    <row r="428" spans="1:50" x14ac:dyDescent="0.35">
      <c r="A428">
        <v>370</v>
      </c>
      <c r="B428" t="s">
        <v>80</v>
      </c>
      <c r="C428" t="s">
        <v>1054</v>
      </c>
      <c r="D428" t="s">
        <v>4</v>
      </c>
      <c r="E428" t="s">
        <v>1025</v>
      </c>
      <c r="F428">
        <v>0</v>
      </c>
      <c r="G428">
        <v>0</v>
      </c>
      <c r="H428">
        <v>13541</v>
      </c>
      <c r="I428">
        <v>0</v>
      </c>
      <c r="J428" s="600">
        <v>13541</v>
      </c>
      <c r="K428" s="7">
        <f t="shared" si="82"/>
        <v>15</v>
      </c>
      <c r="L428" s="7">
        <f t="shared" si="83"/>
        <v>0</v>
      </c>
      <c r="M428" s="243">
        <f t="shared" si="84"/>
        <v>0</v>
      </c>
      <c r="N428" s="243">
        <f>INDEX($AN$4:$AN21324,MATCH($A428,$AH$4:$AH$2000,0))</f>
        <v>0</v>
      </c>
      <c r="O428" s="243">
        <f t="shared" si="91"/>
        <v>676389.01908604789</v>
      </c>
      <c r="P428" s="243">
        <f t="shared" si="85"/>
        <v>0</v>
      </c>
      <c r="Q428" s="243">
        <f t="shared" si="86"/>
        <v>0</v>
      </c>
      <c r="R428" s="243">
        <f t="shared" si="87"/>
        <v>0</v>
      </c>
      <c r="S428" s="243">
        <f t="shared" si="92"/>
        <v>-13666.840494488772</v>
      </c>
      <c r="T428" s="243">
        <f t="shared" si="88"/>
        <v>0</v>
      </c>
      <c r="AA428" s="6">
        <v>359</v>
      </c>
      <c r="AB428" t="s">
        <v>80</v>
      </c>
      <c r="AC428" t="s">
        <v>1054</v>
      </c>
      <c r="AE428" t="s">
        <v>216</v>
      </c>
      <c r="AF428">
        <v>15</v>
      </c>
      <c r="AH428">
        <v>370</v>
      </c>
      <c r="AI428" t="s">
        <v>80</v>
      </c>
      <c r="AJ428" t="s">
        <v>1054</v>
      </c>
      <c r="AK428" t="s">
        <v>4</v>
      </c>
      <c r="AL428" t="s">
        <v>1025</v>
      </c>
      <c r="AM428" s="314">
        <v>0</v>
      </c>
      <c r="AN428" s="314">
        <v>0</v>
      </c>
      <c r="AO428" s="314">
        <v>676389.01908604789</v>
      </c>
      <c r="AP428" s="314">
        <v>0</v>
      </c>
      <c r="AQ428" s="314">
        <v>0</v>
      </c>
      <c r="AR428" s="314">
        <v>0</v>
      </c>
      <c r="AS428" s="314">
        <v>286.64163656444532</v>
      </c>
      <c r="AT428" s="314">
        <v>0</v>
      </c>
      <c r="AU428" s="314">
        <v>0</v>
      </c>
      <c r="AV428" s="314">
        <v>0</v>
      </c>
      <c r="AW428" s="314">
        <v>-13666.840494488772</v>
      </c>
      <c r="AX428">
        <v>0</v>
      </c>
    </row>
    <row r="429" spans="1:50" x14ac:dyDescent="0.35">
      <c r="A429">
        <v>371</v>
      </c>
      <c r="B429" t="s">
        <v>80</v>
      </c>
      <c r="C429" t="s">
        <v>1054</v>
      </c>
      <c r="D429" t="s">
        <v>4</v>
      </c>
      <c r="E429" t="s">
        <v>1053</v>
      </c>
      <c r="F429">
        <v>0</v>
      </c>
      <c r="G429">
        <v>0</v>
      </c>
      <c r="H429">
        <v>0</v>
      </c>
      <c r="I429">
        <v>13511</v>
      </c>
      <c r="J429" s="600">
        <v>13511</v>
      </c>
      <c r="K429" s="7">
        <f t="shared" si="82"/>
        <v>15</v>
      </c>
      <c r="L429" s="7">
        <f t="shared" si="83"/>
        <v>0</v>
      </c>
      <c r="M429" s="243">
        <f t="shared" si="84"/>
        <v>0</v>
      </c>
      <c r="N429" s="243">
        <f>INDEX($AN$4:$AN21325,MATCH($A429,$AH$4:$AH$2000,0))</f>
        <v>0</v>
      </c>
      <c r="O429" s="243">
        <f t="shared" si="91"/>
        <v>0</v>
      </c>
      <c r="P429" s="243">
        <f t="shared" si="85"/>
        <v>632709.82826727105</v>
      </c>
      <c r="Q429" s="243">
        <f t="shared" si="86"/>
        <v>0</v>
      </c>
      <c r="R429" s="243">
        <f t="shared" si="87"/>
        <v>0</v>
      </c>
      <c r="S429" s="243">
        <f t="shared" si="92"/>
        <v>0</v>
      </c>
      <c r="T429" s="243">
        <f t="shared" si="88"/>
        <v>-12784.27658968857</v>
      </c>
      <c r="AA429" s="6">
        <v>267</v>
      </c>
      <c r="AB429" t="s">
        <v>80</v>
      </c>
      <c r="AC429" t="s">
        <v>1054</v>
      </c>
      <c r="AE429" t="s">
        <v>217</v>
      </c>
      <c r="AF429" s="1">
        <v>23</v>
      </c>
      <c r="AH429">
        <v>371</v>
      </c>
      <c r="AI429" t="s">
        <v>80</v>
      </c>
      <c r="AJ429" t="s">
        <v>1054</v>
      </c>
      <c r="AK429" t="s">
        <v>4</v>
      </c>
      <c r="AL429" t="s">
        <v>1053</v>
      </c>
      <c r="AM429" s="314">
        <v>0</v>
      </c>
      <c r="AN429" s="314">
        <v>0</v>
      </c>
      <c r="AO429" s="314">
        <v>0</v>
      </c>
      <c r="AP429" s="314">
        <v>632709.82826727105</v>
      </c>
      <c r="AQ429" s="314">
        <v>0</v>
      </c>
      <c r="AR429" s="314">
        <v>0</v>
      </c>
      <c r="AS429" s="314">
        <v>0</v>
      </c>
      <c r="AT429" s="314">
        <v>268.13117233925351</v>
      </c>
      <c r="AU429" s="314">
        <v>0</v>
      </c>
      <c r="AV429" s="314">
        <v>0</v>
      </c>
      <c r="AW429" s="314">
        <v>0</v>
      </c>
      <c r="AX429">
        <v>-12784.27658968857</v>
      </c>
    </row>
    <row r="430" spans="1:50" x14ac:dyDescent="0.35">
      <c r="A430">
        <v>367</v>
      </c>
      <c r="B430" t="s">
        <v>80</v>
      </c>
      <c r="C430" t="s">
        <v>1054</v>
      </c>
      <c r="D430" t="s">
        <v>4</v>
      </c>
      <c r="E430" t="s">
        <v>1056</v>
      </c>
      <c r="F430">
        <v>0</v>
      </c>
      <c r="G430">
        <v>900</v>
      </c>
      <c r="H430">
        <v>903</v>
      </c>
      <c r="I430">
        <v>901</v>
      </c>
      <c r="J430" s="600">
        <v>2704</v>
      </c>
      <c r="K430" s="7">
        <f t="shared" si="82"/>
        <v>15</v>
      </c>
      <c r="L430" s="7">
        <f t="shared" si="83"/>
        <v>0</v>
      </c>
      <c r="M430" s="243">
        <f t="shared" si="84"/>
        <v>0</v>
      </c>
      <c r="N430" s="243">
        <f>INDEX($AN$4:$AN21326,MATCH($A430,$AH$4:$AH$2000,0))</f>
        <v>1444478.9187336555</v>
      </c>
      <c r="O430" s="243">
        <f t="shared" si="91"/>
        <v>1449293.8484627677</v>
      </c>
      <c r="P430" s="243">
        <f t="shared" si="85"/>
        <v>1446083.8953100261</v>
      </c>
      <c r="Q430" s="243">
        <f t="shared" si="86"/>
        <v>0</v>
      </c>
      <c r="R430" s="243">
        <f t="shared" si="87"/>
        <v>0</v>
      </c>
      <c r="S430" s="243">
        <f t="shared" si="92"/>
        <v>0</v>
      </c>
      <c r="T430" s="243">
        <f t="shared" si="88"/>
        <v>0</v>
      </c>
      <c r="AA430" s="6">
        <v>361</v>
      </c>
      <c r="AB430" t="s">
        <v>80</v>
      </c>
      <c r="AC430" t="s">
        <v>1054</v>
      </c>
      <c r="AE430" t="s">
        <v>218</v>
      </c>
      <c r="AF430">
        <v>15</v>
      </c>
      <c r="AH430">
        <v>367</v>
      </c>
      <c r="AI430" t="s">
        <v>80</v>
      </c>
      <c r="AJ430" t="s">
        <v>1054</v>
      </c>
      <c r="AK430" t="s">
        <v>4</v>
      </c>
      <c r="AL430" t="s">
        <v>1056</v>
      </c>
      <c r="AM430" s="314">
        <v>0</v>
      </c>
      <c r="AN430" s="314">
        <v>1444478.9187336555</v>
      </c>
      <c r="AO430" s="314">
        <v>1449293.8484627677</v>
      </c>
      <c r="AP430" s="314">
        <v>1446083.8953100261</v>
      </c>
      <c r="AQ430" s="314">
        <v>0</v>
      </c>
      <c r="AR430" s="314">
        <v>0</v>
      </c>
      <c r="AS430" s="314">
        <v>0</v>
      </c>
      <c r="AT430" s="314">
        <v>0</v>
      </c>
      <c r="AU430" s="314">
        <v>0</v>
      </c>
      <c r="AV430" s="314">
        <v>0</v>
      </c>
      <c r="AW430" s="314">
        <v>0</v>
      </c>
      <c r="AX430">
        <v>0</v>
      </c>
    </row>
    <row r="431" spans="1:50" x14ac:dyDescent="0.35">
      <c r="A431">
        <v>379</v>
      </c>
      <c r="B431" t="s">
        <v>80</v>
      </c>
      <c r="C431" t="s">
        <v>1054</v>
      </c>
      <c r="D431" t="s">
        <v>4</v>
      </c>
      <c r="E431" t="s">
        <v>1057</v>
      </c>
      <c r="F431">
        <v>0</v>
      </c>
      <c r="G431">
        <v>38</v>
      </c>
      <c r="H431">
        <v>39</v>
      </c>
      <c r="I431">
        <v>40</v>
      </c>
      <c r="J431" s="600">
        <v>117</v>
      </c>
      <c r="K431" s="7">
        <f t="shared" si="82"/>
        <v>11</v>
      </c>
      <c r="L431" s="7">
        <f t="shared" si="83"/>
        <v>0</v>
      </c>
      <c r="M431" s="243">
        <f t="shared" si="84"/>
        <v>0</v>
      </c>
      <c r="N431" s="243">
        <f>INDEX($AN$4:$AN21327,MATCH($A431,$AH$4:$AH$2000,0))</f>
        <v>9011.7438735951782</v>
      </c>
      <c r="O431" s="243">
        <f t="shared" si="91"/>
        <v>9248.8950281634716</v>
      </c>
      <c r="P431" s="243">
        <f t="shared" si="85"/>
        <v>9486.0461827317667</v>
      </c>
      <c r="Q431" s="243">
        <f t="shared" si="86"/>
        <v>0</v>
      </c>
      <c r="R431" s="243">
        <f t="shared" si="87"/>
        <v>-151.45452520652688</v>
      </c>
      <c r="S431" s="243">
        <f t="shared" si="92"/>
        <v>-155.44017060669864</v>
      </c>
      <c r="T431" s="243">
        <f t="shared" si="88"/>
        <v>-159.42581600687041</v>
      </c>
      <c r="AA431" s="6">
        <v>266</v>
      </c>
      <c r="AB431" t="s">
        <v>80</v>
      </c>
      <c r="AC431" t="s">
        <v>1054</v>
      </c>
      <c r="AE431" t="s">
        <v>219</v>
      </c>
      <c r="AF431" s="1">
        <v>23</v>
      </c>
      <c r="AH431">
        <v>379</v>
      </c>
      <c r="AI431" t="s">
        <v>80</v>
      </c>
      <c r="AJ431" t="s">
        <v>1054</v>
      </c>
      <c r="AK431" t="s">
        <v>4</v>
      </c>
      <c r="AL431" t="s">
        <v>1057</v>
      </c>
      <c r="AM431" s="314">
        <v>0</v>
      </c>
      <c r="AN431" s="314">
        <v>9011.7438735951782</v>
      </c>
      <c r="AO431" s="314">
        <v>9248.8950281634716</v>
      </c>
      <c r="AP431" s="314">
        <v>9486.0461827317667</v>
      </c>
      <c r="AQ431" s="314">
        <v>0</v>
      </c>
      <c r="AR431" s="314">
        <v>2.0408715093387828</v>
      </c>
      <c r="AS431" s="314">
        <v>2.0945786543213822</v>
      </c>
      <c r="AT431" s="314">
        <v>2.1482857993039821</v>
      </c>
      <c r="AU431" s="314">
        <v>0</v>
      </c>
      <c r="AV431" s="314">
        <v>-151.45452520652688</v>
      </c>
      <c r="AW431" s="314">
        <v>-155.44017060669864</v>
      </c>
      <c r="AX431">
        <v>-159.42581600687041</v>
      </c>
    </row>
    <row r="432" spans="1:50" x14ac:dyDescent="0.35">
      <c r="A432">
        <v>368</v>
      </c>
      <c r="B432" t="s">
        <v>80</v>
      </c>
      <c r="C432" t="s">
        <v>1054</v>
      </c>
      <c r="D432" t="s">
        <v>4</v>
      </c>
      <c r="E432" t="s">
        <v>1058</v>
      </c>
      <c r="F432">
        <v>0</v>
      </c>
      <c r="G432">
        <v>13000</v>
      </c>
      <c r="H432">
        <v>14000</v>
      </c>
      <c r="I432">
        <v>14000</v>
      </c>
      <c r="J432" s="600">
        <v>41000</v>
      </c>
      <c r="K432" s="7">
        <f t="shared" si="82"/>
        <v>15</v>
      </c>
      <c r="L432" s="7">
        <f t="shared" si="83"/>
        <v>0</v>
      </c>
      <c r="M432" s="243">
        <f t="shared" si="84"/>
        <v>0</v>
      </c>
      <c r="N432" s="243">
        <f>INDEX($AN$4:$AN21328,MATCH($A432,$AH$4:$AH$2000,0))</f>
        <v>6114793.6118165832</v>
      </c>
      <c r="O432" s="243">
        <f t="shared" si="91"/>
        <v>6585162.3511870895</v>
      </c>
      <c r="P432" s="243">
        <f t="shared" si="85"/>
        <v>6585162.3511870895</v>
      </c>
      <c r="Q432" s="243">
        <f t="shared" si="86"/>
        <v>0</v>
      </c>
      <c r="R432" s="243">
        <f t="shared" si="87"/>
        <v>-132460.14753052284</v>
      </c>
      <c r="S432" s="243">
        <f t="shared" si="92"/>
        <v>-142649.38964825537</v>
      </c>
      <c r="T432" s="243">
        <f t="shared" si="88"/>
        <v>-142649.38964825537</v>
      </c>
      <c r="AA432" s="6">
        <v>364</v>
      </c>
      <c r="AB432" t="s">
        <v>80</v>
      </c>
      <c r="AC432" t="s">
        <v>1054</v>
      </c>
      <c r="AE432" t="s">
        <v>102</v>
      </c>
      <c r="AF432">
        <v>15</v>
      </c>
      <c r="AH432">
        <v>368</v>
      </c>
      <c r="AI432" t="s">
        <v>80</v>
      </c>
      <c r="AJ432" t="s">
        <v>1054</v>
      </c>
      <c r="AK432" t="s">
        <v>4</v>
      </c>
      <c r="AL432" t="s">
        <v>1058</v>
      </c>
      <c r="AM432" s="314">
        <v>0</v>
      </c>
      <c r="AN432" s="314">
        <v>6114793.6118165832</v>
      </c>
      <c r="AO432" s="314">
        <v>6585162.3511870895</v>
      </c>
      <c r="AP432" s="314">
        <v>6585162.3511870895</v>
      </c>
      <c r="AQ432" s="314">
        <v>0</v>
      </c>
      <c r="AR432" s="314">
        <v>1160.7995397257228</v>
      </c>
      <c r="AS432" s="314">
        <v>1250.091812012317</v>
      </c>
      <c r="AT432" s="314">
        <v>1250.091812012317</v>
      </c>
      <c r="AU432" s="314">
        <v>0</v>
      </c>
      <c r="AV432" s="314">
        <v>-132460.14753052284</v>
      </c>
      <c r="AW432" s="314">
        <v>-142649.38964825537</v>
      </c>
      <c r="AX432">
        <v>-142649.38964825537</v>
      </c>
    </row>
    <row r="433" spans="1:50" x14ac:dyDescent="0.35">
      <c r="A433">
        <v>383</v>
      </c>
      <c r="B433" t="s">
        <v>80</v>
      </c>
      <c r="C433" t="s">
        <v>1059</v>
      </c>
      <c r="D433">
        <v>0</v>
      </c>
      <c r="E433" t="s">
        <v>1060</v>
      </c>
      <c r="F433">
        <v>400</v>
      </c>
      <c r="G433">
        <v>0</v>
      </c>
      <c r="H433">
        <v>0</v>
      </c>
      <c r="I433">
        <v>0</v>
      </c>
      <c r="J433" s="600">
        <v>400</v>
      </c>
      <c r="K433" s="7">
        <f t="shared" si="82"/>
        <v>15</v>
      </c>
      <c r="L433" s="7">
        <f t="shared" si="83"/>
        <v>0</v>
      </c>
      <c r="M433" s="243">
        <f t="shared" si="84"/>
        <v>223494.4296</v>
      </c>
      <c r="N433" s="243">
        <f>INDEX($AN$4:$AN21329,MATCH($A433,$AH$4:$AH$2000,0))</f>
        <v>0</v>
      </c>
      <c r="O433" s="243">
        <f t="shared" si="91"/>
        <v>0</v>
      </c>
      <c r="P433" s="243">
        <f t="shared" si="85"/>
        <v>0</v>
      </c>
      <c r="Q433" s="243">
        <f t="shared" si="86"/>
        <v>0</v>
      </c>
      <c r="R433" s="243">
        <f t="shared" si="87"/>
        <v>0</v>
      </c>
      <c r="S433" s="243">
        <f t="shared" si="92"/>
        <v>0</v>
      </c>
      <c r="T433" s="243">
        <f t="shared" si="88"/>
        <v>0</v>
      </c>
      <c r="AA433" s="6">
        <v>299</v>
      </c>
      <c r="AB433" t="s">
        <v>80</v>
      </c>
      <c r="AC433" t="s">
        <v>1054</v>
      </c>
      <c r="AE433" t="s">
        <v>103</v>
      </c>
      <c r="AF433">
        <v>5</v>
      </c>
      <c r="AH433">
        <v>383</v>
      </c>
      <c r="AI433" t="s">
        <v>80</v>
      </c>
      <c r="AJ433" t="s">
        <v>1059</v>
      </c>
      <c r="AK433">
        <v>0</v>
      </c>
      <c r="AL433" t="s">
        <v>1060</v>
      </c>
      <c r="AM433" s="314">
        <v>223494.4296</v>
      </c>
      <c r="AN433" s="314">
        <v>0</v>
      </c>
      <c r="AO433" s="314">
        <v>0</v>
      </c>
      <c r="AP433" s="314">
        <v>0</v>
      </c>
      <c r="AQ433" s="314">
        <v>0</v>
      </c>
      <c r="AR433" s="314">
        <v>0</v>
      </c>
      <c r="AS433" s="314">
        <v>0</v>
      </c>
      <c r="AT433" s="314">
        <v>0</v>
      </c>
      <c r="AU433" s="314">
        <v>0</v>
      </c>
      <c r="AV433" s="314">
        <v>0</v>
      </c>
      <c r="AW433" s="314">
        <v>0</v>
      </c>
      <c r="AX433">
        <v>0</v>
      </c>
    </row>
    <row r="434" spans="1:50" x14ac:dyDescent="0.35">
      <c r="A434">
        <v>384</v>
      </c>
      <c r="B434" t="s">
        <v>80</v>
      </c>
      <c r="C434" t="s">
        <v>1059</v>
      </c>
      <c r="D434">
        <v>0</v>
      </c>
      <c r="E434" t="s">
        <v>1061</v>
      </c>
      <c r="F434">
        <v>0</v>
      </c>
      <c r="G434">
        <v>400</v>
      </c>
      <c r="H434">
        <v>0</v>
      </c>
      <c r="I434">
        <v>0</v>
      </c>
      <c r="J434" s="600">
        <v>400</v>
      </c>
      <c r="K434" s="7">
        <f t="shared" si="82"/>
        <v>15</v>
      </c>
      <c r="L434" s="7">
        <f t="shared" si="83"/>
        <v>0</v>
      </c>
      <c r="M434" s="243">
        <f t="shared" si="84"/>
        <v>0</v>
      </c>
      <c r="N434" s="243">
        <f>INDEX($AN$4:$AN21330,MATCH($A434,$AH$4:$AH$2000,0))</f>
        <v>223494.4296</v>
      </c>
      <c r="O434" s="243">
        <f t="shared" si="91"/>
        <v>0</v>
      </c>
      <c r="P434" s="243">
        <f t="shared" si="85"/>
        <v>0</v>
      </c>
      <c r="Q434" s="243">
        <f t="shared" si="86"/>
        <v>0</v>
      </c>
      <c r="R434" s="243">
        <f t="shared" si="87"/>
        <v>0</v>
      </c>
      <c r="S434" s="243">
        <f t="shared" si="92"/>
        <v>0</v>
      </c>
      <c r="T434" s="243">
        <f t="shared" si="88"/>
        <v>0</v>
      </c>
      <c r="AA434" s="6">
        <v>302</v>
      </c>
      <c r="AB434" t="s">
        <v>80</v>
      </c>
      <c r="AC434" t="s">
        <v>1054</v>
      </c>
      <c r="AE434" t="s">
        <v>104</v>
      </c>
      <c r="AF434">
        <v>5</v>
      </c>
      <c r="AH434">
        <v>384</v>
      </c>
      <c r="AI434" t="s">
        <v>80</v>
      </c>
      <c r="AJ434" t="s">
        <v>1059</v>
      </c>
      <c r="AK434">
        <v>0</v>
      </c>
      <c r="AL434" t="s">
        <v>1061</v>
      </c>
      <c r="AM434" s="314">
        <v>0</v>
      </c>
      <c r="AN434" s="314">
        <v>223494.4296</v>
      </c>
      <c r="AO434" s="314">
        <v>0</v>
      </c>
      <c r="AP434" s="314">
        <v>0</v>
      </c>
      <c r="AQ434" s="314">
        <v>0</v>
      </c>
      <c r="AR434" s="314">
        <v>0</v>
      </c>
      <c r="AS434" s="314">
        <v>0</v>
      </c>
      <c r="AT434" s="314">
        <v>0</v>
      </c>
      <c r="AU434" s="314">
        <v>0</v>
      </c>
      <c r="AV434" s="314">
        <v>0</v>
      </c>
      <c r="AW434" s="314">
        <v>0</v>
      </c>
      <c r="AX434">
        <v>0</v>
      </c>
    </row>
    <row r="435" spans="1:50" x14ac:dyDescent="0.35">
      <c r="A435">
        <v>385</v>
      </c>
      <c r="B435" t="s">
        <v>80</v>
      </c>
      <c r="C435" t="s">
        <v>1059</v>
      </c>
      <c r="D435">
        <v>0</v>
      </c>
      <c r="E435" t="s">
        <v>1062</v>
      </c>
      <c r="F435">
        <v>0</v>
      </c>
      <c r="G435">
        <v>0</v>
      </c>
      <c r="H435">
        <v>400</v>
      </c>
      <c r="I435">
        <v>0</v>
      </c>
      <c r="J435" s="600">
        <v>400</v>
      </c>
      <c r="K435" s="7">
        <f t="shared" si="82"/>
        <v>15</v>
      </c>
      <c r="L435" s="7">
        <f t="shared" si="83"/>
        <v>0</v>
      </c>
      <c r="M435" s="243">
        <f t="shared" si="84"/>
        <v>0</v>
      </c>
      <c r="N435" s="243">
        <f>INDEX($AN$4:$AN21331,MATCH($A435,$AH$4:$AH$2000,0))</f>
        <v>0</v>
      </c>
      <c r="O435" s="243">
        <f t="shared" si="91"/>
        <v>223494.4296</v>
      </c>
      <c r="P435" s="243">
        <f t="shared" si="85"/>
        <v>0</v>
      </c>
      <c r="Q435" s="243">
        <f t="shared" si="86"/>
        <v>0</v>
      </c>
      <c r="R435" s="243">
        <f t="shared" si="87"/>
        <v>0</v>
      </c>
      <c r="S435" s="243">
        <f t="shared" si="92"/>
        <v>0</v>
      </c>
      <c r="T435" s="243">
        <f t="shared" si="88"/>
        <v>0</v>
      </c>
      <c r="AA435" s="6">
        <v>268</v>
      </c>
      <c r="AB435" t="s">
        <v>80</v>
      </c>
      <c r="AC435" t="s">
        <v>1054</v>
      </c>
      <c r="AE435" t="s">
        <v>222</v>
      </c>
      <c r="AF435">
        <v>5</v>
      </c>
      <c r="AH435">
        <v>385</v>
      </c>
      <c r="AI435" t="s">
        <v>80</v>
      </c>
      <c r="AJ435" t="s">
        <v>1059</v>
      </c>
      <c r="AK435">
        <v>0</v>
      </c>
      <c r="AL435" t="s">
        <v>1062</v>
      </c>
      <c r="AM435" s="314">
        <v>0</v>
      </c>
      <c r="AN435" s="314">
        <v>0</v>
      </c>
      <c r="AO435" s="314">
        <v>223494.4296</v>
      </c>
      <c r="AP435" s="314">
        <v>0</v>
      </c>
      <c r="AQ435" s="314">
        <v>0</v>
      </c>
      <c r="AR435" s="314">
        <v>0</v>
      </c>
      <c r="AS435" s="314">
        <v>0</v>
      </c>
      <c r="AT435" s="314">
        <v>0</v>
      </c>
      <c r="AU435" s="314">
        <v>0</v>
      </c>
      <c r="AV435" s="314">
        <v>0</v>
      </c>
      <c r="AW435" s="314">
        <v>0</v>
      </c>
      <c r="AX435">
        <v>0</v>
      </c>
    </row>
    <row r="436" spans="1:50" x14ac:dyDescent="0.35">
      <c r="A436">
        <v>386</v>
      </c>
      <c r="B436" t="s">
        <v>80</v>
      </c>
      <c r="C436" t="s">
        <v>1059</v>
      </c>
      <c r="D436">
        <v>0</v>
      </c>
      <c r="E436" t="s">
        <v>1063</v>
      </c>
      <c r="F436">
        <v>0</v>
      </c>
      <c r="G436">
        <v>0</v>
      </c>
      <c r="H436">
        <v>0</v>
      </c>
      <c r="I436">
        <v>400</v>
      </c>
      <c r="J436" s="600">
        <v>400</v>
      </c>
      <c r="K436" s="7">
        <f t="shared" si="82"/>
        <v>15</v>
      </c>
      <c r="L436" s="7">
        <f t="shared" si="83"/>
        <v>0</v>
      </c>
      <c r="M436" s="243">
        <f t="shared" si="84"/>
        <v>0</v>
      </c>
      <c r="N436" s="243">
        <f>INDEX($AN$4:$AN21332,MATCH($A436,$AH$4:$AH$2000,0))</f>
        <v>0</v>
      </c>
      <c r="O436" s="243">
        <f t="shared" si="91"/>
        <v>0</v>
      </c>
      <c r="P436" s="243">
        <f t="shared" si="85"/>
        <v>223494.4296</v>
      </c>
      <c r="Q436" s="243">
        <f t="shared" si="86"/>
        <v>0</v>
      </c>
      <c r="R436" s="243">
        <f t="shared" si="87"/>
        <v>0</v>
      </c>
      <c r="S436" s="243">
        <f t="shared" si="92"/>
        <v>0</v>
      </c>
      <c r="T436" s="243">
        <f t="shared" si="88"/>
        <v>0</v>
      </c>
      <c r="AA436" s="6">
        <v>344</v>
      </c>
      <c r="AB436" t="s">
        <v>80</v>
      </c>
      <c r="AC436" t="s">
        <v>1054</v>
      </c>
      <c r="AE436" t="s">
        <v>223</v>
      </c>
      <c r="AF436">
        <v>5</v>
      </c>
      <c r="AH436">
        <v>386</v>
      </c>
      <c r="AI436" t="s">
        <v>80</v>
      </c>
      <c r="AJ436" t="s">
        <v>1059</v>
      </c>
      <c r="AK436">
        <v>0</v>
      </c>
      <c r="AL436" t="s">
        <v>1063</v>
      </c>
      <c r="AM436" s="314">
        <v>0</v>
      </c>
      <c r="AN436" s="314">
        <v>0</v>
      </c>
      <c r="AO436" s="314">
        <v>0</v>
      </c>
      <c r="AP436" s="314">
        <v>223494.4296</v>
      </c>
      <c r="AQ436" s="314">
        <v>0</v>
      </c>
      <c r="AR436" s="314">
        <v>0</v>
      </c>
      <c r="AS436" s="314">
        <v>0</v>
      </c>
      <c r="AT436" s="314">
        <v>0</v>
      </c>
      <c r="AU436" s="314">
        <v>0</v>
      </c>
      <c r="AV436" s="314">
        <v>0</v>
      </c>
      <c r="AW436" s="314">
        <v>0</v>
      </c>
      <c r="AX436">
        <v>0</v>
      </c>
    </row>
    <row r="437" spans="1:50" x14ac:dyDescent="0.35">
      <c r="A437">
        <v>503</v>
      </c>
      <c r="B437" t="s">
        <v>0</v>
      </c>
      <c r="C437" t="s">
        <v>20</v>
      </c>
      <c r="D437" t="s">
        <v>100</v>
      </c>
      <c r="E437" t="s">
        <v>1747</v>
      </c>
      <c r="F437">
        <v>200</v>
      </c>
      <c r="G437">
        <v>300</v>
      </c>
      <c r="H437">
        <v>400</v>
      </c>
      <c r="I437">
        <v>400</v>
      </c>
      <c r="J437" s="600">
        <v>1300</v>
      </c>
      <c r="K437" s="7">
        <f t="shared" si="82"/>
        <v>18</v>
      </c>
      <c r="L437" s="7">
        <f t="shared" si="83"/>
        <v>0</v>
      </c>
      <c r="M437" s="243">
        <f t="shared" si="84"/>
        <v>110479.50557491301</v>
      </c>
      <c r="N437" s="243">
        <f>INDEX($AN$4:$AN21333,MATCH($A437,$AH$4:$AH$2000,0))</f>
        <v>165719.25836236952</v>
      </c>
      <c r="O437" s="243">
        <f t="shared" si="91"/>
        <v>220959.01114982602</v>
      </c>
      <c r="P437" s="243">
        <f t="shared" si="85"/>
        <v>220959.01114982602</v>
      </c>
      <c r="Q437" s="243">
        <f t="shared" si="86"/>
        <v>0</v>
      </c>
      <c r="R437" s="243">
        <f t="shared" si="87"/>
        <v>0</v>
      </c>
      <c r="S437" s="243">
        <f t="shared" si="92"/>
        <v>0</v>
      </c>
      <c r="T437" s="243">
        <f t="shared" si="88"/>
        <v>0</v>
      </c>
      <c r="AA437" s="6">
        <v>286</v>
      </c>
      <c r="AB437" t="s">
        <v>80</v>
      </c>
      <c r="AC437" t="s">
        <v>1054</v>
      </c>
      <c r="AE437" t="s">
        <v>113</v>
      </c>
      <c r="AF437" s="1">
        <v>15</v>
      </c>
      <c r="AH437">
        <v>503</v>
      </c>
      <c r="AI437" t="s">
        <v>0</v>
      </c>
      <c r="AJ437" t="s">
        <v>20</v>
      </c>
      <c r="AK437" t="s">
        <v>100</v>
      </c>
      <c r="AL437" t="s">
        <v>1747</v>
      </c>
      <c r="AM437" s="314">
        <v>110479.50557491301</v>
      </c>
      <c r="AN437" s="314">
        <v>165719.25836236952</v>
      </c>
      <c r="AO437" s="314">
        <v>220959.01114982602</v>
      </c>
      <c r="AP437" s="314">
        <v>220959.01114982602</v>
      </c>
      <c r="AQ437" s="314">
        <v>15.683892244897901</v>
      </c>
      <c r="AR437" s="314">
        <v>23.52583836734685</v>
      </c>
      <c r="AS437" s="314">
        <v>31.367784489795802</v>
      </c>
      <c r="AT437" s="314">
        <v>31.367784489795802</v>
      </c>
      <c r="AU437" s="314">
        <v>0</v>
      </c>
      <c r="AV437" s="314">
        <v>0</v>
      </c>
      <c r="AW437" s="314">
        <v>0</v>
      </c>
      <c r="AX437">
        <v>0</v>
      </c>
    </row>
    <row r="438" spans="1:50" x14ac:dyDescent="0.35">
      <c r="A438">
        <v>504</v>
      </c>
      <c r="B438" t="s">
        <v>0</v>
      </c>
      <c r="C438" t="s">
        <v>20</v>
      </c>
      <c r="D438" t="s">
        <v>100</v>
      </c>
      <c r="E438" t="s">
        <v>1748</v>
      </c>
      <c r="F438">
        <v>70</v>
      </c>
      <c r="G438">
        <v>105</v>
      </c>
      <c r="H438">
        <v>260</v>
      </c>
      <c r="I438">
        <v>260</v>
      </c>
      <c r="J438" s="600">
        <v>695</v>
      </c>
      <c r="K438" s="7">
        <f t="shared" si="82"/>
        <v>18</v>
      </c>
      <c r="L438" s="7">
        <f t="shared" si="83"/>
        <v>6</v>
      </c>
      <c r="M438" s="243">
        <f t="shared" si="84"/>
        <v>310587.1067027864</v>
      </c>
      <c r="N438" s="243">
        <f>INDEX($AN$4:$AN21334,MATCH($A438,$AH$4:$AH$2000,0))</f>
        <v>465880.66005417961</v>
      </c>
      <c r="O438" s="243">
        <f t="shared" si="91"/>
        <v>1153609.2534674923</v>
      </c>
      <c r="P438" s="243">
        <f t="shared" si="85"/>
        <v>1153609.2534674923</v>
      </c>
      <c r="Q438" s="243">
        <f t="shared" si="86"/>
        <v>0</v>
      </c>
      <c r="R438" s="243">
        <f t="shared" si="87"/>
        <v>0</v>
      </c>
      <c r="S438" s="243">
        <f t="shared" si="92"/>
        <v>0</v>
      </c>
      <c r="T438" s="243">
        <f t="shared" si="88"/>
        <v>0</v>
      </c>
      <c r="AA438" s="6">
        <v>348</v>
      </c>
      <c r="AB438" t="s">
        <v>80</v>
      </c>
      <c r="AC438" t="s">
        <v>1054</v>
      </c>
      <c r="AE438" t="s">
        <v>114</v>
      </c>
      <c r="AF438">
        <v>12</v>
      </c>
      <c r="AH438">
        <v>504</v>
      </c>
      <c r="AI438" t="s">
        <v>0</v>
      </c>
      <c r="AJ438" t="s">
        <v>20</v>
      </c>
      <c r="AK438" t="s">
        <v>100</v>
      </c>
      <c r="AL438" t="s">
        <v>1748</v>
      </c>
      <c r="AM438" s="314">
        <v>310587.1067027864</v>
      </c>
      <c r="AN438" s="314">
        <v>465880.66005417961</v>
      </c>
      <c r="AO438" s="314">
        <v>1153609.2534674923</v>
      </c>
      <c r="AP438" s="314">
        <v>1153609.2534674923</v>
      </c>
      <c r="AQ438" s="314">
        <v>51.014314527752816</v>
      </c>
      <c r="AR438" s="314">
        <v>76.521471791629224</v>
      </c>
      <c r="AS438" s="314">
        <v>189.48173967451046</v>
      </c>
      <c r="AT438" s="314">
        <v>189.48173967451046</v>
      </c>
      <c r="AU438" s="314">
        <v>0</v>
      </c>
      <c r="AV438" s="314">
        <v>0</v>
      </c>
      <c r="AW438" s="314">
        <v>0</v>
      </c>
      <c r="AX438">
        <v>0</v>
      </c>
    </row>
    <row r="439" spans="1:50" x14ac:dyDescent="0.35">
      <c r="A439">
        <v>505</v>
      </c>
      <c r="B439" t="s">
        <v>0</v>
      </c>
      <c r="C439" t="s">
        <v>20</v>
      </c>
      <c r="D439" t="s">
        <v>100</v>
      </c>
      <c r="E439" t="s">
        <v>1749</v>
      </c>
      <c r="F439">
        <v>90</v>
      </c>
      <c r="G439">
        <v>135</v>
      </c>
      <c r="H439">
        <v>205</v>
      </c>
      <c r="I439">
        <v>205</v>
      </c>
      <c r="J439" s="600">
        <v>635</v>
      </c>
      <c r="K439" s="7">
        <f t="shared" si="82"/>
        <v>18</v>
      </c>
      <c r="L439" s="7">
        <f t="shared" si="83"/>
        <v>6</v>
      </c>
      <c r="M439" s="243">
        <f t="shared" si="84"/>
        <v>884522.05026972643</v>
      </c>
      <c r="N439" s="243">
        <f>INDEX($AN$4:$AN21335,MATCH($A439,$AH$4:$AH$2000,0))</f>
        <v>1326783.0754045895</v>
      </c>
      <c r="O439" s="243">
        <f t="shared" si="91"/>
        <v>2014744.6700588213</v>
      </c>
      <c r="P439" s="243">
        <f t="shared" si="85"/>
        <v>2014744.6700588213</v>
      </c>
      <c r="Q439" s="243">
        <f t="shared" si="86"/>
        <v>0</v>
      </c>
      <c r="R439" s="243">
        <f t="shared" si="87"/>
        <v>0</v>
      </c>
      <c r="S439" s="243">
        <f t="shared" si="92"/>
        <v>0</v>
      </c>
      <c r="T439" s="243">
        <f t="shared" si="88"/>
        <v>0</v>
      </c>
      <c r="AA439" s="6">
        <v>345</v>
      </c>
      <c r="AB439" t="s">
        <v>80</v>
      </c>
      <c r="AC439" t="s">
        <v>1054</v>
      </c>
      <c r="AE439" t="s">
        <v>115</v>
      </c>
      <c r="AF439">
        <v>12</v>
      </c>
      <c r="AH439">
        <v>505</v>
      </c>
      <c r="AI439" t="s">
        <v>0</v>
      </c>
      <c r="AJ439" t="s">
        <v>20</v>
      </c>
      <c r="AK439" t="s">
        <v>100</v>
      </c>
      <c r="AL439" t="s">
        <v>1749</v>
      </c>
      <c r="AM439" s="314">
        <v>884522.05026972643</v>
      </c>
      <c r="AN439" s="314">
        <v>1326783.0754045895</v>
      </c>
      <c r="AO439" s="314">
        <v>2014744.6700588213</v>
      </c>
      <c r="AP439" s="314">
        <v>2014744.6700588213</v>
      </c>
      <c r="AQ439" s="314">
        <v>75.727737707388883</v>
      </c>
      <c r="AR439" s="314">
        <v>113.59160656108331</v>
      </c>
      <c r="AS439" s="314">
        <v>172.49095811127467</v>
      </c>
      <c r="AT439" s="314">
        <v>172.49095811127467</v>
      </c>
      <c r="AU439" s="314">
        <v>0</v>
      </c>
      <c r="AV439" s="314">
        <v>0</v>
      </c>
      <c r="AW439" s="314">
        <v>0</v>
      </c>
      <c r="AX439">
        <v>0</v>
      </c>
    </row>
    <row r="440" spans="1:50" x14ac:dyDescent="0.35">
      <c r="A440">
        <v>507</v>
      </c>
      <c r="B440" t="s">
        <v>0</v>
      </c>
      <c r="C440" t="s">
        <v>20</v>
      </c>
      <c r="D440" t="s">
        <v>100</v>
      </c>
      <c r="E440" t="s">
        <v>1750</v>
      </c>
      <c r="F440">
        <v>2000</v>
      </c>
      <c r="G440">
        <v>2000</v>
      </c>
      <c r="H440">
        <v>2300</v>
      </c>
      <c r="I440">
        <v>2300</v>
      </c>
      <c r="J440" s="600">
        <v>8600</v>
      </c>
      <c r="K440" s="7">
        <f t="shared" si="82"/>
        <v>20</v>
      </c>
      <c r="L440" s="7">
        <f t="shared" si="83"/>
        <v>0</v>
      </c>
      <c r="M440" s="243">
        <f t="shared" si="84"/>
        <v>1080620.0000000002</v>
      </c>
      <c r="N440" s="243">
        <f>INDEX($AN$4:$AN21336,MATCH($A440,$AH$4:$AH$2000,0))</f>
        <v>1080620.0000000002</v>
      </c>
      <c r="O440" s="243">
        <f t="shared" si="91"/>
        <v>1242713.0000000002</v>
      </c>
      <c r="P440" s="243">
        <f t="shared" si="85"/>
        <v>1242713.0000000002</v>
      </c>
      <c r="Q440" s="243">
        <f t="shared" si="86"/>
        <v>0</v>
      </c>
      <c r="R440" s="243">
        <f t="shared" si="87"/>
        <v>0</v>
      </c>
      <c r="S440" s="243">
        <f t="shared" si="92"/>
        <v>0</v>
      </c>
      <c r="T440" s="243">
        <f t="shared" si="88"/>
        <v>0</v>
      </c>
      <c r="AA440" s="6">
        <v>346</v>
      </c>
      <c r="AB440" t="s">
        <v>80</v>
      </c>
      <c r="AC440" t="s">
        <v>1054</v>
      </c>
      <c r="AE440" t="s">
        <v>116</v>
      </c>
      <c r="AF440">
        <v>12</v>
      </c>
      <c r="AH440">
        <v>507</v>
      </c>
      <c r="AI440" t="s">
        <v>0</v>
      </c>
      <c r="AJ440" t="s">
        <v>20</v>
      </c>
      <c r="AK440" t="s">
        <v>100</v>
      </c>
      <c r="AL440" t="s">
        <v>1750</v>
      </c>
      <c r="AM440" s="314">
        <v>1080620.0000000002</v>
      </c>
      <c r="AN440" s="314">
        <v>1080620.0000000002</v>
      </c>
      <c r="AO440" s="314">
        <v>1242713.0000000002</v>
      </c>
      <c r="AP440" s="314">
        <v>1242713.0000000002</v>
      </c>
      <c r="AQ440" s="314">
        <v>341.68900000000002</v>
      </c>
      <c r="AR440" s="314">
        <v>341.68900000000002</v>
      </c>
      <c r="AS440" s="314">
        <v>392.94235000000003</v>
      </c>
      <c r="AT440" s="314">
        <v>392.94235000000003</v>
      </c>
      <c r="AU440" s="314">
        <v>0</v>
      </c>
      <c r="AV440" s="314">
        <v>0</v>
      </c>
      <c r="AW440" s="314">
        <v>0</v>
      </c>
      <c r="AX440">
        <v>0</v>
      </c>
    </row>
    <row r="441" spans="1:50" x14ac:dyDescent="0.35">
      <c r="A441">
        <v>924</v>
      </c>
      <c r="B441" t="s">
        <v>0</v>
      </c>
      <c r="C441" t="s">
        <v>1864</v>
      </c>
      <c r="D441" t="s">
        <v>984</v>
      </c>
      <c r="E441" t="s">
        <v>967</v>
      </c>
      <c r="F441">
        <v>100</v>
      </c>
      <c r="G441">
        <v>100</v>
      </c>
      <c r="H441">
        <v>100</v>
      </c>
      <c r="I441">
        <v>100</v>
      </c>
      <c r="J441" s="600">
        <v>400</v>
      </c>
      <c r="K441" s="7">
        <f t="shared" si="82"/>
        <v>10</v>
      </c>
      <c r="L441" s="7">
        <f t="shared" si="83"/>
        <v>0</v>
      </c>
      <c r="M441" s="243">
        <f t="shared" si="84"/>
        <v>7716.9520000000002</v>
      </c>
      <c r="N441" s="243">
        <f>INDEX($AN$4:$AN21337,MATCH($A441,$AH$4:$AH$2000,0))</f>
        <v>7716.9520000000002</v>
      </c>
      <c r="O441" s="243">
        <f t="shared" si="91"/>
        <v>7716.9520000000002</v>
      </c>
      <c r="P441" s="243">
        <f t="shared" si="85"/>
        <v>7716.9520000000002</v>
      </c>
      <c r="Q441" s="243">
        <f t="shared" si="86"/>
        <v>0</v>
      </c>
      <c r="R441" s="243">
        <f t="shared" si="87"/>
        <v>0</v>
      </c>
      <c r="S441" s="243">
        <f t="shared" si="92"/>
        <v>0</v>
      </c>
      <c r="T441" s="243">
        <f t="shared" si="88"/>
        <v>0</v>
      </c>
      <c r="AA441" s="6">
        <v>347</v>
      </c>
      <c r="AB441" t="s">
        <v>80</v>
      </c>
      <c r="AC441" t="s">
        <v>1054</v>
      </c>
      <c r="AE441" t="s">
        <v>117</v>
      </c>
      <c r="AF441">
        <v>12</v>
      </c>
      <c r="AH441">
        <v>924</v>
      </c>
      <c r="AI441" t="s">
        <v>0</v>
      </c>
      <c r="AJ441" t="s">
        <v>1864</v>
      </c>
      <c r="AK441" t="s">
        <v>984</v>
      </c>
      <c r="AL441" t="s">
        <v>967</v>
      </c>
      <c r="AM441" s="314">
        <v>7716.9520000000002</v>
      </c>
      <c r="AN441" s="314">
        <v>7716.9520000000002</v>
      </c>
      <c r="AO441" s="314">
        <v>7716.9520000000002</v>
      </c>
      <c r="AP441" s="314">
        <v>7716.9520000000002</v>
      </c>
      <c r="AQ441" s="314">
        <v>1.7408780000000001</v>
      </c>
      <c r="AR441" s="314">
        <v>1.7408780000000001</v>
      </c>
      <c r="AS441" s="314">
        <v>1.7408780000000001</v>
      </c>
      <c r="AT441" s="314">
        <v>1.7408780000000001</v>
      </c>
      <c r="AU441" s="314">
        <v>0</v>
      </c>
      <c r="AV441" s="314">
        <v>0</v>
      </c>
      <c r="AW441" s="314">
        <v>0</v>
      </c>
      <c r="AX441">
        <v>0</v>
      </c>
    </row>
    <row r="442" spans="1:50" x14ac:dyDescent="0.35">
      <c r="A442">
        <v>927</v>
      </c>
      <c r="B442" t="s">
        <v>0</v>
      </c>
      <c r="C442" t="s">
        <v>1864</v>
      </c>
      <c r="D442" t="s">
        <v>984</v>
      </c>
      <c r="E442" t="s">
        <v>968</v>
      </c>
      <c r="F442">
        <v>5000</v>
      </c>
      <c r="G442">
        <v>5000</v>
      </c>
      <c r="H442">
        <v>5000</v>
      </c>
      <c r="I442">
        <v>5000</v>
      </c>
      <c r="J442" s="600">
        <v>20000</v>
      </c>
      <c r="K442" s="7">
        <f t="shared" si="82"/>
        <v>12</v>
      </c>
      <c r="L442" s="7">
        <f t="shared" si="83"/>
        <v>0</v>
      </c>
      <c r="M442" s="243">
        <f t="shared" si="84"/>
        <v>629358.45945945964</v>
      </c>
      <c r="N442" s="243">
        <f>INDEX($AN$4:$AN21338,MATCH($A442,$AH$4:$AH$2000,0))</f>
        <v>629358.45945945964</v>
      </c>
      <c r="O442" s="243">
        <f t="shared" si="91"/>
        <v>629358.45945945964</v>
      </c>
      <c r="P442" s="243">
        <f t="shared" si="85"/>
        <v>629358.45945945964</v>
      </c>
      <c r="Q442" s="243">
        <f t="shared" si="86"/>
        <v>0</v>
      </c>
      <c r="R442" s="243">
        <f t="shared" si="87"/>
        <v>0</v>
      </c>
      <c r="S442" s="243">
        <f t="shared" si="92"/>
        <v>0</v>
      </c>
      <c r="T442" s="243">
        <f t="shared" si="88"/>
        <v>0</v>
      </c>
      <c r="AA442" s="6">
        <v>363</v>
      </c>
      <c r="AB442" t="s">
        <v>80</v>
      </c>
      <c r="AC442" t="s">
        <v>1054</v>
      </c>
      <c r="AE442" t="s">
        <v>128</v>
      </c>
      <c r="AF442">
        <v>15</v>
      </c>
      <c r="AH442">
        <v>927</v>
      </c>
      <c r="AI442" t="s">
        <v>0</v>
      </c>
      <c r="AJ442" t="s">
        <v>1864</v>
      </c>
      <c r="AK442" t="s">
        <v>984</v>
      </c>
      <c r="AL442" t="s">
        <v>968</v>
      </c>
      <c r="AM442" s="314">
        <v>629358.45945945964</v>
      </c>
      <c r="AN442" s="314">
        <v>629358.45945945964</v>
      </c>
      <c r="AO442" s="314">
        <v>629358.45945945964</v>
      </c>
      <c r="AP442" s="314">
        <v>629358.45945945964</v>
      </c>
      <c r="AQ442" s="314">
        <v>143.47666666666672</v>
      </c>
      <c r="AR442" s="314">
        <v>143.47666666666672</v>
      </c>
      <c r="AS442" s="314">
        <v>143.47666666666672</v>
      </c>
      <c r="AT442" s="314">
        <v>143.47666666666672</v>
      </c>
      <c r="AU442" s="314">
        <v>0</v>
      </c>
      <c r="AV442" s="314">
        <v>0</v>
      </c>
      <c r="AW442" s="314">
        <v>0</v>
      </c>
      <c r="AX442">
        <v>0</v>
      </c>
    </row>
    <row r="443" spans="1:50" x14ac:dyDescent="0.35">
      <c r="A443">
        <v>922</v>
      </c>
      <c r="B443" t="s">
        <v>0</v>
      </c>
      <c r="C443" t="s">
        <v>1864</v>
      </c>
      <c r="D443" t="s">
        <v>984</v>
      </c>
      <c r="E443" t="s">
        <v>969</v>
      </c>
      <c r="F443">
        <v>1000</v>
      </c>
      <c r="G443">
        <v>1000</v>
      </c>
      <c r="H443">
        <v>1000</v>
      </c>
      <c r="I443">
        <v>1000</v>
      </c>
      <c r="J443" s="600">
        <v>4000</v>
      </c>
      <c r="K443" s="7">
        <f t="shared" si="82"/>
        <v>9</v>
      </c>
      <c r="L443" s="7">
        <f t="shared" si="83"/>
        <v>0</v>
      </c>
      <c r="M443" s="243">
        <f t="shared" si="84"/>
        <v>380640</v>
      </c>
      <c r="N443" s="243">
        <f>INDEX($AN$4:$AN21339,MATCH($A443,$AH$4:$AH$2000,0))</f>
        <v>380640</v>
      </c>
      <c r="O443" s="243">
        <f t="shared" si="91"/>
        <v>380640</v>
      </c>
      <c r="P443" s="243">
        <f t="shared" si="85"/>
        <v>380640</v>
      </c>
      <c r="Q443" s="243">
        <f t="shared" si="86"/>
        <v>0</v>
      </c>
      <c r="R443" s="243">
        <f t="shared" si="87"/>
        <v>0</v>
      </c>
      <c r="S443" s="243">
        <f t="shared" si="92"/>
        <v>0</v>
      </c>
      <c r="T443" s="243">
        <f t="shared" si="88"/>
        <v>0</v>
      </c>
      <c r="AA443" s="6">
        <v>279</v>
      </c>
      <c r="AB443" t="s">
        <v>80</v>
      </c>
      <c r="AC443" t="s">
        <v>1054</v>
      </c>
      <c r="AE443" t="s">
        <v>232</v>
      </c>
      <c r="AF443">
        <v>12</v>
      </c>
      <c r="AH443">
        <v>922</v>
      </c>
      <c r="AI443" t="s">
        <v>0</v>
      </c>
      <c r="AJ443" t="s">
        <v>1864</v>
      </c>
      <c r="AK443" t="s">
        <v>984</v>
      </c>
      <c r="AL443" t="s">
        <v>969</v>
      </c>
      <c r="AM443" s="314">
        <v>380640</v>
      </c>
      <c r="AN443" s="314">
        <v>380640</v>
      </c>
      <c r="AO443" s="314">
        <v>380640</v>
      </c>
      <c r="AP443" s="314">
        <v>380640</v>
      </c>
      <c r="AQ443" s="314">
        <v>43.444024640657091</v>
      </c>
      <c r="AR443" s="314">
        <v>43.444024640657091</v>
      </c>
      <c r="AS443" s="314">
        <v>43.444024640657091</v>
      </c>
      <c r="AT443" s="314">
        <v>43.444024640657091</v>
      </c>
      <c r="AU443" s="314">
        <v>0</v>
      </c>
      <c r="AV443" s="314">
        <v>0</v>
      </c>
      <c r="AW443" s="314">
        <v>0</v>
      </c>
      <c r="AX443">
        <v>0</v>
      </c>
    </row>
    <row r="444" spans="1:50" x14ac:dyDescent="0.35">
      <c r="A444">
        <v>926</v>
      </c>
      <c r="B444" t="s">
        <v>0</v>
      </c>
      <c r="C444" t="s">
        <v>1864</v>
      </c>
      <c r="D444" t="s">
        <v>984</v>
      </c>
      <c r="E444" t="s">
        <v>970</v>
      </c>
      <c r="F444">
        <v>0</v>
      </c>
      <c r="G444">
        <v>0</v>
      </c>
      <c r="H444">
        <v>10000</v>
      </c>
      <c r="I444">
        <v>10000</v>
      </c>
      <c r="J444" s="600">
        <v>20000</v>
      </c>
      <c r="K444" s="7">
        <f t="shared" si="82"/>
        <v>14</v>
      </c>
      <c r="L444" s="7">
        <f t="shared" si="83"/>
        <v>0</v>
      </c>
      <c r="M444" s="243">
        <f t="shared" si="84"/>
        <v>0</v>
      </c>
      <c r="N444" s="243">
        <f>INDEX($AN$4:$AN21340,MATCH($A444,$AH$4:$AH$2000,0))</f>
        <v>0</v>
      </c>
      <c r="O444" s="243">
        <f t="shared" ref="O444:O463" si="93">INDEX($AO$4:$AO$2000,MATCH($A444,$AH$4:$AH$2000,0))</f>
        <v>853392.85714285693</v>
      </c>
      <c r="P444" s="243">
        <f t="shared" si="85"/>
        <v>853392.85714285693</v>
      </c>
      <c r="Q444" s="243">
        <f t="shared" si="86"/>
        <v>0</v>
      </c>
      <c r="R444" s="243">
        <f t="shared" si="87"/>
        <v>0</v>
      </c>
      <c r="S444" s="243">
        <f t="shared" ref="S444:S463" si="94">INDEX($AW$4:$AW$2000,MATCH($A444,$AH$4:$AH$2000,0))</f>
        <v>0</v>
      </c>
      <c r="T444" s="243">
        <f t="shared" si="88"/>
        <v>0</v>
      </c>
      <c r="AA444" s="6">
        <v>280</v>
      </c>
      <c r="AB444" t="s">
        <v>80</v>
      </c>
      <c r="AC444" t="s">
        <v>1054</v>
      </c>
      <c r="AE444" t="s">
        <v>130</v>
      </c>
      <c r="AF444">
        <v>12</v>
      </c>
      <c r="AH444">
        <v>926</v>
      </c>
      <c r="AI444" t="s">
        <v>0</v>
      </c>
      <c r="AJ444" t="s">
        <v>1864</v>
      </c>
      <c r="AK444" t="s">
        <v>984</v>
      </c>
      <c r="AL444" t="s">
        <v>970</v>
      </c>
      <c r="AM444" s="314">
        <v>0</v>
      </c>
      <c r="AN444" s="314">
        <v>0</v>
      </c>
      <c r="AO444" s="314">
        <v>853392.85714285693</v>
      </c>
      <c r="AP444" s="314">
        <v>853392.85714285693</v>
      </c>
      <c r="AQ444" s="314">
        <v>0</v>
      </c>
      <c r="AR444" s="314">
        <v>0</v>
      </c>
      <c r="AS444" s="314">
        <v>109.92857142857139</v>
      </c>
      <c r="AT444" s="314">
        <v>109.92857142857139</v>
      </c>
      <c r="AU444" s="314">
        <v>0</v>
      </c>
      <c r="AV444" s="314">
        <v>0</v>
      </c>
      <c r="AW444" s="314">
        <v>0</v>
      </c>
      <c r="AX444">
        <v>0</v>
      </c>
    </row>
    <row r="445" spans="1:50" x14ac:dyDescent="0.35">
      <c r="A445">
        <v>925</v>
      </c>
      <c r="B445" t="s">
        <v>0</v>
      </c>
      <c r="C445" t="s">
        <v>1864</v>
      </c>
      <c r="D445" t="s">
        <v>984</v>
      </c>
      <c r="E445" t="s">
        <v>971</v>
      </c>
      <c r="F445">
        <v>0</v>
      </c>
      <c r="G445">
        <v>0</v>
      </c>
      <c r="H445">
        <v>2000</v>
      </c>
      <c r="I445">
        <v>2000</v>
      </c>
      <c r="J445" s="600">
        <v>4000</v>
      </c>
      <c r="K445" s="7">
        <f t="shared" si="82"/>
        <v>14</v>
      </c>
      <c r="L445" s="7">
        <f t="shared" si="83"/>
        <v>0</v>
      </c>
      <c r="M445" s="243">
        <f t="shared" si="84"/>
        <v>0</v>
      </c>
      <c r="N445" s="243">
        <f>INDEX($AN$4:$AN21341,MATCH($A445,$AH$4:$AH$2000,0))</f>
        <v>0</v>
      </c>
      <c r="O445" s="243">
        <f t="shared" si="93"/>
        <v>218194.08131039169</v>
      </c>
      <c r="P445" s="243">
        <f t="shared" si="85"/>
        <v>218194.08131039169</v>
      </c>
      <c r="Q445" s="243">
        <f t="shared" si="86"/>
        <v>0</v>
      </c>
      <c r="R445" s="243">
        <f t="shared" si="87"/>
        <v>0</v>
      </c>
      <c r="S445" s="243">
        <f t="shared" si="94"/>
        <v>0</v>
      </c>
      <c r="T445" s="243">
        <f t="shared" si="88"/>
        <v>0</v>
      </c>
      <c r="AA445" s="6">
        <v>281</v>
      </c>
      <c r="AB445" t="s">
        <v>80</v>
      </c>
      <c r="AC445" t="s">
        <v>1054</v>
      </c>
      <c r="AE445" t="s">
        <v>233</v>
      </c>
      <c r="AF445">
        <v>12</v>
      </c>
      <c r="AH445">
        <v>925</v>
      </c>
      <c r="AI445" t="s">
        <v>0</v>
      </c>
      <c r="AJ445" t="s">
        <v>1864</v>
      </c>
      <c r="AK445" t="s">
        <v>984</v>
      </c>
      <c r="AL445" t="s">
        <v>971</v>
      </c>
      <c r="AM445" s="314">
        <v>0</v>
      </c>
      <c r="AN445" s="314">
        <v>0</v>
      </c>
      <c r="AO445" s="314">
        <v>218194.08131039169</v>
      </c>
      <c r="AP445" s="314">
        <v>218194.08131039169</v>
      </c>
      <c r="AQ445" s="314">
        <v>0</v>
      </c>
      <c r="AR445" s="314">
        <v>0</v>
      </c>
      <c r="AS445" s="314">
        <v>37.475141648790434</v>
      </c>
      <c r="AT445" s="314">
        <v>37.475141648790434</v>
      </c>
      <c r="AU445" s="314">
        <v>0</v>
      </c>
      <c r="AV445" s="314">
        <v>0</v>
      </c>
      <c r="AW445" s="314">
        <v>0</v>
      </c>
      <c r="AX445">
        <v>0</v>
      </c>
    </row>
    <row r="446" spans="1:50" x14ac:dyDescent="0.35">
      <c r="A446">
        <v>936</v>
      </c>
      <c r="B446" t="s">
        <v>0</v>
      </c>
      <c r="C446" t="s">
        <v>1864</v>
      </c>
      <c r="D446" t="s">
        <v>984</v>
      </c>
      <c r="E446" t="s">
        <v>972</v>
      </c>
      <c r="F446">
        <v>0</v>
      </c>
      <c r="G446">
        <v>0</v>
      </c>
      <c r="H446">
        <v>750</v>
      </c>
      <c r="I446">
        <v>750</v>
      </c>
      <c r="J446" s="600">
        <v>1500</v>
      </c>
      <c r="K446" s="7">
        <f t="shared" si="82"/>
        <v>14</v>
      </c>
      <c r="L446" s="7">
        <f t="shared" si="83"/>
        <v>0</v>
      </c>
      <c r="M446" s="243">
        <f t="shared" si="84"/>
        <v>0</v>
      </c>
      <c r="N446" s="243">
        <f>INDEX($AN$4:$AN21342,MATCH($A446,$AH$4:$AH$2000,0))</f>
        <v>0</v>
      </c>
      <c r="O446" s="243">
        <f t="shared" si="93"/>
        <v>167548.70938515928</v>
      </c>
      <c r="P446" s="243">
        <f t="shared" si="85"/>
        <v>167548.70938515928</v>
      </c>
      <c r="Q446" s="243">
        <f t="shared" si="86"/>
        <v>0</v>
      </c>
      <c r="R446" s="243">
        <f t="shared" si="87"/>
        <v>0</v>
      </c>
      <c r="S446" s="243">
        <f t="shared" si="94"/>
        <v>0</v>
      </c>
      <c r="T446" s="243">
        <f t="shared" si="88"/>
        <v>0</v>
      </c>
      <c r="AA446" s="6">
        <v>282</v>
      </c>
      <c r="AB446" t="s">
        <v>80</v>
      </c>
      <c r="AC446" t="s">
        <v>1054</v>
      </c>
      <c r="AE446" t="s">
        <v>234</v>
      </c>
      <c r="AF446">
        <v>12</v>
      </c>
      <c r="AH446">
        <v>936</v>
      </c>
      <c r="AI446" t="s">
        <v>0</v>
      </c>
      <c r="AJ446" t="s">
        <v>1864</v>
      </c>
      <c r="AK446" t="s">
        <v>984</v>
      </c>
      <c r="AL446" t="s">
        <v>972</v>
      </c>
      <c r="AM446" s="314">
        <v>0</v>
      </c>
      <c r="AN446" s="314">
        <v>0</v>
      </c>
      <c r="AO446" s="314">
        <v>167548.70938515928</v>
      </c>
      <c r="AP446" s="314">
        <v>167548.70938515928</v>
      </c>
      <c r="AQ446" s="314">
        <v>0</v>
      </c>
      <c r="AR446" s="314">
        <v>0</v>
      </c>
      <c r="AS446" s="314">
        <v>21.582545615715432</v>
      </c>
      <c r="AT446" s="314">
        <v>21.582545615715432</v>
      </c>
      <c r="AU446" s="314">
        <v>0</v>
      </c>
      <c r="AV446" s="314">
        <v>0</v>
      </c>
      <c r="AW446" s="314">
        <v>0</v>
      </c>
      <c r="AX446">
        <v>0</v>
      </c>
    </row>
    <row r="447" spans="1:50" x14ac:dyDescent="0.35">
      <c r="A447">
        <v>933</v>
      </c>
      <c r="B447" t="s">
        <v>0</v>
      </c>
      <c r="C447" t="s">
        <v>1864</v>
      </c>
      <c r="D447" t="s">
        <v>984</v>
      </c>
      <c r="E447" t="s">
        <v>973</v>
      </c>
      <c r="F447">
        <v>0</v>
      </c>
      <c r="G447">
        <v>0</v>
      </c>
      <c r="H447">
        <v>4500</v>
      </c>
      <c r="I447">
        <v>4500</v>
      </c>
      <c r="J447" s="600">
        <v>9000</v>
      </c>
      <c r="K447" s="7">
        <f t="shared" si="82"/>
        <v>12</v>
      </c>
      <c r="L447" s="7">
        <f t="shared" si="83"/>
        <v>0</v>
      </c>
      <c r="M447" s="243">
        <f t="shared" si="84"/>
        <v>0</v>
      </c>
      <c r="N447" s="243">
        <f>INDEX($AN$4:$AN21343,MATCH($A447,$AH$4:$AH$2000,0))</f>
        <v>0</v>
      </c>
      <c r="O447" s="243">
        <f t="shared" si="93"/>
        <v>171433.26</v>
      </c>
      <c r="P447" s="243">
        <f t="shared" si="85"/>
        <v>171433.26</v>
      </c>
      <c r="Q447" s="243">
        <f t="shared" si="86"/>
        <v>0</v>
      </c>
      <c r="R447" s="243">
        <f t="shared" si="87"/>
        <v>0</v>
      </c>
      <c r="S447" s="243">
        <f t="shared" si="94"/>
        <v>0</v>
      </c>
      <c r="T447" s="243">
        <f t="shared" si="88"/>
        <v>0</v>
      </c>
      <c r="AA447" s="6">
        <v>305</v>
      </c>
      <c r="AB447" t="s">
        <v>80</v>
      </c>
      <c r="AC447" t="s">
        <v>1054</v>
      </c>
      <c r="AE447" t="s">
        <v>131</v>
      </c>
      <c r="AF447">
        <v>12</v>
      </c>
      <c r="AH447">
        <v>933</v>
      </c>
      <c r="AI447" t="s">
        <v>0</v>
      </c>
      <c r="AJ447" t="s">
        <v>1864</v>
      </c>
      <c r="AK447" t="s">
        <v>984</v>
      </c>
      <c r="AL447" t="s">
        <v>973</v>
      </c>
      <c r="AM447" s="314">
        <v>0</v>
      </c>
      <c r="AN447" s="314">
        <v>0</v>
      </c>
      <c r="AO447" s="314">
        <v>171433.26</v>
      </c>
      <c r="AP447" s="314">
        <v>171433.26</v>
      </c>
      <c r="AQ447" s="314">
        <v>0</v>
      </c>
      <c r="AR447" s="314">
        <v>0</v>
      </c>
      <c r="AS447" s="314">
        <v>25.85687154965753</v>
      </c>
      <c r="AT447" s="314">
        <v>25.85687154965753</v>
      </c>
      <c r="AU447" s="314">
        <v>0</v>
      </c>
      <c r="AV447" s="314">
        <v>0</v>
      </c>
      <c r="AW447" s="314">
        <v>0</v>
      </c>
      <c r="AX447">
        <v>0</v>
      </c>
    </row>
    <row r="448" spans="1:50" x14ac:dyDescent="0.35">
      <c r="A448">
        <v>918</v>
      </c>
      <c r="B448" t="s">
        <v>0</v>
      </c>
      <c r="C448" t="s">
        <v>1864</v>
      </c>
      <c r="D448" t="s">
        <v>984</v>
      </c>
      <c r="E448" t="s">
        <v>974</v>
      </c>
      <c r="F448">
        <v>0</v>
      </c>
      <c r="G448">
        <v>0</v>
      </c>
      <c r="H448">
        <v>4500</v>
      </c>
      <c r="I448">
        <v>4500</v>
      </c>
      <c r="J448" s="600">
        <v>9000</v>
      </c>
      <c r="K448" s="7">
        <f t="shared" si="82"/>
        <v>12</v>
      </c>
      <c r="L448" s="7">
        <f t="shared" si="83"/>
        <v>0</v>
      </c>
      <c r="M448" s="243">
        <f t="shared" si="84"/>
        <v>0</v>
      </c>
      <c r="N448" s="243">
        <f>INDEX($AN$4:$AN21344,MATCH($A448,$AH$4:$AH$2000,0))</f>
        <v>0</v>
      </c>
      <c r="O448" s="243">
        <f t="shared" si="93"/>
        <v>427544.05499999993</v>
      </c>
      <c r="P448" s="243">
        <f t="shared" si="85"/>
        <v>427544.05499999993</v>
      </c>
      <c r="Q448" s="243">
        <f t="shared" si="86"/>
        <v>0</v>
      </c>
      <c r="R448" s="243">
        <f t="shared" si="87"/>
        <v>0</v>
      </c>
      <c r="S448" s="243">
        <f t="shared" si="94"/>
        <v>0</v>
      </c>
      <c r="T448" s="243">
        <f t="shared" si="88"/>
        <v>0</v>
      </c>
      <c r="AA448" s="6">
        <v>306</v>
      </c>
      <c r="AB448" t="s">
        <v>80</v>
      </c>
      <c r="AC448" t="s">
        <v>1054</v>
      </c>
      <c r="AE448" t="s">
        <v>132</v>
      </c>
      <c r="AF448">
        <v>12</v>
      </c>
      <c r="AH448">
        <v>918</v>
      </c>
      <c r="AI448" t="s">
        <v>0</v>
      </c>
      <c r="AJ448" t="s">
        <v>1864</v>
      </c>
      <c r="AK448" t="s">
        <v>984</v>
      </c>
      <c r="AL448" t="s">
        <v>974</v>
      </c>
      <c r="AM448" s="314">
        <v>0</v>
      </c>
      <c r="AN448" s="314">
        <v>0</v>
      </c>
      <c r="AO448" s="314">
        <v>427544.05499999993</v>
      </c>
      <c r="AP448" s="314">
        <v>427544.05499999993</v>
      </c>
      <c r="AQ448" s="314">
        <v>0</v>
      </c>
      <c r="AR448" s="314">
        <v>0</v>
      </c>
      <c r="AS448" s="314">
        <v>64.48545464255136</v>
      </c>
      <c r="AT448" s="314">
        <v>64.48545464255136</v>
      </c>
      <c r="AU448" s="314">
        <v>0</v>
      </c>
      <c r="AV448" s="314">
        <v>0</v>
      </c>
      <c r="AW448" s="314">
        <v>0</v>
      </c>
      <c r="AX448">
        <v>0</v>
      </c>
    </row>
    <row r="449" spans="1:50" x14ac:dyDescent="0.35">
      <c r="A449">
        <v>929</v>
      </c>
      <c r="B449" t="s">
        <v>0</v>
      </c>
      <c r="C449" t="s">
        <v>1864</v>
      </c>
      <c r="D449" t="s">
        <v>984</v>
      </c>
      <c r="E449" t="s">
        <v>975</v>
      </c>
      <c r="F449">
        <v>0</v>
      </c>
      <c r="G449">
        <v>0</v>
      </c>
      <c r="H449">
        <v>500</v>
      </c>
      <c r="I449">
        <v>500</v>
      </c>
      <c r="J449" s="600">
        <v>1000</v>
      </c>
      <c r="K449" s="7">
        <f t="shared" si="82"/>
        <v>11</v>
      </c>
      <c r="L449" s="7">
        <f t="shared" si="83"/>
        <v>0</v>
      </c>
      <c r="M449" s="243">
        <f t="shared" si="84"/>
        <v>0</v>
      </c>
      <c r="N449" s="243">
        <f>INDEX($AN$4:$AN21345,MATCH($A449,$AH$4:$AH$2000,0))</f>
        <v>0</v>
      </c>
      <c r="O449" s="243">
        <f t="shared" si="93"/>
        <v>9352.5</v>
      </c>
      <c r="P449" s="243">
        <f t="shared" si="85"/>
        <v>9352.5</v>
      </c>
      <c r="Q449" s="243">
        <f t="shared" si="86"/>
        <v>0</v>
      </c>
      <c r="R449" s="243">
        <f t="shared" si="87"/>
        <v>0</v>
      </c>
      <c r="S449" s="243">
        <f t="shared" si="94"/>
        <v>0</v>
      </c>
      <c r="T449" s="243">
        <f t="shared" si="88"/>
        <v>0</v>
      </c>
      <c r="AA449" s="6">
        <v>304</v>
      </c>
      <c r="AB449" t="s">
        <v>80</v>
      </c>
      <c r="AC449" t="s">
        <v>1054</v>
      </c>
      <c r="AE449" t="s">
        <v>133</v>
      </c>
      <c r="AF449">
        <v>12</v>
      </c>
      <c r="AH449">
        <v>929</v>
      </c>
      <c r="AI449" t="s">
        <v>0</v>
      </c>
      <c r="AJ449" t="s">
        <v>1864</v>
      </c>
      <c r="AK449" t="s">
        <v>984</v>
      </c>
      <c r="AL449" t="s">
        <v>975</v>
      </c>
      <c r="AM449" s="314">
        <v>0</v>
      </c>
      <c r="AN449" s="314">
        <v>0</v>
      </c>
      <c r="AO449" s="314">
        <v>9352.5</v>
      </c>
      <c r="AP449" s="314">
        <v>9352.5</v>
      </c>
      <c r="AQ449" s="314">
        <v>0</v>
      </c>
      <c r="AR449" s="314">
        <v>0</v>
      </c>
      <c r="AS449" s="314">
        <v>1.5084677419354839</v>
      </c>
      <c r="AT449" s="314">
        <v>1.5084677419354839</v>
      </c>
      <c r="AU449" s="314">
        <v>0</v>
      </c>
      <c r="AV449" s="314">
        <v>0</v>
      </c>
      <c r="AW449" s="314">
        <v>0</v>
      </c>
      <c r="AX449">
        <v>0</v>
      </c>
    </row>
    <row r="450" spans="1:50" x14ac:dyDescent="0.35">
      <c r="A450">
        <v>930</v>
      </c>
      <c r="B450" t="s">
        <v>0</v>
      </c>
      <c r="C450" t="s">
        <v>1864</v>
      </c>
      <c r="D450" t="s">
        <v>984</v>
      </c>
      <c r="E450" t="s">
        <v>976</v>
      </c>
      <c r="F450">
        <v>0</v>
      </c>
      <c r="G450">
        <v>0</v>
      </c>
      <c r="H450">
        <v>200</v>
      </c>
      <c r="I450">
        <v>200</v>
      </c>
      <c r="J450" s="600">
        <v>400</v>
      </c>
      <c r="K450" s="7">
        <f t="shared" si="82"/>
        <v>11</v>
      </c>
      <c r="L450" s="7">
        <f t="shared" si="83"/>
        <v>0</v>
      </c>
      <c r="M450" s="243">
        <f t="shared" si="84"/>
        <v>0</v>
      </c>
      <c r="N450" s="243">
        <f>INDEX($AN$4:$AN21346,MATCH($A450,$AH$4:$AH$2000,0))</f>
        <v>0</v>
      </c>
      <c r="O450" s="243">
        <f t="shared" si="93"/>
        <v>4781.6000000000013</v>
      </c>
      <c r="P450" s="243">
        <f t="shared" si="85"/>
        <v>4781.6000000000013</v>
      </c>
      <c r="Q450" s="243">
        <f t="shared" si="86"/>
        <v>0</v>
      </c>
      <c r="R450" s="243">
        <f t="shared" si="87"/>
        <v>0</v>
      </c>
      <c r="S450" s="243">
        <f t="shared" si="94"/>
        <v>0</v>
      </c>
      <c r="T450" s="243">
        <f t="shared" si="88"/>
        <v>0</v>
      </c>
      <c r="AA450" s="6">
        <v>278</v>
      </c>
      <c r="AB450" t="s">
        <v>80</v>
      </c>
      <c r="AC450" t="s">
        <v>1054</v>
      </c>
      <c r="AE450" t="s">
        <v>134</v>
      </c>
      <c r="AF450">
        <v>12</v>
      </c>
      <c r="AH450">
        <v>930</v>
      </c>
      <c r="AI450" t="s">
        <v>0</v>
      </c>
      <c r="AJ450" t="s">
        <v>1864</v>
      </c>
      <c r="AK450" t="s">
        <v>984</v>
      </c>
      <c r="AL450" t="s">
        <v>976</v>
      </c>
      <c r="AM450" s="314">
        <v>0</v>
      </c>
      <c r="AN450" s="314">
        <v>0</v>
      </c>
      <c r="AO450" s="314">
        <v>4781.6000000000013</v>
      </c>
      <c r="AP450" s="314">
        <v>4781.6000000000013</v>
      </c>
      <c r="AQ450" s="314">
        <v>0</v>
      </c>
      <c r="AR450" s="314">
        <v>0</v>
      </c>
      <c r="AS450" s="314">
        <v>1.5830424448217324</v>
      </c>
      <c r="AT450" s="314">
        <v>1.5830424448217324</v>
      </c>
      <c r="AU450" s="314">
        <v>0</v>
      </c>
      <c r="AV450" s="314">
        <v>0</v>
      </c>
      <c r="AW450" s="314">
        <v>0</v>
      </c>
      <c r="AX450">
        <v>0</v>
      </c>
    </row>
    <row r="451" spans="1:50" x14ac:dyDescent="0.35">
      <c r="A451">
        <v>928</v>
      </c>
      <c r="B451" t="s">
        <v>0</v>
      </c>
      <c r="C451" t="s">
        <v>1864</v>
      </c>
      <c r="D451" t="s">
        <v>984</v>
      </c>
      <c r="E451" t="s">
        <v>977</v>
      </c>
      <c r="F451">
        <v>0</v>
      </c>
      <c r="G451">
        <v>0</v>
      </c>
      <c r="H451">
        <v>7000</v>
      </c>
      <c r="I451">
        <v>7000</v>
      </c>
      <c r="J451" s="600">
        <v>14000</v>
      </c>
      <c r="K451" s="7">
        <f t="shared" si="82"/>
        <v>13</v>
      </c>
      <c r="L451" s="7">
        <f t="shared" si="83"/>
        <v>0</v>
      </c>
      <c r="M451" s="243">
        <f t="shared" si="84"/>
        <v>0</v>
      </c>
      <c r="N451" s="243">
        <f>INDEX($AN$4:$AN21347,MATCH($A451,$AH$4:$AH$2000,0))</f>
        <v>0</v>
      </c>
      <c r="O451" s="243">
        <f t="shared" si="93"/>
        <v>238280</v>
      </c>
      <c r="P451" s="243">
        <f t="shared" si="85"/>
        <v>238280</v>
      </c>
      <c r="Q451" s="243">
        <f t="shared" si="86"/>
        <v>0</v>
      </c>
      <c r="R451" s="243">
        <f t="shared" si="87"/>
        <v>0</v>
      </c>
      <c r="S451" s="243">
        <f t="shared" si="94"/>
        <v>0</v>
      </c>
      <c r="T451" s="243">
        <f t="shared" si="88"/>
        <v>0</v>
      </c>
      <c r="AA451" s="6">
        <v>274</v>
      </c>
      <c r="AB451" t="s">
        <v>80</v>
      </c>
      <c r="AC451" t="s">
        <v>1054</v>
      </c>
      <c r="AE451" t="s">
        <v>135</v>
      </c>
      <c r="AF451">
        <v>15</v>
      </c>
      <c r="AH451">
        <v>928</v>
      </c>
      <c r="AI451" t="s">
        <v>0</v>
      </c>
      <c r="AJ451" t="s">
        <v>1864</v>
      </c>
      <c r="AK451" t="s">
        <v>984</v>
      </c>
      <c r="AL451" t="s">
        <v>977</v>
      </c>
      <c r="AM451" s="314">
        <v>0</v>
      </c>
      <c r="AN451" s="314">
        <v>0</v>
      </c>
      <c r="AO451" s="314">
        <v>238280</v>
      </c>
      <c r="AP451" s="314">
        <v>238280</v>
      </c>
      <c r="AQ451" s="314">
        <v>0</v>
      </c>
      <c r="AR451" s="314">
        <v>0</v>
      </c>
      <c r="AS451" s="314">
        <v>24.584444444444443</v>
      </c>
      <c r="AT451" s="314">
        <v>24.584444444444443</v>
      </c>
      <c r="AU451" s="314">
        <v>0</v>
      </c>
      <c r="AV451" s="314">
        <v>0</v>
      </c>
      <c r="AW451" s="314">
        <v>0</v>
      </c>
      <c r="AX451">
        <v>0</v>
      </c>
    </row>
    <row r="452" spans="1:50" x14ac:dyDescent="0.35">
      <c r="A452">
        <v>935</v>
      </c>
      <c r="B452" t="s">
        <v>0</v>
      </c>
      <c r="C452" t="s">
        <v>1864</v>
      </c>
      <c r="D452" t="s">
        <v>984</v>
      </c>
      <c r="E452" t="s">
        <v>978</v>
      </c>
      <c r="F452">
        <v>0</v>
      </c>
      <c r="G452">
        <v>0</v>
      </c>
      <c r="H452">
        <v>500</v>
      </c>
      <c r="I452">
        <v>500</v>
      </c>
      <c r="J452" s="600">
        <v>1000</v>
      </c>
      <c r="K452" s="7">
        <f t="shared" si="82"/>
        <v>10</v>
      </c>
      <c r="L452" s="7">
        <f t="shared" si="83"/>
        <v>0</v>
      </c>
      <c r="M452" s="243">
        <f t="shared" si="84"/>
        <v>0</v>
      </c>
      <c r="N452" s="243">
        <f>INDEX($AN$4:$AN21348,MATCH($A452,$AH$4:$AH$2000,0))</f>
        <v>0</v>
      </c>
      <c r="O452" s="243">
        <f t="shared" si="93"/>
        <v>192720</v>
      </c>
      <c r="P452" s="243">
        <f t="shared" si="85"/>
        <v>192720</v>
      </c>
      <c r="Q452" s="243">
        <f t="shared" si="86"/>
        <v>0</v>
      </c>
      <c r="R452" s="243">
        <f t="shared" si="87"/>
        <v>0</v>
      </c>
      <c r="S452" s="243">
        <f t="shared" si="94"/>
        <v>0</v>
      </c>
      <c r="T452" s="243">
        <f t="shared" si="88"/>
        <v>0</v>
      </c>
      <c r="AA452" s="6">
        <v>335</v>
      </c>
      <c r="AB452" t="s">
        <v>80</v>
      </c>
      <c r="AC452" t="s">
        <v>1054</v>
      </c>
      <c r="AE452" t="s">
        <v>138</v>
      </c>
      <c r="AF452">
        <v>5</v>
      </c>
      <c r="AH452">
        <v>935</v>
      </c>
      <c r="AI452" t="s">
        <v>0</v>
      </c>
      <c r="AJ452" t="s">
        <v>1864</v>
      </c>
      <c r="AK452" t="s">
        <v>984</v>
      </c>
      <c r="AL452" t="s">
        <v>978</v>
      </c>
      <c r="AM452" s="314">
        <v>0</v>
      </c>
      <c r="AN452" s="314">
        <v>0</v>
      </c>
      <c r="AO452" s="314">
        <v>192720</v>
      </c>
      <c r="AP452" s="314">
        <v>192720</v>
      </c>
      <c r="AQ452" s="314">
        <v>0</v>
      </c>
      <c r="AR452" s="314">
        <v>0</v>
      </c>
      <c r="AS452" s="314">
        <v>21.565367999999999</v>
      </c>
      <c r="AT452" s="314">
        <v>21.565367999999999</v>
      </c>
      <c r="AU452" s="314">
        <v>0</v>
      </c>
      <c r="AV452" s="314">
        <v>0</v>
      </c>
      <c r="AW452" s="314">
        <v>0</v>
      </c>
      <c r="AX452">
        <v>0</v>
      </c>
    </row>
    <row r="453" spans="1:50" x14ac:dyDescent="0.35">
      <c r="A453">
        <v>921</v>
      </c>
      <c r="B453" t="s">
        <v>0</v>
      </c>
      <c r="C453" t="s">
        <v>1864</v>
      </c>
      <c r="D453" t="s">
        <v>984</v>
      </c>
      <c r="E453" t="s">
        <v>979</v>
      </c>
      <c r="F453">
        <v>0</v>
      </c>
      <c r="G453">
        <v>0</v>
      </c>
      <c r="H453">
        <v>3000</v>
      </c>
      <c r="I453">
        <v>3000</v>
      </c>
      <c r="J453" s="600">
        <v>6000</v>
      </c>
      <c r="K453" s="7">
        <f t="shared" ref="K453:K516" si="95">INDEX($AF$4:$AF$2000,MATCH(A453,$AA$4:$AA$2000,0))</f>
        <v>12</v>
      </c>
      <c r="L453" s="7">
        <f t="shared" ref="L453:L516" si="96">INDEX($AG$4:$AG$2000,MATCH(A453,$AA$4:$AA$2000,0))</f>
        <v>0</v>
      </c>
      <c r="M453" s="243">
        <f t="shared" ref="M453:M516" si="97">INDEX($AM$4:$AM$2000,MATCH($A453,$AH$4:$AH$2000,0))</f>
        <v>0</v>
      </c>
      <c r="N453" s="243">
        <f>INDEX($AN$4:$AN21349,MATCH($A453,$AH$4:$AH$2000,0))</f>
        <v>0</v>
      </c>
      <c r="O453" s="243">
        <f t="shared" si="93"/>
        <v>23949.782713664874</v>
      </c>
      <c r="P453" s="243">
        <f t="shared" ref="P453:P516" si="98">INDEX($AP$4:$AP$2000,MATCH($A453,$AH$4:$AH$2000,0))</f>
        <v>23949.782713664874</v>
      </c>
      <c r="Q453" s="243">
        <f t="shared" ref="Q453:Q516" si="99">INDEX($AU$4:$AU$2000,MATCH($A453,$AH$4:$AH$2000,0))</f>
        <v>0</v>
      </c>
      <c r="R453" s="243">
        <f t="shared" ref="R453:R516" si="100">INDEX($AV$4:$AV$2000,MATCH($A453,$AH$4:$AH$2000,0))</f>
        <v>0</v>
      </c>
      <c r="S453" s="243">
        <f t="shared" si="94"/>
        <v>0</v>
      </c>
      <c r="T453" s="243">
        <f t="shared" ref="T453:T516" si="101">INDEX($AX$4:$AX$2000,MATCH($A453,$AH$4:$AH$2000,0))</f>
        <v>0</v>
      </c>
      <c r="AA453" s="6">
        <v>336</v>
      </c>
      <c r="AB453" t="s">
        <v>80</v>
      </c>
      <c r="AC453" t="s">
        <v>1054</v>
      </c>
      <c r="AE453" t="s">
        <v>139</v>
      </c>
      <c r="AF453">
        <v>5</v>
      </c>
      <c r="AH453">
        <v>921</v>
      </c>
      <c r="AI453" t="s">
        <v>0</v>
      </c>
      <c r="AJ453" t="s">
        <v>1864</v>
      </c>
      <c r="AK453" t="s">
        <v>984</v>
      </c>
      <c r="AL453" t="s">
        <v>979</v>
      </c>
      <c r="AM453" s="314">
        <v>0</v>
      </c>
      <c r="AN453" s="314">
        <v>0</v>
      </c>
      <c r="AO453" s="314">
        <v>23949.782713664874</v>
      </c>
      <c r="AP453" s="314">
        <v>23949.782713664874</v>
      </c>
      <c r="AQ453" s="314">
        <v>0</v>
      </c>
      <c r="AR453" s="314">
        <v>0</v>
      </c>
      <c r="AS453" s="314">
        <v>28.68466470017357</v>
      </c>
      <c r="AT453" s="314">
        <v>28.68466470017357</v>
      </c>
      <c r="AU453" s="314">
        <v>0</v>
      </c>
      <c r="AV453" s="314">
        <v>0</v>
      </c>
      <c r="AW453" s="314">
        <v>0</v>
      </c>
      <c r="AX453">
        <v>0</v>
      </c>
    </row>
    <row r="454" spans="1:50" x14ac:dyDescent="0.35">
      <c r="A454">
        <v>932</v>
      </c>
      <c r="B454" t="s">
        <v>0</v>
      </c>
      <c r="C454" t="s">
        <v>1864</v>
      </c>
      <c r="D454" t="s">
        <v>984</v>
      </c>
      <c r="E454" t="s">
        <v>980</v>
      </c>
      <c r="F454">
        <v>20</v>
      </c>
      <c r="G454">
        <v>20</v>
      </c>
      <c r="H454">
        <v>20</v>
      </c>
      <c r="I454">
        <v>20</v>
      </c>
      <c r="J454" s="600">
        <v>80</v>
      </c>
      <c r="K454" s="7">
        <f t="shared" si="95"/>
        <v>10</v>
      </c>
      <c r="L454" s="7">
        <f t="shared" si="96"/>
        <v>0</v>
      </c>
      <c r="M454" s="243">
        <f t="shared" si="97"/>
        <v>31920</v>
      </c>
      <c r="N454" s="243">
        <f>INDEX($AN$4:$AN21350,MATCH($A454,$AH$4:$AH$2000,0))</f>
        <v>31920</v>
      </c>
      <c r="O454" s="243">
        <f t="shared" si="93"/>
        <v>31920</v>
      </c>
      <c r="P454" s="243">
        <f t="shared" si="98"/>
        <v>31920</v>
      </c>
      <c r="Q454" s="243">
        <f t="shared" si="99"/>
        <v>0</v>
      </c>
      <c r="R454" s="243">
        <f t="shared" si="100"/>
        <v>0</v>
      </c>
      <c r="S454" s="243">
        <f t="shared" si="94"/>
        <v>0</v>
      </c>
      <c r="T454" s="243">
        <f t="shared" si="101"/>
        <v>0</v>
      </c>
      <c r="AA454" s="6">
        <v>276</v>
      </c>
      <c r="AB454" t="s">
        <v>80</v>
      </c>
      <c r="AC454" t="s">
        <v>1054</v>
      </c>
      <c r="AE454" t="s">
        <v>140</v>
      </c>
      <c r="AF454">
        <v>16.5</v>
      </c>
      <c r="AH454">
        <v>932</v>
      </c>
      <c r="AI454" t="s">
        <v>0</v>
      </c>
      <c r="AJ454" t="s">
        <v>1864</v>
      </c>
      <c r="AK454" t="s">
        <v>984</v>
      </c>
      <c r="AL454" t="s">
        <v>980</v>
      </c>
      <c r="AM454" s="314">
        <v>31920</v>
      </c>
      <c r="AN454" s="314">
        <v>31920</v>
      </c>
      <c r="AO454" s="314">
        <v>31920</v>
      </c>
      <c r="AP454" s="314">
        <v>31920</v>
      </c>
      <c r="AQ454" s="314">
        <v>22.88</v>
      </c>
      <c r="AR454" s="314">
        <v>22.88</v>
      </c>
      <c r="AS454" s="314">
        <v>22.88</v>
      </c>
      <c r="AT454" s="314">
        <v>22.88</v>
      </c>
      <c r="AU454" s="314">
        <v>0</v>
      </c>
      <c r="AV454" s="314">
        <v>0</v>
      </c>
      <c r="AW454" s="314">
        <v>0</v>
      </c>
      <c r="AX454">
        <v>0</v>
      </c>
    </row>
    <row r="455" spans="1:50" x14ac:dyDescent="0.35">
      <c r="A455">
        <v>931</v>
      </c>
      <c r="B455" t="s">
        <v>0</v>
      </c>
      <c r="C455" t="s">
        <v>1864</v>
      </c>
      <c r="D455" t="s">
        <v>984</v>
      </c>
      <c r="E455" t="s">
        <v>981</v>
      </c>
      <c r="F455">
        <v>20</v>
      </c>
      <c r="G455">
        <v>20</v>
      </c>
      <c r="H455">
        <v>20</v>
      </c>
      <c r="I455">
        <v>20</v>
      </c>
      <c r="J455" s="600">
        <v>80</v>
      </c>
      <c r="K455" s="7">
        <f t="shared" si="95"/>
        <v>10</v>
      </c>
      <c r="L455" s="7">
        <f t="shared" si="96"/>
        <v>0</v>
      </c>
      <c r="M455" s="243">
        <f t="shared" si="97"/>
        <v>38432</v>
      </c>
      <c r="N455" s="243">
        <f>INDEX($AN$4:$AN21351,MATCH($A455,$AH$4:$AH$2000,0))</f>
        <v>38432</v>
      </c>
      <c r="O455" s="243">
        <f t="shared" si="93"/>
        <v>38432</v>
      </c>
      <c r="P455" s="243">
        <f t="shared" si="98"/>
        <v>38432</v>
      </c>
      <c r="Q455" s="243">
        <f t="shared" si="99"/>
        <v>0</v>
      </c>
      <c r="R455" s="243">
        <f t="shared" si="100"/>
        <v>0</v>
      </c>
      <c r="S455" s="243">
        <f t="shared" si="94"/>
        <v>0</v>
      </c>
      <c r="T455" s="243">
        <f t="shared" si="101"/>
        <v>0</v>
      </c>
      <c r="AA455" s="6">
        <v>269</v>
      </c>
      <c r="AB455" t="s">
        <v>80</v>
      </c>
      <c r="AC455" t="s">
        <v>1054</v>
      </c>
      <c r="AE455" t="s">
        <v>141</v>
      </c>
      <c r="AF455">
        <v>20</v>
      </c>
      <c r="AH455">
        <v>931</v>
      </c>
      <c r="AI455" t="s">
        <v>0</v>
      </c>
      <c r="AJ455" t="s">
        <v>1864</v>
      </c>
      <c r="AK455" t="s">
        <v>984</v>
      </c>
      <c r="AL455" t="s">
        <v>981</v>
      </c>
      <c r="AM455" s="314">
        <v>38432</v>
      </c>
      <c r="AN455" s="314">
        <v>38432</v>
      </c>
      <c r="AO455" s="314">
        <v>38432</v>
      </c>
      <c r="AP455" s="314">
        <v>38432</v>
      </c>
      <c r="AQ455" s="314">
        <v>25.419999999999998</v>
      </c>
      <c r="AR455" s="314">
        <v>25.419999999999998</v>
      </c>
      <c r="AS455" s="314">
        <v>25.419999999999998</v>
      </c>
      <c r="AT455" s="314">
        <v>25.419999999999998</v>
      </c>
      <c r="AU455" s="314">
        <v>0</v>
      </c>
      <c r="AV455" s="314">
        <v>0</v>
      </c>
      <c r="AW455" s="314">
        <v>0</v>
      </c>
      <c r="AX455">
        <v>0</v>
      </c>
    </row>
    <row r="456" spans="1:50" x14ac:dyDescent="0.35">
      <c r="A456">
        <v>923</v>
      </c>
      <c r="B456" t="s">
        <v>0</v>
      </c>
      <c r="C456" t="s">
        <v>1864</v>
      </c>
      <c r="D456" t="s">
        <v>984</v>
      </c>
      <c r="E456" t="s">
        <v>982</v>
      </c>
      <c r="F456">
        <v>500</v>
      </c>
      <c r="G456">
        <v>500</v>
      </c>
      <c r="H456">
        <v>500</v>
      </c>
      <c r="I456">
        <v>500</v>
      </c>
      <c r="J456" s="600">
        <v>2000</v>
      </c>
      <c r="K456" s="7">
        <f t="shared" si="95"/>
        <v>19</v>
      </c>
      <c r="L456" s="7">
        <f t="shared" si="96"/>
        <v>0</v>
      </c>
      <c r="M456" s="243">
        <f t="shared" si="97"/>
        <v>35431.947143412355</v>
      </c>
      <c r="N456" s="243">
        <f>INDEX($AN$4:$AN21352,MATCH($A456,$AH$4:$AH$2000,0))</f>
        <v>35431.947143412355</v>
      </c>
      <c r="O456" s="243">
        <f t="shared" si="93"/>
        <v>35431.947143412355</v>
      </c>
      <c r="P456" s="243">
        <f t="shared" si="98"/>
        <v>35431.947143412355</v>
      </c>
      <c r="Q456" s="243">
        <f t="shared" si="99"/>
        <v>0</v>
      </c>
      <c r="R456" s="243">
        <f t="shared" si="100"/>
        <v>0</v>
      </c>
      <c r="S456" s="243">
        <f t="shared" si="94"/>
        <v>0</v>
      </c>
      <c r="T456" s="243">
        <f t="shared" si="101"/>
        <v>0</v>
      </c>
      <c r="AA456" s="6">
        <v>272</v>
      </c>
      <c r="AB456" t="s">
        <v>80</v>
      </c>
      <c r="AC456" t="s">
        <v>1054</v>
      </c>
      <c r="AE456" t="s">
        <v>144</v>
      </c>
      <c r="AF456">
        <v>6</v>
      </c>
      <c r="AH456">
        <v>923</v>
      </c>
      <c r="AI456" t="s">
        <v>0</v>
      </c>
      <c r="AJ456" t="s">
        <v>1864</v>
      </c>
      <c r="AK456" t="s">
        <v>984</v>
      </c>
      <c r="AL456" t="s">
        <v>982</v>
      </c>
      <c r="AM456" s="314">
        <v>35431.947143412355</v>
      </c>
      <c r="AN456" s="314">
        <v>35431.947143412355</v>
      </c>
      <c r="AO456" s="314">
        <v>35431.947143412355</v>
      </c>
      <c r="AP456" s="314">
        <v>35431.947143412355</v>
      </c>
      <c r="AQ456" s="314">
        <v>4.0419743490089388</v>
      </c>
      <c r="AR456" s="314">
        <v>4.0419743490089388</v>
      </c>
      <c r="AS456" s="314">
        <v>4.0419743490089388</v>
      </c>
      <c r="AT456" s="314">
        <v>4.0419743490089388</v>
      </c>
      <c r="AU456" s="314">
        <v>0</v>
      </c>
      <c r="AV456" s="314">
        <v>0</v>
      </c>
      <c r="AW456" s="314">
        <v>0</v>
      </c>
      <c r="AX456">
        <v>0</v>
      </c>
    </row>
    <row r="457" spans="1:50" x14ac:dyDescent="0.35">
      <c r="A457">
        <v>919</v>
      </c>
      <c r="B457" t="s">
        <v>0</v>
      </c>
      <c r="C457" t="s">
        <v>1864</v>
      </c>
      <c r="D457" t="s">
        <v>984</v>
      </c>
      <c r="E457" t="s">
        <v>983</v>
      </c>
      <c r="F457">
        <v>5000</v>
      </c>
      <c r="G457">
        <v>5000</v>
      </c>
      <c r="H457">
        <v>6000</v>
      </c>
      <c r="I457">
        <v>6000</v>
      </c>
      <c r="J457" s="600">
        <v>22000</v>
      </c>
      <c r="K457" s="7">
        <f t="shared" si="95"/>
        <v>7</v>
      </c>
      <c r="L457" s="7">
        <f t="shared" si="96"/>
        <v>0</v>
      </c>
      <c r="M457" s="243">
        <f t="shared" si="97"/>
        <v>442040</v>
      </c>
      <c r="N457" s="243">
        <f>INDEX($AN$4:$AN21353,MATCH($A457,$AH$4:$AH$2000,0))</f>
        <v>442040</v>
      </c>
      <c r="O457" s="243">
        <f t="shared" si="93"/>
        <v>530448</v>
      </c>
      <c r="P457" s="243">
        <f t="shared" si="98"/>
        <v>530448</v>
      </c>
      <c r="Q457" s="243">
        <f t="shared" si="99"/>
        <v>0</v>
      </c>
      <c r="R457" s="243">
        <f t="shared" si="100"/>
        <v>0</v>
      </c>
      <c r="S457" s="243">
        <f t="shared" si="94"/>
        <v>0</v>
      </c>
      <c r="T457" s="243">
        <f t="shared" si="101"/>
        <v>0</v>
      </c>
      <c r="AA457" s="6">
        <v>310</v>
      </c>
      <c r="AB457" t="s">
        <v>80</v>
      </c>
      <c r="AC457" t="s">
        <v>1054</v>
      </c>
      <c r="AE457" t="s">
        <v>149</v>
      </c>
      <c r="AF457">
        <v>10</v>
      </c>
      <c r="AH457">
        <v>919</v>
      </c>
      <c r="AI457" t="s">
        <v>0</v>
      </c>
      <c r="AJ457" t="s">
        <v>1864</v>
      </c>
      <c r="AK457" t="s">
        <v>984</v>
      </c>
      <c r="AL457" t="s">
        <v>983</v>
      </c>
      <c r="AM457" s="314">
        <v>442040</v>
      </c>
      <c r="AN457" s="314">
        <v>442040</v>
      </c>
      <c r="AO457" s="314">
        <v>530448</v>
      </c>
      <c r="AP457" s="314">
        <v>530448</v>
      </c>
      <c r="AQ457" s="314">
        <v>49.604713143498472</v>
      </c>
      <c r="AR457" s="314">
        <v>49.604713143498472</v>
      </c>
      <c r="AS457" s="314">
        <v>59.525655772198171</v>
      </c>
      <c r="AT457" s="314">
        <v>59.525655772198171</v>
      </c>
      <c r="AU457" s="314">
        <v>0</v>
      </c>
      <c r="AV457" s="314">
        <v>0</v>
      </c>
      <c r="AW457" s="314">
        <v>0</v>
      </c>
      <c r="AX457">
        <v>0</v>
      </c>
    </row>
    <row r="458" spans="1:50" x14ac:dyDescent="0.35">
      <c r="A458">
        <v>537</v>
      </c>
      <c r="B458" t="s">
        <v>0</v>
      </c>
      <c r="C458" t="s">
        <v>1933</v>
      </c>
      <c r="D458" t="s">
        <v>878</v>
      </c>
      <c r="E458" t="s">
        <v>1798</v>
      </c>
      <c r="F458">
        <v>15006.471439999999</v>
      </c>
      <c r="G458">
        <v>0</v>
      </c>
      <c r="H458">
        <v>0</v>
      </c>
      <c r="I458">
        <v>0</v>
      </c>
      <c r="J458" s="600">
        <v>14864</v>
      </c>
      <c r="K458" s="7">
        <f t="shared" si="95"/>
        <v>10</v>
      </c>
      <c r="L458" s="7">
        <f t="shared" si="96"/>
        <v>3</v>
      </c>
      <c r="M458" s="243">
        <f t="shared" si="97"/>
        <v>579835.45166975993</v>
      </c>
      <c r="N458" s="243">
        <f>INDEX($AN$4:$AN21354,MATCH($A458,$AH$4:$AH$2000,0))</f>
        <v>0</v>
      </c>
      <c r="O458" s="243">
        <f t="shared" si="93"/>
        <v>0</v>
      </c>
      <c r="P458" s="243">
        <f t="shared" si="98"/>
        <v>0</v>
      </c>
      <c r="Q458" s="243">
        <f t="shared" si="99"/>
        <v>0</v>
      </c>
      <c r="R458" s="243">
        <f t="shared" si="100"/>
        <v>0</v>
      </c>
      <c r="S458" s="243">
        <f t="shared" si="94"/>
        <v>0</v>
      </c>
      <c r="T458" s="243">
        <f t="shared" si="101"/>
        <v>0</v>
      </c>
      <c r="AA458" s="6">
        <v>309</v>
      </c>
      <c r="AB458" t="s">
        <v>80</v>
      </c>
      <c r="AC458" t="s">
        <v>1054</v>
      </c>
      <c r="AE458" t="s">
        <v>150</v>
      </c>
      <c r="AF458">
        <v>12</v>
      </c>
      <c r="AH458">
        <v>537</v>
      </c>
      <c r="AI458" t="s">
        <v>0</v>
      </c>
      <c r="AJ458" t="s">
        <v>1933</v>
      </c>
      <c r="AK458" t="s">
        <v>878</v>
      </c>
      <c r="AL458" t="s">
        <v>1798</v>
      </c>
      <c r="AM458" s="314">
        <v>579835.45166975993</v>
      </c>
      <c r="AN458" s="314">
        <v>0</v>
      </c>
      <c r="AO458" s="314">
        <v>0</v>
      </c>
      <c r="AP458" s="314">
        <v>0</v>
      </c>
      <c r="AQ458" s="314">
        <v>55.804828295519997</v>
      </c>
      <c r="AR458" s="314">
        <v>0</v>
      </c>
      <c r="AS458" s="314">
        <v>0</v>
      </c>
      <c r="AT458" s="314">
        <v>0</v>
      </c>
      <c r="AU458" s="314">
        <v>0</v>
      </c>
      <c r="AV458" s="314">
        <v>0</v>
      </c>
      <c r="AW458" s="314">
        <v>0</v>
      </c>
      <c r="AX458">
        <v>0</v>
      </c>
    </row>
    <row r="459" spans="1:50" x14ac:dyDescent="0.35">
      <c r="A459">
        <v>538</v>
      </c>
      <c r="B459" t="s">
        <v>0</v>
      </c>
      <c r="C459" t="s">
        <v>1933</v>
      </c>
      <c r="D459" t="s">
        <v>878</v>
      </c>
      <c r="E459" t="s">
        <v>1851</v>
      </c>
      <c r="F459">
        <v>0</v>
      </c>
      <c r="G459">
        <v>15053.838756000001</v>
      </c>
      <c r="H459">
        <v>0</v>
      </c>
      <c r="I459">
        <v>0</v>
      </c>
      <c r="J459" s="600">
        <v>14916</v>
      </c>
      <c r="K459" s="7">
        <f t="shared" si="95"/>
        <v>10</v>
      </c>
      <c r="L459" s="7">
        <f t="shared" si="96"/>
        <v>2</v>
      </c>
      <c r="M459" s="243">
        <f t="shared" si="97"/>
        <v>0</v>
      </c>
      <c r="N459" s="243">
        <f>INDEX($AN$4:$AN21355,MATCH($A459,$AH$4:$AH$2000,0))</f>
        <v>581863.93952543999</v>
      </c>
      <c r="O459" s="243">
        <f t="shared" si="93"/>
        <v>0</v>
      </c>
      <c r="P459" s="243">
        <f t="shared" si="98"/>
        <v>0</v>
      </c>
      <c r="Q459" s="243">
        <f t="shared" si="99"/>
        <v>0</v>
      </c>
      <c r="R459" s="243">
        <f t="shared" si="100"/>
        <v>0</v>
      </c>
      <c r="S459" s="243">
        <f t="shared" si="94"/>
        <v>0</v>
      </c>
      <c r="T459" s="243">
        <f t="shared" si="101"/>
        <v>0</v>
      </c>
      <c r="AA459" s="6">
        <v>307</v>
      </c>
      <c r="AB459" t="s">
        <v>80</v>
      </c>
      <c r="AC459" t="s">
        <v>1054</v>
      </c>
      <c r="AE459" t="s">
        <v>151</v>
      </c>
      <c r="AF459">
        <v>12</v>
      </c>
      <c r="AH459">
        <v>538</v>
      </c>
      <c r="AI459" t="s">
        <v>0</v>
      </c>
      <c r="AJ459" t="s">
        <v>1933</v>
      </c>
      <c r="AK459" t="s">
        <v>878</v>
      </c>
      <c r="AL459" t="s">
        <v>1851</v>
      </c>
      <c r="AM459" s="314">
        <v>0</v>
      </c>
      <c r="AN459" s="314">
        <v>581863.93952543999</v>
      </c>
      <c r="AO459" s="314">
        <v>0</v>
      </c>
      <c r="AP459" s="314">
        <v>0</v>
      </c>
      <c r="AQ459" s="314">
        <v>0</v>
      </c>
      <c r="AR459" s="314">
        <v>56.00005508988</v>
      </c>
      <c r="AS459" s="314">
        <v>0</v>
      </c>
      <c r="AT459" s="314">
        <v>0</v>
      </c>
      <c r="AU459" s="314">
        <v>0</v>
      </c>
      <c r="AV459" s="314">
        <v>0</v>
      </c>
      <c r="AW459" s="314">
        <v>0</v>
      </c>
      <c r="AX459">
        <v>0</v>
      </c>
    </row>
    <row r="460" spans="1:50" x14ac:dyDescent="0.35">
      <c r="A460">
        <v>539</v>
      </c>
      <c r="B460" t="s">
        <v>0</v>
      </c>
      <c r="C460" t="s">
        <v>1933</v>
      </c>
      <c r="D460" t="s">
        <v>878</v>
      </c>
      <c r="E460" t="s">
        <v>1852</v>
      </c>
      <c r="F460">
        <v>0</v>
      </c>
      <c r="G460">
        <v>0</v>
      </c>
      <c r="H460">
        <v>13883.3316</v>
      </c>
      <c r="I460">
        <v>14896.99826328</v>
      </c>
      <c r="J460" s="600">
        <v>28503.548000000003</v>
      </c>
      <c r="K460" s="7">
        <f t="shared" si="95"/>
        <v>10</v>
      </c>
      <c r="L460" s="7">
        <f t="shared" si="96"/>
        <v>1</v>
      </c>
      <c r="M460" s="243">
        <f t="shared" si="97"/>
        <v>0</v>
      </c>
      <c r="N460" s="243">
        <f>INDEX($AN$4:$AN21356,MATCH($A460,$AH$4:$AH$2000,0))</f>
        <v>0</v>
      </c>
      <c r="O460" s="243">
        <f t="shared" si="93"/>
        <v>536457.01906367997</v>
      </c>
      <c r="P460" s="243">
        <f t="shared" si="98"/>
        <v>575448.76866308833</v>
      </c>
      <c r="Q460" s="243">
        <f t="shared" si="99"/>
        <v>0</v>
      </c>
      <c r="R460" s="243">
        <f t="shared" si="100"/>
        <v>0</v>
      </c>
      <c r="S460" s="243">
        <f t="shared" si="94"/>
        <v>0</v>
      </c>
      <c r="T460" s="243">
        <f t="shared" si="101"/>
        <v>0</v>
      </c>
      <c r="AA460" s="6">
        <v>308</v>
      </c>
      <c r="AB460" t="s">
        <v>80</v>
      </c>
      <c r="AC460" t="s">
        <v>1054</v>
      </c>
      <c r="AE460" t="s">
        <v>152</v>
      </c>
      <c r="AF460">
        <v>12</v>
      </c>
      <c r="AH460">
        <v>539</v>
      </c>
      <c r="AI460" t="s">
        <v>0</v>
      </c>
      <c r="AJ460" t="s">
        <v>1933</v>
      </c>
      <c r="AK460" t="s">
        <v>878</v>
      </c>
      <c r="AL460" t="s">
        <v>1852</v>
      </c>
      <c r="AM460" s="314">
        <v>0</v>
      </c>
      <c r="AN460" s="314">
        <v>0</v>
      </c>
      <c r="AO460" s="314">
        <v>536457.01906367997</v>
      </c>
      <c r="AP460" s="314">
        <v>575448.76866308833</v>
      </c>
      <c r="AQ460" s="314">
        <v>0</v>
      </c>
      <c r="AR460" s="314">
        <v>0</v>
      </c>
      <c r="AS460" s="314">
        <v>51.629978385359998</v>
      </c>
      <c r="AT460" s="314">
        <v>55.382642843993644</v>
      </c>
      <c r="AU460" s="314">
        <v>0</v>
      </c>
      <c r="AV460" s="314">
        <v>0</v>
      </c>
      <c r="AW460" s="314">
        <v>0</v>
      </c>
      <c r="AX460">
        <v>0</v>
      </c>
    </row>
    <row r="461" spans="1:50" x14ac:dyDescent="0.35">
      <c r="A461">
        <v>542</v>
      </c>
      <c r="B461" t="s">
        <v>0</v>
      </c>
      <c r="C461" t="s">
        <v>1933</v>
      </c>
      <c r="D461" t="s">
        <v>878</v>
      </c>
      <c r="E461" t="s">
        <v>1367</v>
      </c>
      <c r="F461">
        <v>27.912036878400002</v>
      </c>
      <c r="G461">
        <v>28.000140086159998</v>
      </c>
      <c r="H461">
        <v>25.822996776</v>
      </c>
      <c r="I461">
        <v>27.708416769700797</v>
      </c>
      <c r="J461" s="600">
        <v>108.40739927999999</v>
      </c>
      <c r="K461" s="7">
        <f t="shared" si="95"/>
        <v>25</v>
      </c>
      <c r="L461" s="7">
        <f t="shared" si="96"/>
        <v>0</v>
      </c>
      <c r="M461" s="243">
        <f t="shared" si="97"/>
        <v>29406.924799627734</v>
      </c>
      <c r="N461" s="243">
        <f>INDEX($AN$4:$AN21357,MATCH($A461,$AH$4:$AH$2000,0))</f>
        <v>29509.801554847094</v>
      </c>
      <c r="O461" s="243">
        <f t="shared" si="93"/>
        <v>27206.944957244385</v>
      </c>
      <c r="P461" s="243">
        <f t="shared" si="98"/>
        <v>29184.449859667573</v>
      </c>
      <c r="Q461" s="243">
        <f t="shared" si="99"/>
        <v>0</v>
      </c>
      <c r="R461" s="243">
        <f t="shared" si="100"/>
        <v>0</v>
      </c>
      <c r="S461" s="243">
        <f t="shared" si="94"/>
        <v>0</v>
      </c>
      <c r="T461" s="243">
        <f t="shared" si="101"/>
        <v>0</v>
      </c>
      <c r="AA461" s="6">
        <v>333</v>
      </c>
      <c r="AB461" t="s">
        <v>80</v>
      </c>
      <c r="AC461" t="s">
        <v>1054</v>
      </c>
      <c r="AE461" t="s">
        <v>153</v>
      </c>
      <c r="AF461">
        <v>12</v>
      </c>
      <c r="AH461">
        <v>542</v>
      </c>
      <c r="AI461" t="s">
        <v>0</v>
      </c>
      <c r="AJ461" t="s">
        <v>1933</v>
      </c>
      <c r="AK461" t="s">
        <v>878</v>
      </c>
      <c r="AL461" t="s">
        <v>1367</v>
      </c>
      <c r="AM461" s="314">
        <v>29406.924799627734</v>
      </c>
      <c r="AN461" s="314">
        <v>29509.801554847094</v>
      </c>
      <c r="AO461" s="314">
        <v>27206.944957244385</v>
      </c>
      <c r="AP461" s="314">
        <v>29184.449859667573</v>
      </c>
      <c r="AQ461" s="314">
        <v>3.8600532112444061</v>
      </c>
      <c r="AR461" s="314">
        <v>3.8735571648897706</v>
      </c>
      <c r="AS461" s="314">
        <v>3.571276356366595</v>
      </c>
      <c r="AT461" s="314">
        <v>3.8308503921034704</v>
      </c>
      <c r="AU461" s="314">
        <v>0</v>
      </c>
      <c r="AV461" s="314">
        <v>0</v>
      </c>
      <c r="AW461" s="314">
        <v>0</v>
      </c>
      <c r="AX461">
        <v>0</v>
      </c>
    </row>
    <row r="462" spans="1:50" x14ac:dyDescent="0.35">
      <c r="A462">
        <v>541</v>
      </c>
      <c r="B462" t="s">
        <v>0</v>
      </c>
      <c r="C462" t="s">
        <v>1933</v>
      </c>
      <c r="D462" t="s">
        <v>878</v>
      </c>
      <c r="E462" t="s">
        <v>1369</v>
      </c>
      <c r="F462">
        <v>6.9780092196000005</v>
      </c>
      <c r="G462">
        <v>7.0000350215399996</v>
      </c>
      <c r="H462">
        <v>6.455749194</v>
      </c>
      <c r="I462">
        <v>6.9271041924251993</v>
      </c>
      <c r="J462" s="600">
        <v>27.101849819999998</v>
      </c>
      <c r="K462" s="7">
        <f t="shared" si="95"/>
        <v>25</v>
      </c>
      <c r="L462" s="7">
        <f t="shared" si="96"/>
        <v>0</v>
      </c>
      <c r="M462" s="243">
        <f t="shared" si="97"/>
        <v>30714.753509085462</v>
      </c>
      <c r="N462" s="243">
        <f>INDEX($AN$4:$AN21358,MATCH($A462,$AH$4:$AH$2000,0))</f>
        <v>30822.20555311616</v>
      </c>
      <c r="O462" s="243">
        <f t="shared" si="93"/>
        <v>28416.93287519801</v>
      </c>
      <c r="P462" s="243">
        <f t="shared" si="98"/>
        <v>30482.384331098121</v>
      </c>
      <c r="Q462" s="243">
        <f t="shared" si="99"/>
        <v>0</v>
      </c>
      <c r="R462" s="243">
        <f t="shared" si="100"/>
        <v>0</v>
      </c>
      <c r="S462" s="243">
        <f t="shared" si="94"/>
        <v>0</v>
      </c>
      <c r="T462" s="243">
        <f t="shared" si="101"/>
        <v>0</v>
      </c>
      <c r="AA462" s="6">
        <v>338</v>
      </c>
      <c r="AB462" t="s">
        <v>80</v>
      </c>
      <c r="AC462" t="s">
        <v>1054</v>
      </c>
      <c r="AE462" t="s">
        <v>154</v>
      </c>
      <c r="AF462">
        <v>12</v>
      </c>
      <c r="AH462">
        <v>541</v>
      </c>
      <c r="AI462" t="s">
        <v>0</v>
      </c>
      <c r="AJ462" t="s">
        <v>1933</v>
      </c>
      <c r="AK462" t="s">
        <v>878</v>
      </c>
      <c r="AL462" t="s">
        <v>1369</v>
      </c>
      <c r="AM462" s="314">
        <v>30714.753509085462</v>
      </c>
      <c r="AN462" s="314">
        <v>30822.20555311616</v>
      </c>
      <c r="AO462" s="314">
        <v>28416.93287519801</v>
      </c>
      <c r="AP462" s="314">
        <v>30482.384331098121</v>
      </c>
      <c r="AQ462" s="314">
        <v>4.0317232666513485</v>
      </c>
      <c r="AR462" s="314">
        <v>4.0458277883054024</v>
      </c>
      <c r="AS462" s="314">
        <v>3.7301034958954076</v>
      </c>
      <c r="AT462" s="314">
        <v>4.0012216960928519</v>
      </c>
      <c r="AU462" s="314">
        <v>0</v>
      </c>
      <c r="AV462" s="314">
        <v>0</v>
      </c>
      <c r="AW462" s="314">
        <v>0</v>
      </c>
      <c r="AX462">
        <v>0</v>
      </c>
    </row>
    <row r="463" spans="1:50" x14ac:dyDescent="0.35">
      <c r="A463">
        <v>534</v>
      </c>
      <c r="B463" t="s">
        <v>0</v>
      </c>
      <c r="C463" t="s">
        <v>1933</v>
      </c>
      <c r="D463" t="s">
        <v>878</v>
      </c>
      <c r="E463" t="s">
        <v>711</v>
      </c>
      <c r="F463">
        <v>34.890046098000006</v>
      </c>
      <c r="G463">
        <v>35.000175107699995</v>
      </c>
      <c r="H463">
        <v>32.278745969999996</v>
      </c>
      <c r="I463">
        <v>34.635520962125995</v>
      </c>
      <c r="J463" s="600">
        <v>135.50924910000001</v>
      </c>
      <c r="K463" s="7">
        <f t="shared" si="95"/>
        <v>15</v>
      </c>
      <c r="L463" s="7">
        <f t="shared" si="96"/>
        <v>0</v>
      </c>
      <c r="M463" s="243">
        <f t="shared" si="97"/>
        <v>5714.6431680000014</v>
      </c>
      <c r="N463" s="243">
        <f>INDEX($AN$4:$AN21359,MATCH($A463,$AH$4:$AH$2000,0))</f>
        <v>5734.6351919999997</v>
      </c>
      <c r="O463" s="243">
        <f t="shared" si="93"/>
        <v>5287.1214239999999</v>
      </c>
      <c r="P463" s="243">
        <f t="shared" si="98"/>
        <v>5671.4096471760004</v>
      </c>
      <c r="Q463" s="243">
        <f t="shared" si="99"/>
        <v>0</v>
      </c>
      <c r="R463" s="243">
        <f t="shared" si="100"/>
        <v>0</v>
      </c>
      <c r="S463" s="243">
        <f t="shared" si="94"/>
        <v>0</v>
      </c>
      <c r="T463" s="243">
        <f t="shared" si="101"/>
        <v>0</v>
      </c>
      <c r="AA463" s="6">
        <v>332</v>
      </c>
      <c r="AB463" t="s">
        <v>80</v>
      </c>
      <c r="AC463" t="s">
        <v>1054</v>
      </c>
      <c r="AE463" t="s">
        <v>155</v>
      </c>
      <c r="AF463">
        <v>10</v>
      </c>
      <c r="AH463">
        <v>534</v>
      </c>
      <c r="AI463" t="s">
        <v>0</v>
      </c>
      <c r="AJ463" t="s">
        <v>1933</v>
      </c>
      <c r="AK463" t="s">
        <v>878</v>
      </c>
      <c r="AL463" t="s">
        <v>711</v>
      </c>
      <c r="AM463" s="314">
        <v>5714.6431680000014</v>
      </c>
      <c r="AN463" s="314">
        <v>5734.6351919999997</v>
      </c>
      <c r="AO463" s="314">
        <v>5287.1214239999999</v>
      </c>
      <c r="AP463" s="314">
        <v>5671.4096471760004</v>
      </c>
      <c r="AQ463" s="314">
        <v>5.8611724800000022</v>
      </c>
      <c r="AR463" s="314">
        <v>5.8816771200000009</v>
      </c>
      <c r="AS463" s="314">
        <v>5.4226886400000005</v>
      </c>
      <c r="AT463" s="314">
        <v>5.8168304073600003</v>
      </c>
      <c r="AU463" s="314">
        <v>0</v>
      </c>
      <c r="AV463" s="314">
        <v>0</v>
      </c>
      <c r="AW463" s="314">
        <v>0</v>
      </c>
      <c r="AX463">
        <v>0</v>
      </c>
    </row>
    <row r="464" spans="1:50" x14ac:dyDescent="0.35">
      <c r="A464">
        <v>470</v>
      </c>
      <c r="B464" t="s">
        <v>0</v>
      </c>
      <c r="C464" t="s">
        <v>838</v>
      </c>
      <c r="D464" t="s">
        <v>1007</v>
      </c>
      <c r="E464" t="s">
        <v>987</v>
      </c>
      <c r="F464">
        <v>50000</v>
      </c>
      <c r="G464">
        <v>0</v>
      </c>
      <c r="H464">
        <v>0</v>
      </c>
      <c r="I464">
        <v>0</v>
      </c>
      <c r="J464" s="600">
        <v>50000</v>
      </c>
      <c r="K464" s="7">
        <f t="shared" si="95"/>
        <v>1</v>
      </c>
      <c r="L464" s="7">
        <f t="shared" si="96"/>
        <v>0</v>
      </c>
      <c r="M464" s="243">
        <f t="shared" si="97"/>
        <v>6290000</v>
      </c>
      <c r="N464" s="243">
        <f>INDEX($AN$4:$AN21360,MATCH($A464,$AH$4:$AH$2000,0))</f>
        <v>0</v>
      </c>
      <c r="O464" s="243">
        <f t="shared" ref="O464:O483" si="102">INDEX($AO$4:$AO$2000,MATCH($A464,$AH$4:$AH$2000,0))</f>
        <v>0</v>
      </c>
      <c r="P464" s="243">
        <f t="shared" si="98"/>
        <v>0</v>
      </c>
      <c r="Q464" s="243">
        <f t="shared" si="99"/>
        <v>229999.99999999997</v>
      </c>
      <c r="R464" s="243">
        <f t="shared" si="100"/>
        <v>0</v>
      </c>
      <c r="S464" s="243">
        <f t="shared" ref="S464:S483" si="103">INDEX($AW$4:$AW$2000,MATCH($A464,$AH$4:$AH$2000,0))</f>
        <v>0</v>
      </c>
      <c r="T464" s="243">
        <f t="shared" si="101"/>
        <v>0</v>
      </c>
      <c r="AA464" s="6">
        <v>312</v>
      </c>
      <c r="AB464" t="s">
        <v>80</v>
      </c>
      <c r="AC464" t="s">
        <v>1054</v>
      </c>
      <c r="AE464" t="s">
        <v>158</v>
      </c>
      <c r="AF464">
        <v>15</v>
      </c>
      <c r="AH464">
        <v>470</v>
      </c>
      <c r="AI464" t="s">
        <v>0</v>
      </c>
      <c r="AJ464" t="s">
        <v>838</v>
      </c>
      <c r="AK464" t="s">
        <v>1007</v>
      </c>
      <c r="AL464" t="s">
        <v>987</v>
      </c>
      <c r="AM464" s="314">
        <v>6290000</v>
      </c>
      <c r="AN464" s="314">
        <v>0</v>
      </c>
      <c r="AO464" s="314">
        <v>0</v>
      </c>
      <c r="AP464" s="314">
        <v>0</v>
      </c>
      <c r="AQ464" s="314">
        <v>1113.013698630137</v>
      </c>
      <c r="AR464" s="314">
        <v>0</v>
      </c>
      <c r="AS464" s="314">
        <v>0</v>
      </c>
      <c r="AT464" s="314">
        <v>0</v>
      </c>
      <c r="AU464" s="314">
        <v>229999.99999999997</v>
      </c>
      <c r="AV464" s="314">
        <v>0</v>
      </c>
      <c r="AW464" s="314">
        <v>0</v>
      </c>
      <c r="AX464">
        <v>0</v>
      </c>
    </row>
    <row r="465" spans="1:50" x14ac:dyDescent="0.35">
      <c r="A465">
        <v>475</v>
      </c>
      <c r="B465" t="s">
        <v>0</v>
      </c>
      <c r="C465" t="s">
        <v>838</v>
      </c>
      <c r="D465" t="s">
        <v>1007</v>
      </c>
      <c r="E465" t="s">
        <v>988</v>
      </c>
      <c r="F465">
        <v>0</v>
      </c>
      <c r="G465">
        <v>50000</v>
      </c>
      <c r="H465">
        <v>0</v>
      </c>
      <c r="I465">
        <v>0</v>
      </c>
      <c r="J465" s="600">
        <v>50000</v>
      </c>
      <c r="K465" s="7">
        <f t="shared" si="95"/>
        <v>1</v>
      </c>
      <c r="L465" s="7">
        <f t="shared" si="96"/>
        <v>0</v>
      </c>
      <c r="M465" s="243">
        <f t="shared" si="97"/>
        <v>0</v>
      </c>
      <c r="N465" s="243">
        <f>INDEX($AN$4:$AN21361,MATCH($A465,$AH$4:$AH$2000,0))</f>
        <v>6290000</v>
      </c>
      <c r="O465" s="243">
        <f t="shared" si="102"/>
        <v>0</v>
      </c>
      <c r="P465" s="243">
        <f t="shared" si="98"/>
        <v>0</v>
      </c>
      <c r="Q465" s="243">
        <f t="shared" si="99"/>
        <v>0</v>
      </c>
      <c r="R465" s="243">
        <f t="shared" si="100"/>
        <v>229999.99999999997</v>
      </c>
      <c r="S465" s="243">
        <f t="shared" si="103"/>
        <v>0</v>
      </c>
      <c r="T465" s="243">
        <f t="shared" si="101"/>
        <v>0</v>
      </c>
      <c r="AA465" s="6">
        <v>325</v>
      </c>
      <c r="AB465" t="s">
        <v>80</v>
      </c>
      <c r="AC465" t="s">
        <v>1054</v>
      </c>
      <c r="AE465" t="s">
        <v>160</v>
      </c>
      <c r="AF465">
        <v>8</v>
      </c>
      <c r="AH465">
        <v>475</v>
      </c>
      <c r="AI465" t="s">
        <v>0</v>
      </c>
      <c r="AJ465" t="s">
        <v>838</v>
      </c>
      <c r="AK465" t="s">
        <v>1007</v>
      </c>
      <c r="AL465" t="s">
        <v>988</v>
      </c>
      <c r="AM465" s="314">
        <v>0</v>
      </c>
      <c r="AN465" s="314">
        <v>6290000</v>
      </c>
      <c r="AO465" s="314">
        <v>0</v>
      </c>
      <c r="AP465" s="314">
        <v>0</v>
      </c>
      <c r="AQ465" s="314">
        <v>0</v>
      </c>
      <c r="AR465" s="314">
        <v>1113.013698630137</v>
      </c>
      <c r="AS465" s="314">
        <v>0</v>
      </c>
      <c r="AT465" s="314">
        <v>0</v>
      </c>
      <c r="AU465" s="314">
        <v>0</v>
      </c>
      <c r="AV465" s="314">
        <v>229999.99999999997</v>
      </c>
      <c r="AW465" s="314">
        <v>0</v>
      </c>
      <c r="AX465">
        <v>0</v>
      </c>
    </row>
    <row r="466" spans="1:50" x14ac:dyDescent="0.35">
      <c r="A466">
        <v>480</v>
      </c>
      <c r="B466" t="s">
        <v>0</v>
      </c>
      <c r="C466" t="s">
        <v>838</v>
      </c>
      <c r="D466" t="s">
        <v>1007</v>
      </c>
      <c r="E466" t="s">
        <v>989</v>
      </c>
      <c r="F466">
        <v>0</v>
      </c>
      <c r="G466">
        <v>0</v>
      </c>
      <c r="H466">
        <v>50000</v>
      </c>
      <c r="I466">
        <v>0</v>
      </c>
      <c r="J466" s="600">
        <v>50000</v>
      </c>
      <c r="K466" s="7">
        <f t="shared" si="95"/>
        <v>1</v>
      </c>
      <c r="L466" s="7">
        <f t="shared" si="96"/>
        <v>0</v>
      </c>
      <c r="M466" s="243">
        <f t="shared" si="97"/>
        <v>0</v>
      </c>
      <c r="N466" s="243">
        <f>INDEX($AN$4:$AN21362,MATCH($A466,$AH$4:$AH$2000,0))</f>
        <v>0</v>
      </c>
      <c r="O466" s="243">
        <f t="shared" si="102"/>
        <v>6290000</v>
      </c>
      <c r="P466" s="243">
        <f t="shared" si="98"/>
        <v>0</v>
      </c>
      <c r="Q466" s="243">
        <f t="shared" si="99"/>
        <v>0</v>
      </c>
      <c r="R466" s="243">
        <f t="shared" si="100"/>
        <v>0</v>
      </c>
      <c r="S466" s="243">
        <f t="shared" si="103"/>
        <v>229999.99999999997</v>
      </c>
      <c r="T466" s="243">
        <f t="shared" si="101"/>
        <v>0</v>
      </c>
      <c r="AA466" s="6">
        <v>283</v>
      </c>
      <c r="AB466" t="s">
        <v>80</v>
      </c>
      <c r="AC466" t="s">
        <v>1054</v>
      </c>
      <c r="AE466" t="s">
        <v>161</v>
      </c>
      <c r="AF466">
        <v>14</v>
      </c>
      <c r="AH466">
        <v>480</v>
      </c>
      <c r="AI466" t="s">
        <v>0</v>
      </c>
      <c r="AJ466" t="s">
        <v>838</v>
      </c>
      <c r="AK466" t="s">
        <v>1007</v>
      </c>
      <c r="AL466" t="s">
        <v>989</v>
      </c>
      <c r="AM466" s="314">
        <v>0</v>
      </c>
      <c r="AN466" s="314">
        <v>0</v>
      </c>
      <c r="AO466" s="314">
        <v>6290000</v>
      </c>
      <c r="AP466" s="314">
        <v>0</v>
      </c>
      <c r="AQ466" s="314">
        <v>0</v>
      </c>
      <c r="AR466" s="314">
        <v>0</v>
      </c>
      <c r="AS466" s="314">
        <v>1113.013698630137</v>
      </c>
      <c r="AT466" s="314">
        <v>0</v>
      </c>
      <c r="AU466" s="314">
        <v>0</v>
      </c>
      <c r="AV466" s="314">
        <v>0</v>
      </c>
      <c r="AW466" s="314">
        <v>229999.99999999997</v>
      </c>
      <c r="AX466">
        <v>0</v>
      </c>
    </row>
    <row r="467" spans="1:50" x14ac:dyDescent="0.35">
      <c r="A467">
        <v>485</v>
      </c>
      <c r="B467" t="s">
        <v>0</v>
      </c>
      <c r="C467" t="s">
        <v>838</v>
      </c>
      <c r="D467" t="s">
        <v>1007</v>
      </c>
      <c r="E467" t="s">
        <v>990</v>
      </c>
      <c r="F467">
        <v>0</v>
      </c>
      <c r="G467">
        <v>0</v>
      </c>
      <c r="H467">
        <v>0</v>
      </c>
      <c r="I467">
        <v>50000</v>
      </c>
      <c r="J467" s="600">
        <v>50000</v>
      </c>
      <c r="K467" s="7">
        <f t="shared" si="95"/>
        <v>1</v>
      </c>
      <c r="L467" s="7">
        <f t="shared" si="96"/>
        <v>0</v>
      </c>
      <c r="M467" s="243">
        <f t="shared" si="97"/>
        <v>0</v>
      </c>
      <c r="N467" s="243">
        <f>INDEX($AN$4:$AN21363,MATCH($A467,$AH$4:$AH$2000,0))</f>
        <v>0</v>
      </c>
      <c r="O467" s="243">
        <f t="shared" si="102"/>
        <v>0</v>
      </c>
      <c r="P467" s="243">
        <f t="shared" si="98"/>
        <v>6290000</v>
      </c>
      <c r="Q467" s="243">
        <f t="shared" si="99"/>
        <v>0</v>
      </c>
      <c r="R467" s="243">
        <f t="shared" si="100"/>
        <v>0</v>
      </c>
      <c r="S467" s="243">
        <f t="shared" si="103"/>
        <v>0</v>
      </c>
      <c r="T467" s="243">
        <f t="shared" si="101"/>
        <v>229999.99999999997</v>
      </c>
      <c r="AA467" s="6">
        <v>285</v>
      </c>
      <c r="AB467" t="s">
        <v>80</v>
      </c>
      <c r="AC467" t="s">
        <v>1054</v>
      </c>
      <c r="AE467" t="s">
        <v>241</v>
      </c>
      <c r="AF467">
        <v>15</v>
      </c>
      <c r="AH467">
        <v>485</v>
      </c>
      <c r="AI467" t="s">
        <v>0</v>
      </c>
      <c r="AJ467" t="s">
        <v>838</v>
      </c>
      <c r="AK467" t="s">
        <v>1007</v>
      </c>
      <c r="AL467" t="s">
        <v>990</v>
      </c>
      <c r="AM467" s="314">
        <v>0</v>
      </c>
      <c r="AN467" s="314">
        <v>0</v>
      </c>
      <c r="AO467" s="314">
        <v>0</v>
      </c>
      <c r="AP467" s="314">
        <v>6290000</v>
      </c>
      <c r="AQ467" s="314">
        <v>0</v>
      </c>
      <c r="AR467" s="314">
        <v>0</v>
      </c>
      <c r="AS467" s="314">
        <v>0</v>
      </c>
      <c r="AT467" s="314">
        <v>1113.013698630137</v>
      </c>
      <c r="AU467" s="314">
        <v>0</v>
      </c>
      <c r="AV467" s="314">
        <v>0</v>
      </c>
      <c r="AW467" s="314">
        <v>0</v>
      </c>
      <c r="AX467">
        <v>229999.99999999997</v>
      </c>
    </row>
    <row r="468" spans="1:50" x14ac:dyDescent="0.35">
      <c r="A468">
        <v>471</v>
      </c>
      <c r="B468" t="s">
        <v>0</v>
      </c>
      <c r="C468" t="s">
        <v>838</v>
      </c>
      <c r="D468" t="s">
        <v>1007</v>
      </c>
      <c r="E468" t="s">
        <v>991</v>
      </c>
      <c r="F468">
        <v>50000</v>
      </c>
      <c r="G468">
        <v>0</v>
      </c>
      <c r="H468">
        <v>0</v>
      </c>
      <c r="I468">
        <v>0</v>
      </c>
      <c r="J468" s="600">
        <v>50000</v>
      </c>
      <c r="K468" s="7">
        <f t="shared" si="95"/>
        <v>2</v>
      </c>
      <c r="L468" s="7">
        <f t="shared" si="96"/>
        <v>1</v>
      </c>
      <c r="M468" s="243">
        <f t="shared" si="97"/>
        <v>5032000</v>
      </c>
      <c r="N468" s="243">
        <f>INDEX($AN$4:$AN21364,MATCH($A468,$AH$4:$AH$2000,0))</f>
        <v>0</v>
      </c>
      <c r="O468" s="243">
        <f t="shared" si="102"/>
        <v>0</v>
      </c>
      <c r="P468" s="243">
        <f t="shared" si="98"/>
        <v>0</v>
      </c>
      <c r="Q468" s="243">
        <f t="shared" si="99"/>
        <v>103499.99999999999</v>
      </c>
      <c r="R468" s="243">
        <f t="shared" si="100"/>
        <v>0</v>
      </c>
      <c r="S468" s="243">
        <f t="shared" si="103"/>
        <v>0</v>
      </c>
      <c r="T468" s="243">
        <f t="shared" si="101"/>
        <v>0</v>
      </c>
      <c r="AA468" s="6">
        <v>330</v>
      </c>
      <c r="AB468" t="s">
        <v>80</v>
      </c>
      <c r="AC468" t="s">
        <v>1054</v>
      </c>
      <c r="AE468" t="s">
        <v>163</v>
      </c>
      <c r="AF468">
        <v>6.6</v>
      </c>
      <c r="AH468">
        <v>471</v>
      </c>
      <c r="AI468" t="s">
        <v>0</v>
      </c>
      <c r="AJ468" t="s">
        <v>838</v>
      </c>
      <c r="AK468" t="s">
        <v>1007</v>
      </c>
      <c r="AL468" t="s">
        <v>991</v>
      </c>
      <c r="AM468" s="314">
        <v>5032000</v>
      </c>
      <c r="AN468" s="314">
        <v>0</v>
      </c>
      <c r="AO468" s="314">
        <v>0</v>
      </c>
      <c r="AP468" s="314">
        <v>0</v>
      </c>
      <c r="AQ468" s="314">
        <v>890.41095890410952</v>
      </c>
      <c r="AR468" s="314">
        <v>0</v>
      </c>
      <c r="AS468" s="314">
        <v>0</v>
      </c>
      <c r="AT468" s="314">
        <v>0</v>
      </c>
      <c r="AU468" s="314">
        <v>103499.99999999999</v>
      </c>
      <c r="AV468" s="314">
        <v>0</v>
      </c>
      <c r="AW468" s="314">
        <v>0</v>
      </c>
      <c r="AX468">
        <v>0</v>
      </c>
    </row>
    <row r="469" spans="1:50" x14ac:dyDescent="0.35">
      <c r="A469">
        <v>472</v>
      </c>
      <c r="B469" t="s">
        <v>0</v>
      </c>
      <c r="C469" t="s">
        <v>838</v>
      </c>
      <c r="D469" t="s">
        <v>1007</v>
      </c>
      <c r="E469" t="s">
        <v>992</v>
      </c>
      <c r="F469">
        <v>50000</v>
      </c>
      <c r="G469">
        <v>0</v>
      </c>
      <c r="H469">
        <v>0</v>
      </c>
      <c r="I469">
        <v>0</v>
      </c>
      <c r="J469" s="600">
        <v>50000</v>
      </c>
      <c r="K469" s="7">
        <f t="shared" si="95"/>
        <v>3</v>
      </c>
      <c r="L469" s="7">
        <f t="shared" si="96"/>
        <v>2</v>
      </c>
      <c r="M469" s="243">
        <f t="shared" si="97"/>
        <v>4025600</v>
      </c>
      <c r="N469" s="243">
        <f>INDEX($AN$4:$AN21365,MATCH($A469,$AH$4:$AH$2000,0))</f>
        <v>0</v>
      </c>
      <c r="O469" s="243">
        <f t="shared" si="102"/>
        <v>0</v>
      </c>
      <c r="P469" s="243">
        <f t="shared" si="98"/>
        <v>0</v>
      </c>
      <c r="Q469" s="243">
        <f t="shared" si="99"/>
        <v>46000</v>
      </c>
      <c r="R469" s="243">
        <f t="shared" si="100"/>
        <v>0</v>
      </c>
      <c r="S469" s="243">
        <f t="shared" si="103"/>
        <v>0</v>
      </c>
      <c r="T469" s="243">
        <f t="shared" si="101"/>
        <v>0</v>
      </c>
      <c r="AA469" s="6">
        <v>277</v>
      </c>
      <c r="AB469" t="s">
        <v>80</v>
      </c>
      <c r="AC469" t="s">
        <v>1054</v>
      </c>
      <c r="AE469" t="s">
        <v>165</v>
      </c>
      <c r="AF469">
        <v>12</v>
      </c>
      <c r="AH469">
        <v>472</v>
      </c>
      <c r="AI469" t="s">
        <v>0</v>
      </c>
      <c r="AJ469" t="s">
        <v>838</v>
      </c>
      <c r="AK469" t="s">
        <v>1007</v>
      </c>
      <c r="AL469" t="s">
        <v>992</v>
      </c>
      <c r="AM469" s="314">
        <v>4025600</v>
      </c>
      <c r="AN469" s="314">
        <v>0</v>
      </c>
      <c r="AO469" s="314">
        <v>0</v>
      </c>
      <c r="AP469" s="314">
        <v>0</v>
      </c>
      <c r="AQ469" s="314">
        <v>712.32876712328766</v>
      </c>
      <c r="AR469" s="314">
        <v>0</v>
      </c>
      <c r="AS469" s="314">
        <v>0</v>
      </c>
      <c r="AT469" s="314">
        <v>0</v>
      </c>
      <c r="AU469" s="314">
        <v>46000</v>
      </c>
      <c r="AV469" s="314">
        <v>0</v>
      </c>
      <c r="AW469" s="314">
        <v>0</v>
      </c>
      <c r="AX469">
        <v>0</v>
      </c>
    </row>
    <row r="470" spans="1:50" x14ac:dyDescent="0.35">
      <c r="A470">
        <v>473</v>
      </c>
      <c r="B470" t="s">
        <v>0</v>
      </c>
      <c r="C470" t="s">
        <v>838</v>
      </c>
      <c r="D470" t="s">
        <v>1007</v>
      </c>
      <c r="E470" t="s">
        <v>993</v>
      </c>
      <c r="F470">
        <v>50000</v>
      </c>
      <c r="G470">
        <v>0</v>
      </c>
      <c r="H470">
        <v>0</v>
      </c>
      <c r="I470">
        <v>0</v>
      </c>
      <c r="J470" s="600">
        <v>50000</v>
      </c>
      <c r="K470" s="7">
        <f t="shared" si="95"/>
        <v>4</v>
      </c>
      <c r="L470" s="7">
        <f t="shared" si="96"/>
        <v>3</v>
      </c>
      <c r="M470" s="243">
        <f t="shared" si="97"/>
        <v>3207900</v>
      </c>
      <c r="N470" s="243">
        <f>INDEX($AN$4:$AN21366,MATCH($A470,$AH$4:$AH$2000,0))</f>
        <v>0</v>
      </c>
      <c r="O470" s="243">
        <f t="shared" si="102"/>
        <v>0</v>
      </c>
      <c r="P470" s="243">
        <f t="shared" si="98"/>
        <v>0</v>
      </c>
      <c r="Q470" s="243">
        <f t="shared" si="99"/>
        <v>20700</v>
      </c>
      <c r="R470" s="243">
        <f t="shared" si="100"/>
        <v>0</v>
      </c>
      <c r="S470" s="243">
        <f t="shared" si="103"/>
        <v>0</v>
      </c>
      <c r="T470" s="243">
        <f t="shared" si="101"/>
        <v>0</v>
      </c>
      <c r="AA470" s="6">
        <v>337</v>
      </c>
      <c r="AB470" t="s">
        <v>80</v>
      </c>
      <c r="AC470" t="s">
        <v>1054</v>
      </c>
      <c r="AE470" t="s">
        <v>167</v>
      </c>
      <c r="AF470" s="1">
        <v>8</v>
      </c>
      <c r="AH470">
        <v>473</v>
      </c>
      <c r="AI470" t="s">
        <v>0</v>
      </c>
      <c r="AJ470" t="s">
        <v>838</v>
      </c>
      <c r="AK470" t="s">
        <v>1007</v>
      </c>
      <c r="AL470" t="s">
        <v>993</v>
      </c>
      <c r="AM470" s="314">
        <v>3207900</v>
      </c>
      <c r="AN470" s="314">
        <v>0</v>
      </c>
      <c r="AO470" s="314">
        <v>0</v>
      </c>
      <c r="AP470" s="314">
        <v>0</v>
      </c>
      <c r="AQ470" s="314">
        <v>567.6369863013698</v>
      </c>
      <c r="AR470" s="314">
        <v>0</v>
      </c>
      <c r="AS470" s="314">
        <v>0</v>
      </c>
      <c r="AT470" s="314">
        <v>0</v>
      </c>
      <c r="AU470" s="314">
        <v>20700</v>
      </c>
      <c r="AV470" s="314">
        <v>0</v>
      </c>
      <c r="AW470" s="314">
        <v>0</v>
      </c>
      <c r="AX470">
        <v>0</v>
      </c>
    </row>
    <row r="471" spans="1:50" x14ac:dyDescent="0.35">
      <c r="A471">
        <v>474</v>
      </c>
      <c r="B471" t="s">
        <v>0</v>
      </c>
      <c r="C471" t="s">
        <v>838</v>
      </c>
      <c r="D471" t="s">
        <v>1007</v>
      </c>
      <c r="E471" t="s">
        <v>994</v>
      </c>
      <c r="F471">
        <v>50000</v>
      </c>
      <c r="G471">
        <v>0</v>
      </c>
      <c r="H471">
        <v>0</v>
      </c>
      <c r="I471">
        <v>0</v>
      </c>
      <c r="J471" s="600">
        <v>50000</v>
      </c>
      <c r="K471" s="7">
        <f t="shared" si="95"/>
        <v>5</v>
      </c>
      <c r="L471" s="7">
        <f t="shared" si="96"/>
        <v>4</v>
      </c>
      <c r="M471" s="243">
        <f t="shared" si="97"/>
        <v>2578900</v>
      </c>
      <c r="N471" s="243">
        <f>INDEX($AN$4:$AN21367,MATCH($A471,$AH$4:$AH$2000,0))</f>
        <v>0</v>
      </c>
      <c r="O471" s="243">
        <f t="shared" si="102"/>
        <v>0</v>
      </c>
      <c r="P471" s="243">
        <f t="shared" si="98"/>
        <v>0</v>
      </c>
      <c r="Q471" s="243">
        <f t="shared" si="99"/>
        <v>9200</v>
      </c>
      <c r="R471" s="243">
        <f t="shared" si="100"/>
        <v>0</v>
      </c>
      <c r="S471" s="243">
        <f t="shared" si="103"/>
        <v>0</v>
      </c>
      <c r="T471" s="243">
        <f t="shared" si="101"/>
        <v>0</v>
      </c>
      <c r="AA471" s="6">
        <v>273</v>
      </c>
      <c r="AB471" t="s">
        <v>80</v>
      </c>
      <c r="AC471" t="s">
        <v>1054</v>
      </c>
      <c r="AE471" t="s">
        <v>168</v>
      </c>
      <c r="AF471">
        <v>10</v>
      </c>
      <c r="AH471">
        <v>474</v>
      </c>
      <c r="AI471" t="s">
        <v>0</v>
      </c>
      <c r="AJ471" t="s">
        <v>838</v>
      </c>
      <c r="AK471" t="s">
        <v>1007</v>
      </c>
      <c r="AL471" t="s">
        <v>994</v>
      </c>
      <c r="AM471" s="314">
        <v>2578900</v>
      </c>
      <c r="AN471" s="314">
        <v>0</v>
      </c>
      <c r="AO471" s="314">
        <v>0</v>
      </c>
      <c r="AP471" s="314">
        <v>0</v>
      </c>
      <c r="AQ471" s="314">
        <v>456.33561643835606</v>
      </c>
      <c r="AR471" s="314">
        <v>0</v>
      </c>
      <c r="AS471" s="314">
        <v>0</v>
      </c>
      <c r="AT471" s="314">
        <v>0</v>
      </c>
      <c r="AU471" s="314">
        <v>9200</v>
      </c>
      <c r="AV471" s="314">
        <v>0</v>
      </c>
      <c r="AW471" s="314">
        <v>0</v>
      </c>
      <c r="AX471">
        <v>0</v>
      </c>
    </row>
    <row r="472" spans="1:50" x14ac:dyDescent="0.35">
      <c r="A472">
        <v>476</v>
      </c>
      <c r="B472" t="s">
        <v>0</v>
      </c>
      <c r="C472" t="s">
        <v>838</v>
      </c>
      <c r="D472" t="s">
        <v>1007</v>
      </c>
      <c r="E472" t="s">
        <v>995</v>
      </c>
      <c r="F472">
        <v>0</v>
      </c>
      <c r="G472">
        <v>50000</v>
      </c>
      <c r="H472">
        <v>0</v>
      </c>
      <c r="I472">
        <v>0</v>
      </c>
      <c r="J472" s="600">
        <v>50000</v>
      </c>
      <c r="K472" s="7">
        <f t="shared" si="95"/>
        <v>2</v>
      </c>
      <c r="L472" s="7">
        <f t="shared" si="96"/>
        <v>1</v>
      </c>
      <c r="M472" s="243">
        <f t="shared" si="97"/>
        <v>0</v>
      </c>
      <c r="N472" s="243">
        <f>INDEX($AN$4:$AN21368,MATCH($A472,$AH$4:$AH$2000,0))</f>
        <v>5232000.0000000009</v>
      </c>
      <c r="O472" s="243">
        <f t="shared" si="102"/>
        <v>0</v>
      </c>
      <c r="P472" s="243">
        <f t="shared" si="98"/>
        <v>0</v>
      </c>
      <c r="Q472" s="243">
        <f t="shared" si="99"/>
        <v>0</v>
      </c>
      <c r="R472" s="243">
        <f t="shared" si="100"/>
        <v>116100</v>
      </c>
      <c r="S472" s="243">
        <f t="shared" si="103"/>
        <v>0</v>
      </c>
      <c r="T472" s="243">
        <f t="shared" si="101"/>
        <v>0</v>
      </c>
      <c r="AA472" s="6">
        <v>284</v>
      </c>
      <c r="AB472" t="s">
        <v>80</v>
      </c>
      <c r="AC472" t="s">
        <v>1054</v>
      </c>
      <c r="AE472" t="s">
        <v>169</v>
      </c>
      <c r="AF472">
        <v>4</v>
      </c>
      <c r="AH472">
        <v>476</v>
      </c>
      <c r="AI472" t="s">
        <v>0</v>
      </c>
      <c r="AJ472" t="s">
        <v>838</v>
      </c>
      <c r="AK472" t="s">
        <v>1007</v>
      </c>
      <c r="AL472" t="s">
        <v>995</v>
      </c>
      <c r="AM472" s="314">
        <v>0</v>
      </c>
      <c r="AN472" s="314">
        <v>5232000.0000000009</v>
      </c>
      <c r="AO472" s="314">
        <v>0</v>
      </c>
      <c r="AP472" s="314">
        <v>0</v>
      </c>
      <c r="AQ472" s="314">
        <v>0</v>
      </c>
      <c r="AR472" s="314">
        <v>890.41095890410952</v>
      </c>
      <c r="AS472" s="314">
        <v>0</v>
      </c>
      <c r="AT472" s="314">
        <v>0</v>
      </c>
      <c r="AU472" s="314">
        <v>0</v>
      </c>
      <c r="AV472" s="314">
        <v>116100</v>
      </c>
      <c r="AW472" s="314">
        <v>0</v>
      </c>
      <c r="AX472">
        <v>0</v>
      </c>
    </row>
    <row r="473" spans="1:50" x14ac:dyDescent="0.35">
      <c r="A473">
        <v>477</v>
      </c>
      <c r="B473" t="s">
        <v>0</v>
      </c>
      <c r="C473" t="s">
        <v>838</v>
      </c>
      <c r="D473" t="s">
        <v>1007</v>
      </c>
      <c r="E473" t="s">
        <v>996</v>
      </c>
      <c r="F473">
        <v>0</v>
      </c>
      <c r="G473">
        <v>50000</v>
      </c>
      <c r="H473">
        <v>0</v>
      </c>
      <c r="I473">
        <v>0</v>
      </c>
      <c r="J473" s="600">
        <v>50000</v>
      </c>
      <c r="K473" s="7">
        <f t="shared" si="95"/>
        <v>3</v>
      </c>
      <c r="L473" s="7">
        <f t="shared" si="96"/>
        <v>2</v>
      </c>
      <c r="M473" s="243">
        <f t="shared" si="97"/>
        <v>0</v>
      </c>
      <c r="N473" s="243">
        <f>INDEX($AN$4:$AN21369,MATCH($A473,$AH$4:$AH$2000,0))</f>
        <v>4185600</v>
      </c>
      <c r="O473" s="243">
        <f t="shared" si="102"/>
        <v>0</v>
      </c>
      <c r="P473" s="243">
        <f t="shared" si="98"/>
        <v>0</v>
      </c>
      <c r="Q473" s="243">
        <f t="shared" si="99"/>
        <v>0</v>
      </c>
      <c r="R473" s="243">
        <f t="shared" si="100"/>
        <v>51600</v>
      </c>
      <c r="S473" s="243">
        <f t="shared" si="103"/>
        <v>0</v>
      </c>
      <c r="T473" s="243">
        <f t="shared" si="101"/>
        <v>0</v>
      </c>
      <c r="AA473" s="6">
        <v>343</v>
      </c>
      <c r="AB473" t="s">
        <v>80</v>
      </c>
      <c r="AC473" t="s">
        <v>1054</v>
      </c>
      <c r="AE473" t="s">
        <v>171</v>
      </c>
      <c r="AF473">
        <v>6.4</v>
      </c>
      <c r="AH473">
        <v>477</v>
      </c>
      <c r="AI473" t="s">
        <v>0</v>
      </c>
      <c r="AJ473" t="s">
        <v>838</v>
      </c>
      <c r="AK473" t="s">
        <v>1007</v>
      </c>
      <c r="AL473" t="s">
        <v>996</v>
      </c>
      <c r="AM473" s="314">
        <v>0</v>
      </c>
      <c r="AN473" s="314">
        <v>4185600</v>
      </c>
      <c r="AO473" s="314">
        <v>0</v>
      </c>
      <c r="AP473" s="314">
        <v>0</v>
      </c>
      <c r="AQ473" s="314">
        <v>0</v>
      </c>
      <c r="AR473" s="314">
        <v>712.32876712328766</v>
      </c>
      <c r="AS473" s="314">
        <v>0</v>
      </c>
      <c r="AT473" s="314">
        <v>0</v>
      </c>
      <c r="AU473" s="314">
        <v>0</v>
      </c>
      <c r="AV473" s="314">
        <v>51600</v>
      </c>
      <c r="AW473" s="314">
        <v>0</v>
      </c>
      <c r="AX473">
        <v>0</v>
      </c>
    </row>
    <row r="474" spans="1:50" x14ac:dyDescent="0.35">
      <c r="A474">
        <v>478</v>
      </c>
      <c r="B474" t="s">
        <v>0</v>
      </c>
      <c r="C474" t="s">
        <v>838</v>
      </c>
      <c r="D474" t="s">
        <v>1007</v>
      </c>
      <c r="E474" t="s">
        <v>997</v>
      </c>
      <c r="F474">
        <v>0</v>
      </c>
      <c r="G474">
        <v>50000</v>
      </c>
      <c r="H474">
        <v>0</v>
      </c>
      <c r="I474">
        <v>0</v>
      </c>
      <c r="J474" s="600">
        <v>50000</v>
      </c>
      <c r="K474" s="7">
        <f t="shared" si="95"/>
        <v>4</v>
      </c>
      <c r="L474" s="7">
        <f t="shared" si="96"/>
        <v>3</v>
      </c>
      <c r="M474" s="243">
        <f t="shared" si="97"/>
        <v>0</v>
      </c>
      <c r="N474" s="243">
        <f>INDEX($AN$4:$AN21370,MATCH($A474,$AH$4:$AH$2000,0))</f>
        <v>3335400.0000000005</v>
      </c>
      <c r="O474" s="243">
        <f t="shared" si="102"/>
        <v>0</v>
      </c>
      <c r="P474" s="243">
        <f t="shared" si="98"/>
        <v>0</v>
      </c>
      <c r="Q474" s="243">
        <f t="shared" si="99"/>
        <v>0</v>
      </c>
      <c r="R474" s="243">
        <f t="shared" si="100"/>
        <v>23220</v>
      </c>
      <c r="S474" s="243">
        <f t="shared" si="103"/>
        <v>0</v>
      </c>
      <c r="T474" s="243">
        <f t="shared" si="101"/>
        <v>0</v>
      </c>
      <c r="AA474" s="6">
        <v>342</v>
      </c>
      <c r="AB474" t="s">
        <v>80</v>
      </c>
      <c r="AC474" t="s">
        <v>1054</v>
      </c>
      <c r="AE474" t="s">
        <v>172</v>
      </c>
      <c r="AF474">
        <v>6.4</v>
      </c>
      <c r="AH474">
        <v>478</v>
      </c>
      <c r="AI474" t="s">
        <v>0</v>
      </c>
      <c r="AJ474" t="s">
        <v>838</v>
      </c>
      <c r="AK474" t="s">
        <v>1007</v>
      </c>
      <c r="AL474" t="s">
        <v>997</v>
      </c>
      <c r="AM474" s="314">
        <v>0</v>
      </c>
      <c r="AN474" s="314">
        <v>3335400.0000000005</v>
      </c>
      <c r="AO474" s="314">
        <v>0</v>
      </c>
      <c r="AP474" s="314">
        <v>0</v>
      </c>
      <c r="AQ474" s="314">
        <v>0</v>
      </c>
      <c r="AR474" s="314">
        <v>567.6369863013698</v>
      </c>
      <c r="AS474" s="314">
        <v>0</v>
      </c>
      <c r="AT474" s="314">
        <v>0</v>
      </c>
      <c r="AU474" s="314">
        <v>0</v>
      </c>
      <c r="AV474" s="314">
        <v>23220</v>
      </c>
      <c r="AW474" s="314">
        <v>0</v>
      </c>
      <c r="AX474">
        <v>0</v>
      </c>
    </row>
    <row r="475" spans="1:50" x14ac:dyDescent="0.35">
      <c r="A475">
        <v>479</v>
      </c>
      <c r="B475" t="s">
        <v>0</v>
      </c>
      <c r="C475" t="s">
        <v>838</v>
      </c>
      <c r="D475" t="s">
        <v>1007</v>
      </c>
      <c r="E475" t="s">
        <v>998</v>
      </c>
      <c r="F475">
        <v>0</v>
      </c>
      <c r="G475">
        <v>50000</v>
      </c>
      <c r="H475">
        <v>0</v>
      </c>
      <c r="I475">
        <v>0</v>
      </c>
      <c r="J475" s="600">
        <v>50000</v>
      </c>
      <c r="K475" s="7">
        <f t="shared" si="95"/>
        <v>5</v>
      </c>
      <c r="L475" s="7">
        <f t="shared" si="96"/>
        <v>4</v>
      </c>
      <c r="M475" s="243">
        <f t="shared" si="97"/>
        <v>0</v>
      </c>
      <c r="N475" s="243">
        <f>INDEX($AN$4:$AN21371,MATCH($A475,$AH$4:$AH$2000,0))</f>
        <v>2681400</v>
      </c>
      <c r="O475" s="243">
        <f t="shared" si="102"/>
        <v>0</v>
      </c>
      <c r="P475" s="243">
        <f t="shared" si="98"/>
        <v>0</v>
      </c>
      <c r="Q475" s="243">
        <f t="shared" si="99"/>
        <v>0</v>
      </c>
      <c r="R475" s="243">
        <f t="shared" si="100"/>
        <v>10320</v>
      </c>
      <c r="S475" s="243">
        <f t="shared" si="103"/>
        <v>0</v>
      </c>
      <c r="T475" s="243">
        <f t="shared" si="101"/>
        <v>0</v>
      </c>
      <c r="AA475" s="6">
        <v>323</v>
      </c>
      <c r="AB475" t="s">
        <v>80</v>
      </c>
      <c r="AC475" t="s">
        <v>1054</v>
      </c>
      <c r="AE475" t="s">
        <v>1016</v>
      </c>
      <c r="AF475">
        <v>10</v>
      </c>
      <c r="AH475">
        <v>479</v>
      </c>
      <c r="AI475" t="s">
        <v>0</v>
      </c>
      <c r="AJ475" t="s">
        <v>838</v>
      </c>
      <c r="AK475" t="s">
        <v>1007</v>
      </c>
      <c r="AL475" t="s">
        <v>998</v>
      </c>
      <c r="AM475" s="314">
        <v>0</v>
      </c>
      <c r="AN475" s="314">
        <v>2681400</v>
      </c>
      <c r="AO475" s="314">
        <v>0</v>
      </c>
      <c r="AP475" s="314">
        <v>0</v>
      </c>
      <c r="AQ475" s="314">
        <v>0</v>
      </c>
      <c r="AR475" s="314">
        <v>456.33561643835606</v>
      </c>
      <c r="AS475" s="314">
        <v>0</v>
      </c>
      <c r="AT475" s="314">
        <v>0</v>
      </c>
      <c r="AU475" s="314">
        <v>0</v>
      </c>
      <c r="AV475" s="314">
        <v>10320</v>
      </c>
      <c r="AW475" s="314">
        <v>0</v>
      </c>
      <c r="AX475">
        <v>0</v>
      </c>
    </row>
    <row r="476" spans="1:50" x14ac:dyDescent="0.35">
      <c r="A476">
        <v>481</v>
      </c>
      <c r="B476" t="s">
        <v>0</v>
      </c>
      <c r="C476" t="s">
        <v>838</v>
      </c>
      <c r="D476" t="s">
        <v>1007</v>
      </c>
      <c r="E476" t="s">
        <v>999</v>
      </c>
      <c r="F476">
        <v>0</v>
      </c>
      <c r="G476">
        <v>0</v>
      </c>
      <c r="H476">
        <v>50000</v>
      </c>
      <c r="I476">
        <v>0</v>
      </c>
      <c r="J476" s="600">
        <v>50000</v>
      </c>
      <c r="K476" s="7">
        <f t="shared" si="95"/>
        <v>2</v>
      </c>
      <c r="L476" s="7">
        <f t="shared" si="96"/>
        <v>1</v>
      </c>
      <c r="M476" s="243">
        <f t="shared" si="97"/>
        <v>0</v>
      </c>
      <c r="N476" s="243">
        <f>INDEX($AN$4:$AN21372,MATCH($A476,$AH$4:$AH$2000,0))</f>
        <v>0</v>
      </c>
      <c r="O476" s="243">
        <f t="shared" si="102"/>
        <v>5232000.0000000009</v>
      </c>
      <c r="P476" s="243">
        <f t="shared" si="98"/>
        <v>0</v>
      </c>
      <c r="Q476" s="243">
        <f t="shared" si="99"/>
        <v>0</v>
      </c>
      <c r="R476" s="243">
        <f t="shared" si="100"/>
        <v>0</v>
      </c>
      <c r="S476" s="243">
        <f t="shared" si="103"/>
        <v>116100</v>
      </c>
      <c r="T476" s="243">
        <f t="shared" si="101"/>
        <v>0</v>
      </c>
      <c r="AA476" s="6">
        <v>320</v>
      </c>
      <c r="AB476" t="s">
        <v>80</v>
      </c>
      <c r="AC476" t="s">
        <v>1054</v>
      </c>
      <c r="AE476" t="s">
        <v>1017</v>
      </c>
      <c r="AF476">
        <v>11.264926929375578</v>
      </c>
      <c r="AH476">
        <v>481</v>
      </c>
      <c r="AI476" t="s">
        <v>0</v>
      </c>
      <c r="AJ476" t="s">
        <v>838</v>
      </c>
      <c r="AK476" t="s">
        <v>1007</v>
      </c>
      <c r="AL476" t="s">
        <v>999</v>
      </c>
      <c r="AM476" s="314">
        <v>0</v>
      </c>
      <c r="AN476" s="314">
        <v>0</v>
      </c>
      <c r="AO476" s="314">
        <v>5232000.0000000009</v>
      </c>
      <c r="AP476" s="314">
        <v>0</v>
      </c>
      <c r="AQ476" s="314">
        <v>0</v>
      </c>
      <c r="AR476" s="314">
        <v>0</v>
      </c>
      <c r="AS476" s="314">
        <v>890.41095890410952</v>
      </c>
      <c r="AT476" s="314">
        <v>0</v>
      </c>
      <c r="AU476" s="314">
        <v>0</v>
      </c>
      <c r="AV476" s="314">
        <v>0</v>
      </c>
      <c r="AW476" s="314">
        <v>116100</v>
      </c>
      <c r="AX476">
        <v>0</v>
      </c>
    </row>
    <row r="477" spans="1:50" x14ac:dyDescent="0.35">
      <c r="A477">
        <v>482</v>
      </c>
      <c r="B477" t="s">
        <v>0</v>
      </c>
      <c r="C477" t="s">
        <v>838</v>
      </c>
      <c r="D477" t="s">
        <v>1007</v>
      </c>
      <c r="E477" t="s">
        <v>1000</v>
      </c>
      <c r="F477">
        <v>0</v>
      </c>
      <c r="G477">
        <v>0</v>
      </c>
      <c r="H477">
        <v>50000</v>
      </c>
      <c r="I477">
        <v>0</v>
      </c>
      <c r="J477" s="600">
        <v>50000</v>
      </c>
      <c r="K477" s="7">
        <f t="shared" si="95"/>
        <v>3</v>
      </c>
      <c r="L477" s="7">
        <f t="shared" si="96"/>
        <v>2</v>
      </c>
      <c r="M477" s="243">
        <f t="shared" si="97"/>
        <v>0</v>
      </c>
      <c r="N477" s="243">
        <f>INDEX($AN$4:$AN21373,MATCH($A477,$AH$4:$AH$2000,0))</f>
        <v>0</v>
      </c>
      <c r="O477" s="243">
        <f t="shared" si="102"/>
        <v>4185600</v>
      </c>
      <c r="P477" s="243">
        <f t="shared" si="98"/>
        <v>0</v>
      </c>
      <c r="Q477" s="243">
        <f t="shared" si="99"/>
        <v>0</v>
      </c>
      <c r="R477" s="243">
        <f t="shared" si="100"/>
        <v>0</v>
      </c>
      <c r="S477" s="243">
        <f t="shared" si="103"/>
        <v>51600</v>
      </c>
      <c r="T477" s="243">
        <f t="shared" si="101"/>
        <v>0</v>
      </c>
      <c r="AA477" s="6">
        <v>317</v>
      </c>
      <c r="AB477" t="s">
        <v>80</v>
      </c>
      <c r="AC477" t="s">
        <v>1054</v>
      </c>
      <c r="AE477" t="s">
        <v>173</v>
      </c>
      <c r="AF477">
        <v>10.197838058331634</v>
      </c>
      <c r="AH477">
        <v>482</v>
      </c>
      <c r="AI477" t="s">
        <v>0</v>
      </c>
      <c r="AJ477" t="s">
        <v>838</v>
      </c>
      <c r="AK477" t="s">
        <v>1007</v>
      </c>
      <c r="AL477" t="s">
        <v>1000</v>
      </c>
      <c r="AM477" s="314">
        <v>0</v>
      </c>
      <c r="AN477" s="314">
        <v>0</v>
      </c>
      <c r="AO477" s="314">
        <v>4185600</v>
      </c>
      <c r="AP477" s="314">
        <v>0</v>
      </c>
      <c r="AQ477" s="314">
        <v>0</v>
      </c>
      <c r="AR477" s="314">
        <v>0</v>
      </c>
      <c r="AS477" s="314">
        <v>712.32876712328766</v>
      </c>
      <c r="AT477" s="314">
        <v>0</v>
      </c>
      <c r="AU477" s="314">
        <v>0</v>
      </c>
      <c r="AV477" s="314">
        <v>0</v>
      </c>
      <c r="AW477" s="314">
        <v>51600</v>
      </c>
      <c r="AX477">
        <v>0</v>
      </c>
    </row>
    <row r="478" spans="1:50" x14ac:dyDescent="0.35">
      <c r="A478">
        <v>1050</v>
      </c>
      <c r="B478" t="s">
        <v>0</v>
      </c>
      <c r="C478" t="s">
        <v>1864</v>
      </c>
      <c r="D478" t="s">
        <v>15</v>
      </c>
      <c r="E478" t="s">
        <v>433</v>
      </c>
      <c r="F478">
        <v>120</v>
      </c>
      <c r="G478">
        <v>120</v>
      </c>
      <c r="H478">
        <v>120</v>
      </c>
      <c r="I478">
        <v>120</v>
      </c>
      <c r="J478" s="600">
        <v>480</v>
      </c>
      <c r="K478" s="7">
        <f t="shared" si="95"/>
        <v>13</v>
      </c>
      <c r="L478" s="7">
        <f t="shared" si="96"/>
        <v>0</v>
      </c>
      <c r="M478" s="243">
        <f t="shared" si="97"/>
        <v>196804.53572871152</v>
      </c>
      <c r="N478" s="243">
        <f>INDEX($AN$4:$AN21374,MATCH($A478,$AH$4:$AH$2000,0))</f>
        <v>196804.53572871152</v>
      </c>
      <c r="O478" s="243">
        <f t="shared" si="102"/>
        <v>196804.53572871152</v>
      </c>
      <c r="P478" s="243">
        <f t="shared" si="98"/>
        <v>196804.53572871152</v>
      </c>
      <c r="Q478" s="243">
        <f t="shared" si="99"/>
        <v>-1778.216989215744</v>
      </c>
      <c r="R478" s="243">
        <f t="shared" si="100"/>
        <v>-1778.216989215744</v>
      </c>
      <c r="S478" s="243">
        <f t="shared" si="103"/>
        <v>-1778.216989215744</v>
      </c>
      <c r="T478" s="243">
        <f t="shared" si="101"/>
        <v>-1778.216989215744</v>
      </c>
      <c r="AA478" s="6">
        <v>353</v>
      </c>
      <c r="AB478" t="s">
        <v>80</v>
      </c>
      <c r="AC478" t="s">
        <v>1054</v>
      </c>
      <c r="AE478" t="s">
        <v>1018</v>
      </c>
      <c r="AF478">
        <v>15</v>
      </c>
      <c r="AH478">
        <v>1050</v>
      </c>
      <c r="AI478" t="s">
        <v>0</v>
      </c>
      <c r="AJ478" t="s">
        <v>1864</v>
      </c>
      <c r="AK478" t="s">
        <v>15</v>
      </c>
      <c r="AL478" t="s">
        <v>433</v>
      </c>
      <c r="AM478" s="314">
        <v>196804.53572871152</v>
      </c>
      <c r="AN478" s="314">
        <v>196804.53572871152</v>
      </c>
      <c r="AO478" s="314">
        <v>196804.53572871152</v>
      </c>
      <c r="AP478" s="314">
        <v>196804.53572871152</v>
      </c>
      <c r="AQ478" s="314">
        <v>9.3235468959515906</v>
      </c>
      <c r="AR478" s="314">
        <v>9.3235468959515906</v>
      </c>
      <c r="AS478" s="314">
        <v>9.3235468959515906</v>
      </c>
      <c r="AT478" s="314">
        <v>9.3235468959515906</v>
      </c>
      <c r="AU478" s="314">
        <v>-1778.216989215744</v>
      </c>
      <c r="AV478" s="314">
        <v>-1778.216989215744</v>
      </c>
      <c r="AW478" s="314">
        <v>-1778.216989215744</v>
      </c>
      <c r="AX478">
        <v>-1778.216989215744</v>
      </c>
    </row>
    <row r="479" spans="1:50" x14ac:dyDescent="0.35">
      <c r="A479">
        <v>483</v>
      </c>
      <c r="B479" t="s">
        <v>0</v>
      </c>
      <c r="C479" t="s">
        <v>838</v>
      </c>
      <c r="D479" t="s">
        <v>1007</v>
      </c>
      <c r="E479" t="s">
        <v>1001</v>
      </c>
      <c r="F479">
        <v>0</v>
      </c>
      <c r="G479">
        <v>0</v>
      </c>
      <c r="H479">
        <v>50000</v>
      </c>
      <c r="I479">
        <v>0</v>
      </c>
      <c r="J479" s="600">
        <v>50000</v>
      </c>
      <c r="K479" s="7">
        <f t="shared" si="95"/>
        <v>4</v>
      </c>
      <c r="L479" s="7">
        <f t="shared" si="96"/>
        <v>3</v>
      </c>
      <c r="M479" s="243">
        <f t="shared" si="97"/>
        <v>0</v>
      </c>
      <c r="N479" s="243">
        <f>INDEX($AN$4:$AN21375,MATCH($A479,$AH$4:$AH$2000,0))</f>
        <v>0</v>
      </c>
      <c r="O479" s="243">
        <f t="shared" si="102"/>
        <v>3335400.0000000005</v>
      </c>
      <c r="P479" s="243">
        <f t="shared" si="98"/>
        <v>0</v>
      </c>
      <c r="Q479" s="243">
        <f t="shared" si="99"/>
        <v>0</v>
      </c>
      <c r="R479" s="243">
        <f t="shared" si="100"/>
        <v>0</v>
      </c>
      <c r="S479" s="243">
        <f t="shared" si="103"/>
        <v>23220</v>
      </c>
      <c r="T479" s="243">
        <f t="shared" si="101"/>
        <v>0</v>
      </c>
      <c r="AA479" s="6">
        <v>322</v>
      </c>
      <c r="AB479" t="s">
        <v>80</v>
      </c>
      <c r="AC479" t="s">
        <v>1054</v>
      </c>
      <c r="AE479" t="s">
        <v>1019</v>
      </c>
      <c r="AF479">
        <v>9</v>
      </c>
      <c r="AH479">
        <v>483</v>
      </c>
      <c r="AI479" t="s">
        <v>0</v>
      </c>
      <c r="AJ479" t="s">
        <v>838</v>
      </c>
      <c r="AK479" t="s">
        <v>1007</v>
      </c>
      <c r="AL479" t="s">
        <v>1001</v>
      </c>
      <c r="AM479" s="314">
        <v>0</v>
      </c>
      <c r="AN479" s="314">
        <v>0</v>
      </c>
      <c r="AO479" s="314">
        <v>3335400.0000000005</v>
      </c>
      <c r="AP479" s="314">
        <v>0</v>
      </c>
      <c r="AQ479" s="314">
        <v>0</v>
      </c>
      <c r="AR479" s="314">
        <v>0</v>
      </c>
      <c r="AS479" s="314">
        <v>567.6369863013698</v>
      </c>
      <c r="AT479" s="314">
        <v>0</v>
      </c>
      <c r="AU479" s="314">
        <v>0</v>
      </c>
      <c r="AV479" s="314">
        <v>0</v>
      </c>
      <c r="AW479" s="314">
        <v>23220</v>
      </c>
      <c r="AX479">
        <v>0</v>
      </c>
    </row>
    <row r="480" spans="1:50" x14ac:dyDescent="0.35">
      <c r="A480">
        <v>484</v>
      </c>
      <c r="B480" t="s">
        <v>0</v>
      </c>
      <c r="C480" t="s">
        <v>838</v>
      </c>
      <c r="D480" t="s">
        <v>1007</v>
      </c>
      <c r="E480" t="s">
        <v>1002</v>
      </c>
      <c r="F480">
        <v>0</v>
      </c>
      <c r="G480">
        <v>0</v>
      </c>
      <c r="H480">
        <v>50000</v>
      </c>
      <c r="I480">
        <v>0</v>
      </c>
      <c r="J480" s="600">
        <v>50000</v>
      </c>
      <c r="K480" s="7">
        <f t="shared" si="95"/>
        <v>5</v>
      </c>
      <c r="L480" s="7">
        <f t="shared" si="96"/>
        <v>4</v>
      </c>
      <c r="M480" s="243">
        <f t="shared" si="97"/>
        <v>0</v>
      </c>
      <c r="N480" s="243">
        <f>INDEX($AN$4:$AN21376,MATCH($A480,$AH$4:$AH$2000,0))</f>
        <v>0</v>
      </c>
      <c r="O480" s="243">
        <f t="shared" si="102"/>
        <v>2681400</v>
      </c>
      <c r="P480" s="243">
        <f t="shared" si="98"/>
        <v>0</v>
      </c>
      <c r="Q480" s="243">
        <f t="shared" si="99"/>
        <v>0</v>
      </c>
      <c r="R480" s="243">
        <f t="shared" si="100"/>
        <v>0</v>
      </c>
      <c r="S480" s="243">
        <f t="shared" si="103"/>
        <v>10320</v>
      </c>
      <c r="T480" s="243">
        <f t="shared" si="101"/>
        <v>0</v>
      </c>
      <c r="AA480" s="6">
        <v>313</v>
      </c>
      <c r="AB480" t="s">
        <v>80</v>
      </c>
      <c r="AC480" t="s">
        <v>1054</v>
      </c>
      <c r="AE480" t="s">
        <v>1020</v>
      </c>
      <c r="AF480">
        <v>9</v>
      </c>
      <c r="AH480">
        <v>484</v>
      </c>
      <c r="AI480" t="s">
        <v>0</v>
      </c>
      <c r="AJ480" t="s">
        <v>838</v>
      </c>
      <c r="AK480" t="s">
        <v>1007</v>
      </c>
      <c r="AL480" t="s">
        <v>1002</v>
      </c>
      <c r="AM480" s="314">
        <v>0</v>
      </c>
      <c r="AN480" s="314">
        <v>0</v>
      </c>
      <c r="AO480" s="314">
        <v>2681400</v>
      </c>
      <c r="AP480" s="314">
        <v>0</v>
      </c>
      <c r="AQ480" s="314">
        <v>0</v>
      </c>
      <c r="AR480" s="314">
        <v>0</v>
      </c>
      <c r="AS480" s="314">
        <v>456.33561643835606</v>
      </c>
      <c r="AT480" s="314">
        <v>0</v>
      </c>
      <c r="AU480" s="314">
        <v>0</v>
      </c>
      <c r="AV480" s="314">
        <v>0</v>
      </c>
      <c r="AW480" s="314">
        <v>10320</v>
      </c>
      <c r="AX480">
        <v>0</v>
      </c>
    </row>
    <row r="481" spans="1:50" x14ac:dyDescent="0.35">
      <c r="A481">
        <v>486</v>
      </c>
      <c r="B481" t="s">
        <v>0</v>
      </c>
      <c r="C481" t="s">
        <v>838</v>
      </c>
      <c r="D481" t="s">
        <v>1007</v>
      </c>
      <c r="E481" t="s">
        <v>1003</v>
      </c>
      <c r="F481">
        <v>0</v>
      </c>
      <c r="G481">
        <v>0</v>
      </c>
      <c r="H481">
        <v>0</v>
      </c>
      <c r="I481">
        <v>50000</v>
      </c>
      <c r="J481" s="600">
        <v>50000</v>
      </c>
      <c r="K481" s="7">
        <f t="shared" si="95"/>
        <v>2</v>
      </c>
      <c r="L481" s="7">
        <f t="shared" si="96"/>
        <v>1</v>
      </c>
      <c r="M481" s="243">
        <f t="shared" si="97"/>
        <v>0</v>
      </c>
      <c r="N481" s="243">
        <f>INDEX($AN$4:$AN21377,MATCH($A481,$AH$4:$AH$2000,0))</f>
        <v>0</v>
      </c>
      <c r="O481" s="243">
        <f t="shared" si="102"/>
        <v>0</v>
      </c>
      <c r="P481" s="243">
        <f t="shared" si="98"/>
        <v>5232000.0000000009</v>
      </c>
      <c r="Q481" s="243">
        <f t="shared" si="99"/>
        <v>0</v>
      </c>
      <c r="R481" s="243">
        <f t="shared" si="100"/>
        <v>0</v>
      </c>
      <c r="S481" s="243">
        <f t="shared" si="103"/>
        <v>0</v>
      </c>
      <c r="T481" s="243">
        <f t="shared" si="101"/>
        <v>116100</v>
      </c>
      <c r="AA481" s="6">
        <v>331</v>
      </c>
      <c r="AB481" t="s">
        <v>80</v>
      </c>
      <c r="AC481" t="s">
        <v>1054</v>
      </c>
      <c r="AE481" t="s">
        <v>175</v>
      </c>
      <c r="AF481">
        <v>8</v>
      </c>
      <c r="AH481">
        <v>486</v>
      </c>
      <c r="AI481" t="s">
        <v>0</v>
      </c>
      <c r="AJ481" t="s">
        <v>838</v>
      </c>
      <c r="AK481" t="s">
        <v>1007</v>
      </c>
      <c r="AL481" t="s">
        <v>1003</v>
      </c>
      <c r="AM481" s="314">
        <v>0</v>
      </c>
      <c r="AN481" s="314">
        <v>0</v>
      </c>
      <c r="AO481" s="314">
        <v>0</v>
      </c>
      <c r="AP481" s="314">
        <v>5232000.0000000009</v>
      </c>
      <c r="AQ481" s="314">
        <v>0</v>
      </c>
      <c r="AR481" s="314">
        <v>0</v>
      </c>
      <c r="AS481" s="314">
        <v>0</v>
      </c>
      <c r="AT481" s="314">
        <v>567.6369863013698</v>
      </c>
      <c r="AU481" s="314">
        <v>0</v>
      </c>
      <c r="AV481" s="314">
        <v>0</v>
      </c>
      <c r="AW481" s="314">
        <v>0</v>
      </c>
      <c r="AX481">
        <v>116100</v>
      </c>
    </row>
    <row r="482" spans="1:50" x14ac:dyDescent="0.35">
      <c r="A482">
        <v>487</v>
      </c>
      <c r="B482" t="s">
        <v>0</v>
      </c>
      <c r="C482" t="s">
        <v>838</v>
      </c>
      <c r="D482" t="s">
        <v>1007</v>
      </c>
      <c r="E482" t="s">
        <v>1004</v>
      </c>
      <c r="F482">
        <v>0</v>
      </c>
      <c r="G482">
        <v>0</v>
      </c>
      <c r="H482">
        <v>0</v>
      </c>
      <c r="I482">
        <v>50000</v>
      </c>
      <c r="J482" s="600">
        <v>50000</v>
      </c>
      <c r="K482" s="7">
        <f t="shared" si="95"/>
        <v>3</v>
      </c>
      <c r="L482" s="7">
        <f t="shared" si="96"/>
        <v>2</v>
      </c>
      <c r="M482" s="243">
        <f t="shared" si="97"/>
        <v>0</v>
      </c>
      <c r="N482" s="243">
        <f>INDEX($AN$4:$AN21378,MATCH($A482,$AH$4:$AH$2000,0))</f>
        <v>0</v>
      </c>
      <c r="O482" s="243">
        <f t="shared" si="102"/>
        <v>0</v>
      </c>
      <c r="P482" s="243">
        <f t="shared" si="98"/>
        <v>4185600</v>
      </c>
      <c r="Q482" s="243">
        <f t="shared" si="99"/>
        <v>0</v>
      </c>
      <c r="R482" s="243">
        <f t="shared" si="100"/>
        <v>0</v>
      </c>
      <c r="S482" s="243">
        <f t="shared" si="103"/>
        <v>0</v>
      </c>
      <c r="T482" s="243">
        <f t="shared" si="101"/>
        <v>51600</v>
      </c>
      <c r="AA482" s="6">
        <v>264</v>
      </c>
      <c r="AB482" t="s">
        <v>80</v>
      </c>
      <c r="AC482" t="s">
        <v>1054</v>
      </c>
      <c r="AE482" t="s">
        <v>1021</v>
      </c>
      <c r="AF482">
        <v>10</v>
      </c>
      <c r="AH482">
        <v>487</v>
      </c>
      <c r="AI482" t="s">
        <v>0</v>
      </c>
      <c r="AJ482" t="s">
        <v>838</v>
      </c>
      <c r="AK482" t="s">
        <v>1007</v>
      </c>
      <c r="AL482" t="s">
        <v>1004</v>
      </c>
      <c r="AM482" s="314">
        <v>0</v>
      </c>
      <c r="AN482" s="314">
        <v>0</v>
      </c>
      <c r="AO482" s="314">
        <v>0</v>
      </c>
      <c r="AP482" s="314">
        <v>4185600</v>
      </c>
      <c r="AQ482" s="314">
        <v>0</v>
      </c>
      <c r="AR482" s="314">
        <v>0</v>
      </c>
      <c r="AS482" s="314">
        <v>0</v>
      </c>
      <c r="AT482" s="314">
        <v>456.33561643835606</v>
      </c>
      <c r="AU482" s="314">
        <v>0</v>
      </c>
      <c r="AV482" s="314">
        <v>0</v>
      </c>
      <c r="AW482" s="314">
        <v>0</v>
      </c>
      <c r="AX482">
        <v>51600</v>
      </c>
    </row>
    <row r="483" spans="1:50" x14ac:dyDescent="0.35">
      <c r="A483">
        <v>488</v>
      </c>
      <c r="B483" t="s">
        <v>0</v>
      </c>
      <c r="C483" t="s">
        <v>838</v>
      </c>
      <c r="D483" t="s">
        <v>1007</v>
      </c>
      <c r="E483" t="s">
        <v>1005</v>
      </c>
      <c r="F483">
        <v>0</v>
      </c>
      <c r="G483">
        <v>0</v>
      </c>
      <c r="H483">
        <v>0</v>
      </c>
      <c r="I483">
        <v>50000</v>
      </c>
      <c r="J483" s="600">
        <v>50000</v>
      </c>
      <c r="K483" s="7">
        <f t="shared" si="95"/>
        <v>4</v>
      </c>
      <c r="L483" s="7">
        <f t="shared" si="96"/>
        <v>3</v>
      </c>
      <c r="M483" s="243">
        <f t="shared" si="97"/>
        <v>0</v>
      </c>
      <c r="N483" s="243">
        <f>INDEX($AN$4:$AN21379,MATCH($A483,$AH$4:$AH$2000,0))</f>
        <v>0</v>
      </c>
      <c r="O483" s="243">
        <f t="shared" si="102"/>
        <v>0</v>
      </c>
      <c r="P483" s="243">
        <f t="shared" si="98"/>
        <v>3335400.0000000005</v>
      </c>
      <c r="Q483" s="243">
        <f t="shared" si="99"/>
        <v>0</v>
      </c>
      <c r="R483" s="243">
        <f t="shared" si="100"/>
        <v>0</v>
      </c>
      <c r="S483" s="243">
        <f t="shared" si="103"/>
        <v>0</v>
      </c>
      <c r="T483" s="243">
        <f t="shared" si="101"/>
        <v>23220</v>
      </c>
      <c r="AA483" s="6">
        <v>270</v>
      </c>
      <c r="AB483" t="s">
        <v>80</v>
      </c>
      <c r="AC483" t="s">
        <v>1054</v>
      </c>
      <c r="AE483" t="s">
        <v>179</v>
      </c>
      <c r="AF483">
        <v>12</v>
      </c>
      <c r="AH483">
        <v>488</v>
      </c>
      <c r="AI483" t="s">
        <v>0</v>
      </c>
      <c r="AJ483" t="s">
        <v>838</v>
      </c>
      <c r="AK483" t="s">
        <v>1007</v>
      </c>
      <c r="AL483" t="s">
        <v>1005</v>
      </c>
      <c r="AM483" s="314">
        <v>0</v>
      </c>
      <c r="AN483" s="314">
        <v>0</v>
      </c>
      <c r="AO483" s="314">
        <v>0</v>
      </c>
      <c r="AP483" s="314">
        <v>3335400.0000000005</v>
      </c>
      <c r="AQ483" s="314">
        <v>0</v>
      </c>
      <c r="AR483" s="314">
        <v>0</v>
      </c>
      <c r="AS483" s="314">
        <v>0</v>
      </c>
      <c r="AT483" s="314">
        <v>890.41095890410952</v>
      </c>
      <c r="AU483" s="314">
        <v>0</v>
      </c>
      <c r="AV483" s="314">
        <v>0</v>
      </c>
      <c r="AW483" s="314">
        <v>0</v>
      </c>
      <c r="AX483">
        <v>23220</v>
      </c>
    </row>
    <row r="484" spans="1:50" x14ac:dyDescent="0.35">
      <c r="A484">
        <v>489</v>
      </c>
      <c r="B484" t="s">
        <v>0</v>
      </c>
      <c r="C484" t="s">
        <v>838</v>
      </c>
      <c r="D484" t="s">
        <v>1007</v>
      </c>
      <c r="E484" t="s">
        <v>1006</v>
      </c>
      <c r="F484">
        <v>0</v>
      </c>
      <c r="G484">
        <v>0</v>
      </c>
      <c r="H484">
        <v>0</v>
      </c>
      <c r="I484">
        <v>50000</v>
      </c>
      <c r="J484" s="600">
        <v>50000</v>
      </c>
      <c r="K484" s="7">
        <f t="shared" si="95"/>
        <v>5</v>
      </c>
      <c r="L484" s="7">
        <f t="shared" si="96"/>
        <v>4</v>
      </c>
      <c r="M484" s="243">
        <f t="shared" si="97"/>
        <v>0</v>
      </c>
      <c r="N484" s="243">
        <f>INDEX($AN$4:$AN21380,MATCH($A484,$AH$4:$AH$2000,0))</f>
        <v>0</v>
      </c>
      <c r="O484" s="243">
        <f t="shared" ref="O484:O503" si="104">INDEX($AO$4:$AO$2000,MATCH($A484,$AH$4:$AH$2000,0))</f>
        <v>0</v>
      </c>
      <c r="P484" s="243">
        <f t="shared" si="98"/>
        <v>2681400</v>
      </c>
      <c r="Q484" s="243">
        <f t="shared" si="99"/>
        <v>0</v>
      </c>
      <c r="R484" s="243">
        <f t="shared" si="100"/>
        <v>0</v>
      </c>
      <c r="S484" s="243">
        <f t="shared" ref="S484:S503" si="105">INDEX($AW$4:$AW$2000,MATCH($A484,$AH$4:$AH$2000,0))</f>
        <v>0</v>
      </c>
      <c r="T484" s="243">
        <f t="shared" si="101"/>
        <v>10320</v>
      </c>
      <c r="AA484" s="6">
        <v>362</v>
      </c>
      <c r="AB484" t="s">
        <v>80</v>
      </c>
      <c r="AC484" t="s">
        <v>1054</v>
      </c>
      <c r="AE484" t="s">
        <v>181</v>
      </c>
      <c r="AF484">
        <v>15</v>
      </c>
      <c r="AH484">
        <v>489</v>
      </c>
      <c r="AI484" t="s">
        <v>0</v>
      </c>
      <c r="AJ484" t="s">
        <v>838</v>
      </c>
      <c r="AK484" t="s">
        <v>1007</v>
      </c>
      <c r="AL484" t="s">
        <v>1006</v>
      </c>
      <c r="AM484" s="314">
        <v>0</v>
      </c>
      <c r="AN484" s="314">
        <v>0</v>
      </c>
      <c r="AO484" s="314">
        <v>0</v>
      </c>
      <c r="AP484" s="314">
        <v>2681400</v>
      </c>
      <c r="AQ484" s="314">
        <v>0</v>
      </c>
      <c r="AR484" s="314">
        <v>0</v>
      </c>
      <c r="AS484" s="314">
        <v>0</v>
      </c>
      <c r="AT484" s="314">
        <v>712.32876712328766</v>
      </c>
      <c r="AU484" s="314">
        <v>0</v>
      </c>
      <c r="AV484" s="314">
        <v>0</v>
      </c>
      <c r="AW484" s="314">
        <v>0</v>
      </c>
      <c r="AX484">
        <v>10320</v>
      </c>
    </row>
    <row r="485" spans="1:50" x14ac:dyDescent="0.35">
      <c r="A485">
        <v>508</v>
      </c>
      <c r="B485" t="s">
        <v>0</v>
      </c>
      <c r="C485" t="s">
        <v>20</v>
      </c>
      <c r="D485" t="s">
        <v>100</v>
      </c>
      <c r="E485" t="s">
        <v>985</v>
      </c>
      <c r="F485">
        <v>1950</v>
      </c>
      <c r="G485">
        <v>2950</v>
      </c>
      <c r="H485">
        <v>3500</v>
      </c>
      <c r="I485">
        <v>3500</v>
      </c>
      <c r="J485" s="600">
        <v>11900</v>
      </c>
      <c r="K485" s="7">
        <f t="shared" si="95"/>
        <v>18</v>
      </c>
      <c r="L485" s="7">
        <f t="shared" si="96"/>
        <v>0</v>
      </c>
      <c r="M485" s="243">
        <f t="shared" si="97"/>
        <v>444215.92800000001</v>
      </c>
      <c r="N485" s="243">
        <f>INDEX($AN$4:$AN21381,MATCH($A485,$AH$4:$AH$2000,0))</f>
        <v>672018.96799999999</v>
      </c>
      <c r="O485" s="243">
        <f t="shared" si="104"/>
        <v>797310.64</v>
      </c>
      <c r="P485" s="243">
        <f t="shared" si="98"/>
        <v>797310.64</v>
      </c>
      <c r="Q485" s="243">
        <f t="shared" si="99"/>
        <v>0</v>
      </c>
      <c r="R485" s="243">
        <f t="shared" si="100"/>
        <v>0</v>
      </c>
      <c r="S485" s="243">
        <f t="shared" si="105"/>
        <v>0</v>
      </c>
      <c r="T485" s="243">
        <f t="shared" si="101"/>
        <v>0</v>
      </c>
      <c r="AA485" s="6">
        <v>324</v>
      </c>
      <c r="AB485" t="s">
        <v>80</v>
      </c>
      <c r="AC485" t="s">
        <v>1054</v>
      </c>
      <c r="AE485" t="s">
        <v>182</v>
      </c>
      <c r="AF485">
        <v>14</v>
      </c>
      <c r="AH485">
        <v>508</v>
      </c>
      <c r="AI485" t="s">
        <v>0</v>
      </c>
      <c r="AJ485" t="s">
        <v>20</v>
      </c>
      <c r="AK485" t="s">
        <v>100</v>
      </c>
      <c r="AL485" t="s">
        <v>985</v>
      </c>
      <c r="AM485" s="314">
        <v>444215.92800000001</v>
      </c>
      <c r="AN485" s="314">
        <v>672018.96799999999</v>
      </c>
      <c r="AO485" s="314">
        <v>797310.64</v>
      </c>
      <c r="AP485" s="314">
        <v>797310.64</v>
      </c>
      <c r="AQ485" s="314">
        <v>328.14600000000002</v>
      </c>
      <c r="AR485" s="314">
        <v>496.42600000000004</v>
      </c>
      <c r="AS485" s="314">
        <v>588.98</v>
      </c>
      <c r="AT485" s="314">
        <v>588.98</v>
      </c>
      <c r="AU485" s="314">
        <v>0</v>
      </c>
      <c r="AV485" s="314">
        <v>0</v>
      </c>
      <c r="AW485" s="314">
        <v>0</v>
      </c>
      <c r="AX485">
        <v>0</v>
      </c>
    </row>
    <row r="486" spans="1:50" x14ac:dyDescent="0.35">
      <c r="A486">
        <v>511</v>
      </c>
      <c r="B486" t="s">
        <v>0</v>
      </c>
      <c r="C486" t="s">
        <v>20</v>
      </c>
      <c r="D486" t="s">
        <v>100</v>
      </c>
      <c r="E486" t="s">
        <v>986</v>
      </c>
      <c r="F486">
        <v>85</v>
      </c>
      <c r="G486">
        <v>125</v>
      </c>
      <c r="H486">
        <v>225</v>
      </c>
      <c r="I486">
        <v>225</v>
      </c>
      <c r="J486" s="600">
        <v>660</v>
      </c>
      <c r="K486" s="7">
        <f t="shared" si="95"/>
        <v>18</v>
      </c>
      <c r="L486" s="7">
        <f t="shared" si="96"/>
        <v>6</v>
      </c>
      <c r="M486" s="243">
        <f t="shared" si="97"/>
        <v>63747.067500000005</v>
      </c>
      <c r="N486" s="243">
        <f>INDEX($AN$4:$AN21382,MATCH($A486,$AH$4:$AH$2000,0))</f>
        <v>93745.6875</v>
      </c>
      <c r="O486" s="243">
        <f t="shared" si="104"/>
        <v>168742.23750000002</v>
      </c>
      <c r="P486" s="243">
        <f t="shared" si="98"/>
        <v>168742.23750000002</v>
      </c>
      <c r="Q486" s="243">
        <f t="shared" si="99"/>
        <v>0</v>
      </c>
      <c r="R486" s="243">
        <f t="shared" si="100"/>
        <v>0</v>
      </c>
      <c r="S486" s="243">
        <f t="shared" si="105"/>
        <v>0</v>
      </c>
      <c r="T486" s="243">
        <f t="shared" si="101"/>
        <v>0</v>
      </c>
      <c r="AA486" s="6">
        <v>291</v>
      </c>
      <c r="AB486" t="s">
        <v>80</v>
      </c>
      <c r="AC486" t="s">
        <v>1054</v>
      </c>
      <c r="AE486" t="s">
        <v>193</v>
      </c>
      <c r="AF486">
        <v>3</v>
      </c>
      <c r="AH486">
        <v>511</v>
      </c>
      <c r="AI486" t="s">
        <v>0</v>
      </c>
      <c r="AJ486" t="s">
        <v>20</v>
      </c>
      <c r="AK486" t="s">
        <v>100</v>
      </c>
      <c r="AL486" t="s">
        <v>986</v>
      </c>
      <c r="AM486" s="314">
        <v>63747.067500000005</v>
      </c>
      <c r="AN486" s="314">
        <v>93745.6875</v>
      </c>
      <c r="AO486" s="314">
        <v>168742.23750000002</v>
      </c>
      <c r="AP486" s="314">
        <v>168742.23750000002</v>
      </c>
      <c r="AQ486" s="314">
        <v>48.513750000000002</v>
      </c>
      <c r="AR486" s="314">
        <v>71.34375</v>
      </c>
      <c r="AS486" s="314">
        <v>128.41874999999999</v>
      </c>
      <c r="AT486" s="314">
        <v>128.41874999999999</v>
      </c>
      <c r="AU486" s="314">
        <v>0</v>
      </c>
      <c r="AV486" s="314">
        <v>0</v>
      </c>
      <c r="AW486" s="314">
        <v>0</v>
      </c>
      <c r="AX486">
        <v>0</v>
      </c>
    </row>
    <row r="487" spans="1:50" x14ac:dyDescent="0.35">
      <c r="A487">
        <v>525</v>
      </c>
      <c r="B487" t="s">
        <v>0</v>
      </c>
      <c r="C487" t="s">
        <v>20</v>
      </c>
      <c r="D487" t="s">
        <v>15</v>
      </c>
      <c r="E487" t="s">
        <v>433</v>
      </c>
      <c r="F487">
        <v>100</v>
      </c>
      <c r="G487">
        <v>300</v>
      </c>
      <c r="H487">
        <v>400</v>
      </c>
      <c r="I487">
        <v>400</v>
      </c>
      <c r="J487" s="600">
        <v>1200</v>
      </c>
      <c r="K487" s="7">
        <f t="shared" si="95"/>
        <v>13</v>
      </c>
      <c r="L487" s="7">
        <f t="shared" si="96"/>
        <v>0</v>
      </c>
      <c r="M487" s="243">
        <f t="shared" si="97"/>
        <v>98566.271644129694</v>
      </c>
      <c r="N487" s="243">
        <f>INDEX($AN$4:$AN21383,MATCH($A487,$AH$4:$AH$2000,0))</f>
        <v>295698.81493238907</v>
      </c>
      <c r="O487" s="243">
        <f t="shared" si="104"/>
        <v>394265.08657651878</v>
      </c>
      <c r="P487" s="243">
        <f t="shared" si="98"/>
        <v>394265.08657651878</v>
      </c>
      <c r="Q487" s="243">
        <f t="shared" si="99"/>
        <v>-890.59034209888512</v>
      </c>
      <c r="R487" s="243">
        <f t="shared" si="100"/>
        <v>-2671.7710262966552</v>
      </c>
      <c r="S487" s="243">
        <f t="shared" si="105"/>
        <v>-3562.3613683955405</v>
      </c>
      <c r="T487" s="243">
        <f t="shared" si="101"/>
        <v>-3562.3613683955405</v>
      </c>
      <c r="AA487" s="6">
        <v>290</v>
      </c>
      <c r="AB487" t="s">
        <v>80</v>
      </c>
      <c r="AC487" t="s">
        <v>1054</v>
      </c>
      <c r="AE487" t="s">
        <v>194</v>
      </c>
      <c r="AF487">
        <v>20</v>
      </c>
      <c r="AH487">
        <v>525</v>
      </c>
      <c r="AI487" t="s">
        <v>0</v>
      </c>
      <c r="AJ487" t="s">
        <v>20</v>
      </c>
      <c r="AK487" t="s">
        <v>15</v>
      </c>
      <c r="AL487" t="s">
        <v>433</v>
      </c>
      <c r="AM487" s="314">
        <v>98566.271644129694</v>
      </c>
      <c r="AN487" s="314">
        <v>295698.81493238907</v>
      </c>
      <c r="AO487" s="314">
        <v>394265.08657651878</v>
      </c>
      <c r="AP487" s="314">
        <v>394265.08657651878</v>
      </c>
      <c r="AQ487" s="314">
        <v>4.6695430703890883</v>
      </c>
      <c r="AR487" s="314">
        <v>14.008629211167266</v>
      </c>
      <c r="AS487" s="314">
        <v>18.678172281556353</v>
      </c>
      <c r="AT487" s="314">
        <v>18.678172281556353</v>
      </c>
      <c r="AU487" s="314">
        <v>-890.59034209888512</v>
      </c>
      <c r="AV487" s="314">
        <v>-2671.7710262966552</v>
      </c>
      <c r="AW487" s="314">
        <v>-3562.3613683955405</v>
      </c>
      <c r="AX487">
        <v>-3562.3613683955405</v>
      </c>
    </row>
    <row r="488" spans="1:50" x14ac:dyDescent="0.35">
      <c r="A488">
        <v>910</v>
      </c>
      <c r="B488" t="s">
        <v>0</v>
      </c>
      <c r="C488" t="s">
        <v>1072</v>
      </c>
      <c r="D488" t="s">
        <v>7</v>
      </c>
      <c r="E488" t="s">
        <v>1751</v>
      </c>
      <c r="F488">
        <v>43</v>
      </c>
      <c r="G488">
        <v>43</v>
      </c>
      <c r="H488">
        <v>43</v>
      </c>
      <c r="I488">
        <v>43</v>
      </c>
      <c r="J488" s="600">
        <v>172</v>
      </c>
      <c r="K488" s="7">
        <f t="shared" si="95"/>
        <v>10</v>
      </c>
      <c r="L488" s="7">
        <f t="shared" si="96"/>
        <v>0</v>
      </c>
      <c r="M488" s="243">
        <f t="shared" si="97"/>
        <v>11088.84</v>
      </c>
      <c r="N488" s="243">
        <f>INDEX($AN$4:$AN21384,MATCH($A488,$AH$4:$AH$2000,0))</f>
        <v>11088.84</v>
      </c>
      <c r="O488" s="243">
        <f t="shared" si="104"/>
        <v>11088.84</v>
      </c>
      <c r="P488" s="243">
        <f t="shared" si="98"/>
        <v>11088.84</v>
      </c>
      <c r="Q488" s="243">
        <f t="shared" si="99"/>
        <v>0</v>
      </c>
      <c r="R488" s="243">
        <f t="shared" si="100"/>
        <v>0</v>
      </c>
      <c r="S488" s="243">
        <f t="shared" si="105"/>
        <v>0</v>
      </c>
      <c r="T488" s="243">
        <f t="shared" si="101"/>
        <v>0</v>
      </c>
      <c r="AA488" s="6">
        <v>293</v>
      </c>
      <c r="AB488" t="s">
        <v>80</v>
      </c>
      <c r="AC488" t="s">
        <v>1054</v>
      </c>
      <c r="AE488" t="s">
        <v>195</v>
      </c>
      <c r="AF488">
        <v>16.5</v>
      </c>
      <c r="AH488">
        <v>910</v>
      </c>
      <c r="AI488" t="s">
        <v>0</v>
      </c>
      <c r="AJ488" t="s">
        <v>1072</v>
      </c>
      <c r="AK488" t="s">
        <v>7</v>
      </c>
      <c r="AL488" t="s">
        <v>1751</v>
      </c>
      <c r="AM488" s="314">
        <v>11088.84</v>
      </c>
      <c r="AN488" s="314">
        <v>11088.84</v>
      </c>
      <c r="AO488" s="314">
        <v>11088.84</v>
      </c>
      <c r="AP488" s="314">
        <v>11088.84</v>
      </c>
      <c r="AQ488" s="314">
        <v>1.0208200000000001</v>
      </c>
      <c r="AR488" s="314">
        <v>1.0208200000000001</v>
      </c>
      <c r="AS488" s="314">
        <v>1.0208200000000001</v>
      </c>
      <c r="AT488" s="314">
        <v>1.0208200000000001</v>
      </c>
      <c r="AU488" s="314">
        <v>0</v>
      </c>
      <c r="AV488" s="314">
        <v>0</v>
      </c>
      <c r="AW488" s="314">
        <v>0</v>
      </c>
      <c r="AX488">
        <v>0</v>
      </c>
    </row>
    <row r="489" spans="1:50" x14ac:dyDescent="0.35">
      <c r="A489">
        <v>895</v>
      </c>
      <c r="B489" t="s">
        <v>0</v>
      </c>
      <c r="C489" t="s">
        <v>1072</v>
      </c>
      <c r="D489" t="s">
        <v>7</v>
      </c>
      <c r="E489" t="s">
        <v>1752</v>
      </c>
      <c r="F489">
        <v>84</v>
      </c>
      <c r="G489">
        <v>84</v>
      </c>
      <c r="H489">
        <v>84</v>
      </c>
      <c r="I489">
        <v>84</v>
      </c>
      <c r="J489" s="600">
        <v>336</v>
      </c>
      <c r="K489" s="7">
        <f t="shared" si="95"/>
        <v>9</v>
      </c>
      <c r="L489" s="7">
        <f t="shared" si="96"/>
        <v>0</v>
      </c>
      <c r="M489" s="243">
        <f t="shared" si="97"/>
        <v>5764.92</v>
      </c>
      <c r="N489" s="243">
        <f>INDEX($AN$4:$AN21385,MATCH($A489,$AH$4:$AH$2000,0))</f>
        <v>5764.92</v>
      </c>
      <c r="O489" s="243">
        <f t="shared" si="104"/>
        <v>5764.92</v>
      </c>
      <c r="P489" s="243">
        <f t="shared" si="98"/>
        <v>5764.92</v>
      </c>
      <c r="Q489" s="243">
        <f t="shared" si="99"/>
        <v>0</v>
      </c>
      <c r="R489" s="243">
        <f t="shared" si="100"/>
        <v>0</v>
      </c>
      <c r="S489" s="243">
        <f t="shared" si="105"/>
        <v>0</v>
      </c>
      <c r="T489" s="243">
        <f t="shared" si="101"/>
        <v>0</v>
      </c>
      <c r="AA489" s="6">
        <v>301</v>
      </c>
      <c r="AB489" t="s">
        <v>80</v>
      </c>
      <c r="AC489" t="s">
        <v>1054</v>
      </c>
      <c r="AE489" t="s">
        <v>196</v>
      </c>
      <c r="AF489">
        <v>20</v>
      </c>
      <c r="AH489">
        <v>895</v>
      </c>
      <c r="AI489" t="s">
        <v>0</v>
      </c>
      <c r="AJ489" t="s">
        <v>1072</v>
      </c>
      <c r="AK489" t="s">
        <v>7</v>
      </c>
      <c r="AL489" t="s">
        <v>1752</v>
      </c>
      <c r="AM489" s="314">
        <v>5764.92</v>
      </c>
      <c r="AN489" s="314">
        <v>5764.92</v>
      </c>
      <c r="AO489" s="314">
        <v>5764.92</v>
      </c>
      <c r="AP489" s="314">
        <v>5764.92</v>
      </c>
      <c r="AQ489" s="314">
        <v>2.43852</v>
      </c>
      <c r="AR489" s="314">
        <v>2.43852</v>
      </c>
      <c r="AS489" s="314">
        <v>2.43852</v>
      </c>
      <c r="AT489" s="314">
        <v>2.43852</v>
      </c>
      <c r="AU489" s="314">
        <v>0</v>
      </c>
      <c r="AV489" s="314">
        <v>0</v>
      </c>
      <c r="AW489" s="314">
        <v>0</v>
      </c>
      <c r="AX489">
        <v>0</v>
      </c>
    </row>
    <row r="490" spans="1:50" x14ac:dyDescent="0.35">
      <c r="A490">
        <v>911</v>
      </c>
      <c r="B490" t="s">
        <v>0</v>
      </c>
      <c r="C490" t="s">
        <v>1072</v>
      </c>
      <c r="D490" t="s">
        <v>7</v>
      </c>
      <c r="E490" t="s">
        <v>1753</v>
      </c>
      <c r="F490">
        <v>226</v>
      </c>
      <c r="G490">
        <v>226</v>
      </c>
      <c r="H490">
        <v>226</v>
      </c>
      <c r="I490">
        <v>226</v>
      </c>
      <c r="J490" s="600">
        <v>904</v>
      </c>
      <c r="K490" s="7">
        <f t="shared" si="95"/>
        <v>10</v>
      </c>
      <c r="L490" s="7">
        <f t="shared" si="96"/>
        <v>0</v>
      </c>
      <c r="M490" s="243">
        <f t="shared" si="97"/>
        <v>0</v>
      </c>
      <c r="N490" s="243">
        <f>INDEX($AN$4:$AN21386,MATCH($A490,$AH$4:$AH$2000,0))</f>
        <v>0</v>
      </c>
      <c r="O490" s="243">
        <f t="shared" si="104"/>
        <v>0</v>
      </c>
      <c r="P490" s="243">
        <f t="shared" si="98"/>
        <v>0</v>
      </c>
      <c r="Q490" s="243">
        <f t="shared" si="99"/>
        <v>2495.04</v>
      </c>
      <c r="R490" s="243">
        <f t="shared" si="100"/>
        <v>2495.04</v>
      </c>
      <c r="S490" s="243">
        <f t="shared" si="105"/>
        <v>2495.04</v>
      </c>
      <c r="T490" s="243">
        <f t="shared" si="101"/>
        <v>2495.04</v>
      </c>
      <c r="AA490" s="6">
        <v>297</v>
      </c>
      <c r="AB490" t="s">
        <v>80</v>
      </c>
      <c r="AC490" t="s">
        <v>1054</v>
      </c>
      <c r="AE490" t="s">
        <v>197</v>
      </c>
      <c r="AF490">
        <v>15</v>
      </c>
      <c r="AH490">
        <v>911</v>
      </c>
      <c r="AI490" t="s">
        <v>0</v>
      </c>
      <c r="AJ490" t="s">
        <v>1072</v>
      </c>
      <c r="AK490" t="s">
        <v>7</v>
      </c>
      <c r="AL490" t="s">
        <v>1753</v>
      </c>
      <c r="AM490" s="314">
        <v>0</v>
      </c>
      <c r="AN490" s="314">
        <v>0</v>
      </c>
      <c r="AO490" s="314">
        <v>0</v>
      </c>
      <c r="AP490" s="314">
        <v>0</v>
      </c>
      <c r="AQ490" s="314">
        <v>0</v>
      </c>
      <c r="AR490" s="314">
        <v>0</v>
      </c>
      <c r="AS490" s="314">
        <v>0</v>
      </c>
      <c r="AT490" s="314">
        <v>0</v>
      </c>
      <c r="AU490" s="314">
        <v>2495.04</v>
      </c>
      <c r="AV490" s="314">
        <v>2495.04</v>
      </c>
      <c r="AW490" s="314">
        <v>2495.04</v>
      </c>
      <c r="AX490">
        <v>2495.04</v>
      </c>
    </row>
    <row r="491" spans="1:50" x14ac:dyDescent="0.35">
      <c r="A491">
        <v>896</v>
      </c>
      <c r="B491" t="s">
        <v>0</v>
      </c>
      <c r="C491" t="s">
        <v>1072</v>
      </c>
      <c r="D491" t="s">
        <v>7</v>
      </c>
      <c r="E491" t="s">
        <v>1754</v>
      </c>
      <c r="F491">
        <v>452</v>
      </c>
      <c r="G491">
        <v>452</v>
      </c>
      <c r="H491">
        <v>452</v>
      </c>
      <c r="I491">
        <v>452</v>
      </c>
      <c r="J491" s="600">
        <v>1808</v>
      </c>
      <c r="K491" s="7">
        <f t="shared" si="95"/>
        <v>9</v>
      </c>
      <c r="L491" s="7">
        <f t="shared" si="96"/>
        <v>0</v>
      </c>
      <c r="M491" s="243">
        <f t="shared" si="97"/>
        <v>0</v>
      </c>
      <c r="N491" s="243">
        <f>INDEX($AN$4:$AN21387,MATCH($A491,$AH$4:$AH$2000,0))</f>
        <v>0</v>
      </c>
      <c r="O491" s="243">
        <f t="shared" si="104"/>
        <v>0</v>
      </c>
      <c r="P491" s="243">
        <f t="shared" si="98"/>
        <v>0</v>
      </c>
      <c r="Q491" s="243">
        <f t="shared" si="99"/>
        <v>1328.8799999999999</v>
      </c>
      <c r="R491" s="243">
        <f t="shared" si="100"/>
        <v>1328.8799999999999</v>
      </c>
      <c r="S491" s="243">
        <f t="shared" si="105"/>
        <v>1328.8799999999999</v>
      </c>
      <c r="T491" s="243">
        <f t="shared" si="101"/>
        <v>1328.8799999999999</v>
      </c>
      <c r="AA491" s="6">
        <v>300</v>
      </c>
      <c r="AB491" t="s">
        <v>80</v>
      </c>
      <c r="AC491" t="s">
        <v>1054</v>
      </c>
      <c r="AE491" t="s">
        <v>198</v>
      </c>
      <c r="AF491">
        <v>15</v>
      </c>
      <c r="AH491">
        <v>896</v>
      </c>
      <c r="AI491" t="s">
        <v>0</v>
      </c>
      <c r="AJ491" t="s">
        <v>1072</v>
      </c>
      <c r="AK491" t="s">
        <v>7</v>
      </c>
      <c r="AL491" t="s">
        <v>1754</v>
      </c>
      <c r="AM491" s="314">
        <v>0</v>
      </c>
      <c r="AN491" s="314">
        <v>0</v>
      </c>
      <c r="AO491" s="314">
        <v>0</v>
      </c>
      <c r="AP491" s="314">
        <v>0</v>
      </c>
      <c r="AQ491" s="314">
        <v>0</v>
      </c>
      <c r="AR491" s="314">
        <v>0</v>
      </c>
      <c r="AS491" s="314">
        <v>0</v>
      </c>
      <c r="AT491" s="314">
        <v>0</v>
      </c>
      <c r="AU491" s="314">
        <v>1328.8799999999999</v>
      </c>
      <c r="AV491" s="314">
        <v>1328.8799999999999</v>
      </c>
      <c r="AW491" s="314">
        <v>1328.8799999999999</v>
      </c>
      <c r="AX491">
        <v>1328.8799999999999</v>
      </c>
    </row>
    <row r="492" spans="1:50" x14ac:dyDescent="0.35">
      <c r="A492">
        <v>855</v>
      </c>
      <c r="B492" t="s">
        <v>0</v>
      </c>
      <c r="C492" t="s">
        <v>1072</v>
      </c>
      <c r="D492" t="s">
        <v>7</v>
      </c>
      <c r="E492" t="s">
        <v>1755</v>
      </c>
      <c r="F492">
        <v>8</v>
      </c>
      <c r="G492">
        <v>8</v>
      </c>
      <c r="H492">
        <v>8</v>
      </c>
      <c r="I492">
        <v>8</v>
      </c>
      <c r="J492" s="600">
        <v>32</v>
      </c>
      <c r="K492" s="7">
        <f t="shared" si="95"/>
        <v>15</v>
      </c>
      <c r="L492" s="7">
        <f t="shared" si="96"/>
        <v>0</v>
      </c>
      <c r="M492" s="243">
        <f t="shared" si="97"/>
        <v>17750.25</v>
      </c>
      <c r="N492" s="243">
        <f>INDEX($AN$4:$AN21388,MATCH($A492,$AH$4:$AH$2000,0))</f>
        <v>17750.25</v>
      </c>
      <c r="O492" s="243">
        <f t="shared" si="104"/>
        <v>17750.25</v>
      </c>
      <c r="P492" s="243">
        <f t="shared" si="98"/>
        <v>17750.25</v>
      </c>
      <c r="Q492" s="243">
        <f t="shared" si="99"/>
        <v>0</v>
      </c>
      <c r="R492" s="243">
        <f t="shared" si="100"/>
        <v>0</v>
      </c>
      <c r="S492" s="243">
        <f t="shared" si="105"/>
        <v>0</v>
      </c>
      <c r="T492" s="243">
        <f t="shared" si="101"/>
        <v>0</v>
      </c>
      <c r="AA492" s="6">
        <v>295</v>
      </c>
      <c r="AB492" t="s">
        <v>80</v>
      </c>
      <c r="AC492" t="s">
        <v>1054</v>
      </c>
      <c r="AE492" t="s">
        <v>199</v>
      </c>
      <c r="AF492">
        <v>12</v>
      </c>
      <c r="AH492">
        <v>855</v>
      </c>
      <c r="AI492" t="s">
        <v>0</v>
      </c>
      <c r="AJ492" t="s">
        <v>1072</v>
      </c>
      <c r="AK492" t="s">
        <v>7</v>
      </c>
      <c r="AL492" t="s">
        <v>1755</v>
      </c>
      <c r="AM492" s="314">
        <v>17750.25</v>
      </c>
      <c r="AN492" s="314">
        <v>17750.25</v>
      </c>
      <c r="AO492" s="314">
        <v>17750.25</v>
      </c>
      <c r="AP492" s="314">
        <v>17750.25</v>
      </c>
      <c r="AQ492" s="314">
        <v>2.52</v>
      </c>
      <c r="AR492" s="314">
        <v>2.52</v>
      </c>
      <c r="AS492" s="314">
        <v>2.52</v>
      </c>
      <c r="AT492" s="314">
        <v>2.52</v>
      </c>
      <c r="AU492" s="314">
        <v>0</v>
      </c>
      <c r="AV492" s="314">
        <v>0</v>
      </c>
      <c r="AW492" s="314">
        <v>0</v>
      </c>
      <c r="AX492">
        <v>0</v>
      </c>
    </row>
    <row r="493" spans="1:50" x14ac:dyDescent="0.35">
      <c r="A493">
        <v>906</v>
      </c>
      <c r="B493" t="s">
        <v>0</v>
      </c>
      <c r="C493" t="s">
        <v>1072</v>
      </c>
      <c r="D493" t="s">
        <v>7</v>
      </c>
      <c r="E493" t="s">
        <v>1756</v>
      </c>
      <c r="F493">
        <v>4</v>
      </c>
      <c r="G493">
        <v>4</v>
      </c>
      <c r="H493">
        <v>4</v>
      </c>
      <c r="I493">
        <v>4</v>
      </c>
      <c r="J493" s="600">
        <v>16</v>
      </c>
      <c r="K493" s="7">
        <f t="shared" si="95"/>
        <v>25</v>
      </c>
      <c r="L493" s="7">
        <f t="shared" si="96"/>
        <v>0</v>
      </c>
      <c r="M493" s="243">
        <f t="shared" si="97"/>
        <v>4244</v>
      </c>
      <c r="N493" s="243">
        <f>INDEX($AN$4:$AN21389,MATCH($A493,$AH$4:$AH$2000,0))</f>
        <v>4244</v>
      </c>
      <c r="O493" s="243">
        <f t="shared" si="104"/>
        <v>4244</v>
      </c>
      <c r="P493" s="243">
        <f t="shared" si="98"/>
        <v>4244</v>
      </c>
      <c r="Q493" s="243">
        <f t="shared" si="99"/>
        <v>0</v>
      </c>
      <c r="R493" s="243">
        <f t="shared" si="100"/>
        <v>0</v>
      </c>
      <c r="S493" s="243">
        <f t="shared" si="105"/>
        <v>0</v>
      </c>
      <c r="T493" s="243">
        <f t="shared" si="101"/>
        <v>0</v>
      </c>
      <c r="AA493" s="6">
        <v>296</v>
      </c>
      <c r="AB493" t="s">
        <v>80</v>
      </c>
      <c r="AC493" t="s">
        <v>1054</v>
      </c>
      <c r="AE493" t="s">
        <v>200</v>
      </c>
      <c r="AF493">
        <v>12</v>
      </c>
      <c r="AH493">
        <v>906</v>
      </c>
      <c r="AI493" t="s">
        <v>0</v>
      </c>
      <c r="AJ493" t="s">
        <v>1072</v>
      </c>
      <c r="AK493" t="s">
        <v>7</v>
      </c>
      <c r="AL493" t="s">
        <v>1756</v>
      </c>
      <c r="AM493" s="314">
        <v>4244</v>
      </c>
      <c r="AN493" s="314">
        <v>4244</v>
      </c>
      <c r="AO493" s="314">
        <v>4244</v>
      </c>
      <c r="AP493" s="314">
        <v>4244</v>
      </c>
      <c r="AQ493" s="314">
        <v>0.38566100230930145</v>
      </c>
      <c r="AR493" s="314">
        <v>0.38566100230930145</v>
      </c>
      <c r="AS493" s="314">
        <v>0.38566100230930145</v>
      </c>
      <c r="AT493" s="314">
        <v>0.38566100230930145</v>
      </c>
      <c r="AU493" s="314">
        <v>0</v>
      </c>
      <c r="AV493" s="314">
        <v>0</v>
      </c>
      <c r="AW493" s="314">
        <v>0</v>
      </c>
      <c r="AX493">
        <v>0</v>
      </c>
    </row>
    <row r="494" spans="1:50" x14ac:dyDescent="0.35">
      <c r="A494">
        <v>908</v>
      </c>
      <c r="B494" t="s">
        <v>0</v>
      </c>
      <c r="C494" t="s">
        <v>1072</v>
      </c>
      <c r="D494" t="s">
        <v>7</v>
      </c>
      <c r="E494" t="s">
        <v>1757</v>
      </c>
      <c r="F494">
        <v>7</v>
      </c>
      <c r="G494">
        <v>7</v>
      </c>
      <c r="H494">
        <v>7</v>
      </c>
      <c r="I494">
        <v>7</v>
      </c>
      <c r="J494" s="600">
        <v>28</v>
      </c>
      <c r="K494" s="7">
        <f t="shared" si="95"/>
        <v>25</v>
      </c>
      <c r="L494" s="7">
        <f t="shared" si="96"/>
        <v>0</v>
      </c>
      <c r="M494" s="243">
        <f t="shared" si="97"/>
        <v>1681.09375</v>
      </c>
      <c r="N494" s="243">
        <f>INDEX($AN$4:$AN21390,MATCH($A494,$AH$4:$AH$2000,0))</f>
        <v>1681.09375</v>
      </c>
      <c r="O494" s="243">
        <f t="shared" si="104"/>
        <v>1681.09375</v>
      </c>
      <c r="P494" s="243">
        <f t="shared" si="98"/>
        <v>1681.09375</v>
      </c>
      <c r="Q494" s="243">
        <f t="shared" si="99"/>
        <v>0</v>
      </c>
      <c r="R494" s="243">
        <f t="shared" si="100"/>
        <v>0</v>
      </c>
      <c r="S494" s="243">
        <f t="shared" si="105"/>
        <v>0</v>
      </c>
      <c r="T494" s="243">
        <f t="shared" si="101"/>
        <v>0</v>
      </c>
      <c r="AA494" s="6">
        <v>294</v>
      </c>
      <c r="AB494" t="s">
        <v>80</v>
      </c>
      <c r="AC494" t="s">
        <v>1054</v>
      </c>
      <c r="AE494" t="s">
        <v>201</v>
      </c>
      <c r="AF494">
        <v>12</v>
      </c>
      <c r="AH494">
        <v>908</v>
      </c>
      <c r="AI494" t="s">
        <v>0</v>
      </c>
      <c r="AJ494" t="s">
        <v>1072</v>
      </c>
      <c r="AK494" t="s">
        <v>7</v>
      </c>
      <c r="AL494" t="s">
        <v>1757</v>
      </c>
      <c r="AM494" s="314">
        <v>1681.09375</v>
      </c>
      <c r="AN494" s="314">
        <v>1681.09375</v>
      </c>
      <c r="AO494" s="314">
        <v>1681.09375</v>
      </c>
      <c r="AP494" s="314">
        <v>1681.09375</v>
      </c>
      <c r="AQ494" s="314">
        <v>0.14217311131799437</v>
      </c>
      <c r="AR494" s="314">
        <v>0.14217311131799437</v>
      </c>
      <c r="AS494" s="314">
        <v>0.14217311131799437</v>
      </c>
      <c r="AT494" s="314">
        <v>0.14217311131799437</v>
      </c>
      <c r="AU494" s="314">
        <v>0</v>
      </c>
      <c r="AV494" s="314">
        <v>0</v>
      </c>
      <c r="AW494" s="314">
        <v>0</v>
      </c>
      <c r="AX494">
        <v>0</v>
      </c>
    </row>
    <row r="495" spans="1:50" x14ac:dyDescent="0.35">
      <c r="A495">
        <v>881</v>
      </c>
      <c r="B495" t="s">
        <v>0</v>
      </c>
      <c r="C495" t="s">
        <v>1072</v>
      </c>
      <c r="D495" t="s">
        <v>7</v>
      </c>
      <c r="E495" t="s">
        <v>1758</v>
      </c>
      <c r="F495">
        <v>1</v>
      </c>
      <c r="G495">
        <v>1</v>
      </c>
      <c r="H495">
        <v>1</v>
      </c>
      <c r="I495">
        <v>1</v>
      </c>
      <c r="J495" s="600">
        <v>4</v>
      </c>
      <c r="K495" s="7">
        <f t="shared" si="95"/>
        <v>25</v>
      </c>
      <c r="L495" s="7">
        <f t="shared" si="96"/>
        <v>0</v>
      </c>
      <c r="M495" s="243">
        <f t="shared" si="97"/>
        <v>1507.2749999999999</v>
      </c>
      <c r="N495" s="243">
        <f>INDEX($AN$4:$AN21391,MATCH($A495,$AH$4:$AH$2000,0))</f>
        <v>1507.2749999999999</v>
      </c>
      <c r="O495" s="243">
        <f t="shared" si="104"/>
        <v>1507.2749999999999</v>
      </c>
      <c r="P495" s="243">
        <f t="shared" si="98"/>
        <v>1507.2749999999999</v>
      </c>
      <c r="Q495" s="243">
        <f t="shared" si="99"/>
        <v>0</v>
      </c>
      <c r="R495" s="243">
        <f t="shared" si="100"/>
        <v>0</v>
      </c>
      <c r="S495" s="243">
        <f t="shared" si="105"/>
        <v>0</v>
      </c>
      <c r="T495" s="243">
        <f t="shared" si="101"/>
        <v>0</v>
      </c>
      <c r="AA495" s="6">
        <v>292</v>
      </c>
      <c r="AB495" t="s">
        <v>80</v>
      </c>
      <c r="AC495" t="s">
        <v>1054</v>
      </c>
      <c r="AE495" t="s">
        <v>202</v>
      </c>
      <c r="AF495">
        <v>15</v>
      </c>
      <c r="AH495">
        <v>881</v>
      </c>
      <c r="AI495" t="s">
        <v>0</v>
      </c>
      <c r="AJ495" t="s">
        <v>1072</v>
      </c>
      <c r="AK495" t="s">
        <v>7</v>
      </c>
      <c r="AL495" t="s">
        <v>1758</v>
      </c>
      <c r="AM495" s="314">
        <v>1507.2749999999999</v>
      </c>
      <c r="AN495" s="314">
        <v>1507.2749999999999</v>
      </c>
      <c r="AO495" s="314">
        <v>1507.2749999999999</v>
      </c>
      <c r="AP495" s="314">
        <v>1507.2749999999999</v>
      </c>
      <c r="AQ495" s="314">
        <v>8.8858194573746524E-2</v>
      </c>
      <c r="AR495" s="314">
        <v>8.8858194573746524E-2</v>
      </c>
      <c r="AS495" s="314">
        <v>8.8858194573746524E-2</v>
      </c>
      <c r="AT495" s="314">
        <v>8.8858194573746524E-2</v>
      </c>
      <c r="AU495" s="314">
        <v>0</v>
      </c>
      <c r="AV495" s="314">
        <v>0</v>
      </c>
      <c r="AW495" s="314">
        <v>0</v>
      </c>
      <c r="AX495">
        <v>0</v>
      </c>
    </row>
    <row r="496" spans="1:50" x14ac:dyDescent="0.35">
      <c r="A496">
        <v>856</v>
      </c>
      <c r="B496" t="s">
        <v>0</v>
      </c>
      <c r="C496" t="s">
        <v>1072</v>
      </c>
      <c r="D496" t="s">
        <v>7</v>
      </c>
      <c r="E496" t="s">
        <v>1759</v>
      </c>
      <c r="F496">
        <v>76</v>
      </c>
      <c r="G496">
        <v>76</v>
      </c>
      <c r="H496">
        <v>76</v>
      </c>
      <c r="I496">
        <v>76</v>
      </c>
      <c r="J496" s="600">
        <v>304</v>
      </c>
      <c r="K496" s="7">
        <f t="shared" si="95"/>
        <v>15</v>
      </c>
      <c r="L496" s="7">
        <f t="shared" si="96"/>
        <v>0</v>
      </c>
      <c r="M496" s="243">
        <f t="shared" si="97"/>
        <v>33516.000000000007</v>
      </c>
      <c r="N496" s="243">
        <f>INDEX($AN$4:$AN21392,MATCH($A496,$AH$4:$AH$2000,0))</f>
        <v>33516.000000000007</v>
      </c>
      <c r="O496" s="243">
        <f t="shared" si="104"/>
        <v>33516.000000000007</v>
      </c>
      <c r="P496" s="243">
        <f t="shared" si="98"/>
        <v>33516.000000000007</v>
      </c>
      <c r="Q496" s="243">
        <f t="shared" si="99"/>
        <v>8776.7380465116294</v>
      </c>
      <c r="R496" s="243">
        <f t="shared" si="100"/>
        <v>8776.7380465116294</v>
      </c>
      <c r="S496" s="243">
        <f t="shared" si="105"/>
        <v>8776.7380465116294</v>
      </c>
      <c r="T496" s="243">
        <f t="shared" si="101"/>
        <v>8776.7380465116294</v>
      </c>
      <c r="AA496" s="6">
        <v>351</v>
      </c>
      <c r="AB496" t="s">
        <v>80</v>
      </c>
      <c r="AC496" t="s">
        <v>1054</v>
      </c>
      <c r="AE496" t="s">
        <v>203</v>
      </c>
      <c r="AF496">
        <v>6</v>
      </c>
      <c r="AH496">
        <v>856</v>
      </c>
      <c r="AI496" t="s">
        <v>0</v>
      </c>
      <c r="AJ496" t="s">
        <v>1072</v>
      </c>
      <c r="AK496" t="s">
        <v>7</v>
      </c>
      <c r="AL496" t="s">
        <v>1759</v>
      </c>
      <c r="AM496" s="314">
        <v>33516.000000000007</v>
      </c>
      <c r="AN496" s="314">
        <v>33516.000000000007</v>
      </c>
      <c r="AO496" s="314">
        <v>33516.000000000007</v>
      </c>
      <c r="AP496" s="314">
        <v>33516.000000000007</v>
      </c>
      <c r="AQ496" s="314">
        <v>23.94</v>
      </c>
      <c r="AR496" s="314">
        <v>23.94</v>
      </c>
      <c r="AS496" s="314">
        <v>23.94</v>
      </c>
      <c r="AT496" s="314">
        <v>23.94</v>
      </c>
      <c r="AU496" s="314">
        <v>8776.7380465116294</v>
      </c>
      <c r="AV496" s="314">
        <v>8776.7380465116294</v>
      </c>
      <c r="AW496" s="314">
        <v>8776.7380465116294</v>
      </c>
      <c r="AX496">
        <v>8776.7380465116294</v>
      </c>
    </row>
    <row r="497" spans="1:50" x14ac:dyDescent="0.35">
      <c r="A497">
        <v>907</v>
      </c>
      <c r="B497" t="s">
        <v>0</v>
      </c>
      <c r="C497" t="s">
        <v>1072</v>
      </c>
      <c r="D497" t="s">
        <v>7</v>
      </c>
      <c r="E497" t="s">
        <v>1760</v>
      </c>
      <c r="F497">
        <v>37</v>
      </c>
      <c r="G497">
        <v>37</v>
      </c>
      <c r="H497">
        <v>37</v>
      </c>
      <c r="I497">
        <v>37</v>
      </c>
      <c r="J497" s="600">
        <v>148</v>
      </c>
      <c r="K497" s="7">
        <f t="shared" si="95"/>
        <v>25</v>
      </c>
      <c r="L497" s="7">
        <f t="shared" si="96"/>
        <v>0</v>
      </c>
      <c r="M497" s="243">
        <f t="shared" si="97"/>
        <v>6390.0819601993944</v>
      </c>
      <c r="N497" s="243">
        <f>INDEX($AN$4:$AN21393,MATCH($A497,$AH$4:$AH$2000,0))</f>
        <v>6390.0819601993944</v>
      </c>
      <c r="O497" s="243">
        <f t="shared" si="104"/>
        <v>6390.0819601993944</v>
      </c>
      <c r="P497" s="243">
        <f t="shared" si="98"/>
        <v>6390.0819601993944</v>
      </c>
      <c r="Q497" s="243">
        <f t="shared" si="99"/>
        <v>1950.0819601993935</v>
      </c>
      <c r="R497" s="243">
        <f t="shared" si="100"/>
        <v>1950.0819601993935</v>
      </c>
      <c r="S497" s="243">
        <f t="shared" si="105"/>
        <v>1950.0819601993935</v>
      </c>
      <c r="T497" s="243">
        <f t="shared" si="101"/>
        <v>1950.0819601993935</v>
      </c>
      <c r="AA497" s="6">
        <v>349</v>
      </c>
      <c r="AB497" t="s">
        <v>80</v>
      </c>
      <c r="AC497" t="s">
        <v>1054</v>
      </c>
      <c r="AE497" t="s">
        <v>204</v>
      </c>
      <c r="AF497">
        <v>6</v>
      </c>
      <c r="AH497">
        <v>907</v>
      </c>
      <c r="AI497" t="s">
        <v>0</v>
      </c>
      <c r="AJ497" t="s">
        <v>1072</v>
      </c>
      <c r="AK497" t="s">
        <v>7</v>
      </c>
      <c r="AL497" t="s">
        <v>1760</v>
      </c>
      <c r="AM497" s="314">
        <v>6390.0819601993944</v>
      </c>
      <c r="AN497" s="314">
        <v>6390.0819601993944</v>
      </c>
      <c r="AO497" s="314">
        <v>6390.0819601993944</v>
      </c>
      <c r="AP497" s="314">
        <v>6390.0819601993944</v>
      </c>
      <c r="AQ497" s="314">
        <v>4.0769877386983291</v>
      </c>
      <c r="AR497" s="314">
        <v>4.0769877386983291</v>
      </c>
      <c r="AS497" s="314">
        <v>4.0769877386983291</v>
      </c>
      <c r="AT497" s="314">
        <v>4.0769877386983291</v>
      </c>
      <c r="AU497" s="314">
        <v>1950.0819601993935</v>
      </c>
      <c r="AV497" s="314">
        <v>1950.0819601993935</v>
      </c>
      <c r="AW497" s="314">
        <v>1950.0819601993935</v>
      </c>
      <c r="AX497">
        <v>1950.0819601993935</v>
      </c>
    </row>
    <row r="498" spans="1:50" x14ac:dyDescent="0.35">
      <c r="A498">
        <v>909</v>
      </c>
      <c r="B498" t="s">
        <v>0</v>
      </c>
      <c r="C498" t="s">
        <v>1072</v>
      </c>
      <c r="D498" t="s">
        <v>7</v>
      </c>
      <c r="E498" t="s">
        <v>1761</v>
      </c>
      <c r="F498">
        <v>59</v>
      </c>
      <c r="G498">
        <v>59</v>
      </c>
      <c r="H498">
        <v>59</v>
      </c>
      <c r="I498">
        <v>59</v>
      </c>
      <c r="J498" s="600">
        <v>236</v>
      </c>
      <c r="K498" s="7">
        <f t="shared" si="95"/>
        <v>25</v>
      </c>
      <c r="L498" s="7">
        <f t="shared" si="96"/>
        <v>0</v>
      </c>
      <c r="M498" s="243">
        <f t="shared" si="97"/>
        <v>1711</v>
      </c>
      <c r="N498" s="243">
        <f>INDEX($AN$4:$AN21394,MATCH($A498,$AH$4:$AH$2000,0))</f>
        <v>1711</v>
      </c>
      <c r="O498" s="243">
        <f t="shared" si="104"/>
        <v>1711</v>
      </c>
      <c r="P498" s="243">
        <f t="shared" si="98"/>
        <v>1711</v>
      </c>
      <c r="Q498" s="243">
        <f t="shared" si="99"/>
        <v>159.87138617126521</v>
      </c>
      <c r="R498" s="243">
        <f t="shared" si="100"/>
        <v>159.87138617126521</v>
      </c>
      <c r="S498" s="243">
        <f t="shared" si="105"/>
        <v>159.87138617126521</v>
      </c>
      <c r="T498" s="243">
        <f t="shared" si="101"/>
        <v>159.87138617126521</v>
      </c>
      <c r="AA498" s="6">
        <v>352</v>
      </c>
      <c r="AB498" t="s">
        <v>80</v>
      </c>
      <c r="AC498" t="s">
        <v>1054</v>
      </c>
      <c r="AE498" t="s">
        <v>205</v>
      </c>
      <c r="AF498">
        <v>6</v>
      </c>
      <c r="AH498">
        <v>909</v>
      </c>
      <c r="AI498" t="s">
        <v>0</v>
      </c>
      <c r="AJ498" t="s">
        <v>1072</v>
      </c>
      <c r="AK498" t="s">
        <v>7</v>
      </c>
      <c r="AL498" t="s">
        <v>1761</v>
      </c>
      <c r="AM498" s="314">
        <v>1711</v>
      </c>
      <c r="AN498" s="314">
        <v>1711</v>
      </c>
      <c r="AO498" s="314">
        <v>1711</v>
      </c>
      <c r="AP498" s="314">
        <v>1711</v>
      </c>
      <c r="AQ498" s="314">
        <v>1.1983162239659526</v>
      </c>
      <c r="AR498" s="314">
        <v>1.1983162239659526</v>
      </c>
      <c r="AS498" s="314">
        <v>1.1983162239659526</v>
      </c>
      <c r="AT498" s="314">
        <v>1.1983162239659526</v>
      </c>
      <c r="AU498" s="314">
        <v>159.87138617126521</v>
      </c>
      <c r="AV498" s="314">
        <v>159.87138617126521</v>
      </c>
      <c r="AW498" s="314">
        <v>159.87138617126521</v>
      </c>
      <c r="AX498">
        <v>159.87138617126521</v>
      </c>
    </row>
    <row r="499" spans="1:50" x14ac:dyDescent="0.35">
      <c r="A499">
        <v>882</v>
      </c>
      <c r="B499" t="s">
        <v>0</v>
      </c>
      <c r="C499" t="s">
        <v>1072</v>
      </c>
      <c r="D499" t="s">
        <v>7</v>
      </c>
      <c r="E499" t="s">
        <v>1762</v>
      </c>
      <c r="F499">
        <v>16</v>
      </c>
      <c r="G499">
        <v>16</v>
      </c>
      <c r="H499">
        <v>16</v>
      </c>
      <c r="I499">
        <v>16</v>
      </c>
      <c r="J499" s="600">
        <v>64</v>
      </c>
      <c r="K499" s="7">
        <f t="shared" si="95"/>
        <v>25</v>
      </c>
      <c r="L499" s="7">
        <f t="shared" si="96"/>
        <v>0</v>
      </c>
      <c r="M499" s="243">
        <f t="shared" si="97"/>
        <v>2575.2000000000003</v>
      </c>
      <c r="N499" s="243">
        <f>INDEX($AN$4:$AN21395,MATCH($A499,$AH$4:$AH$2000,0))</f>
        <v>2575.2000000000003</v>
      </c>
      <c r="O499" s="243">
        <f t="shared" si="104"/>
        <v>2575.2000000000003</v>
      </c>
      <c r="P499" s="243">
        <f t="shared" si="98"/>
        <v>2575.2000000000003</v>
      </c>
      <c r="Q499" s="243">
        <f t="shared" si="99"/>
        <v>1376.8849335255834</v>
      </c>
      <c r="R499" s="243">
        <f t="shared" si="100"/>
        <v>1376.8849335255834</v>
      </c>
      <c r="S499" s="243">
        <f t="shared" si="105"/>
        <v>1376.8849335255834</v>
      </c>
      <c r="T499" s="243">
        <f t="shared" si="101"/>
        <v>1376.8849335255834</v>
      </c>
      <c r="AA499" s="6">
        <v>350</v>
      </c>
      <c r="AB499" t="s">
        <v>80</v>
      </c>
      <c r="AC499" t="s">
        <v>1054</v>
      </c>
      <c r="AE499" t="s">
        <v>206</v>
      </c>
      <c r="AF499">
        <v>6</v>
      </c>
      <c r="AH499">
        <v>882</v>
      </c>
      <c r="AI499" t="s">
        <v>0</v>
      </c>
      <c r="AJ499" t="s">
        <v>1072</v>
      </c>
      <c r="AK499" t="s">
        <v>7</v>
      </c>
      <c r="AL499" t="s">
        <v>1762</v>
      </c>
      <c r="AM499" s="314">
        <v>2575.2000000000003</v>
      </c>
      <c r="AN499" s="314">
        <v>2575.2000000000003</v>
      </c>
      <c r="AO499" s="314">
        <v>2575.2000000000003</v>
      </c>
      <c r="AP499" s="314">
        <v>2575.2000000000003</v>
      </c>
      <c r="AQ499" s="314">
        <v>1.6248355579199363</v>
      </c>
      <c r="AR499" s="314">
        <v>1.6248355579199363</v>
      </c>
      <c r="AS499" s="314">
        <v>1.6248355579199363</v>
      </c>
      <c r="AT499" s="314">
        <v>1.6248355579199363</v>
      </c>
      <c r="AU499" s="314">
        <v>1376.8849335255834</v>
      </c>
      <c r="AV499" s="314">
        <v>1376.8849335255834</v>
      </c>
      <c r="AW499" s="314">
        <v>1376.8849335255834</v>
      </c>
      <c r="AX499">
        <v>1376.8849335255834</v>
      </c>
    </row>
    <row r="500" spans="1:50" x14ac:dyDescent="0.35">
      <c r="A500">
        <v>864</v>
      </c>
      <c r="B500" t="s">
        <v>0</v>
      </c>
      <c r="C500" t="s">
        <v>1072</v>
      </c>
      <c r="D500" t="s">
        <v>7</v>
      </c>
      <c r="E500" t="s">
        <v>1763</v>
      </c>
      <c r="F500">
        <v>21</v>
      </c>
      <c r="G500">
        <v>21</v>
      </c>
      <c r="H500">
        <v>21</v>
      </c>
      <c r="I500">
        <v>21</v>
      </c>
      <c r="J500" s="600">
        <v>84</v>
      </c>
      <c r="K500" s="7">
        <f t="shared" si="95"/>
        <v>20</v>
      </c>
      <c r="L500" s="7">
        <f t="shared" si="96"/>
        <v>0</v>
      </c>
      <c r="M500" s="243">
        <f t="shared" si="97"/>
        <v>9849</v>
      </c>
      <c r="N500" s="243">
        <f>INDEX($AN$4:$AN21396,MATCH($A500,$AH$4:$AH$2000,0))</f>
        <v>9849</v>
      </c>
      <c r="O500" s="243">
        <f t="shared" si="104"/>
        <v>9849</v>
      </c>
      <c r="P500" s="243">
        <f t="shared" si="98"/>
        <v>9849</v>
      </c>
      <c r="Q500" s="243">
        <f t="shared" si="99"/>
        <v>0</v>
      </c>
      <c r="R500" s="243">
        <f t="shared" si="100"/>
        <v>0</v>
      </c>
      <c r="S500" s="243">
        <f t="shared" si="105"/>
        <v>0</v>
      </c>
      <c r="T500" s="243">
        <f t="shared" si="101"/>
        <v>0</v>
      </c>
      <c r="AA500" s="6">
        <v>341</v>
      </c>
      <c r="AB500" t="s">
        <v>80</v>
      </c>
      <c r="AC500" t="s">
        <v>1054</v>
      </c>
      <c r="AE500" t="s">
        <v>207</v>
      </c>
      <c r="AF500">
        <v>10</v>
      </c>
      <c r="AH500">
        <v>864</v>
      </c>
      <c r="AI500" t="s">
        <v>0</v>
      </c>
      <c r="AJ500" t="s">
        <v>1072</v>
      </c>
      <c r="AK500" t="s">
        <v>7</v>
      </c>
      <c r="AL500" t="s">
        <v>1763</v>
      </c>
      <c r="AM500" s="314">
        <v>9849</v>
      </c>
      <c r="AN500" s="314">
        <v>9849</v>
      </c>
      <c r="AO500" s="314">
        <v>9849</v>
      </c>
      <c r="AP500" s="314">
        <v>9849</v>
      </c>
      <c r="AQ500" s="314">
        <v>0</v>
      </c>
      <c r="AR500" s="314">
        <v>0</v>
      </c>
      <c r="AS500" s="314">
        <v>0</v>
      </c>
      <c r="AT500" s="314">
        <v>0</v>
      </c>
      <c r="AU500" s="314">
        <v>0</v>
      </c>
      <c r="AV500" s="314">
        <v>0</v>
      </c>
      <c r="AW500" s="314">
        <v>0</v>
      </c>
      <c r="AX500">
        <v>0</v>
      </c>
    </row>
    <row r="501" spans="1:50" x14ac:dyDescent="0.35">
      <c r="A501">
        <v>904</v>
      </c>
      <c r="B501" t="s">
        <v>0</v>
      </c>
      <c r="C501" t="s">
        <v>1072</v>
      </c>
      <c r="D501" t="s">
        <v>7</v>
      </c>
      <c r="E501" t="s">
        <v>1764</v>
      </c>
      <c r="F501">
        <v>9</v>
      </c>
      <c r="G501">
        <v>9</v>
      </c>
      <c r="H501">
        <v>9</v>
      </c>
      <c r="I501">
        <v>9</v>
      </c>
      <c r="J501" s="600">
        <v>36</v>
      </c>
      <c r="K501" s="7">
        <f t="shared" si="95"/>
        <v>5</v>
      </c>
      <c r="L501" s="7">
        <f t="shared" si="96"/>
        <v>0</v>
      </c>
      <c r="M501" s="243">
        <f t="shared" si="97"/>
        <v>5838.9120000000003</v>
      </c>
      <c r="N501" s="243">
        <f>INDEX($AN$4:$AN21397,MATCH($A501,$AH$4:$AH$2000,0))</f>
        <v>5838.9120000000003</v>
      </c>
      <c r="O501" s="243">
        <f t="shared" si="104"/>
        <v>5838.9120000000003</v>
      </c>
      <c r="P501" s="243">
        <f t="shared" si="98"/>
        <v>5838.9120000000003</v>
      </c>
      <c r="Q501" s="243">
        <f t="shared" si="99"/>
        <v>0</v>
      </c>
      <c r="R501" s="243">
        <f t="shared" si="100"/>
        <v>0</v>
      </c>
      <c r="S501" s="243">
        <f t="shared" si="105"/>
        <v>0</v>
      </c>
      <c r="T501" s="243">
        <f t="shared" si="101"/>
        <v>0</v>
      </c>
      <c r="AA501" s="6">
        <v>275</v>
      </c>
      <c r="AB501" t="s">
        <v>80</v>
      </c>
      <c r="AC501" t="s">
        <v>1054</v>
      </c>
      <c r="AE501" t="s">
        <v>208</v>
      </c>
      <c r="AF501">
        <v>18</v>
      </c>
      <c r="AH501">
        <v>904</v>
      </c>
      <c r="AI501" t="s">
        <v>0</v>
      </c>
      <c r="AJ501" t="s">
        <v>1072</v>
      </c>
      <c r="AK501" t="s">
        <v>7</v>
      </c>
      <c r="AL501" t="s">
        <v>1764</v>
      </c>
      <c r="AM501" s="314">
        <v>5838.9120000000003</v>
      </c>
      <c r="AN501" s="314">
        <v>5838.9120000000003</v>
      </c>
      <c r="AO501" s="314">
        <v>5838.9120000000003</v>
      </c>
      <c r="AP501" s="314">
        <v>5838.9120000000003</v>
      </c>
      <c r="AQ501" s="314">
        <v>0</v>
      </c>
      <c r="AR501" s="314">
        <v>0</v>
      </c>
      <c r="AS501" s="314">
        <v>0</v>
      </c>
      <c r="AT501" s="314">
        <v>0</v>
      </c>
      <c r="AU501" s="314">
        <v>0</v>
      </c>
      <c r="AV501" s="314">
        <v>0</v>
      </c>
      <c r="AW501" s="314">
        <v>0</v>
      </c>
      <c r="AX501">
        <v>0</v>
      </c>
    </row>
    <row r="502" spans="1:50" x14ac:dyDescent="0.35">
      <c r="A502">
        <v>863</v>
      </c>
      <c r="B502" t="s">
        <v>0</v>
      </c>
      <c r="C502" t="s">
        <v>1072</v>
      </c>
      <c r="D502" t="s">
        <v>7</v>
      </c>
      <c r="E502" t="s">
        <v>1765</v>
      </c>
      <c r="F502">
        <v>3</v>
      </c>
      <c r="G502">
        <v>3</v>
      </c>
      <c r="H502">
        <v>3</v>
      </c>
      <c r="I502">
        <v>3</v>
      </c>
      <c r="J502" s="600">
        <v>12</v>
      </c>
      <c r="K502" s="7">
        <f t="shared" si="95"/>
        <v>25</v>
      </c>
      <c r="L502" s="7">
        <f t="shared" si="96"/>
        <v>0</v>
      </c>
      <c r="M502" s="243">
        <f t="shared" si="97"/>
        <v>0</v>
      </c>
      <c r="N502" s="243">
        <f>INDEX($AN$4:$AN21398,MATCH($A502,$AH$4:$AH$2000,0))</f>
        <v>0</v>
      </c>
      <c r="O502" s="243">
        <f t="shared" si="104"/>
        <v>0</v>
      </c>
      <c r="P502" s="243">
        <f t="shared" si="98"/>
        <v>0</v>
      </c>
      <c r="Q502" s="243">
        <f t="shared" si="99"/>
        <v>433.14</v>
      </c>
      <c r="R502" s="243">
        <f t="shared" si="100"/>
        <v>433.14</v>
      </c>
      <c r="S502" s="243">
        <f t="shared" si="105"/>
        <v>433.14</v>
      </c>
      <c r="T502" s="243">
        <f t="shared" si="101"/>
        <v>433.14</v>
      </c>
      <c r="AA502" s="6">
        <v>329</v>
      </c>
      <c r="AB502" t="s">
        <v>80</v>
      </c>
      <c r="AC502" t="s">
        <v>1054</v>
      </c>
      <c r="AE502" t="s">
        <v>1035</v>
      </c>
      <c r="AF502">
        <v>0</v>
      </c>
      <c r="AH502">
        <v>863</v>
      </c>
      <c r="AI502" t="s">
        <v>0</v>
      </c>
      <c r="AJ502" t="s">
        <v>1072</v>
      </c>
      <c r="AK502" t="s">
        <v>7</v>
      </c>
      <c r="AL502" t="s">
        <v>1765</v>
      </c>
      <c r="AM502" s="314">
        <v>0</v>
      </c>
      <c r="AN502" s="314">
        <v>0</v>
      </c>
      <c r="AO502" s="314">
        <v>0</v>
      </c>
      <c r="AP502" s="314">
        <v>0</v>
      </c>
      <c r="AQ502" s="314">
        <v>0</v>
      </c>
      <c r="AR502" s="314">
        <v>0</v>
      </c>
      <c r="AS502" s="314">
        <v>0</v>
      </c>
      <c r="AT502" s="314">
        <v>0</v>
      </c>
      <c r="AU502" s="314">
        <v>433.14</v>
      </c>
      <c r="AV502" s="314">
        <v>433.14</v>
      </c>
      <c r="AW502" s="314">
        <v>433.14</v>
      </c>
      <c r="AX502">
        <v>433.14</v>
      </c>
    </row>
    <row r="503" spans="1:50" x14ac:dyDescent="0.35">
      <c r="A503">
        <v>905</v>
      </c>
      <c r="B503" t="s">
        <v>0</v>
      </c>
      <c r="C503" t="s">
        <v>1072</v>
      </c>
      <c r="D503" t="s">
        <v>7</v>
      </c>
      <c r="E503" t="s">
        <v>1766</v>
      </c>
      <c r="F503">
        <v>35</v>
      </c>
      <c r="G503">
        <v>35</v>
      </c>
      <c r="H503">
        <v>35</v>
      </c>
      <c r="I503">
        <v>35</v>
      </c>
      <c r="J503" s="600">
        <v>140</v>
      </c>
      <c r="K503" s="7">
        <f t="shared" si="95"/>
        <v>5</v>
      </c>
      <c r="L503" s="7">
        <f t="shared" si="96"/>
        <v>0</v>
      </c>
      <c r="M503" s="243">
        <f t="shared" si="97"/>
        <v>1718.9377674</v>
      </c>
      <c r="N503" s="243">
        <f>INDEX($AN$4:$AN21399,MATCH($A503,$AH$4:$AH$2000,0))</f>
        <v>1718.9377674</v>
      </c>
      <c r="O503" s="243">
        <f t="shared" si="104"/>
        <v>1718.9377674</v>
      </c>
      <c r="P503" s="243">
        <f t="shared" si="98"/>
        <v>1718.9377674</v>
      </c>
      <c r="Q503" s="243">
        <f t="shared" si="99"/>
        <v>1868.37</v>
      </c>
      <c r="R503" s="243">
        <f t="shared" si="100"/>
        <v>1868.37</v>
      </c>
      <c r="S503" s="243">
        <f t="shared" si="105"/>
        <v>1868.37</v>
      </c>
      <c r="T503" s="243">
        <f t="shared" si="101"/>
        <v>1868.37</v>
      </c>
      <c r="AA503" s="6">
        <v>319</v>
      </c>
      <c r="AB503" t="s">
        <v>80</v>
      </c>
      <c r="AC503" t="s">
        <v>1054</v>
      </c>
      <c r="AE503" t="s">
        <v>1036</v>
      </c>
      <c r="AF503">
        <v>15</v>
      </c>
      <c r="AH503">
        <v>905</v>
      </c>
      <c r="AI503" t="s">
        <v>0</v>
      </c>
      <c r="AJ503" t="s">
        <v>1072</v>
      </c>
      <c r="AK503" t="s">
        <v>7</v>
      </c>
      <c r="AL503" t="s">
        <v>1766</v>
      </c>
      <c r="AM503" s="314">
        <v>1718.9377674</v>
      </c>
      <c r="AN503" s="314">
        <v>1718.9377674</v>
      </c>
      <c r="AO503" s="314">
        <v>1718.9377674</v>
      </c>
      <c r="AP503" s="314">
        <v>1718.9377674</v>
      </c>
      <c r="AQ503" s="314">
        <v>0</v>
      </c>
      <c r="AR503" s="314">
        <v>0</v>
      </c>
      <c r="AS503" s="314">
        <v>0</v>
      </c>
      <c r="AT503" s="314">
        <v>0</v>
      </c>
      <c r="AU503" s="314">
        <v>1868.37</v>
      </c>
      <c r="AV503" s="314">
        <v>1868.37</v>
      </c>
      <c r="AW503" s="314">
        <v>1868.37</v>
      </c>
      <c r="AX503">
        <v>1868.37</v>
      </c>
    </row>
    <row r="504" spans="1:50" x14ac:dyDescent="0.35">
      <c r="A504">
        <v>860</v>
      </c>
      <c r="B504" t="s">
        <v>0</v>
      </c>
      <c r="C504" t="s">
        <v>1072</v>
      </c>
      <c r="D504" t="s">
        <v>7</v>
      </c>
      <c r="E504" t="s">
        <v>1767</v>
      </c>
      <c r="F504">
        <v>1</v>
      </c>
      <c r="G504">
        <v>1</v>
      </c>
      <c r="H504">
        <v>1</v>
      </c>
      <c r="I504">
        <v>1</v>
      </c>
      <c r="J504" s="600">
        <v>4</v>
      </c>
      <c r="K504" s="7">
        <f t="shared" si="95"/>
        <v>15</v>
      </c>
      <c r="L504" s="7">
        <f t="shared" si="96"/>
        <v>0</v>
      </c>
      <c r="M504" s="243">
        <f t="shared" si="97"/>
        <v>2441.25</v>
      </c>
      <c r="N504" s="243">
        <f>INDEX($AN$4:$AN21400,MATCH($A504,$AH$4:$AH$2000,0))</f>
        <v>2441.25</v>
      </c>
      <c r="O504" s="243">
        <f t="shared" ref="O504:O523" si="106">INDEX($AO$4:$AO$2000,MATCH($A504,$AH$4:$AH$2000,0))</f>
        <v>2441.25</v>
      </c>
      <c r="P504" s="243">
        <f t="shared" si="98"/>
        <v>2441.25</v>
      </c>
      <c r="Q504" s="243">
        <f t="shared" si="99"/>
        <v>0</v>
      </c>
      <c r="R504" s="243">
        <f t="shared" si="100"/>
        <v>0</v>
      </c>
      <c r="S504" s="243">
        <f t="shared" ref="S504:S523" si="107">INDEX($AW$4:$AW$2000,MATCH($A504,$AH$4:$AH$2000,0))</f>
        <v>0</v>
      </c>
      <c r="T504" s="243">
        <f t="shared" si="101"/>
        <v>0</v>
      </c>
      <c r="AA504" s="6">
        <v>256</v>
      </c>
      <c r="AB504" t="s">
        <v>80</v>
      </c>
      <c r="AC504" t="s">
        <v>1054</v>
      </c>
      <c r="AE504" t="s">
        <v>1037</v>
      </c>
      <c r="AF504">
        <v>0</v>
      </c>
      <c r="AH504">
        <v>860</v>
      </c>
      <c r="AI504" t="s">
        <v>0</v>
      </c>
      <c r="AJ504" t="s">
        <v>1072</v>
      </c>
      <c r="AK504" t="s">
        <v>7</v>
      </c>
      <c r="AL504" t="s">
        <v>1767</v>
      </c>
      <c r="AM504" s="314">
        <v>2441.25</v>
      </c>
      <c r="AN504" s="314">
        <v>2441.25</v>
      </c>
      <c r="AO504" s="314">
        <v>2441.25</v>
      </c>
      <c r="AP504" s="314">
        <v>2441.25</v>
      </c>
      <c r="AQ504" s="314">
        <v>0</v>
      </c>
      <c r="AR504" s="314">
        <v>0</v>
      </c>
      <c r="AS504" s="314">
        <v>0</v>
      </c>
      <c r="AT504" s="314">
        <v>0</v>
      </c>
      <c r="AU504" s="314">
        <v>0</v>
      </c>
      <c r="AV504" s="314">
        <v>0</v>
      </c>
      <c r="AW504" s="314">
        <v>0</v>
      </c>
      <c r="AX504">
        <v>0</v>
      </c>
    </row>
    <row r="505" spans="1:50" x14ac:dyDescent="0.35">
      <c r="A505">
        <v>891</v>
      </c>
      <c r="B505" t="s">
        <v>0</v>
      </c>
      <c r="C505" t="s">
        <v>1072</v>
      </c>
      <c r="D505" t="s">
        <v>7</v>
      </c>
      <c r="E505" t="s">
        <v>1768</v>
      </c>
      <c r="F505">
        <v>9</v>
      </c>
      <c r="G505">
        <v>9</v>
      </c>
      <c r="H505">
        <v>9</v>
      </c>
      <c r="I505">
        <v>9</v>
      </c>
      <c r="J505" s="600">
        <v>36</v>
      </c>
      <c r="K505" s="7">
        <f t="shared" si="95"/>
        <v>20</v>
      </c>
      <c r="L505" s="7">
        <f t="shared" si="96"/>
        <v>0</v>
      </c>
      <c r="M505" s="243">
        <f t="shared" si="97"/>
        <v>6390</v>
      </c>
      <c r="N505" s="243">
        <f>INDEX($AN$4:$AN21401,MATCH($A505,$AH$4:$AH$2000,0))</f>
        <v>6390</v>
      </c>
      <c r="O505" s="243">
        <f t="shared" si="106"/>
        <v>6390</v>
      </c>
      <c r="P505" s="243">
        <f t="shared" si="98"/>
        <v>6390</v>
      </c>
      <c r="Q505" s="243">
        <f t="shared" si="99"/>
        <v>-128.35944000000001</v>
      </c>
      <c r="R505" s="243">
        <f t="shared" si="100"/>
        <v>-128.35944000000001</v>
      </c>
      <c r="S505" s="243">
        <f t="shared" si="107"/>
        <v>-128.35944000000001</v>
      </c>
      <c r="T505" s="243">
        <f t="shared" si="101"/>
        <v>-128.35944000000001</v>
      </c>
      <c r="AA505" s="6">
        <v>257</v>
      </c>
      <c r="AB505" t="s">
        <v>80</v>
      </c>
      <c r="AC505" t="s">
        <v>1054</v>
      </c>
      <c r="AE505" t="s">
        <v>1038</v>
      </c>
      <c r="AF505">
        <v>0</v>
      </c>
      <c r="AH505">
        <v>891</v>
      </c>
      <c r="AI505" t="s">
        <v>0</v>
      </c>
      <c r="AJ505" t="s">
        <v>1072</v>
      </c>
      <c r="AK505" t="s">
        <v>7</v>
      </c>
      <c r="AL505" t="s">
        <v>1768</v>
      </c>
      <c r="AM505" s="314">
        <v>6390</v>
      </c>
      <c r="AN505" s="314">
        <v>6390</v>
      </c>
      <c r="AO505" s="314">
        <v>6390</v>
      </c>
      <c r="AP505" s="314">
        <v>6390</v>
      </c>
      <c r="AQ505" s="314">
        <v>2.0204383561643837</v>
      </c>
      <c r="AR505" s="314">
        <v>2.0204383561643837</v>
      </c>
      <c r="AS505" s="314">
        <v>2.0204383561643837</v>
      </c>
      <c r="AT505" s="314">
        <v>2.0204383561643837</v>
      </c>
      <c r="AU505" s="314">
        <v>-128.35944000000001</v>
      </c>
      <c r="AV505" s="314">
        <v>-128.35944000000001</v>
      </c>
      <c r="AW505" s="314">
        <v>-128.35944000000001</v>
      </c>
      <c r="AX505">
        <v>-128.35944000000001</v>
      </c>
    </row>
    <row r="506" spans="1:50" x14ac:dyDescent="0.35">
      <c r="A506">
        <v>885</v>
      </c>
      <c r="B506" t="s">
        <v>0</v>
      </c>
      <c r="C506" t="s">
        <v>1072</v>
      </c>
      <c r="D506" t="s">
        <v>7</v>
      </c>
      <c r="E506" t="s">
        <v>1769</v>
      </c>
      <c r="F506">
        <v>1</v>
      </c>
      <c r="G506">
        <v>1</v>
      </c>
      <c r="H506">
        <v>1</v>
      </c>
      <c r="I506">
        <v>1</v>
      </c>
      <c r="J506" s="600">
        <v>4</v>
      </c>
      <c r="K506" s="7">
        <f t="shared" si="95"/>
        <v>20</v>
      </c>
      <c r="L506" s="7">
        <f t="shared" si="96"/>
        <v>0</v>
      </c>
      <c r="M506" s="243">
        <f t="shared" si="97"/>
        <v>1267.222969483023</v>
      </c>
      <c r="N506" s="243">
        <f>INDEX($AN$4:$AN21402,MATCH($A506,$AH$4:$AH$2000,0))</f>
        <v>1267.222969483023</v>
      </c>
      <c r="O506" s="243">
        <f t="shared" si="106"/>
        <v>1267.222969483023</v>
      </c>
      <c r="P506" s="243">
        <f t="shared" si="98"/>
        <v>1267.222969483023</v>
      </c>
      <c r="Q506" s="243">
        <f t="shared" si="99"/>
        <v>0</v>
      </c>
      <c r="R506" s="243">
        <f t="shared" si="100"/>
        <v>0</v>
      </c>
      <c r="S506" s="243">
        <f t="shared" si="107"/>
        <v>0</v>
      </c>
      <c r="T506" s="243">
        <f t="shared" si="101"/>
        <v>0</v>
      </c>
      <c r="AA506" s="6">
        <v>258</v>
      </c>
      <c r="AB506" t="s">
        <v>80</v>
      </c>
      <c r="AC506" t="s">
        <v>1054</v>
      </c>
      <c r="AE506" t="s">
        <v>1039</v>
      </c>
      <c r="AF506">
        <v>0</v>
      </c>
      <c r="AH506">
        <v>885</v>
      </c>
      <c r="AI506" t="s">
        <v>0</v>
      </c>
      <c r="AJ506" t="s">
        <v>1072</v>
      </c>
      <c r="AK506" t="s">
        <v>7</v>
      </c>
      <c r="AL506" t="s">
        <v>1769</v>
      </c>
      <c r="AM506" s="314">
        <v>1267.222969483023</v>
      </c>
      <c r="AN506" s="314">
        <v>1267.222969483023</v>
      </c>
      <c r="AO506" s="314">
        <v>1267.222969483023</v>
      </c>
      <c r="AP506" s="314">
        <v>1267.222969483023</v>
      </c>
      <c r="AQ506" s="314">
        <v>0.19420800000000002</v>
      </c>
      <c r="AR506" s="314">
        <v>0.19420800000000002</v>
      </c>
      <c r="AS506" s="314">
        <v>0.19420800000000002</v>
      </c>
      <c r="AT506" s="314">
        <v>0.19420800000000002</v>
      </c>
      <c r="AU506" s="314">
        <v>0</v>
      </c>
      <c r="AV506" s="314">
        <v>0</v>
      </c>
      <c r="AW506" s="314">
        <v>0</v>
      </c>
      <c r="AX506">
        <v>0</v>
      </c>
    </row>
    <row r="507" spans="1:50" x14ac:dyDescent="0.35">
      <c r="A507">
        <v>889</v>
      </c>
      <c r="B507" t="s">
        <v>0</v>
      </c>
      <c r="C507" t="s">
        <v>1072</v>
      </c>
      <c r="D507" t="s">
        <v>7</v>
      </c>
      <c r="E507" t="s">
        <v>1770</v>
      </c>
      <c r="F507">
        <v>9</v>
      </c>
      <c r="G507">
        <v>9</v>
      </c>
      <c r="H507">
        <v>9</v>
      </c>
      <c r="I507">
        <v>9</v>
      </c>
      <c r="J507" s="600">
        <v>36</v>
      </c>
      <c r="K507" s="7">
        <f t="shared" si="95"/>
        <v>20</v>
      </c>
      <c r="L507" s="7">
        <f t="shared" si="96"/>
        <v>0</v>
      </c>
      <c r="M507" s="243">
        <f t="shared" si="97"/>
        <v>3223.2161586288726</v>
      </c>
      <c r="N507" s="243">
        <f>INDEX($AN$4:$AN21403,MATCH($A507,$AH$4:$AH$2000,0))</f>
        <v>3223.2161586288726</v>
      </c>
      <c r="O507" s="243">
        <f t="shared" si="106"/>
        <v>3223.2161586288726</v>
      </c>
      <c r="P507" s="243">
        <f t="shared" si="98"/>
        <v>3223.2161586288726</v>
      </c>
      <c r="Q507" s="243">
        <f t="shared" si="99"/>
        <v>1651.0955833882663</v>
      </c>
      <c r="R507" s="243">
        <f t="shared" si="100"/>
        <v>1651.0955833882663</v>
      </c>
      <c r="S507" s="243">
        <f t="shared" si="107"/>
        <v>1651.0955833882663</v>
      </c>
      <c r="T507" s="243">
        <f t="shared" si="101"/>
        <v>1651.0955833882663</v>
      </c>
      <c r="AA507" s="6">
        <v>259</v>
      </c>
      <c r="AB507" t="s">
        <v>80</v>
      </c>
      <c r="AC507" t="s">
        <v>1054</v>
      </c>
      <c r="AE507" t="s">
        <v>1040</v>
      </c>
      <c r="AF507">
        <v>0</v>
      </c>
      <c r="AH507">
        <v>889</v>
      </c>
      <c r="AI507" t="s">
        <v>0</v>
      </c>
      <c r="AJ507" t="s">
        <v>1072</v>
      </c>
      <c r="AK507" t="s">
        <v>7</v>
      </c>
      <c r="AL507" t="s">
        <v>1770</v>
      </c>
      <c r="AM507" s="314">
        <v>3223.2161586288726</v>
      </c>
      <c r="AN507" s="314">
        <v>3223.2161586288726</v>
      </c>
      <c r="AO507" s="314">
        <v>3223.2161586288726</v>
      </c>
      <c r="AP507" s="314">
        <v>3223.2161586288726</v>
      </c>
      <c r="AQ507" s="314">
        <v>1.7478720000000001</v>
      </c>
      <c r="AR507" s="314">
        <v>1.7478720000000001</v>
      </c>
      <c r="AS507" s="314">
        <v>1.7478720000000001</v>
      </c>
      <c r="AT507" s="314">
        <v>1.7478720000000001</v>
      </c>
      <c r="AU507" s="314">
        <v>1651.0955833882663</v>
      </c>
      <c r="AV507" s="314">
        <v>1651.0955833882663</v>
      </c>
      <c r="AW507" s="314">
        <v>1651.0955833882663</v>
      </c>
      <c r="AX507">
        <v>1651.0955833882663</v>
      </c>
    </row>
    <row r="508" spans="1:50" x14ac:dyDescent="0.35">
      <c r="A508">
        <v>1</v>
      </c>
      <c r="B508" t="s">
        <v>1073</v>
      </c>
      <c r="C508" t="s">
        <v>1074</v>
      </c>
      <c r="D508">
        <v>0</v>
      </c>
      <c r="E508" t="s">
        <v>1075</v>
      </c>
      <c r="F508">
        <v>1</v>
      </c>
      <c r="G508">
        <v>0</v>
      </c>
      <c r="H508">
        <v>0</v>
      </c>
      <c r="I508">
        <v>0</v>
      </c>
      <c r="J508" s="600">
        <v>1</v>
      </c>
      <c r="K508" s="7">
        <f t="shared" si="95"/>
        <v>15</v>
      </c>
      <c r="L508" s="7">
        <f t="shared" si="96"/>
        <v>0</v>
      </c>
      <c r="M508" s="243">
        <f t="shared" si="97"/>
        <v>0</v>
      </c>
      <c r="N508" s="243">
        <f>INDEX($AN$4:$AN21404,MATCH($A508,$AH$4:$AH$2000,0))</f>
        <v>0</v>
      </c>
      <c r="O508" s="243">
        <f t="shared" si="106"/>
        <v>0</v>
      </c>
      <c r="P508" s="243">
        <f t="shared" si="98"/>
        <v>0</v>
      </c>
      <c r="Q508" s="243">
        <f t="shared" si="99"/>
        <v>0</v>
      </c>
      <c r="R508" s="243">
        <f t="shared" si="100"/>
        <v>0</v>
      </c>
      <c r="S508" s="243">
        <f t="shared" si="107"/>
        <v>0</v>
      </c>
      <c r="T508" s="243">
        <f t="shared" si="101"/>
        <v>0</v>
      </c>
      <c r="AA508" s="6">
        <v>260</v>
      </c>
      <c r="AB508" t="s">
        <v>80</v>
      </c>
      <c r="AC508" t="s">
        <v>1054</v>
      </c>
      <c r="AE508" t="s">
        <v>1041</v>
      </c>
      <c r="AF508">
        <v>0</v>
      </c>
      <c r="AH508">
        <v>1</v>
      </c>
      <c r="AI508" t="s">
        <v>1073</v>
      </c>
      <c r="AJ508" t="s">
        <v>1074</v>
      </c>
      <c r="AK508">
        <v>0</v>
      </c>
      <c r="AL508" t="s">
        <v>1075</v>
      </c>
      <c r="AM508" s="314">
        <v>0</v>
      </c>
      <c r="AN508" s="314">
        <v>0</v>
      </c>
      <c r="AO508" s="314">
        <v>0</v>
      </c>
      <c r="AP508" s="314">
        <v>0</v>
      </c>
      <c r="AQ508" s="314">
        <v>0</v>
      </c>
      <c r="AR508" s="314">
        <v>0</v>
      </c>
      <c r="AS508" s="314">
        <v>0</v>
      </c>
      <c r="AT508" s="314">
        <v>0</v>
      </c>
      <c r="AU508" s="314">
        <v>0</v>
      </c>
      <c r="AV508" s="314">
        <v>0</v>
      </c>
      <c r="AW508" s="314">
        <v>0</v>
      </c>
      <c r="AX508">
        <v>0</v>
      </c>
    </row>
    <row r="509" spans="1:50" x14ac:dyDescent="0.35">
      <c r="A509">
        <v>2</v>
      </c>
      <c r="B509" t="s">
        <v>1073</v>
      </c>
      <c r="C509" t="s">
        <v>1074</v>
      </c>
      <c r="D509">
        <v>0</v>
      </c>
      <c r="E509" t="s">
        <v>1076</v>
      </c>
      <c r="F509">
        <v>0</v>
      </c>
      <c r="G509">
        <v>1</v>
      </c>
      <c r="H509">
        <v>0</v>
      </c>
      <c r="I509">
        <v>0</v>
      </c>
      <c r="J509" s="600">
        <v>1</v>
      </c>
      <c r="K509" s="7">
        <f t="shared" si="95"/>
        <v>15</v>
      </c>
      <c r="L509" s="7">
        <f t="shared" si="96"/>
        <v>0</v>
      </c>
      <c r="M509" s="243">
        <f t="shared" si="97"/>
        <v>0</v>
      </c>
      <c r="N509" s="243">
        <f>INDEX($AN$4:$AN21405,MATCH($A509,$AH$4:$AH$2000,0))</f>
        <v>47531720.455399998</v>
      </c>
      <c r="O509" s="243">
        <f t="shared" si="106"/>
        <v>0</v>
      </c>
      <c r="P509" s="243">
        <f t="shared" si="98"/>
        <v>0</v>
      </c>
      <c r="Q509" s="243">
        <f t="shared" si="99"/>
        <v>0</v>
      </c>
      <c r="R509" s="243">
        <f t="shared" si="100"/>
        <v>0</v>
      </c>
      <c r="S509" s="243">
        <f t="shared" si="107"/>
        <v>0</v>
      </c>
      <c r="T509" s="243">
        <f t="shared" si="101"/>
        <v>0</v>
      </c>
      <c r="AA509" s="6">
        <v>261</v>
      </c>
      <c r="AB509" t="s">
        <v>80</v>
      </c>
      <c r="AC509" t="s">
        <v>1054</v>
      </c>
      <c r="AE509" t="s">
        <v>1042</v>
      </c>
      <c r="AF509">
        <v>0</v>
      </c>
      <c r="AH509">
        <v>2</v>
      </c>
      <c r="AI509" t="s">
        <v>1073</v>
      </c>
      <c r="AJ509" t="s">
        <v>1074</v>
      </c>
      <c r="AK509">
        <v>0</v>
      </c>
      <c r="AL509" t="s">
        <v>1076</v>
      </c>
      <c r="AM509" s="314">
        <v>0</v>
      </c>
      <c r="AN509" s="314">
        <v>47531720.455399998</v>
      </c>
      <c r="AO509" s="314">
        <v>0</v>
      </c>
      <c r="AP509" s="314">
        <v>0</v>
      </c>
      <c r="AQ509" s="314">
        <v>0</v>
      </c>
      <c r="AR509" s="314">
        <v>0</v>
      </c>
      <c r="AS509" s="314">
        <v>0</v>
      </c>
      <c r="AT509" s="314">
        <v>0</v>
      </c>
      <c r="AU509" s="314">
        <v>0</v>
      </c>
      <c r="AV509" s="314">
        <v>0</v>
      </c>
      <c r="AW509" s="314">
        <v>0</v>
      </c>
      <c r="AX509">
        <v>0</v>
      </c>
    </row>
    <row r="510" spans="1:50" x14ac:dyDescent="0.35">
      <c r="A510">
        <v>3</v>
      </c>
      <c r="B510" t="s">
        <v>1073</v>
      </c>
      <c r="C510" t="s">
        <v>1074</v>
      </c>
      <c r="D510">
        <v>0</v>
      </c>
      <c r="E510" t="s">
        <v>1077</v>
      </c>
      <c r="F510">
        <v>0</v>
      </c>
      <c r="G510">
        <v>0</v>
      </c>
      <c r="H510">
        <v>1</v>
      </c>
      <c r="I510">
        <v>0</v>
      </c>
      <c r="J510" s="600">
        <v>1</v>
      </c>
      <c r="K510" s="7">
        <f t="shared" si="95"/>
        <v>15</v>
      </c>
      <c r="L510" s="7">
        <f t="shared" si="96"/>
        <v>0</v>
      </c>
      <c r="M510" s="243">
        <f t="shared" si="97"/>
        <v>0</v>
      </c>
      <c r="N510" s="243">
        <f>INDEX($AN$4:$AN21406,MATCH($A510,$AH$4:$AH$2000,0))</f>
        <v>0</v>
      </c>
      <c r="O510" s="243">
        <f t="shared" si="106"/>
        <v>0</v>
      </c>
      <c r="P510" s="243">
        <f t="shared" si="98"/>
        <v>0</v>
      </c>
      <c r="Q510" s="243">
        <f t="shared" si="99"/>
        <v>0</v>
      </c>
      <c r="R510" s="243">
        <f t="shared" si="100"/>
        <v>0</v>
      </c>
      <c r="S510" s="243">
        <f t="shared" si="107"/>
        <v>0</v>
      </c>
      <c r="T510" s="243">
        <f t="shared" si="101"/>
        <v>0</v>
      </c>
      <c r="AA510" s="6">
        <v>262</v>
      </c>
      <c r="AB510" t="s">
        <v>80</v>
      </c>
      <c r="AC510" t="s">
        <v>1054</v>
      </c>
      <c r="AE510" t="s">
        <v>1043</v>
      </c>
      <c r="AF510">
        <v>0</v>
      </c>
      <c r="AH510">
        <v>3</v>
      </c>
      <c r="AI510" t="s">
        <v>1073</v>
      </c>
      <c r="AJ510" t="s">
        <v>1074</v>
      </c>
      <c r="AK510">
        <v>0</v>
      </c>
      <c r="AL510" t="s">
        <v>1077</v>
      </c>
      <c r="AM510" s="314">
        <v>0</v>
      </c>
      <c r="AN510" s="314">
        <v>0</v>
      </c>
      <c r="AO510" s="314">
        <v>0</v>
      </c>
      <c r="AP510" s="314">
        <v>0</v>
      </c>
      <c r="AQ510" s="314">
        <v>0</v>
      </c>
      <c r="AR510" s="314">
        <v>0</v>
      </c>
      <c r="AS510" s="314">
        <v>0</v>
      </c>
      <c r="AT510" s="314">
        <v>0</v>
      </c>
      <c r="AU510" s="314">
        <v>0</v>
      </c>
      <c r="AV510" s="314">
        <v>0</v>
      </c>
      <c r="AW510" s="314">
        <v>0</v>
      </c>
      <c r="AX510">
        <v>0</v>
      </c>
    </row>
    <row r="511" spans="1:50" x14ac:dyDescent="0.35">
      <c r="A511">
        <v>4</v>
      </c>
      <c r="B511" t="s">
        <v>1073</v>
      </c>
      <c r="C511" t="s">
        <v>1074</v>
      </c>
      <c r="D511">
        <v>0</v>
      </c>
      <c r="E511" t="s">
        <v>1078</v>
      </c>
      <c r="F511">
        <v>0</v>
      </c>
      <c r="G511">
        <v>0</v>
      </c>
      <c r="H511">
        <v>0</v>
      </c>
      <c r="I511">
        <v>1</v>
      </c>
      <c r="J511" s="600">
        <v>1</v>
      </c>
      <c r="K511" s="7">
        <f t="shared" si="95"/>
        <v>15</v>
      </c>
      <c r="L511" s="7">
        <f t="shared" si="96"/>
        <v>0</v>
      </c>
      <c r="M511" s="243">
        <f t="shared" si="97"/>
        <v>0</v>
      </c>
      <c r="N511" s="243">
        <f>INDEX($AN$4:$AN21407,MATCH($A511,$AH$4:$AH$2000,0))</f>
        <v>0</v>
      </c>
      <c r="O511" s="243">
        <f t="shared" si="106"/>
        <v>0</v>
      </c>
      <c r="P511" s="243">
        <f t="shared" si="98"/>
        <v>44735736.8992</v>
      </c>
      <c r="Q511" s="243">
        <f t="shared" si="99"/>
        <v>0</v>
      </c>
      <c r="R511" s="243">
        <f t="shared" si="100"/>
        <v>0</v>
      </c>
      <c r="S511" s="243">
        <f t="shared" si="107"/>
        <v>0</v>
      </c>
      <c r="T511" s="243">
        <f t="shared" si="101"/>
        <v>0</v>
      </c>
      <c r="AA511" s="6">
        <v>263</v>
      </c>
      <c r="AB511" t="s">
        <v>80</v>
      </c>
      <c r="AC511" t="s">
        <v>1054</v>
      </c>
      <c r="AE511" t="s">
        <v>1044</v>
      </c>
      <c r="AF511">
        <v>0</v>
      </c>
      <c r="AH511">
        <v>4</v>
      </c>
      <c r="AI511" t="s">
        <v>1073</v>
      </c>
      <c r="AJ511" t="s">
        <v>1074</v>
      </c>
      <c r="AK511">
        <v>0</v>
      </c>
      <c r="AL511" t="s">
        <v>1078</v>
      </c>
      <c r="AM511" s="314">
        <v>0</v>
      </c>
      <c r="AN511" s="314">
        <v>0</v>
      </c>
      <c r="AO511" s="314">
        <v>0</v>
      </c>
      <c r="AP511" s="314">
        <v>44735736.8992</v>
      </c>
      <c r="AQ511" s="314">
        <v>0</v>
      </c>
      <c r="AR511" s="314">
        <v>0</v>
      </c>
      <c r="AS511" s="314">
        <v>0</v>
      </c>
      <c r="AT511" s="314">
        <v>0</v>
      </c>
      <c r="AU511" s="314">
        <v>0</v>
      </c>
      <c r="AV511" s="314">
        <v>0</v>
      </c>
      <c r="AW511" s="314">
        <v>0</v>
      </c>
      <c r="AX511">
        <v>0</v>
      </c>
    </row>
    <row r="512" spans="1:50" x14ac:dyDescent="0.35">
      <c r="A512">
        <v>5</v>
      </c>
      <c r="B512" t="s">
        <v>1073</v>
      </c>
      <c r="C512" t="s">
        <v>1074</v>
      </c>
      <c r="D512">
        <v>0</v>
      </c>
      <c r="E512" t="s">
        <v>1079</v>
      </c>
      <c r="F512">
        <v>0</v>
      </c>
      <c r="G512">
        <v>0</v>
      </c>
      <c r="H512">
        <v>0</v>
      </c>
      <c r="I512">
        <v>1</v>
      </c>
      <c r="J512" s="600">
        <v>1</v>
      </c>
      <c r="K512" s="7">
        <f t="shared" si="95"/>
        <v>16</v>
      </c>
      <c r="L512" s="7">
        <f t="shared" si="96"/>
        <v>1</v>
      </c>
      <c r="M512" s="243">
        <f t="shared" si="97"/>
        <v>0</v>
      </c>
      <c r="N512" s="243">
        <f>INDEX($AN$4:$AN21408,MATCH($A512,$AH$4:$AH$2000,0))</f>
        <v>0</v>
      </c>
      <c r="O512" s="243">
        <f t="shared" si="106"/>
        <v>0</v>
      </c>
      <c r="P512" s="243">
        <f t="shared" si="98"/>
        <v>0</v>
      </c>
      <c r="Q512" s="243">
        <f t="shared" si="99"/>
        <v>0</v>
      </c>
      <c r="R512" s="243">
        <f t="shared" si="100"/>
        <v>0</v>
      </c>
      <c r="S512" s="243">
        <f t="shared" si="107"/>
        <v>0</v>
      </c>
      <c r="T512" s="243">
        <f t="shared" si="101"/>
        <v>0</v>
      </c>
      <c r="AA512" s="6">
        <v>249</v>
      </c>
      <c r="AB512" t="s">
        <v>80</v>
      </c>
      <c r="AC512" t="s">
        <v>1054</v>
      </c>
      <c r="AE512" t="s">
        <v>1045</v>
      </c>
      <c r="AF512">
        <v>0</v>
      </c>
      <c r="AH512">
        <v>5</v>
      </c>
      <c r="AI512" t="s">
        <v>1073</v>
      </c>
      <c r="AJ512" t="s">
        <v>1074</v>
      </c>
      <c r="AK512">
        <v>0</v>
      </c>
      <c r="AL512" t="s">
        <v>1079</v>
      </c>
      <c r="AM512" s="314">
        <v>0</v>
      </c>
      <c r="AN512" s="314">
        <v>0</v>
      </c>
      <c r="AO512" s="314">
        <v>0</v>
      </c>
      <c r="AP512" s="314">
        <v>0</v>
      </c>
      <c r="AQ512" s="314">
        <v>0</v>
      </c>
      <c r="AR512" s="314">
        <v>0</v>
      </c>
      <c r="AS512" s="314">
        <v>0</v>
      </c>
      <c r="AT512" s="314">
        <v>0</v>
      </c>
      <c r="AU512" s="314">
        <v>0</v>
      </c>
      <c r="AV512" s="314">
        <v>0</v>
      </c>
      <c r="AW512" s="314">
        <v>0</v>
      </c>
      <c r="AX512">
        <v>0</v>
      </c>
    </row>
    <row r="513" spans="1:50" x14ac:dyDescent="0.35">
      <c r="A513">
        <v>6</v>
      </c>
      <c r="B513" t="s">
        <v>1073</v>
      </c>
      <c r="C513" t="s">
        <v>1074</v>
      </c>
      <c r="D513">
        <v>0</v>
      </c>
      <c r="E513" t="s">
        <v>1080</v>
      </c>
      <c r="F513">
        <v>0</v>
      </c>
      <c r="G513">
        <v>0</v>
      </c>
      <c r="H513">
        <v>0</v>
      </c>
      <c r="I513">
        <v>1</v>
      </c>
      <c r="J513" s="600">
        <v>1</v>
      </c>
      <c r="K513" s="7">
        <f t="shared" si="95"/>
        <v>17</v>
      </c>
      <c r="L513" s="7">
        <f t="shared" si="96"/>
        <v>2</v>
      </c>
      <c r="M513" s="243">
        <f t="shared" si="97"/>
        <v>0</v>
      </c>
      <c r="N513" s="243">
        <f>INDEX($AN$4:$AN21409,MATCH($A513,$AH$4:$AH$2000,0))</f>
        <v>0</v>
      </c>
      <c r="O513" s="243">
        <f t="shared" si="106"/>
        <v>0</v>
      </c>
      <c r="P513" s="243">
        <f t="shared" si="98"/>
        <v>0</v>
      </c>
      <c r="Q513" s="243">
        <f t="shared" si="99"/>
        <v>0</v>
      </c>
      <c r="R513" s="243">
        <f t="shared" si="100"/>
        <v>0</v>
      </c>
      <c r="S513" s="243">
        <f t="shared" si="107"/>
        <v>0</v>
      </c>
      <c r="T513" s="243">
        <f t="shared" si="101"/>
        <v>0</v>
      </c>
      <c r="AA513" s="6">
        <v>250</v>
      </c>
      <c r="AB513" t="s">
        <v>80</v>
      </c>
      <c r="AC513" t="s">
        <v>1054</v>
      </c>
      <c r="AE513" t="s">
        <v>1046</v>
      </c>
      <c r="AF513">
        <v>0</v>
      </c>
      <c r="AH513">
        <v>6</v>
      </c>
      <c r="AI513" t="s">
        <v>1073</v>
      </c>
      <c r="AJ513" t="s">
        <v>1074</v>
      </c>
      <c r="AK513">
        <v>0</v>
      </c>
      <c r="AL513" t="s">
        <v>1080</v>
      </c>
      <c r="AM513" s="314">
        <v>0</v>
      </c>
      <c r="AN513" s="314">
        <v>0</v>
      </c>
      <c r="AO513" s="314">
        <v>0</v>
      </c>
      <c r="AP513" s="314">
        <v>0</v>
      </c>
      <c r="AQ513" s="314">
        <v>0</v>
      </c>
      <c r="AR513" s="314">
        <v>0</v>
      </c>
      <c r="AS513" s="314">
        <v>0</v>
      </c>
      <c r="AT513" s="314">
        <v>0</v>
      </c>
      <c r="AU513" s="314">
        <v>0</v>
      </c>
      <c r="AV513" s="314">
        <v>0</v>
      </c>
      <c r="AW513" s="314">
        <v>0</v>
      </c>
      <c r="AX513">
        <v>0</v>
      </c>
    </row>
    <row r="514" spans="1:50" x14ac:dyDescent="0.35">
      <c r="A514">
        <v>7</v>
      </c>
      <c r="B514" t="s">
        <v>1073</v>
      </c>
      <c r="C514" t="s">
        <v>1074</v>
      </c>
      <c r="D514">
        <v>0</v>
      </c>
      <c r="E514" t="s">
        <v>1081</v>
      </c>
      <c r="F514">
        <v>0</v>
      </c>
      <c r="G514">
        <v>0</v>
      </c>
      <c r="H514">
        <v>0</v>
      </c>
      <c r="I514">
        <v>1</v>
      </c>
      <c r="J514" s="600">
        <v>1</v>
      </c>
      <c r="K514" s="7">
        <f t="shared" si="95"/>
        <v>18</v>
      </c>
      <c r="L514" s="7">
        <f t="shared" si="96"/>
        <v>3</v>
      </c>
      <c r="M514" s="243">
        <f t="shared" si="97"/>
        <v>0</v>
      </c>
      <c r="N514" s="243">
        <f>INDEX($AN$4:$AN21410,MATCH($A514,$AH$4:$AH$2000,0))</f>
        <v>0</v>
      </c>
      <c r="O514" s="243">
        <f t="shared" si="106"/>
        <v>0</v>
      </c>
      <c r="P514" s="243">
        <f t="shared" si="98"/>
        <v>0</v>
      </c>
      <c r="Q514" s="243">
        <f t="shared" si="99"/>
        <v>0</v>
      </c>
      <c r="R514" s="243">
        <f t="shared" si="100"/>
        <v>0</v>
      </c>
      <c r="S514" s="243">
        <f t="shared" si="107"/>
        <v>0</v>
      </c>
      <c r="T514" s="243">
        <f t="shared" si="101"/>
        <v>0</v>
      </c>
      <c r="AA514">
        <v>251</v>
      </c>
      <c r="AB514" t="s">
        <v>80</v>
      </c>
      <c r="AC514" t="s">
        <v>1054</v>
      </c>
      <c r="AE514" t="s">
        <v>1047</v>
      </c>
      <c r="AF514">
        <v>0</v>
      </c>
      <c r="AH514">
        <v>7</v>
      </c>
      <c r="AI514" t="s">
        <v>1073</v>
      </c>
      <c r="AJ514" t="s">
        <v>1074</v>
      </c>
      <c r="AK514">
        <v>0</v>
      </c>
      <c r="AL514" t="s">
        <v>1081</v>
      </c>
      <c r="AM514" s="314">
        <v>0</v>
      </c>
      <c r="AN514" s="314">
        <v>0</v>
      </c>
      <c r="AO514" s="314">
        <v>0</v>
      </c>
      <c r="AP514" s="314">
        <v>0</v>
      </c>
      <c r="AQ514" s="314">
        <v>0</v>
      </c>
      <c r="AR514" s="314">
        <v>0</v>
      </c>
      <c r="AS514" s="314">
        <v>0</v>
      </c>
      <c r="AT514" s="314">
        <v>0</v>
      </c>
      <c r="AU514" s="314">
        <v>0</v>
      </c>
      <c r="AV514" s="314">
        <v>0</v>
      </c>
      <c r="AW514" s="314">
        <v>0</v>
      </c>
      <c r="AX514">
        <v>0</v>
      </c>
    </row>
    <row r="515" spans="1:50" x14ac:dyDescent="0.35">
      <c r="A515">
        <v>8</v>
      </c>
      <c r="B515" t="s">
        <v>1073</v>
      </c>
      <c r="C515" t="s">
        <v>1074</v>
      </c>
      <c r="D515">
        <v>0</v>
      </c>
      <c r="E515" t="s">
        <v>1082</v>
      </c>
      <c r="F515">
        <v>0</v>
      </c>
      <c r="G515">
        <v>0</v>
      </c>
      <c r="H515">
        <v>0</v>
      </c>
      <c r="I515">
        <v>1</v>
      </c>
      <c r="J515" s="600">
        <v>1</v>
      </c>
      <c r="K515" s="7">
        <f t="shared" si="95"/>
        <v>19</v>
      </c>
      <c r="L515" s="7">
        <f t="shared" si="96"/>
        <v>4</v>
      </c>
      <c r="M515" s="243">
        <f t="shared" si="97"/>
        <v>0</v>
      </c>
      <c r="N515" s="243">
        <f>INDEX($AN$4:$AN21411,MATCH($A515,$AH$4:$AH$2000,0))</f>
        <v>0</v>
      </c>
      <c r="O515" s="243">
        <f t="shared" si="106"/>
        <v>0</v>
      </c>
      <c r="P515" s="243">
        <f t="shared" si="98"/>
        <v>0</v>
      </c>
      <c r="Q515" s="243">
        <f t="shared" si="99"/>
        <v>0</v>
      </c>
      <c r="R515" s="243">
        <f t="shared" si="100"/>
        <v>0</v>
      </c>
      <c r="S515" s="243">
        <f t="shared" si="107"/>
        <v>0</v>
      </c>
      <c r="T515" s="243">
        <f t="shared" si="101"/>
        <v>0</v>
      </c>
      <c r="AA515">
        <v>252</v>
      </c>
      <c r="AB515" t="s">
        <v>80</v>
      </c>
      <c r="AC515" t="s">
        <v>1054</v>
      </c>
      <c r="AE515" t="s">
        <v>1048</v>
      </c>
      <c r="AF515">
        <v>0</v>
      </c>
      <c r="AH515">
        <v>8</v>
      </c>
      <c r="AI515" t="s">
        <v>1073</v>
      </c>
      <c r="AJ515" t="s">
        <v>1074</v>
      </c>
      <c r="AK515">
        <v>0</v>
      </c>
      <c r="AL515" t="s">
        <v>1082</v>
      </c>
      <c r="AM515" s="314">
        <v>0</v>
      </c>
      <c r="AN515" s="314">
        <v>0</v>
      </c>
      <c r="AO515" s="314">
        <v>0</v>
      </c>
      <c r="AP515" s="314">
        <v>0</v>
      </c>
      <c r="AQ515" s="314">
        <v>0</v>
      </c>
      <c r="AR515" s="314">
        <v>0</v>
      </c>
      <c r="AS515" s="314">
        <v>0</v>
      </c>
      <c r="AT515" s="314">
        <v>0</v>
      </c>
      <c r="AU515" s="314">
        <v>0</v>
      </c>
      <c r="AV515" s="314">
        <v>0</v>
      </c>
      <c r="AW515" s="314">
        <v>0</v>
      </c>
      <c r="AX515">
        <v>0</v>
      </c>
    </row>
    <row r="516" spans="1:50" x14ac:dyDescent="0.35">
      <c r="A516">
        <v>141</v>
      </c>
      <c r="B516" t="s">
        <v>80</v>
      </c>
      <c r="C516" t="s">
        <v>81</v>
      </c>
      <c r="D516" t="s">
        <v>4</v>
      </c>
      <c r="E516" t="s">
        <v>1053</v>
      </c>
      <c r="F516">
        <v>0</v>
      </c>
      <c r="G516">
        <v>0</v>
      </c>
      <c r="H516">
        <v>0</v>
      </c>
      <c r="I516">
        <v>36000</v>
      </c>
      <c r="J516" s="600">
        <v>36000</v>
      </c>
      <c r="K516" s="7">
        <f t="shared" si="95"/>
        <v>15</v>
      </c>
      <c r="L516" s="7">
        <f t="shared" si="96"/>
        <v>0</v>
      </c>
      <c r="M516" s="243">
        <f t="shared" si="97"/>
        <v>0</v>
      </c>
      <c r="N516" s="243">
        <f>INDEX($AN$4:$AN21412,MATCH($A516,$AH$4:$AH$2000,0))</f>
        <v>0</v>
      </c>
      <c r="O516" s="243">
        <f t="shared" si="106"/>
        <v>0</v>
      </c>
      <c r="P516" s="243">
        <f t="shared" si="98"/>
        <v>1400381.5190958828</v>
      </c>
      <c r="Q516" s="243">
        <f t="shared" si="99"/>
        <v>0</v>
      </c>
      <c r="R516" s="243">
        <f t="shared" si="100"/>
        <v>0</v>
      </c>
      <c r="S516" s="243">
        <f t="shared" si="107"/>
        <v>0</v>
      </c>
      <c r="T516" s="243">
        <f t="shared" si="101"/>
        <v>-28295.53749819014</v>
      </c>
      <c r="AA516">
        <v>253</v>
      </c>
      <c r="AB516" t="s">
        <v>80</v>
      </c>
      <c r="AC516" t="s">
        <v>1054</v>
      </c>
      <c r="AE516" t="s">
        <v>1049</v>
      </c>
      <c r="AF516">
        <v>0</v>
      </c>
      <c r="AH516">
        <v>141</v>
      </c>
      <c r="AI516" t="s">
        <v>80</v>
      </c>
      <c r="AJ516" t="s">
        <v>81</v>
      </c>
      <c r="AK516" t="s">
        <v>4</v>
      </c>
      <c r="AL516" t="s">
        <v>1053</v>
      </c>
      <c r="AM516" s="314">
        <v>0</v>
      </c>
      <c r="AN516" s="314">
        <v>0</v>
      </c>
      <c r="AO516" s="314">
        <v>0</v>
      </c>
      <c r="AP516" s="314">
        <v>1400381.5190958828</v>
      </c>
      <c r="AQ516" s="314">
        <v>0</v>
      </c>
      <c r="AR516" s="314">
        <v>0</v>
      </c>
      <c r="AS516" s="314">
        <v>0</v>
      </c>
      <c r="AT516" s="314">
        <v>593.45678170624205</v>
      </c>
      <c r="AU516" s="314">
        <v>0</v>
      </c>
      <c r="AV516" s="314">
        <v>0</v>
      </c>
      <c r="AW516" s="314">
        <v>0</v>
      </c>
      <c r="AX516">
        <v>-28295.53749819014</v>
      </c>
    </row>
    <row r="517" spans="1:50" x14ac:dyDescent="0.35">
      <c r="A517">
        <v>10</v>
      </c>
      <c r="B517" t="s">
        <v>80</v>
      </c>
      <c r="C517" t="s">
        <v>211</v>
      </c>
      <c r="D517">
        <v>0</v>
      </c>
      <c r="E517" t="s">
        <v>1083</v>
      </c>
      <c r="F517">
        <v>0</v>
      </c>
      <c r="G517">
        <v>0</v>
      </c>
      <c r="H517">
        <v>0</v>
      </c>
      <c r="I517">
        <v>1</v>
      </c>
      <c r="J517" s="600">
        <v>1</v>
      </c>
      <c r="K517" s="7">
        <f t="shared" ref="K517:K580" si="108">INDEX($AF$4:$AF$2000,MATCH(A517,$AA$4:$AA$2000,0))</f>
        <v>13</v>
      </c>
      <c r="L517" s="7">
        <f t="shared" ref="L517:L580" si="109">INDEX($AG$4:$AG$2000,MATCH(A517,$AA$4:$AA$2000,0))</f>
        <v>0</v>
      </c>
      <c r="M517" s="243">
        <f t="shared" ref="M517:M580" si="110">INDEX($AM$4:$AM$2000,MATCH($A517,$AH$4:$AH$2000,0))</f>
        <v>0</v>
      </c>
      <c r="N517" s="243">
        <f>INDEX($AN$4:$AN21413,MATCH($A517,$AH$4:$AH$2000,0))</f>
        <v>0</v>
      </c>
      <c r="O517" s="243">
        <f t="shared" si="106"/>
        <v>0</v>
      </c>
      <c r="P517" s="243">
        <f t="shared" ref="P517:P580" si="111">INDEX($AP$4:$AP$2000,MATCH($A517,$AH$4:$AH$2000,0))</f>
        <v>104246166.50580001</v>
      </c>
      <c r="Q517" s="243">
        <f t="shared" ref="Q517:Q580" si="112">INDEX($AU$4:$AU$2000,MATCH($A517,$AH$4:$AH$2000,0))</f>
        <v>0</v>
      </c>
      <c r="R517" s="243">
        <f t="shared" ref="R517:R580" si="113">INDEX($AV$4:$AV$2000,MATCH($A517,$AH$4:$AH$2000,0))</f>
        <v>0</v>
      </c>
      <c r="S517" s="243">
        <f t="shared" si="107"/>
        <v>0</v>
      </c>
      <c r="T517" s="243">
        <f t="shared" ref="T517:T580" si="114">INDEX($AX$4:$AX$2000,MATCH($A517,$AH$4:$AH$2000,0))</f>
        <v>343316.24099999998</v>
      </c>
      <c r="AA517">
        <v>254</v>
      </c>
      <c r="AB517" t="s">
        <v>80</v>
      </c>
      <c r="AC517" t="s">
        <v>1054</v>
      </c>
      <c r="AE517" t="s">
        <v>1050</v>
      </c>
      <c r="AF517">
        <v>0</v>
      </c>
      <c r="AH517">
        <v>10</v>
      </c>
      <c r="AI517" t="s">
        <v>80</v>
      </c>
      <c r="AJ517" t="s">
        <v>211</v>
      </c>
      <c r="AK517">
        <v>0</v>
      </c>
      <c r="AL517" t="s">
        <v>1083</v>
      </c>
      <c r="AM517" s="314">
        <v>0</v>
      </c>
      <c r="AN517" s="314">
        <v>0</v>
      </c>
      <c r="AO517" s="314">
        <v>0</v>
      </c>
      <c r="AP517" s="314">
        <v>104246166.50580001</v>
      </c>
      <c r="AQ517" s="314">
        <v>0</v>
      </c>
      <c r="AR517" s="314">
        <v>0</v>
      </c>
      <c r="AS517" s="314">
        <v>0</v>
      </c>
      <c r="AT517" s="314">
        <v>7275.8188241999987</v>
      </c>
      <c r="AU517" s="314">
        <v>0</v>
      </c>
      <c r="AV517" s="314">
        <v>0</v>
      </c>
      <c r="AW517" s="314">
        <v>0</v>
      </c>
      <c r="AX517">
        <v>343316.24099999998</v>
      </c>
    </row>
    <row r="518" spans="1:50" x14ac:dyDescent="0.35">
      <c r="A518">
        <v>16</v>
      </c>
      <c r="B518" t="s">
        <v>80</v>
      </c>
      <c r="C518" t="s">
        <v>1084</v>
      </c>
      <c r="D518">
        <v>0</v>
      </c>
      <c r="E518" t="s">
        <v>1085</v>
      </c>
      <c r="F518">
        <v>1</v>
      </c>
      <c r="G518">
        <v>0</v>
      </c>
      <c r="H518">
        <v>0</v>
      </c>
      <c r="I518">
        <v>0</v>
      </c>
      <c r="J518" s="600">
        <v>1</v>
      </c>
      <c r="K518" s="7">
        <f t="shared" si="108"/>
        <v>13</v>
      </c>
      <c r="L518" s="7">
        <f t="shared" si="109"/>
        <v>0</v>
      </c>
      <c r="M518" s="243">
        <f t="shared" si="110"/>
        <v>6572752.9356000004</v>
      </c>
      <c r="N518" s="243">
        <f>INDEX($AN$4:$AN21414,MATCH($A518,$AH$4:$AH$2000,0))</f>
        <v>0</v>
      </c>
      <c r="O518" s="243">
        <f t="shared" si="106"/>
        <v>0</v>
      </c>
      <c r="P518" s="243">
        <f t="shared" si="111"/>
        <v>0</v>
      </c>
      <c r="Q518" s="243">
        <f t="shared" si="112"/>
        <v>96256.889999999985</v>
      </c>
      <c r="R518" s="243">
        <f t="shared" si="113"/>
        <v>0</v>
      </c>
      <c r="S518" s="243">
        <f t="shared" si="107"/>
        <v>0</v>
      </c>
      <c r="T518" s="243">
        <f t="shared" si="114"/>
        <v>0</v>
      </c>
      <c r="AA518">
        <v>255</v>
      </c>
      <c r="AB518" t="s">
        <v>80</v>
      </c>
      <c r="AC518" t="s">
        <v>1054</v>
      </c>
      <c r="AE518" t="s">
        <v>1051</v>
      </c>
      <c r="AF518">
        <v>0</v>
      </c>
      <c r="AH518">
        <v>16</v>
      </c>
      <c r="AI518" t="s">
        <v>80</v>
      </c>
      <c r="AJ518" t="s">
        <v>1084</v>
      </c>
      <c r="AK518">
        <v>0</v>
      </c>
      <c r="AL518" t="s">
        <v>1085</v>
      </c>
      <c r="AM518" s="314">
        <v>6572752.9356000004</v>
      </c>
      <c r="AN518" s="314">
        <v>0</v>
      </c>
      <c r="AO518" s="314">
        <v>0</v>
      </c>
      <c r="AP518" s="314">
        <v>0</v>
      </c>
      <c r="AQ518" s="314">
        <v>755.67758759999992</v>
      </c>
      <c r="AR518" s="314">
        <v>0</v>
      </c>
      <c r="AS518" s="314">
        <v>0</v>
      </c>
      <c r="AT518" s="314">
        <v>0</v>
      </c>
      <c r="AU518" s="314">
        <v>96256.889999999985</v>
      </c>
      <c r="AV518" s="314">
        <v>0</v>
      </c>
      <c r="AW518" s="314">
        <v>0</v>
      </c>
      <c r="AX518">
        <v>0</v>
      </c>
    </row>
    <row r="519" spans="1:50" x14ac:dyDescent="0.35">
      <c r="A519">
        <v>17</v>
      </c>
      <c r="B519" t="s">
        <v>80</v>
      </c>
      <c r="C519" t="s">
        <v>1084</v>
      </c>
      <c r="D519">
        <v>0</v>
      </c>
      <c r="E519" t="s">
        <v>1086</v>
      </c>
      <c r="F519">
        <v>0</v>
      </c>
      <c r="G519">
        <v>1</v>
      </c>
      <c r="H519">
        <v>0</v>
      </c>
      <c r="I519">
        <v>0</v>
      </c>
      <c r="J519" s="600">
        <v>1</v>
      </c>
      <c r="K519" s="7">
        <f t="shared" si="108"/>
        <v>13</v>
      </c>
      <c r="L519" s="7">
        <f t="shared" si="109"/>
        <v>0</v>
      </c>
      <c r="M519" s="243">
        <f t="shared" si="110"/>
        <v>0</v>
      </c>
      <c r="N519" s="243">
        <f>INDEX($AN$4:$AN21415,MATCH($A519,$AH$4:$AH$2000,0))</f>
        <v>6657015.1691999994</v>
      </c>
      <c r="O519" s="243">
        <f t="shared" si="106"/>
        <v>0</v>
      </c>
      <c r="P519" s="243">
        <f t="shared" si="111"/>
        <v>0</v>
      </c>
      <c r="Q519" s="243">
        <f t="shared" si="112"/>
        <v>0</v>
      </c>
      <c r="R519" s="243">
        <f t="shared" si="113"/>
        <v>96256.889999999985</v>
      </c>
      <c r="S519" s="243">
        <f t="shared" si="107"/>
        <v>0</v>
      </c>
      <c r="T519" s="243">
        <f t="shared" si="114"/>
        <v>0</v>
      </c>
      <c r="AA519">
        <v>271</v>
      </c>
      <c r="AB519" t="s">
        <v>80</v>
      </c>
      <c r="AC519" t="s">
        <v>1054</v>
      </c>
      <c r="AE519" t="s">
        <v>209</v>
      </c>
      <c r="AF519">
        <v>12</v>
      </c>
      <c r="AH519">
        <v>17</v>
      </c>
      <c r="AI519" t="s">
        <v>80</v>
      </c>
      <c r="AJ519" t="s">
        <v>1084</v>
      </c>
      <c r="AK519">
        <v>0</v>
      </c>
      <c r="AL519" t="s">
        <v>1086</v>
      </c>
      <c r="AM519" s="314">
        <v>0</v>
      </c>
      <c r="AN519" s="314">
        <v>6657015.1691999994</v>
      </c>
      <c r="AO519" s="314">
        <v>0</v>
      </c>
      <c r="AP519" s="314">
        <v>0</v>
      </c>
      <c r="AQ519" s="314">
        <v>0</v>
      </c>
      <c r="AR519" s="314">
        <v>765.36576179999997</v>
      </c>
      <c r="AS519" s="314">
        <v>0</v>
      </c>
      <c r="AT519" s="314">
        <v>0</v>
      </c>
      <c r="AU519" s="314">
        <v>0</v>
      </c>
      <c r="AV519" s="314">
        <v>96256.889999999985</v>
      </c>
      <c r="AW519" s="314">
        <v>0</v>
      </c>
      <c r="AX519">
        <v>0</v>
      </c>
    </row>
    <row r="520" spans="1:50" x14ac:dyDescent="0.35">
      <c r="A520">
        <v>18</v>
      </c>
      <c r="B520" t="s">
        <v>80</v>
      </c>
      <c r="C520" t="s">
        <v>1084</v>
      </c>
      <c r="D520">
        <v>0</v>
      </c>
      <c r="E520" t="s">
        <v>1087</v>
      </c>
      <c r="F520">
        <v>0</v>
      </c>
      <c r="G520">
        <v>0</v>
      </c>
      <c r="H520">
        <v>1</v>
      </c>
      <c r="I520">
        <v>0</v>
      </c>
      <c r="J520" s="600">
        <v>1</v>
      </c>
      <c r="K520" s="7">
        <f t="shared" si="108"/>
        <v>13</v>
      </c>
      <c r="L520" s="7">
        <f t="shared" si="109"/>
        <v>0</v>
      </c>
      <c r="M520" s="243">
        <f t="shared" si="110"/>
        <v>0</v>
      </c>
      <c r="N520" s="243">
        <f>INDEX($AN$4:$AN21416,MATCH($A520,$AH$4:$AH$2000,0))</f>
        <v>0</v>
      </c>
      <c r="O520" s="243">
        <f t="shared" si="106"/>
        <v>6657015.1691999994</v>
      </c>
      <c r="P520" s="243">
        <f t="shared" si="111"/>
        <v>0</v>
      </c>
      <c r="Q520" s="243">
        <f t="shared" si="112"/>
        <v>0</v>
      </c>
      <c r="R520" s="243">
        <f t="shared" si="113"/>
        <v>0</v>
      </c>
      <c r="S520" s="243">
        <f t="shared" si="107"/>
        <v>96256.889999999985</v>
      </c>
      <c r="T520" s="243">
        <f t="shared" si="114"/>
        <v>0</v>
      </c>
      <c r="AA520">
        <v>382</v>
      </c>
      <c r="AB520" t="s">
        <v>80</v>
      </c>
      <c r="AC520" t="s">
        <v>1054</v>
      </c>
      <c r="AD520" t="s">
        <v>15</v>
      </c>
      <c r="AE520" t="s">
        <v>1052</v>
      </c>
      <c r="AF520">
        <v>0</v>
      </c>
      <c r="AH520">
        <v>18</v>
      </c>
      <c r="AI520" t="s">
        <v>80</v>
      </c>
      <c r="AJ520" t="s">
        <v>1084</v>
      </c>
      <c r="AK520">
        <v>0</v>
      </c>
      <c r="AL520" t="s">
        <v>1087</v>
      </c>
      <c r="AM520" s="314">
        <v>0</v>
      </c>
      <c r="AN520" s="314">
        <v>0</v>
      </c>
      <c r="AO520" s="314">
        <v>6657015.1691999994</v>
      </c>
      <c r="AP520" s="314">
        <v>0</v>
      </c>
      <c r="AQ520" s="314">
        <v>0</v>
      </c>
      <c r="AR520" s="314">
        <v>0</v>
      </c>
      <c r="AS520" s="314">
        <v>765.36576179999997</v>
      </c>
      <c r="AT520" s="314">
        <v>0</v>
      </c>
      <c r="AU520" s="314">
        <v>0</v>
      </c>
      <c r="AV520" s="314">
        <v>0</v>
      </c>
      <c r="AW520" s="314">
        <v>96256.889999999985</v>
      </c>
      <c r="AX520">
        <v>0</v>
      </c>
    </row>
    <row r="521" spans="1:50" x14ac:dyDescent="0.35">
      <c r="A521">
        <v>19</v>
      </c>
      <c r="B521" t="s">
        <v>80</v>
      </c>
      <c r="C521" t="s">
        <v>1084</v>
      </c>
      <c r="D521">
        <v>0</v>
      </c>
      <c r="E521" t="s">
        <v>1088</v>
      </c>
      <c r="F521">
        <v>0</v>
      </c>
      <c r="G521">
        <v>0</v>
      </c>
      <c r="H521">
        <v>0</v>
      </c>
      <c r="I521">
        <v>1</v>
      </c>
      <c r="J521" s="600">
        <v>1</v>
      </c>
      <c r="K521" s="7">
        <f t="shared" si="108"/>
        <v>13</v>
      </c>
      <c r="L521" s="7">
        <f t="shared" si="109"/>
        <v>0</v>
      </c>
      <c r="M521" s="243">
        <f t="shared" si="110"/>
        <v>0</v>
      </c>
      <c r="N521" s="243">
        <f>INDEX($AN$4:$AN21417,MATCH($A521,$AH$4:$AH$2000,0))</f>
        <v>0</v>
      </c>
      <c r="O521" s="243">
        <f t="shared" si="106"/>
        <v>0</v>
      </c>
      <c r="P521" s="243">
        <f t="shared" si="111"/>
        <v>6657015.1691999994</v>
      </c>
      <c r="Q521" s="243">
        <f t="shared" si="112"/>
        <v>0</v>
      </c>
      <c r="R521" s="243">
        <f t="shared" si="113"/>
        <v>0</v>
      </c>
      <c r="S521" s="243">
        <f t="shared" si="107"/>
        <v>0</v>
      </c>
      <c r="T521" s="243">
        <f t="shared" si="114"/>
        <v>98182.027799999996</v>
      </c>
      <c r="AA521">
        <v>369</v>
      </c>
      <c r="AB521" t="s">
        <v>80</v>
      </c>
      <c r="AC521" t="s">
        <v>1054</v>
      </c>
      <c r="AD521" t="s">
        <v>4</v>
      </c>
      <c r="AE521" t="s">
        <v>1024</v>
      </c>
      <c r="AF521">
        <v>15</v>
      </c>
      <c r="AG521">
        <v>1</v>
      </c>
      <c r="AH521">
        <v>19</v>
      </c>
      <c r="AI521" t="s">
        <v>80</v>
      </c>
      <c r="AJ521" t="s">
        <v>1084</v>
      </c>
      <c r="AK521">
        <v>0</v>
      </c>
      <c r="AL521" t="s">
        <v>1088</v>
      </c>
      <c r="AM521" s="314">
        <v>0</v>
      </c>
      <c r="AN521" s="314">
        <v>0</v>
      </c>
      <c r="AO521" s="314">
        <v>0</v>
      </c>
      <c r="AP521" s="314">
        <v>6657015.1691999994</v>
      </c>
      <c r="AQ521" s="314">
        <v>0</v>
      </c>
      <c r="AR521" s="314">
        <v>0</v>
      </c>
      <c r="AS521" s="314">
        <v>0</v>
      </c>
      <c r="AT521" s="314">
        <v>765.36576179999997</v>
      </c>
      <c r="AU521" s="314">
        <v>0</v>
      </c>
      <c r="AV521" s="314">
        <v>0</v>
      </c>
      <c r="AW521" s="314">
        <v>0</v>
      </c>
      <c r="AX521">
        <v>98182.027799999996</v>
      </c>
    </row>
    <row r="522" spans="1:50" x14ac:dyDescent="0.35">
      <c r="A522">
        <v>20</v>
      </c>
      <c r="B522" t="s">
        <v>80</v>
      </c>
      <c r="C522" t="s">
        <v>212</v>
      </c>
      <c r="D522">
        <v>0</v>
      </c>
      <c r="E522" t="s">
        <v>1089</v>
      </c>
      <c r="F522">
        <v>0</v>
      </c>
      <c r="G522">
        <v>0</v>
      </c>
      <c r="H522">
        <v>0</v>
      </c>
      <c r="I522">
        <v>1</v>
      </c>
      <c r="J522" s="600">
        <v>1</v>
      </c>
      <c r="K522" s="7">
        <f t="shared" si="108"/>
        <v>5</v>
      </c>
      <c r="L522" s="7">
        <f t="shared" si="109"/>
        <v>0</v>
      </c>
      <c r="M522" s="243">
        <f t="shared" si="110"/>
        <v>0</v>
      </c>
      <c r="N522" s="243">
        <f>INDEX($AN$4:$AN21418,MATCH($A522,$AH$4:$AH$2000,0))</f>
        <v>0</v>
      </c>
      <c r="O522" s="243">
        <f t="shared" si="106"/>
        <v>0</v>
      </c>
      <c r="P522" s="243">
        <f t="shared" si="111"/>
        <v>10253199.902000001</v>
      </c>
      <c r="Q522" s="243">
        <f t="shared" si="112"/>
        <v>0</v>
      </c>
      <c r="R522" s="243">
        <f t="shared" si="113"/>
        <v>0</v>
      </c>
      <c r="S522" s="243">
        <f t="shared" si="107"/>
        <v>0</v>
      </c>
      <c r="T522" s="243">
        <f t="shared" si="114"/>
        <v>280429.82400000002</v>
      </c>
      <c r="AA522">
        <v>370</v>
      </c>
      <c r="AB522" t="s">
        <v>80</v>
      </c>
      <c r="AC522" t="s">
        <v>1054</v>
      </c>
      <c r="AD522" t="s">
        <v>4</v>
      </c>
      <c r="AE522" t="s">
        <v>1025</v>
      </c>
      <c r="AF522">
        <v>15</v>
      </c>
      <c r="AG522">
        <v>0</v>
      </c>
      <c r="AH522">
        <v>20</v>
      </c>
      <c r="AI522" t="s">
        <v>80</v>
      </c>
      <c r="AJ522" t="s">
        <v>212</v>
      </c>
      <c r="AK522">
        <v>0</v>
      </c>
      <c r="AL522" t="s">
        <v>1089</v>
      </c>
      <c r="AM522" s="314">
        <v>0</v>
      </c>
      <c r="AN522" s="314">
        <v>0</v>
      </c>
      <c r="AO522" s="314">
        <v>0</v>
      </c>
      <c r="AP522" s="314">
        <v>10253199.902000001</v>
      </c>
      <c r="AQ522" s="314">
        <v>0</v>
      </c>
      <c r="AR522" s="314">
        <v>0</v>
      </c>
      <c r="AS522" s="314">
        <v>0</v>
      </c>
      <c r="AT522" s="314">
        <v>894.60190380000006</v>
      </c>
      <c r="AU522" s="314">
        <v>0</v>
      </c>
      <c r="AV522" s="314">
        <v>0</v>
      </c>
      <c r="AW522" s="314">
        <v>0</v>
      </c>
      <c r="AX522">
        <v>280429.82400000002</v>
      </c>
    </row>
    <row r="523" spans="1:50" x14ac:dyDescent="0.35">
      <c r="A523">
        <v>26</v>
      </c>
      <c r="B523" t="s">
        <v>80</v>
      </c>
      <c r="C523" t="s">
        <v>1090</v>
      </c>
      <c r="D523">
        <v>0</v>
      </c>
      <c r="E523" t="s">
        <v>1091</v>
      </c>
      <c r="F523">
        <v>1</v>
      </c>
      <c r="G523">
        <v>0</v>
      </c>
      <c r="H523">
        <v>0</v>
      </c>
      <c r="I523">
        <v>0</v>
      </c>
      <c r="J523" s="600">
        <v>1</v>
      </c>
      <c r="K523" s="7">
        <f t="shared" si="108"/>
        <v>5</v>
      </c>
      <c r="L523" s="7">
        <f t="shared" si="109"/>
        <v>0</v>
      </c>
      <c r="M523" s="243">
        <f t="shared" si="110"/>
        <v>514805.016</v>
      </c>
      <c r="N523" s="243">
        <f>INDEX($AN$4:$AN21419,MATCH($A523,$AH$4:$AH$2000,0))</f>
        <v>0</v>
      </c>
      <c r="O523" s="243">
        <f t="shared" si="106"/>
        <v>0</v>
      </c>
      <c r="P523" s="243">
        <f t="shared" si="111"/>
        <v>0</v>
      </c>
      <c r="Q523" s="243">
        <f t="shared" si="112"/>
        <v>43817.16</v>
      </c>
      <c r="R523" s="243">
        <f t="shared" si="113"/>
        <v>0</v>
      </c>
      <c r="S523" s="243">
        <f t="shared" si="107"/>
        <v>0</v>
      </c>
      <c r="T523" s="243">
        <f t="shared" si="114"/>
        <v>0</v>
      </c>
      <c r="AA523">
        <v>371</v>
      </c>
      <c r="AB523" t="s">
        <v>80</v>
      </c>
      <c r="AC523" t="s">
        <v>1054</v>
      </c>
      <c r="AD523" t="s">
        <v>4</v>
      </c>
      <c r="AE523" t="s">
        <v>1053</v>
      </c>
      <c r="AF523">
        <v>15</v>
      </c>
      <c r="AG523">
        <v>0</v>
      </c>
      <c r="AH523">
        <v>26</v>
      </c>
      <c r="AI523" t="s">
        <v>80</v>
      </c>
      <c r="AJ523" t="s">
        <v>1090</v>
      </c>
      <c r="AK523">
        <v>0</v>
      </c>
      <c r="AL523" t="s">
        <v>1091</v>
      </c>
      <c r="AM523" s="314">
        <v>514805.016</v>
      </c>
      <c r="AN523" s="314">
        <v>0</v>
      </c>
      <c r="AO523" s="314">
        <v>0</v>
      </c>
      <c r="AP523" s="314">
        <v>0</v>
      </c>
      <c r="AQ523" s="314">
        <v>44.9172504</v>
      </c>
      <c r="AR523" s="314">
        <v>0</v>
      </c>
      <c r="AS523" s="314">
        <v>0</v>
      </c>
      <c r="AT523" s="314">
        <v>0</v>
      </c>
      <c r="AU523" s="314">
        <v>43817.16</v>
      </c>
      <c r="AV523" s="314">
        <v>0</v>
      </c>
      <c r="AW523" s="314">
        <v>0</v>
      </c>
      <c r="AX523">
        <v>0</v>
      </c>
    </row>
    <row r="524" spans="1:50" x14ac:dyDescent="0.35">
      <c r="A524">
        <v>27</v>
      </c>
      <c r="B524" t="s">
        <v>80</v>
      </c>
      <c r="C524" t="s">
        <v>1090</v>
      </c>
      <c r="D524">
        <v>0</v>
      </c>
      <c r="E524" t="s">
        <v>1092</v>
      </c>
      <c r="F524">
        <v>0</v>
      </c>
      <c r="G524">
        <v>1</v>
      </c>
      <c r="H524">
        <v>0</v>
      </c>
      <c r="I524">
        <v>0</v>
      </c>
      <c r="J524" s="600">
        <v>1</v>
      </c>
      <c r="K524" s="7">
        <f t="shared" si="108"/>
        <v>5</v>
      </c>
      <c r="L524" s="7">
        <f t="shared" si="109"/>
        <v>0</v>
      </c>
      <c r="M524" s="243">
        <f t="shared" si="110"/>
        <v>0</v>
      </c>
      <c r="N524" s="243">
        <f>INDEX($AN$4:$AN21420,MATCH($A524,$AH$4:$AH$2000,0))</f>
        <v>514805.016</v>
      </c>
      <c r="O524" s="243">
        <f t="shared" ref="O524:O543" si="115">INDEX($AO$4:$AO$2000,MATCH($A524,$AH$4:$AH$2000,0))</f>
        <v>0</v>
      </c>
      <c r="P524" s="243">
        <f t="shared" si="111"/>
        <v>0</v>
      </c>
      <c r="Q524" s="243">
        <f t="shared" si="112"/>
        <v>0</v>
      </c>
      <c r="R524" s="243">
        <f t="shared" si="113"/>
        <v>43817.16</v>
      </c>
      <c r="S524" s="243">
        <f t="shared" ref="S524:S543" si="116">INDEX($AW$4:$AW$2000,MATCH($A524,$AH$4:$AH$2000,0))</f>
        <v>0</v>
      </c>
      <c r="T524" s="243">
        <f t="shared" si="114"/>
        <v>0</v>
      </c>
      <c r="AA524">
        <v>367</v>
      </c>
      <c r="AB524" t="s">
        <v>80</v>
      </c>
      <c r="AC524" t="s">
        <v>1054</v>
      </c>
      <c r="AD524" t="s">
        <v>4</v>
      </c>
      <c r="AE524" t="s">
        <v>1056</v>
      </c>
      <c r="AF524">
        <v>15</v>
      </c>
      <c r="AG524">
        <v>0</v>
      </c>
      <c r="AH524">
        <v>27</v>
      </c>
      <c r="AI524" t="s">
        <v>80</v>
      </c>
      <c r="AJ524" t="s">
        <v>1090</v>
      </c>
      <c r="AK524">
        <v>0</v>
      </c>
      <c r="AL524" t="s">
        <v>1092</v>
      </c>
      <c r="AM524" s="314">
        <v>0</v>
      </c>
      <c r="AN524" s="314">
        <v>514805.016</v>
      </c>
      <c r="AO524" s="314">
        <v>0</v>
      </c>
      <c r="AP524" s="314">
        <v>0</v>
      </c>
      <c r="AQ524" s="314">
        <v>0</v>
      </c>
      <c r="AR524" s="314">
        <v>44.9172504</v>
      </c>
      <c r="AS524" s="314">
        <v>0</v>
      </c>
      <c r="AT524" s="314">
        <v>0</v>
      </c>
      <c r="AU524" s="314">
        <v>0</v>
      </c>
      <c r="AV524" s="314">
        <v>43817.16</v>
      </c>
      <c r="AW524" s="314">
        <v>0</v>
      </c>
      <c r="AX524">
        <v>0</v>
      </c>
    </row>
    <row r="525" spans="1:50" x14ac:dyDescent="0.35">
      <c r="A525">
        <v>28</v>
      </c>
      <c r="B525" t="s">
        <v>80</v>
      </c>
      <c r="C525" t="s">
        <v>1090</v>
      </c>
      <c r="D525">
        <v>0</v>
      </c>
      <c r="E525" t="s">
        <v>1093</v>
      </c>
      <c r="F525">
        <v>0</v>
      </c>
      <c r="G525">
        <v>0</v>
      </c>
      <c r="H525">
        <v>1</v>
      </c>
      <c r="I525">
        <v>0</v>
      </c>
      <c r="J525" s="600">
        <v>1</v>
      </c>
      <c r="K525" s="7">
        <f t="shared" si="108"/>
        <v>5</v>
      </c>
      <c r="L525" s="7">
        <f t="shared" si="109"/>
        <v>0</v>
      </c>
      <c r="M525" s="243">
        <f t="shared" si="110"/>
        <v>0</v>
      </c>
      <c r="N525" s="243">
        <f>INDEX($AN$4:$AN21421,MATCH($A525,$AH$4:$AH$2000,0))</f>
        <v>0</v>
      </c>
      <c r="O525" s="243">
        <f t="shared" si="115"/>
        <v>514805.01599999989</v>
      </c>
      <c r="P525" s="243">
        <f t="shared" si="111"/>
        <v>0</v>
      </c>
      <c r="Q525" s="243">
        <f t="shared" si="112"/>
        <v>0</v>
      </c>
      <c r="R525" s="243">
        <f t="shared" si="113"/>
        <v>0</v>
      </c>
      <c r="S525" s="243">
        <f t="shared" si="116"/>
        <v>43817.16</v>
      </c>
      <c r="T525" s="243">
        <f t="shared" si="114"/>
        <v>0</v>
      </c>
      <c r="AA525">
        <v>379</v>
      </c>
      <c r="AB525" t="s">
        <v>80</v>
      </c>
      <c r="AC525" t="s">
        <v>1054</v>
      </c>
      <c r="AD525" t="s">
        <v>4</v>
      </c>
      <c r="AE525" t="s">
        <v>1057</v>
      </c>
      <c r="AF525">
        <v>11</v>
      </c>
      <c r="AG525">
        <v>0</v>
      </c>
      <c r="AH525">
        <v>28</v>
      </c>
      <c r="AI525" t="s">
        <v>80</v>
      </c>
      <c r="AJ525" t="s">
        <v>1090</v>
      </c>
      <c r="AK525">
        <v>0</v>
      </c>
      <c r="AL525" t="s">
        <v>1093</v>
      </c>
      <c r="AM525" s="314">
        <v>0</v>
      </c>
      <c r="AN525" s="314">
        <v>0</v>
      </c>
      <c r="AO525" s="314">
        <v>514805.01599999989</v>
      </c>
      <c r="AP525" s="314">
        <v>0</v>
      </c>
      <c r="AQ525" s="314">
        <v>0</v>
      </c>
      <c r="AR525" s="314">
        <v>0</v>
      </c>
      <c r="AS525" s="314">
        <v>44.917250399999993</v>
      </c>
      <c r="AT525" s="314">
        <v>0</v>
      </c>
      <c r="AU525" s="314">
        <v>0</v>
      </c>
      <c r="AV525" s="314">
        <v>0</v>
      </c>
      <c r="AW525" s="314">
        <v>43817.16</v>
      </c>
      <c r="AX525">
        <v>0</v>
      </c>
    </row>
    <row r="526" spans="1:50" x14ac:dyDescent="0.35">
      <c r="A526">
        <v>29</v>
      </c>
      <c r="B526" t="s">
        <v>80</v>
      </c>
      <c r="C526" t="s">
        <v>1090</v>
      </c>
      <c r="D526">
        <v>0</v>
      </c>
      <c r="E526" t="s">
        <v>1094</v>
      </c>
      <c r="F526">
        <v>0</v>
      </c>
      <c r="G526">
        <v>0</v>
      </c>
      <c r="H526">
        <v>0</v>
      </c>
      <c r="I526">
        <v>1</v>
      </c>
      <c r="J526" s="600">
        <v>1</v>
      </c>
      <c r="K526" s="7">
        <f t="shared" si="108"/>
        <v>5</v>
      </c>
      <c r="L526" s="7">
        <f t="shared" si="109"/>
        <v>0</v>
      </c>
      <c r="M526" s="243">
        <f t="shared" si="110"/>
        <v>0</v>
      </c>
      <c r="N526" s="243">
        <f>INDEX($AN$4:$AN21422,MATCH($A526,$AH$4:$AH$2000,0))</f>
        <v>0</v>
      </c>
      <c r="O526" s="243">
        <f t="shared" si="115"/>
        <v>0</v>
      </c>
      <c r="P526" s="243">
        <f t="shared" si="111"/>
        <v>514805.016</v>
      </c>
      <c r="Q526" s="243">
        <f t="shared" si="112"/>
        <v>0</v>
      </c>
      <c r="R526" s="243">
        <f t="shared" si="113"/>
        <v>0</v>
      </c>
      <c r="S526" s="243">
        <f t="shared" si="116"/>
        <v>0</v>
      </c>
      <c r="T526" s="243">
        <f t="shared" si="114"/>
        <v>43817.16</v>
      </c>
      <c r="AA526">
        <v>368</v>
      </c>
      <c r="AB526" t="s">
        <v>80</v>
      </c>
      <c r="AC526" t="s">
        <v>1054</v>
      </c>
      <c r="AD526" t="s">
        <v>4</v>
      </c>
      <c r="AE526" t="s">
        <v>1058</v>
      </c>
      <c r="AF526">
        <v>15</v>
      </c>
      <c r="AG526">
        <v>0</v>
      </c>
      <c r="AH526">
        <v>29</v>
      </c>
      <c r="AI526" t="s">
        <v>80</v>
      </c>
      <c r="AJ526" t="s">
        <v>1090</v>
      </c>
      <c r="AK526">
        <v>0</v>
      </c>
      <c r="AL526" t="s">
        <v>1094</v>
      </c>
      <c r="AM526" s="314">
        <v>0</v>
      </c>
      <c r="AN526" s="314">
        <v>0</v>
      </c>
      <c r="AO526" s="314">
        <v>0</v>
      </c>
      <c r="AP526" s="314">
        <v>514805.016</v>
      </c>
      <c r="AQ526" s="314">
        <v>0</v>
      </c>
      <c r="AR526" s="314">
        <v>0</v>
      </c>
      <c r="AS526" s="314">
        <v>0</v>
      </c>
      <c r="AT526" s="314">
        <v>44.9172504</v>
      </c>
      <c r="AU526" s="314">
        <v>0</v>
      </c>
      <c r="AV526" s="314">
        <v>0</v>
      </c>
      <c r="AW526" s="314">
        <v>0</v>
      </c>
      <c r="AX526">
        <v>43817.16</v>
      </c>
    </row>
    <row r="527" spans="1:50" x14ac:dyDescent="0.35">
      <c r="A527">
        <v>9</v>
      </c>
      <c r="B527" t="s">
        <v>80</v>
      </c>
      <c r="C527" t="s">
        <v>1095</v>
      </c>
      <c r="D527">
        <v>0</v>
      </c>
      <c r="E527" t="s">
        <v>1095</v>
      </c>
      <c r="F527">
        <v>10000</v>
      </c>
      <c r="G527">
        <v>10000</v>
      </c>
      <c r="H527">
        <v>10000</v>
      </c>
      <c r="I527">
        <v>10000</v>
      </c>
      <c r="J527" s="600">
        <v>40000</v>
      </c>
      <c r="K527" s="7">
        <f t="shared" si="108"/>
        <v>15</v>
      </c>
      <c r="L527" s="7">
        <f t="shared" si="109"/>
        <v>0</v>
      </c>
      <c r="M527" s="243">
        <f t="shared" si="110"/>
        <v>5587360.7400000002</v>
      </c>
      <c r="N527" s="243">
        <f>INDEX($AN$4:$AN21423,MATCH($A527,$AH$4:$AH$2000,0))</f>
        <v>5587360.7400000002</v>
      </c>
      <c r="O527" s="243">
        <f t="shared" si="115"/>
        <v>5587360.7400000002</v>
      </c>
      <c r="P527" s="243">
        <f t="shared" si="111"/>
        <v>5587360.7400000002</v>
      </c>
      <c r="Q527" s="243">
        <f t="shared" si="112"/>
        <v>0</v>
      </c>
      <c r="R527" s="243">
        <f t="shared" si="113"/>
        <v>0</v>
      </c>
      <c r="S527" s="243">
        <f t="shared" si="116"/>
        <v>0</v>
      </c>
      <c r="T527" s="243">
        <f t="shared" si="114"/>
        <v>0</v>
      </c>
      <c r="AA527">
        <v>383</v>
      </c>
      <c r="AB527" t="s">
        <v>80</v>
      </c>
      <c r="AC527" t="s">
        <v>1059</v>
      </c>
      <c r="AE527" t="s">
        <v>1060</v>
      </c>
      <c r="AF527">
        <v>15</v>
      </c>
      <c r="AH527">
        <v>9</v>
      </c>
      <c r="AI527" t="s">
        <v>80</v>
      </c>
      <c r="AJ527" t="s">
        <v>1095</v>
      </c>
      <c r="AK527">
        <v>0</v>
      </c>
      <c r="AL527" t="s">
        <v>1095</v>
      </c>
      <c r="AM527" s="314">
        <v>5587360.7400000002</v>
      </c>
      <c r="AN527" s="314">
        <v>5587360.7400000002</v>
      </c>
      <c r="AO527" s="314">
        <v>5587360.7400000002</v>
      </c>
      <c r="AP527" s="314">
        <v>5587360.7400000002</v>
      </c>
      <c r="AQ527" s="314">
        <v>0</v>
      </c>
      <c r="AR527" s="314">
        <v>0</v>
      </c>
      <c r="AS527" s="314">
        <v>0</v>
      </c>
      <c r="AT527" s="314">
        <v>0</v>
      </c>
      <c r="AU527" s="314">
        <v>0</v>
      </c>
      <c r="AV527" s="314">
        <v>0</v>
      </c>
      <c r="AW527" s="314">
        <v>0</v>
      </c>
      <c r="AX527">
        <v>0</v>
      </c>
    </row>
    <row r="528" spans="1:50" x14ac:dyDescent="0.35">
      <c r="A528">
        <v>959</v>
      </c>
      <c r="B528" t="s">
        <v>0</v>
      </c>
      <c r="C528" t="s">
        <v>1864</v>
      </c>
      <c r="D528" t="s">
        <v>4</v>
      </c>
      <c r="E528" t="s">
        <v>879</v>
      </c>
      <c r="F528">
        <v>239723</v>
      </c>
      <c r="G528">
        <v>0</v>
      </c>
      <c r="H528">
        <v>0</v>
      </c>
      <c r="I528">
        <v>0</v>
      </c>
      <c r="J528" s="600">
        <v>239723</v>
      </c>
      <c r="K528" s="7">
        <f t="shared" si="108"/>
        <v>10</v>
      </c>
      <c r="L528" s="7">
        <f t="shared" si="109"/>
        <v>3</v>
      </c>
      <c r="M528" s="243">
        <f t="shared" si="110"/>
        <v>2624710.1508518327</v>
      </c>
      <c r="N528" s="243">
        <f>INDEX($AN$4:$AN21424,MATCH($A528,$AH$4:$AH$2000,0))</f>
        <v>0</v>
      </c>
      <c r="O528" s="243">
        <f t="shared" si="115"/>
        <v>0</v>
      </c>
      <c r="P528" s="243">
        <f t="shared" si="111"/>
        <v>0</v>
      </c>
      <c r="Q528" s="243">
        <f t="shared" si="112"/>
        <v>-15380.526800383879</v>
      </c>
      <c r="R528" s="243">
        <f t="shared" si="113"/>
        <v>0</v>
      </c>
      <c r="S528" s="243">
        <f t="shared" si="116"/>
        <v>0</v>
      </c>
      <c r="T528" s="243">
        <f t="shared" si="114"/>
        <v>0</v>
      </c>
      <c r="AA528">
        <v>384</v>
      </c>
      <c r="AB528" t="s">
        <v>80</v>
      </c>
      <c r="AC528" t="s">
        <v>1059</v>
      </c>
      <c r="AE528" t="s">
        <v>1061</v>
      </c>
      <c r="AF528">
        <v>15</v>
      </c>
      <c r="AH528">
        <v>959</v>
      </c>
      <c r="AI528" t="s">
        <v>0</v>
      </c>
      <c r="AJ528" t="s">
        <v>1864</v>
      </c>
      <c r="AK528" t="s">
        <v>4</v>
      </c>
      <c r="AL528" t="s">
        <v>879</v>
      </c>
      <c r="AM528" s="314">
        <v>2624710.1508518327</v>
      </c>
      <c r="AN528" s="314">
        <v>0</v>
      </c>
      <c r="AO528" s="314">
        <v>0</v>
      </c>
      <c r="AP528" s="314">
        <v>0</v>
      </c>
      <c r="AQ528" s="314">
        <v>302.46860021571274</v>
      </c>
      <c r="AR528" s="314">
        <v>0</v>
      </c>
      <c r="AS528" s="314">
        <v>0</v>
      </c>
      <c r="AT528" s="314">
        <v>0</v>
      </c>
      <c r="AU528" s="314">
        <v>-15380.526800383879</v>
      </c>
      <c r="AV528" s="314">
        <v>0</v>
      </c>
      <c r="AW528" s="314">
        <v>0</v>
      </c>
      <c r="AX528">
        <v>0</v>
      </c>
    </row>
    <row r="529" spans="1:50" x14ac:dyDescent="0.35">
      <c r="A529">
        <v>960</v>
      </c>
      <c r="B529" t="s">
        <v>0</v>
      </c>
      <c r="C529" t="s">
        <v>1864</v>
      </c>
      <c r="D529" t="s">
        <v>4</v>
      </c>
      <c r="E529" t="s">
        <v>880</v>
      </c>
      <c r="F529">
        <v>0</v>
      </c>
      <c r="G529">
        <v>239723</v>
      </c>
      <c r="H529">
        <v>0</v>
      </c>
      <c r="I529">
        <v>0</v>
      </c>
      <c r="J529" s="600">
        <v>239723</v>
      </c>
      <c r="K529" s="7">
        <f t="shared" si="108"/>
        <v>10</v>
      </c>
      <c r="L529" s="7">
        <f t="shared" si="109"/>
        <v>2</v>
      </c>
      <c r="M529" s="243">
        <f t="shared" si="110"/>
        <v>0</v>
      </c>
      <c r="N529" s="243">
        <f>INDEX($AN$4:$AN21425,MATCH($A529,$AH$4:$AH$2000,0))</f>
        <v>125542.30977378061</v>
      </c>
      <c r="O529" s="243">
        <f t="shared" si="115"/>
        <v>0</v>
      </c>
      <c r="P529" s="243">
        <f t="shared" si="111"/>
        <v>0</v>
      </c>
      <c r="Q529" s="243">
        <f t="shared" si="112"/>
        <v>0</v>
      </c>
      <c r="R529" s="243">
        <f t="shared" si="113"/>
        <v>-735.66479690378958</v>
      </c>
      <c r="S529" s="243">
        <f t="shared" si="116"/>
        <v>0</v>
      </c>
      <c r="T529" s="243">
        <f t="shared" si="114"/>
        <v>0</v>
      </c>
      <c r="AA529">
        <v>385</v>
      </c>
      <c r="AB529" t="s">
        <v>80</v>
      </c>
      <c r="AC529" t="s">
        <v>1059</v>
      </c>
      <c r="AE529" t="s">
        <v>1062</v>
      </c>
      <c r="AF529">
        <v>15</v>
      </c>
      <c r="AH529">
        <v>960</v>
      </c>
      <c r="AI529" t="s">
        <v>0</v>
      </c>
      <c r="AJ529" t="s">
        <v>1864</v>
      </c>
      <c r="AK529" t="s">
        <v>4</v>
      </c>
      <c r="AL529" t="s">
        <v>880</v>
      </c>
      <c r="AM529" s="314">
        <v>0</v>
      </c>
      <c r="AN529" s="314">
        <v>125542.30977378061</v>
      </c>
      <c r="AO529" s="314">
        <v>0</v>
      </c>
      <c r="AP529" s="314">
        <v>0</v>
      </c>
      <c r="AQ529" s="314">
        <v>0</v>
      </c>
      <c r="AR529" s="314">
        <v>14.4673524018639</v>
      </c>
      <c r="AS529" s="314">
        <v>0</v>
      </c>
      <c r="AT529" s="314">
        <v>0</v>
      </c>
      <c r="AU529" s="314">
        <v>0</v>
      </c>
      <c r="AV529" s="314">
        <v>-735.66479690378958</v>
      </c>
      <c r="AW529" s="314">
        <v>0</v>
      </c>
      <c r="AX529">
        <v>0</v>
      </c>
    </row>
    <row r="530" spans="1:50" x14ac:dyDescent="0.35">
      <c r="A530">
        <v>961</v>
      </c>
      <c r="B530" t="s">
        <v>0</v>
      </c>
      <c r="C530" t="s">
        <v>1864</v>
      </c>
      <c r="D530" t="s">
        <v>4</v>
      </c>
      <c r="E530" t="s">
        <v>881</v>
      </c>
      <c r="F530">
        <v>0</v>
      </c>
      <c r="G530">
        <v>0</v>
      </c>
      <c r="H530">
        <v>239723</v>
      </c>
      <c r="I530">
        <v>0</v>
      </c>
      <c r="J530" s="600">
        <v>239723</v>
      </c>
      <c r="K530" s="7">
        <f t="shared" si="108"/>
        <v>10</v>
      </c>
      <c r="L530" s="7">
        <f t="shared" si="109"/>
        <v>1</v>
      </c>
      <c r="M530" s="243">
        <f t="shared" si="110"/>
        <v>0</v>
      </c>
      <c r="N530" s="243">
        <f>INDEX($AN$4:$AN21426,MATCH($A530,$AH$4:$AH$2000,0))</f>
        <v>0</v>
      </c>
      <c r="O530" s="243">
        <f t="shared" si="115"/>
        <v>108024.77817743913</v>
      </c>
      <c r="P530" s="243">
        <f t="shared" si="111"/>
        <v>0</v>
      </c>
      <c r="Q530" s="243">
        <f t="shared" si="112"/>
        <v>0</v>
      </c>
      <c r="R530" s="243">
        <f t="shared" si="113"/>
        <v>0</v>
      </c>
      <c r="S530" s="243">
        <f t="shared" si="116"/>
        <v>-633.01389501023755</v>
      </c>
      <c r="T530" s="243">
        <f t="shared" si="114"/>
        <v>0</v>
      </c>
      <c r="AA530">
        <v>386</v>
      </c>
      <c r="AB530" t="s">
        <v>80</v>
      </c>
      <c r="AC530" t="s">
        <v>1059</v>
      </c>
      <c r="AE530" t="s">
        <v>1063</v>
      </c>
      <c r="AF530">
        <v>15</v>
      </c>
      <c r="AH530">
        <v>961</v>
      </c>
      <c r="AI530" t="s">
        <v>0</v>
      </c>
      <c r="AJ530" t="s">
        <v>1864</v>
      </c>
      <c r="AK530" t="s">
        <v>4</v>
      </c>
      <c r="AL530" t="s">
        <v>881</v>
      </c>
      <c r="AM530" s="314">
        <v>0</v>
      </c>
      <c r="AN530" s="314">
        <v>0</v>
      </c>
      <c r="AO530" s="314">
        <v>108024.77817743913</v>
      </c>
      <c r="AP530" s="314">
        <v>0</v>
      </c>
      <c r="AQ530" s="314">
        <v>0</v>
      </c>
      <c r="AR530" s="314">
        <v>0</v>
      </c>
      <c r="AS530" s="314">
        <v>12.448652066720099</v>
      </c>
      <c r="AT530" s="314">
        <v>0</v>
      </c>
      <c r="AU530" s="314">
        <v>0</v>
      </c>
      <c r="AV530" s="314">
        <v>0</v>
      </c>
      <c r="AW530" s="314">
        <v>-633.01389501023755</v>
      </c>
      <c r="AX530">
        <v>0</v>
      </c>
    </row>
    <row r="531" spans="1:50" x14ac:dyDescent="0.35">
      <c r="A531">
        <v>987</v>
      </c>
      <c r="B531" t="s">
        <v>0</v>
      </c>
      <c r="C531" t="s">
        <v>1864</v>
      </c>
      <c r="D531" t="s">
        <v>4</v>
      </c>
      <c r="E531" t="s">
        <v>882</v>
      </c>
      <c r="F531">
        <v>0</v>
      </c>
      <c r="G531">
        <v>239723</v>
      </c>
      <c r="H531">
        <v>0</v>
      </c>
      <c r="I531">
        <v>0</v>
      </c>
      <c r="J531" s="600">
        <v>239723</v>
      </c>
      <c r="K531" s="7">
        <f t="shared" si="108"/>
        <v>10</v>
      </c>
      <c r="L531" s="7">
        <f t="shared" si="109"/>
        <v>2</v>
      </c>
      <c r="M531" s="243">
        <f t="shared" si="110"/>
        <v>0</v>
      </c>
      <c r="N531" s="243">
        <f>INDEX($AN$4:$AN21427,MATCH($A531,$AH$4:$AH$2000,0))</f>
        <v>2437230.8543624161</v>
      </c>
      <c r="O531" s="243">
        <f t="shared" si="115"/>
        <v>0</v>
      </c>
      <c r="P531" s="243">
        <f t="shared" si="111"/>
        <v>0</v>
      </c>
      <c r="Q531" s="243">
        <f t="shared" si="112"/>
        <v>0</v>
      </c>
      <c r="R531" s="243">
        <f t="shared" si="113"/>
        <v>-14281.9177432136</v>
      </c>
      <c r="S531" s="243">
        <f t="shared" si="116"/>
        <v>0</v>
      </c>
      <c r="T531" s="243">
        <f t="shared" si="114"/>
        <v>0</v>
      </c>
      <c r="AA531">
        <v>503</v>
      </c>
      <c r="AB531" t="s">
        <v>0</v>
      </c>
      <c r="AC531" t="s">
        <v>20</v>
      </c>
      <c r="AD531" t="s">
        <v>100</v>
      </c>
      <c r="AE531" t="s">
        <v>1747</v>
      </c>
      <c r="AF531">
        <v>18</v>
      </c>
      <c r="AG531">
        <v>0</v>
      </c>
      <c r="AH531">
        <v>987</v>
      </c>
      <c r="AI531" t="s">
        <v>0</v>
      </c>
      <c r="AJ531" t="s">
        <v>1864</v>
      </c>
      <c r="AK531" t="s">
        <v>4</v>
      </c>
      <c r="AL531" t="s">
        <v>882</v>
      </c>
      <c r="AM531" s="314">
        <v>0</v>
      </c>
      <c r="AN531" s="314">
        <v>2437230.8543624161</v>
      </c>
      <c r="AO531" s="314">
        <v>0</v>
      </c>
      <c r="AP531" s="314">
        <v>0</v>
      </c>
      <c r="AQ531" s="314">
        <v>0</v>
      </c>
      <c r="AR531" s="314">
        <v>280.86370020030466</v>
      </c>
      <c r="AS531" s="314">
        <v>0</v>
      </c>
      <c r="AT531" s="314">
        <v>0</v>
      </c>
      <c r="AU531" s="314">
        <v>0</v>
      </c>
      <c r="AV531" s="314">
        <v>-14281.9177432136</v>
      </c>
      <c r="AW531" s="314">
        <v>0</v>
      </c>
      <c r="AX531">
        <v>0</v>
      </c>
    </row>
    <row r="532" spans="1:50" x14ac:dyDescent="0.35">
      <c r="A532">
        <v>988</v>
      </c>
      <c r="B532" t="s">
        <v>0</v>
      </c>
      <c r="C532" t="s">
        <v>1864</v>
      </c>
      <c r="D532" t="s">
        <v>4</v>
      </c>
      <c r="E532" t="s">
        <v>883</v>
      </c>
      <c r="F532">
        <v>0</v>
      </c>
      <c r="G532">
        <v>0</v>
      </c>
      <c r="H532">
        <v>239723</v>
      </c>
      <c r="I532">
        <v>0</v>
      </c>
      <c r="J532" s="600">
        <v>239723</v>
      </c>
      <c r="K532" s="7">
        <f t="shared" si="108"/>
        <v>10</v>
      </c>
      <c r="L532" s="7">
        <f t="shared" si="109"/>
        <v>1</v>
      </c>
      <c r="M532" s="243">
        <f t="shared" si="110"/>
        <v>0</v>
      </c>
      <c r="N532" s="243">
        <f>INDEX($AN$4:$AN21428,MATCH($A532,$AH$4:$AH$2000,0))</f>
        <v>0</v>
      </c>
      <c r="O532" s="243">
        <f t="shared" si="115"/>
        <v>116575.00193279628</v>
      </c>
      <c r="P532" s="243">
        <f t="shared" si="111"/>
        <v>0</v>
      </c>
      <c r="Q532" s="243">
        <f t="shared" si="112"/>
        <v>0</v>
      </c>
      <c r="R532" s="243">
        <f t="shared" si="113"/>
        <v>0</v>
      </c>
      <c r="S532" s="243">
        <f t="shared" si="116"/>
        <v>-683.11731141066173</v>
      </c>
      <c r="T532" s="243">
        <f t="shared" si="114"/>
        <v>0</v>
      </c>
      <c r="AA532">
        <v>504</v>
      </c>
      <c r="AB532" t="s">
        <v>0</v>
      </c>
      <c r="AC532" t="s">
        <v>20</v>
      </c>
      <c r="AD532" t="s">
        <v>100</v>
      </c>
      <c r="AE532" t="s">
        <v>1748</v>
      </c>
      <c r="AF532">
        <v>18</v>
      </c>
      <c r="AG532">
        <v>6</v>
      </c>
      <c r="AH532">
        <v>988</v>
      </c>
      <c r="AI532" t="s">
        <v>0</v>
      </c>
      <c r="AJ532" t="s">
        <v>1864</v>
      </c>
      <c r="AK532" t="s">
        <v>4</v>
      </c>
      <c r="AL532" t="s">
        <v>883</v>
      </c>
      <c r="AM532" s="314">
        <v>0</v>
      </c>
      <c r="AN532" s="314">
        <v>0</v>
      </c>
      <c r="AO532" s="314">
        <v>116575.00193279628</v>
      </c>
      <c r="AP532" s="314">
        <v>0</v>
      </c>
      <c r="AQ532" s="314">
        <v>0</v>
      </c>
      <c r="AR532" s="314">
        <v>0</v>
      </c>
      <c r="AS532" s="314">
        <v>13.433970087445049</v>
      </c>
      <c r="AT532" s="314">
        <v>0</v>
      </c>
      <c r="AU532" s="314">
        <v>0</v>
      </c>
      <c r="AV532" s="314">
        <v>0</v>
      </c>
      <c r="AW532" s="314">
        <v>-683.11731141066173</v>
      </c>
      <c r="AX532">
        <v>0</v>
      </c>
    </row>
    <row r="533" spans="1:50" x14ac:dyDescent="0.35">
      <c r="A533">
        <v>989</v>
      </c>
      <c r="B533" t="s">
        <v>0</v>
      </c>
      <c r="C533" t="s">
        <v>1864</v>
      </c>
      <c r="D533" t="s">
        <v>4</v>
      </c>
      <c r="E533" t="s">
        <v>884</v>
      </c>
      <c r="F533">
        <v>0</v>
      </c>
      <c r="G533">
        <v>0</v>
      </c>
      <c r="H533">
        <v>0</v>
      </c>
      <c r="I533">
        <v>239723</v>
      </c>
      <c r="J533" s="600">
        <v>239723</v>
      </c>
      <c r="K533" s="7">
        <f t="shared" si="108"/>
        <v>10</v>
      </c>
      <c r="L533" s="7">
        <f t="shared" si="109"/>
        <v>0</v>
      </c>
      <c r="M533" s="243">
        <f t="shared" si="110"/>
        <v>0</v>
      </c>
      <c r="N533" s="243">
        <f>INDEX($AN$4:$AN21429,MATCH($A533,$AH$4:$AH$2000,0))</f>
        <v>0</v>
      </c>
      <c r="O533" s="243">
        <f t="shared" si="115"/>
        <v>0</v>
      </c>
      <c r="P533" s="243">
        <f t="shared" si="111"/>
        <v>22669.771306094011</v>
      </c>
      <c r="Q533" s="243">
        <f t="shared" si="112"/>
        <v>0</v>
      </c>
      <c r="R533" s="243">
        <f t="shared" si="113"/>
        <v>0</v>
      </c>
      <c r="S533" s="243">
        <f t="shared" si="116"/>
        <v>0</v>
      </c>
      <c r="T533" s="243">
        <f t="shared" si="114"/>
        <v>-587.79861679522048</v>
      </c>
      <c r="AA533">
        <v>505</v>
      </c>
      <c r="AB533" t="s">
        <v>0</v>
      </c>
      <c r="AC533" t="s">
        <v>20</v>
      </c>
      <c r="AD533" t="s">
        <v>100</v>
      </c>
      <c r="AE533" t="s">
        <v>1749</v>
      </c>
      <c r="AF533">
        <v>18</v>
      </c>
      <c r="AG533">
        <v>6</v>
      </c>
      <c r="AH533">
        <v>989</v>
      </c>
      <c r="AI533" t="s">
        <v>0</v>
      </c>
      <c r="AJ533" t="s">
        <v>1864</v>
      </c>
      <c r="AK533" t="s">
        <v>4</v>
      </c>
      <c r="AL533" t="s">
        <v>884</v>
      </c>
      <c r="AM533" s="314">
        <v>0</v>
      </c>
      <c r="AN533" s="314">
        <v>0</v>
      </c>
      <c r="AO533" s="314">
        <v>0</v>
      </c>
      <c r="AP533" s="314">
        <v>22669.771306094011</v>
      </c>
      <c r="AQ533" s="314">
        <v>0</v>
      </c>
      <c r="AR533" s="314">
        <v>0</v>
      </c>
      <c r="AS533" s="314">
        <v>0</v>
      </c>
      <c r="AT533" s="314">
        <v>11.55946263338295</v>
      </c>
      <c r="AU533" s="314">
        <v>0</v>
      </c>
      <c r="AV533" s="314">
        <v>0</v>
      </c>
      <c r="AW533" s="314">
        <v>0</v>
      </c>
      <c r="AX533">
        <v>-587.79861679522048</v>
      </c>
    </row>
    <row r="534" spans="1:50" x14ac:dyDescent="0.35">
      <c r="A534">
        <v>962</v>
      </c>
      <c r="B534" t="s">
        <v>0</v>
      </c>
      <c r="C534" t="s">
        <v>1864</v>
      </c>
      <c r="D534" t="s">
        <v>4</v>
      </c>
      <c r="E534" t="s">
        <v>885</v>
      </c>
      <c r="F534">
        <v>1278525</v>
      </c>
      <c r="G534">
        <v>0</v>
      </c>
      <c r="H534">
        <v>0</v>
      </c>
      <c r="I534">
        <v>0</v>
      </c>
      <c r="J534" s="600">
        <v>1278525</v>
      </c>
      <c r="K534" s="7">
        <f t="shared" si="108"/>
        <v>10</v>
      </c>
      <c r="L534" s="7">
        <f t="shared" si="109"/>
        <v>3</v>
      </c>
      <c r="M534" s="243">
        <f t="shared" si="110"/>
        <v>19836410.675243977</v>
      </c>
      <c r="N534" s="243">
        <f>INDEX($AN$4:$AN21430,MATCH($A534,$AH$4:$AH$2000,0))</f>
        <v>0</v>
      </c>
      <c r="O534" s="243">
        <f t="shared" si="115"/>
        <v>0</v>
      </c>
      <c r="P534" s="243">
        <f t="shared" si="111"/>
        <v>0</v>
      </c>
      <c r="Q534" s="243">
        <f t="shared" si="112"/>
        <v>-139384.28211325084</v>
      </c>
      <c r="R534" s="243">
        <f t="shared" si="113"/>
        <v>0</v>
      </c>
      <c r="S534" s="243">
        <f t="shared" si="116"/>
        <v>0</v>
      </c>
      <c r="T534" s="243">
        <f t="shared" si="114"/>
        <v>0</v>
      </c>
      <c r="AA534">
        <v>507</v>
      </c>
      <c r="AB534" t="s">
        <v>0</v>
      </c>
      <c r="AC534" t="s">
        <v>20</v>
      </c>
      <c r="AD534" t="s">
        <v>100</v>
      </c>
      <c r="AE534" t="s">
        <v>1750</v>
      </c>
      <c r="AF534">
        <v>20</v>
      </c>
      <c r="AG534">
        <v>0</v>
      </c>
      <c r="AH534">
        <v>962</v>
      </c>
      <c r="AI534" t="s">
        <v>0</v>
      </c>
      <c r="AJ534" t="s">
        <v>1864</v>
      </c>
      <c r="AK534" t="s">
        <v>4</v>
      </c>
      <c r="AL534" t="s">
        <v>885</v>
      </c>
      <c r="AM534" s="314">
        <v>19836410.675243977</v>
      </c>
      <c r="AN534" s="314">
        <v>0</v>
      </c>
      <c r="AO534" s="314">
        <v>0</v>
      </c>
      <c r="AP534" s="314">
        <v>0</v>
      </c>
      <c r="AQ534" s="314">
        <v>2285.9253119045707</v>
      </c>
      <c r="AR534" s="314">
        <v>0</v>
      </c>
      <c r="AS534" s="314">
        <v>0</v>
      </c>
      <c r="AT534" s="314">
        <v>0</v>
      </c>
      <c r="AU534" s="314">
        <v>-139384.28211325084</v>
      </c>
      <c r="AV534" s="314">
        <v>0</v>
      </c>
      <c r="AW534" s="314">
        <v>0</v>
      </c>
      <c r="AX534">
        <v>0</v>
      </c>
    </row>
    <row r="535" spans="1:50" x14ac:dyDescent="0.35">
      <c r="A535">
        <v>963</v>
      </c>
      <c r="B535" t="s">
        <v>0</v>
      </c>
      <c r="C535" t="s">
        <v>1864</v>
      </c>
      <c r="D535" t="s">
        <v>4</v>
      </c>
      <c r="E535" t="s">
        <v>886</v>
      </c>
      <c r="F535">
        <v>0</v>
      </c>
      <c r="G535">
        <v>1278525</v>
      </c>
      <c r="H535">
        <v>0</v>
      </c>
      <c r="I535">
        <v>0</v>
      </c>
      <c r="J535" s="600">
        <v>1278525</v>
      </c>
      <c r="K535" s="7">
        <f t="shared" si="108"/>
        <v>10</v>
      </c>
      <c r="L535" s="7">
        <f t="shared" si="109"/>
        <v>2</v>
      </c>
      <c r="M535" s="243">
        <f t="shared" si="110"/>
        <v>0</v>
      </c>
      <c r="N535" s="243">
        <f>INDEX($AN$4:$AN21431,MATCH($A535,$AH$4:$AH$2000,0))</f>
        <v>948793.83652446163</v>
      </c>
      <c r="O535" s="243">
        <f t="shared" si="115"/>
        <v>0</v>
      </c>
      <c r="P535" s="243">
        <f t="shared" si="111"/>
        <v>0</v>
      </c>
      <c r="Q535" s="243">
        <f t="shared" si="112"/>
        <v>0</v>
      </c>
      <c r="R535" s="243">
        <f t="shared" si="113"/>
        <v>-6666.8788997439215</v>
      </c>
      <c r="S535" s="243">
        <f t="shared" si="116"/>
        <v>0</v>
      </c>
      <c r="T535" s="243">
        <f t="shared" si="114"/>
        <v>0</v>
      </c>
      <c r="AA535">
        <v>924</v>
      </c>
      <c r="AB535" t="s">
        <v>0</v>
      </c>
      <c r="AC535" t="s">
        <v>1864</v>
      </c>
      <c r="AD535" t="s">
        <v>984</v>
      </c>
      <c r="AE535" t="s">
        <v>967</v>
      </c>
      <c r="AF535">
        <v>10</v>
      </c>
      <c r="AG535">
        <v>0</v>
      </c>
      <c r="AH535">
        <v>963</v>
      </c>
      <c r="AI535" t="s">
        <v>0</v>
      </c>
      <c r="AJ535" t="s">
        <v>1864</v>
      </c>
      <c r="AK535" t="s">
        <v>4</v>
      </c>
      <c r="AL535" t="s">
        <v>886</v>
      </c>
      <c r="AM535" s="314">
        <v>0</v>
      </c>
      <c r="AN535" s="314">
        <v>948793.83652446163</v>
      </c>
      <c r="AO535" s="314">
        <v>0</v>
      </c>
      <c r="AP535" s="314">
        <v>0</v>
      </c>
      <c r="AQ535" s="314">
        <v>0</v>
      </c>
      <c r="AR535" s="314">
        <v>109.33791814449</v>
      </c>
      <c r="AS535" s="314">
        <v>0</v>
      </c>
      <c r="AT535" s="314">
        <v>0</v>
      </c>
      <c r="AU535" s="314">
        <v>0</v>
      </c>
      <c r="AV535" s="314">
        <v>-6666.8788997439215</v>
      </c>
      <c r="AW535" s="314">
        <v>0</v>
      </c>
      <c r="AX535">
        <v>0</v>
      </c>
    </row>
    <row r="536" spans="1:50" x14ac:dyDescent="0.35">
      <c r="A536">
        <v>964</v>
      </c>
      <c r="B536" t="s">
        <v>0</v>
      </c>
      <c r="C536" t="s">
        <v>1864</v>
      </c>
      <c r="D536" t="s">
        <v>4</v>
      </c>
      <c r="E536" t="s">
        <v>887</v>
      </c>
      <c r="F536">
        <v>0</v>
      </c>
      <c r="G536">
        <v>0</v>
      </c>
      <c r="H536">
        <v>1278525</v>
      </c>
      <c r="I536">
        <v>0</v>
      </c>
      <c r="J536" s="600">
        <v>1278525</v>
      </c>
      <c r="K536" s="7">
        <f t="shared" si="108"/>
        <v>10</v>
      </c>
      <c r="L536" s="7">
        <f t="shared" si="109"/>
        <v>1</v>
      </c>
      <c r="M536" s="243">
        <f t="shared" si="110"/>
        <v>0</v>
      </c>
      <c r="N536" s="243">
        <f>INDEX($AN$4:$AN21432,MATCH($A536,$AH$4:$AH$2000,0))</f>
        <v>0</v>
      </c>
      <c r="O536" s="243">
        <f t="shared" si="115"/>
        <v>816403.99886988569</v>
      </c>
      <c r="P536" s="243">
        <f t="shared" si="111"/>
        <v>0</v>
      </c>
      <c r="Q536" s="243">
        <f t="shared" si="112"/>
        <v>0</v>
      </c>
      <c r="R536" s="243">
        <f t="shared" si="113"/>
        <v>0</v>
      </c>
      <c r="S536" s="243">
        <f t="shared" si="116"/>
        <v>-5736.616727686629</v>
      </c>
      <c r="T536" s="243">
        <f t="shared" si="114"/>
        <v>0</v>
      </c>
      <c r="AA536">
        <v>927</v>
      </c>
      <c r="AB536" t="s">
        <v>0</v>
      </c>
      <c r="AC536" t="s">
        <v>1864</v>
      </c>
      <c r="AD536" t="s">
        <v>984</v>
      </c>
      <c r="AE536" t="s">
        <v>968</v>
      </c>
      <c r="AF536">
        <v>12</v>
      </c>
      <c r="AG536">
        <v>0</v>
      </c>
      <c r="AH536">
        <v>964</v>
      </c>
      <c r="AI536" t="s">
        <v>0</v>
      </c>
      <c r="AJ536" t="s">
        <v>1864</v>
      </c>
      <c r="AK536" t="s">
        <v>4</v>
      </c>
      <c r="AL536" t="s">
        <v>887</v>
      </c>
      <c r="AM536" s="314">
        <v>0</v>
      </c>
      <c r="AN536" s="314">
        <v>0</v>
      </c>
      <c r="AO536" s="314">
        <v>816403.99886988569</v>
      </c>
      <c r="AP536" s="314">
        <v>0</v>
      </c>
      <c r="AQ536" s="314">
        <v>0</v>
      </c>
      <c r="AR536" s="314">
        <v>0</v>
      </c>
      <c r="AS536" s="314">
        <v>94.081464449910015</v>
      </c>
      <c r="AT536" s="314">
        <v>0</v>
      </c>
      <c r="AU536" s="314">
        <v>0</v>
      </c>
      <c r="AV536" s="314">
        <v>0</v>
      </c>
      <c r="AW536" s="314">
        <v>-5736.616727686629</v>
      </c>
      <c r="AX536">
        <v>0</v>
      </c>
    </row>
    <row r="537" spans="1:50" x14ac:dyDescent="0.35">
      <c r="A537">
        <v>990</v>
      </c>
      <c r="B537" t="s">
        <v>0</v>
      </c>
      <c r="C537" t="s">
        <v>1864</v>
      </c>
      <c r="D537" t="s">
        <v>4</v>
      </c>
      <c r="E537" t="s">
        <v>888</v>
      </c>
      <c r="F537">
        <v>0</v>
      </c>
      <c r="G537">
        <v>1278525</v>
      </c>
      <c r="H537">
        <v>0</v>
      </c>
      <c r="I537">
        <v>0</v>
      </c>
      <c r="J537" s="600">
        <v>1278525</v>
      </c>
      <c r="K537" s="7">
        <f t="shared" si="108"/>
        <v>10</v>
      </c>
      <c r="L537" s="7">
        <f t="shared" si="109"/>
        <v>2</v>
      </c>
      <c r="M537" s="243">
        <f t="shared" si="110"/>
        <v>0</v>
      </c>
      <c r="N537" s="243">
        <f>INDEX($AN$4:$AN21433,MATCH($A537,$AH$4:$AH$2000,0))</f>
        <v>18419524.198440831</v>
      </c>
      <c r="O537" s="243">
        <f t="shared" si="115"/>
        <v>0</v>
      </c>
      <c r="P537" s="243">
        <f t="shared" si="111"/>
        <v>0</v>
      </c>
      <c r="Q537" s="243">
        <f t="shared" si="112"/>
        <v>0</v>
      </c>
      <c r="R537" s="243">
        <f t="shared" si="113"/>
        <v>-129428.26196230433</v>
      </c>
      <c r="S537" s="243">
        <f t="shared" si="116"/>
        <v>0</v>
      </c>
      <c r="T537" s="243">
        <f t="shared" si="114"/>
        <v>0</v>
      </c>
      <c r="AA537">
        <v>922</v>
      </c>
      <c r="AB537" t="s">
        <v>0</v>
      </c>
      <c r="AC537" t="s">
        <v>1864</v>
      </c>
      <c r="AD537" t="s">
        <v>984</v>
      </c>
      <c r="AE537" t="s">
        <v>969</v>
      </c>
      <c r="AF537">
        <v>9</v>
      </c>
      <c r="AG537">
        <v>0</v>
      </c>
      <c r="AH537">
        <v>990</v>
      </c>
      <c r="AI537" t="s">
        <v>0</v>
      </c>
      <c r="AJ537" t="s">
        <v>1864</v>
      </c>
      <c r="AK537" t="s">
        <v>4</v>
      </c>
      <c r="AL537" t="s">
        <v>888</v>
      </c>
      <c r="AM537" s="314">
        <v>0</v>
      </c>
      <c r="AN537" s="314">
        <v>18419524.198440831</v>
      </c>
      <c r="AO537" s="314">
        <v>0</v>
      </c>
      <c r="AP537" s="314">
        <v>0</v>
      </c>
      <c r="AQ537" s="314">
        <v>0</v>
      </c>
      <c r="AR537" s="314">
        <v>2122.6449324828154</v>
      </c>
      <c r="AS537" s="314">
        <v>0</v>
      </c>
      <c r="AT537" s="314">
        <v>0</v>
      </c>
      <c r="AU537" s="314">
        <v>0</v>
      </c>
      <c r="AV537" s="314">
        <v>-129428.26196230433</v>
      </c>
      <c r="AW537" s="314">
        <v>0</v>
      </c>
      <c r="AX537">
        <v>0</v>
      </c>
    </row>
    <row r="538" spans="1:50" x14ac:dyDescent="0.35">
      <c r="A538">
        <v>991</v>
      </c>
      <c r="B538" t="s">
        <v>0</v>
      </c>
      <c r="C538" t="s">
        <v>1864</v>
      </c>
      <c r="D538" t="s">
        <v>4</v>
      </c>
      <c r="E538" t="s">
        <v>889</v>
      </c>
      <c r="F538">
        <v>0</v>
      </c>
      <c r="G538">
        <v>0</v>
      </c>
      <c r="H538">
        <v>1278525</v>
      </c>
      <c r="I538">
        <v>0</v>
      </c>
      <c r="J538" s="600">
        <v>1278525</v>
      </c>
      <c r="K538" s="7">
        <f t="shared" si="108"/>
        <v>10</v>
      </c>
      <c r="L538" s="7">
        <f t="shared" si="109"/>
        <v>1</v>
      </c>
      <c r="M538" s="243">
        <f t="shared" si="110"/>
        <v>0</v>
      </c>
      <c r="N538" s="243">
        <f>INDEX($AN$4:$AN21434,MATCH($A538,$AH$4:$AH$2000,0))</f>
        <v>0</v>
      </c>
      <c r="O538" s="243">
        <f t="shared" si="115"/>
        <v>881022.8482012857</v>
      </c>
      <c r="P538" s="243">
        <f t="shared" si="111"/>
        <v>0</v>
      </c>
      <c r="Q538" s="243">
        <f t="shared" si="112"/>
        <v>0</v>
      </c>
      <c r="R538" s="243">
        <f t="shared" si="113"/>
        <v>0</v>
      </c>
      <c r="S538" s="243">
        <f t="shared" si="116"/>
        <v>-6190.6732640479268</v>
      </c>
      <c r="T538" s="243">
        <f t="shared" si="114"/>
        <v>0</v>
      </c>
      <c r="AA538">
        <v>926</v>
      </c>
      <c r="AB538" t="s">
        <v>0</v>
      </c>
      <c r="AC538" t="s">
        <v>1864</v>
      </c>
      <c r="AD538" t="s">
        <v>984</v>
      </c>
      <c r="AE538" t="s">
        <v>970</v>
      </c>
      <c r="AF538">
        <v>14</v>
      </c>
      <c r="AG538">
        <v>0</v>
      </c>
      <c r="AH538">
        <v>991</v>
      </c>
      <c r="AI538" t="s">
        <v>0</v>
      </c>
      <c r="AJ538" t="s">
        <v>1864</v>
      </c>
      <c r="AK538" t="s">
        <v>4</v>
      </c>
      <c r="AL538" t="s">
        <v>889</v>
      </c>
      <c r="AM538" s="314">
        <v>0</v>
      </c>
      <c r="AN538" s="314">
        <v>0</v>
      </c>
      <c r="AO538" s="314">
        <v>881022.8482012857</v>
      </c>
      <c r="AP538" s="314">
        <v>0</v>
      </c>
      <c r="AQ538" s="314">
        <v>0</v>
      </c>
      <c r="AR538" s="314">
        <v>0</v>
      </c>
      <c r="AS538" s="314">
        <v>101.52806684845498</v>
      </c>
      <c r="AT538" s="314">
        <v>0</v>
      </c>
      <c r="AU538" s="314">
        <v>0</v>
      </c>
      <c r="AV538" s="314">
        <v>0</v>
      </c>
      <c r="AW538" s="314">
        <v>-6190.6732640479268</v>
      </c>
      <c r="AX538">
        <v>0</v>
      </c>
    </row>
    <row r="539" spans="1:50" x14ac:dyDescent="0.35">
      <c r="A539">
        <v>992</v>
      </c>
      <c r="B539" t="s">
        <v>0</v>
      </c>
      <c r="C539" t="s">
        <v>1864</v>
      </c>
      <c r="D539" t="s">
        <v>4</v>
      </c>
      <c r="E539" t="s">
        <v>890</v>
      </c>
      <c r="F539">
        <v>0</v>
      </c>
      <c r="G539">
        <v>0</v>
      </c>
      <c r="H539">
        <v>0</v>
      </c>
      <c r="I539">
        <v>1278525</v>
      </c>
      <c r="J539" s="600">
        <v>1278525</v>
      </c>
      <c r="K539" s="7">
        <f t="shared" si="108"/>
        <v>10</v>
      </c>
      <c r="L539" s="7">
        <f t="shared" si="109"/>
        <v>0</v>
      </c>
      <c r="M539" s="243">
        <f t="shared" si="110"/>
        <v>0</v>
      </c>
      <c r="N539" s="243">
        <f>INDEX($AN$4:$AN21435,MATCH($A539,$AH$4:$AH$2000,0))</f>
        <v>0</v>
      </c>
      <c r="O539" s="243">
        <f t="shared" si="115"/>
        <v>0</v>
      </c>
      <c r="P539" s="243">
        <f t="shared" si="111"/>
        <v>205442.23485847193</v>
      </c>
      <c r="Q539" s="243">
        <f t="shared" si="112"/>
        <v>0</v>
      </c>
      <c r="R539" s="243">
        <f t="shared" si="113"/>
        <v>0</v>
      </c>
      <c r="S539" s="243">
        <f t="shared" si="116"/>
        <v>0</v>
      </c>
      <c r="T539" s="243">
        <f t="shared" si="114"/>
        <v>-5326.8583899947262</v>
      </c>
      <c r="AA539">
        <v>925</v>
      </c>
      <c r="AB539" t="s">
        <v>0</v>
      </c>
      <c r="AC539" t="s">
        <v>1864</v>
      </c>
      <c r="AD539" t="s">
        <v>984</v>
      </c>
      <c r="AE539" t="s">
        <v>971</v>
      </c>
      <c r="AF539">
        <v>14</v>
      </c>
      <c r="AG539">
        <v>0</v>
      </c>
      <c r="AH539">
        <v>992</v>
      </c>
      <c r="AI539" t="s">
        <v>0</v>
      </c>
      <c r="AJ539" t="s">
        <v>1864</v>
      </c>
      <c r="AK539" t="s">
        <v>4</v>
      </c>
      <c r="AL539" t="s">
        <v>890</v>
      </c>
      <c r="AM539" s="314">
        <v>0</v>
      </c>
      <c r="AN539" s="314">
        <v>0</v>
      </c>
      <c r="AO539" s="314">
        <v>0</v>
      </c>
      <c r="AP539" s="314">
        <v>205442.23485847193</v>
      </c>
      <c r="AQ539" s="314">
        <v>0</v>
      </c>
      <c r="AR539" s="314">
        <v>0</v>
      </c>
      <c r="AS539" s="314">
        <v>0</v>
      </c>
      <c r="AT539" s="314">
        <v>87.361359846344996</v>
      </c>
      <c r="AU539" s="314">
        <v>0</v>
      </c>
      <c r="AV539" s="314">
        <v>0</v>
      </c>
      <c r="AW539" s="314">
        <v>0</v>
      </c>
      <c r="AX539">
        <v>-5326.8583899947262</v>
      </c>
    </row>
    <row r="540" spans="1:50" x14ac:dyDescent="0.35">
      <c r="A540">
        <v>953</v>
      </c>
      <c r="B540" t="s">
        <v>0</v>
      </c>
      <c r="C540" t="s">
        <v>1864</v>
      </c>
      <c r="D540" t="s">
        <v>4</v>
      </c>
      <c r="E540" t="s">
        <v>891</v>
      </c>
      <c r="F540">
        <v>11471</v>
      </c>
      <c r="G540">
        <v>0</v>
      </c>
      <c r="H540">
        <v>0</v>
      </c>
      <c r="I540">
        <v>0</v>
      </c>
      <c r="J540" s="600">
        <v>11471</v>
      </c>
      <c r="K540" s="7">
        <f t="shared" si="108"/>
        <v>10</v>
      </c>
      <c r="L540" s="7">
        <f t="shared" si="109"/>
        <v>3</v>
      </c>
      <c r="M540" s="243">
        <f t="shared" si="110"/>
        <v>207823.39238764317</v>
      </c>
      <c r="N540" s="243">
        <f>INDEX($AN$4:$AN21436,MATCH($A540,$AH$4:$AH$2000,0))</f>
        <v>0</v>
      </c>
      <c r="O540" s="243">
        <f t="shared" si="115"/>
        <v>0</v>
      </c>
      <c r="P540" s="243">
        <f t="shared" si="111"/>
        <v>0</v>
      </c>
      <c r="Q540" s="243">
        <f t="shared" si="112"/>
        <v>-1767.460408235406</v>
      </c>
      <c r="R540" s="243">
        <f t="shared" si="113"/>
        <v>0</v>
      </c>
      <c r="S540" s="243">
        <f t="shared" si="116"/>
        <v>0</v>
      </c>
      <c r="T540" s="243">
        <f t="shared" si="114"/>
        <v>0</v>
      </c>
      <c r="AA540">
        <v>936</v>
      </c>
      <c r="AB540" t="s">
        <v>0</v>
      </c>
      <c r="AC540" t="s">
        <v>1864</v>
      </c>
      <c r="AD540" t="s">
        <v>984</v>
      </c>
      <c r="AE540" t="s">
        <v>972</v>
      </c>
      <c r="AF540">
        <v>14</v>
      </c>
      <c r="AG540">
        <v>0</v>
      </c>
      <c r="AH540">
        <v>953</v>
      </c>
      <c r="AI540" t="s">
        <v>0</v>
      </c>
      <c r="AJ540" t="s">
        <v>1864</v>
      </c>
      <c r="AK540" t="s">
        <v>4</v>
      </c>
      <c r="AL540" t="s">
        <v>891</v>
      </c>
      <c r="AM540" s="314">
        <v>207823.39238764317</v>
      </c>
      <c r="AN540" s="314">
        <v>0</v>
      </c>
      <c r="AO540" s="314">
        <v>0</v>
      </c>
      <c r="AP540" s="314">
        <v>0</v>
      </c>
      <c r="AQ540" s="314">
        <v>23.949330392603706</v>
      </c>
      <c r="AR540" s="314">
        <v>0</v>
      </c>
      <c r="AS540" s="314">
        <v>0</v>
      </c>
      <c r="AT540" s="314">
        <v>0</v>
      </c>
      <c r="AU540" s="314">
        <v>-1767.460408235406</v>
      </c>
      <c r="AV540" s="314">
        <v>0</v>
      </c>
      <c r="AW540" s="314">
        <v>0</v>
      </c>
      <c r="AX540">
        <v>0</v>
      </c>
    </row>
    <row r="541" spans="1:50" x14ac:dyDescent="0.35">
      <c r="A541">
        <v>954</v>
      </c>
      <c r="B541" t="s">
        <v>0</v>
      </c>
      <c r="C541" t="s">
        <v>1864</v>
      </c>
      <c r="D541" t="s">
        <v>4</v>
      </c>
      <c r="E541" t="s">
        <v>892</v>
      </c>
      <c r="F541">
        <v>0</v>
      </c>
      <c r="G541">
        <v>11471</v>
      </c>
      <c r="H541">
        <v>0</v>
      </c>
      <c r="I541">
        <v>0</v>
      </c>
      <c r="J541" s="600">
        <v>11471</v>
      </c>
      <c r="K541" s="7">
        <f t="shared" si="108"/>
        <v>10</v>
      </c>
      <c r="L541" s="7">
        <f t="shared" si="109"/>
        <v>2</v>
      </c>
      <c r="M541" s="243">
        <f t="shared" si="110"/>
        <v>0</v>
      </c>
      <c r="N541" s="243">
        <f>INDEX($AN$4:$AN21437,MATCH($A541,$AH$4:$AH$2000,0))</f>
        <v>9940.3847304434421</v>
      </c>
      <c r="O541" s="243">
        <f t="shared" si="115"/>
        <v>0</v>
      </c>
      <c r="P541" s="243">
        <f t="shared" si="111"/>
        <v>0</v>
      </c>
      <c r="Q541" s="243">
        <f t="shared" si="112"/>
        <v>0</v>
      </c>
      <c r="R541" s="243">
        <f t="shared" si="113"/>
        <v>-84.539263130280801</v>
      </c>
      <c r="S541" s="243">
        <f t="shared" si="116"/>
        <v>0</v>
      </c>
      <c r="T541" s="243">
        <f t="shared" si="114"/>
        <v>0</v>
      </c>
      <c r="AA541">
        <v>933</v>
      </c>
      <c r="AB541" t="s">
        <v>0</v>
      </c>
      <c r="AC541" t="s">
        <v>1864</v>
      </c>
      <c r="AD541" t="s">
        <v>984</v>
      </c>
      <c r="AE541" t="s">
        <v>973</v>
      </c>
      <c r="AF541">
        <v>12</v>
      </c>
      <c r="AG541">
        <v>0</v>
      </c>
      <c r="AH541">
        <v>954</v>
      </c>
      <c r="AI541" t="s">
        <v>0</v>
      </c>
      <c r="AJ541" t="s">
        <v>1864</v>
      </c>
      <c r="AK541" t="s">
        <v>4</v>
      </c>
      <c r="AL541" t="s">
        <v>892</v>
      </c>
      <c r="AM541" s="314">
        <v>0</v>
      </c>
      <c r="AN541" s="314">
        <v>9940.3847304434421</v>
      </c>
      <c r="AO541" s="314">
        <v>0</v>
      </c>
      <c r="AP541" s="314">
        <v>0</v>
      </c>
      <c r="AQ541" s="314">
        <v>0</v>
      </c>
      <c r="AR541" s="314">
        <v>1.1455185838508999</v>
      </c>
      <c r="AS541" s="314">
        <v>0</v>
      </c>
      <c r="AT541" s="314">
        <v>0</v>
      </c>
      <c r="AU541" s="314">
        <v>0</v>
      </c>
      <c r="AV541" s="314">
        <v>-84.539263130280801</v>
      </c>
      <c r="AW541" s="314">
        <v>0</v>
      </c>
      <c r="AX541">
        <v>0</v>
      </c>
    </row>
    <row r="542" spans="1:50" x14ac:dyDescent="0.35">
      <c r="A542">
        <v>955</v>
      </c>
      <c r="B542" t="s">
        <v>0</v>
      </c>
      <c r="C542" t="s">
        <v>1864</v>
      </c>
      <c r="D542" t="s">
        <v>4</v>
      </c>
      <c r="E542" t="s">
        <v>893</v>
      </c>
      <c r="F542">
        <v>0</v>
      </c>
      <c r="G542">
        <v>0</v>
      </c>
      <c r="H542">
        <v>11471</v>
      </c>
      <c r="I542">
        <v>0</v>
      </c>
      <c r="J542" s="600">
        <v>11471</v>
      </c>
      <c r="K542" s="7">
        <f t="shared" si="108"/>
        <v>10</v>
      </c>
      <c r="L542" s="7">
        <f t="shared" si="109"/>
        <v>1</v>
      </c>
      <c r="M542" s="243">
        <f t="shared" si="110"/>
        <v>0</v>
      </c>
      <c r="N542" s="243">
        <f>INDEX($AN$4:$AN21438,MATCH($A542,$AH$4:$AH$2000,0))</f>
        <v>0</v>
      </c>
      <c r="O542" s="243">
        <f t="shared" si="115"/>
        <v>8553.354302939706</v>
      </c>
      <c r="P542" s="243">
        <f t="shared" si="111"/>
        <v>0</v>
      </c>
      <c r="Q542" s="243">
        <f t="shared" si="112"/>
        <v>0</v>
      </c>
      <c r="R542" s="243">
        <f t="shared" si="113"/>
        <v>0</v>
      </c>
      <c r="S542" s="243">
        <f t="shared" si="116"/>
        <v>-72.743086879543952</v>
      </c>
      <c r="T542" s="243">
        <f t="shared" si="114"/>
        <v>0</v>
      </c>
      <c r="AA542">
        <v>918</v>
      </c>
      <c r="AB542" t="s">
        <v>0</v>
      </c>
      <c r="AC542" t="s">
        <v>1864</v>
      </c>
      <c r="AD542" t="s">
        <v>984</v>
      </c>
      <c r="AE542" t="s">
        <v>974</v>
      </c>
      <c r="AF542">
        <v>12</v>
      </c>
      <c r="AG542">
        <v>0</v>
      </c>
      <c r="AH542">
        <v>955</v>
      </c>
      <c r="AI542" t="s">
        <v>0</v>
      </c>
      <c r="AJ542" t="s">
        <v>1864</v>
      </c>
      <c r="AK542" t="s">
        <v>4</v>
      </c>
      <c r="AL542" t="s">
        <v>893</v>
      </c>
      <c r="AM542" s="314">
        <v>0</v>
      </c>
      <c r="AN542" s="314">
        <v>0</v>
      </c>
      <c r="AO542" s="314">
        <v>8553.354302939706</v>
      </c>
      <c r="AP542" s="314">
        <v>0</v>
      </c>
      <c r="AQ542" s="314">
        <v>0</v>
      </c>
      <c r="AR542" s="314">
        <v>0</v>
      </c>
      <c r="AS542" s="314">
        <v>0.98567878145309995</v>
      </c>
      <c r="AT542" s="314">
        <v>0</v>
      </c>
      <c r="AU542" s="314">
        <v>0</v>
      </c>
      <c r="AV542" s="314">
        <v>0</v>
      </c>
      <c r="AW542" s="314">
        <v>-72.743086879543952</v>
      </c>
      <c r="AX542">
        <v>0</v>
      </c>
    </row>
    <row r="543" spans="1:50" x14ac:dyDescent="0.35">
      <c r="A543">
        <v>981</v>
      </c>
      <c r="B543" t="s">
        <v>0</v>
      </c>
      <c r="C543" t="s">
        <v>1864</v>
      </c>
      <c r="D543" t="s">
        <v>4</v>
      </c>
      <c r="E543" t="s">
        <v>894</v>
      </c>
      <c r="F543">
        <v>0</v>
      </c>
      <c r="G543">
        <v>11471</v>
      </c>
      <c r="H543">
        <v>0</v>
      </c>
      <c r="I543">
        <v>0</v>
      </c>
      <c r="J543" s="600">
        <v>11471</v>
      </c>
      <c r="K543" s="7">
        <f t="shared" si="108"/>
        <v>10</v>
      </c>
      <c r="L543" s="7">
        <f t="shared" si="109"/>
        <v>2</v>
      </c>
      <c r="M543" s="243">
        <f t="shared" si="110"/>
        <v>0</v>
      </c>
      <c r="N543" s="243">
        <f>INDEX($AN$4:$AN21439,MATCH($A543,$AH$4:$AH$2000,0))</f>
        <v>192978.86435995431</v>
      </c>
      <c r="O543" s="243">
        <f t="shared" si="115"/>
        <v>0</v>
      </c>
      <c r="P543" s="243">
        <f t="shared" si="111"/>
        <v>0</v>
      </c>
      <c r="Q543" s="243">
        <f t="shared" si="112"/>
        <v>0</v>
      </c>
      <c r="R543" s="243">
        <f t="shared" si="113"/>
        <v>-1641.2132362185912</v>
      </c>
      <c r="S543" s="243">
        <f t="shared" si="116"/>
        <v>0</v>
      </c>
      <c r="T543" s="243">
        <f t="shared" si="114"/>
        <v>0</v>
      </c>
      <c r="AA543">
        <v>929</v>
      </c>
      <c r="AB543" t="s">
        <v>0</v>
      </c>
      <c r="AC543" t="s">
        <v>1864</v>
      </c>
      <c r="AD543" t="s">
        <v>984</v>
      </c>
      <c r="AE543" t="s">
        <v>975</v>
      </c>
      <c r="AF543">
        <v>11</v>
      </c>
      <c r="AG543">
        <v>0</v>
      </c>
      <c r="AH543">
        <v>981</v>
      </c>
      <c r="AI543" t="s">
        <v>0</v>
      </c>
      <c r="AJ543" t="s">
        <v>1864</v>
      </c>
      <c r="AK543" t="s">
        <v>4</v>
      </c>
      <c r="AL543" t="s">
        <v>894</v>
      </c>
      <c r="AM543" s="314">
        <v>0</v>
      </c>
      <c r="AN543" s="314">
        <v>192978.86435995431</v>
      </c>
      <c r="AO543" s="314">
        <v>0</v>
      </c>
      <c r="AP543" s="314">
        <v>0</v>
      </c>
      <c r="AQ543" s="314">
        <v>0</v>
      </c>
      <c r="AR543" s="314">
        <v>22.238663935989152</v>
      </c>
      <c r="AS543" s="314">
        <v>0</v>
      </c>
      <c r="AT543" s="314">
        <v>0</v>
      </c>
      <c r="AU543" s="314">
        <v>0</v>
      </c>
      <c r="AV543" s="314">
        <v>-1641.2132362185912</v>
      </c>
      <c r="AW543" s="314">
        <v>0</v>
      </c>
      <c r="AX543">
        <v>0</v>
      </c>
    </row>
    <row r="544" spans="1:50" x14ac:dyDescent="0.35">
      <c r="A544">
        <v>982</v>
      </c>
      <c r="B544" t="s">
        <v>0</v>
      </c>
      <c r="C544" t="s">
        <v>1864</v>
      </c>
      <c r="D544" t="s">
        <v>4</v>
      </c>
      <c r="E544" t="s">
        <v>895</v>
      </c>
      <c r="F544">
        <v>0</v>
      </c>
      <c r="G544">
        <v>0</v>
      </c>
      <c r="H544">
        <v>11471</v>
      </c>
      <c r="I544">
        <v>0</v>
      </c>
      <c r="J544" s="600">
        <v>11471</v>
      </c>
      <c r="K544" s="7">
        <f t="shared" si="108"/>
        <v>10</v>
      </c>
      <c r="L544" s="7">
        <f t="shared" si="109"/>
        <v>1</v>
      </c>
      <c r="M544" s="243">
        <f t="shared" si="110"/>
        <v>0</v>
      </c>
      <c r="N544" s="243">
        <f>INDEX($AN$4:$AN21440,MATCH($A544,$AH$4:$AH$2000,0))</f>
        <v>0</v>
      </c>
      <c r="O544" s="243">
        <f t="shared" ref="O544:O563" si="117">INDEX($AO$4:$AO$2000,MATCH($A544,$AH$4:$AH$2000,0))</f>
        <v>9230.3572496974812</v>
      </c>
      <c r="P544" s="243">
        <f t="shared" si="111"/>
        <v>0</v>
      </c>
      <c r="Q544" s="243">
        <f t="shared" si="112"/>
        <v>0</v>
      </c>
      <c r="R544" s="243">
        <f t="shared" si="113"/>
        <v>0</v>
      </c>
      <c r="S544" s="243">
        <f t="shared" ref="S544:S563" si="118">INDEX($AW$4:$AW$2000,MATCH($A544,$AH$4:$AH$2000,0))</f>
        <v>-78.500744335260734</v>
      </c>
      <c r="T544" s="243">
        <f t="shared" si="114"/>
        <v>0</v>
      </c>
      <c r="AA544">
        <v>930</v>
      </c>
      <c r="AB544" t="s">
        <v>0</v>
      </c>
      <c r="AC544" t="s">
        <v>1864</v>
      </c>
      <c r="AD544" t="s">
        <v>984</v>
      </c>
      <c r="AE544" t="s">
        <v>976</v>
      </c>
      <c r="AF544">
        <v>11</v>
      </c>
      <c r="AG544">
        <v>0</v>
      </c>
      <c r="AH544">
        <v>982</v>
      </c>
      <c r="AI544" t="s">
        <v>0</v>
      </c>
      <c r="AJ544" t="s">
        <v>1864</v>
      </c>
      <c r="AK544" t="s">
        <v>4</v>
      </c>
      <c r="AL544" t="s">
        <v>895</v>
      </c>
      <c r="AM544" s="314">
        <v>0</v>
      </c>
      <c r="AN544" s="314">
        <v>0</v>
      </c>
      <c r="AO544" s="314">
        <v>9230.3572496974812</v>
      </c>
      <c r="AP544" s="314">
        <v>0</v>
      </c>
      <c r="AQ544" s="314">
        <v>0</v>
      </c>
      <c r="AR544" s="314">
        <v>0</v>
      </c>
      <c r="AS544" s="314">
        <v>1.0636958278615498</v>
      </c>
      <c r="AT544" s="314">
        <v>0</v>
      </c>
      <c r="AU544" s="314">
        <v>0</v>
      </c>
      <c r="AV544" s="314">
        <v>0</v>
      </c>
      <c r="AW544" s="314">
        <v>-78.500744335260734</v>
      </c>
      <c r="AX544">
        <v>0</v>
      </c>
    </row>
    <row r="545" spans="1:50" x14ac:dyDescent="0.35">
      <c r="A545">
        <v>983</v>
      </c>
      <c r="B545" t="s">
        <v>0</v>
      </c>
      <c r="C545" t="s">
        <v>1864</v>
      </c>
      <c r="D545" t="s">
        <v>4</v>
      </c>
      <c r="E545" t="s">
        <v>896</v>
      </c>
      <c r="F545">
        <v>0</v>
      </c>
      <c r="G545">
        <v>0</v>
      </c>
      <c r="H545">
        <v>0</v>
      </c>
      <c r="I545">
        <v>11471</v>
      </c>
      <c r="J545" s="600">
        <v>11471</v>
      </c>
      <c r="K545" s="7">
        <f t="shared" si="108"/>
        <v>10</v>
      </c>
      <c r="L545" s="7">
        <f t="shared" si="109"/>
        <v>0</v>
      </c>
      <c r="M545" s="243">
        <f t="shared" si="110"/>
        <v>0</v>
      </c>
      <c r="N545" s="243">
        <f>INDEX($AN$4:$AN21441,MATCH($A545,$AH$4:$AH$2000,0))</f>
        <v>0</v>
      </c>
      <c r="O545" s="243">
        <f t="shared" si="117"/>
        <v>0</v>
      </c>
      <c r="P545" s="243">
        <f t="shared" si="111"/>
        <v>2605.1073391239215</v>
      </c>
      <c r="Q545" s="243">
        <f t="shared" si="112"/>
        <v>0</v>
      </c>
      <c r="R545" s="243">
        <f t="shared" si="113"/>
        <v>0</v>
      </c>
      <c r="S545" s="243">
        <f t="shared" si="118"/>
        <v>0</v>
      </c>
      <c r="T545" s="243">
        <f t="shared" si="114"/>
        <v>-67.547152102433671</v>
      </c>
      <c r="AA545">
        <v>928</v>
      </c>
      <c r="AB545" t="s">
        <v>0</v>
      </c>
      <c r="AC545" t="s">
        <v>1864</v>
      </c>
      <c r="AD545" t="s">
        <v>984</v>
      </c>
      <c r="AE545" t="s">
        <v>977</v>
      </c>
      <c r="AF545">
        <v>13</v>
      </c>
      <c r="AG545">
        <v>0</v>
      </c>
      <c r="AH545">
        <v>983</v>
      </c>
      <c r="AI545" t="s">
        <v>0</v>
      </c>
      <c r="AJ545" t="s">
        <v>1864</v>
      </c>
      <c r="AK545" t="s">
        <v>4</v>
      </c>
      <c r="AL545" t="s">
        <v>896</v>
      </c>
      <c r="AM545" s="314">
        <v>0</v>
      </c>
      <c r="AN545" s="314">
        <v>0</v>
      </c>
      <c r="AO545" s="314">
        <v>0</v>
      </c>
      <c r="AP545" s="314">
        <v>2605.1073391239215</v>
      </c>
      <c r="AQ545" s="314">
        <v>0</v>
      </c>
      <c r="AR545" s="314">
        <v>0</v>
      </c>
      <c r="AS545" s="314">
        <v>0</v>
      </c>
      <c r="AT545" s="314">
        <v>0.91527315420644983</v>
      </c>
      <c r="AU545" s="314">
        <v>0</v>
      </c>
      <c r="AV545" s="314">
        <v>0</v>
      </c>
      <c r="AW545" s="314">
        <v>0</v>
      </c>
      <c r="AX545">
        <v>-67.547152102433671</v>
      </c>
    </row>
    <row r="546" spans="1:50" x14ac:dyDescent="0.35">
      <c r="A546">
        <v>956</v>
      </c>
      <c r="B546" t="s">
        <v>0</v>
      </c>
      <c r="C546" t="s">
        <v>1864</v>
      </c>
      <c r="D546" t="s">
        <v>4</v>
      </c>
      <c r="E546" t="s">
        <v>897</v>
      </c>
      <c r="F546">
        <v>63927</v>
      </c>
      <c r="G546">
        <v>0</v>
      </c>
      <c r="H546">
        <v>0</v>
      </c>
      <c r="I546">
        <v>0</v>
      </c>
      <c r="J546" s="600">
        <v>63927</v>
      </c>
      <c r="K546" s="7">
        <f t="shared" si="108"/>
        <v>10</v>
      </c>
      <c r="L546" s="7">
        <f t="shared" si="109"/>
        <v>3</v>
      </c>
      <c r="M546" s="243">
        <f t="shared" si="110"/>
        <v>1443806.3235168592</v>
      </c>
      <c r="N546" s="243">
        <f>INDEX($AN$4:$AN21442,MATCH($A546,$AH$4:$AH$2000,0))</f>
        <v>0</v>
      </c>
      <c r="O546" s="243">
        <f t="shared" si="117"/>
        <v>0</v>
      </c>
      <c r="P546" s="243">
        <f t="shared" si="111"/>
        <v>0</v>
      </c>
      <c r="Q546" s="243">
        <f t="shared" si="112"/>
        <v>-15835.461610244731</v>
      </c>
      <c r="R546" s="243">
        <f t="shared" si="113"/>
        <v>0</v>
      </c>
      <c r="S546" s="243">
        <f t="shared" si="118"/>
        <v>0</v>
      </c>
      <c r="T546" s="243">
        <f t="shared" si="114"/>
        <v>0</v>
      </c>
      <c r="AA546">
        <v>935</v>
      </c>
      <c r="AB546" t="s">
        <v>0</v>
      </c>
      <c r="AC546" t="s">
        <v>1864</v>
      </c>
      <c r="AD546" t="s">
        <v>984</v>
      </c>
      <c r="AE546" t="s">
        <v>978</v>
      </c>
      <c r="AF546">
        <v>10</v>
      </c>
      <c r="AG546">
        <v>0</v>
      </c>
      <c r="AH546">
        <v>956</v>
      </c>
      <c r="AI546" t="s">
        <v>0</v>
      </c>
      <c r="AJ546" t="s">
        <v>1864</v>
      </c>
      <c r="AK546" t="s">
        <v>4</v>
      </c>
      <c r="AL546" t="s">
        <v>897</v>
      </c>
      <c r="AM546" s="314">
        <v>1443806.3235168592</v>
      </c>
      <c r="AN546" s="314">
        <v>0</v>
      </c>
      <c r="AO546" s="314">
        <v>0</v>
      </c>
      <c r="AP546" s="314">
        <v>0</v>
      </c>
      <c r="AQ546" s="314">
        <v>166.38259181304599</v>
      </c>
      <c r="AR546" s="314">
        <v>0</v>
      </c>
      <c r="AS546" s="314">
        <v>0</v>
      </c>
      <c r="AT546" s="314">
        <v>0</v>
      </c>
      <c r="AU546" s="314">
        <v>-15835.461610244731</v>
      </c>
      <c r="AV546" s="314">
        <v>0</v>
      </c>
      <c r="AW546" s="314">
        <v>0</v>
      </c>
      <c r="AX546">
        <v>0</v>
      </c>
    </row>
    <row r="547" spans="1:50" x14ac:dyDescent="0.35">
      <c r="A547">
        <v>957</v>
      </c>
      <c r="B547" t="s">
        <v>0</v>
      </c>
      <c r="C547" t="s">
        <v>1864</v>
      </c>
      <c r="D547" t="s">
        <v>4</v>
      </c>
      <c r="E547" t="s">
        <v>898</v>
      </c>
      <c r="F547">
        <v>0</v>
      </c>
      <c r="G547">
        <v>63927</v>
      </c>
      <c r="H547">
        <v>0</v>
      </c>
      <c r="I547">
        <v>0</v>
      </c>
      <c r="J547" s="600">
        <v>63927</v>
      </c>
      <c r="K547" s="7">
        <f t="shared" si="108"/>
        <v>10</v>
      </c>
      <c r="L547" s="7">
        <f t="shared" si="109"/>
        <v>2</v>
      </c>
      <c r="M547" s="243">
        <f t="shared" si="110"/>
        <v>0</v>
      </c>
      <c r="N547" s="243">
        <f>INDEX($AN$4:$AN21443,MATCH($A547,$AH$4:$AH$2000,0))</f>
        <v>69058.58944518902</v>
      </c>
      <c r="O547" s="243">
        <f t="shared" si="117"/>
        <v>0</v>
      </c>
      <c r="P547" s="243">
        <f t="shared" si="111"/>
        <v>0</v>
      </c>
      <c r="Q547" s="243">
        <f t="shared" si="112"/>
        <v>0</v>
      </c>
      <c r="R547" s="243">
        <f t="shared" si="113"/>
        <v>-757.42474887711137</v>
      </c>
      <c r="S547" s="243">
        <f t="shared" si="118"/>
        <v>0</v>
      </c>
      <c r="T547" s="243">
        <f t="shared" si="114"/>
        <v>0</v>
      </c>
      <c r="AA547">
        <v>934</v>
      </c>
      <c r="AB547" t="s">
        <v>0</v>
      </c>
      <c r="AC547" t="s">
        <v>1864</v>
      </c>
      <c r="AD547" t="s">
        <v>984</v>
      </c>
      <c r="AE547" t="s">
        <v>1064</v>
      </c>
      <c r="AF547">
        <v>6</v>
      </c>
      <c r="AG547">
        <v>0</v>
      </c>
      <c r="AH547">
        <v>957</v>
      </c>
      <c r="AI547" t="s">
        <v>0</v>
      </c>
      <c r="AJ547" t="s">
        <v>1864</v>
      </c>
      <c r="AK547" t="s">
        <v>4</v>
      </c>
      <c r="AL547" t="s">
        <v>898</v>
      </c>
      <c r="AM547" s="314">
        <v>0</v>
      </c>
      <c r="AN547" s="314">
        <v>69058.58944518902</v>
      </c>
      <c r="AO547" s="314">
        <v>0</v>
      </c>
      <c r="AP547" s="314">
        <v>0</v>
      </c>
      <c r="AQ547" s="314">
        <v>0</v>
      </c>
      <c r="AR547" s="314">
        <v>7.9582329788219992</v>
      </c>
      <c r="AS547" s="314">
        <v>0</v>
      </c>
      <c r="AT547" s="314">
        <v>0</v>
      </c>
      <c r="AU547" s="314">
        <v>0</v>
      </c>
      <c r="AV547" s="314">
        <v>-757.42474887711137</v>
      </c>
      <c r="AW547" s="314">
        <v>0</v>
      </c>
      <c r="AX547">
        <v>0</v>
      </c>
    </row>
    <row r="548" spans="1:50" x14ac:dyDescent="0.35">
      <c r="A548">
        <v>958</v>
      </c>
      <c r="B548" t="s">
        <v>0</v>
      </c>
      <c r="C548" t="s">
        <v>1864</v>
      </c>
      <c r="D548" t="s">
        <v>4</v>
      </c>
      <c r="E548" t="s">
        <v>899</v>
      </c>
      <c r="F548">
        <v>0</v>
      </c>
      <c r="G548">
        <v>0</v>
      </c>
      <c r="H548">
        <v>63927</v>
      </c>
      <c r="I548">
        <v>0</v>
      </c>
      <c r="J548" s="600">
        <v>63927</v>
      </c>
      <c r="K548" s="7">
        <f t="shared" si="108"/>
        <v>10</v>
      </c>
      <c r="L548" s="7">
        <f t="shared" si="109"/>
        <v>1</v>
      </c>
      <c r="M548" s="243">
        <f t="shared" si="110"/>
        <v>0</v>
      </c>
      <c r="N548" s="243">
        <f>INDEX($AN$4:$AN21444,MATCH($A548,$AH$4:$AH$2000,0))</f>
        <v>0</v>
      </c>
      <c r="O548" s="243">
        <f t="shared" si="117"/>
        <v>59422.507197023122</v>
      </c>
      <c r="P548" s="243">
        <f t="shared" si="111"/>
        <v>0</v>
      </c>
      <c r="Q548" s="243">
        <f t="shared" si="112"/>
        <v>0</v>
      </c>
      <c r="R548" s="243">
        <f t="shared" si="113"/>
        <v>0</v>
      </c>
      <c r="S548" s="243">
        <f t="shared" si="118"/>
        <v>-651.73757461518892</v>
      </c>
      <c r="T548" s="243">
        <f t="shared" si="114"/>
        <v>0</v>
      </c>
      <c r="AA548">
        <v>921</v>
      </c>
      <c r="AB548" t="s">
        <v>0</v>
      </c>
      <c r="AC548" t="s">
        <v>1864</v>
      </c>
      <c r="AD548" t="s">
        <v>984</v>
      </c>
      <c r="AE548" t="s">
        <v>979</v>
      </c>
      <c r="AF548">
        <v>12</v>
      </c>
      <c r="AG548">
        <v>0</v>
      </c>
      <c r="AH548">
        <v>958</v>
      </c>
      <c r="AI548" t="s">
        <v>0</v>
      </c>
      <c r="AJ548" t="s">
        <v>1864</v>
      </c>
      <c r="AK548" t="s">
        <v>4</v>
      </c>
      <c r="AL548" t="s">
        <v>899</v>
      </c>
      <c r="AM548" s="314">
        <v>0</v>
      </c>
      <c r="AN548" s="314">
        <v>0</v>
      </c>
      <c r="AO548" s="314">
        <v>59422.507197023122</v>
      </c>
      <c r="AP548" s="314">
        <v>0</v>
      </c>
      <c r="AQ548" s="314">
        <v>0</v>
      </c>
      <c r="AR548" s="314">
        <v>0</v>
      </c>
      <c r="AS548" s="314">
        <v>6.8477818654979998</v>
      </c>
      <c r="AT548" s="314">
        <v>0</v>
      </c>
      <c r="AU548" s="314">
        <v>0</v>
      </c>
      <c r="AV548" s="314">
        <v>0</v>
      </c>
      <c r="AW548" s="314">
        <v>-651.73757461518892</v>
      </c>
      <c r="AX548">
        <v>0</v>
      </c>
    </row>
    <row r="549" spans="1:50" x14ac:dyDescent="0.35">
      <c r="A549">
        <v>984</v>
      </c>
      <c r="B549" t="s">
        <v>0</v>
      </c>
      <c r="C549" t="s">
        <v>1864</v>
      </c>
      <c r="D549" t="s">
        <v>4</v>
      </c>
      <c r="E549" t="s">
        <v>900</v>
      </c>
      <c r="F549">
        <v>0</v>
      </c>
      <c r="G549">
        <v>63927</v>
      </c>
      <c r="H549">
        <v>0</v>
      </c>
      <c r="I549">
        <v>0</v>
      </c>
      <c r="J549" s="600">
        <v>63927</v>
      </c>
      <c r="K549" s="7">
        <f t="shared" si="108"/>
        <v>10</v>
      </c>
      <c r="L549" s="7">
        <f t="shared" si="109"/>
        <v>2</v>
      </c>
      <c r="M549" s="243">
        <f t="shared" si="110"/>
        <v>0</v>
      </c>
      <c r="N549" s="243">
        <f>INDEX($AN$4:$AN21445,MATCH($A549,$AH$4:$AH$2000,0))</f>
        <v>1340677.3004085121</v>
      </c>
      <c r="O549" s="243">
        <f t="shared" si="117"/>
        <v>0</v>
      </c>
      <c r="P549" s="243">
        <f t="shared" si="111"/>
        <v>0</v>
      </c>
      <c r="Q549" s="243">
        <f t="shared" si="112"/>
        <v>0</v>
      </c>
      <c r="R549" s="243">
        <f t="shared" si="113"/>
        <v>-14704.357209512964</v>
      </c>
      <c r="S549" s="243">
        <f t="shared" si="118"/>
        <v>0</v>
      </c>
      <c r="T549" s="243">
        <f t="shared" si="114"/>
        <v>0</v>
      </c>
      <c r="AA549">
        <v>932</v>
      </c>
      <c r="AB549" t="s">
        <v>0</v>
      </c>
      <c r="AC549" t="s">
        <v>1864</v>
      </c>
      <c r="AD549" t="s">
        <v>984</v>
      </c>
      <c r="AE549" t="s">
        <v>980</v>
      </c>
      <c r="AF549">
        <v>10</v>
      </c>
      <c r="AG549">
        <v>0</v>
      </c>
      <c r="AH549">
        <v>984</v>
      </c>
      <c r="AI549" t="s">
        <v>0</v>
      </c>
      <c r="AJ549" t="s">
        <v>1864</v>
      </c>
      <c r="AK549" t="s">
        <v>4</v>
      </c>
      <c r="AL549" t="s">
        <v>900</v>
      </c>
      <c r="AM549" s="314">
        <v>0</v>
      </c>
      <c r="AN549" s="314">
        <v>1340677.3004085121</v>
      </c>
      <c r="AO549" s="314">
        <v>0</v>
      </c>
      <c r="AP549" s="314">
        <v>0</v>
      </c>
      <c r="AQ549" s="314">
        <v>0</v>
      </c>
      <c r="AR549" s="314">
        <v>154.49812096925697</v>
      </c>
      <c r="AS549" s="314">
        <v>0</v>
      </c>
      <c r="AT549" s="314">
        <v>0</v>
      </c>
      <c r="AU549" s="314">
        <v>0</v>
      </c>
      <c r="AV549" s="314">
        <v>-14704.357209512964</v>
      </c>
      <c r="AW549" s="314">
        <v>0</v>
      </c>
      <c r="AX549">
        <v>0</v>
      </c>
    </row>
    <row r="550" spans="1:50" x14ac:dyDescent="0.35">
      <c r="A550">
        <v>985</v>
      </c>
      <c r="B550" t="s">
        <v>0</v>
      </c>
      <c r="C550" t="s">
        <v>1864</v>
      </c>
      <c r="D550" t="s">
        <v>4</v>
      </c>
      <c r="E550" t="s">
        <v>901</v>
      </c>
      <c r="F550">
        <v>0</v>
      </c>
      <c r="G550">
        <v>0</v>
      </c>
      <c r="H550">
        <v>63927</v>
      </c>
      <c r="I550">
        <v>0</v>
      </c>
      <c r="J550" s="600">
        <v>63927</v>
      </c>
      <c r="K550" s="7">
        <f t="shared" si="108"/>
        <v>10</v>
      </c>
      <c r="L550" s="7">
        <f t="shared" si="109"/>
        <v>1</v>
      </c>
      <c r="M550" s="243">
        <f t="shared" si="110"/>
        <v>0</v>
      </c>
      <c r="N550" s="243">
        <f>INDEX($AN$4:$AN21446,MATCH($A550,$AH$4:$AH$2000,0))</f>
        <v>0</v>
      </c>
      <c r="O550" s="243">
        <f t="shared" si="117"/>
        <v>64125.833056246935</v>
      </c>
      <c r="P550" s="243">
        <f t="shared" si="111"/>
        <v>0</v>
      </c>
      <c r="Q550" s="243">
        <f t="shared" si="112"/>
        <v>0</v>
      </c>
      <c r="R550" s="243">
        <f t="shared" si="113"/>
        <v>0</v>
      </c>
      <c r="S550" s="243">
        <f t="shared" si="118"/>
        <v>-703.32298110017484</v>
      </c>
      <c r="T550" s="243">
        <f t="shared" si="114"/>
        <v>0</v>
      </c>
      <c r="AA550">
        <v>931</v>
      </c>
      <c r="AB550" t="s">
        <v>0</v>
      </c>
      <c r="AC550" t="s">
        <v>1864</v>
      </c>
      <c r="AD550" t="s">
        <v>984</v>
      </c>
      <c r="AE550" t="s">
        <v>981</v>
      </c>
      <c r="AF550">
        <v>10</v>
      </c>
      <c r="AG550">
        <v>0</v>
      </c>
      <c r="AH550">
        <v>985</v>
      </c>
      <c r="AI550" t="s">
        <v>0</v>
      </c>
      <c r="AJ550" t="s">
        <v>1864</v>
      </c>
      <c r="AK550" t="s">
        <v>4</v>
      </c>
      <c r="AL550" t="s">
        <v>901</v>
      </c>
      <c r="AM550" s="314">
        <v>0</v>
      </c>
      <c r="AN550" s="314">
        <v>0</v>
      </c>
      <c r="AO550" s="314">
        <v>64125.833056246935</v>
      </c>
      <c r="AP550" s="314">
        <v>0</v>
      </c>
      <c r="AQ550" s="314">
        <v>0</v>
      </c>
      <c r="AR550" s="314">
        <v>0</v>
      </c>
      <c r="AS550" s="314">
        <v>7.3897877660489986</v>
      </c>
      <c r="AT550" s="314">
        <v>0</v>
      </c>
      <c r="AU550" s="314">
        <v>0</v>
      </c>
      <c r="AV550" s="314">
        <v>0</v>
      </c>
      <c r="AW550" s="314">
        <v>-703.32298110017484</v>
      </c>
      <c r="AX550">
        <v>0</v>
      </c>
    </row>
    <row r="551" spans="1:50" x14ac:dyDescent="0.35">
      <c r="A551">
        <v>986</v>
      </c>
      <c r="B551" t="s">
        <v>0</v>
      </c>
      <c r="C551" t="s">
        <v>1864</v>
      </c>
      <c r="D551" t="s">
        <v>4</v>
      </c>
      <c r="E551" t="s">
        <v>902</v>
      </c>
      <c r="F551">
        <v>0</v>
      </c>
      <c r="G551">
        <v>0</v>
      </c>
      <c r="H551">
        <v>0</v>
      </c>
      <c r="I551">
        <v>63927</v>
      </c>
      <c r="J551" s="600">
        <v>63927</v>
      </c>
      <c r="K551" s="7">
        <f t="shared" si="108"/>
        <v>10</v>
      </c>
      <c r="L551" s="7">
        <f t="shared" si="109"/>
        <v>0</v>
      </c>
      <c r="M551" s="243">
        <f t="shared" si="110"/>
        <v>0</v>
      </c>
      <c r="N551" s="243">
        <f>INDEX($AN$4:$AN21447,MATCH($A551,$AH$4:$AH$2000,0))</f>
        <v>0</v>
      </c>
      <c r="O551" s="243">
        <f t="shared" si="117"/>
        <v>0</v>
      </c>
      <c r="P551" s="243">
        <f t="shared" si="111"/>
        <v>23340.311934030724</v>
      </c>
      <c r="Q551" s="243">
        <f t="shared" si="112"/>
        <v>0</v>
      </c>
      <c r="R551" s="243">
        <f t="shared" si="113"/>
        <v>0</v>
      </c>
      <c r="S551" s="243">
        <f t="shared" si="118"/>
        <v>0</v>
      </c>
      <c r="T551" s="243">
        <f t="shared" si="114"/>
        <v>-605.18489071410397</v>
      </c>
      <c r="AA551">
        <v>923</v>
      </c>
      <c r="AB551" t="s">
        <v>0</v>
      </c>
      <c r="AC551" t="s">
        <v>1864</v>
      </c>
      <c r="AD551" t="s">
        <v>984</v>
      </c>
      <c r="AE551" t="s">
        <v>982</v>
      </c>
      <c r="AF551">
        <v>19</v>
      </c>
      <c r="AG551">
        <v>0</v>
      </c>
      <c r="AH551">
        <v>986</v>
      </c>
      <c r="AI551" t="s">
        <v>0</v>
      </c>
      <c r="AJ551" t="s">
        <v>1864</v>
      </c>
      <c r="AK551" t="s">
        <v>4</v>
      </c>
      <c r="AL551" t="s">
        <v>902</v>
      </c>
      <c r="AM551" s="314">
        <v>0</v>
      </c>
      <c r="AN551" s="314">
        <v>0</v>
      </c>
      <c r="AO551" s="314">
        <v>0</v>
      </c>
      <c r="AP551" s="314">
        <v>23340.311934030724</v>
      </c>
      <c r="AQ551" s="314">
        <v>0</v>
      </c>
      <c r="AR551" s="314">
        <v>0</v>
      </c>
      <c r="AS551" s="314">
        <v>0</v>
      </c>
      <c r="AT551" s="314">
        <v>6.3586545893909996</v>
      </c>
      <c r="AU551" s="314">
        <v>0</v>
      </c>
      <c r="AV551" s="314">
        <v>0</v>
      </c>
      <c r="AW551" s="314">
        <v>0</v>
      </c>
      <c r="AX551">
        <v>-605.18489071410397</v>
      </c>
    </row>
    <row r="552" spans="1:50" x14ac:dyDescent="0.35">
      <c r="A552">
        <v>937</v>
      </c>
      <c r="B552" t="s">
        <v>0</v>
      </c>
      <c r="C552" t="s">
        <v>1864</v>
      </c>
      <c r="D552" t="s">
        <v>4</v>
      </c>
      <c r="E552" t="s">
        <v>903</v>
      </c>
      <c r="F552">
        <v>54518</v>
      </c>
      <c r="G552">
        <v>0</v>
      </c>
      <c r="H552">
        <v>0</v>
      </c>
      <c r="I552">
        <v>0</v>
      </c>
      <c r="J552" s="600">
        <v>54518</v>
      </c>
      <c r="K552" s="7">
        <f t="shared" si="108"/>
        <v>15</v>
      </c>
      <c r="L552" s="7">
        <f t="shared" si="109"/>
        <v>0</v>
      </c>
      <c r="M552" s="243">
        <f t="shared" si="110"/>
        <v>1637607.04070194</v>
      </c>
      <c r="N552" s="243">
        <f>INDEX($AN$4:$AN21448,MATCH($A552,$AH$4:$AH$2000,0))</f>
        <v>0</v>
      </c>
      <c r="O552" s="243">
        <f t="shared" si="117"/>
        <v>0</v>
      </c>
      <c r="P552" s="243">
        <f t="shared" si="111"/>
        <v>0</v>
      </c>
      <c r="Q552" s="243">
        <f t="shared" si="112"/>
        <v>-42461.087956363997</v>
      </c>
      <c r="R552" s="243">
        <f t="shared" si="113"/>
        <v>0</v>
      </c>
      <c r="S552" s="243">
        <f t="shared" si="118"/>
        <v>0</v>
      </c>
      <c r="T552" s="243">
        <f t="shared" si="114"/>
        <v>0</v>
      </c>
      <c r="AA552">
        <v>919</v>
      </c>
      <c r="AB552" t="s">
        <v>0</v>
      </c>
      <c r="AC552" t="s">
        <v>1864</v>
      </c>
      <c r="AD552" t="s">
        <v>984</v>
      </c>
      <c r="AE552" t="s">
        <v>983</v>
      </c>
      <c r="AF552">
        <v>7</v>
      </c>
      <c r="AG552">
        <v>0</v>
      </c>
      <c r="AH552">
        <v>937</v>
      </c>
      <c r="AI552" t="s">
        <v>0</v>
      </c>
      <c r="AJ552" t="s">
        <v>1864</v>
      </c>
      <c r="AK552" t="s">
        <v>4</v>
      </c>
      <c r="AL552" t="s">
        <v>903</v>
      </c>
      <c r="AM552" s="314">
        <v>1637607.04070194</v>
      </c>
      <c r="AN552" s="314">
        <v>0</v>
      </c>
      <c r="AO552" s="314">
        <v>0</v>
      </c>
      <c r="AP552" s="314">
        <v>0</v>
      </c>
      <c r="AQ552" s="314">
        <v>188.71596513</v>
      </c>
      <c r="AR552" s="314">
        <v>0</v>
      </c>
      <c r="AS552" s="314">
        <v>0</v>
      </c>
      <c r="AT552" s="314">
        <v>0</v>
      </c>
      <c r="AU552" s="314">
        <v>-42461.087956363997</v>
      </c>
      <c r="AV552" s="314">
        <v>0</v>
      </c>
      <c r="AW552" s="314">
        <v>0</v>
      </c>
      <c r="AX552">
        <v>0</v>
      </c>
    </row>
    <row r="553" spans="1:50" x14ac:dyDescent="0.35">
      <c r="A553">
        <v>965</v>
      </c>
      <c r="B553" t="s">
        <v>0</v>
      </c>
      <c r="C553" t="s">
        <v>1864</v>
      </c>
      <c r="D553" t="s">
        <v>4</v>
      </c>
      <c r="E553" t="s">
        <v>904</v>
      </c>
      <c r="F553">
        <v>0</v>
      </c>
      <c r="G553">
        <v>54518</v>
      </c>
      <c r="H553">
        <v>0</v>
      </c>
      <c r="I553">
        <v>0</v>
      </c>
      <c r="J553" s="600">
        <v>54518</v>
      </c>
      <c r="K553" s="7">
        <f t="shared" si="108"/>
        <v>15</v>
      </c>
      <c r="L553" s="7">
        <f t="shared" si="109"/>
        <v>0</v>
      </c>
      <c r="M553" s="243">
        <f t="shared" si="110"/>
        <v>0</v>
      </c>
      <c r="N553" s="243">
        <f>INDEX($AN$4:$AN21449,MATCH($A553,$AH$4:$AH$2000,0))</f>
        <v>1520635.1092232298</v>
      </c>
      <c r="O553" s="243">
        <f t="shared" si="117"/>
        <v>0</v>
      </c>
      <c r="P553" s="243">
        <f t="shared" si="111"/>
        <v>0</v>
      </c>
      <c r="Q553" s="243">
        <f t="shared" si="112"/>
        <v>0</v>
      </c>
      <c r="R553" s="243">
        <f t="shared" si="113"/>
        <v>-39428.153102337994</v>
      </c>
      <c r="S553" s="243">
        <f t="shared" si="118"/>
        <v>0</v>
      </c>
      <c r="T553" s="243">
        <f t="shared" si="114"/>
        <v>0</v>
      </c>
      <c r="AA553">
        <v>920</v>
      </c>
      <c r="AB553" t="s">
        <v>0</v>
      </c>
      <c r="AC553" t="s">
        <v>1864</v>
      </c>
      <c r="AD553" t="s">
        <v>984</v>
      </c>
      <c r="AE553" t="s">
        <v>1065</v>
      </c>
      <c r="AF553">
        <v>7</v>
      </c>
      <c r="AG553">
        <v>0</v>
      </c>
      <c r="AH553">
        <v>965</v>
      </c>
      <c r="AI553" t="s">
        <v>0</v>
      </c>
      <c r="AJ553" t="s">
        <v>1864</v>
      </c>
      <c r="AK553" t="s">
        <v>4</v>
      </c>
      <c r="AL553" t="s">
        <v>904</v>
      </c>
      <c r="AM553" s="314">
        <v>0</v>
      </c>
      <c r="AN553" s="314">
        <v>1520635.1092232298</v>
      </c>
      <c r="AO553" s="314">
        <v>0</v>
      </c>
      <c r="AP553" s="314">
        <v>0</v>
      </c>
      <c r="AQ553" s="314">
        <v>0</v>
      </c>
      <c r="AR553" s="314">
        <v>175.23625333499999</v>
      </c>
      <c r="AS553" s="314">
        <v>0</v>
      </c>
      <c r="AT553" s="314">
        <v>0</v>
      </c>
      <c r="AU553" s="314">
        <v>0</v>
      </c>
      <c r="AV553" s="314">
        <v>-39428.153102337994</v>
      </c>
      <c r="AW553" s="314">
        <v>0</v>
      </c>
      <c r="AX553">
        <v>0</v>
      </c>
    </row>
    <row r="554" spans="1:50" x14ac:dyDescent="0.35">
      <c r="A554">
        <v>993</v>
      </c>
      <c r="B554" t="s">
        <v>0</v>
      </c>
      <c r="C554" t="s">
        <v>1864</v>
      </c>
      <c r="D554" t="s">
        <v>4</v>
      </c>
      <c r="E554" t="s">
        <v>905</v>
      </c>
      <c r="F554">
        <v>0</v>
      </c>
      <c r="G554">
        <v>0</v>
      </c>
      <c r="H554">
        <v>57150</v>
      </c>
      <c r="I554">
        <v>0</v>
      </c>
      <c r="J554" s="600">
        <v>57150</v>
      </c>
      <c r="K554" s="7">
        <f t="shared" si="108"/>
        <v>15</v>
      </c>
      <c r="L554" s="7">
        <f t="shared" si="109"/>
        <v>0</v>
      </c>
      <c r="M554" s="243">
        <f t="shared" si="110"/>
        <v>0</v>
      </c>
      <c r="N554" s="243">
        <f>INDEX($AN$4:$AN21450,MATCH($A554,$AH$4:$AH$2000,0))</f>
        <v>0</v>
      </c>
      <c r="O554" s="243">
        <f t="shared" si="117"/>
        <v>1471428.7136009997</v>
      </c>
      <c r="P554" s="243">
        <f t="shared" si="111"/>
        <v>0</v>
      </c>
      <c r="Q554" s="243">
        <f t="shared" si="112"/>
        <v>0</v>
      </c>
      <c r="R554" s="243">
        <f t="shared" si="113"/>
        <v>0</v>
      </c>
      <c r="S554" s="243">
        <f t="shared" si="118"/>
        <v>-38152.293240599989</v>
      </c>
      <c r="T554" s="243">
        <f t="shared" si="114"/>
        <v>0</v>
      </c>
      <c r="AA554">
        <v>540</v>
      </c>
      <c r="AB554" t="s">
        <v>0</v>
      </c>
      <c r="AC554" t="s">
        <v>1933</v>
      </c>
      <c r="AD554" t="s">
        <v>878</v>
      </c>
      <c r="AE554" t="s">
        <v>35</v>
      </c>
      <c r="AF554">
        <v>10</v>
      </c>
      <c r="AG554">
        <v>0</v>
      </c>
      <c r="AH554">
        <v>993</v>
      </c>
      <c r="AI554" t="s">
        <v>0</v>
      </c>
      <c r="AJ554" t="s">
        <v>1864</v>
      </c>
      <c r="AK554" t="s">
        <v>4</v>
      </c>
      <c r="AL554" t="s">
        <v>905</v>
      </c>
      <c r="AM554" s="314">
        <v>0</v>
      </c>
      <c r="AN554" s="314">
        <v>0</v>
      </c>
      <c r="AO554" s="314">
        <v>1471428.7136009997</v>
      </c>
      <c r="AP554" s="314">
        <v>0</v>
      </c>
      <c r="AQ554" s="314">
        <v>0</v>
      </c>
      <c r="AR554" s="314">
        <v>0</v>
      </c>
      <c r="AS554" s="314">
        <v>169.56576449999997</v>
      </c>
      <c r="AT554" s="314">
        <v>0</v>
      </c>
      <c r="AU554" s="314">
        <v>0</v>
      </c>
      <c r="AV554" s="314">
        <v>0</v>
      </c>
      <c r="AW554" s="314">
        <v>-38152.293240599989</v>
      </c>
      <c r="AX554">
        <v>0</v>
      </c>
    </row>
    <row r="555" spans="1:50" x14ac:dyDescent="0.35">
      <c r="A555">
        <v>1021</v>
      </c>
      <c r="B555" t="s">
        <v>0</v>
      </c>
      <c r="C555" t="s">
        <v>1864</v>
      </c>
      <c r="D555" t="s">
        <v>4</v>
      </c>
      <c r="E555" t="s">
        <v>906</v>
      </c>
      <c r="F555">
        <v>0</v>
      </c>
      <c r="G555">
        <v>0</v>
      </c>
      <c r="H555">
        <v>0</v>
      </c>
      <c r="I555">
        <v>57150</v>
      </c>
      <c r="J555" s="600">
        <v>57150</v>
      </c>
      <c r="K555" s="7">
        <f t="shared" si="108"/>
        <v>15</v>
      </c>
      <c r="L555" s="7">
        <f t="shared" si="109"/>
        <v>0</v>
      </c>
      <c r="M555" s="243">
        <f t="shared" si="110"/>
        <v>0</v>
      </c>
      <c r="N555" s="243">
        <f>INDEX($AN$4:$AN21451,MATCH($A555,$AH$4:$AH$2000,0))</f>
        <v>0</v>
      </c>
      <c r="O555" s="243">
        <f t="shared" si="117"/>
        <v>0</v>
      </c>
      <c r="P555" s="243">
        <f t="shared" si="111"/>
        <v>1348809.6541342495</v>
      </c>
      <c r="Q555" s="243">
        <f t="shared" si="112"/>
        <v>0</v>
      </c>
      <c r="R555" s="243">
        <f t="shared" si="113"/>
        <v>0</v>
      </c>
      <c r="S555" s="243">
        <f t="shared" si="118"/>
        <v>0</v>
      </c>
      <c r="T555" s="243">
        <f t="shared" si="114"/>
        <v>-34972.935470549986</v>
      </c>
      <c r="AA555">
        <v>536</v>
      </c>
      <c r="AB555" t="s">
        <v>0</v>
      </c>
      <c r="AC555" t="s">
        <v>1933</v>
      </c>
      <c r="AD555" t="s">
        <v>878</v>
      </c>
      <c r="AE555" t="s">
        <v>1849</v>
      </c>
      <c r="AF555">
        <v>9</v>
      </c>
      <c r="AG555">
        <v>0</v>
      </c>
      <c r="AH555">
        <v>1021</v>
      </c>
      <c r="AI555" t="s">
        <v>0</v>
      </c>
      <c r="AJ555" t="s">
        <v>1864</v>
      </c>
      <c r="AK555" t="s">
        <v>4</v>
      </c>
      <c r="AL555" t="s">
        <v>906</v>
      </c>
      <c r="AM555" s="314">
        <v>0</v>
      </c>
      <c r="AN555" s="314">
        <v>0</v>
      </c>
      <c r="AO555" s="314">
        <v>0</v>
      </c>
      <c r="AP555" s="314">
        <v>1348809.6541342495</v>
      </c>
      <c r="AQ555" s="314">
        <v>0</v>
      </c>
      <c r="AR555" s="314">
        <v>0</v>
      </c>
      <c r="AS555" s="314">
        <v>0</v>
      </c>
      <c r="AT555" s="314">
        <v>155.43528412499995</v>
      </c>
      <c r="AU555" s="314">
        <v>0</v>
      </c>
      <c r="AV555" s="314">
        <v>0</v>
      </c>
      <c r="AW555" s="314">
        <v>0</v>
      </c>
      <c r="AX555">
        <v>-34972.935470549986</v>
      </c>
    </row>
    <row r="556" spans="1:50" x14ac:dyDescent="0.35">
      <c r="A556">
        <v>938</v>
      </c>
      <c r="B556" t="s">
        <v>0</v>
      </c>
      <c r="C556" t="s">
        <v>1864</v>
      </c>
      <c r="D556" t="s">
        <v>4</v>
      </c>
      <c r="E556" t="s">
        <v>907</v>
      </c>
      <c r="F556">
        <v>20702</v>
      </c>
      <c r="G556">
        <v>0</v>
      </c>
      <c r="H556">
        <v>0</v>
      </c>
      <c r="I556">
        <v>0</v>
      </c>
      <c r="J556" s="600">
        <v>20702</v>
      </c>
      <c r="K556" s="7">
        <f t="shared" si="108"/>
        <v>10</v>
      </c>
      <c r="L556" s="7">
        <f t="shared" si="109"/>
        <v>0</v>
      </c>
      <c r="M556" s="243">
        <f t="shared" si="110"/>
        <v>507425.44885349862</v>
      </c>
      <c r="N556" s="243">
        <f>INDEX($AN$4:$AN21452,MATCH($A556,$AH$4:$AH$2000,0))</f>
        <v>0</v>
      </c>
      <c r="O556" s="243">
        <f t="shared" si="117"/>
        <v>0</v>
      </c>
      <c r="P556" s="243">
        <f t="shared" si="111"/>
        <v>0</v>
      </c>
      <c r="Q556" s="243">
        <f t="shared" si="112"/>
        <v>-13156.902773103937</v>
      </c>
      <c r="R556" s="243">
        <f t="shared" si="113"/>
        <v>0</v>
      </c>
      <c r="S556" s="243">
        <f t="shared" si="118"/>
        <v>0</v>
      </c>
      <c r="T556" s="243">
        <f t="shared" si="114"/>
        <v>0</v>
      </c>
      <c r="AA556">
        <v>535</v>
      </c>
      <c r="AB556" t="s">
        <v>0</v>
      </c>
      <c r="AC556" t="s">
        <v>1933</v>
      </c>
      <c r="AD556" t="s">
        <v>878</v>
      </c>
      <c r="AE556" t="s">
        <v>1850</v>
      </c>
      <c r="AF556">
        <v>9</v>
      </c>
      <c r="AG556">
        <v>0</v>
      </c>
      <c r="AH556">
        <v>938</v>
      </c>
      <c r="AI556" t="s">
        <v>0</v>
      </c>
      <c r="AJ556" t="s">
        <v>1864</v>
      </c>
      <c r="AK556" t="s">
        <v>4</v>
      </c>
      <c r="AL556" t="s">
        <v>907</v>
      </c>
      <c r="AM556" s="314">
        <v>507425.44885349862</v>
      </c>
      <c r="AN556" s="314">
        <v>0</v>
      </c>
      <c r="AO556" s="314">
        <v>0</v>
      </c>
      <c r="AP556" s="314">
        <v>0</v>
      </c>
      <c r="AQ556" s="314">
        <v>58.475129217120006</v>
      </c>
      <c r="AR556" s="314">
        <v>0</v>
      </c>
      <c r="AS556" s="314">
        <v>0</v>
      </c>
      <c r="AT556" s="314">
        <v>0</v>
      </c>
      <c r="AU556" s="314">
        <v>-13156.902773103937</v>
      </c>
      <c r="AV556" s="314">
        <v>0</v>
      </c>
      <c r="AW556" s="314">
        <v>0</v>
      </c>
      <c r="AX556">
        <v>0</v>
      </c>
    </row>
    <row r="557" spans="1:50" x14ac:dyDescent="0.35">
      <c r="A557">
        <v>939</v>
      </c>
      <c r="B557" t="s">
        <v>0</v>
      </c>
      <c r="C557" t="s">
        <v>1864</v>
      </c>
      <c r="D557" t="s">
        <v>4</v>
      </c>
      <c r="E557" t="s">
        <v>908</v>
      </c>
      <c r="F557">
        <v>0</v>
      </c>
      <c r="G557">
        <v>20702</v>
      </c>
      <c r="H557">
        <v>0</v>
      </c>
      <c r="I557">
        <v>0</v>
      </c>
      <c r="J557" s="600">
        <v>20702</v>
      </c>
      <c r="K557" s="7">
        <f t="shared" si="108"/>
        <v>10</v>
      </c>
      <c r="L557" s="7">
        <f t="shared" si="109"/>
        <v>0</v>
      </c>
      <c r="M557" s="243">
        <f t="shared" si="110"/>
        <v>0</v>
      </c>
      <c r="N557" s="243">
        <f>INDEX($AN$4:$AN21453,MATCH($A557,$AH$4:$AH$2000,0))</f>
        <v>13024.824355597824</v>
      </c>
      <c r="O557" s="243">
        <f t="shared" si="117"/>
        <v>0</v>
      </c>
      <c r="P557" s="243">
        <f t="shared" si="111"/>
        <v>0</v>
      </c>
      <c r="Q557" s="243">
        <f t="shared" si="112"/>
        <v>0</v>
      </c>
      <c r="R557" s="243">
        <f t="shared" si="113"/>
        <v>-337.71729043261439</v>
      </c>
      <c r="S557" s="243">
        <f t="shared" si="118"/>
        <v>0</v>
      </c>
      <c r="T557" s="243">
        <f t="shared" si="114"/>
        <v>0</v>
      </c>
      <c r="AA557">
        <v>537</v>
      </c>
      <c r="AB557" t="s">
        <v>0</v>
      </c>
      <c r="AC557" t="s">
        <v>1933</v>
      </c>
      <c r="AD557" t="s">
        <v>878</v>
      </c>
      <c r="AE557" t="s">
        <v>1798</v>
      </c>
      <c r="AF557">
        <v>10</v>
      </c>
      <c r="AG557">
        <v>3</v>
      </c>
      <c r="AH557">
        <v>939</v>
      </c>
      <c r="AI557" t="s">
        <v>0</v>
      </c>
      <c r="AJ557" t="s">
        <v>1864</v>
      </c>
      <c r="AK557" t="s">
        <v>4</v>
      </c>
      <c r="AL557" t="s">
        <v>908</v>
      </c>
      <c r="AM557" s="314">
        <v>0</v>
      </c>
      <c r="AN557" s="314">
        <v>13024.824355597824</v>
      </c>
      <c r="AO557" s="314">
        <v>0</v>
      </c>
      <c r="AP557" s="314">
        <v>0</v>
      </c>
      <c r="AQ557" s="314">
        <v>0</v>
      </c>
      <c r="AR557" s="314">
        <v>1.5009658836480002</v>
      </c>
      <c r="AS557" s="314">
        <v>0</v>
      </c>
      <c r="AT557" s="314">
        <v>0</v>
      </c>
      <c r="AU557" s="314">
        <v>0</v>
      </c>
      <c r="AV557" s="314">
        <v>-337.71729043261439</v>
      </c>
      <c r="AW557" s="314">
        <v>0</v>
      </c>
      <c r="AX557">
        <v>0</v>
      </c>
    </row>
    <row r="558" spans="1:50" x14ac:dyDescent="0.35">
      <c r="A558">
        <v>940</v>
      </c>
      <c r="B558" t="s">
        <v>0</v>
      </c>
      <c r="C558" t="s">
        <v>1864</v>
      </c>
      <c r="D558" t="s">
        <v>4</v>
      </c>
      <c r="E558" t="s">
        <v>909</v>
      </c>
      <c r="F558">
        <v>0</v>
      </c>
      <c r="G558">
        <v>0</v>
      </c>
      <c r="H558">
        <v>20702</v>
      </c>
      <c r="I558">
        <v>0</v>
      </c>
      <c r="J558" s="600">
        <v>20702</v>
      </c>
      <c r="K558" s="7">
        <f t="shared" si="108"/>
        <v>10</v>
      </c>
      <c r="L558" s="7">
        <f t="shared" si="109"/>
        <v>0</v>
      </c>
      <c r="M558" s="243">
        <f t="shared" si="110"/>
        <v>0</v>
      </c>
      <c r="N558" s="243">
        <f>INDEX($AN$4:$AN21454,MATCH($A558,$AH$4:$AH$2000,0))</f>
        <v>0</v>
      </c>
      <c r="O558" s="243">
        <f t="shared" si="117"/>
        <v>11396.721311148096</v>
      </c>
      <c r="P558" s="243">
        <f t="shared" si="111"/>
        <v>0</v>
      </c>
      <c r="Q558" s="243">
        <f t="shared" si="112"/>
        <v>0</v>
      </c>
      <c r="R558" s="243">
        <f t="shared" si="113"/>
        <v>0</v>
      </c>
      <c r="S558" s="243">
        <f t="shared" si="118"/>
        <v>-295.50262912853759</v>
      </c>
      <c r="T558" s="243">
        <f t="shared" si="114"/>
        <v>0</v>
      </c>
      <c r="AA558">
        <v>538</v>
      </c>
      <c r="AB558" t="s">
        <v>0</v>
      </c>
      <c r="AC558" t="s">
        <v>1933</v>
      </c>
      <c r="AD558" t="s">
        <v>878</v>
      </c>
      <c r="AE558" t="s">
        <v>1851</v>
      </c>
      <c r="AF558">
        <v>10</v>
      </c>
      <c r="AG558">
        <v>2</v>
      </c>
      <c r="AH558">
        <v>940</v>
      </c>
      <c r="AI558" t="s">
        <v>0</v>
      </c>
      <c r="AJ558" t="s">
        <v>1864</v>
      </c>
      <c r="AK558" t="s">
        <v>4</v>
      </c>
      <c r="AL558" t="s">
        <v>909</v>
      </c>
      <c r="AM558" s="314">
        <v>0</v>
      </c>
      <c r="AN558" s="314">
        <v>0</v>
      </c>
      <c r="AO558" s="314">
        <v>11396.721311148096</v>
      </c>
      <c r="AP558" s="314">
        <v>0</v>
      </c>
      <c r="AQ558" s="314">
        <v>0</v>
      </c>
      <c r="AR558" s="314">
        <v>0</v>
      </c>
      <c r="AS558" s="314">
        <v>1.313345148192</v>
      </c>
      <c r="AT558" s="314">
        <v>0</v>
      </c>
      <c r="AU558" s="314">
        <v>0</v>
      </c>
      <c r="AV558" s="314">
        <v>0</v>
      </c>
      <c r="AW558" s="314">
        <v>-295.50262912853759</v>
      </c>
      <c r="AX558">
        <v>0</v>
      </c>
    </row>
    <row r="559" spans="1:50" x14ac:dyDescent="0.35">
      <c r="A559">
        <v>966</v>
      </c>
      <c r="B559" t="s">
        <v>0</v>
      </c>
      <c r="C559" t="s">
        <v>1864</v>
      </c>
      <c r="D559" t="s">
        <v>4</v>
      </c>
      <c r="E559" t="s">
        <v>910</v>
      </c>
      <c r="F559">
        <v>0</v>
      </c>
      <c r="G559">
        <v>20702</v>
      </c>
      <c r="H559">
        <v>0</v>
      </c>
      <c r="I559">
        <v>0</v>
      </c>
      <c r="J559" s="600">
        <v>20702</v>
      </c>
      <c r="K559" s="7">
        <f t="shared" si="108"/>
        <v>10</v>
      </c>
      <c r="L559" s="7">
        <f t="shared" si="109"/>
        <v>0</v>
      </c>
      <c r="M559" s="243">
        <f t="shared" si="110"/>
        <v>0</v>
      </c>
      <c r="N559" s="243">
        <f>INDEX($AN$4:$AN21455,MATCH($A559,$AH$4:$AH$2000,0))</f>
        <v>471180.77393539151</v>
      </c>
      <c r="O559" s="243">
        <f t="shared" si="117"/>
        <v>0</v>
      </c>
      <c r="P559" s="243">
        <f t="shared" si="111"/>
        <v>0</v>
      </c>
      <c r="Q559" s="243">
        <f t="shared" si="112"/>
        <v>0</v>
      </c>
      <c r="R559" s="243">
        <f t="shared" si="113"/>
        <v>-12217.124003596511</v>
      </c>
      <c r="S559" s="243">
        <f t="shared" si="118"/>
        <v>0</v>
      </c>
      <c r="T559" s="243">
        <f t="shared" si="114"/>
        <v>0</v>
      </c>
      <c r="AA559">
        <v>539</v>
      </c>
      <c r="AB559" t="s">
        <v>0</v>
      </c>
      <c r="AC559" t="s">
        <v>1933</v>
      </c>
      <c r="AD559" t="s">
        <v>878</v>
      </c>
      <c r="AE559" t="s">
        <v>1852</v>
      </c>
      <c r="AF559">
        <v>10</v>
      </c>
      <c r="AG559">
        <v>1</v>
      </c>
      <c r="AH559">
        <v>966</v>
      </c>
      <c r="AI559" t="s">
        <v>0</v>
      </c>
      <c r="AJ559" t="s">
        <v>1864</v>
      </c>
      <c r="AK559" t="s">
        <v>4</v>
      </c>
      <c r="AL559" t="s">
        <v>910</v>
      </c>
      <c r="AM559" s="314">
        <v>0</v>
      </c>
      <c r="AN559" s="314">
        <v>471180.77393539151</v>
      </c>
      <c r="AO559" s="314">
        <v>0</v>
      </c>
      <c r="AP559" s="314">
        <v>0</v>
      </c>
      <c r="AQ559" s="314">
        <v>0</v>
      </c>
      <c r="AR559" s="314">
        <v>54.298334273039998</v>
      </c>
      <c r="AS559" s="314">
        <v>0</v>
      </c>
      <c r="AT559" s="314">
        <v>0</v>
      </c>
      <c r="AU559" s="314">
        <v>0</v>
      </c>
      <c r="AV559" s="314">
        <v>-12217.124003596511</v>
      </c>
      <c r="AW559" s="314">
        <v>0</v>
      </c>
      <c r="AX559">
        <v>0</v>
      </c>
    </row>
    <row r="560" spans="1:50" x14ac:dyDescent="0.35">
      <c r="A560">
        <v>967</v>
      </c>
      <c r="B560" t="s">
        <v>0</v>
      </c>
      <c r="C560" t="s">
        <v>1864</v>
      </c>
      <c r="D560" t="s">
        <v>4</v>
      </c>
      <c r="E560" t="s">
        <v>911</v>
      </c>
      <c r="F560">
        <v>0</v>
      </c>
      <c r="G560">
        <v>0</v>
      </c>
      <c r="H560">
        <v>20702</v>
      </c>
      <c r="I560">
        <v>0</v>
      </c>
      <c r="J560" s="600">
        <v>20702</v>
      </c>
      <c r="K560" s="7">
        <f t="shared" si="108"/>
        <v>10</v>
      </c>
      <c r="L560" s="7">
        <f t="shared" si="109"/>
        <v>0</v>
      </c>
      <c r="M560" s="243">
        <f t="shared" si="110"/>
        <v>0</v>
      </c>
      <c r="N560" s="243">
        <f>INDEX($AN$4:$AN21456,MATCH($A560,$AH$4:$AH$2000,0))</f>
        <v>0</v>
      </c>
      <c r="O560" s="243">
        <f t="shared" si="117"/>
        <v>12094.479758769407</v>
      </c>
      <c r="P560" s="243">
        <f t="shared" si="111"/>
        <v>0</v>
      </c>
      <c r="Q560" s="243">
        <f t="shared" si="112"/>
        <v>0</v>
      </c>
      <c r="R560" s="243">
        <f t="shared" si="113"/>
        <v>0</v>
      </c>
      <c r="S560" s="243">
        <f t="shared" si="118"/>
        <v>-313.59462683028477</v>
      </c>
      <c r="T560" s="243">
        <f t="shared" si="114"/>
        <v>0</v>
      </c>
      <c r="AA560">
        <v>542</v>
      </c>
      <c r="AB560" t="s">
        <v>0</v>
      </c>
      <c r="AC560" t="s">
        <v>1933</v>
      </c>
      <c r="AD560" t="s">
        <v>878</v>
      </c>
      <c r="AE560" t="s">
        <v>1367</v>
      </c>
      <c r="AF560">
        <v>25</v>
      </c>
      <c r="AG560">
        <v>0</v>
      </c>
      <c r="AH560">
        <v>967</v>
      </c>
      <c r="AI560" t="s">
        <v>0</v>
      </c>
      <c r="AJ560" t="s">
        <v>1864</v>
      </c>
      <c r="AK560" t="s">
        <v>4</v>
      </c>
      <c r="AL560" t="s">
        <v>911</v>
      </c>
      <c r="AM560" s="314">
        <v>0</v>
      </c>
      <c r="AN560" s="314">
        <v>0</v>
      </c>
      <c r="AO560" s="314">
        <v>12094.479758769407</v>
      </c>
      <c r="AP560" s="314">
        <v>0</v>
      </c>
      <c r="AQ560" s="314">
        <v>0</v>
      </c>
      <c r="AR560" s="314">
        <v>0</v>
      </c>
      <c r="AS560" s="314">
        <v>1.3937540348159998</v>
      </c>
      <c r="AT560" s="314">
        <v>0</v>
      </c>
      <c r="AU560" s="314">
        <v>0</v>
      </c>
      <c r="AV560" s="314">
        <v>0</v>
      </c>
      <c r="AW560" s="314">
        <v>-313.59462683028477</v>
      </c>
      <c r="AX560">
        <v>0</v>
      </c>
    </row>
    <row r="561" spans="1:50" x14ac:dyDescent="0.35">
      <c r="A561">
        <v>968</v>
      </c>
      <c r="B561" t="s">
        <v>0</v>
      </c>
      <c r="C561" t="s">
        <v>1864</v>
      </c>
      <c r="D561" t="s">
        <v>4</v>
      </c>
      <c r="E561" t="s">
        <v>912</v>
      </c>
      <c r="F561">
        <v>0</v>
      </c>
      <c r="G561">
        <v>0</v>
      </c>
      <c r="H561">
        <v>0</v>
      </c>
      <c r="I561">
        <v>20702</v>
      </c>
      <c r="J561" s="600">
        <v>20702</v>
      </c>
      <c r="K561" s="7">
        <f t="shared" si="108"/>
        <v>10</v>
      </c>
      <c r="L561" s="7">
        <f t="shared" si="109"/>
        <v>0</v>
      </c>
      <c r="M561" s="243">
        <f t="shared" si="110"/>
        <v>0</v>
      </c>
      <c r="N561" s="243">
        <f>INDEX($AN$4:$AN21457,MATCH($A561,$AH$4:$AH$2000,0))</f>
        <v>0</v>
      </c>
      <c r="O561" s="243">
        <f t="shared" si="117"/>
        <v>0</v>
      </c>
      <c r="P561" s="243">
        <f t="shared" si="111"/>
        <v>10582.669788923231</v>
      </c>
      <c r="Q561" s="243">
        <f t="shared" si="112"/>
        <v>0</v>
      </c>
      <c r="R561" s="243">
        <f t="shared" si="113"/>
        <v>0</v>
      </c>
      <c r="S561" s="243">
        <f t="shared" si="118"/>
        <v>0</v>
      </c>
      <c r="T561" s="243">
        <f t="shared" si="114"/>
        <v>-274.39529847649919</v>
      </c>
      <c r="AA561">
        <v>541</v>
      </c>
      <c r="AB561" t="s">
        <v>0</v>
      </c>
      <c r="AC561" t="s">
        <v>1933</v>
      </c>
      <c r="AD561" t="s">
        <v>878</v>
      </c>
      <c r="AE561" t="s">
        <v>1369</v>
      </c>
      <c r="AF561">
        <v>25</v>
      </c>
      <c r="AG561">
        <v>0</v>
      </c>
      <c r="AH561">
        <v>968</v>
      </c>
      <c r="AI561" t="s">
        <v>0</v>
      </c>
      <c r="AJ561" t="s">
        <v>1864</v>
      </c>
      <c r="AK561" t="s">
        <v>4</v>
      </c>
      <c r="AL561" t="s">
        <v>912</v>
      </c>
      <c r="AM561" s="314">
        <v>0</v>
      </c>
      <c r="AN561" s="314">
        <v>0</v>
      </c>
      <c r="AO561" s="314">
        <v>0</v>
      </c>
      <c r="AP561" s="314">
        <v>10582.669788923231</v>
      </c>
      <c r="AQ561" s="314">
        <v>0</v>
      </c>
      <c r="AR561" s="314">
        <v>0</v>
      </c>
      <c r="AS561" s="314">
        <v>0</v>
      </c>
      <c r="AT561" s="314">
        <v>1.219534780464</v>
      </c>
      <c r="AU561" s="314">
        <v>0</v>
      </c>
      <c r="AV561" s="314">
        <v>0</v>
      </c>
      <c r="AW561" s="314">
        <v>0</v>
      </c>
      <c r="AX561">
        <v>-274.39529847649919</v>
      </c>
    </row>
    <row r="562" spans="1:50" x14ac:dyDescent="0.35">
      <c r="A562">
        <v>994</v>
      </c>
      <c r="B562" t="s">
        <v>0</v>
      </c>
      <c r="C562" t="s">
        <v>1864</v>
      </c>
      <c r="D562" t="s">
        <v>4</v>
      </c>
      <c r="E562" t="s">
        <v>913</v>
      </c>
      <c r="F562">
        <v>0</v>
      </c>
      <c r="G562">
        <v>0</v>
      </c>
      <c r="H562">
        <v>23460</v>
      </c>
      <c r="I562">
        <v>0</v>
      </c>
      <c r="J562" s="600">
        <v>23460</v>
      </c>
      <c r="K562" s="7">
        <f t="shared" si="108"/>
        <v>10</v>
      </c>
      <c r="L562" s="7">
        <f t="shared" si="109"/>
        <v>0</v>
      </c>
      <c r="M562" s="243">
        <f t="shared" si="110"/>
        <v>0</v>
      </c>
      <c r="N562" s="243">
        <f>INDEX($AN$4:$AN21458,MATCH($A562,$AH$4:$AH$2000,0))</f>
        <v>0</v>
      </c>
      <c r="O562" s="243">
        <f t="shared" si="117"/>
        <v>492879.95763431035</v>
      </c>
      <c r="P562" s="243">
        <f t="shared" si="111"/>
        <v>0</v>
      </c>
      <c r="Q562" s="243">
        <f t="shared" si="112"/>
        <v>0</v>
      </c>
      <c r="R562" s="243">
        <f t="shared" si="113"/>
        <v>0</v>
      </c>
      <c r="S562" s="243">
        <f t="shared" si="118"/>
        <v>-12779.75650621824</v>
      </c>
      <c r="T562" s="243">
        <f t="shared" si="114"/>
        <v>0</v>
      </c>
      <c r="AA562">
        <v>534</v>
      </c>
      <c r="AB562" t="s">
        <v>0</v>
      </c>
      <c r="AC562" t="s">
        <v>1933</v>
      </c>
      <c r="AD562" t="s">
        <v>878</v>
      </c>
      <c r="AE562" t="s">
        <v>711</v>
      </c>
      <c r="AF562">
        <v>15</v>
      </c>
      <c r="AG562">
        <v>0</v>
      </c>
      <c r="AH562">
        <v>994</v>
      </c>
      <c r="AI562" t="s">
        <v>0</v>
      </c>
      <c r="AJ562" t="s">
        <v>1864</v>
      </c>
      <c r="AK562" t="s">
        <v>4</v>
      </c>
      <c r="AL562" t="s">
        <v>913</v>
      </c>
      <c r="AM562" s="314">
        <v>0</v>
      </c>
      <c r="AN562" s="314">
        <v>0</v>
      </c>
      <c r="AO562" s="314">
        <v>492879.95763431035</v>
      </c>
      <c r="AP562" s="314">
        <v>0</v>
      </c>
      <c r="AQ562" s="314">
        <v>0</v>
      </c>
      <c r="AR562" s="314">
        <v>0</v>
      </c>
      <c r="AS562" s="314">
        <v>56.798923420800001</v>
      </c>
      <c r="AT562" s="314">
        <v>0</v>
      </c>
      <c r="AU562" s="314">
        <v>0</v>
      </c>
      <c r="AV562" s="314">
        <v>0</v>
      </c>
      <c r="AW562" s="314">
        <v>-12779.75650621824</v>
      </c>
      <c r="AX562">
        <v>0</v>
      </c>
    </row>
    <row r="563" spans="1:50" x14ac:dyDescent="0.35">
      <c r="A563">
        <v>995</v>
      </c>
      <c r="B563" t="s">
        <v>0</v>
      </c>
      <c r="C563" t="s">
        <v>1864</v>
      </c>
      <c r="D563" t="s">
        <v>4</v>
      </c>
      <c r="E563" t="s">
        <v>914</v>
      </c>
      <c r="F563">
        <v>0</v>
      </c>
      <c r="G563">
        <v>0</v>
      </c>
      <c r="H563">
        <v>0</v>
      </c>
      <c r="I563">
        <v>23460</v>
      </c>
      <c r="J563" s="600">
        <v>23460</v>
      </c>
      <c r="K563" s="7">
        <f t="shared" si="108"/>
        <v>10</v>
      </c>
      <c r="L563" s="7">
        <f t="shared" si="109"/>
        <v>0</v>
      </c>
      <c r="M563" s="243">
        <f t="shared" si="110"/>
        <v>0</v>
      </c>
      <c r="N563" s="243">
        <f>INDEX($AN$4:$AN21459,MATCH($A563,$AH$4:$AH$2000,0))</f>
        <v>0</v>
      </c>
      <c r="O563" s="243">
        <f t="shared" si="117"/>
        <v>0</v>
      </c>
      <c r="P563" s="243">
        <f t="shared" si="111"/>
        <v>12651.464153180159</v>
      </c>
      <c r="Q563" s="243">
        <f t="shared" si="112"/>
        <v>0</v>
      </c>
      <c r="R563" s="243">
        <f t="shared" si="113"/>
        <v>0</v>
      </c>
      <c r="S563" s="243">
        <f t="shared" si="118"/>
        <v>0</v>
      </c>
      <c r="T563" s="243">
        <f t="shared" si="114"/>
        <v>-328.03653064089593</v>
      </c>
      <c r="AA563">
        <v>470</v>
      </c>
      <c r="AB563" t="s">
        <v>0</v>
      </c>
      <c r="AC563" t="s">
        <v>838</v>
      </c>
      <c r="AD563" t="s">
        <v>1007</v>
      </c>
      <c r="AE563" t="s">
        <v>987</v>
      </c>
      <c r="AF563">
        <v>1</v>
      </c>
      <c r="AG563">
        <v>0</v>
      </c>
      <c r="AH563">
        <v>995</v>
      </c>
      <c r="AI563" t="s">
        <v>0</v>
      </c>
      <c r="AJ563" t="s">
        <v>1864</v>
      </c>
      <c r="AK563" t="s">
        <v>4</v>
      </c>
      <c r="AL563" t="s">
        <v>914</v>
      </c>
      <c r="AM563" s="314">
        <v>0</v>
      </c>
      <c r="AN563" s="314">
        <v>0</v>
      </c>
      <c r="AO563" s="314">
        <v>0</v>
      </c>
      <c r="AP563" s="314">
        <v>12651.464153180159</v>
      </c>
      <c r="AQ563" s="314">
        <v>0</v>
      </c>
      <c r="AR563" s="314">
        <v>0</v>
      </c>
      <c r="AS563" s="314">
        <v>0</v>
      </c>
      <c r="AT563" s="314">
        <v>1.4579402803199997</v>
      </c>
      <c r="AU563" s="314">
        <v>0</v>
      </c>
      <c r="AV563" s="314">
        <v>0</v>
      </c>
      <c r="AW563" s="314">
        <v>0</v>
      </c>
      <c r="AX563">
        <v>-328.03653064089593</v>
      </c>
    </row>
    <row r="564" spans="1:50" x14ac:dyDescent="0.35">
      <c r="A564">
        <v>996</v>
      </c>
      <c r="B564" t="s">
        <v>0</v>
      </c>
      <c r="C564" t="s">
        <v>1864</v>
      </c>
      <c r="D564" t="s">
        <v>4</v>
      </c>
      <c r="E564" t="s">
        <v>915</v>
      </c>
      <c r="F564">
        <v>0</v>
      </c>
      <c r="G564">
        <v>0</v>
      </c>
      <c r="H564">
        <v>0</v>
      </c>
      <c r="I564">
        <v>23460</v>
      </c>
      <c r="J564" s="600">
        <v>23460</v>
      </c>
      <c r="K564" s="7">
        <f t="shared" si="108"/>
        <v>11</v>
      </c>
      <c r="L564" s="7">
        <f t="shared" si="109"/>
        <v>1</v>
      </c>
      <c r="M564" s="243">
        <f t="shared" si="110"/>
        <v>0</v>
      </c>
      <c r="N564" s="243">
        <f>INDEX($AN$4:$AN21460,MATCH($A564,$AH$4:$AH$2000,0))</f>
        <v>0</v>
      </c>
      <c r="O564" s="243">
        <f t="shared" ref="O564:O583" si="119">INDEX($AO$4:$AO$2000,MATCH($A564,$AH$4:$AH$2000,0))</f>
        <v>0</v>
      </c>
      <c r="P564" s="243">
        <f t="shared" si="111"/>
        <v>0</v>
      </c>
      <c r="Q564" s="243">
        <f t="shared" si="112"/>
        <v>0</v>
      </c>
      <c r="R564" s="243">
        <f t="shared" si="113"/>
        <v>0</v>
      </c>
      <c r="S564" s="243">
        <f t="shared" ref="S564:S583" si="120">INDEX($AW$4:$AW$2000,MATCH($A564,$AH$4:$AH$2000,0))</f>
        <v>0</v>
      </c>
      <c r="T564" s="243">
        <f t="shared" si="114"/>
        <v>-287.03196431078391</v>
      </c>
      <c r="AA564">
        <v>475</v>
      </c>
      <c r="AB564" t="s">
        <v>0</v>
      </c>
      <c r="AC564" t="s">
        <v>838</v>
      </c>
      <c r="AD564" t="s">
        <v>1007</v>
      </c>
      <c r="AE564" t="s">
        <v>988</v>
      </c>
      <c r="AF564">
        <v>1</v>
      </c>
      <c r="AG564">
        <v>0</v>
      </c>
      <c r="AH564">
        <v>996</v>
      </c>
      <c r="AI564" t="s">
        <v>0</v>
      </c>
      <c r="AJ564" t="s">
        <v>1864</v>
      </c>
      <c r="AK564" t="s">
        <v>4</v>
      </c>
      <c r="AL564" t="s">
        <v>915</v>
      </c>
      <c r="AM564" s="314">
        <v>0</v>
      </c>
      <c r="AN564" s="314">
        <v>0</v>
      </c>
      <c r="AO564" s="314">
        <v>0</v>
      </c>
      <c r="AP564" s="314">
        <v>0</v>
      </c>
      <c r="AQ564" s="314">
        <v>0</v>
      </c>
      <c r="AR564" s="314">
        <v>0</v>
      </c>
      <c r="AS564" s="314">
        <v>0</v>
      </c>
      <c r="AT564" s="314">
        <v>1.2756977452799998</v>
      </c>
      <c r="AU564" s="314">
        <v>0</v>
      </c>
      <c r="AV564" s="314">
        <v>0</v>
      </c>
      <c r="AW564" s="314">
        <v>0</v>
      </c>
      <c r="AX564">
        <v>-287.03196431078391</v>
      </c>
    </row>
    <row r="565" spans="1:50" x14ac:dyDescent="0.35">
      <c r="A565">
        <v>1022</v>
      </c>
      <c r="B565" t="s">
        <v>0</v>
      </c>
      <c r="C565" t="s">
        <v>1864</v>
      </c>
      <c r="D565" t="s">
        <v>4</v>
      </c>
      <c r="E565" t="s">
        <v>916</v>
      </c>
      <c r="F565">
        <v>0</v>
      </c>
      <c r="G565">
        <v>0</v>
      </c>
      <c r="H565">
        <v>0</v>
      </c>
      <c r="I565">
        <v>23460</v>
      </c>
      <c r="J565" s="600">
        <v>23460</v>
      </c>
      <c r="K565" s="7">
        <f t="shared" si="108"/>
        <v>10</v>
      </c>
      <c r="L565" s="7">
        <f t="shared" si="109"/>
        <v>0</v>
      </c>
      <c r="M565" s="243">
        <f t="shared" si="110"/>
        <v>0</v>
      </c>
      <c r="N565" s="243">
        <f>INDEX($AN$4:$AN21461,MATCH($A565,$AH$4:$AH$2000,0))</f>
        <v>0</v>
      </c>
      <c r="O565" s="243">
        <f t="shared" si="119"/>
        <v>0</v>
      </c>
      <c r="P565" s="243">
        <f t="shared" si="111"/>
        <v>451806.62783145113</v>
      </c>
      <c r="Q565" s="243">
        <f t="shared" si="112"/>
        <v>0</v>
      </c>
      <c r="R565" s="243">
        <f t="shared" si="113"/>
        <v>0</v>
      </c>
      <c r="S565" s="243">
        <f t="shared" si="120"/>
        <v>0</v>
      </c>
      <c r="T565" s="243">
        <f t="shared" si="114"/>
        <v>-11714.776797366718</v>
      </c>
      <c r="AA565">
        <v>480</v>
      </c>
      <c r="AB565" t="s">
        <v>0</v>
      </c>
      <c r="AC565" t="s">
        <v>838</v>
      </c>
      <c r="AD565" t="s">
        <v>1007</v>
      </c>
      <c r="AE565" t="s">
        <v>989</v>
      </c>
      <c r="AF565">
        <v>1</v>
      </c>
      <c r="AG565">
        <v>0</v>
      </c>
      <c r="AH565">
        <v>1022</v>
      </c>
      <c r="AI565" t="s">
        <v>0</v>
      </c>
      <c r="AJ565" t="s">
        <v>1864</v>
      </c>
      <c r="AK565" t="s">
        <v>4</v>
      </c>
      <c r="AL565" t="s">
        <v>916</v>
      </c>
      <c r="AM565" s="314">
        <v>0</v>
      </c>
      <c r="AN565" s="314">
        <v>0</v>
      </c>
      <c r="AO565" s="314">
        <v>0</v>
      </c>
      <c r="AP565" s="314">
        <v>451806.62783145113</v>
      </c>
      <c r="AQ565" s="314">
        <v>0</v>
      </c>
      <c r="AR565" s="314">
        <v>0</v>
      </c>
      <c r="AS565" s="314">
        <v>0</v>
      </c>
      <c r="AT565" s="314">
        <v>52.065679802399991</v>
      </c>
      <c r="AU565" s="314">
        <v>0</v>
      </c>
      <c r="AV565" s="314">
        <v>0</v>
      </c>
      <c r="AW565" s="314">
        <v>0</v>
      </c>
      <c r="AX565">
        <v>-11714.776797366718</v>
      </c>
    </row>
    <row r="566" spans="1:50" x14ac:dyDescent="0.35">
      <c r="A566">
        <v>1023</v>
      </c>
      <c r="B566" t="s">
        <v>0</v>
      </c>
      <c r="C566" t="s">
        <v>1864</v>
      </c>
      <c r="D566" t="s">
        <v>4</v>
      </c>
      <c r="E566" t="s">
        <v>917</v>
      </c>
      <c r="F566">
        <v>0</v>
      </c>
      <c r="G566">
        <v>0</v>
      </c>
      <c r="H566">
        <v>0</v>
      </c>
      <c r="I566">
        <v>23460</v>
      </c>
      <c r="J566" s="600">
        <v>23460</v>
      </c>
      <c r="K566" s="7">
        <f t="shared" si="108"/>
        <v>11</v>
      </c>
      <c r="L566" s="7">
        <f t="shared" si="109"/>
        <v>1</v>
      </c>
      <c r="M566" s="243">
        <f t="shared" si="110"/>
        <v>0</v>
      </c>
      <c r="N566" s="243">
        <f>INDEX($AN$4:$AN21462,MATCH($A566,$AH$4:$AH$2000,0))</f>
        <v>0</v>
      </c>
      <c r="O566" s="243">
        <f t="shared" si="119"/>
        <v>0</v>
      </c>
      <c r="P566" s="243">
        <f t="shared" si="111"/>
        <v>0</v>
      </c>
      <c r="Q566" s="243">
        <f t="shared" si="112"/>
        <v>0</v>
      </c>
      <c r="R566" s="243">
        <f t="shared" si="113"/>
        <v>0</v>
      </c>
      <c r="S566" s="243">
        <f t="shared" si="120"/>
        <v>0</v>
      </c>
      <c r="T566" s="243">
        <f t="shared" si="114"/>
        <v>-300.70015308748788</v>
      </c>
      <c r="AA566">
        <v>485</v>
      </c>
      <c r="AB566" t="s">
        <v>0</v>
      </c>
      <c r="AC566" t="s">
        <v>838</v>
      </c>
      <c r="AD566" t="s">
        <v>1007</v>
      </c>
      <c r="AE566" t="s">
        <v>990</v>
      </c>
      <c r="AF566">
        <v>1</v>
      </c>
      <c r="AG566">
        <v>0</v>
      </c>
      <c r="AH566">
        <v>1023</v>
      </c>
      <c r="AI566" t="s">
        <v>0</v>
      </c>
      <c r="AJ566" t="s">
        <v>1864</v>
      </c>
      <c r="AK566" t="s">
        <v>4</v>
      </c>
      <c r="AL566" t="s">
        <v>917</v>
      </c>
      <c r="AM566" s="314">
        <v>0</v>
      </c>
      <c r="AN566" s="314">
        <v>0</v>
      </c>
      <c r="AO566" s="314">
        <v>0</v>
      </c>
      <c r="AP566" s="314">
        <v>0</v>
      </c>
      <c r="AQ566" s="314">
        <v>0</v>
      </c>
      <c r="AR566" s="314">
        <v>0</v>
      </c>
      <c r="AS566" s="314">
        <v>0</v>
      </c>
      <c r="AT566" s="314">
        <v>1.3364452569599996</v>
      </c>
      <c r="AU566" s="314">
        <v>0</v>
      </c>
      <c r="AV566" s="314">
        <v>0</v>
      </c>
      <c r="AW566" s="314">
        <v>0</v>
      </c>
      <c r="AX566">
        <v>-300.70015308748788</v>
      </c>
    </row>
    <row r="567" spans="1:50" x14ac:dyDescent="0.35">
      <c r="A567">
        <v>1024</v>
      </c>
      <c r="B567" t="s">
        <v>0</v>
      </c>
      <c r="C567" t="s">
        <v>1864</v>
      </c>
      <c r="D567" t="s">
        <v>4</v>
      </c>
      <c r="E567" t="s">
        <v>918</v>
      </c>
      <c r="F567">
        <v>0</v>
      </c>
      <c r="G567">
        <v>0</v>
      </c>
      <c r="H567">
        <v>0</v>
      </c>
      <c r="I567">
        <v>23460</v>
      </c>
      <c r="J567" s="600">
        <v>23460</v>
      </c>
      <c r="K567" s="7">
        <f t="shared" si="108"/>
        <v>12</v>
      </c>
      <c r="L567" s="7">
        <f t="shared" si="109"/>
        <v>2</v>
      </c>
      <c r="M567" s="243">
        <f t="shared" si="110"/>
        <v>0</v>
      </c>
      <c r="N567" s="243">
        <f>INDEX($AN$4:$AN21463,MATCH($A567,$AH$4:$AH$2000,0))</f>
        <v>0</v>
      </c>
      <c r="O567" s="243">
        <f t="shared" si="119"/>
        <v>0</v>
      </c>
      <c r="P567" s="243">
        <f t="shared" si="111"/>
        <v>0</v>
      </c>
      <c r="Q567" s="243">
        <f t="shared" si="112"/>
        <v>0</v>
      </c>
      <c r="R567" s="243">
        <f t="shared" si="113"/>
        <v>0</v>
      </c>
      <c r="S567" s="243">
        <f t="shared" si="120"/>
        <v>0</v>
      </c>
      <c r="T567" s="243">
        <f t="shared" si="114"/>
        <v>-263.11263395155191</v>
      </c>
      <c r="AA567">
        <v>471</v>
      </c>
      <c r="AB567" t="s">
        <v>0</v>
      </c>
      <c r="AC567" t="s">
        <v>838</v>
      </c>
      <c r="AD567" t="s">
        <v>1007</v>
      </c>
      <c r="AE567" t="s">
        <v>991</v>
      </c>
      <c r="AF567">
        <v>2</v>
      </c>
      <c r="AG567">
        <v>1</v>
      </c>
      <c r="AH567">
        <v>1024</v>
      </c>
      <c r="AI567" t="s">
        <v>0</v>
      </c>
      <c r="AJ567" t="s">
        <v>1864</v>
      </c>
      <c r="AK567" t="s">
        <v>4</v>
      </c>
      <c r="AL567" t="s">
        <v>918</v>
      </c>
      <c r="AM567" s="314">
        <v>0</v>
      </c>
      <c r="AN567" s="314">
        <v>0</v>
      </c>
      <c r="AO567" s="314">
        <v>0</v>
      </c>
      <c r="AP567" s="314">
        <v>0</v>
      </c>
      <c r="AQ567" s="314">
        <v>0</v>
      </c>
      <c r="AR567" s="314">
        <v>0</v>
      </c>
      <c r="AS567" s="314">
        <v>0</v>
      </c>
      <c r="AT567" s="314">
        <v>1.1693895998399997</v>
      </c>
      <c r="AU567" s="314">
        <v>0</v>
      </c>
      <c r="AV567" s="314">
        <v>0</v>
      </c>
      <c r="AW567" s="314">
        <v>0</v>
      </c>
      <c r="AX567">
        <v>-263.11263395155191</v>
      </c>
    </row>
    <row r="568" spans="1:50" x14ac:dyDescent="0.35">
      <c r="A568">
        <v>941</v>
      </c>
      <c r="B568" t="s">
        <v>0</v>
      </c>
      <c r="C568" t="s">
        <v>1864</v>
      </c>
      <c r="D568" t="s">
        <v>4</v>
      </c>
      <c r="E568" t="s">
        <v>919</v>
      </c>
      <c r="F568">
        <v>14904</v>
      </c>
      <c r="G568">
        <v>0</v>
      </c>
      <c r="H568">
        <v>0</v>
      </c>
      <c r="I568">
        <v>0</v>
      </c>
      <c r="J568" s="600">
        <v>14904</v>
      </c>
      <c r="K568" s="7">
        <f t="shared" si="108"/>
        <v>10</v>
      </c>
      <c r="L568" s="7">
        <f t="shared" si="109"/>
        <v>0</v>
      </c>
      <c r="M568" s="243">
        <f t="shared" si="110"/>
        <v>441417.49146955158</v>
      </c>
      <c r="N568" s="243">
        <f>INDEX($AN$4:$AN21464,MATCH($A568,$AH$4:$AH$2000,0))</f>
        <v>0</v>
      </c>
      <c r="O568" s="243">
        <f t="shared" si="119"/>
        <v>0</v>
      </c>
      <c r="P568" s="243">
        <f t="shared" si="111"/>
        <v>0</v>
      </c>
      <c r="Q568" s="243">
        <f t="shared" si="112"/>
        <v>-11445.399576892512</v>
      </c>
      <c r="R568" s="243">
        <f t="shared" si="113"/>
        <v>0</v>
      </c>
      <c r="S568" s="243">
        <f t="shared" si="120"/>
        <v>0</v>
      </c>
      <c r="T568" s="243">
        <f t="shared" si="114"/>
        <v>0</v>
      </c>
      <c r="AA568">
        <v>472</v>
      </c>
      <c r="AB568" t="s">
        <v>0</v>
      </c>
      <c r="AC568" t="s">
        <v>838</v>
      </c>
      <c r="AD568" t="s">
        <v>1007</v>
      </c>
      <c r="AE568" t="s">
        <v>992</v>
      </c>
      <c r="AF568">
        <v>3</v>
      </c>
      <c r="AG568">
        <v>2</v>
      </c>
      <c r="AH568">
        <v>941</v>
      </c>
      <c r="AI568" t="s">
        <v>0</v>
      </c>
      <c r="AJ568" t="s">
        <v>1864</v>
      </c>
      <c r="AK568" t="s">
        <v>4</v>
      </c>
      <c r="AL568" t="s">
        <v>919</v>
      </c>
      <c r="AM568" s="314">
        <v>441417.49146955158</v>
      </c>
      <c r="AN568" s="314">
        <v>0</v>
      </c>
      <c r="AO568" s="314">
        <v>0</v>
      </c>
      <c r="AP568" s="314">
        <v>0</v>
      </c>
      <c r="AQ568" s="314">
        <v>50.868447593040017</v>
      </c>
      <c r="AR568" s="314">
        <v>0</v>
      </c>
      <c r="AS568" s="314">
        <v>0</v>
      </c>
      <c r="AT568" s="314">
        <v>0</v>
      </c>
      <c r="AU568" s="314">
        <v>-11445.399576892512</v>
      </c>
      <c r="AV568" s="314">
        <v>0</v>
      </c>
      <c r="AW568" s="314">
        <v>0</v>
      </c>
      <c r="AX568">
        <v>0</v>
      </c>
    </row>
    <row r="569" spans="1:50" x14ac:dyDescent="0.35">
      <c r="A569">
        <v>942</v>
      </c>
      <c r="B569" t="s">
        <v>0</v>
      </c>
      <c r="C569" t="s">
        <v>1864</v>
      </c>
      <c r="D569" t="s">
        <v>4</v>
      </c>
      <c r="E569" t="s">
        <v>920</v>
      </c>
      <c r="F569">
        <v>0</v>
      </c>
      <c r="G569">
        <v>14904</v>
      </c>
      <c r="H569">
        <v>0</v>
      </c>
      <c r="I569">
        <v>0</v>
      </c>
      <c r="J569" s="600">
        <v>14904</v>
      </c>
      <c r="K569" s="7">
        <f t="shared" si="108"/>
        <v>10</v>
      </c>
      <c r="L569" s="7">
        <f t="shared" si="109"/>
        <v>0</v>
      </c>
      <c r="M569" s="243">
        <f t="shared" si="110"/>
        <v>0</v>
      </c>
      <c r="N569" s="243">
        <f>INDEX($AN$4:$AN21465,MATCH($A569,$AH$4:$AH$2000,0))</f>
        <v>11330.502454833408</v>
      </c>
      <c r="O569" s="243">
        <f t="shared" si="119"/>
        <v>0</v>
      </c>
      <c r="P569" s="243">
        <f t="shared" si="111"/>
        <v>0</v>
      </c>
      <c r="Q569" s="243">
        <f t="shared" si="112"/>
        <v>0</v>
      </c>
      <c r="R569" s="243">
        <f t="shared" si="113"/>
        <v>-293.78565758868478</v>
      </c>
      <c r="S569" s="243">
        <f t="shared" si="120"/>
        <v>0</v>
      </c>
      <c r="T569" s="243">
        <f t="shared" si="114"/>
        <v>0</v>
      </c>
      <c r="AA569">
        <v>473</v>
      </c>
      <c r="AB569" t="s">
        <v>0</v>
      </c>
      <c r="AC569" t="s">
        <v>838</v>
      </c>
      <c r="AD569" t="s">
        <v>1007</v>
      </c>
      <c r="AE569" t="s">
        <v>993</v>
      </c>
      <c r="AF569">
        <v>4</v>
      </c>
      <c r="AG569">
        <v>3</v>
      </c>
      <c r="AH569">
        <v>942</v>
      </c>
      <c r="AI569" t="s">
        <v>0</v>
      </c>
      <c r="AJ569" t="s">
        <v>1864</v>
      </c>
      <c r="AK569" t="s">
        <v>4</v>
      </c>
      <c r="AL569" t="s">
        <v>920</v>
      </c>
      <c r="AM569" s="314">
        <v>0</v>
      </c>
      <c r="AN569" s="314">
        <v>11330.502454833408</v>
      </c>
      <c r="AO569" s="314">
        <v>0</v>
      </c>
      <c r="AP569" s="314">
        <v>0</v>
      </c>
      <c r="AQ569" s="314">
        <v>0</v>
      </c>
      <c r="AR569" s="314">
        <v>1.3057141628160001</v>
      </c>
      <c r="AS569" s="314">
        <v>0</v>
      </c>
      <c r="AT569" s="314">
        <v>0</v>
      </c>
      <c r="AU569" s="314">
        <v>0</v>
      </c>
      <c r="AV569" s="314">
        <v>-293.78565758868478</v>
      </c>
      <c r="AW569" s="314">
        <v>0</v>
      </c>
      <c r="AX569">
        <v>0</v>
      </c>
    </row>
    <row r="570" spans="1:50" x14ac:dyDescent="0.35">
      <c r="A570">
        <v>943</v>
      </c>
      <c r="B570" t="s">
        <v>0</v>
      </c>
      <c r="C570" t="s">
        <v>1864</v>
      </c>
      <c r="D570" t="s">
        <v>4</v>
      </c>
      <c r="E570" t="s">
        <v>921</v>
      </c>
      <c r="F570">
        <v>0</v>
      </c>
      <c r="G570">
        <v>0</v>
      </c>
      <c r="H570">
        <v>14904</v>
      </c>
      <c r="I570">
        <v>0</v>
      </c>
      <c r="J570" s="600">
        <v>14904</v>
      </c>
      <c r="K570" s="7">
        <f t="shared" si="108"/>
        <v>10</v>
      </c>
      <c r="L570" s="7">
        <f t="shared" si="109"/>
        <v>0</v>
      </c>
      <c r="M570" s="243">
        <f t="shared" si="110"/>
        <v>0</v>
      </c>
      <c r="N570" s="243">
        <f>INDEX($AN$4:$AN21466,MATCH($A570,$AH$4:$AH$2000,0))</f>
        <v>0</v>
      </c>
      <c r="O570" s="243">
        <f t="shared" si="119"/>
        <v>9914.189647979234</v>
      </c>
      <c r="P570" s="243">
        <f t="shared" si="111"/>
        <v>0</v>
      </c>
      <c r="Q570" s="243">
        <f t="shared" si="112"/>
        <v>0</v>
      </c>
      <c r="R570" s="243">
        <f t="shared" si="113"/>
        <v>0</v>
      </c>
      <c r="S570" s="243">
        <f t="shared" si="120"/>
        <v>-257.06245039009923</v>
      </c>
      <c r="T570" s="243">
        <f t="shared" si="114"/>
        <v>0</v>
      </c>
      <c r="AA570">
        <v>474</v>
      </c>
      <c r="AB570" t="s">
        <v>0</v>
      </c>
      <c r="AC570" t="s">
        <v>838</v>
      </c>
      <c r="AD570" t="s">
        <v>1007</v>
      </c>
      <c r="AE570" t="s">
        <v>994</v>
      </c>
      <c r="AF570">
        <v>5</v>
      </c>
      <c r="AG570">
        <v>4</v>
      </c>
      <c r="AH570">
        <v>943</v>
      </c>
      <c r="AI570" t="s">
        <v>0</v>
      </c>
      <c r="AJ570" t="s">
        <v>1864</v>
      </c>
      <c r="AK570" t="s">
        <v>4</v>
      </c>
      <c r="AL570" t="s">
        <v>921</v>
      </c>
      <c r="AM570" s="314">
        <v>0</v>
      </c>
      <c r="AN570" s="314">
        <v>0</v>
      </c>
      <c r="AO570" s="314">
        <v>9914.189647979234</v>
      </c>
      <c r="AP570" s="314">
        <v>0</v>
      </c>
      <c r="AQ570" s="314">
        <v>0</v>
      </c>
      <c r="AR570" s="314">
        <v>0</v>
      </c>
      <c r="AS570" s="314">
        <v>1.1424998924640002</v>
      </c>
      <c r="AT570" s="314">
        <v>0</v>
      </c>
      <c r="AU570" s="314">
        <v>0</v>
      </c>
      <c r="AV570" s="314">
        <v>0</v>
      </c>
      <c r="AW570" s="314">
        <v>-257.06245039009923</v>
      </c>
      <c r="AX570">
        <v>0</v>
      </c>
    </row>
    <row r="571" spans="1:50" x14ac:dyDescent="0.35">
      <c r="A571">
        <v>969</v>
      </c>
      <c r="B571" t="s">
        <v>0</v>
      </c>
      <c r="C571" t="s">
        <v>1864</v>
      </c>
      <c r="D571" t="s">
        <v>4</v>
      </c>
      <c r="E571" t="s">
        <v>922</v>
      </c>
      <c r="F571">
        <v>0</v>
      </c>
      <c r="G571">
        <v>14904</v>
      </c>
      <c r="H571">
        <v>0</v>
      </c>
      <c r="I571">
        <v>0</v>
      </c>
      <c r="J571" s="600">
        <v>14904</v>
      </c>
      <c r="K571" s="7">
        <f t="shared" si="108"/>
        <v>10</v>
      </c>
      <c r="L571" s="7">
        <f t="shared" si="109"/>
        <v>0</v>
      </c>
      <c r="M571" s="243">
        <f t="shared" si="110"/>
        <v>0</v>
      </c>
      <c r="N571" s="243">
        <f>INDEX($AN$4:$AN21467,MATCH($A571,$AH$4:$AH$2000,0))</f>
        <v>409887.67065029783</v>
      </c>
      <c r="O571" s="243">
        <f t="shared" si="119"/>
        <v>0</v>
      </c>
      <c r="P571" s="243">
        <f t="shared" si="111"/>
        <v>0</v>
      </c>
      <c r="Q571" s="243">
        <f t="shared" si="112"/>
        <v>0</v>
      </c>
      <c r="R571" s="243">
        <f t="shared" si="113"/>
        <v>-10627.871035685903</v>
      </c>
      <c r="S571" s="243">
        <f t="shared" si="120"/>
        <v>0</v>
      </c>
      <c r="T571" s="243">
        <f t="shared" si="114"/>
        <v>0</v>
      </c>
      <c r="AA571">
        <v>476</v>
      </c>
      <c r="AB571" t="s">
        <v>0</v>
      </c>
      <c r="AC571" t="s">
        <v>838</v>
      </c>
      <c r="AD571" t="s">
        <v>1007</v>
      </c>
      <c r="AE571" t="s">
        <v>995</v>
      </c>
      <c r="AF571">
        <v>2</v>
      </c>
      <c r="AG571">
        <v>1</v>
      </c>
      <c r="AH571">
        <v>969</v>
      </c>
      <c r="AI571" t="s">
        <v>0</v>
      </c>
      <c r="AJ571" t="s">
        <v>1864</v>
      </c>
      <c r="AK571" t="s">
        <v>4</v>
      </c>
      <c r="AL571" t="s">
        <v>922</v>
      </c>
      <c r="AM571" s="314">
        <v>0</v>
      </c>
      <c r="AN571" s="314">
        <v>409887.67065029783</v>
      </c>
      <c r="AO571" s="314">
        <v>0</v>
      </c>
      <c r="AP571" s="314">
        <v>0</v>
      </c>
      <c r="AQ571" s="314">
        <v>0</v>
      </c>
      <c r="AR571" s="314">
        <v>47.234987050680012</v>
      </c>
      <c r="AS571" s="314">
        <v>0</v>
      </c>
      <c r="AT571" s="314">
        <v>0</v>
      </c>
      <c r="AU571" s="314">
        <v>0</v>
      </c>
      <c r="AV571" s="314">
        <v>-10627.871035685903</v>
      </c>
      <c r="AW571" s="314">
        <v>0</v>
      </c>
      <c r="AX571">
        <v>0</v>
      </c>
    </row>
    <row r="572" spans="1:50" x14ac:dyDescent="0.35">
      <c r="A572">
        <v>970</v>
      </c>
      <c r="B572" t="s">
        <v>0</v>
      </c>
      <c r="C572" t="s">
        <v>1864</v>
      </c>
      <c r="D572" t="s">
        <v>4</v>
      </c>
      <c r="E572" t="s">
        <v>923</v>
      </c>
      <c r="F572">
        <v>0</v>
      </c>
      <c r="G572">
        <v>0</v>
      </c>
      <c r="H572">
        <v>14904</v>
      </c>
      <c r="I572">
        <v>0</v>
      </c>
      <c r="J572" s="600">
        <v>14904</v>
      </c>
      <c r="K572" s="7">
        <f t="shared" si="108"/>
        <v>10</v>
      </c>
      <c r="L572" s="7">
        <f t="shared" si="109"/>
        <v>0</v>
      </c>
      <c r="M572" s="243">
        <f t="shared" si="110"/>
        <v>0</v>
      </c>
      <c r="N572" s="243">
        <f>INDEX($AN$4:$AN21468,MATCH($A572,$AH$4:$AH$2000,0))</f>
        <v>0</v>
      </c>
      <c r="O572" s="243">
        <f t="shared" si="119"/>
        <v>10521.180850916737</v>
      </c>
      <c r="P572" s="243">
        <f t="shared" si="111"/>
        <v>0</v>
      </c>
      <c r="Q572" s="243">
        <f t="shared" si="112"/>
        <v>0</v>
      </c>
      <c r="R572" s="243">
        <f t="shared" si="113"/>
        <v>0</v>
      </c>
      <c r="S572" s="243">
        <f t="shared" si="120"/>
        <v>-272.80096776092159</v>
      </c>
      <c r="T572" s="243">
        <f t="shared" si="114"/>
        <v>0</v>
      </c>
      <c r="AA572">
        <v>477</v>
      </c>
      <c r="AB572" t="s">
        <v>0</v>
      </c>
      <c r="AC572" t="s">
        <v>838</v>
      </c>
      <c r="AD572" t="s">
        <v>1007</v>
      </c>
      <c r="AE572" t="s">
        <v>996</v>
      </c>
      <c r="AF572">
        <v>3</v>
      </c>
      <c r="AG572">
        <v>2</v>
      </c>
      <c r="AH572">
        <v>970</v>
      </c>
      <c r="AI572" t="s">
        <v>0</v>
      </c>
      <c r="AJ572" t="s">
        <v>1864</v>
      </c>
      <c r="AK572" t="s">
        <v>4</v>
      </c>
      <c r="AL572" t="s">
        <v>923</v>
      </c>
      <c r="AM572" s="314">
        <v>0</v>
      </c>
      <c r="AN572" s="314">
        <v>0</v>
      </c>
      <c r="AO572" s="314">
        <v>10521.180850916737</v>
      </c>
      <c r="AP572" s="314">
        <v>0</v>
      </c>
      <c r="AQ572" s="314">
        <v>0</v>
      </c>
      <c r="AR572" s="314">
        <v>0</v>
      </c>
      <c r="AS572" s="314">
        <v>1.2124488654719998</v>
      </c>
      <c r="AT572" s="314">
        <v>0</v>
      </c>
      <c r="AU572" s="314">
        <v>0</v>
      </c>
      <c r="AV572" s="314">
        <v>0</v>
      </c>
      <c r="AW572" s="314">
        <v>-272.80096776092159</v>
      </c>
      <c r="AX572">
        <v>0</v>
      </c>
    </row>
    <row r="573" spans="1:50" x14ac:dyDescent="0.35">
      <c r="A573">
        <v>971</v>
      </c>
      <c r="B573" t="s">
        <v>0</v>
      </c>
      <c r="C573" t="s">
        <v>1864</v>
      </c>
      <c r="D573" t="s">
        <v>4</v>
      </c>
      <c r="E573" t="s">
        <v>924</v>
      </c>
      <c r="F573">
        <v>0</v>
      </c>
      <c r="G573">
        <v>0</v>
      </c>
      <c r="H573">
        <v>0</v>
      </c>
      <c r="I573">
        <v>14904</v>
      </c>
      <c r="J573" s="600">
        <v>14904</v>
      </c>
      <c r="K573" s="7">
        <f t="shared" si="108"/>
        <v>10</v>
      </c>
      <c r="L573" s="7">
        <f t="shared" si="109"/>
        <v>0</v>
      </c>
      <c r="M573" s="243">
        <f t="shared" si="110"/>
        <v>0</v>
      </c>
      <c r="N573" s="243">
        <f>INDEX($AN$4:$AN21469,MATCH($A573,$AH$4:$AH$2000,0))</f>
        <v>0</v>
      </c>
      <c r="O573" s="243">
        <f t="shared" si="119"/>
        <v>0</v>
      </c>
      <c r="P573" s="243">
        <f t="shared" si="111"/>
        <v>9206.0332445521453</v>
      </c>
      <c r="Q573" s="243">
        <f t="shared" si="112"/>
        <v>0</v>
      </c>
      <c r="R573" s="243">
        <f t="shared" si="113"/>
        <v>0</v>
      </c>
      <c r="S573" s="243">
        <f t="shared" si="120"/>
        <v>0</v>
      </c>
      <c r="T573" s="243">
        <f t="shared" si="114"/>
        <v>-238.70084679080642</v>
      </c>
      <c r="AA573">
        <v>478</v>
      </c>
      <c r="AB573" t="s">
        <v>0</v>
      </c>
      <c r="AC573" t="s">
        <v>838</v>
      </c>
      <c r="AD573" t="s">
        <v>1007</v>
      </c>
      <c r="AE573" t="s">
        <v>997</v>
      </c>
      <c r="AF573">
        <v>4</v>
      </c>
      <c r="AG573">
        <v>3</v>
      </c>
      <c r="AH573">
        <v>971</v>
      </c>
      <c r="AI573" t="s">
        <v>0</v>
      </c>
      <c r="AJ573" t="s">
        <v>1864</v>
      </c>
      <c r="AK573" t="s">
        <v>4</v>
      </c>
      <c r="AL573" t="s">
        <v>924</v>
      </c>
      <c r="AM573" s="314">
        <v>0</v>
      </c>
      <c r="AN573" s="314">
        <v>0</v>
      </c>
      <c r="AO573" s="314">
        <v>0</v>
      </c>
      <c r="AP573" s="314">
        <v>9206.0332445521453</v>
      </c>
      <c r="AQ573" s="314">
        <v>0</v>
      </c>
      <c r="AR573" s="314">
        <v>0</v>
      </c>
      <c r="AS573" s="314">
        <v>0</v>
      </c>
      <c r="AT573" s="314">
        <v>1.060892757288</v>
      </c>
      <c r="AU573" s="314">
        <v>0</v>
      </c>
      <c r="AV573" s="314">
        <v>0</v>
      </c>
      <c r="AW573" s="314">
        <v>0</v>
      </c>
      <c r="AX573">
        <v>-238.70084679080642</v>
      </c>
    </row>
    <row r="574" spans="1:50" x14ac:dyDescent="0.35">
      <c r="A574">
        <v>997</v>
      </c>
      <c r="B574" t="s">
        <v>0</v>
      </c>
      <c r="C574" t="s">
        <v>1864</v>
      </c>
      <c r="D574" t="s">
        <v>4</v>
      </c>
      <c r="E574" t="s">
        <v>925</v>
      </c>
      <c r="F574">
        <v>0</v>
      </c>
      <c r="G574">
        <v>0</v>
      </c>
      <c r="H574">
        <v>16891</v>
      </c>
      <c r="I574">
        <v>0</v>
      </c>
      <c r="J574" s="600">
        <v>16891</v>
      </c>
      <c r="K574" s="7">
        <f t="shared" si="108"/>
        <v>10</v>
      </c>
      <c r="L574" s="7">
        <f t="shared" si="109"/>
        <v>0</v>
      </c>
      <c r="M574" s="243">
        <f t="shared" si="110"/>
        <v>0</v>
      </c>
      <c r="N574" s="243">
        <f>INDEX($AN$4:$AN21470,MATCH($A574,$AH$4:$AH$2000,0))</f>
        <v>0</v>
      </c>
      <c r="O574" s="243">
        <f t="shared" si="119"/>
        <v>428800.4858760176</v>
      </c>
      <c r="P574" s="243">
        <f t="shared" si="111"/>
        <v>0</v>
      </c>
      <c r="Q574" s="243">
        <f t="shared" si="112"/>
        <v>0</v>
      </c>
      <c r="R574" s="243">
        <f t="shared" si="113"/>
        <v>0</v>
      </c>
      <c r="S574" s="243">
        <f t="shared" si="120"/>
        <v>-11118.256513301782</v>
      </c>
      <c r="T574" s="243">
        <f t="shared" si="114"/>
        <v>0</v>
      </c>
      <c r="AA574">
        <v>479</v>
      </c>
      <c r="AB574" t="s">
        <v>0</v>
      </c>
      <c r="AC574" t="s">
        <v>838</v>
      </c>
      <c r="AD574" t="s">
        <v>1007</v>
      </c>
      <c r="AE574" t="s">
        <v>998</v>
      </c>
      <c r="AF574">
        <v>5</v>
      </c>
      <c r="AG574">
        <v>4</v>
      </c>
      <c r="AH574">
        <v>997</v>
      </c>
      <c r="AI574" t="s">
        <v>0</v>
      </c>
      <c r="AJ574" t="s">
        <v>1864</v>
      </c>
      <c r="AK574" t="s">
        <v>4</v>
      </c>
      <c r="AL574" t="s">
        <v>925</v>
      </c>
      <c r="AM574" s="314">
        <v>0</v>
      </c>
      <c r="AN574" s="314">
        <v>0</v>
      </c>
      <c r="AO574" s="314">
        <v>428800.4858760176</v>
      </c>
      <c r="AP574" s="314">
        <v>0</v>
      </c>
      <c r="AQ574" s="314">
        <v>0</v>
      </c>
      <c r="AR574" s="314">
        <v>0</v>
      </c>
      <c r="AS574" s="314">
        <v>49.414478277780006</v>
      </c>
      <c r="AT574" s="314">
        <v>0</v>
      </c>
      <c r="AU574" s="314">
        <v>0</v>
      </c>
      <c r="AV574" s="314">
        <v>0</v>
      </c>
      <c r="AW574" s="314">
        <v>-11118.256513301782</v>
      </c>
      <c r="AX574">
        <v>0</v>
      </c>
    </row>
    <row r="575" spans="1:50" x14ac:dyDescent="0.35">
      <c r="A575">
        <v>998</v>
      </c>
      <c r="B575" t="s">
        <v>0</v>
      </c>
      <c r="C575" t="s">
        <v>1864</v>
      </c>
      <c r="D575" t="s">
        <v>4</v>
      </c>
      <c r="E575" t="s">
        <v>926</v>
      </c>
      <c r="F575">
        <v>0</v>
      </c>
      <c r="G575">
        <v>0</v>
      </c>
      <c r="H575">
        <v>0</v>
      </c>
      <c r="I575">
        <v>16891</v>
      </c>
      <c r="J575" s="600">
        <v>16891</v>
      </c>
      <c r="K575" s="7">
        <f t="shared" si="108"/>
        <v>10</v>
      </c>
      <c r="L575" s="7">
        <f t="shared" si="109"/>
        <v>0</v>
      </c>
      <c r="M575" s="243">
        <f t="shared" si="110"/>
        <v>0</v>
      </c>
      <c r="N575" s="243">
        <f>INDEX($AN$4:$AN21471,MATCH($A575,$AH$4:$AH$2000,0))</f>
        <v>0</v>
      </c>
      <c r="O575" s="243">
        <f t="shared" si="119"/>
        <v>0</v>
      </c>
      <c r="P575" s="243">
        <f t="shared" si="111"/>
        <v>11006.643487726655</v>
      </c>
      <c r="Q575" s="243">
        <f t="shared" si="112"/>
        <v>0</v>
      </c>
      <c r="R575" s="243">
        <f t="shared" si="113"/>
        <v>0</v>
      </c>
      <c r="S575" s="243">
        <f t="shared" si="120"/>
        <v>0</v>
      </c>
      <c r="T575" s="243">
        <f t="shared" si="114"/>
        <v>-285.38840248047353</v>
      </c>
      <c r="AA575">
        <v>481</v>
      </c>
      <c r="AB575" t="s">
        <v>0</v>
      </c>
      <c r="AC575" t="s">
        <v>838</v>
      </c>
      <c r="AD575" t="s">
        <v>1007</v>
      </c>
      <c r="AE575" t="s">
        <v>999</v>
      </c>
      <c r="AF575">
        <v>2</v>
      </c>
      <c r="AG575">
        <v>1</v>
      </c>
      <c r="AH575">
        <v>998</v>
      </c>
      <c r="AI575" t="s">
        <v>0</v>
      </c>
      <c r="AJ575" t="s">
        <v>1864</v>
      </c>
      <c r="AK575" t="s">
        <v>4</v>
      </c>
      <c r="AL575" t="s">
        <v>926</v>
      </c>
      <c r="AM575" s="314">
        <v>0</v>
      </c>
      <c r="AN575" s="314">
        <v>0</v>
      </c>
      <c r="AO575" s="314">
        <v>0</v>
      </c>
      <c r="AP575" s="314">
        <v>11006.643487726655</v>
      </c>
      <c r="AQ575" s="314">
        <v>0</v>
      </c>
      <c r="AR575" s="314">
        <v>0</v>
      </c>
      <c r="AS575" s="314">
        <v>0</v>
      </c>
      <c r="AT575" s="314">
        <v>1.2683930253119997</v>
      </c>
      <c r="AU575" s="314">
        <v>0</v>
      </c>
      <c r="AV575" s="314">
        <v>0</v>
      </c>
      <c r="AW575" s="314">
        <v>0</v>
      </c>
      <c r="AX575">
        <v>-285.38840248047353</v>
      </c>
    </row>
    <row r="576" spans="1:50" x14ac:dyDescent="0.35">
      <c r="A576">
        <v>999</v>
      </c>
      <c r="B576" t="s">
        <v>0</v>
      </c>
      <c r="C576" t="s">
        <v>1864</v>
      </c>
      <c r="D576" t="s">
        <v>4</v>
      </c>
      <c r="E576" t="s">
        <v>927</v>
      </c>
      <c r="F576">
        <v>0</v>
      </c>
      <c r="G576">
        <v>0</v>
      </c>
      <c r="H576">
        <v>0</v>
      </c>
      <c r="I576">
        <v>16891</v>
      </c>
      <c r="J576" s="600">
        <v>16891</v>
      </c>
      <c r="K576" s="7">
        <f t="shared" si="108"/>
        <v>11</v>
      </c>
      <c r="L576" s="7">
        <f t="shared" si="109"/>
        <v>1</v>
      </c>
      <c r="M576" s="243">
        <f t="shared" si="110"/>
        <v>0</v>
      </c>
      <c r="N576" s="243">
        <f>INDEX($AN$4:$AN21472,MATCH($A576,$AH$4:$AH$2000,0))</f>
        <v>0</v>
      </c>
      <c r="O576" s="243">
        <f t="shared" si="119"/>
        <v>0</v>
      </c>
      <c r="P576" s="243">
        <f t="shared" si="111"/>
        <v>0</v>
      </c>
      <c r="Q576" s="243">
        <f t="shared" si="112"/>
        <v>0</v>
      </c>
      <c r="R576" s="243">
        <f t="shared" si="113"/>
        <v>0</v>
      </c>
      <c r="S576" s="243">
        <f t="shared" si="120"/>
        <v>0</v>
      </c>
      <c r="T576" s="243">
        <f t="shared" si="114"/>
        <v>-249.71485217041436</v>
      </c>
      <c r="AA576">
        <v>482</v>
      </c>
      <c r="AB576" t="s">
        <v>0</v>
      </c>
      <c r="AC576" t="s">
        <v>838</v>
      </c>
      <c r="AD576" t="s">
        <v>1007</v>
      </c>
      <c r="AE576" t="s">
        <v>1000</v>
      </c>
      <c r="AF576">
        <v>3</v>
      </c>
      <c r="AG576">
        <v>2</v>
      </c>
      <c r="AH576">
        <v>999</v>
      </c>
      <c r="AI576" t="s">
        <v>0</v>
      </c>
      <c r="AJ576" t="s">
        <v>1864</v>
      </c>
      <c r="AK576" t="s">
        <v>4</v>
      </c>
      <c r="AL576" t="s">
        <v>927</v>
      </c>
      <c r="AM576" s="314">
        <v>0</v>
      </c>
      <c r="AN576" s="314">
        <v>0</v>
      </c>
      <c r="AO576" s="314">
        <v>0</v>
      </c>
      <c r="AP576" s="314">
        <v>0</v>
      </c>
      <c r="AQ576" s="314">
        <v>0</v>
      </c>
      <c r="AR576" s="314">
        <v>0</v>
      </c>
      <c r="AS576" s="314">
        <v>0</v>
      </c>
      <c r="AT576" s="314">
        <v>1.109843897148</v>
      </c>
      <c r="AU576" s="314">
        <v>0</v>
      </c>
      <c r="AV576" s="314">
        <v>0</v>
      </c>
      <c r="AW576" s="314">
        <v>0</v>
      </c>
      <c r="AX576">
        <v>-249.71485217041436</v>
      </c>
    </row>
    <row r="577" spans="1:50" x14ac:dyDescent="0.35">
      <c r="A577">
        <v>1025</v>
      </c>
      <c r="B577" t="s">
        <v>0</v>
      </c>
      <c r="C577" t="s">
        <v>1864</v>
      </c>
      <c r="D577" t="s">
        <v>4</v>
      </c>
      <c r="E577" t="s">
        <v>928</v>
      </c>
      <c r="F577">
        <v>0</v>
      </c>
      <c r="G577">
        <v>0</v>
      </c>
      <c r="H577">
        <v>0</v>
      </c>
      <c r="I577">
        <v>16891</v>
      </c>
      <c r="J577" s="600">
        <v>16891</v>
      </c>
      <c r="K577" s="7">
        <f t="shared" si="108"/>
        <v>10</v>
      </c>
      <c r="L577" s="7">
        <f t="shared" si="109"/>
        <v>0</v>
      </c>
      <c r="M577" s="243">
        <f t="shared" si="110"/>
        <v>0</v>
      </c>
      <c r="N577" s="243">
        <f>INDEX($AN$4:$AN21473,MATCH($A577,$AH$4:$AH$2000,0))</f>
        <v>0</v>
      </c>
      <c r="O577" s="243">
        <f t="shared" si="119"/>
        <v>0</v>
      </c>
      <c r="P577" s="243">
        <f t="shared" si="111"/>
        <v>393067.11205301614</v>
      </c>
      <c r="Q577" s="243">
        <f t="shared" si="112"/>
        <v>0</v>
      </c>
      <c r="R577" s="243">
        <f t="shared" si="113"/>
        <v>0</v>
      </c>
      <c r="S577" s="243">
        <f t="shared" si="120"/>
        <v>0</v>
      </c>
      <c r="T577" s="243">
        <f t="shared" si="114"/>
        <v>-10191.7351371933</v>
      </c>
      <c r="AA577">
        <v>1050</v>
      </c>
      <c r="AB577" t="s">
        <v>0</v>
      </c>
      <c r="AC577" t="s">
        <v>1864</v>
      </c>
      <c r="AD577" t="s">
        <v>15</v>
      </c>
      <c r="AE577" t="s">
        <v>433</v>
      </c>
      <c r="AF577">
        <v>13</v>
      </c>
      <c r="AG577">
        <v>0</v>
      </c>
      <c r="AH577">
        <v>1025</v>
      </c>
      <c r="AI577" t="s">
        <v>0</v>
      </c>
      <c r="AJ577" t="s">
        <v>1864</v>
      </c>
      <c r="AK577" t="s">
        <v>4</v>
      </c>
      <c r="AL577" t="s">
        <v>928</v>
      </c>
      <c r="AM577" s="314">
        <v>0</v>
      </c>
      <c r="AN577" s="314">
        <v>0</v>
      </c>
      <c r="AO577" s="314">
        <v>0</v>
      </c>
      <c r="AP577" s="314">
        <v>393067.11205301614</v>
      </c>
      <c r="AQ577" s="314">
        <v>0</v>
      </c>
      <c r="AR577" s="314">
        <v>0</v>
      </c>
      <c r="AS577" s="314">
        <v>0</v>
      </c>
      <c r="AT577" s="314">
        <v>45.296605087964998</v>
      </c>
      <c r="AU577" s="314">
        <v>0</v>
      </c>
      <c r="AV577" s="314">
        <v>0</v>
      </c>
      <c r="AW577" s="314">
        <v>0</v>
      </c>
      <c r="AX577">
        <v>-10191.7351371933</v>
      </c>
    </row>
    <row r="578" spans="1:50" x14ac:dyDescent="0.35">
      <c r="A578">
        <v>1026</v>
      </c>
      <c r="B578" t="s">
        <v>0</v>
      </c>
      <c r="C578" t="s">
        <v>1864</v>
      </c>
      <c r="D578" t="s">
        <v>4</v>
      </c>
      <c r="E578" t="s">
        <v>929</v>
      </c>
      <c r="F578">
        <v>0</v>
      </c>
      <c r="G578">
        <v>0</v>
      </c>
      <c r="H578">
        <v>0</v>
      </c>
      <c r="I578">
        <v>16891</v>
      </c>
      <c r="J578" s="600">
        <v>16891</v>
      </c>
      <c r="K578" s="7">
        <f t="shared" si="108"/>
        <v>11</v>
      </c>
      <c r="L578" s="7">
        <f t="shared" si="109"/>
        <v>1</v>
      </c>
      <c r="M578" s="243">
        <f t="shared" si="110"/>
        <v>0</v>
      </c>
      <c r="N578" s="243">
        <f>INDEX($AN$4:$AN21474,MATCH($A578,$AH$4:$AH$2000,0))</f>
        <v>0</v>
      </c>
      <c r="O578" s="243">
        <f t="shared" si="119"/>
        <v>0</v>
      </c>
      <c r="P578" s="243">
        <f t="shared" si="111"/>
        <v>0</v>
      </c>
      <c r="Q578" s="243">
        <f t="shared" si="112"/>
        <v>0</v>
      </c>
      <c r="R578" s="243">
        <f t="shared" si="113"/>
        <v>0</v>
      </c>
      <c r="S578" s="243">
        <f t="shared" si="120"/>
        <v>0</v>
      </c>
      <c r="T578" s="243">
        <f t="shared" si="114"/>
        <v>-261.60603560710069</v>
      </c>
      <c r="AA578">
        <v>483</v>
      </c>
      <c r="AB578" t="s">
        <v>0</v>
      </c>
      <c r="AC578" t="s">
        <v>838</v>
      </c>
      <c r="AD578" t="s">
        <v>1007</v>
      </c>
      <c r="AE578" t="s">
        <v>1001</v>
      </c>
      <c r="AF578">
        <v>4</v>
      </c>
      <c r="AG578">
        <v>3</v>
      </c>
      <c r="AH578">
        <v>1026</v>
      </c>
      <c r="AI578" t="s">
        <v>0</v>
      </c>
      <c r="AJ578" t="s">
        <v>1864</v>
      </c>
      <c r="AK578" t="s">
        <v>4</v>
      </c>
      <c r="AL578" t="s">
        <v>929</v>
      </c>
      <c r="AM578" s="314">
        <v>0</v>
      </c>
      <c r="AN578" s="314">
        <v>0</v>
      </c>
      <c r="AO578" s="314">
        <v>0</v>
      </c>
      <c r="AP578" s="314">
        <v>0</v>
      </c>
      <c r="AQ578" s="314">
        <v>0</v>
      </c>
      <c r="AR578" s="314">
        <v>0</v>
      </c>
      <c r="AS578" s="314">
        <v>0</v>
      </c>
      <c r="AT578" s="314">
        <v>1.1626936065359996</v>
      </c>
      <c r="AU578" s="314">
        <v>0</v>
      </c>
      <c r="AV578" s="314">
        <v>0</v>
      </c>
      <c r="AW578" s="314">
        <v>0</v>
      </c>
      <c r="AX578">
        <v>-261.60603560710069</v>
      </c>
    </row>
    <row r="579" spans="1:50" x14ac:dyDescent="0.35">
      <c r="A579">
        <v>1027</v>
      </c>
      <c r="B579" t="s">
        <v>0</v>
      </c>
      <c r="C579" t="s">
        <v>1864</v>
      </c>
      <c r="D579" t="s">
        <v>4</v>
      </c>
      <c r="E579" t="s">
        <v>930</v>
      </c>
      <c r="F579">
        <v>0</v>
      </c>
      <c r="G579">
        <v>0</v>
      </c>
      <c r="H579">
        <v>0</v>
      </c>
      <c r="I579">
        <v>16891</v>
      </c>
      <c r="J579" s="600">
        <v>16891</v>
      </c>
      <c r="K579" s="7">
        <f t="shared" si="108"/>
        <v>12</v>
      </c>
      <c r="L579" s="7">
        <f t="shared" si="109"/>
        <v>2</v>
      </c>
      <c r="M579" s="243">
        <f t="shared" si="110"/>
        <v>0</v>
      </c>
      <c r="N579" s="243">
        <f>INDEX($AN$4:$AN21475,MATCH($A579,$AH$4:$AH$2000,0))</f>
        <v>0</v>
      </c>
      <c r="O579" s="243">
        <f t="shared" si="119"/>
        <v>0</v>
      </c>
      <c r="P579" s="243">
        <f t="shared" si="111"/>
        <v>0</v>
      </c>
      <c r="Q579" s="243">
        <f t="shared" si="112"/>
        <v>0</v>
      </c>
      <c r="R579" s="243">
        <f t="shared" si="113"/>
        <v>0</v>
      </c>
      <c r="S579" s="243">
        <f t="shared" si="120"/>
        <v>0</v>
      </c>
      <c r="T579" s="243">
        <f t="shared" si="114"/>
        <v>-228.90528115621316</v>
      </c>
      <c r="AA579">
        <v>484</v>
      </c>
      <c r="AB579" t="s">
        <v>0</v>
      </c>
      <c r="AC579" t="s">
        <v>838</v>
      </c>
      <c r="AD579" t="s">
        <v>1007</v>
      </c>
      <c r="AE579" t="s">
        <v>1002</v>
      </c>
      <c r="AF579">
        <v>5</v>
      </c>
      <c r="AG579">
        <v>4</v>
      </c>
      <c r="AH579">
        <v>1027</v>
      </c>
      <c r="AI579" t="s">
        <v>0</v>
      </c>
      <c r="AJ579" t="s">
        <v>1864</v>
      </c>
      <c r="AK579" t="s">
        <v>4</v>
      </c>
      <c r="AL579" t="s">
        <v>930</v>
      </c>
      <c r="AM579" s="314">
        <v>0</v>
      </c>
      <c r="AN579" s="314">
        <v>0</v>
      </c>
      <c r="AO579" s="314">
        <v>0</v>
      </c>
      <c r="AP579" s="314">
        <v>0</v>
      </c>
      <c r="AQ579" s="314">
        <v>0</v>
      </c>
      <c r="AR579" s="314">
        <v>0</v>
      </c>
      <c r="AS579" s="314">
        <v>0</v>
      </c>
      <c r="AT579" s="314">
        <v>1.0173569057189999</v>
      </c>
      <c r="AU579" s="314">
        <v>0</v>
      </c>
      <c r="AV579" s="314">
        <v>0</v>
      </c>
      <c r="AW579" s="314">
        <v>0</v>
      </c>
      <c r="AX579">
        <v>-228.90528115621316</v>
      </c>
    </row>
    <row r="580" spans="1:50" x14ac:dyDescent="0.35">
      <c r="A580">
        <v>944</v>
      </c>
      <c r="B580" t="s">
        <v>0</v>
      </c>
      <c r="C580" t="s">
        <v>1864</v>
      </c>
      <c r="D580" t="s">
        <v>4</v>
      </c>
      <c r="E580" t="s">
        <v>931</v>
      </c>
      <c r="F580">
        <v>37262</v>
      </c>
      <c r="G580">
        <v>0</v>
      </c>
      <c r="H580">
        <v>0</v>
      </c>
      <c r="I580">
        <v>0</v>
      </c>
      <c r="J580" s="600">
        <v>37262</v>
      </c>
      <c r="K580" s="7">
        <f t="shared" si="108"/>
        <v>10</v>
      </c>
      <c r="L580" s="7">
        <f t="shared" si="109"/>
        <v>0</v>
      </c>
      <c r="M580" s="243">
        <f t="shared" si="110"/>
        <v>1274851.6991484289</v>
      </c>
      <c r="N580" s="243">
        <f>INDEX($AN$4:$AN21476,MATCH($A580,$AH$4:$AH$2000,0))</f>
        <v>0</v>
      </c>
      <c r="O580" s="243">
        <f t="shared" si="119"/>
        <v>0</v>
      </c>
      <c r="P580" s="243">
        <f t="shared" si="111"/>
        <v>0</v>
      </c>
      <c r="Q580" s="243">
        <f t="shared" si="112"/>
        <v>-33055.298849752566</v>
      </c>
      <c r="R580" s="243">
        <f t="shared" si="113"/>
        <v>0</v>
      </c>
      <c r="S580" s="243">
        <f t="shared" si="120"/>
        <v>0</v>
      </c>
      <c r="T580" s="243">
        <f t="shared" si="114"/>
        <v>0</v>
      </c>
      <c r="AA580">
        <v>486</v>
      </c>
      <c r="AB580" t="s">
        <v>0</v>
      </c>
      <c r="AC580" t="s">
        <v>838</v>
      </c>
      <c r="AD580" t="s">
        <v>1007</v>
      </c>
      <c r="AE580" t="s">
        <v>1003</v>
      </c>
      <c r="AF580">
        <v>2</v>
      </c>
      <c r="AG580">
        <v>1</v>
      </c>
      <c r="AH580">
        <v>944</v>
      </c>
      <c r="AI580" t="s">
        <v>0</v>
      </c>
      <c r="AJ580" t="s">
        <v>1864</v>
      </c>
      <c r="AK580" t="s">
        <v>4</v>
      </c>
      <c r="AL580" t="s">
        <v>931</v>
      </c>
      <c r="AM580" s="314">
        <v>1274851.6991484289</v>
      </c>
      <c r="AN580" s="314">
        <v>0</v>
      </c>
      <c r="AO580" s="314">
        <v>0</v>
      </c>
      <c r="AP580" s="314">
        <v>0</v>
      </c>
      <c r="AQ580" s="314">
        <v>146.91245385663001</v>
      </c>
      <c r="AR580" s="314">
        <v>0</v>
      </c>
      <c r="AS580" s="314">
        <v>0</v>
      </c>
      <c r="AT580" s="314">
        <v>0</v>
      </c>
      <c r="AU580" s="314">
        <v>-33055.298849752566</v>
      </c>
      <c r="AV580" s="314">
        <v>0</v>
      </c>
      <c r="AW580" s="314">
        <v>0</v>
      </c>
      <c r="AX580">
        <v>0</v>
      </c>
    </row>
    <row r="581" spans="1:50" x14ac:dyDescent="0.35">
      <c r="A581">
        <v>945</v>
      </c>
      <c r="B581" t="s">
        <v>0</v>
      </c>
      <c r="C581" t="s">
        <v>1864</v>
      </c>
      <c r="D581" t="s">
        <v>4</v>
      </c>
      <c r="E581" t="s">
        <v>932</v>
      </c>
      <c r="F581">
        <v>0</v>
      </c>
      <c r="G581">
        <v>37262</v>
      </c>
      <c r="H581">
        <v>0</v>
      </c>
      <c r="I581">
        <v>0</v>
      </c>
      <c r="J581" s="600">
        <v>37262</v>
      </c>
      <c r="K581" s="7">
        <f t="shared" ref="K581:K644" si="121">INDEX($AF$4:$AF$2000,MATCH(A581,$AA$4:$AA$2000,0))</f>
        <v>10</v>
      </c>
      <c r="L581" s="7">
        <f t="shared" ref="L581:L644" si="122">INDEX($AG$4:$AG$2000,MATCH(A581,$AA$4:$AA$2000,0))</f>
        <v>0</v>
      </c>
      <c r="M581" s="243">
        <f t="shared" ref="M581:M644" si="123">INDEX($AM$4:$AM$2000,MATCH($A581,$AH$4:$AH$2000,0))</f>
        <v>0</v>
      </c>
      <c r="N581" s="243">
        <f>INDEX($AN$4:$AN21477,MATCH($A581,$AH$4:$AH$2000,0))</f>
        <v>32723.46607439818</v>
      </c>
      <c r="O581" s="243">
        <f t="shared" si="119"/>
        <v>0</v>
      </c>
      <c r="P581" s="243">
        <f t="shared" ref="P581:P644" si="124">INDEX($AP$4:$AP$2000,MATCH($A581,$AH$4:$AH$2000,0))</f>
        <v>0</v>
      </c>
      <c r="Q581" s="243">
        <f t="shared" ref="Q581:Q644" si="125">INDEX($AU$4:$AU$2000,MATCH($A581,$AH$4:$AH$2000,0))</f>
        <v>0</v>
      </c>
      <c r="R581" s="243">
        <f t="shared" ref="R581:R644" si="126">INDEX($AV$4:$AV$2000,MATCH($A581,$AH$4:$AH$2000,0))</f>
        <v>-848.47825924498557</v>
      </c>
      <c r="S581" s="243">
        <f t="shared" si="120"/>
        <v>0</v>
      </c>
      <c r="T581" s="243">
        <f t="shared" ref="T581:T644" si="127">INDEX($AX$4:$AX$2000,MATCH($A581,$AH$4:$AH$2000,0))</f>
        <v>0</v>
      </c>
      <c r="AA581">
        <v>487</v>
      </c>
      <c r="AB581" t="s">
        <v>0</v>
      </c>
      <c r="AC581" t="s">
        <v>838</v>
      </c>
      <c r="AD581" t="s">
        <v>1007</v>
      </c>
      <c r="AE581" t="s">
        <v>1004</v>
      </c>
      <c r="AF581">
        <v>3</v>
      </c>
      <c r="AG581">
        <v>2</v>
      </c>
      <c r="AH581">
        <v>945</v>
      </c>
      <c r="AI581" t="s">
        <v>0</v>
      </c>
      <c r="AJ581" t="s">
        <v>1864</v>
      </c>
      <c r="AK581" t="s">
        <v>4</v>
      </c>
      <c r="AL581" t="s">
        <v>932</v>
      </c>
      <c r="AM581" s="314">
        <v>0</v>
      </c>
      <c r="AN581" s="314">
        <v>32723.46607439818</v>
      </c>
      <c r="AO581" s="314">
        <v>0</v>
      </c>
      <c r="AP581" s="314">
        <v>0</v>
      </c>
      <c r="AQ581" s="314">
        <v>0</v>
      </c>
      <c r="AR581" s="314">
        <v>3.7710148583520002</v>
      </c>
      <c r="AS581" s="314">
        <v>0</v>
      </c>
      <c r="AT581" s="314">
        <v>0</v>
      </c>
      <c r="AU581" s="314">
        <v>0</v>
      </c>
      <c r="AV581" s="314">
        <v>-848.47825924498557</v>
      </c>
      <c r="AW581" s="314">
        <v>0</v>
      </c>
      <c r="AX581">
        <v>0</v>
      </c>
    </row>
    <row r="582" spans="1:50" x14ac:dyDescent="0.35">
      <c r="A582">
        <v>946</v>
      </c>
      <c r="B582" t="s">
        <v>0</v>
      </c>
      <c r="C582" t="s">
        <v>1864</v>
      </c>
      <c r="D582" t="s">
        <v>4</v>
      </c>
      <c r="E582" t="s">
        <v>933</v>
      </c>
      <c r="F582">
        <v>0</v>
      </c>
      <c r="G582">
        <v>0</v>
      </c>
      <c r="H582">
        <v>37262</v>
      </c>
      <c r="I582">
        <v>0</v>
      </c>
      <c r="J582" s="600">
        <v>37262</v>
      </c>
      <c r="K582" s="7">
        <f t="shared" si="121"/>
        <v>10</v>
      </c>
      <c r="L582" s="7">
        <f t="shared" si="122"/>
        <v>0</v>
      </c>
      <c r="M582" s="243">
        <f t="shared" si="123"/>
        <v>0</v>
      </c>
      <c r="N582" s="243">
        <f>INDEX($AN$4:$AN21478,MATCH($A582,$AH$4:$AH$2000,0))</f>
        <v>0</v>
      </c>
      <c r="O582" s="243">
        <f t="shared" si="119"/>
        <v>28633.03281509841</v>
      </c>
      <c r="P582" s="243">
        <f t="shared" si="124"/>
        <v>0</v>
      </c>
      <c r="Q582" s="243">
        <f t="shared" si="125"/>
        <v>0</v>
      </c>
      <c r="R582" s="243">
        <f t="shared" si="126"/>
        <v>0</v>
      </c>
      <c r="S582" s="243">
        <f t="shared" si="120"/>
        <v>-742.4184768393626</v>
      </c>
      <c r="T582" s="243">
        <f t="shared" si="127"/>
        <v>0</v>
      </c>
      <c r="AA582">
        <v>488</v>
      </c>
      <c r="AB582" t="s">
        <v>0</v>
      </c>
      <c r="AC582" t="s">
        <v>838</v>
      </c>
      <c r="AD582" t="s">
        <v>1007</v>
      </c>
      <c r="AE582" t="s">
        <v>1005</v>
      </c>
      <c r="AF582">
        <v>4</v>
      </c>
      <c r="AG582">
        <v>3</v>
      </c>
      <c r="AH582">
        <v>946</v>
      </c>
      <c r="AI582" t="s">
        <v>0</v>
      </c>
      <c r="AJ582" t="s">
        <v>1864</v>
      </c>
      <c r="AK582" t="s">
        <v>4</v>
      </c>
      <c r="AL582" t="s">
        <v>933</v>
      </c>
      <c r="AM582" s="314">
        <v>0</v>
      </c>
      <c r="AN582" s="314">
        <v>0</v>
      </c>
      <c r="AO582" s="314">
        <v>28633.03281509841</v>
      </c>
      <c r="AP582" s="314">
        <v>0</v>
      </c>
      <c r="AQ582" s="314">
        <v>0</v>
      </c>
      <c r="AR582" s="314">
        <v>0</v>
      </c>
      <c r="AS582" s="314">
        <v>3.2996380010580011</v>
      </c>
      <c r="AT582" s="314">
        <v>0</v>
      </c>
      <c r="AU582" s="314">
        <v>0</v>
      </c>
      <c r="AV582" s="314">
        <v>0</v>
      </c>
      <c r="AW582" s="314">
        <v>-742.4184768393626</v>
      </c>
      <c r="AX582">
        <v>0</v>
      </c>
    </row>
    <row r="583" spans="1:50" x14ac:dyDescent="0.35">
      <c r="A583">
        <v>972</v>
      </c>
      <c r="B583" t="s">
        <v>0</v>
      </c>
      <c r="C583" t="s">
        <v>1864</v>
      </c>
      <c r="D583" t="s">
        <v>4</v>
      </c>
      <c r="E583" t="s">
        <v>934</v>
      </c>
      <c r="F583">
        <v>0</v>
      </c>
      <c r="G583">
        <v>37262</v>
      </c>
      <c r="H583">
        <v>0</v>
      </c>
      <c r="I583">
        <v>0</v>
      </c>
      <c r="J583" s="600">
        <v>37262</v>
      </c>
      <c r="K583" s="7">
        <f t="shared" si="121"/>
        <v>10</v>
      </c>
      <c r="L583" s="7">
        <f t="shared" si="122"/>
        <v>0</v>
      </c>
      <c r="M583" s="243">
        <f t="shared" si="123"/>
        <v>0</v>
      </c>
      <c r="N583" s="243">
        <f>INDEX($AN$4:$AN21479,MATCH($A583,$AH$4:$AH$2000,0))</f>
        <v>1183790.8634949697</v>
      </c>
      <c r="O583" s="243">
        <f t="shared" si="119"/>
        <v>0</v>
      </c>
      <c r="P583" s="243">
        <f t="shared" si="124"/>
        <v>0</v>
      </c>
      <c r="Q583" s="243">
        <f t="shared" si="125"/>
        <v>0</v>
      </c>
      <c r="R583" s="243">
        <f t="shared" si="126"/>
        <v>-30694.206074770234</v>
      </c>
      <c r="S583" s="243">
        <f t="shared" si="120"/>
        <v>0</v>
      </c>
      <c r="T583" s="243">
        <f t="shared" si="127"/>
        <v>0</v>
      </c>
      <c r="AA583">
        <v>489</v>
      </c>
      <c r="AB583" t="s">
        <v>0</v>
      </c>
      <c r="AC583" t="s">
        <v>838</v>
      </c>
      <c r="AD583" t="s">
        <v>1007</v>
      </c>
      <c r="AE583" t="s">
        <v>1006</v>
      </c>
      <c r="AF583">
        <v>5</v>
      </c>
      <c r="AG583">
        <v>4</v>
      </c>
      <c r="AH583">
        <v>972</v>
      </c>
      <c r="AI583" t="s">
        <v>0</v>
      </c>
      <c r="AJ583" t="s">
        <v>1864</v>
      </c>
      <c r="AK583" t="s">
        <v>4</v>
      </c>
      <c r="AL583" t="s">
        <v>934</v>
      </c>
      <c r="AM583" s="314">
        <v>0</v>
      </c>
      <c r="AN583" s="314">
        <v>1183790.8634949697</v>
      </c>
      <c r="AO583" s="314">
        <v>0</v>
      </c>
      <c r="AP583" s="314">
        <v>0</v>
      </c>
      <c r="AQ583" s="314">
        <v>0</v>
      </c>
      <c r="AR583" s="314">
        <v>136.418707152585</v>
      </c>
      <c r="AS583" s="314">
        <v>0</v>
      </c>
      <c r="AT583" s="314">
        <v>0</v>
      </c>
      <c r="AU583" s="314">
        <v>0</v>
      </c>
      <c r="AV583" s="314">
        <v>-30694.206074770234</v>
      </c>
      <c r="AW583" s="314">
        <v>0</v>
      </c>
      <c r="AX583">
        <v>0</v>
      </c>
    </row>
    <row r="584" spans="1:50" x14ac:dyDescent="0.35">
      <c r="A584">
        <v>973</v>
      </c>
      <c r="B584" t="s">
        <v>0</v>
      </c>
      <c r="C584" t="s">
        <v>1864</v>
      </c>
      <c r="D584" t="s">
        <v>4</v>
      </c>
      <c r="E584" t="s">
        <v>935</v>
      </c>
      <c r="F584">
        <v>0</v>
      </c>
      <c r="G584">
        <v>0</v>
      </c>
      <c r="H584">
        <v>37262</v>
      </c>
      <c r="I584">
        <v>0</v>
      </c>
      <c r="J584" s="600">
        <v>37262</v>
      </c>
      <c r="K584" s="7">
        <f t="shared" si="121"/>
        <v>10</v>
      </c>
      <c r="L584" s="7">
        <f t="shared" si="122"/>
        <v>0</v>
      </c>
      <c r="M584" s="243">
        <f t="shared" si="123"/>
        <v>0</v>
      </c>
      <c r="N584" s="243">
        <f>INDEX($AN$4:$AN21480,MATCH($A584,$AH$4:$AH$2000,0))</f>
        <v>0</v>
      </c>
      <c r="O584" s="243">
        <f t="shared" ref="O584:O603" si="128">INDEX($AO$4:$AO$2000,MATCH($A584,$AH$4:$AH$2000,0))</f>
        <v>30386.075640512594</v>
      </c>
      <c r="P584" s="243">
        <f t="shared" si="124"/>
        <v>0</v>
      </c>
      <c r="Q584" s="243">
        <f t="shared" si="125"/>
        <v>0</v>
      </c>
      <c r="R584" s="243">
        <f t="shared" si="126"/>
        <v>0</v>
      </c>
      <c r="S584" s="243">
        <f t="shared" ref="S584:S603" si="129">INDEX($AW$4:$AW$2000,MATCH($A584,$AH$4:$AH$2000,0))</f>
        <v>-787.87266929891518</v>
      </c>
      <c r="T584" s="243">
        <f t="shared" si="127"/>
        <v>0</v>
      </c>
      <c r="AA584">
        <v>514</v>
      </c>
      <c r="AB584" t="s">
        <v>0</v>
      </c>
      <c r="AC584" t="s">
        <v>20</v>
      </c>
      <c r="AD584" t="s">
        <v>100</v>
      </c>
      <c r="AE584" t="s">
        <v>1066</v>
      </c>
      <c r="AF584">
        <v>20</v>
      </c>
      <c r="AG584">
        <v>0</v>
      </c>
      <c r="AH584">
        <v>973</v>
      </c>
      <c r="AI584" t="s">
        <v>0</v>
      </c>
      <c r="AJ584" t="s">
        <v>1864</v>
      </c>
      <c r="AK584" t="s">
        <v>4</v>
      </c>
      <c r="AL584" t="s">
        <v>935</v>
      </c>
      <c r="AM584" s="314">
        <v>0</v>
      </c>
      <c r="AN584" s="314">
        <v>0</v>
      </c>
      <c r="AO584" s="314">
        <v>30386.075640512594</v>
      </c>
      <c r="AP584" s="314">
        <v>0</v>
      </c>
      <c r="AQ584" s="314">
        <v>0</v>
      </c>
      <c r="AR584" s="314">
        <v>0</v>
      </c>
      <c r="AS584" s="314">
        <v>3.5016566541840004</v>
      </c>
      <c r="AT584" s="314">
        <v>0</v>
      </c>
      <c r="AU584" s="314">
        <v>0</v>
      </c>
      <c r="AV584" s="314">
        <v>0</v>
      </c>
      <c r="AW584" s="314">
        <v>-787.87266929891518</v>
      </c>
      <c r="AX584">
        <v>0</v>
      </c>
    </row>
    <row r="585" spans="1:50" x14ac:dyDescent="0.35">
      <c r="A585">
        <v>974</v>
      </c>
      <c r="B585" t="s">
        <v>0</v>
      </c>
      <c r="C585" t="s">
        <v>1864</v>
      </c>
      <c r="D585" t="s">
        <v>4</v>
      </c>
      <c r="E585" t="s">
        <v>936</v>
      </c>
      <c r="F585">
        <v>0</v>
      </c>
      <c r="G585">
        <v>0</v>
      </c>
      <c r="H585">
        <v>0</v>
      </c>
      <c r="I585">
        <v>37262</v>
      </c>
      <c r="J585" s="600">
        <v>37262</v>
      </c>
      <c r="K585" s="7">
        <f t="shared" si="121"/>
        <v>10</v>
      </c>
      <c r="L585" s="7">
        <f t="shared" si="122"/>
        <v>0</v>
      </c>
      <c r="M585" s="243">
        <f t="shared" si="123"/>
        <v>0</v>
      </c>
      <c r="N585" s="243">
        <f>INDEX($AN$4:$AN21481,MATCH($A585,$AH$4:$AH$2000,0))</f>
        <v>0</v>
      </c>
      <c r="O585" s="243">
        <f t="shared" si="128"/>
        <v>0</v>
      </c>
      <c r="P585" s="243">
        <f t="shared" si="124"/>
        <v>26587.816185448522</v>
      </c>
      <c r="Q585" s="243">
        <f t="shared" si="125"/>
        <v>0</v>
      </c>
      <c r="R585" s="243">
        <f t="shared" si="126"/>
        <v>0</v>
      </c>
      <c r="S585" s="243">
        <f t="shared" si="129"/>
        <v>0</v>
      </c>
      <c r="T585" s="243">
        <f t="shared" si="127"/>
        <v>-689.38858563655094</v>
      </c>
      <c r="AA585">
        <v>512</v>
      </c>
      <c r="AB585" t="s">
        <v>0</v>
      </c>
      <c r="AC585" t="s">
        <v>20</v>
      </c>
      <c r="AD585" t="s">
        <v>100</v>
      </c>
      <c r="AE585" t="s">
        <v>1067</v>
      </c>
      <c r="AF585">
        <v>20</v>
      </c>
      <c r="AG585">
        <v>6</v>
      </c>
      <c r="AH585">
        <v>974</v>
      </c>
      <c r="AI585" t="s">
        <v>0</v>
      </c>
      <c r="AJ585" t="s">
        <v>1864</v>
      </c>
      <c r="AK585" t="s">
        <v>4</v>
      </c>
      <c r="AL585" t="s">
        <v>936</v>
      </c>
      <c r="AM585" s="314">
        <v>0</v>
      </c>
      <c r="AN585" s="314">
        <v>0</v>
      </c>
      <c r="AO585" s="314">
        <v>0</v>
      </c>
      <c r="AP585" s="314">
        <v>26587.816185448522</v>
      </c>
      <c r="AQ585" s="314">
        <v>0</v>
      </c>
      <c r="AR585" s="314">
        <v>0</v>
      </c>
      <c r="AS585" s="314">
        <v>0</v>
      </c>
      <c r="AT585" s="314">
        <v>3.0639495724110009</v>
      </c>
      <c r="AU585" s="314">
        <v>0</v>
      </c>
      <c r="AV585" s="314">
        <v>0</v>
      </c>
      <c r="AW585" s="314">
        <v>0</v>
      </c>
      <c r="AX585">
        <v>-689.38858563655094</v>
      </c>
    </row>
    <row r="586" spans="1:50" x14ac:dyDescent="0.35">
      <c r="A586">
        <v>1000</v>
      </c>
      <c r="B586" t="s">
        <v>0</v>
      </c>
      <c r="C586" t="s">
        <v>1864</v>
      </c>
      <c r="D586" t="s">
        <v>4</v>
      </c>
      <c r="E586" t="s">
        <v>937</v>
      </c>
      <c r="F586">
        <v>0</v>
      </c>
      <c r="G586">
        <v>0</v>
      </c>
      <c r="H586">
        <v>55000</v>
      </c>
      <c r="I586">
        <v>0</v>
      </c>
      <c r="J586" s="600">
        <v>55000</v>
      </c>
      <c r="K586" s="7">
        <f t="shared" si="121"/>
        <v>10</v>
      </c>
      <c r="L586" s="7">
        <f t="shared" si="122"/>
        <v>0</v>
      </c>
      <c r="M586" s="243">
        <f t="shared" si="123"/>
        <v>0</v>
      </c>
      <c r="N586" s="243">
        <f>INDEX($AN$4:$AN21482,MATCH($A586,$AH$4:$AH$2000,0))</f>
        <v>0</v>
      </c>
      <c r="O586" s="243">
        <f t="shared" si="128"/>
        <v>1612907.2924503</v>
      </c>
      <c r="P586" s="243">
        <f t="shared" si="124"/>
        <v>0</v>
      </c>
      <c r="Q586" s="243">
        <f t="shared" si="125"/>
        <v>0</v>
      </c>
      <c r="R586" s="243">
        <f t="shared" si="126"/>
        <v>0</v>
      </c>
      <c r="S586" s="243">
        <f t="shared" si="129"/>
        <v>-41820.654594179992</v>
      </c>
      <c r="T586" s="243">
        <f t="shared" si="127"/>
        <v>0</v>
      </c>
      <c r="AA586">
        <v>515</v>
      </c>
      <c r="AB586" t="s">
        <v>0</v>
      </c>
      <c r="AC586" t="s">
        <v>20</v>
      </c>
      <c r="AD586" t="s">
        <v>100</v>
      </c>
      <c r="AE586" t="s">
        <v>1068</v>
      </c>
      <c r="AF586">
        <v>20</v>
      </c>
      <c r="AG586">
        <v>0</v>
      </c>
      <c r="AH586">
        <v>1000</v>
      </c>
      <c r="AI586" t="s">
        <v>0</v>
      </c>
      <c r="AJ586" t="s">
        <v>1864</v>
      </c>
      <c r="AK586" t="s">
        <v>4</v>
      </c>
      <c r="AL586" t="s">
        <v>937</v>
      </c>
      <c r="AM586" s="314">
        <v>0</v>
      </c>
      <c r="AN586" s="314">
        <v>0</v>
      </c>
      <c r="AO586" s="314">
        <v>1612907.2924503</v>
      </c>
      <c r="AP586" s="314">
        <v>0</v>
      </c>
      <c r="AQ586" s="314">
        <v>0</v>
      </c>
      <c r="AR586" s="314">
        <v>0</v>
      </c>
      <c r="AS586" s="314">
        <v>185.86959434999997</v>
      </c>
      <c r="AT586" s="314">
        <v>0</v>
      </c>
      <c r="AU586" s="314">
        <v>0</v>
      </c>
      <c r="AV586" s="314">
        <v>0</v>
      </c>
      <c r="AW586" s="314">
        <v>-41820.654594179992</v>
      </c>
      <c r="AX586">
        <v>0</v>
      </c>
    </row>
    <row r="587" spans="1:50" x14ac:dyDescent="0.35">
      <c r="A587">
        <v>1001</v>
      </c>
      <c r="B587" t="s">
        <v>0</v>
      </c>
      <c r="C587" t="s">
        <v>1864</v>
      </c>
      <c r="D587" t="s">
        <v>4</v>
      </c>
      <c r="E587" t="s">
        <v>938</v>
      </c>
      <c r="F587">
        <v>0</v>
      </c>
      <c r="G587">
        <v>0</v>
      </c>
      <c r="H587">
        <v>0</v>
      </c>
      <c r="I587">
        <v>55000</v>
      </c>
      <c r="J587" s="600">
        <v>55000</v>
      </c>
      <c r="K587" s="7">
        <f t="shared" si="121"/>
        <v>10</v>
      </c>
      <c r="L587" s="7">
        <f t="shared" si="122"/>
        <v>0</v>
      </c>
      <c r="M587" s="243">
        <f t="shared" si="123"/>
        <v>0</v>
      </c>
      <c r="N587" s="243">
        <f>INDEX($AN$4:$AN21483,MATCH($A587,$AH$4:$AH$2000,0))</f>
        <v>0</v>
      </c>
      <c r="O587" s="243">
        <f t="shared" si="128"/>
        <v>0</v>
      </c>
      <c r="P587" s="243">
        <f t="shared" si="124"/>
        <v>41400.828897119995</v>
      </c>
      <c r="Q587" s="243">
        <f t="shared" si="125"/>
        <v>0</v>
      </c>
      <c r="R587" s="243">
        <f t="shared" si="126"/>
        <v>0</v>
      </c>
      <c r="S587" s="243">
        <f t="shared" si="129"/>
        <v>0</v>
      </c>
      <c r="T587" s="243">
        <f t="shared" si="127"/>
        <v>-1073.4713478719998</v>
      </c>
      <c r="AA587">
        <v>513</v>
      </c>
      <c r="AB587" t="s">
        <v>0</v>
      </c>
      <c r="AC587" t="s">
        <v>20</v>
      </c>
      <c r="AD587" t="s">
        <v>100</v>
      </c>
      <c r="AE587" t="s">
        <v>1069</v>
      </c>
      <c r="AF587">
        <v>20</v>
      </c>
      <c r="AG587">
        <v>6</v>
      </c>
      <c r="AH587">
        <v>1001</v>
      </c>
      <c r="AI587" t="s">
        <v>0</v>
      </c>
      <c r="AJ587" t="s">
        <v>1864</v>
      </c>
      <c r="AK587" t="s">
        <v>4</v>
      </c>
      <c r="AL587" t="s">
        <v>938</v>
      </c>
      <c r="AM587" s="314">
        <v>0</v>
      </c>
      <c r="AN587" s="314">
        <v>0</v>
      </c>
      <c r="AO587" s="314">
        <v>0</v>
      </c>
      <c r="AP587" s="314">
        <v>41400.828897119995</v>
      </c>
      <c r="AQ587" s="314">
        <v>0</v>
      </c>
      <c r="AR587" s="314">
        <v>0</v>
      </c>
      <c r="AS587" s="314">
        <v>0</v>
      </c>
      <c r="AT587" s="314">
        <v>4.7709842399999998</v>
      </c>
      <c r="AU587" s="314">
        <v>0</v>
      </c>
      <c r="AV587" s="314">
        <v>0</v>
      </c>
      <c r="AW587" s="314">
        <v>0</v>
      </c>
      <c r="AX587">
        <v>-1073.4713478719998</v>
      </c>
    </row>
    <row r="588" spans="1:50" x14ac:dyDescent="0.35">
      <c r="A588">
        <v>1002</v>
      </c>
      <c r="B588" t="s">
        <v>0</v>
      </c>
      <c r="C588" t="s">
        <v>1864</v>
      </c>
      <c r="D588" t="s">
        <v>4</v>
      </c>
      <c r="E588" t="s">
        <v>939</v>
      </c>
      <c r="F588">
        <v>0</v>
      </c>
      <c r="G588">
        <v>0</v>
      </c>
      <c r="H588">
        <v>0</v>
      </c>
      <c r="I588">
        <v>55000</v>
      </c>
      <c r="J588" s="600">
        <v>55000</v>
      </c>
      <c r="K588" s="7">
        <f t="shared" si="121"/>
        <v>11</v>
      </c>
      <c r="L588" s="7">
        <f t="shared" si="122"/>
        <v>1</v>
      </c>
      <c r="M588" s="243">
        <f t="shared" si="123"/>
        <v>0</v>
      </c>
      <c r="N588" s="243">
        <f>INDEX($AN$4:$AN21484,MATCH($A588,$AH$4:$AH$2000,0))</f>
        <v>0</v>
      </c>
      <c r="O588" s="243">
        <f t="shared" si="128"/>
        <v>0</v>
      </c>
      <c r="P588" s="243">
        <f t="shared" si="124"/>
        <v>0</v>
      </c>
      <c r="Q588" s="243">
        <f t="shared" si="125"/>
        <v>0</v>
      </c>
      <c r="R588" s="243">
        <f t="shared" si="126"/>
        <v>0</v>
      </c>
      <c r="S588" s="243">
        <f t="shared" si="129"/>
        <v>0</v>
      </c>
      <c r="T588" s="243">
        <f t="shared" si="127"/>
        <v>-939.28742938800008</v>
      </c>
      <c r="AA588">
        <v>508</v>
      </c>
      <c r="AB588" t="s">
        <v>0</v>
      </c>
      <c r="AC588" t="s">
        <v>20</v>
      </c>
      <c r="AD588" t="s">
        <v>100</v>
      </c>
      <c r="AE588" t="s">
        <v>985</v>
      </c>
      <c r="AF588">
        <v>18</v>
      </c>
      <c r="AG588">
        <v>0</v>
      </c>
      <c r="AH588">
        <v>1002</v>
      </c>
      <c r="AI588" t="s">
        <v>0</v>
      </c>
      <c r="AJ588" t="s">
        <v>1864</v>
      </c>
      <c r="AK588" t="s">
        <v>4</v>
      </c>
      <c r="AL588" t="s">
        <v>939</v>
      </c>
      <c r="AM588" s="314">
        <v>0</v>
      </c>
      <c r="AN588" s="314">
        <v>0</v>
      </c>
      <c r="AO588" s="314">
        <v>0</v>
      </c>
      <c r="AP588" s="314">
        <v>0</v>
      </c>
      <c r="AQ588" s="314">
        <v>0</v>
      </c>
      <c r="AR588" s="314">
        <v>0</v>
      </c>
      <c r="AS588" s="314">
        <v>0</v>
      </c>
      <c r="AT588" s="314">
        <v>4.174611210000001</v>
      </c>
      <c r="AU588" s="314">
        <v>0</v>
      </c>
      <c r="AV588" s="314">
        <v>0</v>
      </c>
      <c r="AW588" s="314">
        <v>0</v>
      </c>
      <c r="AX588">
        <v>-939.28742938800008</v>
      </c>
    </row>
    <row r="589" spans="1:50" x14ac:dyDescent="0.35">
      <c r="A589">
        <v>1028</v>
      </c>
      <c r="B589" t="s">
        <v>0</v>
      </c>
      <c r="C589" t="s">
        <v>1864</v>
      </c>
      <c r="D589" t="s">
        <v>4</v>
      </c>
      <c r="E589" t="s">
        <v>940</v>
      </c>
      <c r="F589">
        <v>0</v>
      </c>
      <c r="G589">
        <v>0</v>
      </c>
      <c r="H589">
        <v>0</v>
      </c>
      <c r="I589">
        <v>55000</v>
      </c>
      <c r="J589" s="600">
        <v>55000</v>
      </c>
      <c r="K589" s="7">
        <f t="shared" si="121"/>
        <v>10</v>
      </c>
      <c r="L589" s="7">
        <f t="shared" si="122"/>
        <v>0</v>
      </c>
      <c r="M589" s="243">
        <f t="shared" si="123"/>
        <v>0</v>
      </c>
      <c r="N589" s="243">
        <f>INDEX($AN$4:$AN21485,MATCH($A589,$AH$4:$AH$2000,0))</f>
        <v>0</v>
      </c>
      <c r="O589" s="243">
        <f t="shared" si="128"/>
        <v>0</v>
      </c>
      <c r="P589" s="243">
        <f t="shared" si="124"/>
        <v>1478498.3514127745</v>
      </c>
      <c r="Q589" s="243">
        <f t="shared" si="125"/>
        <v>0</v>
      </c>
      <c r="R589" s="243">
        <f t="shared" si="126"/>
        <v>0</v>
      </c>
      <c r="S589" s="243">
        <f t="shared" si="129"/>
        <v>0</v>
      </c>
      <c r="T589" s="243">
        <f t="shared" si="127"/>
        <v>-38335.600044664992</v>
      </c>
      <c r="AA589">
        <v>511</v>
      </c>
      <c r="AB589" t="s">
        <v>0</v>
      </c>
      <c r="AC589" t="s">
        <v>20</v>
      </c>
      <c r="AD589" t="s">
        <v>100</v>
      </c>
      <c r="AE589" t="s">
        <v>986</v>
      </c>
      <c r="AF589">
        <v>18</v>
      </c>
      <c r="AG589">
        <v>6</v>
      </c>
      <c r="AH589">
        <v>1028</v>
      </c>
      <c r="AI589" t="s">
        <v>0</v>
      </c>
      <c r="AJ589" t="s">
        <v>1864</v>
      </c>
      <c r="AK589" t="s">
        <v>4</v>
      </c>
      <c r="AL589" t="s">
        <v>940</v>
      </c>
      <c r="AM589" s="314">
        <v>0</v>
      </c>
      <c r="AN589" s="314">
        <v>0</v>
      </c>
      <c r="AO589" s="314">
        <v>0</v>
      </c>
      <c r="AP589" s="314">
        <v>1478498.3514127745</v>
      </c>
      <c r="AQ589" s="314">
        <v>0</v>
      </c>
      <c r="AR589" s="314">
        <v>0</v>
      </c>
      <c r="AS589" s="314">
        <v>0</v>
      </c>
      <c r="AT589" s="314">
        <v>170.38046148749996</v>
      </c>
      <c r="AU589" s="314">
        <v>0</v>
      </c>
      <c r="AV589" s="314">
        <v>0</v>
      </c>
      <c r="AW589" s="314">
        <v>0</v>
      </c>
      <c r="AX589">
        <v>-38335.600044664992</v>
      </c>
    </row>
    <row r="590" spans="1:50" x14ac:dyDescent="0.35">
      <c r="A590">
        <v>1029</v>
      </c>
      <c r="B590" t="s">
        <v>0</v>
      </c>
      <c r="C590" t="s">
        <v>1864</v>
      </c>
      <c r="D590" t="s">
        <v>4</v>
      </c>
      <c r="E590" t="s">
        <v>941</v>
      </c>
      <c r="F590">
        <v>0</v>
      </c>
      <c r="G590">
        <v>0</v>
      </c>
      <c r="H590">
        <v>0</v>
      </c>
      <c r="I590">
        <v>55000</v>
      </c>
      <c r="J590" s="600">
        <v>55000</v>
      </c>
      <c r="K590" s="7">
        <f t="shared" si="121"/>
        <v>11</v>
      </c>
      <c r="L590" s="7">
        <f t="shared" si="122"/>
        <v>1</v>
      </c>
      <c r="M590" s="243">
        <f t="shared" si="123"/>
        <v>0</v>
      </c>
      <c r="N590" s="243">
        <f>INDEX($AN$4:$AN21486,MATCH($A590,$AH$4:$AH$2000,0))</f>
        <v>0</v>
      </c>
      <c r="O590" s="243">
        <f t="shared" si="128"/>
        <v>0</v>
      </c>
      <c r="P590" s="243">
        <f t="shared" si="124"/>
        <v>0</v>
      </c>
      <c r="Q590" s="243">
        <f t="shared" si="125"/>
        <v>0</v>
      </c>
      <c r="R590" s="243">
        <f t="shared" si="126"/>
        <v>0</v>
      </c>
      <c r="S590" s="243">
        <f t="shared" si="129"/>
        <v>0</v>
      </c>
      <c r="T590" s="243">
        <f t="shared" si="127"/>
        <v>-984.01540221599964</v>
      </c>
      <c r="AA590">
        <v>525</v>
      </c>
      <c r="AB590" t="s">
        <v>0</v>
      </c>
      <c r="AC590" t="s">
        <v>20</v>
      </c>
      <c r="AD590" t="s">
        <v>15</v>
      </c>
      <c r="AE590" t="s">
        <v>433</v>
      </c>
      <c r="AF590">
        <v>13</v>
      </c>
      <c r="AH590">
        <v>1029</v>
      </c>
      <c r="AI590" t="s">
        <v>0</v>
      </c>
      <c r="AJ590" t="s">
        <v>1864</v>
      </c>
      <c r="AK590" t="s">
        <v>4</v>
      </c>
      <c r="AL590" t="s">
        <v>941</v>
      </c>
      <c r="AM590" s="314">
        <v>0</v>
      </c>
      <c r="AN590" s="314">
        <v>0</v>
      </c>
      <c r="AO590" s="314">
        <v>0</v>
      </c>
      <c r="AP590" s="314">
        <v>0</v>
      </c>
      <c r="AQ590" s="314">
        <v>0</v>
      </c>
      <c r="AR590" s="314">
        <v>0</v>
      </c>
      <c r="AS590" s="314">
        <v>0</v>
      </c>
      <c r="AT590" s="314">
        <v>4.3734022199999991</v>
      </c>
      <c r="AU590" s="314">
        <v>0</v>
      </c>
      <c r="AV590" s="314">
        <v>0</v>
      </c>
      <c r="AW590" s="314">
        <v>0</v>
      </c>
      <c r="AX590">
        <v>-984.01540221599964</v>
      </c>
    </row>
    <row r="591" spans="1:50" x14ac:dyDescent="0.35">
      <c r="A591">
        <v>1030</v>
      </c>
      <c r="B591" t="s">
        <v>0</v>
      </c>
      <c r="C591" t="s">
        <v>1864</v>
      </c>
      <c r="D591" t="s">
        <v>4</v>
      </c>
      <c r="E591" t="s">
        <v>942</v>
      </c>
      <c r="F591">
        <v>0</v>
      </c>
      <c r="G591">
        <v>0</v>
      </c>
      <c r="H591">
        <v>0</v>
      </c>
      <c r="I591">
        <v>55000</v>
      </c>
      <c r="J591" s="600">
        <v>55000</v>
      </c>
      <c r="K591" s="7">
        <f t="shared" si="121"/>
        <v>12</v>
      </c>
      <c r="L591" s="7">
        <f t="shared" si="122"/>
        <v>2</v>
      </c>
      <c r="M591" s="243">
        <f t="shared" si="123"/>
        <v>0</v>
      </c>
      <c r="N591" s="243">
        <f>INDEX($AN$4:$AN21487,MATCH($A591,$AH$4:$AH$2000,0))</f>
        <v>0</v>
      </c>
      <c r="O591" s="243">
        <f t="shared" si="128"/>
        <v>0</v>
      </c>
      <c r="P591" s="243">
        <f t="shared" si="124"/>
        <v>0</v>
      </c>
      <c r="Q591" s="243">
        <f t="shared" si="125"/>
        <v>0</v>
      </c>
      <c r="R591" s="243">
        <f t="shared" si="126"/>
        <v>0</v>
      </c>
      <c r="S591" s="243">
        <f t="shared" si="129"/>
        <v>0</v>
      </c>
      <c r="T591" s="243">
        <f t="shared" si="127"/>
        <v>-861.01347693899982</v>
      </c>
      <c r="AA591">
        <v>506</v>
      </c>
      <c r="AB591" t="s">
        <v>0</v>
      </c>
      <c r="AC591" t="s">
        <v>20</v>
      </c>
      <c r="AD591" t="s">
        <v>100</v>
      </c>
      <c r="AE591" t="s">
        <v>1070</v>
      </c>
      <c r="AF591">
        <v>25</v>
      </c>
      <c r="AG591">
        <v>0</v>
      </c>
      <c r="AH591">
        <v>1030</v>
      </c>
      <c r="AI591" t="s">
        <v>0</v>
      </c>
      <c r="AJ591" t="s">
        <v>1864</v>
      </c>
      <c r="AK591" t="s">
        <v>4</v>
      </c>
      <c r="AL591" t="s">
        <v>942</v>
      </c>
      <c r="AM591" s="314">
        <v>0</v>
      </c>
      <c r="AN591" s="314">
        <v>0</v>
      </c>
      <c r="AO591" s="314">
        <v>0</v>
      </c>
      <c r="AP591" s="314">
        <v>0</v>
      </c>
      <c r="AQ591" s="314">
        <v>0</v>
      </c>
      <c r="AR591" s="314">
        <v>0</v>
      </c>
      <c r="AS591" s="314">
        <v>0</v>
      </c>
      <c r="AT591" s="314">
        <v>3.8267269425000001</v>
      </c>
      <c r="AU591" s="314">
        <v>0</v>
      </c>
      <c r="AV591" s="314">
        <v>0</v>
      </c>
      <c r="AW591" s="314">
        <v>0</v>
      </c>
      <c r="AX591">
        <v>-861.01347693899982</v>
      </c>
    </row>
    <row r="592" spans="1:50" x14ac:dyDescent="0.35">
      <c r="A592">
        <v>947</v>
      </c>
      <c r="B592" t="s">
        <v>0</v>
      </c>
      <c r="C592" t="s">
        <v>1864</v>
      </c>
      <c r="D592" t="s">
        <v>4</v>
      </c>
      <c r="E592" t="s">
        <v>943</v>
      </c>
      <c r="F592">
        <v>59145</v>
      </c>
      <c r="G592">
        <v>0</v>
      </c>
      <c r="H592">
        <v>0</v>
      </c>
      <c r="I592">
        <v>0</v>
      </c>
      <c r="J592" s="600">
        <v>59145</v>
      </c>
      <c r="K592" s="7">
        <f t="shared" si="121"/>
        <v>10</v>
      </c>
      <c r="L592" s="7">
        <f t="shared" si="122"/>
        <v>0</v>
      </c>
      <c r="M592" s="243">
        <f t="shared" si="123"/>
        <v>664445.58476001094</v>
      </c>
      <c r="N592" s="243">
        <f>INDEX($AN$4:$AN21488,MATCH($A592,$AH$4:$AH$2000,0))</f>
        <v>0</v>
      </c>
      <c r="O592" s="243">
        <f t="shared" si="128"/>
        <v>0</v>
      </c>
      <c r="P592" s="243">
        <f t="shared" si="124"/>
        <v>0</v>
      </c>
      <c r="Q592" s="243">
        <f t="shared" si="125"/>
        <v>-17228.237126178545</v>
      </c>
      <c r="R592" s="243">
        <f t="shared" si="126"/>
        <v>0</v>
      </c>
      <c r="S592" s="243">
        <f t="shared" si="129"/>
        <v>0</v>
      </c>
      <c r="T592" s="243">
        <f t="shared" si="127"/>
        <v>0</v>
      </c>
      <c r="AA592">
        <v>510</v>
      </c>
      <c r="AB592" t="s">
        <v>0</v>
      </c>
      <c r="AC592" t="s">
        <v>20</v>
      </c>
      <c r="AD592" t="s">
        <v>100</v>
      </c>
      <c r="AE592" t="s">
        <v>1071</v>
      </c>
      <c r="AF592">
        <v>25</v>
      </c>
      <c r="AG592">
        <v>8</v>
      </c>
      <c r="AH592">
        <v>947</v>
      </c>
      <c r="AI592" t="s">
        <v>0</v>
      </c>
      <c r="AJ592" t="s">
        <v>1864</v>
      </c>
      <c r="AK592" t="s">
        <v>4</v>
      </c>
      <c r="AL592" t="s">
        <v>943</v>
      </c>
      <c r="AM592" s="314">
        <v>664445.58476001094</v>
      </c>
      <c r="AN592" s="314">
        <v>0</v>
      </c>
      <c r="AO592" s="314">
        <v>0</v>
      </c>
      <c r="AP592" s="314">
        <v>0</v>
      </c>
      <c r="AQ592" s="314">
        <v>76.569950353050018</v>
      </c>
      <c r="AR592" s="314">
        <v>0</v>
      </c>
      <c r="AS592" s="314">
        <v>0</v>
      </c>
      <c r="AT592" s="314">
        <v>0</v>
      </c>
      <c r="AU592" s="314">
        <v>-17228.237126178545</v>
      </c>
      <c r="AV592" s="314">
        <v>0</v>
      </c>
      <c r="AW592" s="314">
        <v>0</v>
      </c>
      <c r="AX592">
        <v>0</v>
      </c>
    </row>
    <row r="593" spans="1:50" x14ac:dyDescent="0.35">
      <c r="A593">
        <v>948</v>
      </c>
      <c r="B593" t="s">
        <v>0</v>
      </c>
      <c r="C593" t="s">
        <v>1864</v>
      </c>
      <c r="D593" t="s">
        <v>4</v>
      </c>
      <c r="E593" t="s">
        <v>944</v>
      </c>
      <c r="F593">
        <v>0</v>
      </c>
      <c r="G593">
        <v>59145</v>
      </c>
      <c r="H593">
        <v>0</v>
      </c>
      <c r="I593">
        <v>0</v>
      </c>
      <c r="J593" s="600">
        <v>59145</v>
      </c>
      <c r="K593" s="7">
        <f t="shared" si="121"/>
        <v>10</v>
      </c>
      <c r="L593" s="7">
        <f t="shared" si="122"/>
        <v>0</v>
      </c>
      <c r="M593" s="243">
        <f t="shared" si="123"/>
        <v>0</v>
      </c>
      <c r="N593" s="243">
        <f>INDEX($AN$4:$AN21489,MATCH($A593,$AH$4:$AH$2000,0))</f>
        <v>17055.287737155355</v>
      </c>
      <c r="O593" s="243">
        <f t="shared" si="128"/>
        <v>0</v>
      </c>
      <c r="P593" s="243">
        <f t="shared" si="124"/>
        <v>0</v>
      </c>
      <c r="Q593" s="243">
        <f t="shared" si="125"/>
        <v>0</v>
      </c>
      <c r="R593" s="243">
        <f t="shared" si="126"/>
        <v>-442.22212944201584</v>
      </c>
      <c r="S593" s="243">
        <f t="shared" si="129"/>
        <v>0</v>
      </c>
      <c r="T593" s="243">
        <f t="shared" si="127"/>
        <v>0</v>
      </c>
      <c r="AA593">
        <v>910</v>
      </c>
      <c r="AB593" t="s">
        <v>0</v>
      </c>
      <c r="AC593" t="s">
        <v>1072</v>
      </c>
      <c r="AD593" t="s">
        <v>7</v>
      </c>
      <c r="AE593" t="s">
        <v>1751</v>
      </c>
      <c r="AF593">
        <v>10</v>
      </c>
      <c r="AG593">
        <v>0</v>
      </c>
      <c r="AH593">
        <v>948</v>
      </c>
      <c r="AI593" t="s">
        <v>0</v>
      </c>
      <c r="AJ593" t="s">
        <v>1864</v>
      </c>
      <c r="AK593" t="s">
        <v>4</v>
      </c>
      <c r="AL593" t="s">
        <v>944</v>
      </c>
      <c r="AM593" s="314">
        <v>0</v>
      </c>
      <c r="AN593" s="314">
        <v>17055.287737155355</v>
      </c>
      <c r="AO593" s="314">
        <v>0</v>
      </c>
      <c r="AP593" s="314">
        <v>0</v>
      </c>
      <c r="AQ593" s="314">
        <v>0</v>
      </c>
      <c r="AR593" s="314">
        <v>1.96543188072</v>
      </c>
      <c r="AS593" s="314">
        <v>0</v>
      </c>
      <c r="AT593" s="314">
        <v>0</v>
      </c>
      <c r="AU593" s="314">
        <v>0</v>
      </c>
      <c r="AV593" s="314">
        <v>-442.22212944201584</v>
      </c>
      <c r="AW593" s="314">
        <v>0</v>
      </c>
      <c r="AX593">
        <v>0</v>
      </c>
    </row>
    <row r="594" spans="1:50" x14ac:dyDescent="0.35">
      <c r="A594">
        <v>949</v>
      </c>
      <c r="B594" t="s">
        <v>0</v>
      </c>
      <c r="C594" t="s">
        <v>1864</v>
      </c>
      <c r="D594" t="s">
        <v>4</v>
      </c>
      <c r="E594" t="s">
        <v>945</v>
      </c>
      <c r="F594">
        <v>0</v>
      </c>
      <c r="G594">
        <v>0</v>
      </c>
      <c r="H594">
        <v>59145</v>
      </c>
      <c r="I594">
        <v>0</v>
      </c>
      <c r="J594" s="600">
        <v>59145</v>
      </c>
      <c r="K594" s="7">
        <f t="shared" si="121"/>
        <v>10</v>
      </c>
      <c r="L594" s="7">
        <f t="shared" si="122"/>
        <v>0</v>
      </c>
      <c r="M594" s="243">
        <f t="shared" si="123"/>
        <v>0</v>
      </c>
      <c r="N594" s="243">
        <f>INDEX($AN$4:$AN21490,MATCH($A594,$AH$4:$AH$2000,0))</f>
        <v>0</v>
      </c>
      <c r="O594" s="243">
        <f t="shared" si="128"/>
        <v>14923.376770010938</v>
      </c>
      <c r="P594" s="243">
        <f t="shared" si="124"/>
        <v>0</v>
      </c>
      <c r="Q594" s="243">
        <f t="shared" si="125"/>
        <v>0</v>
      </c>
      <c r="R594" s="243">
        <f t="shared" si="126"/>
        <v>0</v>
      </c>
      <c r="S594" s="243">
        <f t="shared" si="129"/>
        <v>-386.94436326176395</v>
      </c>
      <c r="T594" s="243">
        <f t="shared" si="127"/>
        <v>0</v>
      </c>
      <c r="AA594">
        <v>895</v>
      </c>
      <c r="AB594" t="s">
        <v>0</v>
      </c>
      <c r="AC594" t="s">
        <v>1072</v>
      </c>
      <c r="AD594" t="s">
        <v>7</v>
      </c>
      <c r="AE594" t="s">
        <v>1752</v>
      </c>
      <c r="AF594">
        <v>9</v>
      </c>
      <c r="AG594">
        <v>0</v>
      </c>
      <c r="AH594">
        <v>949</v>
      </c>
      <c r="AI594" t="s">
        <v>0</v>
      </c>
      <c r="AJ594" t="s">
        <v>1864</v>
      </c>
      <c r="AK594" t="s">
        <v>4</v>
      </c>
      <c r="AL594" t="s">
        <v>945</v>
      </c>
      <c r="AM594" s="314">
        <v>0</v>
      </c>
      <c r="AN594" s="314">
        <v>0</v>
      </c>
      <c r="AO594" s="314">
        <v>14923.376770010938</v>
      </c>
      <c r="AP594" s="314">
        <v>0</v>
      </c>
      <c r="AQ594" s="314">
        <v>0</v>
      </c>
      <c r="AR594" s="314">
        <v>0</v>
      </c>
      <c r="AS594" s="314">
        <v>1.7197528956300003</v>
      </c>
      <c r="AT594" s="314">
        <v>0</v>
      </c>
      <c r="AU594" s="314">
        <v>0</v>
      </c>
      <c r="AV594" s="314">
        <v>0</v>
      </c>
      <c r="AW594" s="314">
        <v>-386.94436326176395</v>
      </c>
      <c r="AX594">
        <v>0</v>
      </c>
    </row>
    <row r="595" spans="1:50" x14ac:dyDescent="0.35">
      <c r="A595">
        <v>975</v>
      </c>
      <c r="B595" t="s">
        <v>0</v>
      </c>
      <c r="C595" t="s">
        <v>1864</v>
      </c>
      <c r="D595" t="s">
        <v>4</v>
      </c>
      <c r="E595" t="s">
        <v>946</v>
      </c>
      <c r="F595">
        <v>0</v>
      </c>
      <c r="G595">
        <v>59145</v>
      </c>
      <c r="H595">
        <v>0</v>
      </c>
      <c r="I595">
        <v>0</v>
      </c>
      <c r="J595" s="600">
        <v>59145</v>
      </c>
      <c r="K595" s="7">
        <f t="shared" si="121"/>
        <v>10</v>
      </c>
      <c r="L595" s="7">
        <f t="shared" si="122"/>
        <v>0</v>
      </c>
      <c r="M595" s="243">
        <f t="shared" si="123"/>
        <v>0</v>
      </c>
      <c r="N595" s="243">
        <f>INDEX($AN$4:$AN21491,MATCH($A595,$AH$4:$AH$2000,0))</f>
        <v>616985.18584858149</v>
      </c>
      <c r="O595" s="243">
        <f t="shared" si="128"/>
        <v>0</v>
      </c>
      <c r="P595" s="243">
        <f t="shared" si="124"/>
        <v>0</v>
      </c>
      <c r="Q595" s="243">
        <f t="shared" si="125"/>
        <v>0</v>
      </c>
      <c r="R595" s="243">
        <f t="shared" si="126"/>
        <v>-15997.64876002293</v>
      </c>
      <c r="S595" s="243">
        <f t="shared" si="129"/>
        <v>0</v>
      </c>
      <c r="T595" s="243">
        <f t="shared" si="127"/>
        <v>0</v>
      </c>
      <c r="AA595">
        <v>911</v>
      </c>
      <c r="AB595" t="s">
        <v>0</v>
      </c>
      <c r="AC595" t="s">
        <v>1072</v>
      </c>
      <c r="AD595" t="s">
        <v>7</v>
      </c>
      <c r="AE595" t="s">
        <v>1753</v>
      </c>
      <c r="AF595">
        <v>10</v>
      </c>
      <c r="AG595">
        <v>0</v>
      </c>
      <c r="AH595">
        <v>975</v>
      </c>
      <c r="AI595" t="s">
        <v>0</v>
      </c>
      <c r="AJ595" t="s">
        <v>1864</v>
      </c>
      <c r="AK595" t="s">
        <v>4</v>
      </c>
      <c r="AL595" t="s">
        <v>946</v>
      </c>
      <c r="AM595" s="314">
        <v>0</v>
      </c>
      <c r="AN595" s="314">
        <v>616985.18584858149</v>
      </c>
      <c r="AO595" s="314">
        <v>0</v>
      </c>
      <c r="AP595" s="314">
        <v>0</v>
      </c>
      <c r="AQ595" s="314">
        <v>0</v>
      </c>
      <c r="AR595" s="314">
        <v>71.100668184975007</v>
      </c>
      <c r="AS595" s="314">
        <v>0</v>
      </c>
      <c r="AT595" s="314">
        <v>0</v>
      </c>
      <c r="AU595" s="314">
        <v>0</v>
      </c>
      <c r="AV595" s="314">
        <v>-15997.64876002293</v>
      </c>
      <c r="AW595" s="314">
        <v>0</v>
      </c>
      <c r="AX595">
        <v>0</v>
      </c>
    </row>
    <row r="596" spans="1:50" x14ac:dyDescent="0.35">
      <c r="A596">
        <v>976</v>
      </c>
      <c r="B596" t="s">
        <v>0</v>
      </c>
      <c r="C596" t="s">
        <v>1864</v>
      </c>
      <c r="D596" t="s">
        <v>4</v>
      </c>
      <c r="E596" t="s">
        <v>947</v>
      </c>
      <c r="F596">
        <v>0</v>
      </c>
      <c r="G596">
        <v>0</v>
      </c>
      <c r="H596">
        <v>59145</v>
      </c>
      <c r="I596">
        <v>0</v>
      </c>
      <c r="J596" s="600">
        <v>59145</v>
      </c>
      <c r="K596" s="7">
        <f t="shared" si="121"/>
        <v>10</v>
      </c>
      <c r="L596" s="7">
        <f t="shared" si="122"/>
        <v>0</v>
      </c>
      <c r="M596" s="243">
        <f t="shared" si="123"/>
        <v>0</v>
      </c>
      <c r="N596" s="243">
        <f>INDEX($AN$4:$AN21492,MATCH($A596,$AH$4:$AH$2000,0))</f>
        <v>0</v>
      </c>
      <c r="O596" s="243">
        <f t="shared" si="128"/>
        <v>15837.052898787117</v>
      </c>
      <c r="P596" s="243">
        <f t="shared" si="124"/>
        <v>0</v>
      </c>
      <c r="Q596" s="243">
        <f t="shared" si="125"/>
        <v>0</v>
      </c>
      <c r="R596" s="243">
        <f t="shared" si="126"/>
        <v>0</v>
      </c>
      <c r="S596" s="243">
        <f t="shared" si="129"/>
        <v>-410.63483448187185</v>
      </c>
      <c r="T596" s="243">
        <f t="shared" si="127"/>
        <v>0</v>
      </c>
      <c r="AA596">
        <v>896</v>
      </c>
      <c r="AB596" t="s">
        <v>0</v>
      </c>
      <c r="AC596" t="s">
        <v>1072</v>
      </c>
      <c r="AD596" t="s">
        <v>7</v>
      </c>
      <c r="AE596" t="s">
        <v>1754</v>
      </c>
      <c r="AF596">
        <v>9</v>
      </c>
      <c r="AG596">
        <v>0</v>
      </c>
      <c r="AH596">
        <v>976</v>
      </c>
      <c r="AI596" t="s">
        <v>0</v>
      </c>
      <c r="AJ596" t="s">
        <v>1864</v>
      </c>
      <c r="AK596" t="s">
        <v>4</v>
      </c>
      <c r="AL596" t="s">
        <v>947</v>
      </c>
      <c r="AM596" s="314">
        <v>0</v>
      </c>
      <c r="AN596" s="314">
        <v>0</v>
      </c>
      <c r="AO596" s="314">
        <v>15837.052898787117</v>
      </c>
      <c r="AP596" s="314">
        <v>0</v>
      </c>
      <c r="AQ596" s="314">
        <v>0</v>
      </c>
      <c r="AR596" s="314">
        <v>0</v>
      </c>
      <c r="AS596" s="314">
        <v>1.8250438892400001</v>
      </c>
      <c r="AT596" s="314">
        <v>0</v>
      </c>
      <c r="AU596" s="314">
        <v>0</v>
      </c>
      <c r="AV596" s="314">
        <v>0</v>
      </c>
      <c r="AW596" s="314">
        <v>-410.63483448187185</v>
      </c>
      <c r="AX596">
        <v>0</v>
      </c>
    </row>
    <row r="597" spans="1:50" x14ac:dyDescent="0.35">
      <c r="A597">
        <v>977</v>
      </c>
      <c r="B597" t="s">
        <v>0</v>
      </c>
      <c r="C597" t="s">
        <v>1864</v>
      </c>
      <c r="D597" t="s">
        <v>4</v>
      </c>
      <c r="E597" t="s">
        <v>948</v>
      </c>
      <c r="F597">
        <v>0</v>
      </c>
      <c r="G597">
        <v>0</v>
      </c>
      <c r="H597">
        <v>0</v>
      </c>
      <c r="I597">
        <v>59145</v>
      </c>
      <c r="J597" s="600">
        <v>59145</v>
      </c>
      <c r="K597" s="7">
        <f t="shared" si="121"/>
        <v>10</v>
      </c>
      <c r="L597" s="7">
        <f t="shared" si="122"/>
        <v>0</v>
      </c>
      <c r="M597" s="243">
        <f t="shared" si="123"/>
        <v>0</v>
      </c>
      <c r="N597" s="243">
        <f>INDEX($AN$4:$AN21493,MATCH($A597,$AH$4:$AH$2000,0))</f>
        <v>0</v>
      </c>
      <c r="O597" s="243">
        <f t="shared" si="128"/>
        <v>0</v>
      </c>
      <c r="P597" s="243">
        <f t="shared" si="124"/>
        <v>13857.421286438726</v>
      </c>
      <c r="Q597" s="243">
        <f t="shared" si="125"/>
        <v>0</v>
      </c>
      <c r="R597" s="243">
        <f t="shared" si="126"/>
        <v>0</v>
      </c>
      <c r="S597" s="243">
        <f t="shared" si="129"/>
        <v>0</v>
      </c>
      <c r="T597" s="243">
        <f t="shared" si="127"/>
        <v>-359.3054801716379</v>
      </c>
      <c r="AA597">
        <v>855</v>
      </c>
      <c r="AB597" t="s">
        <v>0</v>
      </c>
      <c r="AC597" t="s">
        <v>1072</v>
      </c>
      <c r="AD597" t="s">
        <v>7</v>
      </c>
      <c r="AE597" t="s">
        <v>1755</v>
      </c>
      <c r="AF597">
        <v>15</v>
      </c>
      <c r="AG597">
        <v>0</v>
      </c>
      <c r="AH597">
        <v>977</v>
      </c>
      <c r="AI597" t="s">
        <v>0</v>
      </c>
      <c r="AJ597" t="s">
        <v>1864</v>
      </c>
      <c r="AK597" t="s">
        <v>4</v>
      </c>
      <c r="AL597" t="s">
        <v>948</v>
      </c>
      <c r="AM597" s="314">
        <v>0</v>
      </c>
      <c r="AN597" s="314">
        <v>0</v>
      </c>
      <c r="AO597" s="314">
        <v>0</v>
      </c>
      <c r="AP597" s="314">
        <v>13857.421286438726</v>
      </c>
      <c r="AQ597" s="314">
        <v>0</v>
      </c>
      <c r="AR597" s="314">
        <v>0</v>
      </c>
      <c r="AS597" s="314">
        <v>0</v>
      </c>
      <c r="AT597" s="314">
        <v>1.5969134030850001</v>
      </c>
      <c r="AU597" s="314">
        <v>0</v>
      </c>
      <c r="AV597" s="314">
        <v>0</v>
      </c>
      <c r="AW597" s="314">
        <v>0</v>
      </c>
      <c r="AX597">
        <v>-359.3054801716379</v>
      </c>
    </row>
    <row r="598" spans="1:50" x14ac:dyDescent="0.35">
      <c r="A598">
        <v>1003</v>
      </c>
      <c r="B598" t="s">
        <v>0</v>
      </c>
      <c r="C598" t="s">
        <v>1864</v>
      </c>
      <c r="D598" t="s">
        <v>4</v>
      </c>
      <c r="E598" t="s">
        <v>949</v>
      </c>
      <c r="F598">
        <v>0</v>
      </c>
      <c r="G598">
        <v>0</v>
      </c>
      <c r="H598">
        <v>70380</v>
      </c>
      <c r="I598">
        <v>0</v>
      </c>
      <c r="J598" s="600">
        <v>70380</v>
      </c>
      <c r="K598" s="7">
        <f t="shared" si="121"/>
        <v>10</v>
      </c>
      <c r="L598" s="7">
        <f t="shared" si="122"/>
        <v>0</v>
      </c>
      <c r="M598" s="243">
        <f t="shared" si="123"/>
        <v>0</v>
      </c>
      <c r="N598" s="243">
        <f>INDEX($AN$4:$AN21494,MATCH($A598,$AH$4:$AH$2000,0))</f>
        <v>0</v>
      </c>
      <c r="O598" s="243">
        <f t="shared" si="128"/>
        <v>677709.94174717669</v>
      </c>
      <c r="P598" s="243">
        <f t="shared" si="124"/>
        <v>0</v>
      </c>
      <c r="Q598" s="243">
        <f t="shared" si="125"/>
        <v>0</v>
      </c>
      <c r="R598" s="243">
        <f t="shared" si="126"/>
        <v>0</v>
      </c>
      <c r="S598" s="243">
        <f t="shared" si="129"/>
        <v>-17572.165196050079</v>
      </c>
      <c r="T598" s="243">
        <f t="shared" si="127"/>
        <v>0</v>
      </c>
      <c r="AA598">
        <v>906</v>
      </c>
      <c r="AB598" t="s">
        <v>0</v>
      </c>
      <c r="AC598" t="s">
        <v>1072</v>
      </c>
      <c r="AD598" t="s">
        <v>7</v>
      </c>
      <c r="AE598" t="s">
        <v>1756</v>
      </c>
      <c r="AF598">
        <v>25</v>
      </c>
      <c r="AG598">
        <v>0</v>
      </c>
      <c r="AH598">
        <v>1003</v>
      </c>
      <c r="AI598" t="s">
        <v>0</v>
      </c>
      <c r="AJ598" t="s">
        <v>1864</v>
      </c>
      <c r="AK598" t="s">
        <v>4</v>
      </c>
      <c r="AL598" t="s">
        <v>949</v>
      </c>
      <c r="AM598" s="314">
        <v>0</v>
      </c>
      <c r="AN598" s="314">
        <v>0</v>
      </c>
      <c r="AO598" s="314">
        <v>677709.94174717669</v>
      </c>
      <c r="AP598" s="314">
        <v>0</v>
      </c>
      <c r="AQ598" s="314">
        <v>0</v>
      </c>
      <c r="AR598" s="314">
        <v>0</v>
      </c>
      <c r="AS598" s="314">
        <v>78.098519703600005</v>
      </c>
      <c r="AT598" s="314">
        <v>0</v>
      </c>
      <c r="AU598" s="314">
        <v>0</v>
      </c>
      <c r="AV598" s="314">
        <v>0</v>
      </c>
      <c r="AW598" s="314">
        <v>-17572.165196050079</v>
      </c>
      <c r="AX598">
        <v>0</v>
      </c>
    </row>
    <row r="599" spans="1:50" x14ac:dyDescent="0.35">
      <c r="A599">
        <v>1004</v>
      </c>
      <c r="B599" t="s">
        <v>0</v>
      </c>
      <c r="C599" t="s">
        <v>1864</v>
      </c>
      <c r="D599" t="s">
        <v>4</v>
      </c>
      <c r="E599" t="s">
        <v>950</v>
      </c>
      <c r="F599">
        <v>0</v>
      </c>
      <c r="G599">
        <v>0</v>
      </c>
      <c r="H599">
        <v>0</v>
      </c>
      <c r="I599">
        <v>70380</v>
      </c>
      <c r="J599" s="600">
        <v>70380</v>
      </c>
      <c r="K599" s="7">
        <f t="shared" si="121"/>
        <v>10</v>
      </c>
      <c r="L599" s="7">
        <f t="shared" si="122"/>
        <v>0</v>
      </c>
      <c r="M599" s="243">
        <f t="shared" si="123"/>
        <v>0</v>
      </c>
      <c r="N599" s="243">
        <f>INDEX($AN$4:$AN21495,MATCH($A599,$AH$4:$AH$2000,0))</f>
        <v>0</v>
      </c>
      <c r="O599" s="243">
        <f t="shared" si="128"/>
        <v>0</v>
      </c>
      <c r="P599" s="243">
        <f t="shared" si="124"/>
        <v>17395.763210622714</v>
      </c>
      <c r="Q599" s="243">
        <f t="shared" si="125"/>
        <v>0</v>
      </c>
      <c r="R599" s="243">
        <f t="shared" si="126"/>
        <v>0</v>
      </c>
      <c r="S599" s="243">
        <f t="shared" si="129"/>
        <v>0</v>
      </c>
      <c r="T599" s="243">
        <f t="shared" si="127"/>
        <v>-451.05022963123179</v>
      </c>
      <c r="AA599">
        <v>908</v>
      </c>
      <c r="AB599" t="s">
        <v>0</v>
      </c>
      <c r="AC599" t="s">
        <v>1072</v>
      </c>
      <c r="AD599" t="s">
        <v>7</v>
      </c>
      <c r="AE599" t="s">
        <v>1757</v>
      </c>
      <c r="AF599">
        <v>25</v>
      </c>
      <c r="AG599">
        <v>0</v>
      </c>
      <c r="AH599">
        <v>1004</v>
      </c>
      <c r="AI599" t="s">
        <v>0</v>
      </c>
      <c r="AJ599" t="s">
        <v>1864</v>
      </c>
      <c r="AK599" t="s">
        <v>4</v>
      </c>
      <c r="AL599" t="s">
        <v>950</v>
      </c>
      <c r="AM599" s="314">
        <v>0</v>
      </c>
      <c r="AN599" s="314">
        <v>0</v>
      </c>
      <c r="AO599" s="314">
        <v>0</v>
      </c>
      <c r="AP599" s="314">
        <v>17395.763210622714</v>
      </c>
      <c r="AQ599" s="314">
        <v>0</v>
      </c>
      <c r="AR599" s="314">
        <v>0</v>
      </c>
      <c r="AS599" s="314">
        <v>0</v>
      </c>
      <c r="AT599" s="314">
        <v>2.00466788544</v>
      </c>
      <c r="AU599" s="314">
        <v>0</v>
      </c>
      <c r="AV599" s="314">
        <v>0</v>
      </c>
      <c r="AW599" s="314">
        <v>0</v>
      </c>
      <c r="AX599">
        <v>-451.05022963123179</v>
      </c>
    </row>
    <row r="600" spans="1:50" x14ac:dyDescent="0.35">
      <c r="A600">
        <v>1005</v>
      </c>
      <c r="B600" t="s">
        <v>0</v>
      </c>
      <c r="C600" t="s">
        <v>1864</v>
      </c>
      <c r="D600" t="s">
        <v>4</v>
      </c>
      <c r="E600" t="s">
        <v>951</v>
      </c>
      <c r="F600">
        <v>0</v>
      </c>
      <c r="G600">
        <v>0</v>
      </c>
      <c r="H600">
        <v>0</v>
      </c>
      <c r="I600">
        <v>70380</v>
      </c>
      <c r="J600" s="600">
        <v>70380</v>
      </c>
      <c r="K600" s="7">
        <f t="shared" si="121"/>
        <v>11</v>
      </c>
      <c r="L600" s="7">
        <f t="shared" si="122"/>
        <v>1</v>
      </c>
      <c r="M600" s="243">
        <f t="shared" si="123"/>
        <v>0</v>
      </c>
      <c r="N600" s="243">
        <f>INDEX($AN$4:$AN21496,MATCH($A600,$AH$4:$AH$2000,0))</f>
        <v>0</v>
      </c>
      <c r="O600" s="243">
        <f t="shared" si="128"/>
        <v>0</v>
      </c>
      <c r="P600" s="243">
        <f t="shared" si="124"/>
        <v>0</v>
      </c>
      <c r="Q600" s="243">
        <f t="shared" si="125"/>
        <v>0</v>
      </c>
      <c r="R600" s="243">
        <f t="shared" si="126"/>
        <v>0</v>
      </c>
      <c r="S600" s="243">
        <f t="shared" si="129"/>
        <v>0</v>
      </c>
      <c r="T600" s="243">
        <f t="shared" si="127"/>
        <v>-394.66895092732784</v>
      </c>
      <c r="AA600">
        <v>881</v>
      </c>
      <c r="AB600" t="s">
        <v>0</v>
      </c>
      <c r="AC600" t="s">
        <v>1072</v>
      </c>
      <c r="AD600" t="s">
        <v>7</v>
      </c>
      <c r="AE600" t="s">
        <v>1758</v>
      </c>
      <c r="AF600">
        <v>25</v>
      </c>
      <c r="AG600">
        <v>0</v>
      </c>
      <c r="AH600">
        <v>1005</v>
      </c>
      <c r="AI600" t="s">
        <v>0</v>
      </c>
      <c r="AJ600" t="s">
        <v>1864</v>
      </c>
      <c r="AK600" t="s">
        <v>4</v>
      </c>
      <c r="AL600" t="s">
        <v>951</v>
      </c>
      <c r="AM600" s="314">
        <v>0</v>
      </c>
      <c r="AN600" s="314">
        <v>0</v>
      </c>
      <c r="AO600" s="314">
        <v>0</v>
      </c>
      <c r="AP600" s="314">
        <v>0</v>
      </c>
      <c r="AQ600" s="314">
        <v>0</v>
      </c>
      <c r="AR600" s="314">
        <v>0</v>
      </c>
      <c r="AS600" s="314">
        <v>0</v>
      </c>
      <c r="AT600" s="314">
        <v>1.75408439976</v>
      </c>
      <c r="AU600" s="314">
        <v>0</v>
      </c>
      <c r="AV600" s="314">
        <v>0</v>
      </c>
      <c r="AW600" s="314">
        <v>0</v>
      </c>
      <c r="AX600">
        <v>-394.66895092732784</v>
      </c>
    </row>
    <row r="601" spans="1:50" x14ac:dyDescent="0.35">
      <c r="A601">
        <v>1031</v>
      </c>
      <c r="B601" t="s">
        <v>0</v>
      </c>
      <c r="C601" t="s">
        <v>1864</v>
      </c>
      <c r="D601" t="s">
        <v>4</v>
      </c>
      <c r="E601" t="s">
        <v>952</v>
      </c>
      <c r="F601">
        <v>0</v>
      </c>
      <c r="G601">
        <v>0</v>
      </c>
      <c r="H601">
        <v>0</v>
      </c>
      <c r="I601">
        <v>70380</v>
      </c>
      <c r="J601" s="600">
        <v>70380</v>
      </c>
      <c r="K601" s="7">
        <f t="shared" si="121"/>
        <v>10</v>
      </c>
      <c r="L601" s="7">
        <f t="shared" si="122"/>
        <v>0</v>
      </c>
      <c r="M601" s="243">
        <f t="shared" si="123"/>
        <v>0</v>
      </c>
      <c r="N601" s="243">
        <f>INDEX($AN$4:$AN21497,MATCH($A601,$AH$4:$AH$2000,0))</f>
        <v>0</v>
      </c>
      <c r="O601" s="243">
        <f t="shared" si="128"/>
        <v>0</v>
      </c>
      <c r="P601" s="243">
        <f t="shared" si="124"/>
        <v>621234.11326824513</v>
      </c>
      <c r="Q601" s="243">
        <f t="shared" si="125"/>
        <v>0</v>
      </c>
      <c r="R601" s="243">
        <f t="shared" si="126"/>
        <v>0</v>
      </c>
      <c r="S601" s="243">
        <f t="shared" si="129"/>
        <v>0</v>
      </c>
      <c r="T601" s="243">
        <f t="shared" si="127"/>
        <v>-16107.818096379237</v>
      </c>
      <c r="AA601">
        <v>856</v>
      </c>
      <c r="AB601" t="s">
        <v>0</v>
      </c>
      <c r="AC601" t="s">
        <v>1072</v>
      </c>
      <c r="AD601" t="s">
        <v>7</v>
      </c>
      <c r="AE601" t="s">
        <v>1759</v>
      </c>
      <c r="AF601">
        <v>15</v>
      </c>
      <c r="AG601">
        <v>0</v>
      </c>
      <c r="AH601">
        <v>1031</v>
      </c>
      <c r="AI601" t="s">
        <v>0</v>
      </c>
      <c r="AJ601" t="s">
        <v>1864</v>
      </c>
      <c r="AK601" t="s">
        <v>4</v>
      </c>
      <c r="AL601" t="s">
        <v>952</v>
      </c>
      <c r="AM601" s="314">
        <v>0</v>
      </c>
      <c r="AN601" s="314">
        <v>0</v>
      </c>
      <c r="AO601" s="314">
        <v>0</v>
      </c>
      <c r="AP601" s="314">
        <v>621234.11326824513</v>
      </c>
      <c r="AQ601" s="314">
        <v>0</v>
      </c>
      <c r="AR601" s="314">
        <v>0</v>
      </c>
      <c r="AS601" s="314">
        <v>0</v>
      </c>
      <c r="AT601" s="314">
        <v>71.590309728299999</v>
      </c>
      <c r="AU601" s="314">
        <v>0</v>
      </c>
      <c r="AV601" s="314">
        <v>0</v>
      </c>
      <c r="AW601" s="314">
        <v>0</v>
      </c>
      <c r="AX601">
        <v>-16107.818096379237</v>
      </c>
    </row>
    <row r="602" spans="1:50" x14ac:dyDescent="0.35">
      <c r="A602">
        <v>1032</v>
      </c>
      <c r="B602" t="s">
        <v>0</v>
      </c>
      <c r="C602" t="s">
        <v>1864</v>
      </c>
      <c r="D602" t="s">
        <v>4</v>
      </c>
      <c r="E602" t="s">
        <v>953</v>
      </c>
      <c r="F602">
        <v>0</v>
      </c>
      <c r="G602">
        <v>0</v>
      </c>
      <c r="H602">
        <v>0</v>
      </c>
      <c r="I602">
        <v>70380</v>
      </c>
      <c r="J602" s="600">
        <v>70380</v>
      </c>
      <c r="K602" s="7">
        <f t="shared" si="121"/>
        <v>11</v>
      </c>
      <c r="L602" s="7">
        <f t="shared" si="122"/>
        <v>1</v>
      </c>
      <c r="M602" s="243">
        <f t="shared" si="123"/>
        <v>0</v>
      </c>
      <c r="N602" s="243">
        <f>INDEX($AN$4:$AN21498,MATCH($A602,$AH$4:$AH$2000,0))</f>
        <v>0</v>
      </c>
      <c r="O602" s="243">
        <f t="shared" si="128"/>
        <v>0</v>
      </c>
      <c r="P602" s="243">
        <f t="shared" si="124"/>
        <v>0</v>
      </c>
      <c r="Q602" s="243">
        <f t="shared" si="125"/>
        <v>0</v>
      </c>
      <c r="R602" s="243">
        <f t="shared" si="126"/>
        <v>0</v>
      </c>
      <c r="S602" s="243">
        <f t="shared" si="129"/>
        <v>0</v>
      </c>
      <c r="T602" s="243">
        <f t="shared" si="127"/>
        <v>-413.46271049529577</v>
      </c>
      <c r="AA602">
        <v>907</v>
      </c>
      <c r="AB602" t="s">
        <v>0</v>
      </c>
      <c r="AC602" t="s">
        <v>1072</v>
      </c>
      <c r="AD602" t="s">
        <v>7</v>
      </c>
      <c r="AE602" t="s">
        <v>1760</v>
      </c>
      <c r="AF602">
        <v>25</v>
      </c>
      <c r="AG602">
        <v>0</v>
      </c>
      <c r="AH602">
        <v>1032</v>
      </c>
      <c r="AI602" t="s">
        <v>0</v>
      </c>
      <c r="AJ602" t="s">
        <v>1864</v>
      </c>
      <c r="AK602" t="s">
        <v>4</v>
      </c>
      <c r="AL602" t="s">
        <v>953</v>
      </c>
      <c r="AM602" s="314">
        <v>0</v>
      </c>
      <c r="AN602" s="314">
        <v>0</v>
      </c>
      <c r="AO602" s="314">
        <v>0</v>
      </c>
      <c r="AP602" s="314">
        <v>0</v>
      </c>
      <c r="AQ602" s="314">
        <v>0</v>
      </c>
      <c r="AR602" s="314">
        <v>0</v>
      </c>
      <c r="AS602" s="314">
        <v>0</v>
      </c>
      <c r="AT602" s="314">
        <v>1.8376122283199996</v>
      </c>
      <c r="AU602" s="314">
        <v>0</v>
      </c>
      <c r="AV602" s="314">
        <v>0</v>
      </c>
      <c r="AW602" s="314">
        <v>0</v>
      </c>
      <c r="AX602">
        <v>-413.46271049529577</v>
      </c>
    </row>
    <row r="603" spans="1:50" x14ac:dyDescent="0.35">
      <c r="A603">
        <v>1033</v>
      </c>
      <c r="B603" t="s">
        <v>0</v>
      </c>
      <c r="C603" t="s">
        <v>1864</v>
      </c>
      <c r="D603" t="s">
        <v>4</v>
      </c>
      <c r="E603" t="s">
        <v>954</v>
      </c>
      <c r="F603">
        <v>0</v>
      </c>
      <c r="G603">
        <v>0</v>
      </c>
      <c r="H603">
        <v>0</v>
      </c>
      <c r="I603">
        <v>70380</v>
      </c>
      <c r="J603" s="600">
        <v>70380</v>
      </c>
      <c r="K603" s="7">
        <f t="shared" si="121"/>
        <v>12</v>
      </c>
      <c r="L603" s="7">
        <f t="shared" si="122"/>
        <v>2</v>
      </c>
      <c r="M603" s="243">
        <f t="shared" si="123"/>
        <v>0</v>
      </c>
      <c r="N603" s="243">
        <f>INDEX($AN$4:$AN21499,MATCH($A603,$AH$4:$AH$2000,0))</f>
        <v>0</v>
      </c>
      <c r="O603" s="243">
        <f t="shared" si="128"/>
        <v>0</v>
      </c>
      <c r="P603" s="243">
        <f t="shared" si="124"/>
        <v>0</v>
      </c>
      <c r="Q603" s="243">
        <f t="shared" si="125"/>
        <v>0</v>
      </c>
      <c r="R603" s="243">
        <f t="shared" si="126"/>
        <v>0</v>
      </c>
      <c r="S603" s="243">
        <f t="shared" si="129"/>
        <v>0</v>
      </c>
      <c r="T603" s="243">
        <f t="shared" si="127"/>
        <v>-361.77987168338387</v>
      </c>
      <c r="AA603">
        <v>909</v>
      </c>
      <c r="AB603" t="s">
        <v>0</v>
      </c>
      <c r="AC603" t="s">
        <v>1072</v>
      </c>
      <c r="AD603" t="s">
        <v>7</v>
      </c>
      <c r="AE603" t="s">
        <v>1761</v>
      </c>
      <c r="AF603">
        <v>25</v>
      </c>
      <c r="AG603">
        <v>0</v>
      </c>
      <c r="AH603">
        <v>1033</v>
      </c>
      <c r="AI603" t="s">
        <v>0</v>
      </c>
      <c r="AJ603" t="s">
        <v>1864</v>
      </c>
      <c r="AK603" t="s">
        <v>4</v>
      </c>
      <c r="AL603" t="s">
        <v>954</v>
      </c>
      <c r="AM603" s="314">
        <v>0</v>
      </c>
      <c r="AN603" s="314">
        <v>0</v>
      </c>
      <c r="AO603" s="314">
        <v>0</v>
      </c>
      <c r="AP603" s="314">
        <v>0</v>
      </c>
      <c r="AQ603" s="314">
        <v>0</v>
      </c>
      <c r="AR603" s="314">
        <v>0</v>
      </c>
      <c r="AS603" s="314">
        <v>0</v>
      </c>
      <c r="AT603" s="314">
        <v>1.6079106997799999</v>
      </c>
      <c r="AU603" s="314">
        <v>0</v>
      </c>
      <c r="AV603" s="314">
        <v>0</v>
      </c>
      <c r="AW603" s="314">
        <v>0</v>
      </c>
      <c r="AX603">
        <v>-361.77987168338387</v>
      </c>
    </row>
    <row r="604" spans="1:50" x14ac:dyDescent="0.35">
      <c r="A604">
        <v>950</v>
      </c>
      <c r="B604" t="s">
        <v>0</v>
      </c>
      <c r="C604" t="s">
        <v>1864</v>
      </c>
      <c r="D604" t="s">
        <v>4</v>
      </c>
      <c r="E604" t="s">
        <v>955</v>
      </c>
      <c r="F604">
        <v>693059</v>
      </c>
      <c r="G604">
        <v>0</v>
      </c>
      <c r="H604">
        <v>0</v>
      </c>
      <c r="I604">
        <v>0</v>
      </c>
      <c r="J604" s="600">
        <v>693059</v>
      </c>
      <c r="K604" s="7">
        <f t="shared" si="121"/>
        <v>10</v>
      </c>
      <c r="L604" s="7">
        <f t="shared" si="122"/>
        <v>0</v>
      </c>
      <c r="M604" s="243">
        <f t="shared" si="123"/>
        <v>19818780.947885051</v>
      </c>
      <c r="N604" s="243">
        <f>INDEX($AN$4:$AN21500,MATCH($A604,$AH$4:$AH$2000,0))</f>
        <v>0</v>
      </c>
      <c r="O604" s="243">
        <f t="shared" ref="O604:O623" si="130">INDEX($AO$4:$AO$2000,MATCH($A604,$AH$4:$AH$2000,0))</f>
        <v>0</v>
      </c>
      <c r="P604" s="243">
        <f t="shared" si="124"/>
        <v>0</v>
      </c>
      <c r="Q604" s="243">
        <f t="shared" si="125"/>
        <v>-513876.02770402603</v>
      </c>
      <c r="R604" s="243">
        <f t="shared" si="126"/>
        <v>0</v>
      </c>
      <c r="S604" s="243">
        <f t="shared" ref="S604:S623" si="131">INDEX($AW$4:$AW$2000,MATCH($A604,$AH$4:$AH$2000,0))</f>
        <v>0</v>
      </c>
      <c r="T604" s="243">
        <f t="shared" si="127"/>
        <v>0</v>
      </c>
      <c r="AA604">
        <v>882</v>
      </c>
      <c r="AB604" t="s">
        <v>0</v>
      </c>
      <c r="AC604" t="s">
        <v>1072</v>
      </c>
      <c r="AD604" t="s">
        <v>7</v>
      </c>
      <c r="AE604" t="s">
        <v>1762</v>
      </c>
      <c r="AF604">
        <v>25</v>
      </c>
      <c r="AG604">
        <v>0</v>
      </c>
      <c r="AH604">
        <v>950</v>
      </c>
      <c r="AI604" t="s">
        <v>0</v>
      </c>
      <c r="AJ604" t="s">
        <v>1864</v>
      </c>
      <c r="AK604" t="s">
        <v>4</v>
      </c>
      <c r="AL604" t="s">
        <v>955</v>
      </c>
      <c r="AM604" s="314">
        <v>19818780.947885051</v>
      </c>
      <c r="AN604" s="314">
        <v>0</v>
      </c>
      <c r="AO604" s="314">
        <v>0</v>
      </c>
      <c r="AP604" s="314">
        <v>0</v>
      </c>
      <c r="AQ604" s="314">
        <v>2283.8936822578798</v>
      </c>
      <c r="AR604" s="314">
        <v>0</v>
      </c>
      <c r="AS604" s="314">
        <v>0</v>
      </c>
      <c r="AT604" s="314">
        <v>0</v>
      </c>
      <c r="AU604" s="314">
        <v>-513876.02770402603</v>
      </c>
      <c r="AV604" s="314">
        <v>0</v>
      </c>
      <c r="AW604" s="314">
        <v>0</v>
      </c>
      <c r="AX604">
        <v>0</v>
      </c>
    </row>
    <row r="605" spans="1:50" x14ac:dyDescent="0.35">
      <c r="A605">
        <v>951</v>
      </c>
      <c r="B605" t="s">
        <v>0</v>
      </c>
      <c r="C605" t="s">
        <v>1864</v>
      </c>
      <c r="D605" t="s">
        <v>4</v>
      </c>
      <c r="E605" t="s">
        <v>956</v>
      </c>
      <c r="F605">
        <v>0</v>
      </c>
      <c r="G605">
        <v>693059</v>
      </c>
      <c r="H605">
        <v>0</v>
      </c>
      <c r="I605">
        <v>0</v>
      </c>
      <c r="J605" s="600">
        <v>693059</v>
      </c>
      <c r="K605" s="7">
        <f t="shared" si="121"/>
        <v>10</v>
      </c>
      <c r="L605" s="7">
        <f t="shared" si="122"/>
        <v>0</v>
      </c>
      <c r="M605" s="243">
        <f t="shared" si="123"/>
        <v>0</v>
      </c>
      <c r="N605" s="243">
        <f>INDEX($AN$4:$AN21501,MATCH($A605,$AH$4:$AH$2000,0))</f>
        <v>508717.37192432221</v>
      </c>
      <c r="O605" s="243">
        <f t="shared" si="130"/>
        <v>0</v>
      </c>
      <c r="P605" s="243">
        <f t="shared" si="124"/>
        <v>0</v>
      </c>
      <c r="Q605" s="243">
        <f t="shared" si="125"/>
        <v>0</v>
      </c>
      <c r="R605" s="243">
        <f t="shared" si="126"/>
        <v>-13190.400711119384</v>
      </c>
      <c r="S605" s="243">
        <f t="shared" si="131"/>
        <v>0</v>
      </c>
      <c r="T605" s="243">
        <f t="shared" si="127"/>
        <v>0</v>
      </c>
      <c r="AA605">
        <v>864</v>
      </c>
      <c r="AB605" t="s">
        <v>0</v>
      </c>
      <c r="AC605" t="s">
        <v>1072</v>
      </c>
      <c r="AD605" t="s">
        <v>7</v>
      </c>
      <c r="AE605" t="s">
        <v>1763</v>
      </c>
      <c r="AF605">
        <v>20</v>
      </c>
      <c r="AG605">
        <v>0</v>
      </c>
      <c r="AH605">
        <v>951</v>
      </c>
      <c r="AI605" t="s">
        <v>0</v>
      </c>
      <c r="AJ605" t="s">
        <v>1864</v>
      </c>
      <c r="AK605" t="s">
        <v>4</v>
      </c>
      <c r="AL605" t="s">
        <v>956</v>
      </c>
      <c r="AM605" s="314">
        <v>0</v>
      </c>
      <c r="AN605" s="314">
        <v>508717.37192432221</v>
      </c>
      <c r="AO605" s="314">
        <v>0</v>
      </c>
      <c r="AP605" s="314">
        <v>0</v>
      </c>
      <c r="AQ605" s="314">
        <v>0</v>
      </c>
      <c r="AR605" s="314">
        <v>58.624008956352007</v>
      </c>
      <c r="AS605" s="314">
        <v>0</v>
      </c>
      <c r="AT605" s="314">
        <v>0</v>
      </c>
      <c r="AU605" s="314">
        <v>0</v>
      </c>
      <c r="AV605" s="314">
        <v>-13190.400711119384</v>
      </c>
      <c r="AW605" s="314">
        <v>0</v>
      </c>
      <c r="AX605">
        <v>0</v>
      </c>
    </row>
    <row r="606" spans="1:50" x14ac:dyDescent="0.35">
      <c r="A606">
        <v>952</v>
      </c>
      <c r="B606" t="s">
        <v>0</v>
      </c>
      <c r="C606" t="s">
        <v>1864</v>
      </c>
      <c r="D606" t="s">
        <v>4</v>
      </c>
      <c r="E606" t="s">
        <v>957</v>
      </c>
      <c r="F606">
        <v>0</v>
      </c>
      <c r="G606">
        <v>0</v>
      </c>
      <c r="H606">
        <v>693059</v>
      </c>
      <c r="I606">
        <v>0</v>
      </c>
      <c r="J606" s="600">
        <v>693059</v>
      </c>
      <c r="K606" s="7">
        <f t="shared" si="121"/>
        <v>10</v>
      </c>
      <c r="L606" s="7">
        <f t="shared" si="122"/>
        <v>0</v>
      </c>
      <c r="M606" s="243">
        <f t="shared" si="123"/>
        <v>0</v>
      </c>
      <c r="N606" s="243">
        <f>INDEX($AN$4:$AN21502,MATCH($A606,$AH$4:$AH$2000,0))</f>
        <v>0</v>
      </c>
      <c r="O606" s="243">
        <f t="shared" si="130"/>
        <v>445127.70043378195</v>
      </c>
      <c r="P606" s="243">
        <f t="shared" si="124"/>
        <v>0</v>
      </c>
      <c r="Q606" s="243">
        <f t="shared" si="125"/>
        <v>0</v>
      </c>
      <c r="R606" s="243">
        <f t="shared" si="126"/>
        <v>0</v>
      </c>
      <c r="S606" s="243">
        <f t="shared" si="131"/>
        <v>-11541.600622229464</v>
      </c>
      <c r="T606" s="243">
        <f t="shared" si="127"/>
        <v>0</v>
      </c>
      <c r="AA606">
        <v>904</v>
      </c>
      <c r="AB606" t="s">
        <v>0</v>
      </c>
      <c r="AC606" t="s">
        <v>1072</v>
      </c>
      <c r="AD606" t="s">
        <v>7</v>
      </c>
      <c r="AE606" t="s">
        <v>1764</v>
      </c>
      <c r="AF606">
        <v>5</v>
      </c>
      <c r="AG606">
        <v>0</v>
      </c>
      <c r="AH606">
        <v>952</v>
      </c>
      <c r="AI606" t="s">
        <v>0</v>
      </c>
      <c r="AJ606" t="s">
        <v>1864</v>
      </c>
      <c r="AK606" t="s">
        <v>4</v>
      </c>
      <c r="AL606" t="s">
        <v>957</v>
      </c>
      <c r="AM606" s="314">
        <v>0</v>
      </c>
      <c r="AN606" s="314">
        <v>0</v>
      </c>
      <c r="AO606" s="314">
        <v>445127.70043378195</v>
      </c>
      <c r="AP606" s="314">
        <v>0</v>
      </c>
      <c r="AQ606" s="314">
        <v>0</v>
      </c>
      <c r="AR606" s="314">
        <v>0</v>
      </c>
      <c r="AS606" s="314">
        <v>51.296007836808016</v>
      </c>
      <c r="AT606" s="314">
        <v>0</v>
      </c>
      <c r="AU606" s="314">
        <v>0</v>
      </c>
      <c r="AV606" s="314">
        <v>0</v>
      </c>
      <c r="AW606" s="314">
        <v>-11541.600622229464</v>
      </c>
      <c r="AX606">
        <v>0</v>
      </c>
    </row>
    <row r="607" spans="1:50" x14ac:dyDescent="0.35">
      <c r="A607">
        <v>978</v>
      </c>
      <c r="B607" t="s">
        <v>0</v>
      </c>
      <c r="C607" t="s">
        <v>1864</v>
      </c>
      <c r="D607" t="s">
        <v>4</v>
      </c>
      <c r="E607" t="s">
        <v>958</v>
      </c>
      <c r="F607">
        <v>0</v>
      </c>
      <c r="G607">
        <v>693059</v>
      </c>
      <c r="H607">
        <v>0</v>
      </c>
      <c r="I607">
        <v>0</v>
      </c>
      <c r="J607" s="600">
        <v>693059</v>
      </c>
      <c r="K607" s="7">
        <f t="shared" si="121"/>
        <v>10</v>
      </c>
      <c r="L607" s="7">
        <f t="shared" si="122"/>
        <v>0</v>
      </c>
      <c r="M607" s="243">
        <f t="shared" si="123"/>
        <v>0</v>
      </c>
      <c r="N607" s="243">
        <f>INDEX($AN$4:$AN21503,MATCH($A607,$AH$4:$AH$2000,0))</f>
        <v>18403153.737321831</v>
      </c>
      <c r="O607" s="243">
        <f t="shared" si="130"/>
        <v>0</v>
      </c>
      <c r="P607" s="243">
        <f t="shared" si="124"/>
        <v>0</v>
      </c>
      <c r="Q607" s="243">
        <f t="shared" si="125"/>
        <v>0</v>
      </c>
      <c r="R607" s="243">
        <f t="shared" si="126"/>
        <v>-477170.59715373837</v>
      </c>
      <c r="S607" s="243">
        <f t="shared" si="131"/>
        <v>0</v>
      </c>
      <c r="T607" s="243">
        <f t="shared" si="127"/>
        <v>0</v>
      </c>
      <c r="AA607">
        <v>863</v>
      </c>
      <c r="AB607" t="s">
        <v>0</v>
      </c>
      <c r="AC607" t="s">
        <v>1072</v>
      </c>
      <c r="AD607" t="s">
        <v>7</v>
      </c>
      <c r="AE607" t="s">
        <v>1765</v>
      </c>
      <c r="AF607">
        <v>25</v>
      </c>
      <c r="AG607">
        <v>0</v>
      </c>
      <c r="AH607">
        <v>978</v>
      </c>
      <c r="AI607" t="s">
        <v>0</v>
      </c>
      <c r="AJ607" t="s">
        <v>1864</v>
      </c>
      <c r="AK607" t="s">
        <v>4</v>
      </c>
      <c r="AL607" t="s">
        <v>958</v>
      </c>
      <c r="AM607" s="314">
        <v>0</v>
      </c>
      <c r="AN607" s="314">
        <v>18403153.737321831</v>
      </c>
      <c r="AO607" s="314">
        <v>0</v>
      </c>
      <c r="AP607" s="314">
        <v>0</v>
      </c>
      <c r="AQ607" s="314">
        <v>0</v>
      </c>
      <c r="AR607" s="314">
        <v>2120.7584192394597</v>
      </c>
      <c r="AS607" s="314">
        <v>0</v>
      </c>
      <c r="AT607" s="314">
        <v>0</v>
      </c>
      <c r="AU607" s="314">
        <v>0</v>
      </c>
      <c r="AV607" s="314">
        <v>-477170.59715373837</v>
      </c>
      <c r="AW607" s="314">
        <v>0</v>
      </c>
      <c r="AX607">
        <v>0</v>
      </c>
    </row>
    <row r="608" spans="1:50" x14ac:dyDescent="0.35">
      <c r="A608">
        <v>979</v>
      </c>
      <c r="B608" t="s">
        <v>0</v>
      </c>
      <c r="C608" t="s">
        <v>1864</v>
      </c>
      <c r="D608" t="s">
        <v>4</v>
      </c>
      <c r="E608" t="s">
        <v>959</v>
      </c>
      <c r="F608">
        <v>0</v>
      </c>
      <c r="G608">
        <v>0</v>
      </c>
      <c r="H608">
        <v>693059</v>
      </c>
      <c r="I608">
        <v>0</v>
      </c>
      <c r="J608" s="600">
        <v>693059</v>
      </c>
      <c r="K608" s="7">
        <f t="shared" si="121"/>
        <v>10</v>
      </c>
      <c r="L608" s="7">
        <f t="shared" si="122"/>
        <v>0</v>
      </c>
      <c r="M608" s="243">
        <f t="shared" si="123"/>
        <v>0</v>
      </c>
      <c r="N608" s="243">
        <f>INDEX($AN$4:$AN21504,MATCH($A608,$AH$4:$AH$2000,0))</f>
        <v>0</v>
      </c>
      <c r="O608" s="243">
        <f t="shared" si="130"/>
        <v>472380.41678687057</v>
      </c>
      <c r="P608" s="243">
        <f t="shared" si="124"/>
        <v>0</v>
      </c>
      <c r="Q608" s="243">
        <f t="shared" si="125"/>
        <v>0</v>
      </c>
      <c r="R608" s="243">
        <f t="shared" si="126"/>
        <v>0</v>
      </c>
      <c r="S608" s="243">
        <f t="shared" si="131"/>
        <v>-12248.229231753712</v>
      </c>
      <c r="T608" s="243">
        <f t="shared" si="127"/>
        <v>0</v>
      </c>
      <c r="AA608">
        <v>905</v>
      </c>
      <c r="AB608" t="s">
        <v>0</v>
      </c>
      <c r="AC608" t="s">
        <v>1072</v>
      </c>
      <c r="AD608" t="s">
        <v>7</v>
      </c>
      <c r="AE608" t="s">
        <v>1766</v>
      </c>
      <c r="AF608">
        <v>5</v>
      </c>
      <c r="AG608">
        <v>0</v>
      </c>
      <c r="AH608">
        <v>979</v>
      </c>
      <c r="AI608" t="s">
        <v>0</v>
      </c>
      <c r="AJ608" t="s">
        <v>1864</v>
      </c>
      <c r="AK608" t="s">
        <v>4</v>
      </c>
      <c r="AL608" t="s">
        <v>959</v>
      </c>
      <c r="AM608" s="314">
        <v>0</v>
      </c>
      <c r="AN608" s="314">
        <v>0</v>
      </c>
      <c r="AO608" s="314">
        <v>472380.41678687057</v>
      </c>
      <c r="AP608" s="314">
        <v>0</v>
      </c>
      <c r="AQ608" s="314">
        <v>0</v>
      </c>
      <c r="AR608" s="314">
        <v>0</v>
      </c>
      <c r="AS608" s="314">
        <v>54.436579745184005</v>
      </c>
      <c r="AT608" s="314">
        <v>0</v>
      </c>
      <c r="AU608" s="314">
        <v>0</v>
      </c>
      <c r="AV608" s="314">
        <v>0</v>
      </c>
      <c r="AW608" s="314">
        <v>-12248.229231753712</v>
      </c>
      <c r="AX608">
        <v>0</v>
      </c>
    </row>
    <row r="609" spans="1:50" x14ac:dyDescent="0.35">
      <c r="A609">
        <v>980</v>
      </c>
      <c r="B609" t="s">
        <v>0</v>
      </c>
      <c r="C609" t="s">
        <v>1864</v>
      </c>
      <c r="D609" t="s">
        <v>4</v>
      </c>
      <c r="E609" t="s">
        <v>960</v>
      </c>
      <c r="F609">
        <v>0</v>
      </c>
      <c r="G609">
        <v>0</v>
      </c>
      <c r="H609">
        <v>0</v>
      </c>
      <c r="I609">
        <v>693059</v>
      </c>
      <c r="J609" s="600">
        <v>693059</v>
      </c>
      <c r="K609" s="7">
        <f t="shared" si="121"/>
        <v>10</v>
      </c>
      <c r="L609" s="7">
        <f t="shared" si="122"/>
        <v>0</v>
      </c>
      <c r="M609" s="243">
        <f t="shared" si="123"/>
        <v>0</v>
      </c>
      <c r="N609" s="243">
        <f>INDEX($AN$4:$AN21505,MATCH($A609,$AH$4:$AH$2000,0))</f>
        <v>0</v>
      </c>
      <c r="O609" s="243">
        <f t="shared" si="130"/>
        <v>0</v>
      </c>
      <c r="P609" s="243">
        <f t="shared" si="124"/>
        <v>413332.86468851182</v>
      </c>
      <c r="Q609" s="243">
        <f t="shared" si="125"/>
        <v>0</v>
      </c>
      <c r="R609" s="243">
        <f t="shared" si="126"/>
        <v>0</v>
      </c>
      <c r="S609" s="243">
        <f t="shared" si="131"/>
        <v>0</v>
      </c>
      <c r="T609" s="243">
        <f t="shared" si="127"/>
        <v>-10717.200577784501</v>
      </c>
      <c r="AA609">
        <v>858</v>
      </c>
      <c r="AB609" t="s">
        <v>0</v>
      </c>
      <c r="AC609" t="s">
        <v>1072</v>
      </c>
      <c r="AD609" t="s">
        <v>7</v>
      </c>
      <c r="AE609" t="s">
        <v>1868</v>
      </c>
      <c r="AF609">
        <v>15</v>
      </c>
      <c r="AG609">
        <v>0</v>
      </c>
      <c r="AH609">
        <v>980</v>
      </c>
      <c r="AI609" t="s">
        <v>0</v>
      </c>
      <c r="AJ609" t="s">
        <v>1864</v>
      </c>
      <c r="AK609" t="s">
        <v>4</v>
      </c>
      <c r="AL609" t="s">
        <v>960</v>
      </c>
      <c r="AM609" s="314">
        <v>0</v>
      </c>
      <c r="AN609" s="314">
        <v>0</v>
      </c>
      <c r="AO609" s="314">
        <v>0</v>
      </c>
      <c r="AP609" s="314">
        <v>413332.86468851182</v>
      </c>
      <c r="AQ609" s="314">
        <v>0</v>
      </c>
      <c r="AR609" s="314">
        <v>0</v>
      </c>
      <c r="AS609" s="314">
        <v>0</v>
      </c>
      <c r="AT609" s="314">
        <v>47.632007277036017</v>
      </c>
      <c r="AU609" s="314">
        <v>0</v>
      </c>
      <c r="AV609" s="314">
        <v>0</v>
      </c>
      <c r="AW609" s="314">
        <v>0</v>
      </c>
      <c r="AX609">
        <v>-10717.200577784501</v>
      </c>
    </row>
    <row r="610" spans="1:50" x14ac:dyDescent="0.35">
      <c r="A610">
        <v>1006</v>
      </c>
      <c r="B610" t="s">
        <v>0</v>
      </c>
      <c r="C610" t="s">
        <v>1864</v>
      </c>
      <c r="D610" t="s">
        <v>4</v>
      </c>
      <c r="E610" t="s">
        <v>961</v>
      </c>
      <c r="F610">
        <v>0</v>
      </c>
      <c r="G610">
        <v>0</v>
      </c>
      <c r="H610">
        <v>785433</v>
      </c>
      <c r="I610">
        <v>0</v>
      </c>
      <c r="J610" s="600">
        <v>785433</v>
      </c>
      <c r="K610" s="7">
        <f t="shared" si="121"/>
        <v>10</v>
      </c>
      <c r="L610" s="7">
        <f t="shared" si="122"/>
        <v>0</v>
      </c>
      <c r="M610" s="243">
        <f t="shared" si="123"/>
        <v>0</v>
      </c>
      <c r="N610" s="243">
        <f>INDEX($AN$4:$AN21506,MATCH($A610,$AH$4:$AH$2000,0))</f>
        <v>0</v>
      </c>
      <c r="O610" s="243">
        <f t="shared" si="130"/>
        <v>19251699.959875852</v>
      </c>
      <c r="P610" s="243">
        <f t="shared" si="124"/>
        <v>0</v>
      </c>
      <c r="Q610" s="243">
        <f t="shared" si="125"/>
        <v>0</v>
      </c>
      <c r="R610" s="243">
        <f t="shared" si="126"/>
        <v>0</v>
      </c>
      <c r="S610" s="243">
        <f t="shared" si="131"/>
        <v>-499172.3319383316</v>
      </c>
      <c r="T610" s="243">
        <f t="shared" si="127"/>
        <v>0</v>
      </c>
      <c r="AA610">
        <v>860</v>
      </c>
      <c r="AB610" t="s">
        <v>0</v>
      </c>
      <c r="AC610" t="s">
        <v>1072</v>
      </c>
      <c r="AD610" t="s">
        <v>7</v>
      </c>
      <c r="AE610" t="s">
        <v>1767</v>
      </c>
      <c r="AF610">
        <v>15</v>
      </c>
      <c r="AG610">
        <v>0</v>
      </c>
      <c r="AH610">
        <v>1006</v>
      </c>
      <c r="AI610" t="s">
        <v>0</v>
      </c>
      <c r="AJ610" t="s">
        <v>1864</v>
      </c>
      <c r="AK610" t="s">
        <v>4</v>
      </c>
      <c r="AL610" t="s">
        <v>961</v>
      </c>
      <c r="AM610" s="314">
        <v>0</v>
      </c>
      <c r="AN610" s="314">
        <v>0</v>
      </c>
      <c r="AO610" s="314">
        <v>19251699.959875852</v>
      </c>
      <c r="AP610" s="314">
        <v>0</v>
      </c>
      <c r="AQ610" s="314">
        <v>0</v>
      </c>
      <c r="AR610" s="314">
        <v>0</v>
      </c>
      <c r="AS610" s="314">
        <v>2218.5439168384796</v>
      </c>
      <c r="AT610" s="314">
        <v>0</v>
      </c>
      <c r="AU610" s="314">
        <v>0</v>
      </c>
      <c r="AV610" s="314">
        <v>0</v>
      </c>
      <c r="AW610" s="314">
        <v>-499172.3319383316</v>
      </c>
      <c r="AX610">
        <v>0</v>
      </c>
    </row>
    <row r="611" spans="1:50" x14ac:dyDescent="0.35">
      <c r="A611">
        <v>1007</v>
      </c>
      <c r="B611" t="s">
        <v>0</v>
      </c>
      <c r="C611" t="s">
        <v>1864</v>
      </c>
      <c r="D611" t="s">
        <v>4</v>
      </c>
      <c r="E611" t="s">
        <v>962</v>
      </c>
      <c r="F611">
        <v>0</v>
      </c>
      <c r="G611">
        <v>0</v>
      </c>
      <c r="H611">
        <v>0</v>
      </c>
      <c r="I611">
        <v>785433</v>
      </c>
      <c r="J611" s="600">
        <v>785433</v>
      </c>
      <c r="K611" s="7">
        <f t="shared" si="121"/>
        <v>10</v>
      </c>
      <c r="L611" s="7">
        <f t="shared" si="122"/>
        <v>0</v>
      </c>
      <c r="M611" s="243">
        <f t="shared" si="123"/>
        <v>0</v>
      </c>
      <c r="N611" s="243">
        <f>INDEX($AN$4:$AN21507,MATCH($A611,$AH$4:$AH$2000,0))</f>
        <v>0</v>
      </c>
      <c r="O611" s="243">
        <f t="shared" si="130"/>
        <v>0</v>
      </c>
      <c r="P611" s="243">
        <f t="shared" si="124"/>
        <v>494161.2823925353</v>
      </c>
      <c r="Q611" s="243">
        <f t="shared" si="125"/>
        <v>0</v>
      </c>
      <c r="R611" s="243">
        <f t="shared" si="126"/>
        <v>0</v>
      </c>
      <c r="S611" s="243">
        <f t="shared" si="131"/>
        <v>0</v>
      </c>
      <c r="T611" s="243">
        <f t="shared" si="127"/>
        <v>-12812.979643336854</v>
      </c>
      <c r="AA611">
        <v>859</v>
      </c>
      <c r="AB611" t="s">
        <v>0</v>
      </c>
      <c r="AC611" t="s">
        <v>1072</v>
      </c>
      <c r="AD611" t="s">
        <v>7</v>
      </c>
      <c r="AE611" t="s">
        <v>1869</v>
      </c>
      <c r="AF611">
        <v>15</v>
      </c>
      <c r="AG611">
        <v>0</v>
      </c>
      <c r="AH611">
        <v>1007</v>
      </c>
      <c r="AI611" t="s">
        <v>0</v>
      </c>
      <c r="AJ611" t="s">
        <v>1864</v>
      </c>
      <c r="AK611" t="s">
        <v>4</v>
      </c>
      <c r="AL611" t="s">
        <v>962</v>
      </c>
      <c r="AM611" s="314">
        <v>0</v>
      </c>
      <c r="AN611" s="314">
        <v>0</v>
      </c>
      <c r="AO611" s="314">
        <v>0</v>
      </c>
      <c r="AP611" s="314">
        <v>494161.2823925353</v>
      </c>
      <c r="AQ611" s="314">
        <v>0</v>
      </c>
      <c r="AR611" s="314">
        <v>0</v>
      </c>
      <c r="AS611" s="314">
        <v>0</v>
      </c>
      <c r="AT611" s="314">
        <v>56.946581822592009</v>
      </c>
      <c r="AU611" s="314">
        <v>0</v>
      </c>
      <c r="AV611" s="314">
        <v>0</v>
      </c>
      <c r="AW611" s="314">
        <v>0</v>
      </c>
      <c r="AX611">
        <v>-12812.979643336854</v>
      </c>
    </row>
    <row r="612" spans="1:50" x14ac:dyDescent="0.35">
      <c r="A612">
        <v>1008</v>
      </c>
      <c r="B612" t="s">
        <v>0</v>
      </c>
      <c r="C612" t="s">
        <v>1864</v>
      </c>
      <c r="D612" t="s">
        <v>4</v>
      </c>
      <c r="E612" t="s">
        <v>963</v>
      </c>
      <c r="F612">
        <v>0</v>
      </c>
      <c r="G612">
        <v>0</v>
      </c>
      <c r="H612">
        <v>0</v>
      </c>
      <c r="I612">
        <v>785433</v>
      </c>
      <c r="J612" s="600">
        <v>785433</v>
      </c>
      <c r="K612" s="7">
        <f t="shared" si="121"/>
        <v>11</v>
      </c>
      <c r="L612" s="7">
        <f t="shared" si="122"/>
        <v>1</v>
      </c>
      <c r="M612" s="243">
        <f t="shared" si="123"/>
        <v>0</v>
      </c>
      <c r="N612" s="243">
        <f>INDEX($AN$4:$AN21508,MATCH($A612,$AH$4:$AH$2000,0))</f>
        <v>0</v>
      </c>
      <c r="O612" s="243">
        <f t="shared" si="130"/>
        <v>0</v>
      </c>
      <c r="P612" s="243">
        <f t="shared" si="124"/>
        <v>0</v>
      </c>
      <c r="Q612" s="243">
        <f t="shared" si="125"/>
        <v>0</v>
      </c>
      <c r="R612" s="243">
        <f t="shared" si="126"/>
        <v>0</v>
      </c>
      <c r="S612" s="243">
        <f t="shared" si="131"/>
        <v>0</v>
      </c>
      <c r="T612" s="243">
        <f t="shared" si="127"/>
        <v>-11211.35718791975</v>
      </c>
      <c r="AA612">
        <v>891</v>
      </c>
      <c r="AB612" t="s">
        <v>0</v>
      </c>
      <c r="AC612" t="s">
        <v>1072</v>
      </c>
      <c r="AD612" t="s">
        <v>7</v>
      </c>
      <c r="AE612" t="s">
        <v>1768</v>
      </c>
      <c r="AF612">
        <v>20</v>
      </c>
      <c r="AG612">
        <v>0</v>
      </c>
      <c r="AH612">
        <v>1008</v>
      </c>
      <c r="AI612" t="s">
        <v>0</v>
      </c>
      <c r="AJ612" t="s">
        <v>1864</v>
      </c>
      <c r="AK612" t="s">
        <v>4</v>
      </c>
      <c r="AL612" t="s">
        <v>963</v>
      </c>
      <c r="AM612" s="314">
        <v>0</v>
      </c>
      <c r="AN612" s="314">
        <v>0</v>
      </c>
      <c r="AO612" s="314">
        <v>0</v>
      </c>
      <c r="AP612" s="314">
        <v>0</v>
      </c>
      <c r="AQ612" s="314">
        <v>0</v>
      </c>
      <c r="AR612" s="314">
        <v>0</v>
      </c>
      <c r="AS612" s="314">
        <v>0</v>
      </c>
      <c r="AT612" s="314">
        <v>49.828259094768008</v>
      </c>
      <c r="AU612" s="314">
        <v>0</v>
      </c>
      <c r="AV612" s="314">
        <v>0</v>
      </c>
      <c r="AW612" s="314">
        <v>0</v>
      </c>
      <c r="AX612">
        <v>-11211.35718791975</v>
      </c>
    </row>
    <row r="613" spans="1:50" x14ac:dyDescent="0.35">
      <c r="A613">
        <v>1034</v>
      </c>
      <c r="B613" t="s">
        <v>0</v>
      </c>
      <c r="C613" t="s">
        <v>1864</v>
      </c>
      <c r="D613" t="s">
        <v>4</v>
      </c>
      <c r="E613" t="s">
        <v>964</v>
      </c>
      <c r="F613">
        <v>0</v>
      </c>
      <c r="G613">
        <v>0</v>
      </c>
      <c r="H613">
        <v>0</v>
      </c>
      <c r="I613">
        <v>785433</v>
      </c>
      <c r="J613" s="600">
        <v>785433</v>
      </c>
      <c r="K613" s="7">
        <f t="shared" si="121"/>
        <v>10</v>
      </c>
      <c r="L613" s="7">
        <f t="shared" si="122"/>
        <v>0</v>
      </c>
      <c r="M613" s="243">
        <f t="shared" si="123"/>
        <v>0</v>
      </c>
      <c r="N613" s="243">
        <f>INDEX($AN$4:$AN21509,MATCH($A613,$AH$4:$AH$2000,0))</f>
        <v>0</v>
      </c>
      <c r="O613" s="243">
        <f t="shared" si="130"/>
        <v>0</v>
      </c>
      <c r="P613" s="243">
        <f t="shared" si="124"/>
        <v>17647391.629886195</v>
      </c>
      <c r="Q613" s="243">
        <f t="shared" si="125"/>
        <v>0</v>
      </c>
      <c r="R613" s="243">
        <f t="shared" si="126"/>
        <v>0</v>
      </c>
      <c r="S613" s="243">
        <f t="shared" si="131"/>
        <v>0</v>
      </c>
      <c r="T613" s="243">
        <f t="shared" si="127"/>
        <v>-457574.63761013723</v>
      </c>
      <c r="AA613">
        <v>883</v>
      </c>
      <c r="AB613" t="s">
        <v>0</v>
      </c>
      <c r="AC613" t="s">
        <v>1072</v>
      </c>
      <c r="AD613" t="s">
        <v>7</v>
      </c>
      <c r="AE613" t="s">
        <v>1838</v>
      </c>
      <c r="AF613">
        <v>20</v>
      </c>
      <c r="AG613">
        <v>0</v>
      </c>
      <c r="AH613">
        <v>1034</v>
      </c>
      <c r="AI613" t="s">
        <v>0</v>
      </c>
      <c r="AJ613" t="s">
        <v>1864</v>
      </c>
      <c r="AK613" t="s">
        <v>4</v>
      </c>
      <c r="AL613" t="s">
        <v>964</v>
      </c>
      <c r="AM613" s="314">
        <v>0</v>
      </c>
      <c r="AN613" s="314">
        <v>0</v>
      </c>
      <c r="AO613" s="314">
        <v>0</v>
      </c>
      <c r="AP613" s="314">
        <v>17647391.629886195</v>
      </c>
      <c r="AQ613" s="314">
        <v>0</v>
      </c>
      <c r="AR613" s="314">
        <v>0</v>
      </c>
      <c r="AS613" s="314">
        <v>0</v>
      </c>
      <c r="AT613" s="314">
        <v>2033.6652571019397</v>
      </c>
      <c r="AU613" s="314">
        <v>0</v>
      </c>
      <c r="AV613" s="314">
        <v>0</v>
      </c>
      <c r="AW613" s="314">
        <v>0</v>
      </c>
      <c r="AX613">
        <v>-457574.63761013723</v>
      </c>
    </row>
    <row r="614" spans="1:50" x14ac:dyDescent="0.35">
      <c r="A614">
        <v>1035</v>
      </c>
      <c r="B614" t="s">
        <v>0</v>
      </c>
      <c r="C614" t="s">
        <v>1864</v>
      </c>
      <c r="D614" t="s">
        <v>4</v>
      </c>
      <c r="E614" t="s">
        <v>965</v>
      </c>
      <c r="F614">
        <v>0</v>
      </c>
      <c r="G614">
        <v>0</v>
      </c>
      <c r="H614">
        <v>0</v>
      </c>
      <c r="I614">
        <v>785433</v>
      </c>
      <c r="J614" s="600">
        <v>785433</v>
      </c>
      <c r="K614" s="7">
        <f t="shared" si="121"/>
        <v>11</v>
      </c>
      <c r="L614" s="7">
        <f t="shared" si="122"/>
        <v>1</v>
      </c>
      <c r="M614" s="243">
        <f t="shared" si="123"/>
        <v>0</v>
      </c>
      <c r="N614" s="243">
        <f>INDEX($AN$4:$AN21510,MATCH($A614,$AH$4:$AH$2000,0))</f>
        <v>0</v>
      </c>
      <c r="O614" s="243">
        <f t="shared" si="130"/>
        <v>0</v>
      </c>
      <c r="P614" s="243">
        <f t="shared" si="124"/>
        <v>0</v>
      </c>
      <c r="Q614" s="243">
        <f t="shared" si="125"/>
        <v>0</v>
      </c>
      <c r="R614" s="243">
        <f t="shared" si="126"/>
        <v>0</v>
      </c>
      <c r="S614" s="243">
        <f t="shared" si="131"/>
        <v>0</v>
      </c>
      <c r="T614" s="243">
        <f t="shared" si="127"/>
        <v>-11745.231339725447</v>
      </c>
      <c r="AA614">
        <v>885</v>
      </c>
      <c r="AB614" t="s">
        <v>0</v>
      </c>
      <c r="AC614" t="s">
        <v>1072</v>
      </c>
      <c r="AD614" t="s">
        <v>7</v>
      </c>
      <c r="AE614" t="s">
        <v>1769</v>
      </c>
      <c r="AF614">
        <v>20</v>
      </c>
      <c r="AG614">
        <v>0</v>
      </c>
      <c r="AH614">
        <v>1035</v>
      </c>
      <c r="AI614" t="s">
        <v>0</v>
      </c>
      <c r="AJ614" t="s">
        <v>1864</v>
      </c>
      <c r="AK614" t="s">
        <v>4</v>
      </c>
      <c r="AL614" t="s">
        <v>965</v>
      </c>
      <c r="AM614" s="314">
        <v>0</v>
      </c>
      <c r="AN614" s="314">
        <v>0</v>
      </c>
      <c r="AO614" s="314">
        <v>0</v>
      </c>
      <c r="AP614" s="314">
        <v>0</v>
      </c>
      <c r="AQ614" s="314">
        <v>0</v>
      </c>
      <c r="AR614" s="314">
        <v>0</v>
      </c>
      <c r="AS614" s="314">
        <v>0</v>
      </c>
      <c r="AT614" s="314">
        <v>52.201033337375996</v>
      </c>
      <c r="AU614" s="314">
        <v>0</v>
      </c>
      <c r="AV614" s="314">
        <v>0</v>
      </c>
      <c r="AW614" s="314">
        <v>0</v>
      </c>
      <c r="AX614">
        <v>-11745.231339725447</v>
      </c>
    </row>
    <row r="615" spans="1:50" x14ac:dyDescent="0.35">
      <c r="A615">
        <v>1036</v>
      </c>
      <c r="B615" t="s">
        <v>0</v>
      </c>
      <c r="C615" t="s">
        <v>1864</v>
      </c>
      <c r="D615" t="s">
        <v>4</v>
      </c>
      <c r="E615" t="s">
        <v>966</v>
      </c>
      <c r="F615">
        <v>0</v>
      </c>
      <c r="G615">
        <v>0</v>
      </c>
      <c r="H615">
        <v>0</v>
      </c>
      <c r="I615">
        <v>785433</v>
      </c>
      <c r="J615" s="600">
        <v>785433</v>
      </c>
      <c r="K615" s="7">
        <f t="shared" si="121"/>
        <v>12</v>
      </c>
      <c r="L615" s="7">
        <f t="shared" si="122"/>
        <v>2</v>
      </c>
      <c r="M615" s="243">
        <f t="shared" si="123"/>
        <v>0</v>
      </c>
      <c r="N615" s="243">
        <f>INDEX($AN$4:$AN21511,MATCH($A615,$AH$4:$AH$2000,0))</f>
        <v>0</v>
      </c>
      <c r="O615" s="243">
        <f t="shared" si="130"/>
        <v>0</v>
      </c>
      <c r="P615" s="243">
        <f t="shared" si="124"/>
        <v>0</v>
      </c>
      <c r="Q615" s="243">
        <f t="shared" si="125"/>
        <v>0</v>
      </c>
      <c r="R615" s="243">
        <f t="shared" si="126"/>
        <v>0</v>
      </c>
      <c r="S615" s="243">
        <f t="shared" si="131"/>
        <v>0</v>
      </c>
      <c r="T615" s="243">
        <f t="shared" si="127"/>
        <v>-10277.07742225977</v>
      </c>
      <c r="AA615">
        <v>887</v>
      </c>
      <c r="AB615" t="s">
        <v>0</v>
      </c>
      <c r="AC615" t="s">
        <v>1072</v>
      </c>
      <c r="AD615" t="s">
        <v>7</v>
      </c>
      <c r="AE615" t="s">
        <v>1839</v>
      </c>
      <c r="AF615">
        <v>20</v>
      </c>
      <c r="AG615">
        <v>0</v>
      </c>
      <c r="AH615">
        <v>1036</v>
      </c>
      <c r="AI615" t="s">
        <v>0</v>
      </c>
      <c r="AJ615" t="s">
        <v>1864</v>
      </c>
      <c r="AK615" t="s">
        <v>4</v>
      </c>
      <c r="AL615" t="s">
        <v>966</v>
      </c>
      <c r="AM615" s="314">
        <v>0</v>
      </c>
      <c r="AN615" s="314">
        <v>0</v>
      </c>
      <c r="AO615" s="314">
        <v>0</v>
      </c>
      <c r="AP615" s="314">
        <v>0</v>
      </c>
      <c r="AQ615" s="314">
        <v>0</v>
      </c>
      <c r="AR615" s="314">
        <v>0</v>
      </c>
      <c r="AS615" s="314">
        <v>0</v>
      </c>
      <c r="AT615" s="314">
        <v>45.675904170204007</v>
      </c>
      <c r="AU615" s="314">
        <v>0</v>
      </c>
      <c r="AV615" s="314">
        <v>0</v>
      </c>
      <c r="AW615" s="314">
        <v>0</v>
      </c>
      <c r="AX615">
        <v>-10277.07742225977</v>
      </c>
    </row>
    <row r="616" spans="1:50" x14ac:dyDescent="0.35">
      <c r="A616">
        <v>871</v>
      </c>
      <c r="B616" t="s">
        <v>0</v>
      </c>
      <c r="C616" t="s">
        <v>1072</v>
      </c>
      <c r="D616" t="s">
        <v>7</v>
      </c>
      <c r="E616" t="s">
        <v>1772</v>
      </c>
      <c r="F616">
        <v>1</v>
      </c>
      <c r="G616">
        <v>1</v>
      </c>
      <c r="H616">
        <v>1</v>
      </c>
      <c r="I616">
        <v>1</v>
      </c>
      <c r="J616" s="600">
        <v>4</v>
      </c>
      <c r="K616" s="7">
        <f t="shared" si="121"/>
        <v>25</v>
      </c>
      <c r="L616" s="7">
        <f t="shared" si="122"/>
        <v>0</v>
      </c>
      <c r="M616" s="243">
        <f t="shared" si="123"/>
        <v>1509.6000000000001</v>
      </c>
      <c r="N616" s="243">
        <f>INDEX($AN$4:$AN21512,MATCH($A616,$AH$4:$AH$2000,0))</f>
        <v>1509.6000000000001</v>
      </c>
      <c r="O616" s="243">
        <f t="shared" si="130"/>
        <v>1509.6000000000001</v>
      </c>
      <c r="P616" s="243">
        <f t="shared" si="124"/>
        <v>1509.6000000000001</v>
      </c>
      <c r="Q616" s="243">
        <f t="shared" si="125"/>
        <v>0</v>
      </c>
      <c r="R616" s="243">
        <f t="shared" si="126"/>
        <v>0</v>
      </c>
      <c r="S616" s="243">
        <f t="shared" si="131"/>
        <v>0</v>
      </c>
      <c r="T616" s="243">
        <f t="shared" si="127"/>
        <v>0</v>
      </c>
      <c r="AA616">
        <v>889</v>
      </c>
      <c r="AB616" t="s">
        <v>0</v>
      </c>
      <c r="AC616" t="s">
        <v>1072</v>
      </c>
      <c r="AD616" t="s">
        <v>7</v>
      </c>
      <c r="AE616" t="s">
        <v>1770</v>
      </c>
      <c r="AF616">
        <v>20</v>
      </c>
      <c r="AG616">
        <v>0</v>
      </c>
      <c r="AH616">
        <v>871</v>
      </c>
      <c r="AI616" t="s">
        <v>0</v>
      </c>
      <c r="AJ616" t="s">
        <v>1072</v>
      </c>
      <c r="AK616" t="s">
        <v>7</v>
      </c>
      <c r="AL616" t="s">
        <v>1772</v>
      </c>
      <c r="AM616" s="314">
        <v>1509.6000000000001</v>
      </c>
      <c r="AN616" s="314">
        <v>1509.6000000000001</v>
      </c>
      <c r="AO616" s="314">
        <v>1509.6000000000001</v>
      </c>
      <c r="AP616" s="314">
        <v>1509.6000000000001</v>
      </c>
      <c r="AQ616" s="314">
        <v>0</v>
      </c>
      <c r="AR616" s="314">
        <v>0</v>
      </c>
      <c r="AS616" s="314">
        <v>0</v>
      </c>
      <c r="AT616" s="314">
        <v>0</v>
      </c>
      <c r="AU616" s="314">
        <v>0</v>
      </c>
      <c r="AV616" s="314">
        <v>0</v>
      </c>
      <c r="AW616" s="314">
        <v>0</v>
      </c>
      <c r="AX616">
        <v>0</v>
      </c>
    </row>
    <row r="617" spans="1:50" x14ac:dyDescent="0.35">
      <c r="A617">
        <v>876</v>
      </c>
      <c r="B617" t="s">
        <v>0</v>
      </c>
      <c r="C617" t="s">
        <v>1072</v>
      </c>
      <c r="D617" t="s">
        <v>7</v>
      </c>
      <c r="E617" t="s">
        <v>1773</v>
      </c>
      <c r="F617">
        <v>1</v>
      </c>
      <c r="G617">
        <v>1</v>
      </c>
      <c r="H617">
        <v>1</v>
      </c>
      <c r="I617">
        <v>1</v>
      </c>
      <c r="J617" s="600">
        <v>4</v>
      </c>
      <c r="K617" s="7">
        <f t="shared" si="121"/>
        <v>25</v>
      </c>
      <c r="L617" s="7">
        <f t="shared" si="122"/>
        <v>0</v>
      </c>
      <c r="M617" s="243">
        <f t="shared" si="123"/>
        <v>2706.4</v>
      </c>
      <c r="N617" s="243">
        <f>INDEX($AN$4:$AN21513,MATCH($A617,$AH$4:$AH$2000,0))</f>
        <v>2706.4</v>
      </c>
      <c r="O617" s="243">
        <f t="shared" si="130"/>
        <v>2706.4</v>
      </c>
      <c r="P617" s="243">
        <f t="shared" si="124"/>
        <v>2706.4</v>
      </c>
      <c r="Q617" s="243">
        <f t="shared" si="125"/>
        <v>0</v>
      </c>
      <c r="R617" s="243">
        <f t="shared" si="126"/>
        <v>0</v>
      </c>
      <c r="S617" s="243">
        <f t="shared" si="131"/>
        <v>0</v>
      </c>
      <c r="T617" s="243">
        <f t="shared" si="127"/>
        <v>0</v>
      </c>
      <c r="AA617">
        <v>901</v>
      </c>
      <c r="AB617" t="s">
        <v>0</v>
      </c>
      <c r="AC617" t="s">
        <v>1072</v>
      </c>
      <c r="AD617" t="s">
        <v>7</v>
      </c>
      <c r="AE617" t="s">
        <v>1870</v>
      </c>
      <c r="AF617">
        <v>10</v>
      </c>
      <c r="AG617">
        <v>0</v>
      </c>
      <c r="AH617">
        <v>876</v>
      </c>
      <c r="AI617" t="s">
        <v>0</v>
      </c>
      <c r="AJ617" t="s">
        <v>1072</v>
      </c>
      <c r="AK617" t="s">
        <v>7</v>
      </c>
      <c r="AL617" t="s">
        <v>1773</v>
      </c>
      <c r="AM617" s="314">
        <v>2706.4</v>
      </c>
      <c r="AN617" s="314">
        <v>2706.4</v>
      </c>
      <c r="AO617" s="314">
        <v>2706.4</v>
      </c>
      <c r="AP617" s="314">
        <v>2706.4</v>
      </c>
      <c r="AQ617" s="314">
        <v>0.32891042659032199</v>
      </c>
      <c r="AR617" s="314">
        <v>0.32891042659032199</v>
      </c>
      <c r="AS617" s="314">
        <v>0.32891042659032199</v>
      </c>
      <c r="AT617" s="314">
        <v>0.32891042659032199</v>
      </c>
      <c r="AU617" s="314">
        <v>0</v>
      </c>
      <c r="AV617" s="314">
        <v>0</v>
      </c>
      <c r="AW617" s="314">
        <v>0</v>
      </c>
      <c r="AX617">
        <v>0</v>
      </c>
    </row>
    <row r="618" spans="1:50" x14ac:dyDescent="0.35">
      <c r="A618">
        <v>878</v>
      </c>
      <c r="B618" t="s">
        <v>0</v>
      </c>
      <c r="C618" t="s">
        <v>1072</v>
      </c>
      <c r="D618" t="s">
        <v>7</v>
      </c>
      <c r="E618" t="s">
        <v>1774</v>
      </c>
      <c r="F618">
        <v>1</v>
      </c>
      <c r="G618">
        <v>1</v>
      </c>
      <c r="H618">
        <v>1</v>
      </c>
      <c r="I618">
        <v>1</v>
      </c>
      <c r="J618" s="600">
        <v>4</v>
      </c>
      <c r="K618" s="7">
        <f t="shared" si="121"/>
        <v>25</v>
      </c>
      <c r="L618" s="7">
        <f t="shared" si="122"/>
        <v>0</v>
      </c>
      <c r="M618" s="243">
        <f t="shared" si="123"/>
        <v>4406.4000000000005</v>
      </c>
      <c r="N618" s="243">
        <f>INDEX($AN$4:$AN21514,MATCH($A618,$AH$4:$AH$2000,0))</f>
        <v>4406.4000000000005</v>
      </c>
      <c r="O618" s="243">
        <f t="shared" si="130"/>
        <v>4406.4000000000005</v>
      </c>
      <c r="P618" s="243">
        <f t="shared" si="124"/>
        <v>4406.4000000000005</v>
      </c>
      <c r="Q618" s="243">
        <f t="shared" si="125"/>
        <v>0</v>
      </c>
      <c r="R618" s="243">
        <f t="shared" si="126"/>
        <v>0</v>
      </c>
      <c r="S618" s="243">
        <f t="shared" si="131"/>
        <v>0</v>
      </c>
      <c r="T618" s="243">
        <f t="shared" si="127"/>
        <v>0</v>
      </c>
      <c r="AA618">
        <v>900</v>
      </c>
      <c r="AB618" t="s">
        <v>0</v>
      </c>
      <c r="AC618" t="s">
        <v>1072</v>
      </c>
      <c r="AD618" t="s">
        <v>7</v>
      </c>
      <c r="AE618" t="s">
        <v>1871</v>
      </c>
      <c r="AF618">
        <v>10</v>
      </c>
      <c r="AG618">
        <v>0</v>
      </c>
      <c r="AH618">
        <v>878</v>
      </c>
      <c r="AI618" t="s">
        <v>0</v>
      </c>
      <c r="AJ618" t="s">
        <v>1072</v>
      </c>
      <c r="AK618" t="s">
        <v>7</v>
      </c>
      <c r="AL618" t="s">
        <v>1774</v>
      </c>
      <c r="AM618" s="314">
        <v>4406.4000000000005</v>
      </c>
      <c r="AN618" s="314">
        <v>4406.4000000000005</v>
      </c>
      <c r="AO618" s="314">
        <v>4406.4000000000005</v>
      </c>
      <c r="AP618" s="314">
        <v>4406.4000000000005</v>
      </c>
      <c r="AQ618" s="314">
        <v>0.32891042659032199</v>
      </c>
      <c r="AR618" s="314">
        <v>0.32891042659032199</v>
      </c>
      <c r="AS618" s="314">
        <v>0.32891042659032199</v>
      </c>
      <c r="AT618" s="314">
        <v>0.32891042659032199</v>
      </c>
      <c r="AU618" s="314">
        <v>0</v>
      </c>
      <c r="AV618" s="314">
        <v>0</v>
      </c>
      <c r="AW618" s="314">
        <v>0</v>
      </c>
      <c r="AX618">
        <v>0</v>
      </c>
    </row>
    <row r="619" spans="1:50" x14ac:dyDescent="0.35">
      <c r="A619">
        <v>868</v>
      </c>
      <c r="B619" t="s">
        <v>0</v>
      </c>
      <c r="C619" t="s">
        <v>1072</v>
      </c>
      <c r="D619" t="s">
        <v>7</v>
      </c>
      <c r="E619" t="s">
        <v>1775</v>
      </c>
      <c r="F619">
        <v>4</v>
      </c>
      <c r="G619">
        <v>4</v>
      </c>
      <c r="H619">
        <v>4</v>
      </c>
      <c r="I619">
        <v>4</v>
      </c>
      <c r="J619" s="600">
        <v>16</v>
      </c>
      <c r="K619" s="7">
        <f t="shared" si="121"/>
        <v>25</v>
      </c>
      <c r="L619" s="7">
        <f t="shared" si="122"/>
        <v>0</v>
      </c>
      <c r="M619" s="243">
        <f t="shared" si="123"/>
        <v>4025.6</v>
      </c>
      <c r="N619" s="243">
        <f>INDEX($AN$4:$AN21515,MATCH($A619,$AH$4:$AH$2000,0))</f>
        <v>4025.6</v>
      </c>
      <c r="O619" s="243">
        <f t="shared" si="130"/>
        <v>4025.6</v>
      </c>
      <c r="P619" s="243">
        <f t="shared" si="124"/>
        <v>4025.6</v>
      </c>
      <c r="Q619" s="243">
        <f t="shared" si="125"/>
        <v>0</v>
      </c>
      <c r="R619" s="243">
        <f t="shared" si="126"/>
        <v>0</v>
      </c>
      <c r="S619" s="243">
        <f t="shared" si="131"/>
        <v>0</v>
      </c>
      <c r="T619" s="243">
        <f t="shared" si="127"/>
        <v>0</v>
      </c>
      <c r="AA619">
        <v>1</v>
      </c>
      <c r="AB619" t="s">
        <v>1073</v>
      </c>
      <c r="AC619" t="s">
        <v>1074</v>
      </c>
      <c r="AE619" t="s">
        <v>1075</v>
      </c>
      <c r="AF619">
        <v>15</v>
      </c>
      <c r="AG619">
        <v>0</v>
      </c>
      <c r="AH619">
        <v>868</v>
      </c>
      <c r="AI619" t="s">
        <v>0</v>
      </c>
      <c r="AJ619" t="s">
        <v>1072</v>
      </c>
      <c r="AK619" t="s">
        <v>7</v>
      </c>
      <c r="AL619" t="s">
        <v>1775</v>
      </c>
      <c r="AM619" s="314">
        <v>4025.6</v>
      </c>
      <c r="AN619" s="314">
        <v>4025.6</v>
      </c>
      <c r="AO619" s="314">
        <v>4025.6</v>
      </c>
      <c r="AP619" s="314">
        <v>4025.6</v>
      </c>
      <c r="AQ619" s="314">
        <v>0.48928823790295856</v>
      </c>
      <c r="AR619" s="314">
        <v>0.48928823790295856</v>
      </c>
      <c r="AS619" s="314">
        <v>0.48928823790295856</v>
      </c>
      <c r="AT619" s="314">
        <v>0.48928823790295856</v>
      </c>
      <c r="AU619" s="314">
        <v>0</v>
      </c>
      <c r="AV619" s="314">
        <v>0</v>
      </c>
      <c r="AW619" s="314">
        <v>0</v>
      </c>
      <c r="AX619">
        <v>0</v>
      </c>
    </row>
    <row r="620" spans="1:50" x14ac:dyDescent="0.35">
      <c r="A620">
        <v>870</v>
      </c>
      <c r="B620" t="s">
        <v>0</v>
      </c>
      <c r="C620" t="s">
        <v>1072</v>
      </c>
      <c r="D620" t="s">
        <v>7</v>
      </c>
      <c r="E620" t="s">
        <v>1776</v>
      </c>
      <c r="F620">
        <v>7</v>
      </c>
      <c r="G620">
        <v>7</v>
      </c>
      <c r="H620">
        <v>7</v>
      </c>
      <c r="I620">
        <v>7</v>
      </c>
      <c r="J620" s="600">
        <v>28</v>
      </c>
      <c r="K620" s="7">
        <f t="shared" si="121"/>
        <v>25</v>
      </c>
      <c r="L620" s="7">
        <f t="shared" si="122"/>
        <v>0</v>
      </c>
      <c r="M620" s="243">
        <f t="shared" si="123"/>
        <v>11519.199999999999</v>
      </c>
      <c r="N620" s="243">
        <f>INDEX($AN$4:$AN21516,MATCH($A620,$AH$4:$AH$2000,0))</f>
        <v>11519.199999999999</v>
      </c>
      <c r="O620" s="243">
        <f t="shared" si="130"/>
        <v>11519.199999999999</v>
      </c>
      <c r="P620" s="243">
        <f t="shared" si="124"/>
        <v>11519.199999999999</v>
      </c>
      <c r="Q620" s="243">
        <f t="shared" si="125"/>
        <v>0</v>
      </c>
      <c r="R620" s="243">
        <f t="shared" si="126"/>
        <v>0</v>
      </c>
      <c r="S620" s="243">
        <f t="shared" si="131"/>
        <v>0</v>
      </c>
      <c r="T620" s="243">
        <f t="shared" si="127"/>
        <v>0</v>
      </c>
      <c r="AA620">
        <v>2</v>
      </c>
      <c r="AB620" t="s">
        <v>1073</v>
      </c>
      <c r="AC620" t="s">
        <v>1074</v>
      </c>
      <c r="AE620" t="s">
        <v>1076</v>
      </c>
      <c r="AF620">
        <v>15</v>
      </c>
      <c r="AG620">
        <v>0</v>
      </c>
      <c r="AH620">
        <v>870</v>
      </c>
      <c r="AI620" t="s">
        <v>0</v>
      </c>
      <c r="AJ620" t="s">
        <v>1072</v>
      </c>
      <c r="AK620" t="s">
        <v>7</v>
      </c>
      <c r="AL620" t="s">
        <v>1776</v>
      </c>
      <c r="AM620" s="314">
        <v>11519.199999999999</v>
      </c>
      <c r="AN620" s="314">
        <v>11519.199999999999</v>
      </c>
      <c r="AO620" s="314">
        <v>11519.199999999999</v>
      </c>
      <c r="AP620" s="314">
        <v>11519.199999999999</v>
      </c>
      <c r="AQ620" s="314">
        <v>0.85625441633017751</v>
      </c>
      <c r="AR620" s="314">
        <v>0.85625441633017751</v>
      </c>
      <c r="AS620" s="314">
        <v>0.85625441633017751</v>
      </c>
      <c r="AT620" s="314">
        <v>0.85625441633017751</v>
      </c>
      <c r="AU620" s="314">
        <v>0</v>
      </c>
      <c r="AV620" s="314">
        <v>0</v>
      </c>
      <c r="AW620" s="314">
        <v>0</v>
      </c>
      <c r="AX620">
        <v>0</v>
      </c>
    </row>
    <row r="621" spans="1:50" x14ac:dyDescent="0.35">
      <c r="A621">
        <v>892</v>
      </c>
      <c r="B621" t="s">
        <v>0</v>
      </c>
      <c r="C621" t="s">
        <v>1072</v>
      </c>
      <c r="D621" t="s">
        <v>7</v>
      </c>
      <c r="E621" t="s">
        <v>1777</v>
      </c>
      <c r="F621">
        <v>107</v>
      </c>
      <c r="G621">
        <v>107</v>
      </c>
      <c r="H621">
        <v>107</v>
      </c>
      <c r="I621">
        <v>107</v>
      </c>
      <c r="J621" s="600">
        <v>428</v>
      </c>
      <c r="K621" s="7">
        <f t="shared" si="121"/>
        <v>20</v>
      </c>
      <c r="L621" s="7">
        <f t="shared" si="122"/>
        <v>0</v>
      </c>
      <c r="M621" s="243">
        <f t="shared" si="123"/>
        <v>75970</v>
      </c>
      <c r="N621" s="243">
        <f>INDEX($AN$4:$AN21517,MATCH($A621,$AH$4:$AH$2000,0))</f>
        <v>75970</v>
      </c>
      <c r="O621" s="243">
        <f t="shared" si="130"/>
        <v>75970</v>
      </c>
      <c r="P621" s="243">
        <f t="shared" si="124"/>
        <v>75970</v>
      </c>
      <c r="Q621" s="243">
        <f t="shared" si="125"/>
        <v>-1526.0511200000001</v>
      </c>
      <c r="R621" s="243">
        <f t="shared" si="126"/>
        <v>-1526.0511200000001</v>
      </c>
      <c r="S621" s="243">
        <f t="shared" si="131"/>
        <v>-1526.0511200000001</v>
      </c>
      <c r="T621" s="243">
        <f t="shared" si="127"/>
        <v>-1526.0511200000001</v>
      </c>
      <c r="AA621">
        <v>3</v>
      </c>
      <c r="AB621" t="s">
        <v>1073</v>
      </c>
      <c r="AC621" t="s">
        <v>1074</v>
      </c>
      <c r="AE621" t="s">
        <v>1077</v>
      </c>
      <c r="AF621">
        <v>15</v>
      </c>
      <c r="AG621">
        <v>0</v>
      </c>
      <c r="AH621">
        <v>892</v>
      </c>
      <c r="AI621" t="s">
        <v>0</v>
      </c>
      <c r="AJ621" t="s">
        <v>1072</v>
      </c>
      <c r="AK621" t="s">
        <v>7</v>
      </c>
      <c r="AL621" t="s">
        <v>1777</v>
      </c>
      <c r="AM621" s="314">
        <v>75970</v>
      </c>
      <c r="AN621" s="314">
        <v>75970</v>
      </c>
      <c r="AO621" s="314">
        <v>75970</v>
      </c>
      <c r="AP621" s="314">
        <v>75970</v>
      </c>
      <c r="AQ621" s="314">
        <v>24.020767123287669</v>
      </c>
      <c r="AR621" s="314">
        <v>24.020767123287669</v>
      </c>
      <c r="AS621" s="314">
        <v>24.020767123287669</v>
      </c>
      <c r="AT621" s="314">
        <v>24.020767123287669</v>
      </c>
      <c r="AU621" s="314">
        <v>-1526.0511200000001</v>
      </c>
      <c r="AV621" s="314">
        <v>-1526.0511200000001</v>
      </c>
      <c r="AW621" s="314">
        <v>-1526.0511200000001</v>
      </c>
      <c r="AX621">
        <v>-1526.0511200000001</v>
      </c>
    </row>
    <row r="622" spans="1:50" x14ac:dyDescent="0.35">
      <c r="A622">
        <v>854</v>
      </c>
      <c r="B622" t="s">
        <v>0</v>
      </c>
      <c r="C622" t="s">
        <v>1072</v>
      </c>
      <c r="D622" t="s">
        <v>7</v>
      </c>
      <c r="E622" t="s">
        <v>1778</v>
      </c>
      <c r="F622">
        <v>5</v>
      </c>
      <c r="G622">
        <v>5</v>
      </c>
      <c r="H622">
        <v>5</v>
      </c>
      <c r="I622">
        <v>5</v>
      </c>
      <c r="J622" s="600">
        <v>20</v>
      </c>
      <c r="K622" s="7">
        <f t="shared" si="121"/>
        <v>20</v>
      </c>
      <c r="L622" s="7">
        <f t="shared" si="122"/>
        <v>0</v>
      </c>
      <c r="M622" s="243">
        <f t="shared" si="123"/>
        <v>0</v>
      </c>
      <c r="N622" s="243">
        <f>INDEX($AN$4:$AN21518,MATCH($A622,$AH$4:$AH$2000,0))</f>
        <v>0</v>
      </c>
      <c r="O622" s="243">
        <f t="shared" si="130"/>
        <v>0</v>
      </c>
      <c r="P622" s="243">
        <f t="shared" si="124"/>
        <v>0</v>
      </c>
      <c r="Q622" s="243">
        <f t="shared" si="125"/>
        <v>704.60526315789491</v>
      </c>
      <c r="R622" s="243">
        <f t="shared" si="126"/>
        <v>704.60526315789491</v>
      </c>
      <c r="S622" s="243">
        <f t="shared" si="131"/>
        <v>704.60526315789491</v>
      </c>
      <c r="T622" s="243">
        <f t="shared" si="127"/>
        <v>704.60526315789491</v>
      </c>
      <c r="AA622">
        <v>4</v>
      </c>
      <c r="AB622" t="s">
        <v>1073</v>
      </c>
      <c r="AC622" t="s">
        <v>1074</v>
      </c>
      <c r="AE622" t="s">
        <v>1078</v>
      </c>
      <c r="AF622">
        <v>15</v>
      </c>
      <c r="AG622">
        <v>0</v>
      </c>
      <c r="AH622">
        <v>854</v>
      </c>
      <c r="AI622" t="s">
        <v>0</v>
      </c>
      <c r="AJ622" t="s">
        <v>1072</v>
      </c>
      <c r="AK622" t="s">
        <v>7</v>
      </c>
      <c r="AL622" t="s">
        <v>1778</v>
      </c>
      <c r="AM622" s="314">
        <v>0</v>
      </c>
      <c r="AN622" s="314">
        <v>0</v>
      </c>
      <c r="AO622" s="314">
        <v>0</v>
      </c>
      <c r="AP622" s="314">
        <v>0</v>
      </c>
      <c r="AQ622" s="314">
        <v>0</v>
      </c>
      <c r="AR622" s="314">
        <v>0</v>
      </c>
      <c r="AS622" s="314">
        <v>0</v>
      </c>
      <c r="AT622" s="314">
        <v>0</v>
      </c>
      <c r="AU622" s="314">
        <v>704.60526315789491</v>
      </c>
      <c r="AV622" s="314">
        <v>704.60526315789491</v>
      </c>
      <c r="AW622" s="314">
        <v>704.60526315789491</v>
      </c>
      <c r="AX622">
        <v>704.60526315789491</v>
      </c>
    </row>
    <row r="623" spans="1:50" x14ac:dyDescent="0.35">
      <c r="A623">
        <v>912</v>
      </c>
      <c r="B623" t="s">
        <v>0</v>
      </c>
      <c r="C623" t="s">
        <v>1072</v>
      </c>
      <c r="D623" t="s">
        <v>7</v>
      </c>
      <c r="E623" t="s">
        <v>1779</v>
      </c>
      <c r="F623">
        <v>1</v>
      </c>
      <c r="G623">
        <v>1</v>
      </c>
      <c r="H623">
        <v>1</v>
      </c>
      <c r="I623">
        <v>1</v>
      </c>
      <c r="J623" s="600">
        <v>4</v>
      </c>
      <c r="K623" s="7">
        <f t="shared" si="121"/>
        <v>10</v>
      </c>
      <c r="L623" s="7">
        <f t="shared" si="122"/>
        <v>0</v>
      </c>
      <c r="M623" s="243">
        <f t="shared" si="123"/>
        <v>989.49389473684209</v>
      </c>
      <c r="N623" s="243">
        <f>INDEX($AN$4:$AN21519,MATCH($A623,$AH$4:$AH$2000,0))</f>
        <v>989.49389473684209</v>
      </c>
      <c r="O623" s="243">
        <f t="shared" si="130"/>
        <v>989.49389473684209</v>
      </c>
      <c r="P623" s="243">
        <f t="shared" si="124"/>
        <v>989.49389473684209</v>
      </c>
      <c r="Q623" s="243">
        <f t="shared" si="125"/>
        <v>0</v>
      </c>
      <c r="R623" s="243">
        <f t="shared" si="126"/>
        <v>0</v>
      </c>
      <c r="S623" s="243">
        <f t="shared" si="131"/>
        <v>0</v>
      </c>
      <c r="T623" s="243">
        <f t="shared" si="127"/>
        <v>0</v>
      </c>
      <c r="AA623">
        <v>5</v>
      </c>
      <c r="AB623" t="s">
        <v>1073</v>
      </c>
      <c r="AC623" t="s">
        <v>1074</v>
      </c>
      <c r="AE623" t="s">
        <v>1079</v>
      </c>
      <c r="AF623">
        <v>16</v>
      </c>
      <c r="AG623">
        <v>1</v>
      </c>
      <c r="AH623">
        <v>912</v>
      </c>
      <c r="AI623" t="s">
        <v>0</v>
      </c>
      <c r="AJ623" t="s">
        <v>1072</v>
      </c>
      <c r="AK623" t="s">
        <v>7</v>
      </c>
      <c r="AL623" t="s">
        <v>1779</v>
      </c>
      <c r="AM623" s="314">
        <v>989.49389473684209</v>
      </c>
      <c r="AN623" s="314">
        <v>989.49389473684209</v>
      </c>
      <c r="AO623" s="314">
        <v>989.49389473684209</v>
      </c>
      <c r="AP623" s="314">
        <v>989.49389473684209</v>
      </c>
      <c r="AQ623" s="314">
        <v>0.10689122807017543</v>
      </c>
      <c r="AR623" s="314">
        <v>0.10689122807017543</v>
      </c>
      <c r="AS623" s="314">
        <v>0.10689122807017543</v>
      </c>
      <c r="AT623" s="314">
        <v>0.10689122807017543</v>
      </c>
      <c r="AU623" s="314">
        <v>0</v>
      </c>
      <c r="AV623" s="314">
        <v>0</v>
      </c>
      <c r="AW623" s="314">
        <v>0</v>
      </c>
      <c r="AX623">
        <v>0</v>
      </c>
    </row>
    <row r="624" spans="1:50" x14ac:dyDescent="0.35">
      <c r="A624">
        <v>914</v>
      </c>
      <c r="B624" t="s">
        <v>0</v>
      </c>
      <c r="C624" t="s">
        <v>1072</v>
      </c>
      <c r="D624" t="s">
        <v>7</v>
      </c>
      <c r="E624" t="s">
        <v>1780</v>
      </c>
      <c r="F624">
        <v>3</v>
      </c>
      <c r="G624">
        <v>3</v>
      </c>
      <c r="H624">
        <v>3</v>
      </c>
      <c r="I624">
        <v>3</v>
      </c>
      <c r="J624" s="600">
        <v>12</v>
      </c>
      <c r="K624" s="7">
        <f t="shared" si="121"/>
        <v>10</v>
      </c>
      <c r="L624" s="7">
        <f t="shared" si="122"/>
        <v>0</v>
      </c>
      <c r="M624" s="243">
        <f t="shared" si="123"/>
        <v>4633.6603255813952</v>
      </c>
      <c r="N624" s="243">
        <f>INDEX($AN$4:$AN21520,MATCH($A624,$AH$4:$AH$2000,0))</f>
        <v>4633.6603255813952</v>
      </c>
      <c r="O624" s="243">
        <f t="shared" ref="O624:O643" si="132">INDEX($AO$4:$AO$2000,MATCH($A624,$AH$4:$AH$2000,0))</f>
        <v>4633.6603255813952</v>
      </c>
      <c r="P624" s="243">
        <f t="shared" si="124"/>
        <v>4633.6603255813952</v>
      </c>
      <c r="Q624" s="243">
        <f t="shared" si="125"/>
        <v>0</v>
      </c>
      <c r="R624" s="243">
        <f t="shared" si="126"/>
        <v>0</v>
      </c>
      <c r="S624" s="243">
        <f t="shared" ref="S624:S643" si="133">INDEX($AW$4:$AW$2000,MATCH($A624,$AH$4:$AH$2000,0))</f>
        <v>0</v>
      </c>
      <c r="T624" s="243">
        <f t="shared" si="127"/>
        <v>0</v>
      </c>
      <c r="AA624">
        <v>6</v>
      </c>
      <c r="AB624" t="s">
        <v>1073</v>
      </c>
      <c r="AC624" t="s">
        <v>1074</v>
      </c>
      <c r="AE624" t="s">
        <v>1080</v>
      </c>
      <c r="AF624">
        <v>17</v>
      </c>
      <c r="AG624">
        <v>2</v>
      </c>
      <c r="AH624">
        <v>914</v>
      </c>
      <c r="AI624" t="s">
        <v>0</v>
      </c>
      <c r="AJ624" t="s">
        <v>1072</v>
      </c>
      <c r="AK624" t="s">
        <v>7</v>
      </c>
      <c r="AL624" t="s">
        <v>1780</v>
      </c>
      <c r="AM624" s="314">
        <v>4633.6603255813952</v>
      </c>
      <c r="AN624" s="314">
        <v>4633.6603255813952</v>
      </c>
      <c r="AO624" s="314">
        <v>4633.6603255813952</v>
      </c>
      <c r="AP624" s="314">
        <v>4633.6603255813952</v>
      </c>
      <c r="AQ624" s="314">
        <v>0.33641226993865025</v>
      </c>
      <c r="AR624" s="314">
        <v>0.33641226993865025</v>
      </c>
      <c r="AS624" s="314">
        <v>0.33641226993865025</v>
      </c>
      <c r="AT624" s="314">
        <v>0.33641226993865025</v>
      </c>
      <c r="AU624" s="314">
        <v>0</v>
      </c>
      <c r="AV624" s="314">
        <v>0</v>
      </c>
      <c r="AW624" s="314">
        <v>0</v>
      </c>
      <c r="AX624">
        <v>0</v>
      </c>
    </row>
    <row r="625" spans="1:50" x14ac:dyDescent="0.35">
      <c r="A625">
        <v>916</v>
      </c>
      <c r="B625" t="s">
        <v>0</v>
      </c>
      <c r="C625" t="s">
        <v>1072</v>
      </c>
      <c r="D625" t="s">
        <v>7</v>
      </c>
      <c r="E625" t="s">
        <v>1781</v>
      </c>
      <c r="F625">
        <v>25</v>
      </c>
      <c r="G625">
        <v>25</v>
      </c>
      <c r="H625">
        <v>25</v>
      </c>
      <c r="I625">
        <v>25</v>
      </c>
      <c r="J625" s="600">
        <v>100</v>
      </c>
      <c r="K625" s="7">
        <f t="shared" si="121"/>
        <v>10</v>
      </c>
      <c r="L625" s="7">
        <f t="shared" si="122"/>
        <v>0</v>
      </c>
      <c r="M625" s="243">
        <f t="shared" si="123"/>
        <v>7169.6399035116283</v>
      </c>
      <c r="N625" s="243">
        <f>INDEX($AN$4:$AN21521,MATCH($A625,$AH$4:$AH$2000,0))</f>
        <v>7169.6399035116283</v>
      </c>
      <c r="O625" s="243">
        <f t="shared" si="132"/>
        <v>7169.6399035116283</v>
      </c>
      <c r="P625" s="243">
        <f t="shared" si="124"/>
        <v>7169.6399035116283</v>
      </c>
      <c r="Q625" s="243">
        <f t="shared" si="125"/>
        <v>1592.85</v>
      </c>
      <c r="R625" s="243">
        <f t="shared" si="126"/>
        <v>1592.85</v>
      </c>
      <c r="S625" s="243">
        <f t="shared" si="133"/>
        <v>1592.85</v>
      </c>
      <c r="T625" s="243">
        <f t="shared" si="127"/>
        <v>1592.85</v>
      </c>
      <c r="AA625">
        <v>7</v>
      </c>
      <c r="AB625" t="s">
        <v>1073</v>
      </c>
      <c r="AC625" t="s">
        <v>1074</v>
      </c>
      <c r="AE625" t="s">
        <v>1081</v>
      </c>
      <c r="AF625">
        <v>18</v>
      </c>
      <c r="AG625">
        <v>3</v>
      </c>
      <c r="AH625">
        <v>916</v>
      </c>
      <c r="AI625" t="s">
        <v>0</v>
      </c>
      <c r="AJ625" t="s">
        <v>1072</v>
      </c>
      <c r="AK625" t="s">
        <v>7</v>
      </c>
      <c r="AL625" t="s">
        <v>1781</v>
      </c>
      <c r="AM625" s="314">
        <v>7169.6399035116283</v>
      </c>
      <c r="AN625" s="314">
        <v>7169.6399035116283</v>
      </c>
      <c r="AO625" s="314">
        <v>7169.6399035116283</v>
      </c>
      <c r="AP625" s="314">
        <v>7169.6399035116283</v>
      </c>
      <c r="AQ625" s="314">
        <v>2.8034355828220856</v>
      </c>
      <c r="AR625" s="314">
        <v>2.8034355828220856</v>
      </c>
      <c r="AS625" s="314">
        <v>2.8034355828220856</v>
      </c>
      <c r="AT625" s="314">
        <v>2.8034355828220856</v>
      </c>
      <c r="AU625" s="314">
        <v>1592.85</v>
      </c>
      <c r="AV625" s="314">
        <v>1592.85</v>
      </c>
      <c r="AW625" s="314">
        <v>1592.85</v>
      </c>
      <c r="AX625">
        <v>1592.85</v>
      </c>
    </row>
    <row r="626" spans="1:50" x14ac:dyDescent="0.35">
      <c r="A626">
        <v>915</v>
      </c>
      <c r="B626" t="s">
        <v>0</v>
      </c>
      <c r="C626" t="s">
        <v>1072</v>
      </c>
      <c r="D626" t="s">
        <v>7</v>
      </c>
      <c r="E626" t="s">
        <v>1782</v>
      </c>
      <c r="F626">
        <v>3</v>
      </c>
      <c r="G626">
        <v>3</v>
      </c>
      <c r="H626">
        <v>3</v>
      </c>
      <c r="I626">
        <v>3</v>
      </c>
      <c r="J626" s="600">
        <v>12</v>
      </c>
      <c r="K626" s="7">
        <f t="shared" si="121"/>
        <v>10</v>
      </c>
      <c r="L626" s="7">
        <f t="shared" si="122"/>
        <v>0</v>
      </c>
      <c r="M626" s="243">
        <f t="shared" si="123"/>
        <v>860.35678842139544</v>
      </c>
      <c r="N626" s="243">
        <f>INDEX($AN$4:$AN21522,MATCH($A626,$AH$4:$AH$2000,0))</f>
        <v>860.35678842139544</v>
      </c>
      <c r="O626" s="243">
        <f t="shared" si="132"/>
        <v>860.35678842139544</v>
      </c>
      <c r="P626" s="243">
        <f t="shared" si="124"/>
        <v>860.35678842139544</v>
      </c>
      <c r="Q626" s="243">
        <f t="shared" si="125"/>
        <v>191.142</v>
      </c>
      <c r="R626" s="243">
        <f t="shared" si="126"/>
        <v>191.142</v>
      </c>
      <c r="S626" s="243">
        <f t="shared" si="133"/>
        <v>191.142</v>
      </c>
      <c r="T626" s="243">
        <f t="shared" si="127"/>
        <v>191.142</v>
      </c>
      <c r="AA626">
        <v>8</v>
      </c>
      <c r="AB626" t="s">
        <v>1073</v>
      </c>
      <c r="AC626" t="s">
        <v>1074</v>
      </c>
      <c r="AE626" t="s">
        <v>1082</v>
      </c>
      <c r="AF626">
        <v>19</v>
      </c>
      <c r="AG626">
        <v>4</v>
      </c>
      <c r="AH626">
        <v>915</v>
      </c>
      <c r="AI626" t="s">
        <v>0</v>
      </c>
      <c r="AJ626" t="s">
        <v>1072</v>
      </c>
      <c r="AK626" t="s">
        <v>7</v>
      </c>
      <c r="AL626" t="s">
        <v>1782</v>
      </c>
      <c r="AM626" s="314">
        <v>860.35678842139544</v>
      </c>
      <c r="AN626" s="314">
        <v>860.35678842139544</v>
      </c>
      <c r="AO626" s="314">
        <v>860.35678842139544</v>
      </c>
      <c r="AP626" s="314">
        <v>860.35678842139544</v>
      </c>
      <c r="AQ626" s="314">
        <v>0.33641226993865025</v>
      </c>
      <c r="AR626" s="314">
        <v>0.33641226993865025</v>
      </c>
      <c r="AS626" s="314">
        <v>0.33641226993865025</v>
      </c>
      <c r="AT626" s="314">
        <v>0.33641226993865025</v>
      </c>
      <c r="AU626" s="314">
        <v>191.142</v>
      </c>
      <c r="AV626" s="314">
        <v>191.142</v>
      </c>
      <c r="AW626" s="314">
        <v>191.142</v>
      </c>
      <c r="AX626">
        <v>191.142</v>
      </c>
    </row>
    <row r="627" spans="1:50" x14ac:dyDescent="0.35">
      <c r="A627">
        <v>884</v>
      </c>
      <c r="B627" t="s">
        <v>0</v>
      </c>
      <c r="C627" t="s">
        <v>1072</v>
      </c>
      <c r="D627" t="s">
        <v>7</v>
      </c>
      <c r="E627" t="s">
        <v>1783</v>
      </c>
      <c r="F627">
        <v>1</v>
      </c>
      <c r="G627">
        <v>1</v>
      </c>
      <c r="H627">
        <v>1</v>
      </c>
      <c r="I627">
        <v>1</v>
      </c>
      <c r="J627" s="600">
        <v>4</v>
      </c>
      <c r="K627" s="7">
        <f t="shared" si="121"/>
        <v>20</v>
      </c>
      <c r="L627" s="7">
        <f t="shared" si="122"/>
        <v>0</v>
      </c>
      <c r="M627" s="243">
        <f t="shared" si="123"/>
        <v>1077.8701694830229</v>
      </c>
      <c r="N627" s="243">
        <f>INDEX($AN$4:$AN21523,MATCH($A627,$AH$4:$AH$2000,0))</f>
        <v>1077.8701694830229</v>
      </c>
      <c r="O627" s="243">
        <f t="shared" si="132"/>
        <v>1077.8701694830229</v>
      </c>
      <c r="P627" s="243">
        <f t="shared" si="124"/>
        <v>1077.8701694830229</v>
      </c>
      <c r="Q627" s="243">
        <f t="shared" si="125"/>
        <v>0</v>
      </c>
      <c r="R627" s="243">
        <f t="shared" si="126"/>
        <v>0</v>
      </c>
      <c r="S627" s="243">
        <f t="shared" si="133"/>
        <v>0</v>
      </c>
      <c r="T627" s="243">
        <f t="shared" si="127"/>
        <v>0</v>
      </c>
      <c r="AA627">
        <v>141</v>
      </c>
      <c r="AB627" t="s">
        <v>80</v>
      </c>
      <c r="AC627" t="s">
        <v>81</v>
      </c>
      <c r="AD627" t="s">
        <v>4</v>
      </c>
      <c r="AE627" t="s">
        <v>1053</v>
      </c>
      <c r="AF627">
        <v>15</v>
      </c>
      <c r="AH627">
        <v>884</v>
      </c>
      <c r="AI627" t="s">
        <v>0</v>
      </c>
      <c r="AJ627" t="s">
        <v>1072</v>
      </c>
      <c r="AK627" t="s">
        <v>7</v>
      </c>
      <c r="AL627" t="s">
        <v>1783</v>
      </c>
      <c r="AM627" s="314">
        <v>1077.8701694830229</v>
      </c>
      <c r="AN627" s="314">
        <v>1077.8701694830229</v>
      </c>
      <c r="AO627" s="314">
        <v>1077.8701694830229</v>
      </c>
      <c r="AP627" s="314">
        <v>1077.8701694830229</v>
      </c>
      <c r="AQ627" s="314">
        <v>0</v>
      </c>
      <c r="AR627" s="314">
        <v>0</v>
      </c>
      <c r="AS627" s="314">
        <v>0</v>
      </c>
      <c r="AT627" s="314">
        <v>0</v>
      </c>
      <c r="AU627" s="314">
        <v>0</v>
      </c>
      <c r="AV627" s="314">
        <v>0</v>
      </c>
      <c r="AW627" s="314">
        <v>0</v>
      </c>
      <c r="AX627">
        <v>0</v>
      </c>
    </row>
    <row r="628" spans="1:50" x14ac:dyDescent="0.35">
      <c r="A628">
        <v>886</v>
      </c>
      <c r="B628" t="s">
        <v>0</v>
      </c>
      <c r="C628" t="s">
        <v>1072</v>
      </c>
      <c r="D628" t="s">
        <v>7</v>
      </c>
      <c r="E628" t="s">
        <v>1784</v>
      </c>
      <c r="F628">
        <v>17</v>
      </c>
      <c r="G628">
        <v>17</v>
      </c>
      <c r="H628">
        <v>17</v>
      </c>
      <c r="I628">
        <v>17</v>
      </c>
      <c r="J628" s="600">
        <v>68</v>
      </c>
      <c r="K628" s="7">
        <f t="shared" si="121"/>
        <v>20</v>
      </c>
      <c r="L628" s="7">
        <f t="shared" si="122"/>
        <v>0</v>
      </c>
      <c r="M628" s="243">
        <f t="shared" si="123"/>
        <v>21868.088881211392</v>
      </c>
      <c r="N628" s="243">
        <f>INDEX($AN$4:$AN21524,MATCH($A628,$AH$4:$AH$2000,0))</f>
        <v>21868.088881211392</v>
      </c>
      <c r="O628" s="243">
        <f t="shared" si="132"/>
        <v>21868.088881211392</v>
      </c>
      <c r="P628" s="243">
        <f t="shared" si="124"/>
        <v>21868.088881211392</v>
      </c>
      <c r="Q628" s="243">
        <f t="shared" si="125"/>
        <v>0</v>
      </c>
      <c r="R628" s="243">
        <f t="shared" si="126"/>
        <v>0</v>
      </c>
      <c r="S628" s="243">
        <f t="shared" si="133"/>
        <v>0</v>
      </c>
      <c r="T628" s="243">
        <f t="shared" si="127"/>
        <v>0</v>
      </c>
      <c r="AA628">
        <v>10</v>
      </c>
      <c r="AB628" t="s">
        <v>80</v>
      </c>
      <c r="AC628" t="s">
        <v>211</v>
      </c>
      <c r="AE628" t="s">
        <v>1083</v>
      </c>
      <c r="AF628">
        <v>13</v>
      </c>
      <c r="AH628">
        <v>886</v>
      </c>
      <c r="AI628" t="s">
        <v>0</v>
      </c>
      <c r="AJ628" t="s">
        <v>1072</v>
      </c>
      <c r="AK628" t="s">
        <v>7</v>
      </c>
      <c r="AL628" t="s">
        <v>1784</v>
      </c>
      <c r="AM628" s="314">
        <v>21868.088881211392</v>
      </c>
      <c r="AN628" s="314">
        <v>21868.088881211392</v>
      </c>
      <c r="AO628" s="314">
        <v>21868.088881211392</v>
      </c>
      <c r="AP628" s="314">
        <v>21868.088881211392</v>
      </c>
      <c r="AQ628" s="314">
        <v>3.3015360000000005</v>
      </c>
      <c r="AR628" s="314">
        <v>3.3015360000000005</v>
      </c>
      <c r="AS628" s="314">
        <v>3.3015360000000005</v>
      </c>
      <c r="AT628" s="314">
        <v>3.3015360000000005</v>
      </c>
      <c r="AU628" s="314">
        <v>0</v>
      </c>
      <c r="AV628" s="314">
        <v>0</v>
      </c>
      <c r="AW628" s="314">
        <v>0</v>
      </c>
      <c r="AX628">
        <v>0</v>
      </c>
    </row>
    <row r="629" spans="1:50" x14ac:dyDescent="0.35">
      <c r="A629">
        <v>888</v>
      </c>
      <c r="B629" t="s">
        <v>0</v>
      </c>
      <c r="C629" t="s">
        <v>1072</v>
      </c>
      <c r="D629" t="s">
        <v>7</v>
      </c>
      <c r="E629" t="s">
        <v>1785</v>
      </c>
      <c r="F629">
        <v>9</v>
      </c>
      <c r="G629">
        <v>9</v>
      </c>
      <c r="H629">
        <v>9</v>
      </c>
      <c r="I629">
        <v>9</v>
      </c>
      <c r="J629" s="600">
        <v>36</v>
      </c>
      <c r="K629" s="7">
        <f t="shared" si="121"/>
        <v>20</v>
      </c>
      <c r="L629" s="7">
        <f t="shared" si="122"/>
        <v>0</v>
      </c>
      <c r="M629" s="243">
        <f t="shared" si="123"/>
        <v>1519.0409586288724</v>
      </c>
      <c r="N629" s="243">
        <f>INDEX($AN$4:$AN21525,MATCH($A629,$AH$4:$AH$2000,0))</f>
        <v>1519.0409586288724</v>
      </c>
      <c r="O629" s="243">
        <f t="shared" si="132"/>
        <v>1519.0409586288724</v>
      </c>
      <c r="P629" s="243">
        <f t="shared" si="124"/>
        <v>1519.0409586288724</v>
      </c>
      <c r="Q629" s="243">
        <f t="shared" si="125"/>
        <v>1651.0955833882663</v>
      </c>
      <c r="R629" s="243">
        <f t="shared" si="126"/>
        <v>1651.0955833882663</v>
      </c>
      <c r="S629" s="243">
        <f t="shared" si="133"/>
        <v>1651.0955833882663</v>
      </c>
      <c r="T629" s="243">
        <f t="shared" si="127"/>
        <v>1651.0955833882663</v>
      </c>
      <c r="AA629">
        <v>16</v>
      </c>
      <c r="AB629" t="s">
        <v>80</v>
      </c>
      <c r="AC629" t="s">
        <v>1084</v>
      </c>
      <c r="AE629" t="s">
        <v>1085</v>
      </c>
      <c r="AF629">
        <v>13</v>
      </c>
      <c r="AH629">
        <v>888</v>
      </c>
      <c r="AI629" t="s">
        <v>0</v>
      </c>
      <c r="AJ629" t="s">
        <v>1072</v>
      </c>
      <c r="AK629" t="s">
        <v>7</v>
      </c>
      <c r="AL629" t="s">
        <v>1785</v>
      </c>
      <c r="AM629" s="314">
        <v>1519.0409586288724</v>
      </c>
      <c r="AN629" s="314">
        <v>1519.0409586288724</v>
      </c>
      <c r="AO629" s="314">
        <v>1519.0409586288724</v>
      </c>
      <c r="AP629" s="314">
        <v>1519.0409586288724</v>
      </c>
      <c r="AQ629" s="314">
        <v>0</v>
      </c>
      <c r="AR629" s="314">
        <v>0</v>
      </c>
      <c r="AS629" s="314">
        <v>0</v>
      </c>
      <c r="AT629" s="314">
        <v>0</v>
      </c>
      <c r="AU629" s="314">
        <v>1651.0955833882663</v>
      </c>
      <c r="AV629" s="314">
        <v>1651.0955833882663</v>
      </c>
      <c r="AW629" s="314">
        <v>1651.0955833882663</v>
      </c>
      <c r="AX629">
        <v>1651.0955833882663</v>
      </c>
    </row>
    <row r="630" spans="1:50" x14ac:dyDescent="0.35">
      <c r="A630">
        <v>890</v>
      </c>
      <c r="B630" t="s">
        <v>0</v>
      </c>
      <c r="C630" t="s">
        <v>1072</v>
      </c>
      <c r="D630" t="s">
        <v>7</v>
      </c>
      <c r="E630" t="s">
        <v>1786</v>
      </c>
      <c r="F630">
        <v>94</v>
      </c>
      <c r="G630">
        <v>94</v>
      </c>
      <c r="H630">
        <v>94</v>
      </c>
      <c r="I630">
        <v>94</v>
      </c>
      <c r="J630" s="600">
        <v>376</v>
      </c>
      <c r="K630" s="7">
        <f t="shared" si="121"/>
        <v>20</v>
      </c>
      <c r="L630" s="7">
        <f t="shared" si="122"/>
        <v>0</v>
      </c>
      <c r="M630" s="243">
        <f t="shared" si="123"/>
        <v>35463.410901234893</v>
      </c>
      <c r="N630" s="243">
        <f>INDEX($AN$4:$AN21526,MATCH($A630,$AH$4:$AH$2000,0))</f>
        <v>35463.410901234893</v>
      </c>
      <c r="O630" s="243">
        <f t="shared" si="132"/>
        <v>35463.410901234893</v>
      </c>
      <c r="P630" s="243">
        <f t="shared" si="124"/>
        <v>35463.410901234893</v>
      </c>
      <c r="Q630" s="243">
        <f t="shared" si="125"/>
        <v>17244.776093166336</v>
      </c>
      <c r="R630" s="243">
        <f t="shared" si="126"/>
        <v>17244.776093166336</v>
      </c>
      <c r="S630" s="243">
        <f t="shared" si="133"/>
        <v>17244.776093166336</v>
      </c>
      <c r="T630" s="243">
        <f t="shared" si="127"/>
        <v>17244.776093166336</v>
      </c>
      <c r="AA630">
        <v>17</v>
      </c>
      <c r="AB630" t="s">
        <v>80</v>
      </c>
      <c r="AC630" t="s">
        <v>1084</v>
      </c>
      <c r="AE630" t="s">
        <v>1086</v>
      </c>
      <c r="AF630">
        <v>13</v>
      </c>
      <c r="AH630">
        <v>890</v>
      </c>
      <c r="AI630" t="s">
        <v>0</v>
      </c>
      <c r="AJ630" t="s">
        <v>1072</v>
      </c>
      <c r="AK630" t="s">
        <v>7</v>
      </c>
      <c r="AL630" t="s">
        <v>1786</v>
      </c>
      <c r="AM630" s="314">
        <v>35463.410901234893</v>
      </c>
      <c r="AN630" s="314">
        <v>35463.410901234893</v>
      </c>
      <c r="AO630" s="314">
        <v>35463.410901234893</v>
      </c>
      <c r="AP630" s="314">
        <v>35463.410901234893</v>
      </c>
      <c r="AQ630" s="314">
        <v>18.255552000000002</v>
      </c>
      <c r="AR630" s="314">
        <v>18.255552000000002</v>
      </c>
      <c r="AS630" s="314">
        <v>18.255552000000002</v>
      </c>
      <c r="AT630" s="314">
        <v>18.255552000000002</v>
      </c>
      <c r="AU630" s="314">
        <v>17244.776093166336</v>
      </c>
      <c r="AV630" s="314">
        <v>17244.776093166336</v>
      </c>
      <c r="AW630" s="314">
        <v>17244.776093166336</v>
      </c>
      <c r="AX630">
        <v>17244.776093166336</v>
      </c>
    </row>
    <row r="631" spans="1:50" x14ac:dyDescent="0.35">
      <c r="A631">
        <v>857</v>
      </c>
      <c r="B631" t="s">
        <v>0</v>
      </c>
      <c r="C631" t="s">
        <v>1072</v>
      </c>
      <c r="D631" t="s">
        <v>7</v>
      </c>
      <c r="E631" t="s">
        <v>1787</v>
      </c>
      <c r="F631">
        <v>12</v>
      </c>
      <c r="G631">
        <v>12</v>
      </c>
      <c r="H631">
        <v>12</v>
      </c>
      <c r="I631">
        <v>12</v>
      </c>
      <c r="J631" s="600">
        <v>48</v>
      </c>
      <c r="K631" s="7">
        <f t="shared" si="121"/>
        <v>15</v>
      </c>
      <c r="L631" s="7">
        <f t="shared" si="122"/>
        <v>0</v>
      </c>
      <c r="M631" s="243">
        <f t="shared" si="123"/>
        <v>5292.0000000000009</v>
      </c>
      <c r="N631" s="243">
        <f>INDEX($AN$4:$AN21527,MATCH($A631,$AH$4:$AH$2000,0))</f>
        <v>5292.0000000000009</v>
      </c>
      <c r="O631" s="243">
        <f t="shared" si="132"/>
        <v>5292.0000000000009</v>
      </c>
      <c r="P631" s="243">
        <f t="shared" si="124"/>
        <v>5292.0000000000009</v>
      </c>
      <c r="Q631" s="243">
        <f t="shared" si="125"/>
        <v>1385.8007441860468</v>
      </c>
      <c r="R631" s="243">
        <f t="shared" si="126"/>
        <v>1385.8007441860468</v>
      </c>
      <c r="S631" s="243">
        <f t="shared" si="133"/>
        <v>1385.8007441860468</v>
      </c>
      <c r="T631" s="243">
        <f t="shared" si="127"/>
        <v>1385.8007441860468</v>
      </c>
      <c r="AA631">
        <v>18</v>
      </c>
      <c r="AB631" t="s">
        <v>80</v>
      </c>
      <c r="AC631" t="s">
        <v>1084</v>
      </c>
      <c r="AE631" t="s">
        <v>1087</v>
      </c>
      <c r="AF631">
        <v>13</v>
      </c>
      <c r="AH631">
        <v>857</v>
      </c>
      <c r="AI631" t="s">
        <v>0</v>
      </c>
      <c r="AJ631" t="s">
        <v>1072</v>
      </c>
      <c r="AK631" t="s">
        <v>7</v>
      </c>
      <c r="AL631" t="s">
        <v>1787</v>
      </c>
      <c r="AM631" s="314">
        <v>5292.0000000000009</v>
      </c>
      <c r="AN631" s="314">
        <v>5292.0000000000009</v>
      </c>
      <c r="AO631" s="314">
        <v>5292.0000000000009</v>
      </c>
      <c r="AP631" s="314">
        <v>5292.0000000000009</v>
      </c>
      <c r="AQ631" s="314">
        <v>4.1092715782581575</v>
      </c>
      <c r="AR631" s="314">
        <v>4.1092715782581575</v>
      </c>
      <c r="AS631" s="314">
        <v>4.1092715782581575</v>
      </c>
      <c r="AT631" s="314">
        <v>4.1092715782581575</v>
      </c>
      <c r="AU631" s="314">
        <v>1385.8007441860468</v>
      </c>
      <c r="AV631" s="314">
        <v>1385.8007441860468</v>
      </c>
      <c r="AW631" s="314">
        <v>1385.8007441860468</v>
      </c>
      <c r="AX631">
        <v>1385.8007441860468</v>
      </c>
    </row>
    <row r="632" spans="1:50" x14ac:dyDescent="0.35">
      <c r="A632">
        <v>866</v>
      </c>
      <c r="B632" t="s">
        <v>0</v>
      </c>
      <c r="C632" t="s">
        <v>1072</v>
      </c>
      <c r="D632" t="s">
        <v>7</v>
      </c>
      <c r="E632" t="s">
        <v>1788</v>
      </c>
      <c r="F632">
        <v>11</v>
      </c>
      <c r="G632">
        <v>11</v>
      </c>
      <c r="H632">
        <v>11</v>
      </c>
      <c r="I632">
        <v>11</v>
      </c>
      <c r="J632" s="600">
        <v>44</v>
      </c>
      <c r="K632" s="7">
        <f t="shared" si="121"/>
        <v>25</v>
      </c>
      <c r="L632" s="7">
        <f t="shared" si="122"/>
        <v>0</v>
      </c>
      <c r="M632" s="243">
        <f t="shared" si="123"/>
        <v>2219.6246522722831</v>
      </c>
      <c r="N632" s="243">
        <f>INDEX($AN$4:$AN21528,MATCH($A632,$AH$4:$AH$2000,0))</f>
        <v>2219.6246522722831</v>
      </c>
      <c r="O632" s="243">
        <f t="shared" si="132"/>
        <v>2219.6246522722831</v>
      </c>
      <c r="P632" s="243">
        <f t="shared" si="124"/>
        <v>2219.6246522722831</v>
      </c>
      <c r="Q632" s="243">
        <f t="shared" si="125"/>
        <v>786.53143656907775</v>
      </c>
      <c r="R632" s="243">
        <f t="shared" si="126"/>
        <v>786.53143656907775</v>
      </c>
      <c r="S632" s="243">
        <f t="shared" si="133"/>
        <v>786.53143656907775</v>
      </c>
      <c r="T632" s="243">
        <f t="shared" si="127"/>
        <v>786.53143656907775</v>
      </c>
      <c r="AA632">
        <v>19</v>
      </c>
      <c r="AB632" t="s">
        <v>80</v>
      </c>
      <c r="AC632" t="s">
        <v>1084</v>
      </c>
      <c r="AE632" t="s">
        <v>1088</v>
      </c>
      <c r="AF632">
        <v>13</v>
      </c>
      <c r="AH632">
        <v>866</v>
      </c>
      <c r="AI632" t="s">
        <v>0</v>
      </c>
      <c r="AJ632" t="s">
        <v>1072</v>
      </c>
      <c r="AK632" t="s">
        <v>7</v>
      </c>
      <c r="AL632" t="s">
        <v>1788</v>
      </c>
      <c r="AM632" s="314">
        <v>2219.6246522722831</v>
      </c>
      <c r="AN632" s="314">
        <v>2219.6246522722831</v>
      </c>
      <c r="AO632" s="314">
        <v>2219.6246522722831</v>
      </c>
      <c r="AP632" s="314">
        <v>2219.6246522722831</v>
      </c>
      <c r="AQ632" s="314">
        <v>1.4815175529263795</v>
      </c>
      <c r="AR632" s="314">
        <v>1.4815175529263795</v>
      </c>
      <c r="AS632" s="314">
        <v>1.4815175529263795</v>
      </c>
      <c r="AT632" s="314">
        <v>1.4815175529263795</v>
      </c>
      <c r="AU632" s="314">
        <v>786.53143656907775</v>
      </c>
      <c r="AV632" s="314">
        <v>786.53143656907775</v>
      </c>
      <c r="AW632" s="314">
        <v>786.53143656907775</v>
      </c>
      <c r="AX632">
        <v>786.53143656907775</v>
      </c>
    </row>
    <row r="633" spans="1:50" x14ac:dyDescent="0.35">
      <c r="A633">
        <v>874</v>
      </c>
      <c r="B633" t="s">
        <v>0</v>
      </c>
      <c r="C633" t="s">
        <v>1072</v>
      </c>
      <c r="D633" t="s">
        <v>7</v>
      </c>
      <c r="E633" t="s">
        <v>1789</v>
      </c>
      <c r="F633">
        <v>3</v>
      </c>
      <c r="G633">
        <v>3</v>
      </c>
      <c r="H633">
        <v>3</v>
      </c>
      <c r="I633">
        <v>3</v>
      </c>
      <c r="J633" s="600">
        <v>12</v>
      </c>
      <c r="K633" s="7">
        <f t="shared" si="121"/>
        <v>25</v>
      </c>
      <c r="L633" s="7">
        <f t="shared" si="122"/>
        <v>0</v>
      </c>
      <c r="M633" s="243">
        <f t="shared" si="123"/>
        <v>1591.4580783330075</v>
      </c>
      <c r="N633" s="243">
        <f>INDEX($AN$4:$AN21529,MATCH($A633,$AH$4:$AH$2000,0))</f>
        <v>1591.4580783330075</v>
      </c>
      <c r="O633" s="243">
        <f t="shared" si="132"/>
        <v>1591.4580783330075</v>
      </c>
      <c r="P633" s="243">
        <f t="shared" si="124"/>
        <v>1591.4580783330075</v>
      </c>
      <c r="Q633" s="243">
        <f t="shared" si="125"/>
        <v>576.78972015065688</v>
      </c>
      <c r="R633" s="243">
        <f t="shared" si="126"/>
        <v>576.78972015065688</v>
      </c>
      <c r="S633" s="243">
        <f t="shared" si="133"/>
        <v>576.78972015065688</v>
      </c>
      <c r="T633" s="243">
        <f t="shared" si="127"/>
        <v>576.78972015065688</v>
      </c>
      <c r="AA633">
        <v>20</v>
      </c>
      <c r="AB633" t="s">
        <v>80</v>
      </c>
      <c r="AC633" t="s">
        <v>212</v>
      </c>
      <c r="AE633" t="s">
        <v>1089</v>
      </c>
      <c r="AF633">
        <v>5</v>
      </c>
      <c r="AH633">
        <v>874</v>
      </c>
      <c r="AI633" t="s">
        <v>0</v>
      </c>
      <c r="AJ633" t="s">
        <v>1072</v>
      </c>
      <c r="AK633" t="s">
        <v>7</v>
      </c>
      <c r="AL633" t="s">
        <v>1789</v>
      </c>
      <c r="AM633" s="314">
        <v>1591.4580783330075</v>
      </c>
      <c r="AN633" s="314">
        <v>1591.4580783330075</v>
      </c>
      <c r="AO633" s="314">
        <v>1591.4580783330075</v>
      </c>
      <c r="AP633" s="314">
        <v>1591.4580783330075</v>
      </c>
      <c r="AQ633" s="314">
        <v>1.0864462054793445</v>
      </c>
      <c r="AR633" s="314">
        <v>1.0864462054793445</v>
      </c>
      <c r="AS633" s="314">
        <v>1.0864462054793445</v>
      </c>
      <c r="AT633" s="314">
        <v>1.0864462054793445</v>
      </c>
      <c r="AU633" s="314">
        <v>576.78972015065688</v>
      </c>
      <c r="AV633" s="314">
        <v>576.78972015065688</v>
      </c>
      <c r="AW633" s="314">
        <v>576.78972015065688</v>
      </c>
      <c r="AX633">
        <v>576.78972015065688</v>
      </c>
    </row>
    <row r="634" spans="1:50" x14ac:dyDescent="0.35">
      <c r="A634">
        <v>865</v>
      </c>
      <c r="B634" t="s">
        <v>0</v>
      </c>
      <c r="C634" t="s">
        <v>1072</v>
      </c>
      <c r="D634" t="s">
        <v>7</v>
      </c>
      <c r="E634" t="s">
        <v>1790</v>
      </c>
      <c r="F634">
        <v>58</v>
      </c>
      <c r="G634">
        <v>58</v>
      </c>
      <c r="H634">
        <v>58</v>
      </c>
      <c r="I634">
        <v>58</v>
      </c>
      <c r="J634" s="600">
        <v>232</v>
      </c>
      <c r="K634" s="7">
        <f t="shared" si="121"/>
        <v>25</v>
      </c>
      <c r="L634" s="7">
        <f t="shared" si="122"/>
        <v>0</v>
      </c>
      <c r="M634" s="243">
        <f t="shared" si="123"/>
        <v>11703.475439253856</v>
      </c>
      <c r="N634" s="243">
        <f>INDEX($AN$4:$AN21530,MATCH($A634,$AH$4:$AH$2000,0))</f>
        <v>11703.475439253856</v>
      </c>
      <c r="O634" s="243">
        <f t="shared" si="132"/>
        <v>11703.475439253856</v>
      </c>
      <c r="P634" s="243">
        <f t="shared" si="124"/>
        <v>11703.475439253856</v>
      </c>
      <c r="Q634" s="243">
        <f t="shared" si="125"/>
        <v>4147.1657564551369</v>
      </c>
      <c r="R634" s="243">
        <f t="shared" si="126"/>
        <v>4147.1657564551369</v>
      </c>
      <c r="S634" s="243">
        <f t="shared" si="133"/>
        <v>4147.1657564551369</v>
      </c>
      <c r="T634" s="243">
        <f t="shared" si="127"/>
        <v>4147.1657564551369</v>
      </c>
      <c r="AA634">
        <v>26</v>
      </c>
      <c r="AB634" t="s">
        <v>80</v>
      </c>
      <c r="AC634" t="s">
        <v>1090</v>
      </c>
      <c r="AE634" t="s">
        <v>1091</v>
      </c>
      <c r="AF634">
        <v>5</v>
      </c>
      <c r="AH634">
        <v>865</v>
      </c>
      <c r="AI634" t="s">
        <v>0</v>
      </c>
      <c r="AJ634" t="s">
        <v>1072</v>
      </c>
      <c r="AK634" t="s">
        <v>7</v>
      </c>
      <c r="AL634" t="s">
        <v>1790</v>
      </c>
      <c r="AM634" s="314">
        <v>11703.475439253856</v>
      </c>
      <c r="AN634" s="314">
        <v>11703.475439253856</v>
      </c>
      <c r="AO634" s="314">
        <v>11703.475439253856</v>
      </c>
      <c r="AP634" s="314">
        <v>11703.475439253856</v>
      </c>
      <c r="AQ634" s="314">
        <v>7.0946794495928991</v>
      </c>
      <c r="AR634" s="314">
        <v>7.0946794495928991</v>
      </c>
      <c r="AS634" s="314">
        <v>7.0946794495928991</v>
      </c>
      <c r="AT634" s="314">
        <v>7.0946794495928991</v>
      </c>
      <c r="AU634" s="314">
        <v>4147.1657564551369</v>
      </c>
      <c r="AV634" s="314">
        <v>4147.1657564551369</v>
      </c>
      <c r="AW634" s="314">
        <v>4147.1657564551369</v>
      </c>
      <c r="AX634">
        <v>4147.1657564551369</v>
      </c>
    </row>
    <row r="635" spans="1:50" x14ac:dyDescent="0.35">
      <c r="A635">
        <v>873</v>
      </c>
      <c r="B635" t="s">
        <v>0</v>
      </c>
      <c r="C635" t="s">
        <v>1072</v>
      </c>
      <c r="D635" t="s">
        <v>7</v>
      </c>
      <c r="E635" t="s">
        <v>1791</v>
      </c>
      <c r="F635">
        <v>15</v>
      </c>
      <c r="G635">
        <v>15</v>
      </c>
      <c r="H635">
        <v>15</v>
      </c>
      <c r="I635">
        <v>15</v>
      </c>
      <c r="J635" s="600">
        <v>60</v>
      </c>
      <c r="K635" s="7">
        <f t="shared" si="121"/>
        <v>25</v>
      </c>
      <c r="L635" s="7">
        <f t="shared" si="122"/>
        <v>0</v>
      </c>
      <c r="M635" s="243">
        <f t="shared" si="123"/>
        <v>7957.2903916650375</v>
      </c>
      <c r="N635" s="243">
        <f>INDEX($AN$4:$AN21531,MATCH($A635,$AH$4:$AH$2000,0))</f>
        <v>7957.2903916650375</v>
      </c>
      <c r="O635" s="243">
        <f t="shared" si="132"/>
        <v>7957.2903916650375</v>
      </c>
      <c r="P635" s="243">
        <f t="shared" si="124"/>
        <v>7957.2903916650375</v>
      </c>
      <c r="Q635" s="243">
        <f t="shared" si="125"/>
        <v>2883.9486007532846</v>
      </c>
      <c r="R635" s="243">
        <f t="shared" si="126"/>
        <v>2883.9486007532846</v>
      </c>
      <c r="S635" s="243">
        <f t="shared" si="133"/>
        <v>2883.9486007532846</v>
      </c>
      <c r="T635" s="243">
        <f t="shared" si="127"/>
        <v>2883.9486007532846</v>
      </c>
      <c r="AA635">
        <v>27</v>
      </c>
      <c r="AB635" t="s">
        <v>80</v>
      </c>
      <c r="AC635" t="s">
        <v>1090</v>
      </c>
      <c r="AE635" t="s">
        <v>1092</v>
      </c>
      <c r="AF635">
        <v>5</v>
      </c>
      <c r="AH635">
        <v>873</v>
      </c>
      <c r="AI635" t="s">
        <v>0</v>
      </c>
      <c r="AJ635" t="s">
        <v>1072</v>
      </c>
      <c r="AK635" t="s">
        <v>7</v>
      </c>
      <c r="AL635" t="s">
        <v>1791</v>
      </c>
      <c r="AM635" s="314">
        <v>7957.2903916650375</v>
      </c>
      <c r="AN635" s="314">
        <v>7957.2903916650375</v>
      </c>
      <c r="AO635" s="314">
        <v>7957.2903916650375</v>
      </c>
      <c r="AP635" s="314">
        <v>7957.2903916650375</v>
      </c>
      <c r="AQ635" s="314">
        <v>4.9336563988548301</v>
      </c>
      <c r="AR635" s="314">
        <v>4.9336563988548301</v>
      </c>
      <c r="AS635" s="314">
        <v>4.9336563988548301</v>
      </c>
      <c r="AT635" s="314">
        <v>4.9336563988548301</v>
      </c>
      <c r="AU635" s="314">
        <v>2883.9486007532846</v>
      </c>
      <c r="AV635" s="314">
        <v>2883.9486007532846</v>
      </c>
      <c r="AW635" s="314">
        <v>2883.9486007532846</v>
      </c>
      <c r="AX635">
        <v>2883.9486007532846</v>
      </c>
    </row>
    <row r="636" spans="1:50" x14ac:dyDescent="0.35">
      <c r="A636">
        <v>902</v>
      </c>
      <c r="B636" t="s">
        <v>0</v>
      </c>
      <c r="C636" t="s">
        <v>1072</v>
      </c>
      <c r="D636" t="s">
        <v>7</v>
      </c>
      <c r="E636" t="s">
        <v>1792</v>
      </c>
      <c r="F636">
        <v>21</v>
      </c>
      <c r="G636">
        <v>21</v>
      </c>
      <c r="H636">
        <v>21</v>
      </c>
      <c r="I636">
        <v>21</v>
      </c>
      <c r="J636" s="600">
        <v>84</v>
      </c>
      <c r="K636" s="7">
        <f t="shared" si="121"/>
        <v>13</v>
      </c>
      <c r="L636" s="7">
        <f t="shared" si="122"/>
        <v>0</v>
      </c>
      <c r="M636" s="243">
        <f t="shared" si="123"/>
        <v>2588.9622033401697</v>
      </c>
      <c r="N636" s="243">
        <f>INDEX($AN$4:$AN21532,MATCH($A636,$AH$4:$AH$2000,0))</f>
        <v>2588.9622033401697</v>
      </c>
      <c r="O636" s="243">
        <f t="shared" si="132"/>
        <v>2588.9622033401697</v>
      </c>
      <c r="P636" s="243">
        <f t="shared" si="124"/>
        <v>2588.9622033401697</v>
      </c>
      <c r="Q636" s="243">
        <f t="shared" si="125"/>
        <v>0</v>
      </c>
      <c r="R636" s="243">
        <f t="shared" si="126"/>
        <v>0</v>
      </c>
      <c r="S636" s="243">
        <f t="shared" si="133"/>
        <v>0</v>
      </c>
      <c r="T636" s="243">
        <f t="shared" si="127"/>
        <v>0</v>
      </c>
      <c r="AA636">
        <v>28</v>
      </c>
      <c r="AB636" t="s">
        <v>80</v>
      </c>
      <c r="AC636" t="s">
        <v>1090</v>
      </c>
      <c r="AE636" t="s">
        <v>1093</v>
      </c>
      <c r="AF636">
        <v>5</v>
      </c>
      <c r="AH636">
        <v>902</v>
      </c>
      <c r="AI636" t="s">
        <v>0</v>
      </c>
      <c r="AJ636" t="s">
        <v>1072</v>
      </c>
      <c r="AK636" t="s">
        <v>7</v>
      </c>
      <c r="AL636" t="s">
        <v>1792</v>
      </c>
      <c r="AM636" s="314">
        <v>2588.9622033401697</v>
      </c>
      <c r="AN636" s="314">
        <v>2588.9622033401697</v>
      </c>
      <c r="AO636" s="314">
        <v>2588.9622033401697</v>
      </c>
      <c r="AP636" s="314">
        <v>2588.9622033401697</v>
      </c>
      <c r="AQ636" s="314">
        <v>0.29534134192792266</v>
      </c>
      <c r="AR636" s="314">
        <v>0.29534134192792266</v>
      </c>
      <c r="AS636" s="314">
        <v>0.29534134192792266</v>
      </c>
      <c r="AT636" s="314">
        <v>0.29534134192792266</v>
      </c>
      <c r="AU636" s="314">
        <v>0</v>
      </c>
      <c r="AV636" s="314">
        <v>0</v>
      </c>
      <c r="AW636" s="314">
        <v>0</v>
      </c>
      <c r="AX636">
        <v>0</v>
      </c>
    </row>
    <row r="637" spans="1:50" x14ac:dyDescent="0.35">
      <c r="A637">
        <v>903</v>
      </c>
      <c r="B637" t="s">
        <v>0</v>
      </c>
      <c r="C637" t="s">
        <v>1072</v>
      </c>
      <c r="D637" t="s">
        <v>7</v>
      </c>
      <c r="E637" t="s">
        <v>1793</v>
      </c>
      <c r="F637">
        <v>158</v>
      </c>
      <c r="G637">
        <v>158</v>
      </c>
      <c r="H637">
        <v>158</v>
      </c>
      <c r="I637">
        <v>158</v>
      </c>
      <c r="J637" s="600">
        <v>632</v>
      </c>
      <c r="K637" s="7">
        <f t="shared" si="121"/>
        <v>13</v>
      </c>
      <c r="L637" s="7">
        <f t="shared" si="122"/>
        <v>0</v>
      </c>
      <c r="M637" s="243">
        <f t="shared" si="123"/>
        <v>0</v>
      </c>
      <c r="N637" s="243">
        <f>INDEX($AN$4:$AN21533,MATCH($A637,$AH$4:$AH$2000,0))</f>
        <v>0</v>
      </c>
      <c r="O637" s="243">
        <f t="shared" si="132"/>
        <v>0</v>
      </c>
      <c r="P637" s="243">
        <f t="shared" si="124"/>
        <v>0</v>
      </c>
      <c r="Q637" s="243">
        <f t="shared" si="125"/>
        <v>835.27842461538467</v>
      </c>
      <c r="R637" s="243">
        <f t="shared" si="126"/>
        <v>835.27842461538467</v>
      </c>
      <c r="S637" s="243">
        <f t="shared" si="133"/>
        <v>835.27842461538467</v>
      </c>
      <c r="T637" s="243">
        <f t="shared" si="127"/>
        <v>835.27842461538467</v>
      </c>
      <c r="AA637">
        <v>29</v>
      </c>
      <c r="AB637" t="s">
        <v>80</v>
      </c>
      <c r="AC637" t="s">
        <v>1090</v>
      </c>
      <c r="AE637" t="s">
        <v>1094</v>
      </c>
      <c r="AF637">
        <v>5</v>
      </c>
      <c r="AH637">
        <v>903</v>
      </c>
      <c r="AI637" t="s">
        <v>0</v>
      </c>
      <c r="AJ637" t="s">
        <v>1072</v>
      </c>
      <c r="AK637" t="s">
        <v>7</v>
      </c>
      <c r="AL637" t="s">
        <v>1793</v>
      </c>
      <c r="AM637" s="314">
        <v>0</v>
      </c>
      <c r="AN637" s="314">
        <v>0</v>
      </c>
      <c r="AO637" s="314">
        <v>0</v>
      </c>
      <c r="AP637" s="314">
        <v>0</v>
      </c>
      <c r="AQ637" s="314">
        <v>0</v>
      </c>
      <c r="AR637" s="314">
        <v>0</v>
      </c>
      <c r="AS637" s="314">
        <v>0</v>
      </c>
      <c r="AT637" s="314">
        <v>0</v>
      </c>
      <c r="AU637" s="314">
        <v>835.27842461538467</v>
      </c>
      <c r="AV637" s="314">
        <v>835.27842461538467</v>
      </c>
      <c r="AW637" s="314">
        <v>835.27842461538467</v>
      </c>
      <c r="AX637">
        <v>835.27842461538467</v>
      </c>
    </row>
    <row r="638" spans="1:50" x14ac:dyDescent="0.35">
      <c r="A638">
        <v>893</v>
      </c>
      <c r="B638" t="s">
        <v>0</v>
      </c>
      <c r="C638" t="s">
        <v>1072</v>
      </c>
      <c r="D638" t="s">
        <v>7</v>
      </c>
      <c r="E638" t="s">
        <v>1794</v>
      </c>
      <c r="F638">
        <v>3</v>
      </c>
      <c r="G638">
        <v>3</v>
      </c>
      <c r="H638">
        <v>3</v>
      </c>
      <c r="I638">
        <v>3</v>
      </c>
      <c r="J638" s="600">
        <v>12</v>
      </c>
      <c r="K638" s="7">
        <f t="shared" si="121"/>
        <v>18</v>
      </c>
      <c r="L638" s="7">
        <f t="shared" si="122"/>
        <v>6</v>
      </c>
      <c r="M638" s="243">
        <f t="shared" si="123"/>
        <v>17491.295665634676</v>
      </c>
      <c r="N638" s="243">
        <f>INDEX($AN$4:$AN21534,MATCH($A638,$AH$4:$AH$2000,0))</f>
        <v>17491.295665634676</v>
      </c>
      <c r="O638" s="243">
        <f t="shared" si="132"/>
        <v>17491.295665634676</v>
      </c>
      <c r="P638" s="243">
        <f t="shared" si="124"/>
        <v>17491.295665634676</v>
      </c>
      <c r="Q638" s="243">
        <f t="shared" si="125"/>
        <v>0</v>
      </c>
      <c r="R638" s="243">
        <f t="shared" si="126"/>
        <v>0</v>
      </c>
      <c r="S638" s="243">
        <f t="shared" si="133"/>
        <v>0</v>
      </c>
      <c r="T638" s="243">
        <f t="shared" si="127"/>
        <v>0</v>
      </c>
      <c r="AA638">
        <v>9</v>
      </c>
      <c r="AB638" t="s">
        <v>80</v>
      </c>
      <c r="AC638" t="s">
        <v>1095</v>
      </c>
      <c r="AE638" t="s">
        <v>1095</v>
      </c>
      <c r="AF638">
        <v>15</v>
      </c>
      <c r="AH638">
        <v>893</v>
      </c>
      <c r="AI638" t="s">
        <v>0</v>
      </c>
      <c r="AJ638" t="s">
        <v>1072</v>
      </c>
      <c r="AK638" t="s">
        <v>7</v>
      </c>
      <c r="AL638" t="s">
        <v>1794</v>
      </c>
      <c r="AM638" s="314">
        <v>17491.295665634676</v>
      </c>
      <c r="AN638" s="314">
        <v>17491.295665634676</v>
      </c>
      <c r="AO638" s="314">
        <v>17491.295665634676</v>
      </c>
      <c r="AP638" s="314">
        <v>17491.295665634676</v>
      </c>
      <c r="AQ638" s="314">
        <v>2.8729668403089628</v>
      </c>
      <c r="AR638" s="314">
        <v>2.8729668403089628</v>
      </c>
      <c r="AS638" s="314">
        <v>2.8729668403089628</v>
      </c>
      <c r="AT638" s="314">
        <v>2.8729668403089628</v>
      </c>
      <c r="AU638" s="314">
        <v>0</v>
      </c>
      <c r="AV638" s="314">
        <v>0</v>
      </c>
      <c r="AW638" s="314">
        <v>0</v>
      </c>
      <c r="AX638">
        <v>0</v>
      </c>
    </row>
    <row r="639" spans="1:50" x14ac:dyDescent="0.35">
      <c r="A639">
        <v>850</v>
      </c>
      <c r="B639" t="s">
        <v>0</v>
      </c>
      <c r="C639" t="s">
        <v>1072</v>
      </c>
      <c r="D639" t="s">
        <v>878</v>
      </c>
      <c r="E639" t="s">
        <v>1795</v>
      </c>
      <c r="F639">
        <v>75</v>
      </c>
      <c r="G639">
        <v>75</v>
      </c>
      <c r="H639">
        <v>75</v>
      </c>
      <c r="I639">
        <v>75</v>
      </c>
      <c r="J639" s="600">
        <v>300</v>
      </c>
      <c r="K639" s="7">
        <f t="shared" si="121"/>
        <v>10</v>
      </c>
      <c r="L639" s="7">
        <f t="shared" si="122"/>
        <v>0</v>
      </c>
      <c r="M639" s="243">
        <f t="shared" si="123"/>
        <v>21177.299461500003</v>
      </c>
      <c r="N639" s="243">
        <f>INDEX($AN$4:$AN21535,MATCH($A639,$AH$4:$AH$2000,0))</f>
        <v>21177.299461500003</v>
      </c>
      <c r="O639" s="243">
        <f t="shared" si="132"/>
        <v>21177.299461500003</v>
      </c>
      <c r="P639" s="243">
        <f t="shared" si="124"/>
        <v>21177.299461500003</v>
      </c>
      <c r="Q639" s="243">
        <f t="shared" si="125"/>
        <v>0</v>
      </c>
      <c r="R639" s="243">
        <f t="shared" si="126"/>
        <v>0</v>
      </c>
      <c r="S639" s="243">
        <f t="shared" si="133"/>
        <v>0</v>
      </c>
      <c r="T639" s="243">
        <f t="shared" si="127"/>
        <v>0</v>
      </c>
      <c r="AA639">
        <v>959</v>
      </c>
      <c r="AB639" t="s">
        <v>0</v>
      </c>
      <c r="AC639" t="s">
        <v>1864</v>
      </c>
      <c r="AD639" t="s">
        <v>4</v>
      </c>
      <c r="AE639" t="s">
        <v>879</v>
      </c>
      <c r="AF639">
        <v>10</v>
      </c>
      <c r="AG639">
        <v>3</v>
      </c>
      <c r="AH639">
        <v>850</v>
      </c>
      <c r="AI639" t="s">
        <v>0</v>
      </c>
      <c r="AJ639" t="s">
        <v>1072</v>
      </c>
      <c r="AK639" t="s">
        <v>878</v>
      </c>
      <c r="AL639" t="s">
        <v>1795</v>
      </c>
      <c r="AM639" s="314">
        <v>21177.299461500003</v>
      </c>
      <c r="AN639" s="314">
        <v>21177.299461500003</v>
      </c>
      <c r="AO639" s="314">
        <v>21177.299461500003</v>
      </c>
      <c r="AP639" s="314">
        <v>21177.299461500003</v>
      </c>
      <c r="AQ639" s="314">
        <v>2.3739069557649191</v>
      </c>
      <c r="AR639" s="314">
        <v>2.3739069557649191</v>
      </c>
      <c r="AS639" s="314">
        <v>2.3739069557649191</v>
      </c>
      <c r="AT639" s="314">
        <v>2.3739069557649191</v>
      </c>
      <c r="AU639" s="314">
        <v>0</v>
      </c>
      <c r="AV639" s="314">
        <v>0</v>
      </c>
      <c r="AW639" s="314">
        <v>0</v>
      </c>
      <c r="AX639">
        <v>0</v>
      </c>
    </row>
    <row r="640" spans="1:50" x14ac:dyDescent="0.35">
      <c r="A640">
        <v>846</v>
      </c>
      <c r="B640" t="s">
        <v>0</v>
      </c>
      <c r="C640" t="s">
        <v>1072</v>
      </c>
      <c r="D640" t="s">
        <v>878</v>
      </c>
      <c r="E640" t="s">
        <v>1796</v>
      </c>
      <c r="F640">
        <v>75</v>
      </c>
      <c r="G640">
        <v>75</v>
      </c>
      <c r="H640">
        <v>75</v>
      </c>
      <c r="I640">
        <v>75</v>
      </c>
      <c r="J640" s="600">
        <v>300</v>
      </c>
      <c r="K640" s="7">
        <f t="shared" si="121"/>
        <v>9</v>
      </c>
      <c r="L640" s="7">
        <f t="shared" si="122"/>
        <v>0</v>
      </c>
      <c r="M640" s="243">
        <f t="shared" si="123"/>
        <v>7704.1058842617203</v>
      </c>
      <c r="N640" s="243">
        <f>INDEX($AN$4:$AN21536,MATCH($A640,$AH$4:$AH$2000,0))</f>
        <v>7704.1058842617203</v>
      </c>
      <c r="O640" s="243">
        <f t="shared" si="132"/>
        <v>7704.1058842617203</v>
      </c>
      <c r="P640" s="243">
        <f t="shared" si="124"/>
        <v>7704.1058842617203</v>
      </c>
      <c r="Q640" s="243">
        <f t="shared" si="125"/>
        <v>0</v>
      </c>
      <c r="R640" s="243">
        <f t="shared" si="126"/>
        <v>0</v>
      </c>
      <c r="S640" s="243">
        <f t="shared" si="133"/>
        <v>0</v>
      </c>
      <c r="T640" s="243">
        <f t="shared" si="127"/>
        <v>0</v>
      </c>
      <c r="AA640">
        <v>960</v>
      </c>
      <c r="AB640" t="s">
        <v>0</v>
      </c>
      <c r="AC640" t="s">
        <v>1864</v>
      </c>
      <c r="AD640" t="s">
        <v>4</v>
      </c>
      <c r="AE640" t="s">
        <v>880</v>
      </c>
      <c r="AF640">
        <v>10</v>
      </c>
      <c r="AG640">
        <v>2</v>
      </c>
      <c r="AH640">
        <v>846</v>
      </c>
      <c r="AI640" t="s">
        <v>0</v>
      </c>
      <c r="AJ640" t="s">
        <v>1072</v>
      </c>
      <c r="AK640" t="s">
        <v>878</v>
      </c>
      <c r="AL640" t="s">
        <v>1796</v>
      </c>
      <c r="AM640" s="314">
        <v>7704.1058842617203</v>
      </c>
      <c r="AN640" s="314">
        <v>7704.1058842617203</v>
      </c>
      <c r="AO640" s="314">
        <v>7704.1058842617203</v>
      </c>
      <c r="AP640" s="314">
        <v>7704.1058842617203</v>
      </c>
      <c r="AQ640" s="314">
        <v>2.2011731097890626</v>
      </c>
      <c r="AR640" s="314">
        <v>2.2011731097890626</v>
      </c>
      <c r="AS640" s="314">
        <v>2.2011731097890626</v>
      </c>
      <c r="AT640" s="314">
        <v>2.2011731097890626</v>
      </c>
      <c r="AU640" s="314">
        <v>0</v>
      </c>
      <c r="AV640" s="314">
        <v>0</v>
      </c>
      <c r="AW640" s="314">
        <v>0</v>
      </c>
      <c r="AX640">
        <v>0</v>
      </c>
    </row>
    <row r="641" spans="1:50" x14ac:dyDescent="0.35">
      <c r="A641">
        <v>845</v>
      </c>
      <c r="B641" t="s">
        <v>0</v>
      </c>
      <c r="C641" t="s">
        <v>1072</v>
      </c>
      <c r="D641" t="s">
        <v>878</v>
      </c>
      <c r="E641" t="s">
        <v>1797</v>
      </c>
      <c r="F641">
        <v>114</v>
      </c>
      <c r="G641">
        <v>114</v>
      </c>
      <c r="H641">
        <v>114</v>
      </c>
      <c r="I641">
        <v>114</v>
      </c>
      <c r="J641" s="600">
        <v>456</v>
      </c>
      <c r="K641" s="7">
        <f t="shared" si="121"/>
        <v>9</v>
      </c>
      <c r="L641" s="7">
        <f t="shared" si="122"/>
        <v>0</v>
      </c>
      <c r="M641" s="243">
        <f t="shared" si="123"/>
        <v>2852.9151247799991</v>
      </c>
      <c r="N641" s="243">
        <f>INDEX($AN$4:$AN21537,MATCH($A641,$AH$4:$AH$2000,0))</f>
        <v>2852.9151247799991</v>
      </c>
      <c r="O641" s="243">
        <f t="shared" si="132"/>
        <v>2852.9151247799991</v>
      </c>
      <c r="P641" s="243">
        <f t="shared" si="124"/>
        <v>2852.9151247799991</v>
      </c>
      <c r="Q641" s="243">
        <f t="shared" si="125"/>
        <v>0</v>
      </c>
      <c r="R641" s="243">
        <f t="shared" si="126"/>
        <v>0</v>
      </c>
      <c r="S641" s="243">
        <f t="shared" si="133"/>
        <v>0</v>
      </c>
      <c r="T641" s="243">
        <f t="shared" si="127"/>
        <v>0</v>
      </c>
      <c r="AA641">
        <v>961</v>
      </c>
      <c r="AB641" t="s">
        <v>0</v>
      </c>
      <c r="AC641" t="s">
        <v>1864</v>
      </c>
      <c r="AD641" t="s">
        <v>4</v>
      </c>
      <c r="AE641" t="s">
        <v>881</v>
      </c>
      <c r="AF641">
        <v>10</v>
      </c>
      <c r="AG641">
        <v>1</v>
      </c>
      <c r="AH641">
        <v>845</v>
      </c>
      <c r="AI641" t="s">
        <v>0</v>
      </c>
      <c r="AJ641" t="s">
        <v>1072</v>
      </c>
      <c r="AK641" t="s">
        <v>878</v>
      </c>
      <c r="AL641" t="s">
        <v>1797</v>
      </c>
      <c r="AM641" s="314">
        <v>2852.9151247799991</v>
      </c>
      <c r="AN641" s="314">
        <v>2852.9151247799991</v>
      </c>
      <c r="AO641" s="314">
        <v>2852.9151247799991</v>
      </c>
      <c r="AP641" s="314">
        <v>2852.9151247799991</v>
      </c>
      <c r="AQ641" s="314">
        <v>2.8529151247799991</v>
      </c>
      <c r="AR641" s="314">
        <v>2.8529151247799991</v>
      </c>
      <c r="AS641" s="314">
        <v>2.8529151247799991</v>
      </c>
      <c r="AT641" s="314">
        <v>2.8529151247799991</v>
      </c>
      <c r="AU641" s="314">
        <v>0</v>
      </c>
      <c r="AV641" s="314">
        <v>0</v>
      </c>
      <c r="AW641" s="314">
        <v>0</v>
      </c>
      <c r="AX641">
        <v>0</v>
      </c>
    </row>
    <row r="642" spans="1:50" x14ac:dyDescent="0.35">
      <c r="A642">
        <v>847</v>
      </c>
      <c r="B642" t="s">
        <v>0</v>
      </c>
      <c r="C642" t="s">
        <v>1072</v>
      </c>
      <c r="D642" t="s">
        <v>878</v>
      </c>
      <c r="E642" t="s">
        <v>1798</v>
      </c>
      <c r="F642">
        <v>1077</v>
      </c>
      <c r="G642">
        <v>0</v>
      </c>
      <c r="H642">
        <v>0</v>
      </c>
      <c r="I642">
        <v>0</v>
      </c>
      <c r="J642" s="600">
        <v>1077</v>
      </c>
      <c r="K642" s="7">
        <f t="shared" si="121"/>
        <v>10</v>
      </c>
      <c r="L642" s="7">
        <f t="shared" si="122"/>
        <v>3</v>
      </c>
      <c r="M642" s="243">
        <f t="shared" si="123"/>
        <v>42013.104241679997</v>
      </c>
      <c r="N642" s="243">
        <f>INDEX($AN$4:$AN21538,MATCH($A642,$AH$4:$AH$2000,0))</f>
        <v>0</v>
      </c>
      <c r="O642" s="243">
        <f t="shared" si="132"/>
        <v>0</v>
      </c>
      <c r="P642" s="243">
        <f t="shared" si="124"/>
        <v>0</v>
      </c>
      <c r="Q642" s="243">
        <f t="shared" si="125"/>
        <v>0</v>
      </c>
      <c r="R642" s="243">
        <f t="shared" si="126"/>
        <v>0</v>
      </c>
      <c r="S642" s="243">
        <f t="shared" si="133"/>
        <v>0</v>
      </c>
      <c r="T642" s="243">
        <f t="shared" si="127"/>
        <v>0</v>
      </c>
      <c r="AA642">
        <v>987</v>
      </c>
      <c r="AB642" t="s">
        <v>0</v>
      </c>
      <c r="AC642" t="s">
        <v>1864</v>
      </c>
      <c r="AD642" t="s">
        <v>4</v>
      </c>
      <c r="AE642" t="s">
        <v>882</v>
      </c>
      <c r="AF642">
        <v>10</v>
      </c>
      <c r="AG642">
        <v>2</v>
      </c>
      <c r="AH642">
        <v>847</v>
      </c>
      <c r="AI642" t="s">
        <v>0</v>
      </c>
      <c r="AJ642" t="s">
        <v>1072</v>
      </c>
      <c r="AK642" t="s">
        <v>878</v>
      </c>
      <c r="AL642" t="s">
        <v>1798</v>
      </c>
      <c r="AM642" s="314">
        <v>42013.104241679997</v>
      </c>
      <c r="AN642" s="314">
        <v>0</v>
      </c>
      <c r="AO642" s="314">
        <v>0</v>
      </c>
      <c r="AP642" s="314">
        <v>0</v>
      </c>
      <c r="AQ642" s="314">
        <v>4.0434472601099998</v>
      </c>
      <c r="AR642" s="314">
        <v>0</v>
      </c>
      <c r="AS642" s="314">
        <v>0</v>
      </c>
      <c r="AT642" s="314">
        <v>0</v>
      </c>
      <c r="AU642" s="314">
        <v>0</v>
      </c>
      <c r="AV642" s="314">
        <v>0</v>
      </c>
      <c r="AW642" s="314">
        <v>0</v>
      </c>
      <c r="AX642">
        <v>0</v>
      </c>
    </row>
    <row r="643" spans="1:50" x14ac:dyDescent="0.35">
      <c r="A643">
        <v>848</v>
      </c>
      <c r="B643" t="s">
        <v>0</v>
      </c>
      <c r="C643" t="s">
        <v>1072</v>
      </c>
      <c r="D643" t="s">
        <v>878</v>
      </c>
      <c r="E643" t="s">
        <v>1851</v>
      </c>
      <c r="F643">
        <v>0</v>
      </c>
      <c r="G643">
        <v>1077</v>
      </c>
      <c r="H643">
        <v>0</v>
      </c>
      <c r="I643">
        <v>0</v>
      </c>
      <c r="J643" s="600">
        <v>1077</v>
      </c>
      <c r="K643" s="7">
        <f t="shared" si="121"/>
        <v>10</v>
      </c>
      <c r="L643" s="7">
        <f t="shared" si="122"/>
        <v>2</v>
      </c>
      <c r="M643" s="243">
        <f t="shared" si="123"/>
        <v>0</v>
      </c>
      <c r="N643" s="243">
        <f>INDEX($AN$4:$AN21539,MATCH($A643,$AH$4:$AH$2000,0))</f>
        <v>42013.104241679997</v>
      </c>
      <c r="O643" s="243">
        <f t="shared" si="132"/>
        <v>0</v>
      </c>
      <c r="P643" s="243">
        <f t="shared" si="124"/>
        <v>0</v>
      </c>
      <c r="Q643" s="243">
        <f t="shared" si="125"/>
        <v>0</v>
      </c>
      <c r="R643" s="243">
        <f t="shared" si="126"/>
        <v>0</v>
      </c>
      <c r="S643" s="243">
        <f t="shared" si="133"/>
        <v>0</v>
      </c>
      <c r="T643" s="243">
        <f t="shared" si="127"/>
        <v>0</v>
      </c>
      <c r="AA643">
        <v>988</v>
      </c>
      <c r="AB643" t="s">
        <v>0</v>
      </c>
      <c r="AC643" t="s">
        <v>1864</v>
      </c>
      <c r="AD643" t="s">
        <v>4</v>
      </c>
      <c r="AE643" t="s">
        <v>883</v>
      </c>
      <c r="AF643">
        <v>10</v>
      </c>
      <c r="AG643">
        <v>1</v>
      </c>
      <c r="AH643">
        <v>848</v>
      </c>
      <c r="AI643" t="s">
        <v>0</v>
      </c>
      <c r="AJ643" t="s">
        <v>1072</v>
      </c>
      <c r="AK643" t="s">
        <v>878</v>
      </c>
      <c r="AL643" t="s">
        <v>1851</v>
      </c>
      <c r="AM643" s="314">
        <v>0</v>
      </c>
      <c r="AN643" s="314">
        <v>42013.104241679997</v>
      </c>
      <c r="AO643" s="314">
        <v>0</v>
      </c>
      <c r="AP643" s="314">
        <v>0</v>
      </c>
      <c r="AQ643" s="314">
        <v>0</v>
      </c>
      <c r="AR643" s="314">
        <v>4.0434472601099998</v>
      </c>
      <c r="AS643" s="314">
        <v>0</v>
      </c>
      <c r="AT643" s="314">
        <v>0</v>
      </c>
      <c r="AU643" s="314">
        <v>0</v>
      </c>
      <c r="AV643" s="314">
        <v>0</v>
      </c>
      <c r="AW643" s="314">
        <v>0</v>
      </c>
      <c r="AX643">
        <v>0</v>
      </c>
    </row>
    <row r="644" spans="1:50" x14ac:dyDescent="0.35">
      <c r="A644">
        <v>849</v>
      </c>
      <c r="B644" t="s">
        <v>0</v>
      </c>
      <c r="C644" t="s">
        <v>1072</v>
      </c>
      <c r="D644" t="s">
        <v>878</v>
      </c>
      <c r="E644" t="s">
        <v>1852</v>
      </c>
      <c r="F644">
        <v>0</v>
      </c>
      <c r="G644">
        <v>0</v>
      </c>
      <c r="H644">
        <v>1077</v>
      </c>
      <c r="I644">
        <v>1077</v>
      </c>
      <c r="J644" s="600">
        <v>2154</v>
      </c>
      <c r="K644" s="7">
        <f t="shared" si="121"/>
        <v>10</v>
      </c>
      <c r="L644" s="7">
        <f t="shared" si="122"/>
        <v>1</v>
      </c>
      <c r="M644" s="243">
        <f t="shared" si="123"/>
        <v>0</v>
      </c>
      <c r="N644" s="243">
        <f>INDEX($AN$4:$AN21540,MATCH($A644,$AH$4:$AH$2000,0))</f>
        <v>0</v>
      </c>
      <c r="O644" s="243">
        <f t="shared" ref="O644:O663" si="134">INDEX($AO$4:$AO$2000,MATCH($A644,$AH$4:$AH$2000,0))</f>
        <v>42013.104241679997</v>
      </c>
      <c r="P644" s="243">
        <f t="shared" si="124"/>
        <v>42013.104241679997</v>
      </c>
      <c r="Q644" s="243">
        <f t="shared" si="125"/>
        <v>0</v>
      </c>
      <c r="R644" s="243">
        <f t="shared" si="126"/>
        <v>0</v>
      </c>
      <c r="S644" s="243">
        <f t="shared" ref="S644:S663" si="135">INDEX($AW$4:$AW$2000,MATCH($A644,$AH$4:$AH$2000,0))</f>
        <v>0</v>
      </c>
      <c r="T644" s="243">
        <f t="shared" si="127"/>
        <v>0</v>
      </c>
      <c r="AA644">
        <v>989</v>
      </c>
      <c r="AB644" t="s">
        <v>0</v>
      </c>
      <c r="AC644" t="s">
        <v>1864</v>
      </c>
      <c r="AD644" t="s">
        <v>4</v>
      </c>
      <c r="AE644" t="s">
        <v>884</v>
      </c>
      <c r="AF644">
        <v>10</v>
      </c>
      <c r="AG644">
        <v>0</v>
      </c>
      <c r="AH644">
        <v>849</v>
      </c>
      <c r="AI644" t="s">
        <v>0</v>
      </c>
      <c r="AJ644" t="s">
        <v>1072</v>
      </c>
      <c r="AK644" t="s">
        <v>878</v>
      </c>
      <c r="AL644" t="s">
        <v>1852</v>
      </c>
      <c r="AM644" s="314">
        <v>0</v>
      </c>
      <c r="AN644" s="314">
        <v>0</v>
      </c>
      <c r="AO644" s="314">
        <v>42013.104241679997</v>
      </c>
      <c r="AP644" s="314">
        <v>42013.104241679997</v>
      </c>
      <c r="AQ644" s="314">
        <v>0</v>
      </c>
      <c r="AR644" s="314">
        <v>0</v>
      </c>
      <c r="AS644" s="314">
        <v>4.0434472601099998</v>
      </c>
      <c r="AT644" s="314">
        <v>4.0434472601099998</v>
      </c>
      <c r="AU644" s="314">
        <v>0</v>
      </c>
      <c r="AV644" s="314">
        <v>0</v>
      </c>
      <c r="AW644" s="314">
        <v>0</v>
      </c>
      <c r="AX644">
        <v>0</v>
      </c>
    </row>
    <row r="645" spans="1:50" x14ac:dyDescent="0.35">
      <c r="A645">
        <v>852</v>
      </c>
      <c r="B645" t="s">
        <v>0</v>
      </c>
      <c r="C645" t="s">
        <v>1072</v>
      </c>
      <c r="D645" t="s">
        <v>878</v>
      </c>
      <c r="E645" t="s">
        <v>1799</v>
      </c>
      <c r="F645">
        <v>23</v>
      </c>
      <c r="G645">
        <v>23</v>
      </c>
      <c r="H645">
        <v>23</v>
      </c>
      <c r="I645">
        <v>23</v>
      </c>
      <c r="J645" s="600">
        <v>92</v>
      </c>
      <c r="K645" s="7">
        <f t="shared" ref="K645:K708" si="136">INDEX($AF$4:$AF$2000,MATCH(A645,$AA$4:$AA$2000,0))</f>
        <v>25</v>
      </c>
      <c r="L645" s="7">
        <f t="shared" ref="L645:L708" si="137">INDEX($AG$4:$AG$2000,MATCH(A645,$AA$4:$AA$2000,0))</f>
        <v>0</v>
      </c>
      <c r="M645" s="243">
        <f t="shared" ref="M645:M708" si="138">INDEX($AM$4:$AM$2000,MATCH($A645,$AH$4:$AH$2000,0))</f>
        <v>24464.075372677791</v>
      </c>
      <c r="N645" s="243">
        <f>INDEX($AN$4:$AN21541,MATCH($A645,$AH$4:$AH$2000,0))</f>
        <v>24464.075372677791</v>
      </c>
      <c r="O645" s="243">
        <f t="shared" si="134"/>
        <v>24464.075372677791</v>
      </c>
      <c r="P645" s="243">
        <f t="shared" ref="P645:P708" si="139">INDEX($AP$4:$AP$2000,MATCH($A645,$AH$4:$AH$2000,0))</f>
        <v>24464.075372677791</v>
      </c>
      <c r="Q645" s="243">
        <f t="shared" ref="Q645:Q708" si="140">INDEX($AU$4:$AU$2000,MATCH($A645,$AH$4:$AH$2000,0))</f>
        <v>0</v>
      </c>
      <c r="R645" s="243">
        <f t="shared" ref="R645:R708" si="141">INDEX($AV$4:$AV$2000,MATCH($A645,$AH$4:$AH$2000,0))</f>
        <v>0</v>
      </c>
      <c r="S645" s="243">
        <f t="shared" si="135"/>
        <v>0</v>
      </c>
      <c r="T645" s="243">
        <f t="shared" ref="T645:T708" si="142">INDEX($AX$4:$AX$2000,MATCH($A645,$AH$4:$AH$2000,0))</f>
        <v>0</v>
      </c>
      <c r="AA645">
        <v>1015</v>
      </c>
      <c r="AB645" t="s">
        <v>0</v>
      </c>
      <c r="AC645" t="s">
        <v>1864</v>
      </c>
      <c r="AD645" t="s">
        <v>4</v>
      </c>
      <c r="AE645" t="s">
        <v>1096</v>
      </c>
      <c r="AF645">
        <v>10</v>
      </c>
      <c r="AG645">
        <v>0</v>
      </c>
      <c r="AH645">
        <v>852</v>
      </c>
      <c r="AI645" t="s">
        <v>0</v>
      </c>
      <c r="AJ645" t="s">
        <v>1072</v>
      </c>
      <c r="AK645" t="s">
        <v>878</v>
      </c>
      <c r="AL645" t="s">
        <v>1799</v>
      </c>
      <c r="AM645" s="314">
        <v>24464.075372677791</v>
      </c>
      <c r="AN645" s="314">
        <v>24464.075372677791</v>
      </c>
      <c r="AO645" s="314">
        <v>24464.075372677791</v>
      </c>
      <c r="AP645" s="314">
        <v>24464.075372677791</v>
      </c>
      <c r="AQ645" s="314">
        <v>3.2112379429632005</v>
      </c>
      <c r="AR645" s="314">
        <v>3.2112379429632005</v>
      </c>
      <c r="AS645" s="314">
        <v>3.2112379429632005</v>
      </c>
      <c r="AT645" s="314">
        <v>3.2112379429632005</v>
      </c>
      <c r="AU645" s="314">
        <v>0</v>
      </c>
      <c r="AV645" s="314">
        <v>0</v>
      </c>
      <c r="AW645" s="314">
        <v>0</v>
      </c>
      <c r="AX645">
        <v>0</v>
      </c>
    </row>
    <row r="646" spans="1:50" x14ac:dyDescent="0.35">
      <c r="A646">
        <v>851</v>
      </c>
      <c r="B646" t="s">
        <v>0</v>
      </c>
      <c r="C646" t="s">
        <v>1072</v>
      </c>
      <c r="D646" t="s">
        <v>878</v>
      </c>
      <c r="E646" t="s">
        <v>1369</v>
      </c>
      <c r="F646">
        <v>38</v>
      </c>
      <c r="G646">
        <v>38</v>
      </c>
      <c r="H646">
        <v>38</v>
      </c>
      <c r="I646">
        <v>38</v>
      </c>
      <c r="J646" s="600">
        <v>152</v>
      </c>
      <c r="K646" s="7">
        <f t="shared" si="136"/>
        <v>25</v>
      </c>
      <c r="L646" s="7">
        <f t="shared" si="137"/>
        <v>0</v>
      </c>
      <c r="M646" s="243">
        <f t="shared" si="138"/>
        <v>168865.90873312257</v>
      </c>
      <c r="N646" s="243">
        <f>INDEX($AN$4:$AN21542,MATCH($A646,$AH$4:$AH$2000,0))</f>
        <v>168865.90873312257</v>
      </c>
      <c r="O646" s="243">
        <f t="shared" si="134"/>
        <v>168865.90873312257</v>
      </c>
      <c r="P646" s="243">
        <f t="shared" si="139"/>
        <v>168865.90873312257</v>
      </c>
      <c r="Q646" s="243">
        <f t="shared" si="140"/>
        <v>0</v>
      </c>
      <c r="R646" s="243">
        <f t="shared" si="141"/>
        <v>0</v>
      </c>
      <c r="S646" s="243">
        <f t="shared" si="135"/>
        <v>0</v>
      </c>
      <c r="T646" s="243">
        <f t="shared" si="142"/>
        <v>0</v>
      </c>
      <c r="AA646">
        <v>1016</v>
      </c>
      <c r="AB646" t="s">
        <v>0</v>
      </c>
      <c r="AC646" t="s">
        <v>1864</v>
      </c>
      <c r="AD646" t="s">
        <v>4</v>
      </c>
      <c r="AE646" t="s">
        <v>1097</v>
      </c>
      <c r="AF646">
        <v>10</v>
      </c>
      <c r="AG646">
        <v>0</v>
      </c>
      <c r="AH646">
        <v>851</v>
      </c>
      <c r="AI646" t="s">
        <v>0</v>
      </c>
      <c r="AJ646" t="s">
        <v>1072</v>
      </c>
      <c r="AK646" t="s">
        <v>878</v>
      </c>
      <c r="AL646" t="s">
        <v>1369</v>
      </c>
      <c r="AM646" s="314">
        <v>168865.90873312257</v>
      </c>
      <c r="AN646" s="314">
        <v>168865.90873312257</v>
      </c>
      <c r="AO646" s="314">
        <v>168865.90873312257</v>
      </c>
      <c r="AP646" s="314">
        <v>168865.90873312257</v>
      </c>
      <c r="AQ646" s="314">
        <v>22.165914923659273</v>
      </c>
      <c r="AR646" s="314">
        <v>22.165914923659273</v>
      </c>
      <c r="AS646" s="314">
        <v>22.165914923659273</v>
      </c>
      <c r="AT646" s="314">
        <v>22.165914923659273</v>
      </c>
      <c r="AU646" s="314">
        <v>0</v>
      </c>
      <c r="AV646" s="314">
        <v>0</v>
      </c>
      <c r="AW646" s="314">
        <v>0</v>
      </c>
      <c r="AX646">
        <v>0</v>
      </c>
    </row>
    <row r="647" spans="1:50" x14ac:dyDescent="0.35">
      <c r="A647">
        <v>844</v>
      </c>
      <c r="B647" t="s">
        <v>0</v>
      </c>
      <c r="C647" t="s">
        <v>1072</v>
      </c>
      <c r="D647" t="s">
        <v>878</v>
      </c>
      <c r="E647" t="s">
        <v>1800</v>
      </c>
      <c r="F647">
        <v>68</v>
      </c>
      <c r="G647">
        <v>68</v>
      </c>
      <c r="H647">
        <v>68</v>
      </c>
      <c r="I647">
        <v>68</v>
      </c>
      <c r="J647" s="600">
        <v>272</v>
      </c>
      <c r="K647" s="7">
        <f t="shared" si="136"/>
        <v>15</v>
      </c>
      <c r="L647" s="7">
        <f t="shared" si="137"/>
        <v>0</v>
      </c>
      <c r="M647" s="243">
        <f t="shared" si="138"/>
        <v>11244.480000000001</v>
      </c>
      <c r="N647" s="243">
        <f>INDEX($AN$4:$AN21543,MATCH($A647,$AH$4:$AH$2000,0))</f>
        <v>11244.480000000001</v>
      </c>
      <c r="O647" s="243">
        <f t="shared" si="134"/>
        <v>11244.480000000001</v>
      </c>
      <c r="P647" s="243">
        <f t="shared" si="139"/>
        <v>11244.480000000001</v>
      </c>
      <c r="Q647" s="243">
        <f t="shared" si="140"/>
        <v>0</v>
      </c>
      <c r="R647" s="243">
        <f t="shared" si="141"/>
        <v>0</v>
      </c>
      <c r="S647" s="243">
        <f t="shared" si="135"/>
        <v>0</v>
      </c>
      <c r="T647" s="243">
        <f t="shared" si="142"/>
        <v>0</v>
      </c>
      <c r="AA647">
        <v>1017</v>
      </c>
      <c r="AB647" t="s">
        <v>0</v>
      </c>
      <c r="AC647" t="s">
        <v>1864</v>
      </c>
      <c r="AD647" t="s">
        <v>4</v>
      </c>
      <c r="AE647" t="s">
        <v>1098</v>
      </c>
      <c r="AF647">
        <v>11</v>
      </c>
      <c r="AG647">
        <v>1</v>
      </c>
      <c r="AH647">
        <v>844</v>
      </c>
      <c r="AI647" t="s">
        <v>0</v>
      </c>
      <c r="AJ647" t="s">
        <v>1072</v>
      </c>
      <c r="AK647" t="s">
        <v>878</v>
      </c>
      <c r="AL647" t="s">
        <v>1800</v>
      </c>
      <c r="AM647" s="314">
        <v>11244.480000000001</v>
      </c>
      <c r="AN647" s="314">
        <v>11244.480000000001</v>
      </c>
      <c r="AO647" s="314">
        <v>11244.480000000001</v>
      </c>
      <c r="AP647" s="314">
        <v>11244.480000000001</v>
      </c>
      <c r="AQ647" s="314">
        <v>11.532800000000002</v>
      </c>
      <c r="AR647" s="314">
        <v>11.532800000000002</v>
      </c>
      <c r="AS647" s="314">
        <v>11.532800000000002</v>
      </c>
      <c r="AT647" s="314">
        <v>11.532800000000002</v>
      </c>
      <c r="AU647" s="314">
        <v>0</v>
      </c>
      <c r="AV647" s="314">
        <v>0</v>
      </c>
      <c r="AW647" s="314">
        <v>0</v>
      </c>
      <c r="AX647">
        <v>0</v>
      </c>
    </row>
    <row r="648" spans="1:50" x14ac:dyDescent="0.35">
      <c r="A648">
        <v>152</v>
      </c>
      <c r="B648" t="s">
        <v>80</v>
      </c>
      <c r="C648" t="s">
        <v>81</v>
      </c>
      <c r="D648" t="s">
        <v>4</v>
      </c>
      <c r="E648" t="s">
        <v>1120</v>
      </c>
      <c r="F648">
        <v>0</v>
      </c>
      <c r="G648">
        <v>382512.1</v>
      </c>
      <c r="H648">
        <v>0</v>
      </c>
      <c r="I648">
        <v>0</v>
      </c>
      <c r="J648" s="600">
        <v>382512.1</v>
      </c>
      <c r="K648" s="7">
        <f t="shared" si="136"/>
        <v>11.264926929375578</v>
      </c>
      <c r="L648" s="7">
        <f t="shared" si="137"/>
        <v>0</v>
      </c>
      <c r="M648" s="243">
        <f t="shared" si="138"/>
        <v>0</v>
      </c>
      <c r="N648" s="243">
        <f>INDEX($AN$4:$AN21544,MATCH($A648,$AH$4:$AH$2000,0))</f>
        <v>11235573.197401853</v>
      </c>
      <c r="O648" s="243">
        <f t="shared" si="134"/>
        <v>0</v>
      </c>
      <c r="P648" s="243">
        <f t="shared" si="139"/>
        <v>0</v>
      </c>
      <c r="Q648" s="243">
        <f t="shared" si="140"/>
        <v>0</v>
      </c>
      <c r="R648" s="243">
        <f t="shared" si="141"/>
        <v>-226773.03701178051</v>
      </c>
      <c r="S648" s="243">
        <f t="shared" si="135"/>
        <v>0</v>
      </c>
      <c r="T648" s="243">
        <f t="shared" si="142"/>
        <v>0</v>
      </c>
      <c r="AA648">
        <v>1043</v>
      </c>
      <c r="AB648" t="s">
        <v>0</v>
      </c>
      <c r="AC648" t="s">
        <v>1864</v>
      </c>
      <c r="AD648" t="s">
        <v>4</v>
      </c>
      <c r="AE648" t="s">
        <v>1099</v>
      </c>
      <c r="AF648">
        <v>10</v>
      </c>
      <c r="AG648">
        <v>0</v>
      </c>
      <c r="AH648">
        <v>152</v>
      </c>
      <c r="AI648" t="s">
        <v>80</v>
      </c>
      <c r="AJ648" t="s">
        <v>81</v>
      </c>
      <c r="AK648" t="s">
        <v>4</v>
      </c>
      <c r="AL648" t="s">
        <v>1120</v>
      </c>
      <c r="AM648" s="314">
        <v>0</v>
      </c>
      <c r="AN648" s="314">
        <v>11235573.197401853</v>
      </c>
      <c r="AO648" s="314">
        <v>0</v>
      </c>
      <c r="AP648" s="314">
        <v>0</v>
      </c>
      <c r="AQ648" s="314">
        <v>0</v>
      </c>
      <c r="AR648" s="314">
        <v>2406.287115538385</v>
      </c>
      <c r="AS648" s="314">
        <v>0</v>
      </c>
      <c r="AT648" s="314">
        <v>0</v>
      </c>
      <c r="AU648" s="314">
        <v>0</v>
      </c>
      <c r="AV648" s="314">
        <v>-226773.03701178051</v>
      </c>
      <c r="AW648" s="314">
        <v>0</v>
      </c>
      <c r="AX648">
        <v>0</v>
      </c>
    </row>
    <row r="649" spans="1:50" x14ac:dyDescent="0.35">
      <c r="A649">
        <v>153</v>
      </c>
      <c r="B649" t="s">
        <v>80</v>
      </c>
      <c r="C649" t="s">
        <v>81</v>
      </c>
      <c r="D649" t="s">
        <v>4</v>
      </c>
      <c r="E649" t="s">
        <v>1121</v>
      </c>
      <c r="F649">
        <v>0</v>
      </c>
      <c r="G649">
        <v>0</v>
      </c>
      <c r="H649">
        <v>415311.5</v>
      </c>
      <c r="I649">
        <v>0</v>
      </c>
      <c r="J649" s="600">
        <v>415311.5</v>
      </c>
      <c r="K649" s="7">
        <f t="shared" si="136"/>
        <v>11.264926929375578</v>
      </c>
      <c r="L649" s="7">
        <f t="shared" si="137"/>
        <v>0</v>
      </c>
      <c r="M649" s="243">
        <f t="shared" si="138"/>
        <v>0</v>
      </c>
      <c r="N649" s="243">
        <f>INDEX($AN$4:$AN21545,MATCH($A649,$AH$4:$AH$2000,0))</f>
        <v>0</v>
      </c>
      <c r="O649" s="243">
        <f t="shared" si="134"/>
        <v>12198993.856593713</v>
      </c>
      <c r="P649" s="243">
        <f t="shared" si="139"/>
        <v>0</v>
      </c>
      <c r="Q649" s="243">
        <f t="shared" si="140"/>
        <v>0</v>
      </c>
      <c r="R649" s="243">
        <f t="shared" si="141"/>
        <v>0</v>
      </c>
      <c r="S649" s="243">
        <f t="shared" si="135"/>
        <v>-246218.22462849697</v>
      </c>
      <c r="T649" s="243">
        <f t="shared" si="142"/>
        <v>0</v>
      </c>
      <c r="AA649">
        <v>1044</v>
      </c>
      <c r="AB649" t="s">
        <v>0</v>
      </c>
      <c r="AC649" t="s">
        <v>1864</v>
      </c>
      <c r="AD649" t="s">
        <v>4</v>
      </c>
      <c r="AE649" t="s">
        <v>1100</v>
      </c>
      <c r="AF649">
        <v>11</v>
      </c>
      <c r="AG649">
        <v>1</v>
      </c>
      <c r="AH649">
        <v>153</v>
      </c>
      <c r="AI649" t="s">
        <v>80</v>
      </c>
      <c r="AJ649" t="s">
        <v>81</v>
      </c>
      <c r="AK649" t="s">
        <v>4</v>
      </c>
      <c r="AL649" t="s">
        <v>1121</v>
      </c>
      <c r="AM649" s="314">
        <v>0</v>
      </c>
      <c r="AN649" s="314">
        <v>0</v>
      </c>
      <c r="AO649" s="314">
        <v>12198993.856593713</v>
      </c>
      <c r="AP649" s="314">
        <v>0</v>
      </c>
      <c r="AQ649" s="314">
        <v>0</v>
      </c>
      <c r="AR649" s="314">
        <v>0</v>
      </c>
      <c r="AS649" s="314">
        <v>2612.6198658419435</v>
      </c>
      <c r="AT649" s="314">
        <v>0</v>
      </c>
      <c r="AU649" s="314">
        <v>0</v>
      </c>
      <c r="AV649" s="314">
        <v>0</v>
      </c>
      <c r="AW649" s="314">
        <v>-246218.22462849697</v>
      </c>
      <c r="AX649">
        <v>0</v>
      </c>
    </row>
    <row r="650" spans="1:50" x14ac:dyDescent="0.35">
      <c r="A650">
        <v>154</v>
      </c>
      <c r="B650" t="s">
        <v>80</v>
      </c>
      <c r="C650" t="s">
        <v>81</v>
      </c>
      <c r="D650" t="s">
        <v>4</v>
      </c>
      <c r="E650" t="s">
        <v>1122</v>
      </c>
      <c r="F650">
        <v>0</v>
      </c>
      <c r="G650">
        <v>0</v>
      </c>
      <c r="H650">
        <v>0</v>
      </c>
      <c r="I650">
        <v>432155.3</v>
      </c>
      <c r="J650" s="600">
        <v>432155.3</v>
      </c>
      <c r="K650" s="7">
        <f t="shared" si="136"/>
        <v>11.264926929375578</v>
      </c>
      <c r="L650" s="7">
        <f t="shared" si="137"/>
        <v>0</v>
      </c>
      <c r="M650" s="243">
        <f t="shared" si="138"/>
        <v>0</v>
      </c>
      <c r="N650" s="243">
        <f>INDEX($AN$4:$AN21546,MATCH($A650,$AH$4:$AH$2000,0))</f>
        <v>0</v>
      </c>
      <c r="O650" s="243">
        <f t="shared" si="134"/>
        <v>0</v>
      </c>
      <c r="P650" s="243">
        <f t="shared" si="139"/>
        <v>12693748.788064893</v>
      </c>
      <c r="Q650" s="243">
        <f t="shared" si="140"/>
        <v>0</v>
      </c>
      <c r="R650" s="243">
        <f t="shared" si="141"/>
        <v>0</v>
      </c>
      <c r="S650" s="243">
        <f t="shared" si="135"/>
        <v>0</v>
      </c>
      <c r="T650" s="243">
        <f t="shared" si="142"/>
        <v>-256204.10397929142</v>
      </c>
      <c r="AA650">
        <v>1045</v>
      </c>
      <c r="AB650" t="s">
        <v>0</v>
      </c>
      <c r="AC650" t="s">
        <v>1864</v>
      </c>
      <c r="AD650" t="s">
        <v>4</v>
      </c>
      <c r="AE650" t="s">
        <v>1101</v>
      </c>
      <c r="AF650">
        <v>12</v>
      </c>
      <c r="AG650">
        <v>2</v>
      </c>
      <c r="AH650">
        <v>154</v>
      </c>
      <c r="AI650" t="s">
        <v>80</v>
      </c>
      <c r="AJ650" t="s">
        <v>81</v>
      </c>
      <c r="AK650" t="s">
        <v>4</v>
      </c>
      <c r="AL650" t="s">
        <v>1122</v>
      </c>
      <c r="AM650" s="314">
        <v>0</v>
      </c>
      <c r="AN650" s="314">
        <v>0</v>
      </c>
      <c r="AO650" s="314">
        <v>0</v>
      </c>
      <c r="AP650" s="314">
        <v>12693748.788064893</v>
      </c>
      <c r="AQ650" s="314">
        <v>0</v>
      </c>
      <c r="AR650" s="314">
        <v>0</v>
      </c>
      <c r="AS650" s="314">
        <v>0</v>
      </c>
      <c r="AT650" s="314">
        <v>2718.5799620498942</v>
      </c>
      <c r="AU650" s="314">
        <v>0</v>
      </c>
      <c r="AV650" s="314">
        <v>0</v>
      </c>
      <c r="AW650" s="314">
        <v>0</v>
      </c>
      <c r="AX650">
        <v>-256204.10397929142</v>
      </c>
    </row>
    <row r="651" spans="1:50" x14ac:dyDescent="0.35">
      <c r="A651">
        <v>48</v>
      </c>
      <c r="B651" t="s">
        <v>80</v>
      </c>
      <c r="C651" t="s">
        <v>81</v>
      </c>
      <c r="D651" t="s">
        <v>100</v>
      </c>
      <c r="E651" t="s">
        <v>1123</v>
      </c>
      <c r="F651">
        <v>0</v>
      </c>
      <c r="G651">
        <v>66</v>
      </c>
      <c r="H651">
        <v>91</v>
      </c>
      <c r="I651">
        <v>95</v>
      </c>
      <c r="J651" s="600">
        <v>252</v>
      </c>
      <c r="K651" s="7">
        <f t="shared" si="136"/>
        <v>10</v>
      </c>
      <c r="L651" s="7">
        <f t="shared" si="137"/>
        <v>0</v>
      </c>
      <c r="M651" s="243">
        <f t="shared" si="138"/>
        <v>0</v>
      </c>
      <c r="N651" s="243">
        <f>INDEX($AN$4:$AN21547,MATCH($A651,$AH$4:$AH$2000,0))</f>
        <v>22829.202000000005</v>
      </c>
      <c r="O651" s="243">
        <f t="shared" si="134"/>
        <v>31476.627000000004</v>
      </c>
      <c r="P651" s="243">
        <f t="shared" si="139"/>
        <v>32860.215000000004</v>
      </c>
      <c r="Q651" s="243">
        <f t="shared" si="140"/>
        <v>0</v>
      </c>
      <c r="R651" s="243">
        <f t="shared" si="141"/>
        <v>2004.5884715999998</v>
      </c>
      <c r="S651" s="243">
        <f t="shared" si="135"/>
        <v>2763.9022866</v>
      </c>
      <c r="T651" s="243">
        <f t="shared" si="142"/>
        <v>2885.3924969999998</v>
      </c>
      <c r="AA651">
        <v>962</v>
      </c>
      <c r="AB651" t="s">
        <v>0</v>
      </c>
      <c r="AC651" t="s">
        <v>1864</v>
      </c>
      <c r="AD651" t="s">
        <v>4</v>
      </c>
      <c r="AE651" t="s">
        <v>885</v>
      </c>
      <c r="AF651">
        <v>10</v>
      </c>
      <c r="AG651">
        <v>3</v>
      </c>
      <c r="AH651">
        <v>48</v>
      </c>
      <c r="AI651" t="s">
        <v>80</v>
      </c>
      <c r="AJ651" t="s">
        <v>81</v>
      </c>
      <c r="AK651" t="s">
        <v>100</v>
      </c>
      <c r="AL651" t="s">
        <v>1123</v>
      </c>
      <c r="AM651" s="314">
        <v>0</v>
      </c>
      <c r="AN651" s="314">
        <v>22829.202000000005</v>
      </c>
      <c r="AO651" s="314">
        <v>31476.627000000004</v>
      </c>
      <c r="AP651" s="314">
        <v>32860.215000000004</v>
      </c>
      <c r="AQ651" s="314">
        <v>0</v>
      </c>
      <c r="AR651" s="314">
        <v>2.1187778700000002</v>
      </c>
      <c r="AS651" s="314">
        <v>2.9213452449999999</v>
      </c>
      <c r="AT651" s="314">
        <v>3.0497560250000002</v>
      </c>
      <c r="AU651" s="314">
        <v>0</v>
      </c>
      <c r="AV651" s="314">
        <v>2004.5884715999998</v>
      </c>
      <c r="AW651" s="314">
        <v>2763.9022866</v>
      </c>
      <c r="AX651">
        <v>2885.3924969999998</v>
      </c>
    </row>
    <row r="652" spans="1:50" x14ac:dyDescent="0.35">
      <c r="A652">
        <v>168</v>
      </c>
      <c r="B652" t="s">
        <v>80</v>
      </c>
      <c r="C652" t="s">
        <v>81</v>
      </c>
      <c r="D652" t="s">
        <v>4</v>
      </c>
      <c r="E652" t="s">
        <v>1124</v>
      </c>
      <c r="F652">
        <v>0</v>
      </c>
      <c r="G652">
        <v>0</v>
      </c>
      <c r="H652">
        <v>59600</v>
      </c>
      <c r="I652">
        <v>0</v>
      </c>
      <c r="J652" s="600">
        <v>59600</v>
      </c>
      <c r="K652" s="7">
        <f t="shared" si="136"/>
        <v>15</v>
      </c>
      <c r="L652" s="7">
        <f t="shared" si="137"/>
        <v>0</v>
      </c>
      <c r="M652" s="243">
        <f t="shared" si="138"/>
        <v>0</v>
      </c>
      <c r="N652" s="243">
        <f>INDEX($AN$4:$AN21548,MATCH($A652,$AH$4:$AH$2000,0))</f>
        <v>0</v>
      </c>
      <c r="O652" s="243">
        <f t="shared" si="134"/>
        <v>4133567.6346976003</v>
      </c>
      <c r="P652" s="243">
        <f t="shared" si="139"/>
        <v>0</v>
      </c>
      <c r="Q652" s="243">
        <f t="shared" si="140"/>
        <v>0</v>
      </c>
      <c r="R652" s="243">
        <f t="shared" si="141"/>
        <v>0</v>
      </c>
      <c r="S652" s="243">
        <f t="shared" si="135"/>
        <v>-45469.243981673615</v>
      </c>
      <c r="T652" s="243">
        <f t="shared" si="142"/>
        <v>0</v>
      </c>
      <c r="AA652">
        <v>963</v>
      </c>
      <c r="AB652" t="s">
        <v>0</v>
      </c>
      <c r="AC652" t="s">
        <v>1864</v>
      </c>
      <c r="AD652" t="s">
        <v>4</v>
      </c>
      <c r="AE652" t="s">
        <v>886</v>
      </c>
      <c r="AF652">
        <v>10</v>
      </c>
      <c r="AG652">
        <v>2</v>
      </c>
      <c r="AH652">
        <v>168</v>
      </c>
      <c r="AI652" t="s">
        <v>80</v>
      </c>
      <c r="AJ652" t="s">
        <v>81</v>
      </c>
      <c r="AK652" t="s">
        <v>4</v>
      </c>
      <c r="AL652" t="s">
        <v>1124</v>
      </c>
      <c r="AM652" s="314">
        <v>0</v>
      </c>
      <c r="AN652" s="314">
        <v>0</v>
      </c>
      <c r="AO652" s="314">
        <v>4133567.6346976003</v>
      </c>
      <c r="AP652" s="314">
        <v>0</v>
      </c>
      <c r="AQ652" s="314">
        <v>0</v>
      </c>
      <c r="AR652" s="314">
        <v>0</v>
      </c>
      <c r="AS652" s="314">
        <v>654.17926549888011</v>
      </c>
      <c r="AT652" s="314">
        <v>0</v>
      </c>
      <c r="AU652" s="314">
        <v>0</v>
      </c>
      <c r="AV652" s="314">
        <v>0</v>
      </c>
      <c r="AW652" s="314">
        <v>-45469.243981673615</v>
      </c>
      <c r="AX652">
        <v>0</v>
      </c>
    </row>
    <row r="653" spans="1:50" x14ac:dyDescent="0.35">
      <c r="A653">
        <v>169</v>
      </c>
      <c r="B653" t="s">
        <v>80</v>
      </c>
      <c r="C653" t="s">
        <v>81</v>
      </c>
      <c r="D653" t="s">
        <v>4</v>
      </c>
      <c r="E653" t="s">
        <v>1125</v>
      </c>
      <c r="F653">
        <v>0</v>
      </c>
      <c r="G653">
        <v>0</v>
      </c>
      <c r="H653">
        <v>0</v>
      </c>
      <c r="I653">
        <v>54800</v>
      </c>
      <c r="J653" s="600">
        <v>54800</v>
      </c>
      <c r="K653" s="7">
        <f t="shared" si="136"/>
        <v>15</v>
      </c>
      <c r="L653" s="7">
        <f t="shared" si="137"/>
        <v>0</v>
      </c>
      <c r="M653" s="243">
        <f t="shared" si="138"/>
        <v>0</v>
      </c>
      <c r="N653" s="243">
        <f>INDEX($AN$4:$AN21549,MATCH($A653,$AH$4:$AH$2000,0))</f>
        <v>0</v>
      </c>
      <c r="O653" s="243">
        <f t="shared" si="134"/>
        <v>0</v>
      </c>
      <c r="P653" s="243">
        <f t="shared" si="139"/>
        <v>3800662.8587488006</v>
      </c>
      <c r="Q653" s="243">
        <f t="shared" si="140"/>
        <v>0</v>
      </c>
      <c r="R653" s="243">
        <f t="shared" si="141"/>
        <v>0</v>
      </c>
      <c r="S653" s="243">
        <f t="shared" si="135"/>
        <v>0</v>
      </c>
      <c r="T653" s="243">
        <f t="shared" si="142"/>
        <v>-41807.291446236813</v>
      </c>
      <c r="AA653">
        <v>964</v>
      </c>
      <c r="AB653" t="s">
        <v>0</v>
      </c>
      <c r="AC653" t="s">
        <v>1864</v>
      </c>
      <c r="AD653" t="s">
        <v>4</v>
      </c>
      <c r="AE653" t="s">
        <v>887</v>
      </c>
      <c r="AF653">
        <v>10</v>
      </c>
      <c r="AG653">
        <v>1</v>
      </c>
      <c r="AH653">
        <v>169</v>
      </c>
      <c r="AI653" t="s">
        <v>80</v>
      </c>
      <c r="AJ653" t="s">
        <v>81</v>
      </c>
      <c r="AK653" t="s">
        <v>4</v>
      </c>
      <c r="AL653" t="s">
        <v>1125</v>
      </c>
      <c r="AM653" s="314">
        <v>0</v>
      </c>
      <c r="AN653" s="314">
        <v>0</v>
      </c>
      <c r="AO653" s="314">
        <v>0</v>
      </c>
      <c r="AP653" s="314">
        <v>3800662.8587488006</v>
      </c>
      <c r="AQ653" s="314">
        <v>0</v>
      </c>
      <c r="AR653" s="314">
        <v>0</v>
      </c>
      <c r="AS653" s="314">
        <v>0</v>
      </c>
      <c r="AT653" s="314">
        <v>601.49368706944006</v>
      </c>
      <c r="AU653" s="314">
        <v>0</v>
      </c>
      <c r="AV653" s="314">
        <v>0</v>
      </c>
      <c r="AW653" s="314">
        <v>0</v>
      </c>
      <c r="AX653">
        <v>-41807.291446236813</v>
      </c>
    </row>
    <row r="654" spans="1:50" x14ac:dyDescent="0.35">
      <c r="A654">
        <v>91</v>
      </c>
      <c r="B654" t="s">
        <v>80</v>
      </c>
      <c r="C654" t="s">
        <v>81</v>
      </c>
      <c r="D654" t="s">
        <v>100</v>
      </c>
      <c r="E654" t="s">
        <v>1126</v>
      </c>
      <c r="F654">
        <v>0</v>
      </c>
      <c r="G654">
        <v>0</v>
      </c>
      <c r="H654">
        <v>300</v>
      </c>
      <c r="I654">
        <v>300</v>
      </c>
      <c r="J654" s="600">
        <v>600</v>
      </c>
      <c r="K654" s="7">
        <f t="shared" si="136"/>
        <v>6</v>
      </c>
      <c r="L654" s="7">
        <f t="shared" si="137"/>
        <v>0</v>
      </c>
      <c r="M654" s="243">
        <f t="shared" si="138"/>
        <v>0</v>
      </c>
      <c r="N654" s="243">
        <f>INDEX($AN$4:$AN21550,MATCH($A654,$AH$4:$AH$2000,0))</f>
        <v>0</v>
      </c>
      <c r="O654" s="243">
        <f t="shared" si="134"/>
        <v>0</v>
      </c>
      <c r="P654" s="243">
        <f t="shared" si="139"/>
        <v>0</v>
      </c>
      <c r="Q654" s="243">
        <f t="shared" si="140"/>
        <v>0</v>
      </c>
      <c r="R654" s="243">
        <f t="shared" si="141"/>
        <v>0</v>
      </c>
      <c r="S654" s="243">
        <f t="shared" si="135"/>
        <v>0</v>
      </c>
      <c r="T654" s="243">
        <f t="shared" si="142"/>
        <v>0</v>
      </c>
      <c r="AA654">
        <v>990</v>
      </c>
      <c r="AB654" t="s">
        <v>0</v>
      </c>
      <c r="AC654" t="s">
        <v>1864</v>
      </c>
      <c r="AD654" t="s">
        <v>4</v>
      </c>
      <c r="AE654" t="s">
        <v>888</v>
      </c>
      <c r="AF654">
        <v>10</v>
      </c>
      <c r="AG654">
        <v>2</v>
      </c>
      <c r="AH654">
        <v>91</v>
      </c>
      <c r="AI654" t="s">
        <v>80</v>
      </c>
      <c r="AJ654" t="s">
        <v>81</v>
      </c>
      <c r="AK654" t="s">
        <v>100</v>
      </c>
      <c r="AL654" t="s">
        <v>1126</v>
      </c>
      <c r="AM654" s="314">
        <v>0</v>
      </c>
      <c r="AN654" s="314">
        <v>0</v>
      </c>
      <c r="AO654" s="314">
        <v>0</v>
      </c>
      <c r="AP654" s="314">
        <v>0</v>
      </c>
      <c r="AQ654" s="314">
        <v>0</v>
      </c>
      <c r="AR654" s="314">
        <v>0</v>
      </c>
      <c r="AS654" s="314">
        <v>0</v>
      </c>
      <c r="AT654" s="314">
        <v>0</v>
      </c>
      <c r="AU654" s="314">
        <v>0</v>
      </c>
      <c r="AV654" s="314">
        <v>0</v>
      </c>
      <c r="AW654" s="314">
        <v>0</v>
      </c>
      <c r="AX654">
        <v>0</v>
      </c>
    </row>
    <row r="655" spans="1:50" x14ac:dyDescent="0.35">
      <c r="A655">
        <v>88</v>
      </c>
      <c r="B655" t="s">
        <v>80</v>
      </c>
      <c r="C655" t="s">
        <v>81</v>
      </c>
      <c r="D655" t="s">
        <v>100</v>
      </c>
      <c r="E655" t="s">
        <v>1127</v>
      </c>
      <c r="F655">
        <v>0</v>
      </c>
      <c r="G655">
        <v>0</v>
      </c>
      <c r="H655">
        <v>50</v>
      </c>
      <c r="I655">
        <v>50</v>
      </c>
      <c r="J655" s="600">
        <v>100</v>
      </c>
      <c r="K655" s="7">
        <f t="shared" si="136"/>
        <v>6</v>
      </c>
      <c r="L655" s="7">
        <f t="shared" si="137"/>
        <v>0</v>
      </c>
      <c r="M655" s="243">
        <f t="shared" si="138"/>
        <v>0</v>
      </c>
      <c r="N655" s="243">
        <f>INDEX($AN$4:$AN21551,MATCH($A655,$AH$4:$AH$2000,0))</f>
        <v>0</v>
      </c>
      <c r="O655" s="243">
        <f t="shared" si="134"/>
        <v>0</v>
      </c>
      <c r="P655" s="243">
        <f t="shared" si="139"/>
        <v>0</v>
      </c>
      <c r="Q655" s="243">
        <f t="shared" si="140"/>
        <v>0</v>
      </c>
      <c r="R655" s="243">
        <f t="shared" si="141"/>
        <v>0</v>
      </c>
      <c r="S655" s="243">
        <f t="shared" si="135"/>
        <v>133214.11547627012</v>
      </c>
      <c r="T655" s="243">
        <f t="shared" si="142"/>
        <v>133214.11547627012</v>
      </c>
      <c r="AA655">
        <v>991</v>
      </c>
      <c r="AB655" t="s">
        <v>0</v>
      </c>
      <c r="AC655" t="s">
        <v>1864</v>
      </c>
      <c r="AD655" t="s">
        <v>4</v>
      </c>
      <c r="AE655" t="s">
        <v>889</v>
      </c>
      <c r="AF655">
        <v>10</v>
      </c>
      <c r="AG655">
        <v>1</v>
      </c>
      <c r="AH655">
        <v>88</v>
      </c>
      <c r="AI655" t="s">
        <v>80</v>
      </c>
      <c r="AJ655" t="s">
        <v>81</v>
      </c>
      <c r="AK655" t="s">
        <v>100</v>
      </c>
      <c r="AL655" t="s">
        <v>1127</v>
      </c>
      <c r="AM655" s="314">
        <v>0</v>
      </c>
      <c r="AN655" s="314">
        <v>0</v>
      </c>
      <c r="AO655" s="314">
        <v>0</v>
      </c>
      <c r="AP655" s="314">
        <v>0</v>
      </c>
      <c r="AQ655" s="314">
        <v>0</v>
      </c>
      <c r="AR655" s="314">
        <v>0</v>
      </c>
      <c r="AS655" s="314">
        <v>0</v>
      </c>
      <c r="AT655" s="314">
        <v>0</v>
      </c>
      <c r="AU655" s="314">
        <v>0</v>
      </c>
      <c r="AV655" s="314">
        <v>0</v>
      </c>
      <c r="AW655" s="314">
        <v>133214.11547627012</v>
      </c>
      <c r="AX655">
        <v>133214.11547627012</v>
      </c>
    </row>
    <row r="656" spans="1:50" x14ac:dyDescent="0.35">
      <c r="A656">
        <v>432</v>
      </c>
      <c r="B656" t="s">
        <v>80</v>
      </c>
      <c r="C656" t="s">
        <v>1032</v>
      </c>
      <c r="D656" t="s">
        <v>100</v>
      </c>
      <c r="E656" t="s">
        <v>1123</v>
      </c>
      <c r="F656">
        <v>0</v>
      </c>
      <c r="G656">
        <v>70</v>
      </c>
      <c r="H656">
        <v>75</v>
      </c>
      <c r="I656">
        <v>70</v>
      </c>
      <c r="J656" s="600">
        <v>215</v>
      </c>
      <c r="K656" s="7">
        <f t="shared" si="136"/>
        <v>10</v>
      </c>
      <c r="L656" s="7">
        <f t="shared" si="137"/>
        <v>0</v>
      </c>
      <c r="M656" s="243">
        <f t="shared" si="138"/>
        <v>0</v>
      </c>
      <c r="N656" s="243">
        <f>INDEX($AN$4:$AN21552,MATCH($A656,$AH$4:$AH$2000,0))</f>
        <v>41818.139999999992</v>
      </c>
      <c r="O656" s="243">
        <f t="shared" si="134"/>
        <v>44805.149999999994</v>
      </c>
      <c r="P656" s="243">
        <f t="shared" si="139"/>
        <v>41818.139999999992</v>
      </c>
      <c r="Q656" s="243">
        <f t="shared" si="140"/>
        <v>0</v>
      </c>
      <c r="R656" s="243">
        <f t="shared" si="141"/>
        <v>4140.2584859999997</v>
      </c>
      <c r="S656" s="243">
        <f t="shared" si="135"/>
        <v>4435.9912349999995</v>
      </c>
      <c r="T656" s="243">
        <f t="shared" si="142"/>
        <v>4140.2584859999997</v>
      </c>
      <c r="AA656">
        <v>992</v>
      </c>
      <c r="AB656" t="s">
        <v>0</v>
      </c>
      <c r="AC656" t="s">
        <v>1864</v>
      </c>
      <c r="AD656" t="s">
        <v>4</v>
      </c>
      <c r="AE656" t="s">
        <v>890</v>
      </c>
      <c r="AF656">
        <v>10</v>
      </c>
      <c r="AG656">
        <v>0</v>
      </c>
      <c r="AH656">
        <v>432</v>
      </c>
      <c r="AI656" t="s">
        <v>80</v>
      </c>
      <c r="AJ656" t="s">
        <v>1032</v>
      </c>
      <c r="AK656" t="s">
        <v>100</v>
      </c>
      <c r="AL656" t="s">
        <v>1123</v>
      </c>
      <c r="AM656" s="314">
        <v>0</v>
      </c>
      <c r="AN656" s="314">
        <v>41818.139999999992</v>
      </c>
      <c r="AO656" s="314">
        <v>44805.149999999994</v>
      </c>
      <c r="AP656" s="314">
        <v>41818.139999999992</v>
      </c>
      <c r="AQ656" s="314">
        <v>0</v>
      </c>
      <c r="AR656" s="314">
        <v>3.8811409000000001</v>
      </c>
      <c r="AS656" s="314">
        <v>4.1583652500000001</v>
      </c>
      <c r="AT656" s="314">
        <v>3.8811409000000001</v>
      </c>
      <c r="AU656" s="314">
        <v>0</v>
      </c>
      <c r="AV656" s="314">
        <v>4140.2584859999997</v>
      </c>
      <c r="AW656" s="314">
        <v>4435.9912349999995</v>
      </c>
      <c r="AX656">
        <v>4140.2584859999997</v>
      </c>
    </row>
    <row r="657" spans="1:50" x14ac:dyDescent="0.35">
      <c r="A657">
        <v>453</v>
      </c>
      <c r="B657" t="s">
        <v>80</v>
      </c>
      <c r="C657" t="s">
        <v>1032</v>
      </c>
      <c r="D657" t="s">
        <v>4</v>
      </c>
      <c r="E657" t="s">
        <v>1128</v>
      </c>
      <c r="F657">
        <v>0</v>
      </c>
      <c r="G657">
        <v>160000</v>
      </c>
      <c r="H657">
        <v>0</v>
      </c>
      <c r="I657">
        <v>0</v>
      </c>
      <c r="J657" s="600">
        <v>160000</v>
      </c>
      <c r="K657" s="7">
        <f t="shared" si="136"/>
        <v>11.264926929375578</v>
      </c>
      <c r="L657" s="7">
        <f t="shared" si="137"/>
        <v>0</v>
      </c>
      <c r="M657" s="243">
        <f t="shared" si="138"/>
        <v>0</v>
      </c>
      <c r="N657" s="243">
        <f>INDEX($AN$4:$AN21553,MATCH($A657,$AH$4:$AH$2000,0))</f>
        <v>5848784.4527592901</v>
      </c>
      <c r="O657" s="243">
        <f t="shared" si="134"/>
        <v>0</v>
      </c>
      <c r="P657" s="243">
        <f t="shared" si="139"/>
        <v>0</v>
      </c>
      <c r="Q657" s="243">
        <f t="shared" si="140"/>
        <v>0</v>
      </c>
      <c r="R657" s="243">
        <f t="shared" si="141"/>
        <v>-118048.8605144077</v>
      </c>
      <c r="S657" s="243">
        <f t="shared" si="135"/>
        <v>0</v>
      </c>
      <c r="T657" s="243">
        <f t="shared" si="142"/>
        <v>0</v>
      </c>
      <c r="AA657">
        <v>1018</v>
      </c>
      <c r="AB657" t="s">
        <v>0</v>
      </c>
      <c r="AC657" t="s">
        <v>1864</v>
      </c>
      <c r="AD657" t="s">
        <v>4</v>
      </c>
      <c r="AE657" t="s">
        <v>1102</v>
      </c>
      <c r="AF657">
        <v>10</v>
      </c>
      <c r="AG657">
        <v>0</v>
      </c>
      <c r="AH657">
        <v>453</v>
      </c>
      <c r="AI657" t="s">
        <v>80</v>
      </c>
      <c r="AJ657" t="s">
        <v>1032</v>
      </c>
      <c r="AK657" t="s">
        <v>4</v>
      </c>
      <c r="AL657" t="s">
        <v>1128</v>
      </c>
      <c r="AM657" s="314">
        <v>0</v>
      </c>
      <c r="AN657" s="314">
        <v>5848784.4527592901</v>
      </c>
      <c r="AO657" s="314">
        <v>0</v>
      </c>
      <c r="AP657" s="314">
        <v>0</v>
      </c>
      <c r="AQ657" s="314">
        <v>0</v>
      </c>
      <c r="AR657" s="314">
        <v>1252.6156363335681</v>
      </c>
      <c r="AS657" s="314">
        <v>0</v>
      </c>
      <c r="AT657" s="314">
        <v>0</v>
      </c>
      <c r="AU657" s="314">
        <v>0</v>
      </c>
      <c r="AV657" s="314">
        <v>-118048.8605144077</v>
      </c>
      <c r="AW657" s="314">
        <v>0</v>
      </c>
      <c r="AX657">
        <v>0</v>
      </c>
    </row>
    <row r="658" spans="1:50" x14ac:dyDescent="0.35">
      <c r="A658">
        <v>454</v>
      </c>
      <c r="B658" t="s">
        <v>80</v>
      </c>
      <c r="C658" t="s">
        <v>1032</v>
      </c>
      <c r="D658" t="s">
        <v>4</v>
      </c>
      <c r="E658" t="s">
        <v>1129</v>
      </c>
      <c r="F658">
        <v>0</v>
      </c>
      <c r="G658">
        <v>0</v>
      </c>
      <c r="H658">
        <v>162000</v>
      </c>
      <c r="I658">
        <v>162000</v>
      </c>
      <c r="J658" s="600">
        <v>324000</v>
      </c>
      <c r="K658" s="7">
        <f t="shared" si="136"/>
        <v>11.264926929375578</v>
      </c>
      <c r="L658" s="7">
        <f t="shared" si="137"/>
        <v>0</v>
      </c>
      <c r="M658" s="243">
        <f t="shared" si="138"/>
        <v>0</v>
      </c>
      <c r="N658" s="243">
        <f>INDEX($AN$4:$AN21554,MATCH($A658,$AH$4:$AH$2000,0))</f>
        <v>0</v>
      </c>
      <c r="O658" s="243">
        <f t="shared" si="134"/>
        <v>5921894.2584187817</v>
      </c>
      <c r="P658" s="243">
        <f t="shared" si="139"/>
        <v>5921894.2584187817</v>
      </c>
      <c r="Q658" s="243">
        <f t="shared" si="140"/>
        <v>0</v>
      </c>
      <c r="R658" s="243">
        <f t="shared" si="141"/>
        <v>0</v>
      </c>
      <c r="S658" s="243">
        <f t="shared" si="135"/>
        <v>-119524.47127083779</v>
      </c>
      <c r="T658" s="243">
        <f t="shared" si="142"/>
        <v>-119524.47127083779</v>
      </c>
      <c r="AA658">
        <v>1019</v>
      </c>
      <c r="AB658" t="s">
        <v>0</v>
      </c>
      <c r="AC658" t="s">
        <v>1864</v>
      </c>
      <c r="AD658" t="s">
        <v>4</v>
      </c>
      <c r="AE658" t="s">
        <v>1103</v>
      </c>
      <c r="AF658">
        <v>10</v>
      </c>
      <c r="AG658">
        <v>0</v>
      </c>
      <c r="AH658">
        <v>454</v>
      </c>
      <c r="AI658" t="s">
        <v>80</v>
      </c>
      <c r="AJ658" t="s">
        <v>1032</v>
      </c>
      <c r="AK658" t="s">
        <v>4</v>
      </c>
      <c r="AL658" t="s">
        <v>1129</v>
      </c>
      <c r="AM658" s="314">
        <v>0</v>
      </c>
      <c r="AN658" s="314">
        <v>0</v>
      </c>
      <c r="AO658" s="314">
        <v>5921894.2584187817</v>
      </c>
      <c r="AP658" s="314">
        <v>5921894.2584187817</v>
      </c>
      <c r="AQ658" s="314">
        <v>0</v>
      </c>
      <c r="AR658" s="314">
        <v>0</v>
      </c>
      <c r="AS658" s="314">
        <v>1268.2733317877376</v>
      </c>
      <c r="AT658" s="314">
        <v>1268.2733317877376</v>
      </c>
      <c r="AU658" s="314">
        <v>0</v>
      </c>
      <c r="AV658" s="314">
        <v>0</v>
      </c>
      <c r="AW658" s="314">
        <v>-119524.47127083779</v>
      </c>
      <c r="AX658">
        <v>-119524.47127083779</v>
      </c>
    </row>
    <row r="659" spans="1:50" x14ac:dyDescent="0.35">
      <c r="A659">
        <v>461</v>
      </c>
      <c r="B659" t="s">
        <v>80</v>
      </c>
      <c r="C659" t="s">
        <v>1032</v>
      </c>
      <c r="D659" t="s">
        <v>4</v>
      </c>
      <c r="E659" t="s">
        <v>1130</v>
      </c>
      <c r="F659">
        <v>0</v>
      </c>
      <c r="G659">
        <v>0</v>
      </c>
      <c r="H659">
        <v>11736</v>
      </c>
      <c r="I659">
        <v>0</v>
      </c>
      <c r="J659" s="600">
        <v>11736</v>
      </c>
      <c r="K659" s="7">
        <f t="shared" si="136"/>
        <v>15</v>
      </c>
      <c r="L659" s="7">
        <f t="shared" si="137"/>
        <v>0</v>
      </c>
      <c r="M659" s="243">
        <f t="shared" si="138"/>
        <v>0</v>
      </c>
      <c r="N659" s="243">
        <f>INDEX($AN$4:$AN21555,MATCH($A659,$AH$4:$AH$2000,0))</f>
        <v>0</v>
      </c>
      <c r="O659" s="243">
        <f t="shared" si="134"/>
        <v>1012965.0639863041</v>
      </c>
      <c r="P659" s="243">
        <f t="shared" si="139"/>
        <v>0</v>
      </c>
      <c r="Q659" s="243">
        <f t="shared" si="140"/>
        <v>0</v>
      </c>
      <c r="R659" s="243">
        <f t="shared" si="141"/>
        <v>0</v>
      </c>
      <c r="S659" s="243">
        <f t="shared" si="135"/>
        <v>-11142.615703849347</v>
      </c>
      <c r="T659" s="243">
        <f t="shared" si="142"/>
        <v>0</v>
      </c>
      <c r="AA659">
        <v>1020</v>
      </c>
      <c r="AB659" t="s">
        <v>0</v>
      </c>
      <c r="AC659" t="s">
        <v>1864</v>
      </c>
      <c r="AD659" t="s">
        <v>4</v>
      </c>
      <c r="AE659" t="s">
        <v>1104</v>
      </c>
      <c r="AF659">
        <v>11</v>
      </c>
      <c r="AG659">
        <v>1</v>
      </c>
      <c r="AH659">
        <v>461</v>
      </c>
      <c r="AI659" t="s">
        <v>80</v>
      </c>
      <c r="AJ659" t="s">
        <v>1032</v>
      </c>
      <c r="AK659" t="s">
        <v>4</v>
      </c>
      <c r="AL659" t="s">
        <v>1130</v>
      </c>
      <c r="AM659" s="314">
        <v>0</v>
      </c>
      <c r="AN659" s="314">
        <v>0</v>
      </c>
      <c r="AO659" s="314">
        <v>1012965.0639863041</v>
      </c>
      <c r="AP659" s="314">
        <v>0</v>
      </c>
      <c r="AQ659" s="314">
        <v>0</v>
      </c>
      <c r="AR659" s="314">
        <v>0</v>
      </c>
      <c r="AS659" s="314">
        <v>160.3120597258752</v>
      </c>
      <c r="AT659" s="314">
        <v>0</v>
      </c>
      <c r="AU659" s="314">
        <v>0</v>
      </c>
      <c r="AV659" s="314">
        <v>0</v>
      </c>
      <c r="AW659" s="314">
        <v>-11142.615703849347</v>
      </c>
      <c r="AX659">
        <v>0</v>
      </c>
    </row>
    <row r="660" spans="1:50" x14ac:dyDescent="0.35">
      <c r="A660">
        <v>462</v>
      </c>
      <c r="B660" t="s">
        <v>80</v>
      </c>
      <c r="C660" t="s">
        <v>1032</v>
      </c>
      <c r="D660" t="s">
        <v>4</v>
      </c>
      <c r="E660" t="s">
        <v>1131</v>
      </c>
      <c r="F660">
        <v>0</v>
      </c>
      <c r="G660">
        <v>0</v>
      </c>
      <c r="H660">
        <v>0</v>
      </c>
      <c r="I660">
        <v>12000</v>
      </c>
      <c r="J660" s="600">
        <v>12000</v>
      </c>
      <c r="K660" s="7">
        <f t="shared" si="136"/>
        <v>15</v>
      </c>
      <c r="L660" s="7">
        <f t="shared" si="137"/>
        <v>0</v>
      </c>
      <c r="M660" s="243">
        <f t="shared" si="138"/>
        <v>0</v>
      </c>
      <c r="N660" s="243">
        <f>INDEX($AN$4:$AN21556,MATCH($A660,$AH$4:$AH$2000,0))</f>
        <v>0</v>
      </c>
      <c r="O660" s="243">
        <f t="shared" si="134"/>
        <v>0</v>
      </c>
      <c r="P660" s="243">
        <f t="shared" si="139"/>
        <v>1035751.5991680002</v>
      </c>
      <c r="Q660" s="243">
        <f t="shared" si="140"/>
        <v>0</v>
      </c>
      <c r="R660" s="243">
        <f t="shared" si="141"/>
        <v>0</v>
      </c>
      <c r="S660" s="243">
        <f t="shared" si="135"/>
        <v>0</v>
      </c>
      <c r="T660" s="243">
        <f t="shared" si="142"/>
        <v>-11393.267590848003</v>
      </c>
      <c r="AA660">
        <v>1046</v>
      </c>
      <c r="AB660" t="s">
        <v>0</v>
      </c>
      <c r="AC660" t="s">
        <v>1864</v>
      </c>
      <c r="AD660" t="s">
        <v>4</v>
      </c>
      <c r="AE660" t="s">
        <v>1105</v>
      </c>
      <c r="AF660">
        <v>10</v>
      </c>
      <c r="AG660">
        <v>0</v>
      </c>
      <c r="AH660">
        <v>462</v>
      </c>
      <c r="AI660" t="s">
        <v>80</v>
      </c>
      <c r="AJ660" t="s">
        <v>1032</v>
      </c>
      <c r="AK660" t="s">
        <v>4</v>
      </c>
      <c r="AL660" t="s">
        <v>1131</v>
      </c>
      <c r="AM660" s="314">
        <v>0</v>
      </c>
      <c r="AN660" s="314">
        <v>0</v>
      </c>
      <c r="AO660" s="314">
        <v>0</v>
      </c>
      <c r="AP660" s="314">
        <v>1035751.5991680002</v>
      </c>
      <c r="AQ660" s="314">
        <v>0</v>
      </c>
      <c r="AR660" s="314">
        <v>0</v>
      </c>
      <c r="AS660" s="314">
        <v>0</v>
      </c>
      <c r="AT660" s="314">
        <v>163.91826147839998</v>
      </c>
      <c r="AU660" s="314">
        <v>0</v>
      </c>
      <c r="AV660" s="314">
        <v>0</v>
      </c>
      <c r="AW660" s="314">
        <v>0</v>
      </c>
      <c r="AX660">
        <v>-11393.267590848003</v>
      </c>
    </row>
    <row r="661" spans="1:50" x14ac:dyDescent="0.35">
      <c r="A661">
        <v>366</v>
      </c>
      <c r="B661" t="s">
        <v>80</v>
      </c>
      <c r="C661" t="s">
        <v>1054</v>
      </c>
      <c r="D661" t="s">
        <v>100</v>
      </c>
      <c r="E661" t="s">
        <v>1123</v>
      </c>
      <c r="F661">
        <v>0</v>
      </c>
      <c r="G661">
        <v>35</v>
      </c>
      <c r="H661">
        <v>45</v>
      </c>
      <c r="I661">
        <v>45</v>
      </c>
      <c r="J661" s="600">
        <v>125</v>
      </c>
      <c r="K661" s="7">
        <f t="shared" si="136"/>
        <v>10</v>
      </c>
      <c r="L661" s="7">
        <f t="shared" si="137"/>
        <v>0</v>
      </c>
      <c r="M661" s="243">
        <f t="shared" si="138"/>
        <v>0</v>
      </c>
      <c r="N661" s="243">
        <f>INDEX($AN$4:$AN21557,MATCH($A661,$AH$4:$AH$2000,0))</f>
        <v>19561.5</v>
      </c>
      <c r="O661" s="243">
        <f t="shared" si="134"/>
        <v>25150.5</v>
      </c>
      <c r="P661" s="243">
        <f t="shared" si="139"/>
        <v>25150.5</v>
      </c>
      <c r="Q661" s="243">
        <f t="shared" si="140"/>
        <v>0</v>
      </c>
      <c r="R661" s="243">
        <f t="shared" si="141"/>
        <v>1936.7113500000003</v>
      </c>
      <c r="S661" s="243">
        <f t="shared" si="135"/>
        <v>2490.0574500000002</v>
      </c>
      <c r="T661" s="243">
        <f t="shared" si="142"/>
        <v>2490.0574500000002</v>
      </c>
      <c r="AA661">
        <v>1047</v>
      </c>
      <c r="AB661" t="s">
        <v>0</v>
      </c>
      <c r="AC661" t="s">
        <v>1864</v>
      </c>
      <c r="AD661" t="s">
        <v>4</v>
      </c>
      <c r="AE661" t="s">
        <v>1106</v>
      </c>
      <c r="AF661">
        <v>11</v>
      </c>
      <c r="AG661">
        <v>1</v>
      </c>
      <c r="AH661">
        <v>366</v>
      </c>
      <c r="AI661" t="s">
        <v>80</v>
      </c>
      <c r="AJ661" t="s">
        <v>1054</v>
      </c>
      <c r="AK661" t="s">
        <v>100</v>
      </c>
      <c r="AL661" t="s">
        <v>1123</v>
      </c>
      <c r="AM661" s="314">
        <v>0</v>
      </c>
      <c r="AN661" s="314">
        <v>19561.5</v>
      </c>
      <c r="AO661" s="314">
        <v>25150.5</v>
      </c>
      <c r="AP661" s="314">
        <v>25150.5</v>
      </c>
      <c r="AQ661" s="314">
        <v>0</v>
      </c>
      <c r="AR661" s="314">
        <v>1.8155025</v>
      </c>
      <c r="AS661" s="314">
        <v>2.3342174999999998</v>
      </c>
      <c r="AT661" s="314">
        <v>2.3342174999999998</v>
      </c>
      <c r="AU661" s="314">
        <v>0</v>
      </c>
      <c r="AV661" s="314">
        <v>1936.7113500000003</v>
      </c>
      <c r="AW661" s="314">
        <v>2490.0574500000002</v>
      </c>
      <c r="AX661">
        <v>2490.0574500000002</v>
      </c>
    </row>
    <row r="662" spans="1:50" x14ac:dyDescent="0.35">
      <c r="A662">
        <v>378</v>
      </c>
      <c r="B662" t="s">
        <v>80</v>
      </c>
      <c r="C662" t="s">
        <v>1054</v>
      </c>
      <c r="D662" t="s">
        <v>4</v>
      </c>
      <c r="E662" t="s">
        <v>1120</v>
      </c>
      <c r="F662">
        <v>0</v>
      </c>
      <c r="G662">
        <v>110000</v>
      </c>
      <c r="H662">
        <v>0</v>
      </c>
      <c r="I662">
        <v>0</v>
      </c>
      <c r="J662" s="600">
        <v>110000</v>
      </c>
      <c r="K662" s="7">
        <f t="shared" si="136"/>
        <v>11.264926929375578</v>
      </c>
      <c r="L662" s="7">
        <f t="shared" si="137"/>
        <v>0</v>
      </c>
      <c r="M662" s="243">
        <f t="shared" si="138"/>
        <v>0</v>
      </c>
      <c r="N662" s="243">
        <f>INDEX($AN$4:$AN21558,MATCH($A662,$AH$4:$AH$2000,0))</f>
        <v>3761887.0895476206</v>
      </c>
      <c r="O662" s="243">
        <f t="shared" si="134"/>
        <v>0</v>
      </c>
      <c r="P662" s="243">
        <f t="shared" si="139"/>
        <v>0</v>
      </c>
      <c r="Q662" s="243">
        <f t="shared" si="140"/>
        <v>0</v>
      </c>
      <c r="R662" s="243">
        <f t="shared" si="141"/>
        <v>-75927.996302796004</v>
      </c>
      <c r="S662" s="243">
        <f t="shared" si="135"/>
        <v>0</v>
      </c>
      <c r="T662" s="243">
        <f t="shared" si="142"/>
        <v>0</v>
      </c>
      <c r="AA662">
        <v>1048</v>
      </c>
      <c r="AB662" t="s">
        <v>0</v>
      </c>
      <c r="AC662" t="s">
        <v>1864</v>
      </c>
      <c r="AD662" t="s">
        <v>4</v>
      </c>
      <c r="AE662" t="s">
        <v>1107</v>
      </c>
      <c r="AF662">
        <v>12</v>
      </c>
      <c r="AG662">
        <v>2</v>
      </c>
      <c r="AH662">
        <v>378</v>
      </c>
      <c r="AI662" t="s">
        <v>80</v>
      </c>
      <c r="AJ662" t="s">
        <v>1054</v>
      </c>
      <c r="AK662" t="s">
        <v>4</v>
      </c>
      <c r="AL662" t="s">
        <v>1120</v>
      </c>
      <c r="AM662" s="314">
        <v>0</v>
      </c>
      <c r="AN662" s="314">
        <v>3761887.0895476206</v>
      </c>
      <c r="AO662" s="314">
        <v>0</v>
      </c>
      <c r="AP662" s="314">
        <v>0</v>
      </c>
      <c r="AQ662" s="314">
        <v>0</v>
      </c>
      <c r="AR662" s="314">
        <v>805.67143968960011</v>
      </c>
      <c r="AS662" s="314">
        <v>0</v>
      </c>
      <c r="AT662" s="314">
        <v>0</v>
      </c>
      <c r="AU662" s="314">
        <v>0</v>
      </c>
      <c r="AV662" s="314">
        <v>-75927.996302796004</v>
      </c>
      <c r="AW662" s="314">
        <v>0</v>
      </c>
      <c r="AX662">
        <v>0</v>
      </c>
    </row>
    <row r="663" spans="1:50" x14ac:dyDescent="0.35">
      <c r="A663">
        <v>377</v>
      </c>
      <c r="B663" t="s">
        <v>80</v>
      </c>
      <c r="C663" t="s">
        <v>1054</v>
      </c>
      <c r="D663" t="s">
        <v>4</v>
      </c>
      <c r="E663" t="s">
        <v>1937</v>
      </c>
      <c r="F663">
        <v>0</v>
      </c>
      <c r="G663">
        <v>0</v>
      </c>
      <c r="H663">
        <v>110000</v>
      </c>
      <c r="I663">
        <v>110000</v>
      </c>
      <c r="J663" s="600">
        <v>220000</v>
      </c>
      <c r="K663" s="7">
        <f t="shared" si="136"/>
        <v>11.264926929375578</v>
      </c>
      <c r="L663" s="7">
        <f t="shared" si="137"/>
        <v>0</v>
      </c>
      <c r="M663" s="243">
        <f t="shared" si="138"/>
        <v>0</v>
      </c>
      <c r="N663" s="243">
        <f>INDEX($AN$4:$AN21559,MATCH($A663,$AH$4:$AH$2000,0))</f>
        <v>0</v>
      </c>
      <c r="O663" s="243">
        <f t="shared" si="134"/>
        <v>3761887.0895476206</v>
      </c>
      <c r="P663" s="243">
        <f t="shared" si="139"/>
        <v>3761887.0895476206</v>
      </c>
      <c r="Q663" s="243">
        <f t="shared" si="140"/>
        <v>0</v>
      </c>
      <c r="R663" s="243">
        <f t="shared" si="141"/>
        <v>0</v>
      </c>
      <c r="S663" s="243">
        <f t="shared" si="135"/>
        <v>-75927.996302796004</v>
      </c>
      <c r="T663" s="243">
        <f t="shared" si="142"/>
        <v>-75927.996302796004</v>
      </c>
      <c r="AA663">
        <v>953</v>
      </c>
      <c r="AB663" t="s">
        <v>0</v>
      </c>
      <c r="AC663" t="s">
        <v>1864</v>
      </c>
      <c r="AD663" t="s">
        <v>4</v>
      </c>
      <c r="AE663" t="s">
        <v>891</v>
      </c>
      <c r="AF663">
        <v>10</v>
      </c>
      <c r="AG663">
        <v>3</v>
      </c>
      <c r="AH663">
        <v>377</v>
      </c>
      <c r="AI663" t="s">
        <v>80</v>
      </c>
      <c r="AJ663" t="s">
        <v>1054</v>
      </c>
      <c r="AK663" t="s">
        <v>4</v>
      </c>
      <c r="AL663" t="s">
        <v>1937</v>
      </c>
      <c r="AM663" s="314">
        <v>0</v>
      </c>
      <c r="AN663" s="314">
        <v>0</v>
      </c>
      <c r="AO663" s="314">
        <v>3761887.0895476206</v>
      </c>
      <c r="AP663" s="314">
        <v>3761887.0895476206</v>
      </c>
      <c r="AQ663" s="314">
        <v>0</v>
      </c>
      <c r="AR663" s="314">
        <v>0</v>
      </c>
      <c r="AS663" s="314">
        <v>805.67143968960011</v>
      </c>
      <c r="AT663" s="314">
        <v>805.67143968960011</v>
      </c>
      <c r="AU663" s="314">
        <v>0</v>
      </c>
      <c r="AV663" s="314">
        <v>0</v>
      </c>
      <c r="AW663" s="314">
        <v>-75927.996302796004</v>
      </c>
      <c r="AX663">
        <v>-75927.996302796004</v>
      </c>
    </row>
    <row r="664" spans="1:50" x14ac:dyDescent="0.35">
      <c r="A664">
        <v>380</v>
      </c>
      <c r="B664" t="s">
        <v>80</v>
      </c>
      <c r="C664" t="s">
        <v>1054</v>
      </c>
      <c r="D664" t="s">
        <v>4</v>
      </c>
      <c r="E664" t="s">
        <v>1124</v>
      </c>
      <c r="F664">
        <v>0</v>
      </c>
      <c r="G664">
        <v>0</v>
      </c>
      <c r="H664">
        <v>3000</v>
      </c>
      <c r="I664">
        <v>0</v>
      </c>
      <c r="J664" s="600">
        <v>3000</v>
      </c>
      <c r="K664" s="7">
        <f t="shared" si="136"/>
        <v>15</v>
      </c>
      <c r="L664" s="7">
        <f t="shared" si="137"/>
        <v>0</v>
      </c>
      <c r="M664" s="243">
        <f t="shared" si="138"/>
        <v>0</v>
      </c>
      <c r="N664" s="243">
        <f>INDEX($AN$4:$AN21560,MATCH($A664,$AH$4:$AH$2000,0))</f>
        <v>0</v>
      </c>
      <c r="O664" s="243">
        <f t="shared" ref="O664:O683" si="143">INDEX($AO$4:$AO$2000,MATCH($A664,$AH$4:$AH$2000,0))</f>
        <v>140395.70160000006</v>
      </c>
      <c r="P664" s="243">
        <f t="shared" si="139"/>
        <v>0</v>
      </c>
      <c r="Q664" s="243">
        <f t="shared" si="140"/>
        <v>0</v>
      </c>
      <c r="R664" s="243">
        <f t="shared" si="141"/>
        <v>0</v>
      </c>
      <c r="S664" s="243">
        <f t="shared" ref="S664:S683" si="144">INDEX($AW$4:$AW$2000,MATCH($A664,$AH$4:$AH$2000,0))</f>
        <v>-1544.3527176000005</v>
      </c>
      <c r="T664" s="243">
        <f t="shared" si="142"/>
        <v>0</v>
      </c>
      <c r="AA664">
        <v>954</v>
      </c>
      <c r="AB664" t="s">
        <v>0</v>
      </c>
      <c r="AC664" t="s">
        <v>1864</v>
      </c>
      <c r="AD664" t="s">
        <v>4</v>
      </c>
      <c r="AE664" t="s">
        <v>892</v>
      </c>
      <c r="AF664">
        <v>10</v>
      </c>
      <c r="AG664">
        <v>2</v>
      </c>
      <c r="AH664">
        <v>380</v>
      </c>
      <c r="AI664" t="s">
        <v>80</v>
      </c>
      <c r="AJ664" t="s">
        <v>1054</v>
      </c>
      <c r="AK664" t="s">
        <v>4</v>
      </c>
      <c r="AL664" t="s">
        <v>1124</v>
      </c>
      <c r="AM664" s="314">
        <v>0</v>
      </c>
      <c r="AN664" s="314">
        <v>0</v>
      </c>
      <c r="AO664" s="314">
        <v>140395.70160000006</v>
      </c>
      <c r="AP664" s="314">
        <v>0</v>
      </c>
      <c r="AQ664" s="314">
        <v>0</v>
      </c>
      <c r="AR664" s="314">
        <v>0</v>
      </c>
      <c r="AS664" s="314">
        <v>38.338470719999997</v>
      </c>
      <c r="AT664" s="314">
        <v>0</v>
      </c>
      <c r="AU664" s="314">
        <v>0</v>
      </c>
      <c r="AV664" s="314">
        <v>0</v>
      </c>
      <c r="AW664" s="314">
        <v>-1544.3527176000005</v>
      </c>
      <c r="AX664">
        <v>0</v>
      </c>
    </row>
    <row r="665" spans="1:50" x14ac:dyDescent="0.35">
      <c r="A665">
        <v>381</v>
      </c>
      <c r="B665" t="s">
        <v>80</v>
      </c>
      <c r="C665" t="s">
        <v>1054</v>
      </c>
      <c r="D665" t="s">
        <v>4</v>
      </c>
      <c r="E665" t="s">
        <v>1125</v>
      </c>
      <c r="F665">
        <v>0</v>
      </c>
      <c r="G665">
        <v>0</v>
      </c>
      <c r="H665">
        <v>0</v>
      </c>
      <c r="I665">
        <v>3500</v>
      </c>
      <c r="J665" s="600">
        <v>3500</v>
      </c>
      <c r="K665" s="7">
        <f t="shared" si="136"/>
        <v>15</v>
      </c>
      <c r="L665" s="7">
        <f t="shared" si="137"/>
        <v>0</v>
      </c>
      <c r="M665" s="243">
        <f t="shared" si="138"/>
        <v>0</v>
      </c>
      <c r="N665" s="243">
        <f>INDEX($AN$4:$AN21561,MATCH($A665,$AH$4:$AH$2000,0))</f>
        <v>0</v>
      </c>
      <c r="O665" s="243">
        <f t="shared" si="143"/>
        <v>0</v>
      </c>
      <c r="P665" s="243">
        <f t="shared" si="139"/>
        <v>163794.98520000005</v>
      </c>
      <c r="Q665" s="243">
        <f t="shared" si="140"/>
        <v>0</v>
      </c>
      <c r="R665" s="243">
        <f t="shared" si="141"/>
        <v>0</v>
      </c>
      <c r="S665" s="243">
        <f t="shared" si="144"/>
        <v>0</v>
      </c>
      <c r="T665" s="243">
        <f t="shared" si="142"/>
        <v>-1801.7448372000006</v>
      </c>
      <c r="AA665">
        <v>955</v>
      </c>
      <c r="AB665" t="s">
        <v>0</v>
      </c>
      <c r="AC665" t="s">
        <v>1864</v>
      </c>
      <c r="AD665" t="s">
        <v>4</v>
      </c>
      <c r="AE665" t="s">
        <v>893</v>
      </c>
      <c r="AF665">
        <v>10</v>
      </c>
      <c r="AG665">
        <v>1</v>
      </c>
      <c r="AH665">
        <v>381</v>
      </c>
      <c r="AI665" t="s">
        <v>80</v>
      </c>
      <c r="AJ665" t="s">
        <v>1054</v>
      </c>
      <c r="AK665" t="s">
        <v>4</v>
      </c>
      <c r="AL665" t="s">
        <v>1125</v>
      </c>
      <c r="AM665" s="314">
        <v>0</v>
      </c>
      <c r="AN665" s="314">
        <v>0</v>
      </c>
      <c r="AO665" s="314">
        <v>0</v>
      </c>
      <c r="AP665" s="314">
        <v>163794.98520000005</v>
      </c>
      <c r="AQ665" s="314">
        <v>0</v>
      </c>
      <c r="AR665" s="314">
        <v>0</v>
      </c>
      <c r="AS665" s="314">
        <v>0</v>
      </c>
      <c r="AT665" s="314">
        <v>44.728215839999997</v>
      </c>
      <c r="AU665" s="314">
        <v>0</v>
      </c>
      <c r="AV665" s="314">
        <v>0</v>
      </c>
      <c r="AW665" s="314">
        <v>0</v>
      </c>
      <c r="AX665">
        <v>-1801.7448372000006</v>
      </c>
    </row>
    <row r="666" spans="1:50" x14ac:dyDescent="0.35">
      <c r="A666">
        <v>697</v>
      </c>
      <c r="B666" t="s">
        <v>0</v>
      </c>
      <c r="C666" t="s">
        <v>1933</v>
      </c>
      <c r="D666" t="s">
        <v>1009</v>
      </c>
      <c r="E666" t="s">
        <v>1751</v>
      </c>
      <c r="F666">
        <v>485.61038499999995</v>
      </c>
      <c r="G666">
        <v>486.45416200000005</v>
      </c>
      <c r="H666">
        <v>449.24974999999995</v>
      </c>
      <c r="I666">
        <v>481.70321999999999</v>
      </c>
      <c r="J666" s="600">
        <v>1885</v>
      </c>
      <c r="K666" s="7">
        <f t="shared" si="136"/>
        <v>10</v>
      </c>
      <c r="L666" s="7">
        <f t="shared" si="137"/>
        <v>0</v>
      </c>
      <c r="M666" s="243">
        <f t="shared" si="138"/>
        <v>124040.28</v>
      </c>
      <c r="N666" s="243">
        <f>INDEX($AN$4:$AN21562,MATCH($A666,$AH$4:$AH$2000,0))</f>
        <v>124298.16</v>
      </c>
      <c r="O666" s="243">
        <f t="shared" si="143"/>
        <v>114756.59999999999</v>
      </c>
      <c r="P666" s="243">
        <f t="shared" si="139"/>
        <v>123008.76</v>
      </c>
      <c r="Q666" s="243">
        <f t="shared" si="140"/>
        <v>0</v>
      </c>
      <c r="R666" s="243">
        <f t="shared" si="141"/>
        <v>0</v>
      </c>
      <c r="S666" s="243">
        <f t="shared" si="144"/>
        <v>0</v>
      </c>
      <c r="T666" s="243">
        <f t="shared" si="142"/>
        <v>0</v>
      </c>
      <c r="AA666">
        <v>981</v>
      </c>
      <c r="AB666" t="s">
        <v>0</v>
      </c>
      <c r="AC666" t="s">
        <v>1864</v>
      </c>
      <c r="AD666" t="s">
        <v>4</v>
      </c>
      <c r="AE666" t="s">
        <v>894</v>
      </c>
      <c r="AF666">
        <v>10</v>
      </c>
      <c r="AG666">
        <v>2</v>
      </c>
      <c r="AH666">
        <v>697</v>
      </c>
      <c r="AI666" t="s">
        <v>0</v>
      </c>
      <c r="AJ666" t="s">
        <v>1933</v>
      </c>
      <c r="AK666" t="s">
        <v>1009</v>
      </c>
      <c r="AL666" t="s">
        <v>1751</v>
      </c>
      <c r="AM666" s="314">
        <v>124040.28</v>
      </c>
      <c r="AN666" s="314">
        <v>124298.16</v>
      </c>
      <c r="AO666" s="314">
        <v>114756.59999999999</v>
      </c>
      <c r="AP666" s="314">
        <v>123008.76</v>
      </c>
      <c r="AQ666" s="314">
        <v>11.418940000000001</v>
      </c>
      <c r="AR666" s="314">
        <v>11.442680000000001</v>
      </c>
      <c r="AS666" s="314">
        <v>10.564300000000001</v>
      </c>
      <c r="AT666" s="314">
        <v>11.323980000000001</v>
      </c>
      <c r="AU666" s="314">
        <v>0</v>
      </c>
      <c r="AV666" s="314">
        <v>0</v>
      </c>
      <c r="AW666" s="314">
        <v>0</v>
      </c>
      <c r="AX666">
        <v>0</v>
      </c>
    </row>
    <row r="667" spans="1:50" x14ac:dyDescent="0.35">
      <c r="A667">
        <v>676</v>
      </c>
      <c r="B667" t="s">
        <v>0</v>
      </c>
      <c r="C667" t="s">
        <v>1933</v>
      </c>
      <c r="D667" t="s">
        <v>1009</v>
      </c>
      <c r="E667" t="s">
        <v>1801</v>
      </c>
      <c r="F667">
        <v>776.37086499999998</v>
      </c>
      <c r="G667">
        <v>779.134052</v>
      </c>
      <c r="H667">
        <v>718.79959999999994</v>
      </c>
      <c r="I667">
        <v>770.52318000000002</v>
      </c>
      <c r="J667" s="600">
        <v>3016</v>
      </c>
      <c r="K667" s="7">
        <f t="shared" si="136"/>
        <v>9</v>
      </c>
      <c r="L667" s="7">
        <f t="shared" si="137"/>
        <v>0</v>
      </c>
      <c r="M667" s="243">
        <f t="shared" si="138"/>
        <v>52776.469999999994</v>
      </c>
      <c r="N667" s="243">
        <f>INDEX($AN$4:$AN21563,MATCH($A667,$AH$4:$AH$2000,0))</f>
        <v>52982.359999999993</v>
      </c>
      <c r="O667" s="243">
        <f t="shared" si="143"/>
        <v>48864.56</v>
      </c>
      <c r="P667" s="243">
        <f t="shared" si="139"/>
        <v>52364.689999999995</v>
      </c>
      <c r="Q667" s="243">
        <f t="shared" si="140"/>
        <v>0</v>
      </c>
      <c r="R667" s="243">
        <f t="shared" si="141"/>
        <v>0</v>
      </c>
      <c r="S667" s="243">
        <f t="shared" si="144"/>
        <v>0</v>
      </c>
      <c r="T667" s="243">
        <f t="shared" si="142"/>
        <v>0</v>
      </c>
      <c r="AA667">
        <v>982</v>
      </c>
      <c r="AB667" t="s">
        <v>0</v>
      </c>
      <c r="AC667" t="s">
        <v>1864</v>
      </c>
      <c r="AD667" t="s">
        <v>4</v>
      </c>
      <c r="AE667" t="s">
        <v>895</v>
      </c>
      <c r="AF667">
        <v>10</v>
      </c>
      <c r="AG667">
        <v>1</v>
      </c>
      <c r="AH667">
        <v>676</v>
      </c>
      <c r="AI667" t="s">
        <v>0</v>
      </c>
      <c r="AJ667" t="s">
        <v>1933</v>
      </c>
      <c r="AK667" t="s">
        <v>1009</v>
      </c>
      <c r="AL667" t="s">
        <v>1801</v>
      </c>
      <c r="AM667" s="314">
        <v>52776.469999999994</v>
      </c>
      <c r="AN667" s="314">
        <v>52982.359999999993</v>
      </c>
      <c r="AO667" s="314">
        <v>48864.56</v>
      </c>
      <c r="AP667" s="314">
        <v>52364.689999999995</v>
      </c>
      <c r="AQ667" s="314">
        <v>22.324069999999999</v>
      </c>
      <c r="AR667" s="314">
        <v>22.411159999999999</v>
      </c>
      <c r="AS667" s="314">
        <v>20.669360000000001</v>
      </c>
      <c r="AT667" s="314">
        <v>22.149889999999999</v>
      </c>
      <c r="AU667" s="314">
        <v>0</v>
      </c>
      <c r="AV667" s="314">
        <v>0</v>
      </c>
      <c r="AW667" s="314">
        <v>0</v>
      </c>
      <c r="AX667">
        <v>0</v>
      </c>
    </row>
    <row r="668" spans="1:50" x14ac:dyDescent="0.35">
      <c r="A668">
        <v>698</v>
      </c>
      <c r="B668" t="s">
        <v>0</v>
      </c>
      <c r="C668" t="s">
        <v>1933</v>
      </c>
      <c r="D668" t="s">
        <v>1009</v>
      </c>
      <c r="E668" t="s">
        <v>39</v>
      </c>
      <c r="F668">
        <v>1122</v>
      </c>
      <c r="G668">
        <v>1126</v>
      </c>
      <c r="H668">
        <v>1038</v>
      </c>
      <c r="I668">
        <v>1113</v>
      </c>
      <c r="J668" s="600">
        <v>4399</v>
      </c>
      <c r="K668" s="7">
        <f t="shared" si="136"/>
        <v>10</v>
      </c>
      <c r="L668" s="7">
        <f t="shared" si="137"/>
        <v>0</v>
      </c>
      <c r="M668" s="243">
        <f t="shared" si="138"/>
        <v>0</v>
      </c>
      <c r="N668" s="243">
        <f>INDEX($AN$4:$AN21564,MATCH($A668,$AH$4:$AH$2000,0))</f>
        <v>0</v>
      </c>
      <c r="O668" s="243">
        <f t="shared" si="143"/>
        <v>0</v>
      </c>
      <c r="P668" s="243">
        <f t="shared" si="139"/>
        <v>0</v>
      </c>
      <c r="Q668" s="243">
        <f t="shared" si="140"/>
        <v>12386.88</v>
      </c>
      <c r="R668" s="243">
        <f t="shared" si="141"/>
        <v>12431.039999999999</v>
      </c>
      <c r="S668" s="243">
        <f t="shared" si="144"/>
        <v>11459.519999999999</v>
      </c>
      <c r="T668" s="243">
        <f t="shared" si="142"/>
        <v>12287.519999999999</v>
      </c>
      <c r="AA668">
        <v>983</v>
      </c>
      <c r="AB668" t="s">
        <v>0</v>
      </c>
      <c r="AC668" t="s">
        <v>1864</v>
      </c>
      <c r="AD668" t="s">
        <v>4</v>
      </c>
      <c r="AE668" t="s">
        <v>896</v>
      </c>
      <c r="AF668">
        <v>10</v>
      </c>
      <c r="AG668">
        <v>0</v>
      </c>
      <c r="AH668">
        <v>698</v>
      </c>
      <c r="AI668" t="s">
        <v>0</v>
      </c>
      <c r="AJ668" t="s">
        <v>1933</v>
      </c>
      <c r="AK668" t="s">
        <v>1009</v>
      </c>
      <c r="AL668" t="s">
        <v>39</v>
      </c>
      <c r="AM668" s="314">
        <v>0</v>
      </c>
      <c r="AN668" s="314">
        <v>0</v>
      </c>
      <c r="AO668" s="314">
        <v>0</v>
      </c>
      <c r="AP668" s="314">
        <v>0</v>
      </c>
      <c r="AQ668" s="314">
        <v>0</v>
      </c>
      <c r="AR668" s="314">
        <v>0</v>
      </c>
      <c r="AS668" s="314">
        <v>0</v>
      </c>
      <c r="AT668" s="314">
        <v>0</v>
      </c>
      <c r="AU668" s="314">
        <v>12386.88</v>
      </c>
      <c r="AV668" s="314">
        <v>12431.039999999999</v>
      </c>
      <c r="AW668" s="314">
        <v>11459.519999999999</v>
      </c>
      <c r="AX668">
        <v>12287.519999999999</v>
      </c>
    </row>
    <row r="669" spans="1:50" x14ac:dyDescent="0.35">
      <c r="A669">
        <v>677</v>
      </c>
      <c r="B669" t="s">
        <v>0</v>
      </c>
      <c r="C669" t="s">
        <v>1933</v>
      </c>
      <c r="D669" t="s">
        <v>1009</v>
      </c>
      <c r="E669" t="s">
        <v>1802</v>
      </c>
      <c r="F669">
        <v>1795</v>
      </c>
      <c r="G669">
        <v>1801</v>
      </c>
      <c r="H669">
        <v>1661</v>
      </c>
      <c r="I669">
        <v>1781</v>
      </c>
      <c r="J669" s="600">
        <v>7038</v>
      </c>
      <c r="K669" s="7">
        <f t="shared" si="136"/>
        <v>9</v>
      </c>
      <c r="L669" s="7">
        <f t="shared" si="137"/>
        <v>0</v>
      </c>
      <c r="M669" s="243">
        <f t="shared" si="138"/>
        <v>0</v>
      </c>
      <c r="N669" s="243">
        <f>INDEX($AN$4:$AN21565,MATCH($A669,$AH$4:$AH$2000,0))</f>
        <v>0</v>
      </c>
      <c r="O669" s="243">
        <f t="shared" si="143"/>
        <v>0</v>
      </c>
      <c r="P669" s="243">
        <f t="shared" si="139"/>
        <v>0</v>
      </c>
      <c r="Q669" s="243">
        <f t="shared" si="140"/>
        <v>5277.3</v>
      </c>
      <c r="R669" s="243">
        <f t="shared" si="141"/>
        <v>5294.94</v>
      </c>
      <c r="S669" s="243">
        <f t="shared" si="144"/>
        <v>4883.34</v>
      </c>
      <c r="T669" s="243">
        <f t="shared" si="142"/>
        <v>5236.1400000000003</v>
      </c>
      <c r="AA669">
        <v>1009</v>
      </c>
      <c r="AB669" t="s">
        <v>0</v>
      </c>
      <c r="AC669" t="s">
        <v>1864</v>
      </c>
      <c r="AD669" t="s">
        <v>4</v>
      </c>
      <c r="AE669" t="s">
        <v>1108</v>
      </c>
      <c r="AF669">
        <v>10</v>
      </c>
      <c r="AG669">
        <v>0</v>
      </c>
      <c r="AH669">
        <v>677</v>
      </c>
      <c r="AI669" t="s">
        <v>0</v>
      </c>
      <c r="AJ669" t="s">
        <v>1933</v>
      </c>
      <c r="AK669" t="s">
        <v>1009</v>
      </c>
      <c r="AL669" t="s">
        <v>1802</v>
      </c>
      <c r="AM669" s="314">
        <v>0</v>
      </c>
      <c r="AN669" s="314">
        <v>0</v>
      </c>
      <c r="AO669" s="314">
        <v>0</v>
      </c>
      <c r="AP669" s="314">
        <v>0</v>
      </c>
      <c r="AQ669" s="314">
        <v>0</v>
      </c>
      <c r="AR669" s="314">
        <v>0</v>
      </c>
      <c r="AS669" s="314">
        <v>0</v>
      </c>
      <c r="AT669" s="314">
        <v>0</v>
      </c>
      <c r="AU669" s="314">
        <v>5277.3</v>
      </c>
      <c r="AV669" s="314">
        <v>5294.94</v>
      </c>
      <c r="AW669" s="314">
        <v>4883.34</v>
      </c>
      <c r="AX669">
        <v>5236.1400000000003</v>
      </c>
    </row>
    <row r="670" spans="1:50" x14ac:dyDescent="0.35">
      <c r="A670">
        <v>636</v>
      </c>
      <c r="B670" t="s">
        <v>0</v>
      </c>
      <c r="C670" t="s">
        <v>1933</v>
      </c>
      <c r="D670" t="s">
        <v>1009</v>
      </c>
      <c r="E670" t="s">
        <v>1803</v>
      </c>
      <c r="F670">
        <v>919.14637569999979</v>
      </c>
      <c r="G670">
        <v>922.04762380499983</v>
      </c>
      <c r="H670">
        <v>850.35406049999995</v>
      </c>
      <c r="I670">
        <v>912.44114362589994</v>
      </c>
      <c r="J670" s="600">
        <v>3569.8673149999995</v>
      </c>
      <c r="K670" s="7">
        <f t="shared" si="136"/>
        <v>15</v>
      </c>
      <c r="L670" s="7">
        <f t="shared" si="137"/>
        <v>0</v>
      </c>
      <c r="M670" s="243">
        <f t="shared" si="138"/>
        <v>2020022.8256249996</v>
      </c>
      <c r="N670" s="243">
        <f>INDEX($AN$4:$AN21566,MATCH($A670,$AH$4:$AH$2000,0))</f>
        <v>2027089.6439062494</v>
      </c>
      <c r="O670" s="243">
        <f t="shared" si="143"/>
        <v>1868901.6346874998</v>
      </c>
      <c r="P670" s="243">
        <f t="shared" si="139"/>
        <v>2004740.5592910936</v>
      </c>
      <c r="Q670" s="243">
        <f t="shared" si="140"/>
        <v>0</v>
      </c>
      <c r="R670" s="243">
        <f t="shared" si="141"/>
        <v>0</v>
      </c>
      <c r="S670" s="243">
        <f t="shared" si="144"/>
        <v>0</v>
      </c>
      <c r="T670" s="243">
        <f t="shared" si="142"/>
        <v>0</v>
      </c>
      <c r="AA670">
        <v>1010</v>
      </c>
      <c r="AB670" t="s">
        <v>0</v>
      </c>
      <c r="AC670" t="s">
        <v>1864</v>
      </c>
      <c r="AD670" t="s">
        <v>4</v>
      </c>
      <c r="AE670" t="s">
        <v>1109</v>
      </c>
      <c r="AF670">
        <v>10</v>
      </c>
      <c r="AG670">
        <v>0</v>
      </c>
      <c r="AH670">
        <v>636</v>
      </c>
      <c r="AI670" t="s">
        <v>0</v>
      </c>
      <c r="AJ670" t="s">
        <v>1933</v>
      </c>
      <c r="AK670" t="s">
        <v>1009</v>
      </c>
      <c r="AL670" t="s">
        <v>1803</v>
      </c>
      <c r="AM670" s="314">
        <v>2020022.8256249996</v>
      </c>
      <c r="AN670" s="314">
        <v>2027089.6439062494</v>
      </c>
      <c r="AO670" s="314">
        <v>1868901.6346874998</v>
      </c>
      <c r="AP670" s="314">
        <v>2004740.5592910936</v>
      </c>
      <c r="AQ670" s="314">
        <v>286.78229999999996</v>
      </c>
      <c r="AR670" s="314">
        <v>287.78557499999994</v>
      </c>
      <c r="AS670" s="314">
        <v>265.32765000000001</v>
      </c>
      <c r="AT670" s="314">
        <v>284.61267922499997</v>
      </c>
      <c r="AU670" s="314">
        <v>0</v>
      </c>
      <c r="AV670" s="314">
        <v>0</v>
      </c>
      <c r="AW670" s="314">
        <v>0</v>
      </c>
      <c r="AX670">
        <v>0</v>
      </c>
    </row>
    <row r="671" spans="1:50" x14ac:dyDescent="0.35">
      <c r="A671">
        <v>692</v>
      </c>
      <c r="B671" t="s">
        <v>0</v>
      </c>
      <c r="C671" t="s">
        <v>1933</v>
      </c>
      <c r="D671" t="s">
        <v>1009</v>
      </c>
      <c r="E671" t="s">
        <v>1804</v>
      </c>
      <c r="F671">
        <v>58.555929999999996</v>
      </c>
      <c r="G671">
        <v>58.535978</v>
      </c>
      <c r="H671">
        <v>53.506149999999998</v>
      </c>
      <c r="I671">
        <v>57.562019999999997</v>
      </c>
      <c r="J671" s="600">
        <v>226</v>
      </c>
      <c r="K671" s="7">
        <f t="shared" si="136"/>
        <v>25</v>
      </c>
      <c r="L671" s="7">
        <f t="shared" si="137"/>
        <v>0</v>
      </c>
      <c r="M671" s="243">
        <f t="shared" si="138"/>
        <v>61538</v>
      </c>
      <c r="N671" s="243">
        <f>INDEX($AN$4:$AN21567,MATCH($A671,$AH$4:$AH$2000,0))</f>
        <v>61538</v>
      </c>
      <c r="O671" s="243">
        <f t="shared" si="143"/>
        <v>56233</v>
      </c>
      <c r="P671" s="243">
        <f t="shared" si="139"/>
        <v>60477</v>
      </c>
      <c r="Q671" s="243">
        <f t="shared" si="140"/>
        <v>0</v>
      </c>
      <c r="R671" s="243">
        <f t="shared" si="141"/>
        <v>0</v>
      </c>
      <c r="S671" s="243">
        <f t="shared" si="144"/>
        <v>0</v>
      </c>
      <c r="T671" s="243">
        <f t="shared" si="142"/>
        <v>0</v>
      </c>
      <c r="AA671">
        <v>1011</v>
      </c>
      <c r="AB671" t="s">
        <v>0</v>
      </c>
      <c r="AC671" t="s">
        <v>1864</v>
      </c>
      <c r="AD671" t="s">
        <v>4</v>
      </c>
      <c r="AE671" t="s">
        <v>1110</v>
      </c>
      <c r="AF671">
        <v>11</v>
      </c>
      <c r="AG671">
        <v>1</v>
      </c>
      <c r="AH671">
        <v>692</v>
      </c>
      <c r="AI671" t="s">
        <v>0</v>
      </c>
      <c r="AJ671" t="s">
        <v>1933</v>
      </c>
      <c r="AK671" t="s">
        <v>1009</v>
      </c>
      <c r="AL671" t="s">
        <v>1804</v>
      </c>
      <c r="AM671" s="314">
        <v>61538</v>
      </c>
      <c r="AN671" s="314">
        <v>61538</v>
      </c>
      <c r="AO671" s="314">
        <v>56233</v>
      </c>
      <c r="AP671" s="314">
        <v>60477</v>
      </c>
      <c r="AQ671" s="314">
        <v>5.5920845334848712</v>
      </c>
      <c r="AR671" s="314">
        <v>5.5920845334848712</v>
      </c>
      <c r="AS671" s="314">
        <v>5.1100082805982439</v>
      </c>
      <c r="AT671" s="314">
        <v>5.4956692829075457</v>
      </c>
      <c r="AU671" s="314">
        <v>0</v>
      </c>
      <c r="AV671" s="314">
        <v>0</v>
      </c>
      <c r="AW671" s="314">
        <v>0</v>
      </c>
      <c r="AX671">
        <v>0</v>
      </c>
    </row>
    <row r="672" spans="1:50" x14ac:dyDescent="0.35">
      <c r="A672">
        <v>694</v>
      </c>
      <c r="B672" t="s">
        <v>0</v>
      </c>
      <c r="C672" t="s">
        <v>1933</v>
      </c>
      <c r="D672" t="s">
        <v>1009</v>
      </c>
      <c r="E672" t="s">
        <v>1805</v>
      </c>
      <c r="F672">
        <v>136.29397499999999</v>
      </c>
      <c r="G672">
        <v>136.247535</v>
      </c>
      <c r="H672">
        <v>126.19374999999999</v>
      </c>
      <c r="I672">
        <v>135.32123999999999</v>
      </c>
      <c r="J672" s="600">
        <v>529</v>
      </c>
      <c r="K672" s="7">
        <f t="shared" si="136"/>
        <v>25</v>
      </c>
      <c r="L672" s="7">
        <f t="shared" si="137"/>
        <v>0</v>
      </c>
      <c r="M672" s="243">
        <f t="shared" si="138"/>
        <v>32421.09375</v>
      </c>
      <c r="N672" s="243">
        <f>INDEX($AN$4:$AN21568,MATCH($A672,$AH$4:$AH$2000,0))</f>
        <v>32421.09375</v>
      </c>
      <c r="O672" s="243">
        <f t="shared" si="143"/>
        <v>30019.53125</v>
      </c>
      <c r="P672" s="243">
        <f t="shared" si="139"/>
        <v>32180.9375</v>
      </c>
      <c r="Q672" s="243">
        <f t="shared" si="140"/>
        <v>0</v>
      </c>
      <c r="R672" s="243">
        <f t="shared" si="141"/>
        <v>0</v>
      </c>
      <c r="S672" s="243">
        <f t="shared" si="144"/>
        <v>0</v>
      </c>
      <c r="T672" s="243">
        <f t="shared" si="142"/>
        <v>0</v>
      </c>
      <c r="AA672">
        <v>1037</v>
      </c>
      <c r="AB672" t="s">
        <v>0</v>
      </c>
      <c r="AC672" t="s">
        <v>1864</v>
      </c>
      <c r="AD672" t="s">
        <v>4</v>
      </c>
      <c r="AE672" t="s">
        <v>1111</v>
      </c>
      <c r="AF672">
        <v>10</v>
      </c>
      <c r="AG672">
        <v>0</v>
      </c>
      <c r="AH672">
        <v>694</v>
      </c>
      <c r="AI672" t="s">
        <v>0</v>
      </c>
      <c r="AJ672" t="s">
        <v>1933</v>
      </c>
      <c r="AK672" t="s">
        <v>1009</v>
      </c>
      <c r="AL672" t="s">
        <v>1805</v>
      </c>
      <c r="AM672" s="314">
        <v>32421.09375</v>
      </c>
      <c r="AN672" s="314">
        <v>32421.09375</v>
      </c>
      <c r="AO672" s="314">
        <v>30019.53125</v>
      </c>
      <c r="AP672" s="314">
        <v>32180.9375</v>
      </c>
      <c r="AQ672" s="314">
        <v>2.7419100039898918</v>
      </c>
      <c r="AR672" s="314">
        <v>2.7419100039898918</v>
      </c>
      <c r="AS672" s="314">
        <v>2.5388055592498997</v>
      </c>
      <c r="AT672" s="314">
        <v>2.7215995595158926</v>
      </c>
      <c r="AU672" s="314">
        <v>0</v>
      </c>
      <c r="AV672" s="314">
        <v>0</v>
      </c>
      <c r="AW672" s="314">
        <v>0</v>
      </c>
      <c r="AX672">
        <v>0</v>
      </c>
    </row>
    <row r="673" spans="1:50" x14ac:dyDescent="0.35">
      <c r="A673">
        <v>662</v>
      </c>
      <c r="B673" t="s">
        <v>0</v>
      </c>
      <c r="C673" t="s">
        <v>1933</v>
      </c>
      <c r="D673" t="s">
        <v>1009</v>
      </c>
      <c r="E673" t="s">
        <v>1806</v>
      </c>
      <c r="F673">
        <v>19.182115</v>
      </c>
      <c r="G673">
        <v>19.175579000000003</v>
      </c>
      <c r="H673">
        <v>18.171900000000001</v>
      </c>
      <c r="I673">
        <v>19.187339999999999</v>
      </c>
      <c r="J673" s="600">
        <v>75</v>
      </c>
      <c r="K673" s="7">
        <f t="shared" si="136"/>
        <v>25</v>
      </c>
      <c r="L673" s="7">
        <f t="shared" si="137"/>
        <v>0</v>
      </c>
      <c r="M673" s="243">
        <f t="shared" si="138"/>
        <v>28638.224999999999</v>
      </c>
      <c r="N673" s="243">
        <f>INDEX($AN$4:$AN21569,MATCH($A673,$AH$4:$AH$2000,0))</f>
        <v>28638.224999999999</v>
      </c>
      <c r="O673" s="243">
        <f t="shared" si="143"/>
        <v>27130.949999999997</v>
      </c>
      <c r="P673" s="243">
        <f t="shared" si="139"/>
        <v>28638.224999999999</v>
      </c>
      <c r="Q673" s="243">
        <f t="shared" si="140"/>
        <v>0</v>
      </c>
      <c r="R673" s="243">
        <f t="shared" si="141"/>
        <v>0</v>
      </c>
      <c r="S673" s="243">
        <f t="shared" si="144"/>
        <v>0</v>
      </c>
      <c r="T673" s="243">
        <f t="shared" si="142"/>
        <v>0</v>
      </c>
      <c r="AA673">
        <v>1038</v>
      </c>
      <c r="AB673" t="s">
        <v>0</v>
      </c>
      <c r="AC673" t="s">
        <v>1864</v>
      </c>
      <c r="AD673" t="s">
        <v>4</v>
      </c>
      <c r="AE673" t="s">
        <v>1112</v>
      </c>
      <c r="AF673">
        <v>11</v>
      </c>
      <c r="AG673">
        <v>1</v>
      </c>
      <c r="AH673">
        <v>662</v>
      </c>
      <c r="AI673" t="s">
        <v>0</v>
      </c>
      <c r="AJ673" t="s">
        <v>1933</v>
      </c>
      <c r="AK673" t="s">
        <v>1009</v>
      </c>
      <c r="AL673" t="s">
        <v>1806</v>
      </c>
      <c r="AM673" s="314">
        <v>28638.224999999999</v>
      </c>
      <c r="AN673" s="314">
        <v>28638.224999999999</v>
      </c>
      <c r="AO673" s="314">
        <v>27130.949999999997</v>
      </c>
      <c r="AP673" s="314">
        <v>28638.224999999999</v>
      </c>
      <c r="AQ673" s="314">
        <v>1.688305696901184</v>
      </c>
      <c r="AR673" s="314">
        <v>1.688305696901184</v>
      </c>
      <c r="AS673" s="314">
        <v>1.5994475023274375</v>
      </c>
      <c r="AT673" s="314">
        <v>1.688305696901184</v>
      </c>
      <c r="AU673" s="314">
        <v>0</v>
      </c>
      <c r="AV673" s="314">
        <v>0</v>
      </c>
      <c r="AW673" s="314">
        <v>0</v>
      </c>
      <c r="AX673">
        <v>0</v>
      </c>
    </row>
    <row r="674" spans="1:50" x14ac:dyDescent="0.35">
      <c r="A674">
        <v>637</v>
      </c>
      <c r="B674" t="s">
        <v>0</v>
      </c>
      <c r="C674" t="s">
        <v>1933</v>
      </c>
      <c r="D674" t="s">
        <v>1009</v>
      </c>
      <c r="E674" t="s">
        <v>1807</v>
      </c>
      <c r="F674">
        <v>718</v>
      </c>
      <c r="G674">
        <v>720</v>
      </c>
      <c r="H674">
        <v>664</v>
      </c>
      <c r="I674">
        <v>712</v>
      </c>
      <c r="J674" s="600">
        <v>2814</v>
      </c>
      <c r="K674" s="7">
        <f t="shared" si="136"/>
        <v>15</v>
      </c>
      <c r="L674" s="7">
        <f t="shared" si="137"/>
        <v>0</v>
      </c>
      <c r="M674" s="243">
        <f t="shared" si="138"/>
        <v>316638.00000000006</v>
      </c>
      <c r="N674" s="243">
        <f>INDEX($AN$4:$AN21570,MATCH($A674,$AH$4:$AH$2000,0))</f>
        <v>317520.00000000006</v>
      </c>
      <c r="O674" s="243">
        <f t="shared" si="143"/>
        <v>292824.00000000006</v>
      </c>
      <c r="P674" s="243">
        <f t="shared" si="139"/>
        <v>313992.00000000006</v>
      </c>
      <c r="Q674" s="243">
        <f t="shared" si="140"/>
        <v>82917.077860465128</v>
      </c>
      <c r="R674" s="243">
        <f t="shared" si="141"/>
        <v>83148.044651162811</v>
      </c>
      <c r="S674" s="243">
        <f t="shared" si="144"/>
        <v>76680.974511627923</v>
      </c>
      <c r="T674" s="243">
        <f t="shared" si="142"/>
        <v>82224.177488372108</v>
      </c>
      <c r="AA674">
        <v>1039</v>
      </c>
      <c r="AB674" t="s">
        <v>0</v>
      </c>
      <c r="AC674" t="s">
        <v>1864</v>
      </c>
      <c r="AD674" t="s">
        <v>4</v>
      </c>
      <c r="AE674" t="s">
        <v>1113</v>
      </c>
      <c r="AF674">
        <v>12</v>
      </c>
      <c r="AG674">
        <v>2</v>
      </c>
      <c r="AH674">
        <v>637</v>
      </c>
      <c r="AI674" t="s">
        <v>0</v>
      </c>
      <c r="AJ674" t="s">
        <v>1933</v>
      </c>
      <c r="AK674" t="s">
        <v>1009</v>
      </c>
      <c r="AL674" t="s">
        <v>1807</v>
      </c>
      <c r="AM674" s="314">
        <v>316638.00000000006</v>
      </c>
      <c r="AN674" s="314">
        <v>317520.00000000006</v>
      </c>
      <c r="AO674" s="314">
        <v>292824.00000000006</v>
      </c>
      <c r="AP674" s="314">
        <v>313992.00000000006</v>
      </c>
      <c r="AQ674" s="314">
        <v>226.17</v>
      </c>
      <c r="AR674" s="314">
        <v>226.8</v>
      </c>
      <c r="AS674" s="314">
        <v>209.16</v>
      </c>
      <c r="AT674" s="314">
        <v>224.28</v>
      </c>
      <c r="AU674" s="314">
        <v>82917.077860465128</v>
      </c>
      <c r="AV674" s="314">
        <v>83148.044651162811</v>
      </c>
      <c r="AW674" s="314">
        <v>76680.974511627923</v>
      </c>
      <c r="AX674">
        <v>82224.177488372108</v>
      </c>
    </row>
    <row r="675" spans="1:50" x14ac:dyDescent="0.35">
      <c r="A675">
        <v>693</v>
      </c>
      <c r="B675" t="s">
        <v>0</v>
      </c>
      <c r="C675" t="s">
        <v>1933</v>
      </c>
      <c r="D675" t="s">
        <v>1009</v>
      </c>
      <c r="E675" t="s">
        <v>1808</v>
      </c>
      <c r="F675">
        <v>135</v>
      </c>
      <c r="G675">
        <v>135</v>
      </c>
      <c r="H675">
        <v>125</v>
      </c>
      <c r="I675">
        <v>134</v>
      </c>
      <c r="J675" s="600">
        <v>529</v>
      </c>
      <c r="K675" s="7">
        <f t="shared" si="136"/>
        <v>25</v>
      </c>
      <c r="L675" s="7">
        <f t="shared" si="137"/>
        <v>0</v>
      </c>
      <c r="M675" s="243">
        <f t="shared" si="138"/>
        <v>23315.163908835628</v>
      </c>
      <c r="N675" s="243">
        <f>INDEX($AN$4:$AN21571,MATCH($A675,$AH$4:$AH$2000,0))</f>
        <v>23315.163908835628</v>
      </c>
      <c r="O675" s="243">
        <f t="shared" si="143"/>
        <v>21588.114730403358</v>
      </c>
      <c r="P675" s="243">
        <f t="shared" si="139"/>
        <v>23142.4589909924</v>
      </c>
      <c r="Q675" s="243">
        <f t="shared" si="140"/>
        <v>7115.1639088356251</v>
      </c>
      <c r="R675" s="243">
        <f t="shared" si="141"/>
        <v>7115.1639088356251</v>
      </c>
      <c r="S675" s="243">
        <f t="shared" si="144"/>
        <v>6588.1147304033566</v>
      </c>
      <c r="T675" s="243">
        <f t="shared" si="142"/>
        <v>7062.458990992398</v>
      </c>
      <c r="AA675">
        <v>956</v>
      </c>
      <c r="AB675" t="s">
        <v>0</v>
      </c>
      <c r="AC675" t="s">
        <v>1864</v>
      </c>
      <c r="AD675" t="s">
        <v>4</v>
      </c>
      <c r="AE675" t="s">
        <v>897</v>
      </c>
      <c r="AF675">
        <v>10</v>
      </c>
      <c r="AG675">
        <v>3</v>
      </c>
      <c r="AH675">
        <v>693</v>
      </c>
      <c r="AI675" t="s">
        <v>0</v>
      </c>
      <c r="AJ675" t="s">
        <v>1933</v>
      </c>
      <c r="AK675" t="s">
        <v>1009</v>
      </c>
      <c r="AL675" t="s">
        <v>1808</v>
      </c>
      <c r="AM675" s="314">
        <v>23315.163908835628</v>
      </c>
      <c r="AN675" s="314">
        <v>23315.163908835628</v>
      </c>
      <c r="AO675" s="314">
        <v>21588.114730403358</v>
      </c>
      <c r="AP675" s="314">
        <v>23142.4589909924</v>
      </c>
      <c r="AQ675" s="314">
        <v>14.875495803358769</v>
      </c>
      <c r="AR675" s="314">
        <v>14.875495803358769</v>
      </c>
      <c r="AS675" s="314">
        <v>13.773607225332194</v>
      </c>
      <c r="AT675" s="314">
        <v>14.765306945556112</v>
      </c>
      <c r="AU675" s="314">
        <v>7115.1639088356251</v>
      </c>
      <c r="AV675" s="314">
        <v>7115.1639088356251</v>
      </c>
      <c r="AW675" s="314">
        <v>6588.1147304033566</v>
      </c>
      <c r="AX675">
        <v>7062.458990992398</v>
      </c>
    </row>
    <row r="676" spans="1:50" x14ac:dyDescent="0.35">
      <c r="A676">
        <v>695</v>
      </c>
      <c r="B676" t="s">
        <v>0</v>
      </c>
      <c r="C676" t="s">
        <v>1933</v>
      </c>
      <c r="D676" t="s">
        <v>1009</v>
      </c>
      <c r="E676" t="s">
        <v>1809</v>
      </c>
      <c r="F676">
        <v>314</v>
      </c>
      <c r="G676">
        <v>315</v>
      </c>
      <c r="H676">
        <v>291</v>
      </c>
      <c r="I676">
        <v>312</v>
      </c>
      <c r="J676" s="600">
        <v>1232</v>
      </c>
      <c r="K676" s="7">
        <f t="shared" si="136"/>
        <v>25</v>
      </c>
      <c r="L676" s="7">
        <f t="shared" si="137"/>
        <v>0</v>
      </c>
      <c r="M676" s="243">
        <f t="shared" si="138"/>
        <v>9106</v>
      </c>
      <c r="N676" s="243">
        <f>INDEX($AN$4:$AN21572,MATCH($A676,$AH$4:$AH$2000,0))</f>
        <v>9135</v>
      </c>
      <c r="O676" s="243">
        <f t="shared" si="143"/>
        <v>8439</v>
      </c>
      <c r="P676" s="243">
        <f t="shared" si="139"/>
        <v>9048</v>
      </c>
      <c r="Q676" s="243">
        <f t="shared" si="140"/>
        <v>850.84093657249628</v>
      </c>
      <c r="R676" s="243">
        <f t="shared" si="141"/>
        <v>853.55062108387369</v>
      </c>
      <c r="S676" s="243">
        <f t="shared" si="144"/>
        <v>788.51819281081657</v>
      </c>
      <c r="T676" s="243">
        <f t="shared" si="142"/>
        <v>845.42156754974155</v>
      </c>
      <c r="AA676">
        <v>957</v>
      </c>
      <c r="AB676" t="s">
        <v>0</v>
      </c>
      <c r="AC676" t="s">
        <v>1864</v>
      </c>
      <c r="AD676" t="s">
        <v>4</v>
      </c>
      <c r="AE676" t="s">
        <v>898</v>
      </c>
      <c r="AF676">
        <v>10</v>
      </c>
      <c r="AG676">
        <v>2</v>
      </c>
      <c r="AH676">
        <v>695</v>
      </c>
      <c r="AI676" t="s">
        <v>0</v>
      </c>
      <c r="AJ676" t="s">
        <v>1933</v>
      </c>
      <c r="AK676" t="s">
        <v>1009</v>
      </c>
      <c r="AL676" t="s">
        <v>1809</v>
      </c>
      <c r="AM676" s="314">
        <v>9106</v>
      </c>
      <c r="AN676" s="314">
        <v>9135</v>
      </c>
      <c r="AO676" s="314">
        <v>8439</v>
      </c>
      <c r="AP676" s="314">
        <v>9048</v>
      </c>
      <c r="AQ676" s="314">
        <v>6.3774795648357481</v>
      </c>
      <c r="AR676" s="314">
        <v>6.3977900093097473</v>
      </c>
      <c r="AS676" s="314">
        <v>5.9103393419337662</v>
      </c>
      <c r="AT676" s="314">
        <v>6.3368586758877496</v>
      </c>
      <c r="AU676" s="314">
        <v>850.84093657249628</v>
      </c>
      <c r="AV676" s="314">
        <v>853.55062108387369</v>
      </c>
      <c r="AW676" s="314">
        <v>788.51819281081657</v>
      </c>
      <c r="AX676">
        <v>845.42156754974155</v>
      </c>
    </row>
    <row r="677" spans="1:50" x14ac:dyDescent="0.35">
      <c r="A677">
        <v>663</v>
      </c>
      <c r="B677" t="s">
        <v>0</v>
      </c>
      <c r="C677" t="s">
        <v>1933</v>
      </c>
      <c r="D677" t="s">
        <v>1009</v>
      </c>
      <c r="E677" t="s">
        <v>1810</v>
      </c>
      <c r="F677">
        <v>45</v>
      </c>
      <c r="G677">
        <v>45</v>
      </c>
      <c r="H677">
        <v>42</v>
      </c>
      <c r="I677">
        <v>45</v>
      </c>
      <c r="J677" s="600">
        <v>177</v>
      </c>
      <c r="K677" s="7">
        <f t="shared" si="136"/>
        <v>25</v>
      </c>
      <c r="L677" s="7">
        <f t="shared" si="137"/>
        <v>0</v>
      </c>
      <c r="M677" s="243">
        <f t="shared" si="138"/>
        <v>7242.7500000000009</v>
      </c>
      <c r="N677" s="243">
        <f>INDEX($AN$4:$AN21573,MATCH($A677,$AH$4:$AH$2000,0))</f>
        <v>7242.7500000000009</v>
      </c>
      <c r="O677" s="243">
        <f t="shared" si="143"/>
        <v>6759.9000000000005</v>
      </c>
      <c r="P677" s="243">
        <f t="shared" si="139"/>
        <v>7242.7500000000009</v>
      </c>
      <c r="Q677" s="243">
        <f t="shared" si="140"/>
        <v>3872.4888755407032</v>
      </c>
      <c r="R677" s="243">
        <f t="shared" si="141"/>
        <v>3872.4888755407032</v>
      </c>
      <c r="S677" s="243">
        <f t="shared" si="144"/>
        <v>3614.3229505046565</v>
      </c>
      <c r="T677" s="243">
        <f t="shared" si="142"/>
        <v>3872.4888755407032</v>
      </c>
      <c r="AA677">
        <v>958</v>
      </c>
      <c r="AB677" t="s">
        <v>0</v>
      </c>
      <c r="AC677" t="s">
        <v>1864</v>
      </c>
      <c r="AD677" t="s">
        <v>4</v>
      </c>
      <c r="AE677" t="s">
        <v>899</v>
      </c>
      <c r="AF677">
        <v>10</v>
      </c>
      <c r="AG677">
        <v>1</v>
      </c>
      <c r="AH677">
        <v>663</v>
      </c>
      <c r="AI677" t="s">
        <v>0</v>
      </c>
      <c r="AJ677" t="s">
        <v>1933</v>
      </c>
      <c r="AK677" t="s">
        <v>1009</v>
      </c>
      <c r="AL677" t="s">
        <v>1810</v>
      </c>
      <c r="AM677" s="314">
        <v>7242.7500000000009</v>
      </c>
      <c r="AN677" s="314">
        <v>7242.7500000000009</v>
      </c>
      <c r="AO677" s="314">
        <v>6759.9000000000005</v>
      </c>
      <c r="AP677" s="314">
        <v>7242.7500000000009</v>
      </c>
      <c r="AQ677" s="314">
        <v>4.5698500066498209</v>
      </c>
      <c r="AR677" s="314">
        <v>4.5698500066498209</v>
      </c>
      <c r="AS677" s="314">
        <v>4.2651933395398327</v>
      </c>
      <c r="AT677" s="314">
        <v>4.5698500066498209</v>
      </c>
      <c r="AU677" s="314">
        <v>3872.4888755407032</v>
      </c>
      <c r="AV677" s="314">
        <v>3872.4888755407032</v>
      </c>
      <c r="AW677" s="314">
        <v>3614.3229505046565</v>
      </c>
      <c r="AX677">
        <v>3872.4888755407032</v>
      </c>
    </row>
    <row r="678" spans="1:50" x14ac:dyDescent="0.35">
      <c r="A678">
        <v>645</v>
      </c>
      <c r="B678" t="s">
        <v>0</v>
      </c>
      <c r="C678" t="s">
        <v>1933</v>
      </c>
      <c r="D678" t="s">
        <v>1009</v>
      </c>
      <c r="E678" t="s">
        <v>1811</v>
      </c>
      <c r="F678">
        <v>45.431325000000001</v>
      </c>
      <c r="G678">
        <v>45.415845000000004</v>
      </c>
      <c r="H678">
        <v>42.4011</v>
      </c>
      <c r="I678">
        <v>45.4437</v>
      </c>
      <c r="J678" s="600">
        <v>177</v>
      </c>
      <c r="K678" s="7">
        <f t="shared" si="136"/>
        <v>20</v>
      </c>
      <c r="L678" s="7">
        <f t="shared" si="137"/>
        <v>0</v>
      </c>
      <c r="M678" s="243">
        <f t="shared" si="138"/>
        <v>21105</v>
      </c>
      <c r="N678" s="243">
        <f>INDEX($AN$4:$AN21574,MATCH($A678,$AH$4:$AH$2000,0))</f>
        <v>21105</v>
      </c>
      <c r="O678" s="243">
        <f t="shared" si="143"/>
        <v>19698</v>
      </c>
      <c r="P678" s="243">
        <f t="shared" si="139"/>
        <v>21105</v>
      </c>
      <c r="Q678" s="243">
        <f t="shared" si="140"/>
        <v>0</v>
      </c>
      <c r="R678" s="243">
        <f t="shared" si="141"/>
        <v>0</v>
      </c>
      <c r="S678" s="243">
        <f t="shared" si="144"/>
        <v>0</v>
      </c>
      <c r="T678" s="243">
        <f t="shared" si="142"/>
        <v>0</v>
      </c>
      <c r="AA678">
        <v>984</v>
      </c>
      <c r="AB678" t="s">
        <v>0</v>
      </c>
      <c r="AC678" t="s">
        <v>1864</v>
      </c>
      <c r="AD678" t="s">
        <v>4</v>
      </c>
      <c r="AE678" t="s">
        <v>900</v>
      </c>
      <c r="AF678">
        <v>10</v>
      </c>
      <c r="AG678">
        <v>2</v>
      </c>
      <c r="AH678">
        <v>645</v>
      </c>
      <c r="AI678" t="s">
        <v>0</v>
      </c>
      <c r="AJ678" t="s">
        <v>1933</v>
      </c>
      <c r="AK678" t="s">
        <v>1009</v>
      </c>
      <c r="AL678" t="s">
        <v>1811</v>
      </c>
      <c r="AM678" s="314">
        <v>21105</v>
      </c>
      <c r="AN678" s="314">
        <v>21105</v>
      </c>
      <c r="AO678" s="314">
        <v>19698</v>
      </c>
      <c r="AP678" s="314">
        <v>21105</v>
      </c>
      <c r="AQ678" s="314">
        <v>0</v>
      </c>
      <c r="AR678" s="314">
        <v>0</v>
      </c>
      <c r="AS678" s="314">
        <v>0</v>
      </c>
      <c r="AT678" s="314">
        <v>0</v>
      </c>
      <c r="AU678" s="314">
        <v>0</v>
      </c>
      <c r="AV678" s="314">
        <v>0</v>
      </c>
      <c r="AW678" s="314">
        <v>0</v>
      </c>
      <c r="AX678">
        <v>0</v>
      </c>
    </row>
    <row r="679" spans="1:50" x14ac:dyDescent="0.35">
      <c r="A679">
        <v>690</v>
      </c>
      <c r="B679" t="s">
        <v>0</v>
      </c>
      <c r="C679" t="s">
        <v>1933</v>
      </c>
      <c r="D679" t="s">
        <v>1009</v>
      </c>
      <c r="E679" t="s">
        <v>1812</v>
      </c>
      <c r="F679">
        <v>50.47925</v>
      </c>
      <c r="G679">
        <v>8.0739280000000004</v>
      </c>
      <c r="H679">
        <v>7.0668499999999996</v>
      </c>
      <c r="I679">
        <v>8.0788799999999998</v>
      </c>
      <c r="J679" s="600">
        <v>73</v>
      </c>
      <c r="K679" s="7">
        <f t="shared" si="136"/>
        <v>5</v>
      </c>
      <c r="L679" s="7">
        <f t="shared" si="137"/>
        <v>0</v>
      </c>
      <c r="M679" s="243">
        <f t="shared" si="138"/>
        <v>32438.400000000001</v>
      </c>
      <c r="N679" s="243">
        <f>INDEX($AN$4:$AN21575,MATCH($A679,$AH$4:$AH$2000,0))</f>
        <v>5190.1440000000002</v>
      </c>
      <c r="O679" s="243">
        <f t="shared" si="143"/>
        <v>4541.3760000000002</v>
      </c>
      <c r="P679" s="243">
        <f t="shared" si="139"/>
        <v>5190.1440000000002</v>
      </c>
      <c r="Q679" s="243">
        <f t="shared" si="140"/>
        <v>0</v>
      </c>
      <c r="R679" s="243">
        <f t="shared" si="141"/>
        <v>0</v>
      </c>
      <c r="S679" s="243">
        <f t="shared" si="144"/>
        <v>0</v>
      </c>
      <c r="T679" s="243">
        <f t="shared" si="142"/>
        <v>0</v>
      </c>
      <c r="AA679">
        <v>985</v>
      </c>
      <c r="AB679" t="s">
        <v>0</v>
      </c>
      <c r="AC679" t="s">
        <v>1864</v>
      </c>
      <c r="AD679" t="s">
        <v>4</v>
      </c>
      <c r="AE679" t="s">
        <v>901</v>
      </c>
      <c r="AF679">
        <v>10</v>
      </c>
      <c r="AG679">
        <v>1</v>
      </c>
      <c r="AH679">
        <v>690</v>
      </c>
      <c r="AI679" t="s">
        <v>0</v>
      </c>
      <c r="AJ679" t="s">
        <v>1933</v>
      </c>
      <c r="AK679" t="s">
        <v>1009</v>
      </c>
      <c r="AL679" t="s">
        <v>1812</v>
      </c>
      <c r="AM679" s="314">
        <v>32438.400000000001</v>
      </c>
      <c r="AN679" s="314">
        <v>5190.1440000000002</v>
      </c>
      <c r="AO679" s="314">
        <v>4541.3760000000002</v>
      </c>
      <c r="AP679" s="314">
        <v>5190.1440000000002</v>
      </c>
      <c r="AQ679" s="314">
        <v>0</v>
      </c>
      <c r="AR679" s="314">
        <v>0</v>
      </c>
      <c r="AS679" s="314">
        <v>0</v>
      </c>
      <c r="AT679" s="314">
        <v>0</v>
      </c>
      <c r="AU679" s="314">
        <v>0</v>
      </c>
      <c r="AV679" s="314">
        <v>0</v>
      </c>
      <c r="AW679" s="314">
        <v>0</v>
      </c>
      <c r="AX679">
        <v>0</v>
      </c>
    </row>
    <row r="680" spans="1:50" x14ac:dyDescent="0.35">
      <c r="A680">
        <v>644</v>
      </c>
      <c r="B680" t="s">
        <v>0</v>
      </c>
      <c r="C680" t="s">
        <v>1933</v>
      </c>
      <c r="D680" t="s">
        <v>1009</v>
      </c>
      <c r="E680" t="s">
        <v>1070</v>
      </c>
      <c r="F680">
        <v>3</v>
      </c>
      <c r="G680">
        <v>3</v>
      </c>
      <c r="H680">
        <v>3</v>
      </c>
      <c r="I680">
        <v>3</v>
      </c>
      <c r="J680" s="600">
        <v>12</v>
      </c>
      <c r="K680" s="7">
        <f t="shared" si="136"/>
        <v>25</v>
      </c>
      <c r="L680" s="7">
        <f t="shared" si="137"/>
        <v>0</v>
      </c>
      <c r="M680" s="243">
        <f t="shared" si="138"/>
        <v>0</v>
      </c>
      <c r="N680" s="243">
        <f>INDEX($AN$4:$AN21576,MATCH($A680,$AH$4:$AH$2000,0))</f>
        <v>0</v>
      </c>
      <c r="O680" s="243">
        <f t="shared" si="143"/>
        <v>0</v>
      </c>
      <c r="P680" s="243">
        <f t="shared" si="139"/>
        <v>0</v>
      </c>
      <c r="Q680" s="243">
        <f t="shared" si="140"/>
        <v>433.14</v>
      </c>
      <c r="R680" s="243">
        <f t="shared" si="141"/>
        <v>433.14</v>
      </c>
      <c r="S680" s="243">
        <f t="shared" si="144"/>
        <v>433.14</v>
      </c>
      <c r="T680" s="243">
        <f t="shared" si="142"/>
        <v>433.14</v>
      </c>
      <c r="AA680">
        <v>986</v>
      </c>
      <c r="AB680" t="s">
        <v>0</v>
      </c>
      <c r="AC680" t="s">
        <v>1864</v>
      </c>
      <c r="AD680" t="s">
        <v>4</v>
      </c>
      <c r="AE680" t="s">
        <v>902</v>
      </c>
      <c r="AF680">
        <v>10</v>
      </c>
      <c r="AG680">
        <v>0</v>
      </c>
      <c r="AH680">
        <v>644</v>
      </c>
      <c r="AI680" t="s">
        <v>0</v>
      </c>
      <c r="AJ680" t="s">
        <v>1933</v>
      </c>
      <c r="AK680" t="s">
        <v>1009</v>
      </c>
      <c r="AL680" t="s">
        <v>1070</v>
      </c>
      <c r="AM680" s="314">
        <v>0</v>
      </c>
      <c r="AN680" s="314">
        <v>0</v>
      </c>
      <c r="AO680" s="314">
        <v>0</v>
      </c>
      <c r="AP680" s="314">
        <v>0</v>
      </c>
      <c r="AQ680" s="314">
        <v>0</v>
      </c>
      <c r="AR680" s="314">
        <v>0</v>
      </c>
      <c r="AS680" s="314">
        <v>0</v>
      </c>
      <c r="AT680" s="314">
        <v>0</v>
      </c>
      <c r="AU680" s="314">
        <v>433.14</v>
      </c>
      <c r="AV680" s="314">
        <v>433.14</v>
      </c>
      <c r="AW680" s="314">
        <v>433.14</v>
      </c>
      <c r="AX680">
        <v>433.14</v>
      </c>
    </row>
    <row r="681" spans="1:50" x14ac:dyDescent="0.35">
      <c r="A681">
        <v>691</v>
      </c>
      <c r="B681" t="s">
        <v>0</v>
      </c>
      <c r="C681" t="s">
        <v>1933</v>
      </c>
      <c r="D681" t="s">
        <v>1009</v>
      </c>
      <c r="E681" t="s">
        <v>1853</v>
      </c>
      <c r="F681">
        <v>1170.54</v>
      </c>
      <c r="G681">
        <v>1174.635</v>
      </c>
      <c r="H681">
        <v>1082.97</v>
      </c>
      <c r="I681">
        <v>580.84220249999998</v>
      </c>
      <c r="J681" s="600">
        <v>4008.9872025000004</v>
      </c>
      <c r="K681" s="7">
        <f t="shared" si="136"/>
        <v>5</v>
      </c>
      <c r="L681" s="7">
        <f t="shared" si="137"/>
        <v>0</v>
      </c>
      <c r="M681" s="243">
        <f t="shared" si="138"/>
        <v>57488.154692925593</v>
      </c>
      <c r="N681" s="243">
        <f>INDEX($AN$4:$AN21577,MATCH($A681,$AH$4:$AH$2000,0))</f>
        <v>57689.270411711397</v>
      </c>
      <c r="O681" s="243">
        <f t="shared" si="143"/>
        <v>53187.372398890795</v>
      </c>
      <c r="P681" s="243">
        <f t="shared" si="139"/>
        <v>28526.617107915674</v>
      </c>
      <c r="Q681" s="243">
        <f t="shared" si="140"/>
        <v>62485.766279999996</v>
      </c>
      <c r="R681" s="243">
        <f t="shared" si="141"/>
        <v>62704.365569999994</v>
      </c>
      <c r="S681" s="243">
        <f t="shared" si="144"/>
        <v>57811.10454</v>
      </c>
      <c r="T681" s="243">
        <f t="shared" si="142"/>
        <v>31006.518453854998</v>
      </c>
      <c r="AA681">
        <v>1012</v>
      </c>
      <c r="AB681" t="s">
        <v>0</v>
      </c>
      <c r="AC681" t="s">
        <v>1864</v>
      </c>
      <c r="AD681" t="s">
        <v>4</v>
      </c>
      <c r="AE681" t="s">
        <v>1114</v>
      </c>
      <c r="AF681">
        <v>10</v>
      </c>
      <c r="AG681">
        <v>0</v>
      </c>
      <c r="AH681">
        <v>691</v>
      </c>
      <c r="AI681" t="s">
        <v>0</v>
      </c>
      <c r="AJ681" t="s">
        <v>1933</v>
      </c>
      <c r="AK681" t="s">
        <v>1009</v>
      </c>
      <c r="AL681" t="s">
        <v>1853</v>
      </c>
      <c r="AM681" s="314">
        <v>57488.154692925593</v>
      </c>
      <c r="AN681" s="314">
        <v>57689.270411711397</v>
      </c>
      <c r="AO681" s="314">
        <v>53187.372398890795</v>
      </c>
      <c r="AP681" s="314">
        <v>28526.617107915674</v>
      </c>
      <c r="AQ681" s="314">
        <v>0</v>
      </c>
      <c r="AR681" s="314">
        <v>0</v>
      </c>
      <c r="AS681" s="314">
        <v>0</v>
      </c>
      <c r="AT681" s="314">
        <v>0</v>
      </c>
      <c r="AU681" s="314">
        <v>62485.766279999996</v>
      </c>
      <c r="AV681" s="314">
        <v>62704.365569999994</v>
      </c>
      <c r="AW681" s="314">
        <v>57811.10454</v>
      </c>
      <c r="AX681">
        <v>31006.518453854998</v>
      </c>
    </row>
    <row r="682" spans="1:50" x14ac:dyDescent="0.35">
      <c r="A682">
        <v>639</v>
      </c>
      <c r="B682" t="s">
        <v>0</v>
      </c>
      <c r="C682" t="s">
        <v>1933</v>
      </c>
      <c r="D682" t="s">
        <v>1009</v>
      </c>
      <c r="E682" t="s">
        <v>1814</v>
      </c>
      <c r="F682">
        <v>31.297134999999997</v>
      </c>
      <c r="G682">
        <v>31.286471000000002</v>
      </c>
      <c r="H682">
        <v>28.267399999999999</v>
      </c>
      <c r="I682">
        <v>31.30566</v>
      </c>
      <c r="J682" s="600">
        <v>121</v>
      </c>
      <c r="K682" s="7">
        <f t="shared" si="136"/>
        <v>15</v>
      </c>
      <c r="L682" s="7">
        <f t="shared" si="137"/>
        <v>0</v>
      </c>
      <c r="M682" s="243">
        <f t="shared" si="138"/>
        <v>54195.750000000007</v>
      </c>
      <c r="N682" s="243">
        <f>INDEX($AN$4:$AN21578,MATCH($A682,$AH$4:$AH$2000,0))</f>
        <v>54195.750000000007</v>
      </c>
      <c r="O682" s="243">
        <f t="shared" si="143"/>
        <v>48951.000000000007</v>
      </c>
      <c r="P682" s="243">
        <f t="shared" si="139"/>
        <v>54195.750000000007</v>
      </c>
      <c r="Q682" s="243">
        <f t="shared" si="140"/>
        <v>0</v>
      </c>
      <c r="R682" s="243">
        <f t="shared" si="141"/>
        <v>0</v>
      </c>
      <c r="S682" s="243">
        <f t="shared" si="144"/>
        <v>0</v>
      </c>
      <c r="T682" s="243">
        <f t="shared" si="142"/>
        <v>0</v>
      </c>
      <c r="AA682">
        <v>1013</v>
      </c>
      <c r="AB682" t="s">
        <v>0</v>
      </c>
      <c r="AC682" t="s">
        <v>1864</v>
      </c>
      <c r="AD682" t="s">
        <v>4</v>
      </c>
      <c r="AE682" t="s">
        <v>1115</v>
      </c>
      <c r="AF682">
        <v>10</v>
      </c>
      <c r="AG682">
        <v>0</v>
      </c>
      <c r="AH682">
        <v>639</v>
      </c>
      <c r="AI682" t="s">
        <v>0</v>
      </c>
      <c r="AJ682" t="s">
        <v>1933</v>
      </c>
      <c r="AK682" t="s">
        <v>1009</v>
      </c>
      <c r="AL682" t="s">
        <v>1814</v>
      </c>
      <c r="AM682" s="314">
        <v>54195.750000000007</v>
      </c>
      <c r="AN682" s="314">
        <v>54195.750000000007</v>
      </c>
      <c r="AO682" s="314">
        <v>48951.000000000007</v>
      </c>
      <c r="AP682" s="314">
        <v>54195.750000000007</v>
      </c>
      <c r="AQ682" s="314">
        <v>10.615618243833572</v>
      </c>
      <c r="AR682" s="314">
        <v>10.615618243833572</v>
      </c>
      <c r="AS682" s="314">
        <v>9.5883003492690335</v>
      </c>
      <c r="AT682" s="314">
        <v>10.615618243833572</v>
      </c>
      <c r="AU682" s="314">
        <v>0</v>
      </c>
      <c r="AV682" s="314">
        <v>0</v>
      </c>
      <c r="AW682" s="314">
        <v>0</v>
      </c>
      <c r="AX682">
        <v>0</v>
      </c>
    </row>
    <row r="683" spans="1:50" x14ac:dyDescent="0.35">
      <c r="A683">
        <v>641</v>
      </c>
      <c r="B683" t="s">
        <v>0</v>
      </c>
      <c r="C683" t="s">
        <v>1933</v>
      </c>
      <c r="D683" t="s">
        <v>1009</v>
      </c>
      <c r="E683" t="s">
        <v>1815</v>
      </c>
      <c r="F683">
        <v>58.555929999999996</v>
      </c>
      <c r="G683">
        <v>59.545219000000003</v>
      </c>
      <c r="H683">
        <v>54.515699999999995</v>
      </c>
      <c r="I683">
        <v>58.57188</v>
      </c>
      <c r="J683" s="600">
        <v>229</v>
      </c>
      <c r="K683" s="7">
        <f t="shared" si="136"/>
        <v>15</v>
      </c>
      <c r="L683" s="7">
        <f t="shared" si="137"/>
        <v>0</v>
      </c>
      <c r="M683" s="243">
        <f t="shared" si="138"/>
        <v>141592.5</v>
      </c>
      <c r="N683" s="243">
        <f>INDEX($AN$4:$AN21579,MATCH($A683,$AH$4:$AH$2000,0))</f>
        <v>144033.75</v>
      </c>
      <c r="O683" s="243">
        <f t="shared" si="143"/>
        <v>131827.5</v>
      </c>
      <c r="P683" s="243">
        <f t="shared" si="139"/>
        <v>141592.5</v>
      </c>
      <c r="Q683" s="243">
        <f t="shared" si="140"/>
        <v>0</v>
      </c>
      <c r="R683" s="243">
        <f t="shared" si="141"/>
        <v>0</v>
      </c>
      <c r="S683" s="243">
        <f t="shared" si="144"/>
        <v>0</v>
      </c>
      <c r="T683" s="243">
        <f t="shared" si="142"/>
        <v>0</v>
      </c>
      <c r="AA683">
        <v>1014</v>
      </c>
      <c r="AB683" t="s">
        <v>0</v>
      </c>
      <c r="AC683" t="s">
        <v>1864</v>
      </c>
      <c r="AD683" t="s">
        <v>4</v>
      </c>
      <c r="AE683" t="s">
        <v>1116</v>
      </c>
      <c r="AF683">
        <v>11</v>
      </c>
      <c r="AG683">
        <v>1</v>
      </c>
      <c r="AH683">
        <v>641</v>
      </c>
      <c r="AI683" t="s">
        <v>0</v>
      </c>
      <c r="AJ683" t="s">
        <v>1933</v>
      </c>
      <c r="AK683" t="s">
        <v>1009</v>
      </c>
      <c r="AL683" t="s">
        <v>1815</v>
      </c>
      <c r="AM683" s="314">
        <v>141592.5</v>
      </c>
      <c r="AN683" s="314">
        <v>144033.75</v>
      </c>
      <c r="AO683" s="314">
        <v>131827.5</v>
      </c>
      <c r="AP683" s="314">
        <v>141592.5</v>
      </c>
      <c r="AQ683" s="314">
        <v>0</v>
      </c>
      <c r="AR683" s="314">
        <v>0</v>
      </c>
      <c r="AS683" s="314">
        <v>0</v>
      </c>
      <c r="AT683" s="314">
        <v>0</v>
      </c>
      <c r="AU683" s="314">
        <v>0</v>
      </c>
      <c r="AV683" s="314">
        <v>0</v>
      </c>
      <c r="AW683" s="314">
        <v>0</v>
      </c>
      <c r="AX683">
        <v>0</v>
      </c>
    </row>
    <row r="684" spans="1:50" x14ac:dyDescent="0.35">
      <c r="A684">
        <v>640</v>
      </c>
      <c r="B684" t="s">
        <v>0</v>
      </c>
      <c r="C684" t="s">
        <v>1933</v>
      </c>
      <c r="D684" t="s">
        <v>1009</v>
      </c>
      <c r="E684" t="s">
        <v>1816</v>
      </c>
      <c r="F684">
        <v>220.08953</v>
      </c>
      <c r="G684">
        <v>221.02377900000002</v>
      </c>
      <c r="H684">
        <v>203.92909999999998</v>
      </c>
      <c r="I684">
        <v>219.13962000000001</v>
      </c>
      <c r="J684" s="600">
        <v>856</v>
      </c>
      <c r="K684" s="7">
        <f t="shared" si="136"/>
        <v>15</v>
      </c>
      <c r="L684" s="7">
        <f t="shared" si="137"/>
        <v>0</v>
      </c>
      <c r="M684" s="243">
        <f t="shared" si="138"/>
        <v>604296</v>
      </c>
      <c r="N684" s="243">
        <f>INDEX($AN$4:$AN21580,MATCH($A684,$AH$4:$AH$2000,0))</f>
        <v>607068</v>
      </c>
      <c r="O684" s="243">
        <f t="shared" ref="O684:O708" si="145">INDEX($AO$4:$AO$2000,MATCH($A684,$AH$4:$AH$2000,0))</f>
        <v>559944</v>
      </c>
      <c r="P684" s="243">
        <f t="shared" si="139"/>
        <v>601524</v>
      </c>
      <c r="Q684" s="243">
        <f t="shared" si="140"/>
        <v>0</v>
      </c>
      <c r="R684" s="243">
        <f t="shared" si="141"/>
        <v>0</v>
      </c>
      <c r="S684" s="243">
        <f t="shared" ref="S684:S708" si="146">INDEX($AW$4:$AW$2000,MATCH($A684,$AH$4:$AH$2000,0))</f>
        <v>0</v>
      </c>
      <c r="T684" s="243">
        <f t="shared" si="142"/>
        <v>0</v>
      </c>
      <c r="AA684">
        <v>1040</v>
      </c>
      <c r="AB684" t="s">
        <v>0</v>
      </c>
      <c r="AC684" t="s">
        <v>1864</v>
      </c>
      <c r="AD684" t="s">
        <v>4</v>
      </c>
      <c r="AE684" t="s">
        <v>1117</v>
      </c>
      <c r="AF684">
        <v>10</v>
      </c>
      <c r="AG684">
        <v>0</v>
      </c>
      <c r="AH684">
        <v>640</v>
      </c>
      <c r="AI684" t="s">
        <v>0</v>
      </c>
      <c r="AJ684" t="s">
        <v>1933</v>
      </c>
      <c r="AK684" t="s">
        <v>1009</v>
      </c>
      <c r="AL684" t="s">
        <v>1816</v>
      </c>
      <c r="AM684" s="314">
        <v>604296</v>
      </c>
      <c r="AN684" s="314">
        <v>607068</v>
      </c>
      <c r="AO684" s="314">
        <v>559944</v>
      </c>
      <c r="AP684" s="314">
        <v>601524</v>
      </c>
      <c r="AQ684" s="314">
        <v>74.651767005023189</v>
      </c>
      <c r="AR684" s="314">
        <v>74.994206303211371</v>
      </c>
      <c r="AS684" s="314">
        <v>69.172738234012314</v>
      </c>
      <c r="AT684" s="314">
        <v>74.309327706835006</v>
      </c>
      <c r="AU684" s="314">
        <v>0</v>
      </c>
      <c r="AV684" s="314">
        <v>0</v>
      </c>
      <c r="AW684" s="314">
        <v>0</v>
      </c>
      <c r="AX684">
        <v>0</v>
      </c>
    </row>
    <row r="685" spans="1:50" x14ac:dyDescent="0.35">
      <c r="A685">
        <v>673</v>
      </c>
      <c r="B685" t="s">
        <v>0</v>
      </c>
      <c r="C685" t="s">
        <v>1933</v>
      </c>
      <c r="D685" t="s">
        <v>1009</v>
      </c>
      <c r="E685" t="s">
        <v>1777</v>
      </c>
      <c r="F685">
        <v>136.29397499999999</v>
      </c>
      <c r="G685">
        <v>136.247535</v>
      </c>
      <c r="H685">
        <v>126.19374999999999</v>
      </c>
      <c r="I685">
        <v>135.32123999999999</v>
      </c>
      <c r="J685" s="600">
        <v>529</v>
      </c>
      <c r="K685" s="7">
        <f t="shared" si="136"/>
        <v>20</v>
      </c>
      <c r="L685" s="7">
        <f t="shared" si="137"/>
        <v>0</v>
      </c>
      <c r="M685" s="243">
        <f t="shared" si="138"/>
        <v>95850</v>
      </c>
      <c r="N685" s="243">
        <f>INDEX($AN$4:$AN21581,MATCH($A685,$AH$4:$AH$2000,0))</f>
        <v>95850</v>
      </c>
      <c r="O685" s="243">
        <f t="shared" si="145"/>
        <v>88750</v>
      </c>
      <c r="P685" s="243">
        <f t="shared" si="139"/>
        <v>95140</v>
      </c>
      <c r="Q685" s="243">
        <f t="shared" si="140"/>
        <v>-1925.3915999999999</v>
      </c>
      <c r="R685" s="243">
        <f t="shared" si="141"/>
        <v>-1925.3915999999999</v>
      </c>
      <c r="S685" s="243">
        <f t="shared" si="146"/>
        <v>-1782.77</v>
      </c>
      <c r="T685" s="243">
        <f t="shared" si="142"/>
        <v>-1911.1294399999999</v>
      </c>
      <c r="AA685">
        <v>1041</v>
      </c>
      <c r="AB685" t="s">
        <v>0</v>
      </c>
      <c r="AC685" t="s">
        <v>1864</v>
      </c>
      <c r="AD685" t="s">
        <v>4</v>
      </c>
      <c r="AE685" t="s">
        <v>1118</v>
      </c>
      <c r="AF685">
        <v>11</v>
      </c>
      <c r="AG685">
        <v>1</v>
      </c>
      <c r="AH685">
        <v>673</v>
      </c>
      <c r="AI685" t="s">
        <v>0</v>
      </c>
      <c r="AJ685" t="s">
        <v>1933</v>
      </c>
      <c r="AK685" t="s">
        <v>1009</v>
      </c>
      <c r="AL685" t="s">
        <v>1777</v>
      </c>
      <c r="AM685" s="314">
        <v>95850</v>
      </c>
      <c r="AN685" s="314">
        <v>95850</v>
      </c>
      <c r="AO685" s="314">
        <v>88750</v>
      </c>
      <c r="AP685" s="314">
        <v>95140</v>
      </c>
      <c r="AQ685" s="314">
        <v>30.306575342465752</v>
      </c>
      <c r="AR685" s="314">
        <v>30.306575342465752</v>
      </c>
      <c r="AS685" s="314">
        <v>28.061643835616437</v>
      </c>
      <c r="AT685" s="314">
        <v>30.08208219178082</v>
      </c>
      <c r="AU685" s="314">
        <v>-1925.3915999999999</v>
      </c>
      <c r="AV685" s="314">
        <v>-1925.3915999999999</v>
      </c>
      <c r="AW685" s="314">
        <v>-1782.77</v>
      </c>
      <c r="AX685">
        <v>-1911.1294399999999</v>
      </c>
    </row>
    <row r="686" spans="1:50" x14ac:dyDescent="0.35">
      <c r="A686">
        <v>665</v>
      </c>
      <c r="B686" t="s">
        <v>0</v>
      </c>
      <c r="C686" t="s">
        <v>1933</v>
      </c>
      <c r="D686" t="s">
        <v>1009</v>
      </c>
      <c r="E686" t="s">
        <v>1783</v>
      </c>
      <c r="F686">
        <v>41.392984999999996</v>
      </c>
      <c r="G686">
        <v>41.378881</v>
      </c>
      <c r="H686">
        <v>38.362899999999996</v>
      </c>
      <c r="I686">
        <v>41.404260000000001</v>
      </c>
      <c r="J686" s="600">
        <v>161</v>
      </c>
      <c r="K686" s="7">
        <f t="shared" si="136"/>
        <v>20</v>
      </c>
      <c r="L686" s="7">
        <f t="shared" si="137"/>
        <v>0</v>
      </c>
      <c r="M686" s="243">
        <f t="shared" si="138"/>
        <v>44192.676948803935</v>
      </c>
      <c r="N686" s="243">
        <f>INDEX($AN$4:$AN21582,MATCH($A686,$AH$4:$AH$2000,0))</f>
        <v>44192.676948803935</v>
      </c>
      <c r="O686" s="243">
        <f t="shared" si="145"/>
        <v>40959.066440354873</v>
      </c>
      <c r="P686" s="243">
        <f t="shared" si="139"/>
        <v>44192.676948803935</v>
      </c>
      <c r="Q686" s="243">
        <f t="shared" si="140"/>
        <v>0</v>
      </c>
      <c r="R686" s="243">
        <f t="shared" si="141"/>
        <v>0</v>
      </c>
      <c r="S686" s="243">
        <f t="shared" si="146"/>
        <v>0</v>
      </c>
      <c r="T686" s="243">
        <f t="shared" si="142"/>
        <v>0</v>
      </c>
      <c r="AA686">
        <v>1042</v>
      </c>
      <c r="AB686" t="s">
        <v>0</v>
      </c>
      <c r="AC686" t="s">
        <v>1864</v>
      </c>
      <c r="AD686" t="s">
        <v>4</v>
      </c>
      <c r="AE686" t="s">
        <v>1119</v>
      </c>
      <c r="AF686">
        <v>12</v>
      </c>
      <c r="AG686">
        <v>2</v>
      </c>
      <c r="AH686">
        <v>665</v>
      </c>
      <c r="AI686" t="s">
        <v>0</v>
      </c>
      <c r="AJ686" t="s">
        <v>1933</v>
      </c>
      <c r="AK686" t="s">
        <v>1009</v>
      </c>
      <c r="AL686" t="s">
        <v>1783</v>
      </c>
      <c r="AM686" s="314">
        <v>44192.676948803935</v>
      </c>
      <c r="AN686" s="314">
        <v>44192.676948803935</v>
      </c>
      <c r="AO686" s="314">
        <v>40959.066440354873</v>
      </c>
      <c r="AP686" s="314">
        <v>44192.676948803935</v>
      </c>
      <c r="AQ686" s="314">
        <v>0</v>
      </c>
      <c r="AR686" s="314">
        <v>0</v>
      </c>
      <c r="AS686" s="314">
        <v>0</v>
      </c>
      <c r="AT686" s="314">
        <v>0</v>
      </c>
      <c r="AU686" s="314">
        <v>0</v>
      </c>
      <c r="AV686" s="314">
        <v>0</v>
      </c>
      <c r="AW686" s="314">
        <v>0</v>
      </c>
      <c r="AX686">
        <v>0</v>
      </c>
    </row>
    <row r="687" spans="1:50" x14ac:dyDescent="0.35">
      <c r="A687">
        <v>667</v>
      </c>
      <c r="B687" t="s">
        <v>0</v>
      </c>
      <c r="C687" t="s">
        <v>1933</v>
      </c>
      <c r="D687" t="s">
        <v>1009</v>
      </c>
      <c r="E687" t="s">
        <v>1784</v>
      </c>
      <c r="F687">
        <v>55.527175</v>
      </c>
      <c r="G687">
        <v>55.508255000000005</v>
      </c>
      <c r="H687">
        <v>51.487049999999996</v>
      </c>
      <c r="I687">
        <v>54.532440000000001</v>
      </c>
      <c r="J687" s="600">
        <v>215</v>
      </c>
      <c r="K687" s="7">
        <f t="shared" si="136"/>
        <v>20</v>
      </c>
      <c r="L687" s="7">
        <f t="shared" si="137"/>
        <v>0</v>
      </c>
      <c r="M687" s="243">
        <f t="shared" si="138"/>
        <v>70749.699321566266</v>
      </c>
      <c r="N687" s="243">
        <f>INDEX($AN$4:$AN21583,MATCH($A687,$AH$4:$AH$2000,0))</f>
        <v>70749.699321566266</v>
      </c>
      <c r="O687" s="243">
        <f t="shared" si="145"/>
        <v>65604.266643634168</v>
      </c>
      <c r="P687" s="243">
        <f t="shared" si="139"/>
        <v>69463.341152083245</v>
      </c>
      <c r="Q687" s="243">
        <f t="shared" si="140"/>
        <v>0</v>
      </c>
      <c r="R687" s="243">
        <f t="shared" si="141"/>
        <v>0</v>
      </c>
      <c r="S687" s="243">
        <f t="shared" si="146"/>
        <v>0</v>
      </c>
      <c r="T687" s="243">
        <f t="shared" si="142"/>
        <v>0</v>
      </c>
      <c r="AA687">
        <v>937</v>
      </c>
      <c r="AB687" t="s">
        <v>0</v>
      </c>
      <c r="AC687" t="s">
        <v>1864</v>
      </c>
      <c r="AD687" t="s">
        <v>4</v>
      </c>
      <c r="AE687" t="s">
        <v>903</v>
      </c>
      <c r="AF687">
        <v>15</v>
      </c>
      <c r="AG687">
        <v>0</v>
      </c>
      <c r="AH687">
        <v>667</v>
      </c>
      <c r="AI687" t="s">
        <v>0</v>
      </c>
      <c r="AJ687" t="s">
        <v>1933</v>
      </c>
      <c r="AK687" t="s">
        <v>1009</v>
      </c>
      <c r="AL687" t="s">
        <v>1784</v>
      </c>
      <c r="AM687" s="314">
        <v>70749.699321566266</v>
      </c>
      <c r="AN687" s="314">
        <v>70749.699321566266</v>
      </c>
      <c r="AO687" s="314">
        <v>65604.266643634168</v>
      </c>
      <c r="AP687" s="314">
        <v>69463.341152083245</v>
      </c>
      <c r="AQ687" s="314">
        <v>10.68144</v>
      </c>
      <c r="AR687" s="314">
        <v>10.68144</v>
      </c>
      <c r="AS687" s="314">
        <v>9.9046080000000014</v>
      </c>
      <c r="AT687" s="314">
        <v>10.487232000000001</v>
      </c>
      <c r="AU687" s="314">
        <v>0</v>
      </c>
      <c r="AV687" s="314">
        <v>0</v>
      </c>
      <c r="AW687" s="314">
        <v>0</v>
      </c>
      <c r="AX687">
        <v>0</v>
      </c>
    </row>
    <row r="688" spans="1:50" x14ac:dyDescent="0.35">
      <c r="A688">
        <v>669</v>
      </c>
      <c r="B688" t="s">
        <v>0</v>
      </c>
      <c r="C688" t="s">
        <v>1933</v>
      </c>
      <c r="D688" t="s">
        <v>1009</v>
      </c>
      <c r="E688" t="s">
        <v>1785</v>
      </c>
      <c r="F688">
        <v>179</v>
      </c>
      <c r="G688">
        <v>180</v>
      </c>
      <c r="H688">
        <v>166</v>
      </c>
      <c r="I688">
        <v>178</v>
      </c>
      <c r="J688" s="600">
        <v>703</v>
      </c>
      <c r="K688" s="7">
        <f t="shared" si="136"/>
        <v>20</v>
      </c>
      <c r="L688" s="7">
        <f t="shared" si="137"/>
        <v>0</v>
      </c>
      <c r="M688" s="243">
        <f t="shared" si="138"/>
        <v>30212.03684384091</v>
      </c>
      <c r="N688" s="243">
        <f>INDEX($AN$4:$AN21584,MATCH($A688,$AH$4:$AH$2000,0))</f>
        <v>30380.819172577449</v>
      </c>
      <c r="O688" s="243">
        <f t="shared" si="145"/>
        <v>28017.866570265869</v>
      </c>
      <c r="P688" s="243">
        <f t="shared" si="139"/>
        <v>30043.254515104367</v>
      </c>
      <c r="Q688" s="243">
        <f t="shared" si="140"/>
        <v>32838.456602944403</v>
      </c>
      <c r="R688" s="243">
        <f t="shared" si="141"/>
        <v>33021.911667765322</v>
      </c>
      <c r="S688" s="243">
        <f t="shared" si="146"/>
        <v>30453.540760272466</v>
      </c>
      <c r="T688" s="243">
        <f t="shared" si="142"/>
        <v>32655.001538123488</v>
      </c>
      <c r="AA688">
        <v>965</v>
      </c>
      <c r="AB688" t="s">
        <v>0</v>
      </c>
      <c r="AC688" t="s">
        <v>1864</v>
      </c>
      <c r="AD688" t="s">
        <v>4</v>
      </c>
      <c r="AE688" t="s">
        <v>904</v>
      </c>
      <c r="AF688">
        <v>15</v>
      </c>
      <c r="AG688">
        <v>0</v>
      </c>
      <c r="AH688">
        <v>669</v>
      </c>
      <c r="AI688" t="s">
        <v>0</v>
      </c>
      <c r="AJ688" t="s">
        <v>1933</v>
      </c>
      <c r="AK688" t="s">
        <v>1009</v>
      </c>
      <c r="AL688" t="s">
        <v>1785</v>
      </c>
      <c r="AM688" s="314">
        <v>30212.03684384091</v>
      </c>
      <c r="AN688" s="314">
        <v>30380.819172577449</v>
      </c>
      <c r="AO688" s="314">
        <v>28017.866570265869</v>
      </c>
      <c r="AP688" s="314">
        <v>30043.254515104367</v>
      </c>
      <c r="AQ688" s="314">
        <v>0</v>
      </c>
      <c r="AR688" s="314">
        <v>0</v>
      </c>
      <c r="AS688" s="314">
        <v>0</v>
      </c>
      <c r="AT688" s="314">
        <v>0</v>
      </c>
      <c r="AU688" s="314">
        <v>32838.456602944403</v>
      </c>
      <c r="AV688" s="314">
        <v>33021.911667765322</v>
      </c>
      <c r="AW688" s="314">
        <v>30453.540760272466</v>
      </c>
      <c r="AX688">
        <v>32655.001538123488</v>
      </c>
    </row>
    <row r="689" spans="1:50" x14ac:dyDescent="0.35">
      <c r="A689">
        <v>671</v>
      </c>
      <c r="B689" t="s">
        <v>0</v>
      </c>
      <c r="C689" t="s">
        <v>1933</v>
      </c>
      <c r="D689" t="s">
        <v>1009</v>
      </c>
      <c r="E689" t="s">
        <v>1786</v>
      </c>
      <c r="F689">
        <v>179</v>
      </c>
      <c r="G689">
        <v>180</v>
      </c>
      <c r="H689">
        <v>166</v>
      </c>
      <c r="I689">
        <v>178</v>
      </c>
      <c r="J689" s="600">
        <v>703</v>
      </c>
      <c r="K689" s="7">
        <f t="shared" si="136"/>
        <v>20</v>
      </c>
      <c r="L689" s="7">
        <f t="shared" si="137"/>
        <v>0</v>
      </c>
      <c r="M689" s="243">
        <f t="shared" si="138"/>
        <v>67531.388843840905</v>
      </c>
      <c r="N689" s="243">
        <f>INDEX($AN$4:$AN21585,MATCH($A689,$AH$4:$AH$2000,0))</f>
        <v>67908.659172577449</v>
      </c>
      <c r="O689" s="243">
        <f t="shared" si="145"/>
        <v>62626.874570265871</v>
      </c>
      <c r="P689" s="243">
        <f t="shared" si="139"/>
        <v>67154.118515104361</v>
      </c>
      <c r="Q689" s="243">
        <f t="shared" si="140"/>
        <v>32838.456602944403</v>
      </c>
      <c r="R689" s="243">
        <f t="shared" si="141"/>
        <v>33021.911667765322</v>
      </c>
      <c r="S689" s="243">
        <f t="shared" si="146"/>
        <v>30453.540760272466</v>
      </c>
      <c r="T689" s="243">
        <f t="shared" si="142"/>
        <v>32655.001538123488</v>
      </c>
      <c r="AA689">
        <v>993</v>
      </c>
      <c r="AB689" t="s">
        <v>0</v>
      </c>
      <c r="AC689" t="s">
        <v>1864</v>
      </c>
      <c r="AD689" t="s">
        <v>4</v>
      </c>
      <c r="AE689" t="s">
        <v>905</v>
      </c>
      <c r="AF689">
        <v>15</v>
      </c>
      <c r="AG689">
        <v>0</v>
      </c>
      <c r="AH689">
        <v>671</v>
      </c>
      <c r="AI689" t="s">
        <v>0</v>
      </c>
      <c r="AJ689" t="s">
        <v>1933</v>
      </c>
      <c r="AK689" t="s">
        <v>1009</v>
      </c>
      <c r="AL689" t="s">
        <v>1786</v>
      </c>
      <c r="AM689" s="314">
        <v>67531.388843840905</v>
      </c>
      <c r="AN689" s="314">
        <v>67908.659172577449</v>
      </c>
      <c r="AO689" s="314">
        <v>62626.874570265871</v>
      </c>
      <c r="AP689" s="314">
        <v>67154.118515104361</v>
      </c>
      <c r="AQ689" s="314">
        <v>34.763232000000002</v>
      </c>
      <c r="AR689" s="314">
        <v>34.957440000000005</v>
      </c>
      <c r="AS689" s="314">
        <v>32.238528000000002</v>
      </c>
      <c r="AT689" s="314">
        <v>34.569024000000006</v>
      </c>
      <c r="AU689" s="314">
        <v>32838.456602944403</v>
      </c>
      <c r="AV689" s="314">
        <v>33021.911667765322</v>
      </c>
      <c r="AW689" s="314">
        <v>30453.540760272466</v>
      </c>
      <c r="AX689">
        <v>32655.001538123488</v>
      </c>
    </row>
    <row r="690" spans="1:50" x14ac:dyDescent="0.35">
      <c r="A690">
        <v>657</v>
      </c>
      <c r="B690" t="s">
        <v>0</v>
      </c>
      <c r="C690" t="s">
        <v>1933</v>
      </c>
      <c r="D690" t="s">
        <v>1009</v>
      </c>
      <c r="E690" t="s">
        <v>1773</v>
      </c>
      <c r="F690">
        <v>2.0191699999999999</v>
      </c>
      <c r="G690">
        <v>2.0184820000000001</v>
      </c>
      <c r="H690">
        <v>2.0190999999999999</v>
      </c>
      <c r="I690">
        <v>2.01972</v>
      </c>
      <c r="J690" s="600">
        <v>8</v>
      </c>
      <c r="K690" s="7">
        <f t="shared" si="136"/>
        <v>25</v>
      </c>
      <c r="L690" s="7">
        <f t="shared" si="137"/>
        <v>0</v>
      </c>
      <c r="M690" s="243">
        <f t="shared" si="138"/>
        <v>5412.8</v>
      </c>
      <c r="N690" s="243">
        <f>INDEX($AN$4:$AN21586,MATCH($A690,$AH$4:$AH$2000,0))</f>
        <v>5412.8</v>
      </c>
      <c r="O690" s="243">
        <f t="shared" si="145"/>
        <v>5412.8</v>
      </c>
      <c r="P690" s="243">
        <f t="shared" si="139"/>
        <v>5412.8</v>
      </c>
      <c r="Q690" s="243">
        <f t="shared" si="140"/>
        <v>0</v>
      </c>
      <c r="R690" s="243">
        <f t="shared" si="141"/>
        <v>0</v>
      </c>
      <c r="S690" s="243">
        <f t="shared" si="146"/>
        <v>0</v>
      </c>
      <c r="T690" s="243">
        <f t="shared" si="142"/>
        <v>0</v>
      </c>
      <c r="AA690">
        <v>1021</v>
      </c>
      <c r="AB690" t="s">
        <v>0</v>
      </c>
      <c r="AC690" t="s">
        <v>1864</v>
      </c>
      <c r="AD690" t="s">
        <v>4</v>
      </c>
      <c r="AE690" t="s">
        <v>906</v>
      </c>
      <c r="AF690">
        <v>15</v>
      </c>
      <c r="AG690">
        <v>0</v>
      </c>
      <c r="AH690">
        <v>657</v>
      </c>
      <c r="AI690" t="s">
        <v>0</v>
      </c>
      <c r="AJ690" t="s">
        <v>1933</v>
      </c>
      <c r="AK690" t="s">
        <v>1009</v>
      </c>
      <c r="AL690" t="s">
        <v>1773</v>
      </c>
      <c r="AM690" s="314">
        <v>5412.8</v>
      </c>
      <c r="AN690" s="314">
        <v>5412.8</v>
      </c>
      <c r="AO690" s="314">
        <v>5412.8</v>
      </c>
      <c r="AP690" s="314">
        <v>5412.8</v>
      </c>
      <c r="AQ690" s="314">
        <v>0.72429747031956293</v>
      </c>
      <c r="AR690" s="314">
        <v>0.72429747031956293</v>
      </c>
      <c r="AS690" s="314">
        <v>0.72429747031956293</v>
      </c>
      <c r="AT690" s="314">
        <v>0.72429747031956293</v>
      </c>
      <c r="AU690" s="314">
        <v>0</v>
      </c>
      <c r="AV690" s="314">
        <v>0</v>
      </c>
      <c r="AW690" s="314">
        <v>0</v>
      </c>
      <c r="AX690">
        <v>0</v>
      </c>
    </row>
    <row r="691" spans="1:50" x14ac:dyDescent="0.35">
      <c r="A691">
        <v>661</v>
      </c>
      <c r="B691" t="s">
        <v>0</v>
      </c>
      <c r="C691" t="s">
        <v>1933</v>
      </c>
      <c r="D691" t="s">
        <v>1009</v>
      </c>
      <c r="E691" t="s">
        <v>1823</v>
      </c>
      <c r="F691">
        <v>4.0383399999999998</v>
      </c>
      <c r="G691">
        <v>4.0369640000000002</v>
      </c>
      <c r="H691">
        <v>3.0286499999999998</v>
      </c>
      <c r="I691">
        <v>4.0394399999999999</v>
      </c>
      <c r="J691" s="600">
        <v>15</v>
      </c>
      <c r="K691" s="7">
        <f t="shared" si="136"/>
        <v>25</v>
      </c>
      <c r="L691" s="7">
        <f t="shared" si="137"/>
        <v>0</v>
      </c>
      <c r="M691" s="243">
        <f t="shared" si="138"/>
        <v>16265.6</v>
      </c>
      <c r="N691" s="243">
        <f>INDEX($AN$4:$AN21587,MATCH($A691,$AH$4:$AH$2000,0))</f>
        <v>16265.6</v>
      </c>
      <c r="O691" s="243">
        <f t="shared" si="145"/>
        <v>12199.2</v>
      </c>
      <c r="P691" s="243">
        <f t="shared" si="139"/>
        <v>16265.6</v>
      </c>
      <c r="Q691" s="243">
        <f t="shared" si="140"/>
        <v>0</v>
      </c>
      <c r="R691" s="243">
        <f t="shared" si="141"/>
        <v>0</v>
      </c>
      <c r="S691" s="243">
        <f t="shared" si="146"/>
        <v>0</v>
      </c>
      <c r="T691" s="243">
        <f t="shared" si="142"/>
        <v>0</v>
      </c>
      <c r="AA691">
        <v>938</v>
      </c>
      <c r="AB691" t="s">
        <v>0</v>
      </c>
      <c r="AC691" t="s">
        <v>1864</v>
      </c>
      <c r="AD691" t="s">
        <v>4</v>
      </c>
      <c r="AE691" t="s">
        <v>907</v>
      </c>
      <c r="AF691">
        <v>10</v>
      </c>
      <c r="AG691">
        <v>0</v>
      </c>
      <c r="AH691">
        <v>661</v>
      </c>
      <c r="AI691" t="s">
        <v>0</v>
      </c>
      <c r="AJ691" t="s">
        <v>1933</v>
      </c>
      <c r="AK691" t="s">
        <v>1009</v>
      </c>
      <c r="AL691" t="s">
        <v>1823</v>
      </c>
      <c r="AM691" s="314">
        <v>16265.6</v>
      </c>
      <c r="AN691" s="314">
        <v>16265.6</v>
      </c>
      <c r="AO691" s="314">
        <v>12199.2</v>
      </c>
      <c r="AP691" s="314">
        <v>16265.6</v>
      </c>
      <c r="AQ691" s="314">
        <v>0</v>
      </c>
      <c r="AR691" s="314">
        <v>0</v>
      </c>
      <c r="AS691" s="314">
        <v>0</v>
      </c>
      <c r="AT691" s="314">
        <v>0</v>
      </c>
      <c r="AU691" s="314">
        <v>0</v>
      </c>
      <c r="AV691" s="314">
        <v>0</v>
      </c>
      <c r="AW691" s="314">
        <v>0</v>
      </c>
      <c r="AX691">
        <v>0</v>
      </c>
    </row>
    <row r="692" spans="1:50" x14ac:dyDescent="0.35">
      <c r="A692">
        <v>659</v>
      </c>
      <c r="B692" t="s">
        <v>0</v>
      </c>
      <c r="C692" t="s">
        <v>1933</v>
      </c>
      <c r="D692" t="s">
        <v>1009</v>
      </c>
      <c r="E692" t="s">
        <v>1774</v>
      </c>
      <c r="F692">
        <v>14.13419</v>
      </c>
      <c r="G692">
        <v>14.129374</v>
      </c>
      <c r="H692">
        <v>13.12415</v>
      </c>
      <c r="I692">
        <v>14.13804</v>
      </c>
      <c r="J692" s="600">
        <v>55</v>
      </c>
      <c r="K692" s="7">
        <f t="shared" si="136"/>
        <v>25</v>
      </c>
      <c r="L692" s="7">
        <f t="shared" si="137"/>
        <v>0</v>
      </c>
      <c r="M692" s="243">
        <f t="shared" si="138"/>
        <v>61689.600000000006</v>
      </c>
      <c r="N692" s="243">
        <f>INDEX($AN$4:$AN21588,MATCH($A692,$AH$4:$AH$2000,0))</f>
        <v>61689.600000000006</v>
      </c>
      <c r="O692" s="243">
        <f t="shared" si="145"/>
        <v>57283.200000000004</v>
      </c>
      <c r="P692" s="243">
        <f t="shared" si="139"/>
        <v>61689.600000000006</v>
      </c>
      <c r="Q692" s="243">
        <f t="shared" si="140"/>
        <v>0</v>
      </c>
      <c r="R692" s="243">
        <f t="shared" si="141"/>
        <v>0</v>
      </c>
      <c r="S692" s="243">
        <f t="shared" si="146"/>
        <v>0</v>
      </c>
      <c r="T692" s="243">
        <f t="shared" si="142"/>
        <v>0</v>
      </c>
      <c r="AA692">
        <v>939</v>
      </c>
      <c r="AB692" t="s">
        <v>0</v>
      </c>
      <c r="AC692" t="s">
        <v>1864</v>
      </c>
      <c r="AD692" t="s">
        <v>4</v>
      </c>
      <c r="AE692" t="s">
        <v>908</v>
      </c>
      <c r="AF692">
        <v>10</v>
      </c>
      <c r="AG692">
        <v>0</v>
      </c>
      <c r="AH692">
        <v>659</v>
      </c>
      <c r="AI692" t="s">
        <v>0</v>
      </c>
      <c r="AJ692" t="s">
        <v>1933</v>
      </c>
      <c r="AK692" t="s">
        <v>1009</v>
      </c>
      <c r="AL692" t="s">
        <v>1774</v>
      </c>
      <c r="AM692" s="314">
        <v>61689.600000000006</v>
      </c>
      <c r="AN692" s="314">
        <v>61689.600000000006</v>
      </c>
      <c r="AO692" s="314">
        <v>57283.200000000004</v>
      </c>
      <c r="AP692" s="314">
        <v>61689.600000000006</v>
      </c>
      <c r="AQ692" s="314">
        <v>5.0700822922369406</v>
      </c>
      <c r="AR692" s="314">
        <v>5.0700822922369406</v>
      </c>
      <c r="AS692" s="314">
        <v>4.7079335570771592</v>
      </c>
      <c r="AT692" s="314">
        <v>5.0700822922369406</v>
      </c>
      <c r="AU692" s="314">
        <v>0</v>
      </c>
      <c r="AV692" s="314">
        <v>0</v>
      </c>
      <c r="AW692" s="314">
        <v>0</v>
      </c>
      <c r="AX692">
        <v>0</v>
      </c>
    </row>
    <row r="693" spans="1:50" x14ac:dyDescent="0.35">
      <c r="A693">
        <v>649</v>
      </c>
      <c r="B693" t="s">
        <v>0</v>
      </c>
      <c r="C693" t="s">
        <v>1933</v>
      </c>
      <c r="D693" t="s">
        <v>1009</v>
      </c>
      <c r="E693" t="s">
        <v>1775</v>
      </c>
      <c r="F693">
        <v>8.0766799999999996</v>
      </c>
      <c r="G693">
        <v>8.0739280000000004</v>
      </c>
      <c r="H693">
        <v>7.0668499999999996</v>
      </c>
      <c r="I693">
        <v>8.0788799999999998</v>
      </c>
      <c r="J693" s="600">
        <v>31</v>
      </c>
      <c r="K693" s="7">
        <f t="shared" si="136"/>
        <v>25</v>
      </c>
      <c r="L693" s="7">
        <f t="shared" si="137"/>
        <v>0</v>
      </c>
      <c r="M693" s="243">
        <f t="shared" si="138"/>
        <v>8051.2</v>
      </c>
      <c r="N693" s="243">
        <f>INDEX($AN$4:$AN21589,MATCH($A693,$AH$4:$AH$2000,0))</f>
        <v>8051.2</v>
      </c>
      <c r="O693" s="243">
        <f t="shared" si="145"/>
        <v>7044.8</v>
      </c>
      <c r="P693" s="243">
        <f t="shared" si="139"/>
        <v>8051.2</v>
      </c>
      <c r="Q693" s="243">
        <f t="shared" si="140"/>
        <v>0</v>
      </c>
      <c r="R693" s="243">
        <f t="shared" si="141"/>
        <v>0</v>
      </c>
      <c r="S693" s="243">
        <f t="shared" si="146"/>
        <v>0</v>
      </c>
      <c r="T693" s="243">
        <f t="shared" si="142"/>
        <v>0</v>
      </c>
      <c r="AA693">
        <v>940</v>
      </c>
      <c r="AB693" t="s">
        <v>0</v>
      </c>
      <c r="AC693" t="s">
        <v>1864</v>
      </c>
      <c r="AD693" t="s">
        <v>4</v>
      </c>
      <c r="AE693" t="s">
        <v>909</v>
      </c>
      <c r="AF693">
        <v>10</v>
      </c>
      <c r="AG693">
        <v>0</v>
      </c>
      <c r="AH693">
        <v>649</v>
      </c>
      <c r="AI693" t="s">
        <v>0</v>
      </c>
      <c r="AJ693" t="s">
        <v>1933</v>
      </c>
      <c r="AK693" t="s">
        <v>1009</v>
      </c>
      <c r="AL693" t="s">
        <v>1775</v>
      </c>
      <c r="AM693" s="314">
        <v>8051.2</v>
      </c>
      <c r="AN693" s="314">
        <v>8051.2</v>
      </c>
      <c r="AO693" s="314">
        <v>7044.8</v>
      </c>
      <c r="AP693" s="314">
        <v>8051.2</v>
      </c>
      <c r="AQ693" s="314">
        <v>1.077467311219185</v>
      </c>
      <c r="AR693" s="314">
        <v>1.077467311219185</v>
      </c>
      <c r="AS693" s="314">
        <v>0.94278389731678691</v>
      </c>
      <c r="AT693" s="314">
        <v>1.077467311219185</v>
      </c>
      <c r="AU693" s="314">
        <v>0</v>
      </c>
      <c r="AV693" s="314">
        <v>0</v>
      </c>
      <c r="AW693" s="314">
        <v>0</v>
      </c>
      <c r="AX693">
        <v>0</v>
      </c>
    </row>
    <row r="694" spans="1:50" x14ac:dyDescent="0.35">
      <c r="A694">
        <v>653</v>
      </c>
      <c r="B694" t="s">
        <v>0</v>
      </c>
      <c r="C694" t="s">
        <v>1933</v>
      </c>
      <c r="D694" t="s">
        <v>1009</v>
      </c>
      <c r="E694" t="s">
        <v>1824</v>
      </c>
      <c r="F694">
        <v>15.143775</v>
      </c>
      <c r="G694">
        <v>15.138615000000001</v>
      </c>
      <c r="H694">
        <v>14.133699999999999</v>
      </c>
      <c r="I694">
        <v>15.1479</v>
      </c>
      <c r="J694" s="600">
        <v>59</v>
      </c>
      <c r="K694" s="7">
        <f t="shared" si="136"/>
        <v>25</v>
      </c>
      <c r="L694" s="7">
        <f t="shared" si="137"/>
        <v>0</v>
      </c>
      <c r="M694" s="243">
        <f t="shared" si="138"/>
        <v>22644.000000000004</v>
      </c>
      <c r="N694" s="243">
        <f>INDEX($AN$4:$AN21590,MATCH($A694,$AH$4:$AH$2000,0))</f>
        <v>22644.000000000004</v>
      </c>
      <c r="O694" s="243">
        <f t="shared" si="145"/>
        <v>21134.400000000001</v>
      </c>
      <c r="P694" s="243">
        <f t="shared" si="139"/>
        <v>22644.000000000004</v>
      </c>
      <c r="Q694" s="243">
        <f t="shared" si="140"/>
        <v>0</v>
      </c>
      <c r="R694" s="243">
        <f t="shared" si="141"/>
        <v>0</v>
      </c>
      <c r="S694" s="243">
        <f t="shared" si="146"/>
        <v>0</v>
      </c>
      <c r="T694" s="243">
        <f t="shared" si="142"/>
        <v>0</v>
      </c>
      <c r="AA694">
        <v>966</v>
      </c>
      <c r="AB694" t="s">
        <v>0</v>
      </c>
      <c r="AC694" t="s">
        <v>1864</v>
      </c>
      <c r="AD694" t="s">
        <v>4</v>
      </c>
      <c r="AE694" t="s">
        <v>910</v>
      </c>
      <c r="AF694">
        <v>10</v>
      </c>
      <c r="AG694">
        <v>0</v>
      </c>
      <c r="AH694">
        <v>653</v>
      </c>
      <c r="AI694" t="s">
        <v>0</v>
      </c>
      <c r="AJ694" t="s">
        <v>1933</v>
      </c>
      <c r="AK694" t="s">
        <v>1009</v>
      </c>
      <c r="AL694" t="s">
        <v>1824</v>
      </c>
      <c r="AM694" s="314">
        <v>22644.000000000004</v>
      </c>
      <c r="AN694" s="314">
        <v>22644.000000000004</v>
      </c>
      <c r="AO694" s="314">
        <v>21134.400000000001</v>
      </c>
      <c r="AP694" s="314">
        <v>22644.000000000004</v>
      </c>
      <c r="AQ694" s="314">
        <v>0</v>
      </c>
      <c r="AR694" s="314">
        <v>0</v>
      </c>
      <c r="AS694" s="314">
        <v>0</v>
      </c>
      <c r="AT694" s="314">
        <v>0</v>
      </c>
      <c r="AU694" s="314">
        <v>0</v>
      </c>
      <c r="AV694" s="314">
        <v>0</v>
      </c>
      <c r="AW694" s="314">
        <v>0</v>
      </c>
      <c r="AX694">
        <v>0</v>
      </c>
    </row>
    <row r="695" spans="1:50" x14ac:dyDescent="0.35">
      <c r="A695">
        <v>651</v>
      </c>
      <c r="B695" t="s">
        <v>0</v>
      </c>
      <c r="C695" t="s">
        <v>1933</v>
      </c>
      <c r="D695" t="s">
        <v>1009</v>
      </c>
      <c r="E695" t="s">
        <v>1776</v>
      </c>
      <c r="F695">
        <v>55.527175</v>
      </c>
      <c r="G695">
        <v>55.508255000000005</v>
      </c>
      <c r="H695">
        <v>51.487049999999996</v>
      </c>
      <c r="I695">
        <v>54.532440000000001</v>
      </c>
      <c r="J695" s="600">
        <v>215</v>
      </c>
      <c r="K695" s="7">
        <f t="shared" si="136"/>
        <v>25</v>
      </c>
      <c r="L695" s="7">
        <f t="shared" si="137"/>
        <v>0</v>
      </c>
      <c r="M695" s="243">
        <f t="shared" si="138"/>
        <v>90508</v>
      </c>
      <c r="N695" s="243">
        <f>INDEX($AN$4:$AN21591,MATCH($A695,$AH$4:$AH$2000,0))</f>
        <v>90508</v>
      </c>
      <c r="O695" s="243">
        <f t="shared" si="145"/>
        <v>83925.599999999991</v>
      </c>
      <c r="P695" s="243">
        <f t="shared" si="139"/>
        <v>88862.399999999994</v>
      </c>
      <c r="Q695" s="243">
        <f t="shared" si="140"/>
        <v>0</v>
      </c>
      <c r="R695" s="243">
        <f t="shared" si="141"/>
        <v>0</v>
      </c>
      <c r="S695" s="243">
        <f t="shared" si="146"/>
        <v>0</v>
      </c>
      <c r="T695" s="243">
        <f t="shared" si="142"/>
        <v>0</v>
      </c>
      <c r="AA695">
        <v>967</v>
      </c>
      <c r="AB695" t="s">
        <v>0</v>
      </c>
      <c r="AC695" t="s">
        <v>1864</v>
      </c>
      <c r="AD695" t="s">
        <v>4</v>
      </c>
      <c r="AE695" t="s">
        <v>911</v>
      </c>
      <c r="AF695">
        <v>10</v>
      </c>
      <c r="AG695">
        <v>0</v>
      </c>
      <c r="AH695">
        <v>651</v>
      </c>
      <c r="AI695" t="s">
        <v>0</v>
      </c>
      <c r="AJ695" t="s">
        <v>1933</v>
      </c>
      <c r="AK695" t="s">
        <v>1009</v>
      </c>
      <c r="AL695" t="s">
        <v>1776</v>
      </c>
      <c r="AM695" s="314">
        <v>90508</v>
      </c>
      <c r="AN695" s="314">
        <v>90508</v>
      </c>
      <c r="AO695" s="314">
        <v>83925.599999999991</v>
      </c>
      <c r="AP695" s="314">
        <v>88862.399999999994</v>
      </c>
      <c r="AQ695" s="314">
        <v>7.4075877646318968</v>
      </c>
      <c r="AR695" s="314">
        <v>7.4075877646318968</v>
      </c>
      <c r="AS695" s="314">
        <v>6.8688541090223048</v>
      </c>
      <c r="AT695" s="314">
        <v>7.2729043507294993</v>
      </c>
      <c r="AU695" s="314">
        <v>0</v>
      </c>
      <c r="AV695" s="314">
        <v>0</v>
      </c>
      <c r="AW695" s="314">
        <v>0</v>
      </c>
      <c r="AX695">
        <v>0</v>
      </c>
    </row>
    <row r="696" spans="1:50" x14ac:dyDescent="0.35">
      <c r="A696">
        <v>656</v>
      </c>
      <c r="B696" t="s">
        <v>0</v>
      </c>
      <c r="C696" t="s">
        <v>1933</v>
      </c>
      <c r="D696" t="s">
        <v>1009</v>
      </c>
      <c r="E696" t="s">
        <v>1825</v>
      </c>
      <c r="F696">
        <v>1.009585</v>
      </c>
      <c r="G696">
        <v>1.0092410000000001</v>
      </c>
      <c r="H696">
        <v>1.0095499999999999</v>
      </c>
      <c r="I696">
        <v>1.00986</v>
      </c>
      <c r="J696" s="600">
        <v>4</v>
      </c>
      <c r="K696" s="7">
        <f t="shared" si="136"/>
        <v>25</v>
      </c>
      <c r="L696" s="7">
        <f t="shared" si="137"/>
        <v>0</v>
      </c>
      <c r="M696" s="243">
        <f t="shared" si="138"/>
        <v>2706.4</v>
      </c>
      <c r="N696" s="243">
        <f>INDEX($AN$4:$AN21592,MATCH($A696,$AH$4:$AH$2000,0))</f>
        <v>2706.4</v>
      </c>
      <c r="O696" s="243">
        <f t="shared" si="145"/>
        <v>2706.4</v>
      </c>
      <c r="P696" s="243">
        <f t="shared" si="139"/>
        <v>2706.4</v>
      </c>
      <c r="Q696" s="243">
        <f t="shared" si="140"/>
        <v>0</v>
      </c>
      <c r="R696" s="243">
        <f t="shared" si="141"/>
        <v>0</v>
      </c>
      <c r="S696" s="243">
        <f t="shared" si="146"/>
        <v>0</v>
      </c>
      <c r="T696" s="243">
        <f t="shared" si="142"/>
        <v>0</v>
      </c>
      <c r="AA696">
        <v>968</v>
      </c>
      <c r="AB696" t="s">
        <v>0</v>
      </c>
      <c r="AC696" t="s">
        <v>1864</v>
      </c>
      <c r="AD696" t="s">
        <v>4</v>
      </c>
      <c r="AE696" t="s">
        <v>912</v>
      </c>
      <c r="AF696">
        <v>10</v>
      </c>
      <c r="AG696">
        <v>0</v>
      </c>
      <c r="AH696">
        <v>656</v>
      </c>
      <c r="AI696" t="s">
        <v>0</v>
      </c>
      <c r="AJ696" t="s">
        <v>1933</v>
      </c>
      <c r="AK696" t="s">
        <v>1009</v>
      </c>
      <c r="AL696" t="s">
        <v>1825</v>
      </c>
      <c r="AM696" s="314">
        <v>2706.4</v>
      </c>
      <c r="AN696" s="314">
        <v>2706.4</v>
      </c>
      <c r="AO696" s="314">
        <v>2706.4</v>
      </c>
      <c r="AP696" s="314">
        <v>2706.4</v>
      </c>
      <c r="AQ696" s="314">
        <v>0.32891042659032199</v>
      </c>
      <c r="AR696" s="314">
        <v>0.32891042659032199</v>
      </c>
      <c r="AS696" s="314">
        <v>0.32891042659032199</v>
      </c>
      <c r="AT696" s="314">
        <v>0.32891042659032199</v>
      </c>
      <c r="AU696" s="314">
        <v>0</v>
      </c>
      <c r="AV696" s="314">
        <v>0</v>
      </c>
      <c r="AW696" s="314">
        <v>0</v>
      </c>
      <c r="AX696">
        <v>0</v>
      </c>
    </row>
    <row r="697" spans="1:50" x14ac:dyDescent="0.35">
      <c r="A697">
        <v>660</v>
      </c>
      <c r="B697" t="s">
        <v>0</v>
      </c>
      <c r="C697" t="s">
        <v>1933</v>
      </c>
      <c r="D697" t="s">
        <v>1009</v>
      </c>
      <c r="E697" t="s">
        <v>1826</v>
      </c>
      <c r="F697">
        <v>2.0191699999999999</v>
      </c>
      <c r="G697">
        <v>2.0184820000000001</v>
      </c>
      <c r="H697">
        <v>2.0190999999999999</v>
      </c>
      <c r="I697">
        <v>2.01972</v>
      </c>
      <c r="J697" s="600">
        <v>8</v>
      </c>
      <c r="K697" s="7">
        <f t="shared" si="136"/>
        <v>25</v>
      </c>
      <c r="L697" s="7">
        <f t="shared" si="137"/>
        <v>0</v>
      </c>
      <c r="M697" s="243">
        <f t="shared" si="138"/>
        <v>8132.8</v>
      </c>
      <c r="N697" s="243">
        <f>INDEX($AN$4:$AN21593,MATCH($A697,$AH$4:$AH$2000,0))</f>
        <v>8132.8</v>
      </c>
      <c r="O697" s="243">
        <f t="shared" si="145"/>
        <v>8132.8</v>
      </c>
      <c r="P697" s="243">
        <f t="shared" si="139"/>
        <v>8132.8</v>
      </c>
      <c r="Q697" s="243">
        <f t="shared" si="140"/>
        <v>0</v>
      </c>
      <c r="R697" s="243">
        <f t="shared" si="141"/>
        <v>0</v>
      </c>
      <c r="S697" s="243">
        <f t="shared" si="146"/>
        <v>0</v>
      </c>
      <c r="T697" s="243">
        <f t="shared" si="142"/>
        <v>0</v>
      </c>
      <c r="AA697">
        <v>994</v>
      </c>
      <c r="AB697" t="s">
        <v>0</v>
      </c>
      <c r="AC697" t="s">
        <v>1864</v>
      </c>
      <c r="AD697" t="s">
        <v>4</v>
      </c>
      <c r="AE697" t="s">
        <v>913</v>
      </c>
      <c r="AF697">
        <v>10</v>
      </c>
      <c r="AG697">
        <v>0</v>
      </c>
      <c r="AH697">
        <v>660</v>
      </c>
      <c r="AI697" t="s">
        <v>0</v>
      </c>
      <c r="AJ697" t="s">
        <v>1933</v>
      </c>
      <c r="AK697" t="s">
        <v>1009</v>
      </c>
      <c r="AL697" t="s">
        <v>1826</v>
      </c>
      <c r="AM697" s="314">
        <v>8132.8</v>
      </c>
      <c r="AN697" s="314">
        <v>8132.8</v>
      </c>
      <c r="AO697" s="314">
        <v>8132.8</v>
      </c>
      <c r="AP697" s="314">
        <v>8132.8</v>
      </c>
      <c r="AQ697" s="314">
        <v>0</v>
      </c>
      <c r="AR697" s="314">
        <v>0</v>
      </c>
      <c r="AS697" s="314">
        <v>0</v>
      </c>
      <c r="AT697" s="314">
        <v>0</v>
      </c>
      <c r="AU697" s="314">
        <v>0</v>
      </c>
      <c r="AV697" s="314">
        <v>0</v>
      </c>
      <c r="AW697" s="314">
        <v>0</v>
      </c>
      <c r="AX697">
        <v>0</v>
      </c>
    </row>
    <row r="698" spans="1:50" x14ac:dyDescent="0.35">
      <c r="A698">
        <v>658</v>
      </c>
      <c r="B698" t="s">
        <v>0</v>
      </c>
      <c r="C698" t="s">
        <v>1933</v>
      </c>
      <c r="D698" t="s">
        <v>1009</v>
      </c>
      <c r="E698" t="s">
        <v>1827</v>
      </c>
      <c r="F698">
        <v>6.0575099999999997</v>
      </c>
      <c r="G698">
        <v>6.0554459999999999</v>
      </c>
      <c r="H698">
        <v>6.0572999999999997</v>
      </c>
      <c r="I698">
        <v>6.0591600000000003</v>
      </c>
      <c r="J698" s="600">
        <v>24</v>
      </c>
      <c r="K698" s="7">
        <f t="shared" si="136"/>
        <v>25</v>
      </c>
      <c r="L698" s="7">
        <f t="shared" si="137"/>
        <v>0</v>
      </c>
      <c r="M698" s="243">
        <f t="shared" si="138"/>
        <v>26438.400000000001</v>
      </c>
      <c r="N698" s="243">
        <f>INDEX($AN$4:$AN21594,MATCH($A698,$AH$4:$AH$2000,0))</f>
        <v>26438.400000000001</v>
      </c>
      <c r="O698" s="243">
        <f t="shared" si="145"/>
        <v>26438.400000000001</v>
      </c>
      <c r="P698" s="243">
        <f t="shared" si="139"/>
        <v>26438.400000000001</v>
      </c>
      <c r="Q698" s="243">
        <f t="shared" si="140"/>
        <v>0</v>
      </c>
      <c r="R698" s="243">
        <f t="shared" si="141"/>
        <v>0</v>
      </c>
      <c r="S698" s="243">
        <f t="shared" si="146"/>
        <v>0</v>
      </c>
      <c r="T698" s="243">
        <f t="shared" si="142"/>
        <v>0</v>
      </c>
      <c r="AA698">
        <v>995</v>
      </c>
      <c r="AB698" t="s">
        <v>0</v>
      </c>
      <c r="AC698" t="s">
        <v>1864</v>
      </c>
      <c r="AD698" t="s">
        <v>4</v>
      </c>
      <c r="AE698" t="s">
        <v>914</v>
      </c>
      <c r="AF698">
        <v>10</v>
      </c>
      <c r="AG698">
        <v>0</v>
      </c>
      <c r="AH698">
        <v>658</v>
      </c>
      <c r="AI698" t="s">
        <v>0</v>
      </c>
      <c r="AJ698" t="s">
        <v>1933</v>
      </c>
      <c r="AK698" t="s">
        <v>1009</v>
      </c>
      <c r="AL698" t="s">
        <v>1827</v>
      </c>
      <c r="AM698" s="314">
        <v>26438.400000000001</v>
      </c>
      <c r="AN698" s="314">
        <v>26438.400000000001</v>
      </c>
      <c r="AO698" s="314">
        <v>26438.400000000001</v>
      </c>
      <c r="AP698" s="314">
        <v>26438.400000000001</v>
      </c>
      <c r="AQ698" s="314">
        <v>1.9734625595419319</v>
      </c>
      <c r="AR698" s="314">
        <v>1.9734625595419319</v>
      </c>
      <c r="AS698" s="314">
        <v>1.9734625595419319</v>
      </c>
      <c r="AT698" s="314">
        <v>1.9734625595419319</v>
      </c>
      <c r="AU698" s="314">
        <v>0</v>
      </c>
      <c r="AV698" s="314">
        <v>0</v>
      </c>
      <c r="AW698" s="314">
        <v>0</v>
      </c>
      <c r="AX698">
        <v>0</v>
      </c>
    </row>
    <row r="699" spans="1:50" x14ac:dyDescent="0.35">
      <c r="A699">
        <v>648</v>
      </c>
      <c r="B699" t="s">
        <v>0</v>
      </c>
      <c r="C699" t="s">
        <v>1933</v>
      </c>
      <c r="D699" t="s">
        <v>1009</v>
      </c>
      <c r="E699" t="s">
        <v>1828</v>
      </c>
      <c r="F699">
        <v>3.0287549999999999</v>
      </c>
      <c r="G699">
        <v>3.0277229999999999</v>
      </c>
      <c r="H699">
        <v>3.0286499999999998</v>
      </c>
      <c r="I699">
        <v>3.0295800000000002</v>
      </c>
      <c r="J699" s="600">
        <v>12</v>
      </c>
      <c r="K699" s="7">
        <f t="shared" si="136"/>
        <v>25</v>
      </c>
      <c r="L699" s="7">
        <f t="shared" si="137"/>
        <v>0</v>
      </c>
      <c r="M699" s="243">
        <f t="shared" si="138"/>
        <v>3019.2</v>
      </c>
      <c r="N699" s="243">
        <f>INDEX($AN$4:$AN21595,MATCH($A699,$AH$4:$AH$2000,0))</f>
        <v>3019.2</v>
      </c>
      <c r="O699" s="243">
        <f t="shared" si="145"/>
        <v>3019.2</v>
      </c>
      <c r="P699" s="243">
        <f t="shared" si="139"/>
        <v>3019.2</v>
      </c>
      <c r="Q699" s="243">
        <f t="shared" si="140"/>
        <v>0</v>
      </c>
      <c r="R699" s="243">
        <f t="shared" si="141"/>
        <v>0</v>
      </c>
      <c r="S699" s="243">
        <f t="shared" si="146"/>
        <v>0</v>
      </c>
      <c r="T699" s="243">
        <f t="shared" si="142"/>
        <v>0</v>
      </c>
      <c r="AA699">
        <v>996</v>
      </c>
      <c r="AB699" t="s">
        <v>0</v>
      </c>
      <c r="AC699" t="s">
        <v>1864</v>
      </c>
      <c r="AD699" t="s">
        <v>4</v>
      </c>
      <c r="AE699" t="s">
        <v>915</v>
      </c>
      <c r="AF699">
        <v>11</v>
      </c>
      <c r="AG699">
        <v>1</v>
      </c>
      <c r="AH699">
        <v>648</v>
      </c>
      <c r="AI699" t="s">
        <v>0</v>
      </c>
      <c r="AJ699" t="s">
        <v>1933</v>
      </c>
      <c r="AK699" t="s">
        <v>1009</v>
      </c>
      <c r="AL699" t="s">
        <v>1828</v>
      </c>
      <c r="AM699" s="314">
        <v>3019.2</v>
      </c>
      <c r="AN699" s="314">
        <v>3019.2</v>
      </c>
      <c r="AO699" s="314">
        <v>3019.2</v>
      </c>
      <c r="AP699" s="314">
        <v>3019.2</v>
      </c>
      <c r="AQ699" s="314">
        <v>0.3669661784272189</v>
      </c>
      <c r="AR699" s="314">
        <v>0.3669661784272189</v>
      </c>
      <c r="AS699" s="314">
        <v>0.3669661784272189</v>
      </c>
      <c r="AT699" s="314">
        <v>0.3669661784272189</v>
      </c>
      <c r="AU699" s="314">
        <v>0</v>
      </c>
      <c r="AV699" s="314">
        <v>0</v>
      </c>
      <c r="AW699" s="314">
        <v>0</v>
      </c>
      <c r="AX699">
        <v>0</v>
      </c>
    </row>
    <row r="700" spans="1:50" x14ac:dyDescent="0.35">
      <c r="A700">
        <v>652</v>
      </c>
      <c r="B700" t="s">
        <v>0</v>
      </c>
      <c r="C700" t="s">
        <v>1933</v>
      </c>
      <c r="D700" t="s">
        <v>1009</v>
      </c>
      <c r="E700" t="s">
        <v>1772</v>
      </c>
      <c r="F700">
        <v>7.0670950000000001</v>
      </c>
      <c r="G700">
        <v>7.0646870000000002</v>
      </c>
      <c r="H700">
        <v>6.0572999999999997</v>
      </c>
      <c r="I700">
        <v>7.0690200000000001</v>
      </c>
      <c r="J700" s="600">
        <v>27</v>
      </c>
      <c r="K700" s="7">
        <f t="shared" si="136"/>
        <v>25</v>
      </c>
      <c r="L700" s="7">
        <f t="shared" si="137"/>
        <v>0</v>
      </c>
      <c r="M700" s="243">
        <f t="shared" si="138"/>
        <v>10567.2</v>
      </c>
      <c r="N700" s="243">
        <f>INDEX($AN$4:$AN21596,MATCH($A700,$AH$4:$AH$2000,0))</f>
        <v>10567.2</v>
      </c>
      <c r="O700" s="243">
        <f t="shared" si="145"/>
        <v>9057.6</v>
      </c>
      <c r="P700" s="243">
        <f t="shared" si="139"/>
        <v>10567.2</v>
      </c>
      <c r="Q700" s="243">
        <f t="shared" si="140"/>
        <v>0</v>
      </c>
      <c r="R700" s="243">
        <f t="shared" si="141"/>
        <v>0</v>
      </c>
      <c r="S700" s="243">
        <f t="shared" si="146"/>
        <v>0</v>
      </c>
      <c r="T700" s="243">
        <f t="shared" si="142"/>
        <v>0</v>
      </c>
      <c r="AA700">
        <v>1022</v>
      </c>
      <c r="AB700" t="s">
        <v>0</v>
      </c>
      <c r="AC700" t="s">
        <v>1864</v>
      </c>
      <c r="AD700" t="s">
        <v>4</v>
      </c>
      <c r="AE700" t="s">
        <v>916</v>
      </c>
      <c r="AF700">
        <v>10</v>
      </c>
      <c r="AG700">
        <v>0</v>
      </c>
      <c r="AH700">
        <v>652</v>
      </c>
      <c r="AI700" t="s">
        <v>0</v>
      </c>
      <c r="AJ700" t="s">
        <v>1933</v>
      </c>
      <c r="AK700" t="s">
        <v>1009</v>
      </c>
      <c r="AL700" t="s">
        <v>1772</v>
      </c>
      <c r="AM700" s="314">
        <v>10567.2</v>
      </c>
      <c r="AN700" s="314">
        <v>10567.2</v>
      </c>
      <c r="AO700" s="314">
        <v>9057.6</v>
      </c>
      <c r="AP700" s="314">
        <v>10567.2</v>
      </c>
      <c r="AQ700" s="314">
        <v>0</v>
      </c>
      <c r="AR700" s="314">
        <v>0</v>
      </c>
      <c r="AS700" s="314">
        <v>0</v>
      </c>
      <c r="AT700" s="314">
        <v>0</v>
      </c>
      <c r="AU700" s="314">
        <v>0</v>
      </c>
      <c r="AV700" s="314">
        <v>0</v>
      </c>
      <c r="AW700" s="314">
        <v>0</v>
      </c>
      <c r="AX700">
        <v>0</v>
      </c>
    </row>
    <row r="701" spans="1:50" x14ac:dyDescent="0.35">
      <c r="A701">
        <v>650</v>
      </c>
      <c r="B701" t="s">
        <v>0</v>
      </c>
      <c r="C701" t="s">
        <v>1933</v>
      </c>
      <c r="D701" t="s">
        <v>1009</v>
      </c>
      <c r="E701" t="s">
        <v>1829</v>
      </c>
      <c r="F701">
        <v>25.239625</v>
      </c>
      <c r="G701">
        <v>25.231025000000002</v>
      </c>
      <c r="H701">
        <v>23.219649999999998</v>
      </c>
      <c r="I701">
        <v>24.236640000000001</v>
      </c>
      <c r="J701" s="600">
        <v>97</v>
      </c>
      <c r="K701" s="7">
        <f t="shared" si="136"/>
        <v>25</v>
      </c>
      <c r="L701" s="7">
        <f t="shared" si="137"/>
        <v>0</v>
      </c>
      <c r="M701" s="243">
        <f t="shared" si="138"/>
        <v>41140</v>
      </c>
      <c r="N701" s="243">
        <f>INDEX($AN$4:$AN21597,MATCH($A701,$AH$4:$AH$2000,0))</f>
        <v>41140</v>
      </c>
      <c r="O701" s="243">
        <f t="shared" si="145"/>
        <v>37848.799999999996</v>
      </c>
      <c r="P701" s="243">
        <f t="shared" si="139"/>
        <v>39494.399999999994</v>
      </c>
      <c r="Q701" s="243">
        <f t="shared" si="140"/>
        <v>0</v>
      </c>
      <c r="R701" s="243">
        <f t="shared" si="141"/>
        <v>0</v>
      </c>
      <c r="S701" s="243">
        <f t="shared" si="146"/>
        <v>0</v>
      </c>
      <c r="T701" s="243">
        <f t="shared" si="142"/>
        <v>0</v>
      </c>
      <c r="AA701">
        <v>1023</v>
      </c>
      <c r="AB701" t="s">
        <v>0</v>
      </c>
      <c r="AC701" t="s">
        <v>1864</v>
      </c>
      <c r="AD701" t="s">
        <v>4</v>
      </c>
      <c r="AE701" t="s">
        <v>917</v>
      </c>
      <c r="AF701">
        <v>11</v>
      </c>
      <c r="AG701">
        <v>1</v>
      </c>
      <c r="AH701">
        <v>650</v>
      </c>
      <c r="AI701" t="s">
        <v>0</v>
      </c>
      <c r="AJ701" t="s">
        <v>1933</v>
      </c>
      <c r="AK701" t="s">
        <v>1009</v>
      </c>
      <c r="AL701" t="s">
        <v>1829</v>
      </c>
      <c r="AM701" s="314">
        <v>41140</v>
      </c>
      <c r="AN701" s="314">
        <v>41140</v>
      </c>
      <c r="AO701" s="314">
        <v>37848.799999999996</v>
      </c>
      <c r="AP701" s="314">
        <v>39494.399999999994</v>
      </c>
      <c r="AQ701" s="314">
        <v>3.0580514868934912</v>
      </c>
      <c r="AR701" s="314">
        <v>3.0580514868934912</v>
      </c>
      <c r="AS701" s="314">
        <v>2.8134073679420117</v>
      </c>
      <c r="AT701" s="314">
        <v>2.9357294274177512</v>
      </c>
      <c r="AU701" s="314">
        <v>0</v>
      </c>
      <c r="AV701" s="314">
        <v>0</v>
      </c>
      <c r="AW701" s="314">
        <v>0</v>
      </c>
      <c r="AX701">
        <v>0</v>
      </c>
    </row>
    <row r="702" spans="1:50" x14ac:dyDescent="0.35">
      <c r="A702">
        <v>672</v>
      </c>
      <c r="B702" t="s">
        <v>0</v>
      </c>
      <c r="C702" t="s">
        <v>1933</v>
      </c>
      <c r="D702" t="s">
        <v>1009</v>
      </c>
      <c r="E702" t="s">
        <v>1768</v>
      </c>
      <c r="F702">
        <v>453.30366499999997</v>
      </c>
      <c r="G702">
        <v>454.15845000000002</v>
      </c>
      <c r="H702">
        <v>418.96324999999996</v>
      </c>
      <c r="I702">
        <v>449.3877</v>
      </c>
      <c r="J702" s="600">
        <v>1759</v>
      </c>
      <c r="K702" s="7">
        <f t="shared" si="136"/>
        <v>20</v>
      </c>
      <c r="L702" s="7">
        <f t="shared" si="137"/>
        <v>0</v>
      </c>
      <c r="M702" s="243">
        <f t="shared" si="138"/>
        <v>318790</v>
      </c>
      <c r="N702" s="243">
        <f>INDEX($AN$4:$AN21598,MATCH($A702,$AH$4:$AH$2000,0))</f>
        <v>319500</v>
      </c>
      <c r="O702" s="243">
        <f t="shared" si="145"/>
        <v>294650</v>
      </c>
      <c r="P702" s="243">
        <f t="shared" si="139"/>
        <v>315950</v>
      </c>
      <c r="Q702" s="243">
        <f t="shared" si="140"/>
        <v>-6403.7098399999995</v>
      </c>
      <c r="R702" s="243">
        <f t="shared" si="141"/>
        <v>-6417.9719999999998</v>
      </c>
      <c r="S702" s="243">
        <f t="shared" si="146"/>
        <v>-5918.7964000000002</v>
      </c>
      <c r="T702" s="243">
        <f t="shared" si="142"/>
        <v>-6346.6611999999996</v>
      </c>
      <c r="AA702">
        <v>1024</v>
      </c>
      <c r="AB702" t="s">
        <v>0</v>
      </c>
      <c r="AC702" t="s">
        <v>1864</v>
      </c>
      <c r="AD702" t="s">
        <v>4</v>
      </c>
      <c r="AE702" t="s">
        <v>918</v>
      </c>
      <c r="AF702">
        <v>12</v>
      </c>
      <c r="AG702">
        <v>2</v>
      </c>
      <c r="AH702">
        <v>672</v>
      </c>
      <c r="AI702" t="s">
        <v>0</v>
      </c>
      <c r="AJ702" t="s">
        <v>1933</v>
      </c>
      <c r="AK702" t="s">
        <v>1009</v>
      </c>
      <c r="AL702" t="s">
        <v>1768</v>
      </c>
      <c r="AM702" s="314">
        <v>318790</v>
      </c>
      <c r="AN702" s="314">
        <v>319500</v>
      </c>
      <c r="AO702" s="314">
        <v>294650</v>
      </c>
      <c r="AP702" s="314">
        <v>315950</v>
      </c>
      <c r="AQ702" s="314">
        <v>100.79742465753425</v>
      </c>
      <c r="AR702" s="314">
        <v>101.02191780821917</v>
      </c>
      <c r="AS702" s="314">
        <v>93.164657534246572</v>
      </c>
      <c r="AT702" s="314">
        <v>99.899452054794523</v>
      </c>
      <c r="AU702" s="314">
        <v>-6403.7098399999995</v>
      </c>
      <c r="AV702" s="314">
        <v>-6417.9719999999998</v>
      </c>
      <c r="AW702" s="314">
        <v>-5918.7964000000002</v>
      </c>
      <c r="AX702">
        <v>-6346.6611999999996</v>
      </c>
    </row>
    <row r="703" spans="1:50" x14ac:dyDescent="0.35">
      <c r="A703">
        <v>634</v>
      </c>
      <c r="B703" t="s">
        <v>0</v>
      </c>
      <c r="C703" t="s">
        <v>1933</v>
      </c>
      <c r="D703" t="s">
        <v>1009</v>
      </c>
      <c r="E703" t="s">
        <v>1855</v>
      </c>
      <c r="F703">
        <v>585.27</v>
      </c>
      <c r="G703">
        <v>587.3175</v>
      </c>
      <c r="H703">
        <v>541.48500000000001</v>
      </c>
      <c r="I703">
        <v>580.84220249999998</v>
      </c>
      <c r="J703" s="600">
        <v>2294.9147025000002</v>
      </c>
      <c r="K703" s="7">
        <f t="shared" si="136"/>
        <v>20</v>
      </c>
      <c r="L703" s="7">
        <f t="shared" si="137"/>
        <v>0</v>
      </c>
      <c r="M703" s="243">
        <f t="shared" si="138"/>
        <v>0</v>
      </c>
      <c r="N703" s="243">
        <f>INDEX($AN$4:$AN21599,MATCH($A703,$AH$4:$AH$2000,0))</f>
        <v>0</v>
      </c>
      <c r="O703" s="243">
        <f t="shared" si="145"/>
        <v>0</v>
      </c>
      <c r="P703" s="243">
        <f t="shared" si="139"/>
        <v>0</v>
      </c>
      <c r="Q703" s="243">
        <f t="shared" si="140"/>
        <v>82476.864473684225</v>
      </c>
      <c r="R703" s="243">
        <f t="shared" si="141"/>
        <v>82765.400328947391</v>
      </c>
      <c r="S703" s="243">
        <f t="shared" si="146"/>
        <v>76306.636184210554</v>
      </c>
      <c r="T703" s="243">
        <f t="shared" si="142"/>
        <v>81852.894589144751</v>
      </c>
      <c r="AA703">
        <v>941</v>
      </c>
      <c r="AB703" t="s">
        <v>0</v>
      </c>
      <c r="AC703" t="s">
        <v>1864</v>
      </c>
      <c r="AD703" t="s">
        <v>4</v>
      </c>
      <c r="AE703" t="s">
        <v>919</v>
      </c>
      <c r="AF703">
        <v>10</v>
      </c>
      <c r="AG703">
        <v>0</v>
      </c>
      <c r="AH703">
        <v>634</v>
      </c>
      <c r="AI703" t="s">
        <v>0</v>
      </c>
      <c r="AJ703" t="s">
        <v>1933</v>
      </c>
      <c r="AK703" t="s">
        <v>1009</v>
      </c>
      <c r="AL703" t="s">
        <v>1855</v>
      </c>
      <c r="AM703" s="314">
        <v>0</v>
      </c>
      <c r="AN703" s="314">
        <v>0</v>
      </c>
      <c r="AO703" s="314">
        <v>0</v>
      </c>
      <c r="AP703" s="314">
        <v>0</v>
      </c>
      <c r="AQ703" s="314">
        <v>0</v>
      </c>
      <c r="AR703" s="314">
        <v>0</v>
      </c>
      <c r="AS703" s="314">
        <v>0</v>
      </c>
      <c r="AT703" s="314">
        <v>0</v>
      </c>
      <c r="AU703" s="314">
        <v>82476.864473684225</v>
      </c>
      <c r="AV703" s="314">
        <v>82765.400328947391</v>
      </c>
      <c r="AW703" s="314">
        <v>76306.636184210554</v>
      </c>
      <c r="AX703">
        <v>81852.894589144751</v>
      </c>
    </row>
    <row r="704" spans="1:50" x14ac:dyDescent="0.35">
      <c r="A704">
        <v>633</v>
      </c>
      <c r="B704" t="s">
        <v>0</v>
      </c>
      <c r="C704" t="s">
        <v>1933</v>
      </c>
      <c r="D704" t="s">
        <v>1009</v>
      </c>
      <c r="E704" t="s">
        <v>1856</v>
      </c>
      <c r="F704">
        <v>362.50007572249996</v>
      </c>
      <c r="G704">
        <v>363.64429244962497</v>
      </c>
      <c r="H704">
        <v>335.36922896249996</v>
      </c>
      <c r="I704">
        <v>359.85561429735748</v>
      </c>
      <c r="J704" s="600">
        <v>1407.9119563749998</v>
      </c>
      <c r="K704" s="7">
        <f t="shared" si="136"/>
        <v>18</v>
      </c>
      <c r="L704" s="7">
        <f t="shared" si="137"/>
        <v>0</v>
      </c>
      <c r="M704" s="243">
        <f t="shared" si="138"/>
        <v>127023.84934615387</v>
      </c>
      <c r="N704" s="243">
        <f>INDEX($AN$4:$AN21600,MATCH($A704,$AH$4:$AH$2000,0))</f>
        <v>127468.22772115387</v>
      </c>
      <c r="O704" s="243">
        <f t="shared" si="145"/>
        <v>117520.98871153848</v>
      </c>
      <c r="P704" s="243">
        <f t="shared" si="139"/>
        <v>126062.86401874041</v>
      </c>
      <c r="Q704" s="243">
        <f t="shared" si="140"/>
        <v>0</v>
      </c>
      <c r="R704" s="243">
        <f t="shared" si="141"/>
        <v>0</v>
      </c>
      <c r="S704" s="243">
        <f t="shared" si="146"/>
        <v>0</v>
      </c>
      <c r="T704" s="243">
        <f t="shared" si="142"/>
        <v>0</v>
      </c>
      <c r="AA704">
        <v>942</v>
      </c>
      <c r="AB704" t="s">
        <v>0</v>
      </c>
      <c r="AC704" t="s">
        <v>1864</v>
      </c>
      <c r="AD704" t="s">
        <v>4</v>
      </c>
      <c r="AE704" t="s">
        <v>920</v>
      </c>
      <c r="AF704">
        <v>10</v>
      </c>
      <c r="AG704">
        <v>0</v>
      </c>
      <c r="AH704">
        <v>633</v>
      </c>
      <c r="AI704" t="s">
        <v>0</v>
      </c>
      <c r="AJ704" t="s">
        <v>1933</v>
      </c>
      <c r="AK704" t="s">
        <v>1009</v>
      </c>
      <c r="AL704" t="s">
        <v>1856</v>
      </c>
      <c r="AM704" s="314">
        <v>127023.84934615387</v>
      </c>
      <c r="AN704" s="314">
        <v>127468.22772115387</v>
      </c>
      <c r="AO704" s="314">
        <v>117520.98871153848</v>
      </c>
      <c r="AP704" s="314">
        <v>126062.86401874041</v>
      </c>
      <c r="AQ704" s="314">
        <v>92.870256211985478</v>
      </c>
      <c r="AR704" s="314">
        <v>93.195152156752911</v>
      </c>
      <c r="AS704" s="314">
        <v>85.922481393112491</v>
      </c>
      <c r="AT704" s="314">
        <v>92.167656235427998</v>
      </c>
      <c r="AU704" s="314">
        <v>0</v>
      </c>
      <c r="AV704" s="314">
        <v>0</v>
      </c>
      <c r="AW704" s="314">
        <v>0</v>
      </c>
      <c r="AX704">
        <v>0</v>
      </c>
    </row>
    <row r="705" spans="1:50" x14ac:dyDescent="0.35">
      <c r="A705">
        <v>699</v>
      </c>
      <c r="B705" t="s">
        <v>0</v>
      </c>
      <c r="C705" t="s">
        <v>1933</v>
      </c>
      <c r="D705" t="s">
        <v>1009</v>
      </c>
      <c r="E705" t="s">
        <v>1833</v>
      </c>
      <c r="F705">
        <v>2.0191699999999999</v>
      </c>
      <c r="G705">
        <v>2.0184820000000001</v>
      </c>
      <c r="H705">
        <v>2.0190999999999999</v>
      </c>
      <c r="I705">
        <v>2.01972</v>
      </c>
      <c r="J705" s="600">
        <v>8</v>
      </c>
      <c r="K705" s="7">
        <f t="shared" si="136"/>
        <v>10</v>
      </c>
      <c r="L705" s="7">
        <f t="shared" si="137"/>
        <v>0</v>
      </c>
      <c r="M705" s="243">
        <f t="shared" si="138"/>
        <v>1978.9877894736842</v>
      </c>
      <c r="N705" s="243">
        <f>INDEX($AN$4:$AN21601,MATCH($A705,$AH$4:$AH$2000,0))</f>
        <v>1978.9877894736842</v>
      </c>
      <c r="O705" s="243">
        <f t="shared" si="145"/>
        <v>1978.9877894736842</v>
      </c>
      <c r="P705" s="243">
        <f t="shared" si="139"/>
        <v>1978.9877894736842</v>
      </c>
      <c r="Q705" s="243">
        <f t="shared" si="140"/>
        <v>0</v>
      </c>
      <c r="R705" s="243">
        <f t="shared" si="141"/>
        <v>0</v>
      </c>
      <c r="S705" s="243">
        <f t="shared" si="146"/>
        <v>0</v>
      </c>
      <c r="T705" s="243">
        <f t="shared" si="142"/>
        <v>0</v>
      </c>
      <c r="AA705">
        <v>943</v>
      </c>
      <c r="AB705" t="s">
        <v>0</v>
      </c>
      <c r="AC705" t="s">
        <v>1864</v>
      </c>
      <c r="AD705" t="s">
        <v>4</v>
      </c>
      <c r="AE705" t="s">
        <v>921</v>
      </c>
      <c r="AF705">
        <v>10</v>
      </c>
      <c r="AG705">
        <v>0</v>
      </c>
      <c r="AH705">
        <v>699</v>
      </c>
      <c r="AI705" t="s">
        <v>0</v>
      </c>
      <c r="AJ705" t="s">
        <v>1933</v>
      </c>
      <c r="AK705" t="s">
        <v>1009</v>
      </c>
      <c r="AL705" t="s">
        <v>1833</v>
      </c>
      <c r="AM705" s="314">
        <v>1978.9877894736842</v>
      </c>
      <c r="AN705" s="314">
        <v>1978.9877894736842</v>
      </c>
      <c r="AO705" s="314">
        <v>1978.9877894736842</v>
      </c>
      <c r="AP705" s="314">
        <v>1978.9877894736842</v>
      </c>
      <c r="AQ705" s="314">
        <v>0.21378245614035085</v>
      </c>
      <c r="AR705" s="314">
        <v>0.21378245614035085</v>
      </c>
      <c r="AS705" s="314">
        <v>0.21378245614035085</v>
      </c>
      <c r="AT705" s="314">
        <v>0.21378245614035085</v>
      </c>
      <c r="AU705" s="314">
        <v>0</v>
      </c>
      <c r="AV705" s="314">
        <v>0</v>
      </c>
      <c r="AW705" s="314">
        <v>0</v>
      </c>
      <c r="AX705">
        <v>0</v>
      </c>
    </row>
    <row r="706" spans="1:50" x14ac:dyDescent="0.35">
      <c r="A706">
        <v>700</v>
      </c>
      <c r="B706" t="s">
        <v>0</v>
      </c>
      <c r="C706" t="s">
        <v>1933</v>
      </c>
      <c r="D706" t="s">
        <v>1009</v>
      </c>
      <c r="E706" t="s">
        <v>1834</v>
      </c>
      <c r="F706">
        <v>4.0383399999999998</v>
      </c>
      <c r="G706">
        <v>4.0369640000000002</v>
      </c>
      <c r="H706">
        <v>3.0286499999999998</v>
      </c>
      <c r="I706">
        <v>4.0394399999999999</v>
      </c>
      <c r="J706" s="600">
        <v>15</v>
      </c>
      <c r="K706" s="7">
        <f t="shared" si="136"/>
        <v>10</v>
      </c>
      <c r="L706" s="7">
        <f t="shared" si="137"/>
        <v>0</v>
      </c>
      <c r="M706" s="243">
        <f t="shared" si="138"/>
        <v>5265.5439999999999</v>
      </c>
      <c r="N706" s="243">
        <f>INDEX($AN$4:$AN21602,MATCH($A706,$AH$4:$AH$2000,0))</f>
        <v>5265.5439999999999</v>
      </c>
      <c r="O706" s="243">
        <f t="shared" si="145"/>
        <v>3949.1579999999999</v>
      </c>
      <c r="P706" s="243">
        <f t="shared" si="139"/>
        <v>5265.5439999999999</v>
      </c>
      <c r="Q706" s="243">
        <f t="shared" si="140"/>
        <v>0</v>
      </c>
      <c r="R706" s="243">
        <f t="shared" si="141"/>
        <v>0</v>
      </c>
      <c r="S706" s="243">
        <f t="shared" si="146"/>
        <v>0</v>
      </c>
      <c r="T706" s="243">
        <f t="shared" si="142"/>
        <v>0</v>
      </c>
      <c r="AA706">
        <v>969</v>
      </c>
      <c r="AB706" t="s">
        <v>0</v>
      </c>
      <c r="AC706" t="s">
        <v>1864</v>
      </c>
      <c r="AD706" t="s">
        <v>4</v>
      </c>
      <c r="AE706" t="s">
        <v>922</v>
      </c>
      <c r="AF706">
        <v>10</v>
      </c>
      <c r="AG706">
        <v>0</v>
      </c>
      <c r="AH706">
        <v>700</v>
      </c>
      <c r="AI706" t="s">
        <v>0</v>
      </c>
      <c r="AJ706" t="s">
        <v>1933</v>
      </c>
      <c r="AK706" t="s">
        <v>1009</v>
      </c>
      <c r="AL706" t="s">
        <v>1834</v>
      </c>
      <c r="AM706" s="314">
        <v>5265.5439999999999</v>
      </c>
      <c r="AN706" s="314">
        <v>5265.5439999999999</v>
      </c>
      <c r="AO706" s="314">
        <v>3949.1579999999999</v>
      </c>
      <c r="AP706" s="314">
        <v>5265.5439999999999</v>
      </c>
      <c r="AQ706" s="314">
        <v>0</v>
      </c>
      <c r="AR706" s="314">
        <v>0</v>
      </c>
      <c r="AS706" s="314">
        <v>0</v>
      </c>
      <c r="AT706" s="314">
        <v>0</v>
      </c>
      <c r="AU706" s="314">
        <v>0</v>
      </c>
      <c r="AV706" s="314">
        <v>0</v>
      </c>
      <c r="AW706" s="314">
        <v>0</v>
      </c>
      <c r="AX706">
        <v>0</v>
      </c>
    </row>
    <row r="707" spans="1:50" x14ac:dyDescent="0.35">
      <c r="A707">
        <v>701</v>
      </c>
      <c r="B707" t="s">
        <v>0</v>
      </c>
      <c r="C707" t="s">
        <v>1933</v>
      </c>
      <c r="D707" t="s">
        <v>1009</v>
      </c>
      <c r="E707" t="s">
        <v>1835</v>
      </c>
      <c r="F707">
        <v>14.13419</v>
      </c>
      <c r="G707">
        <v>14.129374</v>
      </c>
      <c r="H707">
        <v>13.12415</v>
      </c>
      <c r="I707">
        <v>14.13804</v>
      </c>
      <c r="J707" s="600">
        <v>55</v>
      </c>
      <c r="K707" s="7">
        <f t="shared" si="136"/>
        <v>10</v>
      </c>
      <c r="L707" s="7">
        <f t="shared" si="137"/>
        <v>0</v>
      </c>
      <c r="M707" s="243">
        <f t="shared" si="138"/>
        <v>21623.748186046509</v>
      </c>
      <c r="N707" s="243">
        <f>INDEX($AN$4:$AN21603,MATCH($A707,$AH$4:$AH$2000,0))</f>
        <v>21623.748186046509</v>
      </c>
      <c r="O707" s="243">
        <f t="shared" si="145"/>
        <v>20079.194744186047</v>
      </c>
      <c r="P707" s="243">
        <f t="shared" si="139"/>
        <v>21623.748186046509</v>
      </c>
      <c r="Q707" s="243">
        <f t="shared" si="140"/>
        <v>0</v>
      </c>
      <c r="R707" s="243">
        <f t="shared" si="141"/>
        <v>0</v>
      </c>
      <c r="S707" s="243">
        <f t="shared" si="146"/>
        <v>0</v>
      </c>
      <c r="T707" s="243">
        <f t="shared" si="142"/>
        <v>0</v>
      </c>
      <c r="AA707">
        <v>970</v>
      </c>
      <c r="AB707" t="s">
        <v>0</v>
      </c>
      <c r="AC707" t="s">
        <v>1864</v>
      </c>
      <c r="AD707" t="s">
        <v>4</v>
      </c>
      <c r="AE707" t="s">
        <v>923</v>
      </c>
      <c r="AF707">
        <v>10</v>
      </c>
      <c r="AG707">
        <v>0</v>
      </c>
      <c r="AH707">
        <v>701</v>
      </c>
      <c r="AI707" t="s">
        <v>0</v>
      </c>
      <c r="AJ707" t="s">
        <v>1933</v>
      </c>
      <c r="AK707" t="s">
        <v>1009</v>
      </c>
      <c r="AL707" t="s">
        <v>1835</v>
      </c>
      <c r="AM707" s="314">
        <v>21623.748186046509</v>
      </c>
      <c r="AN707" s="314">
        <v>21623.748186046509</v>
      </c>
      <c r="AO707" s="314">
        <v>20079.194744186047</v>
      </c>
      <c r="AP707" s="314">
        <v>21623.748186046509</v>
      </c>
      <c r="AQ707" s="314">
        <v>1.5699239263803679</v>
      </c>
      <c r="AR707" s="314">
        <v>1.5699239263803679</v>
      </c>
      <c r="AS707" s="314">
        <v>1.4577865030674846</v>
      </c>
      <c r="AT707" s="314">
        <v>1.5699239263803679</v>
      </c>
      <c r="AU707" s="314">
        <v>0</v>
      </c>
      <c r="AV707" s="314">
        <v>0</v>
      </c>
      <c r="AW707" s="314">
        <v>0</v>
      </c>
      <c r="AX707">
        <v>0</v>
      </c>
    </row>
    <row r="708" spans="1:50" x14ac:dyDescent="0.35">
      <c r="A708">
        <v>702</v>
      </c>
      <c r="B708" t="s">
        <v>0</v>
      </c>
      <c r="C708" t="s">
        <v>1933</v>
      </c>
      <c r="D708" t="s">
        <v>1009</v>
      </c>
      <c r="E708" t="s">
        <v>1836</v>
      </c>
      <c r="F708">
        <v>45</v>
      </c>
      <c r="G708">
        <v>45</v>
      </c>
      <c r="H708">
        <v>42</v>
      </c>
      <c r="I708">
        <v>45</v>
      </c>
      <c r="J708" s="600">
        <v>177</v>
      </c>
      <c r="K708" s="7">
        <f t="shared" si="136"/>
        <v>10</v>
      </c>
      <c r="L708" s="7">
        <f t="shared" si="137"/>
        <v>0</v>
      </c>
      <c r="M708" s="243">
        <f t="shared" si="138"/>
        <v>12905.351826320932</v>
      </c>
      <c r="N708" s="243">
        <f>INDEX($AN$4:$AN21604,MATCH($A708,$AH$4:$AH$2000,0))</f>
        <v>12905.351826320932</v>
      </c>
      <c r="O708" s="243">
        <f t="shared" si="145"/>
        <v>12044.995037899536</v>
      </c>
      <c r="P708" s="243">
        <f t="shared" si="139"/>
        <v>12905.351826320932</v>
      </c>
      <c r="Q708" s="243">
        <f t="shared" si="140"/>
        <v>2867.13</v>
      </c>
      <c r="R708" s="243">
        <f t="shared" si="141"/>
        <v>2867.13</v>
      </c>
      <c r="S708" s="243">
        <f t="shared" si="146"/>
        <v>2675.9879999999998</v>
      </c>
      <c r="T708" s="243">
        <f t="shared" si="142"/>
        <v>2867.13</v>
      </c>
      <c r="AA708">
        <v>971</v>
      </c>
      <c r="AB708" t="s">
        <v>0</v>
      </c>
      <c r="AC708" t="s">
        <v>1864</v>
      </c>
      <c r="AD708" t="s">
        <v>4</v>
      </c>
      <c r="AE708" t="s">
        <v>924</v>
      </c>
      <c r="AF708">
        <v>10</v>
      </c>
      <c r="AG708">
        <v>0</v>
      </c>
      <c r="AH708">
        <v>702</v>
      </c>
      <c r="AI708" t="s">
        <v>0</v>
      </c>
      <c r="AJ708" t="s">
        <v>1933</v>
      </c>
      <c r="AK708" t="s">
        <v>1009</v>
      </c>
      <c r="AL708" t="s">
        <v>1836</v>
      </c>
      <c r="AM708" s="314">
        <v>12905.351826320932</v>
      </c>
      <c r="AN708" s="314">
        <v>12905.351826320932</v>
      </c>
      <c r="AO708" s="314">
        <v>12044.995037899536</v>
      </c>
      <c r="AP708" s="314">
        <v>12905.351826320932</v>
      </c>
      <c r="AQ708" s="314">
        <v>5.0461840490797538</v>
      </c>
      <c r="AR708" s="314">
        <v>5.0461840490797538</v>
      </c>
      <c r="AS708" s="314">
        <v>4.7097717791411036</v>
      </c>
      <c r="AT708" s="314">
        <v>5.0461840490797538</v>
      </c>
      <c r="AU708" s="314">
        <v>2867.13</v>
      </c>
      <c r="AV708" s="314">
        <v>2867.13</v>
      </c>
      <c r="AW708" s="314">
        <v>2675.9879999999998</v>
      </c>
      <c r="AX708">
        <v>2867.13</v>
      </c>
    </row>
    <row r="709" spans="1:50" x14ac:dyDescent="0.35">
      <c r="A709">
        <v>703</v>
      </c>
      <c r="B709" t="s">
        <v>0</v>
      </c>
      <c r="C709" t="s">
        <v>1933</v>
      </c>
      <c r="D709" t="s">
        <v>1009</v>
      </c>
      <c r="E709" t="s">
        <v>1837</v>
      </c>
      <c r="F709">
        <v>45</v>
      </c>
      <c r="G709">
        <v>45</v>
      </c>
      <c r="H709">
        <v>42</v>
      </c>
      <c r="I709">
        <v>45</v>
      </c>
      <c r="J709" s="600">
        <v>177</v>
      </c>
      <c r="K709" s="7">
        <f t="shared" ref="K709:K738" si="147">INDEX($AF$4:$AF$2000,MATCH(A709,$AA$4:$AA$2000,0))</f>
        <v>10</v>
      </c>
      <c r="L709" s="7">
        <f t="shared" ref="L709:L738" si="148">INDEX($AG$4:$AG$2000,MATCH(A709,$AA$4:$AA$2000,0))</f>
        <v>0</v>
      </c>
      <c r="M709" s="243">
        <f t="shared" ref="M709:M772" si="149">INDEX($AM$4:$AM$2000,MATCH($A709,$AH$4:$AH$2000,0))</f>
        <v>12905.351826320932</v>
      </c>
      <c r="N709" s="243">
        <f>INDEX($AN$4:$AN21605,MATCH($A709,$AH$4:$AH$2000,0))</f>
        <v>12905.351826320932</v>
      </c>
      <c r="O709" s="243">
        <f t="shared" ref="O709:O772" si="150">INDEX($AO$4:$AO$2000,MATCH($A709,$AH$4:$AH$2000,0))</f>
        <v>12044.995037899536</v>
      </c>
      <c r="P709" s="243">
        <f t="shared" ref="P709:P772" si="151">INDEX($AP$4:$AP$2000,MATCH($A709,$AH$4:$AH$2000,0))</f>
        <v>12905.351826320932</v>
      </c>
      <c r="Q709" s="243">
        <f t="shared" ref="Q709:Q772" si="152">INDEX($AU$4:$AU$2000,MATCH($A709,$AH$4:$AH$2000,0))</f>
        <v>2867.13</v>
      </c>
      <c r="R709" s="243">
        <f t="shared" ref="R709:R772" si="153">INDEX($AV$4:$AV$2000,MATCH($A709,$AH$4:$AH$2000,0))</f>
        <v>2867.13</v>
      </c>
      <c r="S709" s="243">
        <f t="shared" ref="S709:S772" si="154">INDEX($AW$4:$AW$2000,MATCH($A709,$AH$4:$AH$2000,0))</f>
        <v>2675.9879999999998</v>
      </c>
      <c r="T709" s="243">
        <f t="shared" ref="T709:T772" si="155">INDEX($AX$4:$AX$2000,MATCH($A709,$AH$4:$AH$2000,0))</f>
        <v>2867.13</v>
      </c>
      <c r="AA709">
        <v>997</v>
      </c>
      <c r="AB709" t="s">
        <v>0</v>
      </c>
      <c r="AC709" t="s">
        <v>1864</v>
      </c>
      <c r="AD709" t="s">
        <v>4</v>
      </c>
      <c r="AE709" t="s">
        <v>925</v>
      </c>
      <c r="AF709">
        <v>10</v>
      </c>
      <c r="AG709">
        <v>0</v>
      </c>
      <c r="AH709">
        <v>703</v>
      </c>
      <c r="AI709" t="s">
        <v>0</v>
      </c>
      <c r="AJ709" t="s">
        <v>1933</v>
      </c>
      <c r="AK709" t="s">
        <v>1009</v>
      </c>
      <c r="AL709" t="s">
        <v>1837</v>
      </c>
      <c r="AM709" s="314">
        <v>12905.351826320932</v>
      </c>
      <c r="AN709" s="314">
        <v>12905.351826320932</v>
      </c>
      <c r="AO709" s="314">
        <v>12044.995037899536</v>
      </c>
      <c r="AP709" s="314">
        <v>12905.351826320932</v>
      </c>
      <c r="AQ709" s="314">
        <v>5.0461840490797538</v>
      </c>
      <c r="AR709" s="314">
        <v>5.0461840490797538</v>
      </c>
      <c r="AS709" s="314">
        <v>4.7097717791411036</v>
      </c>
      <c r="AT709" s="314">
        <v>5.0461840490797538</v>
      </c>
      <c r="AU709" s="314">
        <v>2867.13</v>
      </c>
      <c r="AV709" s="314">
        <v>2867.13</v>
      </c>
      <c r="AW709" s="314">
        <v>2675.9879999999998</v>
      </c>
      <c r="AX709">
        <v>2867.13</v>
      </c>
    </row>
    <row r="710" spans="1:50" x14ac:dyDescent="0.35">
      <c r="A710">
        <v>664</v>
      </c>
      <c r="B710" t="s">
        <v>0</v>
      </c>
      <c r="C710" t="s">
        <v>1933</v>
      </c>
      <c r="D710" t="s">
        <v>1009</v>
      </c>
      <c r="E710" t="s">
        <v>1838</v>
      </c>
      <c r="F710">
        <v>8.0766799999999996</v>
      </c>
      <c r="G710">
        <v>8.0739280000000004</v>
      </c>
      <c r="H710">
        <v>7.0668499999999996</v>
      </c>
      <c r="I710">
        <v>8.0788799999999998</v>
      </c>
      <c r="J710" s="600">
        <v>31</v>
      </c>
      <c r="K710" s="7">
        <f t="shared" si="147"/>
        <v>20</v>
      </c>
      <c r="L710" s="7">
        <f t="shared" si="148"/>
        <v>0</v>
      </c>
      <c r="M710" s="243">
        <f t="shared" si="149"/>
        <v>8622.9613558641831</v>
      </c>
      <c r="N710" s="243">
        <f>INDEX($AN$4:$AN21606,MATCH($A710,$AH$4:$AH$2000,0))</f>
        <v>8622.9613558641831</v>
      </c>
      <c r="O710" s="243">
        <f t="shared" si="150"/>
        <v>7545.0911863811598</v>
      </c>
      <c r="P710" s="243">
        <f t="shared" si="151"/>
        <v>8622.9613558641831</v>
      </c>
      <c r="Q710" s="243">
        <f t="shared" si="152"/>
        <v>0</v>
      </c>
      <c r="R710" s="243">
        <f t="shared" si="153"/>
        <v>0</v>
      </c>
      <c r="S710" s="243">
        <f t="shared" si="154"/>
        <v>0</v>
      </c>
      <c r="T710" s="243">
        <f t="shared" si="155"/>
        <v>0</v>
      </c>
      <c r="AA710">
        <v>998</v>
      </c>
      <c r="AB710" t="s">
        <v>0</v>
      </c>
      <c r="AC710" t="s">
        <v>1864</v>
      </c>
      <c r="AD710" t="s">
        <v>4</v>
      </c>
      <c r="AE710" t="s">
        <v>926</v>
      </c>
      <c r="AF710">
        <v>10</v>
      </c>
      <c r="AG710">
        <v>0</v>
      </c>
      <c r="AH710">
        <v>664</v>
      </c>
      <c r="AI710" t="s">
        <v>0</v>
      </c>
      <c r="AJ710" t="s">
        <v>1933</v>
      </c>
      <c r="AK710" t="s">
        <v>1009</v>
      </c>
      <c r="AL710" t="s">
        <v>1838</v>
      </c>
      <c r="AM710" s="314">
        <v>8622.9613558641831</v>
      </c>
      <c r="AN710" s="314">
        <v>8622.9613558641831</v>
      </c>
      <c r="AO710" s="314">
        <v>7545.0911863811598</v>
      </c>
      <c r="AP710" s="314">
        <v>8622.9613558641831</v>
      </c>
      <c r="AQ710" s="314">
        <v>0</v>
      </c>
      <c r="AR710" s="314">
        <v>0</v>
      </c>
      <c r="AS710" s="314">
        <v>0</v>
      </c>
      <c r="AT710" s="314">
        <v>0</v>
      </c>
      <c r="AU710" s="314">
        <v>0</v>
      </c>
      <c r="AV710" s="314">
        <v>0</v>
      </c>
      <c r="AW710" s="314">
        <v>0</v>
      </c>
      <c r="AX710">
        <v>0</v>
      </c>
    </row>
    <row r="711" spans="1:50" x14ac:dyDescent="0.35">
      <c r="A711">
        <v>666</v>
      </c>
      <c r="B711" t="s">
        <v>0</v>
      </c>
      <c r="C711" t="s">
        <v>1933</v>
      </c>
      <c r="D711" t="s">
        <v>1009</v>
      </c>
      <c r="E711" t="s">
        <v>1769</v>
      </c>
      <c r="F711">
        <v>20.191699999999997</v>
      </c>
      <c r="G711">
        <v>20.184820000000002</v>
      </c>
      <c r="H711">
        <v>19.181449999999998</v>
      </c>
      <c r="I711">
        <v>20.197199999999999</v>
      </c>
      <c r="J711" s="600">
        <v>79</v>
      </c>
      <c r="K711" s="7">
        <f t="shared" si="147"/>
        <v>20</v>
      </c>
      <c r="L711" s="7">
        <f t="shared" si="148"/>
        <v>0</v>
      </c>
      <c r="M711" s="243">
        <f t="shared" si="149"/>
        <v>25344.45938966046</v>
      </c>
      <c r="N711" s="243">
        <f>INDEX($AN$4:$AN21607,MATCH($A711,$AH$4:$AH$2000,0))</f>
        <v>25344.45938966046</v>
      </c>
      <c r="O711" s="243">
        <f t="shared" si="150"/>
        <v>24077.236420177436</v>
      </c>
      <c r="P711" s="243">
        <f t="shared" si="151"/>
        <v>25344.45938966046</v>
      </c>
      <c r="Q711" s="243">
        <f t="shared" si="152"/>
        <v>0</v>
      </c>
      <c r="R711" s="243">
        <f t="shared" si="153"/>
        <v>0</v>
      </c>
      <c r="S711" s="243">
        <f t="shared" si="154"/>
        <v>0</v>
      </c>
      <c r="T711" s="243">
        <f t="shared" si="155"/>
        <v>0</v>
      </c>
      <c r="AA711">
        <v>999</v>
      </c>
      <c r="AB711" t="s">
        <v>0</v>
      </c>
      <c r="AC711" t="s">
        <v>1864</v>
      </c>
      <c r="AD711" t="s">
        <v>4</v>
      </c>
      <c r="AE711" t="s">
        <v>927</v>
      </c>
      <c r="AF711">
        <v>11</v>
      </c>
      <c r="AG711">
        <v>1</v>
      </c>
      <c r="AH711">
        <v>666</v>
      </c>
      <c r="AI711" t="s">
        <v>0</v>
      </c>
      <c r="AJ711" t="s">
        <v>1933</v>
      </c>
      <c r="AK711" t="s">
        <v>1009</v>
      </c>
      <c r="AL711" t="s">
        <v>1769</v>
      </c>
      <c r="AM711" s="314">
        <v>25344.45938966046</v>
      </c>
      <c r="AN711" s="314">
        <v>25344.45938966046</v>
      </c>
      <c r="AO711" s="314">
        <v>24077.236420177436</v>
      </c>
      <c r="AP711" s="314">
        <v>25344.45938966046</v>
      </c>
      <c r="AQ711" s="314">
        <v>3.8841600000000005</v>
      </c>
      <c r="AR711" s="314">
        <v>3.8841600000000005</v>
      </c>
      <c r="AS711" s="314">
        <v>3.6899520000000003</v>
      </c>
      <c r="AT711" s="314">
        <v>3.8841600000000005</v>
      </c>
      <c r="AU711" s="314">
        <v>0</v>
      </c>
      <c r="AV711" s="314">
        <v>0</v>
      </c>
      <c r="AW711" s="314">
        <v>0</v>
      </c>
      <c r="AX711">
        <v>0</v>
      </c>
    </row>
    <row r="712" spans="1:50" x14ac:dyDescent="0.35">
      <c r="A712">
        <v>668</v>
      </c>
      <c r="B712" t="s">
        <v>0</v>
      </c>
      <c r="C712" t="s">
        <v>1933</v>
      </c>
      <c r="D712" t="s">
        <v>1009</v>
      </c>
      <c r="E712" t="s">
        <v>1839</v>
      </c>
      <c r="F712">
        <v>81</v>
      </c>
      <c r="G712">
        <v>81</v>
      </c>
      <c r="H712">
        <v>75</v>
      </c>
      <c r="I712">
        <v>80</v>
      </c>
      <c r="J712" s="600">
        <v>317</v>
      </c>
      <c r="K712" s="7">
        <f t="shared" si="147"/>
        <v>20</v>
      </c>
      <c r="L712" s="7">
        <f t="shared" si="148"/>
        <v>0</v>
      </c>
      <c r="M712" s="243">
        <f t="shared" si="149"/>
        <v>13671.368627659853</v>
      </c>
      <c r="N712" s="243">
        <f>INDEX($AN$4:$AN21608,MATCH($A712,$AH$4:$AH$2000,0))</f>
        <v>13671.368627659853</v>
      </c>
      <c r="O712" s="243">
        <f t="shared" si="150"/>
        <v>12658.674655240604</v>
      </c>
      <c r="P712" s="243">
        <f t="shared" si="151"/>
        <v>13502.58629892331</v>
      </c>
      <c r="Q712" s="243">
        <f t="shared" si="152"/>
        <v>14859.860250494396</v>
      </c>
      <c r="R712" s="243">
        <f t="shared" si="153"/>
        <v>14859.860250494396</v>
      </c>
      <c r="S712" s="243">
        <f t="shared" si="154"/>
        <v>13759.129861568885</v>
      </c>
      <c r="T712" s="243">
        <f t="shared" si="155"/>
        <v>14676.405185673477</v>
      </c>
      <c r="AA712">
        <v>1025</v>
      </c>
      <c r="AB712" t="s">
        <v>0</v>
      </c>
      <c r="AC712" t="s">
        <v>1864</v>
      </c>
      <c r="AD712" t="s">
        <v>4</v>
      </c>
      <c r="AE712" t="s">
        <v>928</v>
      </c>
      <c r="AF712">
        <v>10</v>
      </c>
      <c r="AG712">
        <v>0</v>
      </c>
      <c r="AH712">
        <v>668</v>
      </c>
      <c r="AI712" t="s">
        <v>0</v>
      </c>
      <c r="AJ712" t="s">
        <v>1933</v>
      </c>
      <c r="AK712" t="s">
        <v>1009</v>
      </c>
      <c r="AL712" t="s">
        <v>1839</v>
      </c>
      <c r="AM712" s="314">
        <v>13671.368627659853</v>
      </c>
      <c r="AN712" s="314">
        <v>13671.368627659853</v>
      </c>
      <c r="AO712" s="314">
        <v>12658.674655240604</v>
      </c>
      <c r="AP712" s="314">
        <v>13502.58629892331</v>
      </c>
      <c r="AQ712" s="314">
        <v>0</v>
      </c>
      <c r="AR712" s="314">
        <v>0</v>
      </c>
      <c r="AS712" s="314">
        <v>0</v>
      </c>
      <c r="AT712" s="314">
        <v>0</v>
      </c>
      <c r="AU712" s="314">
        <v>14859.860250494396</v>
      </c>
      <c r="AV712" s="314">
        <v>14859.860250494396</v>
      </c>
      <c r="AW712" s="314">
        <v>13759.129861568885</v>
      </c>
      <c r="AX712">
        <v>14676.405185673477</v>
      </c>
    </row>
    <row r="713" spans="1:50" x14ac:dyDescent="0.35">
      <c r="A713">
        <v>670</v>
      </c>
      <c r="B713" t="s">
        <v>0</v>
      </c>
      <c r="C713" t="s">
        <v>1933</v>
      </c>
      <c r="D713" t="s">
        <v>1009</v>
      </c>
      <c r="E713" t="s">
        <v>1770</v>
      </c>
      <c r="F713">
        <v>81</v>
      </c>
      <c r="G713">
        <v>81</v>
      </c>
      <c r="H713">
        <v>75</v>
      </c>
      <c r="I713">
        <v>80</v>
      </c>
      <c r="J713" s="600">
        <v>317</v>
      </c>
      <c r="K713" s="7">
        <f t="shared" si="147"/>
        <v>20</v>
      </c>
      <c r="L713" s="7">
        <f t="shared" si="148"/>
        <v>0</v>
      </c>
      <c r="M713" s="243">
        <f t="shared" si="149"/>
        <v>29008.945427659852</v>
      </c>
      <c r="N713" s="243">
        <f>INDEX($AN$4:$AN21609,MATCH($A713,$AH$4:$AH$2000,0))</f>
        <v>29008.945427659852</v>
      </c>
      <c r="O713" s="243">
        <f t="shared" si="150"/>
        <v>26860.134655240603</v>
      </c>
      <c r="P713" s="243">
        <f t="shared" si="151"/>
        <v>28650.810298923312</v>
      </c>
      <c r="Q713" s="243">
        <f t="shared" si="152"/>
        <v>14859.860250494396</v>
      </c>
      <c r="R713" s="243">
        <f t="shared" si="153"/>
        <v>14859.860250494396</v>
      </c>
      <c r="S713" s="243">
        <f t="shared" si="154"/>
        <v>13759.129861568885</v>
      </c>
      <c r="T713" s="243">
        <f t="shared" si="155"/>
        <v>14676.405185673477</v>
      </c>
      <c r="AA713">
        <v>1026</v>
      </c>
      <c r="AB713" t="s">
        <v>0</v>
      </c>
      <c r="AC713" t="s">
        <v>1864</v>
      </c>
      <c r="AD713" t="s">
        <v>4</v>
      </c>
      <c r="AE713" t="s">
        <v>929</v>
      </c>
      <c r="AF713">
        <v>11</v>
      </c>
      <c r="AG713">
        <v>1</v>
      </c>
      <c r="AH713">
        <v>670</v>
      </c>
      <c r="AI713" t="s">
        <v>0</v>
      </c>
      <c r="AJ713" t="s">
        <v>1933</v>
      </c>
      <c r="AK713" t="s">
        <v>1009</v>
      </c>
      <c r="AL713" t="s">
        <v>1770</v>
      </c>
      <c r="AM713" s="314">
        <v>29008.945427659852</v>
      </c>
      <c r="AN713" s="314">
        <v>29008.945427659852</v>
      </c>
      <c r="AO713" s="314">
        <v>26860.134655240603</v>
      </c>
      <c r="AP713" s="314">
        <v>28650.810298923312</v>
      </c>
      <c r="AQ713" s="314">
        <v>15.730848000000002</v>
      </c>
      <c r="AR713" s="314">
        <v>15.730848000000002</v>
      </c>
      <c r="AS713" s="314">
        <v>14.565600000000002</v>
      </c>
      <c r="AT713" s="314">
        <v>15.536640000000002</v>
      </c>
      <c r="AU713" s="314">
        <v>14859.860250494396</v>
      </c>
      <c r="AV713" s="314">
        <v>14859.860250494396</v>
      </c>
      <c r="AW713" s="314">
        <v>13759.129861568885</v>
      </c>
      <c r="AX713">
        <v>14676.405185673477</v>
      </c>
    </row>
    <row r="714" spans="1:50" x14ac:dyDescent="0.35">
      <c r="A714">
        <v>638</v>
      </c>
      <c r="B714" t="s">
        <v>0</v>
      </c>
      <c r="C714" t="s">
        <v>1933</v>
      </c>
      <c r="D714" t="s">
        <v>1009</v>
      </c>
      <c r="E714" t="s">
        <v>1840</v>
      </c>
      <c r="F714">
        <v>718</v>
      </c>
      <c r="G714">
        <v>720</v>
      </c>
      <c r="H714">
        <v>664</v>
      </c>
      <c r="I714">
        <v>712</v>
      </c>
      <c r="J714" s="600">
        <v>2814</v>
      </c>
      <c r="K714" s="7">
        <f t="shared" si="147"/>
        <v>15</v>
      </c>
      <c r="L714" s="7">
        <f t="shared" si="148"/>
        <v>0</v>
      </c>
      <c r="M714" s="243">
        <f t="shared" si="149"/>
        <v>316638.00000000006</v>
      </c>
      <c r="N714" s="243">
        <f>INDEX($AN$4:$AN21610,MATCH($A714,$AH$4:$AH$2000,0))</f>
        <v>317520.00000000006</v>
      </c>
      <c r="O714" s="243">
        <f t="shared" si="150"/>
        <v>292824.00000000006</v>
      </c>
      <c r="P714" s="243">
        <f t="shared" si="151"/>
        <v>313992.00000000006</v>
      </c>
      <c r="Q714" s="243">
        <f t="shared" si="152"/>
        <v>82917.077860465128</v>
      </c>
      <c r="R714" s="243">
        <f t="shared" si="153"/>
        <v>83148.044651162811</v>
      </c>
      <c r="S714" s="243">
        <f t="shared" si="154"/>
        <v>76680.974511627923</v>
      </c>
      <c r="T714" s="243">
        <f t="shared" si="155"/>
        <v>82224.177488372108</v>
      </c>
      <c r="AA714">
        <v>1027</v>
      </c>
      <c r="AB714" t="s">
        <v>0</v>
      </c>
      <c r="AC714" t="s">
        <v>1864</v>
      </c>
      <c r="AD714" t="s">
        <v>4</v>
      </c>
      <c r="AE714" t="s">
        <v>930</v>
      </c>
      <c r="AF714">
        <v>12</v>
      </c>
      <c r="AG714">
        <v>2</v>
      </c>
      <c r="AH714">
        <v>638</v>
      </c>
      <c r="AI714" t="s">
        <v>0</v>
      </c>
      <c r="AJ714" t="s">
        <v>1933</v>
      </c>
      <c r="AK714" t="s">
        <v>1009</v>
      </c>
      <c r="AL714" t="s">
        <v>1840</v>
      </c>
      <c r="AM714" s="314">
        <v>316638.00000000006</v>
      </c>
      <c r="AN714" s="314">
        <v>317520.00000000006</v>
      </c>
      <c r="AO714" s="314">
        <v>292824.00000000006</v>
      </c>
      <c r="AP714" s="314">
        <v>313992.00000000006</v>
      </c>
      <c r="AQ714" s="314">
        <v>245.87141609911305</v>
      </c>
      <c r="AR714" s="314">
        <v>246.55629469548941</v>
      </c>
      <c r="AS714" s="314">
        <v>227.37969399695135</v>
      </c>
      <c r="AT714" s="314">
        <v>243.81678030998398</v>
      </c>
      <c r="AU714" s="314">
        <v>82917.077860465128</v>
      </c>
      <c r="AV714" s="314">
        <v>83148.044651162811</v>
      </c>
      <c r="AW714" s="314">
        <v>76680.974511627923</v>
      </c>
      <c r="AX714">
        <v>82224.177488372108</v>
      </c>
    </row>
    <row r="715" spans="1:50" x14ac:dyDescent="0.35">
      <c r="A715">
        <v>647</v>
      </c>
      <c r="B715" t="s">
        <v>0</v>
      </c>
      <c r="C715" t="s">
        <v>1933</v>
      </c>
      <c r="D715" t="s">
        <v>1009</v>
      </c>
      <c r="E715" t="s">
        <v>1841</v>
      </c>
      <c r="F715">
        <v>144</v>
      </c>
      <c r="G715">
        <v>144</v>
      </c>
      <c r="H715">
        <v>133</v>
      </c>
      <c r="I715">
        <v>142</v>
      </c>
      <c r="J715" s="600">
        <v>563</v>
      </c>
      <c r="K715" s="7">
        <f t="shared" si="147"/>
        <v>25</v>
      </c>
      <c r="L715" s="7">
        <f t="shared" si="148"/>
        <v>0</v>
      </c>
      <c r="M715" s="243">
        <f t="shared" si="149"/>
        <v>29056.90453883716</v>
      </c>
      <c r="N715" s="243">
        <f>INDEX($AN$4:$AN21611,MATCH($A715,$AH$4:$AH$2000,0))</f>
        <v>29056.90453883716</v>
      </c>
      <c r="O715" s="243">
        <f t="shared" si="150"/>
        <v>26837.279886564877</v>
      </c>
      <c r="P715" s="243">
        <f t="shared" si="151"/>
        <v>28653.336420242198</v>
      </c>
      <c r="Q715" s="243">
        <f t="shared" si="152"/>
        <v>10296.411533267927</v>
      </c>
      <c r="R715" s="243">
        <f t="shared" si="153"/>
        <v>10296.411533267927</v>
      </c>
      <c r="S715" s="243">
        <f t="shared" si="154"/>
        <v>9509.8800966988492</v>
      </c>
      <c r="T715" s="243">
        <f t="shared" si="155"/>
        <v>10153.405817528093</v>
      </c>
      <c r="AA715">
        <v>944</v>
      </c>
      <c r="AB715" t="s">
        <v>0</v>
      </c>
      <c r="AC715" t="s">
        <v>1864</v>
      </c>
      <c r="AD715" t="s">
        <v>4</v>
      </c>
      <c r="AE715" t="s">
        <v>931</v>
      </c>
      <c r="AF715">
        <v>10</v>
      </c>
      <c r="AG715">
        <v>0</v>
      </c>
      <c r="AH715">
        <v>647</v>
      </c>
      <c r="AI715" t="s">
        <v>0</v>
      </c>
      <c r="AJ715" t="s">
        <v>1933</v>
      </c>
      <c r="AK715" t="s">
        <v>1009</v>
      </c>
      <c r="AL715" t="s">
        <v>1841</v>
      </c>
      <c r="AM715" s="314">
        <v>29056.90453883716</v>
      </c>
      <c r="AN715" s="314">
        <v>29056.90453883716</v>
      </c>
      <c r="AO715" s="314">
        <v>26837.279886564877</v>
      </c>
      <c r="AP715" s="314">
        <v>28653.336420242198</v>
      </c>
      <c r="AQ715" s="314">
        <v>19.394411601945329</v>
      </c>
      <c r="AR715" s="314">
        <v>19.394411601945329</v>
      </c>
      <c r="AS715" s="314">
        <v>17.912894049018952</v>
      </c>
      <c r="AT715" s="314">
        <v>19.125044774140534</v>
      </c>
      <c r="AU715" s="314">
        <v>10296.411533267927</v>
      </c>
      <c r="AV715" s="314">
        <v>10296.411533267927</v>
      </c>
      <c r="AW715" s="314">
        <v>9509.8800966988492</v>
      </c>
      <c r="AX715">
        <v>10153.405817528093</v>
      </c>
    </row>
    <row r="716" spans="1:50" x14ac:dyDescent="0.35">
      <c r="A716">
        <v>655</v>
      </c>
      <c r="B716" t="s">
        <v>0</v>
      </c>
      <c r="C716" t="s">
        <v>1933</v>
      </c>
      <c r="D716" t="s">
        <v>1009</v>
      </c>
      <c r="E716" t="s">
        <v>1842</v>
      </c>
      <c r="F716">
        <v>36</v>
      </c>
      <c r="G716">
        <v>36</v>
      </c>
      <c r="H716">
        <v>33</v>
      </c>
      <c r="I716">
        <v>36</v>
      </c>
      <c r="J716" s="600">
        <v>141</v>
      </c>
      <c r="K716" s="7">
        <f t="shared" si="147"/>
        <v>25</v>
      </c>
      <c r="L716" s="7">
        <f t="shared" si="148"/>
        <v>0</v>
      </c>
      <c r="M716" s="243">
        <f t="shared" si="149"/>
        <v>19097.49693999609</v>
      </c>
      <c r="N716" s="243">
        <f>INDEX($AN$4:$AN21612,MATCH($A716,$AH$4:$AH$2000,0))</f>
        <v>19097.49693999609</v>
      </c>
      <c r="O716" s="243">
        <f t="shared" si="150"/>
        <v>17506.038861663081</v>
      </c>
      <c r="P716" s="243">
        <f t="shared" si="151"/>
        <v>19097.49693999609</v>
      </c>
      <c r="Q716" s="243">
        <f t="shared" si="152"/>
        <v>6921.4766418078825</v>
      </c>
      <c r="R716" s="243">
        <f t="shared" si="153"/>
        <v>6921.4766418078825</v>
      </c>
      <c r="S716" s="243">
        <f t="shared" si="154"/>
        <v>6344.6869216572259</v>
      </c>
      <c r="T716" s="243">
        <f t="shared" si="155"/>
        <v>6921.4766418078825</v>
      </c>
      <c r="AA716">
        <v>945</v>
      </c>
      <c r="AB716" t="s">
        <v>0</v>
      </c>
      <c r="AC716" t="s">
        <v>1864</v>
      </c>
      <c r="AD716" t="s">
        <v>4</v>
      </c>
      <c r="AE716" t="s">
        <v>932</v>
      </c>
      <c r="AF716">
        <v>10</v>
      </c>
      <c r="AG716">
        <v>0</v>
      </c>
      <c r="AH716">
        <v>655</v>
      </c>
      <c r="AI716" t="s">
        <v>0</v>
      </c>
      <c r="AJ716" t="s">
        <v>1933</v>
      </c>
      <c r="AK716" t="s">
        <v>1009</v>
      </c>
      <c r="AL716" t="s">
        <v>1842</v>
      </c>
      <c r="AM716" s="314">
        <v>19097.49693999609</v>
      </c>
      <c r="AN716" s="314">
        <v>19097.49693999609</v>
      </c>
      <c r="AO716" s="314">
        <v>17506.038861663081</v>
      </c>
      <c r="AP716" s="314">
        <v>19097.49693999609</v>
      </c>
      <c r="AQ716" s="314">
        <v>13.037354465752133</v>
      </c>
      <c r="AR716" s="314">
        <v>13.037354465752133</v>
      </c>
      <c r="AS716" s="314">
        <v>11.950908260272788</v>
      </c>
      <c r="AT716" s="314">
        <v>13.037354465752133</v>
      </c>
      <c r="AU716" s="314">
        <v>6921.4766418078825</v>
      </c>
      <c r="AV716" s="314">
        <v>6921.4766418078825</v>
      </c>
      <c r="AW716" s="314">
        <v>6344.6869216572259</v>
      </c>
      <c r="AX716">
        <v>6921.4766418078825</v>
      </c>
    </row>
    <row r="717" spans="1:50" x14ac:dyDescent="0.35">
      <c r="A717">
        <v>646</v>
      </c>
      <c r="B717" t="s">
        <v>0</v>
      </c>
      <c r="C717" t="s">
        <v>1933</v>
      </c>
      <c r="D717" t="s">
        <v>1009</v>
      </c>
      <c r="E717" t="s">
        <v>1790</v>
      </c>
      <c r="F717">
        <v>80.637200000000007</v>
      </c>
      <c r="G717">
        <v>80.919300000000007</v>
      </c>
      <c r="H717">
        <v>74.604599999999991</v>
      </c>
      <c r="I717">
        <v>80.027147899999989</v>
      </c>
      <c r="J717" s="600">
        <v>316.18824790000002</v>
      </c>
      <c r="K717" s="7">
        <f t="shared" si="147"/>
        <v>25</v>
      </c>
      <c r="L717" s="7">
        <f t="shared" si="148"/>
        <v>0</v>
      </c>
      <c r="M717" s="243">
        <f t="shared" si="149"/>
        <v>16271.301546382778</v>
      </c>
      <c r="N717" s="243">
        <f>INDEX($AN$4:$AN21613,MATCH($A717,$AH$4:$AH$2000,0))</f>
        <v>16328.224829510596</v>
      </c>
      <c r="O717" s="243">
        <f t="shared" si="150"/>
        <v>15054.019030264795</v>
      </c>
      <c r="P717" s="243">
        <f t="shared" si="151"/>
        <v>16148.202757261821</v>
      </c>
      <c r="Q717" s="243">
        <f t="shared" si="152"/>
        <v>5765.7902506280034</v>
      </c>
      <c r="R717" s="243">
        <f t="shared" si="153"/>
        <v>5785.9612068331071</v>
      </c>
      <c r="S717" s="243">
        <f t="shared" si="154"/>
        <v>5334.4421102419465</v>
      </c>
      <c r="T717" s="243">
        <f t="shared" si="155"/>
        <v>5722.169782028458</v>
      </c>
      <c r="AA717">
        <v>946</v>
      </c>
      <c r="AB717" t="s">
        <v>0</v>
      </c>
      <c r="AC717" t="s">
        <v>1864</v>
      </c>
      <c r="AD717" t="s">
        <v>4</v>
      </c>
      <c r="AE717" t="s">
        <v>933</v>
      </c>
      <c r="AF717">
        <v>10</v>
      </c>
      <c r="AG717">
        <v>0</v>
      </c>
      <c r="AH717">
        <v>646</v>
      </c>
      <c r="AI717" t="s">
        <v>0</v>
      </c>
      <c r="AJ717" t="s">
        <v>1933</v>
      </c>
      <c r="AK717" t="s">
        <v>1009</v>
      </c>
      <c r="AL717" t="s">
        <v>1790</v>
      </c>
      <c r="AM717" s="314">
        <v>16271.301546382778</v>
      </c>
      <c r="AN717" s="314">
        <v>16328.224829510596</v>
      </c>
      <c r="AO717" s="314">
        <v>15054.019030264795</v>
      </c>
      <c r="AP717" s="314">
        <v>16148.202757261821</v>
      </c>
      <c r="AQ717" s="314">
        <v>9.8637083743571132</v>
      </c>
      <c r="AR717" s="314">
        <v>9.8982154273352201</v>
      </c>
      <c r="AS717" s="314">
        <v>9.1257883183637638</v>
      </c>
      <c r="AT717" s="314">
        <v>9.7890855450976115</v>
      </c>
      <c r="AU717" s="314">
        <v>5765.7902506280034</v>
      </c>
      <c r="AV717" s="314">
        <v>5785.9612068331071</v>
      </c>
      <c r="AW717" s="314">
        <v>5334.4421102419465</v>
      </c>
      <c r="AX717">
        <v>5722.169782028458</v>
      </c>
    </row>
    <row r="718" spans="1:50" x14ac:dyDescent="0.35">
      <c r="A718">
        <v>654</v>
      </c>
      <c r="B718" t="s">
        <v>0</v>
      </c>
      <c r="C718" t="s">
        <v>1933</v>
      </c>
      <c r="D718" t="s">
        <v>1009</v>
      </c>
      <c r="E718" t="s">
        <v>1791</v>
      </c>
      <c r="F718">
        <v>20.159300000000002</v>
      </c>
      <c r="G718">
        <v>20.229825000000002</v>
      </c>
      <c r="H718">
        <v>18.651149999999998</v>
      </c>
      <c r="I718">
        <v>20.006786974999997</v>
      </c>
      <c r="J718" s="600">
        <v>79.047061975000005</v>
      </c>
      <c r="K718" s="7">
        <f t="shared" si="147"/>
        <v>25</v>
      </c>
      <c r="L718" s="7">
        <f t="shared" si="148"/>
        <v>0</v>
      </c>
      <c r="M718" s="243">
        <f t="shared" si="149"/>
        <v>10694.226946179533</v>
      </c>
      <c r="N718" s="243">
        <f>INDEX($AN$4:$AN21614,MATCH($A718,$AH$4:$AH$2000,0))</f>
        <v>10731.639473171012</v>
      </c>
      <c r="O718" s="243">
        <f t="shared" si="150"/>
        <v>9894.1744459002239</v>
      </c>
      <c r="P718" s="243">
        <f t="shared" si="151"/>
        <v>10613.320917617113</v>
      </c>
      <c r="Q718" s="243">
        <f t="shared" si="152"/>
        <v>3875.8923351443796</v>
      </c>
      <c r="R718" s="243">
        <f t="shared" si="153"/>
        <v>3889.4517001489212</v>
      </c>
      <c r="S718" s="243">
        <f t="shared" si="154"/>
        <v>3585.9305296626412</v>
      </c>
      <c r="T718" s="243">
        <f t="shared" si="155"/>
        <v>3846.5696868080186</v>
      </c>
      <c r="AA718">
        <v>972</v>
      </c>
      <c r="AB718" t="s">
        <v>0</v>
      </c>
      <c r="AC718" t="s">
        <v>1864</v>
      </c>
      <c r="AD718" t="s">
        <v>4</v>
      </c>
      <c r="AE718" t="s">
        <v>934</v>
      </c>
      <c r="AF718">
        <v>10</v>
      </c>
      <c r="AG718">
        <v>0</v>
      </c>
      <c r="AH718">
        <v>654</v>
      </c>
      <c r="AI718" t="s">
        <v>0</v>
      </c>
      <c r="AJ718" t="s">
        <v>1933</v>
      </c>
      <c r="AK718" t="s">
        <v>1009</v>
      </c>
      <c r="AL718" t="s">
        <v>1791</v>
      </c>
      <c r="AM718" s="314">
        <v>10694.226946179533</v>
      </c>
      <c r="AN718" s="314">
        <v>10731.639473171012</v>
      </c>
      <c r="AO718" s="314">
        <v>9894.1744459002239</v>
      </c>
      <c r="AP718" s="314">
        <v>10613.320917617113</v>
      </c>
      <c r="AQ718" s="314">
        <v>6.6306039627622786</v>
      </c>
      <c r="AR718" s="314">
        <v>6.653800370597561</v>
      </c>
      <c r="AS718" s="314">
        <v>6.1345577029000831</v>
      </c>
      <c r="AT718" s="314">
        <v>6.580440838648947</v>
      </c>
      <c r="AU718" s="314">
        <v>3875.8923351443796</v>
      </c>
      <c r="AV718" s="314">
        <v>3889.4517001489212</v>
      </c>
      <c r="AW718" s="314">
        <v>3585.9305296626412</v>
      </c>
      <c r="AX718">
        <v>3846.5696868080186</v>
      </c>
    </row>
    <row r="719" spans="1:50" x14ac:dyDescent="0.35">
      <c r="A719">
        <v>688</v>
      </c>
      <c r="B719" t="s">
        <v>0</v>
      </c>
      <c r="C719" t="s">
        <v>1933</v>
      </c>
      <c r="D719" t="s">
        <v>1009</v>
      </c>
      <c r="E719" t="s">
        <v>1843</v>
      </c>
      <c r="F719">
        <v>281.674215</v>
      </c>
      <c r="G719">
        <v>282.58748000000003</v>
      </c>
      <c r="H719">
        <v>260.46389999999997</v>
      </c>
      <c r="I719">
        <v>279.73122000000001</v>
      </c>
      <c r="J719" s="600">
        <v>1094</v>
      </c>
      <c r="K719" s="7">
        <f t="shared" si="147"/>
        <v>13</v>
      </c>
      <c r="L719" s="7">
        <f t="shared" si="148"/>
        <v>0</v>
      </c>
      <c r="M719" s="243">
        <f t="shared" si="149"/>
        <v>34396.212130090826</v>
      </c>
      <c r="N719" s="243">
        <f>INDEX($AN$4:$AN21615,MATCH($A719,$AH$4:$AH$2000,0))</f>
        <v>34519.496044535597</v>
      </c>
      <c r="O719" s="243">
        <f t="shared" si="150"/>
        <v>31807.249926750657</v>
      </c>
      <c r="P719" s="243">
        <f t="shared" si="151"/>
        <v>34149.64430120129</v>
      </c>
      <c r="Q719" s="243">
        <f t="shared" si="152"/>
        <v>0</v>
      </c>
      <c r="R719" s="243">
        <f t="shared" si="153"/>
        <v>0</v>
      </c>
      <c r="S719" s="243">
        <f t="shared" si="154"/>
        <v>0</v>
      </c>
      <c r="T719" s="243">
        <f t="shared" si="155"/>
        <v>0</v>
      </c>
      <c r="AA719">
        <v>973</v>
      </c>
      <c r="AB719" t="s">
        <v>0</v>
      </c>
      <c r="AC719" t="s">
        <v>1864</v>
      </c>
      <c r="AD719" t="s">
        <v>4</v>
      </c>
      <c r="AE719" t="s">
        <v>935</v>
      </c>
      <c r="AF719">
        <v>10</v>
      </c>
      <c r="AG719">
        <v>0</v>
      </c>
      <c r="AH719">
        <v>688</v>
      </c>
      <c r="AI719" t="s">
        <v>0</v>
      </c>
      <c r="AJ719" t="s">
        <v>1933</v>
      </c>
      <c r="AK719" t="s">
        <v>1009</v>
      </c>
      <c r="AL719" t="s">
        <v>1843</v>
      </c>
      <c r="AM719" s="314">
        <v>34396.212130090826</v>
      </c>
      <c r="AN719" s="314">
        <v>34519.496044535597</v>
      </c>
      <c r="AO719" s="314">
        <v>31807.249926750657</v>
      </c>
      <c r="AP719" s="314">
        <v>34149.64430120129</v>
      </c>
      <c r="AQ719" s="314">
        <v>3.9238206856138294</v>
      </c>
      <c r="AR719" s="314">
        <v>3.9378845590389684</v>
      </c>
      <c r="AS719" s="314">
        <v>3.6284793436859069</v>
      </c>
      <c r="AT719" s="314">
        <v>3.8956929387635508</v>
      </c>
      <c r="AU719" s="314">
        <v>0</v>
      </c>
      <c r="AV719" s="314">
        <v>0</v>
      </c>
      <c r="AW719" s="314">
        <v>0</v>
      </c>
      <c r="AX719">
        <v>0</v>
      </c>
    </row>
    <row r="720" spans="1:50" x14ac:dyDescent="0.35">
      <c r="A720">
        <v>689</v>
      </c>
      <c r="B720" t="s">
        <v>0</v>
      </c>
      <c r="C720" t="s">
        <v>1933</v>
      </c>
      <c r="D720" t="s">
        <v>1009</v>
      </c>
      <c r="E720" t="s">
        <v>1844</v>
      </c>
      <c r="F720">
        <v>650</v>
      </c>
      <c r="G720">
        <v>653</v>
      </c>
      <c r="H720">
        <v>602</v>
      </c>
      <c r="I720">
        <v>645</v>
      </c>
      <c r="J720" s="600">
        <v>2550</v>
      </c>
      <c r="K720" s="7">
        <f t="shared" si="147"/>
        <v>13</v>
      </c>
      <c r="L720" s="7">
        <f t="shared" si="148"/>
        <v>0</v>
      </c>
      <c r="M720" s="243">
        <f t="shared" si="149"/>
        <v>0</v>
      </c>
      <c r="N720" s="243">
        <f>INDEX($AN$4:$AN21616,MATCH($A720,$AH$4:$AH$2000,0))</f>
        <v>0</v>
      </c>
      <c r="O720" s="243">
        <f t="shared" si="150"/>
        <v>0</v>
      </c>
      <c r="P720" s="243">
        <f t="shared" si="151"/>
        <v>0</v>
      </c>
      <c r="Q720" s="243">
        <f t="shared" si="152"/>
        <v>3436.2719999999999</v>
      </c>
      <c r="R720" s="243">
        <f t="shared" si="153"/>
        <v>3452.131716923077</v>
      </c>
      <c r="S720" s="243">
        <f t="shared" si="154"/>
        <v>3182.5165292307693</v>
      </c>
      <c r="T720" s="243">
        <f t="shared" si="155"/>
        <v>3409.8391384615384</v>
      </c>
      <c r="AA720">
        <v>974</v>
      </c>
      <c r="AB720" t="s">
        <v>0</v>
      </c>
      <c r="AC720" t="s">
        <v>1864</v>
      </c>
      <c r="AD720" t="s">
        <v>4</v>
      </c>
      <c r="AE720" t="s">
        <v>936</v>
      </c>
      <c r="AF720">
        <v>10</v>
      </c>
      <c r="AG720">
        <v>0</v>
      </c>
      <c r="AH720">
        <v>689</v>
      </c>
      <c r="AI720" t="s">
        <v>0</v>
      </c>
      <c r="AJ720" t="s">
        <v>1933</v>
      </c>
      <c r="AK720" t="s">
        <v>1009</v>
      </c>
      <c r="AL720" t="s">
        <v>1844</v>
      </c>
      <c r="AM720" s="314">
        <v>0</v>
      </c>
      <c r="AN720" s="314">
        <v>0</v>
      </c>
      <c r="AO720" s="314">
        <v>0</v>
      </c>
      <c r="AP720" s="314">
        <v>0</v>
      </c>
      <c r="AQ720" s="314">
        <v>0</v>
      </c>
      <c r="AR720" s="314">
        <v>0</v>
      </c>
      <c r="AS720" s="314">
        <v>0</v>
      </c>
      <c r="AT720" s="314">
        <v>0</v>
      </c>
      <c r="AU720" s="314">
        <v>3436.2719999999999</v>
      </c>
      <c r="AV720" s="314">
        <v>3452.131716923077</v>
      </c>
      <c r="AW720" s="314">
        <v>3182.5165292307693</v>
      </c>
      <c r="AX720">
        <v>3409.8391384615384</v>
      </c>
    </row>
    <row r="721" spans="1:50" x14ac:dyDescent="0.35">
      <c r="A721">
        <v>675</v>
      </c>
      <c r="B721" t="s">
        <v>0</v>
      </c>
      <c r="C721" t="s">
        <v>1933</v>
      </c>
      <c r="D721" t="s">
        <v>1009</v>
      </c>
      <c r="E721" t="s">
        <v>1845</v>
      </c>
      <c r="F721">
        <v>75.718874999999997</v>
      </c>
      <c r="G721">
        <v>80.739280000000008</v>
      </c>
      <c r="H721">
        <v>80.763999999999996</v>
      </c>
      <c r="I721">
        <v>80.788799999999995</v>
      </c>
      <c r="J721" s="600">
        <v>315</v>
      </c>
      <c r="K721" s="7">
        <f t="shared" si="147"/>
        <v>18</v>
      </c>
      <c r="L721" s="7">
        <f t="shared" si="148"/>
        <v>6</v>
      </c>
      <c r="M721" s="243">
        <f t="shared" si="149"/>
        <v>478664.62848297216</v>
      </c>
      <c r="N721" s="243">
        <f>INDEX($AN$4:$AN21617,MATCH($A721,$AH$4:$AH$2000,0))</f>
        <v>510575.60371517029</v>
      </c>
      <c r="O721" s="243">
        <f t="shared" si="150"/>
        <v>510575.60371517029</v>
      </c>
      <c r="P721" s="243">
        <f t="shared" si="151"/>
        <v>510575.60371517029</v>
      </c>
      <c r="Q721" s="243">
        <f t="shared" si="152"/>
        <v>0</v>
      </c>
      <c r="R721" s="243">
        <f t="shared" si="153"/>
        <v>0</v>
      </c>
      <c r="S721" s="243">
        <f t="shared" si="154"/>
        <v>0</v>
      </c>
      <c r="T721" s="243">
        <f t="shared" si="155"/>
        <v>0</v>
      </c>
      <c r="AA721">
        <v>1000</v>
      </c>
      <c r="AB721" t="s">
        <v>0</v>
      </c>
      <c r="AC721" t="s">
        <v>1864</v>
      </c>
      <c r="AD721" t="s">
        <v>4</v>
      </c>
      <c r="AE721" t="s">
        <v>937</v>
      </c>
      <c r="AF721">
        <v>10</v>
      </c>
      <c r="AG721">
        <v>0</v>
      </c>
      <c r="AH721">
        <v>675</v>
      </c>
      <c r="AI721" t="s">
        <v>0</v>
      </c>
      <c r="AJ721" t="s">
        <v>1933</v>
      </c>
      <c r="AK721" t="s">
        <v>1009</v>
      </c>
      <c r="AL721" t="s">
        <v>1845</v>
      </c>
      <c r="AM721" s="314">
        <v>478664.62848297216</v>
      </c>
      <c r="AN721" s="314">
        <v>510575.60371517029</v>
      </c>
      <c r="AO721" s="314">
        <v>510575.60371517029</v>
      </c>
      <c r="AP721" s="314">
        <v>510575.60371517029</v>
      </c>
      <c r="AQ721" s="314">
        <v>95.598086124401931</v>
      </c>
      <c r="AR721" s="314">
        <v>101.97129186602872</v>
      </c>
      <c r="AS721" s="314">
        <v>101.97129186602872</v>
      </c>
      <c r="AT721" s="314">
        <v>101.97129186602872</v>
      </c>
      <c r="AU721" s="314">
        <v>0</v>
      </c>
      <c r="AV721" s="314">
        <v>0</v>
      </c>
      <c r="AW721" s="314">
        <v>0</v>
      </c>
      <c r="AX721">
        <v>0</v>
      </c>
    </row>
    <row r="722" spans="1:50" x14ac:dyDescent="0.35">
      <c r="A722">
        <v>643</v>
      </c>
      <c r="B722" t="s">
        <v>0</v>
      </c>
      <c r="C722" t="s">
        <v>1933</v>
      </c>
      <c r="D722" t="s">
        <v>1009</v>
      </c>
      <c r="E722" t="s">
        <v>1846</v>
      </c>
      <c r="F722">
        <v>75.718874999999997</v>
      </c>
      <c r="G722">
        <v>80.739280000000008</v>
      </c>
      <c r="H722">
        <v>80.763999999999996</v>
      </c>
      <c r="I722">
        <v>80.788799999999995</v>
      </c>
      <c r="J722" s="600">
        <v>315</v>
      </c>
      <c r="K722" s="7">
        <f t="shared" si="147"/>
        <v>18</v>
      </c>
      <c r="L722" s="7">
        <f t="shared" si="148"/>
        <v>0</v>
      </c>
      <c r="M722" s="243">
        <f t="shared" si="149"/>
        <v>110317.03649367328</v>
      </c>
      <c r="N722" s="243">
        <f>INDEX($AN$4:$AN21618,MATCH($A722,$AH$4:$AH$2000,0))</f>
        <v>117671.5055932515</v>
      </c>
      <c r="O722" s="243">
        <f t="shared" si="150"/>
        <v>117671.5055932515</v>
      </c>
      <c r="P722" s="243">
        <f t="shared" si="151"/>
        <v>117671.5055932515</v>
      </c>
      <c r="Q722" s="243">
        <f t="shared" si="152"/>
        <v>0</v>
      </c>
      <c r="R722" s="243">
        <f t="shared" si="153"/>
        <v>0</v>
      </c>
      <c r="S722" s="243">
        <f t="shared" si="154"/>
        <v>0</v>
      </c>
      <c r="T722" s="243">
        <f t="shared" si="155"/>
        <v>0</v>
      </c>
      <c r="AA722">
        <v>1001</v>
      </c>
      <c r="AB722" t="s">
        <v>0</v>
      </c>
      <c r="AC722" t="s">
        <v>1864</v>
      </c>
      <c r="AD722" t="s">
        <v>4</v>
      </c>
      <c r="AE722" t="s">
        <v>938</v>
      </c>
      <c r="AF722">
        <v>10</v>
      </c>
      <c r="AG722">
        <v>0</v>
      </c>
      <c r="AH722">
        <v>643</v>
      </c>
      <c r="AI722" t="s">
        <v>0</v>
      </c>
      <c r="AJ722" t="s">
        <v>1933</v>
      </c>
      <c r="AK722" t="s">
        <v>1009</v>
      </c>
      <c r="AL722" t="s">
        <v>1846</v>
      </c>
      <c r="AM722" s="314">
        <v>110317.03649367328</v>
      </c>
      <c r="AN722" s="314">
        <v>117671.5055932515</v>
      </c>
      <c r="AO722" s="314">
        <v>117671.5055932515</v>
      </c>
      <c r="AP722" s="314">
        <v>117671.5055932515</v>
      </c>
      <c r="AQ722" s="314">
        <v>66.563944530046228</v>
      </c>
      <c r="AR722" s="314">
        <v>71.001540832049315</v>
      </c>
      <c r="AS722" s="314">
        <v>71.001540832049315</v>
      </c>
      <c r="AT722" s="314">
        <v>71.001540832049315</v>
      </c>
      <c r="AU722" s="314">
        <v>0</v>
      </c>
      <c r="AV722" s="314">
        <v>0</v>
      </c>
      <c r="AW722" s="314">
        <v>0</v>
      </c>
      <c r="AX722">
        <v>0</v>
      </c>
    </row>
    <row r="723" spans="1:50" x14ac:dyDescent="0.35">
      <c r="A723">
        <v>674</v>
      </c>
      <c r="B723" t="s">
        <v>0</v>
      </c>
      <c r="C723" t="s">
        <v>1933</v>
      </c>
      <c r="D723" t="s">
        <v>1009</v>
      </c>
      <c r="E723" t="s">
        <v>1847</v>
      </c>
      <c r="F723">
        <v>75.718874999999997</v>
      </c>
      <c r="G723">
        <v>80.739280000000008</v>
      </c>
      <c r="H723">
        <v>80.763999999999996</v>
      </c>
      <c r="I723">
        <v>80.788799999999995</v>
      </c>
      <c r="J723" s="600">
        <v>315</v>
      </c>
      <c r="K723" s="7">
        <f t="shared" si="147"/>
        <v>18</v>
      </c>
      <c r="L723" s="7">
        <f t="shared" si="148"/>
        <v>6</v>
      </c>
      <c r="M723" s="243">
        <f t="shared" si="149"/>
        <v>437282.39164086687</v>
      </c>
      <c r="N723" s="243">
        <f>INDEX($AN$4:$AN21619,MATCH($A723,$AH$4:$AH$2000,0))</f>
        <v>466434.55108359136</v>
      </c>
      <c r="O723" s="243">
        <f t="shared" si="150"/>
        <v>466434.55108359136</v>
      </c>
      <c r="P723" s="243">
        <f t="shared" si="151"/>
        <v>466434.55108359136</v>
      </c>
      <c r="Q723" s="243">
        <f t="shared" si="152"/>
        <v>0</v>
      </c>
      <c r="R723" s="243">
        <f t="shared" si="153"/>
        <v>0</v>
      </c>
      <c r="S723" s="243">
        <f t="shared" si="154"/>
        <v>0</v>
      </c>
      <c r="T723" s="243">
        <f t="shared" si="155"/>
        <v>0</v>
      </c>
      <c r="AA723">
        <v>1002</v>
      </c>
      <c r="AB723" t="s">
        <v>0</v>
      </c>
      <c r="AC723" t="s">
        <v>1864</v>
      </c>
      <c r="AD723" t="s">
        <v>4</v>
      </c>
      <c r="AE723" t="s">
        <v>939</v>
      </c>
      <c r="AF723">
        <v>11</v>
      </c>
      <c r="AG723">
        <v>1</v>
      </c>
      <c r="AH723">
        <v>674</v>
      </c>
      <c r="AI723" t="s">
        <v>0</v>
      </c>
      <c r="AJ723" t="s">
        <v>1933</v>
      </c>
      <c r="AK723" t="s">
        <v>1009</v>
      </c>
      <c r="AL723" t="s">
        <v>1847</v>
      </c>
      <c r="AM723" s="314">
        <v>437282.39164086687</v>
      </c>
      <c r="AN723" s="314">
        <v>466434.55108359136</v>
      </c>
      <c r="AO723" s="314">
        <v>466434.55108359136</v>
      </c>
      <c r="AP723" s="314">
        <v>466434.55108359136</v>
      </c>
      <c r="AQ723" s="314">
        <v>71.824171007724061</v>
      </c>
      <c r="AR723" s="314">
        <v>76.612449074905669</v>
      </c>
      <c r="AS723" s="314">
        <v>76.612449074905669</v>
      </c>
      <c r="AT723" s="314">
        <v>76.612449074905669</v>
      </c>
      <c r="AU723" s="314">
        <v>0</v>
      </c>
      <c r="AV723" s="314">
        <v>0</v>
      </c>
      <c r="AW723" s="314">
        <v>0</v>
      </c>
      <c r="AX723">
        <v>0</v>
      </c>
    </row>
    <row r="724" spans="1:50" x14ac:dyDescent="0.35">
      <c r="A724">
        <v>642</v>
      </c>
      <c r="B724" t="s">
        <v>0</v>
      </c>
      <c r="C724" t="s">
        <v>1933</v>
      </c>
      <c r="D724" t="s">
        <v>1009</v>
      </c>
      <c r="E724" t="s">
        <v>1857</v>
      </c>
      <c r="F724">
        <v>75.718874999999997</v>
      </c>
      <c r="G724">
        <v>80.739280000000008</v>
      </c>
      <c r="H724">
        <v>80.763999999999996</v>
      </c>
      <c r="I724">
        <v>80.788799999999995</v>
      </c>
      <c r="J724" s="600">
        <v>315</v>
      </c>
      <c r="K724" s="7">
        <f t="shared" si="147"/>
        <v>18</v>
      </c>
      <c r="L724" s="7">
        <f t="shared" si="148"/>
        <v>0</v>
      </c>
      <c r="M724" s="243">
        <f t="shared" si="149"/>
        <v>68934.799651568028</v>
      </c>
      <c r="N724" s="243">
        <f>INDEX($AN$4:$AN21620,MATCH($A724,$AH$4:$AH$2000,0))</f>
        <v>73530.452961672563</v>
      </c>
      <c r="O724" s="243">
        <f t="shared" si="150"/>
        <v>73530.452961672563</v>
      </c>
      <c r="P724" s="243">
        <f t="shared" si="151"/>
        <v>73530.452961672563</v>
      </c>
      <c r="Q724" s="243">
        <f t="shared" si="152"/>
        <v>0</v>
      </c>
      <c r="R724" s="243">
        <f t="shared" si="153"/>
        <v>0</v>
      </c>
      <c r="S724" s="243">
        <f t="shared" si="154"/>
        <v>0</v>
      </c>
      <c r="T724" s="243">
        <f t="shared" si="155"/>
        <v>0</v>
      </c>
      <c r="AA724">
        <v>1028</v>
      </c>
      <c r="AB724" t="s">
        <v>0</v>
      </c>
      <c r="AC724" t="s">
        <v>1864</v>
      </c>
      <c r="AD724" t="s">
        <v>4</v>
      </c>
      <c r="AE724" t="s">
        <v>940</v>
      </c>
      <c r="AF724">
        <v>10</v>
      </c>
      <c r="AG724">
        <v>0</v>
      </c>
      <c r="AH724">
        <v>642</v>
      </c>
      <c r="AI724" t="s">
        <v>0</v>
      </c>
      <c r="AJ724" t="s">
        <v>1933</v>
      </c>
      <c r="AK724" t="s">
        <v>1009</v>
      </c>
      <c r="AL724" t="s">
        <v>1857</v>
      </c>
      <c r="AM724" s="314">
        <v>68934.799651568028</v>
      </c>
      <c r="AN724" s="314">
        <v>73530.452961672563</v>
      </c>
      <c r="AO724" s="314">
        <v>73530.452961672563</v>
      </c>
      <c r="AP724" s="314">
        <v>73530.452961672563</v>
      </c>
      <c r="AQ724" s="314">
        <v>9.7861224489795564</v>
      </c>
      <c r="AR724" s="314">
        <v>10.438530612244861</v>
      </c>
      <c r="AS724" s="314">
        <v>10.438530612244861</v>
      </c>
      <c r="AT724" s="314">
        <v>10.438530612244861</v>
      </c>
      <c r="AU724" s="314">
        <v>0</v>
      </c>
      <c r="AV724" s="314">
        <v>0</v>
      </c>
      <c r="AW724" s="314">
        <v>0</v>
      </c>
      <c r="AX724">
        <v>0</v>
      </c>
    </row>
    <row r="725" spans="1:50" x14ac:dyDescent="0.35">
      <c r="A725">
        <v>680</v>
      </c>
      <c r="B725" t="s">
        <v>0</v>
      </c>
      <c r="C725" t="s">
        <v>1933</v>
      </c>
      <c r="D725" t="s">
        <v>1009</v>
      </c>
      <c r="E725" t="s">
        <v>1798</v>
      </c>
      <c r="F725">
        <v>30012.942879999999</v>
      </c>
      <c r="G725">
        <v>0</v>
      </c>
      <c r="H725">
        <v>0</v>
      </c>
      <c r="I725">
        <v>0</v>
      </c>
      <c r="J725" s="600">
        <v>29728</v>
      </c>
      <c r="K725" s="7">
        <f t="shared" si="147"/>
        <v>10</v>
      </c>
      <c r="L725" s="7">
        <f t="shared" si="148"/>
        <v>3</v>
      </c>
      <c r="M725" s="243">
        <f t="shared" si="149"/>
        <v>1159670.9033395199</v>
      </c>
      <c r="N725" s="243">
        <f>INDEX($AN$4:$AN21621,MATCH($A725,$AH$4:$AH$2000,0))</f>
        <v>0</v>
      </c>
      <c r="O725" s="243">
        <f t="shared" si="150"/>
        <v>0</v>
      </c>
      <c r="P725" s="243">
        <f t="shared" si="151"/>
        <v>0</v>
      </c>
      <c r="Q725" s="243">
        <f t="shared" si="152"/>
        <v>0</v>
      </c>
      <c r="R725" s="243">
        <f t="shared" si="153"/>
        <v>0</v>
      </c>
      <c r="S725" s="243">
        <f t="shared" si="154"/>
        <v>0</v>
      </c>
      <c r="T725" s="243">
        <f t="shared" si="155"/>
        <v>0</v>
      </c>
      <c r="AA725">
        <v>1029</v>
      </c>
      <c r="AB725" t="s">
        <v>0</v>
      </c>
      <c r="AC725" t="s">
        <v>1864</v>
      </c>
      <c r="AD725" t="s">
        <v>4</v>
      </c>
      <c r="AE725" t="s">
        <v>941</v>
      </c>
      <c r="AF725">
        <v>11</v>
      </c>
      <c r="AG725">
        <v>1</v>
      </c>
      <c r="AH725">
        <v>680</v>
      </c>
      <c r="AI725" t="s">
        <v>0</v>
      </c>
      <c r="AJ725" t="s">
        <v>1933</v>
      </c>
      <c r="AK725" t="s">
        <v>1009</v>
      </c>
      <c r="AL725" t="s">
        <v>1798</v>
      </c>
      <c r="AM725" s="314">
        <v>1159670.9033395199</v>
      </c>
      <c r="AN725" s="314">
        <v>0</v>
      </c>
      <c r="AO725" s="314">
        <v>0</v>
      </c>
      <c r="AP725" s="314">
        <v>0</v>
      </c>
      <c r="AQ725" s="314">
        <v>111.60965659103999</v>
      </c>
      <c r="AR725" s="314">
        <v>0</v>
      </c>
      <c r="AS725" s="314">
        <v>0</v>
      </c>
      <c r="AT725" s="314">
        <v>0</v>
      </c>
      <c r="AU725" s="314">
        <v>0</v>
      </c>
      <c r="AV725" s="314">
        <v>0</v>
      </c>
      <c r="AW725" s="314">
        <v>0</v>
      </c>
      <c r="AX725">
        <v>0</v>
      </c>
    </row>
    <row r="726" spans="1:50" x14ac:dyDescent="0.35">
      <c r="A726">
        <v>681</v>
      </c>
      <c r="B726" t="s">
        <v>0</v>
      </c>
      <c r="C726" t="s">
        <v>1933</v>
      </c>
      <c r="D726" t="s">
        <v>1009</v>
      </c>
      <c r="E726" t="s">
        <v>1851</v>
      </c>
      <c r="F726">
        <v>0</v>
      </c>
      <c r="G726">
        <v>30107.677512000002</v>
      </c>
      <c r="H726">
        <v>0</v>
      </c>
      <c r="I726">
        <v>0</v>
      </c>
      <c r="J726" s="600">
        <v>29832</v>
      </c>
      <c r="K726" s="7">
        <f t="shared" si="147"/>
        <v>10</v>
      </c>
      <c r="L726" s="7">
        <f t="shared" si="148"/>
        <v>2</v>
      </c>
      <c r="M726" s="243">
        <f t="shared" si="149"/>
        <v>0</v>
      </c>
      <c r="N726" s="243">
        <f>INDEX($AN$4:$AN21622,MATCH($A726,$AH$4:$AH$2000,0))</f>
        <v>1163727.87905088</v>
      </c>
      <c r="O726" s="243">
        <f t="shared" si="150"/>
        <v>0</v>
      </c>
      <c r="P726" s="243">
        <f t="shared" si="151"/>
        <v>0</v>
      </c>
      <c r="Q726" s="243">
        <f t="shared" si="152"/>
        <v>0</v>
      </c>
      <c r="R726" s="243">
        <f t="shared" si="153"/>
        <v>0</v>
      </c>
      <c r="S726" s="243">
        <f t="shared" si="154"/>
        <v>0</v>
      </c>
      <c r="T726" s="243">
        <f t="shared" si="155"/>
        <v>0</v>
      </c>
      <c r="AA726">
        <v>1030</v>
      </c>
      <c r="AB726" t="s">
        <v>0</v>
      </c>
      <c r="AC726" t="s">
        <v>1864</v>
      </c>
      <c r="AD726" t="s">
        <v>4</v>
      </c>
      <c r="AE726" t="s">
        <v>942</v>
      </c>
      <c r="AF726">
        <v>12</v>
      </c>
      <c r="AG726">
        <v>2</v>
      </c>
      <c r="AH726">
        <v>681</v>
      </c>
      <c r="AI726" t="s">
        <v>0</v>
      </c>
      <c r="AJ726" t="s">
        <v>1933</v>
      </c>
      <c r="AK726" t="s">
        <v>1009</v>
      </c>
      <c r="AL726" t="s">
        <v>1851</v>
      </c>
      <c r="AM726" s="314">
        <v>0</v>
      </c>
      <c r="AN726" s="314">
        <v>1163727.87905088</v>
      </c>
      <c r="AO726" s="314">
        <v>0</v>
      </c>
      <c r="AP726" s="314">
        <v>0</v>
      </c>
      <c r="AQ726" s="314">
        <v>0</v>
      </c>
      <c r="AR726" s="314">
        <v>112.00011017976</v>
      </c>
      <c r="AS726" s="314">
        <v>0</v>
      </c>
      <c r="AT726" s="314">
        <v>0</v>
      </c>
      <c r="AU726" s="314">
        <v>0</v>
      </c>
      <c r="AV726" s="314">
        <v>0</v>
      </c>
      <c r="AW726" s="314">
        <v>0</v>
      </c>
      <c r="AX726">
        <v>0</v>
      </c>
    </row>
    <row r="727" spans="1:50" x14ac:dyDescent="0.35">
      <c r="A727">
        <v>682</v>
      </c>
      <c r="B727" t="s">
        <v>0</v>
      </c>
      <c r="C727" t="s">
        <v>1933</v>
      </c>
      <c r="D727" t="s">
        <v>1009</v>
      </c>
      <c r="E727" t="s">
        <v>1852</v>
      </c>
      <c r="F727">
        <v>0</v>
      </c>
      <c r="G727">
        <v>0</v>
      </c>
      <c r="H727">
        <v>27766.663199999999</v>
      </c>
      <c r="I727">
        <v>27775.189439999998</v>
      </c>
      <c r="J727" s="600">
        <v>55008</v>
      </c>
      <c r="K727" s="7">
        <f t="shared" si="147"/>
        <v>10</v>
      </c>
      <c r="L727" s="7">
        <f t="shared" si="148"/>
        <v>1</v>
      </c>
      <c r="M727" s="243">
        <f t="shared" si="149"/>
        <v>0</v>
      </c>
      <c r="N727" s="243">
        <f>INDEX($AN$4:$AN21623,MATCH($A727,$AH$4:$AH$2000,0))</f>
        <v>0</v>
      </c>
      <c r="O727" s="243">
        <f t="shared" si="150"/>
        <v>1072914.0381273599</v>
      </c>
      <c r="P727" s="243">
        <f t="shared" si="151"/>
        <v>1072914.0381273599</v>
      </c>
      <c r="Q727" s="243">
        <f t="shared" si="152"/>
        <v>0</v>
      </c>
      <c r="R727" s="243">
        <f t="shared" si="153"/>
        <v>0</v>
      </c>
      <c r="S727" s="243">
        <f t="shared" si="154"/>
        <v>0</v>
      </c>
      <c r="T727" s="243">
        <f t="shared" si="155"/>
        <v>0</v>
      </c>
      <c r="AA727">
        <v>947</v>
      </c>
      <c r="AB727" t="s">
        <v>0</v>
      </c>
      <c r="AC727" t="s">
        <v>1864</v>
      </c>
      <c r="AD727" t="s">
        <v>4</v>
      </c>
      <c r="AE727" t="s">
        <v>943</v>
      </c>
      <c r="AF727">
        <v>10</v>
      </c>
      <c r="AG727">
        <v>0</v>
      </c>
      <c r="AH727">
        <v>682</v>
      </c>
      <c r="AI727" t="s">
        <v>0</v>
      </c>
      <c r="AJ727" t="s">
        <v>1933</v>
      </c>
      <c r="AK727" t="s">
        <v>1009</v>
      </c>
      <c r="AL727" t="s">
        <v>1852</v>
      </c>
      <c r="AM727" s="314">
        <v>0</v>
      </c>
      <c r="AN727" s="314">
        <v>0</v>
      </c>
      <c r="AO727" s="314">
        <v>1072914.0381273599</v>
      </c>
      <c r="AP727" s="314">
        <v>1072914.0381273599</v>
      </c>
      <c r="AQ727" s="314">
        <v>0</v>
      </c>
      <c r="AR727" s="314">
        <v>0</v>
      </c>
      <c r="AS727" s="314">
        <v>103.25995677072</v>
      </c>
      <c r="AT727" s="314">
        <v>103.25995677072</v>
      </c>
      <c r="AU727" s="314">
        <v>0</v>
      </c>
      <c r="AV727" s="314">
        <v>0</v>
      </c>
      <c r="AW727" s="314">
        <v>0</v>
      </c>
      <c r="AX727">
        <v>0</v>
      </c>
    </row>
    <row r="728" spans="1:50" x14ac:dyDescent="0.35">
      <c r="A728">
        <v>705</v>
      </c>
      <c r="B728" t="s">
        <v>0</v>
      </c>
      <c r="C728" t="s">
        <v>1933</v>
      </c>
      <c r="D728" t="s">
        <v>1009</v>
      </c>
      <c r="E728" t="s">
        <v>1367</v>
      </c>
      <c r="F728">
        <v>27.912036878400002</v>
      </c>
      <c r="G728">
        <v>28.000140086159998</v>
      </c>
      <c r="H728">
        <v>25.822996776</v>
      </c>
      <c r="I728">
        <v>27.708416769700797</v>
      </c>
      <c r="J728" s="600">
        <v>108.40739927999999</v>
      </c>
      <c r="K728" s="7">
        <f t="shared" si="147"/>
        <v>25</v>
      </c>
      <c r="L728" s="7">
        <f t="shared" si="148"/>
        <v>0</v>
      </c>
      <c r="M728" s="243">
        <f t="shared" si="149"/>
        <v>29406.924799627734</v>
      </c>
      <c r="N728" s="243">
        <f>INDEX($AN$4:$AN21624,MATCH($A728,$AH$4:$AH$2000,0))</f>
        <v>29509.801554847094</v>
      </c>
      <c r="O728" s="243">
        <f t="shared" si="150"/>
        <v>27206.944957244385</v>
      </c>
      <c r="P728" s="243">
        <f t="shared" si="151"/>
        <v>29184.449859667573</v>
      </c>
      <c r="Q728" s="243">
        <f t="shared" si="152"/>
        <v>0</v>
      </c>
      <c r="R728" s="243">
        <f t="shared" si="153"/>
        <v>0</v>
      </c>
      <c r="S728" s="243">
        <f t="shared" si="154"/>
        <v>0</v>
      </c>
      <c r="T728" s="243">
        <f t="shared" si="155"/>
        <v>0</v>
      </c>
      <c r="AA728">
        <v>948</v>
      </c>
      <c r="AB728" t="s">
        <v>0</v>
      </c>
      <c r="AC728" t="s">
        <v>1864</v>
      </c>
      <c r="AD728" t="s">
        <v>4</v>
      </c>
      <c r="AE728" t="s">
        <v>944</v>
      </c>
      <c r="AF728">
        <v>10</v>
      </c>
      <c r="AG728">
        <v>0</v>
      </c>
      <c r="AH728">
        <v>705</v>
      </c>
      <c r="AI728" t="s">
        <v>0</v>
      </c>
      <c r="AJ728" t="s">
        <v>1933</v>
      </c>
      <c r="AK728" t="s">
        <v>1009</v>
      </c>
      <c r="AL728" t="s">
        <v>1367</v>
      </c>
      <c r="AM728" s="314">
        <v>29406.924799627734</v>
      </c>
      <c r="AN728" s="314">
        <v>29509.801554847094</v>
      </c>
      <c r="AO728" s="314">
        <v>27206.944957244385</v>
      </c>
      <c r="AP728" s="314">
        <v>29184.449859667573</v>
      </c>
      <c r="AQ728" s="314">
        <v>3.8600532112444061</v>
      </c>
      <c r="AR728" s="314">
        <v>3.8735571648897706</v>
      </c>
      <c r="AS728" s="314">
        <v>3.571276356366595</v>
      </c>
      <c r="AT728" s="314">
        <v>3.8308503921034704</v>
      </c>
      <c r="AU728" s="314">
        <v>0</v>
      </c>
      <c r="AV728" s="314">
        <v>0</v>
      </c>
      <c r="AW728" s="314">
        <v>0</v>
      </c>
      <c r="AX728">
        <v>0</v>
      </c>
    </row>
    <row r="729" spans="1:50" x14ac:dyDescent="0.35">
      <c r="A729">
        <v>704</v>
      </c>
      <c r="B729" t="s">
        <v>0</v>
      </c>
      <c r="C729" t="s">
        <v>1933</v>
      </c>
      <c r="D729" t="s">
        <v>1009</v>
      </c>
      <c r="E729" t="s">
        <v>1369</v>
      </c>
      <c r="F729">
        <v>6.9780092196000005</v>
      </c>
      <c r="G729">
        <v>7.0000350215399996</v>
      </c>
      <c r="H729">
        <v>6.455749194</v>
      </c>
      <c r="I729">
        <v>6.9271041924251993</v>
      </c>
      <c r="J729" s="600">
        <v>27.101849819999998</v>
      </c>
      <c r="K729" s="7">
        <f t="shared" si="147"/>
        <v>25</v>
      </c>
      <c r="L729" s="7">
        <f t="shared" si="148"/>
        <v>0</v>
      </c>
      <c r="M729" s="243">
        <f t="shared" si="149"/>
        <v>30714.753509085462</v>
      </c>
      <c r="N729" s="243">
        <f>INDEX($AN$4:$AN21625,MATCH($A729,$AH$4:$AH$2000,0))</f>
        <v>30822.20555311616</v>
      </c>
      <c r="O729" s="243">
        <f t="shared" si="150"/>
        <v>28416.93287519801</v>
      </c>
      <c r="P729" s="243">
        <f t="shared" si="151"/>
        <v>30482.384331098121</v>
      </c>
      <c r="Q729" s="243">
        <f t="shared" si="152"/>
        <v>0</v>
      </c>
      <c r="R729" s="243">
        <f t="shared" si="153"/>
        <v>0</v>
      </c>
      <c r="S729" s="243">
        <f t="shared" si="154"/>
        <v>0</v>
      </c>
      <c r="T729" s="243">
        <f t="shared" si="155"/>
        <v>0</v>
      </c>
      <c r="AA729">
        <v>949</v>
      </c>
      <c r="AB729" t="s">
        <v>0</v>
      </c>
      <c r="AC729" t="s">
        <v>1864</v>
      </c>
      <c r="AD729" t="s">
        <v>4</v>
      </c>
      <c r="AE729" t="s">
        <v>945</v>
      </c>
      <c r="AF729">
        <v>10</v>
      </c>
      <c r="AG729">
        <v>0</v>
      </c>
      <c r="AH729">
        <v>704</v>
      </c>
      <c r="AI729" t="s">
        <v>0</v>
      </c>
      <c r="AJ729" t="s">
        <v>1933</v>
      </c>
      <c r="AK729" t="s">
        <v>1009</v>
      </c>
      <c r="AL729" t="s">
        <v>1369</v>
      </c>
      <c r="AM729" s="314">
        <v>30714.753509085462</v>
      </c>
      <c r="AN729" s="314">
        <v>30822.20555311616</v>
      </c>
      <c r="AO729" s="314">
        <v>28416.93287519801</v>
      </c>
      <c r="AP729" s="314">
        <v>30482.384331098121</v>
      </c>
      <c r="AQ729" s="314">
        <v>4.0317232666513485</v>
      </c>
      <c r="AR729" s="314">
        <v>4.0458277883054024</v>
      </c>
      <c r="AS729" s="314">
        <v>3.7301034958954076</v>
      </c>
      <c r="AT729" s="314">
        <v>4.0012216960928519</v>
      </c>
      <c r="AU729" s="314">
        <v>0</v>
      </c>
      <c r="AV729" s="314">
        <v>0</v>
      </c>
      <c r="AW729" s="314">
        <v>0</v>
      </c>
      <c r="AX729">
        <v>0</v>
      </c>
    </row>
    <row r="730" spans="1:50" x14ac:dyDescent="0.35">
      <c r="A730">
        <v>635</v>
      </c>
      <c r="B730" t="s">
        <v>0</v>
      </c>
      <c r="C730" t="s">
        <v>1933</v>
      </c>
      <c r="D730" t="s">
        <v>1009</v>
      </c>
      <c r="E730" t="s">
        <v>711</v>
      </c>
      <c r="F730">
        <v>34.890046098000006</v>
      </c>
      <c r="G730">
        <v>35.000175107699995</v>
      </c>
      <c r="H730">
        <v>32.278745969999996</v>
      </c>
      <c r="I730">
        <v>34.635520962125995</v>
      </c>
      <c r="J730" s="600">
        <v>135.50924910000001</v>
      </c>
      <c r="K730" s="7">
        <f t="shared" si="147"/>
        <v>15</v>
      </c>
      <c r="L730" s="7">
        <f t="shared" si="148"/>
        <v>0</v>
      </c>
      <c r="M730" s="243">
        <f t="shared" si="149"/>
        <v>5714.6431680000014</v>
      </c>
      <c r="N730" s="243">
        <f>INDEX($AN$4:$AN21626,MATCH($A730,$AH$4:$AH$2000,0))</f>
        <v>5734.6351919999997</v>
      </c>
      <c r="O730" s="243">
        <f t="shared" si="150"/>
        <v>5287.1214239999999</v>
      </c>
      <c r="P730" s="243">
        <f t="shared" si="151"/>
        <v>5671.4096471760004</v>
      </c>
      <c r="Q730" s="243">
        <f t="shared" si="152"/>
        <v>0</v>
      </c>
      <c r="R730" s="243">
        <f t="shared" si="153"/>
        <v>0</v>
      </c>
      <c r="S730" s="243">
        <f t="shared" si="154"/>
        <v>0</v>
      </c>
      <c r="T730" s="243">
        <f t="shared" si="155"/>
        <v>0</v>
      </c>
      <c r="AA730">
        <v>975</v>
      </c>
      <c r="AB730" t="s">
        <v>0</v>
      </c>
      <c r="AC730" t="s">
        <v>1864</v>
      </c>
      <c r="AD730" t="s">
        <v>4</v>
      </c>
      <c r="AE730" t="s">
        <v>946</v>
      </c>
      <c r="AF730">
        <v>10</v>
      </c>
      <c r="AG730">
        <v>0</v>
      </c>
      <c r="AH730">
        <v>635</v>
      </c>
      <c r="AI730" t="s">
        <v>0</v>
      </c>
      <c r="AJ730" t="s">
        <v>1933</v>
      </c>
      <c r="AK730" t="s">
        <v>1009</v>
      </c>
      <c r="AL730" t="s">
        <v>711</v>
      </c>
      <c r="AM730" s="314">
        <v>5714.6431680000014</v>
      </c>
      <c r="AN730" s="314">
        <v>5734.6351919999997</v>
      </c>
      <c r="AO730" s="314">
        <v>5287.1214239999999</v>
      </c>
      <c r="AP730" s="314">
        <v>5671.4096471760004</v>
      </c>
      <c r="AQ730" s="314">
        <v>5.8611724800000022</v>
      </c>
      <c r="AR730" s="314">
        <v>5.8816771200000009</v>
      </c>
      <c r="AS730" s="314">
        <v>5.4226886400000005</v>
      </c>
      <c r="AT730" s="314">
        <v>5.8168304073600003</v>
      </c>
      <c r="AU730" s="314">
        <v>0</v>
      </c>
      <c r="AV730" s="314">
        <v>0</v>
      </c>
      <c r="AW730" s="314">
        <v>0</v>
      </c>
      <c r="AX730">
        <v>0</v>
      </c>
    </row>
    <row r="731" spans="1:50" x14ac:dyDescent="0.35">
      <c r="A731">
        <v>149</v>
      </c>
      <c r="B731" t="s">
        <v>80</v>
      </c>
      <c r="C731" t="s">
        <v>81</v>
      </c>
      <c r="D731" t="s">
        <v>4</v>
      </c>
      <c r="E731" t="s">
        <v>1036</v>
      </c>
      <c r="F731">
        <v>4500</v>
      </c>
      <c r="G731">
        <v>0</v>
      </c>
      <c r="H731">
        <v>0</v>
      </c>
      <c r="I731">
        <v>0</v>
      </c>
      <c r="J731" s="600">
        <v>4500</v>
      </c>
      <c r="K731" s="7">
        <f t="shared" si="147"/>
        <v>15</v>
      </c>
      <c r="L731" s="7">
        <f t="shared" si="148"/>
        <v>0</v>
      </c>
      <c r="M731" s="243">
        <f t="shared" si="149"/>
        <v>96684.761145591008</v>
      </c>
      <c r="N731" s="243">
        <f>INDEX($AN$4:$AN21627,MATCH($A731,$AH$4:$AH$2000,0))</f>
        <v>0</v>
      </c>
      <c r="O731" s="243">
        <f t="shared" si="150"/>
        <v>0</v>
      </c>
      <c r="P731" s="243">
        <f t="shared" si="151"/>
        <v>0</v>
      </c>
      <c r="Q731" s="243">
        <f t="shared" si="152"/>
        <v>-1951.4355460578001</v>
      </c>
      <c r="R731" s="243">
        <f t="shared" si="153"/>
        <v>0</v>
      </c>
      <c r="S731" s="243">
        <f t="shared" si="154"/>
        <v>0</v>
      </c>
      <c r="T731" s="243">
        <f t="shared" si="155"/>
        <v>0</v>
      </c>
      <c r="AA731">
        <v>976</v>
      </c>
      <c r="AB731" t="s">
        <v>0</v>
      </c>
      <c r="AC731" t="s">
        <v>1864</v>
      </c>
      <c r="AD731" t="s">
        <v>4</v>
      </c>
      <c r="AE731" t="s">
        <v>947</v>
      </c>
      <c r="AF731">
        <v>10</v>
      </c>
      <c r="AG731">
        <v>0</v>
      </c>
      <c r="AH731">
        <v>149</v>
      </c>
      <c r="AI731" t="s">
        <v>80</v>
      </c>
      <c r="AJ731" t="s">
        <v>81</v>
      </c>
      <c r="AK731" t="s">
        <v>4</v>
      </c>
      <c r="AL731" t="s">
        <v>1036</v>
      </c>
      <c r="AM731" s="314">
        <v>96684.761145591008</v>
      </c>
      <c r="AN731" s="314">
        <v>0</v>
      </c>
      <c r="AO731" s="314">
        <v>0</v>
      </c>
      <c r="AP731" s="314">
        <v>0</v>
      </c>
      <c r="AQ731" s="314">
        <v>20.706668981280004</v>
      </c>
      <c r="AR731" s="314">
        <v>0</v>
      </c>
      <c r="AS731" s="314">
        <v>0</v>
      </c>
      <c r="AT731" s="314">
        <v>0</v>
      </c>
      <c r="AU731" s="314">
        <v>-1951.4355460578001</v>
      </c>
      <c r="AV731" s="314">
        <v>0</v>
      </c>
      <c r="AW731" s="314">
        <v>0</v>
      </c>
      <c r="AX731">
        <v>0</v>
      </c>
    </row>
    <row r="732" spans="1:50" x14ac:dyDescent="0.35">
      <c r="A732">
        <v>150</v>
      </c>
      <c r="B732" t="s">
        <v>80</v>
      </c>
      <c r="C732" t="s">
        <v>81</v>
      </c>
      <c r="D732" t="s">
        <v>4</v>
      </c>
      <c r="E732" t="s">
        <v>1132</v>
      </c>
      <c r="F732">
        <v>0</v>
      </c>
      <c r="G732">
        <v>5000</v>
      </c>
      <c r="H732">
        <v>5500</v>
      </c>
      <c r="I732">
        <v>6000</v>
      </c>
      <c r="J732" s="600">
        <v>16500</v>
      </c>
      <c r="K732" s="7">
        <f t="shared" si="147"/>
        <v>15</v>
      </c>
      <c r="L732" s="7">
        <f t="shared" si="148"/>
        <v>0</v>
      </c>
      <c r="M732" s="243">
        <f t="shared" si="149"/>
        <v>0</v>
      </c>
      <c r="N732" s="243">
        <f>INDEX($AN$4:$AN21628,MATCH($A732,$AH$4:$AH$2000,0))</f>
        <v>80570.634287992521</v>
      </c>
      <c r="O732" s="243">
        <f t="shared" si="150"/>
        <v>88627.697716791765</v>
      </c>
      <c r="P732" s="243">
        <f t="shared" si="151"/>
        <v>96684.761145591023</v>
      </c>
      <c r="Q732" s="243">
        <f t="shared" si="152"/>
        <v>0</v>
      </c>
      <c r="R732" s="243">
        <f t="shared" si="153"/>
        <v>-1626.1962883815004</v>
      </c>
      <c r="S732" s="243">
        <f t="shared" si="154"/>
        <v>-1788.8159172196504</v>
      </c>
      <c r="T732" s="243">
        <f t="shared" si="155"/>
        <v>-1951.4355460578004</v>
      </c>
      <c r="AA732">
        <v>977</v>
      </c>
      <c r="AB732" t="s">
        <v>0</v>
      </c>
      <c r="AC732" t="s">
        <v>1864</v>
      </c>
      <c r="AD732" t="s">
        <v>4</v>
      </c>
      <c r="AE732" t="s">
        <v>948</v>
      </c>
      <c r="AF732">
        <v>10</v>
      </c>
      <c r="AG732">
        <v>0</v>
      </c>
      <c r="AH732">
        <v>150</v>
      </c>
      <c r="AI732" t="s">
        <v>80</v>
      </c>
      <c r="AJ732" t="s">
        <v>81</v>
      </c>
      <c r="AK732" t="s">
        <v>4</v>
      </c>
      <c r="AL732" t="s">
        <v>1132</v>
      </c>
      <c r="AM732" s="314">
        <v>0</v>
      </c>
      <c r="AN732" s="314">
        <v>80570.634287992521</v>
      </c>
      <c r="AO732" s="314">
        <v>88627.697716791765</v>
      </c>
      <c r="AP732" s="314">
        <v>96684.761145591023</v>
      </c>
      <c r="AQ732" s="314">
        <v>0</v>
      </c>
      <c r="AR732" s="314">
        <v>17.255557484400001</v>
      </c>
      <c r="AS732" s="314">
        <v>18.981113232840002</v>
      </c>
      <c r="AT732" s="314">
        <v>20.706668981280004</v>
      </c>
      <c r="AU732" s="314">
        <v>0</v>
      </c>
      <c r="AV732" s="314">
        <v>-1626.1962883815004</v>
      </c>
      <c r="AW732" s="314">
        <v>-1788.8159172196504</v>
      </c>
      <c r="AX732">
        <v>-1951.4355460578004</v>
      </c>
    </row>
    <row r="733" spans="1:50" x14ac:dyDescent="0.35">
      <c r="A733">
        <v>450</v>
      </c>
      <c r="B733" t="s">
        <v>80</v>
      </c>
      <c r="C733" t="s">
        <v>1032</v>
      </c>
      <c r="D733" t="s">
        <v>4</v>
      </c>
      <c r="E733" t="s">
        <v>1133</v>
      </c>
      <c r="F733">
        <v>0</v>
      </c>
      <c r="G733">
        <v>950</v>
      </c>
      <c r="H733">
        <v>0</v>
      </c>
      <c r="I733">
        <v>0</v>
      </c>
      <c r="J733" s="600">
        <v>950</v>
      </c>
      <c r="K733" s="7">
        <f t="shared" si="147"/>
        <v>15</v>
      </c>
      <c r="L733" s="7">
        <f t="shared" si="148"/>
        <v>0</v>
      </c>
      <c r="M733" s="243">
        <f t="shared" si="149"/>
        <v>0</v>
      </c>
      <c r="N733" s="243">
        <f>INDEX($AN$4:$AN21629,MATCH($A733,$AH$4:$AH$2000,0))</f>
        <v>19051.359036428552</v>
      </c>
      <c r="O733" s="243">
        <f t="shared" si="150"/>
        <v>0</v>
      </c>
      <c r="P733" s="243">
        <f t="shared" si="151"/>
        <v>0</v>
      </c>
      <c r="Q733" s="243">
        <f t="shared" si="152"/>
        <v>0</v>
      </c>
      <c r="R733" s="243">
        <f t="shared" si="153"/>
        <v>-384.52284293709005</v>
      </c>
      <c r="S733" s="243">
        <f t="shared" si="154"/>
        <v>0</v>
      </c>
      <c r="T733" s="243">
        <f t="shared" si="155"/>
        <v>0</v>
      </c>
      <c r="AA733">
        <v>1003</v>
      </c>
      <c r="AB733" t="s">
        <v>0</v>
      </c>
      <c r="AC733" t="s">
        <v>1864</v>
      </c>
      <c r="AD733" t="s">
        <v>4</v>
      </c>
      <c r="AE733" t="s">
        <v>949</v>
      </c>
      <c r="AF733">
        <v>10</v>
      </c>
      <c r="AG733">
        <v>0</v>
      </c>
      <c r="AH733">
        <v>450</v>
      </c>
      <c r="AI733" t="s">
        <v>80</v>
      </c>
      <c r="AJ733" t="s">
        <v>1032</v>
      </c>
      <c r="AK733" t="s">
        <v>4</v>
      </c>
      <c r="AL733" t="s">
        <v>1133</v>
      </c>
      <c r="AM733" s="314">
        <v>0</v>
      </c>
      <c r="AN733" s="314">
        <v>19051.359036428552</v>
      </c>
      <c r="AO733" s="314">
        <v>0</v>
      </c>
      <c r="AP733" s="314">
        <v>0</v>
      </c>
      <c r="AQ733" s="314">
        <v>0</v>
      </c>
      <c r="AR733" s="314">
        <v>4.0801692069840003</v>
      </c>
      <c r="AS733" s="314">
        <v>0</v>
      </c>
      <c r="AT733" s="314">
        <v>0</v>
      </c>
      <c r="AU733" s="314">
        <v>0</v>
      </c>
      <c r="AV733" s="314">
        <v>-384.52284293709005</v>
      </c>
      <c r="AW733" s="314">
        <v>0</v>
      </c>
      <c r="AX733">
        <v>0</v>
      </c>
    </row>
    <row r="734" spans="1:50" x14ac:dyDescent="0.35">
      <c r="A734">
        <v>451</v>
      </c>
      <c r="B734" t="s">
        <v>80</v>
      </c>
      <c r="C734" t="s">
        <v>1032</v>
      </c>
      <c r="D734" t="s">
        <v>4</v>
      </c>
      <c r="E734" t="s">
        <v>1134</v>
      </c>
      <c r="F734">
        <v>0</v>
      </c>
      <c r="G734">
        <v>0</v>
      </c>
      <c r="H734">
        <v>1000</v>
      </c>
      <c r="I734">
        <v>1050</v>
      </c>
      <c r="J734" s="600">
        <v>2050</v>
      </c>
      <c r="K734" s="7">
        <f t="shared" si="147"/>
        <v>15</v>
      </c>
      <c r="L734" s="7">
        <f t="shared" si="148"/>
        <v>0</v>
      </c>
      <c r="M734" s="243">
        <f t="shared" si="149"/>
        <v>0</v>
      </c>
      <c r="N734" s="243">
        <f>INDEX($AN$4:$AN21630,MATCH($A734,$AH$4:$AH$2000,0))</f>
        <v>0</v>
      </c>
      <c r="O734" s="243">
        <f t="shared" si="150"/>
        <v>20054.062143609</v>
      </c>
      <c r="P734" s="243">
        <f t="shared" si="151"/>
        <v>21056.765250789453</v>
      </c>
      <c r="Q734" s="243">
        <f t="shared" si="152"/>
        <v>0</v>
      </c>
      <c r="R734" s="243">
        <f t="shared" si="153"/>
        <v>0</v>
      </c>
      <c r="S734" s="243">
        <f t="shared" si="154"/>
        <v>-404.76088730220005</v>
      </c>
      <c r="T734" s="243">
        <f t="shared" si="155"/>
        <v>-424.99893166731005</v>
      </c>
      <c r="AA734">
        <v>1004</v>
      </c>
      <c r="AB734" t="s">
        <v>0</v>
      </c>
      <c r="AC734" t="s">
        <v>1864</v>
      </c>
      <c r="AD734" t="s">
        <v>4</v>
      </c>
      <c r="AE734" t="s">
        <v>950</v>
      </c>
      <c r="AF734">
        <v>10</v>
      </c>
      <c r="AG734">
        <v>0</v>
      </c>
      <c r="AH734">
        <v>451</v>
      </c>
      <c r="AI734" t="s">
        <v>80</v>
      </c>
      <c r="AJ734" t="s">
        <v>1032</v>
      </c>
      <c r="AK734" t="s">
        <v>4</v>
      </c>
      <c r="AL734" t="s">
        <v>1134</v>
      </c>
      <c r="AM734" s="314">
        <v>0</v>
      </c>
      <c r="AN734" s="314">
        <v>0</v>
      </c>
      <c r="AO734" s="314">
        <v>20054.062143609</v>
      </c>
      <c r="AP734" s="314">
        <v>21056.765250789453</v>
      </c>
      <c r="AQ734" s="314">
        <v>0</v>
      </c>
      <c r="AR734" s="314">
        <v>0</v>
      </c>
      <c r="AS734" s="314">
        <v>4.2949149547200003</v>
      </c>
      <c r="AT734" s="314">
        <v>4.5096607024560003</v>
      </c>
      <c r="AU734" s="314">
        <v>0</v>
      </c>
      <c r="AV734" s="314">
        <v>0</v>
      </c>
      <c r="AW734" s="314">
        <v>-404.76088730220005</v>
      </c>
      <c r="AX734">
        <v>-424.99893166731005</v>
      </c>
    </row>
    <row r="735" spans="1:50" x14ac:dyDescent="0.35">
      <c r="A735">
        <v>375</v>
      </c>
      <c r="B735" t="s">
        <v>80</v>
      </c>
      <c r="C735" t="s">
        <v>1054</v>
      </c>
      <c r="D735" t="s">
        <v>4</v>
      </c>
      <c r="E735" t="s">
        <v>1133</v>
      </c>
      <c r="F735">
        <v>0</v>
      </c>
      <c r="G735">
        <v>2000</v>
      </c>
      <c r="H735">
        <v>0</v>
      </c>
      <c r="I735">
        <v>0</v>
      </c>
      <c r="J735" s="600">
        <v>2000</v>
      </c>
      <c r="K735" s="7">
        <f t="shared" si="147"/>
        <v>15</v>
      </c>
      <c r="L735" s="7">
        <f t="shared" si="148"/>
        <v>0</v>
      </c>
      <c r="M735" s="243">
        <f t="shared" si="149"/>
        <v>0</v>
      </c>
      <c r="N735" s="243">
        <f>INDEX($AN$4:$AN21631,MATCH($A735,$AH$4:$AH$2000,0))</f>
        <v>37523.19320010001</v>
      </c>
      <c r="O735" s="243">
        <f t="shared" si="150"/>
        <v>0</v>
      </c>
      <c r="P735" s="243">
        <f t="shared" si="151"/>
        <v>0</v>
      </c>
      <c r="Q735" s="243">
        <f t="shared" si="152"/>
        <v>0</v>
      </c>
      <c r="R735" s="243">
        <f t="shared" si="153"/>
        <v>-757.3488535800002</v>
      </c>
      <c r="S735" s="243">
        <f t="shared" si="154"/>
        <v>0</v>
      </c>
      <c r="T735" s="243">
        <f t="shared" si="155"/>
        <v>0</v>
      </c>
      <c r="AA735">
        <v>1005</v>
      </c>
      <c r="AB735" t="s">
        <v>0</v>
      </c>
      <c r="AC735" t="s">
        <v>1864</v>
      </c>
      <c r="AD735" t="s">
        <v>4</v>
      </c>
      <c r="AE735" t="s">
        <v>951</v>
      </c>
      <c r="AF735">
        <v>11</v>
      </c>
      <c r="AG735">
        <v>1</v>
      </c>
      <c r="AH735">
        <v>375</v>
      </c>
      <c r="AI735" t="s">
        <v>80</v>
      </c>
      <c r="AJ735" t="s">
        <v>1054</v>
      </c>
      <c r="AK735" t="s">
        <v>4</v>
      </c>
      <c r="AL735" t="s">
        <v>1133</v>
      </c>
      <c r="AM735" s="314">
        <v>0</v>
      </c>
      <c r="AN735" s="314">
        <v>37523.19320010001</v>
      </c>
      <c r="AO735" s="314">
        <v>0</v>
      </c>
      <c r="AP735" s="314">
        <v>0</v>
      </c>
      <c r="AQ735" s="314">
        <v>0</v>
      </c>
      <c r="AR735" s="314">
        <v>8.0362234080000015</v>
      </c>
      <c r="AS735" s="314">
        <v>0</v>
      </c>
      <c r="AT735" s="314">
        <v>0</v>
      </c>
      <c r="AU735" s="314">
        <v>0</v>
      </c>
      <c r="AV735" s="314">
        <v>-757.3488535800002</v>
      </c>
      <c r="AW735" s="314">
        <v>0</v>
      </c>
      <c r="AX735">
        <v>0</v>
      </c>
    </row>
    <row r="736" spans="1:50" x14ac:dyDescent="0.35">
      <c r="A736">
        <v>376</v>
      </c>
      <c r="B736" t="s">
        <v>80</v>
      </c>
      <c r="C736" t="s">
        <v>1054</v>
      </c>
      <c r="D736" t="s">
        <v>4</v>
      </c>
      <c r="E736" t="s">
        <v>1134</v>
      </c>
      <c r="F736">
        <v>0</v>
      </c>
      <c r="G736">
        <v>0</v>
      </c>
      <c r="H736">
        <v>2000</v>
      </c>
      <c r="I736">
        <v>2000</v>
      </c>
      <c r="J736" s="600">
        <v>4000</v>
      </c>
      <c r="K736" s="7">
        <f t="shared" si="147"/>
        <v>15</v>
      </c>
      <c r="L736" s="7">
        <f t="shared" si="148"/>
        <v>0</v>
      </c>
      <c r="M736" s="243">
        <f t="shared" si="149"/>
        <v>0</v>
      </c>
      <c r="N736" s="243">
        <f>INDEX($AN$4:$AN21632,MATCH($A736,$AH$4:$AH$2000,0))</f>
        <v>0</v>
      </c>
      <c r="O736" s="243">
        <f t="shared" si="150"/>
        <v>37523.19320010001</v>
      </c>
      <c r="P736" s="243">
        <f t="shared" si="151"/>
        <v>37523.19320010001</v>
      </c>
      <c r="Q736" s="243">
        <f t="shared" si="152"/>
        <v>0</v>
      </c>
      <c r="R736" s="243">
        <f t="shared" si="153"/>
        <v>0</v>
      </c>
      <c r="S736" s="243">
        <f t="shared" si="154"/>
        <v>-757.3488535800002</v>
      </c>
      <c r="T736" s="243">
        <f t="shared" si="155"/>
        <v>-757.3488535800002</v>
      </c>
      <c r="AA736">
        <v>1031</v>
      </c>
      <c r="AB736" t="s">
        <v>0</v>
      </c>
      <c r="AC736" t="s">
        <v>1864</v>
      </c>
      <c r="AD736" t="s">
        <v>4</v>
      </c>
      <c r="AE736" t="s">
        <v>952</v>
      </c>
      <c r="AF736">
        <v>10</v>
      </c>
      <c r="AG736">
        <v>0</v>
      </c>
      <c r="AH736">
        <v>376</v>
      </c>
      <c r="AI736" t="s">
        <v>80</v>
      </c>
      <c r="AJ736" t="s">
        <v>1054</v>
      </c>
      <c r="AK736" t="s">
        <v>4</v>
      </c>
      <c r="AL736" t="s">
        <v>1134</v>
      </c>
      <c r="AM736" s="314">
        <v>0</v>
      </c>
      <c r="AN736" s="314">
        <v>0</v>
      </c>
      <c r="AO736" s="314">
        <v>37523.19320010001</v>
      </c>
      <c r="AP736" s="314">
        <v>37523.19320010001</v>
      </c>
      <c r="AQ736" s="314">
        <v>0</v>
      </c>
      <c r="AR736" s="314">
        <v>0</v>
      </c>
      <c r="AS736" s="314">
        <v>8.0362234080000015</v>
      </c>
      <c r="AT736" s="314">
        <v>8.0362234080000015</v>
      </c>
      <c r="AU736" s="314">
        <v>0</v>
      </c>
      <c r="AV736" s="314">
        <v>0</v>
      </c>
      <c r="AW736" s="314">
        <v>-757.3488535800002</v>
      </c>
      <c r="AX736">
        <v>-757.3488535800002</v>
      </c>
    </row>
    <row r="737" spans="1:50" x14ac:dyDescent="0.35">
      <c r="A737">
        <v>490</v>
      </c>
      <c r="B737" t="s">
        <v>0</v>
      </c>
      <c r="C737" t="s">
        <v>1858</v>
      </c>
      <c r="D737">
        <v>0</v>
      </c>
      <c r="E737" t="s">
        <v>1008</v>
      </c>
      <c r="F737">
        <v>1</v>
      </c>
      <c r="G737">
        <v>0</v>
      </c>
      <c r="H737">
        <v>0</v>
      </c>
      <c r="I737">
        <v>0</v>
      </c>
      <c r="J737" s="600">
        <v>1</v>
      </c>
      <c r="K737" s="7">
        <f t="shared" si="147"/>
        <v>15</v>
      </c>
      <c r="L737" s="7">
        <f t="shared" si="148"/>
        <v>0</v>
      </c>
      <c r="M737" s="243">
        <f t="shared" si="149"/>
        <v>1010522.76</v>
      </c>
      <c r="N737" s="243">
        <f>INDEX($AN$4:$AN21633,MATCH($A737,$AH$4:$AH$2000,0))</f>
        <v>0</v>
      </c>
      <c r="O737" s="243">
        <f t="shared" si="150"/>
        <v>0</v>
      </c>
      <c r="P737" s="243">
        <f t="shared" si="151"/>
        <v>0</v>
      </c>
      <c r="Q737" s="243">
        <f t="shared" si="152"/>
        <v>8892</v>
      </c>
      <c r="R737" s="243">
        <f t="shared" si="153"/>
        <v>0</v>
      </c>
      <c r="S737" s="243">
        <f t="shared" si="154"/>
        <v>0</v>
      </c>
      <c r="T737" s="243">
        <f t="shared" si="155"/>
        <v>0</v>
      </c>
      <c r="AA737">
        <v>1032</v>
      </c>
      <c r="AB737" t="s">
        <v>0</v>
      </c>
      <c r="AC737" t="s">
        <v>1864</v>
      </c>
      <c r="AD737" t="s">
        <v>4</v>
      </c>
      <c r="AE737" t="s">
        <v>953</v>
      </c>
      <c r="AF737">
        <v>11</v>
      </c>
      <c r="AG737">
        <v>1</v>
      </c>
      <c r="AH737">
        <v>490</v>
      </c>
      <c r="AI737" t="s">
        <v>0</v>
      </c>
      <c r="AJ737" t="s">
        <v>1858</v>
      </c>
      <c r="AK737">
        <v>0</v>
      </c>
      <c r="AL737" t="s">
        <v>1008</v>
      </c>
      <c r="AM737" s="314">
        <v>1010522.76</v>
      </c>
      <c r="AN737" s="314">
        <v>0</v>
      </c>
      <c r="AO737" s="314">
        <v>0</v>
      </c>
      <c r="AP737" s="314">
        <v>0</v>
      </c>
      <c r="AQ737" s="314">
        <v>0</v>
      </c>
      <c r="AR737" s="314">
        <v>0</v>
      </c>
      <c r="AS737" s="314">
        <v>0</v>
      </c>
      <c r="AT737" s="314">
        <v>0</v>
      </c>
      <c r="AU737" s="314">
        <v>8892</v>
      </c>
      <c r="AV737" s="314">
        <v>0</v>
      </c>
      <c r="AW737" s="314">
        <v>0</v>
      </c>
      <c r="AX737">
        <v>0</v>
      </c>
    </row>
    <row r="738" spans="1:50" x14ac:dyDescent="0.35">
      <c r="A738">
        <v>143</v>
      </c>
      <c r="B738" t="s">
        <v>80</v>
      </c>
      <c r="C738" t="s">
        <v>81</v>
      </c>
      <c r="D738" t="s">
        <v>4</v>
      </c>
      <c r="E738" t="s">
        <v>1865</v>
      </c>
      <c r="F738">
        <v>0</v>
      </c>
      <c r="G738">
        <v>2248</v>
      </c>
      <c r="H738">
        <v>0</v>
      </c>
      <c r="I738">
        <v>0</v>
      </c>
      <c r="J738" s="600">
        <v>2248</v>
      </c>
      <c r="K738" s="7">
        <f t="shared" si="147"/>
        <v>15</v>
      </c>
      <c r="L738" s="7">
        <f t="shared" si="148"/>
        <v>0</v>
      </c>
      <c r="M738" s="243">
        <f t="shared" si="149"/>
        <v>0</v>
      </c>
      <c r="N738" s="243">
        <f>INDEX($AN$4:$AN21634,MATCH($A738,$AH$4:$AH$2000,0))</f>
        <v>341414.57691644022</v>
      </c>
      <c r="O738" s="243">
        <f t="shared" si="150"/>
        <v>0</v>
      </c>
      <c r="P738" s="243">
        <f t="shared" si="151"/>
        <v>0</v>
      </c>
      <c r="Q738" s="243">
        <f t="shared" si="152"/>
        <v>0</v>
      </c>
      <c r="R738" s="243">
        <f t="shared" si="153"/>
        <v>-4287.2569228231987</v>
      </c>
      <c r="S738" s="243">
        <f t="shared" si="154"/>
        <v>0</v>
      </c>
      <c r="T738" s="243">
        <f t="shared" si="155"/>
        <v>0</v>
      </c>
      <c r="AA738">
        <v>1033</v>
      </c>
      <c r="AB738" t="s">
        <v>0</v>
      </c>
      <c r="AC738" t="s">
        <v>1864</v>
      </c>
      <c r="AD738" t="s">
        <v>4</v>
      </c>
      <c r="AE738" t="s">
        <v>954</v>
      </c>
      <c r="AF738">
        <v>12</v>
      </c>
      <c r="AG738">
        <v>2</v>
      </c>
      <c r="AH738">
        <v>143</v>
      </c>
      <c r="AI738" t="s">
        <v>80</v>
      </c>
      <c r="AJ738" t="s">
        <v>81</v>
      </c>
      <c r="AK738" t="s">
        <v>4</v>
      </c>
      <c r="AL738" t="s">
        <v>1865</v>
      </c>
      <c r="AM738" s="314">
        <v>0</v>
      </c>
      <c r="AN738" s="314">
        <v>341414.57691644022</v>
      </c>
      <c r="AO738" s="314">
        <v>0</v>
      </c>
      <c r="AP738" s="314">
        <v>0</v>
      </c>
      <c r="AQ738" s="314">
        <v>0</v>
      </c>
      <c r="AR738" s="314">
        <v>79.735200534542329</v>
      </c>
      <c r="AS738" s="314">
        <v>0</v>
      </c>
      <c r="AT738" s="314">
        <v>0</v>
      </c>
      <c r="AU738" s="314">
        <v>0</v>
      </c>
      <c r="AV738" s="314">
        <v>-4287.2569228231987</v>
      </c>
      <c r="AW738" s="314">
        <v>0</v>
      </c>
      <c r="AX738">
        <v>0</v>
      </c>
    </row>
    <row r="739" spans="1:50" x14ac:dyDescent="0.35">
      <c r="A739">
        <v>144</v>
      </c>
      <c r="B739" t="s">
        <v>80</v>
      </c>
      <c r="C739" t="s">
        <v>81</v>
      </c>
      <c r="D739" t="s">
        <v>4</v>
      </c>
      <c r="E739" t="s">
        <v>1866</v>
      </c>
      <c r="F739">
        <v>0</v>
      </c>
      <c r="G739">
        <v>0</v>
      </c>
      <c r="H739">
        <v>2257</v>
      </c>
      <c r="I739">
        <v>0</v>
      </c>
      <c r="J739" s="600">
        <v>2257</v>
      </c>
      <c r="K739" s="7">
        <f t="shared" ref="K739:K747" si="156">INDEX($AF$4:$AF$2000,MATCH(A739,$AA$4:$AA$2000,0))</f>
        <v>15</v>
      </c>
      <c r="L739" s="7">
        <f t="shared" ref="L739:L747" si="157">INDEX($AG$4:$AG$2000,MATCH(A739,$AA$4:$AA$2000,0))</f>
        <v>0</v>
      </c>
      <c r="M739" s="243">
        <f t="shared" si="149"/>
        <v>0</v>
      </c>
      <c r="N739" s="243">
        <f>INDEX($AN$4:$AN21635,MATCH($A739,$AH$4:$AH$2000,0))</f>
        <v>0</v>
      </c>
      <c r="O739" s="243">
        <f t="shared" si="150"/>
        <v>319075.95573970955</v>
      </c>
      <c r="P739" s="243">
        <f t="shared" si="151"/>
        <v>0</v>
      </c>
      <c r="Q739" s="243">
        <f t="shared" si="152"/>
        <v>0</v>
      </c>
      <c r="R739" s="243">
        <f t="shared" si="153"/>
        <v>0</v>
      </c>
      <c r="S739" s="243">
        <f t="shared" si="154"/>
        <v>-4006.7433924659317</v>
      </c>
      <c r="T739" s="243">
        <f t="shared" si="155"/>
        <v>0</v>
      </c>
      <c r="AA739">
        <v>950</v>
      </c>
      <c r="AB739" t="s">
        <v>0</v>
      </c>
      <c r="AC739" t="s">
        <v>1864</v>
      </c>
      <c r="AD739" t="s">
        <v>4</v>
      </c>
      <c r="AE739" t="s">
        <v>955</v>
      </c>
      <c r="AF739">
        <v>10</v>
      </c>
      <c r="AG739">
        <v>0</v>
      </c>
      <c r="AH739">
        <v>144</v>
      </c>
      <c r="AI739" t="s">
        <v>80</v>
      </c>
      <c r="AJ739" t="s">
        <v>81</v>
      </c>
      <c r="AK739" t="s">
        <v>4</v>
      </c>
      <c r="AL739" t="s">
        <v>1866</v>
      </c>
      <c r="AM739" s="314">
        <v>0</v>
      </c>
      <c r="AN739" s="314">
        <v>0</v>
      </c>
      <c r="AO739" s="314">
        <v>319075.95573970955</v>
      </c>
      <c r="AP739" s="314">
        <v>0</v>
      </c>
      <c r="AQ739" s="314">
        <v>0</v>
      </c>
      <c r="AR739" s="314">
        <v>0</v>
      </c>
      <c r="AS739" s="314">
        <v>74.518157796417739</v>
      </c>
      <c r="AT739" s="314">
        <v>0</v>
      </c>
      <c r="AU739" s="314">
        <v>0</v>
      </c>
      <c r="AV739" s="314">
        <v>0</v>
      </c>
      <c r="AW739" s="314">
        <v>-4006.7433924659317</v>
      </c>
      <c r="AX739">
        <v>0</v>
      </c>
    </row>
    <row r="740" spans="1:50" x14ac:dyDescent="0.35">
      <c r="A740">
        <v>145</v>
      </c>
      <c r="B740" t="s">
        <v>80</v>
      </c>
      <c r="C740" t="s">
        <v>81</v>
      </c>
      <c r="D740" t="s">
        <v>4</v>
      </c>
      <c r="E740" t="s">
        <v>1867</v>
      </c>
      <c r="F740">
        <v>0</v>
      </c>
      <c r="G740">
        <v>0</v>
      </c>
      <c r="H740">
        <v>0</v>
      </c>
      <c r="I740">
        <v>2252</v>
      </c>
      <c r="J740" s="600">
        <v>2252</v>
      </c>
      <c r="K740" s="7">
        <f t="shared" si="156"/>
        <v>15</v>
      </c>
      <c r="L740" s="7">
        <f t="shared" si="157"/>
        <v>0</v>
      </c>
      <c r="M740" s="243">
        <f t="shared" si="149"/>
        <v>0</v>
      </c>
      <c r="N740" s="243">
        <f>INDEX($AN$4:$AN21636,MATCH($A740,$AH$4:$AH$2000,0))</f>
        <v>0</v>
      </c>
      <c r="O740" s="243">
        <f t="shared" si="150"/>
        <v>0</v>
      </c>
      <c r="P740" s="243">
        <f t="shared" si="151"/>
        <v>294716.11818801763</v>
      </c>
      <c r="Q740" s="243">
        <f t="shared" si="152"/>
        <v>0</v>
      </c>
      <c r="R740" s="243">
        <f t="shared" si="153"/>
        <v>0</v>
      </c>
      <c r="S740" s="243">
        <f t="shared" si="154"/>
        <v>0</v>
      </c>
      <c r="T740" s="243">
        <f t="shared" si="155"/>
        <v>-3700.8487727177539</v>
      </c>
      <c r="AA740">
        <v>951</v>
      </c>
      <c r="AB740" t="s">
        <v>0</v>
      </c>
      <c r="AC740" t="s">
        <v>1864</v>
      </c>
      <c r="AD740" t="s">
        <v>4</v>
      </c>
      <c r="AE740" t="s">
        <v>956</v>
      </c>
      <c r="AF740">
        <v>10</v>
      </c>
      <c r="AG740">
        <v>0</v>
      </c>
      <c r="AH740">
        <v>145</v>
      </c>
      <c r="AI740" t="s">
        <v>80</v>
      </c>
      <c r="AJ740" t="s">
        <v>81</v>
      </c>
      <c r="AK740" t="s">
        <v>4</v>
      </c>
      <c r="AL740" t="s">
        <v>1867</v>
      </c>
      <c r="AM740" s="314">
        <v>0</v>
      </c>
      <c r="AN740" s="314">
        <v>0</v>
      </c>
      <c r="AO740" s="314">
        <v>0</v>
      </c>
      <c r="AP740" s="314">
        <v>294716.11818801763</v>
      </c>
      <c r="AQ740" s="314">
        <v>0</v>
      </c>
      <c r="AR740" s="314">
        <v>0</v>
      </c>
      <c r="AS740" s="314">
        <v>0</v>
      </c>
      <c r="AT740" s="314">
        <v>68.829072843702306</v>
      </c>
      <c r="AU740" s="314">
        <v>0</v>
      </c>
      <c r="AV740" s="314">
        <v>0</v>
      </c>
      <c r="AW740" s="314">
        <v>0</v>
      </c>
      <c r="AX740">
        <v>-3700.8487727177539</v>
      </c>
    </row>
    <row r="741" spans="1:50" x14ac:dyDescent="0.35">
      <c r="A741">
        <v>372</v>
      </c>
      <c r="B741" t="s">
        <v>80</v>
      </c>
      <c r="C741" t="s">
        <v>1054</v>
      </c>
      <c r="D741" t="s">
        <v>4</v>
      </c>
      <c r="E741" t="s">
        <v>1865</v>
      </c>
      <c r="F741">
        <v>0</v>
      </c>
      <c r="G741">
        <v>990</v>
      </c>
      <c r="H741">
        <v>0</v>
      </c>
      <c r="I741">
        <v>0</v>
      </c>
      <c r="J741" s="600">
        <v>990</v>
      </c>
      <c r="K741" s="7">
        <f t="shared" si="156"/>
        <v>15</v>
      </c>
      <c r="L741" s="7">
        <f t="shared" si="157"/>
        <v>0</v>
      </c>
      <c r="M741" s="243">
        <f t="shared" si="149"/>
        <v>0</v>
      </c>
      <c r="N741" s="243">
        <f>INDEX($AN$4:$AN21637,MATCH($A741,$AH$4:$AH$2000,0))</f>
        <v>123737.00952722019</v>
      </c>
      <c r="O741" s="243">
        <f t="shared" si="150"/>
        <v>0</v>
      </c>
      <c r="P741" s="243">
        <f t="shared" si="151"/>
        <v>0</v>
      </c>
      <c r="Q741" s="243">
        <f t="shared" si="152"/>
        <v>0</v>
      </c>
      <c r="R741" s="243">
        <f t="shared" si="153"/>
        <v>-2219.7242488517359</v>
      </c>
      <c r="S741" s="243">
        <f t="shared" si="154"/>
        <v>0</v>
      </c>
      <c r="T741" s="243">
        <f t="shared" si="155"/>
        <v>0</v>
      </c>
      <c r="AA741">
        <v>952</v>
      </c>
      <c r="AB741" t="s">
        <v>0</v>
      </c>
      <c r="AC741" t="s">
        <v>1864</v>
      </c>
      <c r="AD741" t="s">
        <v>4</v>
      </c>
      <c r="AE741" t="s">
        <v>957</v>
      </c>
      <c r="AF741">
        <v>10</v>
      </c>
      <c r="AG741">
        <v>0</v>
      </c>
      <c r="AH741">
        <v>372</v>
      </c>
      <c r="AI741" t="s">
        <v>80</v>
      </c>
      <c r="AJ741" t="s">
        <v>1054</v>
      </c>
      <c r="AK741" t="s">
        <v>4</v>
      </c>
      <c r="AL741" t="s">
        <v>1865</v>
      </c>
      <c r="AM741" s="314">
        <v>0</v>
      </c>
      <c r="AN741" s="314">
        <v>123737.00952722019</v>
      </c>
      <c r="AO741" s="314">
        <v>0</v>
      </c>
      <c r="AP741" s="314">
        <v>0</v>
      </c>
      <c r="AQ741" s="314">
        <v>0</v>
      </c>
      <c r="AR741" s="314">
        <v>28.897990698892119</v>
      </c>
      <c r="AS741" s="314">
        <v>0</v>
      </c>
      <c r="AT741" s="314">
        <v>0</v>
      </c>
      <c r="AU741" s="314">
        <v>0</v>
      </c>
      <c r="AV741" s="314">
        <v>-2219.7242488517359</v>
      </c>
      <c r="AW741" s="314">
        <v>0</v>
      </c>
      <c r="AX741">
        <v>0</v>
      </c>
    </row>
    <row r="742" spans="1:50" x14ac:dyDescent="0.35">
      <c r="A742">
        <v>373</v>
      </c>
      <c r="B742" t="s">
        <v>80</v>
      </c>
      <c r="C742" t="s">
        <v>1054</v>
      </c>
      <c r="D742" t="s">
        <v>4</v>
      </c>
      <c r="E742" t="s">
        <v>1866</v>
      </c>
      <c r="F742">
        <v>0</v>
      </c>
      <c r="G742">
        <v>0</v>
      </c>
      <c r="H742">
        <v>994</v>
      </c>
      <c r="I742">
        <v>0</v>
      </c>
      <c r="J742" s="600">
        <v>994</v>
      </c>
      <c r="K742" s="7">
        <f t="shared" si="156"/>
        <v>15</v>
      </c>
      <c r="L742" s="7">
        <f t="shared" si="157"/>
        <v>0</v>
      </c>
      <c r="M742" s="243">
        <f t="shared" si="149"/>
        <v>0</v>
      </c>
      <c r="N742" s="243">
        <f>INDEX($AN$4:$AN21638,MATCH($A742,$AH$4:$AH$2000,0))</f>
        <v>0</v>
      </c>
      <c r="O742" s="243">
        <f t="shared" si="150"/>
        <v>116928.90074396374</v>
      </c>
      <c r="P742" s="243">
        <f t="shared" si="151"/>
        <v>0</v>
      </c>
      <c r="Q742" s="243">
        <f t="shared" si="152"/>
        <v>0</v>
      </c>
      <c r="R742" s="243">
        <f t="shared" si="153"/>
        <v>0</v>
      </c>
      <c r="S742" s="243">
        <f t="shared" si="154"/>
        <v>-2097.5932533415335</v>
      </c>
      <c r="T742" s="243">
        <f t="shared" si="155"/>
        <v>0</v>
      </c>
      <c r="AA742">
        <v>978</v>
      </c>
      <c r="AB742" t="s">
        <v>0</v>
      </c>
      <c r="AC742" t="s">
        <v>1864</v>
      </c>
      <c r="AD742" t="s">
        <v>4</v>
      </c>
      <c r="AE742" t="s">
        <v>958</v>
      </c>
      <c r="AF742">
        <v>10</v>
      </c>
      <c r="AG742">
        <v>0</v>
      </c>
      <c r="AH742">
        <v>373</v>
      </c>
      <c r="AI742" t="s">
        <v>80</v>
      </c>
      <c r="AJ742" t="s">
        <v>1054</v>
      </c>
      <c r="AK742" t="s">
        <v>4</v>
      </c>
      <c r="AL742" t="s">
        <v>1866</v>
      </c>
      <c r="AM742" s="314">
        <v>0</v>
      </c>
      <c r="AN742" s="314">
        <v>0</v>
      </c>
      <c r="AO742" s="314">
        <v>116928.90074396374</v>
      </c>
      <c r="AP742" s="314">
        <v>0</v>
      </c>
      <c r="AQ742" s="314">
        <v>0</v>
      </c>
      <c r="AR742" s="314">
        <v>0</v>
      </c>
      <c r="AS742" s="314">
        <v>27.308000242137862</v>
      </c>
      <c r="AT742" s="314">
        <v>0</v>
      </c>
      <c r="AU742" s="314">
        <v>0</v>
      </c>
      <c r="AV742" s="314">
        <v>0</v>
      </c>
      <c r="AW742" s="314">
        <v>-2097.5932533415335</v>
      </c>
      <c r="AX742">
        <v>0</v>
      </c>
    </row>
    <row r="743" spans="1:50" x14ac:dyDescent="0.35">
      <c r="A743">
        <v>374</v>
      </c>
      <c r="B743" t="s">
        <v>80</v>
      </c>
      <c r="C743" t="s">
        <v>1054</v>
      </c>
      <c r="D743" t="s">
        <v>4</v>
      </c>
      <c r="E743" t="s">
        <v>1867</v>
      </c>
      <c r="F743">
        <v>0</v>
      </c>
      <c r="G743">
        <v>0</v>
      </c>
      <c r="H743">
        <v>0</v>
      </c>
      <c r="I743">
        <v>991</v>
      </c>
      <c r="J743" s="600">
        <v>991</v>
      </c>
      <c r="K743" s="7">
        <f t="shared" si="156"/>
        <v>15</v>
      </c>
      <c r="L743" s="7">
        <f t="shared" si="157"/>
        <v>0</v>
      </c>
      <c r="M743" s="243">
        <f t="shared" si="149"/>
        <v>0</v>
      </c>
      <c r="N743" s="243">
        <f>INDEX($AN$4:$AN21639,MATCH($A743,$AH$4:$AH$2000,0))</f>
        <v>0</v>
      </c>
      <c r="O743" s="243">
        <f t="shared" si="150"/>
        <v>0</v>
      </c>
      <c r="P743" s="243">
        <f t="shared" si="151"/>
        <v>109289.99682840925</v>
      </c>
      <c r="Q743" s="243">
        <f t="shared" si="152"/>
        <v>0</v>
      </c>
      <c r="R743" s="243">
        <f t="shared" si="153"/>
        <v>0</v>
      </c>
      <c r="S743" s="243">
        <f t="shared" si="154"/>
        <v>0</v>
      </c>
      <c r="T743" s="243">
        <f t="shared" si="155"/>
        <v>-1960.5585834332176</v>
      </c>
      <c r="AA743">
        <v>979</v>
      </c>
      <c r="AB743" t="s">
        <v>0</v>
      </c>
      <c r="AC743" t="s">
        <v>1864</v>
      </c>
      <c r="AD743" t="s">
        <v>4</v>
      </c>
      <c r="AE743" t="s">
        <v>959</v>
      </c>
      <c r="AF743">
        <v>10</v>
      </c>
      <c r="AG743">
        <v>0</v>
      </c>
      <c r="AH743">
        <v>374</v>
      </c>
      <c r="AI743" t="s">
        <v>80</v>
      </c>
      <c r="AJ743" t="s">
        <v>1054</v>
      </c>
      <c r="AK743" t="s">
        <v>4</v>
      </c>
      <c r="AL743" t="s">
        <v>1867</v>
      </c>
      <c r="AM743" s="314">
        <v>0</v>
      </c>
      <c r="AN743" s="314">
        <v>0</v>
      </c>
      <c r="AO743" s="314">
        <v>0</v>
      </c>
      <c r="AP743" s="314">
        <v>109289.99682840925</v>
      </c>
      <c r="AQ743" s="314">
        <v>0</v>
      </c>
      <c r="AR743" s="314">
        <v>0</v>
      </c>
      <c r="AS743" s="314">
        <v>0</v>
      </c>
      <c r="AT743" s="314">
        <v>25.52398287219437</v>
      </c>
      <c r="AU743" s="314">
        <v>0</v>
      </c>
      <c r="AV743" s="314">
        <v>0</v>
      </c>
      <c r="AW743" s="314">
        <v>0</v>
      </c>
      <c r="AX743">
        <v>-1960.5585834332176</v>
      </c>
    </row>
    <row r="744" spans="1:50" x14ac:dyDescent="0.35">
      <c r="A744">
        <v>445</v>
      </c>
      <c r="B744" t="s">
        <v>80</v>
      </c>
      <c r="C744" t="s">
        <v>1032</v>
      </c>
      <c r="D744" t="s">
        <v>4</v>
      </c>
      <c r="E744" t="s">
        <v>1865</v>
      </c>
      <c r="F744">
        <v>0</v>
      </c>
      <c r="G744">
        <v>1349</v>
      </c>
      <c r="H744">
        <v>0</v>
      </c>
      <c r="I744">
        <v>0</v>
      </c>
      <c r="J744" s="600">
        <v>1349</v>
      </c>
      <c r="K744" s="7">
        <f t="shared" si="156"/>
        <v>15</v>
      </c>
      <c r="L744" s="7">
        <f t="shared" si="157"/>
        <v>0</v>
      </c>
      <c r="M744" s="243">
        <f t="shared" si="149"/>
        <v>0</v>
      </c>
      <c r="N744" s="243">
        <f>INDEX($AN$4:$AN21640,MATCH($A744,$AH$4:$AH$2000,0))</f>
        <v>232593.06031661527</v>
      </c>
      <c r="O744" s="243">
        <f t="shared" si="150"/>
        <v>0</v>
      </c>
      <c r="P744" s="243">
        <f t="shared" si="151"/>
        <v>0</v>
      </c>
      <c r="Q744" s="243">
        <f t="shared" si="152"/>
        <v>0</v>
      </c>
      <c r="R744" s="243">
        <f t="shared" si="153"/>
        <v>-3245.2764190984012</v>
      </c>
      <c r="S744" s="243">
        <f t="shared" si="154"/>
        <v>0</v>
      </c>
      <c r="T744" s="243">
        <f t="shared" si="155"/>
        <v>0</v>
      </c>
      <c r="AA744">
        <v>980</v>
      </c>
      <c r="AB744" t="s">
        <v>0</v>
      </c>
      <c r="AC744" t="s">
        <v>1864</v>
      </c>
      <c r="AD744" t="s">
        <v>4</v>
      </c>
      <c r="AE744" t="s">
        <v>960</v>
      </c>
      <c r="AF744">
        <v>10</v>
      </c>
      <c r="AG744">
        <v>0</v>
      </c>
      <c r="AH744">
        <v>445</v>
      </c>
      <c r="AI744" t="s">
        <v>80</v>
      </c>
      <c r="AJ744" t="s">
        <v>1032</v>
      </c>
      <c r="AK744" t="s">
        <v>4</v>
      </c>
      <c r="AL744" t="s">
        <v>1865</v>
      </c>
      <c r="AM744" s="314">
        <v>0</v>
      </c>
      <c r="AN744" s="314">
        <v>232593.06031661527</v>
      </c>
      <c r="AO744" s="314">
        <v>0</v>
      </c>
      <c r="AP744" s="314">
        <v>0</v>
      </c>
      <c r="AQ744" s="314">
        <v>0</v>
      </c>
      <c r="AR744" s="314">
        <v>54.320628236758736</v>
      </c>
      <c r="AS744" s="314">
        <v>0</v>
      </c>
      <c r="AT744" s="314">
        <v>0</v>
      </c>
      <c r="AU744" s="314">
        <v>0</v>
      </c>
      <c r="AV744" s="314">
        <v>-3245.2764190984012</v>
      </c>
      <c r="AW744" s="314">
        <v>0</v>
      </c>
      <c r="AX744">
        <v>0</v>
      </c>
    </row>
    <row r="745" spans="1:50" x14ac:dyDescent="0.35">
      <c r="A745">
        <v>446</v>
      </c>
      <c r="B745" t="s">
        <v>80</v>
      </c>
      <c r="C745" t="s">
        <v>1032</v>
      </c>
      <c r="D745" t="s">
        <v>4</v>
      </c>
      <c r="E745" t="s">
        <v>1866</v>
      </c>
      <c r="F745">
        <v>0</v>
      </c>
      <c r="G745">
        <v>0</v>
      </c>
      <c r="H745">
        <v>1355</v>
      </c>
      <c r="I745">
        <v>0</v>
      </c>
      <c r="J745" s="600">
        <v>1355</v>
      </c>
      <c r="K745" s="7">
        <f t="shared" si="156"/>
        <v>15</v>
      </c>
      <c r="L745" s="7">
        <f t="shared" si="157"/>
        <v>0</v>
      </c>
      <c r="M745" s="243">
        <f t="shared" si="149"/>
        <v>0</v>
      </c>
      <c r="N745" s="243">
        <f>INDEX($AN$4:$AN21641,MATCH($A745,$AH$4:$AH$2000,0))</f>
        <v>0</v>
      </c>
      <c r="O745" s="243">
        <f t="shared" si="150"/>
        <v>220819.04430540637</v>
      </c>
      <c r="P745" s="243">
        <f t="shared" si="151"/>
        <v>0</v>
      </c>
      <c r="Q745" s="243">
        <f t="shared" si="152"/>
        <v>0</v>
      </c>
      <c r="R745" s="243">
        <f t="shared" si="153"/>
        <v>0</v>
      </c>
      <c r="S745" s="243">
        <f t="shared" si="154"/>
        <v>-3080.9983599540292</v>
      </c>
      <c r="T745" s="243">
        <f t="shared" si="155"/>
        <v>0</v>
      </c>
      <c r="AA745">
        <v>1006</v>
      </c>
      <c r="AB745" t="s">
        <v>0</v>
      </c>
      <c r="AC745" t="s">
        <v>1864</v>
      </c>
      <c r="AD745" t="s">
        <v>4</v>
      </c>
      <c r="AE745" t="s">
        <v>961</v>
      </c>
      <c r="AF745">
        <v>10</v>
      </c>
      <c r="AG745">
        <v>0</v>
      </c>
      <c r="AH745">
        <v>446</v>
      </c>
      <c r="AI745" t="s">
        <v>80</v>
      </c>
      <c r="AJ745" t="s">
        <v>1032</v>
      </c>
      <c r="AK745" t="s">
        <v>4</v>
      </c>
      <c r="AL745" t="s">
        <v>1866</v>
      </c>
      <c r="AM745" s="314">
        <v>0</v>
      </c>
      <c r="AN745" s="314">
        <v>0</v>
      </c>
      <c r="AO745" s="314">
        <v>220819.04430540637</v>
      </c>
      <c r="AP745" s="314">
        <v>0</v>
      </c>
      <c r="AQ745" s="314">
        <v>0</v>
      </c>
      <c r="AR745" s="314">
        <v>0</v>
      </c>
      <c r="AS745" s="314">
        <v>51.570881766559182</v>
      </c>
      <c r="AT745" s="314">
        <v>0</v>
      </c>
      <c r="AU745" s="314">
        <v>0</v>
      </c>
      <c r="AV745" s="314">
        <v>0</v>
      </c>
      <c r="AW745" s="314">
        <v>-3080.9983599540292</v>
      </c>
      <c r="AX745">
        <v>0</v>
      </c>
    </row>
    <row r="746" spans="1:50" x14ac:dyDescent="0.35">
      <c r="A746">
        <v>447</v>
      </c>
      <c r="B746" t="s">
        <v>80</v>
      </c>
      <c r="C746" t="s">
        <v>1032</v>
      </c>
      <c r="D746" t="s">
        <v>4</v>
      </c>
      <c r="E746" t="s">
        <v>1867</v>
      </c>
      <c r="F746">
        <v>0</v>
      </c>
      <c r="G746">
        <v>0</v>
      </c>
      <c r="H746">
        <v>0</v>
      </c>
      <c r="I746">
        <v>1352</v>
      </c>
      <c r="J746" s="600">
        <v>1352</v>
      </c>
      <c r="K746" s="7">
        <f t="shared" si="156"/>
        <v>15</v>
      </c>
      <c r="L746" s="7">
        <f t="shared" si="157"/>
        <v>0</v>
      </c>
      <c r="M746" s="243">
        <f t="shared" si="149"/>
        <v>0</v>
      </c>
      <c r="N746" s="243">
        <f>INDEX($AN$4:$AN21642,MATCH($A746,$AH$4:$AH$2000,0))</f>
        <v>0</v>
      </c>
      <c r="O746" s="243">
        <f t="shared" si="150"/>
        <v>0</v>
      </c>
      <c r="P746" s="243">
        <f t="shared" si="151"/>
        <v>207549.97516762564</v>
      </c>
      <c r="Q746" s="243">
        <f t="shared" si="152"/>
        <v>0</v>
      </c>
      <c r="R746" s="243">
        <f t="shared" si="153"/>
        <v>0</v>
      </c>
      <c r="S746" s="243">
        <f t="shared" si="154"/>
        <v>0</v>
      </c>
      <c r="T746" s="243">
        <f t="shared" si="155"/>
        <v>-2895.8604322892547</v>
      </c>
      <c r="AA746">
        <v>1007</v>
      </c>
      <c r="AB746" t="s">
        <v>0</v>
      </c>
      <c r="AC746" t="s">
        <v>1864</v>
      </c>
      <c r="AD746" t="s">
        <v>4</v>
      </c>
      <c r="AE746" t="s">
        <v>962</v>
      </c>
      <c r="AF746">
        <v>10</v>
      </c>
      <c r="AG746">
        <v>0</v>
      </c>
      <c r="AH746">
        <v>447</v>
      </c>
      <c r="AI746" t="s">
        <v>80</v>
      </c>
      <c r="AJ746" t="s">
        <v>1032</v>
      </c>
      <c r="AK746" t="s">
        <v>4</v>
      </c>
      <c r="AL746" t="s">
        <v>1867</v>
      </c>
      <c r="AM746" s="314">
        <v>0</v>
      </c>
      <c r="AN746" s="314">
        <v>0</v>
      </c>
      <c r="AO746" s="314">
        <v>0</v>
      </c>
      <c r="AP746" s="314">
        <v>207549.97516762564</v>
      </c>
      <c r="AQ746" s="314">
        <v>0</v>
      </c>
      <c r="AR746" s="314">
        <v>0</v>
      </c>
      <c r="AS746" s="314">
        <v>0</v>
      </c>
      <c r="AT746" s="314">
        <v>48.471975158167368</v>
      </c>
      <c r="AU746" s="314">
        <v>0</v>
      </c>
      <c r="AV746" s="314">
        <v>0</v>
      </c>
      <c r="AW746" s="314">
        <v>0</v>
      </c>
      <c r="AX746">
        <v>-2895.8604322892547</v>
      </c>
    </row>
    <row r="747" spans="1:50" x14ac:dyDescent="0.35">
      <c r="A747">
        <v>555</v>
      </c>
      <c r="B747" t="s">
        <v>0</v>
      </c>
      <c r="C747" t="s">
        <v>1933</v>
      </c>
      <c r="D747" t="s">
        <v>100</v>
      </c>
      <c r="E747" t="s">
        <v>1938</v>
      </c>
      <c r="F747">
        <v>50</v>
      </c>
      <c r="G747">
        <v>50</v>
      </c>
      <c r="H747">
        <v>50</v>
      </c>
      <c r="I747">
        <v>50</v>
      </c>
      <c r="J747" s="600">
        <v>200</v>
      </c>
      <c r="K747" s="7">
        <f t="shared" si="156"/>
        <v>20</v>
      </c>
      <c r="L747" s="7">
        <f t="shared" si="157"/>
        <v>0</v>
      </c>
      <c r="M747" s="243">
        <f t="shared" si="149"/>
        <v>0</v>
      </c>
      <c r="N747" s="243">
        <f>INDEX($AN$4:$AN21643,MATCH($A747,$AH$4:$AH$2000,0))</f>
        <v>0</v>
      </c>
      <c r="O747" s="243">
        <f t="shared" si="150"/>
        <v>0</v>
      </c>
      <c r="P747" s="243">
        <f t="shared" si="151"/>
        <v>0</v>
      </c>
      <c r="Q747" s="243">
        <f t="shared" si="152"/>
        <v>7046.0526315789493</v>
      </c>
      <c r="R747" s="243">
        <f t="shared" si="153"/>
        <v>7046.0526315789493</v>
      </c>
      <c r="S747" s="243">
        <f t="shared" si="154"/>
        <v>7046.0526315789493</v>
      </c>
      <c r="T747" s="243">
        <f t="shared" si="155"/>
        <v>7046.0526315789493</v>
      </c>
      <c r="AA747">
        <v>1008</v>
      </c>
      <c r="AB747" t="s">
        <v>0</v>
      </c>
      <c r="AC747" t="s">
        <v>1864</v>
      </c>
      <c r="AD747" t="s">
        <v>4</v>
      </c>
      <c r="AE747" t="s">
        <v>963</v>
      </c>
      <c r="AF747">
        <v>11</v>
      </c>
      <c r="AG747">
        <v>1</v>
      </c>
      <c r="AH747">
        <v>555</v>
      </c>
      <c r="AI747" t="s">
        <v>0</v>
      </c>
      <c r="AJ747" t="s">
        <v>1933</v>
      </c>
      <c r="AK747" t="s">
        <v>100</v>
      </c>
      <c r="AL747" t="s">
        <v>1938</v>
      </c>
      <c r="AM747" s="314">
        <v>0</v>
      </c>
      <c r="AN747" s="314">
        <v>0</v>
      </c>
      <c r="AO747" s="314">
        <v>0</v>
      </c>
      <c r="AP747" s="314">
        <v>0</v>
      </c>
      <c r="AQ747" s="314">
        <v>0</v>
      </c>
      <c r="AR747" s="314">
        <v>0</v>
      </c>
      <c r="AS747" s="314">
        <v>0</v>
      </c>
      <c r="AT747" s="314">
        <v>0</v>
      </c>
      <c r="AU747" s="314">
        <v>7046.0526315789493</v>
      </c>
      <c r="AV747" s="314">
        <v>7046.0526315789493</v>
      </c>
      <c r="AW747" s="314">
        <v>7046.0526315789493</v>
      </c>
      <c r="AX747">
        <v>7046.0526315789493</v>
      </c>
    </row>
    <row r="748" spans="1:50" x14ac:dyDescent="0.35">
      <c r="A748">
        <v>509</v>
      </c>
      <c r="B748" t="s">
        <v>0</v>
      </c>
      <c r="C748" t="s">
        <v>20</v>
      </c>
      <c r="D748" t="s">
        <v>100</v>
      </c>
      <c r="E748" t="s">
        <v>208</v>
      </c>
      <c r="F748">
        <v>0</v>
      </c>
      <c r="G748">
        <v>20</v>
      </c>
      <c r="H748">
        <v>20</v>
      </c>
      <c r="I748">
        <v>20</v>
      </c>
      <c r="J748" s="600">
        <v>60</v>
      </c>
      <c r="K748" s="7">
        <f t="shared" ref="K748:K749" si="158">INDEX($AF$4:$AF$2000,MATCH(A748,$AA$4:$AA$2000,0))</f>
        <v>18</v>
      </c>
      <c r="L748" s="7">
        <f t="shared" ref="L748:L749" si="159">INDEX($AG$4:$AG$2000,MATCH(A748,$AA$4:$AA$2000,0))</f>
        <v>0</v>
      </c>
      <c r="M748" s="243">
        <f t="shared" si="149"/>
        <v>0</v>
      </c>
      <c r="N748" s="243">
        <f>INDEX($AN$4:$AN21644,MATCH($A748,$AH$4:$AH$2000,0))</f>
        <v>68900.94</v>
      </c>
      <c r="O748" s="243">
        <f t="shared" si="150"/>
        <v>68900.94</v>
      </c>
      <c r="P748" s="243">
        <f t="shared" si="151"/>
        <v>68900.94</v>
      </c>
      <c r="Q748" s="243">
        <f t="shared" si="152"/>
        <v>0</v>
      </c>
      <c r="R748" s="243">
        <f t="shared" si="153"/>
        <v>0</v>
      </c>
      <c r="S748" s="243">
        <f t="shared" si="154"/>
        <v>0</v>
      </c>
      <c r="T748" s="243">
        <f t="shared" si="155"/>
        <v>0</v>
      </c>
      <c r="AA748">
        <v>1034</v>
      </c>
      <c r="AB748" t="s">
        <v>0</v>
      </c>
      <c r="AC748" t="s">
        <v>1864</v>
      </c>
      <c r="AD748" t="s">
        <v>4</v>
      </c>
      <c r="AE748" t="s">
        <v>964</v>
      </c>
      <c r="AF748">
        <v>10</v>
      </c>
      <c r="AG748">
        <v>0</v>
      </c>
      <c r="AH748">
        <v>509</v>
      </c>
      <c r="AI748" t="s">
        <v>0</v>
      </c>
      <c r="AJ748" t="s">
        <v>20</v>
      </c>
      <c r="AK748" t="s">
        <v>100</v>
      </c>
      <c r="AL748" t="s">
        <v>208</v>
      </c>
      <c r="AM748" s="314">
        <v>0</v>
      </c>
      <c r="AN748" s="314">
        <v>68900.94</v>
      </c>
      <c r="AO748" s="314">
        <v>68900.94</v>
      </c>
      <c r="AP748" s="314">
        <v>68900.94</v>
      </c>
      <c r="AQ748" s="314">
        <v>0</v>
      </c>
      <c r="AR748" s="314">
        <v>5.7835999999999999</v>
      </c>
      <c r="AS748" s="314">
        <v>5.7835999999999999</v>
      </c>
      <c r="AT748" s="314">
        <v>5.7835999999999999</v>
      </c>
      <c r="AU748" s="314">
        <v>0</v>
      </c>
      <c r="AV748" s="314">
        <v>0</v>
      </c>
      <c r="AW748" s="314">
        <v>0</v>
      </c>
      <c r="AX748">
        <v>0</v>
      </c>
    </row>
    <row r="749" spans="1:50" x14ac:dyDescent="0.35">
      <c r="A749">
        <v>556</v>
      </c>
      <c r="B749" t="s">
        <v>0</v>
      </c>
      <c r="C749" t="s">
        <v>1933</v>
      </c>
      <c r="D749" t="s">
        <v>100</v>
      </c>
      <c r="E749" t="s">
        <v>1939</v>
      </c>
      <c r="F749">
        <v>201.917</v>
      </c>
      <c r="G749">
        <v>201.84820000000002</v>
      </c>
      <c r="H749">
        <v>201.91</v>
      </c>
      <c r="I749">
        <v>201.97200000000001</v>
      </c>
      <c r="J749" s="600">
        <v>800</v>
      </c>
      <c r="K749" s="7">
        <f t="shared" si="158"/>
        <v>18</v>
      </c>
      <c r="L749" s="7">
        <f t="shared" si="159"/>
        <v>0</v>
      </c>
      <c r="M749" s="243">
        <f t="shared" si="149"/>
        <v>905400</v>
      </c>
      <c r="N749" s="243">
        <f>INDEX($AN$4:$AN21645,MATCH($A749,$AH$4:$AH$2000,0))</f>
        <v>905400</v>
      </c>
      <c r="O749" s="243">
        <f t="shared" si="150"/>
        <v>905400</v>
      </c>
      <c r="P749" s="243">
        <f t="shared" si="151"/>
        <v>905400</v>
      </c>
      <c r="Q749" s="243">
        <f t="shared" si="152"/>
        <v>0</v>
      </c>
      <c r="R749" s="243">
        <f t="shared" si="153"/>
        <v>0</v>
      </c>
      <c r="S749" s="243">
        <f t="shared" si="154"/>
        <v>0</v>
      </c>
      <c r="T749" s="243">
        <f t="shared" si="155"/>
        <v>0</v>
      </c>
      <c r="AA749">
        <v>1035</v>
      </c>
      <c r="AB749" t="s">
        <v>0</v>
      </c>
      <c r="AC749" t="s">
        <v>1864</v>
      </c>
      <c r="AD749" t="s">
        <v>4</v>
      </c>
      <c r="AE749" t="s">
        <v>965</v>
      </c>
      <c r="AF749">
        <v>11</v>
      </c>
      <c r="AG749">
        <v>1</v>
      </c>
      <c r="AH749">
        <v>556</v>
      </c>
      <c r="AI749" t="s">
        <v>0</v>
      </c>
      <c r="AJ749" t="s">
        <v>1933</v>
      </c>
      <c r="AK749" t="s">
        <v>100</v>
      </c>
      <c r="AL749" t="s">
        <v>1939</v>
      </c>
      <c r="AM749" s="314">
        <v>905400</v>
      </c>
      <c r="AN749" s="314">
        <v>905400</v>
      </c>
      <c r="AO749" s="314">
        <v>905400</v>
      </c>
      <c r="AP749" s="314">
        <v>905400</v>
      </c>
      <c r="AQ749" s="314">
        <v>76</v>
      </c>
      <c r="AR749" s="314">
        <v>76</v>
      </c>
      <c r="AS749" s="314">
        <v>76</v>
      </c>
      <c r="AT749" s="314">
        <v>76</v>
      </c>
      <c r="AU749" s="314">
        <v>0</v>
      </c>
      <c r="AV749" s="314">
        <v>0</v>
      </c>
      <c r="AW749" s="314">
        <v>0</v>
      </c>
      <c r="AX749">
        <v>0</v>
      </c>
    </row>
    <row r="750" spans="1:50" x14ac:dyDescent="0.35">
      <c r="A750">
        <v>728</v>
      </c>
      <c r="B750" t="s">
        <v>0</v>
      </c>
      <c r="C750" t="s">
        <v>1933</v>
      </c>
      <c r="D750" t="s">
        <v>3298</v>
      </c>
      <c r="E750" t="s">
        <v>879</v>
      </c>
      <c r="F750">
        <v>98026.564201500005</v>
      </c>
      <c r="G750">
        <v>0</v>
      </c>
      <c r="H750">
        <v>0</v>
      </c>
      <c r="I750">
        <v>0</v>
      </c>
      <c r="J750">
        <v>97095.900000000009</v>
      </c>
      <c r="K750" s="7">
        <f t="shared" ref="K750:K799" si="160">INDEX($AF$4:$AF$2000,MATCH(A750,$AA$4:$AA$2000,0))</f>
        <v>10</v>
      </c>
      <c r="L750" s="7">
        <f t="shared" ref="L750:L799" si="161">INDEX($AG$4:$AG$2000,MATCH(A750,$AA$4:$AA$2000,0))</f>
        <v>3</v>
      </c>
      <c r="M750" s="243">
        <f t="shared" si="149"/>
        <v>1063096.1331874474</v>
      </c>
      <c r="N750" s="243">
        <f>INDEX($AN$4:$AN21646,MATCH($A750,$AH$4:$AH$2000,0))</f>
        <v>0</v>
      </c>
      <c r="O750" s="243">
        <f t="shared" si="150"/>
        <v>0</v>
      </c>
      <c r="P750" s="243">
        <f t="shared" si="151"/>
        <v>0</v>
      </c>
      <c r="Q750" s="243">
        <f t="shared" si="152"/>
        <v>-6229.632084353163</v>
      </c>
      <c r="R750" s="243">
        <f t="shared" si="153"/>
        <v>0</v>
      </c>
      <c r="S750" s="243">
        <f t="shared" si="154"/>
        <v>0</v>
      </c>
      <c r="T750" s="243">
        <f t="shared" si="155"/>
        <v>0</v>
      </c>
      <c r="AA750">
        <v>1036</v>
      </c>
      <c r="AB750" t="s">
        <v>0</v>
      </c>
      <c r="AC750" t="s">
        <v>1864</v>
      </c>
      <c r="AD750" t="s">
        <v>4</v>
      </c>
      <c r="AE750" t="s">
        <v>966</v>
      </c>
      <c r="AF750">
        <v>12</v>
      </c>
      <c r="AG750">
        <v>2</v>
      </c>
      <c r="AH750">
        <v>728</v>
      </c>
      <c r="AI750" t="s">
        <v>0</v>
      </c>
      <c r="AJ750" t="s">
        <v>1933</v>
      </c>
      <c r="AK750" t="s">
        <v>3298</v>
      </c>
      <c r="AL750" t="s">
        <v>879</v>
      </c>
      <c r="AM750" s="314">
        <v>1063096.1331874474</v>
      </c>
      <c r="AN750" s="314">
        <v>0</v>
      </c>
      <c r="AO750" s="314">
        <v>0</v>
      </c>
      <c r="AP750" s="314">
        <v>0</v>
      </c>
      <c r="AQ750" s="314">
        <v>122.50998427220094</v>
      </c>
      <c r="AR750" s="314">
        <v>0</v>
      </c>
      <c r="AS750" s="314">
        <v>0</v>
      </c>
      <c r="AT750" s="314">
        <v>0</v>
      </c>
      <c r="AU750" s="314">
        <v>-6229.632084353163</v>
      </c>
      <c r="AV750" s="314">
        <v>0</v>
      </c>
      <c r="AW750" s="314">
        <v>0</v>
      </c>
      <c r="AX750">
        <v>0</v>
      </c>
    </row>
    <row r="751" spans="1:50" x14ac:dyDescent="0.35">
      <c r="A751">
        <v>729</v>
      </c>
      <c r="B751" t="s">
        <v>0</v>
      </c>
      <c r="C751" t="s">
        <v>1933</v>
      </c>
      <c r="D751" t="s">
        <v>3298</v>
      </c>
      <c r="E751" t="s">
        <v>880</v>
      </c>
      <c r="F751">
        <v>0</v>
      </c>
      <c r="G751">
        <v>97993.163211900013</v>
      </c>
      <c r="H751">
        <v>0</v>
      </c>
      <c r="I751">
        <v>0</v>
      </c>
      <c r="J751">
        <v>97095.900000000009</v>
      </c>
      <c r="K751" s="7">
        <f t="shared" si="160"/>
        <v>10</v>
      </c>
      <c r="L751" s="7">
        <f t="shared" si="161"/>
        <v>2</v>
      </c>
      <c r="M751" s="243">
        <f t="shared" si="149"/>
        <v>0</v>
      </c>
      <c r="N751" s="243">
        <f>INDEX($AN$4:$AN21647,MATCH($A751,$AH$4:$AH$2000,0))</f>
        <v>50848.869551791133</v>
      </c>
      <c r="O751" s="243">
        <f t="shared" si="150"/>
        <v>0</v>
      </c>
      <c r="P751" s="243">
        <f t="shared" si="151"/>
        <v>0</v>
      </c>
      <c r="Q751" s="243">
        <f t="shared" si="152"/>
        <v>0</v>
      </c>
      <c r="R751" s="243">
        <f t="shared" si="153"/>
        <v>-297.969054090307</v>
      </c>
      <c r="S751" s="243">
        <f t="shared" si="154"/>
        <v>0</v>
      </c>
      <c r="T751" s="243">
        <f t="shared" si="155"/>
        <v>0</v>
      </c>
      <c r="AA751">
        <v>897</v>
      </c>
      <c r="AB751" t="s">
        <v>0</v>
      </c>
      <c r="AC751" t="s">
        <v>1072</v>
      </c>
      <c r="AD751" t="s">
        <v>7</v>
      </c>
      <c r="AE751" t="s">
        <v>1872</v>
      </c>
      <c r="AF751">
        <v>10</v>
      </c>
      <c r="AG751">
        <v>0</v>
      </c>
      <c r="AH751">
        <v>729</v>
      </c>
      <c r="AI751" t="s">
        <v>0</v>
      </c>
      <c r="AJ751" t="s">
        <v>1933</v>
      </c>
      <c r="AK751" t="s">
        <v>3298</v>
      </c>
      <c r="AL751" t="s">
        <v>880</v>
      </c>
      <c r="AM751" s="314">
        <v>0</v>
      </c>
      <c r="AN751" s="314">
        <v>50848.869551791133</v>
      </c>
      <c r="AO751" s="314">
        <v>0</v>
      </c>
      <c r="AP751" s="314">
        <v>0</v>
      </c>
      <c r="AQ751" s="314">
        <v>0</v>
      </c>
      <c r="AR751" s="314">
        <v>5.859765654843871</v>
      </c>
      <c r="AS751" s="314">
        <v>0</v>
      </c>
      <c r="AT751" s="314">
        <v>0</v>
      </c>
      <c r="AU751" s="314">
        <v>0</v>
      </c>
      <c r="AV751" s="314">
        <v>-297.969054090307</v>
      </c>
      <c r="AW751" s="314">
        <v>0</v>
      </c>
      <c r="AX751">
        <v>0</v>
      </c>
    </row>
    <row r="752" spans="1:50" x14ac:dyDescent="0.35">
      <c r="A752">
        <v>730</v>
      </c>
      <c r="B752" t="s">
        <v>0</v>
      </c>
      <c r="C752" t="s">
        <v>1933</v>
      </c>
      <c r="D752" t="s">
        <v>3298</v>
      </c>
      <c r="E752" t="s">
        <v>881</v>
      </c>
      <c r="F752">
        <v>0</v>
      </c>
      <c r="G752">
        <v>0</v>
      </c>
      <c r="H752">
        <v>98023.16584500001</v>
      </c>
      <c r="I752">
        <v>0</v>
      </c>
      <c r="J752">
        <v>97095.900000000009</v>
      </c>
      <c r="K752" s="7">
        <f t="shared" si="160"/>
        <v>10</v>
      </c>
      <c r="L752" s="7">
        <f t="shared" si="161"/>
        <v>1</v>
      </c>
      <c r="M752" s="243">
        <f t="shared" si="149"/>
        <v>0</v>
      </c>
      <c r="N752" s="243">
        <f>INDEX($AN$4:$AN21648,MATCH($A752,$AH$4:$AH$2000,0))</f>
        <v>0</v>
      </c>
      <c r="O752" s="243">
        <f t="shared" si="150"/>
        <v>43753.678451541207</v>
      </c>
      <c r="P752" s="243">
        <f t="shared" si="151"/>
        <v>0</v>
      </c>
      <c r="Q752" s="243">
        <f t="shared" si="152"/>
        <v>0</v>
      </c>
      <c r="R752" s="243">
        <f t="shared" si="153"/>
        <v>0</v>
      </c>
      <c r="S752" s="243">
        <f t="shared" si="154"/>
        <v>-256.39197677538044</v>
      </c>
      <c r="T752" s="243">
        <f t="shared" si="155"/>
        <v>0</v>
      </c>
      <c r="AA752">
        <v>898</v>
      </c>
      <c r="AB752" t="s">
        <v>0</v>
      </c>
      <c r="AC752" t="s">
        <v>1072</v>
      </c>
      <c r="AD752" t="s">
        <v>7</v>
      </c>
      <c r="AE752" t="s">
        <v>1873</v>
      </c>
      <c r="AF752">
        <v>10</v>
      </c>
      <c r="AG752">
        <v>0</v>
      </c>
      <c r="AH752">
        <v>730</v>
      </c>
      <c r="AI752" t="s">
        <v>0</v>
      </c>
      <c r="AJ752" t="s">
        <v>1933</v>
      </c>
      <c r="AK752" t="s">
        <v>3298</v>
      </c>
      <c r="AL752" t="s">
        <v>881</v>
      </c>
      <c r="AM752" s="314">
        <v>0</v>
      </c>
      <c r="AN752" s="314">
        <v>0</v>
      </c>
      <c r="AO752" s="314">
        <v>43753.678451541207</v>
      </c>
      <c r="AP752" s="314">
        <v>0</v>
      </c>
      <c r="AQ752" s="314">
        <v>0</v>
      </c>
      <c r="AR752" s="314">
        <v>0</v>
      </c>
      <c r="AS752" s="314">
        <v>5.0421239355633301</v>
      </c>
      <c r="AT752" s="314">
        <v>0</v>
      </c>
      <c r="AU752" s="314">
        <v>0</v>
      </c>
      <c r="AV752" s="314">
        <v>0</v>
      </c>
      <c r="AW752" s="314">
        <v>-256.39197677538044</v>
      </c>
      <c r="AX752">
        <v>0</v>
      </c>
    </row>
    <row r="753" spans="1:50" x14ac:dyDescent="0.35">
      <c r="A753">
        <v>756</v>
      </c>
      <c r="B753" t="s">
        <v>0</v>
      </c>
      <c r="C753" t="s">
        <v>1933</v>
      </c>
      <c r="D753" t="s">
        <v>3298</v>
      </c>
      <c r="E753" t="s">
        <v>882</v>
      </c>
      <c r="F753">
        <v>0</v>
      </c>
      <c r="G753">
        <v>97993.163211900013</v>
      </c>
      <c r="H753">
        <v>0</v>
      </c>
      <c r="I753">
        <v>0</v>
      </c>
      <c r="J753">
        <v>97095.900000000009</v>
      </c>
      <c r="K753" s="7">
        <f t="shared" si="160"/>
        <v>10</v>
      </c>
      <c r="L753" s="7">
        <f t="shared" si="161"/>
        <v>2</v>
      </c>
      <c r="M753" s="243">
        <f t="shared" si="149"/>
        <v>0</v>
      </c>
      <c r="N753" s="243">
        <f>INDEX($AN$4:$AN21649,MATCH($A753,$AH$4:$AH$2000,0))</f>
        <v>987160.69510262983</v>
      </c>
      <c r="O753" s="243">
        <f t="shared" si="150"/>
        <v>0</v>
      </c>
      <c r="P753" s="243">
        <f t="shared" si="151"/>
        <v>0</v>
      </c>
      <c r="Q753" s="243">
        <f t="shared" si="152"/>
        <v>0</v>
      </c>
      <c r="R753" s="243">
        <f t="shared" si="153"/>
        <v>-5784.6583640422223</v>
      </c>
      <c r="S753" s="243">
        <f t="shared" si="154"/>
        <v>0</v>
      </c>
      <c r="T753" s="243">
        <f t="shared" si="155"/>
        <v>0</v>
      </c>
      <c r="AA753">
        <v>899</v>
      </c>
      <c r="AB753" t="s">
        <v>0</v>
      </c>
      <c r="AC753" t="s">
        <v>1072</v>
      </c>
      <c r="AD753" t="s">
        <v>7</v>
      </c>
      <c r="AE753" t="s">
        <v>1771</v>
      </c>
      <c r="AF753">
        <v>10</v>
      </c>
      <c r="AG753">
        <v>0</v>
      </c>
      <c r="AH753">
        <v>756</v>
      </c>
      <c r="AI753" t="s">
        <v>0</v>
      </c>
      <c r="AJ753" t="s">
        <v>1933</v>
      </c>
      <c r="AK753" t="s">
        <v>3298</v>
      </c>
      <c r="AL753" t="s">
        <v>882</v>
      </c>
      <c r="AM753" s="314">
        <v>0</v>
      </c>
      <c r="AN753" s="314">
        <v>987160.69510262983</v>
      </c>
      <c r="AO753" s="314">
        <v>0</v>
      </c>
      <c r="AP753" s="314">
        <v>0</v>
      </c>
      <c r="AQ753" s="314">
        <v>0</v>
      </c>
      <c r="AR753" s="314">
        <v>113.75927110990087</v>
      </c>
      <c r="AS753" s="314">
        <v>0</v>
      </c>
      <c r="AT753" s="314">
        <v>0</v>
      </c>
      <c r="AU753" s="314">
        <v>0</v>
      </c>
      <c r="AV753" s="314">
        <v>-5784.6583640422223</v>
      </c>
      <c r="AW753" s="314">
        <v>0</v>
      </c>
      <c r="AX753">
        <v>0</v>
      </c>
    </row>
    <row r="754" spans="1:50" x14ac:dyDescent="0.35">
      <c r="A754">
        <v>757</v>
      </c>
      <c r="B754" t="s">
        <v>0</v>
      </c>
      <c r="C754" t="s">
        <v>1933</v>
      </c>
      <c r="D754" t="s">
        <v>3298</v>
      </c>
      <c r="E754" t="s">
        <v>883</v>
      </c>
      <c r="F754">
        <v>0</v>
      </c>
      <c r="G754">
        <v>0</v>
      </c>
      <c r="H754">
        <v>98023.16584500001</v>
      </c>
      <c r="I754">
        <v>0</v>
      </c>
      <c r="J754">
        <v>97095.900000000009</v>
      </c>
      <c r="K754" s="7">
        <f t="shared" si="160"/>
        <v>10</v>
      </c>
      <c r="L754" s="7">
        <f t="shared" si="161"/>
        <v>1</v>
      </c>
      <c r="M754" s="243">
        <f t="shared" si="149"/>
        <v>0</v>
      </c>
      <c r="N754" s="243">
        <f>INDEX($AN$4:$AN21650,MATCH($A754,$AH$4:$AH$2000,0))</f>
        <v>0</v>
      </c>
      <c r="O754" s="243">
        <f t="shared" si="150"/>
        <v>47216.807440948905</v>
      </c>
      <c r="P754" s="243">
        <f t="shared" si="151"/>
        <v>0</v>
      </c>
      <c r="Q754" s="243">
        <f t="shared" si="152"/>
        <v>0</v>
      </c>
      <c r="R754" s="243">
        <f t="shared" si="153"/>
        <v>0</v>
      </c>
      <c r="S754" s="243">
        <f t="shared" si="154"/>
        <v>-276.68555022671364</v>
      </c>
      <c r="T754" s="243">
        <f t="shared" si="155"/>
        <v>0</v>
      </c>
      <c r="AA754">
        <v>875</v>
      </c>
      <c r="AB754" t="s">
        <v>0</v>
      </c>
      <c r="AC754" t="s">
        <v>1072</v>
      </c>
      <c r="AD754" t="s">
        <v>7</v>
      </c>
      <c r="AE754" t="s">
        <v>1825</v>
      </c>
      <c r="AF754">
        <v>25</v>
      </c>
      <c r="AG754">
        <v>0</v>
      </c>
      <c r="AH754">
        <v>757</v>
      </c>
      <c r="AI754" t="s">
        <v>0</v>
      </c>
      <c r="AJ754" t="s">
        <v>1933</v>
      </c>
      <c r="AK754" t="s">
        <v>3298</v>
      </c>
      <c r="AL754" t="s">
        <v>883</v>
      </c>
      <c r="AM754" s="314">
        <v>0</v>
      </c>
      <c r="AN754" s="314">
        <v>0</v>
      </c>
      <c r="AO754" s="314">
        <v>47216.807440948905</v>
      </c>
      <c r="AP754" s="314">
        <v>0</v>
      </c>
      <c r="AQ754" s="314">
        <v>0</v>
      </c>
      <c r="AR754" s="314">
        <v>0</v>
      </c>
      <c r="AS754" s="314">
        <v>1.2297136781379494</v>
      </c>
      <c r="AT754" s="314">
        <v>0</v>
      </c>
      <c r="AU754" s="314">
        <v>0</v>
      </c>
      <c r="AV754" s="314">
        <v>0</v>
      </c>
      <c r="AW754" s="314">
        <v>-276.68555022671364</v>
      </c>
      <c r="AX754">
        <v>0</v>
      </c>
    </row>
    <row r="755" spans="1:50" x14ac:dyDescent="0.35">
      <c r="A755">
        <v>758</v>
      </c>
      <c r="B755" t="s">
        <v>0</v>
      </c>
      <c r="C755" t="s">
        <v>1933</v>
      </c>
      <c r="D755" t="s">
        <v>3298</v>
      </c>
      <c r="E755" t="s">
        <v>884</v>
      </c>
      <c r="F755">
        <v>0</v>
      </c>
      <c r="G755">
        <v>0</v>
      </c>
      <c r="H755">
        <v>0</v>
      </c>
      <c r="I755">
        <v>98053.265574000005</v>
      </c>
      <c r="J755">
        <v>97095.900000000009</v>
      </c>
      <c r="K755" s="7">
        <f t="shared" si="160"/>
        <v>10</v>
      </c>
      <c r="L755" s="7">
        <f t="shared" si="161"/>
        <v>0</v>
      </c>
      <c r="M755" s="243">
        <f t="shared" si="149"/>
        <v>0</v>
      </c>
      <c r="N755" s="243">
        <f>INDEX($AN$4:$AN21651,MATCH($A755,$AH$4:$AH$2000,0))</f>
        <v>0</v>
      </c>
      <c r="O755" s="243">
        <f t="shared" si="150"/>
        <v>0</v>
      </c>
      <c r="P755" s="243">
        <f t="shared" si="151"/>
        <v>9182.0219493305758</v>
      </c>
      <c r="Q755" s="243">
        <f t="shared" si="152"/>
        <v>0</v>
      </c>
      <c r="R755" s="243">
        <f t="shared" si="153"/>
        <v>0</v>
      </c>
      <c r="S755" s="243">
        <f t="shared" si="154"/>
        <v>0</v>
      </c>
      <c r="T755" s="243">
        <f t="shared" si="155"/>
        <v>-238.07826414856754</v>
      </c>
      <c r="AA755">
        <v>879</v>
      </c>
      <c r="AB755" t="s">
        <v>0</v>
      </c>
      <c r="AC755" t="s">
        <v>1072</v>
      </c>
      <c r="AD755" t="s">
        <v>7</v>
      </c>
      <c r="AE755" t="s">
        <v>1826</v>
      </c>
      <c r="AF755">
        <v>25</v>
      </c>
      <c r="AG755">
        <v>0</v>
      </c>
      <c r="AH755">
        <v>758</v>
      </c>
      <c r="AI755" t="s">
        <v>0</v>
      </c>
      <c r="AJ755" t="s">
        <v>1933</v>
      </c>
      <c r="AK755" t="s">
        <v>3298</v>
      </c>
      <c r="AL755" t="s">
        <v>884</v>
      </c>
      <c r="AM755" s="314">
        <v>0</v>
      </c>
      <c r="AN755" s="314">
        <v>0</v>
      </c>
      <c r="AO755" s="314">
        <v>0</v>
      </c>
      <c r="AP755" s="314">
        <v>9182.0219493305758</v>
      </c>
      <c r="AQ755" s="314">
        <v>0</v>
      </c>
      <c r="AR755" s="314">
        <v>0</v>
      </c>
      <c r="AS755" s="314">
        <v>0</v>
      </c>
      <c r="AT755" s="314">
        <v>1.0581257230489332</v>
      </c>
      <c r="AU755" s="314">
        <v>0</v>
      </c>
      <c r="AV755" s="314">
        <v>0</v>
      </c>
      <c r="AW755" s="314">
        <v>0</v>
      </c>
      <c r="AX755">
        <v>-238.07826414856754</v>
      </c>
    </row>
    <row r="756" spans="1:50" x14ac:dyDescent="0.35">
      <c r="A756">
        <v>731</v>
      </c>
      <c r="B756" t="s">
        <v>0</v>
      </c>
      <c r="C756" t="s">
        <v>1933</v>
      </c>
      <c r="D756" t="s">
        <v>3298</v>
      </c>
      <c r="E756" t="s">
        <v>885</v>
      </c>
      <c r="F756">
        <v>524727.80579340004</v>
      </c>
      <c r="G756">
        <v>0</v>
      </c>
      <c r="H756">
        <v>0</v>
      </c>
      <c r="I756">
        <v>0</v>
      </c>
      <c r="J756">
        <v>519746.04000000004</v>
      </c>
      <c r="K756" s="7">
        <f t="shared" si="160"/>
        <v>10</v>
      </c>
      <c r="L756" s="7">
        <f t="shared" si="161"/>
        <v>3</v>
      </c>
      <c r="M756" s="243">
        <f t="shared" si="149"/>
        <v>8063898.5520594306</v>
      </c>
      <c r="N756" s="243">
        <f>INDEX($AN$4:$AN21652,MATCH($A756,$AH$4:$AH$2000,0))</f>
        <v>0</v>
      </c>
      <c r="O756" s="243">
        <f t="shared" si="150"/>
        <v>0</v>
      </c>
      <c r="P756" s="243">
        <f t="shared" si="151"/>
        <v>0</v>
      </c>
      <c r="Q756" s="243">
        <f t="shared" si="152"/>
        <v>-56662.504578795844</v>
      </c>
      <c r="R756" s="243">
        <f t="shared" si="153"/>
        <v>0</v>
      </c>
      <c r="S756" s="243">
        <f t="shared" si="154"/>
        <v>0</v>
      </c>
      <c r="T756" s="243">
        <f t="shared" si="155"/>
        <v>0</v>
      </c>
      <c r="AA756">
        <v>877</v>
      </c>
      <c r="AB756" t="s">
        <v>0</v>
      </c>
      <c r="AC756" t="s">
        <v>1072</v>
      </c>
      <c r="AD756" t="s">
        <v>7</v>
      </c>
      <c r="AE756" t="s">
        <v>1827</v>
      </c>
      <c r="AF756">
        <v>25</v>
      </c>
      <c r="AG756">
        <v>0</v>
      </c>
      <c r="AH756">
        <v>731</v>
      </c>
      <c r="AI756" t="s">
        <v>0</v>
      </c>
      <c r="AJ756" t="s">
        <v>1933</v>
      </c>
      <c r="AK756" t="s">
        <v>3298</v>
      </c>
      <c r="AL756" t="s">
        <v>885</v>
      </c>
      <c r="AM756" s="314">
        <v>8063898.5520594306</v>
      </c>
      <c r="AN756" s="314">
        <v>0</v>
      </c>
      <c r="AO756" s="314">
        <v>0</v>
      </c>
      <c r="AP756" s="314">
        <v>0</v>
      </c>
      <c r="AQ756" s="314">
        <v>251.83337858086691</v>
      </c>
      <c r="AR756" s="314">
        <v>0</v>
      </c>
      <c r="AS756" s="314">
        <v>0</v>
      </c>
      <c r="AT756" s="314">
        <v>0</v>
      </c>
      <c r="AU756" s="314">
        <v>-56662.504578795844</v>
      </c>
      <c r="AV756" s="314">
        <v>0</v>
      </c>
      <c r="AW756" s="314">
        <v>0</v>
      </c>
      <c r="AX756">
        <v>0</v>
      </c>
    </row>
    <row r="757" spans="1:50" x14ac:dyDescent="0.35">
      <c r="A757">
        <v>732</v>
      </c>
      <c r="B757" t="s">
        <v>0</v>
      </c>
      <c r="C757" t="s">
        <v>1933</v>
      </c>
      <c r="D757" t="s">
        <v>3298</v>
      </c>
      <c r="E757" t="s">
        <v>886</v>
      </c>
      <c r="F757">
        <v>0</v>
      </c>
      <c r="G757">
        <v>524549.0131556401</v>
      </c>
      <c r="H757">
        <v>0</v>
      </c>
      <c r="I757">
        <v>0</v>
      </c>
      <c r="J757">
        <v>519746.04000000004</v>
      </c>
      <c r="K757" s="7">
        <f t="shared" si="160"/>
        <v>10</v>
      </c>
      <c r="L757" s="7">
        <f t="shared" si="161"/>
        <v>2</v>
      </c>
      <c r="M757" s="243">
        <f t="shared" si="149"/>
        <v>0</v>
      </c>
      <c r="N757" s="243">
        <f>INDEX($AN$4:$AN21653,MATCH($A757,$AH$4:$AH$2000,0))</f>
        <v>385703.71272364352</v>
      </c>
      <c r="O757" s="243">
        <f t="shared" si="150"/>
        <v>0</v>
      </c>
      <c r="P757" s="243">
        <f t="shared" si="151"/>
        <v>0</v>
      </c>
      <c r="Q757" s="243">
        <f t="shared" si="152"/>
        <v>0</v>
      </c>
      <c r="R757" s="243">
        <f t="shared" si="153"/>
        <v>-2710.2199075508579</v>
      </c>
      <c r="S757" s="243">
        <f t="shared" si="154"/>
        <v>0</v>
      </c>
      <c r="T757" s="243">
        <f t="shared" si="155"/>
        <v>0</v>
      </c>
      <c r="AA757">
        <v>867</v>
      </c>
      <c r="AB757" t="s">
        <v>0</v>
      </c>
      <c r="AC757" t="s">
        <v>1072</v>
      </c>
      <c r="AD757" t="s">
        <v>7</v>
      </c>
      <c r="AE757" t="s">
        <v>1828</v>
      </c>
      <c r="AF757">
        <v>25</v>
      </c>
      <c r="AG757">
        <v>0</v>
      </c>
      <c r="AH757">
        <v>732</v>
      </c>
      <c r="AI757" t="s">
        <v>0</v>
      </c>
      <c r="AJ757" t="s">
        <v>1933</v>
      </c>
      <c r="AK757" t="s">
        <v>3298</v>
      </c>
      <c r="AL757" t="s">
        <v>886</v>
      </c>
      <c r="AM757" s="314">
        <v>0</v>
      </c>
      <c r="AN757" s="314">
        <v>385703.71272364352</v>
      </c>
      <c r="AO757" s="314">
        <v>0</v>
      </c>
      <c r="AP757" s="314">
        <v>0</v>
      </c>
      <c r="AQ757" s="314">
        <v>0</v>
      </c>
      <c r="AR757" s="314">
        <v>12.045423002199414</v>
      </c>
      <c r="AS757" s="314">
        <v>0</v>
      </c>
      <c r="AT757" s="314">
        <v>0</v>
      </c>
      <c r="AU757" s="314">
        <v>0</v>
      </c>
      <c r="AV757" s="314">
        <v>-2710.2199075508579</v>
      </c>
      <c r="AW757" s="314">
        <v>0</v>
      </c>
      <c r="AX757">
        <v>0</v>
      </c>
    </row>
    <row r="758" spans="1:50" x14ac:dyDescent="0.35">
      <c r="A758">
        <v>733</v>
      </c>
      <c r="B758" t="s">
        <v>0</v>
      </c>
      <c r="C758" t="s">
        <v>1933</v>
      </c>
      <c r="D758" t="s">
        <v>3298</v>
      </c>
      <c r="E758" t="s">
        <v>887</v>
      </c>
      <c r="F758">
        <v>0</v>
      </c>
      <c r="G758">
        <v>0</v>
      </c>
      <c r="H758">
        <v>524709.61468200001</v>
      </c>
      <c r="I758">
        <v>0</v>
      </c>
      <c r="J758">
        <v>519746.04000000004</v>
      </c>
      <c r="K758" s="7">
        <f t="shared" si="160"/>
        <v>10</v>
      </c>
      <c r="L758" s="7">
        <f t="shared" si="161"/>
        <v>1</v>
      </c>
      <c r="M758" s="243">
        <f t="shared" si="149"/>
        <v>0</v>
      </c>
      <c r="N758" s="243">
        <f>INDEX($AN$4:$AN21654,MATCH($A758,$AH$4:$AH$2000,0))</f>
        <v>0</v>
      </c>
      <c r="O758" s="243">
        <f t="shared" si="150"/>
        <v>331884.59001801885</v>
      </c>
      <c r="P758" s="243">
        <f t="shared" si="151"/>
        <v>0</v>
      </c>
      <c r="Q758" s="243">
        <f t="shared" si="152"/>
        <v>0</v>
      </c>
      <c r="R758" s="243">
        <f t="shared" si="153"/>
        <v>0</v>
      </c>
      <c r="S758" s="243">
        <f t="shared" si="154"/>
        <v>-2332.0496878925983</v>
      </c>
      <c r="T758" s="243">
        <f t="shared" si="155"/>
        <v>0</v>
      </c>
      <c r="AA758">
        <v>871</v>
      </c>
      <c r="AB758" t="s">
        <v>0</v>
      </c>
      <c r="AC758" t="s">
        <v>1072</v>
      </c>
      <c r="AD758" t="s">
        <v>7</v>
      </c>
      <c r="AE758" t="s">
        <v>1772</v>
      </c>
      <c r="AF758">
        <v>25</v>
      </c>
      <c r="AG758">
        <v>0</v>
      </c>
      <c r="AH758">
        <v>733</v>
      </c>
      <c r="AI758" t="s">
        <v>0</v>
      </c>
      <c r="AJ758" t="s">
        <v>1933</v>
      </c>
      <c r="AK758" t="s">
        <v>3298</v>
      </c>
      <c r="AL758" t="s">
        <v>887</v>
      </c>
      <c r="AM758" s="314">
        <v>0</v>
      </c>
      <c r="AN758" s="314">
        <v>0</v>
      </c>
      <c r="AO758" s="314">
        <v>331884.59001801885</v>
      </c>
      <c r="AP758" s="314">
        <v>0</v>
      </c>
      <c r="AQ758" s="314">
        <v>0</v>
      </c>
      <c r="AR758" s="314">
        <v>0</v>
      </c>
      <c r="AS758" s="314">
        <v>10.364666304218103</v>
      </c>
      <c r="AT758" s="314">
        <v>0</v>
      </c>
      <c r="AU758" s="314">
        <v>0</v>
      </c>
      <c r="AV758" s="314">
        <v>0</v>
      </c>
      <c r="AW758" s="314">
        <v>-2332.0496878925983</v>
      </c>
      <c r="AX758">
        <v>0</v>
      </c>
    </row>
    <row r="759" spans="1:50" x14ac:dyDescent="0.35">
      <c r="A759">
        <v>759</v>
      </c>
      <c r="B759" t="s">
        <v>0</v>
      </c>
      <c r="C759" t="s">
        <v>1933</v>
      </c>
      <c r="D759" t="s">
        <v>3298</v>
      </c>
      <c r="E759" t="s">
        <v>888</v>
      </c>
      <c r="F759">
        <v>0</v>
      </c>
      <c r="G759">
        <v>524549.0131556401</v>
      </c>
      <c r="H759">
        <v>0</v>
      </c>
      <c r="I759">
        <v>0</v>
      </c>
      <c r="J759">
        <v>519746.04000000004</v>
      </c>
      <c r="K759" s="7">
        <f t="shared" si="160"/>
        <v>10</v>
      </c>
      <c r="L759" s="7">
        <f t="shared" si="161"/>
        <v>2</v>
      </c>
      <c r="M759" s="243">
        <f t="shared" si="149"/>
        <v>0</v>
      </c>
      <c r="N759" s="243">
        <f>INDEX($AN$4:$AN21655,MATCH($A759,$AH$4:$AH$2000,0))</f>
        <v>7487905.7983408989</v>
      </c>
      <c r="O759" s="243">
        <f t="shared" si="150"/>
        <v>0</v>
      </c>
      <c r="P759" s="243">
        <f t="shared" si="151"/>
        <v>0</v>
      </c>
      <c r="Q759" s="243">
        <f t="shared" si="152"/>
        <v>0</v>
      </c>
      <c r="R759" s="243">
        <f t="shared" si="153"/>
        <v>-52615.182823167561</v>
      </c>
      <c r="S759" s="243">
        <f t="shared" si="154"/>
        <v>0</v>
      </c>
      <c r="T759" s="243">
        <f t="shared" si="155"/>
        <v>0</v>
      </c>
      <c r="AA759">
        <v>869</v>
      </c>
      <c r="AB759" t="s">
        <v>0</v>
      </c>
      <c r="AC759" t="s">
        <v>1072</v>
      </c>
      <c r="AD759" t="s">
        <v>7</v>
      </c>
      <c r="AE759" t="s">
        <v>1829</v>
      </c>
      <c r="AF759">
        <v>25</v>
      </c>
      <c r="AG759">
        <v>0</v>
      </c>
      <c r="AH759">
        <v>759</v>
      </c>
      <c r="AI759" t="s">
        <v>0</v>
      </c>
      <c r="AJ759" t="s">
        <v>1933</v>
      </c>
      <c r="AK759" t="s">
        <v>3298</v>
      </c>
      <c r="AL759" t="s">
        <v>888</v>
      </c>
      <c r="AM759" s="314">
        <v>0</v>
      </c>
      <c r="AN759" s="314">
        <v>7487905.7983408989</v>
      </c>
      <c r="AO759" s="314">
        <v>0</v>
      </c>
      <c r="AP759" s="314">
        <v>0</v>
      </c>
      <c r="AQ759" s="314">
        <v>0</v>
      </c>
      <c r="AR759" s="314">
        <v>233.84528011080496</v>
      </c>
      <c r="AS759" s="314">
        <v>0</v>
      </c>
      <c r="AT759" s="314">
        <v>0</v>
      </c>
      <c r="AU759" s="314">
        <v>0</v>
      </c>
      <c r="AV759" s="314">
        <v>-52615.182823167561</v>
      </c>
      <c r="AW759" s="314">
        <v>0</v>
      </c>
      <c r="AX759">
        <v>0</v>
      </c>
    </row>
    <row r="760" spans="1:50" x14ac:dyDescent="0.35">
      <c r="A760">
        <v>760</v>
      </c>
      <c r="B760" t="s">
        <v>0</v>
      </c>
      <c r="C760" t="s">
        <v>1933</v>
      </c>
      <c r="D760" t="s">
        <v>3298</v>
      </c>
      <c r="E760" t="s">
        <v>889</v>
      </c>
      <c r="F760">
        <v>0</v>
      </c>
      <c r="G760">
        <v>0</v>
      </c>
      <c r="H760">
        <v>524709.61468200001</v>
      </c>
      <c r="I760">
        <v>0</v>
      </c>
      <c r="J760">
        <v>519746.04000000004</v>
      </c>
      <c r="K760" s="7">
        <f t="shared" si="160"/>
        <v>10</v>
      </c>
      <c r="L760" s="7">
        <f t="shared" si="161"/>
        <v>1</v>
      </c>
      <c r="M760" s="243">
        <f t="shared" si="149"/>
        <v>0</v>
      </c>
      <c r="N760" s="243">
        <f>INDEX($AN$4:$AN21656,MATCH($A760,$AH$4:$AH$2000,0))</f>
        <v>0</v>
      </c>
      <c r="O760" s="243">
        <f t="shared" si="150"/>
        <v>358153.4475290975</v>
      </c>
      <c r="P760" s="243">
        <f t="shared" si="151"/>
        <v>0</v>
      </c>
      <c r="Q760" s="243">
        <f t="shared" si="152"/>
        <v>0</v>
      </c>
      <c r="R760" s="243">
        <f t="shared" si="153"/>
        <v>0</v>
      </c>
      <c r="S760" s="243">
        <f t="shared" si="154"/>
        <v>-2516.6327712972252</v>
      </c>
      <c r="T760" s="243">
        <f t="shared" si="155"/>
        <v>0</v>
      </c>
      <c r="AA760">
        <v>876</v>
      </c>
      <c r="AB760" t="s">
        <v>0</v>
      </c>
      <c r="AC760" t="s">
        <v>1072</v>
      </c>
      <c r="AD760" t="s">
        <v>7</v>
      </c>
      <c r="AE760" t="s">
        <v>1773</v>
      </c>
      <c r="AF760">
        <v>25</v>
      </c>
      <c r="AG760">
        <v>0</v>
      </c>
      <c r="AH760">
        <v>760</v>
      </c>
      <c r="AI760" t="s">
        <v>0</v>
      </c>
      <c r="AJ760" t="s">
        <v>1933</v>
      </c>
      <c r="AK760" t="s">
        <v>3298</v>
      </c>
      <c r="AL760" t="s">
        <v>889</v>
      </c>
      <c r="AM760" s="314">
        <v>0</v>
      </c>
      <c r="AN760" s="314">
        <v>0</v>
      </c>
      <c r="AO760" s="314">
        <v>358153.4475290975</v>
      </c>
      <c r="AP760" s="314">
        <v>0</v>
      </c>
      <c r="AQ760" s="314">
        <v>0</v>
      </c>
      <c r="AR760" s="314">
        <v>0</v>
      </c>
      <c r="AS760" s="314">
        <v>11.185035644899456</v>
      </c>
      <c r="AT760" s="314">
        <v>0</v>
      </c>
      <c r="AU760" s="314">
        <v>0</v>
      </c>
      <c r="AV760" s="314">
        <v>0</v>
      </c>
      <c r="AW760" s="314">
        <v>-2516.6327712972252</v>
      </c>
      <c r="AX760">
        <v>0</v>
      </c>
    </row>
    <row r="761" spans="1:50" x14ac:dyDescent="0.35">
      <c r="A761">
        <v>761</v>
      </c>
      <c r="B761" t="s">
        <v>0</v>
      </c>
      <c r="C761" t="s">
        <v>1933</v>
      </c>
      <c r="D761" t="s">
        <v>3298</v>
      </c>
      <c r="E761" t="s">
        <v>890</v>
      </c>
      <c r="F761">
        <v>0</v>
      </c>
      <c r="G761">
        <v>0</v>
      </c>
      <c r="H761">
        <v>0</v>
      </c>
      <c r="I761">
        <v>524870.73595440004</v>
      </c>
      <c r="J761">
        <v>519746.04000000004</v>
      </c>
      <c r="K761" s="7">
        <f t="shared" si="160"/>
        <v>10</v>
      </c>
      <c r="L761" s="7">
        <f t="shared" si="161"/>
        <v>0</v>
      </c>
      <c r="M761" s="243">
        <f t="shared" si="149"/>
        <v>0</v>
      </c>
      <c r="N761" s="243">
        <f>INDEX($AN$4:$AN21657,MATCH($A761,$AH$4:$AH$2000,0))</f>
        <v>0</v>
      </c>
      <c r="O761" s="243">
        <f t="shared" si="150"/>
        <v>0</v>
      </c>
      <c r="P761" s="243">
        <f t="shared" si="151"/>
        <v>83516.386473820035</v>
      </c>
      <c r="Q761" s="243">
        <f t="shared" si="152"/>
        <v>0</v>
      </c>
      <c r="R761" s="243">
        <f t="shared" si="153"/>
        <v>0</v>
      </c>
      <c r="S761" s="243">
        <f t="shared" si="154"/>
        <v>0</v>
      </c>
      <c r="T761" s="243">
        <f t="shared" si="155"/>
        <v>-2165.4747101859839</v>
      </c>
      <c r="AA761">
        <v>880</v>
      </c>
      <c r="AB761" t="s">
        <v>0</v>
      </c>
      <c r="AC761" t="s">
        <v>1072</v>
      </c>
      <c r="AD761" t="s">
        <v>7</v>
      </c>
      <c r="AE761" t="s">
        <v>1823</v>
      </c>
      <c r="AF761">
        <v>25</v>
      </c>
      <c r="AG761">
        <v>0</v>
      </c>
      <c r="AH761">
        <v>761</v>
      </c>
      <c r="AI761" t="s">
        <v>0</v>
      </c>
      <c r="AJ761" t="s">
        <v>1933</v>
      </c>
      <c r="AK761" t="s">
        <v>3298</v>
      </c>
      <c r="AL761" t="s">
        <v>890</v>
      </c>
      <c r="AM761" s="314">
        <v>0</v>
      </c>
      <c r="AN761" s="314">
        <v>0</v>
      </c>
      <c r="AO761" s="314">
        <v>0</v>
      </c>
      <c r="AP761" s="314">
        <v>83516.386473820035</v>
      </c>
      <c r="AQ761" s="314">
        <v>0</v>
      </c>
      <c r="AR761" s="314">
        <v>0</v>
      </c>
      <c r="AS761" s="314">
        <v>0</v>
      </c>
      <c r="AT761" s="314">
        <v>9.624332996773953</v>
      </c>
      <c r="AU761" s="314">
        <v>0</v>
      </c>
      <c r="AV761" s="314">
        <v>0</v>
      </c>
      <c r="AW761" s="314">
        <v>0</v>
      </c>
      <c r="AX761">
        <v>-2165.4747101859839</v>
      </c>
    </row>
    <row r="762" spans="1:50" x14ac:dyDescent="0.35">
      <c r="A762">
        <v>722</v>
      </c>
      <c r="B762" t="s">
        <v>0</v>
      </c>
      <c r="C762" t="s">
        <v>1933</v>
      </c>
      <c r="D762" t="s">
        <v>3298</v>
      </c>
      <c r="E762" t="s">
        <v>891</v>
      </c>
      <c r="F762">
        <v>4690.9357440000003</v>
      </c>
      <c r="G762">
        <v>0</v>
      </c>
      <c r="H762">
        <v>0</v>
      </c>
      <c r="I762">
        <v>0</v>
      </c>
      <c r="J762">
        <v>4646.4000000000005</v>
      </c>
      <c r="K762" s="7">
        <f t="shared" si="160"/>
        <v>10</v>
      </c>
      <c r="L762" s="7">
        <f t="shared" si="161"/>
        <v>3</v>
      </c>
      <c r="M762" s="243">
        <f t="shared" si="149"/>
        <v>84180.159566728733</v>
      </c>
      <c r="N762" s="243">
        <f>INDEX($AN$4:$AN21658,MATCH($A762,$AH$4:$AH$2000,0))</f>
        <v>0</v>
      </c>
      <c r="O762" s="243">
        <f t="shared" si="150"/>
        <v>0</v>
      </c>
      <c r="P762" s="243">
        <f t="shared" si="151"/>
        <v>0</v>
      </c>
      <c r="Q762" s="243">
        <f t="shared" si="152"/>
        <v>-715.92084742611723</v>
      </c>
      <c r="R762" s="243">
        <f t="shared" si="153"/>
        <v>0</v>
      </c>
      <c r="S762" s="243">
        <f t="shared" si="154"/>
        <v>0</v>
      </c>
      <c r="T762" s="243">
        <f t="shared" si="155"/>
        <v>0</v>
      </c>
      <c r="AA762">
        <v>878</v>
      </c>
      <c r="AB762" t="s">
        <v>0</v>
      </c>
      <c r="AC762" t="s">
        <v>1072</v>
      </c>
      <c r="AD762" t="s">
        <v>7</v>
      </c>
      <c r="AE762" t="s">
        <v>1774</v>
      </c>
      <c r="AF762">
        <v>25</v>
      </c>
      <c r="AG762">
        <v>0</v>
      </c>
      <c r="AH762">
        <v>722</v>
      </c>
      <c r="AI762" t="s">
        <v>0</v>
      </c>
      <c r="AJ762" t="s">
        <v>1933</v>
      </c>
      <c r="AK762" t="s">
        <v>3298</v>
      </c>
      <c r="AL762" t="s">
        <v>891</v>
      </c>
      <c r="AM762" s="314">
        <v>84180.159566728733</v>
      </c>
      <c r="AN762" s="314">
        <v>0</v>
      </c>
      <c r="AO762" s="314">
        <v>0</v>
      </c>
      <c r="AP762" s="314">
        <v>0</v>
      </c>
      <c r="AQ762" s="314">
        <v>3.1818707475783787</v>
      </c>
      <c r="AR762" s="314">
        <v>0</v>
      </c>
      <c r="AS762" s="314">
        <v>0</v>
      </c>
      <c r="AT762" s="314">
        <v>0</v>
      </c>
      <c r="AU762" s="314">
        <v>-715.92084742611723</v>
      </c>
      <c r="AV762" s="314">
        <v>0</v>
      </c>
      <c r="AW762" s="314">
        <v>0</v>
      </c>
      <c r="AX762">
        <v>0</v>
      </c>
    </row>
    <row r="763" spans="1:50" x14ac:dyDescent="0.35">
      <c r="A763">
        <v>723</v>
      </c>
      <c r="B763" t="s">
        <v>0</v>
      </c>
      <c r="C763" t="s">
        <v>1933</v>
      </c>
      <c r="D763" t="s">
        <v>3298</v>
      </c>
      <c r="E763" t="s">
        <v>892</v>
      </c>
      <c r="F763">
        <v>0</v>
      </c>
      <c r="G763">
        <v>4689.3373824000009</v>
      </c>
      <c r="H763">
        <v>0</v>
      </c>
      <c r="I763">
        <v>0</v>
      </c>
      <c r="J763">
        <v>4646.4000000000005</v>
      </c>
      <c r="K763" s="7">
        <f t="shared" si="160"/>
        <v>10</v>
      </c>
      <c r="L763" s="7">
        <f t="shared" si="161"/>
        <v>2</v>
      </c>
      <c r="M763" s="243">
        <f t="shared" si="149"/>
        <v>0</v>
      </c>
      <c r="N763" s="243">
        <f>INDEX($AN$4:$AN21659,MATCH($A763,$AH$4:$AH$2000,0))</f>
        <v>4026.4147512450891</v>
      </c>
      <c r="O763" s="243">
        <f t="shared" si="150"/>
        <v>0</v>
      </c>
      <c r="P763" s="243">
        <f t="shared" si="151"/>
        <v>0</v>
      </c>
      <c r="Q763" s="243">
        <f t="shared" si="152"/>
        <v>0</v>
      </c>
      <c r="R763" s="243">
        <f t="shared" si="153"/>
        <v>-34.24315510491995</v>
      </c>
      <c r="S763" s="243">
        <f t="shared" si="154"/>
        <v>0</v>
      </c>
      <c r="T763" s="243">
        <f t="shared" si="155"/>
        <v>0</v>
      </c>
      <c r="AA763">
        <v>868</v>
      </c>
      <c r="AB763" t="s">
        <v>0</v>
      </c>
      <c r="AC763" t="s">
        <v>1072</v>
      </c>
      <c r="AD763" t="s">
        <v>7</v>
      </c>
      <c r="AE763" t="s">
        <v>1775</v>
      </c>
      <c r="AF763">
        <v>25</v>
      </c>
      <c r="AG763">
        <v>0</v>
      </c>
      <c r="AH763">
        <v>723</v>
      </c>
      <c r="AI763" t="s">
        <v>0</v>
      </c>
      <c r="AJ763" t="s">
        <v>1933</v>
      </c>
      <c r="AK763" t="s">
        <v>3298</v>
      </c>
      <c r="AL763" t="s">
        <v>892</v>
      </c>
      <c r="AM763" s="314">
        <v>0</v>
      </c>
      <c r="AN763" s="314">
        <v>4026.4147512450891</v>
      </c>
      <c r="AO763" s="314">
        <v>0</v>
      </c>
      <c r="AP763" s="314">
        <v>0</v>
      </c>
      <c r="AQ763" s="314">
        <v>0</v>
      </c>
      <c r="AR763" s="314">
        <v>0.15219181551264768</v>
      </c>
      <c r="AS763" s="314">
        <v>0</v>
      </c>
      <c r="AT763" s="314">
        <v>0</v>
      </c>
      <c r="AU763" s="314">
        <v>0</v>
      </c>
      <c r="AV763" s="314">
        <v>-34.24315510491995</v>
      </c>
      <c r="AW763" s="314">
        <v>0</v>
      </c>
      <c r="AX763">
        <v>0</v>
      </c>
    </row>
    <row r="764" spans="1:50" x14ac:dyDescent="0.35">
      <c r="A764">
        <v>724</v>
      </c>
      <c r="B764" t="s">
        <v>0</v>
      </c>
      <c r="C764" t="s">
        <v>1933</v>
      </c>
      <c r="D764" t="s">
        <v>3298</v>
      </c>
      <c r="E764" t="s">
        <v>893</v>
      </c>
      <c r="F764">
        <v>0</v>
      </c>
      <c r="G764">
        <v>0</v>
      </c>
      <c r="H764">
        <v>4690.7731200000007</v>
      </c>
      <c r="I764">
        <v>0</v>
      </c>
      <c r="J764">
        <v>4646.4000000000005</v>
      </c>
      <c r="K764" s="7">
        <f t="shared" si="160"/>
        <v>10</v>
      </c>
      <c r="L764" s="7">
        <f t="shared" si="161"/>
        <v>1</v>
      </c>
      <c r="M764" s="243">
        <f t="shared" si="149"/>
        <v>0</v>
      </c>
      <c r="N764" s="243">
        <f>INDEX($AN$4:$AN21660,MATCH($A764,$AH$4:$AH$2000,0))</f>
        <v>0</v>
      </c>
      <c r="O764" s="243">
        <f t="shared" si="150"/>
        <v>3464.589437117867</v>
      </c>
      <c r="P764" s="243">
        <f t="shared" si="151"/>
        <v>0</v>
      </c>
      <c r="Q764" s="243">
        <f t="shared" si="152"/>
        <v>0</v>
      </c>
      <c r="R764" s="243">
        <f t="shared" si="153"/>
        <v>0</v>
      </c>
      <c r="S764" s="243">
        <f t="shared" si="154"/>
        <v>-29.465040439117171</v>
      </c>
      <c r="T764" s="243">
        <f t="shared" si="155"/>
        <v>0</v>
      </c>
      <c r="AA764">
        <v>872</v>
      </c>
      <c r="AB764" t="s">
        <v>0</v>
      </c>
      <c r="AC764" t="s">
        <v>1072</v>
      </c>
      <c r="AD764" t="s">
        <v>7</v>
      </c>
      <c r="AE764" t="s">
        <v>1824</v>
      </c>
      <c r="AF764">
        <v>25</v>
      </c>
      <c r="AG764">
        <v>0</v>
      </c>
      <c r="AH764">
        <v>724</v>
      </c>
      <c r="AI764" t="s">
        <v>0</v>
      </c>
      <c r="AJ764" t="s">
        <v>1933</v>
      </c>
      <c r="AK764" t="s">
        <v>3298</v>
      </c>
      <c r="AL764" t="s">
        <v>893</v>
      </c>
      <c r="AM764" s="314">
        <v>0</v>
      </c>
      <c r="AN764" s="314">
        <v>0</v>
      </c>
      <c r="AO764" s="314">
        <v>3464.589437117867</v>
      </c>
      <c r="AP764" s="314">
        <v>0</v>
      </c>
      <c r="AQ764" s="314">
        <v>0</v>
      </c>
      <c r="AR764" s="314">
        <v>0</v>
      </c>
      <c r="AS764" s="314">
        <v>0.13095574823181313</v>
      </c>
      <c r="AT764" s="314">
        <v>0</v>
      </c>
      <c r="AU764" s="314">
        <v>0</v>
      </c>
      <c r="AV764" s="314">
        <v>0</v>
      </c>
      <c r="AW764" s="314">
        <v>-29.465040439117171</v>
      </c>
      <c r="AX764">
        <v>0</v>
      </c>
    </row>
    <row r="765" spans="1:50" x14ac:dyDescent="0.35">
      <c r="A765">
        <v>750</v>
      </c>
      <c r="B765" t="s">
        <v>0</v>
      </c>
      <c r="C765" t="s">
        <v>1933</v>
      </c>
      <c r="D765" t="s">
        <v>3298</v>
      </c>
      <c r="E765" t="s">
        <v>894</v>
      </c>
      <c r="F765">
        <v>0</v>
      </c>
      <c r="G765">
        <v>4689.3373824000009</v>
      </c>
      <c r="H765">
        <v>0</v>
      </c>
      <c r="I765">
        <v>0</v>
      </c>
      <c r="J765">
        <v>4646.4000000000005</v>
      </c>
      <c r="K765" s="7">
        <f t="shared" si="160"/>
        <v>10</v>
      </c>
      <c r="L765" s="7">
        <f t="shared" si="161"/>
        <v>2</v>
      </c>
      <c r="M765" s="243">
        <f t="shared" si="149"/>
        <v>0</v>
      </c>
      <c r="N765" s="243">
        <f>INDEX($AN$4:$AN21661,MATCH($A765,$AH$4:$AH$2000,0))</f>
        <v>78167.291026248087</v>
      </c>
      <c r="O765" s="243">
        <f t="shared" si="150"/>
        <v>0</v>
      </c>
      <c r="P765" s="243">
        <f t="shared" si="151"/>
        <v>0</v>
      </c>
      <c r="Q765" s="243">
        <f t="shared" si="152"/>
        <v>0</v>
      </c>
      <c r="R765" s="243">
        <f t="shared" si="153"/>
        <v>-664.78364403853743</v>
      </c>
      <c r="S765" s="243">
        <f t="shared" si="154"/>
        <v>0</v>
      </c>
      <c r="T765" s="243">
        <f t="shared" si="155"/>
        <v>0</v>
      </c>
      <c r="AA765">
        <v>870</v>
      </c>
      <c r="AB765" t="s">
        <v>0</v>
      </c>
      <c r="AC765" t="s">
        <v>1072</v>
      </c>
      <c r="AD765" t="s">
        <v>7</v>
      </c>
      <c r="AE765" t="s">
        <v>1776</v>
      </c>
      <c r="AF765">
        <v>25</v>
      </c>
      <c r="AG765">
        <v>0</v>
      </c>
      <c r="AH765">
        <v>750</v>
      </c>
      <c r="AI765" t="s">
        <v>0</v>
      </c>
      <c r="AJ765" t="s">
        <v>1933</v>
      </c>
      <c r="AK765" t="s">
        <v>3298</v>
      </c>
      <c r="AL765" t="s">
        <v>894</v>
      </c>
      <c r="AM765" s="314">
        <v>0</v>
      </c>
      <c r="AN765" s="314">
        <v>78167.291026248087</v>
      </c>
      <c r="AO765" s="314">
        <v>0</v>
      </c>
      <c r="AP765" s="314">
        <v>0</v>
      </c>
      <c r="AQ765" s="314">
        <v>0</v>
      </c>
      <c r="AR765" s="314">
        <v>2.9545942656084945</v>
      </c>
      <c r="AS765" s="314">
        <v>0</v>
      </c>
      <c r="AT765" s="314">
        <v>0</v>
      </c>
      <c r="AU765" s="314">
        <v>0</v>
      </c>
      <c r="AV765" s="314">
        <v>-664.78364403853743</v>
      </c>
      <c r="AW765" s="314">
        <v>0</v>
      </c>
      <c r="AX765">
        <v>0</v>
      </c>
    </row>
    <row r="766" spans="1:50" x14ac:dyDescent="0.35">
      <c r="A766">
        <v>751</v>
      </c>
      <c r="B766" t="s">
        <v>0</v>
      </c>
      <c r="C766" t="s">
        <v>1933</v>
      </c>
      <c r="D766" t="s">
        <v>3298</v>
      </c>
      <c r="E766" t="s">
        <v>895</v>
      </c>
      <c r="F766">
        <v>0</v>
      </c>
      <c r="G766">
        <v>0</v>
      </c>
      <c r="H766">
        <v>4690.7731200000007</v>
      </c>
      <c r="I766">
        <v>0</v>
      </c>
      <c r="J766">
        <v>4646.4000000000005</v>
      </c>
      <c r="K766" s="7">
        <f t="shared" si="160"/>
        <v>10</v>
      </c>
      <c r="L766" s="7">
        <f t="shared" si="161"/>
        <v>1</v>
      </c>
      <c r="M766" s="243">
        <f t="shared" si="149"/>
        <v>0</v>
      </c>
      <c r="N766" s="243">
        <f>INDEX($AN$4:$AN21662,MATCH($A766,$AH$4:$AH$2000,0))</f>
        <v>0</v>
      </c>
      <c r="O766" s="243">
        <f t="shared" si="150"/>
        <v>3738.8136975847251</v>
      </c>
      <c r="P766" s="243">
        <f t="shared" si="151"/>
        <v>0</v>
      </c>
      <c r="Q766" s="243">
        <f t="shared" si="152"/>
        <v>0</v>
      </c>
      <c r="R766" s="243">
        <f t="shared" si="153"/>
        <v>0</v>
      </c>
      <c r="S766" s="243">
        <f t="shared" si="154"/>
        <v>-31.797215454568523</v>
      </c>
      <c r="T766" s="243">
        <f t="shared" si="155"/>
        <v>0</v>
      </c>
      <c r="AA766">
        <v>892</v>
      </c>
      <c r="AB766" t="s">
        <v>0</v>
      </c>
      <c r="AC766" t="s">
        <v>1072</v>
      </c>
      <c r="AD766" t="s">
        <v>7</v>
      </c>
      <c r="AE766" t="s">
        <v>1777</v>
      </c>
      <c r="AF766">
        <v>20</v>
      </c>
      <c r="AG766">
        <v>0</v>
      </c>
      <c r="AH766">
        <v>751</v>
      </c>
      <c r="AI766" t="s">
        <v>0</v>
      </c>
      <c r="AJ766" t="s">
        <v>1933</v>
      </c>
      <c r="AK766" t="s">
        <v>3298</v>
      </c>
      <c r="AL766" t="s">
        <v>895</v>
      </c>
      <c r="AM766" s="314">
        <v>0</v>
      </c>
      <c r="AN766" s="314">
        <v>0</v>
      </c>
      <c r="AO766" s="314">
        <v>3738.8136975847251</v>
      </c>
      <c r="AP766" s="314">
        <v>0</v>
      </c>
      <c r="AQ766" s="314">
        <v>0</v>
      </c>
      <c r="AR766" s="314">
        <v>0</v>
      </c>
      <c r="AS766" s="314">
        <v>0.14132097154745854</v>
      </c>
      <c r="AT766" s="314">
        <v>0</v>
      </c>
      <c r="AU766" s="314">
        <v>0</v>
      </c>
      <c r="AV766" s="314">
        <v>0</v>
      </c>
      <c r="AW766" s="314">
        <v>-31.797215454568523</v>
      </c>
      <c r="AX766">
        <v>0</v>
      </c>
    </row>
    <row r="767" spans="1:50" x14ac:dyDescent="0.35">
      <c r="A767">
        <v>752</v>
      </c>
      <c r="B767" t="s">
        <v>0</v>
      </c>
      <c r="C767" t="s">
        <v>1933</v>
      </c>
      <c r="D767" t="s">
        <v>3298</v>
      </c>
      <c r="E767" t="s">
        <v>896</v>
      </c>
      <c r="F767">
        <v>0</v>
      </c>
      <c r="G767">
        <v>0</v>
      </c>
      <c r="H767">
        <v>0</v>
      </c>
      <c r="I767">
        <v>4692.2135040000003</v>
      </c>
      <c r="J767">
        <v>4646.4000000000005</v>
      </c>
      <c r="K767" s="7">
        <f t="shared" si="160"/>
        <v>10</v>
      </c>
      <c r="L767" s="7">
        <f t="shared" si="161"/>
        <v>0</v>
      </c>
      <c r="M767" s="243">
        <f t="shared" si="149"/>
        <v>0</v>
      </c>
      <c r="N767" s="243">
        <f>INDEX($AN$4:$AN21663,MATCH($A767,$AH$4:$AH$2000,0))</f>
        <v>0</v>
      </c>
      <c r="O767" s="243">
        <f t="shared" si="150"/>
        <v>0</v>
      </c>
      <c r="P767" s="243">
        <f t="shared" si="151"/>
        <v>1055.2149542764703</v>
      </c>
      <c r="Q767" s="243">
        <f t="shared" si="152"/>
        <v>0</v>
      </c>
      <c r="R767" s="243">
        <f t="shared" si="153"/>
        <v>0</v>
      </c>
      <c r="S767" s="243">
        <f t="shared" si="154"/>
        <v>0</v>
      </c>
      <c r="T767" s="243">
        <f t="shared" si="155"/>
        <v>-27.360394693465942</v>
      </c>
      <c r="AA767">
        <v>854</v>
      </c>
      <c r="AB767" t="s">
        <v>0</v>
      </c>
      <c r="AC767" t="s">
        <v>1072</v>
      </c>
      <c r="AD767" t="s">
        <v>7</v>
      </c>
      <c r="AE767" t="s">
        <v>1778</v>
      </c>
      <c r="AF767">
        <v>20</v>
      </c>
      <c r="AG767">
        <v>0</v>
      </c>
      <c r="AH767">
        <v>752</v>
      </c>
      <c r="AI767" t="s">
        <v>0</v>
      </c>
      <c r="AJ767" t="s">
        <v>1933</v>
      </c>
      <c r="AK767" t="s">
        <v>3298</v>
      </c>
      <c r="AL767" t="s">
        <v>896</v>
      </c>
      <c r="AM767" s="314">
        <v>0</v>
      </c>
      <c r="AN767" s="314">
        <v>0</v>
      </c>
      <c r="AO767" s="314">
        <v>0</v>
      </c>
      <c r="AP767" s="314">
        <v>1055.2149542764703</v>
      </c>
      <c r="AQ767" s="314">
        <v>0</v>
      </c>
      <c r="AR767" s="314">
        <v>0</v>
      </c>
      <c r="AS767" s="314">
        <v>0</v>
      </c>
      <c r="AT767" s="314">
        <v>0.12160176621525505</v>
      </c>
      <c r="AU767" s="314">
        <v>0</v>
      </c>
      <c r="AV767" s="314">
        <v>0</v>
      </c>
      <c r="AW767" s="314">
        <v>0</v>
      </c>
      <c r="AX767">
        <v>-27.360394693465942</v>
      </c>
    </row>
    <row r="768" spans="1:50" x14ac:dyDescent="0.35">
      <c r="A768">
        <v>725</v>
      </c>
      <c r="B768" t="s">
        <v>0</v>
      </c>
      <c r="C768" t="s">
        <v>1933</v>
      </c>
      <c r="D768" t="s">
        <v>3298</v>
      </c>
      <c r="E768" t="s">
        <v>897</v>
      </c>
      <c r="F768">
        <v>26140.639229100001</v>
      </c>
      <c r="G768">
        <v>0</v>
      </c>
      <c r="H768">
        <v>0</v>
      </c>
      <c r="I768">
        <v>0</v>
      </c>
      <c r="J768">
        <v>25892.460000000003</v>
      </c>
      <c r="K768" s="7">
        <f t="shared" si="160"/>
        <v>10</v>
      </c>
      <c r="L768" s="7">
        <f t="shared" si="161"/>
        <v>3</v>
      </c>
      <c r="M768" s="243">
        <f t="shared" si="149"/>
        <v>584787.29612538277</v>
      </c>
      <c r="N768" s="243">
        <f>INDEX($AN$4:$AN21664,MATCH($A768,$AH$4:$AH$2000,0))</f>
        <v>0</v>
      </c>
      <c r="O768" s="243">
        <f t="shared" si="150"/>
        <v>0</v>
      </c>
      <c r="P768" s="243">
        <f t="shared" si="151"/>
        <v>0</v>
      </c>
      <c r="Q768" s="243">
        <f t="shared" si="152"/>
        <v>-6413.8635682074455</v>
      </c>
      <c r="R768" s="243">
        <f t="shared" si="153"/>
        <v>0</v>
      </c>
      <c r="S768" s="243">
        <f t="shared" si="154"/>
        <v>0</v>
      </c>
      <c r="T768" s="243">
        <f t="shared" si="155"/>
        <v>0</v>
      </c>
      <c r="AA768">
        <v>853</v>
      </c>
      <c r="AB768" t="s">
        <v>0</v>
      </c>
      <c r="AC768" t="s">
        <v>1072</v>
      </c>
      <c r="AD768" t="s">
        <v>7</v>
      </c>
      <c r="AE768" t="s">
        <v>1874</v>
      </c>
      <c r="AF768">
        <v>18</v>
      </c>
      <c r="AG768">
        <v>0</v>
      </c>
      <c r="AH768">
        <v>725</v>
      </c>
      <c r="AI768" t="s">
        <v>0</v>
      </c>
      <c r="AJ768" t="s">
        <v>1933</v>
      </c>
      <c r="AK768" t="s">
        <v>3298</v>
      </c>
      <c r="AL768" t="s">
        <v>897</v>
      </c>
      <c r="AM768" s="314">
        <v>584787.29612538277</v>
      </c>
      <c r="AN768" s="314">
        <v>0</v>
      </c>
      <c r="AO768" s="314">
        <v>0</v>
      </c>
      <c r="AP768" s="314">
        <v>0</v>
      </c>
      <c r="AQ768" s="314">
        <v>28.506063121376069</v>
      </c>
      <c r="AR768" s="314">
        <v>0</v>
      </c>
      <c r="AS768" s="314">
        <v>0</v>
      </c>
      <c r="AT768" s="314">
        <v>0</v>
      </c>
      <c r="AU768" s="314">
        <v>-6413.8635682074455</v>
      </c>
      <c r="AV768" s="314">
        <v>0</v>
      </c>
      <c r="AW768" s="314">
        <v>0</v>
      </c>
      <c r="AX768">
        <v>0</v>
      </c>
    </row>
    <row r="769" spans="1:50" x14ac:dyDescent="0.35">
      <c r="A769">
        <v>726</v>
      </c>
      <c r="B769" t="s">
        <v>0</v>
      </c>
      <c r="C769" t="s">
        <v>1933</v>
      </c>
      <c r="D769" t="s">
        <v>3298</v>
      </c>
      <c r="E769" t="s">
        <v>898</v>
      </c>
      <c r="F769">
        <v>0</v>
      </c>
      <c r="G769">
        <v>26131.732222860006</v>
      </c>
      <c r="H769">
        <v>0</v>
      </c>
      <c r="I769">
        <v>0</v>
      </c>
      <c r="J769">
        <v>25892.460000000003</v>
      </c>
      <c r="K769" s="7">
        <f t="shared" si="160"/>
        <v>10</v>
      </c>
      <c r="L769" s="7">
        <f t="shared" si="161"/>
        <v>2</v>
      </c>
      <c r="M769" s="243">
        <f t="shared" si="149"/>
        <v>0</v>
      </c>
      <c r="N769" s="243">
        <f>INDEX($AN$4:$AN21665,MATCH($A769,$AH$4:$AH$2000,0))</f>
        <v>27970.91627740984</v>
      </c>
      <c r="O769" s="243">
        <f t="shared" si="150"/>
        <v>0</v>
      </c>
      <c r="P769" s="243">
        <f t="shared" si="151"/>
        <v>0</v>
      </c>
      <c r="Q769" s="243">
        <f t="shared" si="152"/>
        <v>0</v>
      </c>
      <c r="R769" s="243">
        <f t="shared" si="153"/>
        <v>-306.781016054416</v>
      </c>
      <c r="S769" s="243">
        <f t="shared" si="154"/>
        <v>0</v>
      </c>
      <c r="T769" s="243">
        <f t="shared" si="155"/>
        <v>0</v>
      </c>
      <c r="AA769">
        <v>912</v>
      </c>
      <c r="AB769" t="s">
        <v>0</v>
      </c>
      <c r="AC769" t="s">
        <v>1072</v>
      </c>
      <c r="AD769" t="s">
        <v>7</v>
      </c>
      <c r="AE769" t="s">
        <v>1779</v>
      </c>
      <c r="AF769">
        <v>10</v>
      </c>
      <c r="AG769">
        <v>0</v>
      </c>
      <c r="AH769">
        <v>726</v>
      </c>
      <c r="AI769" t="s">
        <v>0</v>
      </c>
      <c r="AJ769" t="s">
        <v>1933</v>
      </c>
      <c r="AK769" t="s">
        <v>3298</v>
      </c>
      <c r="AL769" t="s">
        <v>898</v>
      </c>
      <c r="AM769" s="314">
        <v>0</v>
      </c>
      <c r="AN769" s="314">
        <v>27970.91627740984</v>
      </c>
      <c r="AO769" s="314">
        <v>0</v>
      </c>
      <c r="AP769" s="314">
        <v>0</v>
      </c>
      <c r="AQ769" s="314">
        <v>0</v>
      </c>
      <c r="AR769" s="314">
        <v>1.3634713172627038</v>
      </c>
      <c r="AS769" s="314">
        <v>0</v>
      </c>
      <c r="AT769" s="314">
        <v>0</v>
      </c>
      <c r="AU769" s="314">
        <v>0</v>
      </c>
      <c r="AV769" s="314">
        <v>-306.781016054416</v>
      </c>
      <c r="AW769" s="314">
        <v>0</v>
      </c>
      <c r="AX769">
        <v>0</v>
      </c>
    </row>
    <row r="770" spans="1:50" x14ac:dyDescent="0.35">
      <c r="A770">
        <v>727</v>
      </c>
      <c r="B770" t="s">
        <v>0</v>
      </c>
      <c r="C770" t="s">
        <v>1933</v>
      </c>
      <c r="D770" t="s">
        <v>3298</v>
      </c>
      <c r="E770" t="s">
        <v>899</v>
      </c>
      <c r="F770">
        <v>0</v>
      </c>
      <c r="G770">
        <v>0</v>
      </c>
      <c r="H770">
        <v>26139.732993000001</v>
      </c>
      <c r="I770">
        <v>0</v>
      </c>
      <c r="J770">
        <v>25892.460000000003</v>
      </c>
      <c r="K770" s="7">
        <f t="shared" si="160"/>
        <v>10</v>
      </c>
      <c r="L770" s="7">
        <f t="shared" si="161"/>
        <v>1</v>
      </c>
      <c r="M770" s="243">
        <f t="shared" si="149"/>
        <v>0</v>
      </c>
      <c r="N770" s="243">
        <f>INDEX($AN$4:$AN21666,MATCH($A770,$AH$4:$AH$2000,0))</f>
        <v>0</v>
      </c>
      <c r="O770" s="243">
        <f t="shared" si="150"/>
        <v>24067.997727073591</v>
      </c>
      <c r="P770" s="243">
        <f t="shared" si="151"/>
        <v>0</v>
      </c>
      <c r="Q770" s="243">
        <f t="shared" si="152"/>
        <v>0</v>
      </c>
      <c r="R770" s="243">
        <f t="shared" si="153"/>
        <v>0</v>
      </c>
      <c r="S770" s="243">
        <f t="shared" si="154"/>
        <v>-263.97436265147428</v>
      </c>
      <c r="T770" s="243">
        <f t="shared" si="155"/>
        <v>0</v>
      </c>
      <c r="AA770">
        <v>913</v>
      </c>
      <c r="AB770" t="s">
        <v>0</v>
      </c>
      <c r="AC770" t="s">
        <v>1072</v>
      </c>
      <c r="AD770" t="s">
        <v>7</v>
      </c>
      <c r="AE770" t="s">
        <v>1875</v>
      </c>
      <c r="AF770">
        <v>10</v>
      </c>
      <c r="AG770">
        <v>0</v>
      </c>
      <c r="AH770">
        <v>727</v>
      </c>
      <c r="AI770" t="s">
        <v>0</v>
      </c>
      <c r="AJ770" t="s">
        <v>1933</v>
      </c>
      <c r="AK770" t="s">
        <v>3298</v>
      </c>
      <c r="AL770" t="s">
        <v>899</v>
      </c>
      <c r="AM770" s="314">
        <v>0</v>
      </c>
      <c r="AN770" s="314">
        <v>0</v>
      </c>
      <c r="AO770" s="314">
        <v>24067.997727073591</v>
      </c>
      <c r="AP770" s="314">
        <v>0</v>
      </c>
      <c r="AQ770" s="314">
        <v>0</v>
      </c>
      <c r="AR770" s="314">
        <v>0</v>
      </c>
      <c r="AS770" s="314">
        <v>1.1732195055516288</v>
      </c>
      <c r="AT770" s="314">
        <v>0</v>
      </c>
      <c r="AU770" s="314">
        <v>0</v>
      </c>
      <c r="AV770" s="314">
        <v>0</v>
      </c>
      <c r="AW770" s="314">
        <v>-263.97436265147428</v>
      </c>
      <c r="AX770">
        <v>0</v>
      </c>
    </row>
    <row r="771" spans="1:50" x14ac:dyDescent="0.35">
      <c r="A771">
        <v>753</v>
      </c>
      <c r="B771" t="s">
        <v>0</v>
      </c>
      <c r="C771" t="s">
        <v>1933</v>
      </c>
      <c r="D771" t="s">
        <v>3298</v>
      </c>
      <c r="E771" t="s">
        <v>900</v>
      </c>
      <c r="F771">
        <v>0</v>
      </c>
      <c r="G771">
        <v>26131.732222860006</v>
      </c>
      <c r="H771">
        <v>0</v>
      </c>
      <c r="I771">
        <v>0</v>
      </c>
      <c r="J771">
        <v>25892.460000000003</v>
      </c>
      <c r="K771" s="7">
        <f t="shared" si="160"/>
        <v>10</v>
      </c>
      <c r="L771" s="7">
        <f t="shared" si="161"/>
        <v>2</v>
      </c>
      <c r="M771" s="243">
        <f t="shared" si="149"/>
        <v>0</v>
      </c>
      <c r="N771" s="243">
        <f>INDEX($AN$4:$AN21667,MATCH($A771,$AH$4:$AH$2000,0))</f>
        <v>543016.77497356955</v>
      </c>
      <c r="O771" s="243">
        <f t="shared" si="150"/>
        <v>0</v>
      </c>
      <c r="P771" s="243">
        <f t="shared" si="151"/>
        <v>0</v>
      </c>
      <c r="Q771" s="243">
        <f t="shared" si="152"/>
        <v>0</v>
      </c>
      <c r="R771" s="243">
        <f t="shared" si="153"/>
        <v>-5955.7304561926276</v>
      </c>
      <c r="S771" s="243">
        <f t="shared" si="154"/>
        <v>0</v>
      </c>
      <c r="T771" s="243">
        <f t="shared" si="155"/>
        <v>0</v>
      </c>
      <c r="AA771">
        <v>914</v>
      </c>
      <c r="AB771" t="s">
        <v>0</v>
      </c>
      <c r="AC771" t="s">
        <v>1072</v>
      </c>
      <c r="AD771" t="s">
        <v>7</v>
      </c>
      <c r="AE771" t="s">
        <v>1780</v>
      </c>
      <c r="AF771">
        <v>10</v>
      </c>
      <c r="AG771">
        <v>0</v>
      </c>
      <c r="AH771">
        <v>753</v>
      </c>
      <c r="AI771" t="s">
        <v>0</v>
      </c>
      <c r="AJ771" t="s">
        <v>1933</v>
      </c>
      <c r="AK771" t="s">
        <v>3298</v>
      </c>
      <c r="AL771" t="s">
        <v>900</v>
      </c>
      <c r="AM771" s="314">
        <v>0</v>
      </c>
      <c r="AN771" s="314">
        <v>543016.77497356955</v>
      </c>
      <c r="AO771" s="314">
        <v>0</v>
      </c>
      <c r="AP771" s="314">
        <v>0</v>
      </c>
      <c r="AQ771" s="314">
        <v>0</v>
      </c>
      <c r="AR771" s="314">
        <v>26.469915755563488</v>
      </c>
      <c r="AS771" s="314">
        <v>0</v>
      </c>
      <c r="AT771" s="314">
        <v>0</v>
      </c>
      <c r="AU771" s="314">
        <v>0</v>
      </c>
      <c r="AV771" s="314">
        <v>-5955.7304561926276</v>
      </c>
      <c r="AW771" s="314">
        <v>0</v>
      </c>
      <c r="AX771">
        <v>0</v>
      </c>
    </row>
    <row r="772" spans="1:50" x14ac:dyDescent="0.35">
      <c r="A772">
        <v>754</v>
      </c>
      <c r="B772" t="s">
        <v>0</v>
      </c>
      <c r="C772" t="s">
        <v>1933</v>
      </c>
      <c r="D772" t="s">
        <v>3298</v>
      </c>
      <c r="E772" t="s">
        <v>901</v>
      </c>
      <c r="F772">
        <v>0</v>
      </c>
      <c r="G772">
        <v>0</v>
      </c>
      <c r="H772">
        <v>26139.732993000001</v>
      </c>
      <c r="I772">
        <v>0</v>
      </c>
      <c r="J772">
        <v>25892.460000000003</v>
      </c>
      <c r="K772" s="7">
        <f t="shared" si="160"/>
        <v>10</v>
      </c>
      <c r="L772" s="7">
        <f t="shared" si="161"/>
        <v>1</v>
      </c>
      <c r="M772" s="243">
        <f t="shared" si="149"/>
        <v>0</v>
      </c>
      <c r="N772" s="243">
        <f>INDEX($AN$4:$AN21668,MATCH($A772,$AH$4:$AH$2000,0))</f>
        <v>0</v>
      </c>
      <c r="O772" s="243">
        <f t="shared" si="150"/>
        <v>25972.993686166279</v>
      </c>
      <c r="P772" s="243">
        <f t="shared" si="151"/>
        <v>0</v>
      </c>
      <c r="Q772" s="243">
        <f t="shared" si="152"/>
        <v>0</v>
      </c>
      <c r="R772" s="243">
        <f t="shared" si="153"/>
        <v>0</v>
      </c>
      <c r="S772" s="243">
        <f t="shared" si="154"/>
        <v>-284.86808633624344</v>
      </c>
      <c r="T772" s="243">
        <f t="shared" si="155"/>
        <v>0</v>
      </c>
      <c r="AA772">
        <v>916</v>
      </c>
      <c r="AB772" t="s">
        <v>0</v>
      </c>
      <c r="AC772" t="s">
        <v>1072</v>
      </c>
      <c r="AD772" t="s">
        <v>7</v>
      </c>
      <c r="AE772" t="s">
        <v>1781</v>
      </c>
      <c r="AF772">
        <v>10</v>
      </c>
      <c r="AG772">
        <v>0</v>
      </c>
      <c r="AH772">
        <v>754</v>
      </c>
      <c r="AI772" t="s">
        <v>0</v>
      </c>
      <c r="AJ772" t="s">
        <v>1933</v>
      </c>
      <c r="AK772" t="s">
        <v>3298</v>
      </c>
      <c r="AL772" t="s">
        <v>901</v>
      </c>
      <c r="AM772" s="314">
        <v>0</v>
      </c>
      <c r="AN772" s="314">
        <v>0</v>
      </c>
      <c r="AO772" s="314">
        <v>25972.993686166279</v>
      </c>
      <c r="AP772" s="314">
        <v>0</v>
      </c>
      <c r="AQ772" s="314">
        <v>0</v>
      </c>
      <c r="AR772" s="314">
        <v>0</v>
      </c>
      <c r="AS772" s="314">
        <v>1.2660805088867964</v>
      </c>
      <c r="AT772" s="314">
        <v>0</v>
      </c>
      <c r="AU772" s="314">
        <v>0</v>
      </c>
      <c r="AV772" s="314">
        <v>0</v>
      </c>
      <c r="AW772" s="314">
        <v>-284.86808633624344</v>
      </c>
      <c r="AX772">
        <v>0</v>
      </c>
    </row>
    <row r="773" spans="1:50" x14ac:dyDescent="0.35">
      <c r="A773">
        <v>755</v>
      </c>
      <c r="B773" t="s">
        <v>0</v>
      </c>
      <c r="C773" t="s">
        <v>1933</v>
      </c>
      <c r="D773" t="s">
        <v>3298</v>
      </c>
      <c r="E773" t="s">
        <v>902</v>
      </c>
      <c r="F773">
        <v>0</v>
      </c>
      <c r="G773">
        <v>0</v>
      </c>
      <c r="H773">
        <v>0</v>
      </c>
      <c r="I773">
        <v>26147.759655600003</v>
      </c>
      <c r="J773">
        <v>25892.460000000003</v>
      </c>
      <c r="K773" s="7">
        <f t="shared" si="160"/>
        <v>10</v>
      </c>
      <c r="L773" s="7">
        <f t="shared" si="161"/>
        <v>0</v>
      </c>
      <c r="M773" s="243">
        <f t="shared" ref="M773:M800" si="162">INDEX($AM$4:$AM$2000,MATCH($A773,$AH$4:$AH$2000,0))</f>
        <v>0</v>
      </c>
      <c r="N773" s="243">
        <f>INDEX($AN$4:$AN21669,MATCH($A773,$AH$4:$AH$2000,0))</f>
        <v>0</v>
      </c>
      <c r="O773" s="243">
        <f t="shared" ref="O773:O800" si="163">INDEX($AO$4:$AO$2000,MATCH($A773,$AH$4:$AH$2000,0))</f>
        <v>0</v>
      </c>
      <c r="P773" s="243">
        <f t="shared" ref="P773:P800" si="164">INDEX($AP$4:$AP$2000,MATCH($A773,$AH$4:$AH$2000,0))</f>
        <v>9453.5656786555483</v>
      </c>
      <c r="Q773" s="243">
        <f t="shared" ref="Q773:Q799" si="165">INDEX($AU$4:$AU$2000,MATCH($A773,$AH$4:$AH$2000,0))</f>
        <v>0</v>
      </c>
      <c r="R773" s="243">
        <f t="shared" ref="R773:R800" si="166">INDEX($AV$4:$AV$2000,MATCH($A773,$AH$4:$AH$2000,0))</f>
        <v>0</v>
      </c>
      <c r="S773" s="243">
        <f t="shared" ref="S773:S800" si="167">INDEX($AW$4:$AW$2000,MATCH($A773,$AH$4:$AH$2000,0))</f>
        <v>0</v>
      </c>
      <c r="T773" s="243">
        <f t="shared" ref="T773:T800" si="168">INDEX($AX$4:$AX$2000,MATCH($A773,$AH$4:$AH$2000,0))</f>
        <v>-245.11905103351182</v>
      </c>
      <c r="AA773">
        <v>915</v>
      </c>
      <c r="AB773" t="s">
        <v>0</v>
      </c>
      <c r="AC773" t="s">
        <v>1072</v>
      </c>
      <c r="AD773" t="s">
        <v>7</v>
      </c>
      <c r="AE773" t="s">
        <v>1782</v>
      </c>
      <c r="AF773">
        <v>10</v>
      </c>
      <c r="AG773">
        <v>0</v>
      </c>
      <c r="AH773">
        <v>755</v>
      </c>
      <c r="AI773" t="s">
        <v>0</v>
      </c>
      <c r="AJ773" t="s">
        <v>1933</v>
      </c>
      <c r="AK773" t="s">
        <v>3298</v>
      </c>
      <c r="AL773" t="s">
        <v>902</v>
      </c>
      <c r="AM773" s="314">
        <v>0</v>
      </c>
      <c r="AN773" s="314">
        <v>0</v>
      </c>
      <c r="AO773" s="314">
        <v>0</v>
      </c>
      <c r="AP773" s="314">
        <v>9453.5656786555483</v>
      </c>
      <c r="AQ773" s="314">
        <v>0</v>
      </c>
      <c r="AR773" s="314">
        <v>0</v>
      </c>
      <c r="AS773" s="314">
        <v>0</v>
      </c>
      <c r="AT773" s="314">
        <v>1.0894181122979412</v>
      </c>
      <c r="AU773" s="314">
        <v>0</v>
      </c>
      <c r="AV773" s="314">
        <v>0</v>
      </c>
      <c r="AW773" s="314">
        <v>0</v>
      </c>
      <c r="AX773">
        <v>-245.11905103351182</v>
      </c>
    </row>
    <row r="774" spans="1:50" x14ac:dyDescent="0.35">
      <c r="A774">
        <v>543</v>
      </c>
      <c r="B774" t="s">
        <v>0</v>
      </c>
      <c r="C774" t="s">
        <v>1933</v>
      </c>
      <c r="D774" t="s">
        <v>3299</v>
      </c>
      <c r="E774" t="s">
        <v>2</v>
      </c>
      <c r="F774">
        <v>9591.057499999999</v>
      </c>
      <c r="G774">
        <v>9511.087184</v>
      </c>
      <c r="H774">
        <v>32260.170249999999</v>
      </c>
      <c r="I774">
        <v>21626.151900000001</v>
      </c>
      <c r="J774">
        <v>72294</v>
      </c>
      <c r="K774" s="7">
        <f t="shared" si="160"/>
        <v>10</v>
      </c>
      <c r="L774" s="7">
        <f t="shared" si="161"/>
        <v>6</v>
      </c>
      <c r="M774" s="243">
        <f t="shared" si="162"/>
        <v>143618.070947175</v>
      </c>
      <c r="N774" s="243">
        <f>INDEX($AN$4:$AN21670,MATCH($A774,$AH$4:$AH$2000,0))</f>
        <v>142469.12637959761</v>
      </c>
      <c r="O774" s="243">
        <f t="shared" si="163"/>
        <v>483085.83759126079</v>
      </c>
      <c r="P774" s="243">
        <f t="shared" si="164"/>
        <v>323745.36729828978</v>
      </c>
      <c r="Q774" s="243">
        <f t="shared" si="165"/>
        <v>-468.00445486409996</v>
      </c>
      <c r="R774" s="243">
        <f t="shared" si="166"/>
        <v>-464.26041922518715</v>
      </c>
      <c r="S774" s="243">
        <f t="shared" si="167"/>
        <v>-1574.2191952823489</v>
      </c>
      <c r="T774" s="243">
        <f t="shared" si="168"/>
        <v>-1054.9805685173369</v>
      </c>
      <c r="AA774">
        <v>884</v>
      </c>
      <c r="AB774" t="s">
        <v>0</v>
      </c>
      <c r="AC774" t="s">
        <v>1072</v>
      </c>
      <c r="AD774" t="s">
        <v>7</v>
      </c>
      <c r="AE774" t="s">
        <v>1783</v>
      </c>
      <c r="AF774">
        <v>20</v>
      </c>
      <c r="AG774">
        <v>0</v>
      </c>
      <c r="AH774">
        <v>543</v>
      </c>
      <c r="AI774" t="s">
        <v>0</v>
      </c>
      <c r="AJ774" t="s">
        <v>1933</v>
      </c>
      <c r="AK774" t="s">
        <v>3299</v>
      </c>
      <c r="AL774" t="s">
        <v>2</v>
      </c>
      <c r="AM774" s="314">
        <v>143618.070947175</v>
      </c>
      <c r="AN774" s="314">
        <v>142469.12637959761</v>
      </c>
      <c r="AO774" s="314">
        <v>483085.83759126079</v>
      </c>
      <c r="AP774" s="314">
        <v>323745.36729828978</v>
      </c>
      <c r="AQ774" s="314">
        <v>2.0346160972499998</v>
      </c>
      <c r="AR774" s="314">
        <v>2.018339168472</v>
      </c>
      <c r="AS774" s="314">
        <v>6.8438060408024999</v>
      </c>
      <c r="AT774" s="314">
        <v>4.5864530234325001</v>
      </c>
      <c r="AU774" s="314">
        <v>-468.00445486409996</v>
      </c>
      <c r="AV774" s="314">
        <v>-464.26041922518715</v>
      </c>
      <c r="AW774" s="314">
        <v>-1574.2191952823489</v>
      </c>
      <c r="AX774">
        <v>-1054.9805685173369</v>
      </c>
    </row>
    <row r="775" spans="1:50" x14ac:dyDescent="0.35">
      <c r="A775">
        <v>550</v>
      </c>
      <c r="B775" t="s">
        <v>0</v>
      </c>
      <c r="C775" t="s">
        <v>1933</v>
      </c>
      <c r="D775" t="s">
        <v>3299</v>
      </c>
      <c r="E775" t="s">
        <v>35</v>
      </c>
      <c r="F775">
        <v>719.63218799999993</v>
      </c>
      <c r="G775">
        <v>713.33153879999998</v>
      </c>
      <c r="H775">
        <v>2419.8913499999999</v>
      </c>
      <c r="I775">
        <v>1621.7341739999999</v>
      </c>
      <c r="J775">
        <v>5422.5</v>
      </c>
      <c r="K775" s="7">
        <f t="shared" si="160"/>
        <v>10</v>
      </c>
      <c r="L775" s="7">
        <f t="shared" si="161"/>
        <v>0</v>
      </c>
      <c r="M775" s="243">
        <f t="shared" si="162"/>
        <v>56271.131346680857</v>
      </c>
      <c r="N775" s="243">
        <f>INDEX($AN$4:$AN21671,MATCH($A775,$AH$4:$AH$2000,0))</f>
        <v>55797.468624907451</v>
      </c>
      <c r="O775" s="243">
        <f t="shared" si="163"/>
        <v>189228.25734847647</v>
      </c>
      <c r="P775" s="243">
        <f t="shared" si="164"/>
        <v>126775.82748265262</v>
      </c>
      <c r="Q775" s="243">
        <f t="shared" si="165"/>
        <v>0</v>
      </c>
      <c r="R775" s="243">
        <f t="shared" si="166"/>
        <v>0</v>
      </c>
      <c r="S775" s="243">
        <f t="shared" si="167"/>
        <v>0</v>
      </c>
      <c r="T775" s="243">
        <f t="shared" si="168"/>
        <v>0</v>
      </c>
      <c r="AA775">
        <v>886</v>
      </c>
      <c r="AB775" t="s">
        <v>0</v>
      </c>
      <c r="AC775" t="s">
        <v>1072</v>
      </c>
      <c r="AD775" t="s">
        <v>7</v>
      </c>
      <c r="AE775" t="s">
        <v>1784</v>
      </c>
      <c r="AF775">
        <v>20</v>
      </c>
      <c r="AG775">
        <v>0</v>
      </c>
      <c r="AH775">
        <v>550</v>
      </c>
      <c r="AI775" t="s">
        <v>0</v>
      </c>
      <c r="AJ775" t="s">
        <v>1933</v>
      </c>
      <c r="AK775" t="s">
        <v>3299</v>
      </c>
      <c r="AL775" t="s">
        <v>35</v>
      </c>
      <c r="AM775" s="314">
        <v>56271.131346680857</v>
      </c>
      <c r="AN775" s="314">
        <v>55797.468624907451</v>
      </c>
      <c r="AO775" s="314">
        <v>189228.25734847647</v>
      </c>
      <c r="AP775" s="314">
        <v>126775.82748265262</v>
      </c>
      <c r="AQ775" s="314">
        <v>5.8809678625478483</v>
      </c>
      <c r="AR775" s="314">
        <v>5.8314647660617558</v>
      </c>
      <c r="AS775" s="314">
        <v>19.776487046194156</v>
      </c>
      <c r="AT775" s="314">
        <v>13.249503774502791</v>
      </c>
      <c r="AU775" s="314">
        <v>0</v>
      </c>
      <c r="AV775" s="314">
        <v>0</v>
      </c>
      <c r="AW775" s="314">
        <v>0</v>
      </c>
      <c r="AX775">
        <v>0</v>
      </c>
    </row>
    <row r="776" spans="1:50" x14ac:dyDescent="0.35">
      <c r="A776">
        <v>546</v>
      </c>
      <c r="B776" t="s">
        <v>0</v>
      </c>
      <c r="C776" t="s">
        <v>1933</v>
      </c>
      <c r="D776" t="s">
        <v>3299</v>
      </c>
      <c r="E776" t="s">
        <v>36</v>
      </c>
      <c r="F776">
        <v>719.63218799999993</v>
      </c>
      <c r="G776">
        <v>713.33153879999998</v>
      </c>
      <c r="H776">
        <v>2419.8913499999999</v>
      </c>
      <c r="I776">
        <v>1621.7341739999999</v>
      </c>
      <c r="J776">
        <v>5422.5</v>
      </c>
      <c r="K776" s="7">
        <f t="shared" si="160"/>
        <v>9</v>
      </c>
      <c r="L776" s="7">
        <f t="shared" si="161"/>
        <v>0</v>
      </c>
      <c r="M776" s="243">
        <f t="shared" si="162"/>
        <v>4974.3625681974263</v>
      </c>
      <c r="N776" s="243">
        <f>INDEX($AN$4:$AN21672,MATCH($A776,$AH$4:$AH$2000,0))</f>
        <v>4932.4908294078859</v>
      </c>
      <c r="O776" s="243">
        <f t="shared" si="163"/>
        <v>16727.75964642148</v>
      </c>
      <c r="P776" s="243">
        <f t="shared" si="164"/>
        <v>11206.970887020549</v>
      </c>
      <c r="Q776" s="243">
        <f t="shared" si="165"/>
        <v>0</v>
      </c>
      <c r="R776" s="243">
        <f t="shared" si="166"/>
        <v>0</v>
      </c>
      <c r="S776" s="243">
        <f t="shared" si="167"/>
        <v>0</v>
      </c>
      <c r="T776" s="243">
        <f t="shared" si="168"/>
        <v>0</v>
      </c>
      <c r="AA776">
        <v>888</v>
      </c>
      <c r="AB776" t="s">
        <v>0</v>
      </c>
      <c r="AC776" t="s">
        <v>1072</v>
      </c>
      <c r="AD776" t="s">
        <v>7</v>
      </c>
      <c r="AE776" t="s">
        <v>1785</v>
      </c>
      <c r="AF776">
        <v>20</v>
      </c>
      <c r="AG776">
        <v>0</v>
      </c>
      <c r="AH776">
        <v>546</v>
      </c>
      <c r="AI776" t="s">
        <v>0</v>
      </c>
      <c r="AJ776" t="s">
        <v>1933</v>
      </c>
      <c r="AK776" t="s">
        <v>3299</v>
      </c>
      <c r="AL776" t="s">
        <v>36</v>
      </c>
      <c r="AM776" s="314">
        <v>4974.3625681974263</v>
      </c>
      <c r="AN776" s="314">
        <v>4932.4908294078859</v>
      </c>
      <c r="AO776" s="314">
        <v>16727.75964642148</v>
      </c>
      <c r="AP776" s="314">
        <v>11206.970887020549</v>
      </c>
      <c r="AQ776" s="314">
        <v>7.8168554643102413</v>
      </c>
      <c r="AR776" s="314">
        <v>7.7510570176409628</v>
      </c>
      <c r="AS776" s="314">
        <v>26.28647944437661</v>
      </c>
      <c r="AT776" s="314">
        <v>17.61095425103229</v>
      </c>
      <c r="AU776" s="314">
        <v>0</v>
      </c>
      <c r="AV776" s="314">
        <v>0</v>
      </c>
      <c r="AW776" s="314">
        <v>0</v>
      </c>
      <c r="AX776">
        <v>0</v>
      </c>
    </row>
    <row r="777" spans="1:50" x14ac:dyDescent="0.35">
      <c r="A777">
        <v>548</v>
      </c>
      <c r="B777" t="s">
        <v>0</v>
      </c>
      <c r="C777" t="s">
        <v>1933</v>
      </c>
      <c r="D777" t="s">
        <v>3299</v>
      </c>
      <c r="E777" t="s">
        <v>37</v>
      </c>
      <c r="F777">
        <v>719.63218799999993</v>
      </c>
      <c r="G777">
        <v>713.33153879999998</v>
      </c>
      <c r="H777">
        <v>2419.8913499999999</v>
      </c>
      <c r="I777">
        <v>1621.7341739999999</v>
      </c>
      <c r="J777">
        <v>5422.5</v>
      </c>
      <c r="K777" s="7">
        <f t="shared" si="160"/>
        <v>9</v>
      </c>
      <c r="L777" s="7">
        <f t="shared" si="161"/>
        <v>0</v>
      </c>
      <c r="M777" s="243">
        <f t="shared" si="162"/>
        <v>42177.069813859205</v>
      </c>
      <c r="N777" s="243">
        <f>INDEX($AN$4:$AN21673,MATCH($A777,$AH$4:$AH$2000,0))</f>
        <v>41822.043973675209</v>
      </c>
      <c r="O777" s="243">
        <f t="shared" si="163"/>
        <v>141832.82315350804</v>
      </c>
      <c r="P777" s="243">
        <f t="shared" si="164"/>
        <v>95022.666125247619</v>
      </c>
      <c r="Q777" s="243">
        <f t="shared" si="165"/>
        <v>0</v>
      </c>
      <c r="R777" s="243">
        <f t="shared" si="166"/>
        <v>0</v>
      </c>
      <c r="S777" s="243">
        <f t="shared" si="167"/>
        <v>0</v>
      </c>
      <c r="T777" s="243">
        <f t="shared" si="168"/>
        <v>0</v>
      </c>
      <c r="AA777">
        <v>890</v>
      </c>
      <c r="AB777" t="s">
        <v>0</v>
      </c>
      <c r="AC777" t="s">
        <v>1072</v>
      </c>
      <c r="AD777" t="s">
        <v>7</v>
      </c>
      <c r="AE777" t="s">
        <v>1786</v>
      </c>
      <c r="AF777">
        <v>20</v>
      </c>
      <c r="AG777">
        <v>0</v>
      </c>
      <c r="AH777">
        <v>548</v>
      </c>
      <c r="AI777" t="s">
        <v>0</v>
      </c>
      <c r="AJ777" t="s">
        <v>1933</v>
      </c>
      <c r="AK777" t="s">
        <v>3299</v>
      </c>
      <c r="AL777" t="s">
        <v>37</v>
      </c>
      <c r="AM777" s="314">
        <v>42177.069813859205</v>
      </c>
      <c r="AN777" s="314">
        <v>41822.043973675209</v>
      </c>
      <c r="AO777" s="314">
        <v>141832.82315350804</v>
      </c>
      <c r="AP777" s="314">
        <v>95022.666125247619</v>
      </c>
      <c r="AQ777" s="314">
        <v>9.8712291053713042</v>
      </c>
      <c r="AR777" s="314">
        <v>9.7881379512856874</v>
      </c>
      <c r="AS777" s="314">
        <v>33.194916057204011</v>
      </c>
      <c r="AT777" s="314">
        <v>22.2393473910154</v>
      </c>
      <c r="AU777" s="314">
        <v>0</v>
      </c>
      <c r="AV777" s="314">
        <v>0</v>
      </c>
      <c r="AW777" s="314">
        <v>0</v>
      </c>
      <c r="AX777">
        <v>0</v>
      </c>
    </row>
    <row r="778" spans="1:50" x14ac:dyDescent="0.35">
      <c r="A778">
        <v>553</v>
      </c>
      <c r="B778" t="s">
        <v>0</v>
      </c>
      <c r="C778" t="s">
        <v>1933</v>
      </c>
      <c r="D778" t="s">
        <v>3299</v>
      </c>
      <c r="E778" t="s">
        <v>38</v>
      </c>
      <c r="F778">
        <v>718.82452000000001</v>
      </c>
      <c r="G778">
        <v>713.33153879999998</v>
      </c>
      <c r="H778">
        <v>2419.8913499999999</v>
      </c>
      <c r="I778">
        <v>1621.7341739999999</v>
      </c>
      <c r="J778">
        <v>5421.7</v>
      </c>
      <c r="K778" s="7">
        <f t="shared" si="160"/>
        <v>2</v>
      </c>
      <c r="L778" s="7">
        <f t="shared" si="161"/>
        <v>0</v>
      </c>
      <c r="M778" s="243">
        <f t="shared" si="162"/>
        <v>13359.426974091763</v>
      </c>
      <c r="N778" s="243">
        <f>INDEX($AN$4:$AN21674,MATCH($A778,$AH$4:$AH$2000,0))</f>
        <v>13261.858125404575</v>
      </c>
      <c r="O778" s="243">
        <f t="shared" si="163"/>
        <v>44975.486596766794</v>
      </c>
      <c r="P778" s="243">
        <f t="shared" si="164"/>
        <v>30131.887328221856</v>
      </c>
      <c r="Q778" s="243">
        <f t="shared" si="165"/>
        <v>0</v>
      </c>
      <c r="R778" s="243">
        <f t="shared" si="166"/>
        <v>0</v>
      </c>
      <c r="S778" s="243">
        <f t="shared" si="167"/>
        <v>0</v>
      </c>
      <c r="T778" s="243">
        <f t="shared" si="168"/>
        <v>0</v>
      </c>
      <c r="AA778">
        <v>857</v>
      </c>
      <c r="AB778" t="s">
        <v>0</v>
      </c>
      <c r="AC778" t="s">
        <v>1072</v>
      </c>
      <c r="AD778" t="s">
        <v>7</v>
      </c>
      <c r="AE778" t="s">
        <v>1787</v>
      </c>
      <c r="AF778">
        <v>15</v>
      </c>
      <c r="AG778">
        <v>0</v>
      </c>
      <c r="AH778">
        <v>553</v>
      </c>
      <c r="AI778" t="s">
        <v>0</v>
      </c>
      <c r="AJ778" t="s">
        <v>1933</v>
      </c>
      <c r="AK778" t="s">
        <v>3299</v>
      </c>
      <c r="AL778" t="s">
        <v>38</v>
      </c>
      <c r="AM778" s="314">
        <v>13359.426974091763</v>
      </c>
      <c r="AN778" s="314">
        <v>13261.858125404575</v>
      </c>
      <c r="AO778" s="314">
        <v>44975.486596766794</v>
      </c>
      <c r="AP778" s="314">
        <v>30131.887328221856</v>
      </c>
      <c r="AQ778" s="314">
        <v>1.5240049023604567</v>
      </c>
      <c r="AR778" s="314">
        <v>1.5128745294780488</v>
      </c>
      <c r="AS778" s="314">
        <v>5.1306738075253016</v>
      </c>
      <c r="AT778" s="314">
        <v>3.4373588099728329</v>
      </c>
      <c r="AU778" s="314">
        <v>0</v>
      </c>
      <c r="AV778" s="314">
        <v>0</v>
      </c>
      <c r="AW778" s="314">
        <v>0</v>
      </c>
      <c r="AX778">
        <v>0</v>
      </c>
    </row>
    <row r="779" spans="1:50" x14ac:dyDescent="0.35">
      <c r="A779">
        <v>551</v>
      </c>
      <c r="B779" t="s">
        <v>0</v>
      </c>
      <c r="C779" t="s">
        <v>1933</v>
      </c>
      <c r="D779" t="s">
        <v>3299</v>
      </c>
      <c r="E779" t="s">
        <v>39</v>
      </c>
      <c r="F779">
        <v>1663.1999999999998</v>
      </c>
      <c r="G779">
        <v>1649.1999999999998</v>
      </c>
      <c r="H779">
        <v>5593</v>
      </c>
      <c r="I779">
        <v>3747.1</v>
      </c>
      <c r="J779">
        <v>12652.5</v>
      </c>
      <c r="K779" s="7">
        <f t="shared" si="160"/>
        <v>10</v>
      </c>
      <c r="L779" s="7">
        <f t="shared" si="161"/>
        <v>0</v>
      </c>
      <c r="M779" s="243">
        <f t="shared" si="162"/>
        <v>0</v>
      </c>
      <c r="N779" s="243">
        <f>INDEX($AN$4:$AN21675,MATCH($A779,$AH$4:$AH$2000,0))</f>
        <v>0</v>
      </c>
      <c r="O779" s="243">
        <f t="shared" si="163"/>
        <v>0</v>
      </c>
      <c r="P779" s="243">
        <f t="shared" si="164"/>
        <v>0</v>
      </c>
      <c r="Q779" s="243">
        <f t="shared" si="165"/>
        <v>5621.6159999999991</v>
      </c>
      <c r="R779" s="243">
        <f t="shared" si="166"/>
        <v>5574.2959999999994</v>
      </c>
      <c r="S779" s="243">
        <f t="shared" si="167"/>
        <v>18904.34</v>
      </c>
      <c r="T779" s="243">
        <f t="shared" si="168"/>
        <v>12665.197999999999</v>
      </c>
      <c r="AA779">
        <v>866</v>
      </c>
      <c r="AB779" t="s">
        <v>0</v>
      </c>
      <c r="AC779" t="s">
        <v>1072</v>
      </c>
      <c r="AD779" t="s">
        <v>7</v>
      </c>
      <c r="AE779" t="s">
        <v>1788</v>
      </c>
      <c r="AF779">
        <v>25</v>
      </c>
      <c r="AG779">
        <v>0</v>
      </c>
      <c r="AH779">
        <v>551</v>
      </c>
      <c r="AI779" t="s">
        <v>0</v>
      </c>
      <c r="AJ779" t="s">
        <v>1933</v>
      </c>
      <c r="AK779" t="s">
        <v>3299</v>
      </c>
      <c r="AL779" t="s">
        <v>39</v>
      </c>
      <c r="AM779" s="314">
        <v>0</v>
      </c>
      <c r="AN779" s="314">
        <v>0</v>
      </c>
      <c r="AO779" s="314">
        <v>0</v>
      </c>
      <c r="AP779" s="314">
        <v>0</v>
      </c>
      <c r="AQ779" s="314">
        <v>0</v>
      </c>
      <c r="AR779" s="314">
        <v>0</v>
      </c>
      <c r="AS779" s="314">
        <v>0</v>
      </c>
      <c r="AT779" s="314">
        <v>0</v>
      </c>
      <c r="AU779" s="314">
        <v>5621.6159999999991</v>
      </c>
      <c r="AV779" s="314">
        <v>5574.2959999999994</v>
      </c>
      <c r="AW779" s="314">
        <v>18904.34</v>
      </c>
      <c r="AX779">
        <v>12665.197999999999</v>
      </c>
    </row>
    <row r="780" spans="1:50" x14ac:dyDescent="0.35">
      <c r="A780">
        <v>547</v>
      </c>
      <c r="B780" t="s">
        <v>0</v>
      </c>
      <c r="C780" t="s">
        <v>1933</v>
      </c>
      <c r="D780" t="s">
        <v>3299</v>
      </c>
      <c r="E780" t="s">
        <v>40</v>
      </c>
      <c r="F780">
        <v>1663.1999999999998</v>
      </c>
      <c r="G780">
        <v>1649.1999999999998</v>
      </c>
      <c r="H780">
        <v>5593</v>
      </c>
      <c r="I780">
        <v>3747.1</v>
      </c>
      <c r="J780">
        <v>12652.5</v>
      </c>
      <c r="K780" s="7">
        <f t="shared" si="160"/>
        <v>9</v>
      </c>
      <c r="L780" s="7">
        <f t="shared" si="161"/>
        <v>0</v>
      </c>
      <c r="M780" s="243">
        <f t="shared" si="162"/>
        <v>0</v>
      </c>
      <c r="N780" s="243">
        <f>INDEX($AN$4:$AN21676,MATCH($A780,$AH$4:$AH$2000,0))</f>
        <v>0</v>
      </c>
      <c r="O780" s="243">
        <f t="shared" si="163"/>
        <v>0</v>
      </c>
      <c r="P780" s="243">
        <f t="shared" si="164"/>
        <v>0</v>
      </c>
      <c r="Q780" s="243">
        <f t="shared" si="165"/>
        <v>582.11999999999989</v>
      </c>
      <c r="R780" s="243">
        <f t="shared" si="166"/>
        <v>577.21999999999991</v>
      </c>
      <c r="S780" s="243">
        <f t="shared" si="167"/>
        <v>1957.55</v>
      </c>
      <c r="T780" s="243">
        <f t="shared" si="168"/>
        <v>1311.4849999999999</v>
      </c>
      <c r="AA780">
        <v>874</v>
      </c>
      <c r="AB780" t="s">
        <v>0</v>
      </c>
      <c r="AC780" t="s">
        <v>1072</v>
      </c>
      <c r="AD780" t="s">
        <v>7</v>
      </c>
      <c r="AE780" t="s">
        <v>1789</v>
      </c>
      <c r="AF780">
        <v>25</v>
      </c>
      <c r="AG780">
        <v>0</v>
      </c>
      <c r="AH780">
        <v>547</v>
      </c>
      <c r="AI780" t="s">
        <v>0</v>
      </c>
      <c r="AJ780" t="s">
        <v>1933</v>
      </c>
      <c r="AK780" t="s">
        <v>3299</v>
      </c>
      <c r="AL780" t="s">
        <v>40</v>
      </c>
      <c r="AM780" s="314">
        <v>0</v>
      </c>
      <c r="AN780" s="314">
        <v>0</v>
      </c>
      <c r="AO780" s="314">
        <v>0</v>
      </c>
      <c r="AP780" s="314">
        <v>0</v>
      </c>
      <c r="AQ780" s="314">
        <v>0</v>
      </c>
      <c r="AR780" s="314">
        <v>0</v>
      </c>
      <c r="AS780" s="314">
        <v>0</v>
      </c>
      <c r="AT780" s="314">
        <v>0</v>
      </c>
      <c r="AU780" s="314">
        <v>582.11999999999989</v>
      </c>
      <c r="AV780" s="314">
        <v>577.21999999999991</v>
      </c>
      <c r="AW780" s="314">
        <v>1957.55</v>
      </c>
      <c r="AX780">
        <v>1311.4849999999999</v>
      </c>
    </row>
    <row r="781" spans="1:50" x14ac:dyDescent="0.35">
      <c r="A781">
        <v>549</v>
      </c>
      <c r="B781" t="s">
        <v>0</v>
      </c>
      <c r="C781" t="s">
        <v>1933</v>
      </c>
      <c r="D781" t="s">
        <v>3299</v>
      </c>
      <c r="E781" t="s">
        <v>41</v>
      </c>
      <c r="F781">
        <v>1663.1999999999998</v>
      </c>
      <c r="G781">
        <v>1649.1999999999998</v>
      </c>
      <c r="H781">
        <v>5593</v>
      </c>
      <c r="I781">
        <v>3747.1</v>
      </c>
      <c r="J781">
        <v>12652.5</v>
      </c>
      <c r="K781" s="7">
        <f t="shared" si="160"/>
        <v>9</v>
      </c>
      <c r="L781" s="7">
        <f t="shared" si="161"/>
        <v>0</v>
      </c>
      <c r="M781" s="243">
        <f t="shared" si="162"/>
        <v>0</v>
      </c>
      <c r="N781" s="243">
        <f>INDEX($AN$4:$AN21677,MATCH($A781,$AH$4:$AH$2000,0))</f>
        <v>0</v>
      </c>
      <c r="O781" s="243">
        <f t="shared" si="163"/>
        <v>0</v>
      </c>
      <c r="P781" s="243">
        <f t="shared" si="164"/>
        <v>0</v>
      </c>
      <c r="Q781" s="243">
        <f t="shared" si="165"/>
        <v>4008.3119999999999</v>
      </c>
      <c r="R781" s="243">
        <f t="shared" si="166"/>
        <v>3974.5719999999997</v>
      </c>
      <c r="S781" s="243">
        <f t="shared" si="167"/>
        <v>13479.130000000001</v>
      </c>
      <c r="T781" s="243">
        <f t="shared" si="168"/>
        <v>9030.5110000000004</v>
      </c>
      <c r="AA781">
        <v>865</v>
      </c>
      <c r="AB781" t="s">
        <v>0</v>
      </c>
      <c r="AC781" t="s">
        <v>1072</v>
      </c>
      <c r="AD781" t="s">
        <v>7</v>
      </c>
      <c r="AE781" t="s">
        <v>1790</v>
      </c>
      <c r="AF781">
        <v>25</v>
      </c>
      <c r="AG781">
        <v>0</v>
      </c>
      <c r="AH781">
        <v>549</v>
      </c>
      <c r="AI781" t="s">
        <v>0</v>
      </c>
      <c r="AJ781" t="s">
        <v>1933</v>
      </c>
      <c r="AK781" t="s">
        <v>3299</v>
      </c>
      <c r="AL781" t="s">
        <v>41</v>
      </c>
      <c r="AM781" s="314">
        <v>0</v>
      </c>
      <c r="AN781" s="314">
        <v>0</v>
      </c>
      <c r="AO781" s="314">
        <v>0</v>
      </c>
      <c r="AP781" s="314">
        <v>0</v>
      </c>
      <c r="AQ781" s="314">
        <v>0</v>
      </c>
      <c r="AR781" s="314">
        <v>0</v>
      </c>
      <c r="AS781" s="314">
        <v>0</v>
      </c>
      <c r="AT781" s="314">
        <v>0</v>
      </c>
      <c r="AU781" s="314">
        <v>4008.3119999999999</v>
      </c>
      <c r="AV781" s="314">
        <v>3974.5719999999997</v>
      </c>
      <c r="AW781" s="314">
        <v>13479.130000000001</v>
      </c>
      <c r="AX781">
        <v>9030.5110000000004</v>
      </c>
    </row>
    <row r="782" spans="1:50" x14ac:dyDescent="0.35">
      <c r="A782">
        <v>554</v>
      </c>
      <c r="B782" t="s">
        <v>0</v>
      </c>
      <c r="C782" t="s">
        <v>1933</v>
      </c>
      <c r="D782" t="s">
        <v>3299</v>
      </c>
      <c r="E782" t="s">
        <v>42</v>
      </c>
      <c r="F782">
        <v>1663.1999999999998</v>
      </c>
      <c r="G782">
        <v>1649.1999999999998</v>
      </c>
      <c r="H782">
        <v>5593</v>
      </c>
      <c r="I782">
        <v>3747.1</v>
      </c>
      <c r="J782">
        <v>12652.5</v>
      </c>
      <c r="K782" s="7">
        <f t="shared" si="160"/>
        <v>2</v>
      </c>
      <c r="L782" s="7">
        <f t="shared" si="161"/>
        <v>0</v>
      </c>
      <c r="M782" s="243">
        <f t="shared" si="162"/>
        <v>0</v>
      </c>
      <c r="N782" s="243">
        <f>INDEX($AN$4:$AN21678,MATCH($A782,$AH$4:$AH$2000,0))</f>
        <v>0</v>
      </c>
      <c r="O782" s="243">
        <f t="shared" si="163"/>
        <v>0</v>
      </c>
      <c r="P782" s="243">
        <f t="shared" si="164"/>
        <v>0</v>
      </c>
      <c r="Q782" s="243">
        <f t="shared" si="165"/>
        <v>2686.3553830230271</v>
      </c>
      <c r="R782" s="243">
        <f t="shared" si="166"/>
        <v>2663.7429639740117</v>
      </c>
      <c r="S782" s="243">
        <f t="shared" si="167"/>
        <v>9033.661410081646</v>
      </c>
      <c r="T782" s="243">
        <f t="shared" si="168"/>
        <v>6052.2139584689667</v>
      </c>
      <c r="AA782">
        <v>873</v>
      </c>
      <c r="AB782" t="s">
        <v>0</v>
      </c>
      <c r="AC782" t="s">
        <v>1072</v>
      </c>
      <c r="AD782" t="s">
        <v>7</v>
      </c>
      <c r="AE782" t="s">
        <v>1791</v>
      </c>
      <c r="AF782">
        <v>25</v>
      </c>
      <c r="AG782">
        <v>0</v>
      </c>
      <c r="AH782">
        <v>554</v>
      </c>
      <c r="AI782" t="s">
        <v>0</v>
      </c>
      <c r="AJ782" t="s">
        <v>1933</v>
      </c>
      <c r="AK782" t="s">
        <v>3299</v>
      </c>
      <c r="AL782" t="s">
        <v>42</v>
      </c>
      <c r="AM782" s="314">
        <v>0</v>
      </c>
      <c r="AN782" s="314">
        <v>0</v>
      </c>
      <c r="AO782" s="314">
        <v>0</v>
      </c>
      <c r="AP782" s="314">
        <v>0</v>
      </c>
      <c r="AQ782" s="314">
        <v>0</v>
      </c>
      <c r="AR782" s="314">
        <v>0</v>
      </c>
      <c r="AS782" s="314">
        <v>0</v>
      </c>
      <c r="AT782" s="314">
        <v>0</v>
      </c>
      <c r="AU782" s="314">
        <v>2686.3553830230271</v>
      </c>
      <c r="AV782" s="314">
        <v>2663.7429639740117</v>
      </c>
      <c r="AW782" s="314">
        <v>9033.661410081646</v>
      </c>
      <c r="AX782">
        <v>6052.2139584689667</v>
      </c>
    </row>
    <row r="783" spans="1:50" x14ac:dyDescent="0.35">
      <c r="A783">
        <v>544</v>
      </c>
      <c r="B783" t="s">
        <v>0</v>
      </c>
      <c r="C783" t="s">
        <v>1933</v>
      </c>
      <c r="D783" t="s">
        <v>3299</v>
      </c>
      <c r="E783" t="s">
        <v>276</v>
      </c>
      <c r="F783">
        <v>0</v>
      </c>
      <c r="G783">
        <v>9586.780259000001</v>
      </c>
      <c r="H783">
        <v>9509.9609999999993</v>
      </c>
      <c r="I783">
        <v>32270.076300000001</v>
      </c>
      <c r="J783">
        <v>50874</v>
      </c>
      <c r="K783" s="7">
        <f t="shared" si="160"/>
        <v>10</v>
      </c>
      <c r="L783" s="7">
        <f t="shared" si="161"/>
        <v>6</v>
      </c>
      <c r="M783" s="243">
        <f t="shared" si="162"/>
        <v>0</v>
      </c>
      <c r="N783" s="243">
        <f>INDEX($AN$4:$AN21679,MATCH($A783,$AH$4:$AH$2000,0))</f>
        <v>31641.328683414453</v>
      </c>
      <c r="O783" s="243">
        <f t="shared" si="163"/>
        <v>31378.178355381006</v>
      </c>
      <c r="P783" s="243">
        <f t="shared" si="164"/>
        <v>106442.64218112527</v>
      </c>
      <c r="Q783" s="243">
        <f t="shared" si="165"/>
        <v>0</v>
      </c>
      <c r="R783" s="243">
        <f t="shared" si="166"/>
        <v>-99.728155509582592</v>
      </c>
      <c r="S783" s="243">
        <f t="shared" si="167"/>
        <v>-98.898749857907987</v>
      </c>
      <c r="T783" s="243">
        <f t="shared" si="168"/>
        <v>-335.48933669951697</v>
      </c>
      <c r="AA783">
        <v>902</v>
      </c>
      <c r="AB783" t="s">
        <v>0</v>
      </c>
      <c r="AC783" t="s">
        <v>1072</v>
      </c>
      <c r="AD783" t="s">
        <v>7</v>
      </c>
      <c r="AE783" t="s">
        <v>1792</v>
      </c>
      <c r="AF783">
        <v>13</v>
      </c>
      <c r="AG783">
        <v>0</v>
      </c>
      <c r="AH783">
        <v>544</v>
      </c>
      <c r="AI783" t="s">
        <v>0</v>
      </c>
      <c r="AJ783" t="s">
        <v>1933</v>
      </c>
      <c r="AK783" t="s">
        <v>3299</v>
      </c>
      <c r="AL783" t="s">
        <v>276</v>
      </c>
      <c r="AM783" s="314">
        <v>0</v>
      </c>
      <c r="AN783" s="314">
        <v>31641.328683414453</v>
      </c>
      <c r="AO783" s="314">
        <v>31378.178355381006</v>
      </c>
      <c r="AP783" s="314">
        <v>106442.64218112527</v>
      </c>
      <c r="AQ783" s="314">
        <v>0</v>
      </c>
      <c r="AR783" s="314">
        <v>0.43356106643849995</v>
      </c>
      <c r="AS783" s="314">
        <v>0.42995528432999996</v>
      </c>
      <c r="AT783" s="314">
        <v>1.4585160414825</v>
      </c>
      <c r="AU783" s="314">
        <v>0</v>
      </c>
      <c r="AV783" s="314">
        <v>-99.728155509582592</v>
      </c>
      <c r="AW783" s="314">
        <v>-98.898749857907987</v>
      </c>
      <c r="AX783">
        <v>-335.48933669951697</v>
      </c>
    </row>
    <row r="784" spans="1:50" x14ac:dyDescent="0.35">
      <c r="A784">
        <v>545</v>
      </c>
      <c r="B784" t="s">
        <v>0</v>
      </c>
      <c r="C784" t="s">
        <v>1933</v>
      </c>
      <c r="D784" t="s">
        <v>3299</v>
      </c>
      <c r="E784" t="s">
        <v>277</v>
      </c>
      <c r="F784">
        <v>0</v>
      </c>
      <c r="G784">
        <v>0</v>
      </c>
      <c r="H784">
        <v>9588.705899999999</v>
      </c>
      <c r="I784">
        <v>9518.9403600000005</v>
      </c>
      <c r="J784">
        <v>18924</v>
      </c>
      <c r="K784" s="7">
        <f t="shared" si="160"/>
        <v>10</v>
      </c>
      <c r="L784" s="7">
        <f t="shared" si="161"/>
        <v>6</v>
      </c>
      <c r="M784" s="243">
        <f t="shared" si="162"/>
        <v>0</v>
      </c>
      <c r="N784" s="243">
        <f>INDEX($AN$4:$AN21680,MATCH($A784,$AH$4:$AH$2000,0))</f>
        <v>0</v>
      </c>
      <c r="O784" s="243">
        <f t="shared" si="163"/>
        <v>26770.613410203303</v>
      </c>
      <c r="P784" s="243">
        <f t="shared" si="164"/>
        <v>26567.677616822104</v>
      </c>
      <c r="Q784" s="243">
        <f t="shared" si="165"/>
        <v>0</v>
      </c>
      <c r="R784" s="243">
        <f t="shared" si="166"/>
        <v>0</v>
      </c>
      <c r="S784" s="243">
        <f t="shared" si="167"/>
        <v>-84.376478749424393</v>
      </c>
      <c r="T784" s="243">
        <f t="shared" si="168"/>
        <v>-83.736859201102789</v>
      </c>
      <c r="AA784">
        <v>903</v>
      </c>
      <c r="AB784" t="s">
        <v>0</v>
      </c>
      <c r="AC784" t="s">
        <v>1072</v>
      </c>
      <c r="AD784" t="s">
        <v>7</v>
      </c>
      <c r="AE784" t="s">
        <v>1793</v>
      </c>
      <c r="AF784">
        <v>13</v>
      </c>
      <c r="AG784">
        <v>0</v>
      </c>
      <c r="AH784">
        <v>545</v>
      </c>
      <c r="AI784" t="s">
        <v>0</v>
      </c>
      <c r="AJ784" t="s">
        <v>1933</v>
      </c>
      <c r="AK784" t="s">
        <v>3299</v>
      </c>
      <c r="AL784" t="s">
        <v>277</v>
      </c>
      <c r="AM784" s="314">
        <v>0</v>
      </c>
      <c r="AN784" s="314">
        <v>0</v>
      </c>
      <c r="AO784" s="314">
        <v>26770.613410203303</v>
      </c>
      <c r="AP784" s="314">
        <v>26567.677616822104</v>
      </c>
      <c r="AQ784" s="314">
        <v>0</v>
      </c>
      <c r="AR784" s="314">
        <v>0</v>
      </c>
      <c r="AS784" s="314">
        <v>0.36682074306899998</v>
      </c>
      <c r="AT784" s="314">
        <v>0.36404004255299993</v>
      </c>
      <c r="AU784" s="314">
        <v>0</v>
      </c>
      <c r="AV784" s="314">
        <v>0</v>
      </c>
      <c r="AW784" s="314">
        <v>-84.376478749424393</v>
      </c>
      <c r="AX784">
        <v>-83.736859201102789</v>
      </c>
    </row>
    <row r="785" spans="1:50" x14ac:dyDescent="0.35">
      <c r="A785">
        <v>552</v>
      </c>
      <c r="B785" t="s">
        <v>0</v>
      </c>
      <c r="C785" t="s">
        <v>1933</v>
      </c>
      <c r="D785" t="s">
        <v>3299</v>
      </c>
      <c r="E785" t="s">
        <v>43</v>
      </c>
      <c r="F785">
        <v>2398.77396</v>
      </c>
      <c r="G785">
        <v>2377.771796</v>
      </c>
      <c r="H785">
        <v>8066.3044999999993</v>
      </c>
      <c r="I785">
        <v>5405.7805799999996</v>
      </c>
      <c r="J785">
        <v>18075</v>
      </c>
      <c r="K785" s="7">
        <f t="shared" si="160"/>
        <v>4</v>
      </c>
      <c r="L785" s="7">
        <f t="shared" si="161"/>
        <v>0</v>
      </c>
      <c r="M785" s="243">
        <f t="shared" si="162"/>
        <v>244728</v>
      </c>
      <c r="N785" s="243">
        <f>INDEX($AN$4:$AN21681,MATCH($A785,$AH$4:$AH$2000,0))</f>
        <v>242668</v>
      </c>
      <c r="O785" s="243">
        <f t="shared" si="163"/>
        <v>822970</v>
      </c>
      <c r="P785" s="243">
        <f t="shared" si="164"/>
        <v>551359</v>
      </c>
      <c r="Q785" s="243">
        <f t="shared" si="165"/>
        <v>0</v>
      </c>
      <c r="R785" s="243">
        <f t="shared" si="166"/>
        <v>0</v>
      </c>
      <c r="S785" s="243">
        <f t="shared" si="167"/>
        <v>0</v>
      </c>
      <c r="T785" s="243">
        <f t="shared" si="168"/>
        <v>0</v>
      </c>
      <c r="AA785">
        <v>894</v>
      </c>
      <c r="AB785" t="s">
        <v>0</v>
      </c>
      <c r="AC785" t="s">
        <v>1072</v>
      </c>
      <c r="AD785" t="s">
        <v>7</v>
      </c>
      <c r="AE785" t="s">
        <v>1876</v>
      </c>
      <c r="AF785">
        <v>18</v>
      </c>
      <c r="AG785">
        <v>6</v>
      </c>
      <c r="AH785">
        <v>552</v>
      </c>
      <c r="AI785" t="s">
        <v>0</v>
      </c>
      <c r="AJ785" t="s">
        <v>1933</v>
      </c>
      <c r="AK785" t="s">
        <v>3299</v>
      </c>
      <c r="AL785" t="s">
        <v>43</v>
      </c>
      <c r="AM785" s="314">
        <v>244728</v>
      </c>
      <c r="AN785" s="314">
        <v>242668</v>
      </c>
      <c r="AO785" s="314">
        <v>822970</v>
      </c>
      <c r="AP785" s="314">
        <v>551359</v>
      </c>
      <c r="AQ785" s="314">
        <v>27.323999999999998</v>
      </c>
      <c r="AR785" s="314">
        <v>27.094000000000001</v>
      </c>
      <c r="AS785" s="314">
        <v>91.885000000000005</v>
      </c>
      <c r="AT785" s="314">
        <v>61.5595</v>
      </c>
      <c r="AU785" s="314">
        <v>0</v>
      </c>
      <c r="AV785" s="314">
        <v>0</v>
      </c>
      <c r="AW785" s="314">
        <v>0</v>
      </c>
      <c r="AX785">
        <v>0</v>
      </c>
    </row>
    <row r="786" spans="1:50" x14ac:dyDescent="0.35">
      <c r="A786">
        <v>621</v>
      </c>
      <c r="B786" t="s">
        <v>0</v>
      </c>
      <c r="C786" t="s">
        <v>1933</v>
      </c>
      <c r="D786" t="s">
        <v>3300</v>
      </c>
      <c r="E786" t="s">
        <v>2</v>
      </c>
      <c r="F786">
        <v>9584.9999900000003</v>
      </c>
      <c r="G786">
        <v>9511.087184</v>
      </c>
      <c r="H786">
        <v>32263.198899999999</v>
      </c>
      <c r="I786">
        <v>21625.142039999999</v>
      </c>
      <c r="J786">
        <v>72290</v>
      </c>
      <c r="K786" s="7">
        <f t="shared" si="160"/>
        <v>10</v>
      </c>
      <c r="L786" s="7">
        <f t="shared" si="161"/>
        <v>6</v>
      </c>
      <c r="M786" s="243">
        <f t="shared" si="162"/>
        <v>160556.03519675939</v>
      </c>
      <c r="N786" s="243">
        <f>INDEX($AN$4:$AN21682,MATCH($A786,$AH$4:$AH$2000,0))</f>
        <v>159372.2430687024</v>
      </c>
      <c r="O786" s="243">
        <f t="shared" si="163"/>
        <v>540451.84040636581</v>
      </c>
      <c r="P786" s="243">
        <f t="shared" si="164"/>
        <v>362138.92328875139</v>
      </c>
      <c r="Q786" s="243">
        <f t="shared" si="165"/>
        <v>-467.70887310313316</v>
      </c>
      <c r="R786" s="243">
        <f t="shared" si="166"/>
        <v>-464.26041922518715</v>
      </c>
      <c r="S786" s="243">
        <f t="shared" si="167"/>
        <v>-1574.3669861628323</v>
      </c>
      <c r="T786" s="243">
        <f t="shared" si="168"/>
        <v>-1054.931304890509</v>
      </c>
      <c r="AA786">
        <v>862</v>
      </c>
      <c r="AB786" t="s">
        <v>0</v>
      </c>
      <c r="AC786" t="s">
        <v>1072</v>
      </c>
      <c r="AD786" t="s">
        <v>7</v>
      </c>
      <c r="AE786" t="s">
        <v>1877</v>
      </c>
      <c r="AF786">
        <v>18</v>
      </c>
      <c r="AG786">
        <v>0</v>
      </c>
      <c r="AH786">
        <v>621</v>
      </c>
      <c r="AI786" t="s">
        <v>0</v>
      </c>
      <c r="AJ786" t="s">
        <v>1933</v>
      </c>
      <c r="AK786" t="s">
        <v>3300</v>
      </c>
      <c r="AL786" t="s">
        <v>2</v>
      </c>
      <c r="AM786" s="314">
        <v>160556.03519675939</v>
      </c>
      <c r="AN786" s="314">
        <v>159372.2430687024</v>
      </c>
      <c r="AO786" s="314">
        <v>540451.84040636581</v>
      </c>
      <c r="AP786" s="314">
        <v>362138.92328875139</v>
      </c>
      <c r="AQ786" s="314">
        <v>2.0333310765569999</v>
      </c>
      <c r="AR786" s="314">
        <v>2.018339168472</v>
      </c>
      <c r="AS786" s="314">
        <v>6.8444485511490001</v>
      </c>
      <c r="AT786" s="314">
        <v>4.586238853317</v>
      </c>
      <c r="AU786" s="314">
        <v>-467.70887310313316</v>
      </c>
      <c r="AV786" s="314">
        <v>-464.26041922518715</v>
      </c>
      <c r="AW786" s="314">
        <v>-1574.3669861628323</v>
      </c>
      <c r="AX786">
        <v>-1054.931304890509</v>
      </c>
    </row>
    <row r="787" spans="1:50" x14ac:dyDescent="0.35">
      <c r="A787">
        <v>628</v>
      </c>
      <c r="B787" t="s">
        <v>0</v>
      </c>
      <c r="C787" t="s">
        <v>1933</v>
      </c>
      <c r="D787" t="s">
        <v>3300</v>
      </c>
      <c r="E787" t="s">
        <v>35</v>
      </c>
      <c r="F787">
        <v>719.63218799999993</v>
      </c>
      <c r="G787">
        <v>713.33153879999998</v>
      </c>
      <c r="H787">
        <v>2419.8913499999999</v>
      </c>
      <c r="I787">
        <v>1621.7341739999999</v>
      </c>
      <c r="J787">
        <v>5422.5</v>
      </c>
      <c r="K787" s="7">
        <f t="shared" si="160"/>
        <v>10</v>
      </c>
      <c r="L787" s="7">
        <f t="shared" si="161"/>
        <v>0</v>
      </c>
      <c r="M787" s="243">
        <f t="shared" si="162"/>
        <v>56271.131346680857</v>
      </c>
      <c r="N787" s="243">
        <f>INDEX($AN$4:$AN21683,MATCH($A787,$AH$4:$AH$2000,0))</f>
        <v>55797.468624907451</v>
      </c>
      <c r="O787" s="243">
        <f t="shared" si="163"/>
        <v>189228.25734847647</v>
      </c>
      <c r="P787" s="243">
        <f t="shared" si="164"/>
        <v>126775.82748265262</v>
      </c>
      <c r="Q787" s="243">
        <f t="shared" si="165"/>
        <v>0</v>
      </c>
      <c r="R787" s="243">
        <f t="shared" si="166"/>
        <v>0</v>
      </c>
      <c r="S787" s="243">
        <f t="shared" si="167"/>
        <v>0</v>
      </c>
      <c r="T787" s="243">
        <f t="shared" si="168"/>
        <v>0</v>
      </c>
      <c r="AA787">
        <v>893</v>
      </c>
      <c r="AB787" t="s">
        <v>0</v>
      </c>
      <c r="AC787" t="s">
        <v>1072</v>
      </c>
      <c r="AD787" t="s">
        <v>7</v>
      </c>
      <c r="AE787" t="s">
        <v>1794</v>
      </c>
      <c r="AF787">
        <v>18</v>
      </c>
      <c r="AG787">
        <v>6</v>
      </c>
      <c r="AH787">
        <v>628</v>
      </c>
      <c r="AI787" t="s">
        <v>0</v>
      </c>
      <c r="AJ787" t="s">
        <v>1933</v>
      </c>
      <c r="AK787" t="s">
        <v>3300</v>
      </c>
      <c r="AL787" t="s">
        <v>35</v>
      </c>
      <c r="AM787" s="314">
        <v>56271.131346680857</v>
      </c>
      <c r="AN787" s="314">
        <v>55797.468624907451</v>
      </c>
      <c r="AO787" s="314">
        <v>189228.25734847647</v>
      </c>
      <c r="AP787" s="314">
        <v>126775.82748265262</v>
      </c>
      <c r="AQ787" s="314">
        <v>5.8809678625478483</v>
      </c>
      <c r="AR787" s="314">
        <v>5.8314647660617558</v>
      </c>
      <c r="AS787" s="314">
        <v>19.776487046194156</v>
      </c>
      <c r="AT787" s="314">
        <v>13.249503774502791</v>
      </c>
      <c r="AU787" s="314">
        <v>0</v>
      </c>
      <c r="AV787" s="314">
        <v>0</v>
      </c>
      <c r="AW787" s="314">
        <v>0</v>
      </c>
      <c r="AX787">
        <v>0</v>
      </c>
    </row>
    <row r="788" spans="1:50" x14ac:dyDescent="0.35">
      <c r="A788">
        <v>624</v>
      </c>
      <c r="B788" t="s">
        <v>0</v>
      </c>
      <c r="C788" t="s">
        <v>1933</v>
      </c>
      <c r="D788" t="s">
        <v>3300</v>
      </c>
      <c r="E788" t="s">
        <v>36</v>
      </c>
      <c r="F788">
        <v>719.63218799999993</v>
      </c>
      <c r="G788">
        <v>713.33153879999998</v>
      </c>
      <c r="H788">
        <v>2419.8913499999999</v>
      </c>
      <c r="I788">
        <v>1621.7341739999999</v>
      </c>
      <c r="J788">
        <v>5422.5</v>
      </c>
      <c r="K788" s="7">
        <f t="shared" si="160"/>
        <v>9</v>
      </c>
      <c r="L788" s="7">
        <f t="shared" si="161"/>
        <v>0</v>
      </c>
      <c r="M788" s="243">
        <f t="shared" si="162"/>
        <v>4974.3625681974263</v>
      </c>
      <c r="N788" s="243">
        <f>INDEX($AN$4:$AN21684,MATCH($A788,$AH$4:$AH$2000,0))</f>
        <v>4932.4908294078859</v>
      </c>
      <c r="O788" s="243">
        <f t="shared" si="163"/>
        <v>16727.75964642148</v>
      </c>
      <c r="P788" s="243">
        <f t="shared" si="164"/>
        <v>11206.970887020549</v>
      </c>
      <c r="Q788" s="243">
        <f t="shared" si="165"/>
        <v>0</v>
      </c>
      <c r="R788" s="243">
        <f t="shared" si="166"/>
        <v>0</v>
      </c>
      <c r="S788" s="243">
        <f t="shared" si="167"/>
        <v>0</v>
      </c>
      <c r="T788" s="243">
        <f t="shared" si="168"/>
        <v>0</v>
      </c>
      <c r="AA788">
        <v>861</v>
      </c>
      <c r="AB788" t="s">
        <v>0</v>
      </c>
      <c r="AC788" t="s">
        <v>1072</v>
      </c>
      <c r="AD788" t="s">
        <v>7</v>
      </c>
      <c r="AE788" t="s">
        <v>1878</v>
      </c>
      <c r="AF788">
        <v>18</v>
      </c>
      <c r="AG788">
        <v>0</v>
      </c>
      <c r="AH788">
        <v>624</v>
      </c>
      <c r="AI788" t="s">
        <v>0</v>
      </c>
      <c r="AJ788" t="s">
        <v>1933</v>
      </c>
      <c r="AK788" t="s">
        <v>3300</v>
      </c>
      <c r="AL788" t="s">
        <v>36</v>
      </c>
      <c r="AM788" s="314">
        <v>4974.3625681974263</v>
      </c>
      <c r="AN788" s="314">
        <v>4932.4908294078859</v>
      </c>
      <c r="AO788" s="314">
        <v>16727.75964642148</v>
      </c>
      <c r="AP788" s="314">
        <v>11206.970887020549</v>
      </c>
      <c r="AQ788" s="314">
        <v>7.8168554643102413</v>
      </c>
      <c r="AR788" s="314">
        <v>7.7510570176409628</v>
      </c>
      <c r="AS788" s="314">
        <v>26.28647944437661</v>
      </c>
      <c r="AT788" s="314">
        <v>17.61095425103229</v>
      </c>
      <c r="AU788" s="314">
        <v>0</v>
      </c>
      <c r="AV788" s="314">
        <v>0</v>
      </c>
      <c r="AW788" s="314">
        <v>0</v>
      </c>
      <c r="AX788">
        <v>0</v>
      </c>
    </row>
    <row r="789" spans="1:50" x14ac:dyDescent="0.35">
      <c r="A789">
        <v>626</v>
      </c>
      <c r="B789" t="s">
        <v>0</v>
      </c>
      <c r="C789" t="s">
        <v>1933</v>
      </c>
      <c r="D789" t="s">
        <v>3300</v>
      </c>
      <c r="E789" t="s">
        <v>37</v>
      </c>
      <c r="F789">
        <v>719.63218799999993</v>
      </c>
      <c r="G789">
        <v>713.33153879999998</v>
      </c>
      <c r="H789">
        <v>2419.8913499999999</v>
      </c>
      <c r="I789">
        <v>1621.7341739999999</v>
      </c>
      <c r="J789">
        <v>5422.5</v>
      </c>
      <c r="K789" s="7">
        <f t="shared" si="160"/>
        <v>9</v>
      </c>
      <c r="L789" s="7">
        <f t="shared" si="161"/>
        <v>0</v>
      </c>
      <c r="M789" s="243">
        <f t="shared" si="162"/>
        <v>42177.069813859205</v>
      </c>
      <c r="N789" s="243">
        <f>INDEX($AN$4:$AN21685,MATCH($A789,$AH$4:$AH$2000,0))</f>
        <v>41822.043973675209</v>
      </c>
      <c r="O789" s="243">
        <f t="shared" si="163"/>
        <v>141832.82315350804</v>
      </c>
      <c r="P789" s="243">
        <f t="shared" si="164"/>
        <v>95022.666125247619</v>
      </c>
      <c r="Q789" s="243">
        <f t="shared" si="165"/>
        <v>0</v>
      </c>
      <c r="R789" s="243">
        <f t="shared" si="166"/>
        <v>0</v>
      </c>
      <c r="S789" s="243">
        <f t="shared" si="167"/>
        <v>0</v>
      </c>
      <c r="T789" s="243">
        <f t="shared" si="168"/>
        <v>0</v>
      </c>
      <c r="AA789">
        <v>850</v>
      </c>
      <c r="AB789" t="s">
        <v>0</v>
      </c>
      <c r="AC789" t="s">
        <v>1072</v>
      </c>
      <c r="AD789" t="s">
        <v>878</v>
      </c>
      <c r="AE789" t="s">
        <v>1795</v>
      </c>
      <c r="AF789">
        <v>10</v>
      </c>
      <c r="AG789">
        <v>0</v>
      </c>
      <c r="AH789">
        <v>626</v>
      </c>
      <c r="AI789" t="s">
        <v>0</v>
      </c>
      <c r="AJ789" t="s">
        <v>1933</v>
      </c>
      <c r="AK789" t="s">
        <v>3300</v>
      </c>
      <c r="AL789" t="s">
        <v>37</v>
      </c>
      <c r="AM789" s="314">
        <v>42177.069813859205</v>
      </c>
      <c r="AN789" s="314">
        <v>41822.043973675209</v>
      </c>
      <c r="AO789" s="314">
        <v>141832.82315350804</v>
      </c>
      <c r="AP789" s="314">
        <v>95022.666125247619</v>
      </c>
      <c r="AQ789" s="314">
        <v>9.8712291053713042</v>
      </c>
      <c r="AR789" s="314">
        <v>9.7881379512856874</v>
      </c>
      <c r="AS789" s="314">
        <v>33.194916057204011</v>
      </c>
      <c r="AT789" s="314">
        <v>22.2393473910154</v>
      </c>
      <c r="AU789" s="314">
        <v>0</v>
      </c>
      <c r="AV789" s="314">
        <v>0</v>
      </c>
      <c r="AW789" s="314">
        <v>0</v>
      </c>
      <c r="AX789">
        <v>0</v>
      </c>
    </row>
    <row r="790" spans="1:50" x14ac:dyDescent="0.35">
      <c r="A790">
        <v>631</v>
      </c>
      <c r="B790" t="s">
        <v>0</v>
      </c>
      <c r="C790" t="s">
        <v>1933</v>
      </c>
      <c r="D790" t="s">
        <v>3300</v>
      </c>
      <c r="E790" t="s">
        <v>38</v>
      </c>
      <c r="F790">
        <v>719.63218799999993</v>
      </c>
      <c r="G790">
        <v>713.33153879999998</v>
      </c>
      <c r="H790">
        <v>2419.8913499999999</v>
      </c>
      <c r="I790">
        <v>1621.7341739999999</v>
      </c>
      <c r="J790">
        <v>5422.5</v>
      </c>
      <c r="K790" s="7">
        <f t="shared" si="160"/>
        <v>2</v>
      </c>
      <c r="L790" s="7">
        <f t="shared" si="161"/>
        <v>0</v>
      </c>
      <c r="M790" s="243">
        <f t="shared" si="162"/>
        <v>13374.437566197483</v>
      </c>
      <c r="N790" s="243">
        <f>INDEX($AN$4:$AN21686,MATCH($A790,$AH$4:$AH$2000,0))</f>
        <v>13261.858125404575</v>
      </c>
      <c r="O790" s="243">
        <f t="shared" si="163"/>
        <v>44975.486596766794</v>
      </c>
      <c r="P790" s="243">
        <f t="shared" si="164"/>
        <v>30131.887328221856</v>
      </c>
      <c r="Q790" s="243">
        <f t="shared" si="165"/>
        <v>0</v>
      </c>
      <c r="R790" s="243">
        <f t="shared" si="166"/>
        <v>0</v>
      </c>
      <c r="S790" s="243">
        <f t="shared" si="167"/>
        <v>0</v>
      </c>
      <c r="T790" s="243">
        <f t="shared" si="168"/>
        <v>0</v>
      </c>
      <c r="AA790">
        <v>846</v>
      </c>
      <c r="AB790" t="s">
        <v>0</v>
      </c>
      <c r="AC790" t="s">
        <v>1072</v>
      </c>
      <c r="AD790" t="s">
        <v>878</v>
      </c>
      <c r="AE790" t="s">
        <v>1796</v>
      </c>
      <c r="AF790">
        <v>9</v>
      </c>
      <c r="AG790">
        <v>0</v>
      </c>
      <c r="AH790">
        <v>631</v>
      </c>
      <c r="AI790" t="s">
        <v>0</v>
      </c>
      <c r="AJ790" t="s">
        <v>1933</v>
      </c>
      <c r="AK790" t="s">
        <v>3300</v>
      </c>
      <c r="AL790" t="s">
        <v>38</v>
      </c>
      <c r="AM790" s="314">
        <v>13374.437566197483</v>
      </c>
      <c r="AN790" s="314">
        <v>13261.858125404575</v>
      </c>
      <c r="AO790" s="314">
        <v>44975.486596766794</v>
      </c>
      <c r="AP790" s="314">
        <v>30131.887328221856</v>
      </c>
      <c r="AQ790" s="314">
        <v>1.5257172674192885</v>
      </c>
      <c r="AR790" s="314">
        <v>1.5128745294780488</v>
      </c>
      <c r="AS790" s="314">
        <v>5.1306738075253016</v>
      </c>
      <c r="AT790" s="314">
        <v>3.4373588099728329</v>
      </c>
      <c r="AU790" s="314">
        <v>0</v>
      </c>
      <c r="AV790" s="314">
        <v>0</v>
      </c>
      <c r="AW790" s="314">
        <v>0</v>
      </c>
      <c r="AX790">
        <v>0</v>
      </c>
    </row>
    <row r="791" spans="1:50" x14ac:dyDescent="0.35">
      <c r="A791">
        <v>629</v>
      </c>
      <c r="B791" t="s">
        <v>0</v>
      </c>
      <c r="C791" t="s">
        <v>1933</v>
      </c>
      <c r="D791" t="s">
        <v>3300</v>
      </c>
      <c r="E791" t="s">
        <v>39</v>
      </c>
      <c r="F791">
        <v>1663.1999999999998</v>
      </c>
      <c r="G791">
        <v>1649.1999999999998</v>
      </c>
      <c r="H791">
        <v>5593</v>
      </c>
      <c r="I791">
        <v>3747.1</v>
      </c>
      <c r="J791">
        <v>12652.5</v>
      </c>
      <c r="K791" s="7">
        <f t="shared" si="160"/>
        <v>10</v>
      </c>
      <c r="L791" s="7">
        <f t="shared" si="161"/>
        <v>0</v>
      </c>
      <c r="M791" s="243">
        <f t="shared" si="162"/>
        <v>0</v>
      </c>
      <c r="N791" s="243">
        <f>INDEX($AN$4:$AN21687,MATCH($A791,$AH$4:$AH$2000,0))</f>
        <v>0</v>
      </c>
      <c r="O791" s="243">
        <f t="shared" si="163"/>
        <v>0</v>
      </c>
      <c r="P791" s="243">
        <f t="shared" si="164"/>
        <v>0</v>
      </c>
      <c r="Q791" s="243">
        <f t="shared" si="165"/>
        <v>5621.6159999999991</v>
      </c>
      <c r="R791" s="243">
        <f t="shared" si="166"/>
        <v>5574.2959999999994</v>
      </c>
      <c r="S791" s="243">
        <f t="shared" si="167"/>
        <v>18904.34</v>
      </c>
      <c r="T791" s="243">
        <f t="shared" si="168"/>
        <v>12665.197999999999</v>
      </c>
      <c r="AA791">
        <v>845</v>
      </c>
      <c r="AB791" t="s">
        <v>0</v>
      </c>
      <c r="AC791" t="s">
        <v>1072</v>
      </c>
      <c r="AD791" t="s">
        <v>878</v>
      </c>
      <c r="AE791" t="s">
        <v>1797</v>
      </c>
      <c r="AF791">
        <v>9</v>
      </c>
      <c r="AG791">
        <v>0</v>
      </c>
      <c r="AH791">
        <v>629</v>
      </c>
      <c r="AI791" t="s">
        <v>0</v>
      </c>
      <c r="AJ791" t="s">
        <v>1933</v>
      </c>
      <c r="AK791" t="s">
        <v>3300</v>
      </c>
      <c r="AL791" t="s">
        <v>39</v>
      </c>
      <c r="AM791" s="314">
        <v>0</v>
      </c>
      <c r="AN791" s="314">
        <v>0</v>
      </c>
      <c r="AO791" s="314">
        <v>0</v>
      </c>
      <c r="AP791" s="314">
        <v>0</v>
      </c>
      <c r="AQ791" s="314">
        <v>0</v>
      </c>
      <c r="AR791" s="314">
        <v>0</v>
      </c>
      <c r="AS791" s="314">
        <v>0</v>
      </c>
      <c r="AT791" s="314">
        <v>0</v>
      </c>
      <c r="AU791" s="314">
        <v>5621.6159999999991</v>
      </c>
      <c r="AV791" s="314">
        <v>5574.2959999999994</v>
      </c>
      <c r="AW791" s="314">
        <v>18904.34</v>
      </c>
      <c r="AX791">
        <v>12665.197999999999</v>
      </c>
    </row>
    <row r="792" spans="1:50" x14ac:dyDescent="0.35">
      <c r="A792">
        <v>625</v>
      </c>
      <c r="B792" t="s">
        <v>0</v>
      </c>
      <c r="C792" t="s">
        <v>1933</v>
      </c>
      <c r="D792" t="s">
        <v>3300</v>
      </c>
      <c r="E792" t="s">
        <v>40</v>
      </c>
      <c r="F792">
        <v>1663.1999999999998</v>
      </c>
      <c r="G792">
        <v>1649.1999999999998</v>
      </c>
      <c r="H792">
        <v>5593</v>
      </c>
      <c r="I792">
        <v>3747.1</v>
      </c>
      <c r="J792">
        <v>12652.5</v>
      </c>
      <c r="K792" s="7">
        <f t="shared" si="160"/>
        <v>9</v>
      </c>
      <c r="L792" s="7">
        <f t="shared" si="161"/>
        <v>0</v>
      </c>
      <c r="M792" s="243">
        <f t="shared" si="162"/>
        <v>0</v>
      </c>
      <c r="N792" s="243">
        <f>INDEX($AN$4:$AN21688,MATCH($A792,$AH$4:$AH$2000,0))</f>
        <v>0</v>
      </c>
      <c r="O792" s="243">
        <f t="shared" si="163"/>
        <v>0</v>
      </c>
      <c r="P792" s="243">
        <f t="shared" si="164"/>
        <v>0</v>
      </c>
      <c r="Q792" s="243">
        <f t="shared" si="165"/>
        <v>582.11999999999989</v>
      </c>
      <c r="R792" s="243">
        <f t="shared" si="166"/>
        <v>577.21999999999991</v>
      </c>
      <c r="S792" s="243">
        <f t="shared" si="167"/>
        <v>1957.55</v>
      </c>
      <c r="T792" s="243">
        <f t="shared" si="168"/>
        <v>1311.4849999999999</v>
      </c>
      <c r="AA792">
        <v>847</v>
      </c>
      <c r="AB792" t="s">
        <v>0</v>
      </c>
      <c r="AC792" t="s">
        <v>1072</v>
      </c>
      <c r="AD792" t="s">
        <v>878</v>
      </c>
      <c r="AE792" t="s">
        <v>1798</v>
      </c>
      <c r="AF792">
        <v>10</v>
      </c>
      <c r="AG792">
        <v>3</v>
      </c>
      <c r="AH792">
        <v>625</v>
      </c>
      <c r="AI792" t="s">
        <v>0</v>
      </c>
      <c r="AJ792" t="s">
        <v>1933</v>
      </c>
      <c r="AK792" t="s">
        <v>3300</v>
      </c>
      <c r="AL792" t="s">
        <v>40</v>
      </c>
      <c r="AM792" s="314">
        <v>0</v>
      </c>
      <c r="AN792" s="314">
        <v>0</v>
      </c>
      <c r="AO792" s="314">
        <v>0</v>
      </c>
      <c r="AP792" s="314">
        <v>0</v>
      </c>
      <c r="AQ792" s="314">
        <v>0</v>
      </c>
      <c r="AR792" s="314">
        <v>0</v>
      </c>
      <c r="AS792" s="314">
        <v>0</v>
      </c>
      <c r="AT792" s="314">
        <v>0</v>
      </c>
      <c r="AU792" s="314">
        <v>582.11999999999989</v>
      </c>
      <c r="AV792" s="314">
        <v>577.21999999999991</v>
      </c>
      <c r="AW792" s="314">
        <v>1957.55</v>
      </c>
      <c r="AX792">
        <v>1311.4849999999999</v>
      </c>
    </row>
    <row r="793" spans="1:50" x14ac:dyDescent="0.35">
      <c r="A793">
        <v>627</v>
      </c>
      <c r="B793" t="s">
        <v>0</v>
      </c>
      <c r="C793" t="s">
        <v>1933</v>
      </c>
      <c r="D793" t="s">
        <v>3300</v>
      </c>
      <c r="E793" t="s">
        <v>41</v>
      </c>
      <c r="F793">
        <v>1663.1999999999998</v>
      </c>
      <c r="G793">
        <v>1649.1999999999998</v>
      </c>
      <c r="H793">
        <v>5593</v>
      </c>
      <c r="I793">
        <v>3747.1</v>
      </c>
      <c r="J793">
        <v>12652.5</v>
      </c>
      <c r="K793" s="7">
        <f t="shared" si="160"/>
        <v>9</v>
      </c>
      <c r="L793" s="7">
        <f t="shared" si="161"/>
        <v>0</v>
      </c>
      <c r="M793" s="243">
        <f t="shared" si="162"/>
        <v>0</v>
      </c>
      <c r="N793" s="243">
        <f>INDEX($AN$4:$AN21689,MATCH($A793,$AH$4:$AH$2000,0))</f>
        <v>0</v>
      </c>
      <c r="O793" s="243">
        <f t="shared" si="163"/>
        <v>0</v>
      </c>
      <c r="P793" s="243">
        <f t="shared" si="164"/>
        <v>0</v>
      </c>
      <c r="Q793" s="243">
        <f t="shared" si="165"/>
        <v>4008.3119999999999</v>
      </c>
      <c r="R793" s="243">
        <f t="shared" si="166"/>
        <v>3974.5719999999997</v>
      </c>
      <c r="S793" s="243">
        <f t="shared" si="167"/>
        <v>13479.130000000001</v>
      </c>
      <c r="T793" s="243">
        <f t="shared" si="168"/>
        <v>9030.5110000000004</v>
      </c>
      <c r="AA793">
        <v>848</v>
      </c>
      <c r="AB793" t="s">
        <v>0</v>
      </c>
      <c r="AC793" t="s">
        <v>1072</v>
      </c>
      <c r="AD793" t="s">
        <v>878</v>
      </c>
      <c r="AE793" t="s">
        <v>1851</v>
      </c>
      <c r="AF793">
        <v>10</v>
      </c>
      <c r="AG793">
        <v>2</v>
      </c>
      <c r="AH793">
        <v>627</v>
      </c>
      <c r="AI793" t="s">
        <v>0</v>
      </c>
      <c r="AJ793" t="s">
        <v>1933</v>
      </c>
      <c r="AK793" t="s">
        <v>3300</v>
      </c>
      <c r="AL793" t="s">
        <v>41</v>
      </c>
      <c r="AM793" s="314">
        <v>0</v>
      </c>
      <c r="AN793" s="314">
        <v>0</v>
      </c>
      <c r="AO793" s="314">
        <v>0</v>
      </c>
      <c r="AP793" s="314">
        <v>0</v>
      </c>
      <c r="AQ793" s="314">
        <v>0</v>
      </c>
      <c r="AR793" s="314">
        <v>0</v>
      </c>
      <c r="AS793" s="314">
        <v>0</v>
      </c>
      <c r="AT793" s="314">
        <v>0</v>
      </c>
      <c r="AU793" s="314">
        <v>4008.3119999999999</v>
      </c>
      <c r="AV793" s="314">
        <v>3974.5719999999997</v>
      </c>
      <c r="AW793" s="314">
        <v>13479.130000000001</v>
      </c>
      <c r="AX793">
        <v>9030.5110000000004</v>
      </c>
    </row>
    <row r="794" spans="1:50" x14ac:dyDescent="0.35">
      <c r="A794">
        <v>632</v>
      </c>
      <c r="B794" t="s">
        <v>0</v>
      </c>
      <c r="C794" t="s">
        <v>1933</v>
      </c>
      <c r="D794" t="s">
        <v>3300</v>
      </c>
      <c r="E794" t="s">
        <v>42</v>
      </c>
      <c r="F794">
        <v>1663.1999999999998</v>
      </c>
      <c r="G794">
        <v>1649.1999999999998</v>
      </c>
      <c r="H794">
        <v>5593</v>
      </c>
      <c r="I794">
        <v>3747.1</v>
      </c>
      <c r="J794">
        <v>12652.5</v>
      </c>
      <c r="K794" s="7">
        <f t="shared" si="160"/>
        <v>2</v>
      </c>
      <c r="L794" s="7">
        <f t="shared" si="161"/>
        <v>0</v>
      </c>
      <c r="M794" s="243">
        <f t="shared" si="162"/>
        <v>0</v>
      </c>
      <c r="N794" s="243">
        <f>INDEX($AN$4:$AN21690,MATCH($A794,$AH$4:$AH$2000,0))</f>
        <v>0</v>
      </c>
      <c r="O794" s="243">
        <f t="shared" si="163"/>
        <v>0</v>
      </c>
      <c r="P794" s="243">
        <f t="shared" si="164"/>
        <v>0</v>
      </c>
      <c r="Q794" s="243">
        <f t="shared" si="165"/>
        <v>2686.3553830230271</v>
      </c>
      <c r="R794" s="243">
        <f t="shared" si="166"/>
        <v>2663.7429639740117</v>
      </c>
      <c r="S794" s="243">
        <f t="shared" si="167"/>
        <v>9033.661410081646</v>
      </c>
      <c r="T794" s="243">
        <f t="shared" si="168"/>
        <v>6052.2139584689667</v>
      </c>
      <c r="AA794">
        <v>849</v>
      </c>
      <c r="AB794" t="s">
        <v>0</v>
      </c>
      <c r="AC794" t="s">
        <v>1072</v>
      </c>
      <c r="AD794" t="s">
        <v>878</v>
      </c>
      <c r="AE794" t="s">
        <v>1852</v>
      </c>
      <c r="AF794">
        <v>10</v>
      </c>
      <c r="AG794">
        <v>1</v>
      </c>
      <c r="AH794">
        <v>632</v>
      </c>
      <c r="AI794" t="s">
        <v>0</v>
      </c>
      <c r="AJ794" t="s">
        <v>1933</v>
      </c>
      <c r="AK794" t="s">
        <v>3300</v>
      </c>
      <c r="AL794" t="s">
        <v>42</v>
      </c>
      <c r="AM794" s="314">
        <v>0</v>
      </c>
      <c r="AN794" s="314">
        <v>0</v>
      </c>
      <c r="AO794" s="314">
        <v>0</v>
      </c>
      <c r="AP794" s="314">
        <v>0</v>
      </c>
      <c r="AQ794" s="314">
        <v>0</v>
      </c>
      <c r="AR794" s="314">
        <v>0</v>
      </c>
      <c r="AS794" s="314">
        <v>0</v>
      </c>
      <c r="AT794" s="314">
        <v>0</v>
      </c>
      <c r="AU794" s="314">
        <v>2686.3553830230271</v>
      </c>
      <c r="AV794" s="314">
        <v>2663.7429639740117</v>
      </c>
      <c r="AW794" s="314">
        <v>9033.661410081646</v>
      </c>
      <c r="AX794">
        <v>6052.2139584689667</v>
      </c>
    </row>
    <row r="795" spans="1:50" x14ac:dyDescent="0.35">
      <c r="A795">
        <v>622</v>
      </c>
      <c r="B795" t="s">
        <v>0</v>
      </c>
      <c r="C795" t="s">
        <v>1933</v>
      </c>
      <c r="D795" t="s">
        <v>3300</v>
      </c>
      <c r="E795" t="s">
        <v>276</v>
      </c>
      <c r="F795">
        <v>0</v>
      </c>
      <c r="G795">
        <v>9581.7340540000005</v>
      </c>
      <c r="H795">
        <v>9513.9992000000002</v>
      </c>
      <c r="I795">
        <v>32273.105879999999</v>
      </c>
      <c r="J795">
        <v>50876</v>
      </c>
      <c r="K795" s="7">
        <f t="shared" si="160"/>
        <v>10</v>
      </c>
      <c r="L795" s="7">
        <f t="shared" si="161"/>
        <v>6</v>
      </c>
      <c r="M795" s="243">
        <f t="shared" si="162"/>
        <v>0</v>
      </c>
      <c r="N795" s="243">
        <f>INDEX($AN$4:$AN21691,MATCH($A795,$AH$4:$AH$2000,0))</f>
        <v>34057.340799312602</v>
      </c>
      <c r="O795" s="243">
        <f t="shared" si="163"/>
        <v>33806.233378209603</v>
      </c>
      <c r="P795" s="243">
        <f t="shared" si="164"/>
        <v>114641.29948013822</v>
      </c>
      <c r="Q795" s="243">
        <f t="shared" si="165"/>
        <v>0</v>
      </c>
      <c r="R795" s="243">
        <f t="shared" si="166"/>
        <v>-99.675661480995586</v>
      </c>
      <c r="S795" s="243">
        <f t="shared" si="167"/>
        <v>-98.940745080777589</v>
      </c>
      <c r="T795" s="243">
        <f t="shared" si="168"/>
        <v>-335.52083311666917</v>
      </c>
      <c r="AA795">
        <v>852</v>
      </c>
      <c r="AB795" t="s">
        <v>0</v>
      </c>
      <c r="AC795" t="s">
        <v>1072</v>
      </c>
      <c r="AD795" t="s">
        <v>878</v>
      </c>
      <c r="AE795" t="s">
        <v>1799</v>
      </c>
      <c r="AF795">
        <v>25</v>
      </c>
      <c r="AG795">
        <v>0</v>
      </c>
      <c r="AH795">
        <v>622</v>
      </c>
      <c r="AI795" t="s">
        <v>0</v>
      </c>
      <c r="AJ795" t="s">
        <v>1933</v>
      </c>
      <c r="AK795" t="s">
        <v>3300</v>
      </c>
      <c r="AL795" t="s">
        <v>276</v>
      </c>
      <c r="AM795" s="314">
        <v>0</v>
      </c>
      <c r="AN795" s="314">
        <v>34057.340799312602</v>
      </c>
      <c r="AO795" s="314">
        <v>33806.233378209603</v>
      </c>
      <c r="AP795" s="314">
        <v>114641.29948013822</v>
      </c>
      <c r="AQ795" s="314">
        <v>0</v>
      </c>
      <c r="AR795" s="314">
        <v>0.433332852381</v>
      </c>
      <c r="AS795" s="314">
        <v>0.43013785557599998</v>
      </c>
      <c r="AT795" s="314">
        <v>1.4586529699169999</v>
      </c>
      <c r="AU795" s="314">
        <v>0</v>
      </c>
      <c r="AV795" s="314">
        <v>-99.675661480995586</v>
      </c>
      <c r="AW795" s="314">
        <v>-98.940745080777589</v>
      </c>
      <c r="AX795">
        <v>-335.52083311666917</v>
      </c>
    </row>
    <row r="796" spans="1:50" x14ac:dyDescent="0.35">
      <c r="A796">
        <v>623</v>
      </c>
      <c r="B796" t="s">
        <v>0</v>
      </c>
      <c r="C796" t="s">
        <v>1933</v>
      </c>
      <c r="D796" t="s">
        <v>3300</v>
      </c>
      <c r="E796" t="s">
        <v>277</v>
      </c>
      <c r="F796">
        <v>0</v>
      </c>
      <c r="G796">
        <v>0</v>
      </c>
      <c r="H796">
        <v>9584.6677</v>
      </c>
      <c r="I796">
        <v>9516.9206400000003</v>
      </c>
      <c r="J796">
        <v>18918</v>
      </c>
      <c r="K796" s="7">
        <f t="shared" si="160"/>
        <v>10</v>
      </c>
      <c r="L796" s="7">
        <f t="shared" si="161"/>
        <v>6</v>
      </c>
      <c r="M796" s="243">
        <f t="shared" si="162"/>
        <v>0</v>
      </c>
      <c r="N796" s="243">
        <f>INDEX($AN$4:$AN21692,MATCH($A796,$AH$4:$AH$2000,0))</f>
        <v>0</v>
      </c>
      <c r="O796" s="243">
        <f t="shared" si="163"/>
        <v>29192.006399410799</v>
      </c>
      <c r="P796" s="243">
        <f t="shared" si="164"/>
        <v>28976.7714670368</v>
      </c>
      <c r="Q796" s="243">
        <f t="shared" si="165"/>
        <v>0</v>
      </c>
      <c r="R796" s="243">
        <f t="shared" si="166"/>
        <v>0</v>
      </c>
      <c r="S796" s="243">
        <f t="shared" si="167"/>
        <v>-84.340944330073199</v>
      </c>
      <c r="T796" s="243">
        <f t="shared" si="168"/>
        <v>-83.719091991427192</v>
      </c>
      <c r="AA796">
        <v>851</v>
      </c>
      <c r="AB796" t="s">
        <v>0</v>
      </c>
      <c r="AC796" t="s">
        <v>1072</v>
      </c>
      <c r="AD796" t="s">
        <v>878</v>
      </c>
      <c r="AE796" t="s">
        <v>1369</v>
      </c>
      <c r="AF796">
        <v>25</v>
      </c>
      <c r="AG796">
        <v>0</v>
      </c>
      <c r="AH796">
        <v>623</v>
      </c>
      <c r="AI796" t="s">
        <v>0</v>
      </c>
      <c r="AJ796" t="s">
        <v>1933</v>
      </c>
      <c r="AK796" t="s">
        <v>3300</v>
      </c>
      <c r="AL796" t="s">
        <v>277</v>
      </c>
      <c r="AM796" s="314">
        <v>0</v>
      </c>
      <c r="AN796" s="314">
        <v>0</v>
      </c>
      <c r="AO796" s="314">
        <v>29192.006399410799</v>
      </c>
      <c r="AP796" s="314">
        <v>28976.7714670368</v>
      </c>
      <c r="AQ796" s="314">
        <v>0</v>
      </c>
      <c r="AR796" s="314">
        <v>0</v>
      </c>
      <c r="AS796" s="314">
        <v>0.36666625970699995</v>
      </c>
      <c r="AT796" s="314">
        <v>0.36396280087199995</v>
      </c>
      <c r="AU796" s="314">
        <v>0</v>
      </c>
      <c r="AV796" s="314">
        <v>0</v>
      </c>
      <c r="AW796" s="314">
        <v>-84.340944330073199</v>
      </c>
      <c r="AX796">
        <v>-83.719091991427192</v>
      </c>
    </row>
    <row r="797" spans="1:50" x14ac:dyDescent="0.35">
      <c r="A797">
        <v>630</v>
      </c>
      <c r="B797" t="s">
        <v>0</v>
      </c>
      <c r="C797" t="s">
        <v>1933</v>
      </c>
      <c r="D797" t="s">
        <v>3300</v>
      </c>
      <c r="E797" t="s">
        <v>43</v>
      </c>
      <c r="F797">
        <v>2398.77396</v>
      </c>
      <c r="G797">
        <v>2377.771796</v>
      </c>
      <c r="H797">
        <v>8066.3044999999993</v>
      </c>
      <c r="I797">
        <v>5405.7805799999996</v>
      </c>
      <c r="J797">
        <v>18075</v>
      </c>
      <c r="K797" s="7">
        <f t="shared" si="160"/>
        <v>4</v>
      </c>
      <c r="L797" s="7">
        <f t="shared" si="161"/>
        <v>0</v>
      </c>
      <c r="M797" s="243">
        <f t="shared" si="162"/>
        <v>244728</v>
      </c>
      <c r="N797" s="243">
        <f>INDEX($AN$4:$AN21693,MATCH($A797,$AH$4:$AH$2000,0))</f>
        <v>242668</v>
      </c>
      <c r="O797" s="243">
        <f t="shared" si="163"/>
        <v>822970</v>
      </c>
      <c r="P797" s="243">
        <f t="shared" si="164"/>
        <v>551359</v>
      </c>
      <c r="Q797" s="243">
        <f t="shared" si="165"/>
        <v>0</v>
      </c>
      <c r="R797" s="243">
        <f t="shared" si="166"/>
        <v>0</v>
      </c>
      <c r="S797" s="243">
        <f t="shared" si="167"/>
        <v>0</v>
      </c>
      <c r="T797" s="243">
        <f t="shared" si="168"/>
        <v>0</v>
      </c>
      <c r="AA797">
        <v>844</v>
      </c>
      <c r="AB797" t="s">
        <v>0</v>
      </c>
      <c r="AC797" t="s">
        <v>1072</v>
      </c>
      <c r="AD797" t="s">
        <v>878</v>
      </c>
      <c r="AE797" t="s">
        <v>1800</v>
      </c>
      <c r="AF797">
        <v>15</v>
      </c>
      <c r="AG797">
        <v>0</v>
      </c>
      <c r="AH797">
        <v>630</v>
      </c>
      <c r="AI797" t="s">
        <v>0</v>
      </c>
      <c r="AJ797" t="s">
        <v>1933</v>
      </c>
      <c r="AK797" t="s">
        <v>3300</v>
      </c>
      <c r="AL797" t="s">
        <v>43</v>
      </c>
      <c r="AM797" s="314">
        <v>244728</v>
      </c>
      <c r="AN797" s="314">
        <v>242668</v>
      </c>
      <c r="AO797" s="314">
        <v>822970</v>
      </c>
      <c r="AP797" s="314">
        <v>551359</v>
      </c>
      <c r="AQ797" s="314">
        <v>27.323999999999998</v>
      </c>
      <c r="AR797" s="314">
        <v>27.094000000000001</v>
      </c>
      <c r="AS797" s="314">
        <v>91.885000000000005</v>
      </c>
      <c r="AT797" s="314">
        <v>61.5595</v>
      </c>
      <c r="AU797" s="314">
        <v>0</v>
      </c>
      <c r="AV797" s="314">
        <v>0</v>
      </c>
      <c r="AW797" s="314">
        <v>0</v>
      </c>
      <c r="AX797">
        <v>0</v>
      </c>
    </row>
    <row r="798" spans="1:50" x14ac:dyDescent="0.35">
      <c r="A798">
        <v>531</v>
      </c>
      <c r="B798" t="s">
        <v>0</v>
      </c>
      <c r="C798" t="s">
        <v>1933</v>
      </c>
      <c r="D798" t="s">
        <v>3301</v>
      </c>
      <c r="E798" t="s">
        <v>43</v>
      </c>
      <c r="F798">
        <v>3751.6178599999998</v>
      </c>
      <c r="G798">
        <v>3762.4504480000001</v>
      </c>
      <c r="H798">
        <v>3470.8328999999999</v>
      </c>
      <c r="I798">
        <v>3471.8986799999998</v>
      </c>
      <c r="J798">
        <v>14320</v>
      </c>
      <c r="K798" s="7">
        <f t="shared" si="160"/>
        <v>4</v>
      </c>
      <c r="L798" s="7">
        <f t="shared" si="161"/>
        <v>0</v>
      </c>
      <c r="M798" s="243">
        <f t="shared" si="162"/>
        <v>382748</v>
      </c>
      <c r="N798" s="243">
        <f>INDEX($AN$4:$AN21694,MATCH($A798,$AH$4:$AH$2000,0))</f>
        <v>383984</v>
      </c>
      <c r="O798" s="243">
        <f t="shared" si="163"/>
        <v>354114</v>
      </c>
      <c r="P798" s="243">
        <f t="shared" si="164"/>
        <v>354114</v>
      </c>
      <c r="Q798" s="243">
        <f t="shared" si="165"/>
        <v>0</v>
      </c>
      <c r="R798" s="243">
        <f t="shared" si="166"/>
        <v>0</v>
      </c>
      <c r="S798" s="243">
        <f t="shared" si="167"/>
        <v>0</v>
      </c>
      <c r="T798" s="243">
        <f t="shared" si="168"/>
        <v>0</v>
      </c>
      <c r="AA798">
        <v>152</v>
      </c>
      <c r="AB798" t="s">
        <v>80</v>
      </c>
      <c r="AC798" t="s">
        <v>81</v>
      </c>
      <c r="AD798" t="s">
        <v>4</v>
      </c>
      <c r="AE798" t="s">
        <v>1120</v>
      </c>
      <c r="AF798">
        <v>11.264926929375578</v>
      </c>
      <c r="AG798">
        <v>0</v>
      </c>
      <c r="AH798">
        <v>531</v>
      </c>
      <c r="AI798" t="s">
        <v>0</v>
      </c>
      <c r="AJ798" t="s">
        <v>1933</v>
      </c>
      <c r="AK798" t="s">
        <v>3301</v>
      </c>
      <c r="AL798" t="s">
        <v>43</v>
      </c>
      <c r="AM798" s="314">
        <v>382748</v>
      </c>
      <c r="AN798" s="314">
        <v>383984</v>
      </c>
      <c r="AO798" s="314">
        <v>354114</v>
      </c>
      <c r="AP798" s="314">
        <v>354114</v>
      </c>
      <c r="AQ798" s="314">
        <v>42.734000000000002</v>
      </c>
      <c r="AR798" s="314">
        <v>42.872</v>
      </c>
      <c r="AS798" s="314">
        <v>39.536999999999999</v>
      </c>
      <c r="AT798" s="314">
        <v>39.536999999999999</v>
      </c>
      <c r="AU798" s="314">
        <v>0</v>
      </c>
      <c r="AV798" s="314">
        <v>0</v>
      </c>
      <c r="AW798" s="314">
        <v>0</v>
      </c>
      <c r="AX798">
        <v>0</v>
      </c>
    </row>
    <row r="799" spans="1:50" x14ac:dyDescent="0.35">
      <c r="A799">
        <v>530</v>
      </c>
      <c r="B799" t="s">
        <v>0</v>
      </c>
      <c r="C799" t="s">
        <v>1933</v>
      </c>
      <c r="D799" t="s">
        <v>3301</v>
      </c>
      <c r="E799" t="s">
        <v>39</v>
      </c>
      <c r="F799">
        <v>182.806765159836</v>
      </c>
      <c r="G799">
        <v>208.26095179132699</v>
      </c>
      <c r="H799">
        <v>658.22524413985502</v>
      </c>
      <c r="I799">
        <v>514.30229512222604</v>
      </c>
      <c r="J799">
        <v>1563.5952562132441</v>
      </c>
      <c r="K799" s="7">
        <f t="shared" si="160"/>
        <v>10</v>
      </c>
      <c r="L799" s="7">
        <f t="shared" si="161"/>
        <v>0</v>
      </c>
      <c r="M799" s="243">
        <f>INDEX($AM$4:$AM$2000,MATCH($A799,$AH$4:$AH$2000,0))</f>
        <v>0</v>
      </c>
      <c r="N799" s="243">
        <f>INDEX($AN$4:$AN21695,MATCH($A799,$AH$4:$AH$2000,0))</f>
        <v>0</v>
      </c>
      <c r="O799" s="243">
        <f t="shared" si="163"/>
        <v>0</v>
      </c>
      <c r="P799" s="243">
        <f t="shared" si="164"/>
        <v>0</v>
      </c>
      <c r="Q799" s="243">
        <f t="shared" si="165"/>
        <v>2018.1866873645893</v>
      </c>
      <c r="R799" s="243">
        <f t="shared" si="166"/>
        <v>2299.2009077762496</v>
      </c>
      <c r="S799" s="243">
        <f t="shared" si="167"/>
        <v>7266.8066953039988</v>
      </c>
      <c r="T799" s="243">
        <f t="shared" si="168"/>
        <v>5677.8973381493752</v>
      </c>
      <c r="AA799">
        <v>153</v>
      </c>
      <c r="AB799" t="s">
        <v>80</v>
      </c>
      <c r="AC799" t="s">
        <v>81</v>
      </c>
      <c r="AD799" t="s">
        <v>4</v>
      </c>
      <c r="AE799" t="s">
        <v>1121</v>
      </c>
      <c r="AF799">
        <v>11.264926929375578</v>
      </c>
      <c r="AG799">
        <v>0</v>
      </c>
      <c r="AH799">
        <v>530</v>
      </c>
      <c r="AI799" s="600" t="s">
        <v>0</v>
      </c>
      <c r="AJ799" s="600" t="s">
        <v>1933</v>
      </c>
      <c r="AK799" s="600" t="s">
        <v>3301</v>
      </c>
      <c r="AL799" t="s">
        <v>39</v>
      </c>
      <c r="AM799" s="314">
        <v>0</v>
      </c>
      <c r="AN799" s="314">
        <v>0</v>
      </c>
      <c r="AO799" s="314">
        <v>0</v>
      </c>
      <c r="AP799" s="314">
        <v>0</v>
      </c>
      <c r="AQ799" s="314">
        <v>0</v>
      </c>
      <c r="AR799" s="314">
        <v>0</v>
      </c>
      <c r="AS799" s="314">
        <v>0</v>
      </c>
      <c r="AT799" s="314">
        <v>0</v>
      </c>
      <c r="AU799" s="314">
        <v>2018.1866873645893</v>
      </c>
      <c r="AV799" s="314">
        <v>2299.2009077762496</v>
      </c>
      <c r="AW799" s="314">
        <v>7266.8066953039988</v>
      </c>
      <c r="AX799">
        <v>5677.8973381493752</v>
      </c>
    </row>
    <row r="800" spans="1:50" x14ac:dyDescent="0.35">
      <c r="A800">
        <v>533</v>
      </c>
      <c r="B800" t="s">
        <v>0</v>
      </c>
      <c r="C800" t="s">
        <v>1933</v>
      </c>
      <c r="D800" t="s">
        <v>3301</v>
      </c>
      <c r="E800" t="s">
        <v>42</v>
      </c>
      <c r="F800">
        <v>3713</v>
      </c>
      <c r="G800">
        <v>3730</v>
      </c>
      <c r="H800">
        <v>3730</v>
      </c>
      <c r="I800">
        <v>3730</v>
      </c>
      <c r="J800">
        <v>14903</v>
      </c>
      <c r="K800" s="7">
        <f t="shared" ref="K800" si="169">INDEX($AF$4:$AF$2000,MATCH(A800,$AA$4:$AA$2000,0))</f>
        <v>2</v>
      </c>
      <c r="L800" s="7">
        <f t="shared" ref="L800" si="170">INDEX($AG$4:$AG$2000,MATCH(A800,$AA$4:$AA$2000,0))</f>
        <v>0</v>
      </c>
      <c r="M800" s="243">
        <f t="shared" si="162"/>
        <v>0</v>
      </c>
      <c r="N800" s="243">
        <f>INDEX($AN$4:$AN21696,MATCH($A800,$AH$4:$AH$2000,0))</f>
        <v>0</v>
      </c>
      <c r="O800" s="243">
        <f t="shared" si="163"/>
        <v>0</v>
      </c>
      <c r="P800" s="243">
        <f t="shared" si="164"/>
        <v>0</v>
      </c>
      <c r="Q800" s="243">
        <f>INDEX($AU$4:$AU$2000,MATCH($A800,$AH$4:$AH$2000,0))</f>
        <v>5997.1365663567221</v>
      </c>
      <c r="R800" s="243">
        <f t="shared" si="166"/>
        <v>6024.5945037733836</v>
      </c>
      <c r="S800" s="243">
        <f t="shared" si="167"/>
        <v>6024.5945037733836</v>
      </c>
      <c r="T800" s="243">
        <f t="shared" si="168"/>
        <v>6024.5945037733836</v>
      </c>
      <c r="AA800">
        <v>154</v>
      </c>
      <c r="AB800" t="s">
        <v>80</v>
      </c>
      <c r="AC800" t="s">
        <v>81</v>
      </c>
      <c r="AD800" t="s">
        <v>4</v>
      </c>
      <c r="AE800" t="s">
        <v>1122</v>
      </c>
      <c r="AF800">
        <v>11.264926929375578</v>
      </c>
      <c r="AG800">
        <v>0</v>
      </c>
      <c r="AH800">
        <v>533</v>
      </c>
      <c r="AI800" t="s">
        <v>0</v>
      </c>
      <c r="AJ800" t="s">
        <v>1933</v>
      </c>
      <c r="AK800" t="s">
        <v>3301</v>
      </c>
      <c r="AL800" t="s">
        <v>42</v>
      </c>
      <c r="AM800" s="314">
        <v>0</v>
      </c>
      <c r="AN800" s="314">
        <v>0</v>
      </c>
      <c r="AO800" s="314">
        <v>0</v>
      </c>
      <c r="AP800" s="314">
        <v>0</v>
      </c>
      <c r="AQ800" s="314">
        <v>0</v>
      </c>
      <c r="AR800" s="314">
        <v>0</v>
      </c>
      <c r="AS800" s="314">
        <v>0</v>
      </c>
      <c r="AT800" s="314">
        <v>0</v>
      </c>
      <c r="AU800" s="314">
        <v>5997.1365663567221</v>
      </c>
      <c r="AV800" s="314">
        <v>6024.5945037733836</v>
      </c>
      <c r="AW800" s="314">
        <v>6024.5945037733836</v>
      </c>
      <c r="AX800">
        <v>6024.5945037733836</v>
      </c>
    </row>
    <row r="801" spans="13:33" x14ac:dyDescent="0.35">
      <c r="M801" s="243"/>
      <c r="N801" s="243"/>
      <c r="O801" s="243"/>
      <c r="P801" s="243"/>
      <c r="Q801" s="243"/>
      <c r="R801" s="243"/>
      <c r="S801" s="243"/>
      <c r="T801" s="243"/>
      <c r="AA801">
        <v>48</v>
      </c>
      <c r="AB801" t="s">
        <v>80</v>
      </c>
      <c r="AC801" t="s">
        <v>81</v>
      </c>
      <c r="AD801" t="s">
        <v>100</v>
      </c>
      <c r="AE801" t="s">
        <v>1123</v>
      </c>
      <c r="AF801">
        <v>10</v>
      </c>
      <c r="AG801">
        <v>0</v>
      </c>
    </row>
    <row r="802" spans="13:33" x14ac:dyDescent="0.35">
      <c r="M802" s="243"/>
      <c r="N802" s="243"/>
      <c r="O802" s="243"/>
      <c r="P802" s="243"/>
      <c r="Q802" s="243"/>
      <c r="R802" s="243"/>
      <c r="S802" s="243"/>
      <c r="T802" s="243"/>
      <c r="AA802">
        <v>168</v>
      </c>
      <c r="AB802" t="s">
        <v>80</v>
      </c>
      <c r="AC802" t="s">
        <v>81</v>
      </c>
      <c r="AD802" t="s">
        <v>4</v>
      </c>
      <c r="AE802" t="s">
        <v>1124</v>
      </c>
      <c r="AF802">
        <v>15</v>
      </c>
      <c r="AG802">
        <v>0</v>
      </c>
    </row>
    <row r="803" spans="13:33" x14ac:dyDescent="0.35">
      <c r="M803" s="243"/>
      <c r="N803" s="243"/>
      <c r="O803" s="243"/>
      <c r="P803" s="243"/>
      <c r="Q803" s="243"/>
      <c r="R803" s="243"/>
      <c r="S803" s="243"/>
      <c r="T803" s="243"/>
      <c r="AA803">
        <v>169</v>
      </c>
      <c r="AB803" t="s">
        <v>80</v>
      </c>
      <c r="AC803" t="s">
        <v>81</v>
      </c>
      <c r="AD803" t="s">
        <v>4</v>
      </c>
      <c r="AE803" t="s">
        <v>1125</v>
      </c>
      <c r="AF803">
        <v>15</v>
      </c>
      <c r="AG803">
        <v>0</v>
      </c>
    </row>
    <row r="804" spans="13:33" x14ac:dyDescent="0.35">
      <c r="M804" s="243"/>
      <c r="N804" s="243"/>
      <c r="O804" s="243"/>
      <c r="P804" s="243"/>
      <c r="Q804" s="243"/>
      <c r="R804" s="243"/>
      <c r="S804" s="243"/>
      <c r="T804" s="243"/>
      <c r="AA804">
        <v>91</v>
      </c>
      <c r="AB804" t="s">
        <v>80</v>
      </c>
      <c r="AC804" t="s">
        <v>81</v>
      </c>
      <c r="AD804" t="s">
        <v>100</v>
      </c>
      <c r="AE804" t="s">
        <v>1126</v>
      </c>
      <c r="AF804">
        <v>6</v>
      </c>
      <c r="AG804">
        <v>0</v>
      </c>
    </row>
    <row r="805" spans="13:33" x14ac:dyDescent="0.35">
      <c r="M805" s="243"/>
      <c r="N805" s="243"/>
      <c r="O805" s="243"/>
      <c r="P805" s="243"/>
      <c r="Q805" s="243"/>
      <c r="R805" s="243"/>
      <c r="S805" s="243"/>
      <c r="T805" s="243"/>
      <c r="AA805">
        <v>88</v>
      </c>
      <c r="AB805" t="s">
        <v>80</v>
      </c>
      <c r="AC805" t="s">
        <v>81</v>
      </c>
      <c r="AD805" t="s">
        <v>100</v>
      </c>
      <c r="AE805" t="s">
        <v>1127</v>
      </c>
      <c r="AF805">
        <v>6</v>
      </c>
      <c r="AG805">
        <v>0</v>
      </c>
    </row>
    <row r="806" spans="13:33" x14ac:dyDescent="0.35">
      <c r="M806" s="243"/>
      <c r="N806" s="243"/>
      <c r="O806" s="243"/>
      <c r="P806" s="243"/>
      <c r="Q806" s="243"/>
      <c r="R806" s="243"/>
      <c r="S806" s="243"/>
      <c r="T806" s="243"/>
      <c r="AA806">
        <v>432</v>
      </c>
      <c r="AB806" t="s">
        <v>80</v>
      </c>
      <c r="AC806" t="s">
        <v>1032</v>
      </c>
      <c r="AD806" t="s">
        <v>100</v>
      </c>
      <c r="AE806" t="s">
        <v>1123</v>
      </c>
      <c r="AF806">
        <v>10</v>
      </c>
    </row>
    <row r="807" spans="13:33" x14ac:dyDescent="0.35">
      <c r="M807" s="243"/>
      <c r="N807" s="243"/>
      <c r="O807" s="243"/>
      <c r="P807" s="243"/>
      <c r="Q807" s="243"/>
      <c r="R807" s="243"/>
      <c r="S807" s="243"/>
      <c r="T807" s="243"/>
      <c r="AA807">
        <v>453</v>
      </c>
      <c r="AB807" t="s">
        <v>80</v>
      </c>
      <c r="AC807" t="s">
        <v>1032</v>
      </c>
      <c r="AD807" t="s">
        <v>4</v>
      </c>
      <c r="AE807" t="s">
        <v>1128</v>
      </c>
      <c r="AF807">
        <v>11.264926929375578</v>
      </c>
    </row>
    <row r="808" spans="13:33" x14ac:dyDescent="0.35">
      <c r="M808" s="243"/>
      <c r="N808" s="243"/>
      <c r="O808" s="243"/>
      <c r="P808" s="243"/>
      <c r="Q808" s="243"/>
      <c r="R808" s="243"/>
      <c r="S808" s="243"/>
      <c r="T808" s="243"/>
      <c r="AA808">
        <v>454</v>
      </c>
      <c r="AB808" t="s">
        <v>80</v>
      </c>
      <c r="AC808" t="s">
        <v>1032</v>
      </c>
      <c r="AD808" t="s">
        <v>4</v>
      </c>
      <c r="AE808" t="s">
        <v>1129</v>
      </c>
      <c r="AF808">
        <v>11.264926929375578</v>
      </c>
    </row>
    <row r="809" spans="13:33" x14ac:dyDescent="0.35">
      <c r="M809" s="243"/>
      <c r="N809" s="243"/>
      <c r="O809" s="243"/>
      <c r="P809" s="243"/>
      <c r="Q809" s="243"/>
      <c r="R809" s="243"/>
      <c r="S809" s="243"/>
      <c r="T809" s="243"/>
      <c r="AA809">
        <v>461</v>
      </c>
      <c r="AB809" t="s">
        <v>80</v>
      </c>
      <c r="AC809" t="s">
        <v>1032</v>
      </c>
      <c r="AD809" t="s">
        <v>4</v>
      </c>
      <c r="AE809" t="s">
        <v>1130</v>
      </c>
      <c r="AF809">
        <v>15</v>
      </c>
    </row>
    <row r="810" spans="13:33" x14ac:dyDescent="0.35">
      <c r="M810" s="243"/>
      <c r="N810" s="243"/>
      <c r="O810" s="243"/>
      <c r="P810" s="243"/>
      <c r="Q810" s="243"/>
      <c r="R810" s="243"/>
      <c r="S810" s="243"/>
      <c r="T810" s="243"/>
      <c r="AA810">
        <v>462</v>
      </c>
      <c r="AB810" t="s">
        <v>80</v>
      </c>
      <c r="AC810" t="s">
        <v>1032</v>
      </c>
      <c r="AD810" t="s">
        <v>4</v>
      </c>
      <c r="AE810" t="s">
        <v>1131</v>
      </c>
      <c r="AF810">
        <v>15</v>
      </c>
    </row>
    <row r="811" spans="13:33" x14ac:dyDescent="0.35">
      <c r="M811" s="243"/>
      <c r="N811" s="243"/>
      <c r="O811" s="243"/>
      <c r="P811" s="243"/>
      <c r="Q811" s="243"/>
      <c r="R811" s="243"/>
      <c r="S811" s="243"/>
      <c r="T811" s="243"/>
      <c r="AA811">
        <v>366</v>
      </c>
      <c r="AB811" t="s">
        <v>80</v>
      </c>
      <c r="AC811" t="s">
        <v>1054</v>
      </c>
      <c r="AD811" t="s">
        <v>100</v>
      </c>
      <c r="AE811" t="s">
        <v>1123</v>
      </c>
      <c r="AF811">
        <v>10</v>
      </c>
    </row>
    <row r="812" spans="13:33" x14ac:dyDescent="0.35">
      <c r="M812" s="243"/>
      <c r="N812" s="243"/>
      <c r="O812" s="243"/>
      <c r="P812" s="243"/>
      <c r="Q812" s="243"/>
      <c r="R812" s="243"/>
      <c r="S812" s="243"/>
      <c r="T812" s="243"/>
      <c r="AA812">
        <v>378</v>
      </c>
      <c r="AB812" t="s">
        <v>80</v>
      </c>
      <c r="AC812" t="s">
        <v>1054</v>
      </c>
      <c r="AD812" t="s">
        <v>4</v>
      </c>
      <c r="AE812" t="s">
        <v>1120</v>
      </c>
      <c r="AF812">
        <v>11.264926929375578</v>
      </c>
    </row>
    <row r="813" spans="13:33" x14ac:dyDescent="0.35">
      <c r="M813" s="243"/>
      <c r="N813" s="243"/>
      <c r="O813" s="243"/>
      <c r="P813" s="243"/>
      <c r="Q813" s="243"/>
      <c r="R813" s="243"/>
      <c r="S813" s="243"/>
      <c r="T813" s="243"/>
      <c r="AA813">
        <v>377</v>
      </c>
      <c r="AB813" t="s">
        <v>80</v>
      </c>
      <c r="AC813" t="s">
        <v>1054</v>
      </c>
      <c r="AD813" t="s">
        <v>4</v>
      </c>
      <c r="AE813" t="s">
        <v>1937</v>
      </c>
      <c r="AF813">
        <v>11.264926929375578</v>
      </c>
    </row>
    <row r="814" spans="13:33" x14ac:dyDescent="0.35">
      <c r="M814" s="243"/>
      <c r="N814" s="243"/>
      <c r="O814" s="243"/>
      <c r="P814" s="243"/>
      <c r="Q814" s="243"/>
      <c r="R814" s="243"/>
      <c r="S814" s="243"/>
      <c r="T814" s="243"/>
      <c r="AA814">
        <v>380</v>
      </c>
      <c r="AB814" t="s">
        <v>80</v>
      </c>
      <c r="AC814" t="s">
        <v>1054</v>
      </c>
      <c r="AD814" t="s">
        <v>4</v>
      </c>
      <c r="AE814" t="s">
        <v>1124</v>
      </c>
      <c r="AF814">
        <v>15</v>
      </c>
    </row>
    <row r="815" spans="13:33" x14ac:dyDescent="0.35">
      <c r="M815" s="243"/>
      <c r="N815" s="243"/>
      <c r="O815" s="243"/>
      <c r="P815" s="243"/>
      <c r="Q815" s="243"/>
      <c r="R815" s="243"/>
      <c r="S815" s="243"/>
      <c r="T815" s="243"/>
      <c r="AA815">
        <v>381</v>
      </c>
      <c r="AB815" t="s">
        <v>80</v>
      </c>
      <c r="AC815" t="s">
        <v>1054</v>
      </c>
      <c r="AD815" t="s">
        <v>4</v>
      </c>
      <c r="AE815" t="s">
        <v>1125</v>
      </c>
      <c r="AF815">
        <v>15</v>
      </c>
    </row>
    <row r="816" spans="13:33" x14ac:dyDescent="0.35">
      <c r="M816" s="243"/>
      <c r="N816" s="243"/>
      <c r="O816" s="243"/>
      <c r="P816" s="243"/>
      <c r="Q816" s="243"/>
      <c r="R816" s="243"/>
      <c r="S816" s="243"/>
      <c r="T816" s="243"/>
      <c r="AA816">
        <v>697</v>
      </c>
      <c r="AB816" t="s">
        <v>0</v>
      </c>
      <c r="AC816" t="s">
        <v>1933</v>
      </c>
      <c r="AD816" t="s">
        <v>1009</v>
      </c>
      <c r="AE816" t="s">
        <v>1751</v>
      </c>
      <c r="AF816">
        <v>10</v>
      </c>
      <c r="AG816">
        <v>0</v>
      </c>
    </row>
    <row r="817" spans="13:33" x14ac:dyDescent="0.35">
      <c r="M817" s="243"/>
      <c r="N817" s="243"/>
      <c r="O817" s="243"/>
      <c r="P817" s="243"/>
      <c r="Q817" s="243"/>
      <c r="R817" s="243"/>
      <c r="S817" s="243"/>
      <c r="T817" s="243"/>
      <c r="AA817">
        <v>676</v>
      </c>
      <c r="AB817" t="s">
        <v>0</v>
      </c>
      <c r="AC817" t="s">
        <v>1933</v>
      </c>
      <c r="AD817" t="s">
        <v>1009</v>
      </c>
      <c r="AE817" t="s">
        <v>1801</v>
      </c>
      <c r="AF817">
        <v>9</v>
      </c>
      <c r="AG817">
        <v>0</v>
      </c>
    </row>
    <row r="818" spans="13:33" x14ac:dyDescent="0.35">
      <c r="M818" s="243"/>
      <c r="N818" s="243"/>
      <c r="O818" s="243"/>
      <c r="P818" s="243"/>
      <c r="Q818" s="243"/>
      <c r="R818" s="243"/>
      <c r="S818" s="243"/>
      <c r="T818" s="243"/>
      <c r="AA818">
        <v>698</v>
      </c>
      <c r="AB818" t="s">
        <v>0</v>
      </c>
      <c r="AC818" t="s">
        <v>1933</v>
      </c>
      <c r="AD818" t="s">
        <v>1009</v>
      </c>
      <c r="AE818" t="s">
        <v>39</v>
      </c>
      <c r="AF818">
        <v>10</v>
      </c>
      <c r="AG818">
        <v>0</v>
      </c>
    </row>
    <row r="819" spans="13:33" x14ac:dyDescent="0.35">
      <c r="M819" s="243"/>
      <c r="N819" s="243"/>
      <c r="O819" s="243"/>
      <c r="P819" s="243"/>
      <c r="Q819" s="243"/>
      <c r="R819" s="243"/>
      <c r="S819" s="243"/>
      <c r="T819" s="243"/>
      <c r="AA819">
        <v>677</v>
      </c>
      <c r="AB819" t="s">
        <v>0</v>
      </c>
      <c r="AC819" t="s">
        <v>1933</v>
      </c>
      <c r="AD819" t="s">
        <v>1009</v>
      </c>
      <c r="AE819" t="s">
        <v>1802</v>
      </c>
      <c r="AF819">
        <v>9</v>
      </c>
      <c r="AG819">
        <v>0</v>
      </c>
    </row>
    <row r="820" spans="13:33" x14ac:dyDescent="0.35">
      <c r="M820" s="243"/>
      <c r="N820" s="243"/>
      <c r="O820" s="243"/>
      <c r="P820" s="243"/>
      <c r="Q820" s="243"/>
      <c r="R820" s="243"/>
      <c r="S820" s="243"/>
      <c r="T820" s="243"/>
      <c r="AA820">
        <v>636</v>
      </c>
      <c r="AB820" t="s">
        <v>0</v>
      </c>
      <c r="AC820" t="s">
        <v>1933</v>
      </c>
      <c r="AD820" t="s">
        <v>1009</v>
      </c>
      <c r="AE820" t="s">
        <v>1803</v>
      </c>
      <c r="AF820">
        <v>15</v>
      </c>
      <c r="AG820">
        <v>0</v>
      </c>
    </row>
    <row r="821" spans="13:33" x14ac:dyDescent="0.35">
      <c r="M821" s="243"/>
      <c r="N821" s="243"/>
      <c r="O821" s="243"/>
      <c r="P821" s="243"/>
      <c r="Q821" s="243"/>
      <c r="R821" s="243"/>
      <c r="S821" s="243"/>
      <c r="T821" s="243"/>
      <c r="AA821">
        <v>692</v>
      </c>
      <c r="AB821" t="s">
        <v>0</v>
      </c>
      <c r="AC821" t="s">
        <v>1933</v>
      </c>
      <c r="AD821" t="s">
        <v>1009</v>
      </c>
      <c r="AE821" t="s">
        <v>1804</v>
      </c>
      <c r="AF821">
        <v>25</v>
      </c>
      <c r="AG821">
        <v>0</v>
      </c>
    </row>
    <row r="822" spans="13:33" x14ac:dyDescent="0.35">
      <c r="M822" s="243"/>
      <c r="N822" s="243"/>
      <c r="O822" s="243"/>
      <c r="P822" s="243"/>
      <c r="Q822" s="243"/>
      <c r="R822" s="243"/>
      <c r="S822" s="243"/>
      <c r="T822" s="243"/>
      <c r="AA822">
        <v>694</v>
      </c>
      <c r="AB822" t="s">
        <v>0</v>
      </c>
      <c r="AC822" t="s">
        <v>1933</v>
      </c>
      <c r="AD822" t="s">
        <v>1009</v>
      </c>
      <c r="AE822" t="s">
        <v>1805</v>
      </c>
      <c r="AF822">
        <v>25</v>
      </c>
      <c r="AG822">
        <v>0</v>
      </c>
    </row>
    <row r="823" spans="13:33" x14ac:dyDescent="0.35">
      <c r="M823" s="243"/>
      <c r="N823" s="243"/>
      <c r="O823" s="243"/>
      <c r="P823" s="243"/>
      <c r="Q823" s="243"/>
      <c r="R823" s="243"/>
      <c r="S823" s="243"/>
      <c r="T823" s="243"/>
      <c r="AA823">
        <v>662</v>
      </c>
      <c r="AB823" t="s">
        <v>0</v>
      </c>
      <c r="AC823" t="s">
        <v>1933</v>
      </c>
      <c r="AD823" t="s">
        <v>1009</v>
      </c>
      <c r="AE823" t="s">
        <v>1806</v>
      </c>
      <c r="AF823">
        <v>25</v>
      </c>
      <c r="AG823">
        <v>0</v>
      </c>
    </row>
    <row r="824" spans="13:33" x14ac:dyDescent="0.35">
      <c r="M824" s="243"/>
      <c r="N824" s="243"/>
      <c r="O824" s="243"/>
      <c r="P824" s="243"/>
      <c r="Q824" s="243"/>
      <c r="R824" s="243"/>
      <c r="S824" s="243"/>
      <c r="T824" s="243"/>
      <c r="AA824">
        <v>637</v>
      </c>
      <c r="AB824" t="s">
        <v>0</v>
      </c>
      <c r="AC824" t="s">
        <v>1933</v>
      </c>
      <c r="AD824" t="s">
        <v>1009</v>
      </c>
      <c r="AE824" t="s">
        <v>1807</v>
      </c>
      <c r="AF824">
        <v>15</v>
      </c>
      <c r="AG824">
        <v>0</v>
      </c>
    </row>
    <row r="825" spans="13:33" x14ac:dyDescent="0.35">
      <c r="M825" s="243"/>
      <c r="N825" s="243"/>
      <c r="O825" s="243"/>
      <c r="P825" s="243"/>
      <c r="Q825" s="243"/>
      <c r="R825" s="243"/>
      <c r="S825" s="243"/>
      <c r="T825" s="243"/>
      <c r="AA825">
        <v>693</v>
      </c>
      <c r="AB825" t="s">
        <v>0</v>
      </c>
      <c r="AC825" t="s">
        <v>1933</v>
      </c>
      <c r="AD825" t="s">
        <v>1009</v>
      </c>
      <c r="AE825" t="s">
        <v>1808</v>
      </c>
      <c r="AF825">
        <v>25</v>
      </c>
      <c r="AG825">
        <v>0</v>
      </c>
    </row>
    <row r="826" spans="13:33" x14ac:dyDescent="0.35">
      <c r="M826" s="243"/>
      <c r="N826" s="243"/>
      <c r="O826" s="243"/>
      <c r="P826" s="243"/>
      <c r="Q826" s="243"/>
      <c r="R826" s="243"/>
      <c r="S826" s="243"/>
      <c r="T826" s="243"/>
      <c r="AA826">
        <v>695</v>
      </c>
      <c r="AB826" t="s">
        <v>0</v>
      </c>
      <c r="AC826" t="s">
        <v>1933</v>
      </c>
      <c r="AD826" t="s">
        <v>1009</v>
      </c>
      <c r="AE826" t="s">
        <v>1809</v>
      </c>
      <c r="AF826">
        <v>25</v>
      </c>
      <c r="AG826">
        <v>0</v>
      </c>
    </row>
    <row r="827" spans="13:33" x14ac:dyDescent="0.35">
      <c r="M827" s="243"/>
      <c r="N827" s="243"/>
      <c r="O827" s="243"/>
      <c r="P827" s="243"/>
      <c r="Q827" s="243"/>
      <c r="R827" s="243"/>
      <c r="S827" s="243"/>
      <c r="T827" s="243"/>
      <c r="AA827">
        <v>663</v>
      </c>
      <c r="AB827" t="s">
        <v>0</v>
      </c>
      <c r="AC827" t="s">
        <v>1933</v>
      </c>
      <c r="AD827" t="s">
        <v>1009</v>
      </c>
      <c r="AE827" t="s">
        <v>1810</v>
      </c>
      <c r="AF827">
        <v>25</v>
      </c>
      <c r="AG827">
        <v>0</v>
      </c>
    </row>
    <row r="828" spans="13:33" x14ac:dyDescent="0.35">
      <c r="M828" s="243"/>
      <c r="N828" s="243"/>
      <c r="O828" s="243"/>
      <c r="P828" s="243"/>
      <c r="Q828" s="243"/>
      <c r="R828" s="243"/>
      <c r="S828" s="243"/>
      <c r="T828" s="243"/>
      <c r="AA828">
        <v>645</v>
      </c>
      <c r="AB828" t="s">
        <v>0</v>
      </c>
      <c r="AC828" t="s">
        <v>1933</v>
      </c>
      <c r="AD828" t="s">
        <v>1009</v>
      </c>
      <c r="AE828" t="s">
        <v>1811</v>
      </c>
      <c r="AF828">
        <v>20</v>
      </c>
      <c r="AG828">
        <v>0</v>
      </c>
    </row>
    <row r="829" spans="13:33" x14ac:dyDescent="0.35">
      <c r="M829" s="243"/>
      <c r="N829" s="243"/>
      <c r="O829" s="243"/>
      <c r="P829" s="243"/>
      <c r="Q829" s="243"/>
      <c r="R829" s="243"/>
      <c r="S829" s="243"/>
      <c r="T829" s="243"/>
      <c r="AA829">
        <v>690</v>
      </c>
      <c r="AB829" t="s">
        <v>0</v>
      </c>
      <c r="AC829" t="s">
        <v>1933</v>
      </c>
      <c r="AD829" t="s">
        <v>1009</v>
      </c>
      <c r="AE829" t="s">
        <v>1812</v>
      </c>
      <c r="AF829">
        <v>5</v>
      </c>
      <c r="AG829">
        <v>0</v>
      </c>
    </row>
    <row r="830" spans="13:33" x14ac:dyDescent="0.35">
      <c r="M830" s="243"/>
      <c r="N830" s="243"/>
      <c r="O830" s="243"/>
      <c r="P830" s="243"/>
      <c r="Q830" s="243"/>
      <c r="R830" s="243"/>
      <c r="S830" s="243"/>
      <c r="T830" s="243"/>
      <c r="AA830">
        <v>644</v>
      </c>
      <c r="AB830" t="s">
        <v>0</v>
      </c>
      <c r="AC830" t="s">
        <v>1933</v>
      </c>
      <c r="AD830" t="s">
        <v>1009</v>
      </c>
      <c r="AE830" t="s">
        <v>1070</v>
      </c>
      <c r="AF830">
        <v>25</v>
      </c>
      <c r="AG830">
        <v>0</v>
      </c>
    </row>
    <row r="831" spans="13:33" x14ac:dyDescent="0.35">
      <c r="M831" s="243"/>
      <c r="N831" s="243"/>
      <c r="O831" s="243"/>
      <c r="P831" s="243"/>
      <c r="Q831" s="243"/>
      <c r="R831" s="243"/>
      <c r="S831" s="243"/>
      <c r="T831" s="243"/>
      <c r="AA831">
        <v>691</v>
      </c>
      <c r="AB831" t="s">
        <v>0</v>
      </c>
      <c r="AC831" t="s">
        <v>1933</v>
      </c>
      <c r="AD831" t="s">
        <v>1009</v>
      </c>
      <c r="AE831" t="s">
        <v>1853</v>
      </c>
      <c r="AF831">
        <v>5</v>
      </c>
      <c r="AG831">
        <v>0</v>
      </c>
    </row>
    <row r="832" spans="13:33" x14ac:dyDescent="0.35">
      <c r="M832" s="243"/>
      <c r="N832" s="243"/>
      <c r="O832" s="243"/>
      <c r="P832" s="243"/>
      <c r="Q832" s="243"/>
      <c r="R832" s="243"/>
      <c r="S832" s="243"/>
      <c r="T832" s="243"/>
      <c r="AA832">
        <v>639</v>
      </c>
      <c r="AB832" t="s">
        <v>0</v>
      </c>
      <c r="AC832" t="s">
        <v>1933</v>
      </c>
      <c r="AD832" t="s">
        <v>1009</v>
      </c>
      <c r="AE832" t="s">
        <v>1814</v>
      </c>
      <c r="AF832">
        <v>15</v>
      </c>
      <c r="AG832">
        <v>0</v>
      </c>
    </row>
    <row r="833" spans="13:33" x14ac:dyDescent="0.35">
      <c r="M833" s="243"/>
      <c r="N833" s="243"/>
      <c r="O833" s="243"/>
      <c r="P833" s="243"/>
      <c r="Q833" s="243"/>
      <c r="R833" s="243"/>
      <c r="S833" s="243"/>
      <c r="T833" s="243"/>
      <c r="AA833">
        <v>641</v>
      </c>
      <c r="AB833" t="s">
        <v>0</v>
      </c>
      <c r="AC833" t="s">
        <v>1933</v>
      </c>
      <c r="AD833" t="s">
        <v>1009</v>
      </c>
      <c r="AE833" t="s">
        <v>1815</v>
      </c>
      <c r="AF833">
        <v>15</v>
      </c>
      <c r="AG833">
        <v>0</v>
      </c>
    </row>
    <row r="834" spans="13:33" x14ac:dyDescent="0.35">
      <c r="M834" s="243"/>
      <c r="N834" s="243"/>
      <c r="O834" s="243"/>
      <c r="P834" s="243"/>
      <c r="Q834" s="243"/>
      <c r="R834" s="243"/>
      <c r="S834" s="243"/>
      <c r="T834" s="243"/>
      <c r="AA834">
        <v>640</v>
      </c>
      <c r="AB834" t="s">
        <v>0</v>
      </c>
      <c r="AC834" t="s">
        <v>1933</v>
      </c>
      <c r="AD834" t="s">
        <v>1009</v>
      </c>
      <c r="AE834" t="s">
        <v>1816</v>
      </c>
      <c r="AF834">
        <v>15</v>
      </c>
      <c r="AG834">
        <v>0</v>
      </c>
    </row>
    <row r="835" spans="13:33" x14ac:dyDescent="0.35">
      <c r="M835" s="243"/>
      <c r="N835" s="243"/>
      <c r="O835" s="243"/>
      <c r="P835" s="243"/>
      <c r="Q835" s="243"/>
      <c r="R835" s="243"/>
      <c r="S835" s="243"/>
      <c r="T835" s="243"/>
      <c r="AA835">
        <v>673</v>
      </c>
      <c r="AB835" t="s">
        <v>0</v>
      </c>
      <c r="AC835" t="s">
        <v>1933</v>
      </c>
      <c r="AD835" t="s">
        <v>1009</v>
      </c>
      <c r="AE835" t="s">
        <v>1777</v>
      </c>
      <c r="AF835">
        <v>20</v>
      </c>
      <c r="AG835">
        <v>0</v>
      </c>
    </row>
    <row r="836" spans="13:33" x14ac:dyDescent="0.35">
      <c r="M836" s="243"/>
      <c r="N836" s="243"/>
      <c r="O836" s="243"/>
      <c r="P836" s="243"/>
      <c r="Q836" s="243"/>
      <c r="R836" s="243"/>
      <c r="S836" s="243"/>
      <c r="T836" s="243"/>
      <c r="AA836">
        <v>665</v>
      </c>
      <c r="AB836" t="s">
        <v>0</v>
      </c>
      <c r="AC836" t="s">
        <v>1933</v>
      </c>
      <c r="AD836" t="s">
        <v>1009</v>
      </c>
      <c r="AE836" t="s">
        <v>1783</v>
      </c>
      <c r="AF836">
        <v>20</v>
      </c>
      <c r="AG836">
        <v>0</v>
      </c>
    </row>
    <row r="837" spans="13:33" x14ac:dyDescent="0.35">
      <c r="M837" s="243"/>
      <c r="N837" s="243"/>
      <c r="O837" s="243"/>
      <c r="P837" s="243"/>
      <c r="Q837" s="243"/>
      <c r="R837" s="243"/>
      <c r="S837" s="243"/>
      <c r="T837" s="243"/>
      <c r="AA837">
        <v>667</v>
      </c>
      <c r="AB837" t="s">
        <v>0</v>
      </c>
      <c r="AC837" t="s">
        <v>1933</v>
      </c>
      <c r="AD837" t="s">
        <v>1009</v>
      </c>
      <c r="AE837" t="s">
        <v>1784</v>
      </c>
      <c r="AF837">
        <v>20</v>
      </c>
      <c r="AG837">
        <v>0</v>
      </c>
    </row>
    <row r="838" spans="13:33" x14ac:dyDescent="0.35">
      <c r="M838" s="243"/>
      <c r="N838" s="243"/>
      <c r="O838" s="243"/>
      <c r="P838" s="243"/>
      <c r="Q838" s="243"/>
      <c r="R838" s="243"/>
      <c r="S838" s="243"/>
      <c r="T838" s="243"/>
      <c r="AA838">
        <v>669</v>
      </c>
      <c r="AB838" t="s">
        <v>0</v>
      </c>
      <c r="AC838" t="s">
        <v>1933</v>
      </c>
      <c r="AD838" t="s">
        <v>1009</v>
      </c>
      <c r="AE838" t="s">
        <v>1785</v>
      </c>
      <c r="AF838">
        <v>20</v>
      </c>
      <c r="AG838">
        <v>0</v>
      </c>
    </row>
    <row r="839" spans="13:33" x14ac:dyDescent="0.35">
      <c r="M839" s="243"/>
      <c r="N839" s="243"/>
      <c r="O839" s="243"/>
      <c r="P839" s="243"/>
      <c r="Q839" s="243"/>
      <c r="R839" s="243"/>
      <c r="S839" s="243"/>
      <c r="T839" s="243"/>
      <c r="AA839">
        <v>671</v>
      </c>
      <c r="AB839" t="s">
        <v>0</v>
      </c>
      <c r="AC839" t="s">
        <v>1933</v>
      </c>
      <c r="AD839" t="s">
        <v>1009</v>
      </c>
      <c r="AE839" t="s">
        <v>1786</v>
      </c>
      <c r="AF839">
        <v>20</v>
      </c>
      <c r="AG839">
        <v>0</v>
      </c>
    </row>
    <row r="840" spans="13:33" x14ac:dyDescent="0.35">
      <c r="M840" s="243"/>
      <c r="N840" s="243"/>
      <c r="O840" s="243"/>
      <c r="P840" s="243"/>
      <c r="Q840" s="243"/>
      <c r="R840" s="243"/>
      <c r="S840" s="243"/>
      <c r="T840" s="243"/>
      <c r="AA840">
        <v>687</v>
      </c>
      <c r="AB840" t="s">
        <v>0</v>
      </c>
      <c r="AC840" t="s">
        <v>1933</v>
      </c>
      <c r="AD840" t="s">
        <v>1009</v>
      </c>
      <c r="AE840" t="s">
        <v>1854</v>
      </c>
      <c r="AF840">
        <v>10</v>
      </c>
      <c r="AG840">
        <v>0</v>
      </c>
    </row>
    <row r="841" spans="13:33" x14ac:dyDescent="0.35">
      <c r="M841" s="243"/>
      <c r="N841" s="243"/>
      <c r="O841" s="243"/>
      <c r="P841" s="243"/>
      <c r="Q841" s="243"/>
      <c r="R841" s="243"/>
      <c r="S841" s="243"/>
      <c r="T841" s="243"/>
      <c r="AA841">
        <v>685</v>
      </c>
      <c r="AB841" t="s">
        <v>0</v>
      </c>
      <c r="AC841" t="s">
        <v>1933</v>
      </c>
      <c r="AD841" t="s">
        <v>1009</v>
      </c>
      <c r="AE841" t="s">
        <v>1819</v>
      </c>
      <c r="AF841">
        <v>10</v>
      </c>
      <c r="AG841">
        <v>0</v>
      </c>
    </row>
    <row r="842" spans="13:33" x14ac:dyDescent="0.35">
      <c r="M842" s="243"/>
      <c r="N842" s="243"/>
      <c r="O842" s="243"/>
      <c r="P842" s="243"/>
      <c r="Q842" s="243"/>
      <c r="R842" s="243"/>
      <c r="S842" s="243"/>
      <c r="T842" s="243"/>
      <c r="AA842">
        <v>683</v>
      </c>
      <c r="AB842" t="s">
        <v>0</v>
      </c>
      <c r="AC842" t="s">
        <v>1933</v>
      </c>
      <c r="AD842" t="s">
        <v>1009</v>
      </c>
      <c r="AE842" t="s">
        <v>1820</v>
      </c>
      <c r="AF842">
        <v>10</v>
      </c>
      <c r="AG842">
        <v>0</v>
      </c>
    </row>
    <row r="843" spans="13:33" x14ac:dyDescent="0.35">
      <c r="M843" s="243"/>
      <c r="N843" s="243"/>
      <c r="O843" s="243"/>
      <c r="P843" s="243"/>
      <c r="Q843" s="243"/>
      <c r="R843" s="243"/>
      <c r="S843" s="243"/>
      <c r="T843" s="243"/>
      <c r="AA843">
        <v>684</v>
      </c>
      <c r="AB843" t="s">
        <v>0</v>
      </c>
      <c r="AC843" t="s">
        <v>1933</v>
      </c>
      <c r="AD843" t="s">
        <v>1009</v>
      </c>
      <c r="AE843" t="s">
        <v>1821</v>
      </c>
      <c r="AF843">
        <v>10</v>
      </c>
      <c r="AG843">
        <v>0</v>
      </c>
    </row>
    <row r="844" spans="13:33" x14ac:dyDescent="0.35">
      <c r="M844" s="243"/>
      <c r="N844" s="243"/>
      <c r="O844" s="243"/>
      <c r="P844" s="243"/>
      <c r="Q844" s="243"/>
      <c r="R844" s="243"/>
      <c r="S844" s="243"/>
      <c r="T844" s="243"/>
      <c r="AA844">
        <v>686</v>
      </c>
      <c r="AB844" t="s">
        <v>0</v>
      </c>
      <c r="AC844" t="s">
        <v>1933</v>
      </c>
      <c r="AD844" t="s">
        <v>1009</v>
      </c>
      <c r="AE844" t="s">
        <v>1822</v>
      </c>
      <c r="AF844">
        <v>10</v>
      </c>
      <c r="AG844">
        <v>0</v>
      </c>
    </row>
    <row r="845" spans="13:33" x14ac:dyDescent="0.35">
      <c r="M845" s="243"/>
      <c r="N845" s="243"/>
      <c r="O845" s="243"/>
      <c r="P845" s="243"/>
      <c r="Q845" s="243"/>
      <c r="R845" s="243"/>
      <c r="S845" s="243"/>
      <c r="T845" s="243"/>
      <c r="AA845">
        <v>657</v>
      </c>
      <c r="AB845" t="s">
        <v>0</v>
      </c>
      <c r="AC845" t="s">
        <v>1933</v>
      </c>
      <c r="AD845" t="s">
        <v>1009</v>
      </c>
      <c r="AE845" t="s">
        <v>1773</v>
      </c>
      <c r="AF845">
        <v>25</v>
      </c>
      <c r="AG845">
        <v>0</v>
      </c>
    </row>
    <row r="846" spans="13:33" x14ac:dyDescent="0.35">
      <c r="M846" s="243"/>
      <c r="N846" s="243"/>
      <c r="O846" s="243"/>
      <c r="P846" s="243"/>
      <c r="Q846" s="243"/>
      <c r="R846" s="243"/>
      <c r="S846" s="243"/>
      <c r="T846" s="243"/>
      <c r="AA846">
        <v>661</v>
      </c>
      <c r="AB846" t="s">
        <v>0</v>
      </c>
      <c r="AC846" t="s">
        <v>1933</v>
      </c>
      <c r="AD846" t="s">
        <v>1009</v>
      </c>
      <c r="AE846" t="s">
        <v>1823</v>
      </c>
      <c r="AF846">
        <v>25</v>
      </c>
      <c r="AG846">
        <v>0</v>
      </c>
    </row>
    <row r="847" spans="13:33" x14ac:dyDescent="0.35">
      <c r="M847" s="243"/>
      <c r="N847" s="243"/>
      <c r="O847" s="243"/>
      <c r="P847" s="243"/>
      <c r="Q847" s="243"/>
      <c r="R847" s="243"/>
      <c r="S847" s="243"/>
      <c r="T847" s="243"/>
      <c r="AA847">
        <v>659</v>
      </c>
      <c r="AB847" t="s">
        <v>0</v>
      </c>
      <c r="AC847" t="s">
        <v>1933</v>
      </c>
      <c r="AD847" t="s">
        <v>1009</v>
      </c>
      <c r="AE847" t="s">
        <v>1774</v>
      </c>
      <c r="AF847">
        <v>25</v>
      </c>
      <c r="AG847">
        <v>0</v>
      </c>
    </row>
    <row r="848" spans="13:33" x14ac:dyDescent="0.35">
      <c r="M848" s="243"/>
      <c r="N848" s="243"/>
      <c r="O848" s="243"/>
      <c r="P848" s="243"/>
      <c r="Q848" s="243"/>
      <c r="R848" s="243"/>
      <c r="S848" s="243"/>
      <c r="T848" s="243"/>
      <c r="AA848">
        <v>649</v>
      </c>
      <c r="AB848" t="s">
        <v>0</v>
      </c>
      <c r="AC848" t="s">
        <v>1933</v>
      </c>
      <c r="AD848" t="s">
        <v>1009</v>
      </c>
      <c r="AE848" t="s">
        <v>1775</v>
      </c>
      <c r="AF848">
        <v>25</v>
      </c>
      <c r="AG848">
        <v>0</v>
      </c>
    </row>
    <row r="849" spans="13:33" x14ac:dyDescent="0.35">
      <c r="M849" s="243"/>
      <c r="N849" s="243"/>
      <c r="O849" s="243"/>
      <c r="P849" s="243"/>
      <c r="Q849" s="243"/>
      <c r="R849" s="243"/>
      <c r="S849" s="243"/>
      <c r="T849" s="243"/>
      <c r="AA849">
        <v>653</v>
      </c>
      <c r="AB849" t="s">
        <v>0</v>
      </c>
      <c r="AC849" t="s">
        <v>1933</v>
      </c>
      <c r="AD849" t="s">
        <v>1009</v>
      </c>
      <c r="AE849" t="s">
        <v>1824</v>
      </c>
      <c r="AF849">
        <v>25</v>
      </c>
      <c r="AG849">
        <v>0</v>
      </c>
    </row>
    <row r="850" spans="13:33" x14ac:dyDescent="0.35">
      <c r="M850" s="243"/>
      <c r="N850" s="243"/>
      <c r="O850" s="243"/>
      <c r="P850" s="243"/>
      <c r="Q850" s="243"/>
      <c r="R850" s="243"/>
      <c r="S850" s="243"/>
      <c r="T850" s="243"/>
      <c r="AA850">
        <v>651</v>
      </c>
      <c r="AB850" t="s">
        <v>0</v>
      </c>
      <c r="AC850" t="s">
        <v>1933</v>
      </c>
      <c r="AD850" t="s">
        <v>1009</v>
      </c>
      <c r="AE850" t="s">
        <v>1776</v>
      </c>
      <c r="AF850">
        <v>25</v>
      </c>
      <c r="AG850">
        <v>0</v>
      </c>
    </row>
    <row r="851" spans="13:33" x14ac:dyDescent="0.35">
      <c r="M851" s="243"/>
      <c r="N851" s="243"/>
      <c r="O851" s="243"/>
      <c r="P851" s="243"/>
      <c r="Q851" s="243"/>
      <c r="R851" s="243"/>
      <c r="S851" s="243"/>
      <c r="T851" s="243"/>
      <c r="AA851">
        <v>656</v>
      </c>
      <c r="AB851" t="s">
        <v>0</v>
      </c>
      <c r="AC851" t="s">
        <v>1933</v>
      </c>
      <c r="AD851" t="s">
        <v>1009</v>
      </c>
      <c r="AE851" t="s">
        <v>1825</v>
      </c>
      <c r="AF851">
        <v>25</v>
      </c>
      <c r="AG851">
        <v>0</v>
      </c>
    </row>
    <row r="852" spans="13:33" x14ac:dyDescent="0.35">
      <c r="M852" s="243"/>
      <c r="N852" s="243"/>
      <c r="O852" s="243"/>
      <c r="P852" s="243"/>
      <c r="Q852" s="243"/>
      <c r="R852" s="243"/>
      <c r="S852" s="243"/>
      <c r="T852" s="243"/>
      <c r="AA852">
        <v>660</v>
      </c>
      <c r="AB852" t="s">
        <v>0</v>
      </c>
      <c r="AC852" t="s">
        <v>1933</v>
      </c>
      <c r="AD852" t="s">
        <v>1009</v>
      </c>
      <c r="AE852" t="s">
        <v>1826</v>
      </c>
      <c r="AF852">
        <v>25</v>
      </c>
      <c r="AG852">
        <v>0</v>
      </c>
    </row>
    <row r="853" spans="13:33" x14ac:dyDescent="0.35">
      <c r="M853" s="243"/>
      <c r="N853" s="243"/>
      <c r="O853" s="243"/>
      <c r="P853" s="243"/>
      <c r="Q853" s="243"/>
      <c r="R853" s="243"/>
      <c r="S853" s="243"/>
      <c r="T853" s="243"/>
      <c r="AA853">
        <v>658</v>
      </c>
      <c r="AB853" t="s">
        <v>0</v>
      </c>
      <c r="AC853" t="s">
        <v>1933</v>
      </c>
      <c r="AD853" t="s">
        <v>1009</v>
      </c>
      <c r="AE853" t="s">
        <v>1827</v>
      </c>
      <c r="AF853">
        <v>25</v>
      </c>
      <c r="AG853">
        <v>0</v>
      </c>
    </row>
    <row r="854" spans="13:33" x14ac:dyDescent="0.35">
      <c r="M854" s="243"/>
      <c r="N854" s="243"/>
      <c r="O854" s="243"/>
      <c r="P854" s="243"/>
      <c r="Q854" s="243"/>
      <c r="R854" s="243"/>
      <c r="S854" s="243"/>
      <c r="T854" s="243"/>
      <c r="AA854">
        <v>648</v>
      </c>
      <c r="AB854" t="s">
        <v>0</v>
      </c>
      <c r="AC854" t="s">
        <v>1933</v>
      </c>
      <c r="AD854" t="s">
        <v>1009</v>
      </c>
      <c r="AE854" t="s">
        <v>1828</v>
      </c>
      <c r="AF854">
        <v>25</v>
      </c>
      <c r="AG854">
        <v>0</v>
      </c>
    </row>
    <row r="855" spans="13:33" x14ac:dyDescent="0.35">
      <c r="M855" s="243"/>
      <c r="N855" s="243"/>
      <c r="O855" s="243"/>
      <c r="P855" s="243"/>
      <c r="Q855" s="243"/>
      <c r="R855" s="243"/>
      <c r="S855" s="243"/>
      <c r="T855" s="243"/>
      <c r="AA855">
        <v>652</v>
      </c>
      <c r="AB855" t="s">
        <v>0</v>
      </c>
      <c r="AC855" t="s">
        <v>1933</v>
      </c>
      <c r="AD855" t="s">
        <v>1009</v>
      </c>
      <c r="AE855" t="s">
        <v>1772</v>
      </c>
      <c r="AF855">
        <v>25</v>
      </c>
      <c r="AG855">
        <v>0</v>
      </c>
    </row>
    <row r="856" spans="13:33" x14ac:dyDescent="0.35">
      <c r="M856" s="243"/>
      <c r="N856" s="243"/>
      <c r="O856" s="243"/>
      <c r="P856" s="243"/>
      <c r="Q856" s="243"/>
      <c r="R856" s="243"/>
      <c r="S856" s="243"/>
      <c r="T856" s="243"/>
      <c r="AA856">
        <v>650</v>
      </c>
      <c r="AB856" t="s">
        <v>0</v>
      </c>
      <c r="AC856" t="s">
        <v>1933</v>
      </c>
      <c r="AD856" t="s">
        <v>1009</v>
      </c>
      <c r="AE856" t="s">
        <v>1829</v>
      </c>
      <c r="AF856">
        <v>25</v>
      </c>
      <c r="AG856">
        <v>0</v>
      </c>
    </row>
    <row r="857" spans="13:33" x14ac:dyDescent="0.35">
      <c r="M857" s="243"/>
      <c r="N857" s="243"/>
      <c r="O857" s="243"/>
      <c r="P857" s="243"/>
      <c r="Q857" s="243"/>
      <c r="R857" s="243"/>
      <c r="S857" s="243"/>
      <c r="T857" s="243"/>
      <c r="AA857">
        <v>672</v>
      </c>
      <c r="AB857" t="s">
        <v>0</v>
      </c>
      <c r="AC857" t="s">
        <v>1933</v>
      </c>
      <c r="AD857" t="s">
        <v>1009</v>
      </c>
      <c r="AE857" t="s">
        <v>1768</v>
      </c>
      <c r="AF857">
        <v>20</v>
      </c>
      <c r="AG857">
        <v>0</v>
      </c>
    </row>
    <row r="858" spans="13:33" x14ac:dyDescent="0.35">
      <c r="M858" s="243"/>
      <c r="N858" s="243"/>
      <c r="O858" s="243"/>
      <c r="P858" s="243"/>
      <c r="Q858" s="243"/>
      <c r="R858" s="243"/>
      <c r="S858" s="243"/>
      <c r="T858" s="243"/>
      <c r="AA858">
        <v>634</v>
      </c>
      <c r="AB858" t="s">
        <v>0</v>
      </c>
      <c r="AC858" t="s">
        <v>1933</v>
      </c>
      <c r="AD858" t="s">
        <v>1009</v>
      </c>
      <c r="AE858" t="s">
        <v>1855</v>
      </c>
      <c r="AF858">
        <v>20</v>
      </c>
      <c r="AG858">
        <v>0</v>
      </c>
    </row>
    <row r="859" spans="13:33" x14ac:dyDescent="0.35">
      <c r="M859" s="243"/>
      <c r="N859" s="243"/>
      <c r="O859" s="243"/>
      <c r="P859" s="243"/>
      <c r="Q859" s="243"/>
      <c r="R859" s="243"/>
      <c r="S859" s="243"/>
      <c r="T859" s="243"/>
      <c r="AA859">
        <v>633</v>
      </c>
      <c r="AB859" t="s">
        <v>0</v>
      </c>
      <c r="AC859" t="s">
        <v>1933</v>
      </c>
      <c r="AD859" t="s">
        <v>1009</v>
      </c>
      <c r="AE859" t="s">
        <v>1856</v>
      </c>
      <c r="AF859">
        <v>18</v>
      </c>
      <c r="AG859">
        <v>0</v>
      </c>
    </row>
    <row r="860" spans="13:33" x14ac:dyDescent="0.35">
      <c r="M860" s="243"/>
      <c r="N860" s="243"/>
      <c r="O860" s="243"/>
      <c r="P860" s="243"/>
      <c r="Q860" s="243"/>
      <c r="R860" s="243"/>
      <c r="S860" s="243"/>
      <c r="T860" s="243"/>
      <c r="AA860">
        <v>699</v>
      </c>
      <c r="AB860" t="s">
        <v>0</v>
      </c>
      <c r="AC860" t="s">
        <v>1933</v>
      </c>
      <c r="AD860" t="s">
        <v>1009</v>
      </c>
      <c r="AE860" t="s">
        <v>1833</v>
      </c>
      <c r="AF860">
        <v>10</v>
      </c>
      <c r="AG860">
        <v>0</v>
      </c>
    </row>
    <row r="861" spans="13:33" x14ac:dyDescent="0.35">
      <c r="M861" s="243"/>
      <c r="N861" s="243"/>
      <c r="O861" s="243"/>
      <c r="P861" s="243"/>
      <c r="Q861" s="243"/>
      <c r="R861" s="243"/>
      <c r="S861" s="243"/>
      <c r="T861" s="243"/>
      <c r="AA861">
        <v>700</v>
      </c>
      <c r="AB861" t="s">
        <v>0</v>
      </c>
      <c r="AC861" t="s">
        <v>1933</v>
      </c>
      <c r="AD861" t="s">
        <v>1009</v>
      </c>
      <c r="AE861" t="s">
        <v>1834</v>
      </c>
      <c r="AF861">
        <v>10</v>
      </c>
      <c r="AG861">
        <v>0</v>
      </c>
    </row>
    <row r="862" spans="13:33" x14ac:dyDescent="0.35">
      <c r="M862" s="243"/>
      <c r="N862" s="243"/>
      <c r="O862" s="243"/>
      <c r="P862" s="243"/>
      <c r="Q862" s="243"/>
      <c r="R862" s="243"/>
      <c r="S862" s="243"/>
      <c r="T862" s="243"/>
      <c r="AA862">
        <v>701</v>
      </c>
      <c r="AB862" t="s">
        <v>0</v>
      </c>
      <c r="AC862" t="s">
        <v>1933</v>
      </c>
      <c r="AD862" t="s">
        <v>1009</v>
      </c>
      <c r="AE862" t="s">
        <v>1835</v>
      </c>
      <c r="AF862">
        <v>10</v>
      </c>
      <c r="AG862">
        <v>0</v>
      </c>
    </row>
    <row r="863" spans="13:33" x14ac:dyDescent="0.35">
      <c r="M863" s="243"/>
      <c r="N863" s="243"/>
      <c r="O863" s="243"/>
      <c r="P863" s="243"/>
      <c r="Q863" s="243"/>
      <c r="R863" s="243"/>
      <c r="S863" s="243"/>
      <c r="T863" s="243"/>
      <c r="AA863">
        <v>702</v>
      </c>
      <c r="AB863" t="s">
        <v>0</v>
      </c>
      <c r="AC863" t="s">
        <v>1933</v>
      </c>
      <c r="AD863" t="s">
        <v>1009</v>
      </c>
      <c r="AE863" t="s">
        <v>1836</v>
      </c>
      <c r="AF863">
        <v>10</v>
      </c>
      <c r="AG863">
        <v>0</v>
      </c>
    </row>
    <row r="864" spans="13:33" x14ac:dyDescent="0.35">
      <c r="M864" s="243"/>
      <c r="N864" s="243"/>
      <c r="O864" s="243"/>
      <c r="P864" s="243"/>
      <c r="Q864" s="243"/>
      <c r="R864" s="243"/>
      <c r="S864" s="243"/>
      <c r="T864" s="243"/>
      <c r="AA864">
        <v>703</v>
      </c>
      <c r="AB864" t="s">
        <v>0</v>
      </c>
      <c r="AC864" t="s">
        <v>1933</v>
      </c>
      <c r="AD864" t="s">
        <v>1009</v>
      </c>
      <c r="AE864" t="s">
        <v>1837</v>
      </c>
      <c r="AF864">
        <v>10</v>
      </c>
      <c r="AG864">
        <v>0</v>
      </c>
    </row>
    <row r="865" spans="13:33" x14ac:dyDescent="0.35">
      <c r="M865" s="243"/>
      <c r="N865" s="243"/>
      <c r="O865" s="243"/>
      <c r="P865" s="243"/>
      <c r="Q865" s="243"/>
      <c r="R865" s="243"/>
      <c r="S865" s="243"/>
      <c r="T865" s="243"/>
      <c r="AA865">
        <v>664</v>
      </c>
      <c r="AB865" t="s">
        <v>0</v>
      </c>
      <c r="AC865" t="s">
        <v>1933</v>
      </c>
      <c r="AD865" t="s">
        <v>1009</v>
      </c>
      <c r="AE865" t="s">
        <v>1838</v>
      </c>
      <c r="AF865">
        <v>20</v>
      </c>
      <c r="AG865">
        <v>0</v>
      </c>
    </row>
    <row r="866" spans="13:33" x14ac:dyDescent="0.35">
      <c r="M866" s="243"/>
      <c r="N866" s="243"/>
      <c r="O866" s="243"/>
      <c r="P866" s="243"/>
      <c r="Q866" s="243"/>
      <c r="R866" s="243"/>
      <c r="S866" s="243"/>
      <c r="T866" s="243"/>
      <c r="AA866">
        <v>666</v>
      </c>
      <c r="AB866" t="s">
        <v>0</v>
      </c>
      <c r="AC866" t="s">
        <v>1933</v>
      </c>
      <c r="AD866" t="s">
        <v>1009</v>
      </c>
      <c r="AE866" t="s">
        <v>1769</v>
      </c>
      <c r="AF866">
        <v>20</v>
      </c>
      <c r="AG866">
        <v>0</v>
      </c>
    </row>
    <row r="867" spans="13:33" x14ac:dyDescent="0.35">
      <c r="M867" s="243"/>
      <c r="N867" s="243"/>
      <c r="O867" s="243"/>
      <c r="P867" s="243"/>
      <c r="Q867" s="243"/>
      <c r="R867" s="243"/>
      <c r="S867" s="243"/>
      <c r="T867" s="243"/>
      <c r="AA867">
        <v>668</v>
      </c>
      <c r="AB867" t="s">
        <v>0</v>
      </c>
      <c r="AC867" t="s">
        <v>1933</v>
      </c>
      <c r="AD867" t="s">
        <v>1009</v>
      </c>
      <c r="AE867" t="s">
        <v>1839</v>
      </c>
      <c r="AF867">
        <v>20</v>
      </c>
      <c r="AG867">
        <v>0</v>
      </c>
    </row>
    <row r="868" spans="13:33" x14ac:dyDescent="0.35">
      <c r="M868" s="243"/>
      <c r="N868" s="243"/>
      <c r="O868" s="243"/>
      <c r="P868" s="243"/>
      <c r="Q868" s="243"/>
      <c r="R868" s="243"/>
      <c r="S868" s="243"/>
      <c r="T868" s="243"/>
      <c r="AA868">
        <v>670</v>
      </c>
      <c r="AB868" t="s">
        <v>0</v>
      </c>
      <c r="AC868" t="s">
        <v>1933</v>
      </c>
      <c r="AD868" t="s">
        <v>1009</v>
      </c>
      <c r="AE868" t="s">
        <v>1770</v>
      </c>
      <c r="AF868">
        <v>20</v>
      </c>
      <c r="AG868">
        <v>0</v>
      </c>
    </row>
    <row r="869" spans="13:33" x14ac:dyDescent="0.35">
      <c r="M869" s="243"/>
      <c r="N869" s="243"/>
      <c r="O869" s="243"/>
      <c r="P869" s="243"/>
      <c r="Q869" s="243"/>
      <c r="R869" s="243"/>
      <c r="S869" s="243"/>
      <c r="T869" s="243"/>
      <c r="AA869">
        <v>638</v>
      </c>
      <c r="AB869" t="s">
        <v>0</v>
      </c>
      <c r="AC869" t="s">
        <v>1933</v>
      </c>
      <c r="AD869" t="s">
        <v>1009</v>
      </c>
      <c r="AE869" t="s">
        <v>1840</v>
      </c>
      <c r="AF869">
        <v>15</v>
      </c>
      <c r="AG869">
        <v>0</v>
      </c>
    </row>
    <row r="870" spans="13:33" x14ac:dyDescent="0.35">
      <c r="M870" s="243"/>
      <c r="N870" s="243"/>
      <c r="O870" s="243"/>
      <c r="P870" s="243"/>
      <c r="Q870" s="243"/>
      <c r="R870" s="243"/>
      <c r="S870" s="243"/>
      <c r="T870" s="243"/>
      <c r="AA870">
        <v>647</v>
      </c>
      <c r="AB870" t="s">
        <v>0</v>
      </c>
      <c r="AC870" t="s">
        <v>1933</v>
      </c>
      <c r="AD870" t="s">
        <v>1009</v>
      </c>
      <c r="AE870" t="s">
        <v>1841</v>
      </c>
      <c r="AF870">
        <v>25</v>
      </c>
      <c r="AG870">
        <v>0</v>
      </c>
    </row>
    <row r="871" spans="13:33" x14ac:dyDescent="0.35">
      <c r="M871" s="243"/>
      <c r="N871" s="243"/>
      <c r="O871" s="243"/>
      <c r="P871" s="243"/>
      <c r="Q871" s="243"/>
      <c r="R871" s="243"/>
      <c r="S871" s="243"/>
      <c r="T871" s="243"/>
      <c r="AA871">
        <v>655</v>
      </c>
      <c r="AB871" t="s">
        <v>0</v>
      </c>
      <c r="AC871" t="s">
        <v>1933</v>
      </c>
      <c r="AD871" t="s">
        <v>1009</v>
      </c>
      <c r="AE871" t="s">
        <v>1842</v>
      </c>
      <c r="AF871">
        <v>25</v>
      </c>
      <c r="AG871">
        <v>0</v>
      </c>
    </row>
    <row r="872" spans="13:33" x14ac:dyDescent="0.35">
      <c r="M872" s="243"/>
      <c r="N872" s="243"/>
      <c r="O872" s="243"/>
      <c r="P872" s="243"/>
      <c r="Q872" s="243"/>
      <c r="R872" s="243"/>
      <c r="S872" s="243"/>
      <c r="T872" s="243"/>
      <c r="AA872">
        <v>646</v>
      </c>
      <c r="AB872" t="s">
        <v>0</v>
      </c>
      <c r="AC872" t="s">
        <v>1933</v>
      </c>
      <c r="AD872" t="s">
        <v>1009</v>
      </c>
      <c r="AE872" t="s">
        <v>1790</v>
      </c>
      <c r="AF872">
        <v>25</v>
      </c>
      <c r="AG872">
        <v>0</v>
      </c>
    </row>
    <row r="873" spans="13:33" x14ac:dyDescent="0.35">
      <c r="M873" s="243"/>
      <c r="N873" s="243"/>
      <c r="O873" s="243"/>
      <c r="P873" s="243"/>
      <c r="Q873" s="243"/>
      <c r="R873" s="243"/>
      <c r="S873" s="243"/>
      <c r="T873" s="243"/>
      <c r="AA873">
        <v>654</v>
      </c>
      <c r="AB873" t="s">
        <v>0</v>
      </c>
      <c r="AC873" t="s">
        <v>1933</v>
      </c>
      <c r="AD873" t="s">
        <v>1009</v>
      </c>
      <c r="AE873" t="s">
        <v>1791</v>
      </c>
      <c r="AF873">
        <v>25</v>
      </c>
      <c r="AG873">
        <v>0</v>
      </c>
    </row>
    <row r="874" spans="13:33" x14ac:dyDescent="0.35">
      <c r="M874" s="243"/>
      <c r="N874" s="243"/>
      <c r="O874" s="243"/>
      <c r="P874" s="243"/>
      <c r="Q874" s="243"/>
      <c r="R874" s="243"/>
      <c r="S874" s="243"/>
      <c r="T874" s="243"/>
      <c r="AA874">
        <v>688</v>
      </c>
      <c r="AB874" t="s">
        <v>0</v>
      </c>
      <c r="AC874" t="s">
        <v>1933</v>
      </c>
      <c r="AD874" t="s">
        <v>1009</v>
      </c>
      <c r="AE874" t="s">
        <v>1843</v>
      </c>
      <c r="AF874">
        <v>13</v>
      </c>
      <c r="AG874">
        <v>0</v>
      </c>
    </row>
    <row r="875" spans="13:33" x14ac:dyDescent="0.35">
      <c r="M875" s="243"/>
      <c r="N875" s="243"/>
      <c r="O875" s="243"/>
      <c r="P875" s="243"/>
      <c r="Q875" s="243"/>
      <c r="R875" s="243"/>
      <c r="S875" s="243"/>
      <c r="T875" s="243"/>
      <c r="AA875">
        <v>689</v>
      </c>
      <c r="AB875" t="s">
        <v>0</v>
      </c>
      <c r="AC875" t="s">
        <v>1933</v>
      </c>
      <c r="AD875" t="s">
        <v>1009</v>
      </c>
      <c r="AE875" t="s">
        <v>1844</v>
      </c>
      <c r="AF875">
        <v>13</v>
      </c>
      <c r="AG875">
        <v>0</v>
      </c>
    </row>
    <row r="876" spans="13:33" x14ac:dyDescent="0.35">
      <c r="M876" s="243"/>
      <c r="N876" s="243"/>
      <c r="O876" s="243"/>
      <c r="P876" s="243"/>
      <c r="Q876" s="243"/>
      <c r="R876" s="243"/>
      <c r="S876" s="243"/>
      <c r="T876" s="243"/>
      <c r="AA876">
        <v>675</v>
      </c>
      <c r="AB876" t="s">
        <v>0</v>
      </c>
      <c r="AC876" t="s">
        <v>1933</v>
      </c>
      <c r="AD876" t="s">
        <v>1009</v>
      </c>
      <c r="AE876" t="s">
        <v>1845</v>
      </c>
      <c r="AF876">
        <v>18</v>
      </c>
      <c r="AG876">
        <v>6</v>
      </c>
    </row>
    <row r="877" spans="13:33" x14ac:dyDescent="0.35">
      <c r="M877" s="243"/>
      <c r="N877" s="243"/>
      <c r="O877" s="243"/>
      <c r="P877" s="243"/>
      <c r="Q877" s="243"/>
      <c r="R877" s="243"/>
      <c r="S877" s="243"/>
      <c r="T877" s="243"/>
      <c r="AA877">
        <v>643</v>
      </c>
      <c r="AB877" t="s">
        <v>0</v>
      </c>
      <c r="AC877" t="s">
        <v>1933</v>
      </c>
      <c r="AD877" t="s">
        <v>1009</v>
      </c>
      <c r="AE877" t="s">
        <v>1846</v>
      </c>
      <c r="AF877">
        <v>18</v>
      </c>
      <c r="AG877">
        <v>0</v>
      </c>
    </row>
    <row r="878" spans="13:33" x14ac:dyDescent="0.35">
      <c r="M878" s="243"/>
      <c r="N878" s="243"/>
      <c r="O878" s="243"/>
      <c r="P878" s="243"/>
      <c r="Q878" s="243"/>
      <c r="R878" s="243"/>
      <c r="S878" s="243"/>
      <c r="T878" s="243"/>
      <c r="AA878">
        <v>674</v>
      </c>
      <c r="AB878" t="s">
        <v>0</v>
      </c>
      <c r="AC878" t="s">
        <v>1933</v>
      </c>
      <c r="AD878" t="s">
        <v>1009</v>
      </c>
      <c r="AE878" t="s">
        <v>1847</v>
      </c>
      <c r="AF878">
        <v>18</v>
      </c>
      <c r="AG878">
        <v>6</v>
      </c>
    </row>
    <row r="879" spans="13:33" x14ac:dyDescent="0.35">
      <c r="M879" s="243"/>
      <c r="N879" s="243"/>
      <c r="O879" s="243"/>
      <c r="P879" s="243"/>
      <c r="Q879" s="243"/>
      <c r="R879" s="243"/>
      <c r="S879" s="243"/>
      <c r="T879" s="243"/>
      <c r="AA879">
        <v>642</v>
      </c>
      <c r="AB879" t="s">
        <v>0</v>
      </c>
      <c r="AC879" t="s">
        <v>1933</v>
      </c>
      <c r="AD879" t="s">
        <v>1009</v>
      </c>
      <c r="AE879" t="s">
        <v>1857</v>
      </c>
      <c r="AF879">
        <v>18</v>
      </c>
      <c r="AG879">
        <v>0</v>
      </c>
    </row>
    <row r="880" spans="13:33" x14ac:dyDescent="0.35">
      <c r="M880" s="243"/>
      <c r="N880" s="243"/>
      <c r="O880" s="243"/>
      <c r="P880" s="243"/>
      <c r="Q880" s="243"/>
      <c r="R880" s="243"/>
      <c r="S880" s="243"/>
      <c r="T880" s="243"/>
      <c r="AA880">
        <v>696</v>
      </c>
      <c r="AB880" t="s">
        <v>0</v>
      </c>
      <c r="AC880" t="s">
        <v>1933</v>
      </c>
      <c r="AD880" t="s">
        <v>1009</v>
      </c>
      <c r="AE880" t="s">
        <v>1795</v>
      </c>
      <c r="AF880">
        <v>10</v>
      </c>
      <c r="AG880">
        <v>0</v>
      </c>
    </row>
    <row r="881" spans="13:33" x14ac:dyDescent="0.35">
      <c r="M881" s="243"/>
      <c r="N881" s="243"/>
      <c r="O881" s="243"/>
      <c r="P881" s="243"/>
      <c r="Q881" s="243"/>
      <c r="R881" s="243"/>
      <c r="S881" s="243"/>
      <c r="T881" s="243"/>
      <c r="AA881">
        <v>679</v>
      </c>
      <c r="AB881" t="s">
        <v>0</v>
      </c>
      <c r="AC881" t="s">
        <v>1933</v>
      </c>
      <c r="AD881" t="s">
        <v>1009</v>
      </c>
      <c r="AE881" t="s">
        <v>1849</v>
      </c>
      <c r="AF881">
        <v>9</v>
      </c>
      <c r="AG881">
        <v>0</v>
      </c>
    </row>
    <row r="882" spans="13:33" x14ac:dyDescent="0.35">
      <c r="M882" s="243"/>
      <c r="N882" s="243"/>
      <c r="O882" s="243"/>
      <c r="P882" s="243"/>
      <c r="Q882" s="243"/>
      <c r="R882" s="243"/>
      <c r="S882" s="243"/>
      <c r="T882" s="243"/>
      <c r="AA882">
        <v>678</v>
      </c>
      <c r="AB882" t="s">
        <v>0</v>
      </c>
      <c r="AC882" t="s">
        <v>1933</v>
      </c>
      <c r="AD882" t="s">
        <v>1009</v>
      </c>
      <c r="AE882" t="s">
        <v>1850</v>
      </c>
      <c r="AF882">
        <v>9</v>
      </c>
      <c r="AG882">
        <v>0</v>
      </c>
    </row>
    <row r="883" spans="13:33" x14ac:dyDescent="0.35">
      <c r="M883" s="243"/>
      <c r="N883" s="243"/>
      <c r="O883" s="243"/>
      <c r="P883" s="243"/>
      <c r="Q883" s="243"/>
      <c r="R883" s="243"/>
      <c r="S883" s="243"/>
      <c r="T883" s="243"/>
      <c r="AA883">
        <v>680</v>
      </c>
      <c r="AB883" t="s">
        <v>0</v>
      </c>
      <c r="AC883" t="s">
        <v>1933</v>
      </c>
      <c r="AD883" t="s">
        <v>1009</v>
      </c>
      <c r="AE883" t="s">
        <v>1798</v>
      </c>
      <c r="AF883">
        <v>10</v>
      </c>
      <c r="AG883">
        <v>3</v>
      </c>
    </row>
    <row r="884" spans="13:33" x14ac:dyDescent="0.35">
      <c r="M884" s="243"/>
      <c r="N884" s="243"/>
      <c r="O884" s="243"/>
      <c r="P884" s="243"/>
      <c r="Q884" s="243"/>
      <c r="R884" s="243"/>
      <c r="S884" s="243"/>
      <c r="T884" s="243"/>
      <c r="AA884">
        <v>681</v>
      </c>
      <c r="AB884" t="s">
        <v>0</v>
      </c>
      <c r="AC884" t="s">
        <v>1933</v>
      </c>
      <c r="AD884" t="s">
        <v>1009</v>
      </c>
      <c r="AE884" t="s">
        <v>1851</v>
      </c>
      <c r="AF884">
        <v>10</v>
      </c>
      <c r="AG884">
        <v>2</v>
      </c>
    </row>
    <row r="885" spans="13:33" x14ac:dyDescent="0.35">
      <c r="M885" s="243"/>
      <c r="N885" s="243"/>
      <c r="O885" s="243"/>
      <c r="P885" s="243"/>
      <c r="Q885" s="243"/>
      <c r="R885" s="243"/>
      <c r="S885" s="243"/>
      <c r="T885" s="243"/>
      <c r="AA885">
        <v>682</v>
      </c>
      <c r="AB885" t="s">
        <v>0</v>
      </c>
      <c r="AC885" t="s">
        <v>1933</v>
      </c>
      <c r="AD885" t="s">
        <v>1009</v>
      </c>
      <c r="AE885" t="s">
        <v>1852</v>
      </c>
      <c r="AF885">
        <v>10</v>
      </c>
      <c r="AG885">
        <v>1</v>
      </c>
    </row>
    <row r="886" spans="13:33" x14ac:dyDescent="0.35">
      <c r="M886" s="243"/>
      <c r="N886" s="243"/>
      <c r="O886" s="243"/>
      <c r="P886" s="243"/>
      <c r="Q886" s="243"/>
      <c r="R886" s="243"/>
      <c r="S886" s="243"/>
      <c r="T886" s="243"/>
      <c r="AA886">
        <v>705</v>
      </c>
      <c r="AB886" t="s">
        <v>0</v>
      </c>
      <c r="AC886" t="s">
        <v>1933</v>
      </c>
      <c r="AD886" t="s">
        <v>1009</v>
      </c>
      <c r="AE886" t="s">
        <v>1367</v>
      </c>
      <c r="AF886">
        <v>25</v>
      </c>
      <c r="AG886">
        <v>0</v>
      </c>
    </row>
    <row r="887" spans="13:33" x14ac:dyDescent="0.35">
      <c r="M887" s="243"/>
      <c r="N887" s="243"/>
      <c r="O887" s="243"/>
      <c r="P887" s="243"/>
      <c r="Q887" s="243"/>
      <c r="R887" s="243"/>
      <c r="S887" s="243"/>
      <c r="T887" s="243"/>
      <c r="AA887">
        <v>704</v>
      </c>
      <c r="AB887" t="s">
        <v>0</v>
      </c>
      <c r="AC887" t="s">
        <v>1933</v>
      </c>
      <c r="AD887" t="s">
        <v>1009</v>
      </c>
      <c r="AE887" t="s">
        <v>1369</v>
      </c>
      <c r="AF887">
        <v>25</v>
      </c>
      <c r="AG887">
        <v>0</v>
      </c>
    </row>
    <row r="888" spans="13:33" x14ac:dyDescent="0.35">
      <c r="M888" s="243"/>
      <c r="N888" s="243"/>
      <c r="O888" s="243"/>
      <c r="P888" s="243"/>
      <c r="Q888" s="243"/>
      <c r="R888" s="243"/>
      <c r="S888" s="243"/>
      <c r="T888" s="243"/>
      <c r="AA888">
        <v>635</v>
      </c>
      <c r="AB888" t="s">
        <v>0</v>
      </c>
      <c r="AC888" t="s">
        <v>1933</v>
      </c>
      <c r="AD888" t="s">
        <v>1009</v>
      </c>
      <c r="AE888" t="s">
        <v>711</v>
      </c>
      <c r="AF888">
        <v>15</v>
      </c>
      <c r="AG888">
        <v>0</v>
      </c>
    </row>
    <row r="889" spans="13:33" x14ac:dyDescent="0.35">
      <c r="M889" s="243"/>
      <c r="N889" s="243"/>
      <c r="O889" s="243"/>
      <c r="P889" s="243"/>
      <c r="Q889" s="243"/>
      <c r="R889" s="243"/>
      <c r="S889" s="243"/>
      <c r="T889" s="243"/>
      <c r="AA889">
        <v>149</v>
      </c>
      <c r="AB889" t="s">
        <v>80</v>
      </c>
      <c r="AC889" t="s">
        <v>81</v>
      </c>
      <c r="AD889" t="s">
        <v>4</v>
      </c>
      <c r="AE889" t="s">
        <v>1036</v>
      </c>
      <c r="AF889">
        <v>15</v>
      </c>
    </row>
    <row r="890" spans="13:33" x14ac:dyDescent="0.35">
      <c r="M890" s="243"/>
      <c r="N890" s="243"/>
      <c r="O890" s="243"/>
      <c r="P890" s="243"/>
      <c r="Q890" s="243"/>
      <c r="R890" s="243"/>
      <c r="S890" s="243"/>
      <c r="T890" s="243"/>
      <c r="AA890">
        <v>150</v>
      </c>
      <c r="AB890" t="s">
        <v>80</v>
      </c>
      <c r="AC890" t="s">
        <v>81</v>
      </c>
      <c r="AD890" t="s">
        <v>4</v>
      </c>
      <c r="AE890" t="s">
        <v>1132</v>
      </c>
      <c r="AF890">
        <v>15</v>
      </c>
    </row>
    <row r="891" spans="13:33" x14ac:dyDescent="0.35">
      <c r="M891" s="243"/>
      <c r="N891" s="243"/>
      <c r="O891" s="243"/>
      <c r="P891" s="243"/>
      <c r="Q891" s="243"/>
      <c r="R891" s="243"/>
      <c r="S891" s="243"/>
      <c r="T891" s="243"/>
      <c r="AA891">
        <v>450</v>
      </c>
      <c r="AB891" t="s">
        <v>80</v>
      </c>
      <c r="AC891" t="s">
        <v>1032</v>
      </c>
      <c r="AD891" t="s">
        <v>4</v>
      </c>
      <c r="AE891" t="s">
        <v>1133</v>
      </c>
      <c r="AF891">
        <v>15</v>
      </c>
    </row>
    <row r="892" spans="13:33" x14ac:dyDescent="0.35">
      <c r="M892" s="243"/>
      <c r="N892" s="243"/>
      <c r="O892" s="243"/>
      <c r="P892" s="243"/>
      <c r="Q892" s="243"/>
      <c r="R892" s="243"/>
      <c r="S892" s="243"/>
      <c r="T892" s="243"/>
      <c r="AA892">
        <v>451</v>
      </c>
      <c r="AB892" t="s">
        <v>80</v>
      </c>
      <c r="AC892" t="s">
        <v>1032</v>
      </c>
      <c r="AD892" t="s">
        <v>4</v>
      </c>
      <c r="AE892" t="s">
        <v>1134</v>
      </c>
      <c r="AF892">
        <v>15</v>
      </c>
    </row>
    <row r="893" spans="13:33" x14ac:dyDescent="0.35">
      <c r="M893" s="243"/>
      <c r="N893" s="243"/>
      <c r="O893" s="243"/>
      <c r="P893" s="243"/>
      <c r="Q893" s="243"/>
      <c r="R893" s="243"/>
      <c r="S893" s="243"/>
      <c r="T893" s="243"/>
      <c r="AA893">
        <v>375</v>
      </c>
      <c r="AB893" t="s">
        <v>80</v>
      </c>
      <c r="AC893" t="s">
        <v>1054</v>
      </c>
      <c r="AD893" t="s">
        <v>4</v>
      </c>
      <c r="AE893" t="s">
        <v>1133</v>
      </c>
      <c r="AF893">
        <v>15</v>
      </c>
    </row>
    <row r="894" spans="13:33" x14ac:dyDescent="0.35">
      <c r="M894" s="243"/>
      <c r="N894" s="243"/>
      <c r="O894" s="243"/>
      <c r="P894" s="243"/>
      <c r="Q894" s="243"/>
      <c r="R894" s="243"/>
      <c r="S894" s="243"/>
      <c r="T894" s="243"/>
      <c r="AA894">
        <v>376</v>
      </c>
      <c r="AB894" t="s">
        <v>80</v>
      </c>
      <c r="AC894" t="s">
        <v>1054</v>
      </c>
      <c r="AD894" t="s">
        <v>4</v>
      </c>
      <c r="AE894" t="s">
        <v>1134</v>
      </c>
      <c r="AF894">
        <v>15</v>
      </c>
    </row>
    <row r="895" spans="13:33" x14ac:dyDescent="0.35">
      <c r="M895" s="243"/>
      <c r="N895" s="243"/>
      <c r="O895" s="243"/>
      <c r="P895" s="243"/>
      <c r="Q895" s="243"/>
      <c r="R895" s="243"/>
      <c r="S895" s="243"/>
      <c r="T895" s="243"/>
      <c r="AA895">
        <v>490</v>
      </c>
      <c r="AB895" t="s">
        <v>0</v>
      </c>
      <c r="AC895" t="s">
        <v>1858</v>
      </c>
      <c r="AE895" t="s">
        <v>1008</v>
      </c>
      <c r="AF895">
        <v>15</v>
      </c>
    </row>
    <row r="896" spans="13:33" x14ac:dyDescent="0.35">
      <c r="M896" s="243"/>
      <c r="N896" s="243"/>
      <c r="O896" s="243"/>
      <c r="P896" s="243"/>
      <c r="Q896" s="243"/>
      <c r="R896" s="243"/>
      <c r="S896" s="243"/>
      <c r="T896" s="243"/>
      <c r="AA896">
        <v>917</v>
      </c>
      <c r="AB896" t="s">
        <v>0</v>
      </c>
      <c r="AC896" t="s">
        <v>1135</v>
      </c>
      <c r="AE896" t="s">
        <v>1008</v>
      </c>
      <c r="AF896">
        <v>15</v>
      </c>
    </row>
    <row r="897" spans="13:33" x14ac:dyDescent="0.35">
      <c r="M897" s="243"/>
      <c r="N897" s="243"/>
      <c r="O897" s="243"/>
      <c r="P897" s="243"/>
      <c r="Q897" s="243"/>
      <c r="R897" s="243"/>
      <c r="S897" s="243"/>
      <c r="T897" s="243"/>
      <c r="AA897">
        <v>143</v>
      </c>
      <c r="AB897" t="s">
        <v>80</v>
      </c>
      <c r="AC897" t="s">
        <v>81</v>
      </c>
      <c r="AD897" t="s">
        <v>4</v>
      </c>
      <c r="AE897" t="s">
        <v>1865</v>
      </c>
      <c r="AF897">
        <v>15</v>
      </c>
      <c r="AG897">
        <v>0</v>
      </c>
    </row>
    <row r="898" spans="13:33" x14ac:dyDescent="0.35">
      <c r="M898" s="243"/>
      <c r="N898" s="243"/>
      <c r="O898" s="243"/>
      <c r="P898" s="243"/>
      <c r="Q898" s="243"/>
      <c r="R898" s="243"/>
      <c r="S898" s="243"/>
      <c r="T898" s="243"/>
      <c r="AA898">
        <v>144</v>
      </c>
      <c r="AB898" t="s">
        <v>80</v>
      </c>
      <c r="AC898" t="s">
        <v>81</v>
      </c>
      <c r="AD898" t="s">
        <v>4</v>
      </c>
      <c r="AE898" t="s">
        <v>1866</v>
      </c>
      <c r="AF898">
        <v>15</v>
      </c>
      <c r="AG898">
        <v>0</v>
      </c>
    </row>
    <row r="899" spans="13:33" x14ac:dyDescent="0.35">
      <c r="M899" s="243"/>
      <c r="N899" s="243"/>
      <c r="O899" s="243"/>
      <c r="P899" s="243"/>
      <c r="Q899" s="243"/>
      <c r="R899" s="243"/>
      <c r="S899" s="243"/>
      <c r="T899" s="243"/>
      <c r="AA899">
        <v>145</v>
      </c>
      <c r="AB899" t="s">
        <v>80</v>
      </c>
      <c r="AC899" t="s">
        <v>81</v>
      </c>
      <c r="AD899" t="s">
        <v>4</v>
      </c>
      <c r="AE899" t="s">
        <v>1867</v>
      </c>
      <c r="AF899">
        <v>15</v>
      </c>
      <c r="AG899">
        <v>0</v>
      </c>
    </row>
    <row r="900" spans="13:33" x14ac:dyDescent="0.35">
      <c r="M900" s="243"/>
      <c r="N900" s="243"/>
      <c r="O900" s="243"/>
      <c r="P900" s="243"/>
      <c r="Q900" s="243"/>
      <c r="R900" s="243"/>
      <c r="S900" s="243"/>
      <c r="T900" s="243"/>
      <c r="AA900">
        <v>372</v>
      </c>
      <c r="AB900" t="s">
        <v>80</v>
      </c>
      <c r="AC900" t="s">
        <v>1054</v>
      </c>
      <c r="AD900" t="s">
        <v>4</v>
      </c>
      <c r="AE900" t="s">
        <v>1865</v>
      </c>
      <c r="AF900">
        <v>15</v>
      </c>
    </row>
    <row r="901" spans="13:33" x14ac:dyDescent="0.35">
      <c r="M901" s="243"/>
      <c r="N901" s="243"/>
      <c r="O901" s="243"/>
      <c r="P901" s="243"/>
      <c r="Q901" s="243"/>
      <c r="R901" s="243"/>
      <c r="S901" s="243"/>
      <c r="T901" s="243"/>
      <c r="AA901">
        <v>373</v>
      </c>
      <c r="AB901" t="s">
        <v>80</v>
      </c>
      <c r="AC901" t="s">
        <v>1054</v>
      </c>
      <c r="AD901" t="s">
        <v>4</v>
      </c>
      <c r="AE901" t="s">
        <v>1866</v>
      </c>
      <c r="AF901">
        <v>15</v>
      </c>
    </row>
    <row r="902" spans="13:33" x14ac:dyDescent="0.35">
      <c r="M902" s="243"/>
      <c r="N902" s="243"/>
      <c r="O902" s="243"/>
      <c r="P902" s="243"/>
      <c r="Q902" s="243"/>
      <c r="R902" s="243"/>
      <c r="S902" s="243"/>
      <c r="T902" s="243"/>
      <c r="AA902">
        <v>374</v>
      </c>
      <c r="AB902" t="s">
        <v>80</v>
      </c>
      <c r="AC902" t="s">
        <v>1054</v>
      </c>
      <c r="AD902" t="s">
        <v>4</v>
      </c>
      <c r="AE902" t="s">
        <v>1867</v>
      </c>
      <c r="AF902">
        <v>15</v>
      </c>
    </row>
    <row r="903" spans="13:33" x14ac:dyDescent="0.35">
      <c r="M903" s="243"/>
      <c r="N903" s="243"/>
      <c r="O903" s="243"/>
      <c r="P903" s="243"/>
      <c r="Q903" s="243"/>
      <c r="R903" s="243"/>
      <c r="S903" s="243"/>
      <c r="T903" s="243"/>
      <c r="AA903">
        <v>445</v>
      </c>
      <c r="AB903" t="s">
        <v>80</v>
      </c>
      <c r="AC903" t="s">
        <v>1032</v>
      </c>
      <c r="AD903" t="s">
        <v>4</v>
      </c>
      <c r="AE903" t="s">
        <v>1865</v>
      </c>
      <c r="AF903">
        <v>15</v>
      </c>
    </row>
    <row r="904" spans="13:33" x14ac:dyDescent="0.35">
      <c r="M904" s="243"/>
      <c r="N904" s="243"/>
      <c r="O904" s="243"/>
      <c r="P904" s="243"/>
      <c r="Q904" s="243"/>
      <c r="R904" s="243"/>
      <c r="S904" s="243"/>
      <c r="T904" s="243"/>
      <c r="AA904">
        <v>446</v>
      </c>
      <c r="AB904" t="s">
        <v>80</v>
      </c>
      <c r="AC904" t="s">
        <v>1032</v>
      </c>
      <c r="AD904" t="s">
        <v>4</v>
      </c>
      <c r="AE904" t="s">
        <v>1866</v>
      </c>
      <c r="AF904">
        <v>15</v>
      </c>
    </row>
    <row r="905" spans="13:33" x14ac:dyDescent="0.35">
      <c r="M905" s="243"/>
      <c r="N905" s="243"/>
      <c r="O905" s="243"/>
      <c r="P905" s="243"/>
      <c r="Q905" s="243"/>
      <c r="R905" s="243"/>
      <c r="S905" s="243"/>
      <c r="T905" s="243"/>
      <c r="AA905">
        <v>447</v>
      </c>
      <c r="AB905" t="s">
        <v>80</v>
      </c>
      <c r="AC905" t="s">
        <v>1032</v>
      </c>
      <c r="AD905" t="s">
        <v>4</v>
      </c>
      <c r="AE905" t="s">
        <v>1867</v>
      </c>
      <c r="AF905">
        <v>15</v>
      </c>
    </row>
    <row r="906" spans="13:33" x14ac:dyDescent="0.35">
      <c r="M906" s="243"/>
      <c r="N906" s="243"/>
      <c r="O906" s="243"/>
      <c r="P906" s="243"/>
      <c r="Q906" s="243"/>
      <c r="R906" s="243"/>
      <c r="S906" s="243"/>
      <c r="T906" s="243"/>
      <c r="AA906">
        <v>555</v>
      </c>
      <c r="AB906" t="s">
        <v>0</v>
      </c>
      <c r="AC906" t="s">
        <v>1933</v>
      </c>
      <c r="AD906" t="s">
        <v>100</v>
      </c>
      <c r="AE906" t="s">
        <v>1938</v>
      </c>
      <c r="AF906">
        <v>20</v>
      </c>
      <c r="AG906">
        <v>0</v>
      </c>
    </row>
    <row r="907" spans="13:33" x14ac:dyDescent="0.35">
      <c r="M907" s="243"/>
      <c r="N907" s="243"/>
      <c r="O907" s="243"/>
      <c r="P907" s="243"/>
      <c r="Q907" s="243"/>
      <c r="R907" s="243"/>
      <c r="S907" s="243"/>
      <c r="T907" s="243"/>
      <c r="AA907">
        <v>509</v>
      </c>
      <c r="AB907" t="s">
        <v>0</v>
      </c>
      <c r="AC907" t="s">
        <v>20</v>
      </c>
      <c r="AD907" t="s">
        <v>100</v>
      </c>
      <c r="AE907" t="s">
        <v>208</v>
      </c>
      <c r="AF907">
        <v>18</v>
      </c>
    </row>
    <row r="908" spans="13:33" x14ac:dyDescent="0.35">
      <c r="M908" s="243"/>
      <c r="N908" s="243"/>
      <c r="O908" s="243"/>
      <c r="P908" s="243"/>
      <c r="Q908" s="243"/>
      <c r="R908" s="243"/>
      <c r="S908" s="243"/>
      <c r="T908" s="243"/>
      <c r="AA908">
        <v>818</v>
      </c>
      <c r="AB908" t="s">
        <v>0</v>
      </c>
      <c r="AC908" t="s">
        <v>8</v>
      </c>
      <c r="AD908" t="s">
        <v>100</v>
      </c>
      <c r="AE908" t="s">
        <v>208</v>
      </c>
      <c r="AF908">
        <v>18</v>
      </c>
    </row>
    <row r="909" spans="13:33" x14ac:dyDescent="0.35">
      <c r="M909" s="243"/>
      <c r="N909" s="243"/>
      <c r="O909" s="243"/>
      <c r="P909" s="243"/>
      <c r="Q909" s="243"/>
      <c r="R909" s="243"/>
      <c r="S909" s="243"/>
      <c r="T909" s="243"/>
      <c r="AA909">
        <v>556</v>
      </c>
      <c r="AB909" t="s">
        <v>0</v>
      </c>
      <c r="AC909" t="s">
        <v>1933</v>
      </c>
      <c r="AD909" t="s">
        <v>100</v>
      </c>
      <c r="AE909" t="s">
        <v>1939</v>
      </c>
      <c r="AF909">
        <v>18</v>
      </c>
    </row>
    <row r="910" spans="13:33" x14ac:dyDescent="0.35">
      <c r="M910" s="243"/>
      <c r="N910" s="243"/>
      <c r="O910" s="243"/>
      <c r="P910" s="243"/>
      <c r="Q910" s="243"/>
      <c r="R910" s="243"/>
      <c r="S910" s="243"/>
      <c r="T910" s="243"/>
      <c r="AA910">
        <v>728</v>
      </c>
      <c r="AB910" t="s">
        <v>0</v>
      </c>
      <c r="AC910" t="s">
        <v>1933</v>
      </c>
      <c r="AD910" t="s">
        <v>3298</v>
      </c>
      <c r="AE910" t="s">
        <v>879</v>
      </c>
      <c r="AF910">
        <v>10</v>
      </c>
      <c r="AG910">
        <v>3</v>
      </c>
    </row>
    <row r="911" spans="13:33" x14ac:dyDescent="0.35">
      <c r="M911" s="243"/>
      <c r="N911" s="243"/>
      <c r="O911" s="243"/>
      <c r="P911" s="243"/>
      <c r="Q911" s="243"/>
      <c r="R911" s="243"/>
      <c r="S911" s="243"/>
      <c r="T911" s="243"/>
      <c r="AA911">
        <v>729</v>
      </c>
      <c r="AB911" t="s">
        <v>0</v>
      </c>
      <c r="AC911" t="s">
        <v>1933</v>
      </c>
      <c r="AD911" t="s">
        <v>3298</v>
      </c>
      <c r="AE911" t="s">
        <v>880</v>
      </c>
      <c r="AF911">
        <v>10</v>
      </c>
      <c r="AG911">
        <v>2</v>
      </c>
    </row>
    <row r="912" spans="13:33" x14ac:dyDescent="0.35">
      <c r="M912" s="243"/>
      <c r="N912" s="243"/>
      <c r="O912" s="243"/>
      <c r="P912" s="243"/>
      <c r="Q912" s="243"/>
      <c r="R912" s="243"/>
      <c r="S912" s="243"/>
      <c r="T912" s="243"/>
      <c r="AA912">
        <v>730</v>
      </c>
      <c r="AB912" t="s">
        <v>0</v>
      </c>
      <c r="AC912" t="s">
        <v>1933</v>
      </c>
      <c r="AD912" t="s">
        <v>3298</v>
      </c>
      <c r="AE912" t="s">
        <v>881</v>
      </c>
      <c r="AF912">
        <v>10</v>
      </c>
      <c r="AG912">
        <v>1</v>
      </c>
    </row>
    <row r="913" spans="13:33" x14ac:dyDescent="0.35">
      <c r="M913" s="243"/>
      <c r="N913" s="243"/>
      <c r="O913" s="243"/>
      <c r="P913" s="243"/>
      <c r="Q913" s="243"/>
      <c r="R913" s="243"/>
      <c r="S913" s="243"/>
      <c r="T913" s="243"/>
      <c r="AA913">
        <v>756</v>
      </c>
      <c r="AB913" t="s">
        <v>0</v>
      </c>
      <c r="AC913" t="s">
        <v>1933</v>
      </c>
      <c r="AD913" t="s">
        <v>3298</v>
      </c>
      <c r="AE913" t="s">
        <v>882</v>
      </c>
      <c r="AF913">
        <v>10</v>
      </c>
      <c r="AG913">
        <v>2</v>
      </c>
    </row>
    <row r="914" spans="13:33" x14ac:dyDescent="0.35">
      <c r="M914" s="243"/>
      <c r="N914" s="243"/>
      <c r="O914" s="243"/>
      <c r="P914" s="243"/>
      <c r="Q914" s="243"/>
      <c r="R914" s="243"/>
      <c r="S914" s="243"/>
      <c r="T914" s="243"/>
      <c r="AA914">
        <v>757</v>
      </c>
      <c r="AB914" t="s">
        <v>0</v>
      </c>
      <c r="AC914" t="s">
        <v>1933</v>
      </c>
      <c r="AD914" t="s">
        <v>3298</v>
      </c>
      <c r="AE914" t="s">
        <v>883</v>
      </c>
      <c r="AF914">
        <v>10</v>
      </c>
      <c r="AG914">
        <v>1</v>
      </c>
    </row>
    <row r="915" spans="13:33" x14ac:dyDescent="0.35">
      <c r="M915" s="243"/>
      <c r="N915" s="243"/>
      <c r="O915" s="243"/>
      <c r="P915" s="243"/>
      <c r="Q915" s="243"/>
      <c r="R915" s="243"/>
      <c r="S915" s="243"/>
      <c r="T915" s="243"/>
      <c r="AA915">
        <v>758</v>
      </c>
      <c r="AB915" t="s">
        <v>0</v>
      </c>
      <c r="AC915" t="s">
        <v>1933</v>
      </c>
      <c r="AD915" t="s">
        <v>3298</v>
      </c>
      <c r="AE915" t="s">
        <v>884</v>
      </c>
      <c r="AF915">
        <v>10</v>
      </c>
      <c r="AG915">
        <v>0</v>
      </c>
    </row>
    <row r="916" spans="13:33" x14ac:dyDescent="0.35">
      <c r="M916" s="243"/>
      <c r="N916" s="243"/>
      <c r="O916" s="243"/>
      <c r="P916" s="243"/>
      <c r="Q916" s="243"/>
      <c r="R916" s="243"/>
      <c r="S916" s="243"/>
      <c r="T916" s="243"/>
      <c r="AA916">
        <v>784</v>
      </c>
      <c r="AB916" t="s">
        <v>0</v>
      </c>
      <c r="AC916" t="s">
        <v>1933</v>
      </c>
      <c r="AD916" t="s">
        <v>3298</v>
      </c>
      <c r="AE916" t="s">
        <v>1096</v>
      </c>
      <c r="AF916">
        <v>10</v>
      </c>
      <c r="AG916">
        <v>0</v>
      </c>
    </row>
    <row r="917" spans="13:33" x14ac:dyDescent="0.35">
      <c r="M917" s="243"/>
      <c r="N917" s="243"/>
      <c r="O917" s="243"/>
      <c r="P917" s="243"/>
      <c r="Q917" s="243"/>
      <c r="R917" s="243"/>
      <c r="S917" s="243"/>
      <c r="T917" s="243"/>
      <c r="AA917">
        <v>785</v>
      </c>
      <c r="AB917" t="s">
        <v>0</v>
      </c>
      <c r="AC917" t="s">
        <v>1933</v>
      </c>
      <c r="AD917" t="s">
        <v>3298</v>
      </c>
      <c r="AE917" t="s">
        <v>1097</v>
      </c>
      <c r="AF917">
        <v>10</v>
      </c>
      <c r="AG917">
        <v>0</v>
      </c>
    </row>
    <row r="918" spans="13:33" x14ac:dyDescent="0.35">
      <c r="M918" s="243"/>
      <c r="N918" s="243"/>
      <c r="O918" s="243"/>
      <c r="P918" s="243"/>
      <c r="Q918" s="243"/>
      <c r="R918" s="243"/>
      <c r="S918" s="243"/>
      <c r="T918" s="243"/>
      <c r="AA918">
        <v>786</v>
      </c>
      <c r="AB918" t="s">
        <v>0</v>
      </c>
      <c r="AC918" t="s">
        <v>1933</v>
      </c>
      <c r="AD918" t="s">
        <v>3298</v>
      </c>
      <c r="AE918" t="s">
        <v>1098</v>
      </c>
      <c r="AF918">
        <v>11</v>
      </c>
      <c r="AG918">
        <v>1</v>
      </c>
    </row>
    <row r="919" spans="13:33" x14ac:dyDescent="0.35">
      <c r="M919" s="243"/>
      <c r="N919" s="243"/>
      <c r="O919" s="243"/>
      <c r="P919" s="243"/>
      <c r="Q919" s="243"/>
      <c r="R919" s="243"/>
      <c r="S919" s="243"/>
      <c r="T919" s="243"/>
      <c r="AA919">
        <v>812</v>
      </c>
      <c r="AB919" t="s">
        <v>0</v>
      </c>
      <c r="AC919" t="s">
        <v>1933</v>
      </c>
      <c r="AD919" t="s">
        <v>3298</v>
      </c>
      <c r="AE919" t="s">
        <v>1099</v>
      </c>
      <c r="AF919">
        <v>10</v>
      </c>
      <c r="AG919">
        <v>0</v>
      </c>
    </row>
    <row r="920" spans="13:33" x14ac:dyDescent="0.35">
      <c r="M920" s="243"/>
      <c r="N920" s="243"/>
      <c r="O920" s="243"/>
      <c r="P920" s="243"/>
      <c r="Q920" s="243"/>
      <c r="R920" s="243"/>
      <c r="S920" s="243"/>
      <c r="T920" s="243"/>
      <c r="AA920">
        <v>813</v>
      </c>
      <c r="AB920" t="s">
        <v>0</v>
      </c>
      <c r="AC920" t="s">
        <v>1933</v>
      </c>
      <c r="AD920" t="s">
        <v>3298</v>
      </c>
      <c r="AE920" t="s">
        <v>1100</v>
      </c>
      <c r="AF920">
        <v>11</v>
      </c>
      <c r="AG920">
        <v>1</v>
      </c>
    </row>
    <row r="921" spans="13:33" x14ac:dyDescent="0.35">
      <c r="M921" s="243"/>
      <c r="N921" s="243"/>
      <c r="O921" s="243"/>
      <c r="P921" s="243"/>
      <c r="Q921" s="243"/>
      <c r="R921" s="243"/>
      <c r="S921" s="243"/>
      <c r="T921" s="243"/>
      <c r="AA921">
        <v>814</v>
      </c>
      <c r="AB921" t="s">
        <v>0</v>
      </c>
      <c r="AC921" t="s">
        <v>1933</v>
      </c>
      <c r="AD921" t="s">
        <v>3298</v>
      </c>
      <c r="AE921" t="s">
        <v>1101</v>
      </c>
      <c r="AF921">
        <v>12</v>
      </c>
      <c r="AG921">
        <v>2</v>
      </c>
    </row>
    <row r="922" spans="13:33" x14ac:dyDescent="0.35">
      <c r="M922" s="243"/>
      <c r="N922" s="243"/>
      <c r="O922" s="243"/>
      <c r="P922" s="243"/>
      <c r="Q922" s="243"/>
      <c r="R922" s="243"/>
      <c r="S922" s="243"/>
      <c r="T922" s="243"/>
      <c r="AA922">
        <v>731</v>
      </c>
      <c r="AB922" t="s">
        <v>0</v>
      </c>
      <c r="AC922" t="s">
        <v>1933</v>
      </c>
      <c r="AD922" t="s">
        <v>3298</v>
      </c>
      <c r="AE922" t="s">
        <v>885</v>
      </c>
      <c r="AF922">
        <v>10</v>
      </c>
      <c r="AG922">
        <v>3</v>
      </c>
    </row>
    <row r="923" spans="13:33" x14ac:dyDescent="0.35">
      <c r="M923" s="243"/>
      <c r="N923" s="243"/>
      <c r="O923" s="243"/>
      <c r="P923" s="243"/>
      <c r="Q923" s="243"/>
      <c r="R923" s="243"/>
      <c r="S923" s="243"/>
      <c r="T923" s="243"/>
      <c r="AA923">
        <v>732</v>
      </c>
      <c r="AB923" t="s">
        <v>0</v>
      </c>
      <c r="AC923" t="s">
        <v>1933</v>
      </c>
      <c r="AD923" t="s">
        <v>3298</v>
      </c>
      <c r="AE923" t="s">
        <v>886</v>
      </c>
      <c r="AF923">
        <v>10</v>
      </c>
      <c r="AG923">
        <v>2</v>
      </c>
    </row>
    <row r="924" spans="13:33" x14ac:dyDescent="0.35">
      <c r="M924" s="243"/>
      <c r="N924" s="243"/>
      <c r="O924" s="243"/>
      <c r="P924" s="243"/>
      <c r="Q924" s="243"/>
      <c r="R924" s="243"/>
      <c r="S924" s="243"/>
      <c r="T924" s="243"/>
      <c r="AA924">
        <v>733</v>
      </c>
      <c r="AB924" t="s">
        <v>0</v>
      </c>
      <c r="AC924" t="s">
        <v>1933</v>
      </c>
      <c r="AD924" t="s">
        <v>3298</v>
      </c>
      <c r="AE924" t="s">
        <v>887</v>
      </c>
      <c r="AF924">
        <v>10</v>
      </c>
      <c r="AG924">
        <v>1</v>
      </c>
    </row>
    <row r="925" spans="13:33" x14ac:dyDescent="0.35">
      <c r="M925" s="243"/>
      <c r="N925" s="243"/>
      <c r="O925" s="243"/>
      <c r="P925" s="243"/>
      <c r="Q925" s="243"/>
      <c r="R925" s="243"/>
      <c r="S925" s="243"/>
      <c r="T925" s="243"/>
      <c r="AA925">
        <v>759</v>
      </c>
      <c r="AB925" t="s">
        <v>0</v>
      </c>
      <c r="AC925" t="s">
        <v>1933</v>
      </c>
      <c r="AD925" t="s">
        <v>3298</v>
      </c>
      <c r="AE925" t="s">
        <v>888</v>
      </c>
      <c r="AF925">
        <v>10</v>
      </c>
      <c r="AG925">
        <v>2</v>
      </c>
    </row>
    <row r="926" spans="13:33" x14ac:dyDescent="0.35">
      <c r="M926" s="243"/>
      <c r="N926" s="243"/>
      <c r="O926" s="243"/>
      <c r="P926" s="243"/>
      <c r="Q926" s="243"/>
      <c r="R926" s="243"/>
      <c r="S926" s="243"/>
      <c r="T926" s="243"/>
      <c r="AA926">
        <v>760</v>
      </c>
      <c r="AB926" t="s">
        <v>0</v>
      </c>
      <c r="AC926" t="s">
        <v>1933</v>
      </c>
      <c r="AD926" t="s">
        <v>3298</v>
      </c>
      <c r="AE926" t="s">
        <v>889</v>
      </c>
      <c r="AF926">
        <v>10</v>
      </c>
      <c r="AG926">
        <v>1</v>
      </c>
    </row>
    <row r="927" spans="13:33" x14ac:dyDescent="0.35">
      <c r="M927" s="243"/>
      <c r="N927" s="243"/>
      <c r="O927" s="243"/>
      <c r="P927" s="243"/>
      <c r="Q927" s="243"/>
      <c r="R927" s="243"/>
      <c r="S927" s="243"/>
      <c r="T927" s="243"/>
      <c r="AA927">
        <v>761</v>
      </c>
      <c r="AB927" t="s">
        <v>0</v>
      </c>
      <c r="AC927" t="s">
        <v>1933</v>
      </c>
      <c r="AD927" t="s">
        <v>3298</v>
      </c>
      <c r="AE927" t="s">
        <v>890</v>
      </c>
      <c r="AF927">
        <v>10</v>
      </c>
      <c r="AG927">
        <v>0</v>
      </c>
    </row>
    <row r="928" spans="13:33" x14ac:dyDescent="0.35">
      <c r="M928" s="243"/>
      <c r="N928" s="243"/>
      <c r="O928" s="243"/>
      <c r="P928" s="243"/>
      <c r="Q928" s="243"/>
      <c r="R928" s="243"/>
      <c r="S928" s="243"/>
      <c r="T928" s="243"/>
      <c r="AA928">
        <v>787</v>
      </c>
      <c r="AB928" t="s">
        <v>0</v>
      </c>
      <c r="AC928" t="s">
        <v>1933</v>
      </c>
      <c r="AD928" t="s">
        <v>3298</v>
      </c>
      <c r="AE928" t="s">
        <v>1102</v>
      </c>
      <c r="AF928">
        <v>10</v>
      </c>
      <c r="AG928">
        <v>0</v>
      </c>
    </row>
    <row r="929" spans="13:33" x14ac:dyDescent="0.35">
      <c r="M929" s="243"/>
      <c r="N929" s="243"/>
      <c r="O929" s="243"/>
      <c r="P929" s="243"/>
      <c r="Q929" s="243"/>
      <c r="R929" s="243"/>
      <c r="S929" s="243"/>
      <c r="T929" s="243"/>
      <c r="AA929">
        <v>788</v>
      </c>
      <c r="AB929" t="s">
        <v>0</v>
      </c>
      <c r="AC929" t="s">
        <v>1933</v>
      </c>
      <c r="AD929" t="s">
        <v>3298</v>
      </c>
      <c r="AE929" t="s">
        <v>1103</v>
      </c>
      <c r="AF929">
        <v>10</v>
      </c>
      <c r="AG929">
        <v>0</v>
      </c>
    </row>
    <row r="930" spans="13:33" x14ac:dyDescent="0.35">
      <c r="M930" s="243"/>
      <c r="N930" s="243"/>
      <c r="O930" s="243"/>
      <c r="P930" s="243"/>
      <c r="Q930" s="243"/>
      <c r="R930" s="243"/>
      <c r="S930" s="243"/>
      <c r="T930" s="243"/>
      <c r="AA930">
        <v>789</v>
      </c>
      <c r="AB930" t="s">
        <v>0</v>
      </c>
      <c r="AC930" t="s">
        <v>1933</v>
      </c>
      <c r="AD930" t="s">
        <v>3298</v>
      </c>
      <c r="AE930" t="s">
        <v>1104</v>
      </c>
      <c r="AF930">
        <v>11</v>
      </c>
      <c r="AG930">
        <v>1</v>
      </c>
    </row>
    <row r="931" spans="13:33" x14ac:dyDescent="0.35">
      <c r="M931" s="243"/>
      <c r="N931" s="243"/>
      <c r="O931" s="243"/>
      <c r="P931" s="243"/>
      <c r="Q931" s="243"/>
      <c r="R931" s="243"/>
      <c r="S931" s="243"/>
      <c r="T931" s="243"/>
      <c r="AA931">
        <v>815</v>
      </c>
      <c r="AB931" t="s">
        <v>0</v>
      </c>
      <c r="AC931" t="s">
        <v>1933</v>
      </c>
      <c r="AD931" t="s">
        <v>3298</v>
      </c>
      <c r="AE931" t="s">
        <v>1105</v>
      </c>
      <c r="AF931">
        <v>10</v>
      </c>
      <c r="AG931">
        <v>0</v>
      </c>
    </row>
    <row r="932" spans="13:33" x14ac:dyDescent="0.35">
      <c r="M932" s="243"/>
      <c r="N932" s="243"/>
      <c r="O932" s="243"/>
      <c r="P932" s="243"/>
      <c r="Q932" s="243"/>
      <c r="R932" s="243"/>
      <c r="S932" s="243"/>
      <c r="T932" s="243"/>
      <c r="AA932">
        <v>816</v>
      </c>
      <c r="AB932" t="s">
        <v>0</v>
      </c>
      <c r="AC932" t="s">
        <v>1933</v>
      </c>
      <c r="AD932" t="s">
        <v>3298</v>
      </c>
      <c r="AE932" t="s">
        <v>1106</v>
      </c>
      <c r="AF932">
        <v>11</v>
      </c>
      <c r="AG932">
        <v>1</v>
      </c>
    </row>
    <row r="933" spans="13:33" x14ac:dyDescent="0.35">
      <c r="M933" s="243"/>
      <c r="N933" s="243"/>
      <c r="O933" s="243"/>
      <c r="P933" s="243"/>
      <c r="Q933" s="243"/>
      <c r="R933" s="243"/>
      <c r="S933" s="243"/>
      <c r="T933" s="243"/>
      <c r="AA933">
        <v>817</v>
      </c>
      <c r="AB933" t="s">
        <v>0</v>
      </c>
      <c r="AC933" t="s">
        <v>1933</v>
      </c>
      <c r="AD933" t="s">
        <v>3298</v>
      </c>
      <c r="AE933" t="s">
        <v>1107</v>
      </c>
      <c r="AF933">
        <v>12</v>
      </c>
      <c r="AG933">
        <v>2</v>
      </c>
    </row>
    <row r="934" spans="13:33" x14ac:dyDescent="0.35">
      <c r="M934" s="243"/>
      <c r="N934" s="243"/>
      <c r="O934" s="243"/>
      <c r="P934" s="243"/>
      <c r="Q934" s="243"/>
      <c r="R934" s="243"/>
      <c r="S934" s="243"/>
      <c r="T934" s="243"/>
      <c r="AA934">
        <v>722</v>
      </c>
      <c r="AB934" t="s">
        <v>0</v>
      </c>
      <c r="AC934" t="s">
        <v>1933</v>
      </c>
      <c r="AD934" t="s">
        <v>3298</v>
      </c>
      <c r="AE934" t="s">
        <v>891</v>
      </c>
      <c r="AF934">
        <v>10</v>
      </c>
      <c r="AG934">
        <v>3</v>
      </c>
    </row>
    <row r="935" spans="13:33" x14ac:dyDescent="0.35">
      <c r="M935" s="243"/>
      <c r="N935" s="243"/>
      <c r="O935" s="243"/>
      <c r="P935" s="243"/>
      <c r="Q935" s="243"/>
      <c r="R935" s="243"/>
      <c r="S935" s="243"/>
      <c r="T935" s="243"/>
      <c r="AA935">
        <v>723</v>
      </c>
      <c r="AB935" t="s">
        <v>0</v>
      </c>
      <c r="AC935" t="s">
        <v>1933</v>
      </c>
      <c r="AD935" t="s">
        <v>3298</v>
      </c>
      <c r="AE935" t="s">
        <v>892</v>
      </c>
      <c r="AF935">
        <v>10</v>
      </c>
      <c r="AG935">
        <v>2</v>
      </c>
    </row>
    <row r="936" spans="13:33" x14ac:dyDescent="0.35">
      <c r="M936" s="243"/>
      <c r="N936" s="243"/>
      <c r="O936" s="243"/>
      <c r="P936" s="243"/>
      <c r="Q936" s="243"/>
      <c r="R936" s="243"/>
      <c r="S936" s="243"/>
      <c r="T936" s="243"/>
      <c r="AA936">
        <v>724</v>
      </c>
      <c r="AB936" t="s">
        <v>0</v>
      </c>
      <c r="AC936" t="s">
        <v>1933</v>
      </c>
      <c r="AD936" t="s">
        <v>3298</v>
      </c>
      <c r="AE936" t="s">
        <v>893</v>
      </c>
      <c r="AF936">
        <v>10</v>
      </c>
      <c r="AG936">
        <v>1</v>
      </c>
    </row>
    <row r="937" spans="13:33" x14ac:dyDescent="0.35">
      <c r="M937" s="243"/>
      <c r="N937" s="243"/>
      <c r="O937" s="243"/>
      <c r="P937" s="243"/>
      <c r="Q937" s="243"/>
      <c r="R937" s="243"/>
      <c r="S937" s="243"/>
      <c r="T937" s="243"/>
      <c r="AA937">
        <v>750</v>
      </c>
      <c r="AB937" t="s">
        <v>0</v>
      </c>
      <c r="AC937" t="s">
        <v>1933</v>
      </c>
      <c r="AD937" t="s">
        <v>3298</v>
      </c>
      <c r="AE937" t="s">
        <v>894</v>
      </c>
      <c r="AF937">
        <v>10</v>
      </c>
      <c r="AG937">
        <v>2</v>
      </c>
    </row>
    <row r="938" spans="13:33" x14ac:dyDescent="0.35">
      <c r="M938" s="243"/>
      <c r="N938" s="243"/>
      <c r="O938" s="243"/>
      <c r="P938" s="243"/>
      <c r="Q938" s="243"/>
      <c r="R938" s="243"/>
      <c r="S938" s="243"/>
      <c r="T938" s="243"/>
      <c r="AA938">
        <v>751</v>
      </c>
      <c r="AB938" t="s">
        <v>0</v>
      </c>
      <c r="AC938" t="s">
        <v>1933</v>
      </c>
      <c r="AD938" t="s">
        <v>3298</v>
      </c>
      <c r="AE938" t="s">
        <v>895</v>
      </c>
      <c r="AF938">
        <v>10</v>
      </c>
      <c r="AG938">
        <v>1</v>
      </c>
    </row>
    <row r="939" spans="13:33" x14ac:dyDescent="0.35">
      <c r="M939" s="243"/>
      <c r="N939" s="243"/>
      <c r="O939" s="243"/>
      <c r="P939" s="243"/>
      <c r="Q939" s="243"/>
      <c r="R939" s="243"/>
      <c r="S939" s="243"/>
      <c r="T939" s="243"/>
      <c r="AA939">
        <v>752</v>
      </c>
      <c r="AB939" t="s">
        <v>0</v>
      </c>
      <c r="AC939" t="s">
        <v>1933</v>
      </c>
      <c r="AD939" t="s">
        <v>3298</v>
      </c>
      <c r="AE939" t="s">
        <v>896</v>
      </c>
      <c r="AF939">
        <v>10</v>
      </c>
      <c r="AG939">
        <v>0</v>
      </c>
    </row>
    <row r="940" spans="13:33" x14ac:dyDescent="0.35">
      <c r="M940" s="243"/>
      <c r="N940" s="243"/>
      <c r="O940" s="243"/>
      <c r="P940" s="243"/>
      <c r="Q940" s="243"/>
      <c r="R940" s="243"/>
      <c r="S940" s="243"/>
      <c r="T940" s="243"/>
      <c r="AA940">
        <v>778</v>
      </c>
      <c r="AB940" t="s">
        <v>0</v>
      </c>
      <c r="AC940" t="s">
        <v>1933</v>
      </c>
      <c r="AD940" t="s">
        <v>3298</v>
      </c>
      <c r="AE940" t="s">
        <v>1108</v>
      </c>
      <c r="AF940">
        <v>10</v>
      </c>
      <c r="AG940">
        <v>0</v>
      </c>
    </row>
    <row r="941" spans="13:33" x14ac:dyDescent="0.35">
      <c r="M941" s="243"/>
      <c r="N941" s="243"/>
      <c r="O941" s="243"/>
      <c r="P941" s="243"/>
      <c r="Q941" s="243"/>
      <c r="R941" s="243"/>
      <c r="S941" s="243"/>
      <c r="T941" s="243"/>
      <c r="AA941">
        <v>779</v>
      </c>
      <c r="AB941" t="s">
        <v>0</v>
      </c>
      <c r="AC941" t="s">
        <v>1933</v>
      </c>
      <c r="AD941" t="s">
        <v>3298</v>
      </c>
      <c r="AE941" t="s">
        <v>1109</v>
      </c>
      <c r="AF941">
        <v>10</v>
      </c>
      <c r="AG941">
        <v>0</v>
      </c>
    </row>
    <row r="942" spans="13:33" x14ac:dyDescent="0.35">
      <c r="M942" s="243"/>
      <c r="N942" s="243"/>
      <c r="O942" s="243"/>
      <c r="P942" s="243"/>
      <c r="Q942" s="243"/>
      <c r="R942" s="243"/>
      <c r="S942" s="243"/>
      <c r="T942" s="243"/>
      <c r="AA942">
        <v>780</v>
      </c>
      <c r="AB942" t="s">
        <v>0</v>
      </c>
      <c r="AC942" t="s">
        <v>1933</v>
      </c>
      <c r="AD942" t="s">
        <v>3298</v>
      </c>
      <c r="AE942" t="s">
        <v>1110</v>
      </c>
      <c r="AF942">
        <v>11</v>
      </c>
      <c r="AG942">
        <v>1</v>
      </c>
    </row>
    <row r="943" spans="13:33" x14ac:dyDescent="0.35">
      <c r="M943" s="243"/>
      <c r="N943" s="243"/>
      <c r="O943" s="243"/>
      <c r="P943" s="243"/>
      <c r="Q943" s="243"/>
      <c r="R943" s="243"/>
      <c r="S943" s="243"/>
      <c r="T943" s="243"/>
      <c r="AA943">
        <v>806</v>
      </c>
      <c r="AB943" t="s">
        <v>0</v>
      </c>
      <c r="AC943" t="s">
        <v>1933</v>
      </c>
      <c r="AD943" t="s">
        <v>3298</v>
      </c>
      <c r="AE943" t="s">
        <v>1111</v>
      </c>
      <c r="AF943">
        <v>10</v>
      </c>
      <c r="AG943">
        <v>0</v>
      </c>
    </row>
    <row r="944" spans="13:33" x14ac:dyDescent="0.35">
      <c r="M944" s="243"/>
      <c r="N944" s="243"/>
      <c r="O944" s="243"/>
      <c r="P944" s="243"/>
      <c r="Q944" s="243"/>
      <c r="R944" s="243"/>
      <c r="S944" s="243"/>
      <c r="T944" s="243"/>
      <c r="AA944">
        <v>807</v>
      </c>
      <c r="AB944" t="s">
        <v>0</v>
      </c>
      <c r="AC944" t="s">
        <v>1933</v>
      </c>
      <c r="AD944" t="s">
        <v>3298</v>
      </c>
      <c r="AE944" t="s">
        <v>1112</v>
      </c>
      <c r="AF944">
        <v>11</v>
      </c>
      <c r="AG944">
        <v>1</v>
      </c>
    </row>
    <row r="945" spans="13:33" x14ac:dyDescent="0.35">
      <c r="M945" s="243"/>
      <c r="N945" s="243"/>
      <c r="O945" s="243"/>
      <c r="P945" s="243"/>
      <c r="Q945" s="243"/>
      <c r="R945" s="243"/>
      <c r="S945" s="243"/>
      <c r="T945" s="243"/>
      <c r="AA945">
        <v>808</v>
      </c>
      <c r="AB945" t="s">
        <v>0</v>
      </c>
      <c r="AC945" t="s">
        <v>1933</v>
      </c>
      <c r="AD945" t="s">
        <v>3298</v>
      </c>
      <c r="AE945" t="s">
        <v>1113</v>
      </c>
      <c r="AF945">
        <v>12</v>
      </c>
      <c r="AG945">
        <v>2</v>
      </c>
    </row>
    <row r="946" spans="13:33" x14ac:dyDescent="0.35">
      <c r="M946" s="243"/>
      <c r="N946" s="243"/>
      <c r="O946" s="243"/>
      <c r="P946" s="243"/>
      <c r="Q946" s="243"/>
      <c r="R946" s="243"/>
      <c r="S946" s="243"/>
      <c r="T946" s="243"/>
      <c r="AA946">
        <v>725</v>
      </c>
      <c r="AB946" t="s">
        <v>0</v>
      </c>
      <c r="AC946" t="s">
        <v>1933</v>
      </c>
      <c r="AD946" t="s">
        <v>3298</v>
      </c>
      <c r="AE946" t="s">
        <v>897</v>
      </c>
      <c r="AF946">
        <v>10</v>
      </c>
      <c r="AG946">
        <v>3</v>
      </c>
    </row>
    <row r="947" spans="13:33" x14ac:dyDescent="0.35">
      <c r="M947" s="243"/>
      <c r="N947" s="243"/>
      <c r="O947" s="243"/>
      <c r="P947" s="243"/>
      <c r="Q947" s="243"/>
      <c r="R947" s="243"/>
      <c r="S947" s="243"/>
      <c r="T947" s="243"/>
      <c r="AA947">
        <v>726</v>
      </c>
      <c r="AB947" t="s">
        <v>0</v>
      </c>
      <c r="AC947" t="s">
        <v>1933</v>
      </c>
      <c r="AD947" t="s">
        <v>3298</v>
      </c>
      <c r="AE947" t="s">
        <v>898</v>
      </c>
      <c r="AF947">
        <v>10</v>
      </c>
      <c r="AG947">
        <v>2</v>
      </c>
    </row>
    <row r="948" spans="13:33" x14ac:dyDescent="0.35">
      <c r="M948" s="243"/>
      <c r="N948" s="243"/>
      <c r="O948" s="243"/>
      <c r="P948" s="243"/>
      <c r="Q948" s="243"/>
      <c r="R948" s="243"/>
      <c r="S948" s="243"/>
      <c r="T948" s="243"/>
      <c r="AA948">
        <v>727</v>
      </c>
      <c r="AB948" t="s">
        <v>0</v>
      </c>
      <c r="AC948" t="s">
        <v>1933</v>
      </c>
      <c r="AD948" t="s">
        <v>3298</v>
      </c>
      <c r="AE948" t="s">
        <v>899</v>
      </c>
      <c r="AF948">
        <v>10</v>
      </c>
      <c r="AG948">
        <v>1</v>
      </c>
    </row>
    <row r="949" spans="13:33" x14ac:dyDescent="0.35">
      <c r="M949" s="243"/>
      <c r="N949" s="243"/>
      <c r="O949" s="243"/>
      <c r="P949" s="243"/>
      <c r="Q949" s="243"/>
      <c r="R949" s="243"/>
      <c r="S949" s="243"/>
      <c r="T949" s="243"/>
      <c r="AA949">
        <v>753</v>
      </c>
      <c r="AB949" t="s">
        <v>0</v>
      </c>
      <c r="AC949" t="s">
        <v>1933</v>
      </c>
      <c r="AD949" t="s">
        <v>3298</v>
      </c>
      <c r="AE949" t="s">
        <v>900</v>
      </c>
      <c r="AF949">
        <v>10</v>
      </c>
      <c r="AG949">
        <v>2</v>
      </c>
    </row>
    <row r="950" spans="13:33" x14ac:dyDescent="0.35">
      <c r="M950" s="243"/>
      <c r="N950" s="243"/>
      <c r="O950" s="243"/>
      <c r="P950" s="243"/>
      <c r="Q950" s="243"/>
      <c r="R950" s="243"/>
      <c r="S950" s="243"/>
      <c r="T950" s="243"/>
      <c r="AA950">
        <v>754</v>
      </c>
      <c r="AB950" t="s">
        <v>0</v>
      </c>
      <c r="AC950" t="s">
        <v>1933</v>
      </c>
      <c r="AD950" t="s">
        <v>3298</v>
      </c>
      <c r="AE950" t="s">
        <v>901</v>
      </c>
      <c r="AF950">
        <v>10</v>
      </c>
      <c r="AG950">
        <v>1</v>
      </c>
    </row>
    <row r="951" spans="13:33" x14ac:dyDescent="0.35">
      <c r="M951" s="243"/>
      <c r="N951" s="243"/>
      <c r="O951" s="243"/>
      <c r="P951" s="243"/>
      <c r="Q951" s="243"/>
      <c r="R951" s="243"/>
      <c r="S951" s="243"/>
      <c r="T951" s="243"/>
      <c r="AA951">
        <v>755</v>
      </c>
      <c r="AB951" t="s">
        <v>0</v>
      </c>
      <c r="AC951" t="s">
        <v>1933</v>
      </c>
      <c r="AD951" t="s">
        <v>3298</v>
      </c>
      <c r="AE951" t="s">
        <v>902</v>
      </c>
      <c r="AF951">
        <v>10</v>
      </c>
      <c r="AG951">
        <v>0</v>
      </c>
    </row>
    <row r="952" spans="13:33" x14ac:dyDescent="0.35">
      <c r="M952" s="243"/>
      <c r="N952" s="243"/>
      <c r="O952" s="243"/>
      <c r="P952" s="243"/>
      <c r="Q952" s="243"/>
      <c r="R952" s="243"/>
      <c r="S952" s="243"/>
      <c r="T952" s="243"/>
      <c r="AA952">
        <v>781</v>
      </c>
      <c r="AB952" t="s">
        <v>0</v>
      </c>
      <c r="AC952" t="s">
        <v>1933</v>
      </c>
      <c r="AD952" t="s">
        <v>3298</v>
      </c>
      <c r="AE952" t="s">
        <v>1114</v>
      </c>
      <c r="AF952">
        <v>10</v>
      </c>
      <c r="AG952">
        <v>0</v>
      </c>
    </row>
    <row r="953" spans="13:33" x14ac:dyDescent="0.35">
      <c r="M953" s="243"/>
      <c r="N953" s="243"/>
      <c r="O953" s="243"/>
      <c r="P953" s="243"/>
      <c r="Q953" s="243"/>
      <c r="R953" s="243"/>
      <c r="S953" s="243"/>
      <c r="T953" s="243"/>
      <c r="AA953">
        <v>782</v>
      </c>
      <c r="AB953" t="s">
        <v>0</v>
      </c>
      <c r="AC953" t="s">
        <v>1933</v>
      </c>
      <c r="AD953" t="s">
        <v>3298</v>
      </c>
      <c r="AE953" t="s">
        <v>1115</v>
      </c>
      <c r="AF953">
        <v>10</v>
      </c>
      <c r="AG953">
        <v>0</v>
      </c>
    </row>
    <row r="954" spans="13:33" x14ac:dyDescent="0.35">
      <c r="M954" s="243"/>
      <c r="N954" s="243"/>
      <c r="O954" s="243"/>
      <c r="P954" s="243"/>
      <c r="Q954" s="243"/>
      <c r="R954" s="243"/>
      <c r="S954" s="243"/>
      <c r="T954" s="243"/>
      <c r="AA954">
        <v>783</v>
      </c>
      <c r="AB954" t="s">
        <v>0</v>
      </c>
      <c r="AC954" t="s">
        <v>1933</v>
      </c>
      <c r="AD954" t="s">
        <v>3298</v>
      </c>
      <c r="AE954" t="s">
        <v>1116</v>
      </c>
      <c r="AF954">
        <v>11</v>
      </c>
      <c r="AG954">
        <v>1</v>
      </c>
    </row>
    <row r="955" spans="13:33" x14ac:dyDescent="0.35">
      <c r="M955" s="243"/>
      <c r="N955" s="243"/>
      <c r="O955" s="243"/>
      <c r="P955" s="243"/>
      <c r="Q955" s="243"/>
      <c r="R955" s="243"/>
      <c r="S955" s="243"/>
      <c r="T955" s="243"/>
      <c r="AA955">
        <v>809</v>
      </c>
      <c r="AB955" t="s">
        <v>0</v>
      </c>
      <c r="AC955" t="s">
        <v>1933</v>
      </c>
      <c r="AD955" t="s">
        <v>3298</v>
      </c>
      <c r="AE955" t="s">
        <v>1117</v>
      </c>
      <c r="AF955">
        <v>10</v>
      </c>
      <c r="AG955">
        <v>0</v>
      </c>
    </row>
    <row r="956" spans="13:33" x14ac:dyDescent="0.35">
      <c r="M956" s="243"/>
      <c r="N956" s="243"/>
      <c r="O956" s="243"/>
      <c r="P956" s="243"/>
      <c r="Q956" s="243"/>
      <c r="R956" s="243"/>
      <c r="S956" s="243"/>
      <c r="T956" s="243"/>
      <c r="AA956">
        <v>810</v>
      </c>
      <c r="AB956" t="s">
        <v>0</v>
      </c>
      <c r="AC956" t="s">
        <v>1933</v>
      </c>
      <c r="AD956" t="s">
        <v>3298</v>
      </c>
      <c r="AE956" t="s">
        <v>1118</v>
      </c>
      <c r="AF956">
        <v>11</v>
      </c>
      <c r="AG956">
        <v>1</v>
      </c>
    </row>
    <row r="957" spans="13:33" x14ac:dyDescent="0.35">
      <c r="M957" s="243"/>
      <c r="N957" s="243"/>
      <c r="O957" s="243"/>
      <c r="P957" s="243"/>
      <c r="Q957" s="243"/>
      <c r="R957" s="243"/>
      <c r="S957" s="243"/>
      <c r="T957" s="243"/>
      <c r="AA957">
        <v>811</v>
      </c>
      <c r="AB957" t="s">
        <v>0</v>
      </c>
      <c r="AC957" t="s">
        <v>1933</v>
      </c>
      <c r="AD957" t="s">
        <v>3298</v>
      </c>
      <c r="AE957" t="s">
        <v>1119</v>
      </c>
      <c r="AF957">
        <v>12</v>
      </c>
      <c r="AG957">
        <v>2</v>
      </c>
    </row>
    <row r="958" spans="13:33" x14ac:dyDescent="0.35">
      <c r="M958" s="243"/>
      <c r="N958" s="243"/>
      <c r="O958" s="243"/>
      <c r="P958" s="243"/>
      <c r="Q958" s="243"/>
      <c r="R958" s="243"/>
      <c r="S958" s="243"/>
      <c r="T958" s="243"/>
      <c r="AA958">
        <v>706</v>
      </c>
      <c r="AB958" t="s">
        <v>0</v>
      </c>
      <c r="AC958" t="s">
        <v>1933</v>
      </c>
      <c r="AD958" t="s">
        <v>3298</v>
      </c>
      <c r="AE958" t="s">
        <v>903</v>
      </c>
      <c r="AF958">
        <v>15</v>
      </c>
      <c r="AG958">
        <v>0</v>
      </c>
    </row>
    <row r="959" spans="13:33" x14ac:dyDescent="0.35">
      <c r="M959" s="243"/>
      <c r="N959" s="243"/>
      <c r="O959" s="243"/>
      <c r="P959" s="243"/>
      <c r="Q959" s="243"/>
      <c r="R959" s="243"/>
      <c r="S959" s="243"/>
      <c r="T959" s="243"/>
      <c r="AA959">
        <v>734</v>
      </c>
      <c r="AB959" t="s">
        <v>0</v>
      </c>
      <c r="AC959" t="s">
        <v>1933</v>
      </c>
      <c r="AD959" t="s">
        <v>3298</v>
      </c>
      <c r="AE959" t="s">
        <v>904</v>
      </c>
      <c r="AF959">
        <v>15</v>
      </c>
      <c r="AG959">
        <v>0</v>
      </c>
    </row>
    <row r="960" spans="13:33" x14ac:dyDescent="0.35">
      <c r="M960" s="243"/>
      <c r="N960" s="243"/>
      <c r="O960" s="243"/>
      <c r="P960" s="243"/>
      <c r="Q960" s="243"/>
      <c r="R960" s="243"/>
      <c r="S960" s="243"/>
      <c r="T960" s="243"/>
      <c r="AA960">
        <v>762</v>
      </c>
      <c r="AB960" t="s">
        <v>0</v>
      </c>
      <c r="AC960" t="s">
        <v>1933</v>
      </c>
      <c r="AD960" t="s">
        <v>3298</v>
      </c>
      <c r="AE960" t="s">
        <v>905</v>
      </c>
      <c r="AF960">
        <v>15</v>
      </c>
      <c r="AG960">
        <v>0</v>
      </c>
    </row>
    <row r="961" spans="13:33" x14ac:dyDescent="0.35">
      <c r="M961" s="243"/>
      <c r="N961" s="243"/>
      <c r="O961" s="243"/>
      <c r="P961" s="243"/>
      <c r="Q961" s="243"/>
      <c r="R961" s="243"/>
      <c r="S961" s="243"/>
      <c r="T961" s="243"/>
      <c r="AA961">
        <v>790</v>
      </c>
      <c r="AB961" t="s">
        <v>0</v>
      </c>
      <c r="AC961" t="s">
        <v>1933</v>
      </c>
      <c r="AD961" t="s">
        <v>3298</v>
      </c>
      <c r="AE961" t="s">
        <v>906</v>
      </c>
      <c r="AF961">
        <v>15</v>
      </c>
      <c r="AG961">
        <v>0</v>
      </c>
    </row>
    <row r="962" spans="13:33" x14ac:dyDescent="0.35">
      <c r="M962" s="243"/>
      <c r="N962" s="243"/>
      <c r="O962" s="243"/>
      <c r="P962" s="243"/>
      <c r="Q962" s="243"/>
      <c r="R962" s="243"/>
      <c r="S962" s="243"/>
      <c r="T962" s="243"/>
      <c r="AA962">
        <v>707</v>
      </c>
      <c r="AB962" t="s">
        <v>0</v>
      </c>
      <c r="AC962" t="s">
        <v>1933</v>
      </c>
      <c r="AD962" t="s">
        <v>3298</v>
      </c>
      <c r="AE962" t="s">
        <v>907</v>
      </c>
      <c r="AF962">
        <v>10</v>
      </c>
      <c r="AG962">
        <v>0</v>
      </c>
    </row>
    <row r="963" spans="13:33" x14ac:dyDescent="0.35">
      <c r="M963" s="243"/>
      <c r="N963" s="243"/>
      <c r="O963" s="243"/>
      <c r="P963" s="243"/>
      <c r="Q963" s="243"/>
      <c r="R963" s="243"/>
      <c r="S963" s="243"/>
      <c r="T963" s="243"/>
      <c r="AA963">
        <v>708</v>
      </c>
      <c r="AB963" t="s">
        <v>0</v>
      </c>
      <c r="AC963" t="s">
        <v>1933</v>
      </c>
      <c r="AD963" t="s">
        <v>3298</v>
      </c>
      <c r="AE963" t="s">
        <v>908</v>
      </c>
      <c r="AF963">
        <v>10</v>
      </c>
      <c r="AG963">
        <v>0</v>
      </c>
    </row>
    <row r="964" spans="13:33" x14ac:dyDescent="0.35">
      <c r="M964" s="243"/>
      <c r="N964" s="243"/>
      <c r="O964" s="243"/>
      <c r="P964" s="243"/>
      <c r="Q964" s="243"/>
      <c r="R964" s="243"/>
      <c r="S964" s="243"/>
      <c r="T964" s="243"/>
      <c r="AA964">
        <v>709</v>
      </c>
      <c r="AB964" t="s">
        <v>0</v>
      </c>
      <c r="AC964" t="s">
        <v>1933</v>
      </c>
      <c r="AD964" t="s">
        <v>3298</v>
      </c>
      <c r="AE964" t="s">
        <v>909</v>
      </c>
      <c r="AF964">
        <v>10</v>
      </c>
      <c r="AG964">
        <v>0</v>
      </c>
    </row>
    <row r="965" spans="13:33" x14ac:dyDescent="0.35">
      <c r="M965" s="243"/>
      <c r="N965" s="243"/>
      <c r="O965" s="243"/>
      <c r="P965" s="243"/>
      <c r="Q965" s="243"/>
      <c r="R965" s="243"/>
      <c r="S965" s="243"/>
      <c r="T965" s="243"/>
      <c r="AA965">
        <v>735</v>
      </c>
      <c r="AB965" t="s">
        <v>0</v>
      </c>
      <c r="AC965" t="s">
        <v>1933</v>
      </c>
      <c r="AD965" t="s">
        <v>3298</v>
      </c>
      <c r="AE965" t="s">
        <v>910</v>
      </c>
      <c r="AF965">
        <v>10</v>
      </c>
      <c r="AG965">
        <v>0</v>
      </c>
    </row>
    <row r="966" spans="13:33" x14ac:dyDescent="0.35">
      <c r="M966" s="243"/>
      <c r="N966" s="243"/>
      <c r="O966" s="243"/>
      <c r="P966" s="243"/>
      <c r="Q966" s="243"/>
      <c r="R966" s="243"/>
      <c r="S966" s="243"/>
      <c r="T966" s="243"/>
      <c r="AA966">
        <v>736</v>
      </c>
      <c r="AB966" t="s">
        <v>0</v>
      </c>
      <c r="AC966" t="s">
        <v>1933</v>
      </c>
      <c r="AD966" t="s">
        <v>3298</v>
      </c>
      <c r="AE966" t="s">
        <v>911</v>
      </c>
      <c r="AF966">
        <v>10</v>
      </c>
      <c r="AG966">
        <v>0</v>
      </c>
    </row>
    <row r="967" spans="13:33" x14ac:dyDescent="0.35">
      <c r="M967" s="243"/>
      <c r="N967" s="243"/>
      <c r="O967" s="243"/>
      <c r="P967" s="243"/>
      <c r="Q967" s="243"/>
      <c r="R967" s="243"/>
      <c r="S967" s="243"/>
      <c r="T967" s="243"/>
      <c r="AA967">
        <v>737</v>
      </c>
      <c r="AB967" t="s">
        <v>0</v>
      </c>
      <c r="AC967" t="s">
        <v>1933</v>
      </c>
      <c r="AD967" t="s">
        <v>3298</v>
      </c>
      <c r="AE967" t="s">
        <v>912</v>
      </c>
      <c r="AF967">
        <v>10</v>
      </c>
      <c r="AG967">
        <v>0</v>
      </c>
    </row>
    <row r="968" spans="13:33" x14ac:dyDescent="0.35">
      <c r="M968" s="243"/>
      <c r="N968" s="243"/>
      <c r="O968" s="243"/>
      <c r="P968" s="243"/>
      <c r="Q968" s="243"/>
      <c r="R968" s="243"/>
      <c r="S968" s="243"/>
      <c r="T968" s="243"/>
      <c r="AA968">
        <v>763</v>
      </c>
      <c r="AB968" t="s">
        <v>0</v>
      </c>
      <c r="AC968" t="s">
        <v>1933</v>
      </c>
      <c r="AD968" t="s">
        <v>3298</v>
      </c>
      <c r="AE968" t="s">
        <v>913</v>
      </c>
      <c r="AF968">
        <v>10</v>
      </c>
      <c r="AG968">
        <v>0</v>
      </c>
    </row>
    <row r="969" spans="13:33" x14ac:dyDescent="0.35">
      <c r="M969" s="243"/>
      <c r="N969" s="243"/>
      <c r="O969" s="243"/>
      <c r="P969" s="243"/>
      <c r="Q969" s="243"/>
      <c r="R969" s="243"/>
      <c r="S969" s="243"/>
      <c r="T969" s="243"/>
      <c r="AA969">
        <v>764</v>
      </c>
      <c r="AB969" t="s">
        <v>0</v>
      </c>
      <c r="AC969" t="s">
        <v>1933</v>
      </c>
      <c r="AD969" t="s">
        <v>3298</v>
      </c>
      <c r="AE969" t="s">
        <v>914</v>
      </c>
      <c r="AF969">
        <v>10</v>
      </c>
      <c r="AG969">
        <v>0</v>
      </c>
    </row>
    <row r="970" spans="13:33" x14ac:dyDescent="0.35">
      <c r="M970" s="243"/>
      <c r="N970" s="243"/>
      <c r="O970" s="243"/>
      <c r="P970" s="243"/>
      <c r="Q970" s="243"/>
      <c r="R970" s="243"/>
      <c r="S970" s="243"/>
      <c r="T970" s="243"/>
      <c r="AA970">
        <v>765</v>
      </c>
      <c r="AB970" t="s">
        <v>0</v>
      </c>
      <c r="AC970" t="s">
        <v>1933</v>
      </c>
      <c r="AD970" t="s">
        <v>3298</v>
      </c>
      <c r="AE970" t="s">
        <v>915</v>
      </c>
      <c r="AF970">
        <v>11</v>
      </c>
      <c r="AG970">
        <v>1</v>
      </c>
    </row>
    <row r="971" spans="13:33" x14ac:dyDescent="0.35">
      <c r="M971" s="243"/>
      <c r="N971" s="243"/>
      <c r="O971" s="243"/>
      <c r="P971" s="243"/>
      <c r="Q971" s="243"/>
      <c r="R971" s="243"/>
      <c r="S971" s="243"/>
      <c r="T971" s="243"/>
      <c r="AA971">
        <v>791</v>
      </c>
      <c r="AB971" t="s">
        <v>0</v>
      </c>
      <c r="AC971" t="s">
        <v>1933</v>
      </c>
      <c r="AD971" t="s">
        <v>3298</v>
      </c>
      <c r="AE971" t="s">
        <v>916</v>
      </c>
      <c r="AF971">
        <v>10</v>
      </c>
      <c r="AG971">
        <v>0</v>
      </c>
    </row>
    <row r="972" spans="13:33" x14ac:dyDescent="0.35">
      <c r="M972" s="243"/>
      <c r="N972" s="243"/>
      <c r="O972" s="243"/>
      <c r="P972" s="243"/>
      <c r="Q972" s="243"/>
      <c r="R972" s="243"/>
      <c r="S972" s="243"/>
      <c r="T972" s="243"/>
      <c r="AA972">
        <v>792</v>
      </c>
      <c r="AB972" t="s">
        <v>0</v>
      </c>
      <c r="AC972" t="s">
        <v>1933</v>
      </c>
      <c r="AD972" t="s">
        <v>3298</v>
      </c>
      <c r="AE972" t="s">
        <v>917</v>
      </c>
      <c r="AF972">
        <v>11</v>
      </c>
      <c r="AG972">
        <v>1</v>
      </c>
    </row>
    <row r="973" spans="13:33" x14ac:dyDescent="0.35">
      <c r="M973" s="243"/>
      <c r="N973" s="243"/>
      <c r="O973" s="243"/>
      <c r="P973" s="243"/>
      <c r="Q973" s="243"/>
      <c r="R973" s="243"/>
      <c r="S973" s="243"/>
      <c r="T973" s="243"/>
      <c r="AA973">
        <v>793</v>
      </c>
      <c r="AB973" t="s">
        <v>0</v>
      </c>
      <c r="AC973" t="s">
        <v>1933</v>
      </c>
      <c r="AD973" t="s">
        <v>3298</v>
      </c>
      <c r="AE973" t="s">
        <v>918</v>
      </c>
      <c r="AF973">
        <v>12</v>
      </c>
      <c r="AG973">
        <v>2</v>
      </c>
    </row>
    <row r="974" spans="13:33" x14ac:dyDescent="0.35">
      <c r="M974" s="243"/>
      <c r="N974" s="243"/>
      <c r="O974" s="243"/>
      <c r="P974" s="243"/>
      <c r="Q974" s="243"/>
      <c r="R974" s="243"/>
      <c r="S974" s="243"/>
      <c r="T974" s="243"/>
      <c r="AA974">
        <v>710</v>
      </c>
      <c r="AB974" t="s">
        <v>0</v>
      </c>
      <c r="AC974" t="s">
        <v>1933</v>
      </c>
      <c r="AD974" t="s">
        <v>3298</v>
      </c>
      <c r="AE974" t="s">
        <v>919</v>
      </c>
      <c r="AF974">
        <v>10</v>
      </c>
      <c r="AG974">
        <v>0</v>
      </c>
    </row>
    <row r="975" spans="13:33" x14ac:dyDescent="0.35">
      <c r="M975" s="243"/>
      <c r="N975" s="243"/>
      <c r="O975" s="243"/>
      <c r="P975" s="243"/>
      <c r="Q975" s="243"/>
      <c r="R975" s="243"/>
      <c r="S975" s="243"/>
      <c r="T975" s="243"/>
      <c r="AA975">
        <v>711</v>
      </c>
      <c r="AB975" t="s">
        <v>0</v>
      </c>
      <c r="AC975" t="s">
        <v>1933</v>
      </c>
      <c r="AD975" t="s">
        <v>3298</v>
      </c>
      <c r="AE975" t="s">
        <v>920</v>
      </c>
      <c r="AF975">
        <v>10</v>
      </c>
      <c r="AG975">
        <v>0</v>
      </c>
    </row>
    <row r="976" spans="13:33" x14ac:dyDescent="0.35">
      <c r="M976" s="243"/>
      <c r="N976" s="243"/>
      <c r="O976" s="243"/>
      <c r="P976" s="243"/>
      <c r="Q976" s="243"/>
      <c r="R976" s="243"/>
      <c r="S976" s="243"/>
      <c r="T976" s="243"/>
      <c r="AA976">
        <v>712</v>
      </c>
      <c r="AB976" t="s">
        <v>0</v>
      </c>
      <c r="AC976" t="s">
        <v>1933</v>
      </c>
      <c r="AD976" t="s">
        <v>3298</v>
      </c>
      <c r="AE976" t="s">
        <v>921</v>
      </c>
      <c r="AF976">
        <v>10</v>
      </c>
      <c r="AG976">
        <v>0</v>
      </c>
    </row>
    <row r="977" spans="13:33" x14ac:dyDescent="0.35">
      <c r="M977" s="243"/>
      <c r="N977" s="243"/>
      <c r="O977" s="243"/>
      <c r="P977" s="243"/>
      <c r="Q977" s="243"/>
      <c r="R977" s="243"/>
      <c r="S977" s="243"/>
      <c r="T977" s="243"/>
      <c r="AA977">
        <v>738</v>
      </c>
      <c r="AB977" t="s">
        <v>0</v>
      </c>
      <c r="AC977" t="s">
        <v>1933</v>
      </c>
      <c r="AD977" t="s">
        <v>3298</v>
      </c>
      <c r="AE977" t="s">
        <v>922</v>
      </c>
      <c r="AF977">
        <v>10</v>
      </c>
      <c r="AG977">
        <v>0</v>
      </c>
    </row>
    <row r="978" spans="13:33" x14ac:dyDescent="0.35">
      <c r="M978" s="243"/>
      <c r="N978" s="243"/>
      <c r="O978" s="243"/>
      <c r="P978" s="243"/>
      <c r="Q978" s="243"/>
      <c r="R978" s="243"/>
      <c r="S978" s="243"/>
      <c r="T978" s="243"/>
      <c r="AA978">
        <v>739</v>
      </c>
      <c r="AB978" t="s">
        <v>0</v>
      </c>
      <c r="AC978" t="s">
        <v>1933</v>
      </c>
      <c r="AD978" t="s">
        <v>3298</v>
      </c>
      <c r="AE978" t="s">
        <v>923</v>
      </c>
      <c r="AF978">
        <v>10</v>
      </c>
      <c r="AG978">
        <v>0</v>
      </c>
    </row>
    <row r="979" spans="13:33" x14ac:dyDescent="0.35">
      <c r="M979" s="243"/>
      <c r="N979" s="243"/>
      <c r="O979" s="243"/>
      <c r="P979" s="243"/>
      <c r="Q979" s="243"/>
      <c r="R979" s="243"/>
      <c r="S979" s="243"/>
      <c r="T979" s="243"/>
      <c r="AA979">
        <v>740</v>
      </c>
      <c r="AB979" t="s">
        <v>0</v>
      </c>
      <c r="AC979" t="s">
        <v>1933</v>
      </c>
      <c r="AD979" t="s">
        <v>3298</v>
      </c>
      <c r="AE979" t="s">
        <v>924</v>
      </c>
      <c r="AF979">
        <v>10</v>
      </c>
      <c r="AG979">
        <v>0</v>
      </c>
    </row>
    <row r="980" spans="13:33" x14ac:dyDescent="0.35">
      <c r="M980" s="243"/>
      <c r="N980" s="243"/>
      <c r="O980" s="243"/>
      <c r="P980" s="243"/>
      <c r="Q980" s="243"/>
      <c r="R980" s="243"/>
      <c r="S980" s="243"/>
      <c r="T980" s="243"/>
      <c r="AA980">
        <v>766</v>
      </c>
      <c r="AB980" t="s">
        <v>0</v>
      </c>
      <c r="AC980" t="s">
        <v>1933</v>
      </c>
      <c r="AD980" t="s">
        <v>3298</v>
      </c>
      <c r="AE980" t="s">
        <v>925</v>
      </c>
      <c r="AF980">
        <v>10</v>
      </c>
      <c r="AG980">
        <v>0</v>
      </c>
    </row>
    <row r="981" spans="13:33" x14ac:dyDescent="0.35">
      <c r="M981" s="243"/>
      <c r="N981" s="243"/>
      <c r="O981" s="243"/>
      <c r="P981" s="243"/>
      <c r="Q981" s="243"/>
      <c r="R981" s="243"/>
      <c r="S981" s="243"/>
      <c r="T981" s="243"/>
      <c r="AA981">
        <v>767</v>
      </c>
      <c r="AB981" t="s">
        <v>0</v>
      </c>
      <c r="AC981" t="s">
        <v>1933</v>
      </c>
      <c r="AD981" t="s">
        <v>3298</v>
      </c>
      <c r="AE981" t="s">
        <v>926</v>
      </c>
      <c r="AF981">
        <v>10</v>
      </c>
      <c r="AG981">
        <v>0</v>
      </c>
    </row>
    <row r="982" spans="13:33" x14ac:dyDescent="0.35">
      <c r="M982" s="243"/>
      <c r="N982" s="243"/>
      <c r="O982" s="243"/>
      <c r="P982" s="243"/>
      <c r="Q982" s="243"/>
      <c r="R982" s="243"/>
      <c r="S982" s="243"/>
      <c r="T982" s="243"/>
      <c r="AA982">
        <v>768</v>
      </c>
      <c r="AB982" t="s">
        <v>0</v>
      </c>
      <c r="AC982" t="s">
        <v>1933</v>
      </c>
      <c r="AD982" t="s">
        <v>3298</v>
      </c>
      <c r="AE982" t="s">
        <v>927</v>
      </c>
      <c r="AF982">
        <v>11</v>
      </c>
      <c r="AG982">
        <v>1</v>
      </c>
    </row>
    <row r="983" spans="13:33" x14ac:dyDescent="0.35">
      <c r="M983" s="243"/>
      <c r="N983" s="243"/>
      <c r="O983" s="243"/>
      <c r="P983" s="243"/>
      <c r="Q983" s="243"/>
      <c r="R983" s="243"/>
      <c r="S983" s="243"/>
      <c r="T983" s="243"/>
      <c r="AA983">
        <v>794</v>
      </c>
      <c r="AB983" t="s">
        <v>0</v>
      </c>
      <c r="AC983" t="s">
        <v>1933</v>
      </c>
      <c r="AD983" t="s">
        <v>3298</v>
      </c>
      <c r="AE983" t="s">
        <v>928</v>
      </c>
      <c r="AF983">
        <v>10</v>
      </c>
      <c r="AG983">
        <v>0</v>
      </c>
    </row>
    <row r="984" spans="13:33" x14ac:dyDescent="0.35">
      <c r="M984" s="243"/>
      <c r="N984" s="243"/>
      <c r="O984" s="243"/>
      <c r="P984" s="243"/>
      <c r="Q984" s="243"/>
      <c r="R984" s="243"/>
      <c r="S984" s="243"/>
      <c r="T984" s="243"/>
      <c r="AA984">
        <v>795</v>
      </c>
      <c r="AB984" t="s">
        <v>0</v>
      </c>
      <c r="AC984" t="s">
        <v>1933</v>
      </c>
      <c r="AD984" t="s">
        <v>3298</v>
      </c>
      <c r="AE984" t="s">
        <v>929</v>
      </c>
      <c r="AF984">
        <v>11</v>
      </c>
      <c r="AG984">
        <v>1</v>
      </c>
    </row>
    <row r="985" spans="13:33" x14ac:dyDescent="0.35">
      <c r="M985" s="243"/>
      <c r="N985" s="243"/>
      <c r="O985" s="243"/>
      <c r="P985" s="243"/>
      <c r="Q985" s="243"/>
      <c r="R985" s="243"/>
      <c r="S985" s="243"/>
      <c r="T985" s="243"/>
      <c r="AA985">
        <v>796</v>
      </c>
      <c r="AB985" t="s">
        <v>0</v>
      </c>
      <c r="AC985" t="s">
        <v>1933</v>
      </c>
      <c r="AD985" t="s">
        <v>3298</v>
      </c>
      <c r="AE985" t="s">
        <v>930</v>
      </c>
      <c r="AF985">
        <v>12</v>
      </c>
      <c r="AG985">
        <v>2</v>
      </c>
    </row>
    <row r="986" spans="13:33" x14ac:dyDescent="0.35">
      <c r="M986" s="243"/>
      <c r="N986" s="243"/>
      <c r="O986" s="243"/>
      <c r="P986" s="243"/>
      <c r="Q986" s="243"/>
      <c r="R986" s="243"/>
      <c r="S986" s="243"/>
      <c r="T986" s="243"/>
      <c r="AA986">
        <v>713</v>
      </c>
      <c r="AB986" t="s">
        <v>0</v>
      </c>
      <c r="AC986" t="s">
        <v>1933</v>
      </c>
      <c r="AD986" t="s">
        <v>3298</v>
      </c>
      <c r="AE986" t="s">
        <v>931</v>
      </c>
      <c r="AF986">
        <v>10</v>
      </c>
      <c r="AG986">
        <v>0</v>
      </c>
    </row>
    <row r="987" spans="13:33" x14ac:dyDescent="0.35">
      <c r="M987" s="243"/>
      <c r="N987" s="243"/>
      <c r="O987" s="243"/>
      <c r="P987" s="243"/>
      <c r="Q987" s="243"/>
      <c r="R987" s="243"/>
      <c r="S987" s="243"/>
      <c r="T987" s="243"/>
      <c r="AA987">
        <v>714</v>
      </c>
      <c r="AB987" t="s">
        <v>0</v>
      </c>
      <c r="AC987" t="s">
        <v>1933</v>
      </c>
      <c r="AD987" t="s">
        <v>3298</v>
      </c>
      <c r="AE987" t="s">
        <v>932</v>
      </c>
      <c r="AF987">
        <v>10</v>
      </c>
      <c r="AG987">
        <v>0</v>
      </c>
    </row>
    <row r="988" spans="13:33" x14ac:dyDescent="0.35">
      <c r="M988" s="243"/>
      <c r="N988" s="243"/>
      <c r="O988" s="243"/>
      <c r="P988" s="243"/>
      <c r="Q988" s="243"/>
      <c r="R988" s="243"/>
      <c r="S988" s="243"/>
      <c r="T988" s="243"/>
      <c r="AA988">
        <v>715</v>
      </c>
      <c r="AB988" t="s">
        <v>0</v>
      </c>
      <c r="AC988" t="s">
        <v>1933</v>
      </c>
      <c r="AD988" t="s">
        <v>3298</v>
      </c>
      <c r="AE988" t="s">
        <v>933</v>
      </c>
      <c r="AF988">
        <v>10</v>
      </c>
      <c r="AG988">
        <v>0</v>
      </c>
    </row>
    <row r="989" spans="13:33" x14ac:dyDescent="0.35">
      <c r="M989" s="243"/>
      <c r="N989" s="243"/>
      <c r="O989" s="243"/>
      <c r="P989" s="243"/>
      <c r="Q989" s="243"/>
      <c r="R989" s="243"/>
      <c r="S989" s="243"/>
      <c r="T989" s="243"/>
      <c r="AA989">
        <v>741</v>
      </c>
      <c r="AB989" t="s">
        <v>0</v>
      </c>
      <c r="AC989" t="s">
        <v>1933</v>
      </c>
      <c r="AD989" t="s">
        <v>3298</v>
      </c>
      <c r="AE989" t="s">
        <v>934</v>
      </c>
      <c r="AF989">
        <v>10</v>
      </c>
      <c r="AG989">
        <v>0</v>
      </c>
    </row>
    <row r="990" spans="13:33" x14ac:dyDescent="0.35">
      <c r="M990" s="243"/>
      <c r="N990" s="243"/>
      <c r="O990" s="243"/>
      <c r="P990" s="243"/>
      <c r="Q990" s="243"/>
      <c r="R990" s="243"/>
      <c r="S990" s="243"/>
      <c r="T990" s="243"/>
      <c r="AA990">
        <v>742</v>
      </c>
      <c r="AB990" t="s">
        <v>0</v>
      </c>
      <c r="AC990" t="s">
        <v>1933</v>
      </c>
      <c r="AD990" t="s">
        <v>3298</v>
      </c>
      <c r="AE990" t="s">
        <v>935</v>
      </c>
      <c r="AF990">
        <v>10</v>
      </c>
      <c r="AG990">
        <v>0</v>
      </c>
    </row>
    <row r="991" spans="13:33" x14ac:dyDescent="0.35">
      <c r="M991" s="243"/>
      <c r="N991" s="243"/>
      <c r="O991" s="243"/>
      <c r="P991" s="243"/>
      <c r="Q991" s="243"/>
      <c r="R991" s="243"/>
      <c r="S991" s="243"/>
      <c r="T991" s="243"/>
      <c r="AA991">
        <v>743</v>
      </c>
      <c r="AB991" t="s">
        <v>0</v>
      </c>
      <c r="AC991" t="s">
        <v>1933</v>
      </c>
      <c r="AD991" t="s">
        <v>3298</v>
      </c>
      <c r="AE991" t="s">
        <v>936</v>
      </c>
      <c r="AF991">
        <v>10</v>
      </c>
      <c r="AG991">
        <v>0</v>
      </c>
    </row>
    <row r="992" spans="13:33" x14ac:dyDescent="0.35">
      <c r="M992" s="243"/>
      <c r="N992" s="243"/>
      <c r="O992" s="243"/>
      <c r="P992" s="243"/>
      <c r="Q992" s="243"/>
      <c r="R992" s="243"/>
      <c r="S992" s="243"/>
      <c r="T992" s="243"/>
      <c r="AA992">
        <v>769</v>
      </c>
      <c r="AB992" t="s">
        <v>0</v>
      </c>
      <c r="AC992" t="s">
        <v>1933</v>
      </c>
      <c r="AD992" t="s">
        <v>3298</v>
      </c>
      <c r="AE992" t="s">
        <v>937</v>
      </c>
      <c r="AF992">
        <v>10</v>
      </c>
      <c r="AG992">
        <v>0</v>
      </c>
    </row>
    <row r="993" spans="13:33" x14ac:dyDescent="0.35">
      <c r="M993" s="243"/>
      <c r="N993" s="243"/>
      <c r="O993" s="243"/>
      <c r="P993" s="243"/>
      <c r="Q993" s="243"/>
      <c r="R993" s="243"/>
      <c r="S993" s="243"/>
      <c r="T993" s="243"/>
      <c r="AA993">
        <v>770</v>
      </c>
      <c r="AB993" t="s">
        <v>0</v>
      </c>
      <c r="AC993" t="s">
        <v>1933</v>
      </c>
      <c r="AD993" t="s">
        <v>3298</v>
      </c>
      <c r="AE993" t="s">
        <v>938</v>
      </c>
      <c r="AF993">
        <v>10</v>
      </c>
      <c r="AG993">
        <v>0</v>
      </c>
    </row>
    <row r="994" spans="13:33" x14ac:dyDescent="0.35">
      <c r="M994" s="243"/>
      <c r="N994" s="243"/>
      <c r="O994" s="243"/>
      <c r="P994" s="243"/>
      <c r="Q994" s="243"/>
      <c r="R994" s="243"/>
      <c r="S994" s="243"/>
      <c r="T994" s="243"/>
      <c r="AA994">
        <v>771</v>
      </c>
      <c r="AB994" t="s">
        <v>0</v>
      </c>
      <c r="AC994" t="s">
        <v>1933</v>
      </c>
      <c r="AD994" t="s">
        <v>3298</v>
      </c>
      <c r="AE994" t="s">
        <v>939</v>
      </c>
      <c r="AF994">
        <v>11</v>
      </c>
      <c r="AG994">
        <v>1</v>
      </c>
    </row>
    <row r="995" spans="13:33" x14ac:dyDescent="0.35">
      <c r="M995" s="243"/>
      <c r="N995" s="243"/>
      <c r="O995" s="243"/>
      <c r="P995" s="243"/>
      <c r="Q995" s="243"/>
      <c r="R995" s="243"/>
      <c r="S995" s="243"/>
      <c r="T995" s="243"/>
      <c r="AA995">
        <v>797</v>
      </c>
      <c r="AB995" t="s">
        <v>0</v>
      </c>
      <c r="AC995" t="s">
        <v>1933</v>
      </c>
      <c r="AD995" t="s">
        <v>3298</v>
      </c>
      <c r="AE995" t="s">
        <v>940</v>
      </c>
      <c r="AF995">
        <v>10</v>
      </c>
      <c r="AG995">
        <v>0</v>
      </c>
    </row>
    <row r="996" spans="13:33" x14ac:dyDescent="0.35">
      <c r="M996" s="243"/>
      <c r="N996" s="243"/>
      <c r="O996" s="243"/>
      <c r="P996" s="243"/>
      <c r="Q996" s="243"/>
      <c r="R996" s="243"/>
      <c r="S996" s="243"/>
      <c r="T996" s="243"/>
      <c r="AA996">
        <v>798</v>
      </c>
      <c r="AB996" t="s">
        <v>0</v>
      </c>
      <c r="AC996" t="s">
        <v>1933</v>
      </c>
      <c r="AD996" t="s">
        <v>3298</v>
      </c>
      <c r="AE996" t="s">
        <v>941</v>
      </c>
      <c r="AF996">
        <v>11</v>
      </c>
      <c r="AG996">
        <v>1</v>
      </c>
    </row>
    <row r="997" spans="13:33" x14ac:dyDescent="0.35">
      <c r="M997" s="243"/>
      <c r="N997" s="243"/>
      <c r="O997" s="243"/>
      <c r="P997" s="243"/>
      <c r="Q997" s="243"/>
      <c r="R997" s="243"/>
      <c r="S997" s="243"/>
      <c r="T997" s="243"/>
      <c r="AA997">
        <v>799</v>
      </c>
      <c r="AB997" t="s">
        <v>0</v>
      </c>
      <c r="AC997" t="s">
        <v>1933</v>
      </c>
      <c r="AD997" t="s">
        <v>3298</v>
      </c>
      <c r="AE997" t="s">
        <v>942</v>
      </c>
      <c r="AF997">
        <v>12</v>
      </c>
      <c r="AG997">
        <v>2</v>
      </c>
    </row>
    <row r="998" spans="13:33" x14ac:dyDescent="0.35">
      <c r="M998" s="243"/>
      <c r="N998" s="243"/>
      <c r="O998" s="243"/>
      <c r="P998" s="243"/>
      <c r="Q998" s="243"/>
      <c r="R998" s="243"/>
      <c r="S998" s="243"/>
      <c r="T998" s="243"/>
      <c r="AA998">
        <v>716</v>
      </c>
      <c r="AB998" t="s">
        <v>0</v>
      </c>
      <c r="AC998" t="s">
        <v>1933</v>
      </c>
      <c r="AD998" t="s">
        <v>3298</v>
      </c>
      <c r="AE998" t="s">
        <v>943</v>
      </c>
      <c r="AF998">
        <v>10</v>
      </c>
      <c r="AG998">
        <v>0</v>
      </c>
    </row>
    <row r="999" spans="13:33" x14ac:dyDescent="0.35">
      <c r="M999" s="243"/>
      <c r="N999" s="243"/>
      <c r="O999" s="243"/>
      <c r="P999" s="243"/>
      <c r="Q999" s="243"/>
      <c r="R999" s="243"/>
      <c r="S999" s="243"/>
      <c r="T999" s="243"/>
      <c r="AA999">
        <v>717</v>
      </c>
      <c r="AB999" t="s">
        <v>0</v>
      </c>
      <c r="AC999" t="s">
        <v>1933</v>
      </c>
      <c r="AD999" t="s">
        <v>3298</v>
      </c>
      <c r="AE999" t="s">
        <v>944</v>
      </c>
      <c r="AF999">
        <v>10</v>
      </c>
      <c r="AG999">
        <v>0</v>
      </c>
    </row>
    <row r="1000" spans="13:33" x14ac:dyDescent="0.35">
      <c r="M1000" s="243"/>
      <c r="N1000" s="243"/>
      <c r="O1000" s="243"/>
      <c r="P1000" s="243"/>
      <c r="Q1000" s="243"/>
      <c r="R1000" s="243"/>
      <c r="S1000" s="243"/>
      <c r="T1000" s="243"/>
      <c r="AA1000">
        <v>718</v>
      </c>
      <c r="AB1000" t="s">
        <v>0</v>
      </c>
      <c r="AC1000" t="s">
        <v>1933</v>
      </c>
      <c r="AD1000" t="s">
        <v>3298</v>
      </c>
      <c r="AE1000" t="s">
        <v>945</v>
      </c>
      <c r="AF1000">
        <v>10</v>
      </c>
      <c r="AG1000">
        <v>0</v>
      </c>
    </row>
    <row r="1001" spans="13:33" x14ac:dyDescent="0.35">
      <c r="M1001" s="243"/>
      <c r="N1001" s="243"/>
      <c r="O1001" s="243"/>
      <c r="P1001" s="243"/>
      <c r="Q1001" s="243"/>
      <c r="R1001" s="243"/>
      <c r="S1001" s="243"/>
      <c r="T1001" s="243"/>
      <c r="AA1001">
        <v>744</v>
      </c>
      <c r="AB1001" t="s">
        <v>0</v>
      </c>
      <c r="AC1001" t="s">
        <v>1933</v>
      </c>
      <c r="AD1001" t="s">
        <v>3298</v>
      </c>
      <c r="AE1001" t="s">
        <v>946</v>
      </c>
      <c r="AF1001">
        <v>10</v>
      </c>
      <c r="AG1001">
        <v>0</v>
      </c>
    </row>
    <row r="1002" spans="13:33" x14ac:dyDescent="0.35">
      <c r="M1002" s="243"/>
      <c r="N1002" s="243"/>
      <c r="O1002" s="243"/>
      <c r="P1002" s="243"/>
      <c r="Q1002" s="243"/>
      <c r="R1002" s="243"/>
      <c r="S1002" s="243"/>
      <c r="T1002" s="243"/>
      <c r="AA1002">
        <v>745</v>
      </c>
      <c r="AB1002" t="s">
        <v>0</v>
      </c>
      <c r="AC1002" t="s">
        <v>1933</v>
      </c>
      <c r="AD1002" t="s">
        <v>3298</v>
      </c>
      <c r="AE1002" t="s">
        <v>947</v>
      </c>
      <c r="AF1002">
        <v>10</v>
      </c>
      <c r="AG1002">
        <v>0</v>
      </c>
    </row>
    <row r="1003" spans="13:33" x14ac:dyDescent="0.35">
      <c r="M1003" s="243"/>
      <c r="N1003" s="243"/>
      <c r="O1003" s="243"/>
      <c r="P1003" s="243"/>
      <c r="Q1003" s="243"/>
      <c r="R1003" s="243"/>
      <c r="S1003" s="243"/>
      <c r="T1003" s="243"/>
      <c r="AA1003">
        <v>746</v>
      </c>
      <c r="AB1003" t="s">
        <v>0</v>
      </c>
      <c r="AC1003" t="s">
        <v>1933</v>
      </c>
      <c r="AD1003" t="s">
        <v>3298</v>
      </c>
      <c r="AE1003" t="s">
        <v>948</v>
      </c>
      <c r="AF1003">
        <v>10</v>
      </c>
      <c r="AG1003">
        <v>0</v>
      </c>
    </row>
    <row r="1004" spans="13:33" x14ac:dyDescent="0.35">
      <c r="M1004" s="243"/>
      <c r="N1004" s="243"/>
      <c r="O1004" s="243"/>
      <c r="P1004" s="243"/>
      <c r="Q1004" s="243"/>
      <c r="R1004" s="243"/>
      <c r="S1004" s="243"/>
      <c r="T1004" s="243"/>
      <c r="AA1004">
        <v>772</v>
      </c>
      <c r="AB1004" t="s">
        <v>0</v>
      </c>
      <c r="AC1004" t="s">
        <v>1933</v>
      </c>
      <c r="AD1004" t="s">
        <v>3298</v>
      </c>
      <c r="AE1004" t="s">
        <v>949</v>
      </c>
      <c r="AF1004">
        <v>10</v>
      </c>
      <c r="AG1004">
        <v>0</v>
      </c>
    </row>
    <row r="1005" spans="13:33" x14ac:dyDescent="0.35">
      <c r="AA1005">
        <v>773</v>
      </c>
      <c r="AB1005" t="s">
        <v>0</v>
      </c>
      <c r="AC1005" t="s">
        <v>1933</v>
      </c>
      <c r="AD1005" t="s">
        <v>3298</v>
      </c>
      <c r="AE1005" t="s">
        <v>950</v>
      </c>
      <c r="AF1005">
        <v>10</v>
      </c>
      <c r="AG1005">
        <v>0</v>
      </c>
    </row>
    <row r="1006" spans="13:33" x14ac:dyDescent="0.35">
      <c r="AA1006">
        <v>774</v>
      </c>
      <c r="AB1006" t="s">
        <v>0</v>
      </c>
      <c r="AC1006" t="s">
        <v>1933</v>
      </c>
      <c r="AD1006" t="s">
        <v>3298</v>
      </c>
      <c r="AE1006" t="s">
        <v>951</v>
      </c>
      <c r="AF1006">
        <v>11</v>
      </c>
      <c r="AG1006">
        <v>1</v>
      </c>
    </row>
    <row r="1007" spans="13:33" x14ac:dyDescent="0.35">
      <c r="AA1007">
        <v>800</v>
      </c>
      <c r="AB1007" t="s">
        <v>0</v>
      </c>
      <c r="AC1007" t="s">
        <v>1933</v>
      </c>
      <c r="AD1007" t="s">
        <v>3298</v>
      </c>
      <c r="AE1007" t="s">
        <v>952</v>
      </c>
      <c r="AF1007">
        <v>10</v>
      </c>
      <c r="AG1007">
        <v>0</v>
      </c>
    </row>
    <row r="1008" spans="13:33" x14ac:dyDescent="0.35">
      <c r="AA1008">
        <v>801</v>
      </c>
      <c r="AB1008" t="s">
        <v>0</v>
      </c>
      <c r="AC1008" t="s">
        <v>1933</v>
      </c>
      <c r="AD1008" t="s">
        <v>3298</v>
      </c>
      <c r="AE1008" t="s">
        <v>953</v>
      </c>
      <c r="AF1008">
        <v>11</v>
      </c>
      <c r="AG1008">
        <v>1</v>
      </c>
    </row>
    <row r="1009" spans="27:33" x14ac:dyDescent="0.35">
      <c r="AA1009">
        <v>802</v>
      </c>
      <c r="AB1009" t="s">
        <v>0</v>
      </c>
      <c r="AC1009" t="s">
        <v>1933</v>
      </c>
      <c r="AD1009" t="s">
        <v>3298</v>
      </c>
      <c r="AE1009" t="s">
        <v>954</v>
      </c>
      <c r="AF1009">
        <v>12</v>
      </c>
      <c r="AG1009">
        <v>2</v>
      </c>
    </row>
    <row r="1010" spans="27:33" x14ac:dyDescent="0.35">
      <c r="AA1010">
        <v>719</v>
      </c>
      <c r="AB1010" t="s">
        <v>0</v>
      </c>
      <c r="AC1010" t="s">
        <v>1933</v>
      </c>
      <c r="AD1010" t="s">
        <v>3298</v>
      </c>
      <c r="AE1010" t="s">
        <v>955</v>
      </c>
      <c r="AF1010">
        <v>10</v>
      </c>
      <c r="AG1010">
        <v>0</v>
      </c>
    </row>
    <row r="1011" spans="27:33" x14ac:dyDescent="0.35">
      <c r="AA1011">
        <v>720</v>
      </c>
      <c r="AB1011" t="s">
        <v>0</v>
      </c>
      <c r="AC1011" t="s">
        <v>1933</v>
      </c>
      <c r="AD1011" t="s">
        <v>3298</v>
      </c>
      <c r="AE1011" t="s">
        <v>956</v>
      </c>
      <c r="AF1011">
        <v>10</v>
      </c>
      <c r="AG1011">
        <v>0</v>
      </c>
    </row>
    <row r="1012" spans="27:33" x14ac:dyDescent="0.35">
      <c r="AA1012">
        <v>721</v>
      </c>
      <c r="AB1012" t="s">
        <v>0</v>
      </c>
      <c r="AC1012" t="s">
        <v>1933</v>
      </c>
      <c r="AD1012" t="s">
        <v>3298</v>
      </c>
      <c r="AE1012" t="s">
        <v>957</v>
      </c>
      <c r="AF1012">
        <v>10</v>
      </c>
      <c r="AG1012">
        <v>0</v>
      </c>
    </row>
    <row r="1013" spans="27:33" x14ac:dyDescent="0.35">
      <c r="AA1013">
        <v>747</v>
      </c>
      <c r="AB1013" t="s">
        <v>0</v>
      </c>
      <c r="AC1013" t="s">
        <v>1933</v>
      </c>
      <c r="AD1013" t="s">
        <v>3298</v>
      </c>
      <c r="AE1013" t="s">
        <v>958</v>
      </c>
      <c r="AF1013">
        <v>10</v>
      </c>
      <c r="AG1013">
        <v>0</v>
      </c>
    </row>
    <row r="1014" spans="27:33" x14ac:dyDescent="0.35">
      <c r="AA1014">
        <v>748</v>
      </c>
      <c r="AB1014" t="s">
        <v>0</v>
      </c>
      <c r="AC1014" t="s">
        <v>1933</v>
      </c>
      <c r="AD1014" t="s">
        <v>3298</v>
      </c>
      <c r="AE1014" t="s">
        <v>959</v>
      </c>
      <c r="AF1014">
        <v>10</v>
      </c>
      <c r="AG1014">
        <v>0</v>
      </c>
    </row>
    <row r="1015" spans="27:33" x14ac:dyDescent="0.35">
      <c r="AA1015">
        <v>749</v>
      </c>
      <c r="AB1015" t="s">
        <v>0</v>
      </c>
      <c r="AC1015" t="s">
        <v>1933</v>
      </c>
      <c r="AD1015" t="s">
        <v>3298</v>
      </c>
      <c r="AE1015" t="s">
        <v>960</v>
      </c>
      <c r="AF1015">
        <v>10</v>
      </c>
      <c r="AG1015">
        <v>0</v>
      </c>
    </row>
    <row r="1016" spans="27:33" x14ac:dyDescent="0.35">
      <c r="AA1016">
        <v>775</v>
      </c>
      <c r="AB1016" t="s">
        <v>0</v>
      </c>
      <c r="AC1016" t="s">
        <v>1933</v>
      </c>
      <c r="AD1016" t="s">
        <v>3298</v>
      </c>
      <c r="AE1016" t="s">
        <v>961</v>
      </c>
      <c r="AF1016">
        <v>10</v>
      </c>
      <c r="AG1016">
        <v>0</v>
      </c>
    </row>
    <row r="1017" spans="27:33" x14ac:dyDescent="0.35">
      <c r="AA1017">
        <v>776</v>
      </c>
      <c r="AB1017" t="s">
        <v>0</v>
      </c>
      <c r="AC1017" t="s">
        <v>1933</v>
      </c>
      <c r="AD1017" t="s">
        <v>3298</v>
      </c>
      <c r="AE1017" t="s">
        <v>962</v>
      </c>
      <c r="AF1017">
        <v>10</v>
      </c>
      <c r="AG1017">
        <v>0</v>
      </c>
    </row>
    <row r="1018" spans="27:33" x14ac:dyDescent="0.35">
      <c r="AA1018">
        <v>777</v>
      </c>
      <c r="AB1018" t="s">
        <v>0</v>
      </c>
      <c r="AC1018" t="s">
        <v>1933</v>
      </c>
      <c r="AD1018" t="s">
        <v>3298</v>
      </c>
      <c r="AE1018" t="s">
        <v>963</v>
      </c>
      <c r="AF1018">
        <v>11</v>
      </c>
      <c r="AG1018">
        <v>1</v>
      </c>
    </row>
    <row r="1019" spans="27:33" x14ac:dyDescent="0.35">
      <c r="AA1019">
        <v>803</v>
      </c>
      <c r="AB1019" t="s">
        <v>0</v>
      </c>
      <c r="AC1019" t="s">
        <v>1933</v>
      </c>
      <c r="AD1019" t="s">
        <v>3298</v>
      </c>
      <c r="AE1019" t="s">
        <v>964</v>
      </c>
      <c r="AF1019">
        <v>10</v>
      </c>
      <c r="AG1019">
        <v>0</v>
      </c>
    </row>
    <row r="1020" spans="27:33" x14ac:dyDescent="0.35">
      <c r="AA1020">
        <v>804</v>
      </c>
      <c r="AB1020" t="s">
        <v>0</v>
      </c>
      <c r="AC1020" t="s">
        <v>1933</v>
      </c>
      <c r="AD1020" t="s">
        <v>3298</v>
      </c>
      <c r="AE1020" t="s">
        <v>965</v>
      </c>
      <c r="AF1020">
        <v>11</v>
      </c>
      <c r="AG1020">
        <v>1</v>
      </c>
    </row>
    <row r="1021" spans="27:33" x14ac:dyDescent="0.35">
      <c r="AA1021">
        <v>805</v>
      </c>
      <c r="AB1021" t="s">
        <v>0</v>
      </c>
      <c r="AC1021" t="s">
        <v>1933</v>
      </c>
      <c r="AD1021" t="s">
        <v>3298</v>
      </c>
      <c r="AE1021" t="s">
        <v>966</v>
      </c>
      <c r="AF1021">
        <v>12</v>
      </c>
      <c r="AG1021">
        <v>2</v>
      </c>
    </row>
    <row r="1022" spans="27:33" x14ac:dyDescent="0.35">
      <c r="AA1022">
        <v>543</v>
      </c>
      <c r="AB1022" t="s">
        <v>0</v>
      </c>
      <c r="AC1022" t="s">
        <v>1933</v>
      </c>
      <c r="AD1022" t="s">
        <v>3299</v>
      </c>
      <c r="AE1022" t="s">
        <v>2</v>
      </c>
      <c r="AF1022">
        <v>10</v>
      </c>
      <c r="AG1022">
        <v>6</v>
      </c>
    </row>
    <row r="1023" spans="27:33" x14ac:dyDescent="0.35">
      <c r="AA1023">
        <v>550</v>
      </c>
      <c r="AB1023" t="s">
        <v>0</v>
      </c>
      <c r="AC1023" t="s">
        <v>1933</v>
      </c>
      <c r="AD1023" t="s">
        <v>3299</v>
      </c>
      <c r="AE1023" t="s">
        <v>35</v>
      </c>
      <c r="AF1023">
        <v>10</v>
      </c>
      <c r="AG1023">
        <v>0</v>
      </c>
    </row>
    <row r="1024" spans="27:33" x14ac:dyDescent="0.35">
      <c r="AA1024">
        <v>546</v>
      </c>
      <c r="AB1024" t="s">
        <v>0</v>
      </c>
      <c r="AC1024" t="s">
        <v>1933</v>
      </c>
      <c r="AD1024" t="s">
        <v>3299</v>
      </c>
      <c r="AE1024" t="s">
        <v>36</v>
      </c>
      <c r="AF1024">
        <v>9</v>
      </c>
      <c r="AG1024">
        <v>0</v>
      </c>
    </row>
    <row r="1025" spans="27:33" x14ac:dyDescent="0.35">
      <c r="AA1025">
        <v>548</v>
      </c>
      <c r="AB1025" t="s">
        <v>0</v>
      </c>
      <c r="AC1025" t="s">
        <v>1933</v>
      </c>
      <c r="AD1025" t="s">
        <v>3299</v>
      </c>
      <c r="AE1025" t="s">
        <v>37</v>
      </c>
      <c r="AF1025">
        <v>9</v>
      </c>
      <c r="AG1025">
        <v>0</v>
      </c>
    </row>
    <row r="1026" spans="27:33" x14ac:dyDescent="0.35">
      <c r="AA1026">
        <v>553</v>
      </c>
      <c r="AB1026" t="s">
        <v>0</v>
      </c>
      <c r="AC1026" t="s">
        <v>1933</v>
      </c>
      <c r="AD1026" t="s">
        <v>3299</v>
      </c>
      <c r="AE1026" t="s">
        <v>38</v>
      </c>
      <c r="AF1026">
        <v>2</v>
      </c>
      <c r="AG1026">
        <v>0</v>
      </c>
    </row>
    <row r="1027" spans="27:33" x14ac:dyDescent="0.35">
      <c r="AA1027">
        <v>551</v>
      </c>
      <c r="AB1027" t="s">
        <v>0</v>
      </c>
      <c r="AC1027" t="s">
        <v>1933</v>
      </c>
      <c r="AD1027" t="s">
        <v>3299</v>
      </c>
      <c r="AE1027" t="s">
        <v>39</v>
      </c>
      <c r="AF1027">
        <v>10</v>
      </c>
      <c r="AG1027">
        <v>0</v>
      </c>
    </row>
    <row r="1028" spans="27:33" x14ac:dyDescent="0.35">
      <c r="AA1028">
        <v>547</v>
      </c>
      <c r="AB1028" t="s">
        <v>0</v>
      </c>
      <c r="AC1028" t="s">
        <v>1933</v>
      </c>
      <c r="AD1028" t="s">
        <v>3299</v>
      </c>
      <c r="AE1028" t="s">
        <v>40</v>
      </c>
      <c r="AF1028">
        <v>9</v>
      </c>
      <c r="AG1028">
        <v>0</v>
      </c>
    </row>
    <row r="1029" spans="27:33" x14ac:dyDescent="0.35">
      <c r="AA1029">
        <v>549</v>
      </c>
      <c r="AB1029" t="s">
        <v>0</v>
      </c>
      <c r="AC1029" t="s">
        <v>1933</v>
      </c>
      <c r="AD1029" t="s">
        <v>3299</v>
      </c>
      <c r="AE1029" t="s">
        <v>41</v>
      </c>
      <c r="AF1029">
        <v>9</v>
      </c>
      <c r="AG1029">
        <v>0</v>
      </c>
    </row>
    <row r="1030" spans="27:33" x14ac:dyDescent="0.35">
      <c r="AA1030">
        <v>554</v>
      </c>
      <c r="AB1030" t="s">
        <v>0</v>
      </c>
      <c r="AC1030" t="s">
        <v>1933</v>
      </c>
      <c r="AD1030" t="s">
        <v>3299</v>
      </c>
      <c r="AE1030" t="s">
        <v>42</v>
      </c>
      <c r="AF1030">
        <v>2</v>
      </c>
      <c r="AG1030">
        <v>0</v>
      </c>
    </row>
    <row r="1031" spans="27:33" x14ac:dyDescent="0.35">
      <c r="AA1031">
        <v>544</v>
      </c>
      <c r="AB1031" t="s">
        <v>0</v>
      </c>
      <c r="AC1031" t="s">
        <v>1933</v>
      </c>
      <c r="AD1031" t="s">
        <v>3299</v>
      </c>
      <c r="AE1031" t="s">
        <v>276</v>
      </c>
      <c r="AF1031">
        <v>10</v>
      </c>
      <c r="AG1031">
        <v>6</v>
      </c>
    </row>
    <row r="1032" spans="27:33" x14ac:dyDescent="0.35">
      <c r="AA1032">
        <v>545</v>
      </c>
      <c r="AB1032" t="s">
        <v>0</v>
      </c>
      <c r="AC1032" t="s">
        <v>1933</v>
      </c>
      <c r="AD1032" t="s">
        <v>3299</v>
      </c>
      <c r="AE1032" t="s">
        <v>277</v>
      </c>
      <c r="AF1032">
        <v>10</v>
      </c>
      <c r="AG1032">
        <v>6</v>
      </c>
    </row>
    <row r="1033" spans="27:33" x14ac:dyDescent="0.35">
      <c r="AA1033">
        <v>552</v>
      </c>
      <c r="AB1033" t="s">
        <v>0</v>
      </c>
      <c r="AC1033" t="s">
        <v>1933</v>
      </c>
      <c r="AD1033" t="s">
        <v>3299</v>
      </c>
      <c r="AE1033" t="s">
        <v>43</v>
      </c>
      <c r="AF1033">
        <v>4</v>
      </c>
      <c r="AG1033">
        <v>0</v>
      </c>
    </row>
    <row r="1034" spans="27:33" x14ac:dyDescent="0.35">
      <c r="AA1034">
        <v>621</v>
      </c>
      <c r="AB1034" t="s">
        <v>0</v>
      </c>
      <c r="AC1034" t="s">
        <v>1933</v>
      </c>
      <c r="AD1034" t="s">
        <v>3300</v>
      </c>
      <c r="AE1034" t="s">
        <v>2</v>
      </c>
      <c r="AF1034">
        <v>10</v>
      </c>
      <c r="AG1034">
        <v>6</v>
      </c>
    </row>
    <row r="1035" spans="27:33" x14ac:dyDescent="0.35">
      <c r="AA1035">
        <v>628</v>
      </c>
      <c r="AB1035" t="s">
        <v>0</v>
      </c>
      <c r="AC1035" t="s">
        <v>1933</v>
      </c>
      <c r="AD1035" t="s">
        <v>3300</v>
      </c>
      <c r="AE1035" t="s">
        <v>35</v>
      </c>
      <c r="AF1035">
        <v>10</v>
      </c>
      <c r="AG1035">
        <v>0</v>
      </c>
    </row>
    <row r="1036" spans="27:33" x14ac:dyDescent="0.35">
      <c r="AA1036">
        <v>624</v>
      </c>
      <c r="AB1036" t="s">
        <v>0</v>
      </c>
      <c r="AC1036" t="s">
        <v>1933</v>
      </c>
      <c r="AD1036" t="s">
        <v>3300</v>
      </c>
      <c r="AE1036" t="s">
        <v>36</v>
      </c>
      <c r="AF1036">
        <v>9</v>
      </c>
      <c r="AG1036">
        <v>0</v>
      </c>
    </row>
    <row r="1037" spans="27:33" x14ac:dyDescent="0.35">
      <c r="AA1037">
        <v>626</v>
      </c>
      <c r="AB1037" t="s">
        <v>0</v>
      </c>
      <c r="AC1037" t="s">
        <v>1933</v>
      </c>
      <c r="AD1037" t="s">
        <v>3300</v>
      </c>
      <c r="AE1037" t="s">
        <v>37</v>
      </c>
      <c r="AF1037">
        <v>9</v>
      </c>
      <c r="AG1037">
        <v>0</v>
      </c>
    </row>
    <row r="1038" spans="27:33" x14ac:dyDescent="0.35">
      <c r="AA1038">
        <v>631</v>
      </c>
      <c r="AB1038" t="s">
        <v>0</v>
      </c>
      <c r="AC1038" t="s">
        <v>1933</v>
      </c>
      <c r="AD1038" t="s">
        <v>3300</v>
      </c>
      <c r="AE1038" t="s">
        <v>38</v>
      </c>
      <c r="AF1038">
        <v>2</v>
      </c>
      <c r="AG1038">
        <v>0</v>
      </c>
    </row>
    <row r="1039" spans="27:33" x14ac:dyDescent="0.35">
      <c r="AA1039">
        <v>629</v>
      </c>
      <c r="AB1039" t="s">
        <v>0</v>
      </c>
      <c r="AC1039" t="s">
        <v>1933</v>
      </c>
      <c r="AD1039" t="s">
        <v>3300</v>
      </c>
      <c r="AE1039" t="s">
        <v>39</v>
      </c>
      <c r="AF1039">
        <v>10</v>
      </c>
      <c r="AG1039">
        <v>0</v>
      </c>
    </row>
    <row r="1040" spans="27:33" x14ac:dyDescent="0.35">
      <c r="AA1040">
        <v>625</v>
      </c>
      <c r="AB1040" t="s">
        <v>0</v>
      </c>
      <c r="AC1040" t="s">
        <v>1933</v>
      </c>
      <c r="AD1040" t="s">
        <v>3300</v>
      </c>
      <c r="AE1040" t="s">
        <v>40</v>
      </c>
      <c r="AF1040">
        <v>9</v>
      </c>
      <c r="AG1040">
        <v>0</v>
      </c>
    </row>
    <row r="1041" spans="27:33" x14ac:dyDescent="0.35">
      <c r="AA1041">
        <v>627</v>
      </c>
      <c r="AB1041" t="s">
        <v>0</v>
      </c>
      <c r="AC1041" t="s">
        <v>1933</v>
      </c>
      <c r="AD1041" t="s">
        <v>3300</v>
      </c>
      <c r="AE1041" t="s">
        <v>41</v>
      </c>
      <c r="AF1041">
        <v>9</v>
      </c>
      <c r="AG1041">
        <v>0</v>
      </c>
    </row>
    <row r="1042" spans="27:33" x14ac:dyDescent="0.35">
      <c r="AA1042">
        <v>632</v>
      </c>
      <c r="AB1042" t="s">
        <v>0</v>
      </c>
      <c r="AC1042" t="s">
        <v>1933</v>
      </c>
      <c r="AD1042" t="s">
        <v>3300</v>
      </c>
      <c r="AE1042" t="s">
        <v>42</v>
      </c>
      <c r="AF1042">
        <v>2</v>
      </c>
      <c r="AG1042">
        <v>0</v>
      </c>
    </row>
    <row r="1043" spans="27:33" x14ac:dyDescent="0.35">
      <c r="AA1043">
        <v>622</v>
      </c>
      <c r="AB1043" t="s">
        <v>0</v>
      </c>
      <c r="AC1043" t="s">
        <v>1933</v>
      </c>
      <c r="AD1043" t="s">
        <v>3300</v>
      </c>
      <c r="AE1043" t="s">
        <v>276</v>
      </c>
      <c r="AF1043">
        <v>10</v>
      </c>
      <c r="AG1043">
        <v>6</v>
      </c>
    </row>
    <row r="1044" spans="27:33" x14ac:dyDescent="0.35">
      <c r="AA1044">
        <v>623</v>
      </c>
      <c r="AB1044" t="s">
        <v>0</v>
      </c>
      <c r="AC1044" t="s">
        <v>1933</v>
      </c>
      <c r="AD1044" t="s">
        <v>3300</v>
      </c>
      <c r="AE1044" t="s">
        <v>277</v>
      </c>
      <c r="AF1044">
        <v>10</v>
      </c>
      <c r="AG1044">
        <v>6</v>
      </c>
    </row>
    <row r="1045" spans="27:33" x14ac:dyDescent="0.35">
      <c r="AA1045">
        <v>630</v>
      </c>
      <c r="AB1045" t="s">
        <v>0</v>
      </c>
      <c r="AC1045" t="s">
        <v>1933</v>
      </c>
      <c r="AD1045" t="s">
        <v>3300</v>
      </c>
      <c r="AE1045" t="s">
        <v>43</v>
      </c>
      <c r="AF1045">
        <v>4</v>
      </c>
      <c r="AG1045">
        <v>0</v>
      </c>
    </row>
    <row r="1046" spans="27:33" x14ac:dyDescent="0.35">
      <c r="AA1046">
        <v>526</v>
      </c>
      <c r="AB1046" t="s">
        <v>0</v>
      </c>
      <c r="AC1046" t="s">
        <v>1933</v>
      </c>
      <c r="AD1046" t="s">
        <v>3301</v>
      </c>
      <c r="AE1046" t="s">
        <v>2</v>
      </c>
      <c r="AF1046">
        <v>10</v>
      </c>
      <c r="AG1046">
        <v>6</v>
      </c>
    </row>
    <row r="1047" spans="27:33" x14ac:dyDescent="0.35">
      <c r="AA1047">
        <v>531</v>
      </c>
      <c r="AB1047" t="s">
        <v>0</v>
      </c>
      <c r="AC1047" t="s">
        <v>1933</v>
      </c>
      <c r="AD1047" t="s">
        <v>3301</v>
      </c>
      <c r="AE1047" t="s">
        <v>43</v>
      </c>
      <c r="AF1047">
        <v>4</v>
      </c>
      <c r="AG1047">
        <v>0</v>
      </c>
    </row>
    <row r="1048" spans="27:33" x14ac:dyDescent="0.35">
      <c r="AA1048">
        <v>529</v>
      </c>
      <c r="AB1048" t="s">
        <v>0</v>
      </c>
      <c r="AC1048" t="s">
        <v>1933</v>
      </c>
      <c r="AD1048" t="s">
        <v>3301</v>
      </c>
      <c r="AE1048" t="s">
        <v>35</v>
      </c>
      <c r="AF1048">
        <v>10</v>
      </c>
      <c r="AG1048">
        <v>0</v>
      </c>
    </row>
    <row r="1049" spans="27:33" x14ac:dyDescent="0.35">
      <c r="AA1049">
        <v>527</v>
      </c>
      <c r="AB1049" t="s">
        <v>0</v>
      </c>
      <c r="AC1049" t="s">
        <v>1933</v>
      </c>
      <c r="AD1049" t="s">
        <v>3301</v>
      </c>
      <c r="AE1049" t="s">
        <v>1801</v>
      </c>
      <c r="AF1049">
        <v>9</v>
      </c>
      <c r="AG1049">
        <v>0</v>
      </c>
    </row>
    <row r="1050" spans="27:33" x14ac:dyDescent="0.35">
      <c r="AA1050">
        <v>532</v>
      </c>
      <c r="AB1050" t="s">
        <v>0</v>
      </c>
      <c r="AC1050" t="s">
        <v>1933</v>
      </c>
      <c r="AD1050" t="s">
        <v>3301</v>
      </c>
      <c r="AE1050" t="s">
        <v>38</v>
      </c>
      <c r="AF1050">
        <v>2</v>
      </c>
      <c r="AG1050">
        <v>0</v>
      </c>
    </row>
    <row r="1051" spans="27:33" x14ac:dyDescent="0.35">
      <c r="AA1051">
        <v>530</v>
      </c>
      <c r="AB1051" t="s">
        <v>0</v>
      </c>
      <c r="AC1051" t="s">
        <v>1933</v>
      </c>
      <c r="AD1051" t="s">
        <v>3301</v>
      </c>
      <c r="AE1051" t="s">
        <v>39</v>
      </c>
      <c r="AF1051">
        <v>10</v>
      </c>
      <c r="AG1051">
        <v>0</v>
      </c>
    </row>
    <row r="1052" spans="27:33" x14ac:dyDescent="0.35">
      <c r="AA1052">
        <v>528</v>
      </c>
      <c r="AB1052" t="s">
        <v>0</v>
      </c>
      <c r="AC1052" t="s">
        <v>1933</v>
      </c>
      <c r="AD1052" t="s">
        <v>3301</v>
      </c>
      <c r="AE1052" t="s">
        <v>1802</v>
      </c>
      <c r="AF1052">
        <v>9</v>
      </c>
      <c r="AG1052">
        <v>0</v>
      </c>
    </row>
    <row r="1053" spans="27:33" x14ac:dyDescent="0.35">
      <c r="AA1053">
        <v>533</v>
      </c>
      <c r="AB1053" t="s">
        <v>0</v>
      </c>
      <c r="AC1053" t="s">
        <v>1933</v>
      </c>
      <c r="AD1053" t="s">
        <v>3301</v>
      </c>
      <c r="AE1053" t="s">
        <v>42</v>
      </c>
      <c r="AF1053">
        <v>2</v>
      </c>
      <c r="AG1053">
        <v>0</v>
      </c>
    </row>
    <row r="1054" spans="27:33" x14ac:dyDescent="0.35">
      <c r="AA1054">
        <v>0</v>
      </c>
    </row>
    <row r="1055" spans="27:33" x14ac:dyDescent="0.35">
      <c r="AA1055">
        <v>0</v>
      </c>
    </row>
    <row r="1056" spans="27:33" x14ac:dyDescent="0.35">
      <c r="AA1056">
        <v>0</v>
      </c>
    </row>
    <row r="1057" spans="27:27" x14ac:dyDescent="0.35">
      <c r="AA1057">
        <v>0</v>
      </c>
    </row>
    <row r="1058" spans="27:27" x14ac:dyDescent="0.35">
      <c r="AA1058">
        <v>0</v>
      </c>
    </row>
    <row r="1059" spans="27:27" x14ac:dyDescent="0.35">
      <c r="AA1059">
        <v>0</v>
      </c>
    </row>
    <row r="1060" spans="27:27" x14ac:dyDescent="0.35">
      <c r="AA1060">
        <v>0</v>
      </c>
    </row>
    <row r="1061" spans="27:27" x14ac:dyDescent="0.35">
      <c r="AA1061">
        <v>0</v>
      </c>
    </row>
    <row r="1062" spans="27:27" x14ac:dyDescent="0.35">
      <c r="AA1062">
        <v>0</v>
      </c>
    </row>
    <row r="1063" spans="27:27" x14ac:dyDescent="0.35">
      <c r="AA1063">
        <v>0</v>
      </c>
    </row>
  </sheetData>
  <autoFilter ref="A3:K763" xr:uid="{00000000-0009-0000-0000-000061000000}"/>
  <mergeCells count="5">
    <mergeCell ref="AM3:AP3"/>
    <mergeCell ref="AQ3:AT3"/>
    <mergeCell ref="AU3:AX3"/>
    <mergeCell ref="M2:P2"/>
    <mergeCell ref="Q2:T2"/>
  </mergeCell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MK221"/>
  <sheetViews>
    <sheetView zoomScale="50" zoomScaleNormal="50" workbookViewId="0"/>
  </sheetViews>
  <sheetFormatPr defaultColWidth="0" defaultRowHeight="14.5" x14ac:dyDescent="0.35"/>
  <cols>
    <col min="1" max="1" width="18.54296875" customWidth="1"/>
    <col min="2" max="2" width="19" customWidth="1"/>
    <col min="3" max="3" width="13.1796875" customWidth="1"/>
    <col min="4" max="5" width="13.81640625" customWidth="1"/>
    <col min="6" max="6" width="20.7265625" style="600" customWidth="1"/>
    <col min="7" max="7" width="20.7265625" customWidth="1"/>
    <col min="8" max="8" width="73.453125" customWidth="1"/>
    <col min="9" max="9" width="31.81640625" style="600" customWidth="1"/>
    <col min="10" max="12" width="25.1796875" style="18" customWidth="1"/>
    <col min="13" max="15" width="12.54296875" customWidth="1"/>
    <col min="16" max="16" width="11" customWidth="1"/>
    <col min="17" max="17" width="16.26953125" customWidth="1"/>
    <col min="18" max="18" width="35.54296875" style="314" customWidth="1"/>
    <col min="19" max="19" width="18.81640625" style="314" customWidth="1"/>
    <col min="20" max="20" width="17.453125" style="314" customWidth="1"/>
    <col min="21" max="21" width="18.81640625" style="314" customWidth="1"/>
    <col min="22" max="22" width="18.26953125" style="314" customWidth="1"/>
    <col min="23" max="23" width="18.81640625" style="314" customWidth="1"/>
    <col min="24" max="29" width="9.1796875" customWidth="1"/>
    <col min="30" max="30" width="13.453125" customWidth="1"/>
    <col min="31" max="33" width="9.1796875" customWidth="1"/>
    <col min="34" max="37" width="11.7265625" customWidth="1"/>
    <col min="38" max="49" width="9.1796875" customWidth="1"/>
    <col min="50" max="50" width="16.54296875" customWidth="1"/>
    <col min="51" max="51" width="12.26953125" customWidth="1"/>
    <col min="52" max="53" width="9.453125" customWidth="1"/>
    <col min="54" max="54" width="16.54296875" customWidth="1"/>
    <col min="55" max="55" width="14.26953125" customWidth="1"/>
    <col min="56" max="61" width="16.7265625" customWidth="1"/>
    <col min="62" max="65" width="14.26953125" customWidth="1"/>
    <col min="66" max="69" width="18" customWidth="1"/>
    <col min="70" max="73" width="14" customWidth="1"/>
    <col min="74" max="74" width="15.7265625" customWidth="1"/>
    <col min="75" max="75" width="23" customWidth="1"/>
    <col min="76" max="76" width="17.7265625" customWidth="1"/>
    <col min="77" max="77" width="16.54296875" customWidth="1"/>
    <col min="78" max="78" width="27" customWidth="1"/>
    <col min="79" max="82" width="14" customWidth="1"/>
    <col min="83" max="90" width="9.1796875" customWidth="1"/>
    <col min="91" max="272" width="9.1796875" style="2" customWidth="1"/>
    <col min="273" max="349" width="0" style="2" hidden="1"/>
  </cols>
  <sheetData>
    <row r="1" spans="1:349" ht="15.75" customHeight="1" x14ac:dyDescent="0.35">
      <c r="BN1" s="446"/>
    </row>
    <row r="2" spans="1:349" ht="15.75" customHeight="1" x14ac:dyDescent="0.35">
      <c r="A2">
        <v>1</v>
      </c>
      <c r="B2">
        <f>A2+1</f>
        <v>2</v>
      </c>
      <c r="C2" s="600">
        <f t="shared" ref="C2:BN2" si="0">B2+1</f>
        <v>3</v>
      </c>
      <c r="D2" s="600">
        <f t="shared" si="0"/>
        <v>4</v>
      </c>
      <c r="E2" s="600">
        <f t="shared" si="0"/>
        <v>5</v>
      </c>
      <c r="F2" s="600">
        <f t="shared" si="0"/>
        <v>6</v>
      </c>
      <c r="G2" s="600">
        <f t="shared" si="0"/>
        <v>7</v>
      </c>
      <c r="H2" s="600">
        <f t="shared" si="0"/>
        <v>8</v>
      </c>
      <c r="I2" s="600">
        <f t="shared" si="0"/>
        <v>9</v>
      </c>
      <c r="J2" s="600">
        <f t="shared" si="0"/>
        <v>10</v>
      </c>
      <c r="K2" s="600">
        <f t="shared" si="0"/>
        <v>11</v>
      </c>
      <c r="L2" s="600">
        <f t="shared" si="0"/>
        <v>12</v>
      </c>
      <c r="M2" s="600">
        <f t="shared" si="0"/>
        <v>13</v>
      </c>
      <c r="N2" s="600">
        <f t="shared" si="0"/>
        <v>14</v>
      </c>
      <c r="O2" s="600">
        <f t="shared" si="0"/>
        <v>15</v>
      </c>
      <c r="P2" s="600">
        <f t="shared" si="0"/>
        <v>16</v>
      </c>
      <c r="Q2" s="600">
        <f t="shared" si="0"/>
        <v>17</v>
      </c>
      <c r="R2" s="600">
        <f t="shared" si="0"/>
        <v>18</v>
      </c>
      <c r="S2" s="600">
        <f t="shared" si="0"/>
        <v>19</v>
      </c>
      <c r="T2" s="600">
        <f>S2+1</f>
        <v>20</v>
      </c>
      <c r="U2" s="600">
        <f t="shared" si="0"/>
        <v>21</v>
      </c>
      <c r="V2" s="600">
        <f t="shared" si="0"/>
        <v>22</v>
      </c>
      <c r="W2" s="600">
        <f t="shared" si="0"/>
        <v>23</v>
      </c>
      <c r="X2" s="600">
        <f t="shared" si="0"/>
        <v>24</v>
      </c>
      <c r="Y2" s="600">
        <f t="shared" si="0"/>
        <v>25</v>
      </c>
      <c r="Z2" s="600">
        <f t="shared" si="0"/>
        <v>26</v>
      </c>
      <c r="AA2" s="600">
        <f t="shared" si="0"/>
        <v>27</v>
      </c>
      <c r="AB2" s="600">
        <f t="shared" si="0"/>
        <v>28</v>
      </c>
      <c r="AC2" s="600">
        <f t="shared" si="0"/>
        <v>29</v>
      </c>
      <c r="AD2" s="600">
        <f t="shared" si="0"/>
        <v>30</v>
      </c>
      <c r="AE2" s="600">
        <f t="shared" si="0"/>
        <v>31</v>
      </c>
      <c r="AF2" s="600">
        <f t="shared" si="0"/>
        <v>32</v>
      </c>
      <c r="AG2" s="600">
        <f t="shared" si="0"/>
        <v>33</v>
      </c>
      <c r="AH2" s="600">
        <f t="shared" si="0"/>
        <v>34</v>
      </c>
      <c r="AI2" s="600">
        <f t="shared" si="0"/>
        <v>35</v>
      </c>
      <c r="AJ2" s="600">
        <f t="shared" si="0"/>
        <v>36</v>
      </c>
      <c r="AK2" s="600">
        <f t="shared" si="0"/>
        <v>37</v>
      </c>
      <c r="AL2" s="600">
        <f t="shared" si="0"/>
        <v>38</v>
      </c>
      <c r="AM2" s="600">
        <f t="shared" si="0"/>
        <v>39</v>
      </c>
      <c r="AN2" s="600">
        <f t="shared" si="0"/>
        <v>40</v>
      </c>
      <c r="AO2" s="600">
        <f t="shared" si="0"/>
        <v>41</v>
      </c>
      <c r="AP2" s="600">
        <f t="shared" si="0"/>
        <v>42</v>
      </c>
      <c r="AQ2" s="600">
        <f t="shared" si="0"/>
        <v>43</v>
      </c>
      <c r="AR2" s="600">
        <f t="shared" si="0"/>
        <v>44</v>
      </c>
      <c r="AS2" s="600">
        <f t="shared" si="0"/>
        <v>45</v>
      </c>
      <c r="AT2" s="600">
        <f t="shared" si="0"/>
        <v>46</v>
      </c>
      <c r="AU2" s="600">
        <f t="shared" si="0"/>
        <v>47</v>
      </c>
      <c r="AV2" s="600">
        <f t="shared" si="0"/>
        <v>48</v>
      </c>
      <c r="AW2" s="600">
        <f t="shared" si="0"/>
        <v>49</v>
      </c>
      <c r="AX2" s="600">
        <f t="shared" si="0"/>
        <v>50</v>
      </c>
      <c r="AY2" s="600">
        <f t="shared" si="0"/>
        <v>51</v>
      </c>
      <c r="AZ2" s="600">
        <f t="shared" si="0"/>
        <v>52</v>
      </c>
      <c r="BA2" s="600">
        <f t="shared" si="0"/>
        <v>53</v>
      </c>
      <c r="BB2" s="600">
        <f t="shared" si="0"/>
        <v>54</v>
      </c>
      <c r="BC2" s="600">
        <f t="shared" si="0"/>
        <v>55</v>
      </c>
      <c r="BD2" s="600">
        <f t="shared" si="0"/>
        <v>56</v>
      </c>
      <c r="BE2" s="600">
        <f t="shared" si="0"/>
        <v>57</v>
      </c>
      <c r="BF2" s="600">
        <f t="shared" si="0"/>
        <v>58</v>
      </c>
      <c r="BG2" s="600">
        <f t="shared" si="0"/>
        <v>59</v>
      </c>
      <c r="BH2" s="600">
        <f t="shared" si="0"/>
        <v>60</v>
      </c>
      <c r="BI2" s="600">
        <f t="shared" si="0"/>
        <v>61</v>
      </c>
      <c r="BJ2" s="600">
        <f t="shared" si="0"/>
        <v>62</v>
      </c>
      <c r="BK2" s="600">
        <f t="shared" si="0"/>
        <v>63</v>
      </c>
      <c r="BL2" s="600">
        <f t="shared" si="0"/>
        <v>64</v>
      </c>
      <c r="BM2" s="600">
        <f t="shared" si="0"/>
        <v>65</v>
      </c>
      <c r="BN2" s="600">
        <f t="shared" si="0"/>
        <v>66</v>
      </c>
      <c r="BO2" s="600">
        <f t="shared" ref="BO2:BU2" si="1">BN2+1</f>
        <v>67</v>
      </c>
      <c r="BP2" s="600">
        <f t="shared" si="1"/>
        <v>68</v>
      </c>
      <c r="BQ2" s="600">
        <f t="shared" si="1"/>
        <v>69</v>
      </c>
      <c r="BR2" s="600">
        <f t="shared" si="1"/>
        <v>70</v>
      </c>
      <c r="BS2" s="600">
        <f t="shared" si="1"/>
        <v>71</v>
      </c>
      <c r="BT2" s="600">
        <f t="shared" si="1"/>
        <v>72</v>
      </c>
      <c r="BU2" s="600">
        <f t="shared" si="1"/>
        <v>73</v>
      </c>
    </row>
    <row r="3" spans="1:349" ht="36" x14ac:dyDescent="0.35">
      <c r="A3" t="s">
        <v>1915</v>
      </c>
      <c r="B3" t="s">
        <v>1905</v>
      </c>
      <c r="C3" t="s">
        <v>868</v>
      </c>
      <c r="D3" s="2" t="s">
        <v>869</v>
      </c>
      <c r="E3" s="2" t="s">
        <v>285</v>
      </c>
      <c r="F3" s="585" t="s">
        <v>3264</v>
      </c>
      <c r="G3" s="2" t="s">
        <v>286</v>
      </c>
      <c r="H3" t="s">
        <v>568</v>
      </c>
      <c r="I3" s="600" t="s">
        <v>590</v>
      </c>
      <c r="J3" s="3" t="s">
        <v>79</v>
      </c>
      <c r="K3" s="3" t="s">
        <v>1692</v>
      </c>
      <c r="L3" s="3" t="s">
        <v>1693</v>
      </c>
      <c r="M3" s="3" t="s">
        <v>1138</v>
      </c>
      <c r="N3" s="3" t="s">
        <v>1142</v>
      </c>
      <c r="O3" s="312" t="s">
        <v>1914</v>
      </c>
      <c r="P3" s="312" t="s">
        <v>60</v>
      </c>
      <c r="Q3" s="312" t="s">
        <v>593</v>
      </c>
      <c r="R3" s="2296" t="s">
        <v>61</v>
      </c>
      <c r="S3" s="2297" t="s">
        <v>351</v>
      </c>
      <c r="T3" s="2296" t="s">
        <v>62</v>
      </c>
      <c r="U3" s="2297" t="s">
        <v>352</v>
      </c>
      <c r="V3" s="2296" t="s">
        <v>63</v>
      </c>
      <c r="W3" s="2297" t="s">
        <v>305</v>
      </c>
      <c r="X3" s="2882" t="s">
        <v>64</v>
      </c>
      <c r="Y3" s="2883"/>
      <c r="Z3" s="2884"/>
      <c r="AA3" s="2882" t="s">
        <v>65</v>
      </c>
      <c r="AB3" s="2883"/>
      <c r="AC3" s="2884"/>
      <c r="AD3" s="316" t="s">
        <v>66</v>
      </c>
      <c r="AE3" s="317"/>
      <c r="AF3" s="2889"/>
      <c r="AG3" s="2890"/>
      <c r="AH3" s="2891" t="s">
        <v>67</v>
      </c>
      <c r="AI3" s="2892"/>
      <c r="AJ3" s="2892"/>
      <c r="AK3" s="2893"/>
      <c r="AL3" s="2888" t="s">
        <v>68</v>
      </c>
      <c r="AM3" s="2889"/>
      <c r="AN3" s="2889"/>
      <c r="AO3" s="2890"/>
      <c r="AP3" s="2885" t="s">
        <v>69</v>
      </c>
      <c r="AQ3" s="2886"/>
      <c r="AR3" s="2886"/>
      <c r="AS3" s="2887"/>
      <c r="AT3" s="2888" t="s">
        <v>70</v>
      </c>
      <c r="AU3" s="2889"/>
      <c r="AV3" s="2889"/>
      <c r="AW3" s="2890"/>
      <c r="AX3" s="2891" t="s">
        <v>71</v>
      </c>
      <c r="AY3" s="2892"/>
      <c r="AZ3" s="2892"/>
      <c r="BA3" s="2893"/>
      <c r="BB3" s="2891" t="s">
        <v>72</v>
      </c>
      <c r="BC3" s="2892"/>
      <c r="BD3" s="2892"/>
      <c r="BE3" s="2893"/>
      <c r="BF3" s="2891" t="s">
        <v>1273</v>
      </c>
      <c r="BG3" s="2892"/>
      <c r="BH3" s="2892"/>
      <c r="BI3" s="2893"/>
      <c r="BJ3" s="2876" t="s">
        <v>1274</v>
      </c>
      <c r="BK3" s="2876"/>
      <c r="BL3" s="2876"/>
      <c r="BM3" s="2876"/>
      <c r="BN3" s="2876" t="s">
        <v>1275</v>
      </c>
      <c r="BO3" s="2876"/>
      <c r="BP3" s="2876"/>
      <c r="BQ3" s="2876"/>
      <c r="BR3" s="2876" t="s">
        <v>1276</v>
      </c>
      <c r="BS3" s="2876"/>
      <c r="BT3" s="2876"/>
      <c r="BU3" s="2876"/>
      <c r="BW3" s="2877" t="s">
        <v>1681</v>
      </c>
      <c r="BX3" s="2878"/>
      <c r="BY3" s="2878"/>
      <c r="BZ3" s="2879"/>
      <c r="CA3" s="2877" t="s">
        <v>1682</v>
      </c>
      <c r="CB3" s="2878"/>
      <c r="CC3" s="2878"/>
      <c r="CD3" s="2879"/>
      <c r="CE3" s="2877" t="s">
        <v>875</v>
      </c>
      <c r="CF3" s="2878"/>
      <c r="CG3" s="2878"/>
      <c r="CH3" s="2879"/>
      <c r="CI3" s="2880" t="s">
        <v>876</v>
      </c>
      <c r="CJ3" s="2881"/>
      <c r="CK3" s="2881"/>
      <c r="CL3" s="2881"/>
    </row>
    <row r="4" spans="1:349" ht="24" customHeight="1" x14ac:dyDescent="0.35">
      <c r="A4" s="2">
        <f t="shared" ref="A4:A35" si="2">D4</f>
        <v>0</v>
      </c>
      <c r="D4" s="2"/>
      <c r="E4" s="2"/>
      <c r="F4" s="585"/>
      <c r="G4" s="2"/>
      <c r="J4" s="4"/>
      <c r="K4" s="4"/>
      <c r="L4" s="4"/>
      <c r="M4" s="4"/>
      <c r="N4" s="4"/>
      <c r="O4" s="313"/>
      <c r="P4" s="313"/>
      <c r="Q4" s="313"/>
      <c r="R4" s="2297"/>
      <c r="S4" s="2297"/>
      <c r="T4" s="2297"/>
      <c r="U4" s="2297"/>
      <c r="V4" s="2296"/>
      <c r="W4" s="2296"/>
      <c r="X4" s="311" t="s">
        <v>75</v>
      </c>
      <c r="Y4" s="311" t="s">
        <v>76</v>
      </c>
      <c r="Z4" s="311" t="s">
        <v>77</v>
      </c>
      <c r="AA4" s="311" t="s">
        <v>75</v>
      </c>
      <c r="AB4" s="311" t="s">
        <v>76</v>
      </c>
      <c r="AC4" s="311" t="s">
        <v>77</v>
      </c>
      <c r="AD4" s="320">
        <v>2018</v>
      </c>
      <c r="AE4" s="320">
        <v>2019</v>
      </c>
      <c r="AF4" s="320">
        <v>2020</v>
      </c>
      <c r="AG4" s="320">
        <v>2021</v>
      </c>
      <c r="AH4" s="320">
        <v>2018</v>
      </c>
      <c r="AI4" s="320">
        <v>2019</v>
      </c>
      <c r="AJ4" s="320">
        <v>2020</v>
      </c>
      <c r="AK4" s="320">
        <v>2021</v>
      </c>
      <c r="AL4" s="320">
        <v>2018</v>
      </c>
      <c r="AM4" s="320">
        <v>2019</v>
      </c>
      <c r="AN4" s="320">
        <v>2020</v>
      </c>
      <c r="AO4" s="320">
        <v>2021</v>
      </c>
      <c r="AP4" s="320">
        <v>2018</v>
      </c>
      <c r="AQ4" s="320">
        <v>2019</v>
      </c>
      <c r="AR4" s="320">
        <v>2020</v>
      </c>
      <c r="AS4" s="320">
        <v>2021</v>
      </c>
      <c r="AT4" s="320">
        <v>2018</v>
      </c>
      <c r="AU4" s="320">
        <v>2019</v>
      </c>
      <c r="AV4" s="320">
        <v>2020</v>
      </c>
      <c r="AW4" s="320">
        <v>2021</v>
      </c>
      <c r="AX4" s="320">
        <v>2018</v>
      </c>
      <c r="AY4" s="320">
        <v>2019</v>
      </c>
      <c r="AZ4" s="320">
        <v>2020</v>
      </c>
      <c r="BA4" s="320">
        <v>2021</v>
      </c>
      <c r="BB4" s="320">
        <v>2018</v>
      </c>
      <c r="BC4" s="320">
        <v>2019</v>
      </c>
      <c r="BD4" s="320">
        <v>2020</v>
      </c>
      <c r="BE4" s="320">
        <v>2021</v>
      </c>
      <c r="BF4" s="320">
        <v>2018</v>
      </c>
      <c r="BG4" s="320">
        <v>2019</v>
      </c>
      <c r="BH4" s="320">
        <v>2020</v>
      </c>
      <c r="BI4" s="320">
        <v>2021</v>
      </c>
      <c r="BJ4" s="320">
        <v>2018</v>
      </c>
      <c r="BK4" s="320">
        <v>2019</v>
      </c>
      <c r="BL4" s="320">
        <v>2020</v>
      </c>
      <c r="BM4" s="320">
        <v>2021</v>
      </c>
      <c r="BN4" s="320">
        <v>2018</v>
      </c>
      <c r="BO4" s="320">
        <v>2019</v>
      </c>
      <c r="BP4" s="320">
        <v>2020</v>
      </c>
      <c r="BQ4" s="320">
        <v>2021</v>
      </c>
      <c r="BR4" s="320">
        <v>2018</v>
      </c>
      <c r="BS4" s="320">
        <v>2019</v>
      </c>
      <c r="BT4" s="320">
        <v>2020</v>
      </c>
      <c r="BU4" s="320">
        <v>2021</v>
      </c>
      <c r="BW4" s="443">
        <v>2018</v>
      </c>
      <c r="BX4" s="443">
        <v>2019</v>
      </c>
      <c r="BY4" s="443">
        <v>2020</v>
      </c>
      <c r="BZ4" s="443">
        <v>2021</v>
      </c>
      <c r="CA4" s="443">
        <v>2018</v>
      </c>
      <c r="CB4" s="443">
        <v>2019</v>
      </c>
      <c r="CC4" s="443">
        <v>2020</v>
      </c>
      <c r="CD4" s="443">
        <v>2021</v>
      </c>
      <c r="CE4" s="444">
        <v>2018</v>
      </c>
      <c r="CF4" s="444">
        <v>2019</v>
      </c>
      <c r="CG4" s="444">
        <v>2020</v>
      </c>
      <c r="CH4" s="444">
        <v>2021</v>
      </c>
      <c r="CI4" s="444">
        <v>2018</v>
      </c>
      <c r="CJ4" s="444">
        <v>2019</v>
      </c>
      <c r="CK4" s="444">
        <v>2020</v>
      </c>
      <c r="CL4" s="444">
        <v>2021</v>
      </c>
    </row>
    <row r="5" spans="1:349" s="1" customFormat="1" ht="15" customHeight="1" x14ac:dyDescent="0.35">
      <c r="A5" s="585">
        <f t="shared" si="2"/>
        <v>522</v>
      </c>
      <c r="B5" t="str">
        <f t="shared" ref="B5:B68" si="3">E5&amp;"_"&amp;G5</f>
        <v>Residential_HVAC</v>
      </c>
      <c r="C5" t="s">
        <v>3290</v>
      </c>
      <c r="D5" s="600">
        <v>522</v>
      </c>
      <c r="E5" s="600" t="s">
        <v>78</v>
      </c>
      <c r="F5" s="600" t="str">
        <f>VLOOKUP(G5,Sheet4!$D$6:$E$22,2,FALSE)</f>
        <v>HVAC</v>
      </c>
      <c r="G5" s="445" t="s">
        <v>20</v>
      </c>
      <c r="H5" s="673" t="s">
        <v>58</v>
      </c>
      <c r="I5" s="232"/>
      <c r="J5" s="72" t="s">
        <v>1</v>
      </c>
      <c r="K5" s="72" t="s">
        <v>563</v>
      </c>
      <c r="L5" s="602" t="s">
        <v>1721</v>
      </c>
      <c r="M5" s="600">
        <v>1</v>
      </c>
      <c r="N5"/>
      <c r="O5" s="72" t="str">
        <f t="shared" ref="O5:O36" si="4">IF(AND(R5&gt;0,V5&gt;0),"Dual Fuel",IF(AND(V5&gt;0,R5&lt;=0),"Gas","Electric"))</f>
        <v>Dual Fuel</v>
      </c>
      <c r="P5" s="7">
        <f>VLOOKUP(D5,'2018 Plan Data'!$A$4:$K$1000,11,FALSE)</f>
        <v>10</v>
      </c>
      <c r="Q5" s="652">
        <f>VLOOKUP(D5,'2018 Plan Data'!$A$4:$L$1000,12,FALSE)</f>
        <v>0</v>
      </c>
      <c r="R5" s="314">
        <f>'RES HVAC'!S66</f>
        <v>49.112507639999997</v>
      </c>
      <c r="S5" s="314">
        <v>0</v>
      </c>
      <c r="T5" s="314">
        <v>0</v>
      </c>
      <c r="U5" s="314">
        <v>0</v>
      </c>
      <c r="V5" s="314">
        <f>'RES HVAC'!O66</f>
        <v>53.381999999999998</v>
      </c>
      <c r="W5" s="314">
        <v>0</v>
      </c>
      <c r="X5" s="310">
        <f>INDEX('NTG-RES'!F$7:F$84,MATCH('Measure Level Adjustments Tab'!$C5,'NTG-RES'!$A$7:$A$84,0))</f>
        <v>0.13</v>
      </c>
      <c r="Y5" s="310">
        <f>INDEX('NTG-RES'!G$7:G$84,MATCH('Measure Level Adjustments Tab'!$C5,'NTG-RES'!$A$7:$A$84,0))</f>
        <v>0</v>
      </c>
      <c r="Z5" s="310">
        <f>INDEX('NTG-RES'!H$7:H$84,MATCH('Measure Level Adjustments Tab'!$C5,'NTG-RES'!$A$7:$A$84,0))</f>
        <v>0</v>
      </c>
      <c r="AA5" s="310">
        <f>INDEX('NTG-RES'!K$7:K$84,MATCH('Measure Level Adjustments Tab'!$C5,'NTG-RES'!$A$7:$A$84,0))</f>
        <v>0.13</v>
      </c>
      <c r="AB5" s="310">
        <f>INDEX('NTG-RES'!L$7:L$84,MATCH('Measure Level Adjustments Tab'!$C5,'NTG-RES'!$A$7:$A$84,0))</f>
        <v>0</v>
      </c>
      <c r="AC5" s="310">
        <f>INDEX('NTG-RES'!M$7:M$84,MATCH('Measure Level Adjustments Tab'!$C5,'NTG-RES'!$A$7:$A$84,0))</f>
        <v>0</v>
      </c>
      <c r="AD5" s="309">
        <f t="shared" ref="AD5:AD14" si="5">1-X5+Y5+Z5</f>
        <v>0.87</v>
      </c>
      <c r="AE5" s="309">
        <f t="shared" ref="AE5:AG24" si="6">AD5</f>
        <v>0.87</v>
      </c>
      <c r="AF5" s="309">
        <f t="shared" si="6"/>
        <v>0.87</v>
      </c>
      <c r="AG5" s="309">
        <f t="shared" si="6"/>
        <v>0.87</v>
      </c>
      <c r="AH5" s="314">
        <f t="shared" ref="AH5:AH36" si="7">IF($Q5&gt;0,$S5*AD5,$R5*AD5)</f>
        <v>42.7278816468</v>
      </c>
      <c r="AI5" s="314">
        <f t="shared" ref="AI5:AI36" si="8">IF($Q5&gt;0,$S5*AE5,$R5*AE5)</f>
        <v>42.7278816468</v>
      </c>
      <c r="AJ5" s="314">
        <f t="shared" ref="AJ5:AJ36" si="9">IF($Q5&gt;0,$S5*AF5,$R5*AF5)</f>
        <v>42.7278816468</v>
      </c>
      <c r="AK5" s="314">
        <f t="shared" ref="AK5:AK36" si="10">IF($Q5&gt;0,$S5*AG5,$R5*AG5)</f>
        <v>42.7278816468</v>
      </c>
      <c r="AL5" s="309">
        <f t="shared" ref="AL5:AL36" si="11">AD5</f>
        <v>0.87</v>
      </c>
      <c r="AM5" s="309">
        <f t="shared" ref="AM5:AM36" si="12">AE5</f>
        <v>0.87</v>
      </c>
      <c r="AN5" s="309">
        <f t="shared" ref="AN5:AN36" si="13">AF5</f>
        <v>0.87</v>
      </c>
      <c r="AO5" s="309">
        <f t="shared" ref="AO5:AO36" si="14">AG5</f>
        <v>0.87</v>
      </c>
      <c r="AP5" s="446">
        <f t="shared" ref="AP5:AP36" si="15">$T5*AL5</f>
        <v>0</v>
      </c>
      <c r="AQ5" s="446">
        <f t="shared" ref="AQ5:AQ36" si="16">$T5*AM5</f>
        <v>0</v>
      </c>
      <c r="AR5" s="446">
        <f t="shared" ref="AR5:AR36" si="17">$T5*AN5</f>
        <v>0</v>
      </c>
      <c r="AS5" s="446">
        <f t="shared" ref="AS5:AS36" si="18">$T5*AO5</f>
        <v>0</v>
      </c>
      <c r="AT5" s="309">
        <f t="shared" ref="AT5:AT14" si="19">1-AA5+AB5+AC5</f>
        <v>0.87</v>
      </c>
      <c r="AU5" s="309">
        <f t="shared" ref="AU5:AW24" si="20">AT5</f>
        <v>0.87</v>
      </c>
      <c r="AV5" s="309">
        <f t="shared" si="20"/>
        <v>0.87</v>
      </c>
      <c r="AW5" s="309">
        <f t="shared" si="20"/>
        <v>0.87</v>
      </c>
      <c r="AX5" s="243">
        <f t="shared" ref="AX5:AX39" si="21">IF($Q5&gt;1,$W5*AT5,$V5*AT5)</f>
        <v>46.442339999999994</v>
      </c>
      <c r="AY5" s="243">
        <f t="shared" ref="AY5:AY39" si="22">IF($Q5&gt;1,$W5*AU5,$V5*AU5)</f>
        <v>46.442339999999994</v>
      </c>
      <c r="AZ5" s="243">
        <f t="shared" ref="AZ5:AZ39" si="23">IF($Q5&gt;1,$W5*AV5,$V5*AV5)</f>
        <v>46.442339999999994</v>
      </c>
      <c r="BA5" s="243">
        <f t="shared" ref="BA5:BA39" si="24">IF($Q5&gt;1,$W5*AW5,$V5*AW5)</f>
        <v>46.442339999999994</v>
      </c>
      <c r="BB5" s="243">
        <f>VLOOKUP($D5,'2018 Plan Data'!$A$4:$K$2000,6,FALSE)</f>
        <v>2412</v>
      </c>
      <c r="BC5" s="243">
        <f>VLOOKUP($D5,'2018 Plan Data'!$A$4:$K$2000,6,FALSE)</f>
        <v>2412</v>
      </c>
      <c r="BD5" s="243">
        <f>VLOOKUP($D5,'2018 Plan Data'!$A$4:$K$2000,6,FALSE)</f>
        <v>2412</v>
      </c>
      <c r="BE5" s="243">
        <f>VLOOKUP($D5,'2018 Plan Data'!$A$4:$K$2000,6,FALSE)</f>
        <v>2412</v>
      </c>
      <c r="BF5" s="243">
        <f t="shared" ref="BF5:BF68" si="25">BB5*$R5</f>
        <v>118459.36842767999</v>
      </c>
      <c r="BG5" s="243">
        <f t="shared" ref="BG5:BG68" si="26">BC5*$R5</f>
        <v>118459.36842767999</v>
      </c>
      <c r="BH5" s="243">
        <f t="shared" ref="BH5:BH68" si="27">BD5*$R5</f>
        <v>118459.36842767999</v>
      </c>
      <c r="BI5" s="243">
        <f t="shared" ref="BI5:BI68" si="28">BE5*$R5</f>
        <v>118459.36842767999</v>
      </c>
      <c r="BJ5" s="243">
        <f t="shared" ref="BJ5:BJ68" si="29">BB5*$V5</f>
        <v>128757.38399999999</v>
      </c>
      <c r="BK5" s="243">
        <f t="shared" ref="BK5:BK68" si="30">BC5*$V5</f>
        <v>128757.38399999999</v>
      </c>
      <c r="BL5" s="243">
        <f t="shared" ref="BL5:BL68" si="31">BD5*$V5</f>
        <v>128757.38399999999</v>
      </c>
      <c r="BM5" s="243">
        <f t="shared" ref="BM5:BM68" si="32">BE5*$V5</f>
        <v>128757.38399999999</v>
      </c>
      <c r="BN5" s="243">
        <f t="shared" ref="BN5:BN36" si="33">AH5*BB5</f>
        <v>103059.65053208161</v>
      </c>
      <c r="BO5" s="243">
        <f t="shared" ref="BO5:BO36" si="34">AI5*BC5</f>
        <v>103059.65053208161</v>
      </c>
      <c r="BP5" s="243">
        <f t="shared" ref="BP5:BP36" si="35">AJ5*BD5</f>
        <v>103059.65053208161</v>
      </c>
      <c r="BQ5" s="243">
        <f t="shared" ref="BQ5:BQ36" si="36">AK5*BE5</f>
        <v>103059.65053208161</v>
      </c>
      <c r="BR5" s="243">
        <f t="shared" ref="BR5:BR36" si="37">AX5*BB5</f>
        <v>112018.92407999998</v>
      </c>
      <c r="BS5" s="243">
        <f t="shared" ref="BS5:BS36" si="38">AY5*BC5</f>
        <v>112018.92407999998</v>
      </c>
      <c r="BT5" s="243">
        <f t="shared" ref="BT5:BT36" si="39">AZ5*BD5</f>
        <v>112018.92407999998</v>
      </c>
      <c r="BU5" s="243">
        <f t="shared" ref="BU5:BU36" si="40">BA5*BE5</f>
        <v>112018.92407999998</v>
      </c>
      <c r="BV5"/>
      <c r="BW5" s="314">
        <f>VLOOKUP($D5,'2018 Plan Data'!$A$4:$T$2000,13,FALSE)</f>
        <v>103059.65053208161</v>
      </c>
      <c r="BX5" s="314">
        <f>VLOOKUP($D5,'2018 Plan Data'!$A$4:$T$2000,14,FALSE)</f>
        <v>103059.65053208161</v>
      </c>
      <c r="BY5" s="314">
        <f>VLOOKUP($D5,'2018 Plan Data'!$A$4:$T$2000,15,FALSE)</f>
        <v>103059.65053208161</v>
      </c>
      <c r="BZ5" s="314">
        <f>VLOOKUP($D5,'2018 Plan Data'!$A$4:$T$2000,16,FALSE)</f>
        <v>103059.65053208161</v>
      </c>
      <c r="CA5" s="314">
        <f>VLOOKUP($D5,'2018 Plan Data'!$A$4:$T$2000,17,FALSE)</f>
        <v>112018.92407999998</v>
      </c>
      <c r="CB5" s="314">
        <f>VLOOKUP($D5,'2018 Plan Data'!$A$4:$T$2000,18,FALSE)</f>
        <v>112018.92407999998</v>
      </c>
      <c r="CC5" s="314">
        <f>VLOOKUP($D5,'2018 Plan Data'!$A$4:$T$2000,19,FALSE)</f>
        <v>112018.92407999998</v>
      </c>
      <c r="CD5" s="314">
        <f>VLOOKUP($D5,'2018 Plan Data'!$A$4:$T$2000,20,FALSE)</f>
        <v>112018.92407999998</v>
      </c>
      <c r="CE5" t="b">
        <f t="shared" ref="CE5:CE68" si="41">IF(BW5=BN5,TRUE,FALSE)</f>
        <v>1</v>
      </c>
      <c r="CF5" t="b">
        <f t="shared" ref="CF5:CF68" si="42">IF(BX5=BO5,TRUE,FALSE)</f>
        <v>1</v>
      </c>
      <c r="CG5" t="b">
        <f t="shared" ref="CG5:CG68" si="43">IF(BY5=BP5,TRUE,FALSE)</f>
        <v>1</v>
      </c>
      <c r="CH5" t="b">
        <f t="shared" ref="CH5:CH68" si="44">IF(BZ5=BQ5,TRUE,FALSE)</f>
        <v>1</v>
      </c>
      <c r="CI5" t="b">
        <f t="shared" ref="CI5:CI68" si="45">IF(CA5=BR5,TRUE,FALSE)</f>
        <v>1</v>
      </c>
      <c r="CJ5" t="b">
        <f t="shared" ref="CJ5:CJ68" si="46">IF(CB5=BS5,TRUE,FALSE)</f>
        <v>1</v>
      </c>
      <c r="CK5" t="b">
        <f t="shared" ref="CK5:CK68" si="47">IF(CC5=BT5,TRUE,FALSE)</f>
        <v>1</v>
      </c>
      <c r="CL5" t="b">
        <f t="shared" ref="CL5:CL68" si="48">IF(CD5=BU5,TRUE,FALSE)</f>
        <v>1</v>
      </c>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row>
    <row r="6" spans="1:349" ht="15" customHeight="1" x14ac:dyDescent="0.35">
      <c r="A6" s="585">
        <f t="shared" si="2"/>
        <v>524</v>
      </c>
      <c r="B6" t="str">
        <f t="shared" si="3"/>
        <v>Residential_HVAC</v>
      </c>
      <c r="C6" t="s">
        <v>3290</v>
      </c>
      <c r="D6">
        <v>524</v>
      </c>
      <c r="E6" s="600" t="s">
        <v>78</v>
      </c>
      <c r="F6" s="600" t="str">
        <f>VLOOKUP(G6,Sheet4!$D$6:$E$22,2,FALSE)</f>
        <v>HVAC</v>
      </c>
      <c r="G6" s="445" t="s">
        <v>20</v>
      </c>
      <c r="H6" s="673" t="s">
        <v>1935</v>
      </c>
      <c r="I6" s="232"/>
      <c r="J6" s="72" t="s">
        <v>1</v>
      </c>
      <c r="K6" s="112" t="s">
        <v>506</v>
      </c>
      <c r="L6" s="669" t="s">
        <v>1270</v>
      </c>
      <c r="M6" s="600">
        <v>1</v>
      </c>
      <c r="O6" s="72" t="str">
        <f t="shared" si="4"/>
        <v>Dual Fuel</v>
      </c>
      <c r="P6" s="7">
        <f>VLOOKUP(D6,'2018 Plan Data'!$A$4:$K$1000,11,FALSE)</f>
        <v>10</v>
      </c>
      <c r="Q6" s="652">
        <f>VLOOKUP(D6,'2018 Plan Data'!$A$4:$L$1000,12,FALSE)</f>
        <v>0</v>
      </c>
      <c r="R6" s="314">
        <f>ROUND('RES HVAC'!S20,2)</f>
        <v>296.29000000000002</v>
      </c>
      <c r="S6" s="314">
        <v>0</v>
      </c>
      <c r="T6" s="314">
        <f>'RES HVAC'!T20</f>
        <v>0.11213742331288343</v>
      </c>
      <c r="U6" s="314">
        <v>0</v>
      </c>
      <c r="V6" s="314">
        <f>ROUND('RES HVAC'!O20,2)</f>
        <v>74.05</v>
      </c>
      <c r="W6" s="314">
        <v>0</v>
      </c>
      <c r="X6" s="310">
        <f>INDEX('NTG-RES'!F$7:F$84,MATCH('Measure Level Adjustments Tab'!$C6,'NTG-RES'!$A$7:$A$84,0))</f>
        <v>0.13</v>
      </c>
      <c r="Y6" s="310">
        <f>INDEX('NTG-RES'!G$7:G$84,MATCH('Measure Level Adjustments Tab'!$C6,'NTG-RES'!$A$7:$A$84,0))</f>
        <v>0</v>
      </c>
      <c r="Z6" s="310">
        <f>INDEX('NTG-RES'!H$7:H$84,MATCH('Measure Level Adjustments Tab'!$C6,'NTG-RES'!$A$7:$A$84,0))</f>
        <v>0</v>
      </c>
      <c r="AA6" s="310">
        <f>INDEX('NTG-RES'!K$7:K$84,MATCH('Measure Level Adjustments Tab'!$C6,'NTG-RES'!$A$7:$A$84,0))</f>
        <v>0.13</v>
      </c>
      <c r="AB6" s="310">
        <f>INDEX('NTG-RES'!L$7:L$84,MATCH('Measure Level Adjustments Tab'!$C6,'NTG-RES'!$A$7:$A$84,0))</f>
        <v>0</v>
      </c>
      <c r="AC6" s="310">
        <f>INDEX('NTG-RES'!M$7:M$84,MATCH('Measure Level Adjustments Tab'!$C6,'NTG-RES'!$A$7:$A$84,0))</f>
        <v>0</v>
      </c>
      <c r="AD6" s="309">
        <f t="shared" si="5"/>
        <v>0.87</v>
      </c>
      <c r="AE6" s="309">
        <f t="shared" si="6"/>
        <v>0.87</v>
      </c>
      <c r="AF6" s="309">
        <f t="shared" si="6"/>
        <v>0.87</v>
      </c>
      <c r="AG6" s="309">
        <f t="shared" si="6"/>
        <v>0.87</v>
      </c>
      <c r="AH6" s="314">
        <f t="shared" si="7"/>
        <v>257.77230000000003</v>
      </c>
      <c r="AI6" s="314">
        <f t="shared" si="8"/>
        <v>257.77230000000003</v>
      </c>
      <c r="AJ6" s="314">
        <f t="shared" si="9"/>
        <v>257.77230000000003</v>
      </c>
      <c r="AK6" s="314">
        <f t="shared" si="10"/>
        <v>257.77230000000003</v>
      </c>
      <c r="AL6" s="309">
        <f t="shared" si="11"/>
        <v>0.87</v>
      </c>
      <c r="AM6" s="309">
        <f t="shared" si="12"/>
        <v>0.87</v>
      </c>
      <c r="AN6" s="309">
        <f t="shared" si="13"/>
        <v>0.87</v>
      </c>
      <c r="AO6" s="309">
        <f t="shared" si="14"/>
        <v>0.87</v>
      </c>
      <c r="AP6" s="446">
        <f t="shared" si="15"/>
        <v>9.7559558282208581E-2</v>
      </c>
      <c r="AQ6" s="446">
        <f t="shared" si="16"/>
        <v>9.7559558282208581E-2</v>
      </c>
      <c r="AR6" s="446">
        <f t="shared" si="17"/>
        <v>9.7559558282208581E-2</v>
      </c>
      <c r="AS6" s="446">
        <f t="shared" si="18"/>
        <v>9.7559558282208581E-2</v>
      </c>
      <c r="AT6" s="309">
        <f t="shared" si="19"/>
        <v>0.87</v>
      </c>
      <c r="AU6" s="309">
        <f t="shared" si="20"/>
        <v>0.87</v>
      </c>
      <c r="AV6" s="309">
        <f t="shared" si="20"/>
        <v>0.87</v>
      </c>
      <c r="AW6" s="309">
        <f t="shared" si="20"/>
        <v>0.87</v>
      </c>
      <c r="AX6" s="243">
        <f t="shared" si="21"/>
        <v>64.423500000000004</v>
      </c>
      <c r="AY6" s="243">
        <f t="shared" si="22"/>
        <v>64.423500000000004</v>
      </c>
      <c r="AZ6" s="243">
        <f t="shared" si="23"/>
        <v>64.423500000000004</v>
      </c>
      <c r="BA6" s="243">
        <f t="shared" si="24"/>
        <v>64.423500000000004</v>
      </c>
      <c r="BB6" s="243">
        <f>VLOOKUP($D6,'2018 Plan Data'!$A$4:$K$2000,6,FALSE)</f>
        <v>1450</v>
      </c>
      <c r="BC6" s="243">
        <f>VLOOKUP($D6,'2018 Plan Data'!$A$4:$K$2000,6,FALSE)</f>
        <v>1450</v>
      </c>
      <c r="BD6" s="243">
        <f>VLOOKUP($D6,'2018 Plan Data'!$A$4:$K$2000,6,FALSE)</f>
        <v>1450</v>
      </c>
      <c r="BE6" s="243">
        <f>VLOOKUP($D6,'2018 Plan Data'!$A$4:$K$2000,6,FALSE)</f>
        <v>1450</v>
      </c>
      <c r="BF6" s="243">
        <f t="shared" si="25"/>
        <v>429620.50000000006</v>
      </c>
      <c r="BG6" s="243">
        <f t="shared" si="26"/>
        <v>429620.50000000006</v>
      </c>
      <c r="BH6" s="243">
        <f t="shared" si="27"/>
        <v>429620.50000000006</v>
      </c>
      <c r="BI6" s="243">
        <f t="shared" si="28"/>
        <v>429620.50000000006</v>
      </c>
      <c r="BJ6" s="243">
        <f t="shared" si="29"/>
        <v>107372.5</v>
      </c>
      <c r="BK6" s="243">
        <f t="shared" si="30"/>
        <v>107372.5</v>
      </c>
      <c r="BL6" s="243">
        <f t="shared" si="31"/>
        <v>107372.5</v>
      </c>
      <c r="BM6" s="243">
        <f t="shared" si="32"/>
        <v>107372.5</v>
      </c>
      <c r="BN6" s="243">
        <f t="shared" si="33"/>
        <v>373769.83500000002</v>
      </c>
      <c r="BO6" s="243">
        <f t="shared" si="34"/>
        <v>373769.83500000002</v>
      </c>
      <c r="BP6" s="243">
        <f t="shared" si="35"/>
        <v>373769.83500000002</v>
      </c>
      <c r="BQ6" s="243">
        <f t="shared" si="36"/>
        <v>373769.83500000002</v>
      </c>
      <c r="BR6" s="243">
        <f t="shared" si="37"/>
        <v>93414.075000000012</v>
      </c>
      <c r="BS6" s="243">
        <f t="shared" si="38"/>
        <v>93414.075000000012</v>
      </c>
      <c r="BT6" s="243">
        <f t="shared" si="39"/>
        <v>93414.075000000012</v>
      </c>
      <c r="BU6" s="243">
        <f t="shared" si="40"/>
        <v>93414.075000000012</v>
      </c>
      <c r="BW6" s="314">
        <f>VLOOKUP($D6,'2018 Plan Data'!$A$4:$T$2000,13,FALSE)</f>
        <v>361785.58500000002</v>
      </c>
      <c r="BX6" s="314">
        <f>VLOOKUP($D6,'2018 Plan Data'!$A$4:$T$2000,14,FALSE)</f>
        <v>361785.58500000002</v>
      </c>
      <c r="BY6" s="314">
        <f>VLOOKUP($D6,'2018 Plan Data'!$A$4:$T$2000,15,FALSE)</f>
        <v>361785.58500000002</v>
      </c>
      <c r="BZ6" s="314">
        <f>VLOOKUP($D6,'2018 Plan Data'!$A$4:$T$2000,16,FALSE)</f>
        <v>361785.58500000002</v>
      </c>
      <c r="CA6" s="314">
        <f>VLOOKUP($D6,'2018 Plan Data'!$A$4:$T$2000,17,FALSE)</f>
        <v>80370.165000000008</v>
      </c>
      <c r="CB6" s="314">
        <f>VLOOKUP($D6,'2018 Plan Data'!$A$4:$T$2000,18,FALSE)</f>
        <v>80370.165000000008</v>
      </c>
      <c r="CC6" s="314">
        <f>VLOOKUP($D6,'2018 Plan Data'!$A$4:$T$2000,19,FALSE)</f>
        <v>80370.165000000008</v>
      </c>
      <c r="CD6" s="314">
        <f>VLOOKUP($D6,'2018 Plan Data'!$A$4:$T$2000,20,FALSE)</f>
        <v>80370.165000000008</v>
      </c>
      <c r="CE6" t="b">
        <f t="shared" si="41"/>
        <v>0</v>
      </c>
      <c r="CF6" t="b">
        <f t="shared" si="42"/>
        <v>0</v>
      </c>
      <c r="CG6" t="b">
        <f t="shared" si="43"/>
        <v>0</v>
      </c>
      <c r="CH6" t="b">
        <f t="shared" si="44"/>
        <v>0</v>
      </c>
      <c r="CI6" t="b">
        <f t="shared" si="45"/>
        <v>0</v>
      </c>
      <c r="CJ6" t="b">
        <f t="shared" si="46"/>
        <v>0</v>
      </c>
      <c r="CK6" t="b">
        <f t="shared" si="47"/>
        <v>0</v>
      </c>
      <c r="CL6" t="b">
        <f t="shared" si="48"/>
        <v>0</v>
      </c>
    </row>
    <row r="7" spans="1:349" ht="15" customHeight="1" x14ac:dyDescent="0.35">
      <c r="A7" s="585">
        <f t="shared" si="2"/>
        <v>843</v>
      </c>
      <c r="B7" t="str">
        <f t="shared" si="3"/>
        <v>Residential_Multifamily</v>
      </c>
      <c r="C7" t="s">
        <v>1358</v>
      </c>
      <c r="D7" s="600">
        <v>843</v>
      </c>
      <c r="E7" t="s">
        <v>78</v>
      </c>
      <c r="F7" s="600" t="str">
        <f>VLOOKUP(G7,Sheet4!$D$6:$E$22,2,FALSE)</f>
        <v>Multifamily</v>
      </c>
      <c r="G7" s="445" t="s">
        <v>8</v>
      </c>
      <c r="H7" s="673" t="s">
        <v>18</v>
      </c>
      <c r="I7" s="232"/>
      <c r="J7" s="72" t="s">
        <v>15</v>
      </c>
      <c r="K7" s="18" t="s">
        <v>643</v>
      </c>
      <c r="L7" s="602" t="s">
        <v>1725</v>
      </c>
      <c r="M7" s="600">
        <v>1</v>
      </c>
      <c r="N7" s="600"/>
      <c r="O7" s="72" t="str">
        <f t="shared" si="4"/>
        <v>Gas</v>
      </c>
      <c r="P7" s="7">
        <f>VLOOKUP(D7,'2018 Plan Data'!$A$4:$K$1000,11,FALSE)</f>
        <v>10</v>
      </c>
      <c r="Q7" s="652">
        <f>VLOOKUP(D7,'2018 Plan Data'!$A$4:$L$1000,12,FALSE)</f>
        <v>0</v>
      </c>
      <c r="R7" s="314">
        <v>0</v>
      </c>
      <c r="S7" s="314">
        <v>0</v>
      </c>
      <c r="T7" s="314">
        <v>0</v>
      </c>
      <c r="U7" s="314">
        <v>0</v>
      </c>
      <c r="V7" s="314">
        <f>ROUND('RES DHW'!C171,2)</f>
        <v>7.49</v>
      </c>
      <c r="W7" s="314">
        <v>0</v>
      </c>
      <c r="X7" s="310">
        <f>INDEX('NTG-RES'!F$7:F$84,MATCH('Measure Level Adjustments Tab'!$C7,'NTG-RES'!$A$7:$A$84,0))</f>
        <v>0.21</v>
      </c>
      <c r="Y7" s="310">
        <f>INDEX('NTG-RES'!G$7:G$84,MATCH('Measure Level Adjustments Tab'!$C7,'NTG-RES'!$A$7:$A$84,0))</f>
        <v>4.0000000000000001E-3</v>
      </c>
      <c r="Z7" s="310">
        <f>INDEX('NTG-RES'!H$7:H$84,MATCH('Measure Level Adjustments Tab'!$C7,'NTG-RES'!$A$7:$A$84,0))</f>
        <v>0</v>
      </c>
      <c r="AA7" s="310">
        <f>INDEX('NTG-RES'!K$7:K$84,MATCH('Measure Level Adjustments Tab'!$C7,'NTG-RES'!$A$7:$A$84,0))</f>
        <v>0</v>
      </c>
      <c r="AB7" s="310">
        <f>INDEX('NTG-RES'!K$7:K$84,MATCH('Measure Level Adjustments Tab'!$C7,'NTG-RES'!$A$7:$A$84,0))</f>
        <v>0</v>
      </c>
      <c r="AC7" s="310">
        <f>INDEX('NTG-RES'!L$7:L$84,MATCH('Measure Level Adjustments Tab'!$C7,'NTG-RES'!$A$7:$A$84,0))</f>
        <v>0</v>
      </c>
      <c r="AD7" s="309">
        <f t="shared" si="5"/>
        <v>0.79400000000000004</v>
      </c>
      <c r="AE7" s="309">
        <f t="shared" si="6"/>
        <v>0.79400000000000004</v>
      </c>
      <c r="AF7" s="309">
        <f t="shared" si="6"/>
        <v>0.79400000000000004</v>
      </c>
      <c r="AG7" s="309">
        <f t="shared" si="6"/>
        <v>0.79400000000000004</v>
      </c>
      <c r="AH7" s="314">
        <f t="shared" si="7"/>
        <v>0</v>
      </c>
      <c r="AI7" s="314">
        <f t="shared" si="8"/>
        <v>0</v>
      </c>
      <c r="AJ7" s="314">
        <f t="shared" si="9"/>
        <v>0</v>
      </c>
      <c r="AK7" s="314">
        <f t="shared" si="10"/>
        <v>0</v>
      </c>
      <c r="AL7" s="309">
        <f t="shared" si="11"/>
        <v>0.79400000000000004</v>
      </c>
      <c r="AM7" s="309">
        <f t="shared" si="12"/>
        <v>0.79400000000000004</v>
      </c>
      <c r="AN7" s="309">
        <f t="shared" si="13"/>
        <v>0.79400000000000004</v>
      </c>
      <c r="AO7" s="309">
        <f t="shared" si="14"/>
        <v>0.79400000000000004</v>
      </c>
      <c r="AP7" s="446">
        <f t="shared" si="15"/>
        <v>0</v>
      </c>
      <c r="AQ7" s="446">
        <f t="shared" si="16"/>
        <v>0</v>
      </c>
      <c r="AR7" s="446">
        <f t="shared" si="17"/>
        <v>0</v>
      </c>
      <c r="AS7" s="446">
        <f t="shared" si="18"/>
        <v>0</v>
      </c>
      <c r="AT7" s="309">
        <f t="shared" si="19"/>
        <v>1</v>
      </c>
      <c r="AU7" s="309">
        <f t="shared" si="20"/>
        <v>1</v>
      </c>
      <c r="AV7" s="309">
        <f t="shared" si="20"/>
        <v>1</v>
      </c>
      <c r="AW7" s="309">
        <f t="shared" si="20"/>
        <v>1</v>
      </c>
      <c r="AX7" s="243">
        <f t="shared" si="21"/>
        <v>7.49</v>
      </c>
      <c r="AY7" s="243">
        <f t="shared" si="22"/>
        <v>7.49</v>
      </c>
      <c r="AZ7" s="243">
        <f t="shared" si="23"/>
        <v>7.49</v>
      </c>
      <c r="BA7" s="243">
        <f t="shared" si="24"/>
        <v>7.49</v>
      </c>
      <c r="BB7" s="243">
        <f>VLOOKUP($D7,'2018 Plan Data'!$A$4:$K$2000,6,FALSE)</f>
        <v>2287</v>
      </c>
      <c r="BC7" s="243">
        <f>VLOOKUP($D7,'2018 Plan Data'!$A$4:$K$2000,7,FALSE)</f>
        <v>2287</v>
      </c>
      <c r="BD7" s="243">
        <f>VLOOKUP($D7,'2018 Plan Data'!$A$4:$K$2000,8,FALSE)</f>
        <v>2634</v>
      </c>
      <c r="BE7" s="243">
        <f>VLOOKUP($D7,'2018 Plan Data'!$A$4:$K$2000,9,FALSE)</f>
        <v>2634</v>
      </c>
      <c r="BF7" s="243">
        <f t="shared" si="25"/>
        <v>0</v>
      </c>
      <c r="BG7" s="243">
        <f t="shared" si="26"/>
        <v>0</v>
      </c>
      <c r="BH7" s="243">
        <f t="shared" si="27"/>
        <v>0</v>
      </c>
      <c r="BI7" s="243">
        <f t="shared" si="28"/>
        <v>0</v>
      </c>
      <c r="BJ7" s="243">
        <f t="shared" si="29"/>
        <v>17129.63</v>
      </c>
      <c r="BK7" s="243">
        <f t="shared" si="30"/>
        <v>17129.63</v>
      </c>
      <c r="BL7" s="243">
        <f t="shared" si="31"/>
        <v>19728.66</v>
      </c>
      <c r="BM7" s="243">
        <f t="shared" si="32"/>
        <v>19728.66</v>
      </c>
      <c r="BN7" s="243">
        <f t="shared" si="33"/>
        <v>0</v>
      </c>
      <c r="BO7" s="243">
        <f t="shared" si="34"/>
        <v>0</v>
      </c>
      <c r="BP7" s="243">
        <f t="shared" si="35"/>
        <v>0</v>
      </c>
      <c r="BQ7" s="243">
        <f t="shared" si="36"/>
        <v>0</v>
      </c>
      <c r="BR7" s="243">
        <f t="shared" si="37"/>
        <v>17129.63</v>
      </c>
      <c r="BS7" s="243">
        <f t="shared" si="38"/>
        <v>17129.63</v>
      </c>
      <c r="BT7" s="243">
        <f t="shared" si="39"/>
        <v>19728.66</v>
      </c>
      <c r="BU7" s="243">
        <f t="shared" si="40"/>
        <v>19728.66</v>
      </c>
      <c r="BV7" s="600"/>
      <c r="BW7" s="314">
        <f>VLOOKUP($D7,'2018 Plan Data'!$A$4:$T$2000,13,FALSE)</f>
        <v>0</v>
      </c>
      <c r="BX7" s="314">
        <f>VLOOKUP($D7,'2018 Plan Data'!$A$4:$T$2000,14,FALSE)</f>
        <v>0</v>
      </c>
      <c r="BY7" s="314">
        <f>VLOOKUP($D7,'2018 Plan Data'!$A$4:$T$2000,15,FALSE)</f>
        <v>0</v>
      </c>
      <c r="BZ7" s="314">
        <f>VLOOKUP($D7,'2018 Plan Data'!$A$4:$T$2000,16,FALSE)</f>
        <v>0</v>
      </c>
      <c r="CA7" s="314">
        <f>VLOOKUP($D7,'2018 Plan Data'!$A$4:$T$2000,17,FALSE)</f>
        <v>32178.09</v>
      </c>
      <c r="CB7" s="314">
        <f>VLOOKUP($D7,'2018 Plan Data'!$A$4:$T$2000,18,FALSE)</f>
        <v>32178.09</v>
      </c>
      <c r="CC7" s="314">
        <f>VLOOKUP($D7,'2018 Plan Data'!$A$4:$T$2000,19,FALSE)</f>
        <v>37060.379999999997</v>
      </c>
      <c r="CD7" s="314">
        <f>VLOOKUP($D7,'2018 Plan Data'!$A$4:$T$2000,20,FALSE)</f>
        <v>37060.379999999997</v>
      </c>
      <c r="CE7" t="b">
        <f t="shared" si="41"/>
        <v>1</v>
      </c>
      <c r="CF7" t="b">
        <f t="shared" si="42"/>
        <v>1</v>
      </c>
      <c r="CG7" t="b">
        <f t="shared" si="43"/>
        <v>1</v>
      </c>
      <c r="CH7" t="b">
        <f t="shared" si="44"/>
        <v>1</v>
      </c>
      <c r="CI7" t="b">
        <f t="shared" si="45"/>
        <v>0</v>
      </c>
      <c r="CJ7" t="b">
        <f t="shared" si="46"/>
        <v>0</v>
      </c>
      <c r="CK7" t="b">
        <f t="shared" si="47"/>
        <v>0</v>
      </c>
      <c r="CL7" t="b">
        <f t="shared" si="48"/>
        <v>0</v>
      </c>
    </row>
    <row r="8" spans="1:349" ht="15" customHeight="1" x14ac:dyDescent="0.35">
      <c r="A8" s="585">
        <f t="shared" si="2"/>
        <v>841</v>
      </c>
      <c r="B8" t="str">
        <f t="shared" si="3"/>
        <v>Residential_Multifamily</v>
      </c>
      <c r="C8" t="s">
        <v>1359</v>
      </c>
      <c r="D8">
        <v>841</v>
      </c>
      <c r="E8" t="s">
        <v>78</v>
      </c>
      <c r="F8" s="600" t="str">
        <f>VLOOKUP(G8,Sheet4!$D$6:$E$22,2,FALSE)</f>
        <v>Multifamily</v>
      </c>
      <c r="G8" s="445" t="s">
        <v>8</v>
      </c>
      <c r="H8" s="673" t="s">
        <v>19</v>
      </c>
      <c r="I8" s="232"/>
      <c r="J8" s="18" t="s">
        <v>15</v>
      </c>
      <c r="K8" s="18" t="s">
        <v>667</v>
      </c>
      <c r="L8" s="602" t="s">
        <v>1916</v>
      </c>
      <c r="M8" s="600">
        <v>1</v>
      </c>
      <c r="O8" s="72" t="str">
        <f t="shared" si="4"/>
        <v>Gas</v>
      </c>
      <c r="P8" s="7">
        <f>VLOOKUP(D8,'2018 Plan Data'!$A$4:$K$1000,11,FALSE)</f>
        <v>9</v>
      </c>
      <c r="Q8" s="652">
        <f>VLOOKUP(D8,'2018 Plan Data'!$A$4:$L$1000,12,FALSE)</f>
        <v>0</v>
      </c>
      <c r="R8" s="314">
        <v>0</v>
      </c>
      <c r="S8" s="314">
        <v>0</v>
      </c>
      <c r="T8" s="314">
        <v>0</v>
      </c>
      <c r="U8" s="314">
        <v>0</v>
      </c>
      <c r="V8" s="314">
        <f>ROUND('RES DHW'!C220,2)</f>
        <v>4.58</v>
      </c>
      <c r="W8" s="314">
        <v>0</v>
      </c>
      <c r="X8" s="310">
        <f>INDEX('NTG-RES'!F$7:F$84,MATCH('Measure Level Adjustments Tab'!$C8,'NTG-RES'!$A$7:$A$84,0))</f>
        <v>0.21</v>
      </c>
      <c r="Y8" s="310">
        <f>INDEX('NTG-RES'!G$7:G$84,MATCH('Measure Level Adjustments Tab'!$C8,'NTG-RES'!$A$7:$A$84,0))</f>
        <v>4.0000000000000001E-3</v>
      </c>
      <c r="Z8" s="310">
        <f>INDEX('NTG-RES'!H$7:H$84,MATCH('Measure Level Adjustments Tab'!$C8,'NTG-RES'!$A$7:$A$84,0))</f>
        <v>0</v>
      </c>
      <c r="AA8" s="310">
        <f>INDEX('NTG-RES'!K$7:K$84,MATCH('Measure Level Adjustments Tab'!$C8,'NTG-RES'!$A$7:$A$84,0))</f>
        <v>0</v>
      </c>
      <c r="AB8" s="310">
        <f>INDEX('NTG-RES'!K$7:K$84,MATCH('Measure Level Adjustments Tab'!$C8,'NTG-RES'!$A$7:$A$84,0))</f>
        <v>0</v>
      </c>
      <c r="AC8" s="310">
        <f>INDEX('NTG-RES'!L$7:L$84,MATCH('Measure Level Adjustments Tab'!$C8,'NTG-RES'!$A$7:$A$84,0))</f>
        <v>0</v>
      </c>
      <c r="AD8" s="309">
        <f t="shared" si="5"/>
        <v>0.79400000000000004</v>
      </c>
      <c r="AE8" s="309">
        <f t="shared" si="6"/>
        <v>0.79400000000000004</v>
      </c>
      <c r="AF8" s="309">
        <f t="shared" si="6"/>
        <v>0.79400000000000004</v>
      </c>
      <c r="AG8" s="309">
        <f t="shared" si="6"/>
        <v>0.79400000000000004</v>
      </c>
      <c r="AH8" s="314">
        <f t="shared" si="7"/>
        <v>0</v>
      </c>
      <c r="AI8" s="314">
        <f t="shared" si="8"/>
        <v>0</v>
      </c>
      <c r="AJ8" s="314">
        <f t="shared" si="9"/>
        <v>0</v>
      </c>
      <c r="AK8" s="314">
        <f t="shared" si="10"/>
        <v>0</v>
      </c>
      <c r="AL8" s="309">
        <f t="shared" si="11"/>
        <v>0.79400000000000004</v>
      </c>
      <c r="AM8" s="309">
        <f t="shared" si="12"/>
        <v>0.79400000000000004</v>
      </c>
      <c r="AN8" s="309">
        <f t="shared" si="13"/>
        <v>0.79400000000000004</v>
      </c>
      <c r="AO8" s="309">
        <f t="shared" si="14"/>
        <v>0.79400000000000004</v>
      </c>
      <c r="AP8" s="446">
        <f t="shared" si="15"/>
        <v>0</v>
      </c>
      <c r="AQ8" s="446">
        <f t="shared" si="16"/>
        <v>0</v>
      </c>
      <c r="AR8" s="446">
        <f t="shared" si="17"/>
        <v>0</v>
      </c>
      <c r="AS8" s="446">
        <f t="shared" si="18"/>
        <v>0</v>
      </c>
      <c r="AT8" s="309">
        <f t="shared" si="19"/>
        <v>1</v>
      </c>
      <c r="AU8" s="309">
        <f t="shared" si="20"/>
        <v>1</v>
      </c>
      <c r="AV8" s="309">
        <f t="shared" si="20"/>
        <v>1</v>
      </c>
      <c r="AW8" s="309">
        <f t="shared" si="20"/>
        <v>1</v>
      </c>
      <c r="AX8" s="243">
        <f t="shared" si="21"/>
        <v>4.58</v>
      </c>
      <c r="AY8" s="243">
        <f t="shared" si="22"/>
        <v>4.58</v>
      </c>
      <c r="AZ8" s="243">
        <f t="shared" si="23"/>
        <v>4.58</v>
      </c>
      <c r="BA8" s="243">
        <f t="shared" si="24"/>
        <v>4.58</v>
      </c>
      <c r="BB8" s="243">
        <f>VLOOKUP($D8,'2018 Plan Data'!$A$4:$K$2000,6,FALSE)</f>
        <v>4574</v>
      </c>
      <c r="BC8" s="243">
        <f>VLOOKUP($D8,'2018 Plan Data'!$A$4:$K$2000,7,FALSE)</f>
        <v>4574</v>
      </c>
      <c r="BD8" s="243">
        <f>VLOOKUP($D8,'2018 Plan Data'!$A$4:$K$2000,8,FALSE)</f>
        <v>5268</v>
      </c>
      <c r="BE8" s="243">
        <f>VLOOKUP($D8,'2018 Plan Data'!$A$4:$K$2000,9,FALSE)</f>
        <v>5268</v>
      </c>
      <c r="BF8" s="243">
        <f t="shared" si="25"/>
        <v>0</v>
      </c>
      <c r="BG8" s="243">
        <f t="shared" si="26"/>
        <v>0</v>
      </c>
      <c r="BH8" s="243">
        <f t="shared" si="27"/>
        <v>0</v>
      </c>
      <c r="BI8" s="243">
        <f t="shared" si="28"/>
        <v>0</v>
      </c>
      <c r="BJ8" s="243">
        <f t="shared" si="29"/>
        <v>20948.920000000002</v>
      </c>
      <c r="BK8" s="243">
        <f t="shared" si="30"/>
        <v>20948.920000000002</v>
      </c>
      <c r="BL8" s="243">
        <f t="shared" si="31"/>
        <v>24127.439999999999</v>
      </c>
      <c r="BM8" s="243">
        <f t="shared" si="32"/>
        <v>24127.439999999999</v>
      </c>
      <c r="BN8" s="243">
        <f t="shared" si="33"/>
        <v>0</v>
      </c>
      <c r="BO8" s="243">
        <f t="shared" si="34"/>
        <v>0</v>
      </c>
      <c r="BP8" s="243">
        <f t="shared" si="35"/>
        <v>0</v>
      </c>
      <c r="BQ8" s="243">
        <f t="shared" si="36"/>
        <v>0</v>
      </c>
      <c r="BR8" s="243">
        <f t="shared" si="37"/>
        <v>20948.920000000002</v>
      </c>
      <c r="BS8" s="243">
        <f t="shared" si="38"/>
        <v>20948.920000000002</v>
      </c>
      <c r="BT8" s="243">
        <f t="shared" si="39"/>
        <v>24127.439999999999</v>
      </c>
      <c r="BU8" s="243">
        <f t="shared" si="40"/>
        <v>24127.439999999999</v>
      </c>
      <c r="BW8" s="314">
        <f>VLOOKUP($D8,'2018 Plan Data'!$A$4:$T$2000,13,FALSE)</f>
        <v>0</v>
      </c>
      <c r="BX8" s="314">
        <f>VLOOKUP($D8,'2018 Plan Data'!$A$4:$T$2000,14,FALSE)</f>
        <v>0</v>
      </c>
      <c r="BY8" s="314">
        <f>VLOOKUP($D8,'2018 Plan Data'!$A$4:$T$2000,15,FALSE)</f>
        <v>0</v>
      </c>
      <c r="BZ8" s="314">
        <f>VLOOKUP($D8,'2018 Plan Data'!$A$4:$T$2000,16,FALSE)</f>
        <v>0</v>
      </c>
      <c r="CA8" s="314">
        <f>VLOOKUP($D8,'2018 Plan Data'!$A$4:$T$2000,17,FALSE)</f>
        <v>14728.28</v>
      </c>
      <c r="CB8" s="314">
        <f>VLOOKUP($D8,'2018 Plan Data'!$A$4:$T$2000,18,FALSE)</f>
        <v>14728.28</v>
      </c>
      <c r="CC8" s="314">
        <f>VLOOKUP($D8,'2018 Plan Data'!$A$4:$T$2000,19,FALSE)</f>
        <v>16962.960000000003</v>
      </c>
      <c r="CD8" s="314">
        <f>VLOOKUP($D8,'2018 Plan Data'!$A$4:$T$2000,20,FALSE)</f>
        <v>16962.960000000003</v>
      </c>
      <c r="CE8" t="b">
        <f t="shared" si="41"/>
        <v>1</v>
      </c>
      <c r="CF8" t="b">
        <f t="shared" si="42"/>
        <v>1</v>
      </c>
      <c r="CG8" t="b">
        <f t="shared" si="43"/>
        <v>1</v>
      </c>
      <c r="CH8" t="b">
        <f t="shared" si="44"/>
        <v>1</v>
      </c>
      <c r="CI8" t="b">
        <f t="shared" si="45"/>
        <v>0</v>
      </c>
      <c r="CJ8" t="b">
        <f t="shared" si="46"/>
        <v>0</v>
      </c>
      <c r="CK8" t="b">
        <f t="shared" si="47"/>
        <v>0</v>
      </c>
      <c r="CL8" t="b">
        <f t="shared" si="48"/>
        <v>0</v>
      </c>
    </row>
    <row r="9" spans="1:349" ht="15" customHeight="1" x14ac:dyDescent="0.35">
      <c r="A9" s="585">
        <f t="shared" si="2"/>
        <v>820</v>
      </c>
      <c r="B9" t="str">
        <f t="shared" si="3"/>
        <v>Residential_Multifamily</v>
      </c>
      <c r="C9" t="s">
        <v>1359</v>
      </c>
      <c r="D9" s="585">
        <v>820</v>
      </c>
      <c r="E9" t="s">
        <v>78</v>
      </c>
      <c r="F9" s="600" t="str">
        <f>VLOOKUP(G9,Sheet4!$D$6:$E$22,2,FALSE)</f>
        <v>Multifamily</v>
      </c>
      <c r="G9" s="445" t="s">
        <v>8</v>
      </c>
      <c r="H9" s="673" t="s">
        <v>22</v>
      </c>
      <c r="I9" s="232"/>
      <c r="J9" s="112" t="s">
        <v>20</v>
      </c>
      <c r="K9" s="18" t="s">
        <v>563</v>
      </c>
      <c r="L9" s="602" t="s">
        <v>1721</v>
      </c>
      <c r="M9" s="600">
        <v>1</v>
      </c>
      <c r="N9" s="585"/>
      <c r="O9" s="72" t="str">
        <f t="shared" si="4"/>
        <v>Dual Fuel</v>
      </c>
      <c r="P9" s="7">
        <f>VLOOKUP(D9,'2018 Plan Data'!$A$4:$K$1000,11,FALSE)</f>
        <v>5</v>
      </c>
      <c r="Q9" s="652">
        <f>VLOOKUP(D9,'2018 Plan Data'!$A$4:$L$1000,12,FALSE)</f>
        <v>0</v>
      </c>
      <c r="R9" s="315">
        <f>ROUND('RES HVAC'!S59,2)</f>
        <v>31.92</v>
      </c>
      <c r="S9" s="314">
        <v>0</v>
      </c>
      <c r="T9" s="315">
        <v>0</v>
      </c>
      <c r="U9" s="314">
        <v>0</v>
      </c>
      <c r="V9" s="315">
        <f>'RES HVAC'!O59</f>
        <v>34.698300000000003</v>
      </c>
      <c r="W9" s="314">
        <v>0</v>
      </c>
      <c r="X9" s="310">
        <f>INDEX('NTG-RES'!F$7:F$84,MATCH('Measure Level Adjustments Tab'!$C9,'NTG-RES'!$A$7:$A$84,0))</f>
        <v>0.21</v>
      </c>
      <c r="Y9" s="310">
        <f>INDEX('NTG-RES'!G$7:G$84,MATCH('Measure Level Adjustments Tab'!$C9,'NTG-RES'!$A$7:$A$84,0))</f>
        <v>4.0000000000000001E-3</v>
      </c>
      <c r="Z9" s="310">
        <f>INDEX('NTG-RES'!H$7:H$84,MATCH('Measure Level Adjustments Tab'!$C9,'NTG-RES'!$A$7:$A$84,0))</f>
        <v>0</v>
      </c>
      <c r="AA9" s="310">
        <f>INDEX('NTG-RES'!K$7:K$84,MATCH('Measure Level Adjustments Tab'!$C9,'NTG-RES'!$A$7:$A$84,0))</f>
        <v>0</v>
      </c>
      <c r="AB9" s="310">
        <f>INDEX('NTG-RES'!K$7:K$84,MATCH('Measure Level Adjustments Tab'!$C9,'NTG-RES'!$A$7:$A$84,0))</f>
        <v>0</v>
      </c>
      <c r="AC9" s="310">
        <f>INDEX('NTG-RES'!L$7:L$84,MATCH('Measure Level Adjustments Tab'!$C9,'NTG-RES'!$A$7:$A$84,0))</f>
        <v>0</v>
      </c>
      <c r="AD9" s="309">
        <f t="shared" si="5"/>
        <v>0.79400000000000004</v>
      </c>
      <c r="AE9" s="309">
        <f t="shared" si="6"/>
        <v>0.79400000000000004</v>
      </c>
      <c r="AF9" s="309">
        <f t="shared" si="6"/>
        <v>0.79400000000000004</v>
      </c>
      <c r="AG9" s="309">
        <f t="shared" si="6"/>
        <v>0.79400000000000004</v>
      </c>
      <c r="AH9" s="314">
        <f t="shared" si="7"/>
        <v>25.344480000000004</v>
      </c>
      <c r="AI9" s="314">
        <f t="shared" si="8"/>
        <v>25.344480000000004</v>
      </c>
      <c r="AJ9" s="314">
        <f t="shared" si="9"/>
        <v>25.344480000000004</v>
      </c>
      <c r="AK9" s="314">
        <f t="shared" si="10"/>
        <v>25.344480000000004</v>
      </c>
      <c r="AL9" s="309">
        <f t="shared" si="11"/>
        <v>0.79400000000000004</v>
      </c>
      <c r="AM9" s="309">
        <f t="shared" si="12"/>
        <v>0.79400000000000004</v>
      </c>
      <c r="AN9" s="309">
        <f t="shared" si="13"/>
        <v>0.79400000000000004</v>
      </c>
      <c r="AO9" s="309">
        <f t="shared" si="14"/>
        <v>0.79400000000000004</v>
      </c>
      <c r="AP9" s="446">
        <f t="shared" si="15"/>
        <v>0</v>
      </c>
      <c r="AQ9" s="446">
        <f t="shared" si="16"/>
        <v>0</v>
      </c>
      <c r="AR9" s="446">
        <f t="shared" si="17"/>
        <v>0</v>
      </c>
      <c r="AS9" s="446">
        <f t="shared" si="18"/>
        <v>0</v>
      </c>
      <c r="AT9" s="309">
        <f t="shared" si="19"/>
        <v>1</v>
      </c>
      <c r="AU9" s="309">
        <f t="shared" si="20"/>
        <v>1</v>
      </c>
      <c r="AV9" s="309">
        <f t="shared" si="20"/>
        <v>1</v>
      </c>
      <c r="AW9" s="309">
        <f t="shared" si="20"/>
        <v>1</v>
      </c>
      <c r="AX9" s="243">
        <f t="shared" si="21"/>
        <v>34.698300000000003</v>
      </c>
      <c r="AY9" s="243">
        <f t="shared" si="22"/>
        <v>34.698300000000003</v>
      </c>
      <c r="AZ9" s="243">
        <f t="shared" si="23"/>
        <v>34.698300000000003</v>
      </c>
      <c r="BA9" s="243">
        <f t="shared" si="24"/>
        <v>34.698300000000003</v>
      </c>
      <c r="BB9" s="243">
        <f>VLOOKUP($D9,'2018 Plan Data'!$A$4:$K$2000,6,FALSE)</f>
        <v>794</v>
      </c>
      <c r="BC9" s="243">
        <f>VLOOKUP($D9,'2018 Plan Data'!$A$4:$K$2000,7,FALSE)</f>
        <v>794</v>
      </c>
      <c r="BD9" s="243">
        <f>VLOOKUP($D9,'2018 Plan Data'!$A$4:$K$2000,8,FALSE)</f>
        <v>915</v>
      </c>
      <c r="BE9" s="243">
        <f>VLOOKUP($D9,'2018 Plan Data'!$A$4:$K$2000,9,FALSE)</f>
        <v>915</v>
      </c>
      <c r="BF9" s="243">
        <f t="shared" si="25"/>
        <v>25344.48</v>
      </c>
      <c r="BG9" s="243">
        <f t="shared" si="26"/>
        <v>25344.48</v>
      </c>
      <c r="BH9" s="243">
        <f t="shared" si="27"/>
        <v>29206.800000000003</v>
      </c>
      <c r="BI9" s="243">
        <f t="shared" si="28"/>
        <v>29206.800000000003</v>
      </c>
      <c r="BJ9" s="243">
        <f t="shared" si="29"/>
        <v>27550.450200000003</v>
      </c>
      <c r="BK9" s="243">
        <f t="shared" si="30"/>
        <v>27550.450200000003</v>
      </c>
      <c r="BL9" s="243">
        <f t="shared" si="31"/>
        <v>31748.944500000001</v>
      </c>
      <c r="BM9" s="243">
        <f t="shared" si="32"/>
        <v>31748.944500000001</v>
      </c>
      <c r="BN9" s="243">
        <f t="shared" si="33"/>
        <v>20123.517120000004</v>
      </c>
      <c r="BO9" s="243">
        <f t="shared" si="34"/>
        <v>20123.517120000004</v>
      </c>
      <c r="BP9" s="243">
        <f t="shared" si="35"/>
        <v>23190.199200000003</v>
      </c>
      <c r="BQ9" s="243">
        <f t="shared" si="36"/>
        <v>23190.199200000003</v>
      </c>
      <c r="BR9" s="243">
        <f t="shared" si="37"/>
        <v>27550.450200000003</v>
      </c>
      <c r="BS9" s="243">
        <f t="shared" si="38"/>
        <v>27550.450200000003</v>
      </c>
      <c r="BT9" s="243">
        <f t="shared" si="39"/>
        <v>31748.944500000001</v>
      </c>
      <c r="BU9" s="243">
        <f t="shared" si="40"/>
        <v>31748.944500000001</v>
      </c>
      <c r="BV9" s="585"/>
      <c r="BW9" s="314">
        <f>VLOOKUP($D9,'2018 Plan Data'!$A$4:$T$2000,13,FALSE)</f>
        <v>20123.517120000004</v>
      </c>
      <c r="BX9" s="314">
        <f>VLOOKUP($D9,'2018 Plan Data'!$A$4:$T$2000,14,FALSE)</f>
        <v>20123.517120000004</v>
      </c>
      <c r="BY9" s="314">
        <f>VLOOKUP($D9,'2018 Plan Data'!$A$4:$T$2000,15,FALSE)</f>
        <v>23190.199200000003</v>
      </c>
      <c r="BZ9" s="314">
        <f>VLOOKUP($D9,'2018 Plan Data'!$A$4:$T$2000,16,FALSE)</f>
        <v>23190.199200000003</v>
      </c>
      <c r="CA9" s="314">
        <f>VLOOKUP($D9,'2018 Plan Data'!$A$4:$T$2000,17,FALSE)</f>
        <v>27550.450200000003</v>
      </c>
      <c r="CB9" s="314">
        <f>VLOOKUP($D9,'2018 Plan Data'!$A$4:$T$2000,18,FALSE)</f>
        <v>27550.450200000003</v>
      </c>
      <c r="CC9" s="314">
        <f>VLOOKUP($D9,'2018 Plan Data'!$A$4:$T$2000,19,FALSE)</f>
        <v>31748.944500000001</v>
      </c>
      <c r="CD9" s="314">
        <f>VLOOKUP($D9,'2018 Plan Data'!$A$4:$T$2000,20,FALSE)</f>
        <v>31748.944500000001</v>
      </c>
      <c r="CE9" t="b">
        <f t="shared" si="41"/>
        <v>1</v>
      </c>
      <c r="CF9" t="b">
        <f t="shared" si="42"/>
        <v>1</v>
      </c>
      <c r="CG9" t="b">
        <f t="shared" si="43"/>
        <v>1</v>
      </c>
      <c r="CH9" t="b">
        <f t="shared" si="44"/>
        <v>1</v>
      </c>
      <c r="CI9" t="b">
        <f t="shared" si="45"/>
        <v>1</v>
      </c>
      <c r="CJ9" t="b">
        <f t="shared" si="46"/>
        <v>1</v>
      </c>
      <c r="CK9" t="b">
        <f t="shared" si="47"/>
        <v>1</v>
      </c>
      <c r="CL9" t="b">
        <f t="shared" si="48"/>
        <v>1</v>
      </c>
    </row>
    <row r="10" spans="1:349" ht="15" customHeight="1" x14ac:dyDescent="0.35">
      <c r="A10" s="585">
        <f t="shared" si="2"/>
        <v>838</v>
      </c>
      <c r="B10" t="str">
        <f t="shared" si="3"/>
        <v>Residential_Multifamily</v>
      </c>
      <c r="C10" t="s">
        <v>1360</v>
      </c>
      <c r="D10" s="585">
        <v>838</v>
      </c>
      <c r="E10" t="s">
        <v>78</v>
      </c>
      <c r="F10" s="600" t="str">
        <f>VLOOKUP(G10,Sheet4!$D$6:$E$22,2,FALSE)</f>
        <v>Multifamily</v>
      </c>
      <c r="G10" s="445" t="s">
        <v>8</v>
      </c>
      <c r="H10" s="673" t="s">
        <v>54</v>
      </c>
      <c r="I10" s="232"/>
      <c r="J10" s="112" t="s">
        <v>44</v>
      </c>
      <c r="K10" s="112" t="s">
        <v>483</v>
      </c>
      <c r="L10" s="670" t="s">
        <v>1723</v>
      </c>
      <c r="M10" s="600">
        <v>1</v>
      </c>
      <c r="N10" s="585"/>
      <c r="O10" s="72" t="str">
        <f t="shared" si="4"/>
        <v>Gas</v>
      </c>
      <c r="P10" s="7">
        <f>VLOOKUP(D10,'2018 Plan Data'!$A$4:$K$1000,11,FALSE)</f>
        <v>13</v>
      </c>
      <c r="Q10" s="652">
        <f>VLOOKUP(D10,'2018 Plan Data'!$A$4:$L$1000,12,FALSE)</f>
        <v>0</v>
      </c>
      <c r="R10" s="315">
        <v>0</v>
      </c>
      <c r="S10" s="315">
        <v>0</v>
      </c>
      <c r="T10" s="315">
        <v>0</v>
      </c>
      <c r="U10" s="315">
        <v>0</v>
      </c>
      <c r="V10" s="315">
        <f>'RES Shell'!S45</f>
        <v>4.4032292307692309</v>
      </c>
      <c r="W10" s="314">
        <v>0</v>
      </c>
      <c r="X10" s="310">
        <f>INDEX('NTG-RES'!F$7:F$84,MATCH('Measure Level Adjustments Tab'!$C10,'NTG-RES'!$A$7:$A$84,0))</f>
        <v>0.14499999999999999</v>
      </c>
      <c r="Y10" s="310">
        <f>INDEX('NTG-RES'!G$7:G$84,MATCH('Measure Level Adjustments Tab'!$C10,'NTG-RES'!$A$7:$A$84,0))</f>
        <v>4.0000000000000001E-3</v>
      </c>
      <c r="Z10" s="310">
        <f>INDEX('NTG-RES'!H$7:H$84,MATCH('Measure Level Adjustments Tab'!$C10,'NTG-RES'!$A$7:$A$84,0))</f>
        <v>0</v>
      </c>
      <c r="AA10" s="310">
        <f>INDEX('NTG-RES'!K$7:K$84,MATCH('Measure Level Adjustments Tab'!$C10,'NTG-RES'!$A$7:$A$84,0))</f>
        <v>0.29299999999999998</v>
      </c>
      <c r="AB10" s="310">
        <f>INDEX('NTG-RES'!L$7:L$84,MATCH('Measure Level Adjustments Tab'!$C10,'NTG-RES'!$A$7:$A$84,0))</f>
        <v>0</v>
      </c>
      <c r="AC10" s="310">
        <f>INDEX('NTG-RES'!M$7:M$84,MATCH('Measure Level Adjustments Tab'!$C10,'NTG-RES'!$A$7:$A$84,0))</f>
        <v>0</v>
      </c>
      <c r="AD10" s="309">
        <f t="shared" si="5"/>
        <v>0.85899999999999999</v>
      </c>
      <c r="AE10" s="309">
        <f t="shared" si="6"/>
        <v>0.85899999999999999</v>
      </c>
      <c r="AF10" s="309">
        <f t="shared" si="6"/>
        <v>0.85899999999999999</v>
      </c>
      <c r="AG10" s="309">
        <f t="shared" si="6"/>
        <v>0.85899999999999999</v>
      </c>
      <c r="AH10" s="314">
        <f t="shared" si="7"/>
        <v>0</v>
      </c>
      <c r="AI10" s="314">
        <f t="shared" si="8"/>
        <v>0</v>
      </c>
      <c r="AJ10" s="314">
        <f t="shared" si="9"/>
        <v>0</v>
      </c>
      <c r="AK10" s="314">
        <f t="shared" si="10"/>
        <v>0</v>
      </c>
      <c r="AL10" s="309">
        <f t="shared" si="11"/>
        <v>0.85899999999999999</v>
      </c>
      <c r="AM10" s="309">
        <f t="shared" si="12"/>
        <v>0.85899999999999999</v>
      </c>
      <c r="AN10" s="309">
        <f t="shared" si="13"/>
        <v>0.85899999999999999</v>
      </c>
      <c r="AO10" s="309">
        <f t="shared" si="14"/>
        <v>0.85899999999999999</v>
      </c>
      <c r="AP10" s="446">
        <f t="shared" si="15"/>
        <v>0</v>
      </c>
      <c r="AQ10" s="446">
        <f t="shared" si="16"/>
        <v>0</v>
      </c>
      <c r="AR10" s="446">
        <f t="shared" si="17"/>
        <v>0</v>
      </c>
      <c r="AS10" s="446">
        <f t="shared" si="18"/>
        <v>0</v>
      </c>
      <c r="AT10" s="309">
        <f t="shared" si="19"/>
        <v>0.70700000000000007</v>
      </c>
      <c r="AU10" s="309">
        <f t="shared" si="20"/>
        <v>0.70700000000000007</v>
      </c>
      <c r="AV10" s="309">
        <f t="shared" si="20"/>
        <v>0.70700000000000007</v>
      </c>
      <c r="AW10" s="309">
        <f t="shared" si="20"/>
        <v>0.70700000000000007</v>
      </c>
      <c r="AX10" s="243">
        <f t="shared" si="21"/>
        <v>3.1130830661538464</v>
      </c>
      <c r="AY10" s="243">
        <f t="shared" si="22"/>
        <v>3.1130830661538464</v>
      </c>
      <c r="AZ10" s="243">
        <f t="shared" si="23"/>
        <v>3.1130830661538464</v>
      </c>
      <c r="BA10" s="243">
        <f t="shared" si="24"/>
        <v>3.1130830661538464</v>
      </c>
      <c r="BB10" s="243">
        <f>VLOOKUP($D10,'2018 Plan Data'!$A$4:$K$2000,6,FALSE)</f>
        <v>1060</v>
      </c>
      <c r="BC10" s="243">
        <f>VLOOKUP($D10,'2018 Plan Data'!$A$4:$K$2000,7,FALSE)</f>
        <v>1060</v>
      </c>
      <c r="BD10" s="243">
        <f>VLOOKUP($D10,'2018 Plan Data'!$A$4:$K$2000,8,FALSE)</f>
        <v>1643</v>
      </c>
      <c r="BE10" s="243">
        <f>VLOOKUP($D10,'2018 Plan Data'!$A$4:$K$2000,9,FALSE)</f>
        <v>1643</v>
      </c>
      <c r="BF10" s="243">
        <f t="shared" si="25"/>
        <v>0</v>
      </c>
      <c r="BG10" s="243">
        <f t="shared" si="26"/>
        <v>0</v>
      </c>
      <c r="BH10" s="243">
        <f t="shared" si="27"/>
        <v>0</v>
      </c>
      <c r="BI10" s="243">
        <f t="shared" si="28"/>
        <v>0</v>
      </c>
      <c r="BJ10" s="243">
        <f t="shared" si="29"/>
        <v>4667.4229846153848</v>
      </c>
      <c r="BK10" s="243">
        <f t="shared" si="30"/>
        <v>4667.4229846153848</v>
      </c>
      <c r="BL10" s="243">
        <f t="shared" si="31"/>
        <v>7234.5056261538466</v>
      </c>
      <c r="BM10" s="243">
        <f t="shared" si="32"/>
        <v>7234.5056261538466</v>
      </c>
      <c r="BN10" s="243">
        <f t="shared" si="33"/>
        <v>0</v>
      </c>
      <c r="BO10" s="243">
        <f t="shared" si="34"/>
        <v>0</v>
      </c>
      <c r="BP10" s="243">
        <f t="shared" si="35"/>
        <v>0</v>
      </c>
      <c r="BQ10" s="243">
        <f t="shared" si="36"/>
        <v>0</v>
      </c>
      <c r="BR10" s="243">
        <f t="shared" si="37"/>
        <v>3299.8680501230774</v>
      </c>
      <c r="BS10" s="243">
        <f t="shared" si="38"/>
        <v>3299.8680501230774</v>
      </c>
      <c r="BT10" s="243">
        <f t="shared" si="39"/>
        <v>5114.79547769077</v>
      </c>
      <c r="BU10" s="243">
        <f t="shared" si="40"/>
        <v>5114.79547769077</v>
      </c>
      <c r="BW10" s="314">
        <f>VLOOKUP($D10,'2018 Plan Data'!$A$4:$T$2000,13,FALSE)</f>
        <v>0</v>
      </c>
      <c r="BX10" s="314">
        <f>VLOOKUP($D10,'2018 Plan Data'!$A$4:$T$2000,14,FALSE)</f>
        <v>0</v>
      </c>
      <c r="BY10" s="314">
        <f>VLOOKUP($D10,'2018 Plan Data'!$A$4:$T$2000,15,FALSE)</f>
        <v>0</v>
      </c>
      <c r="BZ10" s="314">
        <f>VLOOKUP($D10,'2018 Plan Data'!$A$4:$T$2000,16,FALSE)</f>
        <v>0</v>
      </c>
      <c r="CA10" s="314">
        <f>VLOOKUP($D10,'2018 Plan Data'!$A$4:$T$2000,17,FALSE)</f>
        <v>3961.8630188307698</v>
      </c>
      <c r="CB10" s="314">
        <f>VLOOKUP($D10,'2018 Plan Data'!$A$4:$T$2000,18,FALSE)</f>
        <v>3961.8630188307698</v>
      </c>
      <c r="CC10" s="314">
        <f>VLOOKUP($D10,'2018 Plan Data'!$A$4:$T$2000,19,FALSE)</f>
        <v>6140.8876791876928</v>
      </c>
      <c r="CD10" s="314">
        <f>VLOOKUP($D10,'2018 Plan Data'!$A$4:$T$2000,20,FALSE)</f>
        <v>6140.8876791876928</v>
      </c>
      <c r="CE10" t="b">
        <f t="shared" si="41"/>
        <v>1</v>
      </c>
      <c r="CF10" t="b">
        <f t="shared" si="42"/>
        <v>1</v>
      </c>
      <c r="CG10" t="b">
        <f t="shared" si="43"/>
        <v>1</v>
      </c>
      <c r="CH10" t="b">
        <f t="shared" si="44"/>
        <v>1</v>
      </c>
      <c r="CI10" t="b">
        <f t="shared" si="45"/>
        <v>0</v>
      </c>
      <c r="CJ10" t="b">
        <f t="shared" si="46"/>
        <v>0</v>
      </c>
      <c r="CK10" t="b">
        <f t="shared" si="47"/>
        <v>0</v>
      </c>
      <c r="CL10" t="b">
        <f t="shared" si="48"/>
        <v>0</v>
      </c>
    </row>
    <row r="11" spans="1:349" ht="15" customHeight="1" x14ac:dyDescent="0.35">
      <c r="A11" s="585">
        <f t="shared" si="2"/>
        <v>499</v>
      </c>
      <c r="B11" t="str">
        <f t="shared" si="3"/>
        <v>Residential_Direct Distribution Efficient Products</v>
      </c>
      <c r="C11" t="s">
        <v>1397</v>
      </c>
      <c r="D11">
        <v>499</v>
      </c>
      <c r="E11" t="s">
        <v>78</v>
      </c>
      <c r="F11" s="600" t="str">
        <f>VLOOKUP(G11,Sheet4!$D$6:$E$22,2,FALSE)</f>
        <v>Direct Distribution of Efficient Products</v>
      </c>
      <c r="G11" s="445" t="s">
        <v>33</v>
      </c>
      <c r="H11" s="673" t="s">
        <v>39</v>
      </c>
      <c r="I11" s="232"/>
      <c r="J11" s="18" t="s">
        <v>34</v>
      </c>
      <c r="K11" s="18" t="s">
        <v>643</v>
      </c>
      <c r="L11" s="602" t="s">
        <v>1725</v>
      </c>
      <c r="M11" s="600">
        <v>1</v>
      </c>
      <c r="O11" s="72" t="str">
        <f t="shared" si="4"/>
        <v>Gas</v>
      </c>
      <c r="P11" s="7">
        <f>VLOOKUP(D11,'2018 Plan Data'!$A$4:$K$1000,11,FALSE)</f>
        <v>10</v>
      </c>
      <c r="Q11" s="652">
        <f>VLOOKUP(D11,'2018 Plan Data'!$A$4:$L$1000,12,FALSE)</f>
        <v>0</v>
      </c>
      <c r="R11" s="2333">
        <v>0</v>
      </c>
      <c r="S11" s="2332"/>
      <c r="T11" s="315">
        <v>0</v>
      </c>
      <c r="V11" s="314">
        <f>'RES DHW'!C43</f>
        <v>1.84</v>
      </c>
      <c r="X11" s="310">
        <f>INDEX('NTG-RES'!F$7:F$84,MATCH('Measure Level Adjustments Tab'!$C11,'NTG-RES'!$A$7:$A$84,0))</f>
        <v>0.15</v>
      </c>
      <c r="Y11" s="310">
        <f>INDEX('NTG-RES'!G$7:G$84,MATCH('Measure Level Adjustments Tab'!$C11,'NTG-RES'!$A$7:$A$84,0))</f>
        <v>0.2</v>
      </c>
      <c r="Z11" s="310">
        <f>INDEX('NTG-RES'!H$7:H$84,MATCH('Measure Level Adjustments Tab'!$C11,'NTG-RES'!$A$7:$A$84,0))</f>
        <v>0</v>
      </c>
      <c r="AA11" s="310">
        <f>INDEX('NTG-RES'!K$7:K$84,MATCH('Measure Level Adjustments Tab'!$C11,'NTG-RES'!$A$7:$A$84,0))</f>
        <v>0.15</v>
      </c>
      <c r="AB11" s="310">
        <f>INDEX('NTG-RES'!L$7:L$84,MATCH('Measure Level Adjustments Tab'!$C11,'NTG-RES'!$A$7:$A$84,0))</f>
        <v>0.2</v>
      </c>
      <c r="AC11" s="310">
        <f>INDEX('NTG-RES'!M$7:M$84,MATCH('Measure Level Adjustments Tab'!$C11,'NTG-RES'!$A$7:$A$84,0))</f>
        <v>0</v>
      </c>
      <c r="AD11" s="309">
        <f t="shared" si="5"/>
        <v>1.05</v>
      </c>
      <c r="AE11" s="309">
        <f t="shared" si="6"/>
        <v>1.05</v>
      </c>
      <c r="AF11" s="309">
        <f t="shared" si="6"/>
        <v>1.05</v>
      </c>
      <c r="AG11" s="309">
        <f t="shared" si="6"/>
        <v>1.05</v>
      </c>
      <c r="AH11" s="314">
        <f t="shared" si="7"/>
        <v>0</v>
      </c>
      <c r="AI11" s="314">
        <f t="shared" si="8"/>
        <v>0</v>
      </c>
      <c r="AJ11" s="314">
        <f t="shared" si="9"/>
        <v>0</v>
      </c>
      <c r="AK11" s="314">
        <f t="shared" si="10"/>
        <v>0</v>
      </c>
      <c r="AL11" s="309">
        <f t="shared" si="11"/>
        <v>1.05</v>
      </c>
      <c r="AM11" s="309">
        <f t="shared" si="12"/>
        <v>1.05</v>
      </c>
      <c r="AN11" s="309">
        <f t="shared" si="13"/>
        <v>1.05</v>
      </c>
      <c r="AO11" s="309">
        <f t="shared" si="14"/>
        <v>1.05</v>
      </c>
      <c r="AP11" s="446">
        <f t="shared" si="15"/>
        <v>0</v>
      </c>
      <c r="AQ11" s="446">
        <f t="shared" si="16"/>
        <v>0</v>
      </c>
      <c r="AR11" s="446">
        <f t="shared" si="17"/>
        <v>0</v>
      </c>
      <c r="AS11" s="446">
        <f t="shared" si="18"/>
        <v>0</v>
      </c>
      <c r="AT11" s="309">
        <f t="shared" si="19"/>
        <v>1.05</v>
      </c>
      <c r="AU11" s="309">
        <f t="shared" si="20"/>
        <v>1.05</v>
      </c>
      <c r="AV11" s="309">
        <f t="shared" si="20"/>
        <v>1.05</v>
      </c>
      <c r="AW11" s="309">
        <f t="shared" si="20"/>
        <v>1.05</v>
      </c>
      <c r="AX11" s="243">
        <f t="shared" si="21"/>
        <v>1.9320000000000002</v>
      </c>
      <c r="AY11" s="243">
        <f t="shared" si="22"/>
        <v>1.9320000000000002</v>
      </c>
      <c r="AZ11" s="243">
        <f t="shared" si="23"/>
        <v>1.9320000000000002</v>
      </c>
      <c r="BA11" s="243">
        <f t="shared" si="24"/>
        <v>1.9320000000000002</v>
      </c>
      <c r="BB11" s="243">
        <f>VLOOKUP($D11,'2018 Plan Data'!$A$4:$K$2000,6,FALSE)</f>
        <v>6300</v>
      </c>
      <c r="BC11" s="243">
        <f>VLOOKUP($D11,'2018 Plan Data'!$A$4:$K$2000,7,FALSE)</f>
        <v>6300</v>
      </c>
      <c r="BD11" s="243">
        <f>VLOOKUP($D11,'2018 Plan Data'!$A$4:$K$2000,8,FALSE)</f>
        <v>6300</v>
      </c>
      <c r="BE11" s="243">
        <f>VLOOKUP($D11,'2018 Plan Data'!$A$4:$K$2000,9,FALSE)</f>
        <v>6300</v>
      </c>
      <c r="BF11" s="243">
        <f t="shared" si="25"/>
        <v>0</v>
      </c>
      <c r="BG11" s="243">
        <f t="shared" si="26"/>
        <v>0</v>
      </c>
      <c r="BH11" s="243">
        <f t="shared" si="27"/>
        <v>0</v>
      </c>
      <c r="BI11" s="243">
        <f t="shared" si="28"/>
        <v>0</v>
      </c>
      <c r="BJ11" s="243">
        <f t="shared" si="29"/>
        <v>11592</v>
      </c>
      <c r="BK11" s="243">
        <f t="shared" si="30"/>
        <v>11592</v>
      </c>
      <c r="BL11" s="243">
        <f t="shared" si="31"/>
        <v>11592</v>
      </c>
      <c r="BM11" s="243">
        <f t="shared" si="32"/>
        <v>11592</v>
      </c>
      <c r="BN11" s="243">
        <f t="shared" si="33"/>
        <v>0</v>
      </c>
      <c r="BO11" s="243">
        <f t="shared" si="34"/>
        <v>0</v>
      </c>
      <c r="BP11" s="243">
        <f t="shared" si="35"/>
        <v>0</v>
      </c>
      <c r="BQ11" s="243">
        <f t="shared" si="36"/>
        <v>0</v>
      </c>
      <c r="BR11" s="243">
        <f t="shared" si="37"/>
        <v>12171.6</v>
      </c>
      <c r="BS11" s="243">
        <f t="shared" si="38"/>
        <v>12171.6</v>
      </c>
      <c r="BT11" s="243">
        <f t="shared" si="39"/>
        <v>12171.6</v>
      </c>
      <c r="BU11" s="243">
        <f t="shared" si="40"/>
        <v>12171.6</v>
      </c>
      <c r="BW11" s="314">
        <f>VLOOKUP($D11,'2018 Plan Data'!$A$4:$T$2000,13,FALSE)</f>
        <v>0</v>
      </c>
      <c r="BX11" s="314">
        <f>VLOOKUP($D11,'2018 Plan Data'!$A$4:$T$2000,14,FALSE)</f>
        <v>0</v>
      </c>
      <c r="BY11" s="314">
        <f>VLOOKUP($D11,'2018 Plan Data'!$A$4:$T$2000,15,FALSE)</f>
        <v>0</v>
      </c>
      <c r="BZ11" s="314">
        <f>VLOOKUP($D11,'2018 Plan Data'!$A$4:$T$2000,16,FALSE)</f>
        <v>0</v>
      </c>
      <c r="CA11" s="314">
        <f>VLOOKUP($D11,'2018 Plan Data'!$A$4:$T$2000,17,FALSE)</f>
        <v>22358.7</v>
      </c>
      <c r="CB11" s="314">
        <f>VLOOKUP($D11,'2018 Plan Data'!$A$4:$T$2000,18,FALSE)</f>
        <v>22358.7</v>
      </c>
      <c r="CC11" s="314">
        <f>VLOOKUP($D11,'2018 Plan Data'!$A$4:$T$2000,19,FALSE)</f>
        <v>22358.7</v>
      </c>
      <c r="CD11" s="314">
        <f>VLOOKUP($D11,'2018 Plan Data'!$A$4:$T$2000,20,FALSE)</f>
        <v>22358.7</v>
      </c>
      <c r="CE11" t="b">
        <f t="shared" si="41"/>
        <v>1</v>
      </c>
      <c r="CF11" t="b">
        <f t="shared" si="42"/>
        <v>1</v>
      </c>
      <c r="CG11" t="b">
        <f t="shared" si="43"/>
        <v>1</v>
      </c>
      <c r="CH11" t="b">
        <f t="shared" si="44"/>
        <v>1</v>
      </c>
      <c r="CI11" t="b">
        <f t="shared" si="45"/>
        <v>0</v>
      </c>
      <c r="CJ11" t="b">
        <f t="shared" si="46"/>
        <v>0</v>
      </c>
      <c r="CK11" t="b">
        <f t="shared" si="47"/>
        <v>0</v>
      </c>
      <c r="CL11" t="b">
        <f t="shared" si="48"/>
        <v>0</v>
      </c>
    </row>
    <row r="12" spans="1:349" s="1" customFormat="1" ht="15" customHeight="1" x14ac:dyDescent="0.35">
      <c r="A12" s="585">
        <f t="shared" si="2"/>
        <v>495</v>
      </c>
      <c r="B12" t="str">
        <f t="shared" si="3"/>
        <v>Residential_Direct Distribution Efficient Products</v>
      </c>
      <c r="C12" t="s">
        <v>1396</v>
      </c>
      <c r="D12">
        <v>495</v>
      </c>
      <c r="E12" t="s">
        <v>78</v>
      </c>
      <c r="F12" s="600" t="str">
        <f>VLOOKUP(G12,Sheet4!$D$6:$E$22,2,FALSE)</f>
        <v>Direct Distribution of Efficient Products</v>
      </c>
      <c r="G12" s="445" t="s">
        <v>33</v>
      </c>
      <c r="H12" s="673" t="s">
        <v>40</v>
      </c>
      <c r="I12" s="232"/>
      <c r="J12" s="18" t="s">
        <v>34</v>
      </c>
      <c r="K12" s="18" t="s">
        <v>667</v>
      </c>
      <c r="L12" s="602" t="s">
        <v>1916</v>
      </c>
      <c r="M12" s="600">
        <v>1</v>
      </c>
      <c r="N12"/>
      <c r="O12" s="72" t="str">
        <f t="shared" si="4"/>
        <v>Gas</v>
      </c>
      <c r="P12" s="7">
        <f>VLOOKUP(D12,'2018 Plan Data'!$A$4:$K$1000,11,FALSE)</f>
        <v>9</v>
      </c>
      <c r="Q12" s="652">
        <f>VLOOKUP(D12,'2018 Plan Data'!$A$4:$L$1000,12,FALSE)</f>
        <v>0</v>
      </c>
      <c r="R12" s="2333"/>
      <c r="S12" s="2332"/>
      <c r="T12" s="315"/>
      <c r="U12" s="314"/>
      <c r="V12" s="314">
        <f>'RES DHW'!K91</f>
        <v>0.3</v>
      </c>
      <c r="W12" s="314"/>
      <c r="X12" s="310">
        <f>INDEX('NTG-RES'!F$7:F$84,MATCH('Measure Level Adjustments Tab'!$C12,'NTG-RES'!$A$7:$A$84,0))</f>
        <v>0.13</v>
      </c>
      <c r="Y12" s="310">
        <f>INDEX('NTG-RES'!G$7:G$84,MATCH('Measure Level Adjustments Tab'!$C12,'NTG-RES'!$A$7:$A$84,0))</f>
        <v>0.17</v>
      </c>
      <c r="Z12" s="310">
        <f>INDEX('NTG-RES'!H$7:H$84,MATCH('Measure Level Adjustments Tab'!$C12,'NTG-RES'!$A$7:$A$84,0))</f>
        <v>0</v>
      </c>
      <c r="AA12" s="310">
        <f>INDEX('NTG-RES'!K$7:K$84,MATCH('Measure Level Adjustments Tab'!$C12,'NTG-RES'!$A$7:$A$84,0))</f>
        <v>0.13</v>
      </c>
      <c r="AB12" s="310">
        <f>INDEX('NTG-RES'!L$7:L$84,MATCH('Measure Level Adjustments Tab'!$C12,'NTG-RES'!$A$7:$A$84,0))</f>
        <v>0.17</v>
      </c>
      <c r="AC12" s="310">
        <f>INDEX('NTG-RES'!M$7:M$84,MATCH('Measure Level Adjustments Tab'!$C12,'NTG-RES'!$A$7:$A$84,0))</f>
        <v>0</v>
      </c>
      <c r="AD12" s="309">
        <f t="shared" si="5"/>
        <v>1.04</v>
      </c>
      <c r="AE12" s="309">
        <f t="shared" si="6"/>
        <v>1.04</v>
      </c>
      <c r="AF12" s="309">
        <f t="shared" si="6"/>
        <v>1.04</v>
      </c>
      <c r="AG12" s="309">
        <f t="shared" si="6"/>
        <v>1.04</v>
      </c>
      <c r="AH12" s="314">
        <f t="shared" si="7"/>
        <v>0</v>
      </c>
      <c r="AI12" s="314">
        <f t="shared" si="8"/>
        <v>0</v>
      </c>
      <c r="AJ12" s="314">
        <f t="shared" si="9"/>
        <v>0</v>
      </c>
      <c r="AK12" s="314">
        <f t="shared" si="10"/>
        <v>0</v>
      </c>
      <c r="AL12" s="309">
        <f t="shared" si="11"/>
        <v>1.04</v>
      </c>
      <c r="AM12" s="309">
        <f t="shared" si="12"/>
        <v>1.04</v>
      </c>
      <c r="AN12" s="309">
        <f t="shared" si="13"/>
        <v>1.04</v>
      </c>
      <c r="AO12" s="309">
        <f t="shared" si="14"/>
        <v>1.04</v>
      </c>
      <c r="AP12" s="446">
        <f t="shared" si="15"/>
        <v>0</v>
      </c>
      <c r="AQ12" s="446">
        <f t="shared" si="16"/>
        <v>0</v>
      </c>
      <c r="AR12" s="446">
        <f t="shared" si="17"/>
        <v>0</v>
      </c>
      <c r="AS12" s="446">
        <f t="shared" si="18"/>
        <v>0</v>
      </c>
      <c r="AT12" s="309">
        <f t="shared" si="19"/>
        <v>1.04</v>
      </c>
      <c r="AU12" s="309">
        <f t="shared" si="20"/>
        <v>1.04</v>
      </c>
      <c r="AV12" s="309">
        <f t="shared" si="20"/>
        <v>1.04</v>
      </c>
      <c r="AW12" s="309">
        <f t="shared" si="20"/>
        <v>1.04</v>
      </c>
      <c r="AX12" s="243">
        <f t="shared" si="21"/>
        <v>0.312</v>
      </c>
      <c r="AY12" s="243">
        <f t="shared" si="22"/>
        <v>0.312</v>
      </c>
      <c r="AZ12" s="243">
        <f t="shared" si="23"/>
        <v>0.312</v>
      </c>
      <c r="BA12" s="243">
        <f t="shared" si="24"/>
        <v>0.312</v>
      </c>
      <c r="BB12" s="243">
        <f>VLOOKUP($D12,'2018 Plan Data'!$A$4:$K$2000,6,FALSE)</f>
        <v>6300</v>
      </c>
      <c r="BC12" s="243">
        <f>VLOOKUP($D12,'2018 Plan Data'!$A$4:$K$2000,7,FALSE)</f>
        <v>6300</v>
      </c>
      <c r="BD12" s="243">
        <f>VLOOKUP($D12,'2018 Plan Data'!$A$4:$K$2000,8,FALSE)</f>
        <v>6300</v>
      </c>
      <c r="BE12" s="243">
        <f>VLOOKUP($D12,'2018 Plan Data'!$A$4:$K$2000,9,FALSE)</f>
        <v>6300</v>
      </c>
      <c r="BF12" s="243">
        <f t="shared" si="25"/>
        <v>0</v>
      </c>
      <c r="BG12" s="243">
        <f t="shared" si="26"/>
        <v>0</v>
      </c>
      <c r="BH12" s="243">
        <f t="shared" si="27"/>
        <v>0</v>
      </c>
      <c r="BI12" s="243">
        <f t="shared" si="28"/>
        <v>0</v>
      </c>
      <c r="BJ12" s="243">
        <f t="shared" si="29"/>
        <v>1890</v>
      </c>
      <c r="BK12" s="243">
        <f t="shared" si="30"/>
        <v>1890</v>
      </c>
      <c r="BL12" s="243">
        <f t="shared" si="31"/>
        <v>1890</v>
      </c>
      <c r="BM12" s="243">
        <f t="shared" si="32"/>
        <v>1890</v>
      </c>
      <c r="BN12" s="243">
        <f t="shared" si="33"/>
        <v>0</v>
      </c>
      <c r="BO12" s="243">
        <f t="shared" si="34"/>
        <v>0</v>
      </c>
      <c r="BP12" s="243">
        <f t="shared" si="35"/>
        <v>0</v>
      </c>
      <c r="BQ12" s="243">
        <f t="shared" si="36"/>
        <v>0</v>
      </c>
      <c r="BR12" s="243">
        <f t="shared" si="37"/>
        <v>1965.6</v>
      </c>
      <c r="BS12" s="243">
        <f t="shared" si="38"/>
        <v>1965.6</v>
      </c>
      <c r="BT12" s="243">
        <f t="shared" si="39"/>
        <v>1965.6</v>
      </c>
      <c r="BU12" s="243">
        <f t="shared" si="40"/>
        <v>1965.6</v>
      </c>
      <c r="BV12"/>
      <c r="BW12" s="314">
        <f>VLOOKUP($D12,'2018 Plan Data'!$A$4:$T$2000,13,FALSE)</f>
        <v>0</v>
      </c>
      <c r="BX12" s="314">
        <f>VLOOKUP($D12,'2018 Plan Data'!$A$4:$T$2000,14,FALSE)</f>
        <v>0</v>
      </c>
      <c r="BY12" s="314">
        <f>VLOOKUP($D12,'2018 Plan Data'!$A$4:$T$2000,15,FALSE)</f>
        <v>0</v>
      </c>
      <c r="BZ12" s="314">
        <f>VLOOKUP($D12,'2018 Plan Data'!$A$4:$T$2000,16,FALSE)</f>
        <v>0</v>
      </c>
      <c r="CA12" s="314">
        <f>VLOOKUP($D12,'2018 Plan Data'!$A$4:$T$2000,17,FALSE)</f>
        <v>2293.1999999999998</v>
      </c>
      <c r="CB12" s="314">
        <f>VLOOKUP($D12,'2018 Plan Data'!$A$4:$T$2000,18,FALSE)</f>
        <v>2293.1999999999998</v>
      </c>
      <c r="CC12" s="314">
        <f>VLOOKUP($D12,'2018 Plan Data'!$A$4:$T$2000,19,FALSE)</f>
        <v>2293.1999999999998</v>
      </c>
      <c r="CD12" s="314">
        <f>VLOOKUP($D12,'2018 Plan Data'!$A$4:$T$2000,20,FALSE)</f>
        <v>2293.1999999999998</v>
      </c>
      <c r="CE12" t="b">
        <f t="shared" si="41"/>
        <v>1</v>
      </c>
      <c r="CF12" t="b">
        <f t="shared" si="42"/>
        <v>1</v>
      </c>
      <c r="CG12" t="b">
        <f t="shared" si="43"/>
        <v>1</v>
      </c>
      <c r="CH12" t="b">
        <f t="shared" si="44"/>
        <v>1</v>
      </c>
      <c r="CI12" t="b">
        <f t="shared" si="45"/>
        <v>0</v>
      </c>
      <c r="CJ12" t="b">
        <f t="shared" si="46"/>
        <v>0</v>
      </c>
      <c r="CK12" t="b">
        <f t="shared" si="47"/>
        <v>0</v>
      </c>
      <c r="CL12" t="b">
        <f t="shared" si="48"/>
        <v>0</v>
      </c>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row>
    <row r="13" spans="1:349" ht="15" customHeight="1" x14ac:dyDescent="0.35">
      <c r="A13" s="585">
        <f t="shared" si="2"/>
        <v>497</v>
      </c>
      <c r="B13" t="str">
        <f t="shared" si="3"/>
        <v>Residential_Direct Distribution Efficient Products</v>
      </c>
      <c r="C13" t="s">
        <v>1399</v>
      </c>
      <c r="D13">
        <v>497</v>
      </c>
      <c r="E13" t="s">
        <v>78</v>
      </c>
      <c r="F13" s="600" t="str">
        <f>VLOOKUP(G13,Sheet4!$D$6:$E$22,2,FALSE)</f>
        <v>Direct Distribution of Efficient Products</v>
      </c>
      <c r="G13" s="445" t="s">
        <v>33</v>
      </c>
      <c r="H13" s="673" t="s">
        <v>41</v>
      </c>
      <c r="I13" s="232"/>
      <c r="J13" s="18" t="s">
        <v>34</v>
      </c>
      <c r="K13" s="18" t="s">
        <v>667</v>
      </c>
      <c r="L13" s="602" t="s">
        <v>1916</v>
      </c>
      <c r="M13" s="600">
        <v>1</v>
      </c>
      <c r="O13" s="72" t="str">
        <f t="shared" si="4"/>
        <v>Gas</v>
      </c>
      <c r="P13" s="7">
        <f>VLOOKUP(D13,'2018 Plan Data'!$A$4:$K$1000,11,FALSE)</f>
        <v>9</v>
      </c>
      <c r="Q13" s="652">
        <f>VLOOKUP(D13,'2018 Plan Data'!$A$4:$L$1000,12,FALSE)</f>
        <v>0</v>
      </c>
      <c r="R13" s="2333"/>
      <c r="S13" s="2332"/>
      <c r="T13" s="315"/>
      <c r="V13" s="314">
        <f>'RES DHW'!Q91</f>
        <v>2.3199999999999998</v>
      </c>
      <c r="X13" s="310">
        <f>INDEX('NTG-RES'!F$7:F$84,MATCH('Measure Level Adjustments Tab'!$C13,'NTG-RES'!$A$7:$A$84,0))</f>
        <v>0</v>
      </c>
      <c r="Y13" s="310">
        <f>INDEX('NTG-RES'!G$7:G$84,MATCH('Measure Level Adjustments Tab'!$C13,'NTG-RES'!$A$7:$A$84,0))</f>
        <v>0</v>
      </c>
      <c r="Z13" s="310">
        <f>INDEX('NTG-RES'!H$7:H$84,MATCH('Measure Level Adjustments Tab'!$C13,'NTG-RES'!$A$7:$A$84,0))</f>
        <v>0</v>
      </c>
      <c r="AA13" s="310">
        <f>INDEX('NTG-RES'!K$7:K$84,MATCH('Measure Level Adjustments Tab'!$C13,'NTG-RES'!$A$7:$A$84,0))</f>
        <v>0</v>
      </c>
      <c r="AB13" s="310">
        <f>INDEX('NTG-RES'!L$7:L$84,MATCH('Measure Level Adjustments Tab'!$C13,'NTG-RES'!$A$7:$A$84,0))</f>
        <v>0</v>
      </c>
      <c r="AC13" s="310">
        <f>INDEX('NTG-RES'!M$7:M$84,MATCH('Measure Level Adjustments Tab'!$C13,'NTG-RES'!$A$7:$A$84,0))</f>
        <v>0</v>
      </c>
      <c r="AD13" s="309">
        <f t="shared" si="5"/>
        <v>1</v>
      </c>
      <c r="AE13" s="309">
        <f t="shared" si="6"/>
        <v>1</v>
      </c>
      <c r="AF13" s="309">
        <f t="shared" si="6"/>
        <v>1</v>
      </c>
      <c r="AG13" s="309">
        <f t="shared" si="6"/>
        <v>1</v>
      </c>
      <c r="AH13" s="314">
        <f t="shared" si="7"/>
        <v>0</v>
      </c>
      <c r="AI13" s="314">
        <f t="shared" si="8"/>
        <v>0</v>
      </c>
      <c r="AJ13" s="314">
        <f t="shared" si="9"/>
        <v>0</v>
      </c>
      <c r="AK13" s="314">
        <f t="shared" si="10"/>
        <v>0</v>
      </c>
      <c r="AL13" s="309">
        <f t="shared" si="11"/>
        <v>1</v>
      </c>
      <c r="AM13" s="309">
        <f t="shared" si="12"/>
        <v>1</v>
      </c>
      <c r="AN13" s="309">
        <f t="shared" si="13"/>
        <v>1</v>
      </c>
      <c r="AO13" s="309">
        <f t="shared" si="14"/>
        <v>1</v>
      </c>
      <c r="AP13" s="446">
        <f t="shared" si="15"/>
        <v>0</v>
      </c>
      <c r="AQ13" s="446">
        <f t="shared" si="16"/>
        <v>0</v>
      </c>
      <c r="AR13" s="446">
        <f t="shared" si="17"/>
        <v>0</v>
      </c>
      <c r="AS13" s="446">
        <f t="shared" si="18"/>
        <v>0</v>
      </c>
      <c r="AT13" s="309">
        <f t="shared" si="19"/>
        <v>1</v>
      </c>
      <c r="AU13" s="309">
        <f t="shared" si="20"/>
        <v>1</v>
      </c>
      <c r="AV13" s="309">
        <f t="shared" si="20"/>
        <v>1</v>
      </c>
      <c r="AW13" s="309">
        <f t="shared" si="20"/>
        <v>1</v>
      </c>
      <c r="AX13" s="243">
        <f t="shared" si="21"/>
        <v>2.3199999999999998</v>
      </c>
      <c r="AY13" s="243">
        <f t="shared" si="22"/>
        <v>2.3199999999999998</v>
      </c>
      <c r="AZ13" s="243">
        <f t="shared" si="23"/>
        <v>2.3199999999999998</v>
      </c>
      <c r="BA13" s="243">
        <f t="shared" si="24"/>
        <v>2.3199999999999998</v>
      </c>
      <c r="BB13" s="243">
        <f>VLOOKUP($D13,'2018 Plan Data'!$A$4:$K$2000,6,FALSE)</f>
        <v>6300</v>
      </c>
      <c r="BC13" s="243">
        <f>VLOOKUP($D13,'2018 Plan Data'!$A$4:$K$2000,7,FALSE)</f>
        <v>6300</v>
      </c>
      <c r="BD13" s="243">
        <f>VLOOKUP($D13,'2018 Plan Data'!$A$4:$K$2000,8,FALSE)</f>
        <v>6300</v>
      </c>
      <c r="BE13" s="243">
        <f>VLOOKUP($D13,'2018 Plan Data'!$A$4:$K$2000,9,FALSE)</f>
        <v>6300</v>
      </c>
      <c r="BF13" s="243">
        <f t="shared" si="25"/>
        <v>0</v>
      </c>
      <c r="BG13" s="243">
        <f t="shared" si="26"/>
        <v>0</v>
      </c>
      <c r="BH13" s="243">
        <f t="shared" si="27"/>
        <v>0</v>
      </c>
      <c r="BI13" s="243">
        <f t="shared" si="28"/>
        <v>0</v>
      </c>
      <c r="BJ13" s="243">
        <f t="shared" si="29"/>
        <v>14615.999999999998</v>
      </c>
      <c r="BK13" s="243">
        <f t="shared" si="30"/>
        <v>14615.999999999998</v>
      </c>
      <c r="BL13" s="243">
        <f t="shared" si="31"/>
        <v>14615.999999999998</v>
      </c>
      <c r="BM13" s="243">
        <f t="shared" si="32"/>
        <v>14615.999999999998</v>
      </c>
      <c r="BN13" s="243">
        <f t="shared" si="33"/>
        <v>0</v>
      </c>
      <c r="BO13" s="243">
        <f t="shared" si="34"/>
        <v>0</v>
      </c>
      <c r="BP13" s="243">
        <f t="shared" si="35"/>
        <v>0</v>
      </c>
      <c r="BQ13" s="243">
        <f t="shared" si="36"/>
        <v>0</v>
      </c>
      <c r="BR13" s="243">
        <f t="shared" si="37"/>
        <v>14615.999999999998</v>
      </c>
      <c r="BS13" s="243">
        <f t="shared" si="38"/>
        <v>14615.999999999998</v>
      </c>
      <c r="BT13" s="243">
        <f t="shared" si="39"/>
        <v>14615.999999999998</v>
      </c>
      <c r="BU13" s="243">
        <f t="shared" si="40"/>
        <v>14615.999999999998</v>
      </c>
      <c r="BW13" s="314">
        <f>VLOOKUP($D13,'2018 Plan Data'!$A$4:$T$2000,13,FALSE)</f>
        <v>0</v>
      </c>
      <c r="BX13" s="314">
        <f>VLOOKUP($D13,'2018 Plan Data'!$A$4:$T$2000,14,FALSE)</f>
        <v>0</v>
      </c>
      <c r="BY13" s="314">
        <f>VLOOKUP($D13,'2018 Plan Data'!$A$4:$T$2000,15,FALSE)</f>
        <v>0</v>
      </c>
      <c r="BZ13" s="314">
        <f>VLOOKUP($D13,'2018 Plan Data'!$A$4:$T$2000,16,FALSE)</f>
        <v>0</v>
      </c>
      <c r="CA13" s="314">
        <f>VLOOKUP($D13,'2018 Plan Data'!$A$4:$T$2000,17,FALSE)</f>
        <v>15183</v>
      </c>
      <c r="CB13" s="314">
        <f>VLOOKUP($D13,'2018 Plan Data'!$A$4:$T$2000,18,FALSE)</f>
        <v>15183</v>
      </c>
      <c r="CC13" s="314">
        <f>VLOOKUP($D13,'2018 Plan Data'!$A$4:$T$2000,19,FALSE)</f>
        <v>15183</v>
      </c>
      <c r="CD13" s="314">
        <f>VLOOKUP($D13,'2018 Plan Data'!$A$4:$T$2000,20,FALSE)</f>
        <v>15183</v>
      </c>
      <c r="CE13" t="b">
        <f t="shared" si="41"/>
        <v>1</v>
      </c>
      <c r="CF13" t="b">
        <f t="shared" si="42"/>
        <v>1</v>
      </c>
      <c r="CG13" t="b">
        <f t="shared" si="43"/>
        <v>1</v>
      </c>
      <c r="CH13" t="b">
        <f t="shared" si="44"/>
        <v>1</v>
      </c>
      <c r="CI13" t="b">
        <f t="shared" si="45"/>
        <v>0</v>
      </c>
      <c r="CJ13" t="b">
        <f t="shared" si="46"/>
        <v>0</v>
      </c>
      <c r="CK13" t="b">
        <f t="shared" si="47"/>
        <v>0</v>
      </c>
      <c r="CL13" t="b">
        <f t="shared" si="48"/>
        <v>0</v>
      </c>
    </row>
    <row r="14" spans="1:349" ht="15" customHeight="1" x14ac:dyDescent="0.35">
      <c r="A14" s="585">
        <f t="shared" si="2"/>
        <v>502</v>
      </c>
      <c r="B14" t="str">
        <f t="shared" si="3"/>
        <v>Residential_Direct Distribution Efficient Products</v>
      </c>
      <c r="C14" t="s">
        <v>1398</v>
      </c>
      <c r="D14">
        <v>502</v>
      </c>
      <c r="E14" t="s">
        <v>78</v>
      </c>
      <c r="F14" s="600" t="str">
        <f>VLOOKUP(G14,Sheet4!$D$6:$E$22,2,FALSE)</f>
        <v>Direct Distribution of Efficient Products</v>
      </c>
      <c r="G14" s="445" t="s">
        <v>33</v>
      </c>
      <c r="H14" s="673" t="s">
        <v>42</v>
      </c>
      <c r="I14" s="232"/>
      <c r="J14" s="18" t="s">
        <v>34</v>
      </c>
      <c r="K14" s="18" t="s">
        <v>687</v>
      </c>
      <c r="L14" s="602" t="s">
        <v>1726</v>
      </c>
      <c r="M14" s="600">
        <v>1</v>
      </c>
      <c r="O14" s="72" t="str">
        <f t="shared" si="4"/>
        <v>Gas</v>
      </c>
      <c r="P14" s="7">
        <f>VLOOKUP(D14,'2018 Plan Data'!$A$4:$K$1000,11,FALSE)</f>
        <v>2</v>
      </c>
      <c r="Q14" s="652">
        <f>VLOOKUP(D14,'2018 Plan Data'!$A$4:$L$1000,12,FALSE)</f>
        <v>0</v>
      </c>
      <c r="R14" s="2333"/>
      <c r="S14" s="2332"/>
      <c r="T14" s="315"/>
      <c r="V14" s="314">
        <f>'RES DHW'!C123</f>
        <v>0.42163145099999999</v>
      </c>
      <c r="X14" s="310">
        <f>INDEX('NTG-RES'!F$7:F$84,MATCH('Measure Level Adjustments Tab'!$C14,'NTG-RES'!$A$7:$A$84,0))</f>
        <v>0</v>
      </c>
      <c r="Y14" s="310">
        <f>INDEX('NTG-RES'!G$7:G$84,MATCH('Measure Level Adjustments Tab'!$C14,'NTG-RES'!$A$7:$A$84,0))</f>
        <v>0</v>
      </c>
      <c r="Z14" s="310">
        <f>INDEX('NTG-RES'!H$7:H$84,MATCH('Measure Level Adjustments Tab'!$C14,'NTG-RES'!$A$7:$A$84,0))</f>
        <v>0</v>
      </c>
      <c r="AA14" s="310">
        <f>INDEX('NTG-RES'!K$7:K$84,MATCH('Measure Level Adjustments Tab'!$C14,'NTG-RES'!$A$7:$A$84,0))</f>
        <v>0</v>
      </c>
      <c r="AB14" s="310">
        <f>INDEX('NTG-RES'!L$7:L$84,MATCH('Measure Level Adjustments Tab'!$C14,'NTG-RES'!$A$7:$A$84,0))</f>
        <v>0</v>
      </c>
      <c r="AC14" s="310">
        <f>INDEX('NTG-RES'!M$7:M$84,MATCH('Measure Level Adjustments Tab'!$C14,'NTG-RES'!$A$7:$A$84,0))</f>
        <v>0</v>
      </c>
      <c r="AD14" s="309">
        <f t="shared" si="5"/>
        <v>1</v>
      </c>
      <c r="AE14" s="309">
        <f t="shared" si="6"/>
        <v>1</v>
      </c>
      <c r="AF14" s="309">
        <f t="shared" si="6"/>
        <v>1</v>
      </c>
      <c r="AG14" s="309">
        <f t="shared" si="6"/>
        <v>1</v>
      </c>
      <c r="AH14" s="314">
        <f t="shared" si="7"/>
        <v>0</v>
      </c>
      <c r="AI14" s="314">
        <f t="shared" si="8"/>
        <v>0</v>
      </c>
      <c r="AJ14" s="314">
        <f t="shared" si="9"/>
        <v>0</v>
      </c>
      <c r="AK14" s="314">
        <f t="shared" si="10"/>
        <v>0</v>
      </c>
      <c r="AL14" s="309">
        <f t="shared" si="11"/>
        <v>1</v>
      </c>
      <c r="AM14" s="309">
        <f t="shared" si="12"/>
        <v>1</v>
      </c>
      <c r="AN14" s="309">
        <f t="shared" si="13"/>
        <v>1</v>
      </c>
      <c r="AO14" s="309">
        <f t="shared" si="14"/>
        <v>1</v>
      </c>
      <c r="AP14" s="446">
        <f t="shared" si="15"/>
        <v>0</v>
      </c>
      <c r="AQ14" s="446">
        <f t="shared" si="16"/>
        <v>0</v>
      </c>
      <c r="AR14" s="446">
        <f t="shared" si="17"/>
        <v>0</v>
      </c>
      <c r="AS14" s="446">
        <f t="shared" si="18"/>
        <v>0</v>
      </c>
      <c r="AT14" s="309">
        <f t="shared" si="19"/>
        <v>1</v>
      </c>
      <c r="AU14" s="309">
        <f t="shared" si="20"/>
        <v>1</v>
      </c>
      <c r="AV14" s="309">
        <f t="shared" si="20"/>
        <v>1</v>
      </c>
      <c r="AW14" s="309">
        <f t="shared" si="20"/>
        <v>1</v>
      </c>
      <c r="AX14" s="243">
        <f t="shared" si="21"/>
        <v>0.42163145099999999</v>
      </c>
      <c r="AY14" s="243">
        <f t="shared" si="22"/>
        <v>0.42163145099999999</v>
      </c>
      <c r="AZ14" s="243">
        <f t="shared" si="23"/>
        <v>0.42163145099999999</v>
      </c>
      <c r="BA14" s="243">
        <f t="shared" si="24"/>
        <v>0.42163145099999999</v>
      </c>
      <c r="BB14" s="243">
        <f>VLOOKUP($D14,'2018 Plan Data'!$A$4:$K$2000,6,FALSE)</f>
        <v>6300</v>
      </c>
      <c r="BC14" s="243">
        <f>VLOOKUP($D14,'2018 Plan Data'!$A$4:$K$2000,7,FALSE)</f>
        <v>6300</v>
      </c>
      <c r="BD14" s="243">
        <f>VLOOKUP($D14,'2018 Plan Data'!$A$4:$K$2000,8,FALSE)</f>
        <v>6300</v>
      </c>
      <c r="BE14" s="243">
        <f>VLOOKUP($D14,'2018 Plan Data'!$A$4:$K$2000,9,FALSE)</f>
        <v>6300</v>
      </c>
      <c r="BF14" s="243">
        <f t="shared" si="25"/>
        <v>0</v>
      </c>
      <c r="BG14" s="243">
        <f t="shared" si="26"/>
        <v>0</v>
      </c>
      <c r="BH14" s="243">
        <f t="shared" si="27"/>
        <v>0</v>
      </c>
      <c r="BI14" s="243">
        <f t="shared" si="28"/>
        <v>0</v>
      </c>
      <c r="BJ14" s="243">
        <f t="shared" si="29"/>
        <v>2656.2781412999998</v>
      </c>
      <c r="BK14" s="243">
        <f t="shared" si="30"/>
        <v>2656.2781412999998</v>
      </c>
      <c r="BL14" s="243">
        <f t="shared" si="31"/>
        <v>2656.2781412999998</v>
      </c>
      <c r="BM14" s="243">
        <f t="shared" si="32"/>
        <v>2656.2781412999998</v>
      </c>
      <c r="BN14" s="243">
        <f t="shared" si="33"/>
        <v>0</v>
      </c>
      <c r="BO14" s="243">
        <f t="shared" si="34"/>
        <v>0</v>
      </c>
      <c r="BP14" s="243">
        <f t="shared" si="35"/>
        <v>0</v>
      </c>
      <c r="BQ14" s="243">
        <f t="shared" si="36"/>
        <v>0</v>
      </c>
      <c r="BR14" s="243">
        <f t="shared" si="37"/>
        <v>2656.2781412999998</v>
      </c>
      <c r="BS14" s="243">
        <f t="shared" si="38"/>
        <v>2656.2781412999998</v>
      </c>
      <c r="BT14" s="243">
        <f t="shared" si="39"/>
        <v>2656.2781412999998</v>
      </c>
      <c r="BU14" s="243">
        <f t="shared" si="40"/>
        <v>2656.2781412999998</v>
      </c>
      <c r="BW14" s="314">
        <f>VLOOKUP($D14,'2018 Plan Data'!$A$4:$T$2000,13,FALSE)</f>
        <v>0</v>
      </c>
      <c r="BX14" s="314">
        <f>VLOOKUP($D14,'2018 Plan Data'!$A$4:$T$2000,14,FALSE)</f>
        <v>0</v>
      </c>
      <c r="BY14" s="314">
        <f>VLOOKUP($D14,'2018 Plan Data'!$A$4:$T$2000,15,FALSE)</f>
        <v>0</v>
      </c>
      <c r="BZ14" s="314">
        <f>VLOOKUP($D14,'2018 Plan Data'!$A$4:$T$2000,16,FALSE)</f>
        <v>0</v>
      </c>
      <c r="CA14" s="314">
        <f>VLOOKUP($D14,'2018 Plan Data'!$A$4:$T$2000,17,FALSE)</f>
        <v>10175.588572056922</v>
      </c>
      <c r="CB14" s="314">
        <f>VLOOKUP($D14,'2018 Plan Data'!$A$4:$T$2000,18,FALSE)</f>
        <v>10175.588572056922</v>
      </c>
      <c r="CC14" s="314">
        <f>VLOOKUP($D14,'2018 Plan Data'!$A$4:$T$2000,19,FALSE)</f>
        <v>10175.588572056922</v>
      </c>
      <c r="CD14" s="314">
        <f>VLOOKUP($D14,'2018 Plan Data'!$A$4:$T$2000,20,FALSE)</f>
        <v>10175.588572056922</v>
      </c>
      <c r="CE14" t="b">
        <f t="shared" si="41"/>
        <v>1</v>
      </c>
      <c r="CF14" t="b">
        <f t="shared" si="42"/>
        <v>1</v>
      </c>
      <c r="CG14" t="b">
        <f t="shared" si="43"/>
        <v>1</v>
      </c>
      <c r="CH14" t="b">
        <f t="shared" si="44"/>
        <v>1</v>
      </c>
      <c r="CI14" t="b">
        <f t="shared" si="45"/>
        <v>0</v>
      </c>
      <c r="CJ14" t="b">
        <f t="shared" si="46"/>
        <v>0</v>
      </c>
      <c r="CK14" t="b">
        <f t="shared" si="47"/>
        <v>0</v>
      </c>
      <c r="CL14" t="b">
        <f t="shared" si="48"/>
        <v>0</v>
      </c>
    </row>
    <row r="15" spans="1:349" x14ac:dyDescent="0.35">
      <c r="A15" s="585">
        <f t="shared" si="2"/>
        <v>1049</v>
      </c>
      <c r="B15" t="str">
        <f t="shared" si="3"/>
        <v>Residential_Retail Products</v>
      </c>
      <c r="D15" s="482">
        <v>1049</v>
      </c>
      <c r="E15" s="482" t="s">
        <v>78</v>
      </c>
      <c r="F15" s="600" t="str">
        <f>VLOOKUP(G15,Sheet4!$D$6:$E$22,2,FALSE)</f>
        <v>Retail Products</v>
      </c>
      <c r="G15" s="445" t="s">
        <v>1864</v>
      </c>
      <c r="H15" s="673" t="s">
        <v>3</v>
      </c>
      <c r="I15" s="232"/>
      <c r="J15" s="112" t="s">
        <v>20</v>
      </c>
      <c r="K15" s="112" t="s">
        <v>506</v>
      </c>
      <c r="L15" s="671" t="s">
        <v>1270</v>
      </c>
      <c r="M15" s="600">
        <v>1</v>
      </c>
      <c r="O15" s="72" t="str">
        <f t="shared" si="4"/>
        <v>Dual Fuel</v>
      </c>
      <c r="P15" s="7">
        <f>VLOOKUP(D15,'2018 Plan Data'!$A$4:$K$1000,11,FALSE)</f>
        <v>10</v>
      </c>
      <c r="Q15" s="652">
        <f>VLOOKUP(D15,'2018 Plan Data'!$A$4:$L$1000,12,FALSE)</f>
        <v>0</v>
      </c>
      <c r="R15" s="314">
        <f>ROUND('RES HVAC'!S21,2)</f>
        <v>296.29000000000002</v>
      </c>
      <c r="T15" s="314">
        <f>'RES HVAC'!T20</f>
        <v>0.11213742331288343</v>
      </c>
      <c r="V15" s="2805">
        <f>ROUND('RES HVAC'!C30,2)</f>
        <v>66.64</v>
      </c>
      <c r="X15" s="309"/>
      <c r="AD15" s="309">
        <f>'NTG-RES'!E66</f>
        <v>0.8</v>
      </c>
      <c r="AE15" s="309">
        <f t="shared" si="6"/>
        <v>0.8</v>
      </c>
      <c r="AF15" s="309">
        <f t="shared" si="6"/>
        <v>0.8</v>
      </c>
      <c r="AG15" s="309">
        <f t="shared" si="6"/>
        <v>0.8</v>
      </c>
      <c r="AH15" s="314">
        <f t="shared" si="7"/>
        <v>237.03200000000004</v>
      </c>
      <c r="AI15" s="314">
        <f t="shared" si="8"/>
        <v>237.03200000000004</v>
      </c>
      <c r="AJ15" s="314">
        <f t="shared" si="9"/>
        <v>237.03200000000004</v>
      </c>
      <c r="AK15" s="314">
        <f t="shared" si="10"/>
        <v>237.03200000000004</v>
      </c>
      <c r="AL15" s="309">
        <f t="shared" si="11"/>
        <v>0.8</v>
      </c>
      <c r="AM15" s="309">
        <f t="shared" si="12"/>
        <v>0.8</v>
      </c>
      <c r="AN15" s="309">
        <f t="shared" si="13"/>
        <v>0.8</v>
      </c>
      <c r="AO15" s="309">
        <f t="shared" si="14"/>
        <v>0.8</v>
      </c>
      <c r="AP15" s="446">
        <f t="shared" si="15"/>
        <v>8.9709938650306742E-2</v>
      </c>
      <c r="AQ15" s="446">
        <f t="shared" si="16"/>
        <v>8.9709938650306742E-2</v>
      </c>
      <c r="AR15" s="446">
        <f t="shared" si="17"/>
        <v>8.9709938650306742E-2</v>
      </c>
      <c r="AS15" s="446">
        <f t="shared" si="18"/>
        <v>8.9709938650306742E-2</v>
      </c>
      <c r="AT15" s="309">
        <f>AD15</f>
        <v>0.8</v>
      </c>
      <c r="AU15" s="309">
        <f t="shared" si="20"/>
        <v>0.8</v>
      </c>
      <c r="AV15" s="309">
        <f t="shared" si="20"/>
        <v>0.8</v>
      </c>
      <c r="AW15" s="309">
        <f t="shared" si="20"/>
        <v>0.8</v>
      </c>
      <c r="AX15" s="243">
        <f t="shared" si="21"/>
        <v>53.312000000000005</v>
      </c>
      <c r="AY15" s="243">
        <f t="shared" si="22"/>
        <v>53.312000000000005</v>
      </c>
      <c r="AZ15" s="243">
        <f t="shared" si="23"/>
        <v>53.312000000000005</v>
      </c>
      <c r="BA15" s="243">
        <f t="shared" si="24"/>
        <v>53.312000000000005</v>
      </c>
      <c r="BB15" s="243">
        <f>VLOOKUP($D15,'2018 Plan Data'!$A$4:$K$2000,6,FALSE)</f>
        <v>6000</v>
      </c>
      <c r="BC15" s="243">
        <f>VLOOKUP($D15,'2018 Plan Data'!$A$4:$K$2000,7,FALSE)</f>
        <v>6000</v>
      </c>
      <c r="BD15" s="243">
        <f>VLOOKUP($D15,'2018 Plan Data'!$A$4:$K$2000,8,FALSE)</f>
        <v>7500</v>
      </c>
      <c r="BE15" s="243">
        <f>VLOOKUP($D15,'2018 Plan Data'!$A$4:$K$2000,9,FALSE)</f>
        <v>7500</v>
      </c>
      <c r="BF15" s="243">
        <f t="shared" si="25"/>
        <v>1777740.0000000002</v>
      </c>
      <c r="BG15" s="243">
        <f t="shared" si="26"/>
        <v>1777740.0000000002</v>
      </c>
      <c r="BH15" s="243">
        <f t="shared" si="27"/>
        <v>2222175</v>
      </c>
      <c r="BI15" s="243">
        <f t="shared" si="28"/>
        <v>2222175</v>
      </c>
      <c r="BJ15" s="243">
        <f t="shared" si="29"/>
        <v>399840</v>
      </c>
      <c r="BK15" s="243">
        <f t="shared" si="30"/>
        <v>399840</v>
      </c>
      <c r="BL15" s="243">
        <f t="shared" si="31"/>
        <v>499800</v>
      </c>
      <c r="BM15" s="243">
        <f t="shared" si="32"/>
        <v>499800</v>
      </c>
      <c r="BN15" s="243">
        <f t="shared" si="33"/>
        <v>1422192.0000000002</v>
      </c>
      <c r="BO15" s="243">
        <f t="shared" si="34"/>
        <v>1422192.0000000002</v>
      </c>
      <c r="BP15" s="243">
        <f t="shared" si="35"/>
        <v>1777740.0000000002</v>
      </c>
      <c r="BQ15" s="243">
        <f t="shared" si="36"/>
        <v>1777740.0000000002</v>
      </c>
      <c r="BR15" s="243">
        <f t="shared" si="37"/>
        <v>319872</v>
      </c>
      <c r="BS15" s="243">
        <f t="shared" si="38"/>
        <v>319872</v>
      </c>
      <c r="BT15" s="243">
        <f t="shared" si="39"/>
        <v>399840.00000000006</v>
      </c>
      <c r="BU15" s="243">
        <f t="shared" si="40"/>
        <v>399840.00000000006</v>
      </c>
      <c r="BW15" s="314">
        <f>VLOOKUP($D15,'2018 Plan Data'!$A$4:$T$2000,13,FALSE)</f>
        <v>1376592</v>
      </c>
      <c r="BX15" s="314">
        <f>VLOOKUP($D15,'2018 Plan Data'!$A$4:$T$2000,14,FALSE)</f>
        <v>1376592</v>
      </c>
      <c r="BY15" s="314">
        <f>VLOOKUP($D15,'2018 Plan Data'!$A$4:$T$2000,15,FALSE)</f>
        <v>1720740.0000000002</v>
      </c>
      <c r="BZ15" s="314">
        <f>VLOOKUP($D15,'2018 Plan Data'!$A$4:$T$2000,16,FALSE)</f>
        <v>1720740.0000000002</v>
      </c>
      <c r="CA15" s="314">
        <f>VLOOKUP($D15,'2018 Plan Data'!$A$4:$T$2000,17,FALSE)</f>
        <v>305808</v>
      </c>
      <c r="CB15" s="314">
        <f>VLOOKUP($D15,'2018 Plan Data'!$A$4:$T$2000,18,FALSE)</f>
        <v>305808</v>
      </c>
      <c r="CC15" s="314">
        <f>VLOOKUP($D15,'2018 Plan Data'!$A$4:$T$2000,19,FALSE)</f>
        <v>382260</v>
      </c>
      <c r="CD15" s="314">
        <f>VLOOKUP($D15,'2018 Plan Data'!$A$4:$T$2000,20,FALSE)</f>
        <v>382260</v>
      </c>
      <c r="CE15" t="b">
        <f t="shared" si="41"/>
        <v>0</v>
      </c>
      <c r="CF15" t="b">
        <f t="shared" si="42"/>
        <v>0</v>
      </c>
      <c r="CG15" t="b">
        <f t="shared" si="43"/>
        <v>0</v>
      </c>
      <c r="CH15" t="b">
        <f t="shared" si="44"/>
        <v>0</v>
      </c>
      <c r="CI15" t="b">
        <f t="shared" si="45"/>
        <v>0</v>
      </c>
      <c r="CJ15" t="b">
        <f t="shared" si="46"/>
        <v>0</v>
      </c>
      <c r="CK15" t="b">
        <f t="shared" si="47"/>
        <v>0</v>
      </c>
      <c r="CL15" t="b">
        <f t="shared" si="48"/>
        <v>0</v>
      </c>
    </row>
    <row r="16" spans="1:349" ht="15" customHeight="1" x14ac:dyDescent="0.35">
      <c r="A16" s="585">
        <f t="shared" si="2"/>
        <v>911</v>
      </c>
      <c r="B16" t="str">
        <f t="shared" si="3"/>
        <v>Residential_Public Housing</v>
      </c>
      <c r="D16">
        <v>911</v>
      </c>
      <c r="E16" t="s">
        <v>78</v>
      </c>
      <c r="F16" s="600" t="str">
        <f>VLOOKUP(G16,Sheet4!$D$6:$E$22,2,FALSE)</f>
        <v>Public Housing</v>
      </c>
      <c r="G16" s="445" t="s">
        <v>1072</v>
      </c>
      <c r="H16" s="673" t="s">
        <v>1753</v>
      </c>
      <c r="I16" s="232"/>
      <c r="J16" s="18" t="s">
        <v>7</v>
      </c>
      <c r="K16" s="18" t="s">
        <v>643</v>
      </c>
      <c r="L16" s="602" t="s">
        <v>1725</v>
      </c>
      <c r="M16" s="600">
        <v>1</v>
      </c>
      <c r="O16" s="72" t="str">
        <f t="shared" si="4"/>
        <v>Gas</v>
      </c>
      <c r="P16" s="7">
        <f>VLOOKUP(D16,'2018 Plan Data'!$A$4:$K$1000,11,FALSE)</f>
        <v>10</v>
      </c>
      <c r="Q16" s="652">
        <f>VLOOKUP(D16,'2018 Plan Data'!$A$4:$L$1000,12,FALSE)</f>
        <v>0</v>
      </c>
      <c r="R16" s="314">
        <v>0</v>
      </c>
      <c r="S16" s="314">
        <v>0</v>
      </c>
      <c r="T16" s="314">
        <v>0</v>
      </c>
      <c r="U16" s="314">
        <v>0</v>
      </c>
      <c r="V16" s="314">
        <f>ROUND('RES DHW'!C170,2)</f>
        <v>5.82</v>
      </c>
      <c r="W16" s="314">
        <v>0</v>
      </c>
      <c r="X16" s="310"/>
      <c r="Y16" s="310"/>
      <c r="Z16" s="310"/>
      <c r="AA16" s="310"/>
      <c r="AB16" s="310"/>
      <c r="AC16" s="310"/>
      <c r="AD16" s="309">
        <f t="shared" ref="AD16:AD35" si="49">1-X16+Y16+Z16</f>
        <v>1</v>
      </c>
      <c r="AE16" s="309">
        <f t="shared" si="6"/>
        <v>1</v>
      </c>
      <c r="AF16" s="309">
        <f t="shared" si="6"/>
        <v>1</v>
      </c>
      <c r="AG16" s="309">
        <f t="shared" si="6"/>
        <v>1</v>
      </c>
      <c r="AH16" s="314">
        <f t="shared" si="7"/>
        <v>0</v>
      </c>
      <c r="AI16" s="314">
        <f t="shared" si="8"/>
        <v>0</v>
      </c>
      <c r="AJ16" s="314">
        <f t="shared" si="9"/>
        <v>0</v>
      </c>
      <c r="AK16" s="314">
        <f t="shared" si="10"/>
        <v>0</v>
      </c>
      <c r="AL16" s="309">
        <f t="shared" si="11"/>
        <v>1</v>
      </c>
      <c r="AM16" s="309">
        <f t="shared" si="12"/>
        <v>1</v>
      </c>
      <c r="AN16" s="309">
        <f t="shared" si="13"/>
        <v>1</v>
      </c>
      <c r="AO16" s="309">
        <f t="shared" si="14"/>
        <v>1</v>
      </c>
      <c r="AP16" s="446">
        <f t="shared" si="15"/>
        <v>0</v>
      </c>
      <c r="AQ16" s="446">
        <f t="shared" si="16"/>
        <v>0</v>
      </c>
      <c r="AR16" s="446">
        <f t="shared" si="17"/>
        <v>0</v>
      </c>
      <c r="AS16" s="446">
        <f t="shared" si="18"/>
        <v>0</v>
      </c>
      <c r="AT16" s="309">
        <f t="shared" ref="AT16:AT47" si="50">1-AA16+AB16+AC16</f>
        <v>1</v>
      </c>
      <c r="AU16" s="309">
        <f t="shared" si="20"/>
        <v>1</v>
      </c>
      <c r="AV16" s="309">
        <f t="shared" si="20"/>
        <v>1</v>
      </c>
      <c r="AW16" s="309">
        <f t="shared" si="20"/>
        <v>1</v>
      </c>
      <c r="AX16" s="243">
        <f t="shared" si="21"/>
        <v>5.82</v>
      </c>
      <c r="AY16" s="243">
        <f t="shared" si="22"/>
        <v>5.82</v>
      </c>
      <c r="AZ16" s="243">
        <f t="shared" si="23"/>
        <v>5.82</v>
      </c>
      <c r="BA16" s="243">
        <f t="shared" si="24"/>
        <v>5.82</v>
      </c>
      <c r="BB16" s="243">
        <f>VLOOKUP($D16,'2018 Plan Data'!$A$4:$K$2000,6,FALSE)</f>
        <v>226</v>
      </c>
      <c r="BC16" s="243">
        <f>VLOOKUP($D16,'2018 Plan Data'!$A$4:$K$2000,7,FALSE)</f>
        <v>226</v>
      </c>
      <c r="BD16" s="243">
        <f>VLOOKUP($D16,'2018 Plan Data'!$A$4:$K$2000,8,FALSE)</f>
        <v>226</v>
      </c>
      <c r="BE16" s="243">
        <f>VLOOKUP($D16,'2018 Plan Data'!$A$4:$K$2000,9,FALSE)</f>
        <v>226</v>
      </c>
      <c r="BF16" s="243">
        <f t="shared" si="25"/>
        <v>0</v>
      </c>
      <c r="BG16" s="243">
        <f t="shared" si="26"/>
        <v>0</v>
      </c>
      <c r="BH16" s="243">
        <f t="shared" si="27"/>
        <v>0</v>
      </c>
      <c r="BI16" s="243">
        <f t="shared" si="28"/>
        <v>0</v>
      </c>
      <c r="BJ16" s="243">
        <f t="shared" si="29"/>
        <v>1315.3200000000002</v>
      </c>
      <c r="BK16" s="243">
        <f t="shared" si="30"/>
        <v>1315.3200000000002</v>
      </c>
      <c r="BL16" s="243">
        <f t="shared" si="31"/>
        <v>1315.3200000000002</v>
      </c>
      <c r="BM16" s="243">
        <f t="shared" si="32"/>
        <v>1315.3200000000002</v>
      </c>
      <c r="BN16" s="243">
        <f t="shared" si="33"/>
        <v>0</v>
      </c>
      <c r="BO16" s="243">
        <f t="shared" si="34"/>
        <v>0</v>
      </c>
      <c r="BP16" s="243">
        <f t="shared" si="35"/>
        <v>0</v>
      </c>
      <c r="BQ16" s="243">
        <f t="shared" si="36"/>
        <v>0</v>
      </c>
      <c r="BR16" s="243">
        <f t="shared" si="37"/>
        <v>1315.3200000000002</v>
      </c>
      <c r="BS16" s="243">
        <f t="shared" si="38"/>
        <v>1315.3200000000002</v>
      </c>
      <c r="BT16" s="243">
        <f t="shared" si="39"/>
        <v>1315.3200000000002</v>
      </c>
      <c r="BU16" s="243">
        <f t="shared" si="40"/>
        <v>1315.3200000000002</v>
      </c>
      <c r="BW16" s="314">
        <f>VLOOKUP($D16,'2018 Plan Data'!$A$4:$T$2000,13,FALSE)</f>
        <v>0</v>
      </c>
      <c r="BX16" s="314">
        <f>VLOOKUP($D16,'2018 Plan Data'!$A$4:$T$2000,14,FALSE)</f>
        <v>0</v>
      </c>
      <c r="BY16" s="314">
        <f>VLOOKUP($D16,'2018 Plan Data'!$A$4:$T$2000,15,FALSE)</f>
        <v>0</v>
      </c>
      <c r="BZ16" s="314">
        <f>VLOOKUP($D16,'2018 Plan Data'!$A$4:$T$2000,16,FALSE)</f>
        <v>0</v>
      </c>
      <c r="CA16" s="314">
        <f>VLOOKUP($D16,'2018 Plan Data'!$A$4:$T$2000,17,FALSE)</f>
        <v>2495.04</v>
      </c>
      <c r="CB16" s="314">
        <f>VLOOKUP($D16,'2018 Plan Data'!$A$4:$T$2000,18,FALSE)</f>
        <v>2495.04</v>
      </c>
      <c r="CC16" s="314">
        <f>VLOOKUP($D16,'2018 Plan Data'!$A$4:$T$2000,19,FALSE)</f>
        <v>2495.04</v>
      </c>
      <c r="CD16" s="314">
        <f>VLOOKUP($D16,'2018 Plan Data'!$A$4:$T$2000,20,FALSE)</f>
        <v>2495.04</v>
      </c>
      <c r="CE16" t="b">
        <f t="shared" si="41"/>
        <v>1</v>
      </c>
      <c r="CF16" t="b">
        <f t="shared" si="42"/>
        <v>1</v>
      </c>
      <c r="CG16" t="b">
        <f t="shared" si="43"/>
        <v>1</v>
      </c>
      <c r="CH16" t="b">
        <f t="shared" si="44"/>
        <v>1</v>
      </c>
      <c r="CI16" t="b">
        <f t="shared" si="45"/>
        <v>0</v>
      </c>
      <c r="CJ16" t="b">
        <f t="shared" si="46"/>
        <v>0</v>
      </c>
      <c r="CK16" t="b">
        <f t="shared" si="47"/>
        <v>0</v>
      </c>
      <c r="CL16" t="b">
        <f t="shared" si="48"/>
        <v>0</v>
      </c>
    </row>
    <row r="17" spans="1:349" ht="15" customHeight="1" x14ac:dyDescent="0.35">
      <c r="A17" s="585">
        <f t="shared" si="2"/>
        <v>896</v>
      </c>
      <c r="B17" t="str">
        <f t="shared" si="3"/>
        <v>Residential_Public Housing</v>
      </c>
      <c r="D17">
        <v>896</v>
      </c>
      <c r="E17" t="s">
        <v>78</v>
      </c>
      <c r="F17" s="600" t="str">
        <f>VLOOKUP(G17,Sheet4!$D$6:$E$22,2,FALSE)</f>
        <v>Public Housing</v>
      </c>
      <c r="G17" s="445" t="s">
        <v>1072</v>
      </c>
      <c r="H17" s="673" t="s">
        <v>1754</v>
      </c>
      <c r="I17" s="232"/>
      <c r="J17" s="18" t="s">
        <v>7</v>
      </c>
      <c r="K17" s="18" t="s">
        <v>667</v>
      </c>
      <c r="L17" s="602" t="s">
        <v>1916</v>
      </c>
      <c r="M17" s="600">
        <v>1</v>
      </c>
      <c r="O17" s="72" t="str">
        <f t="shared" si="4"/>
        <v>Gas</v>
      </c>
      <c r="P17" s="7">
        <f>VLOOKUP(D17,'2018 Plan Data'!$A$4:$K$1000,11,FALSE)</f>
        <v>9</v>
      </c>
      <c r="Q17" s="652">
        <f>VLOOKUP(D17,'2018 Plan Data'!$A$4:$L$1000,12,FALSE)</f>
        <v>0</v>
      </c>
      <c r="R17" s="314">
        <v>0</v>
      </c>
      <c r="S17" s="314">
        <v>0</v>
      </c>
      <c r="T17" s="314">
        <v>0</v>
      </c>
      <c r="U17" s="314">
        <v>0</v>
      </c>
      <c r="V17" s="314">
        <f>ROUND('RES DHW'!C219,2)</f>
        <v>4.18</v>
      </c>
      <c r="W17" s="314">
        <v>0</v>
      </c>
      <c r="X17" s="310"/>
      <c r="Y17" s="310"/>
      <c r="Z17" s="310"/>
      <c r="AA17" s="310"/>
      <c r="AB17" s="310"/>
      <c r="AC17" s="310"/>
      <c r="AD17" s="309">
        <f t="shared" si="49"/>
        <v>1</v>
      </c>
      <c r="AE17" s="309">
        <f t="shared" si="6"/>
        <v>1</v>
      </c>
      <c r="AF17" s="309">
        <f t="shared" si="6"/>
        <v>1</v>
      </c>
      <c r="AG17" s="309">
        <f t="shared" si="6"/>
        <v>1</v>
      </c>
      <c r="AH17" s="314">
        <f t="shared" si="7"/>
        <v>0</v>
      </c>
      <c r="AI17" s="314">
        <f t="shared" si="8"/>
        <v>0</v>
      </c>
      <c r="AJ17" s="314">
        <f t="shared" si="9"/>
        <v>0</v>
      </c>
      <c r="AK17" s="314">
        <f t="shared" si="10"/>
        <v>0</v>
      </c>
      <c r="AL17" s="309">
        <f t="shared" si="11"/>
        <v>1</v>
      </c>
      <c r="AM17" s="309">
        <f t="shared" si="12"/>
        <v>1</v>
      </c>
      <c r="AN17" s="309">
        <f t="shared" si="13"/>
        <v>1</v>
      </c>
      <c r="AO17" s="309">
        <f t="shared" si="14"/>
        <v>1</v>
      </c>
      <c r="AP17" s="446">
        <f t="shared" si="15"/>
        <v>0</v>
      </c>
      <c r="AQ17" s="446">
        <f t="shared" si="16"/>
        <v>0</v>
      </c>
      <c r="AR17" s="446">
        <f t="shared" si="17"/>
        <v>0</v>
      </c>
      <c r="AS17" s="446">
        <f t="shared" si="18"/>
        <v>0</v>
      </c>
      <c r="AT17" s="309">
        <f t="shared" si="50"/>
        <v>1</v>
      </c>
      <c r="AU17" s="309">
        <f t="shared" si="20"/>
        <v>1</v>
      </c>
      <c r="AV17" s="309">
        <f t="shared" si="20"/>
        <v>1</v>
      </c>
      <c r="AW17" s="309">
        <f t="shared" si="20"/>
        <v>1</v>
      </c>
      <c r="AX17" s="243">
        <f t="shared" si="21"/>
        <v>4.18</v>
      </c>
      <c r="AY17" s="243">
        <f t="shared" si="22"/>
        <v>4.18</v>
      </c>
      <c r="AZ17" s="243">
        <f t="shared" si="23"/>
        <v>4.18</v>
      </c>
      <c r="BA17" s="243">
        <f t="shared" si="24"/>
        <v>4.18</v>
      </c>
      <c r="BB17" s="243">
        <f>VLOOKUP($D17,'2018 Plan Data'!$A$4:$K$2000,6,FALSE)</f>
        <v>452</v>
      </c>
      <c r="BC17" s="243">
        <f>VLOOKUP($D17,'2018 Plan Data'!$A$4:$K$2000,7,FALSE)</f>
        <v>452</v>
      </c>
      <c r="BD17" s="243">
        <f>VLOOKUP($D17,'2018 Plan Data'!$A$4:$K$2000,8,FALSE)</f>
        <v>452</v>
      </c>
      <c r="BE17" s="243">
        <f>VLOOKUP($D17,'2018 Plan Data'!$A$4:$K$2000,9,FALSE)</f>
        <v>452</v>
      </c>
      <c r="BF17" s="243">
        <f t="shared" si="25"/>
        <v>0</v>
      </c>
      <c r="BG17" s="243">
        <f t="shared" si="26"/>
        <v>0</v>
      </c>
      <c r="BH17" s="243">
        <f t="shared" si="27"/>
        <v>0</v>
      </c>
      <c r="BI17" s="243">
        <f t="shared" si="28"/>
        <v>0</v>
      </c>
      <c r="BJ17" s="243">
        <f t="shared" si="29"/>
        <v>1889.36</v>
      </c>
      <c r="BK17" s="243">
        <f t="shared" si="30"/>
        <v>1889.36</v>
      </c>
      <c r="BL17" s="243">
        <f t="shared" si="31"/>
        <v>1889.36</v>
      </c>
      <c r="BM17" s="243">
        <f t="shared" si="32"/>
        <v>1889.36</v>
      </c>
      <c r="BN17" s="243">
        <f t="shared" si="33"/>
        <v>0</v>
      </c>
      <c r="BO17" s="243">
        <f t="shared" si="34"/>
        <v>0</v>
      </c>
      <c r="BP17" s="243">
        <f t="shared" si="35"/>
        <v>0</v>
      </c>
      <c r="BQ17" s="243">
        <f t="shared" si="36"/>
        <v>0</v>
      </c>
      <c r="BR17" s="243">
        <f t="shared" si="37"/>
        <v>1889.36</v>
      </c>
      <c r="BS17" s="243">
        <f t="shared" si="38"/>
        <v>1889.36</v>
      </c>
      <c r="BT17" s="243">
        <f t="shared" si="39"/>
        <v>1889.36</v>
      </c>
      <c r="BU17" s="243">
        <f t="shared" si="40"/>
        <v>1889.36</v>
      </c>
      <c r="BW17" s="314">
        <f>VLOOKUP($D17,'2018 Plan Data'!$A$4:$T$2000,13,FALSE)</f>
        <v>0</v>
      </c>
      <c r="BX17" s="314">
        <f>VLOOKUP($D17,'2018 Plan Data'!$A$4:$T$2000,14,FALSE)</f>
        <v>0</v>
      </c>
      <c r="BY17" s="314">
        <f>VLOOKUP($D17,'2018 Plan Data'!$A$4:$T$2000,15,FALSE)</f>
        <v>0</v>
      </c>
      <c r="BZ17" s="314">
        <f>VLOOKUP($D17,'2018 Plan Data'!$A$4:$T$2000,16,FALSE)</f>
        <v>0</v>
      </c>
      <c r="CA17" s="314">
        <f>VLOOKUP($D17,'2018 Plan Data'!$A$4:$T$2000,17,FALSE)</f>
        <v>1328.8799999999999</v>
      </c>
      <c r="CB17" s="314">
        <f>VLOOKUP($D17,'2018 Plan Data'!$A$4:$T$2000,18,FALSE)</f>
        <v>1328.8799999999999</v>
      </c>
      <c r="CC17" s="314">
        <f>VLOOKUP($D17,'2018 Plan Data'!$A$4:$T$2000,19,FALSE)</f>
        <v>1328.8799999999999</v>
      </c>
      <c r="CD17" s="314">
        <f>VLOOKUP($D17,'2018 Plan Data'!$A$4:$T$2000,20,FALSE)</f>
        <v>1328.8799999999999</v>
      </c>
      <c r="CE17" t="b">
        <f t="shared" si="41"/>
        <v>1</v>
      </c>
      <c r="CF17" t="b">
        <f t="shared" si="42"/>
        <v>1</v>
      </c>
      <c r="CG17" t="b">
        <f t="shared" si="43"/>
        <v>1</v>
      </c>
      <c r="CH17" t="b">
        <f t="shared" si="44"/>
        <v>1</v>
      </c>
      <c r="CI17" t="b">
        <f t="shared" si="45"/>
        <v>0</v>
      </c>
      <c r="CJ17" t="b">
        <f t="shared" si="46"/>
        <v>0</v>
      </c>
      <c r="CK17" t="b">
        <f t="shared" si="47"/>
        <v>0</v>
      </c>
      <c r="CL17" t="b">
        <f t="shared" si="48"/>
        <v>0</v>
      </c>
    </row>
    <row r="18" spans="1:349" ht="15" customHeight="1" x14ac:dyDescent="0.35">
      <c r="A18" s="585">
        <f t="shared" si="2"/>
        <v>856</v>
      </c>
      <c r="B18" t="str">
        <f t="shared" si="3"/>
        <v>Residential_Public Housing</v>
      </c>
      <c r="D18" s="445">
        <v>856</v>
      </c>
      <c r="E18" s="445" t="s">
        <v>78</v>
      </c>
      <c r="F18" s="600" t="str">
        <f>VLOOKUP(G18,Sheet4!$D$6:$E$22,2,FALSE)</f>
        <v>Public Housing</v>
      </c>
      <c r="G18" s="445" t="s">
        <v>1072</v>
      </c>
      <c r="H18" s="673" t="s">
        <v>1759</v>
      </c>
      <c r="I18" s="232"/>
      <c r="J18" s="18" t="s">
        <v>7</v>
      </c>
      <c r="K18" s="18" t="s">
        <v>710</v>
      </c>
      <c r="L18" s="602" t="s">
        <v>1730</v>
      </c>
      <c r="M18" s="600">
        <v>1</v>
      </c>
      <c r="O18" s="72" t="str">
        <f t="shared" si="4"/>
        <v>Dual Fuel</v>
      </c>
      <c r="P18" s="7">
        <f>VLOOKUP(D18,'2018 Plan Data'!$A$4:$K$1000,11,FALSE)</f>
        <v>15</v>
      </c>
      <c r="Q18" s="652">
        <f>VLOOKUP(D18,'2018 Plan Data'!$A$4:$L$1000,12,FALSE)</f>
        <v>0</v>
      </c>
      <c r="R18" s="314">
        <f>'RES Shell'!N346</f>
        <v>570.76425000000006</v>
      </c>
      <c r="S18" s="314">
        <v>0</v>
      </c>
      <c r="T18" s="314">
        <f>'RES Shell'!O346</f>
        <v>0.47249999999999998</v>
      </c>
      <c r="U18" s="314">
        <v>0</v>
      </c>
      <c r="V18" s="314">
        <f>'RES Shell'!P346</f>
        <v>118.71115624883724</v>
      </c>
      <c r="W18" s="314">
        <v>0</v>
      </c>
      <c r="X18" s="310"/>
      <c r="Y18" s="310"/>
      <c r="Z18" s="310"/>
      <c r="AA18" s="310"/>
      <c r="AB18" s="310"/>
      <c r="AC18" s="310"/>
      <c r="AD18" s="309">
        <f t="shared" si="49"/>
        <v>1</v>
      </c>
      <c r="AE18" s="309">
        <f t="shared" si="6"/>
        <v>1</v>
      </c>
      <c r="AF18" s="309">
        <f t="shared" si="6"/>
        <v>1</v>
      </c>
      <c r="AG18" s="309">
        <f t="shared" si="6"/>
        <v>1</v>
      </c>
      <c r="AH18" s="314">
        <f t="shared" si="7"/>
        <v>570.76425000000006</v>
      </c>
      <c r="AI18" s="314">
        <f t="shared" si="8"/>
        <v>570.76425000000006</v>
      </c>
      <c r="AJ18" s="314">
        <f t="shared" si="9"/>
        <v>570.76425000000006</v>
      </c>
      <c r="AK18" s="314">
        <f t="shared" si="10"/>
        <v>570.76425000000006</v>
      </c>
      <c r="AL18" s="309">
        <f t="shared" si="11"/>
        <v>1</v>
      </c>
      <c r="AM18" s="309">
        <f t="shared" si="12"/>
        <v>1</v>
      </c>
      <c r="AN18" s="309">
        <f t="shared" si="13"/>
        <v>1</v>
      </c>
      <c r="AO18" s="309">
        <f t="shared" si="14"/>
        <v>1</v>
      </c>
      <c r="AP18" s="446">
        <f t="shared" si="15"/>
        <v>0.47249999999999998</v>
      </c>
      <c r="AQ18" s="446">
        <f t="shared" si="16"/>
        <v>0.47249999999999998</v>
      </c>
      <c r="AR18" s="446">
        <f t="shared" si="17"/>
        <v>0.47249999999999998</v>
      </c>
      <c r="AS18" s="446">
        <f t="shared" si="18"/>
        <v>0.47249999999999998</v>
      </c>
      <c r="AT18" s="309">
        <f t="shared" si="50"/>
        <v>1</v>
      </c>
      <c r="AU18" s="309">
        <f t="shared" si="20"/>
        <v>1</v>
      </c>
      <c r="AV18" s="309">
        <f t="shared" si="20"/>
        <v>1</v>
      </c>
      <c r="AW18" s="309">
        <f t="shared" si="20"/>
        <v>1</v>
      </c>
      <c r="AX18" s="243">
        <f t="shared" si="21"/>
        <v>118.71115624883724</v>
      </c>
      <c r="AY18" s="243">
        <f t="shared" si="22"/>
        <v>118.71115624883724</v>
      </c>
      <c r="AZ18" s="243">
        <f t="shared" si="23"/>
        <v>118.71115624883724</v>
      </c>
      <c r="BA18" s="243">
        <f t="shared" si="24"/>
        <v>118.71115624883724</v>
      </c>
      <c r="BB18" s="243">
        <f>VLOOKUP($D18,'2018 Plan Data'!$A$4:$K$2000,6,FALSE)</f>
        <v>76</v>
      </c>
      <c r="BC18" s="243">
        <f>VLOOKUP($D18,'2018 Plan Data'!$A$4:$K$2000,7,FALSE)</f>
        <v>76</v>
      </c>
      <c r="BD18" s="243">
        <f>VLOOKUP($D18,'2018 Plan Data'!$A$4:$K$2000,8,FALSE)</f>
        <v>76</v>
      </c>
      <c r="BE18" s="243">
        <f>VLOOKUP($D18,'2018 Plan Data'!$A$4:$K$2000,9,FALSE)</f>
        <v>76</v>
      </c>
      <c r="BF18" s="243">
        <f t="shared" si="25"/>
        <v>43378.083000000006</v>
      </c>
      <c r="BG18" s="243">
        <f t="shared" si="26"/>
        <v>43378.083000000006</v>
      </c>
      <c r="BH18" s="243">
        <f t="shared" si="27"/>
        <v>43378.083000000006</v>
      </c>
      <c r="BI18" s="243">
        <f t="shared" si="28"/>
        <v>43378.083000000006</v>
      </c>
      <c r="BJ18" s="243">
        <f t="shared" si="29"/>
        <v>9022.0478749116301</v>
      </c>
      <c r="BK18" s="243">
        <f t="shared" si="30"/>
        <v>9022.0478749116301</v>
      </c>
      <c r="BL18" s="243">
        <f t="shared" si="31"/>
        <v>9022.0478749116301</v>
      </c>
      <c r="BM18" s="243">
        <f t="shared" si="32"/>
        <v>9022.0478749116301</v>
      </c>
      <c r="BN18" s="243">
        <f t="shared" si="33"/>
        <v>43378.083000000006</v>
      </c>
      <c r="BO18" s="243">
        <f t="shared" si="34"/>
        <v>43378.083000000006</v>
      </c>
      <c r="BP18" s="243">
        <f t="shared" si="35"/>
        <v>43378.083000000006</v>
      </c>
      <c r="BQ18" s="243">
        <f t="shared" si="36"/>
        <v>43378.083000000006</v>
      </c>
      <c r="BR18" s="243">
        <f t="shared" si="37"/>
        <v>9022.0478749116301</v>
      </c>
      <c r="BS18" s="243">
        <f t="shared" si="38"/>
        <v>9022.0478749116301</v>
      </c>
      <c r="BT18" s="243">
        <f t="shared" si="39"/>
        <v>9022.0478749116301</v>
      </c>
      <c r="BU18" s="243">
        <f t="shared" si="40"/>
        <v>9022.0478749116301</v>
      </c>
      <c r="BW18" s="314">
        <f>VLOOKUP($D18,'2018 Plan Data'!$A$4:$T$2000,13,FALSE)</f>
        <v>33516.000000000007</v>
      </c>
      <c r="BX18" s="314">
        <f>VLOOKUP($D18,'2018 Plan Data'!$A$4:$T$2000,14,FALSE)</f>
        <v>33516.000000000007</v>
      </c>
      <c r="BY18" s="314">
        <f>VLOOKUP($D18,'2018 Plan Data'!$A$4:$T$2000,15,FALSE)</f>
        <v>33516.000000000007</v>
      </c>
      <c r="BZ18" s="314">
        <f>VLOOKUP($D18,'2018 Plan Data'!$A$4:$T$2000,16,FALSE)</f>
        <v>33516.000000000007</v>
      </c>
      <c r="CA18" s="314">
        <f>VLOOKUP($D18,'2018 Plan Data'!$A$4:$T$2000,17,FALSE)</f>
        <v>8776.7380465116294</v>
      </c>
      <c r="CB18" s="314">
        <f>VLOOKUP($D18,'2018 Plan Data'!$A$4:$T$2000,18,FALSE)</f>
        <v>8776.7380465116294</v>
      </c>
      <c r="CC18" s="314">
        <f>VLOOKUP($D18,'2018 Plan Data'!$A$4:$T$2000,19,FALSE)</f>
        <v>8776.7380465116294</v>
      </c>
      <c r="CD18" s="314">
        <f>VLOOKUP($D18,'2018 Plan Data'!$A$4:$T$2000,20,FALSE)</f>
        <v>8776.7380465116294</v>
      </c>
      <c r="CE18" t="b">
        <f t="shared" si="41"/>
        <v>0</v>
      </c>
      <c r="CF18" t="b">
        <f t="shared" si="42"/>
        <v>0</v>
      </c>
      <c r="CG18" t="b">
        <f t="shared" si="43"/>
        <v>0</v>
      </c>
      <c r="CH18" t="b">
        <f t="shared" si="44"/>
        <v>0</v>
      </c>
      <c r="CI18" t="b">
        <f t="shared" si="45"/>
        <v>0</v>
      </c>
      <c r="CJ18" t="b">
        <f t="shared" si="46"/>
        <v>0</v>
      </c>
      <c r="CK18" t="b">
        <f t="shared" si="47"/>
        <v>0</v>
      </c>
      <c r="CL18" t="b">
        <f t="shared" si="48"/>
        <v>0</v>
      </c>
    </row>
    <row r="19" spans="1:349" ht="15" customHeight="1" x14ac:dyDescent="0.35">
      <c r="A19" s="585">
        <f t="shared" si="2"/>
        <v>907</v>
      </c>
      <c r="B19" t="str">
        <f t="shared" si="3"/>
        <v>Residential_Public Housing</v>
      </c>
      <c r="D19" s="445">
        <v>907</v>
      </c>
      <c r="E19" s="445" t="s">
        <v>78</v>
      </c>
      <c r="F19" s="600" t="str">
        <f>VLOOKUP(G19,Sheet4!$D$6:$E$22,2,FALSE)</f>
        <v>Public Housing</v>
      </c>
      <c r="G19" s="445" t="s">
        <v>1072</v>
      </c>
      <c r="H19" s="673" t="s">
        <v>1760</v>
      </c>
      <c r="I19" s="232"/>
      <c r="J19" s="18" t="s">
        <v>7</v>
      </c>
      <c r="K19" s="18" t="s">
        <v>564</v>
      </c>
      <c r="L19" s="602" t="s">
        <v>1732</v>
      </c>
      <c r="M19" s="600">
        <v>1</v>
      </c>
      <c r="O19" s="72" t="str">
        <f t="shared" si="4"/>
        <v>Dual Fuel</v>
      </c>
      <c r="P19" s="7">
        <f>VLOOKUP(D19,'2018 Plan Data'!$A$4:$K$1000,11,FALSE)</f>
        <v>25</v>
      </c>
      <c r="Q19" s="652">
        <f>VLOOKUP(D19,'2018 Plan Data'!$A$4:$L$1000,12,FALSE)</f>
        <v>0</v>
      </c>
      <c r="R19" s="314">
        <f>'RES Shell'!T216</f>
        <v>172.70491784322687</v>
      </c>
      <c r="S19" s="314">
        <f>'RES Shell'!U216</f>
        <v>0</v>
      </c>
      <c r="T19" s="314">
        <f>'RES Shell'!V216</f>
        <v>0.11018885780265755</v>
      </c>
      <c r="U19" s="314">
        <f>'RES Shell'!W216</f>
        <v>0</v>
      </c>
      <c r="V19" s="314">
        <f>'RES Shell'!X216</f>
        <v>52.704917843226852</v>
      </c>
      <c r="W19" s="314">
        <f>'RES Shell'!Y216</f>
        <v>0</v>
      </c>
      <c r="X19" s="310"/>
      <c r="Y19" s="310"/>
      <c r="Z19" s="310"/>
      <c r="AA19" s="310"/>
      <c r="AB19" s="310"/>
      <c r="AC19" s="310"/>
      <c r="AD19" s="309">
        <f t="shared" si="49"/>
        <v>1</v>
      </c>
      <c r="AE19" s="309">
        <f t="shared" si="6"/>
        <v>1</v>
      </c>
      <c r="AF19" s="309">
        <f t="shared" si="6"/>
        <v>1</v>
      </c>
      <c r="AG19" s="309">
        <f t="shared" si="6"/>
        <v>1</v>
      </c>
      <c r="AH19" s="314">
        <f t="shared" si="7"/>
        <v>172.70491784322687</v>
      </c>
      <c r="AI19" s="314">
        <f t="shared" si="8"/>
        <v>172.70491784322687</v>
      </c>
      <c r="AJ19" s="314">
        <f t="shared" si="9"/>
        <v>172.70491784322687</v>
      </c>
      <c r="AK19" s="314">
        <f t="shared" si="10"/>
        <v>172.70491784322687</v>
      </c>
      <c r="AL19" s="309">
        <f t="shared" si="11"/>
        <v>1</v>
      </c>
      <c r="AM19" s="309">
        <f t="shared" si="12"/>
        <v>1</v>
      </c>
      <c r="AN19" s="309">
        <f t="shared" si="13"/>
        <v>1</v>
      </c>
      <c r="AO19" s="309">
        <f t="shared" si="14"/>
        <v>1</v>
      </c>
      <c r="AP19" s="446">
        <f t="shared" si="15"/>
        <v>0.11018885780265755</v>
      </c>
      <c r="AQ19" s="446">
        <f t="shared" si="16"/>
        <v>0.11018885780265755</v>
      </c>
      <c r="AR19" s="446">
        <f t="shared" si="17"/>
        <v>0.11018885780265755</v>
      </c>
      <c r="AS19" s="446">
        <f t="shared" si="18"/>
        <v>0.11018885780265755</v>
      </c>
      <c r="AT19" s="309">
        <f t="shared" si="50"/>
        <v>1</v>
      </c>
      <c r="AU19" s="309">
        <f t="shared" si="20"/>
        <v>1</v>
      </c>
      <c r="AV19" s="309">
        <f t="shared" si="20"/>
        <v>1</v>
      </c>
      <c r="AW19" s="309">
        <f t="shared" si="20"/>
        <v>1</v>
      </c>
      <c r="AX19" s="243">
        <f t="shared" si="21"/>
        <v>52.704917843226852</v>
      </c>
      <c r="AY19" s="243">
        <f t="shared" si="22"/>
        <v>52.704917843226852</v>
      </c>
      <c r="AZ19" s="243">
        <f t="shared" si="23"/>
        <v>52.704917843226852</v>
      </c>
      <c r="BA19" s="243">
        <f t="shared" si="24"/>
        <v>52.704917843226852</v>
      </c>
      <c r="BB19" s="243">
        <f>VLOOKUP($D19,'2018 Plan Data'!$A$4:$K$2000,6,FALSE)</f>
        <v>37</v>
      </c>
      <c r="BC19" s="243">
        <f>VLOOKUP($D19,'2018 Plan Data'!$A$4:$K$2000,7,FALSE)</f>
        <v>37</v>
      </c>
      <c r="BD19" s="243">
        <f>VLOOKUP($D19,'2018 Plan Data'!$A$4:$K$2000,8,FALSE)</f>
        <v>37</v>
      </c>
      <c r="BE19" s="243">
        <f>VLOOKUP($D19,'2018 Plan Data'!$A$4:$K$2000,9,FALSE)</f>
        <v>37</v>
      </c>
      <c r="BF19" s="243">
        <f t="shared" si="25"/>
        <v>6390.0819601993944</v>
      </c>
      <c r="BG19" s="243">
        <f t="shared" si="26"/>
        <v>6390.0819601993944</v>
      </c>
      <c r="BH19" s="243">
        <f t="shared" si="27"/>
        <v>6390.0819601993944</v>
      </c>
      <c r="BI19" s="243">
        <f t="shared" si="28"/>
        <v>6390.0819601993944</v>
      </c>
      <c r="BJ19" s="243">
        <f t="shared" si="29"/>
        <v>1950.0819601993935</v>
      </c>
      <c r="BK19" s="243">
        <f t="shared" si="30"/>
        <v>1950.0819601993935</v>
      </c>
      <c r="BL19" s="243">
        <f t="shared" si="31"/>
        <v>1950.0819601993935</v>
      </c>
      <c r="BM19" s="243">
        <f t="shared" si="32"/>
        <v>1950.0819601993935</v>
      </c>
      <c r="BN19" s="243">
        <f t="shared" si="33"/>
        <v>6390.0819601993944</v>
      </c>
      <c r="BO19" s="243">
        <f t="shared" si="34"/>
        <v>6390.0819601993944</v>
      </c>
      <c r="BP19" s="243">
        <f t="shared" si="35"/>
        <v>6390.0819601993944</v>
      </c>
      <c r="BQ19" s="243">
        <f t="shared" si="36"/>
        <v>6390.0819601993944</v>
      </c>
      <c r="BR19" s="243">
        <f t="shared" si="37"/>
        <v>1950.0819601993935</v>
      </c>
      <c r="BS19" s="243">
        <f t="shared" si="38"/>
        <v>1950.0819601993935</v>
      </c>
      <c r="BT19" s="243">
        <f t="shared" si="39"/>
        <v>1950.0819601993935</v>
      </c>
      <c r="BU19" s="243">
        <f t="shared" si="40"/>
        <v>1950.0819601993935</v>
      </c>
      <c r="BW19" s="314">
        <f>VLOOKUP($D19,'2018 Plan Data'!$A$4:$T$2000,13,FALSE)</f>
        <v>6390.0819601993944</v>
      </c>
      <c r="BX19" s="314">
        <f>VLOOKUP($D19,'2018 Plan Data'!$A$4:$T$2000,14,FALSE)</f>
        <v>6390.0819601993944</v>
      </c>
      <c r="BY19" s="314">
        <f>VLOOKUP($D19,'2018 Plan Data'!$A$4:$T$2000,15,FALSE)</f>
        <v>6390.0819601993944</v>
      </c>
      <c r="BZ19" s="314">
        <f>VLOOKUP($D19,'2018 Plan Data'!$A$4:$T$2000,16,FALSE)</f>
        <v>6390.0819601993944</v>
      </c>
      <c r="CA19" s="314">
        <f>VLOOKUP($D19,'2018 Plan Data'!$A$4:$T$2000,17,FALSE)</f>
        <v>1950.0819601993935</v>
      </c>
      <c r="CB19" s="314">
        <f>VLOOKUP($D19,'2018 Plan Data'!$A$4:$T$2000,18,FALSE)</f>
        <v>1950.0819601993935</v>
      </c>
      <c r="CC19" s="314">
        <f>VLOOKUP($D19,'2018 Plan Data'!$A$4:$T$2000,19,FALSE)</f>
        <v>1950.0819601993935</v>
      </c>
      <c r="CD19" s="314">
        <f>VLOOKUP($D19,'2018 Plan Data'!$A$4:$T$2000,20,FALSE)</f>
        <v>1950.0819601993935</v>
      </c>
      <c r="CE19" t="b">
        <f t="shared" si="41"/>
        <v>1</v>
      </c>
      <c r="CF19" t="b">
        <f t="shared" si="42"/>
        <v>1</v>
      </c>
      <c r="CG19" t="b">
        <f t="shared" si="43"/>
        <v>1</v>
      </c>
      <c r="CH19" t="b">
        <f t="shared" si="44"/>
        <v>1</v>
      </c>
      <c r="CI19" t="b">
        <f t="shared" si="45"/>
        <v>1</v>
      </c>
      <c r="CJ19" t="b">
        <f t="shared" si="46"/>
        <v>1</v>
      </c>
      <c r="CK19" t="b">
        <f t="shared" si="47"/>
        <v>1</v>
      </c>
      <c r="CL19" t="b">
        <f t="shared" si="48"/>
        <v>1</v>
      </c>
    </row>
    <row r="20" spans="1:349" ht="15" customHeight="1" x14ac:dyDescent="0.35">
      <c r="A20" s="585">
        <f t="shared" si="2"/>
        <v>909</v>
      </c>
      <c r="B20" t="str">
        <f t="shared" si="3"/>
        <v>Residential_Public Housing</v>
      </c>
      <c r="D20" s="445">
        <v>909</v>
      </c>
      <c r="E20" s="445" t="s">
        <v>78</v>
      </c>
      <c r="F20" s="600" t="str">
        <f>VLOOKUP(G20,Sheet4!$D$6:$E$22,2,FALSE)</f>
        <v>Public Housing</v>
      </c>
      <c r="G20" s="445" t="s">
        <v>1072</v>
      </c>
      <c r="H20" s="673" t="s">
        <v>1761</v>
      </c>
      <c r="I20" s="232"/>
      <c r="J20" s="18" t="s">
        <v>7</v>
      </c>
      <c r="K20" s="2585" t="s">
        <v>3390</v>
      </c>
      <c r="L20" s="602" t="s">
        <v>1732</v>
      </c>
      <c r="M20" s="600">
        <v>1</v>
      </c>
      <c r="O20" s="72" t="str">
        <f t="shared" si="4"/>
        <v>Dual Fuel</v>
      </c>
      <c r="P20" s="7">
        <f>VLOOKUP(D20,'2018 Plan Data'!$A$4:$K$1000,11,FALSE)</f>
        <v>25</v>
      </c>
      <c r="Q20" s="652">
        <f>VLOOKUP(D20,'2018 Plan Data'!$A$4:$L$1000,12,FALSE)</f>
        <v>0</v>
      </c>
      <c r="R20" s="314">
        <f>'RES Shell'!Q303</f>
        <v>29</v>
      </c>
      <c r="S20" s="314">
        <v>0</v>
      </c>
      <c r="T20" s="314">
        <f>'RES Shell'!S303</f>
        <v>2.0310444473999198E-2</v>
      </c>
      <c r="V20" s="314">
        <f>'RES Shell'!U303</f>
        <v>2.7096845113773766</v>
      </c>
      <c r="W20" s="314">
        <v>0</v>
      </c>
      <c r="X20" s="310"/>
      <c r="Y20" s="310"/>
      <c r="Z20" s="310"/>
      <c r="AA20" s="310"/>
      <c r="AB20" s="310"/>
      <c r="AC20" s="310"/>
      <c r="AD20" s="309">
        <f t="shared" si="49"/>
        <v>1</v>
      </c>
      <c r="AE20" s="309">
        <f t="shared" si="6"/>
        <v>1</v>
      </c>
      <c r="AF20" s="309">
        <f t="shared" si="6"/>
        <v>1</v>
      </c>
      <c r="AG20" s="309">
        <f t="shared" si="6"/>
        <v>1</v>
      </c>
      <c r="AH20" s="314">
        <f t="shared" si="7"/>
        <v>29</v>
      </c>
      <c r="AI20" s="314">
        <f t="shared" si="8"/>
        <v>29</v>
      </c>
      <c r="AJ20" s="314">
        <f t="shared" si="9"/>
        <v>29</v>
      </c>
      <c r="AK20" s="314">
        <f t="shared" si="10"/>
        <v>29</v>
      </c>
      <c r="AL20" s="309">
        <f t="shared" si="11"/>
        <v>1</v>
      </c>
      <c r="AM20" s="309">
        <f t="shared" si="12"/>
        <v>1</v>
      </c>
      <c r="AN20" s="309">
        <f t="shared" si="13"/>
        <v>1</v>
      </c>
      <c r="AO20" s="309">
        <f t="shared" si="14"/>
        <v>1</v>
      </c>
      <c r="AP20" s="446">
        <f t="shared" si="15"/>
        <v>2.0310444473999198E-2</v>
      </c>
      <c r="AQ20" s="446">
        <f t="shared" si="16"/>
        <v>2.0310444473999198E-2</v>
      </c>
      <c r="AR20" s="446">
        <f t="shared" si="17"/>
        <v>2.0310444473999198E-2</v>
      </c>
      <c r="AS20" s="446">
        <f t="shared" si="18"/>
        <v>2.0310444473999198E-2</v>
      </c>
      <c r="AT20" s="309">
        <f t="shared" si="50"/>
        <v>1</v>
      </c>
      <c r="AU20" s="309">
        <f t="shared" si="20"/>
        <v>1</v>
      </c>
      <c r="AV20" s="309">
        <f t="shared" si="20"/>
        <v>1</v>
      </c>
      <c r="AW20" s="309">
        <f t="shared" si="20"/>
        <v>1</v>
      </c>
      <c r="AX20" s="243">
        <f t="shared" si="21"/>
        <v>2.7096845113773766</v>
      </c>
      <c r="AY20" s="243">
        <f t="shared" si="22"/>
        <v>2.7096845113773766</v>
      </c>
      <c r="AZ20" s="243">
        <f t="shared" si="23"/>
        <v>2.7096845113773766</v>
      </c>
      <c r="BA20" s="243">
        <f t="shared" si="24"/>
        <v>2.7096845113773766</v>
      </c>
      <c r="BB20" s="243">
        <f>VLOOKUP($D20,'2018 Plan Data'!$A$4:$K$2000,6,FALSE)</f>
        <v>59</v>
      </c>
      <c r="BC20" s="243">
        <f>VLOOKUP($D20,'2018 Plan Data'!$A$4:$K$2000,7,FALSE)</f>
        <v>59</v>
      </c>
      <c r="BD20" s="243">
        <f>VLOOKUP($D20,'2018 Plan Data'!$A$4:$K$2000,8,FALSE)</f>
        <v>59</v>
      </c>
      <c r="BE20" s="243">
        <f>VLOOKUP($D20,'2018 Plan Data'!$A$4:$K$2000,9,FALSE)</f>
        <v>59</v>
      </c>
      <c r="BF20" s="243">
        <f t="shared" si="25"/>
        <v>1711</v>
      </c>
      <c r="BG20" s="243">
        <f t="shared" si="26"/>
        <v>1711</v>
      </c>
      <c r="BH20" s="243">
        <f t="shared" si="27"/>
        <v>1711</v>
      </c>
      <c r="BI20" s="243">
        <f t="shared" si="28"/>
        <v>1711</v>
      </c>
      <c r="BJ20" s="243">
        <f t="shared" si="29"/>
        <v>159.87138617126521</v>
      </c>
      <c r="BK20" s="243">
        <f t="shared" si="30"/>
        <v>159.87138617126521</v>
      </c>
      <c r="BL20" s="243">
        <f t="shared" si="31"/>
        <v>159.87138617126521</v>
      </c>
      <c r="BM20" s="243">
        <f t="shared" si="32"/>
        <v>159.87138617126521</v>
      </c>
      <c r="BN20" s="243">
        <f t="shared" si="33"/>
        <v>1711</v>
      </c>
      <c r="BO20" s="243">
        <f t="shared" si="34"/>
        <v>1711</v>
      </c>
      <c r="BP20" s="243">
        <f t="shared" si="35"/>
        <v>1711</v>
      </c>
      <c r="BQ20" s="243">
        <f t="shared" si="36"/>
        <v>1711</v>
      </c>
      <c r="BR20" s="243">
        <f t="shared" si="37"/>
        <v>159.87138617126521</v>
      </c>
      <c r="BS20" s="243">
        <f t="shared" si="38"/>
        <v>159.87138617126521</v>
      </c>
      <c r="BT20" s="243">
        <f t="shared" si="39"/>
        <v>159.87138617126521</v>
      </c>
      <c r="BU20" s="243">
        <f t="shared" si="40"/>
        <v>159.87138617126521</v>
      </c>
      <c r="BW20" s="314">
        <f>VLOOKUP($D20,'2018 Plan Data'!$A$4:$T$2000,13,FALSE)</f>
        <v>1711</v>
      </c>
      <c r="BX20" s="314">
        <f>VLOOKUP($D20,'2018 Plan Data'!$A$4:$T$2000,14,FALSE)</f>
        <v>1711</v>
      </c>
      <c r="BY20" s="314">
        <f>VLOOKUP($D20,'2018 Plan Data'!$A$4:$T$2000,15,FALSE)</f>
        <v>1711</v>
      </c>
      <c r="BZ20" s="314">
        <f>VLOOKUP($D20,'2018 Plan Data'!$A$4:$T$2000,16,FALSE)</f>
        <v>1711</v>
      </c>
      <c r="CA20" s="314">
        <f>VLOOKUP($D20,'2018 Plan Data'!$A$4:$T$2000,17,FALSE)</f>
        <v>159.87138617126521</v>
      </c>
      <c r="CB20" s="314">
        <f>VLOOKUP($D20,'2018 Plan Data'!$A$4:$T$2000,18,FALSE)</f>
        <v>159.87138617126521</v>
      </c>
      <c r="CC20" s="314">
        <f>VLOOKUP($D20,'2018 Plan Data'!$A$4:$T$2000,19,FALSE)</f>
        <v>159.87138617126521</v>
      </c>
      <c r="CD20" s="314">
        <f>VLOOKUP($D20,'2018 Plan Data'!$A$4:$T$2000,20,FALSE)</f>
        <v>159.87138617126521</v>
      </c>
      <c r="CE20" t="b">
        <f t="shared" si="41"/>
        <v>1</v>
      </c>
      <c r="CF20" t="b">
        <f t="shared" si="42"/>
        <v>1</v>
      </c>
      <c r="CG20" t="b">
        <f t="shared" si="43"/>
        <v>1</v>
      </c>
      <c r="CH20" t="b">
        <f t="shared" si="44"/>
        <v>1</v>
      </c>
      <c r="CI20" t="b">
        <f t="shared" si="45"/>
        <v>1</v>
      </c>
      <c r="CJ20" t="b">
        <f t="shared" si="46"/>
        <v>1</v>
      </c>
      <c r="CK20" t="b">
        <f t="shared" si="47"/>
        <v>1</v>
      </c>
      <c r="CL20" t="b">
        <f t="shared" si="48"/>
        <v>1</v>
      </c>
    </row>
    <row r="21" spans="1:349" ht="15" customHeight="1" x14ac:dyDescent="0.35">
      <c r="A21" s="585">
        <f t="shared" si="2"/>
        <v>882</v>
      </c>
      <c r="B21" t="str">
        <f t="shared" si="3"/>
        <v>Residential_Public Housing</v>
      </c>
      <c r="D21" s="445">
        <v>882</v>
      </c>
      <c r="E21" s="445" t="s">
        <v>78</v>
      </c>
      <c r="F21" s="600" t="str">
        <f>VLOOKUP(G21,Sheet4!$D$6:$E$22,2,FALSE)</f>
        <v>Public Housing</v>
      </c>
      <c r="G21" s="445" t="s">
        <v>1072</v>
      </c>
      <c r="H21" s="673" t="s">
        <v>1762</v>
      </c>
      <c r="I21" s="232"/>
      <c r="J21" s="18" t="s">
        <v>7</v>
      </c>
      <c r="K21" s="18" t="s">
        <v>746</v>
      </c>
      <c r="L21" s="602" t="s">
        <v>1731</v>
      </c>
      <c r="M21" s="600">
        <v>1</v>
      </c>
      <c r="O21" s="72" t="str">
        <f t="shared" si="4"/>
        <v>Dual Fuel</v>
      </c>
      <c r="P21" s="7">
        <f>VLOOKUP(D21,'2018 Plan Data'!$A$4:$K$1000,11,FALSE)</f>
        <v>25</v>
      </c>
      <c r="Q21" s="652">
        <f>VLOOKUP(D21,'2018 Plan Data'!$A$4:$L$1000,12,FALSE)</f>
        <v>0</v>
      </c>
      <c r="R21" s="314">
        <f>'RES Shell'!S406</f>
        <v>22.200000000000003</v>
      </c>
      <c r="S21" s="314">
        <v>0</v>
      </c>
      <c r="T21" s="314">
        <f>'RES Shell'!U406</f>
        <v>1.4007203085516694E-2</v>
      </c>
      <c r="U21" s="314">
        <v>0</v>
      </c>
      <c r="V21" s="314">
        <f>'RES Shell'!W406</f>
        <v>11.869697702806754</v>
      </c>
      <c r="W21" s="314">
        <f>'RES Shell'!X406</f>
        <v>0</v>
      </c>
      <c r="X21" s="310"/>
      <c r="Y21" s="310"/>
      <c r="Z21" s="310"/>
      <c r="AA21" s="310"/>
      <c r="AB21" s="310"/>
      <c r="AC21" s="310"/>
      <c r="AD21" s="309">
        <f t="shared" si="49"/>
        <v>1</v>
      </c>
      <c r="AE21" s="309">
        <f t="shared" si="6"/>
        <v>1</v>
      </c>
      <c r="AF21" s="309">
        <f t="shared" si="6"/>
        <v>1</v>
      </c>
      <c r="AG21" s="309">
        <f t="shared" si="6"/>
        <v>1</v>
      </c>
      <c r="AH21" s="314">
        <f t="shared" si="7"/>
        <v>22.200000000000003</v>
      </c>
      <c r="AI21" s="314">
        <f t="shared" si="8"/>
        <v>22.200000000000003</v>
      </c>
      <c r="AJ21" s="314">
        <f t="shared" si="9"/>
        <v>22.200000000000003</v>
      </c>
      <c r="AK21" s="314">
        <f t="shared" si="10"/>
        <v>22.200000000000003</v>
      </c>
      <c r="AL21" s="309">
        <f t="shared" si="11"/>
        <v>1</v>
      </c>
      <c r="AM21" s="309">
        <f t="shared" si="12"/>
        <v>1</v>
      </c>
      <c r="AN21" s="309">
        <f t="shared" si="13"/>
        <v>1</v>
      </c>
      <c r="AO21" s="309">
        <f t="shared" si="14"/>
        <v>1</v>
      </c>
      <c r="AP21" s="446">
        <f t="shared" si="15"/>
        <v>1.4007203085516694E-2</v>
      </c>
      <c r="AQ21" s="446">
        <f t="shared" si="16"/>
        <v>1.4007203085516694E-2</v>
      </c>
      <c r="AR21" s="446">
        <f t="shared" si="17"/>
        <v>1.4007203085516694E-2</v>
      </c>
      <c r="AS21" s="446">
        <f t="shared" si="18"/>
        <v>1.4007203085516694E-2</v>
      </c>
      <c r="AT21" s="309">
        <f t="shared" si="50"/>
        <v>1</v>
      </c>
      <c r="AU21" s="309">
        <f t="shared" si="20"/>
        <v>1</v>
      </c>
      <c r="AV21" s="309">
        <f t="shared" si="20"/>
        <v>1</v>
      </c>
      <c r="AW21" s="309">
        <f t="shared" si="20"/>
        <v>1</v>
      </c>
      <c r="AX21" s="243">
        <f t="shared" si="21"/>
        <v>11.869697702806754</v>
      </c>
      <c r="AY21" s="243">
        <f t="shared" si="22"/>
        <v>11.869697702806754</v>
      </c>
      <c r="AZ21" s="243">
        <f t="shared" si="23"/>
        <v>11.869697702806754</v>
      </c>
      <c r="BA21" s="243">
        <f t="shared" si="24"/>
        <v>11.869697702806754</v>
      </c>
      <c r="BB21" s="243">
        <f>VLOOKUP($D21,'2018 Plan Data'!$A$4:$K$2000,6,FALSE)</f>
        <v>16</v>
      </c>
      <c r="BC21" s="243">
        <f>VLOOKUP($D21,'2018 Plan Data'!$A$4:$K$2000,7,FALSE)</f>
        <v>16</v>
      </c>
      <c r="BD21" s="243">
        <f>VLOOKUP($D21,'2018 Plan Data'!$A$4:$K$2000,8,FALSE)</f>
        <v>16</v>
      </c>
      <c r="BE21" s="243">
        <f>VLOOKUP($D21,'2018 Plan Data'!$A$4:$K$2000,9,FALSE)</f>
        <v>16</v>
      </c>
      <c r="BF21" s="243">
        <f t="shared" si="25"/>
        <v>355.20000000000005</v>
      </c>
      <c r="BG21" s="243">
        <f t="shared" si="26"/>
        <v>355.20000000000005</v>
      </c>
      <c r="BH21" s="243">
        <f t="shared" si="27"/>
        <v>355.20000000000005</v>
      </c>
      <c r="BI21" s="243">
        <f t="shared" si="28"/>
        <v>355.20000000000005</v>
      </c>
      <c r="BJ21" s="243">
        <f t="shared" si="29"/>
        <v>189.91516324490806</v>
      </c>
      <c r="BK21" s="243">
        <f t="shared" si="30"/>
        <v>189.91516324490806</v>
      </c>
      <c r="BL21" s="243">
        <f t="shared" si="31"/>
        <v>189.91516324490806</v>
      </c>
      <c r="BM21" s="243">
        <f t="shared" si="32"/>
        <v>189.91516324490806</v>
      </c>
      <c r="BN21" s="243">
        <f t="shared" si="33"/>
        <v>355.20000000000005</v>
      </c>
      <c r="BO21" s="243">
        <f t="shared" si="34"/>
        <v>355.20000000000005</v>
      </c>
      <c r="BP21" s="243">
        <f t="shared" si="35"/>
        <v>355.20000000000005</v>
      </c>
      <c r="BQ21" s="243">
        <f t="shared" si="36"/>
        <v>355.20000000000005</v>
      </c>
      <c r="BR21" s="243">
        <f t="shared" si="37"/>
        <v>189.91516324490806</v>
      </c>
      <c r="BS21" s="243">
        <f t="shared" si="38"/>
        <v>189.91516324490806</v>
      </c>
      <c r="BT21" s="243">
        <f t="shared" si="39"/>
        <v>189.91516324490806</v>
      </c>
      <c r="BU21" s="243">
        <f t="shared" si="40"/>
        <v>189.91516324490806</v>
      </c>
      <c r="BW21" s="314">
        <f>VLOOKUP($D21,'2018 Plan Data'!$A$4:$T$2000,13,FALSE)</f>
        <v>2575.2000000000003</v>
      </c>
      <c r="BX21" s="314">
        <f>VLOOKUP($D21,'2018 Plan Data'!$A$4:$T$2000,14,FALSE)</f>
        <v>2575.2000000000003</v>
      </c>
      <c r="BY21" s="314">
        <f>VLOOKUP($D21,'2018 Plan Data'!$A$4:$T$2000,15,FALSE)</f>
        <v>2575.2000000000003</v>
      </c>
      <c r="BZ21" s="314">
        <f>VLOOKUP($D21,'2018 Plan Data'!$A$4:$T$2000,16,FALSE)</f>
        <v>2575.2000000000003</v>
      </c>
      <c r="CA21" s="314">
        <f>VLOOKUP($D21,'2018 Plan Data'!$A$4:$T$2000,17,FALSE)</f>
        <v>1376.8849335255834</v>
      </c>
      <c r="CB21" s="314">
        <f>VLOOKUP($D21,'2018 Plan Data'!$A$4:$T$2000,18,FALSE)</f>
        <v>1376.8849335255834</v>
      </c>
      <c r="CC21" s="314">
        <f>VLOOKUP($D21,'2018 Plan Data'!$A$4:$T$2000,19,FALSE)</f>
        <v>1376.8849335255834</v>
      </c>
      <c r="CD21" s="314">
        <f>VLOOKUP($D21,'2018 Plan Data'!$A$4:$T$2000,20,FALSE)</f>
        <v>1376.8849335255834</v>
      </c>
      <c r="CE21" t="b">
        <f t="shared" si="41"/>
        <v>0</v>
      </c>
      <c r="CF21" t="b">
        <f t="shared" si="42"/>
        <v>0</v>
      </c>
      <c r="CG21" t="b">
        <f t="shared" si="43"/>
        <v>0</v>
      </c>
      <c r="CH21" t="b">
        <f t="shared" si="44"/>
        <v>0</v>
      </c>
      <c r="CI21" t="b">
        <f t="shared" si="45"/>
        <v>0</v>
      </c>
      <c r="CJ21" t="b">
        <f t="shared" si="46"/>
        <v>0</v>
      </c>
      <c r="CK21" t="b">
        <f t="shared" si="47"/>
        <v>0</v>
      </c>
      <c r="CL21" t="b">
        <f t="shared" si="48"/>
        <v>0</v>
      </c>
    </row>
    <row r="22" spans="1:349" ht="15" customHeight="1" x14ac:dyDescent="0.35">
      <c r="A22" s="585">
        <f t="shared" si="2"/>
        <v>863</v>
      </c>
      <c r="B22" t="str">
        <f t="shared" si="3"/>
        <v>Residential_Public Housing</v>
      </c>
      <c r="D22" s="445">
        <v>863</v>
      </c>
      <c r="E22" s="445" t="s">
        <v>78</v>
      </c>
      <c r="F22" s="600" t="str">
        <f>VLOOKUP(G22,Sheet4!$D$6:$E$22,2,FALSE)</f>
        <v>Public Housing</v>
      </c>
      <c r="G22" s="445" t="s">
        <v>1072</v>
      </c>
      <c r="H22" s="673" t="s">
        <v>1765</v>
      </c>
      <c r="I22" s="232"/>
      <c r="J22" s="18" t="s">
        <v>7</v>
      </c>
      <c r="K22" s="18" t="s">
        <v>1378</v>
      </c>
      <c r="L22" s="602" t="s">
        <v>1717</v>
      </c>
      <c r="M22" s="600">
        <v>1</v>
      </c>
      <c r="O22" s="72" t="str">
        <f t="shared" si="4"/>
        <v>Gas</v>
      </c>
      <c r="P22" s="7">
        <f>VLOOKUP(D22,'2018 Plan Data'!$A$4:$K$1000,11,FALSE)</f>
        <v>25</v>
      </c>
      <c r="Q22" s="652">
        <f>VLOOKUP(D22,'2018 Plan Data'!$A$4:$L$1000,12,FALSE)</f>
        <v>0</v>
      </c>
      <c r="R22" s="314">
        <v>0</v>
      </c>
      <c r="S22" s="314">
        <v>0</v>
      </c>
      <c r="U22" s="314">
        <v>0</v>
      </c>
      <c r="V22" s="314">
        <f>ROUND('RES HVAC'!E213,2)</f>
        <v>107.05</v>
      </c>
      <c r="W22" s="314">
        <v>0</v>
      </c>
      <c r="X22" s="310"/>
      <c r="Y22" s="310"/>
      <c r="Z22" s="310"/>
      <c r="AA22" s="310"/>
      <c r="AB22" s="310"/>
      <c r="AC22" s="310"/>
      <c r="AD22" s="309">
        <f t="shared" si="49"/>
        <v>1</v>
      </c>
      <c r="AE22" s="309">
        <f t="shared" si="6"/>
        <v>1</v>
      </c>
      <c r="AF22" s="309">
        <f t="shared" si="6"/>
        <v>1</v>
      </c>
      <c r="AG22" s="309">
        <f t="shared" si="6"/>
        <v>1</v>
      </c>
      <c r="AH22" s="314">
        <f t="shared" si="7"/>
        <v>0</v>
      </c>
      <c r="AI22" s="314">
        <f t="shared" si="8"/>
        <v>0</v>
      </c>
      <c r="AJ22" s="314">
        <f t="shared" si="9"/>
        <v>0</v>
      </c>
      <c r="AK22" s="314">
        <f t="shared" si="10"/>
        <v>0</v>
      </c>
      <c r="AL22" s="309">
        <f t="shared" si="11"/>
        <v>1</v>
      </c>
      <c r="AM22" s="309">
        <f t="shared" si="12"/>
        <v>1</v>
      </c>
      <c r="AN22" s="309">
        <f t="shared" si="13"/>
        <v>1</v>
      </c>
      <c r="AO22" s="309">
        <f t="shared" si="14"/>
        <v>1</v>
      </c>
      <c r="AP22" s="446">
        <f t="shared" si="15"/>
        <v>0</v>
      </c>
      <c r="AQ22" s="446">
        <f t="shared" si="16"/>
        <v>0</v>
      </c>
      <c r="AR22" s="446">
        <f t="shared" si="17"/>
        <v>0</v>
      </c>
      <c r="AS22" s="446">
        <f t="shared" si="18"/>
        <v>0</v>
      </c>
      <c r="AT22" s="309">
        <f t="shared" si="50"/>
        <v>1</v>
      </c>
      <c r="AU22" s="309">
        <f t="shared" si="20"/>
        <v>1</v>
      </c>
      <c r="AV22" s="309">
        <f t="shared" si="20"/>
        <v>1</v>
      </c>
      <c r="AW22" s="309">
        <f t="shared" si="20"/>
        <v>1</v>
      </c>
      <c r="AX22" s="243">
        <f t="shared" si="21"/>
        <v>107.05</v>
      </c>
      <c r="AY22" s="243">
        <f t="shared" si="22"/>
        <v>107.05</v>
      </c>
      <c r="AZ22" s="243">
        <f t="shared" si="23"/>
        <v>107.05</v>
      </c>
      <c r="BA22" s="243">
        <f t="shared" si="24"/>
        <v>107.05</v>
      </c>
      <c r="BB22" s="243">
        <f>VLOOKUP($D22,'2018 Plan Data'!$A$4:$K$2000,6,FALSE)</f>
        <v>3</v>
      </c>
      <c r="BC22" s="243">
        <f>VLOOKUP($D22,'2018 Plan Data'!$A$4:$K$2000,7,FALSE)</f>
        <v>3</v>
      </c>
      <c r="BD22" s="243">
        <f>VLOOKUP($D22,'2018 Plan Data'!$A$4:$K$2000,8,FALSE)</f>
        <v>3</v>
      </c>
      <c r="BE22" s="243">
        <f>VLOOKUP($D22,'2018 Plan Data'!$A$4:$K$2000,9,FALSE)</f>
        <v>3</v>
      </c>
      <c r="BF22" s="243">
        <f t="shared" si="25"/>
        <v>0</v>
      </c>
      <c r="BG22" s="243">
        <f t="shared" si="26"/>
        <v>0</v>
      </c>
      <c r="BH22" s="243">
        <f t="shared" si="27"/>
        <v>0</v>
      </c>
      <c r="BI22" s="243">
        <f t="shared" si="28"/>
        <v>0</v>
      </c>
      <c r="BJ22" s="243">
        <f t="shared" si="29"/>
        <v>321.14999999999998</v>
      </c>
      <c r="BK22" s="243">
        <f t="shared" si="30"/>
        <v>321.14999999999998</v>
      </c>
      <c r="BL22" s="243">
        <f t="shared" si="31"/>
        <v>321.14999999999998</v>
      </c>
      <c r="BM22" s="243">
        <f t="shared" si="32"/>
        <v>321.14999999999998</v>
      </c>
      <c r="BN22" s="243">
        <f t="shared" si="33"/>
        <v>0</v>
      </c>
      <c r="BO22" s="243">
        <f t="shared" si="34"/>
        <v>0</v>
      </c>
      <c r="BP22" s="243">
        <f t="shared" si="35"/>
        <v>0</v>
      </c>
      <c r="BQ22" s="243">
        <f t="shared" si="36"/>
        <v>0</v>
      </c>
      <c r="BR22" s="243">
        <f t="shared" si="37"/>
        <v>321.14999999999998</v>
      </c>
      <c r="BS22" s="243">
        <f t="shared" si="38"/>
        <v>321.14999999999998</v>
      </c>
      <c r="BT22" s="243">
        <f t="shared" si="39"/>
        <v>321.14999999999998</v>
      </c>
      <c r="BU22" s="243">
        <f t="shared" si="40"/>
        <v>321.14999999999998</v>
      </c>
      <c r="BW22" s="314">
        <f>VLOOKUP($D22,'2018 Plan Data'!$A$4:$T$2000,13,FALSE)</f>
        <v>0</v>
      </c>
      <c r="BX22" s="314">
        <f>VLOOKUP($D22,'2018 Plan Data'!$A$4:$T$2000,14,FALSE)</f>
        <v>0</v>
      </c>
      <c r="BY22" s="314">
        <f>VLOOKUP($D22,'2018 Plan Data'!$A$4:$T$2000,15,FALSE)</f>
        <v>0</v>
      </c>
      <c r="BZ22" s="314">
        <f>VLOOKUP($D22,'2018 Plan Data'!$A$4:$T$2000,16,FALSE)</f>
        <v>0</v>
      </c>
      <c r="CA22" s="314">
        <f>VLOOKUP($D22,'2018 Plan Data'!$A$4:$T$2000,17,FALSE)</f>
        <v>433.14</v>
      </c>
      <c r="CB22" s="314">
        <f>VLOOKUP($D22,'2018 Plan Data'!$A$4:$T$2000,18,FALSE)</f>
        <v>433.14</v>
      </c>
      <c r="CC22" s="314">
        <f>VLOOKUP($D22,'2018 Plan Data'!$A$4:$T$2000,19,FALSE)</f>
        <v>433.14</v>
      </c>
      <c r="CD22" s="314">
        <f>VLOOKUP($D22,'2018 Plan Data'!$A$4:$T$2000,20,FALSE)</f>
        <v>433.14</v>
      </c>
      <c r="CE22" t="b">
        <f t="shared" si="41"/>
        <v>1</v>
      </c>
      <c r="CF22" t="b">
        <f t="shared" si="42"/>
        <v>1</v>
      </c>
      <c r="CG22" t="b">
        <f t="shared" si="43"/>
        <v>1</v>
      </c>
      <c r="CH22" t="b">
        <f t="shared" si="44"/>
        <v>1</v>
      </c>
      <c r="CI22" t="b">
        <f t="shared" si="45"/>
        <v>0</v>
      </c>
      <c r="CJ22" t="b">
        <f t="shared" si="46"/>
        <v>0</v>
      </c>
      <c r="CK22" t="b">
        <f t="shared" si="47"/>
        <v>0</v>
      </c>
      <c r="CL22" t="b">
        <f t="shared" si="48"/>
        <v>0</v>
      </c>
    </row>
    <row r="23" spans="1:349" ht="15" customHeight="1" x14ac:dyDescent="0.35">
      <c r="A23" s="585">
        <f t="shared" si="2"/>
        <v>905</v>
      </c>
      <c r="B23" t="str">
        <f t="shared" si="3"/>
        <v>Residential_Public Housing</v>
      </c>
      <c r="D23" s="445">
        <v>905</v>
      </c>
      <c r="E23" s="445" t="s">
        <v>78</v>
      </c>
      <c r="F23" s="600" t="str">
        <f>VLOOKUP(G23,Sheet4!$D$6:$E$22,2,FALSE)</f>
        <v>Public Housing</v>
      </c>
      <c r="G23" s="445" t="s">
        <v>1072</v>
      </c>
      <c r="H23" s="673" t="s">
        <v>1766</v>
      </c>
      <c r="I23" s="232"/>
      <c r="J23" s="18" t="s">
        <v>7</v>
      </c>
      <c r="K23" s="18" t="s">
        <v>563</v>
      </c>
      <c r="L23" s="602" t="s">
        <v>1721</v>
      </c>
      <c r="M23" s="600">
        <v>1</v>
      </c>
      <c r="O23" s="72" t="str">
        <f t="shared" si="4"/>
        <v>Dual Fuel</v>
      </c>
      <c r="P23" s="7">
        <f>VLOOKUP(D23,'2018 Plan Data'!$A$4:$K$1000,11,FALSE)</f>
        <v>5</v>
      </c>
      <c r="Q23" s="652">
        <f>VLOOKUP(D23,'2018 Plan Data'!$A$4:$L$1000,12,FALSE)</f>
        <v>0</v>
      </c>
      <c r="R23" s="314">
        <f>'RES HVAC'!S66</f>
        <v>49.112507639999997</v>
      </c>
      <c r="S23" s="314">
        <v>0</v>
      </c>
      <c r="T23" s="314">
        <v>0</v>
      </c>
      <c r="U23" s="314">
        <v>0</v>
      </c>
      <c r="V23" s="314">
        <f>'RES HVAC'!O66</f>
        <v>53.381999999999998</v>
      </c>
      <c r="W23" s="314">
        <v>0</v>
      </c>
      <c r="X23" s="310"/>
      <c r="Y23" s="310"/>
      <c r="Z23" s="310"/>
      <c r="AA23" s="310"/>
      <c r="AB23" s="310"/>
      <c r="AC23" s="310"/>
      <c r="AD23" s="309">
        <f t="shared" si="49"/>
        <v>1</v>
      </c>
      <c r="AE23" s="309">
        <f t="shared" si="6"/>
        <v>1</v>
      </c>
      <c r="AF23" s="309">
        <f t="shared" si="6"/>
        <v>1</v>
      </c>
      <c r="AG23" s="309">
        <f t="shared" si="6"/>
        <v>1</v>
      </c>
      <c r="AH23" s="314">
        <f t="shared" si="7"/>
        <v>49.112507639999997</v>
      </c>
      <c r="AI23" s="314">
        <f t="shared" si="8"/>
        <v>49.112507639999997</v>
      </c>
      <c r="AJ23" s="314">
        <f t="shared" si="9"/>
        <v>49.112507639999997</v>
      </c>
      <c r="AK23" s="314">
        <f t="shared" si="10"/>
        <v>49.112507639999997</v>
      </c>
      <c r="AL23" s="309">
        <f t="shared" si="11"/>
        <v>1</v>
      </c>
      <c r="AM23" s="309">
        <f t="shared" si="12"/>
        <v>1</v>
      </c>
      <c r="AN23" s="309">
        <f t="shared" si="13"/>
        <v>1</v>
      </c>
      <c r="AO23" s="309">
        <f t="shared" si="14"/>
        <v>1</v>
      </c>
      <c r="AP23" s="446">
        <f t="shared" si="15"/>
        <v>0</v>
      </c>
      <c r="AQ23" s="446">
        <f t="shared" si="16"/>
        <v>0</v>
      </c>
      <c r="AR23" s="446">
        <f t="shared" si="17"/>
        <v>0</v>
      </c>
      <c r="AS23" s="446">
        <f t="shared" si="18"/>
        <v>0</v>
      </c>
      <c r="AT23" s="309">
        <f t="shared" si="50"/>
        <v>1</v>
      </c>
      <c r="AU23" s="309">
        <f t="shared" si="20"/>
        <v>1</v>
      </c>
      <c r="AV23" s="309">
        <f t="shared" si="20"/>
        <v>1</v>
      </c>
      <c r="AW23" s="309">
        <f t="shared" si="20"/>
        <v>1</v>
      </c>
      <c r="AX23" s="243">
        <f t="shared" si="21"/>
        <v>53.381999999999998</v>
      </c>
      <c r="AY23" s="243">
        <f t="shared" si="22"/>
        <v>53.381999999999998</v>
      </c>
      <c r="AZ23" s="243">
        <f t="shared" si="23"/>
        <v>53.381999999999998</v>
      </c>
      <c r="BA23" s="243">
        <f t="shared" si="24"/>
        <v>53.381999999999998</v>
      </c>
      <c r="BB23" s="243">
        <f>VLOOKUP($D23,'2018 Plan Data'!$A$4:$K$2000,6,FALSE)</f>
        <v>35</v>
      </c>
      <c r="BC23" s="243">
        <f>VLOOKUP($D23,'2018 Plan Data'!$A$4:$K$2000,7,FALSE)</f>
        <v>35</v>
      </c>
      <c r="BD23" s="243">
        <f>VLOOKUP($D23,'2018 Plan Data'!$A$4:$K$2000,8,FALSE)</f>
        <v>35</v>
      </c>
      <c r="BE23" s="243">
        <f>VLOOKUP($D23,'2018 Plan Data'!$A$4:$K$2000,9,FALSE)</f>
        <v>35</v>
      </c>
      <c r="BF23" s="243">
        <f t="shared" si="25"/>
        <v>1718.9377674</v>
      </c>
      <c r="BG23" s="243">
        <f t="shared" si="26"/>
        <v>1718.9377674</v>
      </c>
      <c r="BH23" s="243">
        <f t="shared" si="27"/>
        <v>1718.9377674</v>
      </c>
      <c r="BI23" s="243">
        <f t="shared" si="28"/>
        <v>1718.9377674</v>
      </c>
      <c r="BJ23" s="243">
        <f t="shared" si="29"/>
        <v>1868.37</v>
      </c>
      <c r="BK23" s="243">
        <f t="shared" si="30"/>
        <v>1868.37</v>
      </c>
      <c r="BL23" s="243">
        <f t="shared" si="31"/>
        <v>1868.37</v>
      </c>
      <c r="BM23" s="243">
        <f t="shared" si="32"/>
        <v>1868.37</v>
      </c>
      <c r="BN23" s="243">
        <f t="shared" si="33"/>
        <v>1718.9377674</v>
      </c>
      <c r="BO23" s="243">
        <f t="shared" si="34"/>
        <v>1718.9377674</v>
      </c>
      <c r="BP23" s="243">
        <f t="shared" si="35"/>
        <v>1718.9377674</v>
      </c>
      <c r="BQ23" s="243">
        <f t="shared" si="36"/>
        <v>1718.9377674</v>
      </c>
      <c r="BR23" s="243">
        <f t="shared" si="37"/>
        <v>1868.37</v>
      </c>
      <c r="BS23" s="243">
        <f t="shared" si="38"/>
        <v>1868.37</v>
      </c>
      <c r="BT23" s="243">
        <f t="shared" si="39"/>
        <v>1868.37</v>
      </c>
      <c r="BU23" s="243">
        <f t="shared" si="40"/>
        <v>1868.37</v>
      </c>
      <c r="BW23" s="314">
        <f>VLOOKUP($D23,'2018 Plan Data'!$A$4:$T$2000,13,FALSE)</f>
        <v>1718.9377674</v>
      </c>
      <c r="BX23" s="314">
        <f>VLOOKUP($D23,'2018 Plan Data'!$A$4:$T$2000,14,FALSE)</f>
        <v>1718.9377674</v>
      </c>
      <c r="BY23" s="314">
        <f>VLOOKUP($D23,'2018 Plan Data'!$A$4:$T$2000,15,FALSE)</f>
        <v>1718.9377674</v>
      </c>
      <c r="BZ23" s="314">
        <f>VLOOKUP($D23,'2018 Plan Data'!$A$4:$T$2000,16,FALSE)</f>
        <v>1718.9377674</v>
      </c>
      <c r="CA23" s="314">
        <f>VLOOKUP($D23,'2018 Plan Data'!$A$4:$T$2000,17,FALSE)</f>
        <v>1868.37</v>
      </c>
      <c r="CB23" s="314">
        <f>VLOOKUP($D23,'2018 Plan Data'!$A$4:$T$2000,18,FALSE)</f>
        <v>1868.37</v>
      </c>
      <c r="CC23" s="314">
        <f>VLOOKUP($D23,'2018 Plan Data'!$A$4:$T$2000,19,FALSE)</f>
        <v>1868.37</v>
      </c>
      <c r="CD23" s="314">
        <f>VLOOKUP($D23,'2018 Plan Data'!$A$4:$T$2000,20,FALSE)</f>
        <v>1868.37</v>
      </c>
      <c r="CE23" t="b">
        <f t="shared" si="41"/>
        <v>1</v>
      </c>
      <c r="CF23" t="b">
        <f t="shared" si="42"/>
        <v>1</v>
      </c>
      <c r="CG23" t="b">
        <f t="shared" si="43"/>
        <v>1</v>
      </c>
      <c r="CH23" t="b">
        <f t="shared" si="44"/>
        <v>1</v>
      </c>
      <c r="CI23" t="b">
        <f t="shared" si="45"/>
        <v>1</v>
      </c>
      <c r="CJ23" t="b">
        <f t="shared" si="46"/>
        <v>1</v>
      </c>
      <c r="CK23" t="b">
        <f t="shared" si="47"/>
        <v>1</v>
      </c>
      <c r="CL23" t="b">
        <f t="shared" si="48"/>
        <v>1</v>
      </c>
    </row>
    <row r="24" spans="1:349" ht="15" customHeight="1" x14ac:dyDescent="0.35">
      <c r="A24" s="585">
        <f t="shared" si="2"/>
        <v>889</v>
      </c>
      <c r="B24" t="str">
        <f t="shared" si="3"/>
        <v>Residential_Public Housing</v>
      </c>
      <c r="D24" s="445">
        <v>889</v>
      </c>
      <c r="E24" s="445" t="s">
        <v>78</v>
      </c>
      <c r="F24" s="600" t="str">
        <f>VLOOKUP(G24,Sheet4!$D$6:$E$22,2,FALSE)</f>
        <v>Public Housing</v>
      </c>
      <c r="G24" s="445" t="s">
        <v>1072</v>
      </c>
      <c r="H24" s="673" t="s">
        <v>1770</v>
      </c>
      <c r="I24" s="232"/>
      <c r="J24" s="18" t="s">
        <v>7</v>
      </c>
      <c r="K24" s="18" t="s">
        <v>363</v>
      </c>
      <c r="L24" s="602" t="s">
        <v>1715</v>
      </c>
      <c r="M24" s="600">
        <v>1</v>
      </c>
      <c r="O24" s="72" t="str">
        <f t="shared" si="4"/>
        <v>Dual Fuel</v>
      </c>
      <c r="P24" s="7">
        <f>VLOOKUP(D24,'2018 Plan Data'!$A$4:$K$1000,11,FALSE)</f>
        <v>20</v>
      </c>
      <c r="Q24" s="652">
        <f>VLOOKUP(D24,'2018 Plan Data'!$A$4:$L$1000,12,FALSE)</f>
        <v>0</v>
      </c>
      <c r="R24" s="314">
        <f>'RES Shell'!Q36</f>
        <v>358.13512873654139</v>
      </c>
      <c r="T24" s="314">
        <f>'RES Shell'!R36</f>
        <v>0.19420800000000002</v>
      </c>
      <c r="V24" s="314">
        <f>'RES Shell'!S36</f>
        <v>183.45506482091847</v>
      </c>
      <c r="W24" s="314">
        <v>0</v>
      </c>
      <c r="X24" s="310"/>
      <c r="Y24" s="310"/>
      <c r="Z24" s="310"/>
      <c r="AA24" s="310"/>
      <c r="AB24" s="310"/>
      <c r="AC24" s="310"/>
      <c r="AD24" s="309">
        <f t="shared" si="49"/>
        <v>1</v>
      </c>
      <c r="AE24" s="309">
        <f t="shared" si="6"/>
        <v>1</v>
      </c>
      <c r="AF24" s="309">
        <f t="shared" si="6"/>
        <v>1</v>
      </c>
      <c r="AG24" s="309">
        <f t="shared" si="6"/>
        <v>1</v>
      </c>
      <c r="AH24" s="314">
        <f t="shared" si="7"/>
        <v>358.13512873654139</v>
      </c>
      <c r="AI24" s="314">
        <f t="shared" si="8"/>
        <v>358.13512873654139</v>
      </c>
      <c r="AJ24" s="314">
        <f t="shared" si="9"/>
        <v>358.13512873654139</v>
      </c>
      <c r="AK24" s="314">
        <f t="shared" si="10"/>
        <v>358.13512873654139</v>
      </c>
      <c r="AL24" s="309">
        <f t="shared" si="11"/>
        <v>1</v>
      </c>
      <c r="AM24" s="309">
        <f t="shared" si="12"/>
        <v>1</v>
      </c>
      <c r="AN24" s="309">
        <f t="shared" si="13"/>
        <v>1</v>
      </c>
      <c r="AO24" s="309">
        <f t="shared" si="14"/>
        <v>1</v>
      </c>
      <c r="AP24" s="446">
        <f t="shared" si="15"/>
        <v>0.19420800000000002</v>
      </c>
      <c r="AQ24" s="446">
        <f t="shared" si="16"/>
        <v>0.19420800000000002</v>
      </c>
      <c r="AR24" s="446">
        <f t="shared" si="17"/>
        <v>0.19420800000000002</v>
      </c>
      <c r="AS24" s="446">
        <f t="shared" si="18"/>
        <v>0.19420800000000002</v>
      </c>
      <c r="AT24" s="309">
        <f t="shared" si="50"/>
        <v>1</v>
      </c>
      <c r="AU24" s="309">
        <f t="shared" si="20"/>
        <v>1</v>
      </c>
      <c r="AV24" s="309">
        <f t="shared" si="20"/>
        <v>1</v>
      </c>
      <c r="AW24" s="309">
        <f t="shared" si="20"/>
        <v>1</v>
      </c>
      <c r="AX24" s="243">
        <f t="shared" si="21"/>
        <v>183.45506482091847</v>
      </c>
      <c r="AY24" s="243">
        <f t="shared" si="22"/>
        <v>183.45506482091847</v>
      </c>
      <c r="AZ24" s="243">
        <f t="shared" si="23"/>
        <v>183.45506482091847</v>
      </c>
      <c r="BA24" s="243">
        <f t="shared" si="24"/>
        <v>183.45506482091847</v>
      </c>
      <c r="BB24" s="243">
        <f>VLOOKUP($D24,'2018 Plan Data'!$A$4:$K$2000,6,FALSE)</f>
        <v>9</v>
      </c>
      <c r="BC24" s="243">
        <f>VLOOKUP($D24,'2018 Plan Data'!$A$4:$K$2000,7,FALSE)</f>
        <v>9</v>
      </c>
      <c r="BD24" s="243">
        <f>VLOOKUP($D24,'2018 Plan Data'!$A$4:$K$2000,8,FALSE)</f>
        <v>9</v>
      </c>
      <c r="BE24" s="243">
        <f>VLOOKUP($D24,'2018 Plan Data'!$A$4:$K$2000,9,FALSE)</f>
        <v>9</v>
      </c>
      <c r="BF24" s="243">
        <f t="shared" si="25"/>
        <v>3223.2161586288726</v>
      </c>
      <c r="BG24" s="243">
        <f t="shared" si="26"/>
        <v>3223.2161586288726</v>
      </c>
      <c r="BH24" s="243">
        <f t="shared" si="27"/>
        <v>3223.2161586288726</v>
      </c>
      <c r="BI24" s="243">
        <f t="shared" si="28"/>
        <v>3223.2161586288726</v>
      </c>
      <c r="BJ24" s="243">
        <f t="shared" si="29"/>
        <v>1651.0955833882663</v>
      </c>
      <c r="BK24" s="243">
        <f t="shared" si="30"/>
        <v>1651.0955833882663</v>
      </c>
      <c r="BL24" s="243">
        <f t="shared" si="31"/>
        <v>1651.0955833882663</v>
      </c>
      <c r="BM24" s="243">
        <f t="shared" si="32"/>
        <v>1651.0955833882663</v>
      </c>
      <c r="BN24" s="243">
        <f t="shared" si="33"/>
        <v>3223.2161586288726</v>
      </c>
      <c r="BO24" s="243">
        <f t="shared" si="34"/>
        <v>3223.2161586288726</v>
      </c>
      <c r="BP24" s="243">
        <f t="shared" si="35"/>
        <v>3223.2161586288726</v>
      </c>
      <c r="BQ24" s="243">
        <f t="shared" si="36"/>
        <v>3223.2161586288726</v>
      </c>
      <c r="BR24" s="243">
        <f t="shared" si="37"/>
        <v>1651.0955833882663</v>
      </c>
      <c r="BS24" s="243">
        <f t="shared" si="38"/>
        <v>1651.0955833882663</v>
      </c>
      <c r="BT24" s="243">
        <f t="shared" si="39"/>
        <v>1651.0955833882663</v>
      </c>
      <c r="BU24" s="243">
        <f t="shared" si="40"/>
        <v>1651.0955833882663</v>
      </c>
      <c r="BV24" s="446"/>
      <c r="BW24" s="314">
        <f>VLOOKUP($D24,'2018 Plan Data'!$A$4:$T$2000,13,FALSE)</f>
        <v>3223.2161586288726</v>
      </c>
      <c r="BX24" s="314">
        <f>VLOOKUP($D24,'2018 Plan Data'!$A$4:$T$2000,14,FALSE)</f>
        <v>3223.2161586288726</v>
      </c>
      <c r="BY24" s="314">
        <f>VLOOKUP($D24,'2018 Plan Data'!$A$4:$T$2000,15,FALSE)</f>
        <v>3223.2161586288726</v>
      </c>
      <c r="BZ24" s="314">
        <f>VLOOKUP($D24,'2018 Plan Data'!$A$4:$T$2000,16,FALSE)</f>
        <v>3223.2161586288726</v>
      </c>
      <c r="CA24" s="314">
        <f>VLOOKUP($D24,'2018 Plan Data'!$A$4:$T$2000,17,FALSE)</f>
        <v>1651.0955833882663</v>
      </c>
      <c r="CB24" s="314">
        <f>VLOOKUP($D24,'2018 Plan Data'!$A$4:$T$2000,18,FALSE)</f>
        <v>1651.0955833882663</v>
      </c>
      <c r="CC24" s="314">
        <f>VLOOKUP($D24,'2018 Plan Data'!$A$4:$T$2000,19,FALSE)</f>
        <v>1651.0955833882663</v>
      </c>
      <c r="CD24" s="314">
        <f>VLOOKUP($D24,'2018 Plan Data'!$A$4:$T$2000,20,FALSE)</f>
        <v>1651.0955833882663</v>
      </c>
      <c r="CE24" t="b">
        <f t="shared" si="41"/>
        <v>1</v>
      </c>
      <c r="CF24" t="b">
        <f t="shared" si="42"/>
        <v>1</v>
      </c>
      <c r="CG24" t="b">
        <f t="shared" si="43"/>
        <v>1</v>
      </c>
      <c r="CH24" t="b">
        <f t="shared" si="44"/>
        <v>1</v>
      </c>
      <c r="CI24" t="b">
        <f t="shared" si="45"/>
        <v>1</v>
      </c>
      <c r="CJ24" t="b">
        <f t="shared" si="46"/>
        <v>1</v>
      </c>
      <c r="CK24" t="b">
        <f t="shared" si="47"/>
        <v>1</v>
      </c>
      <c r="CL24" t="b">
        <f t="shared" si="48"/>
        <v>1</v>
      </c>
    </row>
    <row r="25" spans="1:349" s="295" customFormat="1" ht="15" customHeight="1" x14ac:dyDescent="0.35">
      <c r="A25" s="585">
        <f t="shared" si="2"/>
        <v>854</v>
      </c>
      <c r="B25" t="str">
        <f t="shared" si="3"/>
        <v>Residential_Public Housing</v>
      </c>
      <c r="C25"/>
      <c r="D25" s="445">
        <v>854</v>
      </c>
      <c r="E25" s="445" t="s">
        <v>78</v>
      </c>
      <c r="F25" s="600" t="str">
        <f>VLOOKUP(G25,Sheet4!$D$6:$E$22,2,FALSE)</f>
        <v>Public Housing</v>
      </c>
      <c r="G25" s="445" t="s">
        <v>1072</v>
      </c>
      <c r="H25" s="673" t="s">
        <v>1778</v>
      </c>
      <c r="I25" s="232"/>
      <c r="J25" s="18" t="s">
        <v>7</v>
      </c>
      <c r="K25" s="18" t="s">
        <v>767</v>
      </c>
      <c r="L25" s="602" t="s">
        <v>1718</v>
      </c>
      <c r="M25" s="600">
        <v>1</v>
      </c>
      <c r="N25"/>
      <c r="O25" s="72" t="str">
        <f t="shared" si="4"/>
        <v>Gas</v>
      </c>
      <c r="P25" s="7">
        <f>VLOOKUP(D25,'2018 Plan Data'!$A$4:$K$1000,11,FALSE)</f>
        <v>20</v>
      </c>
      <c r="Q25" s="652">
        <f>VLOOKUP(D25,'2018 Plan Data'!$A$4:$L$1000,12,FALSE)</f>
        <v>0</v>
      </c>
      <c r="R25" s="318">
        <v>0</v>
      </c>
      <c r="S25" s="318"/>
      <c r="T25" s="318">
        <v>0</v>
      </c>
      <c r="U25" s="318"/>
      <c r="V25" s="318">
        <f>'RES HVAC'!O158</f>
        <v>149.11346153846137</v>
      </c>
      <c r="W25" s="318">
        <v>0</v>
      </c>
      <c r="X25" s="319"/>
      <c r="Y25" s="319"/>
      <c r="Z25" s="319"/>
      <c r="AA25" s="319"/>
      <c r="AB25" s="319"/>
      <c r="AC25" s="319"/>
      <c r="AD25" s="309">
        <f t="shared" si="49"/>
        <v>1</v>
      </c>
      <c r="AE25" s="309">
        <f t="shared" ref="AE25:AG44" si="51">AD25</f>
        <v>1</v>
      </c>
      <c r="AF25" s="309">
        <f t="shared" si="51"/>
        <v>1</v>
      </c>
      <c r="AG25" s="309">
        <f t="shared" si="51"/>
        <v>1</v>
      </c>
      <c r="AH25" s="314">
        <f t="shared" si="7"/>
        <v>0</v>
      </c>
      <c r="AI25" s="314">
        <f t="shared" si="8"/>
        <v>0</v>
      </c>
      <c r="AJ25" s="314">
        <f t="shared" si="9"/>
        <v>0</v>
      </c>
      <c r="AK25" s="314">
        <f t="shared" si="10"/>
        <v>0</v>
      </c>
      <c r="AL25" s="309">
        <f t="shared" si="11"/>
        <v>1</v>
      </c>
      <c r="AM25" s="309">
        <f t="shared" si="12"/>
        <v>1</v>
      </c>
      <c r="AN25" s="309">
        <f t="shared" si="13"/>
        <v>1</v>
      </c>
      <c r="AO25" s="309">
        <f t="shared" si="14"/>
        <v>1</v>
      </c>
      <c r="AP25" s="446">
        <f t="shared" si="15"/>
        <v>0</v>
      </c>
      <c r="AQ25" s="446">
        <f t="shared" si="16"/>
        <v>0</v>
      </c>
      <c r="AR25" s="446">
        <f t="shared" si="17"/>
        <v>0</v>
      </c>
      <c r="AS25" s="446">
        <f t="shared" si="18"/>
        <v>0</v>
      </c>
      <c r="AT25" s="309">
        <f t="shared" si="50"/>
        <v>1</v>
      </c>
      <c r="AU25" s="309">
        <f t="shared" ref="AU25:AW44" si="52">AT25</f>
        <v>1</v>
      </c>
      <c r="AV25" s="309">
        <f t="shared" si="52"/>
        <v>1</v>
      </c>
      <c r="AW25" s="309">
        <f t="shared" si="52"/>
        <v>1</v>
      </c>
      <c r="AX25" s="243">
        <f t="shared" si="21"/>
        <v>149.11346153846137</v>
      </c>
      <c r="AY25" s="243">
        <f t="shared" si="22"/>
        <v>149.11346153846137</v>
      </c>
      <c r="AZ25" s="243">
        <f t="shared" si="23"/>
        <v>149.11346153846137</v>
      </c>
      <c r="BA25" s="243">
        <f t="shared" si="24"/>
        <v>149.11346153846137</v>
      </c>
      <c r="BB25" s="243">
        <f>VLOOKUP($D25,'2018 Plan Data'!$A$4:$K$2000,6,FALSE)</f>
        <v>5</v>
      </c>
      <c r="BC25" s="243">
        <f>VLOOKUP($D25,'2018 Plan Data'!$A$4:$K$2000,7,FALSE)</f>
        <v>5</v>
      </c>
      <c r="BD25" s="243">
        <f>VLOOKUP($D25,'2018 Plan Data'!$A$4:$K$2000,8,FALSE)</f>
        <v>5</v>
      </c>
      <c r="BE25" s="243">
        <f>VLOOKUP($D25,'2018 Plan Data'!$A$4:$K$2000,9,FALSE)</f>
        <v>5</v>
      </c>
      <c r="BF25" s="243">
        <f t="shared" si="25"/>
        <v>0</v>
      </c>
      <c r="BG25" s="243">
        <f t="shared" si="26"/>
        <v>0</v>
      </c>
      <c r="BH25" s="243">
        <f t="shared" si="27"/>
        <v>0</v>
      </c>
      <c r="BI25" s="243">
        <f t="shared" si="28"/>
        <v>0</v>
      </c>
      <c r="BJ25" s="243">
        <f t="shared" si="29"/>
        <v>745.56730769230683</v>
      </c>
      <c r="BK25" s="243">
        <f t="shared" si="30"/>
        <v>745.56730769230683</v>
      </c>
      <c r="BL25" s="243">
        <f t="shared" si="31"/>
        <v>745.56730769230683</v>
      </c>
      <c r="BM25" s="243">
        <f t="shared" si="32"/>
        <v>745.56730769230683</v>
      </c>
      <c r="BN25" s="243">
        <f t="shared" si="33"/>
        <v>0</v>
      </c>
      <c r="BO25" s="243">
        <f t="shared" si="34"/>
        <v>0</v>
      </c>
      <c r="BP25" s="243">
        <f t="shared" si="35"/>
        <v>0</v>
      </c>
      <c r="BQ25" s="243">
        <f t="shared" si="36"/>
        <v>0</v>
      </c>
      <c r="BR25" s="243">
        <f t="shared" si="37"/>
        <v>745.56730769230683</v>
      </c>
      <c r="BS25" s="243">
        <f t="shared" si="38"/>
        <v>745.56730769230683</v>
      </c>
      <c r="BT25" s="243">
        <f t="shared" si="39"/>
        <v>745.56730769230683</v>
      </c>
      <c r="BU25" s="243">
        <f t="shared" si="40"/>
        <v>745.56730769230683</v>
      </c>
      <c r="BW25" s="314">
        <f>VLOOKUP($D25,'2018 Plan Data'!$A$4:$T$2000,13,FALSE)</f>
        <v>0</v>
      </c>
      <c r="BX25" s="314">
        <f>VLOOKUP($D25,'2018 Plan Data'!$A$4:$T$2000,14,FALSE)</f>
        <v>0</v>
      </c>
      <c r="BY25" s="314">
        <f>VLOOKUP($D25,'2018 Plan Data'!$A$4:$T$2000,15,FALSE)</f>
        <v>0</v>
      </c>
      <c r="BZ25" s="314">
        <f>VLOOKUP($D25,'2018 Plan Data'!$A$4:$T$2000,16,FALSE)</f>
        <v>0</v>
      </c>
      <c r="CA25" s="314">
        <f>VLOOKUP($D25,'2018 Plan Data'!$A$4:$T$2000,17,FALSE)</f>
        <v>704.60526315789491</v>
      </c>
      <c r="CB25" s="314">
        <f>VLOOKUP($D25,'2018 Plan Data'!$A$4:$T$2000,18,FALSE)</f>
        <v>704.60526315789491</v>
      </c>
      <c r="CC25" s="314">
        <f>VLOOKUP($D25,'2018 Plan Data'!$A$4:$T$2000,19,FALSE)</f>
        <v>704.60526315789491</v>
      </c>
      <c r="CD25" s="314">
        <f>VLOOKUP($D25,'2018 Plan Data'!$A$4:$T$2000,20,FALSE)</f>
        <v>704.60526315789491</v>
      </c>
      <c r="CE25" t="b">
        <f t="shared" si="41"/>
        <v>1</v>
      </c>
      <c r="CF25" t="b">
        <f t="shared" si="42"/>
        <v>1</v>
      </c>
      <c r="CG25" t="b">
        <f t="shared" si="43"/>
        <v>1</v>
      </c>
      <c r="CH25" t="b">
        <f t="shared" si="44"/>
        <v>1</v>
      </c>
      <c r="CI25" t="b">
        <f t="shared" si="45"/>
        <v>0</v>
      </c>
      <c r="CJ25" t="b">
        <f t="shared" si="46"/>
        <v>0</v>
      </c>
      <c r="CK25" t="b">
        <f t="shared" si="47"/>
        <v>0</v>
      </c>
      <c r="CL25" t="b">
        <f t="shared" si="48"/>
        <v>0</v>
      </c>
      <c r="CM25" s="445"/>
      <c r="CN25" s="445"/>
      <c r="CO25" s="445"/>
      <c r="CP25" s="445"/>
      <c r="CQ25" s="445"/>
      <c r="CR25" s="445"/>
      <c r="CS25" s="445"/>
      <c r="CT25" s="445"/>
      <c r="CU25" s="445"/>
      <c r="CV25" s="445"/>
      <c r="CW25" s="445"/>
      <c r="CX25" s="445"/>
      <c r="CY25" s="445"/>
      <c r="CZ25" s="445"/>
      <c r="DA25" s="445"/>
      <c r="DB25" s="445"/>
      <c r="DC25" s="445"/>
      <c r="DD25" s="445"/>
      <c r="DE25" s="445"/>
      <c r="DF25" s="445"/>
      <c r="DG25" s="445"/>
      <c r="DH25" s="445"/>
      <c r="DI25" s="445"/>
      <c r="DJ25" s="445"/>
      <c r="DK25" s="445"/>
      <c r="DL25" s="445"/>
      <c r="DM25" s="445"/>
      <c r="DN25" s="445"/>
      <c r="DO25" s="445"/>
      <c r="DP25" s="445"/>
      <c r="DQ25" s="445"/>
      <c r="DR25" s="445"/>
      <c r="DS25" s="445"/>
      <c r="DT25" s="445"/>
      <c r="DU25" s="445"/>
      <c r="DV25" s="445"/>
      <c r="DW25" s="445"/>
      <c r="DX25" s="445"/>
      <c r="DY25" s="445"/>
      <c r="DZ25" s="445"/>
      <c r="EA25" s="445"/>
      <c r="EB25" s="445"/>
      <c r="EC25" s="445"/>
      <c r="ED25" s="445"/>
      <c r="EE25" s="445"/>
      <c r="EF25" s="445"/>
      <c r="EG25" s="445"/>
      <c r="EH25" s="445"/>
      <c r="EI25" s="445"/>
      <c r="EJ25" s="445"/>
      <c r="EK25" s="445"/>
      <c r="EL25" s="445"/>
      <c r="EM25" s="445"/>
      <c r="EN25" s="445"/>
      <c r="EO25" s="445"/>
      <c r="EP25" s="445"/>
      <c r="EQ25" s="445"/>
      <c r="ER25" s="445"/>
      <c r="ES25" s="445"/>
      <c r="ET25" s="445"/>
      <c r="EU25" s="445"/>
      <c r="EV25" s="445"/>
      <c r="EW25" s="445"/>
      <c r="EX25" s="445"/>
      <c r="EY25" s="445"/>
      <c r="EZ25" s="445"/>
      <c r="FA25" s="445"/>
      <c r="FB25" s="445"/>
      <c r="FC25" s="445"/>
      <c r="FD25" s="445"/>
      <c r="FE25" s="445"/>
      <c r="FF25" s="445"/>
      <c r="FG25" s="445"/>
      <c r="FH25" s="445"/>
      <c r="FI25" s="445"/>
      <c r="FJ25" s="445"/>
      <c r="FK25" s="445"/>
      <c r="FL25" s="445"/>
      <c r="FM25" s="445"/>
      <c r="FN25" s="445"/>
      <c r="FO25" s="445"/>
      <c r="FP25" s="445"/>
      <c r="FQ25" s="445"/>
      <c r="FR25" s="445"/>
      <c r="FS25" s="445"/>
      <c r="FT25" s="445"/>
      <c r="FU25" s="445"/>
      <c r="FV25" s="445"/>
      <c r="FW25" s="445"/>
      <c r="FX25" s="445"/>
      <c r="FY25" s="445"/>
      <c r="FZ25" s="445"/>
      <c r="GA25" s="445"/>
      <c r="GB25" s="445"/>
      <c r="GC25" s="445"/>
      <c r="GD25" s="445"/>
      <c r="GE25" s="445"/>
      <c r="GF25" s="445"/>
      <c r="GG25" s="445"/>
      <c r="GH25" s="445"/>
      <c r="GI25" s="445"/>
      <c r="GJ25" s="445"/>
      <c r="GK25" s="445"/>
      <c r="GL25" s="445"/>
      <c r="GM25" s="445"/>
      <c r="GN25" s="445"/>
      <c r="GO25" s="445"/>
      <c r="GP25" s="445"/>
      <c r="GQ25" s="445"/>
      <c r="GR25" s="445"/>
      <c r="GS25" s="445"/>
      <c r="GT25" s="445"/>
      <c r="GU25" s="445"/>
      <c r="GV25" s="445"/>
      <c r="GW25" s="445"/>
      <c r="GX25" s="445"/>
      <c r="GY25" s="445"/>
      <c r="GZ25" s="445"/>
      <c r="HA25" s="445"/>
      <c r="HB25" s="445"/>
      <c r="HC25" s="445"/>
      <c r="HD25" s="445"/>
      <c r="HE25" s="445"/>
      <c r="HF25" s="445"/>
      <c r="HG25" s="445"/>
      <c r="HH25" s="445"/>
      <c r="HI25" s="445"/>
      <c r="HJ25" s="445"/>
      <c r="HK25" s="445"/>
      <c r="HL25" s="445"/>
      <c r="HM25" s="445"/>
      <c r="HN25" s="445"/>
      <c r="HO25" s="445"/>
      <c r="HP25" s="445"/>
      <c r="HQ25" s="445"/>
      <c r="HR25" s="445"/>
      <c r="HS25" s="445"/>
      <c r="HT25" s="445"/>
      <c r="HU25" s="445"/>
      <c r="HV25" s="445"/>
      <c r="HW25" s="445"/>
      <c r="HX25" s="445"/>
      <c r="HY25" s="445"/>
      <c r="HZ25" s="445"/>
      <c r="IA25" s="445"/>
      <c r="IB25" s="445"/>
      <c r="IC25" s="445"/>
      <c r="ID25" s="445"/>
      <c r="IE25" s="445"/>
      <c r="IF25" s="445"/>
      <c r="IG25" s="445"/>
      <c r="IH25" s="445"/>
      <c r="II25" s="445"/>
      <c r="IJ25" s="445"/>
      <c r="IK25" s="445"/>
      <c r="IL25" s="445"/>
      <c r="IM25" s="445"/>
      <c r="IN25" s="445"/>
      <c r="IO25" s="445"/>
      <c r="IP25" s="445"/>
      <c r="IQ25" s="445"/>
      <c r="IR25" s="445"/>
      <c r="IS25" s="445"/>
      <c r="IT25" s="445"/>
      <c r="IU25" s="445"/>
      <c r="IV25" s="445"/>
      <c r="IW25" s="445"/>
      <c r="IX25" s="445"/>
      <c r="IY25" s="445"/>
      <c r="IZ25" s="445"/>
      <c r="JA25" s="445"/>
      <c r="JB25" s="445"/>
      <c r="JC25" s="445"/>
      <c r="JD25" s="445"/>
      <c r="JE25" s="445"/>
      <c r="JF25" s="445"/>
      <c r="JG25" s="445"/>
      <c r="JH25" s="445"/>
      <c r="JI25" s="445"/>
      <c r="JJ25" s="445"/>
      <c r="JK25" s="445"/>
      <c r="JL25" s="445"/>
      <c r="JM25" s="445"/>
      <c r="JN25" s="445"/>
      <c r="JO25" s="445"/>
      <c r="JP25" s="445"/>
      <c r="JQ25" s="445"/>
      <c r="JR25" s="445"/>
      <c r="JS25" s="445"/>
      <c r="JT25" s="445"/>
      <c r="JU25" s="445"/>
      <c r="JV25" s="445"/>
      <c r="JW25" s="445"/>
      <c r="JX25" s="445"/>
      <c r="JY25" s="445"/>
      <c r="JZ25" s="445"/>
      <c r="KA25" s="445"/>
      <c r="KB25" s="445"/>
      <c r="KC25" s="445"/>
      <c r="KD25" s="445"/>
      <c r="KE25" s="445"/>
      <c r="KF25" s="445"/>
      <c r="KG25" s="445"/>
      <c r="KH25" s="445"/>
      <c r="KI25" s="445"/>
      <c r="KJ25" s="445"/>
      <c r="KK25" s="445"/>
      <c r="KL25" s="445"/>
      <c r="KM25" s="445"/>
      <c r="KN25" s="445"/>
      <c r="KO25" s="445"/>
      <c r="KP25" s="445"/>
      <c r="KQ25" s="445"/>
      <c r="KR25" s="445"/>
      <c r="KS25" s="445"/>
      <c r="KT25" s="445"/>
      <c r="KU25" s="445"/>
      <c r="KV25" s="445"/>
      <c r="KW25" s="445"/>
      <c r="KX25" s="445"/>
      <c r="KY25" s="445"/>
      <c r="KZ25" s="445"/>
      <c r="LA25" s="445"/>
      <c r="LB25" s="445"/>
      <c r="LC25" s="445"/>
      <c r="LD25" s="445"/>
      <c r="LE25" s="445"/>
      <c r="LF25" s="445"/>
      <c r="LG25" s="445"/>
      <c r="LH25" s="445"/>
      <c r="LI25" s="445"/>
      <c r="LJ25" s="445"/>
      <c r="LK25" s="445"/>
      <c r="LL25" s="445"/>
      <c r="LM25" s="445"/>
      <c r="LN25" s="445"/>
      <c r="LO25" s="445"/>
      <c r="LP25" s="445"/>
      <c r="LQ25" s="445"/>
      <c r="LR25" s="445"/>
      <c r="LS25" s="445"/>
      <c r="LT25" s="445"/>
      <c r="LU25" s="445"/>
      <c r="LV25" s="445"/>
      <c r="LW25" s="445"/>
      <c r="LX25" s="445"/>
      <c r="LY25" s="445"/>
      <c r="LZ25" s="445"/>
      <c r="MA25" s="445"/>
      <c r="MB25" s="445"/>
      <c r="MC25" s="445"/>
      <c r="MD25" s="445"/>
      <c r="ME25" s="445"/>
      <c r="MF25" s="445"/>
      <c r="MG25" s="445"/>
      <c r="MH25" s="445"/>
      <c r="MI25" s="445"/>
      <c r="MJ25" s="445"/>
      <c r="MK25" s="445"/>
    </row>
    <row r="26" spans="1:349" s="295" customFormat="1" ht="15" customHeight="1" x14ac:dyDescent="0.35">
      <c r="A26" s="585">
        <f t="shared" si="2"/>
        <v>916</v>
      </c>
      <c r="B26" t="str">
        <f t="shared" si="3"/>
        <v>Residential_Public Housing</v>
      </c>
      <c r="C26"/>
      <c r="D26" s="445">
        <v>916</v>
      </c>
      <c r="E26" s="445" t="s">
        <v>78</v>
      </c>
      <c r="F26" s="600" t="str">
        <f>VLOOKUP(G26,Sheet4!$D$6:$E$22,2,FALSE)</f>
        <v>Public Housing</v>
      </c>
      <c r="G26" s="445" t="s">
        <v>1072</v>
      </c>
      <c r="H26" s="673" t="s">
        <v>1781</v>
      </c>
      <c r="I26" s="232"/>
      <c r="J26" s="18" t="s">
        <v>7</v>
      </c>
      <c r="K26" s="18" t="s">
        <v>506</v>
      </c>
      <c r="L26" s="602" t="s">
        <v>1270</v>
      </c>
      <c r="M26" s="600">
        <v>1</v>
      </c>
      <c r="N26"/>
      <c r="O26" s="72" t="str">
        <f t="shared" si="4"/>
        <v>Dual Fuel</v>
      </c>
      <c r="P26" s="7">
        <f>VLOOKUP(D26,'2018 Plan Data'!$A$4:$K$1000,11,FALSE)</f>
        <v>10</v>
      </c>
      <c r="Q26" s="652">
        <f>VLOOKUP(D26,'2018 Plan Data'!$A$4:$L$1000,12,FALSE)</f>
        <v>0</v>
      </c>
      <c r="R26" s="318">
        <f>'RES HVAC'!S20</f>
        <v>296.2912427804651</v>
      </c>
      <c r="S26" s="318"/>
      <c r="T26" s="318">
        <f>'RES HVAC'!T20</f>
        <v>0.11213742331288343</v>
      </c>
      <c r="U26" s="318"/>
      <c r="V26" s="318">
        <f>'RES HVAC'!O20</f>
        <v>74.045999999999992</v>
      </c>
      <c r="W26" s="318">
        <v>0</v>
      </c>
      <c r="X26" s="319"/>
      <c r="Y26" s="319"/>
      <c r="Z26" s="319"/>
      <c r="AA26" s="319"/>
      <c r="AB26" s="319"/>
      <c r="AC26" s="319"/>
      <c r="AD26" s="309">
        <f t="shared" si="49"/>
        <v>1</v>
      </c>
      <c r="AE26" s="309">
        <f t="shared" si="51"/>
        <v>1</v>
      </c>
      <c r="AF26" s="309">
        <f t="shared" si="51"/>
        <v>1</v>
      </c>
      <c r="AG26" s="309">
        <f t="shared" si="51"/>
        <v>1</v>
      </c>
      <c r="AH26" s="314">
        <f t="shared" si="7"/>
        <v>296.2912427804651</v>
      </c>
      <c r="AI26" s="314">
        <f t="shared" si="8"/>
        <v>296.2912427804651</v>
      </c>
      <c r="AJ26" s="314">
        <f t="shared" si="9"/>
        <v>296.2912427804651</v>
      </c>
      <c r="AK26" s="314">
        <f t="shared" si="10"/>
        <v>296.2912427804651</v>
      </c>
      <c r="AL26" s="309">
        <f t="shared" si="11"/>
        <v>1</v>
      </c>
      <c r="AM26" s="309">
        <f t="shared" si="12"/>
        <v>1</v>
      </c>
      <c r="AN26" s="309">
        <f t="shared" si="13"/>
        <v>1</v>
      </c>
      <c r="AO26" s="309">
        <f t="shared" si="14"/>
        <v>1</v>
      </c>
      <c r="AP26" s="446">
        <f t="shared" si="15"/>
        <v>0.11213742331288343</v>
      </c>
      <c r="AQ26" s="446">
        <f t="shared" si="16"/>
        <v>0.11213742331288343</v>
      </c>
      <c r="AR26" s="446">
        <f t="shared" si="17"/>
        <v>0.11213742331288343</v>
      </c>
      <c r="AS26" s="446">
        <f t="shared" si="18"/>
        <v>0.11213742331288343</v>
      </c>
      <c r="AT26" s="309">
        <f t="shared" si="50"/>
        <v>1</v>
      </c>
      <c r="AU26" s="309">
        <f t="shared" si="52"/>
        <v>1</v>
      </c>
      <c r="AV26" s="309">
        <f t="shared" si="52"/>
        <v>1</v>
      </c>
      <c r="AW26" s="309">
        <f t="shared" si="52"/>
        <v>1</v>
      </c>
      <c r="AX26" s="243">
        <f t="shared" si="21"/>
        <v>74.045999999999992</v>
      </c>
      <c r="AY26" s="243">
        <f t="shared" si="22"/>
        <v>74.045999999999992</v>
      </c>
      <c r="AZ26" s="243">
        <f t="shared" si="23"/>
        <v>74.045999999999992</v>
      </c>
      <c r="BA26" s="243">
        <f t="shared" si="24"/>
        <v>74.045999999999992</v>
      </c>
      <c r="BB26" s="243">
        <f>VLOOKUP($D26,'2018 Plan Data'!$A$4:$K$2000,6,FALSE)</f>
        <v>25</v>
      </c>
      <c r="BC26" s="243">
        <f>VLOOKUP($D26,'2018 Plan Data'!$A$4:$K$2000,7,FALSE)</f>
        <v>25</v>
      </c>
      <c r="BD26" s="243">
        <f>VLOOKUP($D26,'2018 Plan Data'!$A$4:$K$2000,8,FALSE)</f>
        <v>25</v>
      </c>
      <c r="BE26" s="243">
        <f>VLOOKUP($D26,'2018 Plan Data'!$A$4:$K$2000,9,FALSE)</f>
        <v>25</v>
      </c>
      <c r="BF26" s="243">
        <f t="shared" si="25"/>
        <v>7407.2810695116277</v>
      </c>
      <c r="BG26" s="243">
        <f t="shared" si="26"/>
        <v>7407.2810695116277</v>
      </c>
      <c r="BH26" s="243">
        <f t="shared" si="27"/>
        <v>7407.2810695116277</v>
      </c>
      <c r="BI26" s="243">
        <f t="shared" si="28"/>
        <v>7407.2810695116277</v>
      </c>
      <c r="BJ26" s="243">
        <f t="shared" si="29"/>
        <v>1851.1499999999999</v>
      </c>
      <c r="BK26" s="243">
        <f t="shared" si="30"/>
        <v>1851.1499999999999</v>
      </c>
      <c r="BL26" s="243">
        <f t="shared" si="31"/>
        <v>1851.1499999999999</v>
      </c>
      <c r="BM26" s="243">
        <f t="shared" si="32"/>
        <v>1851.1499999999999</v>
      </c>
      <c r="BN26" s="243">
        <f t="shared" si="33"/>
        <v>7407.2810695116277</v>
      </c>
      <c r="BO26" s="243">
        <f t="shared" si="34"/>
        <v>7407.2810695116277</v>
      </c>
      <c r="BP26" s="243">
        <f t="shared" si="35"/>
        <v>7407.2810695116277</v>
      </c>
      <c r="BQ26" s="243">
        <f t="shared" si="36"/>
        <v>7407.2810695116277</v>
      </c>
      <c r="BR26" s="243">
        <f t="shared" si="37"/>
        <v>1851.1499999999999</v>
      </c>
      <c r="BS26" s="243">
        <f t="shared" si="38"/>
        <v>1851.1499999999999</v>
      </c>
      <c r="BT26" s="243">
        <f t="shared" si="39"/>
        <v>1851.1499999999999</v>
      </c>
      <c r="BU26" s="243">
        <f t="shared" si="40"/>
        <v>1851.1499999999999</v>
      </c>
      <c r="BW26" s="314">
        <f>VLOOKUP($D26,'2018 Plan Data'!$A$4:$T$2000,13,FALSE)</f>
        <v>7169.6399035116283</v>
      </c>
      <c r="BX26" s="314">
        <f>VLOOKUP($D26,'2018 Plan Data'!$A$4:$T$2000,14,FALSE)</f>
        <v>7169.6399035116283</v>
      </c>
      <c r="BY26" s="314">
        <f>VLOOKUP($D26,'2018 Plan Data'!$A$4:$T$2000,15,FALSE)</f>
        <v>7169.6399035116283</v>
      </c>
      <c r="BZ26" s="314">
        <f>VLOOKUP($D26,'2018 Plan Data'!$A$4:$T$2000,16,FALSE)</f>
        <v>7169.6399035116283</v>
      </c>
      <c r="CA26" s="314">
        <f>VLOOKUP($D26,'2018 Plan Data'!$A$4:$T$2000,17,FALSE)</f>
        <v>1592.85</v>
      </c>
      <c r="CB26" s="314">
        <f>VLOOKUP($D26,'2018 Plan Data'!$A$4:$T$2000,18,FALSE)</f>
        <v>1592.85</v>
      </c>
      <c r="CC26" s="314">
        <f>VLOOKUP($D26,'2018 Plan Data'!$A$4:$T$2000,19,FALSE)</f>
        <v>1592.85</v>
      </c>
      <c r="CD26" s="314">
        <f>VLOOKUP($D26,'2018 Plan Data'!$A$4:$T$2000,20,FALSE)</f>
        <v>1592.85</v>
      </c>
      <c r="CE26" t="b">
        <f t="shared" si="41"/>
        <v>0</v>
      </c>
      <c r="CF26" t="b">
        <f t="shared" si="42"/>
        <v>0</v>
      </c>
      <c r="CG26" t="b">
        <f t="shared" si="43"/>
        <v>0</v>
      </c>
      <c r="CH26" t="b">
        <f t="shared" si="44"/>
        <v>0</v>
      </c>
      <c r="CI26" t="b">
        <f t="shared" si="45"/>
        <v>0</v>
      </c>
      <c r="CJ26" t="b">
        <f t="shared" si="46"/>
        <v>0</v>
      </c>
      <c r="CK26" t="b">
        <f t="shared" si="47"/>
        <v>0</v>
      </c>
      <c r="CL26" t="b">
        <f t="shared" si="48"/>
        <v>0</v>
      </c>
      <c r="CM26" s="445"/>
      <c r="CN26" s="445"/>
      <c r="CO26" s="445"/>
      <c r="CP26" s="445"/>
      <c r="CQ26" s="445"/>
      <c r="CR26" s="445"/>
      <c r="CS26" s="445"/>
      <c r="CT26" s="445"/>
      <c r="CU26" s="445"/>
      <c r="CV26" s="445"/>
      <c r="CW26" s="445"/>
      <c r="CX26" s="445"/>
      <c r="CY26" s="445"/>
      <c r="CZ26" s="445"/>
      <c r="DA26" s="445"/>
      <c r="DB26" s="445"/>
      <c r="DC26" s="445"/>
      <c r="DD26" s="445"/>
      <c r="DE26" s="445"/>
      <c r="DF26" s="445"/>
      <c r="DG26" s="445"/>
      <c r="DH26" s="445"/>
      <c r="DI26" s="445"/>
      <c r="DJ26" s="445"/>
      <c r="DK26" s="445"/>
      <c r="DL26" s="445"/>
      <c r="DM26" s="445"/>
      <c r="DN26" s="445"/>
      <c r="DO26" s="445"/>
      <c r="DP26" s="445"/>
      <c r="DQ26" s="445"/>
      <c r="DR26" s="445"/>
      <c r="DS26" s="445"/>
      <c r="DT26" s="445"/>
      <c r="DU26" s="445"/>
      <c r="DV26" s="445"/>
      <c r="DW26" s="445"/>
      <c r="DX26" s="445"/>
      <c r="DY26" s="445"/>
      <c r="DZ26" s="445"/>
      <c r="EA26" s="445"/>
      <c r="EB26" s="445"/>
      <c r="EC26" s="445"/>
      <c r="ED26" s="445"/>
      <c r="EE26" s="445"/>
      <c r="EF26" s="445"/>
      <c r="EG26" s="445"/>
      <c r="EH26" s="445"/>
      <c r="EI26" s="445"/>
      <c r="EJ26" s="445"/>
      <c r="EK26" s="445"/>
      <c r="EL26" s="445"/>
      <c r="EM26" s="445"/>
      <c r="EN26" s="445"/>
      <c r="EO26" s="445"/>
      <c r="EP26" s="445"/>
      <c r="EQ26" s="445"/>
      <c r="ER26" s="445"/>
      <c r="ES26" s="445"/>
      <c r="ET26" s="445"/>
      <c r="EU26" s="445"/>
      <c r="EV26" s="445"/>
      <c r="EW26" s="445"/>
      <c r="EX26" s="445"/>
      <c r="EY26" s="445"/>
      <c r="EZ26" s="445"/>
      <c r="FA26" s="445"/>
      <c r="FB26" s="445"/>
      <c r="FC26" s="445"/>
      <c r="FD26" s="445"/>
      <c r="FE26" s="445"/>
      <c r="FF26" s="445"/>
      <c r="FG26" s="445"/>
      <c r="FH26" s="445"/>
      <c r="FI26" s="445"/>
      <c r="FJ26" s="445"/>
      <c r="FK26" s="445"/>
      <c r="FL26" s="445"/>
      <c r="FM26" s="445"/>
      <c r="FN26" s="445"/>
      <c r="FO26" s="445"/>
      <c r="FP26" s="445"/>
      <c r="FQ26" s="445"/>
      <c r="FR26" s="445"/>
      <c r="FS26" s="445"/>
      <c r="FT26" s="445"/>
      <c r="FU26" s="445"/>
      <c r="FV26" s="445"/>
      <c r="FW26" s="445"/>
      <c r="FX26" s="445"/>
      <c r="FY26" s="445"/>
      <c r="FZ26" s="445"/>
      <c r="GA26" s="445"/>
      <c r="GB26" s="445"/>
      <c r="GC26" s="445"/>
      <c r="GD26" s="445"/>
      <c r="GE26" s="445"/>
      <c r="GF26" s="445"/>
      <c r="GG26" s="445"/>
      <c r="GH26" s="445"/>
      <c r="GI26" s="445"/>
      <c r="GJ26" s="445"/>
      <c r="GK26" s="445"/>
      <c r="GL26" s="445"/>
      <c r="GM26" s="445"/>
      <c r="GN26" s="445"/>
      <c r="GO26" s="445"/>
      <c r="GP26" s="445"/>
      <c r="GQ26" s="445"/>
      <c r="GR26" s="445"/>
      <c r="GS26" s="445"/>
      <c r="GT26" s="445"/>
      <c r="GU26" s="445"/>
      <c r="GV26" s="445"/>
      <c r="GW26" s="445"/>
      <c r="GX26" s="445"/>
      <c r="GY26" s="445"/>
      <c r="GZ26" s="445"/>
      <c r="HA26" s="445"/>
      <c r="HB26" s="445"/>
      <c r="HC26" s="445"/>
      <c r="HD26" s="445"/>
      <c r="HE26" s="445"/>
      <c r="HF26" s="445"/>
      <c r="HG26" s="445"/>
      <c r="HH26" s="445"/>
      <c r="HI26" s="445"/>
      <c r="HJ26" s="445"/>
      <c r="HK26" s="445"/>
      <c r="HL26" s="445"/>
      <c r="HM26" s="445"/>
      <c r="HN26" s="445"/>
      <c r="HO26" s="445"/>
      <c r="HP26" s="445"/>
      <c r="HQ26" s="445"/>
      <c r="HR26" s="445"/>
      <c r="HS26" s="445"/>
      <c r="HT26" s="445"/>
      <c r="HU26" s="445"/>
      <c r="HV26" s="445"/>
      <c r="HW26" s="445"/>
      <c r="HX26" s="445"/>
      <c r="HY26" s="445"/>
      <c r="HZ26" s="445"/>
      <c r="IA26" s="445"/>
      <c r="IB26" s="445"/>
      <c r="IC26" s="445"/>
      <c r="ID26" s="445"/>
      <c r="IE26" s="445"/>
      <c r="IF26" s="445"/>
      <c r="IG26" s="445"/>
      <c r="IH26" s="445"/>
      <c r="II26" s="445"/>
      <c r="IJ26" s="445"/>
      <c r="IK26" s="445"/>
      <c r="IL26" s="445"/>
      <c r="IM26" s="445"/>
      <c r="IN26" s="445"/>
      <c r="IO26" s="445"/>
      <c r="IP26" s="445"/>
      <c r="IQ26" s="445"/>
      <c r="IR26" s="445"/>
      <c r="IS26" s="445"/>
      <c r="IT26" s="445"/>
      <c r="IU26" s="445"/>
      <c r="IV26" s="445"/>
      <c r="IW26" s="445"/>
      <c r="IX26" s="445"/>
      <c r="IY26" s="445"/>
      <c r="IZ26" s="445"/>
      <c r="JA26" s="445"/>
      <c r="JB26" s="445"/>
      <c r="JC26" s="445"/>
      <c r="JD26" s="445"/>
      <c r="JE26" s="445"/>
      <c r="JF26" s="445"/>
      <c r="JG26" s="445"/>
      <c r="JH26" s="445"/>
      <c r="JI26" s="445"/>
      <c r="JJ26" s="445"/>
      <c r="JK26" s="445"/>
      <c r="JL26" s="445"/>
      <c r="JM26" s="445"/>
      <c r="JN26" s="445"/>
      <c r="JO26" s="445"/>
      <c r="JP26" s="445"/>
      <c r="JQ26" s="445"/>
      <c r="JR26" s="445"/>
      <c r="JS26" s="445"/>
      <c r="JT26" s="445"/>
      <c r="JU26" s="445"/>
      <c r="JV26" s="445"/>
      <c r="JW26" s="445"/>
      <c r="JX26" s="445"/>
      <c r="JY26" s="445"/>
      <c r="JZ26" s="445"/>
      <c r="KA26" s="445"/>
      <c r="KB26" s="445"/>
      <c r="KC26" s="445"/>
      <c r="KD26" s="445"/>
      <c r="KE26" s="445"/>
      <c r="KF26" s="445"/>
      <c r="KG26" s="445"/>
      <c r="KH26" s="445"/>
      <c r="KI26" s="445"/>
      <c r="KJ26" s="445"/>
      <c r="KK26" s="445"/>
      <c r="KL26" s="445"/>
      <c r="KM26" s="445"/>
      <c r="KN26" s="445"/>
      <c r="KO26" s="445"/>
      <c r="KP26" s="445"/>
      <c r="KQ26" s="445"/>
      <c r="KR26" s="445"/>
      <c r="KS26" s="445"/>
      <c r="KT26" s="445"/>
      <c r="KU26" s="445"/>
      <c r="KV26" s="445"/>
      <c r="KW26" s="445"/>
      <c r="KX26" s="445"/>
      <c r="KY26" s="445"/>
      <c r="KZ26" s="445"/>
      <c r="LA26" s="445"/>
      <c r="LB26" s="445"/>
      <c r="LC26" s="445"/>
      <c r="LD26" s="445"/>
      <c r="LE26" s="445"/>
      <c r="LF26" s="445"/>
      <c r="LG26" s="445"/>
      <c r="LH26" s="445"/>
      <c r="LI26" s="445"/>
      <c r="LJ26" s="445"/>
      <c r="LK26" s="445"/>
      <c r="LL26" s="445"/>
      <c r="LM26" s="445"/>
      <c r="LN26" s="445"/>
      <c r="LO26" s="445"/>
      <c r="LP26" s="445"/>
      <c r="LQ26" s="445"/>
      <c r="LR26" s="445"/>
      <c r="LS26" s="445"/>
      <c r="LT26" s="445"/>
      <c r="LU26" s="445"/>
      <c r="LV26" s="445"/>
      <c r="LW26" s="445"/>
      <c r="LX26" s="445"/>
      <c r="LY26" s="445"/>
      <c r="LZ26" s="445"/>
      <c r="MA26" s="445"/>
      <c r="MB26" s="445"/>
      <c r="MC26" s="445"/>
      <c r="MD26" s="445"/>
      <c r="ME26" s="445"/>
      <c r="MF26" s="445"/>
      <c r="MG26" s="445"/>
      <c r="MH26" s="445"/>
      <c r="MI26" s="445"/>
      <c r="MJ26" s="445"/>
      <c r="MK26" s="445"/>
    </row>
    <row r="27" spans="1:349" s="295" customFormat="1" ht="15" customHeight="1" x14ac:dyDescent="0.35">
      <c r="A27" s="585">
        <f t="shared" si="2"/>
        <v>915</v>
      </c>
      <c r="B27" t="str">
        <f t="shared" si="3"/>
        <v>Residential_Public Housing</v>
      </c>
      <c r="C27"/>
      <c r="D27" s="445">
        <v>915</v>
      </c>
      <c r="E27" s="445" t="s">
        <v>78</v>
      </c>
      <c r="F27" s="600" t="str">
        <f>VLOOKUP(G27,Sheet4!$D$6:$E$22,2,FALSE)</f>
        <v>Public Housing</v>
      </c>
      <c r="G27" s="445" t="s">
        <v>1072</v>
      </c>
      <c r="H27" s="673" t="s">
        <v>1782</v>
      </c>
      <c r="I27" s="232"/>
      <c r="J27" s="18" t="s">
        <v>7</v>
      </c>
      <c r="K27" s="18" t="s">
        <v>506</v>
      </c>
      <c r="L27" s="602" t="s">
        <v>1270</v>
      </c>
      <c r="M27" s="600">
        <v>1</v>
      </c>
      <c r="N27"/>
      <c r="O27" s="72" t="str">
        <f t="shared" si="4"/>
        <v>Dual Fuel</v>
      </c>
      <c r="P27" s="7">
        <f>VLOOKUP(D27,'2018 Plan Data'!$A$4:$K$1000,11,FALSE)</f>
        <v>10</v>
      </c>
      <c r="Q27" s="652">
        <f>VLOOKUP(D27,'2018 Plan Data'!$A$4:$L$1000,12,FALSE)</f>
        <v>0</v>
      </c>
      <c r="R27" s="318">
        <f>'RES HVAC'!S21</f>
        <v>296.2912427804651</v>
      </c>
      <c r="S27" s="318"/>
      <c r="T27" s="318">
        <f>'RES HVAC'!T21</f>
        <v>0.11213742331288343</v>
      </c>
      <c r="U27" s="318"/>
      <c r="V27" s="318">
        <f>'RES HVAC'!O21</f>
        <v>74.045999999999992</v>
      </c>
      <c r="W27" s="318">
        <v>0</v>
      </c>
      <c r="X27" s="319"/>
      <c r="Y27" s="319"/>
      <c r="Z27" s="319"/>
      <c r="AA27" s="319"/>
      <c r="AB27" s="319"/>
      <c r="AC27" s="319"/>
      <c r="AD27" s="309">
        <f t="shared" si="49"/>
        <v>1</v>
      </c>
      <c r="AE27" s="309">
        <f t="shared" si="51"/>
        <v>1</v>
      </c>
      <c r="AF27" s="309">
        <f t="shared" si="51"/>
        <v>1</v>
      </c>
      <c r="AG27" s="309">
        <f t="shared" si="51"/>
        <v>1</v>
      </c>
      <c r="AH27" s="314">
        <f t="shared" si="7"/>
        <v>296.2912427804651</v>
      </c>
      <c r="AI27" s="314">
        <f t="shared" si="8"/>
        <v>296.2912427804651</v>
      </c>
      <c r="AJ27" s="314">
        <f t="shared" si="9"/>
        <v>296.2912427804651</v>
      </c>
      <c r="AK27" s="314">
        <f t="shared" si="10"/>
        <v>296.2912427804651</v>
      </c>
      <c r="AL27" s="309">
        <f t="shared" si="11"/>
        <v>1</v>
      </c>
      <c r="AM27" s="309">
        <f t="shared" si="12"/>
        <v>1</v>
      </c>
      <c r="AN27" s="309">
        <f t="shared" si="13"/>
        <v>1</v>
      </c>
      <c r="AO27" s="309">
        <f t="shared" si="14"/>
        <v>1</v>
      </c>
      <c r="AP27" s="446">
        <f t="shared" si="15"/>
        <v>0.11213742331288343</v>
      </c>
      <c r="AQ27" s="446">
        <f t="shared" si="16"/>
        <v>0.11213742331288343</v>
      </c>
      <c r="AR27" s="446">
        <f t="shared" si="17"/>
        <v>0.11213742331288343</v>
      </c>
      <c r="AS27" s="446">
        <f t="shared" si="18"/>
        <v>0.11213742331288343</v>
      </c>
      <c r="AT27" s="309">
        <f t="shared" si="50"/>
        <v>1</v>
      </c>
      <c r="AU27" s="309">
        <f t="shared" si="52"/>
        <v>1</v>
      </c>
      <c r="AV27" s="309">
        <f t="shared" si="52"/>
        <v>1</v>
      </c>
      <c r="AW27" s="309">
        <f t="shared" si="52"/>
        <v>1</v>
      </c>
      <c r="AX27" s="243">
        <f t="shared" si="21"/>
        <v>74.045999999999992</v>
      </c>
      <c r="AY27" s="243">
        <f t="shared" si="22"/>
        <v>74.045999999999992</v>
      </c>
      <c r="AZ27" s="243">
        <f t="shared" si="23"/>
        <v>74.045999999999992</v>
      </c>
      <c r="BA27" s="243">
        <f t="shared" si="24"/>
        <v>74.045999999999992</v>
      </c>
      <c r="BB27" s="243">
        <f>VLOOKUP($D27,'2018 Plan Data'!$A$4:$K$2000,6,FALSE)</f>
        <v>3</v>
      </c>
      <c r="BC27" s="243">
        <f>VLOOKUP($D27,'2018 Plan Data'!$A$4:$K$2000,7,FALSE)</f>
        <v>3</v>
      </c>
      <c r="BD27" s="243">
        <f>VLOOKUP($D27,'2018 Plan Data'!$A$4:$K$2000,8,FALSE)</f>
        <v>3</v>
      </c>
      <c r="BE27" s="243">
        <f>VLOOKUP($D27,'2018 Plan Data'!$A$4:$K$2000,9,FALSE)</f>
        <v>3</v>
      </c>
      <c r="BF27" s="243">
        <f t="shared" si="25"/>
        <v>888.87372834139524</v>
      </c>
      <c r="BG27" s="243">
        <f t="shared" si="26"/>
        <v>888.87372834139524</v>
      </c>
      <c r="BH27" s="243">
        <f t="shared" si="27"/>
        <v>888.87372834139524</v>
      </c>
      <c r="BI27" s="243">
        <f t="shared" si="28"/>
        <v>888.87372834139524</v>
      </c>
      <c r="BJ27" s="243">
        <f t="shared" si="29"/>
        <v>222.13799999999998</v>
      </c>
      <c r="BK27" s="243">
        <f t="shared" si="30"/>
        <v>222.13799999999998</v>
      </c>
      <c r="BL27" s="243">
        <f t="shared" si="31"/>
        <v>222.13799999999998</v>
      </c>
      <c r="BM27" s="243">
        <f t="shared" si="32"/>
        <v>222.13799999999998</v>
      </c>
      <c r="BN27" s="243">
        <f t="shared" si="33"/>
        <v>888.87372834139524</v>
      </c>
      <c r="BO27" s="243">
        <f t="shared" si="34"/>
        <v>888.87372834139524</v>
      </c>
      <c r="BP27" s="243">
        <f t="shared" si="35"/>
        <v>888.87372834139524</v>
      </c>
      <c r="BQ27" s="243">
        <f t="shared" si="36"/>
        <v>888.87372834139524</v>
      </c>
      <c r="BR27" s="243">
        <f t="shared" si="37"/>
        <v>222.13799999999998</v>
      </c>
      <c r="BS27" s="243">
        <f t="shared" si="38"/>
        <v>222.13799999999998</v>
      </c>
      <c r="BT27" s="243">
        <f t="shared" si="39"/>
        <v>222.13799999999998</v>
      </c>
      <c r="BU27" s="243">
        <f t="shared" si="40"/>
        <v>222.13799999999998</v>
      </c>
      <c r="BW27" s="314">
        <f>VLOOKUP($D27,'2018 Plan Data'!$A$4:$T$2000,13,FALSE)</f>
        <v>860.35678842139544</v>
      </c>
      <c r="BX27" s="314">
        <f>VLOOKUP($D27,'2018 Plan Data'!$A$4:$T$2000,14,FALSE)</f>
        <v>860.35678842139544</v>
      </c>
      <c r="BY27" s="314">
        <f>VLOOKUP($D27,'2018 Plan Data'!$A$4:$T$2000,15,FALSE)</f>
        <v>860.35678842139544</v>
      </c>
      <c r="BZ27" s="314">
        <f>VLOOKUP($D27,'2018 Plan Data'!$A$4:$T$2000,16,FALSE)</f>
        <v>860.35678842139544</v>
      </c>
      <c r="CA27" s="314">
        <f>VLOOKUP($D27,'2018 Plan Data'!$A$4:$T$2000,17,FALSE)</f>
        <v>191.142</v>
      </c>
      <c r="CB27" s="314">
        <f>VLOOKUP($D27,'2018 Plan Data'!$A$4:$T$2000,18,FALSE)</f>
        <v>191.142</v>
      </c>
      <c r="CC27" s="314">
        <f>VLOOKUP($D27,'2018 Plan Data'!$A$4:$T$2000,19,FALSE)</f>
        <v>191.142</v>
      </c>
      <c r="CD27" s="314">
        <f>VLOOKUP($D27,'2018 Plan Data'!$A$4:$T$2000,20,FALSE)</f>
        <v>191.142</v>
      </c>
      <c r="CE27" t="b">
        <f t="shared" si="41"/>
        <v>0</v>
      </c>
      <c r="CF27" t="b">
        <f t="shared" si="42"/>
        <v>0</v>
      </c>
      <c r="CG27" t="b">
        <f t="shared" si="43"/>
        <v>0</v>
      </c>
      <c r="CH27" t="b">
        <f t="shared" si="44"/>
        <v>0</v>
      </c>
      <c r="CI27" t="b">
        <f t="shared" si="45"/>
        <v>0</v>
      </c>
      <c r="CJ27" t="b">
        <f t="shared" si="46"/>
        <v>0</v>
      </c>
      <c r="CK27" t="b">
        <f t="shared" si="47"/>
        <v>0</v>
      </c>
      <c r="CL27" t="b">
        <f t="shared" si="48"/>
        <v>0</v>
      </c>
      <c r="CM27" s="445"/>
      <c r="CN27" s="445"/>
      <c r="CO27" s="445"/>
      <c r="CP27" s="445"/>
      <c r="CQ27" s="445"/>
      <c r="CR27" s="445"/>
      <c r="CS27" s="445"/>
      <c r="CT27" s="445"/>
      <c r="CU27" s="445"/>
      <c r="CV27" s="445"/>
      <c r="CW27" s="445"/>
      <c r="CX27" s="445"/>
      <c r="CY27" s="445"/>
      <c r="CZ27" s="445"/>
      <c r="DA27" s="445"/>
      <c r="DB27" s="445"/>
      <c r="DC27" s="445"/>
      <c r="DD27" s="445"/>
      <c r="DE27" s="445"/>
      <c r="DF27" s="445"/>
      <c r="DG27" s="445"/>
      <c r="DH27" s="445"/>
      <c r="DI27" s="445"/>
      <c r="DJ27" s="445"/>
      <c r="DK27" s="445"/>
      <c r="DL27" s="445"/>
      <c r="DM27" s="445"/>
      <c r="DN27" s="445"/>
      <c r="DO27" s="445"/>
      <c r="DP27" s="445"/>
      <c r="DQ27" s="445"/>
      <c r="DR27" s="445"/>
      <c r="DS27" s="445"/>
      <c r="DT27" s="445"/>
      <c r="DU27" s="445"/>
      <c r="DV27" s="445"/>
      <c r="DW27" s="445"/>
      <c r="DX27" s="445"/>
      <c r="DY27" s="445"/>
      <c r="DZ27" s="445"/>
      <c r="EA27" s="445"/>
      <c r="EB27" s="445"/>
      <c r="EC27" s="445"/>
      <c r="ED27" s="445"/>
      <c r="EE27" s="445"/>
      <c r="EF27" s="445"/>
      <c r="EG27" s="445"/>
      <c r="EH27" s="445"/>
      <c r="EI27" s="445"/>
      <c r="EJ27" s="445"/>
      <c r="EK27" s="445"/>
      <c r="EL27" s="445"/>
      <c r="EM27" s="445"/>
      <c r="EN27" s="445"/>
      <c r="EO27" s="445"/>
      <c r="EP27" s="445"/>
      <c r="EQ27" s="445"/>
      <c r="ER27" s="445"/>
      <c r="ES27" s="445"/>
      <c r="ET27" s="445"/>
      <c r="EU27" s="445"/>
      <c r="EV27" s="445"/>
      <c r="EW27" s="445"/>
      <c r="EX27" s="445"/>
      <c r="EY27" s="445"/>
      <c r="EZ27" s="445"/>
      <c r="FA27" s="445"/>
      <c r="FB27" s="445"/>
      <c r="FC27" s="445"/>
      <c r="FD27" s="445"/>
      <c r="FE27" s="445"/>
      <c r="FF27" s="445"/>
      <c r="FG27" s="445"/>
      <c r="FH27" s="445"/>
      <c r="FI27" s="445"/>
      <c r="FJ27" s="445"/>
      <c r="FK27" s="445"/>
      <c r="FL27" s="445"/>
      <c r="FM27" s="445"/>
      <c r="FN27" s="445"/>
      <c r="FO27" s="445"/>
      <c r="FP27" s="445"/>
      <c r="FQ27" s="445"/>
      <c r="FR27" s="445"/>
      <c r="FS27" s="445"/>
      <c r="FT27" s="445"/>
      <c r="FU27" s="445"/>
      <c r="FV27" s="445"/>
      <c r="FW27" s="445"/>
      <c r="FX27" s="445"/>
      <c r="FY27" s="445"/>
      <c r="FZ27" s="445"/>
      <c r="GA27" s="445"/>
      <c r="GB27" s="445"/>
      <c r="GC27" s="445"/>
      <c r="GD27" s="445"/>
      <c r="GE27" s="445"/>
      <c r="GF27" s="445"/>
      <c r="GG27" s="445"/>
      <c r="GH27" s="445"/>
      <c r="GI27" s="445"/>
      <c r="GJ27" s="445"/>
      <c r="GK27" s="445"/>
      <c r="GL27" s="445"/>
      <c r="GM27" s="445"/>
      <c r="GN27" s="445"/>
      <c r="GO27" s="445"/>
      <c r="GP27" s="445"/>
      <c r="GQ27" s="445"/>
      <c r="GR27" s="445"/>
      <c r="GS27" s="445"/>
      <c r="GT27" s="445"/>
      <c r="GU27" s="445"/>
      <c r="GV27" s="445"/>
      <c r="GW27" s="445"/>
      <c r="GX27" s="445"/>
      <c r="GY27" s="445"/>
      <c r="GZ27" s="445"/>
      <c r="HA27" s="445"/>
      <c r="HB27" s="445"/>
      <c r="HC27" s="445"/>
      <c r="HD27" s="445"/>
      <c r="HE27" s="445"/>
      <c r="HF27" s="445"/>
      <c r="HG27" s="445"/>
      <c r="HH27" s="445"/>
      <c r="HI27" s="445"/>
      <c r="HJ27" s="445"/>
      <c r="HK27" s="445"/>
      <c r="HL27" s="445"/>
      <c r="HM27" s="445"/>
      <c r="HN27" s="445"/>
      <c r="HO27" s="445"/>
      <c r="HP27" s="445"/>
      <c r="HQ27" s="445"/>
      <c r="HR27" s="445"/>
      <c r="HS27" s="445"/>
      <c r="HT27" s="445"/>
      <c r="HU27" s="445"/>
      <c r="HV27" s="445"/>
      <c r="HW27" s="445"/>
      <c r="HX27" s="445"/>
      <c r="HY27" s="445"/>
      <c r="HZ27" s="445"/>
      <c r="IA27" s="445"/>
      <c r="IB27" s="445"/>
      <c r="IC27" s="445"/>
      <c r="ID27" s="445"/>
      <c r="IE27" s="445"/>
      <c r="IF27" s="445"/>
      <c r="IG27" s="445"/>
      <c r="IH27" s="445"/>
      <c r="II27" s="445"/>
      <c r="IJ27" s="445"/>
      <c r="IK27" s="445"/>
      <c r="IL27" s="445"/>
      <c r="IM27" s="445"/>
      <c r="IN27" s="445"/>
      <c r="IO27" s="445"/>
      <c r="IP27" s="445"/>
      <c r="IQ27" s="445"/>
      <c r="IR27" s="445"/>
      <c r="IS27" s="445"/>
      <c r="IT27" s="445"/>
      <c r="IU27" s="445"/>
      <c r="IV27" s="445"/>
      <c r="IW27" s="445"/>
      <c r="IX27" s="445"/>
      <c r="IY27" s="445"/>
      <c r="IZ27" s="445"/>
      <c r="JA27" s="445"/>
      <c r="JB27" s="445"/>
      <c r="JC27" s="445"/>
      <c r="JD27" s="445"/>
      <c r="JE27" s="445"/>
      <c r="JF27" s="445"/>
      <c r="JG27" s="445"/>
      <c r="JH27" s="445"/>
      <c r="JI27" s="445"/>
      <c r="JJ27" s="445"/>
      <c r="JK27" s="445"/>
      <c r="JL27" s="445"/>
      <c r="JM27" s="445"/>
      <c r="JN27" s="445"/>
      <c r="JO27" s="445"/>
      <c r="JP27" s="445"/>
      <c r="JQ27" s="445"/>
      <c r="JR27" s="445"/>
      <c r="JS27" s="445"/>
      <c r="JT27" s="445"/>
      <c r="JU27" s="445"/>
      <c r="JV27" s="445"/>
      <c r="JW27" s="445"/>
      <c r="JX27" s="445"/>
      <c r="JY27" s="445"/>
      <c r="JZ27" s="445"/>
      <c r="KA27" s="445"/>
      <c r="KB27" s="445"/>
      <c r="KC27" s="445"/>
      <c r="KD27" s="445"/>
      <c r="KE27" s="445"/>
      <c r="KF27" s="445"/>
      <c r="KG27" s="445"/>
      <c r="KH27" s="445"/>
      <c r="KI27" s="445"/>
      <c r="KJ27" s="445"/>
      <c r="KK27" s="445"/>
      <c r="KL27" s="445"/>
      <c r="KM27" s="445"/>
      <c r="KN27" s="445"/>
      <c r="KO27" s="445"/>
      <c r="KP27" s="445"/>
      <c r="KQ27" s="445"/>
      <c r="KR27" s="445"/>
      <c r="KS27" s="445"/>
      <c r="KT27" s="445"/>
      <c r="KU27" s="445"/>
      <c r="KV27" s="445"/>
      <c r="KW27" s="445"/>
      <c r="KX27" s="445"/>
      <c r="KY27" s="445"/>
      <c r="KZ27" s="445"/>
      <c r="LA27" s="445"/>
      <c r="LB27" s="445"/>
      <c r="LC27" s="445"/>
      <c r="LD27" s="445"/>
      <c r="LE27" s="445"/>
      <c r="LF27" s="445"/>
      <c r="LG27" s="445"/>
      <c r="LH27" s="445"/>
      <c r="LI27" s="445"/>
      <c r="LJ27" s="445"/>
      <c r="LK27" s="445"/>
      <c r="LL27" s="445"/>
      <c r="LM27" s="445"/>
      <c r="LN27" s="445"/>
      <c r="LO27" s="445"/>
      <c r="LP27" s="445"/>
      <c r="LQ27" s="445"/>
      <c r="LR27" s="445"/>
      <c r="LS27" s="445"/>
      <c r="LT27" s="445"/>
      <c r="LU27" s="445"/>
      <c r="LV27" s="445"/>
      <c r="LW27" s="445"/>
      <c r="LX27" s="445"/>
      <c r="LY27" s="445"/>
      <c r="LZ27" s="445"/>
      <c r="MA27" s="445"/>
      <c r="MB27" s="445"/>
      <c r="MC27" s="445"/>
      <c r="MD27" s="445"/>
      <c r="ME27" s="445"/>
      <c r="MF27" s="445"/>
      <c r="MG27" s="445"/>
      <c r="MH27" s="445"/>
      <c r="MI27" s="445"/>
      <c r="MJ27" s="445"/>
      <c r="MK27" s="445"/>
    </row>
    <row r="28" spans="1:349" ht="15" customHeight="1" x14ac:dyDescent="0.35">
      <c r="A28" s="585">
        <f t="shared" si="2"/>
        <v>888</v>
      </c>
      <c r="B28" t="str">
        <f t="shared" si="3"/>
        <v>Residential_Public Housing</v>
      </c>
      <c r="D28" s="445">
        <v>888</v>
      </c>
      <c r="E28" s="445" t="s">
        <v>78</v>
      </c>
      <c r="F28" s="600" t="str">
        <f>VLOOKUP(G28,Sheet4!$D$6:$E$22,2,FALSE)</f>
        <v>Public Housing</v>
      </c>
      <c r="G28" s="445" t="s">
        <v>1072</v>
      </c>
      <c r="H28" s="673" t="s">
        <v>1785</v>
      </c>
      <c r="I28" s="232"/>
      <c r="J28" s="18" t="s">
        <v>7</v>
      </c>
      <c r="K28" s="18" t="s">
        <v>363</v>
      </c>
      <c r="L28" s="602" t="s">
        <v>1715</v>
      </c>
      <c r="M28" s="600">
        <v>1</v>
      </c>
      <c r="O28" s="72" t="str">
        <f t="shared" si="4"/>
        <v>Dual Fuel</v>
      </c>
      <c r="P28" s="7">
        <f>VLOOKUP(D28,'2018 Plan Data'!$A$4:$K$1000,11,FALSE)</f>
        <v>20</v>
      </c>
      <c r="Q28" s="652">
        <f>VLOOKUP(D28,'2018 Plan Data'!$A$4:$L$1000,12,FALSE)</f>
        <v>0</v>
      </c>
      <c r="R28" s="314">
        <f>'RES Shell'!Q30</f>
        <v>168.78232873654139</v>
      </c>
      <c r="T28" s="314">
        <f>'RES Shell'!R30</f>
        <v>0</v>
      </c>
      <c r="V28" s="314">
        <f>'RES Shell'!S30</f>
        <v>183.45506482091847</v>
      </c>
      <c r="W28" s="314">
        <v>0</v>
      </c>
      <c r="X28" s="310"/>
      <c r="Y28" s="310"/>
      <c r="Z28" s="310"/>
      <c r="AA28" s="310"/>
      <c r="AB28" s="310"/>
      <c r="AC28" s="310"/>
      <c r="AD28" s="309">
        <f t="shared" si="49"/>
        <v>1</v>
      </c>
      <c r="AE28" s="309">
        <f t="shared" si="51"/>
        <v>1</v>
      </c>
      <c r="AF28" s="309">
        <f t="shared" si="51"/>
        <v>1</v>
      </c>
      <c r="AG28" s="309">
        <f t="shared" si="51"/>
        <v>1</v>
      </c>
      <c r="AH28" s="314">
        <f t="shared" si="7"/>
        <v>168.78232873654139</v>
      </c>
      <c r="AI28" s="314">
        <f t="shared" si="8"/>
        <v>168.78232873654139</v>
      </c>
      <c r="AJ28" s="314">
        <f t="shared" si="9"/>
        <v>168.78232873654139</v>
      </c>
      <c r="AK28" s="314">
        <f t="shared" si="10"/>
        <v>168.78232873654139</v>
      </c>
      <c r="AL28" s="309">
        <f t="shared" si="11"/>
        <v>1</v>
      </c>
      <c r="AM28" s="309">
        <f t="shared" si="12"/>
        <v>1</v>
      </c>
      <c r="AN28" s="309">
        <f t="shared" si="13"/>
        <v>1</v>
      </c>
      <c r="AO28" s="309">
        <f t="shared" si="14"/>
        <v>1</v>
      </c>
      <c r="AP28" s="446">
        <f t="shared" si="15"/>
        <v>0</v>
      </c>
      <c r="AQ28" s="446">
        <f t="shared" si="16"/>
        <v>0</v>
      </c>
      <c r="AR28" s="446">
        <f t="shared" si="17"/>
        <v>0</v>
      </c>
      <c r="AS28" s="446">
        <f t="shared" si="18"/>
        <v>0</v>
      </c>
      <c r="AT28" s="309">
        <f t="shared" si="50"/>
        <v>1</v>
      </c>
      <c r="AU28" s="309">
        <f t="shared" si="52"/>
        <v>1</v>
      </c>
      <c r="AV28" s="309">
        <f t="shared" si="52"/>
        <v>1</v>
      </c>
      <c r="AW28" s="309">
        <f t="shared" si="52"/>
        <v>1</v>
      </c>
      <c r="AX28" s="243">
        <f t="shared" si="21"/>
        <v>183.45506482091847</v>
      </c>
      <c r="AY28" s="243">
        <f t="shared" si="22"/>
        <v>183.45506482091847</v>
      </c>
      <c r="AZ28" s="243">
        <f t="shared" si="23"/>
        <v>183.45506482091847</v>
      </c>
      <c r="BA28" s="243">
        <f t="shared" si="24"/>
        <v>183.45506482091847</v>
      </c>
      <c r="BB28" s="243">
        <f>VLOOKUP($D28,'2018 Plan Data'!$A$4:$K$2000,6,FALSE)</f>
        <v>9</v>
      </c>
      <c r="BC28" s="243">
        <f>VLOOKUP($D28,'2018 Plan Data'!$A$4:$K$2000,7,FALSE)</f>
        <v>9</v>
      </c>
      <c r="BD28" s="243">
        <f>VLOOKUP($D28,'2018 Plan Data'!$A$4:$K$2000,8,FALSE)</f>
        <v>9</v>
      </c>
      <c r="BE28" s="243">
        <f>VLOOKUP($D28,'2018 Plan Data'!$A$4:$K$2000,9,FALSE)</f>
        <v>9</v>
      </c>
      <c r="BF28" s="243">
        <f t="shared" si="25"/>
        <v>1519.0409586288724</v>
      </c>
      <c r="BG28" s="243">
        <f t="shared" si="26"/>
        <v>1519.0409586288724</v>
      </c>
      <c r="BH28" s="243">
        <f t="shared" si="27"/>
        <v>1519.0409586288724</v>
      </c>
      <c r="BI28" s="243">
        <f t="shared" si="28"/>
        <v>1519.0409586288724</v>
      </c>
      <c r="BJ28" s="243">
        <f t="shared" si="29"/>
        <v>1651.0955833882663</v>
      </c>
      <c r="BK28" s="243">
        <f t="shared" si="30"/>
        <v>1651.0955833882663</v>
      </c>
      <c r="BL28" s="243">
        <f t="shared" si="31"/>
        <v>1651.0955833882663</v>
      </c>
      <c r="BM28" s="243">
        <f t="shared" si="32"/>
        <v>1651.0955833882663</v>
      </c>
      <c r="BN28" s="243">
        <f t="shared" si="33"/>
        <v>1519.0409586288724</v>
      </c>
      <c r="BO28" s="243">
        <f t="shared" si="34"/>
        <v>1519.0409586288724</v>
      </c>
      <c r="BP28" s="243">
        <f t="shared" si="35"/>
        <v>1519.0409586288724</v>
      </c>
      <c r="BQ28" s="243">
        <f t="shared" si="36"/>
        <v>1519.0409586288724</v>
      </c>
      <c r="BR28" s="243">
        <f t="shared" si="37"/>
        <v>1651.0955833882663</v>
      </c>
      <c r="BS28" s="243">
        <f t="shared" si="38"/>
        <v>1651.0955833882663</v>
      </c>
      <c r="BT28" s="243">
        <f t="shared" si="39"/>
        <v>1651.0955833882663</v>
      </c>
      <c r="BU28" s="243">
        <f t="shared" si="40"/>
        <v>1651.0955833882663</v>
      </c>
      <c r="BW28" s="314">
        <f>VLOOKUP($D28,'2018 Plan Data'!$A$4:$T$2000,13,FALSE)</f>
        <v>1519.0409586288724</v>
      </c>
      <c r="BX28" s="314">
        <f>VLOOKUP($D28,'2018 Plan Data'!$A$4:$T$2000,14,FALSE)</f>
        <v>1519.0409586288724</v>
      </c>
      <c r="BY28" s="314">
        <f>VLOOKUP($D28,'2018 Plan Data'!$A$4:$T$2000,15,FALSE)</f>
        <v>1519.0409586288724</v>
      </c>
      <c r="BZ28" s="314">
        <f>VLOOKUP($D28,'2018 Plan Data'!$A$4:$T$2000,16,FALSE)</f>
        <v>1519.0409586288724</v>
      </c>
      <c r="CA28" s="314">
        <f>VLOOKUP($D28,'2018 Plan Data'!$A$4:$T$2000,17,FALSE)</f>
        <v>1651.0955833882663</v>
      </c>
      <c r="CB28" s="314">
        <f>VLOOKUP($D28,'2018 Plan Data'!$A$4:$T$2000,18,FALSE)</f>
        <v>1651.0955833882663</v>
      </c>
      <c r="CC28" s="314">
        <f>VLOOKUP($D28,'2018 Plan Data'!$A$4:$T$2000,19,FALSE)</f>
        <v>1651.0955833882663</v>
      </c>
      <c r="CD28" s="314">
        <f>VLOOKUP($D28,'2018 Plan Data'!$A$4:$T$2000,20,FALSE)</f>
        <v>1651.0955833882663</v>
      </c>
      <c r="CE28" t="b">
        <f t="shared" si="41"/>
        <v>1</v>
      </c>
      <c r="CF28" t="b">
        <f t="shared" si="42"/>
        <v>1</v>
      </c>
      <c r="CG28" t="b">
        <f t="shared" si="43"/>
        <v>1</v>
      </c>
      <c r="CH28" t="b">
        <f t="shared" si="44"/>
        <v>1</v>
      </c>
      <c r="CI28" t="b">
        <f t="shared" si="45"/>
        <v>1</v>
      </c>
      <c r="CJ28" t="b">
        <f t="shared" si="46"/>
        <v>1</v>
      </c>
      <c r="CK28" t="b">
        <f t="shared" si="47"/>
        <v>1</v>
      </c>
      <c r="CL28" t="b">
        <f t="shared" si="48"/>
        <v>1</v>
      </c>
    </row>
    <row r="29" spans="1:349" ht="15" customHeight="1" x14ac:dyDescent="0.35">
      <c r="A29" s="585">
        <f t="shared" si="2"/>
        <v>890</v>
      </c>
      <c r="B29" t="str">
        <f t="shared" si="3"/>
        <v>Residential_Public Housing</v>
      </c>
      <c r="D29" s="445">
        <v>890</v>
      </c>
      <c r="E29" s="445" t="s">
        <v>78</v>
      </c>
      <c r="F29" s="600" t="str">
        <f>VLOOKUP(G29,Sheet4!$D$6:$E$22,2,FALSE)</f>
        <v>Public Housing</v>
      </c>
      <c r="G29" s="445" t="s">
        <v>1072</v>
      </c>
      <c r="H29" s="673" t="s">
        <v>1786</v>
      </c>
      <c r="I29" s="232"/>
      <c r="J29" s="18" t="s">
        <v>7</v>
      </c>
      <c r="K29" s="18" t="s">
        <v>363</v>
      </c>
      <c r="L29" s="602" t="s">
        <v>1715</v>
      </c>
      <c r="M29" s="600">
        <v>1</v>
      </c>
      <c r="O29" s="72" t="str">
        <f t="shared" si="4"/>
        <v>Dual Fuel</v>
      </c>
      <c r="P29" s="7">
        <f>VLOOKUP(D29,'2018 Plan Data'!$A$4:$K$1000,11,FALSE)</f>
        <v>20</v>
      </c>
      <c r="Q29" s="652">
        <f>VLOOKUP(D29,'2018 Plan Data'!$A$4:$L$1000,12,FALSE)</f>
        <v>0</v>
      </c>
      <c r="R29" s="314">
        <f>'RES Shell'!Q31</f>
        <v>377.27032873654139</v>
      </c>
      <c r="T29" s="314">
        <f>'RES Shell'!R31</f>
        <v>0.19420800000000002</v>
      </c>
      <c r="V29" s="314">
        <f>'RES Shell'!S31</f>
        <v>183.45506482091847</v>
      </c>
      <c r="AD29" s="309">
        <f t="shared" si="49"/>
        <v>1</v>
      </c>
      <c r="AE29" s="309">
        <f t="shared" si="51"/>
        <v>1</v>
      </c>
      <c r="AF29" s="309">
        <f t="shared" si="51"/>
        <v>1</v>
      </c>
      <c r="AG29" s="309">
        <f t="shared" si="51"/>
        <v>1</v>
      </c>
      <c r="AH29" s="314">
        <f t="shared" si="7"/>
        <v>377.27032873654139</v>
      </c>
      <c r="AI29" s="314">
        <f t="shared" si="8"/>
        <v>377.27032873654139</v>
      </c>
      <c r="AJ29" s="314">
        <f t="shared" si="9"/>
        <v>377.27032873654139</v>
      </c>
      <c r="AK29" s="314">
        <f t="shared" si="10"/>
        <v>377.27032873654139</v>
      </c>
      <c r="AL29" s="309">
        <f t="shared" si="11"/>
        <v>1</v>
      </c>
      <c r="AM29" s="309">
        <f t="shared" si="12"/>
        <v>1</v>
      </c>
      <c r="AN29" s="309">
        <f t="shared" si="13"/>
        <v>1</v>
      </c>
      <c r="AO29" s="309">
        <f t="shared" si="14"/>
        <v>1</v>
      </c>
      <c r="AP29" s="446">
        <f t="shared" si="15"/>
        <v>0.19420800000000002</v>
      </c>
      <c r="AQ29" s="446">
        <f t="shared" si="16"/>
        <v>0.19420800000000002</v>
      </c>
      <c r="AR29" s="446">
        <f t="shared" si="17"/>
        <v>0.19420800000000002</v>
      </c>
      <c r="AS29" s="446">
        <f t="shared" si="18"/>
        <v>0.19420800000000002</v>
      </c>
      <c r="AT29" s="309">
        <f t="shared" si="50"/>
        <v>1</v>
      </c>
      <c r="AU29" s="309">
        <f t="shared" si="52"/>
        <v>1</v>
      </c>
      <c r="AV29" s="309">
        <f t="shared" si="52"/>
        <v>1</v>
      </c>
      <c r="AW29" s="309">
        <f t="shared" si="52"/>
        <v>1</v>
      </c>
      <c r="AX29" s="243">
        <f t="shared" si="21"/>
        <v>183.45506482091847</v>
      </c>
      <c r="AY29" s="243">
        <f t="shared" si="22"/>
        <v>183.45506482091847</v>
      </c>
      <c r="AZ29" s="243">
        <f t="shared" si="23"/>
        <v>183.45506482091847</v>
      </c>
      <c r="BA29" s="243">
        <f t="shared" si="24"/>
        <v>183.45506482091847</v>
      </c>
      <c r="BB29" s="243">
        <f>VLOOKUP($D29,'2018 Plan Data'!$A$4:$K$2000,6,FALSE)</f>
        <v>94</v>
      </c>
      <c r="BC29" s="243">
        <f>VLOOKUP($D29,'2018 Plan Data'!$A$4:$K$2000,7,FALSE)</f>
        <v>94</v>
      </c>
      <c r="BD29" s="243">
        <f>VLOOKUP($D29,'2018 Plan Data'!$A$4:$K$2000,8,FALSE)</f>
        <v>94</v>
      </c>
      <c r="BE29" s="243">
        <f>VLOOKUP($D29,'2018 Plan Data'!$A$4:$K$2000,9,FALSE)</f>
        <v>94</v>
      </c>
      <c r="BF29" s="243">
        <f t="shared" si="25"/>
        <v>35463.410901234893</v>
      </c>
      <c r="BG29" s="243">
        <f t="shared" si="26"/>
        <v>35463.410901234893</v>
      </c>
      <c r="BH29" s="243">
        <f t="shared" si="27"/>
        <v>35463.410901234893</v>
      </c>
      <c r="BI29" s="243">
        <f t="shared" si="28"/>
        <v>35463.410901234893</v>
      </c>
      <c r="BJ29" s="243">
        <f t="shared" si="29"/>
        <v>17244.776093166336</v>
      </c>
      <c r="BK29" s="243">
        <f t="shared" si="30"/>
        <v>17244.776093166336</v>
      </c>
      <c r="BL29" s="243">
        <f t="shared" si="31"/>
        <v>17244.776093166336</v>
      </c>
      <c r="BM29" s="243">
        <f t="shared" si="32"/>
        <v>17244.776093166336</v>
      </c>
      <c r="BN29" s="243">
        <f t="shared" si="33"/>
        <v>35463.410901234893</v>
      </c>
      <c r="BO29" s="243">
        <f t="shared" si="34"/>
        <v>35463.410901234893</v>
      </c>
      <c r="BP29" s="243">
        <f t="shared" si="35"/>
        <v>35463.410901234893</v>
      </c>
      <c r="BQ29" s="243">
        <f t="shared" si="36"/>
        <v>35463.410901234893</v>
      </c>
      <c r="BR29" s="243">
        <f t="shared" si="37"/>
        <v>17244.776093166336</v>
      </c>
      <c r="BS29" s="243">
        <f t="shared" si="38"/>
        <v>17244.776093166336</v>
      </c>
      <c r="BT29" s="243">
        <f t="shared" si="39"/>
        <v>17244.776093166336</v>
      </c>
      <c r="BU29" s="243">
        <f t="shared" si="40"/>
        <v>17244.776093166336</v>
      </c>
      <c r="BW29" s="314">
        <f>VLOOKUP($D29,'2018 Plan Data'!$A$4:$T$2000,13,FALSE)</f>
        <v>35463.410901234893</v>
      </c>
      <c r="BX29" s="314">
        <f>VLOOKUP($D29,'2018 Plan Data'!$A$4:$T$2000,14,FALSE)</f>
        <v>35463.410901234893</v>
      </c>
      <c r="BY29" s="314">
        <f>VLOOKUP($D29,'2018 Plan Data'!$A$4:$T$2000,15,FALSE)</f>
        <v>35463.410901234893</v>
      </c>
      <c r="BZ29" s="314">
        <f>VLOOKUP($D29,'2018 Plan Data'!$A$4:$T$2000,16,FALSE)</f>
        <v>35463.410901234893</v>
      </c>
      <c r="CA29" s="314">
        <f>VLOOKUP($D29,'2018 Plan Data'!$A$4:$T$2000,17,FALSE)</f>
        <v>17244.776093166336</v>
      </c>
      <c r="CB29" s="314">
        <f>VLOOKUP($D29,'2018 Plan Data'!$A$4:$T$2000,18,FALSE)</f>
        <v>17244.776093166336</v>
      </c>
      <c r="CC29" s="314">
        <f>VLOOKUP($D29,'2018 Plan Data'!$A$4:$T$2000,19,FALSE)</f>
        <v>17244.776093166336</v>
      </c>
      <c r="CD29" s="314">
        <f>VLOOKUP($D29,'2018 Plan Data'!$A$4:$T$2000,20,FALSE)</f>
        <v>17244.776093166336</v>
      </c>
      <c r="CE29" t="b">
        <f t="shared" si="41"/>
        <v>1</v>
      </c>
      <c r="CF29" t="b">
        <f t="shared" si="42"/>
        <v>1</v>
      </c>
      <c r="CG29" t="b">
        <f t="shared" si="43"/>
        <v>1</v>
      </c>
      <c r="CH29" t="b">
        <f t="shared" si="44"/>
        <v>1</v>
      </c>
      <c r="CI29" t="b">
        <f t="shared" si="45"/>
        <v>1</v>
      </c>
      <c r="CJ29" t="b">
        <f t="shared" si="46"/>
        <v>1</v>
      </c>
      <c r="CK29" t="b">
        <f t="shared" si="47"/>
        <v>1</v>
      </c>
      <c r="CL29" t="b">
        <f t="shared" si="48"/>
        <v>1</v>
      </c>
    </row>
    <row r="30" spans="1:349" ht="15" customHeight="1" x14ac:dyDescent="0.35">
      <c r="A30" s="585">
        <f t="shared" si="2"/>
        <v>857</v>
      </c>
      <c r="B30" t="str">
        <f t="shared" si="3"/>
        <v>Residential_Public Housing</v>
      </c>
      <c r="D30" s="445">
        <v>857</v>
      </c>
      <c r="E30" s="445" t="s">
        <v>78</v>
      </c>
      <c r="F30" s="600" t="str">
        <f>VLOOKUP(G30,Sheet4!$D$6:$E$22,2,FALSE)</f>
        <v>Public Housing</v>
      </c>
      <c r="G30" s="445" t="s">
        <v>1072</v>
      </c>
      <c r="H30" s="673" t="s">
        <v>1787</v>
      </c>
      <c r="I30" s="232"/>
      <c r="J30" s="18" t="s">
        <v>7</v>
      </c>
      <c r="K30" s="18" t="s">
        <v>710</v>
      </c>
      <c r="L30" s="602" t="s">
        <v>1730</v>
      </c>
      <c r="M30" s="600">
        <v>1</v>
      </c>
      <c r="O30" s="72" t="str">
        <f t="shared" si="4"/>
        <v>Dual Fuel</v>
      </c>
      <c r="P30" s="7">
        <f>VLOOKUP(D30,'2018 Plan Data'!$A$4:$K$1000,11,FALSE)</f>
        <v>15</v>
      </c>
      <c r="Q30" s="652">
        <f>VLOOKUP(D30,'2018 Plan Data'!$A$4:$L$1000,12,FALSE)</f>
        <v>0</v>
      </c>
      <c r="R30" s="314">
        <f>'RES Shell'!N338</f>
        <v>570.76425000000006</v>
      </c>
      <c r="T30" s="314">
        <f>'RES Shell'!O338</f>
        <v>0.45578670588846742</v>
      </c>
      <c r="V30" s="314">
        <f>'RES Shell'!P338</f>
        <v>118.71115624883724</v>
      </c>
      <c r="AD30" s="309">
        <f t="shared" si="49"/>
        <v>1</v>
      </c>
      <c r="AE30" s="309">
        <f t="shared" si="51"/>
        <v>1</v>
      </c>
      <c r="AF30" s="309">
        <f t="shared" si="51"/>
        <v>1</v>
      </c>
      <c r="AG30" s="309">
        <f t="shared" si="51"/>
        <v>1</v>
      </c>
      <c r="AH30" s="314">
        <f t="shared" si="7"/>
        <v>570.76425000000006</v>
      </c>
      <c r="AI30" s="314">
        <f t="shared" si="8"/>
        <v>570.76425000000006</v>
      </c>
      <c r="AJ30" s="314">
        <f t="shared" si="9"/>
        <v>570.76425000000006</v>
      </c>
      <c r="AK30" s="314">
        <f t="shared" si="10"/>
        <v>570.76425000000006</v>
      </c>
      <c r="AL30" s="309">
        <f t="shared" si="11"/>
        <v>1</v>
      </c>
      <c r="AM30" s="309">
        <f t="shared" si="12"/>
        <v>1</v>
      </c>
      <c r="AN30" s="309">
        <f t="shared" si="13"/>
        <v>1</v>
      </c>
      <c r="AO30" s="309">
        <f t="shared" si="14"/>
        <v>1</v>
      </c>
      <c r="AP30" s="446">
        <f t="shared" si="15"/>
        <v>0.45578670588846742</v>
      </c>
      <c r="AQ30" s="446">
        <f t="shared" si="16"/>
        <v>0.45578670588846742</v>
      </c>
      <c r="AR30" s="446">
        <f t="shared" si="17"/>
        <v>0.45578670588846742</v>
      </c>
      <c r="AS30" s="446">
        <f t="shared" si="18"/>
        <v>0.45578670588846742</v>
      </c>
      <c r="AT30" s="309">
        <f t="shared" si="50"/>
        <v>1</v>
      </c>
      <c r="AU30" s="309">
        <f t="shared" si="52"/>
        <v>1</v>
      </c>
      <c r="AV30" s="309">
        <f t="shared" si="52"/>
        <v>1</v>
      </c>
      <c r="AW30" s="309">
        <f t="shared" si="52"/>
        <v>1</v>
      </c>
      <c r="AX30" s="243">
        <f t="shared" si="21"/>
        <v>118.71115624883724</v>
      </c>
      <c r="AY30" s="243">
        <f t="shared" si="22"/>
        <v>118.71115624883724</v>
      </c>
      <c r="AZ30" s="243">
        <f t="shared" si="23"/>
        <v>118.71115624883724</v>
      </c>
      <c r="BA30" s="243">
        <f t="shared" si="24"/>
        <v>118.71115624883724</v>
      </c>
      <c r="BB30" s="243">
        <f>VLOOKUP($D30,'2018 Plan Data'!$A$4:$K$2000,6,FALSE)</f>
        <v>12</v>
      </c>
      <c r="BC30" s="243">
        <f>VLOOKUP($D30,'2018 Plan Data'!$A$4:$K$2000,7,FALSE)</f>
        <v>12</v>
      </c>
      <c r="BD30" s="243">
        <f>VLOOKUP($D30,'2018 Plan Data'!$A$4:$K$2000,8,FALSE)</f>
        <v>12</v>
      </c>
      <c r="BE30" s="243">
        <f>VLOOKUP($D30,'2018 Plan Data'!$A$4:$K$2000,9,FALSE)</f>
        <v>12</v>
      </c>
      <c r="BF30" s="243">
        <f t="shared" si="25"/>
        <v>6849.1710000000003</v>
      </c>
      <c r="BG30" s="243">
        <f t="shared" si="26"/>
        <v>6849.1710000000003</v>
      </c>
      <c r="BH30" s="243">
        <f t="shared" si="27"/>
        <v>6849.1710000000003</v>
      </c>
      <c r="BI30" s="243">
        <f t="shared" si="28"/>
        <v>6849.1710000000003</v>
      </c>
      <c r="BJ30" s="243">
        <f t="shared" si="29"/>
        <v>1424.5338749860468</v>
      </c>
      <c r="BK30" s="243">
        <f t="shared" si="30"/>
        <v>1424.5338749860468</v>
      </c>
      <c r="BL30" s="243">
        <f t="shared" si="31"/>
        <v>1424.5338749860468</v>
      </c>
      <c r="BM30" s="243">
        <f t="shared" si="32"/>
        <v>1424.5338749860468</v>
      </c>
      <c r="BN30" s="243">
        <f t="shared" si="33"/>
        <v>6849.1710000000003</v>
      </c>
      <c r="BO30" s="243">
        <f t="shared" si="34"/>
        <v>6849.1710000000003</v>
      </c>
      <c r="BP30" s="243">
        <f t="shared" si="35"/>
        <v>6849.1710000000003</v>
      </c>
      <c r="BQ30" s="243">
        <f t="shared" si="36"/>
        <v>6849.1710000000003</v>
      </c>
      <c r="BR30" s="243">
        <f t="shared" si="37"/>
        <v>1424.5338749860468</v>
      </c>
      <c r="BS30" s="243">
        <f t="shared" si="38"/>
        <v>1424.5338749860468</v>
      </c>
      <c r="BT30" s="243">
        <f t="shared" si="39"/>
        <v>1424.5338749860468</v>
      </c>
      <c r="BU30" s="243">
        <f t="shared" si="40"/>
        <v>1424.5338749860468</v>
      </c>
      <c r="BW30" s="314">
        <f>VLOOKUP($D30,'2018 Plan Data'!$A$4:$T$2000,13,FALSE)</f>
        <v>5292.0000000000009</v>
      </c>
      <c r="BX30" s="314">
        <f>VLOOKUP($D30,'2018 Plan Data'!$A$4:$T$2000,14,FALSE)</f>
        <v>5292.0000000000009</v>
      </c>
      <c r="BY30" s="314">
        <f>VLOOKUP($D30,'2018 Plan Data'!$A$4:$T$2000,15,FALSE)</f>
        <v>5292.0000000000009</v>
      </c>
      <c r="BZ30" s="314">
        <f>VLOOKUP($D30,'2018 Plan Data'!$A$4:$T$2000,16,FALSE)</f>
        <v>5292.0000000000009</v>
      </c>
      <c r="CA30" s="314">
        <f>VLOOKUP($D30,'2018 Plan Data'!$A$4:$T$2000,17,FALSE)</f>
        <v>1385.8007441860468</v>
      </c>
      <c r="CB30" s="314">
        <f>VLOOKUP($D30,'2018 Plan Data'!$A$4:$T$2000,18,FALSE)</f>
        <v>1385.8007441860468</v>
      </c>
      <c r="CC30" s="314">
        <f>VLOOKUP($D30,'2018 Plan Data'!$A$4:$T$2000,19,FALSE)</f>
        <v>1385.8007441860468</v>
      </c>
      <c r="CD30" s="314">
        <f>VLOOKUP($D30,'2018 Plan Data'!$A$4:$T$2000,20,FALSE)</f>
        <v>1385.8007441860468</v>
      </c>
      <c r="CE30" t="b">
        <f t="shared" si="41"/>
        <v>0</v>
      </c>
      <c r="CF30" t="b">
        <f t="shared" si="42"/>
        <v>0</v>
      </c>
      <c r="CG30" t="b">
        <f t="shared" si="43"/>
        <v>0</v>
      </c>
      <c r="CH30" t="b">
        <f t="shared" si="44"/>
        <v>0</v>
      </c>
      <c r="CI30" t="b">
        <f t="shared" si="45"/>
        <v>0</v>
      </c>
      <c r="CJ30" t="b">
        <f t="shared" si="46"/>
        <v>0</v>
      </c>
      <c r="CK30" t="b">
        <f t="shared" si="47"/>
        <v>0</v>
      </c>
      <c r="CL30" t="b">
        <f t="shared" si="48"/>
        <v>0</v>
      </c>
    </row>
    <row r="31" spans="1:349" ht="15" customHeight="1" x14ac:dyDescent="0.35">
      <c r="A31" s="585">
        <f t="shared" si="2"/>
        <v>866</v>
      </c>
      <c r="B31" s="600" t="str">
        <f t="shared" si="3"/>
        <v>Residential_Public Housing</v>
      </c>
      <c r="C31" s="600"/>
      <c r="D31" s="445">
        <v>866</v>
      </c>
      <c r="E31" s="445" t="s">
        <v>78</v>
      </c>
      <c r="F31" s="600" t="str">
        <f>VLOOKUP(G31,Sheet4!$D$6:$E$22,2,FALSE)</f>
        <v>Public Housing</v>
      </c>
      <c r="G31" s="445" t="s">
        <v>1072</v>
      </c>
      <c r="H31" s="673" t="s">
        <v>1788</v>
      </c>
      <c r="I31" s="232"/>
      <c r="J31" s="18" t="s">
        <v>7</v>
      </c>
      <c r="K31" s="2585" t="s">
        <v>3387</v>
      </c>
      <c r="L31" s="602" t="s">
        <v>1732</v>
      </c>
      <c r="M31" s="600">
        <v>1</v>
      </c>
      <c r="O31" s="72" t="str">
        <f t="shared" si="4"/>
        <v>Dual Fuel</v>
      </c>
      <c r="P31" s="7">
        <f>VLOOKUP(D31,'2018 Plan Data'!$A$4:$K$1000,11,FALSE)</f>
        <v>25</v>
      </c>
      <c r="Q31" s="652">
        <f>VLOOKUP(D31,'2018 Plan Data'!$A$4:$L$1000,12,FALSE)</f>
        <v>0</v>
      </c>
      <c r="R31" s="314">
        <f>'RES Shell'!X91</f>
        <v>319.80474588693727</v>
      </c>
      <c r="S31" s="314">
        <v>0</v>
      </c>
      <c r="T31" s="314">
        <f>'RES Shell'!Z83</f>
        <v>0.20351332645276182</v>
      </c>
      <c r="U31" s="314">
        <v>0</v>
      </c>
      <c r="V31" s="314">
        <f>'RES Shell'!AB83</f>
        <v>94.383772388289358</v>
      </c>
      <c r="W31" s="314">
        <v>0</v>
      </c>
      <c r="X31" s="310"/>
      <c r="Y31" s="310"/>
      <c r="Z31" s="310"/>
      <c r="AA31" s="310"/>
      <c r="AB31" s="310"/>
      <c r="AC31" s="310"/>
      <c r="AD31" s="309">
        <f t="shared" si="49"/>
        <v>1</v>
      </c>
      <c r="AE31" s="309">
        <f t="shared" si="51"/>
        <v>1</v>
      </c>
      <c r="AF31" s="309">
        <f t="shared" si="51"/>
        <v>1</v>
      </c>
      <c r="AG31" s="309">
        <f t="shared" si="51"/>
        <v>1</v>
      </c>
      <c r="AH31" s="314">
        <f t="shared" si="7"/>
        <v>319.80474588693727</v>
      </c>
      <c r="AI31" s="314">
        <f t="shared" si="8"/>
        <v>319.80474588693727</v>
      </c>
      <c r="AJ31" s="314">
        <f t="shared" si="9"/>
        <v>319.80474588693727</v>
      </c>
      <c r="AK31" s="314">
        <f t="shared" si="10"/>
        <v>319.80474588693727</v>
      </c>
      <c r="AL31" s="309">
        <f t="shared" si="11"/>
        <v>1</v>
      </c>
      <c r="AM31" s="309">
        <f t="shared" si="12"/>
        <v>1</v>
      </c>
      <c r="AN31" s="309">
        <f t="shared" si="13"/>
        <v>1</v>
      </c>
      <c r="AO31" s="309">
        <f t="shared" si="14"/>
        <v>1</v>
      </c>
      <c r="AP31" s="446">
        <f t="shared" si="15"/>
        <v>0.20351332645276182</v>
      </c>
      <c r="AQ31" s="446">
        <f t="shared" si="16"/>
        <v>0.20351332645276182</v>
      </c>
      <c r="AR31" s="446">
        <f t="shared" si="17"/>
        <v>0.20351332645276182</v>
      </c>
      <c r="AS31" s="446">
        <f t="shared" si="18"/>
        <v>0.20351332645276182</v>
      </c>
      <c r="AT31" s="309">
        <f t="shared" si="50"/>
        <v>1</v>
      </c>
      <c r="AU31" s="309">
        <f t="shared" si="52"/>
        <v>1</v>
      </c>
      <c r="AV31" s="309">
        <f t="shared" si="52"/>
        <v>1</v>
      </c>
      <c r="AW31" s="309">
        <f t="shared" si="52"/>
        <v>1</v>
      </c>
      <c r="AX31" s="243">
        <f t="shared" si="21"/>
        <v>94.383772388289358</v>
      </c>
      <c r="AY31" s="243">
        <f t="shared" si="22"/>
        <v>94.383772388289358</v>
      </c>
      <c r="AZ31" s="243">
        <f t="shared" si="23"/>
        <v>94.383772388289358</v>
      </c>
      <c r="BA31" s="243">
        <f t="shared" si="24"/>
        <v>94.383772388289358</v>
      </c>
      <c r="BB31" s="243">
        <f>VLOOKUP($D31,'2018 Plan Data'!$A$4:$K$2000,6,FALSE)</f>
        <v>11</v>
      </c>
      <c r="BC31" s="243">
        <f>VLOOKUP($D31,'2018 Plan Data'!$A$4:$K$2000,7,FALSE)</f>
        <v>11</v>
      </c>
      <c r="BD31" s="243">
        <f>VLOOKUP($D31,'2018 Plan Data'!$A$4:$K$2000,8,FALSE)</f>
        <v>11</v>
      </c>
      <c r="BE31" s="243">
        <f>VLOOKUP($D31,'2018 Plan Data'!$A$4:$K$2000,9,FALSE)</f>
        <v>11</v>
      </c>
      <c r="BF31" s="243">
        <f t="shared" si="25"/>
        <v>3517.8522047563101</v>
      </c>
      <c r="BG31" s="243">
        <f t="shared" si="26"/>
        <v>3517.8522047563101</v>
      </c>
      <c r="BH31" s="243">
        <f t="shared" si="27"/>
        <v>3517.8522047563101</v>
      </c>
      <c r="BI31" s="243">
        <f t="shared" si="28"/>
        <v>3517.8522047563101</v>
      </c>
      <c r="BJ31" s="243">
        <f t="shared" si="29"/>
        <v>1038.221496271183</v>
      </c>
      <c r="BK31" s="243">
        <f t="shared" si="30"/>
        <v>1038.221496271183</v>
      </c>
      <c r="BL31" s="243">
        <f t="shared" si="31"/>
        <v>1038.221496271183</v>
      </c>
      <c r="BM31" s="243">
        <f t="shared" si="32"/>
        <v>1038.221496271183</v>
      </c>
      <c r="BN31" s="243">
        <f t="shared" si="33"/>
        <v>3517.8522047563101</v>
      </c>
      <c r="BO31" s="243">
        <f t="shared" si="34"/>
        <v>3517.8522047563101</v>
      </c>
      <c r="BP31" s="243">
        <f t="shared" si="35"/>
        <v>3517.8522047563101</v>
      </c>
      <c r="BQ31" s="243">
        <f t="shared" si="36"/>
        <v>3517.8522047563101</v>
      </c>
      <c r="BR31" s="243">
        <f t="shared" si="37"/>
        <v>1038.221496271183</v>
      </c>
      <c r="BS31" s="243">
        <f t="shared" si="38"/>
        <v>1038.221496271183</v>
      </c>
      <c r="BT31" s="243">
        <f t="shared" si="39"/>
        <v>1038.221496271183</v>
      </c>
      <c r="BU31" s="243">
        <f t="shared" si="40"/>
        <v>1038.221496271183</v>
      </c>
      <c r="BW31" s="314">
        <f>VLOOKUP($D31,'2018 Plan Data'!$A$4:$T$2000,13,FALSE)</f>
        <v>2219.6246522722831</v>
      </c>
      <c r="BX31" s="314">
        <f>VLOOKUP($D31,'2018 Plan Data'!$A$4:$T$2000,14,FALSE)</f>
        <v>2219.6246522722831</v>
      </c>
      <c r="BY31" s="314">
        <f>VLOOKUP($D31,'2018 Plan Data'!$A$4:$T$2000,15,FALSE)</f>
        <v>2219.6246522722831</v>
      </c>
      <c r="BZ31" s="314">
        <f>VLOOKUP($D31,'2018 Plan Data'!$A$4:$T$2000,16,FALSE)</f>
        <v>2219.6246522722831</v>
      </c>
      <c r="CA31" s="314">
        <f>VLOOKUP($D31,'2018 Plan Data'!$A$4:$T$2000,17,FALSE)</f>
        <v>786.53143656907775</v>
      </c>
      <c r="CB31" s="314">
        <f>VLOOKUP($D31,'2018 Plan Data'!$A$4:$T$2000,18,FALSE)</f>
        <v>786.53143656907775</v>
      </c>
      <c r="CC31" s="314">
        <f>VLOOKUP($D31,'2018 Plan Data'!$A$4:$T$2000,19,FALSE)</f>
        <v>786.53143656907775</v>
      </c>
      <c r="CD31" s="314">
        <f>VLOOKUP($D31,'2018 Plan Data'!$A$4:$T$2000,20,FALSE)</f>
        <v>786.53143656907775</v>
      </c>
      <c r="CE31" t="b">
        <f t="shared" si="41"/>
        <v>0</v>
      </c>
      <c r="CF31" t="b">
        <f t="shared" si="42"/>
        <v>0</v>
      </c>
      <c r="CG31" t="b">
        <f t="shared" si="43"/>
        <v>0</v>
      </c>
      <c r="CH31" t="b">
        <f t="shared" si="44"/>
        <v>0</v>
      </c>
      <c r="CI31" t="b">
        <f t="shared" si="45"/>
        <v>0</v>
      </c>
      <c r="CJ31" t="b">
        <f t="shared" si="46"/>
        <v>0</v>
      </c>
      <c r="CK31" t="b">
        <f t="shared" si="47"/>
        <v>0</v>
      </c>
      <c r="CL31" t="b">
        <f t="shared" si="48"/>
        <v>0</v>
      </c>
    </row>
    <row r="32" spans="1:349" ht="15" customHeight="1" x14ac:dyDescent="0.35">
      <c r="A32" s="585">
        <f t="shared" si="2"/>
        <v>874</v>
      </c>
      <c r="B32" t="str">
        <f t="shared" si="3"/>
        <v>Residential_Public Housing</v>
      </c>
      <c r="D32" s="445">
        <v>874</v>
      </c>
      <c r="E32" s="445" t="s">
        <v>78</v>
      </c>
      <c r="F32" s="600" t="str">
        <f>VLOOKUP(G32,Sheet4!$D$6:$E$22,2,FALSE)</f>
        <v>Public Housing</v>
      </c>
      <c r="G32" s="445" t="s">
        <v>1072</v>
      </c>
      <c r="H32" s="673" t="s">
        <v>1789</v>
      </c>
      <c r="I32" s="232"/>
      <c r="J32" s="18" t="s">
        <v>7</v>
      </c>
      <c r="K32" s="2585" t="s">
        <v>3387</v>
      </c>
      <c r="L32" s="602" t="s">
        <v>1732</v>
      </c>
      <c r="M32" s="600">
        <v>1</v>
      </c>
      <c r="O32" s="72" t="str">
        <f t="shared" si="4"/>
        <v>Dual Fuel</v>
      </c>
      <c r="P32" s="7">
        <f>VLOOKUP(D32,'2018 Plan Data'!$A$4:$K$1000,11,FALSE)</f>
        <v>25</v>
      </c>
      <c r="Q32" s="652">
        <f>VLOOKUP(D32,'2018 Plan Data'!$A$4:$L$1000,12,FALSE)</f>
        <v>0</v>
      </c>
      <c r="R32" s="314">
        <f>'RES Shell'!X84</f>
        <v>859.61720560709784</v>
      </c>
      <c r="S32" s="314">
        <v>0</v>
      </c>
      <c r="T32" s="314">
        <f>'RES Shell'!Z79</f>
        <v>0.54722472223964824</v>
      </c>
      <c r="U32" s="314">
        <v>0</v>
      </c>
      <c r="V32" s="314">
        <f>'RES Shell'!AB79</f>
        <v>253.78747686628907</v>
      </c>
      <c r="W32" s="314">
        <v>0</v>
      </c>
      <c r="X32" s="310"/>
      <c r="Y32" s="310"/>
      <c r="Z32" s="310"/>
      <c r="AA32" s="310"/>
      <c r="AB32" s="310"/>
      <c r="AC32" s="310"/>
      <c r="AD32" s="309">
        <f t="shared" si="49"/>
        <v>1</v>
      </c>
      <c r="AE32" s="309">
        <f t="shared" si="51"/>
        <v>1</v>
      </c>
      <c r="AF32" s="309">
        <f t="shared" si="51"/>
        <v>1</v>
      </c>
      <c r="AG32" s="309">
        <f t="shared" si="51"/>
        <v>1</v>
      </c>
      <c r="AH32" s="314">
        <f t="shared" si="7"/>
        <v>859.61720560709784</v>
      </c>
      <c r="AI32" s="314">
        <f t="shared" si="8"/>
        <v>859.61720560709784</v>
      </c>
      <c r="AJ32" s="314">
        <f t="shared" si="9"/>
        <v>859.61720560709784</v>
      </c>
      <c r="AK32" s="314">
        <f t="shared" si="10"/>
        <v>859.61720560709784</v>
      </c>
      <c r="AL32" s="309">
        <f t="shared" si="11"/>
        <v>1</v>
      </c>
      <c r="AM32" s="309">
        <f t="shared" si="12"/>
        <v>1</v>
      </c>
      <c r="AN32" s="309">
        <f t="shared" si="13"/>
        <v>1</v>
      </c>
      <c r="AO32" s="309">
        <f t="shared" si="14"/>
        <v>1</v>
      </c>
      <c r="AP32" s="446">
        <f t="shared" si="15"/>
        <v>0.54722472223964824</v>
      </c>
      <c r="AQ32" s="446">
        <f t="shared" si="16"/>
        <v>0.54722472223964824</v>
      </c>
      <c r="AR32" s="446">
        <f t="shared" si="17"/>
        <v>0.54722472223964824</v>
      </c>
      <c r="AS32" s="446">
        <f t="shared" si="18"/>
        <v>0.54722472223964824</v>
      </c>
      <c r="AT32" s="309">
        <f t="shared" si="50"/>
        <v>1</v>
      </c>
      <c r="AU32" s="309">
        <f t="shared" si="52"/>
        <v>1</v>
      </c>
      <c r="AV32" s="309">
        <f t="shared" si="52"/>
        <v>1</v>
      </c>
      <c r="AW32" s="309">
        <f t="shared" si="52"/>
        <v>1</v>
      </c>
      <c r="AX32" s="243">
        <f t="shared" si="21"/>
        <v>253.78747686628907</v>
      </c>
      <c r="AY32" s="243">
        <f t="shared" si="22"/>
        <v>253.78747686628907</v>
      </c>
      <c r="AZ32" s="243">
        <f t="shared" si="23"/>
        <v>253.78747686628907</v>
      </c>
      <c r="BA32" s="243">
        <f t="shared" si="24"/>
        <v>253.78747686628907</v>
      </c>
      <c r="BB32" s="243">
        <f>VLOOKUP($D32,'2018 Plan Data'!$A$4:$K$2000,6,FALSE)</f>
        <v>3</v>
      </c>
      <c r="BC32" s="243">
        <f>VLOOKUP($D32,'2018 Plan Data'!$A$4:$K$2000,7,FALSE)</f>
        <v>3</v>
      </c>
      <c r="BD32" s="243">
        <f>VLOOKUP($D32,'2018 Plan Data'!$A$4:$K$2000,8,FALSE)</f>
        <v>3</v>
      </c>
      <c r="BE32" s="243">
        <f>VLOOKUP($D32,'2018 Plan Data'!$A$4:$K$2000,9,FALSE)</f>
        <v>3</v>
      </c>
      <c r="BF32" s="243">
        <f t="shared" si="25"/>
        <v>2578.8516168212936</v>
      </c>
      <c r="BG32" s="243">
        <f t="shared" si="26"/>
        <v>2578.8516168212936</v>
      </c>
      <c r="BH32" s="243">
        <f t="shared" si="27"/>
        <v>2578.8516168212936</v>
      </c>
      <c r="BI32" s="243">
        <f t="shared" si="28"/>
        <v>2578.8516168212936</v>
      </c>
      <c r="BJ32" s="243">
        <f t="shared" si="29"/>
        <v>761.36243059886715</v>
      </c>
      <c r="BK32" s="243">
        <f t="shared" si="30"/>
        <v>761.36243059886715</v>
      </c>
      <c r="BL32" s="243">
        <f t="shared" si="31"/>
        <v>761.36243059886715</v>
      </c>
      <c r="BM32" s="243">
        <f t="shared" si="32"/>
        <v>761.36243059886715</v>
      </c>
      <c r="BN32" s="243">
        <f t="shared" si="33"/>
        <v>2578.8516168212936</v>
      </c>
      <c r="BO32" s="243">
        <f t="shared" si="34"/>
        <v>2578.8516168212936</v>
      </c>
      <c r="BP32" s="243">
        <f t="shared" si="35"/>
        <v>2578.8516168212936</v>
      </c>
      <c r="BQ32" s="243">
        <f t="shared" si="36"/>
        <v>2578.8516168212936</v>
      </c>
      <c r="BR32" s="243">
        <f t="shared" si="37"/>
        <v>761.36243059886715</v>
      </c>
      <c r="BS32" s="243">
        <f t="shared" si="38"/>
        <v>761.36243059886715</v>
      </c>
      <c r="BT32" s="243">
        <f t="shared" si="39"/>
        <v>761.36243059886715</v>
      </c>
      <c r="BU32" s="243">
        <f t="shared" si="40"/>
        <v>761.36243059886715</v>
      </c>
      <c r="BW32" s="314">
        <f>VLOOKUP($D32,'2018 Plan Data'!$A$4:$T$2000,13,FALSE)</f>
        <v>1591.4580783330075</v>
      </c>
      <c r="BX32" s="314">
        <f>VLOOKUP($D32,'2018 Plan Data'!$A$4:$T$2000,14,FALSE)</f>
        <v>1591.4580783330075</v>
      </c>
      <c r="BY32" s="314">
        <f>VLOOKUP($D32,'2018 Plan Data'!$A$4:$T$2000,15,FALSE)</f>
        <v>1591.4580783330075</v>
      </c>
      <c r="BZ32" s="314">
        <f>VLOOKUP($D32,'2018 Plan Data'!$A$4:$T$2000,16,FALSE)</f>
        <v>1591.4580783330075</v>
      </c>
      <c r="CA32" s="314">
        <f>VLOOKUP($D32,'2018 Plan Data'!$A$4:$T$2000,17,FALSE)</f>
        <v>576.78972015065688</v>
      </c>
      <c r="CB32" s="314">
        <f>VLOOKUP($D32,'2018 Plan Data'!$A$4:$T$2000,18,FALSE)</f>
        <v>576.78972015065688</v>
      </c>
      <c r="CC32" s="314">
        <f>VLOOKUP($D32,'2018 Plan Data'!$A$4:$T$2000,19,FALSE)</f>
        <v>576.78972015065688</v>
      </c>
      <c r="CD32" s="314">
        <f>VLOOKUP($D32,'2018 Plan Data'!$A$4:$T$2000,20,FALSE)</f>
        <v>576.78972015065688</v>
      </c>
      <c r="CE32" t="b">
        <f t="shared" si="41"/>
        <v>0</v>
      </c>
      <c r="CF32" t="b">
        <f t="shared" si="42"/>
        <v>0</v>
      </c>
      <c r="CG32" t="b">
        <f t="shared" si="43"/>
        <v>0</v>
      </c>
      <c r="CH32" t="b">
        <f t="shared" si="44"/>
        <v>0</v>
      </c>
      <c r="CI32" t="b">
        <f t="shared" si="45"/>
        <v>0</v>
      </c>
      <c r="CJ32" t="b">
        <f t="shared" si="46"/>
        <v>0</v>
      </c>
      <c r="CK32" t="b">
        <f t="shared" si="47"/>
        <v>0</v>
      </c>
      <c r="CL32" t="b">
        <f t="shared" si="48"/>
        <v>0</v>
      </c>
    </row>
    <row r="33" spans="1:90" ht="15" customHeight="1" x14ac:dyDescent="0.35">
      <c r="A33" s="585">
        <f t="shared" si="2"/>
        <v>865</v>
      </c>
      <c r="B33" t="str">
        <f t="shared" si="3"/>
        <v>Residential_Public Housing</v>
      </c>
      <c r="D33" s="445">
        <v>865</v>
      </c>
      <c r="E33" s="445" t="s">
        <v>78</v>
      </c>
      <c r="F33" s="600" t="str">
        <f>VLOOKUP(G33,Sheet4!$D$6:$E$22,2,FALSE)</f>
        <v>Public Housing</v>
      </c>
      <c r="G33" s="445" t="s">
        <v>1072</v>
      </c>
      <c r="H33" s="673" t="s">
        <v>1790</v>
      </c>
      <c r="I33" s="232"/>
      <c r="J33" s="18" t="s">
        <v>7</v>
      </c>
      <c r="K33" s="2585" t="s">
        <v>3387</v>
      </c>
      <c r="L33" s="602" t="s">
        <v>1732</v>
      </c>
      <c r="M33" s="600">
        <v>1</v>
      </c>
      <c r="O33" s="72" t="str">
        <f t="shared" si="4"/>
        <v>Dual Fuel</v>
      </c>
      <c r="P33" s="7">
        <f>VLOOKUP(D33,'2018 Plan Data'!$A$4:$K$1000,11,FALSE)</f>
        <v>25</v>
      </c>
      <c r="Q33" s="652">
        <f>VLOOKUP(D33,'2018 Plan Data'!$A$4:$L$1000,12,FALSE)</f>
        <v>0</v>
      </c>
      <c r="R33" s="314">
        <f>'RES Shell'!X83</f>
        <v>319.80474588693727</v>
      </c>
      <c r="S33" s="314">
        <v>0</v>
      </c>
      <c r="T33" s="314">
        <f>'RES Shell'!Z83</f>
        <v>0.20351332645276182</v>
      </c>
      <c r="U33" s="314">
        <v>0</v>
      </c>
      <c r="V33" s="314">
        <f>'RES Shell'!AB83</f>
        <v>94.383772388289358</v>
      </c>
      <c r="W33" s="314">
        <v>0</v>
      </c>
      <c r="X33" s="600"/>
      <c r="Y33" s="600"/>
      <c r="Z33" s="600"/>
      <c r="AA33" s="600"/>
      <c r="AB33" s="600"/>
      <c r="AC33" s="600"/>
      <c r="AD33" s="309">
        <f t="shared" si="49"/>
        <v>1</v>
      </c>
      <c r="AE33" s="309">
        <f t="shared" si="51"/>
        <v>1</v>
      </c>
      <c r="AF33" s="309">
        <f t="shared" si="51"/>
        <v>1</v>
      </c>
      <c r="AG33" s="309">
        <f t="shared" si="51"/>
        <v>1</v>
      </c>
      <c r="AH33" s="314">
        <f t="shared" si="7"/>
        <v>319.80474588693727</v>
      </c>
      <c r="AI33" s="314">
        <f t="shared" si="8"/>
        <v>319.80474588693727</v>
      </c>
      <c r="AJ33" s="314">
        <f t="shared" si="9"/>
        <v>319.80474588693727</v>
      </c>
      <c r="AK33" s="314">
        <f t="shared" si="10"/>
        <v>319.80474588693727</v>
      </c>
      <c r="AL33" s="309">
        <f t="shared" si="11"/>
        <v>1</v>
      </c>
      <c r="AM33" s="309">
        <f t="shared" si="12"/>
        <v>1</v>
      </c>
      <c r="AN33" s="309">
        <f t="shared" si="13"/>
        <v>1</v>
      </c>
      <c r="AO33" s="309">
        <f t="shared" si="14"/>
        <v>1</v>
      </c>
      <c r="AP33" s="446">
        <f t="shared" si="15"/>
        <v>0.20351332645276182</v>
      </c>
      <c r="AQ33" s="446">
        <f t="shared" si="16"/>
        <v>0.20351332645276182</v>
      </c>
      <c r="AR33" s="446">
        <f t="shared" si="17"/>
        <v>0.20351332645276182</v>
      </c>
      <c r="AS33" s="446">
        <f t="shared" si="18"/>
        <v>0.20351332645276182</v>
      </c>
      <c r="AT33" s="309">
        <f t="shared" si="50"/>
        <v>1</v>
      </c>
      <c r="AU33" s="309">
        <f t="shared" si="52"/>
        <v>1</v>
      </c>
      <c r="AV33" s="309">
        <f t="shared" si="52"/>
        <v>1</v>
      </c>
      <c r="AW33" s="309">
        <f t="shared" si="52"/>
        <v>1</v>
      </c>
      <c r="AX33" s="243">
        <f t="shared" si="21"/>
        <v>94.383772388289358</v>
      </c>
      <c r="AY33" s="243">
        <f t="shared" si="22"/>
        <v>94.383772388289358</v>
      </c>
      <c r="AZ33" s="243">
        <f t="shared" si="23"/>
        <v>94.383772388289358</v>
      </c>
      <c r="BA33" s="243">
        <f t="shared" si="24"/>
        <v>94.383772388289358</v>
      </c>
      <c r="BB33" s="243">
        <f>VLOOKUP($D33,'2018 Plan Data'!$A$4:$K$2000,6,FALSE)</f>
        <v>58</v>
      </c>
      <c r="BC33" s="243">
        <f>VLOOKUP($D33,'2018 Plan Data'!$A$4:$K$2000,7,FALSE)</f>
        <v>58</v>
      </c>
      <c r="BD33" s="243">
        <f>VLOOKUP($D33,'2018 Plan Data'!$A$4:$K$2000,8,FALSE)</f>
        <v>58</v>
      </c>
      <c r="BE33" s="243">
        <f>VLOOKUP($D33,'2018 Plan Data'!$A$4:$K$2000,9,FALSE)</f>
        <v>58</v>
      </c>
      <c r="BF33" s="243">
        <f t="shared" si="25"/>
        <v>18548.67526144236</v>
      </c>
      <c r="BG33" s="243">
        <f t="shared" si="26"/>
        <v>18548.67526144236</v>
      </c>
      <c r="BH33" s="243">
        <f t="shared" si="27"/>
        <v>18548.67526144236</v>
      </c>
      <c r="BI33" s="243">
        <f t="shared" si="28"/>
        <v>18548.67526144236</v>
      </c>
      <c r="BJ33" s="243">
        <f t="shared" si="29"/>
        <v>5474.2587985207829</v>
      </c>
      <c r="BK33" s="243">
        <f t="shared" si="30"/>
        <v>5474.2587985207829</v>
      </c>
      <c r="BL33" s="243">
        <f t="shared" si="31"/>
        <v>5474.2587985207829</v>
      </c>
      <c r="BM33" s="243">
        <f t="shared" si="32"/>
        <v>5474.2587985207829</v>
      </c>
      <c r="BN33" s="243">
        <f t="shared" si="33"/>
        <v>18548.67526144236</v>
      </c>
      <c r="BO33" s="243">
        <f t="shared" si="34"/>
        <v>18548.67526144236</v>
      </c>
      <c r="BP33" s="243">
        <f t="shared" si="35"/>
        <v>18548.67526144236</v>
      </c>
      <c r="BQ33" s="243">
        <f t="shared" si="36"/>
        <v>18548.67526144236</v>
      </c>
      <c r="BR33" s="243">
        <f t="shared" si="37"/>
        <v>5474.2587985207829</v>
      </c>
      <c r="BS33" s="243">
        <f t="shared" si="38"/>
        <v>5474.2587985207829</v>
      </c>
      <c r="BT33" s="243">
        <f t="shared" si="39"/>
        <v>5474.2587985207829</v>
      </c>
      <c r="BU33" s="243">
        <f t="shared" si="40"/>
        <v>5474.2587985207829</v>
      </c>
      <c r="BV33" s="600"/>
      <c r="BW33" s="314">
        <f>VLOOKUP($D33,'2018 Plan Data'!$A$4:$T$2000,13,FALSE)</f>
        <v>11703.475439253856</v>
      </c>
      <c r="BX33" s="314">
        <f>VLOOKUP($D33,'2018 Plan Data'!$A$4:$T$2000,14,FALSE)</f>
        <v>11703.475439253856</v>
      </c>
      <c r="BY33" s="314">
        <f>VLOOKUP($D33,'2018 Plan Data'!$A$4:$T$2000,15,FALSE)</f>
        <v>11703.475439253856</v>
      </c>
      <c r="BZ33" s="314">
        <f>VLOOKUP($D33,'2018 Plan Data'!$A$4:$T$2000,16,FALSE)</f>
        <v>11703.475439253856</v>
      </c>
      <c r="CA33" s="314">
        <f>VLOOKUP($D33,'2018 Plan Data'!$A$4:$T$2000,17,FALSE)</f>
        <v>4147.1657564551369</v>
      </c>
      <c r="CB33" s="314">
        <f>VLOOKUP($D33,'2018 Plan Data'!$A$4:$T$2000,18,FALSE)</f>
        <v>4147.1657564551369</v>
      </c>
      <c r="CC33" s="314">
        <f>VLOOKUP($D33,'2018 Plan Data'!$A$4:$T$2000,19,FALSE)</f>
        <v>4147.1657564551369</v>
      </c>
      <c r="CD33" s="314">
        <f>VLOOKUP($D33,'2018 Plan Data'!$A$4:$T$2000,20,FALSE)</f>
        <v>4147.1657564551369</v>
      </c>
      <c r="CE33" t="b">
        <f t="shared" si="41"/>
        <v>0</v>
      </c>
      <c r="CF33" t="b">
        <f t="shared" si="42"/>
        <v>0</v>
      </c>
      <c r="CG33" t="b">
        <f t="shared" si="43"/>
        <v>0</v>
      </c>
      <c r="CH33" t="b">
        <f t="shared" si="44"/>
        <v>0</v>
      </c>
      <c r="CI33" t="b">
        <f t="shared" si="45"/>
        <v>0</v>
      </c>
      <c r="CJ33" t="b">
        <f t="shared" si="46"/>
        <v>0</v>
      </c>
      <c r="CK33" t="b">
        <f t="shared" si="47"/>
        <v>0</v>
      </c>
      <c r="CL33" t="b">
        <f t="shared" si="48"/>
        <v>0</v>
      </c>
    </row>
    <row r="34" spans="1:90" ht="15" customHeight="1" x14ac:dyDescent="0.35">
      <c r="A34" s="585">
        <f t="shared" si="2"/>
        <v>873</v>
      </c>
      <c r="B34" t="str">
        <f t="shared" si="3"/>
        <v>Residential_Public Housing</v>
      </c>
      <c r="D34" s="445">
        <v>873</v>
      </c>
      <c r="E34" s="445" t="s">
        <v>78</v>
      </c>
      <c r="F34" s="600" t="str">
        <f>VLOOKUP(G34,Sheet4!$D$6:$E$22,2,FALSE)</f>
        <v>Public Housing</v>
      </c>
      <c r="G34" s="445" t="s">
        <v>1072</v>
      </c>
      <c r="H34" s="673" t="s">
        <v>1791</v>
      </c>
      <c r="I34" s="232"/>
      <c r="J34" s="18" t="s">
        <v>7</v>
      </c>
      <c r="K34" s="2585" t="s">
        <v>3387</v>
      </c>
      <c r="L34" s="602" t="s">
        <v>1732</v>
      </c>
      <c r="M34" s="600">
        <v>1</v>
      </c>
      <c r="O34" s="72" t="str">
        <f t="shared" si="4"/>
        <v>Dual Fuel</v>
      </c>
      <c r="P34" s="7">
        <f>VLOOKUP(D34,'2018 Plan Data'!$A$4:$K$1000,11,FALSE)</f>
        <v>25</v>
      </c>
      <c r="Q34" s="652">
        <f>VLOOKUP(D34,'2018 Plan Data'!$A$4:$L$1000,12,FALSE)</f>
        <v>0</v>
      </c>
      <c r="R34" s="314">
        <f>'RES Shell'!X79</f>
        <v>859.61720560709784</v>
      </c>
      <c r="T34" s="314">
        <f>'RES Shell'!Z79</f>
        <v>0.54722472223964824</v>
      </c>
      <c r="V34" s="314">
        <f>'RES Shell'!AB79</f>
        <v>253.78747686628907</v>
      </c>
      <c r="AD34" s="309">
        <f t="shared" si="49"/>
        <v>1</v>
      </c>
      <c r="AE34" s="309">
        <f t="shared" si="51"/>
        <v>1</v>
      </c>
      <c r="AF34" s="309">
        <f t="shared" si="51"/>
        <v>1</v>
      </c>
      <c r="AG34" s="309">
        <f t="shared" si="51"/>
        <v>1</v>
      </c>
      <c r="AH34" s="314">
        <f t="shared" si="7"/>
        <v>859.61720560709784</v>
      </c>
      <c r="AI34" s="314">
        <f t="shared" si="8"/>
        <v>859.61720560709784</v>
      </c>
      <c r="AJ34" s="314">
        <f t="shared" si="9"/>
        <v>859.61720560709784</v>
      </c>
      <c r="AK34" s="314">
        <f t="shared" si="10"/>
        <v>859.61720560709784</v>
      </c>
      <c r="AL34" s="309">
        <f t="shared" si="11"/>
        <v>1</v>
      </c>
      <c r="AM34" s="309">
        <f t="shared" si="12"/>
        <v>1</v>
      </c>
      <c r="AN34" s="309">
        <f t="shared" si="13"/>
        <v>1</v>
      </c>
      <c r="AO34" s="309">
        <f t="shared" si="14"/>
        <v>1</v>
      </c>
      <c r="AP34" s="446">
        <f t="shared" si="15"/>
        <v>0.54722472223964824</v>
      </c>
      <c r="AQ34" s="446">
        <f t="shared" si="16"/>
        <v>0.54722472223964824</v>
      </c>
      <c r="AR34" s="446">
        <f t="shared" si="17"/>
        <v>0.54722472223964824</v>
      </c>
      <c r="AS34" s="446">
        <f t="shared" si="18"/>
        <v>0.54722472223964824</v>
      </c>
      <c r="AT34" s="309">
        <f t="shared" si="50"/>
        <v>1</v>
      </c>
      <c r="AU34" s="309">
        <f t="shared" si="52"/>
        <v>1</v>
      </c>
      <c r="AV34" s="309">
        <f t="shared" si="52"/>
        <v>1</v>
      </c>
      <c r="AW34" s="309">
        <f t="shared" si="52"/>
        <v>1</v>
      </c>
      <c r="AX34" s="243">
        <f t="shared" si="21"/>
        <v>253.78747686628907</v>
      </c>
      <c r="AY34" s="243">
        <f t="shared" si="22"/>
        <v>253.78747686628907</v>
      </c>
      <c r="AZ34" s="243">
        <f t="shared" si="23"/>
        <v>253.78747686628907</v>
      </c>
      <c r="BA34" s="243">
        <f t="shared" si="24"/>
        <v>253.78747686628907</v>
      </c>
      <c r="BB34" s="243">
        <f>VLOOKUP($D34,'2018 Plan Data'!$A$4:$K$2000,6,FALSE)</f>
        <v>15</v>
      </c>
      <c r="BC34" s="243">
        <f>VLOOKUP($D34,'2018 Plan Data'!$A$4:$K$2000,7,FALSE)</f>
        <v>15</v>
      </c>
      <c r="BD34" s="243">
        <f>VLOOKUP($D34,'2018 Plan Data'!$A$4:$K$2000,8,FALSE)</f>
        <v>15</v>
      </c>
      <c r="BE34" s="243">
        <f>VLOOKUP($D34,'2018 Plan Data'!$A$4:$K$2000,9,FALSE)</f>
        <v>15</v>
      </c>
      <c r="BF34" s="243">
        <f t="shared" si="25"/>
        <v>12894.258084106468</v>
      </c>
      <c r="BG34" s="243">
        <f t="shared" si="26"/>
        <v>12894.258084106468</v>
      </c>
      <c r="BH34" s="243">
        <f t="shared" si="27"/>
        <v>12894.258084106468</v>
      </c>
      <c r="BI34" s="243">
        <f t="shared" si="28"/>
        <v>12894.258084106468</v>
      </c>
      <c r="BJ34" s="243">
        <f t="shared" si="29"/>
        <v>3806.812152994336</v>
      </c>
      <c r="BK34" s="243">
        <f t="shared" si="30"/>
        <v>3806.812152994336</v>
      </c>
      <c r="BL34" s="243">
        <f t="shared" si="31"/>
        <v>3806.812152994336</v>
      </c>
      <c r="BM34" s="243">
        <f t="shared" si="32"/>
        <v>3806.812152994336</v>
      </c>
      <c r="BN34" s="243">
        <f t="shared" si="33"/>
        <v>12894.258084106468</v>
      </c>
      <c r="BO34" s="243">
        <f t="shared" si="34"/>
        <v>12894.258084106468</v>
      </c>
      <c r="BP34" s="243">
        <f t="shared" si="35"/>
        <v>12894.258084106468</v>
      </c>
      <c r="BQ34" s="243">
        <f t="shared" si="36"/>
        <v>12894.258084106468</v>
      </c>
      <c r="BR34" s="243">
        <f t="shared" si="37"/>
        <v>3806.812152994336</v>
      </c>
      <c r="BS34" s="243">
        <f t="shared" si="38"/>
        <v>3806.812152994336</v>
      </c>
      <c r="BT34" s="243">
        <f t="shared" si="39"/>
        <v>3806.812152994336</v>
      </c>
      <c r="BU34" s="243">
        <f t="shared" si="40"/>
        <v>3806.812152994336</v>
      </c>
      <c r="BW34" s="314">
        <f>VLOOKUP($D34,'2018 Plan Data'!$A$4:$T$2000,13,FALSE)</f>
        <v>7957.2903916650375</v>
      </c>
      <c r="BX34" s="314">
        <f>VLOOKUP($D34,'2018 Plan Data'!$A$4:$T$2000,14,FALSE)</f>
        <v>7957.2903916650375</v>
      </c>
      <c r="BY34" s="314">
        <f>VLOOKUP($D34,'2018 Plan Data'!$A$4:$T$2000,15,FALSE)</f>
        <v>7957.2903916650375</v>
      </c>
      <c r="BZ34" s="314">
        <f>VLOOKUP($D34,'2018 Plan Data'!$A$4:$T$2000,16,FALSE)</f>
        <v>7957.2903916650375</v>
      </c>
      <c r="CA34" s="314">
        <f>VLOOKUP($D34,'2018 Plan Data'!$A$4:$T$2000,17,FALSE)</f>
        <v>2883.9486007532846</v>
      </c>
      <c r="CB34" s="314">
        <f>VLOOKUP($D34,'2018 Plan Data'!$A$4:$T$2000,18,FALSE)</f>
        <v>2883.9486007532846</v>
      </c>
      <c r="CC34" s="314">
        <f>VLOOKUP($D34,'2018 Plan Data'!$A$4:$T$2000,19,FALSE)</f>
        <v>2883.9486007532846</v>
      </c>
      <c r="CD34" s="314">
        <f>VLOOKUP($D34,'2018 Plan Data'!$A$4:$T$2000,20,FALSE)</f>
        <v>2883.9486007532846</v>
      </c>
      <c r="CE34" t="b">
        <f t="shared" si="41"/>
        <v>0</v>
      </c>
      <c r="CF34" t="b">
        <f t="shared" si="42"/>
        <v>0</v>
      </c>
      <c r="CG34" t="b">
        <f t="shared" si="43"/>
        <v>0</v>
      </c>
      <c r="CH34" t="b">
        <f t="shared" si="44"/>
        <v>0</v>
      </c>
      <c r="CI34" t="b">
        <f t="shared" si="45"/>
        <v>0</v>
      </c>
      <c r="CJ34" t="b">
        <f t="shared" si="46"/>
        <v>0</v>
      </c>
      <c r="CK34" t="b">
        <f t="shared" si="47"/>
        <v>0</v>
      </c>
      <c r="CL34" t="b">
        <f t="shared" si="48"/>
        <v>0</v>
      </c>
    </row>
    <row r="35" spans="1:90" ht="15" customHeight="1" x14ac:dyDescent="0.35">
      <c r="A35" s="585">
        <f t="shared" si="2"/>
        <v>903</v>
      </c>
      <c r="B35" s="600" t="str">
        <f t="shared" si="3"/>
        <v>Residential_Public Housing</v>
      </c>
      <c r="C35" s="600"/>
      <c r="D35" s="445">
        <v>903</v>
      </c>
      <c r="E35" s="445" t="s">
        <v>78</v>
      </c>
      <c r="F35" s="600" t="str">
        <f>VLOOKUP(G35,Sheet4!$D$6:$E$22,2,FALSE)</f>
        <v>Public Housing</v>
      </c>
      <c r="G35" s="445" t="s">
        <v>1072</v>
      </c>
      <c r="H35" s="673" t="s">
        <v>1793</v>
      </c>
      <c r="I35" s="232"/>
      <c r="J35" s="18" t="s">
        <v>7</v>
      </c>
      <c r="K35" s="112" t="s">
        <v>483</v>
      </c>
      <c r="L35" s="670" t="s">
        <v>1723</v>
      </c>
      <c r="M35" s="600">
        <v>1</v>
      </c>
      <c r="O35" s="72" t="str">
        <f t="shared" si="4"/>
        <v>Gas</v>
      </c>
      <c r="P35" s="7">
        <f>VLOOKUP(D35,'2018 Plan Data'!$A$4:$K$1000,11,FALSE)</f>
        <v>13</v>
      </c>
      <c r="Q35" s="652">
        <f>VLOOKUP(D35,'2018 Plan Data'!$A$4:$L$1000,12,FALSE)</f>
        <v>0</v>
      </c>
      <c r="R35" s="314">
        <v>0</v>
      </c>
      <c r="S35" s="314">
        <v>0</v>
      </c>
      <c r="T35" s="314">
        <v>0</v>
      </c>
      <c r="U35" s="314">
        <v>0</v>
      </c>
      <c r="V35" s="314">
        <f>'RES Shell'!S46</f>
        <v>4.4032292307692309</v>
      </c>
      <c r="W35" s="314">
        <v>0</v>
      </c>
      <c r="X35" s="310"/>
      <c r="Y35" s="310"/>
      <c r="Z35" s="310"/>
      <c r="AA35" s="310"/>
      <c r="AB35" s="310"/>
      <c r="AC35" s="310"/>
      <c r="AD35" s="309">
        <f t="shared" si="49"/>
        <v>1</v>
      </c>
      <c r="AE35" s="309">
        <f t="shared" si="51"/>
        <v>1</v>
      </c>
      <c r="AF35" s="309">
        <f t="shared" si="51"/>
        <v>1</v>
      </c>
      <c r="AG35" s="309">
        <f t="shared" si="51"/>
        <v>1</v>
      </c>
      <c r="AH35" s="314">
        <f t="shared" si="7"/>
        <v>0</v>
      </c>
      <c r="AI35" s="314">
        <f t="shared" si="8"/>
        <v>0</v>
      </c>
      <c r="AJ35" s="314">
        <f t="shared" si="9"/>
        <v>0</v>
      </c>
      <c r="AK35" s="314">
        <f t="shared" si="10"/>
        <v>0</v>
      </c>
      <c r="AL35" s="309">
        <f t="shared" si="11"/>
        <v>1</v>
      </c>
      <c r="AM35" s="309">
        <f t="shared" si="12"/>
        <v>1</v>
      </c>
      <c r="AN35" s="309">
        <f t="shared" si="13"/>
        <v>1</v>
      </c>
      <c r="AO35" s="309">
        <f t="shared" si="14"/>
        <v>1</v>
      </c>
      <c r="AP35" s="446">
        <f t="shared" si="15"/>
        <v>0</v>
      </c>
      <c r="AQ35" s="446">
        <f t="shared" si="16"/>
        <v>0</v>
      </c>
      <c r="AR35" s="446">
        <f t="shared" si="17"/>
        <v>0</v>
      </c>
      <c r="AS35" s="446">
        <f t="shared" si="18"/>
        <v>0</v>
      </c>
      <c r="AT35" s="309">
        <f t="shared" si="50"/>
        <v>1</v>
      </c>
      <c r="AU35" s="309">
        <f t="shared" si="52"/>
        <v>1</v>
      </c>
      <c r="AV35" s="309">
        <f t="shared" si="52"/>
        <v>1</v>
      </c>
      <c r="AW35" s="309">
        <f t="shared" si="52"/>
        <v>1</v>
      </c>
      <c r="AX35" s="243">
        <f t="shared" si="21"/>
        <v>4.4032292307692309</v>
      </c>
      <c r="AY35" s="243">
        <f t="shared" si="22"/>
        <v>4.4032292307692309</v>
      </c>
      <c r="AZ35" s="243">
        <f t="shared" si="23"/>
        <v>4.4032292307692309</v>
      </c>
      <c r="BA35" s="243">
        <f t="shared" si="24"/>
        <v>4.4032292307692309</v>
      </c>
      <c r="BB35" s="243">
        <f>VLOOKUP($D35,'2018 Plan Data'!$A$4:$K$2000,6,FALSE)</f>
        <v>158</v>
      </c>
      <c r="BC35" s="243">
        <f>VLOOKUP($D35,'2018 Plan Data'!$A$4:$K$2000,7,FALSE)</f>
        <v>158</v>
      </c>
      <c r="BD35" s="243">
        <f>VLOOKUP($D35,'2018 Plan Data'!$A$4:$K$2000,8,FALSE)</f>
        <v>158</v>
      </c>
      <c r="BE35" s="243">
        <f>VLOOKUP($D35,'2018 Plan Data'!$A$4:$K$2000,9,FALSE)</f>
        <v>158</v>
      </c>
      <c r="BF35" s="243">
        <f t="shared" si="25"/>
        <v>0</v>
      </c>
      <c r="BG35" s="243">
        <f t="shared" si="26"/>
        <v>0</v>
      </c>
      <c r="BH35" s="243">
        <f t="shared" si="27"/>
        <v>0</v>
      </c>
      <c r="BI35" s="243">
        <f t="shared" si="28"/>
        <v>0</v>
      </c>
      <c r="BJ35" s="243">
        <f t="shared" si="29"/>
        <v>695.71021846153849</v>
      </c>
      <c r="BK35" s="243">
        <f t="shared" si="30"/>
        <v>695.71021846153849</v>
      </c>
      <c r="BL35" s="243">
        <f t="shared" si="31"/>
        <v>695.71021846153849</v>
      </c>
      <c r="BM35" s="243">
        <f t="shared" si="32"/>
        <v>695.71021846153849</v>
      </c>
      <c r="BN35" s="243">
        <f t="shared" si="33"/>
        <v>0</v>
      </c>
      <c r="BO35" s="243">
        <f t="shared" si="34"/>
        <v>0</v>
      </c>
      <c r="BP35" s="243">
        <f t="shared" si="35"/>
        <v>0</v>
      </c>
      <c r="BQ35" s="243">
        <f t="shared" si="36"/>
        <v>0</v>
      </c>
      <c r="BR35" s="243">
        <f t="shared" si="37"/>
        <v>695.71021846153849</v>
      </c>
      <c r="BS35" s="243">
        <f t="shared" si="38"/>
        <v>695.71021846153849</v>
      </c>
      <c r="BT35" s="243">
        <f t="shared" si="39"/>
        <v>695.71021846153849</v>
      </c>
      <c r="BU35" s="243">
        <f t="shared" si="40"/>
        <v>695.71021846153849</v>
      </c>
      <c r="BW35" s="314">
        <f>VLOOKUP($D35,'2018 Plan Data'!$A$4:$T$2000,13,FALSE)</f>
        <v>0</v>
      </c>
      <c r="BX35" s="314">
        <f>VLOOKUP($D35,'2018 Plan Data'!$A$4:$T$2000,14,FALSE)</f>
        <v>0</v>
      </c>
      <c r="BY35" s="314">
        <f>VLOOKUP($D35,'2018 Plan Data'!$A$4:$T$2000,15,FALSE)</f>
        <v>0</v>
      </c>
      <c r="BZ35" s="314">
        <f>VLOOKUP($D35,'2018 Plan Data'!$A$4:$T$2000,16,FALSE)</f>
        <v>0</v>
      </c>
      <c r="CA35" s="314">
        <f>VLOOKUP($D35,'2018 Plan Data'!$A$4:$T$2000,17,FALSE)</f>
        <v>835.27842461538467</v>
      </c>
      <c r="CB35" s="314">
        <f>VLOOKUP($D35,'2018 Plan Data'!$A$4:$T$2000,18,FALSE)</f>
        <v>835.27842461538467</v>
      </c>
      <c r="CC35" s="314">
        <f>VLOOKUP($D35,'2018 Plan Data'!$A$4:$T$2000,19,FALSE)</f>
        <v>835.27842461538467</v>
      </c>
      <c r="CD35" s="314">
        <f>VLOOKUP($D35,'2018 Plan Data'!$A$4:$T$2000,20,FALSE)</f>
        <v>835.27842461538467</v>
      </c>
      <c r="CE35" t="b">
        <f t="shared" si="41"/>
        <v>1</v>
      </c>
      <c r="CF35" t="b">
        <f t="shared" si="42"/>
        <v>1</v>
      </c>
      <c r="CG35" t="b">
        <f t="shared" si="43"/>
        <v>1</v>
      </c>
      <c r="CH35" t="b">
        <f t="shared" si="44"/>
        <v>1</v>
      </c>
      <c r="CI35" t="b">
        <f t="shared" si="45"/>
        <v>0</v>
      </c>
      <c r="CJ35" t="b">
        <f t="shared" si="46"/>
        <v>0</v>
      </c>
      <c r="CK35" t="b">
        <f t="shared" si="47"/>
        <v>0</v>
      </c>
      <c r="CL35" t="b">
        <f t="shared" si="48"/>
        <v>0</v>
      </c>
    </row>
    <row r="36" spans="1:90" ht="15" customHeight="1" x14ac:dyDescent="0.35">
      <c r="A36" s="585">
        <f t="shared" ref="A36:A67" si="53">D36</f>
        <v>470</v>
      </c>
      <c r="B36" t="str">
        <f t="shared" si="3"/>
        <v>Residential_Behavior Modification</v>
      </c>
      <c r="D36">
        <v>470</v>
      </c>
      <c r="E36" t="s">
        <v>78</v>
      </c>
      <c r="F36" s="600" t="str">
        <f>VLOOKUP(G36,Sheet4!$D$6:$E$22,2,FALSE)</f>
        <v>Behavior Modification</v>
      </c>
      <c r="G36" s="445" t="s">
        <v>838</v>
      </c>
      <c r="H36" s="673" t="s">
        <v>987</v>
      </c>
      <c r="I36" s="232"/>
      <c r="J36" s="18" t="s">
        <v>1007</v>
      </c>
      <c r="K36" s="18" t="s">
        <v>211</v>
      </c>
      <c r="M36" s="600">
        <v>1</v>
      </c>
      <c r="O36" s="72" t="str">
        <f t="shared" si="4"/>
        <v>Dual Fuel</v>
      </c>
      <c r="P36" s="7">
        <f>VLOOKUP(D36,'2018 Plan Data'!$A$4:$K$1000,11,FALSE)</f>
        <v>1</v>
      </c>
      <c r="Q36" s="652">
        <f>VLOOKUP(D36,'2018 Plan Data'!$A$4:$L$1000,12,FALSE)</f>
        <v>0</v>
      </c>
      <c r="R36" s="314">
        <v>125.8</v>
      </c>
      <c r="T36" s="314">
        <v>2.2260273972602738E-2</v>
      </c>
      <c r="V36" s="314">
        <v>4.5999999999999996</v>
      </c>
      <c r="AD36" s="309">
        <v>1</v>
      </c>
      <c r="AE36" s="309">
        <f t="shared" si="51"/>
        <v>1</v>
      </c>
      <c r="AF36" s="309">
        <f t="shared" si="51"/>
        <v>1</v>
      </c>
      <c r="AG36" s="309">
        <f t="shared" si="51"/>
        <v>1</v>
      </c>
      <c r="AH36" s="314">
        <f t="shared" si="7"/>
        <v>125.8</v>
      </c>
      <c r="AI36" s="314">
        <f t="shared" si="8"/>
        <v>125.8</v>
      </c>
      <c r="AJ36" s="314">
        <f t="shared" si="9"/>
        <v>125.8</v>
      </c>
      <c r="AK36" s="314">
        <f t="shared" si="10"/>
        <v>125.8</v>
      </c>
      <c r="AL36" s="309">
        <f t="shared" si="11"/>
        <v>1</v>
      </c>
      <c r="AM36" s="309">
        <f t="shared" si="12"/>
        <v>1</v>
      </c>
      <c r="AN36" s="309">
        <f t="shared" si="13"/>
        <v>1</v>
      </c>
      <c r="AO36" s="309">
        <f t="shared" si="14"/>
        <v>1</v>
      </c>
      <c r="AP36" s="446">
        <f t="shared" si="15"/>
        <v>2.2260273972602738E-2</v>
      </c>
      <c r="AQ36" s="446">
        <f t="shared" si="16"/>
        <v>2.2260273972602738E-2</v>
      </c>
      <c r="AR36" s="446">
        <f t="shared" si="17"/>
        <v>2.2260273972602738E-2</v>
      </c>
      <c r="AS36" s="446">
        <f t="shared" si="18"/>
        <v>2.2260273972602738E-2</v>
      </c>
      <c r="AT36" s="309">
        <f t="shared" si="50"/>
        <v>1</v>
      </c>
      <c r="AU36" s="309">
        <f t="shared" si="52"/>
        <v>1</v>
      </c>
      <c r="AV36" s="309">
        <f t="shared" si="52"/>
        <v>1</v>
      </c>
      <c r="AW36" s="309">
        <f t="shared" si="52"/>
        <v>1</v>
      </c>
      <c r="AX36" s="243">
        <f t="shared" si="21"/>
        <v>4.5999999999999996</v>
      </c>
      <c r="AY36" s="243">
        <f t="shared" si="22"/>
        <v>4.5999999999999996</v>
      </c>
      <c r="AZ36" s="243">
        <f t="shared" si="23"/>
        <v>4.5999999999999996</v>
      </c>
      <c r="BA36" s="243">
        <f t="shared" si="24"/>
        <v>4.5999999999999996</v>
      </c>
      <c r="BB36" s="243">
        <f>VLOOKUP($D36,'2018 Plan Data'!$A$4:$K$2000,6,FALSE)</f>
        <v>50000</v>
      </c>
      <c r="BC36" s="243">
        <f>VLOOKUP($D36,'2018 Plan Data'!$A$4:$K$2000,7,FALSE)</f>
        <v>0</v>
      </c>
      <c r="BD36" s="243">
        <f>VLOOKUP($D36,'2018 Plan Data'!$A$4:$K$2000,8,FALSE)</f>
        <v>0</v>
      </c>
      <c r="BE36" s="243">
        <f>VLOOKUP($D36,'2018 Plan Data'!$A$4:$K$2000,9,FALSE)</f>
        <v>0</v>
      </c>
      <c r="BF36" s="243">
        <f t="shared" si="25"/>
        <v>6290000</v>
      </c>
      <c r="BG36" s="243">
        <f t="shared" si="26"/>
        <v>0</v>
      </c>
      <c r="BH36" s="243">
        <f t="shared" si="27"/>
        <v>0</v>
      </c>
      <c r="BI36" s="243">
        <f t="shared" si="28"/>
        <v>0</v>
      </c>
      <c r="BJ36" s="243">
        <f t="shared" si="29"/>
        <v>229999.99999999997</v>
      </c>
      <c r="BK36" s="243">
        <f t="shared" si="30"/>
        <v>0</v>
      </c>
      <c r="BL36" s="243">
        <f t="shared" si="31"/>
        <v>0</v>
      </c>
      <c r="BM36" s="243">
        <f t="shared" si="32"/>
        <v>0</v>
      </c>
      <c r="BN36" s="243">
        <f t="shared" si="33"/>
        <v>6290000</v>
      </c>
      <c r="BO36" s="243">
        <f t="shared" si="34"/>
        <v>0</v>
      </c>
      <c r="BP36" s="243">
        <f t="shared" si="35"/>
        <v>0</v>
      </c>
      <c r="BQ36" s="243">
        <f t="shared" si="36"/>
        <v>0</v>
      </c>
      <c r="BR36" s="243">
        <f t="shared" si="37"/>
        <v>229999.99999999997</v>
      </c>
      <c r="BS36" s="243">
        <f t="shared" si="38"/>
        <v>0</v>
      </c>
      <c r="BT36" s="243">
        <f t="shared" si="39"/>
        <v>0</v>
      </c>
      <c r="BU36" s="243">
        <f t="shared" si="40"/>
        <v>0</v>
      </c>
      <c r="BW36" s="314">
        <f>VLOOKUP($D36,'2018 Plan Data'!$A$4:$T$2000,13,FALSE)</f>
        <v>6290000</v>
      </c>
      <c r="BX36" s="314">
        <f>VLOOKUP($D36,'2018 Plan Data'!$A$4:$T$2000,14,FALSE)</f>
        <v>0</v>
      </c>
      <c r="BY36" s="314">
        <f>VLOOKUP($D36,'2018 Plan Data'!$A$4:$T$2000,15,FALSE)</f>
        <v>0</v>
      </c>
      <c r="BZ36" s="314">
        <f>VLOOKUP($D36,'2018 Plan Data'!$A$4:$T$2000,16,FALSE)</f>
        <v>0</v>
      </c>
      <c r="CA36" s="314">
        <f>VLOOKUP($D36,'2018 Plan Data'!$A$4:$T$2000,17,FALSE)</f>
        <v>229999.99999999997</v>
      </c>
      <c r="CB36" s="314">
        <f>VLOOKUP($D36,'2018 Plan Data'!$A$4:$T$2000,18,FALSE)</f>
        <v>0</v>
      </c>
      <c r="CC36" s="314">
        <f>VLOOKUP($D36,'2018 Plan Data'!$A$4:$T$2000,19,FALSE)</f>
        <v>0</v>
      </c>
      <c r="CD36" s="314">
        <f>VLOOKUP($D36,'2018 Plan Data'!$A$4:$T$2000,20,FALSE)</f>
        <v>0</v>
      </c>
      <c r="CE36" t="b">
        <f t="shared" si="41"/>
        <v>1</v>
      </c>
      <c r="CF36" t="b">
        <f t="shared" si="42"/>
        <v>1</v>
      </c>
      <c r="CG36" t="b">
        <f t="shared" si="43"/>
        <v>1</v>
      </c>
      <c r="CH36" t="b">
        <f t="shared" si="44"/>
        <v>1</v>
      </c>
      <c r="CI36" t="b">
        <f t="shared" si="45"/>
        <v>1</v>
      </c>
      <c r="CJ36" t="b">
        <f t="shared" si="46"/>
        <v>1</v>
      </c>
      <c r="CK36" t="b">
        <f t="shared" si="47"/>
        <v>1</v>
      </c>
      <c r="CL36" t="b">
        <f t="shared" si="48"/>
        <v>1</v>
      </c>
    </row>
    <row r="37" spans="1:90" ht="15" customHeight="1" x14ac:dyDescent="0.35">
      <c r="A37" s="585">
        <f t="shared" si="53"/>
        <v>475</v>
      </c>
      <c r="B37" t="str">
        <f t="shared" si="3"/>
        <v>Residential_Behavior Modification</v>
      </c>
      <c r="D37">
        <v>475</v>
      </c>
      <c r="E37" t="s">
        <v>78</v>
      </c>
      <c r="F37" s="600" t="str">
        <f>VLOOKUP(G37,Sheet4!$D$6:$E$22,2,FALSE)</f>
        <v>Behavior Modification</v>
      </c>
      <c r="G37" s="445" t="s">
        <v>838</v>
      </c>
      <c r="H37" s="673" t="s">
        <v>988</v>
      </c>
      <c r="I37" s="232"/>
      <c r="J37" s="18" t="s">
        <v>1007</v>
      </c>
      <c r="K37" s="18" t="s">
        <v>211</v>
      </c>
      <c r="M37" s="600">
        <v>1</v>
      </c>
      <c r="O37" s="72" t="str">
        <f t="shared" ref="O37:O68" si="54">IF(AND(R37&gt;0,V37&gt;0),"Dual Fuel",IF(AND(V37&gt;0,R37&lt;=0),"Gas","Electric"))</f>
        <v>Dual Fuel</v>
      </c>
      <c r="P37" s="7">
        <f>VLOOKUP(D37,'2018 Plan Data'!$A$4:$K$1000,11,FALSE)</f>
        <v>1</v>
      </c>
      <c r="Q37" s="652">
        <f>VLOOKUP(D37,'2018 Plan Data'!$A$4:$L$1000,12,FALSE)</f>
        <v>0</v>
      </c>
      <c r="R37" s="314">
        <v>125.8</v>
      </c>
      <c r="T37" s="314">
        <v>2.2260273972602738E-2</v>
      </c>
      <c r="V37" s="314">
        <v>4.5999999999999996</v>
      </c>
      <c r="AD37" s="309">
        <f t="shared" ref="AD37:AD68" si="55">1-X37+Y37+Z37</f>
        <v>1</v>
      </c>
      <c r="AE37" s="309">
        <f t="shared" si="51"/>
        <v>1</v>
      </c>
      <c r="AF37" s="309">
        <f t="shared" si="51"/>
        <v>1</v>
      </c>
      <c r="AG37" s="309">
        <f t="shared" si="51"/>
        <v>1</v>
      </c>
      <c r="AH37" s="314">
        <f t="shared" ref="AH37:AH68" si="56">IF($Q37&gt;0,$S37*AD37,$R37*AD37)</f>
        <v>125.8</v>
      </c>
      <c r="AI37" s="314">
        <f t="shared" ref="AI37:AI68" si="57">IF($Q37&gt;0,$S37*AE37,$R37*AE37)</f>
        <v>125.8</v>
      </c>
      <c r="AJ37" s="314">
        <f t="shared" ref="AJ37:AJ68" si="58">IF($Q37&gt;0,$S37*AF37,$R37*AF37)</f>
        <v>125.8</v>
      </c>
      <c r="AK37" s="314">
        <f t="shared" ref="AK37:AK68" si="59">IF($Q37&gt;0,$S37*AG37,$R37*AG37)</f>
        <v>125.8</v>
      </c>
      <c r="AL37" s="309">
        <f t="shared" ref="AL37:AL68" si="60">AD37</f>
        <v>1</v>
      </c>
      <c r="AM37" s="309">
        <f t="shared" ref="AM37:AM68" si="61">AE37</f>
        <v>1</v>
      </c>
      <c r="AN37" s="309">
        <f t="shared" ref="AN37:AN68" si="62">AF37</f>
        <v>1</v>
      </c>
      <c r="AO37" s="309">
        <f t="shared" ref="AO37:AO68" si="63">AG37</f>
        <v>1</v>
      </c>
      <c r="AP37" s="446">
        <f t="shared" ref="AP37:AP68" si="64">$T37*AL37</f>
        <v>2.2260273972602738E-2</v>
      </c>
      <c r="AQ37" s="446">
        <f t="shared" ref="AQ37:AQ68" si="65">$T37*AM37</f>
        <v>2.2260273972602738E-2</v>
      </c>
      <c r="AR37" s="446">
        <f t="shared" ref="AR37:AR68" si="66">$T37*AN37</f>
        <v>2.2260273972602738E-2</v>
      </c>
      <c r="AS37" s="446">
        <f t="shared" ref="AS37:AS68" si="67">$T37*AO37</f>
        <v>2.2260273972602738E-2</v>
      </c>
      <c r="AT37" s="309">
        <f t="shared" si="50"/>
        <v>1</v>
      </c>
      <c r="AU37" s="309">
        <f t="shared" si="52"/>
        <v>1</v>
      </c>
      <c r="AV37" s="309">
        <f t="shared" si="52"/>
        <v>1</v>
      </c>
      <c r="AW37" s="309">
        <f t="shared" si="52"/>
        <v>1</v>
      </c>
      <c r="AX37" s="243">
        <f t="shared" si="21"/>
        <v>4.5999999999999996</v>
      </c>
      <c r="AY37" s="243">
        <f t="shared" si="22"/>
        <v>4.5999999999999996</v>
      </c>
      <c r="AZ37" s="243">
        <f t="shared" si="23"/>
        <v>4.5999999999999996</v>
      </c>
      <c r="BA37" s="243">
        <f t="shared" si="24"/>
        <v>4.5999999999999996</v>
      </c>
      <c r="BB37" s="243">
        <f>VLOOKUP($D37,'2018 Plan Data'!$A$4:$K$2000,6,FALSE)</f>
        <v>0</v>
      </c>
      <c r="BC37" s="243">
        <f>VLOOKUP($D37,'2018 Plan Data'!$A$4:$K$2000,7,FALSE)</f>
        <v>50000</v>
      </c>
      <c r="BD37" s="243">
        <f>VLOOKUP($D37,'2018 Plan Data'!$A$4:$K$2000,8,FALSE)</f>
        <v>0</v>
      </c>
      <c r="BE37" s="243">
        <f>VLOOKUP($D37,'2018 Plan Data'!$A$4:$K$2000,9,FALSE)</f>
        <v>0</v>
      </c>
      <c r="BF37" s="243">
        <f t="shared" si="25"/>
        <v>0</v>
      </c>
      <c r="BG37" s="243">
        <f t="shared" si="26"/>
        <v>6290000</v>
      </c>
      <c r="BH37" s="243">
        <f t="shared" si="27"/>
        <v>0</v>
      </c>
      <c r="BI37" s="243">
        <f t="shared" si="28"/>
        <v>0</v>
      </c>
      <c r="BJ37" s="243">
        <f t="shared" si="29"/>
        <v>0</v>
      </c>
      <c r="BK37" s="243">
        <f t="shared" si="30"/>
        <v>229999.99999999997</v>
      </c>
      <c r="BL37" s="243">
        <f t="shared" si="31"/>
        <v>0</v>
      </c>
      <c r="BM37" s="243">
        <f t="shared" si="32"/>
        <v>0</v>
      </c>
      <c r="BN37" s="243">
        <f t="shared" ref="BN37:BN68" si="68">AH37*BB37</f>
        <v>0</v>
      </c>
      <c r="BO37" s="243">
        <f t="shared" ref="BO37:BO68" si="69">AI37*BC37</f>
        <v>6290000</v>
      </c>
      <c r="BP37" s="243">
        <f t="shared" ref="BP37:BP68" si="70">AJ37*BD37</f>
        <v>0</v>
      </c>
      <c r="BQ37" s="243">
        <f t="shared" ref="BQ37:BQ68" si="71">AK37*BE37</f>
        <v>0</v>
      </c>
      <c r="BR37" s="243">
        <f t="shared" ref="BR37:BR68" si="72">AX37*BB37</f>
        <v>0</v>
      </c>
      <c r="BS37" s="243">
        <f t="shared" ref="BS37:BS68" si="73">AY37*BC37</f>
        <v>229999.99999999997</v>
      </c>
      <c r="BT37" s="243">
        <f t="shared" ref="BT37:BT68" si="74">AZ37*BD37</f>
        <v>0</v>
      </c>
      <c r="BU37" s="243">
        <f t="shared" ref="BU37:BU68" si="75">BA37*BE37</f>
        <v>0</v>
      </c>
      <c r="BW37" s="314">
        <f>VLOOKUP($D37,'2018 Plan Data'!$A$4:$T$2000,13,FALSE)</f>
        <v>0</v>
      </c>
      <c r="BX37" s="314">
        <f>VLOOKUP($D37,'2018 Plan Data'!$A$4:$T$2000,14,FALSE)</f>
        <v>6290000</v>
      </c>
      <c r="BY37" s="314">
        <f>VLOOKUP($D37,'2018 Plan Data'!$A$4:$T$2000,15,FALSE)</f>
        <v>0</v>
      </c>
      <c r="BZ37" s="314">
        <f>VLOOKUP($D37,'2018 Plan Data'!$A$4:$T$2000,16,FALSE)</f>
        <v>0</v>
      </c>
      <c r="CA37" s="314">
        <f>VLOOKUP($D37,'2018 Plan Data'!$A$4:$T$2000,17,FALSE)</f>
        <v>0</v>
      </c>
      <c r="CB37" s="314">
        <f>VLOOKUP($D37,'2018 Plan Data'!$A$4:$T$2000,18,FALSE)</f>
        <v>229999.99999999997</v>
      </c>
      <c r="CC37" s="314">
        <f>VLOOKUP($D37,'2018 Plan Data'!$A$4:$T$2000,19,FALSE)</f>
        <v>0</v>
      </c>
      <c r="CD37" s="314">
        <f>VLOOKUP($D37,'2018 Plan Data'!$A$4:$T$2000,20,FALSE)</f>
        <v>0</v>
      </c>
      <c r="CE37" t="b">
        <f t="shared" si="41"/>
        <v>1</v>
      </c>
      <c r="CF37" t="b">
        <f t="shared" si="42"/>
        <v>1</v>
      </c>
      <c r="CG37" t="b">
        <f t="shared" si="43"/>
        <v>1</v>
      </c>
      <c r="CH37" t="b">
        <f t="shared" si="44"/>
        <v>1</v>
      </c>
      <c r="CI37" t="b">
        <f t="shared" si="45"/>
        <v>1</v>
      </c>
      <c r="CJ37" t="b">
        <f t="shared" si="46"/>
        <v>1</v>
      </c>
      <c r="CK37" t="b">
        <f t="shared" si="47"/>
        <v>1</v>
      </c>
      <c r="CL37" t="b">
        <f t="shared" si="48"/>
        <v>1</v>
      </c>
    </row>
    <row r="38" spans="1:90" ht="15" customHeight="1" x14ac:dyDescent="0.35">
      <c r="A38" s="585">
        <f t="shared" si="53"/>
        <v>480</v>
      </c>
      <c r="B38" t="str">
        <f t="shared" si="3"/>
        <v>Residential_Behavior Modification</v>
      </c>
      <c r="D38">
        <v>480</v>
      </c>
      <c r="E38" t="s">
        <v>78</v>
      </c>
      <c r="F38" s="600" t="str">
        <f>VLOOKUP(G38,Sheet4!$D$6:$E$22,2,FALSE)</f>
        <v>Behavior Modification</v>
      </c>
      <c r="G38" s="445" t="s">
        <v>838</v>
      </c>
      <c r="H38" s="673" t="s">
        <v>989</v>
      </c>
      <c r="I38" s="232"/>
      <c r="J38" s="18" t="s">
        <v>1007</v>
      </c>
      <c r="K38" s="18" t="s">
        <v>211</v>
      </c>
      <c r="M38" s="600">
        <v>1</v>
      </c>
      <c r="O38" s="72" t="str">
        <f t="shared" si="54"/>
        <v>Dual Fuel</v>
      </c>
      <c r="P38" s="7">
        <f>VLOOKUP(D38,'2018 Plan Data'!$A$4:$K$1000,11,FALSE)</f>
        <v>1</v>
      </c>
      <c r="Q38" s="652">
        <f>VLOOKUP(D38,'2018 Plan Data'!$A$4:$L$1000,12,FALSE)</f>
        <v>0</v>
      </c>
      <c r="R38" s="314">
        <v>125.8</v>
      </c>
      <c r="T38" s="314">
        <v>2.2260273972602738E-2</v>
      </c>
      <c r="V38" s="314">
        <v>4.5999999999999996</v>
      </c>
      <c r="AD38" s="309">
        <f t="shared" si="55"/>
        <v>1</v>
      </c>
      <c r="AE38" s="309">
        <f t="shared" si="51"/>
        <v>1</v>
      </c>
      <c r="AF38" s="309">
        <f t="shared" si="51"/>
        <v>1</v>
      </c>
      <c r="AG38" s="309">
        <f t="shared" si="51"/>
        <v>1</v>
      </c>
      <c r="AH38" s="314">
        <f t="shared" si="56"/>
        <v>125.8</v>
      </c>
      <c r="AI38" s="314">
        <f t="shared" si="57"/>
        <v>125.8</v>
      </c>
      <c r="AJ38" s="314">
        <f t="shared" si="58"/>
        <v>125.8</v>
      </c>
      <c r="AK38" s="314">
        <f t="shared" si="59"/>
        <v>125.8</v>
      </c>
      <c r="AL38" s="309">
        <f t="shared" si="60"/>
        <v>1</v>
      </c>
      <c r="AM38" s="309">
        <f t="shared" si="61"/>
        <v>1</v>
      </c>
      <c r="AN38" s="309">
        <f t="shared" si="62"/>
        <v>1</v>
      </c>
      <c r="AO38" s="309">
        <f t="shared" si="63"/>
        <v>1</v>
      </c>
      <c r="AP38" s="446">
        <f t="shared" si="64"/>
        <v>2.2260273972602738E-2</v>
      </c>
      <c r="AQ38" s="446">
        <f t="shared" si="65"/>
        <v>2.2260273972602738E-2</v>
      </c>
      <c r="AR38" s="446">
        <f t="shared" si="66"/>
        <v>2.2260273972602738E-2</v>
      </c>
      <c r="AS38" s="446">
        <f t="shared" si="67"/>
        <v>2.2260273972602738E-2</v>
      </c>
      <c r="AT38" s="309">
        <f t="shared" si="50"/>
        <v>1</v>
      </c>
      <c r="AU38" s="309">
        <f t="shared" si="52"/>
        <v>1</v>
      </c>
      <c r="AV38" s="309">
        <f t="shared" si="52"/>
        <v>1</v>
      </c>
      <c r="AW38" s="309">
        <f t="shared" si="52"/>
        <v>1</v>
      </c>
      <c r="AX38" s="243">
        <f t="shared" si="21"/>
        <v>4.5999999999999996</v>
      </c>
      <c r="AY38" s="243">
        <f t="shared" si="22"/>
        <v>4.5999999999999996</v>
      </c>
      <c r="AZ38" s="243">
        <f t="shared" si="23"/>
        <v>4.5999999999999996</v>
      </c>
      <c r="BA38" s="243">
        <f t="shared" si="24"/>
        <v>4.5999999999999996</v>
      </c>
      <c r="BB38" s="243">
        <f>VLOOKUP($D38,'2018 Plan Data'!$A$4:$K$2000,6,FALSE)</f>
        <v>0</v>
      </c>
      <c r="BC38" s="243">
        <f>VLOOKUP($D38,'2018 Plan Data'!$A$4:$K$2000,7,FALSE)</f>
        <v>0</v>
      </c>
      <c r="BD38" s="243">
        <f>VLOOKUP($D38,'2018 Plan Data'!$A$4:$K$2000,8,FALSE)</f>
        <v>50000</v>
      </c>
      <c r="BE38" s="243">
        <f>VLOOKUP($D38,'2018 Plan Data'!$A$4:$K$2000,9,FALSE)</f>
        <v>0</v>
      </c>
      <c r="BF38" s="243">
        <f t="shared" si="25"/>
        <v>0</v>
      </c>
      <c r="BG38" s="243">
        <f t="shared" si="26"/>
        <v>0</v>
      </c>
      <c r="BH38" s="243">
        <f t="shared" si="27"/>
        <v>6290000</v>
      </c>
      <c r="BI38" s="243">
        <f t="shared" si="28"/>
        <v>0</v>
      </c>
      <c r="BJ38" s="243">
        <f t="shared" si="29"/>
        <v>0</v>
      </c>
      <c r="BK38" s="243">
        <f t="shared" si="30"/>
        <v>0</v>
      </c>
      <c r="BL38" s="243">
        <f t="shared" si="31"/>
        <v>229999.99999999997</v>
      </c>
      <c r="BM38" s="243">
        <f t="shared" si="32"/>
        <v>0</v>
      </c>
      <c r="BN38" s="243">
        <f t="shared" si="68"/>
        <v>0</v>
      </c>
      <c r="BO38" s="243">
        <f t="shared" si="69"/>
        <v>0</v>
      </c>
      <c r="BP38" s="243">
        <f t="shared" si="70"/>
        <v>6290000</v>
      </c>
      <c r="BQ38" s="243">
        <f t="shared" si="71"/>
        <v>0</v>
      </c>
      <c r="BR38" s="243">
        <f t="shared" si="72"/>
        <v>0</v>
      </c>
      <c r="BS38" s="243">
        <f t="shared" si="73"/>
        <v>0</v>
      </c>
      <c r="BT38" s="243">
        <f t="shared" si="74"/>
        <v>229999.99999999997</v>
      </c>
      <c r="BU38" s="243">
        <f t="shared" si="75"/>
        <v>0</v>
      </c>
      <c r="BW38" s="314">
        <f>VLOOKUP($D38,'2018 Plan Data'!$A$4:$T$2000,13,FALSE)</f>
        <v>0</v>
      </c>
      <c r="BX38" s="314">
        <f>VLOOKUP($D38,'2018 Plan Data'!$A$4:$T$2000,14,FALSE)</f>
        <v>0</v>
      </c>
      <c r="BY38" s="314">
        <f>VLOOKUP($D38,'2018 Plan Data'!$A$4:$T$2000,15,FALSE)</f>
        <v>6290000</v>
      </c>
      <c r="BZ38" s="314">
        <f>VLOOKUP($D38,'2018 Plan Data'!$A$4:$T$2000,16,FALSE)</f>
        <v>0</v>
      </c>
      <c r="CA38" s="314">
        <f>VLOOKUP($D38,'2018 Plan Data'!$A$4:$T$2000,17,FALSE)</f>
        <v>0</v>
      </c>
      <c r="CB38" s="314">
        <f>VLOOKUP($D38,'2018 Plan Data'!$A$4:$T$2000,18,FALSE)</f>
        <v>0</v>
      </c>
      <c r="CC38" s="314">
        <f>VLOOKUP($D38,'2018 Plan Data'!$A$4:$T$2000,19,FALSE)</f>
        <v>229999.99999999997</v>
      </c>
      <c r="CD38" s="314">
        <f>VLOOKUP($D38,'2018 Plan Data'!$A$4:$T$2000,20,FALSE)</f>
        <v>0</v>
      </c>
      <c r="CE38" t="b">
        <f t="shared" si="41"/>
        <v>1</v>
      </c>
      <c r="CF38" t="b">
        <f t="shared" si="42"/>
        <v>1</v>
      </c>
      <c r="CG38" t="b">
        <f t="shared" si="43"/>
        <v>1</v>
      </c>
      <c r="CH38" t="b">
        <f t="shared" si="44"/>
        <v>1</v>
      </c>
      <c r="CI38" t="b">
        <f t="shared" si="45"/>
        <v>1</v>
      </c>
      <c r="CJ38" t="b">
        <f t="shared" si="46"/>
        <v>1</v>
      </c>
      <c r="CK38" t="b">
        <f t="shared" si="47"/>
        <v>1</v>
      </c>
      <c r="CL38" t="b">
        <f t="shared" si="48"/>
        <v>1</v>
      </c>
    </row>
    <row r="39" spans="1:90" ht="15" customHeight="1" x14ac:dyDescent="0.35">
      <c r="A39" s="585">
        <f t="shared" si="53"/>
        <v>485</v>
      </c>
      <c r="B39" t="str">
        <f t="shared" si="3"/>
        <v>Residential_Behavior Modification</v>
      </c>
      <c r="D39">
        <v>485</v>
      </c>
      <c r="E39" t="s">
        <v>78</v>
      </c>
      <c r="F39" s="600" t="str">
        <f>VLOOKUP(G39,Sheet4!$D$6:$E$22,2,FALSE)</f>
        <v>Behavior Modification</v>
      </c>
      <c r="G39" s="445" t="s">
        <v>838</v>
      </c>
      <c r="H39" s="673" t="s">
        <v>990</v>
      </c>
      <c r="I39" s="232"/>
      <c r="J39" s="18" t="s">
        <v>1007</v>
      </c>
      <c r="K39" s="18" t="s">
        <v>211</v>
      </c>
      <c r="M39" s="600">
        <v>1</v>
      </c>
      <c r="O39" s="72" t="str">
        <f t="shared" si="54"/>
        <v>Dual Fuel</v>
      </c>
      <c r="P39" s="7">
        <f>VLOOKUP(D39,'2018 Plan Data'!$A$4:$K$1000,11,FALSE)</f>
        <v>1</v>
      </c>
      <c r="Q39" s="652">
        <f>VLOOKUP(D39,'2018 Plan Data'!$A$4:$L$1000,12,FALSE)</f>
        <v>0</v>
      </c>
      <c r="R39" s="314">
        <v>125.8</v>
      </c>
      <c r="T39" s="314">
        <v>2.2260273972602738E-2</v>
      </c>
      <c r="V39" s="314">
        <v>4.5999999999999996</v>
      </c>
      <c r="AD39" s="309">
        <f t="shared" si="55"/>
        <v>1</v>
      </c>
      <c r="AE39" s="309">
        <f t="shared" si="51"/>
        <v>1</v>
      </c>
      <c r="AF39" s="309">
        <f t="shared" si="51"/>
        <v>1</v>
      </c>
      <c r="AG39" s="309">
        <f t="shared" si="51"/>
        <v>1</v>
      </c>
      <c r="AH39" s="314">
        <f t="shared" si="56"/>
        <v>125.8</v>
      </c>
      <c r="AI39" s="314">
        <f t="shared" si="57"/>
        <v>125.8</v>
      </c>
      <c r="AJ39" s="314">
        <f t="shared" si="58"/>
        <v>125.8</v>
      </c>
      <c r="AK39" s="314">
        <f t="shared" si="59"/>
        <v>125.8</v>
      </c>
      <c r="AL39" s="309">
        <f t="shared" si="60"/>
        <v>1</v>
      </c>
      <c r="AM39" s="309">
        <f t="shared" si="61"/>
        <v>1</v>
      </c>
      <c r="AN39" s="309">
        <f t="shared" si="62"/>
        <v>1</v>
      </c>
      <c r="AO39" s="309">
        <f t="shared" si="63"/>
        <v>1</v>
      </c>
      <c r="AP39" s="446">
        <f t="shared" si="64"/>
        <v>2.2260273972602738E-2</v>
      </c>
      <c r="AQ39" s="446">
        <f t="shared" si="65"/>
        <v>2.2260273972602738E-2</v>
      </c>
      <c r="AR39" s="446">
        <f t="shared" si="66"/>
        <v>2.2260273972602738E-2</v>
      </c>
      <c r="AS39" s="446">
        <f t="shared" si="67"/>
        <v>2.2260273972602738E-2</v>
      </c>
      <c r="AT39" s="309">
        <f t="shared" si="50"/>
        <v>1</v>
      </c>
      <c r="AU39" s="309">
        <f t="shared" si="52"/>
        <v>1</v>
      </c>
      <c r="AV39" s="309">
        <f t="shared" si="52"/>
        <v>1</v>
      </c>
      <c r="AW39" s="309">
        <f t="shared" si="52"/>
        <v>1</v>
      </c>
      <c r="AX39" s="243">
        <f t="shared" si="21"/>
        <v>4.5999999999999996</v>
      </c>
      <c r="AY39" s="243">
        <f t="shared" si="22"/>
        <v>4.5999999999999996</v>
      </c>
      <c r="AZ39" s="243">
        <f t="shared" si="23"/>
        <v>4.5999999999999996</v>
      </c>
      <c r="BA39" s="243">
        <f t="shared" si="24"/>
        <v>4.5999999999999996</v>
      </c>
      <c r="BB39" s="243">
        <f>VLOOKUP($D39,'2018 Plan Data'!$A$4:$K$2000,6,FALSE)</f>
        <v>0</v>
      </c>
      <c r="BC39" s="243">
        <f>VLOOKUP($D39,'2018 Plan Data'!$A$4:$K$2000,7,FALSE)</f>
        <v>0</v>
      </c>
      <c r="BD39" s="243">
        <f>VLOOKUP($D39,'2018 Plan Data'!$A$4:$K$2000,8,FALSE)</f>
        <v>0</v>
      </c>
      <c r="BE39" s="243">
        <f>VLOOKUP($D39,'2018 Plan Data'!$A$4:$K$2000,9,FALSE)</f>
        <v>50000</v>
      </c>
      <c r="BF39" s="243">
        <f t="shared" si="25"/>
        <v>0</v>
      </c>
      <c r="BG39" s="243">
        <f t="shared" si="26"/>
        <v>0</v>
      </c>
      <c r="BH39" s="243">
        <f t="shared" si="27"/>
        <v>0</v>
      </c>
      <c r="BI39" s="243">
        <f t="shared" si="28"/>
        <v>6290000</v>
      </c>
      <c r="BJ39" s="243">
        <f t="shared" si="29"/>
        <v>0</v>
      </c>
      <c r="BK39" s="243">
        <f t="shared" si="30"/>
        <v>0</v>
      </c>
      <c r="BL39" s="243">
        <f t="shared" si="31"/>
        <v>0</v>
      </c>
      <c r="BM39" s="243">
        <f t="shared" si="32"/>
        <v>229999.99999999997</v>
      </c>
      <c r="BN39" s="243">
        <f t="shared" si="68"/>
        <v>0</v>
      </c>
      <c r="BO39" s="243">
        <f t="shared" si="69"/>
        <v>0</v>
      </c>
      <c r="BP39" s="243">
        <f t="shared" si="70"/>
        <v>0</v>
      </c>
      <c r="BQ39" s="243">
        <f t="shared" si="71"/>
        <v>6290000</v>
      </c>
      <c r="BR39" s="243">
        <f t="shared" si="72"/>
        <v>0</v>
      </c>
      <c r="BS39" s="243">
        <f t="shared" si="73"/>
        <v>0</v>
      </c>
      <c r="BT39" s="243">
        <f t="shared" si="74"/>
        <v>0</v>
      </c>
      <c r="BU39" s="243">
        <f t="shared" si="75"/>
        <v>229999.99999999997</v>
      </c>
      <c r="BW39" s="314">
        <f>VLOOKUP($D39,'2018 Plan Data'!$A$4:$T$2000,13,FALSE)</f>
        <v>0</v>
      </c>
      <c r="BX39" s="314">
        <f>VLOOKUP($D39,'2018 Plan Data'!$A$4:$T$2000,14,FALSE)</f>
        <v>0</v>
      </c>
      <c r="BY39" s="314">
        <f>VLOOKUP($D39,'2018 Plan Data'!$A$4:$T$2000,15,FALSE)</f>
        <v>0</v>
      </c>
      <c r="BZ39" s="314">
        <f>VLOOKUP($D39,'2018 Plan Data'!$A$4:$T$2000,16,FALSE)</f>
        <v>6290000</v>
      </c>
      <c r="CA39" s="314">
        <f>VLOOKUP($D39,'2018 Plan Data'!$A$4:$T$2000,17,FALSE)</f>
        <v>0</v>
      </c>
      <c r="CB39" s="314">
        <f>VLOOKUP($D39,'2018 Plan Data'!$A$4:$T$2000,18,FALSE)</f>
        <v>0</v>
      </c>
      <c r="CC39" s="314">
        <f>VLOOKUP($D39,'2018 Plan Data'!$A$4:$T$2000,19,FALSE)</f>
        <v>0</v>
      </c>
      <c r="CD39" s="314">
        <f>VLOOKUP($D39,'2018 Plan Data'!$A$4:$T$2000,20,FALSE)</f>
        <v>229999.99999999997</v>
      </c>
      <c r="CE39" t="b">
        <f t="shared" si="41"/>
        <v>1</v>
      </c>
      <c r="CF39" t="b">
        <f t="shared" si="42"/>
        <v>1</v>
      </c>
      <c r="CG39" t="b">
        <f t="shared" si="43"/>
        <v>1</v>
      </c>
      <c r="CH39" t="b">
        <f t="shared" si="44"/>
        <v>1</v>
      </c>
      <c r="CI39" t="b">
        <f t="shared" si="45"/>
        <v>1</v>
      </c>
      <c r="CJ39" t="b">
        <f t="shared" si="46"/>
        <v>1</v>
      </c>
      <c r="CK39" t="b">
        <f t="shared" si="47"/>
        <v>1</v>
      </c>
      <c r="CL39" t="b">
        <f t="shared" si="48"/>
        <v>1</v>
      </c>
    </row>
    <row r="40" spans="1:90" ht="15" customHeight="1" x14ac:dyDescent="0.35">
      <c r="A40" s="585">
        <f t="shared" si="53"/>
        <v>471</v>
      </c>
      <c r="B40" t="str">
        <f t="shared" si="3"/>
        <v>Residential_Behavior Modification</v>
      </c>
      <c r="D40">
        <v>471</v>
      </c>
      <c r="E40" t="s">
        <v>78</v>
      </c>
      <c r="F40" s="600" t="str">
        <f>VLOOKUP(G40,Sheet4!$D$6:$E$22,2,FALSE)</f>
        <v>Behavior Modification</v>
      </c>
      <c r="G40" s="445" t="s">
        <v>838</v>
      </c>
      <c r="H40" s="673" t="s">
        <v>991</v>
      </c>
      <c r="I40" s="232"/>
      <c r="J40" s="18" t="s">
        <v>1007</v>
      </c>
      <c r="K40" s="18" t="s">
        <v>211</v>
      </c>
      <c r="M40" s="600">
        <v>1</v>
      </c>
      <c r="O40" s="72" t="str">
        <f t="shared" si="54"/>
        <v>Dual Fuel</v>
      </c>
      <c r="P40" s="7">
        <f>VLOOKUP(D40,'2018 Plan Data'!$A$4:$K$1000,11,FALSE)</f>
        <v>2</v>
      </c>
      <c r="Q40" s="652">
        <f>VLOOKUP(D40,'2018 Plan Data'!$A$4:$L$1000,12,FALSE)</f>
        <v>1</v>
      </c>
      <c r="R40" s="314">
        <f>R36*0.8</f>
        <v>100.64</v>
      </c>
      <c r="T40" s="314">
        <f>T36*0.8</f>
        <v>1.7808219178082191E-2</v>
      </c>
      <c r="V40" s="314">
        <f>V36*0.45</f>
        <v>2.0699999999999998</v>
      </c>
      <c r="AD40" s="309">
        <f t="shared" si="55"/>
        <v>1</v>
      </c>
      <c r="AE40" s="309">
        <f t="shared" si="51"/>
        <v>1</v>
      </c>
      <c r="AF40" s="309">
        <f t="shared" si="51"/>
        <v>1</v>
      </c>
      <c r="AG40" s="309">
        <f t="shared" si="51"/>
        <v>1</v>
      </c>
      <c r="AH40" s="314">
        <f t="shared" si="56"/>
        <v>0</v>
      </c>
      <c r="AI40" s="314">
        <f t="shared" si="57"/>
        <v>0</v>
      </c>
      <c r="AJ40" s="314">
        <f t="shared" si="58"/>
        <v>0</v>
      </c>
      <c r="AK40" s="314">
        <f t="shared" si="59"/>
        <v>0</v>
      </c>
      <c r="AL40" s="309">
        <f t="shared" si="60"/>
        <v>1</v>
      </c>
      <c r="AM40" s="309">
        <f t="shared" si="61"/>
        <v>1</v>
      </c>
      <c r="AN40" s="309">
        <f t="shared" si="62"/>
        <v>1</v>
      </c>
      <c r="AO40" s="309">
        <f t="shared" si="63"/>
        <v>1</v>
      </c>
      <c r="AP40" s="446">
        <f t="shared" si="64"/>
        <v>1.7808219178082191E-2</v>
      </c>
      <c r="AQ40" s="446">
        <f t="shared" si="65"/>
        <v>1.7808219178082191E-2</v>
      </c>
      <c r="AR40" s="446">
        <f t="shared" si="66"/>
        <v>1.7808219178082191E-2</v>
      </c>
      <c r="AS40" s="446">
        <f t="shared" si="67"/>
        <v>1.7808219178082191E-2</v>
      </c>
      <c r="AT40" s="309">
        <f t="shared" si="50"/>
        <v>1</v>
      </c>
      <c r="AU40" s="309">
        <f t="shared" si="52"/>
        <v>1</v>
      </c>
      <c r="AV40" s="309">
        <f t="shared" si="52"/>
        <v>1</v>
      </c>
      <c r="AW40" s="309">
        <f t="shared" si="52"/>
        <v>1</v>
      </c>
      <c r="AX40" s="243">
        <f t="shared" ref="AX40:AX55" si="76">$V40*AT40</f>
        <v>2.0699999999999998</v>
      </c>
      <c r="AY40" s="243">
        <f t="shared" ref="AY40:AY55" si="77">$V40*AU40</f>
        <v>2.0699999999999998</v>
      </c>
      <c r="AZ40" s="243">
        <f t="shared" ref="AZ40:AZ55" si="78">$V40*AV40</f>
        <v>2.0699999999999998</v>
      </c>
      <c r="BA40" s="243">
        <f t="shared" ref="BA40:BA55" si="79">$V40*AW40</f>
        <v>2.0699999999999998</v>
      </c>
      <c r="BB40" s="243">
        <f>VLOOKUP($D40,'2018 Plan Data'!$A$4:$K$2000,6,FALSE)</f>
        <v>50000</v>
      </c>
      <c r="BC40" s="243">
        <f>VLOOKUP($D40,'2018 Plan Data'!$A$4:$K$2000,7,FALSE)</f>
        <v>0</v>
      </c>
      <c r="BD40" s="243">
        <f>VLOOKUP($D40,'2018 Plan Data'!$A$4:$K$2000,8,FALSE)</f>
        <v>0</v>
      </c>
      <c r="BE40" s="243">
        <f>VLOOKUP($D40,'2018 Plan Data'!$A$4:$K$2000,9,FALSE)</f>
        <v>0</v>
      </c>
      <c r="BF40" s="243">
        <f t="shared" si="25"/>
        <v>5032000</v>
      </c>
      <c r="BG40" s="243">
        <f t="shared" si="26"/>
        <v>0</v>
      </c>
      <c r="BH40" s="243">
        <f t="shared" si="27"/>
        <v>0</v>
      </c>
      <c r="BI40" s="243">
        <f t="shared" si="28"/>
        <v>0</v>
      </c>
      <c r="BJ40" s="243">
        <f t="shared" si="29"/>
        <v>103499.99999999999</v>
      </c>
      <c r="BK40" s="243">
        <f t="shared" si="30"/>
        <v>0</v>
      </c>
      <c r="BL40" s="243">
        <f t="shared" si="31"/>
        <v>0</v>
      </c>
      <c r="BM40" s="243">
        <f t="shared" si="32"/>
        <v>0</v>
      </c>
      <c r="BN40" s="243">
        <f t="shared" si="68"/>
        <v>0</v>
      </c>
      <c r="BO40" s="243">
        <f t="shared" si="69"/>
        <v>0</v>
      </c>
      <c r="BP40" s="243">
        <f t="shared" si="70"/>
        <v>0</v>
      </c>
      <c r="BQ40" s="243">
        <f t="shared" si="71"/>
        <v>0</v>
      </c>
      <c r="BR40" s="243">
        <f t="shared" si="72"/>
        <v>103499.99999999999</v>
      </c>
      <c r="BS40" s="243">
        <f t="shared" si="73"/>
        <v>0</v>
      </c>
      <c r="BT40" s="243">
        <f t="shared" si="74"/>
        <v>0</v>
      </c>
      <c r="BU40" s="243">
        <f t="shared" si="75"/>
        <v>0</v>
      </c>
      <c r="BW40" s="314">
        <f>VLOOKUP($D40,'2018 Plan Data'!$A$4:$T$2000,13,FALSE)</f>
        <v>5032000</v>
      </c>
      <c r="BX40" s="314">
        <f>VLOOKUP($D40,'2018 Plan Data'!$A$4:$T$2000,14,FALSE)</f>
        <v>0</v>
      </c>
      <c r="BY40" s="314">
        <f>VLOOKUP($D40,'2018 Plan Data'!$A$4:$T$2000,15,FALSE)</f>
        <v>0</v>
      </c>
      <c r="BZ40" s="314">
        <f>VLOOKUP($D40,'2018 Plan Data'!$A$4:$T$2000,16,FALSE)</f>
        <v>0</v>
      </c>
      <c r="CA40" s="314">
        <f>VLOOKUP($D40,'2018 Plan Data'!$A$4:$T$2000,17,FALSE)</f>
        <v>103499.99999999999</v>
      </c>
      <c r="CB40" s="314">
        <f>VLOOKUP($D40,'2018 Plan Data'!$A$4:$T$2000,18,FALSE)</f>
        <v>0</v>
      </c>
      <c r="CC40" s="314">
        <f>VLOOKUP($D40,'2018 Plan Data'!$A$4:$T$2000,19,FALSE)</f>
        <v>0</v>
      </c>
      <c r="CD40" s="314">
        <f>VLOOKUP($D40,'2018 Plan Data'!$A$4:$T$2000,20,FALSE)</f>
        <v>0</v>
      </c>
      <c r="CE40" t="b">
        <f t="shared" si="41"/>
        <v>0</v>
      </c>
      <c r="CF40" t="b">
        <f t="shared" si="42"/>
        <v>1</v>
      </c>
      <c r="CG40" t="b">
        <f t="shared" si="43"/>
        <v>1</v>
      </c>
      <c r="CH40" t="b">
        <f t="shared" si="44"/>
        <v>1</v>
      </c>
      <c r="CI40" t="b">
        <f t="shared" si="45"/>
        <v>1</v>
      </c>
      <c r="CJ40" t="b">
        <f t="shared" si="46"/>
        <v>1</v>
      </c>
      <c r="CK40" t="b">
        <f t="shared" si="47"/>
        <v>1</v>
      </c>
      <c r="CL40" t="b">
        <f t="shared" si="48"/>
        <v>1</v>
      </c>
    </row>
    <row r="41" spans="1:90" ht="15" customHeight="1" x14ac:dyDescent="0.35">
      <c r="A41" s="585">
        <f t="shared" si="53"/>
        <v>472</v>
      </c>
      <c r="B41" t="str">
        <f t="shared" si="3"/>
        <v>Residential_Behavior Modification</v>
      </c>
      <c r="D41">
        <v>472</v>
      </c>
      <c r="E41" t="s">
        <v>78</v>
      </c>
      <c r="F41" s="600" t="str">
        <f>VLOOKUP(G41,Sheet4!$D$6:$E$22,2,FALSE)</f>
        <v>Behavior Modification</v>
      </c>
      <c r="G41" s="445" t="s">
        <v>838</v>
      </c>
      <c r="H41" s="673" t="s">
        <v>992</v>
      </c>
      <c r="I41" s="232"/>
      <c r="J41" s="18" t="s">
        <v>1007</v>
      </c>
      <c r="K41" s="18" t="s">
        <v>211</v>
      </c>
      <c r="M41" s="600">
        <v>1</v>
      </c>
      <c r="O41" s="72" t="str">
        <f t="shared" si="54"/>
        <v>Dual Fuel</v>
      </c>
      <c r="P41" s="7">
        <f>VLOOKUP(D41,'2018 Plan Data'!$A$4:$K$1000,11,FALSE)</f>
        <v>3</v>
      </c>
      <c r="Q41" s="652">
        <f>VLOOKUP(D41,'2018 Plan Data'!$A$4:$L$1000,12,FALSE)</f>
        <v>2</v>
      </c>
      <c r="R41" s="314">
        <f>R36*0.64</f>
        <v>80.512</v>
      </c>
      <c r="T41" s="314">
        <f>T36*0.64</f>
        <v>1.4246575342465753E-2</v>
      </c>
      <c r="V41" s="314">
        <f>V36*0.2</f>
        <v>0.91999999999999993</v>
      </c>
      <c r="AD41" s="309">
        <f t="shared" si="55"/>
        <v>1</v>
      </c>
      <c r="AE41" s="309">
        <f t="shared" si="51"/>
        <v>1</v>
      </c>
      <c r="AF41" s="309">
        <f t="shared" si="51"/>
        <v>1</v>
      </c>
      <c r="AG41" s="309">
        <f t="shared" si="51"/>
        <v>1</v>
      </c>
      <c r="AH41" s="314">
        <f t="shared" si="56"/>
        <v>0</v>
      </c>
      <c r="AI41" s="314">
        <f t="shared" si="57"/>
        <v>0</v>
      </c>
      <c r="AJ41" s="314">
        <f t="shared" si="58"/>
        <v>0</v>
      </c>
      <c r="AK41" s="314">
        <f t="shared" si="59"/>
        <v>0</v>
      </c>
      <c r="AL41" s="309">
        <f t="shared" si="60"/>
        <v>1</v>
      </c>
      <c r="AM41" s="309">
        <f t="shared" si="61"/>
        <v>1</v>
      </c>
      <c r="AN41" s="309">
        <f t="shared" si="62"/>
        <v>1</v>
      </c>
      <c r="AO41" s="309">
        <f t="shared" si="63"/>
        <v>1</v>
      </c>
      <c r="AP41" s="446">
        <f t="shared" si="64"/>
        <v>1.4246575342465753E-2</v>
      </c>
      <c r="AQ41" s="446">
        <f t="shared" si="65"/>
        <v>1.4246575342465753E-2</v>
      </c>
      <c r="AR41" s="446">
        <f t="shared" si="66"/>
        <v>1.4246575342465753E-2</v>
      </c>
      <c r="AS41" s="446">
        <f t="shared" si="67"/>
        <v>1.4246575342465753E-2</v>
      </c>
      <c r="AT41" s="309">
        <f t="shared" si="50"/>
        <v>1</v>
      </c>
      <c r="AU41" s="309">
        <f t="shared" si="52"/>
        <v>1</v>
      </c>
      <c r="AV41" s="309">
        <f t="shared" si="52"/>
        <v>1</v>
      </c>
      <c r="AW41" s="309">
        <f t="shared" si="52"/>
        <v>1</v>
      </c>
      <c r="AX41" s="243">
        <f t="shared" si="76"/>
        <v>0.91999999999999993</v>
      </c>
      <c r="AY41" s="243">
        <f t="shared" si="77"/>
        <v>0.91999999999999993</v>
      </c>
      <c r="AZ41" s="243">
        <f t="shared" si="78"/>
        <v>0.91999999999999993</v>
      </c>
      <c r="BA41" s="243">
        <f t="shared" si="79"/>
        <v>0.91999999999999993</v>
      </c>
      <c r="BB41" s="243">
        <f>VLOOKUP($D41,'2018 Plan Data'!$A$4:$K$2000,6,FALSE)</f>
        <v>50000</v>
      </c>
      <c r="BC41" s="243">
        <f>VLOOKUP($D41,'2018 Plan Data'!$A$4:$K$2000,7,FALSE)</f>
        <v>0</v>
      </c>
      <c r="BD41" s="243">
        <f>VLOOKUP($D41,'2018 Plan Data'!$A$4:$K$2000,8,FALSE)</f>
        <v>0</v>
      </c>
      <c r="BE41" s="243">
        <f>VLOOKUP($D41,'2018 Plan Data'!$A$4:$K$2000,9,FALSE)</f>
        <v>0</v>
      </c>
      <c r="BF41" s="243">
        <f t="shared" si="25"/>
        <v>4025600</v>
      </c>
      <c r="BG41" s="243">
        <f t="shared" si="26"/>
        <v>0</v>
      </c>
      <c r="BH41" s="243">
        <f t="shared" si="27"/>
        <v>0</v>
      </c>
      <c r="BI41" s="243">
        <f t="shared" si="28"/>
        <v>0</v>
      </c>
      <c r="BJ41" s="243">
        <f t="shared" si="29"/>
        <v>46000</v>
      </c>
      <c r="BK41" s="243">
        <f t="shared" si="30"/>
        <v>0</v>
      </c>
      <c r="BL41" s="243">
        <f t="shared" si="31"/>
        <v>0</v>
      </c>
      <c r="BM41" s="243">
        <f t="shared" si="32"/>
        <v>0</v>
      </c>
      <c r="BN41" s="243">
        <f t="shared" si="68"/>
        <v>0</v>
      </c>
      <c r="BO41" s="243">
        <f t="shared" si="69"/>
        <v>0</v>
      </c>
      <c r="BP41" s="243">
        <f t="shared" si="70"/>
        <v>0</v>
      </c>
      <c r="BQ41" s="243">
        <f t="shared" si="71"/>
        <v>0</v>
      </c>
      <c r="BR41" s="243">
        <f t="shared" si="72"/>
        <v>46000</v>
      </c>
      <c r="BS41" s="243">
        <f t="shared" si="73"/>
        <v>0</v>
      </c>
      <c r="BT41" s="243">
        <f t="shared" si="74"/>
        <v>0</v>
      </c>
      <c r="BU41" s="243">
        <f t="shared" si="75"/>
        <v>0</v>
      </c>
      <c r="BW41" s="314">
        <f>VLOOKUP($D41,'2018 Plan Data'!$A$4:$T$2000,13,FALSE)</f>
        <v>4025600</v>
      </c>
      <c r="BX41" s="314">
        <f>VLOOKUP($D41,'2018 Plan Data'!$A$4:$T$2000,14,FALSE)</f>
        <v>0</v>
      </c>
      <c r="BY41" s="314">
        <f>VLOOKUP($D41,'2018 Plan Data'!$A$4:$T$2000,15,FALSE)</f>
        <v>0</v>
      </c>
      <c r="BZ41" s="314">
        <f>VLOOKUP($D41,'2018 Plan Data'!$A$4:$T$2000,16,FALSE)</f>
        <v>0</v>
      </c>
      <c r="CA41" s="314">
        <f>VLOOKUP($D41,'2018 Plan Data'!$A$4:$T$2000,17,FALSE)</f>
        <v>46000</v>
      </c>
      <c r="CB41" s="314">
        <f>VLOOKUP($D41,'2018 Plan Data'!$A$4:$T$2000,18,FALSE)</f>
        <v>0</v>
      </c>
      <c r="CC41" s="314">
        <f>VLOOKUP($D41,'2018 Plan Data'!$A$4:$T$2000,19,FALSE)</f>
        <v>0</v>
      </c>
      <c r="CD41" s="314">
        <f>VLOOKUP($D41,'2018 Plan Data'!$A$4:$T$2000,20,FALSE)</f>
        <v>0</v>
      </c>
      <c r="CE41" t="b">
        <f t="shared" si="41"/>
        <v>0</v>
      </c>
      <c r="CF41" t="b">
        <f t="shared" si="42"/>
        <v>1</v>
      </c>
      <c r="CG41" t="b">
        <f t="shared" si="43"/>
        <v>1</v>
      </c>
      <c r="CH41" t="b">
        <f t="shared" si="44"/>
        <v>1</v>
      </c>
      <c r="CI41" t="b">
        <f t="shared" si="45"/>
        <v>1</v>
      </c>
      <c r="CJ41" t="b">
        <f t="shared" si="46"/>
        <v>1</v>
      </c>
      <c r="CK41" t="b">
        <f t="shared" si="47"/>
        <v>1</v>
      </c>
      <c r="CL41" t="b">
        <f t="shared" si="48"/>
        <v>1</v>
      </c>
    </row>
    <row r="42" spans="1:90" ht="15" customHeight="1" x14ac:dyDescent="0.35">
      <c r="A42" s="585">
        <f t="shared" si="53"/>
        <v>473</v>
      </c>
      <c r="B42" t="str">
        <f t="shared" si="3"/>
        <v>Residential_Behavior Modification</v>
      </c>
      <c r="D42" s="600">
        <v>473</v>
      </c>
      <c r="E42" s="600" t="s">
        <v>78</v>
      </c>
      <c r="F42" s="600" t="str">
        <f>VLOOKUP(G42,Sheet4!$D$6:$E$22,2,FALSE)</f>
        <v>Behavior Modification</v>
      </c>
      <c r="G42" s="445" t="s">
        <v>838</v>
      </c>
      <c r="H42" s="673" t="s">
        <v>993</v>
      </c>
      <c r="I42" s="232"/>
      <c r="J42" s="18" t="s">
        <v>1007</v>
      </c>
      <c r="K42" s="18" t="s">
        <v>211</v>
      </c>
      <c r="L42" s="72"/>
      <c r="M42" s="600">
        <v>1</v>
      </c>
      <c r="O42" s="72" t="str">
        <f t="shared" si="54"/>
        <v>Dual Fuel</v>
      </c>
      <c r="P42" s="7">
        <f>VLOOKUP(D42,'2018 Plan Data'!$A$4:$K$1000,11,FALSE)</f>
        <v>4</v>
      </c>
      <c r="Q42" s="652">
        <f>VLOOKUP(D42,'2018 Plan Data'!$A$4:$L$1000,12,FALSE)</f>
        <v>3</v>
      </c>
      <c r="R42" s="314">
        <f>R36*0.51</f>
        <v>64.158000000000001</v>
      </c>
      <c r="T42" s="314">
        <f>T36*0.51</f>
        <v>1.1352739726027397E-2</v>
      </c>
      <c r="V42" s="314">
        <f>V36*0.09</f>
        <v>0.41399999999999998</v>
      </c>
      <c r="X42" s="600"/>
      <c r="Y42" s="600"/>
      <c r="Z42" s="600"/>
      <c r="AA42" s="600"/>
      <c r="AB42" s="600"/>
      <c r="AC42" s="600"/>
      <c r="AD42" s="309">
        <f t="shared" si="55"/>
        <v>1</v>
      </c>
      <c r="AE42" s="309">
        <f t="shared" si="51"/>
        <v>1</v>
      </c>
      <c r="AF42" s="309">
        <f t="shared" si="51"/>
        <v>1</v>
      </c>
      <c r="AG42" s="309">
        <f t="shared" si="51"/>
        <v>1</v>
      </c>
      <c r="AH42" s="314">
        <f t="shared" si="56"/>
        <v>0</v>
      </c>
      <c r="AI42" s="314">
        <f t="shared" si="57"/>
        <v>0</v>
      </c>
      <c r="AJ42" s="314">
        <f t="shared" si="58"/>
        <v>0</v>
      </c>
      <c r="AK42" s="314">
        <f t="shared" si="59"/>
        <v>0</v>
      </c>
      <c r="AL42" s="309">
        <f t="shared" si="60"/>
        <v>1</v>
      </c>
      <c r="AM42" s="309">
        <f t="shared" si="61"/>
        <v>1</v>
      </c>
      <c r="AN42" s="309">
        <f t="shared" si="62"/>
        <v>1</v>
      </c>
      <c r="AO42" s="309">
        <f t="shared" si="63"/>
        <v>1</v>
      </c>
      <c r="AP42" s="446">
        <f t="shared" si="64"/>
        <v>1.1352739726027397E-2</v>
      </c>
      <c r="AQ42" s="446">
        <f t="shared" si="65"/>
        <v>1.1352739726027397E-2</v>
      </c>
      <c r="AR42" s="446">
        <f t="shared" si="66"/>
        <v>1.1352739726027397E-2</v>
      </c>
      <c r="AS42" s="446">
        <f t="shared" si="67"/>
        <v>1.1352739726027397E-2</v>
      </c>
      <c r="AT42" s="309">
        <f t="shared" si="50"/>
        <v>1</v>
      </c>
      <c r="AU42" s="309">
        <f t="shared" si="52"/>
        <v>1</v>
      </c>
      <c r="AV42" s="309">
        <f t="shared" si="52"/>
        <v>1</v>
      </c>
      <c r="AW42" s="309">
        <f t="shared" si="52"/>
        <v>1</v>
      </c>
      <c r="AX42" s="243">
        <f t="shared" si="76"/>
        <v>0.41399999999999998</v>
      </c>
      <c r="AY42" s="243">
        <f t="shared" si="77"/>
        <v>0.41399999999999998</v>
      </c>
      <c r="AZ42" s="243">
        <f t="shared" si="78"/>
        <v>0.41399999999999998</v>
      </c>
      <c r="BA42" s="243">
        <f t="shared" si="79"/>
        <v>0.41399999999999998</v>
      </c>
      <c r="BB42" s="243">
        <f>VLOOKUP($D42,'2018 Plan Data'!$A$4:$K$2000,6,FALSE)</f>
        <v>50000</v>
      </c>
      <c r="BC42" s="243">
        <f>VLOOKUP($D42,'2018 Plan Data'!$A$4:$K$2000,7,FALSE)</f>
        <v>0</v>
      </c>
      <c r="BD42" s="243">
        <f>VLOOKUP($D42,'2018 Plan Data'!$A$4:$K$2000,8,FALSE)</f>
        <v>0</v>
      </c>
      <c r="BE42" s="243">
        <f>VLOOKUP($D42,'2018 Plan Data'!$A$4:$K$2000,9,FALSE)</f>
        <v>0</v>
      </c>
      <c r="BF42" s="243">
        <f t="shared" si="25"/>
        <v>3207900</v>
      </c>
      <c r="BG42" s="243">
        <f t="shared" si="26"/>
        <v>0</v>
      </c>
      <c r="BH42" s="243">
        <f t="shared" si="27"/>
        <v>0</v>
      </c>
      <c r="BI42" s="243">
        <f t="shared" si="28"/>
        <v>0</v>
      </c>
      <c r="BJ42" s="243">
        <f t="shared" si="29"/>
        <v>20700</v>
      </c>
      <c r="BK42" s="243">
        <f t="shared" si="30"/>
        <v>0</v>
      </c>
      <c r="BL42" s="243">
        <f t="shared" si="31"/>
        <v>0</v>
      </c>
      <c r="BM42" s="243">
        <f t="shared" si="32"/>
        <v>0</v>
      </c>
      <c r="BN42" s="243">
        <f t="shared" si="68"/>
        <v>0</v>
      </c>
      <c r="BO42" s="243">
        <f t="shared" si="69"/>
        <v>0</v>
      </c>
      <c r="BP42" s="243">
        <f t="shared" si="70"/>
        <v>0</v>
      </c>
      <c r="BQ42" s="243">
        <f t="shared" si="71"/>
        <v>0</v>
      </c>
      <c r="BR42" s="243">
        <f t="shared" si="72"/>
        <v>20700</v>
      </c>
      <c r="BS42" s="243">
        <f t="shared" si="73"/>
        <v>0</v>
      </c>
      <c r="BT42" s="243">
        <f t="shared" si="74"/>
        <v>0</v>
      </c>
      <c r="BU42" s="243">
        <f t="shared" si="75"/>
        <v>0</v>
      </c>
      <c r="BW42" s="314">
        <f>VLOOKUP($D42,'2018 Plan Data'!$A$4:$T$2000,13,FALSE)</f>
        <v>3207900</v>
      </c>
      <c r="BX42" s="314">
        <f>VLOOKUP($D42,'2018 Plan Data'!$A$4:$T$2000,14,FALSE)</f>
        <v>0</v>
      </c>
      <c r="BY42" s="314">
        <f>VLOOKUP($D42,'2018 Plan Data'!$A$4:$T$2000,15,FALSE)</f>
        <v>0</v>
      </c>
      <c r="BZ42" s="314">
        <f>VLOOKUP($D42,'2018 Plan Data'!$A$4:$T$2000,16,FALSE)</f>
        <v>0</v>
      </c>
      <c r="CA42" s="314">
        <f>VLOOKUP($D42,'2018 Plan Data'!$A$4:$T$2000,17,FALSE)</f>
        <v>20700</v>
      </c>
      <c r="CB42" s="314">
        <f>VLOOKUP($D42,'2018 Plan Data'!$A$4:$T$2000,18,FALSE)</f>
        <v>0</v>
      </c>
      <c r="CC42" s="314">
        <f>VLOOKUP($D42,'2018 Plan Data'!$A$4:$T$2000,19,FALSE)</f>
        <v>0</v>
      </c>
      <c r="CD42" s="314">
        <f>VLOOKUP($D42,'2018 Plan Data'!$A$4:$T$2000,20,FALSE)</f>
        <v>0</v>
      </c>
      <c r="CE42" t="b">
        <f t="shared" si="41"/>
        <v>0</v>
      </c>
      <c r="CF42" t="b">
        <f t="shared" si="42"/>
        <v>1</v>
      </c>
      <c r="CG42" t="b">
        <f t="shared" si="43"/>
        <v>1</v>
      </c>
      <c r="CH42" t="b">
        <f t="shared" si="44"/>
        <v>1</v>
      </c>
      <c r="CI42" t="b">
        <f t="shared" si="45"/>
        <v>1</v>
      </c>
      <c r="CJ42" t="b">
        <f t="shared" si="46"/>
        <v>1</v>
      </c>
      <c r="CK42" t="b">
        <f t="shared" si="47"/>
        <v>1</v>
      </c>
      <c r="CL42" t="b">
        <f t="shared" si="48"/>
        <v>1</v>
      </c>
    </row>
    <row r="43" spans="1:90" ht="15" customHeight="1" x14ac:dyDescent="0.35">
      <c r="A43" s="585">
        <f t="shared" si="53"/>
        <v>474</v>
      </c>
      <c r="B43" t="str">
        <f t="shared" si="3"/>
        <v>Residential_Behavior Modification</v>
      </c>
      <c r="D43">
        <v>474</v>
      </c>
      <c r="E43" t="s">
        <v>78</v>
      </c>
      <c r="F43" s="600" t="str">
        <f>VLOOKUP(G43,Sheet4!$D$6:$E$22,2,FALSE)</f>
        <v>Behavior Modification</v>
      </c>
      <c r="G43" s="445" t="s">
        <v>838</v>
      </c>
      <c r="H43" s="673" t="s">
        <v>994</v>
      </c>
      <c r="I43" s="232"/>
      <c r="J43" s="18" t="s">
        <v>1007</v>
      </c>
      <c r="K43" s="18" t="s">
        <v>211</v>
      </c>
      <c r="M43" s="600">
        <v>1</v>
      </c>
      <c r="O43" s="72" t="str">
        <f t="shared" si="54"/>
        <v>Dual Fuel</v>
      </c>
      <c r="P43" s="7">
        <f>VLOOKUP(D43,'2018 Plan Data'!$A$4:$K$1000,11,FALSE)</f>
        <v>5</v>
      </c>
      <c r="Q43" s="652">
        <f>VLOOKUP(D43,'2018 Plan Data'!$A$4:$L$1000,12,FALSE)</f>
        <v>4</v>
      </c>
      <c r="R43" s="314">
        <f>R36*0.41</f>
        <v>51.577999999999996</v>
      </c>
      <c r="T43" s="314">
        <f>T36*0.41</f>
        <v>9.1267123287671215E-3</v>
      </c>
      <c r="V43" s="314">
        <f>V36*0.04</f>
        <v>0.184</v>
      </c>
      <c r="AD43" s="309">
        <f t="shared" si="55"/>
        <v>1</v>
      </c>
      <c r="AE43" s="309">
        <f t="shared" si="51"/>
        <v>1</v>
      </c>
      <c r="AF43" s="309">
        <f t="shared" si="51"/>
        <v>1</v>
      </c>
      <c r="AG43" s="309">
        <f t="shared" si="51"/>
        <v>1</v>
      </c>
      <c r="AH43" s="314">
        <f t="shared" si="56"/>
        <v>0</v>
      </c>
      <c r="AI43" s="314">
        <f t="shared" si="57"/>
        <v>0</v>
      </c>
      <c r="AJ43" s="314">
        <f t="shared" si="58"/>
        <v>0</v>
      </c>
      <c r="AK43" s="314">
        <f t="shared" si="59"/>
        <v>0</v>
      </c>
      <c r="AL43" s="309">
        <f t="shared" si="60"/>
        <v>1</v>
      </c>
      <c r="AM43" s="309">
        <f t="shared" si="61"/>
        <v>1</v>
      </c>
      <c r="AN43" s="309">
        <f t="shared" si="62"/>
        <v>1</v>
      </c>
      <c r="AO43" s="309">
        <f t="shared" si="63"/>
        <v>1</v>
      </c>
      <c r="AP43" s="446">
        <f t="shared" si="64"/>
        <v>9.1267123287671215E-3</v>
      </c>
      <c r="AQ43" s="446">
        <f t="shared" si="65"/>
        <v>9.1267123287671215E-3</v>
      </c>
      <c r="AR43" s="446">
        <f t="shared" si="66"/>
        <v>9.1267123287671215E-3</v>
      </c>
      <c r="AS43" s="446">
        <f t="shared" si="67"/>
        <v>9.1267123287671215E-3</v>
      </c>
      <c r="AT43" s="309">
        <f t="shared" si="50"/>
        <v>1</v>
      </c>
      <c r="AU43" s="309">
        <f t="shared" si="52"/>
        <v>1</v>
      </c>
      <c r="AV43" s="309">
        <f t="shared" si="52"/>
        <v>1</v>
      </c>
      <c r="AW43" s="309">
        <f t="shared" si="52"/>
        <v>1</v>
      </c>
      <c r="AX43" s="243">
        <f t="shared" si="76"/>
        <v>0.184</v>
      </c>
      <c r="AY43" s="243">
        <f t="shared" si="77"/>
        <v>0.184</v>
      </c>
      <c r="AZ43" s="243">
        <f t="shared" si="78"/>
        <v>0.184</v>
      </c>
      <c r="BA43" s="243">
        <f t="shared" si="79"/>
        <v>0.184</v>
      </c>
      <c r="BB43" s="243">
        <f>VLOOKUP($D43,'2018 Plan Data'!$A$4:$K$2000,6,FALSE)</f>
        <v>50000</v>
      </c>
      <c r="BC43" s="243">
        <f>VLOOKUP($D43,'2018 Plan Data'!$A$4:$K$2000,7,FALSE)</f>
        <v>0</v>
      </c>
      <c r="BD43" s="243">
        <f>VLOOKUP($D43,'2018 Plan Data'!$A$4:$K$2000,8,FALSE)</f>
        <v>0</v>
      </c>
      <c r="BE43" s="243">
        <f>VLOOKUP($D43,'2018 Plan Data'!$A$4:$K$2000,9,FALSE)</f>
        <v>0</v>
      </c>
      <c r="BF43" s="243">
        <f t="shared" si="25"/>
        <v>2578900</v>
      </c>
      <c r="BG43" s="243">
        <f t="shared" si="26"/>
        <v>0</v>
      </c>
      <c r="BH43" s="243">
        <f t="shared" si="27"/>
        <v>0</v>
      </c>
      <c r="BI43" s="243">
        <f t="shared" si="28"/>
        <v>0</v>
      </c>
      <c r="BJ43" s="243">
        <f t="shared" si="29"/>
        <v>9200</v>
      </c>
      <c r="BK43" s="243">
        <f t="shared" si="30"/>
        <v>0</v>
      </c>
      <c r="BL43" s="243">
        <f t="shared" si="31"/>
        <v>0</v>
      </c>
      <c r="BM43" s="243">
        <f t="shared" si="32"/>
        <v>0</v>
      </c>
      <c r="BN43" s="243">
        <f t="shared" si="68"/>
        <v>0</v>
      </c>
      <c r="BO43" s="243">
        <f t="shared" si="69"/>
        <v>0</v>
      </c>
      <c r="BP43" s="243">
        <f t="shared" si="70"/>
        <v>0</v>
      </c>
      <c r="BQ43" s="243">
        <f t="shared" si="71"/>
        <v>0</v>
      </c>
      <c r="BR43" s="243">
        <f t="shared" si="72"/>
        <v>9200</v>
      </c>
      <c r="BS43" s="243">
        <f t="shared" si="73"/>
        <v>0</v>
      </c>
      <c r="BT43" s="243">
        <f t="shared" si="74"/>
        <v>0</v>
      </c>
      <c r="BU43" s="243">
        <f t="shared" si="75"/>
        <v>0</v>
      </c>
      <c r="BW43" s="314">
        <f>VLOOKUP($D43,'2018 Plan Data'!$A$4:$T$2000,13,FALSE)</f>
        <v>2578900</v>
      </c>
      <c r="BX43" s="314">
        <f>VLOOKUP($D43,'2018 Plan Data'!$A$4:$T$2000,14,FALSE)</f>
        <v>0</v>
      </c>
      <c r="BY43" s="314">
        <f>VLOOKUP($D43,'2018 Plan Data'!$A$4:$T$2000,15,FALSE)</f>
        <v>0</v>
      </c>
      <c r="BZ43" s="314">
        <f>VLOOKUP($D43,'2018 Plan Data'!$A$4:$T$2000,16,FALSE)</f>
        <v>0</v>
      </c>
      <c r="CA43" s="314">
        <f>VLOOKUP($D43,'2018 Plan Data'!$A$4:$T$2000,17,FALSE)</f>
        <v>9200</v>
      </c>
      <c r="CB43" s="314">
        <f>VLOOKUP($D43,'2018 Plan Data'!$A$4:$T$2000,18,FALSE)</f>
        <v>0</v>
      </c>
      <c r="CC43" s="314">
        <f>VLOOKUP($D43,'2018 Plan Data'!$A$4:$T$2000,19,FALSE)</f>
        <v>0</v>
      </c>
      <c r="CD43" s="314">
        <f>VLOOKUP($D43,'2018 Plan Data'!$A$4:$T$2000,20,FALSE)</f>
        <v>0</v>
      </c>
      <c r="CE43" t="b">
        <f t="shared" si="41"/>
        <v>0</v>
      </c>
      <c r="CF43" t="b">
        <f t="shared" si="42"/>
        <v>1</v>
      </c>
      <c r="CG43" t="b">
        <f t="shared" si="43"/>
        <v>1</v>
      </c>
      <c r="CH43" t="b">
        <f t="shared" si="44"/>
        <v>1</v>
      </c>
      <c r="CI43" t="b">
        <f t="shared" si="45"/>
        <v>1</v>
      </c>
      <c r="CJ43" t="b">
        <f t="shared" si="46"/>
        <v>1</v>
      </c>
      <c r="CK43" t="b">
        <f t="shared" si="47"/>
        <v>1</v>
      </c>
      <c r="CL43" t="b">
        <f t="shared" si="48"/>
        <v>1</v>
      </c>
    </row>
    <row r="44" spans="1:90" ht="15" customHeight="1" x14ac:dyDescent="0.35">
      <c r="A44" s="585">
        <f t="shared" si="53"/>
        <v>476</v>
      </c>
      <c r="B44" t="str">
        <f t="shared" si="3"/>
        <v>Residential_Behavior Modification</v>
      </c>
      <c r="D44">
        <v>476</v>
      </c>
      <c r="E44" t="s">
        <v>78</v>
      </c>
      <c r="F44" s="600" t="str">
        <f>VLOOKUP(G44,Sheet4!$D$6:$E$22,2,FALSE)</f>
        <v>Behavior Modification</v>
      </c>
      <c r="G44" s="445" t="s">
        <v>838</v>
      </c>
      <c r="H44" s="673" t="s">
        <v>995</v>
      </c>
      <c r="I44" s="232"/>
      <c r="J44" s="18" t="s">
        <v>1007</v>
      </c>
      <c r="K44" s="18" t="s">
        <v>211</v>
      </c>
      <c r="M44" s="600">
        <v>1</v>
      </c>
      <c r="O44" s="72" t="str">
        <f t="shared" si="54"/>
        <v>Dual Fuel</v>
      </c>
      <c r="P44" s="7">
        <f>VLOOKUP(D44,'2018 Plan Data'!$A$4:$K$1000,11,FALSE)</f>
        <v>2</v>
      </c>
      <c r="Q44" s="652">
        <f>VLOOKUP(D44,'2018 Plan Data'!$A$4:$L$1000,12,FALSE)</f>
        <v>1</v>
      </c>
      <c r="R44" s="314">
        <v>104.64000000000001</v>
      </c>
      <c r="T44" s="314">
        <v>1.7808219178082191E-2</v>
      </c>
      <c r="V44" s="314">
        <v>2.3220000000000001</v>
      </c>
      <c r="AD44" s="309">
        <f t="shared" si="55"/>
        <v>1</v>
      </c>
      <c r="AE44" s="309">
        <f t="shared" si="51"/>
        <v>1</v>
      </c>
      <c r="AF44" s="309">
        <f t="shared" si="51"/>
        <v>1</v>
      </c>
      <c r="AG44" s="309">
        <f t="shared" si="51"/>
        <v>1</v>
      </c>
      <c r="AH44" s="314">
        <f t="shared" si="56"/>
        <v>0</v>
      </c>
      <c r="AI44" s="314">
        <f t="shared" si="57"/>
        <v>0</v>
      </c>
      <c r="AJ44" s="314">
        <f t="shared" si="58"/>
        <v>0</v>
      </c>
      <c r="AK44" s="314">
        <f t="shared" si="59"/>
        <v>0</v>
      </c>
      <c r="AL44" s="309">
        <f t="shared" si="60"/>
        <v>1</v>
      </c>
      <c r="AM44" s="309">
        <f t="shared" si="61"/>
        <v>1</v>
      </c>
      <c r="AN44" s="309">
        <f t="shared" si="62"/>
        <v>1</v>
      </c>
      <c r="AO44" s="309">
        <f t="shared" si="63"/>
        <v>1</v>
      </c>
      <c r="AP44" s="446">
        <f t="shared" si="64"/>
        <v>1.7808219178082191E-2</v>
      </c>
      <c r="AQ44" s="446">
        <f t="shared" si="65"/>
        <v>1.7808219178082191E-2</v>
      </c>
      <c r="AR44" s="446">
        <f t="shared" si="66"/>
        <v>1.7808219178082191E-2</v>
      </c>
      <c r="AS44" s="446">
        <f t="shared" si="67"/>
        <v>1.7808219178082191E-2</v>
      </c>
      <c r="AT44" s="309">
        <f t="shared" si="50"/>
        <v>1</v>
      </c>
      <c r="AU44" s="309">
        <f t="shared" si="52"/>
        <v>1</v>
      </c>
      <c r="AV44" s="309">
        <f t="shared" si="52"/>
        <v>1</v>
      </c>
      <c r="AW44" s="309">
        <f t="shared" si="52"/>
        <v>1</v>
      </c>
      <c r="AX44" s="243">
        <f t="shared" si="76"/>
        <v>2.3220000000000001</v>
      </c>
      <c r="AY44" s="243">
        <f t="shared" si="77"/>
        <v>2.3220000000000001</v>
      </c>
      <c r="AZ44" s="243">
        <f t="shared" si="78"/>
        <v>2.3220000000000001</v>
      </c>
      <c r="BA44" s="243">
        <f t="shared" si="79"/>
        <v>2.3220000000000001</v>
      </c>
      <c r="BB44" s="243">
        <f>VLOOKUP($D44,'2018 Plan Data'!$A$4:$K$2000,6,FALSE)</f>
        <v>0</v>
      </c>
      <c r="BC44" s="243">
        <f>VLOOKUP($D44,'2018 Plan Data'!$A$4:$K$2000,7,FALSE)</f>
        <v>50000</v>
      </c>
      <c r="BD44" s="243">
        <f>VLOOKUP($D44,'2018 Plan Data'!$A$4:$K$2000,8,FALSE)</f>
        <v>0</v>
      </c>
      <c r="BE44" s="243">
        <f>VLOOKUP($D44,'2018 Plan Data'!$A$4:$K$2000,9,FALSE)</f>
        <v>0</v>
      </c>
      <c r="BF44" s="243">
        <f t="shared" si="25"/>
        <v>0</v>
      </c>
      <c r="BG44" s="243">
        <f t="shared" si="26"/>
        <v>5232000.0000000009</v>
      </c>
      <c r="BH44" s="243">
        <f t="shared" si="27"/>
        <v>0</v>
      </c>
      <c r="BI44" s="243">
        <f t="shared" si="28"/>
        <v>0</v>
      </c>
      <c r="BJ44" s="243">
        <f t="shared" si="29"/>
        <v>0</v>
      </c>
      <c r="BK44" s="243">
        <f t="shared" si="30"/>
        <v>116100</v>
      </c>
      <c r="BL44" s="243">
        <f t="shared" si="31"/>
        <v>0</v>
      </c>
      <c r="BM44" s="243">
        <f t="shared" si="32"/>
        <v>0</v>
      </c>
      <c r="BN44" s="243">
        <f t="shared" si="68"/>
        <v>0</v>
      </c>
      <c r="BO44" s="243">
        <f t="shared" si="69"/>
        <v>0</v>
      </c>
      <c r="BP44" s="243">
        <f t="shared" si="70"/>
        <v>0</v>
      </c>
      <c r="BQ44" s="243">
        <f t="shared" si="71"/>
        <v>0</v>
      </c>
      <c r="BR44" s="243">
        <f t="shared" si="72"/>
        <v>0</v>
      </c>
      <c r="BS44" s="243">
        <f t="shared" si="73"/>
        <v>116100</v>
      </c>
      <c r="BT44" s="243">
        <f t="shared" si="74"/>
        <v>0</v>
      </c>
      <c r="BU44" s="243">
        <f t="shared" si="75"/>
        <v>0</v>
      </c>
      <c r="BW44" s="314">
        <f>VLOOKUP($D44,'2018 Plan Data'!$A$4:$T$2000,13,FALSE)</f>
        <v>0</v>
      </c>
      <c r="BX44" s="314">
        <f>VLOOKUP($D44,'2018 Plan Data'!$A$4:$T$2000,14,FALSE)</f>
        <v>5232000.0000000009</v>
      </c>
      <c r="BY44" s="314">
        <f>VLOOKUP($D44,'2018 Plan Data'!$A$4:$T$2000,15,FALSE)</f>
        <v>0</v>
      </c>
      <c r="BZ44" s="314">
        <f>VLOOKUP($D44,'2018 Plan Data'!$A$4:$T$2000,16,FALSE)</f>
        <v>0</v>
      </c>
      <c r="CA44" s="314">
        <f>VLOOKUP($D44,'2018 Plan Data'!$A$4:$T$2000,17,FALSE)</f>
        <v>0</v>
      </c>
      <c r="CB44" s="314">
        <f>VLOOKUP($D44,'2018 Plan Data'!$A$4:$T$2000,18,FALSE)</f>
        <v>116100</v>
      </c>
      <c r="CC44" s="314">
        <f>VLOOKUP($D44,'2018 Plan Data'!$A$4:$T$2000,19,FALSE)</f>
        <v>0</v>
      </c>
      <c r="CD44" s="314">
        <f>VLOOKUP($D44,'2018 Plan Data'!$A$4:$T$2000,20,FALSE)</f>
        <v>0</v>
      </c>
      <c r="CE44" t="b">
        <f t="shared" si="41"/>
        <v>1</v>
      </c>
      <c r="CF44" t="b">
        <f t="shared" si="42"/>
        <v>0</v>
      </c>
      <c r="CG44" t="b">
        <f t="shared" si="43"/>
        <v>1</v>
      </c>
      <c r="CH44" t="b">
        <f t="shared" si="44"/>
        <v>1</v>
      </c>
      <c r="CI44" t="b">
        <f t="shared" si="45"/>
        <v>1</v>
      </c>
      <c r="CJ44" t="b">
        <f t="shared" si="46"/>
        <v>1</v>
      </c>
      <c r="CK44" t="b">
        <f t="shared" si="47"/>
        <v>1</v>
      </c>
      <c r="CL44" t="b">
        <f t="shared" si="48"/>
        <v>1</v>
      </c>
    </row>
    <row r="45" spans="1:90" ht="15" customHeight="1" x14ac:dyDescent="0.35">
      <c r="A45" s="585">
        <f t="shared" si="53"/>
        <v>477</v>
      </c>
      <c r="B45" t="str">
        <f t="shared" si="3"/>
        <v>Residential_Behavior Modification</v>
      </c>
      <c r="D45" s="600">
        <v>477</v>
      </c>
      <c r="E45" s="600" t="s">
        <v>78</v>
      </c>
      <c r="F45" s="600" t="str">
        <f>VLOOKUP(G45,Sheet4!$D$6:$E$22,2,FALSE)</f>
        <v>Behavior Modification</v>
      </c>
      <c r="G45" s="445" t="s">
        <v>838</v>
      </c>
      <c r="H45" s="673" t="s">
        <v>996</v>
      </c>
      <c r="I45" s="232"/>
      <c r="J45" s="18" t="s">
        <v>1007</v>
      </c>
      <c r="K45" s="18" t="s">
        <v>211</v>
      </c>
      <c r="L45" s="72"/>
      <c r="M45" s="600">
        <v>1</v>
      </c>
      <c r="O45" s="72" t="str">
        <f t="shared" si="54"/>
        <v>Dual Fuel</v>
      </c>
      <c r="P45" s="7">
        <f>VLOOKUP(D45,'2018 Plan Data'!$A$4:$K$1000,11,FALSE)</f>
        <v>3</v>
      </c>
      <c r="Q45" s="652">
        <f>VLOOKUP(D45,'2018 Plan Data'!$A$4:$L$1000,12,FALSE)</f>
        <v>2</v>
      </c>
      <c r="R45" s="314">
        <v>83.712000000000003</v>
      </c>
      <c r="T45" s="314">
        <v>1.4246575342465753E-2</v>
      </c>
      <c r="V45" s="314">
        <v>1.032</v>
      </c>
      <c r="AD45" s="309">
        <f t="shared" si="55"/>
        <v>1</v>
      </c>
      <c r="AE45" s="309">
        <f t="shared" ref="AE45:AG64" si="80">AD45</f>
        <v>1</v>
      </c>
      <c r="AF45" s="309">
        <f t="shared" si="80"/>
        <v>1</v>
      </c>
      <c r="AG45" s="309">
        <f t="shared" si="80"/>
        <v>1</v>
      </c>
      <c r="AH45" s="314">
        <f t="shared" si="56"/>
        <v>0</v>
      </c>
      <c r="AI45" s="314">
        <f t="shared" si="57"/>
        <v>0</v>
      </c>
      <c r="AJ45" s="314">
        <f t="shared" si="58"/>
        <v>0</v>
      </c>
      <c r="AK45" s="314">
        <f t="shared" si="59"/>
        <v>0</v>
      </c>
      <c r="AL45" s="309">
        <f t="shared" si="60"/>
        <v>1</v>
      </c>
      <c r="AM45" s="309">
        <f t="shared" si="61"/>
        <v>1</v>
      </c>
      <c r="AN45" s="309">
        <f t="shared" si="62"/>
        <v>1</v>
      </c>
      <c r="AO45" s="309">
        <f t="shared" si="63"/>
        <v>1</v>
      </c>
      <c r="AP45" s="446">
        <f t="shared" si="64"/>
        <v>1.4246575342465753E-2</v>
      </c>
      <c r="AQ45" s="446">
        <f t="shared" si="65"/>
        <v>1.4246575342465753E-2</v>
      </c>
      <c r="AR45" s="446">
        <f t="shared" si="66"/>
        <v>1.4246575342465753E-2</v>
      </c>
      <c r="AS45" s="446">
        <f t="shared" si="67"/>
        <v>1.4246575342465753E-2</v>
      </c>
      <c r="AT45" s="309">
        <f t="shared" si="50"/>
        <v>1</v>
      </c>
      <c r="AU45" s="309">
        <f t="shared" ref="AU45:AW64" si="81">AT45</f>
        <v>1</v>
      </c>
      <c r="AV45" s="309">
        <f t="shared" si="81"/>
        <v>1</v>
      </c>
      <c r="AW45" s="309">
        <f t="shared" si="81"/>
        <v>1</v>
      </c>
      <c r="AX45" s="243">
        <f t="shared" si="76"/>
        <v>1.032</v>
      </c>
      <c r="AY45" s="243">
        <f t="shared" si="77"/>
        <v>1.032</v>
      </c>
      <c r="AZ45" s="243">
        <f t="shared" si="78"/>
        <v>1.032</v>
      </c>
      <c r="BA45" s="243">
        <f t="shared" si="79"/>
        <v>1.032</v>
      </c>
      <c r="BB45" s="243">
        <f>VLOOKUP($D45,'2018 Plan Data'!$A$4:$K$2000,6,FALSE)</f>
        <v>0</v>
      </c>
      <c r="BC45" s="243">
        <f>VLOOKUP($D45,'2018 Plan Data'!$A$4:$K$2000,7,FALSE)</f>
        <v>50000</v>
      </c>
      <c r="BD45" s="243">
        <f>VLOOKUP($D45,'2018 Plan Data'!$A$4:$K$2000,8,FALSE)</f>
        <v>0</v>
      </c>
      <c r="BE45" s="243">
        <f>VLOOKUP($D45,'2018 Plan Data'!$A$4:$K$2000,9,FALSE)</f>
        <v>0</v>
      </c>
      <c r="BF45" s="243">
        <f t="shared" si="25"/>
        <v>0</v>
      </c>
      <c r="BG45" s="243">
        <f t="shared" si="26"/>
        <v>4185600</v>
      </c>
      <c r="BH45" s="243">
        <f t="shared" si="27"/>
        <v>0</v>
      </c>
      <c r="BI45" s="243">
        <f t="shared" si="28"/>
        <v>0</v>
      </c>
      <c r="BJ45" s="243">
        <f t="shared" si="29"/>
        <v>0</v>
      </c>
      <c r="BK45" s="243">
        <f t="shared" si="30"/>
        <v>51600</v>
      </c>
      <c r="BL45" s="243">
        <f t="shared" si="31"/>
        <v>0</v>
      </c>
      <c r="BM45" s="243">
        <f t="shared" si="32"/>
        <v>0</v>
      </c>
      <c r="BN45" s="243">
        <f t="shared" si="68"/>
        <v>0</v>
      </c>
      <c r="BO45" s="243">
        <f t="shared" si="69"/>
        <v>0</v>
      </c>
      <c r="BP45" s="243">
        <f t="shared" si="70"/>
        <v>0</v>
      </c>
      <c r="BQ45" s="243">
        <f t="shared" si="71"/>
        <v>0</v>
      </c>
      <c r="BR45" s="243">
        <f t="shared" si="72"/>
        <v>0</v>
      </c>
      <c r="BS45" s="243">
        <f t="shared" si="73"/>
        <v>51600</v>
      </c>
      <c r="BT45" s="243">
        <f t="shared" si="74"/>
        <v>0</v>
      </c>
      <c r="BU45" s="243">
        <f t="shared" si="75"/>
        <v>0</v>
      </c>
      <c r="BW45" s="314">
        <f>VLOOKUP($D45,'2018 Plan Data'!$A$4:$T$2000,13,FALSE)</f>
        <v>0</v>
      </c>
      <c r="BX45" s="314">
        <f>VLOOKUP($D45,'2018 Plan Data'!$A$4:$T$2000,14,FALSE)</f>
        <v>4185600</v>
      </c>
      <c r="BY45" s="314">
        <f>VLOOKUP($D45,'2018 Plan Data'!$A$4:$T$2000,15,FALSE)</f>
        <v>0</v>
      </c>
      <c r="BZ45" s="314">
        <f>VLOOKUP($D45,'2018 Plan Data'!$A$4:$T$2000,16,FALSE)</f>
        <v>0</v>
      </c>
      <c r="CA45" s="314">
        <f>VLOOKUP($D45,'2018 Plan Data'!$A$4:$T$2000,17,FALSE)</f>
        <v>0</v>
      </c>
      <c r="CB45" s="314">
        <f>VLOOKUP($D45,'2018 Plan Data'!$A$4:$T$2000,18,FALSE)</f>
        <v>51600</v>
      </c>
      <c r="CC45" s="314">
        <f>VLOOKUP($D45,'2018 Plan Data'!$A$4:$T$2000,19,FALSE)</f>
        <v>0</v>
      </c>
      <c r="CD45" s="314">
        <f>VLOOKUP($D45,'2018 Plan Data'!$A$4:$T$2000,20,FALSE)</f>
        <v>0</v>
      </c>
      <c r="CE45" t="b">
        <f t="shared" si="41"/>
        <v>1</v>
      </c>
      <c r="CF45" t="b">
        <f t="shared" si="42"/>
        <v>0</v>
      </c>
      <c r="CG45" t="b">
        <f t="shared" si="43"/>
        <v>1</v>
      </c>
      <c r="CH45" t="b">
        <f t="shared" si="44"/>
        <v>1</v>
      </c>
      <c r="CI45" t="b">
        <f t="shared" si="45"/>
        <v>1</v>
      </c>
      <c r="CJ45" t="b">
        <f t="shared" si="46"/>
        <v>1</v>
      </c>
      <c r="CK45" t="b">
        <f t="shared" si="47"/>
        <v>1</v>
      </c>
      <c r="CL45" t="b">
        <f t="shared" si="48"/>
        <v>1</v>
      </c>
    </row>
    <row r="46" spans="1:90" ht="15" customHeight="1" x14ac:dyDescent="0.35">
      <c r="A46" s="585">
        <f t="shared" si="53"/>
        <v>478</v>
      </c>
      <c r="B46" t="str">
        <f t="shared" si="3"/>
        <v>Residential_Behavior Modification</v>
      </c>
      <c r="D46">
        <v>478</v>
      </c>
      <c r="E46" t="s">
        <v>78</v>
      </c>
      <c r="F46" s="600" t="str">
        <f>VLOOKUP(G46,Sheet4!$D$6:$E$22,2,FALSE)</f>
        <v>Behavior Modification</v>
      </c>
      <c r="G46" s="445" t="s">
        <v>838</v>
      </c>
      <c r="H46" s="673" t="s">
        <v>997</v>
      </c>
      <c r="I46" s="232"/>
      <c r="J46" s="18" t="s">
        <v>1007</v>
      </c>
      <c r="K46" s="18" t="s">
        <v>211</v>
      </c>
      <c r="L46" s="72"/>
      <c r="M46" s="600">
        <v>1</v>
      </c>
      <c r="O46" s="72" t="str">
        <f t="shared" si="54"/>
        <v>Dual Fuel</v>
      </c>
      <c r="P46" s="7">
        <f>VLOOKUP(D46,'2018 Plan Data'!$A$4:$K$1000,11,FALSE)</f>
        <v>4</v>
      </c>
      <c r="Q46" s="652">
        <f>VLOOKUP(D46,'2018 Plan Data'!$A$4:$L$1000,12,FALSE)</f>
        <v>3</v>
      </c>
      <c r="R46" s="314">
        <v>66.708000000000013</v>
      </c>
      <c r="T46" s="314">
        <v>1.1352739726027397E-2</v>
      </c>
      <c r="V46" s="314">
        <v>0.46439999999999998</v>
      </c>
      <c r="X46" s="600"/>
      <c r="Y46" s="600"/>
      <c r="Z46" s="600"/>
      <c r="AA46" s="600"/>
      <c r="AB46" s="600"/>
      <c r="AC46" s="600"/>
      <c r="AD46" s="309">
        <f t="shared" si="55"/>
        <v>1</v>
      </c>
      <c r="AE46" s="309">
        <f t="shared" si="80"/>
        <v>1</v>
      </c>
      <c r="AF46" s="309">
        <f t="shared" si="80"/>
        <v>1</v>
      </c>
      <c r="AG46" s="309">
        <f t="shared" si="80"/>
        <v>1</v>
      </c>
      <c r="AH46" s="314">
        <f t="shared" si="56"/>
        <v>0</v>
      </c>
      <c r="AI46" s="314">
        <f t="shared" si="57"/>
        <v>0</v>
      </c>
      <c r="AJ46" s="314">
        <f t="shared" si="58"/>
        <v>0</v>
      </c>
      <c r="AK46" s="314">
        <f t="shared" si="59"/>
        <v>0</v>
      </c>
      <c r="AL46" s="309">
        <f t="shared" si="60"/>
        <v>1</v>
      </c>
      <c r="AM46" s="309">
        <f t="shared" si="61"/>
        <v>1</v>
      </c>
      <c r="AN46" s="309">
        <f t="shared" si="62"/>
        <v>1</v>
      </c>
      <c r="AO46" s="309">
        <f t="shared" si="63"/>
        <v>1</v>
      </c>
      <c r="AP46" s="446">
        <f t="shared" si="64"/>
        <v>1.1352739726027397E-2</v>
      </c>
      <c r="AQ46" s="446">
        <f t="shared" si="65"/>
        <v>1.1352739726027397E-2</v>
      </c>
      <c r="AR46" s="446">
        <f t="shared" si="66"/>
        <v>1.1352739726027397E-2</v>
      </c>
      <c r="AS46" s="446">
        <f t="shared" si="67"/>
        <v>1.1352739726027397E-2</v>
      </c>
      <c r="AT46" s="309">
        <f t="shared" si="50"/>
        <v>1</v>
      </c>
      <c r="AU46" s="309">
        <f t="shared" si="81"/>
        <v>1</v>
      </c>
      <c r="AV46" s="309">
        <f t="shared" si="81"/>
        <v>1</v>
      </c>
      <c r="AW46" s="309">
        <f t="shared" si="81"/>
        <v>1</v>
      </c>
      <c r="AX46" s="243">
        <f t="shared" si="76"/>
        <v>0.46439999999999998</v>
      </c>
      <c r="AY46" s="243">
        <f t="shared" si="77"/>
        <v>0.46439999999999998</v>
      </c>
      <c r="AZ46" s="243">
        <f t="shared" si="78"/>
        <v>0.46439999999999998</v>
      </c>
      <c r="BA46" s="243">
        <f t="shared" si="79"/>
        <v>0.46439999999999998</v>
      </c>
      <c r="BB46" s="243">
        <f>VLOOKUP($D46,'2018 Plan Data'!$A$4:$K$2000,6,FALSE)</f>
        <v>0</v>
      </c>
      <c r="BC46" s="243">
        <f>VLOOKUP($D46,'2018 Plan Data'!$A$4:$K$2000,7,FALSE)</f>
        <v>50000</v>
      </c>
      <c r="BD46" s="243">
        <f>VLOOKUP($D46,'2018 Plan Data'!$A$4:$K$2000,8,FALSE)</f>
        <v>0</v>
      </c>
      <c r="BE46" s="243">
        <f>VLOOKUP($D46,'2018 Plan Data'!$A$4:$K$2000,9,FALSE)</f>
        <v>0</v>
      </c>
      <c r="BF46" s="243">
        <f t="shared" si="25"/>
        <v>0</v>
      </c>
      <c r="BG46" s="243">
        <f t="shared" si="26"/>
        <v>3335400.0000000005</v>
      </c>
      <c r="BH46" s="243">
        <f t="shared" si="27"/>
        <v>0</v>
      </c>
      <c r="BI46" s="243">
        <f t="shared" si="28"/>
        <v>0</v>
      </c>
      <c r="BJ46" s="243">
        <f t="shared" si="29"/>
        <v>0</v>
      </c>
      <c r="BK46" s="243">
        <f t="shared" si="30"/>
        <v>23220</v>
      </c>
      <c r="BL46" s="243">
        <f t="shared" si="31"/>
        <v>0</v>
      </c>
      <c r="BM46" s="243">
        <f t="shared" si="32"/>
        <v>0</v>
      </c>
      <c r="BN46" s="243">
        <f t="shared" si="68"/>
        <v>0</v>
      </c>
      <c r="BO46" s="243">
        <f t="shared" si="69"/>
        <v>0</v>
      </c>
      <c r="BP46" s="243">
        <f t="shared" si="70"/>
        <v>0</v>
      </c>
      <c r="BQ46" s="243">
        <f t="shared" si="71"/>
        <v>0</v>
      </c>
      <c r="BR46" s="243">
        <f t="shared" si="72"/>
        <v>0</v>
      </c>
      <c r="BS46" s="243">
        <f t="shared" si="73"/>
        <v>23220</v>
      </c>
      <c r="BT46" s="243">
        <f t="shared" si="74"/>
        <v>0</v>
      </c>
      <c r="BU46" s="243">
        <f t="shared" si="75"/>
        <v>0</v>
      </c>
      <c r="BW46" s="314">
        <f>VLOOKUP($D46,'2018 Plan Data'!$A$4:$T$2000,13,FALSE)</f>
        <v>0</v>
      </c>
      <c r="BX46" s="314">
        <f>VLOOKUP($D46,'2018 Plan Data'!$A$4:$T$2000,14,FALSE)</f>
        <v>3335400.0000000005</v>
      </c>
      <c r="BY46" s="314">
        <f>VLOOKUP($D46,'2018 Plan Data'!$A$4:$T$2000,15,FALSE)</f>
        <v>0</v>
      </c>
      <c r="BZ46" s="314">
        <f>VLOOKUP($D46,'2018 Plan Data'!$A$4:$T$2000,16,FALSE)</f>
        <v>0</v>
      </c>
      <c r="CA46" s="314">
        <f>VLOOKUP($D46,'2018 Plan Data'!$A$4:$T$2000,17,FALSE)</f>
        <v>0</v>
      </c>
      <c r="CB46" s="314">
        <f>VLOOKUP($D46,'2018 Plan Data'!$A$4:$T$2000,18,FALSE)</f>
        <v>23220</v>
      </c>
      <c r="CC46" s="314">
        <f>VLOOKUP($D46,'2018 Plan Data'!$A$4:$T$2000,19,FALSE)</f>
        <v>0</v>
      </c>
      <c r="CD46" s="314">
        <f>VLOOKUP($D46,'2018 Plan Data'!$A$4:$T$2000,20,FALSE)</f>
        <v>0</v>
      </c>
      <c r="CE46" t="b">
        <f t="shared" si="41"/>
        <v>1</v>
      </c>
      <c r="CF46" t="b">
        <f t="shared" si="42"/>
        <v>0</v>
      </c>
      <c r="CG46" t="b">
        <f t="shared" si="43"/>
        <v>1</v>
      </c>
      <c r="CH46" t="b">
        <f t="shared" si="44"/>
        <v>1</v>
      </c>
      <c r="CI46" t="b">
        <f t="shared" si="45"/>
        <v>1</v>
      </c>
      <c r="CJ46" t="b">
        <f t="shared" si="46"/>
        <v>1</v>
      </c>
      <c r="CK46" t="b">
        <f t="shared" si="47"/>
        <v>1</v>
      </c>
      <c r="CL46" t="b">
        <f t="shared" si="48"/>
        <v>1</v>
      </c>
    </row>
    <row r="47" spans="1:90" ht="15" customHeight="1" x14ac:dyDescent="0.35">
      <c r="A47" s="585">
        <f t="shared" si="53"/>
        <v>479</v>
      </c>
      <c r="B47" s="600" t="str">
        <f t="shared" si="3"/>
        <v>Residential_Behavior Modification</v>
      </c>
      <c r="C47" s="600"/>
      <c r="D47" s="600">
        <v>479</v>
      </c>
      <c r="E47" s="600" t="s">
        <v>78</v>
      </c>
      <c r="F47" s="600" t="str">
        <f>VLOOKUP(G47,Sheet4!$D$6:$E$22,2,FALSE)</f>
        <v>Behavior Modification</v>
      </c>
      <c r="G47" s="445" t="s">
        <v>838</v>
      </c>
      <c r="H47" s="673" t="s">
        <v>998</v>
      </c>
      <c r="I47" s="232"/>
      <c r="J47" s="18" t="s">
        <v>1007</v>
      </c>
      <c r="K47" s="72" t="s">
        <v>211</v>
      </c>
      <c r="L47" s="72"/>
      <c r="M47" s="600">
        <v>1</v>
      </c>
      <c r="O47" s="72" t="str">
        <f t="shared" si="54"/>
        <v>Dual Fuel</v>
      </c>
      <c r="P47" s="7">
        <f>VLOOKUP(D47,'2018 Plan Data'!$A$4:$K$1000,11,FALSE)</f>
        <v>5</v>
      </c>
      <c r="Q47" s="652">
        <f>VLOOKUP(D47,'2018 Plan Data'!$A$4:$L$1000,12,FALSE)</f>
        <v>4</v>
      </c>
      <c r="R47" s="314">
        <v>53.628</v>
      </c>
      <c r="T47" s="314">
        <v>9.1267123287671215E-3</v>
      </c>
      <c r="V47" s="314">
        <v>0.2064</v>
      </c>
      <c r="X47" s="600"/>
      <c r="Y47" s="600"/>
      <c r="Z47" s="600"/>
      <c r="AA47" s="600"/>
      <c r="AB47" s="600"/>
      <c r="AC47" s="600"/>
      <c r="AD47" s="309">
        <f t="shared" si="55"/>
        <v>1</v>
      </c>
      <c r="AE47" s="309">
        <f t="shared" si="80"/>
        <v>1</v>
      </c>
      <c r="AF47" s="309">
        <f t="shared" si="80"/>
        <v>1</v>
      </c>
      <c r="AG47" s="309">
        <f t="shared" si="80"/>
        <v>1</v>
      </c>
      <c r="AH47" s="314">
        <f t="shared" si="56"/>
        <v>0</v>
      </c>
      <c r="AI47" s="314">
        <f t="shared" si="57"/>
        <v>0</v>
      </c>
      <c r="AJ47" s="314">
        <f t="shared" si="58"/>
        <v>0</v>
      </c>
      <c r="AK47" s="314">
        <f t="shared" si="59"/>
        <v>0</v>
      </c>
      <c r="AL47" s="309">
        <f t="shared" si="60"/>
        <v>1</v>
      </c>
      <c r="AM47" s="309">
        <f t="shared" si="61"/>
        <v>1</v>
      </c>
      <c r="AN47" s="309">
        <f t="shared" si="62"/>
        <v>1</v>
      </c>
      <c r="AO47" s="309">
        <f t="shared" si="63"/>
        <v>1</v>
      </c>
      <c r="AP47" s="446">
        <f t="shared" si="64"/>
        <v>9.1267123287671215E-3</v>
      </c>
      <c r="AQ47" s="446">
        <f t="shared" si="65"/>
        <v>9.1267123287671215E-3</v>
      </c>
      <c r="AR47" s="446">
        <f t="shared" si="66"/>
        <v>9.1267123287671215E-3</v>
      </c>
      <c r="AS47" s="446">
        <f t="shared" si="67"/>
        <v>9.1267123287671215E-3</v>
      </c>
      <c r="AT47" s="309">
        <f t="shared" si="50"/>
        <v>1</v>
      </c>
      <c r="AU47" s="309">
        <f t="shared" si="81"/>
        <v>1</v>
      </c>
      <c r="AV47" s="309">
        <f t="shared" si="81"/>
        <v>1</v>
      </c>
      <c r="AW47" s="309">
        <f t="shared" si="81"/>
        <v>1</v>
      </c>
      <c r="AX47" s="243">
        <f t="shared" si="76"/>
        <v>0.2064</v>
      </c>
      <c r="AY47" s="243">
        <f t="shared" si="77"/>
        <v>0.2064</v>
      </c>
      <c r="AZ47" s="243">
        <f t="shared" si="78"/>
        <v>0.2064</v>
      </c>
      <c r="BA47" s="243">
        <f t="shared" si="79"/>
        <v>0.2064</v>
      </c>
      <c r="BB47" s="243">
        <f>VLOOKUP($D47,'2018 Plan Data'!$A$4:$K$2000,6,FALSE)</f>
        <v>0</v>
      </c>
      <c r="BC47" s="243">
        <f>VLOOKUP($D47,'2018 Plan Data'!$A$4:$K$2000,7,FALSE)</f>
        <v>50000</v>
      </c>
      <c r="BD47" s="243">
        <f>VLOOKUP($D47,'2018 Plan Data'!$A$4:$K$2000,8,FALSE)</f>
        <v>0</v>
      </c>
      <c r="BE47" s="243">
        <f>VLOOKUP($D47,'2018 Plan Data'!$A$4:$K$2000,9,FALSE)</f>
        <v>0</v>
      </c>
      <c r="BF47" s="243">
        <f t="shared" si="25"/>
        <v>0</v>
      </c>
      <c r="BG47" s="243">
        <f t="shared" si="26"/>
        <v>2681400</v>
      </c>
      <c r="BH47" s="243">
        <f t="shared" si="27"/>
        <v>0</v>
      </c>
      <c r="BI47" s="243">
        <f t="shared" si="28"/>
        <v>0</v>
      </c>
      <c r="BJ47" s="243">
        <f t="shared" si="29"/>
        <v>0</v>
      </c>
      <c r="BK47" s="243">
        <f t="shared" si="30"/>
        <v>10320</v>
      </c>
      <c r="BL47" s="243">
        <f t="shared" si="31"/>
        <v>0</v>
      </c>
      <c r="BM47" s="243">
        <f t="shared" si="32"/>
        <v>0</v>
      </c>
      <c r="BN47" s="243">
        <f t="shared" si="68"/>
        <v>0</v>
      </c>
      <c r="BO47" s="243">
        <f t="shared" si="69"/>
        <v>0</v>
      </c>
      <c r="BP47" s="243">
        <f t="shared" si="70"/>
        <v>0</v>
      </c>
      <c r="BQ47" s="243">
        <f t="shared" si="71"/>
        <v>0</v>
      </c>
      <c r="BR47" s="243">
        <f t="shared" si="72"/>
        <v>0</v>
      </c>
      <c r="BS47" s="243">
        <f t="shared" si="73"/>
        <v>10320</v>
      </c>
      <c r="BT47" s="243">
        <f t="shared" si="74"/>
        <v>0</v>
      </c>
      <c r="BU47" s="243">
        <f t="shared" si="75"/>
        <v>0</v>
      </c>
      <c r="BW47" s="314">
        <f>VLOOKUP($D47,'2018 Plan Data'!$A$4:$T$2000,13,FALSE)</f>
        <v>0</v>
      </c>
      <c r="BX47" s="314">
        <f>VLOOKUP($D47,'2018 Plan Data'!$A$4:$T$2000,14,FALSE)</f>
        <v>2681400</v>
      </c>
      <c r="BY47" s="314">
        <f>VLOOKUP($D47,'2018 Plan Data'!$A$4:$T$2000,15,FALSE)</f>
        <v>0</v>
      </c>
      <c r="BZ47" s="314">
        <f>VLOOKUP($D47,'2018 Plan Data'!$A$4:$T$2000,16,FALSE)</f>
        <v>0</v>
      </c>
      <c r="CA47" s="314">
        <f>VLOOKUP($D47,'2018 Plan Data'!$A$4:$T$2000,17,FALSE)</f>
        <v>0</v>
      </c>
      <c r="CB47" s="314">
        <f>VLOOKUP($D47,'2018 Plan Data'!$A$4:$T$2000,18,FALSE)</f>
        <v>10320</v>
      </c>
      <c r="CC47" s="314">
        <f>VLOOKUP($D47,'2018 Plan Data'!$A$4:$T$2000,19,FALSE)</f>
        <v>0</v>
      </c>
      <c r="CD47" s="314">
        <f>VLOOKUP($D47,'2018 Plan Data'!$A$4:$T$2000,20,FALSE)</f>
        <v>0</v>
      </c>
      <c r="CE47" t="b">
        <f t="shared" si="41"/>
        <v>1</v>
      </c>
      <c r="CF47" t="b">
        <f t="shared" si="42"/>
        <v>0</v>
      </c>
      <c r="CG47" t="b">
        <f t="shared" si="43"/>
        <v>1</v>
      </c>
      <c r="CH47" t="b">
        <f t="shared" si="44"/>
        <v>1</v>
      </c>
      <c r="CI47" t="b">
        <f t="shared" si="45"/>
        <v>1</v>
      </c>
      <c r="CJ47" t="b">
        <f t="shared" si="46"/>
        <v>1</v>
      </c>
      <c r="CK47" t="b">
        <f t="shared" si="47"/>
        <v>1</v>
      </c>
      <c r="CL47" t="b">
        <f t="shared" si="48"/>
        <v>1</v>
      </c>
    </row>
    <row r="48" spans="1:90" ht="15" customHeight="1" x14ac:dyDescent="0.35">
      <c r="A48" s="585">
        <f t="shared" si="53"/>
        <v>481</v>
      </c>
      <c r="B48" s="600" t="str">
        <f t="shared" si="3"/>
        <v>Residential_Behavior Modification</v>
      </c>
      <c r="C48" s="600"/>
      <c r="D48" s="600">
        <v>481</v>
      </c>
      <c r="E48" s="600" t="s">
        <v>78</v>
      </c>
      <c r="F48" s="600" t="str">
        <f>VLOOKUP(G48,Sheet4!$D$6:$E$22,2,FALSE)</f>
        <v>Behavior Modification</v>
      </c>
      <c r="G48" s="445" t="s">
        <v>838</v>
      </c>
      <c r="H48" s="673" t="s">
        <v>999</v>
      </c>
      <c r="I48" s="232"/>
      <c r="J48" s="18" t="s">
        <v>1007</v>
      </c>
      <c r="K48" s="72" t="s">
        <v>211</v>
      </c>
      <c r="L48" s="72"/>
      <c r="M48" s="600">
        <v>1</v>
      </c>
      <c r="O48" s="72" t="str">
        <f t="shared" si="54"/>
        <v>Dual Fuel</v>
      </c>
      <c r="P48" s="7">
        <f>VLOOKUP(D48,'2018 Plan Data'!$A$4:$K$1000,11,FALSE)</f>
        <v>2</v>
      </c>
      <c r="Q48" s="652">
        <f>VLOOKUP(D48,'2018 Plan Data'!$A$4:$L$1000,12,FALSE)</f>
        <v>1</v>
      </c>
      <c r="R48" s="314">
        <v>104.64000000000001</v>
      </c>
      <c r="T48" s="314">
        <v>1.7808219178082191E-2</v>
      </c>
      <c r="V48" s="314">
        <v>2.3220000000000001</v>
      </c>
      <c r="X48" s="600"/>
      <c r="Y48" s="600"/>
      <c r="Z48" s="600"/>
      <c r="AA48" s="600"/>
      <c r="AB48" s="600"/>
      <c r="AC48" s="600"/>
      <c r="AD48" s="309">
        <f t="shared" si="55"/>
        <v>1</v>
      </c>
      <c r="AE48" s="309">
        <f t="shared" si="80"/>
        <v>1</v>
      </c>
      <c r="AF48" s="309">
        <f t="shared" si="80"/>
        <v>1</v>
      </c>
      <c r="AG48" s="309">
        <f t="shared" si="80"/>
        <v>1</v>
      </c>
      <c r="AH48" s="314">
        <f t="shared" si="56"/>
        <v>0</v>
      </c>
      <c r="AI48" s="314">
        <f t="shared" si="57"/>
        <v>0</v>
      </c>
      <c r="AJ48" s="314">
        <f t="shared" si="58"/>
        <v>0</v>
      </c>
      <c r="AK48" s="314">
        <f t="shared" si="59"/>
        <v>0</v>
      </c>
      <c r="AL48" s="309">
        <f t="shared" si="60"/>
        <v>1</v>
      </c>
      <c r="AM48" s="309">
        <f t="shared" si="61"/>
        <v>1</v>
      </c>
      <c r="AN48" s="309">
        <f t="shared" si="62"/>
        <v>1</v>
      </c>
      <c r="AO48" s="309">
        <f t="shared" si="63"/>
        <v>1</v>
      </c>
      <c r="AP48" s="446">
        <f t="shared" si="64"/>
        <v>1.7808219178082191E-2</v>
      </c>
      <c r="AQ48" s="446">
        <f t="shared" si="65"/>
        <v>1.7808219178082191E-2</v>
      </c>
      <c r="AR48" s="446">
        <f t="shared" si="66"/>
        <v>1.7808219178082191E-2</v>
      </c>
      <c r="AS48" s="446">
        <f t="shared" si="67"/>
        <v>1.7808219178082191E-2</v>
      </c>
      <c r="AT48" s="309">
        <f t="shared" ref="AT48:AT79" si="82">1-AA48+AB48+AC48</f>
        <v>1</v>
      </c>
      <c r="AU48" s="309">
        <f t="shared" si="81"/>
        <v>1</v>
      </c>
      <c r="AV48" s="309">
        <f t="shared" si="81"/>
        <v>1</v>
      </c>
      <c r="AW48" s="309">
        <f t="shared" si="81"/>
        <v>1</v>
      </c>
      <c r="AX48" s="243">
        <f t="shared" si="76"/>
        <v>2.3220000000000001</v>
      </c>
      <c r="AY48" s="243">
        <f t="shared" si="77"/>
        <v>2.3220000000000001</v>
      </c>
      <c r="AZ48" s="243">
        <f t="shared" si="78"/>
        <v>2.3220000000000001</v>
      </c>
      <c r="BA48" s="243">
        <f t="shared" si="79"/>
        <v>2.3220000000000001</v>
      </c>
      <c r="BB48" s="243">
        <f>VLOOKUP($D48,'2018 Plan Data'!$A$4:$K$2000,6,FALSE)</f>
        <v>0</v>
      </c>
      <c r="BC48" s="243">
        <f>VLOOKUP($D48,'2018 Plan Data'!$A$4:$K$2000,7,FALSE)</f>
        <v>0</v>
      </c>
      <c r="BD48" s="243">
        <f>VLOOKUP($D48,'2018 Plan Data'!$A$4:$K$2000,8,FALSE)</f>
        <v>50000</v>
      </c>
      <c r="BE48" s="243">
        <f>VLOOKUP($D48,'2018 Plan Data'!$A$4:$K$2000,9,FALSE)</f>
        <v>0</v>
      </c>
      <c r="BF48" s="243">
        <f t="shared" si="25"/>
        <v>0</v>
      </c>
      <c r="BG48" s="243">
        <f t="shared" si="26"/>
        <v>0</v>
      </c>
      <c r="BH48" s="243">
        <f t="shared" si="27"/>
        <v>5232000.0000000009</v>
      </c>
      <c r="BI48" s="243">
        <f t="shared" si="28"/>
        <v>0</v>
      </c>
      <c r="BJ48" s="243">
        <f t="shared" si="29"/>
        <v>0</v>
      </c>
      <c r="BK48" s="243">
        <f t="shared" si="30"/>
        <v>0</v>
      </c>
      <c r="BL48" s="243">
        <f t="shared" si="31"/>
        <v>116100</v>
      </c>
      <c r="BM48" s="243">
        <f t="shared" si="32"/>
        <v>0</v>
      </c>
      <c r="BN48" s="243">
        <f t="shared" si="68"/>
        <v>0</v>
      </c>
      <c r="BO48" s="243">
        <f t="shared" si="69"/>
        <v>0</v>
      </c>
      <c r="BP48" s="243">
        <f t="shared" si="70"/>
        <v>0</v>
      </c>
      <c r="BQ48" s="243">
        <f t="shared" si="71"/>
        <v>0</v>
      </c>
      <c r="BR48" s="243">
        <f t="shared" si="72"/>
        <v>0</v>
      </c>
      <c r="BS48" s="243">
        <f t="shared" si="73"/>
        <v>0</v>
      </c>
      <c r="BT48" s="243">
        <f t="shared" si="74"/>
        <v>116100</v>
      </c>
      <c r="BU48" s="243">
        <f t="shared" si="75"/>
        <v>0</v>
      </c>
      <c r="BW48" s="314">
        <f>VLOOKUP($D48,'2018 Plan Data'!$A$4:$T$2000,13,FALSE)</f>
        <v>0</v>
      </c>
      <c r="BX48" s="314">
        <f>VLOOKUP($D48,'2018 Plan Data'!$A$4:$T$2000,14,FALSE)</f>
        <v>0</v>
      </c>
      <c r="BY48" s="314">
        <f>VLOOKUP($D48,'2018 Plan Data'!$A$4:$T$2000,15,FALSE)</f>
        <v>5232000.0000000009</v>
      </c>
      <c r="BZ48" s="314">
        <f>VLOOKUP($D48,'2018 Plan Data'!$A$4:$T$2000,16,FALSE)</f>
        <v>0</v>
      </c>
      <c r="CA48" s="314">
        <f>VLOOKUP($D48,'2018 Plan Data'!$A$4:$T$2000,17,FALSE)</f>
        <v>0</v>
      </c>
      <c r="CB48" s="314">
        <f>VLOOKUP($D48,'2018 Plan Data'!$A$4:$T$2000,18,FALSE)</f>
        <v>0</v>
      </c>
      <c r="CC48" s="314">
        <f>VLOOKUP($D48,'2018 Plan Data'!$A$4:$T$2000,19,FALSE)</f>
        <v>116100</v>
      </c>
      <c r="CD48" s="314">
        <f>VLOOKUP($D48,'2018 Plan Data'!$A$4:$T$2000,20,FALSE)</f>
        <v>0</v>
      </c>
      <c r="CE48" t="b">
        <f t="shared" si="41"/>
        <v>1</v>
      </c>
      <c r="CF48" t="b">
        <f t="shared" si="42"/>
        <v>1</v>
      </c>
      <c r="CG48" t="b">
        <f t="shared" si="43"/>
        <v>0</v>
      </c>
      <c r="CH48" t="b">
        <f t="shared" si="44"/>
        <v>1</v>
      </c>
      <c r="CI48" t="b">
        <f t="shared" si="45"/>
        <v>1</v>
      </c>
      <c r="CJ48" t="b">
        <f t="shared" si="46"/>
        <v>1</v>
      </c>
      <c r="CK48" t="b">
        <f t="shared" si="47"/>
        <v>1</v>
      </c>
      <c r="CL48" t="b">
        <f t="shared" si="48"/>
        <v>1</v>
      </c>
    </row>
    <row r="49" spans="1:90" ht="15" customHeight="1" x14ac:dyDescent="0.35">
      <c r="A49" s="585">
        <f t="shared" si="53"/>
        <v>482</v>
      </c>
      <c r="B49" t="str">
        <f t="shared" si="3"/>
        <v>Residential_Behavior Modification</v>
      </c>
      <c r="D49">
        <v>482</v>
      </c>
      <c r="E49" t="s">
        <v>78</v>
      </c>
      <c r="F49" s="600" t="str">
        <f>VLOOKUP(G49,Sheet4!$D$6:$E$22,2,FALSE)</f>
        <v>Behavior Modification</v>
      </c>
      <c r="G49" s="445" t="s">
        <v>838</v>
      </c>
      <c r="H49" s="673" t="s">
        <v>1000</v>
      </c>
      <c r="I49" s="232"/>
      <c r="J49" s="18" t="s">
        <v>1007</v>
      </c>
      <c r="K49" s="18" t="s">
        <v>211</v>
      </c>
      <c r="M49" s="600">
        <v>1</v>
      </c>
      <c r="O49" s="72" t="str">
        <f t="shared" si="54"/>
        <v>Dual Fuel</v>
      </c>
      <c r="P49" s="7">
        <f>VLOOKUP(D49,'2018 Plan Data'!$A$4:$K$1000,11,FALSE)</f>
        <v>3</v>
      </c>
      <c r="Q49" s="652">
        <f>VLOOKUP(D49,'2018 Plan Data'!$A$4:$L$1000,12,FALSE)</f>
        <v>2</v>
      </c>
      <c r="R49" s="314">
        <v>83.712000000000003</v>
      </c>
      <c r="T49" s="314">
        <v>1.4246575342465753E-2</v>
      </c>
      <c r="V49" s="314">
        <v>1.032</v>
      </c>
      <c r="AD49" s="309">
        <f t="shared" si="55"/>
        <v>1</v>
      </c>
      <c r="AE49" s="309">
        <f t="shared" si="80"/>
        <v>1</v>
      </c>
      <c r="AF49" s="309">
        <f t="shared" si="80"/>
        <v>1</v>
      </c>
      <c r="AG49" s="309">
        <f t="shared" si="80"/>
        <v>1</v>
      </c>
      <c r="AH49" s="314">
        <f t="shared" si="56"/>
        <v>0</v>
      </c>
      <c r="AI49" s="314">
        <f t="shared" si="57"/>
        <v>0</v>
      </c>
      <c r="AJ49" s="314">
        <f t="shared" si="58"/>
        <v>0</v>
      </c>
      <c r="AK49" s="314">
        <f t="shared" si="59"/>
        <v>0</v>
      </c>
      <c r="AL49" s="309">
        <f t="shared" si="60"/>
        <v>1</v>
      </c>
      <c r="AM49" s="309">
        <f t="shared" si="61"/>
        <v>1</v>
      </c>
      <c r="AN49" s="309">
        <f t="shared" si="62"/>
        <v>1</v>
      </c>
      <c r="AO49" s="309">
        <f t="shared" si="63"/>
        <v>1</v>
      </c>
      <c r="AP49" s="446">
        <f t="shared" si="64"/>
        <v>1.4246575342465753E-2</v>
      </c>
      <c r="AQ49" s="446">
        <f t="shared" si="65"/>
        <v>1.4246575342465753E-2</v>
      </c>
      <c r="AR49" s="446">
        <f t="shared" si="66"/>
        <v>1.4246575342465753E-2</v>
      </c>
      <c r="AS49" s="446">
        <f t="shared" si="67"/>
        <v>1.4246575342465753E-2</v>
      </c>
      <c r="AT49" s="309">
        <f t="shared" si="82"/>
        <v>1</v>
      </c>
      <c r="AU49" s="309">
        <f t="shared" si="81"/>
        <v>1</v>
      </c>
      <c r="AV49" s="309">
        <f t="shared" si="81"/>
        <v>1</v>
      </c>
      <c r="AW49" s="309">
        <f t="shared" si="81"/>
        <v>1</v>
      </c>
      <c r="AX49" s="243">
        <f t="shared" si="76"/>
        <v>1.032</v>
      </c>
      <c r="AY49" s="243">
        <f t="shared" si="77"/>
        <v>1.032</v>
      </c>
      <c r="AZ49" s="243">
        <f t="shared" si="78"/>
        <v>1.032</v>
      </c>
      <c r="BA49" s="243">
        <f t="shared" si="79"/>
        <v>1.032</v>
      </c>
      <c r="BB49" s="243">
        <f>VLOOKUP($D49,'2018 Plan Data'!$A$4:$K$2000,6,FALSE)</f>
        <v>0</v>
      </c>
      <c r="BC49" s="243">
        <f>VLOOKUP($D49,'2018 Plan Data'!$A$4:$K$2000,7,FALSE)</f>
        <v>0</v>
      </c>
      <c r="BD49" s="243">
        <f>VLOOKUP($D49,'2018 Plan Data'!$A$4:$K$2000,8,FALSE)</f>
        <v>50000</v>
      </c>
      <c r="BE49" s="243">
        <f>VLOOKUP($D49,'2018 Plan Data'!$A$4:$K$2000,9,FALSE)</f>
        <v>0</v>
      </c>
      <c r="BF49" s="243">
        <f t="shared" si="25"/>
        <v>0</v>
      </c>
      <c r="BG49" s="243">
        <f t="shared" si="26"/>
        <v>0</v>
      </c>
      <c r="BH49" s="243">
        <f t="shared" si="27"/>
        <v>4185600</v>
      </c>
      <c r="BI49" s="243">
        <f t="shared" si="28"/>
        <v>0</v>
      </c>
      <c r="BJ49" s="243">
        <f t="shared" si="29"/>
        <v>0</v>
      </c>
      <c r="BK49" s="243">
        <f t="shared" si="30"/>
        <v>0</v>
      </c>
      <c r="BL49" s="243">
        <f t="shared" si="31"/>
        <v>51600</v>
      </c>
      <c r="BM49" s="243">
        <f t="shared" si="32"/>
        <v>0</v>
      </c>
      <c r="BN49" s="243">
        <f t="shared" si="68"/>
        <v>0</v>
      </c>
      <c r="BO49" s="243">
        <f t="shared" si="69"/>
        <v>0</v>
      </c>
      <c r="BP49" s="243">
        <f t="shared" si="70"/>
        <v>0</v>
      </c>
      <c r="BQ49" s="243">
        <f t="shared" si="71"/>
        <v>0</v>
      </c>
      <c r="BR49" s="243">
        <f t="shared" si="72"/>
        <v>0</v>
      </c>
      <c r="BS49" s="243">
        <f t="shared" si="73"/>
        <v>0</v>
      </c>
      <c r="BT49" s="243">
        <f t="shared" si="74"/>
        <v>51600</v>
      </c>
      <c r="BU49" s="243">
        <f t="shared" si="75"/>
        <v>0</v>
      </c>
      <c r="BW49" s="314">
        <f>VLOOKUP($D49,'2018 Plan Data'!$A$4:$T$2000,13,FALSE)</f>
        <v>0</v>
      </c>
      <c r="BX49" s="314">
        <f>VLOOKUP($D49,'2018 Plan Data'!$A$4:$T$2000,14,FALSE)</f>
        <v>0</v>
      </c>
      <c r="BY49" s="314">
        <f>VLOOKUP($D49,'2018 Plan Data'!$A$4:$T$2000,15,FALSE)</f>
        <v>4185600</v>
      </c>
      <c r="BZ49" s="314">
        <f>VLOOKUP($D49,'2018 Plan Data'!$A$4:$T$2000,16,FALSE)</f>
        <v>0</v>
      </c>
      <c r="CA49" s="314">
        <f>VLOOKUP($D49,'2018 Plan Data'!$A$4:$T$2000,17,FALSE)</f>
        <v>0</v>
      </c>
      <c r="CB49" s="314">
        <f>VLOOKUP($D49,'2018 Plan Data'!$A$4:$T$2000,18,FALSE)</f>
        <v>0</v>
      </c>
      <c r="CC49" s="314">
        <f>VLOOKUP($D49,'2018 Plan Data'!$A$4:$T$2000,19,FALSE)</f>
        <v>51600</v>
      </c>
      <c r="CD49" s="314">
        <f>VLOOKUP($D49,'2018 Plan Data'!$A$4:$T$2000,20,FALSE)</f>
        <v>0</v>
      </c>
      <c r="CE49" t="b">
        <f t="shared" si="41"/>
        <v>1</v>
      </c>
      <c r="CF49" t="b">
        <f t="shared" si="42"/>
        <v>1</v>
      </c>
      <c r="CG49" t="b">
        <f t="shared" si="43"/>
        <v>0</v>
      </c>
      <c r="CH49" t="b">
        <f t="shared" si="44"/>
        <v>1</v>
      </c>
      <c r="CI49" t="b">
        <f t="shared" si="45"/>
        <v>1</v>
      </c>
      <c r="CJ49" t="b">
        <f t="shared" si="46"/>
        <v>1</v>
      </c>
      <c r="CK49" t="b">
        <f t="shared" si="47"/>
        <v>1</v>
      </c>
      <c r="CL49" t="b">
        <f t="shared" si="48"/>
        <v>1</v>
      </c>
    </row>
    <row r="50" spans="1:90" ht="15" customHeight="1" x14ac:dyDescent="0.35">
      <c r="A50" s="585">
        <f t="shared" si="53"/>
        <v>483</v>
      </c>
      <c r="B50" t="str">
        <f t="shared" si="3"/>
        <v>Residential_Behavior Modification</v>
      </c>
      <c r="D50">
        <v>483</v>
      </c>
      <c r="E50" t="s">
        <v>78</v>
      </c>
      <c r="F50" s="600" t="str">
        <f>VLOOKUP(G50,Sheet4!$D$6:$E$22,2,FALSE)</f>
        <v>Behavior Modification</v>
      </c>
      <c r="G50" s="445" t="s">
        <v>838</v>
      </c>
      <c r="H50" s="673" t="s">
        <v>1001</v>
      </c>
      <c r="I50" s="232"/>
      <c r="J50" s="18" t="s">
        <v>1007</v>
      </c>
      <c r="K50" s="18" t="s">
        <v>211</v>
      </c>
      <c r="M50" s="600">
        <v>1</v>
      </c>
      <c r="O50" s="72" t="str">
        <f t="shared" si="54"/>
        <v>Dual Fuel</v>
      </c>
      <c r="P50" s="7">
        <f>VLOOKUP(D50,'2018 Plan Data'!$A$4:$K$1000,11,FALSE)</f>
        <v>4</v>
      </c>
      <c r="Q50" s="652">
        <f>VLOOKUP(D50,'2018 Plan Data'!$A$4:$L$1000,12,FALSE)</f>
        <v>3</v>
      </c>
      <c r="R50" s="314">
        <v>66.708000000000013</v>
      </c>
      <c r="T50" s="314">
        <v>1.1352739726027397E-2</v>
      </c>
      <c r="V50" s="314">
        <v>0.46439999999999998</v>
      </c>
      <c r="AD50" s="309">
        <f t="shared" si="55"/>
        <v>1</v>
      </c>
      <c r="AE50" s="309">
        <f t="shared" si="80"/>
        <v>1</v>
      </c>
      <c r="AF50" s="309">
        <f t="shared" si="80"/>
        <v>1</v>
      </c>
      <c r="AG50" s="309">
        <f t="shared" si="80"/>
        <v>1</v>
      </c>
      <c r="AH50" s="314">
        <f t="shared" si="56"/>
        <v>0</v>
      </c>
      <c r="AI50" s="314">
        <f t="shared" si="57"/>
        <v>0</v>
      </c>
      <c r="AJ50" s="314">
        <f t="shared" si="58"/>
        <v>0</v>
      </c>
      <c r="AK50" s="314">
        <f t="shared" si="59"/>
        <v>0</v>
      </c>
      <c r="AL50" s="309">
        <f t="shared" si="60"/>
        <v>1</v>
      </c>
      <c r="AM50" s="309">
        <f t="shared" si="61"/>
        <v>1</v>
      </c>
      <c r="AN50" s="309">
        <f t="shared" si="62"/>
        <v>1</v>
      </c>
      <c r="AO50" s="309">
        <f t="shared" si="63"/>
        <v>1</v>
      </c>
      <c r="AP50" s="446">
        <f t="shared" si="64"/>
        <v>1.1352739726027397E-2</v>
      </c>
      <c r="AQ50" s="446">
        <f t="shared" si="65"/>
        <v>1.1352739726027397E-2</v>
      </c>
      <c r="AR50" s="446">
        <f t="shared" si="66"/>
        <v>1.1352739726027397E-2</v>
      </c>
      <c r="AS50" s="446">
        <f t="shared" si="67"/>
        <v>1.1352739726027397E-2</v>
      </c>
      <c r="AT50" s="309">
        <f t="shared" si="82"/>
        <v>1</v>
      </c>
      <c r="AU50" s="309">
        <f t="shared" si="81"/>
        <v>1</v>
      </c>
      <c r="AV50" s="309">
        <f t="shared" si="81"/>
        <v>1</v>
      </c>
      <c r="AW50" s="309">
        <f t="shared" si="81"/>
        <v>1</v>
      </c>
      <c r="AX50" s="243">
        <f t="shared" si="76"/>
        <v>0.46439999999999998</v>
      </c>
      <c r="AY50" s="243">
        <f t="shared" si="77"/>
        <v>0.46439999999999998</v>
      </c>
      <c r="AZ50" s="243">
        <f t="shared" si="78"/>
        <v>0.46439999999999998</v>
      </c>
      <c r="BA50" s="243">
        <f t="shared" si="79"/>
        <v>0.46439999999999998</v>
      </c>
      <c r="BB50" s="243">
        <f>VLOOKUP($D50,'2018 Plan Data'!$A$4:$K$2000,6,FALSE)</f>
        <v>0</v>
      </c>
      <c r="BC50" s="243">
        <f>VLOOKUP($D50,'2018 Plan Data'!$A$4:$K$2000,7,FALSE)</f>
        <v>0</v>
      </c>
      <c r="BD50" s="243">
        <f>VLOOKUP($D50,'2018 Plan Data'!$A$4:$K$2000,8,FALSE)</f>
        <v>50000</v>
      </c>
      <c r="BE50" s="243">
        <f>VLOOKUP($D50,'2018 Plan Data'!$A$4:$K$2000,9,FALSE)</f>
        <v>0</v>
      </c>
      <c r="BF50" s="243">
        <f t="shared" si="25"/>
        <v>0</v>
      </c>
      <c r="BG50" s="243">
        <f t="shared" si="26"/>
        <v>0</v>
      </c>
      <c r="BH50" s="243">
        <f t="shared" si="27"/>
        <v>3335400.0000000005</v>
      </c>
      <c r="BI50" s="243">
        <f t="shared" si="28"/>
        <v>0</v>
      </c>
      <c r="BJ50" s="243">
        <f t="shared" si="29"/>
        <v>0</v>
      </c>
      <c r="BK50" s="243">
        <f t="shared" si="30"/>
        <v>0</v>
      </c>
      <c r="BL50" s="243">
        <f t="shared" si="31"/>
        <v>23220</v>
      </c>
      <c r="BM50" s="243">
        <f t="shared" si="32"/>
        <v>0</v>
      </c>
      <c r="BN50" s="243">
        <f t="shared" si="68"/>
        <v>0</v>
      </c>
      <c r="BO50" s="243">
        <f t="shared" si="69"/>
        <v>0</v>
      </c>
      <c r="BP50" s="243">
        <f t="shared" si="70"/>
        <v>0</v>
      </c>
      <c r="BQ50" s="243">
        <f t="shared" si="71"/>
        <v>0</v>
      </c>
      <c r="BR50" s="243">
        <f t="shared" si="72"/>
        <v>0</v>
      </c>
      <c r="BS50" s="243">
        <f t="shared" si="73"/>
        <v>0</v>
      </c>
      <c r="BT50" s="243">
        <f t="shared" si="74"/>
        <v>23220</v>
      </c>
      <c r="BU50" s="243">
        <f t="shared" si="75"/>
        <v>0</v>
      </c>
      <c r="BW50" s="314">
        <f>VLOOKUP($D50,'2018 Plan Data'!$A$4:$T$2000,13,FALSE)</f>
        <v>0</v>
      </c>
      <c r="BX50" s="314">
        <f>VLOOKUP($D50,'2018 Plan Data'!$A$4:$T$2000,14,FALSE)</f>
        <v>0</v>
      </c>
      <c r="BY50" s="314">
        <f>VLOOKUP($D50,'2018 Plan Data'!$A$4:$T$2000,15,FALSE)</f>
        <v>3335400.0000000005</v>
      </c>
      <c r="BZ50" s="314">
        <f>VLOOKUP($D50,'2018 Plan Data'!$A$4:$T$2000,16,FALSE)</f>
        <v>0</v>
      </c>
      <c r="CA50" s="314">
        <f>VLOOKUP($D50,'2018 Plan Data'!$A$4:$T$2000,17,FALSE)</f>
        <v>0</v>
      </c>
      <c r="CB50" s="314">
        <f>VLOOKUP($D50,'2018 Plan Data'!$A$4:$T$2000,18,FALSE)</f>
        <v>0</v>
      </c>
      <c r="CC50" s="314">
        <f>VLOOKUP($D50,'2018 Plan Data'!$A$4:$T$2000,19,FALSE)</f>
        <v>23220</v>
      </c>
      <c r="CD50" s="314">
        <f>VLOOKUP($D50,'2018 Plan Data'!$A$4:$T$2000,20,FALSE)</f>
        <v>0</v>
      </c>
      <c r="CE50" t="b">
        <f t="shared" si="41"/>
        <v>1</v>
      </c>
      <c r="CF50" t="b">
        <f t="shared" si="42"/>
        <v>1</v>
      </c>
      <c r="CG50" t="b">
        <f t="shared" si="43"/>
        <v>0</v>
      </c>
      <c r="CH50" t="b">
        <f t="shared" si="44"/>
        <v>1</v>
      </c>
      <c r="CI50" t="b">
        <f t="shared" si="45"/>
        <v>1</v>
      </c>
      <c r="CJ50" t="b">
        <f t="shared" si="46"/>
        <v>1</v>
      </c>
      <c r="CK50" t="b">
        <f t="shared" si="47"/>
        <v>1</v>
      </c>
      <c r="CL50" t="b">
        <f t="shared" si="48"/>
        <v>1</v>
      </c>
    </row>
    <row r="51" spans="1:90" ht="15" customHeight="1" x14ac:dyDescent="0.35">
      <c r="A51" s="585">
        <f t="shared" si="53"/>
        <v>484</v>
      </c>
      <c r="B51" t="str">
        <f t="shared" si="3"/>
        <v>Residential_Behavior Modification</v>
      </c>
      <c r="D51" s="600">
        <v>484</v>
      </c>
      <c r="E51" s="600" t="s">
        <v>78</v>
      </c>
      <c r="F51" s="600" t="str">
        <f>VLOOKUP(G51,Sheet4!$D$6:$E$22,2,FALSE)</f>
        <v>Behavior Modification</v>
      </c>
      <c r="G51" s="445" t="s">
        <v>838</v>
      </c>
      <c r="H51" s="673" t="s">
        <v>1002</v>
      </c>
      <c r="I51" s="232"/>
      <c r="J51" s="18" t="s">
        <v>1007</v>
      </c>
      <c r="K51" s="18" t="s">
        <v>211</v>
      </c>
      <c r="L51" s="72"/>
      <c r="M51" s="600">
        <v>1</v>
      </c>
      <c r="O51" s="72" t="str">
        <f t="shared" si="54"/>
        <v>Dual Fuel</v>
      </c>
      <c r="P51" s="7">
        <f>VLOOKUP(D51,'2018 Plan Data'!$A$4:$K$1000,11,FALSE)</f>
        <v>5</v>
      </c>
      <c r="Q51" s="652">
        <f>VLOOKUP(D51,'2018 Plan Data'!$A$4:$L$1000,12,FALSE)</f>
        <v>4</v>
      </c>
      <c r="R51" s="314">
        <v>53.628</v>
      </c>
      <c r="T51" s="314">
        <v>9.1267123287671215E-3</v>
      </c>
      <c r="V51" s="314">
        <v>0.2064</v>
      </c>
      <c r="X51" s="600"/>
      <c r="Y51" s="600"/>
      <c r="Z51" s="600"/>
      <c r="AA51" s="600"/>
      <c r="AB51" s="600"/>
      <c r="AC51" s="600"/>
      <c r="AD51" s="309">
        <f t="shared" si="55"/>
        <v>1</v>
      </c>
      <c r="AE51" s="309">
        <f t="shared" si="80"/>
        <v>1</v>
      </c>
      <c r="AF51" s="309">
        <f t="shared" si="80"/>
        <v>1</v>
      </c>
      <c r="AG51" s="309">
        <f t="shared" si="80"/>
        <v>1</v>
      </c>
      <c r="AH51" s="314">
        <f t="shared" si="56"/>
        <v>0</v>
      </c>
      <c r="AI51" s="314">
        <f t="shared" si="57"/>
        <v>0</v>
      </c>
      <c r="AJ51" s="314">
        <f t="shared" si="58"/>
        <v>0</v>
      </c>
      <c r="AK51" s="314">
        <f t="shared" si="59"/>
        <v>0</v>
      </c>
      <c r="AL51" s="309">
        <f t="shared" si="60"/>
        <v>1</v>
      </c>
      <c r="AM51" s="309">
        <f t="shared" si="61"/>
        <v>1</v>
      </c>
      <c r="AN51" s="309">
        <f t="shared" si="62"/>
        <v>1</v>
      </c>
      <c r="AO51" s="309">
        <f t="shared" si="63"/>
        <v>1</v>
      </c>
      <c r="AP51" s="446">
        <f t="shared" si="64"/>
        <v>9.1267123287671215E-3</v>
      </c>
      <c r="AQ51" s="446">
        <f t="shared" si="65"/>
        <v>9.1267123287671215E-3</v>
      </c>
      <c r="AR51" s="446">
        <f t="shared" si="66"/>
        <v>9.1267123287671215E-3</v>
      </c>
      <c r="AS51" s="446">
        <f t="shared" si="67"/>
        <v>9.1267123287671215E-3</v>
      </c>
      <c r="AT51" s="309">
        <f t="shared" si="82"/>
        <v>1</v>
      </c>
      <c r="AU51" s="309">
        <f t="shared" si="81"/>
        <v>1</v>
      </c>
      <c r="AV51" s="309">
        <f t="shared" si="81"/>
        <v>1</v>
      </c>
      <c r="AW51" s="309">
        <f t="shared" si="81"/>
        <v>1</v>
      </c>
      <c r="AX51" s="243">
        <f t="shared" si="76"/>
        <v>0.2064</v>
      </c>
      <c r="AY51" s="243">
        <f t="shared" si="77"/>
        <v>0.2064</v>
      </c>
      <c r="AZ51" s="243">
        <f t="shared" si="78"/>
        <v>0.2064</v>
      </c>
      <c r="BA51" s="243">
        <f t="shared" si="79"/>
        <v>0.2064</v>
      </c>
      <c r="BB51" s="243">
        <f>VLOOKUP($D51,'2018 Plan Data'!$A$4:$K$2000,6,FALSE)</f>
        <v>0</v>
      </c>
      <c r="BC51" s="243">
        <f>VLOOKUP($D51,'2018 Plan Data'!$A$4:$K$2000,7,FALSE)</f>
        <v>0</v>
      </c>
      <c r="BD51" s="243">
        <f>VLOOKUP($D51,'2018 Plan Data'!$A$4:$K$2000,8,FALSE)</f>
        <v>50000</v>
      </c>
      <c r="BE51" s="243">
        <f>VLOOKUP($D51,'2018 Plan Data'!$A$4:$K$2000,9,FALSE)</f>
        <v>0</v>
      </c>
      <c r="BF51" s="243">
        <f t="shared" si="25"/>
        <v>0</v>
      </c>
      <c r="BG51" s="243">
        <f t="shared" si="26"/>
        <v>0</v>
      </c>
      <c r="BH51" s="243">
        <f t="shared" si="27"/>
        <v>2681400</v>
      </c>
      <c r="BI51" s="243">
        <f t="shared" si="28"/>
        <v>0</v>
      </c>
      <c r="BJ51" s="243">
        <f t="shared" si="29"/>
        <v>0</v>
      </c>
      <c r="BK51" s="243">
        <f t="shared" si="30"/>
        <v>0</v>
      </c>
      <c r="BL51" s="243">
        <f t="shared" si="31"/>
        <v>10320</v>
      </c>
      <c r="BM51" s="243">
        <f t="shared" si="32"/>
        <v>0</v>
      </c>
      <c r="BN51" s="243">
        <f t="shared" si="68"/>
        <v>0</v>
      </c>
      <c r="BO51" s="243">
        <f t="shared" si="69"/>
        <v>0</v>
      </c>
      <c r="BP51" s="243">
        <f t="shared" si="70"/>
        <v>0</v>
      </c>
      <c r="BQ51" s="243">
        <f t="shared" si="71"/>
        <v>0</v>
      </c>
      <c r="BR51" s="243">
        <f t="shared" si="72"/>
        <v>0</v>
      </c>
      <c r="BS51" s="243">
        <f t="shared" si="73"/>
        <v>0</v>
      </c>
      <c r="BT51" s="243">
        <f t="shared" si="74"/>
        <v>10320</v>
      </c>
      <c r="BU51" s="243">
        <f t="shared" si="75"/>
        <v>0</v>
      </c>
      <c r="BW51" s="314">
        <f>VLOOKUP($D51,'2018 Plan Data'!$A$4:$T$2000,13,FALSE)</f>
        <v>0</v>
      </c>
      <c r="BX51" s="314">
        <f>VLOOKUP($D51,'2018 Plan Data'!$A$4:$T$2000,14,FALSE)</f>
        <v>0</v>
      </c>
      <c r="BY51" s="314">
        <f>VLOOKUP($D51,'2018 Plan Data'!$A$4:$T$2000,15,FALSE)</f>
        <v>2681400</v>
      </c>
      <c r="BZ51" s="314">
        <f>VLOOKUP($D51,'2018 Plan Data'!$A$4:$T$2000,16,FALSE)</f>
        <v>0</v>
      </c>
      <c r="CA51" s="314">
        <f>VLOOKUP($D51,'2018 Plan Data'!$A$4:$T$2000,17,FALSE)</f>
        <v>0</v>
      </c>
      <c r="CB51" s="314">
        <f>VLOOKUP($D51,'2018 Plan Data'!$A$4:$T$2000,18,FALSE)</f>
        <v>0</v>
      </c>
      <c r="CC51" s="314">
        <f>VLOOKUP($D51,'2018 Plan Data'!$A$4:$T$2000,19,FALSE)</f>
        <v>10320</v>
      </c>
      <c r="CD51" s="314">
        <f>VLOOKUP($D51,'2018 Plan Data'!$A$4:$T$2000,20,FALSE)</f>
        <v>0</v>
      </c>
      <c r="CE51" t="b">
        <f t="shared" si="41"/>
        <v>1</v>
      </c>
      <c r="CF51" t="b">
        <f t="shared" si="42"/>
        <v>1</v>
      </c>
      <c r="CG51" t="b">
        <f t="shared" si="43"/>
        <v>0</v>
      </c>
      <c r="CH51" t="b">
        <f t="shared" si="44"/>
        <v>1</v>
      </c>
      <c r="CI51" t="b">
        <f t="shared" si="45"/>
        <v>1</v>
      </c>
      <c r="CJ51" t="b">
        <f t="shared" si="46"/>
        <v>1</v>
      </c>
      <c r="CK51" t="b">
        <f t="shared" si="47"/>
        <v>1</v>
      </c>
      <c r="CL51" t="b">
        <f t="shared" si="48"/>
        <v>1</v>
      </c>
    </row>
    <row r="52" spans="1:90" ht="15" customHeight="1" x14ac:dyDescent="0.35">
      <c r="A52" s="585">
        <f t="shared" si="53"/>
        <v>486</v>
      </c>
      <c r="B52" t="str">
        <f t="shared" si="3"/>
        <v>Residential_Behavior Modification</v>
      </c>
      <c r="D52">
        <v>486</v>
      </c>
      <c r="E52" t="s">
        <v>78</v>
      </c>
      <c r="F52" s="600" t="str">
        <f>VLOOKUP(G52,Sheet4!$D$6:$E$22,2,FALSE)</f>
        <v>Behavior Modification</v>
      </c>
      <c r="G52" s="445" t="s">
        <v>838</v>
      </c>
      <c r="H52" s="673" t="s">
        <v>1003</v>
      </c>
      <c r="I52" s="232"/>
      <c r="J52" s="18" t="s">
        <v>1007</v>
      </c>
      <c r="K52" s="18" t="s">
        <v>211</v>
      </c>
      <c r="M52" s="600">
        <v>1</v>
      </c>
      <c r="O52" s="72" t="str">
        <f t="shared" si="54"/>
        <v>Dual Fuel</v>
      </c>
      <c r="P52" s="7">
        <f>VLOOKUP(D52,'2018 Plan Data'!$A$4:$K$1000,11,FALSE)</f>
        <v>2</v>
      </c>
      <c r="Q52" s="652">
        <f>VLOOKUP(D52,'2018 Plan Data'!$A$4:$L$1000,12,FALSE)</f>
        <v>1</v>
      </c>
      <c r="R52" s="314">
        <v>104.64000000000001</v>
      </c>
      <c r="T52" s="314">
        <v>1.1352739726027397E-2</v>
      </c>
      <c r="V52" s="314">
        <v>2.3220000000000001</v>
      </c>
      <c r="AD52" s="309">
        <f t="shared" si="55"/>
        <v>1</v>
      </c>
      <c r="AE52" s="309">
        <f t="shared" si="80"/>
        <v>1</v>
      </c>
      <c r="AF52" s="309">
        <f t="shared" si="80"/>
        <v>1</v>
      </c>
      <c r="AG52" s="309">
        <f t="shared" si="80"/>
        <v>1</v>
      </c>
      <c r="AH52" s="314">
        <f t="shared" si="56"/>
        <v>0</v>
      </c>
      <c r="AI52" s="314">
        <f t="shared" si="57"/>
        <v>0</v>
      </c>
      <c r="AJ52" s="314">
        <f t="shared" si="58"/>
        <v>0</v>
      </c>
      <c r="AK52" s="314">
        <f t="shared" si="59"/>
        <v>0</v>
      </c>
      <c r="AL52" s="309">
        <f t="shared" si="60"/>
        <v>1</v>
      </c>
      <c r="AM52" s="309">
        <f t="shared" si="61"/>
        <v>1</v>
      </c>
      <c r="AN52" s="309">
        <f t="shared" si="62"/>
        <v>1</v>
      </c>
      <c r="AO52" s="309">
        <f t="shared" si="63"/>
        <v>1</v>
      </c>
      <c r="AP52" s="446">
        <f t="shared" si="64"/>
        <v>1.1352739726027397E-2</v>
      </c>
      <c r="AQ52" s="446">
        <f t="shared" si="65"/>
        <v>1.1352739726027397E-2</v>
      </c>
      <c r="AR52" s="446">
        <f t="shared" si="66"/>
        <v>1.1352739726027397E-2</v>
      </c>
      <c r="AS52" s="446">
        <f t="shared" si="67"/>
        <v>1.1352739726027397E-2</v>
      </c>
      <c r="AT52" s="309">
        <f t="shared" si="82"/>
        <v>1</v>
      </c>
      <c r="AU52" s="309">
        <f t="shared" si="81"/>
        <v>1</v>
      </c>
      <c r="AV52" s="309">
        <f t="shared" si="81"/>
        <v>1</v>
      </c>
      <c r="AW52" s="309">
        <f t="shared" si="81"/>
        <v>1</v>
      </c>
      <c r="AX52" s="243">
        <f t="shared" si="76"/>
        <v>2.3220000000000001</v>
      </c>
      <c r="AY52" s="243">
        <f t="shared" si="77"/>
        <v>2.3220000000000001</v>
      </c>
      <c r="AZ52" s="243">
        <f t="shared" si="78"/>
        <v>2.3220000000000001</v>
      </c>
      <c r="BA52" s="243">
        <f t="shared" si="79"/>
        <v>2.3220000000000001</v>
      </c>
      <c r="BB52" s="243">
        <f>VLOOKUP($D52,'2018 Plan Data'!$A$4:$K$2000,6,FALSE)</f>
        <v>0</v>
      </c>
      <c r="BC52" s="243">
        <f>VLOOKUP($D52,'2018 Plan Data'!$A$4:$K$2000,7,FALSE)</f>
        <v>0</v>
      </c>
      <c r="BD52" s="243">
        <f>VLOOKUP($D52,'2018 Plan Data'!$A$4:$K$2000,8,FALSE)</f>
        <v>0</v>
      </c>
      <c r="BE52" s="243">
        <f>VLOOKUP($D52,'2018 Plan Data'!$A$4:$K$2000,9,FALSE)</f>
        <v>50000</v>
      </c>
      <c r="BF52" s="243">
        <f t="shared" si="25"/>
        <v>0</v>
      </c>
      <c r="BG52" s="243">
        <f t="shared" si="26"/>
        <v>0</v>
      </c>
      <c r="BH52" s="243">
        <f t="shared" si="27"/>
        <v>0</v>
      </c>
      <c r="BI52" s="243">
        <f t="shared" si="28"/>
        <v>5232000.0000000009</v>
      </c>
      <c r="BJ52" s="243">
        <f t="shared" si="29"/>
        <v>0</v>
      </c>
      <c r="BK52" s="243">
        <f t="shared" si="30"/>
        <v>0</v>
      </c>
      <c r="BL52" s="243">
        <f t="shared" si="31"/>
        <v>0</v>
      </c>
      <c r="BM52" s="243">
        <f t="shared" si="32"/>
        <v>116100</v>
      </c>
      <c r="BN52" s="243">
        <f t="shared" si="68"/>
        <v>0</v>
      </c>
      <c r="BO52" s="243">
        <f t="shared" si="69"/>
        <v>0</v>
      </c>
      <c r="BP52" s="243">
        <f t="shared" si="70"/>
        <v>0</v>
      </c>
      <c r="BQ52" s="243">
        <f t="shared" si="71"/>
        <v>0</v>
      </c>
      <c r="BR52" s="243">
        <f t="shared" si="72"/>
        <v>0</v>
      </c>
      <c r="BS52" s="243">
        <f t="shared" si="73"/>
        <v>0</v>
      </c>
      <c r="BT52" s="243">
        <f t="shared" si="74"/>
        <v>0</v>
      </c>
      <c r="BU52" s="243">
        <f t="shared" si="75"/>
        <v>116100</v>
      </c>
      <c r="BW52" s="314">
        <f>VLOOKUP($D52,'2018 Plan Data'!$A$4:$T$2000,13,FALSE)</f>
        <v>0</v>
      </c>
      <c r="BX52" s="314">
        <f>VLOOKUP($D52,'2018 Plan Data'!$A$4:$T$2000,14,FALSE)</f>
        <v>0</v>
      </c>
      <c r="BY52" s="314">
        <f>VLOOKUP($D52,'2018 Plan Data'!$A$4:$T$2000,15,FALSE)</f>
        <v>0</v>
      </c>
      <c r="BZ52" s="314">
        <f>VLOOKUP($D52,'2018 Plan Data'!$A$4:$T$2000,16,FALSE)</f>
        <v>5232000.0000000009</v>
      </c>
      <c r="CA52" s="314">
        <f>VLOOKUP($D52,'2018 Plan Data'!$A$4:$T$2000,17,FALSE)</f>
        <v>0</v>
      </c>
      <c r="CB52" s="314">
        <f>VLOOKUP($D52,'2018 Plan Data'!$A$4:$T$2000,18,FALSE)</f>
        <v>0</v>
      </c>
      <c r="CC52" s="314">
        <f>VLOOKUP($D52,'2018 Plan Data'!$A$4:$T$2000,19,FALSE)</f>
        <v>0</v>
      </c>
      <c r="CD52" s="314">
        <f>VLOOKUP($D52,'2018 Plan Data'!$A$4:$T$2000,20,FALSE)</f>
        <v>116100</v>
      </c>
      <c r="CE52" t="b">
        <f t="shared" si="41"/>
        <v>1</v>
      </c>
      <c r="CF52" t="b">
        <f t="shared" si="42"/>
        <v>1</v>
      </c>
      <c r="CG52" t="b">
        <f t="shared" si="43"/>
        <v>1</v>
      </c>
      <c r="CH52" t="b">
        <f t="shared" si="44"/>
        <v>0</v>
      </c>
      <c r="CI52" t="b">
        <f t="shared" si="45"/>
        <v>1</v>
      </c>
      <c r="CJ52" t="b">
        <f t="shared" si="46"/>
        <v>1</v>
      </c>
      <c r="CK52" t="b">
        <f t="shared" si="47"/>
        <v>1</v>
      </c>
      <c r="CL52" t="b">
        <f t="shared" si="48"/>
        <v>1</v>
      </c>
    </row>
    <row r="53" spans="1:90" ht="15" customHeight="1" x14ac:dyDescent="0.35">
      <c r="A53" s="585">
        <f t="shared" si="53"/>
        <v>487</v>
      </c>
      <c r="B53" t="str">
        <f t="shared" si="3"/>
        <v>Residential_Behavior Modification</v>
      </c>
      <c r="D53">
        <v>487</v>
      </c>
      <c r="E53" t="s">
        <v>78</v>
      </c>
      <c r="F53" s="600" t="str">
        <f>VLOOKUP(G53,Sheet4!$D$6:$E$22,2,FALSE)</f>
        <v>Behavior Modification</v>
      </c>
      <c r="G53" s="445" t="s">
        <v>838</v>
      </c>
      <c r="H53" s="673" t="s">
        <v>1004</v>
      </c>
      <c r="I53" s="232"/>
      <c r="J53" s="18" t="s">
        <v>1007</v>
      </c>
      <c r="K53" s="18" t="s">
        <v>211</v>
      </c>
      <c r="M53" s="600">
        <v>1</v>
      </c>
      <c r="O53" s="72" t="str">
        <f t="shared" si="54"/>
        <v>Dual Fuel</v>
      </c>
      <c r="P53" s="7">
        <f>VLOOKUP(D53,'2018 Plan Data'!$A$4:$K$1000,11,FALSE)</f>
        <v>3</v>
      </c>
      <c r="Q53" s="652">
        <f>VLOOKUP(D53,'2018 Plan Data'!$A$4:$L$1000,12,FALSE)</f>
        <v>2</v>
      </c>
      <c r="R53" s="314">
        <v>83.712000000000003</v>
      </c>
      <c r="T53" s="314">
        <v>9.1267123287671215E-3</v>
      </c>
      <c r="V53" s="314">
        <v>1.032</v>
      </c>
      <c r="AD53" s="309">
        <f t="shared" si="55"/>
        <v>1</v>
      </c>
      <c r="AE53" s="309">
        <f t="shared" si="80"/>
        <v>1</v>
      </c>
      <c r="AF53" s="309">
        <f t="shared" si="80"/>
        <v>1</v>
      </c>
      <c r="AG53" s="309">
        <f t="shared" si="80"/>
        <v>1</v>
      </c>
      <c r="AH53" s="314">
        <f t="shared" si="56"/>
        <v>0</v>
      </c>
      <c r="AI53" s="314">
        <f t="shared" si="57"/>
        <v>0</v>
      </c>
      <c r="AJ53" s="314">
        <f t="shared" si="58"/>
        <v>0</v>
      </c>
      <c r="AK53" s="314">
        <f t="shared" si="59"/>
        <v>0</v>
      </c>
      <c r="AL53" s="309">
        <f t="shared" si="60"/>
        <v>1</v>
      </c>
      <c r="AM53" s="309">
        <f t="shared" si="61"/>
        <v>1</v>
      </c>
      <c r="AN53" s="309">
        <f t="shared" si="62"/>
        <v>1</v>
      </c>
      <c r="AO53" s="309">
        <f t="shared" si="63"/>
        <v>1</v>
      </c>
      <c r="AP53" s="446">
        <f t="shared" si="64"/>
        <v>9.1267123287671215E-3</v>
      </c>
      <c r="AQ53" s="446">
        <f t="shared" si="65"/>
        <v>9.1267123287671215E-3</v>
      </c>
      <c r="AR53" s="446">
        <f t="shared" si="66"/>
        <v>9.1267123287671215E-3</v>
      </c>
      <c r="AS53" s="446">
        <f t="shared" si="67"/>
        <v>9.1267123287671215E-3</v>
      </c>
      <c r="AT53" s="309">
        <f t="shared" si="82"/>
        <v>1</v>
      </c>
      <c r="AU53" s="309">
        <f t="shared" si="81"/>
        <v>1</v>
      </c>
      <c r="AV53" s="309">
        <f t="shared" si="81"/>
        <v>1</v>
      </c>
      <c r="AW53" s="309">
        <f t="shared" si="81"/>
        <v>1</v>
      </c>
      <c r="AX53" s="243">
        <f t="shared" si="76"/>
        <v>1.032</v>
      </c>
      <c r="AY53" s="243">
        <f t="shared" si="77"/>
        <v>1.032</v>
      </c>
      <c r="AZ53" s="243">
        <f t="shared" si="78"/>
        <v>1.032</v>
      </c>
      <c r="BA53" s="243">
        <f t="shared" si="79"/>
        <v>1.032</v>
      </c>
      <c r="BB53" s="243">
        <f>VLOOKUP($D53,'2018 Plan Data'!$A$4:$K$2000,6,FALSE)</f>
        <v>0</v>
      </c>
      <c r="BC53" s="243">
        <f>VLOOKUP($D53,'2018 Plan Data'!$A$4:$K$2000,7,FALSE)</f>
        <v>0</v>
      </c>
      <c r="BD53" s="243">
        <f>VLOOKUP($D53,'2018 Plan Data'!$A$4:$K$2000,8,FALSE)</f>
        <v>0</v>
      </c>
      <c r="BE53" s="243">
        <f>VLOOKUP($D53,'2018 Plan Data'!$A$4:$K$2000,9,FALSE)</f>
        <v>50000</v>
      </c>
      <c r="BF53" s="243">
        <f t="shared" si="25"/>
        <v>0</v>
      </c>
      <c r="BG53" s="243">
        <f t="shared" si="26"/>
        <v>0</v>
      </c>
      <c r="BH53" s="243">
        <f t="shared" si="27"/>
        <v>0</v>
      </c>
      <c r="BI53" s="243">
        <f t="shared" si="28"/>
        <v>4185600</v>
      </c>
      <c r="BJ53" s="243">
        <f t="shared" si="29"/>
        <v>0</v>
      </c>
      <c r="BK53" s="243">
        <f t="shared" si="30"/>
        <v>0</v>
      </c>
      <c r="BL53" s="243">
        <f t="shared" si="31"/>
        <v>0</v>
      </c>
      <c r="BM53" s="243">
        <f t="shared" si="32"/>
        <v>51600</v>
      </c>
      <c r="BN53" s="243">
        <f t="shared" si="68"/>
        <v>0</v>
      </c>
      <c r="BO53" s="243">
        <f t="shared" si="69"/>
        <v>0</v>
      </c>
      <c r="BP53" s="243">
        <f t="shared" si="70"/>
        <v>0</v>
      </c>
      <c r="BQ53" s="243">
        <f t="shared" si="71"/>
        <v>0</v>
      </c>
      <c r="BR53" s="243">
        <f t="shared" si="72"/>
        <v>0</v>
      </c>
      <c r="BS53" s="243">
        <f t="shared" si="73"/>
        <v>0</v>
      </c>
      <c r="BT53" s="243">
        <f t="shared" si="74"/>
        <v>0</v>
      </c>
      <c r="BU53" s="243">
        <f t="shared" si="75"/>
        <v>51600</v>
      </c>
      <c r="BW53" s="314">
        <f>VLOOKUP($D53,'2018 Plan Data'!$A$4:$T$2000,13,FALSE)</f>
        <v>0</v>
      </c>
      <c r="BX53" s="314">
        <f>VLOOKUP($D53,'2018 Plan Data'!$A$4:$T$2000,14,FALSE)</f>
        <v>0</v>
      </c>
      <c r="BY53" s="314">
        <f>VLOOKUP($D53,'2018 Plan Data'!$A$4:$T$2000,15,FALSE)</f>
        <v>0</v>
      </c>
      <c r="BZ53" s="314">
        <f>VLOOKUP($D53,'2018 Plan Data'!$A$4:$T$2000,16,FALSE)</f>
        <v>4185600</v>
      </c>
      <c r="CA53" s="314">
        <f>VLOOKUP($D53,'2018 Plan Data'!$A$4:$T$2000,17,FALSE)</f>
        <v>0</v>
      </c>
      <c r="CB53" s="314">
        <f>VLOOKUP($D53,'2018 Plan Data'!$A$4:$T$2000,18,FALSE)</f>
        <v>0</v>
      </c>
      <c r="CC53" s="314">
        <f>VLOOKUP($D53,'2018 Plan Data'!$A$4:$T$2000,19,FALSE)</f>
        <v>0</v>
      </c>
      <c r="CD53" s="314">
        <f>VLOOKUP($D53,'2018 Plan Data'!$A$4:$T$2000,20,FALSE)</f>
        <v>51600</v>
      </c>
      <c r="CE53" t="b">
        <f t="shared" si="41"/>
        <v>1</v>
      </c>
      <c r="CF53" t="b">
        <f t="shared" si="42"/>
        <v>1</v>
      </c>
      <c r="CG53" t="b">
        <f t="shared" si="43"/>
        <v>1</v>
      </c>
      <c r="CH53" t="b">
        <f t="shared" si="44"/>
        <v>0</v>
      </c>
      <c r="CI53" t="b">
        <f t="shared" si="45"/>
        <v>1</v>
      </c>
      <c r="CJ53" t="b">
        <f t="shared" si="46"/>
        <v>1</v>
      </c>
      <c r="CK53" t="b">
        <f t="shared" si="47"/>
        <v>1</v>
      </c>
      <c r="CL53" t="b">
        <f t="shared" si="48"/>
        <v>1</v>
      </c>
    </row>
    <row r="54" spans="1:90" ht="15" customHeight="1" x14ac:dyDescent="0.35">
      <c r="A54" s="585">
        <f t="shared" si="53"/>
        <v>488</v>
      </c>
      <c r="B54" t="str">
        <f t="shared" si="3"/>
        <v>Residential_Behavior Modification</v>
      </c>
      <c r="D54">
        <v>488</v>
      </c>
      <c r="E54" t="s">
        <v>78</v>
      </c>
      <c r="F54" s="600" t="str">
        <f>VLOOKUP(G54,Sheet4!$D$6:$E$22,2,FALSE)</f>
        <v>Behavior Modification</v>
      </c>
      <c r="G54" s="445" t="s">
        <v>838</v>
      </c>
      <c r="H54" s="673" t="s">
        <v>1005</v>
      </c>
      <c r="I54" s="232"/>
      <c r="J54" s="18" t="s">
        <v>1007</v>
      </c>
      <c r="K54" s="18" t="s">
        <v>211</v>
      </c>
      <c r="M54" s="600">
        <v>1</v>
      </c>
      <c r="O54" s="72" t="str">
        <f t="shared" si="54"/>
        <v>Dual Fuel</v>
      </c>
      <c r="P54" s="7">
        <f>VLOOKUP(D54,'2018 Plan Data'!$A$4:$K$1000,11,FALSE)</f>
        <v>4</v>
      </c>
      <c r="Q54" s="652">
        <f>VLOOKUP(D54,'2018 Plan Data'!$A$4:$L$1000,12,FALSE)</f>
        <v>3</v>
      </c>
      <c r="R54" s="314">
        <v>66.708000000000013</v>
      </c>
      <c r="T54" s="314">
        <v>1.7808219178082191E-2</v>
      </c>
      <c r="V54" s="314">
        <v>0.46439999999999998</v>
      </c>
      <c r="AD54" s="309">
        <f t="shared" si="55"/>
        <v>1</v>
      </c>
      <c r="AE54" s="309">
        <f t="shared" si="80"/>
        <v>1</v>
      </c>
      <c r="AF54" s="309">
        <f t="shared" si="80"/>
        <v>1</v>
      </c>
      <c r="AG54" s="309">
        <f t="shared" si="80"/>
        <v>1</v>
      </c>
      <c r="AH54" s="314">
        <f t="shared" si="56"/>
        <v>0</v>
      </c>
      <c r="AI54" s="314">
        <f t="shared" si="57"/>
        <v>0</v>
      </c>
      <c r="AJ54" s="314">
        <f t="shared" si="58"/>
        <v>0</v>
      </c>
      <c r="AK54" s="314">
        <f t="shared" si="59"/>
        <v>0</v>
      </c>
      <c r="AL54" s="309">
        <f t="shared" si="60"/>
        <v>1</v>
      </c>
      <c r="AM54" s="309">
        <f t="shared" si="61"/>
        <v>1</v>
      </c>
      <c r="AN54" s="309">
        <f t="shared" si="62"/>
        <v>1</v>
      </c>
      <c r="AO54" s="309">
        <f t="shared" si="63"/>
        <v>1</v>
      </c>
      <c r="AP54" s="446">
        <f t="shared" si="64"/>
        <v>1.7808219178082191E-2</v>
      </c>
      <c r="AQ54" s="446">
        <f t="shared" si="65"/>
        <v>1.7808219178082191E-2</v>
      </c>
      <c r="AR54" s="446">
        <f t="shared" si="66"/>
        <v>1.7808219178082191E-2</v>
      </c>
      <c r="AS54" s="446">
        <f t="shared" si="67"/>
        <v>1.7808219178082191E-2</v>
      </c>
      <c r="AT54" s="309">
        <f t="shared" si="82"/>
        <v>1</v>
      </c>
      <c r="AU54" s="309">
        <f t="shared" si="81"/>
        <v>1</v>
      </c>
      <c r="AV54" s="309">
        <f t="shared" si="81"/>
        <v>1</v>
      </c>
      <c r="AW54" s="309">
        <f t="shared" si="81"/>
        <v>1</v>
      </c>
      <c r="AX54" s="243">
        <f t="shared" si="76"/>
        <v>0.46439999999999998</v>
      </c>
      <c r="AY54" s="243">
        <f t="shared" si="77"/>
        <v>0.46439999999999998</v>
      </c>
      <c r="AZ54" s="243">
        <f t="shared" si="78"/>
        <v>0.46439999999999998</v>
      </c>
      <c r="BA54" s="243">
        <f t="shared" si="79"/>
        <v>0.46439999999999998</v>
      </c>
      <c r="BB54" s="243">
        <f>VLOOKUP($D54,'2018 Plan Data'!$A$4:$K$2000,6,FALSE)</f>
        <v>0</v>
      </c>
      <c r="BC54" s="243">
        <f>VLOOKUP($D54,'2018 Plan Data'!$A$4:$K$2000,7,FALSE)</f>
        <v>0</v>
      </c>
      <c r="BD54" s="243">
        <f>VLOOKUP($D54,'2018 Plan Data'!$A$4:$K$2000,8,FALSE)</f>
        <v>0</v>
      </c>
      <c r="BE54" s="243">
        <f>VLOOKUP($D54,'2018 Plan Data'!$A$4:$K$2000,9,FALSE)</f>
        <v>50000</v>
      </c>
      <c r="BF54" s="243">
        <f t="shared" si="25"/>
        <v>0</v>
      </c>
      <c r="BG54" s="243">
        <f t="shared" si="26"/>
        <v>0</v>
      </c>
      <c r="BH54" s="243">
        <f t="shared" si="27"/>
        <v>0</v>
      </c>
      <c r="BI54" s="243">
        <f t="shared" si="28"/>
        <v>3335400.0000000005</v>
      </c>
      <c r="BJ54" s="243">
        <f t="shared" si="29"/>
        <v>0</v>
      </c>
      <c r="BK54" s="243">
        <f t="shared" si="30"/>
        <v>0</v>
      </c>
      <c r="BL54" s="243">
        <f t="shared" si="31"/>
        <v>0</v>
      </c>
      <c r="BM54" s="243">
        <f t="shared" si="32"/>
        <v>23220</v>
      </c>
      <c r="BN54" s="243">
        <f t="shared" si="68"/>
        <v>0</v>
      </c>
      <c r="BO54" s="243">
        <f t="shared" si="69"/>
        <v>0</v>
      </c>
      <c r="BP54" s="243">
        <f t="shared" si="70"/>
        <v>0</v>
      </c>
      <c r="BQ54" s="243">
        <f t="shared" si="71"/>
        <v>0</v>
      </c>
      <c r="BR54" s="243">
        <f t="shared" si="72"/>
        <v>0</v>
      </c>
      <c r="BS54" s="243">
        <f t="shared" si="73"/>
        <v>0</v>
      </c>
      <c r="BT54" s="243">
        <f t="shared" si="74"/>
        <v>0</v>
      </c>
      <c r="BU54" s="243">
        <f t="shared" si="75"/>
        <v>23220</v>
      </c>
      <c r="BW54" s="314">
        <f>VLOOKUP($D54,'2018 Plan Data'!$A$4:$T$2000,13,FALSE)</f>
        <v>0</v>
      </c>
      <c r="BX54" s="314">
        <f>VLOOKUP($D54,'2018 Plan Data'!$A$4:$T$2000,14,FALSE)</f>
        <v>0</v>
      </c>
      <c r="BY54" s="314">
        <f>VLOOKUP($D54,'2018 Plan Data'!$A$4:$T$2000,15,FALSE)</f>
        <v>0</v>
      </c>
      <c r="BZ54" s="314">
        <f>VLOOKUP($D54,'2018 Plan Data'!$A$4:$T$2000,16,FALSE)</f>
        <v>3335400.0000000005</v>
      </c>
      <c r="CA54" s="314">
        <f>VLOOKUP($D54,'2018 Plan Data'!$A$4:$T$2000,17,FALSE)</f>
        <v>0</v>
      </c>
      <c r="CB54" s="314">
        <f>VLOOKUP($D54,'2018 Plan Data'!$A$4:$T$2000,18,FALSE)</f>
        <v>0</v>
      </c>
      <c r="CC54" s="314">
        <f>VLOOKUP($D54,'2018 Plan Data'!$A$4:$T$2000,19,FALSE)</f>
        <v>0</v>
      </c>
      <c r="CD54" s="314">
        <f>VLOOKUP($D54,'2018 Plan Data'!$A$4:$T$2000,20,FALSE)</f>
        <v>23220</v>
      </c>
      <c r="CE54" t="b">
        <f t="shared" si="41"/>
        <v>1</v>
      </c>
      <c r="CF54" t="b">
        <f t="shared" si="42"/>
        <v>1</v>
      </c>
      <c r="CG54" t="b">
        <f t="shared" si="43"/>
        <v>1</v>
      </c>
      <c r="CH54" t="b">
        <f t="shared" si="44"/>
        <v>0</v>
      </c>
      <c r="CI54" t="b">
        <f t="shared" si="45"/>
        <v>1</v>
      </c>
      <c r="CJ54" t="b">
        <f t="shared" si="46"/>
        <v>1</v>
      </c>
      <c r="CK54" t="b">
        <f t="shared" si="47"/>
        <v>1</v>
      </c>
      <c r="CL54" t="b">
        <f t="shared" si="48"/>
        <v>1</v>
      </c>
    </row>
    <row r="55" spans="1:90" ht="15" customHeight="1" x14ac:dyDescent="0.35">
      <c r="A55" s="585">
        <f t="shared" si="53"/>
        <v>489</v>
      </c>
      <c r="B55" t="str">
        <f t="shared" si="3"/>
        <v>Residential_Behavior Modification</v>
      </c>
      <c r="D55" s="600">
        <v>489</v>
      </c>
      <c r="E55" s="600" t="s">
        <v>78</v>
      </c>
      <c r="F55" s="600" t="str">
        <f>VLOOKUP(G55,Sheet4!$D$6:$E$22,2,FALSE)</f>
        <v>Behavior Modification</v>
      </c>
      <c r="G55" s="445" t="s">
        <v>838</v>
      </c>
      <c r="H55" s="673" t="s">
        <v>1006</v>
      </c>
      <c r="I55" s="232"/>
      <c r="J55" s="18" t="s">
        <v>1007</v>
      </c>
      <c r="K55" s="72" t="s">
        <v>211</v>
      </c>
      <c r="L55" s="72"/>
      <c r="M55" s="600">
        <v>1</v>
      </c>
      <c r="O55" s="72" t="str">
        <f t="shared" si="54"/>
        <v>Dual Fuel</v>
      </c>
      <c r="P55" s="7">
        <f>VLOOKUP(D55,'2018 Plan Data'!$A$4:$K$1000,11,FALSE)</f>
        <v>5</v>
      </c>
      <c r="Q55" s="652">
        <f>VLOOKUP(D55,'2018 Plan Data'!$A$4:$L$1000,12,FALSE)</f>
        <v>4</v>
      </c>
      <c r="R55" s="314">
        <v>53.628</v>
      </c>
      <c r="T55" s="314">
        <v>1.4246575342465753E-2</v>
      </c>
      <c r="V55" s="314">
        <v>0.2064</v>
      </c>
      <c r="AD55" s="309">
        <f t="shared" si="55"/>
        <v>1</v>
      </c>
      <c r="AE55" s="309">
        <f t="shared" si="80"/>
        <v>1</v>
      </c>
      <c r="AF55" s="309">
        <f t="shared" si="80"/>
        <v>1</v>
      </c>
      <c r="AG55" s="309">
        <f t="shared" si="80"/>
        <v>1</v>
      </c>
      <c r="AH55" s="314">
        <f t="shared" si="56"/>
        <v>0</v>
      </c>
      <c r="AI55" s="314">
        <f t="shared" si="57"/>
        <v>0</v>
      </c>
      <c r="AJ55" s="314">
        <f t="shared" si="58"/>
        <v>0</v>
      </c>
      <c r="AK55" s="314">
        <f t="shared" si="59"/>
        <v>0</v>
      </c>
      <c r="AL55" s="309">
        <f t="shared" si="60"/>
        <v>1</v>
      </c>
      <c r="AM55" s="309">
        <f t="shared" si="61"/>
        <v>1</v>
      </c>
      <c r="AN55" s="309">
        <f t="shared" si="62"/>
        <v>1</v>
      </c>
      <c r="AO55" s="309">
        <f t="shared" si="63"/>
        <v>1</v>
      </c>
      <c r="AP55" s="446">
        <f t="shared" si="64"/>
        <v>1.4246575342465753E-2</v>
      </c>
      <c r="AQ55" s="446">
        <f t="shared" si="65"/>
        <v>1.4246575342465753E-2</v>
      </c>
      <c r="AR55" s="446">
        <f t="shared" si="66"/>
        <v>1.4246575342465753E-2</v>
      </c>
      <c r="AS55" s="446">
        <f t="shared" si="67"/>
        <v>1.4246575342465753E-2</v>
      </c>
      <c r="AT55" s="309">
        <f t="shared" si="82"/>
        <v>1</v>
      </c>
      <c r="AU55" s="309">
        <f t="shared" si="81"/>
        <v>1</v>
      </c>
      <c r="AV55" s="309">
        <f t="shared" si="81"/>
        <v>1</v>
      </c>
      <c r="AW55" s="309">
        <f t="shared" si="81"/>
        <v>1</v>
      </c>
      <c r="AX55" s="243">
        <f t="shared" si="76"/>
        <v>0.2064</v>
      </c>
      <c r="AY55" s="243">
        <f t="shared" si="77"/>
        <v>0.2064</v>
      </c>
      <c r="AZ55" s="243">
        <f t="shared" si="78"/>
        <v>0.2064</v>
      </c>
      <c r="BA55" s="243">
        <f t="shared" si="79"/>
        <v>0.2064</v>
      </c>
      <c r="BB55" s="243">
        <f>VLOOKUP($D55,'2018 Plan Data'!$A$4:$K$2000,6,FALSE)</f>
        <v>0</v>
      </c>
      <c r="BC55" s="243">
        <f>VLOOKUP($D55,'2018 Plan Data'!$A$4:$K$2000,7,FALSE)</f>
        <v>0</v>
      </c>
      <c r="BD55" s="243">
        <f>VLOOKUP($D55,'2018 Plan Data'!$A$4:$K$2000,8,FALSE)</f>
        <v>0</v>
      </c>
      <c r="BE55" s="243">
        <f>VLOOKUP($D55,'2018 Plan Data'!$A$4:$K$2000,9,FALSE)</f>
        <v>50000</v>
      </c>
      <c r="BF55" s="243">
        <f t="shared" si="25"/>
        <v>0</v>
      </c>
      <c r="BG55" s="243">
        <f t="shared" si="26"/>
        <v>0</v>
      </c>
      <c r="BH55" s="243">
        <f t="shared" si="27"/>
        <v>0</v>
      </c>
      <c r="BI55" s="243">
        <f t="shared" si="28"/>
        <v>2681400</v>
      </c>
      <c r="BJ55" s="243">
        <f t="shared" si="29"/>
        <v>0</v>
      </c>
      <c r="BK55" s="243">
        <f t="shared" si="30"/>
        <v>0</v>
      </c>
      <c r="BL55" s="243">
        <f t="shared" si="31"/>
        <v>0</v>
      </c>
      <c r="BM55" s="243">
        <f t="shared" si="32"/>
        <v>10320</v>
      </c>
      <c r="BN55" s="243">
        <f t="shared" si="68"/>
        <v>0</v>
      </c>
      <c r="BO55" s="243">
        <f t="shared" si="69"/>
        <v>0</v>
      </c>
      <c r="BP55" s="243">
        <f t="shared" si="70"/>
        <v>0</v>
      </c>
      <c r="BQ55" s="243">
        <f t="shared" si="71"/>
        <v>0</v>
      </c>
      <c r="BR55" s="243">
        <f t="shared" si="72"/>
        <v>0</v>
      </c>
      <c r="BS55" s="243">
        <f t="shared" si="73"/>
        <v>0</v>
      </c>
      <c r="BT55" s="243">
        <f t="shared" si="74"/>
        <v>0</v>
      </c>
      <c r="BU55" s="243">
        <f t="shared" si="75"/>
        <v>10320</v>
      </c>
      <c r="BW55" s="314">
        <f>VLOOKUP($D55,'2018 Plan Data'!$A$4:$T$2000,13,FALSE)</f>
        <v>0</v>
      </c>
      <c r="BX55" s="314">
        <f>VLOOKUP($D55,'2018 Plan Data'!$A$4:$T$2000,14,FALSE)</f>
        <v>0</v>
      </c>
      <c r="BY55" s="314">
        <f>VLOOKUP($D55,'2018 Plan Data'!$A$4:$T$2000,15,FALSE)</f>
        <v>0</v>
      </c>
      <c r="BZ55" s="314">
        <f>VLOOKUP($D55,'2018 Plan Data'!$A$4:$T$2000,16,FALSE)</f>
        <v>2681400</v>
      </c>
      <c r="CA55" s="314">
        <f>VLOOKUP($D55,'2018 Plan Data'!$A$4:$T$2000,17,FALSE)</f>
        <v>0</v>
      </c>
      <c r="CB55" s="314">
        <f>VLOOKUP($D55,'2018 Plan Data'!$A$4:$T$2000,18,FALSE)</f>
        <v>0</v>
      </c>
      <c r="CC55" s="314">
        <f>VLOOKUP($D55,'2018 Plan Data'!$A$4:$T$2000,19,FALSE)</f>
        <v>0</v>
      </c>
      <c r="CD55" s="314">
        <f>VLOOKUP($D55,'2018 Plan Data'!$A$4:$T$2000,20,FALSE)</f>
        <v>10320</v>
      </c>
      <c r="CE55" t="b">
        <f t="shared" si="41"/>
        <v>1</v>
      </c>
      <c r="CF55" t="b">
        <f t="shared" si="42"/>
        <v>1</v>
      </c>
      <c r="CG55" t="b">
        <f t="shared" si="43"/>
        <v>1</v>
      </c>
      <c r="CH55" t="b">
        <f t="shared" si="44"/>
        <v>0</v>
      </c>
      <c r="CI55" t="b">
        <f t="shared" si="45"/>
        <v>1</v>
      </c>
      <c r="CJ55" t="b">
        <f t="shared" si="46"/>
        <v>1</v>
      </c>
      <c r="CK55" t="b">
        <f t="shared" si="47"/>
        <v>1</v>
      </c>
      <c r="CL55" t="b">
        <f t="shared" si="48"/>
        <v>1</v>
      </c>
    </row>
    <row r="56" spans="1:90" ht="15" customHeight="1" x14ac:dyDescent="0.35">
      <c r="A56" s="585">
        <f t="shared" si="53"/>
        <v>615</v>
      </c>
      <c r="B56" t="str">
        <f t="shared" si="3"/>
        <v>Residential_Income Qualified</v>
      </c>
      <c r="D56">
        <v>615</v>
      </c>
      <c r="E56" t="s">
        <v>78</v>
      </c>
      <c r="F56" s="600" t="str">
        <f>VLOOKUP(G56,Sheet4!$D$6:$E$22,2,FALSE)</f>
        <v>Income Qualified</v>
      </c>
      <c r="G56" s="445" t="s">
        <v>1933</v>
      </c>
      <c r="H56" s="673" t="s">
        <v>39</v>
      </c>
      <c r="I56" s="232"/>
      <c r="J56" s="18" t="s">
        <v>7</v>
      </c>
      <c r="K56" s="72" t="s">
        <v>643</v>
      </c>
      <c r="L56" s="18" t="s">
        <v>1725</v>
      </c>
      <c r="M56" s="600">
        <v>1</v>
      </c>
      <c r="O56" s="72" t="str">
        <f t="shared" si="54"/>
        <v>Gas</v>
      </c>
      <c r="P56" s="7">
        <f>VLOOKUP(D56,'2018 Plan Data'!$A$4:$K$1000,11,FALSE)</f>
        <v>10</v>
      </c>
      <c r="Q56" s="652">
        <f>VLOOKUP(D56,'2018 Plan Data'!$A$4:$L$1000,12,FALSE)</f>
        <v>0</v>
      </c>
      <c r="R56" s="314">
        <f t="shared" ref="R56:W56" si="83">R16</f>
        <v>0</v>
      </c>
      <c r="S56" s="314">
        <f t="shared" si="83"/>
        <v>0</v>
      </c>
      <c r="T56" s="314">
        <f t="shared" si="83"/>
        <v>0</v>
      </c>
      <c r="U56" s="314">
        <f t="shared" si="83"/>
        <v>0</v>
      </c>
      <c r="V56" s="314">
        <f t="shared" si="83"/>
        <v>5.82</v>
      </c>
      <c r="W56" s="314">
        <f t="shared" si="83"/>
        <v>0</v>
      </c>
      <c r="AD56" s="309">
        <f t="shared" si="55"/>
        <v>1</v>
      </c>
      <c r="AE56" s="309">
        <f t="shared" si="80"/>
        <v>1</v>
      </c>
      <c r="AF56" s="309">
        <f t="shared" si="80"/>
        <v>1</v>
      </c>
      <c r="AG56" s="309">
        <f t="shared" si="80"/>
        <v>1</v>
      </c>
      <c r="AH56" s="314">
        <f t="shared" si="56"/>
        <v>0</v>
      </c>
      <c r="AI56" s="314">
        <f t="shared" si="57"/>
        <v>0</v>
      </c>
      <c r="AJ56" s="314">
        <f t="shared" si="58"/>
        <v>0</v>
      </c>
      <c r="AK56" s="314">
        <f t="shared" si="59"/>
        <v>0</v>
      </c>
      <c r="AL56" s="309">
        <f t="shared" si="60"/>
        <v>1</v>
      </c>
      <c r="AM56" s="309">
        <f t="shared" si="61"/>
        <v>1</v>
      </c>
      <c r="AN56" s="309">
        <f t="shared" si="62"/>
        <v>1</v>
      </c>
      <c r="AO56" s="309">
        <f t="shared" si="63"/>
        <v>1</v>
      </c>
      <c r="AP56" s="446">
        <f t="shared" si="64"/>
        <v>0</v>
      </c>
      <c r="AQ56" s="446">
        <f t="shared" si="65"/>
        <v>0</v>
      </c>
      <c r="AR56" s="446">
        <f t="shared" si="66"/>
        <v>0</v>
      </c>
      <c r="AS56" s="446">
        <f t="shared" si="67"/>
        <v>0</v>
      </c>
      <c r="AT56" s="309">
        <f t="shared" si="82"/>
        <v>1</v>
      </c>
      <c r="AU56" s="309">
        <f t="shared" si="81"/>
        <v>1</v>
      </c>
      <c r="AV56" s="309">
        <f t="shared" si="81"/>
        <v>1</v>
      </c>
      <c r="AW56" s="309">
        <f t="shared" si="81"/>
        <v>1</v>
      </c>
      <c r="AX56" s="243">
        <f t="shared" ref="AX56:AX87" si="84">IF($Q56&gt;1,$W56*AT56,$V56*AT56)</f>
        <v>5.82</v>
      </c>
      <c r="AY56" s="243">
        <f t="shared" ref="AY56:AY87" si="85">IF($Q56&gt;1,$W56*AU56,$V56*AU56)</f>
        <v>5.82</v>
      </c>
      <c r="AZ56" s="243">
        <f t="shared" ref="AZ56:AZ87" si="86">IF($Q56&gt;1,$W56*AV56,$V56*AV56)</f>
        <v>5.82</v>
      </c>
      <c r="BA56" s="243">
        <f t="shared" ref="BA56:BA87" si="87">IF($Q56&gt;1,$W56*AW56,$V56*AW56)</f>
        <v>5.82</v>
      </c>
      <c r="BB56" s="243">
        <f>VLOOKUP($D56,'2018 Plan Data'!$A$4:$K$2000,6,FALSE)</f>
        <v>1625.75</v>
      </c>
      <c r="BC56" s="243">
        <f>VLOOKUP($D56,'2018 Plan Data'!$A$4:$K$2000,7,FALSE)</f>
        <v>1631.4374999999998</v>
      </c>
      <c r="BD56" s="243">
        <f>VLOOKUP($D56,'2018 Plan Data'!$A$4:$K$2000,8,FALSE)</f>
        <v>1504.125</v>
      </c>
      <c r="BE56" s="243">
        <f>VLOOKUP($D56,'2018 Plan Data'!$A$4:$K$2000,9,FALSE)</f>
        <v>1613.4505624999999</v>
      </c>
      <c r="BF56" s="243">
        <f t="shared" si="25"/>
        <v>0</v>
      </c>
      <c r="BG56" s="243">
        <f t="shared" si="26"/>
        <v>0</v>
      </c>
      <c r="BH56" s="243">
        <f t="shared" si="27"/>
        <v>0</v>
      </c>
      <c r="BI56" s="243">
        <f t="shared" si="28"/>
        <v>0</v>
      </c>
      <c r="BJ56" s="243">
        <f t="shared" si="29"/>
        <v>9461.8649999999998</v>
      </c>
      <c r="BK56" s="243">
        <f t="shared" si="30"/>
        <v>9494.9662499999995</v>
      </c>
      <c r="BL56" s="243">
        <f t="shared" si="31"/>
        <v>8754.0074999999997</v>
      </c>
      <c r="BM56" s="243">
        <f t="shared" si="32"/>
        <v>9390.282273750001</v>
      </c>
      <c r="BN56" s="243">
        <f t="shared" si="68"/>
        <v>0</v>
      </c>
      <c r="BO56" s="243">
        <f t="shared" si="69"/>
        <v>0</v>
      </c>
      <c r="BP56" s="243">
        <f t="shared" si="70"/>
        <v>0</v>
      </c>
      <c r="BQ56" s="243">
        <f t="shared" si="71"/>
        <v>0</v>
      </c>
      <c r="BR56" s="243">
        <f t="shared" si="72"/>
        <v>9461.8649999999998</v>
      </c>
      <c r="BS56" s="243">
        <f t="shared" si="73"/>
        <v>9494.9662499999995</v>
      </c>
      <c r="BT56" s="243">
        <f t="shared" si="74"/>
        <v>8754.0074999999997</v>
      </c>
      <c r="BU56" s="243">
        <f t="shared" si="75"/>
        <v>9390.282273750001</v>
      </c>
      <c r="BW56" s="314">
        <f>VLOOKUP($D56,'2018 Plan Data'!$A$4:$T$2000,13,FALSE)</f>
        <v>0</v>
      </c>
      <c r="BX56" s="314">
        <f>VLOOKUP($D56,'2018 Plan Data'!$A$4:$T$2000,14,FALSE)</f>
        <v>0</v>
      </c>
      <c r="BY56" s="314">
        <f>VLOOKUP($D56,'2018 Plan Data'!$A$4:$T$2000,15,FALSE)</f>
        <v>0</v>
      </c>
      <c r="BZ56" s="314">
        <f>VLOOKUP($D56,'2018 Plan Data'!$A$4:$T$2000,16,FALSE)</f>
        <v>0</v>
      </c>
      <c r="CA56" s="314">
        <f>VLOOKUP($D56,'2018 Plan Data'!$A$4:$T$2000,17,FALSE)</f>
        <v>17948.28</v>
      </c>
      <c r="CB56" s="314">
        <f>VLOOKUP($D56,'2018 Plan Data'!$A$4:$T$2000,18,FALSE)</f>
        <v>18011.069999999996</v>
      </c>
      <c r="CC56" s="314">
        <f>VLOOKUP($D56,'2018 Plan Data'!$A$4:$T$2000,19,FALSE)</f>
        <v>16605.539999999997</v>
      </c>
      <c r="CD56" s="314">
        <f>VLOOKUP($D56,'2018 Plan Data'!$A$4:$T$2000,20,FALSE)</f>
        <v>17812.494209999997</v>
      </c>
      <c r="CE56" t="b">
        <f t="shared" si="41"/>
        <v>1</v>
      </c>
      <c r="CF56" t="b">
        <f t="shared" si="42"/>
        <v>1</v>
      </c>
      <c r="CG56" t="b">
        <f t="shared" si="43"/>
        <v>1</v>
      </c>
      <c r="CH56" t="b">
        <f t="shared" si="44"/>
        <v>1</v>
      </c>
      <c r="CI56" t="b">
        <f t="shared" si="45"/>
        <v>0</v>
      </c>
      <c r="CJ56" t="b">
        <f t="shared" si="46"/>
        <v>0</v>
      </c>
      <c r="CK56" t="b">
        <f t="shared" si="47"/>
        <v>0</v>
      </c>
      <c r="CL56" t="b">
        <f t="shared" si="48"/>
        <v>0</v>
      </c>
    </row>
    <row r="57" spans="1:90" ht="15" customHeight="1" x14ac:dyDescent="0.35">
      <c r="A57" s="585">
        <f t="shared" si="53"/>
        <v>600</v>
      </c>
      <c r="B57" t="str">
        <f t="shared" si="3"/>
        <v>Residential_Income Qualified</v>
      </c>
      <c r="D57">
        <v>600</v>
      </c>
      <c r="E57" t="s">
        <v>78</v>
      </c>
      <c r="F57" s="600" t="str">
        <f>VLOOKUP(G57,Sheet4!$D$6:$E$22,2,FALSE)</f>
        <v>Income Qualified</v>
      </c>
      <c r="G57" s="445" t="s">
        <v>1933</v>
      </c>
      <c r="H57" s="673" t="s">
        <v>1802</v>
      </c>
      <c r="I57" s="232"/>
      <c r="J57" s="18" t="s">
        <v>7</v>
      </c>
      <c r="K57" s="72" t="s">
        <v>667</v>
      </c>
      <c r="L57" s="600" t="s">
        <v>1916</v>
      </c>
      <c r="M57" s="600">
        <v>1</v>
      </c>
      <c r="O57" s="72" t="str">
        <f t="shared" si="54"/>
        <v>Gas</v>
      </c>
      <c r="P57" s="7">
        <f>VLOOKUP(D57,'2018 Plan Data'!$A$4:$K$1000,11,FALSE)</f>
        <v>9</v>
      </c>
      <c r="Q57" s="652">
        <f>VLOOKUP(D57,'2018 Plan Data'!$A$4:$L$1000,12,FALSE)</f>
        <v>0</v>
      </c>
      <c r="R57" s="314">
        <f t="shared" ref="R57:V59" si="88">R17</f>
        <v>0</v>
      </c>
      <c r="S57" s="314">
        <f t="shared" si="88"/>
        <v>0</v>
      </c>
      <c r="T57" s="314">
        <f t="shared" si="88"/>
        <v>0</v>
      </c>
      <c r="U57" s="314">
        <f t="shared" si="88"/>
        <v>0</v>
      </c>
      <c r="V57" s="314">
        <f t="shared" si="88"/>
        <v>4.18</v>
      </c>
      <c r="AD57" s="309">
        <f t="shared" si="55"/>
        <v>1</v>
      </c>
      <c r="AE57" s="309">
        <f t="shared" si="80"/>
        <v>1</v>
      </c>
      <c r="AF57" s="309">
        <f t="shared" si="80"/>
        <v>1</v>
      </c>
      <c r="AG57" s="309">
        <f t="shared" si="80"/>
        <v>1</v>
      </c>
      <c r="AH57" s="314">
        <f t="shared" si="56"/>
        <v>0</v>
      </c>
      <c r="AI57" s="314">
        <f t="shared" si="57"/>
        <v>0</v>
      </c>
      <c r="AJ57" s="314">
        <f t="shared" si="58"/>
        <v>0</v>
      </c>
      <c r="AK57" s="314">
        <f t="shared" si="59"/>
        <v>0</v>
      </c>
      <c r="AL57" s="309">
        <f t="shared" si="60"/>
        <v>1</v>
      </c>
      <c r="AM57" s="309">
        <f t="shared" si="61"/>
        <v>1</v>
      </c>
      <c r="AN57" s="309">
        <f t="shared" si="62"/>
        <v>1</v>
      </c>
      <c r="AO57" s="309">
        <f t="shared" si="63"/>
        <v>1</v>
      </c>
      <c r="AP57" s="446">
        <f t="shared" si="64"/>
        <v>0</v>
      </c>
      <c r="AQ57" s="446">
        <f t="shared" si="65"/>
        <v>0</v>
      </c>
      <c r="AR57" s="446">
        <f t="shared" si="66"/>
        <v>0</v>
      </c>
      <c r="AS57" s="446">
        <f t="shared" si="67"/>
        <v>0</v>
      </c>
      <c r="AT57" s="309">
        <f t="shared" si="82"/>
        <v>1</v>
      </c>
      <c r="AU57" s="309">
        <f t="shared" si="81"/>
        <v>1</v>
      </c>
      <c r="AV57" s="309">
        <f t="shared" si="81"/>
        <v>1</v>
      </c>
      <c r="AW57" s="309">
        <f t="shared" si="81"/>
        <v>1</v>
      </c>
      <c r="AX57" s="243">
        <f t="shared" si="84"/>
        <v>4.18</v>
      </c>
      <c r="AY57" s="243">
        <f t="shared" si="85"/>
        <v>4.18</v>
      </c>
      <c r="AZ57" s="243">
        <f t="shared" si="86"/>
        <v>4.18</v>
      </c>
      <c r="BA57" s="243">
        <f t="shared" si="87"/>
        <v>4.18</v>
      </c>
      <c r="BB57" s="243">
        <f>VLOOKUP($D57,'2018 Plan Data'!$A$4:$K$2000,6,FALSE)</f>
        <v>2601</v>
      </c>
      <c r="BC57" s="243">
        <f>VLOOKUP($D57,'2018 Plan Data'!$A$4:$K$2000,7,FALSE)</f>
        <v>2610</v>
      </c>
      <c r="BD57" s="243">
        <f>VLOOKUP($D57,'2018 Plan Data'!$A$4:$K$2000,8,FALSE)</f>
        <v>2407</v>
      </c>
      <c r="BE57" s="243">
        <f>VLOOKUP($D57,'2018 Plan Data'!$A$4:$K$2000,9,FALSE)</f>
        <v>2582</v>
      </c>
      <c r="BF57" s="243">
        <f t="shared" si="25"/>
        <v>0</v>
      </c>
      <c r="BG57" s="243">
        <f t="shared" si="26"/>
        <v>0</v>
      </c>
      <c r="BH57" s="243">
        <f t="shared" si="27"/>
        <v>0</v>
      </c>
      <c r="BI57" s="243">
        <f t="shared" si="28"/>
        <v>0</v>
      </c>
      <c r="BJ57" s="243">
        <f t="shared" si="29"/>
        <v>10872.179999999998</v>
      </c>
      <c r="BK57" s="243">
        <f t="shared" si="30"/>
        <v>10909.8</v>
      </c>
      <c r="BL57" s="243">
        <f t="shared" si="31"/>
        <v>10061.26</v>
      </c>
      <c r="BM57" s="243">
        <f t="shared" si="32"/>
        <v>10792.759999999998</v>
      </c>
      <c r="BN57" s="243">
        <f t="shared" si="68"/>
        <v>0</v>
      </c>
      <c r="BO57" s="243">
        <f t="shared" si="69"/>
        <v>0</v>
      </c>
      <c r="BP57" s="243">
        <f t="shared" si="70"/>
        <v>0</v>
      </c>
      <c r="BQ57" s="243">
        <f t="shared" si="71"/>
        <v>0</v>
      </c>
      <c r="BR57" s="243">
        <f t="shared" si="72"/>
        <v>10872.179999999998</v>
      </c>
      <c r="BS57" s="243">
        <f t="shared" si="73"/>
        <v>10909.8</v>
      </c>
      <c r="BT57" s="243">
        <f t="shared" si="74"/>
        <v>10061.26</v>
      </c>
      <c r="BU57" s="243">
        <f t="shared" si="75"/>
        <v>10792.759999999998</v>
      </c>
      <c r="BW57" s="314">
        <f>VLOOKUP($D57,'2018 Plan Data'!$A$4:$T$2000,13,FALSE)</f>
        <v>0</v>
      </c>
      <c r="BX57" s="314">
        <f>VLOOKUP($D57,'2018 Plan Data'!$A$4:$T$2000,14,FALSE)</f>
        <v>0</v>
      </c>
      <c r="BY57" s="314">
        <f>VLOOKUP($D57,'2018 Plan Data'!$A$4:$T$2000,15,FALSE)</f>
        <v>0</v>
      </c>
      <c r="BZ57" s="314">
        <f>VLOOKUP($D57,'2018 Plan Data'!$A$4:$T$2000,16,FALSE)</f>
        <v>0</v>
      </c>
      <c r="CA57" s="314">
        <f>VLOOKUP($D57,'2018 Plan Data'!$A$4:$T$2000,17,FALSE)</f>
        <v>7646.94</v>
      </c>
      <c r="CB57" s="314">
        <f>VLOOKUP($D57,'2018 Plan Data'!$A$4:$T$2000,18,FALSE)</f>
        <v>7673.4</v>
      </c>
      <c r="CC57" s="314">
        <f>VLOOKUP($D57,'2018 Plan Data'!$A$4:$T$2000,19,FALSE)</f>
        <v>7076.58</v>
      </c>
      <c r="CD57" s="314">
        <f>VLOOKUP($D57,'2018 Plan Data'!$A$4:$T$2000,20,FALSE)</f>
        <v>7591.08</v>
      </c>
      <c r="CE57" t="b">
        <f t="shared" si="41"/>
        <v>1</v>
      </c>
      <c r="CF57" t="b">
        <f t="shared" si="42"/>
        <v>1</v>
      </c>
      <c r="CG57" t="b">
        <f t="shared" si="43"/>
        <v>1</v>
      </c>
      <c r="CH57" t="b">
        <f t="shared" si="44"/>
        <v>1</v>
      </c>
      <c r="CI57" t="b">
        <f t="shared" si="45"/>
        <v>0</v>
      </c>
      <c r="CJ57" t="b">
        <f t="shared" si="46"/>
        <v>0</v>
      </c>
      <c r="CK57" t="b">
        <f t="shared" si="47"/>
        <v>0</v>
      </c>
      <c r="CL57" t="b">
        <f t="shared" si="48"/>
        <v>0</v>
      </c>
    </row>
    <row r="58" spans="1:90" ht="15" customHeight="1" x14ac:dyDescent="0.35">
      <c r="A58" s="585">
        <f t="shared" si="53"/>
        <v>560</v>
      </c>
      <c r="B58" t="str">
        <f t="shared" si="3"/>
        <v>Residential_Income Qualified</v>
      </c>
      <c r="D58" s="600">
        <v>560</v>
      </c>
      <c r="E58" s="600" t="s">
        <v>78</v>
      </c>
      <c r="F58" s="600" t="str">
        <f>VLOOKUP(G58,Sheet4!$D$6:$E$22,2,FALSE)</f>
        <v>Income Qualified</v>
      </c>
      <c r="G58" s="445" t="s">
        <v>1933</v>
      </c>
      <c r="H58" s="673" t="s">
        <v>1807</v>
      </c>
      <c r="I58" s="232"/>
      <c r="J58" s="18" t="s">
        <v>7</v>
      </c>
      <c r="K58" s="72" t="s">
        <v>710</v>
      </c>
      <c r="L58" s="72" t="s">
        <v>1730</v>
      </c>
      <c r="M58" s="600">
        <v>1</v>
      </c>
      <c r="O58" s="72" t="str">
        <f t="shared" si="54"/>
        <v>Dual Fuel</v>
      </c>
      <c r="P58" s="7">
        <f>VLOOKUP(D58,'2018 Plan Data'!$A$4:$K$1000,11,FALSE)</f>
        <v>15</v>
      </c>
      <c r="Q58" s="652">
        <f>VLOOKUP(D58,'2018 Plan Data'!$A$4:$L$1000,12,FALSE)</f>
        <v>0</v>
      </c>
      <c r="R58" s="314">
        <f t="shared" si="88"/>
        <v>570.76425000000006</v>
      </c>
      <c r="S58" s="314">
        <f t="shared" si="88"/>
        <v>0</v>
      </c>
      <c r="T58" s="314">
        <f t="shared" si="88"/>
        <v>0.47249999999999998</v>
      </c>
      <c r="U58" s="314">
        <f t="shared" si="88"/>
        <v>0</v>
      </c>
      <c r="V58" s="314">
        <f t="shared" si="88"/>
        <v>118.71115624883724</v>
      </c>
      <c r="W58" s="314">
        <f>W18</f>
        <v>0</v>
      </c>
      <c r="X58" s="600"/>
      <c r="Y58" s="600"/>
      <c r="Z58" s="600"/>
      <c r="AA58" s="600"/>
      <c r="AB58" s="600"/>
      <c r="AC58" s="600"/>
      <c r="AD58" s="309">
        <f t="shared" si="55"/>
        <v>1</v>
      </c>
      <c r="AE58" s="309">
        <f t="shared" si="80"/>
        <v>1</v>
      </c>
      <c r="AF58" s="309">
        <f t="shared" si="80"/>
        <v>1</v>
      </c>
      <c r="AG58" s="309">
        <f t="shared" si="80"/>
        <v>1</v>
      </c>
      <c r="AH58" s="314">
        <f t="shared" si="56"/>
        <v>570.76425000000006</v>
      </c>
      <c r="AI58" s="314">
        <f t="shared" si="57"/>
        <v>570.76425000000006</v>
      </c>
      <c r="AJ58" s="314">
        <f t="shared" si="58"/>
        <v>570.76425000000006</v>
      </c>
      <c r="AK58" s="314">
        <f t="shared" si="59"/>
        <v>570.76425000000006</v>
      </c>
      <c r="AL58" s="309">
        <f t="shared" si="60"/>
        <v>1</v>
      </c>
      <c r="AM58" s="309">
        <f t="shared" si="61"/>
        <v>1</v>
      </c>
      <c r="AN58" s="309">
        <f t="shared" si="62"/>
        <v>1</v>
      </c>
      <c r="AO58" s="309">
        <f t="shared" si="63"/>
        <v>1</v>
      </c>
      <c r="AP58" s="446">
        <f t="shared" si="64"/>
        <v>0.47249999999999998</v>
      </c>
      <c r="AQ58" s="446">
        <f t="shared" si="65"/>
        <v>0.47249999999999998</v>
      </c>
      <c r="AR58" s="446">
        <f t="shared" si="66"/>
        <v>0.47249999999999998</v>
      </c>
      <c r="AS58" s="446">
        <f t="shared" si="67"/>
        <v>0.47249999999999998</v>
      </c>
      <c r="AT58" s="309">
        <f t="shared" si="82"/>
        <v>1</v>
      </c>
      <c r="AU58" s="309">
        <f t="shared" si="81"/>
        <v>1</v>
      </c>
      <c r="AV58" s="309">
        <f t="shared" si="81"/>
        <v>1</v>
      </c>
      <c r="AW58" s="309">
        <f t="shared" si="81"/>
        <v>1</v>
      </c>
      <c r="AX58" s="243">
        <f t="shared" si="84"/>
        <v>118.71115624883724</v>
      </c>
      <c r="AY58" s="243">
        <f t="shared" si="85"/>
        <v>118.71115624883724</v>
      </c>
      <c r="AZ58" s="243">
        <f t="shared" si="86"/>
        <v>118.71115624883724</v>
      </c>
      <c r="BA58" s="243">
        <f t="shared" si="87"/>
        <v>118.71115624883724</v>
      </c>
      <c r="BB58" s="243">
        <f>VLOOKUP($D58,'2018 Plan Data'!$A$4:$K$2000,6,FALSE)</f>
        <v>718</v>
      </c>
      <c r="BC58" s="243">
        <f>VLOOKUP($D58,'2018 Plan Data'!$A$4:$K$2000,7,FALSE)</f>
        <v>720</v>
      </c>
      <c r="BD58" s="243">
        <f>VLOOKUP($D58,'2018 Plan Data'!$A$4:$K$2000,8,FALSE)</f>
        <v>664</v>
      </c>
      <c r="BE58" s="243">
        <f>VLOOKUP($D58,'2018 Plan Data'!$A$4:$K$2000,9,FALSE)</f>
        <v>712</v>
      </c>
      <c r="BF58" s="243">
        <f t="shared" si="25"/>
        <v>409808.73150000005</v>
      </c>
      <c r="BG58" s="243">
        <f t="shared" si="26"/>
        <v>410950.26000000007</v>
      </c>
      <c r="BH58" s="243">
        <f t="shared" si="27"/>
        <v>378987.46200000006</v>
      </c>
      <c r="BI58" s="243">
        <f t="shared" si="28"/>
        <v>406384.14600000007</v>
      </c>
      <c r="BJ58" s="243">
        <f t="shared" si="29"/>
        <v>85234.610186665144</v>
      </c>
      <c r="BK58" s="243">
        <f t="shared" si="30"/>
        <v>85472.032499162815</v>
      </c>
      <c r="BL58" s="243">
        <f t="shared" si="31"/>
        <v>78824.207749227935</v>
      </c>
      <c r="BM58" s="243">
        <f t="shared" si="32"/>
        <v>84522.343249172118</v>
      </c>
      <c r="BN58" s="243">
        <f t="shared" si="68"/>
        <v>409808.73150000005</v>
      </c>
      <c r="BO58" s="243">
        <f t="shared" si="69"/>
        <v>410950.26000000007</v>
      </c>
      <c r="BP58" s="243">
        <f t="shared" si="70"/>
        <v>378987.46200000006</v>
      </c>
      <c r="BQ58" s="243">
        <f t="shared" si="71"/>
        <v>406384.14600000007</v>
      </c>
      <c r="BR58" s="243">
        <f t="shared" si="72"/>
        <v>85234.610186665144</v>
      </c>
      <c r="BS58" s="243">
        <f t="shared" si="73"/>
        <v>85472.032499162815</v>
      </c>
      <c r="BT58" s="243">
        <f t="shared" si="74"/>
        <v>78824.207749227935</v>
      </c>
      <c r="BU58" s="243">
        <f t="shared" si="75"/>
        <v>84522.343249172118</v>
      </c>
      <c r="BW58" s="314">
        <f>VLOOKUP($D58,'2018 Plan Data'!$A$4:$T$2000,13,FALSE)</f>
        <v>316638.00000000006</v>
      </c>
      <c r="BX58" s="314">
        <f>VLOOKUP($D58,'2018 Plan Data'!$A$4:$T$2000,14,FALSE)</f>
        <v>317520.00000000006</v>
      </c>
      <c r="BY58" s="314">
        <f>VLOOKUP($D58,'2018 Plan Data'!$A$4:$T$2000,15,FALSE)</f>
        <v>292824.00000000006</v>
      </c>
      <c r="BZ58" s="314">
        <f>VLOOKUP($D58,'2018 Plan Data'!$A$4:$T$2000,16,FALSE)</f>
        <v>313992.00000000006</v>
      </c>
      <c r="CA58" s="314">
        <f>VLOOKUP($D58,'2018 Plan Data'!$A$4:$T$2000,17,FALSE)</f>
        <v>82917.077860465128</v>
      </c>
      <c r="CB58" s="314">
        <f>VLOOKUP($D58,'2018 Plan Data'!$A$4:$T$2000,18,FALSE)</f>
        <v>83148.044651162811</v>
      </c>
      <c r="CC58" s="314">
        <f>VLOOKUP($D58,'2018 Plan Data'!$A$4:$T$2000,19,FALSE)</f>
        <v>76680.974511627923</v>
      </c>
      <c r="CD58" s="314">
        <f>VLOOKUP($D58,'2018 Plan Data'!$A$4:$T$2000,20,FALSE)</f>
        <v>82224.177488372108</v>
      </c>
      <c r="CE58" t="b">
        <f t="shared" si="41"/>
        <v>0</v>
      </c>
      <c r="CF58" t="b">
        <f t="shared" si="42"/>
        <v>0</v>
      </c>
      <c r="CG58" t="b">
        <f t="shared" si="43"/>
        <v>0</v>
      </c>
      <c r="CH58" t="b">
        <f t="shared" si="44"/>
        <v>0</v>
      </c>
      <c r="CI58" t="b">
        <f t="shared" si="45"/>
        <v>0</v>
      </c>
      <c r="CJ58" t="b">
        <f t="shared" si="46"/>
        <v>0</v>
      </c>
      <c r="CK58" t="b">
        <f t="shared" si="47"/>
        <v>0</v>
      </c>
      <c r="CL58" t="b">
        <f t="shared" si="48"/>
        <v>0</v>
      </c>
    </row>
    <row r="59" spans="1:90" ht="15" customHeight="1" x14ac:dyDescent="0.35">
      <c r="A59" s="585">
        <f t="shared" si="53"/>
        <v>611</v>
      </c>
      <c r="B59" t="str">
        <f t="shared" si="3"/>
        <v>Residential_Income Qualified</v>
      </c>
      <c r="D59">
        <v>611</v>
      </c>
      <c r="E59" t="s">
        <v>78</v>
      </c>
      <c r="F59" s="600" t="str">
        <f>VLOOKUP(G59,Sheet4!$D$6:$E$22,2,FALSE)</f>
        <v>Income Qualified</v>
      </c>
      <c r="G59" s="445" t="s">
        <v>1933</v>
      </c>
      <c r="H59" s="673" t="s">
        <v>1808</v>
      </c>
      <c r="I59" s="232"/>
      <c r="J59" s="18" t="s">
        <v>7</v>
      </c>
      <c r="K59" s="72" t="s">
        <v>564</v>
      </c>
      <c r="L59" s="18" t="s">
        <v>1732</v>
      </c>
      <c r="M59" s="600">
        <v>1</v>
      </c>
      <c r="O59" s="72" t="str">
        <f t="shared" si="54"/>
        <v>Dual Fuel</v>
      </c>
      <c r="P59" s="7">
        <f>VLOOKUP(D59,'2018 Plan Data'!$A$4:$K$1000,11,FALSE)</f>
        <v>25</v>
      </c>
      <c r="Q59" s="652">
        <f>VLOOKUP(D59,'2018 Plan Data'!$A$4:$L$1000,12,FALSE)</f>
        <v>0</v>
      </c>
      <c r="R59" s="314">
        <f t="shared" si="88"/>
        <v>172.70491784322687</v>
      </c>
      <c r="S59" s="314">
        <f t="shared" si="88"/>
        <v>0</v>
      </c>
      <c r="T59" s="314">
        <f t="shared" si="88"/>
        <v>0.11018885780265755</v>
      </c>
      <c r="U59" s="314">
        <f t="shared" si="88"/>
        <v>0</v>
      </c>
      <c r="V59" s="314">
        <f t="shared" si="88"/>
        <v>52.704917843226852</v>
      </c>
      <c r="AD59" s="309">
        <f t="shared" si="55"/>
        <v>1</v>
      </c>
      <c r="AE59" s="309">
        <f t="shared" si="80"/>
        <v>1</v>
      </c>
      <c r="AF59" s="309">
        <f t="shared" si="80"/>
        <v>1</v>
      </c>
      <c r="AG59" s="309">
        <f t="shared" si="80"/>
        <v>1</v>
      </c>
      <c r="AH59" s="314">
        <f t="shared" si="56"/>
        <v>172.70491784322687</v>
      </c>
      <c r="AI59" s="314">
        <f t="shared" si="57"/>
        <v>172.70491784322687</v>
      </c>
      <c r="AJ59" s="314">
        <f t="shared" si="58"/>
        <v>172.70491784322687</v>
      </c>
      <c r="AK59" s="314">
        <f t="shared" si="59"/>
        <v>172.70491784322687</v>
      </c>
      <c r="AL59" s="309">
        <f t="shared" si="60"/>
        <v>1</v>
      </c>
      <c r="AM59" s="309">
        <f t="shared" si="61"/>
        <v>1</v>
      </c>
      <c r="AN59" s="309">
        <f t="shared" si="62"/>
        <v>1</v>
      </c>
      <c r="AO59" s="309">
        <f t="shared" si="63"/>
        <v>1</v>
      </c>
      <c r="AP59" s="446">
        <f t="shared" si="64"/>
        <v>0.11018885780265755</v>
      </c>
      <c r="AQ59" s="446">
        <f t="shared" si="65"/>
        <v>0.11018885780265755</v>
      </c>
      <c r="AR59" s="446">
        <f t="shared" si="66"/>
        <v>0.11018885780265755</v>
      </c>
      <c r="AS59" s="446">
        <f t="shared" si="67"/>
        <v>0.11018885780265755</v>
      </c>
      <c r="AT59" s="309">
        <f t="shared" si="82"/>
        <v>1</v>
      </c>
      <c r="AU59" s="309">
        <f t="shared" si="81"/>
        <v>1</v>
      </c>
      <c r="AV59" s="309">
        <f t="shared" si="81"/>
        <v>1</v>
      </c>
      <c r="AW59" s="309">
        <f t="shared" si="81"/>
        <v>1</v>
      </c>
      <c r="AX59" s="243">
        <f t="shared" si="84"/>
        <v>52.704917843226852</v>
      </c>
      <c r="AY59" s="243">
        <f t="shared" si="85"/>
        <v>52.704917843226852</v>
      </c>
      <c r="AZ59" s="243">
        <f t="shared" si="86"/>
        <v>52.704917843226852</v>
      </c>
      <c r="BA59" s="243">
        <f t="shared" si="87"/>
        <v>52.704917843226852</v>
      </c>
      <c r="BB59" s="243">
        <f>VLOOKUP($D59,'2018 Plan Data'!$A$4:$K$2000,6,FALSE)</f>
        <v>135</v>
      </c>
      <c r="BC59" s="243">
        <f>VLOOKUP($D59,'2018 Plan Data'!$A$4:$K$2000,7,FALSE)</f>
        <v>135</v>
      </c>
      <c r="BD59" s="243">
        <f>VLOOKUP($D59,'2018 Plan Data'!$A$4:$K$2000,8,FALSE)</f>
        <v>125</v>
      </c>
      <c r="BE59" s="243">
        <f>VLOOKUP($D59,'2018 Plan Data'!$A$4:$K$2000,9,FALSE)</f>
        <v>134</v>
      </c>
      <c r="BF59" s="243">
        <f t="shared" si="25"/>
        <v>23315.163908835628</v>
      </c>
      <c r="BG59" s="243">
        <f t="shared" si="26"/>
        <v>23315.163908835628</v>
      </c>
      <c r="BH59" s="243">
        <f t="shared" si="27"/>
        <v>21588.114730403358</v>
      </c>
      <c r="BI59" s="243">
        <f t="shared" si="28"/>
        <v>23142.4589909924</v>
      </c>
      <c r="BJ59" s="243">
        <f t="shared" si="29"/>
        <v>7115.1639088356251</v>
      </c>
      <c r="BK59" s="243">
        <f t="shared" si="30"/>
        <v>7115.1639088356251</v>
      </c>
      <c r="BL59" s="243">
        <f t="shared" si="31"/>
        <v>6588.1147304033566</v>
      </c>
      <c r="BM59" s="243">
        <f t="shared" si="32"/>
        <v>7062.458990992398</v>
      </c>
      <c r="BN59" s="243">
        <f t="shared" si="68"/>
        <v>23315.163908835628</v>
      </c>
      <c r="BO59" s="243">
        <f t="shared" si="69"/>
        <v>23315.163908835628</v>
      </c>
      <c r="BP59" s="243">
        <f t="shared" si="70"/>
        <v>21588.114730403358</v>
      </c>
      <c r="BQ59" s="243">
        <f t="shared" si="71"/>
        <v>23142.4589909924</v>
      </c>
      <c r="BR59" s="243">
        <f t="shared" si="72"/>
        <v>7115.1639088356251</v>
      </c>
      <c r="BS59" s="243">
        <f t="shared" si="73"/>
        <v>7115.1639088356251</v>
      </c>
      <c r="BT59" s="243">
        <f t="shared" si="74"/>
        <v>6588.1147304033566</v>
      </c>
      <c r="BU59" s="243">
        <f t="shared" si="75"/>
        <v>7062.458990992398</v>
      </c>
      <c r="BW59" s="314">
        <f>VLOOKUP($D59,'2018 Plan Data'!$A$4:$T$2000,13,FALSE)</f>
        <v>23315.163908835628</v>
      </c>
      <c r="BX59" s="314">
        <f>VLOOKUP($D59,'2018 Plan Data'!$A$4:$T$2000,14,FALSE)</f>
        <v>23315.163908835628</v>
      </c>
      <c r="BY59" s="314">
        <f>VLOOKUP($D59,'2018 Plan Data'!$A$4:$T$2000,15,FALSE)</f>
        <v>21588.114730403358</v>
      </c>
      <c r="BZ59" s="314">
        <f>VLOOKUP($D59,'2018 Plan Data'!$A$4:$T$2000,16,FALSE)</f>
        <v>23142.4589909924</v>
      </c>
      <c r="CA59" s="314">
        <f>VLOOKUP($D59,'2018 Plan Data'!$A$4:$T$2000,17,FALSE)</f>
        <v>7115.1639088356251</v>
      </c>
      <c r="CB59" s="314">
        <f>VLOOKUP($D59,'2018 Plan Data'!$A$4:$T$2000,18,FALSE)</f>
        <v>7115.1639088356251</v>
      </c>
      <c r="CC59" s="314">
        <f>VLOOKUP($D59,'2018 Plan Data'!$A$4:$T$2000,19,FALSE)</f>
        <v>6588.1147304033566</v>
      </c>
      <c r="CD59" s="314">
        <f>VLOOKUP($D59,'2018 Plan Data'!$A$4:$T$2000,20,FALSE)</f>
        <v>7062.458990992398</v>
      </c>
      <c r="CE59" t="b">
        <f t="shared" si="41"/>
        <v>1</v>
      </c>
      <c r="CF59" t="b">
        <f t="shared" si="42"/>
        <v>1</v>
      </c>
      <c r="CG59" t="b">
        <f t="shared" si="43"/>
        <v>1</v>
      </c>
      <c r="CH59" t="b">
        <f t="shared" si="44"/>
        <v>1</v>
      </c>
      <c r="CI59" t="b">
        <f t="shared" si="45"/>
        <v>1</v>
      </c>
      <c r="CJ59" t="b">
        <f t="shared" si="46"/>
        <v>1</v>
      </c>
      <c r="CK59" t="b">
        <f t="shared" si="47"/>
        <v>1</v>
      </c>
      <c r="CL59" t="b">
        <f t="shared" si="48"/>
        <v>1</v>
      </c>
    </row>
    <row r="60" spans="1:90" ht="15" customHeight="1" x14ac:dyDescent="0.35">
      <c r="A60" s="585">
        <f t="shared" si="53"/>
        <v>613</v>
      </c>
      <c r="B60" t="str">
        <f t="shared" si="3"/>
        <v>Residential_Income Qualified</v>
      </c>
      <c r="D60">
        <v>613</v>
      </c>
      <c r="E60" t="s">
        <v>78</v>
      </c>
      <c r="F60" s="600" t="str">
        <f>VLOOKUP(G60,Sheet4!$D$6:$E$22,2,FALSE)</f>
        <v>Income Qualified</v>
      </c>
      <c r="G60" s="445" t="s">
        <v>1933</v>
      </c>
      <c r="H60" s="673" t="s">
        <v>1809</v>
      </c>
      <c r="I60" s="232"/>
      <c r="J60" s="18" t="s">
        <v>7</v>
      </c>
      <c r="K60" s="2585" t="s">
        <v>3390</v>
      </c>
      <c r="L60" s="18" t="s">
        <v>1732</v>
      </c>
      <c r="M60" s="600">
        <v>1</v>
      </c>
      <c r="O60" s="72" t="str">
        <f t="shared" si="54"/>
        <v>Dual Fuel</v>
      </c>
      <c r="P60" s="7">
        <f>VLOOKUP(D60,'2018 Plan Data'!$A$4:$K$1000,11,FALSE)</f>
        <v>25</v>
      </c>
      <c r="Q60" s="652">
        <f>VLOOKUP(D60,'2018 Plan Data'!$A$4:$L$1000,12,FALSE)</f>
        <v>0</v>
      </c>
      <c r="R60" s="314">
        <f t="shared" ref="R60:T63" si="89">R20</f>
        <v>29</v>
      </c>
      <c r="S60" s="314">
        <f t="shared" si="89"/>
        <v>0</v>
      </c>
      <c r="T60" s="314">
        <f t="shared" si="89"/>
        <v>2.0310444473999198E-2</v>
      </c>
      <c r="V60" s="314">
        <f>V20</f>
        <v>2.7096845113773766</v>
      </c>
      <c r="W60" s="314">
        <f>W20</f>
        <v>0</v>
      </c>
      <c r="AD60" s="309">
        <f t="shared" si="55"/>
        <v>1</v>
      </c>
      <c r="AE60" s="309">
        <f t="shared" si="80"/>
        <v>1</v>
      </c>
      <c r="AF60" s="309">
        <f t="shared" si="80"/>
        <v>1</v>
      </c>
      <c r="AG60" s="309">
        <f t="shared" si="80"/>
        <v>1</v>
      </c>
      <c r="AH60" s="314">
        <f t="shared" si="56"/>
        <v>29</v>
      </c>
      <c r="AI60" s="314">
        <f t="shared" si="57"/>
        <v>29</v>
      </c>
      <c r="AJ60" s="314">
        <f t="shared" si="58"/>
        <v>29</v>
      </c>
      <c r="AK60" s="314">
        <f t="shared" si="59"/>
        <v>29</v>
      </c>
      <c r="AL60" s="309">
        <f t="shared" si="60"/>
        <v>1</v>
      </c>
      <c r="AM60" s="309">
        <f t="shared" si="61"/>
        <v>1</v>
      </c>
      <c r="AN60" s="309">
        <f t="shared" si="62"/>
        <v>1</v>
      </c>
      <c r="AO60" s="309">
        <f t="shared" si="63"/>
        <v>1</v>
      </c>
      <c r="AP60" s="446">
        <f t="shared" si="64"/>
        <v>2.0310444473999198E-2</v>
      </c>
      <c r="AQ60" s="446">
        <f t="shared" si="65"/>
        <v>2.0310444473999198E-2</v>
      </c>
      <c r="AR60" s="446">
        <f t="shared" si="66"/>
        <v>2.0310444473999198E-2</v>
      </c>
      <c r="AS60" s="446">
        <f t="shared" si="67"/>
        <v>2.0310444473999198E-2</v>
      </c>
      <c r="AT60" s="309">
        <f t="shared" si="82"/>
        <v>1</v>
      </c>
      <c r="AU60" s="309">
        <f t="shared" si="81"/>
        <v>1</v>
      </c>
      <c r="AV60" s="309">
        <f t="shared" si="81"/>
        <v>1</v>
      </c>
      <c r="AW60" s="309">
        <f t="shared" si="81"/>
        <v>1</v>
      </c>
      <c r="AX60" s="243">
        <f t="shared" si="84"/>
        <v>2.7096845113773766</v>
      </c>
      <c r="AY60" s="243">
        <f t="shared" si="85"/>
        <v>2.7096845113773766</v>
      </c>
      <c r="AZ60" s="243">
        <f t="shared" si="86"/>
        <v>2.7096845113773766</v>
      </c>
      <c r="BA60" s="243">
        <f t="shared" si="87"/>
        <v>2.7096845113773766</v>
      </c>
      <c r="BB60" s="243">
        <f>VLOOKUP($D60,'2018 Plan Data'!$A$4:$K$2000,6,FALSE)</f>
        <v>314</v>
      </c>
      <c r="BC60" s="243">
        <f>VLOOKUP($D60,'2018 Plan Data'!$A$4:$K$2000,7,FALSE)</f>
        <v>315</v>
      </c>
      <c r="BD60" s="243">
        <f>VLOOKUP($D60,'2018 Plan Data'!$A$4:$K$2000,8,FALSE)</f>
        <v>291</v>
      </c>
      <c r="BE60" s="243">
        <f>VLOOKUP($D60,'2018 Plan Data'!$A$4:$K$2000,9,FALSE)</f>
        <v>312</v>
      </c>
      <c r="BF60" s="243">
        <f t="shared" si="25"/>
        <v>9106</v>
      </c>
      <c r="BG60" s="243">
        <f t="shared" si="26"/>
        <v>9135</v>
      </c>
      <c r="BH60" s="243">
        <f t="shared" si="27"/>
        <v>8439</v>
      </c>
      <c r="BI60" s="243">
        <f t="shared" si="28"/>
        <v>9048</v>
      </c>
      <c r="BJ60" s="243">
        <f t="shared" si="29"/>
        <v>850.84093657249628</v>
      </c>
      <c r="BK60" s="243">
        <f t="shared" si="30"/>
        <v>853.55062108387369</v>
      </c>
      <c r="BL60" s="243">
        <f t="shared" si="31"/>
        <v>788.51819281081657</v>
      </c>
      <c r="BM60" s="243">
        <f t="shared" si="32"/>
        <v>845.42156754974155</v>
      </c>
      <c r="BN60" s="243">
        <f t="shared" si="68"/>
        <v>9106</v>
      </c>
      <c r="BO60" s="243">
        <f t="shared" si="69"/>
        <v>9135</v>
      </c>
      <c r="BP60" s="243">
        <f t="shared" si="70"/>
        <v>8439</v>
      </c>
      <c r="BQ60" s="243">
        <f t="shared" si="71"/>
        <v>9048</v>
      </c>
      <c r="BR60" s="243">
        <f t="shared" si="72"/>
        <v>850.84093657249628</v>
      </c>
      <c r="BS60" s="243">
        <f t="shared" si="73"/>
        <v>853.55062108387369</v>
      </c>
      <c r="BT60" s="243">
        <f t="shared" si="74"/>
        <v>788.51819281081657</v>
      </c>
      <c r="BU60" s="243">
        <f t="shared" si="75"/>
        <v>845.42156754974155</v>
      </c>
      <c r="BW60" s="314">
        <f>VLOOKUP($D60,'2018 Plan Data'!$A$4:$T$2000,13,FALSE)</f>
        <v>9106</v>
      </c>
      <c r="BX60" s="314">
        <f>VLOOKUP($D60,'2018 Plan Data'!$A$4:$T$2000,14,FALSE)</f>
        <v>9135</v>
      </c>
      <c r="BY60" s="314">
        <f>VLOOKUP($D60,'2018 Plan Data'!$A$4:$T$2000,15,FALSE)</f>
        <v>8439</v>
      </c>
      <c r="BZ60" s="314">
        <f>VLOOKUP($D60,'2018 Plan Data'!$A$4:$T$2000,16,FALSE)</f>
        <v>9048</v>
      </c>
      <c r="CA60" s="314">
        <f>VLOOKUP($D60,'2018 Plan Data'!$A$4:$T$2000,17,FALSE)</f>
        <v>850.84093657249628</v>
      </c>
      <c r="CB60" s="314">
        <f>VLOOKUP($D60,'2018 Plan Data'!$A$4:$T$2000,18,FALSE)</f>
        <v>853.55062108387369</v>
      </c>
      <c r="CC60" s="314">
        <f>VLOOKUP($D60,'2018 Plan Data'!$A$4:$T$2000,19,FALSE)</f>
        <v>788.51819281081657</v>
      </c>
      <c r="CD60" s="314">
        <f>VLOOKUP($D60,'2018 Plan Data'!$A$4:$T$2000,20,FALSE)</f>
        <v>845.42156754974155</v>
      </c>
      <c r="CE60" t="b">
        <f t="shared" si="41"/>
        <v>1</v>
      </c>
      <c r="CF60" t="b">
        <f t="shared" si="42"/>
        <v>1</v>
      </c>
      <c r="CG60" t="b">
        <f t="shared" si="43"/>
        <v>1</v>
      </c>
      <c r="CH60" t="b">
        <f t="shared" si="44"/>
        <v>1</v>
      </c>
      <c r="CI60" t="b">
        <f t="shared" si="45"/>
        <v>1</v>
      </c>
      <c r="CJ60" t="b">
        <f t="shared" si="46"/>
        <v>1</v>
      </c>
      <c r="CK60" t="b">
        <f t="shared" si="47"/>
        <v>1</v>
      </c>
      <c r="CL60" t="b">
        <f t="shared" si="48"/>
        <v>1</v>
      </c>
    </row>
    <row r="61" spans="1:90" ht="15" customHeight="1" x14ac:dyDescent="0.35">
      <c r="A61" s="585">
        <f t="shared" si="53"/>
        <v>586</v>
      </c>
      <c r="B61" t="str">
        <f t="shared" si="3"/>
        <v>Residential_Income Qualified</v>
      </c>
      <c r="D61" s="600">
        <v>586</v>
      </c>
      <c r="E61" s="600" t="s">
        <v>78</v>
      </c>
      <c r="F61" s="600" t="str">
        <f>VLOOKUP(G61,Sheet4!$D$6:$E$22,2,FALSE)</f>
        <v>Income Qualified</v>
      </c>
      <c r="G61" s="445" t="s">
        <v>1933</v>
      </c>
      <c r="H61" s="673" t="s">
        <v>1810</v>
      </c>
      <c r="I61" s="232"/>
      <c r="J61" s="18" t="s">
        <v>7</v>
      </c>
      <c r="K61" s="72" t="s">
        <v>746</v>
      </c>
      <c r="L61" s="72" t="s">
        <v>1731</v>
      </c>
      <c r="M61" s="600">
        <v>1</v>
      </c>
      <c r="O61" s="72" t="str">
        <f t="shared" si="54"/>
        <v>Dual Fuel</v>
      </c>
      <c r="P61" s="7">
        <f>VLOOKUP(D61,'2018 Plan Data'!$A$4:$K$1000,11,FALSE)</f>
        <v>25</v>
      </c>
      <c r="Q61" s="652">
        <f>VLOOKUP(D61,'2018 Plan Data'!$A$4:$L$1000,12,FALSE)</f>
        <v>0</v>
      </c>
      <c r="R61" s="314">
        <f t="shared" si="89"/>
        <v>22.200000000000003</v>
      </c>
      <c r="S61" s="314">
        <f t="shared" si="89"/>
        <v>0</v>
      </c>
      <c r="T61" s="314">
        <f t="shared" si="89"/>
        <v>1.4007203085516694E-2</v>
      </c>
      <c r="U61" s="314">
        <f t="shared" ref="U61:V63" si="90">U21</f>
        <v>0</v>
      </c>
      <c r="V61" s="314">
        <f t="shared" si="90"/>
        <v>11.869697702806754</v>
      </c>
      <c r="AD61" s="309">
        <f t="shared" si="55"/>
        <v>1</v>
      </c>
      <c r="AE61" s="309">
        <f t="shared" si="80"/>
        <v>1</v>
      </c>
      <c r="AF61" s="309">
        <f t="shared" si="80"/>
        <v>1</v>
      </c>
      <c r="AG61" s="309">
        <f t="shared" si="80"/>
        <v>1</v>
      </c>
      <c r="AH61" s="314">
        <f t="shared" si="56"/>
        <v>22.200000000000003</v>
      </c>
      <c r="AI61" s="314">
        <f t="shared" si="57"/>
        <v>22.200000000000003</v>
      </c>
      <c r="AJ61" s="314">
        <f t="shared" si="58"/>
        <v>22.200000000000003</v>
      </c>
      <c r="AK61" s="314">
        <f t="shared" si="59"/>
        <v>22.200000000000003</v>
      </c>
      <c r="AL61" s="309">
        <f t="shared" si="60"/>
        <v>1</v>
      </c>
      <c r="AM61" s="309">
        <f t="shared" si="61"/>
        <v>1</v>
      </c>
      <c r="AN61" s="309">
        <f t="shared" si="62"/>
        <v>1</v>
      </c>
      <c r="AO61" s="309">
        <f t="shared" si="63"/>
        <v>1</v>
      </c>
      <c r="AP61" s="446">
        <f t="shared" si="64"/>
        <v>1.4007203085516694E-2</v>
      </c>
      <c r="AQ61" s="446">
        <f t="shared" si="65"/>
        <v>1.4007203085516694E-2</v>
      </c>
      <c r="AR61" s="446">
        <f t="shared" si="66"/>
        <v>1.4007203085516694E-2</v>
      </c>
      <c r="AS61" s="446">
        <f t="shared" si="67"/>
        <v>1.4007203085516694E-2</v>
      </c>
      <c r="AT61" s="309">
        <f t="shared" si="82"/>
        <v>1</v>
      </c>
      <c r="AU61" s="309">
        <f t="shared" si="81"/>
        <v>1</v>
      </c>
      <c r="AV61" s="309">
        <f t="shared" si="81"/>
        <v>1</v>
      </c>
      <c r="AW61" s="309">
        <f t="shared" si="81"/>
        <v>1</v>
      </c>
      <c r="AX61" s="243">
        <f t="shared" si="84"/>
        <v>11.869697702806754</v>
      </c>
      <c r="AY61" s="243">
        <f t="shared" si="85"/>
        <v>11.869697702806754</v>
      </c>
      <c r="AZ61" s="243">
        <f t="shared" si="86"/>
        <v>11.869697702806754</v>
      </c>
      <c r="BA61" s="243">
        <f t="shared" si="87"/>
        <v>11.869697702806754</v>
      </c>
      <c r="BB61" s="243">
        <f>VLOOKUP($D61,'2018 Plan Data'!$A$4:$K$2000,6,FALSE)</f>
        <v>45</v>
      </c>
      <c r="BC61" s="243">
        <f>VLOOKUP($D61,'2018 Plan Data'!$A$4:$K$2000,7,FALSE)</f>
        <v>45</v>
      </c>
      <c r="BD61" s="243">
        <f>VLOOKUP($D61,'2018 Plan Data'!$A$4:$K$2000,8,FALSE)</f>
        <v>42</v>
      </c>
      <c r="BE61" s="243">
        <f>VLOOKUP($D61,'2018 Plan Data'!$A$4:$K$2000,9,FALSE)</f>
        <v>45</v>
      </c>
      <c r="BF61" s="243">
        <f t="shared" si="25"/>
        <v>999.00000000000011</v>
      </c>
      <c r="BG61" s="243">
        <f t="shared" si="26"/>
        <v>999.00000000000011</v>
      </c>
      <c r="BH61" s="243">
        <f t="shared" si="27"/>
        <v>932.40000000000009</v>
      </c>
      <c r="BI61" s="243">
        <f t="shared" si="28"/>
        <v>999.00000000000011</v>
      </c>
      <c r="BJ61" s="243">
        <f t="shared" si="29"/>
        <v>534.13639662630396</v>
      </c>
      <c r="BK61" s="243">
        <f t="shared" si="30"/>
        <v>534.13639662630396</v>
      </c>
      <c r="BL61" s="243">
        <f t="shared" si="31"/>
        <v>498.52730351788364</v>
      </c>
      <c r="BM61" s="243">
        <f t="shared" si="32"/>
        <v>534.13639662630396</v>
      </c>
      <c r="BN61" s="243">
        <f t="shared" si="68"/>
        <v>999.00000000000011</v>
      </c>
      <c r="BO61" s="243">
        <f t="shared" si="69"/>
        <v>999.00000000000011</v>
      </c>
      <c r="BP61" s="243">
        <f t="shared" si="70"/>
        <v>932.40000000000009</v>
      </c>
      <c r="BQ61" s="243">
        <f t="shared" si="71"/>
        <v>999.00000000000011</v>
      </c>
      <c r="BR61" s="243">
        <f t="shared" si="72"/>
        <v>534.13639662630396</v>
      </c>
      <c r="BS61" s="243">
        <f t="shared" si="73"/>
        <v>534.13639662630396</v>
      </c>
      <c r="BT61" s="243">
        <f t="shared" si="74"/>
        <v>498.52730351788364</v>
      </c>
      <c r="BU61" s="243">
        <f t="shared" si="75"/>
        <v>534.13639662630396</v>
      </c>
      <c r="BW61" s="314">
        <f>VLOOKUP($D61,'2018 Plan Data'!$A$4:$T$2000,13,FALSE)</f>
        <v>7242.7500000000009</v>
      </c>
      <c r="BX61" s="314">
        <f>VLOOKUP($D61,'2018 Plan Data'!$A$4:$T$2000,14,FALSE)</f>
        <v>7242.7500000000009</v>
      </c>
      <c r="BY61" s="314">
        <f>VLOOKUP($D61,'2018 Plan Data'!$A$4:$T$2000,15,FALSE)</f>
        <v>6759.9000000000005</v>
      </c>
      <c r="BZ61" s="314">
        <f>VLOOKUP($D61,'2018 Plan Data'!$A$4:$T$2000,16,FALSE)</f>
        <v>7242.7500000000009</v>
      </c>
      <c r="CA61" s="314">
        <f>VLOOKUP($D61,'2018 Plan Data'!$A$4:$T$2000,17,FALSE)</f>
        <v>3872.4888755407032</v>
      </c>
      <c r="CB61" s="314">
        <f>VLOOKUP($D61,'2018 Plan Data'!$A$4:$T$2000,18,FALSE)</f>
        <v>3872.4888755407032</v>
      </c>
      <c r="CC61" s="314">
        <f>VLOOKUP($D61,'2018 Plan Data'!$A$4:$T$2000,19,FALSE)</f>
        <v>3614.3229505046565</v>
      </c>
      <c r="CD61" s="314">
        <f>VLOOKUP($D61,'2018 Plan Data'!$A$4:$T$2000,20,FALSE)</f>
        <v>3872.4888755407032</v>
      </c>
      <c r="CE61" t="b">
        <f t="shared" si="41"/>
        <v>0</v>
      </c>
      <c r="CF61" t="b">
        <f t="shared" si="42"/>
        <v>0</v>
      </c>
      <c r="CG61" t="b">
        <f t="shared" si="43"/>
        <v>0</v>
      </c>
      <c r="CH61" t="b">
        <f t="shared" si="44"/>
        <v>0</v>
      </c>
      <c r="CI61" t="b">
        <f t="shared" si="45"/>
        <v>0</v>
      </c>
      <c r="CJ61" t="b">
        <f t="shared" si="46"/>
        <v>0</v>
      </c>
      <c r="CK61" t="b">
        <f t="shared" si="47"/>
        <v>0</v>
      </c>
      <c r="CL61" t="b">
        <f t="shared" si="48"/>
        <v>0</v>
      </c>
    </row>
    <row r="62" spans="1:90" ht="15" customHeight="1" x14ac:dyDescent="0.35">
      <c r="A62" s="585">
        <f t="shared" si="53"/>
        <v>567</v>
      </c>
      <c r="B62" t="str">
        <f t="shared" si="3"/>
        <v>Residential_Income Qualified</v>
      </c>
      <c r="D62">
        <v>567</v>
      </c>
      <c r="E62" t="s">
        <v>78</v>
      </c>
      <c r="F62" s="600" t="str">
        <f>VLOOKUP(G62,Sheet4!$D$6:$E$22,2,FALSE)</f>
        <v>Income Qualified</v>
      </c>
      <c r="G62" s="445" t="s">
        <v>1933</v>
      </c>
      <c r="H62" s="673" t="s">
        <v>1070</v>
      </c>
      <c r="I62" s="232"/>
      <c r="J62" s="18" t="s">
        <v>7</v>
      </c>
      <c r="K62" s="72" t="s">
        <v>1378</v>
      </c>
      <c r="L62" s="18" t="s">
        <v>1717</v>
      </c>
      <c r="M62" s="600">
        <v>1</v>
      </c>
      <c r="O62" s="72" t="str">
        <f t="shared" si="54"/>
        <v>Gas</v>
      </c>
      <c r="P62" s="7">
        <f>VLOOKUP(D62,'2018 Plan Data'!$A$4:$K$1000,11,FALSE)</f>
        <v>25</v>
      </c>
      <c r="Q62" s="652">
        <f>VLOOKUP(D62,'2018 Plan Data'!$A$4:$L$1000,12,FALSE)</f>
        <v>0</v>
      </c>
      <c r="R62" s="314">
        <f t="shared" si="89"/>
        <v>0</v>
      </c>
      <c r="S62" s="314">
        <f t="shared" si="89"/>
        <v>0</v>
      </c>
      <c r="T62" s="314">
        <f t="shared" si="89"/>
        <v>0</v>
      </c>
      <c r="U62" s="314">
        <f t="shared" si="90"/>
        <v>0</v>
      </c>
      <c r="V62" s="314">
        <f t="shared" si="90"/>
        <v>107.05</v>
      </c>
      <c r="W62" s="314">
        <f>W22</f>
        <v>0</v>
      </c>
      <c r="AD62" s="309">
        <f t="shared" si="55"/>
        <v>1</v>
      </c>
      <c r="AE62" s="309">
        <f t="shared" si="80"/>
        <v>1</v>
      </c>
      <c r="AF62" s="309">
        <f t="shared" si="80"/>
        <v>1</v>
      </c>
      <c r="AG62" s="309">
        <f t="shared" si="80"/>
        <v>1</v>
      </c>
      <c r="AH62" s="314">
        <f t="shared" si="56"/>
        <v>0</v>
      </c>
      <c r="AI62" s="314">
        <f t="shared" si="57"/>
        <v>0</v>
      </c>
      <c r="AJ62" s="314">
        <f t="shared" si="58"/>
        <v>0</v>
      </c>
      <c r="AK62" s="314">
        <f t="shared" si="59"/>
        <v>0</v>
      </c>
      <c r="AL62" s="309">
        <f t="shared" si="60"/>
        <v>1</v>
      </c>
      <c r="AM62" s="309">
        <f t="shared" si="61"/>
        <v>1</v>
      </c>
      <c r="AN62" s="309">
        <f t="shared" si="62"/>
        <v>1</v>
      </c>
      <c r="AO62" s="309">
        <f t="shared" si="63"/>
        <v>1</v>
      </c>
      <c r="AP62" s="446">
        <f t="shared" si="64"/>
        <v>0</v>
      </c>
      <c r="AQ62" s="446">
        <f t="shared" si="65"/>
        <v>0</v>
      </c>
      <c r="AR62" s="446">
        <f t="shared" si="66"/>
        <v>0</v>
      </c>
      <c r="AS62" s="446">
        <f t="shared" si="67"/>
        <v>0</v>
      </c>
      <c r="AT62" s="309">
        <f t="shared" si="82"/>
        <v>1</v>
      </c>
      <c r="AU62" s="309">
        <f t="shared" si="81"/>
        <v>1</v>
      </c>
      <c r="AV62" s="309">
        <f t="shared" si="81"/>
        <v>1</v>
      </c>
      <c r="AW62" s="309">
        <f t="shared" si="81"/>
        <v>1</v>
      </c>
      <c r="AX62" s="243">
        <f t="shared" si="84"/>
        <v>107.05</v>
      </c>
      <c r="AY62" s="243">
        <f t="shared" si="85"/>
        <v>107.05</v>
      </c>
      <c r="AZ62" s="243">
        <f t="shared" si="86"/>
        <v>107.05</v>
      </c>
      <c r="BA62" s="243">
        <f t="shared" si="87"/>
        <v>107.05</v>
      </c>
      <c r="BB62" s="243">
        <f>VLOOKUP($D62,'2018 Plan Data'!$A$4:$K$2000,6,FALSE)</f>
        <v>3</v>
      </c>
      <c r="BC62" s="243">
        <f>VLOOKUP($D62,'2018 Plan Data'!$A$4:$K$2000,7,FALSE)</f>
        <v>3</v>
      </c>
      <c r="BD62" s="243">
        <f>VLOOKUP($D62,'2018 Plan Data'!$A$4:$K$2000,8,FALSE)</f>
        <v>3</v>
      </c>
      <c r="BE62" s="243">
        <f>VLOOKUP($D62,'2018 Plan Data'!$A$4:$K$2000,9,FALSE)</f>
        <v>3</v>
      </c>
      <c r="BF62" s="243">
        <f t="shared" si="25"/>
        <v>0</v>
      </c>
      <c r="BG62" s="243">
        <f t="shared" si="26"/>
        <v>0</v>
      </c>
      <c r="BH62" s="243">
        <f t="shared" si="27"/>
        <v>0</v>
      </c>
      <c r="BI62" s="243">
        <f t="shared" si="28"/>
        <v>0</v>
      </c>
      <c r="BJ62" s="243">
        <f t="shared" si="29"/>
        <v>321.14999999999998</v>
      </c>
      <c r="BK62" s="243">
        <f t="shared" si="30"/>
        <v>321.14999999999998</v>
      </c>
      <c r="BL62" s="243">
        <f t="shared" si="31"/>
        <v>321.14999999999998</v>
      </c>
      <c r="BM62" s="243">
        <f t="shared" si="32"/>
        <v>321.14999999999998</v>
      </c>
      <c r="BN62" s="243">
        <f t="shared" si="68"/>
        <v>0</v>
      </c>
      <c r="BO62" s="243">
        <f t="shared" si="69"/>
        <v>0</v>
      </c>
      <c r="BP62" s="243">
        <f t="shared" si="70"/>
        <v>0</v>
      </c>
      <c r="BQ62" s="243">
        <f t="shared" si="71"/>
        <v>0</v>
      </c>
      <c r="BR62" s="243">
        <f t="shared" si="72"/>
        <v>321.14999999999998</v>
      </c>
      <c r="BS62" s="243">
        <f t="shared" si="73"/>
        <v>321.14999999999998</v>
      </c>
      <c r="BT62" s="243">
        <f t="shared" si="74"/>
        <v>321.14999999999998</v>
      </c>
      <c r="BU62" s="243">
        <f t="shared" si="75"/>
        <v>321.14999999999998</v>
      </c>
      <c r="BW62" s="314">
        <f>VLOOKUP($D62,'2018 Plan Data'!$A$4:$T$2000,13,FALSE)</f>
        <v>0</v>
      </c>
      <c r="BX62" s="314">
        <f>VLOOKUP($D62,'2018 Plan Data'!$A$4:$T$2000,14,FALSE)</f>
        <v>0</v>
      </c>
      <c r="BY62" s="314">
        <f>VLOOKUP($D62,'2018 Plan Data'!$A$4:$T$2000,15,FALSE)</f>
        <v>0</v>
      </c>
      <c r="BZ62" s="314">
        <f>VLOOKUP($D62,'2018 Plan Data'!$A$4:$T$2000,16,FALSE)</f>
        <v>0</v>
      </c>
      <c r="CA62" s="314">
        <f>VLOOKUP($D62,'2018 Plan Data'!$A$4:$T$2000,17,FALSE)</f>
        <v>433.14</v>
      </c>
      <c r="CB62" s="314">
        <f>VLOOKUP($D62,'2018 Plan Data'!$A$4:$T$2000,18,FALSE)</f>
        <v>433.14</v>
      </c>
      <c r="CC62" s="314">
        <f>VLOOKUP($D62,'2018 Plan Data'!$A$4:$T$2000,19,FALSE)</f>
        <v>433.14</v>
      </c>
      <c r="CD62" s="314">
        <f>VLOOKUP($D62,'2018 Plan Data'!$A$4:$T$2000,20,FALSE)</f>
        <v>433.14</v>
      </c>
      <c r="CE62" t="b">
        <f t="shared" si="41"/>
        <v>1</v>
      </c>
      <c r="CF62" t="b">
        <f t="shared" si="42"/>
        <v>1</v>
      </c>
      <c r="CG62" t="b">
        <f t="shared" si="43"/>
        <v>1</v>
      </c>
      <c r="CH62" t="b">
        <f t="shared" si="44"/>
        <v>1</v>
      </c>
      <c r="CI62" t="b">
        <f t="shared" si="45"/>
        <v>0</v>
      </c>
      <c r="CJ62" t="b">
        <f t="shared" si="46"/>
        <v>0</v>
      </c>
      <c r="CK62" t="b">
        <f t="shared" si="47"/>
        <v>0</v>
      </c>
      <c r="CL62" t="b">
        <f t="shared" si="48"/>
        <v>0</v>
      </c>
    </row>
    <row r="63" spans="1:90" ht="15" customHeight="1" x14ac:dyDescent="0.35">
      <c r="A63" s="585">
        <f t="shared" si="53"/>
        <v>609</v>
      </c>
      <c r="B63" t="str">
        <f t="shared" si="3"/>
        <v>Residential_Income Qualified</v>
      </c>
      <c r="D63">
        <v>609</v>
      </c>
      <c r="E63" t="s">
        <v>78</v>
      </c>
      <c r="F63" s="600" t="str">
        <f>VLOOKUP(G63,Sheet4!$D$6:$E$22,2,FALSE)</f>
        <v>Income Qualified</v>
      </c>
      <c r="G63" s="445" t="s">
        <v>1933</v>
      </c>
      <c r="H63" s="673" t="s">
        <v>1813</v>
      </c>
      <c r="I63" s="232"/>
      <c r="J63" s="18" t="s">
        <v>7</v>
      </c>
      <c r="K63" s="72" t="s">
        <v>563</v>
      </c>
      <c r="L63" s="18" t="s">
        <v>1721</v>
      </c>
      <c r="M63" s="600">
        <v>1</v>
      </c>
      <c r="O63" s="72" t="str">
        <f t="shared" si="54"/>
        <v>Dual Fuel</v>
      </c>
      <c r="P63" s="7">
        <f>VLOOKUP(D63,'2018 Plan Data'!$A$4:$K$1000,11,FALSE)</f>
        <v>5</v>
      </c>
      <c r="Q63" s="652">
        <f>VLOOKUP(D63,'2018 Plan Data'!$A$4:$L$1000,12,FALSE)</f>
        <v>0</v>
      </c>
      <c r="R63" s="314">
        <f t="shared" si="89"/>
        <v>49.112507639999997</v>
      </c>
      <c r="S63" s="314">
        <f t="shared" si="89"/>
        <v>0</v>
      </c>
      <c r="T63" s="314">
        <f t="shared" si="89"/>
        <v>0</v>
      </c>
      <c r="U63" s="314">
        <f t="shared" si="90"/>
        <v>0</v>
      </c>
      <c r="V63" s="314">
        <f t="shared" si="90"/>
        <v>53.381999999999998</v>
      </c>
      <c r="W63" s="314">
        <f>W23</f>
        <v>0</v>
      </c>
      <c r="AD63" s="309">
        <f t="shared" si="55"/>
        <v>1</v>
      </c>
      <c r="AE63" s="309">
        <f t="shared" si="80"/>
        <v>1</v>
      </c>
      <c r="AF63" s="309">
        <f t="shared" si="80"/>
        <v>1</v>
      </c>
      <c r="AG63" s="309">
        <f t="shared" si="80"/>
        <v>1</v>
      </c>
      <c r="AH63" s="314">
        <f t="shared" si="56"/>
        <v>49.112507639999997</v>
      </c>
      <c r="AI63" s="314">
        <f t="shared" si="57"/>
        <v>49.112507639999997</v>
      </c>
      <c r="AJ63" s="314">
        <f t="shared" si="58"/>
        <v>49.112507639999997</v>
      </c>
      <c r="AK63" s="314">
        <f t="shared" si="59"/>
        <v>49.112507639999997</v>
      </c>
      <c r="AL63" s="309">
        <f t="shared" si="60"/>
        <v>1</v>
      </c>
      <c r="AM63" s="309">
        <f t="shared" si="61"/>
        <v>1</v>
      </c>
      <c r="AN63" s="309">
        <f t="shared" si="62"/>
        <v>1</v>
      </c>
      <c r="AO63" s="309">
        <f t="shared" si="63"/>
        <v>1</v>
      </c>
      <c r="AP63" s="446">
        <f t="shared" si="64"/>
        <v>0</v>
      </c>
      <c r="AQ63" s="446">
        <f t="shared" si="65"/>
        <v>0</v>
      </c>
      <c r="AR63" s="446">
        <f t="shared" si="66"/>
        <v>0</v>
      </c>
      <c r="AS63" s="446">
        <f t="shared" si="67"/>
        <v>0</v>
      </c>
      <c r="AT63" s="309">
        <f t="shared" si="82"/>
        <v>1</v>
      </c>
      <c r="AU63" s="309">
        <f t="shared" si="81"/>
        <v>1</v>
      </c>
      <c r="AV63" s="309">
        <f t="shared" si="81"/>
        <v>1</v>
      </c>
      <c r="AW63" s="309">
        <f t="shared" si="81"/>
        <v>1</v>
      </c>
      <c r="AX63" s="243">
        <f t="shared" si="84"/>
        <v>53.381999999999998</v>
      </c>
      <c r="AY63" s="243">
        <f t="shared" si="85"/>
        <v>53.381999999999998</v>
      </c>
      <c r="AZ63" s="243">
        <f t="shared" si="86"/>
        <v>53.381999999999998</v>
      </c>
      <c r="BA63" s="243">
        <f t="shared" si="87"/>
        <v>53.381999999999998</v>
      </c>
      <c r="BB63" s="243">
        <f>VLOOKUP($D63,'2018 Plan Data'!$A$4:$K$2000,6,FALSE)</f>
        <v>1171</v>
      </c>
      <c r="BC63" s="243">
        <f>VLOOKUP($D63,'2018 Plan Data'!$A$4:$K$2000,7,FALSE)</f>
        <v>1175</v>
      </c>
      <c r="BD63" s="243">
        <f>VLOOKUP($D63,'2018 Plan Data'!$A$4:$K$2000,8,FALSE)</f>
        <v>1083</v>
      </c>
      <c r="BE63" s="243">
        <f>VLOOKUP($D63,'2018 Plan Data'!$A$4:$K$2000,9,FALSE)</f>
        <v>1161.684405</v>
      </c>
      <c r="BF63" s="243">
        <f t="shared" si="25"/>
        <v>57510.746446439996</v>
      </c>
      <c r="BG63" s="243">
        <f t="shared" si="26"/>
        <v>57707.196476999998</v>
      </c>
      <c r="BH63" s="243">
        <f t="shared" si="27"/>
        <v>53188.845774119996</v>
      </c>
      <c r="BI63" s="243">
        <f t="shared" si="28"/>
        <v>57053.234215831348</v>
      </c>
      <c r="BJ63" s="243">
        <f t="shared" si="29"/>
        <v>62510.322</v>
      </c>
      <c r="BK63" s="243">
        <f t="shared" si="30"/>
        <v>62723.85</v>
      </c>
      <c r="BL63" s="243">
        <f t="shared" si="31"/>
        <v>57812.705999999998</v>
      </c>
      <c r="BM63" s="243">
        <f t="shared" si="32"/>
        <v>62013.036907709997</v>
      </c>
      <c r="BN63" s="243">
        <f t="shared" si="68"/>
        <v>57510.746446439996</v>
      </c>
      <c r="BO63" s="243">
        <f t="shared" si="69"/>
        <v>57707.196476999998</v>
      </c>
      <c r="BP63" s="243">
        <f t="shared" si="70"/>
        <v>53188.845774119996</v>
      </c>
      <c r="BQ63" s="243">
        <f t="shared" si="71"/>
        <v>57053.234215831348</v>
      </c>
      <c r="BR63" s="243">
        <f t="shared" si="72"/>
        <v>62510.322</v>
      </c>
      <c r="BS63" s="243">
        <f t="shared" si="73"/>
        <v>62723.85</v>
      </c>
      <c r="BT63" s="243">
        <f t="shared" si="74"/>
        <v>57812.705999999998</v>
      </c>
      <c r="BU63" s="243">
        <f t="shared" si="75"/>
        <v>62013.036907709997</v>
      </c>
      <c r="BW63" s="314">
        <f>VLOOKUP($D63,'2018 Plan Data'!$A$4:$T$2000,13,FALSE)</f>
        <v>57510.746446439996</v>
      </c>
      <c r="BX63" s="314">
        <f>VLOOKUP($D63,'2018 Plan Data'!$A$4:$T$2000,14,FALSE)</f>
        <v>57707.196476999998</v>
      </c>
      <c r="BY63" s="314">
        <f>VLOOKUP($D63,'2018 Plan Data'!$A$4:$T$2000,15,FALSE)</f>
        <v>53188.845774119996</v>
      </c>
      <c r="BZ63" s="314">
        <f>VLOOKUP($D63,'2018 Plan Data'!$A$4:$T$2000,16,FALSE)</f>
        <v>57053.234215831348</v>
      </c>
      <c r="CA63" s="314">
        <f>VLOOKUP($D63,'2018 Plan Data'!$A$4:$T$2000,17,FALSE)</f>
        <v>62510.322</v>
      </c>
      <c r="CB63" s="314">
        <f>VLOOKUP($D63,'2018 Plan Data'!$A$4:$T$2000,18,FALSE)</f>
        <v>62723.85</v>
      </c>
      <c r="CC63" s="314">
        <f>VLOOKUP($D63,'2018 Plan Data'!$A$4:$T$2000,19,FALSE)</f>
        <v>57812.705999999998</v>
      </c>
      <c r="CD63" s="314">
        <f>VLOOKUP($D63,'2018 Plan Data'!$A$4:$T$2000,20,FALSE)</f>
        <v>62013.036907709997</v>
      </c>
      <c r="CE63" t="b">
        <f t="shared" si="41"/>
        <v>1</v>
      </c>
      <c r="CF63" t="b">
        <f t="shared" si="42"/>
        <v>1</v>
      </c>
      <c r="CG63" t="b">
        <f t="shared" si="43"/>
        <v>1</v>
      </c>
      <c r="CH63" t="b">
        <f t="shared" si="44"/>
        <v>1</v>
      </c>
      <c r="CI63" t="b">
        <f t="shared" si="45"/>
        <v>1</v>
      </c>
      <c r="CJ63" t="b">
        <f t="shared" si="46"/>
        <v>1</v>
      </c>
      <c r="CK63" t="b">
        <f t="shared" si="47"/>
        <v>1</v>
      </c>
      <c r="CL63" t="b">
        <f t="shared" si="48"/>
        <v>1</v>
      </c>
    </row>
    <row r="64" spans="1:90" ht="15" customHeight="1" x14ac:dyDescent="0.35">
      <c r="A64" s="585">
        <f t="shared" si="53"/>
        <v>592</v>
      </c>
      <c r="B64" t="str">
        <f t="shared" si="3"/>
        <v>Residential_Income Qualified</v>
      </c>
      <c r="D64" s="600">
        <v>592</v>
      </c>
      <c r="E64" s="600" t="s">
        <v>78</v>
      </c>
      <c r="F64" s="600" t="str">
        <f>VLOOKUP(G64,Sheet4!$D$6:$E$22,2,FALSE)</f>
        <v>Income Qualified</v>
      </c>
      <c r="G64" s="445" t="s">
        <v>1933</v>
      </c>
      <c r="H64" s="673" t="s">
        <v>1785</v>
      </c>
      <c r="I64" s="232"/>
      <c r="J64" s="18" t="s">
        <v>7</v>
      </c>
      <c r="K64" s="72" t="s">
        <v>363</v>
      </c>
      <c r="L64" s="72" t="s">
        <v>1715</v>
      </c>
      <c r="M64" s="600">
        <v>1</v>
      </c>
      <c r="O64" s="72" t="str">
        <f t="shared" si="54"/>
        <v>Dual Fuel</v>
      </c>
      <c r="P64" s="7">
        <f>VLOOKUP(D64,'2018 Plan Data'!$A$4:$K$1000,11,FALSE)</f>
        <v>20</v>
      </c>
      <c r="Q64" s="652">
        <f>VLOOKUP(D64,'2018 Plan Data'!$A$4:$L$1000,12,FALSE)</f>
        <v>0</v>
      </c>
      <c r="R64" s="314">
        <f>'RES Shell'!Q35</f>
        <v>168.78232873654139</v>
      </c>
      <c r="T64" s="314">
        <f>'RES Shell'!R35</f>
        <v>0</v>
      </c>
      <c r="V64" s="314">
        <f>'RES Shell'!S35</f>
        <v>183.45506482091847</v>
      </c>
      <c r="X64" s="600"/>
      <c r="Y64" s="600"/>
      <c r="Z64" s="600"/>
      <c r="AA64" s="600"/>
      <c r="AB64" s="600"/>
      <c r="AC64" s="600"/>
      <c r="AD64" s="309">
        <f t="shared" si="55"/>
        <v>1</v>
      </c>
      <c r="AE64" s="309">
        <f t="shared" si="80"/>
        <v>1</v>
      </c>
      <c r="AF64" s="309">
        <f t="shared" si="80"/>
        <v>1</v>
      </c>
      <c r="AG64" s="309">
        <f t="shared" si="80"/>
        <v>1</v>
      </c>
      <c r="AH64" s="314">
        <f t="shared" si="56"/>
        <v>168.78232873654139</v>
      </c>
      <c r="AI64" s="314">
        <f t="shared" si="57"/>
        <v>168.78232873654139</v>
      </c>
      <c r="AJ64" s="314">
        <f t="shared" si="58"/>
        <v>168.78232873654139</v>
      </c>
      <c r="AK64" s="314">
        <f t="shared" si="59"/>
        <v>168.78232873654139</v>
      </c>
      <c r="AL64" s="309">
        <f t="shared" si="60"/>
        <v>1</v>
      </c>
      <c r="AM64" s="309">
        <f t="shared" si="61"/>
        <v>1</v>
      </c>
      <c r="AN64" s="309">
        <f t="shared" si="62"/>
        <v>1</v>
      </c>
      <c r="AO64" s="309">
        <f t="shared" si="63"/>
        <v>1</v>
      </c>
      <c r="AP64" s="446">
        <f t="shared" si="64"/>
        <v>0</v>
      </c>
      <c r="AQ64" s="446">
        <f t="shared" si="65"/>
        <v>0</v>
      </c>
      <c r="AR64" s="446">
        <f t="shared" si="66"/>
        <v>0</v>
      </c>
      <c r="AS64" s="446">
        <f t="shared" si="67"/>
        <v>0</v>
      </c>
      <c r="AT64" s="309">
        <f t="shared" si="82"/>
        <v>1</v>
      </c>
      <c r="AU64" s="309">
        <f t="shared" si="81"/>
        <v>1</v>
      </c>
      <c r="AV64" s="309">
        <f t="shared" si="81"/>
        <v>1</v>
      </c>
      <c r="AW64" s="309">
        <f t="shared" si="81"/>
        <v>1</v>
      </c>
      <c r="AX64" s="243">
        <f t="shared" si="84"/>
        <v>183.45506482091847</v>
      </c>
      <c r="AY64" s="243">
        <f t="shared" si="85"/>
        <v>183.45506482091847</v>
      </c>
      <c r="AZ64" s="243">
        <f t="shared" si="86"/>
        <v>183.45506482091847</v>
      </c>
      <c r="BA64" s="243">
        <f t="shared" si="87"/>
        <v>183.45506482091847</v>
      </c>
      <c r="BB64" s="243">
        <f>VLOOKUP($D64,'2018 Plan Data'!$A$4:$K$2000,6,FALSE)</f>
        <v>45</v>
      </c>
      <c r="BC64" s="243">
        <f>VLOOKUP($D64,'2018 Plan Data'!$A$4:$K$2000,7,FALSE)</f>
        <v>180</v>
      </c>
      <c r="BD64" s="243">
        <f>VLOOKUP($D64,'2018 Plan Data'!$A$4:$K$2000,8,FALSE)</f>
        <v>42</v>
      </c>
      <c r="BE64" s="243">
        <f>VLOOKUP($D64,'2018 Plan Data'!$A$4:$K$2000,9,FALSE)</f>
        <v>45</v>
      </c>
      <c r="BF64" s="243">
        <f t="shared" si="25"/>
        <v>7595.2047931443622</v>
      </c>
      <c r="BG64" s="243">
        <f t="shared" si="26"/>
        <v>30380.819172577449</v>
      </c>
      <c r="BH64" s="243">
        <f t="shared" si="27"/>
        <v>7088.8578069347386</v>
      </c>
      <c r="BI64" s="243">
        <f t="shared" si="28"/>
        <v>7595.2047931443622</v>
      </c>
      <c r="BJ64" s="243">
        <f t="shared" si="29"/>
        <v>8255.4779169413305</v>
      </c>
      <c r="BK64" s="243">
        <f t="shared" si="30"/>
        <v>33021.911667765322</v>
      </c>
      <c r="BL64" s="243">
        <f t="shared" si="31"/>
        <v>7705.112722478576</v>
      </c>
      <c r="BM64" s="243">
        <f t="shared" si="32"/>
        <v>8255.4779169413305</v>
      </c>
      <c r="BN64" s="243">
        <f t="shared" si="68"/>
        <v>7595.2047931443622</v>
      </c>
      <c r="BO64" s="243">
        <f t="shared" si="69"/>
        <v>30380.819172577449</v>
      </c>
      <c r="BP64" s="243">
        <f t="shared" si="70"/>
        <v>7088.8578069347386</v>
      </c>
      <c r="BQ64" s="243">
        <f t="shared" si="71"/>
        <v>7595.2047931443622</v>
      </c>
      <c r="BR64" s="243">
        <f t="shared" si="72"/>
        <v>8255.4779169413305</v>
      </c>
      <c r="BS64" s="243">
        <f t="shared" si="73"/>
        <v>33021.911667765322</v>
      </c>
      <c r="BT64" s="243">
        <f t="shared" si="74"/>
        <v>7705.112722478576</v>
      </c>
      <c r="BU64" s="243">
        <f t="shared" si="75"/>
        <v>8255.4779169413305</v>
      </c>
      <c r="BW64" s="314">
        <f>VLOOKUP($D64,'2018 Plan Data'!$A$4:$T$2000,13,FALSE)</f>
        <v>7595.2047931443622</v>
      </c>
      <c r="BX64" s="314">
        <f>VLOOKUP($D64,'2018 Plan Data'!$A$4:$T$2000,14,FALSE)</f>
        <v>30380.819172577449</v>
      </c>
      <c r="BY64" s="314">
        <f>VLOOKUP($D64,'2018 Plan Data'!$A$4:$T$2000,15,FALSE)</f>
        <v>7088.8578069347386</v>
      </c>
      <c r="BZ64" s="314">
        <f>VLOOKUP($D64,'2018 Plan Data'!$A$4:$T$2000,16,FALSE)</f>
        <v>7595.2047931443622</v>
      </c>
      <c r="CA64" s="314">
        <f>VLOOKUP($D64,'2018 Plan Data'!$A$4:$T$2000,17,FALSE)</f>
        <v>8255.4779169413305</v>
      </c>
      <c r="CB64" s="314">
        <f>VLOOKUP($D64,'2018 Plan Data'!$A$4:$T$2000,18,FALSE)</f>
        <v>33021.911667765322</v>
      </c>
      <c r="CC64" s="314">
        <f>VLOOKUP($D64,'2018 Plan Data'!$A$4:$T$2000,19,FALSE)</f>
        <v>7705.112722478576</v>
      </c>
      <c r="CD64" s="314">
        <f>VLOOKUP($D64,'2018 Plan Data'!$A$4:$T$2000,20,FALSE)</f>
        <v>8255.4779169413305</v>
      </c>
      <c r="CE64" t="b">
        <f t="shared" si="41"/>
        <v>1</v>
      </c>
      <c r="CF64" t="b">
        <f t="shared" si="42"/>
        <v>1</v>
      </c>
      <c r="CG64" t="b">
        <f t="shared" si="43"/>
        <v>1</v>
      </c>
      <c r="CH64" t="b">
        <f t="shared" si="44"/>
        <v>1</v>
      </c>
      <c r="CI64" t="b">
        <f t="shared" si="45"/>
        <v>1</v>
      </c>
      <c r="CJ64" t="b">
        <f t="shared" si="46"/>
        <v>1</v>
      </c>
      <c r="CK64" t="b">
        <f t="shared" si="47"/>
        <v>1</v>
      </c>
      <c r="CL64" t="b">
        <f t="shared" si="48"/>
        <v>1</v>
      </c>
    </row>
    <row r="65" spans="1:90" ht="15" customHeight="1" x14ac:dyDescent="0.35">
      <c r="A65" s="585">
        <f t="shared" si="53"/>
        <v>594</v>
      </c>
      <c r="B65" t="str">
        <f t="shared" si="3"/>
        <v>Residential_Income Qualified</v>
      </c>
      <c r="D65">
        <v>594</v>
      </c>
      <c r="E65" t="s">
        <v>78</v>
      </c>
      <c r="F65" s="600" t="str">
        <f>VLOOKUP(G65,Sheet4!$D$6:$E$22,2,FALSE)</f>
        <v>Income Qualified</v>
      </c>
      <c r="G65" s="445" t="s">
        <v>1933</v>
      </c>
      <c r="H65" s="673" t="s">
        <v>1786</v>
      </c>
      <c r="I65" s="232"/>
      <c r="J65" s="18" t="s">
        <v>7</v>
      </c>
      <c r="K65" s="72" t="s">
        <v>363</v>
      </c>
      <c r="L65" s="18" t="s">
        <v>1715</v>
      </c>
      <c r="M65" s="600">
        <v>1</v>
      </c>
      <c r="O65" s="72" t="str">
        <f t="shared" si="54"/>
        <v>Dual Fuel</v>
      </c>
      <c r="P65" s="7">
        <f>VLOOKUP(D65,'2018 Plan Data'!$A$4:$K$1000,11,FALSE)</f>
        <v>20</v>
      </c>
      <c r="Q65" s="652">
        <f>VLOOKUP(D65,'2018 Plan Data'!$A$4:$L$1000,12,FALSE)</f>
        <v>0</v>
      </c>
      <c r="R65" s="314">
        <f>'RES Shell'!Q31</f>
        <v>377.27032873654139</v>
      </c>
      <c r="T65" s="314">
        <f>'RES Shell'!R36</f>
        <v>0.19420800000000002</v>
      </c>
      <c r="V65" s="314">
        <f>'RES Shell'!S36</f>
        <v>183.45506482091847</v>
      </c>
      <c r="AD65" s="309">
        <f t="shared" si="55"/>
        <v>1</v>
      </c>
      <c r="AE65" s="309">
        <f t="shared" ref="AE65:AG84" si="91">AD65</f>
        <v>1</v>
      </c>
      <c r="AF65" s="309">
        <f t="shared" si="91"/>
        <v>1</v>
      </c>
      <c r="AG65" s="309">
        <f t="shared" si="91"/>
        <v>1</v>
      </c>
      <c r="AH65" s="314">
        <f t="shared" si="56"/>
        <v>377.27032873654139</v>
      </c>
      <c r="AI65" s="314">
        <f t="shared" si="57"/>
        <v>377.27032873654139</v>
      </c>
      <c r="AJ65" s="314">
        <f t="shared" si="58"/>
        <v>377.27032873654139</v>
      </c>
      <c r="AK65" s="314">
        <f t="shared" si="59"/>
        <v>377.27032873654139</v>
      </c>
      <c r="AL65" s="309">
        <f t="shared" si="60"/>
        <v>1</v>
      </c>
      <c r="AM65" s="309">
        <f t="shared" si="61"/>
        <v>1</v>
      </c>
      <c r="AN65" s="309">
        <f t="shared" si="62"/>
        <v>1</v>
      </c>
      <c r="AO65" s="309">
        <f t="shared" si="63"/>
        <v>1</v>
      </c>
      <c r="AP65" s="446">
        <f t="shared" si="64"/>
        <v>0.19420800000000002</v>
      </c>
      <c r="AQ65" s="446">
        <f t="shared" si="65"/>
        <v>0.19420800000000002</v>
      </c>
      <c r="AR65" s="446">
        <f t="shared" si="66"/>
        <v>0.19420800000000002</v>
      </c>
      <c r="AS65" s="446">
        <f t="shared" si="67"/>
        <v>0.19420800000000002</v>
      </c>
      <c r="AT65" s="309">
        <f t="shared" si="82"/>
        <v>1</v>
      </c>
      <c r="AU65" s="309">
        <f t="shared" ref="AU65:AW84" si="92">AT65</f>
        <v>1</v>
      </c>
      <c r="AV65" s="309">
        <f t="shared" si="92"/>
        <v>1</v>
      </c>
      <c r="AW65" s="309">
        <f t="shared" si="92"/>
        <v>1</v>
      </c>
      <c r="AX65" s="243">
        <f t="shared" si="84"/>
        <v>183.45506482091847</v>
      </c>
      <c r="AY65" s="243">
        <f t="shared" si="85"/>
        <v>183.45506482091847</v>
      </c>
      <c r="AZ65" s="243">
        <f t="shared" si="86"/>
        <v>183.45506482091847</v>
      </c>
      <c r="BA65" s="243">
        <f t="shared" si="87"/>
        <v>183.45506482091847</v>
      </c>
      <c r="BB65" s="243">
        <f>VLOOKUP($D65,'2018 Plan Data'!$A$4:$K$2000,6,FALSE)</f>
        <v>179</v>
      </c>
      <c r="BC65" s="243">
        <f>VLOOKUP($D65,'2018 Plan Data'!$A$4:$K$2000,7,FALSE)</f>
        <v>180</v>
      </c>
      <c r="BD65" s="243">
        <f>VLOOKUP($D65,'2018 Plan Data'!$A$4:$K$2000,8,FALSE)</f>
        <v>166</v>
      </c>
      <c r="BE65" s="243">
        <f>VLOOKUP($D65,'2018 Plan Data'!$A$4:$K$2000,9,FALSE)</f>
        <v>178</v>
      </c>
      <c r="BF65" s="243">
        <f t="shared" si="25"/>
        <v>67531.388843840905</v>
      </c>
      <c r="BG65" s="243">
        <f t="shared" si="26"/>
        <v>67908.659172577449</v>
      </c>
      <c r="BH65" s="243">
        <f t="shared" si="27"/>
        <v>62626.874570265871</v>
      </c>
      <c r="BI65" s="243">
        <f t="shared" si="28"/>
        <v>67154.118515104361</v>
      </c>
      <c r="BJ65" s="243">
        <f t="shared" si="29"/>
        <v>32838.456602944403</v>
      </c>
      <c r="BK65" s="243">
        <f t="shared" si="30"/>
        <v>33021.911667765322</v>
      </c>
      <c r="BL65" s="243">
        <f t="shared" si="31"/>
        <v>30453.540760272466</v>
      </c>
      <c r="BM65" s="243">
        <f t="shared" si="32"/>
        <v>32655.001538123488</v>
      </c>
      <c r="BN65" s="243">
        <f t="shared" si="68"/>
        <v>67531.388843840905</v>
      </c>
      <c r="BO65" s="243">
        <f t="shared" si="69"/>
        <v>67908.659172577449</v>
      </c>
      <c r="BP65" s="243">
        <f t="shared" si="70"/>
        <v>62626.874570265871</v>
      </c>
      <c r="BQ65" s="243">
        <f t="shared" si="71"/>
        <v>67154.118515104361</v>
      </c>
      <c r="BR65" s="243">
        <f t="shared" si="72"/>
        <v>32838.456602944403</v>
      </c>
      <c r="BS65" s="243">
        <f t="shared" si="73"/>
        <v>33021.911667765322</v>
      </c>
      <c r="BT65" s="243">
        <f t="shared" si="74"/>
        <v>30453.540760272466</v>
      </c>
      <c r="BU65" s="243">
        <f t="shared" si="75"/>
        <v>32655.001538123488</v>
      </c>
      <c r="BW65" s="314">
        <f>VLOOKUP($D65,'2018 Plan Data'!$A$4:$T$2000,13,FALSE)</f>
        <v>67531.388843840905</v>
      </c>
      <c r="BX65" s="314">
        <f>VLOOKUP($D65,'2018 Plan Data'!$A$4:$T$2000,14,FALSE)</f>
        <v>67908.659172577449</v>
      </c>
      <c r="BY65" s="314">
        <f>VLOOKUP($D65,'2018 Plan Data'!$A$4:$T$2000,15,FALSE)</f>
        <v>62626.874570265871</v>
      </c>
      <c r="BZ65" s="314">
        <f>VLOOKUP($D65,'2018 Plan Data'!$A$4:$T$2000,16,FALSE)</f>
        <v>67154.118515104361</v>
      </c>
      <c r="CA65" s="314">
        <f>VLOOKUP($D65,'2018 Plan Data'!$A$4:$T$2000,17,FALSE)</f>
        <v>32838.456602944403</v>
      </c>
      <c r="CB65" s="314">
        <f>VLOOKUP($D65,'2018 Plan Data'!$A$4:$T$2000,18,FALSE)</f>
        <v>33021.911667765322</v>
      </c>
      <c r="CC65" s="314">
        <f>VLOOKUP($D65,'2018 Plan Data'!$A$4:$T$2000,19,FALSE)</f>
        <v>30453.540760272466</v>
      </c>
      <c r="CD65" s="314">
        <f>VLOOKUP($D65,'2018 Plan Data'!$A$4:$T$2000,20,FALSE)</f>
        <v>32655.001538123488</v>
      </c>
      <c r="CE65" t="b">
        <f t="shared" si="41"/>
        <v>1</v>
      </c>
      <c r="CF65" t="b">
        <f t="shared" si="42"/>
        <v>1</v>
      </c>
      <c r="CG65" t="b">
        <f t="shared" si="43"/>
        <v>1</v>
      </c>
      <c r="CH65" t="b">
        <f t="shared" si="44"/>
        <v>1</v>
      </c>
      <c r="CI65" t="b">
        <f t="shared" si="45"/>
        <v>1</v>
      </c>
      <c r="CJ65" t="b">
        <f t="shared" si="46"/>
        <v>1</v>
      </c>
      <c r="CK65" t="b">
        <f t="shared" si="47"/>
        <v>1</v>
      </c>
      <c r="CL65" t="b">
        <f t="shared" si="48"/>
        <v>1</v>
      </c>
    </row>
    <row r="66" spans="1:90" ht="15" customHeight="1" x14ac:dyDescent="0.35">
      <c r="A66" s="585">
        <f t="shared" si="53"/>
        <v>558</v>
      </c>
      <c r="B66" t="str">
        <f t="shared" si="3"/>
        <v>Residential_Income Qualified</v>
      </c>
      <c r="D66">
        <v>558</v>
      </c>
      <c r="E66" t="s">
        <v>78</v>
      </c>
      <c r="F66" s="600" t="str">
        <f>VLOOKUP(G66,Sheet4!$D$6:$E$22,2,FALSE)</f>
        <v>Income Qualified</v>
      </c>
      <c r="G66" s="445" t="s">
        <v>1933</v>
      </c>
      <c r="H66" s="673" t="s">
        <v>1831</v>
      </c>
      <c r="I66" s="232"/>
      <c r="J66" s="18" t="s">
        <v>7</v>
      </c>
      <c r="K66" s="72" t="s">
        <v>767</v>
      </c>
      <c r="L66" s="18" t="s">
        <v>1718</v>
      </c>
      <c r="M66" s="600">
        <v>1</v>
      </c>
      <c r="O66" s="72" t="str">
        <f t="shared" si="54"/>
        <v>Gas</v>
      </c>
      <c r="P66" s="7">
        <f>VLOOKUP(D66,'2018 Plan Data'!$A$4:$K$1000,11,FALSE)</f>
        <v>20</v>
      </c>
      <c r="Q66" s="652">
        <f>VLOOKUP(D66,'2018 Plan Data'!$A$4:$L$1000,12,FALSE)</f>
        <v>0</v>
      </c>
      <c r="R66" s="314">
        <f t="shared" ref="R66:W66" si="93">R25</f>
        <v>0</v>
      </c>
      <c r="S66" s="314">
        <f t="shared" si="93"/>
        <v>0</v>
      </c>
      <c r="T66" s="314">
        <f t="shared" si="93"/>
        <v>0</v>
      </c>
      <c r="U66" s="314">
        <f t="shared" si="93"/>
        <v>0</v>
      </c>
      <c r="V66" s="314">
        <f t="shared" si="93"/>
        <v>149.11346153846137</v>
      </c>
      <c r="W66" s="314">
        <f t="shared" si="93"/>
        <v>0</v>
      </c>
      <c r="AD66" s="309">
        <f t="shared" si="55"/>
        <v>1</v>
      </c>
      <c r="AE66" s="309">
        <f t="shared" si="91"/>
        <v>1</v>
      </c>
      <c r="AF66" s="309">
        <f t="shared" si="91"/>
        <v>1</v>
      </c>
      <c r="AG66" s="309">
        <f t="shared" si="91"/>
        <v>1</v>
      </c>
      <c r="AH66" s="314">
        <f t="shared" si="56"/>
        <v>0</v>
      </c>
      <c r="AI66" s="314">
        <f t="shared" si="57"/>
        <v>0</v>
      </c>
      <c r="AJ66" s="314">
        <f t="shared" si="58"/>
        <v>0</v>
      </c>
      <c r="AK66" s="314">
        <f t="shared" si="59"/>
        <v>0</v>
      </c>
      <c r="AL66" s="309">
        <f t="shared" si="60"/>
        <v>1</v>
      </c>
      <c r="AM66" s="309">
        <f t="shared" si="61"/>
        <v>1</v>
      </c>
      <c r="AN66" s="309">
        <f t="shared" si="62"/>
        <v>1</v>
      </c>
      <c r="AO66" s="309">
        <f t="shared" si="63"/>
        <v>1</v>
      </c>
      <c r="AP66" s="446">
        <f t="shared" si="64"/>
        <v>0</v>
      </c>
      <c r="AQ66" s="446">
        <f t="shared" si="65"/>
        <v>0</v>
      </c>
      <c r="AR66" s="446">
        <f t="shared" si="66"/>
        <v>0</v>
      </c>
      <c r="AS66" s="446">
        <f t="shared" si="67"/>
        <v>0</v>
      </c>
      <c r="AT66" s="309">
        <f t="shared" si="82"/>
        <v>1</v>
      </c>
      <c r="AU66" s="309">
        <f t="shared" si="92"/>
        <v>1</v>
      </c>
      <c r="AV66" s="309">
        <f t="shared" si="92"/>
        <v>1</v>
      </c>
      <c r="AW66" s="309">
        <f t="shared" si="92"/>
        <v>1</v>
      </c>
      <c r="AX66" s="243">
        <f t="shared" si="84"/>
        <v>149.11346153846137</v>
      </c>
      <c r="AY66" s="243">
        <f t="shared" si="85"/>
        <v>149.11346153846137</v>
      </c>
      <c r="AZ66" s="243">
        <f t="shared" si="86"/>
        <v>149.11346153846137</v>
      </c>
      <c r="BA66" s="243">
        <f t="shared" si="87"/>
        <v>149.11346153846137</v>
      </c>
      <c r="BB66" s="243">
        <f>VLOOKUP($D66,'2018 Plan Data'!$A$4:$K$2000,6,FALSE)</f>
        <v>585.27</v>
      </c>
      <c r="BC66" s="243">
        <f>VLOOKUP($D66,'2018 Plan Data'!$A$4:$K$2000,7,FALSE)</f>
        <v>587.3175</v>
      </c>
      <c r="BD66" s="243">
        <f>VLOOKUP($D66,'2018 Plan Data'!$A$4:$K$2000,8,FALSE)</f>
        <v>541.48500000000001</v>
      </c>
      <c r="BE66" s="243">
        <f>VLOOKUP($D66,'2018 Plan Data'!$A$4:$K$2000,9,FALSE)</f>
        <v>580.84220249999998</v>
      </c>
      <c r="BF66" s="243">
        <f t="shared" si="25"/>
        <v>0</v>
      </c>
      <c r="BG66" s="243">
        <f t="shared" si="26"/>
        <v>0</v>
      </c>
      <c r="BH66" s="243">
        <f t="shared" si="27"/>
        <v>0</v>
      </c>
      <c r="BI66" s="243">
        <f t="shared" si="28"/>
        <v>0</v>
      </c>
      <c r="BJ66" s="243">
        <f t="shared" si="29"/>
        <v>87271.635634615275</v>
      </c>
      <c r="BK66" s="243">
        <f t="shared" si="30"/>
        <v>87576.945447115286</v>
      </c>
      <c r="BL66" s="243">
        <f t="shared" si="31"/>
        <v>80742.70272115375</v>
      </c>
      <c r="BM66" s="243">
        <f t="shared" si="32"/>
        <v>86611.391422398941</v>
      </c>
      <c r="BN66" s="243">
        <f t="shared" si="68"/>
        <v>0</v>
      </c>
      <c r="BO66" s="243">
        <f t="shared" si="69"/>
        <v>0</v>
      </c>
      <c r="BP66" s="243">
        <f t="shared" si="70"/>
        <v>0</v>
      </c>
      <c r="BQ66" s="243">
        <f t="shared" si="71"/>
        <v>0</v>
      </c>
      <c r="BR66" s="243">
        <f t="shared" si="72"/>
        <v>87271.635634615275</v>
      </c>
      <c r="BS66" s="243">
        <f t="shared" si="73"/>
        <v>87576.945447115286</v>
      </c>
      <c r="BT66" s="243">
        <f t="shared" si="74"/>
        <v>80742.70272115375</v>
      </c>
      <c r="BU66" s="243">
        <f t="shared" si="75"/>
        <v>86611.391422398941</v>
      </c>
      <c r="BW66" s="314">
        <f>VLOOKUP($D66,'2018 Plan Data'!$A$4:$T$2000,13,FALSE)</f>
        <v>0</v>
      </c>
      <c r="BX66" s="314">
        <f>VLOOKUP($D66,'2018 Plan Data'!$A$4:$T$2000,14,FALSE)</f>
        <v>0</v>
      </c>
      <c r="BY66" s="314">
        <f>VLOOKUP($D66,'2018 Plan Data'!$A$4:$T$2000,15,FALSE)</f>
        <v>0</v>
      </c>
      <c r="BZ66" s="314">
        <f>VLOOKUP($D66,'2018 Plan Data'!$A$4:$T$2000,16,FALSE)</f>
        <v>0</v>
      </c>
      <c r="CA66" s="314">
        <f>VLOOKUP($D66,'2018 Plan Data'!$A$4:$T$2000,17,FALSE)</f>
        <v>82476.864473684225</v>
      </c>
      <c r="CB66" s="314">
        <f>VLOOKUP($D66,'2018 Plan Data'!$A$4:$T$2000,18,FALSE)</f>
        <v>82765.400328947391</v>
      </c>
      <c r="CC66" s="314">
        <f>VLOOKUP($D66,'2018 Plan Data'!$A$4:$T$2000,19,FALSE)</f>
        <v>76306.636184210554</v>
      </c>
      <c r="CD66" s="314">
        <f>VLOOKUP($D66,'2018 Plan Data'!$A$4:$T$2000,20,FALSE)</f>
        <v>81852.894589144751</v>
      </c>
      <c r="CE66" t="b">
        <f t="shared" si="41"/>
        <v>1</v>
      </c>
      <c r="CF66" t="b">
        <f t="shared" si="42"/>
        <v>1</v>
      </c>
      <c r="CG66" t="b">
        <f t="shared" si="43"/>
        <v>1</v>
      </c>
      <c r="CH66" t="b">
        <f t="shared" si="44"/>
        <v>1</v>
      </c>
      <c r="CI66" t="b">
        <f t="shared" si="45"/>
        <v>0</v>
      </c>
      <c r="CJ66" t="b">
        <f t="shared" si="46"/>
        <v>0</v>
      </c>
      <c r="CK66" t="b">
        <f t="shared" si="47"/>
        <v>0</v>
      </c>
      <c r="CL66" t="b">
        <f t="shared" si="48"/>
        <v>0</v>
      </c>
    </row>
    <row r="67" spans="1:90" ht="15" customHeight="1" x14ac:dyDescent="0.35">
      <c r="A67" s="585">
        <f t="shared" si="53"/>
        <v>619</v>
      </c>
      <c r="B67" t="str">
        <f t="shared" si="3"/>
        <v>Residential_Income Qualified</v>
      </c>
      <c r="D67">
        <v>619</v>
      </c>
      <c r="E67" t="s">
        <v>78</v>
      </c>
      <c r="F67" s="600" t="str">
        <f>VLOOKUP(G67,Sheet4!$D$6:$E$22,2,FALSE)</f>
        <v>Income Qualified</v>
      </c>
      <c r="G67" s="445" t="s">
        <v>1933</v>
      </c>
      <c r="H67" s="673" t="s">
        <v>1836</v>
      </c>
      <c r="I67" s="232"/>
      <c r="J67" s="18" t="s">
        <v>7</v>
      </c>
      <c r="K67" s="18" t="s">
        <v>506</v>
      </c>
      <c r="L67" s="18" t="s">
        <v>1270</v>
      </c>
      <c r="M67" s="600">
        <v>1</v>
      </c>
      <c r="O67" s="72" t="str">
        <f t="shared" si="54"/>
        <v>Dual Fuel</v>
      </c>
      <c r="P67" s="7">
        <f>VLOOKUP(D67,'2018 Plan Data'!$A$4:$K$1000,11,FALSE)</f>
        <v>10</v>
      </c>
      <c r="Q67" s="652">
        <f>VLOOKUP(D67,'2018 Plan Data'!$A$4:$L$1000,12,FALSE)</f>
        <v>0</v>
      </c>
      <c r="R67" s="314">
        <f>'RES HVAC'!S20</f>
        <v>296.2912427804651</v>
      </c>
      <c r="T67" s="314">
        <f>'RES HVAC'!T20</f>
        <v>0.11213742331288343</v>
      </c>
      <c r="V67" s="314">
        <f>'RES HVAC'!O20</f>
        <v>74.045999999999992</v>
      </c>
      <c r="AD67" s="309">
        <f t="shared" si="55"/>
        <v>1</v>
      </c>
      <c r="AE67" s="309">
        <f t="shared" si="91"/>
        <v>1</v>
      </c>
      <c r="AF67" s="309">
        <f t="shared" si="91"/>
        <v>1</v>
      </c>
      <c r="AG67" s="309">
        <f t="shared" si="91"/>
        <v>1</v>
      </c>
      <c r="AH67" s="314">
        <f t="shared" si="56"/>
        <v>296.2912427804651</v>
      </c>
      <c r="AI67" s="314">
        <f t="shared" si="57"/>
        <v>296.2912427804651</v>
      </c>
      <c r="AJ67" s="314">
        <f t="shared" si="58"/>
        <v>296.2912427804651</v>
      </c>
      <c r="AK67" s="314">
        <f t="shared" si="59"/>
        <v>296.2912427804651</v>
      </c>
      <c r="AL67" s="309">
        <f t="shared" si="60"/>
        <v>1</v>
      </c>
      <c r="AM67" s="309">
        <f t="shared" si="61"/>
        <v>1</v>
      </c>
      <c r="AN67" s="309">
        <f t="shared" si="62"/>
        <v>1</v>
      </c>
      <c r="AO67" s="309">
        <f t="shared" si="63"/>
        <v>1</v>
      </c>
      <c r="AP67" s="446">
        <f t="shared" si="64"/>
        <v>0.11213742331288343</v>
      </c>
      <c r="AQ67" s="446">
        <f t="shared" si="65"/>
        <v>0.11213742331288343</v>
      </c>
      <c r="AR67" s="446">
        <f t="shared" si="66"/>
        <v>0.11213742331288343</v>
      </c>
      <c r="AS67" s="446">
        <f t="shared" si="67"/>
        <v>0.11213742331288343</v>
      </c>
      <c r="AT67" s="309">
        <f t="shared" si="82"/>
        <v>1</v>
      </c>
      <c r="AU67" s="309">
        <f t="shared" si="92"/>
        <v>1</v>
      </c>
      <c r="AV67" s="309">
        <f t="shared" si="92"/>
        <v>1</v>
      </c>
      <c r="AW67" s="309">
        <f t="shared" si="92"/>
        <v>1</v>
      </c>
      <c r="AX67" s="243">
        <f t="shared" si="84"/>
        <v>74.045999999999992</v>
      </c>
      <c r="AY67" s="243">
        <f t="shared" si="85"/>
        <v>74.045999999999992</v>
      </c>
      <c r="AZ67" s="243">
        <f t="shared" si="86"/>
        <v>74.045999999999992</v>
      </c>
      <c r="BA67" s="243">
        <f t="shared" si="87"/>
        <v>74.045999999999992</v>
      </c>
      <c r="BB67" s="243">
        <f>VLOOKUP($D67,'2018 Plan Data'!$A$4:$K$2000,6,FALSE)</f>
        <v>45</v>
      </c>
      <c r="BC67" s="243">
        <f>VLOOKUP($D67,'2018 Plan Data'!$A$4:$K$2000,7,FALSE)</f>
        <v>45</v>
      </c>
      <c r="BD67" s="243">
        <f>VLOOKUP($D67,'2018 Plan Data'!$A$4:$K$2000,8,FALSE)</f>
        <v>42</v>
      </c>
      <c r="BE67" s="243">
        <f>VLOOKUP($D67,'2018 Plan Data'!$A$4:$K$2000,9,FALSE)</f>
        <v>45</v>
      </c>
      <c r="BF67" s="243">
        <f t="shared" si="25"/>
        <v>13333.10592512093</v>
      </c>
      <c r="BG67" s="243">
        <f t="shared" si="26"/>
        <v>13333.10592512093</v>
      </c>
      <c r="BH67" s="243">
        <f t="shared" si="27"/>
        <v>12444.232196779534</v>
      </c>
      <c r="BI67" s="243">
        <f t="shared" si="28"/>
        <v>13333.10592512093</v>
      </c>
      <c r="BJ67" s="243">
        <f t="shared" si="29"/>
        <v>3332.0699999999997</v>
      </c>
      <c r="BK67" s="243">
        <f t="shared" si="30"/>
        <v>3332.0699999999997</v>
      </c>
      <c r="BL67" s="243">
        <f t="shared" si="31"/>
        <v>3109.9319999999998</v>
      </c>
      <c r="BM67" s="243">
        <f t="shared" si="32"/>
        <v>3332.0699999999997</v>
      </c>
      <c r="BN67" s="243">
        <f t="shared" si="68"/>
        <v>13333.10592512093</v>
      </c>
      <c r="BO67" s="243">
        <f t="shared" si="69"/>
        <v>13333.10592512093</v>
      </c>
      <c r="BP67" s="243">
        <f t="shared" si="70"/>
        <v>12444.232196779534</v>
      </c>
      <c r="BQ67" s="243">
        <f t="shared" si="71"/>
        <v>13333.10592512093</v>
      </c>
      <c r="BR67" s="243">
        <f t="shared" si="72"/>
        <v>3332.0699999999997</v>
      </c>
      <c r="BS67" s="243">
        <f t="shared" si="73"/>
        <v>3332.0699999999997</v>
      </c>
      <c r="BT67" s="243">
        <f t="shared" si="74"/>
        <v>3109.9319999999998</v>
      </c>
      <c r="BU67" s="243">
        <f t="shared" si="75"/>
        <v>3332.0699999999997</v>
      </c>
      <c r="BW67" s="314">
        <f>VLOOKUP($D67,'2018 Plan Data'!$A$4:$T$2000,13,FALSE)</f>
        <v>12905.351826320932</v>
      </c>
      <c r="BX67" s="314">
        <f>VLOOKUP($D67,'2018 Plan Data'!$A$4:$T$2000,14,FALSE)</f>
        <v>12905.351826320932</v>
      </c>
      <c r="BY67" s="314">
        <f>VLOOKUP($D67,'2018 Plan Data'!$A$4:$T$2000,15,FALSE)</f>
        <v>12044.995037899536</v>
      </c>
      <c r="BZ67" s="314">
        <f>VLOOKUP($D67,'2018 Plan Data'!$A$4:$T$2000,16,FALSE)</f>
        <v>12905.351826320932</v>
      </c>
      <c r="CA67" s="314">
        <f>VLOOKUP($D67,'2018 Plan Data'!$A$4:$T$2000,17,FALSE)</f>
        <v>2867.13</v>
      </c>
      <c r="CB67" s="314">
        <f>VLOOKUP($D67,'2018 Plan Data'!$A$4:$T$2000,18,FALSE)</f>
        <v>2867.13</v>
      </c>
      <c r="CC67" s="314">
        <f>VLOOKUP($D67,'2018 Plan Data'!$A$4:$T$2000,19,FALSE)</f>
        <v>2675.9879999999998</v>
      </c>
      <c r="CD67" s="314">
        <f>VLOOKUP($D67,'2018 Plan Data'!$A$4:$T$2000,20,FALSE)</f>
        <v>2867.13</v>
      </c>
      <c r="CE67" t="b">
        <f t="shared" si="41"/>
        <v>0</v>
      </c>
      <c r="CF67" t="b">
        <f t="shared" si="42"/>
        <v>0</v>
      </c>
      <c r="CG67" t="b">
        <f t="shared" si="43"/>
        <v>0</v>
      </c>
      <c r="CH67" t="b">
        <f t="shared" si="44"/>
        <v>0</v>
      </c>
      <c r="CI67" t="b">
        <f t="shared" si="45"/>
        <v>0</v>
      </c>
      <c r="CJ67" t="b">
        <f t="shared" si="46"/>
        <v>0</v>
      </c>
      <c r="CK67" t="b">
        <f t="shared" si="47"/>
        <v>0</v>
      </c>
      <c r="CL67" t="b">
        <f t="shared" si="48"/>
        <v>0</v>
      </c>
    </row>
    <row r="68" spans="1:90" ht="15" customHeight="1" x14ac:dyDescent="0.35">
      <c r="A68" s="585">
        <f t="shared" ref="A68:A99" si="94">D68</f>
        <v>620</v>
      </c>
      <c r="B68" t="str">
        <f t="shared" si="3"/>
        <v>Residential_Income Qualified</v>
      </c>
      <c r="D68">
        <v>620</v>
      </c>
      <c r="E68" t="s">
        <v>78</v>
      </c>
      <c r="F68" s="600" t="str">
        <f>VLOOKUP(G68,Sheet4!$D$6:$E$22,2,FALSE)</f>
        <v>Income Qualified</v>
      </c>
      <c r="G68" s="445" t="s">
        <v>1933</v>
      </c>
      <c r="H68" s="673" t="s">
        <v>1837</v>
      </c>
      <c r="I68" s="232"/>
      <c r="J68" s="18" t="s">
        <v>7</v>
      </c>
      <c r="K68" s="18" t="s">
        <v>506</v>
      </c>
      <c r="L68" s="18" t="s">
        <v>1270</v>
      </c>
      <c r="M68" s="600">
        <v>1</v>
      </c>
      <c r="O68" s="72" t="str">
        <f t="shared" si="54"/>
        <v>Dual Fuel</v>
      </c>
      <c r="P68" s="7">
        <f>VLOOKUP(D68,'2018 Plan Data'!$A$4:$K$1000,11,FALSE)</f>
        <v>10</v>
      </c>
      <c r="Q68" s="652">
        <f>VLOOKUP(D68,'2018 Plan Data'!$A$4:$L$1000,12,FALSE)</f>
        <v>0</v>
      </c>
      <c r="R68" s="314">
        <f>'RES HVAC'!S21</f>
        <v>296.2912427804651</v>
      </c>
      <c r="T68" s="314">
        <f>'RES HVAC'!T21</f>
        <v>0.11213742331288343</v>
      </c>
      <c r="V68" s="314">
        <f>'RES HVAC'!O21</f>
        <v>74.045999999999992</v>
      </c>
      <c r="AD68" s="309">
        <f t="shared" si="55"/>
        <v>1</v>
      </c>
      <c r="AE68" s="309">
        <f t="shared" si="91"/>
        <v>1</v>
      </c>
      <c r="AF68" s="309">
        <f t="shared" si="91"/>
        <v>1</v>
      </c>
      <c r="AG68" s="309">
        <f t="shared" si="91"/>
        <v>1</v>
      </c>
      <c r="AH68" s="314">
        <f t="shared" si="56"/>
        <v>296.2912427804651</v>
      </c>
      <c r="AI68" s="314">
        <f t="shared" si="57"/>
        <v>296.2912427804651</v>
      </c>
      <c r="AJ68" s="314">
        <f t="shared" si="58"/>
        <v>296.2912427804651</v>
      </c>
      <c r="AK68" s="314">
        <f t="shared" si="59"/>
        <v>296.2912427804651</v>
      </c>
      <c r="AL68" s="309">
        <f t="shared" si="60"/>
        <v>1</v>
      </c>
      <c r="AM68" s="309">
        <f t="shared" si="61"/>
        <v>1</v>
      </c>
      <c r="AN68" s="309">
        <f t="shared" si="62"/>
        <v>1</v>
      </c>
      <c r="AO68" s="309">
        <f t="shared" si="63"/>
        <v>1</v>
      </c>
      <c r="AP68" s="446">
        <f t="shared" si="64"/>
        <v>0.11213742331288343</v>
      </c>
      <c r="AQ68" s="446">
        <f t="shared" si="65"/>
        <v>0.11213742331288343</v>
      </c>
      <c r="AR68" s="446">
        <f t="shared" si="66"/>
        <v>0.11213742331288343</v>
      </c>
      <c r="AS68" s="446">
        <f t="shared" si="67"/>
        <v>0.11213742331288343</v>
      </c>
      <c r="AT68" s="309">
        <f t="shared" si="82"/>
        <v>1</v>
      </c>
      <c r="AU68" s="309">
        <f t="shared" si="92"/>
        <v>1</v>
      </c>
      <c r="AV68" s="309">
        <f t="shared" si="92"/>
        <v>1</v>
      </c>
      <c r="AW68" s="309">
        <f t="shared" si="92"/>
        <v>1</v>
      </c>
      <c r="AX68" s="243">
        <f t="shared" si="84"/>
        <v>74.045999999999992</v>
      </c>
      <c r="AY68" s="243">
        <f t="shared" si="85"/>
        <v>74.045999999999992</v>
      </c>
      <c r="AZ68" s="243">
        <f t="shared" si="86"/>
        <v>74.045999999999992</v>
      </c>
      <c r="BA68" s="243">
        <f t="shared" si="87"/>
        <v>74.045999999999992</v>
      </c>
      <c r="BB68" s="243">
        <f>VLOOKUP($D68,'2018 Plan Data'!$A$4:$K$2000,6,FALSE)</f>
        <v>45</v>
      </c>
      <c r="BC68" s="243">
        <f>VLOOKUP($D68,'2018 Plan Data'!$A$4:$K$2000,7,FALSE)</f>
        <v>45</v>
      </c>
      <c r="BD68" s="243">
        <f>VLOOKUP($D68,'2018 Plan Data'!$A$4:$K$2000,8,FALSE)</f>
        <v>42</v>
      </c>
      <c r="BE68" s="243">
        <f>VLOOKUP($D68,'2018 Plan Data'!$A$4:$K$2000,9,FALSE)</f>
        <v>45</v>
      </c>
      <c r="BF68" s="243">
        <f t="shared" si="25"/>
        <v>13333.10592512093</v>
      </c>
      <c r="BG68" s="243">
        <f t="shared" si="26"/>
        <v>13333.10592512093</v>
      </c>
      <c r="BH68" s="243">
        <f t="shared" si="27"/>
        <v>12444.232196779534</v>
      </c>
      <c r="BI68" s="243">
        <f t="shared" si="28"/>
        <v>13333.10592512093</v>
      </c>
      <c r="BJ68" s="243">
        <f t="shared" si="29"/>
        <v>3332.0699999999997</v>
      </c>
      <c r="BK68" s="243">
        <f t="shared" si="30"/>
        <v>3332.0699999999997</v>
      </c>
      <c r="BL68" s="243">
        <f t="shared" si="31"/>
        <v>3109.9319999999998</v>
      </c>
      <c r="BM68" s="243">
        <f t="shared" si="32"/>
        <v>3332.0699999999997</v>
      </c>
      <c r="BN68" s="243">
        <f t="shared" si="68"/>
        <v>13333.10592512093</v>
      </c>
      <c r="BO68" s="243">
        <f t="shared" si="69"/>
        <v>13333.10592512093</v>
      </c>
      <c r="BP68" s="243">
        <f t="shared" si="70"/>
        <v>12444.232196779534</v>
      </c>
      <c r="BQ68" s="243">
        <f t="shared" si="71"/>
        <v>13333.10592512093</v>
      </c>
      <c r="BR68" s="243">
        <f t="shared" si="72"/>
        <v>3332.0699999999997</v>
      </c>
      <c r="BS68" s="243">
        <f t="shared" si="73"/>
        <v>3332.0699999999997</v>
      </c>
      <c r="BT68" s="243">
        <f t="shared" si="74"/>
        <v>3109.9319999999998</v>
      </c>
      <c r="BU68" s="243">
        <f t="shared" si="75"/>
        <v>3332.0699999999997</v>
      </c>
      <c r="BW68" s="314">
        <f>VLOOKUP($D68,'2018 Plan Data'!$A$4:$T$2000,13,FALSE)</f>
        <v>12905.351826320932</v>
      </c>
      <c r="BX68" s="314">
        <f>VLOOKUP($D68,'2018 Plan Data'!$A$4:$T$2000,14,FALSE)</f>
        <v>12905.351826320932</v>
      </c>
      <c r="BY68" s="314">
        <f>VLOOKUP($D68,'2018 Plan Data'!$A$4:$T$2000,15,FALSE)</f>
        <v>12044.995037899536</v>
      </c>
      <c r="BZ68" s="314">
        <f>VLOOKUP($D68,'2018 Plan Data'!$A$4:$T$2000,16,FALSE)</f>
        <v>12905.351826320932</v>
      </c>
      <c r="CA68" s="314">
        <f>VLOOKUP($D68,'2018 Plan Data'!$A$4:$T$2000,17,FALSE)</f>
        <v>2867.13</v>
      </c>
      <c r="CB68" s="314">
        <f>VLOOKUP($D68,'2018 Plan Data'!$A$4:$T$2000,18,FALSE)</f>
        <v>2867.13</v>
      </c>
      <c r="CC68" s="314">
        <f>VLOOKUP($D68,'2018 Plan Data'!$A$4:$T$2000,19,FALSE)</f>
        <v>2675.9879999999998</v>
      </c>
      <c r="CD68" s="314">
        <f>VLOOKUP($D68,'2018 Plan Data'!$A$4:$T$2000,20,FALSE)</f>
        <v>2867.13</v>
      </c>
      <c r="CE68" t="b">
        <f t="shared" si="41"/>
        <v>0</v>
      </c>
      <c r="CF68" t="b">
        <f t="shared" si="42"/>
        <v>0</v>
      </c>
      <c r="CG68" t="b">
        <f t="shared" si="43"/>
        <v>0</v>
      </c>
      <c r="CH68" t="b">
        <f t="shared" si="44"/>
        <v>0</v>
      </c>
      <c r="CI68" t="b">
        <f t="shared" si="45"/>
        <v>0</v>
      </c>
      <c r="CJ68" t="b">
        <f t="shared" si="46"/>
        <v>0</v>
      </c>
      <c r="CK68" t="b">
        <f t="shared" si="47"/>
        <v>0</v>
      </c>
      <c r="CL68" t="b">
        <f t="shared" si="48"/>
        <v>0</v>
      </c>
    </row>
    <row r="69" spans="1:90" ht="15" customHeight="1" x14ac:dyDescent="0.35">
      <c r="A69" s="585">
        <f t="shared" si="94"/>
        <v>591</v>
      </c>
      <c r="B69" t="str">
        <f t="shared" ref="B69:B132" si="95">E69&amp;"_"&amp;G69</f>
        <v>Residential_Income Qualified</v>
      </c>
      <c r="D69">
        <v>591</v>
      </c>
      <c r="E69" t="s">
        <v>78</v>
      </c>
      <c r="F69" s="600" t="str">
        <f>VLOOKUP(G69,Sheet4!$D$6:$E$22,2,FALSE)</f>
        <v>Income Qualified</v>
      </c>
      <c r="G69" s="445" t="s">
        <v>1933</v>
      </c>
      <c r="H69" s="673" t="s">
        <v>1839</v>
      </c>
      <c r="I69" s="232"/>
      <c r="J69" s="18" t="s">
        <v>7</v>
      </c>
      <c r="K69" s="18" t="s">
        <v>363</v>
      </c>
      <c r="L69" s="18" t="s">
        <v>1715</v>
      </c>
      <c r="M69" s="600">
        <v>1</v>
      </c>
      <c r="O69" s="72" t="str">
        <f t="shared" ref="O69:O98" si="96">IF(AND(R69&gt;0,V69&gt;0),"Dual Fuel",IF(AND(V69&gt;0,R69&lt;=0),"Gas","Electric"))</f>
        <v>Dual Fuel</v>
      </c>
      <c r="P69" s="7">
        <f>VLOOKUP(D69,'2018 Plan Data'!$A$4:$K$1000,11,FALSE)</f>
        <v>20</v>
      </c>
      <c r="Q69" s="652">
        <f>VLOOKUP(D69,'2018 Plan Data'!$A$4:$L$1000,12,FALSE)</f>
        <v>0</v>
      </c>
      <c r="R69" s="314">
        <f>R28</f>
        <v>168.78232873654139</v>
      </c>
      <c r="S69" s="314">
        <f>S28</f>
        <v>0</v>
      </c>
      <c r="T69" s="314">
        <f>T28</f>
        <v>0</v>
      </c>
      <c r="U69" s="314">
        <f>U28</f>
        <v>0</v>
      </c>
      <c r="V69" s="314">
        <f>V28</f>
        <v>183.45506482091847</v>
      </c>
      <c r="AD69" s="309">
        <f t="shared" ref="AD69:AD98" si="97">1-X69+Y69+Z69</f>
        <v>1</v>
      </c>
      <c r="AE69" s="309">
        <f t="shared" si="91"/>
        <v>1</v>
      </c>
      <c r="AF69" s="309">
        <f t="shared" si="91"/>
        <v>1</v>
      </c>
      <c r="AG69" s="309">
        <f t="shared" si="91"/>
        <v>1</v>
      </c>
      <c r="AH69" s="314">
        <f t="shared" ref="AH69:AH100" si="98">IF($Q69&gt;0,$S69*AD69,$R69*AD69)</f>
        <v>168.78232873654139</v>
      </c>
      <c r="AI69" s="314">
        <f t="shared" ref="AI69:AI100" si="99">IF($Q69&gt;0,$S69*AE69,$R69*AE69)</f>
        <v>168.78232873654139</v>
      </c>
      <c r="AJ69" s="314">
        <f t="shared" ref="AJ69:AJ100" si="100">IF($Q69&gt;0,$S69*AF69,$R69*AF69)</f>
        <v>168.78232873654139</v>
      </c>
      <c r="AK69" s="314">
        <f t="shared" ref="AK69:AK100" si="101">IF($Q69&gt;0,$S69*AG69,$R69*AG69)</f>
        <v>168.78232873654139</v>
      </c>
      <c r="AL69" s="309">
        <f t="shared" ref="AL69:AL98" si="102">AD69</f>
        <v>1</v>
      </c>
      <c r="AM69" s="309">
        <f t="shared" ref="AM69:AM98" si="103">AE69</f>
        <v>1</v>
      </c>
      <c r="AN69" s="309">
        <f t="shared" ref="AN69:AN98" si="104">AF69</f>
        <v>1</v>
      </c>
      <c r="AO69" s="309">
        <f t="shared" ref="AO69:AO98" si="105">AG69</f>
        <v>1</v>
      </c>
      <c r="AP69" s="446">
        <f t="shared" ref="AP69:AP100" si="106">$T69*AL69</f>
        <v>0</v>
      </c>
      <c r="AQ69" s="446">
        <f t="shared" ref="AQ69:AQ100" si="107">$T69*AM69</f>
        <v>0</v>
      </c>
      <c r="AR69" s="446">
        <f t="shared" ref="AR69:AR100" si="108">$T69*AN69</f>
        <v>0</v>
      </c>
      <c r="AS69" s="446">
        <f t="shared" ref="AS69:AS100" si="109">$T69*AO69</f>
        <v>0</v>
      </c>
      <c r="AT69" s="309">
        <f t="shared" si="82"/>
        <v>1</v>
      </c>
      <c r="AU69" s="309">
        <f t="shared" si="92"/>
        <v>1</v>
      </c>
      <c r="AV69" s="309">
        <f t="shared" si="92"/>
        <v>1</v>
      </c>
      <c r="AW69" s="309">
        <f t="shared" si="92"/>
        <v>1</v>
      </c>
      <c r="AX69" s="243">
        <f t="shared" si="84"/>
        <v>183.45506482091847</v>
      </c>
      <c r="AY69" s="243">
        <f t="shared" si="85"/>
        <v>183.45506482091847</v>
      </c>
      <c r="AZ69" s="243">
        <f t="shared" si="86"/>
        <v>183.45506482091847</v>
      </c>
      <c r="BA69" s="243">
        <f t="shared" si="87"/>
        <v>183.45506482091847</v>
      </c>
      <c r="BB69" s="243">
        <f>VLOOKUP($D69,'2018 Plan Data'!$A$4:$K$2000,6,FALSE)</f>
        <v>16</v>
      </c>
      <c r="BC69" s="243">
        <f>VLOOKUP($D69,'2018 Plan Data'!$A$4:$K$2000,7,FALSE)</f>
        <v>16</v>
      </c>
      <c r="BD69" s="243">
        <f>VLOOKUP($D69,'2018 Plan Data'!$A$4:$K$2000,8,FALSE)</f>
        <v>15</v>
      </c>
      <c r="BE69" s="243">
        <f>VLOOKUP($D69,'2018 Plan Data'!$A$4:$K$2000,9,FALSE)</f>
        <v>16</v>
      </c>
      <c r="BF69" s="243">
        <f t="shared" ref="BF69:BF132" si="110">BB69*$R69</f>
        <v>2700.5172597846622</v>
      </c>
      <c r="BG69" s="243">
        <f t="shared" ref="BG69:BG132" si="111">BC69*$R69</f>
        <v>2700.5172597846622</v>
      </c>
      <c r="BH69" s="243">
        <f t="shared" ref="BH69:BH132" si="112">BD69*$R69</f>
        <v>2531.7349310481209</v>
      </c>
      <c r="BI69" s="243">
        <f t="shared" ref="BI69:BI132" si="113">BE69*$R69</f>
        <v>2700.5172597846622</v>
      </c>
      <c r="BJ69" s="243">
        <f t="shared" ref="BJ69:BJ132" si="114">BB69*$V69</f>
        <v>2935.2810371346955</v>
      </c>
      <c r="BK69" s="243">
        <f t="shared" ref="BK69:BK132" si="115">BC69*$V69</f>
        <v>2935.2810371346955</v>
      </c>
      <c r="BL69" s="243">
        <f t="shared" ref="BL69:BL132" si="116">BD69*$V69</f>
        <v>2751.8259723137771</v>
      </c>
      <c r="BM69" s="243">
        <f t="shared" ref="BM69:BM132" si="117">BE69*$V69</f>
        <v>2935.2810371346955</v>
      </c>
      <c r="BN69" s="243">
        <f t="shared" ref="BN69:BN100" si="118">AH69*BB69</f>
        <v>2700.5172597846622</v>
      </c>
      <c r="BO69" s="243">
        <f t="shared" ref="BO69:BO100" si="119">AI69*BC69</f>
        <v>2700.5172597846622</v>
      </c>
      <c r="BP69" s="243">
        <f t="shared" ref="BP69:BP100" si="120">AJ69*BD69</f>
        <v>2531.7349310481209</v>
      </c>
      <c r="BQ69" s="243">
        <f t="shared" ref="BQ69:BQ100" si="121">AK69*BE69</f>
        <v>2700.5172597846622</v>
      </c>
      <c r="BR69" s="243">
        <f t="shared" ref="BR69:BR100" si="122">AX69*BB69</f>
        <v>2935.2810371346955</v>
      </c>
      <c r="BS69" s="243">
        <f t="shared" ref="BS69:BS100" si="123">AY69*BC69</f>
        <v>2935.2810371346955</v>
      </c>
      <c r="BT69" s="243">
        <f t="shared" ref="BT69:BT100" si="124">AZ69*BD69</f>
        <v>2751.8259723137771</v>
      </c>
      <c r="BU69" s="243">
        <f t="shared" ref="BU69:BU100" si="125">BA69*BE69</f>
        <v>2935.2810371346955</v>
      </c>
      <c r="BW69" s="314">
        <f>VLOOKUP($D69,'2018 Plan Data'!$A$4:$T$2000,13,FALSE)</f>
        <v>2700.5172597846622</v>
      </c>
      <c r="BX69" s="314">
        <f>VLOOKUP($D69,'2018 Plan Data'!$A$4:$T$2000,14,FALSE)</f>
        <v>2700.5172597846622</v>
      </c>
      <c r="BY69" s="314">
        <f>VLOOKUP($D69,'2018 Plan Data'!$A$4:$T$2000,15,FALSE)</f>
        <v>2531.7349310481209</v>
      </c>
      <c r="BZ69" s="314">
        <f>VLOOKUP($D69,'2018 Plan Data'!$A$4:$T$2000,16,FALSE)</f>
        <v>2700.5172597846622</v>
      </c>
      <c r="CA69" s="314">
        <f>VLOOKUP($D69,'2018 Plan Data'!$A$4:$T$2000,17,FALSE)</f>
        <v>2935.2810371346955</v>
      </c>
      <c r="CB69" s="314">
        <f>VLOOKUP($D69,'2018 Plan Data'!$A$4:$T$2000,18,FALSE)</f>
        <v>2935.2810371346955</v>
      </c>
      <c r="CC69" s="314">
        <f>VLOOKUP($D69,'2018 Plan Data'!$A$4:$T$2000,19,FALSE)</f>
        <v>2751.8259723137771</v>
      </c>
      <c r="CD69" s="314">
        <f>VLOOKUP($D69,'2018 Plan Data'!$A$4:$T$2000,20,FALSE)</f>
        <v>2935.2810371346955</v>
      </c>
      <c r="CE69" t="b">
        <f t="shared" ref="CE69:CE132" si="126">IF(BW69=BN69,TRUE,FALSE)</f>
        <v>1</v>
      </c>
      <c r="CF69" t="b">
        <f t="shared" ref="CF69:CF132" si="127">IF(BX69=BO69,TRUE,FALSE)</f>
        <v>1</v>
      </c>
      <c r="CG69" t="b">
        <f t="shared" ref="CG69:CG132" si="128">IF(BY69=BP69,TRUE,FALSE)</f>
        <v>1</v>
      </c>
      <c r="CH69" t="b">
        <f t="shared" ref="CH69:CH132" si="129">IF(BZ69=BQ69,TRUE,FALSE)</f>
        <v>1</v>
      </c>
      <c r="CI69" t="b">
        <f t="shared" ref="CI69:CI132" si="130">IF(CA69=BR69,TRUE,FALSE)</f>
        <v>1</v>
      </c>
      <c r="CJ69" t="b">
        <f t="shared" ref="CJ69:CJ132" si="131">IF(CB69=BS69,TRUE,FALSE)</f>
        <v>1</v>
      </c>
      <c r="CK69" t="b">
        <f t="shared" ref="CK69:CK132" si="132">IF(CC69=BT69,TRUE,FALSE)</f>
        <v>1</v>
      </c>
      <c r="CL69" t="b">
        <f t="shared" ref="CL69:CL132" si="133">IF(CD69=BU69,TRUE,FALSE)</f>
        <v>1</v>
      </c>
    </row>
    <row r="70" spans="1:90" ht="15" customHeight="1" x14ac:dyDescent="0.35">
      <c r="A70" s="585">
        <f t="shared" si="94"/>
        <v>593</v>
      </c>
      <c r="B70" t="str">
        <f t="shared" si="95"/>
        <v>Residential_Income Qualified</v>
      </c>
      <c r="D70">
        <v>593</v>
      </c>
      <c r="E70" t="s">
        <v>78</v>
      </c>
      <c r="F70" s="600" t="str">
        <f>VLOOKUP(G70,Sheet4!$D$6:$E$22,2,FALSE)</f>
        <v>Income Qualified</v>
      </c>
      <c r="G70" s="445" t="s">
        <v>1933</v>
      </c>
      <c r="H70" s="673" t="s">
        <v>1770</v>
      </c>
      <c r="I70" s="232"/>
      <c r="J70" s="18" t="s">
        <v>7</v>
      </c>
      <c r="K70" s="18" t="s">
        <v>363</v>
      </c>
      <c r="L70" s="18" t="s">
        <v>1715</v>
      </c>
      <c r="M70" s="600">
        <v>1</v>
      </c>
      <c r="O70" s="72" t="str">
        <f t="shared" si="96"/>
        <v>Dual Fuel</v>
      </c>
      <c r="P70" s="7">
        <f>VLOOKUP(D70,'2018 Plan Data'!$A$4:$K$1000,11,FALSE)</f>
        <v>20</v>
      </c>
      <c r="Q70" s="652">
        <f>VLOOKUP(D70,'2018 Plan Data'!$A$4:$L$1000,12,FALSE)</f>
        <v>0</v>
      </c>
      <c r="R70" s="314">
        <f>'RES Shell'!Q36</f>
        <v>358.13512873654139</v>
      </c>
      <c r="S70" s="314">
        <f t="shared" ref="S70:V76" si="134">S29</f>
        <v>0</v>
      </c>
      <c r="T70" s="314">
        <f t="shared" si="134"/>
        <v>0.19420800000000002</v>
      </c>
      <c r="U70" s="314">
        <f t="shared" si="134"/>
        <v>0</v>
      </c>
      <c r="V70" s="314">
        <f t="shared" si="134"/>
        <v>183.45506482091847</v>
      </c>
      <c r="AD70" s="309">
        <f t="shared" si="97"/>
        <v>1</v>
      </c>
      <c r="AE70" s="309">
        <f t="shared" si="91"/>
        <v>1</v>
      </c>
      <c r="AF70" s="309">
        <f t="shared" si="91"/>
        <v>1</v>
      </c>
      <c r="AG70" s="309">
        <f t="shared" si="91"/>
        <v>1</v>
      </c>
      <c r="AH70" s="314">
        <f t="shared" si="98"/>
        <v>358.13512873654139</v>
      </c>
      <c r="AI70" s="314">
        <f t="shared" si="99"/>
        <v>358.13512873654139</v>
      </c>
      <c r="AJ70" s="314">
        <f t="shared" si="100"/>
        <v>358.13512873654139</v>
      </c>
      <c r="AK70" s="314">
        <f t="shared" si="101"/>
        <v>358.13512873654139</v>
      </c>
      <c r="AL70" s="309">
        <f t="shared" si="102"/>
        <v>1</v>
      </c>
      <c r="AM70" s="309">
        <f t="shared" si="103"/>
        <v>1</v>
      </c>
      <c r="AN70" s="309">
        <f t="shared" si="104"/>
        <v>1</v>
      </c>
      <c r="AO70" s="309">
        <f t="shared" si="105"/>
        <v>1</v>
      </c>
      <c r="AP70" s="446">
        <f t="shared" si="106"/>
        <v>0.19420800000000002</v>
      </c>
      <c r="AQ70" s="446">
        <f t="shared" si="107"/>
        <v>0.19420800000000002</v>
      </c>
      <c r="AR70" s="446">
        <f t="shared" si="108"/>
        <v>0.19420800000000002</v>
      </c>
      <c r="AS70" s="446">
        <f t="shared" si="109"/>
        <v>0.19420800000000002</v>
      </c>
      <c r="AT70" s="309">
        <f t="shared" si="82"/>
        <v>1</v>
      </c>
      <c r="AU70" s="309">
        <f t="shared" si="92"/>
        <v>1</v>
      </c>
      <c r="AV70" s="309">
        <f t="shared" si="92"/>
        <v>1</v>
      </c>
      <c r="AW70" s="309">
        <f t="shared" si="92"/>
        <v>1</v>
      </c>
      <c r="AX70" s="243">
        <f t="shared" si="84"/>
        <v>183.45506482091847</v>
      </c>
      <c r="AY70" s="243">
        <f t="shared" si="85"/>
        <v>183.45506482091847</v>
      </c>
      <c r="AZ70" s="243">
        <f t="shared" si="86"/>
        <v>183.45506482091847</v>
      </c>
      <c r="BA70" s="243">
        <f t="shared" si="87"/>
        <v>183.45506482091847</v>
      </c>
      <c r="BB70" s="243">
        <f>VLOOKUP($D70,'2018 Plan Data'!$A$4:$K$2000,6,FALSE)</f>
        <v>65</v>
      </c>
      <c r="BC70" s="243">
        <f>VLOOKUP($D70,'2018 Plan Data'!$A$4:$K$2000,7,FALSE)</f>
        <v>65</v>
      </c>
      <c r="BD70" s="243">
        <f>VLOOKUP($D70,'2018 Plan Data'!$A$4:$K$2000,8,FALSE)</f>
        <v>60</v>
      </c>
      <c r="BE70" s="243">
        <f>VLOOKUP($D70,'2018 Plan Data'!$A$4:$K$2000,9,FALSE)</f>
        <v>64</v>
      </c>
      <c r="BF70" s="243">
        <f t="shared" si="110"/>
        <v>23278.783367875189</v>
      </c>
      <c r="BG70" s="243">
        <f t="shared" si="111"/>
        <v>23278.783367875189</v>
      </c>
      <c r="BH70" s="243">
        <f t="shared" si="112"/>
        <v>21488.107724192483</v>
      </c>
      <c r="BI70" s="243">
        <f t="shared" si="113"/>
        <v>22920.648239138649</v>
      </c>
      <c r="BJ70" s="243">
        <f t="shared" si="114"/>
        <v>11924.579213359701</v>
      </c>
      <c r="BK70" s="243">
        <f t="shared" si="115"/>
        <v>11924.579213359701</v>
      </c>
      <c r="BL70" s="243">
        <f t="shared" si="116"/>
        <v>11007.303889255109</v>
      </c>
      <c r="BM70" s="243">
        <f t="shared" si="117"/>
        <v>11741.124148538782</v>
      </c>
      <c r="BN70" s="243">
        <f t="shared" si="118"/>
        <v>23278.783367875189</v>
      </c>
      <c r="BO70" s="243">
        <f t="shared" si="119"/>
        <v>23278.783367875189</v>
      </c>
      <c r="BP70" s="243">
        <f t="shared" si="120"/>
        <v>21488.107724192483</v>
      </c>
      <c r="BQ70" s="243">
        <f t="shared" si="121"/>
        <v>22920.648239138649</v>
      </c>
      <c r="BR70" s="243">
        <f t="shared" si="122"/>
        <v>11924.579213359701</v>
      </c>
      <c r="BS70" s="243">
        <f t="shared" si="123"/>
        <v>11924.579213359701</v>
      </c>
      <c r="BT70" s="243">
        <f t="shared" si="124"/>
        <v>11007.303889255109</v>
      </c>
      <c r="BU70" s="243">
        <f t="shared" si="125"/>
        <v>11741.124148538782</v>
      </c>
      <c r="BW70" s="314">
        <f>VLOOKUP($D70,'2018 Plan Data'!$A$4:$T$2000,13,FALSE)</f>
        <v>23278.783367875189</v>
      </c>
      <c r="BX70" s="314">
        <f>VLOOKUP($D70,'2018 Plan Data'!$A$4:$T$2000,14,FALSE)</f>
        <v>23278.783367875189</v>
      </c>
      <c r="BY70" s="314">
        <f>VLOOKUP($D70,'2018 Plan Data'!$A$4:$T$2000,15,FALSE)</f>
        <v>21488.107724192483</v>
      </c>
      <c r="BZ70" s="314">
        <f>VLOOKUP($D70,'2018 Plan Data'!$A$4:$T$2000,16,FALSE)</f>
        <v>22920.648239138649</v>
      </c>
      <c r="CA70" s="314">
        <f>VLOOKUP($D70,'2018 Plan Data'!$A$4:$T$2000,17,FALSE)</f>
        <v>11924.579213359701</v>
      </c>
      <c r="CB70" s="314">
        <f>VLOOKUP($D70,'2018 Plan Data'!$A$4:$T$2000,18,FALSE)</f>
        <v>11924.579213359701</v>
      </c>
      <c r="CC70" s="314">
        <f>VLOOKUP($D70,'2018 Plan Data'!$A$4:$T$2000,19,FALSE)</f>
        <v>11007.303889255109</v>
      </c>
      <c r="CD70" s="314">
        <f>VLOOKUP($D70,'2018 Plan Data'!$A$4:$T$2000,20,FALSE)</f>
        <v>11741.124148538782</v>
      </c>
      <c r="CE70" t="b">
        <f t="shared" si="126"/>
        <v>1</v>
      </c>
      <c r="CF70" t="b">
        <f t="shared" si="127"/>
        <v>1</v>
      </c>
      <c r="CG70" t="b">
        <f t="shared" si="128"/>
        <v>1</v>
      </c>
      <c r="CH70" t="b">
        <f t="shared" si="129"/>
        <v>1</v>
      </c>
      <c r="CI70" t="b">
        <f t="shared" si="130"/>
        <v>1</v>
      </c>
      <c r="CJ70" t="b">
        <f t="shared" si="131"/>
        <v>1</v>
      </c>
      <c r="CK70" t="b">
        <f t="shared" si="132"/>
        <v>1</v>
      </c>
      <c r="CL70" t="b">
        <f t="shared" si="133"/>
        <v>1</v>
      </c>
    </row>
    <row r="71" spans="1:90" ht="15" customHeight="1" x14ac:dyDescent="0.35">
      <c r="A71" s="585">
        <f t="shared" si="94"/>
        <v>561</v>
      </c>
      <c r="B71" t="str">
        <f t="shared" si="95"/>
        <v>Residential_Income Qualified</v>
      </c>
      <c r="D71">
        <v>561</v>
      </c>
      <c r="E71" t="s">
        <v>78</v>
      </c>
      <c r="F71" s="600" t="str">
        <f>VLOOKUP(G71,Sheet4!$D$6:$E$22,2,FALSE)</f>
        <v>Income Qualified</v>
      </c>
      <c r="G71" s="445" t="s">
        <v>1933</v>
      </c>
      <c r="H71" s="673" t="s">
        <v>1840</v>
      </c>
      <c r="I71" s="232"/>
      <c r="J71" s="18" t="s">
        <v>7</v>
      </c>
      <c r="K71" s="18" t="s">
        <v>710</v>
      </c>
      <c r="L71" s="18" t="s">
        <v>1730</v>
      </c>
      <c r="M71" s="600">
        <v>1</v>
      </c>
      <c r="O71" s="72" t="str">
        <f t="shared" si="96"/>
        <v>Dual Fuel</v>
      </c>
      <c r="P71" s="7">
        <f>VLOOKUP(D71,'2018 Plan Data'!$A$4:$K$1000,11,FALSE)</f>
        <v>15</v>
      </c>
      <c r="Q71" s="652">
        <f>VLOOKUP(D71,'2018 Plan Data'!$A$4:$L$1000,12,FALSE)</f>
        <v>0</v>
      </c>
      <c r="R71" s="314">
        <f t="shared" ref="R71:R76" si="135">R30</f>
        <v>570.76425000000006</v>
      </c>
      <c r="S71" s="314">
        <f t="shared" si="134"/>
        <v>0</v>
      </c>
      <c r="T71" s="314">
        <f t="shared" si="134"/>
        <v>0.45578670588846742</v>
      </c>
      <c r="U71" s="314">
        <f t="shared" si="134"/>
        <v>0</v>
      </c>
      <c r="V71" s="314">
        <f t="shared" si="134"/>
        <v>118.71115624883724</v>
      </c>
      <c r="AD71" s="309">
        <f t="shared" si="97"/>
        <v>1</v>
      </c>
      <c r="AE71" s="309">
        <f t="shared" si="91"/>
        <v>1</v>
      </c>
      <c r="AF71" s="309">
        <f t="shared" si="91"/>
        <v>1</v>
      </c>
      <c r="AG71" s="309">
        <f t="shared" si="91"/>
        <v>1</v>
      </c>
      <c r="AH71" s="314">
        <f t="shared" si="98"/>
        <v>570.76425000000006</v>
      </c>
      <c r="AI71" s="314">
        <f t="shared" si="99"/>
        <v>570.76425000000006</v>
      </c>
      <c r="AJ71" s="314">
        <f t="shared" si="100"/>
        <v>570.76425000000006</v>
      </c>
      <c r="AK71" s="314">
        <f t="shared" si="101"/>
        <v>570.76425000000006</v>
      </c>
      <c r="AL71" s="309">
        <f t="shared" si="102"/>
        <v>1</v>
      </c>
      <c r="AM71" s="309">
        <f t="shared" si="103"/>
        <v>1</v>
      </c>
      <c r="AN71" s="309">
        <f t="shared" si="104"/>
        <v>1</v>
      </c>
      <c r="AO71" s="309">
        <f t="shared" si="105"/>
        <v>1</v>
      </c>
      <c r="AP71" s="446">
        <f t="shared" si="106"/>
        <v>0.45578670588846742</v>
      </c>
      <c r="AQ71" s="446">
        <f t="shared" si="107"/>
        <v>0.45578670588846742</v>
      </c>
      <c r="AR71" s="446">
        <f t="shared" si="108"/>
        <v>0.45578670588846742</v>
      </c>
      <c r="AS71" s="446">
        <f t="shared" si="109"/>
        <v>0.45578670588846742</v>
      </c>
      <c r="AT71" s="309">
        <f t="shared" si="82"/>
        <v>1</v>
      </c>
      <c r="AU71" s="309">
        <f t="shared" si="92"/>
        <v>1</v>
      </c>
      <c r="AV71" s="309">
        <f t="shared" si="92"/>
        <v>1</v>
      </c>
      <c r="AW71" s="309">
        <f t="shared" si="92"/>
        <v>1</v>
      </c>
      <c r="AX71" s="243">
        <f t="shared" si="84"/>
        <v>118.71115624883724</v>
      </c>
      <c r="AY71" s="243">
        <f t="shared" si="85"/>
        <v>118.71115624883724</v>
      </c>
      <c r="AZ71" s="243">
        <f t="shared" si="86"/>
        <v>118.71115624883724</v>
      </c>
      <c r="BA71" s="243">
        <f t="shared" si="87"/>
        <v>118.71115624883724</v>
      </c>
      <c r="BB71" s="243">
        <f>VLOOKUP($D71,'2018 Plan Data'!$A$4:$K$2000,6,FALSE)</f>
        <v>718</v>
      </c>
      <c r="BC71" s="243">
        <f>VLOOKUP($D71,'2018 Plan Data'!$A$4:$K$2000,7,FALSE)</f>
        <v>720</v>
      </c>
      <c r="BD71" s="243">
        <f>VLOOKUP($D71,'2018 Plan Data'!$A$4:$K$2000,8,FALSE)</f>
        <v>664</v>
      </c>
      <c r="BE71" s="243">
        <f>VLOOKUP($D71,'2018 Plan Data'!$A$4:$K$2000,9,FALSE)</f>
        <v>712</v>
      </c>
      <c r="BF71" s="243">
        <f t="shared" si="110"/>
        <v>409808.73150000005</v>
      </c>
      <c r="BG71" s="243">
        <f t="shared" si="111"/>
        <v>410950.26000000007</v>
      </c>
      <c r="BH71" s="243">
        <f t="shared" si="112"/>
        <v>378987.46200000006</v>
      </c>
      <c r="BI71" s="243">
        <f t="shared" si="113"/>
        <v>406384.14600000007</v>
      </c>
      <c r="BJ71" s="243">
        <f t="shared" si="114"/>
        <v>85234.610186665144</v>
      </c>
      <c r="BK71" s="243">
        <f t="shared" si="115"/>
        <v>85472.032499162815</v>
      </c>
      <c r="BL71" s="243">
        <f t="shared" si="116"/>
        <v>78824.207749227935</v>
      </c>
      <c r="BM71" s="243">
        <f t="shared" si="117"/>
        <v>84522.343249172118</v>
      </c>
      <c r="BN71" s="243">
        <f t="shared" si="118"/>
        <v>409808.73150000005</v>
      </c>
      <c r="BO71" s="243">
        <f t="shared" si="119"/>
        <v>410950.26000000007</v>
      </c>
      <c r="BP71" s="243">
        <f t="shared" si="120"/>
        <v>378987.46200000006</v>
      </c>
      <c r="BQ71" s="243">
        <f t="shared" si="121"/>
        <v>406384.14600000007</v>
      </c>
      <c r="BR71" s="243">
        <f t="shared" si="122"/>
        <v>85234.610186665144</v>
      </c>
      <c r="BS71" s="243">
        <f t="shared" si="123"/>
        <v>85472.032499162815</v>
      </c>
      <c r="BT71" s="243">
        <f t="shared" si="124"/>
        <v>78824.207749227935</v>
      </c>
      <c r="BU71" s="243">
        <f t="shared" si="125"/>
        <v>84522.343249172118</v>
      </c>
      <c r="BW71" s="314">
        <f>VLOOKUP($D71,'2018 Plan Data'!$A$4:$T$2000,13,FALSE)</f>
        <v>316638.00000000006</v>
      </c>
      <c r="BX71" s="314">
        <f>VLOOKUP($D71,'2018 Plan Data'!$A$4:$T$2000,14,FALSE)</f>
        <v>317520.00000000006</v>
      </c>
      <c r="BY71" s="314">
        <f>VLOOKUP($D71,'2018 Plan Data'!$A$4:$T$2000,15,FALSE)</f>
        <v>292824.00000000006</v>
      </c>
      <c r="BZ71" s="314">
        <f>VLOOKUP($D71,'2018 Plan Data'!$A$4:$T$2000,16,FALSE)</f>
        <v>313992.00000000006</v>
      </c>
      <c r="CA71" s="314">
        <f>VLOOKUP($D71,'2018 Plan Data'!$A$4:$T$2000,17,FALSE)</f>
        <v>82917.077860465128</v>
      </c>
      <c r="CB71" s="314">
        <f>VLOOKUP($D71,'2018 Plan Data'!$A$4:$T$2000,18,FALSE)</f>
        <v>83148.044651162811</v>
      </c>
      <c r="CC71" s="314">
        <f>VLOOKUP($D71,'2018 Plan Data'!$A$4:$T$2000,19,FALSE)</f>
        <v>76680.974511627923</v>
      </c>
      <c r="CD71" s="314">
        <f>VLOOKUP($D71,'2018 Plan Data'!$A$4:$T$2000,20,FALSE)</f>
        <v>82224.177488372108</v>
      </c>
      <c r="CE71" t="b">
        <f t="shared" si="126"/>
        <v>0</v>
      </c>
      <c r="CF71" t="b">
        <f t="shared" si="127"/>
        <v>0</v>
      </c>
      <c r="CG71" t="b">
        <f t="shared" si="128"/>
        <v>0</v>
      </c>
      <c r="CH71" t="b">
        <f t="shared" si="129"/>
        <v>0</v>
      </c>
      <c r="CI71" t="b">
        <f t="shared" si="130"/>
        <v>0</v>
      </c>
      <c r="CJ71" t="b">
        <f t="shared" si="131"/>
        <v>0</v>
      </c>
      <c r="CK71" t="b">
        <f t="shared" si="132"/>
        <v>0</v>
      </c>
      <c r="CL71" t="b">
        <f t="shared" si="133"/>
        <v>0</v>
      </c>
    </row>
    <row r="72" spans="1:90" ht="15" customHeight="1" x14ac:dyDescent="0.35">
      <c r="A72" s="585">
        <f t="shared" si="94"/>
        <v>570</v>
      </c>
      <c r="B72" t="str">
        <f t="shared" si="95"/>
        <v>Residential_Income Qualified</v>
      </c>
      <c r="D72">
        <v>570</v>
      </c>
      <c r="E72" t="s">
        <v>78</v>
      </c>
      <c r="F72" s="600" t="str">
        <f>VLOOKUP(G72,Sheet4!$D$6:$E$22,2,FALSE)</f>
        <v>Income Qualified</v>
      </c>
      <c r="G72" s="445" t="s">
        <v>1933</v>
      </c>
      <c r="H72" s="673" t="s">
        <v>1841</v>
      </c>
      <c r="I72" s="232"/>
      <c r="J72" s="18" t="s">
        <v>7</v>
      </c>
      <c r="K72" s="2585" t="s">
        <v>3387</v>
      </c>
      <c r="L72" s="18" t="s">
        <v>1732</v>
      </c>
      <c r="M72" s="600">
        <v>1</v>
      </c>
      <c r="O72" s="72" t="str">
        <f t="shared" si="96"/>
        <v>Dual Fuel</v>
      </c>
      <c r="P72" s="7">
        <f>VLOOKUP(D72,'2018 Plan Data'!$A$4:$K$1000,11,FALSE)</f>
        <v>25</v>
      </c>
      <c r="Q72" s="652">
        <f>VLOOKUP(D72,'2018 Plan Data'!$A$4:$L$1000,12,FALSE)</f>
        <v>0</v>
      </c>
      <c r="R72" s="314">
        <f t="shared" si="135"/>
        <v>319.80474588693727</v>
      </c>
      <c r="S72" s="314">
        <f t="shared" si="134"/>
        <v>0</v>
      </c>
      <c r="T72" s="314">
        <f t="shared" si="134"/>
        <v>0.20351332645276182</v>
      </c>
      <c r="U72" s="314">
        <f t="shared" si="134"/>
        <v>0</v>
      </c>
      <c r="V72" s="314">
        <f t="shared" si="134"/>
        <v>94.383772388289358</v>
      </c>
      <c r="W72" s="314">
        <f>W31</f>
        <v>0</v>
      </c>
      <c r="AD72" s="309">
        <f t="shared" si="97"/>
        <v>1</v>
      </c>
      <c r="AE72" s="309">
        <f t="shared" si="91"/>
        <v>1</v>
      </c>
      <c r="AF72" s="309">
        <f t="shared" si="91"/>
        <v>1</v>
      </c>
      <c r="AG72" s="309">
        <f t="shared" si="91"/>
        <v>1</v>
      </c>
      <c r="AH72" s="314">
        <f t="shared" si="98"/>
        <v>319.80474588693727</v>
      </c>
      <c r="AI72" s="314">
        <f t="shared" si="99"/>
        <v>319.80474588693727</v>
      </c>
      <c r="AJ72" s="314">
        <f t="shared" si="100"/>
        <v>319.80474588693727</v>
      </c>
      <c r="AK72" s="314">
        <f t="shared" si="101"/>
        <v>319.80474588693727</v>
      </c>
      <c r="AL72" s="309">
        <f t="shared" si="102"/>
        <v>1</v>
      </c>
      <c r="AM72" s="309">
        <f t="shared" si="103"/>
        <v>1</v>
      </c>
      <c r="AN72" s="309">
        <f t="shared" si="104"/>
        <v>1</v>
      </c>
      <c r="AO72" s="309">
        <f t="shared" si="105"/>
        <v>1</v>
      </c>
      <c r="AP72" s="446">
        <f t="shared" si="106"/>
        <v>0.20351332645276182</v>
      </c>
      <c r="AQ72" s="446">
        <f t="shared" si="107"/>
        <v>0.20351332645276182</v>
      </c>
      <c r="AR72" s="446">
        <f t="shared" si="108"/>
        <v>0.20351332645276182</v>
      </c>
      <c r="AS72" s="446">
        <f t="shared" si="109"/>
        <v>0.20351332645276182</v>
      </c>
      <c r="AT72" s="309">
        <f t="shared" si="82"/>
        <v>1</v>
      </c>
      <c r="AU72" s="309">
        <f t="shared" si="92"/>
        <v>1</v>
      </c>
      <c r="AV72" s="309">
        <f t="shared" si="92"/>
        <v>1</v>
      </c>
      <c r="AW72" s="309">
        <f t="shared" si="92"/>
        <v>1</v>
      </c>
      <c r="AX72" s="243">
        <f t="shared" si="84"/>
        <v>94.383772388289358</v>
      </c>
      <c r="AY72" s="243">
        <f t="shared" si="85"/>
        <v>94.383772388289358</v>
      </c>
      <c r="AZ72" s="243">
        <f t="shared" si="86"/>
        <v>94.383772388289358</v>
      </c>
      <c r="BA72" s="243">
        <f t="shared" si="87"/>
        <v>94.383772388289358</v>
      </c>
      <c r="BB72" s="243">
        <f>VLOOKUP($D72,'2018 Plan Data'!$A$4:$K$2000,6,FALSE)</f>
        <v>179</v>
      </c>
      <c r="BC72" s="243">
        <f>VLOOKUP($D72,'2018 Plan Data'!$A$4:$K$2000,7,FALSE)</f>
        <v>180</v>
      </c>
      <c r="BD72" s="243">
        <f>VLOOKUP($D72,'2018 Plan Data'!$A$4:$K$2000,8,FALSE)</f>
        <v>166</v>
      </c>
      <c r="BE72" s="243">
        <f>VLOOKUP($D72,'2018 Plan Data'!$A$4:$K$2000,9,FALSE)</f>
        <v>178</v>
      </c>
      <c r="BF72" s="243">
        <f t="shared" si="110"/>
        <v>57245.049513761769</v>
      </c>
      <c r="BG72" s="243">
        <f t="shared" si="111"/>
        <v>57564.85425964871</v>
      </c>
      <c r="BH72" s="243">
        <f t="shared" si="112"/>
        <v>53087.587817231586</v>
      </c>
      <c r="BI72" s="243">
        <f t="shared" si="113"/>
        <v>56925.244767874836</v>
      </c>
      <c r="BJ72" s="243">
        <f t="shared" si="114"/>
        <v>16894.695257503794</v>
      </c>
      <c r="BK72" s="243">
        <f t="shared" si="115"/>
        <v>16989.079029892084</v>
      </c>
      <c r="BL72" s="243">
        <f t="shared" si="116"/>
        <v>15667.706216456034</v>
      </c>
      <c r="BM72" s="243">
        <f t="shared" si="117"/>
        <v>16800.311485115504</v>
      </c>
      <c r="BN72" s="243">
        <f t="shared" si="118"/>
        <v>57245.049513761769</v>
      </c>
      <c r="BO72" s="243">
        <f t="shared" si="119"/>
        <v>57564.85425964871</v>
      </c>
      <c r="BP72" s="243">
        <f t="shared" si="120"/>
        <v>53087.587817231586</v>
      </c>
      <c r="BQ72" s="243">
        <f t="shared" si="121"/>
        <v>56925.244767874836</v>
      </c>
      <c r="BR72" s="243">
        <f t="shared" si="122"/>
        <v>16894.695257503794</v>
      </c>
      <c r="BS72" s="243">
        <f t="shared" si="123"/>
        <v>16989.079029892084</v>
      </c>
      <c r="BT72" s="243">
        <f t="shared" si="124"/>
        <v>15667.706216456034</v>
      </c>
      <c r="BU72" s="243">
        <f t="shared" si="125"/>
        <v>16800.311485115504</v>
      </c>
      <c r="BW72" s="314">
        <f>VLOOKUP($D72,'2018 Plan Data'!$A$4:$T$2000,13,FALSE)</f>
        <v>36119.346614248971</v>
      </c>
      <c r="BX72" s="314">
        <f>VLOOKUP($D72,'2018 Plan Data'!$A$4:$T$2000,14,FALSE)</f>
        <v>36321.130673546446</v>
      </c>
      <c r="BY72" s="314">
        <f>VLOOKUP($D72,'2018 Plan Data'!$A$4:$T$2000,15,FALSE)</f>
        <v>33496.153843381726</v>
      </c>
      <c r="BZ72" s="314">
        <f>VLOOKUP($D72,'2018 Plan Data'!$A$4:$T$2000,16,FALSE)</f>
        <v>35917.562554951488</v>
      </c>
      <c r="CA72" s="314">
        <f>VLOOKUP($D72,'2018 Plan Data'!$A$4:$T$2000,17,FALSE)</f>
        <v>12799.011558714992</v>
      </c>
      <c r="CB72" s="314">
        <f>VLOOKUP($D72,'2018 Plan Data'!$A$4:$T$2000,18,FALSE)</f>
        <v>12870.514416584909</v>
      </c>
      <c r="CC72" s="314">
        <f>VLOOKUP($D72,'2018 Plan Data'!$A$4:$T$2000,19,FALSE)</f>
        <v>11869.474406406081</v>
      </c>
      <c r="CD72" s="314">
        <f>VLOOKUP($D72,'2018 Plan Data'!$A$4:$T$2000,20,FALSE)</f>
        <v>12727.508700845076</v>
      </c>
      <c r="CE72" t="b">
        <f t="shared" si="126"/>
        <v>0</v>
      </c>
      <c r="CF72" t="b">
        <f t="shared" si="127"/>
        <v>0</v>
      </c>
      <c r="CG72" t="b">
        <f t="shared" si="128"/>
        <v>0</v>
      </c>
      <c r="CH72" t="b">
        <f t="shared" si="129"/>
        <v>0</v>
      </c>
      <c r="CI72" t="b">
        <f t="shared" si="130"/>
        <v>0</v>
      </c>
      <c r="CJ72" t="b">
        <f t="shared" si="131"/>
        <v>0</v>
      </c>
      <c r="CK72" t="b">
        <f t="shared" si="132"/>
        <v>0</v>
      </c>
      <c r="CL72" t="b">
        <f t="shared" si="133"/>
        <v>0</v>
      </c>
    </row>
    <row r="73" spans="1:90" ht="15" customHeight="1" x14ac:dyDescent="0.35">
      <c r="A73" s="585">
        <f t="shared" si="94"/>
        <v>578</v>
      </c>
      <c r="B73" t="str">
        <f t="shared" si="95"/>
        <v>Residential_Income Qualified</v>
      </c>
      <c r="D73">
        <v>578</v>
      </c>
      <c r="E73" t="s">
        <v>78</v>
      </c>
      <c r="F73" s="600" t="str">
        <f>VLOOKUP(G73,Sheet4!$D$6:$E$22,2,FALSE)</f>
        <v>Income Qualified</v>
      </c>
      <c r="G73" s="445" t="s">
        <v>1933</v>
      </c>
      <c r="H73" s="673" t="s">
        <v>1842</v>
      </c>
      <c r="I73" s="232"/>
      <c r="J73" s="18" t="s">
        <v>7</v>
      </c>
      <c r="K73" s="2585" t="s">
        <v>3387</v>
      </c>
      <c r="L73" s="18" t="s">
        <v>1732</v>
      </c>
      <c r="M73" s="600">
        <v>1</v>
      </c>
      <c r="O73" s="72" t="str">
        <f t="shared" si="96"/>
        <v>Dual Fuel</v>
      </c>
      <c r="P73" s="7">
        <f>VLOOKUP(D73,'2018 Plan Data'!$A$4:$K$1000,11,FALSE)</f>
        <v>25</v>
      </c>
      <c r="Q73" s="652">
        <f>VLOOKUP(D73,'2018 Plan Data'!$A$4:$L$1000,12,FALSE)</f>
        <v>0</v>
      </c>
      <c r="R73" s="314">
        <f t="shared" si="135"/>
        <v>859.61720560709784</v>
      </c>
      <c r="S73" s="314">
        <f t="shared" si="134"/>
        <v>0</v>
      </c>
      <c r="T73" s="314">
        <f t="shared" si="134"/>
        <v>0.54722472223964824</v>
      </c>
      <c r="U73" s="314">
        <f t="shared" si="134"/>
        <v>0</v>
      </c>
      <c r="V73" s="314">
        <f t="shared" si="134"/>
        <v>253.78747686628907</v>
      </c>
      <c r="W73" s="314">
        <f>W32</f>
        <v>0</v>
      </c>
      <c r="AD73" s="309">
        <f t="shared" si="97"/>
        <v>1</v>
      </c>
      <c r="AE73" s="309">
        <f t="shared" si="91"/>
        <v>1</v>
      </c>
      <c r="AF73" s="309">
        <f t="shared" si="91"/>
        <v>1</v>
      </c>
      <c r="AG73" s="309">
        <f t="shared" si="91"/>
        <v>1</v>
      </c>
      <c r="AH73" s="314">
        <f t="shared" si="98"/>
        <v>859.61720560709784</v>
      </c>
      <c r="AI73" s="314">
        <f t="shared" si="99"/>
        <v>859.61720560709784</v>
      </c>
      <c r="AJ73" s="314">
        <f t="shared" si="100"/>
        <v>859.61720560709784</v>
      </c>
      <c r="AK73" s="314">
        <f t="shared" si="101"/>
        <v>859.61720560709784</v>
      </c>
      <c r="AL73" s="309">
        <f t="shared" si="102"/>
        <v>1</v>
      </c>
      <c r="AM73" s="309">
        <f t="shared" si="103"/>
        <v>1</v>
      </c>
      <c r="AN73" s="309">
        <f t="shared" si="104"/>
        <v>1</v>
      </c>
      <c r="AO73" s="309">
        <f t="shared" si="105"/>
        <v>1</v>
      </c>
      <c r="AP73" s="446">
        <f t="shared" si="106"/>
        <v>0.54722472223964824</v>
      </c>
      <c r="AQ73" s="446">
        <f t="shared" si="107"/>
        <v>0.54722472223964824</v>
      </c>
      <c r="AR73" s="446">
        <f t="shared" si="108"/>
        <v>0.54722472223964824</v>
      </c>
      <c r="AS73" s="446">
        <f t="shared" si="109"/>
        <v>0.54722472223964824</v>
      </c>
      <c r="AT73" s="309">
        <f t="shared" si="82"/>
        <v>1</v>
      </c>
      <c r="AU73" s="309">
        <f t="shared" si="92"/>
        <v>1</v>
      </c>
      <c r="AV73" s="309">
        <f t="shared" si="92"/>
        <v>1</v>
      </c>
      <c r="AW73" s="309">
        <f t="shared" si="92"/>
        <v>1</v>
      </c>
      <c r="AX73" s="243">
        <f t="shared" si="84"/>
        <v>253.78747686628907</v>
      </c>
      <c r="AY73" s="243">
        <f t="shared" si="85"/>
        <v>253.78747686628907</v>
      </c>
      <c r="AZ73" s="243">
        <f t="shared" si="86"/>
        <v>253.78747686628907</v>
      </c>
      <c r="BA73" s="243">
        <f t="shared" si="87"/>
        <v>253.78747686628907</v>
      </c>
      <c r="BB73" s="243">
        <f>VLOOKUP($D73,'2018 Plan Data'!$A$4:$K$2000,6,FALSE)</f>
        <v>45</v>
      </c>
      <c r="BC73" s="243">
        <f>VLOOKUP($D73,'2018 Plan Data'!$A$4:$K$2000,7,FALSE)</f>
        <v>45</v>
      </c>
      <c r="BD73" s="243">
        <f>VLOOKUP($D73,'2018 Plan Data'!$A$4:$K$2000,8,FALSE)</f>
        <v>42</v>
      </c>
      <c r="BE73" s="243">
        <f>VLOOKUP($D73,'2018 Plan Data'!$A$4:$K$2000,9,FALSE)</f>
        <v>45</v>
      </c>
      <c r="BF73" s="243">
        <f t="shared" si="110"/>
        <v>38682.774252319403</v>
      </c>
      <c r="BG73" s="243">
        <f t="shared" si="111"/>
        <v>38682.774252319403</v>
      </c>
      <c r="BH73" s="243">
        <f t="shared" si="112"/>
        <v>36103.922635498107</v>
      </c>
      <c r="BI73" s="243">
        <f t="shared" si="113"/>
        <v>38682.774252319403</v>
      </c>
      <c r="BJ73" s="243">
        <f t="shared" si="114"/>
        <v>11420.436458983007</v>
      </c>
      <c r="BK73" s="243">
        <f t="shared" si="115"/>
        <v>11420.436458983007</v>
      </c>
      <c r="BL73" s="243">
        <f t="shared" si="116"/>
        <v>10659.074028384141</v>
      </c>
      <c r="BM73" s="243">
        <f t="shared" si="117"/>
        <v>11420.436458983007</v>
      </c>
      <c r="BN73" s="243">
        <f t="shared" si="118"/>
        <v>38682.774252319403</v>
      </c>
      <c r="BO73" s="243">
        <f t="shared" si="119"/>
        <v>38682.774252319403</v>
      </c>
      <c r="BP73" s="243">
        <f t="shared" si="120"/>
        <v>36103.922635498107</v>
      </c>
      <c r="BQ73" s="243">
        <f t="shared" si="121"/>
        <v>38682.774252319403</v>
      </c>
      <c r="BR73" s="243">
        <f t="shared" si="122"/>
        <v>11420.436458983007</v>
      </c>
      <c r="BS73" s="243">
        <f t="shared" si="123"/>
        <v>11420.436458983007</v>
      </c>
      <c r="BT73" s="243">
        <f t="shared" si="124"/>
        <v>10659.074028384141</v>
      </c>
      <c r="BU73" s="243">
        <f t="shared" si="125"/>
        <v>11420.436458983007</v>
      </c>
      <c r="BW73" s="314">
        <f>VLOOKUP($D73,'2018 Plan Data'!$A$4:$T$2000,13,FALSE)</f>
        <v>23871.871174995111</v>
      </c>
      <c r="BX73" s="314">
        <f>VLOOKUP($D73,'2018 Plan Data'!$A$4:$T$2000,14,FALSE)</f>
        <v>23871.871174995111</v>
      </c>
      <c r="BY73" s="314">
        <f>VLOOKUP($D73,'2018 Plan Data'!$A$4:$T$2000,15,FALSE)</f>
        <v>22280.413096662105</v>
      </c>
      <c r="BZ73" s="314">
        <f>VLOOKUP($D73,'2018 Plan Data'!$A$4:$T$2000,16,FALSE)</f>
        <v>23871.871174995111</v>
      </c>
      <c r="CA73" s="314">
        <f>VLOOKUP($D73,'2018 Plan Data'!$A$4:$T$2000,17,FALSE)</f>
        <v>8651.8458022598534</v>
      </c>
      <c r="CB73" s="314">
        <f>VLOOKUP($D73,'2018 Plan Data'!$A$4:$T$2000,18,FALSE)</f>
        <v>8651.8458022598534</v>
      </c>
      <c r="CC73" s="314">
        <f>VLOOKUP($D73,'2018 Plan Data'!$A$4:$T$2000,19,FALSE)</f>
        <v>8075.0560821091967</v>
      </c>
      <c r="CD73" s="314">
        <f>VLOOKUP($D73,'2018 Plan Data'!$A$4:$T$2000,20,FALSE)</f>
        <v>8651.8458022598534</v>
      </c>
      <c r="CE73" t="b">
        <f t="shared" si="126"/>
        <v>0</v>
      </c>
      <c r="CF73" t="b">
        <f t="shared" si="127"/>
        <v>0</v>
      </c>
      <c r="CG73" t="b">
        <f t="shared" si="128"/>
        <v>0</v>
      </c>
      <c r="CH73" t="b">
        <f t="shared" si="129"/>
        <v>0</v>
      </c>
      <c r="CI73" t="b">
        <f t="shared" si="130"/>
        <v>0</v>
      </c>
      <c r="CJ73" t="b">
        <f t="shared" si="131"/>
        <v>0</v>
      </c>
      <c r="CK73" t="b">
        <f t="shared" si="132"/>
        <v>0</v>
      </c>
      <c r="CL73" t="b">
        <f t="shared" si="133"/>
        <v>0</v>
      </c>
    </row>
    <row r="74" spans="1:90" ht="15" customHeight="1" x14ac:dyDescent="0.35">
      <c r="A74" s="585">
        <f t="shared" si="94"/>
        <v>569</v>
      </c>
      <c r="B74" t="str">
        <f t="shared" si="95"/>
        <v>Residential_Income Qualified</v>
      </c>
      <c r="D74">
        <v>569</v>
      </c>
      <c r="E74" t="s">
        <v>78</v>
      </c>
      <c r="F74" s="600" t="str">
        <f>VLOOKUP(G74,Sheet4!$D$6:$E$22,2,FALSE)</f>
        <v>Income Qualified</v>
      </c>
      <c r="G74" s="445" t="s">
        <v>1933</v>
      </c>
      <c r="H74" s="673" t="s">
        <v>1790</v>
      </c>
      <c r="I74" s="232"/>
      <c r="J74" s="18" t="s">
        <v>7</v>
      </c>
      <c r="K74" s="2585" t="s">
        <v>3387</v>
      </c>
      <c r="L74" s="18" t="s">
        <v>1732</v>
      </c>
      <c r="M74" s="600">
        <v>1</v>
      </c>
      <c r="O74" s="72" t="str">
        <f t="shared" si="96"/>
        <v>Dual Fuel</v>
      </c>
      <c r="P74" s="7">
        <f>VLOOKUP(D74,'2018 Plan Data'!$A$4:$K$1000,11,FALSE)</f>
        <v>25</v>
      </c>
      <c r="Q74" s="652">
        <f>VLOOKUP(D74,'2018 Plan Data'!$A$4:$L$1000,12,FALSE)</f>
        <v>0</v>
      </c>
      <c r="R74" s="314">
        <f t="shared" si="135"/>
        <v>319.80474588693727</v>
      </c>
      <c r="S74" s="314">
        <f t="shared" si="134"/>
        <v>0</v>
      </c>
      <c r="T74" s="314">
        <f t="shared" si="134"/>
        <v>0.20351332645276182</v>
      </c>
      <c r="U74" s="314">
        <f t="shared" si="134"/>
        <v>0</v>
      </c>
      <c r="V74" s="314">
        <f t="shared" si="134"/>
        <v>94.383772388289358</v>
      </c>
      <c r="W74" s="314">
        <f>W33</f>
        <v>0</v>
      </c>
      <c r="AD74" s="309">
        <f t="shared" si="97"/>
        <v>1</v>
      </c>
      <c r="AE74" s="309">
        <f t="shared" si="91"/>
        <v>1</v>
      </c>
      <c r="AF74" s="309">
        <f t="shared" si="91"/>
        <v>1</v>
      </c>
      <c r="AG74" s="309">
        <f t="shared" si="91"/>
        <v>1</v>
      </c>
      <c r="AH74" s="314">
        <f t="shared" si="98"/>
        <v>319.80474588693727</v>
      </c>
      <c r="AI74" s="314">
        <f t="shared" si="99"/>
        <v>319.80474588693727</v>
      </c>
      <c r="AJ74" s="314">
        <f t="shared" si="100"/>
        <v>319.80474588693727</v>
      </c>
      <c r="AK74" s="314">
        <f t="shared" si="101"/>
        <v>319.80474588693727</v>
      </c>
      <c r="AL74" s="309">
        <f t="shared" si="102"/>
        <v>1</v>
      </c>
      <c r="AM74" s="309">
        <f t="shared" si="103"/>
        <v>1</v>
      </c>
      <c r="AN74" s="309">
        <f t="shared" si="104"/>
        <v>1</v>
      </c>
      <c r="AO74" s="309">
        <f t="shared" si="105"/>
        <v>1</v>
      </c>
      <c r="AP74" s="446">
        <f t="shared" si="106"/>
        <v>0.20351332645276182</v>
      </c>
      <c r="AQ74" s="446">
        <f t="shared" si="107"/>
        <v>0.20351332645276182</v>
      </c>
      <c r="AR74" s="446">
        <f t="shared" si="108"/>
        <v>0.20351332645276182</v>
      </c>
      <c r="AS74" s="446">
        <f t="shared" si="109"/>
        <v>0.20351332645276182</v>
      </c>
      <c r="AT74" s="309">
        <f t="shared" si="82"/>
        <v>1</v>
      </c>
      <c r="AU74" s="309">
        <f t="shared" si="92"/>
        <v>1</v>
      </c>
      <c r="AV74" s="309">
        <f t="shared" si="92"/>
        <v>1</v>
      </c>
      <c r="AW74" s="309">
        <f t="shared" si="92"/>
        <v>1</v>
      </c>
      <c r="AX74" s="243">
        <f t="shared" si="84"/>
        <v>94.383772388289358</v>
      </c>
      <c r="AY74" s="243">
        <f t="shared" si="85"/>
        <v>94.383772388289358</v>
      </c>
      <c r="AZ74" s="243">
        <f t="shared" si="86"/>
        <v>94.383772388289358</v>
      </c>
      <c r="BA74" s="243">
        <f t="shared" si="87"/>
        <v>94.383772388289358</v>
      </c>
      <c r="BB74" s="243">
        <f>VLOOKUP($D74,'2018 Plan Data'!$A$4:$K$2000,6,FALSE)</f>
        <v>80.637200000000007</v>
      </c>
      <c r="BC74" s="243">
        <f>VLOOKUP($D74,'2018 Plan Data'!$A$4:$K$2000,7,FALSE)</f>
        <v>80.919300000000007</v>
      </c>
      <c r="BD74" s="243">
        <f>VLOOKUP($D74,'2018 Plan Data'!$A$4:$K$2000,8,FALSE)</f>
        <v>74.604599999999991</v>
      </c>
      <c r="BE74" s="243">
        <f>VLOOKUP($D74,'2018 Plan Data'!$A$4:$K$2000,9,FALSE)</f>
        <v>80.027147899999989</v>
      </c>
      <c r="BF74" s="243">
        <f t="shared" si="110"/>
        <v>25788.159255034141</v>
      </c>
      <c r="BG74" s="243">
        <f t="shared" si="111"/>
        <v>25878.376173848847</v>
      </c>
      <c r="BH74" s="243">
        <f t="shared" si="112"/>
        <v>23858.905144996595</v>
      </c>
      <c r="BI74" s="243">
        <f t="shared" si="113"/>
        <v>25593.061698215843</v>
      </c>
      <c r="BJ74" s="243">
        <f t="shared" si="114"/>
        <v>7610.8431308289673</v>
      </c>
      <c r="BK74" s="243">
        <f t="shared" si="115"/>
        <v>7637.4687930197033</v>
      </c>
      <c r="BL74" s="243">
        <f t="shared" si="116"/>
        <v>7041.463585519371</v>
      </c>
      <c r="BM74" s="243">
        <f t="shared" si="117"/>
        <v>7553.2641122775676</v>
      </c>
      <c r="BN74" s="243">
        <f t="shared" si="118"/>
        <v>25788.159255034141</v>
      </c>
      <c r="BO74" s="243">
        <f t="shared" si="119"/>
        <v>25878.376173848847</v>
      </c>
      <c r="BP74" s="243">
        <f t="shared" si="120"/>
        <v>23858.905144996595</v>
      </c>
      <c r="BQ74" s="243">
        <f t="shared" si="121"/>
        <v>25593.061698215843</v>
      </c>
      <c r="BR74" s="243">
        <f t="shared" si="122"/>
        <v>7610.8431308289673</v>
      </c>
      <c r="BS74" s="243">
        <f t="shared" si="123"/>
        <v>7637.4687930197033</v>
      </c>
      <c r="BT74" s="243">
        <f t="shared" si="124"/>
        <v>7041.463585519371</v>
      </c>
      <c r="BU74" s="243">
        <f t="shared" si="125"/>
        <v>7553.2641122775676</v>
      </c>
      <c r="BW74" s="314">
        <f>VLOOKUP($D74,'2018 Plan Data'!$A$4:$T$2000,13,FALSE)</f>
        <v>16271.301546382778</v>
      </c>
      <c r="BX74" s="314">
        <f>VLOOKUP($D74,'2018 Plan Data'!$A$4:$T$2000,14,FALSE)</f>
        <v>16328.224829510596</v>
      </c>
      <c r="BY74" s="314">
        <f>VLOOKUP($D74,'2018 Plan Data'!$A$4:$T$2000,15,FALSE)</f>
        <v>15054.019030264795</v>
      </c>
      <c r="BZ74" s="314">
        <f>VLOOKUP($D74,'2018 Plan Data'!$A$4:$T$2000,16,FALSE)</f>
        <v>16148.202757261821</v>
      </c>
      <c r="CA74" s="314">
        <f>VLOOKUP($D74,'2018 Plan Data'!$A$4:$T$2000,17,FALSE)</f>
        <v>5765.7902506280034</v>
      </c>
      <c r="CB74" s="314">
        <f>VLOOKUP($D74,'2018 Plan Data'!$A$4:$T$2000,18,FALSE)</f>
        <v>5785.9612068331071</v>
      </c>
      <c r="CC74" s="314">
        <f>VLOOKUP($D74,'2018 Plan Data'!$A$4:$T$2000,19,FALSE)</f>
        <v>5334.4421102419465</v>
      </c>
      <c r="CD74" s="314">
        <f>VLOOKUP($D74,'2018 Plan Data'!$A$4:$T$2000,20,FALSE)</f>
        <v>5722.169782028458</v>
      </c>
      <c r="CE74" t="b">
        <f t="shared" si="126"/>
        <v>0</v>
      </c>
      <c r="CF74" t="b">
        <f t="shared" si="127"/>
        <v>0</v>
      </c>
      <c r="CG74" t="b">
        <f t="shared" si="128"/>
        <v>0</v>
      </c>
      <c r="CH74" t="b">
        <f t="shared" si="129"/>
        <v>0</v>
      </c>
      <c r="CI74" t="b">
        <f t="shared" si="130"/>
        <v>0</v>
      </c>
      <c r="CJ74" t="b">
        <f t="shared" si="131"/>
        <v>0</v>
      </c>
      <c r="CK74" t="b">
        <f t="shared" si="132"/>
        <v>0</v>
      </c>
      <c r="CL74" t="b">
        <f t="shared" si="133"/>
        <v>0</v>
      </c>
    </row>
    <row r="75" spans="1:90" ht="15" customHeight="1" x14ac:dyDescent="0.35">
      <c r="A75" s="585">
        <f t="shared" si="94"/>
        <v>577</v>
      </c>
      <c r="B75" t="str">
        <f t="shared" si="95"/>
        <v>Residential_Income Qualified</v>
      </c>
      <c r="D75" s="600">
        <v>577</v>
      </c>
      <c r="E75" s="600" t="s">
        <v>78</v>
      </c>
      <c r="F75" s="600" t="str">
        <f>VLOOKUP(G75,Sheet4!$D$6:$E$22,2,FALSE)</f>
        <v>Income Qualified</v>
      </c>
      <c r="G75" s="445" t="s">
        <v>1933</v>
      </c>
      <c r="H75" s="673" t="s">
        <v>1791</v>
      </c>
      <c r="I75" s="232"/>
      <c r="J75" s="18" t="s">
        <v>7</v>
      </c>
      <c r="K75" s="2585" t="s">
        <v>3387</v>
      </c>
      <c r="L75" s="72" t="s">
        <v>1732</v>
      </c>
      <c r="M75" s="600">
        <v>1</v>
      </c>
      <c r="O75" s="72" t="str">
        <f t="shared" si="96"/>
        <v>Dual Fuel</v>
      </c>
      <c r="P75" s="7">
        <f>VLOOKUP(D75,'2018 Plan Data'!$A$4:$K$1000,11,FALSE)</f>
        <v>25</v>
      </c>
      <c r="Q75" s="652">
        <f>VLOOKUP(D75,'2018 Plan Data'!$A$4:$L$1000,12,FALSE)</f>
        <v>0</v>
      </c>
      <c r="R75" s="314">
        <f t="shared" si="135"/>
        <v>859.61720560709784</v>
      </c>
      <c r="S75" s="314">
        <f t="shared" si="134"/>
        <v>0</v>
      </c>
      <c r="T75" s="314">
        <f t="shared" si="134"/>
        <v>0.54722472223964824</v>
      </c>
      <c r="U75" s="314">
        <f t="shared" si="134"/>
        <v>0</v>
      </c>
      <c r="V75" s="314">
        <f t="shared" si="134"/>
        <v>253.78747686628907</v>
      </c>
      <c r="W75" s="314">
        <f>W34</f>
        <v>0</v>
      </c>
      <c r="X75" s="600"/>
      <c r="Y75" s="600"/>
      <c r="Z75" s="600"/>
      <c r="AA75" s="600"/>
      <c r="AB75" s="600"/>
      <c r="AC75" s="600"/>
      <c r="AD75" s="309">
        <f t="shared" si="97"/>
        <v>1</v>
      </c>
      <c r="AE75" s="309">
        <f t="shared" si="91"/>
        <v>1</v>
      </c>
      <c r="AF75" s="309">
        <f t="shared" si="91"/>
        <v>1</v>
      </c>
      <c r="AG75" s="309">
        <f t="shared" si="91"/>
        <v>1</v>
      </c>
      <c r="AH75" s="314">
        <f t="shared" si="98"/>
        <v>859.61720560709784</v>
      </c>
      <c r="AI75" s="314">
        <f t="shared" si="99"/>
        <v>859.61720560709784</v>
      </c>
      <c r="AJ75" s="314">
        <f t="shared" si="100"/>
        <v>859.61720560709784</v>
      </c>
      <c r="AK75" s="314">
        <f t="shared" si="101"/>
        <v>859.61720560709784</v>
      </c>
      <c r="AL75" s="309">
        <f t="shared" si="102"/>
        <v>1</v>
      </c>
      <c r="AM75" s="309">
        <f t="shared" si="103"/>
        <v>1</v>
      </c>
      <c r="AN75" s="309">
        <f t="shared" si="104"/>
        <v>1</v>
      </c>
      <c r="AO75" s="309">
        <f t="shared" si="105"/>
        <v>1</v>
      </c>
      <c r="AP75" s="446">
        <f t="shared" si="106"/>
        <v>0.54722472223964824</v>
      </c>
      <c r="AQ75" s="446">
        <f t="shared" si="107"/>
        <v>0.54722472223964824</v>
      </c>
      <c r="AR75" s="446">
        <f t="shared" si="108"/>
        <v>0.54722472223964824</v>
      </c>
      <c r="AS75" s="446">
        <f t="shared" si="109"/>
        <v>0.54722472223964824</v>
      </c>
      <c r="AT75" s="309">
        <f t="shared" si="82"/>
        <v>1</v>
      </c>
      <c r="AU75" s="309">
        <f t="shared" si="92"/>
        <v>1</v>
      </c>
      <c r="AV75" s="309">
        <f t="shared" si="92"/>
        <v>1</v>
      </c>
      <c r="AW75" s="309">
        <f t="shared" si="92"/>
        <v>1</v>
      </c>
      <c r="AX75" s="243">
        <f t="shared" si="84"/>
        <v>253.78747686628907</v>
      </c>
      <c r="AY75" s="243">
        <f t="shared" si="85"/>
        <v>253.78747686628907</v>
      </c>
      <c r="AZ75" s="243">
        <f t="shared" si="86"/>
        <v>253.78747686628907</v>
      </c>
      <c r="BA75" s="243">
        <f t="shared" si="87"/>
        <v>253.78747686628907</v>
      </c>
      <c r="BB75" s="243">
        <f>VLOOKUP($D75,'2018 Plan Data'!$A$4:$K$2000,6,FALSE)</f>
        <v>20.159300000000002</v>
      </c>
      <c r="BC75" s="243">
        <f>VLOOKUP($D75,'2018 Plan Data'!$A$4:$K$2000,7,FALSE)</f>
        <v>20.229825000000002</v>
      </c>
      <c r="BD75" s="243">
        <f>VLOOKUP($D75,'2018 Plan Data'!$A$4:$K$2000,8,FALSE)</f>
        <v>18.651149999999998</v>
      </c>
      <c r="BE75" s="243">
        <f>VLOOKUP($D75,'2018 Plan Data'!$A$4:$K$2000,9,FALSE)</f>
        <v>20.006786974999997</v>
      </c>
      <c r="BF75" s="243">
        <f t="shared" si="110"/>
        <v>17329.281132995169</v>
      </c>
      <c r="BG75" s="243">
        <f t="shared" si="111"/>
        <v>17389.905636420608</v>
      </c>
      <c r="BH75" s="243">
        <f t="shared" si="112"/>
        <v>16032.849444358821</v>
      </c>
      <c r="BI75" s="243">
        <f t="shared" si="113"/>
        <v>17198.17831262598</v>
      </c>
      <c r="BJ75" s="243">
        <f t="shared" si="114"/>
        <v>5116.1778823905815</v>
      </c>
      <c r="BK75" s="243">
        <f t="shared" si="115"/>
        <v>5134.0762441965771</v>
      </c>
      <c r="BL75" s="243">
        <f t="shared" si="116"/>
        <v>4733.428299154687</v>
      </c>
      <c r="BM75" s="243">
        <f t="shared" si="117"/>
        <v>5077.4719865865854</v>
      </c>
      <c r="BN75" s="243">
        <f t="shared" si="118"/>
        <v>17329.281132995169</v>
      </c>
      <c r="BO75" s="243">
        <f t="shared" si="119"/>
        <v>17389.905636420608</v>
      </c>
      <c r="BP75" s="243">
        <f t="shared" si="120"/>
        <v>16032.849444358821</v>
      </c>
      <c r="BQ75" s="243">
        <f t="shared" si="121"/>
        <v>17198.17831262598</v>
      </c>
      <c r="BR75" s="243">
        <f t="shared" si="122"/>
        <v>5116.1778823905815</v>
      </c>
      <c r="BS75" s="243">
        <f t="shared" si="123"/>
        <v>5134.0762441965771</v>
      </c>
      <c r="BT75" s="243">
        <f t="shared" si="124"/>
        <v>4733.428299154687</v>
      </c>
      <c r="BU75" s="243">
        <f t="shared" si="125"/>
        <v>5077.4719865865854</v>
      </c>
      <c r="BW75" s="314">
        <f>VLOOKUP($D75,'2018 Plan Data'!$A$4:$T$2000,13,FALSE)</f>
        <v>10694.226946179533</v>
      </c>
      <c r="BX75" s="314">
        <f>VLOOKUP($D75,'2018 Plan Data'!$A$4:$T$2000,14,FALSE)</f>
        <v>10731.639473171012</v>
      </c>
      <c r="BY75" s="314">
        <f>VLOOKUP($D75,'2018 Plan Data'!$A$4:$T$2000,15,FALSE)</f>
        <v>9894.1744459002239</v>
      </c>
      <c r="BZ75" s="314">
        <f>VLOOKUP($D75,'2018 Plan Data'!$A$4:$T$2000,16,FALSE)</f>
        <v>10613.320917617113</v>
      </c>
      <c r="CA75" s="314">
        <f>VLOOKUP($D75,'2018 Plan Data'!$A$4:$T$2000,17,FALSE)</f>
        <v>3875.8923351443796</v>
      </c>
      <c r="CB75" s="314">
        <f>VLOOKUP($D75,'2018 Plan Data'!$A$4:$T$2000,18,FALSE)</f>
        <v>3889.4517001489212</v>
      </c>
      <c r="CC75" s="314">
        <f>VLOOKUP($D75,'2018 Plan Data'!$A$4:$T$2000,19,FALSE)</f>
        <v>3585.9305296626412</v>
      </c>
      <c r="CD75" s="314">
        <f>VLOOKUP($D75,'2018 Plan Data'!$A$4:$T$2000,20,FALSE)</f>
        <v>3846.5696868080186</v>
      </c>
      <c r="CE75" t="b">
        <f t="shared" si="126"/>
        <v>0</v>
      </c>
      <c r="CF75" t="b">
        <f t="shared" si="127"/>
        <v>0</v>
      </c>
      <c r="CG75" t="b">
        <f t="shared" si="128"/>
        <v>0</v>
      </c>
      <c r="CH75" t="b">
        <f t="shared" si="129"/>
        <v>0</v>
      </c>
      <c r="CI75" t="b">
        <f t="shared" si="130"/>
        <v>0</v>
      </c>
      <c r="CJ75" t="b">
        <f t="shared" si="131"/>
        <v>0</v>
      </c>
      <c r="CK75" t="b">
        <f t="shared" si="132"/>
        <v>0</v>
      </c>
      <c r="CL75" t="b">
        <f t="shared" si="133"/>
        <v>0</v>
      </c>
    </row>
    <row r="76" spans="1:90" ht="15" customHeight="1" x14ac:dyDescent="0.35">
      <c r="A76" s="585">
        <f t="shared" si="94"/>
        <v>607</v>
      </c>
      <c r="B76" t="str">
        <f t="shared" si="95"/>
        <v>Residential_Income Qualified</v>
      </c>
      <c r="C76" s="600"/>
      <c r="D76" s="600">
        <v>607</v>
      </c>
      <c r="E76" s="600" t="s">
        <v>78</v>
      </c>
      <c r="F76" s="600" t="str">
        <f>VLOOKUP(G76,Sheet4!$D$6:$E$22,2,FALSE)</f>
        <v>Income Qualified</v>
      </c>
      <c r="G76" s="445" t="s">
        <v>1933</v>
      </c>
      <c r="H76" s="673" t="s">
        <v>1844</v>
      </c>
      <c r="I76" s="232"/>
      <c r="J76" s="18" t="s">
        <v>7</v>
      </c>
      <c r="K76" s="112" t="s">
        <v>483</v>
      </c>
      <c r="L76" s="112" t="s">
        <v>1723</v>
      </c>
      <c r="M76" s="600">
        <v>1</v>
      </c>
      <c r="O76" s="72" t="str">
        <f t="shared" si="96"/>
        <v>Gas</v>
      </c>
      <c r="P76" s="7">
        <f>VLOOKUP(D76,'2018 Plan Data'!$A$4:$K$1000,11,FALSE)</f>
        <v>13</v>
      </c>
      <c r="Q76" s="652">
        <f>VLOOKUP(D76,'2018 Plan Data'!$A$4:$L$1000,12,FALSE)</f>
        <v>0</v>
      </c>
      <c r="R76" s="314">
        <f t="shared" si="135"/>
        <v>0</v>
      </c>
      <c r="S76" s="314">
        <f t="shared" si="134"/>
        <v>0</v>
      </c>
      <c r="T76" s="314">
        <f t="shared" si="134"/>
        <v>0</v>
      </c>
      <c r="U76" s="314">
        <f t="shared" si="134"/>
        <v>0</v>
      </c>
      <c r="V76" s="314">
        <f t="shared" si="134"/>
        <v>4.4032292307692309</v>
      </c>
      <c r="W76" s="314">
        <f>W35</f>
        <v>0</v>
      </c>
      <c r="AD76" s="309">
        <f t="shared" si="97"/>
        <v>1</v>
      </c>
      <c r="AE76" s="309">
        <f t="shared" si="91"/>
        <v>1</v>
      </c>
      <c r="AF76" s="309">
        <f t="shared" si="91"/>
        <v>1</v>
      </c>
      <c r="AG76" s="309">
        <f t="shared" si="91"/>
        <v>1</v>
      </c>
      <c r="AH76" s="314">
        <f t="shared" si="98"/>
        <v>0</v>
      </c>
      <c r="AI76" s="314">
        <f t="shared" si="99"/>
        <v>0</v>
      </c>
      <c r="AJ76" s="314">
        <f t="shared" si="100"/>
        <v>0</v>
      </c>
      <c r="AK76" s="314">
        <f t="shared" si="101"/>
        <v>0</v>
      </c>
      <c r="AL76" s="309">
        <f t="shared" si="102"/>
        <v>1</v>
      </c>
      <c r="AM76" s="309">
        <f t="shared" si="103"/>
        <v>1</v>
      </c>
      <c r="AN76" s="309">
        <f t="shared" si="104"/>
        <v>1</v>
      </c>
      <c r="AO76" s="309">
        <f t="shared" si="105"/>
        <v>1</v>
      </c>
      <c r="AP76" s="446">
        <f t="shared" si="106"/>
        <v>0</v>
      </c>
      <c r="AQ76" s="446">
        <f t="shared" si="107"/>
        <v>0</v>
      </c>
      <c r="AR76" s="446">
        <f t="shared" si="108"/>
        <v>0</v>
      </c>
      <c r="AS76" s="446">
        <f t="shared" si="109"/>
        <v>0</v>
      </c>
      <c r="AT76" s="309">
        <f t="shared" si="82"/>
        <v>1</v>
      </c>
      <c r="AU76" s="309">
        <f t="shared" si="92"/>
        <v>1</v>
      </c>
      <c r="AV76" s="309">
        <f t="shared" si="92"/>
        <v>1</v>
      </c>
      <c r="AW76" s="309">
        <f t="shared" si="92"/>
        <v>1</v>
      </c>
      <c r="AX76" s="243">
        <f t="shared" si="84"/>
        <v>4.4032292307692309</v>
      </c>
      <c r="AY76" s="243">
        <f t="shared" si="85"/>
        <v>4.4032292307692309</v>
      </c>
      <c r="AZ76" s="243">
        <f t="shared" si="86"/>
        <v>4.4032292307692309</v>
      </c>
      <c r="BA76" s="243">
        <f t="shared" si="87"/>
        <v>4.4032292307692309</v>
      </c>
      <c r="BB76" s="243">
        <f>VLOOKUP($D76,'2018 Plan Data'!$A$4:$K$2000,6,FALSE)</f>
        <v>650</v>
      </c>
      <c r="BC76" s="243">
        <f>VLOOKUP($D76,'2018 Plan Data'!$A$4:$K$2000,7,FALSE)</f>
        <v>653</v>
      </c>
      <c r="BD76" s="243">
        <f>VLOOKUP($D76,'2018 Plan Data'!$A$4:$K$2000,8,FALSE)</f>
        <v>602</v>
      </c>
      <c r="BE76" s="243">
        <f>VLOOKUP($D76,'2018 Plan Data'!$A$4:$K$2000,9,FALSE)</f>
        <v>645</v>
      </c>
      <c r="BF76" s="243">
        <f t="shared" si="110"/>
        <v>0</v>
      </c>
      <c r="BG76" s="243">
        <f t="shared" si="111"/>
        <v>0</v>
      </c>
      <c r="BH76" s="243">
        <f t="shared" si="112"/>
        <v>0</v>
      </c>
      <c r="BI76" s="243">
        <f t="shared" si="113"/>
        <v>0</v>
      </c>
      <c r="BJ76" s="243">
        <f t="shared" si="114"/>
        <v>2862.0990000000002</v>
      </c>
      <c r="BK76" s="243">
        <f t="shared" si="115"/>
        <v>2875.3086876923076</v>
      </c>
      <c r="BL76" s="243">
        <f t="shared" si="116"/>
        <v>2650.7439969230768</v>
      </c>
      <c r="BM76" s="243">
        <f t="shared" si="117"/>
        <v>2840.0828538461537</v>
      </c>
      <c r="BN76" s="243">
        <f t="shared" si="118"/>
        <v>0</v>
      </c>
      <c r="BO76" s="243">
        <f t="shared" si="119"/>
        <v>0</v>
      </c>
      <c r="BP76" s="243">
        <f t="shared" si="120"/>
        <v>0</v>
      </c>
      <c r="BQ76" s="243">
        <f t="shared" si="121"/>
        <v>0</v>
      </c>
      <c r="BR76" s="243">
        <f t="shared" si="122"/>
        <v>2862.0990000000002</v>
      </c>
      <c r="BS76" s="243">
        <f t="shared" si="123"/>
        <v>2875.3086876923076</v>
      </c>
      <c r="BT76" s="243">
        <f t="shared" si="124"/>
        <v>2650.7439969230768</v>
      </c>
      <c r="BU76" s="243">
        <f t="shared" si="125"/>
        <v>2840.0828538461537</v>
      </c>
      <c r="BW76" s="314">
        <f>VLOOKUP($D76,'2018 Plan Data'!$A$4:$T$2000,13,FALSE)</f>
        <v>0</v>
      </c>
      <c r="BX76" s="314">
        <f>VLOOKUP($D76,'2018 Plan Data'!$A$4:$T$2000,14,FALSE)</f>
        <v>0</v>
      </c>
      <c r="BY76" s="314">
        <f>VLOOKUP($D76,'2018 Plan Data'!$A$4:$T$2000,15,FALSE)</f>
        <v>0</v>
      </c>
      <c r="BZ76" s="314">
        <f>VLOOKUP($D76,'2018 Plan Data'!$A$4:$T$2000,16,FALSE)</f>
        <v>0</v>
      </c>
      <c r="CA76" s="314">
        <f>VLOOKUP($D76,'2018 Plan Data'!$A$4:$T$2000,17,FALSE)</f>
        <v>3436.2719999999999</v>
      </c>
      <c r="CB76" s="314">
        <f>VLOOKUP($D76,'2018 Plan Data'!$A$4:$T$2000,18,FALSE)</f>
        <v>3452.131716923077</v>
      </c>
      <c r="CC76" s="314">
        <f>VLOOKUP($D76,'2018 Plan Data'!$A$4:$T$2000,19,FALSE)</f>
        <v>3182.5165292307693</v>
      </c>
      <c r="CD76" s="314">
        <f>VLOOKUP($D76,'2018 Plan Data'!$A$4:$T$2000,20,FALSE)</f>
        <v>3409.8391384615384</v>
      </c>
      <c r="CE76" t="b">
        <f t="shared" si="126"/>
        <v>1</v>
      </c>
      <c r="CF76" t="b">
        <f t="shared" si="127"/>
        <v>1</v>
      </c>
      <c r="CG76" t="b">
        <f t="shared" si="128"/>
        <v>1</v>
      </c>
      <c r="CH76" t="b">
        <f t="shared" si="129"/>
        <v>1</v>
      </c>
      <c r="CI76" t="b">
        <f t="shared" si="130"/>
        <v>0</v>
      </c>
      <c r="CJ76" t="b">
        <f t="shared" si="131"/>
        <v>0</v>
      </c>
      <c r="CK76" t="b">
        <f t="shared" si="132"/>
        <v>0</v>
      </c>
      <c r="CL76" t="b">
        <f t="shared" si="133"/>
        <v>0</v>
      </c>
    </row>
    <row r="77" spans="1:90" ht="15" customHeight="1" x14ac:dyDescent="0.35">
      <c r="A77" s="585">
        <f t="shared" si="94"/>
        <v>698</v>
      </c>
      <c r="B77" t="str">
        <f t="shared" si="95"/>
        <v>Residential_Income Qualified</v>
      </c>
      <c r="C77" s="600"/>
      <c r="D77" s="600">
        <v>698</v>
      </c>
      <c r="E77" s="600" t="s">
        <v>78</v>
      </c>
      <c r="F77" s="600" t="str">
        <f>VLOOKUP(G77,Sheet4!$D$6:$E$22,2,FALSE)</f>
        <v>Income Qualified</v>
      </c>
      <c r="G77" s="445" t="s">
        <v>1933</v>
      </c>
      <c r="H77" s="673" t="s">
        <v>39</v>
      </c>
      <c r="I77" s="232"/>
      <c r="J77" s="18" t="s">
        <v>1009</v>
      </c>
      <c r="K77" s="18" t="s">
        <v>643</v>
      </c>
      <c r="L77" s="18" t="s">
        <v>1725</v>
      </c>
      <c r="M77" s="600">
        <v>1</v>
      </c>
      <c r="O77" s="72" t="str">
        <f t="shared" si="96"/>
        <v>Gas</v>
      </c>
      <c r="P77" s="7">
        <f>VLOOKUP(D77,'2018 Plan Data'!$A$4:$K$1000,11,FALSE)</f>
        <v>10</v>
      </c>
      <c r="Q77" s="652">
        <f>VLOOKUP(D77,'2018 Plan Data'!$A$4:$L$1000,12,FALSE)</f>
        <v>0</v>
      </c>
      <c r="R77" s="314">
        <f t="shared" ref="R77:W77" si="136">R16</f>
        <v>0</v>
      </c>
      <c r="S77" s="314">
        <f t="shared" si="136"/>
        <v>0</v>
      </c>
      <c r="T77" s="314">
        <f t="shared" si="136"/>
        <v>0</v>
      </c>
      <c r="U77" s="314">
        <f t="shared" si="136"/>
        <v>0</v>
      </c>
      <c r="V77" s="314">
        <f t="shared" si="136"/>
        <v>5.82</v>
      </c>
      <c r="W77" s="314">
        <f t="shared" si="136"/>
        <v>0</v>
      </c>
      <c r="AD77" s="309">
        <f t="shared" si="97"/>
        <v>1</v>
      </c>
      <c r="AE77" s="309">
        <f t="shared" si="91"/>
        <v>1</v>
      </c>
      <c r="AF77" s="309">
        <f t="shared" si="91"/>
        <v>1</v>
      </c>
      <c r="AG77" s="309">
        <f t="shared" si="91"/>
        <v>1</v>
      </c>
      <c r="AH77" s="314">
        <f t="shared" si="98"/>
        <v>0</v>
      </c>
      <c r="AI77" s="314">
        <f t="shared" si="99"/>
        <v>0</v>
      </c>
      <c r="AJ77" s="314">
        <f t="shared" si="100"/>
        <v>0</v>
      </c>
      <c r="AK77" s="314">
        <f t="shared" si="101"/>
        <v>0</v>
      </c>
      <c r="AL77" s="309">
        <f t="shared" si="102"/>
        <v>1</v>
      </c>
      <c r="AM77" s="309">
        <f t="shared" si="103"/>
        <v>1</v>
      </c>
      <c r="AN77" s="309">
        <f t="shared" si="104"/>
        <v>1</v>
      </c>
      <c r="AO77" s="309">
        <f t="shared" si="105"/>
        <v>1</v>
      </c>
      <c r="AP77" s="446">
        <f t="shared" si="106"/>
        <v>0</v>
      </c>
      <c r="AQ77" s="446">
        <f t="shared" si="107"/>
        <v>0</v>
      </c>
      <c r="AR77" s="446">
        <f t="shared" si="108"/>
        <v>0</v>
      </c>
      <c r="AS77" s="446">
        <f t="shared" si="109"/>
        <v>0</v>
      </c>
      <c r="AT77" s="309">
        <f t="shared" si="82"/>
        <v>1</v>
      </c>
      <c r="AU77" s="309">
        <f t="shared" si="92"/>
        <v>1</v>
      </c>
      <c r="AV77" s="309">
        <f t="shared" si="92"/>
        <v>1</v>
      </c>
      <c r="AW77" s="309">
        <f t="shared" si="92"/>
        <v>1</v>
      </c>
      <c r="AX77" s="243">
        <f t="shared" si="84"/>
        <v>5.82</v>
      </c>
      <c r="AY77" s="243">
        <f t="shared" si="85"/>
        <v>5.82</v>
      </c>
      <c r="AZ77" s="243">
        <f t="shared" si="86"/>
        <v>5.82</v>
      </c>
      <c r="BA77" s="243">
        <f t="shared" si="87"/>
        <v>5.82</v>
      </c>
      <c r="BB77" s="243">
        <f>VLOOKUP($D77,'2018 Plan Data'!$A$4:$K$2000,6,FALSE)</f>
        <v>1122</v>
      </c>
      <c r="BC77" s="243">
        <f>VLOOKUP($D77,'2018 Plan Data'!$A$4:$K$2000,7,FALSE)</f>
        <v>1126</v>
      </c>
      <c r="BD77" s="243">
        <f>VLOOKUP($D77,'2018 Plan Data'!$A$4:$K$2000,8,FALSE)</f>
        <v>1038</v>
      </c>
      <c r="BE77" s="243">
        <f>VLOOKUP($D77,'2018 Plan Data'!$A$4:$K$2000,9,FALSE)</f>
        <v>1113</v>
      </c>
      <c r="BF77" s="243">
        <f t="shared" si="110"/>
        <v>0</v>
      </c>
      <c r="BG77" s="243">
        <f t="shared" si="111"/>
        <v>0</v>
      </c>
      <c r="BH77" s="243">
        <f t="shared" si="112"/>
        <v>0</v>
      </c>
      <c r="BI77" s="243">
        <f t="shared" si="113"/>
        <v>0</v>
      </c>
      <c r="BJ77" s="243">
        <f t="shared" si="114"/>
        <v>6530.04</v>
      </c>
      <c r="BK77" s="243">
        <f t="shared" si="115"/>
        <v>6553.3200000000006</v>
      </c>
      <c r="BL77" s="243">
        <f t="shared" si="116"/>
        <v>6041.16</v>
      </c>
      <c r="BM77" s="243">
        <f t="shared" si="117"/>
        <v>6477.6600000000008</v>
      </c>
      <c r="BN77" s="243">
        <f t="shared" si="118"/>
        <v>0</v>
      </c>
      <c r="BO77" s="243">
        <f t="shared" si="119"/>
        <v>0</v>
      </c>
      <c r="BP77" s="243">
        <f t="shared" si="120"/>
        <v>0</v>
      </c>
      <c r="BQ77" s="243">
        <f t="shared" si="121"/>
        <v>0</v>
      </c>
      <c r="BR77" s="243">
        <f t="shared" si="122"/>
        <v>6530.04</v>
      </c>
      <c r="BS77" s="243">
        <f t="shared" si="123"/>
        <v>6553.3200000000006</v>
      </c>
      <c r="BT77" s="243">
        <f t="shared" si="124"/>
        <v>6041.16</v>
      </c>
      <c r="BU77" s="243">
        <f t="shared" si="125"/>
        <v>6477.6600000000008</v>
      </c>
      <c r="BW77" s="314">
        <f>VLOOKUP($D77,'2018 Plan Data'!$A$4:$T$2000,13,FALSE)</f>
        <v>0</v>
      </c>
      <c r="BX77" s="314">
        <f>VLOOKUP($D77,'2018 Plan Data'!$A$4:$T$2000,14,FALSE)</f>
        <v>0</v>
      </c>
      <c r="BY77" s="314">
        <f>VLOOKUP($D77,'2018 Plan Data'!$A$4:$T$2000,15,FALSE)</f>
        <v>0</v>
      </c>
      <c r="BZ77" s="314">
        <f>VLOOKUP($D77,'2018 Plan Data'!$A$4:$T$2000,16,FALSE)</f>
        <v>0</v>
      </c>
      <c r="CA77" s="314">
        <f>VLOOKUP($D77,'2018 Plan Data'!$A$4:$T$2000,17,FALSE)</f>
        <v>12386.88</v>
      </c>
      <c r="CB77" s="314">
        <f>VLOOKUP($D77,'2018 Plan Data'!$A$4:$T$2000,18,FALSE)</f>
        <v>12431.039999999999</v>
      </c>
      <c r="CC77" s="314">
        <f>VLOOKUP($D77,'2018 Plan Data'!$A$4:$T$2000,19,FALSE)</f>
        <v>11459.519999999999</v>
      </c>
      <c r="CD77" s="314">
        <f>VLOOKUP($D77,'2018 Plan Data'!$A$4:$T$2000,20,FALSE)</f>
        <v>12287.519999999999</v>
      </c>
      <c r="CE77" t="b">
        <f t="shared" si="126"/>
        <v>1</v>
      </c>
      <c r="CF77" t="b">
        <f t="shared" si="127"/>
        <v>1</v>
      </c>
      <c r="CG77" t="b">
        <f t="shared" si="128"/>
        <v>1</v>
      </c>
      <c r="CH77" t="b">
        <f t="shared" si="129"/>
        <v>1</v>
      </c>
      <c r="CI77" t="b">
        <f t="shared" si="130"/>
        <v>0</v>
      </c>
      <c r="CJ77" t="b">
        <f t="shared" si="131"/>
        <v>0</v>
      </c>
      <c r="CK77" t="b">
        <f t="shared" si="132"/>
        <v>0</v>
      </c>
      <c r="CL77" t="b">
        <f t="shared" si="133"/>
        <v>0</v>
      </c>
    </row>
    <row r="78" spans="1:90" ht="15" customHeight="1" x14ac:dyDescent="0.35">
      <c r="A78" s="585">
        <f t="shared" si="94"/>
        <v>677</v>
      </c>
      <c r="B78" t="str">
        <f t="shared" si="95"/>
        <v>Residential_Income Qualified</v>
      </c>
      <c r="C78" s="600"/>
      <c r="D78" s="600">
        <v>677</v>
      </c>
      <c r="E78" s="600" t="s">
        <v>78</v>
      </c>
      <c r="F78" s="600" t="str">
        <f>VLOOKUP(G78,Sheet4!$D$6:$E$22,2,FALSE)</f>
        <v>Income Qualified</v>
      </c>
      <c r="G78" s="445" t="s">
        <v>1933</v>
      </c>
      <c r="H78" s="673" t="s">
        <v>1802</v>
      </c>
      <c r="I78" s="232"/>
      <c r="J78" s="18" t="s">
        <v>1009</v>
      </c>
      <c r="K78" s="18" t="s">
        <v>667</v>
      </c>
      <c r="L78" s="600" t="s">
        <v>1916</v>
      </c>
      <c r="M78" s="600">
        <v>1</v>
      </c>
      <c r="O78" s="72" t="str">
        <f t="shared" si="96"/>
        <v>Gas</v>
      </c>
      <c r="P78" s="7">
        <f>VLOOKUP(D78,'2018 Plan Data'!$A$4:$K$1000,11,FALSE)</f>
        <v>9</v>
      </c>
      <c r="Q78" s="652">
        <f>VLOOKUP(D78,'2018 Plan Data'!$A$4:$L$1000,12,FALSE)</f>
        <v>0</v>
      </c>
      <c r="R78" s="314">
        <f t="shared" ref="R78:V80" si="137">R17</f>
        <v>0</v>
      </c>
      <c r="S78" s="314">
        <f t="shared" si="137"/>
        <v>0</v>
      </c>
      <c r="T78" s="314">
        <f t="shared" si="137"/>
        <v>0</v>
      </c>
      <c r="U78" s="314">
        <f t="shared" si="137"/>
        <v>0</v>
      </c>
      <c r="V78" s="314">
        <f t="shared" si="137"/>
        <v>4.18</v>
      </c>
      <c r="AD78" s="309">
        <f t="shared" si="97"/>
        <v>1</v>
      </c>
      <c r="AE78" s="309">
        <f t="shared" si="91"/>
        <v>1</v>
      </c>
      <c r="AF78" s="309">
        <f t="shared" si="91"/>
        <v>1</v>
      </c>
      <c r="AG78" s="309">
        <f t="shared" si="91"/>
        <v>1</v>
      </c>
      <c r="AH78" s="314">
        <f t="shared" si="98"/>
        <v>0</v>
      </c>
      <c r="AI78" s="314">
        <f t="shared" si="99"/>
        <v>0</v>
      </c>
      <c r="AJ78" s="314">
        <f t="shared" si="100"/>
        <v>0</v>
      </c>
      <c r="AK78" s="314">
        <f t="shared" si="101"/>
        <v>0</v>
      </c>
      <c r="AL78" s="309">
        <f t="shared" si="102"/>
        <v>1</v>
      </c>
      <c r="AM78" s="309">
        <f t="shared" si="103"/>
        <v>1</v>
      </c>
      <c r="AN78" s="309">
        <f t="shared" si="104"/>
        <v>1</v>
      </c>
      <c r="AO78" s="309">
        <f t="shared" si="105"/>
        <v>1</v>
      </c>
      <c r="AP78" s="446">
        <f t="shared" si="106"/>
        <v>0</v>
      </c>
      <c r="AQ78" s="446">
        <f t="shared" si="107"/>
        <v>0</v>
      </c>
      <c r="AR78" s="446">
        <f t="shared" si="108"/>
        <v>0</v>
      </c>
      <c r="AS78" s="446">
        <f t="shared" si="109"/>
        <v>0</v>
      </c>
      <c r="AT78" s="309">
        <f t="shared" si="82"/>
        <v>1</v>
      </c>
      <c r="AU78" s="309">
        <f t="shared" si="92"/>
        <v>1</v>
      </c>
      <c r="AV78" s="309">
        <f t="shared" si="92"/>
        <v>1</v>
      </c>
      <c r="AW78" s="309">
        <f t="shared" si="92"/>
        <v>1</v>
      </c>
      <c r="AX78" s="243">
        <f t="shared" si="84"/>
        <v>4.18</v>
      </c>
      <c r="AY78" s="243">
        <f t="shared" si="85"/>
        <v>4.18</v>
      </c>
      <c r="AZ78" s="243">
        <f t="shared" si="86"/>
        <v>4.18</v>
      </c>
      <c r="BA78" s="243">
        <f t="shared" si="87"/>
        <v>4.18</v>
      </c>
      <c r="BB78" s="243">
        <f>VLOOKUP($D78,'2018 Plan Data'!$A$4:$K$2000,6,FALSE)</f>
        <v>1795</v>
      </c>
      <c r="BC78" s="243">
        <f>VLOOKUP($D78,'2018 Plan Data'!$A$4:$K$2000,7,FALSE)</f>
        <v>1801</v>
      </c>
      <c r="BD78" s="243">
        <f>VLOOKUP($D78,'2018 Plan Data'!$A$4:$K$2000,8,FALSE)</f>
        <v>1661</v>
      </c>
      <c r="BE78" s="243">
        <f>VLOOKUP($D78,'2018 Plan Data'!$A$4:$K$2000,9,FALSE)</f>
        <v>1781</v>
      </c>
      <c r="BF78" s="243">
        <f t="shared" si="110"/>
        <v>0</v>
      </c>
      <c r="BG78" s="243">
        <f t="shared" si="111"/>
        <v>0</v>
      </c>
      <c r="BH78" s="243">
        <f t="shared" si="112"/>
        <v>0</v>
      </c>
      <c r="BI78" s="243">
        <f t="shared" si="113"/>
        <v>0</v>
      </c>
      <c r="BJ78" s="243">
        <f t="shared" si="114"/>
        <v>7503.0999999999995</v>
      </c>
      <c r="BK78" s="243">
        <f t="shared" si="115"/>
        <v>7528.1799999999994</v>
      </c>
      <c r="BL78" s="243">
        <f t="shared" si="116"/>
        <v>6942.98</v>
      </c>
      <c r="BM78" s="243">
        <f t="shared" si="117"/>
        <v>7444.58</v>
      </c>
      <c r="BN78" s="243">
        <f t="shared" si="118"/>
        <v>0</v>
      </c>
      <c r="BO78" s="243">
        <f t="shared" si="119"/>
        <v>0</v>
      </c>
      <c r="BP78" s="243">
        <f t="shared" si="120"/>
        <v>0</v>
      </c>
      <c r="BQ78" s="243">
        <f t="shared" si="121"/>
        <v>0</v>
      </c>
      <c r="BR78" s="243">
        <f t="shared" si="122"/>
        <v>7503.0999999999995</v>
      </c>
      <c r="BS78" s="243">
        <f t="shared" si="123"/>
        <v>7528.1799999999994</v>
      </c>
      <c r="BT78" s="243">
        <f t="shared" si="124"/>
        <v>6942.98</v>
      </c>
      <c r="BU78" s="243">
        <f t="shared" si="125"/>
        <v>7444.58</v>
      </c>
      <c r="BW78" s="314">
        <f>VLOOKUP($D78,'2018 Plan Data'!$A$4:$T$2000,13,FALSE)</f>
        <v>0</v>
      </c>
      <c r="BX78" s="314">
        <f>VLOOKUP($D78,'2018 Plan Data'!$A$4:$T$2000,14,FALSE)</f>
        <v>0</v>
      </c>
      <c r="BY78" s="314">
        <f>VLOOKUP($D78,'2018 Plan Data'!$A$4:$T$2000,15,FALSE)</f>
        <v>0</v>
      </c>
      <c r="BZ78" s="314">
        <f>VLOOKUP($D78,'2018 Plan Data'!$A$4:$T$2000,16,FALSE)</f>
        <v>0</v>
      </c>
      <c r="CA78" s="314">
        <f>VLOOKUP($D78,'2018 Plan Data'!$A$4:$T$2000,17,FALSE)</f>
        <v>5277.3</v>
      </c>
      <c r="CB78" s="314">
        <f>VLOOKUP($D78,'2018 Plan Data'!$A$4:$T$2000,18,FALSE)</f>
        <v>5294.94</v>
      </c>
      <c r="CC78" s="314">
        <f>VLOOKUP($D78,'2018 Plan Data'!$A$4:$T$2000,19,FALSE)</f>
        <v>4883.34</v>
      </c>
      <c r="CD78" s="314">
        <f>VLOOKUP($D78,'2018 Plan Data'!$A$4:$T$2000,20,FALSE)</f>
        <v>5236.1400000000003</v>
      </c>
      <c r="CE78" t="b">
        <f t="shared" si="126"/>
        <v>1</v>
      </c>
      <c r="CF78" t="b">
        <f t="shared" si="127"/>
        <v>1</v>
      </c>
      <c r="CG78" t="b">
        <f t="shared" si="128"/>
        <v>1</v>
      </c>
      <c r="CH78" t="b">
        <f t="shared" si="129"/>
        <v>1</v>
      </c>
      <c r="CI78" t="b">
        <f t="shared" si="130"/>
        <v>0</v>
      </c>
      <c r="CJ78" t="b">
        <f t="shared" si="131"/>
        <v>0</v>
      </c>
      <c r="CK78" t="b">
        <f t="shared" si="132"/>
        <v>0</v>
      </c>
      <c r="CL78" t="b">
        <f t="shared" si="133"/>
        <v>0</v>
      </c>
    </row>
    <row r="79" spans="1:90" ht="15" customHeight="1" x14ac:dyDescent="0.35">
      <c r="A79" s="585">
        <f t="shared" si="94"/>
        <v>637</v>
      </c>
      <c r="B79" t="str">
        <f t="shared" si="95"/>
        <v>Residential_Income Qualified</v>
      </c>
      <c r="C79" s="600"/>
      <c r="D79" s="600">
        <v>637</v>
      </c>
      <c r="E79" s="600" t="s">
        <v>78</v>
      </c>
      <c r="F79" s="600" t="str">
        <f>VLOOKUP(G79,Sheet4!$D$6:$E$22,2,FALSE)</f>
        <v>Income Qualified</v>
      </c>
      <c r="G79" s="445" t="s">
        <v>1933</v>
      </c>
      <c r="H79" s="673" t="s">
        <v>1807</v>
      </c>
      <c r="I79" s="232"/>
      <c r="J79" s="18" t="s">
        <v>1009</v>
      </c>
      <c r="K79" s="18" t="s">
        <v>710</v>
      </c>
      <c r="L79" s="18" t="s">
        <v>1730</v>
      </c>
      <c r="M79" s="600">
        <v>1</v>
      </c>
      <c r="O79" s="72" t="str">
        <f t="shared" si="96"/>
        <v>Dual Fuel</v>
      </c>
      <c r="P79" s="7">
        <f>VLOOKUP(D79,'2018 Plan Data'!$A$4:$K$1000,11,FALSE)</f>
        <v>15</v>
      </c>
      <c r="Q79" s="652">
        <f>VLOOKUP(D79,'2018 Plan Data'!$A$4:$L$1000,12,FALSE)</f>
        <v>0</v>
      </c>
      <c r="R79" s="314">
        <f t="shared" si="137"/>
        <v>570.76425000000006</v>
      </c>
      <c r="S79" s="314">
        <f t="shared" si="137"/>
        <v>0</v>
      </c>
      <c r="T79" s="314">
        <f t="shared" si="137"/>
        <v>0.47249999999999998</v>
      </c>
      <c r="U79" s="314">
        <f t="shared" si="137"/>
        <v>0</v>
      </c>
      <c r="V79" s="314">
        <f t="shared" si="137"/>
        <v>118.71115624883724</v>
      </c>
      <c r="AD79" s="309">
        <f t="shared" si="97"/>
        <v>1</v>
      </c>
      <c r="AE79" s="309">
        <f t="shared" si="91"/>
        <v>1</v>
      </c>
      <c r="AF79" s="309">
        <f t="shared" si="91"/>
        <v>1</v>
      </c>
      <c r="AG79" s="309">
        <f t="shared" si="91"/>
        <v>1</v>
      </c>
      <c r="AH79" s="314">
        <f t="shared" si="98"/>
        <v>570.76425000000006</v>
      </c>
      <c r="AI79" s="314">
        <f t="shared" si="99"/>
        <v>570.76425000000006</v>
      </c>
      <c r="AJ79" s="314">
        <f t="shared" si="100"/>
        <v>570.76425000000006</v>
      </c>
      <c r="AK79" s="314">
        <f t="shared" si="101"/>
        <v>570.76425000000006</v>
      </c>
      <c r="AL79" s="309">
        <f t="shared" si="102"/>
        <v>1</v>
      </c>
      <c r="AM79" s="309">
        <f t="shared" si="103"/>
        <v>1</v>
      </c>
      <c r="AN79" s="309">
        <f t="shared" si="104"/>
        <v>1</v>
      </c>
      <c r="AO79" s="309">
        <f t="shared" si="105"/>
        <v>1</v>
      </c>
      <c r="AP79" s="446">
        <f t="shared" si="106"/>
        <v>0.47249999999999998</v>
      </c>
      <c r="AQ79" s="446">
        <f t="shared" si="107"/>
        <v>0.47249999999999998</v>
      </c>
      <c r="AR79" s="446">
        <f t="shared" si="108"/>
        <v>0.47249999999999998</v>
      </c>
      <c r="AS79" s="446">
        <f t="shared" si="109"/>
        <v>0.47249999999999998</v>
      </c>
      <c r="AT79" s="309">
        <f t="shared" si="82"/>
        <v>1</v>
      </c>
      <c r="AU79" s="309">
        <f t="shared" si="92"/>
        <v>1</v>
      </c>
      <c r="AV79" s="309">
        <f t="shared" si="92"/>
        <v>1</v>
      </c>
      <c r="AW79" s="309">
        <f t="shared" si="92"/>
        <v>1</v>
      </c>
      <c r="AX79" s="243">
        <f t="shared" si="84"/>
        <v>118.71115624883724</v>
      </c>
      <c r="AY79" s="243">
        <f t="shared" si="85"/>
        <v>118.71115624883724</v>
      </c>
      <c r="AZ79" s="243">
        <f t="shared" si="86"/>
        <v>118.71115624883724</v>
      </c>
      <c r="BA79" s="243">
        <f t="shared" si="87"/>
        <v>118.71115624883724</v>
      </c>
      <c r="BB79" s="243">
        <f>VLOOKUP($D79,'2018 Plan Data'!$A$4:$K$2000,6,FALSE)</f>
        <v>718</v>
      </c>
      <c r="BC79" s="243">
        <f>VLOOKUP($D79,'2018 Plan Data'!$A$4:$K$2000,7,FALSE)</f>
        <v>720</v>
      </c>
      <c r="BD79" s="243">
        <f>VLOOKUP($D79,'2018 Plan Data'!$A$4:$K$2000,8,FALSE)</f>
        <v>664</v>
      </c>
      <c r="BE79" s="243">
        <f>VLOOKUP($D79,'2018 Plan Data'!$A$4:$K$2000,9,FALSE)</f>
        <v>712</v>
      </c>
      <c r="BF79" s="243">
        <f t="shared" si="110"/>
        <v>409808.73150000005</v>
      </c>
      <c r="BG79" s="243">
        <f t="shared" si="111"/>
        <v>410950.26000000007</v>
      </c>
      <c r="BH79" s="243">
        <f t="shared" si="112"/>
        <v>378987.46200000006</v>
      </c>
      <c r="BI79" s="243">
        <f t="shared" si="113"/>
        <v>406384.14600000007</v>
      </c>
      <c r="BJ79" s="243">
        <f t="shared" si="114"/>
        <v>85234.610186665144</v>
      </c>
      <c r="BK79" s="243">
        <f t="shared" si="115"/>
        <v>85472.032499162815</v>
      </c>
      <c r="BL79" s="243">
        <f t="shared" si="116"/>
        <v>78824.207749227935</v>
      </c>
      <c r="BM79" s="243">
        <f t="shared" si="117"/>
        <v>84522.343249172118</v>
      </c>
      <c r="BN79" s="243">
        <f t="shared" si="118"/>
        <v>409808.73150000005</v>
      </c>
      <c r="BO79" s="243">
        <f t="shared" si="119"/>
        <v>410950.26000000007</v>
      </c>
      <c r="BP79" s="243">
        <f t="shared" si="120"/>
        <v>378987.46200000006</v>
      </c>
      <c r="BQ79" s="243">
        <f t="shared" si="121"/>
        <v>406384.14600000007</v>
      </c>
      <c r="BR79" s="243">
        <f t="shared" si="122"/>
        <v>85234.610186665144</v>
      </c>
      <c r="BS79" s="243">
        <f t="shared" si="123"/>
        <v>85472.032499162815</v>
      </c>
      <c r="BT79" s="243">
        <f t="shared" si="124"/>
        <v>78824.207749227935</v>
      </c>
      <c r="BU79" s="243">
        <f t="shared" si="125"/>
        <v>84522.343249172118</v>
      </c>
      <c r="BW79" s="314">
        <f>VLOOKUP($D79,'2018 Plan Data'!$A$4:$T$2000,13,FALSE)</f>
        <v>316638.00000000006</v>
      </c>
      <c r="BX79" s="314">
        <f>VLOOKUP($D79,'2018 Plan Data'!$A$4:$T$2000,14,FALSE)</f>
        <v>317520.00000000006</v>
      </c>
      <c r="BY79" s="314">
        <f>VLOOKUP($D79,'2018 Plan Data'!$A$4:$T$2000,15,FALSE)</f>
        <v>292824.00000000006</v>
      </c>
      <c r="BZ79" s="314">
        <f>VLOOKUP($D79,'2018 Plan Data'!$A$4:$T$2000,16,FALSE)</f>
        <v>313992.00000000006</v>
      </c>
      <c r="CA79" s="314">
        <f>VLOOKUP($D79,'2018 Plan Data'!$A$4:$T$2000,17,FALSE)</f>
        <v>82917.077860465128</v>
      </c>
      <c r="CB79" s="314">
        <f>VLOOKUP($D79,'2018 Plan Data'!$A$4:$T$2000,18,FALSE)</f>
        <v>83148.044651162811</v>
      </c>
      <c r="CC79" s="314">
        <f>VLOOKUP($D79,'2018 Plan Data'!$A$4:$T$2000,19,FALSE)</f>
        <v>76680.974511627923</v>
      </c>
      <c r="CD79" s="314">
        <f>VLOOKUP($D79,'2018 Plan Data'!$A$4:$T$2000,20,FALSE)</f>
        <v>82224.177488372108</v>
      </c>
      <c r="CE79" t="b">
        <f t="shared" si="126"/>
        <v>0</v>
      </c>
      <c r="CF79" t="b">
        <f t="shared" si="127"/>
        <v>0</v>
      </c>
      <c r="CG79" t="b">
        <f t="shared" si="128"/>
        <v>0</v>
      </c>
      <c r="CH79" t="b">
        <f t="shared" si="129"/>
        <v>0</v>
      </c>
      <c r="CI79" t="b">
        <f t="shared" si="130"/>
        <v>0</v>
      </c>
      <c r="CJ79" t="b">
        <f t="shared" si="131"/>
        <v>0</v>
      </c>
      <c r="CK79" t="b">
        <f t="shared" si="132"/>
        <v>0</v>
      </c>
      <c r="CL79" t="b">
        <f t="shared" si="133"/>
        <v>0</v>
      </c>
    </row>
    <row r="80" spans="1:90" ht="15" customHeight="1" x14ac:dyDescent="0.35">
      <c r="A80" s="585">
        <f t="shared" si="94"/>
        <v>693</v>
      </c>
      <c r="B80" t="str">
        <f t="shared" si="95"/>
        <v>Residential_Income Qualified</v>
      </c>
      <c r="C80" s="600"/>
      <c r="D80" s="600">
        <v>693</v>
      </c>
      <c r="E80" s="600" t="s">
        <v>78</v>
      </c>
      <c r="F80" s="600" t="str">
        <f>VLOOKUP(G80,Sheet4!$D$6:$E$22,2,FALSE)</f>
        <v>Income Qualified</v>
      </c>
      <c r="G80" s="445" t="s">
        <v>1933</v>
      </c>
      <c r="H80" s="673" t="s">
        <v>1808</v>
      </c>
      <c r="I80" s="232"/>
      <c r="J80" s="18" t="s">
        <v>1009</v>
      </c>
      <c r="K80" s="18" t="s">
        <v>564</v>
      </c>
      <c r="L80" s="18" t="s">
        <v>1732</v>
      </c>
      <c r="M80" s="600">
        <v>1</v>
      </c>
      <c r="O80" s="72" t="str">
        <f t="shared" si="96"/>
        <v>Dual Fuel</v>
      </c>
      <c r="P80" s="7">
        <f>VLOOKUP(D80,'2018 Plan Data'!$A$4:$K$1000,11,FALSE)</f>
        <v>25</v>
      </c>
      <c r="Q80" s="652">
        <f>VLOOKUP(D80,'2018 Plan Data'!$A$4:$L$1000,12,FALSE)</f>
        <v>0</v>
      </c>
      <c r="R80" s="314">
        <f t="shared" si="137"/>
        <v>172.70491784322687</v>
      </c>
      <c r="S80" s="314">
        <f t="shared" si="137"/>
        <v>0</v>
      </c>
      <c r="T80" s="314">
        <f t="shared" si="137"/>
        <v>0.11018885780265755</v>
      </c>
      <c r="U80" s="314">
        <f t="shared" si="137"/>
        <v>0</v>
      </c>
      <c r="V80" s="314">
        <f t="shared" si="137"/>
        <v>52.704917843226852</v>
      </c>
      <c r="AD80" s="309">
        <f t="shared" si="97"/>
        <v>1</v>
      </c>
      <c r="AE80" s="309">
        <f t="shared" si="91"/>
        <v>1</v>
      </c>
      <c r="AF80" s="309">
        <f t="shared" si="91"/>
        <v>1</v>
      </c>
      <c r="AG80" s="309">
        <f t="shared" si="91"/>
        <v>1</v>
      </c>
      <c r="AH80" s="314">
        <f t="shared" si="98"/>
        <v>172.70491784322687</v>
      </c>
      <c r="AI80" s="314">
        <f t="shared" si="99"/>
        <v>172.70491784322687</v>
      </c>
      <c r="AJ80" s="314">
        <f t="shared" si="100"/>
        <v>172.70491784322687</v>
      </c>
      <c r="AK80" s="314">
        <f t="shared" si="101"/>
        <v>172.70491784322687</v>
      </c>
      <c r="AL80" s="309">
        <f t="shared" si="102"/>
        <v>1</v>
      </c>
      <c r="AM80" s="309">
        <f t="shared" si="103"/>
        <v>1</v>
      </c>
      <c r="AN80" s="309">
        <f t="shared" si="104"/>
        <v>1</v>
      </c>
      <c r="AO80" s="309">
        <f t="shared" si="105"/>
        <v>1</v>
      </c>
      <c r="AP80" s="446">
        <f t="shared" si="106"/>
        <v>0.11018885780265755</v>
      </c>
      <c r="AQ80" s="446">
        <f t="shared" si="107"/>
        <v>0.11018885780265755</v>
      </c>
      <c r="AR80" s="446">
        <f t="shared" si="108"/>
        <v>0.11018885780265755</v>
      </c>
      <c r="AS80" s="446">
        <f t="shared" si="109"/>
        <v>0.11018885780265755</v>
      </c>
      <c r="AT80" s="309">
        <f t="shared" ref="AT80:AT98" si="138">1-AA80+AB80+AC80</f>
        <v>1</v>
      </c>
      <c r="AU80" s="309">
        <f t="shared" si="92"/>
        <v>1</v>
      </c>
      <c r="AV80" s="309">
        <f t="shared" si="92"/>
        <v>1</v>
      </c>
      <c r="AW80" s="309">
        <f t="shared" si="92"/>
        <v>1</v>
      </c>
      <c r="AX80" s="243">
        <f t="shared" si="84"/>
        <v>52.704917843226852</v>
      </c>
      <c r="AY80" s="243">
        <f t="shared" si="85"/>
        <v>52.704917843226852</v>
      </c>
      <c r="AZ80" s="243">
        <f t="shared" si="86"/>
        <v>52.704917843226852</v>
      </c>
      <c r="BA80" s="243">
        <f t="shared" si="87"/>
        <v>52.704917843226852</v>
      </c>
      <c r="BB80" s="243">
        <f>VLOOKUP($D80,'2018 Plan Data'!$A$4:$K$2000,6,FALSE)</f>
        <v>135</v>
      </c>
      <c r="BC80" s="243">
        <f>VLOOKUP($D80,'2018 Plan Data'!$A$4:$K$2000,7,FALSE)</f>
        <v>135</v>
      </c>
      <c r="BD80" s="243">
        <f>VLOOKUP($D80,'2018 Plan Data'!$A$4:$K$2000,8,FALSE)</f>
        <v>125</v>
      </c>
      <c r="BE80" s="243">
        <f>VLOOKUP($D80,'2018 Plan Data'!$A$4:$K$2000,9,FALSE)</f>
        <v>134</v>
      </c>
      <c r="BF80" s="243">
        <f t="shared" si="110"/>
        <v>23315.163908835628</v>
      </c>
      <c r="BG80" s="243">
        <f t="shared" si="111"/>
        <v>23315.163908835628</v>
      </c>
      <c r="BH80" s="243">
        <f t="shared" si="112"/>
        <v>21588.114730403358</v>
      </c>
      <c r="BI80" s="243">
        <f t="shared" si="113"/>
        <v>23142.4589909924</v>
      </c>
      <c r="BJ80" s="243">
        <f t="shared" si="114"/>
        <v>7115.1639088356251</v>
      </c>
      <c r="BK80" s="243">
        <f t="shared" si="115"/>
        <v>7115.1639088356251</v>
      </c>
      <c r="BL80" s="243">
        <f t="shared" si="116"/>
        <v>6588.1147304033566</v>
      </c>
      <c r="BM80" s="243">
        <f t="shared" si="117"/>
        <v>7062.458990992398</v>
      </c>
      <c r="BN80" s="243">
        <f t="shared" si="118"/>
        <v>23315.163908835628</v>
      </c>
      <c r="BO80" s="243">
        <f t="shared" si="119"/>
        <v>23315.163908835628</v>
      </c>
      <c r="BP80" s="243">
        <f t="shared" si="120"/>
        <v>21588.114730403358</v>
      </c>
      <c r="BQ80" s="243">
        <f t="shared" si="121"/>
        <v>23142.4589909924</v>
      </c>
      <c r="BR80" s="243">
        <f t="shared" si="122"/>
        <v>7115.1639088356251</v>
      </c>
      <c r="BS80" s="243">
        <f t="shared" si="123"/>
        <v>7115.1639088356251</v>
      </c>
      <c r="BT80" s="243">
        <f t="shared" si="124"/>
        <v>6588.1147304033566</v>
      </c>
      <c r="BU80" s="243">
        <f t="shared" si="125"/>
        <v>7062.458990992398</v>
      </c>
      <c r="BW80" s="314">
        <f>VLOOKUP($D80,'2018 Plan Data'!$A$4:$T$2000,13,FALSE)</f>
        <v>23315.163908835628</v>
      </c>
      <c r="BX80" s="314">
        <f>VLOOKUP($D80,'2018 Plan Data'!$A$4:$T$2000,14,FALSE)</f>
        <v>23315.163908835628</v>
      </c>
      <c r="BY80" s="314">
        <f>VLOOKUP($D80,'2018 Plan Data'!$A$4:$T$2000,15,FALSE)</f>
        <v>21588.114730403358</v>
      </c>
      <c r="BZ80" s="314">
        <f>VLOOKUP($D80,'2018 Plan Data'!$A$4:$T$2000,16,FALSE)</f>
        <v>23142.4589909924</v>
      </c>
      <c r="CA80" s="314">
        <f>VLOOKUP($D80,'2018 Plan Data'!$A$4:$T$2000,17,FALSE)</f>
        <v>7115.1639088356251</v>
      </c>
      <c r="CB80" s="314">
        <f>VLOOKUP($D80,'2018 Plan Data'!$A$4:$T$2000,18,FALSE)</f>
        <v>7115.1639088356251</v>
      </c>
      <c r="CC80" s="314">
        <f>VLOOKUP($D80,'2018 Plan Data'!$A$4:$T$2000,19,FALSE)</f>
        <v>6588.1147304033566</v>
      </c>
      <c r="CD80" s="314">
        <f>VLOOKUP($D80,'2018 Plan Data'!$A$4:$T$2000,20,FALSE)</f>
        <v>7062.458990992398</v>
      </c>
      <c r="CE80" t="b">
        <f t="shared" si="126"/>
        <v>1</v>
      </c>
      <c r="CF80" t="b">
        <f t="shared" si="127"/>
        <v>1</v>
      </c>
      <c r="CG80" t="b">
        <f t="shared" si="128"/>
        <v>1</v>
      </c>
      <c r="CH80" t="b">
        <f t="shared" si="129"/>
        <v>1</v>
      </c>
      <c r="CI80" t="b">
        <f t="shared" si="130"/>
        <v>1</v>
      </c>
      <c r="CJ80" t="b">
        <f t="shared" si="131"/>
        <v>1</v>
      </c>
      <c r="CK80" t="b">
        <f t="shared" si="132"/>
        <v>1</v>
      </c>
      <c r="CL80" t="b">
        <f t="shared" si="133"/>
        <v>1</v>
      </c>
    </row>
    <row r="81" spans="1:90" ht="15" customHeight="1" x14ac:dyDescent="0.35">
      <c r="A81" s="585">
        <f t="shared" si="94"/>
        <v>695</v>
      </c>
      <c r="B81" t="str">
        <f t="shared" si="95"/>
        <v>Residential_Income Qualified</v>
      </c>
      <c r="C81" s="600"/>
      <c r="D81" s="600">
        <v>695</v>
      </c>
      <c r="E81" s="600" t="s">
        <v>78</v>
      </c>
      <c r="F81" s="600" t="str">
        <f>VLOOKUP(G81,Sheet4!$D$6:$E$22,2,FALSE)</f>
        <v>Income Qualified</v>
      </c>
      <c r="G81" s="445" t="s">
        <v>1933</v>
      </c>
      <c r="H81" s="673" t="s">
        <v>1809</v>
      </c>
      <c r="I81" s="232"/>
      <c r="J81" s="18" t="s">
        <v>1009</v>
      </c>
      <c r="K81" s="2585" t="s">
        <v>3390</v>
      </c>
      <c r="L81" s="18" t="s">
        <v>1732</v>
      </c>
      <c r="M81" s="600">
        <v>1</v>
      </c>
      <c r="O81" s="72" t="str">
        <f t="shared" si="96"/>
        <v>Dual Fuel</v>
      </c>
      <c r="P81" s="7">
        <f>VLOOKUP(D81,'2018 Plan Data'!$A$4:$K$1000,11,FALSE)</f>
        <v>25</v>
      </c>
      <c r="Q81" s="652">
        <f>VLOOKUP(D81,'2018 Plan Data'!$A$4:$L$1000,12,FALSE)</f>
        <v>0</v>
      </c>
      <c r="R81" s="314">
        <f t="shared" ref="R81:T84" si="139">R20</f>
        <v>29</v>
      </c>
      <c r="S81" s="314">
        <f t="shared" si="139"/>
        <v>0</v>
      </c>
      <c r="T81" s="314">
        <f t="shared" si="139"/>
        <v>2.0310444473999198E-2</v>
      </c>
      <c r="V81" s="314">
        <f>V20</f>
        <v>2.7096845113773766</v>
      </c>
      <c r="W81" s="314">
        <f>W20</f>
        <v>0</v>
      </c>
      <c r="AD81" s="309">
        <f t="shared" si="97"/>
        <v>1</v>
      </c>
      <c r="AE81" s="309">
        <f t="shared" si="91"/>
        <v>1</v>
      </c>
      <c r="AF81" s="309">
        <f t="shared" si="91"/>
        <v>1</v>
      </c>
      <c r="AG81" s="309">
        <f t="shared" si="91"/>
        <v>1</v>
      </c>
      <c r="AH81" s="314">
        <f t="shared" si="98"/>
        <v>29</v>
      </c>
      <c r="AI81" s="314">
        <f t="shared" si="99"/>
        <v>29</v>
      </c>
      <c r="AJ81" s="314">
        <f t="shared" si="100"/>
        <v>29</v>
      </c>
      <c r="AK81" s="314">
        <f t="shared" si="101"/>
        <v>29</v>
      </c>
      <c r="AL81" s="309">
        <f t="shared" si="102"/>
        <v>1</v>
      </c>
      <c r="AM81" s="309">
        <f t="shared" si="103"/>
        <v>1</v>
      </c>
      <c r="AN81" s="309">
        <f t="shared" si="104"/>
        <v>1</v>
      </c>
      <c r="AO81" s="309">
        <f t="shared" si="105"/>
        <v>1</v>
      </c>
      <c r="AP81" s="446">
        <f t="shared" si="106"/>
        <v>2.0310444473999198E-2</v>
      </c>
      <c r="AQ81" s="446">
        <f t="shared" si="107"/>
        <v>2.0310444473999198E-2</v>
      </c>
      <c r="AR81" s="446">
        <f t="shared" si="108"/>
        <v>2.0310444473999198E-2</v>
      </c>
      <c r="AS81" s="446">
        <f t="shared" si="109"/>
        <v>2.0310444473999198E-2</v>
      </c>
      <c r="AT81" s="309">
        <f t="shared" si="138"/>
        <v>1</v>
      </c>
      <c r="AU81" s="309">
        <f t="shared" si="92"/>
        <v>1</v>
      </c>
      <c r="AV81" s="309">
        <f t="shared" si="92"/>
        <v>1</v>
      </c>
      <c r="AW81" s="309">
        <f t="shared" si="92"/>
        <v>1</v>
      </c>
      <c r="AX81" s="243">
        <f t="shared" si="84"/>
        <v>2.7096845113773766</v>
      </c>
      <c r="AY81" s="243">
        <f t="shared" si="85"/>
        <v>2.7096845113773766</v>
      </c>
      <c r="AZ81" s="243">
        <f t="shared" si="86"/>
        <v>2.7096845113773766</v>
      </c>
      <c r="BA81" s="243">
        <f t="shared" si="87"/>
        <v>2.7096845113773766</v>
      </c>
      <c r="BB81" s="243">
        <f>VLOOKUP($D81,'2018 Plan Data'!$A$4:$K$2000,6,FALSE)</f>
        <v>314</v>
      </c>
      <c r="BC81" s="243">
        <f>VLOOKUP($D81,'2018 Plan Data'!$A$4:$K$2000,7,FALSE)</f>
        <v>315</v>
      </c>
      <c r="BD81" s="243">
        <f>VLOOKUP($D81,'2018 Plan Data'!$A$4:$K$2000,8,FALSE)</f>
        <v>291</v>
      </c>
      <c r="BE81" s="243">
        <f>VLOOKUP($D81,'2018 Plan Data'!$A$4:$K$2000,9,FALSE)</f>
        <v>312</v>
      </c>
      <c r="BF81" s="243">
        <f t="shared" si="110"/>
        <v>9106</v>
      </c>
      <c r="BG81" s="243">
        <f t="shared" si="111"/>
        <v>9135</v>
      </c>
      <c r="BH81" s="243">
        <f t="shared" si="112"/>
        <v>8439</v>
      </c>
      <c r="BI81" s="243">
        <f t="shared" si="113"/>
        <v>9048</v>
      </c>
      <c r="BJ81" s="243">
        <f t="shared" si="114"/>
        <v>850.84093657249628</v>
      </c>
      <c r="BK81" s="243">
        <f t="shared" si="115"/>
        <v>853.55062108387369</v>
      </c>
      <c r="BL81" s="243">
        <f t="shared" si="116"/>
        <v>788.51819281081657</v>
      </c>
      <c r="BM81" s="243">
        <f t="shared" si="117"/>
        <v>845.42156754974155</v>
      </c>
      <c r="BN81" s="243">
        <f t="shared" si="118"/>
        <v>9106</v>
      </c>
      <c r="BO81" s="243">
        <f t="shared" si="119"/>
        <v>9135</v>
      </c>
      <c r="BP81" s="243">
        <f t="shared" si="120"/>
        <v>8439</v>
      </c>
      <c r="BQ81" s="243">
        <f t="shared" si="121"/>
        <v>9048</v>
      </c>
      <c r="BR81" s="243">
        <f t="shared" si="122"/>
        <v>850.84093657249628</v>
      </c>
      <c r="BS81" s="243">
        <f t="shared" si="123"/>
        <v>853.55062108387369</v>
      </c>
      <c r="BT81" s="243">
        <f t="shared" si="124"/>
        <v>788.51819281081657</v>
      </c>
      <c r="BU81" s="243">
        <f t="shared" si="125"/>
        <v>845.42156754974155</v>
      </c>
      <c r="BW81" s="314">
        <f>VLOOKUP($D81,'2018 Plan Data'!$A$4:$T$2000,13,FALSE)</f>
        <v>9106</v>
      </c>
      <c r="BX81" s="314">
        <f>VLOOKUP($D81,'2018 Plan Data'!$A$4:$T$2000,14,FALSE)</f>
        <v>9135</v>
      </c>
      <c r="BY81" s="314">
        <f>VLOOKUP($D81,'2018 Plan Data'!$A$4:$T$2000,15,FALSE)</f>
        <v>8439</v>
      </c>
      <c r="BZ81" s="314">
        <f>VLOOKUP($D81,'2018 Plan Data'!$A$4:$T$2000,16,FALSE)</f>
        <v>9048</v>
      </c>
      <c r="CA81" s="314">
        <f>VLOOKUP($D81,'2018 Plan Data'!$A$4:$T$2000,17,FALSE)</f>
        <v>850.84093657249628</v>
      </c>
      <c r="CB81" s="314">
        <f>VLOOKUP($D81,'2018 Plan Data'!$A$4:$T$2000,18,FALSE)</f>
        <v>853.55062108387369</v>
      </c>
      <c r="CC81" s="314">
        <f>VLOOKUP($D81,'2018 Plan Data'!$A$4:$T$2000,19,FALSE)</f>
        <v>788.51819281081657</v>
      </c>
      <c r="CD81" s="314">
        <f>VLOOKUP($D81,'2018 Plan Data'!$A$4:$T$2000,20,FALSE)</f>
        <v>845.42156754974155</v>
      </c>
      <c r="CE81" t="b">
        <f t="shared" si="126"/>
        <v>1</v>
      </c>
      <c r="CF81" t="b">
        <f t="shared" si="127"/>
        <v>1</v>
      </c>
      <c r="CG81" t="b">
        <f t="shared" si="128"/>
        <v>1</v>
      </c>
      <c r="CH81" t="b">
        <f t="shared" si="129"/>
        <v>1</v>
      </c>
      <c r="CI81" t="b">
        <f t="shared" si="130"/>
        <v>1</v>
      </c>
      <c r="CJ81" t="b">
        <f t="shared" si="131"/>
        <v>1</v>
      </c>
      <c r="CK81" t="b">
        <f t="shared" si="132"/>
        <v>1</v>
      </c>
      <c r="CL81" t="b">
        <f t="shared" si="133"/>
        <v>1</v>
      </c>
    </row>
    <row r="82" spans="1:90" ht="15" customHeight="1" x14ac:dyDescent="0.35">
      <c r="A82" s="585">
        <f t="shared" si="94"/>
        <v>663</v>
      </c>
      <c r="B82" t="str">
        <f t="shared" si="95"/>
        <v>Residential_Income Qualified</v>
      </c>
      <c r="C82" s="600"/>
      <c r="D82" s="600">
        <v>663</v>
      </c>
      <c r="E82" s="600" t="s">
        <v>78</v>
      </c>
      <c r="F82" s="600" t="str">
        <f>VLOOKUP(G82,Sheet4!$D$6:$E$22,2,FALSE)</f>
        <v>Income Qualified</v>
      </c>
      <c r="G82" s="445" t="s">
        <v>1933</v>
      </c>
      <c r="H82" s="673" t="s">
        <v>1810</v>
      </c>
      <c r="I82" s="232"/>
      <c r="J82" s="18" t="s">
        <v>1009</v>
      </c>
      <c r="K82" s="18" t="s">
        <v>746</v>
      </c>
      <c r="L82" s="18" t="s">
        <v>1731</v>
      </c>
      <c r="M82" s="600">
        <v>1</v>
      </c>
      <c r="O82" s="72" t="str">
        <f t="shared" si="96"/>
        <v>Dual Fuel</v>
      </c>
      <c r="P82" s="7">
        <f>VLOOKUP(D82,'2018 Plan Data'!$A$4:$K$1000,11,FALSE)</f>
        <v>25</v>
      </c>
      <c r="Q82" s="652">
        <f>VLOOKUP(D82,'2018 Plan Data'!$A$4:$L$1000,12,FALSE)</f>
        <v>0</v>
      </c>
      <c r="R82" s="314">
        <f t="shared" si="139"/>
        <v>22.200000000000003</v>
      </c>
      <c r="S82" s="314">
        <f t="shared" si="139"/>
        <v>0</v>
      </c>
      <c r="T82" s="314">
        <f t="shared" si="139"/>
        <v>1.4007203085516694E-2</v>
      </c>
      <c r="U82" s="314">
        <f>U21</f>
        <v>0</v>
      </c>
      <c r="V82" s="314">
        <f>V21</f>
        <v>11.869697702806754</v>
      </c>
      <c r="AD82" s="309">
        <f t="shared" si="97"/>
        <v>1</v>
      </c>
      <c r="AE82" s="309">
        <f t="shared" si="91"/>
        <v>1</v>
      </c>
      <c r="AF82" s="309">
        <f t="shared" si="91"/>
        <v>1</v>
      </c>
      <c r="AG82" s="309">
        <f t="shared" si="91"/>
        <v>1</v>
      </c>
      <c r="AH82" s="314">
        <f t="shared" si="98"/>
        <v>22.200000000000003</v>
      </c>
      <c r="AI82" s="314">
        <f t="shared" si="99"/>
        <v>22.200000000000003</v>
      </c>
      <c r="AJ82" s="314">
        <f t="shared" si="100"/>
        <v>22.200000000000003</v>
      </c>
      <c r="AK82" s="314">
        <f t="shared" si="101"/>
        <v>22.200000000000003</v>
      </c>
      <c r="AL82" s="309">
        <f t="shared" si="102"/>
        <v>1</v>
      </c>
      <c r="AM82" s="309">
        <f t="shared" si="103"/>
        <v>1</v>
      </c>
      <c r="AN82" s="309">
        <f t="shared" si="104"/>
        <v>1</v>
      </c>
      <c r="AO82" s="309">
        <f t="shared" si="105"/>
        <v>1</v>
      </c>
      <c r="AP82" s="446">
        <f t="shared" si="106"/>
        <v>1.4007203085516694E-2</v>
      </c>
      <c r="AQ82" s="446">
        <f t="shared" si="107"/>
        <v>1.4007203085516694E-2</v>
      </c>
      <c r="AR82" s="446">
        <f t="shared" si="108"/>
        <v>1.4007203085516694E-2</v>
      </c>
      <c r="AS82" s="446">
        <f t="shared" si="109"/>
        <v>1.4007203085516694E-2</v>
      </c>
      <c r="AT82" s="309">
        <f t="shared" si="138"/>
        <v>1</v>
      </c>
      <c r="AU82" s="309">
        <f t="shared" si="92"/>
        <v>1</v>
      </c>
      <c r="AV82" s="309">
        <f t="shared" si="92"/>
        <v>1</v>
      </c>
      <c r="AW82" s="309">
        <f t="shared" si="92"/>
        <v>1</v>
      </c>
      <c r="AX82" s="243">
        <f t="shared" si="84"/>
        <v>11.869697702806754</v>
      </c>
      <c r="AY82" s="243">
        <f t="shared" si="85"/>
        <v>11.869697702806754</v>
      </c>
      <c r="AZ82" s="243">
        <f t="shared" si="86"/>
        <v>11.869697702806754</v>
      </c>
      <c r="BA82" s="243">
        <f t="shared" si="87"/>
        <v>11.869697702806754</v>
      </c>
      <c r="BB82" s="243">
        <f>VLOOKUP($D82,'2018 Plan Data'!$A$4:$K$2000,6,FALSE)</f>
        <v>45</v>
      </c>
      <c r="BC82" s="243">
        <f>VLOOKUP($D82,'2018 Plan Data'!$A$4:$K$2000,7,FALSE)</f>
        <v>45</v>
      </c>
      <c r="BD82" s="243">
        <f>VLOOKUP($D82,'2018 Plan Data'!$A$4:$K$2000,8,FALSE)</f>
        <v>42</v>
      </c>
      <c r="BE82" s="243">
        <f>VLOOKUP($D82,'2018 Plan Data'!$A$4:$K$2000,9,FALSE)</f>
        <v>45</v>
      </c>
      <c r="BF82" s="243">
        <f t="shared" si="110"/>
        <v>999.00000000000011</v>
      </c>
      <c r="BG82" s="243">
        <f t="shared" si="111"/>
        <v>999.00000000000011</v>
      </c>
      <c r="BH82" s="243">
        <f t="shared" si="112"/>
        <v>932.40000000000009</v>
      </c>
      <c r="BI82" s="243">
        <f t="shared" si="113"/>
        <v>999.00000000000011</v>
      </c>
      <c r="BJ82" s="243">
        <f t="shared" si="114"/>
        <v>534.13639662630396</v>
      </c>
      <c r="BK82" s="243">
        <f t="shared" si="115"/>
        <v>534.13639662630396</v>
      </c>
      <c r="BL82" s="243">
        <f t="shared" si="116"/>
        <v>498.52730351788364</v>
      </c>
      <c r="BM82" s="243">
        <f t="shared" si="117"/>
        <v>534.13639662630396</v>
      </c>
      <c r="BN82" s="243">
        <f t="shared" si="118"/>
        <v>999.00000000000011</v>
      </c>
      <c r="BO82" s="243">
        <f t="shared" si="119"/>
        <v>999.00000000000011</v>
      </c>
      <c r="BP82" s="243">
        <f t="shared" si="120"/>
        <v>932.40000000000009</v>
      </c>
      <c r="BQ82" s="243">
        <f t="shared" si="121"/>
        <v>999.00000000000011</v>
      </c>
      <c r="BR82" s="243">
        <f t="shared" si="122"/>
        <v>534.13639662630396</v>
      </c>
      <c r="BS82" s="243">
        <f t="shared" si="123"/>
        <v>534.13639662630396</v>
      </c>
      <c r="BT82" s="243">
        <f t="shared" si="124"/>
        <v>498.52730351788364</v>
      </c>
      <c r="BU82" s="243">
        <f t="shared" si="125"/>
        <v>534.13639662630396</v>
      </c>
      <c r="BW82" s="314">
        <f>VLOOKUP($D82,'2018 Plan Data'!$A$4:$T$2000,13,FALSE)</f>
        <v>7242.7500000000009</v>
      </c>
      <c r="BX82" s="314">
        <f>VLOOKUP($D82,'2018 Plan Data'!$A$4:$T$2000,14,FALSE)</f>
        <v>7242.7500000000009</v>
      </c>
      <c r="BY82" s="314">
        <f>VLOOKUP($D82,'2018 Plan Data'!$A$4:$T$2000,15,FALSE)</f>
        <v>6759.9000000000005</v>
      </c>
      <c r="BZ82" s="314">
        <f>VLOOKUP($D82,'2018 Plan Data'!$A$4:$T$2000,16,FALSE)</f>
        <v>7242.7500000000009</v>
      </c>
      <c r="CA82" s="314">
        <f>VLOOKUP($D82,'2018 Plan Data'!$A$4:$T$2000,17,FALSE)</f>
        <v>3872.4888755407032</v>
      </c>
      <c r="CB82" s="314">
        <f>VLOOKUP($D82,'2018 Plan Data'!$A$4:$T$2000,18,FALSE)</f>
        <v>3872.4888755407032</v>
      </c>
      <c r="CC82" s="314">
        <f>VLOOKUP($D82,'2018 Plan Data'!$A$4:$T$2000,19,FALSE)</f>
        <v>3614.3229505046565</v>
      </c>
      <c r="CD82" s="314">
        <f>VLOOKUP($D82,'2018 Plan Data'!$A$4:$T$2000,20,FALSE)</f>
        <v>3872.4888755407032</v>
      </c>
      <c r="CE82" t="b">
        <f t="shared" si="126"/>
        <v>0</v>
      </c>
      <c r="CF82" t="b">
        <f t="shared" si="127"/>
        <v>0</v>
      </c>
      <c r="CG82" t="b">
        <f t="shared" si="128"/>
        <v>0</v>
      </c>
      <c r="CH82" t="b">
        <f t="shared" si="129"/>
        <v>0</v>
      </c>
      <c r="CI82" t="b">
        <f t="shared" si="130"/>
        <v>0</v>
      </c>
      <c r="CJ82" t="b">
        <f t="shared" si="131"/>
        <v>0</v>
      </c>
      <c r="CK82" t="b">
        <f t="shared" si="132"/>
        <v>0</v>
      </c>
      <c r="CL82" t="b">
        <f t="shared" si="133"/>
        <v>0</v>
      </c>
    </row>
    <row r="83" spans="1:90" ht="15" customHeight="1" x14ac:dyDescent="0.35">
      <c r="A83" s="585">
        <f t="shared" si="94"/>
        <v>644</v>
      </c>
      <c r="B83" t="str">
        <f t="shared" si="95"/>
        <v>Residential_Income Qualified</v>
      </c>
      <c r="C83" s="600"/>
      <c r="D83" s="600">
        <v>644</v>
      </c>
      <c r="E83" s="600" t="s">
        <v>78</v>
      </c>
      <c r="F83" s="600" t="str">
        <f>VLOOKUP(G83,Sheet4!$D$6:$E$22,2,FALSE)</f>
        <v>Income Qualified</v>
      </c>
      <c r="G83" s="445" t="s">
        <v>1933</v>
      </c>
      <c r="H83" s="673" t="s">
        <v>1070</v>
      </c>
      <c r="I83" s="232"/>
      <c r="J83" s="18" t="s">
        <v>1009</v>
      </c>
      <c r="K83" s="18" t="s">
        <v>1378</v>
      </c>
      <c r="L83" s="18" t="s">
        <v>1717</v>
      </c>
      <c r="M83" s="600">
        <v>1</v>
      </c>
      <c r="O83" s="72" t="str">
        <f t="shared" si="96"/>
        <v>Gas</v>
      </c>
      <c r="P83" s="7">
        <f>VLOOKUP(D83,'2018 Plan Data'!$A$4:$K$1000,11,FALSE)</f>
        <v>25</v>
      </c>
      <c r="Q83" s="652">
        <f>VLOOKUP(D83,'2018 Plan Data'!$A$4:$L$1000,12,FALSE)</f>
        <v>0</v>
      </c>
      <c r="R83" s="314">
        <f t="shared" si="139"/>
        <v>0</v>
      </c>
      <c r="S83" s="314">
        <f t="shared" si="139"/>
        <v>0</v>
      </c>
      <c r="T83" s="314">
        <f t="shared" si="139"/>
        <v>0</v>
      </c>
      <c r="U83" s="314">
        <f>U22</f>
        <v>0</v>
      </c>
      <c r="V83" s="314">
        <f>ROUND(V22,2)</f>
        <v>107.05</v>
      </c>
      <c r="W83" s="314">
        <f>W22</f>
        <v>0</v>
      </c>
      <c r="AD83" s="309">
        <f t="shared" si="97"/>
        <v>1</v>
      </c>
      <c r="AE83" s="309">
        <f t="shared" si="91"/>
        <v>1</v>
      </c>
      <c r="AF83" s="309">
        <f t="shared" si="91"/>
        <v>1</v>
      </c>
      <c r="AG83" s="309">
        <f t="shared" si="91"/>
        <v>1</v>
      </c>
      <c r="AH83" s="314">
        <f t="shared" si="98"/>
        <v>0</v>
      </c>
      <c r="AI83" s="314">
        <f t="shared" si="99"/>
        <v>0</v>
      </c>
      <c r="AJ83" s="314">
        <f t="shared" si="100"/>
        <v>0</v>
      </c>
      <c r="AK83" s="314">
        <f t="shared" si="101"/>
        <v>0</v>
      </c>
      <c r="AL83" s="309">
        <f t="shared" si="102"/>
        <v>1</v>
      </c>
      <c r="AM83" s="309">
        <f t="shared" si="103"/>
        <v>1</v>
      </c>
      <c r="AN83" s="309">
        <f t="shared" si="104"/>
        <v>1</v>
      </c>
      <c r="AO83" s="309">
        <f t="shared" si="105"/>
        <v>1</v>
      </c>
      <c r="AP83" s="446">
        <f t="shared" si="106"/>
        <v>0</v>
      </c>
      <c r="AQ83" s="446">
        <f t="shared" si="107"/>
        <v>0</v>
      </c>
      <c r="AR83" s="446">
        <f t="shared" si="108"/>
        <v>0</v>
      </c>
      <c r="AS83" s="446">
        <f t="shared" si="109"/>
        <v>0</v>
      </c>
      <c r="AT83" s="309">
        <f t="shared" si="138"/>
        <v>1</v>
      </c>
      <c r="AU83" s="309">
        <f t="shared" si="92"/>
        <v>1</v>
      </c>
      <c r="AV83" s="309">
        <f t="shared" si="92"/>
        <v>1</v>
      </c>
      <c r="AW83" s="309">
        <f t="shared" si="92"/>
        <v>1</v>
      </c>
      <c r="AX83" s="243">
        <f t="shared" si="84"/>
        <v>107.05</v>
      </c>
      <c r="AY83" s="243">
        <f t="shared" si="85"/>
        <v>107.05</v>
      </c>
      <c r="AZ83" s="243">
        <f t="shared" si="86"/>
        <v>107.05</v>
      </c>
      <c r="BA83" s="243">
        <f t="shared" si="87"/>
        <v>107.05</v>
      </c>
      <c r="BB83" s="243">
        <f>VLOOKUP($D83,'2018 Plan Data'!$A$4:$K$2000,6,FALSE)</f>
        <v>3</v>
      </c>
      <c r="BC83" s="243">
        <f>VLOOKUP($D83,'2018 Plan Data'!$A$4:$K$2000,7,FALSE)</f>
        <v>3</v>
      </c>
      <c r="BD83" s="243">
        <f>VLOOKUP($D83,'2018 Plan Data'!$A$4:$K$2000,8,FALSE)</f>
        <v>3</v>
      </c>
      <c r="BE83" s="243">
        <f>VLOOKUP($D83,'2018 Plan Data'!$A$4:$K$2000,9,FALSE)</f>
        <v>3</v>
      </c>
      <c r="BF83" s="243">
        <f t="shared" si="110"/>
        <v>0</v>
      </c>
      <c r="BG83" s="243">
        <f t="shared" si="111"/>
        <v>0</v>
      </c>
      <c r="BH83" s="243">
        <f t="shared" si="112"/>
        <v>0</v>
      </c>
      <c r="BI83" s="243">
        <f t="shared" si="113"/>
        <v>0</v>
      </c>
      <c r="BJ83" s="243">
        <f t="shared" si="114"/>
        <v>321.14999999999998</v>
      </c>
      <c r="BK83" s="243">
        <f t="shared" si="115"/>
        <v>321.14999999999998</v>
      </c>
      <c r="BL83" s="243">
        <f t="shared" si="116"/>
        <v>321.14999999999998</v>
      </c>
      <c r="BM83" s="243">
        <f t="shared" si="117"/>
        <v>321.14999999999998</v>
      </c>
      <c r="BN83" s="243">
        <f t="shared" si="118"/>
        <v>0</v>
      </c>
      <c r="BO83" s="243">
        <f t="shared" si="119"/>
        <v>0</v>
      </c>
      <c r="BP83" s="243">
        <f t="shared" si="120"/>
        <v>0</v>
      </c>
      <c r="BQ83" s="243">
        <f t="shared" si="121"/>
        <v>0</v>
      </c>
      <c r="BR83" s="243">
        <f t="shared" si="122"/>
        <v>321.14999999999998</v>
      </c>
      <c r="BS83" s="243">
        <f t="shared" si="123"/>
        <v>321.14999999999998</v>
      </c>
      <c r="BT83" s="243">
        <f t="shared" si="124"/>
        <v>321.14999999999998</v>
      </c>
      <c r="BU83" s="243">
        <f t="shared" si="125"/>
        <v>321.14999999999998</v>
      </c>
      <c r="BW83" s="314">
        <f>VLOOKUP($D83,'2018 Plan Data'!$A$4:$T$2000,13,FALSE)</f>
        <v>0</v>
      </c>
      <c r="BX83" s="314">
        <f>VLOOKUP($D83,'2018 Plan Data'!$A$4:$T$2000,14,FALSE)</f>
        <v>0</v>
      </c>
      <c r="BY83" s="314">
        <f>VLOOKUP($D83,'2018 Plan Data'!$A$4:$T$2000,15,FALSE)</f>
        <v>0</v>
      </c>
      <c r="BZ83" s="314">
        <f>VLOOKUP($D83,'2018 Plan Data'!$A$4:$T$2000,16,FALSE)</f>
        <v>0</v>
      </c>
      <c r="CA83" s="314">
        <f>VLOOKUP($D83,'2018 Plan Data'!$A$4:$T$2000,17,FALSE)</f>
        <v>433.14</v>
      </c>
      <c r="CB83" s="314">
        <f>VLOOKUP($D83,'2018 Plan Data'!$A$4:$T$2000,18,FALSE)</f>
        <v>433.14</v>
      </c>
      <c r="CC83" s="314">
        <f>VLOOKUP($D83,'2018 Plan Data'!$A$4:$T$2000,19,FALSE)</f>
        <v>433.14</v>
      </c>
      <c r="CD83" s="314">
        <f>VLOOKUP($D83,'2018 Plan Data'!$A$4:$T$2000,20,FALSE)</f>
        <v>433.14</v>
      </c>
      <c r="CE83" t="b">
        <f t="shared" si="126"/>
        <v>1</v>
      </c>
      <c r="CF83" t="b">
        <f t="shared" si="127"/>
        <v>1</v>
      </c>
      <c r="CG83" t="b">
        <f t="shared" si="128"/>
        <v>1</v>
      </c>
      <c r="CH83" t="b">
        <f t="shared" si="129"/>
        <v>1</v>
      </c>
      <c r="CI83" t="b">
        <f t="shared" si="130"/>
        <v>0</v>
      </c>
      <c r="CJ83" t="b">
        <f t="shared" si="131"/>
        <v>0</v>
      </c>
      <c r="CK83" t="b">
        <f t="shared" si="132"/>
        <v>0</v>
      </c>
      <c r="CL83" t="b">
        <f t="shared" si="133"/>
        <v>0</v>
      </c>
    </row>
    <row r="84" spans="1:90" ht="15" customHeight="1" x14ac:dyDescent="0.35">
      <c r="A84" s="585">
        <f t="shared" si="94"/>
        <v>691</v>
      </c>
      <c r="B84" t="str">
        <f t="shared" si="95"/>
        <v>Residential_Income Qualified</v>
      </c>
      <c r="D84">
        <v>691</v>
      </c>
      <c r="E84" t="s">
        <v>78</v>
      </c>
      <c r="F84" s="600" t="str">
        <f>VLOOKUP(G84,Sheet4!$D$6:$E$22,2,FALSE)</f>
        <v>Income Qualified</v>
      </c>
      <c r="G84" s="445" t="s">
        <v>1933</v>
      </c>
      <c r="H84" s="673" t="s">
        <v>1853</v>
      </c>
      <c r="I84" s="232"/>
      <c r="J84" s="18" t="s">
        <v>1009</v>
      </c>
      <c r="K84" s="18" t="s">
        <v>563</v>
      </c>
      <c r="L84" s="18" t="s">
        <v>1721</v>
      </c>
      <c r="M84" s="600">
        <v>1</v>
      </c>
      <c r="O84" s="72" t="str">
        <f t="shared" si="96"/>
        <v>Dual Fuel</v>
      </c>
      <c r="P84" s="7">
        <f>VLOOKUP(D84,'2018 Plan Data'!$A$4:$K$1000,11,FALSE)</f>
        <v>5</v>
      </c>
      <c r="Q84" s="652">
        <f>VLOOKUP(D84,'2018 Plan Data'!$A$4:$L$1000,12,FALSE)</f>
        <v>0</v>
      </c>
      <c r="R84" s="314">
        <f t="shared" si="139"/>
        <v>49.112507639999997</v>
      </c>
      <c r="S84" s="314">
        <f t="shared" si="139"/>
        <v>0</v>
      </c>
      <c r="T84" s="314">
        <f t="shared" si="139"/>
        <v>0</v>
      </c>
      <c r="U84" s="314">
        <f>U23</f>
        <v>0</v>
      </c>
      <c r="V84" s="314">
        <f>V23</f>
        <v>53.381999999999998</v>
      </c>
      <c r="W84" s="314">
        <f>W23</f>
        <v>0</v>
      </c>
      <c r="AD84" s="309">
        <f t="shared" si="97"/>
        <v>1</v>
      </c>
      <c r="AE84" s="309">
        <f t="shared" si="91"/>
        <v>1</v>
      </c>
      <c r="AF84" s="309">
        <f t="shared" si="91"/>
        <v>1</v>
      </c>
      <c r="AG84" s="309">
        <f t="shared" si="91"/>
        <v>1</v>
      </c>
      <c r="AH84" s="314">
        <f t="shared" si="98"/>
        <v>49.112507639999997</v>
      </c>
      <c r="AI84" s="314">
        <f t="shared" si="99"/>
        <v>49.112507639999997</v>
      </c>
      <c r="AJ84" s="314">
        <f t="shared" si="100"/>
        <v>49.112507639999997</v>
      </c>
      <c r="AK84" s="314">
        <f t="shared" si="101"/>
        <v>49.112507639999997</v>
      </c>
      <c r="AL84" s="309">
        <f t="shared" si="102"/>
        <v>1</v>
      </c>
      <c r="AM84" s="309">
        <f t="shared" si="103"/>
        <v>1</v>
      </c>
      <c r="AN84" s="309">
        <f t="shared" si="104"/>
        <v>1</v>
      </c>
      <c r="AO84" s="309">
        <f t="shared" si="105"/>
        <v>1</v>
      </c>
      <c r="AP84" s="446">
        <f t="shared" si="106"/>
        <v>0</v>
      </c>
      <c r="AQ84" s="446">
        <f t="shared" si="107"/>
        <v>0</v>
      </c>
      <c r="AR84" s="446">
        <f t="shared" si="108"/>
        <v>0</v>
      </c>
      <c r="AS84" s="446">
        <f t="shared" si="109"/>
        <v>0</v>
      </c>
      <c r="AT84" s="309">
        <f t="shared" si="138"/>
        <v>1</v>
      </c>
      <c r="AU84" s="309">
        <f t="shared" si="92"/>
        <v>1</v>
      </c>
      <c r="AV84" s="309">
        <f t="shared" si="92"/>
        <v>1</v>
      </c>
      <c r="AW84" s="309">
        <f t="shared" si="92"/>
        <v>1</v>
      </c>
      <c r="AX84" s="243">
        <f t="shared" si="84"/>
        <v>53.381999999999998</v>
      </c>
      <c r="AY84" s="243">
        <f t="shared" si="85"/>
        <v>53.381999999999998</v>
      </c>
      <c r="AZ84" s="243">
        <f t="shared" si="86"/>
        <v>53.381999999999998</v>
      </c>
      <c r="BA84" s="243">
        <f t="shared" si="87"/>
        <v>53.381999999999998</v>
      </c>
      <c r="BB84" s="243">
        <f>VLOOKUP($D84,'2018 Plan Data'!$A$4:$K$2000,6,FALSE)</f>
        <v>1170.54</v>
      </c>
      <c r="BC84" s="243">
        <f>VLOOKUP($D84,'2018 Plan Data'!$A$4:$K$2000,7,FALSE)</f>
        <v>1174.635</v>
      </c>
      <c r="BD84" s="243">
        <f>VLOOKUP($D84,'2018 Plan Data'!$A$4:$K$2000,8,FALSE)</f>
        <v>1082.97</v>
      </c>
      <c r="BE84" s="243">
        <f>VLOOKUP($D84,'2018 Plan Data'!$A$4:$K$2000,9,FALSE)</f>
        <v>580.84220249999998</v>
      </c>
      <c r="BF84" s="243">
        <f t="shared" si="110"/>
        <v>57488.154692925593</v>
      </c>
      <c r="BG84" s="243">
        <f t="shared" si="111"/>
        <v>57689.270411711397</v>
      </c>
      <c r="BH84" s="243">
        <f t="shared" si="112"/>
        <v>53187.372398890795</v>
      </c>
      <c r="BI84" s="243">
        <f t="shared" si="113"/>
        <v>28526.617107915674</v>
      </c>
      <c r="BJ84" s="243">
        <f t="shared" si="114"/>
        <v>62485.766279999996</v>
      </c>
      <c r="BK84" s="243">
        <f t="shared" si="115"/>
        <v>62704.365569999994</v>
      </c>
      <c r="BL84" s="243">
        <f t="shared" si="116"/>
        <v>57811.10454</v>
      </c>
      <c r="BM84" s="243">
        <f t="shared" si="117"/>
        <v>31006.518453854998</v>
      </c>
      <c r="BN84" s="243">
        <f t="shared" si="118"/>
        <v>57488.154692925593</v>
      </c>
      <c r="BO84" s="243">
        <f t="shared" si="119"/>
        <v>57689.270411711397</v>
      </c>
      <c r="BP84" s="243">
        <f t="shared" si="120"/>
        <v>53187.372398890795</v>
      </c>
      <c r="BQ84" s="243">
        <f t="shared" si="121"/>
        <v>28526.617107915674</v>
      </c>
      <c r="BR84" s="243">
        <f t="shared" si="122"/>
        <v>62485.766279999996</v>
      </c>
      <c r="BS84" s="243">
        <f t="shared" si="123"/>
        <v>62704.365569999994</v>
      </c>
      <c r="BT84" s="243">
        <f t="shared" si="124"/>
        <v>57811.10454</v>
      </c>
      <c r="BU84" s="243">
        <f t="shared" si="125"/>
        <v>31006.518453854998</v>
      </c>
      <c r="BW84" s="314">
        <f>VLOOKUP($D84,'2018 Plan Data'!$A$4:$T$2000,13,FALSE)</f>
        <v>57488.154692925593</v>
      </c>
      <c r="BX84" s="314">
        <f>VLOOKUP($D84,'2018 Plan Data'!$A$4:$T$2000,14,FALSE)</f>
        <v>57689.270411711397</v>
      </c>
      <c r="BY84" s="314">
        <f>VLOOKUP($D84,'2018 Plan Data'!$A$4:$T$2000,15,FALSE)</f>
        <v>53187.372398890795</v>
      </c>
      <c r="BZ84" s="314">
        <f>VLOOKUP($D84,'2018 Plan Data'!$A$4:$T$2000,16,FALSE)</f>
        <v>28526.617107915674</v>
      </c>
      <c r="CA84" s="314">
        <f>VLOOKUP($D84,'2018 Plan Data'!$A$4:$T$2000,17,FALSE)</f>
        <v>62485.766279999996</v>
      </c>
      <c r="CB84" s="314">
        <f>VLOOKUP($D84,'2018 Plan Data'!$A$4:$T$2000,18,FALSE)</f>
        <v>62704.365569999994</v>
      </c>
      <c r="CC84" s="314">
        <f>VLOOKUP($D84,'2018 Plan Data'!$A$4:$T$2000,19,FALSE)</f>
        <v>57811.10454</v>
      </c>
      <c r="CD84" s="314">
        <f>VLOOKUP($D84,'2018 Plan Data'!$A$4:$T$2000,20,FALSE)</f>
        <v>31006.518453854998</v>
      </c>
      <c r="CE84" t="b">
        <f t="shared" si="126"/>
        <v>1</v>
      </c>
      <c r="CF84" t="b">
        <f t="shared" si="127"/>
        <v>1</v>
      </c>
      <c r="CG84" t="b">
        <f t="shared" si="128"/>
        <v>1</v>
      </c>
      <c r="CH84" t="b">
        <f t="shared" si="129"/>
        <v>1</v>
      </c>
      <c r="CI84" t="b">
        <f t="shared" si="130"/>
        <v>1</v>
      </c>
      <c r="CJ84" t="b">
        <f t="shared" si="131"/>
        <v>1</v>
      </c>
      <c r="CK84" t="b">
        <f t="shared" si="132"/>
        <v>1</v>
      </c>
      <c r="CL84" t="b">
        <f t="shared" si="133"/>
        <v>1</v>
      </c>
    </row>
    <row r="85" spans="1:90" ht="15" customHeight="1" x14ac:dyDescent="0.35">
      <c r="A85" s="585">
        <f t="shared" si="94"/>
        <v>669</v>
      </c>
      <c r="B85" t="str">
        <f t="shared" si="95"/>
        <v>Residential_Income Qualified</v>
      </c>
      <c r="D85">
        <v>669</v>
      </c>
      <c r="E85" t="s">
        <v>78</v>
      </c>
      <c r="F85" s="600" t="str">
        <f>VLOOKUP(G85,Sheet4!$D$6:$E$22,2,FALSE)</f>
        <v>Income Qualified</v>
      </c>
      <c r="G85" s="445" t="s">
        <v>1933</v>
      </c>
      <c r="H85" s="673" t="s">
        <v>1785</v>
      </c>
      <c r="I85" s="232"/>
      <c r="J85" s="18" t="s">
        <v>1009</v>
      </c>
      <c r="K85" s="18" t="s">
        <v>363</v>
      </c>
      <c r="L85" s="18" t="s">
        <v>1715</v>
      </c>
      <c r="M85" s="600">
        <v>1</v>
      </c>
      <c r="O85" s="72" t="str">
        <f t="shared" si="96"/>
        <v>Dual Fuel</v>
      </c>
      <c r="P85" s="7">
        <f>VLOOKUP(D85,'2018 Plan Data'!$A$4:$K$1000,11,FALSE)</f>
        <v>20</v>
      </c>
      <c r="Q85" s="652">
        <f>VLOOKUP(D85,'2018 Plan Data'!$A$4:$L$1000,12,FALSE)</f>
        <v>0</v>
      </c>
      <c r="R85" s="314">
        <f>R64</f>
        <v>168.78232873654139</v>
      </c>
      <c r="S85" s="314">
        <f>S64</f>
        <v>0</v>
      </c>
      <c r="T85" s="314">
        <f>T64</f>
        <v>0</v>
      </c>
      <c r="U85" s="314">
        <f>U64</f>
        <v>0</v>
      </c>
      <c r="V85" s="314">
        <f>V64</f>
        <v>183.45506482091847</v>
      </c>
      <c r="AD85" s="309">
        <f t="shared" si="97"/>
        <v>1</v>
      </c>
      <c r="AE85" s="309">
        <f t="shared" ref="AE85:AG98" si="140">AD85</f>
        <v>1</v>
      </c>
      <c r="AF85" s="309">
        <f t="shared" si="140"/>
        <v>1</v>
      </c>
      <c r="AG85" s="309">
        <f t="shared" si="140"/>
        <v>1</v>
      </c>
      <c r="AH85" s="314">
        <f t="shared" si="98"/>
        <v>168.78232873654139</v>
      </c>
      <c r="AI85" s="314">
        <f t="shared" si="99"/>
        <v>168.78232873654139</v>
      </c>
      <c r="AJ85" s="314">
        <f t="shared" si="100"/>
        <v>168.78232873654139</v>
      </c>
      <c r="AK85" s="314">
        <f t="shared" si="101"/>
        <v>168.78232873654139</v>
      </c>
      <c r="AL85" s="309">
        <f t="shared" si="102"/>
        <v>1</v>
      </c>
      <c r="AM85" s="309">
        <f t="shared" si="103"/>
        <v>1</v>
      </c>
      <c r="AN85" s="309">
        <f t="shared" si="104"/>
        <v>1</v>
      </c>
      <c r="AO85" s="309">
        <f t="shared" si="105"/>
        <v>1</v>
      </c>
      <c r="AP85" s="446">
        <f t="shared" si="106"/>
        <v>0</v>
      </c>
      <c r="AQ85" s="446">
        <f t="shared" si="107"/>
        <v>0</v>
      </c>
      <c r="AR85" s="446">
        <f t="shared" si="108"/>
        <v>0</v>
      </c>
      <c r="AS85" s="446">
        <f t="shared" si="109"/>
        <v>0</v>
      </c>
      <c r="AT85" s="309">
        <f t="shared" si="138"/>
        <v>1</v>
      </c>
      <c r="AU85" s="309">
        <f t="shared" ref="AU85:AW98" si="141">AT85</f>
        <v>1</v>
      </c>
      <c r="AV85" s="309">
        <f t="shared" si="141"/>
        <v>1</v>
      </c>
      <c r="AW85" s="309">
        <f t="shared" si="141"/>
        <v>1</v>
      </c>
      <c r="AX85" s="243">
        <f t="shared" si="84"/>
        <v>183.45506482091847</v>
      </c>
      <c r="AY85" s="243">
        <f t="shared" si="85"/>
        <v>183.45506482091847</v>
      </c>
      <c r="AZ85" s="243">
        <f t="shared" si="86"/>
        <v>183.45506482091847</v>
      </c>
      <c r="BA85" s="243">
        <f t="shared" si="87"/>
        <v>183.45506482091847</v>
      </c>
      <c r="BB85" s="243">
        <f>VLOOKUP($D85,'2018 Plan Data'!$A$4:$K$2000,6,FALSE)</f>
        <v>179</v>
      </c>
      <c r="BC85" s="243">
        <f>VLOOKUP($D85,'2018 Plan Data'!$A$4:$K$2000,7,FALSE)</f>
        <v>180</v>
      </c>
      <c r="BD85" s="243">
        <f>VLOOKUP($D85,'2018 Plan Data'!$A$4:$K$2000,8,FALSE)</f>
        <v>166</v>
      </c>
      <c r="BE85" s="243">
        <f>VLOOKUP($D85,'2018 Plan Data'!$A$4:$K$2000,9,FALSE)</f>
        <v>178</v>
      </c>
      <c r="BF85" s="243">
        <f t="shared" si="110"/>
        <v>30212.03684384091</v>
      </c>
      <c r="BG85" s="243">
        <f t="shared" si="111"/>
        <v>30380.819172577449</v>
      </c>
      <c r="BH85" s="243">
        <f t="shared" si="112"/>
        <v>28017.866570265869</v>
      </c>
      <c r="BI85" s="243">
        <f t="shared" si="113"/>
        <v>30043.254515104367</v>
      </c>
      <c r="BJ85" s="243">
        <f t="shared" si="114"/>
        <v>32838.456602944403</v>
      </c>
      <c r="BK85" s="243">
        <f t="shared" si="115"/>
        <v>33021.911667765322</v>
      </c>
      <c r="BL85" s="243">
        <f t="shared" si="116"/>
        <v>30453.540760272466</v>
      </c>
      <c r="BM85" s="243">
        <f t="shared" si="117"/>
        <v>32655.001538123488</v>
      </c>
      <c r="BN85" s="243">
        <f t="shared" si="118"/>
        <v>30212.03684384091</v>
      </c>
      <c r="BO85" s="243">
        <f t="shared" si="119"/>
        <v>30380.819172577449</v>
      </c>
      <c r="BP85" s="243">
        <f t="shared" si="120"/>
        <v>28017.866570265869</v>
      </c>
      <c r="BQ85" s="243">
        <f t="shared" si="121"/>
        <v>30043.254515104367</v>
      </c>
      <c r="BR85" s="243">
        <f t="shared" si="122"/>
        <v>32838.456602944403</v>
      </c>
      <c r="BS85" s="243">
        <f t="shared" si="123"/>
        <v>33021.911667765322</v>
      </c>
      <c r="BT85" s="243">
        <f t="shared" si="124"/>
        <v>30453.540760272466</v>
      </c>
      <c r="BU85" s="243">
        <f t="shared" si="125"/>
        <v>32655.001538123488</v>
      </c>
      <c r="BW85" s="314">
        <f>VLOOKUP($D85,'2018 Plan Data'!$A$4:$T$2000,13,FALSE)</f>
        <v>30212.03684384091</v>
      </c>
      <c r="BX85" s="314">
        <f>VLOOKUP($D85,'2018 Plan Data'!$A$4:$T$2000,14,FALSE)</f>
        <v>30380.819172577449</v>
      </c>
      <c r="BY85" s="314">
        <f>VLOOKUP($D85,'2018 Plan Data'!$A$4:$T$2000,15,FALSE)</f>
        <v>28017.866570265869</v>
      </c>
      <c r="BZ85" s="314">
        <f>VLOOKUP($D85,'2018 Plan Data'!$A$4:$T$2000,16,FALSE)</f>
        <v>30043.254515104367</v>
      </c>
      <c r="CA85" s="314">
        <f>VLOOKUP($D85,'2018 Plan Data'!$A$4:$T$2000,17,FALSE)</f>
        <v>32838.456602944403</v>
      </c>
      <c r="CB85" s="314">
        <f>VLOOKUP($D85,'2018 Plan Data'!$A$4:$T$2000,18,FALSE)</f>
        <v>33021.911667765322</v>
      </c>
      <c r="CC85" s="314">
        <f>VLOOKUP($D85,'2018 Plan Data'!$A$4:$T$2000,19,FALSE)</f>
        <v>30453.540760272466</v>
      </c>
      <c r="CD85" s="314">
        <f>VLOOKUP($D85,'2018 Plan Data'!$A$4:$T$2000,20,FALSE)</f>
        <v>32655.001538123488</v>
      </c>
      <c r="CE85" t="b">
        <f t="shared" si="126"/>
        <v>1</v>
      </c>
      <c r="CF85" t="b">
        <f t="shared" si="127"/>
        <v>1</v>
      </c>
      <c r="CG85" t="b">
        <f t="shared" si="128"/>
        <v>1</v>
      </c>
      <c r="CH85" t="b">
        <f t="shared" si="129"/>
        <v>1</v>
      </c>
      <c r="CI85" t="b">
        <f t="shared" si="130"/>
        <v>1</v>
      </c>
      <c r="CJ85" t="b">
        <f t="shared" si="131"/>
        <v>1</v>
      </c>
      <c r="CK85" t="b">
        <f t="shared" si="132"/>
        <v>1</v>
      </c>
      <c r="CL85" t="b">
        <f t="shared" si="133"/>
        <v>1</v>
      </c>
    </row>
    <row r="86" spans="1:90" ht="15" customHeight="1" x14ac:dyDescent="0.35">
      <c r="A86" s="585">
        <f t="shared" si="94"/>
        <v>671</v>
      </c>
      <c r="B86" t="str">
        <f t="shared" si="95"/>
        <v>Residential_Income Qualified</v>
      </c>
      <c r="D86">
        <v>671</v>
      </c>
      <c r="E86" t="s">
        <v>78</v>
      </c>
      <c r="F86" s="600" t="str">
        <f>VLOOKUP(G86,Sheet4!$D$6:$E$22,2,FALSE)</f>
        <v>Income Qualified</v>
      </c>
      <c r="G86" s="445" t="s">
        <v>1933</v>
      </c>
      <c r="H86" s="673" t="s">
        <v>1786</v>
      </c>
      <c r="I86" s="232"/>
      <c r="J86" s="18" t="s">
        <v>1009</v>
      </c>
      <c r="K86" s="18" t="s">
        <v>363</v>
      </c>
      <c r="L86" s="18" t="s">
        <v>1715</v>
      </c>
      <c r="M86" s="600">
        <v>1</v>
      </c>
      <c r="O86" s="72" t="str">
        <f t="shared" si="96"/>
        <v>Dual Fuel</v>
      </c>
      <c r="P86" s="7">
        <f>VLOOKUP(D86,'2018 Plan Data'!$A$4:$K$1000,11,FALSE)</f>
        <v>20</v>
      </c>
      <c r="Q86" s="652">
        <f>VLOOKUP(D86,'2018 Plan Data'!$A$4:$L$1000,12,FALSE)</f>
        <v>0</v>
      </c>
      <c r="R86" s="314">
        <f>'RES Shell'!Q31</f>
        <v>377.27032873654139</v>
      </c>
      <c r="S86" s="314">
        <f t="shared" ref="S86:V91" si="142">S65</f>
        <v>0</v>
      </c>
      <c r="T86" s="314">
        <f t="shared" si="142"/>
        <v>0.19420800000000002</v>
      </c>
      <c r="U86" s="314">
        <f t="shared" si="142"/>
        <v>0</v>
      </c>
      <c r="V86" s="314">
        <f t="shared" si="142"/>
        <v>183.45506482091847</v>
      </c>
      <c r="AD86" s="309">
        <f t="shared" si="97"/>
        <v>1</v>
      </c>
      <c r="AE86" s="309">
        <f t="shared" si="140"/>
        <v>1</v>
      </c>
      <c r="AF86" s="309">
        <f t="shared" si="140"/>
        <v>1</v>
      </c>
      <c r="AG86" s="309">
        <f t="shared" si="140"/>
        <v>1</v>
      </c>
      <c r="AH86" s="314">
        <f t="shared" si="98"/>
        <v>377.27032873654139</v>
      </c>
      <c r="AI86" s="314">
        <f t="shared" si="99"/>
        <v>377.27032873654139</v>
      </c>
      <c r="AJ86" s="314">
        <f t="shared" si="100"/>
        <v>377.27032873654139</v>
      </c>
      <c r="AK86" s="314">
        <f t="shared" si="101"/>
        <v>377.27032873654139</v>
      </c>
      <c r="AL86" s="309">
        <f t="shared" si="102"/>
        <v>1</v>
      </c>
      <c r="AM86" s="309">
        <f t="shared" si="103"/>
        <v>1</v>
      </c>
      <c r="AN86" s="309">
        <f t="shared" si="104"/>
        <v>1</v>
      </c>
      <c r="AO86" s="309">
        <f t="shared" si="105"/>
        <v>1</v>
      </c>
      <c r="AP86" s="446">
        <f t="shared" si="106"/>
        <v>0.19420800000000002</v>
      </c>
      <c r="AQ86" s="446">
        <f t="shared" si="107"/>
        <v>0.19420800000000002</v>
      </c>
      <c r="AR86" s="446">
        <f t="shared" si="108"/>
        <v>0.19420800000000002</v>
      </c>
      <c r="AS86" s="446">
        <f t="shared" si="109"/>
        <v>0.19420800000000002</v>
      </c>
      <c r="AT86" s="309">
        <f t="shared" si="138"/>
        <v>1</v>
      </c>
      <c r="AU86" s="309">
        <f t="shared" si="141"/>
        <v>1</v>
      </c>
      <c r="AV86" s="309">
        <f t="shared" si="141"/>
        <v>1</v>
      </c>
      <c r="AW86" s="309">
        <f t="shared" si="141"/>
        <v>1</v>
      </c>
      <c r="AX86" s="243">
        <f t="shared" si="84"/>
        <v>183.45506482091847</v>
      </c>
      <c r="AY86" s="243">
        <f t="shared" si="85"/>
        <v>183.45506482091847</v>
      </c>
      <c r="AZ86" s="243">
        <f t="shared" si="86"/>
        <v>183.45506482091847</v>
      </c>
      <c r="BA86" s="243">
        <f t="shared" si="87"/>
        <v>183.45506482091847</v>
      </c>
      <c r="BB86" s="243">
        <f>VLOOKUP($D86,'2018 Plan Data'!$A$4:$K$2000,6,FALSE)</f>
        <v>179</v>
      </c>
      <c r="BC86" s="243">
        <f>VLOOKUP($D86,'2018 Plan Data'!$A$4:$K$2000,7,FALSE)</f>
        <v>180</v>
      </c>
      <c r="BD86" s="243">
        <f>VLOOKUP($D86,'2018 Plan Data'!$A$4:$K$2000,8,FALSE)</f>
        <v>166</v>
      </c>
      <c r="BE86" s="243">
        <f>VLOOKUP($D86,'2018 Plan Data'!$A$4:$K$2000,9,FALSE)</f>
        <v>178</v>
      </c>
      <c r="BF86" s="243">
        <f t="shared" si="110"/>
        <v>67531.388843840905</v>
      </c>
      <c r="BG86" s="243">
        <f t="shared" si="111"/>
        <v>67908.659172577449</v>
      </c>
      <c r="BH86" s="243">
        <f t="shared" si="112"/>
        <v>62626.874570265871</v>
      </c>
      <c r="BI86" s="243">
        <f t="shared" si="113"/>
        <v>67154.118515104361</v>
      </c>
      <c r="BJ86" s="243">
        <f t="shared" si="114"/>
        <v>32838.456602944403</v>
      </c>
      <c r="BK86" s="243">
        <f t="shared" si="115"/>
        <v>33021.911667765322</v>
      </c>
      <c r="BL86" s="243">
        <f t="shared" si="116"/>
        <v>30453.540760272466</v>
      </c>
      <c r="BM86" s="243">
        <f t="shared" si="117"/>
        <v>32655.001538123488</v>
      </c>
      <c r="BN86" s="243">
        <f t="shared" si="118"/>
        <v>67531.388843840905</v>
      </c>
      <c r="BO86" s="243">
        <f t="shared" si="119"/>
        <v>67908.659172577449</v>
      </c>
      <c r="BP86" s="243">
        <f t="shared" si="120"/>
        <v>62626.874570265871</v>
      </c>
      <c r="BQ86" s="243">
        <f t="shared" si="121"/>
        <v>67154.118515104361</v>
      </c>
      <c r="BR86" s="243">
        <f t="shared" si="122"/>
        <v>32838.456602944403</v>
      </c>
      <c r="BS86" s="243">
        <f t="shared" si="123"/>
        <v>33021.911667765322</v>
      </c>
      <c r="BT86" s="243">
        <f t="shared" si="124"/>
        <v>30453.540760272466</v>
      </c>
      <c r="BU86" s="243">
        <f t="shared" si="125"/>
        <v>32655.001538123488</v>
      </c>
      <c r="BW86" s="314">
        <f>VLOOKUP($D86,'2018 Plan Data'!$A$4:$T$2000,13,FALSE)</f>
        <v>67531.388843840905</v>
      </c>
      <c r="BX86" s="314">
        <f>VLOOKUP($D86,'2018 Plan Data'!$A$4:$T$2000,14,FALSE)</f>
        <v>67908.659172577449</v>
      </c>
      <c r="BY86" s="314">
        <f>VLOOKUP($D86,'2018 Plan Data'!$A$4:$T$2000,15,FALSE)</f>
        <v>62626.874570265871</v>
      </c>
      <c r="BZ86" s="314">
        <f>VLOOKUP($D86,'2018 Plan Data'!$A$4:$T$2000,16,FALSE)</f>
        <v>67154.118515104361</v>
      </c>
      <c r="CA86" s="314">
        <f>VLOOKUP($D86,'2018 Plan Data'!$A$4:$T$2000,17,FALSE)</f>
        <v>32838.456602944403</v>
      </c>
      <c r="CB86" s="314">
        <f>VLOOKUP($D86,'2018 Plan Data'!$A$4:$T$2000,18,FALSE)</f>
        <v>33021.911667765322</v>
      </c>
      <c r="CC86" s="314">
        <f>VLOOKUP($D86,'2018 Plan Data'!$A$4:$T$2000,19,FALSE)</f>
        <v>30453.540760272466</v>
      </c>
      <c r="CD86" s="314">
        <f>VLOOKUP($D86,'2018 Plan Data'!$A$4:$T$2000,20,FALSE)</f>
        <v>32655.001538123488</v>
      </c>
      <c r="CE86" t="b">
        <f t="shared" si="126"/>
        <v>1</v>
      </c>
      <c r="CF86" t="b">
        <f t="shared" si="127"/>
        <v>1</v>
      </c>
      <c r="CG86" t="b">
        <f t="shared" si="128"/>
        <v>1</v>
      </c>
      <c r="CH86" t="b">
        <f t="shared" si="129"/>
        <v>1</v>
      </c>
      <c r="CI86" t="b">
        <f t="shared" si="130"/>
        <v>1</v>
      </c>
      <c r="CJ86" t="b">
        <f t="shared" si="131"/>
        <v>1</v>
      </c>
      <c r="CK86" t="b">
        <f t="shared" si="132"/>
        <v>1</v>
      </c>
      <c r="CL86" t="b">
        <f t="shared" si="133"/>
        <v>1</v>
      </c>
    </row>
    <row r="87" spans="1:90" ht="15" customHeight="1" x14ac:dyDescent="0.35">
      <c r="A87" s="585">
        <f t="shared" si="94"/>
        <v>634</v>
      </c>
      <c r="B87" t="str">
        <f t="shared" si="95"/>
        <v>Residential_Income Qualified</v>
      </c>
      <c r="D87">
        <v>634</v>
      </c>
      <c r="E87" t="s">
        <v>78</v>
      </c>
      <c r="F87" s="600" t="str">
        <f>VLOOKUP(G87,Sheet4!$D$6:$E$22,2,FALSE)</f>
        <v>Income Qualified</v>
      </c>
      <c r="G87" s="445" t="s">
        <v>1933</v>
      </c>
      <c r="H87" s="673" t="s">
        <v>1855</v>
      </c>
      <c r="I87" s="232"/>
      <c r="J87" s="18" t="s">
        <v>1009</v>
      </c>
      <c r="K87" s="18" t="s">
        <v>767</v>
      </c>
      <c r="L87" s="18" t="s">
        <v>1718</v>
      </c>
      <c r="M87" s="600">
        <v>1</v>
      </c>
      <c r="O87" s="72" t="str">
        <f t="shared" si="96"/>
        <v>Gas</v>
      </c>
      <c r="P87" s="7">
        <f>VLOOKUP(D87,'2018 Plan Data'!$A$4:$K$1000,11,FALSE)</f>
        <v>20</v>
      </c>
      <c r="Q87" s="652">
        <f>VLOOKUP(D87,'2018 Plan Data'!$A$4:$L$1000,12,FALSE)</f>
        <v>0</v>
      </c>
      <c r="R87" s="314">
        <f>R66</f>
        <v>0</v>
      </c>
      <c r="S87" s="314">
        <f t="shared" si="142"/>
        <v>0</v>
      </c>
      <c r="T87" s="314">
        <f t="shared" si="142"/>
        <v>0</v>
      </c>
      <c r="U87" s="314">
        <f t="shared" si="142"/>
        <v>0</v>
      </c>
      <c r="V87" s="314">
        <f t="shared" si="142"/>
        <v>149.11346153846137</v>
      </c>
      <c r="W87" s="314">
        <f>W66</f>
        <v>0</v>
      </c>
      <c r="AD87" s="309">
        <f t="shared" si="97"/>
        <v>1</v>
      </c>
      <c r="AE87" s="309">
        <f t="shared" si="140"/>
        <v>1</v>
      </c>
      <c r="AF87" s="309">
        <f t="shared" si="140"/>
        <v>1</v>
      </c>
      <c r="AG87" s="309">
        <f t="shared" si="140"/>
        <v>1</v>
      </c>
      <c r="AH87" s="314">
        <f t="shared" si="98"/>
        <v>0</v>
      </c>
      <c r="AI87" s="314">
        <f t="shared" si="99"/>
        <v>0</v>
      </c>
      <c r="AJ87" s="314">
        <f t="shared" si="100"/>
        <v>0</v>
      </c>
      <c r="AK87" s="314">
        <f t="shared" si="101"/>
        <v>0</v>
      </c>
      <c r="AL87" s="309">
        <f t="shared" si="102"/>
        <v>1</v>
      </c>
      <c r="AM87" s="309">
        <f t="shared" si="103"/>
        <v>1</v>
      </c>
      <c r="AN87" s="309">
        <f t="shared" si="104"/>
        <v>1</v>
      </c>
      <c r="AO87" s="309">
        <f t="shared" si="105"/>
        <v>1</v>
      </c>
      <c r="AP87" s="446">
        <f t="shared" si="106"/>
        <v>0</v>
      </c>
      <c r="AQ87" s="446">
        <f t="shared" si="107"/>
        <v>0</v>
      </c>
      <c r="AR87" s="446">
        <f t="shared" si="108"/>
        <v>0</v>
      </c>
      <c r="AS87" s="446">
        <f t="shared" si="109"/>
        <v>0</v>
      </c>
      <c r="AT87" s="309">
        <f t="shared" si="138"/>
        <v>1</v>
      </c>
      <c r="AU87" s="309">
        <f t="shared" si="141"/>
        <v>1</v>
      </c>
      <c r="AV87" s="309">
        <f t="shared" si="141"/>
        <v>1</v>
      </c>
      <c r="AW87" s="309">
        <f t="shared" si="141"/>
        <v>1</v>
      </c>
      <c r="AX87" s="243">
        <f t="shared" si="84"/>
        <v>149.11346153846137</v>
      </c>
      <c r="AY87" s="243">
        <f t="shared" si="85"/>
        <v>149.11346153846137</v>
      </c>
      <c r="AZ87" s="243">
        <f t="shared" si="86"/>
        <v>149.11346153846137</v>
      </c>
      <c r="BA87" s="243">
        <f t="shared" si="87"/>
        <v>149.11346153846137</v>
      </c>
      <c r="BB87" s="243">
        <f>VLOOKUP($D87,'2018 Plan Data'!$A$4:$K$2000,6,FALSE)</f>
        <v>585.27</v>
      </c>
      <c r="BC87" s="243">
        <f>VLOOKUP($D87,'2018 Plan Data'!$A$4:$K$2000,7,FALSE)</f>
        <v>587.3175</v>
      </c>
      <c r="BD87" s="243">
        <f>VLOOKUP($D87,'2018 Plan Data'!$A$4:$K$2000,8,FALSE)</f>
        <v>541.48500000000001</v>
      </c>
      <c r="BE87" s="243">
        <f>VLOOKUP($D87,'2018 Plan Data'!$A$4:$K$2000,9,FALSE)</f>
        <v>580.84220249999998</v>
      </c>
      <c r="BF87" s="243">
        <f t="shared" si="110"/>
        <v>0</v>
      </c>
      <c r="BG87" s="243">
        <f t="shared" si="111"/>
        <v>0</v>
      </c>
      <c r="BH87" s="243">
        <f t="shared" si="112"/>
        <v>0</v>
      </c>
      <c r="BI87" s="243">
        <f t="shared" si="113"/>
        <v>0</v>
      </c>
      <c r="BJ87" s="243">
        <f t="shared" si="114"/>
        <v>87271.635634615275</v>
      </c>
      <c r="BK87" s="243">
        <f t="shared" si="115"/>
        <v>87576.945447115286</v>
      </c>
      <c r="BL87" s="243">
        <f t="shared" si="116"/>
        <v>80742.70272115375</v>
      </c>
      <c r="BM87" s="243">
        <f t="shared" si="117"/>
        <v>86611.391422398941</v>
      </c>
      <c r="BN87" s="243">
        <f t="shared" si="118"/>
        <v>0</v>
      </c>
      <c r="BO87" s="243">
        <f t="shared" si="119"/>
        <v>0</v>
      </c>
      <c r="BP87" s="243">
        <f t="shared" si="120"/>
        <v>0</v>
      </c>
      <c r="BQ87" s="243">
        <f t="shared" si="121"/>
        <v>0</v>
      </c>
      <c r="BR87" s="243">
        <f t="shared" si="122"/>
        <v>87271.635634615275</v>
      </c>
      <c r="BS87" s="243">
        <f t="shared" si="123"/>
        <v>87576.945447115286</v>
      </c>
      <c r="BT87" s="243">
        <f t="shared" si="124"/>
        <v>80742.70272115375</v>
      </c>
      <c r="BU87" s="243">
        <f t="shared" si="125"/>
        <v>86611.391422398941</v>
      </c>
      <c r="BW87" s="314">
        <f>VLOOKUP($D87,'2018 Plan Data'!$A$4:$T$2000,13,FALSE)</f>
        <v>0</v>
      </c>
      <c r="BX87" s="314">
        <f>VLOOKUP($D87,'2018 Plan Data'!$A$4:$T$2000,14,FALSE)</f>
        <v>0</v>
      </c>
      <c r="BY87" s="314">
        <f>VLOOKUP($D87,'2018 Plan Data'!$A$4:$T$2000,15,FALSE)</f>
        <v>0</v>
      </c>
      <c r="BZ87" s="314">
        <f>VLOOKUP($D87,'2018 Plan Data'!$A$4:$T$2000,16,FALSE)</f>
        <v>0</v>
      </c>
      <c r="CA87" s="314">
        <f>VLOOKUP($D87,'2018 Plan Data'!$A$4:$T$2000,17,FALSE)</f>
        <v>82476.864473684225</v>
      </c>
      <c r="CB87" s="314">
        <f>VLOOKUP($D87,'2018 Plan Data'!$A$4:$T$2000,18,FALSE)</f>
        <v>82765.400328947391</v>
      </c>
      <c r="CC87" s="314">
        <f>VLOOKUP($D87,'2018 Plan Data'!$A$4:$T$2000,19,FALSE)</f>
        <v>76306.636184210554</v>
      </c>
      <c r="CD87" s="314">
        <f>VLOOKUP($D87,'2018 Plan Data'!$A$4:$T$2000,20,FALSE)</f>
        <v>81852.894589144751</v>
      </c>
      <c r="CE87" t="b">
        <f t="shared" si="126"/>
        <v>1</v>
      </c>
      <c r="CF87" t="b">
        <f t="shared" si="127"/>
        <v>1</v>
      </c>
      <c r="CG87" t="b">
        <f t="shared" si="128"/>
        <v>1</v>
      </c>
      <c r="CH87" t="b">
        <f t="shared" si="129"/>
        <v>1</v>
      </c>
      <c r="CI87" t="b">
        <f t="shared" si="130"/>
        <v>0</v>
      </c>
      <c r="CJ87" t="b">
        <f t="shared" si="131"/>
        <v>0</v>
      </c>
      <c r="CK87" t="b">
        <f t="shared" si="132"/>
        <v>0</v>
      </c>
      <c r="CL87" t="b">
        <f t="shared" si="133"/>
        <v>0</v>
      </c>
    </row>
    <row r="88" spans="1:90" ht="15" customHeight="1" x14ac:dyDescent="0.35">
      <c r="A88" s="585">
        <f t="shared" si="94"/>
        <v>702</v>
      </c>
      <c r="B88" t="str">
        <f t="shared" si="95"/>
        <v>Residential_Income Qualified</v>
      </c>
      <c r="D88">
        <v>702</v>
      </c>
      <c r="E88" t="s">
        <v>78</v>
      </c>
      <c r="F88" s="600" t="str">
        <f>VLOOKUP(G88,Sheet4!$D$6:$E$22,2,FALSE)</f>
        <v>Income Qualified</v>
      </c>
      <c r="G88" s="445" t="s">
        <v>1933</v>
      </c>
      <c r="H88" s="673" t="s">
        <v>1836</v>
      </c>
      <c r="I88" s="232"/>
      <c r="J88" s="18" t="s">
        <v>1009</v>
      </c>
      <c r="K88" s="18" t="s">
        <v>506</v>
      </c>
      <c r="L88" s="18" t="s">
        <v>1270</v>
      </c>
      <c r="M88" s="600">
        <v>1</v>
      </c>
      <c r="O88" s="72" t="str">
        <f t="shared" si="96"/>
        <v>Dual Fuel</v>
      </c>
      <c r="P88" s="7">
        <f>VLOOKUP(D88,'2018 Plan Data'!$A$4:$K$1000,11,FALSE)</f>
        <v>10</v>
      </c>
      <c r="Q88" s="652">
        <f>VLOOKUP(D88,'2018 Plan Data'!$A$4:$L$1000,12,FALSE)</f>
        <v>0</v>
      </c>
      <c r="R88" s="314">
        <f>R67</f>
        <v>296.2912427804651</v>
      </c>
      <c r="S88" s="314">
        <f t="shared" si="142"/>
        <v>0</v>
      </c>
      <c r="T88" s="314">
        <f t="shared" si="142"/>
        <v>0.11213742331288343</v>
      </c>
      <c r="U88" s="314">
        <f t="shared" si="142"/>
        <v>0</v>
      </c>
      <c r="V88" s="314">
        <f t="shared" si="142"/>
        <v>74.045999999999992</v>
      </c>
      <c r="AD88" s="309">
        <f t="shared" si="97"/>
        <v>1</v>
      </c>
      <c r="AE88" s="309">
        <f t="shared" si="140"/>
        <v>1</v>
      </c>
      <c r="AF88" s="309">
        <f t="shared" si="140"/>
        <v>1</v>
      </c>
      <c r="AG88" s="309">
        <f t="shared" si="140"/>
        <v>1</v>
      </c>
      <c r="AH88" s="314">
        <f t="shared" si="98"/>
        <v>296.2912427804651</v>
      </c>
      <c r="AI88" s="314">
        <f t="shared" si="99"/>
        <v>296.2912427804651</v>
      </c>
      <c r="AJ88" s="314">
        <f t="shared" si="100"/>
        <v>296.2912427804651</v>
      </c>
      <c r="AK88" s="314">
        <f t="shared" si="101"/>
        <v>296.2912427804651</v>
      </c>
      <c r="AL88" s="309">
        <f t="shared" si="102"/>
        <v>1</v>
      </c>
      <c r="AM88" s="309">
        <f t="shared" si="103"/>
        <v>1</v>
      </c>
      <c r="AN88" s="309">
        <f t="shared" si="104"/>
        <v>1</v>
      </c>
      <c r="AO88" s="309">
        <f t="shared" si="105"/>
        <v>1</v>
      </c>
      <c r="AP88" s="446">
        <f t="shared" si="106"/>
        <v>0.11213742331288343</v>
      </c>
      <c r="AQ88" s="446">
        <f t="shared" si="107"/>
        <v>0.11213742331288343</v>
      </c>
      <c r="AR88" s="446">
        <f t="shared" si="108"/>
        <v>0.11213742331288343</v>
      </c>
      <c r="AS88" s="446">
        <f t="shared" si="109"/>
        <v>0.11213742331288343</v>
      </c>
      <c r="AT88" s="309">
        <f t="shared" si="138"/>
        <v>1</v>
      </c>
      <c r="AU88" s="309">
        <f t="shared" si="141"/>
        <v>1</v>
      </c>
      <c r="AV88" s="309">
        <f t="shared" si="141"/>
        <v>1</v>
      </c>
      <c r="AW88" s="309">
        <f t="shared" si="141"/>
        <v>1</v>
      </c>
      <c r="AX88" s="243">
        <f t="shared" ref="AX88:AX106" si="143">IF($Q88&gt;1,$W88*AT88,$V88*AT88)</f>
        <v>74.045999999999992</v>
      </c>
      <c r="AY88" s="243">
        <f t="shared" ref="AY88:AY106" si="144">IF($Q88&gt;1,$W88*AU88,$V88*AU88)</f>
        <v>74.045999999999992</v>
      </c>
      <c r="AZ88" s="243">
        <f t="shared" ref="AZ88:AZ106" si="145">IF($Q88&gt;1,$W88*AV88,$V88*AV88)</f>
        <v>74.045999999999992</v>
      </c>
      <c r="BA88" s="243">
        <f t="shared" ref="BA88:BA106" si="146">IF($Q88&gt;1,$W88*AW88,$V88*AW88)</f>
        <v>74.045999999999992</v>
      </c>
      <c r="BB88" s="243">
        <f>VLOOKUP($D88,'2018 Plan Data'!$A$4:$K$2000,6,FALSE)</f>
        <v>45</v>
      </c>
      <c r="BC88" s="243">
        <f>VLOOKUP($D88,'2018 Plan Data'!$A$4:$K$2000,7,FALSE)</f>
        <v>45</v>
      </c>
      <c r="BD88" s="243">
        <f>VLOOKUP($D88,'2018 Plan Data'!$A$4:$K$2000,8,FALSE)</f>
        <v>42</v>
      </c>
      <c r="BE88" s="243">
        <f>VLOOKUP($D88,'2018 Plan Data'!$A$4:$K$2000,9,FALSE)</f>
        <v>45</v>
      </c>
      <c r="BF88" s="243">
        <f t="shared" si="110"/>
        <v>13333.10592512093</v>
      </c>
      <c r="BG88" s="243">
        <f t="shared" si="111"/>
        <v>13333.10592512093</v>
      </c>
      <c r="BH88" s="243">
        <f t="shared" si="112"/>
        <v>12444.232196779534</v>
      </c>
      <c r="BI88" s="243">
        <f t="shared" si="113"/>
        <v>13333.10592512093</v>
      </c>
      <c r="BJ88" s="243">
        <f t="shared" si="114"/>
        <v>3332.0699999999997</v>
      </c>
      <c r="BK88" s="243">
        <f t="shared" si="115"/>
        <v>3332.0699999999997</v>
      </c>
      <c r="BL88" s="243">
        <f t="shared" si="116"/>
        <v>3109.9319999999998</v>
      </c>
      <c r="BM88" s="243">
        <f t="shared" si="117"/>
        <v>3332.0699999999997</v>
      </c>
      <c r="BN88" s="243">
        <f t="shared" si="118"/>
        <v>13333.10592512093</v>
      </c>
      <c r="BO88" s="243">
        <f t="shared" si="119"/>
        <v>13333.10592512093</v>
      </c>
      <c r="BP88" s="243">
        <f t="shared" si="120"/>
        <v>12444.232196779534</v>
      </c>
      <c r="BQ88" s="243">
        <f t="shared" si="121"/>
        <v>13333.10592512093</v>
      </c>
      <c r="BR88" s="243">
        <f t="shared" si="122"/>
        <v>3332.0699999999997</v>
      </c>
      <c r="BS88" s="243">
        <f t="shared" si="123"/>
        <v>3332.0699999999997</v>
      </c>
      <c r="BT88" s="243">
        <f t="shared" si="124"/>
        <v>3109.9319999999998</v>
      </c>
      <c r="BU88" s="243">
        <f t="shared" si="125"/>
        <v>3332.0699999999997</v>
      </c>
      <c r="BW88" s="314">
        <f>VLOOKUP($D88,'2018 Plan Data'!$A$4:$T$2000,13,FALSE)</f>
        <v>12905.351826320932</v>
      </c>
      <c r="BX88" s="314">
        <f>VLOOKUP($D88,'2018 Plan Data'!$A$4:$T$2000,14,FALSE)</f>
        <v>12905.351826320932</v>
      </c>
      <c r="BY88" s="314">
        <f>VLOOKUP($D88,'2018 Plan Data'!$A$4:$T$2000,15,FALSE)</f>
        <v>12044.995037899536</v>
      </c>
      <c r="BZ88" s="314">
        <f>VLOOKUP($D88,'2018 Plan Data'!$A$4:$T$2000,16,FALSE)</f>
        <v>12905.351826320932</v>
      </c>
      <c r="CA88" s="314">
        <f>VLOOKUP($D88,'2018 Plan Data'!$A$4:$T$2000,17,FALSE)</f>
        <v>2867.13</v>
      </c>
      <c r="CB88" s="314">
        <f>VLOOKUP($D88,'2018 Plan Data'!$A$4:$T$2000,18,FALSE)</f>
        <v>2867.13</v>
      </c>
      <c r="CC88" s="314">
        <f>VLOOKUP($D88,'2018 Plan Data'!$A$4:$T$2000,19,FALSE)</f>
        <v>2675.9879999999998</v>
      </c>
      <c r="CD88" s="314">
        <f>VLOOKUP($D88,'2018 Plan Data'!$A$4:$T$2000,20,FALSE)</f>
        <v>2867.13</v>
      </c>
      <c r="CE88" t="b">
        <f t="shared" si="126"/>
        <v>0</v>
      </c>
      <c r="CF88" t="b">
        <f t="shared" si="127"/>
        <v>0</v>
      </c>
      <c r="CG88" t="b">
        <f t="shared" si="128"/>
        <v>0</v>
      </c>
      <c r="CH88" t="b">
        <f t="shared" si="129"/>
        <v>0</v>
      </c>
      <c r="CI88" t="b">
        <f t="shared" si="130"/>
        <v>0</v>
      </c>
      <c r="CJ88" t="b">
        <f t="shared" si="131"/>
        <v>0</v>
      </c>
      <c r="CK88" t="b">
        <f t="shared" si="132"/>
        <v>0</v>
      </c>
      <c r="CL88" t="b">
        <f t="shared" si="133"/>
        <v>0</v>
      </c>
    </row>
    <row r="89" spans="1:90" ht="15" customHeight="1" x14ac:dyDescent="0.35">
      <c r="A89" s="585">
        <f t="shared" si="94"/>
        <v>703</v>
      </c>
      <c r="B89" t="str">
        <f t="shared" si="95"/>
        <v>Residential_Income Qualified</v>
      </c>
      <c r="D89">
        <v>703</v>
      </c>
      <c r="E89" t="s">
        <v>78</v>
      </c>
      <c r="F89" s="600" t="str">
        <f>VLOOKUP(G89,Sheet4!$D$6:$E$22,2,FALSE)</f>
        <v>Income Qualified</v>
      </c>
      <c r="G89" s="445" t="s">
        <v>1933</v>
      </c>
      <c r="H89" s="673" t="s">
        <v>1837</v>
      </c>
      <c r="I89" s="232"/>
      <c r="J89" s="18" t="s">
        <v>1009</v>
      </c>
      <c r="K89" s="18" t="s">
        <v>506</v>
      </c>
      <c r="L89" s="18" t="s">
        <v>1270</v>
      </c>
      <c r="M89" s="600">
        <v>1</v>
      </c>
      <c r="O89" s="72" t="str">
        <f t="shared" si="96"/>
        <v>Dual Fuel</v>
      </c>
      <c r="P89" s="7">
        <f>VLOOKUP(D89,'2018 Plan Data'!$A$4:$K$1000,11,FALSE)</f>
        <v>10</v>
      </c>
      <c r="Q89" s="652">
        <f>VLOOKUP(D89,'2018 Plan Data'!$A$4:$L$1000,12,FALSE)</f>
        <v>0</v>
      </c>
      <c r="R89" s="314">
        <f>R68</f>
        <v>296.2912427804651</v>
      </c>
      <c r="S89" s="314">
        <f t="shared" si="142"/>
        <v>0</v>
      </c>
      <c r="T89" s="314">
        <f t="shared" si="142"/>
        <v>0.11213742331288343</v>
      </c>
      <c r="U89" s="314">
        <f t="shared" si="142"/>
        <v>0</v>
      </c>
      <c r="V89" s="314">
        <f t="shared" si="142"/>
        <v>74.045999999999992</v>
      </c>
      <c r="AD89" s="309">
        <f t="shared" si="97"/>
        <v>1</v>
      </c>
      <c r="AE89" s="309">
        <f t="shared" si="140"/>
        <v>1</v>
      </c>
      <c r="AF89" s="309">
        <f t="shared" si="140"/>
        <v>1</v>
      </c>
      <c r="AG89" s="309">
        <f t="shared" si="140"/>
        <v>1</v>
      </c>
      <c r="AH89" s="314">
        <f t="shared" si="98"/>
        <v>296.2912427804651</v>
      </c>
      <c r="AI89" s="314">
        <f t="shared" si="99"/>
        <v>296.2912427804651</v>
      </c>
      <c r="AJ89" s="314">
        <f t="shared" si="100"/>
        <v>296.2912427804651</v>
      </c>
      <c r="AK89" s="314">
        <f t="shared" si="101"/>
        <v>296.2912427804651</v>
      </c>
      <c r="AL89" s="309">
        <f t="shared" si="102"/>
        <v>1</v>
      </c>
      <c r="AM89" s="309">
        <f t="shared" si="103"/>
        <v>1</v>
      </c>
      <c r="AN89" s="309">
        <f t="shared" si="104"/>
        <v>1</v>
      </c>
      <c r="AO89" s="309">
        <f t="shared" si="105"/>
        <v>1</v>
      </c>
      <c r="AP89" s="446">
        <f t="shared" si="106"/>
        <v>0.11213742331288343</v>
      </c>
      <c r="AQ89" s="446">
        <f t="shared" si="107"/>
        <v>0.11213742331288343</v>
      </c>
      <c r="AR89" s="446">
        <f t="shared" si="108"/>
        <v>0.11213742331288343</v>
      </c>
      <c r="AS89" s="446">
        <f t="shared" si="109"/>
        <v>0.11213742331288343</v>
      </c>
      <c r="AT89" s="309">
        <f t="shared" si="138"/>
        <v>1</v>
      </c>
      <c r="AU89" s="309">
        <f t="shared" si="141"/>
        <v>1</v>
      </c>
      <c r="AV89" s="309">
        <f t="shared" si="141"/>
        <v>1</v>
      </c>
      <c r="AW89" s="309">
        <f t="shared" si="141"/>
        <v>1</v>
      </c>
      <c r="AX89" s="243">
        <f t="shared" si="143"/>
        <v>74.045999999999992</v>
      </c>
      <c r="AY89" s="243">
        <f t="shared" si="144"/>
        <v>74.045999999999992</v>
      </c>
      <c r="AZ89" s="243">
        <f t="shared" si="145"/>
        <v>74.045999999999992</v>
      </c>
      <c r="BA89" s="243">
        <f t="shared" si="146"/>
        <v>74.045999999999992</v>
      </c>
      <c r="BB89" s="243">
        <f>VLOOKUP($D89,'2018 Plan Data'!$A$4:$K$2000,6,FALSE)</f>
        <v>45</v>
      </c>
      <c r="BC89" s="243">
        <f>VLOOKUP($D89,'2018 Plan Data'!$A$4:$K$2000,7,FALSE)</f>
        <v>45</v>
      </c>
      <c r="BD89" s="243">
        <f>VLOOKUP($D89,'2018 Plan Data'!$A$4:$K$2000,8,FALSE)</f>
        <v>42</v>
      </c>
      <c r="BE89" s="243">
        <f>VLOOKUP($D89,'2018 Plan Data'!$A$4:$K$2000,9,FALSE)</f>
        <v>45</v>
      </c>
      <c r="BF89" s="243">
        <f t="shared" si="110"/>
        <v>13333.10592512093</v>
      </c>
      <c r="BG89" s="243">
        <f t="shared" si="111"/>
        <v>13333.10592512093</v>
      </c>
      <c r="BH89" s="243">
        <f t="shared" si="112"/>
        <v>12444.232196779534</v>
      </c>
      <c r="BI89" s="243">
        <f t="shared" si="113"/>
        <v>13333.10592512093</v>
      </c>
      <c r="BJ89" s="243">
        <f t="shared" si="114"/>
        <v>3332.0699999999997</v>
      </c>
      <c r="BK89" s="243">
        <f t="shared" si="115"/>
        <v>3332.0699999999997</v>
      </c>
      <c r="BL89" s="243">
        <f t="shared" si="116"/>
        <v>3109.9319999999998</v>
      </c>
      <c r="BM89" s="243">
        <f t="shared" si="117"/>
        <v>3332.0699999999997</v>
      </c>
      <c r="BN89" s="243">
        <f t="shared" si="118"/>
        <v>13333.10592512093</v>
      </c>
      <c r="BO89" s="243">
        <f t="shared" si="119"/>
        <v>13333.10592512093</v>
      </c>
      <c r="BP89" s="243">
        <f t="shared" si="120"/>
        <v>12444.232196779534</v>
      </c>
      <c r="BQ89" s="243">
        <f t="shared" si="121"/>
        <v>13333.10592512093</v>
      </c>
      <c r="BR89" s="243">
        <f t="shared" si="122"/>
        <v>3332.0699999999997</v>
      </c>
      <c r="BS89" s="243">
        <f t="shared" si="123"/>
        <v>3332.0699999999997</v>
      </c>
      <c r="BT89" s="243">
        <f t="shared" si="124"/>
        <v>3109.9319999999998</v>
      </c>
      <c r="BU89" s="243">
        <f t="shared" si="125"/>
        <v>3332.0699999999997</v>
      </c>
      <c r="BW89" s="314">
        <f>VLOOKUP($D89,'2018 Plan Data'!$A$4:$T$2000,13,FALSE)</f>
        <v>12905.351826320932</v>
      </c>
      <c r="BX89" s="314">
        <f>VLOOKUP($D89,'2018 Plan Data'!$A$4:$T$2000,14,FALSE)</f>
        <v>12905.351826320932</v>
      </c>
      <c r="BY89" s="314">
        <f>VLOOKUP($D89,'2018 Plan Data'!$A$4:$T$2000,15,FALSE)</f>
        <v>12044.995037899536</v>
      </c>
      <c r="BZ89" s="314">
        <f>VLOOKUP($D89,'2018 Plan Data'!$A$4:$T$2000,16,FALSE)</f>
        <v>12905.351826320932</v>
      </c>
      <c r="CA89" s="314">
        <f>VLOOKUP($D89,'2018 Plan Data'!$A$4:$T$2000,17,FALSE)</f>
        <v>2867.13</v>
      </c>
      <c r="CB89" s="314">
        <f>VLOOKUP($D89,'2018 Plan Data'!$A$4:$T$2000,18,FALSE)</f>
        <v>2867.13</v>
      </c>
      <c r="CC89" s="314">
        <f>VLOOKUP($D89,'2018 Plan Data'!$A$4:$T$2000,19,FALSE)</f>
        <v>2675.9879999999998</v>
      </c>
      <c r="CD89" s="314">
        <f>VLOOKUP($D89,'2018 Plan Data'!$A$4:$T$2000,20,FALSE)</f>
        <v>2867.13</v>
      </c>
      <c r="CE89" t="b">
        <f t="shared" si="126"/>
        <v>0</v>
      </c>
      <c r="CF89" t="b">
        <f t="shared" si="127"/>
        <v>0</v>
      </c>
      <c r="CG89" t="b">
        <f t="shared" si="128"/>
        <v>0</v>
      </c>
      <c r="CH89" t="b">
        <f t="shared" si="129"/>
        <v>0</v>
      </c>
      <c r="CI89" t="b">
        <f t="shared" si="130"/>
        <v>0</v>
      </c>
      <c r="CJ89" t="b">
        <f t="shared" si="131"/>
        <v>0</v>
      </c>
      <c r="CK89" t="b">
        <f t="shared" si="132"/>
        <v>0</v>
      </c>
      <c r="CL89" t="b">
        <f t="shared" si="133"/>
        <v>0</v>
      </c>
    </row>
    <row r="90" spans="1:90" ht="15" customHeight="1" x14ac:dyDescent="0.35">
      <c r="A90" s="585">
        <f t="shared" si="94"/>
        <v>668</v>
      </c>
      <c r="B90" t="str">
        <f t="shared" si="95"/>
        <v>Residential_Income Qualified</v>
      </c>
      <c r="D90">
        <v>668</v>
      </c>
      <c r="E90" t="s">
        <v>78</v>
      </c>
      <c r="F90" s="600" t="str">
        <f>VLOOKUP(G90,Sheet4!$D$6:$E$22,2,FALSE)</f>
        <v>Income Qualified</v>
      </c>
      <c r="G90" s="445" t="s">
        <v>1933</v>
      </c>
      <c r="H90" s="673" t="s">
        <v>1839</v>
      </c>
      <c r="I90" s="232"/>
      <c r="J90" s="18" t="s">
        <v>1009</v>
      </c>
      <c r="K90" s="18" t="s">
        <v>363</v>
      </c>
      <c r="L90" s="18" t="s">
        <v>1715</v>
      </c>
      <c r="M90" s="600">
        <v>1</v>
      </c>
      <c r="O90" s="72" t="str">
        <f t="shared" si="96"/>
        <v>Dual Fuel</v>
      </c>
      <c r="P90" s="7">
        <f>VLOOKUP(D90,'2018 Plan Data'!$A$4:$K$1000,11,FALSE)</f>
        <v>20</v>
      </c>
      <c r="Q90" s="652">
        <f>VLOOKUP(D90,'2018 Plan Data'!$A$4:$L$1000,12,FALSE)</f>
        <v>0</v>
      </c>
      <c r="R90" s="314">
        <f>R69</f>
        <v>168.78232873654139</v>
      </c>
      <c r="S90" s="314">
        <f t="shared" si="142"/>
        <v>0</v>
      </c>
      <c r="T90" s="314">
        <f t="shared" si="142"/>
        <v>0</v>
      </c>
      <c r="U90" s="314">
        <f t="shared" si="142"/>
        <v>0</v>
      </c>
      <c r="V90" s="314">
        <f t="shared" si="142"/>
        <v>183.45506482091847</v>
      </c>
      <c r="AD90" s="309">
        <f t="shared" si="97"/>
        <v>1</v>
      </c>
      <c r="AE90" s="309">
        <f t="shared" si="140"/>
        <v>1</v>
      </c>
      <c r="AF90" s="309">
        <f t="shared" si="140"/>
        <v>1</v>
      </c>
      <c r="AG90" s="309">
        <f t="shared" si="140"/>
        <v>1</v>
      </c>
      <c r="AH90" s="314">
        <f t="shared" si="98"/>
        <v>168.78232873654139</v>
      </c>
      <c r="AI90" s="314">
        <f t="shared" si="99"/>
        <v>168.78232873654139</v>
      </c>
      <c r="AJ90" s="314">
        <f t="shared" si="100"/>
        <v>168.78232873654139</v>
      </c>
      <c r="AK90" s="314">
        <f t="shared" si="101"/>
        <v>168.78232873654139</v>
      </c>
      <c r="AL90" s="309">
        <f t="shared" si="102"/>
        <v>1</v>
      </c>
      <c r="AM90" s="309">
        <f t="shared" si="103"/>
        <v>1</v>
      </c>
      <c r="AN90" s="309">
        <f t="shared" si="104"/>
        <v>1</v>
      </c>
      <c r="AO90" s="309">
        <f t="shared" si="105"/>
        <v>1</v>
      </c>
      <c r="AP90" s="446">
        <f t="shared" si="106"/>
        <v>0</v>
      </c>
      <c r="AQ90" s="446">
        <f t="shared" si="107"/>
        <v>0</v>
      </c>
      <c r="AR90" s="446">
        <f t="shared" si="108"/>
        <v>0</v>
      </c>
      <c r="AS90" s="446">
        <f t="shared" si="109"/>
        <v>0</v>
      </c>
      <c r="AT90" s="309">
        <f t="shared" si="138"/>
        <v>1</v>
      </c>
      <c r="AU90" s="309">
        <f t="shared" si="141"/>
        <v>1</v>
      </c>
      <c r="AV90" s="309">
        <f t="shared" si="141"/>
        <v>1</v>
      </c>
      <c r="AW90" s="309">
        <f t="shared" si="141"/>
        <v>1</v>
      </c>
      <c r="AX90" s="243">
        <f t="shared" si="143"/>
        <v>183.45506482091847</v>
      </c>
      <c r="AY90" s="243">
        <f t="shared" si="144"/>
        <v>183.45506482091847</v>
      </c>
      <c r="AZ90" s="243">
        <f t="shared" si="145"/>
        <v>183.45506482091847</v>
      </c>
      <c r="BA90" s="243">
        <f t="shared" si="146"/>
        <v>183.45506482091847</v>
      </c>
      <c r="BB90" s="243">
        <f>VLOOKUP($D90,'2018 Plan Data'!$A$4:$K$2000,6,FALSE)</f>
        <v>81</v>
      </c>
      <c r="BC90" s="243">
        <f>VLOOKUP($D90,'2018 Plan Data'!$A$4:$K$2000,7,FALSE)</f>
        <v>81</v>
      </c>
      <c r="BD90" s="243">
        <f>VLOOKUP($D90,'2018 Plan Data'!$A$4:$K$2000,8,FALSE)</f>
        <v>75</v>
      </c>
      <c r="BE90" s="243">
        <f>VLOOKUP($D90,'2018 Plan Data'!$A$4:$K$2000,9,FALSE)</f>
        <v>80</v>
      </c>
      <c r="BF90" s="243">
        <f t="shared" si="110"/>
        <v>13671.368627659853</v>
      </c>
      <c r="BG90" s="243">
        <f t="shared" si="111"/>
        <v>13671.368627659853</v>
      </c>
      <c r="BH90" s="243">
        <f t="shared" si="112"/>
        <v>12658.674655240604</v>
      </c>
      <c r="BI90" s="243">
        <f t="shared" si="113"/>
        <v>13502.58629892331</v>
      </c>
      <c r="BJ90" s="243">
        <f t="shared" si="114"/>
        <v>14859.860250494396</v>
      </c>
      <c r="BK90" s="243">
        <f t="shared" si="115"/>
        <v>14859.860250494396</v>
      </c>
      <c r="BL90" s="243">
        <f t="shared" si="116"/>
        <v>13759.129861568885</v>
      </c>
      <c r="BM90" s="243">
        <f t="shared" si="117"/>
        <v>14676.405185673477</v>
      </c>
      <c r="BN90" s="243">
        <f t="shared" si="118"/>
        <v>13671.368627659853</v>
      </c>
      <c r="BO90" s="243">
        <f t="shared" si="119"/>
        <v>13671.368627659853</v>
      </c>
      <c r="BP90" s="243">
        <f t="shared" si="120"/>
        <v>12658.674655240604</v>
      </c>
      <c r="BQ90" s="243">
        <f t="shared" si="121"/>
        <v>13502.58629892331</v>
      </c>
      <c r="BR90" s="243">
        <f t="shared" si="122"/>
        <v>14859.860250494396</v>
      </c>
      <c r="BS90" s="243">
        <f t="shared" si="123"/>
        <v>14859.860250494396</v>
      </c>
      <c r="BT90" s="243">
        <f t="shared" si="124"/>
        <v>13759.129861568885</v>
      </c>
      <c r="BU90" s="243">
        <f t="shared" si="125"/>
        <v>14676.405185673477</v>
      </c>
      <c r="BW90" s="314">
        <f>VLOOKUP($D90,'2018 Plan Data'!$A$4:$T$2000,13,FALSE)</f>
        <v>13671.368627659853</v>
      </c>
      <c r="BX90" s="314">
        <f>VLOOKUP($D90,'2018 Plan Data'!$A$4:$T$2000,14,FALSE)</f>
        <v>13671.368627659853</v>
      </c>
      <c r="BY90" s="314">
        <f>VLOOKUP($D90,'2018 Plan Data'!$A$4:$T$2000,15,FALSE)</f>
        <v>12658.674655240604</v>
      </c>
      <c r="BZ90" s="314">
        <f>VLOOKUP($D90,'2018 Plan Data'!$A$4:$T$2000,16,FALSE)</f>
        <v>13502.58629892331</v>
      </c>
      <c r="CA90" s="314">
        <f>VLOOKUP($D90,'2018 Plan Data'!$A$4:$T$2000,17,FALSE)</f>
        <v>14859.860250494396</v>
      </c>
      <c r="CB90" s="314">
        <f>VLOOKUP($D90,'2018 Plan Data'!$A$4:$T$2000,18,FALSE)</f>
        <v>14859.860250494396</v>
      </c>
      <c r="CC90" s="314">
        <f>VLOOKUP($D90,'2018 Plan Data'!$A$4:$T$2000,19,FALSE)</f>
        <v>13759.129861568885</v>
      </c>
      <c r="CD90" s="314">
        <f>VLOOKUP($D90,'2018 Plan Data'!$A$4:$T$2000,20,FALSE)</f>
        <v>14676.405185673477</v>
      </c>
      <c r="CE90" t="b">
        <f t="shared" si="126"/>
        <v>1</v>
      </c>
      <c r="CF90" t="b">
        <f t="shared" si="127"/>
        <v>1</v>
      </c>
      <c r="CG90" t="b">
        <f t="shared" si="128"/>
        <v>1</v>
      </c>
      <c r="CH90" t="b">
        <f t="shared" si="129"/>
        <v>1</v>
      </c>
      <c r="CI90" t="b">
        <f t="shared" si="130"/>
        <v>1</v>
      </c>
      <c r="CJ90" t="b">
        <f t="shared" si="131"/>
        <v>1</v>
      </c>
      <c r="CK90" t="b">
        <f t="shared" si="132"/>
        <v>1</v>
      </c>
      <c r="CL90" t="b">
        <f t="shared" si="133"/>
        <v>1</v>
      </c>
    </row>
    <row r="91" spans="1:90" ht="15" customHeight="1" x14ac:dyDescent="0.35">
      <c r="A91" s="585">
        <f t="shared" si="94"/>
        <v>670</v>
      </c>
      <c r="B91" t="str">
        <f t="shared" si="95"/>
        <v>Residential_Income Qualified</v>
      </c>
      <c r="D91">
        <v>670</v>
      </c>
      <c r="E91" t="s">
        <v>78</v>
      </c>
      <c r="F91" s="600" t="str">
        <f>VLOOKUP(G91,Sheet4!$D$6:$E$22,2,FALSE)</f>
        <v>Income Qualified</v>
      </c>
      <c r="G91" s="445" t="s">
        <v>1933</v>
      </c>
      <c r="H91" s="673" t="s">
        <v>1770</v>
      </c>
      <c r="I91" s="232"/>
      <c r="J91" s="18" t="s">
        <v>1009</v>
      </c>
      <c r="K91" s="18" t="s">
        <v>363</v>
      </c>
      <c r="L91" s="18" t="s">
        <v>1715</v>
      </c>
      <c r="M91" s="600">
        <v>1</v>
      </c>
      <c r="O91" s="72" t="str">
        <f t="shared" si="96"/>
        <v>Dual Fuel</v>
      </c>
      <c r="P91" s="7">
        <f>VLOOKUP(D91,'2018 Plan Data'!$A$4:$K$1000,11,FALSE)</f>
        <v>20</v>
      </c>
      <c r="Q91" s="652">
        <f>VLOOKUP(D91,'2018 Plan Data'!$A$4:$L$1000,12,FALSE)</f>
        <v>0</v>
      </c>
      <c r="R91" s="314">
        <f>'RES Shell'!Q36</f>
        <v>358.13512873654139</v>
      </c>
      <c r="S91" s="314">
        <f t="shared" si="142"/>
        <v>0</v>
      </c>
      <c r="T91" s="314">
        <f t="shared" si="142"/>
        <v>0.19420800000000002</v>
      </c>
      <c r="U91" s="314">
        <f t="shared" si="142"/>
        <v>0</v>
      </c>
      <c r="V91" s="314">
        <f t="shared" si="142"/>
        <v>183.45506482091847</v>
      </c>
      <c r="AD91" s="309">
        <f t="shared" si="97"/>
        <v>1</v>
      </c>
      <c r="AE91" s="309">
        <f t="shared" si="140"/>
        <v>1</v>
      </c>
      <c r="AF91" s="309">
        <f t="shared" si="140"/>
        <v>1</v>
      </c>
      <c r="AG91" s="309">
        <f t="shared" si="140"/>
        <v>1</v>
      </c>
      <c r="AH91" s="314">
        <f t="shared" si="98"/>
        <v>358.13512873654139</v>
      </c>
      <c r="AI91" s="314">
        <f t="shared" si="99"/>
        <v>358.13512873654139</v>
      </c>
      <c r="AJ91" s="314">
        <f t="shared" si="100"/>
        <v>358.13512873654139</v>
      </c>
      <c r="AK91" s="314">
        <f t="shared" si="101"/>
        <v>358.13512873654139</v>
      </c>
      <c r="AL91" s="309">
        <f t="shared" si="102"/>
        <v>1</v>
      </c>
      <c r="AM91" s="309">
        <f t="shared" si="103"/>
        <v>1</v>
      </c>
      <c r="AN91" s="309">
        <f t="shared" si="104"/>
        <v>1</v>
      </c>
      <c r="AO91" s="309">
        <f t="shared" si="105"/>
        <v>1</v>
      </c>
      <c r="AP91" s="446">
        <f t="shared" si="106"/>
        <v>0.19420800000000002</v>
      </c>
      <c r="AQ91" s="446">
        <f t="shared" si="107"/>
        <v>0.19420800000000002</v>
      </c>
      <c r="AR91" s="446">
        <f t="shared" si="108"/>
        <v>0.19420800000000002</v>
      </c>
      <c r="AS91" s="446">
        <f t="shared" si="109"/>
        <v>0.19420800000000002</v>
      </c>
      <c r="AT91" s="309">
        <f t="shared" si="138"/>
        <v>1</v>
      </c>
      <c r="AU91" s="309">
        <f t="shared" si="141"/>
        <v>1</v>
      </c>
      <c r="AV91" s="309">
        <f t="shared" si="141"/>
        <v>1</v>
      </c>
      <c r="AW91" s="309">
        <f t="shared" si="141"/>
        <v>1</v>
      </c>
      <c r="AX91" s="243">
        <f t="shared" si="143"/>
        <v>183.45506482091847</v>
      </c>
      <c r="AY91" s="243">
        <f t="shared" si="144"/>
        <v>183.45506482091847</v>
      </c>
      <c r="AZ91" s="243">
        <f t="shared" si="145"/>
        <v>183.45506482091847</v>
      </c>
      <c r="BA91" s="243">
        <f t="shared" si="146"/>
        <v>183.45506482091847</v>
      </c>
      <c r="BB91" s="243">
        <f>VLOOKUP($D91,'2018 Plan Data'!$A$4:$K$2000,6,FALSE)</f>
        <v>81</v>
      </c>
      <c r="BC91" s="243">
        <f>VLOOKUP($D91,'2018 Plan Data'!$A$4:$K$2000,7,FALSE)</f>
        <v>81</v>
      </c>
      <c r="BD91" s="243">
        <f>VLOOKUP($D91,'2018 Plan Data'!$A$4:$K$2000,8,FALSE)</f>
        <v>75</v>
      </c>
      <c r="BE91" s="243">
        <f>VLOOKUP($D91,'2018 Plan Data'!$A$4:$K$2000,9,FALSE)</f>
        <v>80</v>
      </c>
      <c r="BF91" s="243">
        <f t="shared" si="110"/>
        <v>29008.945427659852</v>
      </c>
      <c r="BG91" s="243">
        <f t="shared" si="111"/>
        <v>29008.945427659852</v>
      </c>
      <c r="BH91" s="243">
        <f t="shared" si="112"/>
        <v>26860.134655240603</v>
      </c>
      <c r="BI91" s="243">
        <f t="shared" si="113"/>
        <v>28650.810298923312</v>
      </c>
      <c r="BJ91" s="243">
        <f t="shared" si="114"/>
        <v>14859.860250494396</v>
      </c>
      <c r="BK91" s="243">
        <f t="shared" si="115"/>
        <v>14859.860250494396</v>
      </c>
      <c r="BL91" s="243">
        <f t="shared" si="116"/>
        <v>13759.129861568885</v>
      </c>
      <c r="BM91" s="243">
        <f t="shared" si="117"/>
        <v>14676.405185673477</v>
      </c>
      <c r="BN91" s="243">
        <f t="shared" si="118"/>
        <v>29008.945427659852</v>
      </c>
      <c r="BO91" s="243">
        <f t="shared" si="119"/>
        <v>29008.945427659852</v>
      </c>
      <c r="BP91" s="243">
        <f t="shared" si="120"/>
        <v>26860.134655240603</v>
      </c>
      <c r="BQ91" s="243">
        <f t="shared" si="121"/>
        <v>28650.810298923312</v>
      </c>
      <c r="BR91" s="243">
        <f t="shared" si="122"/>
        <v>14859.860250494396</v>
      </c>
      <c r="BS91" s="243">
        <f t="shared" si="123"/>
        <v>14859.860250494396</v>
      </c>
      <c r="BT91" s="243">
        <f t="shared" si="124"/>
        <v>13759.129861568885</v>
      </c>
      <c r="BU91" s="243">
        <f t="shared" si="125"/>
        <v>14676.405185673477</v>
      </c>
      <c r="BW91" s="314">
        <f>VLOOKUP($D91,'2018 Plan Data'!$A$4:$T$2000,13,FALSE)</f>
        <v>29008.945427659852</v>
      </c>
      <c r="BX91" s="314">
        <f>VLOOKUP($D91,'2018 Plan Data'!$A$4:$T$2000,14,FALSE)</f>
        <v>29008.945427659852</v>
      </c>
      <c r="BY91" s="314">
        <f>VLOOKUP($D91,'2018 Plan Data'!$A$4:$T$2000,15,FALSE)</f>
        <v>26860.134655240603</v>
      </c>
      <c r="BZ91" s="314">
        <f>VLOOKUP($D91,'2018 Plan Data'!$A$4:$T$2000,16,FALSE)</f>
        <v>28650.810298923312</v>
      </c>
      <c r="CA91" s="314">
        <f>VLOOKUP($D91,'2018 Plan Data'!$A$4:$T$2000,17,FALSE)</f>
        <v>14859.860250494396</v>
      </c>
      <c r="CB91" s="314">
        <f>VLOOKUP($D91,'2018 Plan Data'!$A$4:$T$2000,18,FALSE)</f>
        <v>14859.860250494396</v>
      </c>
      <c r="CC91" s="314">
        <f>VLOOKUP($D91,'2018 Plan Data'!$A$4:$T$2000,19,FALSE)</f>
        <v>13759.129861568885</v>
      </c>
      <c r="CD91" s="314">
        <f>VLOOKUP($D91,'2018 Plan Data'!$A$4:$T$2000,20,FALSE)</f>
        <v>14676.405185673477</v>
      </c>
      <c r="CE91" t="b">
        <f t="shared" si="126"/>
        <v>1</v>
      </c>
      <c r="CF91" t="b">
        <f t="shared" si="127"/>
        <v>1</v>
      </c>
      <c r="CG91" t="b">
        <f t="shared" si="128"/>
        <v>1</v>
      </c>
      <c r="CH91" t="b">
        <f t="shared" si="129"/>
        <v>1</v>
      </c>
      <c r="CI91" t="b">
        <f t="shared" si="130"/>
        <v>1</v>
      </c>
      <c r="CJ91" t="b">
        <f t="shared" si="131"/>
        <v>1</v>
      </c>
      <c r="CK91" t="b">
        <f t="shared" si="132"/>
        <v>1</v>
      </c>
      <c r="CL91" t="b">
        <f t="shared" si="133"/>
        <v>1</v>
      </c>
    </row>
    <row r="92" spans="1:90" ht="15" customHeight="1" x14ac:dyDescent="0.35">
      <c r="A92" s="585">
        <f t="shared" si="94"/>
        <v>638</v>
      </c>
      <c r="B92" t="str">
        <f t="shared" si="95"/>
        <v>Residential_Income Qualified</v>
      </c>
      <c r="D92">
        <v>638</v>
      </c>
      <c r="E92" t="s">
        <v>78</v>
      </c>
      <c r="F92" s="600" t="str">
        <f>VLOOKUP(G92,Sheet4!$D$6:$E$22,2,FALSE)</f>
        <v>Income Qualified</v>
      </c>
      <c r="G92" s="445" t="s">
        <v>1933</v>
      </c>
      <c r="H92" s="673" t="s">
        <v>1840</v>
      </c>
      <c r="I92" s="232"/>
      <c r="J92" s="18" t="s">
        <v>1009</v>
      </c>
      <c r="K92" s="18" t="s">
        <v>710</v>
      </c>
      <c r="L92" s="18" t="s">
        <v>1730</v>
      </c>
      <c r="M92" s="600">
        <v>1</v>
      </c>
      <c r="O92" s="72" t="str">
        <f t="shared" si="96"/>
        <v>Dual Fuel</v>
      </c>
      <c r="P92" s="7">
        <f>VLOOKUP(D92,'2018 Plan Data'!$A$4:$K$1000,11,FALSE)</f>
        <v>15</v>
      </c>
      <c r="Q92" s="652">
        <f>VLOOKUP(D92,'2018 Plan Data'!$A$4:$L$1000,12,FALSE)</f>
        <v>0</v>
      </c>
      <c r="R92" s="314">
        <f t="shared" ref="R92:V97" si="147">R30</f>
        <v>570.76425000000006</v>
      </c>
      <c r="S92" s="314">
        <f t="shared" si="147"/>
        <v>0</v>
      </c>
      <c r="T92" s="314">
        <f t="shared" si="147"/>
        <v>0.45578670588846742</v>
      </c>
      <c r="U92" s="314">
        <f t="shared" si="147"/>
        <v>0</v>
      </c>
      <c r="V92" s="314">
        <f t="shared" si="147"/>
        <v>118.71115624883724</v>
      </c>
      <c r="AD92" s="309">
        <f t="shared" si="97"/>
        <v>1</v>
      </c>
      <c r="AE92" s="309">
        <f t="shared" si="140"/>
        <v>1</v>
      </c>
      <c r="AF92" s="309">
        <f t="shared" si="140"/>
        <v>1</v>
      </c>
      <c r="AG92" s="309">
        <f t="shared" si="140"/>
        <v>1</v>
      </c>
      <c r="AH92" s="314">
        <f t="shared" si="98"/>
        <v>570.76425000000006</v>
      </c>
      <c r="AI92" s="314">
        <f t="shared" si="99"/>
        <v>570.76425000000006</v>
      </c>
      <c r="AJ92" s="314">
        <f t="shared" si="100"/>
        <v>570.76425000000006</v>
      </c>
      <c r="AK92" s="314">
        <f t="shared" si="101"/>
        <v>570.76425000000006</v>
      </c>
      <c r="AL92" s="309">
        <f t="shared" si="102"/>
        <v>1</v>
      </c>
      <c r="AM92" s="309">
        <f t="shared" si="103"/>
        <v>1</v>
      </c>
      <c r="AN92" s="309">
        <f t="shared" si="104"/>
        <v>1</v>
      </c>
      <c r="AO92" s="309">
        <f t="shared" si="105"/>
        <v>1</v>
      </c>
      <c r="AP92" s="446">
        <f t="shared" si="106"/>
        <v>0.45578670588846742</v>
      </c>
      <c r="AQ92" s="446">
        <f t="shared" si="107"/>
        <v>0.45578670588846742</v>
      </c>
      <c r="AR92" s="446">
        <f t="shared" si="108"/>
        <v>0.45578670588846742</v>
      </c>
      <c r="AS92" s="446">
        <f t="shared" si="109"/>
        <v>0.45578670588846742</v>
      </c>
      <c r="AT92" s="309">
        <f t="shared" si="138"/>
        <v>1</v>
      </c>
      <c r="AU92" s="309">
        <f t="shared" si="141"/>
        <v>1</v>
      </c>
      <c r="AV92" s="309">
        <f t="shared" si="141"/>
        <v>1</v>
      </c>
      <c r="AW92" s="309">
        <f t="shared" si="141"/>
        <v>1</v>
      </c>
      <c r="AX92" s="243">
        <f t="shared" si="143"/>
        <v>118.71115624883724</v>
      </c>
      <c r="AY92" s="243">
        <f t="shared" si="144"/>
        <v>118.71115624883724</v>
      </c>
      <c r="AZ92" s="243">
        <f t="shared" si="145"/>
        <v>118.71115624883724</v>
      </c>
      <c r="BA92" s="243">
        <f t="shared" si="146"/>
        <v>118.71115624883724</v>
      </c>
      <c r="BB92" s="243">
        <f>VLOOKUP($D92,'2018 Plan Data'!$A$4:$K$2000,6,FALSE)</f>
        <v>718</v>
      </c>
      <c r="BC92" s="243">
        <f>VLOOKUP($D92,'2018 Plan Data'!$A$4:$K$2000,7,FALSE)</f>
        <v>720</v>
      </c>
      <c r="BD92" s="243">
        <f>VLOOKUP($D92,'2018 Plan Data'!$A$4:$K$2000,8,FALSE)</f>
        <v>664</v>
      </c>
      <c r="BE92" s="243">
        <f>VLOOKUP($D92,'2018 Plan Data'!$A$4:$K$2000,9,FALSE)</f>
        <v>712</v>
      </c>
      <c r="BF92" s="243">
        <f t="shared" si="110"/>
        <v>409808.73150000005</v>
      </c>
      <c r="BG92" s="243">
        <f t="shared" si="111"/>
        <v>410950.26000000007</v>
      </c>
      <c r="BH92" s="243">
        <f t="shared" si="112"/>
        <v>378987.46200000006</v>
      </c>
      <c r="BI92" s="243">
        <f t="shared" si="113"/>
        <v>406384.14600000007</v>
      </c>
      <c r="BJ92" s="243">
        <f t="shared" si="114"/>
        <v>85234.610186665144</v>
      </c>
      <c r="BK92" s="243">
        <f t="shared" si="115"/>
        <v>85472.032499162815</v>
      </c>
      <c r="BL92" s="243">
        <f t="shared" si="116"/>
        <v>78824.207749227935</v>
      </c>
      <c r="BM92" s="243">
        <f t="shared" si="117"/>
        <v>84522.343249172118</v>
      </c>
      <c r="BN92" s="243">
        <f t="shared" si="118"/>
        <v>409808.73150000005</v>
      </c>
      <c r="BO92" s="243">
        <f t="shared" si="119"/>
        <v>410950.26000000007</v>
      </c>
      <c r="BP92" s="243">
        <f t="shared" si="120"/>
        <v>378987.46200000006</v>
      </c>
      <c r="BQ92" s="243">
        <f t="shared" si="121"/>
        <v>406384.14600000007</v>
      </c>
      <c r="BR92" s="243">
        <f t="shared" si="122"/>
        <v>85234.610186665144</v>
      </c>
      <c r="BS92" s="243">
        <f t="shared" si="123"/>
        <v>85472.032499162815</v>
      </c>
      <c r="BT92" s="243">
        <f t="shared" si="124"/>
        <v>78824.207749227935</v>
      </c>
      <c r="BU92" s="243">
        <f t="shared" si="125"/>
        <v>84522.343249172118</v>
      </c>
      <c r="BW92" s="314">
        <f>VLOOKUP($D92,'2018 Plan Data'!$A$4:$T$2000,13,FALSE)</f>
        <v>316638.00000000006</v>
      </c>
      <c r="BX92" s="314">
        <f>VLOOKUP($D92,'2018 Plan Data'!$A$4:$T$2000,14,FALSE)</f>
        <v>317520.00000000006</v>
      </c>
      <c r="BY92" s="314">
        <f>VLOOKUP($D92,'2018 Plan Data'!$A$4:$T$2000,15,FALSE)</f>
        <v>292824.00000000006</v>
      </c>
      <c r="BZ92" s="314">
        <f>VLOOKUP($D92,'2018 Plan Data'!$A$4:$T$2000,16,FALSE)</f>
        <v>313992.00000000006</v>
      </c>
      <c r="CA92" s="314">
        <f>VLOOKUP($D92,'2018 Plan Data'!$A$4:$T$2000,17,FALSE)</f>
        <v>82917.077860465128</v>
      </c>
      <c r="CB92" s="314">
        <f>VLOOKUP($D92,'2018 Plan Data'!$A$4:$T$2000,18,FALSE)</f>
        <v>83148.044651162811</v>
      </c>
      <c r="CC92" s="314">
        <f>VLOOKUP($D92,'2018 Plan Data'!$A$4:$T$2000,19,FALSE)</f>
        <v>76680.974511627923</v>
      </c>
      <c r="CD92" s="314">
        <f>VLOOKUP($D92,'2018 Plan Data'!$A$4:$T$2000,20,FALSE)</f>
        <v>82224.177488372108</v>
      </c>
      <c r="CE92" t="b">
        <f t="shared" si="126"/>
        <v>0</v>
      </c>
      <c r="CF92" t="b">
        <f t="shared" si="127"/>
        <v>0</v>
      </c>
      <c r="CG92" t="b">
        <f t="shared" si="128"/>
        <v>0</v>
      </c>
      <c r="CH92" t="b">
        <f t="shared" si="129"/>
        <v>0</v>
      </c>
      <c r="CI92" t="b">
        <f t="shared" si="130"/>
        <v>0</v>
      </c>
      <c r="CJ92" t="b">
        <f t="shared" si="131"/>
        <v>0</v>
      </c>
      <c r="CK92" t="b">
        <f t="shared" si="132"/>
        <v>0</v>
      </c>
      <c r="CL92" t="b">
        <f t="shared" si="133"/>
        <v>0</v>
      </c>
    </row>
    <row r="93" spans="1:90" ht="15" customHeight="1" x14ac:dyDescent="0.35">
      <c r="A93" s="585">
        <f t="shared" si="94"/>
        <v>647</v>
      </c>
      <c r="B93" t="str">
        <f t="shared" si="95"/>
        <v>Residential_Income Qualified</v>
      </c>
      <c r="D93">
        <v>647</v>
      </c>
      <c r="E93" t="s">
        <v>78</v>
      </c>
      <c r="F93" s="600" t="str">
        <f>VLOOKUP(G93,Sheet4!$D$6:$E$22,2,FALSE)</f>
        <v>Income Qualified</v>
      </c>
      <c r="G93" s="445" t="s">
        <v>1933</v>
      </c>
      <c r="H93" s="673" t="s">
        <v>1841</v>
      </c>
      <c r="I93" s="232"/>
      <c r="J93" s="18" t="s">
        <v>1009</v>
      </c>
      <c r="K93" s="2585" t="s">
        <v>3387</v>
      </c>
      <c r="L93" s="18" t="s">
        <v>1732</v>
      </c>
      <c r="M93" s="600">
        <v>1</v>
      </c>
      <c r="O93" s="72" t="str">
        <f t="shared" si="96"/>
        <v>Dual Fuel</v>
      </c>
      <c r="P93" s="7">
        <f>VLOOKUP(D93,'2018 Plan Data'!$A$4:$K$1000,11,FALSE)</f>
        <v>25</v>
      </c>
      <c r="Q93" s="652">
        <f>VLOOKUP(D93,'2018 Plan Data'!$A$4:$L$1000,12,FALSE)</f>
        <v>0</v>
      </c>
      <c r="R93" s="314">
        <f t="shared" si="147"/>
        <v>319.80474588693727</v>
      </c>
      <c r="S93" s="314">
        <f t="shared" si="147"/>
        <v>0</v>
      </c>
      <c r="T93" s="314">
        <f t="shared" si="147"/>
        <v>0.20351332645276182</v>
      </c>
      <c r="U93" s="314">
        <f t="shared" si="147"/>
        <v>0</v>
      </c>
      <c r="V93" s="314">
        <f t="shared" si="147"/>
        <v>94.383772388289358</v>
      </c>
      <c r="W93" s="314">
        <f>W31</f>
        <v>0</v>
      </c>
      <c r="AD93" s="309">
        <f t="shared" si="97"/>
        <v>1</v>
      </c>
      <c r="AE93" s="309">
        <f t="shared" si="140"/>
        <v>1</v>
      </c>
      <c r="AF93" s="309">
        <f t="shared" si="140"/>
        <v>1</v>
      </c>
      <c r="AG93" s="309">
        <f t="shared" si="140"/>
        <v>1</v>
      </c>
      <c r="AH93" s="314">
        <f t="shared" si="98"/>
        <v>319.80474588693727</v>
      </c>
      <c r="AI93" s="314">
        <f t="shared" si="99"/>
        <v>319.80474588693727</v>
      </c>
      <c r="AJ93" s="314">
        <f t="shared" si="100"/>
        <v>319.80474588693727</v>
      </c>
      <c r="AK93" s="314">
        <f t="shared" si="101"/>
        <v>319.80474588693727</v>
      </c>
      <c r="AL93" s="309">
        <f t="shared" si="102"/>
        <v>1</v>
      </c>
      <c r="AM93" s="309">
        <f t="shared" si="103"/>
        <v>1</v>
      </c>
      <c r="AN93" s="309">
        <f t="shared" si="104"/>
        <v>1</v>
      </c>
      <c r="AO93" s="309">
        <f t="shared" si="105"/>
        <v>1</v>
      </c>
      <c r="AP93" s="446">
        <f t="shared" si="106"/>
        <v>0.20351332645276182</v>
      </c>
      <c r="AQ93" s="446">
        <f t="shared" si="107"/>
        <v>0.20351332645276182</v>
      </c>
      <c r="AR93" s="446">
        <f t="shared" si="108"/>
        <v>0.20351332645276182</v>
      </c>
      <c r="AS93" s="446">
        <f t="shared" si="109"/>
        <v>0.20351332645276182</v>
      </c>
      <c r="AT93" s="309">
        <f t="shared" si="138"/>
        <v>1</v>
      </c>
      <c r="AU93" s="309">
        <f t="shared" si="141"/>
        <v>1</v>
      </c>
      <c r="AV93" s="309">
        <f t="shared" si="141"/>
        <v>1</v>
      </c>
      <c r="AW93" s="309">
        <f t="shared" si="141"/>
        <v>1</v>
      </c>
      <c r="AX93" s="243">
        <f t="shared" si="143"/>
        <v>94.383772388289358</v>
      </c>
      <c r="AY93" s="243">
        <f t="shared" si="144"/>
        <v>94.383772388289358</v>
      </c>
      <c r="AZ93" s="243">
        <f t="shared" si="145"/>
        <v>94.383772388289358</v>
      </c>
      <c r="BA93" s="243">
        <f t="shared" si="146"/>
        <v>94.383772388289358</v>
      </c>
      <c r="BB93" s="243">
        <f>VLOOKUP($D93,'2018 Plan Data'!$A$4:$K$2000,6,FALSE)</f>
        <v>144</v>
      </c>
      <c r="BC93" s="243">
        <f>VLOOKUP($D93,'2018 Plan Data'!$A$4:$K$2000,7,FALSE)</f>
        <v>144</v>
      </c>
      <c r="BD93" s="243">
        <f>VLOOKUP($D93,'2018 Plan Data'!$A$4:$K$2000,8,FALSE)</f>
        <v>133</v>
      </c>
      <c r="BE93" s="243">
        <f>VLOOKUP($D93,'2018 Plan Data'!$A$4:$K$2000,9,FALSE)</f>
        <v>142</v>
      </c>
      <c r="BF93" s="243">
        <f t="shared" si="110"/>
        <v>46051.883407718968</v>
      </c>
      <c r="BG93" s="243">
        <f t="shared" si="111"/>
        <v>46051.883407718968</v>
      </c>
      <c r="BH93" s="243">
        <f t="shared" si="112"/>
        <v>42534.031202962658</v>
      </c>
      <c r="BI93" s="243">
        <f t="shared" si="113"/>
        <v>45412.273915945094</v>
      </c>
      <c r="BJ93" s="243">
        <f t="shared" si="114"/>
        <v>13591.263223913667</v>
      </c>
      <c r="BK93" s="243">
        <f t="shared" si="115"/>
        <v>13591.263223913667</v>
      </c>
      <c r="BL93" s="243">
        <f t="shared" si="116"/>
        <v>12553.041727642485</v>
      </c>
      <c r="BM93" s="243">
        <f t="shared" si="117"/>
        <v>13402.49567913709</v>
      </c>
      <c r="BN93" s="243">
        <f t="shared" si="118"/>
        <v>46051.883407718968</v>
      </c>
      <c r="BO93" s="243">
        <f t="shared" si="119"/>
        <v>46051.883407718968</v>
      </c>
      <c r="BP93" s="243">
        <f t="shared" si="120"/>
        <v>42534.031202962658</v>
      </c>
      <c r="BQ93" s="243">
        <f t="shared" si="121"/>
        <v>45412.273915945094</v>
      </c>
      <c r="BR93" s="243">
        <f t="shared" si="122"/>
        <v>13591.263223913667</v>
      </c>
      <c r="BS93" s="243">
        <f t="shared" si="123"/>
        <v>13591.263223913667</v>
      </c>
      <c r="BT93" s="243">
        <f t="shared" si="124"/>
        <v>12553.041727642485</v>
      </c>
      <c r="BU93" s="243">
        <f t="shared" si="125"/>
        <v>13402.49567913709</v>
      </c>
      <c r="BW93" s="314">
        <f>VLOOKUP($D93,'2018 Plan Data'!$A$4:$T$2000,13,FALSE)</f>
        <v>29056.90453883716</v>
      </c>
      <c r="BX93" s="314">
        <f>VLOOKUP($D93,'2018 Plan Data'!$A$4:$T$2000,14,FALSE)</f>
        <v>29056.90453883716</v>
      </c>
      <c r="BY93" s="314">
        <f>VLOOKUP($D93,'2018 Plan Data'!$A$4:$T$2000,15,FALSE)</f>
        <v>26837.279886564877</v>
      </c>
      <c r="BZ93" s="314">
        <f>VLOOKUP($D93,'2018 Plan Data'!$A$4:$T$2000,16,FALSE)</f>
        <v>28653.336420242198</v>
      </c>
      <c r="CA93" s="314">
        <f>VLOOKUP($D93,'2018 Plan Data'!$A$4:$T$2000,17,FALSE)</f>
        <v>10296.411533267927</v>
      </c>
      <c r="CB93" s="314">
        <f>VLOOKUP($D93,'2018 Plan Data'!$A$4:$T$2000,18,FALSE)</f>
        <v>10296.411533267927</v>
      </c>
      <c r="CC93" s="314">
        <f>VLOOKUP($D93,'2018 Plan Data'!$A$4:$T$2000,19,FALSE)</f>
        <v>9509.8800966988492</v>
      </c>
      <c r="CD93" s="314">
        <f>VLOOKUP($D93,'2018 Plan Data'!$A$4:$T$2000,20,FALSE)</f>
        <v>10153.405817528093</v>
      </c>
      <c r="CE93" t="b">
        <f t="shared" si="126"/>
        <v>0</v>
      </c>
      <c r="CF93" t="b">
        <f t="shared" si="127"/>
        <v>0</v>
      </c>
      <c r="CG93" t="b">
        <f t="shared" si="128"/>
        <v>0</v>
      </c>
      <c r="CH93" t="b">
        <f t="shared" si="129"/>
        <v>0</v>
      </c>
      <c r="CI93" t="b">
        <f t="shared" si="130"/>
        <v>0</v>
      </c>
      <c r="CJ93" t="b">
        <f t="shared" si="131"/>
        <v>0</v>
      </c>
      <c r="CK93" t="b">
        <f t="shared" si="132"/>
        <v>0</v>
      </c>
      <c r="CL93" t="b">
        <f t="shared" si="133"/>
        <v>0</v>
      </c>
    </row>
    <row r="94" spans="1:90" ht="15" customHeight="1" x14ac:dyDescent="0.35">
      <c r="A94" s="585">
        <f t="shared" si="94"/>
        <v>655</v>
      </c>
      <c r="B94" t="str">
        <f t="shared" si="95"/>
        <v>Residential_Income Qualified</v>
      </c>
      <c r="D94" s="600">
        <v>655</v>
      </c>
      <c r="E94" s="600" t="s">
        <v>78</v>
      </c>
      <c r="F94" s="600" t="str">
        <f>VLOOKUP(G94,Sheet4!$D$6:$E$22,2,FALSE)</f>
        <v>Income Qualified</v>
      </c>
      <c r="G94" s="445" t="s">
        <v>1933</v>
      </c>
      <c r="H94" s="673" t="s">
        <v>1842</v>
      </c>
      <c r="I94" s="232"/>
      <c r="J94" s="18" t="s">
        <v>1009</v>
      </c>
      <c r="K94" s="2585" t="s">
        <v>3387</v>
      </c>
      <c r="L94" s="72" t="s">
        <v>1732</v>
      </c>
      <c r="M94" s="600">
        <v>1</v>
      </c>
      <c r="O94" s="72" t="str">
        <f t="shared" si="96"/>
        <v>Dual Fuel</v>
      </c>
      <c r="P94" s="7">
        <f>VLOOKUP(D94,'2018 Plan Data'!$A$4:$K$1000,11,FALSE)</f>
        <v>25</v>
      </c>
      <c r="Q94" s="652">
        <f>VLOOKUP(D94,'2018 Plan Data'!$A$4:$L$1000,12,FALSE)</f>
        <v>0</v>
      </c>
      <c r="R94" s="314">
        <f t="shared" si="147"/>
        <v>859.61720560709784</v>
      </c>
      <c r="S94" s="314">
        <f t="shared" si="147"/>
        <v>0</v>
      </c>
      <c r="T94" s="314">
        <f t="shared" si="147"/>
        <v>0.54722472223964824</v>
      </c>
      <c r="U94" s="314">
        <f t="shared" si="147"/>
        <v>0</v>
      </c>
      <c r="V94" s="314">
        <f t="shared" si="147"/>
        <v>253.78747686628907</v>
      </c>
      <c r="W94" s="314">
        <f>W32</f>
        <v>0</v>
      </c>
      <c r="X94" s="600"/>
      <c r="Y94" s="600"/>
      <c r="Z94" s="600"/>
      <c r="AA94" s="600"/>
      <c r="AB94" s="600"/>
      <c r="AC94" s="600"/>
      <c r="AD94" s="309">
        <f t="shared" si="97"/>
        <v>1</v>
      </c>
      <c r="AE94" s="309">
        <f t="shared" si="140"/>
        <v>1</v>
      </c>
      <c r="AF94" s="309">
        <f t="shared" si="140"/>
        <v>1</v>
      </c>
      <c r="AG94" s="309">
        <f t="shared" si="140"/>
        <v>1</v>
      </c>
      <c r="AH94" s="314">
        <f t="shared" si="98"/>
        <v>859.61720560709784</v>
      </c>
      <c r="AI94" s="314">
        <f t="shared" si="99"/>
        <v>859.61720560709784</v>
      </c>
      <c r="AJ94" s="314">
        <f t="shared" si="100"/>
        <v>859.61720560709784</v>
      </c>
      <c r="AK94" s="314">
        <f t="shared" si="101"/>
        <v>859.61720560709784</v>
      </c>
      <c r="AL94" s="309">
        <f t="shared" si="102"/>
        <v>1</v>
      </c>
      <c r="AM94" s="309">
        <f t="shared" si="103"/>
        <v>1</v>
      </c>
      <c r="AN94" s="309">
        <f t="shared" si="104"/>
        <v>1</v>
      </c>
      <c r="AO94" s="309">
        <f t="shared" si="105"/>
        <v>1</v>
      </c>
      <c r="AP94" s="446">
        <f t="shared" si="106"/>
        <v>0.54722472223964824</v>
      </c>
      <c r="AQ94" s="446">
        <f t="shared" si="107"/>
        <v>0.54722472223964824</v>
      </c>
      <c r="AR94" s="446">
        <f t="shared" si="108"/>
        <v>0.54722472223964824</v>
      </c>
      <c r="AS94" s="446">
        <f t="shared" si="109"/>
        <v>0.54722472223964824</v>
      </c>
      <c r="AT94" s="309">
        <f t="shared" si="138"/>
        <v>1</v>
      </c>
      <c r="AU94" s="309">
        <f t="shared" si="141"/>
        <v>1</v>
      </c>
      <c r="AV94" s="309">
        <f t="shared" si="141"/>
        <v>1</v>
      </c>
      <c r="AW94" s="309">
        <f t="shared" si="141"/>
        <v>1</v>
      </c>
      <c r="AX94" s="243">
        <f t="shared" si="143"/>
        <v>253.78747686628907</v>
      </c>
      <c r="AY94" s="243">
        <f t="shared" si="144"/>
        <v>253.78747686628907</v>
      </c>
      <c r="AZ94" s="243">
        <f t="shared" si="145"/>
        <v>253.78747686628907</v>
      </c>
      <c r="BA94" s="243">
        <f t="shared" si="146"/>
        <v>253.78747686628907</v>
      </c>
      <c r="BB94" s="243">
        <f>VLOOKUP($D94,'2018 Plan Data'!$A$4:$K$2000,6,FALSE)</f>
        <v>36</v>
      </c>
      <c r="BC94" s="243">
        <f>VLOOKUP($D94,'2018 Plan Data'!$A$4:$K$2000,7,FALSE)</f>
        <v>36</v>
      </c>
      <c r="BD94" s="243">
        <f>VLOOKUP($D94,'2018 Plan Data'!$A$4:$K$2000,8,FALSE)</f>
        <v>33</v>
      </c>
      <c r="BE94" s="243">
        <f>VLOOKUP($D94,'2018 Plan Data'!$A$4:$K$2000,9,FALSE)</f>
        <v>36</v>
      </c>
      <c r="BF94" s="243">
        <f t="shared" si="110"/>
        <v>30946.219401855524</v>
      </c>
      <c r="BG94" s="243">
        <f t="shared" si="111"/>
        <v>30946.219401855524</v>
      </c>
      <c r="BH94" s="243">
        <f t="shared" si="112"/>
        <v>28367.367785034228</v>
      </c>
      <c r="BI94" s="243">
        <f t="shared" si="113"/>
        <v>30946.219401855524</v>
      </c>
      <c r="BJ94" s="243">
        <f t="shared" si="114"/>
        <v>9136.3491671864067</v>
      </c>
      <c r="BK94" s="243">
        <f t="shared" si="115"/>
        <v>9136.3491671864067</v>
      </c>
      <c r="BL94" s="243">
        <f t="shared" si="116"/>
        <v>8374.9867365875398</v>
      </c>
      <c r="BM94" s="243">
        <f t="shared" si="117"/>
        <v>9136.3491671864067</v>
      </c>
      <c r="BN94" s="243">
        <f t="shared" si="118"/>
        <v>30946.219401855524</v>
      </c>
      <c r="BO94" s="243">
        <f t="shared" si="119"/>
        <v>30946.219401855524</v>
      </c>
      <c r="BP94" s="243">
        <f t="shared" si="120"/>
        <v>28367.367785034228</v>
      </c>
      <c r="BQ94" s="243">
        <f t="shared" si="121"/>
        <v>30946.219401855524</v>
      </c>
      <c r="BR94" s="243">
        <f t="shared" si="122"/>
        <v>9136.3491671864067</v>
      </c>
      <c r="BS94" s="243">
        <f t="shared" si="123"/>
        <v>9136.3491671864067</v>
      </c>
      <c r="BT94" s="243">
        <f t="shared" si="124"/>
        <v>8374.9867365875398</v>
      </c>
      <c r="BU94" s="243">
        <f t="shared" si="125"/>
        <v>9136.3491671864067</v>
      </c>
      <c r="BW94" s="314">
        <f>VLOOKUP($D94,'2018 Plan Data'!$A$4:$T$2000,13,FALSE)</f>
        <v>19097.49693999609</v>
      </c>
      <c r="BX94" s="314">
        <f>VLOOKUP($D94,'2018 Plan Data'!$A$4:$T$2000,14,FALSE)</f>
        <v>19097.49693999609</v>
      </c>
      <c r="BY94" s="314">
        <f>VLOOKUP($D94,'2018 Plan Data'!$A$4:$T$2000,15,FALSE)</f>
        <v>17506.038861663081</v>
      </c>
      <c r="BZ94" s="314">
        <f>VLOOKUP($D94,'2018 Plan Data'!$A$4:$T$2000,16,FALSE)</f>
        <v>19097.49693999609</v>
      </c>
      <c r="CA94" s="314">
        <f>VLOOKUP($D94,'2018 Plan Data'!$A$4:$T$2000,17,FALSE)</f>
        <v>6921.4766418078825</v>
      </c>
      <c r="CB94" s="314">
        <f>VLOOKUP($D94,'2018 Plan Data'!$A$4:$T$2000,18,FALSE)</f>
        <v>6921.4766418078825</v>
      </c>
      <c r="CC94" s="314">
        <f>VLOOKUP($D94,'2018 Plan Data'!$A$4:$T$2000,19,FALSE)</f>
        <v>6344.6869216572259</v>
      </c>
      <c r="CD94" s="314">
        <f>VLOOKUP($D94,'2018 Plan Data'!$A$4:$T$2000,20,FALSE)</f>
        <v>6921.4766418078825</v>
      </c>
      <c r="CE94" t="b">
        <f t="shared" si="126"/>
        <v>0</v>
      </c>
      <c r="CF94" t="b">
        <f t="shared" si="127"/>
        <v>0</v>
      </c>
      <c r="CG94" t="b">
        <f t="shared" si="128"/>
        <v>0</v>
      </c>
      <c r="CH94" t="b">
        <f t="shared" si="129"/>
        <v>0</v>
      </c>
      <c r="CI94" t="b">
        <f t="shared" si="130"/>
        <v>0</v>
      </c>
      <c r="CJ94" t="b">
        <f t="shared" si="131"/>
        <v>0</v>
      </c>
      <c r="CK94" t="b">
        <f t="shared" si="132"/>
        <v>0</v>
      </c>
      <c r="CL94" t="b">
        <f t="shared" si="133"/>
        <v>0</v>
      </c>
    </row>
    <row r="95" spans="1:90" ht="15" customHeight="1" x14ac:dyDescent="0.35">
      <c r="A95" s="585">
        <f t="shared" si="94"/>
        <v>646</v>
      </c>
      <c r="B95" t="str">
        <f t="shared" si="95"/>
        <v>Residential_Income Qualified</v>
      </c>
      <c r="D95">
        <v>646</v>
      </c>
      <c r="E95" t="s">
        <v>78</v>
      </c>
      <c r="F95" s="600" t="str">
        <f>VLOOKUP(G95,Sheet4!$D$6:$E$22,2,FALSE)</f>
        <v>Income Qualified</v>
      </c>
      <c r="G95" s="445" t="s">
        <v>1933</v>
      </c>
      <c r="H95" s="673" t="s">
        <v>1790</v>
      </c>
      <c r="I95" s="232"/>
      <c r="J95" s="18" t="s">
        <v>1009</v>
      </c>
      <c r="K95" s="2585" t="s">
        <v>3387</v>
      </c>
      <c r="L95" s="18" t="s">
        <v>1732</v>
      </c>
      <c r="M95" s="600">
        <v>1</v>
      </c>
      <c r="O95" s="72" t="str">
        <f t="shared" si="96"/>
        <v>Dual Fuel</v>
      </c>
      <c r="P95" s="7">
        <f>VLOOKUP(D95,'2018 Plan Data'!$A$4:$K$1000,11,FALSE)</f>
        <v>25</v>
      </c>
      <c r="Q95" s="652">
        <f>VLOOKUP(D95,'2018 Plan Data'!$A$4:$L$1000,12,FALSE)</f>
        <v>0</v>
      </c>
      <c r="R95" s="314">
        <f t="shared" si="147"/>
        <v>319.80474588693727</v>
      </c>
      <c r="S95" s="314">
        <f t="shared" si="147"/>
        <v>0</v>
      </c>
      <c r="T95" s="314">
        <f t="shared" si="147"/>
        <v>0.20351332645276182</v>
      </c>
      <c r="U95" s="314">
        <f t="shared" si="147"/>
        <v>0</v>
      </c>
      <c r="V95" s="314">
        <f t="shared" si="147"/>
        <v>94.383772388289358</v>
      </c>
      <c r="W95" s="314">
        <f>W33</f>
        <v>0</v>
      </c>
      <c r="AD95" s="309">
        <f t="shared" si="97"/>
        <v>1</v>
      </c>
      <c r="AE95" s="309">
        <f t="shared" si="140"/>
        <v>1</v>
      </c>
      <c r="AF95" s="309">
        <f t="shared" si="140"/>
        <v>1</v>
      </c>
      <c r="AG95" s="309">
        <f t="shared" si="140"/>
        <v>1</v>
      </c>
      <c r="AH95" s="314">
        <f t="shared" si="98"/>
        <v>319.80474588693727</v>
      </c>
      <c r="AI95" s="314">
        <f t="shared" si="99"/>
        <v>319.80474588693727</v>
      </c>
      <c r="AJ95" s="314">
        <f t="shared" si="100"/>
        <v>319.80474588693727</v>
      </c>
      <c r="AK95" s="314">
        <f t="shared" si="101"/>
        <v>319.80474588693727</v>
      </c>
      <c r="AL95" s="309">
        <f t="shared" si="102"/>
        <v>1</v>
      </c>
      <c r="AM95" s="309">
        <f t="shared" si="103"/>
        <v>1</v>
      </c>
      <c r="AN95" s="309">
        <f t="shared" si="104"/>
        <v>1</v>
      </c>
      <c r="AO95" s="309">
        <f t="shared" si="105"/>
        <v>1</v>
      </c>
      <c r="AP95" s="446">
        <f t="shared" si="106"/>
        <v>0.20351332645276182</v>
      </c>
      <c r="AQ95" s="446">
        <f t="shared" si="107"/>
        <v>0.20351332645276182</v>
      </c>
      <c r="AR95" s="446">
        <f t="shared" si="108"/>
        <v>0.20351332645276182</v>
      </c>
      <c r="AS95" s="446">
        <f t="shared" si="109"/>
        <v>0.20351332645276182</v>
      </c>
      <c r="AT95" s="309">
        <f t="shared" si="138"/>
        <v>1</v>
      </c>
      <c r="AU95" s="309">
        <f t="shared" si="141"/>
        <v>1</v>
      </c>
      <c r="AV95" s="309">
        <f t="shared" si="141"/>
        <v>1</v>
      </c>
      <c r="AW95" s="309">
        <f t="shared" si="141"/>
        <v>1</v>
      </c>
      <c r="AX95" s="243">
        <f t="shared" si="143"/>
        <v>94.383772388289358</v>
      </c>
      <c r="AY95" s="243">
        <f t="shared" si="144"/>
        <v>94.383772388289358</v>
      </c>
      <c r="AZ95" s="243">
        <f t="shared" si="145"/>
        <v>94.383772388289358</v>
      </c>
      <c r="BA95" s="243">
        <f t="shared" si="146"/>
        <v>94.383772388289358</v>
      </c>
      <c r="BB95" s="243">
        <f>VLOOKUP($D95,'2018 Plan Data'!$A$4:$K$2000,6,FALSE)</f>
        <v>80.637200000000007</v>
      </c>
      <c r="BC95" s="243">
        <f>VLOOKUP($D95,'2018 Plan Data'!$A$4:$K$2000,7,FALSE)</f>
        <v>80.919300000000007</v>
      </c>
      <c r="BD95" s="243">
        <f>VLOOKUP($D95,'2018 Plan Data'!$A$4:$K$2000,8,FALSE)</f>
        <v>74.604599999999991</v>
      </c>
      <c r="BE95" s="243">
        <f>VLOOKUP($D95,'2018 Plan Data'!$A$4:$K$2000,9,FALSE)</f>
        <v>80.027147899999989</v>
      </c>
      <c r="BF95" s="243">
        <f t="shared" si="110"/>
        <v>25788.159255034141</v>
      </c>
      <c r="BG95" s="243">
        <f t="shared" si="111"/>
        <v>25878.376173848847</v>
      </c>
      <c r="BH95" s="243">
        <f t="shared" si="112"/>
        <v>23858.905144996595</v>
      </c>
      <c r="BI95" s="243">
        <f t="shared" si="113"/>
        <v>25593.061698215843</v>
      </c>
      <c r="BJ95" s="243">
        <f t="shared" si="114"/>
        <v>7610.8431308289673</v>
      </c>
      <c r="BK95" s="243">
        <f t="shared" si="115"/>
        <v>7637.4687930197033</v>
      </c>
      <c r="BL95" s="243">
        <f t="shared" si="116"/>
        <v>7041.463585519371</v>
      </c>
      <c r="BM95" s="243">
        <f t="shared" si="117"/>
        <v>7553.2641122775676</v>
      </c>
      <c r="BN95" s="243">
        <f t="shared" si="118"/>
        <v>25788.159255034141</v>
      </c>
      <c r="BO95" s="243">
        <f t="shared" si="119"/>
        <v>25878.376173848847</v>
      </c>
      <c r="BP95" s="243">
        <f t="shared" si="120"/>
        <v>23858.905144996595</v>
      </c>
      <c r="BQ95" s="243">
        <f t="shared" si="121"/>
        <v>25593.061698215843</v>
      </c>
      <c r="BR95" s="243">
        <f t="shared" si="122"/>
        <v>7610.8431308289673</v>
      </c>
      <c r="BS95" s="243">
        <f t="shared" si="123"/>
        <v>7637.4687930197033</v>
      </c>
      <c r="BT95" s="243">
        <f t="shared" si="124"/>
        <v>7041.463585519371</v>
      </c>
      <c r="BU95" s="243">
        <f t="shared" si="125"/>
        <v>7553.2641122775676</v>
      </c>
      <c r="BW95" s="314">
        <f>VLOOKUP($D95,'2018 Plan Data'!$A$4:$T$2000,13,FALSE)</f>
        <v>16271.301546382778</v>
      </c>
      <c r="BX95" s="314">
        <f>VLOOKUP($D95,'2018 Plan Data'!$A$4:$T$2000,14,FALSE)</f>
        <v>16328.224829510596</v>
      </c>
      <c r="BY95" s="314">
        <f>VLOOKUP($D95,'2018 Plan Data'!$A$4:$T$2000,15,FALSE)</f>
        <v>15054.019030264795</v>
      </c>
      <c r="BZ95" s="314">
        <f>VLOOKUP($D95,'2018 Plan Data'!$A$4:$T$2000,16,FALSE)</f>
        <v>16148.202757261821</v>
      </c>
      <c r="CA95" s="314">
        <f>VLOOKUP($D95,'2018 Plan Data'!$A$4:$T$2000,17,FALSE)</f>
        <v>5765.7902506280034</v>
      </c>
      <c r="CB95" s="314">
        <f>VLOOKUP($D95,'2018 Plan Data'!$A$4:$T$2000,18,FALSE)</f>
        <v>5785.9612068331071</v>
      </c>
      <c r="CC95" s="314">
        <f>VLOOKUP($D95,'2018 Plan Data'!$A$4:$T$2000,19,FALSE)</f>
        <v>5334.4421102419465</v>
      </c>
      <c r="CD95" s="314">
        <f>VLOOKUP($D95,'2018 Plan Data'!$A$4:$T$2000,20,FALSE)</f>
        <v>5722.169782028458</v>
      </c>
      <c r="CE95" t="b">
        <f t="shared" si="126"/>
        <v>0</v>
      </c>
      <c r="CF95" t="b">
        <f t="shared" si="127"/>
        <v>0</v>
      </c>
      <c r="CG95" t="b">
        <f t="shared" si="128"/>
        <v>0</v>
      </c>
      <c r="CH95" t="b">
        <f t="shared" si="129"/>
        <v>0</v>
      </c>
      <c r="CI95" t="b">
        <f t="shared" si="130"/>
        <v>0</v>
      </c>
      <c r="CJ95" t="b">
        <f t="shared" si="131"/>
        <v>0</v>
      </c>
      <c r="CK95" t="b">
        <f t="shared" si="132"/>
        <v>0</v>
      </c>
      <c r="CL95" t="b">
        <f t="shared" si="133"/>
        <v>0</v>
      </c>
    </row>
    <row r="96" spans="1:90" ht="15" customHeight="1" x14ac:dyDescent="0.35">
      <c r="A96" s="585">
        <f t="shared" si="94"/>
        <v>654</v>
      </c>
      <c r="B96" t="str">
        <f t="shared" si="95"/>
        <v>Residential_Income Qualified</v>
      </c>
      <c r="D96">
        <v>654</v>
      </c>
      <c r="E96" t="s">
        <v>78</v>
      </c>
      <c r="F96" s="600" t="str">
        <f>VLOOKUP(G96,Sheet4!$D$6:$E$22,2,FALSE)</f>
        <v>Income Qualified</v>
      </c>
      <c r="G96" s="445" t="s">
        <v>1933</v>
      </c>
      <c r="H96" s="673" t="s">
        <v>1791</v>
      </c>
      <c r="I96" s="232"/>
      <c r="J96" s="18" t="s">
        <v>1009</v>
      </c>
      <c r="K96" s="2585" t="s">
        <v>3387</v>
      </c>
      <c r="L96" s="18" t="s">
        <v>1732</v>
      </c>
      <c r="M96" s="600">
        <v>1</v>
      </c>
      <c r="O96" s="72" t="str">
        <f t="shared" si="96"/>
        <v>Dual Fuel</v>
      </c>
      <c r="P96" s="7">
        <f>VLOOKUP(D96,'2018 Plan Data'!$A$4:$K$1000,11,FALSE)</f>
        <v>25</v>
      </c>
      <c r="Q96" s="652">
        <f>VLOOKUP(D96,'2018 Plan Data'!$A$4:$L$1000,12,FALSE)</f>
        <v>0</v>
      </c>
      <c r="R96" s="314">
        <f t="shared" si="147"/>
        <v>859.61720560709784</v>
      </c>
      <c r="S96" s="314">
        <f t="shared" si="147"/>
        <v>0</v>
      </c>
      <c r="T96" s="314">
        <f t="shared" si="147"/>
        <v>0.54722472223964824</v>
      </c>
      <c r="U96" s="314">
        <f t="shared" si="147"/>
        <v>0</v>
      </c>
      <c r="V96" s="314">
        <f t="shared" si="147"/>
        <v>253.78747686628907</v>
      </c>
      <c r="W96" s="314">
        <f>W34</f>
        <v>0</v>
      </c>
      <c r="AD96" s="309">
        <f t="shared" si="97"/>
        <v>1</v>
      </c>
      <c r="AE96" s="309">
        <f t="shared" si="140"/>
        <v>1</v>
      </c>
      <c r="AF96" s="309">
        <f t="shared" si="140"/>
        <v>1</v>
      </c>
      <c r="AG96" s="309">
        <f t="shared" si="140"/>
        <v>1</v>
      </c>
      <c r="AH96" s="314">
        <f t="shared" si="98"/>
        <v>859.61720560709784</v>
      </c>
      <c r="AI96" s="314">
        <f t="shared" si="99"/>
        <v>859.61720560709784</v>
      </c>
      <c r="AJ96" s="314">
        <f t="shared" si="100"/>
        <v>859.61720560709784</v>
      </c>
      <c r="AK96" s="314">
        <f t="shared" si="101"/>
        <v>859.61720560709784</v>
      </c>
      <c r="AL96" s="309">
        <f t="shared" si="102"/>
        <v>1</v>
      </c>
      <c r="AM96" s="309">
        <f t="shared" si="103"/>
        <v>1</v>
      </c>
      <c r="AN96" s="309">
        <f t="shared" si="104"/>
        <v>1</v>
      </c>
      <c r="AO96" s="309">
        <f t="shared" si="105"/>
        <v>1</v>
      </c>
      <c r="AP96" s="446">
        <f t="shared" si="106"/>
        <v>0.54722472223964824</v>
      </c>
      <c r="AQ96" s="446">
        <f t="shared" si="107"/>
        <v>0.54722472223964824</v>
      </c>
      <c r="AR96" s="446">
        <f t="shared" si="108"/>
        <v>0.54722472223964824</v>
      </c>
      <c r="AS96" s="446">
        <f t="shared" si="109"/>
        <v>0.54722472223964824</v>
      </c>
      <c r="AT96" s="309">
        <f t="shared" si="138"/>
        <v>1</v>
      </c>
      <c r="AU96" s="309">
        <f t="shared" si="141"/>
        <v>1</v>
      </c>
      <c r="AV96" s="309">
        <f t="shared" si="141"/>
        <v>1</v>
      </c>
      <c r="AW96" s="309">
        <f t="shared" si="141"/>
        <v>1</v>
      </c>
      <c r="AX96" s="243">
        <f t="shared" si="143"/>
        <v>253.78747686628907</v>
      </c>
      <c r="AY96" s="243">
        <f t="shared" si="144"/>
        <v>253.78747686628907</v>
      </c>
      <c r="AZ96" s="243">
        <f t="shared" si="145"/>
        <v>253.78747686628907</v>
      </c>
      <c r="BA96" s="243">
        <f t="shared" si="146"/>
        <v>253.78747686628907</v>
      </c>
      <c r="BB96" s="243">
        <f>VLOOKUP($D96,'2018 Plan Data'!$A$4:$K$2000,6,FALSE)</f>
        <v>20.159300000000002</v>
      </c>
      <c r="BC96" s="243">
        <f>VLOOKUP($D96,'2018 Plan Data'!$A$4:$K$2000,7,FALSE)</f>
        <v>20.229825000000002</v>
      </c>
      <c r="BD96" s="243">
        <f>VLOOKUP($D96,'2018 Plan Data'!$A$4:$K$2000,8,FALSE)</f>
        <v>18.651149999999998</v>
      </c>
      <c r="BE96" s="243">
        <f>VLOOKUP($D96,'2018 Plan Data'!$A$4:$K$2000,9,FALSE)</f>
        <v>20.006786974999997</v>
      </c>
      <c r="BF96" s="243">
        <f t="shared" si="110"/>
        <v>17329.281132995169</v>
      </c>
      <c r="BG96" s="243">
        <f t="shared" si="111"/>
        <v>17389.905636420608</v>
      </c>
      <c r="BH96" s="243">
        <f t="shared" si="112"/>
        <v>16032.849444358821</v>
      </c>
      <c r="BI96" s="243">
        <f t="shared" si="113"/>
        <v>17198.17831262598</v>
      </c>
      <c r="BJ96" s="243">
        <f t="shared" si="114"/>
        <v>5116.1778823905815</v>
      </c>
      <c r="BK96" s="243">
        <f t="shared" si="115"/>
        <v>5134.0762441965771</v>
      </c>
      <c r="BL96" s="243">
        <f t="shared" si="116"/>
        <v>4733.428299154687</v>
      </c>
      <c r="BM96" s="243">
        <f t="shared" si="117"/>
        <v>5077.4719865865854</v>
      </c>
      <c r="BN96" s="243">
        <f t="shared" si="118"/>
        <v>17329.281132995169</v>
      </c>
      <c r="BO96" s="243">
        <f t="shared" si="119"/>
        <v>17389.905636420608</v>
      </c>
      <c r="BP96" s="243">
        <f t="shared" si="120"/>
        <v>16032.849444358821</v>
      </c>
      <c r="BQ96" s="243">
        <f t="shared" si="121"/>
        <v>17198.17831262598</v>
      </c>
      <c r="BR96" s="243">
        <f t="shared" si="122"/>
        <v>5116.1778823905815</v>
      </c>
      <c r="BS96" s="243">
        <f t="shared" si="123"/>
        <v>5134.0762441965771</v>
      </c>
      <c r="BT96" s="243">
        <f t="shared" si="124"/>
        <v>4733.428299154687</v>
      </c>
      <c r="BU96" s="243">
        <f t="shared" si="125"/>
        <v>5077.4719865865854</v>
      </c>
      <c r="BW96" s="314">
        <f>VLOOKUP($D96,'2018 Plan Data'!$A$4:$T$2000,13,FALSE)</f>
        <v>10694.226946179533</v>
      </c>
      <c r="BX96" s="314">
        <f>VLOOKUP($D96,'2018 Plan Data'!$A$4:$T$2000,14,FALSE)</f>
        <v>10731.639473171012</v>
      </c>
      <c r="BY96" s="314">
        <f>VLOOKUP($D96,'2018 Plan Data'!$A$4:$T$2000,15,FALSE)</f>
        <v>9894.1744459002239</v>
      </c>
      <c r="BZ96" s="314">
        <f>VLOOKUP($D96,'2018 Plan Data'!$A$4:$T$2000,16,FALSE)</f>
        <v>10613.320917617113</v>
      </c>
      <c r="CA96" s="314">
        <f>VLOOKUP($D96,'2018 Plan Data'!$A$4:$T$2000,17,FALSE)</f>
        <v>3875.8923351443796</v>
      </c>
      <c r="CB96" s="314">
        <f>VLOOKUP($D96,'2018 Plan Data'!$A$4:$T$2000,18,FALSE)</f>
        <v>3889.4517001489212</v>
      </c>
      <c r="CC96" s="314">
        <f>VLOOKUP($D96,'2018 Plan Data'!$A$4:$T$2000,19,FALSE)</f>
        <v>3585.9305296626412</v>
      </c>
      <c r="CD96" s="314">
        <f>VLOOKUP($D96,'2018 Plan Data'!$A$4:$T$2000,20,FALSE)</f>
        <v>3846.5696868080186</v>
      </c>
      <c r="CE96" t="b">
        <f t="shared" si="126"/>
        <v>0</v>
      </c>
      <c r="CF96" t="b">
        <f t="shared" si="127"/>
        <v>0</v>
      </c>
      <c r="CG96" t="b">
        <f t="shared" si="128"/>
        <v>0</v>
      </c>
      <c r="CH96" t="b">
        <f t="shared" si="129"/>
        <v>0</v>
      </c>
      <c r="CI96" t="b">
        <f t="shared" si="130"/>
        <v>0</v>
      </c>
      <c r="CJ96" t="b">
        <f t="shared" si="131"/>
        <v>0</v>
      </c>
      <c r="CK96" t="b">
        <f t="shared" si="132"/>
        <v>0</v>
      </c>
      <c r="CL96" t="b">
        <f t="shared" si="133"/>
        <v>0</v>
      </c>
    </row>
    <row r="97" spans="1:349" ht="15" customHeight="1" x14ac:dyDescent="0.35">
      <c r="A97" s="585">
        <f t="shared" si="94"/>
        <v>689</v>
      </c>
      <c r="B97" t="str">
        <f t="shared" si="95"/>
        <v>Residential_Income Qualified</v>
      </c>
      <c r="D97" s="600">
        <v>689</v>
      </c>
      <c r="E97" s="600" t="s">
        <v>78</v>
      </c>
      <c r="F97" s="600" t="str">
        <f>VLOOKUP(G97,Sheet4!$D$6:$E$22,2,FALSE)</f>
        <v>Income Qualified</v>
      </c>
      <c r="G97" s="445" t="s">
        <v>1933</v>
      </c>
      <c r="H97" s="673" t="s">
        <v>1844</v>
      </c>
      <c r="I97" s="232"/>
      <c r="J97" s="18" t="s">
        <v>1009</v>
      </c>
      <c r="K97" s="112" t="s">
        <v>483</v>
      </c>
      <c r="L97" s="112" t="s">
        <v>1723</v>
      </c>
      <c r="M97" s="600">
        <v>1</v>
      </c>
      <c r="O97" s="72" t="str">
        <f t="shared" si="96"/>
        <v>Gas</v>
      </c>
      <c r="P97" s="7">
        <f>VLOOKUP(D97,'2018 Plan Data'!$A$4:$K$1000,11,FALSE)</f>
        <v>13</v>
      </c>
      <c r="Q97" s="652">
        <f>VLOOKUP(D97,'2018 Plan Data'!$A$4:$L$1000,12,FALSE)</f>
        <v>0</v>
      </c>
      <c r="R97" s="314">
        <f t="shared" si="147"/>
        <v>0</v>
      </c>
      <c r="S97" s="314">
        <f t="shared" si="147"/>
        <v>0</v>
      </c>
      <c r="T97" s="314">
        <f t="shared" si="147"/>
        <v>0</v>
      </c>
      <c r="U97" s="314">
        <f t="shared" si="147"/>
        <v>0</v>
      </c>
      <c r="V97" s="314">
        <f t="shared" si="147"/>
        <v>4.4032292307692309</v>
      </c>
      <c r="W97" s="314">
        <f>W35</f>
        <v>0</v>
      </c>
      <c r="X97" s="600"/>
      <c r="Y97" s="600"/>
      <c r="Z97" s="600"/>
      <c r="AA97" s="600"/>
      <c r="AB97" s="600"/>
      <c r="AC97" s="600"/>
      <c r="AD97" s="309">
        <f t="shared" si="97"/>
        <v>1</v>
      </c>
      <c r="AE97" s="309">
        <f t="shared" si="140"/>
        <v>1</v>
      </c>
      <c r="AF97" s="309">
        <f t="shared" si="140"/>
        <v>1</v>
      </c>
      <c r="AG97" s="309">
        <f t="shared" si="140"/>
        <v>1</v>
      </c>
      <c r="AH97" s="314">
        <f t="shared" si="98"/>
        <v>0</v>
      </c>
      <c r="AI97" s="314">
        <f t="shared" si="99"/>
        <v>0</v>
      </c>
      <c r="AJ97" s="314">
        <f t="shared" si="100"/>
        <v>0</v>
      </c>
      <c r="AK97" s="314">
        <f t="shared" si="101"/>
        <v>0</v>
      </c>
      <c r="AL97" s="309">
        <f t="shared" si="102"/>
        <v>1</v>
      </c>
      <c r="AM97" s="309">
        <f t="shared" si="103"/>
        <v>1</v>
      </c>
      <c r="AN97" s="309">
        <f t="shared" si="104"/>
        <v>1</v>
      </c>
      <c r="AO97" s="309">
        <f t="shared" si="105"/>
        <v>1</v>
      </c>
      <c r="AP97" s="446">
        <f t="shared" si="106"/>
        <v>0</v>
      </c>
      <c r="AQ97" s="446">
        <f t="shared" si="107"/>
        <v>0</v>
      </c>
      <c r="AR97" s="446">
        <f t="shared" si="108"/>
        <v>0</v>
      </c>
      <c r="AS97" s="446">
        <f t="shared" si="109"/>
        <v>0</v>
      </c>
      <c r="AT97" s="309">
        <f t="shared" si="138"/>
        <v>1</v>
      </c>
      <c r="AU97" s="309">
        <f t="shared" si="141"/>
        <v>1</v>
      </c>
      <c r="AV97" s="309">
        <f t="shared" si="141"/>
        <v>1</v>
      </c>
      <c r="AW97" s="309">
        <f t="shared" si="141"/>
        <v>1</v>
      </c>
      <c r="AX97" s="243">
        <f t="shared" si="143"/>
        <v>4.4032292307692309</v>
      </c>
      <c r="AY97" s="243">
        <f t="shared" si="144"/>
        <v>4.4032292307692309</v>
      </c>
      <c r="AZ97" s="243">
        <f t="shared" si="145"/>
        <v>4.4032292307692309</v>
      </c>
      <c r="BA97" s="243">
        <f t="shared" si="146"/>
        <v>4.4032292307692309</v>
      </c>
      <c r="BB97" s="243">
        <f>VLOOKUP($D97,'2018 Plan Data'!$A$4:$K$2000,6,FALSE)</f>
        <v>650</v>
      </c>
      <c r="BC97" s="243">
        <f>VLOOKUP($D97,'2018 Plan Data'!$A$4:$K$2000,7,FALSE)</f>
        <v>653</v>
      </c>
      <c r="BD97" s="243">
        <f>VLOOKUP($D97,'2018 Plan Data'!$A$4:$K$2000,8,FALSE)</f>
        <v>602</v>
      </c>
      <c r="BE97" s="243">
        <f>VLOOKUP($D97,'2018 Plan Data'!$A$4:$K$2000,9,FALSE)</f>
        <v>645</v>
      </c>
      <c r="BF97" s="243">
        <f t="shared" si="110"/>
        <v>0</v>
      </c>
      <c r="BG97" s="243">
        <f t="shared" si="111"/>
        <v>0</v>
      </c>
      <c r="BH97" s="243">
        <f t="shared" si="112"/>
        <v>0</v>
      </c>
      <c r="BI97" s="243">
        <f t="shared" si="113"/>
        <v>0</v>
      </c>
      <c r="BJ97" s="243">
        <f t="shared" si="114"/>
        <v>2862.0990000000002</v>
      </c>
      <c r="BK97" s="243">
        <f t="shared" si="115"/>
        <v>2875.3086876923076</v>
      </c>
      <c r="BL97" s="243">
        <f t="shared" si="116"/>
        <v>2650.7439969230768</v>
      </c>
      <c r="BM97" s="243">
        <f t="shared" si="117"/>
        <v>2840.0828538461537</v>
      </c>
      <c r="BN97" s="243">
        <f t="shared" si="118"/>
        <v>0</v>
      </c>
      <c r="BO97" s="243">
        <f t="shared" si="119"/>
        <v>0</v>
      </c>
      <c r="BP97" s="243">
        <f t="shared" si="120"/>
        <v>0</v>
      </c>
      <c r="BQ97" s="243">
        <f t="shared" si="121"/>
        <v>0</v>
      </c>
      <c r="BR97" s="243">
        <f t="shared" si="122"/>
        <v>2862.0990000000002</v>
      </c>
      <c r="BS97" s="243">
        <f t="shared" si="123"/>
        <v>2875.3086876923076</v>
      </c>
      <c r="BT97" s="243">
        <f t="shared" si="124"/>
        <v>2650.7439969230768</v>
      </c>
      <c r="BU97" s="243">
        <f t="shared" si="125"/>
        <v>2840.0828538461537</v>
      </c>
      <c r="BV97" s="600"/>
      <c r="BW97" s="314">
        <f>VLOOKUP($D97,'2018 Plan Data'!$A$4:$T$2000,13,FALSE)</f>
        <v>0</v>
      </c>
      <c r="BX97" s="314">
        <f>VLOOKUP($D97,'2018 Plan Data'!$A$4:$T$2000,14,FALSE)</f>
        <v>0</v>
      </c>
      <c r="BY97" s="314">
        <f>VLOOKUP($D97,'2018 Plan Data'!$A$4:$T$2000,15,FALSE)</f>
        <v>0</v>
      </c>
      <c r="BZ97" s="314">
        <f>VLOOKUP($D97,'2018 Plan Data'!$A$4:$T$2000,16,FALSE)</f>
        <v>0</v>
      </c>
      <c r="CA97" s="314">
        <f>VLOOKUP($D97,'2018 Plan Data'!$A$4:$T$2000,17,FALSE)</f>
        <v>3436.2719999999999</v>
      </c>
      <c r="CB97" s="314">
        <f>VLOOKUP($D97,'2018 Plan Data'!$A$4:$T$2000,18,FALSE)</f>
        <v>3452.131716923077</v>
      </c>
      <c r="CC97" s="314">
        <f>VLOOKUP($D97,'2018 Plan Data'!$A$4:$T$2000,19,FALSE)</f>
        <v>3182.5165292307693</v>
      </c>
      <c r="CD97" s="314">
        <f>VLOOKUP($D97,'2018 Plan Data'!$A$4:$T$2000,20,FALSE)</f>
        <v>3409.8391384615384</v>
      </c>
      <c r="CE97" t="b">
        <f t="shared" si="126"/>
        <v>1</v>
      </c>
      <c r="CF97" t="b">
        <f t="shared" si="127"/>
        <v>1</v>
      </c>
      <c r="CG97" t="b">
        <f t="shared" si="128"/>
        <v>1</v>
      </c>
      <c r="CH97" t="b">
        <f t="shared" si="129"/>
        <v>1</v>
      </c>
      <c r="CI97" t="b">
        <f t="shared" si="130"/>
        <v>0</v>
      </c>
      <c r="CJ97" t="b">
        <f t="shared" si="131"/>
        <v>0</v>
      </c>
      <c r="CK97" t="b">
        <f t="shared" si="132"/>
        <v>0</v>
      </c>
      <c r="CL97" t="b">
        <f t="shared" si="133"/>
        <v>0</v>
      </c>
    </row>
    <row r="98" spans="1:349" s="600" customFormat="1" ht="15" customHeight="1" x14ac:dyDescent="0.35">
      <c r="A98" s="585">
        <f t="shared" si="94"/>
        <v>555</v>
      </c>
      <c r="B98" s="445" t="str">
        <f t="shared" si="95"/>
        <v>Residential_Income Qualified</v>
      </c>
      <c r="C98" s="445"/>
      <c r="D98" s="445">
        <v>555</v>
      </c>
      <c r="E98" s="445" t="s">
        <v>78</v>
      </c>
      <c r="F98" s="600" t="str">
        <f>VLOOKUP(G98,Sheet4!$D$6:$E$22,2,FALSE)</f>
        <v>Income Qualified</v>
      </c>
      <c r="G98" s="445" t="s">
        <v>1933</v>
      </c>
      <c r="H98" s="673" t="s">
        <v>1938</v>
      </c>
      <c r="I98" s="232"/>
      <c r="J98" s="72" t="s">
        <v>20</v>
      </c>
      <c r="K98" s="72" t="s">
        <v>767</v>
      </c>
      <c r="L98" s="72" t="s">
        <v>1718</v>
      </c>
      <c r="M98" s="600">
        <v>1</v>
      </c>
      <c r="O98" s="72" t="str">
        <f t="shared" si="96"/>
        <v>Gas</v>
      </c>
      <c r="P98" s="7">
        <f>VLOOKUP(D98,'2018 Plan Data'!$A$4:$K$1000,11,FALSE)</f>
        <v>20</v>
      </c>
      <c r="Q98" s="652">
        <f>VLOOKUP(D98,'2018 Plan Data'!$A$4:$L$1000,12,FALSE)</f>
        <v>0</v>
      </c>
      <c r="R98" s="314">
        <v>0</v>
      </c>
      <c r="S98" s="314">
        <v>0</v>
      </c>
      <c r="T98" s="314">
        <v>0</v>
      </c>
      <c r="U98" s="314">
        <v>0</v>
      </c>
      <c r="V98" s="314">
        <f>V87</f>
        <v>149.11346153846137</v>
      </c>
      <c r="W98" s="314">
        <f>W25</f>
        <v>0</v>
      </c>
      <c r="AD98" s="309">
        <f t="shared" si="97"/>
        <v>1</v>
      </c>
      <c r="AE98" s="309">
        <f t="shared" si="140"/>
        <v>1</v>
      </c>
      <c r="AF98" s="309">
        <f t="shared" si="140"/>
        <v>1</v>
      </c>
      <c r="AG98" s="309">
        <f t="shared" si="140"/>
        <v>1</v>
      </c>
      <c r="AH98" s="314">
        <f t="shared" si="98"/>
        <v>0</v>
      </c>
      <c r="AI98" s="314">
        <f t="shared" si="99"/>
        <v>0</v>
      </c>
      <c r="AJ98" s="314">
        <f t="shared" si="100"/>
        <v>0</v>
      </c>
      <c r="AK98" s="314">
        <f t="shared" si="101"/>
        <v>0</v>
      </c>
      <c r="AL98" s="309">
        <f t="shared" si="102"/>
        <v>1</v>
      </c>
      <c r="AM98" s="309">
        <f t="shared" si="103"/>
        <v>1</v>
      </c>
      <c r="AN98" s="309">
        <f t="shared" si="104"/>
        <v>1</v>
      </c>
      <c r="AO98" s="309">
        <f t="shared" si="105"/>
        <v>1</v>
      </c>
      <c r="AP98" s="446">
        <f t="shared" si="106"/>
        <v>0</v>
      </c>
      <c r="AQ98" s="446">
        <f t="shared" si="107"/>
        <v>0</v>
      </c>
      <c r="AR98" s="446">
        <f t="shared" si="108"/>
        <v>0</v>
      </c>
      <c r="AS98" s="446">
        <f t="shared" si="109"/>
        <v>0</v>
      </c>
      <c r="AT98" s="309">
        <f t="shared" si="138"/>
        <v>1</v>
      </c>
      <c r="AU98" s="309">
        <f t="shared" si="141"/>
        <v>1</v>
      </c>
      <c r="AV98" s="309">
        <f t="shared" si="141"/>
        <v>1</v>
      </c>
      <c r="AW98" s="309">
        <f t="shared" si="141"/>
        <v>1</v>
      </c>
      <c r="AX98" s="243">
        <f t="shared" si="143"/>
        <v>149.11346153846137</v>
      </c>
      <c r="AY98" s="243">
        <f t="shared" si="144"/>
        <v>149.11346153846137</v>
      </c>
      <c r="AZ98" s="243">
        <f t="shared" si="145"/>
        <v>149.11346153846137</v>
      </c>
      <c r="BA98" s="243">
        <f t="shared" si="146"/>
        <v>149.11346153846137</v>
      </c>
      <c r="BB98" s="243">
        <f>VLOOKUP($D98,'2018 Plan Data'!$A$4:$K$2000,6,FALSE)</f>
        <v>50</v>
      </c>
      <c r="BC98" s="243">
        <f>VLOOKUP($D98,'2018 Plan Data'!$A$4:$K$2000,7,FALSE)</f>
        <v>50</v>
      </c>
      <c r="BD98" s="243">
        <f>VLOOKUP($D98,'2018 Plan Data'!$A$4:$K$2000,8,FALSE)</f>
        <v>50</v>
      </c>
      <c r="BE98" s="243">
        <f>VLOOKUP($D98,'2018 Plan Data'!$A$4:$K$2000,9,FALSE)</f>
        <v>50</v>
      </c>
      <c r="BF98" s="243">
        <f t="shared" si="110"/>
        <v>0</v>
      </c>
      <c r="BG98" s="243">
        <f t="shared" si="111"/>
        <v>0</v>
      </c>
      <c r="BH98" s="243">
        <f t="shared" si="112"/>
        <v>0</v>
      </c>
      <c r="BI98" s="243">
        <f t="shared" si="113"/>
        <v>0</v>
      </c>
      <c r="BJ98" s="243">
        <f t="shared" si="114"/>
        <v>7455.673076923068</v>
      </c>
      <c r="BK98" s="243">
        <f t="shared" si="115"/>
        <v>7455.673076923068</v>
      </c>
      <c r="BL98" s="243">
        <f t="shared" si="116"/>
        <v>7455.673076923068</v>
      </c>
      <c r="BM98" s="243">
        <f t="shared" si="117"/>
        <v>7455.673076923068</v>
      </c>
      <c r="BN98" s="243">
        <f t="shared" si="118"/>
        <v>0</v>
      </c>
      <c r="BO98" s="243">
        <f t="shared" si="119"/>
        <v>0</v>
      </c>
      <c r="BP98" s="243">
        <f t="shared" si="120"/>
        <v>0</v>
      </c>
      <c r="BQ98" s="243">
        <f t="shared" si="121"/>
        <v>0</v>
      </c>
      <c r="BR98" s="243">
        <f t="shared" si="122"/>
        <v>7455.673076923068</v>
      </c>
      <c r="BS98" s="243">
        <f t="shared" si="123"/>
        <v>7455.673076923068</v>
      </c>
      <c r="BT98" s="243">
        <f t="shared" si="124"/>
        <v>7455.673076923068</v>
      </c>
      <c r="BU98" s="243">
        <f t="shared" si="125"/>
        <v>7455.673076923068</v>
      </c>
      <c r="BW98" s="314">
        <f>VLOOKUP($D98,'2018 Plan Data'!$A$4:$T$2000,13,FALSE)</f>
        <v>0</v>
      </c>
      <c r="BX98" s="314">
        <f>VLOOKUP($D98,'2018 Plan Data'!$A$4:$T$2000,14,FALSE)</f>
        <v>0</v>
      </c>
      <c r="BY98" s="314">
        <f>VLOOKUP($D98,'2018 Plan Data'!$A$4:$T$2000,15,FALSE)</f>
        <v>0</v>
      </c>
      <c r="BZ98" s="314">
        <f>VLOOKUP($D98,'2018 Plan Data'!$A$4:$T$2000,16,FALSE)</f>
        <v>0</v>
      </c>
      <c r="CA98" s="314">
        <f>VLOOKUP($D98,'2018 Plan Data'!$A$4:$T$2000,17,FALSE)</f>
        <v>7046.0526315789493</v>
      </c>
      <c r="CB98" s="314">
        <f>VLOOKUP($D98,'2018 Plan Data'!$A$4:$T$2000,18,FALSE)</f>
        <v>7046.0526315789493</v>
      </c>
      <c r="CC98" s="314">
        <f>VLOOKUP($D98,'2018 Plan Data'!$A$4:$T$2000,19,FALSE)</f>
        <v>7046.0526315789493</v>
      </c>
      <c r="CD98" s="314">
        <f>VLOOKUP($D98,'2018 Plan Data'!$A$4:$T$2000,20,FALSE)</f>
        <v>7046.0526315789493</v>
      </c>
      <c r="CE98" s="600" t="b">
        <f t="shared" si="126"/>
        <v>1</v>
      </c>
      <c r="CF98" s="600" t="b">
        <f t="shared" si="127"/>
        <v>1</v>
      </c>
      <c r="CG98" s="600" t="b">
        <f t="shared" si="128"/>
        <v>1</v>
      </c>
      <c r="CH98" s="600" t="b">
        <f t="shared" si="129"/>
        <v>1</v>
      </c>
      <c r="CI98" s="600" t="b">
        <f t="shared" si="130"/>
        <v>0</v>
      </c>
      <c r="CJ98" s="600" t="b">
        <f t="shared" si="131"/>
        <v>0</v>
      </c>
      <c r="CK98" s="600" t="b">
        <f t="shared" si="132"/>
        <v>0</v>
      </c>
      <c r="CL98" s="600" t="b">
        <f t="shared" si="133"/>
        <v>0</v>
      </c>
      <c r="CM98" s="585"/>
      <c r="CN98" s="585"/>
      <c r="CO98" s="585"/>
      <c r="CP98" s="585"/>
      <c r="CQ98" s="585"/>
      <c r="CR98" s="585"/>
      <c r="CS98" s="585"/>
      <c r="CT98" s="585"/>
      <c r="CU98" s="585"/>
      <c r="CV98" s="585"/>
      <c r="CW98" s="585"/>
      <c r="CX98" s="585"/>
      <c r="CY98" s="585"/>
      <c r="CZ98" s="585"/>
      <c r="DA98" s="585"/>
      <c r="DB98" s="585"/>
      <c r="DC98" s="585"/>
      <c r="DD98" s="585"/>
      <c r="DE98" s="585"/>
      <c r="DF98" s="585"/>
      <c r="DG98" s="585"/>
      <c r="DH98" s="585"/>
      <c r="DI98" s="585"/>
      <c r="DJ98" s="585"/>
      <c r="DK98" s="585"/>
      <c r="DL98" s="585"/>
      <c r="DM98" s="585"/>
      <c r="DN98" s="585"/>
      <c r="DO98" s="585"/>
      <c r="DP98" s="585"/>
      <c r="DQ98" s="585"/>
      <c r="DR98" s="585"/>
      <c r="DS98" s="585"/>
      <c r="DT98" s="585"/>
      <c r="DU98" s="585"/>
      <c r="DV98" s="585"/>
      <c r="DW98" s="585"/>
      <c r="DX98" s="585"/>
      <c r="DY98" s="585"/>
      <c r="DZ98" s="585"/>
      <c r="EA98" s="585"/>
      <c r="EB98" s="585"/>
      <c r="EC98" s="585"/>
      <c r="ED98" s="585"/>
      <c r="EE98" s="585"/>
      <c r="EF98" s="585"/>
      <c r="EG98" s="585"/>
      <c r="EH98" s="585"/>
      <c r="EI98" s="585"/>
      <c r="EJ98" s="585"/>
      <c r="EK98" s="585"/>
      <c r="EL98" s="585"/>
      <c r="EM98" s="585"/>
      <c r="EN98" s="585"/>
      <c r="EO98" s="585"/>
      <c r="EP98" s="585"/>
      <c r="EQ98" s="585"/>
      <c r="ER98" s="585"/>
      <c r="ES98" s="585"/>
      <c r="ET98" s="585"/>
      <c r="EU98" s="585"/>
      <c r="EV98" s="585"/>
      <c r="EW98" s="585"/>
      <c r="EX98" s="585"/>
      <c r="EY98" s="585"/>
      <c r="EZ98" s="585"/>
      <c r="FA98" s="585"/>
      <c r="FB98" s="585"/>
      <c r="FC98" s="585"/>
      <c r="FD98" s="585"/>
      <c r="FE98" s="585"/>
      <c r="FF98" s="585"/>
      <c r="FG98" s="585"/>
      <c r="FH98" s="585"/>
      <c r="FI98" s="585"/>
      <c r="FJ98" s="585"/>
      <c r="FK98" s="585"/>
      <c r="FL98" s="585"/>
      <c r="FM98" s="585"/>
      <c r="FN98" s="585"/>
      <c r="FO98" s="585"/>
      <c r="FP98" s="585"/>
      <c r="FQ98" s="585"/>
      <c r="FR98" s="585"/>
      <c r="FS98" s="585"/>
      <c r="FT98" s="585"/>
      <c r="FU98" s="585"/>
      <c r="FV98" s="585"/>
      <c r="FW98" s="585"/>
      <c r="FX98" s="585"/>
      <c r="FY98" s="585"/>
      <c r="FZ98" s="585"/>
      <c r="GA98" s="585"/>
      <c r="GB98" s="585"/>
      <c r="GC98" s="585"/>
      <c r="GD98" s="585"/>
      <c r="GE98" s="585"/>
      <c r="GF98" s="585"/>
      <c r="GG98" s="585"/>
      <c r="GH98" s="585"/>
      <c r="GI98" s="585"/>
      <c r="GJ98" s="585"/>
      <c r="GK98" s="585"/>
      <c r="GL98" s="585"/>
      <c r="GM98" s="585"/>
      <c r="GN98" s="585"/>
      <c r="GO98" s="585"/>
      <c r="GP98" s="585"/>
      <c r="GQ98" s="585"/>
      <c r="GR98" s="585"/>
      <c r="GS98" s="585"/>
      <c r="GT98" s="585"/>
      <c r="GU98" s="585"/>
      <c r="GV98" s="585"/>
      <c r="GW98" s="585"/>
      <c r="GX98" s="585"/>
      <c r="GY98" s="585"/>
      <c r="GZ98" s="585"/>
      <c r="HA98" s="585"/>
      <c r="HB98" s="585"/>
      <c r="HC98" s="585"/>
      <c r="HD98" s="585"/>
      <c r="HE98" s="585"/>
      <c r="HF98" s="585"/>
      <c r="HG98" s="585"/>
      <c r="HH98" s="585"/>
      <c r="HI98" s="585"/>
      <c r="HJ98" s="585"/>
      <c r="HK98" s="585"/>
      <c r="HL98" s="585"/>
      <c r="HM98" s="585"/>
      <c r="HN98" s="585"/>
      <c r="HO98" s="585"/>
      <c r="HP98" s="585"/>
      <c r="HQ98" s="585"/>
      <c r="HR98" s="585"/>
      <c r="HS98" s="585"/>
      <c r="HT98" s="585"/>
      <c r="HU98" s="585"/>
      <c r="HV98" s="585"/>
      <c r="HW98" s="585"/>
      <c r="HX98" s="585"/>
      <c r="HY98" s="585"/>
      <c r="HZ98" s="585"/>
      <c r="IA98" s="585"/>
      <c r="IB98" s="585"/>
      <c r="IC98" s="585"/>
      <c r="ID98" s="585"/>
      <c r="IE98" s="585"/>
      <c r="IF98" s="585"/>
      <c r="IG98" s="585"/>
      <c r="IH98" s="585"/>
      <c r="II98" s="585"/>
      <c r="IJ98" s="585"/>
      <c r="IK98" s="585"/>
      <c r="IL98" s="585"/>
      <c r="IM98" s="585"/>
      <c r="IN98" s="585"/>
      <c r="IO98" s="585"/>
      <c r="IP98" s="585"/>
      <c r="IQ98" s="585"/>
      <c r="IR98" s="585"/>
      <c r="IS98" s="585"/>
      <c r="IT98" s="585"/>
      <c r="IU98" s="585"/>
      <c r="IV98" s="585"/>
      <c r="IW98" s="585"/>
      <c r="IX98" s="585"/>
      <c r="IY98" s="585"/>
      <c r="IZ98" s="585"/>
      <c r="JA98" s="585"/>
      <c r="JB98" s="585"/>
      <c r="JC98" s="585"/>
      <c r="JD98" s="585"/>
      <c r="JE98" s="585"/>
      <c r="JF98" s="585"/>
      <c r="JG98" s="585"/>
      <c r="JH98" s="585"/>
      <c r="JI98" s="585"/>
      <c r="JJ98" s="585"/>
      <c r="JK98" s="585"/>
      <c r="JL98" s="585"/>
      <c r="JM98" s="585"/>
      <c r="JN98" s="585"/>
      <c r="JO98" s="585"/>
      <c r="JP98" s="585"/>
      <c r="JQ98" s="585"/>
      <c r="JR98" s="585"/>
      <c r="JS98" s="585"/>
      <c r="JT98" s="585"/>
      <c r="JU98" s="585"/>
      <c r="JV98" s="585"/>
      <c r="JW98" s="585"/>
      <c r="JX98" s="585"/>
      <c r="JY98" s="585"/>
      <c r="JZ98" s="585"/>
      <c r="KA98" s="585"/>
      <c r="KB98" s="585"/>
      <c r="KC98" s="585"/>
      <c r="KD98" s="585"/>
      <c r="KE98" s="585"/>
      <c r="KF98" s="585"/>
      <c r="KG98" s="585"/>
      <c r="KH98" s="585"/>
      <c r="KI98" s="585"/>
      <c r="KJ98" s="585"/>
      <c r="KK98" s="585"/>
      <c r="KL98" s="585"/>
      <c r="KM98" s="585"/>
      <c r="KN98" s="585"/>
      <c r="KO98" s="585"/>
      <c r="KP98" s="585"/>
      <c r="KQ98" s="585"/>
      <c r="KR98" s="585"/>
      <c r="KS98" s="585"/>
      <c r="KT98" s="585"/>
      <c r="KU98" s="585"/>
      <c r="KV98" s="585"/>
      <c r="KW98" s="585"/>
      <c r="KX98" s="585"/>
      <c r="KY98" s="585"/>
      <c r="KZ98" s="585"/>
      <c r="LA98" s="585"/>
      <c r="LB98" s="585"/>
      <c r="LC98" s="585"/>
      <c r="LD98" s="585"/>
      <c r="LE98" s="585"/>
      <c r="LF98" s="585"/>
      <c r="LG98" s="585"/>
      <c r="LH98" s="585"/>
      <c r="LI98" s="585"/>
      <c r="LJ98" s="585"/>
      <c r="LK98" s="585"/>
      <c r="LL98" s="585"/>
      <c r="LM98" s="585"/>
      <c r="LN98" s="585"/>
      <c r="LO98" s="585"/>
      <c r="LP98" s="585"/>
      <c r="LQ98" s="585"/>
      <c r="LR98" s="585"/>
      <c r="LS98" s="585"/>
      <c r="LT98" s="585"/>
      <c r="LU98" s="585"/>
      <c r="LV98" s="585"/>
      <c r="LW98" s="585"/>
      <c r="LX98" s="585"/>
      <c r="LY98" s="585"/>
      <c r="LZ98" s="585"/>
      <c r="MA98" s="585"/>
      <c r="MB98" s="585"/>
      <c r="MC98" s="585"/>
      <c r="MD98" s="585"/>
      <c r="ME98" s="585"/>
      <c r="MF98" s="585"/>
      <c r="MG98" s="585"/>
      <c r="MH98" s="585"/>
      <c r="MI98" s="585"/>
      <c r="MJ98" s="585"/>
      <c r="MK98" s="585"/>
    </row>
    <row r="99" spans="1:349" s="600" customFormat="1" ht="15" customHeight="1" x14ac:dyDescent="0.35">
      <c r="A99" s="585">
        <f t="shared" si="94"/>
        <v>551</v>
      </c>
      <c r="B99" s="445" t="str">
        <f t="shared" si="95"/>
        <v>Residential_Income Qualified</v>
      </c>
      <c r="C99" s="445"/>
      <c r="D99" s="445">
        <v>551</v>
      </c>
      <c r="E99" s="445" t="s">
        <v>78</v>
      </c>
      <c r="F99" s="600" t="str">
        <f>VLOOKUP(G99,Sheet4!$D$6:$E$22,2,FALSE)</f>
        <v>Income Qualified</v>
      </c>
      <c r="G99" s="445" t="s">
        <v>1933</v>
      </c>
      <c r="H99" s="673" t="s">
        <v>39</v>
      </c>
      <c r="I99" s="232"/>
      <c r="J99" s="72" t="s">
        <v>3299</v>
      </c>
      <c r="K99" s="112" t="str">
        <f t="shared" ref="K99:M102" si="148">K11</f>
        <v>5.4.5</v>
      </c>
      <c r="L99" s="112" t="str">
        <f t="shared" si="148"/>
        <v>RS-HWE-LFSH-V05-180101</v>
      </c>
      <c r="M99" s="112">
        <f t="shared" si="148"/>
        <v>1</v>
      </c>
      <c r="O99" s="112" t="str">
        <f>O11</f>
        <v>Gas</v>
      </c>
      <c r="P99" s="7">
        <f>VLOOKUP(D99,'2018 Plan Data'!$A$4:$K$1000,11,FALSE)</f>
        <v>10</v>
      </c>
      <c r="Q99" s="652">
        <f>VLOOKUP(D99,'2018 Plan Data'!$A$4:$L$1000,12,FALSE)</f>
        <v>0</v>
      </c>
      <c r="R99" s="2333"/>
      <c r="S99" s="314"/>
      <c r="T99" s="315"/>
      <c r="U99" s="314"/>
      <c r="V99" s="314">
        <f>'RES DHW'!K43</f>
        <v>4.5599999999999996</v>
      </c>
      <c r="W99" s="314"/>
      <c r="X99" s="310">
        <v>0</v>
      </c>
      <c r="Y99" s="310">
        <v>0</v>
      </c>
      <c r="Z99" s="310">
        <v>0</v>
      </c>
      <c r="AA99" s="310">
        <v>0</v>
      </c>
      <c r="AB99" s="310">
        <v>0</v>
      </c>
      <c r="AC99" s="310">
        <v>0</v>
      </c>
      <c r="AD99" s="309">
        <v>1</v>
      </c>
      <c r="AE99" s="309">
        <v>1</v>
      </c>
      <c r="AF99" s="309">
        <v>1</v>
      </c>
      <c r="AG99" s="309">
        <v>1</v>
      </c>
      <c r="AH99" s="314">
        <f t="shared" si="98"/>
        <v>0</v>
      </c>
      <c r="AI99" s="314">
        <f t="shared" si="99"/>
        <v>0</v>
      </c>
      <c r="AJ99" s="314">
        <f t="shared" si="100"/>
        <v>0</v>
      </c>
      <c r="AK99" s="314">
        <f t="shared" si="101"/>
        <v>0</v>
      </c>
      <c r="AL99" s="309">
        <v>1</v>
      </c>
      <c r="AM99" s="309">
        <v>1</v>
      </c>
      <c r="AN99" s="309">
        <v>1</v>
      </c>
      <c r="AO99" s="309">
        <v>1</v>
      </c>
      <c r="AP99" s="446">
        <f t="shared" si="106"/>
        <v>0</v>
      </c>
      <c r="AQ99" s="446">
        <f t="shared" si="107"/>
        <v>0</v>
      </c>
      <c r="AR99" s="446">
        <f t="shared" si="108"/>
        <v>0</v>
      </c>
      <c r="AS99" s="446">
        <f t="shared" si="109"/>
        <v>0</v>
      </c>
      <c r="AT99" s="309">
        <v>1</v>
      </c>
      <c r="AU99" s="309">
        <v>1</v>
      </c>
      <c r="AV99" s="309">
        <v>1</v>
      </c>
      <c r="AW99" s="309">
        <v>1</v>
      </c>
      <c r="AX99" s="243">
        <f t="shared" si="143"/>
        <v>4.5599999999999996</v>
      </c>
      <c r="AY99" s="243">
        <f t="shared" si="144"/>
        <v>4.5599999999999996</v>
      </c>
      <c r="AZ99" s="243">
        <f t="shared" si="145"/>
        <v>4.5599999999999996</v>
      </c>
      <c r="BA99" s="243">
        <f t="shared" si="146"/>
        <v>4.5599999999999996</v>
      </c>
      <c r="BB99" s="243">
        <f>VLOOKUP($D99,'2018 Plan Data'!$A$4:$K$2000,6,FALSE)</f>
        <v>1663.1999999999998</v>
      </c>
      <c r="BC99" s="243">
        <f>VLOOKUP($D99,'2018 Plan Data'!$A$4:$K$2000,7,FALSE)</f>
        <v>1649.1999999999998</v>
      </c>
      <c r="BD99" s="243">
        <f>VLOOKUP($D99,'2018 Plan Data'!$A$4:$K$2000,8,FALSE)</f>
        <v>5593</v>
      </c>
      <c r="BE99" s="243">
        <f>VLOOKUP($D99,'2018 Plan Data'!$A$4:$K$2000,9,FALSE)</f>
        <v>3747.1</v>
      </c>
      <c r="BF99" s="243">
        <f t="shared" si="110"/>
        <v>0</v>
      </c>
      <c r="BG99" s="243">
        <f t="shared" si="111"/>
        <v>0</v>
      </c>
      <c r="BH99" s="243">
        <f t="shared" si="112"/>
        <v>0</v>
      </c>
      <c r="BI99" s="243">
        <f t="shared" si="113"/>
        <v>0</v>
      </c>
      <c r="BJ99" s="243">
        <f t="shared" si="114"/>
        <v>7584.1919999999982</v>
      </c>
      <c r="BK99" s="243">
        <f t="shared" si="115"/>
        <v>7520.351999999999</v>
      </c>
      <c r="BL99" s="243">
        <f t="shared" si="116"/>
        <v>25504.079999999998</v>
      </c>
      <c r="BM99" s="243">
        <f t="shared" si="117"/>
        <v>17086.775999999998</v>
      </c>
      <c r="BN99" s="243">
        <f t="shared" si="118"/>
        <v>0</v>
      </c>
      <c r="BO99" s="243">
        <f t="shared" si="119"/>
        <v>0</v>
      </c>
      <c r="BP99" s="243">
        <f t="shared" si="120"/>
        <v>0</v>
      </c>
      <c r="BQ99" s="243">
        <f t="shared" si="121"/>
        <v>0</v>
      </c>
      <c r="BR99" s="243">
        <f t="shared" si="122"/>
        <v>7584.1919999999982</v>
      </c>
      <c r="BS99" s="243">
        <f t="shared" si="123"/>
        <v>7520.351999999999</v>
      </c>
      <c r="BT99" s="243">
        <f t="shared" si="124"/>
        <v>25504.079999999998</v>
      </c>
      <c r="BU99" s="243">
        <f t="shared" si="125"/>
        <v>17086.775999999998</v>
      </c>
      <c r="BW99" s="314">
        <f>VLOOKUP($D99,'2018 Plan Data'!$A$4:$T$2000,13,FALSE)</f>
        <v>0</v>
      </c>
      <c r="BX99" s="314">
        <f>VLOOKUP($D99,'2018 Plan Data'!$A$4:$T$2000,14,FALSE)</f>
        <v>0</v>
      </c>
      <c r="BY99" s="314">
        <f>VLOOKUP($D99,'2018 Plan Data'!$A$4:$T$2000,15,FALSE)</f>
        <v>0</v>
      </c>
      <c r="BZ99" s="314">
        <f>VLOOKUP($D99,'2018 Plan Data'!$A$4:$T$2000,16,FALSE)</f>
        <v>0</v>
      </c>
      <c r="CA99" s="314">
        <f>VLOOKUP($D99,'2018 Plan Data'!$A$4:$T$2000,17,FALSE)</f>
        <v>5621.6159999999991</v>
      </c>
      <c r="CB99" s="314">
        <f>VLOOKUP($D99,'2018 Plan Data'!$A$4:$T$2000,18,FALSE)</f>
        <v>5574.2959999999994</v>
      </c>
      <c r="CC99" s="314">
        <f>VLOOKUP($D99,'2018 Plan Data'!$A$4:$T$2000,19,FALSE)</f>
        <v>18904.34</v>
      </c>
      <c r="CD99" s="314">
        <f>VLOOKUP($D99,'2018 Plan Data'!$A$4:$T$2000,20,FALSE)</f>
        <v>12665.197999999999</v>
      </c>
      <c r="CE99" s="600" t="b">
        <f t="shared" si="126"/>
        <v>1</v>
      </c>
      <c r="CF99" s="600" t="b">
        <f t="shared" si="127"/>
        <v>1</v>
      </c>
      <c r="CG99" s="600" t="b">
        <f t="shared" si="128"/>
        <v>1</v>
      </c>
      <c r="CH99" s="600" t="b">
        <f t="shared" si="129"/>
        <v>1</v>
      </c>
      <c r="CI99" s="600" t="b">
        <f t="shared" si="130"/>
        <v>0</v>
      </c>
      <c r="CJ99" s="600" t="b">
        <f t="shared" si="131"/>
        <v>0</v>
      </c>
      <c r="CK99" s="600" t="b">
        <f t="shared" si="132"/>
        <v>0</v>
      </c>
      <c r="CL99" s="600" t="b">
        <f t="shared" si="133"/>
        <v>0</v>
      </c>
      <c r="CM99" s="585"/>
      <c r="CN99" s="585"/>
      <c r="CO99" s="585"/>
      <c r="CP99" s="585"/>
      <c r="CQ99" s="585"/>
      <c r="CR99" s="585"/>
      <c r="CS99" s="585"/>
      <c r="CT99" s="585"/>
      <c r="CU99" s="585"/>
      <c r="CV99" s="585"/>
      <c r="CW99" s="585"/>
      <c r="CX99" s="585"/>
      <c r="CY99" s="585"/>
      <c r="CZ99" s="585"/>
      <c r="DA99" s="585"/>
      <c r="DB99" s="585"/>
      <c r="DC99" s="585"/>
      <c r="DD99" s="585"/>
      <c r="DE99" s="585"/>
      <c r="DF99" s="585"/>
      <c r="DG99" s="585"/>
      <c r="DH99" s="585"/>
      <c r="DI99" s="585"/>
      <c r="DJ99" s="585"/>
      <c r="DK99" s="585"/>
      <c r="DL99" s="585"/>
      <c r="DM99" s="585"/>
      <c r="DN99" s="585"/>
      <c r="DO99" s="585"/>
      <c r="DP99" s="585"/>
      <c r="DQ99" s="585"/>
      <c r="DR99" s="585"/>
      <c r="DS99" s="585"/>
      <c r="DT99" s="585"/>
      <c r="DU99" s="585"/>
      <c r="DV99" s="585"/>
      <c r="DW99" s="585"/>
      <c r="DX99" s="585"/>
      <c r="DY99" s="585"/>
      <c r="DZ99" s="585"/>
      <c r="EA99" s="585"/>
      <c r="EB99" s="585"/>
      <c r="EC99" s="585"/>
      <c r="ED99" s="585"/>
      <c r="EE99" s="585"/>
      <c r="EF99" s="585"/>
      <c r="EG99" s="585"/>
      <c r="EH99" s="585"/>
      <c r="EI99" s="585"/>
      <c r="EJ99" s="585"/>
      <c r="EK99" s="585"/>
      <c r="EL99" s="585"/>
      <c r="EM99" s="585"/>
      <c r="EN99" s="585"/>
      <c r="EO99" s="585"/>
      <c r="EP99" s="585"/>
      <c r="EQ99" s="585"/>
      <c r="ER99" s="585"/>
      <c r="ES99" s="585"/>
      <c r="ET99" s="585"/>
      <c r="EU99" s="585"/>
      <c r="EV99" s="585"/>
      <c r="EW99" s="585"/>
      <c r="EX99" s="585"/>
      <c r="EY99" s="585"/>
      <c r="EZ99" s="585"/>
      <c r="FA99" s="585"/>
      <c r="FB99" s="585"/>
      <c r="FC99" s="585"/>
      <c r="FD99" s="585"/>
      <c r="FE99" s="585"/>
      <c r="FF99" s="585"/>
      <c r="FG99" s="585"/>
      <c r="FH99" s="585"/>
      <c r="FI99" s="585"/>
      <c r="FJ99" s="585"/>
      <c r="FK99" s="585"/>
      <c r="FL99" s="585"/>
      <c r="FM99" s="585"/>
      <c r="FN99" s="585"/>
      <c r="FO99" s="585"/>
      <c r="FP99" s="585"/>
      <c r="FQ99" s="585"/>
      <c r="FR99" s="585"/>
      <c r="FS99" s="585"/>
      <c r="FT99" s="585"/>
      <c r="FU99" s="585"/>
      <c r="FV99" s="585"/>
      <c r="FW99" s="585"/>
      <c r="FX99" s="585"/>
      <c r="FY99" s="585"/>
      <c r="FZ99" s="585"/>
      <c r="GA99" s="585"/>
      <c r="GB99" s="585"/>
      <c r="GC99" s="585"/>
      <c r="GD99" s="585"/>
      <c r="GE99" s="585"/>
      <c r="GF99" s="585"/>
      <c r="GG99" s="585"/>
      <c r="GH99" s="585"/>
      <c r="GI99" s="585"/>
      <c r="GJ99" s="585"/>
      <c r="GK99" s="585"/>
      <c r="GL99" s="585"/>
      <c r="GM99" s="585"/>
      <c r="GN99" s="585"/>
      <c r="GO99" s="585"/>
      <c r="GP99" s="585"/>
      <c r="GQ99" s="585"/>
      <c r="GR99" s="585"/>
      <c r="GS99" s="585"/>
      <c r="GT99" s="585"/>
      <c r="GU99" s="585"/>
      <c r="GV99" s="585"/>
      <c r="GW99" s="585"/>
      <c r="GX99" s="585"/>
      <c r="GY99" s="585"/>
      <c r="GZ99" s="585"/>
      <c r="HA99" s="585"/>
      <c r="HB99" s="585"/>
      <c r="HC99" s="585"/>
      <c r="HD99" s="585"/>
      <c r="HE99" s="585"/>
      <c r="HF99" s="585"/>
      <c r="HG99" s="585"/>
      <c r="HH99" s="585"/>
      <c r="HI99" s="585"/>
      <c r="HJ99" s="585"/>
      <c r="HK99" s="585"/>
      <c r="HL99" s="585"/>
      <c r="HM99" s="585"/>
      <c r="HN99" s="585"/>
      <c r="HO99" s="585"/>
      <c r="HP99" s="585"/>
      <c r="HQ99" s="585"/>
      <c r="HR99" s="585"/>
      <c r="HS99" s="585"/>
      <c r="HT99" s="585"/>
      <c r="HU99" s="585"/>
      <c r="HV99" s="585"/>
      <c r="HW99" s="585"/>
      <c r="HX99" s="585"/>
      <c r="HY99" s="585"/>
      <c r="HZ99" s="585"/>
      <c r="IA99" s="585"/>
      <c r="IB99" s="585"/>
      <c r="IC99" s="585"/>
      <c r="ID99" s="585"/>
      <c r="IE99" s="585"/>
      <c r="IF99" s="585"/>
      <c r="IG99" s="585"/>
      <c r="IH99" s="585"/>
      <c r="II99" s="585"/>
      <c r="IJ99" s="585"/>
      <c r="IK99" s="585"/>
      <c r="IL99" s="585"/>
      <c r="IM99" s="585"/>
      <c r="IN99" s="585"/>
      <c r="IO99" s="585"/>
      <c r="IP99" s="585"/>
      <c r="IQ99" s="585"/>
      <c r="IR99" s="585"/>
      <c r="IS99" s="585"/>
      <c r="IT99" s="585"/>
      <c r="IU99" s="585"/>
      <c r="IV99" s="585"/>
      <c r="IW99" s="585"/>
      <c r="IX99" s="585"/>
      <c r="IY99" s="585"/>
      <c r="IZ99" s="585"/>
      <c r="JA99" s="585"/>
      <c r="JB99" s="585"/>
      <c r="JC99" s="585"/>
      <c r="JD99" s="585"/>
      <c r="JE99" s="585"/>
      <c r="JF99" s="585"/>
      <c r="JG99" s="585"/>
      <c r="JH99" s="585"/>
      <c r="JI99" s="585"/>
      <c r="JJ99" s="585"/>
      <c r="JK99" s="585"/>
      <c r="JL99" s="585"/>
      <c r="JM99" s="585"/>
      <c r="JN99" s="585"/>
      <c r="JO99" s="585"/>
      <c r="JP99" s="585"/>
      <c r="JQ99" s="585"/>
      <c r="JR99" s="585"/>
      <c r="JS99" s="585"/>
      <c r="JT99" s="585"/>
      <c r="JU99" s="585"/>
      <c r="JV99" s="585"/>
      <c r="JW99" s="585"/>
      <c r="JX99" s="585"/>
      <c r="JY99" s="585"/>
      <c r="JZ99" s="585"/>
      <c r="KA99" s="585"/>
      <c r="KB99" s="585"/>
      <c r="KC99" s="585"/>
      <c r="KD99" s="585"/>
      <c r="KE99" s="585"/>
      <c r="KF99" s="585"/>
      <c r="KG99" s="585"/>
      <c r="KH99" s="585"/>
      <c r="KI99" s="585"/>
      <c r="KJ99" s="585"/>
      <c r="KK99" s="585"/>
      <c r="KL99" s="585"/>
      <c r="KM99" s="585"/>
      <c r="KN99" s="585"/>
      <c r="KO99" s="585"/>
      <c r="KP99" s="585"/>
      <c r="KQ99" s="585"/>
      <c r="KR99" s="585"/>
      <c r="KS99" s="585"/>
      <c r="KT99" s="585"/>
      <c r="KU99" s="585"/>
      <c r="KV99" s="585"/>
      <c r="KW99" s="585"/>
      <c r="KX99" s="585"/>
      <c r="KY99" s="585"/>
      <c r="KZ99" s="585"/>
      <c r="LA99" s="585"/>
      <c r="LB99" s="585"/>
      <c r="LC99" s="585"/>
      <c r="LD99" s="585"/>
      <c r="LE99" s="585"/>
      <c r="LF99" s="585"/>
      <c r="LG99" s="585"/>
      <c r="LH99" s="585"/>
      <c r="LI99" s="585"/>
      <c r="LJ99" s="585"/>
      <c r="LK99" s="585"/>
      <c r="LL99" s="585"/>
      <c r="LM99" s="585"/>
      <c r="LN99" s="585"/>
      <c r="LO99" s="585"/>
      <c r="LP99" s="585"/>
      <c r="LQ99" s="585"/>
      <c r="LR99" s="585"/>
      <c r="LS99" s="585"/>
      <c r="LT99" s="585"/>
      <c r="LU99" s="585"/>
      <c r="LV99" s="585"/>
      <c r="LW99" s="585"/>
      <c r="LX99" s="585"/>
      <c r="LY99" s="585"/>
      <c r="LZ99" s="585"/>
      <c r="MA99" s="585"/>
      <c r="MB99" s="585"/>
      <c r="MC99" s="585"/>
      <c r="MD99" s="585"/>
      <c r="ME99" s="585"/>
      <c r="MF99" s="585"/>
      <c r="MG99" s="585"/>
      <c r="MH99" s="585"/>
      <c r="MI99" s="585"/>
      <c r="MJ99" s="585"/>
      <c r="MK99" s="585"/>
    </row>
    <row r="100" spans="1:349" s="600" customFormat="1" ht="15" customHeight="1" x14ac:dyDescent="0.35">
      <c r="A100" s="585">
        <f t="shared" ref="A100:A106" si="149">D100</f>
        <v>547</v>
      </c>
      <c r="B100" s="445" t="str">
        <f t="shared" si="95"/>
        <v>Residential_Income Qualified</v>
      </c>
      <c r="C100" s="445"/>
      <c r="D100" s="445">
        <v>547</v>
      </c>
      <c r="E100" s="445" t="s">
        <v>78</v>
      </c>
      <c r="F100" s="600" t="str">
        <f>VLOOKUP(G100,Sheet4!$D$6:$E$22,2,FALSE)</f>
        <v>Income Qualified</v>
      </c>
      <c r="G100" s="445" t="s">
        <v>1933</v>
      </c>
      <c r="H100" s="673" t="s">
        <v>40</v>
      </c>
      <c r="I100" s="232"/>
      <c r="J100" s="72" t="s">
        <v>3299</v>
      </c>
      <c r="K100" s="112" t="str">
        <f t="shared" si="148"/>
        <v>5.4.4</v>
      </c>
      <c r="L100" s="112" t="str">
        <f t="shared" si="148"/>
        <v>RS-HWE-LFFA-V06-180101</v>
      </c>
      <c r="M100" s="112">
        <f t="shared" si="148"/>
        <v>1</v>
      </c>
      <c r="O100" s="112" t="str">
        <f>O12</f>
        <v>Gas</v>
      </c>
      <c r="P100" s="7">
        <f>VLOOKUP(D100,'2018 Plan Data'!$A$4:$K$1000,11,FALSE)</f>
        <v>9</v>
      </c>
      <c r="Q100" s="652">
        <f>VLOOKUP(D100,'2018 Plan Data'!$A$4:$L$1000,12,FALSE)</f>
        <v>0</v>
      </c>
      <c r="R100" s="2333"/>
      <c r="S100" s="314"/>
      <c r="T100" s="315"/>
      <c r="U100" s="314"/>
      <c r="V100" s="314">
        <f>'RES DHW'!W91</f>
        <v>0.67</v>
      </c>
      <c r="W100" s="314"/>
      <c r="X100" s="310">
        <v>0</v>
      </c>
      <c r="Y100" s="310">
        <v>0</v>
      </c>
      <c r="Z100" s="310">
        <v>0</v>
      </c>
      <c r="AA100" s="310">
        <v>0</v>
      </c>
      <c r="AB100" s="310">
        <v>0</v>
      </c>
      <c r="AC100" s="310">
        <v>0</v>
      </c>
      <c r="AD100" s="309">
        <v>1</v>
      </c>
      <c r="AE100" s="309">
        <v>1</v>
      </c>
      <c r="AF100" s="309">
        <v>1</v>
      </c>
      <c r="AG100" s="309">
        <v>1</v>
      </c>
      <c r="AH100" s="314">
        <f t="shared" si="98"/>
        <v>0</v>
      </c>
      <c r="AI100" s="314">
        <f t="shared" si="99"/>
        <v>0</v>
      </c>
      <c r="AJ100" s="314">
        <f t="shared" si="100"/>
        <v>0</v>
      </c>
      <c r="AK100" s="314">
        <f t="shared" si="101"/>
        <v>0</v>
      </c>
      <c r="AL100" s="309">
        <v>1</v>
      </c>
      <c r="AM100" s="309">
        <v>1</v>
      </c>
      <c r="AN100" s="309">
        <v>1</v>
      </c>
      <c r="AO100" s="309">
        <v>1</v>
      </c>
      <c r="AP100" s="446">
        <f t="shared" si="106"/>
        <v>0</v>
      </c>
      <c r="AQ100" s="446">
        <f t="shared" si="107"/>
        <v>0</v>
      </c>
      <c r="AR100" s="446">
        <f t="shared" si="108"/>
        <v>0</v>
      </c>
      <c r="AS100" s="446">
        <f t="shared" si="109"/>
        <v>0</v>
      </c>
      <c r="AT100" s="309">
        <v>1</v>
      </c>
      <c r="AU100" s="309">
        <v>1</v>
      </c>
      <c r="AV100" s="309">
        <v>1</v>
      </c>
      <c r="AW100" s="309">
        <v>1</v>
      </c>
      <c r="AX100" s="243">
        <f t="shared" si="143"/>
        <v>0.67</v>
      </c>
      <c r="AY100" s="243">
        <f t="shared" si="144"/>
        <v>0.67</v>
      </c>
      <c r="AZ100" s="243">
        <f t="shared" si="145"/>
        <v>0.67</v>
      </c>
      <c r="BA100" s="243">
        <f t="shared" si="146"/>
        <v>0.67</v>
      </c>
      <c r="BB100" s="243">
        <f>VLOOKUP($D100,'2018 Plan Data'!$A$4:$K$2000,6,FALSE)</f>
        <v>1663.1999999999998</v>
      </c>
      <c r="BC100" s="243">
        <f>VLOOKUP($D100,'2018 Plan Data'!$A$4:$K$2000,7,FALSE)</f>
        <v>1649.1999999999998</v>
      </c>
      <c r="BD100" s="243">
        <f>VLOOKUP($D100,'2018 Plan Data'!$A$4:$K$2000,8,FALSE)</f>
        <v>5593</v>
      </c>
      <c r="BE100" s="243">
        <f>VLOOKUP($D100,'2018 Plan Data'!$A$4:$K$2000,9,FALSE)</f>
        <v>3747.1</v>
      </c>
      <c r="BF100" s="243">
        <f t="shared" si="110"/>
        <v>0</v>
      </c>
      <c r="BG100" s="243">
        <f t="shared" si="111"/>
        <v>0</v>
      </c>
      <c r="BH100" s="243">
        <f t="shared" si="112"/>
        <v>0</v>
      </c>
      <c r="BI100" s="243">
        <f t="shared" si="113"/>
        <v>0</v>
      </c>
      <c r="BJ100" s="243">
        <f t="shared" si="114"/>
        <v>1114.3440000000001</v>
      </c>
      <c r="BK100" s="243">
        <f t="shared" si="115"/>
        <v>1104.9639999999999</v>
      </c>
      <c r="BL100" s="243">
        <f t="shared" si="116"/>
        <v>3747.3100000000004</v>
      </c>
      <c r="BM100" s="243">
        <f t="shared" si="117"/>
        <v>2510.5570000000002</v>
      </c>
      <c r="BN100" s="243">
        <f t="shared" si="118"/>
        <v>0</v>
      </c>
      <c r="BO100" s="243">
        <f t="shared" si="119"/>
        <v>0</v>
      </c>
      <c r="BP100" s="243">
        <f t="shared" si="120"/>
        <v>0</v>
      </c>
      <c r="BQ100" s="243">
        <f t="shared" si="121"/>
        <v>0</v>
      </c>
      <c r="BR100" s="243">
        <f t="shared" si="122"/>
        <v>1114.3440000000001</v>
      </c>
      <c r="BS100" s="243">
        <f t="shared" si="123"/>
        <v>1104.9639999999999</v>
      </c>
      <c r="BT100" s="243">
        <f t="shared" si="124"/>
        <v>3747.3100000000004</v>
      </c>
      <c r="BU100" s="243">
        <f t="shared" si="125"/>
        <v>2510.5570000000002</v>
      </c>
      <c r="BW100" s="314">
        <f>VLOOKUP($D100,'2018 Plan Data'!$A$4:$T$2000,13,FALSE)</f>
        <v>0</v>
      </c>
      <c r="BX100" s="314">
        <f>VLOOKUP($D100,'2018 Plan Data'!$A$4:$T$2000,14,FALSE)</f>
        <v>0</v>
      </c>
      <c r="BY100" s="314">
        <f>VLOOKUP($D100,'2018 Plan Data'!$A$4:$T$2000,15,FALSE)</f>
        <v>0</v>
      </c>
      <c r="BZ100" s="314">
        <f>VLOOKUP($D100,'2018 Plan Data'!$A$4:$T$2000,16,FALSE)</f>
        <v>0</v>
      </c>
      <c r="CA100" s="314">
        <f>VLOOKUP($D100,'2018 Plan Data'!$A$4:$T$2000,17,FALSE)</f>
        <v>582.11999999999989</v>
      </c>
      <c r="CB100" s="314">
        <f>VLOOKUP($D100,'2018 Plan Data'!$A$4:$T$2000,18,FALSE)</f>
        <v>577.21999999999991</v>
      </c>
      <c r="CC100" s="314">
        <f>VLOOKUP($D100,'2018 Plan Data'!$A$4:$T$2000,19,FALSE)</f>
        <v>1957.55</v>
      </c>
      <c r="CD100" s="314">
        <f>VLOOKUP($D100,'2018 Plan Data'!$A$4:$T$2000,20,FALSE)</f>
        <v>1311.4849999999999</v>
      </c>
      <c r="CE100" s="600" t="b">
        <f t="shared" si="126"/>
        <v>1</v>
      </c>
      <c r="CF100" s="600" t="b">
        <f t="shared" si="127"/>
        <v>1</v>
      </c>
      <c r="CG100" s="600" t="b">
        <f t="shared" si="128"/>
        <v>1</v>
      </c>
      <c r="CH100" s="600" t="b">
        <f t="shared" si="129"/>
        <v>1</v>
      </c>
      <c r="CI100" s="600" t="b">
        <f t="shared" si="130"/>
        <v>0</v>
      </c>
      <c r="CJ100" s="600" t="b">
        <f t="shared" si="131"/>
        <v>0</v>
      </c>
      <c r="CK100" s="600" t="b">
        <f t="shared" si="132"/>
        <v>0</v>
      </c>
      <c r="CL100" s="600" t="b">
        <f t="shared" si="133"/>
        <v>0</v>
      </c>
      <c r="CM100" s="585"/>
      <c r="CN100" s="585"/>
      <c r="CO100" s="585"/>
      <c r="CP100" s="585"/>
      <c r="CQ100" s="585"/>
      <c r="CR100" s="585"/>
      <c r="CS100" s="585"/>
      <c r="CT100" s="585"/>
      <c r="CU100" s="585"/>
      <c r="CV100" s="585"/>
      <c r="CW100" s="585"/>
      <c r="CX100" s="585"/>
      <c r="CY100" s="585"/>
      <c r="CZ100" s="585"/>
      <c r="DA100" s="585"/>
      <c r="DB100" s="585"/>
      <c r="DC100" s="585"/>
      <c r="DD100" s="585"/>
      <c r="DE100" s="585"/>
      <c r="DF100" s="585"/>
      <c r="DG100" s="585"/>
      <c r="DH100" s="585"/>
      <c r="DI100" s="585"/>
      <c r="DJ100" s="585"/>
      <c r="DK100" s="585"/>
      <c r="DL100" s="585"/>
      <c r="DM100" s="585"/>
      <c r="DN100" s="585"/>
      <c r="DO100" s="585"/>
      <c r="DP100" s="585"/>
      <c r="DQ100" s="585"/>
      <c r="DR100" s="585"/>
      <c r="DS100" s="585"/>
      <c r="DT100" s="585"/>
      <c r="DU100" s="585"/>
      <c r="DV100" s="585"/>
      <c r="DW100" s="585"/>
      <c r="DX100" s="585"/>
      <c r="DY100" s="585"/>
      <c r="DZ100" s="585"/>
      <c r="EA100" s="585"/>
      <c r="EB100" s="585"/>
      <c r="EC100" s="585"/>
      <c r="ED100" s="585"/>
      <c r="EE100" s="585"/>
      <c r="EF100" s="585"/>
      <c r="EG100" s="585"/>
      <c r="EH100" s="585"/>
      <c r="EI100" s="585"/>
      <c r="EJ100" s="585"/>
      <c r="EK100" s="585"/>
      <c r="EL100" s="585"/>
      <c r="EM100" s="585"/>
      <c r="EN100" s="585"/>
      <c r="EO100" s="585"/>
      <c r="EP100" s="585"/>
      <c r="EQ100" s="585"/>
      <c r="ER100" s="585"/>
      <c r="ES100" s="585"/>
      <c r="ET100" s="585"/>
      <c r="EU100" s="585"/>
      <c r="EV100" s="585"/>
      <c r="EW100" s="585"/>
      <c r="EX100" s="585"/>
      <c r="EY100" s="585"/>
      <c r="EZ100" s="585"/>
      <c r="FA100" s="585"/>
      <c r="FB100" s="585"/>
      <c r="FC100" s="585"/>
      <c r="FD100" s="585"/>
      <c r="FE100" s="585"/>
      <c r="FF100" s="585"/>
      <c r="FG100" s="585"/>
      <c r="FH100" s="585"/>
      <c r="FI100" s="585"/>
      <c r="FJ100" s="585"/>
      <c r="FK100" s="585"/>
      <c r="FL100" s="585"/>
      <c r="FM100" s="585"/>
      <c r="FN100" s="585"/>
      <c r="FO100" s="585"/>
      <c r="FP100" s="585"/>
      <c r="FQ100" s="585"/>
      <c r="FR100" s="585"/>
      <c r="FS100" s="585"/>
      <c r="FT100" s="585"/>
      <c r="FU100" s="585"/>
      <c r="FV100" s="585"/>
      <c r="FW100" s="585"/>
      <c r="FX100" s="585"/>
      <c r="FY100" s="585"/>
      <c r="FZ100" s="585"/>
      <c r="GA100" s="585"/>
      <c r="GB100" s="585"/>
      <c r="GC100" s="585"/>
      <c r="GD100" s="585"/>
      <c r="GE100" s="585"/>
      <c r="GF100" s="585"/>
      <c r="GG100" s="585"/>
      <c r="GH100" s="585"/>
      <c r="GI100" s="585"/>
      <c r="GJ100" s="585"/>
      <c r="GK100" s="585"/>
      <c r="GL100" s="585"/>
      <c r="GM100" s="585"/>
      <c r="GN100" s="585"/>
      <c r="GO100" s="585"/>
      <c r="GP100" s="585"/>
      <c r="GQ100" s="585"/>
      <c r="GR100" s="585"/>
      <c r="GS100" s="585"/>
      <c r="GT100" s="585"/>
      <c r="GU100" s="585"/>
      <c r="GV100" s="585"/>
      <c r="GW100" s="585"/>
      <c r="GX100" s="585"/>
      <c r="GY100" s="585"/>
      <c r="GZ100" s="585"/>
      <c r="HA100" s="585"/>
      <c r="HB100" s="585"/>
      <c r="HC100" s="585"/>
      <c r="HD100" s="585"/>
      <c r="HE100" s="585"/>
      <c r="HF100" s="585"/>
      <c r="HG100" s="585"/>
      <c r="HH100" s="585"/>
      <c r="HI100" s="585"/>
      <c r="HJ100" s="585"/>
      <c r="HK100" s="585"/>
      <c r="HL100" s="585"/>
      <c r="HM100" s="585"/>
      <c r="HN100" s="585"/>
      <c r="HO100" s="585"/>
      <c r="HP100" s="585"/>
      <c r="HQ100" s="585"/>
      <c r="HR100" s="585"/>
      <c r="HS100" s="585"/>
      <c r="HT100" s="585"/>
      <c r="HU100" s="585"/>
      <c r="HV100" s="585"/>
      <c r="HW100" s="585"/>
      <c r="HX100" s="585"/>
      <c r="HY100" s="585"/>
      <c r="HZ100" s="585"/>
      <c r="IA100" s="585"/>
      <c r="IB100" s="585"/>
      <c r="IC100" s="585"/>
      <c r="ID100" s="585"/>
      <c r="IE100" s="585"/>
      <c r="IF100" s="585"/>
      <c r="IG100" s="585"/>
      <c r="IH100" s="585"/>
      <c r="II100" s="585"/>
      <c r="IJ100" s="585"/>
      <c r="IK100" s="585"/>
      <c r="IL100" s="585"/>
      <c r="IM100" s="585"/>
      <c r="IN100" s="585"/>
      <c r="IO100" s="585"/>
      <c r="IP100" s="585"/>
      <c r="IQ100" s="585"/>
      <c r="IR100" s="585"/>
      <c r="IS100" s="585"/>
      <c r="IT100" s="585"/>
      <c r="IU100" s="585"/>
      <c r="IV100" s="585"/>
      <c r="IW100" s="585"/>
      <c r="IX100" s="585"/>
      <c r="IY100" s="585"/>
      <c r="IZ100" s="585"/>
      <c r="JA100" s="585"/>
      <c r="JB100" s="585"/>
      <c r="JC100" s="585"/>
      <c r="JD100" s="585"/>
      <c r="JE100" s="585"/>
      <c r="JF100" s="585"/>
      <c r="JG100" s="585"/>
      <c r="JH100" s="585"/>
      <c r="JI100" s="585"/>
      <c r="JJ100" s="585"/>
      <c r="JK100" s="585"/>
      <c r="JL100" s="585"/>
      <c r="JM100" s="585"/>
      <c r="JN100" s="585"/>
      <c r="JO100" s="585"/>
      <c r="JP100" s="585"/>
      <c r="JQ100" s="585"/>
      <c r="JR100" s="585"/>
      <c r="JS100" s="585"/>
      <c r="JT100" s="585"/>
      <c r="JU100" s="585"/>
      <c r="JV100" s="585"/>
      <c r="JW100" s="585"/>
      <c r="JX100" s="585"/>
      <c r="JY100" s="585"/>
      <c r="JZ100" s="585"/>
      <c r="KA100" s="585"/>
      <c r="KB100" s="585"/>
      <c r="KC100" s="585"/>
      <c r="KD100" s="585"/>
      <c r="KE100" s="585"/>
      <c r="KF100" s="585"/>
      <c r="KG100" s="585"/>
      <c r="KH100" s="585"/>
      <c r="KI100" s="585"/>
      <c r="KJ100" s="585"/>
      <c r="KK100" s="585"/>
      <c r="KL100" s="585"/>
      <c r="KM100" s="585"/>
      <c r="KN100" s="585"/>
      <c r="KO100" s="585"/>
      <c r="KP100" s="585"/>
      <c r="KQ100" s="585"/>
      <c r="KR100" s="585"/>
      <c r="KS100" s="585"/>
      <c r="KT100" s="585"/>
      <c r="KU100" s="585"/>
      <c r="KV100" s="585"/>
      <c r="KW100" s="585"/>
      <c r="KX100" s="585"/>
      <c r="KY100" s="585"/>
      <c r="KZ100" s="585"/>
      <c r="LA100" s="585"/>
      <c r="LB100" s="585"/>
      <c r="LC100" s="585"/>
      <c r="LD100" s="585"/>
      <c r="LE100" s="585"/>
      <c r="LF100" s="585"/>
      <c r="LG100" s="585"/>
      <c r="LH100" s="585"/>
      <c r="LI100" s="585"/>
      <c r="LJ100" s="585"/>
      <c r="LK100" s="585"/>
      <c r="LL100" s="585"/>
      <c r="LM100" s="585"/>
      <c r="LN100" s="585"/>
      <c r="LO100" s="585"/>
      <c r="LP100" s="585"/>
      <c r="LQ100" s="585"/>
      <c r="LR100" s="585"/>
      <c r="LS100" s="585"/>
      <c r="LT100" s="585"/>
      <c r="LU100" s="585"/>
      <c r="LV100" s="585"/>
      <c r="LW100" s="585"/>
      <c r="LX100" s="585"/>
      <c r="LY100" s="585"/>
      <c r="LZ100" s="585"/>
      <c r="MA100" s="585"/>
      <c r="MB100" s="585"/>
      <c r="MC100" s="585"/>
      <c r="MD100" s="585"/>
      <c r="ME100" s="585"/>
      <c r="MF100" s="585"/>
      <c r="MG100" s="585"/>
      <c r="MH100" s="585"/>
      <c r="MI100" s="585"/>
      <c r="MJ100" s="585"/>
      <c r="MK100" s="585"/>
    </row>
    <row r="101" spans="1:349" s="600" customFormat="1" ht="15" customHeight="1" x14ac:dyDescent="0.35">
      <c r="A101" s="585">
        <f t="shared" si="149"/>
        <v>549</v>
      </c>
      <c r="B101" s="445" t="str">
        <f t="shared" si="95"/>
        <v>Residential_Income Qualified</v>
      </c>
      <c r="C101" s="445"/>
      <c r="D101" s="445">
        <v>549</v>
      </c>
      <c r="E101" s="445" t="s">
        <v>78</v>
      </c>
      <c r="F101" s="600" t="str">
        <f>VLOOKUP(G101,Sheet4!$D$6:$E$22,2,FALSE)</f>
        <v>Income Qualified</v>
      </c>
      <c r="G101" s="445" t="s">
        <v>1933</v>
      </c>
      <c r="H101" s="673" t="s">
        <v>41</v>
      </c>
      <c r="I101" s="232"/>
      <c r="J101" s="72" t="s">
        <v>3299</v>
      </c>
      <c r="K101" s="112" t="str">
        <f t="shared" si="148"/>
        <v>5.4.4</v>
      </c>
      <c r="L101" s="112" t="str">
        <f t="shared" si="148"/>
        <v>RS-HWE-LFFA-V06-180101</v>
      </c>
      <c r="M101" s="112">
        <f t="shared" si="148"/>
        <v>1</v>
      </c>
      <c r="O101" s="112" t="str">
        <f>O13</f>
        <v>Gas</v>
      </c>
      <c r="P101" s="7">
        <f>VLOOKUP(D101,'2018 Plan Data'!$A$4:$K$1000,11,FALSE)</f>
        <v>9</v>
      </c>
      <c r="Q101" s="652">
        <f>VLOOKUP(D101,'2018 Plan Data'!$A$4:$L$1000,12,FALSE)</f>
        <v>0</v>
      </c>
      <c r="R101" s="2333"/>
      <c r="S101" s="314"/>
      <c r="T101" s="315"/>
      <c r="U101" s="314"/>
      <c r="V101" s="314">
        <f>'RES DHW'!AC91</f>
        <v>4.9800000000000004</v>
      </c>
      <c r="W101" s="314"/>
      <c r="X101" s="310">
        <v>0</v>
      </c>
      <c r="Y101" s="310">
        <v>0</v>
      </c>
      <c r="Z101" s="310">
        <v>0</v>
      </c>
      <c r="AA101" s="310">
        <v>0</v>
      </c>
      <c r="AB101" s="310">
        <v>0</v>
      </c>
      <c r="AC101" s="310">
        <v>0</v>
      </c>
      <c r="AD101" s="309">
        <v>1</v>
      </c>
      <c r="AE101" s="309">
        <v>1</v>
      </c>
      <c r="AF101" s="309">
        <v>1</v>
      </c>
      <c r="AG101" s="309">
        <v>1</v>
      </c>
      <c r="AH101" s="314">
        <f t="shared" ref="AH101:AH106" si="150">IF($Q101&gt;0,$S101*AD101,$R101*AD101)</f>
        <v>0</v>
      </c>
      <c r="AI101" s="314">
        <f t="shared" ref="AI101:AI106" si="151">IF($Q101&gt;0,$S101*AE101,$R101*AE101)</f>
        <v>0</v>
      </c>
      <c r="AJ101" s="314">
        <f t="shared" ref="AJ101:AJ106" si="152">IF($Q101&gt;0,$S101*AF101,$R101*AF101)</f>
        <v>0</v>
      </c>
      <c r="AK101" s="314">
        <f t="shared" ref="AK101:AK106" si="153">IF($Q101&gt;0,$S101*AG101,$R101*AG101)</f>
        <v>0</v>
      </c>
      <c r="AL101" s="309">
        <v>1</v>
      </c>
      <c r="AM101" s="309">
        <v>1</v>
      </c>
      <c r="AN101" s="309">
        <v>1</v>
      </c>
      <c r="AO101" s="309">
        <v>1</v>
      </c>
      <c r="AP101" s="446">
        <f t="shared" ref="AP101:AP106" si="154">$T101*AL101</f>
        <v>0</v>
      </c>
      <c r="AQ101" s="446">
        <f t="shared" ref="AQ101:AQ106" si="155">$T101*AM101</f>
        <v>0</v>
      </c>
      <c r="AR101" s="446">
        <f t="shared" ref="AR101:AR106" si="156">$T101*AN101</f>
        <v>0</v>
      </c>
      <c r="AS101" s="446">
        <f t="shared" ref="AS101:AS106" si="157">$T101*AO101</f>
        <v>0</v>
      </c>
      <c r="AT101" s="309">
        <v>1</v>
      </c>
      <c r="AU101" s="309">
        <v>1</v>
      </c>
      <c r="AV101" s="309">
        <v>1</v>
      </c>
      <c r="AW101" s="309">
        <v>1</v>
      </c>
      <c r="AX101" s="243">
        <f t="shared" si="143"/>
        <v>4.9800000000000004</v>
      </c>
      <c r="AY101" s="243">
        <f t="shared" si="144"/>
        <v>4.9800000000000004</v>
      </c>
      <c r="AZ101" s="243">
        <f t="shared" si="145"/>
        <v>4.9800000000000004</v>
      </c>
      <c r="BA101" s="243">
        <f t="shared" si="146"/>
        <v>4.9800000000000004</v>
      </c>
      <c r="BB101" s="243">
        <f>VLOOKUP($D101,'2018 Plan Data'!$A$4:$K$2000,6,FALSE)</f>
        <v>1663.1999999999998</v>
      </c>
      <c r="BC101" s="243">
        <f>VLOOKUP($D101,'2018 Plan Data'!$A$4:$K$2000,7,FALSE)</f>
        <v>1649.1999999999998</v>
      </c>
      <c r="BD101" s="243">
        <f>VLOOKUP($D101,'2018 Plan Data'!$A$4:$K$2000,8,FALSE)</f>
        <v>5593</v>
      </c>
      <c r="BE101" s="243">
        <f>VLOOKUP($D101,'2018 Plan Data'!$A$4:$K$2000,9,FALSE)</f>
        <v>3747.1</v>
      </c>
      <c r="BF101" s="243">
        <f t="shared" si="110"/>
        <v>0</v>
      </c>
      <c r="BG101" s="243">
        <f t="shared" si="111"/>
        <v>0</v>
      </c>
      <c r="BH101" s="243">
        <f t="shared" si="112"/>
        <v>0</v>
      </c>
      <c r="BI101" s="243">
        <f t="shared" si="113"/>
        <v>0</v>
      </c>
      <c r="BJ101" s="243">
        <f t="shared" si="114"/>
        <v>8282.735999999999</v>
      </c>
      <c r="BK101" s="243">
        <f t="shared" si="115"/>
        <v>8213.0159999999996</v>
      </c>
      <c r="BL101" s="243">
        <f t="shared" si="116"/>
        <v>27853.140000000003</v>
      </c>
      <c r="BM101" s="243">
        <f t="shared" si="117"/>
        <v>18660.558000000001</v>
      </c>
      <c r="BN101" s="243">
        <f t="shared" ref="BN101:BN132" si="158">AH101*BB101</f>
        <v>0</v>
      </c>
      <c r="BO101" s="243">
        <f t="shared" ref="BO101:BO132" si="159">AI101*BC101</f>
        <v>0</v>
      </c>
      <c r="BP101" s="243">
        <f t="shared" ref="BP101:BP132" si="160">AJ101*BD101</f>
        <v>0</v>
      </c>
      <c r="BQ101" s="243">
        <f t="shared" ref="BQ101:BQ132" si="161">AK101*BE101</f>
        <v>0</v>
      </c>
      <c r="BR101" s="243">
        <f t="shared" ref="BR101:BR109" si="162">AX101*BB101</f>
        <v>8282.735999999999</v>
      </c>
      <c r="BS101" s="243">
        <f t="shared" ref="BS101:BS109" si="163">AY101*BC101</f>
        <v>8213.0159999999996</v>
      </c>
      <c r="BT101" s="243">
        <f t="shared" ref="BT101:BT109" si="164">AZ101*BD101</f>
        <v>27853.140000000003</v>
      </c>
      <c r="BU101" s="243">
        <f t="shared" ref="BU101:BU109" si="165">BA101*BE101</f>
        <v>18660.558000000001</v>
      </c>
      <c r="BW101" s="314">
        <f>VLOOKUP($D101,'2018 Plan Data'!$A$4:$T$2000,13,FALSE)</f>
        <v>0</v>
      </c>
      <c r="BX101" s="314">
        <f>VLOOKUP($D101,'2018 Plan Data'!$A$4:$T$2000,14,FALSE)</f>
        <v>0</v>
      </c>
      <c r="BY101" s="314">
        <f>VLOOKUP($D101,'2018 Plan Data'!$A$4:$T$2000,15,FALSE)</f>
        <v>0</v>
      </c>
      <c r="BZ101" s="314">
        <f>VLOOKUP($D101,'2018 Plan Data'!$A$4:$T$2000,16,FALSE)</f>
        <v>0</v>
      </c>
      <c r="CA101" s="314">
        <f>VLOOKUP($D101,'2018 Plan Data'!$A$4:$T$2000,17,FALSE)</f>
        <v>4008.3119999999999</v>
      </c>
      <c r="CB101" s="314">
        <f>VLOOKUP($D101,'2018 Plan Data'!$A$4:$T$2000,18,FALSE)</f>
        <v>3974.5719999999997</v>
      </c>
      <c r="CC101" s="314">
        <f>VLOOKUP($D101,'2018 Plan Data'!$A$4:$T$2000,19,FALSE)</f>
        <v>13479.130000000001</v>
      </c>
      <c r="CD101" s="314">
        <f>VLOOKUP($D101,'2018 Plan Data'!$A$4:$T$2000,20,FALSE)</f>
        <v>9030.5110000000004</v>
      </c>
      <c r="CE101" s="600" t="b">
        <f t="shared" si="126"/>
        <v>1</v>
      </c>
      <c r="CF101" s="600" t="b">
        <f t="shared" si="127"/>
        <v>1</v>
      </c>
      <c r="CG101" s="600" t="b">
        <f t="shared" si="128"/>
        <v>1</v>
      </c>
      <c r="CH101" s="600" t="b">
        <f t="shared" si="129"/>
        <v>1</v>
      </c>
      <c r="CI101" s="600" t="b">
        <f t="shared" si="130"/>
        <v>0</v>
      </c>
      <c r="CJ101" s="600" t="b">
        <f t="shared" si="131"/>
        <v>0</v>
      </c>
      <c r="CK101" s="600" t="b">
        <f t="shared" si="132"/>
        <v>0</v>
      </c>
      <c r="CL101" s="600" t="b">
        <f t="shared" si="133"/>
        <v>0</v>
      </c>
      <c r="CM101" s="585"/>
      <c r="CN101" s="585"/>
      <c r="CO101" s="585"/>
      <c r="CP101" s="585"/>
      <c r="CQ101" s="585"/>
      <c r="CR101" s="585"/>
      <c r="CS101" s="585"/>
      <c r="CT101" s="585"/>
      <c r="CU101" s="585"/>
      <c r="CV101" s="585"/>
      <c r="CW101" s="585"/>
      <c r="CX101" s="585"/>
      <c r="CY101" s="585"/>
      <c r="CZ101" s="585"/>
      <c r="DA101" s="585"/>
      <c r="DB101" s="585"/>
      <c r="DC101" s="585"/>
      <c r="DD101" s="585"/>
      <c r="DE101" s="585"/>
      <c r="DF101" s="585"/>
      <c r="DG101" s="585"/>
      <c r="DH101" s="585"/>
      <c r="DI101" s="585"/>
      <c r="DJ101" s="585"/>
      <c r="DK101" s="585"/>
      <c r="DL101" s="585"/>
      <c r="DM101" s="585"/>
      <c r="DN101" s="585"/>
      <c r="DO101" s="585"/>
      <c r="DP101" s="585"/>
      <c r="DQ101" s="585"/>
      <c r="DR101" s="585"/>
      <c r="DS101" s="585"/>
      <c r="DT101" s="585"/>
      <c r="DU101" s="585"/>
      <c r="DV101" s="585"/>
      <c r="DW101" s="585"/>
      <c r="DX101" s="585"/>
      <c r="DY101" s="585"/>
      <c r="DZ101" s="585"/>
      <c r="EA101" s="585"/>
      <c r="EB101" s="585"/>
      <c r="EC101" s="585"/>
      <c r="ED101" s="585"/>
      <c r="EE101" s="585"/>
      <c r="EF101" s="585"/>
      <c r="EG101" s="585"/>
      <c r="EH101" s="585"/>
      <c r="EI101" s="585"/>
      <c r="EJ101" s="585"/>
      <c r="EK101" s="585"/>
      <c r="EL101" s="585"/>
      <c r="EM101" s="585"/>
      <c r="EN101" s="585"/>
      <c r="EO101" s="585"/>
      <c r="EP101" s="585"/>
      <c r="EQ101" s="585"/>
      <c r="ER101" s="585"/>
      <c r="ES101" s="585"/>
      <c r="ET101" s="585"/>
      <c r="EU101" s="585"/>
      <c r="EV101" s="585"/>
      <c r="EW101" s="585"/>
      <c r="EX101" s="585"/>
      <c r="EY101" s="585"/>
      <c r="EZ101" s="585"/>
      <c r="FA101" s="585"/>
      <c r="FB101" s="585"/>
      <c r="FC101" s="585"/>
      <c r="FD101" s="585"/>
      <c r="FE101" s="585"/>
      <c r="FF101" s="585"/>
      <c r="FG101" s="585"/>
      <c r="FH101" s="585"/>
      <c r="FI101" s="585"/>
      <c r="FJ101" s="585"/>
      <c r="FK101" s="585"/>
      <c r="FL101" s="585"/>
      <c r="FM101" s="585"/>
      <c r="FN101" s="585"/>
      <c r="FO101" s="585"/>
      <c r="FP101" s="585"/>
      <c r="FQ101" s="585"/>
      <c r="FR101" s="585"/>
      <c r="FS101" s="585"/>
      <c r="FT101" s="585"/>
      <c r="FU101" s="585"/>
      <c r="FV101" s="585"/>
      <c r="FW101" s="585"/>
      <c r="FX101" s="585"/>
      <c r="FY101" s="585"/>
      <c r="FZ101" s="585"/>
      <c r="GA101" s="585"/>
      <c r="GB101" s="585"/>
      <c r="GC101" s="585"/>
      <c r="GD101" s="585"/>
      <c r="GE101" s="585"/>
      <c r="GF101" s="585"/>
      <c r="GG101" s="585"/>
      <c r="GH101" s="585"/>
      <c r="GI101" s="585"/>
      <c r="GJ101" s="585"/>
      <c r="GK101" s="585"/>
      <c r="GL101" s="585"/>
      <c r="GM101" s="585"/>
      <c r="GN101" s="585"/>
      <c r="GO101" s="585"/>
      <c r="GP101" s="585"/>
      <c r="GQ101" s="585"/>
      <c r="GR101" s="585"/>
      <c r="GS101" s="585"/>
      <c r="GT101" s="585"/>
      <c r="GU101" s="585"/>
      <c r="GV101" s="585"/>
      <c r="GW101" s="585"/>
      <c r="GX101" s="585"/>
      <c r="GY101" s="585"/>
      <c r="GZ101" s="585"/>
      <c r="HA101" s="585"/>
      <c r="HB101" s="585"/>
      <c r="HC101" s="585"/>
      <c r="HD101" s="585"/>
      <c r="HE101" s="585"/>
      <c r="HF101" s="585"/>
      <c r="HG101" s="585"/>
      <c r="HH101" s="585"/>
      <c r="HI101" s="585"/>
      <c r="HJ101" s="585"/>
      <c r="HK101" s="585"/>
      <c r="HL101" s="585"/>
      <c r="HM101" s="585"/>
      <c r="HN101" s="585"/>
      <c r="HO101" s="585"/>
      <c r="HP101" s="585"/>
      <c r="HQ101" s="585"/>
      <c r="HR101" s="585"/>
      <c r="HS101" s="585"/>
      <c r="HT101" s="585"/>
      <c r="HU101" s="585"/>
      <c r="HV101" s="585"/>
      <c r="HW101" s="585"/>
      <c r="HX101" s="585"/>
      <c r="HY101" s="585"/>
      <c r="HZ101" s="585"/>
      <c r="IA101" s="585"/>
      <c r="IB101" s="585"/>
      <c r="IC101" s="585"/>
      <c r="ID101" s="585"/>
      <c r="IE101" s="585"/>
      <c r="IF101" s="585"/>
      <c r="IG101" s="585"/>
      <c r="IH101" s="585"/>
      <c r="II101" s="585"/>
      <c r="IJ101" s="585"/>
      <c r="IK101" s="585"/>
      <c r="IL101" s="585"/>
      <c r="IM101" s="585"/>
      <c r="IN101" s="585"/>
      <c r="IO101" s="585"/>
      <c r="IP101" s="585"/>
      <c r="IQ101" s="585"/>
      <c r="IR101" s="585"/>
      <c r="IS101" s="585"/>
      <c r="IT101" s="585"/>
      <c r="IU101" s="585"/>
      <c r="IV101" s="585"/>
      <c r="IW101" s="585"/>
      <c r="IX101" s="585"/>
      <c r="IY101" s="585"/>
      <c r="IZ101" s="585"/>
      <c r="JA101" s="585"/>
      <c r="JB101" s="585"/>
      <c r="JC101" s="585"/>
      <c r="JD101" s="585"/>
      <c r="JE101" s="585"/>
      <c r="JF101" s="585"/>
      <c r="JG101" s="585"/>
      <c r="JH101" s="585"/>
      <c r="JI101" s="585"/>
      <c r="JJ101" s="585"/>
      <c r="JK101" s="585"/>
      <c r="JL101" s="585"/>
      <c r="JM101" s="585"/>
      <c r="JN101" s="585"/>
      <c r="JO101" s="585"/>
      <c r="JP101" s="585"/>
      <c r="JQ101" s="585"/>
      <c r="JR101" s="585"/>
      <c r="JS101" s="585"/>
      <c r="JT101" s="585"/>
      <c r="JU101" s="585"/>
      <c r="JV101" s="585"/>
      <c r="JW101" s="585"/>
      <c r="JX101" s="585"/>
      <c r="JY101" s="585"/>
      <c r="JZ101" s="585"/>
      <c r="KA101" s="585"/>
      <c r="KB101" s="585"/>
      <c r="KC101" s="585"/>
      <c r="KD101" s="585"/>
      <c r="KE101" s="585"/>
      <c r="KF101" s="585"/>
      <c r="KG101" s="585"/>
      <c r="KH101" s="585"/>
      <c r="KI101" s="585"/>
      <c r="KJ101" s="585"/>
      <c r="KK101" s="585"/>
      <c r="KL101" s="585"/>
      <c r="KM101" s="585"/>
      <c r="KN101" s="585"/>
      <c r="KO101" s="585"/>
      <c r="KP101" s="585"/>
      <c r="KQ101" s="585"/>
      <c r="KR101" s="585"/>
      <c r="KS101" s="585"/>
      <c r="KT101" s="585"/>
      <c r="KU101" s="585"/>
      <c r="KV101" s="585"/>
      <c r="KW101" s="585"/>
      <c r="KX101" s="585"/>
      <c r="KY101" s="585"/>
      <c r="KZ101" s="585"/>
      <c r="LA101" s="585"/>
      <c r="LB101" s="585"/>
      <c r="LC101" s="585"/>
      <c r="LD101" s="585"/>
      <c r="LE101" s="585"/>
      <c r="LF101" s="585"/>
      <c r="LG101" s="585"/>
      <c r="LH101" s="585"/>
      <c r="LI101" s="585"/>
      <c r="LJ101" s="585"/>
      <c r="LK101" s="585"/>
      <c r="LL101" s="585"/>
      <c r="LM101" s="585"/>
      <c r="LN101" s="585"/>
      <c r="LO101" s="585"/>
      <c r="LP101" s="585"/>
      <c r="LQ101" s="585"/>
      <c r="LR101" s="585"/>
      <c r="LS101" s="585"/>
      <c r="LT101" s="585"/>
      <c r="LU101" s="585"/>
      <c r="LV101" s="585"/>
      <c r="LW101" s="585"/>
      <c r="LX101" s="585"/>
      <c r="LY101" s="585"/>
      <c r="LZ101" s="585"/>
      <c r="MA101" s="585"/>
      <c r="MB101" s="585"/>
      <c r="MC101" s="585"/>
      <c r="MD101" s="585"/>
      <c r="ME101" s="585"/>
      <c r="MF101" s="585"/>
      <c r="MG101" s="585"/>
      <c r="MH101" s="585"/>
      <c r="MI101" s="585"/>
      <c r="MJ101" s="585"/>
      <c r="MK101" s="585"/>
    </row>
    <row r="102" spans="1:349" s="600" customFormat="1" ht="15" customHeight="1" x14ac:dyDescent="0.35">
      <c r="A102" s="585">
        <f t="shared" si="149"/>
        <v>554</v>
      </c>
      <c r="B102" s="445" t="str">
        <f t="shared" si="95"/>
        <v>Residential_Income Qualified</v>
      </c>
      <c r="C102" s="445"/>
      <c r="D102" s="445">
        <v>554</v>
      </c>
      <c r="E102" s="445" t="s">
        <v>78</v>
      </c>
      <c r="F102" s="600" t="str">
        <f>VLOOKUP(G102,Sheet4!$D$6:$E$22,2,FALSE)</f>
        <v>Income Qualified</v>
      </c>
      <c r="G102" s="445" t="s">
        <v>1933</v>
      </c>
      <c r="H102" s="673" t="s">
        <v>42</v>
      </c>
      <c r="I102" s="232"/>
      <c r="J102" s="72" t="s">
        <v>3299</v>
      </c>
      <c r="K102" s="112" t="str">
        <f t="shared" si="148"/>
        <v>5.4.6</v>
      </c>
      <c r="L102" s="112" t="str">
        <f t="shared" si="148"/>
        <v>RS-HWE-TMPS-V05-160601</v>
      </c>
      <c r="M102" s="112">
        <f t="shared" si="148"/>
        <v>1</v>
      </c>
      <c r="O102" s="112" t="str">
        <f>O14</f>
        <v>Gas</v>
      </c>
      <c r="P102" s="7">
        <f>VLOOKUP(D102,'2018 Plan Data'!$A$4:$K$1000,11,FALSE)</f>
        <v>2</v>
      </c>
      <c r="Q102" s="652">
        <f>VLOOKUP(D102,'2018 Plan Data'!$A$4:$L$1000,12,FALSE)</f>
        <v>0</v>
      </c>
      <c r="R102" s="2333"/>
      <c r="S102" s="314"/>
      <c r="T102" s="315"/>
      <c r="U102" s="314"/>
      <c r="V102" s="2805">
        <f>'RES DHW'!C124</f>
        <v>0.32433188538461538</v>
      </c>
      <c r="W102" s="314"/>
      <c r="X102" s="310">
        <v>0</v>
      </c>
      <c r="Y102" s="310">
        <v>0</v>
      </c>
      <c r="Z102" s="310">
        <v>0</v>
      </c>
      <c r="AA102" s="310">
        <v>0</v>
      </c>
      <c r="AB102" s="310">
        <v>0</v>
      </c>
      <c r="AC102" s="310">
        <v>0</v>
      </c>
      <c r="AD102" s="309">
        <v>1</v>
      </c>
      <c r="AE102" s="309">
        <v>1</v>
      </c>
      <c r="AF102" s="309">
        <v>1</v>
      </c>
      <c r="AG102" s="309">
        <v>1</v>
      </c>
      <c r="AH102" s="314">
        <f t="shared" si="150"/>
        <v>0</v>
      </c>
      <c r="AI102" s="314">
        <f t="shared" si="151"/>
        <v>0</v>
      </c>
      <c r="AJ102" s="314">
        <f t="shared" si="152"/>
        <v>0</v>
      </c>
      <c r="AK102" s="314">
        <f t="shared" si="153"/>
        <v>0</v>
      </c>
      <c r="AL102" s="309">
        <v>1</v>
      </c>
      <c r="AM102" s="309">
        <v>1</v>
      </c>
      <c r="AN102" s="309">
        <v>1</v>
      </c>
      <c r="AO102" s="309">
        <v>1</v>
      </c>
      <c r="AP102" s="446">
        <f t="shared" si="154"/>
        <v>0</v>
      </c>
      <c r="AQ102" s="446">
        <f t="shared" si="155"/>
        <v>0</v>
      </c>
      <c r="AR102" s="446">
        <f t="shared" si="156"/>
        <v>0</v>
      </c>
      <c r="AS102" s="446">
        <f t="shared" si="157"/>
        <v>0</v>
      </c>
      <c r="AT102" s="309">
        <v>1</v>
      </c>
      <c r="AU102" s="309">
        <v>1</v>
      </c>
      <c r="AV102" s="309">
        <v>1</v>
      </c>
      <c r="AW102" s="309">
        <v>1</v>
      </c>
      <c r="AX102" s="243">
        <f t="shared" si="143"/>
        <v>0.32433188538461538</v>
      </c>
      <c r="AY102" s="243">
        <f t="shared" si="144"/>
        <v>0.32433188538461538</v>
      </c>
      <c r="AZ102" s="243">
        <f t="shared" si="145"/>
        <v>0.32433188538461538</v>
      </c>
      <c r="BA102" s="243">
        <f t="shared" si="146"/>
        <v>0.32433188538461538</v>
      </c>
      <c r="BB102" s="243">
        <f>VLOOKUP($D102,'2018 Plan Data'!$A$4:$K$2000,6,FALSE)</f>
        <v>1663.1999999999998</v>
      </c>
      <c r="BC102" s="243">
        <f>VLOOKUP($D102,'2018 Plan Data'!$A$4:$K$2000,7,FALSE)</f>
        <v>1649.1999999999998</v>
      </c>
      <c r="BD102" s="243">
        <f>VLOOKUP($D102,'2018 Plan Data'!$A$4:$K$2000,8,FALSE)</f>
        <v>5593</v>
      </c>
      <c r="BE102" s="243">
        <f>VLOOKUP($D102,'2018 Plan Data'!$A$4:$K$2000,9,FALSE)</f>
        <v>3747.1</v>
      </c>
      <c r="BF102" s="243">
        <f t="shared" si="110"/>
        <v>0</v>
      </c>
      <c r="BG102" s="243">
        <f t="shared" si="111"/>
        <v>0</v>
      </c>
      <c r="BH102" s="243">
        <f t="shared" si="112"/>
        <v>0</v>
      </c>
      <c r="BI102" s="243">
        <f t="shared" si="113"/>
        <v>0</v>
      </c>
      <c r="BJ102" s="243">
        <f t="shared" si="114"/>
        <v>539.4287917716922</v>
      </c>
      <c r="BK102" s="243">
        <f t="shared" si="115"/>
        <v>534.88814537630765</v>
      </c>
      <c r="BL102" s="243">
        <f t="shared" si="116"/>
        <v>1813.9882349561537</v>
      </c>
      <c r="BM102" s="243">
        <f t="shared" si="117"/>
        <v>1215.3040077246922</v>
      </c>
      <c r="BN102" s="243">
        <f t="shared" si="158"/>
        <v>0</v>
      </c>
      <c r="BO102" s="243">
        <f t="shared" si="159"/>
        <v>0</v>
      </c>
      <c r="BP102" s="243">
        <f t="shared" si="160"/>
        <v>0</v>
      </c>
      <c r="BQ102" s="243">
        <f t="shared" si="161"/>
        <v>0</v>
      </c>
      <c r="BR102" s="243">
        <f t="shared" si="162"/>
        <v>539.4287917716922</v>
      </c>
      <c r="BS102" s="243">
        <f t="shared" si="163"/>
        <v>534.88814537630765</v>
      </c>
      <c r="BT102" s="243">
        <f t="shared" si="164"/>
        <v>1813.9882349561537</v>
      </c>
      <c r="BU102" s="243">
        <f t="shared" si="165"/>
        <v>1215.3040077246922</v>
      </c>
      <c r="BW102" s="314">
        <f>VLOOKUP($D102,'2018 Plan Data'!$A$4:$T$2000,13,FALSE)</f>
        <v>0</v>
      </c>
      <c r="BX102" s="314">
        <f>VLOOKUP($D102,'2018 Plan Data'!$A$4:$T$2000,14,FALSE)</f>
        <v>0</v>
      </c>
      <c r="BY102" s="314">
        <f>VLOOKUP($D102,'2018 Plan Data'!$A$4:$T$2000,15,FALSE)</f>
        <v>0</v>
      </c>
      <c r="BZ102" s="314">
        <f>VLOOKUP($D102,'2018 Plan Data'!$A$4:$T$2000,16,FALSE)</f>
        <v>0</v>
      </c>
      <c r="CA102" s="314">
        <f>VLOOKUP($D102,'2018 Plan Data'!$A$4:$T$2000,17,FALSE)</f>
        <v>2686.3553830230271</v>
      </c>
      <c r="CB102" s="314">
        <f>VLOOKUP($D102,'2018 Plan Data'!$A$4:$T$2000,18,FALSE)</f>
        <v>2663.7429639740117</v>
      </c>
      <c r="CC102" s="314">
        <f>VLOOKUP($D102,'2018 Plan Data'!$A$4:$T$2000,19,FALSE)</f>
        <v>9033.661410081646</v>
      </c>
      <c r="CD102" s="314">
        <f>VLOOKUP($D102,'2018 Plan Data'!$A$4:$T$2000,20,FALSE)</f>
        <v>6052.2139584689667</v>
      </c>
      <c r="CE102" s="600" t="b">
        <f t="shared" si="126"/>
        <v>1</v>
      </c>
      <c r="CF102" s="600" t="b">
        <f t="shared" si="127"/>
        <v>1</v>
      </c>
      <c r="CG102" s="600" t="b">
        <f t="shared" si="128"/>
        <v>1</v>
      </c>
      <c r="CH102" s="600" t="b">
        <f t="shared" si="129"/>
        <v>1</v>
      </c>
      <c r="CI102" s="600" t="b">
        <f t="shared" si="130"/>
        <v>0</v>
      </c>
      <c r="CJ102" s="600" t="b">
        <f t="shared" si="131"/>
        <v>0</v>
      </c>
      <c r="CK102" s="600" t="b">
        <f t="shared" si="132"/>
        <v>0</v>
      </c>
      <c r="CL102" s="600" t="b">
        <f t="shared" si="133"/>
        <v>0</v>
      </c>
      <c r="CM102" s="585"/>
      <c r="CN102" s="585"/>
      <c r="CO102" s="585"/>
      <c r="CP102" s="585"/>
      <c r="CQ102" s="585"/>
      <c r="CR102" s="585"/>
      <c r="CS102" s="585"/>
      <c r="CT102" s="585"/>
      <c r="CU102" s="585"/>
      <c r="CV102" s="585"/>
      <c r="CW102" s="585"/>
      <c r="CX102" s="585"/>
      <c r="CY102" s="585"/>
      <c r="CZ102" s="585"/>
      <c r="DA102" s="585"/>
      <c r="DB102" s="585"/>
      <c r="DC102" s="585"/>
      <c r="DD102" s="585"/>
      <c r="DE102" s="585"/>
      <c r="DF102" s="585"/>
      <c r="DG102" s="585"/>
      <c r="DH102" s="585"/>
      <c r="DI102" s="585"/>
      <c r="DJ102" s="585"/>
      <c r="DK102" s="585"/>
      <c r="DL102" s="585"/>
      <c r="DM102" s="585"/>
      <c r="DN102" s="585"/>
      <c r="DO102" s="585"/>
      <c r="DP102" s="585"/>
      <c r="DQ102" s="585"/>
      <c r="DR102" s="585"/>
      <c r="DS102" s="585"/>
      <c r="DT102" s="585"/>
      <c r="DU102" s="585"/>
      <c r="DV102" s="585"/>
      <c r="DW102" s="585"/>
      <c r="DX102" s="585"/>
      <c r="DY102" s="585"/>
      <c r="DZ102" s="585"/>
      <c r="EA102" s="585"/>
      <c r="EB102" s="585"/>
      <c r="EC102" s="585"/>
      <c r="ED102" s="585"/>
      <c r="EE102" s="585"/>
      <c r="EF102" s="585"/>
      <c r="EG102" s="585"/>
      <c r="EH102" s="585"/>
      <c r="EI102" s="585"/>
      <c r="EJ102" s="585"/>
      <c r="EK102" s="585"/>
      <c r="EL102" s="585"/>
      <c r="EM102" s="585"/>
      <c r="EN102" s="585"/>
      <c r="EO102" s="585"/>
      <c r="EP102" s="585"/>
      <c r="EQ102" s="585"/>
      <c r="ER102" s="585"/>
      <c r="ES102" s="585"/>
      <c r="ET102" s="585"/>
      <c r="EU102" s="585"/>
      <c r="EV102" s="585"/>
      <c r="EW102" s="585"/>
      <c r="EX102" s="585"/>
      <c r="EY102" s="585"/>
      <c r="EZ102" s="585"/>
      <c r="FA102" s="585"/>
      <c r="FB102" s="585"/>
      <c r="FC102" s="585"/>
      <c r="FD102" s="585"/>
      <c r="FE102" s="585"/>
      <c r="FF102" s="585"/>
      <c r="FG102" s="585"/>
      <c r="FH102" s="585"/>
      <c r="FI102" s="585"/>
      <c r="FJ102" s="585"/>
      <c r="FK102" s="585"/>
      <c r="FL102" s="585"/>
      <c r="FM102" s="585"/>
      <c r="FN102" s="585"/>
      <c r="FO102" s="585"/>
      <c r="FP102" s="585"/>
      <c r="FQ102" s="585"/>
      <c r="FR102" s="585"/>
      <c r="FS102" s="585"/>
      <c r="FT102" s="585"/>
      <c r="FU102" s="585"/>
      <c r="FV102" s="585"/>
      <c r="FW102" s="585"/>
      <c r="FX102" s="585"/>
      <c r="FY102" s="585"/>
      <c r="FZ102" s="585"/>
      <c r="GA102" s="585"/>
      <c r="GB102" s="585"/>
      <c r="GC102" s="585"/>
      <c r="GD102" s="585"/>
      <c r="GE102" s="585"/>
      <c r="GF102" s="585"/>
      <c r="GG102" s="585"/>
      <c r="GH102" s="585"/>
      <c r="GI102" s="585"/>
      <c r="GJ102" s="585"/>
      <c r="GK102" s="585"/>
      <c r="GL102" s="585"/>
      <c r="GM102" s="585"/>
      <c r="GN102" s="585"/>
      <c r="GO102" s="585"/>
      <c r="GP102" s="585"/>
      <c r="GQ102" s="585"/>
      <c r="GR102" s="585"/>
      <c r="GS102" s="585"/>
      <c r="GT102" s="585"/>
      <c r="GU102" s="585"/>
      <c r="GV102" s="585"/>
      <c r="GW102" s="585"/>
      <c r="GX102" s="585"/>
      <c r="GY102" s="585"/>
      <c r="GZ102" s="585"/>
      <c r="HA102" s="585"/>
      <c r="HB102" s="585"/>
      <c r="HC102" s="585"/>
      <c r="HD102" s="585"/>
      <c r="HE102" s="585"/>
      <c r="HF102" s="585"/>
      <c r="HG102" s="585"/>
      <c r="HH102" s="585"/>
      <c r="HI102" s="585"/>
      <c r="HJ102" s="585"/>
      <c r="HK102" s="585"/>
      <c r="HL102" s="585"/>
      <c r="HM102" s="585"/>
      <c r="HN102" s="585"/>
      <c r="HO102" s="585"/>
      <c r="HP102" s="585"/>
      <c r="HQ102" s="585"/>
      <c r="HR102" s="585"/>
      <c r="HS102" s="585"/>
      <c r="HT102" s="585"/>
      <c r="HU102" s="585"/>
      <c r="HV102" s="585"/>
      <c r="HW102" s="585"/>
      <c r="HX102" s="585"/>
      <c r="HY102" s="585"/>
      <c r="HZ102" s="585"/>
      <c r="IA102" s="585"/>
      <c r="IB102" s="585"/>
      <c r="IC102" s="585"/>
      <c r="ID102" s="585"/>
      <c r="IE102" s="585"/>
      <c r="IF102" s="585"/>
      <c r="IG102" s="585"/>
      <c r="IH102" s="585"/>
      <c r="II102" s="585"/>
      <c r="IJ102" s="585"/>
      <c r="IK102" s="585"/>
      <c r="IL102" s="585"/>
      <c r="IM102" s="585"/>
      <c r="IN102" s="585"/>
      <c r="IO102" s="585"/>
      <c r="IP102" s="585"/>
      <c r="IQ102" s="585"/>
      <c r="IR102" s="585"/>
      <c r="IS102" s="585"/>
      <c r="IT102" s="585"/>
      <c r="IU102" s="585"/>
      <c r="IV102" s="585"/>
      <c r="IW102" s="585"/>
      <c r="IX102" s="585"/>
      <c r="IY102" s="585"/>
      <c r="IZ102" s="585"/>
      <c r="JA102" s="585"/>
      <c r="JB102" s="585"/>
      <c r="JC102" s="585"/>
      <c r="JD102" s="585"/>
      <c r="JE102" s="585"/>
      <c r="JF102" s="585"/>
      <c r="JG102" s="585"/>
      <c r="JH102" s="585"/>
      <c r="JI102" s="585"/>
      <c r="JJ102" s="585"/>
      <c r="JK102" s="585"/>
      <c r="JL102" s="585"/>
      <c r="JM102" s="585"/>
      <c r="JN102" s="585"/>
      <c r="JO102" s="585"/>
      <c r="JP102" s="585"/>
      <c r="JQ102" s="585"/>
      <c r="JR102" s="585"/>
      <c r="JS102" s="585"/>
      <c r="JT102" s="585"/>
      <c r="JU102" s="585"/>
      <c r="JV102" s="585"/>
      <c r="JW102" s="585"/>
      <c r="JX102" s="585"/>
      <c r="JY102" s="585"/>
      <c r="JZ102" s="585"/>
      <c r="KA102" s="585"/>
      <c r="KB102" s="585"/>
      <c r="KC102" s="585"/>
      <c r="KD102" s="585"/>
      <c r="KE102" s="585"/>
      <c r="KF102" s="585"/>
      <c r="KG102" s="585"/>
      <c r="KH102" s="585"/>
      <c r="KI102" s="585"/>
      <c r="KJ102" s="585"/>
      <c r="KK102" s="585"/>
      <c r="KL102" s="585"/>
      <c r="KM102" s="585"/>
      <c r="KN102" s="585"/>
      <c r="KO102" s="585"/>
      <c r="KP102" s="585"/>
      <c r="KQ102" s="585"/>
      <c r="KR102" s="585"/>
      <c r="KS102" s="585"/>
      <c r="KT102" s="585"/>
      <c r="KU102" s="585"/>
      <c r="KV102" s="585"/>
      <c r="KW102" s="585"/>
      <c r="KX102" s="585"/>
      <c r="KY102" s="585"/>
      <c r="KZ102" s="585"/>
      <c r="LA102" s="585"/>
      <c r="LB102" s="585"/>
      <c r="LC102" s="585"/>
      <c r="LD102" s="585"/>
      <c r="LE102" s="585"/>
      <c r="LF102" s="585"/>
      <c r="LG102" s="585"/>
      <c r="LH102" s="585"/>
      <c r="LI102" s="585"/>
      <c r="LJ102" s="585"/>
      <c r="LK102" s="585"/>
      <c r="LL102" s="585"/>
      <c r="LM102" s="585"/>
      <c r="LN102" s="585"/>
      <c r="LO102" s="585"/>
      <c r="LP102" s="585"/>
      <c r="LQ102" s="585"/>
      <c r="LR102" s="585"/>
      <c r="LS102" s="585"/>
      <c r="LT102" s="585"/>
      <c r="LU102" s="585"/>
      <c r="LV102" s="585"/>
      <c r="LW102" s="585"/>
      <c r="LX102" s="585"/>
      <c r="LY102" s="585"/>
      <c r="LZ102" s="585"/>
      <c r="MA102" s="585"/>
      <c r="MB102" s="585"/>
      <c r="MC102" s="585"/>
      <c r="MD102" s="585"/>
      <c r="ME102" s="585"/>
      <c r="MF102" s="585"/>
      <c r="MG102" s="585"/>
      <c r="MH102" s="585"/>
      <c r="MI102" s="585"/>
      <c r="MJ102" s="585"/>
      <c r="MK102" s="585"/>
    </row>
    <row r="103" spans="1:349" s="600" customFormat="1" ht="15" customHeight="1" x14ac:dyDescent="0.35">
      <c r="A103" s="585">
        <f t="shared" si="149"/>
        <v>629</v>
      </c>
      <c r="B103" s="445" t="str">
        <f t="shared" si="95"/>
        <v>Residential_Income Qualified</v>
      </c>
      <c r="C103" s="445"/>
      <c r="D103" s="445">
        <v>629</v>
      </c>
      <c r="E103" s="445" t="s">
        <v>78</v>
      </c>
      <c r="F103" s="600" t="str">
        <f>VLOOKUP(G103,Sheet4!$D$6:$E$22,2,FALSE)</f>
        <v>Income Qualified</v>
      </c>
      <c r="G103" s="445" t="s">
        <v>1933</v>
      </c>
      <c r="H103" s="673" t="s">
        <v>39</v>
      </c>
      <c r="I103" s="232"/>
      <c r="J103" s="72" t="s">
        <v>3300</v>
      </c>
      <c r="K103" s="112" t="str">
        <f t="shared" ref="K103:M106" si="166">K11</f>
        <v>5.4.5</v>
      </c>
      <c r="L103" s="112" t="str">
        <f t="shared" si="166"/>
        <v>RS-HWE-LFSH-V05-180101</v>
      </c>
      <c r="M103" s="112">
        <f t="shared" si="166"/>
        <v>1</v>
      </c>
      <c r="O103" s="112" t="str">
        <f>O11</f>
        <v>Gas</v>
      </c>
      <c r="P103" s="7">
        <f>VLOOKUP(D103,'2018 Plan Data'!$A$4:$K$1000,11,FALSE)</f>
        <v>10</v>
      </c>
      <c r="Q103" s="652">
        <f>VLOOKUP(D103,'2018 Plan Data'!$A$4:$L$1000,12,FALSE)</f>
        <v>0</v>
      </c>
      <c r="R103" s="315"/>
      <c r="S103" s="315"/>
      <c r="T103" s="315"/>
      <c r="U103" s="314"/>
      <c r="V103" s="314">
        <f>'RES DHW'!K43</f>
        <v>4.5599999999999996</v>
      </c>
      <c r="W103" s="314"/>
      <c r="X103" s="310">
        <v>0</v>
      </c>
      <c r="Y103" s="310">
        <v>0</v>
      </c>
      <c r="Z103" s="310">
        <v>0</v>
      </c>
      <c r="AA103" s="310">
        <v>0</v>
      </c>
      <c r="AB103" s="310">
        <v>0</v>
      </c>
      <c r="AC103" s="310">
        <v>0</v>
      </c>
      <c r="AD103" s="309">
        <v>1</v>
      </c>
      <c r="AE103" s="309">
        <v>1</v>
      </c>
      <c r="AF103" s="309">
        <v>1</v>
      </c>
      <c r="AG103" s="309">
        <v>1</v>
      </c>
      <c r="AH103" s="314">
        <f t="shared" si="150"/>
        <v>0</v>
      </c>
      <c r="AI103" s="314">
        <f t="shared" si="151"/>
        <v>0</v>
      </c>
      <c r="AJ103" s="314">
        <f t="shared" si="152"/>
        <v>0</v>
      </c>
      <c r="AK103" s="314">
        <f t="shared" si="153"/>
        <v>0</v>
      </c>
      <c r="AL103" s="309">
        <v>1</v>
      </c>
      <c r="AM103" s="309">
        <v>1</v>
      </c>
      <c r="AN103" s="309">
        <v>1</v>
      </c>
      <c r="AO103" s="309">
        <v>1</v>
      </c>
      <c r="AP103" s="446">
        <f t="shared" si="154"/>
        <v>0</v>
      </c>
      <c r="AQ103" s="446">
        <f t="shared" si="155"/>
        <v>0</v>
      </c>
      <c r="AR103" s="446">
        <f t="shared" si="156"/>
        <v>0</v>
      </c>
      <c r="AS103" s="446">
        <f t="shared" si="157"/>
        <v>0</v>
      </c>
      <c r="AT103" s="309">
        <v>1</v>
      </c>
      <c r="AU103" s="309">
        <v>1</v>
      </c>
      <c r="AV103" s="309">
        <v>1</v>
      </c>
      <c r="AW103" s="309">
        <v>1</v>
      </c>
      <c r="AX103" s="243">
        <f t="shared" si="143"/>
        <v>4.5599999999999996</v>
      </c>
      <c r="AY103" s="243">
        <f t="shared" si="144"/>
        <v>4.5599999999999996</v>
      </c>
      <c r="AZ103" s="243">
        <f t="shared" si="145"/>
        <v>4.5599999999999996</v>
      </c>
      <c r="BA103" s="243">
        <f t="shared" si="146"/>
        <v>4.5599999999999996</v>
      </c>
      <c r="BB103" s="243">
        <f>VLOOKUP($D103,'2018 Plan Data'!$A$4:$K$2000,6,FALSE)</f>
        <v>1663.1999999999998</v>
      </c>
      <c r="BC103" s="243">
        <f>VLOOKUP($D103,'2018 Plan Data'!$A$4:$K$2000,7,FALSE)</f>
        <v>1649.1999999999998</v>
      </c>
      <c r="BD103" s="243">
        <f>VLOOKUP($D103,'2018 Plan Data'!$A$4:$K$2000,8,FALSE)</f>
        <v>5593</v>
      </c>
      <c r="BE103" s="243">
        <f>VLOOKUP($D103,'2018 Plan Data'!$A$4:$K$2000,9,FALSE)</f>
        <v>3747.1</v>
      </c>
      <c r="BF103" s="243">
        <f t="shared" si="110"/>
        <v>0</v>
      </c>
      <c r="BG103" s="243">
        <f t="shared" si="111"/>
        <v>0</v>
      </c>
      <c r="BH103" s="243">
        <f t="shared" si="112"/>
        <v>0</v>
      </c>
      <c r="BI103" s="243">
        <f t="shared" si="113"/>
        <v>0</v>
      </c>
      <c r="BJ103" s="243">
        <f t="shared" si="114"/>
        <v>7584.1919999999982</v>
      </c>
      <c r="BK103" s="243">
        <f t="shared" si="115"/>
        <v>7520.351999999999</v>
      </c>
      <c r="BL103" s="243">
        <f t="shared" si="116"/>
        <v>25504.079999999998</v>
      </c>
      <c r="BM103" s="243">
        <f t="shared" si="117"/>
        <v>17086.775999999998</v>
      </c>
      <c r="BN103" s="243">
        <f t="shared" si="158"/>
        <v>0</v>
      </c>
      <c r="BO103" s="243">
        <f t="shared" si="159"/>
        <v>0</v>
      </c>
      <c r="BP103" s="243">
        <f t="shared" si="160"/>
        <v>0</v>
      </c>
      <c r="BQ103" s="243">
        <f t="shared" si="161"/>
        <v>0</v>
      </c>
      <c r="BR103" s="243">
        <f t="shared" si="162"/>
        <v>7584.1919999999982</v>
      </c>
      <c r="BS103" s="243">
        <f t="shared" si="163"/>
        <v>7520.351999999999</v>
      </c>
      <c r="BT103" s="243">
        <f t="shared" si="164"/>
        <v>25504.079999999998</v>
      </c>
      <c r="BU103" s="243">
        <f t="shared" si="165"/>
        <v>17086.775999999998</v>
      </c>
      <c r="BW103" s="314">
        <f>VLOOKUP($D103,'2018 Plan Data'!$A$4:$T$2000,13,FALSE)</f>
        <v>0</v>
      </c>
      <c r="BX103" s="314">
        <f>VLOOKUP($D103,'2018 Plan Data'!$A$4:$T$2000,14,FALSE)</f>
        <v>0</v>
      </c>
      <c r="BY103" s="314">
        <f>VLOOKUP($D103,'2018 Plan Data'!$A$4:$T$2000,15,FALSE)</f>
        <v>0</v>
      </c>
      <c r="BZ103" s="314">
        <f>VLOOKUP($D103,'2018 Plan Data'!$A$4:$T$2000,16,FALSE)</f>
        <v>0</v>
      </c>
      <c r="CA103" s="314">
        <f>VLOOKUP($D103,'2018 Plan Data'!$A$4:$T$2000,17,FALSE)</f>
        <v>5621.6159999999991</v>
      </c>
      <c r="CB103" s="314">
        <f>VLOOKUP($D103,'2018 Plan Data'!$A$4:$T$2000,18,FALSE)</f>
        <v>5574.2959999999994</v>
      </c>
      <c r="CC103" s="314">
        <f>VLOOKUP($D103,'2018 Plan Data'!$A$4:$T$2000,19,FALSE)</f>
        <v>18904.34</v>
      </c>
      <c r="CD103" s="314">
        <f>VLOOKUP($D103,'2018 Plan Data'!$A$4:$T$2000,20,FALSE)</f>
        <v>12665.197999999999</v>
      </c>
      <c r="CE103" s="600" t="b">
        <f t="shared" si="126"/>
        <v>1</v>
      </c>
      <c r="CF103" s="600" t="b">
        <f t="shared" si="127"/>
        <v>1</v>
      </c>
      <c r="CG103" s="600" t="b">
        <f t="shared" si="128"/>
        <v>1</v>
      </c>
      <c r="CH103" s="600" t="b">
        <f t="shared" si="129"/>
        <v>1</v>
      </c>
      <c r="CI103" s="600" t="b">
        <f t="shared" si="130"/>
        <v>0</v>
      </c>
      <c r="CJ103" s="600" t="b">
        <f t="shared" si="131"/>
        <v>0</v>
      </c>
      <c r="CK103" s="600" t="b">
        <f t="shared" si="132"/>
        <v>0</v>
      </c>
      <c r="CL103" s="600" t="b">
        <f t="shared" si="133"/>
        <v>0</v>
      </c>
      <c r="CM103" s="585"/>
      <c r="CN103" s="585"/>
      <c r="CO103" s="585"/>
      <c r="CP103" s="585"/>
      <c r="CQ103" s="585"/>
      <c r="CR103" s="585"/>
      <c r="CS103" s="585"/>
      <c r="CT103" s="585"/>
      <c r="CU103" s="585"/>
      <c r="CV103" s="585"/>
      <c r="CW103" s="585"/>
      <c r="CX103" s="585"/>
      <c r="CY103" s="585"/>
      <c r="CZ103" s="585"/>
      <c r="DA103" s="585"/>
      <c r="DB103" s="585"/>
      <c r="DC103" s="585"/>
      <c r="DD103" s="585"/>
      <c r="DE103" s="585"/>
      <c r="DF103" s="585"/>
      <c r="DG103" s="585"/>
      <c r="DH103" s="585"/>
      <c r="DI103" s="585"/>
      <c r="DJ103" s="585"/>
      <c r="DK103" s="585"/>
      <c r="DL103" s="585"/>
      <c r="DM103" s="585"/>
      <c r="DN103" s="585"/>
      <c r="DO103" s="585"/>
      <c r="DP103" s="585"/>
      <c r="DQ103" s="585"/>
      <c r="DR103" s="585"/>
      <c r="DS103" s="585"/>
      <c r="DT103" s="585"/>
      <c r="DU103" s="585"/>
      <c r="DV103" s="585"/>
      <c r="DW103" s="585"/>
      <c r="DX103" s="585"/>
      <c r="DY103" s="585"/>
      <c r="DZ103" s="585"/>
      <c r="EA103" s="585"/>
      <c r="EB103" s="585"/>
      <c r="EC103" s="585"/>
      <c r="ED103" s="585"/>
      <c r="EE103" s="585"/>
      <c r="EF103" s="585"/>
      <c r="EG103" s="585"/>
      <c r="EH103" s="585"/>
      <c r="EI103" s="585"/>
      <c r="EJ103" s="585"/>
      <c r="EK103" s="585"/>
      <c r="EL103" s="585"/>
      <c r="EM103" s="585"/>
      <c r="EN103" s="585"/>
      <c r="EO103" s="585"/>
      <c r="EP103" s="585"/>
      <c r="EQ103" s="585"/>
      <c r="ER103" s="585"/>
      <c r="ES103" s="585"/>
      <c r="ET103" s="585"/>
      <c r="EU103" s="585"/>
      <c r="EV103" s="585"/>
      <c r="EW103" s="585"/>
      <c r="EX103" s="585"/>
      <c r="EY103" s="585"/>
      <c r="EZ103" s="585"/>
      <c r="FA103" s="585"/>
      <c r="FB103" s="585"/>
      <c r="FC103" s="585"/>
      <c r="FD103" s="585"/>
      <c r="FE103" s="585"/>
      <c r="FF103" s="585"/>
      <c r="FG103" s="585"/>
      <c r="FH103" s="585"/>
      <c r="FI103" s="585"/>
      <c r="FJ103" s="585"/>
      <c r="FK103" s="585"/>
      <c r="FL103" s="585"/>
      <c r="FM103" s="585"/>
      <c r="FN103" s="585"/>
      <c r="FO103" s="585"/>
      <c r="FP103" s="585"/>
      <c r="FQ103" s="585"/>
      <c r="FR103" s="585"/>
      <c r="FS103" s="585"/>
      <c r="FT103" s="585"/>
      <c r="FU103" s="585"/>
      <c r="FV103" s="585"/>
      <c r="FW103" s="585"/>
      <c r="FX103" s="585"/>
      <c r="FY103" s="585"/>
      <c r="FZ103" s="585"/>
      <c r="GA103" s="585"/>
      <c r="GB103" s="585"/>
      <c r="GC103" s="585"/>
      <c r="GD103" s="585"/>
      <c r="GE103" s="585"/>
      <c r="GF103" s="585"/>
      <c r="GG103" s="585"/>
      <c r="GH103" s="585"/>
      <c r="GI103" s="585"/>
      <c r="GJ103" s="585"/>
      <c r="GK103" s="585"/>
      <c r="GL103" s="585"/>
      <c r="GM103" s="585"/>
      <c r="GN103" s="585"/>
      <c r="GO103" s="585"/>
      <c r="GP103" s="585"/>
      <c r="GQ103" s="585"/>
      <c r="GR103" s="585"/>
      <c r="GS103" s="585"/>
      <c r="GT103" s="585"/>
      <c r="GU103" s="585"/>
      <c r="GV103" s="585"/>
      <c r="GW103" s="585"/>
      <c r="GX103" s="585"/>
      <c r="GY103" s="585"/>
      <c r="GZ103" s="585"/>
      <c r="HA103" s="585"/>
      <c r="HB103" s="585"/>
      <c r="HC103" s="585"/>
      <c r="HD103" s="585"/>
      <c r="HE103" s="585"/>
      <c r="HF103" s="585"/>
      <c r="HG103" s="585"/>
      <c r="HH103" s="585"/>
      <c r="HI103" s="585"/>
      <c r="HJ103" s="585"/>
      <c r="HK103" s="585"/>
      <c r="HL103" s="585"/>
      <c r="HM103" s="585"/>
      <c r="HN103" s="585"/>
      <c r="HO103" s="585"/>
      <c r="HP103" s="585"/>
      <c r="HQ103" s="585"/>
      <c r="HR103" s="585"/>
      <c r="HS103" s="585"/>
      <c r="HT103" s="585"/>
      <c r="HU103" s="585"/>
      <c r="HV103" s="585"/>
      <c r="HW103" s="585"/>
      <c r="HX103" s="585"/>
      <c r="HY103" s="585"/>
      <c r="HZ103" s="585"/>
      <c r="IA103" s="585"/>
      <c r="IB103" s="585"/>
      <c r="IC103" s="585"/>
      <c r="ID103" s="585"/>
      <c r="IE103" s="585"/>
      <c r="IF103" s="585"/>
      <c r="IG103" s="585"/>
      <c r="IH103" s="585"/>
      <c r="II103" s="585"/>
      <c r="IJ103" s="585"/>
      <c r="IK103" s="585"/>
      <c r="IL103" s="585"/>
      <c r="IM103" s="585"/>
      <c r="IN103" s="585"/>
      <c r="IO103" s="585"/>
      <c r="IP103" s="585"/>
      <c r="IQ103" s="585"/>
      <c r="IR103" s="585"/>
      <c r="IS103" s="585"/>
      <c r="IT103" s="585"/>
      <c r="IU103" s="585"/>
      <c r="IV103" s="585"/>
      <c r="IW103" s="585"/>
      <c r="IX103" s="585"/>
      <c r="IY103" s="585"/>
      <c r="IZ103" s="585"/>
      <c r="JA103" s="585"/>
      <c r="JB103" s="585"/>
      <c r="JC103" s="585"/>
      <c r="JD103" s="585"/>
      <c r="JE103" s="585"/>
      <c r="JF103" s="585"/>
      <c r="JG103" s="585"/>
      <c r="JH103" s="585"/>
      <c r="JI103" s="585"/>
      <c r="JJ103" s="585"/>
      <c r="JK103" s="585"/>
      <c r="JL103" s="585"/>
      <c r="JM103" s="585"/>
      <c r="JN103" s="585"/>
      <c r="JO103" s="585"/>
      <c r="JP103" s="585"/>
      <c r="JQ103" s="585"/>
      <c r="JR103" s="585"/>
      <c r="JS103" s="585"/>
      <c r="JT103" s="585"/>
      <c r="JU103" s="585"/>
      <c r="JV103" s="585"/>
      <c r="JW103" s="585"/>
      <c r="JX103" s="585"/>
      <c r="JY103" s="585"/>
      <c r="JZ103" s="585"/>
      <c r="KA103" s="585"/>
      <c r="KB103" s="585"/>
      <c r="KC103" s="585"/>
      <c r="KD103" s="585"/>
      <c r="KE103" s="585"/>
      <c r="KF103" s="585"/>
      <c r="KG103" s="585"/>
      <c r="KH103" s="585"/>
      <c r="KI103" s="585"/>
      <c r="KJ103" s="585"/>
      <c r="KK103" s="585"/>
      <c r="KL103" s="585"/>
      <c r="KM103" s="585"/>
      <c r="KN103" s="585"/>
      <c r="KO103" s="585"/>
      <c r="KP103" s="585"/>
      <c r="KQ103" s="585"/>
      <c r="KR103" s="585"/>
      <c r="KS103" s="585"/>
      <c r="KT103" s="585"/>
      <c r="KU103" s="585"/>
      <c r="KV103" s="585"/>
      <c r="KW103" s="585"/>
      <c r="KX103" s="585"/>
      <c r="KY103" s="585"/>
      <c r="KZ103" s="585"/>
      <c r="LA103" s="585"/>
      <c r="LB103" s="585"/>
      <c r="LC103" s="585"/>
      <c r="LD103" s="585"/>
      <c r="LE103" s="585"/>
      <c r="LF103" s="585"/>
      <c r="LG103" s="585"/>
      <c r="LH103" s="585"/>
      <c r="LI103" s="585"/>
      <c r="LJ103" s="585"/>
      <c r="LK103" s="585"/>
      <c r="LL103" s="585"/>
      <c r="LM103" s="585"/>
      <c r="LN103" s="585"/>
      <c r="LO103" s="585"/>
      <c r="LP103" s="585"/>
      <c r="LQ103" s="585"/>
      <c r="LR103" s="585"/>
      <c r="LS103" s="585"/>
      <c r="LT103" s="585"/>
      <c r="LU103" s="585"/>
      <c r="LV103" s="585"/>
      <c r="LW103" s="585"/>
      <c r="LX103" s="585"/>
      <c r="LY103" s="585"/>
      <c r="LZ103" s="585"/>
      <c r="MA103" s="585"/>
      <c r="MB103" s="585"/>
      <c r="MC103" s="585"/>
      <c r="MD103" s="585"/>
      <c r="ME103" s="585"/>
      <c r="MF103" s="585"/>
      <c r="MG103" s="585"/>
      <c r="MH103" s="585"/>
      <c r="MI103" s="585"/>
      <c r="MJ103" s="585"/>
      <c r="MK103" s="585"/>
    </row>
    <row r="104" spans="1:349" s="600" customFormat="1" ht="15" customHeight="1" x14ac:dyDescent="0.35">
      <c r="A104" s="585">
        <f t="shared" si="149"/>
        <v>625</v>
      </c>
      <c r="B104" s="445" t="str">
        <f t="shared" si="95"/>
        <v>Residential_Income Qualified</v>
      </c>
      <c r="C104" s="445"/>
      <c r="D104" s="445">
        <v>625</v>
      </c>
      <c r="E104" s="445" t="s">
        <v>78</v>
      </c>
      <c r="F104" s="600" t="str">
        <f>VLOOKUP(G104,Sheet4!$D$6:$E$22,2,FALSE)</f>
        <v>Income Qualified</v>
      </c>
      <c r="G104" s="445" t="s">
        <v>1933</v>
      </c>
      <c r="H104" s="673" t="s">
        <v>40</v>
      </c>
      <c r="I104" s="232"/>
      <c r="J104" s="72" t="s">
        <v>3300</v>
      </c>
      <c r="K104" s="112" t="str">
        <f t="shared" si="166"/>
        <v>5.4.4</v>
      </c>
      <c r="L104" s="112" t="str">
        <f t="shared" si="166"/>
        <v>RS-HWE-LFFA-V06-180101</v>
      </c>
      <c r="M104" s="112">
        <f t="shared" si="166"/>
        <v>1</v>
      </c>
      <c r="O104" s="112" t="str">
        <f>O12</f>
        <v>Gas</v>
      </c>
      <c r="P104" s="7">
        <f>VLOOKUP(D104,'2018 Plan Data'!$A$4:$K$1000,11,FALSE)</f>
        <v>9</v>
      </c>
      <c r="Q104" s="652">
        <f>VLOOKUP(D104,'2018 Plan Data'!$A$4:$L$1000,12,FALSE)</f>
        <v>0</v>
      </c>
      <c r="R104" s="315"/>
      <c r="S104" s="315"/>
      <c r="T104" s="315"/>
      <c r="U104" s="314"/>
      <c r="V104" s="314">
        <f>'RES DHW'!W91</f>
        <v>0.67</v>
      </c>
      <c r="W104" s="314"/>
      <c r="X104" s="310">
        <v>0</v>
      </c>
      <c r="Y104" s="310">
        <v>0</v>
      </c>
      <c r="Z104" s="310">
        <v>0</v>
      </c>
      <c r="AA104" s="310">
        <v>0</v>
      </c>
      <c r="AB104" s="310">
        <v>0</v>
      </c>
      <c r="AC104" s="310">
        <v>0</v>
      </c>
      <c r="AD104" s="309">
        <v>1</v>
      </c>
      <c r="AE104" s="309">
        <v>1</v>
      </c>
      <c r="AF104" s="309">
        <v>1</v>
      </c>
      <c r="AG104" s="309">
        <v>1</v>
      </c>
      <c r="AH104" s="314">
        <f t="shared" si="150"/>
        <v>0</v>
      </c>
      <c r="AI104" s="314">
        <f t="shared" si="151"/>
        <v>0</v>
      </c>
      <c r="AJ104" s="314">
        <f t="shared" si="152"/>
        <v>0</v>
      </c>
      <c r="AK104" s="314">
        <f t="shared" si="153"/>
        <v>0</v>
      </c>
      <c r="AL104" s="309">
        <v>1</v>
      </c>
      <c r="AM104" s="309">
        <v>1</v>
      </c>
      <c r="AN104" s="309">
        <v>1</v>
      </c>
      <c r="AO104" s="309">
        <v>1</v>
      </c>
      <c r="AP104" s="446">
        <f t="shared" si="154"/>
        <v>0</v>
      </c>
      <c r="AQ104" s="446">
        <f t="shared" si="155"/>
        <v>0</v>
      </c>
      <c r="AR104" s="446">
        <f t="shared" si="156"/>
        <v>0</v>
      </c>
      <c r="AS104" s="446">
        <f t="shared" si="157"/>
        <v>0</v>
      </c>
      <c r="AT104" s="309">
        <v>1</v>
      </c>
      <c r="AU104" s="309">
        <v>1</v>
      </c>
      <c r="AV104" s="309">
        <v>1</v>
      </c>
      <c r="AW104" s="309">
        <v>1</v>
      </c>
      <c r="AX104" s="243">
        <f t="shared" si="143"/>
        <v>0.67</v>
      </c>
      <c r="AY104" s="243">
        <f t="shared" si="144"/>
        <v>0.67</v>
      </c>
      <c r="AZ104" s="243">
        <f t="shared" si="145"/>
        <v>0.67</v>
      </c>
      <c r="BA104" s="243">
        <f t="shared" si="146"/>
        <v>0.67</v>
      </c>
      <c r="BB104" s="243">
        <f>VLOOKUP($D104,'2018 Plan Data'!$A$4:$K$2000,6,FALSE)</f>
        <v>1663.1999999999998</v>
      </c>
      <c r="BC104" s="243">
        <f>VLOOKUP($D104,'2018 Plan Data'!$A$4:$K$2000,7,FALSE)</f>
        <v>1649.1999999999998</v>
      </c>
      <c r="BD104" s="243">
        <f>VLOOKUP($D104,'2018 Plan Data'!$A$4:$K$2000,8,FALSE)</f>
        <v>5593</v>
      </c>
      <c r="BE104" s="243">
        <f>VLOOKUP($D104,'2018 Plan Data'!$A$4:$K$2000,9,FALSE)</f>
        <v>3747.1</v>
      </c>
      <c r="BF104" s="243">
        <f t="shared" si="110"/>
        <v>0</v>
      </c>
      <c r="BG104" s="243">
        <f t="shared" si="111"/>
        <v>0</v>
      </c>
      <c r="BH104" s="243">
        <f t="shared" si="112"/>
        <v>0</v>
      </c>
      <c r="BI104" s="243">
        <f t="shared" si="113"/>
        <v>0</v>
      </c>
      <c r="BJ104" s="243">
        <f t="shared" si="114"/>
        <v>1114.3440000000001</v>
      </c>
      <c r="BK104" s="243">
        <f t="shared" si="115"/>
        <v>1104.9639999999999</v>
      </c>
      <c r="BL104" s="243">
        <f t="shared" si="116"/>
        <v>3747.3100000000004</v>
      </c>
      <c r="BM104" s="243">
        <f t="shared" si="117"/>
        <v>2510.5570000000002</v>
      </c>
      <c r="BN104" s="243">
        <f t="shared" si="158"/>
        <v>0</v>
      </c>
      <c r="BO104" s="243">
        <f t="shared" si="159"/>
        <v>0</v>
      </c>
      <c r="BP104" s="243">
        <f t="shared" si="160"/>
        <v>0</v>
      </c>
      <c r="BQ104" s="243">
        <f t="shared" si="161"/>
        <v>0</v>
      </c>
      <c r="BR104" s="243">
        <f t="shared" si="162"/>
        <v>1114.3440000000001</v>
      </c>
      <c r="BS104" s="243">
        <f t="shared" si="163"/>
        <v>1104.9639999999999</v>
      </c>
      <c r="BT104" s="243">
        <f t="shared" si="164"/>
        <v>3747.3100000000004</v>
      </c>
      <c r="BU104" s="243">
        <f t="shared" si="165"/>
        <v>2510.5570000000002</v>
      </c>
      <c r="BW104" s="314">
        <f>VLOOKUP($D104,'2018 Plan Data'!$A$4:$T$2000,13,FALSE)</f>
        <v>0</v>
      </c>
      <c r="BX104" s="314">
        <f>VLOOKUP($D104,'2018 Plan Data'!$A$4:$T$2000,14,FALSE)</f>
        <v>0</v>
      </c>
      <c r="BY104" s="314">
        <f>VLOOKUP($D104,'2018 Plan Data'!$A$4:$T$2000,15,FALSE)</f>
        <v>0</v>
      </c>
      <c r="BZ104" s="314">
        <f>VLOOKUP($D104,'2018 Plan Data'!$A$4:$T$2000,16,FALSE)</f>
        <v>0</v>
      </c>
      <c r="CA104" s="314">
        <f>VLOOKUP($D104,'2018 Plan Data'!$A$4:$T$2000,17,FALSE)</f>
        <v>582.11999999999989</v>
      </c>
      <c r="CB104" s="314">
        <f>VLOOKUP($D104,'2018 Plan Data'!$A$4:$T$2000,18,FALSE)</f>
        <v>577.21999999999991</v>
      </c>
      <c r="CC104" s="314">
        <f>VLOOKUP($D104,'2018 Plan Data'!$A$4:$T$2000,19,FALSE)</f>
        <v>1957.55</v>
      </c>
      <c r="CD104" s="314">
        <f>VLOOKUP($D104,'2018 Plan Data'!$A$4:$T$2000,20,FALSE)</f>
        <v>1311.4849999999999</v>
      </c>
      <c r="CE104" s="600" t="b">
        <f t="shared" si="126"/>
        <v>1</v>
      </c>
      <c r="CF104" s="600" t="b">
        <f t="shared" si="127"/>
        <v>1</v>
      </c>
      <c r="CG104" s="600" t="b">
        <f t="shared" si="128"/>
        <v>1</v>
      </c>
      <c r="CH104" s="600" t="b">
        <f t="shared" si="129"/>
        <v>1</v>
      </c>
      <c r="CI104" s="600" t="b">
        <f t="shared" si="130"/>
        <v>0</v>
      </c>
      <c r="CJ104" s="600" t="b">
        <f t="shared" si="131"/>
        <v>0</v>
      </c>
      <c r="CK104" s="600" t="b">
        <f t="shared" si="132"/>
        <v>0</v>
      </c>
      <c r="CL104" s="600" t="b">
        <f t="shared" si="133"/>
        <v>0</v>
      </c>
      <c r="CM104" s="585"/>
      <c r="CN104" s="585"/>
      <c r="CO104" s="585"/>
      <c r="CP104" s="585"/>
      <c r="CQ104" s="585"/>
      <c r="CR104" s="585"/>
      <c r="CS104" s="585"/>
      <c r="CT104" s="585"/>
      <c r="CU104" s="585"/>
      <c r="CV104" s="585"/>
      <c r="CW104" s="585"/>
      <c r="CX104" s="585"/>
      <c r="CY104" s="585"/>
      <c r="CZ104" s="585"/>
      <c r="DA104" s="585"/>
      <c r="DB104" s="585"/>
      <c r="DC104" s="585"/>
      <c r="DD104" s="585"/>
      <c r="DE104" s="585"/>
      <c r="DF104" s="585"/>
      <c r="DG104" s="585"/>
      <c r="DH104" s="585"/>
      <c r="DI104" s="585"/>
      <c r="DJ104" s="585"/>
      <c r="DK104" s="585"/>
      <c r="DL104" s="585"/>
      <c r="DM104" s="585"/>
      <c r="DN104" s="585"/>
      <c r="DO104" s="585"/>
      <c r="DP104" s="585"/>
      <c r="DQ104" s="585"/>
      <c r="DR104" s="585"/>
      <c r="DS104" s="585"/>
      <c r="DT104" s="585"/>
      <c r="DU104" s="585"/>
      <c r="DV104" s="585"/>
      <c r="DW104" s="585"/>
      <c r="DX104" s="585"/>
      <c r="DY104" s="585"/>
      <c r="DZ104" s="585"/>
      <c r="EA104" s="585"/>
      <c r="EB104" s="585"/>
      <c r="EC104" s="585"/>
      <c r="ED104" s="585"/>
      <c r="EE104" s="585"/>
      <c r="EF104" s="585"/>
      <c r="EG104" s="585"/>
      <c r="EH104" s="585"/>
      <c r="EI104" s="585"/>
      <c r="EJ104" s="585"/>
      <c r="EK104" s="585"/>
      <c r="EL104" s="585"/>
      <c r="EM104" s="585"/>
      <c r="EN104" s="585"/>
      <c r="EO104" s="585"/>
      <c r="EP104" s="585"/>
      <c r="EQ104" s="585"/>
      <c r="ER104" s="585"/>
      <c r="ES104" s="585"/>
      <c r="ET104" s="585"/>
      <c r="EU104" s="585"/>
      <c r="EV104" s="585"/>
      <c r="EW104" s="585"/>
      <c r="EX104" s="585"/>
      <c r="EY104" s="585"/>
      <c r="EZ104" s="585"/>
      <c r="FA104" s="585"/>
      <c r="FB104" s="585"/>
      <c r="FC104" s="585"/>
      <c r="FD104" s="585"/>
      <c r="FE104" s="585"/>
      <c r="FF104" s="585"/>
      <c r="FG104" s="585"/>
      <c r="FH104" s="585"/>
      <c r="FI104" s="585"/>
      <c r="FJ104" s="585"/>
      <c r="FK104" s="585"/>
      <c r="FL104" s="585"/>
      <c r="FM104" s="585"/>
      <c r="FN104" s="585"/>
      <c r="FO104" s="585"/>
      <c r="FP104" s="585"/>
      <c r="FQ104" s="585"/>
      <c r="FR104" s="585"/>
      <c r="FS104" s="585"/>
      <c r="FT104" s="585"/>
      <c r="FU104" s="585"/>
      <c r="FV104" s="585"/>
      <c r="FW104" s="585"/>
      <c r="FX104" s="585"/>
      <c r="FY104" s="585"/>
      <c r="FZ104" s="585"/>
      <c r="GA104" s="585"/>
      <c r="GB104" s="585"/>
      <c r="GC104" s="585"/>
      <c r="GD104" s="585"/>
      <c r="GE104" s="585"/>
      <c r="GF104" s="585"/>
      <c r="GG104" s="585"/>
      <c r="GH104" s="585"/>
      <c r="GI104" s="585"/>
      <c r="GJ104" s="585"/>
      <c r="GK104" s="585"/>
      <c r="GL104" s="585"/>
      <c r="GM104" s="585"/>
      <c r="GN104" s="585"/>
      <c r="GO104" s="585"/>
      <c r="GP104" s="585"/>
      <c r="GQ104" s="585"/>
      <c r="GR104" s="585"/>
      <c r="GS104" s="585"/>
      <c r="GT104" s="585"/>
      <c r="GU104" s="585"/>
      <c r="GV104" s="585"/>
      <c r="GW104" s="585"/>
      <c r="GX104" s="585"/>
      <c r="GY104" s="585"/>
      <c r="GZ104" s="585"/>
      <c r="HA104" s="585"/>
      <c r="HB104" s="585"/>
      <c r="HC104" s="585"/>
      <c r="HD104" s="585"/>
      <c r="HE104" s="585"/>
      <c r="HF104" s="585"/>
      <c r="HG104" s="585"/>
      <c r="HH104" s="585"/>
      <c r="HI104" s="585"/>
      <c r="HJ104" s="585"/>
      <c r="HK104" s="585"/>
      <c r="HL104" s="585"/>
      <c r="HM104" s="585"/>
      <c r="HN104" s="585"/>
      <c r="HO104" s="585"/>
      <c r="HP104" s="585"/>
      <c r="HQ104" s="585"/>
      <c r="HR104" s="585"/>
      <c r="HS104" s="585"/>
      <c r="HT104" s="585"/>
      <c r="HU104" s="585"/>
      <c r="HV104" s="585"/>
      <c r="HW104" s="585"/>
      <c r="HX104" s="585"/>
      <c r="HY104" s="585"/>
      <c r="HZ104" s="585"/>
      <c r="IA104" s="585"/>
      <c r="IB104" s="585"/>
      <c r="IC104" s="585"/>
      <c r="ID104" s="585"/>
      <c r="IE104" s="585"/>
      <c r="IF104" s="585"/>
      <c r="IG104" s="585"/>
      <c r="IH104" s="585"/>
      <c r="II104" s="585"/>
      <c r="IJ104" s="585"/>
      <c r="IK104" s="585"/>
      <c r="IL104" s="585"/>
      <c r="IM104" s="585"/>
      <c r="IN104" s="585"/>
      <c r="IO104" s="585"/>
      <c r="IP104" s="585"/>
      <c r="IQ104" s="585"/>
      <c r="IR104" s="585"/>
      <c r="IS104" s="585"/>
      <c r="IT104" s="585"/>
      <c r="IU104" s="585"/>
      <c r="IV104" s="585"/>
      <c r="IW104" s="585"/>
      <c r="IX104" s="585"/>
      <c r="IY104" s="585"/>
      <c r="IZ104" s="585"/>
      <c r="JA104" s="585"/>
      <c r="JB104" s="585"/>
      <c r="JC104" s="585"/>
      <c r="JD104" s="585"/>
      <c r="JE104" s="585"/>
      <c r="JF104" s="585"/>
      <c r="JG104" s="585"/>
      <c r="JH104" s="585"/>
      <c r="JI104" s="585"/>
      <c r="JJ104" s="585"/>
      <c r="JK104" s="585"/>
      <c r="JL104" s="585"/>
      <c r="JM104" s="585"/>
      <c r="JN104" s="585"/>
      <c r="JO104" s="585"/>
      <c r="JP104" s="585"/>
      <c r="JQ104" s="585"/>
      <c r="JR104" s="585"/>
      <c r="JS104" s="585"/>
      <c r="JT104" s="585"/>
      <c r="JU104" s="585"/>
      <c r="JV104" s="585"/>
      <c r="JW104" s="585"/>
      <c r="JX104" s="585"/>
      <c r="JY104" s="585"/>
      <c r="JZ104" s="585"/>
      <c r="KA104" s="585"/>
      <c r="KB104" s="585"/>
      <c r="KC104" s="585"/>
      <c r="KD104" s="585"/>
      <c r="KE104" s="585"/>
      <c r="KF104" s="585"/>
      <c r="KG104" s="585"/>
      <c r="KH104" s="585"/>
      <c r="KI104" s="585"/>
      <c r="KJ104" s="585"/>
      <c r="KK104" s="585"/>
      <c r="KL104" s="585"/>
      <c r="KM104" s="585"/>
      <c r="KN104" s="585"/>
      <c r="KO104" s="585"/>
      <c r="KP104" s="585"/>
      <c r="KQ104" s="585"/>
      <c r="KR104" s="585"/>
      <c r="KS104" s="585"/>
      <c r="KT104" s="585"/>
      <c r="KU104" s="585"/>
      <c r="KV104" s="585"/>
      <c r="KW104" s="585"/>
      <c r="KX104" s="585"/>
      <c r="KY104" s="585"/>
      <c r="KZ104" s="585"/>
      <c r="LA104" s="585"/>
      <c r="LB104" s="585"/>
      <c r="LC104" s="585"/>
      <c r="LD104" s="585"/>
      <c r="LE104" s="585"/>
      <c r="LF104" s="585"/>
      <c r="LG104" s="585"/>
      <c r="LH104" s="585"/>
      <c r="LI104" s="585"/>
      <c r="LJ104" s="585"/>
      <c r="LK104" s="585"/>
      <c r="LL104" s="585"/>
      <c r="LM104" s="585"/>
      <c r="LN104" s="585"/>
      <c r="LO104" s="585"/>
      <c r="LP104" s="585"/>
      <c r="LQ104" s="585"/>
      <c r="LR104" s="585"/>
      <c r="LS104" s="585"/>
      <c r="LT104" s="585"/>
      <c r="LU104" s="585"/>
      <c r="LV104" s="585"/>
      <c r="LW104" s="585"/>
      <c r="LX104" s="585"/>
      <c r="LY104" s="585"/>
      <c r="LZ104" s="585"/>
      <c r="MA104" s="585"/>
      <c r="MB104" s="585"/>
      <c r="MC104" s="585"/>
      <c r="MD104" s="585"/>
      <c r="ME104" s="585"/>
      <c r="MF104" s="585"/>
      <c r="MG104" s="585"/>
      <c r="MH104" s="585"/>
      <c r="MI104" s="585"/>
      <c r="MJ104" s="585"/>
      <c r="MK104" s="585"/>
    </row>
    <row r="105" spans="1:349" s="600" customFormat="1" ht="15" customHeight="1" x14ac:dyDescent="0.35">
      <c r="A105" s="585">
        <f t="shared" si="149"/>
        <v>627</v>
      </c>
      <c r="B105" s="445" t="str">
        <f t="shared" si="95"/>
        <v>Residential_Income Qualified</v>
      </c>
      <c r="C105" s="445"/>
      <c r="D105" s="445">
        <v>627</v>
      </c>
      <c r="E105" s="445" t="s">
        <v>78</v>
      </c>
      <c r="F105" s="600" t="str">
        <f>VLOOKUP(G105,Sheet4!$D$6:$E$22,2,FALSE)</f>
        <v>Income Qualified</v>
      </c>
      <c r="G105" s="445" t="s">
        <v>1933</v>
      </c>
      <c r="H105" s="673" t="s">
        <v>41</v>
      </c>
      <c r="I105" s="232"/>
      <c r="J105" s="72" t="s">
        <v>3300</v>
      </c>
      <c r="K105" s="112" t="str">
        <f t="shared" si="166"/>
        <v>5.4.4</v>
      </c>
      <c r="L105" s="112" t="str">
        <f t="shared" si="166"/>
        <v>RS-HWE-LFFA-V06-180101</v>
      </c>
      <c r="M105" s="112">
        <f t="shared" si="166"/>
        <v>1</v>
      </c>
      <c r="O105" s="112" t="str">
        <f>O13</f>
        <v>Gas</v>
      </c>
      <c r="P105" s="7">
        <f>VLOOKUP(D105,'2018 Plan Data'!$A$4:$K$1000,11,FALSE)</f>
        <v>9</v>
      </c>
      <c r="Q105" s="652">
        <f>VLOOKUP(D105,'2018 Plan Data'!$A$4:$L$1000,12,FALSE)</f>
        <v>0</v>
      </c>
      <c r="R105" s="315"/>
      <c r="S105" s="315"/>
      <c r="T105" s="315"/>
      <c r="U105" s="314"/>
      <c r="V105" s="314">
        <f>'RES DHW'!AC91</f>
        <v>4.9800000000000004</v>
      </c>
      <c r="W105" s="314"/>
      <c r="X105" s="310">
        <v>0</v>
      </c>
      <c r="Y105" s="310">
        <v>0</v>
      </c>
      <c r="Z105" s="310">
        <v>0</v>
      </c>
      <c r="AA105" s="310">
        <v>0</v>
      </c>
      <c r="AB105" s="310">
        <v>0</v>
      </c>
      <c r="AC105" s="310">
        <v>0</v>
      </c>
      <c r="AD105" s="309">
        <v>1</v>
      </c>
      <c r="AE105" s="309">
        <v>1</v>
      </c>
      <c r="AF105" s="309">
        <v>1</v>
      </c>
      <c r="AG105" s="309">
        <v>1</v>
      </c>
      <c r="AH105" s="314">
        <f t="shared" si="150"/>
        <v>0</v>
      </c>
      <c r="AI105" s="314">
        <f t="shared" si="151"/>
        <v>0</v>
      </c>
      <c r="AJ105" s="314">
        <f t="shared" si="152"/>
        <v>0</v>
      </c>
      <c r="AK105" s="314">
        <f t="shared" si="153"/>
        <v>0</v>
      </c>
      <c r="AL105" s="309">
        <v>1</v>
      </c>
      <c r="AM105" s="309">
        <v>1</v>
      </c>
      <c r="AN105" s="309">
        <v>1</v>
      </c>
      <c r="AO105" s="309">
        <v>1</v>
      </c>
      <c r="AP105" s="446">
        <f t="shared" si="154"/>
        <v>0</v>
      </c>
      <c r="AQ105" s="446">
        <f t="shared" si="155"/>
        <v>0</v>
      </c>
      <c r="AR105" s="446">
        <f t="shared" si="156"/>
        <v>0</v>
      </c>
      <c r="AS105" s="446">
        <f t="shared" si="157"/>
        <v>0</v>
      </c>
      <c r="AT105" s="309">
        <v>1</v>
      </c>
      <c r="AU105" s="309">
        <v>1</v>
      </c>
      <c r="AV105" s="309">
        <v>1</v>
      </c>
      <c r="AW105" s="309">
        <v>1</v>
      </c>
      <c r="AX105" s="243">
        <f t="shared" si="143"/>
        <v>4.9800000000000004</v>
      </c>
      <c r="AY105" s="243">
        <f t="shared" si="144"/>
        <v>4.9800000000000004</v>
      </c>
      <c r="AZ105" s="243">
        <f t="shared" si="145"/>
        <v>4.9800000000000004</v>
      </c>
      <c r="BA105" s="243">
        <f t="shared" si="146"/>
        <v>4.9800000000000004</v>
      </c>
      <c r="BB105" s="243">
        <f>VLOOKUP($D105,'2018 Plan Data'!$A$4:$K$2000,6,FALSE)</f>
        <v>1663.1999999999998</v>
      </c>
      <c r="BC105" s="243">
        <f>VLOOKUP($D105,'2018 Plan Data'!$A$4:$K$2000,7,FALSE)</f>
        <v>1649.1999999999998</v>
      </c>
      <c r="BD105" s="243">
        <f>VLOOKUP($D105,'2018 Plan Data'!$A$4:$K$2000,8,FALSE)</f>
        <v>5593</v>
      </c>
      <c r="BE105" s="243">
        <f>VLOOKUP($D105,'2018 Plan Data'!$A$4:$K$2000,9,FALSE)</f>
        <v>3747.1</v>
      </c>
      <c r="BF105" s="243">
        <f t="shared" si="110"/>
        <v>0</v>
      </c>
      <c r="BG105" s="243">
        <f t="shared" si="111"/>
        <v>0</v>
      </c>
      <c r="BH105" s="243">
        <f t="shared" si="112"/>
        <v>0</v>
      </c>
      <c r="BI105" s="243">
        <f t="shared" si="113"/>
        <v>0</v>
      </c>
      <c r="BJ105" s="243">
        <f t="shared" si="114"/>
        <v>8282.735999999999</v>
      </c>
      <c r="BK105" s="243">
        <f t="shared" si="115"/>
        <v>8213.0159999999996</v>
      </c>
      <c r="BL105" s="243">
        <f t="shared" si="116"/>
        <v>27853.140000000003</v>
      </c>
      <c r="BM105" s="243">
        <f t="shared" si="117"/>
        <v>18660.558000000001</v>
      </c>
      <c r="BN105" s="243">
        <f t="shared" si="158"/>
        <v>0</v>
      </c>
      <c r="BO105" s="243">
        <f t="shared" si="159"/>
        <v>0</v>
      </c>
      <c r="BP105" s="243">
        <f t="shared" si="160"/>
        <v>0</v>
      </c>
      <c r="BQ105" s="243">
        <f t="shared" si="161"/>
        <v>0</v>
      </c>
      <c r="BR105" s="243">
        <f t="shared" si="162"/>
        <v>8282.735999999999</v>
      </c>
      <c r="BS105" s="243">
        <f t="shared" si="163"/>
        <v>8213.0159999999996</v>
      </c>
      <c r="BT105" s="243">
        <f t="shared" si="164"/>
        <v>27853.140000000003</v>
      </c>
      <c r="BU105" s="243">
        <f t="shared" si="165"/>
        <v>18660.558000000001</v>
      </c>
      <c r="BW105" s="314">
        <f>VLOOKUP($D105,'2018 Plan Data'!$A$4:$T$2000,13,FALSE)</f>
        <v>0</v>
      </c>
      <c r="BX105" s="314">
        <f>VLOOKUP($D105,'2018 Plan Data'!$A$4:$T$2000,14,FALSE)</f>
        <v>0</v>
      </c>
      <c r="BY105" s="314">
        <f>VLOOKUP($D105,'2018 Plan Data'!$A$4:$T$2000,15,FALSE)</f>
        <v>0</v>
      </c>
      <c r="BZ105" s="314">
        <f>VLOOKUP($D105,'2018 Plan Data'!$A$4:$T$2000,16,FALSE)</f>
        <v>0</v>
      </c>
      <c r="CA105" s="314">
        <f>VLOOKUP($D105,'2018 Plan Data'!$A$4:$T$2000,17,FALSE)</f>
        <v>4008.3119999999999</v>
      </c>
      <c r="CB105" s="314">
        <f>VLOOKUP($D105,'2018 Plan Data'!$A$4:$T$2000,18,FALSE)</f>
        <v>3974.5719999999997</v>
      </c>
      <c r="CC105" s="314">
        <f>VLOOKUP($D105,'2018 Plan Data'!$A$4:$T$2000,19,FALSE)</f>
        <v>13479.130000000001</v>
      </c>
      <c r="CD105" s="314">
        <f>VLOOKUP($D105,'2018 Plan Data'!$A$4:$T$2000,20,FALSE)</f>
        <v>9030.5110000000004</v>
      </c>
      <c r="CE105" s="600" t="b">
        <f t="shared" si="126"/>
        <v>1</v>
      </c>
      <c r="CF105" s="600" t="b">
        <f t="shared" si="127"/>
        <v>1</v>
      </c>
      <c r="CG105" s="600" t="b">
        <f t="shared" si="128"/>
        <v>1</v>
      </c>
      <c r="CH105" s="600" t="b">
        <f t="shared" si="129"/>
        <v>1</v>
      </c>
      <c r="CI105" s="600" t="b">
        <f t="shared" si="130"/>
        <v>0</v>
      </c>
      <c r="CJ105" s="600" t="b">
        <f t="shared" si="131"/>
        <v>0</v>
      </c>
      <c r="CK105" s="600" t="b">
        <f t="shared" si="132"/>
        <v>0</v>
      </c>
      <c r="CL105" s="600" t="b">
        <f t="shared" si="133"/>
        <v>0</v>
      </c>
      <c r="CM105" s="585"/>
      <c r="CN105" s="585"/>
      <c r="CO105" s="585"/>
      <c r="CP105" s="585"/>
      <c r="CQ105" s="585"/>
      <c r="CR105" s="585"/>
      <c r="CS105" s="585"/>
      <c r="CT105" s="585"/>
      <c r="CU105" s="585"/>
      <c r="CV105" s="585"/>
      <c r="CW105" s="585"/>
      <c r="CX105" s="585"/>
      <c r="CY105" s="585"/>
      <c r="CZ105" s="585"/>
      <c r="DA105" s="585"/>
      <c r="DB105" s="585"/>
      <c r="DC105" s="585"/>
      <c r="DD105" s="585"/>
      <c r="DE105" s="585"/>
      <c r="DF105" s="585"/>
      <c r="DG105" s="585"/>
      <c r="DH105" s="585"/>
      <c r="DI105" s="585"/>
      <c r="DJ105" s="585"/>
      <c r="DK105" s="585"/>
      <c r="DL105" s="585"/>
      <c r="DM105" s="585"/>
      <c r="DN105" s="585"/>
      <c r="DO105" s="585"/>
      <c r="DP105" s="585"/>
      <c r="DQ105" s="585"/>
      <c r="DR105" s="585"/>
      <c r="DS105" s="585"/>
      <c r="DT105" s="585"/>
      <c r="DU105" s="585"/>
      <c r="DV105" s="585"/>
      <c r="DW105" s="585"/>
      <c r="DX105" s="585"/>
      <c r="DY105" s="585"/>
      <c r="DZ105" s="585"/>
      <c r="EA105" s="585"/>
      <c r="EB105" s="585"/>
      <c r="EC105" s="585"/>
      <c r="ED105" s="585"/>
      <c r="EE105" s="585"/>
      <c r="EF105" s="585"/>
      <c r="EG105" s="585"/>
      <c r="EH105" s="585"/>
      <c r="EI105" s="585"/>
      <c r="EJ105" s="585"/>
      <c r="EK105" s="585"/>
      <c r="EL105" s="585"/>
      <c r="EM105" s="585"/>
      <c r="EN105" s="585"/>
      <c r="EO105" s="585"/>
      <c r="EP105" s="585"/>
      <c r="EQ105" s="585"/>
      <c r="ER105" s="585"/>
      <c r="ES105" s="585"/>
      <c r="ET105" s="585"/>
      <c r="EU105" s="585"/>
      <c r="EV105" s="585"/>
      <c r="EW105" s="585"/>
      <c r="EX105" s="585"/>
      <c r="EY105" s="585"/>
      <c r="EZ105" s="585"/>
      <c r="FA105" s="585"/>
      <c r="FB105" s="585"/>
      <c r="FC105" s="585"/>
      <c r="FD105" s="585"/>
      <c r="FE105" s="585"/>
      <c r="FF105" s="585"/>
      <c r="FG105" s="585"/>
      <c r="FH105" s="585"/>
      <c r="FI105" s="585"/>
      <c r="FJ105" s="585"/>
      <c r="FK105" s="585"/>
      <c r="FL105" s="585"/>
      <c r="FM105" s="585"/>
      <c r="FN105" s="585"/>
      <c r="FO105" s="585"/>
      <c r="FP105" s="585"/>
      <c r="FQ105" s="585"/>
      <c r="FR105" s="585"/>
      <c r="FS105" s="585"/>
      <c r="FT105" s="585"/>
      <c r="FU105" s="585"/>
      <c r="FV105" s="585"/>
      <c r="FW105" s="585"/>
      <c r="FX105" s="585"/>
      <c r="FY105" s="585"/>
      <c r="FZ105" s="585"/>
      <c r="GA105" s="585"/>
      <c r="GB105" s="585"/>
      <c r="GC105" s="585"/>
      <c r="GD105" s="585"/>
      <c r="GE105" s="585"/>
      <c r="GF105" s="585"/>
      <c r="GG105" s="585"/>
      <c r="GH105" s="585"/>
      <c r="GI105" s="585"/>
      <c r="GJ105" s="585"/>
      <c r="GK105" s="585"/>
      <c r="GL105" s="585"/>
      <c r="GM105" s="585"/>
      <c r="GN105" s="585"/>
      <c r="GO105" s="585"/>
      <c r="GP105" s="585"/>
      <c r="GQ105" s="585"/>
      <c r="GR105" s="585"/>
      <c r="GS105" s="585"/>
      <c r="GT105" s="585"/>
      <c r="GU105" s="585"/>
      <c r="GV105" s="585"/>
      <c r="GW105" s="585"/>
      <c r="GX105" s="585"/>
      <c r="GY105" s="585"/>
      <c r="GZ105" s="585"/>
      <c r="HA105" s="585"/>
      <c r="HB105" s="585"/>
      <c r="HC105" s="585"/>
      <c r="HD105" s="585"/>
      <c r="HE105" s="585"/>
      <c r="HF105" s="585"/>
      <c r="HG105" s="585"/>
      <c r="HH105" s="585"/>
      <c r="HI105" s="585"/>
      <c r="HJ105" s="585"/>
      <c r="HK105" s="585"/>
      <c r="HL105" s="585"/>
      <c r="HM105" s="585"/>
      <c r="HN105" s="585"/>
      <c r="HO105" s="585"/>
      <c r="HP105" s="585"/>
      <c r="HQ105" s="585"/>
      <c r="HR105" s="585"/>
      <c r="HS105" s="585"/>
      <c r="HT105" s="585"/>
      <c r="HU105" s="585"/>
      <c r="HV105" s="585"/>
      <c r="HW105" s="585"/>
      <c r="HX105" s="585"/>
      <c r="HY105" s="585"/>
      <c r="HZ105" s="585"/>
      <c r="IA105" s="585"/>
      <c r="IB105" s="585"/>
      <c r="IC105" s="585"/>
      <c r="ID105" s="585"/>
      <c r="IE105" s="585"/>
      <c r="IF105" s="585"/>
      <c r="IG105" s="585"/>
      <c r="IH105" s="585"/>
      <c r="II105" s="585"/>
      <c r="IJ105" s="585"/>
      <c r="IK105" s="585"/>
      <c r="IL105" s="585"/>
      <c r="IM105" s="585"/>
      <c r="IN105" s="585"/>
      <c r="IO105" s="585"/>
      <c r="IP105" s="585"/>
      <c r="IQ105" s="585"/>
      <c r="IR105" s="585"/>
      <c r="IS105" s="585"/>
      <c r="IT105" s="585"/>
      <c r="IU105" s="585"/>
      <c r="IV105" s="585"/>
      <c r="IW105" s="585"/>
      <c r="IX105" s="585"/>
      <c r="IY105" s="585"/>
      <c r="IZ105" s="585"/>
      <c r="JA105" s="585"/>
      <c r="JB105" s="585"/>
      <c r="JC105" s="585"/>
      <c r="JD105" s="585"/>
      <c r="JE105" s="585"/>
      <c r="JF105" s="585"/>
      <c r="JG105" s="585"/>
      <c r="JH105" s="585"/>
      <c r="JI105" s="585"/>
      <c r="JJ105" s="585"/>
      <c r="JK105" s="585"/>
      <c r="JL105" s="585"/>
      <c r="JM105" s="585"/>
      <c r="JN105" s="585"/>
      <c r="JO105" s="585"/>
      <c r="JP105" s="585"/>
      <c r="JQ105" s="585"/>
      <c r="JR105" s="585"/>
      <c r="JS105" s="585"/>
      <c r="JT105" s="585"/>
      <c r="JU105" s="585"/>
      <c r="JV105" s="585"/>
      <c r="JW105" s="585"/>
      <c r="JX105" s="585"/>
      <c r="JY105" s="585"/>
      <c r="JZ105" s="585"/>
      <c r="KA105" s="585"/>
      <c r="KB105" s="585"/>
      <c r="KC105" s="585"/>
      <c r="KD105" s="585"/>
      <c r="KE105" s="585"/>
      <c r="KF105" s="585"/>
      <c r="KG105" s="585"/>
      <c r="KH105" s="585"/>
      <c r="KI105" s="585"/>
      <c r="KJ105" s="585"/>
      <c r="KK105" s="585"/>
      <c r="KL105" s="585"/>
      <c r="KM105" s="585"/>
      <c r="KN105" s="585"/>
      <c r="KO105" s="585"/>
      <c r="KP105" s="585"/>
      <c r="KQ105" s="585"/>
      <c r="KR105" s="585"/>
      <c r="KS105" s="585"/>
      <c r="KT105" s="585"/>
      <c r="KU105" s="585"/>
      <c r="KV105" s="585"/>
      <c r="KW105" s="585"/>
      <c r="KX105" s="585"/>
      <c r="KY105" s="585"/>
      <c r="KZ105" s="585"/>
      <c r="LA105" s="585"/>
      <c r="LB105" s="585"/>
      <c r="LC105" s="585"/>
      <c r="LD105" s="585"/>
      <c r="LE105" s="585"/>
      <c r="LF105" s="585"/>
      <c r="LG105" s="585"/>
      <c r="LH105" s="585"/>
      <c r="LI105" s="585"/>
      <c r="LJ105" s="585"/>
      <c r="LK105" s="585"/>
      <c r="LL105" s="585"/>
      <c r="LM105" s="585"/>
      <c r="LN105" s="585"/>
      <c r="LO105" s="585"/>
      <c r="LP105" s="585"/>
      <c r="LQ105" s="585"/>
      <c r="LR105" s="585"/>
      <c r="LS105" s="585"/>
      <c r="LT105" s="585"/>
      <c r="LU105" s="585"/>
      <c r="LV105" s="585"/>
      <c r="LW105" s="585"/>
      <c r="LX105" s="585"/>
      <c r="LY105" s="585"/>
      <c r="LZ105" s="585"/>
      <c r="MA105" s="585"/>
      <c r="MB105" s="585"/>
      <c r="MC105" s="585"/>
      <c r="MD105" s="585"/>
      <c r="ME105" s="585"/>
      <c r="MF105" s="585"/>
      <c r="MG105" s="585"/>
      <c r="MH105" s="585"/>
      <c r="MI105" s="585"/>
      <c r="MJ105" s="585"/>
      <c r="MK105" s="585"/>
    </row>
    <row r="106" spans="1:349" s="600" customFormat="1" ht="15" customHeight="1" x14ac:dyDescent="0.35">
      <c r="A106" s="585">
        <f t="shared" si="149"/>
        <v>632</v>
      </c>
      <c r="B106" s="445" t="str">
        <f t="shared" si="95"/>
        <v>Residential_Income Qualified</v>
      </c>
      <c r="C106" s="445"/>
      <c r="D106" s="445">
        <v>632</v>
      </c>
      <c r="E106" s="445" t="s">
        <v>78</v>
      </c>
      <c r="F106" s="600" t="str">
        <f>VLOOKUP(G106,Sheet4!$D$6:$E$22,2,FALSE)</f>
        <v>Income Qualified</v>
      </c>
      <c r="G106" s="445" t="s">
        <v>1933</v>
      </c>
      <c r="H106" s="673" t="s">
        <v>42</v>
      </c>
      <c r="I106" s="232"/>
      <c r="J106" s="72" t="s">
        <v>3300</v>
      </c>
      <c r="K106" s="112" t="str">
        <f t="shared" si="166"/>
        <v>5.4.6</v>
      </c>
      <c r="L106" s="112" t="str">
        <f t="shared" si="166"/>
        <v>RS-HWE-TMPS-V05-160601</v>
      </c>
      <c r="M106" s="112">
        <f t="shared" si="166"/>
        <v>1</v>
      </c>
      <c r="O106" s="112" t="str">
        <f>O14</f>
        <v>Gas</v>
      </c>
      <c r="P106" s="7">
        <f>VLOOKUP(D106,'2018 Plan Data'!$A$4:$K$1000,11,FALSE)</f>
        <v>2</v>
      </c>
      <c r="Q106" s="652">
        <f>VLOOKUP(D106,'2018 Plan Data'!$A$4:$L$1000,12,FALSE)</f>
        <v>0</v>
      </c>
      <c r="R106" s="315"/>
      <c r="S106" s="315"/>
      <c r="T106" s="315"/>
      <c r="U106" s="314"/>
      <c r="V106" s="2805">
        <f>'RES DHW'!C124</f>
        <v>0.32433188538461538</v>
      </c>
      <c r="W106" s="314"/>
      <c r="X106" s="310">
        <v>0</v>
      </c>
      <c r="Y106" s="310">
        <v>0</v>
      </c>
      <c r="Z106" s="310">
        <v>0</v>
      </c>
      <c r="AA106" s="310">
        <v>0</v>
      </c>
      <c r="AB106" s="310">
        <v>0</v>
      </c>
      <c r="AC106" s="310">
        <v>0</v>
      </c>
      <c r="AD106" s="309">
        <v>1</v>
      </c>
      <c r="AE106" s="309">
        <v>1</v>
      </c>
      <c r="AF106" s="309">
        <v>1</v>
      </c>
      <c r="AG106" s="309">
        <v>1</v>
      </c>
      <c r="AH106" s="314">
        <f t="shared" si="150"/>
        <v>0</v>
      </c>
      <c r="AI106" s="314">
        <f t="shared" si="151"/>
        <v>0</v>
      </c>
      <c r="AJ106" s="314">
        <f t="shared" si="152"/>
        <v>0</v>
      </c>
      <c r="AK106" s="314">
        <f t="shared" si="153"/>
        <v>0</v>
      </c>
      <c r="AL106" s="309">
        <v>1</v>
      </c>
      <c r="AM106" s="309">
        <v>1</v>
      </c>
      <c r="AN106" s="309">
        <v>1</v>
      </c>
      <c r="AO106" s="309">
        <v>1</v>
      </c>
      <c r="AP106" s="446">
        <f t="shared" si="154"/>
        <v>0</v>
      </c>
      <c r="AQ106" s="446">
        <f t="shared" si="155"/>
        <v>0</v>
      </c>
      <c r="AR106" s="446">
        <f t="shared" si="156"/>
        <v>0</v>
      </c>
      <c r="AS106" s="446">
        <f t="shared" si="157"/>
        <v>0</v>
      </c>
      <c r="AT106" s="309">
        <v>1</v>
      </c>
      <c r="AU106" s="309">
        <v>1</v>
      </c>
      <c r="AV106" s="309">
        <v>1</v>
      </c>
      <c r="AW106" s="309">
        <v>1</v>
      </c>
      <c r="AX106" s="243">
        <f t="shared" si="143"/>
        <v>0.32433188538461538</v>
      </c>
      <c r="AY106" s="243">
        <f t="shared" si="144"/>
        <v>0.32433188538461538</v>
      </c>
      <c r="AZ106" s="243">
        <f t="shared" si="145"/>
        <v>0.32433188538461538</v>
      </c>
      <c r="BA106" s="243">
        <f t="shared" si="146"/>
        <v>0.32433188538461538</v>
      </c>
      <c r="BB106" s="243">
        <f>VLOOKUP($D106,'2018 Plan Data'!$A$4:$K$2000,6,FALSE)</f>
        <v>1663.1999999999998</v>
      </c>
      <c r="BC106" s="243">
        <f>VLOOKUP($D106,'2018 Plan Data'!$A$4:$K$2000,7,FALSE)</f>
        <v>1649.1999999999998</v>
      </c>
      <c r="BD106" s="243">
        <f>VLOOKUP($D106,'2018 Plan Data'!$A$4:$K$2000,8,FALSE)</f>
        <v>5593</v>
      </c>
      <c r="BE106" s="243">
        <f>VLOOKUP($D106,'2018 Plan Data'!$A$4:$K$2000,9,FALSE)</f>
        <v>3747.1</v>
      </c>
      <c r="BF106" s="243">
        <f t="shared" si="110"/>
        <v>0</v>
      </c>
      <c r="BG106" s="243">
        <f t="shared" si="111"/>
        <v>0</v>
      </c>
      <c r="BH106" s="243">
        <f t="shared" si="112"/>
        <v>0</v>
      </c>
      <c r="BI106" s="243">
        <f t="shared" si="113"/>
        <v>0</v>
      </c>
      <c r="BJ106" s="243">
        <f t="shared" si="114"/>
        <v>539.4287917716922</v>
      </c>
      <c r="BK106" s="243">
        <f t="shared" si="115"/>
        <v>534.88814537630765</v>
      </c>
      <c r="BL106" s="243">
        <f t="shared" si="116"/>
        <v>1813.9882349561537</v>
      </c>
      <c r="BM106" s="243">
        <f t="shared" si="117"/>
        <v>1215.3040077246922</v>
      </c>
      <c r="BN106" s="243">
        <f t="shared" si="158"/>
        <v>0</v>
      </c>
      <c r="BO106" s="243">
        <f t="shared" si="159"/>
        <v>0</v>
      </c>
      <c r="BP106" s="243">
        <f t="shared" si="160"/>
        <v>0</v>
      </c>
      <c r="BQ106" s="243">
        <f t="shared" si="161"/>
        <v>0</v>
      </c>
      <c r="BR106" s="243">
        <f t="shared" si="162"/>
        <v>539.4287917716922</v>
      </c>
      <c r="BS106" s="243">
        <f t="shared" si="163"/>
        <v>534.88814537630765</v>
      </c>
      <c r="BT106" s="243">
        <f t="shared" si="164"/>
        <v>1813.9882349561537</v>
      </c>
      <c r="BU106" s="243">
        <f t="shared" si="165"/>
        <v>1215.3040077246922</v>
      </c>
      <c r="BW106" s="314">
        <f>VLOOKUP($D106,'2018 Plan Data'!$A$4:$T$2000,13,FALSE)</f>
        <v>0</v>
      </c>
      <c r="BX106" s="314">
        <f>VLOOKUP($D106,'2018 Plan Data'!$A$4:$T$2000,14,FALSE)</f>
        <v>0</v>
      </c>
      <c r="BY106" s="314">
        <f>VLOOKUP($D106,'2018 Plan Data'!$A$4:$T$2000,15,FALSE)</f>
        <v>0</v>
      </c>
      <c r="BZ106" s="314">
        <f>VLOOKUP($D106,'2018 Plan Data'!$A$4:$T$2000,16,FALSE)</f>
        <v>0</v>
      </c>
      <c r="CA106" s="314">
        <f>VLOOKUP($D106,'2018 Plan Data'!$A$4:$T$2000,17,FALSE)</f>
        <v>2686.3553830230271</v>
      </c>
      <c r="CB106" s="314">
        <f>VLOOKUP($D106,'2018 Plan Data'!$A$4:$T$2000,18,FALSE)</f>
        <v>2663.7429639740117</v>
      </c>
      <c r="CC106" s="314">
        <f>VLOOKUP($D106,'2018 Plan Data'!$A$4:$T$2000,19,FALSE)</f>
        <v>9033.661410081646</v>
      </c>
      <c r="CD106" s="314">
        <f>VLOOKUP($D106,'2018 Plan Data'!$A$4:$T$2000,20,FALSE)</f>
        <v>6052.2139584689667</v>
      </c>
      <c r="CE106" s="600" t="b">
        <f t="shared" si="126"/>
        <v>1</v>
      </c>
      <c r="CF106" s="600" t="b">
        <f t="shared" si="127"/>
        <v>1</v>
      </c>
      <c r="CG106" s="600" t="b">
        <f t="shared" si="128"/>
        <v>1</v>
      </c>
      <c r="CH106" s="600" t="b">
        <f t="shared" si="129"/>
        <v>1</v>
      </c>
      <c r="CI106" s="600" t="b">
        <f t="shared" si="130"/>
        <v>0</v>
      </c>
      <c r="CJ106" s="600" t="b">
        <f t="shared" si="131"/>
        <v>0</v>
      </c>
      <c r="CK106" s="600" t="b">
        <f t="shared" si="132"/>
        <v>0</v>
      </c>
      <c r="CL106" s="600" t="b">
        <f t="shared" si="133"/>
        <v>0</v>
      </c>
      <c r="CM106" s="585"/>
      <c r="CN106" s="585"/>
      <c r="CO106" s="585"/>
      <c r="CP106" s="585"/>
      <c r="CQ106" s="585"/>
      <c r="CR106" s="585"/>
      <c r="CS106" s="585"/>
      <c r="CT106" s="585"/>
      <c r="CU106" s="585"/>
      <c r="CV106" s="585"/>
      <c r="CW106" s="585"/>
      <c r="CX106" s="585"/>
      <c r="CY106" s="585"/>
      <c r="CZ106" s="585"/>
      <c r="DA106" s="585"/>
      <c r="DB106" s="585"/>
      <c r="DC106" s="585"/>
      <c r="DD106" s="585"/>
      <c r="DE106" s="585"/>
      <c r="DF106" s="585"/>
      <c r="DG106" s="585"/>
      <c r="DH106" s="585"/>
      <c r="DI106" s="585"/>
      <c r="DJ106" s="585"/>
      <c r="DK106" s="585"/>
      <c r="DL106" s="585"/>
      <c r="DM106" s="585"/>
      <c r="DN106" s="585"/>
      <c r="DO106" s="585"/>
      <c r="DP106" s="585"/>
      <c r="DQ106" s="585"/>
      <c r="DR106" s="585"/>
      <c r="DS106" s="585"/>
      <c r="DT106" s="585"/>
      <c r="DU106" s="585"/>
      <c r="DV106" s="585"/>
      <c r="DW106" s="585"/>
      <c r="DX106" s="585"/>
      <c r="DY106" s="585"/>
      <c r="DZ106" s="585"/>
      <c r="EA106" s="585"/>
      <c r="EB106" s="585"/>
      <c r="EC106" s="585"/>
      <c r="ED106" s="585"/>
      <c r="EE106" s="585"/>
      <c r="EF106" s="585"/>
      <c r="EG106" s="585"/>
      <c r="EH106" s="585"/>
      <c r="EI106" s="585"/>
      <c r="EJ106" s="585"/>
      <c r="EK106" s="585"/>
      <c r="EL106" s="585"/>
      <c r="EM106" s="585"/>
      <c r="EN106" s="585"/>
      <c r="EO106" s="585"/>
      <c r="EP106" s="585"/>
      <c r="EQ106" s="585"/>
      <c r="ER106" s="585"/>
      <c r="ES106" s="585"/>
      <c r="ET106" s="585"/>
      <c r="EU106" s="585"/>
      <c r="EV106" s="585"/>
      <c r="EW106" s="585"/>
      <c r="EX106" s="585"/>
      <c r="EY106" s="585"/>
      <c r="EZ106" s="585"/>
      <c r="FA106" s="585"/>
      <c r="FB106" s="585"/>
      <c r="FC106" s="585"/>
      <c r="FD106" s="585"/>
      <c r="FE106" s="585"/>
      <c r="FF106" s="585"/>
      <c r="FG106" s="585"/>
      <c r="FH106" s="585"/>
      <c r="FI106" s="585"/>
      <c r="FJ106" s="585"/>
      <c r="FK106" s="585"/>
      <c r="FL106" s="585"/>
      <c r="FM106" s="585"/>
      <c r="FN106" s="585"/>
      <c r="FO106" s="585"/>
      <c r="FP106" s="585"/>
      <c r="FQ106" s="585"/>
      <c r="FR106" s="585"/>
      <c r="FS106" s="585"/>
      <c r="FT106" s="585"/>
      <c r="FU106" s="585"/>
      <c r="FV106" s="585"/>
      <c r="FW106" s="585"/>
      <c r="FX106" s="585"/>
      <c r="FY106" s="585"/>
      <c r="FZ106" s="585"/>
      <c r="GA106" s="585"/>
      <c r="GB106" s="585"/>
      <c r="GC106" s="585"/>
      <c r="GD106" s="585"/>
      <c r="GE106" s="585"/>
      <c r="GF106" s="585"/>
      <c r="GG106" s="585"/>
      <c r="GH106" s="585"/>
      <c r="GI106" s="585"/>
      <c r="GJ106" s="585"/>
      <c r="GK106" s="585"/>
      <c r="GL106" s="585"/>
      <c r="GM106" s="585"/>
      <c r="GN106" s="585"/>
      <c r="GO106" s="585"/>
      <c r="GP106" s="585"/>
      <c r="GQ106" s="585"/>
      <c r="GR106" s="585"/>
      <c r="GS106" s="585"/>
      <c r="GT106" s="585"/>
      <c r="GU106" s="585"/>
      <c r="GV106" s="585"/>
      <c r="GW106" s="585"/>
      <c r="GX106" s="585"/>
      <c r="GY106" s="585"/>
      <c r="GZ106" s="585"/>
      <c r="HA106" s="585"/>
      <c r="HB106" s="585"/>
      <c r="HC106" s="585"/>
      <c r="HD106" s="585"/>
      <c r="HE106" s="585"/>
      <c r="HF106" s="585"/>
      <c r="HG106" s="585"/>
      <c r="HH106" s="585"/>
      <c r="HI106" s="585"/>
      <c r="HJ106" s="585"/>
      <c r="HK106" s="585"/>
      <c r="HL106" s="585"/>
      <c r="HM106" s="585"/>
      <c r="HN106" s="585"/>
      <c r="HO106" s="585"/>
      <c r="HP106" s="585"/>
      <c r="HQ106" s="585"/>
      <c r="HR106" s="585"/>
      <c r="HS106" s="585"/>
      <c r="HT106" s="585"/>
      <c r="HU106" s="585"/>
      <c r="HV106" s="585"/>
      <c r="HW106" s="585"/>
      <c r="HX106" s="585"/>
      <c r="HY106" s="585"/>
      <c r="HZ106" s="585"/>
      <c r="IA106" s="585"/>
      <c r="IB106" s="585"/>
      <c r="IC106" s="585"/>
      <c r="ID106" s="585"/>
      <c r="IE106" s="585"/>
      <c r="IF106" s="585"/>
      <c r="IG106" s="585"/>
      <c r="IH106" s="585"/>
      <c r="II106" s="585"/>
      <c r="IJ106" s="585"/>
      <c r="IK106" s="585"/>
      <c r="IL106" s="585"/>
      <c r="IM106" s="585"/>
      <c r="IN106" s="585"/>
      <c r="IO106" s="585"/>
      <c r="IP106" s="585"/>
      <c r="IQ106" s="585"/>
      <c r="IR106" s="585"/>
      <c r="IS106" s="585"/>
      <c r="IT106" s="585"/>
      <c r="IU106" s="585"/>
      <c r="IV106" s="585"/>
      <c r="IW106" s="585"/>
      <c r="IX106" s="585"/>
      <c r="IY106" s="585"/>
      <c r="IZ106" s="585"/>
      <c r="JA106" s="585"/>
      <c r="JB106" s="585"/>
      <c r="JC106" s="585"/>
      <c r="JD106" s="585"/>
      <c r="JE106" s="585"/>
      <c r="JF106" s="585"/>
      <c r="JG106" s="585"/>
      <c r="JH106" s="585"/>
      <c r="JI106" s="585"/>
      <c r="JJ106" s="585"/>
      <c r="JK106" s="585"/>
      <c r="JL106" s="585"/>
      <c r="JM106" s="585"/>
      <c r="JN106" s="585"/>
      <c r="JO106" s="585"/>
      <c r="JP106" s="585"/>
      <c r="JQ106" s="585"/>
      <c r="JR106" s="585"/>
      <c r="JS106" s="585"/>
      <c r="JT106" s="585"/>
      <c r="JU106" s="585"/>
      <c r="JV106" s="585"/>
      <c r="JW106" s="585"/>
      <c r="JX106" s="585"/>
      <c r="JY106" s="585"/>
      <c r="JZ106" s="585"/>
      <c r="KA106" s="585"/>
      <c r="KB106" s="585"/>
      <c r="KC106" s="585"/>
      <c r="KD106" s="585"/>
      <c r="KE106" s="585"/>
      <c r="KF106" s="585"/>
      <c r="KG106" s="585"/>
      <c r="KH106" s="585"/>
      <c r="KI106" s="585"/>
      <c r="KJ106" s="585"/>
      <c r="KK106" s="585"/>
      <c r="KL106" s="585"/>
      <c r="KM106" s="585"/>
      <c r="KN106" s="585"/>
      <c r="KO106" s="585"/>
      <c r="KP106" s="585"/>
      <c r="KQ106" s="585"/>
      <c r="KR106" s="585"/>
      <c r="KS106" s="585"/>
      <c r="KT106" s="585"/>
      <c r="KU106" s="585"/>
      <c r="KV106" s="585"/>
      <c r="KW106" s="585"/>
      <c r="KX106" s="585"/>
      <c r="KY106" s="585"/>
      <c r="KZ106" s="585"/>
      <c r="LA106" s="585"/>
      <c r="LB106" s="585"/>
      <c r="LC106" s="585"/>
      <c r="LD106" s="585"/>
      <c r="LE106" s="585"/>
      <c r="LF106" s="585"/>
      <c r="LG106" s="585"/>
      <c r="LH106" s="585"/>
      <c r="LI106" s="585"/>
      <c r="LJ106" s="585"/>
      <c r="LK106" s="585"/>
      <c r="LL106" s="585"/>
      <c r="LM106" s="585"/>
      <c r="LN106" s="585"/>
      <c r="LO106" s="585"/>
      <c r="LP106" s="585"/>
      <c r="LQ106" s="585"/>
      <c r="LR106" s="585"/>
      <c r="LS106" s="585"/>
      <c r="LT106" s="585"/>
      <c r="LU106" s="585"/>
      <c r="LV106" s="585"/>
      <c r="LW106" s="585"/>
      <c r="LX106" s="585"/>
      <c r="LY106" s="585"/>
      <c r="LZ106" s="585"/>
      <c r="MA106" s="585"/>
      <c r="MB106" s="585"/>
      <c r="MC106" s="585"/>
      <c r="MD106" s="585"/>
      <c r="ME106" s="585"/>
      <c r="MF106" s="585"/>
      <c r="MG106" s="585"/>
      <c r="MH106" s="585"/>
      <c r="MI106" s="585"/>
      <c r="MJ106" s="585"/>
      <c r="MK106" s="585"/>
    </row>
    <row r="107" spans="1:349" s="600" customFormat="1" ht="15" customHeight="1" x14ac:dyDescent="0.35">
      <c r="A107" s="585">
        <v>530</v>
      </c>
      <c r="B107" s="445" t="str">
        <f t="shared" si="95"/>
        <v>Residential_Income Qualified</v>
      </c>
      <c r="C107" s="445"/>
      <c r="D107" s="445">
        <v>530</v>
      </c>
      <c r="E107" s="445" t="s">
        <v>78</v>
      </c>
      <c r="F107" s="600" t="str">
        <f>VLOOKUP(G107,Sheet4!$D$6:$E$22,2,FALSE)</f>
        <v>Income Qualified</v>
      </c>
      <c r="G107" s="445" t="s">
        <v>1933</v>
      </c>
      <c r="H107" s="673" t="s">
        <v>39</v>
      </c>
      <c r="I107" s="232"/>
      <c r="J107" s="72" t="s">
        <v>3301</v>
      </c>
      <c r="K107" s="112" t="str">
        <f t="shared" ref="K107:U107" si="167">K103</f>
        <v>5.4.5</v>
      </c>
      <c r="L107" s="112" t="str">
        <f t="shared" si="167"/>
        <v>RS-HWE-LFSH-V05-180101</v>
      </c>
      <c r="M107" s="112">
        <f t="shared" si="167"/>
        <v>1</v>
      </c>
      <c r="N107" s="112">
        <f t="shared" si="167"/>
        <v>0</v>
      </c>
      <c r="O107" s="112" t="str">
        <f t="shared" si="167"/>
        <v>Gas</v>
      </c>
      <c r="P107" s="112">
        <f t="shared" si="167"/>
        <v>10</v>
      </c>
      <c r="Q107" s="112">
        <f t="shared" si="167"/>
        <v>0</v>
      </c>
      <c r="R107" s="112">
        <f t="shared" si="167"/>
        <v>0</v>
      </c>
      <c r="S107" s="112">
        <f t="shared" si="167"/>
        <v>0</v>
      </c>
      <c r="T107" s="112">
        <f t="shared" si="167"/>
        <v>0</v>
      </c>
      <c r="U107" s="112">
        <f t="shared" si="167"/>
        <v>0</v>
      </c>
      <c r="V107" s="2334">
        <f>V56</f>
        <v>5.82</v>
      </c>
      <c r="W107" s="112">
        <f t="shared" ref="W107:AW107" si="168">W103</f>
        <v>0</v>
      </c>
      <c r="X107" s="112">
        <f t="shared" si="168"/>
        <v>0</v>
      </c>
      <c r="Y107" s="112">
        <f t="shared" si="168"/>
        <v>0</v>
      </c>
      <c r="Z107" s="112">
        <f t="shared" si="168"/>
        <v>0</v>
      </c>
      <c r="AA107" s="112">
        <f t="shared" si="168"/>
        <v>0</v>
      </c>
      <c r="AB107" s="112">
        <f t="shared" si="168"/>
        <v>0</v>
      </c>
      <c r="AC107" s="112">
        <f t="shared" si="168"/>
        <v>0</v>
      </c>
      <c r="AD107" s="112">
        <f t="shared" si="168"/>
        <v>1</v>
      </c>
      <c r="AE107" s="112">
        <f t="shared" si="168"/>
        <v>1</v>
      </c>
      <c r="AF107" s="112">
        <f t="shared" si="168"/>
        <v>1</v>
      </c>
      <c r="AG107" s="112">
        <f t="shared" si="168"/>
        <v>1</v>
      </c>
      <c r="AH107" s="112">
        <f t="shared" si="168"/>
        <v>0</v>
      </c>
      <c r="AI107" s="112">
        <f t="shared" si="168"/>
        <v>0</v>
      </c>
      <c r="AJ107" s="112">
        <f t="shared" si="168"/>
        <v>0</v>
      </c>
      <c r="AK107" s="112">
        <f t="shared" si="168"/>
        <v>0</v>
      </c>
      <c r="AL107" s="112">
        <f t="shared" si="168"/>
        <v>1</v>
      </c>
      <c r="AM107" s="112">
        <f t="shared" si="168"/>
        <v>1</v>
      </c>
      <c r="AN107" s="112">
        <f t="shared" si="168"/>
        <v>1</v>
      </c>
      <c r="AO107" s="112">
        <f t="shared" si="168"/>
        <v>1</v>
      </c>
      <c r="AP107" s="112">
        <f t="shared" si="168"/>
        <v>0</v>
      </c>
      <c r="AQ107" s="112">
        <f t="shared" si="168"/>
        <v>0</v>
      </c>
      <c r="AR107" s="112">
        <f t="shared" si="168"/>
        <v>0</v>
      </c>
      <c r="AS107" s="112">
        <f t="shared" si="168"/>
        <v>0</v>
      </c>
      <c r="AT107" s="112">
        <f t="shared" si="168"/>
        <v>1</v>
      </c>
      <c r="AU107" s="112">
        <f t="shared" si="168"/>
        <v>1</v>
      </c>
      <c r="AV107" s="112">
        <f t="shared" si="168"/>
        <v>1</v>
      </c>
      <c r="AW107" s="112">
        <f t="shared" si="168"/>
        <v>1</v>
      </c>
      <c r="AX107" s="2334">
        <f>AX77</f>
        <v>5.82</v>
      </c>
      <c r="AY107" s="2334">
        <f>AY77</f>
        <v>5.82</v>
      </c>
      <c r="AZ107" s="2334">
        <f>AZ77</f>
        <v>5.82</v>
      </c>
      <c r="BA107" s="2334">
        <f>BA77</f>
        <v>5.82</v>
      </c>
      <c r="BB107" s="243">
        <f>VLOOKUP($D107,'2018 Plan Data'!$A$4:$K$2000,6,FALSE)</f>
        <v>182.806765159836</v>
      </c>
      <c r="BC107" s="243">
        <f>VLOOKUP($D107,'2018 Plan Data'!$A$4:$K$2000,7,FALSE)</f>
        <v>208.26095179132699</v>
      </c>
      <c r="BD107" s="243">
        <f>VLOOKUP($D107,'2018 Plan Data'!$A$4:$K$2000,8,FALSE)</f>
        <v>658.22524413985502</v>
      </c>
      <c r="BE107" s="243">
        <f>VLOOKUP($D107,'2018 Plan Data'!$A$4:$K$2000,9,FALSE)</f>
        <v>514.30229512222604</v>
      </c>
      <c r="BF107" s="243">
        <f t="shared" si="110"/>
        <v>0</v>
      </c>
      <c r="BG107" s="243">
        <f t="shared" si="111"/>
        <v>0</v>
      </c>
      <c r="BH107" s="243">
        <f t="shared" si="112"/>
        <v>0</v>
      </c>
      <c r="BI107" s="243">
        <f t="shared" si="113"/>
        <v>0</v>
      </c>
      <c r="BJ107" s="243">
        <f t="shared" si="114"/>
        <v>1063.9353732302457</v>
      </c>
      <c r="BK107" s="243">
        <f t="shared" si="115"/>
        <v>1212.0787394255231</v>
      </c>
      <c r="BL107" s="243">
        <f t="shared" si="116"/>
        <v>3830.8709208939563</v>
      </c>
      <c r="BM107" s="243">
        <f t="shared" si="117"/>
        <v>2993.2393576113559</v>
      </c>
      <c r="BN107" s="243">
        <f t="shared" si="158"/>
        <v>0</v>
      </c>
      <c r="BO107" s="243">
        <f t="shared" si="159"/>
        <v>0</v>
      </c>
      <c r="BP107" s="243">
        <f t="shared" si="160"/>
        <v>0</v>
      </c>
      <c r="BQ107" s="243">
        <f t="shared" si="161"/>
        <v>0</v>
      </c>
      <c r="BR107" s="243">
        <f t="shared" si="162"/>
        <v>1063.9353732302457</v>
      </c>
      <c r="BS107" s="243">
        <f t="shared" si="163"/>
        <v>1212.0787394255231</v>
      </c>
      <c r="BT107" s="243">
        <f t="shared" si="164"/>
        <v>3830.8709208939563</v>
      </c>
      <c r="BU107" s="243">
        <f t="shared" si="165"/>
        <v>2993.2393576113559</v>
      </c>
      <c r="BW107" s="314">
        <f>VLOOKUP($D107,'2018 Plan Data'!$A$4:$T$2000,13,FALSE)</f>
        <v>0</v>
      </c>
      <c r="BX107" s="314">
        <f>VLOOKUP($D107,'2018 Plan Data'!$A$4:$T$2000,14,FALSE)</f>
        <v>0</v>
      </c>
      <c r="BY107" s="314">
        <f>VLOOKUP($D107,'2018 Plan Data'!$A$4:$T$2000,15,FALSE)</f>
        <v>0</v>
      </c>
      <c r="BZ107" s="314">
        <f>VLOOKUP($D107,'2018 Plan Data'!$A$4:$T$2000,16,FALSE)</f>
        <v>0</v>
      </c>
      <c r="CA107" s="314">
        <f>VLOOKUP($D107,'2018 Plan Data'!$A$4:$T$2000,17,FALSE)</f>
        <v>2018.1866873645893</v>
      </c>
      <c r="CB107" s="314">
        <f>VLOOKUP($D107,'2018 Plan Data'!$A$4:$T$2000,18,FALSE)</f>
        <v>2299.2009077762496</v>
      </c>
      <c r="CC107" s="314">
        <f>VLOOKUP($D107,'2018 Plan Data'!$A$4:$T$2000,19,FALSE)</f>
        <v>7266.8066953039988</v>
      </c>
      <c r="CD107" s="314">
        <f>VLOOKUP($D107,'2018 Plan Data'!$A$4:$T$2000,20,FALSE)</f>
        <v>5677.8973381493752</v>
      </c>
      <c r="CE107" s="600" t="b">
        <f t="shared" si="126"/>
        <v>1</v>
      </c>
      <c r="CF107" s="600" t="b">
        <f t="shared" si="127"/>
        <v>1</v>
      </c>
      <c r="CG107" s="600" t="b">
        <f t="shared" si="128"/>
        <v>1</v>
      </c>
      <c r="CH107" s="600" t="b">
        <f t="shared" si="129"/>
        <v>1</v>
      </c>
      <c r="CI107" s="600" t="b">
        <f t="shared" si="130"/>
        <v>0</v>
      </c>
      <c r="CJ107" s="600" t="b">
        <f t="shared" si="131"/>
        <v>0</v>
      </c>
      <c r="CK107" s="600" t="b">
        <f t="shared" si="132"/>
        <v>0</v>
      </c>
      <c r="CL107" s="600" t="b">
        <f t="shared" si="133"/>
        <v>0</v>
      </c>
      <c r="CM107" s="585"/>
      <c r="CN107" s="585"/>
      <c r="CO107" s="585"/>
      <c r="CP107" s="585"/>
      <c r="CQ107" s="585"/>
      <c r="CR107" s="585"/>
      <c r="CS107" s="585"/>
      <c r="CT107" s="585"/>
      <c r="CU107" s="585"/>
      <c r="CV107" s="585"/>
      <c r="CW107" s="585"/>
      <c r="CX107" s="585"/>
      <c r="CY107" s="585"/>
      <c r="CZ107" s="585"/>
      <c r="DA107" s="585"/>
      <c r="DB107" s="585"/>
      <c r="DC107" s="585"/>
      <c r="DD107" s="585"/>
      <c r="DE107" s="585"/>
      <c r="DF107" s="585"/>
      <c r="DG107" s="585"/>
      <c r="DH107" s="585"/>
      <c r="DI107" s="585"/>
      <c r="DJ107" s="585"/>
      <c r="DK107" s="585"/>
      <c r="DL107" s="585"/>
      <c r="DM107" s="585"/>
      <c r="DN107" s="585"/>
      <c r="DO107" s="585"/>
      <c r="DP107" s="585"/>
      <c r="DQ107" s="585"/>
      <c r="DR107" s="585"/>
      <c r="DS107" s="585"/>
      <c r="DT107" s="585"/>
      <c r="DU107" s="585"/>
      <c r="DV107" s="585"/>
      <c r="DW107" s="585"/>
      <c r="DX107" s="585"/>
      <c r="DY107" s="585"/>
      <c r="DZ107" s="585"/>
      <c r="EA107" s="585"/>
      <c r="EB107" s="585"/>
      <c r="EC107" s="585"/>
      <c r="ED107" s="585"/>
      <c r="EE107" s="585"/>
      <c r="EF107" s="585"/>
      <c r="EG107" s="585"/>
      <c r="EH107" s="585"/>
      <c r="EI107" s="585"/>
      <c r="EJ107" s="585"/>
      <c r="EK107" s="585"/>
      <c r="EL107" s="585"/>
      <c r="EM107" s="585"/>
      <c r="EN107" s="585"/>
      <c r="EO107" s="585"/>
      <c r="EP107" s="585"/>
      <c r="EQ107" s="585"/>
      <c r="ER107" s="585"/>
      <c r="ES107" s="585"/>
      <c r="ET107" s="585"/>
      <c r="EU107" s="585"/>
      <c r="EV107" s="585"/>
      <c r="EW107" s="585"/>
      <c r="EX107" s="585"/>
      <c r="EY107" s="585"/>
      <c r="EZ107" s="585"/>
      <c r="FA107" s="585"/>
      <c r="FB107" s="585"/>
      <c r="FC107" s="585"/>
      <c r="FD107" s="585"/>
      <c r="FE107" s="585"/>
      <c r="FF107" s="585"/>
      <c r="FG107" s="585"/>
      <c r="FH107" s="585"/>
      <c r="FI107" s="585"/>
      <c r="FJ107" s="585"/>
      <c r="FK107" s="585"/>
      <c r="FL107" s="585"/>
      <c r="FM107" s="585"/>
      <c r="FN107" s="585"/>
      <c r="FO107" s="585"/>
      <c r="FP107" s="585"/>
      <c r="FQ107" s="585"/>
      <c r="FR107" s="585"/>
      <c r="FS107" s="585"/>
      <c r="FT107" s="585"/>
      <c r="FU107" s="585"/>
      <c r="FV107" s="585"/>
      <c r="FW107" s="585"/>
      <c r="FX107" s="585"/>
      <c r="FY107" s="585"/>
      <c r="FZ107" s="585"/>
      <c r="GA107" s="585"/>
      <c r="GB107" s="585"/>
      <c r="GC107" s="585"/>
      <c r="GD107" s="585"/>
      <c r="GE107" s="585"/>
      <c r="GF107" s="585"/>
      <c r="GG107" s="585"/>
      <c r="GH107" s="585"/>
      <c r="GI107" s="585"/>
      <c r="GJ107" s="585"/>
      <c r="GK107" s="585"/>
      <c r="GL107" s="585"/>
      <c r="GM107" s="585"/>
      <c r="GN107" s="585"/>
      <c r="GO107" s="585"/>
      <c r="GP107" s="585"/>
      <c r="GQ107" s="585"/>
      <c r="GR107" s="585"/>
      <c r="GS107" s="585"/>
      <c r="GT107" s="585"/>
      <c r="GU107" s="585"/>
      <c r="GV107" s="585"/>
      <c r="GW107" s="585"/>
      <c r="GX107" s="585"/>
      <c r="GY107" s="585"/>
      <c r="GZ107" s="585"/>
      <c r="HA107" s="585"/>
      <c r="HB107" s="585"/>
      <c r="HC107" s="585"/>
      <c r="HD107" s="585"/>
      <c r="HE107" s="585"/>
      <c r="HF107" s="585"/>
      <c r="HG107" s="585"/>
      <c r="HH107" s="585"/>
      <c r="HI107" s="585"/>
      <c r="HJ107" s="585"/>
      <c r="HK107" s="585"/>
      <c r="HL107" s="585"/>
      <c r="HM107" s="585"/>
      <c r="HN107" s="585"/>
      <c r="HO107" s="585"/>
      <c r="HP107" s="585"/>
      <c r="HQ107" s="585"/>
      <c r="HR107" s="585"/>
      <c r="HS107" s="585"/>
      <c r="HT107" s="585"/>
      <c r="HU107" s="585"/>
      <c r="HV107" s="585"/>
      <c r="HW107" s="585"/>
      <c r="HX107" s="585"/>
      <c r="HY107" s="585"/>
      <c r="HZ107" s="585"/>
      <c r="IA107" s="585"/>
      <c r="IB107" s="585"/>
      <c r="IC107" s="585"/>
      <c r="ID107" s="585"/>
      <c r="IE107" s="585"/>
      <c r="IF107" s="585"/>
      <c r="IG107" s="585"/>
      <c r="IH107" s="585"/>
      <c r="II107" s="585"/>
      <c r="IJ107" s="585"/>
      <c r="IK107" s="585"/>
      <c r="IL107" s="585"/>
      <c r="IM107" s="585"/>
      <c r="IN107" s="585"/>
      <c r="IO107" s="585"/>
      <c r="IP107" s="585"/>
      <c r="IQ107" s="585"/>
      <c r="IR107" s="585"/>
      <c r="IS107" s="585"/>
      <c r="IT107" s="585"/>
      <c r="IU107" s="585"/>
      <c r="IV107" s="585"/>
      <c r="IW107" s="585"/>
      <c r="IX107" s="585"/>
      <c r="IY107" s="585"/>
      <c r="IZ107" s="585"/>
      <c r="JA107" s="585"/>
      <c r="JB107" s="585"/>
      <c r="JC107" s="585"/>
      <c r="JD107" s="585"/>
      <c r="JE107" s="585"/>
      <c r="JF107" s="585"/>
      <c r="JG107" s="585"/>
      <c r="JH107" s="585"/>
      <c r="JI107" s="585"/>
      <c r="JJ107" s="585"/>
      <c r="JK107" s="585"/>
      <c r="JL107" s="585"/>
      <c r="JM107" s="585"/>
      <c r="JN107" s="585"/>
      <c r="JO107" s="585"/>
      <c r="JP107" s="585"/>
      <c r="JQ107" s="585"/>
      <c r="JR107" s="585"/>
      <c r="JS107" s="585"/>
      <c r="JT107" s="585"/>
      <c r="JU107" s="585"/>
      <c r="JV107" s="585"/>
      <c r="JW107" s="585"/>
      <c r="JX107" s="585"/>
      <c r="JY107" s="585"/>
      <c r="JZ107" s="585"/>
      <c r="KA107" s="585"/>
      <c r="KB107" s="585"/>
      <c r="KC107" s="585"/>
      <c r="KD107" s="585"/>
      <c r="KE107" s="585"/>
      <c r="KF107" s="585"/>
      <c r="KG107" s="585"/>
      <c r="KH107" s="585"/>
      <c r="KI107" s="585"/>
      <c r="KJ107" s="585"/>
      <c r="KK107" s="585"/>
      <c r="KL107" s="585"/>
      <c r="KM107" s="585"/>
      <c r="KN107" s="585"/>
      <c r="KO107" s="585"/>
      <c r="KP107" s="585"/>
      <c r="KQ107" s="585"/>
      <c r="KR107" s="585"/>
      <c r="KS107" s="585"/>
      <c r="KT107" s="585"/>
      <c r="KU107" s="585"/>
      <c r="KV107" s="585"/>
      <c r="KW107" s="585"/>
      <c r="KX107" s="585"/>
      <c r="KY107" s="585"/>
      <c r="KZ107" s="585"/>
      <c r="LA107" s="585"/>
      <c r="LB107" s="585"/>
      <c r="LC107" s="585"/>
      <c r="LD107" s="585"/>
      <c r="LE107" s="585"/>
      <c r="LF107" s="585"/>
      <c r="LG107" s="585"/>
      <c r="LH107" s="585"/>
      <c r="LI107" s="585"/>
      <c r="LJ107" s="585"/>
      <c r="LK107" s="585"/>
      <c r="LL107" s="585"/>
      <c r="LM107" s="585"/>
      <c r="LN107" s="585"/>
      <c r="LO107" s="585"/>
      <c r="LP107" s="585"/>
      <c r="LQ107" s="585"/>
      <c r="LR107" s="585"/>
      <c r="LS107" s="585"/>
      <c r="LT107" s="585"/>
      <c r="LU107" s="585"/>
      <c r="LV107" s="585"/>
      <c r="LW107" s="585"/>
      <c r="LX107" s="585"/>
      <c r="LY107" s="585"/>
      <c r="LZ107" s="585"/>
      <c r="MA107" s="585"/>
      <c r="MB107" s="585"/>
      <c r="MC107" s="585"/>
      <c r="MD107" s="585"/>
      <c r="ME107" s="585"/>
      <c r="MF107" s="585"/>
      <c r="MG107" s="585"/>
      <c r="MH107" s="585"/>
      <c r="MI107" s="585"/>
      <c r="MJ107" s="585"/>
      <c r="MK107" s="585"/>
    </row>
    <row r="108" spans="1:349" s="600" customFormat="1" ht="15" customHeight="1" x14ac:dyDescent="0.35">
      <c r="A108" s="585">
        <f t="shared" ref="A108:A139" si="169">D108</f>
        <v>533</v>
      </c>
      <c r="B108" s="445" t="str">
        <f t="shared" si="95"/>
        <v>Residential_Income Qualified</v>
      </c>
      <c r="C108" s="445"/>
      <c r="D108" s="445">
        <v>533</v>
      </c>
      <c r="E108" s="445" t="s">
        <v>78</v>
      </c>
      <c r="F108" s="600" t="str">
        <f>VLOOKUP(G108,Sheet4!$D$6:$E$22,2,FALSE)</f>
        <v>Income Qualified</v>
      </c>
      <c r="G108" s="445" t="s">
        <v>1933</v>
      </c>
      <c r="H108" s="673" t="s">
        <v>42</v>
      </c>
      <c r="I108" s="232"/>
      <c r="J108" s="72" t="s">
        <v>3301</v>
      </c>
      <c r="K108" s="112" t="str">
        <f t="shared" ref="K108:AW108" si="170">K106</f>
        <v>5.4.6</v>
      </c>
      <c r="L108" s="112" t="str">
        <f t="shared" si="170"/>
        <v>RS-HWE-TMPS-V05-160601</v>
      </c>
      <c r="M108" s="112">
        <f t="shared" si="170"/>
        <v>1</v>
      </c>
      <c r="N108" s="112">
        <f t="shared" si="170"/>
        <v>0</v>
      </c>
      <c r="O108" s="112" t="str">
        <f t="shared" si="170"/>
        <v>Gas</v>
      </c>
      <c r="P108" s="112">
        <f t="shared" si="170"/>
        <v>2</v>
      </c>
      <c r="Q108" s="112">
        <f t="shared" si="170"/>
        <v>0</v>
      </c>
      <c r="R108" s="112">
        <f t="shared" si="170"/>
        <v>0</v>
      </c>
      <c r="S108" s="112">
        <f t="shared" si="170"/>
        <v>0</v>
      </c>
      <c r="T108" s="112">
        <f t="shared" si="170"/>
        <v>0</v>
      </c>
      <c r="U108" s="112">
        <f t="shared" si="170"/>
        <v>0</v>
      </c>
      <c r="V108" s="2805">
        <f>'RES DHW'!C125</f>
        <v>3.2433188538461537</v>
      </c>
      <c r="W108" s="112">
        <f t="shared" si="170"/>
        <v>0</v>
      </c>
      <c r="X108" s="112">
        <f t="shared" si="170"/>
        <v>0</v>
      </c>
      <c r="Y108" s="112">
        <f t="shared" si="170"/>
        <v>0</v>
      </c>
      <c r="Z108" s="112">
        <f t="shared" si="170"/>
        <v>0</v>
      </c>
      <c r="AA108" s="112">
        <f t="shared" si="170"/>
        <v>0</v>
      </c>
      <c r="AB108" s="112">
        <f t="shared" si="170"/>
        <v>0</v>
      </c>
      <c r="AC108" s="112">
        <f t="shared" si="170"/>
        <v>0</v>
      </c>
      <c r="AD108" s="112">
        <f t="shared" si="170"/>
        <v>1</v>
      </c>
      <c r="AE108" s="112">
        <f t="shared" si="170"/>
        <v>1</v>
      </c>
      <c r="AF108" s="112">
        <f t="shared" si="170"/>
        <v>1</v>
      </c>
      <c r="AG108" s="112">
        <f t="shared" si="170"/>
        <v>1</v>
      </c>
      <c r="AH108" s="112">
        <f t="shared" si="170"/>
        <v>0</v>
      </c>
      <c r="AI108" s="112">
        <f t="shared" si="170"/>
        <v>0</v>
      </c>
      <c r="AJ108" s="112">
        <f t="shared" si="170"/>
        <v>0</v>
      </c>
      <c r="AK108" s="112">
        <f t="shared" si="170"/>
        <v>0</v>
      </c>
      <c r="AL108" s="112">
        <f t="shared" si="170"/>
        <v>1</v>
      </c>
      <c r="AM108" s="112">
        <f t="shared" si="170"/>
        <v>1</v>
      </c>
      <c r="AN108" s="112">
        <f t="shared" si="170"/>
        <v>1</v>
      </c>
      <c r="AO108" s="112">
        <f t="shared" si="170"/>
        <v>1</v>
      </c>
      <c r="AP108" s="112">
        <f t="shared" si="170"/>
        <v>0</v>
      </c>
      <c r="AQ108" s="112">
        <f t="shared" si="170"/>
        <v>0</v>
      </c>
      <c r="AR108" s="112">
        <f t="shared" si="170"/>
        <v>0</v>
      </c>
      <c r="AS108" s="112">
        <f t="shared" si="170"/>
        <v>0</v>
      </c>
      <c r="AT108" s="112">
        <f t="shared" si="170"/>
        <v>1</v>
      </c>
      <c r="AU108" s="112">
        <f t="shared" si="170"/>
        <v>1</v>
      </c>
      <c r="AV108" s="112">
        <f t="shared" si="170"/>
        <v>1</v>
      </c>
      <c r="AW108" s="112">
        <f t="shared" si="170"/>
        <v>1</v>
      </c>
      <c r="AX108" s="243">
        <f t="shared" ref="AX108" si="171">IF($Q108&gt;1,$W108*AT108,$V108*AT108)</f>
        <v>3.2433188538461537</v>
      </c>
      <c r="AY108" s="243">
        <f t="shared" ref="AY108" si="172">IF($Q108&gt;1,$W108*AU108,$V108*AU108)</f>
        <v>3.2433188538461537</v>
      </c>
      <c r="AZ108" s="243">
        <f t="shared" ref="AZ108" si="173">IF($Q108&gt;1,$W108*AV108,$V108*AV108)</f>
        <v>3.2433188538461537</v>
      </c>
      <c r="BA108" s="243">
        <f t="shared" ref="BA108" si="174">IF($Q108&gt;1,$W108*AW108,$V108*AW108)</f>
        <v>3.2433188538461537</v>
      </c>
      <c r="BB108" s="243">
        <f>VLOOKUP($D108,'2018 Plan Data'!$A$4:$K$2000,6,FALSE)</f>
        <v>3713</v>
      </c>
      <c r="BC108" s="243">
        <f>VLOOKUP($D108,'2018 Plan Data'!$A$4:$K$2000,7,FALSE)</f>
        <v>3730</v>
      </c>
      <c r="BD108" s="243">
        <f>VLOOKUP($D108,'2018 Plan Data'!$A$4:$K$2000,8,FALSE)</f>
        <v>3730</v>
      </c>
      <c r="BE108" s="243">
        <f>VLOOKUP($D108,'2018 Plan Data'!$A$4:$K$2000,9,FALSE)</f>
        <v>3730</v>
      </c>
      <c r="BF108" s="243">
        <f t="shared" si="110"/>
        <v>0</v>
      </c>
      <c r="BG108" s="243">
        <f t="shared" si="111"/>
        <v>0</v>
      </c>
      <c r="BH108" s="243">
        <f t="shared" si="112"/>
        <v>0</v>
      </c>
      <c r="BI108" s="243">
        <f t="shared" si="113"/>
        <v>0</v>
      </c>
      <c r="BJ108" s="243">
        <f t="shared" si="114"/>
        <v>12042.442904330768</v>
      </c>
      <c r="BK108" s="243">
        <f t="shared" si="115"/>
        <v>12097.579324846154</v>
      </c>
      <c r="BL108" s="243">
        <f t="shared" si="116"/>
        <v>12097.579324846154</v>
      </c>
      <c r="BM108" s="243">
        <f t="shared" si="117"/>
        <v>12097.579324846154</v>
      </c>
      <c r="BN108" s="243">
        <f t="shared" si="158"/>
        <v>0</v>
      </c>
      <c r="BO108" s="243">
        <f t="shared" si="159"/>
        <v>0</v>
      </c>
      <c r="BP108" s="243">
        <f t="shared" si="160"/>
        <v>0</v>
      </c>
      <c r="BQ108" s="243">
        <f t="shared" si="161"/>
        <v>0</v>
      </c>
      <c r="BR108" s="243">
        <f t="shared" si="162"/>
        <v>12042.442904330768</v>
      </c>
      <c r="BS108" s="243">
        <f t="shared" si="163"/>
        <v>12097.579324846154</v>
      </c>
      <c r="BT108" s="243">
        <f t="shared" si="164"/>
        <v>12097.579324846154</v>
      </c>
      <c r="BU108" s="243">
        <f t="shared" si="165"/>
        <v>12097.579324846154</v>
      </c>
      <c r="BW108" s="314">
        <f>VLOOKUP($D108,'2018 Plan Data'!$A$4:$T$2000,13,FALSE)</f>
        <v>0</v>
      </c>
      <c r="BX108" s="314">
        <f>VLOOKUP($D108,'2018 Plan Data'!$A$4:$T$2000,14,FALSE)</f>
        <v>0</v>
      </c>
      <c r="BY108" s="314">
        <f>VLOOKUP($D108,'2018 Plan Data'!$A$4:$T$2000,15,FALSE)</f>
        <v>0</v>
      </c>
      <c r="BZ108" s="314">
        <f>VLOOKUP($D108,'2018 Plan Data'!$A$4:$T$2000,16,FALSE)</f>
        <v>0</v>
      </c>
      <c r="CA108" s="314">
        <f>VLOOKUP($D108,'2018 Plan Data'!$A$4:$T$2000,17,FALSE)</f>
        <v>5997.1365663567221</v>
      </c>
      <c r="CB108" s="314">
        <f>VLOOKUP($D108,'2018 Plan Data'!$A$4:$T$2000,18,FALSE)</f>
        <v>6024.5945037733836</v>
      </c>
      <c r="CC108" s="314">
        <f>VLOOKUP($D108,'2018 Plan Data'!$A$4:$T$2000,19,FALSE)</f>
        <v>6024.5945037733836</v>
      </c>
      <c r="CD108" s="314">
        <f>VLOOKUP($D108,'2018 Plan Data'!$A$4:$T$2000,20,FALSE)</f>
        <v>6024.5945037733836</v>
      </c>
      <c r="CE108" s="600" t="b">
        <f t="shared" si="126"/>
        <v>1</v>
      </c>
      <c r="CF108" s="600" t="b">
        <f t="shared" si="127"/>
        <v>1</v>
      </c>
      <c r="CG108" s="600" t="b">
        <f t="shared" si="128"/>
        <v>1</v>
      </c>
      <c r="CH108" s="600" t="b">
        <f t="shared" si="129"/>
        <v>1</v>
      </c>
      <c r="CI108" s="600" t="b">
        <f t="shared" si="130"/>
        <v>0</v>
      </c>
      <c r="CJ108" s="600" t="b">
        <f t="shared" si="131"/>
        <v>0</v>
      </c>
      <c r="CK108" s="600" t="b">
        <f t="shared" si="132"/>
        <v>0</v>
      </c>
      <c r="CL108" s="600" t="b">
        <f t="shared" si="133"/>
        <v>0</v>
      </c>
      <c r="CM108" s="585"/>
      <c r="CN108" s="585"/>
      <c r="CO108" s="585"/>
      <c r="CP108" s="585"/>
      <c r="CQ108" s="585"/>
      <c r="CR108" s="585"/>
      <c r="CS108" s="585"/>
      <c r="CT108" s="585"/>
      <c r="CU108" s="585"/>
      <c r="CV108" s="585"/>
      <c r="CW108" s="585"/>
      <c r="CX108" s="585"/>
      <c r="CY108" s="585"/>
      <c r="CZ108" s="585"/>
      <c r="DA108" s="585"/>
      <c r="DB108" s="585"/>
      <c r="DC108" s="585"/>
      <c r="DD108" s="585"/>
      <c r="DE108" s="585"/>
      <c r="DF108" s="585"/>
      <c r="DG108" s="585"/>
      <c r="DH108" s="585"/>
      <c r="DI108" s="585"/>
      <c r="DJ108" s="585"/>
      <c r="DK108" s="585"/>
      <c r="DL108" s="585"/>
      <c r="DM108" s="585"/>
      <c r="DN108" s="585"/>
      <c r="DO108" s="585"/>
      <c r="DP108" s="585"/>
      <c r="DQ108" s="585"/>
      <c r="DR108" s="585"/>
      <c r="DS108" s="585"/>
      <c r="DT108" s="585"/>
      <c r="DU108" s="585"/>
      <c r="DV108" s="585"/>
      <c r="DW108" s="585"/>
      <c r="DX108" s="585"/>
      <c r="DY108" s="585"/>
      <c r="DZ108" s="585"/>
      <c r="EA108" s="585"/>
      <c r="EB108" s="585"/>
      <c r="EC108" s="585"/>
      <c r="ED108" s="585"/>
      <c r="EE108" s="585"/>
      <c r="EF108" s="585"/>
      <c r="EG108" s="585"/>
      <c r="EH108" s="585"/>
      <c r="EI108" s="585"/>
      <c r="EJ108" s="585"/>
      <c r="EK108" s="585"/>
      <c r="EL108" s="585"/>
      <c r="EM108" s="585"/>
      <c r="EN108" s="585"/>
      <c r="EO108" s="585"/>
      <c r="EP108" s="585"/>
      <c r="EQ108" s="585"/>
      <c r="ER108" s="585"/>
      <c r="ES108" s="585"/>
      <c r="ET108" s="585"/>
      <c r="EU108" s="585"/>
      <c r="EV108" s="585"/>
      <c r="EW108" s="585"/>
      <c r="EX108" s="585"/>
      <c r="EY108" s="585"/>
      <c r="EZ108" s="585"/>
      <c r="FA108" s="585"/>
      <c r="FB108" s="585"/>
      <c r="FC108" s="585"/>
      <c r="FD108" s="585"/>
      <c r="FE108" s="585"/>
      <c r="FF108" s="585"/>
      <c r="FG108" s="585"/>
      <c r="FH108" s="585"/>
      <c r="FI108" s="585"/>
      <c r="FJ108" s="585"/>
      <c r="FK108" s="585"/>
      <c r="FL108" s="585"/>
      <c r="FM108" s="585"/>
      <c r="FN108" s="585"/>
      <c r="FO108" s="585"/>
      <c r="FP108" s="585"/>
      <c r="FQ108" s="585"/>
      <c r="FR108" s="585"/>
      <c r="FS108" s="585"/>
      <c r="FT108" s="585"/>
      <c r="FU108" s="585"/>
      <c r="FV108" s="585"/>
      <c r="FW108" s="585"/>
      <c r="FX108" s="585"/>
      <c r="FY108" s="585"/>
      <c r="FZ108" s="585"/>
      <c r="GA108" s="585"/>
      <c r="GB108" s="585"/>
      <c r="GC108" s="585"/>
      <c r="GD108" s="585"/>
      <c r="GE108" s="585"/>
      <c r="GF108" s="585"/>
      <c r="GG108" s="585"/>
      <c r="GH108" s="585"/>
      <c r="GI108" s="585"/>
      <c r="GJ108" s="585"/>
      <c r="GK108" s="585"/>
      <c r="GL108" s="585"/>
      <c r="GM108" s="585"/>
      <c r="GN108" s="585"/>
      <c r="GO108" s="585"/>
      <c r="GP108" s="585"/>
      <c r="GQ108" s="585"/>
      <c r="GR108" s="585"/>
      <c r="GS108" s="585"/>
      <c r="GT108" s="585"/>
      <c r="GU108" s="585"/>
      <c r="GV108" s="585"/>
      <c r="GW108" s="585"/>
      <c r="GX108" s="585"/>
      <c r="GY108" s="585"/>
      <c r="GZ108" s="585"/>
      <c r="HA108" s="585"/>
      <c r="HB108" s="585"/>
      <c r="HC108" s="585"/>
      <c r="HD108" s="585"/>
      <c r="HE108" s="585"/>
      <c r="HF108" s="585"/>
      <c r="HG108" s="585"/>
      <c r="HH108" s="585"/>
      <c r="HI108" s="585"/>
      <c r="HJ108" s="585"/>
      <c r="HK108" s="585"/>
      <c r="HL108" s="585"/>
      <c r="HM108" s="585"/>
      <c r="HN108" s="585"/>
      <c r="HO108" s="585"/>
      <c r="HP108" s="585"/>
      <c r="HQ108" s="585"/>
      <c r="HR108" s="585"/>
      <c r="HS108" s="585"/>
      <c r="HT108" s="585"/>
      <c r="HU108" s="585"/>
      <c r="HV108" s="585"/>
      <c r="HW108" s="585"/>
      <c r="HX108" s="585"/>
      <c r="HY108" s="585"/>
      <c r="HZ108" s="585"/>
      <c r="IA108" s="585"/>
      <c r="IB108" s="585"/>
      <c r="IC108" s="585"/>
      <c r="ID108" s="585"/>
      <c r="IE108" s="585"/>
      <c r="IF108" s="585"/>
      <c r="IG108" s="585"/>
      <c r="IH108" s="585"/>
      <c r="II108" s="585"/>
      <c r="IJ108" s="585"/>
      <c r="IK108" s="585"/>
      <c r="IL108" s="585"/>
      <c r="IM108" s="585"/>
      <c r="IN108" s="585"/>
      <c r="IO108" s="585"/>
      <c r="IP108" s="585"/>
      <c r="IQ108" s="585"/>
      <c r="IR108" s="585"/>
      <c r="IS108" s="585"/>
      <c r="IT108" s="585"/>
      <c r="IU108" s="585"/>
      <c r="IV108" s="585"/>
      <c r="IW108" s="585"/>
      <c r="IX108" s="585"/>
      <c r="IY108" s="585"/>
      <c r="IZ108" s="585"/>
      <c r="JA108" s="585"/>
      <c r="JB108" s="585"/>
      <c r="JC108" s="585"/>
      <c r="JD108" s="585"/>
      <c r="JE108" s="585"/>
      <c r="JF108" s="585"/>
      <c r="JG108" s="585"/>
      <c r="JH108" s="585"/>
      <c r="JI108" s="585"/>
      <c r="JJ108" s="585"/>
      <c r="JK108" s="585"/>
      <c r="JL108" s="585"/>
      <c r="JM108" s="585"/>
      <c r="JN108" s="585"/>
      <c r="JO108" s="585"/>
      <c r="JP108" s="585"/>
      <c r="JQ108" s="585"/>
      <c r="JR108" s="585"/>
      <c r="JS108" s="585"/>
      <c r="JT108" s="585"/>
      <c r="JU108" s="585"/>
      <c r="JV108" s="585"/>
      <c r="JW108" s="585"/>
      <c r="JX108" s="585"/>
      <c r="JY108" s="585"/>
      <c r="JZ108" s="585"/>
      <c r="KA108" s="585"/>
      <c r="KB108" s="585"/>
      <c r="KC108" s="585"/>
      <c r="KD108" s="585"/>
      <c r="KE108" s="585"/>
      <c r="KF108" s="585"/>
      <c r="KG108" s="585"/>
      <c r="KH108" s="585"/>
      <c r="KI108" s="585"/>
      <c r="KJ108" s="585"/>
      <c r="KK108" s="585"/>
      <c r="KL108" s="585"/>
      <c r="KM108" s="585"/>
      <c r="KN108" s="585"/>
      <c r="KO108" s="585"/>
      <c r="KP108" s="585"/>
      <c r="KQ108" s="585"/>
      <c r="KR108" s="585"/>
      <c r="KS108" s="585"/>
      <c r="KT108" s="585"/>
      <c r="KU108" s="585"/>
      <c r="KV108" s="585"/>
      <c r="KW108" s="585"/>
      <c r="KX108" s="585"/>
      <c r="KY108" s="585"/>
      <c r="KZ108" s="585"/>
      <c r="LA108" s="585"/>
      <c r="LB108" s="585"/>
      <c r="LC108" s="585"/>
      <c r="LD108" s="585"/>
      <c r="LE108" s="585"/>
      <c r="LF108" s="585"/>
      <c r="LG108" s="585"/>
      <c r="LH108" s="585"/>
      <c r="LI108" s="585"/>
      <c r="LJ108" s="585"/>
      <c r="LK108" s="585"/>
      <c r="LL108" s="585"/>
      <c r="LM108" s="585"/>
      <c r="LN108" s="585"/>
      <c r="LO108" s="585"/>
      <c r="LP108" s="585"/>
      <c r="LQ108" s="585"/>
      <c r="LR108" s="585"/>
      <c r="LS108" s="585"/>
      <c r="LT108" s="585"/>
      <c r="LU108" s="585"/>
      <c r="LV108" s="585"/>
      <c r="LW108" s="585"/>
      <c r="LX108" s="585"/>
      <c r="LY108" s="585"/>
      <c r="LZ108" s="585"/>
      <c r="MA108" s="585"/>
      <c r="MB108" s="585"/>
      <c r="MC108" s="585"/>
      <c r="MD108" s="585"/>
      <c r="ME108" s="585"/>
      <c r="MF108" s="585"/>
      <c r="MG108" s="585"/>
      <c r="MH108" s="585"/>
      <c r="MI108" s="585"/>
      <c r="MJ108" s="585"/>
      <c r="MK108" s="585"/>
    </row>
    <row r="109" spans="1:349" ht="15" customHeight="1" x14ac:dyDescent="0.35">
      <c r="A109" s="585">
        <f t="shared" si="169"/>
        <v>490</v>
      </c>
      <c r="B109" t="str">
        <f t="shared" si="95"/>
        <v>Residential_DCEO New Construction Commitments</v>
      </c>
      <c r="D109">
        <v>490</v>
      </c>
      <c r="E109" t="s">
        <v>78</v>
      </c>
      <c r="F109" s="600" t="e">
        <f>VLOOKUP(G109,Sheet4!$D$6:$E$22,2,FALSE)</f>
        <v>#N/A</v>
      </c>
      <c r="G109" s="673" t="s">
        <v>1858</v>
      </c>
      <c r="H109" s="673" t="s">
        <v>1008</v>
      </c>
      <c r="I109" s="232"/>
      <c r="J109" s="18" t="s">
        <v>1007</v>
      </c>
      <c r="K109" s="18" t="s">
        <v>211</v>
      </c>
      <c r="L109" s="72"/>
      <c r="M109" s="600">
        <v>1</v>
      </c>
      <c r="O109" s="72" t="str">
        <f t="shared" ref="O109:O140" si="175">IF(AND(R109&gt;0,V109&gt;0),"Dual Fuel",IF(AND(V109&gt;0,R109&lt;=0),"Gas","Electric"))</f>
        <v>Dual Fuel</v>
      </c>
      <c r="P109" s="7">
        <f>VLOOKUP(D109,'2018 Plan Data'!$A$4:$K$1000,11,FALSE)</f>
        <v>15</v>
      </c>
      <c r="Q109" s="652">
        <f>VLOOKUP(D109,'2018 Plan Data'!$A$4:$L$1000,12,FALSE)</f>
        <v>0</v>
      </c>
      <c r="R109" s="314">
        <v>1295542</v>
      </c>
      <c r="T109" s="314">
        <v>0</v>
      </c>
      <c r="V109" s="314">
        <v>11400</v>
      </c>
      <c r="X109" s="600"/>
      <c r="Y109" s="600"/>
      <c r="Z109" s="600"/>
      <c r="AA109" s="600"/>
      <c r="AB109" s="600"/>
      <c r="AC109" s="600"/>
      <c r="AD109" s="309">
        <v>0.78</v>
      </c>
      <c r="AE109" s="309">
        <v>0.78</v>
      </c>
      <c r="AF109" s="309">
        <v>0.78</v>
      </c>
      <c r="AG109" s="309">
        <v>0.78</v>
      </c>
      <c r="AH109" s="314">
        <f t="shared" ref="AH109:AH140" si="176">IF($Q109&gt;0,$S109*AD109,$R109*AD109)</f>
        <v>1010522.76</v>
      </c>
      <c r="AI109" s="314">
        <f t="shared" ref="AI109:AI140" si="177">IF($Q109&gt;0,$S109*AE109,$R109*AE109)</f>
        <v>1010522.76</v>
      </c>
      <c r="AJ109" s="314">
        <f t="shared" ref="AJ109:AJ140" si="178">IF($Q109&gt;0,$S109*AF109,$R109*AF109)</f>
        <v>1010522.76</v>
      </c>
      <c r="AK109" s="314">
        <f t="shared" ref="AK109:AK140" si="179">IF($Q109&gt;0,$S109*AG109,$R109*AG109)</f>
        <v>1010522.76</v>
      </c>
      <c r="AL109" s="309">
        <f t="shared" ref="AL109:AL140" si="180">AD109</f>
        <v>0.78</v>
      </c>
      <c r="AM109" s="309">
        <f t="shared" ref="AM109:AM140" si="181">AE109</f>
        <v>0.78</v>
      </c>
      <c r="AN109" s="309">
        <f t="shared" ref="AN109:AN140" si="182">AF109</f>
        <v>0.78</v>
      </c>
      <c r="AO109" s="309">
        <f t="shared" ref="AO109:AO140" si="183">AG109</f>
        <v>0.78</v>
      </c>
      <c r="AP109" s="446">
        <f t="shared" ref="AP109:AP140" si="184">$T109*AL109</f>
        <v>0</v>
      </c>
      <c r="AQ109" s="446">
        <f t="shared" ref="AQ109:AQ140" si="185">$T109*AM109</f>
        <v>0</v>
      </c>
      <c r="AR109" s="446">
        <f t="shared" ref="AR109:AR140" si="186">$T109*AN109</f>
        <v>0</v>
      </c>
      <c r="AS109" s="446">
        <f t="shared" ref="AS109:AS140" si="187">$T109*AO109</f>
        <v>0</v>
      </c>
      <c r="AT109" s="309">
        <f>AD109</f>
        <v>0.78</v>
      </c>
      <c r="AU109" s="309">
        <f>AE109</f>
        <v>0.78</v>
      </c>
      <c r="AV109" s="309">
        <f>AF109</f>
        <v>0.78</v>
      </c>
      <c r="AW109" s="309">
        <f>AG109</f>
        <v>0.78</v>
      </c>
      <c r="AX109" s="243">
        <f>IF($Q109&gt;1,$W109*AT109,$V109*AT109)</f>
        <v>8892</v>
      </c>
      <c r="AY109" s="243">
        <f>IF($Q109&gt;1,$W109*AU109,$V109*AU109)</f>
        <v>8892</v>
      </c>
      <c r="AZ109" s="243">
        <f>IF($Q109&gt;1,$W109*AV109,$V109*AV109)</f>
        <v>8892</v>
      </c>
      <c r="BA109" s="243">
        <f>IF($Q109&gt;1,$W109*AW109,$V109*AW109)</f>
        <v>8892</v>
      </c>
      <c r="BB109" s="243">
        <f>VLOOKUP($D109,'2018 Plan Data'!$A$4:$K$2000,6,FALSE)</f>
        <v>1</v>
      </c>
      <c r="BC109" s="243">
        <f>VLOOKUP($D109,'2018 Plan Data'!$A$4:$K$2000,7,FALSE)</f>
        <v>0</v>
      </c>
      <c r="BD109" s="243">
        <f>VLOOKUP($D109,'2018 Plan Data'!$A$4:$K$2000,8,FALSE)</f>
        <v>0</v>
      </c>
      <c r="BE109" s="243">
        <f>VLOOKUP($D109,'2018 Plan Data'!$A$4:$K$2000,9,FALSE)</f>
        <v>0</v>
      </c>
      <c r="BF109" s="243">
        <f t="shared" si="110"/>
        <v>1295542</v>
      </c>
      <c r="BG109" s="243">
        <f t="shared" si="111"/>
        <v>0</v>
      </c>
      <c r="BH109" s="243">
        <f t="shared" si="112"/>
        <v>0</v>
      </c>
      <c r="BI109" s="243">
        <f t="shared" si="113"/>
        <v>0</v>
      </c>
      <c r="BJ109" s="243">
        <f t="shared" si="114"/>
        <v>11400</v>
      </c>
      <c r="BK109" s="243">
        <f t="shared" si="115"/>
        <v>0</v>
      </c>
      <c r="BL109" s="243">
        <f t="shared" si="116"/>
        <v>0</v>
      </c>
      <c r="BM109" s="243">
        <f t="shared" si="117"/>
        <v>0</v>
      </c>
      <c r="BN109" s="243">
        <f t="shared" si="158"/>
        <v>1010522.76</v>
      </c>
      <c r="BO109" s="243">
        <f t="shared" si="159"/>
        <v>0</v>
      </c>
      <c r="BP109" s="243">
        <f t="shared" si="160"/>
        <v>0</v>
      </c>
      <c r="BQ109" s="243">
        <f t="shared" si="161"/>
        <v>0</v>
      </c>
      <c r="BR109" s="243">
        <f t="shared" si="162"/>
        <v>8892</v>
      </c>
      <c r="BS109" s="243">
        <f t="shared" si="163"/>
        <v>0</v>
      </c>
      <c r="BT109" s="243">
        <f t="shared" si="164"/>
        <v>0</v>
      </c>
      <c r="BU109" s="243">
        <f t="shared" si="165"/>
        <v>0</v>
      </c>
      <c r="BW109" s="314">
        <f>VLOOKUP($D109,'2018 Plan Data'!$A$4:$T$2000,13,FALSE)</f>
        <v>1010522.76</v>
      </c>
      <c r="BX109" s="314">
        <f>VLOOKUP($D109,'2018 Plan Data'!$A$4:$T$2000,14,FALSE)</f>
        <v>0</v>
      </c>
      <c r="BY109" s="314">
        <f>VLOOKUP($D109,'2018 Plan Data'!$A$4:$T$2000,15,FALSE)</f>
        <v>0</v>
      </c>
      <c r="BZ109" s="314">
        <f>VLOOKUP($D109,'2018 Plan Data'!$A$4:$T$2000,16,FALSE)</f>
        <v>0</v>
      </c>
      <c r="CA109" s="314">
        <f>VLOOKUP($D109,'2018 Plan Data'!$A$4:$T$2000,17,FALSE)</f>
        <v>8892</v>
      </c>
      <c r="CB109" s="314">
        <f>VLOOKUP($D109,'2018 Plan Data'!$A$4:$T$2000,18,FALSE)</f>
        <v>0</v>
      </c>
      <c r="CC109" s="314">
        <f>VLOOKUP($D109,'2018 Plan Data'!$A$4:$T$2000,19,FALSE)</f>
        <v>0</v>
      </c>
      <c r="CD109" s="314">
        <f>VLOOKUP($D109,'2018 Plan Data'!$A$4:$T$2000,20,FALSE)</f>
        <v>0</v>
      </c>
      <c r="CE109" t="b">
        <f t="shared" si="126"/>
        <v>1</v>
      </c>
      <c r="CF109" t="b">
        <f t="shared" si="127"/>
        <v>1</v>
      </c>
      <c r="CG109" t="b">
        <f t="shared" si="128"/>
        <v>1</v>
      </c>
      <c r="CH109" t="b">
        <f t="shared" si="129"/>
        <v>1</v>
      </c>
      <c r="CI109" t="b">
        <f t="shared" si="130"/>
        <v>1</v>
      </c>
      <c r="CJ109" t="b">
        <f t="shared" si="131"/>
        <v>1</v>
      </c>
      <c r="CK109" t="b">
        <f t="shared" si="132"/>
        <v>1</v>
      </c>
      <c r="CL109" t="b">
        <f t="shared" si="133"/>
        <v>1</v>
      </c>
    </row>
    <row r="110" spans="1:349" ht="15" customHeight="1" x14ac:dyDescent="0.35">
      <c r="A110" s="585">
        <f t="shared" si="169"/>
        <v>35</v>
      </c>
      <c r="B110" s="600" t="str">
        <f t="shared" si="95"/>
        <v>Business_Standard</v>
      </c>
      <c r="C110" s="600"/>
      <c r="D110" s="600">
        <v>35</v>
      </c>
      <c r="E110" s="600" t="s">
        <v>1944</v>
      </c>
      <c r="F110" s="600" t="str">
        <f>VLOOKUP(G110,Sheet4!$D$6:$E$22,2,FALSE)</f>
        <v>Standard</v>
      </c>
      <c r="G110" s="600" t="s">
        <v>81</v>
      </c>
      <c r="H110" s="296" t="s">
        <v>135</v>
      </c>
      <c r="J110" s="18" t="s">
        <v>129</v>
      </c>
      <c r="K110" s="72" t="str">
        <f>INDEX('Measure Codes'!$F$4:$F$821,MATCH(H110,'Measure Codes'!$D$4:$D$821,0))</f>
        <v>4.2.6</v>
      </c>
      <c r="L110" s="72" t="str">
        <f>INDEX('Measure Codes'!$G$4:$G$821,MATCH(H110,'Measure Codes'!$D$4:$D$821,0))</f>
        <v>CI-FSE-ESDW-V03-180101</v>
      </c>
      <c r="M110" s="600">
        <v>1</v>
      </c>
      <c r="O110" s="72" t="str">
        <f t="shared" si="175"/>
        <v>Dual Fuel</v>
      </c>
      <c r="P110" s="7">
        <f>VLOOKUP(D110,'2018 Plan Data'!$A$4:$K$1000,11,FALSE)</f>
        <v>15</v>
      </c>
      <c r="Q110" s="652">
        <f>VLOOKUP(D110,'2018 Plan Data'!$A$4:$L$1000,12,FALSE)</f>
        <v>0</v>
      </c>
      <c r="R110" s="314">
        <f>'BUS Measure-Model Summary'!D90</f>
        <v>4339.74</v>
      </c>
      <c r="T110" s="314">
        <f>'BUS Measure-Model Summary'!E90</f>
        <v>0.66</v>
      </c>
      <c r="V110" s="314">
        <f>'BUS Measure-Model Summary'!F90</f>
        <v>279</v>
      </c>
      <c r="AD110" s="309">
        <f>INDEX('BUS Measure-Model Summary'!$I$6:$I$684,MATCH(H110,'BUS Measure-Model Summary'!$A$6:$A$684,0))</f>
        <v>0.84899999999999998</v>
      </c>
      <c r="AE110" s="309">
        <f t="shared" ref="AE110:AG129" si="188">AD110</f>
        <v>0.84899999999999998</v>
      </c>
      <c r="AF110" s="309">
        <f t="shared" si="188"/>
        <v>0.84899999999999998</v>
      </c>
      <c r="AG110" s="309">
        <f t="shared" si="188"/>
        <v>0.84899999999999998</v>
      </c>
      <c r="AH110" s="314">
        <f t="shared" si="176"/>
        <v>3684.4392599999996</v>
      </c>
      <c r="AI110" s="314">
        <f t="shared" si="177"/>
        <v>3684.4392599999996</v>
      </c>
      <c r="AJ110" s="314">
        <f t="shared" si="178"/>
        <v>3684.4392599999996</v>
      </c>
      <c r="AK110" s="314">
        <f t="shared" si="179"/>
        <v>3684.4392599999996</v>
      </c>
      <c r="AL110" s="309">
        <f t="shared" si="180"/>
        <v>0.84899999999999998</v>
      </c>
      <c r="AM110" s="309">
        <f t="shared" si="181"/>
        <v>0.84899999999999998</v>
      </c>
      <c r="AN110" s="309">
        <f t="shared" si="182"/>
        <v>0.84899999999999998</v>
      </c>
      <c r="AO110" s="309">
        <f t="shared" si="183"/>
        <v>0.84899999999999998</v>
      </c>
      <c r="AP110" s="446">
        <f t="shared" si="184"/>
        <v>0.56034000000000006</v>
      </c>
      <c r="AQ110" s="446">
        <f t="shared" si="185"/>
        <v>0.56034000000000006</v>
      </c>
      <c r="AR110" s="446">
        <f t="shared" si="186"/>
        <v>0.56034000000000006</v>
      </c>
      <c r="AS110" s="446">
        <f t="shared" si="187"/>
        <v>0.56034000000000006</v>
      </c>
      <c r="AT110" s="309">
        <f>INDEX('BUS Measure-Model Summary'!$Y$6:$Y$684,MATCH(H110,'BUS Measure-Model Summary'!$A$6:$A$684,0))</f>
        <v>0.67500000000000004</v>
      </c>
      <c r="AU110" s="309">
        <f t="shared" ref="AU110:AW129" si="189">AT110</f>
        <v>0.67500000000000004</v>
      </c>
      <c r="AV110" s="309">
        <f t="shared" si="189"/>
        <v>0.67500000000000004</v>
      </c>
      <c r="AW110" s="309">
        <f t="shared" si="189"/>
        <v>0.67500000000000004</v>
      </c>
      <c r="AX110" s="243">
        <f t="shared" ref="AX110:AX141" si="190">IF($Q110&gt;0,$W110*AT110,$V110*AT110)</f>
        <v>188.32500000000002</v>
      </c>
      <c r="AY110" s="243">
        <f t="shared" ref="AY110:AY141" si="191">IF($Q110&gt;1,$W110*AU110,$V110*AU110)</f>
        <v>188.32500000000002</v>
      </c>
      <c r="AZ110" s="243">
        <f t="shared" ref="AZ110:AZ141" si="192">IF($Q110&gt;1,$W110*AV110,$V110*AV110)</f>
        <v>188.32500000000002</v>
      </c>
      <c r="BA110" s="243">
        <f t="shared" ref="BA110:BA141" si="193">IF($Q110&gt;1,$W110*AW110,$V110*AW110)</f>
        <v>188.32500000000002</v>
      </c>
      <c r="BB110" s="652">
        <f>VLOOKUP($D110,'2018 Plan Data'!$A$4:$K$2000,6,FALSE)</f>
        <v>9</v>
      </c>
      <c r="BC110" s="243">
        <f>VLOOKUP($D110,'2018 Plan Data'!$A$4:$K$2000,7,FALSE)</f>
        <v>8</v>
      </c>
      <c r="BD110" s="243">
        <f>VLOOKUP($D110,'2018 Plan Data'!$A$4:$K$2000,8,FALSE)</f>
        <v>8</v>
      </c>
      <c r="BE110" s="243">
        <f>VLOOKUP($D110,'2018 Plan Data'!$A$4:$K$2000,9,FALSE)</f>
        <v>8</v>
      </c>
      <c r="BF110" s="243">
        <f t="shared" si="110"/>
        <v>39057.659999999996</v>
      </c>
      <c r="BG110" s="243">
        <f t="shared" si="111"/>
        <v>34717.919999999998</v>
      </c>
      <c r="BH110" s="243">
        <f t="shared" si="112"/>
        <v>34717.919999999998</v>
      </c>
      <c r="BI110" s="243">
        <f t="shared" si="113"/>
        <v>34717.919999999998</v>
      </c>
      <c r="BJ110" s="243">
        <f t="shared" si="114"/>
        <v>2511</v>
      </c>
      <c r="BK110" s="243">
        <f t="shared" si="115"/>
        <v>2232</v>
      </c>
      <c r="BL110" s="243">
        <f t="shared" si="116"/>
        <v>2232</v>
      </c>
      <c r="BM110" s="243">
        <f t="shared" si="117"/>
        <v>2232</v>
      </c>
      <c r="BN110" s="243">
        <f t="shared" si="158"/>
        <v>33159.95334</v>
      </c>
      <c r="BO110" s="243">
        <f t="shared" si="159"/>
        <v>29475.514079999997</v>
      </c>
      <c r="BP110" s="243">
        <f t="shared" si="160"/>
        <v>29475.514079999997</v>
      </c>
      <c r="BQ110" s="243">
        <f t="shared" si="161"/>
        <v>29475.514079999997</v>
      </c>
      <c r="BR110" s="243">
        <f t="shared" ref="BR110:BR141" si="194">IF((AX110*BB110)&gt;0,(AX110*BB110),0)</f>
        <v>1694.9250000000002</v>
      </c>
      <c r="BS110" s="243">
        <f t="shared" ref="BS110:BS141" si="195">IF((AY110*BC110)&gt;0,(AY110*BC110),0)</f>
        <v>1506.6000000000001</v>
      </c>
      <c r="BT110" s="243">
        <f t="shared" ref="BT110:BT141" si="196">IF((AZ110*BD110)&gt;0,(AZ110*BD110),0)</f>
        <v>1506.6000000000001</v>
      </c>
      <c r="BU110" s="243">
        <f t="shared" ref="BU110:BU141" si="197">IF((BA110*BE110)&gt;0,(BA110*BE110),0)</f>
        <v>1506.6000000000001</v>
      </c>
      <c r="BV110" s="600"/>
      <c r="BW110" s="314">
        <f>VLOOKUP($D110,'2018 Plan Data'!$A$4:$T$2000,13,FALSE)</f>
        <v>33159.95334</v>
      </c>
      <c r="BX110" s="314">
        <f>VLOOKUP($D110,'2018 Plan Data'!$A$4:$T$2000,14,FALSE)</f>
        <v>29475.514079999997</v>
      </c>
      <c r="BY110" s="314">
        <f>VLOOKUP($D110,'2018 Plan Data'!$A$4:$T$2000,15,FALSE)</f>
        <v>29475.514079999997</v>
      </c>
      <c r="BZ110" s="314">
        <f>VLOOKUP($D110,'2018 Plan Data'!$A$4:$T$2000,16,FALSE)</f>
        <v>29475.514079999997</v>
      </c>
      <c r="CA110" s="314">
        <f>IF(VLOOKUP($D110,'2018 Plan Data'!$A$4:$T$2000,17,FALSE)&gt;0,VLOOKUP($D110,'2018 Plan Data'!$A$4:$T$2000,17,FALSE),0)</f>
        <v>1694.9250000000002</v>
      </c>
      <c r="CB110" s="314">
        <f>IF(VLOOKUP($D110,'2018 Plan Data'!$A$4:$T$2000,18,FALSE)&gt;0,VLOOKUP($D110,'2018 Plan Data'!$A$4:$T$2000,18,FALSE),0)</f>
        <v>1506.6000000000001</v>
      </c>
      <c r="CC110" s="314">
        <f>IF(VLOOKUP($D110,'2018 Plan Data'!$A$4:$T$2000,19,FALSE)&gt;0,VLOOKUP($D110,'2018 Plan Data'!$A$4:$T$2000,19,FALSE),0)</f>
        <v>1506.6000000000001</v>
      </c>
      <c r="CD110" s="314">
        <f>IF(VLOOKUP($D110,'2018 Plan Data'!$A$4:$T$2000,20,FALSE)&gt;0,VLOOKUP($D110,'2018 Plan Data'!$A$4:$T$2000,20,FALSE),0)</f>
        <v>1506.6000000000001</v>
      </c>
      <c r="CE110" s="600" t="b">
        <f t="shared" si="126"/>
        <v>1</v>
      </c>
      <c r="CF110" s="600" t="b">
        <f t="shared" si="127"/>
        <v>1</v>
      </c>
      <c r="CG110" s="600" t="b">
        <f t="shared" si="128"/>
        <v>1</v>
      </c>
      <c r="CH110" s="600" t="b">
        <f t="shared" si="129"/>
        <v>1</v>
      </c>
      <c r="CI110" s="600" t="b">
        <f t="shared" si="130"/>
        <v>1</v>
      </c>
      <c r="CJ110" s="600" t="b">
        <f t="shared" si="131"/>
        <v>1</v>
      </c>
      <c r="CK110" s="600" t="b">
        <f t="shared" si="132"/>
        <v>1</v>
      </c>
      <c r="CL110" s="600" t="b">
        <f t="shared" si="133"/>
        <v>1</v>
      </c>
    </row>
    <row r="111" spans="1:349" ht="15" customHeight="1" x14ac:dyDescent="0.35">
      <c r="A111" s="585">
        <f t="shared" si="169"/>
        <v>244</v>
      </c>
      <c r="B111" s="600" t="str">
        <f t="shared" si="95"/>
        <v>Business_Standard</v>
      </c>
      <c r="C111" s="600"/>
      <c r="D111">
        <v>244</v>
      </c>
      <c r="E111" s="600" t="s">
        <v>1944</v>
      </c>
      <c r="F111" s="600" t="str">
        <f>VLOOKUP(G111,Sheet4!$D$6:$E$22,2,FALSE)</f>
        <v>Standard</v>
      </c>
      <c r="G111" t="s">
        <v>81</v>
      </c>
      <c r="H111" s="296" t="s">
        <v>139</v>
      </c>
      <c r="J111" s="18" t="s">
        <v>15</v>
      </c>
      <c r="K111" s="72" t="str">
        <f>INDEX('Measure Codes'!$F$4:$F$821,MATCH(H111,'Measure Codes'!$D$4:$D$821,0))</f>
        <v>4.2.11</v>
      </c>
      <c r="L111" s="72" t="str">
        <f>INDEX('Measure Codes'!$G$4:$G$821,MATCH(H111,'Measure Codes'!$D$4:$D$821,0))</f>
        <v>CI-FSE-SPRY-V04-180101</v>
      </c>
      <c r="M111" s="600">
        <v>1</v>
      </c>
      <c r="O111" s="72" t="str">
        <f t="shared" si="175"/>
        <v>Gas</v>
      </c>
      <c r="P111" s="7">
        <f>VLOOKUP(D111,'2018 Plan Data'!$A$4:$K$1000,11,FALSE)</f>
        <v>5</v>
      </c>
      <c r="Q111" s="652">
        <f>VLOOKUP(D111,'2018 Plan Data'!$A$4:$L$1000,12,FALSE)</f>
        <v>0</v>
      </c>
      <c r="R111" s="314">
        <f>'BUS Measure-Model Summary'!D100</f>
        <v>0</v>
      </c>
      <c r="T111" s="314">
        <f>'BUS Measure-Model Summary'!E100</f>
        <v>0</v>
      </c>
      <c r="V111" s="314">
        <f>'BUS Measure-Model Summary'!F100</f>
        <v>172</v>
      </c>
      <c r="AD111" s="309">
        <f>INDEX('BUS Measure-Model Summary'!$I$6:$I$684,MATCH(H111,'BUS Measure-Model Summary'!$A$6:$A$684,0))</f>
        <v>0.91999999999999993</v>
      </c>
      <c r="AE111" s="309">
        <f t="shared" si="188"/>
        <v>0.91999999999999993</v>
      </c>
      <c r="AF111" s="309">
        <f t="shared" si="188"/>
        <v>0.91999999999999993</v>
      </c>
      <c r="AG111" s="309">
        <f t="shared" si="188"/>
        <v>0.91999999999999993</v>
      </c>
      <c r="AH111" s="314">
        <f t="shared" si="176"/>
        <v>0</v>
      </c>
      <c r="AI111" s="314">
        <f t="shared" si="177"/>
        <v>0</v>
      </c>
      <c r="AJ111" s="314">
        <f t="shared" si="178"/>
        <v>0</v>
      </c>
      <c r="AK111" s="314">
        <f t="shared" si="179"/>
        <v>0</v>
      </c>
      <c r="AL111" s="309">
        <f t="shared" si="180"/>
        <v>0.91999999999999993</v>
      </c>
      <c r="AM111" s="309">
        <f t="shared" si="181"/>
        <v>0.91999999999999993</v>
      </c>
      <c r="AN111" s="309">
        <f t="shared" si="182"/>
        <v>0.91999999999999993</v>
      </c>
      <c r="AO111" s="309">
        <f t="shared" si="183"/>
        <v>0.91999999999999993</v>
      </c>
      <c r="AP111" s="446">
        <f t="shared" si="184"/>
        <v>0</v>
      </c>
      <c r="AQ111" s="446">
        <f t="shared" si="185"/>
        <v>0</v>
      </c>
      <c r="AR111" s="446">
        <f t="shared" si="186"/>
        <v>0</v>
      </c>
      <c r="AS111" s="446">
        <f t="shared" si="187"/>
        <v>0</v>
      </c>
      <c r="AT111" s="309">
        <f>INDEX('BUS Measure-Model Summary'!$Y$6:$Y$684,MATCH(H111,'BUS Measure-Model Summary'!$A$6:$A$684,0))</f>
        <v>0.89</v>
      </c>
      <c r="AU111" s="309">
        <f t="shared" si="189"/>
        <v>0.89</v>
      </c>
      <c r="AV111" s="309">
        <f t="shared" si="189"/>
        <v>0.89</v>
      </c>
      <c r="AW111" s="309">
        <f t="shared" si="189"/>
        <v>0.89</v>
      </c>
      <c r="AX111" s="243">
        <f t="shared" si="190"/>
        <v>153.08000000000001</v>
      </c>
      <c r="AY111" s="243">
        <f t="shared" si="191"/>
        <v>153.08000000000001</v>
      </c>
      <c r="AZ111" s="243">
        <f t="shared" si="192"/>
        <v>153.08000000000001</v>
      </c>
      <c r="BA111" s="243">
        <f t="shared" si="193"/>
        <v>153.08000000000001</v>
      </c>
      <c r="BB111" s="243">
        <f>VLOOKUP($D111,'2018 Plan Data'!$A$4:$K$2000,6,FALSE)</f>
        <v>20</v>
      </c>
      <c r="BC111" s="243">
        <f>VLOOKUP($D111,'2018 Plan Data'!$A$4:$K$2000,7,FALSE)</f>
        <v>20</v>
      </c>
      <c r="BD111" s="243">
        <f>VLOOKUP($D111,'2018 Plan Data'!$A$4:$K$2000,8,FALSE)</f>
        <v>35</v>
      </c>
      <c r="BE111" s="243">
        <f>VLOOKUP($D111,'2018 Plan Data'!$A$4:$K$2000,9,FALSE)</f>
        <v>35</v>
      </c>
      <c r="BF111" s="243">
        <f t="shared" si="110"/>
        <v>0</v>
      </c>
      <c r="BG111" s="243">
        <f t="shared" si="111"/>
        <v>0</v>
      </c>
      <c r="BH111" s="243">
        <f t="shared" si="112"/>
        <v>0</v>
      </c>
      <c r="BI111" s="243">
        <f t="shared" si="113"/>
        <v>0</v>
      </c>
      <c r="BJ111" s="243">
        <f t="shared" si="114"/>
        <v>3440</v>
      </c>
      <c r="BK111" s="243">
        <f t="shared" si="115"/>
        <v>3440</v>
      </c>
      <c r="BL111" s="243">
        <f t="shared" si="116"/>
        <v>6020</v>
      </c>
      <c r="BM111" s="243">
        <f t="shared" si="117"/>
        <v>6020</v>
      </c>
      <c r="BN111" s="243">
        <f t="shared" si="158"/>
        <v>0</v>
      </c>
      <c r="BO111" s="243">
        <f t="shared" si="159"/>
        <v>0</v>
      </c>
      <c r="BP111" s="243">
        <f t="shared" si="160"/>
        <v>0</v>
      </c>
      <c r="BQ111" s="243">
        <f t="shared" si="161"/>
        <v>0</v>
      </c>
      <c r="BR111" s="243">
        <f t="shared" si="194"/>
        <v>3061.6000000000004</v>
      </c>
      <c r="BS111" s="243">
        <f t="shared" si="195"/>
        <v>3061.6000000000004</v>
      </c>
      <c r="BT111" s="243">
        <f t="shared" si="196"/>
        <v>5357.8</v>
      </c>
      <c r="BU111" s="243">
        <f t="shared" si="197"/>
        <v>5357.8</v>
      </c>
      <c r="BV111" s="600"/>
      <c r="BW111" s="314">
        <f>VLOOKUP($D111,'2018 Plan Data'!$A$4:$T$2000,13,FALSE)</f>
        <v>0</v>
      </c>
      <c r="BX111" s="314">
        <f>VLOOKUP($D111,'2018 Plan Data'!$A$4:$T$2000,14,FALSE)</f>
        <v>0</v>
      </c>
      <c r="BY111" s="314">
        <f>VLOOKUP($D111,'2018 Plan Data'!$A$4:$T$2000,15,FALSE)</f>
        <v>0</v>
      </c>
      <c r="BZ111" s="314">
        <f>VLOOKUP($D111,'2018 Plan Data'!$A$4:$T$2000,16,FALSE)</f>
        <v>0</v>
      </c>
      <c r="CA111" s="314">
        <f>IF(VLOOKUP($D111,'2018 Plan Data'!$A$4:$T$2000,17,FALSE)&gt;0,VLOOKUP($D111,'2018 Plan Data'!$A$4:$T$2000,17,FALSE),0)</f>
        <v>3061.6000000000004</v>
      </c>
      <c r="CB111" s="314">
        <f>IF(VLOOKUP($D111,'2018 Plan Data'!$A$4:$T$2000,18,FALSE)&gt;0,VLOOKUP($D111,'2018 Plan Data'!$A$4:$T$2000,18,FALSE),0)</f>
        <v>3061.6000000000004</v>
      </c>
      <c r="CC111" s="314">
        <f>IF(VLOOKUP($D111,'2018 Plan Data'!$A$4:$T$2000,19,FALSE)&gt;0,VLOOKUP($D111,'2018 Plan Data'!$A$4:$T$2000,19,FALSE),0)</f>
        <v>5357.8</v>
      </c>
      <c r="CD111" s="314">
        <f>IF(VLOOKUP($D111,'2018 Plan Data'!$A$4:$T$2000,20,FALSE)&gt;0,VLOOKUP($D111,'2018 Plan Data'!$A$4:$T$2000,20,FALSE),0)</f>
        <v>5357.8</v>
      </c>
      <c r="CE111" s="600" t="b">
        <f t="shared" si="126"/>
        <v>1</v>
      </c>
      <c r="CF111" s="600" t="b">
        <f t="shared" si="127"/>
        <v>1</v>
      </c>
      <c r="CG111" s="600" t="b">
        <f t="shared" si="128"/>
        <v>1</v>
      </c>
      <c r="CH111" s="600" t="b">
        <f t="shared" si="129"/>
        <v>1</v>
      </c>
      <c r="CI111" s="600" t="b">
        <f t="shared" si="130"/>
        <v>1</v>
      </c>
      <c r="CJ111" s="600" t="b">
        <f t="shared" si="131"/>
        <v>1</v>
      </c>
      <c r="CK111" s="600" t="b">
        <f t="shared" si="132"/>
        <v>1</v>
      </c>
      <c r="CL111" s="600" t="b">
        <f t="shared" si="133"/>
        <v>1</v>
      </c>
    </row>
    <row r="112" spans="1:349" ht="15" customHeight="1" x14ac:dyDescent="0.35">
      <c r="A112" s="585">
        <f t="shared" si="169"/>
        <v>61</v>
      </c>
      <c r="B112" s="600" t="str">
        <f t="shared" si="95"/>
        <v>Business_Standard</v>
      </c>
      <c r="C112" s="600"/>
      <c r="D112">
        <v>61</v>
      </c>
      <c r="E112" s="600" t="s">
        <v>1944</v>
      </c>
      <c r="F112" s="600" t="str">
        <f>VLOOKUP(G112,Sheet4!$D$6:$E$22,2,FALSE)</f>
        <v>Standard</v>
      </c>
      <c r="G112" t="s">
        <v>81</v>
      </c>
      <c r="H112" s="296" t="s">
        <v>140</v>
      </c>
      <c r="J112" s="18" t="s">
        <v>100</v>
      </c>
      <c r="K112" s="72" t="str">
        <f>INDEX('Measure Codes'!$F$4:$F$821,MATCH(H112,'Measure Codes'!$D$4:$D$821,0))</f>
        <v>4.4.11</v>
      </c>
      <c r="L112" s="72" t="str">
        <f>INDEX('Measure Codes'!$G$4:$G$821,MATCH(H112,'Measure Codes'!$D$4:$D$821,0))</f>
        <v>CI-HVC-FRNC-V07-180101</v>
      </c>
      <c r="M112" s="600">
        <v>1</v>
      </c>
      <c r="O112" s="72" t="str">
        <f t="shared" si="175"/>
        <v>Dual Fuel</v>
      </c>
      <c r="P112" s="7">
        <f>VLOOKUP(D112,'2018 Plan Data'!$A$4:$K$1000,11,FALSE)</f>
        <v>16.5</v>
      </c>
      <c r="Q112" s="652">
        <f>VLOOKUP(D112,'2018 Plan Data'!$A$4:$L$1000,12,FALSE)</f>
        <v>0</v>
      </c>
      <c r="R112" s="314">
        <f>'BUS - BPH8 (TRM)'!C24</f>
        <v>703.4542114695339</v>
      </c>
      <c r="T112" s="314">
        <f>'BUS - BPH8 (TRM)'!C25</f>
        <v>0.13878620061450539</v>
      </c>
      <c r="V112" s="314">
        <f>'BUS - BPH8 (TRM)'!C26</f>
        <v>691.15747535750711</v>
      </c>
      <c r="AD112" s="309">
        <f>INDEX('BUS Measure-Model Summary'!$I$6:$I$684,MATCH(H112,'BUS Measure-Model Summary'!$A$6:$A$684,0))</f>
        <v>0.55700000000000005</v>
      </c>
      <c r="AE112" s="309">
        <f t="shared" si="188"/>
        <v>0.55700000000000005</v>
      </c>
      <c r="AF112" s="309">
        <f t="shared" si="188"/>
        <v>0.55700000000000005</v>
      </c>
      <c r="AG112" s="309">
        <f t="shared" si="188"/>
        <v>0.55700000000000005</v>
      </c>
      <c r="AH112" s="314">
        <f t="shared" si="176"/>
        <v>391.8239957885304</v>
      </c>
      <c r="AI112" s="314">
        <f t="shared" si="177"/>
        <v>391.8239957885304</v>
      </c>
      <c r="AJ112" s="314">
        <f t="shared" si="178"/>
        <v>391.8239957885304</v>
      </c>
      <c r="AK112" s="314">
        <f t="shared" si="179"/>
        <v>391.8239957885304</v>
      </c>
      <c r="AL112" s="309">
        <f t="shared" si="180"/>
        <v>0.55700000000000005</v>
      </c>
      <c r="AM112" s="309">
        <f t="shared" si="181"/>
        <v>0.55700000000000005</v>
      </c>
      <c r="AN112" s="309">
        <f t="shared" si="182"/>
        <v>0.55700000000000005</v>
      </c>
      <c r="AO112" s="309">
        <f t="shared" si="183"/>
        <v>0.55700000000000005</v>
      </c>
      <c r="AP112" s="446">
        <f t="shared" si="184"/>
        <v>7.7303913742279504E-2</v>
      </c>
      <c r="AQ112" s="446">
        <f t="shared" si="185"/>
        <v>7.7303913742279504E-2</v>
      </c>
      <c r="AR112" s="446">
        <f t="shared" si="186"/>
        <v>7.7303913742279504E-2</v>
      </c>
      <c r="AS112" s="446">
        <f t="shared" si="187"/>
        <v>7.7303913742279504E-2</v>
      </c>
      <c r="AT112" s="309">
        <f>INDEX('BUS Measure-Model Summary'!$Y$6:$Y$684,MATCH(H112,'BUS Measure-Model Summary'!$A$6:$A$684,0))</f>
        <v>0.49399999999999999</v>
      </c>
      <c r="AU112" s="309">
        <f t="shared" si="189"/>
        <v>0.49399999999999999</v>
      </c>
      <c r="AV112" s="309">
        <f t="shared" si="189"/>
        <v>0.49399999999999999</v>
      </c>
      <c r="AW112" s="309">
        <f t="shared" si="189"/>
        <v>0.49399999999999999</v>
      </c>
      <c r="AX112" s="243">
        <f t="shared" si="190"/>
        <v>341.4317928266085</v>
      </c>
      <c r="AY112" s="243">
        <f t="shared" si="191"/>
        <v>341.4317928266085</v>
      </c>
      <c r="AZ112" s="243">
        <f t="shared" si="192"/>
        <v>341.4317928266085</v>
      </c>
      <c r="BA112" s="243">
        <f t="shared" si="193"/>
        <v>341.4317928266085</v>
      </c>
      <c r="BB112" s="652">
        <f>VLOOKUP($D112,'2018 Plan Data'!$A$4:$K$2000,6,FALSE)</f>
        <v>70</v>
      </c>
      <c r="BC112" s="243">
        <f>VLOOKUP($D112,'2018 Plan Data'!$A$4:$K$2000,7,FALSE)</f>
        <v>60</v>
      </c>
      <c r="BD112" s="243">
        <f>VLOOKUP($D112,'2018 Plan Data'!$A$4:$K$2000,8,FALSE)</f>
        <v>62</v>
      </c>
      <c r="BE112" s="243">
        <f>VLOOKUP($D112,'2018 Plan Data'!$A$4:$K$2000,9,FALSE)</f>
        <v>64</v>
      </c>
      <c r="BF112" s="243">
        <f t="shared" si="110"/>
        <v>49241.794802867371</v>
      </c>
      <c r="BG112" s="243">
        <f t="shared" si="111"/>
        <v>42207.252688172033</v>
      </c>
      <c r="BH112" s="243">
        <f t="shared" si="112"/>
        <v>43614.161111111105</v>
      </c>
      <c r="BI112" s="243">
        <f t="shared" si="113"/>
        <v>45021.06953405017</v>
      </c>
      <c r="BJ112" s="243">
        <f t="shared" si="114"/>
        <v>48381.023275025495</v>
      </c>
      <c r="BK112" s="243">
        <f t="shared" si="115"/>
        <v>41469.448521450424</v>
      </c>
      <c r="BL112" s="243">
        <f t="shared" si="116"/>
        <v>42851.763472165439</v>
      </c>
      <c r="BM112" s="243">
        <f t="shared" si="117"/>
        <v>44234.078422880455</v>
      </c>
      <c r="BN112" s="243">
        <f t="shared" si="158"/>
        <v>27427.679705197126</v>
      </c>
      <c r="BO112" s="243">
        <f t="shared" si="159"/>
        <v>23509.439747311822</v>
      </c>
      <c r="BP112" s="243">
        <f t="shared" si="160"/>
        <v>24293.087738888884</v>
      </c>
      <c r="BQ112" s="243">
        <f t="shared" si="161"/>
        <v>25076.735730465945</v>
      </c>
      <c r="BR112" s="243">
        <f t="shared" si="194"/>
        <v>23900.225497862593</v>
      </c>
      <c r="BS112" s="243">
        <f t="shared" si="195"/>
        <v>20485.907569596511</v>
      </c>
      <c r="BT112" s="243">
        <f t="shared" si="196"/>
        <v>21168.771155249728</v>
      </c>
      <c r="BU112" s="243">
        <f t="shared" si="197"/>
        <v>21851.634740902944</v>
      </c>
      <c r="BV112" s="600"/>
      <c r="BW112" s="314">
        <f>VLOOKUP($D112,'2018 Plan Data'!$A$4:$T$2000,13,FALSE)</f>
        <v>27427.679705197126</v>
      </c>
      <c r="BX112" s="314">
        <f>VLOOKUP($D112,'2018 Plan Data'!$A$4:$T$2000,14,FALSE)</f>
        <v>23509.439747311822</v>
      </c>
      <c r="BY112" s="314">
        <f>VLOOKUP($D112,'2018 Plan Data'!$A$4:$T$2000,15,FALSE)</f>
        <v>24293.087738888884</v>
      </c>
      <c r="BZ112" s="314">
        <f>VLOOKUP($D112,'2018 Plan Data'!$A$4:$T$2000,16,FALSE)</f>
        <v>25076.735730465945</v>
      </c>
      <c r="CA112" s="314">
        <f>IF(VLOOKUP($D112,'2018 Plan Data'!$A$4:$T$2000,17,FALSE)&gt;0,VLOOKUP($D112,'2018 Plan Data'!$A$4:$T$2000,17,FALSE),0)</f>
        <v>18760.5052966933</v>
      </c>
      <c r="CB112" s="314">
        <f>IF(VLOOKUP($D112,'2018 Plan Data'!$A$4:$T$2000,18,FALSE)&gt;0,VLOOKUP($D112,'2018 Plan Data'!$A$4:$T$2000,18,FALSE),0)</f>
        <v>16080.433111451401</v>
      </c>
      <c r="CC112" s="314">
        <f>IF(VLOOKUP($D112,'2018 Plan Data'!$A$4:$T$2000,19,FALSE)&gt;0,VLOOKUP($D112,'2018 Plan Data'!$A$4:$T$2000,19,FALSE),0)</f>
        <v>16616.447548499782</v>
      </c>
      <c r="CD112" s="314">
        <f>IF(VLOOKUP($D112,'2018 Plan Data'!$A$4:$T$2000,20,FALSE)&gt;0,VLOOKUP($D112,'2018 Plan Data'!$A$4:$T$2000,20,FALSE),0)</f>
        <v>17152.461985548161</v>
      </c>
      <c r="CE112" s="600" t="b">
        <f t="shared" si="126"/>
        <v>1</v>
      </c>
      <c r="CF112" s="600" t="b">
        <f t="shared" si="127"/>
        <v>1</v>
      </c>
      <c r="CG112" s="600" t="b">
        <f t="shared" si="128"/>
        <v>1</v>
      </c>
      <c r="CH112" s="600" t="b">
        <f t="shared" si="129"/>
        <v>1</v>
      </c>
      <c r="CI112" s="600" t="b">
        <f t="shared" si="130"/>
        <v>0</v>
      </c>
      <c r="CJ112" s="600" t="b">
        <f t="shared" si="131"/>
        <v>0</v>
      </c>
      <c r="CK112" s="600" t="b">
        <f t="shared" si="132"/>
        <v>0</v>
      </c>
      <c r="CL112" s="600" t="b">
        <f t="shared" si="133"/>
        <v>0</v>
      </c>
    </row>
    <row r="113" spans="1:90" ht="15" customHeight="1" x14ac:dyDescent="0.35">
      <c r="A113" s="585">
        <f t="shared" si="169"/>
        <v>52</v>
      </c>
      <c r="B113" s="600" t="str">
        <f t="shared" si="95"/>
        <v>Business_Standard</v>
      </c>
      <c r="C113" s="600"/>
      <c r="D113">
        <v>52</v>
      </c>
      <c r="E113" s="600" t="s">
        <v>1944</v>
      </c>
      <c r="F113" s="600" t="str">
        <f>VLOOKUP(G113,Sheet4!$D$6:$E$22,2,FALSE)</f>
        <v>Standard</v>
      </c>
      <c r="G113" t="s">
        <v>81</v>
      </c>
      <c r="H113" s="296" t="s">
        <v>141</v>
      </c>
      <c r="J113" s="18" t="s">
        <v>100</v>
      </c>
      <c r="K113" s="72" t="str">
        <f>INDEX('Measure Codes'!$F$4:$F$821,MATCH(H113,'Measure Codes'!$D$4:$D$821,0))</f>
        <v>4.4.4</v>
      </c>
      <c r="L113" s="72" t="str">
        <f>INDEX('Measure Codes'!$G$4:$G$821,MATCH(H113,'Measure Codes'!$D$4:$D$821,0))</f>
        <v>CI-HVC-BLRC-V03-150601</v>
      </c>
      <c r="M113" s="600">
        <v>1</v>
      </c>
      <c r="O113" s="72" t="str">
        <f t="shared" si="175"/>
        <v>Gas</v>
      </c>
      <c r="P113" s="7">
        <f>VLOOKUP(D113,'2018 Plan Data'!$A$4:$K$1000,11,FALSE)</f>
        <v>20</v>
      </c>
      <c r="Q113" s="652">
        <f>VLOOKUP(D113,'2018 Plan Data'!$A$4:$L$1000,12,FALSE)</f>
        <v>0</v>
      </c>
      <c r="R113" s="314">
        <f>'BUS Measure-Model Summary'!D102</f>
        <v>0</v>
      </c>
      <c r="T113" s="314">
        <f>'BUS Measure-Model Summary'!E102</f>
        <v>0</v>
      </c>
      <c r="V113" s="314">
        <f>V191</f>
        <v>1422.9771820000001</v>
      </c>
      <c r="AD113" s="309">
        <f>INDEX('BUS Measure-Model Summary'!$I$6:$I$684,MATCH(H113,'BUS Measure-Model Summary'!$A$6:$A$684,0))</f>
        <v>0.55700000000000005</v>
      </c>
      <c r="AE113" s="309">
        <f t="shared" si="188"/>
        <v>0.55700000000000005</v>
      </c>
      <c r="AF113" s="309">
        <f t="shared" si="188"/>
        <v>0.55700000000000005</v>
      </c>
      <c r="AG113" s="309">
        <f t="shared" si="188"/>
        <v>0.55700000000000005</v>
      </c>
      <c r="AH113" s="314">
        <f t="shared" si="176"/>
        <v>0</v>
      </c>
      <c r="AI113" s="314">
        <f t="shared" si="177"/>
        <v>0</v>
      </c>
      <c r="AJ113" s="314">
        <f t="shared" si="178"/>
        <v>0</v>
      </c>
      <c r="AK113" s="314">
        <f t="shared" si="179"/>
        <v>0</v>
      </c>
      <c r="AL113" s="309">
        <f t="shared" si="180"/>
        <v>0.55700000000000005</v>
      </c>
      <c r="AM113" s="309">
        <f t="shared" si="181"/>
        <v>0.55700000000000005</v>
      </c>
      <c r="AN113" s="309">
        <f t="shared" si="182"/>
        <v>0.55700000000000005</v>
      </c>
      <c r="AO113" s="309">
        <f t="shared" si="183"/>
        <v>0.55700000000000005</v>
      </c>
      <c r="AP113" s="446">
        <f t="shared" si="184"/>
        <v>0</v>
      </c>
      <c r="AQ113" s="446">
        <f t="shared" si="185"/>
        <v>0</v>
      </c>
      <c r="AR113" s="446">
        <f t="shared" si="186"/>
        <v>0</v>
      </c>
      <c r="AS113" s="446">
        <f t="shared" si="187"/>
        <v>0</v>
      </c>
      <c r="AT113" s="309">
        <f>INDEX('BUS Measure-Model Summary'!$Y$6:$Y$684,MATCH(H113,'BUS Measure-Model Summary'!$A$6:$A$684,0))</f>
        <v>0.49399999999999999</v>
      </c>
      <c r="AU113" s="309">
        <f t="shared" si="189"/>
        <v>0.49399999999999999</v>
      </c>
      <c r="AV113" s="309">
        <f t="shared" si="189"/>
        <v>0.49399999999999999</v>
      </c>
      <c r="AW113" s="309">
        <f t="shared" si="189"/>
        <v>0.49399999999999999</v>
      </c>
      <c r="AX113" s="243">
        <f t="shared" si="190"/>
        <v>702.95072790800009</v>
      </c>
      <c r="AY113" s="243">
        <f t="shared" si="191"/>
        <v>702.95072790800009</v>
      </c>
      <c r="AZ113" s="243">
        <f t="shared" si="192"/>
        <v>702.95072790800009</v>
      </c>
      <c r="BA113" s="243">
        <f t="shared" si="193"/>
        <v>702.95072790800009</v>
      </c>
      <c r="BB113" s="243">
        <f>VLOOKUP($D113,'2018 Plan Data'!$A$4:$K$2000,6,FALSE)</f>
        <v>18</v>
      </c>
      <c r="BC113" s="243">
        <f>VLOOKUP($D113,'2018 Plan Data'!$A$4:$K$2000,7,FALSE)</f>
        <v>16</v>
      </c>
      <c r="BD113" s="243">
        <f>VLOOKUP($D113,'2018 Plan Data'!$A$4:$K$2000,8,FALSE)</f>
        <v>23</v>
      </c>
      <c r="BE113" s="243">
        <f>VLOOKUP($D113,'2018 Plan Data'!$A$4:$K$2000,9,FALSE)</f>
        <v>24</v>
      </c>
      <c r="BF113" s="243">
        <f t="shared" si="110"/>
        <v>0</v>
      </c>
      <c r="BG113" s="243">
        <f t="shared" si="111"/>
        <v>0</v>
      </c>
      <c r="BH113" s="243">
        <f t="shared" si="112"/>
        <v>0</v>
      </c>
      <c r="BI113" s="243">
        <f t="shared" si="113"/>
        <v>0</v>
      </c>
      <c r="BJ113" s="243">
        <f t="shared" si="114"/>
        <v>25613.589276000002</v>
      </c>
      <c r="BK113" s="243">
        <f t="shared" si="115"/>
        <v>22767.634912000001</v>
      </c>
      <c r="BL113" s="243">
        <f t="shared" si="116"/>
        <v>32728.475186000003</v>
      </c>
      <c r="BM113" s="243">
        <f t="shared" si="117"/>
        <v>34151.452367999998</v>
      </c>
      <c r="BN113" s="243">
        <f t="shared" si="158"/>
        <v>0</v>
      </c>
      <c r="BO113" s="243">
        <f t="shared" si="159"/>
        <v>0</v>
      </c>
      <c r="BP113" s="243">
        <f t="shared" si="160"/>
        <v>0</v>
      </c>
      <c r="BQ113" s="243">
        <f t="shared" si="161"/>
        <v>0</v>
      </c>
      <c r="BR113" s="243">
        <f t="shared" si="194"/>
        <v>12653.113102344001</v>
      </c>
      <c r="BS113" s="243">
        <f t="shared" si="195"/>
        <v>11247.211646528001</v>
      </c>
      <c r="BT113" s="243">
        <f t="shared" si="196"/>
        <v>16167.866741884001</v>
      </c>
      <c r="BU113" s="243">
        <f t="shared" si="197"/>
        <v>16870.817469792004</v>
      </c>
      <c r="BV113" s="600"/>
      <c r="BW113" s="314">
        <f>VLOOKUP($D113,'2018 Plan Data'!$A$4:$T$2000,13,FALSE)</f>
        <v>0</v>
      </c>
      <c r="BX113" s="314">
        <f>VLOOKUP($D113,'2018 Plan Data'!$A$4:$T$2000,14,FALSE)</f>
        <v>0</v>
      </c>
      <c r="BY113" s="314">
        <f>VLOOKUP($D113,'2018 Plan Data'!$A$4:$T$2000,15,FALSE)</f>
        <v>0</v>
      </c>
      <c r="BZ113" s="314">
        <f>VLOOKUP($D113,'2018 Plan Data'!$A$4:$T$2000,16,FALSE)</f>
        <v>0</v>
      </c>
      <c r="CA113" s="314">
        <f>IF(VLOOKUP($D113,'2018 Plan Data'!$A$4:$T$2000,17,FALSE)&gt;0,VLOOKUP($D113,'2018 Plan Data'!$A$4:$T$2000,17,FALSE),0)</f>
        <v>11895.066509976001</v>
      </c>
      <c r="CB113" s="314">
        <f>IF(VLOOKUP($D113,'2018 Plan Data'!$A$4:$T$2000,18,FALSE)&gt;0,VLOOKUP($D113,'2018 Plan Data'!$A$4:$T$2000,18,FALSE),0)</f>
        <v>10573.392453312001</v>
      </c>
      <c r="CC113" s="314">
        <f>IF(VLOOKUP($D113,'2018 Plan Data'!$A$4:$T$2000,19,FALSE)&gt;0,VLOOKUP($D113,'2018 Plan Data'!$A$4:$T$2000,19,FALSE),0)</f>
        <v>15199.251651636001</v>
      </c>
      <c r="CD113" s="314">
        <f>IF(VLOOKUP($D113,'2018 Plan Data'!$A$4:$T$2000,20,FALSE)&gt;0,VLOOKUP($D113,'2018 Plan Data'!$A$4:$T$2000,20,FALSE),0)</f>
        <v>15860.088679968001</v>
      </c>
      <c r="CE113" s="600" t="b">
        <f t="shared" si="126"/>
        <v>1</v>
      </c>
      <c r="CF113" s="600" t="b">
        <f t="shared" si="127"/>
        <v>1</v>
      </c>
      <c r="CG113" s="600" t="b">
        <f t="shared" si="128"/>
        <v>1</v>
      </c>
      <c r="CH113" s="600" t="b">
        <f t="shared" si="129"/>
        <v>1</v>
      </c>
      <c r="CI113" s="600" t="b">
        <f t="shared" si="130"/>
        <v>0</v>
      </c>
      <c r="CJ113" s="600" t="b">
        <f t="shared" si="131"/>
        <v>0</v>
      </c>
      <c r="CK113" s="600" t="b">
        <f t="shared" si="132"/>
        <v>0</v>
      </c>
      <c r="CL113" s="600" t="b">
        <f t="shared" si="133"/>
        <v>0</v>
      </c>
    </row>
    <row r="114" spans="1:90" ht="15" customHeight="1" x14ac:dyDescent="0.35">
      <c r="A114" s="585">
        <f t="shared" si="169"/>
        <v>74</v>
      </c>
      <c r="B114" s="600" t="str">
        <f t="shared" si="95"/>
        <v>Business_Standard</v>
      </c>
      <c r="C114" s="600"/>
      <c r="D114">
        <v>74</v>
      </c>
      <c r="E114" s="600" t="s">
        <v>1944</v>
      </c>
      <c r="F114" s="600" t="str">
        <f>VLOOKUP(G114,Sheet4!$D$6:$E$22,2,FALSE)</f>
        <v>Standard</v>
      </c>
      <c r="G114" t="s">
        <v>81</v>
      </c>
      <c r="H114" s="296" t="s">
        <v>142</v>
      </c>
      <c r="J114" s="18" t="s">
        <v>100</v>
      </c>
      <c r="K114" s="72" t="str">
        <f>INDEX('Measure Codes'!$F$4:$F$821,MATCH(H114,'Measure Codes'!$D$4:$D$821,0))</f>
        <v>4.4.12</v>
      </c>
      <c r="L114" s="72" t="str">
        <f>INDEX('Measure Codes'!$G$4:$G$821,MATCH(H114,'Measure Codes'!$D$4:$D$821,0))</f>
        <v>CI-HVC-IRHT-V01-120601</v>
      </c>
      <c r="M114" s="600">
        <v>1</v>
      </c>
      <c r="O114" s="72" t="str">
        <f t="shared" si="175"/>
        <v>Gas</v>
      </c>
      <c r="P114" s="7">
        <f>VLOOKUP(D114,'2018 Plan Data'!$A$4:$K$1000,11,FALSE)</f>
        <v>12</v>
      </c>
      <c r="Q114" s="652">
        <f>VLOOKUP(D114,'2018 Plan Data'!$A$4:$L$1000,12,FALSE)</f>
        <v>0</v>
      </c>
      <c r="R114" s="314">
        <f>'BUS Measure-Model Summary'!D103</f>
        <v>0</v>
      </c>
      <c r="T114" s="314">
        <f>'BUS Measure-Model Summary'!E103</f>
        <v>0</v>
      </c>
      <c r="V114" s="2805">
        <f>'BUS Infrared Heaters'!C13</f>
        <v>332.64705882352928</v>
      </c>
      <c r="AD114" s="309">
        <f>INDEX('BUS Measure-Model Summary'!$I$6:$I$684,MATCH(H114,'BUS Measure-Model Summary'!$A$6:$A$684,0))</f>
        <v>0.55700000000000005</v>
      </c>
      <c r="AE114" s="309">
        <f t="shared" si="188"/>
        <v>0.55700000000000005</v>
      </c>
      <c r="AF114" s="309">
        <f t="shared" si="188"/>
        <v>0.55700000000000005</v>
      </c>
      <c r="AG114" s="309">
        <f t="shared" si="188"/>
        <v>0.55700000000000005</v>
      </c>
      <c r="AH114" s="314">
        <f t="shared" si="176"/>
        <v>0</v>
      </c>
      <c r="AI114" s="314">
        <f t="shared" si="177"/>
        <v>0</v>
      </c>
      <c r="AJ114" s="314">
        <f t="shared" si="178"/>
        <v>0</v>
      </c>
      <c r="AK114" s="314">
        <f t="shared" si="179"/>
        <v>0</v>
      </c>
      <c r="AL114" s="309">
        <f t="shared" si="180"/>
        <v>0.55700000000000005</v>
      </c>
      <c r="AM114" s="309">
        <f t="shared" si="181"/>
        <v>0.55700000000000005</v>
      </c>
      <c r="AN114" s="309">
        <f t="shared" si="182"/>
        <v>0.55700000000000005</v>
      </c>
      <c r="AO114" s="309">
        <f t="shared" si="183"/>
        <v>0.55700000000000005</v>
      </c>
      <c r="AP114" s="446">
        <f t="shared" si="184"/>
        <v>0</v>
      </c>
      <c r="AQ114" s="446">
        <f t="shared" si="185"/>
        <v>0</v>
      </c>
      <c r="AR114" s="446">
        <f t="shared" si="186"/>
        <v>0</v>
      </c>
      <c r="AS114" s="446">
        <f t="shared" si="187"/>
        <v>0</v>
      </c>
      <c r="AT114" s="309">
        <f>INDEX('BUS Measure-Model Summary'!$Y$6:$Y$684,MATCH(H114,'BUS Measure-Model Summary'!$A$6:$A$684,0))</f>
        <v>0.49399999999999999</v>
      </c>
      <c r="AU114" s="309">
        <f t="shared" si="189"/>
        <v>0.49399999999999999</v>
      </c>
      <c r="AV114" s="309">
        <f t="shared" si="189"/>
        <v>0.49399999999999999</v>
      </c>
      <c r="AW114" s="309">
        <f t="shared" si="189"/>
        <v>0.49399999999999999</v>
      </c>
      <c r="AX114" s="243">
        <f t="shared" si="190"/>
        <v>164.32764705882346</v>
      </c>
      <c r="AY114" s="243">
        <f t="shared" si="191"/>
        <v>164.32764705882346</v>
      </c>
      <c r="AZ114" s="243">
        <f t="shared" si="192"/>
        <v>164.32764705882346</v>
      </c>
      <c r="BA114" s="243">
        <f t="shared" si="193"/>
        <v>164.32764705882346</v>
      </c>
      <c r="BB114" s="243">
        <f>VLOOKUP($D114,'2018 Plan Data'!$A$4:$K$2000,6,FALSE)</f>
        <v>18</v>
      </c>
      <c r="BC114" s="243">
        <f>VLOOKUP($D114,'2018 Plan Data'!$A$4:$K$2000,7,FALSE)</f>
        <v>16</v>
      </c>
      <c r="BD114" s="243">
        <f>VLOOKUP($D114,'2018 Plan Data'!$A$4:$K$2000,8,FALSE)</f>
        <v>23</v>
      </c>
      <c r="BE114" s="243">
        <f>VLOOKUP($D114,'2018 Plan Data'!$A$4:$K$2000,9,FALSE)</f>
        <v>30</v>
      </c>
      <c r="BF114" s="243">
        <f t="shared" si="110"/>
        <v>0</v>
      </c>
      <c r="BG114" s="243">
        <f t="shared" si="111"/>
        <v>0</v>
      </c>
      <c r="BH114" s="243">
        <f t="shared" si="112"/>
        <v>0</v>
      </c>
      <c r="BI114" s="243">
        <f t="shared" si="113"/>
        <v>0</v>
      </c>
      <c r="BJ114" s="243">
        <f t="shared" si="114"/>
        <v>5987.647058823527</v>
      </c>
      <c r="BK114" s="243">
        <f t="shared" si="115"/>
        <v>5322.3529411764684</v>
      </c>
      <c r="BL114" s="243">
        <f t="shared" si="116"/>
        <v>7650.8823529411729</v>
      </c>
      <c r="BM114" s="243">
        <f t="shared" si="117"/>
        <v>9979.4117647058774</v>
      </c>
      <c r="BN114" s="243">
        <f t="shared" si="158"/>
        <v>0</v>
      </c>
      <c r="BO114" s="243">
        <f t="shared" si="159"/>
        <v>0</v>
      </c>
      <c r="BP114" s="243">
        <f t="shared" si="160"/>
        <v>0</v>
      </c>
      <c r="BQ114" s="243">
        <f t="shared" si="161"/>
        <v>0</v>
      </c>
      <c r="BR114" s="243">
        <f t="shared" si="194"/>
        <v>2957.8976470588223</v>
      </c>
      <c r="BS114" s="243">
        <f t="shared" si="195"/>
        <v>2629.2423529411753</v>
      </c>
      <c r="BT114" s="243">
        <f t="shared" si="196"/>
        <v>3779.5358823529396</v>
      </c>
      <c r="BU114" s="243">
        <f t="shared" si="197"/>
        <v>4929.8294117647038</v>
      </c>
      <c r="BV114" s="600"/>
      <c r="BW114" s="314">
        <f>VLOOKUP($D114,'2018 Plan Data'!$A$4:$T$2000,13,FALSE)</f>
        <v>0</v>
      </c>
      <c r="BX114" s="314">
        <f>VLOOKUP($D114,'2018 Plan Data'!$A$4:$T$2000,14,FALSE)</f>
        <v>0</v>
      </c>
      <c r="BY114" s="314">
        <f>VLOOKUP($D114,'2018 Plan Data'!$A$4:$T$2000,15,FALSE)</f>
        <v>0</v>
      </c>
      <c r="BZ114" s="314">
        <f>VLOOKUP($D114,'2018 Plan Data'!$A$4:$T$2000,16,FALSE)</f>
        <v>0</v>
      </c>
      <c r="CA114" s="314">
        <f>IF(VLOOKUP($D114,'2018 Plan Data'!$A$4:$T$2000,17,FALSE)&gt;0,VLOOKUP($D114,'2018 Plan Data'!$A$4:$T$2000,17,FALSE),0)</f>
        <v>4010.2920000000004</v>
      </c>
      <c r="CB114" s="314">
        <f>IF(VLOOKUP($D114,'2018 Plan Data'!$A$4:$T$2000,18,FALSE)&gt;0,VLOOKUP($D114,'2018 Plan Data'!$A$4:$T$2000,18,FALSE),0)</f>
        <v>3564.7040000000002</v>
      </c>
      <c r="CC114" s="314">
        <f>IF(VLOOKUP($D114,'2018 Plan Data'!$A$4:$T$2000,19,FALSE)&gt;0,VLOOKUP($D114,'2018 Plan Data'!$A$4:$T$2000,19,FALSE),0)</f>
        <v>5124.2620000000006</v>
      </c>
      <c r="CD114" s="314">
        <f>IF(VLOOKUP($D114,'2018 Plan Data'!$A$4:$T$2000,20,FALSE)&gt;0,VLOOKUP($D114,'2018 Plan Data'!$A$4:$T$2000,20,FALSE),0)</f>
        <v>6683.8200000000006</v>
      </c>
      <c r="CE114" s="600" t="b">
        <f t="shared" si="126"/>
        <v>1</v>
      </c>
      <c r="CF114" s="600" t="b">
        <f t="shared" si="127"/>
        <v>1</v>
      </c>
      <c r="CG114" s="600" t="b">
        <f t="shared" si="128"/>
        <v>1</v>
      </c>
      <c r="CH114" s="600" t="b">
        <f t="shared" si="129"/>
        <v>1</v>
      </c>
      <c r="CI114" s="600" t="b">
        <f t="shared" si="130"/>
        <v>0</v>
      </c>
      <c r="CJ114" s="600" t="b">
        <f t="shared" si="131"/>
        <v>0</v>
      </c>
      <c r="CK114" s="600" t="b">
        <f t="shared" si="132"/>
        <v>0</v>
      </c>
      <c r="CL114" s="600" t="b">
        <f t="shared" si="133"/>
        <v>0</v>
      </c>
    </row>
    <row r="115" spans="1:90" ht="15" customHeight="1" x14ac:dyDescent="0.35">
      <c r="A115" s="585">
        <f t="shared" si="169"/>
        <v>230</v>
      </c>
      <c r="B115" s="600" t="str">
        <f t="shared" si="95"/>
        <v>Business_Standard</v>
      </c>
      <c r="C115" s="600"/>
      <c r="D115">
        <v>230</v>
      </c>
      <c r="E115" s="600" t="s">
        <v>1944</v>
      </c>
      <c r="F115" s="600" t="str">
        <f>VLOOKUP(G115,Sheet4!$D$6:$E$22,2,FALSE)</f>
        <v>Standard</v>
      </c>
      <c r="G115" t="s">
        <v>81</v>
      </c>
      <c r="H115" s="296" t="s">
        <v>143</v>
      </c>
      <c r="J115" s="18" t="s">
        <v>15</v>
      </c>
      <c r="K115" s="72" t="str">
        <f>INDEX('Measure Codes'!$F$4:$F$821,MATCH(H115,'Measure Codes'!$D$4:$D$821,0))</f>
        <v>4.4.5</v>
      </c>
      <c r="L115" s="72" t="str">
        <f>INDEX('Measure Codes'!$G$4:$G$821,MATCH(H115,'Measure Codes'!$D$4:$D$821,0))</f>
        <v>CI-HVC-CUHT-V01-120601</v>
      </c>
      <c r="M115" s="600">
        <v>1</v>
      </c>
      <c r="O115" s="72" t="str">
        <f t="shared" si="175"/>
        <v>Gas</v>
      </c>
      <c r="P115" s="7">
        <f>VLOOKUP(D115,'2018 Plan Data'!$A$4:$K$1000,11,FALSE)</f>
        <v>12</v>
      </c>
      <c r="Q115" s="652">
        <f>VLOOKUP(D115,'2018 Plan Data'!$A$4:$L$1000,12,FALSE)</f>
        <v>0</v>
      </c>
      <c r="R115" s="314">
        <f>'BUS Measure-Model Summary'!D104</f>
        <v>0</v>
      </c>
      <c r="T115" s="314">
        <f>'BUS Measure-Model Summary'!E104</f>
        <v>0</v>
      </c>
      <c r="V115" s="314">
        <f>'BUS Measure-Model Summary'!F104</f>
        <v>266</v>
      </c>
      <c r="AD115" s="309">
        <f>INDEX('BUS Measure-Model Summary'!$I$6:$I$684,MATCH(H115,'BUS Measure-Model Summary'!$A$6:$A$684,0))</f>
        <v>0.55700000000000005</v>
      </c>
      <c r="AE115" s="309">
        <f t="shared" si="188"/>
        <v>0.55700000000000005</v>
      </c>
      <c r="AF115" s="309">
        <f t="shared" si="188"/>
        <v>0.55700000000000005</v>
      </c>
      <c r="AG115" s="309">
        <f t="shared" si="188"/>
        <v>0.55700000000000005</v>
      </c>
      <c r="AH115" s="314">
        <f t="shared" si="176"/>
        <v>0</v>
      </c>
      <c r="AI115" s="314">
        <f t="shared" si="177"/>
        <v>0</v>
      </c>
      <c r="AJ115" s="314">
        <f t="shared" si="178"/>
        <v>0</v>
      </c>
      <c r="AK115" s="314">
        <f t="shared" si="179"/>
        <v>0</v>
      </c>
      <c r="AL115" s="309">
        <f t="shared" si="180"/>
        <v>0.55700000000000005</v>
      </c>
      <c r="AM115" s="309">
        <f t="shared" si="181"/>
        <v>0.55700000000000005</v>
      </c>
      <c r="AN115" s="309">
        <f t="shared" si="182"/>
        <v>0.55700000000000005</v>
      </c>
      <c r="AO115" s="309">
        <f t="shared" si="183"/>
        <v>0.55700000000000005</v>
      </c>
      <c r="AP115" s="446">
        <f t="shared" si="184"/>
        <v>0</v>
      </c>
      <c r="AQ115" s="446">
        <f t="shared" si="185"/>
        <v>0</v>
      </c>
      <c r="AR115" s="446">
        <f t="shared" si="186"/>
        <v>0</v>
      </c>
      <c r="AS115" s="446">
        <f t="shared" si="187"/>
        <v>0</v>
      </c>
      <c r="AT115" s="309">
        <f>INDEX('BUS Measure-Model Summary'!$Y$6:$Y$684,MATCH(H115,'BUS Measure-Model Summary'!$A$6:$A$684,0))</f>
        <v>0.49399999999999999</v>
      </c>
      <c r="AU115" s="309">
        <f t="shared" si="189"/>
        <v>0.49399999999999999</v>
      </c>
      <c r="AV115" s="309">
        <f t="shared" si="189"/>
        <v>0.49399999999999999</v>
      </c>
      <c r="AW115" s="309">
        <f t="shared" si="189"/>
        <v>0.49399999999999999</v>
      </c>
      <c r="AX115" s="243">
        <f t="shared" si="190"/>
        <v>131.404</v>
      </c>
      <c r="AY115" s="243">
        <f t="shared" si="191"/>
        <v>131.404</v>
      </c>
      <c r="AZ115" s="243">
        <f t="shared" si="192"/>
        <v>131.404</v>
      </c>
      <c r="BA115" s="243">
        <f t="shared" si="193"/>
        <v>131.404</v>
      </c>
      <c r="BB115" s="243">
        <f>VLOOKUP($D115,'2018 Plan Data'!$A$4:$K$2000,6,FALSE)</f>
        <v>4</v>
      </c>
      <c r="BC115" s="243">
        <f>VLOOKUP($D115,'2018 Plan Data'!$A$4:$K$2000,7,FALSE)</f>
        <v>3</v>
      </c>
      <c r="BD115" s="243">
        <f>VLOOKUP($D115,'2018 Plan Data'!$A$4:$K$2000,8,FALSE)</f>
        <v>5</v>
      </c>
      <c r="BE115" s="243">
        <f>VLOOKUP($D115,'2018 Plan Data'!$A$4:$K$2000,9,FALSE)</f>
        <v>10</v>
      </c>
      <c r="BF115" s="243">
        <f t="shared" si="110"/>
        <v>0</v>
      </c>
      <c r="BG115" s="243">
        <f t="shared" si="111"/>
        <v>0</v>
      </c>
      <c r="BH115" s="243">
        <f t="shared" si="112"/>
        <v>0</v>
      </c>
      <c r="BI115" s="243">
        <f t="shared" si="113"/>
        <v>0</v>
      </c>
      <c r="BJ115" s="243">
        <f t="shared" si="114"/>
        <v>1064</v>
      </c>
      <c r="BK115" s="243">
        <f t="shared" si="115"/>
        <v>798</v>
      </c>
      <c r="BL115" s="243">
        <f t="shared" si="116"/>
        <v>1330</v>
      </c>
      <c r="BM115" s="243">
        <f t="shared" si="117"/>
        <v>2660</v>
      </c>
      <c r="BN115" s="243">
        <f t="shared" si="158"/>
        <v>0</v>
      </c>
      <c r="BO115" s="243">
        <f t="shared" si="159"/>
        <v>0</v>
      </c>
      <c r="BP115" s="243">
        <f t="shared" si="160"/>
        <v>0</v>
      </c>
      <c r="BQ115" s="243">
        <f t="shared" si="161"/>
        <v>0</v>
      </c>
      <c r="BR115" s="243">
        <f t="shared" si="194"/>
        <v>525.61599999999999</v>
      </c>
      <c r="BS115" s="243">
        <f t="shared" si="195"/>
        <v>394.21199999999999</v>
      </c>
      <c r="BT115" s="243">
        <f t="shared" si="196"/>
        <v>657.02</v>
      </c>
      <c r="BU115" s="243">
        <f t="shared" si="197"/>
        <v>1314.04</v>
      </c>
      <c r="BV115" s="600"/>
      <c r="BW115" s="314">
        <f>VLOOKUP($D115,'2018 Plan Data'!$A$4:$T$2000,13,FALSE)</f>
        <v>0</v>
      </c>
      <c r="BX115" s="314">
        <f>VLOOKUP($D115,'2018 Plan Data'!$A$4:$T$2000,14,FALSE)</f>
        <v>0</v>
      </c>
      <c r="BY115" s="314">
        <f>VLOOKUP($D115,'2018 Plan Data'!$A$4:$T$2000,15,FALSE)</f>
        <v>0</v>
      </c>
      <c r="BZ115" s="314">
        <f>VLOOKUP($D115,'2018 Plan Data'!$A$4:$T$2000,16,FALSE)</f>
        <v>0</v>
      </c>
      <c r="CA115" s="314">
        <f>IF(VLOOKUP($D115,'2018 Plan Data'!$A$4:$T$2000,17,FALSE)&gt;0,VLOOKUP($D115,'2018 Plan Data'!$A$4:$T$2000,17,FALSE),0)</f>
        <v>525.61599999999999</v>
      </c>
      <c r="CB115" s="314">
        <f>IF(VLOOKUP($D115,'2018 Plan Data'!$A$4:$T$2000,18,FALSE)&gt;0,VLOOKUP($D115,'2018 Plan Data'!$A$4:$T$2000,18,FALSE),0)</f>
        <v>394.21199999999999</v>
      </c>
      <c r="CC115" s="314">
        <f>IF(VLOOKUP($D115,'2018 Plan Data'!$A$4:$T$2000,19,FALSE)&gt;0,VLOOKUP($D115,'2018 Plan Data'!$A$4:$T$2000,19,FALSE),0)</f>
        <v>657.02</v>
      </c>
      <c r="CD115" s="314">
        <f>IF(VLOOKUP($D115,'2018 Plan Data'!$A$4:$T$2000,20,FALSE)&gt;0,VLOOKUP($D115,'2018 Plan Data'!$A$4:$T$2000,20,FALSE),0)</f>
        <v>1314.04</v>
      </c>
      <c r="CE115" s="600" t="b">
        <f t="shared" si="126"/>
        <v>1</v>
      </c>
      <c r="CF115" s="600" t="b">
        <f t="shared" si="127"/>
        <v>1</v>
      </c>
      <c r="CG115" s="600" t="b">
        <f t="shared" si="128"/>
        <v>1</v>
      </c>
      <c r="CH115" s="600" t="b">
        <f t="shared" si="129"/>
        <v>1</v>
      </c>
      <c r="CI115" s="600" t="b">
        <f t="shared" si="130"/>
        <v>1</v>
      </c>
      <c r="CJ115" s="600" t="b">
        <f t="shared" si="131"/>
        <v>1</v>
      </c>
      <c r="CK115" s="600" t="b">
        <f t="shared" si="132"/>
        <v>1</v>
      </c>
      <c r="CL115" s="600" t="b">
        <f t="shared" si="133"/>
        <v>1</v>
      </c>
    </row>
    <row r="116" spans="1:90" ht="15" customHeight="1" x14ac:dyDescent="0.35">
      <c r="A116" s="585">
        <f t="shared" si="169"/>
        <v>177</v>
      </c>
      <c r="B116" s="600" t="str">
        <f t="shared" si="95"/>
        <v>Business_Standard</v>
      </c>
      <c r="C116" s="600"/>
      <c r="D116">
        <v>177</v>
      </c>
      <c r="E116" s="600" t="s">
        <v>1944</v>
      </c>
      <c r="F116" s="600" t="str">
        <f>VLOOKUP(G116,Sheet4!$D$6:$E$22,2,FALSE)</f>
        <v>Standard</v>
      </c>
      <c r="G116" t="s">
        <v>81</v>
      </c>
      <c r="H116" s="296" t="s">
        <v>144</v>
      </c>
      <c r="J116" s="18" t="s">
        <v>5</v>
      </c>
      <c r="K116" s="72" t="str">
        <f>INDEX('Measure Codes'!$F$4:$F$821,MATCH(H116,'Measure Codes'!$D$4:$D$821,0))</f>
        <v>4.3.4</v>
      </c>
      <c r="L116" s="72" t="str">
        <f>INDEX('Measure Codes'!$G$4:$G$821,MATCH(H116,'Measure Codes'!$D$4:$D$821,0))</f>
        <v>CI-HWE-PLCV-V01-130601</v>
      </c>
      <c r="M116" s="600">
        <v>1</v>
      </c>
      <c r="O116" s="72" t="str">
        <f t="shared" si="175"/>
        <v>Gas</v>
      </c>
      <c r="P116" s="7">
        <f>VLOOKUP(D116,'2018 Plan Data'!$A$4:$K$1000,11,FALSE)</f>
        <v>6</v>
      </c>
      <c r="Q116" s="652">
        <f>VLOOKUP(D116,'2018 Plan Data'!$A$4:$L$1000,12,FALSE)</f>
        <v>0</v>
      </c>
      <c r="R116" s="314">
        <f>'BUS Measure-Model Summary'!D105</f>
        <v>0</v>
      </c>
      <c r="T116" s="314">
        <f>'BUS Measure-Model Summary'!E105</f>
        <v>0</v>
      </c>
      <c r="V116" s="314">
        <f>'BUS Measure-Model Summary'!F105</f>
        <v>587.29999999999995</v>
      </c>
      <c r="AD116" s="309">
        <f>INDEX('BUS Measure-Model Summary'!$I$6:$I$684,MATCH(H116,'BUS Measure-Model Summary'!$A$6:$A$684,0))</f>
        <v>0.84899999999999998</v>
      </c>
      <c r="AE116" s="309">
        <f t="shared" si="188"/>
        <v>0.84899999999999998</v>
      </c>
      <c r="AF116" s="309">
        <f t="shared" si="188"/>
        <v>0.84899999999999998</v>
      </c>
      <c r="AG116" s="309">
        <f t="shared" si="188"/>
        <v>0.84899999999999998</v>
      </c>
      <c r="AH116" s="314">
        <f t="shared" si="176"/>
        <v>0</v>
      </c>
      <c r="AI116" s="314">
        <f t="shared" si="177"/>
        <v>0</v>
      </c>
      <c r="AJ116" s="314">
        <f t="shared" si="178"/>
        <v>0</v>
      </c>
      <c r="AK116" s="314">
        <f t="shared" si="179"/>
        <v>0</v>
      </c>
      <c r="AL116" s="309">
        <f t="shared" si="180"/>
        <v>0.84899999999999998</v>
      </c>
      <c r="AM116" s="309">
        <f t="shared" si="181"/>
        <v>0.84899999999999998</v>
      </c>
      <c r="AN116" s="309">
        <f t="shared" si="182"/>
        <v>0.84899999999999998</v>
      </c>
      <c r="AO116" s="309">
        <f t="shared" si="183"/>
        <v>0.84899999999999998</v>
      </c>
      <c r="AP116" s="446">
        <f t="shared" si="184"/>
        <v>0</v>
      </c>
      <c r="AQ116" s="446">
        <f t="shared" si="185"/>
        <v>0</v>
      </c>
      <c r="AR116" s="446">
        <f t="shared" si="186"/>
        <v>0</v>
      </c>
      <c r="AS116" s="446">
        <f t="shared" si="187"/>
        <v>0</v>
      </c>
      <c r="AT116" s="309">
        <f>INDEX('BUS Measure-Model Summary'!$Y$6:$Y$684,MATCH(H116,'BUS Measure-Model Summary'!$A$6:$A$684,0))</f>
        <v>0.67500000000000004</v>
      </c>
      <c r="AU116" s="309">
        <f t="shared" si="189"/>
        <v>0.67500000000000004</v>
      </c>
      <c r="AV116" s="309">
        <f t="shared" si="189"/>
        <v>0.67500000000000004</v>
      </c>
      <c r="AW116" s="309">
        <f t="shared" si="189"/>
        <v>0.67500000000000004</v>
      </c>
      <c r="AX116" s="243">
        <f t="shared" si="190"/>
        <v>396.42750000000001</v>
      </c>
      <c r="AY116" s="243">
        <f t="shared" si="191"/>
        <v>396.42750000000001</v>
      </c>
      <c r="AZ116" s="243">
        <f t="shared" si="192"/>
        <v>396.42750000000001</v>
      </c>
      <c r="BA116" s="243">
        <f t="shared" si="193"/>
        <v>396.42750000000001</v>
      </c>
      <c r="BB116" s="243">
        <f>VLOOKUP($D116,'2018 Plan Data'!$A$4:$K$2000,6,FALSE)</f>
        <v>6</v>
      </c>
      <c r="BC116" s="243">
        <f>VLOOKUP($D116,'2018 Plan Data'!$A$4:$K$2000,7,FALSE)</f>
        <v>5</v>
      </c>
      <c r="BD116" s="243">
        <f>VLOOKUP($D116,'2018 Plan Data'!$A$4:$K$2000,8,FALSE)</f>
        <v>7</v>
      </c>
      <c r="BE116" s="243">
        <f>VLOOKUP($D116,'2018 Plan Data'!$A$4:$K$2000,9,FALSE)</f>
        <v>9</v>
      </c>
      <c r="BF116" s="243">
        <f t="shared" si="110"/>
        <v>0</v>
      </c>
      <c r="BG116" s="243">
        <f t="shared" si="111"/>
        <v>0</v>
      </c>
      <c r="BH116" s="243">
        <f t="shared" si="112"/>
        <v>0</v>
      </c>
      <c r="BI116" s="243">
        <f t="shared" si="113"/>
        <v>0</v>
      </c>
      <c r="BJ116" s="243">
        <f t="shared" si="114"/>
        <v>3523.7999999999997</v>
      </c>
      <c r="BK116" s="243">
        <f t="shared" si="115"/>
        <v>2936.5</v>
      </c>
      <c r="BL116" s="243">
        <f t="shared" si="116"/>
        <v>4111.0999999999995</v>
      </c>
      <c r="BM116" s="243">
        <f t="shared" si="117"/>
        <v>5285.7</v>
      </c>
      <c r="BN116" s="243">
        <f t="shared" si="158"/>
        <v>0</v>
      </c>
      <c r="BO116" s="243">
        <f t="shared" si="159"/>
        <v>0</v>
      </c>
      <c r="BP116" s="243">
        <f t="shared" si="160"/>
        <v>0</v>
      </c>
      <c r="BQ116" s="243">
        <f t="shared" si="161"/>
        <v>0</v>
      </c>
      <c r="BR116" s="243">
        <f t="shared" si="194"/>
        <v>2378.5650000000001</v>
      </c>
      <c r="BS116" s="243">
        <f t="shared" si="195"/>
        <v>1982.1375</v>
      </c>
      <c r="BT116" s="243">
        <f t="shared" si="196"/>
        <v>2774.9925000000003</v>
      </c>
      <c r="BU116" s="243">
        <f t="shared" si="197"/>
        <v>3567.8474999999999</v>
      </c>
      <c r="BV116" s="600"/>
      <c r="BW116" s="314">
        <f>VLOOKUP($D116,'2018 Plan Data'!$A$4:$T$2000,13,FALSE)</f>
        <v>0</v>
      </c>
      <c r="BX116" s="314">
        <f>VLOOKUP($D116,'2018 Plan Data'!$A$4:$T$2000,14,FALSE)</f>
        <v>0</v>
      </c>
      <c r="BY116" s="314">
        <f>VLOOKUP($D116,'2018 Plan Data'!$A$4:$T$2000,15,FALSE)</f>
        <v>0</v>
      </c>
      <c r="BZ116" s="314">
        <f>VLOOKUP($D116,'2018 Plan Data'!$A$4:$T$2000,16,FALSE)</f>
        <v>0</v>
      </c>
      <c r="CA116" s="314">
        <f>IF(VLOOKUP($D116,'2018 Plan Data'!$A$4:$T$2000,17,FALSE)&gt;0,VLOOKUP($D116,'2018 Plan Data'!$A$4:$T$2000,17,FALSE),0)</f>
        <v>2378.5650000000001</v>
      </c>
      <c r="CB116" s="314">
        <f>IF(VLOOKUP($D116,'2018 Plan Data'!$A$4:$T$2000,18,FALSE)&gt;0,VLOOKUP($D116,'2018 Plan Data'!$A$4:$T$2000,18,FALSE),0)</f>
        <v>1982.1375</v>
      </c>
      <c r="CC116" s="314">
        <f>IF(VLOOKUP($D116,'2018 Plan Data'!$A$4:$T$2000,19,FALSE)&gt;0,VLOOKUP($D116,'2018 Plan Data'!$A$4:$T$2000,19,FALSE),0)</f>
        <v>2774.9925000000003</v>
      </c>
      <c r="CD116" s="314">
        <f>IF(VLOOKUP($D116,'2018 Plan Data'!$A$4:$T$2000,20,FALSE)&gt;0,VLOOKUP($D116,'2018 Plan Data'!$A$4:$T$2000,20,FALSE),0)</f>
        <v>3567.8474999999999</v>
      </c>
      <c r="CE116" s="600" t="b">
        <f t="shared" si="126"/>
        <v>1</v>
      </c>
      <c r="CF116" s="600" t="b">
        <f t="shared" si="127"/>
        <v>1</v>
      </c>
      <c r="CG116" s="600" t="b">
        <f t="shared" si="128"/>
        <v>1</v>
      </c>
      <c r="CH116" s="600" t="b">
        <f t="shared" si="129"/>
        <v>1</v>
      </c>
      <c r="CI116" s="600" t="b">
        <f t="shared" si="130"/>
        <v>1</v>
      </c>
      <c r="CJ116" s="600" t="b">
        <f t="shared" si="131"/>
        <v>1</v>
      </c>
      <c r="CK116" s="600" t="b">
        <f t="shared" si="132"/>
        <v>1</v>
      </c>
      <c r="CL116" s="600" t="b">
        <f t="shared" si="133"/>
        <v>1</v>
      </c>
    </row>
    <row r="117" spans="1:90" ht="15" customHeight="1" x14ac:dyDescent="0.35">
      <c r="A117" s="585">
        <f t="shared" si="169"/>
        <v>112</v>
      </c>
      <c r="B117" s="600" t="str">
        <f t="shared" si="95"/>
        <v>Business_Standard</v>
      </c>
      <c r="C117" s="600"/>
      <c r="D117">
        <v>112</v>
      </c>
      <c r="E117" s="600" t="s">
        <v>1944</v>
      </c>
      <c r="F117" s="600" t="str">
        <f>VLOOKUP(G117,Sheet4!$D$6:$E$22,2,FALSE)</f>
        <v>Standard</v>
      </c>
      <c r="G117" t="s">
        <v>81</v>
      </c>
      <c r="H117" s="296" t="s">
        <v>149</v>
      </c>
      <c r="J117" s="18" t="s">
        <v>148</v>
      </c>
      <c r="K117" s="72" t="str">
        <f>INDEX('Measure Codes'!$F$4:$F$821,MATCH(H117,'Measure Codes'!$D$4:$D$821,0))</f>
        <v>4.2.15</v>
      </c>
      <c r="L117" s="72" t="str">
        <f>INDEX('Measure Codes'!$G$4:$G$821,MATCH(H117,'Measure Codes'!$D$4:$D$821,0))</f>
        <v>CI-FSE-IRUB-V02-180101</v>
      </c>
      <c r="M117" s="600">
        <v>1</v>
      </c>
      <c r="O117" s="72" t="str">
        <f t="shared" si="175"/>
        <v>Gas</v>
      </c>
      <c r="P117" s="7">
        <f>VLOOKUP(D117,'2018 Plan Data'!$A$4:$K$1000,11,FALSE)</f>
        <v>10</v>
      </c>
      <c r="Q117" s="652">
        <f>VLOOKUP(D117,'2018 Plan Data'!$A$4:$L$1000,12,FALSE)</f>
        <v>0</v>
      </c>
      <c r="R117" s="314">
        <f>'BUS Measure-Model Summary'!D108</f>
        <v>0</v>
      </c>
      <c r="T117" s="314">
        <f>'BUS Measure-Model Summary'!E108</f>
        <v>0</v>
      </c>
      <c r="V117" s="314">
        <f>'BUS Measure-Model Summary'!F108</f>
        <v>1089</v>
      </c>
      <c r="AD117" s="309">
        <f>INDEX('BUS Measure-Model Summary'!$I$6:$I$684,MATCH(H117,'BUS Measure-Model Summary'!$A$6:$A$684,0))</f>
        <v>0.84899999999999998</v>
      </c>
      <c r="AE117" s="309">
        <f t="shared" si="188"/>
        <v>0.84899999999999998</v>
      </c>
      <c r="AF117" s="309">
        <f t="shared" si="188"/>
        <v>0.84899999999999998</v>
      </c>
      <c r="AG117" s="309">
        <f t="shared" si="188"/>
        <v>0.84899999999999998</v>
      </c>
      <c r="AH117" s="314">
        <f t="shared" si="176"/>
        <v>0</v>
      </c>
      <c r="AI117" s="314">
        <f t="shared" si="177"/>
        <v>0</v>
      </c>
      <c r="AJ117" s="314">
        <f t="shared" si="178"/>
        <v>0</v>
      </c>
      <c r="AK117" s="314">
        <f t="shared" si="179"/>
        <v>0</v>
      </c>
      <c r="AL117" s="309">
        <f t="shared" si="180"/>
        <v>0.84899999999999998</v>
      </c>
      <c r="AM117" s="309">
        <f t="shared" si="181"/>
        <v>0.84899999999999998</v>
      </c>
      <c r="AN117" s="309">
        <f t="shared" si="182"/>
        <v>0.84899999999999998</v>
      </c>
      <c r="AO117" s="309">
        <f t="shared" si="183"/>
        <v>0.84899999999999998</v>
      </c>
      <c r="AP117" s="446">
        <f t="shared" si="184"/>
        <v>0</v>
      </c>
      <c r="AQ117" s="446">
        <f t="shared" si="185"/>
        <v>0</v>
      </c>
      <c r="AR117" s="446">
        <f t="shared" si="186"/>
        <v>0</v>
      </c>
      <c r="AS117" s="446">
        <f t="shared" si="187"/>
        <v>0</v>
      </c>
      <c r="AT117" s="309">
        <f>INDEX('BUS Measure-Model Summary'!$Y$6:$Y$684,MATCH(H117,'BUS Measure-Model Summary'!$A$6:$A$684,0))</f>
        <v>0.67500000000000004</v>
      </c>
      <c r="AU117" s="309">
        <f t="shared" si="189"/>
        <v>0.67500000000000004</v>
      </c>
      <c r="AV117" s="309">
        <f t="shared" si="189"/>
        <v>0.67500000000000004</v>
      </c>
      <c r="AW117" s="309">
        <f t="shared" si="189"/>
        <v>0.67500000000000004</v>
      </c>
      <c r="AX117" s="243">
        <f t="shared" si="190"/>
        <v>735.07500000000005</v>
      </c>
      <c r="AY117" s="243">
        <f t="shared" si="191"/>
        <v>735.07500000000005</v>
      </c>
      <c r="AZ117" s="243">
        <f t="shared" si="192"/>
        <v>735.07500000000005</v>
      </c>
      <c r="BA117" s="243">
        <f t="shared" si="193"/>
        <v>735.07500000000005</v>
      </c>
      <c r="BB117" s="243">
        <f>VLOOKUP($D117,'2018 Plan Data'!$A$4:$K$2000,6,FALSE)</f>
        <v>1</v>
      </c>
      <c r="BC117" s="243">
        <f>VLOOKUP($D117,'2018 Plan Data'!$A$4:$K$2000,7,FALSE)</f>
        <v>1</v>
      </c>
      <c r="BD117" s="243">
        <f>VLOOKUP($D117,'2018 Plan Data'!$A$4:$K$2000,8,FALSE)</f>
        <v>1</v>
      </c>
      <c r="BE117" s="243">
        <f>VLOOKUP($D117,'2018 Plan Data'!$A$4:$K$2000,9,FALSE)</f>
        <v>2</v>
      </c>
      <c r="BF117" s="243">
        <f t="shared" si="110"/>
        <v>0</v>
      </c>
      <c r="BG117" s="243">
        <f t="shared" si="111"/>
        <v>0</v>
      </c>
      <c r="BH117" s="243">
        <f t="shared" si="112"/>
        <v>0</v>
      </c>
      <c r="BI117" s="243">
        <f t="shared" si="113"/>
        <v>0</v>
      </c>
      <c r="BJ117" s="243">
        <f t="shared" si="114"/>
        <v>1089</v>
      </c>
      <c r="BK117" s="243">
        <f t="shared" si="115"/>
        <v>1089</v>
      </c>
      <c r="BL117" s="243">
        <f t="shared" si="116"/>
        <v>1089</v>
      </c>
      <c r="BM117" s="243">
        <f t="shared" si="117"/>
        <v>2178</v>
      </c>
      <c r="BN117" s="243">
        <f t="shared" si="158"/>
        <v>0</v>
      </c>
      <c r="BO117" s="243">
        <f t="shared" si="159"/>
        <v>0</v>
      </c>
      <c r="BP117" s="243">
        <f t="shared" si="160"/>
        <v>0</v>
      </c>
      <c r="BQ117" s="243">
        <f t="shared" si="161"/>
        <v>0</v>
      </c>
      <c r="BR117" s="243">
        <f t="shared" si="194"/>
        <v>735.07500000000005</v>
      </c>
      <c r="BS117" s="243">
        <f t="shared" si="195"/>
        <v>735.07500000000005</v>
      </c>
      <c r="BT117" s="243">
        <f t="shared" si="196"/>
        <v>735.07500000000005</v>
      </c>
      <c r="BU117" s="243">
        <f t="shared" si="197"/>
        <v>1470.15</v>
      </c>
      <c r="BV117" s="600"/>
      <c r="BW117" s="314">
        <f>VLOOKUP($D117,'2018 Plan Data'!$A$4:$T$2000,13,FALSE)</f>
        <v>0</v>
      </c>
      <c r="BX117" s="314">
        <f>VLOOKUP($D117,'2018 Plan Data'!$A$4:$T$2000,14,FALSE)</f>
        <v>0</v>
      </c>
      <c r="BY117" s="314">
        <f>VLOOKUP($D117,'2018 Plan Data'!$A$4:$T$2000,15,FALSE)</f>
        <v>0</v>
      </c>
      <c r="BZ117" s="314">
        <f>VLOOKUP($D117,'2018 Plan Data'!$A$4:$T$2000,16,FALSE)</f>
        <v>0</v>
      </c>
      <c r="CA117" s="314">
        <f>IF(VLOOKUP($D117,'2018 Plan Data'!$A$4:$T$2000,17,FALSE)&gt;0,VLOOKUP($D117,'2018 Plan Data'!$A$4:$T$2000,17,FALSE),0)</f>
        <v>735.07500000000005</v>
      </c>
      <c r="CB117" s="314">
        <f>IF(VLOOKUP($D117,'2018 Plan Data'!$A$4:$T$2000,18,FALSE)&gt;0,VLOOKUP($D117,'2018 Plan Data'!$A$4:$T$2000,18,FALSE),0)</f>
        <v>735.07500000000005</v>
      </c>
      <c r="CC117" s="314">
        <f>IF(VLOOKUP($D117,'2018 Plan Data'!$A$4:$T$2000,19,FALSE)&gt;0,VLOOKUP($D117,'2018 Plan Data'!$A$4:$T$2000,19,FALSE),0)</f>
        <v>735.07500000000005</v>
      </c>
      <c r="CD117" s="314">
        <f>IF(VLOOKUP($D117,'2018 Plan Data'!$A$4:$T$2000,20,FALSE)&gt;0,VLOOKUP($D117,'2018 Plan Data'!$A$4:$T$2000,20,FALSE),0)</f>
        <v>1470.15</v>
      </c>
      <c r="CE117" s="600" t="b">
        <f t="shared" si="126"/>
        <v>1</v>
      </c>
      <c r="CF117" s="600" t="b">
        <f t="shared" si="127"/>
        <v>1</v>
      </c>
      <c r="CG117" s="600" t="b">
        <f t="shared" si="128"/>
        <v>1</v>
      </c>
      <c r="CH117" s="600" t="b">
        <f t="shared" si="129"/>
        <v>1</v>
      </c>
      <c r="CI117" s="600" t="b">
        <f t="shared" si="130"/>
        <v>1</v>
      </c>
      <c r="CJ117" s="600" t="b">
        <f t="shared" si="131"/>
        <v>1</v>
      </c>
      <c r="CK117" s="600" t="b">
        <f t="shared" si="132"/>
        <v>1</v>
      </c>
      <c r="CL117" s="600" t="b">
        <f t="shared" si="133"/>
        <v>1</v>
      </c>
    </row>
    <row r="118" spans="1:90" ht="15" customHeight="1" x14ac:dyDescent="0.35">
      <c r="A118" s="585">
        <f t="shared" si="169"/>
        <v>111</v>
      </c>
      <c r="B118" s="600" t="str">
        <f t="shared" si="95"/>
        <v>Business_Standard</v>
      </c>
      <c r="C118" s="600"/>
      <c r="D118">
        <v>111</v>
      </c>
      <c r="E118" s="600" t="s">
        <v>1944</v>
      </c>
      <c r="F118" s="600" t="str">
        <f>VLOOKUP(G118,Sheet4!$D$6:$E$22,2,FALSE)</f>
        <v>Standard</v>
      </c>
      <c r="G118" t="s">
        <v>81</v>
      </c>
      <c r="H118" s="296" t="s">
        <v>150</v>
      </c>
      <c r="J118" s="18" t="s">
        <v>148</v>
      </c>
      <c r="K118" s="72" t="str">
        <f>INDEX('Measure Codes'!$F$4:$F$821,MATCH(H118,'Measure Codes'!$D$4:$D$821,0))</f>
        <v>4.2.14</v>
      </c>
      <c r="L118" s="72" t="str">
        <f>INDEX('Measure Codes'!$G$4:$G$821,MATCH(H118,'Measure Codes'!$D$4:$D$821,0))</f>
        <v>CI-FSE-IRBL-V02-180101</v>
      </c>
      <c r="M118" s="600">
        <v>1</v>
      </c>
      <c r="O118" s="72" t="str">
        <f t="shared" si="175"/>
        <v>Gas</v>
      </c>
      <c r="P118" s="7">
        <f>VLOOKUP(D118,'2018 Plan Data'!$A$4:$K$1000,11,FALSE)</f>
        <v>12</v>
      </c>
      <c r="Q118" s="652">
        <f>VLOOKUP(D118,'2018 Plan Data'!$A$4:$L$1000,12,FALSE)</f>
        <v>0</v>
      </c>
      <c r="R118" s="314">
        <f>'BUS Measure-Model Summary'!D109</f>
        <v>0</v>
      </c>
      <c r="T118" s="314">
        <f>'BUS Measure-Model Summary'!E109</f>
        <v>0</v>
      </c>
      <c r="V118" s="314">
        <f>'BUS Measure-Model Summary'!F109</f>
        <v>239</v>
      </c>
      <c r="AD118" s="309">
        <f>INDEX('BUS Measure-Model Summary'!$I$6:$I$684,MATCH(H118,'BUS Measure-Model Summary'!$A$6:$A$684,0))</f>
        <v>0.84899999999999998</v>
      </c>
      <c r="AE118" s="309">
        <f t="shared" si="188"/>
        <v>0.84899999999999998</v>
      </c>
      <c r="AF118" s="309">
        <f t="shared" si="188"/>
        <v>0.84899999999999998</v>
      </c>
      <c r="AG118" s="309">
        <f t="shared" si="188"/>
        <v>0.84899999999999998</v>
      </c>
      <c r="AH118" s="314">
        <f t="shared" si="176"/>
        <v>0</v>
      </c>
      <c r="AI118" s="314">
        <f t="shared" si="177"/>
        <v>0</v>
      </c>
      <c r="AJ118" s="314">
        <f t="shared" si="178"/>
        <v>0</v>
      </c>
      <c r="AK118" s="314">
        <f t="shared" si="179"/>
        <v>0</v>
      </c>
      <c r="AL118" s="309">
        <f t="shared" si="180"/>
        <v>0.84899999999999998</v>
      </c>
      <c r="AM118" s="309">
        <f t="shared" si="181"/>
        <v>0.84899999999999998</v>
      </c>
      <c r="AN118" s="309">
        <f t="shared" si="182"/>
        <v>0.84899999999999998</v>
      </c>
      <c r="AO118" s="309">
        <f t="shared" si="183"/>
        <v>0.84899999999999998</v>
      </c>
      <c r="AP118" s="446">
        <f t="shared" si="184"/>
        <v>0</v>
      </c>
      <c r="AQ118" s="446">
        <f t="shared" si="185"/>
        <v>0</v>
      </c>
      <c r="AR118" s="446">
        <f t="shared" si="186"/>
        <v>0</v>
      </c>
      <c r="AS118" s="446">
        <f t="shared" si="187"/>
        <v>0</v>
      </c>
      <c r="AT118" s="309">
        <f>INDEX('BUS Measure-Model Summary'!$Y$6:$Y$684,MATCH(H118,'BUS Measure-Model Summary'!$A$6:$A$684,0))</f>
        <v>0.67500000000000004</v>
      </c>
      <c r="AU118" s="309">
        <f t="shared" si="189"/>
        <v>0.67500000000000004</v>
      </c>
      <c r="AV118" s="309">
        <f t="shared" si="189"/>
        <v>0.67500000000000004</v>
      </c>
      <c r="AW118" s="309">
        <f t="shared" si="189"/>
        <v>0.67500000000000004</v>
      </c>
      <c r="AX118" s="243">
        <f t="shared" si="190"/>
        <v>161.32500000000002</v>
      </c>
      <c r="AY118" s="243">
        <f t="shared" si="191"/>
        <v>161.32500000000002</v>
      </c>
      <c r="AZ118" s="243">
        <f t="shared" si="192"/>
        <v>161.32500000000002</v>
      </c>
      <c r="BA118" s="243">
        <f t="shared" si="193"/>
        <v>161.32500000000002</v>
      </c>
      <c r="BB118" s="243">
        <f>VLOOKUP($D118,'2018 Plan Data'!$A$4:$K$2000,6,FALSE)</f>
        <v>1</v>
      </c>
      <c r="BC118" s="243">
        <f>VLOOKUP($D118,'2018 Plan Data'!$A$4:$K$2000,7,FALSE)</f>
        <v>1</v>
      </c>
      <c r="BD118" s="243">
        <f>VLOOKUP($D118,'2018 Plan Data'!$A$4:$K$2000,8,FALSE)</f>
        <v>1</v>
      </c>
      <c r="BE118" s="243">
        <f>VLOOKUP($D118,'2018 Plan Data'!$A$4:$K$2000,9,FALSE)</f>
        <v>1</v>
      </c>
      <c r="BF118" s="243">
        <f t="shared" si="110"/>
        <v>0</v>
      </c>
      <c r="BG118" s="243">
        <f t="shared" si="111"/>
        <v>0</v>
      </c>
      <c r="BH118" s="243">
        <f t="shared" si="112"/>
        <v>0</v>
      </c>
      <c r="BI118" s="243">
        <f t="shared" si="113"/>
        <v>0</v>
      </c>
      <c r="BJ118" s="243">
        <f t="shared" si="114"/>
        <v>239</v>
      </c>
      <c r="BK118" s="243">
        <f t="shared" si="115"/>
        <v>239</v>
      </c>
      <c r="BL118" s="243">
        <f t="shared" si="116"/>
        <v>239</v>
      </c>
      <c r="BM118" s="243">
        <f t="shared" si="117"/>
        <v>239</v>
      </c>
      <c r="BN118" s="243">
        <f t="shared" si="158"/>
        <v>0</v>
      </c>
      <c r="BO118" s="243">
        <f t="shared" si="159"/>
        <v>0</v>
      </c>
      <c r="BP118" s="243">
        <f t="shared" si="160"/>
        <v>0</v>
      </c>
      <c r="BQ118" s="243">
        <f t="shared" si="161"/>
        <v>0</v>
      </c>
      <c r="BR118" s="243">
        <f t="shared" si="194"/>
        <v>161.32500000000002</v>
      </c>
      <c r="BS118" s="243">
        <f t="shared" si="195"/>
        <v>161.32500000000002</v>
      </c>
      <c r="BT118" s="243">
        <f t="shared" si="196"/>
        <v>161.32500000000002</v>
      </c>
      <c r="BU118" s="243">
        <f t="shared" si="197"/>
        <v>161.32500000000002</v>
      </c>
      <c r="BV118" s="600"/>
      <c r="BW118" s="314">
        <f>VLOOKUP($D118,'2018 Plan Data'!$A$4:$T$2000,13,FALSE)</f>
        <v>0</v>
      </c>
      <c r="BX118" s="314">
        <f>VLOOKUP($D118,'2018 Plan Data'!$A$4:$T$2000,14,FALSE)</f>
        <v>0</v>
      </c>
      <c r="BY118" s="314">
        <f>VLOOKUP($D118,'2018 Plan Data'!$A$4:$T$2000,15,FALSE)</f>
        <v>0</v>
      </c>
      <c r="BZ118" s="314">
        <f>VLOOKUP($D118,'2018 Plan Data'!$A$4:$T$2000,16,FALSE)</f>
        <v>0</v>
      </c>
      <c r="CA118" s="314">
        <f>IF(VLOOKUP($D118,'2018 Plan Data'!$A$4:$T$2000,17,FALSE)&gt;0,VLOOKUP($D118,'2018 Plan Data'!$A$4:$T$2000,17,FALSE),0)</f>
        <v>161.32500000000002</v>
      </c>
      <c r="CB118" s="314">
        <f>IF(VLOOKUP($D118,'2018 Plan Data'!$A$4:$T$2000,18,FALSE)&gt;0,VLOOKUP($D118,'2018 Plan Data'!$A$4:$T$2000,18,FALSE),0)</f>
        <v>161.32500000000002</v>
      </c>
      <c r="CC118" s="314">
        <f>IF(VLOOKUP($D118,'2018 Plan Data'!$A$4:$T$2000,19,FALSE)&gt;0,VLOOKUP($D118,'2018 Plan Data'!$A$4:$T$2000,19,FALSE),0)</f>
        <v>161.32500000000002</v>
      </c>
      <c r="CD118" s="314">
        <f>IF(VLOOKUP($D118,'2018 Plan Data'!$A$4:$T$2000,20,FALSE)&gt;0,VLOOKUP($D118,'2018 Plan Data'!$A$4:$T$2000,20,FALSE),0)</f>
        <v>161.32500000000002</v>
      </c>
      <c r="CE118" s="600" t="b">
        <f t="shared" si="126"/>
        <v>1</v>
      </c>
      <c r="CF118" s="600" t="b">
        <f t="shared" si="127"/>
        <v>1</v>
      </c>
      <c r="CG118" s="600" t="b">
        <f t="shared" si="128"/>
        <v>1</v>
      </c>
      <c r="CH118" s="600" t="b">
        <f t="shared" si="129"/>
        <v>1</v>
      </c>
      <c r="CI118" s="600" t="b">
        <f t="shared" si="130"/>
        <v>1</v>
      </c>
      <c r="CJ118" s="600" t="b">
        <f t="shared" si="131"/>
        <v>1</v>
      </c>
      <c r="CK118" s="600" t="b">
        <f t="shared" si="132"/>
        <v>1</v>
      </c>
      <c r="CL118" s="600" t="b">
        <f t="shared" si="133"/>
        <v>1</v>
      </c>
    </row>
    <row r="119" spans="1:90" ht="15" customHeight="1" x14ac:dyDescent="0.35">
      <c r="A119" s="585">
        <f t="shared" si="169"/>
        <v>109</v>
      </c>
      <c r="B119" s="600" t="str">
        <f t="shared" si="95"/>
        <v>Business_Standard</v>
      </c>
      <c r="C119" s="600"/>
      <c r="D119">
        <v>109</v>
      </c>
      <c r="E119" s="600" t="s">
        <v>1944</v>
      </c>
      <c r="F119" s="600" t="str">
        <f>VLOOKUP(G119,Sheet4!$D$6:$E$22,2,FALSE)</f>
        <v>Standard</v>
      </c>
      <c r="G119" t="s">
        <v>81</v>
      </c>
      <c r="H119" s="296" t="s">
        <v>151</v>
      </c>
      <c r="J119" s="18" t="s">
        <v>148</v>
      </c>
      <c r="K119" s="72" t="str">
        <f>INDEX('Measure Codes'!$F$4:$F$821,MATCH(H119,'Measure Codes'!$D$4:$D$821,0))</f>
        <v>4.2.12</v>
      </c>
      <c r="L119" s="72" t="str">
        <f>INDEX('Measure Codes'!$G$4:$G$821,MATCH(H119,'Measure Codes'!$D$4:$D$821,0))</f>
        <v>CI-FSE-IRCB-V02-180101</v>
      </c>
      <c r="M119" s="600">
        <v>1</v>
      </c>
      <c r="O119" s="72" t="str">
        <f t="shared" si="175"/>
        <v>Gas</v>
      </c>
      <c r="P119" s="7">
        <f>VLOOKUP(D119,'2018 Plan Data'!$A$4:$K$1000,11,FALSE)</f>
        <v>12</v>
      </c>
      <c r="Q119" s="652">
        <f>VLOOKUP(D119,'2018 Plan Data'!$A$4:$L$1000,12,FALSE)</f>
        <v>0</v>
      </c>
      <c r="R119" s="314">
        <f>'BUS Measure-Model Summary'!D110</f>
        <v>0</v>
      </c>
      <c r="T119" s="314">
        <f>'BUS Measure-Model Summary'!E110</f>
        <v>0</v>
      </c>
      <c r="V119" s="314">
        <f>'BUS Measure-Model Summary'!F110</f>
        <v>661</v>
      </c>
      <c r="AD119" s="309">
        <f>INDEX('BUS Measure-Model Summary'!$I$6:$I$684,MATCH(H119,'BUS Measure-Model Summary'!$A$6:$A$684,0))</f>
        <v>0.84899999999999998</v>
      </c>
      <c r="AE119" s="309">
        <f t="shared" si="188"/>
        <v>0.84899999999999998</v>
      </c>
      <c r="AF119" s="309">
        <f t="shared" si="188"/>
        <v>0.84899999999999998</v>
      </c>
      <c r="AG119" s="309">
        <f t="shared" si="188"/>
        <v>0.84899999999999998</v>
      </c>
      <c r="AH119" s="314">
        <f t="shared" si="176"/>
        <v>0</v>
      </c>
      <c r="AI119" s="314">
        <f t="shared" si="177"/>
        <v>0</v>
      </c>
      <c r="AJ119" s="314">
        <f t="shared" si="178"/>
        <v>0</v>
      </c>
      <c r="AK119" s="314">
        <f t="shared" si="179"/>
        <v>0</v>
      </c>
      <c r="AL119" s="309">
        <f t="shared" si="180"/>
        <v>0.84899999999999998</v>
      </c>
      <c r="AM119" s="309">
        <f t="shared" si="181"/>
        <v>0.84899999999999998</v>
      </c>
      <c r="AN119" s="309">
        <f t="shared" si="182"/>
        <v>0.84899999999999998</v>
      </c>
      <c r="AO119" s="309">
        <f t="shared" si="183"/>
        <v>0.84899999999999998</v>
      </c>
      <c r="AP119" s="446">
        <f t="shared" si="184"/>
        <v>0</v>
      </c>
      <c r="AQ119" s="446">
        <f t="shared" si="185"/>
        <v>0</v>
      </c>
      <c r="AR119" s="446">
        <f t="shared" si="186"/>
        <v>0</v>
      </c>
      <c r="AS119" s="446">
        <f t="shared" si="187"/>
        <v>0</v>
      </c>
      <c r="AT119" s="309">
        <f>INDEX('BUS Measure-Model Summary'!$Y$6:$Y$684,MATCH(H119,'BUS Measure-Model Summary'!$A$6:$A$684,0))</f>
        <v>0.67500000000000004</v>
      </c>
      <c r="AU119" s="309">
        <f t="shared" si="189"/>
        <v>0.67500000000000004</v>
      </c>
      <c r="AV119" s="309">
        <f t="shared" si="189"/>
        <v>0.67500000000000004</v>
      </c>
      <c r="AW119" s="309">
        <f t="shared" si="189"/>
        <v>0.67500000000000004</v>
      </c>
      <c r="AX119" s="243">
        <f t="shared" si="190"/>
        <v>446.17500000000001</v>
      </c>
      <c r="AY119" s="243">
        <f t="shared" si="191"/>
        <v>446.17500000000001</v>
      </c>
      <c r="AZ119" s="243">
        <f t="shared" si="192"/>
        <v>446.17500000000001</v>
      </c>
      <c r="BA119" s="243">
        <f t="shared" si="193"/>
        <v>446.17500000000001</v>
      </c>
      <c r="BB119" s="243">
        <f>VLOOKUP($D119,'2018 Plan Data'!$A$4:$K$2000,6,FALSE)</f>
        <v>1</v>
      </c>
      <c r="BC119" s="243">
        <f>VLOOKUP($D119,'2018 Plan Data'!$A$4:$K$2000,7,FALSE)</f>
        <v>1</v>
      </c>
      <c r="BD119" s="243">
        <f>VLOOKUP($D119,'2018 Plan Data'!$A$4:$K$2000,8,FALSE)</f>
        <v>1</v>
      </c>
      <c r="BE119" s="243">
        <f>VLOOKUP($D119,'2018 Plan Data'!$A$4:$K$2000,9,FALSE)</f>
        <v>1</v>
      </c>
      <c r="BF119" s="243">
        <f t="shared" si="110"/>
        <v>0</v>
      </c>
      <c r="BG119" s="243">
        <f t="shared" si="111"/>
        <v>0</v>
      </c>
      <c r="BH119" s="243">
        <f t="shared" si="112"/>
        <v>0</v>
      </c>
      <c r="BI119" s="243">
        <f t="shared" si="113"/>
        <v>0</v>
      </c>
      <c r="BJ119" s="243">
        <f t="shared" si="114"/>
        <v>661</v>
      </c>
      <c r="BK119" s="243">
        <f t="shared" si="115"/>
        <v>661</v>
      </c>
      <c r="BL119" s="243">
        <f t="shared" si="116"/>
        <v>661</v>
      </c>
      <c r="BM119" s="243">
        <f t="shared" si="117"/>
        <v>661</v>
      </c>
      <c r="BN119" s="243">
        <f t="shared" si="158"/>
        <v>0</v>
      </c>
      <c r="BO119" s="243">
        <f t="shared" si="159"/>
        <v>0</v>
      </c>
      <c r="BP119" s="243">
        <f t="shared" si="160"/>
        <v>0</v>
      </c>
      <c r="BQ119" s="243">
        <f t="shared" si="161"/>
        <v>0</v>
      </c>
      <c r="BR119" s="243">
        <f t="shared" si="194"/>
        <v>446.17500000000001</v>
      </c>
      <c r="BS119" s="243">
        <f t="shared" si="195"/>
        <v>446.17500000000001</v>
      </c>
      <c r="BT119" s="243">
        <f t="shared" si="196"/>
        <v>446.17500000000001</v>
      </c>
      <c r="BU119" s="243">
        <f t="shared" si="197"/>
        <v>446.17500000000001</v>
      </c>
      <c r="BV119" s="600"/>
      <c r="BW119" s="314">
        <f>VLOOKUP($D119,'2018 Plan Data'!$A$4:$T$2000,13,FALSE)</f>
        <v>0</v>
      </c>
      <c r="BX119" s="314">
        <f>VLOOKUP($D119,'2018 Plan Data'!$A$4:$T$2000,14,FALSE)</f>
        <v>0</v>
      </c>
      <c r="BY119" s="314">
        <f>VLOOKUP($D119,'2018 Plan Data'!$A$4:$T$2000,15,FALSE)</f>
        <v>0</v>
      </c>
      <c r="BZ119" s="314">
        <f>VLOOKUP($D119,'2018 Plan Data'!$A$4:$T$2000,16,FALSE)</f>
        <v>0</v>
      </c>
      <c r="CA119" s="314">
        <f>IF(VLOOKUP($D119,'2018 Plan Data'!$A$4:$T$2000,17,FALSE)&gt;0,VLOOKUP($D119,'2018 Plan Data'!$A$4:$T$2000,17,FALSE),0)</f>
        <v>446.17500000000001</v>
      </c>
      <c r="CB119" s="314">
        <f>IF(VLOOKUP($D119,'2018 Plan Data'!$A$4:$T$2000,18,FALSE)&gt;0,VLOOKUP($D119,'2018 Plan Data'!$A$4:$T$2000,18,FALSE),0)</f>
        <v>446.17500000000001</v>
      </c>
      <c r="CC119" s="314">
        <f>IF(VLOOKUP($D119,'2018 Plan Data'!$A$4:$T$2000,19,FALSE)&gt;0,VLOOKUP($D119,'2018 Plan Data'!$A$4:$T$2000,19,FALSE),0)</f>
        <v>446.17500000000001</v>
      </c>
      <c r="CD119" s="314">
        <f>IF(VLOOKUP($D119,'2018 Plan Data'!$A$4:$T$2000,20,FALSE)&gt;0,VLOOKUP($D119,'2018 Plan Data'!$A$4:$T$2000,20,FALSE),0)</f>
        <v>446.17500000000001</v>
      </c>
      <c r="CE119" s="600" t="b">
        <f t="shared" si="126"/>
        <v>1</v>
      </c>
      <c r="CF119" s="600" t="b">
        <f t="shared" si="127"/>
        <v>1</v>
      </c>
      <c r="CG119" s="600" t="b">
        <f t="shared" si="128"/>
        <v>1</v>
      </c>
      <c r="CH119" s="600" t="b">
        <f t="shared" si="129"/>
        <v>1</v>
      </c>
      <c r="CI119" s="600" t="b">
        <f t="shared" si="130"/>
        <v>1</v>
      </c>
      <c r="CJ119" s="600" t="b">
        <f t="shared" si="131"/>
        <v>1</v>
      </c>
      <c r="CK119" s="600" t="b">
        <f t="shared" si="132"/>
        <v>1</v>
      </c>
      <c r="CL119" s="600" t="b">
        <f t="shared" si="133"/>
        <v>1</v>
      </c>
    </row>
    <row r="120" spans="1:90" ht="15" customHeight="1" x14ac:dyDescent="0.35">
      <c r="A120" s="585">
        <f t="shared" si="169"/>
        <v>110</v>
      </c>
      <c r="B120" s="600" t="str">
        <f t="shared" si="95"/>
        <v>Business_Standard</v>
      </c>
      <c r="C120" s="600"/>
      <c r="D120">
        <v>110</v>
      </c>
      <c r="E120" s="600" t="s">
        <v>1944</v>
      </c>
      <c r="F120" s="600" t="str">
        <f>VLOOKUP(G120,Sheet4!$D$6:$E$22,2,FALSE)</f>
        <v>Standard</v>
      </c>
      <c r="G120" t="s">
        <v>81</v>
      </c>
      <c r="H120" s="296" t="s">
        <v>152</v>
      </c>
      <c r="J120" s="18" t="s">
        <v>148</v>
      </c>
      <c r="K120" s="72" t="str">
        <f>INDEX('Measure Codes'!$F$4:$F$821,MATCH(H120,'Measure Codes'!$D$4:$D$821,0))</f>
        <v>4.2.13</v>
      </c>
      <c r="L120" s="72" t="str">
        <f>INDEX('Measure Codes'!$G$4:$G$821,MATCH(H120,'Measure Codes'!$D$4:$D$821,0))</f>
        <v>CI-FSE-IROV-V02-180101</v>
      </c>
      <c r="M120" s="600">
        <v>1</v>
      </c>
      <c r="O120" s="72" t="str">
        <f t="shared" si="175"/>
        <v>Gas</v>
      </c>
      <c r="P120" s="7">
        <f>VLOOKUP(D120,'2018 Plan Data'!$A$4:$K$1000,11,FALSE)</f>
        <v>12</v>
      </c>
      <c r="Q120" s="652">
        <f>VLOOKUP(D120,'2018 Plan Data'!$A$4:$L$1000,12,FALSE)</f>
        <v>0</v>
      </c>
      <c r="R120" s="314">
        <f>'BUS Measure-Model Summary'!D111</f>
        <v>0</v>
      </c>
      <c r="T120" s="314">
        <f>'BUS Measure-Model Summary'!E111</f>
        <v>0</v>
      </c>
      <c r="V120" s="314">
        <f>'BUS Measure-Model Summary'!F111</f>
        <v>554</v>
      </c>
      <c r="AD120" s="309">
        <f>INDEX('BUS Measure-Model Summary'!$I$6:$I$684,MATCH(H120,'BUS Measure-Model Summary'!$A$6:$A$684,0))</f>
        <v>0.84899999999999998</v>
      </c>
      <c r="AE120" s="309">
        <f t="shared" si="188"/>
        <v>0.84899999999999998</v>
      </c>
      <c r="AF120" s="309">
        <f t="shared" si="188"/>
        <v>0.84899999999999998</v>
      </c>
      <c r="AG120" s="309">
        <f t="shared" si="188"/>
        <v>0.84899999999999998</v>
      </c>
      <c r="AH120" s="314">
        <f t="shared" si="176"/>
        <v>0</v>
      </c>
      <c r="AI120" s="314">
        <f t="shared" si="177"/>
        <v>0</v>
      </c>
      <c r="AJ120" s="314">
        <f t="shared" si="178"/>
        <v>0</v>
      </c>
      <c r="AK120" s="314">
        <f t="shared" si="179"/>
        <v>0</v>
      </c>
      <c r="AL120" s="309">
        <f t="shared" si="180"/>
        <v>0.84899999999999998</v>
      </c>
      <c r="AM120" s="309">
        <f t="shared" si="181"/>
        <v>0.84899999999999998</v>
      </c>
      <c r="AN120" s="309">
        <f t="shared" si="182"/>
        <v>0.84899999999999998</v>
      </c>
      <c r="AO120" s="309">
        <f t="shared" si="183"/>
        <v>0.84899999999999998</v>
      </c>
      <c r="AP120" s="446">
        <f t="shared" si="184"/>
        <v>0</v>
      </c>
      <c r="AQ120" s="446">
        <f t="shared" si="185"/>
        <v>0</v>
      </c>
      <c r="AR120" s="446">
        <f t="shared" si="186"/>
        <v>0</v>
      </c>
      <c r="AS120" s="446">
        <f t="shared" si="187"/>
        <v>0</v>
      </c>
      <c r="AT120" s="309">
        <f>INDEX('BUS Measure-Model Summary'!$Y$6:$Y$684,MATCH(H120,'BUS Measure-Model Summary'!$A$6:$A$684,0))</f>
        <v>0.67500000000000004</v>
      </c>
      <c r="AU120" s="309">
        <f t="shared" si="189"/>
        <v>0.67500000000000004</v>
      </c>
      <c r="AV120" s="309">
        <f t="shared" si="189"/>
        <v>0.67500000000000004</v>
      </c>
      <c r="AW120" s="309">
        <f t="shared" si="189"/>
        <v>0.67500000000000004</v>
      </c>
      <c r="AX120" s="243">
        <f t="shared" si="190"/>
        <v>373.95000000000005</v>
      </c>
      <c r="AY120" s="243">
        <f t="shared" si="191"/>
        <v>373.95000000000005</v>
      </c>
      <c r="AZ120" s="243">
        <f t="shared" si="192"/>
        <v>373.95000000000005</v>
      </c>
      <c r="BA120" s="243">
        <f t="shared" si="193"/>
        <v>373.95000000000005</v>
      </c>
      <c r="BB120" s="243">
        <f>VLOOKUP($D120,'2018 Plan Data'!$A$4:$K$2000,6,FALSE)</f>
        <v>1</v>
      </c>
      <c r="BC120" s="243">
        <f>VLOOKUP($D120,'2018 Plan Data'!$A$4:$K$2000,7,FALSE)</f>
        <v>1</v>
      </c>
      <c r="BD120" s="243">
        <f>VLOOKUP($D120,'2018 Plan Data'!$A$4:$K$2000,8,FALSE)</f>
        <v>1</v>
      </c>
      <c r="BE120" s="243">
        <f>VLOOKUP($D120,'2018 Plan Data'!$A$4:$K$2000,9,FALSE)</f>
        <v>1</v>
      </c>
      <c r="BF120" s="243">
        <f t="shared" si="110"/>
        <v>0</v>
      </c>
      <c r="BG120" s="243">
        <f t="shared" si="111"/>
        <v>0</v>
      </c>
      <c r="BH120" s="243">
        <f t="shared" si="112"/>
        <v>0</v>
      </c>
      <c r="BI120" s="243">
        <f t="shared" si="113"/>
        <v>0</v>
      </c>
      <c r="BJ120" s="243">
        <f t="shared" si="114"/>
        <v>554</v>
      </c>
      <c r="BK120" s="243">
        <f t="shared" si="115"/>
        <v>554</v>
      </c>
      <c r="BL120" s="243">
        <f t="shared" si="116"/>
        <v>554</v>
      </c>
      <c r="BM120" s="243">
        <f t="shared" si="117"/>
        <v>554</v>
      </c>
      <c r="BN120" s="243">
        <f t="shared" si="158"/>
        <v>0</v>
      </c>
      <c r="BO120" s="243">
        <f t="shared" si="159"/>
        <v>0</v>
      </c>
      <c r="BP120" s="243">
        <f t="shared" si="160"/>
        <v>0</v>
      </c>
      <c r="BQ120" s="243">
        <f t="shared" si="161"/>
        <v>0</v>
      </c>
      <c r="BR120" s="243">
        <f t="shared" si="194"/>
        <v>373.95000000000005</v>
      </c>
      <c r="BS120" s="243">
        <f t="shared" si="195"/>
        <v>373.95000000000005</v>
      </c>
      <c r="BT120" s="243">
        <f t="shared" si="196"/>
        <v>373.95000000000005</v>
      </c>
      <c r="BU120" s="243">
        <f t="shared" si="197"/>
        <v>373.95000000000005</v>
      </c>
      <c r="BV120" s="600"/>
      <c r="BW120" s="314">
        <f>VLOOKUP($D120,'2018 Plan Data'!$A$4:$T$2000,13,FALSE)</f>
        <v>0</v>
      </c>
      <c r="BX120" s="314">
        <f>VLOOKUP($D120,'2018 Plan Data'!$A$4:$T$2000,14,FALSE)</f>
        <v>0</v>
      </c>
      <c r="BY120" s="314">
        <f>VLOOKUP($D120,'2018 Plan Data'!$A$4:$T$2000,15,FALSE)</f>
        <v>0</v>
      </c>
      <c r="BZ120" s="314">
        <f>VLOOKUP($D120,'2018 Plan Data'!$A$4:$T$2000,16,FALSE)</f>
        <v>0</v>
      </c>
      <c r="CA120" s="314">
        <f>IF(VLOOKUP($D120,'2018 Plan Data'!$A$4:$T$2000,17,FALSE)&gt;0,VLOOKUP($D120,'2018 Plan Data'!$A$4:$T$2000,17,FALSE),0)</f>
        <v>373.95000000000005</v>
      </c>
      <c r="CB120" s="314">
        <f>IF(VLOOKUP($D120,'2018 Plan Data'!$A$4:$T$2000,18,FALSE)&gt;0,VLOOKUP($D120,'2018 Plan Data'!$A$4:$T$2000,18,FALSE),0)</f>
        <v>373.95000000000005</v>
      </c>
      <c r="CC120" s="314">
        <f>IF(VLOOKUP($D120,'2018 Plan Data'!$A$4:$T$2000,19,FALSE)&gt;0,VLOOKUP($D120,'2018 Plan Data'!$A$4:$T$2000,19,FALSE),0)</f>
        <v>373.95000000000005</v>
      </c>
      <c r="CD120" s="314">
        <f>IF(VLOOKUP($D120,'2018 Plan Data'!$A$4:$T$2000,20,FALSE)&gt;0,VLOOKUP($D120,'2018 Plan Data'!$A$4:$T$2000,20,FALSE),0)</f>
        <v>373.95000000000005</v>
      </c>
      <c r="CE120" s="600" t="b">
        <f t="shared" si="126"/>
        <v>1</v>
      </c>
      <c r="CF120" s="600" t="b">
        <f t="shared" si="127"/>
        <v>1</v>
      </c>
      <c r="CG120" s="600" t="b">
        <f t="shared" si="128"/>
        <v>1</v>
      </c>
      <c r="CH120" s="600" t="b">
        <f t="shared" si="129"/>
        <v>1</v>
      </c>
      <c r="CI120" s="600" t="b">
        <f t="shared" si="130"/>
        <v>1</v>
      </c>
      <c r="CJ120" s="600" t="b">
        <f t="shared" si="131"/>
        <v>1</v>
      </c>
      <c r="CK120" s="600" t="b">
        <f t="shared" si="132"/>
        <v>1</v>
      </c>
      <c r="CL120" s="600" t="b">
        <f t="shared" si="133"/>
        <v>1</v>
      </c>
    </row>
    <row r="121" spans="1:90" ht="15" customHeight="1" x14ac:dyDescent="0.35">
      <c r="A121" s="585">
        <f t="shared" si="169"/>
        <v>113</v>
      </c>
      <c r="B121" s="600" t="str">
        <f t="shared" si="95"/>
        <v>Business_Standard</v>
      </c>
      <c r="C121" s="600"/>
      <c r="D121">
        <v>113</v>
      </c>
      <c r="E121" s="600" t="s">
        <v>1944</v>
      </c>
      <c r="F121" s="600" t="str">
        <f>VLOOKUP(G121,Sheet4!$D$6:$E$22,2,FALSE)</f>
        <v>Standard</v>
      </c>
      <c r="G121" t="s">
        <v>81</v>
      </c>
      <c r="H121" s="296" t="s">
        <v>153</v>
      </c>
      <c r="J121" s="18" t="s">
        <v>148</v>
      </c>
      <c r="K121" s="72" t="str">
        <f>INDEX('Measure Codes'!$F$4:$F$821,MATCH(H121,'Measure Codes'!$D$4:$D$821,0))</f>
        <v>4.2.17</v>
      </c>
      <c r="L121" s="72" t="str">
        <f>INDEX('Measure Codes'!$G$4:$G$821,MATCH(H121,'Measure Codes'!$D$4:$D$821,0))</f>
        <v>CI-FSE-PCOK-V02-180101</v>
      </c>
      <c r="M121" s="600">
        <v>1</v>
      </c>
      <c r="O121" s="72" t="str">
        <f t="shared" si="175"/>
        <v>Gas</v>
      </c>
      <c r="P121" s="7">
        <f>VLOOKUP(D121,'2018 Plan Data'!$A$4:$K$1000,11,FALSE)</f>
        <v>12</v>
      </c>
      <c r="Q121" s="652">
        <f>VLOOKUP(D121,'2018 Plan Data'!$A$4:$L$1000,12,FALSE)</f>
        <v>0</v>
      </c>
      <c r="R121" s="314">
        <f>'BUS Measure-Model Summary'!D112</f>
        <v>0</v>
      </c>
      <c r="T121" s="314">
        <f>'BUS Measure-Model Summary'!E112</f>
        <v>0</v>
      </c>
      <c r="V121" s="314">
        <f>'BUS Measure-Model Summary'!F112</f>
        <v>1380</v>
      </c>
      <c r="AD121" s="309">
        <f>INDEX('BUS Measure-Model Summary'!$I$6:$I$684,MATCH(H121,'BUS Measure-Model Summary'!$A$6:$A$684,0))</f>
        <v>0.84899999999999998</v>
      </c>
      <c r="AE121" s="309">
        <f t="shared" si="188"/>
        <v>0.84899999999999998</v>
      </c>
      <c r="AF121" s="309">
        <f t="shared" si="188"/>
        <v>0.84899999999999998</v>
      </c>
      <c r="AG121" s="309">
        <f t="shared" si="188"/>
        <v>0.84899999999999998</v>
      </c>
      <c r="AH121" s="314">
        <f t="shared" si="176"/>
        <v>0</v>
      </c>
      <c r="AI121" s="314">
        <f t="shared" si="177"/>
        <v>0</v>
      </c>
      <c r="AJ121" s="314">
        <f t="shared" si="178"/>
        <v>0</v>
      </c>
      <c r="AK121" s="314">
        <f t="shared" si="179"/>
        <v>0</v>
      </c>
      <c r="AL121" s="309">
        <f t="shared" si="180"/>
        <v>0.84899999999999998</v>
      </c>
      <c r="AM121" s="309">
        <f t="shared" si="181"/>
        <v>0.84899999999999998</v>
      </c>
      <c r="AN121" s="309">
        <f t="shared" si="182"/>
        <v>0.84899999999999998</v>
      </c>
      <c r="AO121" s="309">
        <f t="shared" si="183"/>
        <v>0.84899999999999998</v>
      </c>
      <c r="AP121" s="446">
        <f t="shared" si="184"/>
        <v>0</v>
      </c>
      <c r="AQ121" s="446">
        <f t="shared" si="185"/>
        <v>0</v>
      </c>
      <c r="AR121" s="446">
        <f t="shared" si="186"/>
        <v>0</v>
      </c>
      <c r="AS121" s="446">
        <f t="shared" si="187"/>
        <v>0</v>
      </c>
      <c r="AT121" s="309">
        <f>INDEX('BUS Measure-Model Summary'!$Y$6:$Y$684,MATCH(H121,'BUS Measure-Model Summary'!$A$6:$A$684,0))</f>
        <v>0.67500000000000004</v>
      </c>
      <c r="AU121" s="309">
        <f t="shared" si="189"/>
        <v>0.67500000000000004</v>
      </c>
      <c r="AV121" s="309">
        <f t="shared" si="189"/>
        <v>0.67500000000000004</v>
      </c>
      <c r="AW121" s="309">
        <f t="shared" si="189"/>
        <v>0.67500000000000004</v>
      </c>
      <c r="AX121" s="243">
        <f t="shared" si="190"/>
        <v>931.50000000000011</v>
      </c>
      <c r="AY121" s="243">
        <f t="shared" si="191"/>
        <v>931.50000000000011</v>
      </c>
      <c r="AZ121" s="243">
        <f t="shared" si="192"/>
        <v>931.50000000000011</v>
      </c>
      <c r="BA121" s="243">
        <f t="shared" si="193"/>
        <v>931.50000000000011</v>
      </c>
      <c r="BB121" s="243">
        <f>VLOOKUP($D121,'2018 Plan Data'!$A$4:$K$2000,6,FALSE)</f>
        <v>1</v>
      </c>
      <c r="BC121" s="243">
        <f>VLOOKUP($D121,'2018 Plan Data'!$A$4:$K$2000,7,FALSE)</f>
        <v>0</v>
      </c>
      <c r="BD121" s="243">
        <f>VLOOKUP($D121,'2018 Plan Data'!$A$4:$K$2000,8,FALSE)</f>
        <v>2</v>
      </c>
      <c r="BE121" s="243">
        <f>VLOOKUP($D121,'2018 Plan Data'!$A$4:$K$2000,9,FALSE)</f>
        <v>2</v>
      </c>
      <c r="BF121" s="243">
        <f t="shared" si="110"/>
        <v>0</v>
      </c>
      <c r="BG121" s="243">
        <f t="shared" si="111"/>
        <v>0</v>
      </c>
      <c r="BH121" s="243">
        <f t="shared" si="112"/>
        <v>0</v>
      </c>
      <c r="BI121" s="243">
        <f t="shared" si="113"/>
        <v>0</v>
      </c>
      <c r="BJ121" s="243">
        <f t="shared" si="114"/>
        <v>1380</v>
      </c>
      <c r="BK121" s="243">
        <f t="shared" si="115"/>
        <v>0</v>
      </c>
      <c r="BL121" s="243">
        <f t="shared" si="116"/>
        <v>2760</v>
      </c>
      <c r="BM121" s="243">
        <f t="shared" si="117"/>
        <v>2760</v>
      </c>
      <c r="BN121" s="243">
        <f t="shared" si="158"/>
        <v>0</v>
      </c>
      <c r="BO121" s="243">
        <f t="shared" si="159"/>
        <v>0</v>
      </c>
      <c r="BP121" s="243">
        <f t="shared" si="160"/>
        <v>0</v>
      </c>
      <c r="BQ121" s="243">
        <f t="shared" si="161"/>
        <v>0</v>
      </c>
      <c r="BR121" s="243">
        <f t="shared" si="194"/>
        <v>931.50000000000011</v>
      </c>
      <c r="BS121" s="243">
        <f t="shared" si="195"/>
        <v>0</v>
      </c>
      <c r="BT121" s="243">
        <f t="shared" si="196"/>
        <v>1863.0000000000002</v>
      </c>
      <c r="BU121" s="243">
        <f t="shared" si="197"/>
        <v>1863.0000000000002</v>
      </c>
      <c r="BV121" s="600"/>
      <c r="BW121" s="314">
        <f>VLOOKUP($D121,'2018 Plan Data'!$A$4:$T$2000,13,FALSE)</f>
        <v>0</v>
      </c>
      <c r="BX121" s="314">
        <f>VLOOKUP($D121,'2018 Plan Data'!$A$4:$T$2000,14,FALSE)</f>
        <v>0</v>
      </c>
      <c r="BY121" s="314">
        <f>VLOOKUP($D121,'2018 Plan Data'!$A$4:$T$2000,15,FALSE)</f>
        <v>0</v>
      </c>
      <c r="BZ121" s="314">
        <f>VLOOKUP($D121,'2018 Plan Data'!$A$4:$T$2000,16,FALSE)</f>
        <v>0</v>
      </c>
      <c r="CA121" s="314">
        <f>IF(VLOOKUP($D121,'2018 Plan Data'!$A$4:$T$2000,17,FALSE)&gt;0,VLOOKUP($D121,'2018 Plan Data'!$A$4:$T$2000,17,FALSE),0)</f>
        <v>931.50000000000011</v>
      </c>
      <c r="CB121" s="314">
        <f>IF(VLOOKUP($D121,'2018 Plan Data'!$A$4:$T$2000,18,FALSE)&gt;0,VLOOKUP($D121,'2018 Plan Data'!$A$4:$T$2000,18,FALSE),0)</f>
        <v>0</v>
      </c>
      <c r="CC121" s="314">
        <f>IF(VLOOKUP($D121,'2018 Plan Data'!$A$4:$T$2000,19,FALSE)&gt;0,VLOOKUP($D121,'2018 Plan Data'!$A$4:$T$2000,19,FALSE),0)</f>
        <v>1863.0000000000002</v>
      </c>
      <c r="CD121" s="314">
        <f>IF(VLOOKUP($D121,'2018 Plan Data'!$A$4:$T$2000,20,FALSE)&gt;0,VLOOKUP($D121,'2018 Plan Data'!$A$4:$T$2000,20,FALSE),0)</f>
        <v>1863.0000000000002</v>
      </c>
      <c r="CE121" s="600" t="b">
        <f t="shared" si="126"/>
        <v>1</v>
      </c>
      <c r="CF121" s="600" t="b">
        <f t="shared" si="127"/>
        <v>1</v>
      </c>
      <c r="CG121" s="600" t="b">
        <f t="shared" si="128"/>
        <v>1</v>
      </c>
      <c r="CH121" s="600" t="b">
        <f t="shared" si="129"/>
        <v>1</v>
      </c>
      <c r="CI121" s="600" t="b">
        <f t="shared" si="130"/>
        <v>1</v>
      </c>
      <c r="CJ121" s="600" t="b">
        <f t="shared" si="131"/>
        <v>1</v>
      </c>
      <c r="CK121" s="600" t="b">
        <f t="shared" si="132"/>
        <v>1</v>
      </c>
      <c r="CL121" s="600" t="b">
        <f t="shared" si="133"/>
        <v>1</v>
      </c>
    </row>
    <row r="122" spans="1:90" ht="15" customHeight="1" x14ac:dyDescent="0.35">
      <c r="A122" s="585">
        <f t="shared" si="169"/>
        <v>114</v>
      </c>
      <c r="B122" s="600" t="str">
        <f t="shared" si="95"/>
        <v>Business_Standard</v>
      </c>
      <c r="C122" s="600"/>
      <c r="D122">
        <v>114</v>
      </c>
      <c r="E122" s="600" t="s">
        <v>1944</v>
      </c>
      <c r="F122" s="600" t="str">
        <f>VLOOKUP(G122,Sheet4!$D$6:$E$22,2,FALSE)</f>
        <v>Standard</v>
      </c>
      <c r="G122" t="s">
        <v>81</v>
      </c>
      <c r="H122" s="296" t="s">
        <v>154</v>
      </c>
      <c r="J122" s="18" t="s">
        <v>148</v>
      </c>
      <c r="K122" s="72" t="str">
        <f>INDEX('Measure Codes'!$F$4:$F$821,MATCH(H122,'Measure Codes'!$D$4:$D$821,0))</f>
        <v>4.2.18</v>
      </c>
      <c r="L122" s="72" t="str">
        <f>INDEX('Measure Codes'!$G$4:$G$821,MATCH(H122,'Measure Codes'!$D$4:$D$821,0))</f>
        <v>CI-FSE-RKOV-VO2-180101</v>
      </c>
      <c r="M122" s="600">
        <v>1</v>
      </c>
      <c r="O122" s="72" t="str">
        <f t="shared" si="175"/>
        <v>Gas</v>
      </c>
      <c r="P122" s="7">
        <f>VLOOKUP(D122,'2018 Plan Data'!$A$4:$K$1000,11,FALSE)</f>
        <v>12</v>
      </c>
      <c r="Q122" s="652">
        <f>VLOOKUP(D122,'2018 Plan Data'!$A$4:$L$1000,12,FALSE)</f>
        <v>0</v>
      </c>
      <c r="R122" s="314">
        <f>'BUS Measure-Model Summary'!D113</f>
        <v>0</v>
      </c>
      <c r="T122" s="314">
        <f>'BUS Measure-Model Summary'!E113</f>
        <v>0</v>
      </c>
      <c r="V122" s="314">
        <f>'BUS Measure-Model Summary'!F113</f>
        <v>2064</v>
      </c>
      <c r="AD122" s="309">
        <f>INDEX('BUS Measure-Model Summary'!$I$6:$I$684,MATCH(H122,'BUS Measure-Model Summary'!$A$6:$A$684,0))</f>
        <v>0.84899999999999998</v>
      </c>
      <c r="AE122" s="309">
        <f t="shared" si="188"/>
        <v>0.84899999999999998</v>
      </c>
      <c r="AF122" s="309">
        <f t="shared" si="188"/>
        <v>0.84899999999999998</v>
      </c>
      <c r="AG122" s="309">
        <f t="shared" si="188"/>
        <v>0.84899999999999998</v>
      </c>
      <c r="AH122" s="314">
        <f t="shared" si="176"/>
        <v>0</v>
      </c>
      <c r="AI122" s="314">
        <f t="shared" si="177"/>
        <v>0</v>
      </c>
      <c r="AJ122" s="314">
        <f t="shared" si="178"/>
        <v>0</v>
      </c>
      <c r="AK122" s="314">
        <f t="shared" si="179"/>
        <v>0</v>
      </c>
      <c r="AL122" s="309">
        <f t="shared" si="180"/>
        <v>0.84899999999999998</v>
      </c>
      <c r="AM122" s="309">
        <f t="shared" si="181"/>
        <v>0.84899999999999998</v>
      </c>
      <c r="AN122" s="309">
        <f t="shared" si="182"/>
        <v>0.84899999999999998</v>
      </c>
      <c r="AO122" s="309">
        <f t="shared" si="183"/>
        <v>0.84899999999999998</v>
      </c>
      <c r="AP122" s="446">
        <f t="shared" si="184"/>
        <v>0</v>
      </c>
      <c r="AQ122" s="446">
        <f t="shared" si="185"/>
        <v>0</v>
      </c>
      <c r="AR122" s="446">
        <f t="shared" si="186"/>
        <v>0</v>
      </c>
      <c r="AS122" s="446">
        <f t="shared" si="187"/>
        <v>0</v>
      </c>
      <c r="AT122" s="309">
        <f>INDEX('BUS Measure-Model Summary'!$Y$6:$Y$684,MATCH(H122,'BUS Measure-Model Summary'!$A$6:$A$684,0))</f>
        <v>0.67500000000000004</v>
      </c>
      <c r="AU122" s="309">
        <f t="shared" si="189"/>
        <v>0.67500000000000004</v>
      </c>
      <c r="AV122" s="309">
        <f t="shared" si="189"/>
        <v>0.67500000000000004</v>
      </c>
      <c r="AW122" s="309">
        <f t="shared" si="189"/>
        <v>0.67500000000000004</v>
      </c>
      <c r="AX122" s="243">
        <f t="shared" si="190"/>
        <v>1393.2</v>
      </c>
      <c r="AY122" s="243">
        <f t="shared" si="191"/>
        <v>1393.2</v>
      </c>
      <c r="AZ122" s="243">
        <f t="shared" si="192"/>
        <v>1393.2</v>
      </c>
      <c r="BA122" s="243">
        <f t="shared" si="193"/>
        <v>1393.2</v>
      </c>
      <c r="BB122" s="243">
        <f>VLOOKUP($D122,'2018 Plan Data'!$A$4:$K$2000,6,FALSE)</f>
        <v>1</v>
      </c>
      <c r="BC122" s="243">
        <f>VLOOKUP($D122,'2018 Plan Data'!$A$4:$K$2000,7,FALSE)</f>
        <v>1</v>
      </c>
      <c r="BD122" s="243">
        <f>VLOOKUP($D122,'2018 Plan Data'!$A$4:$K$2000,8,FALSE)</f>
        <v>1</v>
      </c>
      <c r="BE122" s="243">
        <f>VLOOKUP($D122,'2018 Plan Data'!$A$4:$K$2000,9,FALSE)</f>
        <v>2</v>
      </c>
      <c r="BF122" s="243">
        <f t="shared" si="110"/>
        <v>0</v>
      </c>
      <c r="BG122" s="243">
        <f t="shared" si="111"/>
        <v>0</v>
      </c>
      <c r="BH122" s="243">
        <f t="shared" si="112"/>
        <v>0</v>
      </c>
      <c r="BI122" s="243">
        <f t="shared" si="113"/>
        <v>0</v>
      </c>
      <c r="BJ122" s="243">
        <f t="shared" si="114"/>
        <v>2064</v>
      </c>
      <c r="BK122" s="243">
        <f t="shared" si="115"/>
        <v>2064</v>
      </c>
      <c r="BL122" s="243">
        <f t="shared" si="116"/>
        <v>2064</v>
      </c>
      <c r="BM122" s="243">
        <f t="shared" si="117"/>
        <v>4128</v>
      </c>
      <c r="BN122" s="243">
        <f t="shared" si="158"/>
        <v>0</v>
      </c>
      <c r="BO122" s="243">
        <f t="shared" si="159"/>
        <v>0</v>
      </c>
      <c r="BP122" s="243">
        <f t="shared" si="160"/>
        <v>0</v>
      </c>
      <c r="BQ122" s="243">
        <f t="shared" si="161"/>
        <v>0</v>
      </c>
      <c r="BR122" s="243">
        <f t="shared" si="194"/>
        <v>1393.2</v>
      </c>
      <c r="BS122" s="243">
        <f t="shared" si="195"/>
        <v>1393.2</v>
      </c>
      <c r="BT122" s="243">
        <f t="shared" si="196"/>
        <v>1393.2</v>
      </c>
      <c r="BU122" s="243">
        <f t="shared" si="197"/>
        <v>2786.4</v>
      </c>
      <c r="BV122" s="600"/>
      <c r="BW122" s="314">
        <f>VLOOKUP($D122,'2018 Plan Data'!$A$4:$T$2000,13,FALSE)</f>
        <v>0</v>
      </c>
      <c r="BX122" s="314">
        <f>VLOOKUP($D122,'2018 Plan Data'!$A$4:$T$2000,14,FALSE)</f>
        <v>0</v>
      </c>
      <c r="BY122" s="314">
        <f>VLOOKUP($D122,'2018 Plan Data'!$A$4:$T$2000,15,FALSE)</f>
        <v>0</v>
      </c>
      <c r="BZ122" s="314">
        <f>VLOOKUP($D122,'2018 Plan Data'!$A$4:$T$2000,16,FALSE)</f>
        <v>0</v>
      </c>
      <c r="CA122" s="314">
        <f>IF(VLOOKUP($D122,'2018 Plan Data'!$A$4:$T$2000,17,FALSE)&gt;0,VLOOKUP($D122,'2018 Plan Data'!$A$4:$T$2000,17,FALSE),0)</f>
        <v>1393.2</v>
      </c>
      <c r="CB122" s="314">
        <f>IF(VLOOKUP($D122,'2018 Plan Data'!$A$4:$T$2000,18,FALSE)&gt;0,VLOOKUP($D122,'2018 Plan Data'!$A$4:$T$2000,18,FALSE),0)</f>
        <v>1393.2</v>
      </c>
      <c r="CC122" s="314">
        <f>IF(VLOOKUP($D122,'2018 Plan Data'!$A$4:$T$2000,19,FALSE)&gt;0,VLOOKUP($D122,'2018 Plan Data'!$A$4:$T$2000,19,FALSE),0)</f>
        <v>1393.2</v>
      </c>
      <c r="CD122" s="314">
        <f>IF(VLOOKUP($D122,'2018 Plan Data'!$A$4:$T$2000,20,FALSE)&gt;0,VLOOKUP($D122,'2018 Plan Data'!$A$4:$T$2000,20,FALSE),0)</f>
        <v>2786.4</v>
      </c>
      <c r="CE122" s="600" t="b">
        <f t="shared" si="126"/>
        <v>1</v>
      </c>
      <c r="CF122" s="600" t="b">
        <f t="shared" si="127"/>
        <v>1</v>
      </c>
      <c r="CG122" s="600" t="b">
        <f t="shared" si="128"/>
        <v>1</v>
      </c>
      <c r="CH122" s="600" t="b">
        <f t="shared" si="129"/>
        <v>1</v>
      </c>
      <c r="CI122" s="600" t="b">
        <f t="shared" si="130"/>
        <v>1</v>
      </c>
      <c r="CJ122" s="600" t="b">
        <f t="shared" si="131"/>
        <v>1</v>
      </c>
      <c r="CK122" s="600" t="b">
        <f t="shared" si="132"/>
        <v>1</v>
      </c>
      <c r="CL122" s="600" t="b">
        <f t="shared" si="133"/>
        <v>1</v>
      </c>
    </row>
    <row r="123" spans="1:90" ht="15" customHeight="1" x14ac:dyDescent="0.35">
      <c r="A123" s="585">
        <f t="shared" si="169"/>
        <v>191</v>
      </c>
      <c r="B123" s="600" t="str">
        <f t="shared" si="95"/>
        <v>Business_Standard</v>
      </c>
      <c r="C123" s="600"/>
      <c r="D123">
        <v>191</v>
      </c>
      <c r="E123" s="600" t="s">
        <v>1944</v>
      </c>
      <c r="F123" s="600" t="str">
        <f>VLOOKUP(G123,Sheet4!$D$6:$E$22,2,FALSE)</f>
        <v>Standard</v>
      </c>
      <c r="G123" t="s">
        <v>81</v>
      </c>
      <c r="H123" s="296" t="s">
        <v>155</v>
      </c>
      <c r="J123" s="18" t="s">
        <v>5</v>
      </c>
      <c r="K123" s="72" t="str">
        <f>INDEX('Measure Codes'!$F$4:$F$821,MATCH(H123,'Measure Codes'!$D$4:$D$821,0))</f>
        <v>4.3.6</v>
      </c>
      <c r="L123" s="72" t="str">
        <f>INDEX('Measure Codes'!$G$4:$G$821,MATCH(H123,'Measure Codes'!$D$4:$D$821,0))</f>
        <v>CI-HWE-OZLD-VO1-140601</v>
      </c>
      <c r="M123" s="600">
        <v>1</v>
      </c>
      <c r="O123" s="72" t="str">
        <f t="shared" si="175"/>
        <v>Dual Fuel</v>
      </c>
      <c r="P123" s="7">
        <f>VLOOKUP(D123,'2018 Plan Data'!$A$4:$K$1000,11,FALSE)</f>
        <v>10</v>
      </c>
      <c r="Q123" s="652">
        <f>VLOOKUP(D123,'2018 Plan Data'!$A$4:$L$1000,12,FALSE)</f>
        <v>0</v>
      </c>
      <c r="R123" s="314">
        <f>R163</f>
        <v>2143.6280517499995</v>
      </c>
      <c r="T123" s="314">
        <f>'BUS Measure-Model Summary'!E114</f>
        <v>0</v>
      </c>
      <c r="V123" s="314">
        <f>V163</f>
        <v>4530.1849330499999</v>
      </c>
      <c r="AD123" s="309">
        <f>INDEX('BUS Measure-Model Summary'!$I$6:$I$684,MATCH(H123,'BUS Measure-Model Summary'!$A$6:$A$684,0))</f>
        <v>0.84899999999999998</v>
      </c>
      <c r="AE123" s="309">
        <f t="shared" si="188"/>
        <v>0.84899999999999998</v>
      </c>
      <c r="AF123" s="309">
        <f t="shared" si="188"/>
        <v>0.84899999999999998</v>
      </c>
      <c r="AG123" s="309">
        <f t="shared" si="188"/>
        <v>0.84899999999999998</v>
      </c>
      <c r="AH123" s="314">
        <f t="shared" si="176"/>
        <v>1819.9402159357496</v>
      </c>
      <c r="AI123" s="314">
        <f t="shared" si="177"/>
        <v>1819.9402159357496</v>
      </c>
      <c r="AJ123" s="314">
        <f t="shared" si="178"/>
        <v>1819.9402159357496</v>
      </c>
      <c r="AK123" s="314">
        <f t="shared" si="179"/>
        <v>1819.9402159357496</v>
      </c>
      <c r="AL123" s="309">
        <f t="shared" si="180"/>
        <v>0.84899999999999998</v>
      </c>
      <c r="AM123" s="309">
        <f t="shared" si="181"/>
        <v>0.84899999999999998</v>
      </c>
      <c r="AN123" s="309">
        <f t="shared" si="182"/>
        <v>0.84899999999999998</v>
      </c>
      <c r="AO123" s="309">
        <f t="shared" si="183"/>
        <v>0.84899999999999998</v>
      </c>
      <c r="AP123" s="446">
        <f t="shared" si="184"/>
        <v>0</v>
      </c>
      <c r="AQ123" s="446">
        <f t="shared" si="185"/>
        <v>0</v>
      </c>
      <c r="AR123" s="446">
        <f t="shared" si="186"/>
        <v>0</v>
      </c>
      <c r="AS123" s="446">
        <f t="shared" si="187"/>
        <v>0</v>
      </c>
      <c r="AT123" s="309">
        <f>INDEX('BUS Measure-Model Summary'!$Y$6:$Y$684,MATCH(H123,'BUS Measure-Model Summary'!$A$6:$A$684,0))</f>
        <v>0.67500000000000004</v>
      </c>
      <c r="AU123" s="309">
        <f t="shared" si="189"/>
        <v>0.67500000000000004</v>
      </c>
      <c r="AV123" s="309">
        <f t="shared" si="189"/>
        <v>0.67500000000000004</v>
      </c>
      <c r="AW123" s="309">
        <f t="shared" si="189"/>
        <v>0.67500000000000004</v>
      </c>
      <c r="AX123" s="243">
        <f t="shared" si="190"/>
        <v>3057.8748298087503</v>
      </c>
      <c r="AY123" s="243">
        <f t="shared" si="191"/>
        <v>3057.8748298087503</v>
      </c>
      <c r="AZ123" s="243">
        <f t="shared" si="192"/>
        <v>3057.8748298087503</v>
      </c>
      <c r="BA123" s="243">
        <f t="shared" si="193"/>
        <v>3057.8748298087503</v>
      </c>
      <c r="BB123" s="652">
        <f>VLOOKUP($D123,'2018 Plan Data'!$A$4:$K$2000,6,FALSE)</f>
        <v>3</v>
      </c>
      <c r="BC123" s="243">
        <f>VLOOKUP($D123,'2018 Plan Data'!$A$4:$K$2000,7,FALSE)</f>
        <v>3</v>
      </c>
      <c r="BD123" s="243">
        <f>VLOOKUP($D123,'2018 Plan Data'!$A$4:$K$2000,8,FALSE)</f>
        <v>4</v>
      </c>
      <c r="BE123" s="243">
        <f>VLOOKUP($D123,'2018 Plan Data'!$A$4:$K$2000,9,FALSE)</f>
        <v>4</v>
      </c>
      <c r="BF123" s="243">
        <f t="shared" si="110"/>
        <v>6430.884155249998</v>
      </c>
      <c r="BG123" s="243">
        <f t="shared" si="111"/>
        <v>6430.884155249998</v>
      </c>
      <c r="BH123" s="243">
        <f t="shared" si="112"/>
        <v>8574.5122069999979</v>
      </c>
      <c r="BI123" s="243">
        <f t="shared" si="113"/>
        <v>8574.5122069999979</v>
      </c>
      <c r="BJ123" s="243">
        <f t="shared" si="114"/>
        <v>13590.554799149999</v>
      </c>
      <c r="BK123" s="243">
        <f t="shared" si="115"/>
        <v>13590.554799149999</v>
      </c>
      <c r="BL123" s="243">
        <f t="shared" si="116"/>
        <v>18120.7397322</v>
      </c>
      <c r="BM123" s="243">
        <f t="shared" si="117"/>
        <v>18120.7397322</v>
      </c>
      <c r="BN123" s="2317">
        <f t="shared" si="158"/>
        <v>5459.8206478072489</v>
      </c>
      <c r="BO123" s="2317">
        <f t="shared" si="159"/>
        <v>5459.8206478072489</v>
      </c>
      <c r="BP123" s="2317">
        <f t="shared" si="160"/>
        <v>7279.7608637429985</v>
      </c>
      <c r="BQ123" s="2317">
        <f t="shared" si="161"/>
        <v>7279.7608637429985</v>
      </c>
      <c r="BR123" s="243">
        <f t="shared" si="194"/>
        <v>9173.6244894262509</v>
      </c>
      <c r="BS123" s="243">
        <f t="shared" si="195"/>
        <v>9173.6244894262509</v>
      </c>
      <c r="BT123" s="243">
        <f t="shared" si="196"/>
        <v>12231.499319235001</v>
      </c>
      <c r="BU123" s="243">
        <f t="shared" si="197"/>
        <v>12231.499319235001</v>
      </c>
      <c r="BV123" s="600"/>
      <c r="BW123" s="314">
        <f>VLOOKUP($D123,'2018 Plan Data'!$A$4:$T$2000,13,FALSE)</f>
        <v>1773.3912</v>
      </c>
      <c r="BX123" s="314">
        <f>VLOOKUP($D123,'2018 Plan Data'!$A$4:$T$2000,14,FALSE)</f>
        <v>1773.3912</v>
      </c>
      <c r="BY123" s="314">
        <f>VLOOKUP($D123,'2018 Plan Data'!$A$4:$T$2000,15,FALSE)</f>
        <v>2364.5216</v>
      </c>
      <c r="BZ123" s="314">
        <f>VLOOKUP($D123,'2018 Plan Data'!$A$4:$T$2000,16,FALSE)</f>
        <v>2364.5216</v>
      </c>
      <c r="CA123" s="314">
        <f>IF(VLOOKUP($D123,'2018 Plan Data'!$A$4:$T$2000,17,FALSE)&gt;0,VLOOKUP($D123,'2018 Plan Data'!$A$4:$T$2000,17,FALSE),0)</f>
        <v>8154.3328794899999</v>
      </c>
      <c r="CB123" s="314">
        <f>IF(VLOOKUP($D123,'2018 Plan Data'!$A$4:$T$2000,18,FALSE)&gt;0,VLOOKUP($D123,'2018 Plan Data'!$A$4:$T$2000,18,FALSE),0)</f>
        <v>8154.3328794899999</v>
      </c>
      <c r="CC123" s="314">
        <f>IF(VLOOKUP($D123,'2018 Plan Data'!$A$4:$T$2000,19,FALSE)&gt;0,VLOOKUP($D123,'2018 Plan Data'!$A$4:$T$2000,19,FALSE),0)</f>
        <v>10872.44383932</v>
      </c>
      <c r="CD123" s="314">
        <f>IF(VLOOKUP($D123,'2018 Plan Data'!$A$4:$T$2000,20,FALSE)&gt;0,VLOOKUP($D123,'2018 Plan Data'!$A$4:$T$2000,20,FALSE),0)</f>
        <v>10872.44383932</v>
      </c>
      <c r="CE123" s="600" t="b">
        <f t="shared" si="126"/>
        <v>0</v>
      </c>
      <c r="CF123" s="600" t="b">
        <f t="shared" si="127"/>
        <v>0</v>
      </c>
      <c r="CG123" s="600" t="b">
        <f t="shared" si="128"/>
        <v>0</v>
      </c>
      <c r="CH123" s="600" t="b">
        <f t="shared" si="129"/>
        <v>0</v>
      </c>
      <c r="CI123" s="600" t="b">
        <f t="shared" si="130"/>
        <v>0</v>
      </c>
      <c r="CJ123" s="600" t="b">
        <f t="shared" si="131"/>
        <v>0</v>
      </c>
      <c r="CK123" s="600" t="b">
        <f t="shared" si="132"/>
        <v>0</v>
      </c>
      <c r="CL123" s="600" t="b">
        <f t="shared" si="133"/>
        <v>0</v>
      </c>
    </row>
    <row r="124" spans="1:90" ht="15" customHeight="1" x14ac:dyDescent="0.35">
      <c r="A124" s="585">
        <f t="shared" si="169"/>
        <v>75</v>
      </c>
      <c r="B124" s="600" t="str">
        <f t="shared" si="95"/>
        <v>Business_Standard</v>
      </c>
      <c r="C124" s="600"/>
      <c r="D124">
        <v>75</v>
      </c>
      <c r="E124" s="600" t="s">
        <v>1944</v>
      </c>
      <c r="F124" s="600" t="str">
        <f>VLOOKUP(G124,Sheet4!$D$6:$E$22,2,FALSE)</f>
        <v>Standard</v>
      </c>
      <c r="G124" t="s">
        <v>81</v>
      </c>
      <c r="H124" s="296" t="s">
        <v>158</v>
      </c>
      <c r="J124" s="18" t="s">
        <v>100</v>
      </c>
      <c r="K124" s="72" t="str">
        <f>INDEX('Measure Codes'!$F$4:$F$821,MATCH(H124,'Measure Codes'!$D$4:$D$821,0))</f>
        <v>4.2.16</v>
      </c>
      <c r="L124" s="72" t="str">
        <f>INDEX('Measure Codes'!$G$4:$G$821,MATCH(H124,'Measure Codes'!$D$4:$D$821,0))</f>
        <v>CI-FSE-VENT-V03-160601</v>
      </c>
      <c r="M124" s="600">
        <v>1</v>
      </c>
      <c r="O124" s="72" t="str">
        <f t="shared" si="175"/>
        <v>Dual Fuel</v>
      </c>
      <c r="P124" s="7">
        <f>VLOOKUP(D124,'2018 Plan Data'!$A$4:$K$1000,11,FALSE)</f>
        <v>15</v>
      </c>
      <c r="Q124" s="652">
        <f>VLOOKUP(D124,'2018 Plan Data'!$A$4:$L$1000,12,FALSE)</f>
        <v>0</v>
      </c>
      <c r="R124" s="314">
        <f>'BUS- BPCK21 (TRM)'!C11</f>
        <v>4966</v>
      </c>
      <c r="T124" s="314">
        <f>'BUS- BPCK21 (TRM)'!C12</f>
        <v>0.67999999999999994</v>
      </c>
      <c r="V124" s="314">
        <f>'BUS- BPCK21 (TRM)'!C13</f>
        <v>5505.34375</v>
      </c>
      <c r="AD124" s="309">
        <f>INDEX('BUS Measure-Model Summary'!$I$6:$I$684,MATCH(H124,'BUS Measure-Model Summary'!$A$6:$A$684,0))</f>
        <v>0.84899999999999998</v>
      </c>
      <c r="AE124" s="309">
        <f t="shared" si="188"/>
        <v>0.84899999999999998</v>
      </c>
      <c r="AF124" s="309">
        <f t="shared" si="188"/>
        <v>0.84899999999999998</v>
      </c>
      <c r="AG124" s="309">
        <f t="shared" si="188"/>
        <v>0.84899999999999998</v>
      </c>
      <c r="AH124" s="314">
        <f t="shared" si="176"/>
        <v>4216.134</v>
      </c>
      <c r="AI124" s="314">
        <f t="shared" si="177"/>
        <v>4216.134</v>
      </c>
      <c r="AJ124" s="314">
        <f t="shared" si="178"/>
        <v>4216.134</v>
      </c>
      <c r="AK124" s="314">
        <f t="shared" si="179"/>
        <v>4216.134</v>
      </c>
      <c r="AL124" s="309">
        <f t="shared" si="180"/>
        <v>0.84899999999999998</v>
      </c>
      <c r="AM124" s="309">
        <f t="shared" si="181"/>
        <v>0.84899999999999998</v>
      </c>
      <c r="AN124" s="309">
        <f t="shared" si="182"/>
        <v>0.84899999999999998</v>
      </c>
      <c r="AO124" s="309">
        <f t="shared" si="183"/>
        <v>0.84899999999999998</v>
      </c>
      <c r="AP124" s="446">
        <f t="shared" si="184"/>
        <v>0.57731999999999994</v>
      </c>
      <c r="AQ124" s="446">
        <f t="shared" si="185"/>
        <v>0.57731999999999994</v>
      </c>
      <c r="AR124" s="446">
        <f t="shared" si="186"/>
        <v>0.57731999999999994</v>
      </c>
      <c r="AS124" s="446">
        <f t="shared" si="187"/>
        <v>0.57731999999999994</v>
      </c>
      <c r="AT124" s="309">
        <f>INDEX('BUS Measure-Model Summary'!$Y$6:$Y$684,MATCH(H124,'BUS Measure-Model Summary'!$A$6:$A$684,0))</f>
        <v>0.67500000000000004</v>
      </c>
      <c r="AU124" s="309">
        <f t="shared" si="189"/>
        <v>0.67500000000000004</v>
      </c>
      <c r="AV124" s="309">
        <f t="shared" si="189"/>
        <v>0.67500000000000004</v>
      </c>
      <c r="AW124" s="309">
        <f t="shared" si="189"/>
        <v>0.67500000000000004</v>
      </c>
      <c r="AX124" s="243">
        <f t="shared" si="190"/>
        <v>3716.1070312500001</v>
      </c>
      <c r="AY124" s="243">
        <f t="shared" si="191"/>
        <v>3716.1070312500001</v>
      </c>
      <c r="AZ124" s="243">
        <f t="shared" si="192"/>
        <v>3716.1070312500001</v>
      </c>
      <c r="BA124" s="243">
        <f t="shared" si="193"/>
        <v>3716.1070312500001</v>
      </c>
      <c r="BB124" s="652">
        <f>VLOOKUP($D124,'2018 Plan Data'!$A$4:$K$2000,6,FALSE)</f>
        <v>4</v>
      </c>
      <c r="BC124" s="243">
        <f>VLOOKUP($D124,'2018 Plan Data'!$A$4:$K$2000,7,FALSE)</f>
        <v>3</v>
      </c>
      <c r="BD124" s="243">
        <f>VLOOKUP($D124,'2018 Plan Data'!$A$4:$K$2000,8,FALSE)</f>
        <v>3</v>
      </c>
      <c r="BE124" s="243">
        <f>VLOOKUP($D124,'2018 Plan Data'!$A$4:$K$2000,9,FALSE)</f>
        <v>3</v>
      </c>
      <c r="BF124" s="243">
        <f t="shared" si="110"/>
        <v>19864</v>
      </c>
      <c r="BG124" s="243">
        <f t="shared" si="111"/>
        <v>14898</v>
      </c>
      <c r="BH124" s="243">
        <f t="shared" si="112"/>
        <v>14898</v>
      </c>
      <c r="BI124" s="243">
        <f t="shared" si="113"/>
        <v>14898</v>
      </c>
      <c r="BJ124" s="243">
        <f t="shared" si="114"/>
        <v>22021.375</v>
      </c>
      <c r="BK124" s="243">
        <f t="shared" si="115"/>
        <v>16516.03125</v>
      </c>
      <c r="BL124" s="243">
        <f t="shared" si="116"/>
        <v>16516.03125</v>
      </c>
      <c r="BM124" s="243">
        <f t="shared" si="117"/>
        <v>16516.03125</v>
      </c>
      <c r="BN124" s="243">
        <f t="shared" si="158"/>
        <v>16864.536</v>
      </c>
      <c r="BO124" s="243">
        <f t="shared" si="159"/>
        <v>12648.402</v>
      </c>
      <c r="BP124" s="243">
        <f t="shared" si="160"/>
        <v>12648.402</v>
      </c>
      <c r="BQ124" s="243">
        <f t="shared" si="161"/>
        <v>12648.402</v>
      </c>
      <c r="BR124" s="243">
        <f t="shared" si="194"/>
        <v>14864.428125</v>
      </c>
      <c r="BS124" s="243">
        <f t="shared" si="195"/>
        <v>11148.321093750001</v>
      </c>
      <c r="BT124" s="243">
        <f t="shared" si="196"/>
        <v>11148.321093750001</v>
      </c>
      <c r="BU124" s="243">
        <f t="shared" si="197"/>
        <v>11148.321093750001</v>
      </c>
      <c r="BV124" s="600"/>
      <c r="BW124" s="314">
        <f>VLOOKUP($D124,'2018 Plan Data'!$A$4:$T$2000,13,FALSE)</f>
        <v>16864.536</v>
      </c>
      <c r="BX124" s="314">
        <f>VLOOKUP($D124,'2018 Plan Data'!$A$4:$T$2000,14,FALSE)</f>
        <v>12648.402</v>
      </c>
      <c r="BY124" s="314">
        <f>VLOOKUP($D124,'2018 Plan Data'!$A$4:$T$2000,15,FALSE)</f>
        <v>12648.402</v>
      </c>
      <c r="BZ124" s="314">
        <f>VLOOKUP($D124,'2018 Plan Data'!$A$4:$T$2000,16,FALSE)</f>
        <v>12648.402</v>
      </c>
      <c r="CA124" s="314">
        <f>IF(VLOOKUP($D124,'2018 Plan Data'!$A$4:$T$2000,17,FALSE)&gt;0,VLOOKUP($D124,'2018 Plan Data'!$A$4:$T$2000,17,FALSE),0)</f>
        <v>14864.428125</v>
      </c>
      <c r="CB124" s="314">
        <f>IF(VLOOKUP($D124,'2018 Plan Data'!$A$4:$T$2000,18,FALSE)&gt;0,VLOOKUP($D124,'2018 Plan Data'!$A$4:$T$2000,18,FALSE),0)</f>
        <v>11148.321093750001</v>
      </c>
      <c r="CC124" s="314">
        <f>IF(VLOOKUP($D124,'2018 Plan Data'!$A$4:$T$2000,19,FALSE)&gt;0,VLOOKUP($D124,'2018 Plan Data'!$A$4:$T$2000,19,FALSE),0)</f>
        <v>11148.321093750001</v>
      </c>
      <c r="CD124" s="314">
        <f>IF(VLOOKUP($D124,'2018 Plan Data'!$A$4:$T$2000,20,FALSE)&gt;0,VLOOKUP($D124,'2018 Plan Data'!$A$4:$T$2000,20,FALSE),0)</f>
        <v>11148.321093750001</v>
      </c>
      <c r="CE124" s="600" t="b">
        <f t="shared" si="126"/>
        <v>1</v>
      </c>
      <c r="CF124" s="600" t="b">
        <f t="shared" si="127"/>
        <v>1</v>
      </c>
      <c r="CG124" s="600" t="b">
        <f t="shared" si="128"/>
        <v>1</v>
      </c>
      <c r="CH124" s="600" t="b">
        <f t="shared" si="129"/>
        <v>1</v>
      </c>
      <c r="CI124" s="600" t="b">
        <f t="shared" si="130"/>
        <v>1</v>
      </c>
      <c r="CJ124" s="600" t="b">
        <f t="shared" si="131"/>
        <v>1</v>
      </c>
      <c r="CK124" s="600" t="b">
        <f t="shared" si="132"/>
        <v>1</v>
      </c>
      <c r="CL124" s="600" t="b">
        <f t="shared" si="133"/>
        <v>1</v>
      </c>
    </row>
    <row r="125" spans="1:90" ht="15" customHeight="1" x14ac:dyDescent="0.35">
      <c r="A125" s="585">
        <f t="shared" si="169"/>
        <v>186</v>
      </c>
      <c r="B125" s="600" t="str">
        <f t="shared" si="95"/>
        <v>Business_Standard</v>
      </c>
      <c r="C125" s="600"/>
      <c r="D125">
        <v>186</v>
      </c>
      <c r="E125" s="600" t="s">
        <v>1944</v>
      </c>
      <c r="F125" s="600" t="str">
        <f>VLOOKUP(G125,Sheet4!$D$6:$E$22,2,FALSE)</f>
        <v>Standard</v>
      </c>
      <c r="G125" t="s">
        <v>81</v>
      </c>
      <c r="H125" s="296" t="s">
        <v>241</v>
      </c>
      <c r="J125" s="18" t="s">
        <v>5</v>
      </c>
      <c r="K125" s="72" t="str">
        <f>INDEX('Measure Codes'!$F$4:$F$821,MATCH(H125,'Measure Codes'!$D$4:$D$821,0))</f>
        <v>4.4.27</v>
      </c>
      <c r="L125" s="72" t="str">
        <f>INDEX('Measure Codes'!$G$4:$G$821,MATCH(H125,'Measure Codes'!$D$4:$D$821,0))</f>
        <v>CI-HVC-ERVE-V02-160601</v>
      </c>
      <c r="M125" s="600">
        <v>1</v>
      </c>
      <c r="O125" s="72" t="str">
        <f t="shared" si="175"/>
        <v>Gas</v>
      </c>
      <c r="P125" s="7">
        <f>VLOOKUP(D125,'2018 Plan Data'!$A$4:$K$1000,11,FALSE)</f>
        <v>15</v>
      </c>
      <c r="Q125" s="652">
        <f>VLOOKUP(D125,'2018 Plan Data'!$A$4:$L$1000,12,FALSE)</f>
        <v>0</v>
      </c>
      <c r="R125" s="314">
        <f>'BUS Measure-Model Summary'!D122</f>
        <v>0</v>
      </c>
      <c r="T125" s="314">
        <f>'BUS Measure-Model Summary'!E122</f>
        <v>0</v>
      </c>
      <c r="V125" s="314">
        <f>'BUS Measure-Model Summary'!F122</f>
        <v>5.1875000000000004E-2</v>
      </c>
      <c r="AD125" s="309">
        <f>INDEX('BUS Measure-Model Summary'!$I$6:$I$684,MATCH(H125,'BUS Measure-Model Summary'!$A$6:$A$684,0))</f>
        <v>0.55700000000000005</v>
      </c>
      <c r="AE125" s="309">
        <f t="shared" si="188"/>
        <v>0.55700000000000005</v>
      </c>
      <c r="AF125" s="309">
        <f t="shared" si="188"/>
        <v>0.55700000000000005</v>
      </c>
      <c r="AG125" s="309">
        <f t="shared" si="188"/>
        <v>0.55700000000000005</v>
      </c>
      <c r="AH125" s="314">
        <f t="shared" si="176"/>
        <v>0</v>
      </c>
      <c r="AI125" s="314">
        <f t="shared" si="177"/>
        <v>0</v>
      </c>
      <c r="AJ125" s="314">
        <f t="shared" si="178"/>
        <v>0</v>
      </c>
      <c r="AK125" s="314">
        <f t="shared" si="179"/>
        <v>0</v>
      </c>
      <c r="AL125" s="309">
        <f t="shared" si="180"/>
        <v>0.55700000000000005</v>
      </c>
      <c r="AM125" s="309">
        <f t="shared" si="181"/>
        <v>0.55700000000000005</v>
      </c>
      <c r="AN125" s="309">
        <f t="shared" si="182"/>
        <v>0.55700000000000005</v>
      </c>
      <c r="AO125" s="309">
        <f t="shared" si="183"/>
        <v>0.55700000000000005</v>
      </c>
      <c r="AP125" s="446">
        <f t="shared" si="184"/>
        <v>0</v>
      </c>
      <c r="AQ125" s="446">
        <f t="shared" si="185"/>
        <v>0</v>
      </c>
      <c r="AR125" s="446">
        <f t="shared" si="186"/>
        <v>0</v>
      </c>
      <c r="AS125" s="446">
        <f t="shared" si="187"/>
        <v>0</v>
      </c>
      <c r="AT125" s="309">
        <f>INDEX('BUS Measure-Model Summary'!$Y$6:$Y$684,MATCH(H125,'BUS Measure-Model Summary'!$A$6:$A$684,0))</f>
        <v>0.49399999999999999</v>
      </c>
      <c r="AU125" s="309">
        <f t="shared" si="189"/>
        <v>0.49399999999999999</v>
      </c>
      <c r="AV125" s="309">
        <f t="shared" si="189"/>
        <v>0.49399999999999999</v>
      </c>
      <c r="AW125" s="309">
        <f t="shared" si="189"/>
        <v>0.49399999999999999</v>
      </c>
      <c r="AX125" s="243">
        <f t="shared" si="190"/>
        <v>2.5626250000000003E-2</v>
      </c>
      <c r="AY125" s="243">
        <f t="shared" si="191"/>
        <v>2.5626250000000003E-2</v>
      </c>
      <c r="AZ125" s="243">
        <f t="shared" si="192"/>
        <v>2.5626250000000003E-2</v>
      </c>
      <c r="BA125" s="243">
        <f t="shared" si="193"/>
        <v>2.5626250000000003E-2</v>
      </c>
      <c r="BB125" s="243">
        <f>VLOOKUP($D125,'2018 Plan Data'!$A$4:$K$2000,6,FALSE)</f>
        <v>10100</v>
      </c>
      <c r="BC125" s="243">
        <f>VLOOKUP($D125,'2018 Plan Data'!$A$4:$K$2000,7,FALSE)</f>
        <v>6500</v>
      </c>
      <c r="BD125" s="243">
        <f>VLOOKUP($D125,'2018 Plan Data'!$A$4:$K$2000,8,FALSE)</f>
        <v>25400</v>
      </c>
      <c r="BE125" s="243">
        <f>VLOOKUP($D125,'2018 Plan Data'!$A$4:$K$2000,9,FALSE)</f>
        <v>34200</v>
      </c>
      <c r="BF125" s="243">
        <f t="shared" si="110"/>
        <v>0</v>
      </c>
      <c r="BG125" s="243">
        <f t="shared" si="111"/>
        <v>0</v>
      </c>
      <c r="BH125" s="243">
        <f t="shared" si="112"/>
        <v>0</v>
      </c>
      <c r="BI125" s="243">
        <f t="shared" si="113"/>
        <v>0</v>
      </c>
      <c r="BJ125" s="243">
        <f t="shared" si="114"/>
        <v>523.9375</v>
      </c>
      <c r="BK125" s="243">
        <f t="shared" si="115"/>
        <v>337.18750000000006</v>
      </c>
      <c r="BL125" s="243">
        <f t="shared" si="116"/>
        <v>1317.625</v>
      </c>
      <c r="BM125" s="243">
        <f t="shared" si="117"/>
        <v>1774.1250000000002</v>
      </c>
      <c r="BN125" s="243">
        <f t="shared" si="158"/>
        <v>0</v>
      </c>
      <c r="BO125" s="243">
        <f t="shared" si="159"/>
        <v>0</v>
      </c>
      <c r="BP125" s="243">
        <f t="shared" si="160"/>
        <v>0</v>
      </c>
      <c r="BQ125" s="243">
        <f t="shared" si="161"/>
        <v>0</v>
      </c>
      <c r="BR125" s="243">
        <f t="shared" si="194"/>
        <v>258.82512500000001</v>
      </c>
      <c r="BS125" s="243">
        <f t="shared" si="195"/>
        <v>166.57062500000001</v>
      </c>
      <c r="BT125" s="243">
        <f t="shared" si="196"/>
        <v>650.9067500000001</v>
      </c>
      <c r="BU125" s="243">
        <f t="shared" si="197"/>
        <v>876.41775000000007</v>
      </c>
      <c r="BV125" s="600"/>
      <c r="BW125" s="314">
        <f>VLOOKUP($D125,'2018 Plan Data'!$A$4:$T$2000,13,FALSE)</f>
        <v>0</v>
      </c>
      <c r="BX125" s="314">
        <f>VLOOKUP($D125,'2018 Plan Data'!$A$4:$T$2000,14,FALSE)</f>
        <v>0</v>
      </c>
      <c r="BY125" s="314">
        <f>VLOOKUP($D125,'2018 Plan Data'!$A$4:$T$2000,15,FALSE)</f>
        <v>0</v>
      </c>
      <c r="BZ125" s="314">
        <f>VLOOKUP($D125,'2018 Plan Data'!$A$4:$T$2000,16,FALSE)</f>
        <v>0</v>
      </c>
      <c r="CA125" s="314">
        <f>IF(VLOOKUP($D125,'2018 Plan Data'!$A$4:$T$2000,17,FALSE)&gt;0,VLOOKUP($D125,'2018 Plan Data'!$A$4:$T$2000,17,FALSE),0)</f>
        <v>258.82512500000001</v>
      </c>
      <c r="CB125" s="314">
        <f>IF(VLOOKUP($D125,'2018 Plan Data'!$A$4:$T$2000,18,FALSE)&gt;0,VLOOKUP($D125,'2018 Plan Data'!$A$4:$T$2000,18,FALSE),0)</f>
        <v>166.57062500000001</v>
      </c>
      <c r="CC125" s="314">
        <f>IF(VLOOKUP($D125,'2018 Plan Data'!$A$4:$T$2000,19,FALSE)&gt;0,VLOOKUP($D125,'2018 Plan Data'!$A$4:$T$2000,19,FALSE),0)</f>
        <v>650.9067500000001</v>
      </c>
      <c r="CD125" s="314">
        <f>IF(VLOOKUP($D125,'2018 Plan Data'!$A$4:$T$2000,20,FALSE)&gt;0,VLOOKUP($D125,'2018 Plan Data'!$A$4:$T$2000,20,FALSE),0)</f>
        <v>876.41775000000007</v>
      </c>
      <c r="CE125" s="600" t="b">
        <f t="shared" si="126"/>
        <v>1</v>
      </c>
      <c r="CF125" s="600" t="b">
        <f t="shared" si="127"/>
        <v>1</v>
      </c>
      <c r="CG125" s="600" t="b">
        <f t="shared" si="128"/>
        <v>1</v>
      </c>
      <c r="CH125" s="600" t="b">
        <f t="shared" si="129"/>
        <v>1</v>
      </c>
      <c r="CI125" s="600" t="b">
        <f t="shared" si="130"/>
        <v>1</v>
      </c>
      <c r="CJ125" s="600" t="b">
        <f t="shared" si="131"/>
        <v>1</v>
      </c>
      <c r="CK125" s="600" t="b">
        <f t="shared" si="132"/>
        <v>1</v>
      </c>
      <c r="CL125" s="600" t="b">
        <f t="shared" si="133"/>
        <v>1</v>
      </c>
    </row>
    <row r="126" spans="1:90" ht="15" customHeight="1" x14ac:dyDescent="0.35">
      <c r="A126" s="585">
        <f t="shared" si="169"/>
        <v>80</v>
      </c>
      <c r="B126" s="600" t="str">
        <f t="shared" si="95"/>
        <v>Business_Standard</v>
      </c>
      <c r="C126" s="600"/>
      <c r="D126">
        <v>80</v>
      </c>
      <c r="E126" s="600" t="s">
        <v>1944</v>
      </c>
      <c r="F126" s="600" t="str">
        <f>VLOOKUP(G126,Sheet4!$D$6:$E$22,2,FALSE)</f>
        <v>Standard</v>
      </c>
      <c r="G126" t="s">
        <v>81</v>
      </c>
      <c r="H126" s="296" t="s">
        <v>167</v>
      </c>
      <c r="J126" s="18" t="s">
        <v>100</v>
      </c>
      <c r="K126" s="72" t="str">
        <f>INDEX('Measure Codes'!$F$4:$F$821,MATCH(H126,'Measure Codes'!$D$4:$D$821,0))</f>
        <v>4.4.18</v>
      </c>
      <c r="L126" s="72" t="str">
        <f>INDEX('Measure Codes'!$G$4:$G$821,MATCH(H126,'Measure Codes'!$D$4:$D$821,0))</f>
        <v>CI-HVC-PROG-V02-150601</v>
      </c>
      <c r="M126" s="600">
        <v>1</v>
      </c>
      <c r="O126" s="72" t="str">
        <f t="shared" si="175"/>
        <v>Dual Fuel</v>
      </c>
      <c r="P126" s="7">
        <f>VLOOKUP(D126,'2018 Plan Data'!$A$4:$K$1000,11,FALSE)</f>
        <v>8</v>
      </c>
      <c r="Q126" s="652">
        <f>VLOOKUP(D126,'2018 Plan Data'!$A$4:$L$1000,12,FALSE)</f>
        <v>0</v>
      </c>
      <c r="R126" s="314">
        <f>'BUS Measure-Model Summary'!D127</f>
        <v>4726</v>
      </c>
      <c r="T126" s="314">
        <f>'BUS Measure-Model Summary'!E127</f>
        <v>0</v>
      </c>
      <c r="V126" s="314">
        <f>'BUS Measure-Model Summary'!F127</f>
        <v>73.599999999999994</v>
      </c>
      <c r="AD126" s="309">
        <f>INDEX('BUS Measure-Model Summary'!$I$6:$I$684,MATCH(H126,'BUS Measure-Model Summary'!$A$6:$A$684,0))</f>
        <v>0.55700000000000005</v>
      </c>
      <c r="AE126" s="309">
        <f t="shared" si="188"/>
        <v>0.55700000000000005</v>
      </c>
      <c r="AF126" s="309">
        <f t="shared" si="188"/>
        <v>0.55700000000000005</v>
      </c>
      <c r="AG126" s="309">
        <f t="shared" si="188"/>
        <v>0.55700000000000005</v>
      </c>
      <c r="AH126" s="314">
        <f t="shared" si="176"/>
        <v>2632.3820000000001</v>
      </c>
      <c r="AI126" s="314">
        <f t="shared" si="177"/>
        <v>2632.3820000000001</v>
      </c>
      <c r="AJ126" s="314">
        <f t="shared" si="178"/>
        <v>2632.3820000000001</v>
      </c>
      <c r="AK126" s="314">
        <f t="shared" si="179"/>
        <v>2632.3820000000001</v>
      </c>
      <c r="AL126" s="309">
        <f t="shared" si="180"/>
        <v>0.55700000000000005</v>
      </c>
      <c r="AM126" s="309">
        <f t="shared" si="181"/>
        <v>0.55700000000000005</v>
      </c>
      <c r="AN126" s="309">
        <f t="shared" si="182"/>
        <v>0.55700000000000005</v>
      </c>
      <c r="AO126" s="309">
        <f t="shared" si="183"/>
        <v>0.55700000000000005</v>
      </c>
      <c r="AP126" s="446">
        <f t="shared" si="184"/>
        <v>0</v>
      </c>
      <c r="AQ126" s="446">
        <f t="shared" si="185"/>
        <v>0</v>
      </c>
      <c r="AR126" s="446">
        <f t="shared" si="186"/>
        <v>0</v>
      </c>
      <c r="AS126" s="446">
        <f t="shared" si="187"/>
        <v>0</v>
      </c>
      <c r="AT126" s="309">
        <f>INDEX('BUS Measure-Model Summary'!$Y$6:$Y$684,MATCH(H126,'BUS Measure-Model Summary'!$A$6:$A$684,0))</f>
        <v>0.49399999999999999</v>
      </c>
      <c r="AU126" s="309">
        <f t="shared" si="189"/>
        <v>0.49399999999999999</v>
      </c>
      <c r="AV126" s="309">
        <f t="shared" si="189"/>
        <v>0.49399999999999999</v>
      </c>
      <c r="AW126" s="309">
        <f t="shared" si="189"/>
        <v>0.49399999999999999</v>
      </c>
      <c r="AX126" s="243">
        <f t="shared" si="190"/>
        <v>36.358399999999996</v>
      </c>
      <c r="AY126" s="243">
        <f t="shared" si="191"/>
        <v>36.358399999999996</v>
      </c>
      <c r="AZ126" s="243">
        <f t="shared" si="192"/>
        <v>36.358399999999996</v>
      </c>
      <c r="BA126" s="243">
        <f t="shared" si="193"/>
        <v>36.358399999999996</v>
      </c>
      <c r="BB126" s="652">
        <f>VLOOKUP($D126,'2018 Plan Data'!$A$4:$K$2000,6,FALSE)</f>
        <v>19</v>
      </c>
      <c r="BC126" s="243">
        <f>VLOOKUP($D126,'2018 Plan Data'!$A$4:$K$2000,7,FALSE)</f>
        <v>6</v>
      </c>
      <c r="BD126" s="243">
        <f>VLOOKUP($D126,'2018 Plan Data'!$A$4:$K$2000,8,FALSE)</f>
        <v>1</v>
      </c>
      <c r="BE126" s="243">
        <f>VLOOKUP($D126,'2018 Plan Data'!$A$4:$K$2000,9,FALSE)</f>
        <v>1</v>
      </c>
      <c r="BF126" s="243">
        <f t="shared" si="110"/>
        <v>89794</v>
      </c>
      <c r="BG126" s="243">
        <f t="shared" si="111"/>
        <v>28356</v>
      </c>
      <c r="BH126" s="243">
        <f t="shared" si="112"/>
        <v>4726</v>
      </c>
      <c r="BI126" s="243">
        <f t="shared" si="113"/>
        <v>4726</v>
      </c>
      <c r="BJ126" s="243">
        <f t="shared" si="114"/>
        <v>1398.3999999999999</v>
      </c>
      <c r="BK126" s="243">
        <f t="shared" si="115"/>
        <v>441.59999999999997</v>
      </c>
      <c r="BL126" s="243">
        <f t="shared" si="116"/>
        <v>73.599999999999994</v>
      </c>
      <c r="BM126" s="243">
        <f t="shared" si="117"/>
        <v>73.599999999999994</v>
      </c>
      <c r="BN126" s="243">
        <f t="shared" si="158"/>
        <v>50015.258000000002</v>
      </c>
      <c r="BO126" s="243">
        <f t="shared" si="159"/>
        <v>15794.292000000001</v>
      </c>
      <c r="BP126" s="243">
        <f t="shared" si="160"/>
        <v>2632.3820000000001</v>
      </c>
      <c r="BQ126" s="243">
        <f t="shared" si="161"/>
        <v>2632.3820000000001</v>
      </c>
      <c r="BR126" s="243">
        <f t="shared" si="194"/>
        <v>690.80959999999993</v>
      </c>
      <c r="BS126" s="243">
        <f t="shared" si="195"/>
        <v>218.15039999999999</v>
      </c>
      <c r="BT126" s="243">
        <f t="shared" si="196"/>
        <v>36.358399999999996</v>
      </c>
      <c r="BU126" s="243">
        <f t="shared" si="197"/>
        <v>36.358399999999996</v>
      </c>
      <c r="BV126" s="600"/>
      <c r="BW126" s="314">
        <f>VLOOKUP($D126,'2018 Plan Data'!$A$4:$T$2000,13,FALSE)</f>
        <v>50015.258000000002</v>
      </c>
      <c r="BX126" s="314">
        <f>VLOOKUP($D126,'2018 Plan Data'!$A$4:$T$2000,14,FALSE)</f>
        <v>15794.292000000001</v>
      </c>
      <c r="BY126" s="314">
        <f>VLOOKUP($D126,'2018 Plan Data'!$A$4:$T$2000,15,FALSE)</f>
        <v>2632.3820000000001</v>
      </c>
      <c r="BZ126" s="314">
        <f>VLOOKUP($D126,'2018 Plan Data'!$A$4:$T$2000,16,FALSE)</f>
        <v>2632.3820000000001</v>
      </c>
      <c r="CA126" s="314">
        <f>IF(VLOOKUP($D126,'2018 Plan Data'!$A$4:$T$2000,17,FALSE)&gt;0,VLOOKUP($D126,'2018 Plan Data'!$A$4:$T$2000,17,FALSE),0)</f>
        <v>690.80959999999993</v>
      </c>
      <c r="CB126" s="314">
        <f>IF(VLOOKUP($D126,'2018 Plan Data'!$A$4:$T$2000,18,FALSE)&gt;0,VLOOKUP($D126,'2018 Plan Data'!$A$4:$T$2000,18,FALSE),0)</f>
        <v>218.15039999999999</v>
      </c>
      <c r="CC126" s="314">
        <f>IF(VLOOKUP($D126,'2018 Plan Data'!$A$4:$T$2000,19,FALSE)&gt;0,VLOOKUP($D126,'2018 Plan Data'!$A$4:$T$2000,19,FALSE),0)</f>
        <v>36.358399999999996</v>
      </c>
      <c r="CD126" s="314">
        <f>IF(VLOOKUP($D126,'2018 Plan Data'!$A$4:$T$2000,20,FALSE)&gt;0,VLOOKUP($D126,'2018 Plan Data'!$A$4:$T$2000,20,FALSE),0)</f>
        <v>36.358399999999996</v>
      </c>
      <c r="CE126" s="600" t="b">
        <f t="shared" si="126"/>
        <v>1</v>
      </c>
      <c r="CF126" s="600" t="b">
        <f t="shared" si="127"/>
        <v>1</v>
      </c>
      <c r="CG126" s="600" t="b">
        <f t="shared" si="128"/>
        <v>1</v>
      </c>
      <c r="CH126" s="600" t="b">
        <f t="shared" si="129"/>
        <v>1</v>
      </c>
      <c r="CI126" s="600" t="b">
        <f t="shared" si="130"/>
        <v>1</v>
      </c>
      <c r="CJ126" s="600" t="b">
        <f t="shared" si="131"/>
        <v>1</v>
      </c>
      <c r="CK126" s="600" t="b">
        <f t="shared" si="132"/>
        <v>1</v>
      </c>
      <c r="CL126" s="600" t="b">
        <f t="shared" si="133"/>
        <v>1</v>
      </c>
    </row>
    <row r="127" spans="1:90" ht="15" customHeight="1" x14ac:dyDescent="0.35">
      <c r="A127" s="585">
        <f t="shared" si="169"/>
        <v>241</v>
      </c>
      <c r="B127" s="600" t="str">
        <f t="shared" si="95"/>
        <v>Business_Standard</v>
      </c>
      <c r="C127" s="600"/>
      <c r="D127">
        <v>241</v>
      </c>
      <c r="E127" s="600" t="s">
        <v>1944</v>
      </c>
      <c r="F127" s="600" t="str">
        <f>VLOOKUP(G127,Sheet4!$D$6:$E$22,2,FALSE)</f>
        <v>Standard</v>
      </c>
      <c r="G127" t="s">
        <v>81</v>
      </c>
      <c r="H127" s="296" t="s">
        <v>242</v>
      </c>
      <c r="J127" s="18" t="s">
        <v>15</v>
      </c>
      <c r="K127" s="72" t="str">
        <f>INDEX('Measure Codes'!$F$4:$F$821,MATCH(H127,'Measure Codes'!$D$4:$D$821,0))</f>
        <v>4.3.7</v>
      </c>
      <c r="L127" s="72" t="str">
        <f>INDEX('Measure Codes'!$G$4:$G$821,MATCH(H127,'Measure Codes'!$D$4:$D$821,0))</f>
        <v>CI-HWE-MDHW-V02-160601</v>
      </c>
      <c r="M127" s="600">
        <v>1</v>
      </c>
      <c r="O127" s="72" t="str">
        <f t="shared" si="175"/>
        <v>Gas</v>
      </c>
      <c r="P127" s="7">
        <f>VLOOKUP(D127,'2018 Plan Data'!$A$4:$K$1000,11,FALSE)</f>
        <v>15</v>
      </c>
      <c r="Q127" s="652">
        <f>VLOOKUP(D127,'2018 Plan Data'!$A$4:$L$1000,12,FALSE)</f>
        <v>0</v>
      </c>
      <c r="R127" s="314">
        <f>'BUS Measure-Model Summary'!D128</f>
        <v>0</v>
      </c>
      <c r="T127" s="314">
        <f>'BUS Measure-Model Summary'!E128</f>
        <v>0</v>
      </c>
      <c r="V127" s="314">
        <f>'BUS Measure-Model Summary'!F128</f>
        <v>10</v>
      </c>
      <c r="AD127" s="309">
        <f>INDEX('BUS Measure-Model Summary'!$I$6:$I$684,MATCH(H127,'BUS Measure-Model Summary'!$A$6:$A$684,0))</f>
        <v>0.55700000000000005</v>
      </c>
      <c r="AE127" s="309">
        <f t="shared" si="188"/>
        <v>0.55700000000000005</v>
      </c>
      <c r="AF127" s="309">
        <f t="shared" si="188"/>
        <v>0.55700000000000005</v>
      </c>
      <c r="AG127" s="309">
        <f t="shared" si="188"/>
        <v>0.55700000000000005</v>
      </c>
      <c r="AH127" s="314">
        <f t="shared" si="176"/>
        <v>0</v>
      </c>
      <c r="AI127" s="314">
        <f t="shared" si="177"/>
        <v>0</v>
      </c>
      <c r="AJ127" s="314">
        <f t="shared" si="178"/>
        <v>0</v>
      </c>
      <c r="AK127" s="314">
        <f t="shared" si="179"/>
        <v>0</v>
      </c>
      <c r="AL127" s="309">
        <f t="shared" si="180"/>
        <v>0.55700000000000005</v>
      </c>
      <c r="AM127" s="309">
        <f t="shared" si="181"/>
        <v>0.55700000000000005</v>
      </c>
      <c r="AN127" s="309">
        <f t="shared" si="182"/>
        <v>0.55700000000000005</v>
      </c>
      <c r="AO127" s="309">
        <f t="shared" si="183"/>
        <v>0.55700000000000005</v>
      </c>
      <c r="AP127" s="446">
        <f t="shared" si="184"/>
        <v>0</v>
      </c>
      <c r="AQ127" s="446">
        <f t="shared" si="185"/>
        <v>0</v>
      </c>
      <c r="AR127" s="446">
        <f t="shared" si="186"/>
        <v>0</v>
      </c>
      <c r="AS127" s="446">
        <f t="shared" si="187"/>
        <v>0</v>
      </c>
      <c r="AT127" s="309">
        <f>INDEX('BUS Measure-Model Summary'!$Y$6:$Y$684,MATCH(H127,'BUS Measure-Model Summary'!$A$6:$A$684,0))</f>
        <v>0.49399999999999999</v>
      </c>
      <c r="AU127" s="309">
        <f t="shared" si="189"/>
        <v>0.49399999999999999</v>
      </c>
      <c r="AV127" s="309">
        <f t="shared" si="189"/>
        <v>0.49399999999999999</v>
      </c>
      <c r="AW127" s="309">
        <f t="shared" si="189"/>
        <v>0.49399999999999999</v>
      </c>
      <c r="AX127" s="243">
        <f t="shared" si="190"/>
        <v>4.9399999999999995</v>
      </c>
      <c r="AY127" s="243">
        <f t="shared" si="191"/>
        <v>4.9399999999999995</v>
      </c>
      <c r="AZ127" s="243">
        <f t="shared" si="192"/>
        <v>4.9399999999999995</v>
      </c>
      <c r="BA127" s="243">
        <f t="shared" si="193"/>
        <v>4.9399999999999995</v>
      </c>
      <c r="BB127" s="243">
        <f>VLOOKUP($D127,'2018 Plan Data'!$A$4:$K$2000,6,FALSE)</f>
        <v>0</v>
      </c>
      <c r="BC127" s="243">
        <f>VLOOKUP($D127,'2018 Plan Data'!$A$4:$K$2000,7,FALSE)</f>
        <v>0</v>
      </c>
      <c r="BD127" s="243">
        <f>VLOOKUP($D127,'2018 Plan Data'!$A$4:$K$2000,8,FALSE)</f>
        <v>1</v>
      </c>
      <c r="BE127" s="243">
        <f>VLOOKUP($D127,'2018 Plan Data'!$A$4:$K$2000,9,FALSE)</f>
        <v>0</v>
      </c>
      <c r="BF127" s="243">
        <f t="shared" si="110"/>
        <v>0</v>
      </c>
      <c r="BG127" s="243">
        <f t="shared" si="111"/>
        <v>0</v>
      </c>
      <c r="BH127" s="243">
        <f t="shared" si="112"/>
        <v>0</v>
      </c>
      <c r="BI127" s="243">
        <f t="shared" si="113"/>
        <v>0</v>
      </c>
      <c r="BJ127" s="243">
        <f t="shared" si="114"/>
        <v>0</v>
      </c>
      <c r="BK127" s="243">
        <f t="shared" si="115"/>
        <v>0</v>
      </c>
      <c r="BL127" s="243">
        <f t="shared" si="116"/>
        <v>10</v>
      </c>
      <c r="BM127" s="243">
        <f t="shared" si="117"/>
        <v>0</v>
      </c>
      <c r="BN127" s="243">
        <f t="shared" si="158"/>
        <v>0</v>
      </c>
      <c r="BO127" s="243">
        <f t="shared" si="159"/>
        <v>0</v>
      </c>
      <c r="BP127" s="243">
        <f t="shared" si="160"/>
        <v>0</v>
      </c>
      <c r="BQ127" s="243">
        <f t="shared" si="161"/>
        <v>0</v>
      </c>
      <c r="BR127" s="243">
        <f t="shared" si="194"/>
        <v>0</v>
      </c>
      <c r="BS127" s="243">
        <f t="shared" si="195"/>
        <v>0</v>
      </c>
      <c r="BT127" s="243">
        <f t="shared" si="196"/>
        <v>4.9399999999999995</v>
      </c>
      <c r="BU127" s="243">
        <f t="shared" si="197"/>
        <v>0</v>
      </c>
      <c r="BV127" s="600"/>
      <c r="BW127" s="314">
        <f>VLOOKUP($D127,'2018 Plan Data'!$A$4:$T$2000,13,FALSE)</f>
        <v>0</v>
      </c>
      <c r="BX127" s="314">
        <f>VLOOKUP($D127,'2018 Plan Data'!$A$4:$T$2000,14,FALSE)</f>
        <v>0</v>
      </c>
      <c r="BY127" s="314">
        <f>VLOOKUP($D127,'2018 Plan Data'!$A$4:$T$2000,15,FALSE)</f>
        <v>0</v>
      </c>
      <c r="BZ127" s="314">
        <f>VLOOKUP($D127,'2018 Plan Data'!$A$4:$T$2000,16,FALSE)</f>
        <v>0</v>
      </c>
      <c r="CA127" s="314">
        <f>IF(VLOOKUP($D127,'2018 Plan Data'!$A$4:$T$2000,17,FALSE)&gt;0,VLOOKUP($D127,'2018 Plan Data'!$A$4:$T$2000,17,FALSE),0)</f>
        <v>0</v>
      </c>
      <c r="CB127" s="314">
        <f>IF(VLOOKUP($D127,'2018 Plan Data'!$A$4:$T$2000,18,FALSE)&gt;0,VLOOKUP($D127,'2018 Plan Data'!$A$4:$T$2000,18,FALSE),0)</f>
        <v>0</v>
      </c>
      <c r="CC127" s="314">
        <f>IF(VLOOKUP($D127,'2018 Plan Data'!$A$4:$T$2000,19,FALSE)&gt;0,VLOOKUP($D127,'2018 Plan Data'!$A$4:$T$2000,19,FALSE),0)</f>
        <v>4.9399999999999995</v>
      </c>
      <c r="CD127" s="314">
        <f>IF(VLOOKUP($D127,'2018 Plan Data'!$A$4:$T$2000,20,FALSE)&gt;0,VLOOKUP($D127,'2018 Plan Data'!$A$4:$T$2000,20,FALSE),0)</f>
        <v>0</v>
      </c>
      <c r="CE127" s="600" t="b">
        <f t="shared" si="126"/>
        <v>1</v>
      </c>
      <c r="CF127" s="600" t="b">
        <f t="shared" si="127"/>
        <v>1</v>
      </c>
      <c r="CG127" s="600" t="b">
        <f t="shared" si="128"/>
        <v>1</v>
      </c>
      <c r="CH127" s="600" t="b">
        <f t="shared" si="129"/>
        <v>1</v>
      </c>
      <c r="CI127" s="600" t="b">
        <f t="shared" si="130"/>
        <v>1</v>
      </c>
      <c r="CJ127" s="600" t="b">
        <f t="shared" si="131"/>
        <v>1</v>
      </c>
      <c r="CK127" s="600" t="b">
        <f t="shared" si="132"/>
        <v>1</v>
      </c>
      <c r="CL127" s="600" t="b">
        <f t="shared" si="133"/>
        <v>1</v>
      </c>
    </row>
    <row r="128" spans="1:90" ht="15" customHeight="1" x14ac:dyDescent="0.35">
      <c r="A128" s="585">
        <f t="shared" si="169"/>
        <v>231</v>
      </c>
      <c r="B128" s="600" t="str">
        <f t="shared" si="95"/>
        <v>Business_Standard</v>
      </c>
      <c r="C128" s="600"/>
      <c r="D128">
        <v>231</v>
      </c>
      <c r="E128" s="600" t="s">
        <v>1944</v>
      </c>
      <c r="F128" s="600" t="str">
        <f>VLOOKUP(G128,Sheet4!$D$6:$E$22,2,FALSE)</f>
        <v>Standard</v>
      </c>
      <c r="G128" t="s">
        <v>81</v>
      </c>
      <c r="H128" s="296" t="s">
        <v>243</v>
      </c>
      <c r="J128" s="18" t="s">
        <v>15</v>
      </c>
      <c r="K128" s="72" t="str">
        <f>INDEX('Measure Codes'!$F$4:$F$821,MATCH(H128,'Measure Codes'!$D$4:$D$821,0))</f>
        <v>4.3.7</v>
      </c>
      <c r="L128" s="72" t="str">
        <f>INDEX('Measure Codes'!$G$4:$G$821,MATCH(H128,'Measure Codes'!$D$4:$D$821,0))</f>
        <v>CI-HWE-MDHW-V02-160601</v>
      </c>
      <c r="M128" s="600">
        <v>1</v>
      </c>
      <c r="O128" s="72" t="str">
        <f t="shared" si="175"/>
        <v>Dual Fuel</v>
      </c>
      <c r="P128" s="7">
        <f>VLOOKUP(D128,'2018 Plan Data'!$A$4:$K$1000,11,FALSE)</f>
        <v>15</v>
      </c>
      <c r="Q128" s="652">
        <f>VLOOKUP(D128,'2018 Plan Data'!$A$4:$L$1000,12,FALSE)</f>
        <v>0</v>
      </c>
      <c r="R128" s="314">
        <f>'BUS Measure-Model Summary'!D129</f>
        <v>651</v>
      </c>
      <c r="T128" s="314">
        <f>'BUS Measure-Model Summary'!E129</f>
        <v>0</v>
      </c>
      <c r="V128" s="314">
        <f>'BUS Measure-Model Summary'!F129</f>
        <v>559</v>
      </c>
      <c r="AD128" s="309">
        <f>INDEX('BUS Measure-Model Summary'!$I$6:$I$684,MATCH(H128,'BUS Measure-Model Summary'!$A$6:$A$684,0))</f>
        <v>0.55700000000000005</v>
      </c>
      <c r="AE128" s="309">
        <f t="shared" si="188"/>
        <v>0.55700000000000005</v>
      </c>
      <c r="AF128" s="309">
        <f t="shared" si="188"/>
        <v>0.55700000000000005</v>
      </c>
      <c r="AG128" s="309">
        <f t="shared" si="188"/>
        <v>0.55700000000000005</v>
      </c>
      <c r="AH128" s="314">
        <f t="shared" si="176"/>
        <v>362.60700000000003</v>
      </c>
      <c r="AI128" s="314">
        <f t="shared" si="177"/>
        <v>362.60700000000003</v>
      </c>
      <c r="AJ128" s="314">
        <f t="shared" si="178"/>
        <v>362.60700000000003</v>
      </c>
      <c r="AK128" s="314">
        <f t="shared" si="179"/>
        <v>362.60700000000003</v>
      </c>
      <c r="AL128" s="309">
        <f t="shared" si="180"/>
        <v>0.55700000000000005</v>
      </c>
      <c r="AM128" s="309">
        <f t="shared" si="181"/>
        <v>0.55700000000000005</v>
      </c>
      <c r="AN128" s="309">
        <f t="shared" si="182"/>
        <v>0.55700000000000005</v>
      </c>
      <c r="AO128" s="309">
        <f t="shared" si="183"/>
        <v>0.55700000000000005</v>
      </c>
      <c r="AP128" s="446">
        <f t="shared" si="184"/>
        <v>0</v>
      </c>
      <c r="AQ128" s="446">
        <f t="shared" si="185"/>
        <v>0</v>
      </c>
      <c r="AR128" s="446">
        <f t="shared" si="186"/>
        <v>0</v>
      </c>
      <c r="AS128" s="446">
        <f t="shared" si="187"/>
        <v>0</v>
      </c>
      <c r="AT128" s="309">
        <f>INDEX('BUS Measure-Model Summary'!$Y$6:$Y$684,MATCH(H128,'BUS Measure-Model Summary'!$A$6:$A$684,0))</f>
        <v>0.49399999999999999</v>
      </c>
      <c r="AU128" s="309">
        <f t="shared" si="189"/>
        <v>0.49399999999999999</v>
      </c>
      <c r="AV128" s="309">
        <f t="shared" si="189"/>
        <v>0.49399999999999999</v>
      </c>
      <c r="AW128" s="309">
        <f t="shared" si="189"/>
        <v>0.49399999999999999</v>
      </c>
      <c r="AX128" s="243">
        <f t="shared" si="190"/>
        <v>276.14600000000002</v>
      </c>
      <c r="AY128" s="243">
        <f t="shared" si="191"/>
        <v>276.14600000000002</v>
      </c>
      <c r="AZ128" s="243">
        <f t="shared" si="192"/>
        <v>276.14600000000002</v>
      </c>
      <c r="BA128" s="243">
        <f t="shared" si="193"/>
        <v>276.14600000000002</v>
      </c>
      <c r="BB128" s="652">
        <f>VLOOKUP($D128,'2018 Plan Data'!$A$4:$K$2000,6,FALSE)</f>
        <v>1</v>
      </c>
      <c r="BC128" s="243">
        <f>VLOOKUP($D128,'2018 Plan Data'!$A$4:$K$2000,7,FALSE)</f>
        <v>0</v>
      </c>
      <c r="BD128" s="243">
        <f>VLOOKUP($D128,'2018 Plan Data'!$A$4:$K$2000,8,FALSE)</f>
        <v>1</v>
      </c>
      <c r="BE128" s="243">
        <f>VLOOKUP($D128,'2018 Plan Data'!$A$4:$K$2000,9,FALSE)</f>
        <v>0</v>
      </c>
      <c r="BF128" s="243">
        <f t="shared" si="110"/>
        <v>651</v>
      </c>
      <c r="BG128" s="243">
        <f t="shared" si="111"/>
        <v>0</v>
      </c>
      <c r="BH128" s="243">
        <f t="shared" si="112"/>
        <v>651</v>
      </c>
      <c r="BI128" s="243">
        <f t="shared" si="113"/>
        <v>0</v>
      </c>
      <c r="BJ128" s="243">
        <f t="shared" si="114"/>
        <v>559</v>
      </c>
      <c r="BK128" s="243">
        <f t="shared" si="115"/>
        <v>0</v>
      </c>
      <c r="BL128" s="243">
        <f t="shared" si="116"/>
        <v>559</v>
      </c>
      <c r="BM128" s="243">
        <f t="shared" si="117"/>
        <v>0</v>
      </c>
      <c r="BN128" s="243">
        <f t="shared" si="158"/>
        <v>362.60700000000003</v>
      </c>
      <c r="BO128" s="243">
        <f t="shared" si="159"/>
        <v>0</v>
      </c>
      <c r="BP128" s="243">
        <f t="shared" si="160"/>
        <v>362.60700000000003</v>
      </c>
      <c r="BQ128" s="243">
        <f t="shared" si="161"/>
        <v>0</v>
      </c>
      <c r="BR128" s="243">
        <f t="shared" si="194"/>
        <v>276.14600000000002</v>
      </c>
      <c r="BS128" s="243">
        <f t="shared" si="195"/>
        <v>0</v>
      </c>
      <c r="BT128" s="243">
        <f t="shared" si="196"/>
        <v>276.14600000000002</v>
      </c>
      <c r="BU128" s="243">
        <f t="shared" si="197"/>
        <v>0</v>
      </c>
      <c r="BV128" s="600"/>
      <c r="BW128" s="314">
        <f>VLOOKUP($D128,'2018 Plan Data'!$A$4:$T$2000,13,FALSE)</f>
        <v>362.60700000000003</v>
      </c>
      <c r="BX128" s="314">
        <f>VLOOKUP($D128,'2018 Plan Data'!$A$4:$T$2000,14,FALSE)</f>
        <v>0</v>
      </c>
      <c r="BY128" s="314">
        <f>VLOOKUP($D128,'2018 Plan Data'!$A$4:$T$2000,15,FALSE)</f>
        <v>362.60700000000003</v>
      </c>
      <c r="BZ128" s="314">
        <f>VLOOKUP($D128,'2018 Plan Data'!$A$4:$T$2000,16,FALSE)</f>
        <v>0</v>
      </c>
      <c r="CA128" s="314">
        <f>IF(VLOOKUP($D128,'2018 Plan Data'!$A$4:$T$2000,17,FALSE)&gt;0,VLOOKUP($D128,'2018 Plan Data'!$A$4:$T$2000,17,FALSE),0)</f>
        <v>276.14600000000002</v>
      </c>
      <c r="CB128" s="314">
        <f>IF(VLOOKUP($D128,'2018 Plan Data'!$A$4:$T$2000,18,FALSE)&gt;0,VLOOKUP($D128,'2018 Plan Data'!$A$4:$T$2000,18,FALSE),0)</f>
        <v>0</v>
      </c>
      <c r="CC128" s="314">
        <f>IF(VLOOKUP($D128,'2018 Plan Data'!$A$4:$T$2000,19,FALSE)&gt;0,VLOOKUP($D128,'2018 Plan Data'!$A$4:$T$2000,19,FALSE),0)</f>
        <v>276.14600000000002</v>
      </c>
      <c r="CD128" s="314">
        <f>IF(VLOOKUP($D128,'2018 Plan Data'!$A$4:$T$2000,20,FALSE)&gt;0,VLOOKUP($D128,'2018 Plan Data'!$A$4:$T$2000,20,FALSE),0)</f>
        <v>0</v>
      </c>
      <c r="CE128" s="600" t="b">
        <f t="shared" si="126"/>
        <v>1</v>
      </c>
      <c r="CF128" s="600" t="b">
        <f t="shared" si="127"/>
        <v>1</v>
      </c>
      <c r="CG128" s="600" t="b">
        <f t="shared" si="128"/>
        <v>1</v>
      </c>
      <c r="CH128" s="600" t="b">
        <f t="shared" si="129"/>
        <v>1</v>
      </c>
      <c r="CI128" s="600" t="b">
        <f t="shared" si="130"/>
        <v>1</v>
      </c>
      <c r="CJ128" s="600" t="b">
        <f t="shared" si="131"/>
        <v>1</v>
      </c>
      <c r="CK128" s="600" t="b">
        <f t="shared" si="132"/>
        <v>1</v>
      </c>
      <c r="CL128" s="600" t="b">
        <f t="shared" si="133"/>
        <v>1</v>
      </c>
    </row>
    <row r="129" spans="1:90" ht="15" customHeight="1" x14ac:dyDescent="0.35">
      <c r="A129" s="585">
        <f t="shared" si="169"/>
        <v>53</v>
      </c>
      <c r="B129" s="600" t="str">
        <f t="shared" si="95"/>
        <v>Business_Standard</v>
      </c>
      <c r="C129" s="600"/>
      <c r="D129">
        <v>53</v>
      </c>
      <c r="E129" s="600" t="s">
        <v>1944</v>
      </c>
      <c r="F129" s="600" t="str">
        <f>VLOOKUP(G129,Sheet4!$D$6:$E$22,2,FALSE)</f>
        <v>Standard</v>
      </c>
      <c r="G129" t="s">
        <v>81</v>
      </c>
      <c r="H129" s="296" t="s">
        <v>168</v>
      </c>
      <c r="J129" s="18" t="s">
        <v>100</v>
      </c>
      <c r="K129" s="72" t="str">
        <f>INDEX('Measure Codes'!$F$4:$F$821,MATCH(H129,'Measure Codes'!$D$4:$D$821,0))</f>
        <v>4.4.19</v>
      </c>
      <c r="L129" s="72" t="str">
        <f>INDEX('Measure Codes'!$G$4:$G$821,MATCH(H129,'Measure Codes'!$D$4:$D$821,0))</f>
        <v>CI-HVC-DCV-V04-180101</v>
      </c>
      <c r="M129" s="600">
        <v>1</v>
      </c>
      <c r="O129" s="72" t="str">
        <f t="shared" si="175"/>
        <v>Dual Fuel</v>
      </c>
      <c r="P129" s="7">
        <f>VLOOKUP(D129,'2018 Plan Data'!$A$4:$K$1000,11,FALSE)</f>
        <v>10</v>
      </c>
      <c r="Q129" s="652">
        <f>VLOOKUP(D129,'2018 Plan Data'!$A$4:$L$1000,12,FALSE)</f>
        <v>0</v>
      </c>
      <c r="R129" s="314">
        <f>'BUS Measure-Model Summary'!D130</f>
        <v>4468</v>
      </c>
      <c r="T129" s="314">
        <f>'BUS Measure-Model Summary'!E130</f>
        <v>0</v>
      </c>
      <c r="V129" s="314">
        <f>'BUS Measure-Model Summary'!F130</f>
        <v>623</v>
      </c>
      <c r="AD129" s="309">
        <f>INDEX('BUS Measure-Model Summary'!$I$6:$I$684,MATCH(H129,'BUS Measure-Model Summary'!$A$6:$A$684,0))</f>
        <v>0.55700000000000005</v>
      </c>
      <c r="AE129" s="309">
        <f t="shared" si="188"/>
        <v>0.55700000000000005</v>
      </c>
      <c r="AF129" s="309">
        <f t="shared" si="188"/>
        <v>0.55700000000000005</v>
      </c>
      <c r="AG129" s="309">
        <f t="shared" si="188"/>
        <v>0.55700000000000005</v>
      </c>
      <c r="AH129" s="314">
        <f t="shared" si="176"/>
        <v>2488.6760000000004</v>
      </c>
      <c r="AI129" s="314">
        <f t="shared" si="177"/>
        <v>2488.6760000000004</v>
      </c>
      <c r="AJ129" s="314">
        <f t="shared" si="178"/>
        <v>2488.6760000000004</v>
      </c>
      <c r="AK129" s="314">
        <f t="shared" si="179"/>
        <v>2488.6760000000004</v>
      </c>
      <c r="AL129" s="309">
        <f t="shared" si="180"/>
        <v>0.55700000000000005</v>
      </c>
      <c r="AM129" s="309">
        <f t="shared" si="181"/>
        <v>0.55700000000000005</v>
      </c>
      <c r="AN129" s="309">
        <f t="shared" si="182"/>
        <v>0.55700000000000005</v>
      </c>
      <c r="AO129" s="309">
        <f t="shared" si="183"/>
        <v>0.55700000000000005</v>
      </c>
      <c r="AP129" s="446">
        <f t="shared" si="184"/>
        <v>0</v>
      </c>
      <c r="AQ129" s="446">
        <f t="shared" si="185"/>
        <v>0</v>
      </c>
      <c r="AR129" s="446">
        <f t="shared" si="186"/>
        <v>0</v>
      </c>
      <c r="AS129" s="446">
        <f t="shared" si="187"/>
        <v>0</v>
      </c>
      <c r="AT129" s="309">
        <f>INDEX('BUS Measure-Model Summary'!$Y$6:$Y$684,MATCH(H129,'BUS Measure-Model Summary'!$A$6:$A$684,0))</f>
        <v>0.49399999999999999</v>
      </c>
      <c r="AU129" s="309">
        <f t="shared" si="189"/>
        <v>0.49399999999999999</v>
      </c>
      <c r="AV129" s="309">
        <f t="shared" si="189"/>
        <v>0.49399999999999999</v>
      </c>
      <c r="AW129" s="309">
        <f t="shared" si="189"/>
        <v>0.49399999999999999</v>
      </c>
      <c r="AX129" s="243">
        <f t="shared" si="190"/>
        <v>307.762</v>
      </c>
      <c r="AY129" s="243">
        <f t="shared" si="191"/>
        <v>307.762</v>
      </c>
      <c r="AZ129" s="243">
        <f t="shared" si="192"/>
        <v>307.762</v>
      </c>
      <c r="BA129" s="243">
        <f t="shared" si="193"/>
        <v>307.762</v>
      </c>
      <c r="BB129" s="652">
        <f>VLOOKUP($D129,'2018 Plan Data'!$A$4:$K$2000,6,FALSE)</f>
        <v>30</v>
      </c>
      <c r="BC129" s="243">
        <f>VLOOKUP($D129,'2018 Plan Data'!$A$4:$K$2000,7,FALSE)</f>
        <v>19</v>
      </c>
      <c r="BD129" s="243">
        <f>VLOOKUP($D129,'2018 Plan Data'!$A$4:$K$2000,8,FALSE)</f>
        <v>30</v>
      </c>
      <c r="BE129" s="243">
        <f>VLOOKUP($D129,'2018 Plan Data'!$A$4:$K$2000,9,FALSE)</f>
        <v>30</v>
      </c>
      <c r="BF129" s="243">
        <f t="shared" si="110"/>
        <v>134040</v>
      </c>
      <c r="BG129" s="243">
        <f t="shared" si="111"/>
        <v>84892</v>
      </c>
      <c r="BH129" s="243">
        <f t="shared" si="112"/>
        <v>134040</v>
      </c>
      <c r="BI129" s="243">
        <f t="shared" si="113"/>
        <v>134040</v>
      </c>
      <c r="BJ129" s="243">
        <f t="shared" si="114"/>
        <v>18690</v>
      </c>
      <c r="BK129" s="243">
        <f t="shared" si="115"/>
        <v>11837</v>
      </c>
      <c r="BL129" s="243">
        <f t="shared" si="116"/>
        <v>18690</v>
      </c>
      <c r="BM129" s="243">
        <f t="shared" si="117"/>
        <v>18690</v>
      </c>
      <c r="BN129" s="243">
        <f t="shared" si="158"/>
        <v>74660.280000000013</v>
      </c>
      <c r="BO129" s="243">
        <f t="shared" si="159"/>
        <v>47284.844000000005</v>
      </c>
      <c r="BP129" s="243">
        <f t="shared" si="160"/>
        <v>74660.280000000013</v>
      </c>
      <c r="BQ129" s="243">
        <f t="shared" si="161"/>
        <v>74660.280000000013</v>
      </c>
      <c r="BR129" s="243">
        <f t="shared" si="194"/>
        <v>9232.86</v>
      </c>
      <c r="BS129" s="243">
        <f t="shared" si="195"/>
        <v>5847.4780000000001</v>
      </c>
      <c r="BT129" s="243">
        <f t="shared" si="196"/>
        <v>9232.86</v>
      </c>
      <c r="BU129" s="243">
        <f t="shared" si="197"/>
        <v>9232.86</v>
      </c>
      <c r="BV129" s="600"/>
      <c r="BW129" s="314">
        <f>VLOOKUP($D129,'2018 Plan Data'!$A$4:$T$2000,13,FALSE)</f>
        <v>74660.280000000013</v>
      </c>
      <c r="BX129" s="314">
        <f>VLOOKUP($D129,'2018 Plan Data'!$A$4:$T$2000,14,FALSE)</f>
        <v>47284.844000000005</v>
      </c>
      <c r="BY129" s="314">
        <f>VLOOKUP($D129,'2018 Plan Data'!$A$4:$T$2000,15,FALSE)</f>
        <v>74660.280000000013</v>
      </c>
      <c r="BZ129" s="314">
        <f>VLOOKUP($D129,'2018 Plan Data'!$A$4:$T$2000,16,FALSE)</f>
        <v>74660.280000000013</v>
      </c>
      <c r="CA129" s="314">
        <f>IF(VLOOKUP($D129,'2018 Plan Data'!$A$4:$T$2000,17,FALSE)&gt;0,VLOOKUP($D129,'2018 Plan Data'!$A$4:$T$2000,17,FALSE),0)</f>
        <v>9232.86</v>
      </c>
      <c r="CB129" s="314">
        <f>IF(VLOOKUP($D129,'2018 Plan Data'!$A$4:$T$2000,18,FALSE)&gt;0,VLOOKUP($D129,'2018 Plan Data'!$A$4:$T$2000,18,FALSE),0)</f>
        <v>5847.4780000000001</v>
      </c>
      <c r="CC129" s="314">
        <f>IF(VLOOKUP($D129,'2018 Plan Data'!$A$4:$T$2000,19,FALSE)&gt;0,VLOOKUP($D129,'2018 Plan Data'!$A$4:$T$2000,19,FALSE),0)</f>
        <v>9232.86</v>
      </c>
      <c r="CD129" s="314">
        <f>IF(VLOOKUP($D129,'2018 Plan Data'!$A$4:$T$2000,20,FALSE)&gt;0,VLOOKUP($D129,'2018 Plan Data'!$A$4:$T$2000,20,FALSE),0)</f>
        <v>9232.86</v>
      </c>
      <c r="CE129" s="600" t="b">
        <f t="shared" si="126"/>
        <v>1</v>
      </c>
      <c r="CF129" s="600" t="b">
        <f t="shared" si="127"/>
        <v>1</v>
      </c>
      <c r="CG129" s="600" t="b">
        <f t="shared" si="128"/>
        <v>1</v>
      </c>
      <c r="CH129" s="600" t="b">
        <f t="shared" si="129"/>
        <v>1</v>
      </c>
      <c r="CI129" s="600" t="b">
        <f t="shared" si="130"/>
        <v>1</v>
      </c>
      <c r="CJ129" s="600" t="b">
        <f t="shared" si="131"/>
        <v>1</v>
      </c>
      <c r="CK129" s="600" t="b">
        <f t="shared" si="132"/>
        <v>1</v>
      </c>
      <c r="CL129" s="600" t="b">
        <f t="shared" si="133"/>
        <v>1</v>
      </c>
    </row>
    <row r="130" spans="1:90" ht="15" customHeight="1" x14ac:dyDescent="0.35">
      <c r="A130" s="585">
        <f t="shared" si="169"/>
        <v>240</v>
      </c>
      <c r="B130" s="600" t="str">
        <f t="shared" si="95"/>
        <v>Business_Standard</v>
      </c>
      <c r="C130" s="600"/>
      <c r="D130" s="600">
        <v>240</v>
      </c>
      <c r="E130" s="600" t="s">
        <v>1944</v>
      </c>
      <c r="F130" s="600" t="str">
        <f>VLOOKUP(G130,Sheet4!$D$6:$E$22,2,FALSE)</f>
        <v>Standard</v>
      </c>
      <c r="G130" s="600" t="s">
        <v>81</v>
      </c>
      <c r="H130" s="2336" t="s">
        <v>1016</v>
      </c>
      <c r="I130" s="585"/>
      <c r="J130" s="18" t="s">
        <v>15</v>
      </c>
      <c r="K130" s="72" t="str">
        <f>INDEX('Measure Codes'!$F$4:$F$821,MATCH(H130,'Measure Codes'!$D$4:$D$821,0))</f>
        <v>4.3.3</v>
      </c>
      <c r="L130" s="72" t="str">
        <f>INDEX('Measure Codes'!$G$4:$G$821,MATCH(H130,'Measure Codes'!$D$4:$D$821,0))</f>
        <v>CI-HWE-LFSH-V04-180101</v>
      </c>
      <c r="M130" s="600">
        <v>1</v>
      </c>
      <c r="O130" s="72" t="str">
        <f t="shared" si="175"/>
        <v>Dual Fuel</v>
      </c>
      <c r="P130" s="7">
        <f>VLOOKUP(D130,'2018 Plan Data'!$A$4:$K$1000,11,FALSE)</f>
        <v>10</v>
      </c>
      <c r="Q130" s="652">
        <f>VLOOKUP(D130,'2018 Plan Data'!$A$4:$L$1000,12,FALSE)</f>
        <v>0</v>
      </c>
      <c r="R130" s="314">
        <f>'BUS Low Flow Showerheads'!C13</f>
        <v>24.029624590650002</v>
      </c>
      <c r="T130" s="314">
        <f>'BUS Low Flow Showerheads'!C14</f>
        <v>7.9278654772272049E-3</v>
      </c>
      <c r="V130" s="314">
        <f>'BUS Low Flow Showerheads'!C15</f>
        <v>4.9335158451599996</v>
      </c>
      <c r="AD130" s="309">
        <f>INDEX('BUS Measure-Model Summary'!$I$6:$I$684,MATCH(H130,'BUS Measure-Model Summary'!$A$6:$A$684,0))</f>
        <v>0.79999999999999993</v>
      </c>
      <c r="AE130" s="309">
        <f t="shared" ref="AE130:AG149" si="198">AD130</f>
        <v>0.79999999999999993</v>
      </c>
      <c r="AF130" s="309">
        <f t="shared" si="198"/>
        <v>0.79999999999999993</v>
      </c>
      <c r="AG130" s="309">
        <f t="shared" si="198"/>
        <v>0.79999999999999993</v>
      </c>
      <c r="AH130" s="314">
        <f t="shared" si="176"/>
        <v>19.223699672519999</v>
      </c>
      <c r="AI130" s="314">
        <f t="shared" si="177"/>
        <v>19.223699672519999</v>
      </c>
      <c r="AJ130" s="314">
        <f t="shared" si="178"/>
        <v>19.223699672519999</v>
      </c>
      <c r="AK130" s="314">
        <f t="shared" si="179"/>
        <v>19.223699672519999</v>
      </c>
      <c r="AL130" s="309">
        <f t="shared" si="180"/>
        <v>0.79999999999999993</v>
      </c>
      <c r="AM130" s="309">
        <f t="shared" si="181"/>
        <v>0.79999999999999993</v>
      </c>
      <c r="AN130" s="309">
        <f t="shared" si="182"/>
        <v>0.79999999999999993</v>
      </c>
      <c r="AO130" s="309">
        <f t="shared" si="183"/>
        <v>0.79999999999999993</v>
      </c>
      <c r="AP130" s="446">
        <f t="shared" si="184"/>
        <v>6.3422923817817636E-3</v>
      </c>
      <c r="AQ130" s="446">
        <f t="shared" si="185"/>
        <v>6.3422923817817636E-3</v>
      </c>
      <c r="AR130" s="446">
        <f t="shared" si="186"/>
        <v>6.3422923817817636E-3</v>
      </c>
      <c r="AS130" s="446">
        <f t="shared" si="187"/>
        <v>6.3422923817817636E-3</v>
      </c>
      <c r="AT130" s="309">
        <f>INDEX('BUS Measure-Model Summary'!$Y$6:$Y$684,MATCH(H130,'BUS Measure-Model Summary'!$A$6:$A$684,0))</f>
        <v>0.60399999999999998</v>
      </c>
      <c r="AU130" s="309">
        <f t="shared" ref="AU130:AW149" si="199">AT130</f>
        <v>0.60399999999999998</v>
      </c>
      <c r="AV130" s="309">
        <f t="shared" si="199"/>
        <v>0.60399999999999998</v>
      </c>
      <c r="AW130" s="309">
        <f t="shared" si="199"/>
        <v>0.60399999999999998</v>
      </c>
      <c r="AX130" s="243">
        <f t="shared" si="190"/>
        <v>2.9798435704766395</v>
      </c>
      <c r="AY130" s="243">
        <f t="shared" si="191"/>
        <v>2.9798435704766395</v>
      </c>
      <c r="AZ130" s="243">
        <f t="shared" si="192"/>
        <v>2.9798435704766395</v>
      </c>
      <c r="BA130" s="243">
        <f t="shared" si="193"/>
        <v>2.9798435704766395</v>
      </c>
      <c r="BB130" s="652">
        <f>VLOOKUP($D130,'2018 Plan Data'!$A$4:$K$2000,6,FALSE)</f>
        <v>22</v>
      </c>
      <c r="BC130" s="243">
        <f>VLOOKUP($D130,'2018 Plan Data'!$A$4:$K$2000,7,FALSE)</f>
        <v>23</v>
      </c>
      <c r="BD130" s="243">
        <f>VLOOKUP($D130,'2018 Plan Data'!$A$4:$K$2000,8,FALSE)</f>
        <v>24</v>
      </c>
      <c r="BE130" s="243">
        <f>VLOOKUP($D130,'2018 Plan Data'!$A$4:$K$2000,9,FALSE)</f>
        <v>25</v>
      </c>
      <c r="BF130" s="243">
        <f t="shared" si="110"/>
        <v>528.6517409943001</v>
      </c>
      <c r="BG130" s="243">
        <f t="shared" si="111"/>
        <v>552.68136558495007</v>
      </c>
      <c r="BH130" s="243">
        <f t="shared" si="112"/>
        <v>576.71099017560005</v>
      </c>
      <c r="BI130" s="243">
        <f t="shared" si="113"/>
        <v>600.74061476625002</v>
      </c>
      <c r="BJ130" s="243">
        <f t="shared" si="114"/>
        <v>108.53734859351999</v>
      </c>
      <c r="BK130" s="243">
        <f t="shared" si="115"/>
        <v>113.47086443868</v>
      </c>
      <c r="BL130" s="243">
        <f t="shared" si="116"/>
        <v>118.40438028384</v>
      </c>
      <c r="BM130" s="243">
        <f t="shared" si="117"/>
        <v>123.33789612899999</v>
      </c>
      <c r="BN130" s="243">
        <f t="shared" si="158"/>
        <v>422.92139279543994</v>
      </c>
      <c r="BO130" s="243">
        <f t="shared" si="159"/>
        <v>442.14509246795996</v>
      </c>
      <c r="BP130" s="243">
        <f t="shared" si="160"/>
        <v>461.36879214047997</v>
      </c>
      <c r="BQ130" s="243">
        <f t="shared" si="161"/>
        <v>480.59249181299998</v>
      </c>
      <c r="BR130" s="243">
        <f t="shared" si="194"/>
        <v>65.556558550486073</v>
      </c>
      <c r="BS130" s="243">
        <f t="shared" si="195"/>
        <v>68.536402120962705</v>
      </c>
      <c r="BT130" s="243">
        <f t="shared" si="196"/>
        <v>71.516245691439352</v>
      </c>
      <c r="BU130" s="243">
        <f t="shared" si="197"/>
        <v>74.496089261915984</v>
      </c>
      <c r="BV130" s="600"/>
      <c r="BW130" s="314">
        <f>VLOOKUP($D130,'2018 Plan Data'!$A$4:$T$2000,13,FALSE)</f>
        <v>362.14760647296004</v>
      </c>
      <c r="BX130" s="314">
        <f>VLOOKUP($D130,'2018 Plan Data'!$A$4:$T$2000,14,FALSE)</f>
        <v>378.60886131264004</v>
      </c>
      <c r="BY130" s="314">
        <f>VLOOKUP($D130,'2018 Plan Data'!$A$4:$T$2000,15,FALSE)</f>
        <v>395.07011615232005</v>
      </c>
      <c r="BZ130" s="314">
        <f>VLOOKUP($D130,'2018 Plan Data'!$A$4:$T$2000,16,FALSE)</f>
        <v>411.53137099200006</v>
      </c>
      <c r="CA130" s="314">
        <f>IF(VLOOKUP($D130,'2018 Plan Data'!$A$4:$T$2000,17,FALSE)&gt;0,VLOOKUP($D130,'2018 Plan Data'!$A$4:$T$2000,17,FALSE),0)</f>
        <v>71.207986011734903</v>
      </c>
      <c r="CB130" s="314">
        <f>IF(VLOOKUP($D130,'2018 Plan Data'!$A$4:$T$2000,18,FALSE)&gt;0,VLOOKUP($D130,'2018 Plan Data'!$A$4:$T$2000,18,FALSE),0)</f>
        <v>74.444712648631935</v>
      </c>
      <c r="CC130" s="314">
        <f>IF(VLOOKUP($D130,'2018 Plan Data'!$A$4:$T$2000,19,FALSE)&gt;0,VLOOKUP($D130,'2018 Plan Data'!$A$4:$T$2000,19,FALSE),0)</f>
        <v>77.681439285528981</v>
      </c>
      <c r="CD130" s="314">
        <f>IF(VLOOKUP($D130,'2018 Plan Data'!$A$4:$T$2000,20,FALSE)&gt;0,VLOOKUP($D130,'2018 Plan Data'!$A$4:$T$2000,20,FALSE),0)</f>
        <v>80.918165922426027</v>
      </c>
      <c r="CE130" s="600" t="b">
        <f t="shared" si="126"/>
        <v>0</v>
      </c>
      <c r="CF130" s="600" t="b">
        <f t="shared" si="127"/>
        <v>0</v>
      </c>
      <c r="CG130" s="600" t="b">
        <f t="shared" si="128"/>
        <v>0</v>
      </c>
      <c r="CH130" s="600" t="b">
        <f t="shared" si="129"/>
        <v>0</v>
      </c>
      <c r="CI130" s="600" t="b">
        <f t="shared" si="130"/>
        <v>0</v>
      </c>
      <c r="CJ130" s="600" t="b">
        <f t="shared" si="131"/>
        <v>0</v>
      </c>
      <c r="CK130" s="600" t="b">
        <f t="shared" si="132"/>
        <v>0</v>
      </c>
      <c r="CL130" s="600" t="b">
        <f t="shared" si="133"/>
        <v>0</v>
      </c>
    </row>
    <row r="131" spans="1:90" ht="15" customHeight="1" x14ac:dyDescent="0.35">
      <c r="A131" s="585">
        <f t="shared" si="169"/>
        <v>57</v>
      </c>
      <c r="B131" s="600" t="str">
        <f t="shared" si="95"/>
        <v>Business_Standard</v>
      </c>
      <c r="C131" s="600"/>
      <c r="D131">
        <v>57</v>
      </c>
      <c r="E131" s="600" t="s">
        <v>1944</v>
      </c>
      <c r="F131" s="600" t="str">
        <f>VLOOKUP(G131,Sheet4!$D$6:$E$22,2,FALSE)</f>
        <v>Standard</v>
      </c>
      <c r="G131" t="s">
        <v>81</v>
      </c>
      <c r="H131" s="296" t="s">
        <v>255</v>
      </c>
      <c r="J131" s="18" t="s">
        <v>100</v>
      </c>
      <c r="K131" s="72" t="str">
        <f>INDEX('Measure Codes'!$F$4:$F$821,MATCH(H131,'Measure Codes'!$D$4:$D$821,0))</f>
        <v>4.4.34</v>
      </c>
      <c r="L131" s="72" t="str">
        <f>INDEX('Measure Codes'!$G$4:$G$821,MATCH(H131,'Measure Codes'!$D$4:$D$821,0))</f>
        <v>CI-HVC-DSFN-V02-180101</v>
      </c>
      <c r="M131" s="600">
        <v>1</v>
      </c>
      <c r="O131" s="72" t="str">
        <f t="shared" si="175"/>
        <v>Dual Fuel</v>
      </c>
      <c r="P131" s="7">
        <f>VLOOKUP(D131,'2018 Plan Data'!$A$4:$K$1000,11,FALSE)</f>
        <v>10</v>
      </c>
      <c r="Q131" s="652">
        <f>VLOOKUP(D131,'2018 Plan Data'!$A$4:$L$1000,12,FALSE)</f>
        <v>0</v>
      </c>
      <c r="R131" s="314">
        <f>'BUS Measure-Model Summary'!D151</f>
        <v>20.697080156250195</v>
      </c>
      <c r="T131" s="314">
        <f>'BUS Measure-Model Summary'!E151</f>
        <v>0</v>
      </c>
      <c r="V131" s="314">
        <f>'BUS Measure-Model Summary'!F151</f>
        <v>843.86062500000014</v>
      </c>
      <c r="AD131" s="309">
        <f>INDEX('BUS Measure-Model Summary'!$I$6:$I$684,MATCH(H131,'BUS Measure-Model Summary'!$A$6:$A$684,0))</f>
        <v>0.84899999999999998</v>
      </c>
      <c r="AE131" s="309">
        <f t="shared" si="198"/>
        <v>0.84899999999999998</v>
      </c>
      <c r="AF131" s="309">
        <f t="shared" si="198"/>
        <v>0.84899999999999998</v>
      </c>
      <c r="AG131" s="309">
        <f t="shared" si="198"/>
        <v>0.84899999999999998</v>
      </c>
      <c r="AH131" s="314">
        <f t="shared" si="176"/>
        <v>17.571821052656414</v>
      </c>
      <c r="AI131" s="314">
        <f t="shared" si="177"/>
        <v>17.571821052656414</v>
      </c>
      <c r="AJ131" s="314">
        <f t="shared" si="178"/>
        <v>17.571821052656414</v>
      </c>
      <c r="AK131" s="314">
        <f t="shared" si="179"/>
        <v>17.571821052656414</v>
      </c>
      <c r="AL131" s="309">
        <f t="shared" si="180"/>
        <v>0.84899999999999998</v>
      </c>
      <c r="AM131" s="309">
        <f t="shared" si="181"/>
        <v>0.84899999999999998</v>
      </c>
      <c r="AN131" s="309">
        <f t="shared" si="182"/>
        <v>0.84899999999999998</v>
      </c>
      <c r="AO131" s="309">
        <f t="shared" si="183"/>
        <v>0.84899999999999998</v>
      </c>
      <c r="AP131" s="446">
        <f t="shared" si="184"/>
        <v>0</v>
      </c>
      <c r="AQ131" s="446">
        <f t="shared" si="185"/>
        <v>0</v>
      </c>
      <c r="AR131" s="446">
        <f t="shared" si="186"/>
        <v>0</v>
      </c>
      <c r="AS131" s="446">
        <f t="shared" si="187"/>
        <v>0</v>
      </c>
      <c r="AT131" s="309">
        <f>INDEX('BUS Measure-Model Summary'!$Y$6:$Y$684,MATCH(H131,'BUS Measure-Model Summary'!$A$6:$A$684,0))</f>
        <v>0.67500000000000004</v>
      </c>
      <c r="AU131" s="309">
        <f t="shared" si="199"/>
        <v>0.67500000000000004</v>
      </c>
      <c r="AV131" s="309">
        <f t="shared" si="199"/>
        <v>0.67500000000000004</v>
      </c>
      <c r="AW131" s="309">
        <f t="shared" si="199"/>
        <v>0.67500000000000004</v>
      </c>
      <c r="AX131" s="243">
        <f t="shared" si="190"/>
        <v>569.60592187500015</v>
      </c>
      <c r="AY131" s="243">
        <f t="shared" si="191"/>
        <v>569.60592187500015</v>
      </c>
      <c r="AZ131" s="243">
        <f t="shared" si="192"/>
        <v>569.60592187500015</v>
      </c>
      <c r="BA131" s="243">
        <f t="shared" si="193"/>
        <v>569.60592187500015</v>
      </c>
      <c r="BB131" s="652">
        <f>VLOOKUP($D131,'2018 Plan Data'!$A$4:$K$2000,6,FALSE)</f>
        <v>1</v>
      </c>
      <c r="BC131" s="243">
        <f>VLOOKUP($D131,'2018 Plan Data'!$A$4:$K$2000,7,FALSE)</f>
        <v>1</v>
      </c>
      <c r="BD131" s="243">
        <f>VLOOKUP($D131,'2018 Plan Data'!$A$4:$K$2000,8,FALSE)</f>
        <v>1</v>
      </c>
      <c r="BE131" s="243">
        <f>VLOOKUP($D131,'2018 Plan Data'!$A$4:$K$2000,9,FALSE)</f>
        <v>1</v>
      </c>
      <c r="BF131" s="243">
        <f t="shared" si="110"/>
        <v>20.697080156250195</v>
      </c>
      <c r="BG131" s="243">
        <f t="shared" si="111"/>
        <v>20.697080156250195</v>
      </c>
      <c r="BH131" s="243">
        <f t="shared" si="112"/>
        <v>20.697080156250195</v>
      </c>
      <c r="BI131" s="243">
        <f t="shared" si="113"/>
        <v>20.697080156250195</v>
      </c>
      <c r="BJ131" s="243">
        <f t="shared" si="114"/>
        <v>843.86062500000014</v>
      </c>
      <c r="BK131" s="243">
        <f t="shared" si="115"/>
        <v>843.86062500000014</v>
      </c>
      <c r="BL131" s="243">
        <f t="shared" si="116"/>
        <v>843.86062500000014</v>
      </c>
      <c r="BM131" s="243">
        <f t="shared" si="117"/>
        <v>843.86062500000014</v>
      </c>
      <c r="BN131" s="243">
        <f t="shared" si="158"/>
        <v>17.571821052656414</v>
      </c>
      <c r="BO131" s="243">
        <f t="shared" si="159"/>
        <v>17.571821052656414</v>
      </c>
      <c r="BP131" s="243">
        <f t="shared" si="160"/>
        <v>17.571821052656414</v>
      </c>
      <c r="BQ131" s="243">
        <f t="shared" si="161"/>
        <v>17.571821052656414</v>
      </c>
      <c r="BR131" s="243">
        <f t="shared" si="194"/>
        <v>569.60592187500015</v>
      </c>
      <c r="BS131" s="243">
        <f t="shared" si="195"/>
        <v>569.60592187500015</v>
      </c>
      <c r="BT131" s="243">
        <f t="shared" si="196"/>
        <v>569.60592187500015</v>
      </c>
      <c r="BU131" s="243">
        <f t="shared" si="197"/>
        <v>569.60592187500015</v>
      </c>
      <c r="BV131" s="600"/>
      <c r="BW131" s="314">
        <f>VLOOKUP($D131,'2018 Plan Data'!$A$4:$T$2000,13,FALSE)</f>
        <v>17.571821052656414</v>
      </c>
      <c r="BX131" s="314">
        <f>VLOOKUP($D131,'2018 Plan Data'!$A$4:$T$2000,14,FALSE)</f>
        <v>17.571821052656414</v>
      </c>
      <c r="BY131" s="314">
        <f>VLOOKUP($D131,'2018 Plan Data'!$A$4:$T$2000,15,FALSE)</f>
        <v>17.571821052656414</v>
      </c>
      <c r="BZ131" s="314">
        <f>VLOOKUP($D131,'2018 Plan Data'!$A$4:$T$2000,16,FALSE)</f>
        <v>17.571821052656414</v>
      </c>
      <c r="CA131" s="314">
        <f>IF(VLOOKUP($D131,'2018 Plan Data'!$A$4:$T$2000,17,FALSE)&gt;0,VLOOKUP($D131,'2018 Plan Data'!$A$4:$T$2000,17,FALSE),0)</f>
        <v>569.60592187500015</v>
      </c>
      <c r="CB131" s="314">
        <f>IF(VLOOKUP($D131,'2018 Plan Data'!$A$4:$T$2000,18,FALSE)&gt;0,VLOOKUP($D131,'2018 Plan Data'!$A$4:$T$2000,18,FALSE),0)</f>
        <v>569.60592187500015</v>
      </c>
      <c r="CC131" s="314">
        <f>IF(VLOOKUP($D131,'2018 Plan Data'!$A$4:$T$2000,19,FALSE)&gt;0,VLOOKUP($D131,'2018 Plan Data'!$A$4:$T$2000,19,FALSE),0)</f>
        <v>569.60592187500015</v>
      </c>
      <c r="CD131" s="314">
        <f>IF(VLOOKUP($D131,'2018 Plan Data'!$A$4:$T$2000,20,FALSE)&gt;0,VLOOKUP($D131,'2018 Plan Data'!$A$4:$T$2000,20,FALSE),0)</f>
        <v>569.60592187500015</v>
      </c>
      <c r="CE131" s="600" t="b">
        <f t="shared" si="126"/>
        <v>1</v>
      </c>
      <c r="CF131" s="600" t="b">
        <f t="shared" si="127"/>
        <v>1</v>
      </c>
      <c r="CG131" s="600" t="b">
        <f t="shared" si="128"/>
        <v>1</v>
      </c>
      <c r="CH131" s="600" t="b">
        <f t="shared" si="129"/>
        <v>1</v>
      </c>
      <c r="CI131" s="600" t="b">
        <f t="shared" si="130"/>
        <v>1</v>
      </c>
      <c r="CJ131" s="600" t="b">
        <f t="shared" si="131"/>
        <v>1</v>
      </c>
      <c r="CK131" s="600" t="b">
        <f t="shared" si="132"/>
        <v>1</v>
      </c>
      <c r="CL131" s="600" t="b">
        <f t="shared" si="133"/>
        <v>1</v>
      </c>
    </row>
    <row r="132" spans="1:90" ht="15" customHeight="1" x14ac:dyDescent="0.35">
      <c r="A132" s="585">
        <f t="shared" si="169"/>
        <v>58</v>
      </c>
      <c r="B132" s="600" t="str">
        <f t="shared" si="95"/>
        <v>Business_Standard</v>
      </c>
      <c r="C132" s="600"/>
      <c r="D132">
        <v>58</v>
      </c>
      <c r="E132" s="600" t="s">
        <v>1944</v>
      </c>
      <c r="F132" s="600" t="str">
        <f>VLOOKUP(G132,Sheet4!$D$6:$E$22,2,FALSE)</f>
        <v>Standard</v>
      </c>
      <c r="G132" t="s">
        <v>81</v>
      </c>
      <c r="H132" s="296" t="s">
        <v>256</v>
      </c>
      <c r="J132" s="18" t="s">
        <v>100</v>
      </c>
      <c r="K132" s="72" t="str">
        <f>INDEX('Measure Codes'!$F$4:$F$821,MATCH(H132,'Measure Codes'!$D$4:$D$821,0))</f>
        <v>4.4.34</v>
      </c>
      <c r="L132" s="72" t="str">
        <f>INDEX('Measure Codes'!$G$4:$G$821,MATCH(H132,'Measure Codes'!$D$4:$D$821,0))</f>
        <v>CI-HVC-DSFN-V02-180101</v>
      </c>
      <c r="M132" s="600">
        <v>1</v>
      </c>
      <c r="O132" s="72" t="str">
        <f t="shared" si="175"/>
        <v>Dual Fuel</v>
      </c>
      <c r="P132" s="7">
        <f>VLOOKUP(D132,'2018 Plan Data'!$A$4:$K$1000,11,FALSE)</f>
        <v>10</v>
      </c>
      <c r="Q132" s="652">
        <f>VLOOKUP(D132,'2018 Plan Data'!$A$4:$L$1000,12,FALSE)</f>
        <v>0</v>
      </c>
      <c r="R132" s="314">
        <f>'BUS Measure-Model Summary'!D152</f>
        <v>654.83596659374984</v>
      </c>
      <c r="T132" s="314">
        <f>'BUS Measure-Model Summary'!E152</f>
        <v>0</v>
      </c>
      <c r="V132" s="314">
        <f>'BUS Measure-Model Summary'!F152</f>
        <v>996.58237499999996</v>
      </c>
      <c r="AD132" s="309">
        <f>INDEX('BUS Measure-Model Summary'!$I$6:$I$684,MATCH(H132,'BUS Measure-Model Summary'!$A$6:$A$684,0))</f>
        <v>0.84899999999999998</v>
      </c>
      <c r="AE132" s="309">
        <f t="shared" si="198"/>
        <v>0.84899999999999998</v>
      </c>
      <c r="AF132" s="309">
        <f t="shared" si="198"/>
        <v>0.84899999999999998</v>
      </c>
      <c r="AG132" s="309">
        <f t="shared" si="198"/>
        <v>0.84899999999999998</v>
      </c>
      <c r="AH132" s="314">
        <f t="shared" si="176"/>
        <v>555.95573563809364</v>
      </c>
      <c r="AI132" s="314">
        <f t="shared" si="177"/>
        <v>555.95573563809364</v>
      </c>
      <c r="AJ132" s="314">
        <f t="shared" si="178"/>
        <v>555.95573563809364</v>
      </c>
      <c r="AK132" s="314">
        <f t="shared" si="179"/>
        <v>555.95573563809364</v>
      </c>
      <c r="AL132" s="309">
        <f t="shared" si="180"/>
        <v>0.84899999999999998</v>
      </c>
      <c r="AM132" s="309">
        <f t="shared" si="181"/>
        <v>0.84899999999999998</v>
      </c>
      <c r="AN132" s="309">
        <f t="shared" si="182"/>
        <v>0.84899999999999998</v>
      </c>
      <c r="AO132" s="309">
        <f t="shared" si="183"/>
        <v>0.84899999999999998</v>
      </c>
      <c r="AP132" s="446">
        <f t="shared" si="184"/>
        <v>0</v>
      </c>
      <c r="AQ132" s="446">
        <f t="shared" si="185"/>
        <v>0</v>
      </c>
      <c r="AR132" s="446">
        <f t="shared" si="186"/>
        <v>0</v>
      </c>
      <c r="AS132" s="446">
        <f t="shared" si="187"/>
        <v>0</v>
      </c>
      <c r="AT132" s="309">
        <f>INDEX('BUS Measure-Model Summary'!$Y$6:$Y$684,MATCH(H132,'BUS Measure-Model Summary'!$A$6:$A$684,0))</f>
        <v>0.67500000000000004</v>
      </c>
      <c r="AU132" s="309">
        <f t="shared" si="199"/>
        <v>0.67500000000000004</v>
      </c>
      <c r="AV132" s="309">
        <f t="shared" si="199"/>
        <v>0.67500000000000004</v>
      </c>
      <c r="AW132" s="309">
        <f t="shared" si="199"/>
        <v>0.67500000000000004</v>
      </c>
      <c r="AX132" s="243">
        <f t="shared" si="190"/>
        <v>672.69310312499999</v>
      </c>
      <c r="AY132" s="243">
        <f t="shared" si="191"/>
        <v>672.69310312499999</v>
      </c>
      <c r="AZ132" s="243">
        <f t="shared" si="192"/>
        <v>672.69310312499999</v>
      </c>
      <c r="BA132" s="243">
        <f t="shared" si="193"/>
        <v>672.69310312499999</v>
      </c>
      <c r="BB132" s="652">
        <f>VLOOKUP($D132,'2018 Plan Data'!$A$4:$K$2000,6,FALSE)</f>
        <v>2</v>
      </c>
      <c r="BC132" s="243">
        <f>VLOOKUP($D132,'2018 Plan Data'!$A$4:$K$2000,7,FALSE)</f>
        <v>2</v>
      </c>
      <c r="BD132" s="243">
        <f>VLOOKUP($D132,'2018 Plan Data'!$A$4:$K$2000,8,FALSE)</f>
        <v>2</v>
      </c>
      <c r="BE132" s="243">
        <f>VLOOKUP($D132,'2018 Plan Data'!$A$4:$K$2000,9,FALSE)</f>
        <v>2</v>
      </c>
      <c r="BF132" s="243">
        <f t="shared" si="110"/>
        <v>1309.6719331874997</v>
      </c>
      <c r="BG132" s="243">
        <f t="shared" si="111"/>
        <v>1309.6719331874997</v>
      </c>
      <c r="BH132" s="243">
        <f t="shared" si="112"/>
        <v>1309.6719331874997</v>
      </c>
      <c r="BI132" s="243">
        <f t="shared" si="113"/>
        <v>1309.6719331874997</v>
      </c>
      <c r="BJ132" s="243">
        <f t="shared" si="114"/>
        <v>1993.1647499999999</v>
      </c>
      <c r="BK132" s="243">
        <f t="shared" si="115"/>
        <v>1993.1647499999999</v>
      </c>
      <c r="BL132" s="243">
        <f t="shared" si="116"/>
        <v>1993.1647499999999</v>
      </c>
      <c r="BM132" s="243">
        <f t="shared" si="117"/>
        <v>1993.1647499999999</v>
      </c>
      <c r="BN132" s="243">
        <f t="shared" si="158"/>
        <v>1111.9114712761873</v>
      </c>
      <c r="BO132" s="243">
        <f t="shared" si="159"/>
        <v>1111.9114712761873</v>
      </c>
      <c r="BP132" s="243">
        <f t="shared" si="160"/>
        <v>1111.9114712761873</v>
      </c>
      <c r="BQ132" s="243">
        <f t="shared" si="161"/>
        <v>1111.9114712761873</v>
      </c>
      <c r="BR132" s="243">
        <f t="shared" si="194"/>
        <v>1345.38620625</v>
      </c>
      <c r="BS132" s="243">
        <f t="shared" si="195"/>
        <v>1345.38620625</v>
      </c>
      <c r="BT132" s="243">
        <f t="shared" si="196"/>
        <v>1345.38620625</v>
      </c>
      <c r="BU132" s="243">
        <f t="shared" si="197"/>
        <v>1345.38620625</v>
      </c>
      <c r="BV132" s="600"/>
      <c r="BW132" s="314">
        <f>VLOOKUP($D132,'2018 Plan Data'!$A$4:$T$2000,13,FALSE)</f>
        <v>1111.9114712761873</v>
      </c>
      <c r="BX132" s="314">
        <f>VLOOKUP($D132,'2018 Plan Data'!$A$4:$T$2000,14,FALSE)</f>
        <v>1111.9114712761873</v>
      </c>
      <c r="BY132" s="314">
        <f>VLOOKUP($D132,'2018 Plan Data'!$A$4:$T$2000,15,FALSE)</f>
        <v>1111.9114712761873</v>
      </c>
      <c r="BZ132" s="314">
        <f>VLOOKUP($D132,'2018 Plan Data'!$A$4:$T$2000,16,FALSE)</f>
        <v>1111.9114712761873</v>
      </c>
      <c r="CA132" s="314">
        <f>IF(VLOOKUP($D132,'2018 Plan Data'!$A$4:$T$2000,17,FALSE)&gt;0,VLOOKUP($D132,'2018 Plan Data'!$A$4:$T$2000,17,FALSE),0)</f>
        <v>1345.38620625</v>
      </c>
      <c r="CB132" s="314">
        <f>IF(VLOOKUP($D132,'2018 Plan Data'!$A$4:$T$2000,18,FALSE)&gt;0,VLOOKUP($D132,'2018 Plan Data'!$A$4:$T$2000,18,FALSE),0)</f>
        <v>1345.38620625</v>
      </c>
      <c r="CC132" s="314">
        <f>IF(VLOOKUP($D132,'2018 Plan Data'!$A$4:$T$2000,19,FALSE)&gt;0,VLOOKUP($D132,'2018 Plan Data'!$A$4:$T$2000,19,FALSE),0)</f>
        <v>1345.38620625</v>
      </c>
      <c r="CD132" s="314">
        <f>IF(VLOOKUP($D132,'2018 Plan Data'!$A$4:$T$2000,20,FALSE)&gt;0,VLOOKUP($D132,'2018 Plan Data'!$A$4:$T$2000,20,FALSE),0)</f>
        <v>1345.38620625</v>
      </c>
      <c r="CE132" s="600" t="b">
        <f t="shared" si="126"/>
        <v>1</v>
      </c>
      <c r="CF132" s="600" t="b">
        <f t="shared" si="127"/>
        <v>1</v>
      </c>
      <c r="CG132" s="600" t="b">
        <f t="shared" si="128"/>
        <v>1</v>
      </c>
      <c r="CH132" s="600" t="b">
        <f t="shared" si="129"/>
        <v>1</v>
      </c>
      <c r="CI132" s="600" t="b">
        <f t="shared" si="130"/>
        <v>1</v>
      </c>
      <c r="CJ132" s="600" t="b">
        <f t="shared" si="131"/>
        <v>1</v>
      </c>
      <c r="CK132" s="600" t="b">
        <f t="shared" si="132"/>
        <v>1</v>
      </c>
      <c r="CL132" s="600" t="b">
        <f t="shared" si="133"/>
        <v>1</v>
      </c>
    </row>
    <row r="133" spans="1:90" ht="15" customHeight="1" x14ac:dyDescent="0.35">
      <c r="A133" s="585">
        <f t="shared" si="169"/>
        <v>59</v>
      </c>
      <c r="B133" s="600" t="str">
        <f t="shared" ref="B133:B196" si="200">E133&amp;"_"&amp;G133</f>
        <v>Business_Standard</v>
      </c>
      <c r="C133" s="600"/>
      <c r="D133">
        <v>59</v>
      </c>
      <c r="E133" s="600" t="s">
        <v>1944</v>
      </c>
      <c r="F133" s="600" t="str">
        <f>VLOOKUP(G133,Sheet4!$D$6:$E$22,2,FALSE)</f>
        <v>Standard</v>
      </c>
      <c r="G133" t="s">
        <v>81</v>
      </c>
      <c r="H133" s="296" t="s">
        <v>257</v>
      </c>
      <c r="J133" s="18" t="s">
        <v>100</v>
      </c>
      <c r="K133" s="72" t="str">
        <f>INDEX('Measure Codes'!$F$4:$F$821,MATCH(H133,'Measure Codes'!$D$4:$D$821,0))</f>
        <v>4.4.34</v>
      </c>
      <c r="L133" s="72" t="str">
        <f>INDEX('Measure Codes'!$G$4:$G$821,MATCH(H133,'Measure Codes'!$D$4:$D$821,0))</f>
        <v>CI-HVC-DSFN-V02-180101</v>
      </c>
      <c r="M133" s="600">
        <v>1</v>
      </c>
      <c r="O133" s="72" t="str">
        <f t="shared" si="175"/>
        <v>Dual Fuel</v>
      </c>
      <c r="P133" s="7">
        <f>VLOOKUP(D133,'2018 Plan Data'!$A$4:$K$1000,11,FALSE)</f>
        <v>10</v>
      </c>
      <c r="Q133" s="652">
        <f>VLOOKUP(D133,'2018 Plan Data'!$A$4:$L$1000,12,FALSE)</f>
        <v>0</v>
      </c>
      <c r="R133" s="314">
        <f>'BUS Measure-Model Summary'!D153</f>
        <v>1040.5701300000001</v>
      </c>
      <c r="T133" s="314">
        <f>'BUS Measure-Model Summary'!E153</f>
        <v>0</v>
      </c>
      <c r="V133" s="314">
        <f>'BUS Measure-Model Summary'!F153</f>
        <v>1089.48</v>
      </c>
      <c r="AD133" s="309">
        <f>INDEX('BUS Measure-Model Summary'!$I$6:$I$684,MATCH(H133,'BUS Measure-Model Summary'!$A$6:$A$684,0))</f>
        <v>0.84899999999999998</v>
      </c>
      <c r="AE133" s="309">
        <f t="shared" si="198"/>
        <v>0.84899999999999998</v>
      </c>
      <c r="AF133" s="309">
        <f t="shared" si="198"/>
        <v>0.84899999999999998</v>
      </c>
      <c r="AG133" s="309">
        <f t="shared" si="198"/>
        <v>0.84899999999999998</v>
      </c>
      <c r="AH133" s="314">
        <f t="shared" si="176"/>
        <v>883.44404037000004</v>
      </c>
      <c r="AI133" s="314">
        <f t="shared" si="177"/>
        <v>883.44404037000004</v>
      </c>
      <c r="AJ133" s="314">
        <f t="shared" si="178"/>
        <v>883.44404037000004</v>
      </c>
      <c r="AK133" s="314">
        <f t="shared" si="179"/>
        <v>883.44404037000004</v>
      </c>
      <c r="AL133" s="309">
        <f t="shared" si="180"/>
        <v>0.84899999999999998</v>
      </c>
      <c r="AM133" s="309">
        <f t="shared" si="181"/>
        <v>0.84899999999999998</v>
      </c>
      <c r="AN133" s="309">
        <f t="shared" si="182"/>
        <v>0.84899999999999998</v>
      </c>
      <c r="AO133" s="309">
        <f t="shared" si="183"/>
        <v>0.84899999999999998</v>
      </c>
      <c r="AP133" s="446">
        <f t="shared" si="184"/>
        <v>0</v>
      </c>
      <c r="AQ133" s="446">
        <f t="shared" si="185"/>
        <v>0</v>
      </c>
      <c r="AR133" s="446">
        <f t="shared" si="186"/>
        <v>0</v>
      </c>
      <c r="AS133" s="446">
        <f t="shared" si="187"/>
        <v>0</v>
      </c>
      <c r="AT133" s="309">
        <f>INDEX('BUS Measure-Model Summary'!$Y$6:$Y$684,MATCH(H133,'BUS Measure-Model Summary'!$A$6:$A$684,0))</f>
        <v>0.67500000000000004</v>
      </c>
      <c r="AU133" s="309">
        <f t="shared" si="199"/>
        <v>0.67500000000000004</v>
      </c>
      <c r="AV133" s="309">
        <f t="shared" si="199"/>
        <v>0.67500000000000004</v>
      </c>
      <c r="AW133" s="309">
        <f t="shared" si="199"/>
        <v>0.67500000000000004</v>
      </c>
      <c r="AX133" s="243">
        <f t="shared" si="190"/>
        <v>735.39900000000011</v>
      </c>
      <c r="AY133" s="243">
        <f t="shared" si="191"/>
        <v>735.39900000000011</v>
      </c>
      <c r="AZ133" s="243">
        <f t="shared" si="192"/>
        <v>735.39900000000011</v>
      </c>
      <c r="BA133" s="243">
        <f t="shared" si="193"/>
        <v>735.39900000000011</v>
      </c>
      <c r="BB133" s="652">
        <f>VLOOKUP($D133,'2018 Plan Data'!$A$4:$K$2000,6,FALSE)</f>
        <v>2</v>
      </c>
      <c r="BC133" s="243">
        <f>VLOOKUP($D133,'2018 Plan Data'!$A$4:$K$2000,7,FALSE)</f>
        <v>2</v>
      </c>
      <c r="BD133" s="243">
        <f>VLOOKUP($D133,'2018 Plan Data'!$A$4:$K$2000,8,FALSE)</f>
        <v>2</v>
      </c>
      <c r="BE133" s="243">
        <f>VLOOKUP($D133,'2018 Plan Data'!$A$4:$K$2000,9,FALSE)</f>
        <v>2</v>
      </c>
      <c r="BF133" s="243">
        <f t="shared" ref="BF133:BF196" si="201">BB133*$R133</f>
        <v>2081.1402600000001</v>
      </c>
      <c r="BG133" s="243">
        <f t="shared" ref="BG133:BG196" si="202">BC133*$R133</f>
        <v>2081.1402600000001</v>
      </c>
      <c r="BH133" s="243">
        <f t="shared" ref="BH133:BH196" si="203">BD133*$R133</f>
        <v>2081.1402600000001</v>
      </c>
      <c r="BI133" s="243">
        <f t="shared" ref="BI133:BI196" si="204">BE133*$R133</f>
        <v>2081.1402600000001</v>
      </c>
      <c r="BJ133" s="243">
        <f t="shared" ref="BJ133:BJ196" si="205">BB133*$V133</f>
        <v>2178.96</v>
      </c>
      <c r="BK133" s="243">
        <f t="shared" ref="BK133:BK196" si="206">BC133*$V133</f>
        <v>2178.96</v>
      </c>
      <c r="BL133" s="243">
        <f t="shared" ref="BL133:BL196" si="207">BD133*$V133</f>
        <v>2178.96</v>
      </c>
      <c r="BM133" s="243">
        <f t="shared" ref="BM133:BM196" si="208">BE133*$V133</f>
        <v>2178.96</v>
      </c>
      <c r="BN133" s="243">
        <f t="shared" ref="BN133:BN156" si="209">AH133*BB133</f>
        <v>1766.8880807400001</v>
      </c>
      <c r="BO133" s="243">
        <f t="shared" ref="BO133:BO156" si="210">AI133*BC133</f>
        <v>1766.8880807400001</v>
      </c>
      <c r="BP133" s="243">
        <f t="shared" ref="BP133:BP156" si="211">AJ133*BD133</f>
        <v>1766.8880807400001</v>
      </c>
      <c r="BQ133" s="243">
        <f t="shared" ref="BQ133:BQ156" si="212">AK133*BE133</f>
        <v>1766.8880807400001</v>
      </c>
      <c r="BR133" s="243">
        <f t="shared" si="194"/>
        <v>1470.7980000000002</v>
      </c>
      <c r="BS133" s="243">
        <f t="shared" si="195"/>
        <v>1470.7980000000002</v>
      </c>
      <c r="BT133" s="243">
        <f t="shared" si="196"/>
        <v>1470.7980000000002</v>
      </c>
      <c r="BU133" s="243">
        <f t="shared" si="197"/>
        <v>1470.7980000000002</v>
      </c>
      <c r="BV133" s="600"/>
      <c r="BW133" s="314">
        <f>VLOOKUP($D133,'2018 Plan Data'!$A$4:$T$2000,13,FALSE)</f>
        <v>1766.8880807400001</v>
      </c>
      <c r="BX133" s="314">
        <f>VLOOKUP($D133,'2018 Plan Data'!$A$4:$T$2000,14,FALSE)</f>
        <v>1766.8880807400001</v>
      </c>
      <c r="BY133" s="314">
        <f>VLOOKUP($D133,'2018 Plan Data'!$A$4:$T$2000,15,FALSE)</f>
        <v>1766.8880807400001</v>
      </c>
      <c r="BZ133" s="314">
        <f>VLOOKUP($D133,'2018 Plan Data'!$A$4:$T$2000,16,FALSE)</f>
        <v>1766.8880807400001</v>
      </c>
      <c r="CA133" s="314">
        <f>IF(VLOOKUP($D133,'2018 Plan Data'!$A$4:$T$2000,17,FALSE)&gt;0,VLOOKUP($D133,'2018 Plan Data'!$A$4:$T$2000,17,FALSE),0)</f>
        <v>1470.7980000000002</v>
      </c>
      <c r="CB133" s="314">
        <f>IF(VLOOKUP($D133,'2018 Plan Data'!$A$4:$T$2000,18,FALSE)&gt;0,VLOOKUP($D133,'2018 Plan Data'!$A$4:$T$2000,18,FALSE),0)</f>
        <v>1470.7980000000002</v>
      </c>
      <c r="CC133" s="314">
        <f>IF(VLOOKUP($D133,'2018 Plan Data'!$A$4:$T$2000,19,FALSE)&gt;0,VLOOKUP($D133,'2018 Plan Data'!$A$4:$T$2000,19,FALSE),0)</f>
        <v>1470.7980000000002</v>
      </c>
      <c r="CD133" s="314">
        <f>IF(VLOOKUP($D133,'2018 Plan Data'!$A$4:$T$2000,20,FALSE)&gt;0,VLOOKUP($D133,'2018 Plan Data'!$A$4:$T$2000,20,FALSE),0)</f>
        <v>1470.7980000000002</v>
      </c>
      <c r="CE133" s="600" t="b">
        <f t="shared" ref="CE133:CE196" si="213">IF(BW133=BN133,TRUE,FALSE)</f>
        <v>1</v>
      </c>
      <c r="CF133" s="600" t="b">
        <f t="shared" ref="CF133:CF196" si="214">IF(BX133=BO133,TRUE,FALSE)</f>
        <v>1</v>
      </c>
      <c r="CG133" s="600" t="b">
        <f t="shared" ref="CG133:CG196" si="215">IF(BY133=BP133,TRUE,FALSE)</f>
        <v>1</v>
      </c>
      <c r="CH133" s="600" t="b">
        <f t="shared" ref="CH133:CH196" si="216">IF(BZ133=BQ133,TRUE,FALSE)</f>
        <v>1</v>
      </c>
      <c r="CI133" s="600" t="b">
        <f t="shared" ref="CI133:CI196" si="217">IF(CA133=BR133,TRUE,FALSE)</f>
        <v>1</v>
      </c>
      <c r="CJ133" s="600" t="b">
        <f t="shared" ref="CJ133:CJ196" si="218">IF(CB133=BS133,TRUE,FALSE)</f>
        <v>1</v>
      </c>
      <c r="CK133" s="600" t="b">
        <f t="shared" ref="CK133:CK196" si="219">IF(CC133=BT133,TRUE,FALSE)</f>
        <v>1</v>
      </c>
      <c r="CL133" s="600" t="b">
        <f t="shared" ref="CL133:CL196" si="220">IF(CD133=BU133,TRUE,FALSE)</f>
        <v>1</v>
      </c>
    </row>
    <row r="134" spans="1:90" ht="15" customHeight="1" x14ac:dyDescent="0.35">
      <c r="A134" s="585">
        <f t="shared" si="169"/>
        <v>85</v>
      </c>
      <c r="B134" s="600" t="str">
        <f t="shared" si="200"/>
        <v>Business_Standard</v>
      </c>
      <c r="C134" s="600"/>
      <c r="D134">
        <v>85</v>
      </c>
      <c r="E134" s="600" t="s">
        <v>1944</v>
      </c>
      <c r="F134" s="600" t="str">
        <f>VLOOKUP(G134,Sheet4!$D$6:$E$22,2,FALSE)</f>
        <v>Standard</v>
      </c>
      <c r="G134" t="s">
        <v>81</v>
      </c>
      <c r="H134" s="296" t="s">
        <v>174</v>
      </c>
      <c r="J134" s="18" t="s">
        <v>100</v>
      </c>
      <c r="K134" s="72" t="str">
        <f>INDEX('Measure Codes'!$F$4:$F$821,MATCH(H134,'Measure Codes'!$D$4:$D$821,0))</f>
        <v>4.4.16</v>
      </c>
      <c r="L134" s="72" t="str">
        <f>INDEX('Measure Codes'!$G$4:$G$821,MATCH(H134,'Measure Codes'!$D$4:$D$821,0))</f>
        <v>CI-HVC-STRE-V05-180101</v>
      </c>
      <c r="M134" s="600">
        <v>1</v>
      </c>
      <c r="O134" s="72" t="str">
        <f t="shared" si="175"/>
        <v>Gas</v>
      </c>
      <c r="P134" s="7">
        <f>VLOOKUP(D134,'2018 Plan Data'!$A$4:$K$1000,11,FALSE)</f>
        <v>6</v>
      </c>
      <c r="Q134" s="652">
        <f>VLOOKUP(D134,'2018 Plan Data'!$A$4:$L$1000,12,FALSE)</f>
        <v>0</v>
      </c>
      <c r="R134" s="314">
        <f>'BUS Measure-Model Summary'!D154</f>
        <v>0</v>
      </c>
      <c r="T134" s="314">
        <f>'BUS Measure-Model Summary'!E154</f>
        <v>0</v>
      </c>
      <c r="V134" s="314">
        <f>'BUS Measure-Model Summary'!F154</f>
        <v>208.55999999999997</v>
      </c>
      <c r="AD134" s="309">
        <f>INDEX('BUS Measure-Model Summary'!$I$6:$I$684,MATCH(H134,'BUS Measure-Model Summary'!$A$6:$A$684,0))</f>
        <v>0.60799999999999998</v>
      </c>
      <c r="AE134" s="309">
        <f t="shared" si="198"/>
        <v>0.60799999999999998</v>
      </c>
      <c r="AF134" s="309">
        <f t="shared" si="198"/>
        <v>0.60799999999999998</v>
      </c>
      <c r="AG134" s="309">
        <f t="shared" si="198"/>
        <v>0.60799999999999998</v>
      </c>
      <c r="AH134" s="314">
        <f t="shared" si="176"/>
        <v>0</v>
      </c>
      <c r="AI134" s="314">
        <f t="shared" si="177"/>
        <v>0</v>
      </c>
      <c r="AJ134" s="314">
        <f t="shared" si="178"/>
        <v>0</v>
      </c>
      <c r="AK134" s="314">
        <f t="shared" si="179"/>
        <v>0</v>
      </c>
      <c r="AL134" s="309">
        <f t="shared" si="180"/>
        <v>0.60799999999999998</v>
      </c>
      <c r="AM134" s="309">
        <f t="shared" si="181"/>
        <v>0.60799999999999998</v>
      </c>
      <c r="AN134" s="309">
        <f t="shared" si="182"/>
        <v>0.60799999999999998</v>
      </c>
      <c r="AO134" s="309">
        <f t="shared" si="183"/>
        <v>0.60799999999999998</v>
      </c>
      <c r="AP134" s="446">
        <f t="shared" si="184"/>
        <v>0</v>
      </c>
      <c r="AQ134" s="446">
        <f t="shared" si="185"/>
        <v>0</v>
      </c>
      <c r="AR134" s="446">
        <f t="shared" si="186"/>
        <v>0</v>
      </c>
      <c r="AS134" s="446">
        <f t="shared" si="187"/>
        <v>0</v>
      </c>
      <c r="AT134" s="309">
        <f>INDEX('BUS Measure-Model Summary'!$Y$6:$Y$684,MATCH(H134,'BUS Measure-Model Summary'!$A$6:$A$684,0))</f>
        <v>0.60799999999999998</v>
      </c>
      <c r="AU134" s="309">
        <f t="shared" si="199"/>
        <v>0.60799999999999998</v>
      </c>
      <c r="AV134" s="309">
        <f t="shared" si="199"/>
        <v>0.60799999999999998</v>
      </c>
      <c r="AW134" s="309">
        <f t="shared" si="199"/>
        <v>0.60799999999999998</v>
      </c>
      <c r="AX134" s="243">
        <f t="shared" si="190"/>
        <v>126.80447999999998</v>
      </c>
      <c r="AY134" s="243">
        <f t="shared" si="191"/>
        <v>126.80447999999998</v>
      </c>
      <c r="AZ134" s="243">
        <f t="shared" si="192"/>
        <v>126.80447999999998</v>
      </c>
      <c r="BA134" s="243">
        <f t="shared" si="193"/>
        <v>126.80447999999998</v>
      </c>
      <c r="BB134" s="243">
        <f>VLOOKUP($D134,'2018 Plan Data'!$A$4:$K$2000,6,FALSE)</f>
        <v>150</v>
      </c>
      <c r="BC134" s="243">
        <f>VLOOKUP($D134,'2018 Plan Data'!$A$4:$K$2000,7,FALSE)</f>
        <v>120</v>
      </c>
      <c r="BD134" s="243">
        <f>VLOOKUP($D134,'2018 Plan Data'!$A$4:$K$2000,8,FALSE)</f>
        <v>114</v>
      </c>
      <c r="BE134" s="243">
        <f>VLOOKUP($D134,'2018 Plan Data'!$A$4:$K$2000,9,FALSE)</f>
        <v>64</v>
      </c>
      <c r="BF134" s="243">
        <f t="shared" si="201"/>
        <v>0</v>
      </c>
      <c r="BG134" s="243">
        <f t="shared" si="202"/>
        <v>0</v>
      </c>
      <c r="BH134" s="243">
        <f t="shared" si="203"/>
        <v>0</v>
      </c>
      <c r="BI134" s="243">
        <f t="shared" si="204"/>
        <v>0</v>
      </c>
      <c r="BJ134" s="243">
        <f t="shared" si="205"/>
        <v>31283.999999999996</v>
      </c>
      <c r="BK134" s="243">
        <f t="shared" si="206"/>
        <v>25027.199999999997</v>
      </c>
      <c r="BL134" s="243">
        <f t="shared" si="207"/>
        <v>23775.839999999997</v>
      </c>
      <c r="BM134" s="243">
        <f t="shared" si="208"/>
        <v>13347.839999999998</v>
      </c>
      <c r="BN134" s="243">
        <f t="shared" si="209"/>
        <v>0</v>
      </c>
      <c r="BO134" s="243">
        <f t="shared" si="210"/>
        <v>0</v>
      </c>
      <c r="BP134" s="243">
        <f t="shared" si="211"/>
        <v>0</v>
      </c>
      <c r="BQ134" s="243">
        <f t="shared" si="212"/>
        <v>0</v>
      </c>
      <c r="BR134" s="243">
        <f t="shared" si="194"/>
        <v>19020.671999999999</v>
      </c>
      <c r="BS134" s="243">
        <f t="shared" si="195"/>
        <v>15216.537599999998</v>
      </c>
      <c r="BT134" s="243">
        <f t="shared" si="196"/>
        <v>14455.710719999997</v>
      </c>
      <c r="BU134" s="243">
        <f t="shared" si="197"/>
        <v>8115.486719999999</v>
      </c>
      <c r="BV134" s="600"/>
      <c r="BW134" s="314">
        <f>VLOOKUP($D134,'2018 Plan Data'!$A$4:$T$2000,13,FALSE)</f>
        <v>0</v>
      </c>
      <c r="BX134" s="314">
        <f>VLOOKUP($D134,'2018 Plan Data'!$A$4:$T$2000,14,FALSE)</f>
        <v>0</v>
      </c>
      <c r="BY134" s="314">
        <f>VLOOKUP($D134,'2018 Plan Data'!$A$4:$T$2000,15,FALSE)</f>
        <v>0</v>
      </c>
      <c r="BZ134" s="314">
        <f>VLOOKUP($D134,'2018 Plan Data'!$A$4:$T$2000,16,FALSE)</f>
        <v>0</v>
      </c>
      <c r="CA134" s="314">
        <f>IF(VLOOKUP($D134,'2018 Plan Data'!$A$4:$T$2000,17,FALSE)&gt;0,VLOOKUP($D134,'2018 Plan Data'!$A$4:$T$2000,17,FALSE),0)</f>
        <v>19020.671999999999</v>
      </c>
      <c r="CB134" s="314">
        <f>IF(VLOOKUP($D134,'2018 Plan Data'!$A$4:$T$2000,18,FALSE)&gt;0,VLOOKUP($D134,'2018 Plan Data'!$A$4:$T$2000,18,FALSE),0)</f>
        <v>15216.537599999998</v>
      </c>
      <c r="CC134" s="314">
        <f>IF(VLOOKUP($D134,'2018 Plan Data'!$A$4:$T$2000,19,FALSE)&gt;0,VLOOKUP($D134,'2018 Plan Data'!$A$4:$T$2000,19,FALSE),0)</f>
        <v>14455.710719999997</v>
      </c>
      <c r="CD134" s="314">
        <f>IF(VLOOKUP($D134,'2018 Plan Data'!$A$4:$T$2000,20,FALSE)&gt;0,VLOOKUP($D134,'2018 Plan Data'!$A$4:$T$2000,20,FALSE),0)</f>
        <v>8115.486719999999</v>
      </c>
      <c r="CE134" s="600" t="b">
        <f t="shared" si="213"/>
        <v>1</v>
      </c>
      <c r="CF134" s="600" t="b">
        <f t="shared" si="214"/>
        <v>1</v>
      </c>
      <c r="CG134" s="600" t="b">
        <f t="shared" si="215"/>
        <v>1</v>
      </c>
      <c r="CH134" s="600" t="b">
        <f t="shared" si="216"/>
        <v>1</v>
      </c>
      <c r="CI134" s="600" t="b">
        <f t="shared" si="217"/>
        <v>1</v>
      </c>
      <c r="CJ134" s="600" t="b">
        <f t="shared" si="218"/>
        <v>1</v>
      </c>
      <c r="CK134" s="600" t="b">
        <f t="shared" si="219"/>
        <v>1</v>
      </c>
      <c r="CL134" s="600" t="b">
        <f t="shared" si="220"/>
        <v>1</v>
      </c>
    </row>
    <row r="135" spans="1:90" ht="15" customHeight="1" x14ac:dyDescent="0.35">
      <c r="A135" s="585">
        <f t="shared" si="169"/>
        <v>239</v>
      </c>
      <c r="B135" s="600" t="str">
        <f t="shared" si="200"/>
        <v>Business_Standard</v>
      </c>
      <c r="C135" s="600"/>
      <c r="D135">
        <v>239</v>
      </c>
      <c r="E135" s="600" t="s">
        <v>1944</v>
      </c>
      <c r="F135" s="600" t="str">
        <f>VLOOKUP(G135,Sheet4!$D$6:$E$22,2,FALSE)</f>
        <v>Standard</v>
      </c>
      <c r="G135" t="s">
        <v>81</v>
      </c>
      <c r="H135" s="296" t="s">
        <v>1019</v>
      </c>
      <c r="J135" s="18" t="s">
        <v>15</v>
      </c>
      <c r="K135" s="72" t="str">
        <f>INDEX('Measure Codes'!$F$4:$F$821,MATCH(H135,'Measure Codes'!$D$4:$D$821,0))</f>
        <v>4.3.2</v>
      </c>
      <c r="L135" s="72" t="str">
        <f>INDEX('Measure Codes'!$G$4:$G$821,MATCH(H135,'Measure Codes'!$D$4:$D$821,0))</f>
        <v>CI-HWE-LFFA-V07-180101</v>
      </c>
      <c r="M135" s="600">
        <v>1</v>
      </c>
      <c r="O135" s="72" t="str">
        <f t="shared" si="175"/>
        <v>Dual Fuel</v>
      </c>
      <c r="P135" s="7">
        <f>VLOOKUP(D135,'2018 Plan Data'!$A$4:$K$1000,11,FALSE)</f>
        <v>9</v>
      </c>
      <c r="Q135" s="652">
        <f>VLOOKUP(D135,'2018 Plan Data'!$A$4:$L$1000,12,FALSE)</f>
        <v>0</v>
      </c>
      <c r="R135" s="314">
        <f>'BUS - BPAR1 (TRM)'!C13</f>
        <v>34.598581574451671</v>
      </c>
      <c r="T135" s="314">
        <f>'BUS - BPAR1 (TRM)'!C14</f>
        <v>5.980253312848266E-3</v>
      </c>
      <c r="V135" s="314">
        <f>'BUS - BPAR1 (TRM)'!C15</f>
        <v>5.4316370902687714</v>
      </c>
      <c r="AD135" s="309">
        <f>INDEX('BUS Measure-Model Summary'!$I$6:$I$684,MATCH(H135,'BUS Measure-Model Summary'!$A$6:$A$684,0))</f>
        <v>0.79999999999999993</v>
      </c>
      <c r="AE135" s="309">
        <f t="shared" si="198"/>
        <v>0.79999999999999993</v>
      </c>
      <c r="AF135" s="309">
        <f t="shared" si="198"/>
        <v>0.79999999999999993</v>
      </c>
      <c r="AG135" s="309">
        <f t="shared" si="198"/>
        <v>0.79999999999999993</v>
      </c>
      <c r="AH135" s="314">
        <f t="shared" si="176"/>
        <v>27.678865259561334</v>
      </c>
      <c r="AI135" s="314">
        <f t="shared" si="177"/>
        <v>27.678865259561334</v>
      </c>
      <c r="AJ135" s="314">
        <f t="shared" si="178"/>
        <v>27.678865259561334</v>
      </c>
      <c r="AK135" s="314">
        <f t="shared" si="179"/>
        <v>27.678865259561334</v>
      </c>
      <c r="AL135" s="309">
        <f t="shared" si="180"/>
        <v>0.79999999999999993</v>
      </c>
      <c r="AM135" s="309">
        <f t="shared" si="181"/>
        <v>0.79999999999999993</v>
      </c>
      <c r="AN135" s="309">
        <f t="shared" si="182"/>
        <v>0.79999999999999993</v>
      </c>
      <c r="AO135" s="309">
        <f t="shared" si="183"/>
        <v>0.79999999999999993</v>
      </c>
      <c r="AP135" s="446">
        <f t="shared" si="184"/>
        <v>4.7842026502786126E-3</v>
      </c>
      <c r="AQ135" s="446">
        <f t="shared" si="185"/>
        <v>4.7842026502786126E-3</v>
      </c>
      <c r="AR135" s="446">
        <f t="shared" si="186"/>
        <v>4.7842026502786126E-3</v>
      </c>
      <c r="AS135" s="446">
        <f t="shared" si="187"/>
        <v>4.7842026502786126E-3</v>
      </c>
      <c r="AT135" s="309">
        <f>INDEX('BUS Measure-Model Summary'!$Y$6:$Y$684,MATCH(H135,'BUS Measure-Model Summary'!$A$6:$A$684,0))</f>
        <v>0.60399999999999998</v>
      </c>
      <c r="AU135" s="309">
        <f t="shared" si="199"/>
        <v>0.60399999999999998</v>
      </c>
      <c r="AV135" s="309">
        <f t="shared" si="199"/>
        <v>0.60399999999999998</v>
      </c>
      <c r="AW135" s="309">
        <f t="shared" si="199"/>
        <v>0.60399999999999998</v>
      </c>
      <c r="AX135" s="243">
        <f t="shared" si="190"/>
        <v>3.2807088025223377</v>
      </c>
      <c r="AY135" s="243">
        <f t="shared" si="191"/>
        <v>3.2807088025223377</v>
      </c>
      <c r="AZ135" s="243">
        <f t="shared" si="192"/>
        <v>3.2807088025223377</v>
      </c>
      <c r="BA135" s="243">
        <f t="shared" si="193"/>
        <v>3.2807088025223377</v>
      </c>
      <c r="BB135" s="652">
        <f>VLOOKUP($D135,'2018 Plan Data'!$A$4:$K$2000,6,FALSE)</f>
        <v>700</v>
      </c>
      <c r="BC135" s="243">
        <f>VLOOKUP($D135,'2018 Plan Data'!$A$4:$K$2000,7,FALSE)</f>
        <v>700</v>
      </c>
      <c r="BD135" s="243">
        <f>VLOOKUP($D135,'2018 Plan Data'!$A$4:$K$2000,8,FALSE)</f>
        <v>846</v>
      </c>
      <c r="BE135" s="243">
        <f>VLOOKUP($D135,'2018 Plan Data'!$A$4:$K$2000,9,FALSE)</f>
        <v>844</v>
      </c>
      <c r="BF135" s="243">
        <f t="shared" si="201"/>
        <v>24219.007102116171</v>
      </c>
      <c r="BG135" s="243">
        <f t="shared" si="202"/>
        <v>24219.007102116171</v>
      </c>
      <c r="BH135" s="243">
        <f t="shared" si="203"/>
        <v>29270.400011986116</v>
      </c>
      <c r="BI135" s="243">
        <f t="shared" si="204"/>
        <v>29201.202848837209</v>
      </c>
      <c r="BJ135" s="243">
        <f t="shared" si="205"/>
        <v>3802.1459631881398</v>
      </c>
      <c r="BK135" s="243">
        <f t="shared" si="206"/>
        <v>3802.1459631881398</v>
      </c>
      <c r="BL135" s="243">
        <f t="shared" si="207"/>
        <v>4595.1649783673802</v>
      </c>
      <c r="BM135" s="243">
        <f t="shared" si="208"/>
        <v>4584.3017041868434</v>
      </c>
      <c r="BN135" s="243">
        <f t="shared" si="209"/>
        <v>19375.205681692933</v>
      </c>
      <c r="BO135" s="243">
        <f t="shared" si="210"/>
        <v>19375.205681692933</v>
      </c>
      <c r="BP135" s="243">
        <f t="shared" si="211"/>
        <v>23416.32000958889</v>
      </c>
      <c r="BQ135" s="243">
        <f t="shared" si="212"/>
        <v>23360.962279069765</v>
      </c>
      <c r="BR135" s="243">
        <f t="shared" si="194"/>
        <v>2296.4961617656363</v>
      </c>
      <c r="BS135" s="243">
        <f t="shared" si="195"/>
        <v>2296.4961617656363</v>
      </c>
      <c r="BT135" s="243">
        <f t="shared" si="196"/>
        <v>2775.4796469338976</v>
      </c>
      <c r="BU135" s="243">
        <f t="shared" si="197"/>
        <v>2768.9182293288532</v>
      </c>
      <c r="BV135" s="600"/>
      <c r="BW135" s="314">
        <f>VLOOKUP($D135,'2018 Plan Data'!$A$4:$T$2000,13,FALSE)</f>
        <v>15225.150937559471</v>
      </c>
      <c r="BX135" s="314">
        <f>VLOOKUP($D135,'2018 Plan Data'!$A$4:$T$2000,14,FALSE)</f>
        <v>15225.150937559471</v>
      </c>
      <c r="BY135" s="314">
        <f>VLOOKUP($D135,'2018 Plan Data'!$A$4:$T$2000,15,FALSE)</f>
        <v>18400.682418821874</v>
      </c>
      <c r="BZ135" s="314">
        <f>VLOOKUP($D135,'2018 Plan Data'!$A$4:$T$2000,16,FALSE)</f>
        <v>18357.181987571705</v>
      </c>
      <c r="CA135" s="314">
        <f>IF(VLOOKUP($D135,'2018 Plan Data'!$A$4:$T$2000,17,FALSE)&gt;0,VLOOKUP($D135,'2018 Plan Data'!$A$4:$T$2000,17,FALSE),0)</f>
        <v>2296.4961617656363</v>
      </c>
      <c r="CB135" s="314">
        <f>IF(VLOOKUP($D135,'2018 Plan Data'!$A$4:$T$2000,18,FALSE)&gt;0,VLOOKUP($D135,'2018 Plan Data'!$A$4:$T$2000,18,FALSE),0)</f>
        <v>2296.4961617656363</v>
      </c>
      <c r="CC135" s="314">
        <f>IF(VLOOKUP($D135,'2018 Plan Data'!$A$4:$T$2000,19,FALSE)&gt;0,VLOOKUP($D135,'2018 Plan Data'!$A$4:$T$2000,19,FALSE),0)</f>
        <v>2775.4796469338976</v>
      </c>
      <c r="CD135" s="314">
        <f>IF(VLOOKUP($D135,'2018 Plan Data'!$A$4:$T$2000,20,FALSE)&gt;0,VLOOKUP($D135,'2018 Plan Data'!$A$4:$T$2000,20,FALSE),0)</f>
        <v>2768.9182293288532</v>
      </c>
      <c r="CE135" s="600" t="b">
        <f t="shared" si="213"/>
        <v>0</v>
      </c>
      <c r="CF135" s="600" t="b">
        <f t="shared" si="214"/>
        <v>0</v>
      </c>
      <c r="CG135" s="600" t="b">
        <f t="shared" si="215"/>
        <v>0</v>
      </c>
      <c r="CH135" s="600" t="b">
        <f t="shared" si="216"/>
        <v>0</v>
      </c>
      <c r="CI135" s="600" t="b">
        <f t="shared" si="217"/>
        <v>1</v>
      </c>
      <c r="CJ135" s="600" t="b">
        <f t="shared" si="218"/>
        <v>1</v>
      </c>
      <c r="CK135" s="600" t="b">
        <f t="shared" si="219"/>
        <v>1</v>
      </c>
      <c r="CL135" s="600" t="b">
        <f t="shared" si="220"/>
        <v>1</v>
      </c>
    </row>
    <row r="136" spans="1:90" ht="15" customHeight="1" x14ac:dyDescent="0.35">
      <c r="A136" s="585">
        <f t="shared" si="169"/>
        <v>238</v>
      </c>
      <c r="B136" s="600" t="str">
        <f t="shared" si="200"/>
        <v>Business_Standard</v>
      </c>
      <c r="C136" s="600"/>
      <c r="D136">
        <v>238</v>
      </c>
      <c r="E136" s="600" t="s">
        <v>1944</v>
      </c>
      <c r="F136" s="600" t="str">
        <f>VLOOKUP(G136,Sheet4!$D$6:$E$22,2,FALSE)</f>
        <v>Standard</v>
      </c>
      <c r="G136" t="s">
        <v>81</v>
      </c>
      <c r="H136" s="296" t="s">
        <v>1020</v>
      </c>
      <c r="J136" s="18" t="s">
        <v>15</v>
      </c>
      <c r="K136" s="72" t="str">
        <f>INDEX('Measure Codes'!$F$4:$F$821,MATCH(H136,'Measure Codes'!$D$4:$D$821,0))</f>
        <v>4.3.2</v>
      </c>
      <c r="L136" s="72" t="str">
        <f>INDEX('Measure Codes'!$G$4:$G$821,MATCH(H136,'Measure Codes'!$D$4:$D$821,0))</f>
        <v>CI-HWE-LFFA-V07-180101</v>
      </c>
      <c r="M136" s="600">
        <v>1</v>
      </c>
      <c r="O136" s="72" t="str">
        <f t="shared" si="175"/>
        <v>Dual Fuel</v>
      </c>
      <c r="P136" s="7">
        <f>VLOOKUP(D136,'2018 Plan Data'!$A$4:$K$1000,11,FALSE)</f>
        <v>9</v>
      </c>
      <c r="Q136" s="652">
        <f>VLOOKUP(D136,'2018 Plan Data'!$A$4:$L$1000,12,FALSE)</f>
        <v>0</v>
      </c>
      <c r="R136" s="314">
        <f>'BUS - BPAR1 (TRM) (LFR)'!C13</f>
        <v>47.706718162977729</v>
      </c>
      <c r="T136" s="314">
        <f>'BUS - BPAR1 (TRM) (LFR)'!C14</f>
        <v>8.2459524742464103E-3</v>
      </c>
      <c r="V136" s="314">
        <f>'BUS - BPAR1 (TRM) (LFR)'!C15</f>
        <v>7.4894856389249336</v>
      </c>
      <c r="AD136" s="309">
        <f>INDEX('BUS Measure-Model Summary'!$I$6:$I$684,MATCH(H136,'BUS Measure-Model Summary'!$A$6:$A$684,0))</f>
        <v>0.79999999999999993</v>
      </c>
      <c r="AE136" s="309">
        <f t="shared" si="198"/>
        <v>0.79999999999999993</v>
      </c>
      <c r="AF136" s="309">
        <f t="shared" si="198"/>
        <v>0.79999999999999993</v>
      </c>
      <c r="AG136" s="309">
        <f t="shared" si="198"/>
        <v>0.79999999999999993</v>
      </c>
      <c r="AH136" s="314">
        <f t="shared" si="176"/>
        <v>38.165374530382181</v>
      </c>
      <c r="AI136" s="314">
        <f t="shared" si="177"/>
        <v>38.165374530382181</v>
      </c>
      <c r="AJ136" s="314">
        <f t="shared" si="178"/>
        <v>38.165374530382181</v>
      </c>
      <c r="AK136" s="314">
        <f t="shared" si="179"/>
        <v>38.165374530382181</v>
      </c>
      <c r="AL136" s="309">
        <f t="shared" si="180"/>
        <v>0.79999999999999993</v>
      </c>
      <c r="AM136" s="309">
        <f t="shared" si="181"/>
        <v>0.79999999999999993</v>
      </c>
      <c r="AN136" s="309">
        <f t="shared" si="182"/>
        <v>0.79999999999999993</v>
      </c>
      <c r="AO136" s="309">
        <f t="shared" si="183"/>
        <v>0.79999999999999993</v>
      </c>
      <c r="AP136" s="446">
        <f t="shared" si="184"/>
        <v>6.5967619793971281E-3</v>
      </c>
      <c r="AQ136" s="446">
        <f t="shared" si="185"/>
        <v>6.5967619793971281E-3</v>
      </c>
      <c r="AR136" s="446">
        <f t="shared" si="186"/>
        <v>6.5967619793971281E-3</v>
      </c>
      <c r="AS136" s="446">
        <f t="shared" si="187"/>
        <v>6.5967619793971281E-3</v>
      </c>
      <c r="AT136" s="309">
        <f>INDEX('BUS Measure-Model Summary'!$Y$6:$Y$684,MATCH(H136,'BUS Measure-Model Summary'!$A$6:$A$684,0))</f>
        <v>0.60399999999999998</v>
      </c>
      <c r="AU136" s="309">
        <f t="shared" si="199"/>
        <v>0.60399999999999998</v>
      </c>
      <c r="AV136" s="309">
        <f t="shared" si="199"/>
        <v>0.60399999999999998</v>
      </c>
      <c r="AW136" s="309">
        <f t="shared" si="199"/>
        <v>0.60399999999999998</v>
      </c>
      <c r="AX136" s="243">
        <f t="shared" si="190"/>
        <v>4.52364932591066</v>
      </c>
      <c r="AY136" s="243">
        <f t="shared" si="191"/>
        <v>4.52364932591066</v>
      </c>
      <c r="AZ136" s="243">
        <f t="shared" si="192"/>
        <v>4.52364932591066</v>
      </c>
      <c r="BA136" s="243">
        <f t="shared" si="193"/>
        <v>4.52364932591066</v>
      </c>
      <c r="BB136" s="652">
        <f>VLOOKUP($D136,'2018 Plan Data'!$A$4:$K$2000,6,FALSE)</f>
        <v>1200</v>
      </c>
      <c r="BC136" s="243">
        <f>VLOOKUP($D136,'2018 Plan Data'!$A$4:$K$2000,7,FALSE)</f>
        <v>1200</v>
      </c>
      <c r="BD136" s="243">
        <f>VLOOKUP($D136,'2018 Plan Data'!$A$4:$K$2000,8,FALSE)</f>
        <v>1692</v>
      </c>
      <c r="BE136" s="243">
        <f>VLOOKUP($D136,'2018 Plan Data'!$A$4:$K$2000,9,FALSE)</f>
        <v>1687</v>
      </c>
      <c r="BF136" s="243">
        <f t="shared" si="201"/>
        <v>57248.061795573274</v>
      </c>
      <c r="BG136" s="243">
        <f t="shared" si="202"/>
        <v>57248.061795573274</v>
      </c>
      <c r="BH136" s="243">
        <f t="shared" si="203"/>
        <v>80719.767131758315</v>
      </c>
      <c r="BI136" s="243">
        <f t="shared" si="204"/>
        <v>80481.233540943431</v>
      </c>
      <c r="BJ136" s="243">
        <f t="shared" si="205"/>
        <v>8987.3827667099195</v>
      </c>
      <c r="BK136" s="243">
        <f t="shared" si="206"/>
        <v>8987.3827667099195</v>
      </c>
      <c r="BL136" s="243">
        <f t="shared" si="207"/>
        <v>12672.209701060987</v>
      </c>
      <c r="BM136" s="243">
        <f t="shared" si="208"/>
        <v>12634.762272866363</v>
      </c>
      <c r="BN136" s="243">
        <f t="shared" si="209"/>
        <v>45798.449436458613</v>
      </c>
      <c r="BO136" s="243">
        <f t="shared" si="210"/>
        <v>45798.449436458613</v>
      </c>
      <c r="BP136" s="243">
        <f t="shared" si="211"/>
        <v>64575.813705406646</v>
      </c>
      <c r="BQ136" s="243">
        <f t="shared" si="212"/>
        <v>64384.986832754737</v>
      </c>
      <c r="BR136" s="243">
        <f t="shared" si="194"/>
        <v>5428.3791910927921</v>
      </c>
      <c r="BS136" s="243">
        <f t="shared" si="195"/>
        <v>5428.3791910927921</v>
      </c>
      <c r="BT136" s="243">
        <f t="shared" si="196"/>
        <v>7654.014659440837</v>
      </c>
      <c r="BU136" s="243">
        <f t="shared" si="197"/>
        <v>7631.3964128112839</v>
      </c>
      <c r="BV136" s="600"/>
      <c r="BW136" s="314">
        <f>VLOOKUP($D136,'2018 Plan Data'!$A$4:$T$2000,13,FALSE)</f>
        <v>35988.691776062813</v>
      </c>
      <c r="BX136" s="314">
        <f>VLOOKUP($D136,'2018 Plan Data'!$A$4:$T$2000,14,FALSE)</f>
        <v>35988.691776062813</v>
      </c>
      <c r="BY136" s="314">
        <f>VLOOKUP($D136,'2018 Plan Data'!$A$4:$T$2000,15,FALSE)</f>
        <v>50744.055404248575</v>
      </c>
      <c r="BZ136" s="314">
        <f>VLOOKUP($D136,'2018 Plan Data'!$A$4:$T$2000,16,FALSE)</f>
        <v>50594.102521848312</v>
      </c>
      <c r="CA136" s="314">
        <f>IF(VLOOKUP($D136,'2018 Plan Data'!$A$4:$T$2000,17,FALSE)&gt;0,VLOOKUP($D136,'2018 Plan Data'!$A$4:$T$2000,17,FALSE),0)</f>
        <v>5428.3791910927921</v>
      </c>
      <c r="CB136" s="314">
        <f>IF(VLOOKUP($D136,'2018 Plan Data'!$A$4:$T$2000,18,FALSE)&gt;0,VLOOKUP($D136,'2018 Plan Data'!$A$4:$T$2000,18,FALSE),0)</f>
        <v>5428.3791910927921</v>
      </c>
      <c r="CC136" s="314">
        <f>IF(VLOOKUP($D136,'2018 Plan Data'!$A$4:$T$2000,19,FALSE)&gt;0,VLOOKUP($D136,'2018 Plan Data'!$A$4:$T$2000,19,FALSE),0)</f>
        <v>7654.014659440837</v>
      </c>
      <c r="CD136" s="314">
        <f>IF(VLOOKUP($D136,'2018 Plan Data'!$A$4:$T$2000,20,FALSE)&gt;0,VLOOKUP($D136,'2018 Plan Data'!$A$4:$T$2000,20,FALSE),0)</f>
        <v>7631.3964128112839</v>
      </c>
      <c r="CE136" s="600" t="b">
        <f t="shared" si="213"/>
        <v>0</v>
      </c>
      <c r="CF136" s="600" t="b">
        <f t="shared" si="214"/>
        <v>0</v>
      </c>
      <c r="CG136" s="600" t="b">
        <f t="shared" si="215"/>
        <v>0</v>
      </c>
      <c r="CH136" s="600" t="b">
        <f t="shared" si="216"/>
        <v>0</v>
      </c>
      <c r="CI136" s="600" t="b">
        <f t="shared" si="217"/>
        <v>1</v>
      </c>
      <c r="CJ136" s="600" t="b">
        <f t="shared" si="218"/>
        <v>1</v>
      </c>
      <c r="CK136" s="600" t="b">
        <f t="shared" si="219"/>
        <v>1</v>
      </c>
      <c r="CL136" s="600" t="b">
        <f t="shared" si="220"/>
        <v>1</v>
      </c>
    </row>
    <row r="137" spans="1:90" ht="15" customHeight="1" x14ac:dyDescent="0.35">
      <c r="A137" s="585">
        <f t="shared" si="169"/>
        <v>47</v>
      </c>
      <c r="B137" s="600" t="str">
        <f t="shared" si="200"/>
        <v>Business_Standard</v>
      </c>
      <c r="C137" s="600"/>
      <c r="D137">
        <v>47</v>
      </c>
      <c r="E137" s="600" t="s">
        <v>1944</v>
      </c>
      <c r="F137" s="600" t="str">
        <f>VLOOKUP(G137,Sheet4!$D$6:$E$22,2,FALSE)</f>
        <v>Standard</v>
      </c>
      <c r="G137" t="s">
        <v>81</v>
      </c>
      <c r="H137" s="296" t="s">
        <v>2957</v>
      </c>
      <c r="I137" s="600" t="s">
        <v>1021</v>
      </c>
      <c r="J137" s="18" t="s">
        <v>100</v>
      </c>
      <c r="K137" s="72" t="str">
        <f>INDEX('Measure Codes'!$F$4:$F$821,MATCH(I137,'Measure Codes'!$D$4:$D$821,0))</f>
        <v>n/a</v>
      </c>
      <c r="L137" s="72" t="str">
        <f>INDEX('Measure Codes'!$G$4:$G$821,MATCH(I137,'Measure Codes'!$D$4:$D$821,0))</f>
        <v>n/a</v>
      </c>
      <c r="M137" s="600">
        <v>1</v>
      </c>
      <c r="O137" s="72" t="str">
        <f t="shared" si="175"/>
        <v>Dual Fuel</v>
      </c>
      <c r="P137" s="7">
        <f>VLOOKUP(D137,'2018 Plan Data'!$A$4:$K$1000,11,FALSE)</f>
        <v>10</v>
      </c>
      <c r="Q137" s="652">
        <f>VLOOKUP(D137,'2018 Plan Data'!$A$4:$L$1000,12,FALSE)</f>
        <v>0</v>
      </c>
      <c r="R137" s="314">
        <f>'BUS Measure-Model Summary'!D158</f>
        <v>621</v>
      </c>
      <c r="T137" s="314">
        <f>'BUS Measure-Model Summary'!E158</f>
        <v>5.7634999999999999E-2</v>
      </c>
      <c r="V137" s="314">
        <f>'BUS Measure-Model Summary'!F158</f>
        <v>61.482900000000001</v>
      </c>
      <c r="AD137" s="309">
        <f>INDEX('BUS Measure-Model Summary'!$I$6:$I$684,MATCH(H137,'BUS Measure-Model Summary'!$A$6:$A$684,0))</f>
        <v>0.55700000000000005</v>
      </c>
      <c r="AE137" s="309">
        <f t="shared" si="198"/>
        <v>0.55700000000000005</v>
      </c>
      <c r="AF137" s="309">
        <f t="shared" si="198"/>
        <v>0.55700000000000005</v>
      </c>
      <c r="AG137" s="309">
        <f t="shared" si="198"/>
        <v>0.55700000000000005</v>
      </c>
      <c r="AH137" s="314">
        <f t="shared" si="176"/>
        <v>345.89700000000005</v>
      </c>
      <c r="AI137" s="314">
        <f t="shared" si="177"/>
        <v>345.89700000000005</v>
      </c>
      <c r="AJ137" s="314">
        <f t="shared" si="178"/>
        <v>345.89700000000005</v>
      </c>
      <c r="AK137" s="314">
        <f t="shared" si="179"/>
        <v>345.89700000000005</v>
      </c>
      <c r="AL137" s="309">
        <f t="shared" si="180"/>
        <v>0.55700000000000005</v>
      </c>
      <c r="AM137" s="309">
        <f t="shared" si="181"/>
        <v>0.55700000000000005</v>
      </c>
      <c r="AN137" s="309">
        <f t="shared" si="182"/>
        <v>0.55700000000000005</v>
      </c>
      <c r="AO137" s="309">
        <f t="shared" si="183"/>
        <v>0.55700000000000005</v>
      </c>
      <c r="AP137" s="446">
        <f t="shared" si="184"/>
        <v>3.2102695000000001E-2</v>
      </c>
      <c r="AQ137" s="446">
        <f t="shared" si="185"/>
        <v>3.2102695000000001E-2</v>
      </c>
      <c r="AR137" s="446">
        <f t="shared" si="186"/>
        <v>3.2102695000000001E-2</v>
      </c>
      <c r="AS137" s="446">
        <f t="shared" si="187"/>
        <v>3.2102695000000001E-2</v>
      </c>
      <c r="AT137" s="309">
        <f>INDEX('BUS Measure-Model Summary'!$Y$6:$Y$684,MATCH(H137,'BUS Measure-Model Summary'!$A$6:$A$684,0))</f>
        <v>0.49399999999999999</v>
      </c>
      <c r="AU137" s="309">
        <f t="shared" si="199"/>
        <v>0.49399999999999999</v>
      </c>
      <c r="AV137" s="309">
        <f t="shared" si="199"/>
        <v>0.49399999999999999</v>
      </c>
      <c r="AW137" s="309">
        <f t="shared" si="199"/>
        <v>0.49399999999999999</v>
      </c>
      <c r="AX137" s="243">
        <f t="shared" si="190"/>
        <v>30.372552599999999</v>
      </c>
      <c r="AY137" s="243">
        <f t="shared" si="191"/>
        <v>30.372552599999999</v>
      </c>
      <c r="AZ137" s="243">
        <f t="shared" si="192"/>
        <v>30.372552599999999</v>
      </c>
      <c r="BA137" s="243">
        <f t="shared" si="193"/>
        <v>30.372552599999999</v>
      </c>
      <c r="BB137" s="652">
        <f>VLOOKUP($D137,'2018 Plan Data'!$A$4:$K$2000,6,FALSE)</f>
        <v>65</v>
      </c>
      <c r="BC137" s="243">
        <f>VLOOKUP($D137,'2018 Plan Data'!$A$4:$K$2000,7,FALSE)</f>
        <v>0</v>
      </c>
      <c r="BD137" s="243">
        <f>VLOOKUP($D137,'2018 Plan Data'!$A$4:$K$2000,8,FALSE)</f>
        <v>0</v>
      </c>
      <c r="BE137" s="243">
        <f>VLOOKUP($D137,'2018 Plan Data'!$A$4:$K$2000,9,FALSE)</f>
        <v>0</v>
      </c>
      <c r="BF137" s="243">
        <f t="shared" si="201"/>
        <v>40365</v>
      </c>
      <c r="BG137" s="243">
        <f t="shared" si="202"/>
        <v>0</v>
      </c>
      <c r="BH137" s="243">
        <f t="shared" si="203"/>
        <v>0</v>
      </c>
      <c r="BI137" s="243">
        <f t="shared" si="204"/>
        <v>0</v>
      </c>
      <c r="BJ137" s="243">
        <f t="shared" si="205"/>
        <v>3996.3885</v>
      </c>
      <c r="BK137" s="243">
        <f t="shared" si="206"/>
        <v>0</v>
      </c>
      <c r="BL137" s="243">
        <f t="shared" si="207"/>
        <v>0</v>
      </c>
      <c r="BM137" s="243">
        <f t="shared" si="208"/>
        <v>0</v>
      </c>
      <c r="BN137" s="243">
        <f t="shared" si="209"/>
        <v>22483.305000000004</v>
      </c>
      <c r="BO137" s="243">
        <f t="shared" si="210"/>
        <v>0</v>
      </c>
      <c r="BP137" s="243">
        <f t="shared" si="211"/>
        <v>0</v>
      </c>
      <c r="BQ137" s="243">
        <f t="shared" si="212"/>
        <v>0</v>
      </c>
      <c r="BR137" s="243">
        <f t="shared" si="194"/>
        <v>1974.215919</v>
      </c>
      <c r="BS137" s="243">
        <f t="shared" si="195"/>
        <v>0</v>
      </c>
      <c r="BT137" s="243">
        <f t="shared" si="196"/>
        <v>0</v>
      </c>
      <c r="BU137" s="243">
        <f t="shared" si="197"/>
        <v>0</v>
      </c>
      <c r="BV137" s="600"/>
      <c r="BW137" s="314">
        <f>VLOOKUP($D137,'2018 Plan Data'!$A$4:$T$2000,13,FALSE)</f>
        <v>22483.305000000004</v>
      </c>
      <c r="BX137" s="314">
        <f>VLOOKUP($D137,'2018 Plan Data'!$A$4:$T$2000,14,FALSE)</f>
        <v>0</v>
      </c>
      <c r="BY137" s="314">
        <f>VLOOKUP($D137,'2018 Plan Data'!$A$4:$T$2000,15,FALSE)</f>
        <v>0</v>
      </c>
      <c r="BZ137" s="314">
        <f>VLOOKUP($D137,'2018 Plan Data'!$A$4:$T$2000,16,FALSE)</f>
        <v>0</v>
      </c>
      <c r="CA137" s="314">
        <f>IF(VLOOKUP($D137,'2018 Plan Data'!$A$4:$T$2000,17,FALSE)&gt;0,VLOOKUP($D137,'2018 Plan Data'!$A$4:$T$2000,17,FALSE),0)</f>
        <v>1974.215919</v>
      </c>
      <c r="CB137" s="314">
        <f>IF(VLOOKUP($D137,'2018 Plan Data'!$A$4:$T$2000,18,FALSE)&gt;0,VLOOKUP($D137,'2018 Plan Data'!$A$4:$T$2000,18,FALSE),0)</f>
        <v>0</v>
      </c>
      <c r="CC137" s="314">
        <f>IF(VLOOKUP($D137,'2018 Plan Data'!$A$4:$T$2000,19,FALSE)&gt;0,VLOOKUP($D137,'2018 Plan Data'!$A$4:$T$2000,19,FALSE),0)</f>
        <v>0</v>
      </c>
      <c r="CD137" s="314">
        <f>IF(VLOOKUP($D137,'2018 Plan Data'!$A$4:$T$2000,20,FALSE)&gt;0,VLOOKUP($D137,'2018 Plan Data'!$A$4:$T$2000,20,FALSE),0)</f>
        <v>0</v>
      </c>
      <c r="CE137" s="600" t="b">
        <f t="shared" si="213"/>
        <v>1</v>
      </c>
      <c r="CF137" s="600" t="b">
        <f t="shared" si="214"/>
        <v>1</v>
      </c>
      <c r="CG137" s="600" t="b">
        <f t="shared" si="215"/>
        <v>1</v>
      </c>
      <c r="CH137" s="600" t="b">
        <f t="shared" si="216"/>
        <v>1</v>
      </c>
      <c r="CI137" s="600" t="b">
        <f t="shared" si="217"/>
        <v>1</v>
      </c>
      <c r="CJ137" s="600" t="b">
        <f t="shared" si="218"/>
        <v>1</v>
      </c>
      <c r="CK137" s="600" t="b">
        <f t="shared" si="219"/>
        <v>1</v>
      </c>
      <c r="CL137" s="600" t="b">
        <f t="shared" si="220"/>
        <v>1</v>
      </c>
    </row>
    <row r="138" spans="1:90" ht="15" customHeight="1" x14ac:dyDescent="0.35">
      <c r="A138" s="585">
        <f t="shared" si="169"/>
        <v>242</v>
      </c>
      <c r="B138" s="600" t="str">
        <f t="shared" si="200"/>
        <v>Business_Standard</v>
      </c>
      <c r="C138" s="600"/>
      <c r="D138">
        <v>242</v>
      </c>
      <c r="E138" s="600" t="s">
        <v>1944</v>
      </c>
      <c r="F138" s="600" t="str">
        <f>VLOOKUP(G138,Sheet4!$D$6:$E$22,2,FALSE)</f>
        <v>Standard</v>
      </c>
      <c r="G138" t="s">
        <v>81</v>
      </c>
      <c r="H138" s="296" t="s">
        <v>176</v>
      </c>
      <c r="J138" s="18" t="s">
        <v>15</v>
      </c>
      <c r="K138" s="72" t="str">
        <f>INDEX('Measure Codes'!$F$4:$F$821,MATCH(H138,'Measure Codes'!$D$4:$D$821,0))</f>
        <v>4.4.14</v>
      </c>
      <c r="L138" s="72" t="str">
        <f>INDEX('Measure Codes'!$G$4:$G$821,MATCH(H138,'Measure Codes'!$D$4:$D$821,0))</f>
        <v>CI-HVC-PINS-V04-160601</v>
      </c>
      <c r="M138" s="600">
        <v>1</v>
      </c>
      <c r="O138" s="72" t="str">
        <f t="shared" si="175"/>
        <v>Gas</v>
      </c>
      <c r="P138" s="7">
        <f>VLOOKUP(D138,'2018 Plan Data'!$A$4:$K$1000,11,FALSE)</f>
        <v>15</v>
      </c>
      <c r="Q138" s="652">
        <f>VLOOKUP(D138,'2018 Plan Data'!$A$4:$L$1000,12,FALSE)</f>
        <v>0</v>
      </c>
      <c r="R138" s="314">
        <f>'BUS Measure-Model Summary'!D159</f>
        <v>0</v>
      </c>
      <c r="T138" s="314">
        <f>'BUS Measure-Model Summary'!E159</f>
        <v>0</v>
      </c>
      <c r="V138" s="314">
        <f>'BUS Measure-Model Summary'!F159</f>
        <v>1.6</v>
      </c>
      <c r="AD138" s="309">
        <f>INDEX('BUS Measure-Model Summary'!$I$6:$I$684,MATCH(H138,'BUS Measure-Model Summary'!$A$6:$A$684,0))</f>
        <v>0.79999999999999993</v>
      </c>
      <c r="AE138" s="309">
        <f t="shared" si="198"/>
        <v>0.79999999999999993</v>
      </c>
      <c r="AF138" s="309">
        <f t="shared" si="198"/>
        <v>0.79999999999999993</v>
      </c>
      <c r="AG138" s="309">
        <f t="shared" si="198"/>
        <v>0.79999999999999993</v>
      </c>
      <c r="AH138" s="314">
        <f t="shared" si="176"/>
        <v>0</v>
      </c>
      <c r="AI138" s="314">
        <f t="shared" si="177"/>
        <v>0</v>
      </c>
      <c r="AJ138" s="314">
        <f t="shared" si="178"/>
        <v>0</v>
      </c>
      <c r="AK138" s="314">
        <f t="shared" si="179"/>
        <v>0</v>
      </c>
      <c r="AL138" s="309">
        <f t="shared" si="180"/>
        <v>0.79999999999999993</v>
      </c>
      <c r="AM138" s="309">
        <f t="shared" si="181"/>
        <v>0.79999999999999993</v>
      </c>
      <c r="AN138" s="309">
        <f t="shared" si="182"/>
        <v>0.79999999999999993</v>
      </c>
      <c r="AO138" s="309">
        <f t="shared" si="183"/>
        <v>0.79999999999999993</v>
      </c>
      <c r="AP138" s="446">
        <f t="shared" si="184"/>
        <v>0</v>
      </c>
      <c r="AQ138" s="446">
        <f t="shared" si="185"/>
        <v>0</v>
      </c>
      <c r="AR138" s="446">
        <f t="shared" si="186"/>
        <v>0</v>
      </c>
      <c r="AS138" s="446">
        <f t="shared" si="187"/>
        <v>0</v>
      </c>
      <c r="AT138" s="309">
        <f>INDEX('BUS Measure-Model Summary'!$Y$6:$Y$684,MATCH(H138,'BUS Measure-Model Summary'!$A$6:$A$684,0))</f>
        <v>0.60399999999999998</v>
      </c>
      <c r="AU138" s="309">
        <f t="shared" si="199"/>
        <v>0.60399999999999998</v>
      </c>
      <c r="AV138" s="309">
        <f t="shared" si="199"/>
        <v>0.60399999999999998</v>
      </c>
      <c r="AW138" s="309">
        <f t="shared" si="199"/>
        <v>0.60399999999999998</v>
      </c>
      <c r="AX138" s="243">
        <f t="shared" si="190"/>
        <v>0.96640000000000004</v>
      </c>
      <c r="AY138" s="243">
        <f t="shared" si="191"/>
        <v>0.96640000000000004</v>
      </c>
      <c r="AZ138" s="243">
        <f t="shared" si="192"/>
        <v>0.96640000000000004</v>
      </c>
      <c r="BA138" s="243">
        <f t="shared" si="193"/>
        <v>0.96640000000000004</v>
      </c>
      <c r="BB138" s="243">
        <f>VLOOKUP($D138,'2018 Plan Data'!$A$4:$K$2000,6,FALSE)</f>
        <v>6000</v>
      </c>
      <c r="BC138" s="243">
        <f>VLOOKUP($D138,'2018 Plan Data'!$A$4:$K$2000,7,FALSE)</f>
        <v>5000</v>
      </c>
      <c r="BD138" s="243">
        <f>VLOOKUP($D138,'2018 Plan Data'!$A$4:$K$2000,8,FALSE)</f>
        <v>9000</v>
      </c>
      <c r="BE138" s="243">
        <f>VLOOKUP($D138,'2018 Plan Data'!$A$4:$K$2000,9,FALSE)</f>
        <v>9000</v>
      </c>
      <c r="BF138" s="243">
        <f t="shared" si="201"/>
        <v>0</v>
      </c>
      <c r="BG138" s="243">
        <f t="shared" si="202"/>
        <v>0</v>
      </c>
      <c r="BH138" s="243">
        <f t="shared" si="203"/>
        <v>0</v>
      </c>
      <c r="BI138" s="243">
        <f t="shared" si="204"/>
        <v>0</v>
      </c>
      <c r="BJ138" s="243">
        <f t="shared" si="205"/>
        <v>9600</v>
      </c>
      <c r="BK138" s="243">
        <f t="shared" si="206"/>
        <v>8000</v>
      </c>
      <c r="BL138" s="243">
        <f t="shared" si="207"/>
        <v>14400</v>
      </c>
      <c r="BM138" s="243">
        <f t="shared" si="208"/>
        <v>14400</v>
      </c>
      <c r="BN138" s="243">
        <f t="shared" si="209"/>
        <v>0</v>
      </c>
      <c r="BO138" s="243">
        <f t="shared" si="210"/>
        <v>0</v>
      </c>
      <c r="BP138" s="243">
        <f t="shared" si="211"/>
        <v>0</v>
      </c>
      <c r="BQ138" s="243">
        <f t="shared" si="212"/>
        <v>0</v>
      </c>
      <c r="BR138" s="243">
        <f t="shared" si="194"/>
        <v>5798.4000000000005</v>
      </c>
      <c r="BS138" s="243">
        <f t="shared" si="195"/>
        <v>4832</v>
      </c>
      <c r="BT138" s="243">
        <f t="shared" si="196"/>
        <v>8697.6</v>
      </c>
      <c r="BU138" s="243">
        <f t="shared" si="197"/>
        <v>8697.6</v>
      </c>
      <c r="BV138" s="600"/>
      <c r="BW138" s="314">
        <f>VLOOKUP($D138,'2018 Plan Data'!$A$4:$T$2000,13,FALSE)</f>
        <v>0</v>
      </c>
      <c r="BX138" s="314">
        <f>VLOOKUP($D138,'2018 Plan Data'!$A$4:$T$2000,14,FALSE)</f>
        <v>0</v>
      </c>
      <c r="BY138" s="314">
        <f>VLOOKUP($D138,'2018 Plan Data'!$A$4:$T$2000,15,FALSE)</f>
        <v>0</v>
      </c>
      <c r="BZ138" s="314">
        <f>VLOOKUP($D138,'2018 Plan Data'!$A$4:$T$2000,16,FALSE)</f>
        <v>0</v>
      </c>
      <c r="CA138" s="314">
        <f>IF(VLOOKUP($D138,'2018 Plan Data'!$A$4:$T$2000,17,FALSE)&gt;0,VLOOKUP($D138,'2018 Plan Data'!$A$4:$T$2000,17,FALSE),0)</f>
        <v>5798.4000000000005</v>
      </c>
      <c r="CB138" s="314">
        <f>IF(VLOOKUP($D138,'2018 Plan Data'!$A$4:$T$2000,18,FALSE)&gt;0,VLOOKUP($D138,'2018 Plan Data'!$A$4:$T$2000,18,FALSE),0)</f>
        <v>4832</v>
      </c>
      <c r="CC138" s="314">
        <f>IF(VLOOKUP($D138,'2018 Plan Data'!$A$4:$T$2000,19,FALSE)&gt;0,VLOOKUP($D138,'2018 Plan Data'!$A$4:$T$2000,19,FALSE),0)</f>
        <v>8697.6</v>
      </c>
      <c r="CD138" s="314">
        <f>IF(VLOOKUP($D138,'2018 Plan Data'!$A$4:$T$2000,20,FALSE)&gt;0,VLOOKUP($D138,'2018 Plan Data'!$A$4:$T$2000,20,FALSE),0)</f>
        <v>8697.6</v>
      </c>
      <c r="CE138" s="600" t="b">
        <f t="shared" si="213"/>
        <v>1</v>
      </c>
      <c r="CF138" s="600" t="b">
        <f t="shared" si="214"/>
        <v>1</v>
      </c>
      <c r="CG138" s="600" t="b">
        <f t="shared" si="215"/>
        <v>1</v>
      </c>
      <c r="CH138" s="600" t="b">
        <f t="shared" si="216"/>
        <v>1</v>
      </c>
      <c r="CI138" s="600" t="b">
        <f t="shared" si="217"/>
        <v>1</v>
      </c>
      <c r="CJ138" s="600" t="b">
        <f t="shared" si="218"/>
        <v>1</v>
      </c>
      <c r="CK138" s="600" t="b">
        <f t="shared" si="219"/>
        <v>1</v>
      </c>
      <c r="CL138" s="600" t="b">
        <f t="shared" si="220"/>
        <v>1</v>
      </c>
    </row>
    <row r="139" spans="1:90" ht="15" customHeight="1" x14ac:dyDescent="0.35">
      <c r="A139" s="585">
        <f t="shared" si="169"/>
        <v>223</v>
      </c>
      <c r="B139" s="585" t="str">
        <f t="shared" si="200"/>
        <v>Business_Standard</v>
      </c>
      <c r="C139" s="585"/>
      <c r="D139" s="585">
        <v>223</v>
      </c>
      <c r="E139" s="585" t="s">
        <v>1944</v>
      </c>
      <c r="F139" s="600" t="str">
        <f>VLOOKUP(G139,Sheet4!$D$6:$E$22,2,FALSE)</f>
        <v>Standard</v>
      </c>
      <c r="G139" s="585" t="s">
        <v>81</v>
      </c>
      <c r="H139" s="2336" t="s">
        <v>180</v>
      </c>
      <c r="J139" s="18" t="s">
        <v>105</v>
      </c>
      <c r="K139" s="72" t="str">
        <f>INDEX('Measure Codes'!$F$4:$F$821,MATCH(H139,'Measure Codes'!$D$4:$D$821,0))</f>
        <v>4.4.33</v>
      </c>
      <c r="L139" s="72" t="str">
        <f>INDEX('Measure Codes'!$G$4:$G$821,MATCH(H139,'Measure Codes'!$D$4:$D$821,0))</f>
        <v>CI-MSC-AIRC-V01-160601</v>
      </c>
      <c r="M139" s="600">
        <v>1</v>
      </c>
      <c r="O139" s="72" t="str">
        <f t="shared" si="175"/>
        <v>Dual Fuel</v>
      </c>
      <c r="P139" s="7">
        <f>VLOOKUP(D139,'2018 Plan Data'!$A$4:$K$1000,11,FALSE)</f>
        <v>15</v>
      </c>
      <c r="Q139" s="652">
        <f>VLOOKUP(D139,'2018 Plan Data'!$A$4:$L$1000,12,FALSE)</f>
        <v>0</v>
      </c>
      <c r="R139" s="314">
        <f>'BUS Measure-Model Summary'!D164</f>
        <v>10563.4</v>
      </c>
      <c r="T139" s="314">
        <f>'BUS Measure-Model Summary'!E164</f>
        <v>55.3</v>
      </c>
      <c r="V139" s="314">
        <f>'BUS Measure-Model Summary'!F164</f>
        <v>632.79999999999995</v>
      </c>
      <c r="AD139" s="309">
        <f>INDEX('BUS Measure-Model Summary'!$I$6:$I$684,MATCH(H139,'BUS Measure-Model Summary'!$A$6:$A$684,0))</f>
        <v>0.84899999999999998</v>
      </c>
      <c r="AE139" s="309">
        <f t="shared" si="198"/>
        <v>0.84899999999999998</v>
      </c>
      <c r="AF139" s="309">
        <f t="shared" si="198"/>
        <v>0.84899999999999998</v>
      </c>
      <c r="AG139" s="309">
        <f t="shared" si="198"/>
        <v>0.84899999999999998</v>
      </c>
      <c r="AH139" s="314">
        <f t="shared" si="176"/>
        <v>8968.3266000000003</v>
      </c>
      <c r="AI139" s="314">
        <f t="shared" si="177"/>
        <v>8968.3266000000003</v>
      </c>
      <c r="AJ139" s="314">
        <f t="shared" si="178"/>
        <v>8968.3266000000003</v>
      </c>
      <c r="AK139" s="314">
        <f t="shared" si="179"/>
        <v>8968.3266000000003</v>
      </c>
      <c r="AL139" s="309">
        <f t="shared" si="180"/>
        <v>0.84899999999999998</v>
      </c>
      <c r="AM139" s="309">
        <f t="shared" si="181"/>
        <v>0.84899999999999998</v>
      </c>
      <c r="AN139" s="309">
        <f t="shared" si="182"/>
        <v>0.84899999999999998</v>
      </c>
      <c r="AO139" s="309">
        <f t="shared" si="183"/>
        <v>0.84899999999999998</v>
      </c>
      <c r="AP139" s="446">
        <f t="shared" si="184"/>
        <v>46.949699999999993</v>
      </c>
      <c r="AQ139" s="446">
        <f t="shared" si="185"/>
        <v>46.949699999999993</v>
      </c>
      <c r="AR139" s="446">
        <f t="shared" si="186"/>
        <v>46.949699999999993</v>
      </c>
      <c r="AS139" s="446">
        <f t="shared" si="187"/>
        <v>46.949699999999993</v>
      </c>
      <c r="AT139" s="309">
        <f>INDEX('BUS Measure-Model Summary'!$Y$6:$Y$684,MATCH(H139,'BUS Measure-Model Summary'!$A$6:$A$684,0))</f>
        <v>0.67500000000000004</v>
      </c>
      <c r="AU139" s="309">
        <f t="shared" si="199"/>
        <v>0.67500000000000004</v>
      </c>
      <c r="AV139" s="309">
        <f t="shared" si="199"/>
        <v>0.67500000000000004</v>
      </c>
      <c r="AW139" s="309">
        <f t="shared" si="199"/>
        <v>0.67500000000000004</v>
      </c>
      <c r="AX139" s="243">
        <f t="shared" si="190"/>
        <v>427.14</v>
      </c>
      <c r="AY139" s="243">
        <f t="shared" si="191"/>
        <v>427.14</v>
      </c>
      <c r="AZ139" s="243">
        <f t="shared" si="192"/>
        <v>427.14</v>
      </c>
      <c r="BA139" s="243">
        <f t="shared" si="193"/>
        <v>427.14</v>
      </c>
      <c r="BB139" s="652">
        <f>VLOOKUP($D139,'2018 Plan Data'!$A$4:$K$2000,6,FALSE)</f>
        <v>1</v>
      </c>
      <c r="BC139" s="243">
        <f>VLOOKUP($D139,'2018 Plan Data'!$A$4:$K$2000,7,FALSE)</f>
        <v>2</v>
      </c>
      <c r="BD139" s="243">
        <f>VLOOKUP($D139,'2018 Plan Data'!$A$4:$K$2000,8,FALSE)</f>
        <v>2</v>
      </c>
      <c r="BE139" s="243">
        <f>VLOOKUP($D139,'2018 Plan Data'!$A$4:$K$2000,9,FALSE)</f>
        <v>2</v>
      </c>
      <c r="BF139" s="243">
        <f t="shared" si="201"/>
        <v>10563.4</v>
      </c>
      <c r="BG139" s="243">
        <f t="shared" si="202"/>
        <v>21126.799999999999</v>
      </c>
      <c r="BH139" s="243">
        <f t="shared" si="203"/>
        <v>21126.799999999999</v>
      </c>
      <c r="BI139" s="243">
        <f t="shared" si="204"/>
        <v>21126.799999999999</v>
      </c>
      <c r="BJ139" s="243">
        <f t="shared" si="205"/>
        <v>632.79999999999995</v>
      </c>
      <c r="BK139" s="243">
        <f t="shared" si="206"/>
        <v>1265.5999999999999</v>
      </c>
      <c r="BL139" s="243">
        <f t="shared" si="207"/>
        <v>1265.5999999999999</v>
      </c>
      <c r="BM139" s="243">
        <f t="shared" si="208"/>
        <v>1265.5999999999999</v>
      </c>
      <c r="BN139" s="243">
        <f t="shared" si="209"/>
        <v>8968.3266000000003</v>
      </c>
      <c r="BO139" s="243">
        <f t="shared" si="210"/>
        <v>17936.653200000001</v>
      </c>
      <c r="BP139" s="243">
        <f t="shared" si="211"/>
        <v>17936.653200000001</v>
      </c>
      <c r="BQ139" s="243">
        <f t="shared" si="212"/>
        <v>17936.653200000001</v>
      </c>
      <c r="BR139" s="243">
        <f t="shared" si="194"/>
        <v>427.14</v>
      </c>
      <c r="BS139" s="243">
        <f t="shared" si="195"/>
        <v>854.28</v>
      </c>
      <c r="BT139" s="243">
        <f t="shared" si="196"/>
        <v>854.28</v>
      </c>
      <c r="BU139" s="243">
        <f t="shared" si="197"/>
        <v>854.28</v>
      </c>
      <c r="BV139" s="600"/>
      <c r="BW139" s="314">
        <f>VLOOKUP($D139,'2018 Plan Data'!$A$4:$T$2000,13,FALSE)</f>
        <v>8968.3266000000003</v>
      </c>
      <c r="BX139" s="314">
        <f>VLOOKUP($D139,'2018 Plan Data'!$A$4:$T$2000,14,FALSE)</f>
        <v>17936.653200000001</v>
      </c>
      <c r="BY139" s="314">
        <f>VLOOKUP($D139,'2018 Plan Data'!$A$4:$T$2000,15,FALSE)</f>
        <v>17936.653200000001</v>
      </c>
      <c r="BZ139" s="314">
        <f>VLOOKUP($D139,'2018 Plan Data'!$A$4:$T$2000,16,FALSE)</f>
        <v>17936.653200000001</v>
      </c>
      <c r="CA139" s="314">
        <f>IF(VLOOKUP($D139,'2018 Plan Data'!$A$4:$T$2000,17,FALSE)&gt;0,VLOOKUP($D139,'2018 Plan Data'!$A$4:$T$2000,17,FALSE),0)</f>
        <v>427.14</v>
      </c>
      <c r="CB139" s="314">
        <f>IF(VLOOKUP($D139,'2018 Plan Data'!$A$4:$T$2000,18,FALSE)&gt;0,VLOOKUP($D139,'2018 Plan Data'!$A$4:$T$2000,18,FALSE),0)</f>
        <v>854.28</v>
      </c>
      <c r="CC139" s="314">
        <f>IF(VLOOKUP($D139,'2018 Plan Data'!$A$4:$T$2000,19,FALSE)&gt;0,VLOOKUP($D139,'2018 Plan Data'!$A$4:$T$2000,19,FALSE),0)</f>
        <v>854.28</v>
      </c>
      <c r="CD139" s="314">
        <f>IF(VLOOKUP($D139,'2018 Plan Data'!$A$4:$T$2000,20,FALSE)&gt;0,VLOOKUP($D139,'2018 Plan Data'!$A$4:$T$2000,20,FALSE),0)</f>
        <v>854.28</v>
      </c>
      <c r="CE139" s="600" t="b">
        <f t="shared" si="213"/>
        <v>1</v>
      </c>
      <c r="CF139" s="600" t="b">
        <f t="shared" si="214"/>
        <v>1</v>
      </c>
      <c r="CG139" s="600" t="b">
        <f t="shared" si="215"/>
        <v>1</v>
      </c>
      <c r="CH139" s="600" t="b">
        <f t="shared" si="216"/>
        <v>1</v>
      </c>
      <c r="CI139" s="600" t="b">
        <f t="shared" si="217"/>
        <v>1</v>
      </c>
      <c r="CJ139" s="600" t="b">
        <f t="shared" si="218"/>
        <v>1</v>
      </c>
      <c r="CK139" s="600" t="b">
        <f t="shared" si="219"/>
        <v>1</v>
      </c>
      <c r="CL139" s="600" t="b">
        <f t="shared" si="220"/>
        <v>1</v>
      </c>
    </row>
    <row r="140" spans="1:90" ht="15" customHeight="1" x14ac:dyDescent="0.35">
      <c r="A140" s="585">
        <f t="shared" ref="A140:A171" si="221">D140</f>
        <v>97</v>
      </c>
      <c r="B140" s="600" t="str">
        <f t="shared" si="200"/>
        <v>Business_Standard</v>
      </c>
      <c r="C140" s="600"/>
      <c r="D140">
        <v>97</v>
      </c>
      <c r="E140" s="600" t="s">
        <v>1944</v>
      </c>
      <c r="F140" s="600" t="str">
        <f>VLOOKUP(G140,Sheet4!$D$6:$E$22,2,FALSE)</f>
        <v>Standard</v>
      </c>
      <c r="G140" t="s">
        <v>81</v>
      </c>
      <c r="H140" s="296" t="s">
        <v>181</v>
      </c>
      <c r="J140" s="18" t="s">
        <v>100</v>
      </c>
      <c r="K140" s="72" t="str">
        <f>INDEX('Measure Codes'!$F$4:$F$821,MATCH(H140,'Measure Codes'!$D$4:$D$821,0))</f>
        <v>4.4.37</v>
      </c>
      <c r="L140" s="72" t="str">
        <f>INDEX('Measure Codes'!$G$4:$G$821,MATCH(H140,'Measure Codes'!$D$4:$D$821,0))</f>
        <v>CI-HVC-DSFN-V02-180101</v>
      </c>
      <c r="M140" s="600">
        <v>1</v>
      </c>
      <c r="O140" s="72" t="str">
        <f t="shared" si="175"/>
        <v>Gas</v>
      </c>
      <c r="P140" s="7">
        <f>VLOOKUP(D140,'2018 Plan Data'!$A$4:$K$1000,11,FALSE)</f>
        <v>15</v>
      </c>
      <c r="Q140" s="652">
        <f>VLOOKUP(D140,'2018 Plan Data'!$A$4:$L$1000,12,FALSE)</f>
        <v>0</v>
      </c>
      <c r="R140" s="314">
        <f>'BUS - BPH20 (TRM)'!C25</f>
        <v>-1103.8355523767607</v>
      </c>
      <c r="T140" s="314">
        <f>'BUS - BPH20 (TRM)'!C26</f>
        <v>-0.17697329812206575</v>
      </c>
      <c r="V140" s="314">
        <f>'BUS - BPH20 (TRM)'!C27</f>
        <v>1410.9147306857637</v>
      </c>
      <c r="AD140" s="309">
        <f>INDEX('BUS Measure-Model Summary'!$I$6:$I$684,MATCH(H140,'BUS Measure-Model Summary'!$A$6:$A$684,0))</f>
        <v>0.55700000000000005</v>
      </c>
      <c r="AE140" s="309">
        <f t="shared" si="198"/>
        <v>0.55700000000000005</v>
      </c>
      <c r="AF140" s="309">
        <f t="shared" si="198"/>
        <v>0.55700000000000005</v>
      </c>
      <c r="AG140" s="309">
        <f t="shared" si="198"/>
        <v>0.55700000000000005</v>
      </c>
      <c r="AH140" s="314">
        <f t="shared" si="176"/>
        <v>-614.83640267385579</v>
      </c>
      <c r="AI140" s="314">
        <f t="shared" si="177"/>
        <v>-614.83640267385579</v>
      </c>
      <c r="AJ140" s="314">
        <f t="shared" si="178"/>
        <v>-614.83640267385579</v>
      </c>
      <c r="AK140" s="314">
        <f t="shared" si="179"/>
        <v>-614.83640267385579</v>
      </c>
      <c r="AL140" s="309">
        <f t="shared" si="180"/>
        <v>0.55700000000000005</v>
      </c>
      <c r="AM140" s="309">
        <f t="shared" si="181"/>
        <v>0.55700000000000005</v>
      </c>
      <c r="AN140" s="309">
        <f t="shared" si="182"/>
        <v>0.55700000000000005</v>
      </c>
      <c r="AO140" s="309">
        <f t="shared" si="183"/>
        <v>0.55700000000000005</v>
      </c>
      <c r="AP140" s="446">
        <f t="shared" si="184"/>
        <v>-9.8574127053990629E-2</v>
      </c>
      <c r="AQ140" s="446">
        <f t="shared" si="185"/>
        <v>-9.8574127053990629E-2</v>
      </c>
      <c r="AR140" s="446">
        <f t="shared" si="186"/>
        <v>-9.8574127053990629E-2</v>
      </c>
      <c r="AS140" s="446">
        <f t="shared" si="187"/>
        <v>-9.8574127053990629E-2</v>
      </c>
      <c r="AT140" s="309">
        <f>INDEX('BUS Measure-Model Summary'!$Y$6:$Y$684,MATCH(H140,'BUS Measure-Model Summary'!$A$6:$A$684,0))</f>
        <v>0.49399999999999999</v>
      </c>
      <c r="AU140" s="309">
        <f t="shared" si="199"/>
        <v>0.49399999999999999</v>
      </c>
      <c r="AV140" s="309">
        <f t="shared" si="199"/>
        <v>0.49399999999999999</v>
      </c>
      <c r="AW140" s="309">
        <f t="shared" si="199"/>
        <v>0.49399999999999999</v>
      </c>
      <c r="AX140" s="243">
        <f t="shared" si="190"/>
        <v>696.99187695876731</v>
      </c>
      <c r="AY140" s="243">
        <f t="shared" si="191"/>
        <v>696.99187695876731</v>
      </c>
      <c r="AZ140" s="243">
        <f t="shared" si="192"/>
        <v>696.99187695876731</v>
      </c>
      <c r="BA140" s="243">
        <f t="shared" si="193"/>
        <v>696.99187695876731</v>
      </c>
      <c r="BB140" s="243">
        <f>VLOOKUP($D140,'2018 Plan Data'!$A$4:$K$2000,6,FALSE)</f>
        <v>14</v>
      </c>
      <c r="BC140" s="243">
        <f>VLOOKUP($D140,'2018 Plan Data'!$A$4:$K$2000,7,FALSE)</f>
        <v>10</v>
      </c>
      <c r="BD140" s="243">
        <f>VLOOKUP($D140,'2018 Plan Data'!$A$4:$K$2000,8,FALSE)</f>
        <v>23</v>
      </c>
      <c r="BE140" s="243">
        <f>VLOOKUP($D140,'2018 Plan Data'!$A$4:$K$2000,9,FALSE)</f>
        <v>23</v>
      </c>
      <c r="BF140" s="243">
        <f t="shared" si="201"/>
        <v>-15453.69773327465</v>
      </c>
      <c r="BG140" s="243">
        <f t="shared" si="202"/>
        <v>-11038.355523767606</v>
      </c>
      <c r="BH140" s="243">
        <f t="shared" si="203"/>
        <v>-25388.217704665494</v>
      </c>
      <c r="BI140" s="243">
        <f t="shared" si="204"/>
        <v>-25388.217704665494</v>
      </c>
      <c r="BJ140" s="243">
        <f t="shared" si="205"/>
        <v>19752.806229600694</v>
      </c>
      <c r="BK140" s="243">
        <f t="shared" si="206"/>
        <v>14109.147306857638</v>
      </c>
      <c r="BL140" s="243">
        <f t="shared" si="207"/>
        <v>32451.038805772565</v>
      </c>
      <c r="BM140" s="243">
        <f t="shared" si="208"/>
        <v>32451.038805772565</v>
      </c>
      <c r="BN140" s="243">
        <f t="shared" si="209"/>
        <v>-8607.7096374339817</v>
      </c>
      <c r="BO140" s="243">
        <f t="shared" si="210"/>
        <v>-6148.3640267385581</v>
      </c>
      <c r="BP140" s="243">
        <f t="shared" si="211"/>
        <v>-14141.237261498683</v>
      </c>
      <c r="BQ140" s="243">
        <f t="shared" si="212"/>
        <v>-14141.237261498683</v>
      </c>
      <c r="BR140" s="243">
        <f t="shared" si="194"/>
        <v>9757.8862774227418</v>
      </c>
      <c r="BS140" s="243">
        <f t="shared" si="195"/>
        <v>6969.9187695876735</v>
      </c>
      <c r="BT140" s="243">
        <f t="shared" si="196"/>
        <v>16030.813170051648</v>
      </c>
      <c r="BU140" s="243">
        <f t="shared" si="197"/>
        <v>16030.813170051648</v>
      </c>
      <c r="BV140" s="600"/>
      <c r="BW140" s="314">
        <f>VLOOKUP($D140,'2018 Plan Data'!$A$4:$T$2000,13,FALSE)</f>
        <v>-8607.7096374339817</v>
      </c>
      <c r="BX140" s="314">
        <f>VLOOKUP($D140,'2018 Plan Data'!$A$4:$T$2000,14,FALSE)</f>
        <v>-6148.3640267385581</v>
      </c>
      <c r="BY140" s="314">
        <f>VLOOKUP($D140,'2018 Plan Data'!$A$4:$T$2000,15,FALSE)</f>
        <v>-14141.237261498683</v>
      </c>
      <c r="BZ140" s="314">
        <f>VLOOKUP($D140,'2018 Plan Data'!$A$4:$T$2000,16,FALSE)</f>
        <v>-14141.237261498683</v>
      </c>
      <c r="CA140" s="314">
        <f>IF(VLOOKUP($D140,'2018 Plan Data'!$A$4:$T$2000,17,FALSE)&gt;0,VLOOKUP($D140,'2018 Plan Data'!$A$4:$T$2000,17,FALSE),0)</f>
        <v>9757.8862774227418</v>
      </c>
      <c r="CB140" s="314">
        <f>IF(VLOOKUP($D140,'2018 Plan Data'!$A$4:$T$2000,18,FALSE)&gt;0,VLOOKUP($D140,'2018 Plan Data'!$A$4:$T$2000,18,FALSE),0)</f>
        <v>6969.9187695876735</v>
      </c>
      <c r="CC140" s="314">
        <f>IF(VLOOKUP($D140,'2018 Plan Data'!$A$4:$T$2000,19,FALSE)&gt;0,VLOOKUP($D140,'2018 Plan Data'!$A$4:$T$2000,19,FALSE),0)</f>
        <v>16030.813170051648</v>
      </c>
      <c r="CD140" s="314">
        <f>IF(VLOOKUP($D140,'2018 Plan Data'!$A$4:$T$2000,20,FALSE)&gt;0,VLOOKUP($D140,'2018 Plan Data'!$A$4:$T$2000,20,FALSE),0)</f>
        <v>16030.813170051648</v>
      </c>
      <c r="CE140" s="600" t="b">
        <f t="shared" si="213"/>
        <v>1</v>
      </c>
      <c r="CF140" s="600" t="b">
        <f t="shared" si="214"/>
        <v>1</v>
      </c>
      <c r="CG140" s="600" t="b">
        <f t="shared" si="215"/>
        <v>1</v>
      </c>
      <c r="CH140" s="600" t="b">
        <f t="shared" si="216"/>
        <v>1</v>
      </c>
      <c r="CI140" s="600" t="b">
        <f t="shared" si="217"/>
        <v>1</v>
      </c>
      <c r="CJ140" s="600" t="b">
        <f t="shared" si="218"/>
        <v>1</v>
      </c>
      <c r="CK140" s="600" t="b">
        <f t="shared" si="219"/>
        <v>1</v>
      </c>
      <c r="CL140" s="600" t="b">
        <f t="shared" si="220"/>
        <v>1</v>
      </c>
    </row>
    <row r="141" spans="1:90" ht="15" customHeight="1" x14ac:dyDescent="0.35">
      <c r="A141" s="585">
        <f t="shared" si="221"/>
        <v>190</v>
      </c>
      <c r="B141" s="600" t="str">
        <f t="shared" si="200"/>
        <v>Business_Standard</v>
      </c>
      <c r="C141" s="600"/>
      <c r="D141">
        <v>190</v>
      </c>
      <c r="E141" s="600" t="s">
        <v>1944</v>
      </c>
      <c r="F141" s="600" t="str">
        <f>VLOOKUP(G141,Sheet4!$D$6:$E$22,2,FALSE)</f>
        <v>Standard</v>
      </c>
      <c r="G141" s="600" t="s">
        <v>81</v>
      </c>
      <c r="H141" s="296" t="s">
        <v>182</v>
      </c>
      <c r="J141" s="18" t="s">
        <v>5</v>
      </c>
      <c r="K141" s="72" t="str">
        <f>INDEX('Measure Codes'!$F$4:$F$821,MATCH(H141,'Measure Codes'!$D$4:$D$821,0))</f>
        <v>4.8.4</v>
      </c>
      <c r="L141" s="72" t="str">
        <f>INDEX('Measure Codes'!$G$4:$G$821,MATCH(H141,'Measure Codes'!$D$4:$D$821,0))</f>
        <v>CI-MSC-MODD-V01-160601</v>
      </c>
      <c r="M141" s="600">
        <v>1</v>
      </c>
      <c r="O141" s="72" t="str">
        <f t="shared" ref="O141:O172" si="222">IF(AND(R141&gt;0,V141&gt;0),"Dual Fuel",IF(AND(V141&gt;0,R141&lt;=0),"Gas","Electric"))</f>
        <v>Gas</v>
      </c>
      <c r="P141" s="7">
        <f>VLOOKUP(D141,'2018 Plan Data'!$A$4:$K$1000,11,FALSE)</f>
        <v>14</v>
      </c>
      <c r="Q141" s="652">
        <f>VLOOKUP(D141,'2018 Plan Data'!$A$4:$L$1000,12,FALSE)</f>
        <v>0</v>
      </c>
      <c r="R141" s="314">
        <f>'BUS Measure-Model Summary'!D167</f>
        <v>0</v>
      </c>
      <c r="T141" s="314">
        <f>'BUS Measure-Model Summary'!E167</f>
        <v>0</v>
      </c>
      <c r="V141" s="314">
        <f>V173</f>
        <v>405.14400000000001</v>
      </c>
      <c r="X141" s="600"/>
      <c r="Y141" s="600"/>
      <c r="Z141" s="600"/>
      <c r="AA141" s="600"/>
      <c r="AB141" s="600"/>
      <c r="AC141" s="600"/>
      <c r="AD141" s="309">
        <f>INDEX('BUS Measure-Model Summary'!$I$6:$I$684,MATCH(H141,'BUS Measure-Model Summary'!$A$6:$A$684,0))</f>
        <v>0.84899999999999998</v>
      </c>
      <c r="AE141" s="309">
        <f t="shared" si="198"/>
        <v>0.84899999999999998</v>
      </c>
      <c r="AF141" s="309">
        <f t="shared" si="198"/>
        <v>0.84899999999999998</v>
      </c>
      <c r="AG141" s="309">
        <f t="shared" si="198"/>
        <v>0.84899999999999998</v>
      </c>
      <c r="AH141" s="314">
        <f t="shared" ref="AH141:AH172" si="223">IF($Q141&gt;0,$S141*AD141,$R141*AD141)</f>
        <v>0</v>
      </c>
      <c r="AI141" s="314">
        <f t="shared" ref="AI141:AI172" si="224">IF($Q141&gt;0,$S141*AE141,$R141*AE141)</f>
        <v>0</v>
      </c>
      <c r="AJ141" s="314">
        <f t="shared" ref="AJ141:AJ172" si="225">IF($Q141&gt;0,$S141*AF141,$R141*AF141)</f>
        <v>0</v>
      </c>
      <c r="AK141" s="314">
        <f t="shared" ref="AK141:AK172" si="226">IF($Q141&gt;0,$S141*AG141,$R141*AG141)</f>
        <v>0</v>
      </c>
      <c r="AL141" s="309">
        <f t="shared" ref="AL141:AL172" si="227">AD141</f>
        <v>0.84899999999999998</v>
      </c>
      <c r="AM141" s="309">
        <f t="shared" ref="AM141:AM172" si="228">AE141</f>
        <v>0.84899999999999998</v>
      </c>
      <c r="AN141" s="309">
        <f t="shared" ref="AN141:AN172" si="229">AF141</f>
        <v>0.84899999999999998</v>
      </c>
      <c r="AO141" s="309">
        <f t="shared" ref="AO141:AO172" si="230">AG141</f>
        <v>0.84899999999999998</v>
      </c>
      <c r="AP141" s="446">
        <f t="shared" ref="AP141:AP172" si="231">$T141*AL141</f>
        <v>0</v>
      </c>
      <c r="AQ141" s="446">
        <f t="shared" ref="AQ141:AQ172" si="232">$T141*AM141</f>
        <v>0</v>
      </c>
      <c r="AR141" s="446">
        <f t="shared" ref="AR141:AR172" si="233">$T141*AN141</f>
        <v>0</v>
      </c>
      <c r="AS141" s="446">
        <f t="shared" ref="AS141:AS172" si="234">$T141*AO141</f>
        <v>0</v>
      </c>
      <c r="AT141" s="309">
        <f>INDEX('BUS Measure-Model Summary'!$Y$6:$Y$684,MATCH(H141,'BUS Measure-Model Summary'!$A$6:$A$684,0))</f>
        <v>0.67500000000000004</v>
      </c>
      <c r="AU141" s="309">
        <f t="shared" si="199"/>
        <v>0.67500000000000004</v>
      </c>
      <c r="AV141" s="309">
        <f t="shared" si="199"/>
        <v>0.67500000000000004</v>
      </c>
      <c r="AW141" s="309">
        <f t="shared" si="199"/>
        <v>0.67500000000000004</v>
      </c>
      <c r="AX141" s="243">
        <f t="shared" si="190"/>
        <v>273.47220000000004</v>
      </c>
      <c r="AY141" s="243">
        <f t="shared" si="191"/>
        <v>273.47220000000004</v>
      </c>
      <c r="AZ141" s="243">
        <f t="shared" si="192"/>
        <v>273.47220000000004</v>
      </c>
      <c r="BA141" s="243">
        <f t="shared" si="193"/>
        <v>273.47220000000004</v>
      </c>
      <c r="BB141" s="243">
        <f>VLOOKUP($D141,'2018 Plan Data'!$A$4:$K$2000,6,FALSE)</f>
        <v>5</v>
      </c>
      <c r="BC141" s="243">
        <f>VLOOKUP($D141,'2018 Plan Data'!$A$4:$K$2000,7,FALSE)</f>
        <v>4</v>
      </c>
      <c r="BD141" s="243">
        <f>VLOOKUP($D141,'2018 Plan Data'!$A$4:$K$2000,8,FALSE)</f>
        <v>5</v>
      </c>
      <c r="BE141" s="243">
        <f>VLOOKUP($D141,'2018 Plan Data'!$A$4:$K$2000,9,FALSE)</f>
        <v>6</v>
      </c>
      <c r="BF141" s="243">
        <f t="shared" si="201"/>
        <v>0</v>
      </c>
      <c r="BG141" s="243">
        <f t="shared" si="202"/>
        <v>0</v>
      </c>
      <c r="BH141" s="243">
        <f t="shared" si="203"/>
        <v>0</v>
      </c>
      <c r="BI141" s="243">
        <f t="shared" si="204"/>
        <v>0</v>
      </c>
      <c r="BJ141" s="243">
        <f t="shared" si="205"/>
        <v>2025.72</v>
      </c>
      <c r="BK141" s="243">
        <f t="shared" si="206"/>
        <v>1620.576</v>
      </c>
      <c r="BL141" s="243">
        <f t="shared" si="207"/>
        <v>2025.72</v>
      </c>
      <c r="BM141" s="243">
        <f t="shared" si="208"/>
        <v>2430.864</v>
      </c>
      <c r="BN141" s="243">
        <f t="shared" si="209"/>
        <v>0</v>
      </c>
      <c r="BO141" s="243">
        <f t="shared" si="210"/>
        <v>0</v>
      </c>
      <c r="BP141" s="243">
        <f t="shared" si="211"/>
        <v>0</v>
      </c>
      <c r="BQ141" s="243">
        <f t="shared" si="212"/>
        <v>0</v>
      </c>
      <c r="BR141" s="243">
        <f t="shared" si="194"/>
        <v>1367.3610000000003</v>
      </c>
      <c r="BS141" s="243">
        <f t="shared" si="195"/>
        <v>1093.8888000000002</v>
      </c>
      <c r="BT141" s="243">
        <f t="shared" si="196"/>
        <v>1367.3610000000003</v>
      </c>
      <c r="BU141" s="243">
        <f t="shared" si="197"/>
        <v>1640.8332000000003</v>
      </c>
      <c r="BV141" s="600"/>
      <c r="BW141" s="314">
        <f>VLOOKUP($D141,'2018 Plan Data'!$A$4:$T$2000,13,FALSE)</f>
        <v>0</v>
      </c>
      <c r="BX141" s="314">
        <f>VLOOKUP($D141,'2018 Plan Data'!$A$4:$T$2000,14,FALSE)</f>
        <v>0</v>
      </c>
      <c r="BY141" s="314">
        <f>VLOOKUP($D141,'2018 Plan Data'!$A$4:$T$2000,15,FALSE)</f>
        <v>0</v>
      </c>
      <c r="BZ141" s="314">
        <f>VLOOKUP($D141,'2018 Plan Data'!$A$4:$T$2000,16,FALSE)</f>
        <v>0</v>
      </c>
      <c r="CA141" s="314">
        <f>IF(VLOOKUP($D141,'2018 Plan Data'!$A$4:$T$2000,17,FALSE)&gt;0,VLOOKUP($D141,'2018 Plan Data'!$A$4:$T$2000,17,FALSE),0)</f>
        <v>1367.3610000000003</v>
      </c>
      <c r="CB141" s="314">
        <f>IF(VLOOKUP($D141,'2018 Plan Data'!$A$4:$T$2000,18,FALSE)&gt;0,VLOOKUP($D141,'2018 Plan Data'!$A$4:$T$2000,18,FALSE),0)</f>
        <v>1093.8888000000002</v>
      </c>
      <c r="CC141" s="314">
        <f>IF(VLOOKUP($D141,'2018 Plan Data'!$A$4:$T$2000,19,FALSE)&gt;0,VLOOKUP($D141,'2018 Plan Data'!$A$4:$T$2000,19,FALSE),0)</f>
        <v>1367.3610000000003</v>
      </c>
      <c r="CD141" s="314">
        <f>IF(VLOOKUP($D141,'2018 Plan Data'!$A$4:$T$2000,20,FALSE)&gt;0,VLOOKUP($D141,'2018 Plan Data'!$A$4:$T$2000,20,FALSE),0)</f>
        <v>1640.8332000000003</v>
      </c>
      <c r="CE141" s="600" t="b">
        <f t="shared" si="213"/>
        <v>1</v>
      </c>
      <c r="CF141" s="600" t="b">
        <f t="shared" si="214"/>
        <v>1</v>
      </c>
      <c r="CG141" s="600" t="b">
        <f t="shared" si="215"/>
        <v>1</v>
      </c>
      <c r="CH141" s="600" t="b">
        <f t="shared" si="216"/>
        <v>1</v>
      </c>
      <c r="CI141" s="600" t="b">
        <f t="shared" si="217"/>
        <v>1</v>
      </c>
      <c r="CJ141" s="600" t="b">
        <f t="shared" si="218"/>
        <v>1</v>
      </c>
      <c r="CK141" s="600" t="b">
        <f t="shared" si="219"/>
        <v>1</v>
      </c>
      <c r="CL141" s="600" t="b">
        <f t="shared" si="220"/>
        <v>1</v>
      </c>
    </row>
    <row r="142" spans="1:90" ht="15" customHeight="1" x14ac:dyDescent="0.35">
      <c r="A142" s="585">
        <f t="shared" si="221"/>
        <v>66</v>
      </c>
      <c r="B142" s="600" t="str">
        <f t="shared" si="200"/>
        <v>Business_Standard</v>
      </c>
      <c r="C142" s="600"/>
      <c r="D142" s="600">
        <v>66</v>
      </c>
      <c r="E142" s="600" t="s">
        <v>1944</v>
      </c>
      <c r="F142" s="600" t="str">
        <f>VLOOKUP(G142,Sheet4!$D$6:$E$22,2,FALSE)</f>
        <v>Standard</v>
      </c>
      <c r="G142" s="600" t="s">
        <v>81</v>
      </c>
      <c r="H142" s="296" t="s">
        <v>193</v>
      </c>
      <c r="J142" s="18" t="s">
        <v>100</v>
      </c>
      <c r="K142" s="72" t="str">
        <f>INDEX('Measure Codes'!$F$4:$F$821,MATCH(H142,'Measure Codes'!$D$4:$D$821,0))</f>
        <v>4.4.3</v>
      </c>
      <c r="L142" s="72" t="str">
        <f>INDEX('Measure Codes'!$G$4:$G$821,MATCH(H142,'Measure Codes'!$D$4:$D$821,0))</f>
        <v>CI-HVC-PBTU-V05-160601</v>
      </c>
      <c r="M142" s="600">
        <v>1</v>
      </c>
      <c r="O142" s="72" t="str">
        <f t="shared" si="222"/>
        <v>Gas</v>
      </c>
      <c r="P142" s="7">
        <f>VLOOKUP(D142,'2018 Plan Data'!$A$4:$K$1000,11,FALSE)</f>
        <v>3</v>
      </c>
      <c r="Q142" s="652">
        <f>VLOOKUP(D142,'2018 Plan Data'!$A$4:$L$1000,12,FALSE)</f>
        <v>0</v>
      </c>
      <c r="R142" s="314">
        <f>'BUS Measure-Model Summary'!D183</f>
        <v>0</v>
      </c>
      <c r="T142" s="314">
        <f>'BUS Measure-Model Summary'!E183</f>
        <v>0</v>
      </c>
      <c r="V142" s="314">
        <f>'BUS-BPH1 (TRM)'!C13</f>
        <v>1507.9529934371551</v>
      </c>
      <c r="X142" s="600"/>
      <c r="Y142" s="600"/>
      <c r="Z142" s="600"/>
      <c r="AA142" s="600"/>
      <c r="AB142" s="600"/>
      <c r="AC142" s="600"/>
      <c r="AD142" s="309">
        <f>INDEX('BUS Measure-Model Summary'!$I$6:$I$684,MATCH(H142,'BUS Measure-Model Summary'!$A$6:$A$684,0))</f>
        <v>0.55700000000000005</v>
      </c>
      <c r="AE142" s="309">
        <f t="shared" si="198"/>
        <v>0.55700000000000005</v>
      </c>
      <c r="AF142" s="309">
        <f t="shared" si="198"/>
        <v>0.55700000000000005</v>
      </c>
      <c r="AG142" s="309">
        <f t="shared" si="198"/>
        <v>0.55700000000000005</v>
      </c>
      <c r="AH142" s="314">
        <f t="shared" si="223"/>
        <v>0</v>
      </c>
      <c r="AI142" s="314">
        <f t="shared" si="224"/>
        <v>0</v>
      </c>
      <c r="AJ142" s="314">
        <f t="shared" si="225"/>
        <v>0</v>
      </c>
      <c r="AK142" s="314">
        <f t="shared" si="226"/>
        <v>0</v>
      </c>
      <c r="AL142" s="309">
        <f t="shared" si="227"/>
        <v>0.55700000000000005</v>
      </c>
      <c r="AM142" s="309">
        <f t="shared" si="228"/>
        <v>0.55700000000000005</v>
      </c>
      <c r="AN142" s="309">
        <f t="shared" si="229"/>
        <v>0.55700000000000005</v>
      </c>
      <c r="AO142" s="309">
        <f t="shared" si="230"/>
        <v>0.55700000000000005</v>
      </c>
      <c r="AP142" s="446">
        <f t="shared" si="231"/>
        <v>0</v>
      </c>
      <c r="AQ142" s="446">
        <f t="shared" si="232"/>
        <v>0</v>
      </c>
      <c r="AR142" s="446">
        <f t="shared" si="233"/>
        <v>0</v>
      </c>
      <c r="AS142" s="446">
        <f t="shared" si="234"/>
        <v>0</v>
      </c>
      <c r="AT142" s="309">
        <f>INDEX('BUS Measure-Model Summary'!$Y$6:$Y$684,MATCH(H142,'BUS Measure-Model Summary'!$A$6:$A$684,0))</f>
        <v>0.49399999999999999</v>
      </c>
      <c r="AU142" s="309">
        <f t="shared" si="199"/>
        <v>0.49399999999999999</v>
      </c>
      <c r="AV142" s="309">
        <f t="shared" si="199"/>
        <v>0.49399999999999999</v>
      </c>
      <c r="AW142" s="309">
        <f t="shared" si="199"/>
        <v>0.49399999999999999</v>
      </c>
      <c r="AX142" s="243">
        <f t="shared" ref="AX142:AX173" si="235">IF($Q142&gt;0,$W142*AT142,$V142*AT142)</f>
        <v>744.92877875795466</v>
      </c>
      <c r="AY142" s="243">
        <f t="shared" ref="AY142:AY173" si="236">IF($Q142&gt;1,$W142*AU142,$V142*AU142)</f>
        <v>744.92877875795466</v>
      </c>
      <c r="AZ142" s="243">
        <f t="shared" ref="AZ142:AZ173" si="237">IF($Q142&gt;1,$W142*AV142,$V142*AV142)</f>
        <v>744.92877875795466</v>
      </c>
      <c r="BA142" s="243">
        <f t="shared" ref="BA142:BA173" si="238">IF($Q142&gt;1,$W142*AW142,$V142*AW142)</f>
        <v>744.92877875795466</v>
      </c>
      <c r="BB142" s="243">
        <f>VLOOKUP($D142,'2018 Plan Data'!$A$4:$K$2000,6,FALSE)</f>
        <v>26</v>
      </c>
      <c r="BC142" s="243">
        <f>VLOOKUP($D142,'2018 Plan Data'!$A$4:$K$2000,7,FALSE)</f>
        <v>20</v>
      </c>
      <c r="BD142" s="243">
        <f>VLOOKUP($D142,'2018 Plan Data'!$A$4:$K$2000,8,FALSE)</f>
        <v>28</v>
      </c>
      <c r="BE142" s="243">
        <f>VLOOKUP($D142,'2018 Plan Data'!$A$4:$K$2000,9,FALSE)</f>
        <v>35</v>
      </c>
      <c r="BF142" s="243">
        <f t="shared" si="201"/>
        <v>0</v>
      </c>
      <c r="BG142" s="243">
        <f t="shared" si="202"/>
        <v>0</v>
      </c>
      <c r="BH142" s="243">
        <f t="shared" si="203"/>
        <v>0</v>
      </c>
      <c r="BI142" s="243">
        <f t="shared" si="204"/>
        <v>0</v>
      </c>
      <c r="BJ142" s="243">
        <f t="shared" si="205"/>
        <v>39206.77782936603</v>
      </c>
      <c r="BK142" s="243">
        <f t="shared" si="206"/>
        <v>30159.059868743101</v>
      </c>
      <c r="BL142" s="243">
        <f t="shared" si="207"/>
        <v>42222.683816240344</v>
      </c>
      <c r="BM142" s="243">
        <f t="shared" si="208"/>
        <v>52778.35477030043</v>
      </c>
      <c r="BN142" s="243">
        <f t="shared" si="209"/>
        <v>0</v>
      </c>
      <c r="BO142" s="243">
        <f t="shared" si="210"/>
        <v>0</v>
      </c>
      <c r="BP142" s="243">
        <f t="shared" si="211"/>
        <v>0</v>
      </c>
      <c r="BQ142" s="243">
        <f t="shared" si="212"/>
        <v>0</v>
      </c>
      <c r="BR142" s="243">
        <f t="shared" ref="BR142:BR173" si="239">IF((AX142*BB142)&gt;0,(AX142*BB142),0)</f>
        <v>19368.14824770682</v>
      </c>
      <c r="BS142" s="243">
        <f t="shared" ref="BS142:BS173" si="240">IF((AY142*BC142)&gt;0,(AY142*BC142),0)</f>
        <v>14898.575575159093</v>
      </c>
      <c r="BT142" s="243">
        <f t="shared" ref="BT142:BT173" si="241">IF((AZ142*BD142)&gt;0,(AZ142*BD142),0)</f>
        <v>20858.005805222732</v>
      </c>
      <c r="BU142" s="243">
        <f t="shared" ref="BU142:BU173" si="242">IF((BA142*BE142)&gt;0,(BA142*BE142),0)</f>
        <v>26072.507256528414</v>
      </c>
      <c r="BV142" s="600"/>
      <c r="BW142" s="314">
        <f>VLOOKUP($D142,'2018 Plan Data'!$A$4:$T$2000,13,FALSE)</f>
        <v>0</v>
      </c>
      <c r="BX142" s="314">
        <f>VLOOKUP($D142,'2018 Plan Data'!$A$4:$T$2000,14,FALSE)</f>
        <v>0</v>
      </c>
      <c r="BY142" s="314">
        <f>VLOOKUP($D142,'2018 Plan Data'!$A$4:$T$2000,15,FALSE)</f>
        <v>0</v>
      </c>
      <c r="BZ142" s="314">
        <f>VLOOKUP($D142,'2018 Plan Data'!$A$4:$T$2000,16,FALSE)</f>
        <v>0</v>
      </c>
      <c r="CA142" s="314">
        <f>IF(VLOOKUP($D142,'2018 Plan Data'!$A$4:$T$2000,17,FALSE)&gt;0,VLOOKUP($D142,'2018 Plan Data'!$A$4:$T$2000,17,FALSE),0)</f>
        <v>20511.769464839315</v>
      </c>
      <c r="CB142" s="314">
        <f>IF(VLOOKUP($D142,'2018 Plan Data'!$A$4:$T$2000,18,FALSE)&gt;0,VLOOKUP($D142,'2018 Plan Data'!$A$4:$T$2000,18,FALSE),0)</f>
        <v>15778.284203722551</v>
      </c>
      <c r="CC142" s="314">
        <f>IF(VLOOKUP($D142,'2018 Plan Data'!$A$4:$T$2000,19,FALSE)&gt;0,VLOOKUP($D142,'2018 Plan Data'!$A$4:$T$2000,19,FALSE),0)</f>
        <v>22089.597885211573</v>
      </c>
      <c r="CD142" s="314">
        <f>IF(VLOOKUP($D142,'2018 Plan Data'!$A$4:$T$2000,20,FALSE)&gt;0,VLOOKUP($D142,'2018 Plan Data'!$A$4:$T$2000,20,FALSE),0)</f>
        <v>27611.997356514465</v>
      </c>
      <c r="CE142" s="600" t="b">
        <f t="shared" si="213"/>
        <v>1</v>
      </c>
      <c r="CF142" s="600" t="b">
        <f t="shared" si="214"/>
        <v>1</v>
      </c>
      <c r="CG142" s="600" t="b">
        <f t="shared" si="215"/>
        <v>1</v>
      </c>
      <c r="CH142" s="600" t="b">
        <f t="shared" si="216"/>
        <v>1</v>
      </c>
      <c r="CI142" s="600" t="b">
        <f t="shared" si="217"/>
        <v>0</v>
      </c>
      <c r="CJ142" s="600" t="b">
        <f t="shared" si="218"/>
        <v>0</v>
      </c>
      <c r="CK142" s="600" t="b">
        <f t="shared" si="219"/>
        <v>0</v>
      </c>
      <c r="CL142" s="600" t="b">
        <f t="shared" si="220"/>
        <v>0</v>
      </c>
    </row>
    <row r="143" spans="1:90" ht="15" customHeight="1" x14ac:dyDescent="0.35">
      <c r="A143" s="585">
        <f t="shared" si="221"/>
        <v>65</v>
      </c>
      <c r="B143" s="585" t="str">
        <f t="shared" si="200"/>
        <v>Business_Standard</v>
      </c>
      <c r="C143" s="585"/>
      <c r="D143" s="585">
        <v>65</v>
      </c>
      <c r="E143" s="585" t="s">
        <v>1944</v>
      </c>
      <c r="F143" s="600" t="str">
        <f>VLOOKUP(G143,Sheet4!$D$6:$E$22,2,FALSE)</f>
        <v>Standard</v>
      </c>
      <c r="G143" s="585" t="s">
        <v>81</v>
      </c>
      <c r="H143" s="2336" t="s">
        <v>194</v>
      </c>
      <c r="J143" s="18" t="s">
        <v>100</v>
      </c>
      <c r="K143" s="72" t="str">
        <f>INDEX('Measure Codes'!$F$4:$F$821,MATCH(H143,'Measure Codes'!$D$4:$D$821,0))</f>
        <v>4.4.10</v>
      </c>
      <c r="L143" s="72" t="str">
        <f>INDEX('Measure Codes'!$G$4:$G$821,MATCH(H143,'Measure Codes'!$D$4:$D$821,0))</f>
        <v>CI-HVC-BOIL-V05-150601</v>
      </c>
      <c r="M143" s="600">
        <v>1</v>
      </c>
      <c r="O143" s="72" t="str">
        <f t="shared" si="222"/>
        <v>Gas</v>
      </c>
      <c r="P143" s="7">
        <f>VLOOKUP(D143,'2018 Plan Data'!$A$4:$K$1000,11,FALSE)</f>
        <v>20</v>
      </c>
      <c r="Q143" s="652">
        <f>VLOOKUP(D143,'2018 Plan Data'!$A$4:$L$1000,12,FALSE)</f>
        <v>0</v>
      </c>
      <c r="R143" s="314">
        <f>'BUS Measure-Model Summary'!D185</f>
        <v>0</v>
      </c>
      <c r="T143" s="314">
        <f>'BUS Measure-Model Summary'!E185</f>
        <v>0</v>
      </c>
      <c r="V143" s="314">
        <f>'BUS- BPH4 (TRM)'!C23</f>
        <v>1181.3609695386217</v>
      </c>
      <c r="X143" s="600"/>
      <c r="Y143" s="600"/>
      <c r="Z143" s="600"/>
      <c r="AA143" s="600"/>
      <c r="AB143" s="600"/>
      <c r="AC143" s="600"/>
      <c r="AD143" s="309">
        <f>INDEX('BUS Measure-Model Summary'!$I$6:$I$684,MATCH(H143,'BUS Measure-Model Summary'!$A$6:$A$684,0))</f>
        <v>0.55700000000000005</v>
      </c>
      <c r="AE143" s="309">
        <f t="shared" si="198"/>
        <v>0.55700000000000005</v>
      </c>
      <c r="AF143" s="309">
        <f t="shared" si="198"/>
        <v>0.55700000000000005</v>
      </c>
      <c r="AG143" s="309">
        <f t="shared" si="198"/>
        <v>0.55700000000000005</v>
      </c>
      <c r="AH143" s="314">
        <f t="shared" si="223"/>
        <v>0</v>
      </c>
      <c r="AI143" s="314">
        <f t="shared" si="224"/>
        <v>0</v>
      </c>
      <c r="AJ143" s="314">
        <f t="shared" si="225"/>
        <v>0</v>
      </c>
      <c r="AK143" s="314">
        <f t="shared" si="226"/>
        <v>0</v>
      </c>
      <c r="AL143" s="309">
        <f t="shared" si="227"/>
        <v>0.55700000000000005</v>
      </c>
      <c r="AM143" s="309">
        <f t="shared" si="228"/>
        <v>0.55700000000000005</v>
      </c>
      <c r="AN143" s="309">
        <f t="shared" si="229"/>
        <v>0.55700000000000005</v>
      </c>
      <c r="AO143" s="309">
        <f t="shared" si="230"/>
        <v>0.55700000000000005</v>
      </c>
      <c r="AP143" s="446">
        <f t="shared" si="231"/>
        <v>0</v>
      </c>
      <c r="AQ143" s="446">
        <f t="shared" si="232"/>
        <v>0</v>
      </c>
      <c r="AR143" s="446">
        <f t="shared" si="233"/>
        <v>0</v>
      </c>
      <c r="AS143" s="446">
        <f t="shared" si="234"/>
        <v>0</v>
      </c>
      <c r="AT143" s="309">
        <f>INDEX('BUS Measure-Model Summary'!$Y$6:$Y$684,MATCH(H143,'BUS Measure-Model Summary'!$A$6:$A$684,0))</f>
        <v>0.49399999999999999</v>
      </c>
      <c r="AU143" s="309">
        <f t="shared" si="199"/>
        <v>0.49399999999999999</v>
      </c>
      <c r="AV143" s="309">
        <f t="shared" si="199"/>
        <v>0.49399999999999999</v>
      </c>
      <c r="AW143" s="309">
        <f t="shared" si="199"/>
        <v>0.49399999999999999</v>
      </c>
      <c r="AX143" s="243">
        <f t="shared" si="235"/>
        <v>583.59231895207915</v>
      </c>
      <c r="AY143" s="243">
        <f t="shared" si="236"/>
        <v>583.59231895207915</v>
      </c>
      <c r="AZ143" s="243">
        <f t="shared" si="237"/>
        <v>583.59231895207915</v>
      </c>
      <c r="BA143" s="243">
        <f t="shared" si="238"/>
        <v>583.59231895207915</v>
      </c>
      <c r="BB143" s="243">
        <f>VLOOKUP($D143,'2018 Plan Data'!$A$4:$K$2000,6,FALSE)</f>
        <v>30</v>
      </c>
      <c r="BC143" s="243">
        <f>VLOOKUP($D143,'2018 Plan Data'!$A$4:$K$2000,7,FALSE)</f>
        <v>24</v>
      </c>
      <c r="BD143" s="243">
        <f>VLOOKUP($D143,'2018 Plan Data'!$A$4:$K$2000,8,FALSE)</f>
        <v>29</v>
      </c>
      <c r="BE143" s="243">
        <f>VLOOKUP($D143,'2018 Plan Data'!$A$4:$K$2000,9,FALSE)</f>
        <v>33</v>
      </c>
      <c r="BF143" s="243">
        <f t="shared" si="201"/>
        <v>0</v>
      </c>
      <c r="BG143" s="243">
        <f t="shared" si="202"/>
        <v>0</v>
      </c>
      <c r="BH143" s="243">
        <f t="shared" si="203"/>
        <v>0</v>
      </c>
      <c r="BI143" s="243">
        <f t="shared" si="204"/>
        <v>0</v>
      </c>
      <c r="BJ143" s="243">
        <f t="shared" si="205"/>
        <v>35440.82908615865</v>
      </c>
      <c r="BK143" s="243">
        <f t="shared" si="206"/>
        <v>28352.663268926921</v>
      </c>
      <c r="BL143" s="243">
        <f t="shared" si="207"/>
        <v>34259.468116620032</v>
      </c>
      <c r="BM143" s="243">
        <f t="shared" si="208"/>
        <v>38984.911994774513</v>
      </c>
      <c r="BN143" s="243">
        <f t="shared" si="209"/>
        <v>0</v>
      </c>
      <c r="BO143" s="243">
        <f t="shared" si="210"/>
        <v>0</v>
      </c>
      <c r="BP143" s="243">
        <f t="shared" si="211"/>
        <v>0</v>
      </c>
      <c r="BQ143" s="243">
        <f t="shared" si="212"/>
        <v>0</v>
      </c>
      <c r="BR143" s="243">
        <f t="shared" si="239"/>
        <v>17507.769568562373</v>
      </c>
      <c r="BS143" s="243">
        <f t="shared" si="240"/>
        <v>14006.215654849901</v>
      </c>
      <c r="BT143" s="243">
        <f t="shared" si="241"/>
        <v>16924.177249610297</v>
      </c>
      <c r="BU143" s="243">
        <f t="shared" si="242"/>
        <v>19258.546525418613</v>
      </c>
      <c r="BV143" s="600"/>
      <c r="BW143" s="314">
        <f>VLOOKUP($D143,'2018 Plan Data'!$A$4:$T$2000,13,FALSE)</f>
        <v>0</v>
      </c>
      <c r="BX143" s="314">
        <f>VLOOKUP($D143,'2018 Plan Data'!$A$4:$T$2000,14,FALSE)</f>
        <v>0</v>
      </c>
      <c r="BY143" s="314">
        <f>VLOOKUP($D143,'2018 Plan Data'!$A$4:$T$2000,15,FALSE)</f>
        <v>0</v>
      </c>
      <c r="BZ143" s="314">
        <f>VLOOKUP($D143,'2018 Plan Data'!$A$4:$T$2000,16,FALSE)</f>
        <v>0</v>
      </c>
      <c r="CA143" s="314">
        <f>IF(VLOOKUP($D143,'2018 Plan Data'!$A$4:$T$2000,17,FALSE)&gt;0,VLOOKUP($D143,'2018 Plan Data'!$A$4:$T$2000,17,FALSE),0)</f>
        <v>15880.727067839849</v>
      </c>
      <c r="CB143" s="314">
        <f>IF(VLOOKUP($D143,'2018 Plan Data'!$A$4:$T$2000,18,FALSE)&gt;0,VLOOKUP($D143,'2018 Plan Data'!$A$4:$T$2000,18,FALSE),0)</f>
        <v>12704.581654271879</v>
      </c>
      <c r="CC143" s="314">
        <f>IF(VLOOKUP($D143,'2018 Plan Data'!$A$4:$T$2000,19,FALSE)&gt;0,VLOOKUP($D143,'2018 Plan Data'!$A$4:$T$2000,19,FALSE),0)</f>
        <v>15351.369498911854</v>
      </c>
      <c r="CD143" s="314">
        <f>IF(VLOOKUP($D143,'2018 Plan Data'!$A$4:$T$2000,20,FALSE)&gt;0,VLOOKUP($D143,'2018 Plan Data'!$A$4:$T$2000,20,FALSE),0)</f>
        <v>17468.799774623832</v>
      </c>
      <c r="CE143" s="600" t="b">
        <f t="shared" si="213"/>
        <v>1</v>
      </c>
      <c r="CF143" s="600" t="b">
        <f t="shared" si="214"/>
        <v>1</v>
      </c>
      <c r="CG143" s="600" t="b">
        <f t="shared" si="215"/>
        <v>1</v>
      </c>
      <c r="CH143" s="600" t="b">
        <f t="shared" si="216"/>
        <v>1</v>
      </c>
      <c r="CI143" s="600" t="b">
        <f t="shared" si="217"/>
        <v>0</v>
      </c>
      <c r="CJ143" s="600" t="b">
        <f t="shared" si="218"/>
        <v>0</v>
      </c>
      <c r="CK143" s="600" t="b">
        <f t="shared" si="219"/>
        <v>0</v>
      </c>
      <c r="CL143" s="600" t="b">
        <f t="shared" si="220"/>
        <v>0</v>
      </c>
    </row>
    <row r="144" spans="1:90" ht="15" customHeight="1" x14ac:dyDescent="0.35">
      <c r="A144" s="585">
        <f t="shared" si="221"/>
        <v>68</v>
      </c>
      <c r="B144" s="600" t="str">
        <f t="shared" si="200"/>
        <v>Business_Standard</v>
      </c>
      <c r="C144" s="600"/>
      <c r="D144">
        <v>68</v>
      </c>
      <c r="E144" s="600" t="s">
        <v>1944</v>
      </c>
      <c r="F144" s="600" t="str">
        <f>VLOOKUP(G144,Sheet4!$D$6:$E$22,2,FALSE)</f>
        <v>Standard</v>
      </c>
      <c r="G144" t="s">
        <v>81</v>
      </c>
      <c r="H144" s="296" t="s">
        <v>195</v>
      </c>
      <c r="J144" s="18" t="s">
        <v>100</v>
      </c>
      <c r="K144" s="72" t="str">
        <f>INDEX('Measure Codes'!$F$4:$F$821,MATCH(H144,'Measure Codes'!$D$4:$D$821,0))</f>
        <v>4.4.11</v>
      </c>
      <c r="L144" s="72" t="str">
        <f>INDEX('Measure Codes'!$G$4:$G$821,MATCH(H144,'Measure Codes'!$D$4:$D$821,0))</f>
        <v>CI-HVC-FRNC-V07-180101</v>
      </c>
      <c r="M144" s="600">
        <v>1</v>
      </c>
      <c r="O144" s="72" t="str">
        <f t="shared" si="222"/>
        <v>Dual Fuel</v>
      </c>
      <c r="P144" s="7">
        <f>VLOOKUP(D144,'2018 Plan Data'!$A$4:$K$1000,11,FALSE)</f>
        <v>16.5</v>
      </c>
      <c r="Q144" s="652">
        <f>VLOOKUP(D144,'2018 Plan Data'!$A$4:$L$1000,12,FALSE)</f>
        <v>0</v>
      </c>
      <c r="R144" s="314">
        <f>'BUS - BPH7 (TRM)'!C24</f>
        <v>705.91923714759537</v>
      </c>
      <c r="T144" s="314">
        <f>'BUS - BPH7 (TRM)'!C25</f>
        <v>0.11911992211259753</v>
      </c>
      <c r="V144" s="314">
        <f>'BUS - BPH7 (TRM)'!C26</f>
        <v>301.15827607647219</v>
      </c>
      <c r="AD144" s="309">
        <f>INDEX('BUS Measure-Model Summary'!$I$6:$I$684,MATCH(H144,'BUS Measure-Model Summary'!$A$6:$A$684,0))</f>
        <v>0.55700000000000005</v>
      </c>
      <c r="AE144" s="309">
        <f t="shared" si="198"/>
        <v>0.55700000000000005</v>
      </c>
      <c r="AF144" s="309">
        <f t="shared" si="198"/>
        <v>0.55700000000000005</v>
      </c>
      <c r="AG144" s="309">
        <f t="shared" si="198"/>
        <v>0.55700000000000005</v>
      </c>
      <c r="AH144" s="314">
        <f t="shared" si="223"/>
        <v>393.19701509121063</v>
      </c>
      <c r="AI144" s="314">
        <f t="shared" si="224"/>
        <v>393.19701509121063</v>
      </c>
      <c r="AJ144" s="314">
        <f t="shared" si="225"/>
        <v>393.19701509121063</v>
      </c>
      <c r="AK144" s="314">
        <f t="shared" si="226"/>
        <v>393.19701509121063</v>
      </c>
      <c r="AL144" s="309">
        <f t="shared" si="227"/>
        <v>0.55700000000000005</v>
      </c>
      <c r="AM144" s="309">
        <f t="shared" si="228"/>
        <v>0.55700000000000005</v>
      </c>
      <c r="AN144" s="309">
        <f t="shared" si="229"/>
        <v>0.55700000000000005</v>
      </c>
      <c r="AO144" s="309">
        <f t="shared" si="230"/>
        <v>0.55700000000000005</v>
      </c>
      <c r="AP144" s="446">
        <f t="shared" si="231"/>
        <v>6.6349796616716833E-2</v>
      </c>
      <c r="AQ144" s="446">
        <f t="shared" si="232"/>
        <v>6.6349796616716833E-2</v>
      </c>
      <c r="AR144" s="446">
        <f t="shared" si="233"/>
        <v>6.6349796616716833E-2</v>
      </c>
      <c r="AS144" s="446">
        <f t="shared" si="234"/>
        <v>6.6349796616716833E-2</v>
      </c>
      <c r="AT144" s="309">
        <f>INDEX('BUS Measure-Model Summary'!$Y$6:$Y$684,MATCH(H144,'BUS Measure-Model Summary'!$A$6:$A$684,0))</f>
        <v>0.49399999999999999</v>
      </c>
      <c r="AU144" s="309">
        <f t="shared" si="199"/>
        <v>0.49399999999999999</v>
      </c>
      <c r="AV144" s="309">
        <f t="shared" si="199"/>
        <v>0.49399999999999999</v>
      </c>
      <c r="AW144" s="309">
        <f t="shared" si="199"/>
        <v>0.49399999999999999</v>
      </c>
      <c r="AX144" s="243">
        <f t="shared" si="235"/>
        <v>148.77218838177726</v>
      </c>
      <c r="AY144" s="243">
        <f t="shared" si="236"/>
        <v>148.77218838177726</v>
      </c>
      <c r="AZ144" s="243">
        <f t="shared" si="237"/>
        <v>148.77218838177726</v>
      </c>
      <c r="BA144" s="243">
        <f t="shared" si="238"/>
        <v>148.77218838177726</v>
      </c>
      <c r="BB144" s="652">
        <f>VLOOKUP($D144,'2018 Plan Data'!$A$4:$K$2000,6,FALSE)</f>
        <v>60</v>
      </c>
      <c r="BC144" s="243">
        <f>VLOOKUP($D144,'2018 Plan Data'!$A$4:$K$2000,7,FALSE)</f>
        <v>55</v>
      </c>
      <c r="BD144" s="243">
        <f>VLOOKUP($D144,'2018 Plan Data'!$A$4:$K$2000,8,FALSE)</f>
        <v>60</v>
      </c>
      <c r="BE144" s="243">
        <f>VLOOKUP($D144,'2018 Plan Data'!$A$4:$K$2000,9,FALSE)</f>
        <v>60</v>
      </c>
      <c r="BF144" s="243">
        <f t="shared" si="201"/>
        <v>42355.154228855725</v>
      </c>
      <c r="BG144" s="243">
        <f t="shared" si="202"/>
        <v>38825.558043117744</v>
      </c>
      <c r="BH144" s="243">
        <f t="shared" si="203"/>
        <v>42355.154228855725</v>
      </c>
      <c r="BI144" s="243">
        <f t="shared" si="204"/>
        <v>42355.154228855725</v>
      </c>
      <c r="BJ144" s="243">
        <f t="shared" si="205"/>
        <v>18069.496564588331</v>
      </c>
      <c r="BK144" s="243">
        <f t="shared" si="206"/>
        <v>16563.70518420597</v>
      </c>
      <c r="BL144" s="243">
        <f t="shared" si="207"/>
        <v>18069.496564588331</v>
      </c>
      <c r="BM144" s="243">
        <f t="shared" si="208"/>
        <v>18069.496564588331</v>
      </c>
      <c r="BN144" s="243">
        <f t="shared" si="209"/>
        <v>23591.820905472639</v>
      </c>
      <c r="BO144" s="243">
        <f t="shared" si="210"/>
        <v>21625.835830016586</v>
      </c>
      <c r="BP144" s="243">
        <f t="shared" si="211"/>
        <v>23591.820905472639</v>
      </c>
      <c r="BQ144" s="243">
        <f t="shared" si="212"/>
        <v>23591.820905472639</v>
      </c>
      <c r="BR144" s="243">
        <f t="shared" si="239"/>
        <v>8926.3313029066358</v>
      </c>
      <c r="BS144" s="243">
        <f t="shared" si="240"/>
        <v>8182.4703609977487</v>
      </c>
      <c r="BT144" s="243">
        <f t="shared" si="241"/>
        <v>8926.3313029066358</v>
      </c>
      <c r="BU144" s="243">
        <f t="shared" si="242"/>
        <v>8926.3313029066358</v>
      </c>
      <c r="BV144" s="600"/>
      <c r="BW144" s="314">
        <f>VLOOKUP($D144,'2018 Plan Data'!$A$4:$T$2000,13,FALSE)</f>
        <v>23591.820905472639</v>
      </c>
      <c r="BX144" s="314">
        <f>VLOOKUP($D144,'2018 Plan Data'!$A$4:$T$2000,14,FALSE)</f>
        <v>21625.835830016586</v>
      </c>
      <c r="BY144" s="314">
        <f>VLOOKUP($D144,'2018 Plan Data'!$A$4:$T$2000,15,FALSE)</f>
        <v>23591.820905472639</v>
      </c>
      <c r="BZ144" s="314">
        <f>VLOOKUP($D144,'2018 Plan Data'!$A$4:$T$2000,16,FALSE)</f>
        <v>23591.820905472639</v>
      </c>
      <c r="CA144" s="314">
        <f>IF(VLOOKUP($D144,'2018 Plan Data'!$A$4:$T$2000,17,FALSE)&gt;0,VLOOKUP($D144,'2018 Plan Data'!$A$4:$T$2000,17,FALSE),0)</f>
        <v>6784.268526774199</v>
      </c>
      <c r="CB144" s="314">
        <f>IF(VLOOKUP($D144,'2018 Plan Data'!$A$4:$T$2000,18,FALSE)&gt;0,VLOOKUP($D144,'2018 Plan Data'!$A$4:$T$2000,18,FALSE),0)</f>
        <v>6218.9128162096822</v>
      </c>
      <c r="CC144" s="314">
        <f>IF(VLOOKUP($D144,'2018 Plan Data'!$A$4:$T$2000,19,FALSE)&gt;0,VLOOKUP($D144,'2018 Plan Data'!$A$4:$T$2000,19,FALSE),0)</f>
        <v>6784.268526774199</v>
      </c>
      <c r="CD144" s="314">
        <f>IF(VLOOKUP($D144,'2018 Plan Data'!$A$4:$T$2000,20,FALSE)&gt;0,VLOOKUP($D144,'2018 Plan Data'!$A$4:$T$2000,20,FALSE),0)</f>
        <v>6784.268526774199</v>
      </c>
      <c r="CE144" s="600" t="b">
        <f t="shared" si="213"/>
        <v>1</v>
      </c>
      <c r="CF144" s="600" t="b">
        <f t="shared" si="214"/>
        <v>1</v>
      </c>
      <c r="CG144" s="600" t="b">
        <f t="shared" si="215"/>
        <v>1</v>
      </c>
      <c r="CH144" s="600" t="b">
        <f t="shared" si="216"/>
        <v>1</v>
      </c>
      <c r="CI144" s="600" t="b">
        <f t="shared" si="217"/>
        <v>0</v>
      </c>
      <c r="CJ144" s="600" t="b">
        <f t="shared" si="218"/>
        <v>0</v>
      </c>
      <c r="CK144" s="600" t="b">
        <f t="shared" si="219"/>
        <v>0</v>
      </c>
      <c r="CL144" s="600" t="b">
        <f t="shared" si="220"/>
        <v>0</v>
      </c>
    </row>
    <row r="145" spans="1:349" ht="15" customHeight="1" x14ac:dyDescent="0.35">
      <c r="A145" s="585">
        <f t="shared" si="221"/>
        <v>236</v>
      </c>
      <c r="B145" s="600" t="str">
        <f t="shared" si="200"/>
        <v>Business_Standard</v>
      </c>
      <c r="C145" s="600"/>
      <c r="D145">
        <v>236</v>
      </c>
      <c r="E145" s="600" t="s">
        <v>1944</v>
      </c>
      <c r="F145" s="600" t="str">
        <f>VLOOKUP(G145,Sheet4!$D$6:$E$22,2,FALSE)</f>
        <v>Standard</v>
      </c>
      <c r="G145" s="600" t="s">
        <v>81</v>
      </c>
      <c r="H145" s="296" t="s">
        <v>196</v>
      </c>
      <c r="J145" s="18" t="s">
        <v>15</v>
      </c>
      <c r="K145" s="72" t="str">
        <f>INDEX('Measure Codes'!$F$4:$F$821,MATCH(H145,'Measure Codes'!$D$4:$D$821,0))</f>
        <v>4.3.5</v>
      </c>
      <c r="L145" s="72" t="str">
        <f>INDEX('Measure Codes'!$G$4:$G$821,MATCH(H145,'Measure Codes'!$D$4:$D$821,0))</f>
        <v>CI-HWE-TKWH-V03-160601</v>
      </c>
      <c r="M145" s="600">
        <v>1</v>
      </c>
      <c r="O145" s="72" t="str">
        <f t="shared" si="222"/>
        <v>Gas</v>
      </c>
      <c r="P145" s="7">
        <f>VLOOKUP(D145,'2018 Plan Data'!$A$4:$K$1000,11,FALSE)</f>
        <v>20</v>
      </c>
      <c r="Q145" s="652">
        <f>VLOOKUP(D145,'2018 Plan Data'!$A$4:$L$1000,12,FALSE)</f>
        <v>0</v>
      </c>
      <c r="R145" s="314">
        <v>0</v>
      </c>
      <c r="T145" s="314">
        <v>0</v>
      </c>
      <c r="V145" s="314">
        <f>'BUS Measure-Model Summary'!F188</f>
        <v>172.09</v>
      </c>
      <c r="AD145" s="309">
        <f>INDEX('BUS Measure-Model Summary'!$I$6:$I$684,MATCH(H145,'BUS Measure-Model Summary'!$A$6:$A$684,0))</f>
        <v>0.55700000000000005</v>
      </c>
      <c r="AE145" s="309">
        <f t="shared" si="198"/>
        <v>0.55700000000000005</v>
      </c>
      <c r="AF145" s="309">
        <f t="shared" si="198"/>
        <v>0.55700000000000005</v>
      </c>
      <c r="AG145" s="309">
        <f t="shared" si="198"/>
        <v>0.55700000000000005</v>
      </c>
      <c r="AH145" s="314">
        <f t="shared" si="223"/>
        <v>0</v>
      </c>
      <c r="AI145" s="314">
        <f t="shared" si="224"/>
        <v>0</v>
      </c>
      <c r="AJ145" s="314">
        <f t="shared" si="225"/>
        <v>0</v>
      </c>
      <c r="AK145" s="314">
        <f t="shared" si="226"/>
        <v>0</v>
      </c>
      <c r="AL145" s="309">
        <f t="shared" si="227"/>
        <v>0.55700000000000005</v>
      </c>
      <c r="AM145" s="309">
        <f t="shared" si="228"/>
        <v>0.55700000000000005</v>
      </c>
      <c r="AN145" s="309">
        <f t="shared" si="229"/>
        <v>0.55700000000000005</v>
      </c>
      <c r="AO145" s="309">
        <f t="shared" si="230"/>
        <v>0.55700000000000005</v>
      </c>
      <c r="AP145" s="446">
        <f t="shared" si="231"/>
        <v>0</v>
      </c>
      <c r="AQ145" s="446">
        <f t="shared" si="232"/>
        <v>0</v>
      </c>
      <c r="AR145" s="446">
        <f t="shared" si="233"/>
        <v>0</v>
      </c>
      <c r="AS145" s="446">
        <f t="shared" si="234"/>
        <v>0</v>
      </c>
      <c r="AT145" s="309">
        <f>INDEX('BUS Measure-Model Summary'!$Y$6:$Y$684,MATCH(H145,'BUS Measure-Model Summary'!$A$6:$A$684,0))</f>
        <v>0.49399999999999999</v>
      </c>
      <c r="AU145" s="309">
        <f t="shared" si="199"/>
        <v>0.49399999999999999</v>
      </c>
      <c r="AV145" s="309">
        <f t="shared" si="199"/>
        <v>0.49399999999999999</v>
      </c>
      <c r="AW145" s="309">
        <f t="shared" si="199"/>
        <v>0.49399999999999999</v>
      </c>
      <c r="AX145" s="243">
        <f t="shared" si="235"/>
        <v>85.012460000000004</v>
      </c>
      <c r="AY145" s="243">
        <f t="shared" si="236"/>
        <v>85.012460000000004</v>
      </c>
      <c r="AZ145" s="243">
        <f t="shared" si="237"/>
        <v>85.012460000000004</v>
      </c>
      <c r="BA145" s="243">
        <f t="shared" si="238"/>
        <v>85.012460000000004</v>
      </c>
      <c r="BB145" s="243">
        <f>VLOOKUP($D145,'2018 Plan Data'!$A$4:$K$2000,6,FALSE)</f>
        <v>15</v>
      </c>
      <c r="BC145" s="243">
        <f>VLOOKUP($D145,'2018 Plan Data'!$A$4:$K$2000,7,FALSE)</f>
        <v>12</v>
      </c>
      <c r="BD145" s="243">
        <f>VLOOKUP($D145,'2018 Plan Data'!$A$4:$K$2000,8,FALSE)</f>
        <v>15</v>
      </c>
      <c r="BE145" s="243">
        <f>VLOOKUP($D145,'2018 Plan Data'!$A$4:$K$2000,9,FALSE)</f>
        <v>15</v>
      </c>
      <c r="BF145" s="243">
        <f t="shared" si="201"/>
        <v>0</v>
      </c>
      <c r="BG145" s="243">
        <f t="shared" si="202"/>
        <v>0</v>
      </c>
      <c r="BH145" s="243">
        <f t="shared" si="203"/>
        <v>0</v>
      </c>
      <c r="BI145" s="243">
        <f t="shared" si="204"/>
        <v>0</v>
      </c>
      <c r="BJ145" s="243">
        <f t="shared" si="205"/>
        <v>2581.35</v>
      </c>
      <c r="BK145" s="243">
        <f t="shared" si="206"/>
        <v>2065.08</v>
      </c>
      <c r="BL145" s="243">
        <f t="shared" si="207"/>
        <v>2581.35</v>
      </c>
      <c r="BM145" s="243">
        <f t="shared" si="208"/>
        <v>2581.35</v>
      </c>
      <c r="BN145" s="243">
        <f t="shared" si="209"/>
        <v>0</v>
      </c>
      <c r="BO145" s="243">
        <f t="shared" si="210"/>
        <v>0</v>
      </c>
      <c r="BP145" s="243">
        <f t="shared" si="211"/>
        <v>0</v>
      </c>
      <c r="BQ145" s="243">
        <f t="shared" si="212"/>
        <v>0</v>
      </c>
      <c r="BR145" s="243">
        <f t="shared" si="239"/>
        <v>1275.1869000000002</v>
      </c>
      <c r="BS145" s="243">
        <f t="shared" si="240"/>
        <v>1020.1495200000001</v>
      </c>
      <c r="BT145" s="243">
        <f t="shared" si="241"/>
        <v>1275.1869000000002</v>
      </c>
      <c r="BU145" s="243">
        <f t="shared" si="242"/>
        <v>1275.1869000000002</v>
      </c>
      <c r="BV145" s="600"/>
      <c r="BW145" s="314">
        <f>VLOOKUP($D145,'2018 Plan Data'!$A$4:$T$2000,13,FALSE)</f>
        <v>0</v>
      </c>
      <c r="BX145" s="314">
        <f>VLOOKUP($D145,'2018 Plan Data'!$A$4:$T$2000,14,FALSE)</f>
        <v>0</v>
      </c>
      <c r="BY145" s="314">
        <f>VLOOKUP($D145,'2018 Plan Data'!$A$4:$T$2000,15,FALSE)</f>
        <v>0</v>
      </c>
      <c r="BZ145" s="314">
        <f>VLOOKUP($D145,'2018 Plan Data'!$A$4:$T$2000,16,FALSE)</f>
        <v>0</v>
      </c>
      <c r="CA145" s="314">
        <f>IF(VLOOKUP($D145,'2018 Plan Data'!$A$4:$T$2000,17,FALSE)&gt;0,VLOOKUP($D145,'2018 Plan Data'!$A$4:$T$2000,17,FALSE),0)</f>
        <v>1275.1869000000002</v>
      </c>
      <c r="CB145" s="314">
        <f>IF(VLOOKUP($D145,'2018 Plan Data'!$A$4:$T$2000,18,FALSE)&gt;0,VLOOKUP($D145,'2018 Plan Data'!$A$4:$T$2000,18,FALSE),0)</f>
        <v>1020.1495200000001</v>
      </c>
      <c r="CC145" s="314">
        <f>IF(VLOOKUP($D145,'2018 Plan Data'!$A$4:$T$2000,19,FALSE)&gt;0,VLOOKUP($D145,'2018 Plan Data'!$A$4:$T$2000,19,FALSE),0)</f>
        <v>1275.1869000000002</v>
      </c>
      <c r="CD145" s="314">
        <f>IF(VLOOKUP($D145,'2018 Plan Data'!$A$4:$T$2000,20,FALSE)&gt;0,VLOOKUP($D145,'2018 Plan Data'!$A$4:$T$2000,20,FALSE),0)</f>
        <v>1275.1869000000002</v>
      </c>
      <c r="CE145" s="600" t="b">
        <f t="shared" si="213"/>
        <v>1</v>
      </c>
      <c r="CF145" s="600" t="b">
        <f t="shared" si="214"/>
        <v>1</v>
      </c>
      <c r="CG145" s="600" t="b">
        <f t="shared" si="215"/>
        <v>1</v>
      </c>
      <c r="CH145" s="600" t="b">
        <f t="shared" si="216"/>
        <v>1</v>
      </c>
      <c r="CI145" s="600" t="b">
        <f t="shared" si="217"/>
        <v>1</v>
      </c>
      <c r="CJ145" s="600" t="b">
        <f t="shared" si="218"/>
        <v>1</v>
      </c>
      <c r="CK145" s="600" t="b">
        <f t="shared" si="219"/>
        <v>1</v>
      </c>
      <c r="CL145" s="600" t="b">
        <f t="shared" si="220"/>
        <v>1</v>
      </c>
    </row>
    <row r="146" spans="1:349" ht="15" customHeight="1" x14ac:dyDescent="0.35">
      <c r="A146" s="585">
        <f t="shared" si="221"/>
        <v>233</v>
      </c>
      <c r="B146" s="600" t="str">
        <f t="shared" si="200"/>
        <v>Business_Standard</v>
      </c>
      <c r="C146" s="600"/>
      <c r="D146">
        <v>233</v>
      </c>
      <c r="E146" s="600" t="s">
        <v>1944</v>
      </c>
      <c r="F146" s="600" t="str">
        <f>VLOOKUP(G146,Sheet4!$D$6:$E$22,2,FALSE)</f>
        <v>Standard</v>
      </c>
      <c r="G146" t="s">
        <v>81</v>
      </c>
      <c r="H146" s="296" t="s">
        <v>197</v>
      </c>
      <c r="J146" s="18" t="s">
        <v>15</v>
      </c>
      <c r="K146" s="72" t="str">
        <f>INDEX('Measure Codes'!$F$4:$F$821,MATCH(H146,'Measure Codes'!$D$4:$D$821,0))</f>
        <v>4.3.1</v>
      </c>
      <c r="L146" s="72" t="str">
        <f>INDEX('Measure Codes'!$G$4:$G$821,MATCH(H146,'Measure Codes'!$D$4:$D$821,0))</f>
        <v>CI-HWE-STWH-V03-180101</v>
      </c>
      <c r="M146" s="600">
        <v>1</v>
      </c>
      <c r="O146" s="72" t="str">
        <f t="shared" si="222"/>
        <v>Gas</v>
      </c>
      <c r="P146" s="7">
        <f>VLOOKUP(D146,'2018 Plan Data'!$A$4:$K$1000,11,FALSE)</f>
        <v>15</v>
      </c>
      <c r="Q146" s="652">
        <f>VLOOKUP(D146,'2018 Plan Data'!$A$4:$L$1000,12,FALSE)</f>
        <v>0</v>
      </c>
      <c r="R146" s="314">
        <v>0</v>
      </c>
      <c r="T146" s="314">
        <v>0</v>
      </c>
      <c r="V146" s="314">
        <f>V178</f>
        <v>260.01075890667784</v>
      </c>
      <c r="AD146" s="309">
        <f>INDEX('BUS Measure-Model Summary'!$I$6:$I$684,MATCH(H146,'BUS Measure-Model Summary'!$A$6:$A$684,0))</f>
        <v>0.55700000000000005</v>
      </c>
      <c r="AE146" s="309">
        <f t="shared" si="198"/>
        <v>0.55700000000000005</v>
      </c>
      <c r="AF146" s="309">
        <f t="shared" si="198"/>
        <v>0.55700000000000005</v>
      </c>
      <c r="AG146" s="309">
        <f t="shared" si="198"/>
        <v>0.55700000000000005</v>
      </c>
      <c r="AH146" s="314">
        <f t="shared" si="223"/>
        <v>0</v>
      </c>
      <c r="AI146" s="314">
        <f t="shared" si="224"/>
        <v>0</v>
      </c>
      <c r="AJ146" s="314">
        <f t="shared" si="225"/>
        <v>0</v>
      </c>
      <c r="AK146" s="314">
        <f t="shared" si="226"/>
        <v>0</v>
      </c>
      <c r="AL146" s="309">
        <f t="shared" si="227"/>
        <v>0.55700000000000005</v>
      </c>
      <c r="AM146" s="309">
        <f t="shared" si="228"/>
        <v>0.55700000000000005</v>
      </c>
      <c r="AN146" s="309">
        <f t="shared" si="229"/>
        <v>0.55700000000000005</v>
      </c>
      <c r="AO146" s="309">
        <f t="shared" si="230"/>
        <v>0.55700000000000005</v>
      </c>
      <c r="AP146" s="446">
        <f t="shared" si="231"/>
        <v>0</v>
      </c>
      <c r="AQ146" s="446">
        <f t="shared" si="232"/>
        <v>0</v>
      </c>
      <c r="AR146" s="446">
        <f t="shared" si="233"/>
        <v>0</v>
      </c>
      <c r="AS146" s="446">
        <f t="shared" si="234"/>
        <v>0</v>
      </c>
      <c r="AT146" s="309">
        <f>INDEX('BUS Measure-Model Summary'!$Y$6:$Y$684,MATCH(H146,'BUS Measure-Model Summary'!$A$6:$A$684,0))</f>
        <v>0.49399999999999999</v>
      </c>
      <c r="AU146" s="309">
        <f t="shared" si="199"/>
        <v>0.49399999999999999</v>
      </c>
      <c r="AV146" s="309">
        <f t="shared" si="199"/>
        <v>0.49399999999999999</v>
      </c>
      <c r="AW146" s="309">
        <f t="shared" si="199"/>
        <v>0.49399999999999999</v>
      </c>
      <c r="AX146" s="243">
        <f t="shared" si="235"/>
        <v>128.44531489989885</v>
      </c>
      <c r="AY146" s="243">
        <f t="shared" si="236"/>
        <v>128.44531489989885</v>
      </c>
      <c r="AZ146" s="243">
        <f t="shared" si="237"/>
        <v>128.44531489989885</v>
      </c>
      <c r="BA146" s="243">
        <f t="shared" si="238"/>
        <v>128.44531489989885</v>
      </c>
      <c r="BB146" s="243">
        <f>VLOOKUP($D146,'2018 Plan Data'!$A$4:$K$2000,6,FALSE)</f>
        <v>35</v>
      </c>
      <c r="BC146" s="243">
        <f>VLOOKUP($D146,'2018 Plan Data'!$A$4:$K$2000,7,FALSE)</f>
        <v>30</v>
      </c>
      <c r="BD146" s="243">
        <f>VLOOKUP($D146,'2018 Plan Data'!$A$4:$K$2000,8,FALSE)</f>
        <v>42</v>
      </c>
      <c r="BE146" s="243">
        <f>VLOOKUP($D146,'2018 Plan Data'!$A$4:$K$2000,9,FALSE)</f>
        <v>42</v>
      </c>
      <c r="BF146" s="243">
        <f t="shared" si="201"/>
        <v>0</v>
      </c>
      <c r="BG146" s="243">
        <f t="shared" si="202"/>
        <v>0</v>
      </c>
      <c r="BH146" s="243">
        <f t="shared" si="203"/>
        <v>0</v>
      </c>
      <c r="BI146" s="243">
        <f t="shared" si="204"/>
        <v>0</v>
      </c>
      <c r="BJ146" s="243">
        <f t="shared" si="205"/>
        <v>9100.3765617337249</v>
      </c>
      <c r="BK146" s="243">
        <f t="shared" si="206"/>
        <v>7800.322767200335</v>
      </c>
      <c r="BL146" s="243">
        <f t="shared" si="207"/>
        <v>10920.451874080469</v>
      </c>
      <c r="BM146" s="243">
        <f t="shared" si="208"/>
        <v>10920.451874080469</v>
      </c>
      <c r="BN146" s="243">
        <f t="shared" si="209"/>
        <v>0</v>
      </c>
      <c r="BO146" s="243">
        <f t="shared" si="210"/>
        <v>0</v>
      </c>
      <c r="BP146" s="243">
        <f t="shared" si="211"/>
        <v>0</v>
      </c>
      <c r="BQ146" s="243">
        <f t="shared" si="212"/>
        <v>0</v>
      </c>
      <c r="BR146" s="243">
        <f t="shared" si="239"/>
        <v>4495.5860214964596</v>
      </c>
      <c r="BS146" s="243">
        <f t="shared" si="240"/>
        <v>3853.3594469969653</v>
      </c>
      <c r="BT146" s="243">
        <f t="shared" si="241"/>
        <v>5394.7032257957517</v>
      </c>
      <c r="BU146" s="243">
        <f t="shared" si="242"/>
        <v>5394.7032257957517</v>
      </c>
      <c r="BV146" s="600"/>
      <c r="BW146" s="314">
        <f>VLOOKUP($D146,'2018 Plan Data'!$A$4:$T$2000,13,FALSE)</f>
        <v>0</v>
      </c>
      <c r="BX146" s="314">
        <f>VLOOKUP($D146,'2018 Plan Data'!$A$4:$T$2000,14,FALSE)</f>
        <v>0</v>
      </c>
      <c r="BY146" s="314">
        <f>VLOOKUP($D146,'2018 Plan Data'!$A$4:$T$2000,15,FALSE)</f>
        <v>0</v>
      </c>
      <c r="BZ146" s="314">
        <f>VLOOKUP($D146,'2018 Plan Data'!$A$4:$T$2000,16,FALSE)</f>
        <v>0</v>
      </c>
      <c r="CA146" s="314">
        <f>IF(VLOOKUP($D146,'2018 Plan Data'!$A$4:$T$2000,17,FALSE)&gt;0,VLOOKUP($D146,'2018 Plan Data'!$A$4:$T$2000,17,FALSE),0)</f>
        <v>1304.4777432210697</v>
      </c>
      <c r="CB146" s="314">
        <f>IF(VLOOKUP($D146,'2018 Plan Data'!$A$4:$T$2000,18,FALSE)&gt;0,VLOOKUP($D146,'2018 Plan Data'!$A$4:$T$2000,18,FALSE),0)</f>
        <v>1118.123779903774</v>
      </c>
      <c r="CC146" s="314">
        <f>IF(VLOOKUP($D146,'2018 Plan Data'!$A$4:$T$2000,19,FALSE)&gt;0,VLOOKUP($D146,'2018 Plan Data'!$A$4:$T$2000,19,FALSE),0)</f>
        <v>1565.3732918652836</v>
      </c>
      <c r="CD146" s="314">
        <f>IF(VLOOKUP($D146,'2018 Plan Data'!$A$4:$T$2000,20,FALSE)&gt;0,VLOOKUP($D146,'2018 Plan Data'!$A$4:$T$2000,20,FALSE),0)</f>
        <v>1565.3732918652836</v>
      </c>
      <c r="CE146" s="600" t="b">
        <f t="shared" si="213"/>
        <v>1</v>
      </c>
      <c r="CF146" s="600" t="b">
        <f t="shared" si="214"/>
        <v>1</v>
      </c>
      <c r="CG146" s="600" t="b">
        <f t="shared" si="215"/>
        <v>1</v>
      </c>
      <c r="CH146" s="600" t="b">
        <f t="shared" si="216"/>
        <v>1</v>
      </c>
      <c r="CI146" s="600" t="b">
        <f t="shared" si="217"/>
        <v>0</v>
      </c>
      <c r="CJ146" s="600" t="b">
        <f t="shared" si="218"/>
        <v>0</v>
      </c>
      <c r="CK146" s="600" t="b">
        <f t="shared" si="219"/>
        <v>0</v>
      </c>
      <c r="CL146" s="600" t="b">
        <f t="shared" si="220"/>
        <v>0</v>
      </c>
    </row>
    <row r="147" spans="1:349" ht="15" customHeight="1" x14ac:dyDescent="0.35">
      <c r="A147" s="585">
        <f t="shared" si="221"/>
        <v>235</v>
      </c>
      <c r="B147" s="600" t="str">
        <f t="shared" si="200"/>
        <v>Business_Standard</v>
      </c>
      <c r="C147" s="600"/>
      <c r="D147">
        <v>235</v>
      </c>
      <c r="E147" s="600" t="s">
        <v>1944</v>
      </c>
      <c r="F147" s="600" t="str">
        <f>VLOOKUP(G147,Sheet4!$D$6:$E$22,2,FALSE)</f>
        <v>Standard</v>
      </c>
      <c r="G147" t="s">
        <v>81</v>
      </c>
      <c r="H147" s="296" t="s">
        <v>198</v>
      </c>
      <c r="J147" s="18" t="s">
        <v>15</v>
      </c>
      <c r="K147" s="72" t="str">
        <f>INDEX('Measure Codes'!$F$4:$F$821,MATCH(H147,'Measure Codes'!$D$4:$D$821,0))</f>
        <v>4.3.1</v>
      </c>
      <c r="L147" s="72" t="str">
        <f>INDEX('Measure Codes'!$G$4:$G$821,MATCH(H147,'Measure Codes'!$D$4:$D$821,0))</f>
        <v>CI-HWE-STWH-V03-180101</v>
      </c>
      <c r="M147" s="600">
        <v>1</v>
      </c>
      <c r="O147" s="72" t="str">
        <f t="shared" si="222"/>
        <v>Gas</v>
      </c>
      <c r="P147" s="7">
        <f>VLOOKUP(D147,'2018 Plan Data'!$A$4:$K$1000,11,FALSE)</f>
        <v>15</v>
      </c>
      <c r="Q147" s="652">
        <f>VLOOKUP(D147,'2018 Plan Data'!$A$4:$L$1000,12,FALSE)</f>
        <v>0</v>
      </c>
      <c r="R147" s="314">
        <v>0</v>
      </c>
      <c r="T147" s="314">
        <v>0</v>
      </c>
      <c r="V147" s="314">
        <f>'BUS- BPWH5 (TRM)'!C13</f>
        <v>247.37013236270545</v>
      </c>
      <c r="AD147" s="309">
        <f>INDEX('BUS Measure-Model Summary'!$I$6:$I$684,MATCH(H147,'BUS Measure-Model Summary'!$A$6:$A$684,0))</f>
        <v>0.55700000000000005</v>
      </c>
      <c r="AE147" s="309">
        <f t="shared" si="198"/>
        <v>0.55700000000000005</v>
      </c>
      <c r="AF147" s="309">
        <f t="shared" si="198"/>
        <v>0.55700000000000005</v>
      </c>
      <c r="AG147" s="309">
        <f t="shared" si="198"/>
        <v>0.55700000000000005</v>
      </c>
      <c r="AH147" s="314">
        <f t="shared" si="223"/>
        <v>0</v>
      </c>
      <c r="AI147" s="314">
        <f t="shared" si="224"/>
        <v>0</v>
      </c>
      <c r="AJ147" s="314">
        <f t="shared" si="225"/>
        <v>0</v>
      </c>
      <c r="AK147" s="314">
        <f t="shared" si="226"/>
        <v>0</v>
      </c>
      <c r="AL147" s="309">
        <f t="shared" si="227"/>
        <v>0.55700000000000005</v>
      </c>
      <c r="AM147" s="309">
        <f t="shared" si="228"/>
        <v>0.55700000000000005</v>
      </c>
      <c r="AN147" s="309">
        <f t="shared" si="229"/>
        <v>0.55700000000000005</v>
      </c>
      <c r="AO147" s="309">
        <f t="shared" si="230"/>
        <v>0.55700000000000005</v>
      </c>
      <c r="AP147" s="446">
        <f t="shared" si="231"/>
        <v>0</v>
      </c>
      <c r="AQ147" s="446">
        <f t="shared" si="232"/>
        <v>0</v>
      </c>
      <c r="AR147" s="446">
        <f t="shared" si="233"/>
        <v>0</v>
      </c>
      <c r="AS147" s="446">
        <f t="shared" si="234"/>
        <v>0</v>
      </c>
      <c r="AT147" s="309">
        <f>INDEX('BUS Measure-Model Summary'!$Y$6:$Y$684,MATCH(H147,'BUS Measure-Model Summary'!$A$6:$A$684,0))</f>
        <v>0.49399999999999999</v>
      </c>
      <c r="AU147" s="309">
        <f t="shared" si="199"/>
        <v>0.49399999999999999</v>
      </c>
      <c r="AV147" s="309">
        <f t="shared" si="199"/>
        <v>0.49399999999999999</v>
      </c>
      <c r="AW147" s="309">
        <f t="shared" si="199"/>
        <v>0.49399999999999999</v>
      </c>
      <c r="AX147" s="243">
        <f t="shared" si="235"/>
        <v>122.20084538717649</v>
      </c>
      <c r="AY147" s="243">
        <f t="shared" si="236"/>
        <v>122.20084538717649</v>
      </c>
      <c r="AZ147" s="243">
        <f t="shared" si="237"/>
        <v>122.20084538717649</v>
      </c>
      <c r="BA147" s="243">
        <f t="shared" si="238"/>
        <v>122.20084538717649</v>
      </c>
      <c r="BB147" s="243">
        <f>VLOOKUP($D147,'2018 Plan Data'!$A$4:$K$2000,6,FALSE)</f>
        <v>70</v>
      </c>
      <c r="BC147" s="243">
        <f>VLOOKUP($D147,'2018 Plan Data'!$A$4:$K$2000,7,FALSE)</f>
        <v>70</v>
      </c>
      <c r="BD147" s="243">
        <f>VLOOKUP($D147,'2018 Plan Data'!$A$4:$K$2000,8,FALSE)</f>
        <v>75</v>
      </c>
      <c r="BE147" s="243">
        <f>VLOOKUP($D147,'2018 Plan Data'!$A$4:$K$2000,9,FALSE)</f>
        <v>80</v>
      </c>
      <c r="BF147" s="243">
        <f t="shared" si="201"/>
        <v>0</v>
      </c>
      <c r="BG147" s="243">
        <f t="shared" si="202"/>
        <v>0</v>
      </c>
      <c r="BH147" s="243">
        <f t="shared" si="203"/>
        <v>0</v>
      </c>
      <c r="BI147" s="243">
        <f t="shared" si="204"/>
        <v>0</v>
      </c>
      <c r="BJ147" s="243">
        <f t="shared" si="205"/>
        <v>17315.909265389382</v>
      </c>
      <c r="BK147" s="243">
        <f t="shared" si="206"/>
        <v>17315.909265389382</v>
      </c>
      <c r="BL147" s="243">
        <f t="shared" si="207"/>
        <v>18552.759927202907</v>
      </c>
      <c r="BM147" s="243">
        <f t="shared" si="208"/>
        <v>19789.610589016436</v>
      </c>
      <c r="BN147" s="243">
        <f t="shared" si="209"/>
        <v>0</v>
      </c>
      <c r="BO147" s="243">
        <f t="shared" si="210"/>
        <v>0</v>
      </c>
      <c r="BP147" s="243">
        <f t="shared" si="211"/>
        <v>0</v>
      </c>
      <c r="BQ147" s="243">
        <f t="shared" si="212"/>
        <v>0</v>
      </c>
      <c r="BR147" s="243">
        <f t="shared" si="239"/>
        <v>8554.0591771023537</v>
      </c>
      <c r="BS147" s="243">
        <f t="shared" si="240"/>
        <v>8554.0591771023537</v>
      </c>
      <c r="BT147" s="243">
        <f t="shared" si="241"/>
        <v>9165.0634040382356</v>
      </c>
      <c r="BU147" s="243">
        <f t="shared" si="242"/>
        <v>9776.0676309741193</v>
      </c>
      <c r="BV147" s="600"/>
      <c r="BW147" s="314">
        <f>VLOOKUP($D147,'2018 Plan Data'!$A$4:$T$2000,13,FALSE)</f>
        <v>0</v>
      </c>
      <c r="BX147" s="314">
        <f>VLOOKUP($D147,'2018 Plan Data'!$A$4:$T$2000,14,FALSE)</f>
        <v>0</v>
      </c>
      <c r="BY147" s="314">
        <f>VLOOKUP($D147,'2018 Plan Data'!$A$4:$T$2000,15,FALSE)</f>
        <v>0</v>
      </c>
      <c r="BZ147" s="314">
        <f>VLOOKUP($D147,'2018 Plan Data'!$A$4:$T$2000,16,FALSE)</f>
        <v>0</v>
      </c>
      <c r="CA147" s="314">
        <f>IF(VLOOKUP($D147,'2018 Plan Data'!$A$4:$T$2000,17,FALSE)&gt;0,VLOOKUP($D147,'2018 Plan Data'!$A$4:$T$2000,17,FALSE),0)</f>
        <v>2171.8426205515743</v>
      </c>
      <c r="CB147" s="314">
        <f>IF(VLOOKUP($D147,'2018 Plan Data'!$A$4:$T$2000,18,FALSE)&gt;0,VLOOKUP($D147,'2018 Plan Data'!$A$4:$T$2000,18,FALSE),0)</f>
        <v>2171.8426205515743</v>
      </c>
      <c r="CC147" s="314">
        <f>IF(VLOOKUP($D147,'2018 Plan Data'!$A$4:$T$2000,19,FALSE)&gt;0,VLOOKUP($D147,'2018 Plan Data'!$A$4:$T$2000,19,FALSE),0)</f>
        <v>2326.9742363052583</v>
      </c>
      <c r="CD147" s="314">
        <f>IF(VLOOKUP($D147,'2018 Plan Data'!$A$4:$T$2000,20,FALSE)&gt;0,VLOOKUP($D147,'2018 Plan Data'!$A$4:$T$2000,20,FALSE),0)</f>
        <v>2482.1058520589422</v>
      </c>
      <c r="CE147" s="600" t="b">
        <f t="shared" si="213"/>
        <v>1</v>
      </c>
      <c r="CF147" s="600" t="b">
        <f t="shared" si="214"/>
        <v>1</v>
      </c>
      <c r="CG147" s="600" t="b">
        <f t="shared" si="215"/>
        <v>1</v>
      </c>
      <c r="CH147" s="600" t="b">
        <f t="shared" si="216"/>
        <v>1</v>
      </c>
      <c r="CI147" s="600" t="b">
        <f t="shared" si="217"/>
        <v>0</v>
      </c>
      <c r="CJ147" s="600" t="b">
        <f t="shared" si="218"/>
        <v>0</v>
      </c>
      <c r="CK147" s="600" t="b">
        <f t="shared" si="219"/>
        <v>0</v>
      </c>
      <c r="CL147" s="600" t="b">
        <f t="shared" si="220"/>
        <v>0</v>
      </c>
    </row>
    <row r="148" spans="1:349" ht="15" customHeight="1" x14ac:dyDescent="0.35">
      <c r="A148" s="585">
        <f t="shared" si="221"/>
        <v>107</v>
      </c>
      <c r="B148" s="600" t="str">
        <f t="shared" si="200"/>
        <v>Business_Standard</v>
      </c>
      <c r="C148" s="600"/>
      <c r="D148">
        <v>107</v>
      </c>
      <c r="E148" s="600" t="s">
        <v>1944</v>
      </c>
      <c r="F148" s="600" t="str">
        <f>VLOOKUP(G148,Sheet4!$D$6:$E$22,2,FALSE)</f>
        <v>Standard</v>
      </c>
      <c r="G148" s="600" t="s">
        <v>81</v>
      </c>
      <c r="H148" s="296" t="s">
        <v>199</v>
      </c>
      <c r="J148" s="18" t="s">
        <v>148</v>
      </c>
      <c r="K148" s="72" t="str">
        <f>INDEX('Measure Codes'!$F$4:$F$821,MATCH(H148,'Measure Codes'!$D$4:$D$821,0))</f>
        <v>4.2.3</v>
      </c>
      <c r="L148" s="72" t="str">
        <f>INDEX('Measure Codes'!$G$4:$G$821,MATCH(H148,'Measure Codes'!$D$4:$D$821,0))</f>
        <v>CI-FSE-STMC-V04-160601</v>
      </c>
      <c r="M148" s="600">
        <v>1</v>
      </c>
      <c r="O148" s="72" t="str">
        <f t="shared" si="222"/>
        <v>Gas</v>
      </c>
      <c r="P148" s="7">
        <f>VLOOKUP(D148,'2018 Plan Data'!$A$4:$K$1000,11,FALSE)</f>
        <v>12</v>
      </c>
      <c r="Q148" s="652">
        <f>VLOOKUP(D148,'2018 Plan Data'!$A$4:$L$1000,12,FALSE)</f>
        <v>0</v>
      </c>
      <c r="R148" s="314">
        <v>0</v>
      </c>
      <c r="T148" s="314">
        <v>0</v>
      </c>
      <c r="V148" s="314">
        <f>'BUS Measure-Model Summary'!F191</f>
        <v>1321</v>
      </c>
      <c r="AD148" s="309">
        <f>INDEX('BUS Measure-Model Summary'!$I$6:$I$684,MATCH(H148,'BUS Measure-Model Summary'!$A$6:$A$684,0))</f>
        <v>0.84899999999999998</v>
      </c>
      <c r="AE148" s="309">
        <f t="shared" si="198"/>
        <v>0.84899999999999998</v>
      </c>
      <c r="AF148" s="309">
        <f t="shared" si="198"/>
        <v>0.84899999999999998</v>
      </c>
      <c r="AG148" s="309">
        <f t="shared" si="198"/>
        <v>0.84899999999999998</v>
      </c>
      <c r="AH148" s="314">
        <f t="shared" si="223"/>
        <v>0</v>
      </c>
      <c r="AI148" s="314">
        <f t="shared" si="224"/>
        <v>0</v>
      </c>
      <c r="AJ148" s="314">
        <f t="shared" si="225"/>
        <v>0</v>
      </c>
      <c r="AK148" s="314">
        <f t="shared" si="226"/>
        <v>0</v>
      </c>
      <c r="AL148" s="309">
        <f t="shared" si="227"/>
        <v>0.84899999999999998</v>
      </c>
      <c r="AM148" s="309">
        <f t="shared" si="228"/>
        <v>0.84899999999999998</v>
      </c>
      <c r="AN148" s="309">
        <f t="shared" si="229"/>
        <v>0.84899999999999998</v>
      </c>
      <c r="AO148" s="309">
        <f t="shared" si="230"/>
        <v>0.84899999999999998</v>
      </c>
      <c r="AP148" s="446">
        <f t="shared" si="231"/>
        <v>0</v>
      </c>
      <c r="AQ148" s="446">
        <f t="shared" si="232"/>
        <v>0</v>
      </c>
      <c r="AR148" s="446">
        <f t="shared" si="233"/>
        <v>0</v>
      </c>
      <c r="AS148" s="446">
        <f t="shared" si="234"/>
        <v>0</v>
      </c>
      <c r="AT148" s="309">
        <f>INDEX('BUS Measure-Model Summary'!$Y$6:$Y$684,MATCH(H148,'BUS Measure-Model Summary'!$A$6:$A$684,0))</f>
        <v>0.67500000000000004</v>
      </c>
      <c r="AU148" s="309">
        <f t="shared" si="199"/>
        <v>0.67500000000000004</v>
      </c>
      <c r="AV148" s="309">
        <f t="shared" si="199"/>
        <v>0.67500000000000004</v>
      </c>
      <c r="AW148" s="309">
        <f t="shared" si="199"/>
        <v>0.67500000000000004</v>
      </c>
      <c r="AX148" s="243">
        <f t="shared" si="235"/>
        <v>891.67500000000007</v>
      </c>
      <c r="AY148" s="243">
        <f t="shared" si="236"/>
        <v>891.67500000000007</v>
      </c>
      <c r="AZ148" s="243">
        <f t="shared" si="237"/>
        <v>891.67500000000007</v>
      </c>
      <c r="BA148" s="243">
        <f t="shared" si="238"/>
        <v>891.67500000000007</v>
      </c>
      <c r="BB148" s="243">
        <f>VLOOKUP($D148,'2018 Plan Data'!$A$4:$K$2000,6,FALSE)</f>
        <v>4</v>
      </c>
      <c r="BC148" s="243">
        <f>VLOOKUP($D148,'2018 Plan Data'!$A$4:$K$2000,7,FALSE)</f>
        <v>2</v>
      </c>
      <c r="BD148" s="243">
        <f>VLOOKUP($D148,'2018 Plan Data'!$A$4:$K$2000,8,FALSE)</f>
        <v>4</v>
      </c>
      <c r="BE148" s="243">
        <f>VLOOKUP($D148,'2018 Plan Data'!$A$4:$K$2000,9,FALSE)</f>
        <v>4</v>
      </c>
      <c r="BF148" s="243">
        <f t="shared" si="201"/>
        <v>0</v>
      </c>
      <c r="BG148" s="243">
        <f t="shared" si="202"/>
        <v>0</v>
      </c>
      <c r="BH148" s="243">
        <f t="shared" si="203"/>
        <v>0</v>
      </c>
      <c r="BI148" s="243">
        <f t="shared" si="204"/>
        <v>0</v>
      </c>
      <c r="BJ148" s="243">
        <f t="shared" si="205"/>
        <v>5284</v>
      </c>
      <c r="BK148" s="243">
        <f t="shared" si="206"/>
        <v>2642</v>
      </c>
      <c r="BL148" s="243">
        <f t="shared" si="207"/>
        <v>5284</v>
      </c>
      <c r="BM148" s="243">
        <f t="shared" si="208"/>
        <v>5284</v>
      </c>
      <c r="BN148" s="243">
        <f t="shared" si="209"/>
        <v>0</v>
      </c>
      <c r="BO148" s="243">
        <f t="shared" si="210"/>
        <v>0</v>
      </c>
      <c r="BP148" s="243">
        <f t="shared" si="211"/>
        <v>0</v>
      </c>
      <c r="BQ148" s="243">
        <f t="shared" si="212"/>
        <v>0</v>
      </c>
      <c r="BR148" s="243">
        <f t="shared" si="239"/>
        <v>3566.7000000000003</v>
      </c>
      <c r="BS148" s="243">
        <f t="shared" si="240"/>
        <v>1783.3500000000001</v>
      </c>
      <c r="BT148" s="243">
        <f t="shared" si="241"/>
        <v>3566.7000000000003</v>
      </c>
      <c r="BU148" s="243">
        <f t="shared" si="242"/>
        <v>3566.7000000000003</v>
      </c>
      <c r="BV148" s="600"/>
      <c r="BW148" s="314">
        <f>VLOOKUP($D148,'2018 Plan Data'!$A$4:$T$2000,13,FALSE)</f>
        <v>0</v>
      </c>
      <c r="BX148" s="314">
        <f>VLOOKUP($D148,'2018 Plan Data'!$A$4:$T$2000,14,FALSE)</f>
        <v>0</v>
      </c>
      <c r="BY148" s="314">
        <f>VLOOKUP($D148,'2018 Plan Data'!$A$4:$T$2000,15,FALSE)</f>
        <v>0</v>
      </c>
      <c r="BZ148" s="314">
        <f>VLOOKUP($D148,'2018 Plan Data'!$A$4:$T$2000,16,FALSE)</f>
        <v>0</v>
      </c>
      <c r="CA148" s="314">
        <f>IF(VLOOKUP($D148,'2018 Plan Data'!$A$4:$T$2000,17,FALSE)&gt;0,VLOOKUP($D148,'2018 Plan Data'!$A$4:$T$2000,17,FALSE),0)</f>
        <v>3566.7000000000003</v>
      </c>
      <c r="CB148" s="314">
        <f>IF(VLOOKUP($D148,'2018 Plan Data'!$A$4:$T$2000,18,FALSE)&gt;0,VLOOKUP($D148,'2018 Plan Data'!$A$4:$T$2000,18,FALSE),0)</f>
        <v>1783.3500000000001</v>
      </c>
      <c r="CC148" s="314">
        <f>IF(VLOOKUP($D148,'2018 Plan Data'!$A$4:$T$2000,19,FALSE)&gt;0,VLOOKUP($D148,'2018 Plan Data'!$A$4:$T$2000,19,FALSE),0)</f>
        <v>3566.7000000000003</v>
      </c>
      <c r="CD148" s="314">
        <f>IF(VLOOKUP($D148,'2018 Plan Data'!$A$4:$T$2000,20,FALSE)&gt;0,VLOOKUP($D148,'2018 Plan Data'!$A$4:$T$2000,20,FALSE),0)</f>
        <v>3566.7000000000003</v>
      </c>
      <c r="CE148" s="600" t="b">
        <f t="shared" si="213"/>
        <v>1</v>
      </c>
      <c r="CF148" s="600" t="b">
        <f t="shared" si="214"/>
        <v>1</v>
      </c>
      <c r="CG148" s="600" t="b">
        <f t="shared" si="215"/>
        <v>1</v>
      </c>
      <c r="CH148" s="600" t="b">
        <f t="shared" si="216"/>
        <v>1</v>
      </c>
      <c r="CI148" s="600" t="b">
        <f t="shared" si="217"/>
        <v>1</v>
      </c>
      <c r="CJ148" s="600" t="b">
        <f t="shared" si="218"/>
        <v>1</v>
      </c>
      <c r="CK148" s="600" t="b">
        <f t="shared" si="219"/>
        <v>1</v>
      </c>
      <c r="CL148" s="600" t="b">
        <f t="shared" si="220"/>
        <v>1</v>
      </c>
    </row>
    <row r="149" spans="1:349" ht="15" customHeight="1" x14ac:dyDescent="0.35">
      <c r="A149" s="585">
        <f t="shared" si="221"/>
        <v>108</v>
      </c>
      <c r="B149" s="600" t="str">
        <f t="shared" si="200"/>
        <v>Business_Standard</v>
      </c>
      <c r="C149" s="600"/>
      <c r="D149">
        <v>108</v>
      </c>
      <c r="E149" s="600" t="s">
        <v>1944</v>
      </c>
      <c r="F149" s="600" t="str">
        <f>VLOOKUP(G149,Sheet4!$D$6:$E$22,2,FALSE)</f>
        <v>Standard</v>
      </c>
      <c r="G149" t="s">
        <v>81</v>
      </c>
      <c r="H149" s="296" t="s">
        <v>200</v>
      </c>
      <c r="J149" s="18" t="s">
        <v>148</v>
      </c>
      <c r="K149" s="72" t="str">
        <f>INDEX('Measure Codes'!$F$4:$F$821,MATCH(H149,'Measure Codes'!$D$4:$D$821,0))</f>
        <v>4.2.3</v>
      </c>
      <c r="L149" s="72" t="str">
        <f>INDEX('Measure Codes'!$G$4:$G$821,MATCH(H149,'Measure Codes'!$D$4:$D$821,0))</f>
        <v>CI-FSE-STMC-V04-160601</v>
      </c>
      <c r="M149" s="600">
        <v>1</v>
      </c>
      <c r="O149" s="72" t="str">
        <f t="shared" si="222"/>
        <v>Gas</v>
      </c>
      <c r="P149" s="7">
        <f>VLOOKUP(D149,'2018 Plan Data'!$A$4:$K$1000,11,FALSE)</f>
        <v>12</v>
      </c>
      <c r="Q149" s="652">
        <f>VLOOKUP(D149,'2018 Plan Data'!$A$4:$L$1000,12,FALSE)</f>
        <v>0</v>
      </c>
      <c r="R149" s="314">
        <v>0</v>
      </c>
      <c r="T149" s="314">
        <v>0</v>
      </c>
      <c r="V149" s="314">
        <f>'BUS Measure-Model Summary'!F192</f>
        <v>1591</v>
      </c>
      <c r="AD149" s="309">
        <f>INDEX('BUS Measure-Model Summary'!$I$6:$I$684,MATCH(H149,'BUS Measure-Model Summary'!$A$6:$A$684,0))</f>
        <v>0.84899999999999998</v>
      </c>
      <c r="AE149" s="309">
        <f t="shared" si="198"/>
        <v>0.84899999999999998</v>
      </c>
      <c r="AF149" s="309">
        <f t="shared" si="198"/>
        <v>0.84899999999999998</v>
      </c>
      <c r="AG149" s="309">
        <f t="shared" si="198"/>
        <v>0.84899999999999998</v>
      </c>
      <c r="AH149" s="314">
        <f t="shared" si="223"/>
        <v>0</v>
      </c>
      <c r="AI149" s="314">
        <f t="shared" si="224"/>
        <v>0</v>
      </c>
      <c r="AJ149" s="314">
        <f t="shared" si="225"/>
        <v>0</v>
      </c>
      <c r="AK149" s="314">
        <f t="shared" si="226"/>
        <v>0</v>
      </c>
      <c r="AL149" s="309">
        <f t="shared" si="227"/>
        <v>0.84899999999999998</v>
      </c>
      <c r="AM149" s="309">
        <f t="shared" si="228"/>
        <v>0.84899999999999998</v>
      </c>
      <c r="AN149" s="309">
        <f t="shared" si="229"/>
        <v>0.84899999999999998</v>
      </c>
      <c r="AO149" s="309">
        <f t="shared" si="230"/>
        <v>0.84899999999999998</v>
      </c>
      <c r="AP149" s="446">
        <f t="shared" si="231"/>
        <v>0</v>
      </c>
      <c r="AQ149" s="446">
        <f t="shared" si="232"/>
        <v>0</v>
      </c>
      <c r="AR149" s="446">
        <f t="shared" si="233"/>
        <v>0</v>
      </c>
      <c r="AS149" s="446">
        <f t="shared" si="234"/>
        <v>0</v>
      </c>
      <c r="AT149" s="309">
        <f>INDEX('BUS Measure-Model Summary'!$Y$6:$Y$684,MATCH(H149,'BUS Measure-Model Summary'!$A$6:$A$684,0))</f>
        <v>0.67500000000000004</v>
      </c>
      <c r="AU149" s="309">
        <f t="shared" si="199"/>
        <v>0.67500000000000004</v>
      </c>
      <c r="AV149" s="309">
        <f t="shared" si="199"/>
        <v>0.67500000000000004</v>
      </c>
      <c r="AW149" s="309">
        <f t="shared" si="199"/>
        <v>0.67500000000000004</v>
      </c>
      <c r="AX149" s="243">
        <f t="shared" si="235"/>
        <v>1073.9250000000002</v>
      </c>
      <c r="AY149" s="243">
        <f t="shared" si="236"/>
        <v>1073.9250000000002</v>
      </c>
      <c r="AZ149" s="243">
        <f t="shared" si="237"/>
        <v>1073.9250000000002</v>
      </c>
      <c r="BA149" s="243">
        <f t="shared" si="238"/>
        <v>1073.9250000000002</v>
      </c>
      <c r="BB149" s="243">
        <f>VLOOKUP($D149,'2018 Plan Data'!$A$4:$K$2000,6,FALSE)</f>
        <v>4</v>
      </c>
      <c r="BC149" s="243">
        <f>VLOOKUP($D149,'2018 Plan Data'!$A$4:$K$2000,7,FALSE)</f>
        <v>2</v>
      </c>
      <c r="BD149" s="243">
        <f>VLOOKUP($D149,'2018 Plan Data'!$A$4:$K$2000,8,FALSE)</f>
        <v>4</v>
      </c>
      <c r="BE149" s="243">
        <f>VLOOKUP($D149,'2018 Plan Data'!$A$4:$K$2000,9,FALSE)</f>
        <v>4</v>
      </c>
      <c r="BF149" s="243">
        <f t="shared" si="201"/>
        <v>0</v>
      </c>
      <c r="BG149" s="243">
        <f t="shared" si="202"/>
        <v>0</v>
      </c>
      <c r="BH149" s="243">
        <f t="shared" si="203"/>
        <v>0</v>
      </c>
      <c r="BI149" s="243">
        <f t="shared" si="204"/>
        <v>0</v>
      </c>
      <c r="BJ149" s="243">
        <f t="shared" si="205"/>
        <v>6364</v>
      </c>
      <c r="BK149" s="243">
        <f t="shared" si="206"/>
        <v>3182</v>
      </c>
      <c r="BL149" s="243">
        <f t="shared" si="207"/>
        <v>6364</v>
      </c>
      <c r="BM149" s="243">
        <f t="shared" si="208"/>
        <v>6364</v>
      </c>
      <c r="BN149" s="243">
        <f t="shared" si="209"/>
        <v>0</v>
      </c>
      <c r="BO149" s="243">
        <f t="shared" si="210"/>
        <v>0</v>
      </c>
      <c r="BP149" s="243">
        <f t="shared" si="211"/>
        <v>0</v>
      </c>
      <c r="BQ149" s="243">
        <f t="shared" si="212"/>
        <v>0</v>
      </c>
      <c r="BR149" s="243">
        <f t="shared" si="239"/>
        <v>4295.7000000000007</v>
      </c>
      <c r="BS149" s="243">
        <f t="shared" si="240"/>
        <v>2147.8500000000004</v>
      </c>
      <c r="BT149" s="243">
        <f t="shared" si="241"/>
        <v>4295.7000000000007</v>
      </c>
      <c r="BU149" s="243">
        <f t="shared" si="242"/>
        <v>4295.7000000000007</v>
      </c>
      <c r="BV149" s="600"/>
      <c r="BW149" s="314">
        <f>VLOOKUP($D149,'2018 Plan Data'!$A$4:$T$2000,13,FALSE)</f>
        <v>0</v>
      </c>
      <c r="BX149" s="314">
        <f>VLOOKUP($D149,'2018 Plan Data'!$A$4:$T$2000,14,FALSE)</f>
        <v>0</v>
      </c>
      <c r="BY149" s="314">
        <f>VLOOKUP($D149,'2018 Plan Data'!$A$4:$T$2000,15,FALSE)</f>
        <v>0</v>
      </c>
      <c r="BZ149" s="314">
        <f>VLOOKUP($D149,'2018 Plan Data'!$A$4:$T$2000,16,FALSE)</f>
        <v>0</v>
      </c>
      <c r="CA149" s="314">
        <f>IF(VLOOKUP($D149,'2018 Plan Data'!$A$4:$T$2000,17,FALSE)&gt;0,VLOOKUP($D149,'2018 Plan Data'!$A$4:$T$2000,17,FALSE),0)</f>
        <v>4295.7000000000007</v>
      </c>
      <c r="CB149" s="314">
        <f>IF(VLOOKUP($D149,'2018 Plan Data'!$A$4:$T$2000,18,FALSE)&gt;0,VLOOKUP($D149,'2018 Plan Data'!$A$4:$T$2000,18,FALSE),0)</f>
        <v>2147.8500000000004</v>
      </c>
      <c r="CC149" s="314">
        <f>IF(VLOOKUP($D149,'2018 Plan Data'!$A$4:$T$2000,19,FALSE)&gt;0,VLOOKUP($D149,'2018 Plan Data'!$A$4:$T$2000,19,FALSE),0)</f>
        <v>4295.7000000000007</v>
      </c>
      <c r="CD149" s="314">
        <f>IF(VLOOKUP($D149,'2018 Plan Data'!$A$4:$T$2000,20,FALSE)&gt;0,VLOOKUP($D149,'2018 Plan Data'!$A$4:$T$2000,20,FALSE),0)</f>
        <v>4295.7000000000007</v>
      </c>
      <c r="CE149" s="600" t="b">
        <f t="shared" si="213"/>
        <v>1</v>
      </c>
      <c r="CF149" s="600" t="b">
        <f t="shared" si="214"/>
        <v>1</v>
      </c>
      <c r="CG149" s="600" t="b">
        <f t="shared" si="215"/>
        <v>1</v>
      </c>
      <c r="CH149" s="600" t="b">
        <f t="shared" si="216"/>
        <v>1</v>
      </c>
      <c r="CI149" s="600" t="b">
        <f t="shared" si="217"/>
        <v>1</v>
      </c>
      <c r="CJ149" s="600" t="b">
        <f t="shared" si="218"/>
        <v>1</v>
      </c>
      <c r="CK149" s="600" t="b">
        <f t="shared" si="219"/>
        <v>1</v>
      </c>
      <c r="CL149" s="600" t="b">
        <f t="shared" si="220"/>
        <v>1</v>
      </c>
    </row>
    <row r="150" spans="1:349" ht="15" customHeight="1" x14ac:dyDescent="0.35">
      <c r="A150" s="585">
        <f t="shared" si="221"/>
        <v>106</v>
      </c>
      <c r="B150" s="600" t="str">
        <f t="shared" si="200"/>
        <v>Business_Standard</v>
      </c>
      <c r="C150" s="600"/>
      <c r="D150">
        <v>106</v>
      </c>
      <c r="E150" s="600" t="s">
        <v>1944</v>
      </c>
      <c r="F150" s="600" t="str">
        <f>VLOOKUP(G150,Sheet4!$D$6:$E$22,2,FALSE)</f>
        <v>Standard</v>
      </c>
      <c r="G150" t="s">
        <v>81</v>
      </c>
      <c r="H150" s="296" t="s">
        <v>201</v>
      </c>
      <c r="J150" s="18" t="s">
        <v>148</v>
      </c>
      <c r="K150" s="72" t="str">
        <f>INDEX('Measure Codes'!$F$4:$F$821,MATCH(H150,'Measure Codes'!$D$4:$D$821,0))</f>
        <v>4.2.8</v>
      </c>
      <c r="L150" s="72" t="str">
        <f>INDEX('Measure Codes'!$G$4:$G$821,MATCH(H150,'Measure Codes'!$D$4:$D$821,0))</f>
        <v>CI-FSE-ESGR-V02-160601</v>
      </c>
      <c r="M150" s="600">
        <v>1</v>
      </c>
      <c r="O150" s="72" t="str">
        <f t="shared" si="222"/>
        <v>Gas</v>
      </c>
      <c r="P150" s="7">
        <f>VLOOKUP(D150,'2018 Plan Data'!$A$4:$K$1000,11,FALSE)</f>
        <v>12</v>
      </c>
      <c r="Q150" s="652">
        <f>VLOOKUP(D150,'2018 Plan Data'!$A$4:$L$1000,12,FALSE)</f>
        <v>0</v>
      </c>
      <c r="R150" s="314">
        <v>0</v>
      </c>
      <c r="T150" s="314">
        <v>0</v>
      </c>
      <c r="V150" s="314">
        <f>'BUS Measure-Model Summary'!F193</f>
        <v>149</v>
      </c>
      <c r="AD150" s="309">
        <f>INDEX('BUS Measure-Model Summary'!$I$6:$I$684,MATCH(H150,'BUS Measure-Model Summary'!$A$6:$A$684,0))</f>
        <v>0.84899999999999998</v>
      </c>
      <c r="AE150" s="309">
        <f t="shared" ref="AE150:AG169" si="243">AD150</f>
        <v>0.84899999999999998</v>
      </c>
      <c r="AF150" s="309">
        <f t="shared" si="243"/>
        <v>0.84899999999999998</v>
      </c>
      <c r="AG150" s="309">
        <f t="shared" si="243"/>
        <v>0.84899999999999998</v>
      </c>
      <c r="AH150" s="314">
        <f t="shared" si="223"/>
        <v>0</v>
      </c>
      <c r="AI150" s="314">
        <f t="shared" si="224"/>
        <v>0</v>
      </c>
      <c r="AJ150" s="314">
        <f t="shared" si="225"/>
        <v>0</v>
      </c>
      <c r="AK150" s="314">
        <f t="shared" si="226"/>
        <v>0</v>
      </c>
      <c r="AL150" s="309">
        <f t="shared" si="227"/>
        <v>0.84899999999999998</v>
      </c>
      <c r="AM150" s="309">
        <f t="shared" si="228"/>
        <v>0.84899999999999998</v>
      </c>
      <c r="AN150" s="309">
        <f t="shared" si="229"/>
        <v>0.84899999999999998</v>
      </c>
      <c r="AO150" s="309">
        <f t="shared" si="230"/>
        <v>0.84899999999999998</v>
      </c>
      <c r="AP150" s="446">
        <f t="shared" si="231"/>
        <v>0</v>
      </c>
      <c r="AQ150" s="446">
        <f t="shared" si="232"/>
        <v>0</v>
      </c>
      <c r="AR150" s="446">
        <f t="shared" si="233"/>
        <v>0</v>
      </c>
      <c r="AS150" s="446">
        <f t="shared" si="234"/>
        <v>0</v>
      </c>
      <c r="AT150" s="309">
        <f>INDEX('BUS Measure-Model Summary'!$Y$6:$Y$684,MATCH(H150,'BUS Measure-Model Summary'!$A$6:$A$684,0))</f>
        <v>0.67500000000000004</v>
      </c>
      <c r="AU150" s="309">
        <f t="shared" ref="AU150:AW169" si="244">AT150</f>
        <v>0.67500000000000004</v>
      </c>
      <c r="AV150" s="309">
        <f t="shared" si="244"/>
        <v>0.67500000000000004</v>
      </c>
      <c r="AW150" s="309">
        <f t="shared" si="244"/>
        <v>0.67500000000000004</v>
      </c>
      <c r="AX150" s="243">
        <f t="shared" si="235"/>
        <v>100.575</v>
      </c>
      <c r="AY150" s="243">
        <f t="shared" si="236"/>
        <v>100.575</v>
      </c>
      <c r="AZ150" s="243">
        <f t="shared" si="237"/>
        <v>100.575</v>
      </c>
      <c r="BA150" s="243">
        <f t="shared" si="238"/>
        <v>100.575</v>
      </c>
      <c r="BB150" s="243">
        <f>VLOOKUP($D150,'2018 Plan Data'!$A$4:$K$2000,6,FALSE)</f>
        <v>10</v>
      </c>
      <c r="BC150" s="243">
        <f>VLOOKUP($D150,'2018 Plan Data'!$A$4:$K$2000,7,FALSE)</f>
        <v>9</v>
      </c>
      <c r="BD150" s="243">
        <f>VLOOKUP($D150,'2018 Plan Data'!$A$4:$K$2000,8,FALSE)</f>
        <v>11</v>
      </c>
      <c r="BE150" s="243">
        <f>VLOOKUP($D150,'2018 Plan Data'!$A$4:$K$2000,9,FALSE)</f>
        <v>11</v>
      </c>
      <c r="BF150" s="243">
        <f t="shared" si="201"/>
        <v>0</v>
      </c>
      <c r="BG150" s="243">
        <f t="shared" si="202"/>
        <v>0</v>
      </c>
      <c r="BH150" s="243">
        <f t="shared" si="203"/>
        <v>0</v>
      </c>
      <c r="BI150" s="243">
        <f t="shared" si="204"/>
        <v>0</v>
      </c>
      <c r="BJ150" s="243">
        <f t="shared" si="205"/>
        <v>1490</v>
      </c>
      <c r="BK150" s="243">
        <f t="shared" si="206"/>
        <v>1341</v>
      </c>
      <c r="BL150" s="243">
        <f t="shared" si="207"/>
        <v>1639</v>
      </c>
      <c r="BM150" s="243">
        <f t="shared" si="208"/>
        <v>1639</v>
      </c>
      <c r="BN150" s="243">
        <f t="shared" si="209"/>
        <v>0</v>
      </c>
      <c r="BO150" s="243">
        <f t="shared" si="210"/>
        <v>0</v>
      </c>
      <c r="BP150" s="243">
        <f t="shared" si="211"/>
        <v>0</v>
      </c>
      <c r="BQ150" s="243">
        <f t="shared" si="212"/>
        <v>0</v>
      </c>
      <c r="BR150" s="243">
        <f t="shared" si="239"/>
        <v>1005.75</v>
      </c>
      <c r="BS150" s="243">
        <f t="shared" si="240"/>
        <v>905.17500000000007</v>
      </c>
      <c r="BT150" s="243">
        <f t="shared" si="241"/>
        <v>1106.325</v>
      </c>
      <c r="BU150" s="243">
        <f t="shared" si="242"/>
        <v>1106.325</v>
      </c>
      <c r="BV150" s="600"/>
      <c r="BW150" s="314">
        <f>VLOOKUP($D150,'2018 Plan Data'!$A$4:$T$2000,13,FALSE)</f>
        <v>0</v>
      </c>
      <c r="BX150" s="314">
        <f>VLOOKUP($D150,'2018 Plan Data'!$A$4:$T$2000,14,FALSE)</f>
        <v>0</v>
      </c>
      <c r="BY150" s="314">
        <f>VLOOKUP($D150,'2018 Plan Data'!$A$4:$T$2000,15,FALSE)</f>
        <v>0</v>
      </c>
      <c r="BZ150" s="314">
        <f>VLOOKUP($D150,'2018 Plan Data'!$A$4:$T$2000,16,FALSE)</f>
        <v>0</v>
      </c>
      <c r="CA150" s="314">
        <f>IF(VLOOKUP($D150,'2018 Plan Data'!$A$4:$T$2000,17,FALSE)&gt;0,VLOOKUP($D150,'2018 Plan Data'!$A$4:$T$2000,17,FALSE),0)</f>
        <v>1005.75</v>
      </c>
      <c r="CB150" s="314">
        <f>IF(VLOOKUP($D150,'2018 Plan Data'!$A$4:$T$2000,18,FALSE)&gt;0,VLOOKUP($D150,'2018 Plan Data'!$A$4:$T$2000,18,FALSE),0)</f>
        <v>905.17500000000007</v>
      </c>
      <c r="CC150" s="314">
        <f>IF(VLOOKUP($D150,'2018 Plan Data'!$A$4:$T$2000,19,FALSE)&gt;0,VLOOKUP($D150,'2018 Plan Data'!$A$4:$T$2000,19,FALSE),0)</f>
        <v>1106.325</v>
      </c>
      <c r="CD150" s="314">
        <f>IF(VLOOKUP($D150,'2018 Plan Data'!$A$4:$T$2000,20,FALSE)&gt;0,VLOOKUP($D150,'2018 Plan Data'!$A$4:$T$2000,20,FALSE),0)</f>
        <v>1106.325</v>
      </c>
      <c r="CE150" s="600" t="b">
        <f t="shared" si="213"/>
        <v>1</v>
      </c>
      <c r="CF150" s="600" t="b">
        <f t="shared" si="214"/>
        <v>1</v>
      </c>
      <c r="CG150" s="600" t="b">
        <f t="shared" si="215"/>
        <v>1</v>
      </c>
      <c r="CH150" s="600" t="b">
        <f t="shared" si="216"/>
        <v>1</v>
      </c>
      <c r="CI150" s="600" t="b">
        <f t="shared" si="217"/>
        <v>1</v>
      </c>
      <c r="CJ150" s="600" t="b">
        <f t="shared" si="218"/>
        <v>1</v>
      </c>
      <c r="CK150" s="600" t="b">
        <f t="shared" si="219"/>
        <v>1</v>
      </c>
      <c r="CL150" s="600" t="b">
        <f t="shared" si="220"/>
        <v>1</v>
      </c>
    </row>
    <row r="151" spans="1:349" ht="15" customHeight="1" x14ac:dyDescent="0.35">
      <c r="A151" s="585">
        <f t="shared" si="221"/>
        <v>105</v>
      </c>
      <c r="B151" s="600" t="str">
        <f t="shared" si="200"/>
        <v>Business_Standard</v>
      </c>
      <c r="C151" s="600"/>
      <c r="D151">
        <v>105</v>
      </c>
      <c r="E151" s="600" t="s">
        <v>1944</v>
      </c>
      <c r="F151" s="600" t="str">
        <f>VLOOKUP(G151,Sheet4!$D$6:$E$22,2,FALSE)</f>
        <v>Standard</v>
      </c>
      <c r="G151" t="s">
        <v>81</v>
      </c>
      <c r="H151" s="296" t="s">
        <v>202</v>
      </c>
      <c r="J151" s="18" t="s">
        <v>148</v>
      </c>
      <c r="K151" s="72" t="str">
        <f>INDEX('Measure Codes'!$F$4:$F$821,MATCH(H151,'Measure Codes'!$D$4:$D$821,0))</f>
        <v>4.2.7</v>
      </c>
      <c r="L151" s="72" t="str">
        <f>INDEX('Measure Codes'!$G$4:$G$821,MATCH(H151,'Measure Codes'!$D$4:$D$821,0))</f>
        <v>CI-FSE-ESFR-V01-120601</v>
      </c>
      <c r="M151" s="600">
        <v>1</v>
      </c>
      <c r="O151" s="72" t="str">
        <f t="shared" si="222"/>
        <v>Gas</v>
      </c>
      <c r="P151" s="7">
        <f>VLOOKUP(D151,'2018 Plan Data'!$A$4:$K$1000,11,FALSE)</f>
        <v>15</v>
      </c>
      <c r="Q151" s="652">
        <f>VLOOKUP(D151,'2018 Plan Data'!$A$4:$L$1000,12,FALSE)</f>
        <v>0</v>
      </c>
      <c r="R151" s="314">
        <v>0</v>
      </c>
      <c r="T151" s="314">
        <v>0</v>
      </c>
      <c r="V151" s="314">
        <f>'BUS- BPCK12 (TRM)'!C13</f>
        <v>505.2346714285714</v>
      </c>
      <c r="AD151" s="309">
        <f>INDEX('BUS Measure-Model Summary'!$I$6:$I$684,MATCH(H151,'BUS Measure-Model Summary'!$A$6:$A$684,0))</f>
        <v>0.84899999999999998</v>
      </c>
      <c r="AE151" s="309">
        <f t="shared" si="243"/>
        <v>0.84899999999999998</v>
      </c>
      <c r="AF151" s="309">
        <f t="shared" si="243"/>
        <v>0.84899999999999998</v>
      </c>
      <c r="AG151" s="309">
        <f t="shared" si="243"/>
        <v>0.84899999999999998</v>
      </c>
      <c r="AH151" s="314">
        <f t="shared" si="223"/>
        <v>0</v>
      </c>
      <c r="AI151" s="314">
        <f t="shared" si="224"/>
        <v>0</v>
      </c>
      <c r="AJ151" s="314">
        <f t="shared" si="225"/>
        <v>0</v>
      </c>
      <c r="AK151" s="314">
        <f t="shared" si="226"/>
        <v>0</v>
      </c>
      <c r="AL151" s="309">
        <f t="shared" si="227"/>
        <v>0.84899999999999998</v>
      </c>
      <c r="AM151" s="309">
        <f t="shared" si="228"/>
        <v>0.84899999999999998</v>
      </c>
      <c r="AN151" s="309">
        <f t="shared" si="229"/>
        <v>0.84899999999999998</v>
      </c>
      <c r="AO151" s="309">
        <f t="shared" si="230"/>
        <v>0.84899999999999998</v>
      </c>
      <c r="AP151" s="446">
        <f t="shared" si="231"/>
        <v>0</v>
      </c>
      <c r="AQ151" s="446">
        <f t="shared" si="232"/>
        <v>0</v>
      </c>
      <c r="AR151" s="446">
        <f t="shared" si="233"/>
        <v>0</v>
      </c>
      <c r="AS151" s="446">
        <f t="shared" si="234"/>
        <v>0</v>
      </c>
      <c r="AT151" s="309">
        <f>INDEX('BUS Measure-Model Summary'!$Y$6:$Y$684,MATCH(H151,'BUS Measure-Model Summary'!$A$6:$A$684,0))</f>
        <v>0.67500000000000004</v>
      </c>
      <c r="AU151" s="309">
        <f t="shared" si="244"/>
        <v>0.67500000000000004</v>
      </c>
      <c r="AV151" s="309">
        <f t="shared" si="244"/>
        <v>0.67500000000000004</v>
      </c>
      <c r="AW151" s="309">
        <f t="shared" si="244"/>
        <v>0.67500000000000004</v>
      </c>
      <c r="AX151" s="243">
        <f t="shared" si="235"/>
        <v>341.03340321428573</v>
      </c>
      <c r="AY151" s="243">
        <f t="shared" si="236"/>
        <v>341.03340321428573</v>
      </c>
      <c r="AZ151" s="243">
        <f t="shared" si="237"/>
        <v>341.03340321428573</v>
      </c>
      <c r="BA151" s="243">
        <f t="shared" si="238"/>
        <v>341.03340321428573</v>
      </c>
      <c r="BB151" s="243">
        <f>VLOOKUP($D151,'2018 Plan Data'!$A$4:$K$2000,6,FALSE)</f>
        <v>17</v>
      </c>
      <c r="BC151" s="243">
        <f>VLOOKUP($D151,'2018 Plan Data'!$A$4:$K$2000,7,FALSE)</f>
        <v>16</v>
      </c>
      <c r="BD151" s="243">
        <f>VLOOKUP($D151,'2018 Plan Data'!$A$4:$K$2000,8,FALSE)</f>
        <v>20</v>
      </c>
      <c r="BE151" s="243">
        <f>VLOOKUP($D151,'2018 Plan Data'!$A$4:$K$2000,9,FALSE)</f>
        <v>22</v>
      </c>
      <c r="BF151" s="243">
        <f t="shared" si="201"/>
        <v>0</v>
      </c>
      <c r="BG151" s="243">
        <f t="shared" si="202"/>
        <v>0</v>
      </c>
      <c r="BH151" s="243">
        <f t="shared" si="203"/>
        <v>0</v>
      </c>
      <c r="BI151" s="243">
        <f t="shared" si="204"/>
        <v>0</v>
      </c>
      <c r="BJ151" s="243">
        <f t="shared" si="205"/>
        <v>8588.9894142857138</v>
      </c>
      <c r="BK151" s="243">
        <f t="shared" si="206"/>
        <v>8083.7547428571424</v>
      </c>
      <c r="BL151" s="243">
        <f t="shared" si="207"/>
        <v>10104.693428571429</v>
      </c>
      <c r="BM151" s="243">
        <f t="shared" si="208"/>
        <v>11115.162771428571</v>
      </c>
      <c r="BN151" s="243">
        <f t="shared" si="209"/>
        <v>0</v>
      </c>
      <c r="BO151" s="243">
        <f t="shared" si="210"/>
        <v>0</v>
      </c>
      <c r="BP151" s="243">
        <f t="shared" si="211"/>
        <v>0</v>
      </c>
      <c r="BQ151" s="243">
        <f t="shared" si="212"/>
        <v>0</v>
      </c>
      <c r="BR151" s="243">
        <f t="shared" si="239"/>
        <v>5797.5678546428571</v>
      </c>
      <c r="BS151" s="243">
        <f t="shared" si="240"/>
        <v>5456.5344514285716</v>
      </c>
      <c r="BT151" s="243">
        <f t="shared" si="241"/>
        <v>6820.6680642857145</v>
      </c>
      <c r="BU151" s="243">
        <f t="shared" si="242"/>
        <v>7502.7348707142864</v>
      </c>
      <c r="BV151" s="600"/>
      <c r="BW151" s="314">
        <f>VLOOKUP($D151,'2018 Plan Data'!$A$4:$T$2000,13,FALSE)</f>
        <v>0</v>
      </c>
      <c r="BX151" s="314">
        <f>VLOOKUP($D151,'2018 Plan Data'!$A$4:$T$2000,14,FALSE)</f>
        <v>0</v>
      </c>
      <c r="BY151" s="314">
        <f>VLOOKUP($D151,'2018 Plan Data'!$A$4:$T$2000,15,FALSE)</f>
        <v>0</v>
      </c>
      <c r="BZ151" s="314">
        <f>VLOOKUP($D151,'2018 Plan Data'!$A$4:$T$2000,16,FALSE)</f>
        <v>0</v>
      </c>
      <c r="CA151" s="314">
        <f>IF(VLOOKUP($D151,'2018 Plan Data'!$A$4:$T$2000,17,FALSE)&gt;0,VLOOKUP($D151,'2018 Plan Data'!$A$4:$T$2000,17,FALSE),0)</f>
        <v>5797.5678546428571</v>
      </c>
      <c r="CB151" s="314">
        <f>IF(VLOOKUP($D151,'2018 Plan Data'!$A$4:$T$2000,18,FALSE)&gt;0,VLOOKUP($D151,'2018 Plan Data'!$A$4:$T$2000,18,FALSE),0)</f>
        <v>5456.5344514285716</v>
      </c>
      <c r="CC151" s="314">
        <f>IF(VLOOKUP($D151,'2018 Plan Data'!$A$4:$T$2000,19,FALSE)&gt;0,VLOOKUP($D151,'2018 Plan Data'!$A$4:$T$2000,19,FALSE),0)</f>
        <v>6820.6680642857145</v>
      </c>
      <c r="CD151" s="314">
        <f>IF(VLOOKUP($D151,'2018 Plan Data'!$A$4:$T$2000,20,FALSE)&gt;0,VLOOKUP($D151,'2018 Plan Data'!$A$4:$T$2000,20,FALSE),0)</f>
        <v>7502.7348707142864</v>
      </c>
      <c r="CE151" s="600" t="b">
        <f t="shared" si="213"/>
        <v>1</v>
      </c>
      <c r="CF151" s="600" t="b">
        <f t="shared" si="214"/>
        <v>1</v>
      </c>
      <c r="CG151" s="600" t="b">
        <f t="shared" si="215"/>
        <v>1</v>
      </c>
      <c r="CH151" s="600" t="b">
        <f t="shared" si="216"/>
        <v>1</v>
      </c>
      <c r="CI151" s="600" t="b">
        <f t="shared" si="217"/>
        <v>1</v>
      </c>
      <c r="CJ151" s="600" t="b">
        <f t="shared" si="218"/>
        <v>1</v>
      </c>
      <c r="CK151" s="600" t="b">
        <f t="shared" si="219"/>
        <v>1</v>
      </c>
      <c r="CL151" s="600" t="b">
        <f t="shared" si="220"/>
        <v>1</v>
      </c>
    </row>
    <row r="152" spans="1:349" ht="15" customHeight="1" x14ac:dyDescent="0.35">
      <c r="A152" s="585">
        <f t="shared" si="221"/>
        <v>86</v>
      </c>
      <c r="B152" s="600" t="str">
        <f t="shared" si="200"/>
        <v>Business_Standard</v>
      </c>
      <c r="C152" s="600"/>
      <c r="D152">
        <v>86</v>
      </c>
      <c r="E152" s="600" t="s">
        <v>1944</v>
      </c>
      <c r="F152" s="600" t="str">
        <f>VLOOKUP(G152,Sheet4!$D$6:$E$22,2,FALSE)</f>
        <v>Standard</v>
      </c>
      <c r="G152" t="s">
        <v>81</v>
      </c>
      <c r="H152" s="296" t="s">
        <v>204</v>
      </c>
      <c r="J152" s="18" t="s">
        <v>100</v>
      </c>
      <c r="K152" s="72" t="str">
        <f>INDEX('Measure Codes'!$F$4:$F$821,MATCH(H152,'Measure Codes'!$D$4:$D$821,0))</f>
        <v>4.4.16</v>
      </c>
      <c r="L152" s="72" t="str">
        <f>INDEX('Measure Codes'!$G$4:$G$821,MATCH(H152,'Measure Codes'!$D$4:$D$821,0))</f>
        <v>CI-HVC-STRE-V05-180101</v>
      </c>
      <c r="M152" s="600">
        <v>1</v>
      </c>
      <c r="O152" s="72" t="str">
        <f t="shared" si="222"/>
        <v>Gas</v>
      </c>
      <c r="P152" s="7">
        <f>VLOOKUP(D152,'2018 Plan Data'!$A$4:$K$1000,11,FALSE)</f>
        <v>6</v>
      </c>
      <c r="Q152" s="652">
        <f>VLOOKUP(D152,'2018 Plan Data'!$A$4:$L$1000,12,FALSE)</f>
        <v>0</v>
      </c>
      <c r="R152" s="314">
        <v>0</v>
      </c>
      <c r="T152" s="314">
        <v>0</v>
      </c>
      <c r="V152" s="314">
        <f>'BUS - BPST2 (TRM)'!C13</f>
        <v>297.65043171806178</v>
      </c>
      <c r="AD152" s="309">
        <f>INDEX('BUS Measure-Model Summary'!$I$6:$I$684,MATCH(H152,'BUS Measure-Model Summary'!$A$6:$A$684,0))</f>
        <v>0.60799999999999998</v>
      </c>
      <c r="AE152" s="309">
        <f t="shared" si="243"/>
        <v>0.60799999999999998</v>
      </c>
      <c r="AF152" s="309">
        <f t="shared" si="243"/>
        <v>0.60799999999999998</v>
      </c>
      <c r="AG152" s="309">
        <f t="shared" si="243"/>
        <v>0.60799999999999998</v>
      </c>
      <c r="AH152" s="314">
        <f t="shared" si="223"/>
        <v>0</v>
      </c>
      <c r="AI152" s="314">
        <f t="shared" si="224"/>
        <v>0</v>
      </c>
      <c r="AJ152" s="314">
        <f t="shared" si="225"/>
        <v>0</v>
      </c>
      <c r="AK152" s="314">
        <f t="shared" si="226"/>
        <v>0</v>
      </c>
      <c r="AL152" s="309">
        <f t="shared" si="227"/>
        <v>0.60799999999999998</v>
      </c>
      <c r="AM152" s="309">
        <f t="shared" si="228"/>
        <v>0.60799999999999998</v>
      </c>
      <c r="AN152" s="309">
        <f t="shared" si="229"/>
        <v>0.60799999999999998</v>
      </c>
      <c r="AO152" s="309">
        <f t="shared" si="230"/>
        <v>0.60799999999999998</v>
      </c>
      <c r="AP152" s="446">
        <f t="shared" si="231"/>
        <v>0</v>
      </c>
      <c r="AQ152" s="446">
        <f t="shared" si="232"/>
        <v>0</v>
      </c>
      <c r="AR152" s="446">
        <f t="shared" si="233"/>
        <v>0</v>
      </c>
      <c r="AS152" s="446">
        <f t="shared" si="234"/>
        <v>0</v>
      </c>
      <c r="AT152" s="309">
        <f>INDEX('BUS Measure-Model Summary'!$Y$6:$Y$684,MATCH(H152,'BUS Measure-Model Summary'!$A$6:$A$684,0))</f>
        <v>0.60799999999999998</v>
      </c>
      <c r="AU152" s="309">
        <f t="shared" si="244"/>
        <v>0.60799999999999998</v>
      </c>
      <c r="AV152" s="309">
        <f t="shared" si="244"/>
        <v>0.60799999999999998</v>
      </c>
      <c r="AW152" s="309">
        <f t="shared" si="244"/>
        <v>0.60799999999999998</v>
      </c>
      <c r="AX152" s="243">
        <f t="shared" si="235"/>
        <v>180.97146248458156</v>
      </c>
      <c r="AY152" s="243">
        <f t="shared" si="236"/>
        <v>180.97146248458156</v>
      </c>
      <c r="AZ152" s="243">
        <f t="shared" si="237"/>
        <v>180.97146248458156</v>
      </c>
      <c r="BA152" s="243">
        <f t="shared" si="238"/>
        <v>180.97146248458156</v>
      </c>
      <c r="BB152" s="243">
        <f>VLOOKUP($D152,'2018 Plan Data'!$A$4:$K$2000,6,FALSE)</f>
        <v>190</v>
      </c>
      <c r="BC152" s="243">
        <f>VLOOKUP($D152,'2018 Plan Data'!$A$4:$K$2000,7,FALSE)</f>
        <v>190</v>
      </c>
      <c r="BD152" s="243">
        <f>VLOOKUP($D152,'2018 Plan Data'!$A$4:$K$2000,8,FALSE)</f>
        <v>215</v>
      </c>
      <c r="BE152" s="243">
        <f>VLOOKUP($D152,'2018 Plan Data'!$A$4:$K$2000,9,FALSE)</f>
        <v>225</v>
      </c>
      <c r="BF152" s="243">
        <f t="shared" si="201"/>
        <v>0</v>
      </c>
      <c r="BG152" s="243">
        <f t="shared" si="202"/>
        <v>0</v>
      </c>
      <c r="BH152" s="243">
        <f t="shared" si="203"/>
        <v>0</v>
      </c>
      <c r="BI152" s="243">
        <f t="shared" si="204"/>
        <v>0</v>
      </c>
      <c r="BJ152" s="243">
        <f t="shared" si="205"/>
        <v>56553.582026431737</v>
      </c>
      <c r="BK152" s="243">
        <f t="shared" si="206"/>
        <v>56553.582026431737</v>
      </c>
      <c r="BL152" s="243">
        <f t="shared" si="207"/>
        <v>63994.842819383281</v>
      </c>
      <c r="BM152" s="243">
        <f t="shared" si="208"/>
        <v>66971.347136563898</v>
      </c>
      <c r="BN152" s="243">
        <f t="shared" si="209"/>
        <v>0</v>
      </c>
      <c r="BO152" s="243">
        <f t="shared" si="210"/>
        <v>0</v>
      </c>
      <c r="BP152" s="243">
        <f t="shared" si="211"/>
        <v>0</v>
      </c>
      <c r="BQ152" s="243">
        <f t="shared" si="212"/>
        <v>0</v>
      </c>
      <c r="BR152" s="243">
        <f t="shared" si="239"/>
        <v>34384.577872070498</v>
      </c>
      <c r="BS152" s="243">
        <f t="shared" si="240"/>
        <v>34384.577872070498</v>
      </c>
      <c r="BT152" s="243">
        <f t="shared" si="241"/>
        <v>38908.864434185038</v>
      </c>
      <c r="BU152" s="243">
        <f t="shared" si="242"/>
        <v>40718.579059030853</v>
      </c>
      <c r="BV152" s="600"/>
      <c r="BW152" s="314">
        <f>VLOOKUP($D152,'2018 Plan Data'!$A$4:$T$2000,13,FALSE)</f>
        <v>0</v>
      </c>
      <c r="BX152" s="314">
        <f>VLOOKUP($D152,'2018 Plan Data'!$A$4:$T$2000,14,FALSE)</f>
        <v>0</v>
      </c>
      <c r="BY152" s="314">
        <f>VLOOKUP($D152,'2018 Plan Data'!$A$4:$T$2000,15,FALSE)</f>
        <v>0</v>
      </c>
      <c r="BZ152" s="314">
        <f>VLOOKUP($D152,'2018 Plan Data'!$A$4:$T$2000,16,FALSE)</f>
        <v>0</v>
      </c>
      <c r="CA152" s="314">
        <f>IF(VLOOKUP($D152,'2018 Plan Data'!$A$4:$T$2000,17,FALSE)&gt;0,VLOOKUP($D152,'2018 Plan Data'!$A$4:$T$2000,17,FALSE),0)</f>
        <v>34384.577872070498</v>
      </c>
      <c r="CB152" s="314">
        <f>IF(VLOOKUP($D152,'2018 Plan Data'!$A$4:$T$2000,18,FALSE)&gt;0,VLOOKUP($D152,'2018 Plan Data'!$A$4:$T$2000,18,FALSE),0)</f>
        <v>34384.577872070498</v>
      </c>
      <c r="CC152" s="314">
        <f>IF(VLOOKUP($D152,'2018 Plan Data'!$A$4:$T$2000,19,FALSE)&gt;0,VLOOKUP($D152,'2018 Plan Data'!$A$4:$T$2000,19,FALSE),0)</f>
        <v>38908.864434185038</v>
      </c>
      <c r="CD152" s="314">
        <f>IF(VLOOKUP($D152,'2018 Plan Data'!$A$4:$T$2000,20,FALSE)&gt;0,VLOOKUP($D152,'2018 Plan Data'!$A$4:$T$2000,20,FALSE),0)</f>
        <v>40718.579059030853</v>
      </c>
      <c r="CE152" s="600" t="b">
        <f t="shared" si="213"/>
        <v>1</v>
      </c>
      <c r="CF152" s="600" t="b">
        <f t="shared" si="214"/>
        <v>1</v>
      </c>
      <c r="CG152" s="600" t="b">
        <f t="shared" si="215"/>
        <v>1</v>
      </c>
      <c r="CH152" s="600" t="b">
        <f t="shared" si="216"/>
        <v>1</v>
      </c>
      <c r="CI152" s="600" t="b">
        <f t="shared" si="217"/>
        <v>1</v>
      </c>
      <c r="CJ152" s="600" t="b">
        <f t="shared" si="218"/>
        <v>1</v>
      </c>
      <c r="CK152" s="600" t="b">
        <f t="shared" si="219"/>
        <v>1</v>
      </c>
      <c r="CL152" s="600" t="b">
        <f t="shared" si="220"/>
        <v>1</v>
      </c>
    </row>
    <row r="153" spans="1:349" ht="15" customHeight="1" x14ac:dyDescent="0.35">
      <c r="A153" s="585">
        <f t="shared" si="221"/>
        <v>87</v>
      </c>
      <c r="B153" s="600" t="str">
        <f t="shared" si="200"/>
        <v>Business_Standard</v>
      </c>
      <c r="C153" s="600"/>
      <c r="D153">
        <v>87</v>
      </c>
      <c r="E153" s="600" t="s">
        <v>1944</v>
      </c>
      <c r="F153" s="600" t="str">
        <f>VLOOKUP(G153,Sheet4!$D$6:$E$22,2,FALSE)</f>
        <v>Standard</v>
      </c>
      <c r="G153" t="s">
        <v>81</v>
      </c>
      <c r="H153" s="296" t="s">
        <v>206</v>
      </c>
      <c r="J153" s="18" t="s">
        <v>100</v>
      </c>
      <c r="K153" s="72" t="str">
        <f>INDEX('Measure Codes'!$F$4:$F$821,MATCH(H153,'Measure Codes'!$D$4:$D$821,0))</f>
        <v>4.4.16</v>
      </c>
      <c r="L153" s="72" t="str">
        <f>INDEX('Measure Codes'!$G$4:$G$821,MATCH(H153,'Measure Codes'!$D$4:$D$821,0))</f>
        <v>CI-HVC-STRE-V05-180101</v>
      </c>
      <c r="M153" s="600">
        <v>1</v>
      </c>
      <c r="O153" s="72" t="str">
        <f t="shared" si="222"/>
        <v>Gas</v>
      </c>
      <c r="P153" s="7">
        <f>VLOOKUP(D153,'2018 Plan Data'!$A$4:$K$1000,11,FALSE)</f>
        <v>6</v>
      </c>
      <c r="Q153" s="652">
        <f>VLOOKUP(D153,'2018 Plan Data'!$A$4:$L$1000,12,FALSE)</f>
        <v>0</v>
      </c>
      <c r="R153" s="314">
        <v>0</v>
      </c>
      <c r="T153" s="314">
        <v>0</v>
      </c>
      <c r="V153" s="314">
        <f>'BUS - BPST5 (TRM)'!C13</f>
        <v>4382.0432722457281</v>
      </c>
      <c r="AD153" s="309">
        <f>INDEX('BUS Measure-Model Summary'!$I$6:$I$684,MATCH(H153,'BUS Measure-Model Summary'!$A$6:$A$684,0))</f>
        <v>0.60799999999999998</v>
      </c>
      <c r="AE153" s="309">
        <f t="shared" si="243"/>
        <v>0.60799999999999998</v>
      </c>
      <c r="AF153" s="309">
        <f t="shared" si="243"/>
        <v>0.60799999999999998</v>
      </c>
      <c r="AG153" s="309">
        <f t="shared" si="243"/>
        <v>0.60799999999999998</v>
      </c>
      <c r="AH153" s="314">
        <f t="shared" si="223"/>
        <v>0</v>
      </c>
      <c r="AI153" s="314">
        <f t="shared" si="224"/>
        <v>0</v>
      </c>
      <c r="AJ153" s="314">
        <f t="shared" si="225"/>
        <v>0</v>
      </c>
      <c r="AK153" s="314">
        <f t="shared" si="226"/>
        <v>0</v>
      </c>
      <c r="AL153" s="309">
        <f t="shared" si="227"/>
        <v>0.60799999999999998</v>
      </c>
      <c r="AM153" s="309">
        <f t="shared" si="228"/>
        <v>0.60799999999999998</v>
      </c>
      <c r="AN153" s="309">
        <f t="shared" si="229"/>
        <v>0.60799999999999998</v>
      </c>
      <c r="AO153" s="309">
        <f t="shared" si="230"/>
        <v>0.60799999999999998</v>
      </c>
      <c r="AP153" s="446">
        <f t="shared" si="231"/>
        <v>0</v>
      </c>
      <c r="AQ153" s="446">
        <f t="shared" si="232"/>
        <v>0</v>
      </c>
      <c r="AR153" s="446">
        <f t="shared" si="233"/>
        <v>0</v>
      </c>
      <c r="AS153" s="446">
        <f t="shared" si="234"/>
        <v>0</v>
      </c>
      <c r="AT153" s="309">
        <f>INDEX('BUS Measure-Model Summary'!$Y$6:$Y$684,MATCH(H153,'BUS Measure-Model Summary'!$A$6:$A$684,0))</f>
        <v>0.60799999999999998</v>
      </c>
      <c r="AU153" s="309">
        <f t="shared" si="244"/>
        <v>0.60799999999999998</v>
      </c>
      <c r="AV153" s="309">
        <f t="shared" si="244"/>
        <v>0.60799999999999998</v>
      </c>
      <c r="AW153" s="309">
        <f t="shared" si="244"/>
        <v>0.60799999999999998</v>
      </c>
      <c r="AX153" s="243">
        <f t="shared" si="235"/>
        <v>2664.2823095254025</v>
      </c>
      <c r="AY153" s="243">
        <f t="shared" si="236"/>
        <v>2664.2823095254025</v>
      </c>
      <c r="AZ153" s="243">
        <f t="shared" si="237"/>
        <v>2664.2823095254025</v>
      </c>
      <c r="BA153" s="243">
        <f t="shared" si="238"/>
        <v>2664.2823095254025</v>
      </c>
      <c r="BB153" s="243">
        <f>VLOOKUP($D153,'2018 Plan Data'!$A$4:$K$2000,6,FALSE)</f>
        <v>285</v>
      </c>
      <c r="BC153" s="243">
        <f>VLOOKUP($D153,'2018 Plan Data'!$A$4:$K$2000,7,FALSE)</f>
        <v>269</v>
      </c>
      <c r="BD153" s="243">
        <f>VLOOKUP($D153,'2018 Plan Data'!$A$4:$K$2000,8,FALSE)</f>
        <v>0</v>
      </c>
      <c r="BE153" s="243">
        <f>VLOOKUP($D153,'2018 Plan Data'!$A$4:$K$2000,9,FALSE)</f>
        <v>0</v>
      </c>
      <c r="BF153" s="243">
        <f t="shared" si="201"/>
        <v>0</v>
      </c>
      <c r="BG153" s="243">
        <f t="shared" si="202"/>
        <v>0</v>
      </c>
      <c r="BH153" s="243">
        <f t="shared" si="203"/>
        <v>0</v>
      </c>
      <c r="BI153" s="243">
        <f t="shared" si="204"/>
        <v>0</v>
      </c>
      <c r="BJ153" s="243">
        <f t="shared" si="205"/>
        <v>1248882.3325900326</v>
      </c>
      <c r="BK153" s="243">
        <f t="shared" si="206"/>
        <v>1178769.6402341009</v>
      </c>
      <c r="BL153" s="243">
        <f t="shared" si="207"/>
        <v>0</v>
      </c>
      <c r="BM153" s="243">
        <f t="shared" si="208"/>
        <v>0</v>
      </c>
      <c r="BN153" s="243">
        <f t="shared" si="209"/>
        <v>0</v>
      </c>
      <c r="BO153" s="243">
        <f t="shared" si="210"/>
        <v>0</v>
      </c>
      <c r="BP153" s="243">
        <f t="shared" si="211"/>
        <v>0</v>
      </c>
      <c r="BQ153" s="243">
        <f t="shared" si="212"/>
        <v>0</v>
      </c>
      <c r="BR153" s="243">
        <f t="shared" si="239"/>
        <v>759320.45821473969</v>
      </c>
      <c r="BS153" s="243">
        <f t="shared" si="240"/>
        <v>716691.9412623333</v>
      </c>
      <c r="BT153" s="243">
        <f t="shared" si="241"/>
        <v>0</v>
      </c>
      <c r="BU153" s="243">
        <f t="shared" si="242"/>
        <v>0</v>
      </c>
      <c r="BV153" s="600"/>
      <c r="BW153" s="314">
        <f>VLOOKUP($D153,'2018 Plan Data'!$A$4:$T$2000,13,FALSE)</f>
        <v>0</v>
      </c>
      <c r="BX153" s="314">
        <f>VLOOKUP($D153,'2018 Plan Data'!$A$4:$T$2000,14,FALSE)</f>
        <v>0</v>
      </c>
      <c r="BY153" s="314">
        <f>VLOOKUP($D153,'2018 Plan Data'!$A$4:$T$2000,15,FALSE)</f>
        <v>0</v>
      </c>
      <c r="BZ153" s="314">
        <f>VLOOKUP($D153,'2018 Plan Data'!$A$4:$T$2000,16,FALSE)</f>
        <v>0</v>
      </c>
      <c r="CA153" s="314">
        <f>IF(VLOOKUP($D153,'2018 Plan Data'!$A$4:$T$2000,17,FALSE)&gt;0,VLOOKUP($D153,'2018 Plan Data'!$A$4:$T$2000,17,FALSE),0)</f>
        <v>759320.45821473969</v>
      </c>
      <c r="CB153" s="314">
        <f>IF(VLOOKUP($D153,'2018 Plan Data'!$A$4:$T$2000,18,FALSE)&gt;0,VLOOKUP($D153,'2018 Plan Data'!$A$4:$T$2000,18,FALSE),0)</f>
        <v>716691.9412623333</v>
      </c>
      <c r="CC153" s="314">
        <f>IF(VLOOKUP($D153,'2018 Plan Data'!$A$4:$T$2000,19,FALSE)&gt;0,VLOOKUP($D153,'2018 Plan Data'!$A$4:$T$2000,19,FALSE),0)</f>
        <v>0</v>
      </c>
      <c r="CD153" s="314">
        <f>IF(VLOOKUP($D153,'2018 Plan Data'!$A$4:$T$2000,20,FALSE)&gt;0,VLOOKUP($D153,'2018 Plan Data'!$A$4:$T$2000,20,FALSE),0)</f>
        <v>0</v>
      </c>
      <c r="CE153" s="600" t="b">
        <f t="shared" si="213"/>
        <v>1</v>
      </c>
      <c r="CF153" s="600" t="b">
        <f t="shared" si="214"/>
        <v>1</v>
      </c>
      <c r="CG153" s="600" t="b">
        <f t="shared" si="215"/>
        <v>1</v>
      </c>
      <c r="CH153" s="600" t="b">
        <f t="shared" si="216"/>
        <v>1</v>
      </c>
      <c r="CI153" s="600" t="b">
        <f t="shared" si="217"/>
        <v>1</v>
      </c>
      <c r="CJ153" s="600" t="b">
        <f t="shared" si="218"/>
        <v>1</v>
      </c>
      <c r="CK153" s="600" t="b">
        <f t="shared" si="219"/>
        <v>1</v>
      </c>
      <c r="CL153" s="600" t="b">
        <f t="shared" si="220"/>
        <v>1</v>
      </c>
    </row>
    <row r="154" spans="1:349" ht="15" customHeight="1" x14ac:dyDescent="0.35">
      <c r="A154" s="585">
        <f t="shared" si="221"/>
        <v>103</v>
      </c>
      <c r="B154" s="600" t="str">
        <f t="shared" si="200"/>
        <v>Business_Standard</v>
      </c>
      <c r="C154" s="600"/>
      <c r="D154">
        <v>103</v>
      </c>
      <c r="E154" s="600" t="s">
        <v>1944</v>
      </c>
      <c r="F154" s="600" t="str">
        <f>VLOOKUP(G154,Sheet4!$D$6:$E$22,2,FALSE)</f>
        <v>Standard</v>
      </c>
      <c r="G154" t="s">
        <v>81</v>
      </c>
      <c r="H154" s="296" t="s">
        <v>209</v>
      </c>
      <c r="J154" s="18" t="s">
        <v>148</v>
      </c>
      <c r="K154" s="72" t="str">
        <f>INDEX('Measure Codes'!$F$4:$F$821,MATCH(H154,'Measure Codes'!$D$4:$D$821,0))</f>
        <v>4.2.1</v>
      </c>
      <c r="L154" s="72" t="str">
        <f>INDEX('Measure Codes'!$G$4:$G$821,MATCH(H154,'Measure Codes'!$D$4:$D$821,0))</f>
        <v>CI-FSE-CBOV-V02-160601</v>
      </c>
      <c r="M154" s="600">
        <v>1</v>
      </c>
      <c r="O154" s="72" t="str">
        <f t="shared" si="222"/>
        <v>Gas</v>
      </c>
      <c r="P154" s="7">
        <f>VLOOKUP(D154,'2018 Plan Data'!$A$4:$K$1000,11,FALSE)</f>
        <v>12</v>
      </c>
      <c r="Q154" s="652">
        <f>VLOOKUP(D154,'2018 Plan Data'!$A$4:$L$1000,12,FALSE)</f>
        <v>0</v>
      </c>
      <c r="R154" s="314">
        <f>'BUS Measure-Model Summary'!D245</f>
        <v>0</v>
      </c>
      <c r="T154" s="314">
        <f>'BUS Measure-Model Summary'!E245</f>
        <v>0</v>
      </c>
      <c r="V154" s="314">
        <f>'BUS Measure-Model Summary'!F245</f>
        <v>257</v>
      </c>
      <c r="AD154" s="309">
        <f>INDEX('BUS Measure-Model Summary'!$I$6:$I$684,MATCH(H154,'BUS Measure-Model Summary'!$A$6:$A$684,0))</f>
        <v>0.84899999999999998</v>
      </c>
      <c r="AE154" s="309">
        <f t="shared" si="243"/>
        <v>0.84899999999999998</v>
      </c>
      <c r="AF154" s="309">
        <f t="shared" si="243"/>
        <v>0.84899999999999998</v>
      </c>
      <c r="AG154" s="309">
        <f t="shared" si="243"/>
        <v>0.84899999999999998</v>
      </c>
      <c r="AH154" s="314">
        <f t="shared" si="223"/>
        <v>0</v>
      </c>
      <c r="AI154" s="314">
        <f t="shared" si="224"/>
        <v>0</v>
      </c>
      <c r="AJ154" s="314">
        <f t="shared" si="225"/>
        <v>0</v>
      </c>
      <c r="AK154" s="314">
        <f t="shared" si="226"/>
        <v>0</v>
      </c>
      <c r="AL154" s="309">
        <f t="shared" si="227"/>
        <v>0.84899999999999998</v>
      </c>
      <c r="AM154" s="309">
        <f t="shared" si="228"/>
        <v>0.84899999999999998</v>
      </c>
      <c r="AN154" s="309">
        <f t="shared" si="229"/>
        <v>0.84899999999999998</v>
      </c>
      <c r="AO154" s="309">
        <f t="shared" si="230"/>
        <v>0.84899999999999998</v>
      </c>
      <c r="AP154" s="446">
        <f t="shared" si="231"/>
        <v>0</v>
      </c>
      <c r="AQ154" s="446">
        <f t="shared" si="232"/>
        <v>0</v>
      </c>
      <c r="AR154" s="446">
        <f t="shared" si="233"/>
        <v>0</v>
      </c>
      <c r="AS154" s="446">
        <f t="shared" si="234"/>
        <v>0</v>
      </c>
      <c r="AT154" s="309">
        <f>INDEX('BUS Measure-Model Summary'!$Y$6:$Y$684,MATCH(H154,'BUS Measure-Model Summary'!$A$6:$A$684,0))</f>
        <v>0.67500000000000004</v>
      </c>
      <c r="AU154" s="309">
        <f t="shared" si="244"/>
        <v>0.67500000000000004</v>
      </c>
      <c r="AV154" s="309">
        <f t="shared" si="244"/>
        <v>0.67500000000000004</v>
      </c>
      <c r="AW154" s="309">
        <f t="shared" si="244"/>
        <v>0.67500000000000004</v>
      </c>
      <c r="AX154" s="243">
        <f t="shared" si="235"/>
        <v>173.47500000000002</v>
      </c>
      <c r="AY154" s="243">
        <f t="shared" si="236"/>
        <v>173.47500000000002</v>
      </c>
      <c r="AZ154" s="243">
        <f t="shared" si="237"/>
        <v>173.47500000000002</v>
      </c>
      <c r="BA154" s="243">
        <f t="shared" si="238"/>
        <v>173.47500000000002</v>
      </c>
      <c r="BB154" s="243">
        <f>VLOOKUP($D154,'2018 Plan Data'!$A$4:$K$2000,6,FALSE)</f>
        <v>1</v>
      </c>
      <c r="BC154" s="243">
        <f>VLOOKUP($D154,'2018 Plan Data'!$A$4:$K$2000,7,FALSE)</f>
        <v>1</v>
      </c>
      <c r="BD154" s="243">
        <f>VLOOKUP($D154,'2018 Plan Data'!$A$4:$K$2000,8,FALSE)</f>
        <v>2</v>
      </c>
      <c r="BE154" s="243">
        <f>VLOOKUP($D154,'2018 Plan Data'!$A$4:$K$2000,9,FALSE)</f>
        <v>2</v>
      </c>
      <c r="BF154" s="243">
        <f t="shared" si="201"/>
        <v>0</v>
      </c>
      <c r="BG154" s="243">
        <f t="shared" si="202"/>
        <v>0</v>
      </c>
      <c r="BH154" s="243">
        <f t="shared" si="203"/>
        <v>0</v>
      </c>
      <c r="BI154" s="243">
        <f t="shared" si="204"/>
        <v>0</v>
      </c>
      <c r="BJ154" s="243">
        <f t="shared" si="205"/>
        <v>257</v>
      </c>
      <c r="BK154" s="243">
        <f t="shared" si="206"/>
        <v>257</v>
      </c>
      <c r="BL154" s="243">
        <f t="shared" si="207"/>
        <v>514</v>
      </c>
      <c r="BM154" s="243">
        <f t="shared" si="208"/>
        <v>514</v>
      </c>
      <c r="BN154" s="243">
        <f t="shared" si="209"/>
        <v>0</v>
      </c>
      <c r="BO154" s="243">
        <f t="shared" si="210"/>
        <v>0</v>
      </c>
      <c r="BP154" s="243">
        <f t="shared" si="211"/>
        <v>0</v>
      </c>
      <c r="BQ154" s="243">
        <f t="shared" si="212"/>
        <v>0</v>
      </c>
      <c r="BR154" s="243">
        <f t="shared" si="239"/>
        <v>173.47500000000002</v>
      </c>
      <c r="BS154" s="243">
        <f t="shared" si="240"/>
        <v>173.47500000000002</v>
      </c>
      <c r="BT154" s="243">
        <f t="shared" si="241"/>
        <v>346.95000000000005</v>
      </c>
      <c r="BU154" s="243">
        <f t="shared" si="242"/>
        <v>346.95000000000005</v>
      </c>
      <c r="BV154" s="600"/>
      <c r="BW154" s="314">
        <f>VLOOKUP($D154,'2018 Plan Data'!$A$4:$T$2000,13,FALSE)</f>
        <v>0</v>
      </c>
      <c r="BX154" s="314">
        <f>VLOOKUP($D154,'2018 Plan Data'!$A$4:$T$2000,14,FALSE)</f>
        <v>0</v>
      </c>
      <c r="BY154" s="314">
        <f>VLOOKUP($D154,'2018 Plan Data'!$A$4:$T$2000,15,FALSE)</f>
        <v>0</v>
      </c>
      <c r="BZ154" s="314">
        <f>VLOOKUP($D154,'2018 Plan Data'!$A$4:$T$2000,16,FALSE)</f>
        <v>0</v>
      </c>
      <c r="CA154" s="314">
        <f>IF(VLOOKUP($D154,'2018 Plan Data'!$A$4:$T$2000,17,FALSE)&gt;0,VLOOKUP($D154,'2018 Plan Data'!$A$4:$T$2000,17,FALSE),0)</f>
        <v>173.47500000000002</v>
      </c>
      <c r="CB154" s="314">
        <f>IF(VLOOKUP($D154,'2018 Plan Data'!$A$4:$T$2000,18,FALSE)&gt;0,VLOOKUP($D154,'2018 Plan Data'!$A$4:$T$2000,18,FALSE),0)</f>
        <v>173.47500000000002</v>
      </c>
      <c r="CC154" s="314">
        <f>IF(VLOOKUP($D154,'2018 Plan Data'!$A$4:$T$2000,19,FALSE)&gt;0,VLOOKUP($D154,'2018 Plan Data'!$A$4:$T$2000,19,FALSE),0)</f>
        <v>346.95000000000005</v>
      </c>
      <c r="CD154" s="314">
        <f>IF(VLOOKUP($D154,'2018 Plan Data'!$A$4:$T$2000,20,FALSE)&gt;0,VLOOKUP($D154,'2018 Plan Data'!$A$4:$T$2000,20,FALSE),0)</f>
        <v>346.95000000000005</v>
      </c>
      <c r="CE154" s="600" t="b">
        <f t="shared" si="213"/>
        <v>1</v>
      </c>
      <c r="CF154" s="600" t="b">
        <f t="shared" si="214"/>
        <v>1</v>
      </c>
      <c r="CG154" s="600" t="b">
        <f t="shared" si="215"/>
        <v>1</v>
      </c>
      <c r="CH154" s="600" t="b">
        <f t="shared" si="216"/>
        <v>1</v>
      </c>
      <c r="CI154" s="600" t="b">
        <f t="shared" si="217"/>
        <v>1</v>
      </c>
      <c r="CJ154" s="600" t="b">
        <f t="shared" si="218"/>
        <v>1</v>
      </c>
      <c r="CK154" s="600" t="b">
        <f t="shared" si="219"/>
        <v>1</v>
      </c>
      <c r="CL154" s="600" t="b">
        <f t="shared" si="220"/>
        <v>1</v>
      </c>
    </row>
    <row r="155" spans="1:349" ht="15" customHeight="1" x14ac:dyDescent="0.35">
      <c r="A155" s="585">
        <f t="shared" si="221"/>
        <v>48</v>
      </c>
      <c r="B155" s="585" t="str">
        <f t="shared" si="200"/>
        <v>Business_Standard</v>
      </c>
      <c r="C155" s="585"/>
      <c r="D155" s="585">
        <v>48</v>
      </c>
      <c r="E155" s="585" t="s">
        <v>1944</v>
      </c>
      <c r="F155" s="600" t="str">
        <f>VLOOKUP(G155,Sheet4!$D$6:$E$22,2,FALSE)</f>
        <v>Standard</v>
      </c>
      <c r="G155" s="585" t="s">
        <v>81</v>
      </c>
      <c r="H155" s="2336" t="s">
        <v>2957</v>
      </c>
      <c r="I155" s="72" t="s">
        <v>1123</v>
      </c>
      <c r="J155" s="18" t="s">
        <v>100</v>
      </c>
      <c r="K155" s="72" t="str">
        <f>INDEX('Measure Codes'!$F$4:$F$821,MATCH(I155,'Measure Codes'!$D$4:$D$821,0))</f>
        <v>n/a</v>
      </c>
      <c r="L155" s="72" t="str">
        <f>INDEX('Measure Codes'!$G$4:$G$821,MATCH(I155,'Measure Codes'!$D$4:$D$821,0))</f>
        <v>n/a</v>
      </c>
      <c r="M155" s="600">
        <v>1</v>
      </c>
      <c r="O155" s="72" t="str">
        <f t="shared" si="222"/>
        <v>Dual Fuel</v>
      </c>
      <c r="P155" s="7">
        <f>VLOOKUP(D155,'2018 Plan Data'!$A$4:$K$1000,11,FALSE)</f>
        <v>10</v>
      </c>
      <c r="Q155" s="652">
        <f>VLOOKUP(D155,'2018 Plan Data'!$A$4:$L$1000,12,FALSE)</f>
        <v>0</v>
      </c>
      <c r="R155" s="314">
        <f>R137</f>
        <v>621</v>
      </c>
      <c r="S155" s="314">
        <f>S137</f>
        <v>0</v>
      </c>
      <c r="T155" s="314">
        <f>T137</f>
        <v>5.7634999999999999E-2</v>
      </c>
      <c r="U155" s="314">
        <f>U137</f>
        <v>0</v>
      </c>
      <c r="V155" s="314">
        <f>V137</f>
        <v>61.482900000000001</v>
      </c>
      <c r="AD155" s="309">
        <f>INDEX('BUS Measure-Model Summary'!$I$6:$I$684,MATCH(H155,'BUS Measure-Model Summary'!$A$6:$A$684,0))</f>
        <v>0.55700000000000005</v>
      </c>
      <c r="AE155" s="309">
        <f t="shared" si="243"/>
        <v>0.55700000000000005</v>
      </c>
      <c r="AF155" s="309">
        <f t="shared" si="243"/>
        <v>0.55700000000000005</v>
      </c>
      <c r="AG155" s="309">
        <f t="shared" si="243"/>
        <v>0.55700000000000005</v>
      </c>
      <c r="AH155" s="314">
        <f t="shared" si="223"/>
        <v>345.89700000000005</v>
      </c>
      <c r="AI155" s="314">
        <f t="shared" si="224"/>
        <v>345.89700000000005</v>
      </c>
      <c r="AJ155" s="314">
        <f t="shared" si="225"/>
        <v>345.89700000000005</v>
      </c>
      <c r="AK155" s="314">
        <f t="shared" si="226"/>
        <v>345.89700000000005</v>
      </c>
      <c r="AL155" s="309">
        <f t="shared" si="227"/>
        <v>0.55700000000000005</v>
      </c>
      <c r="AM155" s="309">
        <f t="shared" si="228"/>
        <v>0.55700000000000005</v>
      </c>
      <c r="AN155" s="309">
        <f t="shared" si="229"/>
        <v>0.55700000000000005</v>
      </c>
      <c r="AO155" s="309">
        <f t="shared" si="230"/>
        <v>0.55700000000000005</v>
      </c>
      <c r="AP155" s="446">
        <f t="shared" si="231"/>
        <v>3.2102695000000001E-2</v>
      </c>
      <c r="AQ155" s="446">
        <f t="shared" si="232"/>
        <v>3.2102695000000001E-2</v>
      </c>
      <c r="AR155" s="446">
        <f t="shared" si="233"/>
        <v>3.2102695000000001E-2</v>
      </c>
      <c r="AS155" s="446">
        <f t="shared" si="234"/>
        <v>3.2102695000000001E-2</v>
      </c>
      <c r="AT155" s="309">
        <f>INDEX('BUS Measure-Model Summary'!$Y$6:$Y$684,MATCH(H155,'BUS Measure-Model Summary'!$A$6:$A$684,0))</f>
        <v>0.49399999999999999</v>
      </c>
      <c r="AU155" s="309">
        <f t="shared" si="244"/>
        <v>0.49399999999999999</v>
      </c>
      <c r="AV155" s="309">
        <f t="shared" si="244"/>
        <v>0.49399999999999999</v>
      </c>
      <c r="AW155" s="309">
        <f t="shared" si="244"/>
        <v>0.49399999999999999</v>
      </c>
      <c r="AX155" s="243">
        <f t="shared" si="235"/>
        <v>30.372552599999999</v>
      </c>
      <c r="AY155" s="243">
        <f t="shared" si="236"/>
        <v>30.372552599999999</v>
      </c>
      <c r="AZ155" s="243">
        <f t="shared" si="237"/>
        <v>30.372552599999999</v>
      </c>
      <c r="BA155" s="243">
        <f t="shared" si="238"/>
        <v>30.372552599999999</v>
      </c>
      <c r="BB155" s="652">
        <f>VLOOKUP($D155,'2018 Plan Data'!$A$4:$K$2000,6,FALSE)</f>
        <v>0</v>
      </c>
      <c r="BC155" s="243">
        <f>VLOOKUP($D155,'2018 Plan Data'!$A$4:$K$2000,7,FALSE)</f>
        <v>66</v>
      </c>
      <c r="BD155" s="243">
        <f>VLOOKUP($D155,'2018 Plan Data'!$A$4:$K$2000,8,FALSE)</f>
        <v>91</v>
      </c>
      <c r="BE155" s="243">
        <f>VLOOKUP($D155,'2018 Plan Data'!$A$4:$K$2000,9,FALSE)</f>
        <v>95</v>
      </c>
      <c r="BF155" s="243">
        <f t="shared" si="201"/>
        <v>0</v>
      </c>
      <c r="BG155" s="243">
        <f t="shared" si="202"/>
        <v>40986</v>
      </c>
      <c r="BH155" s="243">
        <f t="shared" si="203"/>
        <v>56511</v>
      </c>
      <c r="BI155" s="243">
        <f t="shared" si="204"/>
        <v>58995</v>
      </c>
      <c r="BJ155" s="243">
        <f t="shared" si="205"/>
        <v>0</v>
      </c>
      <c r="BK155" s="243">
        <f t="shared" si="206"/>
        <v>4057.8714</v>
      </c>
      <c r="BL155" s="243">
        <f t="shared" si="207"/>
        <v>5594.9439000000002</v>
      </c>
      <c r="BM155" s="243">
        <f t="shared" si="208"/>
        <v>5840.8755000000001</v>
      </c>
      <c r="BN155" s="243">
        <f t="shared" si="209"/>
        <v>0</v>
      </c>
      <c r="BO155" s="243">
        <f t="shared" si="210"/>
        <v>22829.202000000005</v>
      </c>
      <c r="BP155" s="243">
        <f t="shared" si="211"/>
        <v>31476.627000000004</v>
      </c>
      <c r="BQ155" s="243">
        <f t="shared" si="212"/>
        <v>32860.215000000004</v>
      </c>
      <c r="BR155" s="243">
        <f t="shared" si="239"/>
        <v>0</v>
      </c>
      <c r="BS155" s="243">
        <f t="shared" si="240"/>
        <v>2004.5884715999998</v>
      </c>
      <c r="BT155" s="243">
        <f t="shared" si="241"/>
        <v>2763.9022866</v>
      </c>
      <c r="BU155" s="243">
        <f t="shared" si="242"/>
        <v>2885.3924969999998</v>
      </c>
      <c r="BV155" s="600"/>
      <c r="BW155" s="314">
        <f>VLOOKUP($D155,'2018 Plan Data'!$A$4:$T$2000,13,FALSE)</f>
        <v>0</v>
      </c>
      <c r="BX155" s="314">
        <f>VLOOKUP($D155,'2018 Plan Data'!$A$4:$T$2000,14,FALSE)</f>
        <v>22829.202000000005</v>
      </c>
      <c r="BY155" s="314">
        <f>VLOOKUP($D155,'2018 Plan Data'!$A$4:$T$2000,15,FALSE)</f>
        <v>31476.627000000004</v>
      </c>
      <c r="BZ155" s="314">
        <f>VLOOKUP($D155,'2018 Plan Data'!$A$4:$T$2000,16,FALSE)</f>
        <v>32860.215000000004</v>
      </c>
      <c r="CA155" s="314">
        <f>IF(VLOOKUP($D155,'2018 Plan Data'!$A$4:$T$2000,17,FALSE)&gt;0,VLOOKUP($D155,'2018 Plan Data'!$A$4:$T$2000,17,FALSE),0)</f>
        <v>0</v>
      </c>
      <c r="CB155" s="314">
        <f>IF(VLOOKUP($D155,'2018 Plan Data'!$A$4:$T$2000,18,FALSE)&gt;0,VLOOKUP($D155,'2018 Plan Data'!$A$4:$T$2000,18,FALSE),0)</f>
        <v>2004.5884715999998</v>
      </c>
      <c r="CC155" s="314">
        <f>IF(VLOOKUP($D155,'2018 Plan Data'!$A$4:$T$2000,19,FALSE)&gt;0,VLOOKUP($D155,'2018 Plan Data'!$A$4:$T$2000,19,FALSE),0)</f>
        <v>2763.9022866</v>
      </c>
      <c r="CD155" s="314">
        <f>IF(VLOOKUP($D155,'2018 Plan Data'!$A$4:$T$2000,20,FALSE)&gt;0,VLOOKUP($D155,'2018 Plan Data'!$A$4:$T$2000,20,FALSE),0)</f>
        <v>2885.3924969999998</v>
      </c>
      <c r="CE155" s="600" t="b">
        <f t="shared" si="213"/>
        <v>1</v>
      </c>
      <c r="CF155" s="600" t="b">
        <f t="shared" si="214"/>
        <v>1</v>
      </c>
      <c r="CG155" s="600" t="b">
        <f t="shared" si="215"/>
        <v>1</v>
      </c>
      <c r="CH155" s="600" t="b">
        <f t="shared" si="216"/>
        <v>1</v>
      </c>
      <c r="CI155" s="600" t="b">
        <f t="shared" si="217"/>
        <v>1</v>
      </c>
      <c r="CJ155" s="600" t="b">
        <f t="shared" si="218"/>
        <v>1</v>
      </c>
      <c r="CK155" s="600" t="b">
        <f t="shared" si="219"/>
        <v>1</v>
      </c>
      <c r="CL155" s="600" t="b">
        <f t="shared" si="220"/>
        <v>1</v>
      </c>
    </row>
    <row r="156" spans="1:349" ht="15" customHeight="1" x14ac:dyDescent="0.35">
      <c r="A156" s="585">
        <f t="shared" si="221"/>
        <v>88</v>
      </c>
      <c r="B156" s="585" t="str">
        <f t="shared" si="200"/>
        <v>Business_Standard</v>
      </c>
      <c r="C156" s="585"/>
      <c r="D156" s="585">
        <v>88</v>
      </c>
      <c r="E156" s="585" t="s">
        <v>1944</v>
      </c>
      <c r="F156" s="600" t="str">
        <f>VLOOKUP(G156,Sheet4!$D$6:$E$22,2,FALSE)</f>
        <v>Standard</v>
      </c>
      <c r="G156" s="585" t="s">
        <v>81</v>
      </c>
      <c r="H156" s="2336" t="s">
        <v>206</v>
      </c>
      <c r="I156" s="72" t="s">
        <v>1127</v>
      </c>
      <c r="J156" s="72" t="s">
        <v>100</v>
      </c>
      <c r="K156" s="72" t="str">
        <f>INDEX('Measure Codes'!$F$4:$F$821,MATCH(I156,'Measure Codes'!$D$4:$D$821,0))</f>
        <v>4.4.16</v>
      </c>
      <c r="L156" s="72" t="str">
        <f>INDEX('Measure Codes'!$G$4:$G$821,MATCH(H156,'Measure Codes'!$D$4:$D$821,0))</f>
        <v>CI-HVC-STRE-V05-180101</v>
      </c>
      <c r="M156" s="600">
        <v>1</v>
      </c>
      <c r="O156" s="72" t="str">
        <f t="shared" si="222"/>
        <v>Gas</v>
      </c>
      <c r="P156" s="7">
        <f>VLOOKUP(D156,'2018 Plan Data'!$A$4:$K$1000,11,FALSE)</f>
        <v>6</v>
      </c>
      <c r="Q156" s="652">
        <f>VLOOKUP(D156,'2018 Plan Data'!$A$4:$L$1000,12,FALSE)</f>
        <v>0</v>
      </c>
      <c r="R156" s="314">
        <f>R153</f>
        <v>0</v>
      </c>
      <c r="S156" s="314">
        <f>S153</f>
        <v>0</v>
      </c>
      <c r="T156" s="314">
        <f>T153</f>
        <v>0</v>
      </c>
      <c r="U156" s="314">
        <f>U153</f>
        <v>0</v>
      </c>
      <c r="V156" s="314">
        <f>V153</f>
        <v>4382.0432722457281</v>
      </c>
      <c r="AD156" s="309">
        <f>INDEX('BUS Measure-Model Summary'!$I$6:$I$684,MATCH(H156,'BUS Measure-Model Summary'!$A$6:$A$684,0))</f>
        <v>0.60799999999999998</v>
      </c>
      <c r="AE156" s="309">
        <f t="shared" si="243"/>
        <v>0.60799999999999998</v>
      </c>
      <c r="AF156" s="309">
        <f t="shared" si="243"/>
        <v>0.60799999999999998</v>
      </c>
      <c r="AG156" s="309">
        <f t="shared" si="243"/>
        <v>0.60799999999999998</v>
      </c>
      <c r="AH156" s="314">
        <f t="shared" si="223"/>
        <v>0</v>
      </c>
      <c r="AI156" s="314">
        <f t="shared" si="224"/>
        <v>0</v>
      </c>
      <c r="AJ156" s="314">
        <f t="shared" si="225"/>
        <v>0</v>
      </c>
      <c r="AK156" s="314">
        <f t="shared" si="226"/>
        <v>0</v>
      </c>
      <c r="AL156" s="309">
        <f t="shared" si="227"/>
        <v>0.60799999999999998</v>
      </c>
      <c r="AM156" s="309">
        <f t="shared" si="228"/>
        <v>0.60799999999999998</v>
      </c>
      <c r="AN156" s="309">
        <f t="shared" si="229"/>
        <v>0.60799999999999998</v>
      </c>
      <c r="AO156" s="309">
        <f t="shared" si="230"/>
        <v>0.60799999999999998</v>
      </c>
      <c r="AP156" s="446">
        <f t="shared" si="231"/>
        <v>0</v>
      </c>
      <c r="AQ156" s="446">
        <f t="shared" si="232"/>
        <v>0</v>
      </c>
      <c r="AR156" s="446">
        <f t="shared" si="233"/>
        <v>0</v>
      </c>
      <c r="AS156" s="446">
        <f t="shared" si="234"/>
        <v>0</v>
      </c>
      <c r="AT156" s="309">
        <f>INDEX('BUS Measure-Model Summary'!$Y$6:$Y$684,MATCH(H156,'BUS Measure-Model Summary'!$A$6:$A$684,0))</f>
        <v>0.60799999999999998</v>
      </c>
      <c r="AU156" s="309">
        <f t="shared" si="244"/>
        <v>0.60799999999999998</v>
      </c>
      <c r="AV156" s="309">
        <f t="shared" si="244"/>
        <v>0.60799999999999998</v>
      </c>
      <c r="AW156" s="309">
        <f t="shared" si="244"/>
        <v>0.60799999999999998</v>
      </c>
      <c r="AX156" s="243">
        <f t="shared" si="235"/>
        <v>2664.2823095254025</v>
      </c>
      <c r="AY156" s="243">
        <f t="shared" si="236"/>
        <v>2664.2823095254025</v>
      </c>
      <c r="AZ156" s="243">
        <f t="shared" si="237"/>
        <v>2664.2823095254025</v>
      </c>
      <c r="BA156" s="243">
        <f t="shared" si="238"/>
        <v>2664.2823095254025</v>
      </c>
      <c r="BB156" s="243">
        <f>VLOOKUP($D156,'2018 Plan Data'!$A$4:$K$2000,6,FALSE)</f>
        <v>0</v>
      </c>
      <c r="BC156" s="243">
        <f>VLOOKUP($D156,'2018 Plan Data'!$A$4:$K$2000,7,FALSE)</f>
        <v>0</v>
      </c>
      <c r="BD156" s="243">
        <f>VLOOKUP($D156,'2018 Plan Data'!$A$4:$K$2000,8,FALSE)</f>
        <v>50</v>
      </c>
      <c r="BE156" s="243">
        <f>VLOOKUP($D156,'2018 Plan Data'!$A$4:$K$2000,9,FALSE)</f>
        <v>50</v>
      </c>
      <c r="BF156" s="243">
        <f t="shared" si="201"/>
        <v>0</v>
      </c>
      <c r="BG156" s="243">
        <f t="shared" si="202"/>
        <v>0</v>
      </c>
      <c r="BH156" s="243">
        <f t="shared" si="203"/>
        <v>0</v>
      </c>
      <c r="BI156" s="243">
        <f t="shared" si="204"/>
        <v>0</v>
      </c>
      <c r="BJ156" s="243">
        <f t="shared" si="205"/>
        <v>0</v>
      </c>
      <c r="BK156" s="243">
        <f t="shared" si="206"/>
        <v>0</v>
      </c>
      <c r="BL156" s="243">
        <f t="shared" si="207"/>
        <v>219102.16361228641</v>
      </c>
      <c r="BM156" s="243">
        <f t="shared" si="208"/>
        <v>219102.16361228641</v>
      </c>
      <c r="BN156" s="243">
        <f t="shared" si="209"/>
        <v>0</v>
      </c>
      <c r="BO156" s="243">
        <f t="shared" si="210"/>
        <v>0</v>
      </c>
      <c r="BP156" s="243">
        <f t="shared" si="211"/>
        <v>0</v>
      </c>
      <c r="BQ156" s="243">
        <f t="shared" si="212"/>
        <v>0</v>
      </c>
      <c r="BR156" s="243">
        <f t="shared" si="239"/>
        <v>0</v>
      </c>
      <c r="BS156" s="243">
        <f t="shared" si="240"/>
        <v>0</v>
      </c>
      <c r="BT156" s="243">
        <f t="shared" si="241"/>
        <v>133214.11547627012</v>
      </c>
      <c r="BU156" s="243">
        <f t="shared" si="242"/>
        <v>133214.11547627012</v>
      </c>
      <c r="BV156" s="600"/>
      <c r="BW156" s="314">
        <f>VLOOKUP($D156,'2018 Plan Data'!$A$4:$T$2000,13,FALSE)</f>
        <v>0</v>
      </c>
      <c r="BX156" s="314">
        <f>VLOOKUP($D156,'2018 Plan Data'!$A$4:$T$2000,14,FALSE)</f>
        <v>0</v>
      </c>
      <c r="BY156" s="314">
        <f>VLOOKUP($D156,'2018 Plan Data'!$A$4:$T$2000,15,FALSE)</f>
        <v>0</v>
      </c>
      <c r="BZ156" s="314">
        <f>VLOOKUP($D156,'2018 Plan Data'!$A$4:$T$2000,16,FALSE)</f>
        <v>0</v>
      </c>
      <c r="CA156" s="314">
        <f>IF(VLOOKUP($D156,'2018 Plan Data'!$A$4:$T$2000,17,FALSE)&gt;0,VLOOKUP($D156,'2018 Plan Data'!$A$4:$T$2000,17,FALSE),0)</f>
        <v>0</v>
      </c>
      <c r="CB156" s="314">
        <f>IF(VLOOKUP($D156,'2018 Plan Data'!$A$4:$T$2000,18,FALSE)&gt;0,VLOOKUP($D156,'2018 Plan Data'!$A$4:$T$2000,18,FALSE),0)</f>
        <v>0</v>
      </c>
      <c r="CC156" s="314">
        <f>IF(VLOOKUP($D156,'2018 Plan Data'!$A$4:$T$2000,19,FALSE)&gt;0,VLOOKUP($D156,'2018 Plan Data'!$A$4:$T$2000,19,FALSE),0)</f>
        <v>133214.11547627012</v>
      </c>
      <c r="CD156" s="314">
        <f>IF(VLOOKUP($D156,'2018 Plan Data'!$A$4:$T$2000,20,FALSE)&gt;0,VLOOKUP($D156,'2018 Plan Data'!$A$4:$T$2000,20,FALSE),0)</f>
        <v>133214.11547627012</v>
      </c>
      <c r="CE156" s="600" t="b">
        <f t="shared" si="213"/>
        <v>1</v>
      </c>
      <c r="CF156" s="600" t="b">
        <f t="shared" si="214"/>
        <v>1</v>
      </c>
      <c r="CG156" s="600" t="b">
        <f t="shared" si="215"/>
        <v>1</v>
      </c>
      <c r="CH156" s="600" t="b">
        <f t="shared" si="216"/>
        <v>1</v>
      </c>
      <c r="CI156" s="600" t="b">
        <f t="shared" si="217"/>
        <v>1</v>
      </c>
      <c r="CJ156" s="600" t="b">
        <f t="shared" si="218"/>
        <v>1</v>
      </c>
      <c r="CK156" s="600" t="b">
        <f t="shared" si="219"/>
        <v>1</v>
      </c>
      <c r="CL156" s="600" t="b">
        <f t="shared" si="220"/>
        <v>1</v>
      </c>
    </row>
    <row r="157" spans="1:349" s="600" customFormat="1" ht="15" customHeight="1" x14ac:dyDescent="0.35">
      <c r="A157" s="585">
        <f t="shared" si="221"/>
        <v>336</v>
      </c>
      <c r="B157" s="600" t="str">
        <f t="shared" si="200"/>
        <v>Business_Standard-Public Buildings</v>
      </c>
      <c r="D157" s="600">
        <v>336</v>
      </c>
      <c r="E157" s="600" t="s">
        <v>1944</v>
      </c>
      <c r="F157" s="600" t="str">
        <f>VLOOKUP(G157,Sheet4!$D$6:$E$22,2,FALSE)</f>
        <v>Standard</v>
      </c>
      <c r="G157" s="600" t="s">
        <v>1054</v>
      </c>
      <c r="H157" s="296" t="s">
        <v>139</v>
      </c>
      <c r="J157" s="72"/>
      <c r="K157" s="72" t="str">
        <f>INDEX('Measure Codes'!$F$4:$F$821,MATCH(H157,'Measure Codes'!$D$4:$D$821,0))</f>
        <v>4.2.11</v>
      </c>
      <c r="L157" s="72" t="str">
        <f>INDEX('Measure Codes'!$G$4:$G$821,MATCH(H157,'Measure Codes'!$D$4:$D$821,0))</f>
        <v>CI-FSE-SPRY-V04-180101</v>
      </c>
      <c r="M157" s="600">
        <v>1</v>
      </c>
      <c r="O157" s="72" t="str">
        <f t="shared" si="222"/>
        <v>Gas</v>
      </c>
      <c r="P157" s="7">
        <f>VLOOKUP(D157,'2018 Plan Data'!$A$4:$K$1000,11,FALSE)</f>
        <v>5</v>
      </c>
      <c r="Q157" s="652">
        <f>VLOOKUP(D157,'2018 Plan Data'!$A$4:$L$1000,12,FALSE)</f>
        <v>0</v>
      </c>
      <c r="R157" s="314">
        <f>'BUS Measure-Model Summary'!D561</f>
        <v>0</v>
      </c>
      <c r="S157" s="314"/>
      <c r="T157" s="314">
        <f>'BUS Measure-Model Summary'!E561</f>
        <v>0</v>
      </c>
      <c r="U157" s="314"/>
      <c r="V157" s="314">
        <f>'BUS Measure-Model Summary'!F561</f>
        <v>172</v>
      </c>
      <c r="W157" s="314"/>
      <c r="AD157" s="309">
        <f>'BUS Measure-Model Summary'!I607</f>
        <v>0.9</v>
      </c>
      <c r="AE157" s="309">
        <f t="shared" si="243"/>
        <v>0.9</v>
      </c>
      <c r="AF157" s="309">
        <f t="shared" si="243"/>
        <v>0.9</v>
      </c>
      <c r="AG157" s="309">
        <f t="shared" si="243"/>
        <v>0.9</v>
      </c>
      <c r="AH157" s="314">
        <f t="shared" si="223"/>
        <v>0</v>
      </c>
      <c r="AI157" s="314">
        <f t="shared" si="224"/>
        <v>0</v>
      </c>
      <c r="AJ157" s="314">
        <f t="shared" si="225"/>
        <v>0</v>
      </c>
      <c r="AK157" s="314">
        <f t="shared" si="226"/>
        <v>0</v>
      </c>
      <c r="AL157" s="309">
        <f t="shared" si="227"/>
        <v>0.9</v>
      </c>
      <c r="AM157" s="309">
        <f t="shared" si="228"/>
        <v>0.9</v>
      </c>
      <c r="AN157" s="309">
        <f t="shared" si="229"/>
        <v>0.9</v>
      </c>
      <c r="AO157" s="309">
        <f t="shared" si="230"/>
        <v>0.9</v>
      </c>
      <c r="AP157" s="446">
        <f t="shared" si="231"/>
        <v>0</v>
      </c>
      <c r="AQ157" s="446">
        <f t="shared" si="232"/>
        <v>0</v>
      </c>
      <c r="AR157" s="446">
        <f t="shared" si="233"/>
        <v>0</v>
      </c>
      <c r="AS157" s="446">
        <f t="shared" si="234"/>
        <v>0</v>
      </c>
      <c r="AT157" s="309">
        <f t="shared" ref="AT157:AT199" si="245">AD157</f>
        <v>0.9</v>
      </c>
      <c r="AU157" s="309">
        <f t="shared" si="244"/>
        <v>0.9</v>
      </c>
      <c r="AV157" s="309">
        <f t="shared" si="244"/>
        <v>0.9</v>
      </c>
      <c r="AW157" s="309">
        <f t="shared" si="244"/>
        <v>0.9</v>
      </c>
      <c r="AX157" s="243">
        <f t="shared" si="235"/>
        <v>154.80000000000001</v>
      </c>
      <c r="AY157" s="243">
        <f t="shared" si="236"/>
        <v>154.80000000000001</v>
      </c>
      <c r="AZ157" s="243">
        <f t="shared" si="237"/>
        <v>154.80000000000001</v>
      </c>
      <c r="BA157" s="243">
        <f t="shared" si="238"/>
        <v>154.80000000000001</v>
      </c>
      <c r="BB157" s="243">
        <f>VLOOKUP($D157,'2018 Plan Data'!$A$4:$K$2000,6,FALSE)</f>
        <v>15</v>
      </c>
      <c r="BC157" s="243">
        <f>VLOOKUP($D157,'2018 Plan Data'!$A$4:$K$2000,7,FALSE)</f>
        <v>15</v>
      </c>
      <c r="BD157" s="243">
        <f>VLOOKUP($D157,'2018 Plan Data'!$A$4:$K$2000,8,FALSE)</f>
        <v>15</v>
      </c>
      <c r="BE157" s="243">
        <f>VLOOKUP($D157,'2018 Plan Data'!$A$4:$K$2000,9,FALSE)</f>
        <v>15</v>
      </c>
      <c r="BF157" s="243">
        <f t="shared" si="201"/>
        <v>0</v>
      </c>
      <c r="BG157" s="243">
        <f t="shared" si="202"/>
        <v>0</v>
      </c>
      <c r="BH157" s="243">
        <f t="shared" si="203"/>
        <v>0</v>
      </c>
      <c r="BI157" s="243">
        <f t="shared" si="204"/>
        <v>0</v>
      </c>
      <c r="BJ157" s="243">
        <f t="shared" si="205"/>
        <v>2580</v>
      </c>
      <c r="BK157" s="243">
        <f t="shared" si="206"/>
        <v>2580</v>
      </c>
      <c r="BL157" s="243">
        <f t="shared" si="207"/>
        <v>2580</v>
      </c>
      <c r="BM157" s="243">
        <f t="shared" si="208"/>
        <v>2580</v>
      </c>
      <c r="BN157" s="243">
        <f t="shared" ref="BN157:BN199" si="246">ROUND(AH157*BB157,10)</f>
        <v>0</v>
      </c>
      <c r="BO157" s="243">
        <f t="shared" ref="BO157:BO188" si="247">AI157*BC157</f>
        <v>0</v>
      </c>
      <c r="BP157" s="243">
        <f t="shared" ref="BP157:BP188" si="248">AJ157*BD157</f>
        <v>0</v>
      </c>
      <c r="BQ157" s="243">
        <f t="shared" ref="BQ157:BQ188" si="249">AK157*BE157</f>
        <v>0</v>
      </c>
      <c r="BR157" s="243">
        <f t="shared" si="239"/>
        <v>2322</v>
      </c>
      <c r="BS157" s="243">
        <f t="shared" si="240"/>
        <v>2322</v>
      </c>
      <c r="BT157" s="243">
        <f t="shared" si="241"/>
        <v>2322</v>
      </c>
      <c r="BU157" s="243">
        <f t="shared" si="242"/>
        <v>2322</v>
      </c>
      <c r="BW157" s="243">
        <f>ROUND(VLOOKUP($D157,'2018 Plan Data'!$A$4:$T$2000,13,FALSE),10)</f>
        <v>0</v>
      </c>
      <c r="BX157" s="314">
        <f>VLOOKUP($D157,'2018 Plan Data'!$A$4:$T$2000,14,FALSE)</f>
        <v>0</v>
      </c>
      <c r="BY157" s="314">
        <f>VLOOKUP($D157,'2018 Plan Data'!$A$4:$T$2000,15,FALSE)</f>
        <v>0</v>
      </c>
      <c r="BZ157" s="314">
        <f>VLOOKUP($D157,'2018 Plan Data'!$A$4:$T$2000,16,FALSE)</f>
        <v>0</v>
      </c>
      <c r="CA157" s="314">
        <f>IF(VLOOKUP($D157,'2018 Plan Data'!$A$4:$T$2000,17,FALSE)&gt;0,VLOOKUP($D157,'2018 Plan Data'!$A$4:$T$2000,17,FALSE),0)</f>
        <v>2322</v>
      </c>
      <c r="CB157" s="314">
        <f>IF(VLOOKUP($D157,'2018 Plan Data'!$A$4:$T$2000,18,FALSE)&gt;0,VLOOKUP($D157,'2018 Plan Data'!$A$4:$T$2000,18,FALSE),0)</f>
        <v>2322</v>
      </c>
      <c r="CC157" s="314">
        <f>IF(VLOOKUP($D157,'2018 Plan Data'!$A$4:$T$2000,19,FALSE)&gt;0,VLOOKUP($D157,'2018 Plan Data'!$A$4:$T$2000,19,FALSE),0)</f>
        <v>2322</v>
      </c>
      <c r="CD157" s="314">
        <f>IF(VLOOKUP($D157,'2018 Plan Data'!$A$4:$T$2000,20,FALSE)&gt;0,VLOOKUP($D157,'2018 Plan Data'!$A$4:$T$2000,20,FALSE),0)</f>
        <v>2322</v>
      </c>
      <c r="CE157" s="600" t="b">
        <f t="shared" si="213"/>
        <v>1</v>
      </c>
      <c r="CF157" s="600" t="b">
        <f t="shared" si="214"/>
        <v>1</v>
      </c>
      <c r="CG157" s="600" t="b">
        <f t="shared" si="215"/>
        <v>1</v>
      </c>
      <c r="CH157" s="600" t="b">
        <f t="shared" si="216"/>
        <v>1</v>
      </c>
      <c r="CI157" s="600" t="b">
        <f t="shared" si="217"/>
        <v>1</v>
      </c>
      <c r="CJ157" s="600" t="b">
        <f t="shared" si="218"/>
        <v>1</v>
      </c>
      <c r="CK157" s="600" t="b">
        <f t="shared" si="219"/>
        <v>1</v>
      </c>
      <c r="CL157" s="600" t="b">
        <f t="shared" si="220"/>
        <v>1</v>
      </c>
      <c r="CM157" s="585"/>
      <c r="CN157" s="585"/>
      <c r="CO157" s="585"/>
      <c r="CP157" s="585"/>
      <c r="CQ157" s="585"/>
      <c r="CR157" s="585"/>
      <c r="CS157" s="585"/>
      <c r="CT157" s="585"/>
      <c r="CU157" s="585"/>
      <c r="CV157" s="585"/>
      <c r="CW157" s="585"/>
      <c r="CX157" s="585"/>
      <c r="CY157" s="585"/>
      <c r="CZ157" s="585"/>
      <c r="DA157" s="585"/>
      <c r="DB157" s="585"/>
      <c r="DC157" s="585"/>
      <c r="DD157" s="585"/>
      <c r="DE157" s="585"/>
      <c r="DF157" s="585"/>
      <c r="DG157" s="585"/>
      <c r="DH157" s="585"/>
      <c r="DI157" s="585"/>
      <c r="DJ157" s="585"/>
      <c r="DK157" s="585"/>
      <c r="DL157" s="585"/>
      <c r="DM157" s="585"/>
      <c r="DN157" s="585"/>
      <c r="DO157" s="585"/>
      <c r="DP157" s="585"/>
      <c r="DQ157" s="585"/>
      <c r="DR157" s="585"/>
      <c r="DS157" s="585"/>
      <c r="DT157" s="585"/>
      <c r="DU157" s="585"/>
      <c r="DV157" s="585"/>
      <c r="DW157" s="585"/>
      <c r="DX157" s="585"/>
      <c r="DY157" s="585"/>
      <c r="DZ157" s="585"/>
      <c r="EA157" s="585"/>
      <c r="EB157" s="585"/>
      <c r="EC157" s="585"/>
      <c r="ED157" s="585"/>
      <c r="EE157" s="585"/>
      <c r="EF157" s="585"/>
      <c r="EG157" s="585"/>
      <c r="EH157" s="585"/>
      <c r="EI157" s="585"/>
      <c r="EJ157" s="585"/>
      <c r="EK157" s="585"/>
      <c r="EL157" s="585"/>
      <c r="EM157" s="585"/>
      <c r="EN157" s="585"/>
      <c r="EO157" s="585"/>
      <c r="EP157" s="585"/>
      <c r="EQ157" s="585"/>
      <c r="ER157" s="585"/>
      <c r="ES157" s="585"/>
      <c r="ET157" s="585"/>
      <c r="EU157" s="585"/>
      <c r="EV157" s="585"/>
      <c r="EW157" s="585"/>
      <c r="EX157" s="585"/>
      <c r="EY157" s="585"/>
      <c r="EZ157" s="585"/>
      <c r="FA157" s="585"/>
      <c r="FB157" s="585"/>
      <c r="FC157" s="585"/>
      <c r="FD157" s="585"/>
      <c r="FE157" s="585"/>
      <c r="FF157" s="585"/>
      <c r="FG157" s="585"/>
      <c r="FH157" s="585"/>
      <c r="FI157" s="585"/>
      <c r="FJ157" s="585"/>
      <c r="FK157" s="585"/>
      <c r="FL157" s="585"/>
      <c r="FM157" s="585"/>
      <c r="FN157" s="585"/>
      <c r="FO157" s="585"/>
      <c r="FP157" s="585"/>
      <c r="FQ157" s="585"/>
      <c r="FR157" s="585"/>
      <c r="FS157" s="585"/>
      <c r="FT157" s="585"/>
      <c r="FU157" s="585"/>
      <c r="FV157" s="585"/>
      <c r="FW157" s="585"/>
      <c r="FX157" s="585"/>
      <c r="FY157" s="585"/>
      <c r="FZ157" s="585"/>
      <c r="GA157" s="585"/>
      <c r="GB157" s="585"/>
      <c r="GC157" s="585"/>
      <c r="GD157" s="585"/>
      <c r="GE157" s="585"/>
      <c r="GF157" s="585"/>
      <c r="GG157" s="585"/>
      <c r="GH157" s="585"/>
      <c r="GI157" s="585"/>
      <c r="GJ157" s="585"/>
      <c r="GK157" s="585"/>
      <c r="GL157" s="585"/>
      <c r="GM157" s="585"/>
      <c r="GN157" s="585"/>
      <c r="GO157" s="585"/>
      <c r="GP157" s="585"/>
      <c r="GQ157" s="585"/>
      <c r="GR157" s="585"/>
      <c r="GS157" s="585"/>
      <c r="GT157" s="585"/>
      <c r="GU157" s="585"/>
      <c r="GV157" s="585"/>
      <c r="GW157" s="585"/>
      <c r="GX157" s="585"/>
      <c r="GY157" s="585"/>
      <c r="GZ157" s="585"/>
      <c r="HA157" s="585"/>
      <c r="HB157" s="585"/>
      <c r="HC157" s="585"/>
      <c r="HD157" s="585"/>
      <c r="HE157" s="585"/>
      <c r="HF157" s="585"/>
      <c r="HG157" s="585"/>
      <c r="HH157" s="585"/>
      <c r="HI157" s="585"/>
      <c r="HJ157" s="585"/>
      <c r="HK157" s="585"/>
      <c r="HL157" s="585"/>
      <c r="HM157" s="585"/>
      <c r="HN157" s="585"/>
      <c r="HO157" s="585"/>
      <c r="HP157" s="585"/>
      <c r="HQ157" s="585"/>
      <c r="HR157" s="585"/>
      <c r="HS157" s="585"/>
      <c r="HT157" s="585"/>
      <c r="HU157" s="585"/>
      <c r="HV157" s="585"/>
      <c r="HW157" s="585"/>
      <c r="HX157" s="585"/>
      <c r="HY157" s="585"/>
      <c r="HZ157" s="585"/>
      <c r="IA157" s="585"/>
      <c r="IB157" s="585"/>
      <c r="IC157" s="585"/>
      <c r="ID157" s="585"/>
      <c r="IE157" s="585"/>
      <c r="IF157" s="585"/>
      <c r="IG157" s="585"/>
      <c r="IH157" s="585"/>
      <c r="II157" s="585"/>
      <c r="IJ157" s="585"/>
      <c r="IK157" s="585"/>
      <c r="IL157" s="585"/>
      <c r="IM157" s="585"/>
      <c r="IN157" s="585"/>
      <c r="IO157" s="585"/>
      <c r="IP157" s="585"/>
      <c r="IQ157" s="585"/>
      <c r="IR157" s="585"/>
      <c r="IS157" s="585"/>
      <c r="IT157" s="585"/>
      <c r="IU157" s="585"/>
      <c r="IV157" s="585"/>
      <c r="IW157" s="585"/>
      <c r="IX157" s="585"/>
      <c r="IY157" s="585"/>
      <c r="IZ157" s="585"/>
      <c r="JA157" s="585"/>
      <c r="JB157" s="585"/>
      <c r="JC157" s="585"/>
      <c r="JD157" s="585"/>
      <c r="JE157" s="585"/>
      <c r="JF157" s="585"/>
      <c r="JG157" s="585"/>
      <c r="JH157" s="585"/>
      <c r="JI157" s="585"/>
      <c r="JJ157" s="585"/>
      <c r="JK157" s="585"/>
      <c r="JL157" s="585"/>
      <c r="JM157" s="585"/>
      <c r="JN157" s="585"/>
      <c r="JO157" s="585"/>
      <c r="JP157" s="585"/>
      <c r="JQ157" s="585"/>
      <c r="JR157" s="585"/>
      <c r="JS157" s="585"/>
      <c r="JT157" s="585"/>
      <c r="JU157" s="585"/>
      <c r="JV157" s="585"/>
      <c r="JW157" s="585"/>
      <c r="JX157" s="585"/>
      <c r="JY157" s="585"/>
      <c r="JZ157" s="585"/>
      <c r="KA157" s="585"/>
      <c r="KB157" s="585"/>
      <c r="KC157" s="585"/>
      <c r="KD157" s="585"/>
      <c r="KE157" s="585"/>
      <c r="KF157" s="585"/>
      <c r="KG157" s="585"/>
      <c r="KH157" s="585"/>
      <c r="KI157" s="585"/>
      <c r="KJ157" s="585"/>
      <c r="KK157" s="585"/>
      <c r="KL157" s="585"/>
      <c r="KM157" s="585"/>
      <c r="KN157" s="585"/>
      <c r="KO157" s="585"/>
      <c r="KP157" s="585"/>
      <c r="KQ157" s="585"/>
      <c r="KR157" s="585"/>
      <c r="KS157" s="585"/>
      <c r="KT157" s="585"/>
      <c r="KU157" s="585"/>
      <c r="KV157" s="585"/>
      <c r="KW157" s="585"/>
      <c r="KX157" s="585"/>
      <c r="KY157" s="585"/>
      <c r="KZ157" s="585"/>
      <c r="LA157" s="585"/>
      <c r="LB157" s="585"/>
      <c r="LC157" s="585"/>
      <c r="LD157" s="585"/>
      <c r="LE157" s="585"/>
      <c r="LF157" s="585"/>
      <c r="LG157" s="585"/>
      <c r="LH157" s="585"/>
      <c r="LI157" s="585"/>
      <c r="LJ157" s="585"/>
      <c r="LK157" s="585"/>
      <c r="LL157" s="585"/>
      <c r="LM157" s="585"/>
      <c r="LN157" s="585"/>
      <c r="LO157" s="585"/>
      <c r="LP157" s="585"/>
      <c r="LQ157" s="585"/>
      <c r="LR157" s="585"/>
      <c r="LS157" s="585"/>
      <c r="LT157" s="585"/>
      <c r="LU157" s="585"/>
      <c r="LV157" s="585"/>
      <c r="LW157" s="585"/>
      <c r="LX157" s="585"/>
      <c r="LY157" s="585"/>
      <c r="LZ157" s="585"/>
      <c r="MA157" s="585"/>
      <c r="MB157" s="585"/>
      <c r="MC157" s="585"/>
      <c r="MD157" s="585"/>
      <c r="ME157" s="585"/>
      <c r="MF157" s="585"/>
      <c r="MG157" s="585"/>
      <c r="MH157" s="585"/>
      <c r="MI157" s="585"/>
      <c r="MJ157" s="585"/>
      <c r="MK157" s="585"/>
    </row>
    <row r="158" spans="1:349" ht="15" customHeight="1" x14ac:dyDescent="0.35">
      <c r="A158" s="585">
        <f t="shared" si="221"/>
        <v>272</v>
      </c>
      <c r="B158" s="600" t="str">
        <f t="shared" si="200"/>
        <v>Business_Standard-Public Buildings</v>
      </c>
      <c r="D158">
        <v>272</v>
      </c>
      <c r="E158" s="600" t="s">
        <v>1944</v>
      </c>
      <c r="F158" s="600" t="str">
        <f>VLOOKUP(G158,Sheet4!$D$6:$E$22,2,FALSE)</f>
        <v>Standard</v>
      </c>
      <c r="G158" s="600" t="s">
        <v>1054</v>
      </c>
      <c r="H158" s="296" t="s">
        <v>144</v>
      </c>
      <c r="K158" s="72" t="str">
        <f>INDEX('Measure Codes'!$F$4:$F$821,MATCH(H158,'Measure Codes'!$D$4:$D$821,0))</f>
        <v>4.3.4</v>
      </c>
      <c r="L158" s="72" t="str">
        <f>INDEX('Measure Codes'!$G$4:$G$821,MATCH(H158,'Measure Codes'!$D$4:$D$821,0))</f>
        <v>CI-HWE-PLCV-V01-130601</v>
      </c>
      <c r="M158" s="600">
        <v>1</v>
      </c>
      <c r="O158" s="72" t="str">
        <f t="shared" si="222"/>
        <v>Gas</v>
      </c>
      <c r="P158" s="7">
        <f>VLOOKUP(D158,'2018 Plan Data'!$A$4:$K$1000,11,FALSE)</f>
        <v>6</v>
      </c>
      <c r="Q158" s="652">
        <f>VLOOKUP(D158,'2018 Plan Data'!$A$4:$L$1000,12,FALSE)</f>
        <v>0</v>
      </c>
      <c r="R158" s="314">
        <f>'BUS Measure-Model Summary'!D566</f>
        <v>0</v>
      </c>
      <c r="T158" s="314">
        <f>'BUS Measure-Model Summary'!E566</f>
        <v>0</v>
      </c>
      <c r="V158" s="314">
        <f>'BUS Measure-Model Summary'!F566</f>
        <v>587.29999999999995</v>
      </c>
      <c r="AD158" s="309">
        <f>'BUS Measure-Model Summary'!I608</f>
        <v>0.9</v>
      </c>
      <c r="AE158" s="309">
        <f t="shared" si="243"/>
        <v>0.9</v>
      </c>
      <c r="AF158" s="309">
        <f t="shared" si="243"/>
        <v>0.9</v>
      </c>
      <c r="AG158" s="309">
        <f t="shared" si="243"/>
        <v>0.9</v>
      </c>
      <c r="AH158" s="314">
        <f t="shared" si="223"/>
        <v>0</v>
      </c>
      <c r="AI158" s="314">
        <f t="shared" si="224"/>
        <v>0</v>
      </c>
      <c r="AJ158" s="314">
        <f t="shared" si="225"/>
        <v>0</v>
      </c>
      <c r="AK158" s="314">
        <f t="shared" si="226"/>
        <v>0</v>
      </c>
      <c r="AL158" s="309">
        <f t="shared" si="227"/>
        <v>0.9</v>
      </c>
      <c r="AM158" s="309">
        <f t="shared" si="228"/>
        <v>0.9</v>
      </c>
      <c r="AN158" s="309">
        <f t="shared" si="229"/>
        <v>0.9</v>
      </c>
      <c r="AO158" s="309">
        <f t="shared" si="230"/>
        <v>0.9</v>
      </c>
      <c r="AP158" s="446">
        <f t="shared" si="231"/>
        <v>0</v>
      </c>
      <c r="AQ158" s="446">
        <f t="shared" si="232"/>
        <v>0</v>
      </c>
      <c r="AR158" s="446">
        <f t="shared" si="233"/>
        <v>0</v>
      </c>
      <c r="AS158" s="446">
        <f t="shared" si="234"/>
        <v>0</v>
      </c>
      <c r="AT158" s="309">
        <f t="shared" si="245"/>
        <v>0.9</v>
      </c>
      <c r="AU158" s="309">
        <f t="shared" si="244"/>
        <v>0.9</v>
      </c>
      <c r="AV158" s="309">
        <f t="shared" si="244"/>
        <v>0.9</v>
      </c>
      <c r="AW158" s="309">
        <f t="shared" si="244"/>
        <v>0.9</v>
      </c>
      <c r="AX158" s="243">
        <f t="shared" si="235"/>
        <v>528.56999999999994</v>
      </c>
      <c r="AY158" s="243">
        <f t="shared" si="236"/>
        <v>528.56999999999994</v>
      </c>
      <c r="AZ158" s="243">
        <f t="shared" si="237"/>
        <v>528.56999999999994</v>
      </c>
      <c r="BA158" s="243">
        <f t="shared" si="238"/>
        <v>528.56999999999994</v>
      </c>
      <c r="BB158" s="243">
        <f>VLOOKUP($D158,'2018 Plan Data'!$A$4:$K$2000,6,FALSE)</f>
        <v>5</v>
      </c>
      <c r="BC158" s="243">
        <f>VLOOKUP($D158,'2018 Plan Data'!$A$4:$K$2000,7,FALSE)</f>
        <v>5</v>
      </c>
      <c r="BD158" s="243">
        <f>VLOOKUP($D158,'2018 Plan Data'!$A$4:$K$2000,8,FALSE)</f>
        <v>5</v>
      </c>
      <c r="BE158" s="243">
        <f>VLOOKUP($D158,'2018 Plan Data'!$A$4:$K$2000,9,FALSE)</f>
        <v>5</v>
      </c>
      <c r="BF158" s="243">
        <f t="shared" si="201"/>
        <v>0</v>
      </c>
      <c r="BG158" s="243">
        <f t="shared" si="202"/>
        <v>0</v>
      </c>
      <c r="BH158" s="243">
        <f t="shared" si="203"/>
        <v>0</v>
      </c>
      <c r="BI158" s="243">
        <f t="shared" si="204"/>
        <v>0</v>
      </c>
      <c r="BJ158" s="243">
        <f t="shared" si="205"/>
        <v>2936.5</v>
      </c>
      <c r="BK158" s="243">
        <f t="shared" si="206"/>
        <v>2936.5</v>
      </c>
      <c r="BL158" s="243">
        <f t="shared" si="207"/>
        <v>2936.5</v>
      </c>
      <c r="BM158" s="243">
        <f t="shared" si="208"/>
        <v>2936.5</v>
      </c>
      <c r="BN158" s="243">
        <f t="shared" si="246"/>
        <v>0</v>
      </c>
      <c r="BO158" s="243">
        <f t="shared" si="247"/>
        <v>0</v>
      </c>
      <c r="BP158" s="243">
        <f t="shared" si="248"/>
        <v>0</v>
      </c>
      <c r="BQ158" s="243">
        <f t="shared" si="249"/>
        <v>0</v>
      </c>
      <c r="BR158" s="243">
        <f t="shared" si="239"/>
        <v>2642.8499999999995</v>
      </c>
      <c r="BS158" s="243">
        <f t="shared" si="240"/>
        <v>2642.8499999999995</v>
      </c>
      <c r="BT158" s="243">
        <f t="shared" si="241"/>
        <v>2642.8499999999995</v>
      </c>
      <c r="BU158" s="243">
        <f t="shared" si="242"/>
        <v>2642.8499999999995</v>
      </c>
      <c r="BV158" s="600"/>
      <c r="BW158" s="243">
        <f>ROUND(VLOOKUP($D158,'2018 Plan Data'!$A$4:$T$2000,13,FALSE),10)</f>
        <v>0</v>
      </c>
      <c r="BX158" s="314">
        <f>VLOOKUP($D158,'2018 Plan Data'!$A$4:$T$2000,14,FALSE)</f>
        <v>0</v>
      </c>
      <c r="BY158" s="314">
        <f>VLOOKUP($D158,'2018 Plan Data'!$A$4:$T$2000,15,FALSE)</f>
        <v>0</v>
      </c>
      <c r="BZ158" s="314">
        <f>VLOOKUP($D158,'2018 Plan Data'!$A$4:$T$2000,16,FALSE)</f>
        <v>0</v>
      </c>
      <c r="CA158" s="314">
        <f>IF(VLOOKUP($D158,'2018 Plan Data'!$A$4:$T$2000,17,FALSE)&gt;0,VLOOKUP($D158,'2018 Plan Data'!$A$4:$T$2000,17,FALSE),0)</f>
        <v>2642.8499999999995</v>
      </c>
      <c r="CB158" s="314">
        <f>IF(VLOOKUP($D158,'2018 Plan Data'!$A$4:$T$2000,18,FALSE)&gt;0,VLOOKUP($D158,'2018 Plan Data'!$A$4:$T$2000,18,FALSE),0)</f>
        <v>2642.8499999999995</v>
      </c>
      <c r="CC158" s="314">
        <f>IF(VLOOKUP($D158,'2018 Plan Data'!$A$4:$T$2000,19,FALSE)&gt;0,VLOOKUP($D158,'2018 Plan Data'!$A$4:$T$2000,19,FALSE),0)</f>
        <v>2642.8499999999995</v>
      </c>
      <c r="CD158" s="314">
        <f>IF(VLOOKUP($D158,'2018 Plan Data'!$A$4:$T$2000,20,FALSE)&gt;0,VLOOKUP($D158,'2018 Plan Data'!$A$4:$T$2000,20,FALSE),0)</f>
        <v>2642.8499999999995</v>
      </c>
      <c r="CE158" s="600" t="b">
        <f t="shared" si="213"/>
        <v>1</v>
      </c>
      <c r="CF158" s="600" t="b">
        <f t="shared" si="214"/>
        <v>1</v>
      </c>
      <c r="CG158" s="600" t="b">
        <f t="shared" si="215"/>
        <v>1</v>
      </c>
      <c r="CH158" s="600" t="b">
        <f t="shared" si="216"/>
        <v>1</v>
      </c>
      <c r="CI158" s="600" t="b">
        <f t="shared" si="217"/>
        <v>1</v>
      </c>
      <c r="CJ158" s="600" t="b">
        <f t="shared" si="218"/>
        <v>1</v>
      </c>
      <c r="CK158" s="600" t="b">
        <f t="shared" si="219"/>
        <v>1</v>
      </c>
      <c r="CL158" s="600" t="b">
        <f t="shared" si="220"/>
        <v>1</v>
      </c>
    </row>
    <row r="159" spans="1:349" ht="15" customHeight="1" x14ac:dyDescent="0.35">
      <c r="A159" s="585">
        <f t="shared" si="221"/>
        <v>310</v>
      </c>
      <c r="B159" s="600" t="str">
        <f t="shared" si="200"/>
        <v>Business_Standard-Public Buildings</v>
      </c>
      <c r="D159">
        <v>310</v>
      </c>
      <c r="E159" s="600" t="s">
        <v>1944</v>
      </c>
      <c r="F159" s="600" t="str">
        <f>VLOOKUP(G159,Sheet4!$D$6:$E$22,2,FALSE)</f>
        <v>Standard</v>
      </c>
      <c r="G159" t="s">
        <v>1054</v>
      </c>
      <c r="H159" s="296" t="s">
        <v>149</v>
      </c>
      <c r="K159" s="72" t="str">
        <f>INDEX('Measure Codes'!$F$4:$F$821,MATCH(H159,'Measure Codes'!$D$4:$D$821,0))</f>
        <v>4.2.15</v>
      </c>
      <c r="L159" s="72" t="str">
        <f>INDEX('Measure Codes'!$G$4:$G$821,MATCH(H159,'Measure Codes'!$D$4:$D$821,0))</f>
        <v>CI-FSE-IRUB-V02-180101</v>
      </c>
      <c r="M159" s="600">
        <v>1</v>
      </c>
      <c r="O159" s="72" t="str">
        <f t="shared" si="222"/>
        <v>Gas</v>
      </c>
      <c r="P159" s="7">
        <f>VLOOKUP(D159,'2018 Plan Data'!$A$4:$K$1000,11,FALSE)</f>
        <v>10</v>
      </c>
      <c r="Q159" s="652">
        <f>VLOOKUP(D159,'2018 Plan Data'!$A$4:$L$1000,12,FALSE)</f>
        <v>0</v>
      </c>
      <c r="R159" s="314">
        <f>'BUS Measure-Model Summary'!D569</f>
        <v>0</v>
      </c>
      <c r="T159" s="314">
        <f>'BUS Measure-Model Summary'!E569</f>
        <v>0</v>
      </c>
      <c r="V159" s="314">
        <f>'BUS Measure-Model Summary'!F569</f>
        <v>1089</v>
      </c>
      <c r="AD159" s="309">
        <f>'BUS Measure-Model Summary'!I609</f>
        <v>0.9</v>
      </c>
      <c r="AE159" s="309">
        <f t="shared" si="243"/>
        <v>0.9</v>
      </c>
      <c r="AF159" s="309">
        <f t="shared" si="243"/>
        <v>0.9</v>
      </c>
      <c r="AG159" s="309">
        <f t="shared" si="243"/>
        <v>0.9</v>
      </c>
      <c r="AH159" s="314">
        <f t="shared" si="223"/>
        <v>0</v>
      </c>
      <c r="AI159" s="314">
        <f t="shared" si="224"/>
        <v>0</v>
      </c>
      <c r="AJ159" s="314">
        <f t="shared" si="225"/>
        <v>0</v>
      </c>
      <c r="AK159" s="314">
        <f t="shared" si="226"/>
        <v>0</v>
      </c>
      <c r="AL159" s="309">
        <f t="shared" si="227"/>
        <v>0.9</v>
      </c>
      <c r="AM159" s="309">
        <f t="shared" si="228"/>
        <v>0.9</v>
      </c>
      <c r="AN159" s="309">
        <f t="shared" si="229"/>
        <v>0.9</v>
      </c>
      <c r="AO159" s="309">
        <f t="shared" si="230"/>
        <v>0.9</v>
      </c>
      <c r="AP159" s="446">
        <f t="shared" si="231"/>
        <v>0</v>
      </c>
      <c r="AQ159" s="446">
        <f t="shared" si="232"/>
        <v>0</v>
      </c>
      <c r="AR159" s="446">
        <f t="shared" si="233"/>
        <v>0</v>
      </c>
      <c r="AS159" s="446">
        <f t="shared" si="234"/>
        <v>0</v>
      </c>
      <c r="AT159" s="309">
        <f t="shared" si="245"/>
        <v>0.9</v>
      </c>
      <c r="AU159" s="309">
        <f t="shared" si="244"/>
        <v>0.9</v>
      </c>
      <c r="AV159" s="309">
        <f t="shared" si="244"/>
        <v>0.9</v>
      </c>
      <c r="AW159" s="309">
        <f t="shared" si="244"/>
        <v>0.9</v>
      </c>
      <c r="AX159" s="243">
        <f t="shared" si="235"/>
        <v>980.1</v>
      </c>
      <c r="AY159" s="243">
        <f t="shared" si="236"/>
        <v>980.1</v>
      </c>
      <c r="AZ159" s="243">
        <f t="shared" si="237"/>
        <v>980.1</v>
      </c>
      <c r="BA159" s="243">
        <f t="shared" si="238"/>
        <v>980.1</v>
      </c>
      <c r="BB159" s="243">
        <f>VLOOKUP($D159,'2018 Plan Data'!$A$4:$K$2000,6,FALSE)</f>
        <v>0</v>
      </c>
      <c r="BC159" s="243">
        <f>VLOOKUP($D159,'2018 Plan Data'!$A$4:$K$2000,7,FALSE)</f>
        <v>1</v>
      </c>
      <c r="BD159" s="243">
        <f>VLOOKUP($D159,'2018 Plan Data'!$A$4:$K$2000,8,FALSE)</f>
        <v>0</v>
      </c>
      <c r="BE159" s="243">
        <f>VLOOKUP($D159,'2018 Plan Data'!$A$4:$K$2000,9,FALSE)</f>
        <v>1</v>
      </c>
      <c r="BF159" s="243">
        <f t="shared" si="201"/>
        <v>0</v>
      </c>
      <c r="BG159" s="243">
        <f t="shared" si="202"/>
        <v>0</v>
      </c>
      <c r="BH159" s="243">
        <f t="shared" si="203"/>
        <v>0</v>
      </c>
      <c r="BI159" s="243">
        <f t="shared" si="204"/>
        <v>0</v>
      </c>
      <c r="BJ159" s="243">
        <f t="shared" si="205"/>
        <v>0</v>
      </c>
      <c r="BK159" s="243">
        <f t="shared" si="206"/>
        <v>1089</v>
      </c>
      <c r="BL159" s="243">
        <f t="shared" si="207"/>
        <v>0</v>
      </c>
      <c r="BM159" s="243">
        <f t="shared" si="208"/>
        <v>1089</v>
      </c>
      <c r="BN159" s="243">
        <f t="shared" si="246"/>
        <v>0</v>
      </c>
      <c r="BO159" s="243">
        <f t="shared" si="247"/>
        <v>0</v>
      </c>
      <c r="BP159" s="243">
        <f t="shared" si="248"/>
        <v>0</v>
      </c>
      <c r="BQ159" s="243">
        <f t="shared" si="249"/>
        <v>0</v>
      </c>
      <c r="BR159" s="243">
        <f t="shared" si="239"/>
        <v>0</v>
      </c>
      <c r="BS159" s="243">
        <f t="shared" si="240"/>
        <v>980.1</v>
      </c>
      <c r="BT159" s="243">
        <f t="shared" si="241"/>
        <v>0</v>
      </c>
      <c r="BU159" s="243">
        <f t="shared" si="242"/>
        <v>980.1</v>
      </c>
      <c r="BV159" s="600"/>
      <c r="BW159" s="243">
        <f>ROUND(VLOOKUP($D159,'2018 Plan Data'!$A$4:$T$2000,13,FALSE),10)</f>
        <v>0</v>
      </c>
      <c r="BX159" s="314">
        <f>VLOOKUP($D159,'2018 Plan Data'!$A$4:$T$2000,14,FALSE)</f>
        <v>0</v>
      </c>
      <c r="BY159" s="314">
        <f>VLOOKUP($D159,'2018 Plan Data'!$A$4:$T$2000,15,FALSE)</f>
        <v>0</v>
      </c>
      <c r="BZ159" s="314">
        <f>VLOOKUP($D159,'2018 Plan Data'!$A$4:$T$2000,16,FALSE)</f>
        <v>0</v>
      </c>
      <c r="CA159" s="314">
        <f>IF(VLOOKUP($D159,'2018 Plan Data'!$A$4:$T$2000,17,FALSE)&gt;0,VLOOKUP($D159,'2018 Plan Data'!$A$4:$T$2000,17,FALSE),0)</f>
        <v>0</v>
      </c>
      <c r="CB159" s="314">
        <f>IF(VLOOKUP($D159,'2018 Plan Data'!$A$4:$T$2000,18,FALSE)&gt;0,VLOOKUP($D159,'2018 Plan Data'!$A$4:$T$2000,18,FALSE),0)</f>
        <v>980.1</v>
      </c>
      <c r="CC159" s="314">
        <f>IF(VLOOKUP($D159,'2018 Plan Data'!$A$4:$T$2000,19,FALSE)&gt;0,VLOOKUP($D159,'2018 Plan Data'!$A$4:$T$2000,19,FALSE),0)</f>
        <v>0</v>
      </c>
      <c r="CD159" s="314">
        <f>IF(VLOOKUP($D159,'2018 Plan Data'!$A$4:$T$2000,20,FALSE)&gt;0,VLOOKUP($D159,'2018 Plan Data'!$A$4:$T$2000,20,FALSE),0)</f>
        <v>980.1</v>
      </c>
      <c r="CE159" s="600" t="b">
        <f t="shared" si="213"/>
        <v>1</v>
      </c>
      <c r="CF159" s="600" t="b">
        <f t="shared" si="214"/>
        <v>1</v>
      </c>
      <c r="CG159" s="600" t="b">
        <f t="shared" si="215"/>
        <v>1</v>
      </c>
      <c r="CH159" s="600" t="b">
        <f t="shared" si="216"/>
        <v>1</v>
      </c>
      <c r="CI159" s="600" t="b">
        <f t="shared" si="217"/>
        <v>1</v>
      </c>
      <c r="CJ159" s="600" t="b">
        <f t="shared" si="218"/>
        <v>1</v>
      </c>
      <c r="CK159" s="600" t="b">
        <f t="shared" si="219"/>
        <v>1</v>
      </c>
      <c r="CL159" s="600" t="b">
        <f t="shared" si="220"/>
        <v>1</v>
      </c>
    </row>
    <row r="160" spans="1:349" ht="15" customHeight="1" x14ac:dyDescent="0.35">
      <c r="A160" s="585">
        <f t="shared" si="221"/>
        <v>307</v>
      </c>
      <c r="B160" s="600" t="str">
        <f t="shared" si="200"/>
        <v>Business_Standard-Public Buildings</v>
      </c>
      <c r="D160">
        <v>307</v>
      </c>
      <c r="E160" s="600" t="s">
        <v>1944</v>
      </c>
      <c r="F160" s="600" t="str">
        <f>VLOOKUP(G160,Sheet4!$D$6:$E$22,2,FALSE)</f>
        <v>Standard</v>
      </c>
      <c r="G160" s="600" t="s">
        <v>1054</v>
      </c>
      <c r="H160" s="296" t="s">
        <v>151</v>
      </c>
      <c r="K160" s="72" t="str">
        <f>INDEX('Measure Codes'!$F$4:$F$821,MATCH(H160,'Measure Codes'!$D$4:$D$821,0))</f>
        <v>4.2.12</v>
      </c>
      <c r="L160" s="72" t="str">
        <f>INDEX('Measure Codes'!$G$4:$G$821,MATCH(H160,'Measure Codes'!$D$4:$D$821,0))</f>
        <v>CI-FSE-IRCB-V02-180101</v>
      </c>
      <c r="M160" s="600">
        <v>1</v>
      </c>
      <c r="O160" s="72" t="str">
        <f t="shared" si="222"/>
        <v>Gas</v>
      </c>
      <c r="P160" s="7">
        <f>VLOOKUP(D160,'2018 Plan Data'!$A$4:$K$1000,11,FALSE)</f>
        <v>12</v>
      </c>
      <c r="Q160" s="652">
        <f>VLOOKUP(D160,'2018 Plan Data'!$A$4:$L$1000,12,FALSE)</f>
        <v>0</v>
      </c>
      <c r="R160" s="314">
        <f>'BUS Measure-Model Summary'!D571</f>
        <v>0</v>
      </c>
      <c r="T160" s="314">
        <f>'BUS Measure-Model Summary'!E571</f>
        <v>0</v>
      </c>
      <c r="V160" s="314">
        <f>'BUS Measure-Model Summary'!F571</f>
        <v>661</v>
      </c>
      <c r="AD160" s="309">
        <f>'BUS Measure-Model Summary'!I610</f>
        <v>0.9</v>
      </c>
      <c r="AE160" s="309">
        <f t="shared" si="243"/>
        <v>0.9</v>
      </c>
      <c r="AF160" s="309">
        <f t="shared" si="243"/>
        <v>0.9</v>
      </c>
      <c r="AG160" s="309">
        <f t="shared" si="243"/>
        <v>0.9</v>
      </c>
      <c r="AH160" s="314">
        <f t="shared" si="223"/>
        <v>0</v>
      </c>
      <c r="AI160" s="314">
        <f t="shared" si="224"/>
        <v>0</v>
      </c>
      <c r="AJ160" s="314">
        <f t="shared" si="225"/>
        <v>0</v>
      </c>
      <c r="AK160" s="314">
        <f t="shared" si="226"/>
        <v>0</v>
      </c>
      <c r="AL160" s="309">
        <f t="shared" si="227"/>
        <v>0.9</v>
      </c>
      <c r="AM160" s="309">
        <f t="shared" si="228"/>
        <v>0.9</v>
      </c>
      <c r="AN160" s="309">
        <f t="shared" si="229"/>
        <v>0.9</v>
      </c>
      <c r="AO160" s="309">
        <f t="shared" si="230"/>
        <v>0.9</v>
      </c>
      <c r="AP160" s="446">
        <f t="shared" si="231"/>
        <v>0</v>
      </c>
      <c r="AQ160" s="446">
        <f t="shared" si="232"/>
        <v>0</v>
      </c>
      <c r="AR160" s="446">
        <f t="shared" si="233"/>
        <v>0</v>
      </c>
      <c r="AS160" s="446">
        <f t="shared" si="234"/>
        <v>0</v>
      </c>
      <c r="AT160" s="309">
        <f t="shared" si="245"/>
        <v>0.9</v>
      </c>
      <c r="AU160" s="309">
        <f t="shared" si="244"/>
        <v>0.9</v>
      </c>
      <c r="AV160" s="309">
        <f t="shared" si="244"/>
        <v>0.9</v>
      </c>
      <c r="AW160" s="309">
        <f t="shared" si="244"/>
        <v>0.9</v>
      </c>
      <c r="AX160" s="243">
        <f t="shared" si="235"/>
        <v>594.9</v>
      </c>
      <c r="AY160" s="243">
        <f t="shared" si="236"/>
        <v>594.9</v>
      </c>
      <c r="AZ160" s="243">
        <f t="shared" si="237"/>
        <v>594.9</v>
      </c>
      <c r="BA160" s="243">
        <f t="shared" si="238"/>
        <v>594.9</v>
      </c>
      <c r="BB160" s="243">
        <f>VLOOKUP($D160,'2018 Plan Data'!$A$4:$K$2000,6,FALSE)</f>
        <v>0</v>
      </c>
      <c r="BC160" s="243">
        <f>VLOOKUP($D160,'2018 Plan Data'!$A$4:$K$2000,7,FALSE)</f>
        <v>0</v>
      </c>
      <c r="BD160" s="243">
        <f>VLOOKUP($D160,'2018 Plan Data'!$A$4:$K$2000,8,FALSE)</f>
        <v>0</v>
      </c>
      <c r="BE160" s="243">
        <f>VLOOKUP($D160,'2018 Plan Data'!$A$4:$K$2000,9,FALSE)</f>
        <v>1</v>
      </c>
      <c r="BF160" s="243">
        <f t="shared" si="201"/>
        <v>0</v>
      </c>
      <c r="BG160" s="243">
        <f t="shared" si="202"/>
        <v>0</v>
      </c>
      <c r="BH160" s="243">
        <f t="shared" si="203"/>
        <v>0</v>
      </c>
      <c r="BI160" s="243">
        <f t="shared" si="204"/>
        <v>0</v>
      </c>
      <c r="BJ160" s="243">
        <f t="shared" si="205"/>
        <v>0</v>
      </c>
      <c r="BK160" s="243">
        <f t="shared" si="206"/>
        <v>0</v>
      </c>
      <c r="BL160" s="243">
        <f t="shared" si="207"/>
        <v>0</v>
      </c>
      <c r="BM160" s="243">
        <f t="shared" si="208"/>
        <v>661</v>
      </c>
      <c r="BN160" s="243">
        <f t="shared" si="246"/>
        <v>0</v>
      </c>
      <c r="BO160" s="243">
        <f t="shared" si="247"/>
        <v>0</v>
      </c>
      <c r="BP160" s="243">
        <f t="shared" si="248"/>
        <v>0</v>
      </c>
      <c r="BQ160" s="243">
        <f t="shared" si="249"/>
        <v>0</v>
      </c>
      <c r="BR160" s="243">
        <f t="shared" si="239"/>
        <v>0</v>
      </c>
      <c r="BS160" s="243">
        <f t="shared" si="240"/>
        <v>0</v>
      </c>
      <c r="BT160" s="243">
        <f t="shared" si="241"/>
        <v>0</v>
      </c>
      <c r="BU160" s="243">
        <f t="shared" si="242"/>
        <v>594.9</v>
      </c>
      <c r="BV160" s="600"/>
      <c r="BW160" s="243">
        <f>ROUND(VLOOKUP($D160,'2018 Plan Data'!$A$4:$T$2000,13,FALSE),10)</f>
        <v>0</v>
      </c>
      <c r="BX160" s="314">
        <f>VLOOKUP($D160,'2018 Plan Data'!$A$4:$T$2000,14,FALSE)</f>
        <v>0</v>
      </c>
      <c r="BY160" s="314">
        <f>VLOOKUP($D160,'2018 Plan Data'!$A$4:$T$2000,15,FALSE)</f>
        <v>0</v>
      </c>
      <c r="BZ160" s="314">
        <f>VLOOKUP($D160,'2018 Plan Data'!$A$4:$T$2000,16,FALSE)</f>
        <v>0</v>
      </c>
      <c r="CA160" s="314">
        <f>IF(VLOOKUP($D160,'2018 Plan Data'!$A$4:$T$2000,17,FALSE)&gt;0,VLOOKUP($D160,'2018 Plan Data'!$A$4:$T$2000,17,FALSE),0)</f>
        <v>0</v>
      </c>
      <c r="CB160" s="314">
        <f>IF(VLOOKUP($D160,'2018 Plan Data'!$A$4:$T$2000,18,FALSE)&gt;0,VLOOKUP($D160,'2018 Plan Data'!$A$4:$T$2000,18,FALSE),0)</f>
        <v>0</v>
      </c>
      <c r="CC160" s="314">
        <f>IF(VLOOKUP($D160,'2018 Plan Data'!$A$4:$T$2000,19,FALSE)&gt;0,VLOOKUP($D160,'2018 Plan Data'!$A$4:$T$2000,19,FALSE),0)</f>
        <v>0</v>
      </c>
      <c r="CD160" s="314">
        <f>IF(VLOOKUP($D160,'2018 Plan Data'!$A$4:$T$2000,20,FALSE)&gt;0,VLOOKUP($D160,'2018 Plan Data'!$A$4:$T$2000,20,FALSE),0)</f>
        <v>594.9</v>
      </c>
      <c r="CE160" s="600" t="b">
        <f t="shared" si="213"/>
        <v>1</v>
      </c>
      <c r="CF160" s="600" t="b">
        <f t="shared" si="214"/>
        <v>1</v>
      </c>
      <c r="CG160" s="600" t="b">
        <f t="shared" si="215"/>
        <v>1</v>
      </c>
      <c r="CH160" s="600" t="b">
        <f t="shared" si="216"/>
        <v>1</v>
      </c>
      <c r="CI160" s="600" t="b">
        <f t="shared" si="217"/>
        <v>1</v>
      </c>
      <c r="CJ160" s="600" t="b">
        <f t="shared" si="218"/>
        <v>1</v>
      </c>
      <c r="CK160" s="600" t="b">
        <f t="shared" si="219"/>
        <v>1</v>
      </c>
      <c r="CL160" s="600" t="b">
        <f t="shared" si="220"/>
        <v>1</v>
      </c>
    </row>
    <row r="161" spans="1:349" ht="15" customHeight="1" x14ac:dyDescent="0.35">
      <c r="A161" s="585">
        <f t="shared" si="221"/>
        <v>333</v>
      </c>
      <c r="B161" s="600" t="str">
        <f t="shared" si="200"/>
        <v>Business_Standard-Public Buildings</v>
      </c>
      <c r="D161">
        <v>333</v>
      </c>
      <c r="E161" s="600" t="s">
        <v>1944</v>
      </c>
      <c r="F161" s="600" t="str">
        <f>VLOOKUP(G161,Sheet4!$D$6:$E$22,2,FALSE)</f>
        <v>Standard</v>
      </c>
      <c r="G161" s="600" t="s">
        <v>1054</v>
      </c>
      <c r="H161" s="296" t="s">
        <v>153</v>
      </c>
      <c r="K161" s="72" t="str">
        <f>INDEX('Measure Codes'!$F$4:$F$821,MATCH(H161,'Measure Codes'!$D$4:$D$821,0))</f>
        <v>4.2.17</v>
      </c>
      <c r="L161" s="72" t="str">
        <f>INDEX('Measure Codes'!$G$4:$G$821,MATCH(H161,'Measure Codes'!$D$4:$D$821,0))</f>
        <v>CI-FSE-PCOK-V02-180101</v>
      </c>
      <c r="M161" s="600">
        <v>1</v>
      </c>
      <c r="O161" s="72" t="str">
        <f t="shared" si="222"/>
        <v>Gas</v>
      </c>
      <c r="P161" s="7">
        <f>VLOOKUP(D161,'2018 Plan Data'!$A$4:$K$1000,11,FALSE)</f>
        <v>12</v>
      </c>
      <c r="Q161" s="652">
        <f>VLOOKUP(D161,'2018 Plan Data'!$A$4:$L$1000,12,FALSE)</f>
        <v>0</v>
      </c>
      <c r="R161" s="314">
        <f>'BUS Measure-Model Summary'!D573</f>
        <v>0</v>
      </c>
      <c r="T161" s="314">
        <f>'BUS Measure-Model Summary'!E573</f>
        <v>0</v>
      </c>
      <c r="V161" s="314">
        <f>'BUS Measure-Model Summary'!F573</f>
        <v>1380</v>
      </c>
      <c r="AD161" s="309">
        <f>'BUS Measure-Model Summary'!I611</f>
        <v>0.9</v>
      </c>
      <c r="AE161" s="309">
        <f t="shared" si="243"/>
        <v>0.9</v>
      </c>
      <c r="AF161" s="309">
        <f t="shared" si="243"/>
        <v>0.9</v>
      </c>
      <c r="AG161" s="309">
        <f t="shared" si="243"/>
        <v>0.9</v>
      </c>
      <c r="AH161" s="314">
        <f t="shared" si="223"/>
        <v>0</v>
      </c>
      <c r="AI161" s="314">
        <f t="shared" si="224"/>
        <v>0</v>
      </c>
      <c r="AJ161" s="314">
        <f t="shared" si="225"/>
        <v>0</v>
      </c>
      <c r="AK161" s="314">
        <f t="shared" si="226"/>
        <v>0</v>
      </c>
      <c r="AL161" s="309">
        <f t="shared" si="227"/>
        <v>0.9</v>
      </c>
      <c r="AM161" s="309">
        <f t="shared" si="228"/>
        <v>0.9</v>
      </c>
      <c r="AN161" s="309">
        <f t="shared" si="229"/>
        <v>0.9</v>
      </c>
      <c r="AO161" s="309">
        <f t="shared" si="230"/>
        <v>0.9</v>
      </c>
      <c r="AP161" s="446">
        <f t="shared" si="231"/>
        <v>0</v>
      </c>
      <c r="AQ161" s="446">
        <f t="shared" si="232"/>
        <v>0</v>
      </c>
      <c r="AR161" s="446">
        <f t="shared" si="233"/>
        <v>0</v>
      </c>
      <c r="AS161" s="446">
        <f t="shared" si="234"/>
        <v>0</v>
      </c>
      <c r="AT161" s="309">
        <f t="shared" si="245"/>
        <v>0.9</v>
      </c>
      <c r="AU161" s="309">
        <f t="shared" si="244"/>
        <v>0.9</v>
      </c>
      <c r="AV161" s="309">
        <f t="shared" si="244"/>
        <v>0.9</v>
      </c>
      <c r="AW161" s="309">
        <f t="shared" si="244"/>
        <v>0.9</v>
      </c>
      <c r="AX161" s="243">
        <f t="shared" si="235"/>
        <v>1242</v>
      </c>
      <c r="AY161" s="243">
        <f t="shared" si="236"/>
        <v>1242</v>
      </c>
      <c r="AZ161" s="243">
        <f t="shared" si="237"/>
        <v>1242</v>
      </c>
      <c r="BA161" s="243">
        <f t="shared" si="238"/>
        <v>1242</v>
      </c>
      <c r="BB161" s="243">
        <f>VLOOKUP($D161,'2018 Plan Data'!$A$4:$K$2000,6,FALSE)</f>
        <v>0</v>
      </c>
      <c r="BC161" s="243">
        <f>VLOOKUP($D161,'2018 Plan Data'!$A$4:$K$2000,7,FALSE)</f>
        <v>1</v>
      </c>
      <c r="BD161" s="243">
        <f>VLOOKUP($D161,'2018 Plan Data'!$A$4:$K$2000,8,FALSE)</f>
        <v>0</v>
      </c>
      <c r="BE161" s="243">
        <f>VLOOKUP($D161,'2018 Plan Data'!$A$4:$K$2000,9,FALSE)</f>
        <v>0</v>
      </c>
      <c r="BF161" s="243">
        <f t="shared" si="201"/>
        <v>0</v>
      </c>
      <c r="BG161" s="243">
        <f t="shared" si="202"/>
        <v>0</v>
      </c>
      <c r="BH161" s="243">
        <f t="shared" si="203"/>
        <v>0</v>
      </c>
      <c r="BI161" s="243">
        <f t="shared" si="204"/>
        <v>0</v>
      </c>
      <c r="BJ161" s="243">
        <f t="shared" si="205"/>
        <v>0</v>
      </c>
      <c r="BK161" s="243">
        <f t="shared" si="206"/>
        <v>1380</v>
      </c>
      <c r="BL161" s="243">
        <f t="shared" si="207"/>
        <v>0</v>
      </c>
      <c r="BM161" s="243">
        <f t="shared" si="208"/>
        <v>0</v>
      </c>
      <c r="BN161" s="243">
        <f t="shared" si="246"/>
        <v>0</v>
      </c>
      <c r="BO161" s="243">
        <f t="shared" si="247"/>
        <v>0</v>
      </c>
      <c r="BP161" s="243">
        <f t="shared" si="248"/>
        <v>0</v>
      </c>
      <c r="BQ161" s="243">
        <f t="shared" si="249"/>
        <v>0</v>
      </c>
      <c r="BR161" s="243">
        <f t="shared" si="239"/>
        <v>0</v>
      </c>
      <c r="BS161" s="243">
        <f t="shared" si="240"/>
        <v>1242</v>
      </c>
      <c r="BT161" s="243">
        <f t="shared" si="241"/>
        <v>0</v>
      </c>
      <c r="BU161" s="243">
        <f t="shared" si="242"/>
        <v>0</v>
      </c>
      <c r="BV161" s="600"/>
      <c r="BW161" s="243">
        <f>ROUND(VLOOKUP($D161,'2018 Plan Data'!$A$4:$T$2000,13,FALSE),10)</f>
        <v>0</v>
      </c>
      <c r="BX161" s="314">
        <f>VLOOKUP($D161,'2018 Plan Data'!$A$4:$T$2000,14,FALSE)</f>
        <v>0</v>
      </c>
      <c r="BY161" s="314">
        <f>VLOOKUP($D161,'2018 Plan Data'!$A$4:$T$2000,15,FALSE)</f>
        <v>0</v>
      </c>
      <c r="BZ161" s="314">
        <f>VLOOKUP($D161,'2018 Plan Data'!$A$4:$T$2000,16,FALSE)</f>
        <v>0</v>
      </c>
      <c r="CA161" s="314">
        <f>IF(VLOOKUP($D161,'2018 Plan Data'!$A$4:$T$2000,17,FALSE)&gt;0,VLOOKUP($D161,'2018 Plan Data'!$A$4:$T$2000,17,FALSE),0)</f>
        <v>0</v>
      </c>
      <c r="CB161" s="314">
        <f>IF(VLOOKUP($D161,'2018 Plan Data'!$A$4:$T$2000,18,FALSE)&gt;0,VLOOKUP($D161,'2018 Plan Data'!$A$4:$T$2000,18,FALSE),0)</f>
        <v>1242</v>
      </c>
      <c r="CC161" s="314">
        <f>IF(VLOOKUP($D161,'2018 Plan Data'!$A$4:$T$2000,19,FALSE)&gt;0,VLOOKUP($D161,'2018 Plan Data'!$A$4:$T$2000,19,FALSE),0)</f>
        <v>0</v>
      </c>
      <c r="CD161" s="314">
        <f>IF(VLOOKUP($D161,'2018 Plan Data'!$A$4:$T$2000,20,FALSE)&gt;0,VLOOKUP($D161,'2018 Plan Data'!$A$4:$T$2000,20,FALSE),0)</f>
        <v>0</v>
      </c>
      <c r="CE161" s="600" t="b">
        <f t="shared" si="213"/>
        <v>1</v>
      </c>
      <c r="CF161" s="600" t="b">
        <f t="shared" si="214"/>
        <v>1</v>
      </c>
      <c r="CG161" s="600" t="b">
        <f t="shared" si="215"/>
        <v>1</v>
      </c>
      <c r="CH161" s="600" t="b">
        <f t="shared" si="216"/>
        <v>1</v>
      </c>
      <c r="CI161" s="600" t="b">
        <f t="shared" si="217"/>
        <v>1</v>
      </c>
      <c r="CJ161" s="600" t="b">
        <f t="shared" si="218"/>
        <v>1</v>
      </c>
      <c r="CK161" s="600" t="b">
        <f t="shared" si="219"/>
        <v>1</v>
      </c>
      <c r="CL161" s="600" t="b">
        <f t="shared" si="220"/>
        <v>1</v>
      </c>
    </row>
    <row r="162" spans="1:349" s="600" customFormat="1" ht="15" customHeight="1" x14ac:dyDescent="0.35">
      <c r="A162" s="585">
        <f t="shared" si="221"/>
        <v>338</v>
      </c>
      <c r="B162" s="600" t="str">
        <f t="shared" si="200"/>
        <v>Business_Standard-Public Buildings</v>
      </c>
      <c r="D162" s="600">
        <v>338</v>
      </c>
      <c r="E162" s="600" t="s">
        <v>1944</v>
      </c>
      <c r="F162" s="600" t="str">
        <f>VLOOKUP(G162,Sheet4!$D$6:$E$22,2,FALSE)</f>
        <v>Standard</v>
      </c>
      <c r="G162" s="600" t="s">
        <v>1054</v>
      </c>
      <c r="H162" s="296" t="s">
        <v>154</v>
      </c>
      <c r="J162" s="72"/>
      <c r="K162" s="72" t="str">
        <f>INDEX('Measure Codes'!$F$4:$F$821,MATCH(H162,'Measure Codes'!$D$4:$D$821,0))</f>
        <v>4.2.18</v>
      </c>
      <c r="L162" s="72" t="str">
        <f>INDEX('Measure Codes'!$G$4:$G$821,MATCH(H162,'Measure Codes'!$D$4:$D$821,0))</f>
        <v>CI-FSE-RKOV-VO2-180101</v>
      </c>
      <c r="M162" s="600">
        <v>1</v>
      </c>
      <c r="O162" s="72" t="str">
        <f t="shared" si="222"/>
        <v>Gas</v>
      </c>
      <c r="P162" s="7">
        <f>VLOOKUP(D162,'2018 Plan Data'!$A$4:$K$1000,11,FALSE)</f>
        <v>12</v>
      </c>
      <c r="Q162" s="652">
        <f>VLOOKUP(D162,'2018 Plan Data'!$A$4:$L$1000,12,FALSE)</f>
        <v>0</v>
      </c>
      <c r="R162" s="314">
        <f>'BUS Measure-Model Summary'!D574</f>
        <v>0</v>
      </c>
      <c r="S162" s="314"/>
      <c r="T162" s="314">
        <f>'BUS Measure-Model Summary'!E574</f>
        <v>0</v>
      </c>
      <c r="U162" s="314"/>
      <c r="V162" s="314">
        <f>'BUS Measure-Model Summary'!F574</f>
        <v>2064</v>
      </c>
      <c r="W162" s="314"/>
      <c r="AD162" s="309">
        <f>'BUS Measure-Model Summary'!I612</f>
        <v>0.9</v>
      </c>
      <c r="AE162" s="309">
        <f t="shared" si="243"/>
        <v>0.9</v>
      </c>
      <c r="AF162" s="309">
        <f t="shared" si="243"/>
        <v>0.9</v>
      </c>
      <c r="AG162" s="309">
        <f t="shared" si="243"/>
        <v>0.9</v>
      </c>
      <c r="AH162" s="314">
        <f t="shared" si="223"/>
        <v>0</v>
      </c>
      <c r="AI162" s="314">
        <f t="shared" si="224"/>
        <v>0</v>
      </c>
      <c r="AJ162" s="314">
        <f t="shared" si="225"/>
        <v>0</v>
      </c>
      <c r="AK162" s="314">
        <f t="shared" si="226"/>
        <v>0</v>
      </c>
      <c r="AL162" s="309">
        <f t="shared" si="227"/>
        <v>0.9</v>
      </c>
      <c r="AM162" s="309">
        <f t="shared" si="228"/>
        <v>0.9</v>
      </c>
      <c r="AN162" s="309">
        <f t="shared" si="229"/>
        <v>0.9</v>
      </c>
      <c r="AO162" s="309">
        <f t="shared" si="230"/>
        <v>0.9</v>
      </c>
      <c r="AP162" s="446">
        <f t="shared" si="231"/>
        <v>0</v>
      </c>
      <c r="AQ162" s="446">
        <f t="shared" si="232"/>
        <v>0</v>
      </c>
      <c r="AR162" s="446">
        <f t="shared" si="233"/>
        <v>0</v>
      </c>
      <c r="AS162" s="446">
        <f t="shared" si="234"/>
        <v>0</v>
      </c>
      <c r="AT162" s="309">
        <f t="shared" si="245"/>
        <v>0.9</v>
      </c>
      <c r="AU162" s="309">
        <f t="shared" si="244"/>
        <v>0.9</v>
      </c>
      <c r="AV162" s="309">
        <f t="shared" si="244"/>
        <v>0.9</v>
      </c>
      <c r="AW162" s="309">
        <f t="shared" si="244"/>
        <v>0.9</v>
      </c>
      <c r="AX162" s="243">
        <f t="shared" si="235"/>
        <v>1857.6000000000001</v>
      </c>
      <c r="AY162" s="243">
        <f t="shared" si="236"/>
        <v>1857.6000000000001</v>
      </c>
      <c r="AZ162" s="243">
        <f t="shared" si="237"/>
        <v>1857.6000000000001</v>
      </c>
      <c r="BA162" s="243">
        <f t="shared" si="238"/>
        <v>1857.6000000000001</v>
      </c>
      <c r="BB162" s="243">
        <f>VLOOKUP($D162,'2018 Plan Data'!$A$4:$K$2000,6,FALSE)</f>
        <v>1</v>
      </c>
      <c r="BC162" s="243">
        <f>VLOOKUP($D162,'2018 Plan Data'!$A$4:$K$2000,7,FALSE)</f>
        <v>0</v>
      </c>
      <c r="BD162" s="243">
        <f>VLOOKUP($D162,'2018 Plan Data'!$A$4:$K$2000,8,FALSE)</f>
        <v>1</v>
      </c>
      <c r="BE162" s="243">
        <f>VLOOKUP($D162,'2018 Plan Data'!$A$4:$K$2000,9,FALSE)</f>
        <v>1</v>
      </c>
      <c r="BF162" s="243">
        <f t="shared" si="201"/>
        <v>0</v>
      </c>
      <c r="BG162" s="243">
        <f t="shared" si="202"/>
        <v>0</v>
      </c>
      <c r="BH162" s="243">
        <f t="shared" si="203"/>
        <v>0</v>
      </c>
      <c r="BI162" s="243">
        <f t="shared" si="204"/>
        <v>0</v>
      </c>
      <c r="BJ162" s="243">
        <f t="shared" si="205"/>
        <v>2064</v>
      </c>
      <c r="BK162" s="243">
        <f t="shared" si="206"/>
        <v>0</v>
      </c>
      <c r="BL162" s="243">
        <f t="shared" si="207"/>
        <v>2064</v>
      </c>
      <c r="BM162" s="243">
        <f t="shared" si="208"/>
        <v>2064</v>
      </c>
      <c r="BN162" s="243">
        <f t="shared" si="246"/>
        <v>0</v>
      </c>
      <c r="BO162" s="243">
        <f t="shared" si="247"/>
        <v>0</v>
      </c>
      <c r="BP162" s="243">
        <f t="shared" si="248"/>
        <v>0</v>
      </c>
      <c r="BQ162" s="243">
        <f t="shared" si="249"/>
        <v>0</v>
      </c>
      <c r="BR162" s="243">
        <f t="shared" si="239"/>
        <v>1857.6000000000001</v>
      </c>
      <c r="BS162" s="243">
        <f t="shared" si="240"/>
        <v>0</v>
      </c>
      <c r="BT162" s="243">
        <f t="shared" si="241"/>
        <v>1857.6000000000001</v>
      </c>
      <c r="BU162" s="243">
        <f t="shared" si="242"/>
        <v>1857.6000000000001</v>
      </c>
      <c r="BW162" s="243">
        <f>ROUND(VLOOKUP($D162,'2018 Plan Data'!$A$4:$T$2000,13,FALSE),10)</f>
        <v>0</v>
      </c>
      <c r="BX162" s="314">
        <f>VLOOKUP($D162,'2018 Plan Data'!$A$4:$T$2000,14,FALSE)</f>
        <v>0</v>
      </c>
      <c r="BY162" s="314">
        <f>VLOOKUP($D162,'2018 Plan Data'!$A$4:$T$2000,15,FALSE)</f>
        <v>0</v>
      </c>
      <c r="BZ162" s="314">
        <f>VLOOKUP($D162,'2018 Plan Data'!$A$4:$T$2000,16,FALSE)</f>
        <v>0</v>
      </c>
      <c r="CA162" s="314">
        <f>IF(VLOOKUP($D162,'2018 Plan Data'!$A$4:$T$2000,17,FALSE)&gt;0,VLOOKUP($D162,'2018 Plan Data'!$A$4:$T$2000,17,FALSE),0)</f>
        <v>1857.6000000000001</v>
      </c>
      <c r="CB162" s="314">
        <f>IF(VLOOKUP($D162,'2018 Plan Data'!$A$4:$T$2000,18,FALSE)&gt;0,VLOOKUP($D162,'2018 Plan Data'!$A$4:$T$2000,18,FALSE),0)</f>
        <v>0</v>
      </c>
      <c r="CC162" s="314">
        <f>IF(VLOOKUP($D162,'2018 Plan Data'!$A$4:$T$2000,19,FALSE)&gt;0,VLOOKUP($D162,'2018 Plan Data'!$A$4:$T$2000,19,FALSE),0)</f>
        <v>1857.6000000000001</v>
      </c>
      <c r="CD162" s="314">
        <f>IF(VLOOKUP($D162,'2018 Plan Data'!$A$4:$T$2000,20,FALSE)&gt;0,VLOOKUP($D162,'2018 Plan Data'!$A$4:$T$2000,20,FALSE),0)</f>
        <v>1857.6000000000001</v>
      </c>
      <c r="CE162" s="600" t="b">
        <f t="shared" si="213"/>
        <v>1</v>
      </c>
      <c r="CF162" s="600" t="b">
        <f t="shared" si="214"/>
        <v>1</v>
      </c>
      <c r="CG162" s="600" t="b">
        <f t="shared" si="215"/>
        <v>1</v>
      </c>
      <c r="CH162" s="600" t="b">
        <f t="shared" si="216"/>
        <v>1</v>
      </c>
      <c r="CI162" s="600" t="b">
        <f t="shared" si="217"/>
        <v>1</v>
      </c>
      <c r="CJ162" s="600" t="b">
        <f t="shared" si="218"/>
        <v>1</v>
      </c>
      <c r="CK162" s="600" t="b">
        <f t="shared" si="219"/>
        <v>1</v>
      </c>
      <c r="CL162" s="600" t="b">
        <f t="shared" si="220"/>
        <v>1</v>
      </c>
      <c r="CM162" s="585"/>
      <c r="CN162" s="585"/>
      <c r="CO162" s="585"/>
      <c r="CP162" s="585"/>
      <c r="CQ162" s="585"/>
      <c r="CR162" s="585"/>
      <c r="CS162" s="585"/>
      <c r="CT162" s="585"/>
      <c r="CU162" s="585"/>
      <c r="CV162" s="585"/>
      <c r="CW162" s="585"/>
      <c r="CX162" s="585"/>
      <c r="CY162" s="585"/>
      <c r="CZ162" s="585"/>
      <c r="DA162" s="585"/>
      <c r="DB162" s="585"/>
      <c r="DC162" s="585"/>
      <c r="DD162" s="585"/>
      <c r="DE162" s="585"/>
      <c r="DF162" s="585"/>
      <c r="DG162" s="585"/>
      <c r="DH162" s="585"/>
      <c r="DI162" s="585"/>
      <c r="DJ162" s="585"/>
      <c r="DK162" s="585"/>
      <c r="DL162" s="585"/>
      <c r="DM162" s="585"/>
      <c r="DN162" s="585"/>
      <c r="DO162" s="585"/>
      <c r="DP162" s="585"/>
      <c r="DQ162" s="585"/>
      <c r="DR162" s="585"/>
      <c r="DS162" s="585"/>
      <c r="DT162" s="585"/>
      <c r="DU162" s="585"/>
      <c r="DV162" s="585"/>
      <c r="DW162" s="585"/>
      <c r="DX162" s="585"/>
      <c r="DY162" s="585"/>
      <c r="DZ162" s="585"/>
      <c r="EA162" s="585"/>
      <c r="EB162" s="585"/>
      <c r="EC162" s="585"/>
      <c r="ED162" s="585"/>
      <c r="EE162" s="585"/>
      <c r="EF162" s="585"/>
      <c r="EG162" s="585"/>
      <c r="EH162" s="585"/>
      <c r="EI162" s="585"/>
      <c r="EJ162" s="585"/>
      <c r="EK162" s="585"/>
      <c r="EL162" s="585"/>
      <c r="EM162" s="585"/>
      <c r="EN162" s="585"/>
      <c r="EO162" s="585"/>
      <c r="EP162" s="585"/>
      <c r="EQ162" s="585"/>
      <c r="ER162" s="585"/>
      <c r="ES162" s="585"/>
      <c r="ET162" s="585"/>
      <c r="EU162" s="585"/>
      <c r="EV162" s="585"/>
      <c r="EW162" s="585"/>
      <c r="EX162" s="585"/>
      <c r="EY162" s="585"/>
      <c r="EZ162" s="585"/>
      <c r="FA162" s="585"/>
      <c r="FB162" s="585"/>
      <c r="FC162" s="585"/>
      <c r="FD162" s="585"/>
      <c r="FE162" s="585"/>
      <c r="FF162" s="585"/>
      <c r="FG162" s="585"/>
      <c r="FH162" s="585"/>
      <c r="FI162" s="585"/>
      <c r="FJ162" s="585"/>
      <c r="FK162" s="585"/>
      <c r="FL162" s="585"/>
      <c r="FM162" s="585"/>
      <c r="FN162" s="585"/>
      <c r="FO162" s="585"/>
      <c r="FP162" s="585"/>
      <c r="FQ162" s="585"/>
      <c r="FR162" s="585"/>
      <c r="FS162" s="585"/>
      <c r="FT162" s="585"/>
      <c r="FU162" s="585"/>
      <c r="FV162" s="585"/>
      <c r="FW162" s="585"/>
      <c r="FX162" s="585"/>
      <c r="FY162" s="585"/>
      <c r="FZ162" s="585"/>
      <c r="GA162" s="585"/>
      <c r="GB162" s="585"/>
      <c r="GC162" s="585"/>
      <c r="GD162" s="585"/>
      <c r="GE162" s="585"/>
      <c r="GF162" s="585"/>
      <c r="GG162" s="585"/>
      <c r="GH162" s="585"/>
      <c r="GI162" s="585"/>
      <c r="GJ162" s="585"/>
      <c r="GK162" s="585"/>
      <c r="GL162" s="585"/>
      <c r="GM162" s="585"/>
      <c r="GN162" s="585"/>
      <c r="GO162" s="585"/>
      <c r="GP162" s="585"/>
      <c r="GQ162" s="585"/>
      <c r="GR162" s="585"/>
      <c r="GS162" s="585"/>
      <c r="GT162" s="585"/>
      <c r="GU162" s="585"/>
      <c r="GV162" s="585"/>
      <c r="GW162" s="585"/>
      <c r="GX162" s="585"/>
      <c r="GY162" s="585"/>
      <c r="GZ162" s="585"/>
      <c r="HA162" s="585"/>
      <c r="HB162" s="585"/>
      <c r="HC162" s="585"/>
      <c r="HD162" s="585"/>
      <c r="HE162" s="585"/>
      <c r="HF162" s="585"/>
      <c r="HG162" s="585"/>
      <c r="HH162" s="585"/>
      <c r="HI162" s="585"/>
      <c r="HJ162" s="585"/>
      <c r="HK162" s="585"/>
      <c r="HL162" s="585"/>
      <c r="HM162" s="585"/>
      <c r="HN162" s="585"/>
      <c r="HO162" s="585"/>
      <c r="HP162" s="585"/>
      <c r="HQ162" s="585"/>
      <c r="HR162" s="585"/>
      <c r="HS162" s="585"/>
      <c r="HT162" s="585"/>
      <c r="HU162" s="585"/>
      <c r="HV162" s="585"/>
      <c r="HW162" s="585"/>
      <c r="HX162" s="585"/>
      <c r="HY162" s="585"/>
      <c r="HZ162" s="585"/>
      <c r="IA162" s="585"/>
      <c r="IB162" s="585"/>
      <c r="IC162" s="585"/>
      <c r="ID162" s="585"/>
      <c r="IE162" s="585"/>
      <c r="IF162" s="585"/>
      <c r="IG162" s="585"/>
      <c r="IH162" s="585"/>
      <c r="II162" s="585"/>
      <c r="IJ162" s="585"/>
      <c r="IK162" s="585"/>
      <c r="IL162" s="585"/>
      <c r="IM162" s="585"/>
      <c r="IN162" s="585"/>
      <c r="IO162" s="585"/>
      <c r="IP162" s="585"/>
      <c r="IQ162" s="585"/>
      <c r="IR162" s="585"/>
      <c r="IS162" s="585"/>
      <c r="IT162" s="585"/>
      <c r="IU162" s="585"/>
      <c r="IV162" s="585"/>
      <c r="IW162" s="585"/>
      <c r="IX162" s="585"/>
      <c r="IY162" s="585"/>
      <c r="IZ162" s="585"/>
      <c r="JA162" s="585"/>
      <c r="JB162" s="585"/>
      <c r="JC162" s="585"/>
      <c r="JD162" s="585"/>
      <c r="JE162" s="585"/>
      <c r="JF162" s="585"/>
      <c r="JG162" s="585"/>
      <c r="JH162" s="585"/>
      <c r="JI162" s="585"/>
      <c r="JJ162" s="585"/>
      <c r="JK162" s="585"/>
      <c r="JL162" s="585"/>
      <c r="JM162" s="585"/>
      <c r="JN162" s="585"/>
      <c r="JO162" s="585"/>
      <c r="JP162" s="585"/>
      <c r="JQ162" s="585"/>
      <c r="JR162" s="585"/>
      <c r="JS162" s="585"/>
      <c r="JT162" s="585"/>
      <c r="JU162" s="585"/>
      <c r="JV162" s="585"/>
      <c r="JW162" s="585"/>
      <c r="JX162" s="585"/>
      <c r="JY162" s="585"/>
      <c r="JZ162" s="585"/>
      <c r="KA162" s="585"/>
      <c r="KB162" s="585"/>
      <c r="KC162" s="585"/>
      <c r="KD162" s="585"/>
      <c r="KE162" s="585"/>
      <c r="KF162" s="585"/>
      <c r="KG162" s="585"/>
      <c r="KH162" s="585"/>
      <c r="KI162" s="585"/>
      <c r="KJ162" s="585"/>
      <c r="KK162" s="585"/>
      <c r="KL162" s="585"/>
      <c r="KM162" s="585"/>
      <c r="KN162" s="585"/>
      <c r="KO162" s="585"/>
      <c r="KP162" s="585"/>
      <c r="KQ162" s="585"/>
      <c r="KR162" s="585"/>
      <c r="KS162" s="585"/>
      <c r="KT162" s="585"/>
      <c r="KU162" s="585"/>
      <c r="KV162" s="585"/>
      <c r="KW162" s="585"/>
      <c r="KX162" s="585"/>
      <c r="KY162" s="585"/>
      <c r="KZ162" s="585"/>
      <c r="LA162" s="585"/>
      <c r="LB162" s="585"/>
      <c r="LC162" s="585"/>
      <c r="LD162" s="585"/>
      <c r="LE162" s="585"/>
      <c r="LF162" s="585"/>
      <c r="LG162" s="585"/>
      <c r="LH162" s="585"/>
      <c r="LI162" s="585"/>
      <c r="LJ162" s="585"/>
      <c r="LK162" s="585"/>
      <c r="LL162" s="585"/>
      <c r="LM162" s="585"/>
      <c r="LN162" s="585"/>
      <c r="LO162" s="585"/>
      <c r="LP162" s="585"/>
      <c r="LQ162" s="585"/>
      <c r="LR162" s="585"/>
      <c r="LS162" s="585"/>
      <c r="LT162" s="585"/>
      <c r="LU162" s="585"/>
      <c r="LV162" s="585"/>
      <c r="LW162" s="585"/>
      <c r="LX162" s="585"/>
      <c r="LY162" s="585"/>
      <c r="LZ162" s="585"/>
      <c r="MA162" s="585"/>
      <c r="MB162" s="585"/>
      <c r="MC162" s="585"/>
      <c r="MD162" s="585"/>
      <c r="ME162" s="585"/>
      <c r="MF162" s="585"/>
      <c r="MG162" s="585"/>
      <c r="MH162" s="585"/>
      <c r="MI162" s="585"/>
      <c r="MJ162" s="585"/>
      <c r="MK162" s="585"/>
    </row>
    <row r="163" spans="1:349" ht="15" customHeight="1" x14ac:dyDescent="0.35">
      <c r="A163" s="585">
        <f t="shared" si="221"/>
        <v>332</v>
      </c>
      <c r="B163" s="600" t="str">
        <f t="shared" si="200"/>
        <v>Business_Standard-Public Buildings</v>
      </c>
      <c r="D163" s="600">
        <v>332</v>
      </c>
      <c r="E163" s="600" t="s">
        <v>1944</v>
      </c>
      <c r="F163" s="600" t="str">
        <f>VLOOKUP(G163,Sheet4!$D$6:$E$22,2,FALSE)</f>
        <v>Standard</v>
      </c>
      <c r="G163" s="600" t="s">
        <v>1054</v>
      </c>
      <c r="H163" s="296" t="s">
        <v>155</v>
      </c>
      <c r="J163" s="72" t="s">
        <v>5</v>
      </c>
      <c r="K163" s="72" t="str">
        <f>INDEX('Measure Codes'!$F$4:$F$821,MATCH(H163,'Measure Codes'!$D$4:$D$821,0))</f>
        <v>4.3.6</v>
      </c>
      <c r="L163" s="72" t="str">
        <f>INDEX('Measure Codes'!$G$4:$G$821,MATCH(H163,'Measure Codes'!$D$4:$D$821,0))</f>
        <v>CI-HWE-OZLD-VO1-140601</v>
      </c>
      <c r="M163" s="600">
        <v>1</v>
      </c>
      <c r="N163" s="600"/>
      <c r="O163" s="72" t="str">
        <f t="shared" si="222"/>
        <v>Dual Fuel</v>
      </c>
      <c r="P163" s="7">
        <f>VLOOKUP(D163,'2018 Plan Data'!$A$4:$K$1000,11,FALSE)</f>
        <v>10</v>
      </c>
      <c r="Q163" s="652">
        <f>VLOOKUP(D163,'2018 Plan Data'!$A$4:$L$1000,12,FALSE)</f>
        <v>0</v>
      </c>
      <c r="R163" s="314">
        <f>'BUS Ozone Laundry PS'!C11</f>
        <v>2143.6280517499995</v>
      </c>
      <c r="T163" s="314">
        <f>'BUS Ozone Laundry PS'!C12</f>
        <v>0</v>
      </c>
      <c r="V163" s="314">
        <f>'BUS Ozone Laundry PS'!C13</f>
        <v>4530.1849330499999</v>
      </c>
      <c r="X163" s="600"/>
      <c r="Y163" s="600"/>
      <c r="Z163" s="600"/>
      <c r="AA163" s="600"/>
      <c r="AB163" s="600"/>
      <c r="AC163" s="600"/>
      <c r="AD163" s="309">
        <f>'BUS Measure-Model Summary'!I613</f>
        <v>0.9</v>
      </c>
      <c r="AE163" s="309">
        <f t="shared" si="243"/>
        <v>0.9</v>
      </c>
      <c r="AF163" s="309">
        <f t="shared" si="243"/>
        <v>0.9</v>
      </c>
      <c r="AG163" s="309">
        <f t="shared" si="243"/>
        <v>0.9</v>
      </c>
      <c r="AH163" s="314">
        <f t="shared" si="223"/>
        <v>1929.2652465749995</v>
      </c>
      <c r="AI163" s="314">
        <f t="shared" si="224"/>
        <v>1929.2652465749995</v>
      </c>
      <c r="AJ163" s="314">
        <f t="shared" si="225"/>
        <v>1929.2652465749995</v>
      </c>
      <c r="AK163" s="314">
        <f t="shared" si="226"/>
        <v>1929.2652465749995</v>
      </c>
      <c r="AL163" s="309">
        <f t="shared" si="227"/>
        <v>0.9</v>
      </c>
      <c r="AM163" s="309">
        <f t="shared" si="228"/>
        <v>0.9</v>
      </c>
      <c r="AN163" s="309">
        <f t="shared" si="229"/>
        <v>0.9</v>
      </c>
      <c r="AO163" s="309">
        <f t="shared" si="230"/>
        <v>0.9</v>
      </c>
      <c r="AP163" s="446">
        <f t="shared" si="231"/>
        <v>0</v>
      </c>
      <c r="AQ163" s="446">
        <f t="shared" si="232"/>
        <v>0</v>
      </c>
      <c r="AR163" s="446">
        <f t="shared" si="233"/>
        <v>0</v>
      </c>
      <c r="AS163" s="446">
        <f t="shared" si="234"/>
        <v>0</v>
      </c>
      <c r="AT163" s="309">
        <f t="shared" si="245"/>
        <v>0.9</v>
      </c>
      <c r="AU163" s="309">
        <f t="shared" si="244"/>
        <v>0.9</v>
      </c>
      <c r="AV163" s="309">
        <f t="shared" si="244"/>
        <v>0.9</v>
      </c>
      <c r="AW163" s="309">
        <f t="shared" si="244"/>
        <v>0.9</v>
      </c>
      <c r="AX163" s="243">
        <f t="shared" si="235"/>
        <v>4077.1664397449999</v>
      </c>
      <c r="AY163" s="243">
        <f t="shared" si="236"/>
        <v>4077.1664397449999</v>
      </c>
      <c r="AZ163" s="243">
        <f t="shared" si="237"/>
        <v>4077.1664397449999</v>
      </c>
      <c r="BA163" s="243">
        <f t="shared" si="238"/>
        <v>4077.1664397449999</v>
      </c>
      <c r="BB163" s="652">
        <f>VLOOKUP($D163,'2018 Plan Data'!$A$4:$K$2000,6,FALSE)</f>
        <v>2</v>
      </c>
      <c r="BC163" s="243">
        <f>VLOOKUP($D163,'2018 Plan Data'!$A$4:$K$2000,7,FALSE)</f>
        <v>2</v>
      </c>
      <c r="BD163" s="243">
        <f>VLOOKUP($D163,'2018 Plan Data'!$A$4:$K$2000,8,FALSE)</f>
        <v>2</v>
      </c>
      <c r="BE163" s="243">
        <f>VLOOKUP($D163,'2018 Plan Data'!$A$4:$K$2000,9,FALSE)</f>
        <v>2</v>
      </c>
      <c r="BF163" s="243">
        <f t="shared" si="201"/>
        <v>4287.256103499999</v>
      </c>
      <c r="BG163" s="243">
        <f t="shared" si="202"/>
        <v>4287.256103499999</v>
      </c>
      <c r="BH163" s="243">
        <f t="shared" si="203"/>
        <v>4287.256103499999</v>
      </c>
      <c r="BI163" s="243">
        <f t="shared" si="204"/>
        <v>4287.256103499999</v>
      </c>
      <c r="BJ163" s="243">
        <f t="shared" si="205"/>
        <v>9060.3698660999999</v>
      </c>
      <c r="BK163" s="243">
        <f t="shared" si="206"/>
        <v>9060.3698660999999</v>
      </c>
      <c r="BL163" s="243">
        <f t="shared" si="207"/>
        <v>9060.3698660999999</v>
      </c>
      <c r="BM163" s="243">
        <f t="shared" si="208"/>
        <v>9060.3698660999999</v>
      </c>
      <c r="BN163" s="243">
        <f t="shared" si="246"/>
        <v>3858.53049315</v>
      </c>
      <c r="BO163" s="243">
        <f t="shared" si="247"/>
        <v>3858.5304931499991</v>
      </c>
      <c r="BP163" s="243">
        <f t="shared" si="248"/>
        <v>3858.5304931499991</v>
      </c>
      <c r="BQ163" s="243">
        <f t="shared" si="249"/>
        <v>3858.5304931499991</v>
      </c>
      <c r="BR163" s="243">
        <f t="shared" si="239"/>
        <v>8154.3328794899999</v>
      </c>
      <c r="BS163" s="243">
        <f t="shared" si="240"/>
        <v>8154.3328794899999</v>
      </c>
      <c r="BT163" s="243">
        <f t="shared" si="241"/>
        <v>8154.3328794899999</v>
      </c>
      <c r="BU163" s="243">
        <f t="shared" si="242"/>
        <v>8154.3328794899999</v>
      </c>
      <c r="BV163" s="600"/>
      <c r="BW163" s="243">
        <f>ROUND(VLOOKUP($D163,'2018 Plan Data'!$A$4:$T$2000,13,FALSE),10)</f>
        <v>1253.28</v>
      </c>
      <c r="BX163" s="314">
        <f>VLOOKUP($D163,'2018 Plan Data'!$A$4:$T$2000,14,FALSE)</f>
        <v>1253.28</v>
      </c>
      <c r="BY163" s="314">
        <f>VLOOKUP($D163,'2018 Plan Data'!$A$4:$T$2000,15,FALSE)</f>
        <v>1253.28</v>
      </c>
      <c r="BZ163" s="314">
        <f>VLOOKUP($D163,'2018 Plan Data'!$A$4:$T$2000,16,FALSE)</f>
        <v>1253.28</v>
      </c>
      <c r="CA163" s="314">
        <f>IF(VLOOKUP($D163,'2018 Plan Data'!$A$4:$T$2000,17,FALSE)&gt;0,VLOOKUP($D163,'2018 Plan Data'!$A$4:$T$2000,17,FALSE),0)</f>
        <v>7248.2958928799999</v>
      </c>
      <c r="CB163" s="314">
        <f>IF(VLOOKUP($D163,'2018 Plan Data'!$A$4:$T$2000,18,FALSE)&gt;0,VLOOKUP($D163,'2018 Plan Data'!$A$4:$T$2000,18,FALSE),0)</f>
        <v>7248.2958928799999</v>
      </c>
      <c r="CC163" s="314">
        <f>IF(VLOOKUP($D163,'2018 Plan Data'!$A$4:$T$2000,19,FALSE)&gt;0,VLOOKUP($D163,'2018 Plan Data'!$A$4:$T$2000,19,FALSE),0)</f>
        <v>7248.2958928799999</v>
      </c>
      <c r="CD163" s="314">
        <f>IF(VLOOKUP($D163,'2018 Plan Data'!$A$4:$T$2000,20,FALSE)&gt;0,VLOOKUP($D163,'2018 Plan Data'!$A$4:$T$2000,20,FALSE),0)</f>
        <v>7248.2958928799999</v>
      </c>
      <c r="CE163" s="600" t="b">
        <f t="shared" si="213"/>
        <v>0</v>
      </c>
      <c r="CF163" s="600" t="b">
        <f t="shared" si="214"/>
        <v>0</v>
      </c>
      <c r="CG163" s="600" t="b">
        <f t="shared" si="215"/>
        <v>0</v>
      </c>
      <c r="CH163" s="600" t="b">
        <f t="shared" si="216"/>
        <v>0</v>
      </c>
      <c r="CI163" s="600" t="b">
        <f t="shared" si="217"/>
        <v>0</v>
      </c>
      <c r="CJ163" s="600" t="b">
        <f t="shared" si="218"/>
        <v>0</v>
      </c>
      <c r="CK163" s="600" t="b">
        <f t="shared" si="219"/>
        <v>0</v>
      </c>
      <c r="CL163" s="600" t="b">
        <f t="shared" si="220"/>
        <v>0</v>
      </c>
    </row>
    <row r="164" spans="1:349" s="600" customFormat="1" ht="15" customHeight="1" x14ac:dyDescent="0.35">
      <c r="A164" s="585">
        <f t="shared" si="221"/>
        <v>312</v>
      </c>
      <c r="B164" s="600" t="str">
        <f t="shared" si="200"/>
        <v>Business_Standard-Public Buildings</v>
      </c>
      <c r="D164" s="600">
        <v>312</v>
      </c>
      <c r="E164" s="600" t="s">
        <v>1944</v>
      </c>
      <c r="F164" s="600" t="str">
        <f>VLOOKUP(G164,Sheet4!$D$6:$E$22,2,FALSE)</f>
        <v>Standard</v>
      </c>
      <c r="G164" s="600" t="s">
        <v>1054</v>
      </c>
      <c r="H164" s="296" t="s">
        <v>158</v>
      </c>
      <c r="J164" s="72"/>
      <c r="K164" s="72" t="str">
        <f>INDEX('Measure Codes'!$F$4:$F$821,MATCH(H164,'Measure Codes'!$D$4:$D$821,0))</f>
        <v>4.2.16</v>
      </c>
      <c r="L164" s="72" t="str">
        <f>INDEX('Measure Codes'!$G$4:$G$821,MATCH(H164,'Measure Codes'!$D$4:$D$821,0))</f>
        <v>CI-FSE-VENT-V03-160601</v>
      </c>
      <c r="M164" s="600">
        <v>1</v>
      </c>
      <c r="O164" s="72" t="str">
        <f t="shared" si="222"/>
        <v>Dual Fuel</v>
      </c>
      <c r="P164" s="7">
        <f>VLOOKUP(D164,'2018 Plan Data'!$A$4:$K$1000,11,FALSE)</f>
        <v>15</v>
      </c>
      <c r="Q164" s="652">
        <f>VLOOKUP(D164,'2018 Plan Data'!$A$4:$L$1000,12,FALSE)</f>
        <v>0</v>
      </c>
      <c r="R164" s="314">
        <f>'BUS - BPCK21 PS (TRM)'!C11</f>
        <v>4966</v>
      </c>
      <c r="S164" s="314"/>
      <c r="T164" s="314">
        <f>'BUS - BPCK21 PS (TRM)'!C12</f>
        <v>0.67999999999999994</v>
      </c>
      <c r="U164" s="314"/>
      <c r="V164" s="314">
        <f>'BUS - BPCK21 PS (TRM)'!C13</f>
        <v>5505.34375</v>
      </c>
      <c r="W164" s="314"/>
      <c r="AD164" s="309">
        <f>'BUS Measure-Model Summary'!I614</f>
        <v>0.9</v>
      </c>
      <c r="AE164" s="309">
        <f t="shared" si="243"/>
        <v>0.9</v>
      </c>
      <c r="AF164" s="309">
        <f t="shared" si="243"/>
        <v>0.9</v>
      </c>
      <c r="AG164" s="309">
        <f t="shared" si="243"/>
        <v>0.9</v>
      </c>
      <c r="AH164" s="314">
        <f t="shared" si="223"/>
        <v>4469.4000000000005</v>
      </c>
      <c r="AI164" s="314">
        <f t="shared" si="224"/>
        <v>4469.4000000000005</v>
      </c>
      <c r="AJ164" s="314">
        <f t="shared" si="225"/>
        <v>4469.4000000000005</v>
      </c>
      <c r="AK164" s="314">
        <f t="shared" si="226"/>
        <v>4469.4000000000005</v>
      </c>
      <c r="AL164" s="309">
        <f t="shared" si="227"/>
        <v>0.9</v>
      </c>
      <c r="AM164" s="309">
        <f t="shared" si="228"/>
        <v>0.9</v>
      </c>
      <c r="AN164" s="309">
        <f t="shared" si="229"/>
        <v>0.9</v>
      </c>
      <c r="AO164" s="309">
        <f t="shared" si="230"/>
        <v>0.9</v>
      </c>
      <c r="AP164" s="446">
        <f t="shared" si="231"/>
        <v>0.61199999999999999</v>
      </c>
      <c r="AQ164" s="446">
        <f t="shared" si="232"/>
        <v>0.61199999999999999</v>
      </c>
      <c r="AR164" s="446">
        <f t="shared" si="233"/>
        <v>0.61199999999999999</v>
      </c>
      <c r="AS164" s="446">
        <f t="shared" si="234"/>
        <v>0.61199999999999999</v>
      </c>
      <c r="AT164" s="309">
        <f t="shared" si="245"/>
        <v>0.9</v>
      </c>
      <c r="AU164" s="309">
        <f t="shared" si="244"/>
        <v>0.9</v>
      </c>
      <c r="AV164" s="309">
        <f t="shared" si="244"/>
        <v>0.9</v>
      </c>
      <c r="AW164" s="309">
        <f t="shared" si="244"/>
        <v>0.9</v>
      </c>
      <c r="AX164" s="243">
        <f t="shared" si="235"/>
        <v>4954.8093749999998</v>
      </c>
      <c r="AY164" s="243">
        <f t="shared" si="236"/>
        <v>4954.8093749999998</v>
      </c>
      <c r="AZ164" s="243">
        <f t="shared" si="237"/>
        <v>4954.8093749999998</v>
      </c>
      <c r="BA164" s="243">
        <f t="shared" si="238"/>
        <v>4954.8093749999998</v>
      </c>
      <c r="BB164" s="652">
        <f>VLOOKUP($D164,'2018 Plan Data'!$A$4:$K$2000,6,FALSE)</f>
        <v>7</v>
      </c>
      <c r="BC164" s="243">
        <f>VLOOKUP($D164,'2018 Plan Data'!$A$4:$K$2000,7,FALSE)</f>
        <v>7</v>
      </c>
      <c r="BD164" s="243">
        <f>VLOOKUP($D164,'2018 Plan Data'!$A$4:$K$2000,8,FALSE)</f>
        <v>7</v>
      </c>
      <c r="BE164" s="243">
        <f>VLOOKUP($D164,'2018 Plan Data'!$A$4:$K$2000,9,FALSE)</f>
        <v>7</v>
      </c>
      <c r="BF164" s="243">
        <f t="shared" si="201"/>
        <v>34762</v>
      </c>
      <c r="BG164" s="243">
        <f t="shared" si="202"/>
        <v>34762</v>
      </c>
      <c r="BH164" s="243">
        <f t="shared" si="203"/>
        <v>34762</v>
      </c>
      <c r="BI164" s="243">
        <f t="shared" si="204"/>
        <v>34762</v>
      </c>
      <c r="BJ164" s="243">
        <f t="shared" si="205"/>
        <v>38537.40625</v>
      </c>
      <c r="BK164" s="243">
        <f t="shared" si="206"/>
        <v>38537.40625</v>
      </c>
      <c r="BL164" s="243">
        <f t="shared" si="207"/>
        <v>38537.40625</v>
      </c>
      <c r="BM164" s="243">
        <f t="shared" si="208"/>
        <v>38537.40625</v>
      </c>
      <c r="BN164" s="243">
        <f t="shared" si="246"/>
        <v>31285.8</v>
      </c>
      <c r="BO164" s="243">
        <f t="shared" si="247"/>
        <v>31285.800000000003</v>
      </c>
      <c r="BP164" s="243">
        <f t="shared" si="248"/>
        <v>31285.800000000003</v>
      </c>
      <c r="BQ164" s="243">
        <f t="shared" si="249"/>
        <v>31285.800000000003</v>
      </c>
      <c r="BR164" s="243">
        <f t="shared" si="239"/>
        <v>34683.665625000001</v>
      </c>
      <c r="BS164" s="243">
        <f t="shared" si="240"/>
        <v>34683.665625000001</v>
      </c>
      <c r="BT164" s="243">
        <f t="shared" si="241"/>
        <v>34683.665625000001</v>
      </c>
      <c r="BU164" s="243">
        <f t="shared" si="242"/>
        <v>34683.665625000001</v>
      </c>
      <c r="BW164" s="243">
        <f>ROUND(VLOOKUP($D164,'2018 Plan Data'!$A$4:$T$2000,13,FALSE),10)</f>
        <v>31285.8</v>
      </c>
      <c r="BX164" s="314">
        <f>VLOOKUP($D164,'2018 Plan Data'!$A$4:$T$2000,14,FALSE)</f>
        <v>31285.800000000003</v>
      </c>
      <c r="BY164" s="314">
        <f>VLOOKUP($D164,'2018 Plan Data'!$A$4:$T$2000,15,FALSE)</f>
        <v>31285.800000000003</v>
      </c>
      <c r="BZ164" s="314">
        <f>VLOOKUP($D164,'2018 Plan Data'!$A$4:$T$2000,16,FALSE)</f>
        <v>31285.800000000003</v>
      </c>
      <c r="CA164" s="314">
        <f>IF(VLOOKUP($D164,'2018 Plan Data'!$A$4:$T$2000,17,FALSE)&gt;0,VLOOKUP($D164,'2018 Plan Data'!$A$4:$T$2000,17,FALSE),0)</f>
        <v>34683.665625000001</v>
      </c>
      <c r="CB164" s="314">
        <f>IF(VLOOKUP($D164,'2018 Plan Data'!$A$4:$T$2000,18,FALSE)&gt;0,VLOOKUP($D164,'2018 Plan Data'!$A$4:$T$2000,18,FALSE),0)</f>
        <v>34683.665625000001</v>
      </c>
      <c r="CC164" s="314">
        <f>IF(VLOOKUP($D164,'2018 Plan Data'!$A$4:$T$2000,19,FALSE)&gt;0,VLOOKUP($D164,'2018 Plan Data'!$A$4:$T$2000,19,FALSE),0)</f>
        <v>34683.665625000001</v>
      </c>
      <c r="CD164" s="314">
        <f>IF(VLOOKUP($D164,'2018 Plan Data'!$A$4:$T$2000,20,FALSE)&gt;0,VLOOKUP($D164,'2018 Plan Data'!$A$4:$T$2000,20,FALSE),0)</f>
        <v>34683.665625000001</v>
      </c>
      <c r="CE164" s="600" t="b">
        <f t="shared" si="213"/>
        <v>1</v>
      </c>
      <c r="CF164" s="600" t="b">
        <f t="shared" si="214"/>
        <v>1</v>
      </c>
      <c r="CG164" s="600" t="b">
        <f t="shared" si="215"/>
        <v>1</v>
      </c>
      <c r="CH164" s="600" t="b">
        <f t="shared" si="216"/>
        <v>1</v>
      </c>
      <c r="CI164" s="600" t="b">
        <f t="shared" si="217"/>
        <v>1</v>
      </c>
      <c r="CJ164" s="600" t="b">
        <f t="shared" si="218"/>
        <v>1</v>
      </c>
      <c r="CK164" s="600" t="b">
        <f t="shared" si="219"/>
        <v>1</v>
      </c>
      <c r="CL164" s="600" t="b">
        <f t="shared" si="220"/>
        <v>1</v>
      </c>
      <c r="CM164" s="585"/>
      <c r="CN164" s="585"/>
      <c r="CO164" s="585"/>
      <c r="CP164" s="585"/>
      <c r="CQ164" s="585"/>
      <c r="CR164" s="585"/>
      <c r="CS164" s="585"/>
      <c r="CT164" s="585"/>
      <c r="CU164" s="585"/>
      <c r="CV164" s="585"/>
      <c r="CW164" s="585"/>
      <c r="CX164" s="585"/>
      <c r="CY164" s="585"/>
      <c r="CZ164" s="585"/>
      <c r="DA164" s="585"/>
      <c r="DB164" s="585"/>
      <c r="DC164" s="585"/>
      <c r="DD164" s="585"/>
      <c r="DE164" s="585"/>
      <c r="DF164" s="585"/>
      <c r="DG164" s="585"/>
      <c r="DH164" s="585"/>
      <c r="DI164" s="585"/>
      <c r="DJ164" s="585"/>
      <c r="DK164" s="585"/>
      <c r="DL164" s="585"/>
      <c r="DM164" s="585"/>
      <c r="DN164" s="585"/>
      <c r="DO164" s="585"/>
      <c r="DP164" s="585"/>
      <c r="DQ164" s="585"/>
      <c r="DR164" s="585"/>
      <c r="DS164" s="585"/>
      <c r="DT164" s="585"/>
      <c r="DU164" s="585"/>
      <c r="DV164" s="585"/>
      <c r="DW164" s="585"/>
      <c r="DX164" s="585"/>
      <c r="DY164" s="585"/>
      <c r="DZ164" s="585"/>
      <c r="EA164" s="585"/>
      <c r="EB164" s="585"/>
      <c r="EC164" s="585"/>
      <c r="ED164" s="585"/>
      <c r="EE164" s="585"/>
      <c r="EF164" s="585"/>
      <c r="EG164" s="585"/>
      <c r="EH164" s="585"/>
      <c r="EI164" s="585"/>
      <c r="EJ164" s="585"/>
      <c r="EK164" s="585"/>
      <c r="EL164" s="585"/>
      <c r="EM164" s="585"/>
      <c r="EN164" s="585"/>
      <c r="EO164" s="585"/>
      <c r="EP164" s="585"/>
      <c r="EQ164" s="585"/>
      <c r="ER164" s="585"/>
      <c r="ES164" s="585"/>
      <c r="ET164" s="585"/>
      <c r="EU164" s="585"/>
      <c r="EV164" s="585"/>
      <c r="EW164" s="585"/>
      <c r="EX164" s="585"/>
      <c r="EY164" s="585"/>
      <c r="EZ164" s="585"/>
      <c r="FA164" s="585"/>
      <c r="FB164" s="585"/>
      <c r="FC164" s="585"/>
      <c r="FD164" s="585"/>
      <c r="FE164" s="585"/>
      <c r="FF164" s="585"/>
      <c r="FG164" s="585"/>
      <c r="FH164" s="585"/>
      <c r="FI164" s="585"/>
      <c r="FJ164" s="585"/>
      <c r="FK164" s="585"/>
      <c r="FL164" s="585"/>
      <c r="FM164" s="585"/>
      <c r="FN164" s="585"/>
      <c r="FO164" s="585"/>
      <c r="FP164" s="585"/>
      <c r="FQ164" s="585"/>
      <c r="FR164" s="585"/>
      <c r="FS164" s="585"/>
      <c r="FT164" s="585"/>
      <c r="FU164" s="585"/>
      <c r="FV164" s="585"/>
      <c r="FW164" s="585"/>
      <c r="FX164" s="585"/>
      <c r="FY164" s="585"/>
      <c r="FZ164" s="585"/>
      <c r="GA164" s="585"/>
      <c r="GB164" s="585"/>
      <c r="GC164" s="585"/>
      <c r="GD164" s="585"/>
      <c r="GE164" s="585"/>
      <c r="GF164" s="585"/>
      <c r="GG164" s="585"/>
      <c r="GH164" s="585"/>
      <c r="GI164" s="585"/>
      <c r="GJ164" s="585"/>
      <c r="GK164" s="585"/>
      <c r="GL164" s="585"/>
      <c r="GM164" s="585"/>
      <c r="GN164" s="585"/>
      <c r="GO164" s="585"/>
      <c r="GP164" s="585"/>
      <c r="GQ164" s="585"/>
      <c r="GR164" s="585"/>
      <c r="GS164" s="585"/>
      <c r="GT164" s="585"/>
      <c r="GU164" s="585"/>
      <c r="GV164" s="585"/>
      <c r="GW164" s="585"/>
      <c r="GX164" s="585"/>
      <c r="GY164" s="585"/>
      <c r="GZ164" s="585"/>
      <c r="HA164" s="585"/>
      <c r="HB164" s="585"/>
      <c r="HC164" s="585"/>
      <c r="HD164" s="585"/>
      <c r="HE164" s="585"/>
      <c r="HF164" s="585"/>
      <c r="HG164" s="585"/>
      <c r="HH164" s="585"/>
      <c r="HI164" s="585"/>
      <c r="HJ164" s="585"/>
      <c r="HK164" s="585"/>
      <c r="HL164" s="585"/>
      <c r="HM164" s="585"/>
      <c r="HN164" s="585"/>
      <c r="HO164" s="585"/>
      <c r="HP164" s="585"/>
      <c r="HQ164" s="585"/>
      <c r="HR164" s="585"/>
      <c r="HS164" s="585"/>
      <c r="HT164" s="585"/>
      <c r="HU164" s="585"/>
      <c r="HV164" s="585"/>
      <c r="HW164" s="585"/>
      <c r="HX164" s="585"/>
      <c r="HY164" s="585"/>
      <c r="HZ164" s="585"/>
      <c r="IA164" s="585"/>
      <c r="IB164" s="585"/>
      <c r="IC164" s="585"/>
      <c r="ID164" s="585"/>
      <c r="IE164" s="585"/>
      <c r="IF164" s="585"/>
      <c r="IG164" s="585"/>
      <c r="IH164" s="585"/>
      <c r="II164" s="585"/>
      <c r="IJ164" s="585"/>
      <c r="IK164" s="585"/>
      <c r="IL164" s="585"/>
      <c r="IM164" s="585"/>
      <c r="IN164" s="585"/>
      <c r="IO164" s="585"/>
      <c r="IP164" s="585"/>
      <c r="IQ164" s="585"/>
      <c r="IR164" s="585"/>
      <c r="IS164" s="585"/>
      <c r="IT164" s="585"/>
      <c r="IU164" s="585"/>
      <c r="IV164" s="585"/>
      <c r="IW164" s="585"/>
      <c r="IX164" s="585"/>
      <c r="IY164" s="585"/>
      <c r="IZ164" s="585"/>
      <c r="JA164" s="585"/>
      <c r="JB164" s="585"/>
      <c r="JC164" s="585"/>
      <c r="JD164" s="585"/>
      <c r="JE164" s="585"/>
      <c r="JF164" s="585"/>
      <c r="JG164" s="585"/>
      <c r="JH164" s="585"/>
      <c r="JI164" s="585"/>
      <c r="JJ164" s="585"/>
      <c r="JK164" s="585"/>
      <c r="JL164" s="585"/>
      <c r="JM164" s="585"/>
      <c r="JN164" s="585"/>
      <c r="JO164" s="585"/>
      <c r="JP164" s="585"/>
      <c r="JQ164" s="585"/>
      <c r="JR164" s="585"/>
      <c r="JS164" s="585"/>
      <c r="JT164" s="585"/>
      <c r="JU164" s="585"/>
      <c r="JV164" s="585"/>
      <c r="JW164" s="585"/>
      <c r="JX164" s="585"/>
      <c r="JY164" s="585"/>
      <c r="JZ164" s="585"/>
      <c r="KA164" s="585"/>
      <c r="KB164" s="585"/>
      <c r="KC164" s="585"/>
      <c r="KD164" s="585"/>
      <c r="KE164" s="585"/>
      <c r="KF164" s="585"/>
      <c r="KG164" s="585"/>
      <c r="KH164" s="585"/>
      <c r="KI164" s="585"/>
      <c r="KJ164" s="585"/>
      <c r="KK164" s="585"/>
      <c r="KL164" s="585"/>
      <c r="KM164" s="585"/>
      <c r="KN164" s="585"/>
      <c r="KO164" s="585"/>
      <c r="KP164" s="585"/>
      <c r="KQ164" s="585"/>
      <c r="KR164" s="585"/>
      <c r="KS164" s="585"/>
      <c r="KT164" s="585"/>
      <c r="KU164" s="585"/>
      <c r="KV164" s="585"/>
      <c r="KW164" s="585"/>
      <c r="KX164" s="585"/>
      <c r="KY164" s="585"/>
      <c r="KZ164" s="585"/>
      <c r="LA164" s="585"/>
      <c r="LB164" s="585"/>
      <c r="LC164" s="585"/>
      <c r="LD164" s="585"/>
      <c r="LE164" s="585"/>
      <c r="LF164" s="585"/>
      <c r="LG164" s="585"/>
      <c r="LH164" s="585"/>
      <c r="LI164" s="585"/>
      <c r="LJ164" s="585"/>
      <c r="LK164" s="585"/>
      <c r="LL164" s="585"/>
      <c r="LM164" s="585"/>
      <c r="LN164" s="585"/>
      <c r="LO164" s="585"/>
      <c r="LP164" s="585"/>
      <c r="LQ164" s="585"/>
      <c r="LR164" s="585"/>
      <c r="LS164" s="585"/>
      <c r="LT164" s="585"/>
      <c r="LU164" s="585"/>
      <c r="LV164" s="585"/>
      <c r="LW164" s="585"/>
      <c r="LX164" s="585"/>
      <c r="LY164" s="585"/>
      <c r="LZ164" s="585"/>
      <c r="MA164" s="585"/>
      <c r="MB164" s="585"/>
      <c r="MC164" s="585"/>
      <c r="MD164" s="585"/>
      <c r="ME164" s="585"/>
      <c r="MF164" s="585"/>
      <c r="MG164" s="585"/>
      <c r="MH164" s="585"/>
      <c r="MI164" s="585"/>
      <c r="MJ164" s="585"/>
      <c r="MK164" s="585"/>
    </row>
    <row r="165" spans="1:349" s="600" customFormat="1" ht="15" customHeight="1" x14ac:dyDescent="0.35">
      <c r="A165" s="585">
        <f t="shared" si="221"/>
        <v>285</v>
      </c>
      <c r="B165" s="600" t="str">
        <f t="shared" si="200"/>
        <v>Business_Standard-Public Buildings</v>
      </c>
      <c r="D165" s="600">
        <v>285</v>
      </c>
      <c r="E165" s="600" t="s">
        <v>1944</v>
      </c>
      <c r="F165" s="600" t="str">
        <f>VLOOKUP(G165,Sheet4!$D$6:$E$22,2,FALSE)</f>
        <v>Standard</v>
      </c>
      <c r="G165" s="600" t="s">
        <v>1054</v>
      </c>
      <c r="H165" s="296" t="s">
        <v>241</v>
      </c>
      <c r="J165" s="72" t="s">
        <v>5</v>
      </c>
      <c r="K165" s="72" t="str">
        <f>INDEX('Measure Codes'!$F$4:$F$821,MATCH(H165,'Measure Codes'!$D$4:$D$821,0))</f>
        <v>4.4.27</v>
      </c>
      <c r="L165" s="72" t="str">
        <f>INDEX('Measure Codes'!$G$4:$G$821,MATCH(H165,'Measure Codes'!$D$4:$D$821,0))</f>
        <v>CI-HVC-ERVE-V02-160601</v>
      </c>
      <c r="M165" s="600">
        <v>1</v>
      </c>
      <c r="O165" s="72" t="str">
        <f t="shared" si="222"/>
        <v>Gas</v>
      </c>
      <c r="P165" s="7">
        <f>VLOOKUP(D165,'2018 Plan Data'!$A$4:$K$1000,11,FALSE)</f>
        <v>15</v>
      </c>
      <c r="Q165" s="652">
        <f>VLOOKUP(D165,'2018 Plan Data'!$A$4:$L$1000,12,FALSE)</f>
        <v>0</v>
      </c>
      <c r="R165" s="314">
        <f>'BUS Measure-Model Summary'!D583</f>
        <v>0</v>
      </c>
      <c r="S165" s="314"/>
      <c r="T165" s="314">
        <f>'BUS Measure-Model Summary'!E583</f>
        <v>0</v>
      </c>
      <c r="U165" s="314"/>
      <c r="V165" s="314">
        <f>'BUS Measure-Model Summary'!F583</f>
        <v>5.1875000000000004E-2</v>
      </c>
      <c r="W165" s="314"/>
      <c r="AD165" s="309">
        <f>'BUS Measure-Model Summary'!I617</f>
        <v>0.9</v>
      </c>
      <c r="AE165" s="309">
        <f t="shared" si="243"/>
        <v>0.9</v>
      </c>
      <c r="AF165" s="309">
        <f t="shared" si="243"/>
        <v>0.9</v>
      </c>
      <c r="AG165" s="309">
        <f t="shared" si="243"/>
        <v>0.9</v>
      </c>
      <c r="AH165" s="314">
        <f t="shared" si="223"/>
        <v>0</v>
      </c>
      <c r="AI165" s="314">
        <f t="shared" si="224"/>
        <v>0</v>
      </c>
      <c r="AJ165" s="314">
        <f t="shared" si="225"/>
        <v>0</v>
      </c>
      <c r="AK165" s="314">
        <f t="shared" si="226"/>
        <v>0</v>
      </c>
      <c r="AL165" s="309">
        <f t="shared" si="227"/>
        <v>0.9</v>
      </c>
      <c r="AM165" s="309">
        <f t="shared" si="228"/>
        <v>0.9</v>
      </c>
      <c r="AN165" s="309">
        <f t="shared" si="229"/>
        <v>0.9</v>
      </c>
      <c r="AO165" s="309">
        <f t="shared" si="230"/>
        <v>0.9</v>
      </c>
      <c r="AP165" s="446">
        <f t="shared" si="231"/>
        <v>0</v>
      </c>
      <c r="AQ165" s="446">
        <f t="shared" si="232"/>
        <v>0</v>
      </c>
      <c r="AR165" s="446">
        <f t="shared" si="233"/>
        <v>0</v>
      </c>
      <c r="AS165" s="446">
        <f t="shared" si="234"/>
        <v>0</v>
      </c>
      <c r="AT165" s="309">
        <f t="shared" si="245"/>
        <v>0.9</v>
      </c>
      <c r="AU165" s="309">
        <f t="shared" si="244"/>
        <v>0.9</v>
      </c>
      <c r="AV165" s="309">
        <f t="shared" si="244"/>
        <v>0.9</v>
      </c>
      <c r="AW165" s="309">
        <f t="shared" si="244"/>
        <v>0.9</v>
      </c>
      <c r="AX165" s="243">
        <f t="shared" si="235"/>
        <v>4.6687500000000007E-2</v>
      </c>
      <c r="AY165" s="243">
        <f t="shared" si="236"/>
        <v>4.6687500000000007E-2</v>
      </c>
      <c r="AZ165" s="243">
        <f t="shared" si="237"/>
        <v>4.6687500000000007E-2</v>
      </c>
      <c r="BA165" s="243">
        <f t="shared" si="238"/>
        <v>4.6687500000000007E-2</v>
      </c>
      <c r="BB165" s="243">
        <f>VLOOKUP($D165,'2018 Plan Data'!$A$4:$K$2000,6,FALSE)</f>
        <v>15000</v>
      </c>
      <c r="BC165" s="243">
        <f>VLOOKUP($D165,'2018 Plan Data'!$A$4:$K$2000,7,FALSE)</f>
        <v>15000</v>
      </c>
      <c r="BD165" s="243">
        <f>VLOOKUP($D165,'2018 Plan Data'!$A$4:$K$2000,8,FALSE)</f>
        <v>15000</v>
      </c>
      <c r="BE165" s="243">
        <f>VLOOKUP($D165,'2018 Plan Data'!$A$4:$K$2000,9,FALSE)</f>
        <v>15000</v>
      </c>
      <c r="BF165" s="243">
        <f t="shared" si="201"/>
        <v>0</v>
      </c>
      <c r="BG165" s="243">
        <f t="shared" si="202"/>
        <v>0</v>
      </c>
      <c r="BH165" s="243">
        <f t="shared" si="203"/>
        <v>0</v>
      </c>
      <c r="BI165" s="243">
        <f t="shared" si="204"/>
        <v>0</v>
      </c>
      <c r="BJ165" s="243">
        <f t="shared" si="205"/>
        <v>778.12500000000011</v>
      </c>
      <c r="BK165" s="243">
        <f t="shared" si="206"/>
        <v>778.12500000000011</v>
      </c>
      <c r="BL165" s="243">
        <f t="shared" si="207"/>
        <v>778.12500000000011</v>
      </c>
      <c r="BM165" s="243">
        <f t="shared" si="208"/>
        <v>778.12500000000011</v>
      </c>
      <c r="BN165" s="243">
        <f t="shared" si="246"/>
        <v>0</v>
      </c>
      <c r="BO165" s="243">
        <f t="shared" si="247"/>
        <v>0</v>
      </c>
      <c r="BP165" s="243">
        <f t="shared" si="248"/>
        <v>0</v>
      </c>
      <c r="BQ165" s="243">
        <f t="shared" si="249"/>
        <v>0</v>
      </c>
      <c r="BR165" s="243">
        <f t="shared" si="239"/>
        <v>700.31250000000011</v>
      </c>
      <c r="BS165" s="243">
        <f t="shared" si="240"/>
        <v>700.31250000000011</v>
      </c>
      <c r="BT165" s="243">
        <f t="shared" si="241"/>
        <v>700.31250000000011</v>
      </c>
      <c r="BU165" s="243">
        <f t="shared" si="242"/>
        <v>700.31250000000011</v>
      </c>
      <c r="BW165" s="243">
        <f>ROUND(VLOOKUP($D165,'2018 Plan Data'!$A$4:$T$2000,13,FALSE),10)</f>
        <v>0</v>
      </c>
      <c r="BX165" s="314">
        <f>VLOOKUP($D165,'2018 Plan Data'!$A$4:$T$2000,14,FALSE)</f>
        <v>0</v>
      </c>
      <c r="BY165" s="314">
        <f>VLOOKUP($D165,'2018 Plan Data'!$A$4:$T$2000,15,FALSE)</f>
        <v>0</v>
      </c>
      <c r="BZ165" s="314">
        <f>VLOOKUP($D165,'2018 Plan Data'!$A$4:$T$2000,16,FALSE)</f>
        <v>0</v>
      </c>
      <c r="CA165" s="314">
        <f>IF(VLOOKUP($D165,'2018 Plan Data'!$A$4:$T$2000,17,FALSE)&gt;0,VLOOKUP($D165,'2018 Plan Data'!$A$4:$T$2000,17,FALSE),0)</f>
        <v>700.31250000000011</v>
      </c>
      <c r="CB165" s="314">
        <f>IF(VLOOKUP($D165,'2018 Plan Data'!$A$4:$T$2000,18,FALSE)&gt;0,VLOOKUP($D165,'2018 Plan Data'!$A$4:$T$2000,18,FALSE),0)</f>
        <v>700.31250000000011</v>
      </c>
      <c r="CC165" s="314">
        <f>IF(VLOOKUP($D165,'2018 Plan Data'!$A$4:$T$2000,19,FALSE)&gt;0,VLOOKUP($D165,'2018 Plan Data'!$A$4:$T$2000,19,FALSE),0)</f>
        <v>700.31250000000011</v>
      </c>
      <c r="CD165" s="314">
        <f>IF(VLOOKUP($D165,'2018 Plan Data'!$A$4:$T$2000,20,FALSE)&gt;0,VLOOKUP($D165,'2018 Plan Data'!$A$4:$T$2000,20,FALSE),0)</f>
        <v>700.31250000000011</v>
      </c>
      <c r="CE165" s="600" t="b">
        <f t="shared" si="213"/>
        <v>1</v>
      </c>
      <c r="CF165" s="600" t="b">
        <f t="shared" si="214"/>
        <v>1</v>
      </c>
      <c r="CG165" s="600" t="b">
        <f t="shared" si="215"/>
        <v>1</v>
      </c>
      <c r="CH165" s="600" t="b">
        <f t="shared" si="216"/>
        <v>1</v>
      </c>
      <c r="CI165" s="600" t="b">
        <f t="shared" si="217"/>
        <v>1</v>
      </c>
      <c r="CJ165" s="600" t="b">
        <f t="shared" si="218"/>
        <v>1</v>
      </c>
      <c r="CK165" s="600" t="b">
        <f t="shared" si="219"/>
        <v>1</v>
      </c>
      <c r="CL165" s="600" t="b">
        <f t="shared" si="220"/>
        <v>1</v>
      </c>
      <c r="CM165" s="585"/>
      <c r="CN165" s="585"/>
      <c r="CO165" s="585"/>
      <c r="CP165" s="585"/>
      <c r="CQ165" s="585"/>
      <c r="CR165" s="585"/>
      <c r="CS165" s="585"/>
      <c r="CT165" s="585"/>
      <c r="CU165" s="585"/>
      <c r="CV165" s="585"/>
      <c r="CW165" s="585"/>
      <c r="CX165" s="585"/>
      <c r="CY165" s="585"/>
      <c r="CZ165" s="585"/>
      <c r="DA165" s="585"/>
      <c r="DB165" s="585"/>
      <c r="DC165" s="585"/>
      <c r="DD165" s="585"/>
      <c r="DE165" s="585"/>
      <c r="DF165" s="585"/>
      <c r="DG165" s="585"/>
      <c r="DH165" s="585"/>
      <c r="DI165" s="585"/>
      <c r="DJ165" s="585"/>
      <c r="DK165" s="585"/>
      <c r="DL165" s="585"/>
      <c r="DM165" s="585"/>
      <c r="DN165" s="585"/>
      <c r="DO165" s="585"/>
      <c r="DP165" s="585"/>
      <c r="DQ165" s="585"/>
      <c r="DR165" s="585"/>
      <c r="DS165" s="585"/>
      <c r="DT165" s="585"/>
      <c r="DU165" s="585"/>
      <c r="DV165" s="585"/>
      <c r="DW165" s="585"/>
      <c r="DX165" s="585"/>
      <c r="DY165" s="585"/>
      <c r="DZ165" s="585"/>
      <c r="EA165" s="585"/>
      <c r="EB165" s="585"/>
      <c r="EC165" s="585"/>
      <c r="ED165" s="585"/>
      <c r="EE165" s="585"/>
      <c r="EF165" s="585"/>
      <c r="EG165" s="585"/>
      <c r="EH165" s="585"/>
      <c r="EI165" s="585"/>
      <c r="EJ165" s="585"/>
      <c r="EK165" s="585"/>
      <c r="EL165" s="585"/>
      <c r="EM165" s="585"/>
      <c r="EN165" s="585"/>
      <c r="EO165" s="585"/>
      <c r="EP165" s="585"/>
      <c r="EQ165" s="585"/>
      <c r="ER165" s="585"/>
      <c r="ES165" s="585"/>
      <c r="ET165" s="585"/>
      <c r="EU165" s="585"/>
      <c r="EV165" s="585"/>
      <c r="EW165" s="585"/>
      <c r="EX165" s="585"/>
      <c r="EY165" s="585"/>
      <c r="EZ165" s="585"/>
      <c r="FA165" s="585"/>
      <c r="FB165" s="585"/>
      <c r="FC165" s="585"/>
      <c r="FD165" s="585"/>
      <c r="FE165" s="585"/>
      <c r="FF165" s="585"/>
      <c r="FG165" s="585"/>
      <c r="FH165" s="585"/>
      <c r="FI165" s="585"/>
      <c r="FJ165" s="585"/>
      <c r="FK165" s="585"/>
      <c r="FL165" s="585"/>
      <c r="FM165" s="585"/>
      <c r="FN165" s="585"/>
      <c r="FO165" s="585"/>
      <c r="FP165" s="585"/>
      <c r="FQ165" s="585"/>
      <c r="FR165" s="585"/>
      <c r="FS165" s="585"/>
      <c r="FT165" s="585"/>
      <c r="FU165" s="585"/>
      <c r="FV165" s="585"/>
      <c r="FW165" s="585"/>
      <c r="FX165" s="585"/>
      <c r="FY165" s="585"/>
      <c r="FZ165" s="585"/>
      <c r="GA165" s="585"/>
      <c r="GB165" s="585"/>
      <c r="GC165" s="585"/>
      <c r="GD165" s="585"/>
      <c r="GE165" s="585"/>
      <c r="GF165" s="585"/>
      <c r="GG165" s="585"/>
      <c r="GH165" s="585"/>
      <c r="GI165" s="585"/>
      <c r="GJ165" s="585"/>
      <c r="GK165" s="585"/>
      <c r="GL165" s="585"/>
      <c r="GM165" s="585"/>
      <c r="GN165" s="585"/>
      <c r="GO165" s="585"/>
      <c r="GP165" s="585"/>
      <c r="GQ165" s="585"/>
      <c r="GR165" s="585"/>
      <c r="GS165" s="585"/>
      <c r="GT165" s="585"/>
      <c r="GU165" s="585"/>
      <c r="GV165" s="585"/>
      <c r="GW165" s="585"/>
      <c r="GX165" s="585"/>
      <c r="GY165" s="585"/>
      <c r="GZ165" s="585"/>
      <c r="HA165" s="585"/>
      <c r="HB165" s="585"/>
      <c r="HC165" s="585"/>
      <c r="HD165" s="585"/>
      <c r="HE165" s="585"/>
      <c r="HF165" s="585"/>
      <c r="HG165" s="585"/>
      <c r="HH165" s="585"/>
      <c r="HI165" s="585"/>
      <c r="HJ165" s="585"/>
      <c r="HK165" s="585"/>
      <c r="HL165" s="585"/>
      <c r="HM165" s="585"/>
      <c r="HN165" s="585"/>
      <c r="HO165" s="585"/>
      <c r="HP165" s="585"/>
      <c r="HQ165" s="585"/>
      <c r="HR165" s="585"/>
      <c r="HS165" s="585"/>
      <c r="HT165" s="585"/>
      <c r="HU165" s="585"/>
      <c r="HV165" s="585"/>
      <c r="HW165" s="585"/>
      <c r="HX165" s="585"/>
      <c r="HY165" s="585"/>
      <c r="HZ165" s="585"/>
      <c r="IA165" s="585"/>
      <c r="IB165" s="585"/>
      <c r="IC165" s="585"/>
      <c r="ID165" s="585"/>
      <c r="IE165" s="585"/>
      <c r="IF165" s="585"/>
      <c r="IG165" s="585"/>
      <c r="IH165" s="585"/>
      <c r="II165" s="585"/>
      <c r="IJ165" s="585"/>
      <c r="IK165" s="585"/>
      <c r="IL165" s="585"/>
      <c r="IM165" s="585"/>
      <c r="IN165" s="585"/>
      <c r="IO165" s="585"/>
      <c r="IP165" s="585"/>
      <c r="IQ165" s="585"/>
      <c r="IR165" s="585"/>
      <c r="IS165" s="585"/>
      <c r="IT165" s="585"/>
      <c r="IU165" s="585"/>
      <c r="IV165" s="585"/>
      <c r="IW165" s="585"/>
      <c r="IX165" s="585"/>
      <c r="IY165" s="585"/>
      <c r="IZ165" s="585"/>
      <c r="JA165" s="585"/>
      <c r="JB165" s="585"/>
      <c r="JC165" s="585"/>
      <c r="JD165" s="585"/>
      <c r="JE165" s="585"/>
      <c r="JF165" s="585"/>
      <c r="JG165" s="585"/>
      <c r="JH165" s="585"/>
      <c r="JI165" s="585"/>
      <c r="JJ165" s="585"/>
      <c r="JK165" s="585"/>
      <c r="JL165" s="585"/>
      <c r="JM165" s="585"/>
      <c r="JN165" s="585"/>
      <c r="JO165" s="585"/>
      <c r="JP165" s="585"/>
      <c r="JQ165" s="585"/>
      <c r="JR165" s="585"/>
      <c r="JS165" s="585"/>
      <c r="JT165" s="585"/>
      <c r="JU165" s="585"/>
      <c r="JV165" s="585"/>
      <c r="JW165" s="585"/>
      <c r="JX165" s="585"/>
      <c r="JY165" s="585"/>
      <c r="JZ165" s="585"/>
      <c r="KA165" s="585"/>
      <c r="KB165" s="585"/>
      <c r="KC165" s="585"/>
      <c r="KD165" s="585"/>
      <c r="KE165" s="585"/>
      <c r="KF165" s="585"/>
      <c r="KG165" s="585"/>
      <c r="KH165" s="585"/>
      <c r="KI165" s="585"/>
      <c r="KJ165" s="585"/>
      <c r="KK165" s="585"/>
      <c r="KL165" s="585"/>
      <c r="KM165" s="585"/>
      <c r="KN165" s="585"/>
      <c r="KO165" s="585"/>
      <c r="KP165" s="585"/>
      <c r="KQ165" s="585"/>
      <c r="KR165" s="585"/>
      <c r="KS165" s="585"/>
      <c r="KT165" s="585"/>
      <c r="KU165" s="585"/>
      <c r="KV165" s="585"/>
      <c r="KW165" s="585"/>
      <c r="KX165" s="585"/>
      <c r="KY165" s="585"/>
      <c r="KZ165" s="585"/>
      <c r="LA165" s="585"/>
      <c r="LB165" s="585"/>
      <c r="LC165" s="585"/>
      <c r="LD165" s="585"/>
      <c r="LE165" s="585"/>
      <c r="LF165" s="585"/>
      <c r="LG165" s="585"/>
      <c r="LH165" s="585"/>
      <c r="LI165" s="585"/>
      <c r="LJ165" s="585"/>
      <c r="LK165" s="585"/>
      <c r="LL165" s="585"/>
      <c r="LM165" s="585"/>
      <c r="LN165" s="585"/>
      <c r="LO165" s="585"/>
      <c r="LP165" s="585"/>
      <c r="LQ165" s="585"/>
      <c r="LR165" s="585"/>
      <c r="LS165" s="585"/>
      <c r="LT165" s="585"/>
      <c r="LU165" s="585"/>
      <c r="LV165" s="585"/>
      <c r="LW165" s="585"/>
      <c r="LX165" s="585"/>
      <c r="LY165" s="585"/>
      <c r="LZ165" s="585"/>
      <c r="MA165" s="585"/>
      <c r="MB165" s="585"/>
      <c r="MC165" s="585"/>
      <c r="MD165" s="585"/>
      <c r="ME165" s="585"/>
      <c r="MF165" s="585"/>
      <c r="MG165" s="585"/>
      <c r="MH165" s="585"/>
      <c r="MI165" s="585"/>
      <c r="MJ165" s="585"/>
      <c r="MK165" s="585"/>
    </row>
    <row r="166" spans="1:349" s="600" customFormat="1" ht="15" customHeight="1" x14ac:dyDescent="0.35">
      <c r="A166" s="585">
        <f t="shared" si="221"/>
        <v>337</v>
      </c>
      <c r="B166" s="600" t="str">
        <f t="shared" si="200"/>
        <v>Business_Standard-Public Buildings</v>
      </c>
      <c r="D166" s="600">
        <v>337</v>
      </c>
      <c r="E166" s="600" t="s">
        <v>1944</v>
      </c>
      <c r="F166" s="600" t="str">
        <f>VLOOKUP(G166,Sheet4!$D$6:$E$22,2,FALSE)</f>
        <v>Standard</v>
      </c>
      <c r="G166" s="600" t="s">
        <v>1054</v>
      </c>
      <c r="H166" s="296" t="s">
        <v>167</v>
      </c>
      <c r="J166" s="72" t="s">
        <v>100</v>
      </c>
      <c r="K166" s="72" t="str">
        <f>INDEX('Measure Codes'!$F$4:$F$821,MATCH(H166,'Measure Codes'!$D$4:$D$821,0))</f>
        <v>4.4.18</v>
      </c>
      <c r="L166" s="72" t="str">
        <f>INDEX('Measure Codes'!$G$4:$G$821,MATCH(H166,'Measure Codes'!$D$4:$D$821,0))</f>
        <v>CI-HVC-PROG-V02-150601</v>
      </c>
      <c r="M166" s="600">
        <v>1</v>
      </c>
      <c r="O166" s="72" t="str">
        <f t="shared" si="222"/>
        <v>Dual Fuel</v>
      </c>
      <c r="P166" s="7">
        <f>VLOOKUP(D166,'2018 Plan Data'!$A$4:$K$1000,11,FALSE)</f>
        <v>8</v>
      </c>
      <c r="Q166" s="652">
        <f>VLOOKUP(D166,'2018 Plan Data'!$A$4:$L$1000,12,FALSE)</f>
        <v>0</v>
      </c>
      <c r="R166" s="314">
        <f>'BUS Measure-Model Summary'!D588</f>
        <v>4726</v>
      </c>
      <c r="S166" s="314"/>
      <c r="T166" s="314">
        <f>'BUS Measure-Model Summary'!E588</f>
        <v>0</v>
      </c>
      <c r="U166" s="314"/>
      <c r="V166" s="314">
        <f>'BUS Measure-Model Summary'!F588</f>
        <v>73.599999999999994</v>
      </c>
      <c r="W166" s="314"/>
      <c r="AD166" s="309">
        <f>'BUS Measure-Model Summary'!I620</f>
        <v>0.9</v>
      </c>
      <c r="AE166" s="309">
        <f t="shared" si="243"/>
        <v>0.9</v>
      </c>
      <c r="AF166" s="309">
        <f t="shared" si="243"/>
        <v>0.9</v>
      </c>
      <c r="AG166" s="309">
        <f t="shared" si="243"/>
        <v>0.9</v>
      </c>
      <c r="AH166" s="314">
        <f t="shared" si="223"/>
        <v>4253.4000000000005</v>
      </c>
      <c r="AI166" s="314">
        <f t="shared" si="224"/>
        <v>4253.4000000000005</v>
      </c>
      <c r="AJ166" s="314">
        <f t="shared" si="225"/>
        <v>4253.4000000000005</v>
      </c>
      <c r="AK166" s="314">
        <f t="shared" si="226"/>
        <v>4253.4000000000005</v>
      </c>
      <c r="AL166" s="309">
        <f t="shared" si="227"/>
        <v>0.9</v>
      </c>
      <c r="AM166" s="309">
        <f t="shared" si="228"/>
        <v>0.9</v>
      </c>
      <c r="AN166" s="309">
        <f t="shared" si="229"/>
        <v>0.9</v>
      </c>
      <c r="AO166" s="309">
        <f t="shared" si="230"/>
        <v>0.9</v>
      </c>
      <c r="AP166" s="446">
        <f t="shared" si="231"/>
        <v>0</v>
      </c>
      <c r="AQ166" s="446">
        <f t="shared" si="232"/>
        <v>0</v>
      </c>
      <c r="AR166" s="446">
        <f t="shared" si="233"/>
        <v>0</v>
      </c>
      <c r="AS166" s="446">
        <f t="shared" si="234"/>
        <v>0</v>
      </c>
      <c r="AT166" s="309">
        <f t="shared" si="245"/>
        <v>0.9</v>
      </c>
      <c r="AU166" s="309">
        <f t="shared" si="244"/>
        <v>0.9</v>
      </c>
      <c r="AV166" s="309">
        <f t="shared" si="244"/>
        <v>0.9</v>
      </c>
      <c r="AW166" s="309">
        <f t="shared" si="244"/>
        <v>0.9</v>
      </c>
      <c r="AX166" s="243">
        <f t="shared" si="235"/>
        <v>66.239999999999995</v>
      </c>
      <c r="AY166" s="243">
        <f t="shared" si="236"/>
        <v>66.239999999999995</v>
      </c>
      <c r="AZ166" s="243">
        <f t="shared" si="237"/>
        <v>66.239999999999995</v>
      </c>
      <c r="BA166" s="243">
        <f t="shared" si="238"/>
        <v>66.239999999999995</v>
      </c>
      <c r="BB166" s="652">
        <f>VLOOKUP($D166,'2018 Plan Data'!$A$4:$K$2000,6,FALSE)</f>
        <v>12</v>
      </c>
      <c r="BC166" s="243">
        <f>VLOOKUP($D166,'2018 Plan Data'!$A$4:$K$2000,7,FALSE)</f>
        <v>4</v>
      </c>
      <c r="BD166" s="243">
        <f>VLOOKUP($D166,'2018 Plan Data'!$A$4:$K$2000,8,FALSE)</f>
        <v>1</v>
      </c>
      <c r="BE166" s="243">
        <f>VLOOKUP($D166,'2018 Plan Data'!$A$4:$K$2000,9,FALSE)</f>
        <v>1</v>
      </c>
      <c r="BF166" s="243">
        <f t="shared" si="201"/>
        <v>56712</v>
      </c>
      <c r="BG166" s="243">
        <f t="shared" si="202"/>
        <v>18904</v>
      </c>
      <c r="BH166" s="243">
        <f t="shared" si="203"/>
        <v>4726</v>
      </c>
      <c r="BI166" s="243">
        <f t="shared" si="204"/>
        <v>4726</v>
      </c>
      <c r="BJ166" s="243">
        <f t="shared" si="205"/>
        <v>883.19999999999993</v>
      </c>
      <c r="BK166" s="243">
        <f t="shared" si="206"/>
        <v>294.39999999999998</v>
      </c>
      <c r="BL166" s="243">
        <f t="shared" si="207"/>
        <v>73.599999999999994</v>
      </c>
      <c r="BM166" s="243">
        <f t="shared" si="208"/>
        <v>73.599999999999994</v>
      </c>
      <c r="BN166" s="243">
        <f t="shared" si="246"/>
        <v>51040.800000000003</v>
      </c>
      <c r="BO166" s="243">
        <f t="shared" si="247"/>
        <v>17013.600000000002</v>
      </c>
      <c r="BP166" s="243">
        <f t="shared" si="248"/>
        <v>4253.4000000000005</v>
      </c>
      <c r="BQ166" s="243">
        <f t="shared" si="249"/>
        <v>4253.4000000000005</v>
      </c>
      <c r="BR166" s="243">
        <f t="shared" si="239"/>
        <v>794.87999999999988</v>
      </c>
      <c r="BS166" s="243">
        <f t="shared" si="240"/>
        <v>264.95999999999998</v>
      </c>
      <c r="BT166" s="243">
        <f t="shared" si="241"/>
        <v>66.239999999999995</v>
      </c>
      <c r="BU166" s="243">
        <f t="shared" si="242"/>
        <v>66.239999999999995</v>
      </c>
      <c r="BW166" s="243">
        <f>ROUND(VLOOKUP($D166,'2018 Plan Data'!$A$4:$T$2000,13,FALSE),10)</f>
        <v>51040.800000000003</v>
      </c>
      <c r="BX166" s="314">
        <f>VLOOKUP($D166,'2018 Plan Data'!$A$4:$T$2000,14,FALSE)</f>
        <v>17013.600000000002</v>
      </c>
      <c r="BY166" s="314">
        <f>VLOOKUP($D166,'2018 Plan Data'!$A$4:$T$2000,15,FALSE)</f>
        <v>4253.4000000000005</v>
      </c>
      <c r="BZ166" s="314">
        <f>VLOOKUP($D166,'2018 Plan Data'!$A$4:$T$2000,16,FALSE)</f>
        <v>4253.4000000000005</v>
      </c>
      <c r="CA166" s="314">
        <f>IF(VLOOKUP($D166,'2018 Plan Data'!$A$4:$T$2000,17,FALSE)&gt;0,VLOOKUP($D166,'2018 Plan Data'!$A$4:$T$2000,17,FALSE),0)</f>
        <v>794.87999999999988</v>
      </c>
      <c r="CB166" s="314">
        <f>IF(VLOOKUP($D166,'2018 Plan Data'!$A$4:$T$2000,18,FALSE)&gt;0,VLOOKUP($D166,'2018 Plan Data'!$A$4:$T$2000,18,FALSE),0)</f>
        <v>264.95999999999998</v>
      </c>
      <c r="CC166" s="314">
        <f>IF(VLOOKUP($D166,'2018 Plan Data'!$A$4:$T$2000,19,FALSE)&gt;0,VLOOKUP($D166,'2018 Plan Data'!$A$4:$T$2000,19,FALSE),0)</f>
        <v>66.239999999999995</v>
      </c>
      <c r="CD166" s="314">
        <f>IF(VLOOKUP($D166,'2018 Plan Data'!$A$4:$T$2000,20,FALSE)&gt;0,VLOOKUP($D166,'2018 Plan Data'!$A$4:$T$2000,20,FALSE),0)</f>
        <v>66.239999999999995</v>
      </c>
      <c r="CE166" s="600" t="b">
        <f t="shared" si="213"/>
        <v>1</v>
      </c>
      <c r="CF166" s="600" t="b">
        <f t="shared" si="214"/>
        <v>1</v>
      </c>
      <c r="CG166" s="600" t="b">
        <f t="shared" si="215"/>
        <v>1</v>
      </c>
      <c r="CH166" s="600" t="b">
        <f t="shared" si="216"/>
        <v>1</v>
      </c>
      <c r="CI166" s="600" t="b">
        <f t="shared" si="217"/>
        <v>1</v>
      </c>
      <c r="CJ166" s="600" t="b">
        <f t="shared" si="218"/>
        <v>1</v>
      </c>
      <c r="CK166" s="600" t="b">
        <f t="shared" si="219"/>
        <v>1</v>
      </c>
      <c r="CL166" s="600" t="b">
        <f t="shared" si="220"/>
        <v>1</v>
      </c>
      <c r="CM166" s="585"/>
      <c r="CN166" s="585"/>
      <c r="CO166" s="585"/>
      <c r="CP166" s="585"/>
      <c r="CQ166" s="585"/>
      <c r="CR166" s="585"/>
      <c r="CS166" s="585"/>
      <c r="CT166" s="585"/>
      <c r="CU166" s="585"/>
      <c r="CV166" s="585"/>
      <c r="CW166" s="585"/>
      <c r="CX166" s="585"/>
      <c r="CY166" s="585"/>
      <c r="CZ166" s="585"/>
      <c r="DA166" s="585"/>
      <c r="DB166" s="585"/>
      <c r="DC166" s="585"/>
      <c r="DD166" s="585"/>
      <c r="DE166" s="585"/>
      <c r="DF166" s="585"/>
      <c r="DG166" s="585"/>
      <c r="DH166" s="585"/>
      <c r="DI166" s="585"/>
      <c r="DJ166" s="585"/>
      <c r="DK166" s="585"/>
      <c r="DL166" s="585"/>
      <c r="DM166" s="585"/>
      <c r="DN166" s="585"/>
      <c r="DO166" s="585"/>
      <c r="DP166" s="585"/>
      <c r="DQ166" s="585"/>
      <c r="DR166" s="585"/>
      <c r="DS166" s="585"/>
      <c r="DT166" s="585"/>
      <c r="DU166" s="585"/>
      <c r="DV166" s="585"/>
      <c r="DW166" s="585"/>
      <c r="DX166" s="585"/>
      <c r="DY166" s="585"/>
      <c r="DZ166" s="585"/>
      <c r="EA166" s="585"/>
      <c r="EB166" s="585"/>
      <c r="EC166" s="585"/>
      <c r="ED166" s="585"/>
      <c r="EE166" s="585"/>
      <c r="EF166" s="585"/>
      <c r="EG166" s="585"/>
      <c r="EH166" s="585"/>
      <c r="EI166" s="585"/>
      <c r="EJ166" s="585"/>
      <c r="EK166" s="585"/>
      <c r="EL166" s="585"/>
      <c r="EM166" s="585"/>
      <c r="EN166" s="585"/>
      <c r="EO166" s="585"/>
      <c r="EP166" s="585"/>
      <c r="EQ166" s="585"/>
      <c r="ER166" s="585"/>
      <c r="ES166" s="585"/>
      <c r="ET166" s="585"/>
      <c r="EU166" s="585"/>
      <c r="EV166" s="585"/>
      <c r="EW166" s="585"/>
      <c r="EX166" s="585"/>
      <c r="EY166" s="585"/>
      <c r="EZ166" s="585"/>
      <c r="FA166" s="585"/>
      <c r="FB166" s="585"/>
      <c r="FC166" s="585"/>
      <c r="FD166" s="585"/>
      <c r="FE166" s="585"/>
      <c r="FF166" s="585"/>
      <c r="FG166" s="585"/>
      <c r="FH166" s="585"/>
      <c r="FI166" s="585"/>
      <c r="FJ166" s="585"/>
      <c r="FK166" s="585"/>
      <c r="FL166" s="585"/>
      <c r="FM166" s="585"/>
      <c r="FN166" s="585"/>
      <c r="FO166" s="585"/>
      <c r="FP166" s="585"/>
      <c r="FQ166" s="585"/>
      <c r="FR166" s="585"/>
      <c r="FS166" s="585"/>
      <c r="FT166" s="585"/>
      <c r="FU166" s="585"/>
      <c r="FV166" s="585"/>
      <c r="FW166" s="585"/>
      <c r="FX166" s="585"/>
      <c r="FY166" s="585"/>
      <c r="FZ166" s="585"/>
      <c r="GA166" s="585"/>
      <c r="GB166" s="585"/>
      <c r="GC166" s="585"/>
      <c r="GD166" s="585"/>
      <c r="GE166" s="585"/>
      <c r="GF166" s="585"/>
      <c r="GG166" s="585"/>
      <c r="GH166" s="585"/>
      <c r="GI166" s="585"/>
      <c r="GJ166" s="585"/>
      <c r="GK166" s="585"/>
      <c r="GL166" s="585"/>
      <c r="GM166" s="585"/>
      <c r="GN166" s="585"/>
      <c r="GO166" s="585"/>
      <c r="GP166" s="585"/>
      <c r="GQ166" s="585"/>
      <c r="GR166" s="585"/>
      <c r="GS166" s="585"/>
      <c r="GT166" s="585"/>
      <c r="GU166" s="585"/>
      <c r="GV166" s="585"/>
      <c r="GW166" s="585"/>
      <c r="GX166" s="585"/>
      <c r="GY166" s="585"/>
      <c r="GZ166" s="585"/>
      <c r="HA166" s="585"/>
      <c r="HB166" s="585"/>
      <c r="HC166" s="585"/>
      <c r="HD166" s="585"/>
      <c r="HE166" s="585"/>
      <c r="HF166" s="585"/>
      <c r="HG166" s="585"/>
      <c r="HH166" s="585"/>
      <c r="HI166" s="585"/>
      <c r="HJ166" s="585"/>
      <c r="HK166" s="585"/>
      <c r="HL166" s="585"/>
      <c r="HM166" s="585"/>
      <c r="HN166" s="585"/>
      <c r="HO166" s="585"/>
      <c r="HP166" s="585"/>
      <c r="HQ166" s="585"/>
      <c r="HR166" s="585"/>
      <c r="HS166" s="585"/>
      <c r="HT166" s="585"/>
      <c r="HU166" s="585"/>
      <c r="HV166" s="585"/>
      <c r="HW166" s="585"/>
      <c r="HX166" s="585"/>
      <c r="HY166" s="585"/>
      <c r="HZ166" s="585"/>
      <c r="IA166" s="585"/>
      <c r="IB166" s="585"/>
      <c r="IC166" s="585"/>
      <c r="ID166" s="585"/>
      <c r="IE166" s="585"/>
      <c r="IF166" s="585"/>
      <c r="IG166" s="585"/>
      <c r="IH166" s="585"/>
      <c r="II166" s="585"/>
      <c r="IJ166" s="585"/>
      <c r="IK166" s="585"/>
      <c r="IL166" s="585"/>
      <c r="IM166" s="585"/>
      <c r="IN166" s="585"/>
      <c r="IO166" s="585"/>
      <c r="IP166" s="585"/>
      <c r="IQ166" s="585"/>
      <c r="IR166" s="585"/>
      <c r="IS166" s="585"/>
      <c r="IT166" s="585"/>
      <c r="IU166" s="585"/>
      <c r="IV166" s="585"/>
      <c r="IW166" s="585"/>
      <c r="IX166" s="585"/>
      <c r="IY166" s="585"/>
      <c r="IZ166" s="585"/>
      <c r="JA166" s="585"/>
      <c r="JB166" s="585"/>
      <c r="JC166" s="585"/>
      <c r="JD166" s="585"/>
      <c r="JE166" s="585"/>
      <c r="JF166" s="585"/>
      <c r="JG166" s="585"/>
      <c r="JH166" s="585"/>
      <c r="JI166" s="585"/>
      <c r="JJ166" s="585"/>
      <c r="JK166" s="585"/>
      <c r="JL166" s="585"/>
      <c r="JM166" s="585"/>
      <c r="JN166" s="585"/>
      <c r="JO166" s="585"/>
      <c r="JP166" s="585"/>
      <c r="JQ166" s="585"/>
      <c r="JR166" s="585"/>
      <c r="JS166" s="585"/>
      <c r="JT166" s="585"/>
      <c r="JU166" s="585"/>
      <c r="JV166" s="585"/>
      <c r="JW166" s="585"/>
      <c r="JX166" s="585"/>
      <c r="JY166" s="585"/>
      <c r="JZ166" s="585"/>
      <c r="KA166" s="585"/>
      <c r="KB166" s="585"/>
      <c r="KC166" s="585"/>
      <c r="KD166" s="585"/>
      <c r="KE166" s="585"/>
      <c r="KF166" s="585"/>
      <c r="KG166" s="585"/>
      <c r="KH166" s="585"/>
      <c r="KI166" s="585"/>
      <c r="KJ166" s="585"/>
      <c r="KK166" s="585"/>
      <c r="KL166" s="585"/>
      <c r="KM166" s="585"/>
      <c r="KN166" s="585"/>
      <c r="KO166" s="585"/>
      <c r="KP166" s="585"/>
      <c r="KQ166" s="585"/>
      <c r="KR166" s="585"/>
      <c r="KS166" s="585"/>
      <c r="KT166" s="585"/>
      <c r="KU166" s="585"/>
      <c r="KV166" s="585"/>
      <c r="KW166" s="585"/>
      <c r="KX166" s="585"/>
      <c r="KY166" s="585"/>
      <c r="KZ166" s="585"/>
      <c r="LA166" s="585"/>
      <c r="LB166" s="585"/>
      <c r="LC166" s="585"/>
      <c r="LD166" s="585"/>
      <c r="LE166" s="585"/>
      <c r="LF166" s="585"/>
      <c r="LG166" s="585"/>
      <c r="LH166" s="585"/>
      <c r="LI166" s="585"/>
      <c r="LJ166" s="585"/>
      <c r="LK166" s="585"/>
      <c r="LL166" s="585"/>
      <c r="LM166" s="585"/>
      <c r="LN166" s="585"/>
      <c r="LO166" s="585"/>
      <c r="LP166" s="585"/>
      <c r="LQ166" s="585"/>
      <c r="LR166" s="585"/>
      <c r="LS166" s="585"/>
      <c r="LT166" s="585"/>
      <c r="LU166" s="585"/>
      <c r="LV166" s="585"/>
      <c r="LW166" s="585"/>
      <c r="LX166" s="585"/>
      <c r="LY166" s="585"/>
      <c r="LZ166" s="585"/>
      <c r="MA166" s="585"/>
      <c r="MB166" s="585"/>
      <c r="MC166" s="585"/>
      <c r="MD166" s="585"/>
      <c r="ME166" s="585"/>
      <c r="MF166" s="585"/>
      <c r="MG166" s="585"/>
      <c r="MH166" s="585"/>
      <c r="MI166" s="585"/>
      <c r="MJ166" s="585"/>
      <c r="MK166" s="585"/>
    </row>
    <row r="167" spans="1:349" ht="15" customHeight="1" x14ac:dyDescent="0.35">
      <c r="A167" s="585">
        <f t="shared" si="221"/>
        <v>273</v>
      </c>
      <c r="B167" s="600" t="str">
        <f t="shared" si="200"/>
        <v>Business_Standard-Public Buildings</v>
      </c>
      <c r="D167">
        <v>273</v>
      </c>
      <c r="E167" s="600" t="s">
        <v>1944</v>
      </c>
      <c r="F167" s="600" t="str">
        <f>VLOOKUP(G167,Sheet4!$D$6:$E$22,2,FALSE)</f>
        <v>Standard</v>
      </c>
      <c r="G167" s="600" t="s">
        <v>1054</v>
      </c>
      <c r="H167" s="296" t="s">
        <v>168</v>
      </c>
      <c r="J167" s="72" t="s">
        <v>100</v>
      </c>
      <c r="K167" s="72" t="str">
        <f>INDEX('Measure Codes'!$F$4:$F$821,MATCH(H167,'Measure Codes'!$D$4:$D$821,0))</f>
        <v>4.4.19</v>
      </c>
      <c r="L167" s="72" t="str">
        <f>INDEX('Measure Codes'!$G$4:$G$821,MATCH(H167,'Measure Codes'!$D$4:$D$821,0))</f>
        <v>CI-HVC-DCV-V04-180101</v>
      </c>
      <c r="M167" s="600">
        <v>1</v>
      </c>
      <c r="O167" s="72" t="str">
        <f t="shared" si="222"/>
        <v>Dual Fuel</v>
      </c>
      <c r="P167" s="7">
        <f>VLOOKUP(D167,'2018 Plan Data'!$A$4:$K$1000,11,FALSE)</f>
        <v>10</v>
      </c>
      <c r="Q167" s="652">
        <f>VLOOKUP(D167,'2018 Plan Data'!$A$4:$L$1000,12,FALSE)</f>
        <v>0</v>
      </c>
      <c r="R167" s="314">
        <f>'BUS Measure-Model Summary'!D591</f>
        <v>4468</v>
      </c>
      <c r="T167" s="314">
        <f>'BUS Measure-Model Summary'!E591</f>
        <v>0</v>
      </c>
      <c r="V167" s="314">
        <f>'BUS Measure-Model Summary'!F591</f>
        <v>623</v>
      </c>
      <c r="AD167" s="309">
        <f>'BUS Measure-Model Summary'!I621</f>
        <v>0.9</v>
      </c>
      <c r="AE167" s="309">
        <f t="shared" si="243"/>
        <v>0.9</v>
      </c>
      <c r="AF167" s="309">
        <f t="shared" si="243"/>
        <v>0.9</v>
      </c>
      <c r="AG167" s="309">
        <f t="shared" si="243"/>
        <v>0.9</v>
      </c>
      <c r="AH167" s="314">
        <f t="shared" si="223"/>
        <v>4021.2000000000003</v>
      </c>
      <c r="AI167" s="314">
        <f t="shared" si="224"/>
        <v>4021.2000000000003</v>
      </c>
      <c r="AJ167" s="314">
        <f t="shared" si="225"/>
        <v>4021.2000000000003</v>
      </c>
      <c r="AK167" s="314">
        <f t="shared" si="226"/>
        <v>4021.2000000000003</v>
      </c>
      <c r="AL167" s="309">
        <f t="shared" si="227"/>
        <v>0.9</v>
      </c>
      <c r="AM167" s="309">
        <f t="shared" si="228"/>
        <v>0.9</v>
      </c>
      <c r="AN167" s="309">
        <f t="shared" si="229"/>
        <v>0.9</v>
      </c>
      <c r="AO167" s="309">
        <f t="shared" si="230"/>
        <v>0.9</v>
      </c>
      <c r="AP167" s="446">
        <f t="shared" si="231"/>
        <v>0</v>
      </c>
      <c r="AQ167" s="446">
        <f t="shared" si="232"/>
        <v>0</v>
      </c>
      <c r="AR167" s="446">
        <f t="shared" si="233"/>
        <v>0</v>
      </c>
      <c r="AS167" s="446">
        <f t="shared" si="234"/>
        <v>0</v>
      </c>
      <c r="AT167" s="309">
        <f t="shared" si="245"/>
        <v>0.9</v>
      </c>
      <c r="AU167" s="309">
        <f t="shared" si="244"/>
        <v>0.9</v>
      </c>
      <c r="AV167" s="309">
        <f t="shared" si="244"/>
        <v>0.9</v>
      </c>
      <c r="AW167" s="309">
        <f t="shared" si="244"/>
        <v>0.9</v>
      </c>
      <c r="AX167" s="243">
        <f t="shared" si="235"/>
        <v>560.70000000000005</v>
      </c>
      <c r="AY167" s="243">
        <f t="shared" si="236"/>
        <v>560.70000000000005</v>
      </c>
      <c r="AZ167" s="243">
        <f t="shared" si="237"/>
        <v>560.70000000000005</v>
      </c>
      <c r="BA167" s="243">
        <f t="shared" si="238"/>
        <v>560.70000000000005</v>
      </c>
      <c r="BB167" s="652">
        <f>VLOOKUP($D167,'2018 Plan Data'!$A$4:$K$2000,6,FALSE)</f>
        <v>48</v>
      </c>
      <c r="BC167" s="243">
        <f>VLOOKUP($D167,'2018 Plan Data'!$A$4:$K$2000,7,FALSE)</f>
        <v>40</v>
      </c>
      <c r="BD167" s="243">
        <f>VLOOKUP($D167,'2018 Plan Data'!$A$4:$K$2000,8,FALSE)</f>
        <v>50</v>
      </c>
      <c r="BE167" s="243">
        <f>VLOOKUP($D167,'2018 Plan Data'!$A$4:$K$2000,9,FALSE)</f>
        <v>50</v>
      </c>
      <c r="BF167" s="243">
        <f t="shared" si="201"/>
        <v>214464</v>
      </c>
      <c r="BG167" s="243">
        <f t="shared" si="202"/>
        <v>178720</v>
      </c>
      <c r="BH167" s="243">
        <f t="shared" si="203"/>
        <v>223400</v>
      </c>
      <c r="BI167" s="243">
        <f t="shared" si="204"/>
        <v>223400</v>
      </c>
      <c r="BJ167" s="243">
        <f t="shared" si="205"/>
        <v>29904</v>
      </c>
      <c r="BK167" s="243">
        <f t="shared" si="206"/>
        <v>24920</v>
      </c>
      <c r="BL167" s="243">
        <f t="shared" si="207"/>
        <v>31150</v>
      </c>
      <c r="BM167" s="243">
        <f t="shared" si="208"/>
        <v>31150</v>
      </c>
      <c r="BN167" s="243">
        <f t="shared" si="246"/>
        <v>193017.60000000001</v>
      </c>
      <c r="BO167" s="243">
        <f t="shared" si="247"/>
        <v>160848</v>
      </c>
      <c r="BP167" s="243">
        <f t="shared" si="248"/>
        <v>201060</v>
      </c>
      <c r="BQ167" s="243">
        <f t="shared" si="249"/>
        <v>201060</v>
      </c>
      <c r="BR167" s="243">
        <f t="shared" si="239"/>
        <v>26913.600000000002</v>
      </c>
      <c r="BS167" s="243">
        <f t="shared" si="240"/>
        <v>22428</v>
      </c>
      <c r="BT167" s="243">
        <f t="shared" si="241"/>
        <v>28035.000000000004</v>
      </c>
      <c r="BU167" s="243">
        <f t="shared" si="242"/>
        <v>28035.000000000004</v>
      </c>
      <c r="BV167" s="600"/>
      <c r="BW167" s="243">
        <f>ROUND(VLOOKUP($D167,'2018 Plan Data'!$A$4:$T$2000,13,FALSE),10)</f>
        <v>193017.60000000001</v>
      </c>
      <c r="BX167" s="314">
        <f>VLOOKUP($D167,'2018 Plan Data'!$A$4:$T$2000,14,FALSE)</f>
        <v>160848</v>
      </c>
      <c r="BY167" s="314">
        <f>VLOOKUP($D167,'2018 Plan Data'!$A$4:$T$2000,15,FALSE)</f>
        <v>201060</v>
      </c>
      <c r="BZ167" s="314">
        <f>VLOOKUP($D167,'2018 Plan Data'!$A$4:$T$2000,16,FALSE)</f>
        <v>201060</v>
      </c>
      <c r="CA167" s="314">
        <f>IF(VLOOKUP($D167,'2018 Plan Data'!$A$4:$T$2000,17,FALSE)&gt;0,VLOOKUP($D167,'2018 Plan Data'!$A$4:$T$2000,17,FALSE),0)</f>
        <v>26913.600000000002</v>
      </c>
      <c r="CB167" s="314">
        <f>IF(VLOOKUP($D167,'2018 Plan Data'!$A$4:$T$2000,18,FALSE)&gt;0,VLOOKUP($D167,'2018 Plan Data'!$A$4:$T$2000,18,FALSE),0)</f>
        <v>22428</v>
      </c>
      <c r="CC167" s="314">
        <f>IF(VLOOKUP($D167,'2018 Plan Data'!$A$4:$T$2000,19,FALSE)&gt;0,VLOOKUP($D167,'2018 Plan Data'!$A$4:$T$2000,19,FALSE),0)</f>
        <v>28035.000000000004</v>
      </c>
      <c r="CD167" s="314">
        <f>IF(VLOOKUP($D167,'2018 Plan Data'!$A$4:$T$2000,20,FALSE)&gt;0,VLOOKUP($D167,'2018 Plan Data'!$A$4:$T$2000,20,FALSE),0)</f>
        <v>28035.000000000004</v>
      </c>
      <c r="CE167" s="600" t="b">
        <f t="shared" si="213"/>
        <v>1</v>
      </c>
      <c r="CF167" s="600" t="b">
        <f t="shared" si="214"/>
        <v>1</v>
      </c>
      <c r="CG167" s="600" t="b">
        <f t="shared" si="215"/>
        <v>1</v>
      </c>
      <c r="CH167" s="600" t="b">
        <f t="shared" si="216"/>
        <v>1</v>
      </c>
      <c r="CI167" s="600" t="b">
        <f t="shared" si="217"/>
        <v>1</v>
      </c>
      <c r="CJ167" s="600" t="b">
        <f t="shared" si="218"/>
        <v>1</v>
      </c>
      <c r="CK167" s="600" t="b">
        <f t="shared" si="219"/>
        <v>1</v>
      </c>
      <c r="CL167" s="600" t="b">
        <f t="shared" si="220"/>
        <v>1</v>
      </c>
    </row>
    <row r="168" spans="1:349" ht="15" customHeight="1" x14ac:dyDescent="0.35">
      <c r="A168" s="585">
        <f t="shared" si="221"/>
        <v>323</v>
      </c>
      <c r="B168" s="600" t="str">
        <f t="shared" si="200"/>
        <v>Business_Standard-Public Buildings</v>
      </c>
      <c r="C168" s="600"/>
      <c r="D168">
        <v>323</v>
      </c>
      <c r="E168" s="600" t="s">
        <v>1944</v>
      </c>
      <c r="F168" s="600" t="str">
        <f>VLOOKUP(G168,Sheet4!$D$6:$E$22,2,FALSE)</f>
        <v>Standard</v>
      </c>
      <c r="G168" s="600" t="s">
        <v>1054</v>
      </c>
      <c r="H168" s="2336" t="s">
        <v>1016</v>
      </c>
      <c r="I168" s="585"/>
      <c r="J168" s="72" t="s">
        <v>15</v>
      </c>
      <c r="K168" s="72" t="str">
        <f>INDEX('Measure Codes'!$F$4:$F$821,MATCH(H168,'Measure Codes'!$D$4:$D$821,0))</f>
        <v>4.3.3</v>
      </c>
      <c r="L168" s="72" t="str">
        <f>INDEX('Measure Codes'!$G$4:$G$821,MATCH(H168,'Measure Codes'!$D$4:$D$821,0))</f>
        <v>CI-HWE-LFSH-V04-180101</v>
      </c>
      <c r="M168" s="600">
        <v>1</v>
      </c>
      <c r="O168" s="72" t="str">
        <f t="shared" si="222"/>
        <v>Dual Fuel</v>
      </c>
      <c r="P168" s="7">
        <f>VLOOKUP(D168,'2018 Plan Data'!$A$4:$K$1000,11,FALSE)</f>
        <v>10</v>
      </c>
      <c r="Q168" s="2173">
        <f>VLOOKUP(D168,'2018 Plan Data'!$A$4:$L$1000,12,FALSE)</f>
        <v>0</v>
      </c>
      <c r="R168" s="2320">
        <f>'BUS Low Flow Showerheads PS'!C13</f>
        <v>22.956622724521704</v>
      </c>
      <c r="T168" s="621">
        <f>'BUS Low Flow Showerheads PS'!C14</f>
        <v>7.5738601776692239E-3</v>
      </c>
      <c r="U168" s="609"/>
      <c r="V168" s="609">
        <f>'BUS Low Flow Showerheads PS'!C15</f>
        <v>4.9867073906603778</v>
      </c>
      <c r="AD168" s="309">
        <f>'BUS Measure-Model Summary'!I625</f>
        <v>0.9</v>
      </c>
      <c r="AE168" s="309">
        <f t="shared" si="243"/>
        <v>0.9</v>
      </c>
      <c r="AF168" s="309">
        <f t="shared" si="243"/>
        <v>0.9</v>
      </c>
      <c r="AG168" s="309">
        <f t="shared" si="243"/>
        <v>0.9</v>
      </c>
      <c r="AH168" s="314">
        <f t="shared" si="223"/>
        <v>20.660960452069535</v>
      </c>
      <c r="AI168" s="314">
        <f t="shared" si="224"/>
        <v>20.660960452069535</v>
      </c>
      <c r="AJ168" s="314">
        <f t="shared" si="225"/>
        <v>20.660960452069535</v>
      </c>
      <c r="AK168" s="314">
        <f t="shared" si="226"/>
        <v>20.660960452069535</v>
      </c>
      <c r="AL168" s="309">
        <f t="shared" si="227"/>
        <v>0.9</v>
      </c>
      <c r="AM168" s="309">
        <f t="shared" si="228"/>
        <v>0.9</v>
      </c>
      <c r="AN168" s="309">
        <f t="shared" si="229"/>
        <v>0.9</v>
      </c>
      <c r="AO168" s="309">
        <f t="shared" si="230"/>
        <v>0.9</v>
      </c>
      <c r="AP168" s="446">
        <f t="shared" si="231"/>
        <v>6.8164741599023018E-3</v>
      </c>
      <c r="AQ168" s="446">
        <f t="shared" si="232"/>
        <v>6.8164741599023018E-3</v>
      </c>
      <c r="AR168" s="446">
        <f t="shared" si="233"/>
        <v>6.8164741599023018E-3</v>
      </c>
      <c r="AS168" s="446">
        <f t="shared" si="234"/>
        <v>6.8164741599023018E-3</v>
      </c>
      <c r="AT168" s="309">
        <f t="shared" si="245"/>
        <v>0.9</v>
      </c>
      <c r="AU168" s="309">
        <f t="shared" si="244"/>
        <v>0.9</v>
      </c>
      <c r="AV168" s="309">
        <f t="shared" si="244"/>
        <v>0.9</v>
      </c>
      <c r="AW168" s="309">
        <f t="shared" si="244"/>
        <v>0.9</v>
      </c>
      <c r="AX168" s="243">
        <f t="shared" si="235"/>
        <v>4.4880366515943404</v>
      </c>
      <c r="AY168" s="243">
        <f t="shared" si="236"/>
        <v>4.4880366515943404</v>
      </c>
      <c r="AZ168" s="243">
        <f t="shared" si="237"/>
        <v>4.4880366515943404</v>
      </c>
      <c r="BA168" s="243">
        <f t="shared" si="238"/>
        <v>4.4880366515943404</v>
      </c>
      <c r="BB168" s="652">
        <f>VLOOKUP($D168,'2018 Plan Data'!$A$4:$K$2000,6,FALSE)</f>
        <v>20</v>
      </c>
      <c r="BC168" s="243">
        <f>VLOOKUP($D168,'2018 Plan Data'!$A$4:$K$2000,7,FALSE)</f>
        <v>20</v>
      </c>
      <c r="BD168" s="243">
        <f>VLOOKUP($D168,'2018 Plan Data'!$A$4:$K$2000,8,FALSE)</f>
        <v>20</v>
      </c>
      <c r="BE168" s="243">
        <f>VLOOKUP($D168,'2018 Plan Data'!$A$4:$K$2000,9,FALSE)</f>
        <v>20</v>
      </c>
      <c r="BF168" s="243">
        <f t="shared" si="201"/>
        <v>459.1324544904341</v>
      </c>
      <c r="BG168" s="243">
        <f t="shared" si="202"/>
        <v>459.1324544904341</v>
      </c>
      <c r="BH168" s="243">
        <f t="shared" si="203"/>
        <v>459.1324544904341</v>
      </c>
      <c r="BI168" s="243">
        <f t="shared" si="204"/>
        <v>459.1324544904341</v>
      </c>
      <c r="BJ168" s="243">
        <f t="shared" si="205"/>
        <v>99.734147813207557</v>
      </c>
      <c r="BK168" s="243">
        <f t="shared" si="206"/>
        <v>99.734147813207557</v>
      </c>
      <c r="BL168" s="243">
        <f t="shared" si="207"/>
        <v>99.734147813207557</v>
      </c>
      <c r="BM168" s="243">
        <f t="shared" si="208"/>
        <v>99.734147813207557</v>
      </c>
      <c r="BN168" s="243">
        <f t="shared" si="246"/>
        <v>413.21920904140001</v>
      </c>
      <c r="BO168" s="243">
        <f t="shared" si="247"/>
        <v>413.21920904139068</v>
      </c>
      <c r="BP168" s="243">
        <f t="shared" si="248"/>
        <v>413.21920904139068</v>
      </c>
      <c r="BQ168" s="243">
        <f t="shared" si="249"/>
        <v>413.21920904139068</v>
      </c>
      <c r="BR168" s="243">
        <f t="shared" si="239"/>
        <v>89.760733031886815</v>
      </c>
      <c r="BS168" s="243">
        <f t="shared" si="240"/>
        <v>89.760733031886815</v>
      </c>
      <c r="BT168" s="243">
        <f t="shared" si="241"/>
        <v>89.760733031886815</v>
      </c>
      <c r="BU168" s="243">
        <f t="shared" si="242"/>
        <v>89.760733031886815</v>
      </c>
      <c r="BV168" s="600"/>
      <c r="BW168" s="243">
        <f>ROUND(VLOOKUP($D168,'2018 Plan Data'!$A$4:$T$2000,13,FALSE),10)</f>
        <v>349.41342820080001</v>
      </c>
      <c r="BX168" s="314">
        <f>VLOOKUP($D168,'2018 Plan Data'!$A$4:$T$2000,14,FALSE)</f>
        <v>349.41342820075488</v>
      </c>
      <c r="BY168" s="314">
        <f>VLOOKUP($D168,'2018 Plan Data'!$A$4:$T$2000,15,FALSE)</f>
        <v>349.41342820075488</v>
      </c>
      <c r="BZ168" s="314">
        <f>VLOOKUP($D168,'2018 Plan Data'!$A$4:$T$2000,16,FALSE)</f>
        <v>349.41342820075488</v>
      </c>
      <c r="CA168" s="314">
        <f>IF(VLOOKUP($D168,'2018 Plan Data'!$A$4:$T$2000,17,FALSE)&gt;0,VLOOKUP($D168,'2018 Plan Data'!$A$4:$T$2000,17,FALSE),0)</f>
        <v>97.498727258773613</v>
      </c>
      <c r="CB168" s="314">
        <f>IF(VLOOKUP($D168,'2018 Plan Data'!$A$4:$T$2000,18,FALSE)&gt;0,VLOOKUP($D168,'2018 Plan Data'!$A$4:$T$2000,18,FALSE),0)</f>
        <v>97.498727258773613</v>
      </c>
      <c r="CC168" s="314">
        <f>IF(VLOOKUP($D168,'2018 Plan Data'!$A$4:$T$2000,19,FALSE)&gt;0,VLOOKUP($D168,'2018 Plan Data'!$A$4:$T$2000,19,FALSE),0)</f>
        <v>97.498727258773613</v>
      </c>
      <c r="CD168" s="314">
        <f>IF(VLOOKUP($D168,'2018 Plan Data'!$A$4:$T$2000,20,FALSE)&gt;0,VLOOKUP($D168,'2018 Plan Data'!$A$4:$T$2000,20,FALSE),0)</f>
        <v>97.498727258773613</v>
      </c>
      <c r="CE168" s="600" t="b">
        <f t="shared" si="213"/>
        <v>0</v>
      </c>
      <c r="CF168" s="600" t="b">
        <f t="shared" si="214"/>
        <v>0</v>
      </c>
      <c r="CG168" s="600" t="b">
        <f t="shared" si="215"/>
        <v>0</v>
      </c>
      <c r="CH168" s="600" t="b">
        <f t="shared" si="216"/>
        <v>0</v>
      </c>
      <c r="CI168" s="600" t="b">
        <f t="shared" si="217"/>
        <v>0</v>
      </c>
      <c r="CJ168" s="600" t="b">
        <f t="shared" si="218"/>
        <v>0</v>
      </c>
      <c r="CK168" s="600" t="b">
        <f t="shared" si="219"/>
        <v>0</v>
      </c>
      <c r="CL168" s="600" t="b">
        <f t="shared" si="220"/>
        <v>0</v>
      </c>
    </row>
    <row r="169" spans="1:349" s="600" customFormat="1" ht="15" customHeight="1" x14ac:dyDescent="0.35">
      <c r="A169" s="585">
        <f t="shared" si="221"/>
        <v>322</v>
      </c>
      <c r="B169" s="600" t="str">
        <f t="shared" si="200"/>
        <v>Business_Standard-Public Buildings</v>
      </c>
      <c r="D169" s="600">
        <v>322</v>
      </c>
      <c r="E169" s="600" t="s">
        <v>1944</v>
      </c>
      <c r="F169" s="600" t="str">
        <f>VLOOKUP(G169,Sheet4!$D$6:$E$22,2,FALSE)</f>
        <v>Standard</v>
      </c>
      <c r="G169" s="585" t="s">
        <v>1054</v>
      </c>
      <c r="H169" s="2336" t="s">
        <v>1019</v>
      </c>
      <c r="J169" s="72" t="s">
        <v>15</v>
      </c>
      <c r="K169" s="72" t="str">
        <f>INDEX('Measure Codes'!$F$4:$F$821,MATCH(H169,'Measure Codes'!$D$4:$D$821,0))</f>
        <v>4.3.2</v>
      </c>
      <c r="L169" s="72" t="str">
        <f>INDEX('Measure Codes'!$G$4:$G$821,MATCH(H169,'Measure Codes'!$D$4:$D$821,0))</f>
        <v>CI-HWE-LFFA-V07-180101</v>
      </c>
      <c r="M169" s="600">
        <v>1</v>
      </c>
      <c r="O169" s="72" t="str">
        <f t="shared" si="222"/>
        <v>Dual Fuel</v>
      </c>
      <c r="P169" s="7">
        <f>VLOOKUP(D169,'2018 Plan Data'!$A$4:$K$1000,11,FALSE)</f>
        <v>9</v>
      </c>
      <c r="Q169" s="652">
        <f>VLOOKUP(D169,'2018 Plan Data'!$A$4:$L$1000,12,FALSE)</f>
        <v>0</v>
      </c>
      <c r="R169" s="314">
        <f>R135</f>
        <v>34.598581574451671</v>
      </c>
      <c r="S169" s="314"/>
      <c r="T169" s="314">
        <f>'BUS Measure-Model Summary'!E616</f>
        <v>4.6993183364750354E-3</v>
      </c>
      <c r="U169" s="314"/>
      <c r="V169" s="314">
        <f>V135</f>
        <v>5.4316370902687714</v>
      </c>
      <c r="W169" s="314"/>
      <c r="AD169" s="309">
        <f>'BUS Measure-Model Summary'!I629</f>
        <v>0.9</v>
      </c>
      <c r="AE169" s="309">
        <f t="shared" si="243"/>
        <v>0.9</v>
      </c>
      <c r="AF169" s="309">
        <f t="shared" si="243"/>
        <v>0.9</v>
      </c>
      <c r="AG169" s="309">
        <f t="shared" si="243"/>
        <v>0.9</v>
      </c>
      <c r="AH169" s="314">
        <f t="shared" si="223"/>
        <v>31.138723417006506</v>
      </c>
      <c r="AI169" s="314">
        <f t="shared" si="224"/>
        <v>31.138723417006506</v>
      </c>
      <c r="AJ169" s="314">
        <f t="shared" si="225"/>
        <v>31.138723417006506</v>
      </c>
      <c r="AK169" s="314">
        <f t="shared" si="226"/>
        <v>31.138723417006506</v>
      </c>
      <c r="AL169" s="309">
        <f t="shared" si="227"/>
        <v>0.9</v>
      </c>
      <c r="AM169" s="309">
        <f t="shared" si="228"/>
        <v>0.9</v>
      </c>
      <c r="AN169" s="309">
        <f t="shared" si="229"/>
        <v>0.9</v>
      </c>
      <c r="AO169" s="309">
        <f t="shared" si="230"/>
        <v>0.9</v>
      </c>
      <c r="AP169" s="446">
        <f t="shared" si="231"/>
        <v>4.2293865028275321E-3</v>
      </c>
      <c r="AQ169" s="446">
        <f t="shared" si="232"/>
        <v>4.2293865028275321E-3</v>
      </c>
      <c r="AR169" s="446">
        <f t="shared" si="233"/>
        <v>4.2293865028275321E-3</v>
      </c>
      <c r="AS169" s="446">
        <f t="shared" si="234"/>
        <v>4.2293865028275321E-3</v>
      </c>
      <c r="AT169" s="309">
        <f t="shared" si="245"/>
        <v>0.9</v>
      </c>
      <c r="AU169" s="309">
        <f t="shared" si="244"/>
        <v>0.9</v>
      </c>
      <c r="AV169" s="309">
        <f t="shared" si="244"/>
        <v>0.9</v>
      </c>
      <c r="AW169" s="309">
        <f t="shared" si="244"/>
        <v>0.9</v>
      </c>
      <c r="AX169" s="243">
        <f t="shared" si="235"/>
        <v>4.8884733812418943</v>
      </c>
      <c r="AY169" s="243">
        <f t="shared" si="236"/>
        <v>4.8884733812418943</v>
      </c>
      <c r="AZ169" s="243">
        <f t="shared" si="237"/>
        <v>4.8884733812418943</v>
      </c>
      <c r="BA169" s="243">
        <f t="shared" si="238"/>
        <v>4.8884733812418943</v>
      </c>
      <c r="BB169" s="652">
        <f>VLOOKUP($D169,'2018 Plan Data'!$A$4:$K$2000,6,FALSE)</f>
        <v>1173</v>
      </c>
      <c r="BC169" s="243">
        <f>VLOOKUP($D169,'2018 Plan Data'!$A$4:$K$2000,7,FALSE)</f>
        <v>1107</v>
      </c>
      <c r="BD169" s="243">
        <f>VLOOKUP($D169,'2018 Plan Data'!$A$4:$K$2000,8,FALSE)</f>
        <v>1110</v>
      </c>
      <c r="BE169" s="243">
        <f>VLOOKUP($D169,'2018 Plan Data'!$A$4:$K$2000,9,FALSE)</f>
        <v>1111</v>
      </c>
      <c r="BF169" s="243">
        <f t="shared" si="201"/>
        <v>40584.136186831813</v>
      </c>
      <c r="BG169" s="243">
        <f t="shared" si="202"/>
        <v>38300.629802918003</v>
      </c>
      <c r="BH169" s="243">
        <f t="shared" si="203"/>
        <v>38404.425547641353</v>
      </c>
      <c r="BI169" s="243">
        <f t="shared" si="204"/>
        <v>38439.02412921581</v>
      </c>
      <c r="BJ169" s="243">
        <f t="shared" si="205"/>
        <v>6371.3103068852688</v>
      </c>
      <c r="BK169" s="243">
        <f t="shared" si="206"/>
        <v>6012.8222589275301</v>
      </c>
      <c r="BL169" s="243">
        <f t="shared" si="207"/>
        <v>6029.1171701983367</v>
      </c>
      <c r="BM169" s="243">
        <f t="shared" si="208"/>
        <v>6034.5488072886046</v>
      </c>
      <c r="BN169" s="243">
        <f t="shared" si="246"/>
        <v>36525.722568148602</v>
      </c>
      <c r="BO169" s="243">
        <f t="shared" si="247"/>
        <v>34470.566822626206</v>
      </c>
      <c r="BP169" s="243">
        <f t="shared" si="248"/>
        <v>34563.982992877223</v>
      </c>
      <c r="BQ169" s="243">
        <f t="shared" si="249"/>
        <v>34595.121716294227</v>
      </c>
      <c r="BR169" s="243">
        <f t="shared" si="239"/>
        <v>5734.1792761967417</v>
      </c>
      <c r="BS169" s="243">
        <f t="shared" si="240"/>
        <v>5411.5400330347775</v>
      </c>
      <c r="BT169" s="243">
        <f t="shared" si="241"/>
        <v>5426.2054531785025</v>
      </c>
      <c r="BU169" s="243">
        <f t="shared" si="242"/>
        <v>5431.0939265597444</v>
      </c>
      <c r="BW169" s="243">
        <f>ROUND(VLOOKUP($D169,'2018 Plan Data'!$A$4:$T$2000,13,FALSE),10)</f>
        <v>28702.1282942527</v>
      </c>
      <c r="BX169" s="314">
        <f>VLOOKUP($D169,'2018 Plan Data'!$A$4:$T$2000,14,FALSE)</f>
        <v>27087.174784090184</v>
      </c>
      <c r="BY169" s="314">
        <f>VLOOKUP($D169,'2018 Plan Data'!$A$4:$T$2000,15,FALSE)</f>
        <v>27160.581761824847</v>
      </c>
      <c r="BZ169" s="314">
        <f>VLOOKUP($D169,'2018 Plan Data'!$A$4:$T$2000,16,FALSE)</f>
        <v>27185.050754403066</v>
      </c>
      <c r="CA169" s="314">
        <f>IF(VLOOKUP($D169,'2018 Plan Data'!$A$4:$T$2000,17,FALSE)&gt;0,VLOOKUP($D169,'2018 Plan Data'!$A$4:$T$2000,17,FALSE),0)</f>
        <v>5734.1792761967417</v>
      </c>
      <c r="CB169" s="314">
        <f>IF(VLOOKUP($D169,'2018 Plan Data'!$A$4:$T$2000,18,FALSE)&gt;0,VLOOKUP($D169,'2018 Plan Data'!$A$4:$T$2000,18,FALSE),0)</f>
        <v>5411.5400330347775</v>
      </c>
      <c r="CC169" s="314">
        <f>IF(VLOOKUP($D169,'2018 Plan Data'!$A$4:$T$2000,19,FALSE)&gt;0,VLOOKUP($D169,'2018 Plan Data'!$A$4:$T$2000,19,FALSE),0)</f>
        <v>5426.2054531785025</v>
      </c>
      <c r="CD169" s="314">
        <f>IF(VLOOKUP($D169,'2018 Plan Data'!$A$4:$T$2000,20,FALSE)&gt;0,VLOOKUP($D169,'2018 Plan Data'!$A$4:$T$2000,20,FALSE),0)</f>
        <v>5431.0939265597444</v>
      </c>
      <c r="CE169" s="600" t="b">
        <f t="shared" si="213"/>
        <v>0</v>
      </c>
      <c r="CF169" s="600" t="b">
        <f t="shared" si="214"/>
        <v>0</v>
      </c>
      <c r="CG169" s="600" t="b">
        <f t="shared" si="215"/>
        <v>0</v>
      </c>
      <c r="CH169" s="600" t="b">
        <f t="shared" si="216"/>
        <v>0</v>
      </c>
      <c r="CI169" s="600" t="b">
        <f t="shared" si="217"/>
        <v>1</v>
      </c>
      <c r="CJ169" s="600" t="b">
        <f t="shared" si="218"/>
        <v>1</v>
      </c>
      <c r="CK169" s="600" t="b">
        <f t="shared" si="219"/>
        <v>1</v>
      </c>
      <c r="CL169" s="600" t="b">
        <f t="shared" si="220"/>
        <v>1</v>
      </c>
      <c r="CM169" s="585"/>
      <c r="CN169" s="585"/>
      <c r="CO169" s="585"/>
      <c r="CP169" s="585"/>
      <c r="CQ169" s="585"/>
      <c r="CR169" s="585"/>
      <c r="CS169" s="585"/>
      <c r="CT169" s="585"/>
      <c r="CU169" s="585"/>
      <c r="CV169" s="585"/>
      <c r="CW169" s="585"/>
      <c r="CX169" s="585"/>
      <c r="CY169" s="585"/>
      <c r="CZ169" s="585"/>
      <c r="DA169" s="585"/>
      <c r="DB169" s="585"/>
      <c r="DC169" s="585"/>
      <c r="DD169" s="585"/>
      <c r="DE169" s="585"/>
      <c r="DF169" s="585"/>
      <c r="DG169" s="585"/>
      <c r="DH169" s="585"/>
      <c r="DI169" s="585"/>
      <c r="DJ169" s="585"/>
      <c r="DK169" s="585"/>
      <c r="DL169" s="585"/>
      <c r="DM169" s="585"/>
      <c r="DN169" s="585"/>
      <c r="DO169" s="585"/>
      <c r="DP169" s="585"/>
      <c r="DQ169" s="585"/>
      <c r="DR169" s="585"/>
      <c r="DS169" s="585"/>
      <c r="DT169" s="585"/>
      <c r="DU169" s="585"/>
      <c r="DV169" s="585"/>
      <c r="DW169" s="585"/>
      <c r="DX169" s="585"/>
      <c r="DY169" s="585"/>
      <c r="DZ169" s="585"/>
      <c r="EA169" s="585"/>
      <c r="EB169" s="585"/>
      <c r="EC169" s="585"/>
      <c r="ED169" s="585"/>
      <c r="EE169" s="585"/>
      <c r="EF169" s="585"/>
      <c r="EG169" s="585"/>
      <c r="EH169" s="585"/>
      <c r="EI169" s="585"/>
      <c r="EJ169" s="585"/>
      <c r="EK169" s="585"/>
      <c r="EL169" s="585"/>
      <c r="EM169" s="585"/>
      <c r="EN169" s="585"/>
      <c r="EO169" s="585"/>
      <c r="EP169" s="585"/>
      <c r="EQ169" s="585"/>
      <c r="ER169" s="585"/>
      <c r="ES169" s="585"/>
      <c r="ET169" s="585"/>
      <c r="EU169" s="585"/>
      <c r="EV169" s="585"/>
      <c r="EW169" s="585"/>
      <c r="EX169" s="585"/>
      <c r="EY169" s="585"/>
      <c r="EZ169" s="585"/>
      <c r="FA169" s="585"/>
      <c r="FB169" s="585"/>
      <c r="FC169" s="585"/>
      <c r="FD169" s="585"/>
      <c r="FE169" s="585"/>
      <c r="FF169" s="585"/>
      <c r="FG169" s="585"/>
      <c r="FH169" s="585"/>
      <c r="FI169" s="585"/>
      <c r="FJ169" s="585"/>
      <c r="FK169" s="585"/>
      <c r="FL169" s="585"/>
      <c r="FM169" s="585"/>
      <c r="FN169" s="585"/>
      <c r="FO169" s="585"/>
      <c r="FP169" s="585"/>
      <c r="FQ169" s="585"/>
      <c r="FR169" s="585"/>
      <c r="FS169" s="585"/>
      <c r="FT169" s="585"/>
      <c r="FU169" s="585"/>
      <c r="FV169" s="585"/>
      <c r="FW169" s="585"/>
      <c r="FX169" s="585"/>
      <c r="FY169" s="585"/>
      <c r="FZ169" s="585"/>
      <c r="GA169" s="585"/>
      <c r="GB169" s="585"/>
      <c r="GC169" s="585"/>
      <c r="GD169" s="585"/>
      <c r="GE169" s="585"/>
      <c r="GF169" s="585"/>
      <c r="GG169" s="585"/>
      <c r="GH169" s="585"/>
      <c r="GI169" s="585"/>
      <c r="GJ169" s="585"/>
      <c r="GK169" s="585"/>
      <c r="GL169" s="585"/>
      <c r="GM169" s="585"/>
      <c r="GN169" s="585"/>
      <c r="GO169" s="585"/>
      <c r="GP169" s="585"/>
      <c r="GQ169" s="585"/>
      <c r="GR169" s="585"/>
      <c r="GS169" s="585"/>
      <c r="GT169" s="585"/>
      <c r="GU169" s="585"/>
      <c r="GV169" s="585"/>
      <c r="GW169" s="585"/>
      <c r="GX169" s="585"/>
      <c r="GY169" s="585"/>
      <c r="GZ169" s="585"/>
      <c r="HA169" s="585"/>
      <c r="HB169" s="585"/>
      <c r="HC169" s="585"/>
      <c r="HD169" s="585"/>
      <c r="HE169" s="585"/>
      <c r="HF169" s="585"/>
      <c r="HG169" s="585"/>
      <c r="HH169" s="585"/>
      <c r="HI169" s="585"/>
      <c r="HJ169" s="585"/>
      <c r="HK169" s="585"/>
      <c r="HL169" s="585"/>
      <c r="HM169" s="585"/>
      <c r="HN169" s="585"/>
      <c r="HO169" s="585"/>
      <c r="HP169" s="585"/>
      <c r="HQ169" s="585"/>
      <c r="HR169" s="585"/>
      <c r="HS169" s="585"/>
      <c r="HT169" s="585"/>
      <c r="HU169" s="585"/>
      <c r="HV169" s="585"/>
      <c r="HW169" s="585"/>
      <c r="HX169" s="585"/>
      <c r="HY169" s="585"/>
      <c r="HZ169" s="585"/>
      <c r="IA169" s="585"/>
      <c r="IB169" s="585"/>
      <c r="IC169" s="585"/>
      <c r="ID169" s="585"/>
      <c r="IE169" s="585"/>
      <c r="IF169" s="585"/>
      <c r="IG169" s="585"/>
      <c r="IH169" s="585"/>
      <c r="II169" s="585"/>
      <c r="IJ169" s="585"/>
      <c r="IK169" s="585"/>
      <c r="IL169" s="585"/>
      <c r="IM169" s="585"/>
      <c r="IN169" s="585"/>
      <c r="IO169" s="585"/>
      <c r="IP169" s="585"/>
      <c r="IQ169" s="585"/>
      <c r="IR169" s="585"/>
      <c r="IS169" s="585"/>
      <c r="IT169" s="585"/>
      <c r="IU169" s="585"/>
      <c r="IV169" s="585"/>
      <c r="IW169" s="585"/>
      <c r="IX169" s="585"/>
      <c r="IY169" s="585"/>
      <c r="IZ169" s="585"/>
      <c r="JA169" s="585"/>
      <c r="JB169" s="585"/>
      <c r="JC169" s="585"/>
      <c r="JD169" s="585"/>
      <c r="JE169" s="585"/>
      <c r="JF169" s="585"/>
      <c r="JG169" s="585"/>
      <c r="JH169" s="585"/>
      <c r="JI169" s="585"/>
      <c r="JJ169" s="585"/>
      <c r="JK169" s="585"/>
      <c r="JL169" s="585"/>
      <c r="JM169" s="585"/>
      <c r="JN169" s="585"/>
      <c r="JO169" s="585"/>
      <c r="JP169" s="585"/>
      <c r="JQ169" s="585"/>
      <c r="JR169" s="585"/>
      <c r="JS169" s="585"/>
      <c r="JT169" s="585"/>
      <c r="JU169" s="585"/>
      <c r="JV169" s="585"/>
      <c r="JW169" s="585"/>
      <c r="JX169" s="585"/>
      <c r="JY169" s="585"/>
      <c r="JZ169" s="585"/>
      <c r="KA169" s="585"/>
      <c r="KB169" s="585"/>
      <c r="KC169" s="585"/>
      <c r="KD169" s="585"/>
      <c r="KE169" s="585"/>
      <c r="KF169" s="585"/>
      <c r="KG169" s="585"/>
      <c r="KH169" s="585"/>
      <c r="KI169" s="585"/>
      <c r="KJ169" s="585"/>
      <c r="KK169" s="585"/>
      <c r="KL169" s="585"/>
      <c r="KM169" s="585"/>
      <c r="KN169" s="585"/>
      <c r="KO169" s="585"/>
      <c r="KP169" s="585"/>
      <c r="KQ169" s="585"/>
      <c r="KR169" s="585"/>
      <c r="KS169" s="585"/>
      <c r="KT169" s="585"/>
      <c r="KU169" s="585"/>
      <c r="KV169" s="585"/>
      <c r="KW169" s="585"/>
      <c r="KX169" s="585"/>
      <c r="KY169" s="585"/>
      <c r="KZ169" s="585"/>
      <c r="LA169" s="585"/>
      <c r="LB169" s="585"/>
      <c r="LC169" s="585"/>
      <c r="LD169" s="585"/>
      <c r="LE169" s="585"/>
      <c r="LF169" s="585"/>
      <c r="LG169" s="585"/>
      <c r="LH169" s="585"/>
      <c r="LI169" s="585"/>
      <c r="LJ169" s="585"/>
      <c r="LK169" s="585"/>
      <c r="LL169" s="585"/>
      <c r="LM169" s="585"/>
      <c r="LN169" s="585"/>
      <c r="LO169" s="585"/>
      <c r="LP169" s="585"/>
      <c r="LQ169" s="585"/>
      <c r="LR169" s="585"/>
      <c r="LS169" s="585"/>
      <c r="LT169" s="585"/>
      <c r="LU169" s="585"/>
      <c r="LV169" s="585"/>
      <c r="LW169" s="585"/>
      <c r="LX169" s="585"/>
      <c r="LY169" s="585"/>
      <c r="LZ169" s="585"/>
      <c r="MA169" s="585"/>
      <c r="MB169" s="585"/>
      <c r="MC169" s="585"/>
      <c r="MD169" s="585"/>
      <c r="ME169" s="585"/>
      <c r="MF169" s="585"/>
      <c r="MG169" s="585"/>
      <c r="MH169" s="585"/>
      <c r="MI169" s="585"/>
      <c r="MJ169" s="585"/>
      <c r="MK169" s="585"/>
    </row>
    <row r="170" spans="1:349" s="600" customFormat="1" ht="15" customHeight="1" x14ac:dyDescent="0.35">
      <c r="A170" s="585">
        <f t="shared" si="221"/>
        <v>313</v>
      </c>
      <c r="B170" s="600" t="str">
        <f t="shared" si="200"/>
        <v>Business_Standard-Public Buildings</v>
      </c>
      <c r="D170" s="600">
        <v>313</v>
      </c>
      <c r="E170" s="600" t="s">
        <v>1944</v>
      </c>
      <c r="F170" s="600" t="str">
        <f>VLOOKUP(G170,Sheet4!$D$6:$E$22,2,FALSE)</f>
        <v>Standard</v>
      </c>
      <c r="G170" s="585" t="s">
        <v>1054</v>
      </c>
      <c r="H170" s="2336" t="s">
        <v>1020</v>
      </c>
      <c r="J170" s="72" t="s">
        <v>15</v>
      </c>
      <c r="K170" s="72" t="str">
        <f>INDEX('Measure Codes'!$F$4:$F$821,MATCH(H170,'Measure Codes'!$D$4:$D$821,0))</f>
        <v>4.3.2</v>
      </c>
      <c r="L170" s="72" t="str">
        <f>INDEX('Measure Codes'!$G$4:$G$821,MATCH(H170,'Measure Codes'!$D$4:$D$821,0))</f>
        <v>CI-HWE-LFFA-V07-180101</v>
      </c>
      <c r="M170" s="600">
        <v>1</v>
      </c>
      <c r="O170" s="72" t="str">
        <f t="shared" si="222"/>
        <v>Dual Fuel</v>
      </c>
      <c r="P170" s="7">
        <f>VLOOKUP(D170,'2018 Plan Data'!$A$4:$K$1000,11,FALSE)</f>
        <v>9</v>
      </c>
      <c r="Q170" s="652">
        <f>VLOOKUP(D170,'2018 Plan Data'!$A$4:$L$1000,12,FALSE)</f>
        <v>0</v>
      </c>
      <c r="R170" s="314">
        <f>R136</f>
        <v>47.706718162977729</v>
      </c>
      <c r="S170" s="314"/>
      <c r="T170" s="314">
        <f>'BUS Measure-Model Summary'!E617</f>
        <v>6.4797181050298865E-3</v>
      </c>
      <c r="U170" s="314"/>
      <c r="V170" s="314">
        <f>V136</f>
        <v>7.4894856389249336</v>
      </c>
      <c r="W170" s="314"/>
      <c r="AD170" s="309">
        <f>'BUS Measure-Model Summary'!I630</f>
        <v>0.9</v>
      </c>
      <c r="AE170" s="309">
        <f t="shared" ref="AE170:AG189" si="250">AD170</f>
        <v>0.9</v>
      </c>
      <c r="AF170" s="309">
        <f t="shared" si="250"/>
        <v>0.9</v>
      </c>
      <c r="AG170" s="309">
        <f t="shared" si="250"/>
        <v>0.9</v>
      </c>
      <c r="AH170" s="314">
        <f t="shared" si="223"/>
        <v>42.936046346679959</v>
      </c>
      <c r="AI170" s="314">
        <f t="shared" si="224"/>
        <v>42.936046346679959</v>
      </c>
      <c r="AJ170" s="314">
        <f t="shared" si="225"/>
        <v>42.936046346679959</v>
      </c>
      <c r="AK170" s="314">
        <f t="shared" si="226"/>
        <v>42.936046346679959</v>
      </c>
      <c r="AL170" s="309">
        <f t="shared" si="227"/>
        <v>0.9</v>
      </c>
      <c r="AM170" s="309">
        <f t="shared" si="228"/>
        <v>0.9</v>
      </c>
      <c r="AN170" s="309">
        <f t="shared" si="229"/>
        <v>0.9</v>
      </c>
      <c r="AO170" s="309">
        <f t="shared" si="230"/>
        <v>0.9</v>
      </c>
      <c r="AP170" s="446">
        <f t="shared" si="231"/>
        <v>5.8317462945268982E-3</v>
      </c>
      <c r="AQ170" s="446">
        <f t="shared" si="232"/>
        <v>5.8317462945268982E-3</v>
      </c>
      <c r="AR170" s="446">
        <f t="shared" si="233"/>
        <v>5.8317462945268982E-3</v>
      </c>
      <c r="AS170" s="446">
        <f t="shared" si="234"/>
        <v>5.8317462945268982E-3</v>
      </c>
      <c r="AT170" s="309">
        <f t="shared" si="245"/>
        <v>0.9</v>
      </c>
      <c r="AU170" s="309">
        <f t="shared" ref="AU170:AW189" si="251">AT170</f>
        <v>0.9</v>
      </c>
      <c r="AV170" s="309">
        <f t="shared" si="251"/>
        <v>0.9</v>
      </c>
      <c r="AW170" s="309">
        <f t="shared" si="251"/>
        <v>0.9</v>
      </c>
      <c r="AX170" s="243">
        <f t="shared" si="235"/>
        <v>6.7405370750324405</v>
      </c>
      <c r="AY170" s="243">
        <f t="shared" si="236"/>
        <v>6.7405370750324405</v>
      </c>
      <c r="AZ170" s="243">
        <f t="shared" si="237"/>
        <v>6.7405370750324405</v>
      </c>
      <c r="BA170" s="243">
        <f t="shared" si="238"/>
        <v>6.7405370750324405</v>
      </c>
      <c r="BB170" s="652">
        <f>VLOOKUP($D170,'2018 Plan Data'!$A$4:$K$2000,6,FALSE)</f>
        <v>236</v>
      </c>
      <c r="BC170" s="243">
        <f>VLOOKUP($D170,'2018 Plan Data'!$A$4:$K$2000,7,FALSE)</f>
        <v>222</v>
      </c>
      <c r="BD170" s="243">
        <f>VLOOKUP($D170,'2018 Plan Data'!$A$4:$K$2000,8,FALSE)</f>
        <v>222</v>
      </c>
      <c r="BE170" s="243">
        <f>VLOOKUP($D170,'2018 Plan Data'!$A$4:$K$2000,9,FALSE)</f>
        <v>223</v>
      </c>
      <c r="BF170" s="243">
        <f t="shared" si="201"/>
        <v>11258.785486462744</v>
      </c>
      <c r="BG170" s="243">
        <f t="shared" si="202"/>
        <v>10590.891432181055</v>
      </c>
      <c r="BH170" s="243">
        <f t="shared" si="203"/>
        <v>10590.891432181055</v>
      </c>
      <c r="BI170" s="243">
        <f t="shared" si="204"/>
        <v>10638.598150344034</v>
      </c>
      <c r="BJ170" s="243">
        <f t="shared" si="205"/>
        <v>1767.5186107862844</v>
      </c>
      <c r="BK170" s="243">
        <f t="shared" si="206"/>
        <v>1662.6658118413352</v>
      </c>
      <c r="BL170" s="243">
        <f t="shared" si="207"/>
        <v>1662.6658118413352</v>
      </c>
      <c r="BM170" s="243">
        <f t="shared" si="208"/>
        <v>1670.1552974802603</v>
      </c>
      <c r="BN170" s="243">
        <f t="shared" si="246"/>
        <v>10132.9069378165</v>
      </c>
      <c r="BO170" s="243">
        <f t="shared" si="247"/>
        <v>9531.8022889629501</v>
      </c>
      <c r="BP170" s="243">
        <f t="shared" si="248"/>
        <v>9531.8022889629501</v>
      </c>
      <c r="BQ170" s="243">
        <f t="shared" si="249"/>
        <v>9574.7383353096302</v>
      </c>
      <c r="BR170" s="243">
        <f t="shared" si="239"/>
        <v>1590.7667497076559</v>
      </c>
      <c r="BS170" s="243">
        <f t="shared" si="240"/>
        <v>1496.3992306572018</v>
      </c>
      <c r="BT170" s="243">
        <f t="shared" si="241"/>
        <v>1496.3992306572018</v>
      </c>
      <c r="BU170" s="243">
        <f t="shared" si="242"/>
        <v>1503.1397677322343</v>
      </c>
      <c r="BW170" s="243">
        <f>ROUND(VLOOKUP($D170,'2018 Plan Data'!$A$4:$T$2000,13,FALSE),10)</f>
        <v>7962.4980554538997</v>
      </c>
      <c r="BX170" s="314">
        <f>VLOOKUP($D170,'2018 Plan Data'!$A$4:$T$2000,14,FALSE)</f>
        <v>7490.1464758930742</v>
      </c>
      <c r="BY170" s="314">
        <f>VLOOKUP($D170,'2018 Plan Data'!$A$4:$T$2000,15,FALSE)</f>
        <v>7490.1464758930742</v>
      </c>
      <c r="BZ170" s="314">
        <f>VLOOKUP($D170,'2018 Plan Data'!$A$4:$T$2000,16,FALSE)</f>
        <v>7523.8858744331328</v>
      </c>
      <c r="CA170" s="314">
        <f>IF(VLOOKUP($D170,'2018 Plan Data'!$A$4:$T$2000,17,FALSE)&gt;0,VLOOKUP($D170,'2018 Plan Data'!$A$4:$T$2000,17,FALSE),0)</f>
        <v>1590.7667497076559</v>
      </c>
      <c r="CB170" s="314">
        <f>IF(VLOOKUP($D170,'2018 Plan Data'!$A$4:$T$2000,18,FALSE)&gt;0,VLOOKUP($D170,'2018 Plan Data'!$A$4:$T$2000,18,FALSE),0)</f>
        <v>1496.3992306572018</v>
      </c>
      <c r="CC170" s="314">
        <f>IF(VLOOKUP($D170,'2018 Plan Data'!$A$4:$T$2000,19,FALSE)&gt;0,VLOOKUP($D170,'2018 Plan Data'!$A$4:$T$2000,19,FALSE),0)</f>
        <v>1496.3992306572018</v>
      </c>
      <c r="CD170" s="314">
        <f>IF(VLOOKUP($D170,'2018 Plan Data'!$A$4:$T$2000,20,FALSE)&gt;0,VLOOKUP($D170,'2018 Plan Data'!$A$4:$T$2000,20,FALSE),0)</f>
        <v>1503.1397677322343</v>
      </c>
      <c r="CE170" s="600" t="b">
        <f t="shared" si="213"/>
        <v>0</v>
      </c>
      <c r="CF170" s="600" t="b">
        <f t="shared" si="214"/>
        <v>0</v>
      </c>
      <c r="CG170" s="600" t="b">
        <f t="shared" si="215"/>
        <v>0</v>
      </c>
      <c r="CH170" s="600" t="b">
        <f t="shared" si="216"/>
        <v>0</v>
      </c>
      <c r="CI170" s="600" t="b">
        <f t="shared" si="217"/>
        <v>1</v>
      </c>
      <c r="CJ170" s="600" t="b">
        <f t="shared" si="218"/>
        <v>1</v>
      </c>
      <c r="CK170" s="600" t="b">
        <f t="shared" si="219"/>
        <v>1</v>
      </c>
      <c r="CL170" s="600" t="b">
        <f t="shared" si="220"/>
        <v>1</v>
      </c>
      <c r="CM170" s="585"/>
      <c r="CN170" s="585"/>
      <c r="CO170" s="585"/>
      <c r="CP170" s="585"/>
      <c r="CQ170" s="585"/>
      <c r="CR170" s="585"/>
      <c r="CS170" s="585"/>
      <c r="CT170" s="585"/>
      <c r="CU170" s="585"/>
      <c r="CV170" s="585"/>
      <c r="CW170" s="585"/>
      <c r="CX170" s="585"/>
      <c r="CY170" s="585"/>
      <c r="CZ170" s="585"/>
      <c r="DA170" s="585"/>
      <c r="DB170" s="585"/>
      <c r="DC170" s="585"/>
      <c r="DD170" s="585"/>
      <c r="DE170" s="585"/>
      <c r="DF170" s="585"/>
      <c r="DG170" s="585"/>
      <c r="DH170" s="585"/>
      <c r="DI170" s="585"/>
      <c r="DJ170" s="585"/>
      <c r="DK170" s="585"/>
      <c r="DL170" s="585"/>
      <c r="DM170" s="585"/>
      <c r="DN170" s="585"/>
      <c r="DO170" s="585"/>
      <c r="DP170" s="585"/>
      <c r="DQ170" s="585"/>
      <c r="DR170" s="585"/>
      <c r="DS170" s="585"/>
      <c r="DT170" s="585"/>
      <c r="DU170" s="585"/>
      <c r="DV170" s="585"/>
      <c r="DW170" s="585"/>
      <c r="DX170" s="585"/>
      <c r="DY170" s="585"/>
      <c r="DZ170" s="585"/>
      <c r="EA170" s="585"/>
      <c r="EB170" s="585"/>
      <c r="EC170" s="585"/>
      <c r="ED170" s="585"/>
      <c r="EE170" s="585"/>
      <c r="EF170" s="585"/>
      <c r="EG170" s="585"/>
      <c r="EH170" s="585"/>
      <c r="EI170" s="585"/>
      <c r="EJ170" s="585"/>
      <c r="EK170" s="585"/>
      <c r="EL170" s="585"/>
      <c r="EM170" s="585"/>
      <c r="EN170" s="585"/>
      <c r="EO170" s="585"/>
      <c r="EP170" s="585"/>
      <c r="EQ170" s="585"/>
      <c r="ER170" s="585"/>
      <c r="ES170" s="585"/>
      <c r="ET170" s="585"/>
      <c r="EU170" s="585"/>
      <c r="EV170" s="585"/>
      <c r="EW170" s="585"/>
      <c r="EX170" s="585"/>
      <c r="EY170" s="585"/>
      <c r="EZ170" s="585"/>
      <c r="FA170" s="585"/>
      <c r="FB170" s="585"/>
      <c r="FC170" s="585"/>
      <c r="FD170" s="585"/>
      <c r="FE170" s="585"/>
      <c r="FF170" s="585"/>
      <c r="FG170" s="585"/>
      <c r="FH170" s="585"/>
      <c r="FI170" s="585"/>
      <c r="FJ170" s="585"/>
      <c r="FK170" s="585"/>
      <c r="FL170" s="585"/>
      <c r="FM170" s="585"/>
      <c r="FN170" s="585"/>
      <c r="FO170" s="585"/>
      <c r="FP170" s="585"/>
      <c r="FQ170" s="585"/>
      <c r="FR170" s="585"/>
      <c r="FS170" s="585"/>
      <c r="FT170" s="585"/>
      <c r="FU170" s="585"/>
      <c r="FV170" s="585"/>
      <c r="FW170" s="585"/>
      <c r="FX170" s="585"/>
      <c r="FY170" s="585"/>
      <c r="FZ170" s="585"/>
      <c r="GA170" s="585"/>
      <c r="GB170" s="585"/>
      <c r="GC170" s="585"/>
      <c r="GD170" s="585"/>
      <c r="GE170" s="585"/>
      <c r="GF170" s="585"/>
      <c r="GG170" s="585"/>
      <c r="GH170" s="585"/>
      <c r="GI170" s="585"/>
      <c r="GJ170" s="585"/>
      <c r="GK170" s="585"/>
      <c r="GL170" s="585"/>
      <c r="GM170" s="585"/>
      <c r="GN170" s="585"/>
      <c r="GO170" s="585"/>
      <c r="GP170" s="585"/>
      <c r="GQ170" s="585"/>
      <c r="GR170" s="585"/>
      <c r="GS170" s="585"/>
      <c r="GT170" s="585"/>
      <c r="GU170" s="585"/>
      <c r="GV170" s="585"/>
      <c r="GW170" s="585"/>
      <c r="GX170" s="585"/>
      <c r="GY170" s="585"/>
      <c r="GZ170" s="585"/>
      <c r="HA170" s="585"/>
      <c r="HB170" s="585"/>
      <c r="HC170" s="585"/>
      <c r="HD170" s="585"/>
      <c r="HE170" s="585"/>
      <c r="HF170" s="585"/>
      <c r="HG170" s="585"/>
      <c r="HH170" s="585"/>
      <c r="HI170" s="585"/>
      <c r="HJ170" s="585"/>
      <c r="HK170" s="585"/>
      <c r="HL170" s="585"/>
      <c r="HM170" s="585"/>
      <c r="HN170" s="585"/>
      <c r="HO170" s="585"/>
      <c r="HP170" s="585"/>
      <c r="HQ170" s="585"/>
      <c r="HR170" s="585"/>
      <c r="HS170" s="585"/>
      <c r="HT170" s="585"/>
      <c r="HU170" s="585"/>
      <c r="HV170" s="585"/>
      <c r="HW170" s="585"/>
      <c r="HX170" s="585"/>
      <c r="HY170" s="585"/>
      <c r="HZ170" s="585"/>
      <c r="IA170" s="585"/>
      <c r="IB170" s="585"/>
      <c r="IC170" s="585"/>
      <c r="ID170" s="585"/>
      <c r="IE170" s="585"/>
      <c r="IF170" s="585"/>
      <c r="IG170" s="585"/>
      <c r="IH170" s="585"/>
      <c r="II170" s="585"/>
      <c r="IJ170" s="585"/>
      <c r="IK170" s="585"/>
      <c r="IL170" s="585"/>
      <c r="IM170" s="585"/>
      <c r="IN170" s="585"/>
      <c r="IO170" s="585"/>
      <c r="IP170" s="585"/>
      <c r="IQ170" s="585"/>
      <c r="IR170" s="585"/>
      <c r="IS170" s="585"/>
      <c r="IT170" s="585"/>
      <c r="IU170" s="585"/>
      <c r="IV170" s="585"/>
      <c r="IW170" s="585"/>
      <c r="IX170" s="585"/>
      <c r="IY170" s="585"/>
      <c r="IZ170" s="585"/>
      <c r="JA170" s="585"/>
      <c r="JB170" s="585"/>
      <c r="JC170" s="585"/>
      <c r="JD170" s="585"/>
      <c r="JE170" s="585"/>
      <c r="JF170" s="585"/>
      <c r="JG170" s="585"/>
      <c r="JH170" s="585"/>
      <c r="JI170" s="585"/>
      <c r="JJ170" s="585"/>
      <c r="JK170" s="585"/>
      <c r="JL170" s="585"/>
      <c r="JM170" s="585"/>
      <c r="JN170" s="585"/>
      <c r="JO170" s="585"/>
      <c r="JP170" s="585"/>
      <c r="JQ170" s="585"/>
      <c r="JR170" s="585"/>
      <c r="JS170" s="585"/>
      <c r="JT170" s="585"/>
      <c r="JU170" s="585"/>
      <c r="JV170" s="585"/>
      <c r="JW170" s="585"/>
      <c r="JX170" s="585"/>
      <c r="JY170" s="585"/>
      <c r="JZ170" s="585"/>
      <c r="KA170" s="585"/>
      <c r="KB170" s="585"/>
      <c r="KC170" s="585"/>
      <c r="KD170" s="585"/>
      <c r="KE170" s="585"/>
      <c r="KF170" s="585"/>
      <c r="KG170" s="585"/>
      <c r="KH170" s="585"/>
      <c r="KI170" s="585"/>
      <c r="KJ170" s="585"/>
      <c r="KK170" s="585"/>
      <c r="KL170" s="585"/>
      <c r="KM170" s="585"/>
      <c r="KN170" s="585"/>
      <c r="KO170" s="585"/>
      <c r="KP170" s="585"/>
      <c r="KQ170" s="585"/>
      <c r="KR170" s="585"/>
      <c r="KS170" s="585"/>
      <c r="KT170" s="585"/>
      <c r="KU170" s="585"/>
      <c r="KV170" s="585"/>
      <c r="KW170" s="585"/>
      <c r="KX170" s="585"/>
      <c r="KY170" s="585"/>
      <c r="KZ170" s="585"/>
      <c r="LA170" s="585"/>
      <c r="LB170" s="585"/>
      <c r="LC170" s="585"/>
      <c r="LD170" s="585"/>
      <c r="LE170" s="585"/>
      <c r="LF170" s="585"/>
      <c r="LG170" s="585"/>
      <c r="LH170" s="585"/>
      <c r="LI170" s="585"/>
      <c r="LJ170" s="585"/>
      <c r="LK170" s="585"/>
      <c r="LL170" s="585"/>
      <c r="LM170" s="585"/>
      <c r="LN170" s="585"/>
      <c r="LO170" s="585"/>
      <c r="LP170" s="585"/>
      <c r="LQ170" s="585"/>
      <c r="LR170" s="585"/>
      <c r="LS170" s="585"/>
      <c r="LT170" s="585"/>
      <c r="LU170" s="585"/>
      <c r="LV170" s="585"/>
      <c r="LW170" s="585"/>
      <c r="LX170" s="585"/>
      <c r="LY170" s="585"/>
      <c r="LZ170" s="585"/>
      <c r="MA170" s="585"/>
      <c r="MB170" s="585"/>
      <c r="MC170" s="585"/>
      <c r="MD170" s="585"/>
      <c r="ME170" s="585"/>
      <c r="MF170" s="585"/>
      <c r="MG170" s="585"/>
      <c r="MH170" s="585"/>
      <c r="MI170" s="585"/>
      <c r="MJ170" s="585"/>
      <c r="MK170" s="585"/>
    </row>
    <row r="171" spans="1:349" s="600" customFormat="1" ht="15" customHeight="1" x14ac:dyDescent="0.35">
      <c r="A171" s="585">
        <f t="shared" si="221"/>
        <v>264</v>
      </c>
      <c r="B171" s="600" t="str">
        <f t="shared" si="200"/>
        <v>Business_Standard-Public Buildings</v>
      </c>
      <c r="D171" s="600">
        <v>264</v>
      </c>
      <c r="E171" s="600" t="s">
        <v>1944</v>
      </c>
      <c r="F171" s="600" t="str">
        <f>VLOOKUP(G171,Sheet4!$D$6:$E$22,2,FALSE)</f>
        <v>Standard</v>
      </c>
      <c r="G171" s="600" t="s">
        <v>1054</v>
      </c>
      <c r="H171" s="296" t="s">
        <v>1021</v>
      </c>
      <c r="J171" s="72" t="str">
        <f>J155</f>
        <v xml:space="preserve">HVAC </v>
      </c>
      <c r="K171" s="72" t="str">
        <f>INDEX('Measure Codes'!$F$4:$F$821,MATCH(H171,'Measure Codes'!$D$4:$D$821,0))</f>
        <v>n/a</v>
      </c>
      <c r="L171" s="72" t="str">
        <f>INDEX('Measure Codes'!$G$4:$G$821,MATCH(H171,'Measure Codes'!$D$4:$D$821,0))</f>
        <v>n/a</v>
      </c>
      <c r="M171" s="600">
        <v>1</v>
      </c>
      <c r="O171" s="72" t="str">
        <f t="shared" si="222"/>
        <v>Dual Fuel</v>
      </c>
      <c r="P171" s="7">
        <f>VLOOKUP(D171,'2018 Plan Data'!$A$4:$K$1000,11,FALSE)</f>
        <v>10</v>
      </c>
      <c r="Q171" s="652">
        <f>VLOOKUP(D171,'2018 Plan Data'!$A$4:$L$1000,12,FALSE)</f>
        <v>0</v>
      </c>
      <c r="R171" s="314">
        <f>'BUS Measure-Model Summary'!D619</f>
        <v>621</v>
      </c>
      <c r="S171" s="314"/>
      <c r="T171" s="314">
        <f>'BUS Measure-Model Summary'!E619</f>
        <v>5.7634999999999999E-2</v>
      </c>
      <c r="U171" s="314"/>
      <c r="V171" s="314">
        <f>'BUS Measure-Model Summary'!F619</f>
        <v>61.482900000000001</v>
      </c>
      <c r="W171" s="314"/>
      <c r="AD171" s="309">
        <f>'BUS Measure-Model Summary'!I632</f>
        <v>0.9</v>
      </c>
      <c r="AE171" s="309">
        <f t="shared" si="250"/>
        <v>0.9</v>
      </c>
      <c r="AF171" s="309">
        <f t="shared" si="250"/>
        <v>0.9</v>
      </c>
      <c r="AG171" s="309">
        <f t="shared" si="250"/>
        <v>0.9</v>
      </c>
      <c r="AH171" s="314">
        <f t="shared" si="223"/>
        <v>558.9</v>
      </c>
      <c r="AI171" s="314">
        <f t="shared" si="224"/>
        <v>558.9</v>
      </c>
      <c r="AJ171" s="314">
        <f t="shared" si="225"/>
        <v>558.9</v>
      </c>
      <c r="AK171" s="314">
        <f t="shared" si="226"/>
        <v>558.9</v>
      </c>
      <c r="AL171" s="309">
        <f t="shared" si="227"/>
        <v>0.9</v>
      </c>
      <c r="AM171" s="309">
        <f t="shared" si="228"/>
        <v>0.9</v>
      </c>
      <c r="AN171" s="309">
        <f t="shared" si="229"/>
        <v>0.9</v>
      </c>
      <c r="AO171" s="309">
        <f t="shared" si="230"/>
        <v>0.9</v>
      </c>
      <c r="AP171" s="446">
        <f t="shared" si="231"/>
        <v>5.1871500000000001E-2</v>
      </c>
      <c r="AQ171" s="446">
        <f t="shared" si="232"/>
        <v>5.1871500000000001E-2</v>
      </c>
      <c r="AR171" s="446">
        <f t="shared" si="233"/>
        <v>5.1871500000000001E-2</v>
      </c>
      <c r="AS171" s="446">
        <f t="shared" si="234"/>
        <v>5.1871500000000001E-2</v>
      </c>
      <c r="AT171" s="309">
        <f t="shared" si="245"/>
        <v>0.9</v>
      </c>
      <c r="AU171" s="309">
        <f t="shared" si="251"/>
        <v>0.9</v>
      </c>
      <c r="AV171" s="309">
        <f t="shared" si="251"/>
        <v>0.9</v>
      </c>
      <c r="AW171" s="309">
        <f t="shared" si="251"/>
        <v>0.9</v>
      </c>
      <c r="AX171" s="243">
        <f t="shared" si="235"/>
        <v>55.334610000000005</v>
      </c>
      <c r="AY171" s="243">
        <f t="shared" si="236"/>
        <v>55.334610000000005</v>
      </c>
      <c r="AZ171" s="243">
        <f t="shared" si="237"/>
        <v>55.334610000000005</v>
      </c>
      <c r="BA171" s="243">
        <f t="shared" si="238"/>
        <v>55.334610000000005</v>
      </c>
      <c r="BB171" s="652">
        <f>VLOOKUP($D171,'2018 Plan Data'!$A$4:$K$2000,6,FALSE)</f>
        <v>40</v>
      </c>
      <c r="BC171" s="243">
        <f>VLOOKUP($D171,'2018 Plan Data'!$A$4:$K$2000,7,FALSE)</f>
        <v>0</v>
      </c>
      <c r="BD171" s="243">
        <f>VLOOKUP($D171,'2018 Plan Data'!$A$4:$K$2000,8,FALSE)</f>
        <v>0</v>
      </c>
      <c r="BE171" s="243">
        <f>VLOOKUP($D171,'2018 Plan Data'!$A$4:$K$2000,9,FALSE)</f>
        <v>0</v>
      </c>
      <c r="BF171" s="243">
        <f t="shared" si="201"/>
        <v>24840</v>
      </c>
      <c r="BG171" s="243">
        <f t="shared" si="202"/>
        <v>0</v>
      </c>
      <c r="BH171" s="243">
        <f t="shared" si="203"/>
        <v>0</v>
      </c>
      <c r="BI171" s="243">
        <f t="shared" si="204"/>
        <v>0</v>
      </c>
      <c r="BJ171" s="243">
        <f t="shared" si="205"/>
        <v>2459.3159999999998</v>
      </c>
      <c r="BK171" s="243">
        <f t="shared" si="206"/>
        <v>0</v>
      </c>
      <c r="BL171" s="243">
        <f t="shared" si="207"/>
        <v>0</v>
      </c>
      <c r="BM171" s="243">
        <f t="shared" si="208"/>
        <v>0</v>
      </c>
      <c r="BN171" s="243">
        <f t="shared" si="246"/>
        <v>22356</v>
      </c>
      <c r="BO171" s="243">
        <f t="shared" si="247"/>
        <v>0</v>
      </c>
      <c r="BP171" s="243">
        <f t="shared" si="248"/>
        <v>0</v>
      </c>
      <c r="BQ171" s="243">
        <f t="shared" si="249"/>
        <v>0</v>
      </c>
      <c r="BR171" s="243">
        <f t="shared" si="239"/>
        <v>2213.3844000000004</v>
      </c>
      <c r="BS171" s="243">
        <f t="shared" si="240"/>
        <v>0</v>
      </c>
      <c r="BT171" s="243">
        <f t="shared" si="241"/>
        <v>0</v>
      </c>
      <c r="BU171" s="243">
        <f t="shared" si="242"/>
        <v>0</v>
      </c>
      <c r="BW171" s="243">
        <f>ROUND(VLOOKUP($D171,'2018 Plan Data'!$A$4:$T$2000,13,FALSE),10)</f>
        <v>22356</v>
      </c>
      <c r="BX171" s="314">
        <f>VLOOKUP($D171,'2018 Plan Data'!$A$4:$T$2000,14,FALSE)</f>
        <v>0</v>
      </c>
      <c r="BY171" s="314">
        <f>VLOOKUP($D171,'2018 Plan Data'!$A$4:$T$2000,15,FALSE)</f>
        <v>0</v>
      </c>
      <c r="BZ171" s="314">
        <f>VLOOKUP($D171,'2018 Plan Data'!$A$4:$T$2000,16,FALSE)</f>
        <v>0</v>
      </c>
      <c r="CA171" s="314">
        <f>IF(VLOOKUP($D171,'2018 Plan Data'!$A$4:$T$2000,17,FALSE)&gt;0,VLOOKUP($D171,'2018 Plan Data'!$A$4:$T$2000,17,FALSE),0)</f>
        <v>2213.3844000000004</v>
      </c>
      <c r="CB171" s="314">
        <f>IF(VLOOKUP($D171,'2018 Plan Data'!$A$4:$T$2000,18,FALSE)&gt;0,VLOOKUP($D171,'2018 Plan Data'!$A$4:$T$2000,18,FALSE),0)</f>
        <v>0</v>
      </c>
      <c r="CC171" s="314">
        <f>IF(VLOOKUP($D171,'2018 Plan Data'!$A$4:$T$2000,19,FALSE)&gt;0,VLOOKUP($D171,'2018 Plan Data'!$A$4:$T$2000,19,FALSE),0)</f>
        <v>0</v>
      </c>
      <c r="CD171" s="314">
        <f>IF(VLOOKUP($D171,'2018 Plan Data'!$A$4:$T$2000,20,FALSE)&gt;0,VLOOKUP($D171,'2018 Plan Data'!$A$4:$T$2000,20,FALSE),0)</f>
        <v>0</v>
      </c>
      <c r="CE171" s="600" t="b">
        <f t="shared" si="213"/>
        <v>1</v>
      </c>
      <c r="CF171" s="600" t="b">
        <f t="shared" si="214"/>
        <v>1</v>
      </c>
      <c r="CG171" s="600" t="b">
        <f t="shared" si="215"/>
        <v>1</v>
      </c>
      <c r="CH171" s="600" t="b">
        <f t="shared" si="216"/>
        <v>1</v>
      </c>
      <c r="CI171" s="600" t="b">
        <f t="shared" si="217"/>
        <v>1</v>
      </c>
      <c r="CJ171" s="600" t="b">
        <f t="shared" si="218"/>
        <v>1</v>
      </c>
      <c r="CK171" s="600" t="b">
        <f t="shared" si="219"/>
        <v>1</v>
      </c>
      <c r="CL171" s="600" t="b">
        <f t="shared" si="220"/>
        <v>1</v>
      </c>
      <c r="CM171" s="585"/>
      <c r="CN171" s="585"/>
      <c r="CO171" s="585"/>
      <c r="CP171" s="585"/>
      <c r="CQ171" s="585"/>
      <c r="CR171" s="585"/>
      <c r="CS171" s="585"/>
      <c r="CT171" s="585"/>
      <c r="CU171" s="585"/>
      <c r="CV171" s="585"/>
      <c r="CW171" s="585"/>
      <c r="CX171" s="585"/>
      <c r="CY171" s="585"/>
      <c r="CZ171" s="585"/>
      <c r="DA171" s="585"/>
      <c r="DB171" s="585"/>
      <c r="DC171" s="585"/>
      <c r="DD171" s="585"/>
      <c r="DE171" s="585"/>
      <c r="DF171" s="585"/>
      <c r="DG171" s="585"/>
      <c r="DH171" s="585"/>
      <c r="DI171" s="585"/>
      <c r="DJ171" s="585"/>
      <c r="DK171" s="585"/>
      <c r="DL171" s="585"/>
      <c r="DM171" s="585"/>
      <c r="DN171" s="585"/>
      <c r="DO171" s="585"/>
      <c r="DP171" s="585"/>
      <c r="DQ171" s="585"/>
      <c r="DR171" s="585"/>
      <c r="DS171" s="585"/>
      <c r="DT171" s="585"/>
      <c r="DU171" s="585"/>
      <c r="DV171" s="585"/>
      <c r="DW171" s="585"/>
      <c r="DX171" s="585"/>
      <c r="DY171" s="585"/>
      <c r="DZ171" s="585"/>
      <c r="EA171" s="585"/>
      <c r="EB171" s="585"/>
      <c r="EC171" s="585"/>
      <c r="ED171" s="585"/>
      <c r="EE171" s="585"/>
      <c r="EF171" s="585"/>
      <c r="EG171" s="585"/>
      <c r="EH171" s="585"/>
      <c r="EI171" s="585"/>
      <c r="EJ171" s="585"/>
      <c r="EK171" s="585"/>
      <c r="EL171" s="585"/>
      <c r="EM171" s="585"/>
      <c r="EN171" s="585"/>
      <c r="EO171" s="585"/>
      <c r="EP171" s="585"/>
      <c r="EQ171" s="585"/>
      <c r="ER171" s="585"/>
      <c r="ES171" s="585"/>
      <c r="ET171" s="585"/>
      <c r="EU171" s="585"/>
      <c r="EV171" s="585"/>
      <c r="EW171" s="585"/>
      <c r="EX171" s="585"/>
      <c r="EY171" s="585"/>
      <c r="EZ171" s="585"/>
      <c r="FA171" s="585"/>
      <c r="FB171" s="585"/>
      <c r="FC171" s="585"/>
      <c r="FD171" s="585"/>
      <c r="FE171" s="585"/>
      <c r="FF171" s="585"/>
      <c r="FG171" s="585"/>
      <c r="FH171" s="585"/>
      <c r="FI171" s="585"/>
      <c r="FJ171" s="585"/>
      <c r="FK171" s="585"/>
      <c r="FL171" s="585"/>
      <c r="FM171" s="585"/>
      <c r="FN171" s="585"/>
      <c r="FO171" s="585"/>
      <c r="FP171" s="585"/>
      <c r="FQ171" s="585"/>
      <c r="FR171" s="585"/>
      <c r="FS171" s="585"/>
      <c r="FT171" s="585"/>
      <c r="FU171" s="585"/>
      <c r="FV171" s="585"/>
      <c r="FW171" s="585"/>
      <c r="FX171" s="585"/>
      <c r="FY171" s="585"/>
      <c r="FZ171" s="585"/>
      <c r="GA171" s="585"/>
      <c r="GB171" s="585"/>
      <c r="GC171" s="585"/>
      <c r="GD171" s="585"/>
      <c r="GE171" s="585"/>
      <c r="GF171" s="585"/>
      <c r="GG171" s="585"/>
      <c r="GH171" s="585"/>
      <c r="GI171" s="585"/>
      <c r="GJ171" s="585"/>
      <c r="GK171" s="585"/>
      <c r="GL171" s="585"/>
      <c r="GM171" s="585"/>
      <c r="GN171" s="585"/>
      <c r="GO171" s="585"/>
      <c r="GP171" s="585"/>
      <c r="GQ171" s="585"/>
      <c r="GR171" s="585"/>
      <c r="GS171" s="585"/>
      <c r="GT171" s="585"/>
      <c r="GU171" s="585"/>
      <c r="GV171" s="585"/>
      <c r="GW171" s="585"/>
      <c r="GX171" s="585"/>
      <c r="GY171" s="585"/>
      <c r="GZ171" s="585"/>
      <c r="HA171" s="585"/>
      <c r="HB171" s="585"/>
      <c r="HC171" s="585"/>
      <c r="HD171" s="585"/>
      <c r="HE171" s="585"/>
      <c r="HF171" s="585"/>
      <c r="HG171" s="585"/>
      <c r="HH171" s="585"/>
      <c r="HI171" s="585"/>
      <c r="HJ171" s="585"/>
      <c r="HK171" s="585"/>
      <c r="HL171" s="585"/>
      <c r="HM171" s="585"/>
      <c r="HN171" s="585"/>
      <c r="HO171" s="585"/>
      <c r="HP171" s="585"/>
      <c r="HQ171" s="585"/>
      <c r="HR171" s="585"/>
      <c r="HS171" s="585"/>
      <c r="HT171" s="585"/>
      <c r="HU171" s="585"/>
      <c r="HV171" s="585"/>
      <c r="HW171" s="585"/>
      <c r="HX171" s="585"/>
      <c r="HY171" s="585"/>
      <c r="HZ171" s="585"/>
      <c r="IA171" s="585"/>
      <c r="IB171" s="585"/>
      <c r="IC171" s="585"/>
      <c r="ID171" s="585"/>
      <c r="IE171" s="585"/>
      <c r="IF171" s="585"/>
      <c r="IG171" s="585"/>
      <c r="IH171" s="585"/>
      <c r="II171" s="585"/>
      <c r="IJ171" s="585"/>
      <c r="IK171" s="585"/>
      <c r="IL171" s="585"/>
      <c r="IM171" s="585"/>
      <c r="IN171" s="585"/>
      <c r="IO171" s="585"/>
      <c r="IP171" s="585"/>
      <c r="IQ171" s="585"/>
      <c r="IR171" s="585"/>
      <c r="IS171" s="585"/>
      <c r="IT171" s="585"/>
      <c r="IU171" s="585"/>
      <c r="IV171" s="585"/>
      <c r="IW171" s="585"/>
      <c r="IX171" s="585"/>
      <c r="IY171" s="585"/>
      <c r="IZ171" s="585"/>
      <c r="JA171" s="585"/>
      <c r="JB171" s="585"/>
      <c r="JC171" s="585"/>
      <c r="JD171" s="585"/>
      <c r="JE171" s="585"/>
      <c r="JF171" s="585"/>
      <c r="JG171" s="585"/>
      <c r="JH171" s="585"/>
      <c r="JI171" s="585"/>
      <c r="JJ171" s="585"/>
      <c r="JK171" s="585"/>
      <c r="JL171" s="585"/>
      <c r="JM171" s="585"/>
      <c r="JN171" s="585"/>
      <c r="JO171" s="585"/>
      <c r="JP171" s="585"/>
      <c r="JQ171" s="585"/>
      <c r="JR171" s="585"/>
      <c r="JS171" s="585"/>
      <c r="JT171" s="585"/>
      <c r="JU171" s="585"/>
      <c r="JV171" s="585"/>
      <c r="JW171" s="585"/>
      <c r="JX171" s="585"/>
      <c r="JY171" s="585"/>
      <c r="JZ171" s="585"/>
      <c r="KA171" s="585"/>
      <c r="KB171" s="585"/>
      <c r="KC171" s="585"/>
      <c r="KD171" s="585"/>
      <c r="KE171" s="585"/>
      <c r="KF171" s="585"/>
      <c r="KG171" s="585"/>
      <c r="KH171" s="585"/>
      <c r="KI171" s="585"/>
      <c r="KJ171" s="585"/>
      <c r="KK171" s="585"/>
      <c r="KL171" s="585"/>
      <c r="KM171" s="585"/>
      <c r="KN171" s="585"/>
      <c r="KO171" s="585"/>
      <c r="KP171" s="585"/>
      <c r="KQ171" s="585"/>
      <c r="KR171" s="585"/>
      <c r="KS171" s="585"/>
      <c r="KT171" s="585"/>
      <c r="KU171" s="585"/>
      <c r="KV171" s="585"/>
      <c r="KW171" s="585"/>
      <c r="KX171" s="585"/>
      <c r="KY171" s="585"/>
      <c r="KZ171" s="585"/>
      <c r="LA171" s="585"/>
      <c r="LB171" s="585"/>
      <c r="LC171" s="585"/>
      <c r="LD171" s="585"/>
      <c r="LE171" s="585"/>
      <c r="LF171" s="585"/>
      <c r="LG171" s="585"/>
      <c r="LH171" s="585"/>
      <c r="LI171" s="585"/>
      <c r="LJ171" s="585"/>
      <c r="LK171" s="585"/>
      <c r="LL171" s="585"/>
      <c r="LM171" s="585"/>
      <c r="LN171" s="585"/>
      <c r="LO171" s="585"/>
      <c r="LP171" s="585"/>
      <c r="LQ171" s="585"/>
      <c r="LR171" s="585"/>
      <c r="LS171" s="585"/>
      <c r="LT171" s="585"/>
      <c r="LU171" s="585"/>
      <c r="LV171" s="585"/>
      <c r="LW171" s="585"/>
      <c r="LX171" s="585"/>
      <c r="LY171" s="585"/>
      <c r="LZ171" s="585"/>
      <c r="MA171" s="585"/>
      <c r="MB171" s="585"/>
      <c r="MC171" s="585"/>
      <c r="MD171" s="585"/>
      <c r="ME171" s="585"/>
      <c r="MF171" s="585"/>
      <c r="MG171" s="585"/>
      <c r="MH171" s="585"/>
      <c r="MI171" s="585"/>
      <c r="MJ171" s="585"/>
      <c r="MK171" s="585"/>
    </row>
    <row r="172" spans="1:349" s="600" customFormat="1" ht="15" customHeight="1" x14ac:dyDescent="0.35">
      <c r="A172" s="585">
        <f t="shared" ref="A172:A203" si="252">D172</f>
        <v>362</v>
      </c>
      <c r="B172" s="600" t="str">
        <f t="shared" si="200"/>
        <v>Business_Standard-Public Buildings</v>
      </c>
      <c r="D172" s="600">
        <v>362</v>
      </c>
      <c r="E172" s="600" t="s">
        <v>1944</v>
      </c>
      <c r="F172" s="600" t="str">
        <f>VLOOKUP(G172,Sheet4!$D$6:$E$22,2,FALSE)</f>
        <v>Standard</v>
      </c>
      <c r="G172" s="600" t="s">
        <v>1054</v>
      </c>
      <c r="H172" s="296" t="s">
        <v>181</v>
      </c>
      <c r="J172" s="72"/>
      <c r="K172" s="72" t="str">
        <f>INDEX('Measure Codes'!$F$4:$F$821,MATCH(H172,'Measure Codes'!$D$4:$D$821,0))</f>
        <v>4.4.37</v>
      </c>
      <c r="L172" s="72" t="str">
        <f>INDEX('Measure Codes'!$G$4:$G$821,MATCH(H172,'Measure Codes'!$D$4:$D$821,0))</f>
        <v>CI-HVC-DSFN-V02-180101</v>
      </c>
      <c r="M172" s="600">
        <v>1</v>
      </c>
      <c r="O172" s="72" t="str">
        <f t="shared" si="222"/>
        <v>Gas</v>
      </c>
      <c r="P172" s="7">
        <f>VLOOKUP(D172,'2018 Plan Data'!$A$4:$K$1000,11,FALSE)</f>
        <v>15</v>
      </c>
      <c r="Q172" s="652">
        <f>VLOOKUP(D172,'2018 Plan Data'!$A$4:$L$1000,12,FALSE)</f>
        <v>0</v>
      </c>
      <c r="R172" s="314">
        <f>'BUS - BPH20 PS (TRM)'!C25</f>
        <v>-1103.8355523767607</v>
      </c>
      <c r="S172" s="314"/>
      <c r="T172" s="314">
        <f>'BUS - BPH20 PS (TRM)'!C26</f>
        <v>-0.17697329812206575</v>
      </c>
      <c r="U172" s="314"/>
      <c r="V172" s="314">
        <f>'BUS - BPH20 PS (TRM)'!C27</f>
        <v>1410.9147306857637</v>
      </c>
      <c r="W172" s="314"/>
      <c r="AD172" s="309">
        <f>'BUS Measure-Model Summary'!I634</f>
        <v>0.9</v>
      </c>
      <c r="AE172" s="309">
        <f t="shared" si="250"/>
        <v>0.9</v>
      </c>
      <c r="AF172" s="309">
        <f t="shared" si="250"/>
        <v>0.9</v>
      </c>
      <c r="AG172" s="309">
        <f t="shared" si="250"/>
        <v>0.9</v>
      </c>
      <c r="AH172" s="314">
        <f t="shared" si="223"/>
        <v>-993.4519971390846</v>
      </c>
      <c r="AI172" s="314">
        <f t="shared" si="224"/>
        <v>-993.4519971390846</v>
      </c>
      <c r="AJ172" s="314">
        <f t="shared" si="225"/>
        <v>-993.4519971390846</v>
      </c>
      <c r="AK172" s="314">
        <f t="shared" si="226"/>
        <v>-993.4519971390846</v>
      </c>
      <c r="AL172" s="309">
        <f t="shared" si="227"/>
        <v>0.9</v>
      </c>
      <c r="AM172" s="309">
        <f t="shared" si="228"/>
        <v>0.9</v>
      </c>
      <c r="AN172" s="309">
        <f t="shared" si="229"/>
        <v>0.9</v>
      </c>
      <c r="AO172" s="309">
        <f t="shared" si="230"/>
        <v>0.9</v>
      </c>
      <c r="AP172" s="446">
        <f t="shared" si="231"/>
        <v>-0.15927596830985918</v>
      </c>
      <c r="AQ172" s="446">
        <f t="shared" si="232"/>
        <v>-0.15927596830985918</v>
      </c>
      <c r="AR172" s="446">
        <f t="shared" si="233"/>
        <v>-0.15927596830985918</v>
      </c>
      <c r="AS172" s="446">
        <f t="shared" si="234"/>
        <v>-0.15927596830985918</v>
      </c>
      <c r="AT172" s="309">
        <f t="shared" si="245"/>
        <v>0.9</v>
      </c>
      <c r="AU172" s="309">
        <f t="shared" si="251"/>
        <v>0.9</v>
      </c>
      <c r="AV172" s="309">
        <f t="shared" si="251"/>
        <v>0.9</v>
      </c>
      <c r="AW172" s="309">
        <f t="shared" si="251"/>
        <v>0.9</v>
      </c>
      <c r="AX172" s="243">
        <f t="shared" si="235"/>
        <v>1269.8232576171874</v>
      </c>
      <c r="AY172" s="243">
        <f t="shared" si="236"/>
        <v>1269.8232576171874</v>
      </c>
      <c r="AZ172" s="243">
        <f t="shared" si="237"/>
        <v>1269.8232576171874</v>
      </c>
      <c r="BA172" s="243">
        <f t="shared" si="238"/>
        <v>1269.8232576171874</v>
      </c>
      <c r="BB172" s="243">
        <f>VLOOKUP($D172,'2018 Plan Data'!$A$4:$K$2000,6,FALSE)</f>
        <v>6</v>
      </c>
      <c r="BC172" s="243">
        <f>VLOOKUP($D172,'2018 Plan Data'!$A$4:$K$2000,7,FALSE)</f>
        <v>6</v>
      </c>
      <c r="BD172" s="243">
        <f>VLOOKUP($D172,'2018 Plan Data'!$A$4:$K$2000,8,FALSE)</f>
        <v>6</v>
      </c>
      <c r="BE172" s="243">
        <f>VLOOKUP($D172,'2018 Plan Data'!$A$4:$K$2000,9,FALSE)</f>
        <v>6</v>
      </c>
      <c r="BF172" s="243">
        <f t="shared" si="201"/>
        <v>-6623.0133142605646</v>
      </c>
      <c r="BG172" s="243">
        <f t="shared" si="202"/>
        <v>-6623.0133142605646</v>
      </c>
      <c r="BH172" s="243">
        <f t="shared" si="203"/>
        <v>-6623.0133142605646</v>
      </c>
      <c r="BI172" s="243">
        <f t="shared" si="204"/>
        <v>-6623.0133142605646</v>
      </c>
      <c r="BJ172" s="243">
        <f t="shared" si="205"/>
        <v>8465.488384114582</v>
      </c>
      <c r="BK172" s="243">
        <f t="shared" si="206"/>
        <v>8465.488384114582</v>
      </c>
      <c r="BL172" s="243">
        <f t="shared" si="207"/>
        <v>8465.488384114582</v>
      </c>
      <c r="BM172" s="243">
        <f t="shared" si="208"/>
        <v>8465.488384114582</v>
      </c>
      <c r="BN172" s="243">
        <f t="shared" si="246"/>
        <v>-5960.7119828345003</v>
      </c>
      <c r="BO172" s="243">
        <f t="shared" si="247"/>
        <v>-5960.7119828345076</v>
      </c>
      <c r="BP172" s="243">
        <f t="shared" si="248"/>
        <v>-5960.7119828345076</v>
      </c>
      <c r="BQ172" s="243">
        <f t="shared" si="249"/>
        <v>-5960.7119828345076</v>
      </c>
      <c r="BR172" s="243">
        <f t="shared" si="239"/>
        <v>7618.9395457031242</v>
      </c>
      <c r="BS172" s="243">
        <f t="shared" si="240"/>
        <v>7618.9395457031242</v>
      </c>
      <c r="BT172" s="243">
        <f t="shared" si="241"/>
        <v>7618.9395457031242</v>
      </c>
      <c r="BU172" s="243">
        <f t="shared" si="242"/>
        <v>7618.9395457031242</v>
      </c>
      <c r="BW172" s="243">
        <f>ROUND(VLOOKUP($D172,'2018 Plan Data'!$A$4:$T$2000,13,FALSE),10)</f>
        <v>-5960.7119828345003</v>
      </c>
      <c r="BX172" s="314">
        <f>VLOOKUP($D172,'2018 Plan Data'!$A$4:$T$2000,14,FALSE)</f>
        <v>-5960.7119828345076</v>
      </c>
      <c r="BY172" s="314">
        <f>VLOOKUP($D172,'2018 Plan Data'!$A$4:$T$2000,15,FALSE)</f>
        <v>-5960.7119828345076</v>
      </c>
      <c r="BZ172" s="314">
        <f>VLOOKUP($D172,'2018 Plan Data'!$A$4:$T$2000,16,FALSE)</f>
        <v>-5960.7119828345076</v>
      </c>
      <c r="CA172" s="314">
        <f>IF(VLOOKUP($D172,'2018 Plan Data'!$A$4:$T$2000,17,FALSE)&gt;0,VLOOKUP($D172,'2018 Plan Data'!$A$4:$T$2000,17,FALSE),0)</f>
        <v>7618.9395457031242</v>
      </c>
      <c r="CB172" s="314">
        <f>IF(VLOOKUP($D172,'2018 Plan Data'!$A$4:$T$2000,18,FALSE)&gt;0,VLOOKUP($D172,'2018 Plan Data'!$A$4:$T$2000,18,FALSE),0)</f>
        <v>7618.9395457031242</v>
      </c>
      <c r="CC172" s="314">
        <f>IF(VLOOKUP($D172,'2018 Plan Data'!$A$4:$T$2000,19,FALSE)&gt;0,VLOOKUP($D172,'2018 Plan Data'!$A$4:$T$2000,19,FALSE),0)</f>
        <v>7618.9395457031242</v>
      </c>
      <c r="CD172" s="314">
        <f>IF(VLOOKUP($D172,'2018 Plan Data'!$A$4:$T$2000,20,FALSE)&gt;0,VLOOKUP($D172,'2018 Plan Data'!$A$4:$T$2000,20,FALSE),0)</f>
        <v>7618.9395457031242</v>
      </c>
      <c r="CE172" s="600" t="b">
        <f t="shared" si="213"/>
        <v>1</v>
      </c>
      <c r="CF172" s="600" t="b">
        <f t="shared" si="214"/>
        <v>1</v>
      </c>
      <c r="CG172" s="600" t="b">
        <f t="shared" si="215"/>
        <v>1</v>
      </c>
      <c r="CH172" s="600" t="b">
        <f t="shared" si="216"/>
        <v>1</v>
      </c>
      <c r="CI172" s="600" t="b">
        <f t="shared" si="217"/>
        <v>1</v>
      </c>
      <c r="CJ172" s="600" t="b">
        <f t="shared" si="218"/>
        <v>1</v>
      </c>
      <c r="CK172" s="600" t="b">
        <f t="shared" si="219"/>
        <v>1</v>
      </c>
      <c r="CL172" s="600" t="b">
        <f t="shared" si="220"/>
        <v>1</v>
      </c>
      <c r="CM172" s="585"/>
      <c r="CN172" s="585"/>
      <c r="CO172" s="585"/>
      <c r="CP172" s="585"/>
      <c r="CQ172" s="585"/>
      <c r="CR172" s="585"/>
      <c r="CS172" s="585"/>
      <c r="CT172" s="585"/>
      <c r="CU172" s="585"/>
      <c r="CV172" s="585"/>
      <c r="CW172" s="585"/>
      <c r="CX172" s="585"/>
      <c r="CY172" s="585"/>
      <c r="CZ172" s="585"/>
      <c r="DA172" s="585"/>
      <c r="DB172" s="585"/>
      <c r="DC172" s="585"/>
      <c r="DD172" s="585"/>
      <c r="DE172" s="585"/>
      <c r="DF172" s="585"/>
      <c r="DG172" s="585"/>
      <c r="DH172" s="585"/>
      <c r="DI172" s="585"/>
      <c r="DJ172" s="585"/>
      <c r="DK172" s="585"/>
      <c r="DL172" s="585"/>
      <c r="DM172" s="585"/>
      <c r="DN172" s="585"/>
      <c r="DO172" s="585"/>
      <c r="DP172" s="585"/>
      <c r="DQ172" s="585"/>
      <c r="DR172" s="585"/>
      <c r="DS172" s="585"/>
      <c r="DT172" s="585"/>
      <c r="DU172" s="585"/>
      <c r="DV172" s="585"/>
      <c r="DW172" s="585"/>
      <c r="DX172" s="585"/>
      <c r="DY172" s="585"/>
      <c r="DZ172" s="585"/>
      <c r="EA172" s="585"/>
      <c r="EB172" s="585"/>
      <c r="EC172" s="585"/>
      <c r="ED172" s="585"/>
      <c r="EE172" s="585"/>
      <c r="EF172" s="585"/>
      <c r="EG172" s="585"/>
      <c r="EH172" s="585"/>
      <c r="EI172" s="585"/>
      <c r="EJ172" s="585"/>
      <c r="EK172" s="585"/>
      <c r="EL172" s="585"/>
      <c r="EM172" s="585"/>
      <c r="EN172" s="585"/>
      <c r="EO172" s="585"/>
      <c r="EP172" s="585"/>
      <c r="EQ172" s="585"/>
      <c r="ER172" s="585"/>
      <c r="ES172" s="585"/>
      <c r="ET172" s="585"/>
      <c r="EU172" s="585"/>
      <c r="EV172" s="585"/>
      <c r="EW172" s="585"/>
      <c r="EX172" s="585"/>
      <c r="EY172" s="585"/>
      <c r="EZ172" s="585"/>
      <c r="FA172" s="585"/>
      <c r="FB172" s="585"/>
      <c r="FC172" s="585"/>
      <c r="FD172" s="585"/>
      <c r="FE172" s="585"/>
      <c r="FF172" s="585"/>
      <c r="FG172" s="585"/>
      <c r="FH172" s="585"/>
      <c r="FI172" s="585"/>
      <c r="FJ172" s="585"/>
      <c r="FK172" s="585"/>
      <c r="FL172" s="585"/>
      <c r="FM172" s="585"/>
      <c r="FN172" s="585"/>
      <c r="FO172" s="585"/>
      <c r="FP172" s="585"/>
      <c r="FQ172" s="585"/>
      <c r="FR172" s="585"/>
      <c r="FS172" s="585"/>
      <c r="FT172" s="585"/>
      <c r="FU172" s="585"/>
      <c r="FV172" s="585"/>
      <c r="FW172" s="585"/>
      <c r="FX172" s="585"/>
      <c r="FY172" s="585"/>
      <c r="FZ172" s="585"/>
      <c r="GA172" s="585"/>
      <c r="GB172" s="585"/>
      <c r="GC172" s="585"/>
      <c r="GD172" s="585"/>
      <c r="GE172" s="585"/>
      <c r="GF172" s="585"/>
      <c r="GG172" s="585"/>
      <c r="GH172" s="585"/>
      <c r="GI172" s="585"/>
      <c r="GJ172" s="585"/>
      <c r="GK172" s="585"/>
      <c r="GL172" s="585"/>
      <c r="GM172" s="585"/>
      <c r="GN172" s="585"/>
      <c r="GO172" s="585"/>
      <c r="GP172" s="585"/>
      <c r="GQ172" s="585"/>
      <c r="GR172" s="585"/>
      <c r="GS172" s="585"/>
      <c r="GT172" s="585"/>
      <c r="GU172" s="585"/>
      <c r="GV172" s="585"/>
      <c r="GW172" s="585"/>
      <c r="GX172" s="585"/>
      <c r="GY172" s="585"/>
      <c r="GZ172" s="585"/>
      <c r="HA172" s="585"/>
      <c r="HB172" s="585"/>
      <c r="HC172" s="585"/>
      <c r="HD172" s="585"/>
      <c r="HE172" s="585"/>
      <c r="HF172" s="585"/>
      <c r="HG172" s="585"/>
      <c r="HH172" s="585"/>
      <c r="HI172" s="585"/>
      <c r="HJ172" s="585"/>
      <c r="HK172" s="585"/>
      <c r="HL172" s="585"/>
      <c r="HM172" s="585"/>
      <c r="HN172" s="585"/>
      <c r="HO172" s="585"/>
      <c r="HP172" s="585"/>
      <c r="HQ172" s="585"/>
      <c r="HR172" s="585"/>
      <c r="HS172" s="585"/>
      <c r="HT172" s="585"/>
      <c r="HU172" s="585"/>
      <c r="HV172" s="585"/>
      <c r="HW172" s="585"/>
      <c r="HX172" s="585"/>
      <c r="HY172" s="585"/>
      <c r="HZ172" s="585"/>
      <c r="IA172" s="585"/>
      <c r="IB172" s="585"/>
      <c r="IC172" s="585"/>
      <c r="ID172" s="585"/>
      <c r="IE172" s="585"/>
      <c r="IF172" s="585"/>
      <c r="IG172" s="585"/>
      <c r="IH172" s="585"/>
      <c r="II172" s="585"/>
      <c r="IJ172" s="585"/>
      <c r="IK172" s="585"/>
      <c r="IL172" s="585"/>
      <c r="IM172" s="585"/>
      <c r="IN172" s="585"/>
      <c r="IO172" s="585"/>
      <c r="IP172" s="585"/>
      <c r="IQ172" s="585"/>
      <c r="IR172" s="585"/>
      <c r="IS172" s="585"/>
      <c r="IT172" s="585"/>
      <c r="IU172" s="585"/>
      <c r="IV172" s="585"/>
      <c r="IW172" s="585"/>
      <c r="IX172" s="585"/>
      <c r="IY172" s="585"/>
      <c r="IZ172" s="585"/>
      <c r="JA172" s="585"/>
      <c r="JB172" s="585"/>
      <c r="JC172" s="585"/>
      <c r="JD172" s="585"/>
      <c r="JE172" s="585"/>
      <c r="JF172" s="585"/>
      <c r="JG172" s="585"/>
      <c r="JH172" s="585"/>
      <c r="JI172" s="585"/>
      <c r="JJ172" s="585"/>
      <c r="JK172" s="585"/>
      <c r="JL172" s="585"/>
      <c r="JM172" s="585"/>
      <c r="JN172" s="585"/>
      <c r="JO172" s="585"/>
      <c r="JP172" s="585"/>
      <c r="JQ172" s="585"/>
      <c r="JR172" s="585"/>
      <c r="JS172" s="585"/>
      <c r="JT172" s="585"/>
      <c r="JU172" s="585"/>
      <c r="JV172" s="585"/>
      <c r="JW172" s="585"/>
      <c r="JX172" s="585"/>
      <c r="JY172" s="585"/>
      <c r="JZ172" s="585"/>
      <c r="KA172" s="585"/>
      <c r="KB172" s="585"/>
      <c r="KC172" s="585"/>
      <c r="KD172" s="585"/>
      <c r="KE172" s="585"/>
      <c r="KF172" s="585"/>
      <c r="KG172" s="585"/>
      <c r="KH172" s="585"/>
      <c r="KI172" s="585"/>
      <c r="KJ172" s="585"/>
      <c r="KK172" s="585"/>
      <c r="KL172" s="585"/>
      <c r="KM172" s="585"/>
      <c r="KN172" s="585"/>
      <c r="KO172" s="585"/>
      <c r="KP172" s="585"/>
      <c r="KQ172" s="585"/>
      <c r="KR172" s="585"/>
      <c r="KS172" s="585"/>
      <c r="KT172" s="585"/>
      <c r="KU172" s="585"/>
      <c r="KV172" s="585"/>
      <c r="KW172" s="585"/>
      <c r="KX172" s="585"/>
      <c r="KY172" s="585"/>
      <c r="KZ172" s="585"/>
      <c r="LA172" s="585"/>
      <c r="LB172" s="585"/>
      <c r="LC172" s="585"/>
      <c r="LD172" s="585"/>
      <c r="LE172" s="585"/>
      <c r="LF172" s="585"/>
      <c r="LG172" s="585"/>
      <c r="LH172" s="585"/>
      <c r="LI172" s="585"/>
      <c r="LJ172" s="585"/>
      <c r="LK172" s="585"/>
      <c r="LL172" s="585"/>
      <c r="LM172" s="585"/>
      <c r="LN172" s="585"/>
      <c r="LO172" s="585"/>
      <c r="LP172" s="585"/>
      <c r="LQ172" s="585"/>
      <c r="LR172" s="585"/>
      <c r="LS172" s="585"/>
      <c r="LT172" s="585"/>
      <c r="LU172" s="585"/>
      <c r="LV172" s="585"/>
      <c r="LW172" s="585"/>
      <c r="LX172" s="585"/>
      <c r="LY172" s="585"/>
      <c r="LZ172" s="585"/>
      <c r="MA172" s="585"/>
      <c r="MB172" s="585"/>
      <c r="MC172" s="585"/>
      <c r="MD172" s="585"/>
      <c r="ME172" s="585"/>
      <c r="MF172" s="585"/>
      <c r="MG172" s="585"/>
      <c r="MH172" s="585"/>
      <c r="MI172" s="585"/>
      <c r="MJ172" s="585"/>
      <c r="MK172" s="585"/>
    </row>
    <row r="173" spans="1:349" ht="15" customHeight="1" x14ac:dyDescent="0.35">
      <c r="A173" s="585">
        <f t="shared" si="252"/>
        <v>324</v>
      </c>
      <c r="B173" s="600" t="str">
        <f t="shared" si="200"/>
        <v>Business_Standard-Public Buildings</v>
      </c>
      <c r="C173" s="600"/>
      <c r="D173">
        <v>324</v>
      </c>
      <c r="E173" s="600" t="s">
        <v>1944</v>
      </c>
      <c r="F173" s="600" t="str">
        <f>VLOOKUP(G173,Sheet4!$D$6:$E$22,2,FALSE)</f>
        <v>Standard</v>
      </c>
      <c r="G173" s="600" t="s">
        <v>1054</v>
      </c>
      <c r="H173" s="296" t="s">
        <v>182</v>
      </c>
      <c r="J173" s="72" t="s">
        <v>5</v>
      </c>
      <c r="K173" s="72" t="str">
        <f>INDEX('Measure Codes'!$F$4:$F$821,MATCH(H173,'Measure Codes'!$D$4:$D$821,0))</f>
        <v>4.8.4</v>
      </c>
      <c r="L173" s="72" t="str">
        <f>INDEX('Measure Codes'!$G$4:$G$821,MATCH(H173,'Measure Codes'!$D$4:$D$821,0))</f>
        <v>CI-MSC-MODD-V01-160601</v>
      </c>
      <c r="M173" s="600">
        <v>1</v>
      </c>
      <c r="O173" s="72" t="str">
        <f t="shared" ref="O173:O204" si="253">IF(AND(R173&gt;0,V173&gt;0),"Dual Fuel",IF(AND(V173&gt;0,R173&lt;=0),"Gas","Electric"))</f>
        <v>Gas</v>
      </c>
      <c r="P173" s="7">
        <f>VLOOKUP(D173,'2018 Plan Data'!$A$4:$K$1000,11,FALSE)</f>
        <v>14</v>
      </c>
      <c r="Q173" s="652">
        <f>VLOOKUP(D173,'2018 Plan Data'!$A$4:$L$1000,12,FALSE)</f>
        <v>0</v>
      </c>
      <c r="R173" s="314">
        <f>'BUS - BPM10 PS (TRM)'!C11</f>
        <v>0</v>
      </c>
      <c r="T173" s="314">
        <f>'BUS - BPM10 PS (TRM)'!C12</f>
        <v>0</v>
      </c>
      <c r="V173" s="314">
        <f>'BUS - BPM10 PS (TRM)'!C13</f>
        <v>405.14400000000001</v>
      </c>
      <c r="AD173" s="309">
        <f>'BUS Measure-Model Summary'!I635</f>
        <v>0.9</v>
      </c>
      <c r="AE173" s="309">
        <f t="shared" si="250"/>
        <v>0.9</v>
      </c>
      <c r="AF173" s="309">
        <f t="shared" si="250"/>
        <v>0.9</v>
      </c>
      <c r="AG173" s="309">
        <f t="shared" si="250"/>
        <v>0.9</v>
      </c>
      <c r="AH173" s="314">
        <f t="shared" ref="AH173:AH204" si="254">IF($Q173&gt;0,$S173*AD173,$R173*AD173)</f>
        <v>0</v>
      </c>
      <c r="AI173" s="314">
        <f t="shared" ref="AI173:AI204" si="255">IF($Q173&gt;0,$S173*AE173,$R173*AE173)</f>
        <v>0</v>
      </c>
      <c r="AJ173" s="314">
        <f t="shared" ref="AJ173:AJ204" si="256">IF($Q173&gt;0,$S173*AF173,$R173*AF173)</f>
        <v>0</v>
      </c>
      <c r="AK173" s="314">
        <f t="shared" ref="AK173:AK204" si="257">IF($Q173&gt;0,$S173*AG173,$R173*AG173)</f>
        <v>0</v>
      </c>
      <c r="AL173" s="309">
        <f t="shared" ref="AL173:AL204" si="258">AD173</f>
        <v>0.9</v>
      </c>
      <c r="AM173" s="309">
        <f t="shared" ref="AM173:AM204" si="259">AE173</f>
        <v>0.9</v>
      </c>
      <c r="AN173" s="309">
        <f t="shared" ref="AN173:AN204" si="260">AF173</f>
        <v>0.9</v>
      </c>
      <c r="AO173" s="309">
        <f t="shared" ref="AO173:AO204" si="261">AG173</f>
        <v>0.9</v>
      </c>
      <c r="AP173" s="446">
        <f t="shared" ref="AP173:AP204" si="262">$T173*AL173</f>
        <v>0</v>
      </c>
      <c r="AQ173" s="446">
        <f t="shared" ref="AQ173:AQ204" si="263">$T173*AM173</f>
        <v>0</v>
      </c>
      <c r="AR173" s="446">
        <f t="shared" ref="AR173:AR204" si="264">$T173*AN173</f>
        <v>0</v>
      </c>
      <c r="AS173" s="446">
        <f t="shared" ref="AS173:AS204" si="265">$T173*AO173</f>
        <v>0</v>
      </c>
      <c r="AT173" s="309">
        <f t="shared" si="245"/>
        <v>0.9</v>
      </c>
      <c r="AU173" s="309">
        <f t="shared" si="251"/>
        <v>0.9</v>
      </c>
      <c r="AV173" s="309">
        <f t="shared" si="251"/>
        <v>0.9</v>
      </c>
      <c r="AW173" s="309">
        <f t="shared" si="251"/>
        <v>0.9</v>
      </c>
      <c r="AX173" s="243">
        <f t="shared" si="235"/>
        <v>364.62960000000004</v>
      </c>
      <c r="AY173" s="243">
        <f t="shared" si="236"/>
        <v>364.62960000000004</v>
      </c>
      <c r="AZ173" s="243">
        <f t="shared" si="237"/>
        <v>364.62960000000004</v>
      </c>
      <c r="BA173" s="243">
        <f t="shared" si="238"/>
        <v>364.62960000000004</v>
      </c>
      <c r="BB173" s="243">
        <f>VLOOKUP($D173,'2018 Plan Data'!$A$4:$K$2000,6,FALSE)</f>
        <v>2</v>
      </c>
      <c r="BC173" s="243">
        <f>VLOOKUP($D173,'2018 Plan Data'!$A$4:$K$2000,7,FALSE)</f>
        <v>2</v>
      </c>
      <c r="BD173" s="243">
        <f>VLOOKUP($D173,'2018 Plan Data'!$A$4:$K$2000,8,FALSE)</f>
        <v>3</v>
      </c>
      <c r="BE173" s="243">
        <f>VLOOKUP($D173,'2018 Plan Data'!$A$4:$K$2000,9,FALSE)</f>
        <v>2</v>
      </c>
      <c r="BF173" s="243">
        <f t="shared" si="201"/>
        <v>0</v>
      </c>
      <c r="BG173" s="243">
        <f t="shared" si="202"/>
        <v>0</v>
      </c>
      <c r="BH173" s="243">
        <f t="shared" si="203"/>
        <v>0</v>
      </c>
      <c r="BI173" s="243">
        <f t="shared" si="204"/>
        <v>0</v>
      </c>
      <c r="BJ173" s="243">
        <f t="shared" si="205"/>
        <v>810.28800000000001</v>
      </c>
      <c r="BK173" s="243">
        <f t="shared" si="206"/>
        <v>810.28800000000001</v>
      </c>
      <c r="BL173" s="243">
        <f t="shared" si="207"/>
        <v>1215.432</v>
      </c>
      <c r="BM173" s="243">
        <f t="shared" si="208"/>
        <v>810.28800000000001</v>
      </c>
      <c r="BN173" s="243">
        <f t="shared" si="246"/>
        <v>0</v>
      </c>
      <c r="BO173" s="243">
        <f t="shared" si="247"/>
        <v>0</v>
      </c>
      <c r="BP173" s="243">
        <f t="shared" si="248"/>
        <v>0</v>
      </c>
      <c r="BQ173" s="243">
        <f t="shared" si="249"/>
        <v>0</v>
      </c>
      <c r="BR173" s="243">
        <f t="shared" si="239"/>
        <v>729.25920000000008</v>
      </c>
      <c r="BS173" s="243">
        <f t="shared" si="240"/>
        <v>729.25920000000008</v>
      </c>
      <c r="BT173" s="243">
        <f t="shared" si="241"/>
        <v>1093.8888000000002</v>
      </c>
      <c r="BU173" s="243">
        <f t="shared" si="242"/>
        <v>729.25920000000008</v>
      </c>
      <c r="BV173" s="600"/>
      <c r="BW173" s="243">
        <f>ROUND(VLOOKUP($D173,'2018 Plan Data'!$A$4:$T$2000,13,FALSE),10)</f>
        <v>0</v>
      </c>
      <c r="BX173" s="314">
        <f>VLOOKUP($D173,'2018 Plan Data'!$A$4:$T$2000,14,FALSE)</f>
        <v>0</v>
      </c>
      <c r="BY173" s="314">
        <f>VLOOKUP($D173,'2018 Plan Data'!$A$4:$T$2000,15,FALSE)</f>
        <v>0</v>
      </c>
      <c r="BZ173" s="314">
        <f>VLOOKUP($D173,'2018 Plan Data'!$A$4:$T$2000,16,FALSE)</f>
        <v>0</v>
      </c>
      <c r="CA173" s="314">
        <f>IF(VLOOKUP($D173,'2018 Plan Data'!$A$4:$T$2000,17,FALSE)&gt;0,VLOOKUP($D173,'2018 Plan Data'!$A$4:$T$2000,17,FALSE),0)</f>
        <v>729.25920000000008</v>
      </c>
      <c r="CB173" s="314">
        <f>IF(VLOOKUP($D173,'2018 Plan Data'!$A$4:$T$2000,18,FALSE)&gt;0,VLOOKUP($D173,'2018 Plan Data'!$A$4:$T$2000,18,FALSE),0)</f>
        <v>729.25920000000008</v>
      </c>
      <c r="CC173" s="314">
        <f>IF(VLOOKUP($D173,'2018 Plan Data'!$A$4:$T$2000,19,FALSE)&gt;0,VLOOKUP($D173,'2018 Plan Data'!$A$4:$T$2000,19,FALSE),0)</f>
        <v>1093.8888000000002</v>
      </c>
      <c r="CD173" s="314">
        <f>IF(VLOOKUP($D173,'2018 Plan Data'!$A$4:$T$2000,20,FALSE)&gt;0,VLOOKUP($D173,'2018 Plan Data'!$A$4:$T$2000,20,FALSE),0)</f>
        <v>729.25920000000008</v>
      </c>
      <c r="CE173" s="600" t="b">
        <f t="shared" si="213"/>
        <v>1</v>
      </c>
      <c r="CF173" s="600" t="b">
        <f t="shared" si="214"/>
        <v>1</v>
      </c>
      <c r="CG173" s="600" t="b">
        <f t="shared" si="215"/>
        <v>1</v>
      </c>
      <c r="CH173" s="600" t="b">
        <f t="shared" si="216"/>
        <v>1</v>
      </c>
      <c r="CI173" s="600" t="b">
        <f t="shared" si="217"/>
        <v>1</v>
      </c>
      <c r="CJ173" s="600" t="b">
        <f t="shared" si="218"/>
        <v>1</v>
      </c>
      <c r="CK173" s="600" t="b">
        <f t="shared" si="219"/>
        <v>1</v>
      </c>
      <c r="CL173" s="600" t="b">
        <f t="shared" si="220"/>
        <v>1</v>
      </c>
    </row>
    <row r="174" spans="1:349" s="600" customFormat="1" ht="15" customHeight="1" x14ac:dyDescent="0.35">
      <c r="A174" s="585">
        <f t="shared" si="252"/>
        <v>291</v>
      </c>
      <c r="B174" s="600" t="str">
        <f t="shared" si="200"/>
        <v>Business_Standard-Public Buildings</v>
      </c>
      <c r="D174" s="600">
        <v>291</v>
      </c>
      <c r="E174" s="600" t="s">
        <v>1944</v>
      </c>
      <c r="F174" s="600" t="str">
        <f>VLOOKUP(G174,Sheet4!$D$6:$E$22,2,FALSE)</f>
        <v>Standard</v>
      </c>
      <c r="G174" s="600" t="s">
        <v>1054</v>
      </c>
      <c r="H174" s="296" t="s">
        <v>193</v>
      </c>
      <c r="J174" s="72" t="s">
        <v>100</v>
      </c>
      <c r="K174" s="72" t="str">
        <f>INDEX('Measure Codes'!$F$4:$F$821,MATCH(H174,'Measure Codes'!$D$4:$D$821,0))</f>
        <v>4.4.3</v>
      </c>
      <c r="L174" s="72" t="str">
        <f>INDEX('Measure Codes'!$G$4:$G$821,MATCH(H174,'Measure Codes'!$D$4:$D$821,0))</f>
        <v>CI-HVC-PBTU-V05-160601</v>
      </c>
      <c r="M174" s="600">
        <v>1</v>
      </c>
      <c r="O174" s="72" t="str">
        <f t="shared" si="253"/>
        <v>Gas</v>
      </c>
      <c r="P174" s="7">
        <f>VLOOKUP(D174,'2018 Plan Data'!$A$4:$K$1000,11,FALSE)</f>
        <v>3</v>
      </c>
      <c r="Q174" s="652">
        <f>VLOOKUP(D174,'2018 Plan Data'!$A$4:$L$1000,12,FALSE)</f>
        <v>0</v>
      </c>
      <c r="R174" s="314">
        <f>'BUS Measure-Model Summary'!D644</f>
        <v>0</v>
      </c>
      <c r="S174" s="314"/>
      <c r="T174" s="314">
        <f>'BUS Measure-Model Summary'!E644</f>
        <v>0</v>
      </c>
      <c r="U174" s="314"/>
      <c r="V174" s="314">
        <f>'BUS-BPH1 (TRM)'!C13</f>
        <v>1507.9529934371551</v>
      </c>
      <c r="W174" s="314"/>
      <c r="AD174" s="309">
        <f>'BUS Measure-Model Summary'!I636</f>
        <v>0.9</v>
      </c>
      <c r="AE174" s="309">
        <f t="shared" si="250"/>
        <v>0.9</v>
      </c>
      <c r="AF174" s="309">
        <f t="shared" si="250"/>
        <v>0.9</v>
      </c>
      <c r="AG174" s="309">
        <f t="shared" si="250"/>
        <v>0.9</v>
      </c>
      <c r="AH174" s="314">
        <f t="shared" si="254"/>
        <v>0</v>
      </c>
      <c r="AI174" s="314">
        <f t="shared" si="255"/>
        <v>0</v>
      </c>
      <c r="AJ174" s="314">
        <f t="shared" si="256"/>
        <v>0</v>
      </c>
      <c r="AK174" s="314">
        <f t="shared" si="257"/>
        <v>0</v>
      </c>
      <c r="AL174" s="309">
        <f t="shared" si="258"/>
        <v>0.9</v>
      </c>
      <c r="AM174" s="309">
        <f t="shared" si="259"/>
        <v>0.9</v>
      </c>
      <c r="AN174" s="309">
        <f t="shared" si="260"/>
        <v>0.9</v>
      </c>
      <c r="AO174" s="309">
        <f t="shared" si="261"/>
        <v>0.9</v>
      </c>
      <c r="AP174" s="446">
        <f t="shared" si="262"/>
        <v>0</v>
      </c>
      <c r="AQ174" s="446">
        <f t="shared" si="263"/>
        <v>0</v>
      </c>
      <c r="AR174" s="446">
        <f t="shared" si="264"/>
        <v>0</v>
      </c>
      <c r="AS174" s="446">
        <f t="shared" si="265"/>
        <v>0</v>
      </c>
      <c r="AT174" s="309">
        <f t="shared" si="245"/>
        <v>0.9</v>
      </c>
      <c r="AU174" s="309">
        <f t="shared" si="251"/>
        <v>0.9</v>
      </c>
      <c r="AV174" s="309">
        <f t="shared" si="251"/>
        <v>0.9</v>
      </c>
      <c r="AW174" s="309">
        <f t="shared" si="251"/>
        <v>0.9</v>
      </c>
      <c r="AX174" s="243">
        <f t="shared" ref="AX174:AX205" si="266">IF($Q174&gt;0,$W174*AT174,$V174*AT174)</f>
        <v>1357.1576940934397</v>
      </c>
      <c r="AY174" s="243">
        <f t="shared" ref="AY174:AY205" si="267">IF($Q174&gt;1,$W174*AU174,$V174*AU174)</f>
        <v>1357.1576940934397</v>
      </c>
      <c r="AZ174" s="243">
        <f t="shared" ref="AZ174:AZ205" si="268">IF($Q174&gt;1,$W174*AV174,$V174*AV174)</f>
        <v>1357.1576940934397</v>
      </c>
      <c r="BA174" s="243">
        <f t="shared" ref="BA174:BA205" si="269">IF($Q174&gt;1,$W174*AW174,$V174*AW174)</f>
        <v>1357.1576940934397</v>
      </c>
      <c r="BB174" s="243">
        <f>VLOOKUP($D174,'2018 Plan Data'!$A$4:$K$2000,6,FALSE)</f>
        <v>36</v>
      </c>
      <c r="BC174" s="243">
        <f>VLOOKUP($D174,'2018 Plan Data'!$A$4:$K$2000,7,FALSE)</f>
        <v>36</v>
      </c>
      <c r="BD174" s="243">
        <f>VLOOKUP($D174,'2018 Plan Data'!$A$4:$K$2000,8,FALSE)</f>
        <v>36</v>
      </c>
      <c r="BE174" s="243">
        <f>VLOOKUP($D174,'2018 Plan Data'!$A$4:$K$2000,9,FALSE)</f>
        <v>36</v>
      </c>
      <c r="BF174" s="243">
        <f t="shared" si="201"/>
        <v>0</v>
      </c>
      <c r="BG174" s="243">
        <f t="shared" si="202"/>
        <v>0</v>
      </c>
      <c r="BH174" s="243">
        <f t="shared" si="203"/>
        <v>0</v>
      </c>
      <c r="BI174" s="243">
        <f t="shared" si="204"/>
        <v>0</v>
      </c>
      <c r="BJ174" s="243">
        <f t="shared" si="205"/>
        <v>54286.307763737583</v>
      </c>
      <c r="BK174" s="243">
        <f t="shared" si="206"/>
        <v>54286.307763737583</v>
      </c>
      <c r="BL174" s="243">
        <f t="shared" si="207"/>
        <v>54286.307763737583</v>
      </c>
      <c r="BM174" s="243">
        <f t="shared" si="208"/>
        <v>54286.307763737583</v>
      </c>
      <c r="BN174" s="243">
        <f t="shared" si="246"/>
        <v>0</v>
      </c>
      <c r="BO174" s="243">
        <f t="shared" si="247"/>
        <v>0</v>
      </c>
      <c r="BP174" s="243">
        <f t="shared" si="248"/>
        <v>0</v>
      </c>
      <c r="BQ174" s="243">
        <f t="shared" si="249"/>
        <v>0</v>
      </c>
      <c r="BR174" s="243">
        <f t="shared" ref="BR174:BR205" si="270">IF((AX174*BB174)&gt;0,(AX174*BB174),0)</f>
        <v>48857.676987363826</v>
      </c>
      <c r="BS174" s="243">
        <f t="shared" ref="BS174:BS205" si="271">IF((AY174*BC174)&gt;0,(AY174*BC174),0)</f>
        <v>48857.676987363826</v>
      </c>
      <c r="BT174" s="243">
        <f t="shared" ref="BT174:BT205" si="272">IF((AZ174*BD174)&gt;0,(AZ174*BD174),0)</f>
        <v>48857.676987363826</v>
      </c>
      <c r="BU174" s="243">
        <f t="shared" ref="BU174:BU205" si="273">IF((BA174*BE174)&gt;0,(BA174*BE174),0)</f>
        <v>48857.676987363826</v>
      </c>
      <c r="BW174" s="243">
        <f>ROUND(VLOOKUP($D174,'2018 Plan Data'!$A$4:$T$2000,13,FALSE),10)</f>
        <v>0</v>
      </c>
      <c r="BX174" s="314">
        <f>VLOOKUP($D174,'2018 Plan Data'!$A$4:$T$2000,14,FALSE)</f>
        <v>0</v>
      </c>
      <c r="BY174" s="314">
        <f>VLOOKUP($D174,'2018 Plan Data'!$A$4:$T$2000,15,FALSE)</f>
        <v>0</v>
      </c>
      <c r="BZ174" s="314">
        <f>VLOOKUP($D174,'2018 Plan Data'!$A$4:$T$2000,16,FALSE)</f>
        <v>0</v>
      </c>
      <c r="CA174" s="314">
        <f>IF(VLOOKUP($D174,'2018 Plan Data'!$A$4:$T$2000,17,FALSE)&gt;0,VLOOKUP($D174,'2018 Plan Data'!$A$4:$T$2000,17,FALSE),0)</f>
        <v>51742.551437308772</v>
      </c>
      <c r="CB174" s="314">
        <f>IF(VLOOKUP($D174,'2018 Plan Data'!$A$4:$T$2000,18,FALSE)&gt;0,VLOOKUP($D174,'2018 Plan Data'!$A$4:$T$2000,18,FALSE),0)</f>
        <v>51742.551437308772</v>
      </c>
      <c r="CC174" s="314">
        <f>IF(VLOOKUP($D174,'2018 Plan Data'!$A$4:$T$2000,19,FALSE)&gt;0,VLOOKUP($D174,'2018 Plan Data'!$A$4:$T$2000,19,FALSE),0)</f>
        <v>51742.551437308772</v>
      </c>
      <c r="CD174" s="314">
        <f>IF(VLOOKUP($D174,'2018 Plan Data'!$A$4:$T$2000,20,FALSE)&gt;0,VLOOKUP($D174,'2018 Plan Data'!$A$4:$T$2000,20,FALSE),0)</f>
        <v>51742.551437308772</v>
      </c>
      <c r="CE174" s="600" t="b">
        <f t="shared" si="213"/>
        <v>1</v>
      </c>
      <c r="CF174" s="600" t="b">
        <f t="shared" si="214"/>
        <v>1</v>
      </c>
      <c r="CG174" s="600" t="b">
        <f t="shared" si="215"/>
        <v>1</v>
      </c>
      <c r="CH174" s="600" t="b">
        <f t="shared" si="216"/>
        <v>1</v>
      </c>
      <c r="CI174" s="600" t="b">
        <f t="shared" si="217"/>
        <v>0</v>
      </c>
      <c r="CJ174" s="600" t="b">
        <f t="shared" si="218"/>
        <v>0</v>
      </c>
      <c r="CK174" s="600" t="b">
        <f t="shared" si="219"/>
        <v>0</v>
      </c>
      <c r="CL174" s="600" t="b">
        <f t="shared" si="220"/>
        <v>0</v>
      </c>
      <c r="CM174" s="585"/>
      <c r="CN174" s="585"/>
      <c r="CO174" s="585"/>
      <c r="CP174" s="585"/>
      <c r="CQ174" s="585"/>
      <c r="CR174" s="585"/>
      <c r="CS174" s="585"/>
      <c r="CT174" s="585"/>
      <c r="CU174" s="585"/>
      <c r="CV174" s="585"/>
      <c r="CW174" s="585"/>
      <c r="CX174" s="585"/>
      <c r="CY174" s="585"/>
      <c r="CZ174" s="585"/>
      <c r="DA174" s="585"/>
      <c r="DB174" s="585"/>
      <c r="DC174" s="585"/>
      <c r="DD174" s="585"/>
      <c r="DE174" s="585"/>
      <c r="DF174" s="585"/>
      <c r="DG174" s="585"/>
      <c r="DH174" s="585"/>
      <c r="DI174" s="585"/>
      <c r="DJ174" s="585"/>
      <c r="DK174" s="585"/>
      <c r="DL174" s="585"/>
      <c r="DM174" s="585"/>
      <c r="DN174" s="585"/>
      <c r="DO174" s="585"/>
      <c r="DP174" s="585"/>
      <c r="DQ174" s="585"/>
      <c r="DR174" s="585"/>
      <c r="DS174" s="585"/>
      <c r="DT174" s="585"/>
      <c r="DU174" s="585"/>
      <c r="DV174" s="585"/>
      <c r="DW174" s="585"/>
      <c r="DX174" s="585"/>
      <c r="DY174" s="585"/>
      <c r="DZ174" s="585"/>
      <c r="EA174" s="585"/>
      <c r="EB174" s="585"/>
      <c r="EC174" s="585"/>
      <c r="ED174" s="585"/>
      <c r="EE174" s="585"/>
      <c r="EF174" s="585"/>
      <c r="EG174" s="585"/>
      <c r="EH174" s="585"/>
      <c r="EI174" s="585"/>
      <c r="EJ174" s="585"/>
      <c r="EK174" s="585"/>
      <c r="EL174" s="585"/>
      <c r="EM174" s="585"/>
      <c r="EN174" s="585"/>
      <c r="EO174" s="585"/>
      <c r="EP174" s="585"/>
      <c r="EQ174" s="585"/>
      <c r="ER174" s="585"/>
      <c r="ES174" s="585"/>
      <c r="ET174" s="585"/>
      <c r="EU174" s="585"/>
      <c r="EV174" s="585"/>
      <c r="EW174" s="585"/>
      <c r="EX174" s="585"/>
      <c r="EY174" s="585"/>
      <c r="EZ174" s="585"/>
      <c r="FA174" s="585"/>
      <c r="FB174" s="585"/>
      <c r="FC174" s="585"/>
      <c r="FD174" s="585"/>
      <c r="FE174" s="585"/>
      <c r="FF174" s="585"/>
      <c r="FG174" s="585"/>
      <c r="FH174" s="585"/>
      <c r="FI174" s="585"/>
      <c r="FJ174" s="585"/>
      <c r="FK174" s="585"/>
      <c r="FL174" s="585"/>
      <c r="FM174" s="585"/>
      <c r="FN174" s="585"/>
      <c r="FO174" s="585"/>
      <c r="FP174" s="585"/>
      <c r="FQ174" s="585"/>
      <c r="FR174" s="585"/>
      <c r="FS174" s="585"/>
      <c r="FT174" s="585"/>
      <c r="FU174" s="585"/>
      <c r="FV174" s="585"/>
      <c r="FW174" s="585"/>
      <c r="FX174" s="585"/>
      <c r="FY174" s="585"/>
      <c r="FZ174" s="585"/>
      <c r="GA174" s="585"/>
      <c r="GB174" s="585"/>
      <c r="GC174" s="585"/>
      <c r="GD174" s="585"/>
      <c r="GE174" s="585"/>
      <c r="GF174" s="585"/>
      <c r="GG174" s="585"/>
      <c r="GH174" s="585"/>
      <c r="GI174" s="585"/>
      <c r="GJ174" s="585"/>
      <c r="GK174" s="585"/>
      <c r="GL174" s="585"/>
      <c r="GM174" s="585"/>
      <c r="GN174" s="585"/>
      <c r="GO174" s="585"/>
      <c r="GP174" s="585"/>
      <c r="GQ174" s="585"/>
      <c r="GR174" s="585"/>
      <c r="GS174" s="585"/>
      <c r="GT174" s="585"/>
      <c r="GU174" s="585"/>
      <c r="GV174" s="585"/>
      <c r="GW174" s="585"/>
      <c r="GX174" s="585"/>
      <c r="GY174" s="585"/>
      <c r="GZ174" s="585"/>
      <c r="HA174" s="585"/>
      <c r="HB174" s="585"/>
      <c r="HC174" s="585"/>
      <c r="HD174" s="585"/>
      <c r="HE174" s="585"/>
      <c r="HF174" s="585"/>
      <c r="HG174" s="585"/>
      <c r="HH174" s="585"/>
      <c r="HI174" s="585"/>
      <c r="HJ174" s="585"/>
      <c r="HK174" s="585"/>
      <c r="HL174" s="585"/>
      <c r="HM174" s="585"/>
      <c r="HN174" s="585"/>
      <c r="HO174" s="585"/>
      <c r="HP174" s="585"/>
      <c r="HQ174" s="585"/>
      <c r="HR174" s="585"/>
      <c r="HS174" s="585"/>
      <c r="HT174" s="585"/>
      <c r="HU174" s="585"/>
      <c r="HV174" s="585"/>
      <c r="HW174" s="585"/>
      <c r="HX174" s="585"/>
      <c r="HY174" s="585"/>
      <c r="HZ174" s="585"/>
      <c r="IA174" s="585"/>
      <c r="IB174" s="585"/>
      <c r="IC174" s="585"/>
      <c r="ID174" s="585"/>
      <c r="IE174" s="585"/>
      <c r="IF174" s="585"/>
      <c r="IG174" s="585"/>
      <c r="IH174" s="585"/>
      <c r="II174" s="585"/>
      <c r="IJ174" s="585"/>
      <c r="IK174" s="585"/>
      <c r="IL174" s="585"/>
      <c r="IM174" s="585"/>
      <c r="IN174" s="585"/>
      <c r="IO174" s="585"/>
      <c r="IP174" s="585"/>
      <c r="IQ174" s="585"/>
      <c r="IR174" s="585"/>
      <c r="IS174" s="585"/>
      <c r="IT174" s="585"/>
      <c r="IU174" s="585"/>
      <c r="IV174" s="585"/>
      <c r="IW174" s="585"/>
      <c r="IX174" s="585"/>
      <c r="IY174" s="585"/>
      <c r="IZ174" s="585"/>
      <c r="JA174" s="585"/>
      <c r="JB174" s="585"/>
      <c r="JC174" s="585"/>
      <c r="JD174" s="585"/>
      <c r="JE174" s="585"/>
      <c r="JF174" s="585"/>
      <c r="JG174" s="585"/>
      <c r="JH174" s="585"/>
      <c r="JI174" s="585"/>
      <c r="JJ174" s="585"/>
      <c r="JK174" s="585"/>
      <c r="JL174" s="585"/>
      <c r="JM174" s="585"/>
      <c r="JN174" s="585"/>
      <c r="JO174" s="585"/>
      <c r="JP174" s="585"/>
      <c r="JQ174" s="585"/>
      <c r="JR174" s="585"/>
      <c r="JS174" s="585"/>
      <c r="JT174" s="585"/>
      <c r="JU174" s="585"/>
      <c r="JV174" s="585"/>
      <c r="JW174" s="585"/>
      <c r="JX174" s="585"/>
      <c r="JY174" s="585"/>
      <c r="JZ174" s="585"/>
      <c r="KA174" s="585"/>
      <c r="KB174" s="585"/>
      <c r="KC174" s="585"/>
      <c r="KD174" s="585"/>
      <c r="KE174" s="585"/>
      <c r="KF174" s="585"/>
      <c r="KG174" s="585"/>
      <c r="KH174" s="585"/>
      <c r="KI174" s="585"/>
      <c r="KJ174" s="585"/>
      <c r="KK174" s="585"/>
      <c r="KL174" s="585"/>
      <c r="KM174" s="585"/>
      <c r="KN174" s="585"/>
      <c r="KO174" s="585"/>
      <c r="KP174" s="585"/>
      <c r="KQ174" s="585"/>
      <c r="KR174" s="585"/>
      <c r="KS174" s="585"/>
      <c r="KT174" s="585"/>
      <c r="KU174" s="585"/>
      <c r="KV174" s="585"/>
      <c r="KW174" s="585"/>
      <c r="KX174" s="585"/>
      <c r="KY174" s="585"/>
      <c r="KZ174" s="585"/>
      <c r="LA174" s="585"/>
      <c r="LB174" s="585"/>
      <c r="LC174" s="585"/>
      <c r="LD174" s="585"/>
      <c r="LE174" s="585"/>
      <c r="LF174" s="585"/>
      <c r="LG174" s="585"/>
      <c r="LH174" s="585"/>
      <c r="LI174" s="585"/>
      <c r="LJ174" s="585"/>
      <c r="LK174" s="585"/>
      <c r="LL174" s="585"/>
      <c r="LM174" s="585"/>
      <c r="LN174" s="585"/>
      <c r="LO174" s="585"/>
      <c r="LP174" s="585"/>
      <c r="LQ174" s="585"/>
      <c r="LR174" s="585"/>
      <c r="LS174" s="585"/>
      <c r="LT174" s="585"/>
      <c r="LU174" s="585"/>
      <c r="LV174" s="585"/>
      <c r="LW174" s="585"/>
      <c r="LX174" s="585"/>
      <c r="LY174" s="585"/>
      <c r="LZ174" s="585"/>
      <c r="MA174" s="585"/>
      <c r="MB174" s="585"/>
      <c r="MC174" s="585"/>
      <c r="MD174" s="585"/>
      <c r="ME174" s="585"/>
      <c r="MF174" s="585"/>
      <c r="MG174" s="585"/>
      <c r="MH174" s="585"/>
      <c r="MI174" s="585"/>
      <c r="MJ174" s="585"/>
      <c r="MK174" s="585"/>
    </row>
    <row r="175" spans="1:349" s="600" customFormat="1" ht="15" customHeight="1" x14ac:dyDescent="0.35">
      <c r="A175" s="585">
        <f t="shared" si="252"/>
        <v>290</v>
      </c>
      <c r="B175" s="600" t="str">
        <f t="shared" si="200"/>
        <v>Business_Standard-Public Buildings</v>
      </c>
      <c r="D175" s="600">
        <v>290</v>
      </c>
      <c r="E175" s="600" t="s">
        <v>1944</v>
      </c>
      <c r="F175" s="600" t="str">
        <f>VLOOKUP(G175,Sheet4!$D$6:$E$22,2,FALSE)</f>
        <v>Standard</v>
      </c>
      <c r="G175" s="600" t="s">
        <v>1054</v>
      </c>
      <c r="H175" s="296" t="s">
        <v>194</v>
      </c>
      <c r="J175" s="72"/>
      <c r="K175" s="72" t="str">
        <f>INDEX('Measure Codes'!$F$4:$F$821,MATCH(H175,'Measure Codes'!$D$4:$D$821,0))</f>
        <v>4.4.10</v>
      </c>
      <c r="L175" s="72" t="str">
        <f>INDEX('Measure Codes'!$G$4:$G$821,MATCH(H175,'Measure Codes'!$D$4:$D$821,0))</f>
        <v>CI-HVC-BOIL-V05-150601</v>
      </c>
      <c r="M175" s="600">
        <v>1</v>
      </c>
      <c r="O175" s="72" t="str">
        <f t="shared" si="253"/>
        <v>Gas</v>
      </c>
      <c r="P175" s="7">
        <f>VLOOKUP(D175,'2018 Plan Data'!$A$4:$K$1000,11,FALSE)</f>
        <v>20</v>
      </c>
      <c r="Q175" s="652">
        <f>VLOOKUP(D175,'2018 Plan Data'!$A$4:$L$1000,12,FALSE)</f>
        <v>0</v>
      </c>
      <c r="R175" s="314">
        <f>'BUS Measure-Model Summary'!D646</f>
        <v>0</v>
      </c>
      <c r="S175" s="314"/>
      <c r="T175" s="314">
        <f>'BUS Measure-Model Summary'!E646</f>
        <v>0</v>
      </c>
      <c r="U175" s="314"/>
      <c r="V175" s="314">
        <f>V143</f>
        <v>1181.3609695386217</v>
      </c>
      <c r="W175" s="314"/>
      <c r="AD175" s="309">
        <f>'BUS Measure-Model Summary'!I637</f>
        <v>0.9</v>
      </c>
      <c r="AE175" s="309">
        <f t="shared" si="250"/>
        <v>0.9</v>
      </c>
      <c r="AF175" s="309">
        <f t="shared" si="250"/>
        <v>0.9</v>
      </c>
      <c r="AG175" s="309">
        <f t="shared" si="250"/>
        <v>0.9</v>
      </c>
      <c r="AH175" s="314">
        <f t="shared" si="254"/>
        <v>0</v>
      </c>
      <c r="AI175" s="314">
        <f t="shared" si="255"/>
        <v>0</v>
      </c>
      <c r="AJ175" s="314">
        <f t="shared" si="256"/>
        <v>0</v>
      </c>
      <c r="AK175" s="314">
        <f t="shared" si="257"/>
        <v>0</v>
      </c>
      <c r="AL175" s="309">
        <f t="shared" si="258"/>
        <v>0.9</v>
      </c>
      <c r="AM175" s="309">
        <f t="shared" si="259"/>
        <v>0.9</v>
      </c>
      <c r="AN175" s="309">
        <f t="shared" si="260"/>
        <v>0.9</v>
      </c>
      <c r="AO175" s="309">
        <f t="shared" si="261"/>
        <v>0.9</v>
      </c>
      <c r="AP175" s="446">
        <f t="shared" si="262"/>
        <v>0</v>
      </c>
      <c r="AQ175" s="446">
        <f t="shared" si="263"/>
        <v>0</v>
      </c>
      <c r="AR175" s="446">
        <f t="shared" si="264"/>
        <v>0</v>
      </c>
      <c r="AS175" s="446">
        <f t="shared" si="265"/>
        <v>0</v>
      </c>
      <c r="AT175" s="309">
        <f t="shared" si="245"/>
        <v>0.9</v>
      </c>
      <c r="AU175" s="309">
        <f t="shared" si="251"/>
        <v>0.9</v>
      </c>
      <c r="AV175" s="309">
        <f t="shared" si="251"/>
        <v>0.9</v>
      </c>
      <c r="AW175" s="309">
        <f t="shared" si="251"/>
        <v>0.9</v>
      </c>
      <c r="AX175" s="243">
        <f t="shared" si="266"/>
        <v>1063.2248725847596</v>
      </c>
      <c r="AY175" s="243">
        <f t="shared" si="267"/>
        <v>1063.2248725847596</v>
      </c>
      <c r="AZ175" s="243">
        <f t="shared" si="268"/>
        <v>1063.2248725847596</v>
      </c>
      <c r="BA175" s="243">
        <f t="shared" si="269"/>
        <v>1063.2248725847596</v>
      </c>
      <c r="BB175" s="243">
        <f>VLOOKUP($D175,'2018 Plan Data'!$A$4:$K$2000,6,FALSE)</f>
        <v>22</v>
      </c>
      <c r="BC175" s="243">
        <f>VLOOKUP($D175,'2018 Plan Data'!$A$4:$K$2000,7,FALSE)</f>
        <v>22</v>
      </c>
      <c r="BD175" s="243">
        <f>VLOOKUP($D175,'2018 Plan Data'!$A$4:$K$2000,8,FALSE)</f>
        <v>22</v>
      </c>
      <c r="BE175" s="243">
        <f>VLOOKUP($D175,'2018 Plan Data'!$A$4:$K$2000,9,FALSE)</f>
        <v>22</v>
      </c>
      <c r="BF175" s="243">
        <f t="shared" si="201"/>
        <v>0</v>
      </c>
      <c r="BG175" s="243">
        <f t="shared" si="202"/>
        <v>0</v>
      </c>
      <c r="BH175" s="243">
        <f t="shared" si="203"/>
        <v>0</v>
      </c>
      <c r="BI175" s="243">
        <f t="shared" si="204"/>
        <v>0</v>
      </c>
      <c r="BJ175" s="243">
        <f t="shared" si="205"/>
        <v>25989.941329849677</v>
      </c>
      <c r="BK175" s="243">
        <f t="shared" si="206"/>
        <v>25989.941329849677</v>
      </c>
      <c r="BL175" s="243">
        <f t="shared" si="207"/>
        <v>25989.941329849677</v>
      </c>
      <c r="BM175" s="243">
        <f t="shared" si="208"/>
        <v>25989.941329849677</v>
      </c>
      <c r="BN175" s="243">
        <f t="shared" si="246"/>
        <v>0</v>
      </c>
      <c r="BO175" s="243">
        <f t="shared" si="247"/>
        <v>0</v>
      </c>
      <c r="BP175" s="243">
        <f t="shared" si="248"/>
        <v>0</v>
      </c>
      <c r="BQ175" s="243">
        <f t="shared" si="249"/>
        <v>0</v>
      </c>
      <c r="BR175" s="243">
        <f t="shared" si="270"/>
        <v>23390.947196864712</v>
      </c>
      <c r="BS175" s="243">
        <f t="shared" si="271"/>
        <v>23390.947196864712</v>
      </c>
      <c r="BT175" s="243">
        <f t="shared" si="272"/>
        <v>23390.947196864712</v>
      </c>
      <c r="BU175" s="243">
        <f t="shared" si="273"/>
        <v>23390.947196864712</v>
      </c>
      <c r="BW175" s="243">
        <f>ROUND(VLOOKUP($D175,'2018 Plan Data'!$A$4:$T$2000,13,FALSE),10)</f>
        <v>0</v>
      </c>
      <c r="BX175" s="314">
        <f>VLOOKUP($D175,'2018 Plan Data'!$A$4:$T$2000,14,FALSE)</f>
        <v>0</v>
      </c>
      <c r="BY175" s="314">
        <f>VLOOKUP($D175,'2018 Plan Data'!$A$4:$T$2000,15,FALSE)</f>
        <v>0</v>
      </c>
      <c r="BZ175" s="314">
        <f>VLOOKUP($D175,'2018 Plan Data'!$A$4:$T$2000,16,FALSE)</f>
        <v>0</v>
      </c>
      <c r="CA175" s="314">
        <f>IF(VLOOKUP($D175,'2018 Plan Data'!$A$4:$T$2000,17,FALSE)&gt;0,VLOOKUP($D175,'2018 Plan Data'!$A$4:$T$2000,17,FALSE),0)</f>
        <v>21217.165718166601</v>
      </c>
      <c r="CB175" s="314">
        <f>IF(VLOOKUP($D175,'2018 Plan Data'!$A$4:$T$2000,18,FALSE)&gt;0,VLOOKUP($D175,'2018 Plan Data'!$A$4:$T$2000,18,FALSE),0)</f>
        <v>21217.165718166601</v>
      </c>
      <c r="CC175" s="314">
        <f>IF(VLOOKUP($D175,'2018 Plan Data'!$A$4:$T$2000,19,FALSE)&gt;0,VLOOKUP($D175,'2018 Plan Data'!$A$4:$T$2000,19,FALSE),0)</f>
        <v>21217.165718166601</v>
      </c>
      <c r="CD175" s="314">
        <f>IF(VLOOKUP($D175,'2018 Plan Data'!$A$4:$T$2000,20,FALSE)&gt;0,VLOOKUP($D175,'2018 Plan Data'!$A$4:$T$2000,20,FALSE),0)</f>
        <v>21217.165718166601</v>
      </c>
      <c r="CE175" s="600" t="b">
        <f t="shared" si="213"/>
        <v>1</v>
      </c>
      <c r="CF175" s="600" t="b">
        <f t="shared" si="214"/>
        <v>1</v>
      </c>
      <c r="CG175" s="600" t="b">
        <f t="shared" si="215"/>
        <v>1</v>
      </c>
      <c r="CH175" s="600" t="b">
        <f t="shared" si="216"/>
        <v>1</v>
      </c>
      <c r="CI175" s="600" t="b">
        <f t="shared" si="217"/>
        <v>0</v>
      </c>
      <c r="CJ175" s="600" t="b">
        <f t="shared" si="218"/>
        <v>0</v>
      </c>
      <c r="CK175" s="600" t="b">
        <f t="shared" si="219"/>
        <v>0</v>
      </c>
      <c r="CL175" s="600" t="b">
        <f t="shared" si="220"/>
        <v>0</v>
      </c>
      <c r="CM175" s="585"/>
      <c r="CN175" s="585"/>
      <c r="CO175" s="585"/>
      <c r="CP175" s="585"/>
      <c r="CQ175" s="585"/>
      <c r="CR175" s="585"/>
      <c r="CS175" s="585"/>
      <c r="CT175" s="585"/>
      <c r="CU175" s="585"/>
      <c r="CV175" s="585"/>
      <c r="CW175" s="585"/>
      <c r="CX175" s="585"/>
      <c r="CY175" s="585"/>
      <c r="CZ175" s="585"/>
      <c r="DA175" s="585"/>
      <c r="DB175" s="585"/>
      <c r="DC175" s="585"/>
      <c r="DD175" s="585"/>
      <c r="DE175" s="585"/>
      <c r="DF175" s="585"/>
      <c r="DG175" s="585"/>
      <c r="DH175" s="585"/>
      <c r="DI175" s="585"/>
      <c r="DJ175" s="585"/>
      <c r="DK175" s="585"/>
      <c r="DL175" s="585"/>
      <c r="DM175" s="585"/>
      <c r="DN175" s="585"/>
      <c r="DO175" s="585"/>
      <c r="DP175" s="585"/>
      <c r="DQ175" s="585"/>
      <c r="DR175" s="585"/>
      <c r="DS175" s="585"/>
      <c r="DT175" s="585"/>
      <c r="DU175" s="585"/>
      <c r="DV175" s="585"/>
      <c r="DW175" s="585"/>
      <c r="DX175" s="585"/>
      <c r="DY175" s="585"/>
      <c r="DZ175" s="585"/>
      <c r="EA175" s="585"/>
      <c r="EB175" s="585"/>
      <c r="EC175" s="585"/>
      <c r="ED175" s="585"/>
      <c r="EE175" s="585"/>
      <c r="EF175" s="585"/>
      <c r="EG175" s="585"/>
      <c r="EH175" s="585"/>
      <c r="EI175" s="585"/>
      <c r="EJ175" s="585"/>
      <c r="EK175" s="585"/>
      <c r="EL175" s="585"/>
      <c r="EM175" s="585"/>
      <c r="EN175" s="585"/>
      <c r="EO175" s="585"/>
      <c r="EP175" s="585"/>
      <c r="EQ175" s="585"/>
      <c r="ER175" s="585"/>
      <c r="ES175" s="585"/>
      <c r="ET175" s="585"/>
      <c r="EU175" s="585"/>
      <c r="EV175" s="585"/>
      <c r="EW175" s="585"/>
      <c r="EX175" s="585"/>
      <c r="EY175" s="585"/>
      <c r="EZ175" s="585"/>
      <c r="FA175" s="585"/>
      <c r="FB175" s="585"/>
      <c r="FC175" s="585"/>
      <c r="FD175" s="585"/>
      <c r="FE175" s="585"/>
      <c r="FF175" s="585"/>
      <c r="FG175" s="585"/>
      <c r="FH175" s="585"/>
      <c r="FI175" s="585"/>
      <c r="FJ175" s="585"/>
      <c r="FK175" s="585"/>
      <c r="FL175" s="585"/>
      <c r="FM175" s="585"/>
      <c r="FN175" s="585"/>
      <c r="FO175" s="585"/>
      <c r="FP175" s="585"/>
      <c r="FQ175" s="585"/>
      <c r="FR175" s="585"/>
      <c r="FS175" s="585"/>
      <c r="FT175" s="585"/>
      <c r="FU175" s="585"/>
      <c r="FV175" s="585"/>
      <c r="FW175" s="585"/>
      <c r="FX175" s="585"/>
      <c r="FY175" s="585"/>
      <c r="FZ175" s="585"/>
      <c r="GA175" s="585"/>
      <c r="GB175" s="585"/>
      <c r="GC175" s="585"/>
      <c r="GD175" s="585"/>
      <c r="GE175" s="585"/>
      <c r="GF175" s="585"/>
      <c r="GG175" s="585"/>
      <c r="GH175" s="585"/>
      <c r="GI175" s="585"/>
      <c r="GJ175" s="585"/>
      <c r="GK175" s="585"/>
      <c r="GL175" s="585"/>
      <c r="GM175" s="585"/>
      <c r="GN175" s="585"/>
      <c r="GO175" s="585"/>
      <c r="GP175" s="585"/>
      <c r="GQ175" s="585"/>
      <c r="GR175" s="585"/>
      <c r="GS175" s="585"/>
      <c r="GT175" s="585"/>
      <c r="GU175" s="585"/>
      <c r="GV175" s="585"/>
      <c r="GW175" s="585"/>
      <c r="GX175" s="585"/>
      <c r="GY175" s="585"/>
      <c r="GZ175" s="585"/>
      <c r="HA175" s="585"/>
      <c r="HB175" s="585"/>
      <c r="HC175" s="585"/>
      <c r="HD175" s="585"/>
      <c r="HE175" s="585"/>
      <c r="HF175" s="585"/>
      <c r="HG175" s="585"/>
      <c r="HH175" s="585"/>
      <c r="HI175" s="585"/>
      <c r="HJ175" s="585"/>
      <c r="HK175" s="585"/>
      <c r="HL175" s="585"/>
      <c r="HM175" s="585"/>
      <c r="HN175" s="585"/>
      <c r="HO175" s="585"/>
      <c r="HP175" s="585"/>
      <c r="HQ175" s="585"/>
      <c r="HR175" s="585"/>
      <c r="HS175" s="585"/>
      <c r="HT175" s="585"/>
      <c r="HU175" s="585"/>
      <c r="HV175" s="585"/>
      <c r="HW175" s="585"/>
      <c r="HX175" s="585"/>
      <c r="HY175" s="585"/>
      <c r="HZ175" s="585"/>
      <c r="IA175" s="585"/>
      <c r="IB175" s="585"/>
      <c r="IC175" s="585"/>
      <c r="ID175" s="585"/>
      <c r="IE175" s="585"/>
      <c r="IF175" s="585"/>
      <c r="IG175" s="585"/>
      <c r="IH175" s="585"/>
      <c r="II175" s="585"/>
      <c r="IJ175" s="585"/>
      <c r="IK175" s="585"/>
      <c r="IL175" s="585"/>
      <c r="IM175" s="585"/>
      <c r="IN175" s="585"/>
      <c r="IO175" s="585"/>
      <c r="IP175" s="585"/>
      <c r="IQ175" s="585"/>
      <c r="IR175" s="585"/>
      <c r="IS175" s="585"/>
      <c r="IT175" s="585"/>
      <c r="IU175" s="585"/>
      <c r="IV175" s="585"/>
      <c r="IW175" s="585"/>
      <c r="IX175" s="585"/>
      <c r="IY175" s="585"/>
      <c r="IZ175" s="585"/>
      <c r="JA175" s="585"/>
      <c r="JB175" s="585"/>
      <c r="JC175" s="585"/>
      <c r="JD175" s="585"/>
      <c r="JE175" s="585"/>
      <c r="JF175" s="585"/>
      <c r="JG175" s="585"/>
      <c r="JH175" s="585"/>
      <c r="JI175" s="585"/>
      <c r="JJ175" s="585"/>
      <c r="JK175" s="585"/>
      <c r="JL175" s="585"/>
      <c r="JM175" s="585"/>
      <c r="JN175" s="585"/>
      <c r="JO175" s="585"/>
      <c r="JP175" s="585"/>
      <c r="JQ175" s="585"/>
      <c r="JR175" s="585"/>
      <c r="JS175" s="585"/>
      <c r="JT175" s="585"/>
      <c r="JU175" s="585"/>
      <c r="JV175" s="585"/>
      <c r="JW175" s="585"/>
      <c r="JX175" s="585"/>
      <c r="JY175" s="585"/>
      <c r="JZ175" s="585"/>
      <c r="KA175" s="585"/>
      <c r="KB175" s="585"/>
      <c r="KC175" s="585"/>
      <c r="KD175" s="585"/>
      <c r="KE175" s="585"/>
      <c r="KF175" s="585"/>
      <c r="KG175" s="585"/>
      <c r="KH175" s="585"/>
      <c r="KI175" s="585"/>
      <c r="KJ175" s="585"/>
      <c r="KK175" s="585"/>
      <c r="KL175" s="585"/>
      <c r="KM175" s="585"/>
      <c r="KN175" s="585"/>
      <c r="KO175" s="585"/>
      <c r="KP175" s="585"/>
      <c r="KQ175" s="585"/>
      <c r="KR175" s="585"/>
      <c r="KS175" s="585"/>
      <c r="KT175" s="585"/>
      <c r="KU175" s="585"/>
      <c r="KV175" s="585"/>
      <c r="KW175" s="585"/>
      <c r="KX175" s="585"/>
      <c r="KY175" s="585"/>
      <c r="KZ175" s="585"/>
      <c r="LA175" s="585"/>
      <c r="LB175" s="585"/>
      <c r="LC175" s="585"/>
      <c r="LD175" s="585"/>
      <c r="LE175" s="585"/>
      <c r="LF175" s="585"/>
      <c r="LG175" s="585"/>
      <c r="LH175" s="585"/>
      <c r="LI175" s="585"/>
      <c r="LJ175" s="585"/>
      <c r="LK175" s="585"/>
      <c r="LL175" s="585"/>
      <c r="LM175" s="585"/>
      <c r="LN175" s="585"/>
      <c r="LO175" s="585"/>
      <c r="LP175" s="585"/>
      <c r="LQ175" s="585"/>
      <c r="LR175" s="585"/>
      <c r="LS175" s="585"/>
      <c r="LT175" s="585"/>
      <c r="LU175" s="585"/>
      <c r="LV175" s="585"/>
      <c r="LW175" s="585"/>
      <c r="LX175" s="585"/>
      <c r="LY175" s="585"/>
      <c r="LZ175" s="585"/>
      <c r="MA175" s="585"/>
      <c r="MB175" s="585"/>
      <c r="MC175" s="585"/>
      <c r="MD175" s="585"/>
      <c r="ME175" s="585"/>
      <c r="MF175" s="585"/>
      <c r="MG175" s="585"/>
      <c r="MH175" s="585"/>
      <c r="MI175" s="585"/>
      <c r="MJ175" s="585"/>
      <c r="MK175" s="585"/>
    </row>
    <row r="176" spans="1:349" s="600" customFormat="1" ht="15" customHeight="1" x14ac:dyDescent="0.35">
      <c r="A176" s="585">
        <f t="shared" si="252"/>
        <v>293</v>
      </c>
      <c r="B176" s="600" t="str">
        <f t="shared" si="200"/>
        <v>Business_Standard-Public Buildings</v>
      </c>
      <c r="D176" s="600">
        <v>293</v>
      </c>
      <c r="E176" s="600" t="s">
        <v>1944</v>
      </c>
      <c r="F176" s="600" t="str">
        <f>VLOOKUP(G176,Sheet4!$D$6:$E$22,2,FALSE)</f>
        <v>Standard</v>
      </c>
      <c r="G176" s="600" t="s">
        <v>1054</v>
      </c>
      <c r="H176" s="296" t="s">
        <v>195</v>
      </c>
      <c r="J176" s="72" t="s">
        <v>100</v>
      </c>
      <c r="K176" s="72" t="str">
        <f>INDEX('Measure Codes'!$F$4:$F$821,MATCH(H176,'Measure Codes'!$D$4:$D$821,0))</f>
        <v>4.4.11</v>
      </c>
      <c r="L176" s="72" t="str">
        <f>INDEX('Measure Codes'!$G$4:$G$821,MATCH(H176,'Measure Codes'!$D$4:$D$821,0))</f>
        <v>CI-HVC-FRNC-V07-180101</v>
      </c>
      <c r="M176" s="600">
        <v>1</v>
      </c>
      <c r="O176" s="72" t="str">
        <f t="shared" si="253"/>
        <v>Dual Fuel</v>
      </c>
      <c r="P176" s="7">
        <f>VLOOKUP(D176,'2018 Plan Data'!$A$4:$K$1000,11,FALSE)</f>
        <v>16.5</v>
      </c>
      <c r="Q176" s="652">
        <f>VLOOKUP(D176,'2018 Plan Data'!$A$4:$L$1000,12,FALSE)</f>
        <v>0</v>
      </c>
      <c r="R176" s="314">
        <f>R144</f>
        <v>705.91923714759537</v>
      </c>
      <c r="S176" s="314">
        <f>S144</f>
        <v>0</v>
      </c>
      <c r="T176" s="314">
        <f>T144</f>
        <v>0.11911992211259753</v>
      </c>
      <c r="U176" s="314">
        <f>U144</f>
        <v>0</v>
      </c>
      <c r="V176" s="314">
        <f>V144</f>
        <v>301.15827607647219</v>
      </c>
      <c r="W176" s="314"/>
      <c r="AD176" s="309">
        <f>'BUS Measure-Model Summary'!I638</f>
        <v>0.9</v>
      </c>
      <c r="AE176" s="309">
        <f t="shared" si="250"/>
        <v>0.9</v>
      </c>
      <c r="AF176" s="309">
        <f t="shared" si="250"/>
        <v>0.9</v>
      </c>
      <c r="AG176" s="309">
        <f t="shared" si="250"/>
        <v>0.9</v>
      </c>
      <c r="AH176" s="314">
        <f t="shared" si="254"/>
        <v>635.32731343283581</v>
      </c>
      <c r="AI176" s="314">
        <f t="shared" si="255"/>
        <v>635.32731343283581</v>
      </c>
      <c r="AJ176" s="314">
        <f t="shared" si="256"/>
        <v>635.32731343283581</v>
      </c>
      <c r="AK176" s="314">
        <f t="shared" si="257"/>
        <v>635.32731343283581</v>
      </c>
      <c r="AL176" s="309">
        <f t="shared" si="258"/>
        <v>0.9</v>
      </c>
      <c r="AM176" s="309">
        <f t="shared" si="259"/>
        <v>0.9</v>
      </c>
      <c r="AN176" s="309">
        <f t="shared" si="260"/>
        <v>0.9</v>
      </c>
      <c r="AO176" s="309">
        <f t="shared" si="261"/>
        <v>0.9</v>
      </c>
      <c r="AP176" s="446">
        <f t="shared" si="262"/>
        <v>0.10720792990133778</v>
      </c>
      <c r="AQ176" s="446">
        <f t="shared" si="263"/>
        <v>0.10720792990133778</v>
      </c>
      <c r="AR176" s="446">
        <f t="shared" si="264"/>
        <v>0.10720792990133778</v>
      </c>
      <c r="AS176" s="446">
        <f t="shared" si="265"/>
        <v>0.10720792990133778</v>
      </c>
      <c r="AT176" s="309">
        <f t="shared" si="245"/>
        <v>0.9</v>
      </c>
      <c r="AU176" s="309">
        <f t="shared" si="251"/>
        <v>0.9</v>
      </c>
      <c r="AV176" s="309">
        <f t="shared" si="251"/>
        <v>0.9</v>
      </c>
      <c r="AW176" s="309">
        <f t="shared" si="251"/>
        <v>0.9</v>
      </c>
      <c r="AX176" s="243">
        <f t="shared" si="266"/>
        <v>271.042448468825</v>
      </c>
      <c r="AY176" s="243">
        <f t="shared" si="267"/>
        <v>271.042448468825</v>
      </c>
      <c r="AZ176" s="243">
        <f t="shared" si="268"/>
        <v>271.042448468825</v>
      </c>
      <c r="BA176" s="243">
        <f t="shared" si="269"/>
        <v>271.042448468825</v>
      </c>
      <c r="BB176" s="652">
        <f>VLOOKUP($D176,'2018 Plan Data'!$A$4:$K$2000,6,FALSE)</f>
        <v>36</v>
      </c>
      <c r="BC176" s="243">
        <f>VLOOKUP($D176,'2018 Plan Data'!$A$4:$K$2000,7,FALSE)</f>
        <v>32</v>
      </c>
      <c r="BD176" s="243">
        <f>VLOOKUP($D176,'2018 Plan Data'!$A$4:$K$2000,8,FALSE)</f>
        <v>32</v>
      </c>
      <c r="BE176" s="243">
        <f>VLOOKUP($D176,'2018 Plan Data'!$A$4:$K$2000,9,FALSE)</f>
        <v>29</v>
      </c>
      <c r="BF176" s="243">
        <f t="shared" si="201"/>
        <v>25413.092537313434</v>
      </c>
      <c r="BG176" s="243">
        <f t="shared" si="202"/>
        <v>22589.415588723052</v>
      </c>
      <c r="BH176" s="243">
        <f t="shared" si="203"/>
        <v>22589.415588723052</v>
      </c>
      <c r="BI176" s="243">
        <f t="shared" si="204"/>
        <v>20471.657877280264</v>
      </c>
      <c r="BJ176" s="243">
        <f t="shared" si="205"/>
        <v>10841.697938752999</v>
      </c>
      <c r="BK176" s="243">
        <f t="shared" si="206"/>
        <v>9637.0648344471101</v>
      </c>
      <c r="BL176" s="243">
        <f t="shared" si="207"/>
        <v>9637.0648344471101</v>
      </c>
      <c r="BM176" s="243">
        <f t="shared" si="208"/>
        <v>8733.5900062176934</v>
      </c>
      <c r="BN176" s="243">
        <f t="shared" si="246"/>
        <v>22871.783283582099</v>
      </c>
      <c r="BO176" s="243">
        <f t="shared" si="247"/>
        <v>20330.474029850746</v>
      </c>
      <c r="BP176" s="243">
        <f t="shared" si="248"/>
        <v>20330.474029850746</v>
      </c>
      <c r="BQ176" s="243">
        <f t="shared" si="249"/>
        <v>18424.492089552237</v>
      </c>
      <c r="BR176" s="243">
        <f t="shared" si="270"/>
        <v>9757.5281448777005</v>
      </c>
      <c r="BS176" s="243">
        <f t="shared" si="271"/>
        <v>8673.3583510024</v>
      </c>
      <c r="BT176" s="243">
        <f t="shared" si="272"/>
        <v>8673.3583510024</v>
      </c>
      <c r="BU176" s="243">
        <f t="shared" si="273"/>
        <v>7860.2310055959251</v>
      </c>
      <c r="BW176" s="243">
        <f>ROUND(VLOOKUP($D176,'2018 Plan Data'!$A$4:$T$2000,13,FALSE),10)</f>
        <v>22871.783283582099</v>
      </c>
      <c r="BX176" s="314">
        <f>VLOOKUP($D176,'2018 Plan Data'!$A$4:$T$2000,14,FALSE)</f>
        <v>20330.474029850746</v>
      </c>
      <c r="BY176" s="314">
        <f>VLOOKUP($D176,'2018 Plan Data'!$A$4:$T$2000,15,FALSE)</f>
        <v>20330.474029850746</v>
      </c>
      <c r="BZ176" s="314">
        <f>VLOOKUP($D176,'2018 Plan Data'!$A$4:$T$2000,16,FALSE)</f>
        <v>18424.492089552237</v>
      </c>
      <c r="CA176" s="314">
        <f>IF(VLOOKUP($D176,'2018 Plan Data'!$A$4:$T$2000,17,FALSE)&gt;0,VLOOKUP($D176,'2018 Plan Data'!$A$4:$T$2000,17,FALSE),0)</f>
        <v>7416.0020333159264</v>
      </c>
      <c r="CB176" s="314">
        <f>IF(VLOOKUP($D176,'2018 Plan Data'!$A$4:$T$2000,18,FALSE)&gt;0,VLOOKUP($D176,'2018 Plan Data'!$A$4:$T$2000,18,FALSE),0)</f>
        <v>6592.0018073919346</v>
      </c>
      <c r="CC176" s="314">
        <f>IF(VLOOKUP($D176,'2018 Plan Data'!$A$4:$T$2000,19,FALSE)&gt;0,VLOOKUP($D176,'2018 Plan Data'!$A$4:$T$2000,19,FALSE),0)</f>
        <v>6592.0018073919346</v>
      </c>
      <c r="CD176" s="314">
        <f>IF(VLOOKUP($D176,'2018 Plan Data'!$A$4:$T$2000,20,FALSE)&gt;0,VLOOKUP($D176,'2018 Plan Data'!$A$4:$T$2000,20,FALSE),0)</f>
        <v>5974.0016379489407</v>
      </c>
      <c r="CE176" s="600" t="b">
        <f t="shared" si="213"/>
        <v>1</v>
      </c>
      <c r="CF176" s="600" t="b">
        <f t="shared" si="214"/>
        <v>1</v>
      </c>
      <c r="CG176" s="600" t="b">
        <f t="shared" si="215"/>
        <v>1</v>
      </c>
      <c r="CH176" s="600" t="b">
        <f t="shared" si="216"/>
        <v>1</v>
      </c>
      <c r="CI176" s="600" t="b">
        <f t="shared" si="217"/>
        <v>0</v>
      </c>
      <c r="CJ176" s="600" t="b">
        <f t="shared" si="218"/>
        <v>0</v>
      </c>
      <c r="CK176" s="600" t="b">
        <f t="shared" si="219"/>
        <v>0</v>
      </c>
      <c r="CL176" s="600" t="b">
        <f t="shared" si="220"/>
        <v>0</v>
      </c>
      <c r="CM176" s="585"/>
      <c r="CN176" s="585"/>
      <c r="CO176" s="585"/>
      <c r="CP176" s="585"/>
      <c r="CQ176" s="585"/>
      <c r="CR176" s="585"/>
      <c r="CS176" s="585"/>
      <c r="CT176" s="585"/>
      <c r="CU176" s="585"/>
      <c r="CV176" s="585"/>
      <c r="CW176" s="585"/>
      <c r="CX176" s="585"/>
      <c r="CY176" s="585"/>
      <c r="CZ176" s="585"/>
      <c r="DA176" s="585"/>
      <c r="DB176" s="585"/>
      <c r="DC176" s="585"/>
      <c r="DD176" s="585"/>
      <c r="DE176" s="585"/>
      <c r="DF176" s="585"/>
      <c r="DG176" s="585"/>
      <c r="DH176" s="585"/>
      <c r="DI176" s="585"/>
      <c r="DJ176" s="585"/>
      <c r="DK176" s="585"/>
      <c r="DL176" s="585"/>
      <c r="DM176" s="585"/>
      <c r="DN176" s="585"/>
      <c r="DO176" s="585"/>
      <c r="DP176" s="585"/>
      <c r="DQ176" s="585"/>
      <c r="DR176" s="585"/>
      <c r="DS176" s="585"/>
      <c r="DT176" s="585"/>
      <c r="DU176" s="585"/>
      <c r="DV176" s="585"/>
      <c r="DW176" s="585"/>
      <c r="DX176" s="585"/>
      <c r="DY176" s="585"/>
      <c r="DZ176" s="585"/>
      <c r="EA176" s="585"/>
      <c r="EB176" s="585"/>
      <c r="EC176" s="585"/>
      <c r="ED176" s="585"/>
      <c r="EE176" s="585"/>
      <c r="EF176" s="585"/>
      <c r="EG176" s="585"/>
      <c r="EH176" s="585"/>
      <c r="EI176" s="585"/>
      <c r="EJ176" s="585"/>
      <c r="EK176" s="585"/>
      <c r="EL176" s="585"/>
      <c r="EM176" s="585"/>
      <c r="EN176" s="585"/>
      <c r="EO176" s="585"/>
      <c r="EP176" s="585"/>
      <c r="EQ176" s="585"/>
      <c r="ER176" s="585"/>
      <c r="ES176" s="585"/>
      <c r="ET176" s="585"/>
      <c r="EU176" s="585"/>
      <c r="EV176" s="585"/>
      <c r="EW176" s="585"/>
      <c r="EX176" s="585"/>
      <c r="EY176" s="585"/>
      <c r="EZ176" s="585"/>
      <c r="FA176" s="585"/>
      <c r="FB176" s="585"/>
      <c r="FC176" s="585"/>
      <c r="FD176" s="585"/>
      <c r="FE176" s="585"/>
      <c r="FF176" s="585"/>
      <c r="FG176" s="585"/>
      <c r="FH176" s="585"/>
      <c r="FI176" s="585"/>
      <c r="FJ176" s="585"/>
      <c r="FK176" s="585"/>
      <c r="FL176" s="585"/>
      <c r="FM176" s="585"/>
      <c r="FN176" s="585"/>
      <c r="FO176" s="585"/>
      <c r="FP176" s="585"/>
      <c r="FQ176" s="585"/>
      <c r="FR176" s="585"/>
      <c r="FS176" s="585"/>
      <c r="FT176" s="585"/>
      <c r="FU176" s="585"/>
      <c r="FV176" s="585"/>
      <c r="FW176" s="585"/>
      <c r="FX176" s="585"/>
      <c r="FY176" s="585"/>
      <c r="FZ176" s="585"/>
      <c r="GA176" s="585"/>
      <c r="GB176" s="585"/>
      <c r="GC176" s="585"/>
      <c r="GD176" s="585"/>
      <c r="GE176" s="585"/>
      <c r="GF176" s="585"/>
      <c r="GG176" s="585"/>
      <c r="GH176" s="585"/>
      <c r="GI176" s="585"/>
      <c r="GJ176" s="585"/>
      <c r="GK176" s="585"/>
      <c r="GL176" s="585"/>
      <c r="GM176" s="585"/>
      <c r="GN176" s="585"/>
      <c r="GO176" s="585"/>
      <c r="GP176" s="585"/>
      <c r="GQ176" s="585"/>
      <c r="GR176" s="585"/>
      <c r="GS176" s="585"/>
      <c r="GT176" s="585"/>
      <c r="GU176" s="585"/>
      <c r="GV176" s="585"/>
      <c r="GW176" s="585"/>
      <c r="GX176" s="585"/>
      <c r="GY176" s="585"/>
      <c r="GZ176" s="585"/>
      <c r="HA176" s="585"/>
      <c r="HB176" s="585"/>
      <c r="HC176" s="585"/>
      <c r="HD176" s="585"/>
      <c r="HE176" s="585"/>
      <c r="HF176" s="585"/>
      <c r="HG176" s="585"/>
      <c r="HH176" s="585"/>
      <c r="HI176" s="585"/>
      <c r="HJ176" s="585"/>
      <c r="HK176" s="585"/>
      <c r="HL176" s="585"/>
      <c r="HM176" s="585"/>
      <c r="HN176" s="585"/>
      <c r="HO176" s="585"/>
      <c r="HP176" s="585"/>
      <c r="HQ176" s="585"/>
      <c r="HR176" s="585"/>
      <c r="HS176" s="585"/>
      <c r="HT176" s="585"/>
      <c r="HU176" s="585"/>
      <c r="HV176" s="585"/>
      <c r="HW176" s="585"/>
      <c r="HX176" s="585"/>
      <c r="HY176" s="585"/>
      <c r="HZ176" s="585"/>
      <c r="IA176" s="585"/>
      <c r="IB176" s="585"/>
      <c r="IC176" s="585"/>
      <c r="ID176" s="585"/>
      <c r="IE176" s="585"/>
      <c r="IF176" s="585"/>
      <c r="IG176" s="585"/>
      <c r="IH176" s="585"/>
      <c r="II176" s="585"/>
      <c r="IJ176" s="585"/>
      <c r="IK176" s="585"/>
      <c r="IL176" s="585"/>
      <c r="IM176" s="585"/>
      <c r="IN176" s="585"/>
      <c r="IO176" s="585"/>
      <c r="IP176" s="585"/>
      <c r="IQ176" s="585"/>
      <c r="IR176" s="585"/>
      <c r="IS176" s="585"/>
      <c r="IT176" s="585"/>
      <c r="IU176" s="585"/>
      <c r="IV176" s="585"/>
      <c r="IW176" s="585"/>
      <c r="IX176" s="585"/>
      <c r="IY176" s="585"/>
      <c r="IZ176" s="585"/>
      <c r="JA176" s="585"/>
      <c r="JB176" s="585"/>
      <c r="JC176" s="585"/>
      <c r="JD176" s="585"/>
      <c r="JE176" s="585"/>
      <c r="JF176" s="585"/>
      <c r="JG176" s="585"/>
      <c r="JH176" s="585"/>
      <c r="JI176" s="585"/>
      <c r="JJ176" s="585"/>
      <c r="JK176" s="585"/>
      <c r="JL176" s="585"/>
      <c r="JM176" s="585"/>
      <c r="JN176" s="585"/>
      <c r="JO176" s="585"/>
      <c r="JP176" s="585"/>
      <c r="JQ176" s="585"/>
      <c r="JR176" s="585"/>
      <c r="JS176" s="585"/>
      <c r="JT176" s="585"/>
      <c r="JU176" s="585"/>
      <c r="JV176" s="585"/>
      <c r="JW176" s="585"/>
      <c r="JX176" s="585"/>
      <c r="JY176" s="585"/>
      <c r="JZ176" s="585"/>
      <c r="KA176" s="585"/>
      <c r="KB176" s="585"/>
      <c r="KC176" s="585"/>
      <c r="KD176" s="585"/>
      <c r="KE176" s="585"/>
      <c r="KF176" s="585"/>
      <c r="KG176" s="585"/>
      <c r="KH176" s="585"/>
      <c r="KI176" s="585"/>
      <c r="KJ176" s="585"/>
      <c r="KK176" s="585"/>
      <c r="KL176" s="585"/>
      <c r="KM176" s="585"/>
      <c r="KN176" s="585"/>
      <c r="KO176" s="585"/>
      <c r="KP176" s="585"/>
      <c r="KQ176" s="585"/>
      <c r="KR176" s="585"/>
      <c r="KS176" s="585"/>
      <c r="KT176" s="585"/>
      <c r="KU176" s="585"/>
      <c r="KV176" s="585"/>
      <c r="KW176" s="585"/>
      <c r="KX176" s="585"/>
      <c r="KY176" s="585"/>
      <c r="KZ176" s="585"/>
      <c r="LA176" s="585"/>
      <c r="LB176" s="585"/>
      <c r="LC176" s="585"/>
      <c r="LD176" s="585"/>
      <c r="LE176" s="585"/>
      <c r="LF176" s="585"/>
      <c r="LG176" s="585"/>
      <c r="LH176" s="585"/>
      <c r="LI176" s="585"/>
      <c r="LJ176" s="585"/>
      <c r="LK176" s="585"/>
      <c r="LL176" s="585"/>
      <c r="LM176" s="585"/>
      <c r="LN176" s="585"/>
      <c r="LO176" s="585"/>
      <c r="LP176" s="585"/>
      <c r="LQ176" s="585"/>
      <c r="LR176" s="585"/>
      <c r="LS176" s="585"/>
      <c r="LT176" s="585"/>
      <c r="LU176" s="585"/>
      <c r="LV176" s="585"/>
      <c r="LW176" s="585"/>
      <c r="LX176" s="585"/>
      <c r="LY176" s="585"/>
      <c r="LZ176" s="585"/>
      <c r="MA176" s="585"/>
      <c r="MB176" s="585"/>
      <c r="MC176" s="585"/>
      <c r="MD176" s="585"/>
      <c r="ME176" s="585"/>
      <c r="MF176" s="585"/>
      <c r="MG176" s="585"/>
      <c r="MH176" s="585"/>
      <c r="MI176" s="585"/>
      <c r="MJ176" s="585"/>
      <c r="MK176" s="585"/>
    </row>
    <row r="177" spans="1:349" ht="15" customHeight="1" x14ac:dyDescent="0.35">
      <c r="A177" s="585">
        <f t="shared" si="252"/>
        <v>301</v>
      </c>
      <c r="B177" s="600" t="str">
        <f t="shared" si="200"/>
        <v>Business_Standard-Public Buildings</v>
      </c>
      <c r="D177">
        <v>301</v>
      </c>
      <c r="E177" s="600" t="s">
        <v>1944</v>
      </c>
      <c r="F177" s="600" t="str">
        <f>VLOOKUP(G177,Sheet4!$D$6:$E$22,2,FALSE)</f>
        <v>Standard</v>
      </c>
      <c r="G177" t="s">
        <v>1054</v>
      </c>
      <c r="H177" s="296" t="s">
        <v>196</v>
      </c>
      <c r="K177" s="72" t="str">
        <f>INDEX('Measure Codes'!$F$4:$F$821,MATCH(H177,'Measure Codes'!$D$4:$D$821,0))</f>
        <v>4.3.5</v>
      </c>
      <c r="L177" s="72" t="str">
        <f>INDEX('Measure Codes'!$G$4:$G$821,MATCH(H177,'Measure Codes'!$D$4:$D$821,0))</f>
        <v>CI-HWE-TKWH-V03-160601</v>
      </c>
      <c r="M177" s="600">
        <v>1</v>
      </c>
      <c r="O177" s="72" t="str">
        <f t="shared" si="253"/>
        <v>Gas</v>
      </c>
      <c r="P177" s="7">
        <f>VLOOKUP(D177,'2018 Plan Data'!$A$4:$K$1000,11,FALSE)</f>
        <v>20</v>
      </c>
      <c r="Q177" s="652">
        <f>VLOOKUP(D177,'2018 Plan Data'!$A$4:$L$1000,12,FALSE)</f>
        <v>0</v>
      </c>
      <c r="R177" s="314">
        <f>'BUS Measure-Model Summary'!D649</f>
        <v>0</v>
      </c>
      <c r="T177" s="314">
        <f>'BUS Measure-Model Summary'!E649</f>
        <v>0</v>
      </c>
      <c r="V177" s="314">
        <f>'BUS Measure-Model Summary'!F649</f>
        <v>172.09</v>
      </c>
      <c r="AD177" s="309">
        <f>'BUS Measure-Model Summary'!I639</f>
        <v>0.9</v>
      </c>
      <c r="AE177" s="309">
        <f t="shared" si="250"/>
        <v>0.9</v>
      </c>
      <c r="AF177" s="309">
        <f t="shared" si="250"/>
        <v>0.9</v>
      </c>
      <c r="AG177" s="309">
        <f t="shared" si="250"/>
        <v>0.9</v>
      </c>
      <c r="AH177" s="314">
        <f t="shared" si="254"/>
        <v>0</v>
      </c>
      <c r="AI177" s="314">
        <f t="shared" si="255"/>
        <v>0</v>
      </c>
      <c r="AJ177" s="314">
        <f t="shared" si="256"/>
        <v>0</v>
      </c>
      <c r="AK177" s="314">
        <f t="shared" si="257"/>
        <v>0</v>
      </c>
      <c r="AL177" s="309">
        <f t="shared" si="258"/>
        <v>0.9</v>
      </c>
      <c r="AM177" s="309">
        <f t="shared" si="259"/>
        <v>0.9</v>
      </c>
      <c r="AN177" s="309">
        <f t="shared" si="260"/>
        <v>0.9</v>
      </c>
      <c r="AO177" s="309">
        <f t="shared" si="261"/>
        <v>0.9</v>
      </c>
      <c r="AP177" s="446">
        <f t="shared" si="262"/>
        <v>0</v>
      </c>
      <c r="AQ177" s="446">
        <f t="shared" si="263"/>
        <v>0</v>
      </c>
      <c r="AR177" s="446">
        <f t="shared" si="264"/>
        <v>0</v>
      </c>
      <c r="AS177" s="446">
        <f t="shared" si="265"/>
        <v>0</v>
      </c>
      <c r="AT177" s="309">
        <f t="shared" si="245"/>
        <v>0.9</v>
      </c>
      <c r="AU177" s="309">
        <f t="shared" si="251"/>
        <v>0.9</v>
      </c>
      <c r="AV177" s="309">
        <f t="shared" si="251"/>
        <v>0.9</v>
      </c>
      <c r="AW177" s="309">
        <f t="shared" si="251"/>
        <v>0.9</v>
      </c>
      <c r="AX177" s="243">
        <f t="shared" si="266"/>
        <v>154.881</v>
      </c>
      <c r="AY177" s="243">
        <f t="shared" si="267"/>
        <v>154.881</v>
      </c>
      <c r="AZ177" s="243">
        <f t="shared" si="268"/>
        <v>154.881</v>
      </c>
      <c r="BA177" s="243">
        <f t="shared" si="269"/>
        <v>154.881</v>
      </c>
      <c r="BB177" s="243">
        <f>VLOOKUP($D177,'2018 Plan Data'!$A$4:$K$2000,6,FALSE)</f>
        <v>1</v>
      </c>
      <c r="BC177" s="243">
        <f>VLOOKUP($D177,'2018 Plan Data'!$A$4:$K$2000,7,FALSE)</f>
        <v>1</v>
      </c>
      <c r="BD177" s="243">
        <f>VLOOKUP($D177,'2018 Plan Data'!$A$4:$K$2000,8,FALSE)</f>
        <v>1</v>
      </c>
      <c r="BE177" s="243">
        <f>VLOOKUP($D177,'2018 Plan Data'!$A$4:$K$2000,9,FALSE)</f>
        <v>1</v>
      </c>
      <c r="BF177" s="243">
        <f t="shared" si="201"/>
        <v>0</v>
      </c>
      <c r="BG177" s="243">
        <f t="shared" si="202"/>
        <v>0</v>
      </c>
      <c r="BH177" s="243">
        <f t="shared" si="203"/>
        <v>0</v>
      </c>
      <c r="BI177" s="243">
        <f t="shared" si="204"/>
        <v>0</v>
      </c>
      <c r="BJ177" s="243">
        <f t="shared" si="205"/>
        <v>172.09</v>
      </c>
      <c r="BK177" s="243">
        <f t="shared" si="206"/>
        <v>172.09</v>
      </c>
      <c r="BL177" s="243">
        <f t="shared" si="207"/>
        <v>172.09</v>
      </c>
      <c r="BM177" s="243">
        <f t="shared" si="208"/>
        <v>172.09</v>
      </c>
      <c r="BN177" s="243">
        <f t="shared" si="246"/>
        <v>0</v>
      </c>
      <c r="BO177" s="243">
        <f t="shared" si="247"/>
        <v>0</v>
      </c>
      <c r="BP177" s="243">
        <f t="shared" si="248"/>
        <v>0</v>
      </c>
      <c r="BQ177" s="243">
        <f t="shared" si="249"/>
        <v>0</v>
      </c>
      <c r="BR177" s="243">
        <f t="shared" si="270"/>
        <v>154.881</v>
      </c>
      <c r="BS177" s="243">
        <f t="shared" si="271"/>
        <v>154.881</v>
      </c>
      <c r="BT177" s="243">
        <f t="shared" si="272"/>
        <v>154.881</v>
      </c>
      <c r="BU177" s="243">
        <f t="shared" si="273"/>
        <v>154.881</v>
      </c>
      <c r="BV177" s="600"/>
      <c r="BW177" s="243">
        <f>ROUND(VLOOKUP($D177,'2018 Plan Data'!$A$4:$T$2000,13,FALSE),10)</f>
        <v>0</v>
      </c>
      <c r="BX177" s="314">
        <f>VLOOKUP($D177,'2018 Plan Data'!$A$4:$T$2000,14,FALSE)</f>
        <v>0</v>
      </c>
      <c r="BY177" s="314">
        <f>VLOOKUP($D177,'2018 Plan Data'!$A$4:$T$2000,15,FALSE)</f>
        <v>0</v>
      </c>
      <c r="BZ177" s="314">
        <f>VLOOKUP($D177,'2018 Plan Data'!$A$4:$T$2000,16,FALSE)</f>
        <v>0</v>
      </c>
      <c r="CA177" s="314">
        <f>IF(VLOOKUP($D177,'2018 Plan Data'!$A$4:$T$2000,17,FALSE)&gt;0,VLOOKUP($D177,'2018 Plan Data'!$A$4:$T$2000,17,FALSE),0)</f>
        <v>154.881</v>
      </c>
      <c r="CB177" s="314">
        <f>IF(VLOOKUP($D177,'2018 Plan Data'!$A$4:$T$2000,18,FALSE)&gt;0,VLOOKUP($D177,'2018 Plan Data'!$A$4:$T$2000,18,FALSE),0)</f>
        <v>154.881</v>
      </c>
      <c r="CC177" s="314">
        <f>IF(VLOOKUP($D177,'2018 Plan Data'!$A$4:$T$2000,19,FALSE)&gt;0,VLOOKUP($D177,'2018 Plan Data'!$A$4:$T$2000,19,FALSE),0)</f>
        <v>154.881</v>
      </c>
      <c r="CD177" s="314">
        <f>IF(VLOOKUP($D177,'2018 Plan Data'!$A$4:$T$2000,20,FALSE)&gt;0,VLOOKUP($D177,'2018 Plan Data'!$A$4:$T$2000,20,FALSE),0)</f>
        <v>154.881</v>
      </c>
      <c r="CE177" s="600" t="b">
        <f t="shared" si="213"/>
        <v>1</v>
      </c>
      <c r="CF177" s="600" t="b">
        <f t="shared" si="214"/>
        <v>1</v>
      </c>
      <c r="CG177" s="600" t="b">
        <f t="shared" si="215"/>
        <v>1</v>
      </c>
      <c r="CH177" s="600" t="b">
        <f t="shared" si="216"/>
        <v>1</v>
      </c>
      <c r="CI177" s="600" t="b">
        <f t="shared" si="217"/>
        <v>1</v>
      </c>
      <c r="CJ177" s="600" t="b">
        <f t="shared" si="218"/>
        <v>1</v>
      </c>
      <c r="CK177" s="600" t="b">
        <f t="shared" si="219"/>
        <v>1</v>
      </c>
      <c r="CL177" s="600" t="b">
        <f t="shared" si="220"/>
        <v>1</v>
      </c>
    </row>
    <row r="178" spans="1:349" s="600" customFormat="1" ht="15" customHeight="1" x14ac:dyDescent="0.35">
      <c r="A178" s="585">
        <f t="shared" si="252"/>
        <v>297</v>
      </c>
      <c r="B178" s="600" t="str">
        <f t="shared" si="200"/>
        <v>Business_Standard-Public Buildings</v>
      </c>
      <c r="D178" s="600">
        <v>297</v>
      </c>
      <c r="E178" s="600" t="s">
        <v>1944</v>
      </c>
      <c r="F178" s="600" t="str">
        <f>VLOOKUP(G178,Sheet4!$D$6:$E$22,2,FALSE)</f>
        <v>Standard</v>
      </c>
      <c r="G178" s="600" t="s">
        <v>1054</v>
      </c>
      <c r="H178" s="296" t="s">
        <v>197</v>
      </c>
      <c r="J178" s="72" t="s">
        <v>15</v>
      </c>
      <c r="K178" s="72" t="str">
        <f>INDEX('Measure Codes'!$F$4:$F$821,MATCH(H178,'Measure Codes'!$D$4:$D$821,0))</f>
        <v>4.3.1</v>
      </c>
      <c r="L178" s="72" t="str">
        <f>INDEX('Measure Codes'!$G$4:$G$821,MATCH(H178,'Measure Codes'!$D$4:$D$821,0))</f>
        <v>CI-HWE-STWH-V03-180101</v>
      </c>
      <c r="M178" s="600">
        <v>1</v>
      </c>
      <c r="O178" s="72" t="str">
        <f t="shared" si="253"/>
        <v>Gas</v>
      </c>
      <c r="P178" s="7">
        <f>VLOOKUP(D178,'2018 Plan Data'!$A$4:$K$1000,11,FALSE)</f>
        <v>15</v>
      </c>
      <c r="Q178" s="652">
        <f>VLOOKUP(D178,'2018 Plan Data'!$A$4:$L$1000,12,FALSE)</f>
        <v>0</v>
      </c>
      <c r="R178" s="314">
        <v>0</v>
      </c>
      <c r="S178" s="314"/>
      <c r="T178" s="314">
        <v>0</v>
      </c>
      <c r="U178" s="314"/>
      <c r="V178" s="314">
        <f>'BUS - BPWH4 PS (TRM)'!C13</f>
        <v>260.01075890667784</v>
      </c>
      <c r="W178" s="314"/>
      <c r="AD178" s="309">
        <f>'BUS Measure-Model Summary'!I640</f>
        <v>0.9</v>
      </c>
      <c r="AE178" s="309">
        <f t="shared" si="250"/>
        <v>0.9</v>
      </c>
      <c r="AF178" s="309">
        <f t="shared" si="250"/>
        <v>0.9</v>
      </c>
      <c r="AG178" s="309">
        <f t="shared" si="250"/>
        <v>0.9</v>
      </c>
      <c r="AH178" s="314">
        <f t="shared" si="254"/>
        <v>0</v>
      </c>
      <c r="AI178" s="314">
        <f t="shared" si="255"/>
        <v>0</v>
      </c>
      <c r="AJ178" s="314">
        <f t="shared" si="256"/>
        <v>0</v>
      </c>
      <c r="AK178" s="314">
        <f t="shared" si="257"/>
        <v>0</v>
      </c>
      <c r="AL178" s="309">
        <f t="shared" si="258"/>
        <v>0.9</v>
      </c>
      <c r="AM178" s="309">
        <f t="shared" si="259"/>
        <v>0.9</v>
      </c>
      <c r="AN178" s="309">
        <f t="shared" si="260"/>
        <v>0.9</v>
      </c>
      <c r="AO178" s="309">
        <f t="shared" si="261"/>
        <v>0.9</v>
      </c>
      <c r="AP178" s="446">
        <f t="shared" si="262"/>
        <v>0</v>
      </c>
      <c r="AQ178" s="446">
        <f t="shared" si="263"/>
        <v>0</v>
      </c>
      <c r="AR178" s="446">
        <f t="shared" si="264"/>
        <v>0</v>
      </c>
      <c r="AS178" s="446">
        <f t="shared" si="265"/>
        <v>0</v>
      </c>
      <c r="AT178" s="309">
        <f t="shared" si="245"/>
        <v>0.9</v>
      </c>
      <c r="AU178" s="309">
        <f t="shared" si="251"/>
        <v>0.9</v>
      </c>
      <c r="AV178" s="309">
        <f t="shared" si="251"/>
        <v>0.9</v>
      </c>
      <c r="AW178" s="309">
        <f t="shared" si="251"/>
        <v>0.9</v>
      </c>
      <c r="AX178" s="243">
        <f t="shared" si="266"/>
        <v>234.00968301601006</v>
      </c>
      <c r="AY178" s="243">
        <f t="shared" si="267"/>
        <v>234.00968301601006</v>
      </c>
      <c r="AZ178" s="243">
        <f t="shared" si="268"/>
        <v>234.00968301601006</v>
      </c>
      <c r="BA178" s="243">
        <f t="shared" si="269"/>
        <v>234.00968301601006</v>
      </c>
      <c r="BB178" s="243">
        <f>VLOOKUP($D178,'2018 Plan Data'!$A$4:$K$2000,6,FALSE)</f>
        <v>7</v>
      </c>
      <c r="BC178" s="243">
        <f>VLOOKUP($D178,'2018 Plan Data'!$A$4:$K$2000,7,FALSE)</f>
        <v>7</v>
      </c>
      <c r="BD178" s="243">
        <f>VLOOKUP($D178,'2018 Plan Data'!$A$4:$K$2000,8,FALSE)</f>
        <v>7</v>
      </c>
      <c r="BE178" s="243">
        <f>VLOOKUP($D178,'2018 Plan Data'!$A$4:$K$2000,9,FALSE)</f>
        <v>7</v>
      </c>
      <c r="BF178" s="243">
        <f t="shared" si="201"/>
        <v>0</v>
      </c>
      <c r="BG178" s="243">
        <f t="shared" si="202"/>
        <v>0</v>
      </c>
      <c r="BH178" s="243">
        <f t="shared" si="203"/>
        <v>0</v>
      </c>
      <c r="BI178" s="243">
        <f t="shared" si="204"/>
        <v>0</v>
      </c>
      <c r="BJ178" s="243">
        <f t="shared" si="205"/>
        <v>1820.0753123467448</v>
      </c>
      <c r="BK178" s="243">
        <f t="shared" si="206"/>
        <v>1820.0753123467448</v>
      </c>
      <c r="BL178" s="243">
        <f t="shared" si="207"/>
        <v>1820.0753123467448</v>
      </c>
      <c r="BM178" s="243">
        <f t="shared" si="208"/>
        <v>1820.0753123467448</v>
      </c>
      <c r="BN178" s="243">
        <f t="shared" si="246"/>
        <v>0</v>
      </c>
      <c r="BO178" s="243">
        <f t="shared" si="247"/>
        <v>0</v>
      </c>
      <c r="BP178" s="243">
        <f t="shared" si="248"/>
        <v>0</v>
      </c>
      <c r="BQ178" s="243">
        <f t="shared" si="249"/>
        <v>0</v>
      </c>
      <c r="BR178" s="243">
        <f t="shared" si="270"/>
        <v>1638.0677811120704</v>
      </c>
      <c r="BS178" s="243">
        <f t="shared" si="271"/>
        <v>1638.0677811120704</v>
      </c>
      <c r="BT178" s="243">
        <f t="shared" si="272"/>
        <v>1638.0677811120704</v>
      </c>
      <c r="BU178" s="243">
        <f t="shared" si="273"/>
        <v>1638.0677811120704</v>
      </c>
      <c r="BW178" s="243">
        <f>ROUND(VLOOKUP($D178,'2018 Plan Data'!$A$4:$T$2000,13,FALSE),10)</f>
        <v>0</v>
      </c>
      <c r="BX178" s="314">
        <f>VLOOKUP($D178,'2018 Plan Data'!$A$4:$T$2000,14,FALSE)</f>
        <v>0</v>
      </c>
      <c r="BY178" s="314">
        <f>VLOOKUP($D178,'2018 Plan Data'!$A$4:$T$2000,15,FALSE)</f>
        <v>0</v>
      </c>
      <c r="BZ178" s="314">
        <f>VLOOKUP($D178,'2018 Plan Data'!$A$4:$T$2000,16,FALSE)</f>
        <v>0</v>
      </c>
      <c r="CA178" s="314">
        <f>IF(VLOOKUP($D178,'2018 Plan Data'!$A$4:$T$2000,17,FALSE)&gt;0,VLOOKUP($D178,'2018 Plan Data'!$A$4:$T$2000,17,FALSE),0)</f>
        <v>475.31577688217118</v>
      </c>
      <c r="CB178" s="314">
        <f>IF(VLOOKUP($D178,'2018 Plan Data'!$A$4:$T$2000,18,FALSE)&gt;0,VLOOKUP($D178,'2018 Plan Data'!$A$4:$T$2000,18,FALSE),0)</f>
        <v>475.31577688217118</v>
      </c>
      <c r="CC178" s="314">
        <f>IF(VLOOKUP($D178,'2018 Plan Data'!$A$4:$T$2000,19,FALSE)&gt;0,VLOOKUP($D178,'2018 Plan Data'!$A$4:$T$2000,19,FALSE),0)</f>
        <v>475.31577688217118</v>
      </c>
      <c r="CD178" s="314">
        <f>IF(VLOOKUP($D178,'2018 Plan Data'!$A$4:$T$2000,20,FALSE)&gt;0,VLOOKUP($D178,'2018 Plan Data'!$A$4:$T$2000,20,FALSE),0)</f>
        <v>475.31577688217118</v>
      </c>
      <c r="CE178" s="600" t="b">
        <f t="shared" si="213"/>
        <v>1</v>
      </c>
      <c r="CF178" s="600" t="b">
        <f t="shared" si="214"/>
        <v>1</v>
      </c>
      <c r="CG178" s="600" t="b">
        <f t="shared" si="215"/>
        <v>1</v>
      </c>
      <c r="CH178" s="600" t="b">
        <f t="shared" si="216"/>
        <v>1</v>
      </c>
      <c r="CI178" s="600" t="b">
        <f t="shared" si="217"/>
        <v>0</v>
      </c>
      <c r="CJ178" s="600" t="b">
        <f t="shared" si="218"/>
        <v>0</v>
      </c>
      <c r="CK178" s="600" t="b">
        <f t="shared" si="219"/>
        <v>0</v>
      </c>
      <c r="CL178" s="600" t="b">
        <f t="shared" si="220"/>
        <v>0</v>
      </c>
      <c r="CM178" s="585"/>
      <c r="CN178" s="585"/>
      <c r="CO178" s="585"/>
      <c r="CP178" s="585"/>
      <c r="CQ178" s="585"/>
      <c r="CR178" s="585"/>
      <c r="CS178" s="585"/>
      <c r="CT178" s="585"/>
      <c r="CU178" s="585"/>
      <c r="CV178" s="585"/>
      <c r="CW178" s="585"/>
      <c r="CX178" s="585"/>
      <c r="CY178" s="585"/>
      <c r="CZ178" s="585"/>
      <c r="DA178" s="585"/>
      <c r="DB178" s="585"/>
      <c r="DC178" s="585"/>
      <c r="DD178" s="585"/>
      <c r="DE178" s="585"/>
      <c r="DF178" s="585"/>
      <c r="DG178" s="585"/>
      <c r="DH178" s="585"/>
      <c r="DI178" s="585"/>
      <c r="DJ178" s="585"/>
      <c r="DK178" s="585"/>
      <c r="DL178" s="585"/>
      <c r="DM178" s="585"/>
      <c r="DN178" s="585"/>
      <c r="DO178" s="585"/>
      <c r="DP178" s="585"/>
      <c r="DQ178" s="585"/>
      <c r="DR178" s="585"/>
      <c r="DS178" s="585"/>
      <c r="DT178" s="585"/>
      <c r="DU178" s="585"/>
      <c r="DV178" s="585"/>
      <c r="DW178" s="585"/>
      <c r="DX178" s="585"/>
      <c r="DY178" s="585"/>
      <c r="DZ178" s="585"/>
      <c r="EA178" s="585"/>
      <c r="EB178" s="585"/>
      <c r="EC178" s="585"/>
      <c r="ED178" s="585"/>
      <c r="EE178" s="585"/>
      <c r="EF178" s="585"/>
      <c r="EG178" s="585"/>
      <c r="EH178" s="585"/>
      <c r="EI178" s="585"/>
      <c r="EJ178" s="585"/>
      <c r="EK178" s="585"/>
      <c r="EL178" s="585"/>
      <c r="EM178" s="585"/>
      <c r="EN178" s="585"/>
      <c r="EO178" s="585"/>
      <c r="EP178" s="585"/>
      <c r="EQ178" s="585"/>
      <c r="ER178" s="585"/>
      <c r="ES178" s="585"/>
      <c r="ET178" s="585"/>
      <c r="EU178" s="585"/>
      <c r="EV178" s="585"/>
      <c r="EW178" s="585"/>
      <c r="EX178" s="585"/>
      <c r="EY178" s="585"/>
      <c r="EZ178" s="585"/>
      <c r="FA178" s="585"/>
      <c r="FB178" s="585"/>
      <c r="FC178" s="585"/>
      <c r="FD178" s="585"/>
      <c r="FE178" s="585"/>
      <c r="FF178" s="585"/>
      <c r="FG178" s="585"/>
      <c r="FH178" s="585"/>
      <c r="FI178" s="585"/>
      <c r="FJ178" s="585"/>
      <c r="FK178" s="585"/>
      <c r="FL178" s="585"/>
      <c r="FM178" s="585"/>
      <c r="FN178" s="585"/>
      <c r="FO178" s="585"/>
      <c r="FP178" s="585"/>
      <c r="FQ178" s="585"/>
      <c r="FR178" s="585"/>
      <c r="FS178" s="585"/>
      <c r="FT178" s="585"/>
      <c r="FU178" s="585"/>
      <c r="FV178" s="585"/>
      <c r="FW178" s="585"/>
      <c r="FX178" s="585"/>
      <c r="FY178" s="585"/>
      <c r="FZ178" s="585"/>
      <c r="GA178" s="585"/>
      <c r="GB178" s="585"/>
      <c r="GC178" s="585"/>
      <c r="GD178" s="585"/>
      <c r="GE178" s="585"/>
      <c r="GF178" s="585"/>
      <c r="GG178" s="585"/>
      <c r="GH178" s="585"/>
      <c r="GI178" s="585"/>
      <c r="GJ178" s="585"/>
      <c r="GK178" s="585"/>
      <c r="GL178" s="585"/>
      <c r="GM178" s="585"/>
      <c r="GN178" s="585"/>
      <c r="GO178" s="585"/>
      <c r="GP178" s="585"/>
      <c r="GQ178" s="585"/>
      <c r="GR178" s="585"/>
      <c r="GS178" s="585"/>
      <c r="GT178" s="585"/>
      <c r="GU178" s="585"/>
      <c r="GV178" s="585"/>
      <c r="GW178" s="585"/>
      <c r="GX178" s="585"/>
      <c r="GY178" s="585"/>
      <c r="GZ178" s="585"/>
      <c r="HA178" s="585"/>
      <c r="HB178" s="585"/>
      <c r="HC178" s="585"/>
      <c r="HD178" s="585"/>
      <c r="HE178" s="585"/>
      <c r="HF178" s="585"/>
      <c r="HG178" s="585"/>
      <c r="HH178" s="585"/>
      <c r="HI178" s="585"/>
      <c r="HJ178" s="585"/>
      <c r="HK178" s="585"/>
      <c r="HL178" s="585"/>
      <c r="HM178" s="585"/>
      <c r="HN178" s="585"/>
      <c r="HO178" s="585"/>
      <c r="HP178" s="585"/>
      <c r="HQ178" s="585"/>
      <c r="HR178" s="585"/>
      <c r="HS178" s="585"/>
      <c r="HT178" s="585"/>
      <c r="HU178" s="585"/>
      <c r="HV178" s="585"/>
      <c r="HW178" s="585"/>
      <c r="HX178" s="585"/>
      <c r="HY178" s="585"/>
      <c r="HZ178" s="585"/>
      <c r="IA178" s="585"/>
      <c r="IB178" s="585"/>
      <c r="IC178" s="585"/>
      <c r="ID178" s="585"/>
      <c r="IE178" s="585"/>
      <c r="IF178" s="585"/>
      <c r="IG178" s="585"/>
      <c r="IH178" s="585"/>
      <c r="II178" s="585"/>
      <c r="IJ178" s="585"/>
      <c r="IK178" s="585"/>
      <c r="IL178" s="585"/>
      <c r="IM178" s="585"/>
      <c r="IN178" s="585"/>
      <c r="IO178" s="585"/>
      <c r="IP178" s="585"/>
      <c r="IQ178" s="585"/>
      <c r="IR178" s="585"/>
      <c r="IS178" s="585"/>
      <c r="IT178" s="585"/>
      <c r="IU178" s="585"/>
      <c r="IV178" s="585"/>
      <c r="IW178" s="585"/>
      <c r="IX178" s="585"/>
      <c r="IY178" s="585"/>
      <c r="IZ178" s="585"/>
      <c r="JA178" s="585"/>
      <c r="JB178" s="585"/>
      <c r="JC178" s="585"/>
      <c r="JD178" s="585"/>
      <c r="JE178" s="585"/>
      <c r="JF178" s="585"/>
      <c r="JG178" s="585"/>
      <c r="JH178" s="585"/>
      <c r="JI178" s="585"/>
      <c r="JJ178" s="585"/>
      <c r="JK178" s="585"/>
      <c r="JL178" s="585"/>
      <c r="JM178" s="585"/>
      <c r="JN178" s="585"/>
      <c r="JO178" s="585"/>
      <c r="JP178" s="585"/>
      <c r="JQ178" s="585"/>
      <c r="JR178" s="585"/>
      <c r="JS178" s="585"/>
      <c r="JT178" s="585"/>
      <c r="JU178" s="585"/>
      <c r="JV178" s="585"/>
      <c r="JW178" s="585"/>
      <c r="JX178" s="585"/>
      <c r="JY178" s="585"/>
      <c r="JZ178" s="585"/>
      <c r="KA178" s="585"/>
      <c r="KB178" s="585"/>
      <c r="KC178" s="585"/>
      <c r="KD178" s="585"/>
      <c r="KE178" s="585"/>
      <c r="KF178" s="585"/>
      <c r="KG178" s="585"/>
      <c r="KH178" s="585"/>
      <c r="KI178" s="585"/>
      <c r="KJ178" s="585"/>
      <c r="KK178" s="585"/>
      <c r="KL178" s="585"/>
      <c r="KM178" s="585"/>
      <c r="KN178" s="585"/>
      <c r="KO178" s="585"/>
      <c r="KP178" s="585"/>
      <c r="KQ178" s="585"/>
      <c r="KR178" s="585"/>
      <c r="KS178" s="585"/>
      <c r="KT178" s="585"/>
      <c r="KU178" s="585"/>
      <c r="KV178" s="585"/>
      <c r="KW178" s="585"/>
      <c r="KX178" s="585"/>
      <c r="KY178" s="585"/>
      <c r="KZ178" s="585"/>
      <c r="LA178" s="585"/>
      <c r="LB178" s="585"/>
      <c r="LC178" s="585"/>
      <c r="LD178" s="585"/>
      <c r="LE178" s="585"/>
      <c r="LF178" s="585"/>
      <c r="LG178" s="585"/>
      <c r="LH178" s="585"/>
      <c r="LI178" s="585"/>
      <c r="LJ178" s="585"/>
      <c r="LK178" s="585"/>
      <c r="LL178" s="585"/>
      <c r="LM178" s="585"/>
      <c r="LN178" s="585"/>
      <c r="LO178" s="585"/>
      <c r="LP178" s="585"/>
      <c r="LQ178" s="585"/>
      <c r="LR178" s="585"/>
      <c r="LS178" s="585"/>
      <c r="LT178" s="585"/>
      <c r="LU178" s="585"/>
      <c r="LV178" s="585"/>
      <c r="LW178" s="585"/>
      <c r="LX178" s="585"/>
      <c r="LY178" s="585"/>
      <c r="LZ178" s="585"/>
      <c r="MA178" s="585"/>
      <c r="MB178" s="585"/>
      <c r="MC178" s="585"/>
      <c r="MD178" s="585"/>
      <c r="ME178" s="585"/>
      <c r="MF178" s="585"/>
      <c r="MG178" s="585"/>
      <c r="MH178" s="585"/>
      <c r="MI178" s="585"/>
      <c r="MJ178" s="585"/>
      <c r="MK178" s="585"/>
    </row>
    <row r="179" spans="1:349" s="600" customFormat="1" ht="15" customHeight="1" x14ac:dyDescent="0.35">
      <c r="A179" s="585">
        <f t="shared" si="252"/>
        <v>300</v>
      </c>
      <c r="B179" s="600" t="str">
        <f t="shared" si="200"/>
        <v>Business_Standard-Public Buildings</v>
      </c>
      <c r="D179" s="600">
        <v>300</v>
      </c>
      <c r="E179" s="600" t="s">
        <v>1944</v>
      </c>
      <c r="F179" s="600" t="str">
        <f>VLOOKUP(G179,Sheet4!$D$6:$E$22,2,FALSE)</f>
        <v>Standard</v>
      </c>
      <c r="G179" s="600" t="s">
        <v>1054</v>
      </c>
      <c r="H179" s="296" t="s">
        <v>198</v>
      </c>
      <c r="J179" s="72" t="s">
        <v>15</v>
      </c>
      <c r="K179" s="72" t="str">
        <f>INDEX('Measure Codes'!$F$4:$F$821,MATCH(H179,'Measure Codes'!$D$4:$D$821,0))</f>
        <v>4.3.1</v>
      </c>
      <c r="L179" s="72" t="str">
        <f>INDEX('Measure Codes'!$G$4:$G$821,MATCH(H179,'Measure Codes'!$D$4:$D$821,0))</f>
        <v>CI-HWE-STWH-V03-180101</v>
      </c>
      <c r="M179" s="600">
        <v>1</v>
      </c>
      <c r="O179" s="72" t="str">
        <f t="shared" si="253"/>
        <v>Gas</v>
      </c>
      <c r="P179" s="7">
        <f>VLOOKUP(D179,'2018 Plan Data'!$A$4:$K$1000,11,FALSE)</f>
        <v>15</v>
      </c>
      <c r="Q179" s="652">
        <f>VLOOKUP(D179,'2018 Plan Data'!$A$4:$L$1000,12,FALSE)</f>
        <v>0</v>
      </c>
      <c r="R179" s="314">
        <v>0</v>
      </c>
      <c r="S179" s="314"/>
      <c r="T179" s="314">
        <v>0</v>
      </c>
      <c r="U179" s="314"/>
      <c r="V179" s="314">
        <f>'BUS - BPWH5 PS (TRM)'!C13</f>
        <v>247.37013236270545</v>
      </c>
      <c r="W179" s="314"/>
      <c r="AD179" s="309">
        <f>'BUS Measure-Model Summary'!I641</f>
        <v>0.9</v>
      </c>
      <c r="AE179" s="309">
        <f t="shared" si="250"/>
        <v>0.9</v>
      </c>
      <c r="AF179" s="309">
        <f t="shared" si="250"/>
        <v>0.9</v>
      </c>
      <c r="AG179" s="309">
        <f t="shared" si="250"/>
        <v>0.9</v>
      </c>
      <c r="AH179" s="314">
        <f t="shared" si="254"/>
        <v>0</v>
      </c>
      <c r="AI179" s="314">
        <f t="shared" si="255"/>
        <v>0</v>
      </c>
      <c r="AJ179" s="314">
        <f t="shared" si="256"/>
        <v>0</v>
      </c>
      <c r="AK179" s="314">
        <f t="shared" si="257"/>
        <v>0</v>
      </c>
      <c r="AL179" s="309">
        <f t="shared" si="258"/>
        <v>0.9</v>
      </c>
      <c r="AM179" s="309">
        <f t="shared" si="259"/>
        <v>0.9</v>
      </c>
      <c r="AN179" s="309">
        <f t="shared" si="260"/>
        <v>0.9</v>
      </c>
      <c r="AO179" s="309">
        <f t="shared" si="261"/>
        <v>0.9</v>
      </c>
      <c r="AP179" s="446">
        <f t="shared" si="262"/>
        <v>0</v>
      </c>
      <c r="AQ179" s="446">
        <f t="shared" si="263"/>
        <v>0</v>
      </c>
      <c r="AR179" s="446">
        <f t="shared" si="264"/>
        <v>0</v>
      </c>
      <c r="AS179" s="446">
        <f t="shared" si="265"/>
        <v>0</v>
      </c>
      <c r="AT179" s="309">
        <f t="shared" si="245"/>
        <v>0.9</v>
      </c>
      <c r="AU179" s="309">
        <f t="shared" si="251"/>
        <v>0.9</v>
      </c>
      <c r="AV179" s="309">
        <f t="shared" si="251"/>
        <v>0.9</v>
      </c>
      <c r="AW179" s="309">
        <f t="shared" si="251"/>
        <v>0.9</v>
      </c>
      <c r="AX179" s="243">
        <f t="shared" si="266"/>
        <v>222.63311912643491</v>
      </c>
      <c r="AY179" s="243">
        <f t="shared" si="267"/>
        <v>222.63311912643491</v>
      </c>
      <c r="AZ179" s="243">
        <f t="shared" si="268"/>
        <v>222.63311912643491</v>
      </c>
      <c r="BA179" s="243">
        <f t="shared" si="269"/>
        <v>222.63311912643491</v>
      </c>
      <c r="BB179" s="243">
        <f>VLOOKUP($D179,'2018 Plan Data'!$A$4:$K$2000,6,FALSE)</f>
        <v>7</v>
      </c>
      <c r="BC179" s="243">
        <f>VLOOKUP($D179,'2018 Plan Data'!$A$4:$K$2000,7,FALSE)</f>
        <v>7</v>
      </c>
      <c r="BD179" s="243">
        <f>VLOOKUP($D179,'2018 Plan Data'!$A$4:$K$2000,8,FALSE)</f>
        <v>7</v>
      </c>
      <c r="BE179" s="243">
        <f>VLOOKUP($D179,'2018 Plan Data'!$A$4:$K$2000,9,FALSE)</f>
        <v>7</v>
      </c>
      <c r="BF179" s="243">
        <f t="shared" si="201"/>
        <v>0</v>
      </c>
      <c r="BG179" s="243">
        <f t="shared" si="202"/>
        <v>0</v>
      </c>
      <c r="BH179" s="243">
        <f t="shared" si="203"/>
        <v>0</v>
      </c>
      <c r="BI179" s="243">
        <f t="shared" si="204"/>
        <v>0</v>
      </c>
      <c r="BJ179" s="243">
        <f t="shared" si="205"/>
        <v>1731.5909265389382</v>
      </c>
      <c r="BK179" s="243">
        <f t="shared" si="206"/>
        <v>1731.5909265389382</v>
      </c>
      <c r="BL179" s="243">
        <f t="shared" si="207"/>
        <v>1731.5909265389382</v>
      </c>
      <c r="BM179" s="243">
        <f t="shared" si="208"/>
        <v>1731.5909265389382</v>
      </c>
      <c r="BN179" s="243">
        <f t="shared" si="246"/>
        <v>0</v>
      </c>
      <c r="BO179" s="243">
        <f t="shared" si="247"/>
        <v>0</v>
      </c>
      <c r="BP179" s="243">
        <f t="shared" si="248"/>
        <v>0</v>
      </c>
      <c r="BQ179" s="243">
        <f t="shared" si="249"/>
        <v>0</v>
      </c>
      <c r="BR179" s="243">
        <f t="shared" si="270"/>
        <v>1558.4318338850444</v>
      </c>
      <c r="BS179" s="243">
        <f t="shared" si="271"/>
        <v>1558.4318338850444</v>
      </c>
      <c r="BT179" s="243">
        <f t="shared" si="272"/>
        <v>1558.4318338850444</v>
      </c>
      <c r="BU179" s="243">
        <f t="shared" si="273"/>
        <v>1558.4318338850444</v>
      </c>
      <c r="BW179" s="243">
        <f>ROUND(VLOOKUP($D179,'2018 Plan Data'!$A$4:$T$2000,13,FALSE),10)</f>
        <v>0</v>
      </c>
      <c r="BX179" s="314">
        <f>VLOOKUP($D179,'2018 Plan Data'!$A$4:$T$2000,14,FALSE)</f>
        <v>0</v>
      </c>
      <c r="BY179" s="314">
        <f>VLOOKUP($D179,'2018 Plan Data'!$A$4:$T$2000,15,FALSE)</f>
        <v>0</v>
      </c>
      <c r="BZ179" s="314">
        <f>VLOOKUP($D179,'2018 Plan Data'!$A$4:$T$2000,16,FALSE)</f>
        <v>0</v>
      </c>
      <c r="CA179" s="314">
        <f>IF(VLOOKUP($D179,'2018 Plan Data'!$A$4:$T$2000,17,FALSE)&gt;0,VLOOKUP($D179,'2018 Plan Data'!$A$4:$T$2000,17,FALSE),0)</f>
        <v>395.67982965514517</v>
      </c>
      <c r="CB179" s="314">
        <f>IF(VLOOKUP($D179,'2018 Plan Data'!$A$4:$T$2000,18,FALSE)&gt;0,VLOOKUP($D179,'2018 Plan Data'!$A$4:$T$2000,18,FALSE),0)</f>
        <v>395.67982965514517</v>
      </c>
      <c r="CC179" s="314">
        <f>IF(VLOOKUP($D179,'2018 Plan Data'!$A$4:$T$2000,19,FALSE)&gt;0,VLOOKUP($D179,'2018 Plan Data'!$A$4:$T$2000,19,FALSE),0)</f>
        <v>395.67982965514517</v>
      </c>
      <c r="CD179" s="314">
        <f>IF(VLOOKUP($D179,'2018 Plan Data'!$A$4:$T$2000,20,FALSE)&gt;0,VLOOKUP($D179,'2018 Plan Data'!$A$4:$T$2000,20,FALSE),0)</f>
        <v>395.67982965514517</v>
      </c>
      <c r="CE179" s="600" t="b">
        <f t="shared" si="213"/>
        <v>1</v>
      </c>
      <c r="CF179" s="600" t="b">
        <f t="shared" si="214"/>
        <v>1</v>
      </c>
      <c r="CG179" s="600" t="b">
        <f t="shared" si="215"/>
        <v>1</v>
      </c>
      <c r="CH179" s="600" t="b">
        <f t="shared" si="216"/>
        <v>1</v>
      </c>
      <c r="CI179" s="600" t="b">
        <f t="shared" si="217"/>
        <v>0</v>
      </c>
      <c r="CJ179" s="600" t="b">
        <f t="shared" si="218"/>
        <v>0</v>
      </c>
      <c r="CK179" s="600" t="b">
        <f t="shared" si="219"/>
        <v>0</v>
      </c>
      <c r="CL179" s="600" t="b">
        <f t="shared" si="220"/>
        <v>0</v>
      </c>
      <c r="CM179" s="585"/>
      <c r="CN179" s="585"/>
      <c r="CO179" s="585"/>
      <c r="CP179" s="585"/>
      <c r="CQ179" s="585"/>
      <c r="CR179" s="585"/>
      <c r="CS179" s="585"/>
      <c r="CT179" s="585"/>
      <c r="CU179" s="585"/>
      <c r="CV179" s="585"/>
      <c r="CW179" s="585"/>
      <c r="CX179" s="585"/>
      <c r="CY179" s="585"/>
      <c r="CZ179" s="585"/>
      <c r="DA179" s="585"/>
      <c r="DB179" s="585"/>
      <c r="DC179" s="585"/>
      <c r="DD179" s="585"/>
      <c r="DE179" s="585"/>
      <c r="DF179" s="585"/>
      <c r="DG179" s="585"/>
      <c r="DH179" s="585"/>
      <c r="DI179" s="585"/>
      <c r="DJ179" s="585"/>
      <c r="DK179" s="585"/>
      <c r="DL179" s="585"/>
      <c r="DM179" s="585"/>
      <c r="DN179" s="585"/>
      <c r="DO179" s="585"/>
      <c r="DP179" s="585"/>
      <c r="DQ179" s="585"/>
      <c r="DR179" s="585"/>
      <c r="DS179" s="585"/>
      <c r="DT179" s="585"/>
      <c r="DU179" s="585"/>
      <c r="DV179" s="585"/>
      <c r="DW179" s="585"/>
      <c r="DX179" s="585"/>
      <c r="DY179" s="585"/>
      <c r="DZ179" s="585"/>
      <c r="EA179" s="585"/>
      <c r="EB179" s="585"/>
      <c r="EC179" s="585"/>
      <c r="ED179" s="585"/>
      <c r="EE179" s="585"/>
      <c r="EF179" s="585"/>
      <c r="EG179" s="585"/>
      <c r="EH179" s="585"/>
      <c r="EI179" s="585"/>
      <c r="EJ179" s="585"/>
      <c r="EK179" s="585"/>
      <c r="EL179" s="585"/>
      <c r="EM179" s="585"/>
      <c r="EN179" s="585"/>
      <c r="EO179" s="585"/>
      <c r="EP179" s="585"/>
      <c r="EQ179" s="585"/>
      <c r="ER179" s="585"/>
      <c r="ES179" s="585"/>
      <c r="ET179" s="585"/>
      <c r="EU179" s="585"/>
      <c r="EV179" s="585"/>
      <c r="EW179" s="585"/>
      <c r="EX179" s="585"/>
      <c r="EY179" s="585"/>
      <c r="EZ179" s="585"/>
      <c r="FA179" s="585"/>
      <c r="FB179" s="585"/>
      <c r="FC179" s="585"/>
      <c r="FD179" s="585"/>
      <c r="FE179" s="585"/>
      <c r="FF179" s="585"/>
      <c r="FG179" s="585"/>
      <c r="FH179" s="585"/>
      <c r="FI179" s="585"/>
      <c r="FJ179" s="585"/>
      <c r="FK179" s="585"/>
      <c r="FL179" s="585"/>
      <c r="FM179" s="585"/>
      <c r="FN179" s="585"/>
      <c r="FO179" s="585"/>
      <c r="FP179" s="585"/>
      <c r="FQ179" s="585"/>
      <c r="FR179" s="585"/>
      <c r="FS179" s="585"/>
      <c r="FT179" s="585"/>
      <c r="FU179" s="585"/>
      <c r="FV179" s="585"/>
      <c r="FW179" s="585"/>
      <c r="FX179" s="585"/>
      <c r="FY179" s="585"/>
      <c r="FZ179" s="585"/>
      <c r="GA179" s="585"/>
      <c r="GB179" s="585"/>
      <c r="GC179" s="585"/>
      <c r="GD179" s="585"/>
      <c r="GE179" s="585"/>
      <c r="GF179" s="585"/>
      <c r="GG179" s="585"/>
      <c r="GH179" s="585"/>
      <c r="GI179" s="585"/>
      <c r="GJ179" s="585"/>
      <c r="GK179" s="585"/>
      <c r="GL179" s="585"/>
      <c r="GM179" s="585"/>
      <c r="GN179" s="585"/>
      <c r="GO179" s="585"/>
      <c r="GP179" s="585"/>
      <c r="GQ179" s="585"/>
      <c r="GR179" s="585"/>
      <c r="GS179" s="585"/>
      <c r="GT179" s="585"/>
      <c r="GU179" s="585"/>
      <c r="GV179" s="585"/>
      <c r="GW179" s="585"/>
      <c r="GX179" s="585"/>
      <c r="GY179" s="585"/>
      <c r="GZ179" s="585"/>
      <c r="HA179" s="585"/>
      <c r="HB179" s="585"/>
      <c r="HC179" s="585"/>
      <c r="HD179" s="585"/>
      <c r="HE179" s="585"/>
      <c r="HF179" s="585"/>
      <c r="HG179" s="585"/>
      <c r="HH179" s="585"/>
      <c r="HI179" s="585"/>
      <c r="HJ179" s="585"/>
      <c r="HK179" s="585"/>
      <c r="HL179" s="585"/>
      <c r="HM179" s="585"/>
      <c r="HN179" s="585"/>
      <c r="HO179" s="585"/>
      <c r="HP179" s="585"/>
      <c r="HQ179" s="585"/>
      <c r="HR179" s="585"/>
      <c r="HS179" s="585"/>
      <c r="HT179" s="585"/>
      <c r="HU179" s="585"/>
      <c r="HV179" s="585"/>
      <c r="HW179" s="585"/>
      <c r="HX179" s="585"/>
      <c r="HY179" s="585"/>
      <c r="HZ179" s="585"/>
      <c r="IA179" s="585"/>
      <c r="IB179" s="585"/>
      <c r="IC179" s="585"/>
      <c r="ID179" s="585"/>
      <c r="IE179" s="585"/>
      <c r="IF179" s="585"/>
      <c r="IG179" s="585"/>
      <c r="IH179" s="585"/>
      <c r="II179" s="585"/>
      <c r="IJ179" s="585"/>
      <c r="IK179" s="585"/>
      <c r="IL179" s="585"/>
      <c r="IM179" s="585"/>
      <c r="IN179" s="585"/>
      <c r="IO179" s="585"/>
      <c r="IP179" s="585"/>
      <c r="IQ179" s="585"/>
      <c r="IR179" s="585"/>
      <c r="IS179" s="585"/>
      <c r="IT179" s="585"/>
      <c r="IU179" s="585"/>
      <c r="IV179" s="585"/>
      <c r="IW179" s="585"/>
      <c r="IX179" s="585"/>
      <c r="IY179" s="585"/>
      <c r="IZ179" s="585"/>
      <c r="JA179" s="585"/>
      <c r="JB179" s="585"/>
      <c r="JC179" s="585"/>
      <c r="JD179" s="585"/>
      <c r="JE179" s="585"/>
      <c r="JF179" s="585"/>
      <c r="JG179" s="585"/>
      <c r="JH179" s="585"/>
      <c r="JI179" s="585"/>
      <c r="JJ179" s="585"/>
      <c r="JK179" s="585"/>
      <c r="JL179" s="585"/>
      <c r="JM179" s="585"/>
      <c r="JN179" s="585"/>
      <c r="JO179" s="585"/>
      <c r="JP179" s="585"/>
      <c r="JQ179" s="585"/>
      <c r="JR179" s="585"/>
      <c r="JS179" s="585"/>
      <c r="JT179" s="585"/>
      <c r="JU179" s="585"/>
      <c r="JV179" s="585"/>
      <c r="JW179" s="585"/>
      <c r="JX179" s="585"/>
      <c r="JY179" s="585"/>
      <c r="JZ179" s="585"/>
      <c r="KA179" s="585"/>
      <c r="KB179" s="585"/>
      <c r="KC179" s="585"/>
      <c r="KD179" s="585"/>
      <c r="KE179" s="585"/>
      <c r="KF179" s="585"/>
      <c r="KG179" s="585"/>
      <c r="KH179" s="585"/>
      <c r="KI179" s="585"/>
      <c r="KJ179" s="585"/>
      <c r="KK179" s="585"/>
      <c r="KL179" s="585"/>
      <c r="KM179" s="585"/>
      <c r="KN179" s="585"/>
      <c r="KO179" s="585"/>
      <c r="KP179" s="585"/>
      <c r="KQ179" s="585"/>
      <c r="KR179" s="585"/>
      <c r="KS179" s="585"/>
      <c r="KT179" s="585"/>
      <c r="KU179" s="585"/>
      <c r="KV179" s="585"/>
      <c r="KW179" s="585"/>
      <c r="KX179" s="585"/>
      <c r="KY179" s="585"/>
      <c r="KZ179" s="585"/>
      <c r="LA179" s="585"/>
      <c r="LB179" s="585"/>
      <c r="LC179" s="585"/>
      <c r="LD179" s="585"/>
      <c r="LE179" s="585"/>
      <c r="LF179" s="585"/>
      <c r="LG179" s="585"/>
      <c r="LH179" s="585"/>
      <c r="LI179" s="585"/>
      <c r="LJ179" s="585"/>
      <c r="LK179" s="585"/>
      <c r="LL179" s="585"/>
      <c r="LM179" s="585"/>
      <c r="LN179" s="585"/>
      <c r="LO179" s="585"/>
      <c r="LP179" s="585"/>
      <c r="LQ179" s="585"/>
      <c r="LR179" s="585"/>
      <c r="LS179" s="585"/>
      <c r="LT179" s="585"/>
      <c r="LU179" s="585"/>
      <c r="LV179" s="585"/>
      <c r="LW179" s="585"/>
      <c r="LX179" s="585"/>
      <c r="LY179" s="585"/>
      <c r="LZ179" s="585"/>
      <c r="MA179" s="585"/>
      <c r="MB179" s="585"/>
      <c r="MC179" s="585"/>
      <c r="MD179" s="585"/>
      <c r="ME179" s="585"/>
      <c r="MF179" s="585"/>
      <c r="MG179" s="585"/>
      <c r="MH179" s="585"/>
      <c r="MI179" s="585"/>
      <c r="MJ179" s="585"/>
      <c r="MK179" s="585"/>
    </row>
    <row r="180" spans="1:349" ht="15" customHeight="1" x14ac:dyDescent="0.35">
      <c r="A180" s="585">
        <f t="shared" si="252"/>
        <v>295</v>
      </c>
      <c r="B180" s="600" t="str">
        <f t="shared" si="200"/>
        <v>Business_Standard-Public Buildings</v>
      </c>
      <c r="D180">
        <v>295</v>
      </c>
      <c r="E180" s="600" t="s">
        <v>1944</v>
      </c>
      <c r="F180" s="600" t="str">
        <f>VLOOKUP(G180,Sheet4!$D$6:$E$22,2,FALSE)</f>
        <v>Standard</v>
      </c>
      <c r="G180" s="600" t="s">
        <v>1054</v>
      </c>
      <c r="H180" s="296" t="s">
        <v>199</v>
      </c>
      <c r="K180" s="72" t="str">
        <f>INDEX('Measure Codes'!$F$4:$F$821,MATCH(H180,'Measure Codes'!$D$4:$D$821,0))</f>
        <v>4.2.3</v>
      </c>
      <c r="L180" s="72" t="str">
        <f>INDEX('Measure Codes'!$G$4:$G$821,MATCH(H180,'Measure Codes'!$D$4:$D$821,0))</f>
        <v>CI-FSE-STMC-V04-160601</v>
      </c>
      <c r="M180" s="600">
        <v>1</v>
      </c>
      <c r="O180" s="72" t="str">
        <f t="shared" si="253"/>
        <v>Gas</v>
      </c>
      <c r="P180" s="7">
        <f>VLOOKUP(D180,'2018 Plan Data'!$A$4:$K$1000,11,FALSE)</f>
        <v>12</v>
      </c>
      <c r="Q180" s="652">
        <f>VLOOKUP(D180,'2018 Plan Data'!$A$4:$L$1000,12,FALSE)</f>
        <v>0</v>
      </c>
      <c r="R180" s="314">
        <f>'BUS Measure-Model Summary'!D652</f>
        <v>0</v>
      </c>
      <c r="T180" s="314">
        <f>'BUS Measure-Model Summary'!E652</f>
        <v>0</v>
      </c>
      <c r="V180" s="314">
        <f>'BUS Measure-Model Summary'!F652</f>
        <v>1321</v>
      </c>
      <c r="AD180" s="309">
        <f>'BUS Measure-Model Summary'!I642</f>
        <v>0.9</v>
      </c>
      <c r="AE180" s="309">
        <f t="shared" si="250"/>
        <v>0.9</v>
      </c>
      <c r="AF180" s="309">
        <f t="shared" si="250"/>
        <v>0.9</v>
      </c>
      <c r="AG180" s="309">
        <f t="shared" si="250"/>
        <v>0.9</v>
      </c>
      <c r="AH180" s="314">
        <f t="shared" si="254"/>
        <v>0</v>
      </c>
      <c r="AI180" s="314">
        <f t="shared" si="255"/>
        <v>0</v>
      </c>
      <c r="AJ180" s="314">
        <f t="shared" si="256"/>
        <v>0</v>
      </c>
      <c r="AK180" s="314">
        <f t="shared" si="257"/>
        <v>0</v>
      </c>
      <c r="AL180" s="309">
        <f t="shared" si="258"/>
        <v>0.9</v>
      </c>
      <c r="AM180" s="309">
        <f t="shared" si="259"/>
        <v>0.9</v>
      </c>
      <c r="AN180" s="309">
        <f t="shared" si="260"/>
        <v>0.9</v>
      </c>
      <c r="AO180" s="309">
        <f t="shared" si="261"/>
        <v>0.9</v>
      </c>
      <c r="AP180" s="446">
        <f t="shared" si="262"/>
        <v>0</v>
      </c>
      <c r="AQ180" s="446">
        <f t="shared" si="263"/>
        <v>0</v>
      </c>
      <c r="AR180" s="446">
        <f t="shared" si="264"/>
        <v>0</v>
      </c>
      <c r="AS180" s="446">
        <f t="shared" si="265"/>
        <v>0</v>
      </c>
      <c r="AT180" s="309">
        <f t="shared" si="245"/>
        <v>0.9</v>
      </c>
      <c r="AU180" s="309">
        <f t="shared" si="251"/>
        <v>0.9</v>
      </c>
      <c r="AV180" s="309">
        <f t="shared" si="251"/>
        <v>0.9</v>
      </c>
      <c r="AW180" s="309">
        <f t="shared" si="251"/>
        <v>0.9</v>
      </c>
      <c r="AX180" s="243">
        <f t="shared" si="266"/>
        <v>1188.9000000000001</v>
      </c>
      <c r="AY180" s="243">
        <f t="shared" si="267"/>
        <v>1188.9000000000001</v>
      </c>
      <c r="AZ180" s="243">
        <f t="shared" si="268"/>
        <v>1188.9000000000001</v>
      </c>
      <c r="BA180" s="243">
        <f t="shared" si="269"/>
        <v>1188.9000000000001</v>
      </c>
      <c r="BB180" s="243">
        <f>VLOOKUP($D180,'2018 Plan Data'!$A$4:$K$2000,6,FALSE)</f>
        <v>0</v>
      </c>
      <c r="BC180" s="243">
        <f>VLOOKUP($D180,'2018 Plan Data'!$A$4:$K$2000,7,FALSE)</f>
        <v>1</v>
      </c>
      <c r="BD180" s="243">
        <f>VLOOKUP($D180,'2018 Plan Data'!$A$4:$K$2000,8,FALSE)</f>
        <v>0</v>
      </c>
      <c r="BE180" s="243">
        <f>VLOOKUP($D180,'2018 Plan Data'!$A$4:$K$2000,9,FALSE)</f>
        <v>0</v>
      </c>
      <c r="BF180" s="243">
        <f t="shared" si="201"/>
        <v>0</v>
      </c>
      <c r="BG180" s="243">
        <f t="shared" si="202"/>
        <v>0</v>
      </c>
      <c r="BH180" s="243">
        <f t="shared" si="203"/>
        <v>0</v>
      </c>
      <c r="BI180" s="243">
        <f t="shared" si="204"/>
        <v>0</v>
      </c>
      <c r="BJ180" s="243">
        <f t="shared" si="205"/>
        <v>0</v>
      </c>
      <c r="BK180" s="243">
        <f t="shared" si="206"/>
        <v>1321</v>
      </c>
      <c r="BL180" s="243">
        <f t="shared" si="207"/>
        <v>0</v>
      </c>
      <c r="BM180" s="243">
        <f t="shared" si="208"/>
        <v>0</v>
      </c>
      <c r="BN180" s="243">
        <f t="shared" si="246"/>
        <v>0</v>
      </c>
      <c r="BO180" s="243">
        <f t="shared" si="247"/>
        <v>0</v>
      </c>
      <c r="BP180" s="243">
        <f t="shared" si="248"/>
        <v>0</v>
      </c>
      <c r="BQ180" s="243">
        <f t="shared" si="249"/>
        <v>0</v>
      </c>
      <c r="BR180" s="243">
        <f t="shared" si="270"/>
        <v>0</v>
      </c>
      <c r="BS180" s="243">
        <f t="shared" si="271"/>
        <v>1188.9000000000001</v>
      </c>
      <c r="BT180" s="243">
        <f t="shared" si="272"/>
        <v>0</v>
      </c>
      <c r="BU180" s="243">
        <f t="shared" si="273"/>
        <v>0</v>
      </c>
      <c r="BV180" s="600"/>
      <c r="BW180" s="243">
        <f>ROUND(VLOOKUP($D180,'2018 Plan Data'!$A$4:$T$2000,13,FALSE),10)</f>
        <v>0</v>
      </c>
      <c r="BX180" s="314">
        <f>VLOOKUP($D180,'2018 Plan Data'!$A$4:$T$2000,14,FALSE)</f>
        <v>0</v>
      </c>
      <c r="BY180" s="314">
        <f>VLOOKUP($D180,'2018 Plan Data'!$A$4:$T$2000,15,FALSE)</f>
        <v>0</v>
      </c>
      <c r="BZ180" s="314">
        <f>VLOOKUP($D180,'2018 Plan Data'!$A$4:$T$2000,16,FALSE)</f>
        <v>0</v>
      </c>
      <c r="CA180" s="314">
        <f>IF(VLOOKUP($D180,'2018 Plan Data'!$A$4:$T$2000,17,FALSE)&gt;0,VLOOKUP($D180,'2018 Plan Data'!$A$4:$T$2000,17,FALSE),0)</f>
        <v>0</v>
      </c>
      <c r="CB180" s="314">
        <f>IF(VLOOKUP($D180,'2018 Plan Data'!$A$4:$T$2000,18,FALSE)&gt;0,VLOOKUP($D180,'2018 Plan Data'!$A$4:$T$2000,18,FALSE),0)</f>
        <v>1188.9000000000001</v>
      </c>
      <c r="CC180" s="314">
        <f>IF(VLOOKUP($D180,'2018 Plan Data'!$A$4:$T$2000,19,FALSE)&gt;0,VLOOKUP($D180,'2018 Plan Data'!$A$4:$T$2000,19,FALSE),0)</f>
        <v>0</v>
      </c>
      <c r="CD180" s="314">
        <f>IF(VLOOKUP($D180,'2018 Plan Data'!$A$4:$T$2000,20,FALSE)&gt;0,VLOOKUP($D180,'2018 Plan Data'!$A$4:$T$2000,20,FALSE),0)</f>
        <v>0</v>
      </c>
      <c r="CE180" s="600" t="b">
        <f t="shared" si="213"/>
        <v>1</v>
      </c>
      <c r="CF180" s="600" t="b">
        <f t="shared" si="214"/>
        <v>1</v>
      </c>
      <c r="CG180" s="600" t="b">
        <f t="shared" si="215"/>
        <v>1</v>
      </c>
      <c r="CH180" s="600" t="b">
        <f t="shared" si="216"/>
        <v>1</v>
      </c>
      <c r="CI180" s="600" t="b">
        <f t="shared" si="217"/>
        <v>1</v>
      </c>
      <c r="CJ180" s="600" t="b">
        <f t="shared" si="218"/>
        <v>1</v>
      </c>
      <c r="CK180" s="600" t="b">
        <f t="shared" si="219"/>
        <v>1</v>
      </c>
      <c r="CL180" s="600" t="b">
        <f t="shared" si="220"/>
        <v>1</v>
      </c>
    </row>
    <row r="181" spans="1:349" ht="15" customHeight="1" x14ac:dyDescent="0.35">
      <c r="A181" s="585">
        <f t="shared" si="252"/>
        <v>296</v>
      </c>
      <c r="B181" s="600" t="str">
        <f t="shared" si="200"/>
        <v>Business_Standard-Public Buildings</v>
      </c>
      <c r="D181">
        <v>296</v>
      </c>
      <c r="E181" s="600" t="s">
        <v>1944</v>
      </c>
      <c r="F181" s="600" t="str">
        <f>VLOOKUP(G181,Sheet4!$D$6:$E$22,2,FALSE)</f>
        <v>Standard</v>
      </c>
      <c r="G181" t="s">
        <v>1054</v>
      </c>
      <c r="H181" s="296" t="s">
        <v>200</v>
      </c>
      <c r="K181" s="72" t="str">
        <f>INDEX('Measure Codes'!$F$4:$F$821,MATCH(H181,'Measure Codes'!$D$4:$D$821,0))</f>
        <v>4.2.3</v>
      </c>
      <c r="L181" s="72" t="str">
        <f>INDEX('Measure Codes'!$G$4:$G$821,MATCH(H181,'Measure Codes'!$D$4:$D$821,0))</f>
        <v>CI-FSE-STMC-V04-160601</v>
      </c>
      <c r="M181" s="600">
        <v>1</v>
      </c>
      <c r="O181" s="72" t="str">
        <f t="shared" si="253"/>
        <v>Gas</v>
      </c>
      <c r="P181" s="7">
        <f>VLOOKUP(D181,'2018 Plan Data'!$A$4:$K$1000,11,FALSE)</f>
        <v>12</v>
      </c>
      <c r="Q181" s="652">
        <f>VLOOKUP(D181,'2018 Plan Data'!$A$4:$L$1000,12,FALSE)</f>
        <v>0</v>
      </c>
      <c r="R181" s="314">
        <f>'BUS Measure-Model Summary'!D653</f>
        <v>0</v>
      </c>
      <c r="T181" s="314">
        <f>'BUS Measure-Model Summary'!E653</f>
        <v>0</v>
      </c>
      <c r="V181" s="314">
        <f>'BUS Measure-Model Summary'!F653</f>
        <v>1591</v>
      </c>
      <c r="AD181" s="309">
        <f>'BUS Measure-Model Summary'!I643</f>
        <v>0.9</v>
      </c>
      <c r="AE181" s="309">
        <f t="shared" si="250"/>
        <v>0.9</v>
      </c>
      <c r="AF181" s="309">
        <f t="shared" si="250"/>
        <v>0.9</v>
      </c>
      <c r="AG181" s="309">
        <f t="shared" si="250"/>
        <v>0.9</v>
      </c>
      <c r="AH181" s="314">
        <f t="shared" si="254"/>
        <v>0</v>
      </c>
      <c r="AI181" s="314">
        <f t="shared" si="255"/>
        <v>0</v>
      </c>
      <c r="AJ181" s="314">
        <f t="shared" si="256"/>
        <v>0</v>
      </c>
      <c r="AK181" s="314">
        <f t="shared" si="257"/>
        <v>0</v>
      </c>
      <c r="AL181" s="309">
        <f t="shared" si="258"/>
        <v>0.9</v>
      </c>
      <c r="AM181" s="309">
        <f t="shared" si="259"/>
        <v>0.9</v>
      </c>
      <c r="AN181" s="309">
        <f t="shared" si="260"/>
        <v>0.9</v>
      </c>
      <c r="AO181" s="309">
        <f t="shared" si="261"/>
        <v>0.9</v>
      </c>
      <c r="AP181" s="446">
        <f t="shared" si="262"/>
        <v>0</v>
      </c>
      <c r="AQ181" s="446">
        <f t="shared" si="263"/>
        <v>0</v>
      </c>
      <c r="AR181" s="446">
        <f t="shared" si="264"/>
        <v>0</v>
      </c>
      <c r="AS181" s="446">
        <f t="shared" si="265"/>
        <v>0</v>
      </c>
      <c r="AT181" s="309">
        <f t="shared" si="245"/>
        <v>0.9</v>
      </c>
      <c r="AU181" s="309">
        <f t="shared" si="251"/>
        <v>0.9</v>
      </c>
      <c r="AV181" s="309">
        <f t="shared" si="251"/>
        <v>0.9</v>
      </c>
      <c r="AW181" s="309">
        <f t="shared" si="251"/>
        <v>0.9</v>
      </c>
      <c r="AX181" s="243">
        <f t="shared" si="266"/>
        <v>1431.9</v>
      </c>
      <c r="AY181" s="243">
        <f t="shared" si="267"/>
        <v>1431.9</v>
      </c>
      <c r="AZ181" s="243">
        <f t="shared" si="268"/>
        <v>1431.9</v>
      </c>
      <c r="BA181" s="243">
        <f t="shared" si="269"/>
        <v>1431.9</v>
      </c>
      <c r="BB181" s="243">
        <f>VLOOKUP($D181,'2018 Plan Data'!$A$4:$K$2000,6,FALSE)</f>
        <v>0</v>
      </c>
      <c r="BC181" s="243">
        <f>VLOOKUP($D181,'2018 Plan Data'!$A$4:$K$2000,7,FALSE)</f>
        <v>0</v>
      </c>
      <c r="BD181" s="243">
        <f>VLOOKUP($D181,'2018 Plan Data'!$A$4:$K$2000,8,FALSE)</f>
        <v>1</v>
      </c>
      <c r="BE181" s="243">
        <f>VLOOKUP($D181,'2018 Plan Data'!$A$4:$K$2000,9,FALSE)</f>
        <v>1</v>
      </c>
      <c r="BF181" s="243">
        <f t="shared" si="201"/>
        <v>0</v>
      </c>
      <c r="BG181" s="243">
        <f t="shared" si="202"/>
        <v>0</v>
      </c>
      <c r="BH181" s="243">
        <f t="shared" si="203"/>
        <v>0</v>
      </c>
      <c r="BI181" s="243">
        <f t="shared" si="204"/>
        <v>0</v>
      </c>
      <c r="BJ181" s="243">
        <f t="shared" si="205"/>
        <v>0</v>
      </c>
      <c r="BK181" s="243">
        <f t="shared" si="206"/>
        <v>0</v>
      </c>
      <c r="BL181" s="243">
        <f t="shared" si="207"/>
        <v>1591</v>
      </c>
      <c r="BM181" s="243">
        <f t="shared" si="208"/>
        <v>1591</v>
      </c>
      <c r="BN181" s="243">
        <f t="shared" si="246"/>
        <v>0</v>
      </c>
      <c r="BO181" s="243">
        <f t="shared" si="247"/>
        <v>0</v>
      </c>
      <c r="BP181" s="243">
        <f t="shared" si="248"/>
        <v>0</v>
      </c>
      <c r="BQ181" s="243">
        <f t="shared" si="249"/>
        <v>0</v>
      </c>
      <c r="BR181" s="243">
        <f t="shared" si="270"/>
        <v>0</v>
      </c>
      <c r="BS181" s="243">
        <f t="shared" si="271"/>
        <v>0</v>
      </c>
      <c r="BT181" s="243">
        <f t="shared" si="272"/>
        <v>1431.9</v>
      </c>
      <c r="BU181" s="243">
        <f t="shared" si="273"/>
        <v>1431.9</v>
      </c>
      <c r="BV181" s="600"/>
      <c r="BW181" s="243">
        <f>ROUND(VLOOKUP($D181,'2018 Plan Data'!$A$4:$T$2000,13,FALSE),10)</f>
        <v>0</v>
      </c>
      <c r="BX181" s="314">
        <f>VLOOKUP($D181,'2018 Plan Data'!$A$4:$T$2000,14,FALSE)</f>
        <v>0</v>
      </c>
      <c r="BY181" s="314">
        <f>VLOOKUP($D181,'2018 Plan Data'!$A$4:$T$2000,15,FALSE)</f>
        <v>0</v>
      </c>
      <c r="BZ181" s="314">
        <f>VLOOKUP($D181,'2018 Plan Data'!$A$4:$T$2000,16,FALSE)</f>
        <v>0</v>
      </c>
      <c r="CA181" s="314">
        <f>IF(VLOOKUP($D181,'2018 Plan Data'!$A$4:$T$2000,17,FALSE)&gt;0,VLOOKUP($D181,'2018 Plan Data'!$A$4:$T$2000,17,FALSE),0)</f>
        <v>0</v>
      </c>
      <c r="CB181" s="314">
        <f>IF(VLOOKUP($D181,'2018 Plan Data'!$A$4:$T$2000,18,FALSE)&gt;0,VLOOKUP($D181,'2018 Plan Data'!$A$4:$T$2000,18,FALSE),0)</f>
        <v>0</v>
      </c>
      <c r="CC181" s="314">
        <f>IF(VLOOKUP($D181,'2018 Plan Data'!$A$4:$T$2000,19,FALSE)&gt;0,VLOOKUP($D181,'2018 Plan Data'!$A$4:$T$2000,19,FALSE),0)</f>
        <v>1431.9</v>
      </c>
      <c r="CD181" s="314">
        <f>IF(VLOOKUP($D181,'2018 Plan Data'!$A$4:$T$2000,20,FALSE)&gt;0,VLOOKUP($D181,'2018 Plan Data'!$A$4:$T$2000,20,FALSE),0)</f>
        <v>1431.9</v>
      </c>
      <c r="CE181" s="600" t="b">
        <f t="shared" si="213"/>
        <v>1</v>
      </c>
      <c r="CF181" s="600" t="b">
        <f t="shared" si="214"/>
        <v>1</v>
      </c>
      <c r="CG181" s="600" t="b">
        <f t="shared" si="215"/>
        <v>1</v>
      </c>
      <c r="CH181" s="600" t="b">
        <f t="shared" si="216"/>
        <v>1</v>
      </c>
      <c r="CI181" s="600" t="b">
        <f t="shared" si="217"/>
        <v>1</v>
      </c>
      <c r="CJ181" s="600" t="b">
        <f t="shared" si="218"/>
        <v>1</v>
      </c>
      <c r="CK181" s="600" t="b">
        <f t="shared" si="219"/>
        <v>1</v>
      </c>
      <c r="CL181" s="600" t="b">
        <f t="shared" si="220"/>
        <v>1</v>
      </c>
    </row>
    <row r="182" spans="1:349" ht="15" customHeight="1" x14ac:dyDescent="0.35">
      <c r="A182" s="585">
        <f t="shared" si="252"/>
        <v>294</v>
      </c>
      <c r="B182" s="600" t="str">
        <f t="shared" si="200"/>
        <v>Business_Standard-Public Buildings</v>
      </c>
      <c r="D182">
        <v>294</v>
      </c>
      <c r="E182" s="600" t="s">
        <v>1944</v>
      </c>
      <c r="F182" s="600" t="str">
        <f>VLOOKUP(G182,Sheet4!$D$6:$E$22,2,FALSE)</f>
        <v>Standard</v>
      </c>
      <c r="G182" t="s">
        <v>1054</v>
      </c>
      <c r="H182" s="296" t="s">
        <v>201</v>
      </c>
      <c r="K182" s="72" t="str">
        <f>INDEX('Measure Codes'!$F$4:$F$821,MATCH(H182,'Measure Codes'!$D$4:$D$821,0))</f>
        <v>4.2.8</v>
      </c>
      <c r="L182" s="72" t="str">
        <f>INDEX('Measure Codes'!$G$4:$G$821,MATCH(H182,'Measure Codes'!$D$4:$D$821,0))</f>
        <v>CI-FSE-ESGR-V02-160601</v>
      </c>
      <c r="M182" s="600">
        <v>1</v>
      </c>
      <c r="O182" s="72" t="str">
        <f t="shared" si="253"/>
        <v>Gas</v>
      </c>
      <c r="P182" s="7">
        <f>VLOOKUP(D182,'2018 Plan Data'!$A$4:$K$1000,11,FALSE)</f>
        <v>12</v>
      </c>
      <c r="Q182" s="652">
        <f>VLOOKUP(D182,'2018 Plan Data'!$A$4:$L$1000,12,FALSE)</f>
        <v>0</v>
      </c>
      <c r="R182" s="314">
        <f>'BUS Measure-Model Summary'!D654</f>
        <v>0</v>
      </c>
      <c r="T182" s="314">
        <f>'BUS Measure-Model Summary'!E654</f>
        <v>0</v>
      </c>
      <c r="V182" s="314">
        <f>'BUS Measure-Model Summary'!F654</f>
        <v>149</v>
      </c>
      <c r="AD182" s="309">
        <f>'BUS Measure-Model Summary'!I644</f>
        <v>0.9</v>
      </c>
      <c r="AE182" s="309">
        <f t="shared" si="250"/>
        <v>0.9</v>
      </c>
      <c r="AF182" s="309">
        <f t="shared" si="250"/>
        <v>0.9</v>
      </c>
      <c r="AG182" s="309">
        <f t="shared" si="250"/>
        <v>0.9</v>
      </c>
      <c r="AH182" s="314">
        <f t="shared" si="254"/>
        <v>0</v>
      </c>
      <c r="AI182" s="314">
        <f t="shared" si="255"/>
        <v>0</v>
      </c>
      <c r="AJ182" s="314">
        <f t="shared" si="256"/>
        <v>0</v>
      </c>
      <c r="AK182" s="314">
        <f t="shared" si="257"/>
        <v>0</v>
      </c>
      <c r="AL182" s="309">
        <f t="shared" si="258"/>
        <v>0.9</v>
      </c>
      <c r="AM182" s="309">
        <f t="shared" si="259"/>
        <v>0.9</v>
      </c>
      <c r="AN182" s="309">
        <f t="shared" si="260"/>
        <v>0.9</v>
      </c>
      <c r="AO182" s="309">
        <f t="shared" si="261"/>
        <v>0.9</v>
      </c>
      <c r="AP182" s="446">
        <f t="shared" si="262"/>
        <v>0</v>
      </c>
      <c r="AQ182" s="446">
        <f t="shared" si="263"/>
        <v>0</v>
      </c>
      <c r="AR182" s="446">
        <f t="shared" si="264"/>
        <v>0</v>
      </c>
      <c r="AS182" s="446">
        <f t="shared" si="265"/>
        <v>0</v>
      </c>
      <c r="AT182" s="309">
        <f t="shared" si="245"/>
        <v>0.9</v>
      </c>
      <c r="AU182" s="309">
        <f t="shared" si="251"/>
        <v>0.9</v>
      </c>
      <c r="AV182" s="309">
        <f t="shared" si="251"/>
        <v>0.9</v>
      </c>
      <c r="AW182" s="309">
        <f t="shared" si="251"/>
        <v>0.9</v>
      </c>
      <c r="AX182" s="243">
        <f t="shared" si="266"/>
        <v>134.1</v>
      </c>
      <c r="AY182" s="243">
        <f t="shared" si="267"/>
        <v>134.1</v>
      </c>
      <c r="AZ182" s="243">
        <f t="shared" si="268"/>
        <v>134.1</v>
      </c>
      <c r="BA182" s="243">
        <f t="shared" si="269"/>
        <v>134.1</v>
      </c>
      <c r="BB182" s="243">
        <f>VLOOKUP($D182,'2018 Plan Data'!$A$4:$K$2000,6,FALSE)</f>
        <v>2</v>
      </c>
      <c r="BC182" s="243">
        <f>VLOOKUP($D182,'2018 Plan Data'!$A$4:$K$2000,7,FALSE)</f>
        <v>1</v>
      </c>
      <c r="BD182" s="243">
        <f>VLOOKUP($D182,'2018 Plan Data'!$A$4:$K$2000,8,FALSE)</f>
        <v>1</v>
      </c>
      <c r="BE182" s="243">
        <f>VLOOKUP($D182,'2018 Plan Data'!$A$4:$K$2000,9,FALSE)</f>
        <v>1</v>
      </c>
      <c r="BF182" s="243">
        <f t="shared" si="201"/>
        <v>0</v>
      </c>
      <c r="BG182" s="243">
        <f t="shared" si="202"/>
        <v>0</v>
      </c>
      <c r="BH182" s="243">
        <f t="shared" si="203"/>
        <v>0</v>
      </c>
      <c r="BI182" s="243">
        <f t="shared" si="204"/>
        <v>0</v>
      </c>
      <c r="BJ182" s="243">
        <f t="shared" si="205"/>
        <v>298</v>
      </c>
      <c r="BK182" s="243">
        <f t="shared" si="206"/>
        <v>149</v>
      </c>
      <c r="BL182" s="243">
        <f t="shared" si="207"/>
        <v>149</v>
      </c>
      <c r="BM182" s="243">
        <f t="shared" si="208"/>
        <v>149</v>
      </c>
      <c r="BN182" s="243">
        <f t="shared" si="246"/>
        <v>0</v>
      </c>
      <c r="BO182" s="243">
        <f t="shared" si="247"/>
        <v>0</v>
      </c>
      <c r="BP182" s="243">
        <f t="shared" si="248"/>
        <v>0</v>
      </c>
      <c r="BQ182" s="243">
        <f t="shared" si="249"/>
        <v>0</v>
      </c>
      <c r="BR182" s="243">
        <f t="shared" si="270"/>
        <v>268.2</v>
      </c>
      <c r="BS182" s="243">
        <f t="shared" si="271"/>
        <v>134.1</v>
      </c>
      <c r="BT182" s="243">
        <f t="shared" si="272"/>
        <v>134.1</v>
      </c>
      <c r="BU182" s="243">
        <f t="shared" si="273"/>
        <v>134.1</v>
      </c>
      <c r="BV182" s="600"/>
      <c r="BW182" s="243">
        <f>ROUND(VLOOKUP($D182,'2018 Plan Data'!$A$4:$T$2000,13,FALSE),10)</f>
        <v>0</v>
      </c>
      <c r="BX182" s="314">
        <f>VLOOKUP($D182,'2018 Plan Data'!$A$4:$T$2000,14,FALSE)</f>
        <v>0</v>
      </c>
      <c r="BY182" s="314">
        <f>VLOOKUP($D182,'2018 Plan Data'!$A$4:$T$2000,15,FALSE)</f>
        <v>0</v>
      </c>
      <c r="BZ182" s="314">
        <f>VLOOKUP($D182,'2018 Plan Data'!$A$4:$T$2000,16,FALSE)</f>
        <v>0</v>
      </c>
      <c r="CA182" s="314">
        <f>IF(VLOOKUP($D182,'2018 Plan Data'!$A$4:$T$2000,17,FALSE)&gt;0,VLOOKUP($D182,'2018 Plan Data'!$A$4:$T$2000,17,FALSE),0)</f>
        <v>268.2</v>
      </c>
      <c r="CB182" s="314">
        <f>IF(VLOOKUP($D182,'2018 Plan Data'!$A$4:$T$2000,18,FALSE)&gt;0,VLOOKUP($D182,'2018 Plan Data'!$A$4:$T$2000,18,FALSE),0)</f>
        <v>134.1</v>
      </c>
      <c r="CC182" s="314">
        <f>IF(VLOOKUP($D182,'2018 Plan Data'!$A$4:$T$2000,19,FALSE)&gt;0,VLOOKUP($D182,'2018 Plan Data'!$A$4:$T$2000,19,FALSE),0)</f>
        <v>134.1</v>
      </c>
      <c r="CD182" s="314">
        <f>IF(VLOOKUP($D182,'2018 Plan Data'!$A$4:$T$2000,20,FALSE)&gt;0,VLOOKUP($D182,'2018 Plan Data'!$A$4:$T$2000,20,FALSE),0)</f>
        <v>134.1</v>
      </c>
      <c r="CE182" s="600" t="b">
        <f t="shared" si="213"/>
        <v>1</v>
      </c>
      <c r="CF182" s="600" t="b">
        <f t="shared" si="214"/>
        <v>1</v>
      </c>
      <c r="CG182" s="600" t="b">
        <f t="shared" si="215"/>
        <v>1</v>
      </c>
      <c r="CH182" s="600" t="b">
        <f t="shared" si="216"/>
        <v>1</v>
      </c>
      <c r="CI182" s="600" t="b">
        <f t="shared" si="217"/>
        <v>1</v>
      </c>
      <c r="CJ182" s="600" t="b">
        <f t="shared" si="218"/>
        <v>1</v>
      </c>
      <c r="CK182" s="600" t="b">
        <f t="shared" si="219"/>
        <v>1</v>
      </c>
      <c r="CL182" s="600" t="b">
        <f t="shared" si="220"/>
        <v>1</v>
      </c>
    </row>
    <row r="183" spans="1:349" ht="15" customHeight="1" x14ac:dyDescent="0.35">
      <c r="A183" s="585">
        <f t="shared" si="252"/>
        <v>292</v>
      </c>
      <c r="B183" s="600" t="str">
        <f t="shared" si="200"/>
        <v>Business_Standard-Public Buildings</v>
      </c>
      <c r="D183">
        <v>292</v>
      </c>
      <c r="E183" s="600" t="s">
        <v>1944</v>
      </c>
      <c r="F183" s="600" t="str">
        <f>VLOOKUP(G183,Sheet4!$D$6:$E$22,2,FALSE)</f>
        <v>Standard</v>
      </c>
      <c r="G183" t="s">
        <v>1054</v>
      </c>
      <c r="H183" s="296" t="s">
        <v>202</v>
      </c>
      <c r="J183" s="72" t="s">
        <v>148</v>
      </c>
      <c r="K183" s="72" t="str">
        <f>INDEX('Measure Codes'!$F$4:$F$821,MATCH(H183,'Measure Codes'!$D$4:$D$821,0))</f>
        <v>4.2.7</v>
      </c>
      <c r="L183" s="72" t="str">
        <f>INDEX('Measure Codes'!$G$4:$G$821,MATCH(H183,'Measure Codes'!$D$4:$D$821,0))</f>
        <v>CI-FSE-ESFR-V01-120601</v>
      </c>
      <c r="M183" s="600">
        <v>1</v>
      </c>
      <c r="O183" s="72" t="str">
        <f t="shared" si="253"/>
        <v>Gas</v>
      </c>
      <c r="P183" s="7">
        <f>VLOOKUP(D183,'2018 Plan Data'!$A$4:$K$1000,11,FALSE)</f>
        <v>15</v>
      </c>
      <c r="Q183" s="652">
        <f>VLOOKUP(D183,'2018 Plan Data'!$A$4:$L$1000,12,FALSE)</f>
        <v>0</v>
      </c>
      <c r="R183" s="314">
        <f>'BUS Measure-Model Summary'!D655</f>
        <v>0</v>
      </c>
      <c r="T183" s="314">
        <f>'BUS Measure-Model Summary'!E655</f>
        <v>0</v>
      </c>
      <c r="V183" s="314">
        <f>V151</f>
        <v>505.2346714285714</v>
      </c>
      <c r="AD183" s="309">
        <f>'BUS Measure-Model Summary'!I645</f>
        <v>0.9</v>
      </c>
      <c r="AE183" s="309">
        <f t="shared" si="250"/>
        <v>0.9</v>
      </c>
      <c r="AF183" s="309">
        <f t="shared" si="250"/>
        <v>0.9</v>
      </c>
      <c r="AG183" s="309">
        <f t="shared" si="250"/>
        <v>0.9</v>
      </c>
      <c r="AH183" s="314">
        <f t="shared" si="254"/>
        <v>0</v>
      </c>
      <c r="AI183" s="314">
        <f t="shared" si="255"/>
        <v>0</v>
      </c>
      <c r="AJ183" s="314">
        <f t="shared" si="256"/>
        <v>0</v>
      </c>
      <c r="AK183" s="314">
        <f t="shared" si="257"/>
        <v>0</v>
      </c>
      <c r="AL183" s="309">
        <f t="shared" si="258"/>
        <v>0.9</v>
      </c>
      <c r="AM183" s="309">
        <f t="shared" si="259"/>
        <v>0.9</v>
      </c>
      <c r="AN183" s="309">
        <f t="shared" si="260"/>
        <v>0.9</v>
      </c>
      <c r="AO183" s="309">
        <f t="shared" si="261"/>
        <v>0.9</v>
      </c>
      <c r="AP183" s="446">
        <f t="shared" si="262"/>
        <v>0</v>
      </c>
      <c r="AQ183" s="446">
        <f t="shared" si="263"/>
        <v>0</v>
      </c>
      <c r="AR183" s="446">
        <f t="shared" si="264"/>
        <v>0</v>
      </c>
      <c r="AS183" s="446">
        <f t="shared" si="265"/>
        <v>0</v>
      </c>
      <c r="AT183" s="309">
        <f t="shared" si="245"/>
        <v>0.9</v>
      </c>
      <c r="AU183" s="309">
        <f t="shared" si="251"/>
        <v>0.9</v>
      </c>
      <c r="AV183" s="309">
        <f t="shared" si="251"/>
        <v>0.9</v>
      </c>
      <c r="AW183" s="309">
        <f t="shared" si="251"/>
        <v>0.9</v>
      </c>
      <c r="AX183" s="243">
        <f t="shared" si="266"/>
        <v>454.71120428571425</v>
      </c>
      <c r="AY183" s="243">
        <f t="shared" si="267"/>
        <v>454.71120428571425</v>
      </c>
      <c r="AZ183" s="243">
        <f t="shared" si="268"/>
        <v>454.71120428571425</v>
      </c>
      <c r="BA183" s="243">
        <f t="shared" si="269"/>
        <v>454.71120428571425</v>
      </c>
      <c r="BB183" s="243">
        <f>VLOOKUP($D183,'2018 Plan Data'!$A$4:$K$2000,6,FALSE)</f>
        <v>2</v>
      </c>
      <c r="BC183" s="243">
        <f>VLOOKUP($D183,'2018 Plan Data'!$A$4:$K$2000,7,FALSE)</f>
        <v>1</v>
      </c>
      <c r="BD183" s="243">
        <f>VLOOKUP($D183,'2018 Plan Data'!$A$4:$K$2000,8,FALSE)</f>
        <v>1</v>
      </c>
      <c r="BE183" s="243">
        <f>VLOOKUP($D183,'2018 Plan Data'!$A$4:$K$2000,9,FALSE)</f>
        <v>1</v>
      </c>
      <c r="BF183" s="243">
        <f t="shared" si="201"/>
        <v>0</v>
      </c>
      <c r="BG183" s="243">
        <f t="shared" si="202"/>
        <v>0</v>
      </c>
      <c r="BH183" s="243">
        <f t="shared" si="203"/>
        <v>0</v>
      </c>
      <c r="BI183" s="243">
        <f t="shared" si="204"/>
        <v>0</v>
      </c>
      <c r="BJ183" s="243">
        <f t="shared" si="205"/>
        <v>1010.4693428571428</v>
      </c>
      <c r="BK183" s="243">
        <f t="shared" si="206"/>
        <v>505.2346714285714</v>
      </c>
      <c r="BL183" s="243">
        <f t="shared" si="207"/>
        <v>505.2346714285714</v>
      </c>
      <c r="BM183" s="243">
        <f t="shared" si="208"/>
        <v>505.2346714285714</v>
      </c>
      <c r="BN183" s="243">
        <f t="shared" si="246"/>
        <v>0</v>
      </c>
      <c r="BO183" s="243">
        <f t="shared" si="247"/>
        <v>0</v>
      </c>
      <c r="BP183" s="243">
        <f t="shared" si="248"/>
        <v>0</v>
      </c>
      <c r="BQ183" s="243">
        <f t="shared" si="249"/>
        <v>0</v>
      </c>
      <c r="BR183" s="243">
        <f t="shared" si="270"/>
        <v>909.42240857142849</v>
      </c>
      <c r="BS183" s="243">
        <f t="shared" si="271"/>
        <v>454.71120428571425</v>
      </c>
      <c r="BT183" s="243">
        <f t="shared" si="272"/>
        <v>454.71120428571425</v>
      </c>
      <c r="BU183" s="243">
        <f t="shared" si="273"/>
        <v>454.71120428571425</v>
      </c>
      <c r="BV183" s="600"/>
      <c r="BW183" s="243">
        <f>ROUND(VLOOKUP($D183,'2018 Plan Data'!$A$4:$T$2000,13,FALSE),10)</f>
        <v>0</v>
      </c>
      <c r="BX183" s="314">
        <f>VLOOKUP($D183,'2018 Plan Data'!$A$4:$T$2000,14,FALSE)</f>
        <v>0</v>
      </c>
      <c r="BY183" s="314">
        <f>VLOOKUP($D183,'2018 Plan Data'!$A$4:$T$2000,15,FALSE)</f>
        <v>0</v>
      </c>
      <c r="BZ183" s="314">
        <f>VLOOKUP($D183,'2018 Plan Data'!$A$4:$T$2000,16,FALSE)</f>
        <v>0</v>
      </c>
      <c r="CA183" s="314">
        <f>IF(VLOOKUP($D183,'2018 Plan Data'!$A$4:$T$2000,17,FALSE)&gt;0,VLOOKUP($D183,'2018 Plan Data'!$A$4:$T$2000,17,FALSE),0)</f>
        <v>909.42240857142849</v>
      </c>
      <c r="CB183" s="314">
        <f>IF(VLOOKUP($D183,'2018 Plan Data'!$A$4:$T$2000,18,FALSE)&gt;0,VLOOKUP($D183,'2018 Plan Data'!$A$4:$T$2000,18,FALSE),0)</f>
        <v>454.71120428571425</v>
      </c>
      <c r="CC183" s="314">
        <f>IF(VLOOKUP($D183,'2018 Plan Data'!$A$4:$T$2000,19,FALSE)&gt;0,VLOOKUP($D183,'2018 Plan Data'!$A$4:$T$2000,19,FALSE),0)</f>
        <v>454.71120428571425</v>
      </c>
      <c r="CD183" s="314">
        <f>IF(VLOOKUP($D183,'2018 Plan Data'!$A$4:$T$2000,20,FALSE)&gt;0,VLOOKUP($D183,'2018 Plan Data'!$A$4:$T$2000,20,FALSE),0)</f>
        <v>454.71120428571425</v>
      </c>
      <c r="CE183" s="600" t="b">
        <f t="shared" si="213"/>
        <v>1</v>
      </c>
      <c r="CF183" s="600" t="b">
        <f t="shared" si="214"/>
        <v>1</v>
      </c>
      <c r="CG183" s="600" t="b">
        <f t="shared" si="215"/>
        <v>1</v>
      </c>
      <c r="CH183" s="600" t="b">
        <f t="shared" si="216"/>
        <v>1</v>
      </c>
      <c r="CI183" s="600" t="b">
        <f t="shared" si="217"/>
        <v>1</v>
      </c>
      <c r="CJ183" s="600" t="b">
        <f t="shared" si="218"/>
        <v>1</v>
      </c>
      <c r="CK183" s="600" t="b">
        <f t="shared" si="219"/>
        <v>1</v>
      </c>
      <c r="CL183" s="600" t="b">
        <f t="shared" si="220"/>
        <v>1</v>
      </c>
    </row>
    <row r="184" spans="1:349" s="600" customFormat="1" ht="15" customHeight="1" x14ac:dyDescent="0.35">
      <c r="A184" s="585">
        <f t="shared" si="252"/>
        <v>349</v>
      </c>
      <c r="B184" s="600" t="str">
        <f t="shared" si="200"/>
        <v>Business_Standard-Public Buildings</v>
      </c>
      <c r="D184" s="600">
        <v>349</v>
      </c>
      <c r="E184" s="600" t="s">
        <v>1944</v>
      </c>
      <c r="F184" s="600" t="str">
        <f>VLOOKUP(G184,Sheet4!$D$6:$E$22,2,FALSE)</f>
        <v>Standard</v>
      </c>
      <c r="G184" s="600" t="s">
        <v>1054</v>
      </c>
      <c r="H184" s="296" t="s">
        <v>204</v>
      </c>
      <c r="J184" s="72" t="s">
        <v>100</v>
      </c>
      <c r="K184" s="72" t="str">
        <f>INDEX('Measure Codes'!$F$4:$F$821,MATCH(H184,'Measure Codes'!$D$4:$D$821,0))</f>
        <v>4.4.16</v>
      </c>
      <c r="L184" s="72" t="str">
        <f>INDEX('Measure Codes'!$G$4:$G$821,MATCH(H184,'Measure Codes'!$D$4:$D$821,0))</f>
        <v>CI-HVC-STRE-V05-180101</v>
      </c>
      <c r="M184" s="600">
        <v>1</v>
      </c>
      <c r="O184" s="72" t="str">
        <f t="shared" si="253"/>
        <v>Gas</v>
      </c>
      <c r="P184" s="7">
        <f>VLOOKUP(D184,'2018 Plan Data'!$A$4:$K$1000,11,FALSE)</f>
        <v>6</v>
      </c>
      <c r="Q184" s="652">
        <f>VLOOKUP(D184,'2018 Plan Data'!$A$4:$L$1000,12,FALSE)</f>
        <v>0</v>
      </c>
      <c r="R184" s="314">
        <f>'BUS Measure-Model Summary'!D657</f>
        <v>0</v>
      </c>
      <c r="S184" s="314"/>
      <c r="T184" s="314">
        <f>'BUS Measure-Model Summary'!E657</f>
        <v>0</v>
      </c>
      <c r="U184" s="314"/>
      <c r="V184" s="314">
        <f>V152</f>
        <v>297.65043171806178</v>
      </c>
      <c r="W184" s="314"/>
      <c r="AD184" s="309">
        <f>'BUS Measure-Model Summary'!I647</f>
        <v>0.9</v>
      </c>
      <c r="AE184" s="309">
        <f t="shared" si="250"/>
        <v>0.9</v>
      </c>
      <c r="AF184" s="309">
        <f t="shared" si="250"/>
        <v>0.9</v>
      </c>
      <c r="AG184" s="309">
        <f t="shared" si="250"/>
        <v>0.9</v>
      </c>
      <c r="AH184" s="314">
        <f t="shared" si="254"/>
        <v>0</v>
      </c>
      <c r="AI184" s="314">
        <f t="shared" si="255"/>
        <v>0</v>
      </c>
      <c r="AJ184" s="314">
        <f t="shared" si="256"/>
        <v>0</v>
      </c>
      <c r="AK184" s="314">
        <f t="shared" si="257"/>
        <v>0</v>
      </c>
      <c r="AL184" s="309">
        <f t="shared" si="258"/>
        <v>0.9</v>
      </c>
      <c r="AM184" s="309">
        <f t="shared" si="259"/>
        <v>0.9</v>
      </c>
      <c r="AN184" s="309">
        <f t="shared" si="260"/>
        <v>0.9</v>
      </c>
      <c r="AO184" s="309">
        <f t="shared" si="261"/>
        <v>0.9</v>
      </c>
      <c r="AP184" s="446">
        <f t="shared" si="262"/>
        <v>0</v>
      </c>
      <c r="AQ184" s="446">
        <f t="shared" si="263"/>
        <v>0</v>
      </c>
      <c r="AR184" s="446">
        <f t="shared" si="264"/>
        <v>0</v>
      </c>
      <c r="AS184" s="446">
        <f t="shared" si="265"/>
        <v>0</v>
      </c>
      <c r="AT184" s="309">
        <f t="shared" si="245"/>
        <v>0.9</v>
      </c>
      <c r="AU184" s="309">
        <f t="shared" si="251"/>
        <v>0.9</v>
      </c>
      <c r="AV184" s="309">
        <f t="shared" si="251"/>
        <v>0.9</v>
      </c>
      <c r="AW184" s="309">
        <f t="shared" si="251"/>
        <v>0.9</v>
      </c>
      <c r="AX184" s="243">
        <f t="shared" si="266"/>
        <v>267.88538854625563</v>
      </c>
      <c r="AY184" s="243">
        <f t="shared" si="267"/>
        <v>267.88538854625563</v>
      </c>
      <c r="AZ184" s="243">
        <f t="shared" si="268"/>
        <v>267.88538854625563</v>
      </c>
      <c r="BA184" s="243">
        <f t="shared" si="269"/>
        <v>267.88538854625563</v>
      </c>
      <c r="BB184" s="243">
        <f>VLOOKUP($D184,'2018 Plan Data'!$A$4:$K$2000,6,FALSE)</f>
        <v>100</v>
      </c>
      <c r="BC184" s="243">
        <f>VLOOKUP($D184,'2018 Plan Data'!$A$4:$K$2000,7,FALSE)</f>
        <v>100</v>
      </c>
      <c r="BD184" s="243">
        <f>VLOOKUP($D184,'2018 Plan Data'!$A$4:$K$2000,8,FALSE)</f>
        <v>100</v>
      </c>
      <c r="BE184" s="243">
        <f>VLOOKUP($D184,'2018 Plan Data'!$A$4:$K$2000,9,FALSE)</f>
        <v>100</v>
      </c>
      <c r="BF184" s="243">
        <f t="shared" si="201"/>
        <v>0</v>
      </c>
      <c r="BG184" s="243">
        <f t="shared" si="202"/>
        <v>0</v>
      </c>
      <c r="BH184" s="243">
        <f t="shared" si="203"/>
        <v>0</v>
      </c>
      <c r="BI184" s="243">
        <f t="shared" si="204"/>
        <v>0</v>
      </c>
      <c r="BJ184" s="243">
        <f t="shared" si="205"/>
        <v>29765.043171806177</v>
      </c>
      <c r="BK184" s="243">
        <f t="shared" si="206"/>
        <v>29765.043171806177</v>
      </c>
      <c r="BL184" s="243">
        <f t="shared" si="207"/>
        <v>29765.043171806177</v>
      </c>
      <c r="BM184" s="243">
        <f t="shared" si="208"/>
        <v>29765.043171806177</v>
      </c>
      <c r="BN184" s="243">
        <f t="shared" si="246"/>
        <v>0</v>
      </c>
      <c r="BO184" s="243">
        <f t="shared" si="247"/>
        <v>0</v>
      </c>
      <c r="BP184" s="243">
        <f t="shared" si="248"/>
        <v>0</v>
      </c>
      <c r="BQ184" s="243">
        <f t="shared" si="249"/>
        <v>0</v>
      </c>
      <c r="BR184" s="243">
        <f t="shared" si="270"/>
        <v>26788.538854625564</v>
      </c>
      <c r="BS184" s="243">
        <f t="shared" si="271"/>
        <v>26788.538854625564</v>
      </c>
      <c r="BT184" s="243">
        <f t="shared" si="272"/>
        <v>26788.538854625564</v>
      </c>
      <c r="BU184" s="243">
        <f t="shared" si="273"/>
        <v>26788.538854625564</v>
      </c>
      <c r="BW184" s="243">
        <f>ROUND(VLOOKUP($D184,'2018 Plan Data'!$A$4:$T$2000,13,FALSE),10)</f>
        <v>0</v>
      </c>
      <c r="BX184" s="314">
        <f>VLOOKUP($D184,'2018 Plan Data'!$A$4:$T$2000,14,FALSE)</f>
        <v>0</v>
      </c>
      <c r="BY184" s="314">
        <f>VLOOKUP($D184,'2018 Plan Data'!$A$4:$T$2000,15,FALSE)</f>
        <v>0</v>
      </c>
      <c r="BZ184" s="314">
        <f>VLOOKUP($D184,'2018 Plan Data'!$A$4:$T$2000,16,FALSE)</f>
        <v>0</v>
      </c>
      <c r="CA184" s="314">
        <f>IF(VLOOKUP($D184,'2018 Plan Data'!$A$4:$T$2000,17,FALSE)&gt;0,VLOOKUP($D184,'2018 Plan Data'!$A$4:$T$2000,17,FALSE),0)</f>
        <v>26788.538854625564</v>
      </c>
      <c r="CB184" s="314">
        <f>IF(VLOOKUP($D184,'2018 Plan Data'!$A$4:$T$2000,18,FALSE)&gt;0,VLOOKUP($D184,'2018 Plan Data'!$A$4:$T$2000,18,FALSE),0)</f>
        <v>26788.538854625564</v>
      </c>
      <c r="CC184" s="314">
        <f>IF(VLOOKUP($D184,'2018 Plan Data'!$A$4:$T$2000,19,FALSE)&gt;0,VLOOKUP($D184,'2018 Plan Data'!$A$4:$T$2000,19,FALSE),0)</f>
        <v>26788.538854625564</v>
      </c>
      <c r="CD184" s="314">
        <f>IF(VLOOKUP($D184,'2018 Plan Data'!$A$4:$T$2000,20,FALSE)&gt;0,VLOOKUP($D184,'2018 Plan Data'!$A$4:$T$2000,20,FALSE),0)</f>
        <v>26788.538854625564</v>
      </c>
      <c r="CE184" s="600" t="b">
        <f t="shared" si="213"/>
        <v>1</v>
      </c>
      <c r="CF184" s="600" t="b">
        <f t="shared" si="214"/>
        <v>1</v>
      </c>
      <c r="CG184" s="600" t="b">
        <f t="shared" si="215"/>
        <v>1</v>
      </c>
      <c r="CH184" s="600" t="b">
        <f t="shared" si="216"/>
        <v>1</v>
      </c>
      <c r="CI184" s="600" t="b">
        <f t="shared" si="217"/>
        <v>1</v>
      </c>
      <c r="CJ184" s="600" t="b">
        <f t="shared" si="218"/>
        <v>1</v>
      </c>
      <c r="CK184" s="600" t="b">
        <f t="shared" si="219"/>
        <v>1</v>
      </c>
      <c r="CL184" s="600" t="b">
        <f t="shared" si="220"/>
        <v>1</v>
      </c>
      <c r="CM184" s="585"/>
      <c r="CN184" s="585"/>
      <c r="CO184" s="585"/>
      <c r="CP184" s="585"/>
      <c r="CQ184" s="585"/>
      <c r="CR184" s="585"/>
      <c r="CS184" s="585"/>
      <c r="CT184" s="585"/>
      <c r="CU184" s="585"/>
      <c r="CV184" s="585"/>
      <c r="CW184" s="585"/>
      <c r="CX184" s="585"/>
      <c r="CY184" s="585"/>
      <c r="CZ184" s="585"/>
      <c r="DA184" s="585"/>
      <c r="DB184" s="585"/>
      <c r="DC184" s="585"/>
      <c r="DD184" s="585"/>
      <c r="DE184" s="585"/>
      <c r="DF184" s="585"/>
      <c r="DG184" s="585"/>
      <c r="DH184" s="585"/>
      <c r="DI184" s="585"/>
      <c r="DJ184" s="585"/>
      <c r="DK184" s="585"/>
      <c r="DL184" s="585"/>
      <c r="DM184" s="585"/>
      <c r="DN184" s="585"/>
      <c r="DO184" s="585"/>
      <c r="DP184" s="585"/>
      <c r="DQ184" s="585"/>
      <c r="DR184" s="585"/>
      <c r="DS184" s="585"/>
      <c r="DT184" s="585"/>
      <c r="DU184" s="585"/>
      <c r="DV184" s="585"/>
      <c r="DW184" s="585"/>
      <c r="DX184" s="585"/>
      <c r="DY184" s="585"/>
      <c r="DZ184" s="585"/>
      <c r="EA184" s="585"/>
      <c r="EB184" s="585"/>
      <c r="EC184" s="585"/>
      <c r="ED184" s="585"/>
      <c r="EE184" s="585"/>
      <c r="EF184" s="585"/>
      <c r="EG184" s="585"/>
      <c r="EH184" s="585"/>
      <c r="EI184" s="585"/>
      <c r="EJ184" s="585"/>
      <c r="EK184" s="585"/>
      <c r="EL184" s="585"/>
      <c r="EM184" s="585"/>
      <c r="EN184" s="585"/>
      <c r="EO184" s="585"/>
      <c r="EP184" s="585"/>
      <c r="EQ184" s="585"/>
      <c r="ER184" s="585"/>
      <c r="ES184" s="585"/>
      <c r="ET184" s="585"/>
      <c r="EU184" s="585"/>
      <c r="EV184" s="585"/>
      <c r="EW184" s="585"/>
      <c r="EX184" s="585"/>
      <c r="EY184" s="585"/>
      <c r="EZ184" s="585"/>
      <c r="FA184" s="585"/>
      <c r="FB184" s="585"/>
      <c r="FC184" s="585"/>
      <c r="FD184" s="585"/>
      <c r="FE184" s="585"/>
      <c r="FF184" s="585"/>
      <c r="FG184" s="585"/>
      <c r="FH184" s="585"/>
      <c r="FI184" s="585"/>
      <c r="FJ184" s="585"/>
      <c r="FK184" s="585"/>
      <c r="FL184" s="585"/>
      <c r="FM184" s="585"/>
      <c r="FN184" s="585"/>
      <c r="FO184" s="585"/>
      <c r="FP184" s="585"/>
      <c r="FQ184" s="585"/>
      <c r="FR184" s="585"/>
      <c r="FS184" s="585"/>
      <c r="FT184" s="585"/>
      <c r="FU184" s="585"/>
      <c r="FV184" s="585"/>
      <c r="FW184" s="585"/>
      <c r="FX184" s="585"/>
      <c r="FY184" s="585"/>
      <c r="FZ184" s="585"/>
      <c r="GA184" s="585"/>
      <c r="GB184" s="585"/>
      <c r="GC184" s="585"/>
      <c r="GD184" s="585"/>
      <c r="GE184" s="585"/>
      <c r="GF184" s="585"/>
      <c r="GG184" s="585"/>
      <c r="GH184" s="585"/>
      <c r="GI184" s="585"/>
      <c r="GJ184" s="585"/>
      <c r="GK184" s="585"/>
      <c r="GL184" s="585"/>
      <c r="GM184" s="585"/>
      <c r="GN184" s="585"/>
      <c r="GO184" s="585"/>
      <c r="GP184" s="585"/>
      <c r="GQ184" s="585"/>
      <c r="GR184" s="585"/>
      <c r="GS184" s="585"/>
      <c r="GT184" s="585"/>
      <c r="GU184" s="585"/>
      <c r="GV184" s="585"/>
      <c r="GW184" s="585"/>
      <c r="GX184" s="585"/>
      <c r="GY184" s="585"/>
      <c r="GZ184" s="585"/>
      <c r="HA184" s="585"/>
      <c r="HB184" s="585"/>
      <c r="HC184" s="585"/>
      <c r="HD184" s="585"/>
      <c r="HE184" s="585"/>
      <c r="HF184" s="585"/>
      <c r="HG184" s="585"/>
      <c r="HH184" s="585"/>
      <c r="HI184" s="585"/>
      <c r="HJ184" s="585"/>
      <c r="HK184" s="585"/>
      <c r="HL184" s="585"/>
      <c r="HM184" s="585"/>
      <c r="HN184" s="585"/>
      <c r="HO184" s="585"/>
      <c r="HP184" s="585"/>
      <c r="HQ184" s="585"/>
      <c r="HR184" s="585"/>
      <c r="HS184" s="585"/>
      <c r="HT184" s="585"/>
      <c r="HU184" s="585"/>
      <c r="HV184" s="585"/>
      <c r="HW184" s="585"/>
      <c r="HX184" s="585"/>
      <c r="HY184" s="585"/>
      <c r="HZ184" s="585"/>
      <c r="IA184" s="585"/>
      <c r="IB184" s="585"/>
      <c r="IC184" s="585"/>
      <c r="ID184" s="585"/>
      <c r="IE184" s="585"/>
      <c r="IF184" s="585"/>
      <c r="IG184" s="585"/>
      <c r="IH184" s="585"/>
      <c r="II184" s="585"/>
      <c r="IJ184" s="585"/>
      <c r="IK184" s="585"/>
      <c r="IL184" s="585"/>
      <c r="IM184" s="585"/>
      <c r="IN184" s="585"/>
      <c r="IO184" s="585"/>
      <c r="IP184" s="585"/>
      <c r="IQ184" s="585"/>
      <c r="IR184" s="585"/>
      <c r="IS184" s="585"/>
      <c r="IT184" s="585"/>
      <c r="IU184" s="585"/>
      <c r="IV184" s="585"/>
      <c r="IW184" s="585"/>
      <c r="IX184" s="585"/>
      <c r="IY184" s="585"/>
      <c r="IZ184" s="585"/>
      <c r="JA184" s="585"/>
      <c r="JB184" s="585"/>
      <c r="JC184" s="585"/>
      <c r="JD184" s="585"/>
      <c r="JE184" s="585"/>
      <c r="JF184" s="585"/>
      <c r="JG184" s="585"/>
      <c r="JH184" s="585"/>
      <c r="JI184" s="585"/>
      <c r="JJ184" s="585"/>
      <c r="JK184" s="585"/>
      <c r="JL184" s="585"/>
      <c r="JM184" s="585"/>
      <c r="JN184" s="585"/>
      <c r="JO184" s="585"/>
      <c r="JP184" s="585"/>
      <c r="JQ184" s="585"/>
      <c r="JR184" s="585"/>
      <c r="JS184" s="585"/>
      <c r="JT184" s="585"/>
      <c r="JU184" s="585"/>
      <c r="JV184" s="585"/>
      <c r="JW184" s="585"/>
      <c r="JX184" s="585"/>
      <c r="JY184" s="585"/>
      <c r="JZ184" s="585"/>
      <c r="KA184" s="585"/>
      <c r="KB184" s="585"/>
      <c r="KC184" s="585"/>
      <c r="KD184" s="585"/>
      <c r="KE184" s="585"/>
      <c r="KF184" s="585"/>
      <c r="KG184" s="585"/>
      <c r="KH184" s="585"/>
      <c r="KI184" s="585"/>
      <c r="KJ184" s="585"/>
      <c r="KK184" s="585"/>
      <c r="KL184" s="585"/>
      <c r="KM184" s="585"/>
      <c r="KN184" s="585"/>
      <c r="KO184" s="585"/>
      <c r="KP184" s="585"/>
      <c r="KQ184" s="585"/>
      <c r="KR184" s="585"/>
      <c r="KS184" s="585"/>
      <c r="KT184" s="585"/>
      <c r="KU184" s="585"/>
      <c r="KV184" s="585"/>
      <c r="KW184" s="585"/>
      <c r="KX184" s="585"/>
      <c r="KY184" s="585"/>
      <c r="KZ184" s="585"/>
      <c r="LA184" s="585"/>
      <c r="LB184" s="585"/>
      <c r="LC184" s="585"/>
      <c r="LD184" s="585"/>
      <c r="LE184" s="585"/>
      <c r="LF184" s="585"/>
      <c r="LG184" s="585"/>
      <c r="LH184" s="585"/>
      <c r="LI184" s="585"/>
      <c r="LJ184" s="585"/>
      <c r="LK184" s="585"/>
      <c r="LL184" s="585"/>
      <c r="LM184" s="585"/>
      <c r="LN184" s="585"/>
      <c r="LO184" s="585"/>
      <c r="LP184" s="585"/>
      <c r="LQ184" s="585"/>
      <c r="LR184" s="585"/>
      <c r="LS184" s="585"/>
      <c r="LT184" s="585"/>
      <c r="LU184" s="585"/>
      <c r="LV184" s="585"/>
      <c r="LW184" s="585"/>
      <c r="LX184" s="585"/>
      <c r="LY184" s="585"/>
      <c r="LZ184" s="585"/>
      <c r="MA184" s="585"/>
      <c r="MB184" s="585"/>
      <c r="MC184" s="585"/>
      <c r="MD184" s="585"/>
      <c r="ME184" s="585"/>
      <c r="MF184" s="585"/>
      <c r="MG184" s="585"/>
      <c r="MH184" s="585"/>
      <c r="MI184" s="585"/>
      <c r="MJ184" s="585"/>
      <c r="MK184" s="585"/>
    </row>
    <row r="185" spans="1:349" ht="15" customHeight="1" x14ac:dyDescent="0.35">
      <c r="A185" s="585">
        <f t="shared" si="252"/>
        <v>350</v>
      </c>
      <c r="B185" s="600" t="str">
        <f t="shared" si="200"/>
        <v>Business_Standard-Public Buildings</v>
      </c>
      <c r="D185">
        <v>350</v>
      </c>
      <c r="E185" s="600" t="s">
        <v>1944</v>
      </c>
      <c r="F185" s="600" t="str">
        <f>VLOOKUP(G185,Sheet4!$D$6:$E$22,2,FALSE)</f>
        <v>Standard</v>
      </c>
      <c r="G185" t="s">
        <v>1054</v>
      </c>
      <c r="H185" s="296" t="s">
        <v>206</v>
      </c>
      <c r="J185" s="72" t="s">
        <v>100</v>
      </c>
      <c r="K185" s="72" t="str">
        <f>INDEX('Measure Codes'!$F$4:$F$821,MATCH(H185,'Measure Codes'!$D$4:$D$821,0))</f>
        <v>4.4.16</v>
      </c>
      <c r="L185" s="72" t="str">
        <f>INDEX('Measure Codes'!$G$4:$G$821,MATCH(H185,'Measure Codes'!$D$4:$D$821,0))</f>
        <v>CI-HVC-STRE-V05-180101</v>
      </c>
      <c r="M185" s="600">
        <v>1</v>
      </c>
      <c r="O185" s="72" t="str">
        <f t="shared" si="253"/>
        <v>Gas</v>
      </c>
      <c r="P185" s="7">
        <f>VLOOKUP(D185,'2018 Plan Data'!$A$4:$K$1000,11,FALSE)</f>
        <v>6</v>
      </c>
      <c r="Q185" s="652">
        <f>VLOOKUP(D185,'2018 Plan Data'!$A$4:$L$1000,12,FALSE)</f>
        <v>0</v>
      </c>
      <c r="R185" s="314">
        <f>'BUS - BPST5 PS (TRM)'!C11</f>
        <v>0</v>
      </c>
      <c r="T185" s="314">
        <f>'BUS - BPST5 PS (TRM)'!C12</f>
        <v>0</v>
      </c>
      <c r="V185" s="314">
        <f>'BUS - BPST5 PS (TRM)'!C13</f>
        <v>4382.0432722457281</v>
      </c>
      <c r="AD185" s="309">
        <f>'BUS Measure-Model Summary'!I649</f>
        <v>0.9</v>
      </c>
      <c r="AE185" s="309">
        <f t="shared" si="250"/>
        <v>0.9</v>
      </c>
      <c r="AF185" s="309">
        <f t="shared" si="250"/>
        <v>0.9</v>
      </c>
      <c r="AG185" s="309">
        <f t="shared" si="250"/>
        <v>0.9</v>
      </c>
      <c r="AH185" s="314">
        <f t="shared" si="254"/>
        <v>0</v>
      </c>
      <c r="AI185" s="314">
        <f t="shared" si="255"/>
        <v>0</v>
      </c>
      <c r="AJ185" s="314">
        <f t="shared" si="256"/>
        <v>0</v>
      </c>
      <c r="AK185" s="314">
        <f t="shared" si="257"/>
        <v>0</v>
      </c>
      <c r="AL185" s="309">
        <f t="shared" si="258"/>
        <v>0.9</v>
      </c>
      <c r="AM185" s="309">
        <f t="shared" si="259"/>
        <v>0.9</v>
      </c>
      <c r="AN185" s="309">
        <f t="shared" si="260"/>
        <v>0.9</v>
      </c>
      <c r="AO185" s="309">
        <f t="shared" si="261"/>
        <v>0.9</v>
      </c>
      <c r="AP185" s="446">
        <f t="shared" si="262"/>
        <v>0</v>
      </c>
      <c r="AQ185" s="446">
        <f t="shared" si="263"/>
        <v>0</v>
      </c>
      <c r="AR185" s="446">
        <f t="shared" si="264"/>
        <v>0</v>
      </c>
      <c r="AS185" s="446">
        <f t="shared" si="265"/>
        <v>0</v>
      </c>
      <c r="AT185" s="309">
        <f t="shared" si="245"/>
        <v>0.9</v>
      </c>
      <c r="AU185" s="309">
        <f t="shared" si="251"/>
        <v>0.9</v>
      </c>
      <c r="AV185" s="309">
        <f t="shared" si="251"/>
        <v>0.9</v>
      </c>
      <c r="AW185" s="309">
        <f t="shared" si="251"/>
        <v>0.9</v>
      </c>
      <c r="AX185" s="243">
        <f t="shared" si="266"/>
        <v>3943.8389450211553</v>
      </c>
      <c r="AY185" s="243">
        <f t="shared" si="267"/>
        <v>3943.8389450211553</v>
      </c>
      <c r="AZ185" s="243">
        <f t="shared" si="268"/>
        <v>3943.8389450211553</v>
      </c>
      <c r="BA185" s="243">
        <f t="shared" si="269"/>
        <v>3943.8389450211553</v>
      </c>
      <c r="BB185" s="243">
        <f>VLOOKUP($D185,'2018 Plan Data'!$A$4:$K$2000,6,FALSE)</f>
        <v>5</v>
      </c>
      <c r="BC185" s="243">
        <f>VLOOKUP($D185,'2018 Plan Data'!$A$4:$K$2000,7,FALSE)</f>
        <v>5</v>
      </c>
      <c r="BD185" s="243">
        <f>VLOOKUP($D185,'2018 Plan Data'!$A$4:$K$2000,8,FALSE)</f>
        <v>5</v>
      </c>
      <c r="BE185" s="243">
        <f>VLOOKUP($D185,'2018 Plan Data'!$A$4:$K$2000,9,FALSE)</f>
        <v>5</v>
      </c>
      <c r="BF185" s="243">
        <f t="shared" si="201"/>
        <v>0</v>
      </c>
      <c r="BG185" s="243">
        <f t="shared" si="202"/>
        <v>0</v>
      </c>
      <c r="BH185" s="243">
        <f t="shared" si="203"/>
        <v>0</v>
      </c>
      <c r="BI185" s="243">
        <f t="shared" si="204"/>
        <v>0</v>
      </c>
      <c r="BJ185" s="243">
        <f t="shared" si="205"/>
        <v>21910.216361228639</v>
      </c>
      <c r="BK185" s="243">
        <f t="shared" si="206"/>
        <v>21910.216361228639</v>
      </c>
      <c r="BL185" s="243">
        <f t="shared" si="207"/>
        <v>21910.216361228639</v>
      </c>
      <c r="BM185" s="243">
        <f t="shared" si="208"/>
        <v>21910.216361228639</v>
      </c>
      <c r="BN185" s="243">
        <f t="shared" si="246"/>
        <v>0</v>
      </c>
      <c r="BO185" s="243">
        <f t="shared" si="247"/>
        <v>0</v>
      </c>
      <c r="BP185" s="243">
        <f t="shared" si="248"/>
        <v>0</v>
      </c>
      <c r="BQ185" s="243">
        <f t="shared" si="249"/>
        <v>0</v>
      </c>
      <c r="BR185" s="243">
        <f t="shared" si="270"/>
        <v>19719.194725105775</v>
      </c>
      <c r="BS185" s="243">
        <f t="shared" si="271"/>
        <v>19719.194725105775</v>
      </c>
      <c r="BT185" s="243">
        <f t="shared" si="272"/>
        <v>19719.194725105775</v>
      </c>
      <c r="BU185" s="243">
        <f t="shared" si="273"/>
        <v>19719.194725105775</v>
      </c>
      <c r="BV185" s="600"/>
      <c r="BW185" s="243">
        <f>ROUND(VLOOKUP($D185,'2018 Plan Data'!$A$4:$T$2000,13,FALSE),10)</f>
        <v>0</v>
      </c>
      <c r="BX185" s="314">
        <f>VLOOKUP($D185,'2018 Plan Data'!$A$4:$T$2000,14,FALSE)</f>
        <v>0</v>
      </c>
      <c r="BY185" s="314">
        <f>VLOOKUP($D185,'2018 Plan Data'!$A$4:$T$2000,15,FALSE)</f>
        <v>0</v>
      </c>
      <c r="BZ185" s="314">
        <f>VLOOKUP($D185,'2018 Plan Data'!$A$4:$T$2000,16,FALSE)</f>
        <v>0</v>
      </c>
      <c r="CA185" s="314">
        <f>IF(VLOOKUP($D185,'2018 Plan Data'!$A$4:$T$2000,17,FALSE)&gt;0,VLOOKUP($D185,'2018 Plan Data'!$A$4:$T$2000,17,FALSE),0)</f>
        <v>19719.194725105775</v>
      </c>
      <c r="CB185" s="314">
        <f>IF(VLOOKUP($D185,'2018 Plan Data'!$A$4:$T$2000,18,FALSE)&gt;0,VLOOKUP($D185,'2018 Plan Data'!$A$4:$T$2000,18,FALSE),0)</f>
        <v>19719.194725105775</v>
      </c>
      <c r="CC185" s="314">
        <f>IF(VLOOKUP($D185,'2018 Plan Data'!$A$4:$T$2000,19,FALSE)&gt;0,VLOOKUP($D185,'2018 Plan Data'!$A$4:$T$2000,19,FALSE),0)</f>
        <v>19719.194725105775</v>
      </c>
      <c r="CD185" s="314">
        <f>IF(VLOOKUP($D185,'2018 Plan Data'!$A$4:$T$2000,20,FALSE)&gt;0,VLOOKUP($D185,'2018 Plan Data'!$A$4:$T$2000,20,FALSE),0)</f>
        <v>19719.194725105775</v>
      </c>
      <c r="CE185" s="600" t="b">
        <f t="shared" si="213"/>
        <v>1</v>
      </c>
      <c r="CF185" s="600" t="b">
        <f t="shared" si="214"/>
        <v>1</v>
      </c>
      <c r="CG185" s="600" t="b">
        <f t="shared" si="215"/>
        <v>1</v>
      </c>
      <c r="CH185" s="600" t="b">
        <f t="shared" si="216"/>
        <v>1</v>
      </c>
      <c r="CI185" s="600" t="b">
        <f t="shared" si="217"/>
        <v>1</v>
      </c>
      <c r="CJ185" s="600" t="b">
        <f t="shared" si="218"/>
        <v>1</v>
      </c>
      <c r="CK185" s="600" t="b">
        <f t="shared" si="219"/>
        <v>1</v>
      </c>
      <c r="CL185" s="600" t="b">
        <f t="shared" si="220"/>
        <v>1</v>
      </c>
    </row>
    <row r="186" spans="1:349" ht="15" customHeight="1" x14ac:dyDescent="0.35">
      <c r="A186" s="585">
        <f t="shared" si="252"/>
        <v>271</v>
      </c>
      <c r="B186" s="600" t="str">
        <f t="shared" si="200"/>
        <v>Business_Standard-Public Buildings</v>
      </c>
      <c r="C186" s="600"/>
      <c r="D186">
        <v>271</v>
      </c>
      <c r="E186" s="600" t="s">
        <v>1944</v>
      </c>
      <c r="F186" s="600" t="str">
        <f>VLOOKUP(G186,Sheet4!$D$6:$E$22,2,FALSE)</f>
        <v>Standard</v>
      </c>
      <c r="G186" s="600" t="s">
        <v>1054</v>
      </c>
      <c r="H186" s="296" t="s">
        <v>209</v>
      </c>
      <c r="K186" s="72" t="str">
        <f>INDEX('Measure Codes'!$F$4:$F$821,MATCH(H186,'Measure Codes'!$D$4:$D$821,0))</f>
        <v>4.2.1</v>
      </c>
      <c r="L186" s="72" t="str">
        <f>INDEX('Measure Codes'!$G$4:$G$821,MATCH(H186,'Measure Codes'!$D$4:$D$821,0))</f>
        <v>CI-FSE-CBOV-V02-160601</v>
      </c>
      <c r="M186" s="600">
        <v>1</v>
      </c>
      <c r="O186" s="72" t="str">
        <f t="shared" si="253"/>
        <v>Gas</v>
      </c>
      <c r="P186" s="7">
        <f>VLOOKUP(D186,'2018 Plan Data'!$A$4:$K$1000,11,FALSE)</f>
        <v>12</v>
      </c>
      <c r="Q186" s="652">
        <f>VLOOKUP(D186,'2018 Plan Data'!$A$4:$L$1000,12,FALSE)</f>
        <v>0</v>
      </c>
      <c r="R186" s="314">
        <f>'BUS Measure-Model Summary'!D680</f>
        <v>0</v>
      </c>
      <c r="T186" s="314">
        <f>'BUS Measure-Model Summary'!E680</f>
        <v>0</v>
      </c>
      <c r="V186" s="314">
        <f>'BUS Measure-Model Summary'!F680</f>
        <v>257</v>
      </c>
      <c r="AD186" s="309">
        <f>'BUS Measure-Model Summary'!I653</f>
        <v>0.9</v>
      </c>
      <c r="AE186" s="309">
        <f t="shared" si="250"/>
        <v>0.9</v>
      </c>
      <c r="AF186" s="309">
        <f t="shared" si="250"/>
        <v>0.9</v>
      </c>
      <c r="AG186" s="309">
        <f t="shared" si="250"/>
        <v>0.9</v>
      </c>
      <c r="AH186" s="314">
        <f t="shared" si="254"/>
        <v>0</v>
      </c>
      <c r="AI186" s="314">
        <f t="shared" si="255"/>
        <v>0</v>
      </c>
      <c r="AJ186" s="314">
        <f t="shared" si="256"/>
        <v>0</v>
      </c>
      <c r="AK186" s="314">
        <f t="shared" si="257"/>
        <v>0</v>
      </c>
      <c r="AL186" s="309">
        <f t="shared" si="258"/>
        <v>0.9</v>
      </c>
      <c r="AM186" s="309">
        <f t="shared" si="259"/>
        <v>0.9</v>
      </c>
      <c r="AN186" s="309">
        <f t="shared" si="260"/>
        <v>0.9</v>
      </c>
      <c r="AO186" s="309">
        <f t="shared" si="261"/>
        <v>0.9</v>
      </c>
      <c r="AP186" s="446">
        <f t="shared" si="262"/>
        <v>0</v>
      </c>
      <c r="AQ186" s="446">
        <f t="shared" si="263"/>
        <v>0</v>
      </c>
      <c r="AR186" s="446">
        <f t="shared" si="264"/>
        <v>0</v>
      </c>
      <c r="AS186" s="446">
        <f t="shared" si="265"/>
        <v>0</v>
      </c>
      <c r="AT186" s="309">
        <f t="shared" si="245"/>
        <v>0.9</v>
      </c>
      <c r="AU186" s="309">
        <f t="shared" si="251"/>
        <v>0.9</v>
      </c>
      <c r="AV186" s="309">
        <f t="shared" si="251"/>
        <v>0.9</v>
      </c>
      <c r="AW186" s="309">
        <f t="shared" si="251"/>
        <v>0.9</v>
      </c>
      <c r="AX186" s="243">
        <f t="shared" si="266"/>
        <v>231.3</v>
      </c>
      <c r="AY186" s="243">
        <f t="shared" si="267"/>
        <v>231.3</v>
      </c>
      <c r="AZ186" s="243">
        <f t="shared" si="268"/>
        <v>231.3</v>
      </c>
      <c r="BA186" s="243">
        <f t="shared" si="269"/>
        <v>231.3</v>
      </c>
      <c r="BB186" s="243">
        <f>VLOOKUP($D186,'2018 Plan Data'!$A$4:$K$2000,6,FALSE)</f>
        <v>1</v>
      </c>
      <c r="BC186" s="243">
        <f>VLOOKUP($D186,'2018 Plan Data'!$A$4:$K$2000,7,FALSE)</f>
        <v>0</v>
      </c>
      <c r="BD186" s="243">
        <f>VLOOKUP($D186,'2018 Plan Data'!$A$4:$K$2000,8,FALSE)</f>
        <v>1</v>
      </c>
      <c r="BE186" s="243">
        <f>VLOOKUP($D186,'2018 Plan Data'!$A$4:$K$2000,9,FALSE)</f>
        <v>1</v>
      </c>
      <c r="BF186" s="243">
        <f t="shared" si="201"/>
        <v>0</v>
      </c>
      <c r="BG186" s="243">
        <f t="shared" si="202"/>
        <v>0</v>
      </c>
      <c r="BH186" s="243">
        <f t="shared" si="203"/>
        <v>0</v>
      </c>
      <c r="BI186" s="243">
        <f t="shared" si="204"/>
        <v>0</v>
      </c>
      <c r="BJ186" s="243">
        <f t="shared" si="205"/>
        <v>257</v>
      </c>
      <c r="BK186" s="243">
        <f t="shared" si="206"/>
        <v>0</v>
      </c>
      <c r="BL186" s="243">
        <f t="shared" si="207"/>
        <v>257</v>
      </c>
      <c r="BM186" s="243">
        <f t="shared" si="208"/>
        <v>257</v>
      </c>
      <c r="BN186" s="243">
        <f t="shared" si="246"/>
        <v>0</v>
      </c>
      <c r="BO186" s="243">
        <f t="shared" si="247"/>
        <v>0</v>
      </c>
      <c r="BP186" s="243">
        <f t="shared" si="248"/>
        <v>0</v>
      </c>
      <c r="BQ186" s="243">
        <f t="shared" si="249"/>
        <v>0</v>
      </c>
      <c r="BR186" s="243">
        <f t="shared" si="270"/>
        <v>231.3</v>
      </c>
      <c r="BS186" s="243">
        <f t="shared" si="271"/>
        <v>0</v>
      </c>
      <c r="BT186" s="243">
        <f t="shared" si="272"/>
        <v>231.3</v>
      </c>
      <c r="BU186" s="243">
        <f t="shared" si="273"/>
        <v>231.3</v>
      </c>
      <c r="BV186" s="600"/>
      <c r="BW186" s="243">
        <f>ROUND(VLOOKUP($D186,'2018 Plan Data'!$A$4:$T$2000,13,FALSE),10)</f>
        <v>0</v>
      </c>
      <c r="BX186" s="314">
        <f>VLOOKUP($D186,'2018 Plan Data'!$A$4:$T$2000,14,FALSE)</f>
        <v>0</v>
      </c>
      <c r="BY186" s="314">
        <f>VLOOKUP($D186,'2018 Plan Data'!$A$4:$T$2000,15,FALSE)</f>
        <v>0</v>
      </c>
      <c r="BZ186" s="314">
        <f>VLOOKUP($D186,'2018 Plan Data'!$A$4:$T$2000,16,FALSE)</f>
        <v>0</v>
      </c>
      <c r="CA186" s="314">
        <f>IF(VLOOKUP($D186,'2018 Plan Data'!$A$4:$T$2000,17,FALSE)&gt;0,VLOOKUP($D186,'2018 Plan Data'!$A$4:$T$2000,17,FALSE),0)</f>
        <v>231.3</v>
      </c>
      <c r="CB186" s="314">
        <f>IF(VLOOKUP($D186,'2018 Plan Data'!$A$4:$T$2000,18,FALSE)&gt;0,VLOOKUP($D186,'2018 Plan Data'!$A$4:$T$2000,18,FALSE),0)</f>
        <v>0</v>
      </c>
      <c r="CC186" s="314">
        <f>IF(VLOOKUP($D186,'2018 Plan Data'!$A$4:$T$2000,19,FALSE)&gt;0,VLOOKUP($D186,'2018 Plan Data'!$A$4:$T$2000,19,FALSE),0)</f>
        <v>231.3</v>
      </c>
      <c r="CD186" s="314">
        <f>IF(VLOOKUP($D186,'2018 Plan Data'!$A$4:$T$2000,20,FALSE)&gt;0,VLOOKUP($D186,'2018 Plan Data'!$A$4:$T$2000,20,FALSE),0)</f>
        <v>231.3</v>
      </c>
      <c r="CE186" s="600" t="b">
        <f t="shared" si="213"/>
        <v>1</v>
      </c>
      <c r="CF186" s="600" t="b">
        <f t="shared" si="214"/>
        <v>1</v>
      </c>
      <c r="CG186" s="600" t="b">
        <f t="shared" si="215"/>
        <v>1</v>
      </c>
      <c r="CH186" s="600" t="b">
        <f t="shared" si="216"/>
        <v>1</v>
      </c>
      <c r="CI186" s="600" t="b">
        <f t="shared" si="217"/>
        <v>1</v>
      </c>
      <c r="CJ186" s="600" t="b">
        <f t="shared" si="218"/>
        <v>1</v>
      </c>
      <c r="CK186" s="600" t="b">
        <f t="shared" si="219"/>
        <v>1</v>
      </c>
      <c r="CL186" s="600" t="b">
        <f t="shared" si="220"/>
        <v>1</v>
      </c>
      <c r="CM186" s="585"/>
      <c r="CN186" s="585"/>
      <c r="CO186" s="585"/>
      <c r="CP186" s="585"/>
      <c r="CQ186" s="585"/>
      <c r="CR186" s="585"/>
      <c r="CS186" s="585"/>
      <c r="CT186" s="585"/>
      <c r="CU186" s="585"/>
      <c r="CV186" s="585"/>
      <c r="CW186" s="585"/>
      <c r="CX186" s="585"/>
      <c r="CY186" s="585"/>
      <c r="CZ186" s="585"/>
      <c r="DA186" s="585"/>
      <c r="DB186" s="585"/>
      <c r="DC186" s="585"/>
      <c r="DD186" s="585"/>
      <c r="DE186" s="585"/>
      <c r="DF186" s="585"/>
      <c r="DG186" s="585"/>
      <c r="DH186" s="585"/>
      <c r="DI186" s="585"/>
      <c r="DJ186" s="585"/>
      <c r="DK186" s="585"/>
      <c r="DL186" s="585"/>
      <c r="DM186" s="585"/>
      <c r="DN186" s="585"/>
      <c r="DO186" s="585"/>
      <c r="DP186" s="585"/>
      <c r="DQ186" s="585"/>
      <c r="DR186" s="585"/>
      <c r="DS186" s="585"/>
      <c r="DT186" s="585"/>
      <c r="DU186" s="585"/>
      <c r="DV186" s="585"/>
      <c r="DW186" s="585"/>
      <c r="DX186" s="585"/>
      <c r="DY186" s="585"/>
      <c r="DZ186" s="585"/>
      <c r="EA186" s="585"/>
      <c r="EB186" s="585"/>
      <c r="EC186" s="585"/>
      <c r="ED186" s="585"/>
      <c r="EE186" s="585"/>
      <c r="EF186" s="585"/>
      <c r="EG186" s="585"/>
      <c r="EH186" s="585"/>
      <c r="EI186" s="585"/>
      <c r="EJ186" s="585"/>
      <c r="EK186" s="585"/>
      <c r="EL186" s="585"/>
      <c r="EM186" s="585"/>
      <c r="EN186" s="585"/>
      <c r="EO186" s="585"/>
      <c r="EP186" s="585"/>
      <c r="EQ186" s="585"/>
      <c r="ER186" s="585"/>
      <c r="ES186" s="585"/>
      <c r="ET186" s="585"/>
    </row>
    <row r="187" spans="1:349" ht="15.75" customHeight="1" x14ac:dyDescent="0.35">
      <c r="A187" s="585">
        <f t="shared" si="252"/>
        <v>366</v>
      </c>
      <c r="B187" s="600" t="str">
        <f t="shared" si="200"/>
        <v>Business_Standard-Public Buildings</v>
      </c>
      <c r="C187" s="600"/>
      <c r="D187">
        <v>366</v>
      </c>
      <c r="E187" s="600" t="s">
        <v>1944</v>
      </c>
      <c r="F187" s="600" t="str">
        <f>VLOOKUP(G187,Sheet4!$D$6:$E$22,2,FALSE)</f>
        <v>Standard</v>
      </c>
      <c r="G187" s="600" t="s">
        <v>1054</v>
      </c>
      <c r="H187" s="296" t="s">
        <v>1123</v>
      </c>
      <c r="J187" s="18" t="str">
        <f>J171</f>
        <v xml:space="preserve">HVAC </v>
      </c>
      <c r="K187" s="72" t="str">
        <f>INDEX('Measure Codes'!$F$4:$F$821,MATCH(H187,'Measure Codes'!$D$4:$D$821,0))</f>
        <v>n/a</v>
      </c>
      <c r="L187" s="72" t="str">
        <f>INDEX('Measure Codes'!$G$4:$G$821,MATCH(H187,'Measure Codes'!$D$4:$D$821,0))</f>
        <v>n/a</v>
      </c>
      <c r="M187" s="600">
        <v>1</v>
      </c>
      <c r="O187" s="72" t="str">
        <f t="shared" si="253"/>
        <v>Dual Fuel</v>
      </c>
      <c r="P187" s="7">
        <f>VLOOKUP(D187,'2018 Plan Data'!$A$4:$K$1000,11,FALSE)</f>
        <v>10</v>
      </c>
      <c r="Q187" s="652">
        <f>VLOOKUP(D187,'2018 Plan Data'!$A$4:$L$1000,12,FALSE)</f>
        <v>0</v>
      </c>
      <c r="R187" s="314">
        <f>R171</f>
        <v>621</v>
      </c>
      <c r="S187" s="314">
        <f>S171</f>
        <v>0</v>
      </c>
      <c r="T187" s="314">
        <f>T171</f>
        <v>5.7634999999999999E-2</v>
      </c>
      <c r="U187" s="314">
        <f>U171</f>
        <v>0</v>
      </c>
      <c r="V187" s="314">
        <f>V171</f>
        <v>61.482900000000001</v>
      </c>
      <c r="AD187" s="309">
        <f>'BUS Measure-Model Summary'!I660</f>
        <v>0.9</v>
      </c>
      <c r="AE187" s="309">
        <f t="shared" si="250"/>
        <v>0.9</v>
      </c>
      <c r="AF187" s="309">
        <f t="shared" si="250"/>
        <v>0.9</v>
      </c>
      <c r="AG187" s="309">
        <f t="shared" si="250"/>
        <v>0.9</v>
      </c>
      <c r="AH187" s="314">
        <f t="shared" si="254"/>
        <v>558.9</v>
      </c>
      <c r="AI187" s="314">
        <f t="shared" si="255"/>
        <v>558.9</v>
      </c>
      <c r="AJ187" s="314">
        <f t="shared" si="256"/>
        <v>558.9</v>
      </c>
      <c r="AK187" s="314">
        <f t="shared" si="257"/>
        <v>558.9</v>
      </c>
      <c r="AL187" s="309">
        <f t="shared" si="258"/>
        <v>0.9</v>
      </c>
      <c r="AM187" s="309">
        <f t="shared" si="259"/>
        <v>0.9</v>
      </c>
      <c r="AN187" s="309">
        <f t="shared" si="260"/>
        <v>0.9</v>
      </c>
      <c r="AO187" s="309">
        <f t="shared" si="261"/>
        <v>0.9</v>
      </c>
      <c r="AP187" s="446">
        <f t="shared" si="262"/>
        <v>5.1871500000000001E-2</v>
      </c>
      <c r="AQ187" s="446">
        <f t="shared" si="263"/>
        <v>5.1871500000000001E-2</v>
      </c>
      <c r="AR187" s="446">
        <f t="shared" si="264"/>
        <v>5.1871500000000001E-2</v>
      </c>
      <c r="AS187" s="446">
        <f t="shared" si="265"/>
        <v>5.1871500000000001E-2</v>
      </c>
      <c r="AT187" s="309">
        <f t="shared" si="245"/>
        <v>0.9</v>
      </c>
      <c r="AU187" s="309">
        <f t="shared" si="251"/>
        <v>0.9</v>
      </c>
      <c r="AV187" s="309">
        <f t="shared" si="251"/>
        <v>0.9</v>
      </c>
      <c r="AW187" s="309">
        <f t="shared" si="251"/>
        <v>0.9</v>
      </c>
      <c r="AX187" s="243">
        <f t="shared" si="266"/>
        <v>55.334610000000005</v>
      </c>
      <c r="AY187" s="243">
        <f t="shared" si="267"/>
        <v>55.334610000000005</v>
      </c>
      <c r="AZ187" s="243">
        <f t="shared" si="268"/>
        <v>55.334610000000005</v>
      </c>
      <c r="BA187" s="243">
        <f t="shared" si="269"/>
        <v>55.334610000000005</v>
      </c>
      <c r="BB187" s="652">
        <f>VLOOKUP($D187,'2018 Plan Data'!$A$4:$K$2000,6,FALSE)</f>
        <v>0</v>
      </c>
      <c r="BC187" s="243">
        <f>VLOOKUP($D187,'2018 Plan Data'!$A$4:$K$2000,7,FALSE)</f>
        <v>35</v>
      </c>
      <c r="BD187" s="243">
        <f>VLOOKUP($D187,'2018 Plan Data'!$A$4:$K$2000,8,FALSE)</f>
        <v>45</v>
      </c>
      <c r="BE187" s="243">
        <f>VLOOKUP($D187,'2018 Plan Data'!$A$4:$K$2000,9,FALSE)</f>
        <v>45</v>
      </c>
      <c r="BF187" s="243">
        <f t="shared" si="201"/>
        <v>0</v>
      </c>
      <c r="BG187" s="243">
        <f t="shared" si="202"/>
        <v>21735</v>
      </c>
      <c r="BH187" s="243">
        <f t="shared" si="203"/>
        <v>27945</v>
      </c>
      <c r="BI187" s="243">
        <f t="shared" si="204"/>
        <v>27945</v>
      </c>
      <c r="BJ187" s="243">
        <f t="shared" si="205"/>
        <v>0</v>
      </c>
      <c r="BK187" s="243">
        <f t="shared" si="206"/>
        <v>2151.9014999999999</v>
      </c>
      <c r="BL187" s="243">
        <f t="shared" si="207"/>
        <v>2766.7305000000001</v>
      </c>
      <c r="BM187" s="243">
        <f t="shared" si="208"/>
        <v>2766.7305000000001</v>
      </c>
      <c r="BN187" s="243">
        <f t="shared" si="246"/>
        <v>0</v>
      </c>
      <c r="BO187" s="243">
        <f t="shared" si="247"/>
        <v>19561.5</v>
      </c>
      <c r="BP187" s="243">
        <f t="shared" si="248"/>
        <v>25150.5</v>
      </c>
      <c r="BQ187" s="243">
        <f t="shared" si="249"/>
        <v>25150.5</v>
      </c>
      <c r="BR187" s="243">
        <f t="shared" si="270"/>
        <v>0</v>
      </c>
      <c r="BS187" s="243">
        <f t="shared" si="271"/>
        <v>1936.7113500000003</v>
      </c>
      <c r="BT187" s="243">
        <f t="shared" si="272"/>
        <v>2490.0574500000002</v>
      </c>
      <c r="BU187" s="243">
        <f t="shared" si="273"/>
        <v>2490.0574500000002</v>
      </c>
      <c r="BV187" s="600"/>
      <c r="BW187" s="243">
        <f>ROUND(VLOOKUP($D187,'2018 Plan Data'!$A$4:$T$2000,13,FALSE),10)</f>
        <v>0</v>
      </c>
      <c r="BX187" s="314">
        <f>VLOOKUP($D187,'2018 Plan Data'!$A$4:$T$2000,14,FALSE)</f>
        <v>19561.5</v>
      </c>
      <c r="BY187" s="314">
        <f>VLOOKUP($D187,'2018 Plan Data'!$A$4:$T$2000,15,FALSE)</f>
        <v>25150.5</v>
      </c>
      <c r="BZ187" s="314">
        <f>VLOOKUP($D187,'2018 Plan Data'!$A$4:$T$2000,16,FALSE)</f>
        <v>25150.5</v>
      </c>
      <c r="CA187" s="314">
        <f>IF(VLOOKUP($D187,'2018 Plan Data'!$A$4:$T$2000,17,FALSE)&gt;0,VLOOKUP($D187,'2018 Plan Data'!$A$4:$T$2000,17,FALSE),0)</f>
        <v>0</v>
      </c>
      <c r="CB187" s="314">
        <f>IF(VLOOKUP($D187,'2018 Plan Data'!$A$4:$T$2000,18,FALSE)&gt;0,VLOOKUP($D187,'2018 Plan Data'!$A$4:$T$2000,18,FALSE),0)</f>
        <v>1936.7113500000003</v>
      </c>
      <c r="CC187" s="314">
        <f>IF(VLOOKUP($D187,'2018 Plan Data'!$A$4:$T$2000,19,FALSE)&gt;0,VLOOKUP($D187,'2018 Plan Data'!$A$4:$T$2000,19,FALSE),0)</f>
        <v>2490.0574500000002</v>
      </c>
      <c r="CD187" s="314">
        <f>IF(VLOOKUP($D187,'2018 Plan Data'!$A$4:$T$2000,20,FALSE)&gt;0,VLOOKUP($D187,'2018 Plan Data'!$A$4:$T$2000,20,FALSE),0)</f>
        <v>2490.0574500000002</v>
      </c>
      <c r="CE187" s="600" t="b">
        <f t="shared" si="213"/>
        <v>1</v>
      </c>
      <c r="CF187" s="600" t="b">
        <f t="shared" si="214"/>
        <v>1</v>
      </c>
      <c r="CG187" s="600" t="b">
        <f t="shared" si="215"/>
        <v>1</v>
      </c>
      <c r="CH187" s="600" t="b">
        <f t="shared" si="216"/>
        <v>1</v>
      </c>
      <c r="CI187" s="600" t="b">
        <f t="shared" si="217"/>
        <v>1</v>
      </c>
      <c r="CJ187" s="600" t="b">
        <f t="shared" si="218"/>
        <v>1</v>
      </c>
      <c r="CK187" s="600" t="b">
        <f t="shared" si="219"/>
        <v>1</v>
      </c>
      <c r="CL187" s="600" t="b">
        <f t="shared" si="220"/>
        <v>1</v>
      </c>
      <c r="CM187" s="585"/>
      <c r="CN187" s="585"/>
      <c r="CO187" s="585"/>
      <c r="CP187" s="585"/>
      <c r="CQ187" s="585"/>
      <c r="CR187" s="585"/>
      <c r="CS187" s="585"/>
      <c r="CT187" s="585"/>
      <c r="CU187" s="585"/>
      <c r="CV187" s="585"/>
      <c r="CW187" s="585"/>
      <c r="CX187" s="585"/>
      <c r="CY187" s="585"/>
      <c r="CZ187" s="585"/>
      <c r="DA187" s="585"/>
      <c r="DB187" s="585"/>
      <c r="DC187" s="585"/>
      <c r="DD187" s="585"/>
      <c r="DE187" s="585"/>
      <c r="DF187" s="585"/>
      <c r="DG187" s="585"/>
      <c r="DH187" s="585"/>
      <c r="DI187" s="585"/>
      <c r="DJ187" s="585"/>
      <c r="DK187" s="585"/>
      <c r="DL187" s="585"/>
      <c r="DM187" s="585"/>
      <c r="DN187" s="585"/>
      <c r="DO187" s="585"/>
      <c r="DP187" s="585"/>
      <c r="DQ187" s="585"/>
      <c r="DR187" s="585"/>
      <c r="DS187" s="585"/>
      <c r="DT187" s="585"/>
      <c r="DU187" s="585"/>
      <c r="DV187" s="585"/>
      <c r="DW187" s="585"/>
      <c r="DX187" s="585"/>
      <c r="DY187" s="585"/>
      <c r="DZ187" s="585"/>
      <c r="EA187" s="585"/>
      <c r="EB187" s="585"/>
      <c r="EC187" s="585"/>
      <c r="ED187" s="585"/>
      <c r="EE187" s="585"/>
      <c r="EF187" s="585"/>
      <c r="EG187" s="585"/>
      <c r="EH187" s="585"/>
      <c r="EI187" s="585"/>
      <c r="EJ187" s="585"/>
      <c r="EK187" s="585"/>
      <c r="EL187" s="585"/>
      <c r="EM187" s="585"/>
      <c r="EN187" s="585"/>
      <c r="EO187" s="585"/>
      <c r="EP187" s="585"/>
      <c r="EQ187" s="585"/>
      <c r="ER187" s="585"/>
      <c r="ES187" s="585"/>
      <c r="ET187" s="585"/>
    </row>
    <row r="188" spans="1:349" ht="15.75" customHeight="1" x14ac:dyDescent="0.35">
      <c r="A188" s="585">
        <f t="shared" si="252"/>
        <v>274</v>
      </c>
      <c r="B188" s="600" t="str">
        <f t="shared" si="200"/>
        <v>Business_Standard-Public Buildings</v>
      </c>
      <c r="C188" s="600"/>
      <c r="D188" s="600">
        <v>274</v>
      </c>
      <c r="E188" s="600" t="s">
        <v>1944</v>
      </c>
      <c r="F188" s="600" t="str">
        <f>VLOOKUP(G188,Sheet4!$D$6:$E$22,2,FALSE)</f>
        <v>Standard</v>
      </c>
      <c r="G188" s="600" t="s">
        <v>1054</v>
      </c>
      <c r="H188" s="296" t="s">
        <v>135</v>
      </c>
      <c r="J188" s="18" t="str">
        <f>J110</f>
        <v>Cooking</v>
      </c>
      <c r="K188" s="72" t="str">
        <f>INDEX('Measure Codes'!$F$4:$F$821,MATCH(H188,'Measure Codes'!$D$4:$D$821,0))</f>
        <v>4.2.6</v>
      </c>
      <c r="L188" s="72" t="str">
        <f>INDEX('Measure Codes'!$G$4:$G$821,MATCH(H188,'Measure Codes'!$D$4:$D$821,0))</f>
        <v>CI-FSE-ESDW-V03-180101</v>
      </c>
      <c r="M188" s="600">
        <v>1</v>
      </c>
      <c r="O188" s="72" t="str">
        <f t="shared" si="253"/>
        <v>Dual Fuel</v>
      </c>
      <c r="P188" s="7">
        <f>VLOOKUP(D188,'2018 Plan Data'!$A$4:$K$1000,11,FALSE)</f>
        <v>15</v>
      </c>
      <c r="Q188" s="652">
        <f>VLOOKUP(D188,'2018 Plan Data'!$A$4:$L$1000,12,FALSE)</f>
        <v>0</v>
      </c>
      <c r="R188" s="314">
        <f>R110</f>
        <v>4339.74</v>
      </c>
      <c r="S188" s="314">
        <f>S110</f>
        <v>0</v>
      </c>
      <c r="T188" s="314">
        <f>T110</f>
        <v>0.66</v>
      </c>
      <c r="U188" s="314">
        <f>U110</f>
        <v>0</v>
      </c>
      <c r="V188" s="314">
        <f>V110</f>
        <v>279</v>
      </c>
      <c r="X188" s="600"/>
      <c r="Y188" s="600"/>
      <c r="Z188" s="600"/>
      <c r="AA188" s="600"/>
      <c r="AB188" s="600"/>
      <c r="AC188" s="600"/>
      <c r="AD188" s="309">
        <f>'BUS Measure-Model Summary'!I662</f>
        <v>0.9</v>
      </c>
      <c r="AE188" s="309">
        <f t="shared" si="250"/>
        <v>0.9</v>
      </c>
      <c r="AF188" s="309">
        <f t="shared" si="250"/>
        <v>0.9</v>
      </c>
      <c r="AG188" s="309">
        <f t="shared" si="250"/>
        <v>0.9</v>
      </c>
      <c r="AH188" s="314">
        <f t="shared" si="254"/>
        <v>3905.7660000000001</v>
      </c>
      <c r="AI188" s="314">
        <f t="shared" si="255"/>
        <v>3905.7660000000001</v>
      </c>
      <c r="AJ188" s="314">
        <f t="shared" si="256"/>
        <v>3905.7660000000001</v>
      </c>
      <c r="AK188" s="314">
        <f t="shared" si="257"/>
        <v>3905.7660000000001</v>
      </c>
      <c r="AL188" s="309">
        <f t="shared" si="258"/>
        <v>0.9</v>
      </c>
      <c r="AM188" s="309">
        <f t="shared" si="259"/>
        <v>0.9</v>
      </c>
      <c r="AN188" s="309">
        <f t="shared" si="260"/>
        <v>0.9</v>
      </c>
      <c r="AO188" s="309">
        <f t="shared" si="261"/>
        <v>0.9</v>
      </c>
      <c r="AP188" s="446">
        <f t="shared" si="262"/>
        <v>0.59400000000000008</v>
      </c>
      <c r="AQ188" s="446">
        <f t="shared" si="263"/>
        <v>0.59400000000000008</v>
      </c>
      <c r="AR188" s="446">
        <f t="shared" si="264"/>
        <v>0.59400000000000008</v>
      </c>
      <c r="AS188" s="446">
        <f t="shared" si="265"/>
        <v>0.59400000000000008</v>
      </c>
      <c r="AT188" s="309">
        <f t="shared" si="245"/>
        <v>0.9</v>
      </c>
      <c r="AU188" s="309">
        <f t="shared" si="251"/>
        <v>0.9</v>
      </c>
      <c r="AV188" s="309">
        <f t="shared" si="251"/>
        <v>0.9</v>
      </c>
      <c r="AW188" s="309">
        <f t="shared" si="251"/>
        <v>0.9</v>
      </c>
      <c r="AX188" s="243">
        <f t="shared" si="266"/>
        <v>251.1</v>
      </c>
      <c r="AY188" s="243">
        <f t="shared" si="267"/>
        <v>251.1</v>
      </c>
      <c r="AZ188" s="243">
        <f t="shared" si="268"/>
        <v>251.1</v>
      </c>
      <c r="BA188" s="243">
        <f t="shared" si="269"/>
        <v>251.1</v>
      </c>
      <c r="BB188" s="652">
        <f>VLOOKUP($D188,'2018 Plan Data'!$A$4:$K$2000,6,FALSE)</f>
        <v>6</v>
      </c>
      <c r="BC188" s="243">
        <f>VLOOKUP($D188,'2018 Plan Data'!$A$4:$K$2000,7,FALSE)</f>
        <v>6</v>
      </c>
      <c r="BD188" s="243">
        <f>VLOOKUP($D188,'2018 Plan Data'!$A$4:$K$2000,8,FALSE)</f>
        <v>6</v>
      </c>
      <c r="BE188" s="243">
        <f>VLOOKUP($D188,'2018 Plan Data'!$A$4:$K$2000,9,FALSE)</f>
        <v>6</v>
      </c>
      <c r="BF188" s="243">
        <f t="shared" si="201"/>
        <v>26038.44</v>
      </c>
      <c r="BG188" s="243">
        <f t="shared" si="202"/>
        <v>26038.44</v>
      </c>
      <c r="BH188" s="243">
        <f t="shared" si="203"/>
        <v>26038.44</v>
      </c>
      <c r="BI188" s="243">
        <f t="shared" si="204"/>
        <v>26038.44</v>
      </c>
      <c r="BJ188" s="243">
        <f t="shared" si="205"/>
        <v>1674</v>
      </c>
      <c r="BK188" s="243">
        <f t="shared" si="206"/>
        <v>1674</v>
      </c>
      <c r="BL188" s="243">
        <f t="shared" si="207"/>
        <v>1674</v>
      </c>
      <c r="BM188" s="243">
        <f t="shared" si="208"/>
        <v>1674</v>
      </c>
      <c r="BN188" s="243">
        <f t="shared" si="246"/>
        <v>23434.596000000001</v>
      </c>
      <c r="BO188" s="243">
        <f t="shared" si="247"/>
        <v>23434.596000000001</v>
      </c>
      <c r="BP188" s="243">
        <f t="shared" si="248"/>
        <v>23434.596000000001</v>
      </c>
      <c r="BQ188" s="243">
        <f t="shared" si="249"/>
        <v>23434.596000000001</v>
      </c>
      <c r="BR188" s="243">
        <f t="shared" si="270"/>
        <v>1506.6</v>
      </c>
      <c r="BS188" s="243">
        <f t="shared" si="271"/>
        <v>1506.6</v>
      </c>
      <c r="BT188" s="243">
        <f t="shared" si="272"/>
        <v>1506.6</v>
      </c>
      <c r="BU188" s="243">
        <f t="shared" si="273"/>
        <v>1506.6</v>
      </c>
      <c r="BV188" s="600"/>
      <c r="BW188" s="243">
        <f>ROUND(VLOOKUP($D188,'2018 Plan Data'!$A$4:$T$2000,13,FALSE),10)</f>
        <v>23434.596000000001</v>
      </c>
      <c r="BX188" s="314">
        <f>VLOOKUP($D188,'2018 Plan Data'!$A$4:$T$2000,14,FALSE)</f>
        <v>23434.596000000001</v>
      </c>
      <c r="BY188" s="314">
        <f>VLOOKUP($D188,'2018 Plan Data'!$A$4:$T$2000,15,FALSE)</f>
        <v>23434.596000000001</v>
      </c>
      <c r="BZ188" s="314">
        <f>VLOOKUP($D188,'2018 Plan Data'!$A$4:$T$2000,16,FALSE)</f>
        <v>23434.596000000001</v>
      </c>
      <c r="CA188" s="314">
        <f>IF(VLOOKUP($D188,'2018 Plan Data'!$A$4:$T$2000,17,FALSE)&gt;0,VLOOKUP($D188,'2018 Plan Data'!$A$4:$T$2000,17,FALSE),0)</f>
        <v>1506.6</v>
      </c>
      <c r="CB188" s="314">
        <f>IF(VLOOKUP($D188,'2018 Plan Data'!$A$4:$T$2000,18,FALSE)&gt;0,VLOOKUP($D188,'2018 Plan Data'!$A$4:$T$2000,18,FALSE),0)</f>
        <v>1506.6</v>
      </c>
      <c r="CC188" s="314">
        <f>IF(VLOOKUP($D188,'2018 Plan Data'!$A$4:$T$2000,19,FALSE)&gt;0,VLOOKUP($D188,'2018 Plan Data'!$A$4:$T$2000,19,FALSE),0)</f>
        <v>1506.6</v>
      </c>
      <c r="CD188" s="314">
        <f>IF(VLOOKUP($D188,'2018 Plan Data'!$A$4:$T$2000,20,FALSE)&gt;0,VLOOKUP($D188,'2018 Plan Data'!$A$4:$T$2000,20,FALSE),0)</f>
        <v>1506.6</v>
      </c>
      <c r="CE188" s="600" t="b">
        <f t="shared" si="213"/>
        <v>1</v>
      </c>
      <c r="CF188" s="600" t="b">
        <f t="shared" si="214"/>
        <v>1</v>
      </c>
      <c r="CG188" s="600" t="b">
        <f t="shared" si="215"/>
        <v>1</v>
      </c>
      <c r="CH188" s="600" t="b">
        <f t="shared" si="216"/>
        <v>1</v>
      </c>
      <c r="CI188" s="600" t="b">
        <f t="shared" si="217"/>
        <v>1</v>
      </c>
      <c r="CJ188" s="600" t="b">
        <f t="shared" si="218"/>
        <v>1</v>
      </c>
      <c r="CK188" s="600" t="b">
        <f t="shared" si="219"/>
        <v>1</v>
      </c>
      <c r="CL188" s="600" t="b">
        <f t="shared" si="220"/>
        <v>1</v>
      </c>
      <c r="CM188" s="585"/>
      <c r="CN188" s="585"/>
      <c r="CO188" s="585"/>
      <c r="CP188" s="585"/>
      <c r="CQ188" s="585"/>
      <c r="CR188" s="585"/>
      <c r="CS188" s="585"/>
      <c r="CT188" s="585"/>
      <c r="CU188" s="585"/>
      <c r="CV188" s="585"/>
      <c r="CW188" s="585"/>
      <c r="CX188" s="585"/>
      <c r="CY188" s="585"/>
      <c r="CZ188" s="585"/>
      <c r="DA188" s="585"/>
      <c r="DB188" s="585"/>
      <c r="DC188" s="585"/>
      <c r="DD188" s="585"/>
      <c r="DE188" s="585"/>
      <c r="DF188" s="585"/>
      <c r="DG188" s="585"/>
      <c r="DH188" s="585"/>
      <c r="DI188" s="585"/>
      <c r="DJ188" s="585"/>
      <c r="DK188" s="585"/>
      <c r="DL188" s="585"/>
      <c r="DM188" s="585"/>
      <c r="DN188" s="585"/>
      <c r="DO188" s="585"/>
      <c r="DP188" s="585"/>
      <c r="DQ188" s="585"/>
      <c r="DR188" s="585"/>
      <c r="DS188" s="585"/>
      <c r="DT188" s="585"/>
      <c r="DU188" s="585"/>
      <c r="DV188" s="585"/>
      <c r="DW188" s="585"/>
      <c r="DX188" s="585"/>
      <c r="DY188" s="585"/>
      <c r="DZ188" s="585"/>
      <c r="EA188" s="585"/>
      <c r="EB188" s="585"/>
      <c r="EC188" s="585"/>
      <c r="ED188" s="585"/>
      <c r="EE188" s="585"/>
      <c r="EF188" s="585"/>
      <c r="EG188" s="585"/>
      <c r="EH188" s="585"/>
      <c r="EI188" s="585"/>
      <c r="EJ188" s="585"/>
      <c r="EK188" s="585"/>
      <c r="EL188" s="585"/>
      <c r="EM188" s="585"/>
      <c r="EN188" s="585"/>
      <c r="EO188" s="585"/>
      <c r="EP188" s="585"/>
      <c r="EQ188" s="585"/>
      <c r="ER188" s="585"/>
      <c r="ES188" s="585"/>
      <c r="ET188" s="585"/>
    </row>
    <row r="189" spans="1:349" ht="15.75" customHeight="1" x14ac:dyDescent="0.35">
      <c r="A189" s="585">
        <f t="shared" si="252"/>
        <v>276</v>
      </c>
      <c r="B189" s="600" t="str">
        <f t="shared" si="200"/>
        <v>Business_Standard-Public Buildings</v>
      </c>
      <c r="C189" s="600"/>
      <c r="D189">
        <v>276</v>
      </c>
      <c r="E189" s="600" t="s">
        <v>1944</v>
      </c>
      <c r="F189" s="600" t="str">
        <f>VLOOKUP(G189,Sheet4!$D$6:$E$22,2,FALSE)</f>
        <v>Standard</v>
      </c>
      <c r="G189" s="600" t="s">
        <v>1054</v>
      </c>
      <c r="H189" s="296" t="s">
        <v>140</v>
      </c>
      <c r="J189" s="18" t="str">
        <f>J112</f>
        <v xml:space="preserve">HVAC </v>
      </c>
      <c r="K189" s="72" t="str">
        <f>INDEX('Measure Codes'!$F$4:$F$821,MATCH(H189,'Measure Codes'!$D$4:$D$821,0))</f>
        <v>4.4.11</v>
      </c>
      <c r="L189" s="72" t="str">
        <f>INDEX('Measure Codes'!$G$4:$G$821,MATCH(H189,'Measure Codes'!$D$4:$D$821,0))</f>
        <v>CI-HVC-FRNC-V07-180101</v>
      </c>
      <c r="M189" s="600">
        <v>1</v>
      </c>
      <c r="O189" s="72" t="str">
        <f t="shared" si="253"/>
        <v>Dual Fuel</v>
      </c>
      <c r="P189" s="7">
        <f>VLOOKUP(D189,'2018 Plan Data'!$A$4:$K$1000,11,FALSE)</f>
        <v>16.5</v>
      </c>
      <c r="Q189" s="652">
        <f>VLOOKUP(D189,'2018 Plan Data'!$A$4:$L$1000,12,FALSE)</f>
        <v>0</v>
      </c>
      <c r="R189" s="314">
        <f t="shared" ref="R189:W189" si="274">R112</f>
        <v>703.4542114695339</v>
      </c>
      <c r="S189" s="314">
        <f t="shared" si="274"/>
        <v>0</v>
      </c>
      <c r="T189" s="314">
        <f t="shared" si="274"/>
        <v>0.13878620061450539</v>
      </c>
      <c r="U189" s="314">
        <f t="shared" si="274"/>
        <v>0</v>
      </c>
      <c r="V189" s="314">
        <f t="shared" si="274"/>
        <v>691.15747535750711</v>
      </c>
      <c r="W189" s="314">
        <f t="shared" si="274"/>
        <v>0</v>
      </c>
      <c r="X189" s="600"/>
      <c r="Y189" s="600"/>
      <c r="Z189" s="600"/>
      <c r="AA189" s="600"/>
      <c r="AB189" s="600"/>
      <c r="AC189" s="600"/>
      <c r="AD189" s="309">
        <f>'BUS Measure-Model Summary'!I663</f>
        <v>0.9</v>
      </c>
      <c r="AE189" s="309">
        <f t="shared" si="250"/>
        <v>0.9</v>
      </c>
      <c r="AF189" s="309">
        <f t="shared" si="250"/>
        <v>0.9</v>
      </c>
      <c r="AG189" s="309">
        <f t="shared" si="250"/>
        <v>0.9</v>
      </c>
      <c r="AH189" s="314">
        <f t="shared" si="254"/>
        <v>633.10879032258049</v>
      </c>
      <c r="AI189" s="314">
        <f t="shared" si="255"/>
        <v>633.10879032258049</v>
      </c>
      <c r="AJ189" s="314">
        <f t="shared" si="256"/>
        <v>633.10879032258049</v>
      </c>
      <c r="AK189" s="314">
        <f t="shared" si="257"/>
        <v>633.10879032258049</v>
      </c>
      <c r="AL189" s="309">
        <f t="shared" si="258"/>
        <v>0.9</v>
      </c>
      <c r="AM189" s="309">
        <f t="shared" si="259"/>
        <v>0.9</v>
      </c>
      <c r="AN189" s="309">
        <f t="shared" si="260"/>
        <v>0.9</v>
      </c>
      <c r="AO189" s="309">
        <f t="shared" si="261"/>
        <v>0.9</v>
      </c>
      <c r="AP189" s="446">
        <f t="shared" si="262"/>
        <v>0.12490758055305486</v>
      </c>
      <c r="AQ189" s="446">
        <f t="shared" si="263"/>
        <v>0.12490758055305486</v>
      </c>
      <c r="AR189" s="446">
        <f t="shared" si="264"/>
        <v>0.12490758055305486</v>
      </c>
      <c r="AS189" s="446">
        <f t="shared" si="265"/>
        <v>0.12490758055305486</v>
      </c>
      <c r="AT189" s="309">
        <f t="shared" si="245"/>
        <v>0.9</v>
      </c>
      <c r="AU189" s="309">
        <f t="shared" si="251"/>
        <v>0.9</v>
      </c>
      <c r="AV189" s="309">
        <f t="shared" si="251"/>
        <v>0.9</v>
      </c>
      <c r="AW189" s="309">
        <f t="shared" si="251"/>
        <v>0.9</v>
      </c>
      <c r="AX189" s="243">
        <f t="shared" si="266"/>
        <v>622.04172782175647</v>
      </c>
      <c r="AY189" s="243">
        <f t="shared" si="267"/>
        <v>622.04172782175647</v>
      </c>
      <c r="AZ189" s="243">
        <f t="shared" si="268"/>
        <v>622.04172782175647</v>
      </c>
      <c r="BA189" s="243">
        <f t="shared" si="269"/>
        <v>622.04172782175647</v>
      </c>
      <c r="BB189" s="652">
        <f>VLOOKUP($D189,'2018 Plan Data'!$A$4:$K$2000,6,FALSE)</f>
        <v>34</v>
      </c>
      <c r="BC189" s="243">
        <f>VLOOKUP($D189,'2018 Plan Data'!$A$4:$K$2000,7,FALSE)</f>
        <v>30</v>
      </c>
      <c r="BD189" s="243">
        <f>VLOOKUP($D189,'2018 Plan Data'!$A$4:$K$2000,8,FALSE)</f>
        <v>30</v>
      </c>
      <c r="BE189" s="243">
        <f>VLOOKUP($D189,'2018 Plan Data'!$A$4:$K$2000,9,FALSE)</f>
        <v>30</v>
      </c>
      <c r="BF189" s="243">
        <f t="shared" si="201"/>
        <v>23917.443189964153</v>
      </c>
      <c r="BG189" s="243">
        <f t="shared" si="202"/>
        <v>21103.626344086017</v>
      </c>
      <c r="BH189" s="243">
        <f t="shared" si="203"/>
        <v>21103.626344086017</v>
      </c>
      <c r="BI189" s="243">
        <f t="shared" si="204"/>
        <v>21103.626344086017</v>
      </c>
      <c r="BJ189" s="243">
        <f t="shared" si="205"/>
        <v>23499.354162155243</v>
      </c>
      <c r="BK189" s="243">
        <f t="shared" si="206"/>
        <v>20734.724260725212</v>
      </c>
      <c r="BL189" s="243">
        <f t="shared" si="207"/>
        <v>20734.724260725212</v>
      </c>
      <c r="BM189" s="243">
        <f t="shared" si="208"/>
        <v>20734.724260725212</v>
      </c>
      <c r="BN189" s="243">
        <f t="shared" si="246"/>
        <v>21525.698870967699</v>
      </c>
      <c r="BO189" s="243">
        <f t="shared" ref="BO189:BO215" si="275">AI189*BC189</f>
        <v>18993.263709677416</v>
      </c>
      <c r="BP189" s="243">
        <f t="shared" ref="BP189:BP215" si="276">AJ189*BD189</f>
        <v>18993.263709677416</v>
      </c>
      <c r="BQ189" s="243">
        <f t="shared" ref="BQ189:BQ215" si="277">AK189*BE189</f>
        <v>18993.263709677416</v>
      </c>
      <c r="BR189" s="243">
        <f t="shared" si="270"/>
        <v>21149.418745939722</v>
      </c>
      <c r="BS189" s="243">
        <f t="shared" si="271"/>
        <v>18661.251834652692</v>
      </c>
      <c r="BT189" s="243">
        <f t="shared" si="272"/>
        <v>18661.251834652692</v>
      </c>
      <c r="BU189" s="243">
        <f t="shared" si="273"/>
        <v>18661.251834652692</v>
      </c>
      <c r="BV189" s="600"/>
      <c r="BW189" s="243">
        <f>ROUND(VLOOKUP($D189,'2018 Plan Data'!$A$4:$T$2000,13,FALSE),10)</f>
        <v>21525.698870967699</v>
      </c>
      <c r="BX189" s="314">
        <f>VLOOKUP($D189,'2018 Plan Data'!$A$4:$T$2000,14,FALSE)</f>
        <v>18993.263709677416</v>
      </c>
      <c r="BY189" s="314">
        <f>VLOOKUP($D189,'2018 Plan Data'!$A$4:$T$2000,15,FALSE)</f>
        <v>18993.263709677416</v>
      </c>
      <c r="BZ189" s="314">
        <f>VLOOKUP($D189,'2018 Plan Data'!$A$4:$T$2000,16,FALSE)</f>
        <v>18993.263709677416</v>
      </c>
      <c r="CA189" s="314">
        <f>IF(VLOOKUP($D189,'2018 Plan Data'!$A$4:$T$2000,17,FALSE)&gt;0,VLOOKUP($D189,'2018 Plan Data'!$A$4:$T$2000,17,FALSE),0)</f>
        <v>16601.256855951851</v>
      </c>
      <c r="CB189" s="314">
        <f>IF(VLOOKUP($D189,'2018 Plan Data'!$A$4:$T$2000,18,FALSE)&gt;0,VLOOKUP($D189,'2018 Plan Data'!$A$4:$T$2000,18,FALSE),0)</f>
        <v>14648.167814075165</v>
      </c>
      <c r="CC189" s="314">
        <f>IF(VLOOKUP($D189,'2018 Plan Data'!$A$4:$T$2000,19,FALSE)&gt;0,VLOOKUP($D189,'2018 Plan Data'!$A$4:$T$2000,19,FALSE),0)</f>
        <v>14648.167814075165</v>
      </c>
      <c r="CD189" s="314">
        <f>IF(VLOOKUP($D189,'2018 Plan Data'!$A$4:$T$2000,20,FALSE)&gt;0,VLOOKUP($D189,'2018 Plan Data'!$A$4:$T$2000,20,FALSE),0)</f>
        <v>14648.167814075165</v>
      </c>
      <c r="CE189" s="600" t="b">
        <f t="shared" si="213"/>
        <v>1</v>
      </c>
      <c r="CF189" s="600" t="b">
        <f t="shared" si="214"/>
        <v>1</v>
      </c>
      <c r="CG189" s="600" t="b">
        <f t="shared" si="215"/>
        <v>1</v>
      </c>
      <c r="CH189" s="600" t="b">
        <f t="shared" si="216"/>
        <v>1</v>
      </c>
      <c r="CI189" s="600" t="b">
        <f t="shared" si="217"/>
        <v>0</v>
      </c>
      <c r="CJ189" s="600" t="b">
        <f t="shared" si="218"/>
        <v>0</v>
      </c>
      <c r="CK189" s="600" t="b">
        <f t="shared" si="219"/>
        <v>0</v>
      </c>
      <c r="CL189" s="600" t="b">
        <f t="shared" si="220"/>
        <v>0</v>
      </c>
      <c r="CM189" s="585"/>
      <c r="CN189" s="585"/>
      <c r="CO189" s="585"/>
      <c r="CP189" s="585"/>
      <c r="CQ189" s="585"/>
      <c r="CR189" s="585"/>
      <c r="CS189" s="585"/>
      <c r="CT189" s="585"/>
      <c r="CU189" s="585"/>
      <c r="CV189" s="585"/>
      <c r="CW189" s="585"/>
      <c r="CX189" s="585"/>
      <c r="CY189" s="585"/>
      <c r="CZ189" s="585"/>
      <c r="DA189" s="585"/>
      <c r="DB189" s="585"/>
      <c r="DC189" s="585"/>
      <c r="DD189" s="585"/>
      <c r="DE189" s="585"/>
      <c r="DF189" s="585"/>
      <c r="DG189" s="585"/>
      <c r="DH189" s="585"/>
      <c r="DI189" s="585"/>
      <c r="DJ189" s="585"/>
      <c r="DK189" s="585"/>
      <c r="DL189" s="585"/>
      <c r="DM189" s="585"/>
      <c r="DN189" s="585"/>
      <c r="DO189" s="585"/>
      <c r="DP189" s="585"/>
      <c r="DQ189" s="585"/>
      <c r="DR189" s="585"/>
      <c r="DS189" s="585"/>
      <c r="DT189" s="585"/>
      <c r="DU189" s="585"/>
      <c r="DV189" s="585"/>
      <c r="DW189" s="585"/>
      <c r="DX189" s="585"/>
      <c r="DY189" s="585"/>
      <c r="DZ189" s="585"/>
      <c r="EA189" s="585"/>
      <c r="EB189" s="585"/>
      <c r="EC189" s="585"/>
      <c r="ED189" s="585"/>
      <c r="EE189" s="585"/>
      <c r="EF189" s="585"/>
      <c r="EG189" s="585"/>
      <c r="EH189" s="585"/>
      <c r="EI189" s="585"/>
      <c r="EJ189" s="585"/>
      <c r="EK189" s="585"/>
      <c r="EL189" s="585"/>
      <c r="EM189" s="585"/>
      <c r="EN189" s="585"/>
      <c r="EO189" s="585"/>
      <c r="EP189" s="585"/>
      <c r="EQ189" s="585"/>
      <c r="ER189" s="585"/>
      <c r="ES189" s="585"/>
      <c r="ET189" s="585"/>
    </row>
    <row r="190" spans="1:349" ht="15.75" customHeight="1" x14ac:dyDescent="0.35">
      <c r="A190" s="585">
        <f t="shared" si="252"/>
        <v>269</v>
      </c>
      <c r="B190" s="600" t="str">
        <f t="shared" si="200"/>
        <v>Business_Standard-Public Buildings</v>
      </c>
      <c r="C190" s="600"/>
      <c r="D190">
        <v>269</v>
      </c>
      <c r="E190" s="600" t="s">
        <v>1944</v>
      </c>
      <c r="F190" s="600" t="str">
        <f>VLOOKUP(G190,Sheet4!$D$6:$E$22,2,FALSE)</f>
        <v>Standard</v>
      </c>
      <c r="G190" s="600" t="s">
        <v>1054</v>
      </c>
      <c r="H190" s="296" t="s">
        <v>141</v>
      </c>
      <c r="J190" s="18" t="str">
        <f>J113</f>
        <v xml:space="preserve">HVAC </v>
      </c>
      <c r="K190" s="72" t="str">
        <f>INDEX('Measure Codes'!$F$4:$F$821,MATCH(H190,'Measure Codes'!$D$4:$D$821,0))</f>
        <v>4.4.4</v>
      </c>
      <c r="L190" s="72" t="str">
        <f>INDEX('Measure Codes'!$G$4:$G$821,MATCH(H190,'Measure Codes'!$D$4:$D$821,0))</f>
        <v>CI-HVC-BLRC-V03-150601</v>
      </c>
      <c r="M190" s="600">
        <v>1</v>
      </c>
      <c r="O190" s="72" t="str">
        <f t="shared" si="253"/>
        <v>Gas</v>
      </c>
      <c r="P190" s="7">
        <f>VLOOKUP(D190,'2018 Plan Data'!$A$4:$K$1000,11,FALSE)</f>
        <v>20</v>
      </c>
      <c r="Q190" s="652">
        <f>VLOOKUP(D190,'2018 Plan Data'!$A$4:$L$1000,12,FALSE)</f>
        <v>0</v>
      </c>
      <c r="R190" s="314">
        <f>R113</f>
        <v>0</v>
      </c>
      <c r="S190" s="314">
        <f>S113</f>
        <v>0</v>
      </c>
      <c r="T190" s="314">
        <f>T113</f>
        <v>0</v>
      </c>
      <c r="U190" s="314">
        <f>U113</f>
        <v>0</v>
      </c>
      <c r="V190" s="314">
        <f>V191</f>
        <v>1422.9771820000001</v>
      </c>
      <c r="AD190" s="309">
        <f>'BUS Measure-Model Summary'!I664</f>
        <v>0.9</v>
      </c>
      <c r="AE190" s="309">
        <f t="shared" ref="AE190:AG209" si="278">AD190</f>
        <v>0.9</v>
      </c>
      <c r="AF190" s="309">
        <f t="shared" si="278"/>
        <v>0.9</v>
      </c>
      <c r="AG190" s="309">
        <f t="shared" si="278"/>
        <v>0.9</v>
      </c>
      <c r="AH190" s="314">
        <f t="shared" si="254"/>
        <v>0</v>
      </c>
      <c r="AI190" s="314">
        <f t="shared" si="255"/>
        <v>0</v>
      </c>
      <c r="AJ190" s="314">
        <f t="shared" si="256"/>
        <v>0</v>
      </c>
      <c r="AK190" s="314">
        <f t="shared" si="257"/>
        <v>0</v>
      </c>
      <c r="AL190" s="309">
        <f t="shared" si="258"/>
        <v>0.9</v>
      </c>
      <c r="AM190" s="309">
        <f t="shared" si="259"/>
        <v>0.9</v>
      </c>
      <c r="AN190" s="309">
        <f t="shared" si="260"/>
        <v>0.9</v>
      </c>
      <c r="AO190" s="309">
        <f t="shared" si="261"/>
        <v>0.9</v>
      </c>
      <c r="AP190" s="446">
        <f t="shared" si="262"/>
        <v>0</v>
      </c>
      <c r="AQ190" s="446">
        <f t="shared" si="263"/>
        <v>0</v>
      </c>
      <c r="AR190" s="446">
        <f t="shared" si="264"/>
        <v>0</v>
      </c>
      <c r="AS190" s="446">
        <f t="shared" si="265"/>
        <v>0</v>
      </c>
      <c r="AT190" s="309">
        <f t="shared" si="245"/>
        <v>0.9</v>
      </c>
      <c r="AU190" s="309">
        <f t="shared" ref="AU190:AW207" si="279">AT190</f>
        <v>0.9</v>
      </c>
      <c r="AV190" s="309">
        <f t="shared" si="279"/>
        <v>0.9</v>
      </c>
      <c r="AW190" s="309">
        <f t="shared" si="279"/>
        <v>0.9</v>
      </c>
      <c r="AX190" s="243">
        <f t="shared" si="266"/>
        <v>1280.6794638000001</v>
      </c>
      <c r="AY190" s="243">
        <f t="shared" si="267"/>
        <v>1280.6794638000001</v>
      </c>
      <c r="AZ190" s="243">
        <f t="shared" si="268"/>
        <v>1280.6794638000001</v>
      </c>
      <c r="BA190" s="243">
        <f t="shared" si="269"/>
        <v>1280.6794638000001</v>
      </c>
      <c r="BB190" s="243">
        <f>VLOOKUP($D190,'2018 Plan Data'!$A$4:$K$2000,6,FALSE)</f>
        <v>29</v>
      </c>
      <c r="BC190" s="243">
        <f>VLOOKUP($D190,'2018 Plan Data'!$A$4:$K$2000,7,FALSE)</f>
        <v>25</v>
      </c>
      <c r="BD190" s="243">
        <f>VLOOKUP($D190,'2018 Plan Data'!$A$4:$K$2000,8,FALSE)</f>
        <v>30</v>
      </c>
      <c r="BE190" s="243">
        <f>VLOOKUP($D190,'2018 Plan Data'!$A$4:$K$2000,9,FALSE)</f>
        <v>30</v>
      </c>
      <c r="BF190" s="243">
        <f t="shared" si="201"/>
        <v>0</v>
      </c>
      <c r="BG190" s="243">
        <f t="shared" si="202"/>
        <v>0</v>
      </c>
      <c r="BH190" s="243">
        <f t="shared" si="203"/>
        <v>0</v>
      </c>
      <c r="BI190" s="243">
        <f t="shared" si="204"/>
        <v>0</v>
      </c>
      <c r="BJ190" s="243">
        <f t="shared" si="205"/>
        <v>41266.338278000003</v>
      </c>
      <c r="BK190" s="243">
        <f t="shared" si="206"/>
        <v>35574.429550000001</v>
      </c>
      <c r="BL190" s="243">
        <f t="shared" si="207"/>
        <v>42689.315460000005</v>
      </c>
      <c r="BM190" s="243">
        <f t="shared" si="208"/>
        <v>42689.315460000005</v>
      </c>
      <c r="BN190" s="243">
        <f t="shared" si="246"/>
        <v>0</v>
      </c>
      <c r="BO190" s="243">
        <f t="shared" si="275"/>
        <v>0</v>
      </c>
      <c r="BP190" s="243">
        <f t="shared" si="276"/>
        <v>0</v>
      </c>
      <c r="BQ190" s="243">
        <f t="shared" si="277"/>
        <v>0</v>
      </c>
      <c r="BR190" s="243">
        <f t="shared" si="270"/>
        <v>37139.704450200006</v>
      </c>
      <c r="BS190" s="243">
        <f t="shared" si="271"/>
        <v>32016.986595000002</v>
      </c>
      <c r="BT190" s="243">
        <f t="shared" si="272"/>
        <v>38420.383914000005</v>
      </c>
      <c r="BU190" s="243">
        <f t="shared" si="273"/>
        <v>38420.383914000005</v>
      </c>
      <c r="BV190" s="600"/>
      <c r="BW190" s="243">
        <f>ROUND(VLOOKUP($D190,'2018 Plan Data'!$A$4:$T$2000,13,FALSE),10)</f>
        <v>0</v>
      </c>
      <c r="BX190" s="314">
        <f>VLOOKUP($D190,'2018 Plan Data'!$A$4:$T$2000,14,FALSE)</f>
        <v>0</v>
      </c>
      <c r="BY190" s="314">
        <f>VLOOKUP($D190,'2018 Plan Data'!$A$4:$T$2000,15,FALSE)</f>
        <v>0</v>
      </c>
      <c r="BZ190" s="314">
        <f>VLOOKUP($D190,'2018 Plan Data'!$A$4:$T$2000,16,FALSE)</f>
        <v>0</v>
      </c>
      <c r="CA190" s="314">
        <f>IF(VLOOKUP($D190,'2018 Plan Data'!$A$4:$T$2000,17,FALSE)&gt;0,VLOOKUP($D190,'2018 Plan Data'!$A$4:$T$2000,17,FALSE),0)</f>
        <v>34914.668905800012</v>
      </c>
      <c r="CB190" s="314">
        <f>IF(VLOOKUP($D190,'2018 Plan Data'!$A$4:$T$2000,18,FALSE)&gt;0,VLOOKUP($D190,'2018 Plan Data'!$A$4:$T$2000,18,FALSE),0)</f>
        <v>30098.852505000006</v>
      </c>
      <c r="CC190" s="314">
        <f>IF(VLOOKUP($D190,'2018 Plan Data'!$A$4:$T$2000,19,FALSE)&gt;0,VLOOKUP($D190,'2018 Plan Data'!$A$4:$T$2000,19,FALSE),0)</f>
        <v>36118.623006000009</v>
      </c>
      <c r="CD190" s="314">
        <f>IF(VLOOKUP($D190,'2018 Plan Data'!$A$4:$T$2000,20,FALSE)&gt;0,VLOOKUP($D190,'2018 Plan Data'!$A$4:$T$2000,20,FALSE),0)</f>
        <v>36118.623006000009</v>
      </c>
      <c r="CE190" s="600" t="b">
        <f t="shared" si="213"/>
        <v>1</v>
      </c>
      <c r="CF190" s="600" t="b">
        <f t="shared" si="214"/>
        <v>1</v>
      </c>
      <c r="CG190" s="600" t="b">
        <f t="shared" si="215"/>
        <v>1</v>
      </c>
      <c r="CH190" s="600" t="b">
        <f t="shared" si="216"/>
        <v>1</v>
      </c>
      <c r="CI190" s="600" t="b">
        <f t="shared" si="217"/>
        <v>0</v>
      </c>
      <c r="CJ190" s="600" t="b">
        <f t="shared" si="218"/>
        <v>0</v>
      </c>
      <c r="CK190" s="600" t="b">
        <f t="shared" si="219"/>
        <v>0</v>
      </c>
      <c r="CL190" s="600" t="b">
        <f t="shared" si="220"/>
        <v>0</v>
      </c>
      <c r="CM190" s="585"/>
      <c r="CN190" s="585"/>
      <c r="CO190" s="585"/>
      <c r="CP190" s="585"/>
      <c r="CQ190" s="585"/>
      <c r="CR190" s="585"/>
      <c r="CS190" s="585"/>
      <c r="CT190" s="585"/>
      <c r="CU190" s="585"/>
      <c r="CV190" s="585"/>
      <c r="CW190" s="585"/>
      <c r="CX190" s="585"/>
      <c r="CY190" s="585"/>
      <c r="CZ190" s="585"/>
      <c r="DA190" s="585"/>
      <c r="DB190" s="585"/>
      <c r="DC190" s="585"/>
      <c r="DD190" s="585"/>
      <c r="DE190" s="585"/>
      <c r="DF190" s="585"/>
      <c r="DG190" s="585"/>
      <c r="DH190" s="585"/>
      <c r="DI190" s="585"/>
      <c r="DJ190" s="585"/>
      <c r="DK190" s="585"/>
      <c r="DL190" s="585"/>
      <c r="DM190" s="585"/>
      <c r="DN190" s="585"/>
      <c r="DO190" s="585"/>
      <c r="DP190" s="585"/>
      <c r="DQ190" s="585"/>
      <c r="DR190" s="585"/>
      <c r="DS190" s="585"/>
      <c r="DT190" s="585"/>
      <c r="DU190" s="585"/>
      <c r="DV190" s="585"/>
      <c r="DW190" s="585"/>
      <c r="DX190" s="585"/>
      <c r="DY190" s="585"/>
      <c r="DZ190" s="585"/>
      <c r="EA190" s="585"/>
      <c r="EB190" s="585"/>
      <c r="EC190" s="585"/>
      <c r="ED190" s="585"/>
      <c r="EE190" s="585"/>
      <c r="EF190" s="585"/>
      <c r="EG190" s="585"/>
      <c r="EH190" s="585"/>
      <c r="EI190" s="585"/>
      <c r="EJ190" s="585"/>
      <c r="EK190" s="585"/>
      <c r="EL190" s="585"/>
      <c r="EM190" s="585"/>
      <c r="EN190" s="585"/>
      <c r="EO190" s="585"/>
      <c r="EP190" s="585"/>
      <c r="EQ190" s="585"/>
      <c r="ER190" s="585"/>
      <c r="ES190" s="585"/>
      <c r="ET190" s="585"/>
    </row>
    <row r="191" spans="1:349" ht="15" customHeight="1" x14ac:dyDescent="0.35">
      <c r="A191" s="585">
        <f t="shared" si="252"/>
        <v>404</v>
      </c>
      <c r="B191" s="600" t="str">
        <f t="shared" si="200"/>
        <v>Business_Standard-Small Business</v>
      </c>
      <c r="C191" s="600"/>
      <c r="D191">
        <v>404</v>
      </c>
      <c r="E191" s="600" t="s">
        <v>1944</v>
      </c>
      <c r="F191" s="600" t="str">
        <f>VLOOKUP(G191,Sheet4!$D$6:$E$22,2,FALSE)</f>
        <v>Standard</v>
      </c>
      <c r="G191" s="600" t="s">
        <v>1032</v>
      </c>
      <c r="H191" s="296" t="s">
        <v>141</v>
      </c>
      <c r="J191" s="18" t="str">
        <f>J190</f>
        <v xml:space="preserve">HVAC </v>
      </c>
      <c r="K191" s="72" t="str">
        <f>INDEX('Measure Codes'!$F$4:$F$821,MATCH(H191,'Measure Codes'!$D$4:$D$821,0))</f>
        <v>4.4.4</v>
      </c>
      <c r="L191" s="72" t="str">
        <f>INDEX('Measure Codes'!$G$4:$G$821,MATCH(H191,'Measure Codes'!$D$4:$D$821,0))</f>
        <v>CI-HVC-BLRC-V03-150601</v>
      </c>
      <c r="M191" s="600">
        <v>1</v>
      </c>
      <c r="O191" s="72" t="str">
        <f t="shared" si="253"/>
        <v>Gas</v>
      </c>
      <c r="P191" s="7">
        <f>VLOOKUP(D191,'2018 Plan Data'!$A$4:$K$1000,11,FALSE)</f>
        <v>20</v>
      </c>
      <c r="Q191" s="652">
        <f>VLOOKUP(D191,'2018 Plan Data'!$A$4:$L$1000,12,FALSE)</f>
        <v>0</v>
      </c>
      <c r="R191" s="314">
        <f>'BUS Measure-Model Summary'!D346</f>
        <v>0</v>
      </c>
      <c r="T191" s="314">
        <v>0</v>
      </c>
      <c r="V191" s="314">
        <f>'BUS - BPH9 SB (TRM)'!C24</f>
        <v>1422.9771820000001</v>
      </c>
      <c r="AD191" s="309">
        <f>'BUS Measure-Model Summary'!I278</f>
        <v>0.96199999999999997</v>
      </c>
      <c r="AE191" s="309">
        <f t="shared" si="278"/>
        <v>0.96199999999999997</v>
      </c>
      <c r="AF191" s="309">
        <f t="shared" si="278"/>
        <v>0.96199999999999997</v>
      </c>
      <c r="AG191" s="309">
        <f t="shared" si="278"/>
        <v>0.96199999999999997</v>
      </c>
      <c r="AH191" s="314">
        <f t="shared" si="254"/>
        <v>0</v>
      </c>
      <c r="AI191" s="314">
        <f t="shared" si="255"/>
        <v>0</v>
      </c>
      <c r="AJ191" s="314">
        <f t="shared" si="256"/>
        <v>0</v>
      </c>
      <c r="AK191" s="314">
        <f t="shared" si="257"/>
        <v>0</v>
      </c>
      <c r="AL191" s="309">
        <f t="shared" si="258"/>
        <v>0.96199999999999997</v>
      </c>
      <c r="AM191" s="309">
        <f t="shared" si="259"/>
        <v>0.96199999999999997</v>
      </c>
      <c r="AN191" s="309">
        <f t="shared" si="260"/>
        <v>0.96199999999999997</v>
      </c>
      <c r="AO191" s="309">
        <f t="shared" si="261"/>
        <v>0.96199999999999997</v>
      </c>
      <c r="AP191" s="446">
        <f t="shared" si="262"/>
        <v>0</v>
      </c>
      <c r="AQ191" s="446">
        <f t="shared" si="263"/>
        <v>0</v>
      </c>
      <c r="AR191" s="446">
        <f t="shared" si="264"/>
        <v>0</v>
      </c>
      <c r="AS191" s="446">
        <f t="shared" si="265"/>
        <v>0</v>
      </c>
      <c r="AT191" s="309">
        <f t="shared" si="245"/>
        <v>0.96199999999999997</v>
      </c>
      <c r="AU191" s="309">
        <f t="shared" si="279"/>
        <v>0.96199999999999997</v>
      </c>
      <c r="AV191" s="309">
        <f t="shared" si="279"/>
        <v>0.96199999999999997</v>
      </c>
      <c r="AW191" s="309">
        <f t="shared" si="279"/>
        <v>0.96199999999999997</v>
      </c>
      <c r="AX191" s="243">
        <f t="shared" si="266"/>
        <v>1368.904049084</v>
      </c>
      <c r="AY191" s="243">
        <f t="shared" si="267"/>
        <v>1368.904049084</v>
      </c>
      <c r="AZ191" s="243">
        <f t="shared" si="268"/>
        <v>1368.904049084</v>
      </c>
      <c r="BA191" s="243">
        <f t="shared" si="269"/>
        <v>1368.904049084</v>
      </c>
      <c r="BB191" s="243">
        <f>VLOOKUP($D191,'2018 Plan Data'!$A$4:$K$2000,6,FALSE)</f>
        <v>20</v>
      </c>
      <c r="BC191" s="243">
        <f>VLOOKUP($D191,'2018 Plan Data'!$A$4:$K$2000,7,FALSE)</f>
        <v>20</v>
      </c>
      <c r="BD191" s="243">
        <f>VLOOKUP($D191,'2018 Plan Data'!$A$4:$K$2000,8,FALSE)</f>
        <v>20</v>
      </c>
      <c r="BE191" s="243">
        <f>VLOOKUP($D191,'2018 Plan Data'!$A$4:$K$2000,9,FALSE)</f>
        <v>20</v>
      </c>
      <c r="BF191" s="243">
        <f t="shared" si="201"/>
        <v>0</v>
      </c>
      <c r="BG191" s="243">
        <f t="shared" si="202"/>
        <v>0</v>
      </c>
      <c r="BH191" s="243">
        <f t="shared" si="203"/>
        <v>0</v>
      </c>
      <c r="BI191" s="243">
        <f t="shared" si="204"/>
        <v>0</v>
      </c>
      <c r="BJ191" s="243">
        <f t="shared" si="205"/>
        <v>28459.543640000004</v>
      </c>
      <c r="BK191" s="243">
        <f t="shared" si="206"/>
        <v>28459.543640000004</v>
      </c>
      <c r="BL191" s="243">
        <f t="shared" si="207"/>
        <v>28459.543640000004</v>
      </c>
      <c r="BM191" s="243">
        <f t="shared" si="208"/>
        <v>28459.543640000004</v>
      </c>
      <c r="BN191" s="243">
        <f t="shared" si="246"/>
        <v>0</v>
      </c>
      <c r="BO191" s="243">
        <f t="shared" si="275"/>
        <v>0</v>
      </c>
      <c r="BP191" s="243">
        <f t="shared" si="276"/>
        <v>0</v>
      </c>
      <c r="BQ191" s="243">
        <f t="shared" si="277"/>
        <v>0</v>
      </c>
      <c r="BR191" s="243">
        <f t="shared" si="270"/>
        <v>27378.080981679999</v>
      </c>
      <c r="BS191" s="243">
        <f t="shared" si="271"/>
        <v>27378.080981679999</v>
      </c>
      <c r="BT191" s="243">
        <f t="shared" si="272"/>
        <v>27378.080981679999</v>
      </c>
      <c r="BU191" s="243">
        <f t="shared" si="273"/>
        <v>27378.080981679999</v>
      </c>
      <c r="BV191" s="600"/>
      <c r="BW191" s="243">
        <f>ROUND(VLOOKUP($D191,'2018 Plan Data'!$A$4:$T$2000,13,FALSE),10)</f>
        <v>0</v>
      </c>
      <c r="BX191" s="314">
        <f>VLOOKUP($D191,'2018 Plan Data'!$A$4:$T$2000,14,FALSE)</f>
        <v>0</v>
      </c>
      <c r="BY191" s="314">
        <f>VLOOKUP($D191,'2018 Plan Data'!$A$4:$T$2000,15,FALSE)</f>
        <v>0</v>
      </c>
      <c r="BZ191" s="314">
        <f>VLOOKUP($D191,'2018 Plan Data'!$A$4:$T$2000,16,FALSE)</f>
        <v>0</v>
      </c>
      <c r="CA191" s="314">
        <f>IF(VLOOKUP($D191,'2018 Plan Data'!$A$4:$T$2000,17,FALSE)&gt;0,VLOOKUP($D191,'2018 Plan Data'!$A$4:$T$2000,17,FALSE),0)</f>
        <v>25737.863208720006</v>
      </c>
      <c r="CB191" s="314">
        <f>IF(VLOOKUP($D191,'2018 Plan Data'!$A$4:$T$2000,18,FALSE)&gt;0,VLOOKUP($D191,'2018 Plan Data'!$A$4:$T$2000,18,FALSE),0)</f>
        <v>25737.863208720006</v>
      </c>
      <c r="CC191" s="314">
        <f>IF(VLOOKUP($D191,'2018 Plan Data'!$A$4:$T$2000,19,FALSE)&gt;0,VLOOKUP($D191,'2018 Plan Data'!$A$4:$T$2000,19,FALSE),0)</f>
        <v>25737.863208720006</v>
      </c>
      <c r="CD191" s="314">
        <f>IF(VLOOKUP($D191,'2018 Plan Data'!$A$4:$T$2000,20,FALSE)&gt;0,VLOOKUP($D191,'2018 Plan Data'!$A$4:$T$2000,20,FALSE),0)</f>
        <v>25737.863208720006</v>
      </c>
      <c r="CE191" s="600" t="b">
        <f t="shared" si="213"/>
        <v>1</v>
      </c>
      <c r="CF191" s="600" t="b">
        <f t="shared" si="214"/>
        <v>1</v>
      </c>
      <c r="CG191" s="600" t="b">
        <f t="shared" si="215"/>
        <v>1</v>
      </c>
      <c r="CH191" s="600" t="b">
        <f t="shared" si="216"/>
        <v>1</v>
      </c>
      <c r="CI191" s="600" t="b">
        <f t="shared" si="217"/>
        <v>0</v>
      </c>
      <c r="CJ191" s="600" t="b">
        <f t="shared" si="218"/>
        <v>0</v>
      </c>
      <c r="CK191" s="600" t="b">
        <f t="shared" si="219"/>
        <v>0</v>
      </c>
      <c r="CL191" s="600" t="b">
        <f t="shared" si="220"/>
        <v>0</v>
      </c>
      <c r="CM191" s="585"/>
      <c r="CN191" s="585"/>
      <c r="CO191" s="585"/>
      <c r="CP191" s="585"/>
      <c r="CQ191" s="585"/>
      <c r="CR191" s="585"/>
      <c r="CS191" s="585"/>
      <c r="CT191" s="585"/>
      <c r="CU191" s="585"/>
      <c r="CV191" s="585"/>
      <c r="CW191" s="585"/>
      <c r="CX191" s="585"/>
      <c r="CY191" s="585"/>
      <c r="CZ191" s="585"/>
      <c r="DA191" s="585"/>
      <c r="DB191" s="585"/>
      <c r="DC191" s="585"/>
      <c r="DD191" s="585"/>
      <c r="DE191" s="585"/>
      <c r="DF191" s="585"/>
      <c r="DG191" s="585"/>
      <c r="DH191" s="585"/>
      <c r="DI191" s="585"/>
      <c r="DJ191" s="585"/>
      <c r="DK191" s="585"/>
      <c r="DL191" s="585"/>
      <c r="DM191" s="585"/>
      <c r="DN191" s="585"/>
      <c r="DO191" s="585"/>
      <c r="DP191" s="585"/>
      <c r="DQ191" s="585"/>
      <c r="DR191" s="585"/>
      <c r="DS191" s="585"/>
      <c r="DT191" s="585"/>
      <c r="DU191" s="585"/>
      <c r="DV191" s="585"/>
      <c r="DW191" s="585"/>
      <c r="DX191" s="585"/>
      <c r="DY191" s="585"/>
      <c r="DZ191" s="585"/>
      <c r="EA191" s="585"/>
      <c r="EB191" s="585"/>
      <c r="EC191" s="585"/>
      <c r="ED191" s="585"/>
      <c r="EE191" s="585"/>
      <c r="EF191" s="585"/>
      <c r="EG191" s="585"/>
      <c r="EH191" s="585"/>
      <c r="EI191" s="585"/>
      <c r="EJ191" s="585"/>
      <c r="EK191" s="585"/>
      <c r="EL191" s="585"/>
      <c r="EM191" s="585"/>
      <c r="EN191" s="585"/>
      <c r="EO191" s="585"/>
      <c r="EP191" s="585"/>
      <c r="EQ191" s="585"/>
      <c r="ER191" s="585"/>
      <c r="ES191" s="585"/>
      <c r="ET191" s="585"/>
    </row>
    <row r="192" spans="1:349" ht="15" customHeight="1" x14ac:dyDescent="0.35">
      <c r="A192" s="585">
        <f t="shared" si="252"/>
        <v>414</v>
      </c>
      <c r="B192" s="600" t="str">
        <f t="shared" si="200"/>
        <v>Business_Standard-Small Business</v>
      </c>
      <c r="C192" s="600"/>
      <c r="D192" s="600">
        <v>414</v>
      </c>
      <c r="E192" s="600" t="s">
        <v>1944</v>
      </c>
      <c r="F192" s="600" t="str">
        <f>VLOOKUP(G192,Sheet4!$D$6:$E$22,2,FALSE)</f>
        <v>Standard</v>
      </c>
      <c r="G192" s="600" t="s">
        <v>1032</v>
      </c>
      <c r="H192" s="296" t="s">
        <v>158</v>
      </c>
      <c r="K192" s="72" t="str">
        <f>INDEX('Measure Codes'!$F$4:$F$821,MATCH(H192,'Measure Codes'!$D$4:$D$821,0))</f>
        <v>4.2.16</v>
      </c>
      <c r="L192" s="72" t="str">
        <f>INDEX('Measure Codes'!$G$4:$G$821,MATCH(H192,'Measure Codes'!$D$4:$D$821,0))</f>
        <v>CI-FSE-VENT-V03-160601</v>
      </c>
      <c r="M192" s="600">
        <v>1</v>
      </c>
      <c r="O192" s="72" t="str">
        <f t="shared" si="253"/>
        <v>Dual Fuel</v>
      </c>
      <c r="P192" s="7">
        <f>VLOOKUP(D192,'2018 Plan Data'!$A$4:$K$1000,11,FALSE)</f>
        <v>15</v>
      </c>
      <c r="Q192" s="652">
        <f>VLOOKUP(D192,'2018 Plan Data'!$A$4:$L$1000,12,FALSE)</f>
        <v>0</v>
      </c>
      <c r="R192" s="314">
        <f>'BUS- BPCK21 SB (TRM)'!C11</f>
        <v>4966</v>
      </c>
      <c r="T192" s="314">
        <f>'BUS- BPCK21 SB (TRM)'!C12</f>
        <v>0.67999999999999994</v>
      </c>
      <c r="V192" s="314">
        <f>'BUS- BPCK21 SB (TRM)'!C13</f>
        <v>5505.34375</v>
      </c>
      <c r="X192" s="600"/>
      <c r="Y192" s="600"/>
      <c r="Z192" s="600"/>
      <c r="AA192" s="600"/>
      <c r="AB192" s="600"/>
      <c r="AC192" s="600"/>
      <c r="AD192" s="309">
        <f>'BUS Measure-Model Summary'!I279</f>
        <v>0.96199999999999997</v>
      </c>
      <c r="AE192" s="309">
        <f t="shared" si="278"/>
        <v>0.96199999999999997</v>
      </c>
      <c r="AF192" s="309">
        <f t="shared" si="278"/>
        <v>0.96199999999999997</v>
      </c>
      <c r="AG192" s="309">
        <f t="shared" si="278"/>
        <v>0.96199999999999997</v>
      </c>
      <c r="AH192" s="314">
        <f t="shared" si="254"/>
        <v>4777.2919999999995</v>
      </c>
      <c r="AI192" s="314">
        <f t="shared" si="255"/>
        <v>4777.2919999999995</v>
      </c>
      <c r="AJ192" s="314">
        <f t="shared" si="256"/>
        <v>4777.2919999999995</v>
      </c>
      <c r="AK192" s="314">
        <f t="shared" si="257"/>
        <v>4777.2919999999995</v>
      </c>
      <c r="AL192" s="309">
        <f t="shared" si="258"/>
        <v>0.96199999999999997</v>
      </c>
      <c r="AM192" s="309">
        <f t="shared" si="259"/>
        <v>0.96199999999999997</v>
      </c>
      <c r="AN192" s="309">
        <f t="shared" si="260"/>
        <v>0.96199999999999997</v>
      </c>
      <c r="AO192" s="309">
        <f t="shared" si="261"/>
        <v>0.96199999999999997</v>
      </c>
      <c r="AP192" s="446">
        <f t="shared" si="262"/>
        <v>0.65415999999999996</v>
      </c>
      <c r="AQ192" s="446">
        <f t="shared" si="263"/>
        <v>0.65415999999999996</v>
      </c>
      <c r="AR192" s="446">
        <f t="shared" si="264"/>
        <v>0.65415999999999996</v>
      </c>
      <c r="AS192" s="446">
        <f t="shared" si="265"/>
        <v>0.65415999999999996</v>
      </c>
      <c r="AT192" s="309">
        <f t="shared" si="245"/>
        <v>0.96199999999999997</v>
      </c>
      <c r="AU192" s="309">
        <f t="shared" si="279"/>
        <v>0.96199999999999997</v>
      </c>
      <c r="AV192" s="309">
        <f t="shared" si="279"/>
        <v>0.96199999999999997</v>
      </c>
      <c r="AW192" s="309">
        <f t="shared" si="279"/>
        <v>0.96199999999999997</v>
      </c>
      <c r="AX192" s="243">
        <f t="shared" si="266"/>
        <v>5296.1406875000002</v>
      </c>
      <c r="AY192" s="243">
        <f t="shared" si="267"/>
        <v>5296.1406875000002</v>
      </c>
      <c r="AZ192" s="243">
        <f t="shared" si="268"/>
        <v>5296.1406875000002</v>
      </c>
      <c r="BA192" s="243">
        <f t="shared" si="269"/>
        <v>5296.1406875000002</v>
      </c>
      <c r="BB192" s="652">
        <f>VLOOKUP($D192,'2018 Plan Data'!$A$4:$K$2000,6,FALSE)</f>
        <v>23</v>
      </c>
      <c r="BC192" s="243">
        <f>VLOOKUP($D192,'2018 Plan Data'!$A$4:$K$2000,7,FALSE)</f>
        <v>16</v>
      </c>
      <c r="BD192" s="243">
        <f>VLOOKUP($D192,'2018 Plan Data'!$A$4:$K$2000,8,FALSE)</f>
        <v>16</v>
      </c>
      <c r="BE192" s="243">
        <f>VLOOKUP($D192,'2018 Plan Data'!$A$4:$K$2000,9,FALSE)</f>
        <v>23</v>
      </c>
      <c r="BF192" s="243">
        <f t="shared" si="201"/>
        <v>114218</v>
      </c>
      <c r="BG192" s="243">
        <f t="shared" si="202"/>
        <v>79456</v>
      </c>
      <c r="BH192" s="243">
        <f t="shared" si="203"/>
        <v>79456</v>
      </c>
      <c r="BI192" s="243">
        <f t="shared" si="204"/>
        <v>114218</v>
      </c>
      <c r="BJ192" s="243">
        <f t="shared" si="205"/>
        <v>126622.90625</v>
      </c>
      <c r="BK192" s="243">
        <f t="shared" si="206"/>
        <v>88085.5</v>
      </c>
      <c r="BL192" s="243">
        <f t="shared" si="207"/>
        <v>88085.5</v>
      </c>
      <c r="BM192" s="243">
        <f t="shared" si="208"/>
        <v>126622.90625</v>
      </c>
      <c r="BN192" s="243">
        <f t="shared" si="246"/>
        <v>109877.716</v>
      </c>
      <c r="BO192" s="243">
        <f t="shared" si="275"/>
        <v>76436.671999999991</v>
      </c>
      <c r="BP192" s="243">
        <f t="shared" si="276"/>
        <v>76436.671999999991</v>
      </c>
      <c r="BQ192" s="243">
        <f t="shared" si="277"/>
        <v>109877.71599999999</v>
      </c>
      <c r="BR192" s="243">
        <f t="shared" si="270"/>
        <v>121811.2358125</v>
      </c>
      <c r="BS192" s="243">
        <f t="shared" si="271"/>
        <v>84738.251000000004</v>
      </c>
      <c r="BT192" s="243">
        <f t="shared" si="272"/>
        <v>84738.251000000004</v>
      </c>
      <c r="BU192" s="243">
        <f t="shared" si="273"/>
        <v>121811.2358125</v>
      </c>
      <c r="BV192" s="600"/>
      <c r="BW192" s="243">
        <f>ROUND(VLOOKUP($D192,'2018 Plan Data'!$A$4:$T$2000,13,FALSE),10)</f>
        <v>109877.716</v>
      </c>
      <c r="BX192" s="314">
        <f>VLOOKUP($D192,'2018 Plan Data'!$A$4:$T$2000,14,FALSE)</f>
        <v>76436.671999999991</v>
      </c>
      <c r="BY192" s="314">
        <f>VLOOKUP($D192,'2018 Plan Data'!$A$4:$T$2000,15,FALSE)</f>
        <v>76436.671999999991</v>
      </c>
      <c r="BZ192" s="314">
        <f>VLOOKUP($D192,'2018 Plan Data'!$A$4:$T$2000,16,FALSE)</f>
        <v>109877.71599999999</v>
      </c>
      <c r="CA192" s="314">
        <f>IF(VLOOKUP($D192,'2018 Plan Data'!$A$4:$T$2000,17,FALSE)&gt;0,VLOOKUP($D192,'2018 Plan Data'!$A$4:$T$2000,17,FALSE),0)</f>
        <v>121811.2358125</v>
      </c>
      <c r="CB192" s="314">
        <f>IF(VLOOKUP($D192,'2018 Plan Data'!$A$4:$T$2000,18,FALSE)&gt;0,VLOOKUP($D192,'2018 Plan Data'!$A$4:$T$2000,18,FALSE),0)</f>
        <v>84738.251000000004</v>
      </c>
      <c r="CC192" s="314">
        <f>IF(VLOOKUP($D192,'2018 Plan Data'!$A$4:$T$2000,19,FALSE)&gt;0,VLOOKUP($D192,'2018 Plan Data'!$A$4:$T$2000,19,FALSE),0)</f>
        <v>84738.251000000004</v>
      </c>
      <c r="CD192" s="314">
        <f>IF(VLOOKUP($D192,'2018 Plan Data'!$A$4:$T$2000,20,FALSE)&gt;0,VLOOKUP($D192,'2018 Plan Data'!$A$4:$T$2000,20,FALSE),0)</f>
        <v>121811.2358125</v>
      </c>
      <c r="CE192" s="600" t="b">
        <f t="shared" si="213"/>
        <v>1</v>
      </c>
      <c r="CF192" s="600" t="b">
        <f t="shared" si="214"/>
        <v>1</v>
      </c>
      <c r="CG192" s="600" t="b">
        <f t="shared" si="215"/>
        <v>1</v>
      </c>
      <c r="CH192" s="600" t="b">
        <f t="shared" si="216"/>
        <v>1</v>
      </c>
      <c r="CI192" s="600" t="b">
        <f t="shared" si="217"/>
        <v>1</v>
      </c>
      <c r="CJ192" s="600" t="b">
        <f t="shared" si="218"/>
        <v>1</v>
      </c>
      <c r="CK192" s="600" t="b">
        <f t="shared" si="219"/>
        <v>1</v>
      </c>
      <c r="CL192" s="600" t="b">
        <f t="shared" si="220"/>
        <v>1</v>
      </c>
      <c r="CM192" s="585"/>
      <c r="CN192" s="585"/>
      <c r="CO192" s="585"/>
      <c r="CP192" s="585"/>
      <c r="CQ192" s="585"/>
      <c r="CR192" s="585"/>
      <c r="CS192" s="585"/>
      <c r="CT192" s="585"/>
      <c r="CU192" s="585"/>
      <c r="CV192" s="585"/>
      <c r="CW192" s="585"/>
      <c r="CX192" s="585"/>
      <c r="CY192" s="585"/>
      <c r="CZ192" s="585"/>
      <c r="DA192" s="585"/>
      <c r="DB192" s="585"/>
      <c r="DC192" s="585"/>
      <c r="DD192" s="585"/>
      <c r="DE192" s="585"/>
      <c r="DF192" s="585"/>
      <c r="DG192" s="585"/>
      <c r="DH192" s="585"/>
      <c r="DI192" s="585"/>
      <c r="DJ192" s="585"/>
      <c r="DK192" s="585"/>
      <c r="DL192" s="585"/>
      <c r="DM192" s="585"/>
      <c r="DN192" s="585"/>
      <c r="DO192" s="585"/>
      <c r="DP192" s="585"/>
      <c r="DQ192" s="585"/>
      <c r="DR192" s="585"/>
      <c r="DS192" s="585"/>
      <c r="DT192" s="585"/>
      <c r="DU192" s="585"/>
      <c r="DV192" s="585"/>
      <c r="DW192" s="585"/>
      <c r="DX192" s="585"/>
      <c r="DY192" s="585"/>
      <c r="DZ192" s="585"/>
      <c r="EA192" s="585"/>
      <c r="EB192" s="585"/>
      <c r="EC192" s="585"/>
      <c r="ED192" s="585"/>
      <c r="EE192" s="585"/>
      <c r="EF192" s="585"/>
      <c r="EG192" s="585"/>
      <c r="EH192" s="585"/>
      <c r="EI192" s="585"/>
      <c r="EJ192" s="585"/>
      <c r="EK192" s="585"/>
      <c r="EL192" s="585"/>
      <c r="EM192" s="585"/>
      <c r="EN192" s="585"/>
      <c r="EO192" s="585"/>
      <c r="EP192" s="585"/>
      <c r="EQ192" s="585"/>
      <c r="ER192" s="585"/>
      <c r="ES192" s="585"/>
      <c r="ET192" s="585"/>
    </row>
    <row r="193" spans="1:150" ht="15" customHeight="1" x14ac:dyDescent="0.35">
      <c r="A193" s="585">
        <f t="shared" si="252"/>
        <v>424</v>
      </c>
      <c r="B193" s="600" t="str">
        <f t="shared" si="200"/>
        <v>Business_Standard-Small Business</v>
      </c>
      <c r="C193" s="600"/>
      <c r="D193" s="600">
        <v>424</v>
      </c>
      <c r="E193" s="600" t="s">
        <v>1944</v>
      </c>
      <c r="F193" s="600" t="str">
        <f>VLOOKUP(G193,Sheet4!$D$6:$E$22,2,FALSE)</f>
        <v>Standard</v>
      </c>
      <c r="G193" s="600" t="s">
        <v>1032</v>
      </c>
      <c r="H193" s="296" t="s">
        <v>167</v>
      </c>
      <c r="J193" s="72" t="s">
        <v>100</v>
      </c>
      <c r="K193" s="72" t="str">
        <f>INDEX('Measure Codes'!$F$4:$F$821,MATCH(H193,'Measure Codes'!$D$4:$D$821,0))</f>
        <v>4.4.18</v>
      </c>
      <c r="L193" s="72" t="str">
        <f>INDEX('Measure Codes'!$G$4:$G$821,MATCH(H193,'Measure Codes'!$D$4:$D$821,0))</f>
        <v>CI-HVC-PROG-V02-150601</v>
      </c>
      <c r="M193" s="600">
        <v>1</v>
      </c>
      <c r="O193" s="72" t="str">
        <f t="shared" si="253"/>
        <v>Dual Fuel</v>
      </c>
      <c r="P193" s="7">
        <f>VLOOKUP(D193,'2018 Plan Data'!$A$4:$K$1000,11,FALSE)</f>
        <v>8</v>
      </c>
      <c r="Q193" s="652">
        <f>VLOOKUP(D193,'2018 Plan Data'!$A$4:$L$1000,12,FALSE)</f>
        <v>0</v>
      </c>
      <c r="R193" s="314">
        <f>'BUS Measure-Model Summary'!D371</f>
        <v>4726</v>
      </c>
      <c r="T193" s="314">
        <f>'BUS Measure-Model Summary'!E371</f>
        <v>0</v>
      </c>
      <c r="V193" s="314">
        <f>'BUS Measure-Model Summary'!F371</f>
        <v>73.599999999999994</v>
      </c>
      <c r="X193" s="600"/>
      <c r="Y193" s="600"/>
      <c r="Z193" s="600"/>
      <c r="AA193" s="600"/>
      <c r="AB193" s="600"/>
      <c r="AC193" s="600"/>
      <c r="AD193" s="309">
        <f>'BUS Measure-Model Summary'!I282</f>
        <v>0.96199999999999997</v>
      </c>
      <c r="AE193" s="309">
        <f t="shared" si="278"/>
        <v>0.96199999999999997</v>
      </c>
      <c r="AF193" s="309">
        <f t="shared" si="278"/>
        <v>0.96199999999999997</v>
      </c>
      <c r="AG193" s="309">
        <f t="shared" si="278"/>
        <v>0.96199999999999997</v>
      </c>
      <c r="AH193" s="314">
        <f t="shared" si="254"/>
        <v>4546.4120000000003</v>
      </c>
      <c r="AI193" s="314">
        <f t="shared" si="255"/>
        <v>4546.4120000000003</v>
      </c>
      <c r="AJ193" s="314">
        <f t="shared" si="256"/>
        <v>4546.4120000000003</v>
      </c>
      <c r="AK193" s="314">
        <f t="shared" si="257"/>
        <v>4546.4120000000003</v>
      </c>
      <c r="AL193" s="309">
        <f t="shared" si="258"/>
        <v>0.96199999999999997</v>
      </c>
      <c r="AM193" s="309">
        <f t="shared" si="259"/>
        <v>0.96199999999999997</v>
      </c>
      <c r="AN193" s="309">
        <f t="shared" si="260"/>
        <v>0.96199999999999997</v>
      </c>
      <c r="AO193" s="309">
        <f t="shared" si="261"/>
        <v>0.96199999999999997</v>
      </c>
      <c r="AP193" s="446">
        <f t="shared" si="262"/>
        <v>0</v>
      </c>
      <c r="AQ193" s="446">
        <f t="shared" si="263"/>
        <v>0</v>
      </c>
      <c r="AR193" s="446">
        <f t="shared" si="264"/>
        <v>0</v>
      </c>
      <c r="AS193" s="446">
        <f t="shared" si="265"/>
        <v>0</v>
      </c>
      <c r="AT193" s="309">
        <f t="shared" si="245"/>
        <v>0.96199999999999997</v>
      </c>
      <c r="AU193" s="309">
        <f t="shared" si="279"/>
        <v>0.96199999999999997</v>
      </c>
      <c r="AV193" s="309">
        <f t="shared" si="279"/>
        <v>0.96199999999999997</v>
      </c>
      <c r="AW193" s="309">
        <f t="shared" si="279"/>
        <v>0.96199999999999997</v>
      </c>
      <c r="AX193" s="243">
        <f t="shared" si="266"/>
        <v>70.80319999999999</v>
      </c>
      <c r="AY193" s="243">
        <f t="shared" si="267"/>
        <v>70.80319999999999</v>
      </c>
      <c r="AZ193" s="243">
        <f t="shared" si="268"/>
        <v>70.80319999999999</v>
      </c>
      <c r="BA193" s="243">
        <f t="shared" si="269"/>
        <v>70.80319999999999</v>
      </c>
      <c r="BB193" s="652">
        <f>VLOOKUP($D193,'2018 Plan Data'!$A$4:$K$2000,6,FALSE)</f>
        <v>34</v>
      </c>
      <c r="BC193" s="243">
        <f>VLOOKUP($D193,'2018 Plan Data'!$A$4:$K$2000,7,FALSE)</f>
        <v>1</v>
      </c>
      <c r="BD193" s="243">
        <f>VLOOKUP($D193,'2018 Plan Data'!$A$4:$K$2000,8,FALSE)</f>
        <v>1</v>
      </c>
      <c r="BE193" s="243">
        <f>VLOOKUP($D193,'2018 Plan Data'!$A$4:$K$2000,9,FALSE)</f>
        <v>1</v>
      </c>
      <c r="BF193" s="243">
        <f t="shared" si="201"/>
        <v>160684</v>
      </c>
      <c r="BG193" s="243">
        <f t="shared" si="202"/>
        <v>4726</v>
      </c>
      <c r="BH193" s="243">
        <f t="shared" si="203"/>
        <v>4726</v>
      </c>
      <c r="BI193" s="243">
        <f t="shared" si="204"/>
        <v>4726</v>
      </c>
      <c r="BJ193" s="243">
        <f t="shared" si="205"/>
        <v>2502.3999999999996</v>
      </c>
      <c r="BK193" s="243">
        <f t="shared" si="206"/>
        <v>73.599999999999994</v>
      </c>
      <c r="BL193" s="243">
        <f t="shared" si="207"/>
        <v>73.599999999999994</v>
      </c>
      <c r="BM193" s="243">
        <f t="shared" si="208"/>
        <v>73.599999999999994</v>
      </c>
      <c r="BN193" s="243">
        <f t="shared" si="246"/>
        <v>154578.008</v>
      </c>
      <c r="BO193" s="243">
        <f t="shared" si="275"/>
        <v>4546.4120000000003</v>
      </c>
      <c r="BP193" s="243">
        <f t="shared" si="276"/>
        <v>4546.4120000000003</v>
      </c>
      <c r="BQ193" s="243">
        <f t="shared" si="277"/>
        <v>4546.4120000000003</v>
      </c>
      <c r="BR193" s="243">
        <f t="shared" si="270"/>
        <v>2407.3087999999998</v>
      </c>
      <c r="BS193" s="243">
        <f t="shared" si="271"/>
        <v>70.80319999999999</v>
      </c>
      <c r="BT193" s="243">
        <f t="shared" si="272"/>
        <v>70.80319999999999</v>
      </c>
      <c r="BU193" s="243">
        <f t="shared" si="273"/>
        <v>70.80319999999999</v>
      </c>
      <c r="BV193" s="600"/>
      <c r="BW193" s="243">
        <f>ROUND(VLOOKUP($D193,'2018 Plan Data'!$A$4:$T$2000,13,FALSE),10)</f>
        <v>154578.008</v>
      </c>
      <c r="BX193" s="314">
        <f>VLOOKUP($D193,'2018 Plan Data'!$A$4:$T$2000,14,FALSE)</f>
        <v>4546.4120000000003</v>
      </c>
      <c r="BY193" s="314">
        <f>VLOOKUP($D193,'2018 Plan Data'!$A$4:$T$2000,15,FALSE)</f>
        <v>4546.4120000000003</v>
      </c>
      <c r="BZ193" s="314">
        <f>VLOOKUP($D193,'2018 Plan Data'!$A$4:$T$2000,16,FALSE)</f>
        <v>4546.4120000000003</v>
      </c>
      <c r="CA193" s="314">
        <f>IF(VLOOKUP($D193,'2018 Plan Data'!$A$4:$T$2000,17,FALSE)&gt;0,VLOOKUP($D193,'2018 Plan Data'!$A$4:$T$2000,17,FALSE),0)</f>
        <v>2407.3087999999998</v>
      </c>
      <c r="CB193" s="314">
        <f>IF(VLOOKUP($D193,'2018 Plan Data'!$A$4:$T$2000,18,FALSE)&gt;0,VLOOKUP($D193,'2018 Plan Data'!$A$4:$T$2000,18,FALSE),0)</f>
        <v>70.80319999999999</v>
      </c>
      <c r="CC193" s="314">
        <f>IF(VLOOKUP($D193,'2018 Plan Data'!$A$4:$T$2000,19,FALSE)&gt;0,VLOOKUP($D193,'2018 Plan Data'!$A$4:$T$2000,19,FALSE),0)</f>
        <v>70.80319999999999</v>
      </c>
      <c r="CD193" s="314">
        <f>IF(VLOOKUP($D193,'2018 Plan Data'!$A$4:$T$2000,20,FALSE)&gt;0,VLOOKUP($D193,'2018 Plan Data'!$A$4:$T$2000,20,FALSE),0)</f>
        <v>70.80319999999999</v>
      </c>
      <c r="CE193" s="600" t="b">
        <f t="shared" si="213"/>
        <v>1</v>
      </c>
      <c r="CF193" s="600" t="b">
        <f t="shared" si="214"/>
        <v>1</v>
      </c>
      <c r="CG193" s="600" t="b">
        <f t="shared" si="215"/>
        <v>1</v>
      </c>
      <c r="CH193" s="600" t="b">
        <f t="shared" si="216"/>
        <v>1</v>
      </c>
      <c r="CI193" s="600" t="b">
        <f t="shared" si="217"/>
        <v>1</v>
      </c>
      <c r="CJ193" s="600" t="b">
        <f t="shared" si="218"/>
        <v>1</v>
      </c>
      <c r="CK193" s="600" t="b">
        <f t="shared" si="219"/>
        <v>1</v>
      </c>
      <c r="CL193" s="600" t="b">
        <f t="shared" si="220"/>
        <v>1</v>
      </c>
      <c r="CM193" s="585"/>
      <c r="CN193" s="585"/>
      <c r="CO193" s="585"/>
      <c r="CP193" s="585"/>
      <c r="CQ193" s="585"/>
      <c r="CR193" s="585"/>
      <c r="CS193" s="585"/>
      <c r="CT193" s="585"/>
      <c r="CU193" s="585"/>
      <c r="CV193" s="585"/>
      <c r="CW193" s="585"/>
      <c r="CX193" s="585"/>
      <c r="CY193" s="585"/>
      <c r="CZ193" s="585"/>
      <c r="DA193" s="585"/>
      <c r="DB193" s="585"/>
      <c r="DC193" s="585"/>
      <c r="DD193" s="585"/>
      <c r="DE193" s="585"/>
      <c r="DF193" s="585"/>
      <c r="DG193" s="585"/>
      <c r="DH193" s="585"/>
      <c r="DI193" s="585"/>
      <c r="DJ193" s="585"/>
      <c r="DK193" s="585"/>
      <c r="DL193" s="585"/>
      <c r="DM193" s="585"/>
      <c r="DN193" s="585"/>
      <c r="DO193" s="585"/>
      <c r="DP193" s="585"/>
      <c r="DQ193" s="585"/>
      <c r="DR193" s="585"/>
      <c r="DS193" s="585"/>
      <c r="DT193" s="585"/>
      <c r="DU193" s="585"/>
      <c r="DV193" s="585"/>
      <c r="DW193" s="585"/>
      <c r="DX193" s="585"/>
      <c r="DY193" s="585"/>
      <c r="DZ193" s="585"/>
      <c r="EA193" s="585"/>
      <c r="EB193" s="585"/>
      <c r="EC193" s="585"/>
      <c r="ED193" s="585"/>
      <c r="EE193" s="585"/>
      <c r="EF193" s="585"/>
      <c r="EG193" s="585"/>
      <c r="EH193" s="585"/>
      <c r="EI193" s="585"/>
      <c r="EJ193" s="585"/>
      <c r="EK193" s="585"/>
      <c r="EL193" s="585"/>
      <c r="EM193" s="585"/>
      <c r="EN193" s="585"/>
      <c r="EO193" s="585"/>
      <c r="EP193" s="585"/>
      <c r="EQ193" s="585"/>
      <c r="ER193" s="585"/>
      <c r="ES193" s="585"/>
      <c r="ET193" s="585"/>
    </row>
    <row r="194" spans="1:150" ht="15" customHeight="1" x14ac:dyDescent="0.35">
      <c r="A194" s="585">
        <f t="shared" si="252"/>
        <v>406</v>
      </c>
      <c r="B194" s="600" t="str">
        <f t="shared" si="200"/>
        <v>Business_Standard-Small Business</v>
      </c>
      <c r="C194" s="600"/>
      <c r="D194" s="600">
        <v>406</v>
      </c>
      <c r="E194" s="600" t="s">
        <v>1944</v>
      </c>
      <c r="F194" s="600" t="str">
        <f>VLOOKUP(G194,Sheet4!$D$6:$E$22,2,FALSE)</f>
        <v>Standard</v>
      </c>
      <c r="G194" s="600" t="s">
        <v>1032</v>
      </c>
      <c r="H194" s="296" t="s">
        <v>168</v>
      </c>
      <c r="J194" s="72" t="s">
        <v>100</v>
      </c>
      <c r="K194" s="72" t="str">
        <f>INDEX('Measure Codes'!$F$4:$F$821,MATCH(H194,'Measure Codes'!$D$4:$D$821,0))</f>
        <v>4.4.19</v>
      </c>
      <c r="L194" s="72" t="str">
        <f>INDEX('Measure Codes'!$G$4:$G$821,MATCH(H194,'Measure Codes'!$D$4:$D$821,0))</f>
        <v>CI-HVC-DCV-V04-180101</v>
      </c>
      <c r="M194" s="600">
        <v>1</v>
      </c>
      <c r="N194" s="600"/>
      <c r="O194" s="72" t="str">
        <f t="shared" si="253"/>
        <v>Dual Fuel</v>
      </c>
      <c r="P194" s="7">
        <f>VLOOKUP(D194,'2018 Plan Data'!$A$4:$K$1000,11,FALSE)</f>
        <v>10</v>
      </c>
      <c r="Q194" s="652">
        <f>VLOOKUP(D194,'2018 Plan Data'!$A$4:$L$1000,12,FALSE)</f>
        <v>0</v>
      </c>
      <c r="R194" s="314">
        <f>'BUS Measure-Model Summary'!D374</f>
        <v>4468</v>
      </c>
      <c r="T194" s="314">
        <f>'BUS Measure-Model Summary'!E374</f>
        <v>0</v>
      </c>
      <c r="V194" s="314">
        <f>'BUS Measure-Model Summary'!F374</f>
        <v>623</v>
      </c>
      <c r="X194" s="600"/>
      <c r="Y194" s="600"/>
      <c r="Z194" s="600"/>
      <c r="AA194" s="600"/>
      <c r="AB194" s="600"/>
      <c r="AC194" s="600"/>
      <c r="AD194" s="309">
        <f>'BUS Measure-Model Summary'!I283</f>
        <v>0.96199999999999997</v>
      </c>
      <c r="AE194" s="309">
        <f t="shared" si="278"/>
        <v>0.96199999999999997</v>
      </c>
      <c r="AF194" s="309">
        <f t="shared" si="278"/>
        <v>0.96199999999999997</v>
      </c>
      <c r="AG194" s="309">
        <f t="shared" si="278"/>
        <v>0.96199999999999997</v>
      </c>
      <c r="AH194" s="314">
        <f t="shared" si="254"/>
        <v>4298.2159999999994</v>
      </c>
      <c r="AI194" s="314">
        <f t="shared" si="255"/>
        <v>4298.2159999999994</v>
      </c>
      <c r="AJ194" s="314">
        <f t="shared" si="256"/>
        <v>4298.2159999999994</v>
      </c>
      <c r="AK194" s="314">
        <f t="shared" si="257"/>
        <v>4298.2159999999994</v>
      </c>
      <c r="AL194" s="309">
        <f t="shared" si="258"/>
        <v>0.96199999999999997</v>
      </c>
      <c r="AM194" s="309">
        <f t="shared" si="259"/>
        <v>0.96199999999999997</v>
      </c>
      <c r="AN194" s="309">
        <f t="shared" si="260"/>
        <v>0.96199999999999997</v>
      </c>
      <c r="AO194" s="309">
        <f t="shared" si="261"/>
        <v>0.96199999999999997</v>
      </c>
      <c r="AP194" s="446">
        <f t="shared" si="262"/>
        <v>0</v>
      </c>
      <c r="AQ194" s="446">
        <f t="shared" si="263"/>
        <v>0</v>
      </c>
      <c r="AR194" s="446">
        <f t="shared" si="264"/>
        <v>0</v>
      </c>
      <c r="AS194" s="446">
        <f t="shared" si="265"/>
        <v>0</v>
      </c>
      <c r="AT194" s="309">
        <f t="shared" si="245"/>
        <v>0.96199999999999997</v>
      </c>
      <c r="AU194" s="309">
        <f t="shared" si="279"/>
        <v>0.96199999999999997</v>
      </c>
      <c r="AV194" s="309">
        <f t="shared" si="279"/>
        <v>0.96199999999999997</v>
      </c>
      <c r="AW194" s="309">
        <f t="shared" si="279"/>
        <v>0.96199999999999997</v>
      </c>
      <c r="AX194" s="243">
        <f t="shared" si="266"/>
        <v>599.32600000000002</v>
      </c>
      <c r="AY194" s="243">
        <f t="shared" si="267"/>
        <v>599.32600000000002</v>
      </c>
      <c r="AZ194" s="243">
        <f t="shared" si="268"/>
        <v>599.32600000000002</v>
      </c>
      <c r="BA194" s="243">
        <f t="shared" si="269"/>
        <v>599.32600000000002</v>
      </c>
      <c r="BB194" s="652">
        <f>VLOOKUP($D194,'2018 Plan Data'!$A$4:$K$2000,6,FALSE)</f>
        <v>40</v>
      </c>
      <c r="BC194" s="243">
        <f>VLOOKUP($D194,'2018 Plan Data'!$A$4:$K$2000,7,FALSE)</f>
        <v>37</v>
      </c>
      <c r="BD194" s="243">
        <f>VLOOKUP($D194,'2018 Plan Data'!$A$4:$K$2000,8,FALSE)</f>
        <v>44</v>
      </c>
      <c r="BE194" s="243">
        <f>VLOOKUP($D194,'2018 Plan Data'!$A$4:$K$2000,9,FALSE)</f>
        <v>37</v>
      </c>
      <c r="BF194" s="243">
        <f t="shared" si="201"/>
        <v>178720</v>
      </c>
      <c r="BG194" s="243">
        <f t="shared" si="202"/>
        <v>165316</v>
      </c>
      <c r="BH194" s="243">
        <f t="shared" si="203"/>
        <v>196592</v>
      </c>
      <c r="BI194" s="243">
        <f t="shared" si="204"/>
        <v>165316</v>
      </c>
      <c r="BJ194" s="243">
        <f t="shared" si="205"/>
        <v>24920</v>
      </c>
      <c r="BK194" s="243">
        <f t="shared" si="206"/>
        <v>23051</v>
      </c>
      <c r="BL194" s="243">
        <f t="shared" si="207"/>
        <v>27412</v>
      </c>
      <c r="BM194" s="243">
        <f t="shared" si="208"/>
        <v>23051</v>
      </c>
      <c r="BN194" s="243">
        <f t="shared" si="246"/>
        <v>171928.64</v>
      </c>
      <c r="BO194" s="243">
        <f t="shared" si="275"/>
        <v>159033.99199999997</v>
      </c>
      <c r="BP194" s="243">
        <f t="shared" si="276"/>
        <v>189121.50399999999</v>
      </c>
      <c r="BQ194" s="243">
        <f t="shared" si="277"/>
        <v>159033.99199999997</v>
      </c>
      <c r="BR194" s="243">
        <f t="shared" si="270"/>
        <v>23973.040000000001</v>
      </c>
      <c r="BS194" s="243">
        <f t="shared" si="271"/>
        <v>22175.062000000002</v>
      </c>
      <c r="BT194" s="243">
        <f t="shared" si="272"/>
        <v>26370.344000000001</v>
      </c>
      <c r="BU194" s="243">
        <f t="shared" si="273"/>
        <v>22175.062000000002</v>
      </c>
      <c r="BV194" s="600"/>
      <c r="BW194" s="243">
        <f>ROUND(VLOOKUP($D194,'2018 Plan Data'!$A$4:$T$2000,13,FALSE),10)</f>
        <v>171928.64</v>
      </c>
      <c r="BX194" s="314">
        <f>VLOOKUP($D194,'2018 Plan Data'!$A$4:$T$2000,14,FALSE)</f>
        <v>159033.99199999997</v>
      </c>
      <c r="BY194" s="314">
        <f>VLOOKUP($D194,'2018 Plan Data'!$A$4:$T$2000,15,FALSE)</f>
        <v>189121.50399999999</v>
      </c>
      <c r="BZ194" s="314">
        <f>VLOOKUP($D194,'2018 Plan Data'!$A$4:$T$2000,16,FALSE)</f>
        <v>159033.99199999997</v>
      </c>
      <c r="CA194" s="314">
        <f>IF(VLOOKUP($D194,'2018 Plan Data'!$A$4:$T$2000,17,FALSE)&gt;0,VLOOKUP($D194,'2018 Plan Data'!$A$4:$T$2000,17,FALSE),0)</f>
        <v>23973.040000000001</v>
      </c>
      <c r="CB194" s="314">
        <f>IF(VLOOKUP($D194,'2018 Plan Data'!$A$4:$T$2000,18,FALSE)&gt;0,VLOOKUP($D194,'2018 Plan Data'!$A$4:$T$2000,18,FALSE),0)</f>
        <v>22175.062000000002</v>
      </c>
      <c r="CC194" s="314">
        <f>IF(VLOOKUP($D194,'2018 Plan Data'!$A$4:$T$2000,19,FALSE)&gt;0,VLOOKUP($D194,'2018 Plan Data'!$A$4:$T$2000,19,FALSE),0)</f>
        <v>26370.344000000001</v>
      </c>
      <c r="CD194" s="314">
        <f>IF(VLOOKUP($D194,'2018 Plan Data'!$A$4:$T$2000,20,FALSE)&gt;0,VLOOKUP($D194,'2018 Plan Data'!$A$4:$T$2000,20,FALSE),0)</f>
        <v>22175.062000000002</v>
      </c>
      <c r="CE194" s="600" t="b">
        <f t="shared" si="213"/>
        <v>1</v>
      </c>
      <c r="CF194" s="600" t="b">
        <f t="shared" si="214"/>
        <v>1</v>
      </c>
      <c r="CG194" s="600" t="b">
        <f t="shared" si="215"/>
        <v>1</v>
      </c>
      <c r="CH194" s="600" t="b">
        <f t="shared" si="216"/>
        <v>1</v>
      </c>
      <c r="CI194" s="600" t="b">
        <f t="shared" si="217"/>
        <v>1</v>
      </c>
      <c r="CJ194" s="600" t="b">
        <f t="shared" si="218"/>
        <v>1</v>
      </c>
      <c r="CK194" s="600" t="b">
        <f t="shared" si="219"/>
        <v>1</v>
      </c>
      <c r="CL194" s="600" t="b">
        <f t="shared" si="220"/>
        <v>1</v>
      </c>
      <c r="CM194" s="585"/>
      <c r="CN194" s="585"/>
      <c r="CO194" s="585"/>
      <c r="CP194" s="585"/>
      <c r="CQ194" s="585"/>
      <c r="CR194" s="585"/>
      <c r="CS194" s="585"/>
      <c r="CT194" s="585"/>
      <c r="CU194" s="585"/>
      <c r="CV194" s="585"/>
      <c r="CW194" s="585"/>
      <c r="CX194" s="585"/>
      <c r="CY194" s="585"/>
      <c r="CZ194" s="585"/>
      <c r="DA194" s="585"/>
      <c r="DB194" s="585"/>
      <c r="DC194" s="585"/>
      <c r="DD194" s="585"/>
      <c r="DE194" s="585"/>
      <c r="DF194" s="585"/>
      <c r="DG194" s="585"/>
      <c r="DH194" s="585"/>
      <c r="DI194" s="585"/>
      <c r="DJ194" s="585"/>
      <c r="DK194" s="585"/>
      <c r="DL194" s="585"/>
      <c r="DM194" s="585"/>
      <c r="DN194" s="585"/>
      <c r="DO194" s="585"/>
      <c r="DP194" s="585"/>
      <c r="DQ194" s="585"/>
      <c r="DR194" s="585"/>
      <c r="DS194" s="585"/>
      <c r="DT194" s="585"/>
      <c r="DU194" s="585"/>
      <c r="DV194" s="585"/>
      <c r="DW194" s="585"/>
      <c r="DX194" s="585"/>
      <c r="DY194" s="585"/>
      <c r="DZ194" s="585"/>
      <c r="EA194" s="585"/>
      <c r="EB194" s="585"/>
      <c r="EC194" s="585"/>
      <c r="ED194" s="585"/>
      <c r="EE194" s="585"/>
      <c r="EF194" s="585"/>
      <c r="EG194" s="585"/>
      <c r="EH194" s="585"/>
      <c r="EI194" s="585"/>
      <c r="EJ194" s="585"/>
      <c r="EK194" s="585"/>
      <c r="EL194" s="585"/>
      <c r="EM194" s="585"/>
      <c r="EN194" s="585"/>
      <c r="EO194" s="585"/>
      <c r="EP194" s="585"/>
      <c r="EQ194" s="585"/>
      <c r="ER194" s="585"/>
      <c r="ES194" s="585"/>
      <c r="ET194" s="585"/>
    </row>
    <row r="195" spans="1:150" ht="15" customHeight="1" x14ac:dyDescent="0.35">
      <c r="A195" s="585">
        <f t="shared" si="252"/>
        <v>419</v>
      </c>
      <c r="B195" s="600" t="str">
        <f t="shared" si="200"/>
        <v>Business_Standard-Small Business</v>
      </c>
      <c r="C195" s="600"/>
      <c r="D195">
        <v>419</v>
      </c>
      <c r="E195" s="600" t="s">
        <v>1944</v>
      </c>
      <c r="F195" s="600" t="str">
        <f>VLOOKUP(G195,Sheet4!$D$6:$E$22,2,FALSE)</f>
        <v>Standard</v>
      </c>
      <c r="G195" s="600" t="s">
        <v>1032</v>
      </c>
      <c r="H195" s="296" t="s">
        <v>1016</v>
      </c>
      <c r="J195" s="72" t="s">
        <v>15</v>
      </c>
      <c r="K195" s="72" t="str">
        <f>INDEX('Measure Codes'!$F$4:$F$821,MATCH(H195,'Measure Codes'!$D$4:$D$821,0))</f>
        <v>4.3.3</v>
      </c>
      <c r="L195" s="72" t="str">
        <f>INDEX('Measure Codes'!$G$4:$G$821,MATCH(H195,'Measure Codes'!$D$4:$D$821,0))</f>
        <v>CI-HWE-LFSH-V04-180101</v>
      </c>
      <c r="M195" s="600">
        <v>1</v>
      </c>
      <c r="O195" s="72" t="str">
        <f t="shared" si="253"/>
        <v>Dual Fuel</v>
      </c>
      <c r="P195" s="7">
        <f>VLOOKUP(D195,'2018 Plan Data'!$A$4:$K$1000,11,FALSE)</f>
        <v>10</v>
      </c>
      <c r="Q195" s="652">
        <f>VLOOKUP(D195,'2018 Plan Data'!$A$4:$L$1000,12,FALSE)</f>
        <v>0</v>
      </c>
      <c r="R195" s="314">
        <f>'BUS Low Flow Showerheads SB'!C13</f>
        <v>24.029624590650002</v>
      </c>
      <c r="T195" s="314">
        <f>'BUS Low Flow Showerheads SB'!C14</f>
        <v>7.9278654772272049E-3</v>
      </c>
      <c r="V195" s="314">
        <f>'BUS Low Flow Showerheads SB'!C15</f>
        <v>4.9335158451599996</v>
      </c>
      <c r="X195" s="600"/>
      <c r="Y195" s="600"/>
      <c r="Z195" s="600"/>
      <c r="AA195" s="600"/>
      <c r="AB195" s="600"/>
      <c r="AC195" s="600"/>
      <c r="AD195" s="309">
        <f>'BUS Measure-Model Summary'!I284</f>
        <v>0.96199999999999997</v>
      </c>
      <c r="AE195" s="309">
        <f t="shared" si="278"/>
        <v>0.96199999999999997</v>
      </c>
      <c r="AF195" s="309">
        <f t="shared" si="278"/>
        <v>0.96199999999999997</v>
      </c>
      <c r="AG195" s="309">
        <f t="shared" si="278"/>
        <v>0.96199999999999997</v>
      </c>
      <c r="AH195" s="314">
        <f t="shared" si="254"/>
        <v>23.1164988562053</v>
      </c>
      <c r="AI195" s="314">
        <f t="shared" si="255"/>
        <v>23.1164988562053</v>
      </c>
      <c r="AJ195" s="314">
        <f t="shared" si="256"/>
        <v>23.1164988562053</v>
      </c>
      <c r="AK195" s="314">
        <f t="shared" si="257"/>
        <v>23.1164988562053</v>
      </c>
      <c r="AL195" s="309">
        <f t="shared" si="258"/>
        <v>0.96199999999999997</v>
      </c>
      <c r="AM195" s="309">
        <f t="shared" si="259"/>
        <v>0.96199999999999997</v>
      </c>
      <c r="AN195" s="309">
        <f t="shared" si="260"/>
        <v>0.96199999999999997</v>
      </c>
      <c r="AO195" s="309">
        <f t="shared" si="261"/>
        <v>0.96199999999999997</v>
      </c>
      <c r="AP195" s="446">
        <f t="shared" si="262"/>
        <v>7.6266065890925709E-3</v>
      </c>
      <c r="AQ195" s="446">
        <f t="shared" si="263"/>
        <v>7.6266065890925709E-3</v>
      </c>
      <c r="AR195" s="446">
        <f t="shared" si="264"/>
        <v>7.6266065890925709E-3</v>
      </c>
      <c r="AS195" s="446">
        <f t="shared" si="265"/>
        <v>7.6266065890925709E-3</v>
      </c>
      <c r="AT195" s="309">
        <f t="shared" si="245"/>
        <v>0.96199999999999997</v>
      </c>
      <c r="AU195" s="309">
        <f t="shared" si="279"/>
        <v>0.96199999999999997</v>
      </c>
      <c r="AV195" s="309">
        <f t="shared" si="279"/>
        <v>0.96199999999999997</v>
      </c>
      <c r="AW195" s="309">
        <f t="shared" si="279"/>
        <v>0.96199999999999997</v>
      </c>
      <c r="AX195" s="243">
        <f t="shared" si="266"/>
        <v>4.7460422430439193</v>
      </c>
      <c r="AY195" s="243">
        <f t="shared" si="267"/>
        <v>4.7460422430439193</v>
      </c>
      <c r="AZ195" s="243">
        <f t="shared" si="268"/>
        <v>4.7460422430439193</v>
      </c>
      <c r="BA195" s="243">
        <f t="shared" si="269"/>
        <v>4.7460422430439193</v>
      </c>
      <c r="BB195" s="652">
        <f>VLOOKUP($D195,'2018 Plan Data'!$A$4:$K$2000,6,FALSE)</f>
        <v>150</v>
      </c>
      <c r="BC195" s="243">
        <f>VLOOKUP($D195,'2018 Plan Data'!$A$4:$K$2000,7,FALSE)</f>
        <v>150</v>
      </c>
      <c r="BD195" s="243">
        <f>VLOOKUP($D195,'2018 Plan Data'!$A$4:$K$2000,8,FALSE)</f>
        <v>150</v>
      </c>
      <c r="BE195" s="243">
        <f>VLOOKUP($D195,'2018 Plan Data'!$A$4:$K$2000,9,FALSE)</f>
        <v>150</v>
      </c>
      <c r="BF195" s="243">
        <f t="shared" si="201"/>
        <v>3604.4436885975001</v>
      </c>
      <c r="BG195" s="243">
        <f t="shared" si="202"/>
        <v>3604.4436885975001</v>
      </c>
      <c r="BH195" s="243">
        <f t="shared" si="203"/>
        <v>3604.4436885975001</v>
      </c>
      <c r="BI195" s="243">
        <f t="shared" si="204"/>
        <v>3604.4436885975001</v>
      </c>
      <c r="BJ195" s="243">
        <f t="shared" si="205"/>
        <v>740.02737677399989</v>
      </c>
      <c r="BK195" s="243">
        <f t="shared" si="206"/>
        <v>740.02737677399989</v>
      </c>
      <c r="BL195" s="243">
        <f t="shared" si="207"/>
        <v>740.02737677399989</v>
      </c>
      <c r="BM195" s="243">
        <f t="shared" si="208"/>
        <v>740.02737677399989</v>
      </c>
      <c r="BN195" s="243">
        <f t="shared" si="246"/>
        <v>3467.4748284307998</v>
      </c>
      <c r="BO195" s="243">
        <f t="shared" si="275"/>
        <v>3467.4748284307952</v>
      </c>
      <c r="BP195" s="243">
        <f t="shared" si="276"/>
        <v>3467.4748284307952</v>
      </c>
      <c r="BQ195" s="243">
        <f t="shared" si="277"/>
        <v>3467.4748284307952</v>
      </c>
      <c r="BR195" s="243">
        <f t="shared" si="270"/>
        <v>711.90633645658795</v>
      </c>
      <c r="BS195" s="243">
        <f t="shared" si="271"/>
        <v>711.90633645658795</v>
      </c>
      <c r="BT195" s="243">
        <f t="shared" si="272"/>
        <v>711.90633645658795</v>
      </c>
      <c r="BU195" s="243">
        <f t="shared" si="273"/>
        <v>711.90633645658795</v>
      </c>
      <c r="BV195" s="600"/>
      <c r="BW195" s="243">
        <f>ROUND(VLOOKUP($D195,'2018 Plan Data'!$A$4:$T$2000,13,FALSE),10)</f>
        <v>2969.1988417072998</v>
      </c>
      <c r="BX195" s="314">
        <f>VLOOKUP($D195,'2018 Plan Data'!$A$4:$T$2000,14,FALSE)</f>
        <v>2969.1988417072803</v>
      </c>
      <c r="BY195" s="314">
        <f>VLOOKUP($D195,'2018 Plan Data'!$A$4:$T$2000,15,FALSE)</f>
        <v>2969.1988417072803</v>
      </c>
      <c r="BZ195" s="314">
        <f>VLOOKUP($D195,'2018 Plan Data'!$A$4:$T$2000,16,FALSE)</f>
        <v>2969.1988417072803</v>
      </c>
      <c r="CA195" s="314">
        <f>IF(VLOOKUP($D195,'2018 Plan Data'!$A$4:$T$2000,17,FALSE)&gt;0,VLOOKUP($D195,'2018 Plan Data'!$A$4:$T$2000,17,FALSE),0)</f>
        <v>773.27757235801812</v>
      </c>
      <c r="CB195" s="314">
        <f>IF(VLOOKUP($D195,'2018 Plan Data'!$A$4:$T$2000,18,FALSE)&gt;0,VLOOKUP($D195,'2018 Plan Data'!$A$4:$T$2000,18,FALSE),0)</f>
        <v>773.27757235801812</v>
      </c>
      <c r="CC195" s="314">
        <f>IF(VLOOKUP($D195,'2018 Plan Data'!$A$4:$T$2000,19,FALSE)&gt;0,VLOOKUP($D195,'2018 Plan Data'!$A$4:$T$2000,19,FALSE),0)</f>
        <v>773.27757235801812</v>
      </c>
      <c r="CD195" s="314">
        <f>IF(VLOOKUP($D195,'2018 Plan Data'!$A$4:$T$2000,20,FALSE)&gt;0,VLOOKUP($D195,'2018 Plan Data'!$A$4:$T$2000,20,FALSE),0)</f>
        <v>773.27757235801812</v>
      </c>
      <c r="CE195" s="600" t="b">
        <f t="shared" si="213"/>
        <v>0</v>
      </c>
      <c r="CF195" s="600" t="b">
        <f t="shared" si="214"/>
        <v>0</v>
      </c>
      <c r="CG195" s="600" t="b">
        <f t="shared" si="215"/>
        <v>0</v>
      </c>
      <c r="CH195" s="600" t="b">
        <f t="shared" si="216"/>
        <v>0</v>
      </c>
      <c r="CI195" s="600" t="b">
        <f t="shared" si="217"/>
        <v>0</v>
      </c>
      <c r="CJ195" s="600" t="b">
        <f t="shared" si="218"/>
        <v>0</v>
      </c>
      <c r="CK195" s="600" t="b">
        <f t="shared" si="219"/>
        <v>0</v>
      </c>
      <c r="CL195" s="600" t="b">
        <f t="shared" si="220"/>
        <v>0</v>
      </c>
      <c r="CM195" s="585"/>
      <c r="CN195" s="585"/>
      <c r="CO195" s="585"/>
      <c r="CP195" s="585"/>
      <c r="CQ195" s="585"/>
      <c r="CR195" s="585"/>
      <c r="CS195" s="585"/>
      <c r="CT195" s="585"/>
      <c r="CU195" s="585"/>
      <c r="CV195" s="585"/>
      <c r="CW195" s="585"/>
      <c r="CX195" s="585"/>
      <c r="CY195" s="585"/>
      <c r="CZ195" s="585"/>
      <c r="DA195" s="585"/>
      <c r="DB195" s="585"/>
      <c r="DC195" s="585"/>
      <c r="DD195" s="585"/>
      <c r="DE195" s="585"/>
      <c r="DF195" s="585"/>
      <c r="DG195" s="585"/>
      <c r="DH195" s="585"/>
      <c r="DI195" s="585"/>
      <c r="DJ195" s="585"/>
      <c r="DK195" s="585"/>
      <c r="DL195" s="585"/>
      <c r="DM195" s="585"/>
      <c r="DN195" s="585"/>
      <c r="DO195" s="585"/>
      <c r="DP195" s="585"/>
      <c r="DQ195" s="585"/>
      <c r="DR195" s="585"/>
      <c r="DS195" s="585"/>
      <c r="DT195" s="585"/>
      <c r="DU195" s="585"/>
      <c r="DV195" s="585"/>
      <c r="DW195" s="585"/>
      <c r="DX195" s="585"/>
      <c r="DY195" s="585"/>
      <c r="DZ195" s="585"/>
      <c r="EA195" s="585"/>
      <c r="EB195" s="585"/>
      <c r="EC195" s="585"/>
      <c r="ED195" s="585"/>
      <c r="EE195" s="585"/>
      <c r="EF195" s="585"/>
      <c r="EG195" s="585"/>
      <c r="EH195" s="585"/>
      <c r="EI195" s="585"/>
      <c r="EJ195" s="585"/>
      <c r="EK195" s="585"/>
      <c r="EL195" s="585"/>
      <c r="EM195" s="585"/>
      <c r="EN195" s="585"/>
      <c r="EO195" s="585"/>
      <c r="EP195" s="585"/>
      <c r="EQ195" s="585"/>
      <c r="ER195" s="585"/>
      <c r="ES195" s="585"/>
      <c r="ET195" s="585"/>
    </row>
    <row r="196" spans="1:150" ht="15" customHeight="1" x14ac:dyDescent="0.35">
      <c r="A196" s="585">
        <f t="shared" si="252"/>
        <v>467</v>
      </c>
      <c r="B196" s="600" t="str">
        <f t="shared" si="200"/>
        <v>Business_Standard-Small Business</v>
      </c>
      <c r="C196" s="600"/>
      <c r="D196">
        <v>467</v>
      </c>
      <c r="E196" s="600" t="s">
        <v>1944</v>
      </c>
      <c r="F196" s="600" t="str">
        <f>VLOOKUP(G196,Sheet4!$D$6:$E$22,2,FALSE)</f>
        <v>Standard</v>
      </c>
      <c r="G196" s="600" t="s">
        <v>1032</v>
      </c>
      <c r="H196" s="296" t="s">
        <v>1019</v>
      </c>
      <c r="J196" s="72" t="s">
        <v>15</v>
      </c>
      <c r="K196" s="72" t="str">
        <f>INDEX('Measure Codes'!$F$4:$F$821,MATCH(H196,'Measure Codes'!$D$4:$D$821,0))</f>
        <v>4.3.2</v>
      </c>
      <c r="L196" s="72" t="str">
        <f>INDEX('Measure Codes'!$G$4:$G$821,MATCH(H196,'Measure Codes'!$D$4:$D$821,0))</f>
        <v>CI-HWE-LFFA-V07-180101</v>
      </c>
      <c r="M196" s="600">
        <v>1</v>
      </c>
      <c r="O196" s="72" t="str">
        <f t="shared" si="253"/>
        <v>Dual Fuel</v>
      </c>
      <c r="P196" s="7">
        <f>VLOOKUP(D196,'2018 Plan Data'!$A$4:$K$1000,11,FALSE)</f>
        <v>9</v>
      </c>
      <c r="Q196" s="652">
        <f>VLOOKUP(D196,'2018 Plan Data'!$A$4:$L$1000,12,FALSE)</f>
        <v>0</v>
      </c>
      <c r="R196" s="314">
        <f>R135</f>
        <v>34.598581574451671</v>
      </c>
      <c r="T196" s="314">
        <f>'BUS Measure-Model Summary'!E399</f>
        <v>4.6993183364750354E-3</v>
      </c>
      <c r="V196" s="314">
        <f>V135</f>
        <v>5.4316370902687714</v>
      </c>
      <c r="X196" s="600"/>
      <c r="Y196" s="600"/>
      <c r="Z196" s="600"/>
      <c r="AA196" s="600"/>
      <c r="AB196" s="600"/>
      <c r="AC196" s="600"/>
      <c r="AD196" s="309">
        <f>'BUS Measure-Model Summary'!I287</f>
        <v>0.96199999999999997</v>
      </c>
      <c r="AE196" s="309">
        <f t="shared" si="278"/>
        <v>0.96199999999999997</v>
      </c>
      <c r="AF196" s="309">
        <f t="shared" si="278"/>
        <v>0.96199999999999997</v>
      </c>
      <c r="AG196" s="309">
        <f t="shared" si="278"/>
        <v>0.96199999999999997</v>
      </c>
      <c r="AH196" s="314">
        <f t="shared" si="254"/>
        <v>33.283835474622506</v>
      </c>
      <c r="AI196" s="314">
        <f t="shared" si="255"/>
        <v>33.283835474622506</v>
      </c>
      <c r="AJ196" s="314">
        <f t="shared" si="256"/>
        <v>33.283835474622506</v>
      </c>
      <c r="AK196" s="314">
        <f t="shared" si="257"/>
        <v>33.283835474622506</v>
      </c>
      <c r="AL196" s="309">
        <f t="shared" si="258"/>
        <v>0.96199999999999997</v>
      </c>
      <c r="AM196" s="309">
        <f t="shared" si="259"/>
        <v>0.96199999999999997</v>
      </c>
      <c r="AN196" s="309">
        <f t="shared" si="260"/>
        <v>0.96199999999999997</v>
      </c>
      <c r="AO196" s="309">
        <f t="shared" si="261"/>
        <v>0.96199999999999997</v>
      </c>
      <c r="AP196" s="446">
        <f t="shared" si="262"/>
        <v>4.5207442396889841E-3</v>
      </c>
      <c r="AQ196" s="446">
        <f t="shared" si="263"/>
        <v>4.5207442396889841E-3</v>
      </c>
      <c r="AR196" s="446">
        <f t="shared" si="264"/>
        <v>4.5207442396889841E-3</v>
      </c>
      <c r="AS196" s="446">
        <f t="shared" si="265"/>
        <v>4.5207442396889841E-3</v>
      </c>
      <c r="AT196" s="309">
        <f t="shared" si="245"/>
        <v>0.96199999999999997</v>
      </c>
      <c r="AU196" s="309">
        <f t="shared" si="279"/>
        <v>0.96199999999999997</v>
      </c>
      <c r="AV196" s="309">
        <f t="shared" si="279"/>
        <v>0.96199999999999997</v>
      </c>
      <c r="AW196" s="309">
        <f t="shared" si="279"/>
        <v>0.96199999999999997</v>
      </c>
      <c r="AX196" s="243">
        <f t="shared" si="266"/>
        <v>5.225234880838558</v>
      </c>
      <c r="AY196" s="243">
        <f t="shared" si="267"/>
        <v>5.225234880838558</v>
      </c>
      <c r="AZ196" s="243">
        <f t="shared" si="268"/>
        <v>5.225234880838558</v>
      </c>
      <c r="BA196" s="243">
        <f t="shared" si="269"/>
        <v>5.225234880838558</v>
      </c>
      <c r="BB196" s="652">
        <f>VLOOKUP($D196,'2018 Plan Data'!$A$4:$K$2000,6,FALSE)</f>
        <v>620</v>
      </c>
      <c r="BC196" s="243">
        <f>VLOOKUP($D196,'2018 Plan Data'!$A$4:$K$2000,7,FALSE)</f>
        <v>450</v>
      </c>
      <c r="BD196" s="243">
        <f>VLOOKUP($D196,'2018 Plan Data'!$A$4:$K$2000,8,FALSE)</f>
        <v>526</v>
      </c>
      <c r="BE196" s="243">
        <f>VLOOKUP($D196,'2018 Plan Data'!$A$4:$K$2000,9,FALSE)</f>
        <v>518</v>
      </c>
      <c r="BF196" s="243">
        <f t="shared" si="201"/>
        <v>21451.120576160036</v>
      </c>
      <c r="BG196" s="243">
        <f t="shared" si="202"/>
        <v>15569.361708503253</v>
      </c>
      <c r="BH196" s="243">
        <f t="shared" si="203"/>
        <v>18198.853908161578</v>
      </c>
      <c r="BI196" s="243">
        <f t="shared" si="204"/>
        <v>17922.065255565965</v>
      </c>
      <c r="BJ196" s="243">
        <f t="shared" si="205"/>
        <v>3367.6149959666382</v>
      </c>
      <c r="BK196" s="243">
        <f t="shared" si="206"/>
        <v>2444.2366906209472</v>
      </c>
      <c r="BL196" s="243">
        <f t="shared" si="207"/>
        <v>2857.041109481374</v>
      </c>
      <c r="BM196" s="243">
        <f t="shared" si="208"/>
        <v>2813.5880127592236</v>
      </c>
      <c r="BN196" s="243">
        <f t="shared" si="246"/>
        <v>20635.977994265999</v>
      </c>
      <c r="BO196" s="243">
        <f t="shared" si="275"/>
        <v>14977.725963580127</v>
      </c>
      <c r="BP196" s="243">
        <f t="shared" si="276"/>
        <v>17507.29745965144</v>
      </c>
      <c r="BQ196" s="243">
        <f t="shared" si="277"/>
        <v>17241.026775854458</v>
      </c>
      <c r="BR196" s="243">
        <f t="shared" si="270"/>
        <v>3239.645626119906</v>
      </c>
      <c r="BS196" s="243">
        <f t="shared" si="271"/>
        <v>2351.3556963773513</v>
      </c>
      <c r="BT196" s="243">
        <f t="shared" si="272"/>
        <v>2748.4735473210817</v>
      </c>
      <c r="BU196" s="243">
        <f t="shared" si="273"/>
        <v>2706.6716682743731</v>
      </c>
      <c r="BV196" s="600"/>
      <c r="BW196" s="243">
        <f>ROUND(VLOOKUP($D196,'2018 Plan Data'!$A$4:$T$2000,13,FALSE),10)</f>
        <v>16215.8732592821</v>
      </c>
      <c r="BX196" s="314">
        <f>VLOOKUP($D196,'2018 Plan Data'!$A$4:$T$2000,14,FALSE)</f>
        <v>11769.5854301241</v>
      </c>
      <c r="BY196" s="314">
        <f>VLOOKUP($D196,'2018 Plan Data'!$A$4:$T$2000,15,FALSE)</f>
        <v>13757.337636100614</v>
      </c>
      <c r="BZ196" s="314">
        <f>VLOOKUP($D196,'2018 Plan Data'!$A$4:$T$2000,16,FALSE)</f>
        <v>13548.100561787296</v>
      </c>
      <c r="CA196" s="314">
        <f>IF(VLOOKUP($D196,'2018 Plan Data'!$A$4:$T$2000,17,FALSE)&gt;0,VLOOKUP($D196,'2018 Plan Data'!$A$4:$T$2000,17,FALSE),0)</f>
        <v>3239.645626119906</v>
      </c>
      <c r="CB196" s="314">
        <f>IF(VLOOKUP($D196,'2018 Plan Data'!$A$4:$T$2000,18,FALSE)&gt;0,VLOOKUP($D196,'2018 Plan Data'!$A$4:$T$2000,18,FALSE),0)</f>
        <v>2351.3556963773513</v>
      </c>
      <c r="CC196" s="314">
        <f>IF(VLOOKUP($D196,'2018 Plan Data'!$A$4:$T$2000,19,FALSE)&gt;0,VLOOKUP($D196,'2018 Plan Data'!$A$4:$T$2000,19,FALSE),0)</f>
        <v>2748.4735473210817</v>
      </c>
      <c r="CD196" s="314">
        <f>IF(VLOOKUP($D196,'2018 Plan Data'!$A$4:$T$2000,20,FALSE)&gt;0,VLOOKUP($D196,'2018 Plan Data'!$A$4:$T$2000,20,FALSE),0)</f>
        <v>2706.6716682743731</v>
      </c>
      <c r="CE196" s="600" t="b">
        <f t="shared" si="213"/>
        <v>0</v>
      </c>
      <c r="CF196" s="600" t="b">
        <f t="shared" si="214"/>
        <v>0</v>
      </c>
      <c r="CG196" s="600" t="b">
        <f t="shared" si="215"/>
        <v>0</v>
      </c>
      <c r="CH196" s="600" t="b">
        <f t="shared" si="216"/>
        <v>0</v>
      </c>
      <c r="CI196" s="600" t="b">
        <f t="shared" si="217"/>
        <v>1</v>
      </c>
      <c r="CJ196" s="600" t="b">
        <f t="shared" si="218"/>
        <v>1</v>
      </c>
      <c r="CK196" s="600" t="b">
        <f t="shared" si="219"/>
        <v>1</v>
      </c>
      <c r="CL196" s="600" t="b">
        <f t="shared" si="220"/>
        <v>1</v>
      </c>
      <c r="CM196" s="585"/>
      <c r="CN196" s="585"/>
      <c r="CO196" s="585"/>
      <c r="CP196" s="585"/>
      <c r="CQ196" s="585"/>
      <c r="CR196" s="585"/>
      <c r="CS196" s="585"/>
      <c r="CT196" s="585"/>
      <c r="CU196" s="585"/>
      <c r="CV196" s="585"/>
      <c r="CW196" s="585"/>
      <c r="CX196" s="585"/>
      <c r="CY196" s="585"/>
      <c r="CZ196" s="585"/>
      <c r="DA196" s="585"/>
      <c r="DB196" s="585"/>
      <c r="DC196" s="585"/>
      <c r="DD196" s="585"/>
      <c r="DE196" s="585"/>
      <c r="DF196" s="585"/>
      <c r="DG196" s="585"/>
      <c r="DH196" s="585"/>
      <c r="DI196" s="585"/>
      <c r="DJ196" s="585"/>
      <c r="DK196" s="585"/>
      <c r="DL196" s="585"/>
      <c r="DM196" s="585"/>
      <c r="DN196" s="585"/>
      <c r="DO196" s="585"/>
      <c r="DP196" s="585"/>
      <c r="DQ196" s="585"/>
      <c r="DR196" s="585"/>
      <c r="DS196" s="585"/>
      <c r="DT196" s="585"/>
      <c r="DU196" s="585"/>
      <c r="DV196" s="585"/>
      <c r="DW196" s="585"/>
      <c r="DX196" s="585"/>
      <c r="DY196" s="585"/>
      <c r="DZ196" s="585"/>
      <c r="EA196" s="585"/>
      <c r="EB196" s="585"/>
      <c r="EC196" s="585"/>
      <c r="ED196" s="585"/>
      <c r="EE196" s="585"/>
      <c r="EF196" s="585"/>
      <c r="EG196" s="585"/>
      <c r="EH196" s="585"/>
      <c r="EI196" s="585"/>
      <c r="EJ196" s="585"/>
      <c r="EK196" s="585"/>
      <c r="EL196" s="585"/>
      <c r="EM196" s="585"/>
      <c r="EN196" s="585"/>
      <c r="EO196" s="585"/>
      <c r="EP196" s="585"/>
      <c r="EQ196" s="585"/>
      <c r="ER196" s="585"/>
      <c r="ES196" s="585"/>
      <c r="ET196" s="585"/>
    </row>
    <row r="197" spans="1:150" ht="15" customHeight="1" x14ac:dyDescent="0.35">
      <c r="A197" s="585">
        <f t="shared" si="252"/>
        <v>466</v>
      </c>
      <c r="B197" s="600" t="str">
        <f t="shared" ref="B197:B215" si="280">E197&amp;"_"&amp;G197</f>
        <v>Business_Standard-Small Business</v>
      </c>
      <c r="C197" s="600"/>
      <c r="D197">
        <v>466</v>
      </c>
      <c r="E197" s="600" t="s">
        <v>1944</v>
      </c>
      <c r="F197" s="600" t="str">
        <f>VLOOKUP(G197,Sheet4!$D$6:$E$22,2,FALSE)</f>
        <v>Standard</v>
      </c>
      <c r="G197" s="600" t="s">
        <v>1032</v>
      </c>
      <c r="H197" s="296" t="s">
        <v>1020</v>
      </c>
      <c r="J197" s="72" t="s">
        <v>15</v>
      </c>
      <c r="K197" s="72" t="str">
        <f>INDEX('Measure Codes'!$F$4:$F$821,MATCH(H197,'Measure Codes'!$D$4:$D$821,0))</f>
        <v>4.3.2</v>
      </c>
      <c r="L197" s="72" t="str">
        <f>INDEX('Measure Codes'!$G$4:$G$821,MATCH(H197,'Measure Codes'!$D$4:$D$821,0))</f>
        <v>CI-HWE-LFFA-V07-180101</v>
      </c>
      <c r="M197" s="600">
        <v>1</v>
      </c>
      <c r="O197" s="72" t="str">
        <f t="shared" si="253"/>
        <v>Dual Fuel</v>
      </c>
      <c r="P197" s="7">
        <f>VLOOKUP(D197,'2018 Plan Data'!$A$4:$K$1000,11,FALSE)</f>
        <v>9</v>
      </c>
      <c r="Q197" s="652">
        <f>VLOOKUP(D197,'2018 Plan Data'!$A$4:$L$1000,12,FALSE)</f>
        <v>0</v>
      </c>
      <c r="R197" s="314">
        <f>R136</f>
        <v>47.706718162977729</v>
      </c>
      <c r="T197" s="314">
        <f>'BUS Measure-Model Summary'!E400</f>
        <v>6.4797181050298865E-3</v>
      </c>
      <c r="V197" s="314">
        <f>V136</f>
        <v>7.4894856389249336</v>
      </c>
      <c r="AD197" s="309">
        <f>'BUS Measure-Model Summary'!I288</f>
        <v>0.96199999999999997</v>
      </c>
      <c r="AE197" s="309">
        <f t="shared" si="278"/>
        <v>0.96199999999999997</v>
      </c>
      <c r="AF197" s="309">
        <f t="shared" si="278"/>
        <v>0.96199999999999997</v>
      </c>
      <c r="AG197" s="309">
        <f t="shared" si="278"/>
        <v>0.96199999999999997</v>
      </c>
      <c r="AH197" s="314">
        <f t="shared" si="254"/>
        <v>45.893862872784574</v>
      </c>
      <c r="AI197" s="314">
        <f t="shared" si="255"/>
        <v>45.893862872784574</v>
      </c>
      <c r="AJ197" s="314">
        <f t="shared" si="256"/>
        <v>45.893862872784574</v>
      </c>
      <c r="AK197" s="314">
        <f t="shared" si="257"/>
        <v>45.893862872784574</v>
      </c>
      <c r="AL197" s="309">
        <f t="shared" si="258"/>
        <v>0.96199999999999997</v>
      </c>
      <c r="AM197" s="309">
        <f t="shared" si="259"/>
        <v>0.96199999999999997</v>
      </c>
      <c r="AN197" s="309">
        <f t="shared" si="260"/>
        <v>0.96199999999999997</v>
      </c>
      <c r="AO197" s="309">
        <f t="shared" si="261"/>
        <v>0.96199999999999997</v>
      </c>
      <c r="AP197" s="446">
        <f t="shared" si="262"/>
        <v>6.2334888170387506E-3</v>
      </c>
      <c r="AQ197" s="446">
        <f t="shared" si="263"/>
        <v>6.2334888170387506E-3</v>
      </c>
      <c r="AR197" s="446">
        <f t="shared" si="264"/>
        <v>6.2334888170387506E-3</v>
      </c>
      <c r="AS197" s="446">
        <f t="shared" si="265"/>
        <v>6.2334888170387506E-3</v>
      </c>
      <c r="AT197" s="309">
        <f t="shared" si="245"/>
        <v>0.96199999999999997</v>
      </c>
      <c r="AU197" s="309">
        <f t="shared" si="279"/>
        <v>0.96199999999999997</v>
      </c>
      <c r="AV197" s="309">
        <f t="shared" si="279"/>
        <v>0.96199999999999997</v>
      </c>
      <c r="AW197" s="309">
        <f t="shared" si="279"/>
        <v>0.96199999999999997</v>
      </c>
      <c r="AX197" s="243">
        <f t="shared" si="266"/>
        <v>7.2048851846457858</v>
      </c>
      <c r="AY197" s="243">
        <f t="shared" si="267"/>
        <v>7.2048851846457858</v>
      </c>
      <c r="AZ197" s="243">
        <f t="shared" si="268"/>
        <v>7.2048851846457858</v>
      </c>
      <c r="BA197" s="243">
        <f t="shared" si="269"/>
        <v>7.2048851846457858</v>
      </c>
      <c r="BB197" s="652">
        <f>VLOOKUP($D197,'2018 Plan Data'!$A$4:$K$2000,6,FALSE)</f>
        <v>620</v>
      </c>
      <c r="BC197" s="243">
        <f>VLOOKUP($D197,'2018 Plan Data'!$A$4:$K$2000,7,FALSE)</f>
        <v>450</v>
      </c>
      <c r="BD197" s="243">
        <f>VLOOKUP($D197,'2018 Plan Data'!$A$4:$K$2000,8,FALSE)</f>
        <v>526</v>
      </c>
      <c r="BE197" s="243">
        <f>VLOOKUP($D197,'2018 Plan Data'!$A$4:$K$2000,9,FALSE)</f>
        <v>518</v>
      </c>
      <c r="BF197" s="243">
        <f t="shared" ref="BF197:BF215" si="281">BB197*$R197</f>
        <v>29578.165261046193</v>
      </c>
      <c r="BG197" s="243">
        <f t="shared" ref="BG197:BG215" si="282">BC197*$R197</f>
        <v>21468.023173339978</v>
      </c>
      <c r="BH197" s="243">
        <f t="shared" ref="BH197:BH215" si="283">BD197*$R197</f>
        <v>25093.733753726287</v>
      </c>
      <c r="BI197" s="243">
        <f t="shared" ref="BI197:BI215" si="284">BE197*$R197</f>
        <v>24712.080008422465</v>
      </c>
      <c r="BJ197" s="243">
        <f t="shared" ref="BJ197:BJ215" si="285">BB197*$V197</f>
        <v>4643.4810961334588</v>
      </c>
      <c r="BK197" s="243">
        <f t="shared" ref="BK197:BK215" si="286">BC197*$V197</f>
        <v>3370.26853751622</v>
      </c>
      <c r="BL197" s="243">
        <f t="shared" ref="BL197:BL215" si="287">BD197*$V197</f>
        <v>3939.469446074515</v>
      </c>
      <c r="BM197" s="243">
        <f t="shared" ref="BM197:BM215" si="288">BE197*$V197</f>
        <v>3879.5535609631156</v>
      </c>
      <c r="BN197" s="243">
        <f t="shared" si="246"/>
        <v>28454.194981126398</v>
      </c>
      <c r="BO197" s="243">
        <f t="shared" si="275"/>
        <v>20652.23829275306</v>
      </c>
      <c r="BP197" s="243">
        <f t="shared" si="276"/>
        <v>24140.171871084687</v>
      </c>
      <c r="BQ197" s="243">
        <f t="shared" si="277"/>
        <v>23773.02096810241</v>
      </c>
      <c r="BR197" s="243">
        <f t="shared" si="270"/>
        <v>4467.0288144803872</v>
      </c>
      <c r="BS197" s="243">
        <f t="shared" si="271"/>
        <v>3242.1983330906037</v>
      </c>
      <c r="BT197" s="243">
        <f t="shared" si="272"/>
        <v>3789.7696071236833</v>
      </c>
      <c r="BU197" s="243">
        <f t="shared" si="273"/>
        <v>3732.1305256465171</v>
      </c>
      <c r="BV197" s="600"/>
      <c r="BW197" s="243">
        <f>ROUND(VLOOKUP($D197,'2018 Plan Data'!$A$4:$T$2000,13,FALSE),10)</f>
        <v>22359.474294702999</v>
      </c>
      <c r="BX197" s="314">
        <f>VLOOKUP($D197,'2018 Plan Data'!$A$4:$T$2000,14,FALSE)</f>
        <v>16228.650697768328</v>
      </c>
      <c r="BY197" s="314">
        <f>VLOOKUP($D197,'2018 Plan Data'!$A$4:$T$2000,15,FALSE)</f>
        <v>18969.489482280311</v>
      </c>
      <c r="BZ197" s="314">
        <f>VLOOKUP($D197,'2018 Plan Data'!$A$4:$T$2000,16,FALSE)</f>
        <v>18680.98013654221</v>
      </c>
      <c r="CA197" s="314">
        <f>IF(VLOOKUP($D197,'2018 Plan Data'!$A$4:$T$2000,17,FALSE)&gt;0,VLOOKUP($D197,'2018 Plan Data'!$A$4:$T$2000,17,FALSE),0)</f>
        <v>4467.0288144803872</v>
      </c>
      <c r="CB197" s="314">
        <f>IF(VLOOKUP($D197,'2018 Plan Data'!$A$4:$T$2000,18,FALSE)&gt;0,VLOOKUP($D197,'2018 Plan Data'!$A$4:$T$2000,18,FALSE),0)</f>
        <v>3242.1983330906037</v>
      </c>
      <c r="CC197" s="314">
        <f>IF(VLOOKUP($D197,'2018 Plan Data'!$A$4:$T$2000,19,FALSE)&gt;0,VLOOKUP($D197,'2018 Plan Data'!$A$4:$T$2000,19,FALSE),0)</f>
        <v>3789.7696071236833</v>
      </c>
      <c r="CD197" s="314">
        <f>IF(VLOOKUP($D197,'2018 Plan Data'!$A$4:$T$2000,20,FALSE)&gt;0,VLOOKUP($D197,'2018 Plan Data'!$A$4:$T$2000,20,FALSE),0)</f>
        <v>3732.1305256465171</v>
      </c>
      <c r="CE197" s="600" t="b">
        <f t="shared" ref="CE197:CE215" si="289">IF(BW197=BN197,TRUE,FALSE)</f>
        <v>0</v>
      </c>
      <c r="CF197" s="600" t="b">
        <f t="shared" ref="CF197:CF215" si="290">IF(BX197=BO197,TRUE,FALSE)</f>
        <v>0</v>
      </c>
      <c r="CG197" s="600" t="b">
        <f t="shared" ref="CG197:CG215" si="291">IF(BY197=BP197,TRUE,FALSE)</f>
        <v>0</v>
      </c>
      <c r="CH197" s="600" t="b">
        <f t="shared" ref="CH197:CH215" si="292">IF(BZ197=BQ197,TRUE,FALSE)</f>
        <v>0</v>
      </c>
      <c r="CI197" s="600" t="b">
        <f t="shared" ref="CI197:CI215" si="293">IF(CA197=BR197,TRUE,FALSE)</f>
        <v>1</v>
      </c>
      <c r="CJ197" s="600" t="b">
        <f t="shared" ref="CJ197:CJ215" si="294">IF(CB197=BS197,TRUE,FALSE)</f>
        <v>1</v>
      </c>
      <c r="CK197" s="600" t="b">
        <f t="shared" ref="CK197:CK215" si="295">IF(CC197=BT197,TRUE,FALSE)</f>
        <v>1</v>
      </c>
      <c r="CL197" s="600" t="b">
        <f t="shared" ref="CL197:CL215" si="296">IF(CD197=BU197,TRUE,FALSE)</f>
        <v>1</v>
      </c>
      <c r="CM197" s="585"/>
      <c r="CN197" s="585"/>
      <c r="CO197" s="585"/>
      <c r="CP197" s="585"/>
      <c r="CQ197" s="585"/>
      <c r="CR197" s="585"/>
      <c r="CS197" s="585"/>
      <c r="CT197" s="585"/>
      <c r="CU197" s="585"/>
      <c r="CV197" s="585"/>
      <c r="CW197" s="585"/>
      <c r="CX197" s="585"/>
      <c r="CY197" s="585"/>
      <c r="CZ197" s="585"/>
      <c r="DA197" s="585"/>
      <c r="DB197" s="585"/>
      <c r="DC197" s="585"/>
      <c r="DD197" s="585"/>
      <c r="DE197" s="585"/>
      <c r="DF197" s="585"/>
      <c r="DG197" s="585"/>
      <c r="DH197" s="585"/>
      <c r="DI197" s="585"/>
      <c r="DJ197" s="585"/>
      <c r="DK197" s="585"/>
      <c r="DL197" s="585"/>
      <c r="DM197" s="585"/>
      <c r="DN197" s="585"/>
      <c r="DO197" s="585"/>
      <c r="DP197" s="585"/>
      <c r="DQ197" s="585"/>
      <c r="DR197" s="585"/>
      <c r="DS197" s="585"/>
      <c r="DT197" s="585"/>
      <c r="DU197" s="585"/>
      <c r="DV197" s="585"/>
      <c r="DW197" s="585"/>
      <c r="DX197" s="585"/>
      <c r="DY197" s="585"/>
      <c r="DZ197" s="585"/>
      <c r="EA197" s="585"/>
      <c r="EB197" s="585"/>
      <c r="EC197" s="585"/>
      <c r="ED197" s="585"/>
      <c r="EE197" s="585"/>
      <c r="EF197" s="585"/>
      <c r="EG197" s="585"/>
      <c r="EH197" s="585"/>
      <c r="EI197" s="585"/>
      <c r="EJ197" s="585"/>
      <c r="EK197" s="585"/>
      <c r="EL197" s="585"/>
      <c r="EM197" s="585"/>
      <c r="EN197" s="585"/>
      <c r="EO197" s="585"/>
      <c r="EP197" s="585"/>
      <c r="EQ197" s="585"/>
      <c r="ER197" s="585"/>
      <c r="ES197" s="585"/>
      <c r="ET197" s="585"/>
    </row>
    <row r="198" spans="1:150" ht="15" customHeight="1" x14ac:dyDescent="0.35">
      <c r="A198" s="585">
        <f t="shared" si="252"/>
        <v>433</v>
      </c>
      <c r="B198" s="600" t="str">
        <f t="shared" si="280"/>
        <v>Business_Standard-Small Business</v>
      </c>
      <c r="C198" s="600"/>
      <c r="D198">
        <v>433</v>
      </c>
      <c r="E198" s="600" t="s">
        <v>1944</v>
      </c>
      <c r="F198" s="600" t="str">
        <f>VLOOKUP(G198,Sheet4!$D$6:$E$22,2,FALSE)</f>
        <v>Standard</v>
      </c>
      <c r="G198" s="600" t="s">
        <v>1032</v>
      </c>
      <c r="H198" s="296" t="s">
        <v>1021</v>
      </c>
      <c r="J198" s="18" t="str">
        <f>J187</f>
        <v xml:space="preserve">HVAC </v>
      </c>
      <c r="K198" s="72" t="str">
        <f>INDEX('Measure Codes'!$F$4:$F$821,MATCH(H198,'Measure Codes'!$D$4:$D$821,0))</f>
        <v>n/a</v>
      </c>
      <c r="L198" s="72" t="str">
        <f>INDEX('Measure Codes'!$G$4:$G$821,MATCH(H198,'Measure Codes'!$D$4:$D$821,0))</f>
        <v>n/a</v>
      </c>
      <c r="M198" s="600">
        <v>1</v>
      </c>
      <c r="O198" s="72" t="str">
        <f t="shared" si="253"/>
        <v>Dual Fuel</v>
      </c>
      <c r="P198" s="7">
        <f>VLOOKUP(D198,'2018 Plan Data'!$A$4:$K$1000,11,FALSE)</f>
        <v>10</v>
      </c>
      <c r="Q198" s="652">
        <f>VLOOKUP(D198,'2018 Plan Data'!$A$4:$L$1000,12,FALSE)</f>
        <v>0</v>
      </c>
      <c r="R198" s="314">
        <f>'BUS Measure-Model Summary'!D402</f>
        <v>621</v>
      </c>
      <c r="T198" s="314">
        <f>'BUS Measure-Model Summary'!E402</f>
        <v>5.7634999999999999E-2</v>
      </c>
      <c r="V198" s="314">
        <f>'BUS Measure-Model Summary'!F402</f>
        <v>61.482900000000001</v>
      </c>
      <c r="AD198" s="309">
        <f>'BUS Measure-Model Summary'!I289</f>
        <v>0.96199999999999997</v>
      </c>
      <c r="AE198" s="309">
        <f t="shared" si="278"/>
        <v>0.96199999999999997</v>
      </c>
      <c r="AF198" s="309">
        <f t="shared" si="278"/>
        <v>0.96199999999999997</v>
      </c>
      <c r="AG198" s="309">
        <f t="shared" si="278"/>
        <v>0.96199999999999997</v>
      </c>
      <c r="AH198" s="314">
        <f t="shared" si="254"/>
        <v>597.40199999999993</v>
      </c>
      <c r="AI198" s="314">
        <f t="shared" si="255"/>
        <v>597.40199999999993</v>
      </c>
      <c r="AJ198" s="314">
        <f t="shared" si="256"/>
        <v>597.40199999999993</v>
      </c>
      <c r="AK198" s="314">
        <f t="shared" si="257"/>
        <v>597.40199999999993</v>
      </c>
      <c r="AL198" s="309">
        <f t="shared" si="258"/>
        <v>0.96199999999999997</v>
      </c>
      <c r="AM198" s="309">
        <f t="shared" si="259"/>
        <v>0.96199999999999997</v>
      </c>
      <c r="AN198" s="309">
        <f t="shared" si="260"/>
        <v>0.96199999999999997</v>
      </c>
      <c r="AO198" s="309">
        <f t="shared" si="261"/>
        <v>0.96199999999999997</v>
      </c>
      <c r="AP198" s="446">
        <f t="shared" si="262"/>
        <v>5.544487E-2</v>
      </c>
      <c r="AQ198" s="446">
        <f t="shared" si="263"/>
        <v>5.544487E-2</v>
      </c>
      <c r="AR198" s="446">
        <f t="shared" si="264"/>
        <v>5.544487E-2</v>
      </c>
      <c r="AS198" s="446">
        <f t="shared" si="265"/>
        <v>5.544487E-2</v>
      </c>
      <c r="AT198" s="309">
        <f t="shared" si="245"/>
        <v>0.96199999999999997</v>
      </c>
      <c r="AU198" s="309">
        <f t="shared" si="279"/>
        <v>0.96199999999999997</v>
      </c>
      <c r="AV198" s="309">
        <f t="shared" si="279"/>
        <v>0.96199999999999997</v>
      </c>
      <c r="AW198" s="309">
        <f t="shared" si="279"/>
        <v>0.96199999999999997</v>
      </c>
      <c r="AX198" s="243">
        <f t="shared" si="266"/>
        <v>59.146549799999995</v>
      </c>
      <c r="AY198" s="243">
        <f t="shared" si="267"/>
        <v>59.146549799999995</v>
      </c>
      <c r="AZ198" s="243">
        <f t="shared" si="268"/>
        <v>59.146549799999995</v>
      </c>
      <c r="BA198" s="243">
        <f t="shared" si="269"/>
        <v>59.146549799999995</v>
      </c>
      <c r="BB198" s="652">
        <f>VLOOKUP($D198,'2018 Plan Data'!$A$4:$K$2000,6,FALSE)</f>
        <v>75</v>
      </c>
      <c r="BC198" s="243">
        <f>VLOOKUP($D198,'2018 Plan Data'!$A$4:$K$2000,7,FALSE)</f>
        <v>0</v>
      </c>
      <c r="BD198" s="243">
        <f>VLOOKUP($D198,'2018 Plan Data'!$A$4:$K$2000,8,FALSE)</f>
        <v>0</v>
      </c>
      <c r="BE198" s="243">
        <f>VLOOKUP($D198,'2018 Plan Data'!$A$4:$K$2000,9,FALSE)</f>
        <v>0</v>
      </c>
      <c r="BF198" s="243">
        <f t="shared" si="281"/>
        <v>46575</v>
      </c>
      <c r="BG198" s="243">
        <f t="shared" si="282"/>
        <v>0</v>
      </c>
      <c r="BH198" s="243">
        <f t="shared" si="283"/>
        <v>0</v>
      </c>
      <c r="BI198" s="243">
        <f t="shared" si="284"/>
        <v>0</v>
      </c>
      <c r="BJ198" s="243">
        <f t="shared" si="285"/>
        <v>4611.2174999999997</v>
      </c>
      <c r="BK198" s="243">
        <f t="shared" si="286"/>
        <v>0</v>
      </c>
      <c r="BL198" s="243">
        <f t="shared" si="287"/>
        <v>0</v>
      </c>
      <c r="BM198" s="243">
        <f t="shared" si="288"/>
        <v>0</v>
      </c>
      <c r="BN198" s="243">
        <f t="shared" si="246"/>
        <v>44805.15</v>
      </c>
      <c r="BO198" s="243">
        <f t="shared" si="275"/>
        <v>0</v>
      </c>
      <c r="BP198" s="243">
        <f t="shared" si="276"/>
        <v>0</v>
      </c>
      <c r="BQ198" s="243">
        <f t="shared" si="277"/>
        <v>0</v>
      </c>
      <c r="BR198" s="243">
        <f t="shared" si="270"/>
        <v>4435.9912349999995</v>
      </c>
      <c r="BS198" s="243">
        <f t="shared" si="271"/>
        <v>0</v>
      </c>
      <c r="BT198" s="243">
        <f t="shared" si="272"/>
        <v>0</v>
      </c>
      <c r="BU198" s="243">
        <f t="shared" si="273"/>
        <v>0</v>
      </c>
      <c r="BV198" s="600"/>
      <c r="BW198" s="243">
        <f>ROUND(VLOOKUP($D198,'2018 Plan Data'!$A$4:$T$2000,13,FALSE),10)</f>
        <v>44805.15</v>
      </c>
      <c r="BX198" s="314">
        <f>VLOOKUP($D198,'2018 Plan Data'!$A$4:$T$2000,14,FALSE)</f>
        <v>0</v>
      </c>
      <c r="BY198" s="314">
        <f>VLOOKUP($D198,'2018 Plan Data'!$A$4:$T$2000,15,FALSE)</f>
        <v>0</v>
      </c>
      <c r="BZ198" s="314">
        <f>VLOOKUP($D198,'2018 Plan Data'!$A$4:$T$2000,16,FALSE)</f>
        <v>0</v>
      </c>
      <c r="CA198" s="314">
        <f>IF(VLOOKUP($D198,'2018 Plan Data'!$A$4:$T$2000,17,FALSE)&gt;0,VLOOKUP($D198,'2018 Plan Data'!$A$4:$T$2000,17,FALSE),0)</f>
        <v>4435.9912349999995</v>
      </c>
      <c r="CB198" s="314">
        <f>IF(VLOOKUP($D198,'2018 Plan Data'!$A$4:$T$2000,18,FALSE)&gt;0,VLOOKUP($D198,'2018 Plan Data'!$A$4:$T$2000,18,FALSE),0)</f>
        <v>0</v>
      </c>
      <c r="CC198" s="314">
        <f>IF(VLOOKUP($D198,'2018 Plan Data'!$A$4:$T$2000,19,FALSE)&gt;0,VLOOKUP($D198,'2018 Plan Data'!$A$4:$T$2000,19,FALSE),0)</f>
        <v>0</v>
      </c>
      <c r="CD198" s="314">
        <f>IF(VLOOKUP($D198,'2018 Plan Data'!$A$4:$T$2000,20,FALSE)&gt;0,VLOOKUP($D198,'2018 Plan Data'!$A$4:$T$2000,20,FALSE),0)</f>
        <v>0</v>
      </c>
      <c r="CE198" s="600" t="b">
        <f t="shared" si="289"/>
        <v>1</v>
      </c>
      <c r="CF198" s="600" t="b">
        <f t="shared" si="290"/>
        <v>1</v>
      </c>
      <c r="CG198" s="600" t="b">
        <f t="shared" si="291"/>
        <v>1</v>
      </c>
      <c r="CH198" s="600" t="b">
        <f t="shared" si="292"/>
        <v>1</v>
      </c>
      <c r="CI198" s="600" t="b">
        <f t="shared" si="293"/>
        <v>1</v>
      </c>
      <c r="CJ198" s="600" t="b">
        <f t="shared" si="294"/>
        <v>1</v>
      </c>
      <c r="CK198" s="600" t="b">
        <f t="shared" si="295"/>
        <v>1</v>
      </c>
      <c r="CL198" s="600" t="b">
        <f t="shared" si="296"/>
        <v>1</v>
      </c>
      <c r="CM198" s="585"/>
      <c r="CN198" s="585"/>
      <c r="CO198" s="585"/>
      <c r="CP198" s="585"/>
      <c r="CQ198" s="585"/>
      <c r="CR198" s="585"/>
      <c r="CS198" s="585"/>
      <c r="CT198" s="585"/>
      <c r="CU198" s="585"/>
      <c r="CV198" s="585"/>
      <c r="CW198" s="585"/>
      <c r="CX198" s="585"/>
      <c r="CY198" s="585"/>
      <c r="CZ198" s="585"/>
      <c r="DA198" s="585"/>
      <c r="DB198" s="585"/>
      <c r="DC198" s="585"/>
      <c r="DD198" s="585"/>
      <c r="DE198" s="585"/>
      <c r="DF198" s="585"/>
      <c r="DG198" s="585"/>
      <c r="DH198" s="585"/>
      <c r="DI198" s="585"/>
      <c r="DJ198" s="585"/>
      <c r="DK198" s="585"/>
      <c r="DL198" s="585"/>
      <c r="DM198" s="585"/>
      <c r="DN198" s="585"/>
      <c r="DO198" s="585"/>
      <c r="DP198" s="585"/>
      <c r="DQ198" s="585"/>
      <c r="DR198" s="585"/>
      <c r="DS198" s="585"/>
      <c r="DT198" s="585"/>
      <c r="DU198" s="585"/>
      <c r="DV198" s="585"/>
      <c r="DW198" s="585"/>
      <c r="DX198" s="585"/>
      <c r="DY198" s="585"/>
      <c r="DZ198" s="585"/>
      <c r="EA198" s="585"/>
      <c r="EB198" s="585"/>
      <c r="EC198" s="585"/>
      <c r="ED198" s="585"/>
      <c r="EE198" s="585"/>
      <c r="EF198" s="585"/>
      <c r="EG198" s="585"/>
      <c r="EH198" s="585"/>
      <c r="EI198" s="585"/>
      <c r="EJ198" s="585"/>
      <c r="EK198" s="585"/>
      <c r="EL198" s="585"/>
      <c r="EM198" s="585"/>
      <c r="EN198" s="585"/>
      <c r="EO198" s="585"/>
      <c r="EP198" s="585"/>
      <c r="EQ198" s="585"/>
      <c r="ER198" s="585"/>
      <c r="ES198" s="585"/>
      <c r="ET198" s="585"/>
    </row>
    <row r="199" spans="1:150" ht="15" customHeight="1" x14ac:dyDescent="0.35">
      <c r="A199" s="585">
        <f t="shared" si="252"/>
        <v>432</v>
      </c>
      <c r="B199" s="600" t="str">
        <f t="shared" si="280"/>
        <v>Business_Standard-Small Business</v>
      </c>
      <c r="C199" s="600"/>
      <c r="D199">
        <v>432</v>
      </c>
      <c r="E199" s="600" t="s">
        <v>1944</v>
      </c>
      <c r="F199" s="600" t="str">
        <f>VLOOKUP(G199,Sheet4!$D$6:$E$22,2,FALSE)</f>
        <v>Standard</v>
      </c>
      <c r="G199" s="600" t="s">
        <v>1032</v>
      </c>
      <c r="H199" s="2337" t="s">
        <v>1123</v>
      </c>
      <c r="J199" s="18" t="str">
        <f>J198</f>
        <v xml:space="preserve">HVAC </v>
      </c>
      <c r="K199" s="72" t="str">
        <f>INDEX('Measure Codes'!$F$4:$F$821,MATCH(H199,'Measure Codes'!$D$4:$D$821,0))</f>
        <v>n/a</v>
      </c>
      <c r="L199" s="72" t="str">
        <f>INDEX('Measure Codes'!$G$4:$G$821,MATCH(H199,'Measure Codes'!$D$4:$D$821,0))</f>
        <v>n/a</v>
      </c>
      <c r="M199" s="600">
        <v>1</v>
      </c>
      <c r="O199" s="72" t="str">
        <f t="shared" si="253"/>
        <v>Dual Fuel</v>
      </c>
      <c r="P199" s="7">
        <f>VLOOKUP(D199,'2018 Plan Data'!$A$4:$K$1000,11,FALSE)</f>
        <v>10</v>
      </c>
      <c r="Q199" s="652">
        <f>VLOOKUP(D199,'2018 Plan Data'!$A$4:$L$1000,12,FALSE)</f>
        <v>0</v>
      </c>
      <c r="R199" s="314">
        <f>R198</f>
        <v>621</v>
      </c>
      <c r="S199" s="314">
        <f>S198</f>
        <v>0</v>
      </c>
      <c r="T199" s="314">
        <f>T198</f>
        <v>5.7634999999999999E-2</v>
      </c>
      <c r="U199" s="314">
        <f>U198</f>
        <v>0</v>
      </c>
      <c r="V199" s="314">
        <f>V198</f>
        <v>61.482900000000001</v>
      </c>
      <c r="AD199" s="309">
        <f>'BUS Measure-Model Summary'!I301</f>
        <v>0.96199999999999997</v>
      </c>
      <c r="AE199" s="309">
        <f t="shared" si="278"/>
        <v>0.96199999999999997</v>
      </c>
      <c r="AF199" s="309">
        <f t="shared" si="278"/>
        <v>0.96199999999999997</v>
      </c>
      <c r="AG199" s="309">
        <f t="shared" si="278"/>
        <v>0.96199999999999997</v>
      </c>
      <c r="AH199" s="314">
        <f t="shared" si="254"/>
        <v>597.40199999999993</v>
      </c>
      <c r="AI199" s="314">
        <f t="shared" si="255"/>
        <v>597.40199999999993</v>
      </c>
      <c r="AJ199" s="314">
        <f t="shared" si="256"/>
        <v>597.40199999999993</v>
      </c>
      <c r="AK199" s="314">
        <f t="shared" si="257"/>
        <v>597.40199999999993</v>
      </c>
      <c r="AL199" s="309">
        <f t="shared" si="258"/>
        <v>0.96199999999999997</v>
      </c>
      <c r="AM199" s="309">
        <f t="shared" si="259"/>
        <v>0.96199999999999997</v>
      </c>
      <c r="AN199" s="309">
        <f t="shared" si="260"/>
        <v>0.96199999999999997</v>
      </c>
      <c r="AO199" s="309">
        <f t="shared" si="261"/>
        <v>0.96199999999999997</v>
      </c>
      <c r="AP199" s="446">
        <f t="shared" si="262"/>
        <v>5.544487E-2</v>
      </c>
      <c r="AQ199" s="446">
        <f t="shared" si="263"/>
        <v>5.544487E-2</v>
      </c>
      <c r="AR199" s="446">
        <f t="shared" si="264"/>
        <v>5.544487E-2</v>
      </c>
      <c r="AS199" s="446">
        <f t="shared" si="265"/>
        <v>5.544487E-2</v>
      </c>
      <c r="AT199" s="309">
        <f t="shared" si="245"/>
        <v>0.96199999999999997</v>
      </c>
      <c r="AU199" s="309">
        <f t="shared" si="279"/>
        <v>0.96199999999999997</v>
      </c>
      <c r="AV199" s="309">
        <f t="shared" si="279"/>
        <v>0.96199999999999997</v>
      </c>
      <c r="AW199" s="309">
        <f t="shared" si="279"/>
        <v>0.96199999999999997</v>
      </c>
      <c r="AX199" s="243">
        <f t="shared" si="266"/>
        <v>59.146549799999995</v>
      </c>
      <c r="AY199" s="243">
        <f t="shared" si="267"/>
        <v>59.146549799999995</v>
      </c>
      <c r="AZ199" s="243">
        <f t="shared" si="268"/>
        <v>59.146549799999995</v>
      </c>
      <c r="BA199" s="243">
        <f t="shared" si="269"/>
        <v>59.146549799999995</v>
      </c>
      <c r="BB199" s="652">
        <f>VLOOKUP($D199,'2018 Plan Data'!$A$4:$K$2000,6,FALSE)</f>
        <v>0</v>
      </c>
      <c r="BC199" s="243">
        <f>VLOOKUP($D199,'2018 Plan Data'!$A$4:$K$2000,7,FALSE)</f>
        <v>70</v>
      </c>
      <c r="BD199" s="243">
        <f>VLOOKUP($D199,'2018 Plan Data'!$A$4:$K$2000,8,FALSE)</f>
        <v>75</v>
      </c>
      <c r="BE199" s="243">
        <f>VLOOKUP($D199,'2018 Plan Data'!$A$4:$K$2000,9,FALSE)</f>
        <v>70</v>
      </c>
      <c r="BF199" s="243">
        <f t="shared" si="281"/>
        <v>0</v>
      </c>
      <c r="BG199" s="243">
        <f t="shared" si="282"/>
        <v>43470</v>
      </c>
      <c r="BH199" s="243">
        <f t="shared" si="283"/>
        <v>46575</v>
      </c>
      <c r="BI199" s="243">
        <f t="shared" si="284"/>
        <v>43470</v>
      </c>
      <c r="BJ199" s="243">
        <f t="shared" si="285"/>
        <v>0</v>
      </c>
      <c r="BK199" s="243">
        <f t="shared" si="286"/>
        <v>4303.8029999999999</v>
      </c>
      <c r="BL199" s="243">
        <f t="shared" si="287"/>
        <v>4611.2174999999997</v>
      </c>
      <c r="BM199" s="243">
        <f t="shared" si="288"/>
        <v>4303.8029999999999</v>
      </c>
      <c r="BN199" s="243">
        <f t="shared" si="246"/>
        <v>0</v>
      </c>
      <c r="BO199" s="243">
        <f t="shared" si="275"/>
        <v>41818.139999999992</v>
      </c>
      <c r="BP199" s="243">
        <f t="shared" si="276"/>
        <v>44805.149999999994</v>
      </c>
      <c r="BQ199" s="243">
        <f t="shared" si="277"/>
        <v>41818.139999999992</v>
      </c>
      <c r="BR199" s="243">
        <f t="shared" si="270"/>
        <v>0</v>
      </c>
      <c r="BS199" s="243">
        <f t="shared" si="271"/>
        <v>4140.2584859999997</v>
      </c>
      <c r="BT199" s="243">
        <f t="shared" si="272"/>
        <v>4435.9912349999995</v>
      </c>
      <c r="BU199" s="243">
        <f t="shared" si="273"/>
        <v>4140.2584859999997</v>
      </c>
      <c r="BV199" s="600"/>
      <c r="BW199" s="243">
        <f>ROUND(VLOOKUP($D199,'2018 Plan Data'!$A$4:$T$2000,13,FALSE),10)</f>
        <v>0</v>
      </c>
      <c r="BX199" s="314">
        <f>VLOOKUP($D199,'2018 Plan Data'!$A$4:$T$2000,14,FALSE)</f>
        <v>41818.139999999992</v>
      </c>
      <c r="BY199" s="314">
        <f>VLOOKUP($D199,'2018 Plan Data'!$A$4:$T$2000,15,FALSE)</f>
        <v>44805.149999999994</v>
      </c>
      <c r="BZ199" s="314">
        <f>VLOOKUP($D199,'2018 Plan Data'!$A$4:$T$2000,16,FALSE)</f>
        <v>41818.139999999992</v>
      </c>
      <c r="CA199" s="314">
        <f>IF(VLOOKUP($D199,'2018 Plan Data'!$A$4:$T$2000,17,FALSE)&gt;0,VLOOKUP($D199,'2018 Plan Data'!$A$4:$T$2000,17,FALSE),0)</f>
        <v>0</v>
      </c>
      <c r="CB199" s="314">
        <f>IF(VLOOKUP($D199,'2018 Plan Data'!$A$4:$T$2000,18,FALSE)&gt;0,VLOOKUP($D199,'2018 Plan Data'!$A$4:$T$2000,18,FALSE),0)</f>
        <v>4140.2584859999997</v>
      </c>
      <c r="CC199" s="314">
        <f>IF(VLOOKUP($D199,'2018 Plan Data'!$A$4:$T$2000,19,FALSE)&gt;0,VLOOKUP($D199,'2018 Plan Data'!$A$4:$T$2000,19,FALSE),0)</f>
        <v>4435.9912349999995</v>
      </c>
      <c r="CD199" s="314">
        <f>IF(VLOOKUP($D199,'2018 Plan Data'!$A$4:$T$2000,20,FALSE)&gt;0,VLOOKUP($D199,'2018 Plan Data'!$A$4:$T$2000,20,FALSE),0)</f>
        <v>4140.2584859999997</v>
      </c>
      <c r="CE199" s="600" t="b">
        <f t="shared" si="289"/>
        <v>1</v>
      </c>
      <c r="CF199" s="600" t="b">
        <f t="shared" si="290"/>
        <v>1</v>
      </c>
      <c r="CG199" s="600" t="b">
        <f t="shared" si="291"/>
        <v>1</v>
      </c>
      <c r="CH199" s="600" t="b">
        <f t="shared" si="292"/>
        <v>1</v>
      </c>
      <c r="CI199" s="600" t="b">
        <f t="shared" si="293"/>
        <v>1</v>
      </c>
      <c r="CJ199" s="600" t="b">
        <f t="shared" si="294"/>
        <v>1</v>
      </c>
      <c r="CK199" s="600" t="b">
        <f t="shared" si="295"/>
        <v>1</v>
      </c>
      <c r="CL199" s="600" t="b">
        <f t="shared" si="296"/>
        <v>1</v>
      </c>
      <c r="CM199" s="585"/>
      <c r="CN199" s="585"/>
      <c r="CO199" s="585"/>
      <c r="CP199" s="585"/>
      <c r="CQ199" s="585"/>
      <c r="CR199" s="585"/>
      <c r="CS199" s="585"/>
      <c r="CT199" s="585"/>
      <c r="CU199" s="585"/>
      <c r="CV199" s="585"/>
      <c r="CW199" s="585"/>
      <c r="CX199" s="585"/>
      <c r="CY199" s="585"/>
      <c r="CZ199" s="585"/>
      <c r="DA199" s="585"/>
      <c r="DB199" s="585"/>
      <c r="DC199" s="585"/>
      <c r="DD199" s="585"/>
      <c r="DE199" s="585"/>
      <c r="DF199" s="585"/>
      <c r="DG199" s="585"/>
      <c r="DH199" s="585"/>
      <c r="DI199" s="585"/>
      <c r="DJ199" s="585"/>
      <c r="DK199" s="585"/>
      <c r="DL199" s="585"/>
      <c r="DM199" s="585"/>
      <c r="DN199" s="585"/>
      <c r="DO199" s="585"/>
      <c r="DP199" s="585"/>
      <c r="DQ199" s="585"/>
      <c r="DR199" s="585"/>
      <c r="DS199" s="585"/>
      <c r="DT199" s="585"/>
      <c r="DU199" s="585"/>
      <c r="DV199" s="585"/>
      <c r="DW199" s="585"/>
      <c r="DX199" s="585"/>
      <c r="DY199" s="585"/>
      <c r="DZ199" s="585"/>
      <c r="EA199" s="585"/>
      <c r="EB199" s="585"/>
      <c r="EC199" s="585"/>
      <c r="ED199" s="585"/>
      <c r="EE199" s="585"/>
      <c r="EF199" s="585"/>
      <c r="EG199" s="585"/>
      <c r="EH199" s="585"/>
      <c r="EI199" s="585"/>
      <c r="EJ199" s="585"/>
      <c r="EK199" s="585"/>
      <c r="EL199" s="585"/>
      <c r="EM199" s="585"/>
      <c r="EN199" s="585"/>
      <c r="EO199" s="585"/>
      <c r="EP199" s="585"/>
      <c r="EQ199" s="585"/>
      <c r="ER199" s="585"/>
      <c r="ES199" s="585"/>
      <c r="ET199" s="585"/>
    </row>
    <row r="200" spans="1:150" ht="15" customHeight="1" x14ac:dyDescent="0.35">
      <c r="A200" s="585">
        <f t="shared" si="252"/>
        <v>11</v>
      </c>
      <c r="B200" s="600" t="str">
        <f t="shared" si="280"/>
        <v>Business_Custom</v>
      </c>
      <c r="C200" s="585"/>
      <c r="D200" s="585">
        <v>11</v>
      </c>
      <c r="E200" s="585" t="s">
        <v>1944</v>
      </c>
      <c r="F200" s="600" t="str">
        <f>VLOOKUP(G200,Sheet4!$D$6:$E$22,2,FALSE)</f>
        <v>Custom</v>
      </c>
      <c r="G200" s="585" t="s">
        <v>211</v>
      </c>
      <c r="H200" s="2338" t="s">
        <v>1026</v>
      </c>
      <c r="K200" s="72" t="str">
        <f>INDEX('Measure Codes'!$F$4:$F$821,MATCH(H200,'Measure Codes'!$D$4:$D$821,0))</f>
        <v>n/a</v>
      </c>
      <c r="L200" s="72" t="str">
        <f>INDEX('Measure Codes'!$G$4:$G$821,MATCH(H200,'Measure Codes'!$D$4:$D$821,0))</f>
        <v>n/a</v>
      </c>
      <c r="M200" s="600">
        <v>1</v>
      </c>
      <c r="O200" s="72" t="str">
        <f t="shared" si="253"/>
        <v>Dual Fuel</v>
      </c>
      <c r="P200" s="7">
        <f>VLOOKUP(D200,'2018 Plan Data'!$A$4:$K$1000,11,FALSE)</f>
        <v>13</v>
      </c>
      <c r="Q200" s="652">
        <f>VLOOKUP(D200,'2018 Plan Data'!$A$4:$L$1000,12,FALSE)</f>
        <v>0</v>
      </c>
      <c r="R200" s="314">
        <v>75296092.299999997</v>
      </c>
      <c r="V200" s="314">
        <v>438059.39999999997</v>
      </c>
      <c r="AD200" s="297">
        <f>'NTG -BUS'!$B$4</f>
        <v>0.82199999999999995</v>
      </c>
      <c r="AE200" s="297">
        <f t="shared" si="278"/>
        <v>0.82199999999999995</v>
      </c>
      <c r="AF200" s="297">
        <f t="shared" si="278"/>
        <v>0.82199999999999995</v>
      </c>
      <c r="AG200" s="297">
        <f t="shared" si="278"/>
        <v>0.82199999999999995</v>
      </c>
      <c r="AH200" s="314">
        <f t="shared" si="254"/>
        <v>61893387.870599993</v>
      </c>
      <c r="AI200" s="314">
        <f t="shared" si="255"/>
        <v>61893387.870599993</v>
      </c>
      <c r="AJ200" s="314">
        <f t="shared" si="256"/>
        <v>61893387.870599993</v>
      </c>
      <c r="AK200" s="314">
        <f t="shared" si="257"/>
        <v>61893387.870599993</v>
      </c>
      <c r="AL200" s="297">
        <f t="shared" si="258"/>
        <v>0.82199999999999995</v>
      </c>
      <c r="AM200" s="297">
        <f t="shared" si="259"/>
        <v>0.82199999999999995</v>
      </c>
      <c r="AN200" s="297">
        <f t="shared" si="260"/>
        <v>0.82199999999999995</v>
      </c>
      <c r="AO200" s="297">
        <f t="shared" si="261"/>
        <v>0.82199999999999995</v>
      </c>
      <c r="AP200" s="446">
        <f t="shared" si="262"/>
        <v>0</v>
      </c>
      <c r="AQ200" s="446">
        <f t="shared" si="263"/>
        <v>0</v>
      </c>
      <c r="AR200" s="446">
        <f t="shared" si="264"/>
        <v>0</v>
      </c>
      <c r="AS200" s="446">
        <f t="shared" si="265"/>
        <v>0</v>
      </c>
      <c r="AT200" s="297">
        <f>'NTG -BUS'!$C$4</f>
        <v>0.93899999999999995</v>
      </c>
      <c r="AU200" s="297">
        <f t="shared" si="279"/>
        <v>0.93899999999999995</v>
      </c>
      <c r="AV200" s="297">
        <f t="shared" si="279"/>
        <v>0.93899999999999995</v>
      </c>
      <c r="AW200" s="297">
        <f t="shared" si="279"/>
        <v>0.93899999999999995</v>
      </c>
      <c r="AX200" s="243">
        <f t="shared" si="266"/>
        <v>411337.77659999992</v>
      </c>
      <c r="AY200" s="243">
        <f t="shared" si="267"/>
        <v>411337.77659999992</v>
      </c>
      <c r="AZ200" s="243">
        <f t="shared" si="268"/>
        <v>411337.77659999992</v>
      </c>
      <c r="BA200" s="243">
        <f t="shared" si="269"/>
        <v>411337.77659999992</v>
      </c>
      <c r="BB200" s="243">
        <f>VLOOKUP($D200,'2018 Plan Data'!$A$4:$K$2000,6,FALSE)</f>
        <v>1</v>
      </c>
      <c r="BC200" s="243">
        <f>VLOOKUP($D200,'2018 Plan Data'!$A$4:$K$2000,7,FALSE)</f>
        <v>0</v>
      </c>
      <c r="BD200" s="243">
        <f>VLOOKUP($D200,'2018 Plan Data'!$A$4:$K$2000,8,FALSE)</f>
        <v>0</v>
      </c>
      <c r="BE200" s="243">
        <f>VLOOKUP($D200,'2018 Plan Data'!$A$4:$K$2000,9,FALSE)</f>
        <v>0</v>
      </c>
      <c r="BF200" s="243">
        <f t="shared" si="281"/>
        <v>75296092.299999997</v>
      </c>
      <c r="BG200" s="243">
        <f t="shared" si="282"/>
        <v>0</v>
      </c>
      <c r="BH200" s="243">
        <f t="shared" si="283"/>
        <v>0</v>
      </c>
      <c r="BI200" s="243">
        <f t="shared" si="284"/>
        <v>0</v>
      </c>
      <c r="BJ200" s="243">
        <f t="shared" si="285"/>
        <v>438059.39999999997</v>
      </c>
      <c r="BK200" s="243">
        <f t="shared" si="286"/>
        <v>0</v>
      </c>
      <c r="BL200" s="243">
        <f t="shared" si="287"/>
        <v>0</v>
      </c>
      <c r="BM200" s="243">
        <f t="shared" si="288"/>
        <v>0</v>
      </c>
      <c r="BN200" s="243">
        <f t="shared" ref="BN200:BN215" si="297">AH200*BB200</f>
        <v>61893387.870599993</v>
      </c>
      <c r="BO200" s="243">
        <f t="shared" si="275"/>
        <v>0</v>
      </c>
      <c r="BP200" s="243">
        <f t="shared" si="276"/>
        <v>0</v>
      </c>
      <c r="BQ200" s="243">
        <f t="shared" si="277"/>
        <v>0</v>
      </c>
      <c r="BR200" s="243">
        <f t="shared" si="270"/>
        <v>411337.77659999992</v>
      </c>
      <c r="BS200" s="243">
        <f t="shared" si="271"/>
        <v>0</v>
      </c>
      <c r="BT200" s="243">
        <f t="shared" si="272"/>
        <v>0</v>
      </c>
      <c r="BU200" s="243">
        <f t="shared" si="273"/>
        <v>0</v>
      </c>
      <c r="BV200" s="600"/>
      <c r="BW200" s="314">
        <f>VLOOKUP($D200,'2018 Plan Data'!$A$4:$T$2000,13,FALSE)</f>
        <v>61893387.8706</v>
      </c>
      <c r="BX200" s="314">
        <f>VLOOKUP($D200,'2018 Plan Data'!$A$4:$T$2000,14,FALSE)</f>
        <v>0</v>
      </c>
      <c r="BY200" s="314">
        <f>VLOOKUP($D200,'2018 Plan Data'!$A$4:$T$2000,15,FALSE)</f>
        <v>0</v>
      </c>
      <c r="BZ200" s="314">
        <f>VLOOKUP($D200,'2018 Plan Data'!$A$4:$T$2000,16,FALSE)</f>
        <v>0</v>
      </c>
      <c r="CA200" s="314">
        <f>IF(VLOOKUP($D200,'2018 Plan Data'!$A$4:$T$2000,17,FALSE)&gt;0,VLOOKUP($D200,'2018 Plan Data'!$A$4:$T$2000,17,FALSE),0)</f>
        <v>411337.77659999992</v>
      </c>
      <c r="CB200" s="314">
        <f>IF(VLOOKUP($D200,'2018 Plan Data'!$A$4:$T$2000,18,FALSE)&gt;0,VLOOKUP($D200,'2018 Plan Data'!$A$4:$T$2000,18,FALSE),0)</f>
        <v>0</v>
      </c>
      <c r="CC200" s="314">
        <f>IF(VLOOKUP($D200,'2018 Plan Data'!$A$4:$T$2000,19,FALSE)&gt;0,VLOOKUP($D200,'2018 Plan Data'!$A$4:$T$2000,19,FALSE),0)</f>
        <v>0</v>
      </c>
      <c r="CD200" s="314">
        <f>IF(VLOOKUP($D200,'2018 Plan Data'!$A$4:$T$2000,20,FALSE)&gt;0,VLOOKUP($D200,'2018 Plan Data'!$A$4:$T$2000,20,FALSE),0)</f>
        <v>0</v>
      </c>
      <c r="CE200" s="600" t="b">
        <f t="shared" si="289"/>
        <v>1</v>
      </c>
      <c r="CF200" s="600" t="b">
        <f t="shared" si="290"/>
        <v>1</v>
      </c>
      <c r="CG200" s="600" t="b">
        <f t="shared" si="291"/>
        <v>1</v>
      </c>
      <c r="CH200" s="600" t="b">
        <f t="shared" si="292"/>
        <v>1</v>
      </c>
      <c r="CI200" s="600" t="b">
        <f t="shared" si="293"/>
        <v>1</v>
      </c>
      <c r="CJ200" s="600" t="b">
        <f t="shared" si="294"/>
        <v>1</v>
      </c>
      <c r="CK200" s="600" t="b">
        <f t="shared" si="295"/>
        <v>1</v>
      </c>
      <c r="CL200" s="600" t="b">
        <f t="shared" si="296"/>
        <v>1</v>
      </c>
    </row>
    <row r="201" spans="1:150" ht="15" customHeight="1" x14ac:dyDescent="0.35">
      <c r="A201" s="585">
        <f t="shared" si="252"/>
        <v>12</v>
      </c>
      <c r="B201" s="600" t="str">
        <f t="shared" si="280"/>
        <v>Business_Custom</v>
      </c>
      <c r="C201" s="585"/>
      <c r="D201" s="585">
        <v>12</v>
      </c>
      <c r="E201" s="585" t="s">
        <v>1944</v>
      </c>
      <c r="F201" s="600" t="str">
        <f>VLOOKUP(G201,Sheet4!$D$6:$E$22,2,FALSE)</f>
        <v>Custom</v>
      </c>
      <c r="G201" s="585" t="s">
        <v>211</v>
      </c>
      <c r="H201" s="2338" t="s">
        <v>1027</v>
      </c>
      <c r="K201" s="72" t="str">
        <f>INDEX('Measure Codes'!$F$4:$F$821,MATCH(H201,'Measure Codes'!$D$4:$D$821,0))</f>
        <v>n/a</v>
      </c>
      <c r="L201" s="72" t="str">
        <f>INDEX('Measure Codes'!$G$4:$G$821,MATCH(H201,'Measure Codes'!$D$4:$D$821,0))</f>
        <v>n/a</v>
      </c>
      <c r="M201" s="600">
        <v>1</v>
      </c>
      <c r="O201" s="72" t="str">
        <f t="shared" si="253"/>
        <v>Dual Fuel</v>
      </c>
      <c r="P201" s="7">
        <f>VLOOKUP(D201,'2018 Plan Data'!$A$4:$K$1000,11,FALSE)</f>
        <v>13</v>
      </c>
      <c r="Q201" s="652">
        <f>VLOOKUP(D201,'2018 Plan Data'!$A$4:$L$1000,12,FALSE)</f>
        <v>0</v>
      </c>
      <c r="R201" s="314">
        <v>82453743.756097555</v>
      </c>
      <c r="V201" s="314">
        <v>374503.19999999995</v>
      </c>
      <c r="X201" s="600"/>
      <c r="Y201" s="600"/>
      <c r="Z201" s="600"/>
      <c r="AA201" s="600"/>
      <c r="AB201" s="600"/>
      <c r="AC201" s="600"/>
      <c r="AD201" s="297">
        <f>'NTG -BUS'!$B$4</f>
        <v>0.82199999999999995</v>
      </c>
      <c r="AE201" s="297">
        <f t="shared" si="278"/>
        <v>0.82199999999999995</v>
      </c>
      <c r="AF201" s="297">
        <f t="shared" si="278"/>
        <v>0.82199999999999995</v>
      </c>
      <c r="AG201" s="297">
        <f t="shared" si="278"/>
        <v>0.82199999999999995</v>
      </c>
      <c r="AH201" s="314">
        <f t="shared" si="254"/>
        <v>67776977.367512181</v>
      </c>
      <c r="AI201" s="314">
        <f t="shared" si="255"/>
        <v>67776977.367512181</v>
      </c>
      <c r="AJ201" s="314">
        <f t="shared" si="256"/>
        <v>67776977.367512181</v>
      </c>
      <c r="AK201" s="314">
        <f t="shared" si="257"/>
        <v>67776977.367512181</v>
      </c>
      <c r="AL201" s="297">
        <f t="shared" si="258"/>
        <v>0.82199999999999995</v>
      </c>
      <c r="AM201" s="297">
        <f t="shared" si="259"/>
        <v>0.82199999999999995</v>
      </c>
      <c r="AN201" s="297">
        <f t="shared" si="260"/>
        <v>0.82199999999999995</v>
      </c>
      <c r="AO201" s="297">
        <f t="shared" si="261"/>
        <v>0.82199999999999995</v>
      </c>
      <c r="AP201" s="446">
        <f t="shared" si="262"/>
        <v>0</v>
      </c>
      <c r="AQ201" s="446">
        <f t="shared" si="263"/>
        <v>0</v>
      </c>
      <c r="AR201" s="446">
        <f t="shared" si="264"/>
        <v>0</v>
      </c>
      <c r="AS201" s="446">
        <f t="shared" si="265"/>
        <v>0</v>
      </c>
      <c r="AT201" s="297">
        <f>AT200</f>
        <v>0.93899999999999995</v>
      </c>
      <c r="AU201" s="297">
        <f t="shared" si="279"/>
        <v>0.93899999999999995</v>
      </c>
      <c r="AV201" s="297">
        <f t="shared" si="279"/>
        <v>0.93899999999999995</v>
      </c>
      <c r="AW201" s="297">
        <f t="shared" si="279"/>
        <v>0.93899999999999995</v>
      </c>
      <c r="AX201" s="243">
        <f t="shared" si="266"/>
        <v>351658.50479999994</v>
      </c>
      <c r="AY201" s="243">
        <f t="shared" si="267"/>
        <v>351658.50479999994</v>
      </c>
      <c r="AZ201" s="243">
        <f t="shared" si="268"/>
        <v>351658.50479999994</v>
      </c>
      <c r="BA201" s="243">
        <f t="shared" si="269"/>
        <v>351658.50479999994</v>
      </c>
      <c r="BB201" s="243">
        <f>VLOOKUP($D201,'2018 Plan Data'!$A$4:$K$2000,6,FALSE)</f>
        <v>0</v>
      </c>
      <c r="BC201" s="243">
        <f>VLOOKUP($D201,'2018 Plan Data'!$A$4:$K$2000,7,FALSE)</f>
        <v>1</v>
      </c>
      <c r="BD201" s="243">
        <f>VLOOKUP($D201,'2018 Plan Data'!$A$4:$K$2000,8,FALSE)</f>
        <v>0</v>
      </c>
      <c r="BE201" s="243">
        <f>VLOOKUP($D201,'2018 Plan Data'!$A$4:$K$2000,9,FALSE)</f>
        <v>0</v>
      </c>
      <c r="BF201" s="243">
        <f t="shared" si="281"/>
        <v>0</v>
      </c>
      <c r="BG201" s="243">
        <f t="shared" si="282"/>
        <v>82453743.756097555</v>
      </c>
      <c r="BH201" s="243">
        <f t="shared" si="283"/>
        <v>0</v>
      </c>
      <c r="BI201" s="243">
        <f t="shared" si="284"/>
        <v>0</v>
      </c>
      <c r="BJ201" s="243">
        <f t="shared" si="285"/>
        <v>0</v>
      </c>
      <c r="BK201" s="243">
        <f t="shared" si="286"/>
        <v>374503.19999999995</v>
      </c>
      <c r="BL201" s="243">
        <f t="shared" si="287"/>
        <v>0</v>
      </c>
      <c r="BM201" s="243">
        <f t="shared" si="288"/>
        <v>0</v>
      </c>
      <c r="BN201" s="243">
        <f t="shared" si="297"/>
        <v>0</v>
      </c>
      <c r="BO201" s="243">
        <f t="shared" si="275"/>
        <v>67776977.367512181</v>
      </c>
      <c r="BP201" s="243">
        <f t="shared" si="276"/>
        <v>0</v>
      </c>
      <c r="BQ201" s="243">
        <f t="shared" si="277"/>
        <v>0</v>
      </c>
      <c r="BR201" s="243">
        <f t="shared" si="270"/>
        <v>0</v>
      </c>
      <c r="BS201" s="243">
        <f t="shared" si="271"/>
        <v>351658.50479999994</v>
      </c>
      <c r="BT201" s="243">
        <f t="shared" si="272"/>
        <v>0</v>
      </c>
      <c r="BU201" s="243">
        <f t="shared" si="273"/>
        <v>0</v>
      </c>
      <c r="BV201" s="600"/>
      <c r="BW201" s="314">
        <f>VLOOKUP($D201,'2018 Plan Data'!$A$4:$T$2000,13,FALSE)</f>
        <v>0</v>
      </c>
      <c r="BX201" s="314">
        <f>VLOOKUP($D201,'2018 Plan Data'!$A$4:$T$2000,14,FALSE)</f>
        <v>67776978.230612233</v>
      </c>
      <c r="BY201" s="314">
        <f>VLOOKUP($D201,'2018 Plan Data'!$A$4:$T$2000,15,FALSE)</f>
        <v>0</v>
      </c>
      <c r="BZ201" s="314">
        <f>VLOOKUP($D201,'2018 Plan Data'!$A$4:$T$2000,16,FALSE)</f>
        <v>0</v>
      </c>
      <c r="CA201" s="314">
        <f>IF(VLOOKUP($D201,'2018 Plan Data'!$A$4:$T$2000,17,FALSE)&gt;0,VLOOKUP($D201,'2018 Plan Data'!$A$4:$T$2000,17,FALSE),0)</f>
        <v>0</v>
      </c>
      <c r="CB201" s="314">
        <f>IF(VLOOKUP($D201,'2018 Plan Data'!$A$4:$T$2000,18,FALSE)&gt;0,VLOOKUP($D201,'2018 Plan Data'!$A$4:$T$2000,18,FALSE),0)</f>
        <v>351658.50479999994</v>
      </c>
      <c r="CC201" s="314">
        <f>IF(VLOOKUP($D201,'2018 Plan Data'!$A$4:$T$2000,19,FALSE)&gt;0,VLOOKUP($D201,'2018 Plan Data'!$A$4:$T$2000,19,FALSE),0)</f>
        <v>0</v>
      </c>
      <c r="CD201" s="314">
        <f>IF(VLOOKUP($D201,'2018 Plan Data'!$A$4:$T$2000,20,FALSE)&gt;0,VLOOKUP($D201,'2018 Plan Data'!$A$4:$T$2000,20,FALSE),0)</f>
        <v>0</v>
      </c>
      <c r="CE201" s="600" t="b">
        <f t="shared" si="289"/>
        <v>1</v>
      </c>
      <c r="CF201" s="600" t="b">
        <f t="shared" si="290"/>
        <v>0</v>
      </c>
      <c r="CG201" s="600" t="b">
        <f t="shared" si="291"/>
        <v>1</v>
      </c>
      <c r="CH201" s="600" t="b">
        <f t="shared" si="292"/>
        <v>1</v>
      </c>
      <c r="CI201" s="600" t="b">
        <f t="shared" si="293"/>
        <v>1</v>
      </c>
      <c r="CJ201" s="600" t="b">
        <f t="shared" si="294"/>
        <v>1</v>
      </c>
      <c r="CK201" s="600" t="b">
        <f t="shared" si="295"/>
        <v>1</v>
      </c>
      <c r="CL201" s="600" t="b">
        <f t="shared" si="296"/>
        <v>1</v>
      </c>
    </row>
    <row r="202" spans="1:150" ht="15" customHeight="1" x14ac:dyDescent="0.35">
      <c r="A202" s="585">
        <f t="shared" si="252"/>
        <v>13</v>
      </c>
      <c r="B202" s="600" t="str">
        <f t="shared" si="280"/>
        <v>Business_Custom</v>
      </c>
      <c r="C202" s="585"/>
      <c r="D202" s="585">
        <v>13</v>
      </c>
      <c r="E202" s="585" t="s">
        <v>1944</v>
      </c>
      <c r="F202" s="600" t="str">
        <f>VLOOKUP(G202,Sheet4!$D$6:$E$22,2,FALSE)</f>
        <v>Custom</v>
      </c>
      <c r="G202" s="585" t="s">
        <v>211</v>
      </c>
      <c r="H202" s="2338" t="s">
        <v>1028</v>
      </c>
      <c r="K202" s="72" t="str">
        <f>INDEX('Measure Codes'!$F$4:$F$821,MATCH(H202,'Measure Codes'!$D$4:$D$821,0))</f>
        <v>n/a</v>
      </c>
      <c r="L202" s="72" t="str">
        <f>INDEX('Measure Codes'!$G$4:$G$821,MATCH(H202,'Measure Codes'!$D$4:$D$821,0))</f>
        <v>n/a</v>
      </c>
      <c r="M202" s="600">
        <v>1</v>
      </c>
      <c r="O202" s="72" t="str">
        <f t="shared" si="253"/>
        <v>Dual Fuel</v>
      </c>
      <c r="P202" s="7">
        <f>VLOOKUP(D202,'2018 Plan Data'!$A$4:$K$1000,11,FALSE)</f>
        <v>13</v>
      </c>
      <c r="Q202" s="652">
        <f>VLOOKUP(D202,'2018 Plan Data'!$A$4:$L$1000,12,FALSE)</f>
        <v>0</v>
      </c>
      <c r="R202" s="314">
        <v>88901473.280487806</v>
      </c>
      <c r="V202" s="314">
        <v>356051.4</v>
      </c>
      <c r="X202" s="600"/>
      <c r="Y202" s="600"/>
      <c r="Z202" s="600"/>
      <c r="AA202" s="600"/>
      <c r="AB202" s="600"/>
      <c r="AC202" s="600"/>
      <c r="AD202" s="297">
        <f>'NTG -BUS'!$B$4</f>
        <v>0.82199999999999995</v>
      </c>
      <c r="AE202" s="297">
        <f t="shared" si="278"/>
        <v>0.82199999999999995</v>
      </c>
      <c r="AF202" s="297">
        <f t="shared" si="278"/>
        <v>0.82199999999999995</v>
      </c>
      <c r="AG202" s="297">
        <f t="shared" si="278"/>
        <v>0.82199999999999995</v>
      </c>
      <c r="AH202" s="314">
        <f t="shared" si="254"/>
        <v>73077011.036560968</v>
      </c>
      <c r="AI202" s="314">
        <f t="shared" si="255"/>
        <v>73077011.036560968</v>
      </c>
      <c r="AJ202" s="314">
        <f t="shared" si="256"/>
        <v>73077011.036560968</v>
      </c>
      <c r="AK202" s="314">
        <f t="shared" si="257"/>
        <v>73077011.036560968</v>
      </c>
      <c r="AL202" s="297">
        <f t="shared" si="258"/>
        <v>0.82199999999999995</v>
      </c>
      <c r="AM202" s="297">
        <f t="shared" si="259"/>
        <v>0.82199999999999995</v>
      </c>
      <c r="AN202" s="297">
        <f t="shared" si="260"/>
        <v>0.82199999999999995</v>
      </c>
      <c r="AO202" s="297">
        <f t="shared" si="261"/>
        <v>0.82199999999999995</v>
      </c>
      <c r="AP202" s="446">
        <f t="shared" si="262"/>
        <v>0</v>
      </c>
      <c r="AQ202" s="446">
        <f t="shared" si="263"/>
        <v>0</v>
      </c>
      <c r="AR202" s="446">
        <f t="shared" si="264"/>
        <v>0</v>
      </c>
      <c r="AS202" s="446">
        <f t="shared" si="265"/>
        <v>0</v>
      </c>
      <c r="AT202" s="297">
        <f>AT201</f>
        <v>0.93899999999999995</v>
      </c>
      <c r="AU202" s="297">
        <f t="shared" si="279"/>
        <v>0.93899999999999995</v>
      </c>
      <c r="AV202" s="297">
        <f t="shared" si="279"/>
        <v>0.93899999999999995</v>
      </c>
      <c r="AW202" s="297">
        <f t="shared" si="279"/>
        <v>0.93899999999999995</v>
      </c>
      <c r="AX202" s="243">
        <f t="shared" si="266"/>
        <v>334332.26459999999</v>
      </c>
      <c r="AY202" s="243">
        <f t="shared" si="267"/>
        <v>334332.26459999999</v>
      </c>
      <c r="AZ202" s="243">
        <f t="shared" si="268"/>
        <v>334332.26459999999</v>
      </c>
      <c r="BA202" s="243">
        <f t="shared" si="269"/>
        <v>334332.26459999999</v>
      </c>
      <c r="BB202" s="243">
        <f>VLOOKUP($D202,'2018 Plan Data'!$A$4:$K$2000,6,FALSE)</f>
        <v>0</v>
      </c>
      <c r="BC202" s="243">
        <f>VLOOKUP($D202,'2018 Plan Data'!$A$4:$K$2000,7,FALSE)</f>
        <v>0</v>
      </c>
      <c r="BD202" s="243">
        <f>VLOOKUP($D202,'2018 Plan Data'!$A$4:$K$2000,8,FALSE)</f>
        <v>1</v>
      </c>
      <c r="BE202" s="243">
        <f>VLOOKUP($D202,'2018 Plan Data'!$A$4:$K$2000,9,FALSE)</f>
        <v>0</v>
      </c>
      <c r="BF202" s="243">
        <f t="shared" si="281"/>
        <v>0</v>
      </c>
      <c r="BG202" s="243">
        <f t="shared" si="282"/>
        <v>0</v>
      </c>
      <c r="BH202" s="243">
        <f t="shared" si="283"/>
        <v>88901473.280487806</v>
      </c>
      <c r="BI202" s="243">
        <f t="shared" si="284"/>
        <v>0</v>
      </c>
      <c r="BJ202" s="243">
        <f t="shared" si="285"/>
        <v>0</v>
      </c>
      <c r="BK202" s="243">
        <f t="shared" si="286"/>
        <v>0</v>
      </c>
      <c r="BL202" s="243">
        <f t="shared" si="287"/>
        <v>356051.4</v>
      </c>
      <c r="BM202" s="243">
        <f t="shared" si="288"/>
        <v>0</v>
      </c>
      <c r="BN202" s="243">
        <f t="shared" si="297"/>
        <v>0</v>
      </c>
      <c r="BO202" s="243">
        <f t="shared" si="275"/>
        <v>0</v>
      </c>
      <c r="BP202" s="243">
        <f t="shared" si="276"/>
        <v>73077011.036560968</v>
      </c>
      <c r="BQ202" s="243">
        <f t="shared" si="277"/>
        <v>0</v>
      </c>
      <c r="BR202" s="243">
        <f t="shared" si="270"/>
        <v>0</v>
      </c>
      <c r="BS202" s="243">
        <f t="shared" si="271"/>
        <v>0</v>
      </c>
      <c r="BT202" s="243">
        <f t="shared" si="272"/>
        <v>334332.26459999999</v>
      </c>
      <c r="BU202" s="243">
        <f t="shared" si="273"/>
        <v>0</v>
      </c>
      <c r="BV202" s="600"/>
      <c r="BW202" s="314">
        <f>VLOOKUP($D202,'2018 Plan Data'!$A$4:$T$2000,13,FALSE)</f>
        <v>0</v>
      </c>
      <c r="BX202" s="314">
        <f>VLOOKUP($D202,'2018 Plan Data'!$A$4:$T$2000,14,FALSE)</f>
        <v>0</v>
      </c>
      <c r="BY202" s="314">
        <f>VLOOKUP($D202,'2018 Plan Data'!$A$4:$T$2000,15,FALSE)</f>
        <v>73077011.036560982</v>
      </c>
      <c r="BZ202" s="314">
        <f>VLOOKUP($D202,'2018 Plan Data'!$A$4:$T$2000,16,FALSE)</f>
        <v>0</v>
      </c>
      <c r="CA202" s="314">
        <f>IF(VLOOKUP($D202,'2018 Plan Data'!$A$4:$T$2000,17,FALSE)&gt;0,VLOOKUP($D202,'2018 Plan Data'!$A$4:$T$2000,17,FALSE),0)</f>
        <v>0</v>
      </c>
      <c r="CB202" s="314">
        <f>IF(VLOOKUP($D202,'2018 Plan Data'!$A$4:$T$2000,18,FALSE)&gt;0,VLOOKUP($D202,'2018 Plan Data'!$A$4:$T$2000,18,FALSE),0)</f>
        <v>0</v>
      </c>
      <c r="CC202" s="314">
        <f>IF(VLOOKUP($D202,'2018 Plan Data'!$A$4:$T$2000,19,FALSE)&gt;0,VLOOKUP($D202,'2018 Plan Data'!$A$4:$T$2000,19,FALSE),0)</f>
        <v>334332.26459999999</v>
      </c>
      <c r="CD202" s="314">
        <f>IF(VLOOKUP($D202,'2018 Plan Data'!$A$4:$T$2000,20,FALSE)&gt;0,VLOOKUP($D202,'2018 Plan Data'!$A$4:$T$2000,20,FALSE),0)</f>
        <v>0</v>
      </c>
      <c r="CE202" s="600" t="b">
        <f t="shared" si="289"/>
        <v>1</v>
      </c>
      <c r="CF202" s="600" t="b">
        <f t="shared" si="290"/>
        <v>1</v>
      </c>
      <c r="CG202" s="600" t="b">
        <f t="shared" si="291"/>
        <v>1</v>
      </c>
      <c r="CH202" s="600" t="b">
        <f t="shared" si="292"/>
        <v>1</v>
      </c>
      <c r="CI202" s="600" t="b">
        <f t="shared" si="293"/>
        <v>1</v>
      </c>
      <c r="CJ202" s="600" t="b">
        <f t="shared" si="294"/>
        <v>1</v>
      </c>
      <c r="CK202" s="600" t="b">
        <f t="shared" si="295"/>
        <v>1</v>
      </c>
      <c r="CL202" s="600" t="b">
        <f t="shared" si="296"/>
        <v>1</v>
      </c>
    </row>
    <row r="203" spans="1:150" ht="15" customHeight="1" x14ac:dyDescent="0.35">
      <c r="A203" s="585">
        <f t="shared" si="252"/>
        <v>10</v>
      </c>
      <c r="B203" s="600" t="str">
        <f t="shared" si="280"/>
        <v>Business_Custom</v>
      </c>
      <c r="C203" s="585"/>
      <c r="D203" s="585">
        <v>10</v>
      </c>
      <c r="E203" s="585" t="s">
        <v>1944</v>
      </c>
      <c r="F203" s="600" t="str">
        <f>VLOOKUP(G203,Sheet4!$D$6:$E$22,2,FALSE)</f>
        <v>Custom</v>
      </c>
      <c r="G203" s="585" t="s">
        <v>211</v>
      </c>
      <c r="H203" s="2338" t="s">
        <v>1083</v>
      </c>
      <c r="K203" s="72" t="str">
        <f>INDEX('Measure Codes'!$F$4:$F$821,MATCH(H203,'Measure Codes'!$D$4:$D$821,0))</f>
        <v>n/a</v>
      </c>
      <c r="L203" s="72" t="str">
        <f>INDEX('Measure Codes'!$G$4:$G$821,MATCH(H203,'Measure Codes'!$D$4:$D$821,0))</f>
        <v>n/a</v>
      </c>
      <c r="M203" s="600">
        <v>1</v>
      </c>
      <c r="O203" s="72" t="str">
        <f t="shared" si="253"/>
        <v>Dual Fuel</v>
      </c>
      <c r="P203" s="7">
        <f>VLOOKUP(D203,'2018 Plan Data'!$A$4:$K$1000,11,FALSE)</f>
        <v>13</v>
      </c>
      <c r="Q203" s="652">
        <f>VLOOKUP(D203,'2018 Plan Data'!$A$4:$L$1000,12,FALSE)</f>
        <v>0</v>
      </c>
      <c r="R203" s="314">
        <v>126820153.90000001</v>
      </c>
      <c r="V203" s="314">
        <v>365619</v>
      </c>
      <c r="X203" s="600"/>
      <c r="Y203" s="600"/>
      <c r="Z203" s="600"/>
      <c r="AA203" s="600"/>
      <c r="AB203" s="600"/>
      <c r="AC203" s="600"/>
      <c r="AD203" s="297">
        <f>'NTG -BUS'!$B$4</f>
        <v>0.82199999999999995</v>
      </c>
      <c r="AE203" s="297">
        <f t="shared" si="278"/>
        <v>0.82199999999999995</v>
      </c>
      <c r="AF203" s="297">
        <f t="shared" si="278"/>
        <v>0.82199999999999995</v>
      </c>
      <c r="AG203" s="297">
        <f t="shared" si="278"/>
        <v>0.82199999999999995</v>
      </c>
      <c r="AH203" s="314">
        <f t="shared" si="254"/>
        <v>104246166.50579999</v>
      </c>
      <c r="AI203" s="314">
        <f t="shared" si="255"/>
        <v>104246166.50579999</v>
      </c>
      <c r="AJ203" s="314">
        <f t="shared" si="256"/>
        <v>104246166.50579999</v>
      </c>
      <c r="AK203" s="314">
        <f t="shared" si="257"/>
        <v>104246166.50579999</v>
      </c>
      <c r="AL203" s="297">
        <f t="shared" si="258"/>
        <v>0.82199999999999995</v>
      </c>
      <c r="AM203" s="297">
        <f t="shared" si="259"/>
        <v>0.82199999999999995</v>
      </c>
      <c r="AN203" s="297">
        <f t="shared" si="260"/>
        <v>0.82199999999999995</v>
      </c>
      <c r="AO203" s="297">
        <f t="shared" si="261"/>
        <v>0.82199999999999995</v>
      </c>
      <c r="AP203" s="446">
        <f t="shared" si="262"/>
        <v>0</v>
      </c>
      <c r="AQ203" s="446">
        <f t="shared" si="263"/>
        <v>0</v>
      </c>
      <c r="AR203" s="446">
        <f t="shared" si="264"/>
        <v>0</v>
      </c>
      <c r="AS203" s="446">
        <f t="shared" si="265"/>
        <v>0</v>
      </c>
      <c r="AT203" s="297">
        <f>AT202</f>
        <v>0.93899999999999995</v>
      </c>
      <c r="AU203" s="297">
        <f t="shared" si="279"/>
        <v>0.93899999999999995</v>
      </c>
      <c r="AV203" s="297">
        <f t="shared" si="279"/>
        <v>0.93899999999999995</v>
      </c>
      <c r="AW203" s="297">
        <f t="shared" si="279"/>
        <v>0.93899999999999995</v>
      </c>
      <c r="AX203" s="243">
        <f t="shared" si="266"/>
        <v>343316.24099999998</v>
      </c>
      <c r="AY203" s="243">
        <f t="shared" si="267"/>
        <v>343316.24099999998</v>
      </c>
      <c r="AZ203" s="243">
        <f t="shared" si="268"/>
        <v>343316.24099999998</v>
      </c>
      <c r="BA203" s="243">
        <f t="shared" si="269"/>
        <v>343316.24099999998</v>
      </c>
      <c r="BB203" s="243">
        <f>VLOOKUP($D203,'2018 Plan Data'!$A$4:$K$2000,6,FALSE)</f>
        <v>0</v>
      </c>
      <c r="BC203" s="243">
        <f>VLOOKUP($D203,'2018 Plan Data'!$A$4:$K$2000,7,FALSE)</f>
        <v>0</v>
      </c>
      <c r="BD203" s="243">
        <f>VLOOKUP($D203,'2018 Plan Data'!$A$4:$K$2000,8,FALSE)</f>
        <v>0</v>
      </c>
      <c r="BE203" s="243">
        <f>VLOOKUP($D203,'2018 Plan Data'!$A$4:$K$2000,9,FALSE)</f>
        <v>1</v>
      </c>
      <c r="BF203" s="243">
        <f t="shared" si="281"/>
        <v>0</v>
      </c>
      <c r="BG203" s="243">
        <f t="shared" si="282"/>
        <v>0</v>
      </c>
      <c r="BH203" s="243">
        <f t="shared" si="283"/>
        <v>0</v>
      </c>
      <c r="BI203" s="243">
        <f t="shared" si="284"/>
        <v>126820153.90000001</v>
      </c>
      <c r="BJ203" s="243">
        <f t="shared" si="285"/>
        <v>0</v>
      </c>
      <c r="BK203" s="243">
        <f t="shared" si="286"/>
        <v>0</v>
      </c>
      <c r="BL203" s="243">
        <f t="shared" si="287"/>
        <v>0</v>
      </c>
      <c r="BM203" s="243">
        <f t="shared" si="288"/>
        <v>365619</v>
      </c>
      <c r="BN203" s="243">
        <f t="shared" si="297"/>
        <v>0</v>
      </c>
      <c r="BO203" s="243">
        <f t="shared" si="275"/>
        <v>0</v>
      </c>
      <c r="BP203" s="243">
        <f t="shared" si="276"/>
        <v>0</v>
      </c>
      <c r="BQ203" s="243">
        <f t="shared" si="277"/>
        <v>104246166.50579999</v>
      </c>
      <c r="BR203" s="243">
        <f t="shared" si="270"/>
        <v>0</v>
      </c>
      <c r="BS203" s="243">
        <f t="shared" si="271"/>
        <v>0</v>
      </c>
      <c r="BT203" s="243">
        <f t="shared" si="272"/>
        <v>0</v>
      </c>
      <c r="BU203" s="243">
        <f t="shared" si="273"/>
        <v>343316.24099999998</v>
      </c>
      <c r="BV203" s="600"/>
      <c r="BW203" s="314">
        <f>VLOOKUP($D203,'2018 Plan Data'!$A$4:$T$2000,13,FALSE)</f>
        <v>0</v>
      </c>
      <c r="BX203" s="314">
        <f>VLOOKUP($D203,'2018 Plan Data'!$A$4:$T$2000,14,FALSE)</f>
        <v>0</v>
      </c>
      <c r="BY203" s="314">
        <f>VLOOKUP($D203,'2018 Plan Data'!$A$4:$T$2000,15,FALSE)</f>
        <v>0</v>
      </c>
      <c r="BZ203" s="314">
        <f>VLOOKUP($D203,'2018 Plan Data'!$A$4:$T$2000,16,FALSE)</f>
        <v>104246166.50580001</v>
      </c>
      <c r="CA203" s="314">
        <f>IF(VLOOKUP($D203,'2018 Plan Data'!$A$4:$T$2000,17,FALSE)&gt;0,VLOOKUP($D203,'2018 Plan Data'!$A$4:$T$2000,17,FALSE),0)</f>
        <v>0</v>
      </c>
      <c r="CB203" s="314">
        <f>IF(VLOOKUP($D203,'2018 Plan Data'!$A$4:$T$2000,18,FALSE)&gt;0,VLOOKUP($D203,'2018 Plan Data'!$A$4:$T$2000,18,FALSE),0)</f>
        <v>0</v>
      </c>
      <c r="CC203" s="314">
        <f>IF(VLOOKUP($D203,'2018 Plan Data'!$A$4:$T$2000,19,FALSE)&gt;0,VLOOKUP($D203,'2018 Plan Data'!$A$4:$T$2000,19,FALSE),0)</f>
        <v>0</v>
      </c>
      <c r="CD203" s="314">
        <f>IF(VLOOKUP($D203,'2018 Plan Data'!$A$4:$T$2000,20,FALSE)&gt;0,VLOOKUP($D203,'2018 Plan Data'!$A$4:$T$2000,20,FALSE),0)</f>
        <v>343316.24099999998</v>
      </c>
      <c r="CE203" s="600" t="b">
        <f t="shared" si="289"/>
        <v>1</v>
      </c>
      <c r="CF203" s="600" t="b">
        <f t="shared" si="290"/>
        <v>1</v>
      </c>
      <c r="CG203" s="600" t="b">
        <f t="shared" si="291"/>
        <v>1</v>
      </c>
      <c r="CH203" s="600" t="b">
        <f t="shared" si="292"/>
        <v>1</v>
      </c>
      <c r="CI203" s="600" t="b">
        <f t="shared" si="293"/>
        <v>1</v>
      </c>
      <c r="CJ203" s="600" t="b">
        <f t="shared" si="294"/>
        <v>1</v>
      </c>
      <c r="CK203" s="600" t="b">
        <f t="shared" si="295"/>
        <v>1</v>
      </c>
      <c r="CL203" s="600" t="b">
        <f t="shared" si="296"/>
        <v>1</v>
      </c>
    </row>
    <row r="204" spans="1:150" ht="15" customHeight="1" x14ac:dyDescent="0.35">
      <c r="A204" s="585">
        <f t="shared" ref="A204:A215" si="298">D204</f>
        <v>16</v>
      </c>
      <c r="B204" s="600" t="str">
        <f t="shared" si="280"/>
        <v>Business_Custom-Public</v>
      </c>
      <c r="C204" s="585"/>
      <c r="D204" s="585">
        <v>16</v>
      </c>
      <c r="E204" s="585" t="s">
        <v>1944</v>
      </c>
      <c r="F204" s="600" t="str">
        <f>VLOOKUP(G204,Sheet4!$D$6:$E$22,2,FALSE)</f>
        <v>Custom</v>
      </c>
      <c r="G204" s="585" t="s">
        <v>1084</v>
      </c>
      <c r="H204" s="2336" t="s">
        <v>1085</v>
      </c>
      <c r="K204" s="72" t="str">
        <f>INDEX('Measure Codes'!$F$4:$F$821,MATCH(H204,'Measure Codes'!$D$4:$D$821,0))</f>
        <v>n/a</v>
      </c>
      <c r="L204" s="72" t="str">
        <f>INDEX('Measure Codes'!$G$4:$G$821,MATCH(H204,'Measure Codes'!$D$4:$D$821,0))</f>
        <v>n/a</v>
      </c>
      <c r="M204" s="600">
        <v>1</v>
      </c>
      <c r="O204" s="72" t="str">
        <f t="shared" si="253"/>
        <v>Dual Fuel</v>
      </c>
      <c r="P204" s="7">
        <f>VLOOKUP(D204,'2018 Plan Data'!$A$4:$K$1000,11,FALSE)</f>
        <v>13</v>
      </c>
      <c r="Q204" s="652">
        <f>VLOOKUP(D204,'2018 Plan Data'!$A$4:$L$1000,12,FALSE)</f>
        <v>0</v>
      </c>
      <c r="R204" s="314">
        <v>7996045.2000000002</v>
      </c>
      <c r="V204" s="314">
        <v>137118.07692307688</v>
      </c>
      <c r="AD204" s="297">
        <f>'NTG -BUS'!$B$4</f>
        <v>0.82199999999999995</v>
      </c>
      <c r="AE204" s="297">
        <f t="shared" si="278"/>
        <v>0.82199999999999995</v>
      </c>
      <c r="AF204" s="297">
        <f t="shared" si="278"/>
        <v>0.82199999999999995</v>
      </c>
      <c r="AG204" s="297">
        <f t="shared" si="278"/>
        <v>0.82199999999999995</v>
      </c>
      <c r="AH204" s="314">
        <f t="shared" si="254"/>
        <v>6572749.1543999994</v>
      </c>
      <c r="AI204" s="314">
        <f t="shared" si="255"/>
        <v>6572749.1543999994</v>
      </c>
      <c r="AJ204" s="314">
        <f t="shared" si="256"/>
        <v>6572749.1543999994</v>
      </c>
      <c r="AK204" s="314">
        <f t="shared" si="257"/>
        <v>6572749.1543999994</v>
      </c>
      <c r="AL204" s="297">
        <f t="shared" si="258"/>
        <v>0.82199999999999995</v>
      </c>
      <c r="AM204" s="297">
        <f t="shared" si="259"/>
        <v>0.82199999999999995</v>
      </c>
      <c r="AN204" s="297">
        <f t="shared" si="260"/>
        <v>0.82199999999999995</v>
      </c>
      <c r="AO204" s="297">
        <f t="shared" si="261"/>
        <v>0.82199999999999995</v>
      </c>
      <c r="AP204" s="446">
        <f t="shared" si="262"/>
        <v>0</v>
      </c>
      <c r="AQ204" s="446">
        <f t="shared" si="263"/>
        <v>0</v>
      </c>
      <c r="AR204" s="446">
        <f t="shared" si="264"/>
        <v>0</v>
      </c>
      <c r="AS204" s="446">
        <f t="shared" si="265"/>
        <v>0</v>
      </c>
      <c r="AT204" s="297">
        <f>'NTG -BUS'!C8</f>
        <v>0.70200000000000007</v>
      </c>
      <c r="AU204" s="297">
        <f t="shared" si="279"/>
        <v>0.70200000000000007</v>
      </c>
      <c r="AV204" s="297">
        <f t="shared" si="279"/>
        <v>0.70200000000000007</v>
      </c>
      <c r="AW204" s="297">
        <f t="shared" si="279"/>
        <v>0.70200000000000007</v>
      </c>
      <c r="AX204" s="243">
        <f t="shared" si="266"/>
        <v>96256.889999999985</v>
      </c>
      <c r="AY204" s="243">
        <f t="shared" si="267"/>
        <v>96256.889999999985</v>
      </c>
      <c r="AZ204" s="243">
        <f t="shared" si="268"/>
        <v>96256.889999999985</v>
      </c>
      <c r="BA204" s="243">
        <f t="shared" si="269"/>
        <v>96256.889999999985</v>
      </c>
      <c r="BB204" s="243">
        <f>VLOOKUP($D204,'2018 Plan Data'!$A$4:$K$2000,6,FALSE)</f>
        <v>1</v>
      </c>
      <c r="BC204" s="243">
        <f>VLOOKUP($D204,'2018 Plan Data'!$A$4:$K$2000,7,FALSE)</f>
        <v>0</v>
      </c>
      <c r="BD204" s="243">
        <f>VLOOKUP($D204,'2018 Plan Data'!$A$4:$K$2000,8,FALSE)</f>
        <v>0</v>
      </c>
      <c r="BE204" s="243">
        <f>VLOOKUP($D204,'2018 Plan Data'!$A$4:$K$2000,9,FALSE)</f>
        <v>0</v>
      </c>
      <c r="BF204" s="243">
        <f t="shared" si="281"/>
        <v>7996045.2000000002</v>
      </c>
      <c r="BG204" s="243">
        <f t="shared" si="282"/>
        <v>0</v>
      </c>
      <c r="BH204" s="243">
        <f t="shared" si="283"/>
        <v>0</v>
      </c>
      <c r="BI204" s="243">
        <f t="shared" si="284"/>
        <v>0</v>
      </c>
      <c r="BJ204" s="243">
        <f t="shared" si="285"/>
        <v>137118.07692307688</v>
      </c>
      <c r="BK204" s="243">
        <f t="shared" si="286"/>
        <v>0</v>
      </c>
      <c r="BL204" s="243">
        <f t="shared" si="287"/>
        <v>0</v>
      </c>
      <c r="BM204" s="243">
        <f t="shared" si="288"/>
        <v>0</v>
      </c>
      <c r="BN204" s="243">
        <f t="shared" si="297"/>
        <v>6572749.1543999994</v>
      </c>
      <c r="BO204" s="243">
        <f t="shared" si="275"/>
        <v>0</v>
      </c>
      <c r="BP204" s="243">
        <f t="shared" si="276"/>
        <v>0</v>
      </c>
      <c r="BQ204" s="243">
        <f t="shared" si="277"/>
        <v>0</v>
      </c>
      <c r="BR204" s="243">
        <f t="shared" si="270"/>
        <v>96256.889999999985</v>
      </c>
      <c r="BS204" s="243">
        <f t="shared" si="271"/>
        <v>0</v>
      </c>
      <c r="BT204" s="243">
        <f t="shared" si="272"/>
        <v>0</v>
      </c>
      <c r="BU204" s="243">
        <f t="shared" si="273"/>
        <v>0</v>
      </c>
      <c r="BV204" s="600"/>
      <c r="BW204" s="314">
        <f>VLOOKUP($D204,'2018 Plan Data'!$A$4:$T$2000,13,FALSE)</f>
        <v>6572752.9356000004</v>
      </c>
      <c r="BX204" s="314">
        <f>VLOOKUP($D204,'2018 Plan Data'!$A$4:$T$2000,14,FALSE)</f>
        <v>0</v>
      </c>
      <c r="BY204" s="314">
        <f>VLOOKUP($D204,'2018 Plan Data'!$A$4:$T$2000,15,FALSE)</f>
        <v>0</v>
      </c>
      <c r="BZ204" s="314">
        <f>VLOOKUP($D204,'2018 Plan Data'!$A$4:$T$2000,16,FALSE)</f>
        <v>0</v>
      </c>
      <c r="CA204" s="314">
        <f>IF(VLOOKUP($D204,'2018 Plan Data'!$A$4:$T$2000,17,FALSE)&gt;0,VLOOKUP($D204,'2018 Plan Data'!$A$4:$T$2000,17,FALSE),0)</f>
        <v>96256.889999999985</v>
      </c>
      <c r="CB204" s="314">
        <f>IF(VLOOKUP($D204,'2018 Plan Data'!$A$4:$T$2000,18,FALSE)&gt;0,VLOOKUP($D204,'2018 Plan Data'!$A$4:$T$2000,18,FALSE),0)</f>
        <v>0</v>
      </c>
      <c r="CC204" s="314">
        <f>IF(VLOOKUP($D204,'2018 Plan Data'!$A$4:$T$2000,19,FALSE)&gt;0,VLOOKUP($D204,'2018 Plan Data'!$A$4:$T$2000,19,FALSE),0)</f>
        <v>0</v>
      </c>
      <c r="CD204" s="314">
        <f>IF(VLOOKUP($D204,'2018 Plan Data'!$A$4:$T$2000,20,FALSE)&gt;0,VLOOKUP($D204,'2018 Plan Data'!$A$4:$T$2000,20,FALSE),0)</f>
        <v>0</v>
      </c>
      <c r="CE204" s="600" t="b">
        <f t="shared" si="289"/>
        <v>0</v>
      </c>
      <c r="CF204" s="600" t="b">
        <f t="shared" si="290"/>
        <v>1</v>
      </c>
      <c r="CG204" s="600" t="b">
        <f t="shared" si="291"/>
        <v>1</v>
      </c>
      <c r="CH204" s="600" t="b">
        <f t="shared" si="292"/>
        <v>1</v>
      </c>
      <c r="CI204" s="600" t="b">
        <f t="shared" si="293"/>
        <v>1</v>
      </c>
      <c r="CJ204" s="600" t="b">
        <f t="shared" si="294"/>
        <v>1</v>
      </c>
      <c r="CK204" s="600" t="b">
        <f t="shared" si="295"/>
        <v>1</v>
      </c>
      <c r="CL204" s="600" t="b">
        <f t="shared" si="296"/>
        <v>1</v>
      </c>
    </row>
    <row r="205" spans="1:150" ht="15" customHeight="1" x14ac:dyDescent="0.35">
      <c r="A205" s="585">
        <f t="shared" si="298"/>
        <v>17</v>
      </c>
      <c r="B205" s="600" t="str">
        <f t="shared" si="280"/>
        <v>Business_Custom-Public</v>
      </c>
      <c r="C205" s="585"/>
      <c r="D205" s="585">
        <v>17</v>
      </c>
      <c r="E205" s="585" t="s">
        <v>1944</v>
      </c>
      <c r="F205" s="600" t="str">
        <f>VLOOKUP(G205,Sheet4!$D$6:$E$22,2,FALSE)</f>
        <v>Custom</v>
      </c>
      <c r="G205" s="585" t="s">
        <v>1084</v>
      </c>
      <c r="H205" s="2336" t="s">
        <v>1086</v>
      </c>
      <c r="K205" s="72" t="str">
        <f>INDEX('Measure Codes'!$F$4:$F$821,MATCH(H205,'Measure Codes'!$D$4:$D$821,0))</f>
        <v>n/a</v>
      </c>
      <c r="L205" s="72" t="str">
        <f>INDEX('Measure Codes'!$G$4:$G$821,MATCH(H205,'Measure Codes'!$D$4:$D$821,0))</f>
        <v>n/a</v>
      </c>
      <c r="M205" s="600">
        <v>1</v>
      </c>
      <c r="O205" s="72" t="str">
        <f t="shared" ref="O205:O215" si="299">IF(AND(R205&gt;0,V205&gt;0),"Dual Fuel",IF(AND(V205&gt;0,R205&lt;=0),"Gas","Electric"))</f>
        <v>Dual Fuel</v>
      </c>
      <c r="P205" s="7">
        <f>VLOOKUP(D205,'2018 Plan Data'!$A$4:$K$1000,11,FALSE)</f>
        <v>13</v>
      </c>
      <c r="Q205" s="652">
        <f>VLOOKUP(D205,'2018 Plan Data'!$A$4:$L$1000,12,FALSE)</f>
        <v>0</v>
      </c>
      <c r="R205" s="314">
        <v>8098558.5999999996</v>
      </c>
      <c r="V205" s="314">
        <v>124523.79042690813</v>
      </c>
      <c r="AD205" s="297">
        <f>'NTG -BUS'!$B$4</f>
        <v>0.82199999999999995</v>
      </c>
      <c r="AE205" s="297">
        <f t="shared" si="278"/>
        <v>0.82199999999999995</v>
      </c>
      <c r="AF205" s="297">
        <f t="shared" si="278"/>
        <v>0.82199999999999995</v>
      </c>
      <c r="AG205" s="297">
        <f t="shared" si="278"/>
        <v>0.82199999999999995</v>
      </c>
      <c r="AH205" s="314">
        <f t="shared" ref="AH205:AH215" si="300">IF($Q205&gt;0,$S205*AD205,$R205*AD205)</f>
        <v>6657015.1691999994</v>
      </c>
      <c r="AI205" s="314">
        <f t="shared" ref="AI205:AI215" si="301">IF($Q205&gt;0,$S205*AE205,$R205*AE205)</f>
        <v>6657015.1691999994</v>
      </c>
      <c r="AJ205" s="314">
        <f t="shared" ref="AJ205:AJ215" si="302">IF($Q205&gt;0,$S205*AF205,$R205*AF205)</f>
        <v>6657015.1691999994</v>
      </c>
      <c r="AK205" s="314">
        <f t="shared" ref="AK205:AK215" si="303">IF($Q205&gt;0,$S205*AG205,$R205*AG205)</f>
        <v>6657015.1691999994</v>
      </c>
      <c r="AL205" s="297">
        <f t="shared" ref="AL205:AL215" si="304">AD205</f>
        <v>0.82199999999999995</v>
      </c>
      <c r="AM205" s="297">
        <f t="shared" ref="AM205:AM215" si="305">AE205</f>
        <v>0.82199999999999995</v>
      </c>
      <c r="AN205" s="297">
        <f t="shared" ref="AN205:AN215" si="306">AF205</f>
        <v>0.82199999999999995</v>
      </c>
      <c r="AO205" s="297">
        <f t="shared" ref="AO205:AO215" si="307">AG205</f>
        <v>0.82199999999999995</v>
      </c>
      <c r="AP205" s="446">
        <f t="shared" ref="AP205:AP215" si="308">$T205*AL205</f>
        <v>0</v>
      </c>
      <c r="AQ205" s="446">
        <f t="shared" ref="AQ205:AQ215" si="309">$T205*AM205</f>
        <v>0</v>
      </c>
      <c r="AR205" s="446">
        <f t="shared" ref="AR205:AR215" si="310">$T205*AN205</f>
        <v>0</v>
      </c>
      <c r="AS205" s="446">
        <f t="shared" ref="AS205:AS215" si="311">$T205*AO205</f>
        <v>0</v>
      </c>
      <c r="AT205" s="297">
        <f>'NTG -BUS'!C9</f>
        <v>0.77300000000000002</v>
      </c>
      <c r="AU205" s="297">
        <f t="shared" si="279"/>
        <v>0.77300000000000002</v>
      </c>
      <c r="AV205" s="297">
        <f t="shared" si="279"/>
        <v>0.77300000000000002</v>
      </c>
      <c r="AW205" s="297">
        <f t="shared" si="279"/>
        <v>0.77300000000000002</v>
      </c>
      <c r="AX205" s="243">
        <f t="shared" si="266"/>
        <v>96256.889999999985</v>
      </c>
      <c r="AY205" s="243">
        <f t="shared" si="267"/>
        <v>96256.889999999985</v>
      </c>
      <c r="AZ205" s="243">
        <f t="shared" si="268"/>
        <v>96256.889999999985</v>
      </c>
      <c r="BA205" s="243">
        <f t="shared" si="269"/>
        <v>96256.889999999985</v>
      </c>
      <c r="BB205" s="243">
        <f>VLOOKUP($D205,'2018 Plan Data'!$A$4:$K$2000,6,FALSE)</f>
        <v>0</v>
      </c>
      <c r="BC205" s="243">
        <f>VLOOKUP($D205,'2018 Plan Data'!$A$4:$K$2000,7,FALSE)</f>
        <v>1</v>
      </c>
      <c r="BD205" s="243">
        <f>VLOOKUP($D205,'2018 Plan Data'!$A$4:$K$2000,8,FALSE)</f>
        <v>0</v>
      </c>
      <c r="BE205" s="243">
        <f>VLOOKUP($D205,'2018 Plan Data'!$A$4:$K$2000,9,FALSE)</f>
        <v>0</v>
      </c>
      <c r="BF205" s="243">
        <f t="shared" si="281"/>
        <v>0</v>
      </c>
      <c r="BG205" s="243">
        <f t="shared" si="282"/>
        <v>8098558.5999999996</v>
      </c>
      <c r="BH205" s="243">
        <f t="shared" si="283"/>
        <v>0</v>
      </c>
      <c r="BI205" s="243">
        <f t="shared" si="284"/>
        <v>0</v>
      </c>
      <c r="BJ205" s="243">
        <f t="shared" si="285"/>
        <v>0</v>
      </c>
      <c r="BK205" s="243">
        <f t="shared" si="286"/>
        <v>124523.79042690813</v>
      </c>
      <c r="BL205" s="243">
        <f t="shared" si="287"/>
        <v>0</v>
      </c>
      <c r="BM205" s="243">
        <f t="shared" si="288"/>
        <v>0</v>
      </c>
      <c r="BN205" s="243">
        <f t="shared" si="297"/>
        <v>0</v>
      </c>
      <c r="BO205" s="243">
        <f t="shared" si="275"/>
        <v>6657015.1691999994</v>
      </c>
      <c r="BP205" s="243">
        <f t="shared" si="276"/>
        <v>0</v>
      </c>
      <c r="BQ205" s="243">
        <f t="shared" si="277"/>
        <v>0</v>
      </c>
      <c r="BR205" s="243">
        <f t="shared" si="270"/>
        <v>0</v>
      </c>
      <c r="BS205" s="243">
        <f t="shared" si="271"/>
        <v>96256.889999999985</v>
      </c>
      <c r="BT205" s="243">
        <f t="shared" si="272"/>
        <v>0</v>
      </c>
      <c r="BU205" s="243">
        <f t="shared" si="273"/>
        <v>0</v>
      </c>
      <c r="BV205" s="600"/>
      <c r="BW205" s="314">
        <f>VLOOKUP($D205,'2018 Plan Data'!$A$4:$T$2000,13,FALSE)</f>
        <v>0</v>
      </c>
      <c r="BX205" s="314">
        <f>VLOOKUP($D205,'2018 Plan Data'!$A$4:$T$2000,14,FALSE)</f>
        <v>6657015.1691999994</v>
      </c>
      <c r="BY205" s="314">
        <f>VLOOKUP($D205,'2018 Plan Data'!$A$4:$T$2000,15,FALSE)</f>
        <v>0</v>
      </c>
      <c r="BZ205" s="314">
        <f>VLOOKUP($D205,'2018 Plan Data'!$A$4:$T$2000,16,FALSE)</f>
        <v>0</v>
      </c>
      <c r="CA205" s="314">
        <f>IF(VLOOKUP($D205,'2018 Plan Data'!$A$4:$T$2000,17,FALSE)&gt;0,VLOOKUP($D205,'2018 Plan Data'!$A$4:$T$2000,17,FALSE),0)</f>
        <v>0</v>
      </c>
      <c r="CB205" s="314">
        <f>IF(VLOOKUP($D205,'2018 Plan Data'!$A$4:$T$2000,18,FALSE)&gt;0,VLOOKUP($D205,'2018 Plan Data'!$A$4:$T$2000,18,FALSE),0)</f>
        <v>96256.889999999985</v>
      </c>
      <c r="CC205" s="314">
        <f>IF(VLOOKUP($D205,'2018 Plan Data'!$A$4:$T$2000,19,FALSE)&gt;0,VLOOKUP($D205,'2018 Plan Data'!$A$4:$T$2000,19,FALSE),0)</f>
        <v>0</v>
      </c>
      <c r="CD205" s="314">
        <f>IF(VLOOKUP($D205,'2018 Plan Data'!$A$4:$T$2000,20,FALSE)&gt;0,VLOOKUP($D205,'2018 Plan Data'!$A$4:$T$2000,20,FALSE),0)</f>
        <v>0</v>
      </c>
      <c r="CE205" s="600" t="b">
        <f t="shared" si="289"/>
        <v>1</v>
      </c>
      <c r="CF205" s="600" t="b">
        <f t="shared" si="290"/>
        <v>1</v>
      </c>
      <c r="CG205" s="600" t="b">
        <f t="shared" si="291"/>
        <v>1</v>
      </c>
      <c r="CH205" s="600" t="b">
        <f t="shared" si="292"/>
        <v>1</v>
      </c>
      <c r="CI205" s="600" t="b">
        <f t="shared" si="293"/>
        <v>1</v>
      </c>
      <c r="CJ205" s="600" t="b">
        <f t="shared" si="294"/>
        <v>1</v>
      </c>
      <c r="CK205" s="600" t="b">
        <f t="shared" si="295"/>
        <v>1</v>
      </c>
      <c r="CL205" s="600" t="b">
        <f t="shared" si="296"/>
        <v>1</v>
      </c>
    </row>
    <row r="206" spans="1:150" ht="15" customHeight="1" x14ac:dyDescent="0.35">
      <c r="A206" s="585">
        <f t="shared" si="298"/>
        <v>18</v>
      </c>
      <c r="B206" s="600" t="str">
        <f t="shared" si="280"/>
        <v>Business_Custom-Public</v>
      </c>
      <c r="C206" s="585"/>
      <c r="D206" s="585">
        <v>18</v>
      </c>
      <c r="E206" s="585" t="s">
        <v>1944</v>
      </c>
      <c r="F206" s="600" t="str">
        <f>VLOOKUP(G206,Sheet4!$D$6:$E$22,2,FALSE)</f>
        <v>Custom</v>
      </c>
      <c r="G206" s="585" t="s">
        <v>1084</v>
      </c>
      <c r="H206" s="2336" t="s">
        <v>1087</v>
      </c>
      <c r="K206" s="72" t="str">
        <f>INDEX('Measure Codes'!$F$4:$F$821,MATCH(H206,'Measure Codes'!$D$4:$D$821,0))</f>
        <v>n/a</v>
      </c>
      <c r="L206" s="72" t="str">
        <f>INDEX('Measure Codes'!$G$4:$G$821,MATCH(H206,'Measure Codes'!$D$4:$D$821,0))</f>
        <v>n/a</v>
      </c>
      <c r="M206" s="600">
        <v>1</v>
      </c>
      <c r="O206" s="72" t="str">
        <f t="shared" si="299"/>
        <v>Dual Fuel</v>
      </c>
      <c r="P206" s="7">
        <f>VLOOKUP(D206,'2018 Plan Data'!$A$4:$K$1000,11,FALSE)</f>
        <v>13</v>
      </c>
      <c r="Q206" s="652">
        <f>VLOOKUP(D206,'2018 Plan Data'!$A$4:$L$1000,12,FALSE)</f>
        <v>0</v>
      </c>
      <c r="R206" s="314">
        <v>8098558.5999999996</v>
      </c>
      <c r="V206" s="314">
        <v>124523.79042690813</v>
      </c>
      <c r="AD206" s="297">
        <f>'NTG -BUS'!$B$4</f>
        <v>0.82199999999999995</v>
      </c>
      <c r="AE206" s="297">
        <f t="shared" si="278"/>
        <v>0.82199999999999995</v>
      </c>
      <c r="AF206" s="297">
        <f t="shared" si="278"/>
        <v>0.82199999999999995</v>
      </c>
      <c r="AG206" s="297">
        <f t="shared" si="278"/>
        <v>0.82199999999999995</v>
      </c>
      <c r="AH206" s="314">
        <f t="shared" si="300"/>
        <v>6657015.1691999994</v>
      </c>
      <c r="AI206" s="314">
        <f t="shared" si="301"/>
        <v>6657015.1691999994</v>
      </c>
      <c r="AJ206" s="314">
        <f t="shared" si="302"/>
        <v>6657015.1691999994</v>
      </c>
      <c r="AK206" s="314">
        <f t="shared" si="303"/>
        <v>6657015.1691999994</v>
      </c>
      <c r="AL206" s="297">
        <f t="shared" si="304"/>
        <v>0.82199999999999995</v>
      </c>
      <c r="AM206" s="297">
        <f t="shared" si="305"/>
        <v>0.82199999999999995</v>
      </c>
      <c r="AN206" s="297">
        <f t="shared" si="306"/>
        <v>0.82199999999999995</v>
      </c>
      <c r="AO206" s="297">
        <f t="shared" si="307"/>
        <v>0.82199999999999995</v>
      </c>
      <c r="AP206" s="446">
        <f t="shared" si="308"/>
        <v>0</v>
      </c>
      <c r="AQ206" s="446">
        <f t="shared" si="309"/>
        <v>0</v>
      </c>
      <c r="AR206" s="446">
        <f t="shared" si="310"/>
        <v>0</v>
      </c>
      <c r="AS206" s="446">
        <f t="shared" si="311"/>
        <v>0</v>
      </c>
      <c r="AT206" s="297">
        <f>'NTG -BUS'!C10</f>
        <v>0.77300000000000002</v>
      </c>
      <c r="AU206" s="297">
        <f t="shared" si="279"/>
        <v>0.77300000000000002</v>
      </c>
      <c r="AV206" s="297">
        <f t="shared" si="279"/>
        <v>0.77300000000000002</v>
      </c>
      <c r="AW206" s="297">
        <f t="shared" si="279"/>
        <v>0.77300000000000002</v>
      </c>
      <c r="AX206" s="243">
        <f t="shared" ref="AX206:AX215" si="312">IF($Q206&gt;0,$W206*AT206,$V206*AT206)</f>
        <v>96256.889999999985</v>
      </c>
      <c r="AY206" s="243">
        <f t="shared" ref="AY206:AY215" si="313">IF($Q206&gt;1,$W206*AU206,$V206*AU206)</f>
        <v>96256.889999999985</v>
      </c>
      <c r="AZ206" s="243">
        <f t="shared" ref="AZ206:AZ215" si="314">IF($Q206&gt;1,$W206*AV206,$V206*AV206)</f>
        <v>96256.889999999985</v>
      </c>
      <c r="BA206" s="243">
        <f t="shared" ref="BA206:BA215" si="315">IF($Q206&gt;1,$W206*AW206,$V206*AW206)</f>
        <v>96256.889999999985</v>
      </c>
      <c r="BB206" s="243">
        <f>VLOOKUP($D206,'2018 Plan Data'!$A$4:$K$2000,6,FALSE)</f>
        <v>0</v>
      </c>
      <c r="BC206" s="243">
        <f>VLOOKUP($D206,'2018 Plan Data'!$A$4:$K$2000,7,FALSE)</f>
        <v>0</v>
      </c>
      <c r="BD206" s="243">
        <f>VLOOKUP($D206,'2018 Plan Data'!$A$4:$K$2000,8,FALSE)</f>
        <v>1</v>
      </c>
      <c r="BE206" s="243">
        <f>VLOOKUP($D206,'2018 Plan Data'!$A$4:$K$2000,9,FALSE)</f>
        <v>0</v>
      </c>
      <c r="BF206" s="243">
        <f t="shared" si="281"/>
        <v>0</v>
      </c>
      <c r="BG206" s="243">
        <f t="shared" si="282"/>
        <v>0</v>
      </c>
      <c r="BH206" s="243">
        <f t="shared" si="283"/>
        <v>8098558.5999999996</v>
      </c>
      <c r="BI206" s="243">
        <f t="shared" si="284"/>
        <v>0</v>
      </c>
      <c r="BJ206" s="243">
        <f t="shared" si="285"/>
        <v>0</v>
      </c>
      <c r="BK206" s="243">
        <f t="shared" si="286"/>
        <v>0</v>
      </c>
      <c r="BL206" s="243">
        <f t="shared" si="287"/>
        <v>124523.79042690813</v>
      </c>
      <c r="BM206" s="243">
        <f t="shared" si="288"/>
        <v>0</v>
      </c>
      <c r="BN206" s="243">
        <f t="shared" si="297"/>
        <v>0</v>
      </c>
      <c r="BO206" s="243">
        <f t="shared" si="275"/>
        <v>0</v>
      </c>
      <c r="BP206" s="243">
        <f t="shared" si="276"/>
        <v>6657015.1691999994</v>
      </c>
      <c r="BQ206" s="243">
        <f t="shared" si="277"/>
        <v>0</v>
      </c>
      <c r="BR206" s="243">
        <f t="shared" ref="BR206:BR215" si="316">IF((AX206*BB206)&gt;0,(AX206*BB206),0)</f>
        <v>0</v>
      </c>
      <c r="BS206" s="243">
        <f t="shared" ref="BS206:BS215" si="317">IF((AY206*BC206)&gt;0,(AY206*BC206),0)</f>
        <v>0</v>
      </c>
      <c r="BT206" s="243">
        <f t="shared" ref="BT206:BT215" si="318">IF((AZ206*BD206)&gt;0,(AZ206*BD206),0)</f>
        <v>96256.889999999985</v>
      </c>
      <c r="BU206" s="243">
        <f t="shared" ref="BU206:BU215" si="319">IF((BA206*BE206)&gt;0,(BA206*BE206),0)</f>
        <v>0</v>
      </c>
      <c r="BV206" s="600"/>
      <c r="BW206" s="314">
        <f>VLOOKUP($D206,'2018 Plan Data'!$A$4:$T$2000,13,FALSE)</f>
        <v>0</v>
      </c>
      <c r="BX206" s="314">
        <f>VLOOKUP($D206,'2018 Plan Data'!$A$4:$T$2000,14,FALSE)</f>
        <v>0</v>
      </c>
      <c r="BY206" s="314">
        <f>VLOOKUP($D206,'2018 Plan Data'!$A$4:$T$2000,15,FALSE)</f>
        <v>6657015.1691999994</v>
      </c>
      <c r="BZ206" s="314">
        <f>VLOOKUP($D206,'2018 Plan Data'!$A$4:$T$2000,16,FALSE)</f>
        <v>0</v>
      </c>
      <c r="CA206" s="314">
        <f>IF(VLOOKUP($D206,'2018 Plan Data'!$A$4:$T$2000,17,FALSE)&gt;0,VLOOKUP($D206,'2018 Plan Data'!$A$4:$T$2000,17,FALSE),0)</f>
        <v>0</v>
      </c>
      <c r="CB206" s="314">
        <f>IF(VLOOKUP($D206,'2018 Plan Data'!$A$4:$T$2000,18,FALSE)&gt;0,VLOOKUP($D206,'2018 Plan Data'!$A$4:$T$2000,18,FALSE),0)</f>
        <v>0</v>
      </c>
      <c r="CC206" s="314">
        <f>IF(VLOOKUP($D206,'2018 Plan Data'!$A$4:$T$2000,19,FALSE)&gt;0,VLOOKUP($D206,'2018 Plan Data'!$A$4:$T$2000,19,FALSE),0)</f>
        <v>96256.889999999985</v>
      </c>
      <c r="CD206" s="314">
        <f>IF(VLOOKUP($D206,'2018 Plan Data'!$A$4:$T$2000,20,FALSE)&gt;0,VLOOKUP($D206,'2018 Plan Data'!$A$4:$T$2000,20,FALSE),0)</f>
        <v>0</v>
      </c>
      <c r="CE206" s="600" t="b">
        <f t="shared" si="289"/>
        <v>1</v>
      </c>
      <c r="CF206" s="600" t="b">
        <f t="shared" si="290"/>
        <v>1</v>
      </c>
      <c r="CG206" s="600" t="b">
        <f t="shared" si="291"/>
        <v>1</v>
      </c>
      <c r="CH206" s="600" t="b">
        <f t="shared" si="292"/>
        <v>1</v>
      </c>
      <c r="CI206" s="600" t="b">
        <f t="shared" si="293"/>
        <v>1</v>
      </c>
      <c r="CJ206" s="600" t="b">
        <f t="shared" si="294"/>
        <v>1</v>
      </c>
      <c r="CK206" s="600" t="b">
        <f t="shared" si="295"/>
        <v>1</v>
      </c>
      <c r="CL206" s="600" t="b">
        <f t="shared" si="296"/>
        <v>1</v>
      </c>
    </row>
    <row r="207" spans="1:150" ht="15" customHeight="1" x14ac:dyDescent="0.35">
      <c r="A207" s="585">
        <f t="shared" si="298"/>
        <v>19</v>
      </c>
      <c r="B207" s="600" t="str">
        <f t="shared" si="280"/>
        <v>Business_Custom-Public</v>
      </c>
      <c r="C207" s="585"/>
      <c r="D207" s="585">
        <v>19</v>
      </c>
      <c r="E207" s="585" t="s">
        <v>1944</v>
      </c>
      <c r="F207" s="600" t="str">
        <f>VLOOKUP(G207,Sheet4!$D$6:$E$22,2,FALSE)</f>
        <v>Custom</v>
      </c>
      <c r="G207" s="585" t="s">
        <v>1084</v>
      </c>
      <c r="H207" s="2336" t="s">
        <v>1088</v>
      </c>
      <c r="K207" s="72" t="str">
        <f>INDEX('Measure Codes'!$F$4:$F$821,MATCH(H207,'Measure Codes'!$D$4:$D$821,0))</f>
        <v>n/a</v>
      </c>
      <c r="L207" s="72" t="str">
        <f>INDEX('Measure Codes'!$G$4:$G$821,MATCH(H207,'Measure Codes'!$D$4:$D$821,0))</f>
        <v>n/a</v>
      </c>
      <c r="M207" s="600">
        <v>1</v>
      </c>
      <c r="O207" s="72" t="str">
        <f t="shared" si="299"/>
        <v>Dual Fuel</v>
      </c>
      <c r="P207" s="7">
        <f>VLOOKUP(D207,'2018 Plan Data'!$A$4:$K$1000,11,FALSE)</f>
        <v>13</v>
      </c>
      <c r="Q207" s="652">
        <f>VLOOKUP(D207,'2018 Plan Data'!$A$4:$L$1000,12,FALSE)</f>
        <v>0</v>
      </c>
      <c r="R207" s="314">
        <v>8098558.5999999996</v>
      </c>
      <c r="V207" s="314">
        <v>162553.0261589404</v>
      </c>
      <c r="AD207" s="297">
        <f>'NTG -BUS'!$B$4</f>
        <v>0.82199999999999995</v>
      </c>
      <c r="AE207" s="297">
        <f t="shared" si="278"/>
        <v>0.82199999999999995</v>
      </c>
      <c r="AF207" s="297">
        <f t="shared" si="278"/>
        <v>0.82199999999999995</v>
      </c>
      <c r="AG207" s="297">
        <f t="shared" si="278"/>
        <v>0.82199999999999995</v>
      </c>
      <c r="AH207" s="314">
        <f t="shared" si="300"/>
        <v>6657015.1691999994</v>
      </c>
      <c r="AI207" s="314">
        <f t="shared" si="301"/>
        <v>6657015.1691999994</v>
      </c>
      <c r="AJ207" s="314">
        <f t="shared" si="302"/>
        <v>6657015.1691999994</v>
      </c>
      <c r="AK207" s="314">
        <f t="shared" si="303"/>
        <v>6657015.1691999994</v>
      </c>
      <c r="AL207" s="297">
        <f t="shared" si="304"/>
        <v>0.82199999999999995</v>
      </c>
      <c r="AM207" s="297">
        <f t="shared" si="305"/>
        <v>0.82199999999999995</v>
      </c>
      <c r="AN207" s="297">
        <f t="shared" si="306"/>
        <v>0.82199999999999995</v>
      </c>
      <c r="AO207" s="297">
        <f t="shared" si="307"/>
        <v>0.82199999999999995</v>
      </c>
      <c r="AP207" s="446">
        <f t="shared" si="308"/>
        <v>0</v>
      </c>
      <c r="AQ207" s="446">
        <f t="shared" si="309"/>
        <v>0</v>
      </c>
      <c r="AR207" s="446">
        <f t="shared" si="310"/>
        <v>0</v>
      </c>
      <c r="AS207" s="446">
        <f t="shared" si="311"/>
        <v>0</v>
      </c>
      <c r="AT207" s="297">
        <f>'NTG -BUS'!C11</f>
        <v>0.60399999999999998</v>
      </c>
      <c r="AU207" s="297">
        <f t="shared" si="279"/>
        <v>0.60399999999999998</v>
      </c>
      <c r="AV207" s="297">
        <f t="shared" si="279"/>
        <v>0.60399999999999998</v>
      </c>
      <c r="AW207" s="297">
        <f t="shared" si="279"/>
        <v>0.60399999999999998</v>
      </c>
      <c r="AX207" s="243">
        <f t="shared" si="312"/>
        <v>98182.027799999996</v>
      </c>
      <c r="AY207" s="243">
        <f t="shared" si="313"/>
        <v>98182.027799999996</v>
      </c>
      <c r="AZ207" s="243">
        <f t="shared" si="314"/>
        <v>98182.027799999996</v>
      </c>
      <c r="BA207" s="243">
        <f t="shared" si="315"/>
        <v>98182.027799999996</v>
      </c>
      <c r="BB207" s="243">
        <f>VLOOKUP($D207,'2018 Plan Data'!$A$4:$K$2000,6,FALSE)</f>
        <v>0</v>
      </c>
      <c r="BC207" s="243">
        <f>VLOOKUP($D207,'2018 Plan Data'!$A$4:$K$2000,7,FALSE)</f>
        <v>0</v>
      </c>
      <c r="BD207" s="243">
        <f>VLOOKUP($D207,'2018 Plan Data'!$A$4:$K$2000,8,FALSE)</f>
        <v>0</v>
      </c>
      <c r="BE207" s="243">
        <f>VLOOKUP($D207,'2018 Plan Data'!$A$4:$K$2000,9,FALSE)</f>
        <v>1</v>
      </c>
      <c r="BF207" s="243">
        <f t="shared" si="281"/>
        <v>0</v>
      </c>
      <c r="BG207" s="243">
        <f t="shared" si="282"/>
        <v>0</v>
      </c>
      <c r="BH207" s="243">
        <f t="shared" si="283"/>
        <v>0</v>
      </c>
      <c r="BI207" s="243">
        <f t="shared" si="284"/>
        <v>8098558.5999999996</v>
      </c>
      <c r="BJ207" s="243">
        <f t="shared" si="285"/>
        <v>0</v>
      </c>
      <c r="BK207" s="243">
        <f t="shared" si="286"/>
        <v>0</v>
      </c>
      <c r="BL207" s="243">
        <f t="shared" si="287"/>
        <v>0</v>
      </c>
      <c r="BM207" s="243">
        <f t="shared" si="288"/>
        <v>162553.0261589404</v>
      </c>
      <c r="BN207" s="243">
        <f t="shared" si="297"/>
        <v>0</v>
      </c>
      <c r="BO207" s="243">
        <f t="shared" si="275"/>
        <v>0</v>
      </c>
      <c r="BP207" s="243">
        <f t="shared" si="276"/>
        <v>0</v>
      </c>
      <c r="BQ207" s="243">
        <f t="shared" si="277"/>
        <v>6657015.1691999994</v>
      </c>
      <c r="BR207" s="243">
        <f t="shared" si="316"/>
        <v>0</v>
      </c>
      <c r="BS207" s="243">
        <f t="shared" si="317"/>
        <v>0</v>
      </c>
      <c r="BT207" s="243">
        <f t="shared" si="318"/>
        <v>0</v>
      </c>
      <c r="BU207" s="243">
        <f t="shared" si="319"/>
        <v>98182.027799999996</v>
      </c>
      <c r="BV207" s="600"/>
      <c r="BW207" s="314">
        <f>VLOOKUP($D207,'2018 Plan Data'!$A$4:$T$2000,13,FALSE)</f>
        <v>0</v>
      </c>
      <c r="BX207" s="314">
        <f>VLOOKUP($D207,'2018 Plan Data'!$A$4:$T$2000,14,FALSE)</f>
        <v>0</v>
      </c>
      <c r="BY207" s="314">
        <f>VLOOKUP($D207,'2018 Plan Data'!$A$4:$T$2000,15,FALSE)</f>
        <v>0</v>
      </c>
      <c r="BZ207" s="314">
        <f>VLOOKUP($D207,'2018 Plan Data'!$A$4:$T$2000,16,FALSE)</f>
        <v>6657015.1691999994</v>
      </c>
      <c r="CA207" s="314">
        <f>IF(VLOOKUP($D207,'2018 Plan Data'!$A$4:$T$2000,17,FALSE)&gt;0,VLOOKUP($D207,'2018 Plan Data'!$A$4:$T$2000,17,FALSE),0)</f>
        <v>0</v>
      </c>
      <c r="CB207" s="314">
        <f>IF(VLOOKUP($D207,'2018 Plan Data'!$A$4:$T$2000,18,FALSE)&gt;0,VLOOKUP($D207,'2018 Plan Data'!$A$4:$T$2000,18,FALSE),0)</f>
        <v>0</v>
      </c>
      <c r="CC207" s="314">
        <f>IF(VLOOKUP($D207,'2018 Plan Data'!$A$4:$T$2000,19,FALSE)&gt;0,VLOOKUP($D207,'2018 Plan Data'!$A$4:$T$2000,19,FALSE),0)</f>
        <v>0</v>
      </c>
      <c r="CD207" s="314">
        <f>IF(VLOOKUP($D207,'2018 Plan Data'!$A$4:$T$2000,20,FALSE)&gt;0,VLOOKUP($D207,'2018 Plan Data'!$A$4:$T$2000,20,FALSE),0)</f>
        <v>98182.027799999996</v>
      </c>
      <c r="CE207" s="600" t="b">
        <f t="shared" si="289"/>
        <v>1</v>
      </c>
      <c r="CF207" s="600" t="b">
        <f t="shared" si="290"/>
        <v>1</v>
      </c>
      <c r="CG207" s="600" t="b">
        <f t="shared" si="291"/>
        <v>1</v>
      </c>
      <c r="CH207" s="600" t="b">
        <f t="shared" si="292"/>
        <v>1</v>
      </c>
      <c r="CI207" s="600" t="b">
        <f t="shared" si="293"/>
        <v>1</v>
      </c>
      <c r="CJ207" s="600" t="b">
        <f t="shared" si="294"/>
        <v>1</v>
      </c>
      <c r="CK207" s="600" t="b">
        <f t="shared" si="295"/>
        <v>1</v>
      </c>
      <c r="CL207" s="600" t="b">
        <f t="shared" si="296"/>
        <v>1</v>
      </c>
    </row>
    <row r="208" spans="1:150" ht="15" customHeight="1" x14ac:dyDescent="0.35">
      <c r="A208" s="585">
        <f t="shared" si="298"/>
        <v>21</v>
      </c>
      <c r="B208" s="600" t="str">
        <f t="shared" si="280"/>
        <v>Business_Retro-commissioning</v>
      </c>
      <c r="C208" s="600"/>
      <c r="D208" s="600">
        <v>21</v>
      </c>
      <c r="E208" s="600" t="s">
        <v>1944</v>
      </c>
      <c r="F208" s="600" t="str">
        <f>VLOOKUP(G208,Sheet4!$D$6:$E$22,2,FALSE)</f>
        <v>Retro-commissioning</v>
      </c>
      <c r="G208" s="600" t="s">
        <v>212</v>
      </c>
      <c r="H208" s="296" t="s">
        <v>1029</v>
      </c>
      <c r="K208" s="72" t="str">
        <f>INDEX('Measure Codes'!$F$4:$F$821,MATCH(H208,'Measure Codes'!$D$4:$D$821,0))</f>
        <v>n/a</v>
      </c>
      <c r="L208" s="72" t="str">
        <f>INDEX('Measure Codes'!$G$4:$G$821,MATCH(H208,'Measure Codes'!$D$4:$D$821,0))</f>
        <v>n/a</v>
      </c>
      <c r="M208" s="600">
        <v>1</v>
      </c>
      <c r="O208" s="72" t="str">
        <f t="shared" si="299"/>
        <v>Dual Fuel</v>
      </c>
      <c r="P208" s="7">
        <f>VLOOKUP(D208,'2018 Plan Data'!$A$4:$K$1000,11,FALSE)</f>
        <v>5</v>
      </c>
      <c r="Q208" s="652">
        <f>VLOOKUP(D208,'2018 Plan Data'!$A$4:$L$1000,12,FALSE)</f>
        <v>0</v>
      </c>
      <c r="R208" s="314">
        <f>'BUS Measure-Model Summary'!AK205/AD208</f>
        <v>11077132</v>
      </c>
      <c r="T208" s="314">
        <v>966.49079999999992</v>
      </c>
      <c r="V208" s="314">
        <v>306816</v>
      </c>
      <c r="AD208" s="297">
        <f>'NTG -BUS'!$B$14</f>
        <v>0.91400000000000003</v>
      </c>
      <c r="AE208" s="297">
        <f t="shared" si="278"/>
        <v>0.91400000000000003</v>
      </c>
      <c r="AF208" s="297">
        <f t="shared" si="278"/>
        <v>0.91400000000000003</v>
      </c>
      <c r="AG208" s="297">
        <f t="shared" si="278"/>
        <v>0.91400000000000003</v>
      </c>
      <c r="AH208" s="314">
        <f t="shared" si="300"/>
        <v>10124498.648</v>
      </c>
      <c r="AI208" s="314">
        <f t="shared" si="301"/>
        <v>10124498.648</v>
      </c>
      <c r="AJ208" s="314">
        <f t="shared" si="302"/>
        <v>10124498.648</v>
      </c>
      <c r="AK208" s="314">
        <f t="shared" si="303"/>
        <v>10124498.648</v>
      </c>
      <c r="AL208" s="297">
        <f t="shared" si="304"/>
        <v>0.91400000000000003</v>
      </c>
      <c r="AM208" s="297">
        <f t="shared" si="305"/>
        <v>0.91400000000000003</v>
      </c>
      <c r="AN208" s="297">
        <f t="shared" si="306"/>
        <v>0.91400000000000003</v>
      </c>
      <c r="AO208" s="297">
        <f t="shared" si="307"/>
        <v>0.91400000000000003</v>
      </c>
      <c r="AP208" s="446">
        <f t="shared" si="308"/>
        <v>883.37259119999999</v>
      </c>
      <c r="AQ208" s="446">
        <f t="shared" si="309"/>
        <v>883.37259119999999</v>
      </c>
      <c r="AR208" s="446">
        <f t="shared" si="310"/>
        <v>883.37259119999999</v>
      </c>
      <c r="AS208" s="446">
        <f t="shared" si="311"/>
        <v>883.37259119999999</v>
      </c>
      <c r="AT208" s="297">
        <f t="shared" ref="AT208:AW215" si="320">AL208</f>
        <v>0.91400000000000003</v>
      </c>
      <c r="AU208" s="297">
        <f t="shared" si="320"/>
        <v>0.91400000000000003</v>
      </c>
      <c r="AV208" s="297">
        <f t="shared" si="320"/>
        <v>0.91400000000000003</v>
      </c>
      <c r="AW208" s="297">
        <f t="shared" si="320"/>
        <v>0.91400000000000003</v>
      </c>
      <c r="AX208" s="243">
        <f t="shared" si="312"/>
        <v>280429.82400000002</v>
      </c>
      <c r="AY208" s="243">
        <f t="shared" si="313"/>
        <v>280429.82400000002</v>
      </c>
      <c r="AZ208" s="243">
        <f t="shared" si="314"/>
        <v>280429.82400000002</v>
      </c>
      <c r="BA208" s="243">
        <f t="shared" si="315"/>
        <v>280429.82400000002</v>
      </c>
      <c r="BB208" s="243">
        <f>VLOOKUP($D208,'2018 Plan Data'!$A$4:$K$2000,6,FALSE)</f>
        <v>1</v>
      </c>
      <c r="BC208" s="243">
        <f>VLOOKUP($D208,'2018 Plan Data'!$A$4:$K$2000,7,FALSE)</f>
        <v>0</v>
      </c>
      <c r="BD208" s="243">
        <f>VLOOKUP($D208,'2018 Plan Data'!$A$4:$K$2000,8,FALSE)</f>
        <v>0</v>
      </c>
      <c r="BE208" s="243">
        <f>VLOOKUP($D208,'2018 Plan Data'!$A$4:$K$2000,9,FALSE)</f>
        <v>0</v>
      </c>
      <c r="BF208" s="243">
        <f t="shared" si="281"/>
        <v>11077132</v>
      </c>
      <c r="BG208" s="243">
        <f t="shared" si="282"/>
        <v>0</v>
      </c>
      <c r="BH208" s="243">
        <f t="shared" si="283"/>
        <v>0</v>
      </c>
      <c r="BI208" s="243">
        <f t="shared" si="284"/>
        <v>0</v>
      </c>
      <c r="BJ208" s="243">
        <f t="shared" si="285"/>
        <v>306816</v>
      </c>
      <c r="BK208" s="243">
        <f t="shared" si="286"/>
        <v>0</v>
      </c>
      <c r="BL208" s="243">
        <f t="shared" si="287"/>
        <v>0</v>
      </c>
      <c r="BM208" s="243">
        <f t="shared" si="288"/>
        <v>0</v>
      </c>
      <c r="BN208" s="243">
        <f t="shared" si="297"/>
        <v>10124498.648</v>
      </c>
      <c r="BO208" s="243">
        <f t="shared" si="275"/>
        <v>0</v>
      </c>
      <c r="BP208" s="243">
        <f t="shared" si="276"/>
        <v>0</v>
      </c>
      <c r="BQ208" s="243">
        <f t="shared" si="277"/>
        <v>0</v>
      </c>
      <c r="BR208" s="243">
        <f t="shared" si="316"/>
        <v>280429.82400000002</v>
      </c>
      <c r="BS208" s="243">
        <f t="shared" si="317"/>
        <v>0</v>
      </c>
      <c r="BT208" s="243">
        <f t="shared" si="318"/>
        <v>0</v>
      </c>
      <c r="BU208" s="243">
        <f t="shared" si="319"/>
        <v>0</v>
      </c>
      <c r="BV208" s="600"/>
      <c r="BW208" s="314">
        <f>VLOOKUP($D208,'2018 Plan Data'!$A$4:$T$2000,13,FALSE)</f>
        <v>10124498.648</v>
      </c>
      <c r="BX208" s="314">
        <f>VLOOKUP($D208,'2018 Plan Data'!$A$4:$T$2000,14,FALSE)</f>
        <v>0</v>
      </c>
      <c r="BY208" s="314">
        <f>VLOOKUP($D208,'2018 Plan Data'!$A$4:$T$2000,15,FALSE)</f>
        <v>0</v>
      </c>
      <c r="BZ208" s="314">
        <f>VLOOKUP($D208,'2018 Plan Data'!$A$4:$T$2000,16,FALSE)</f>
        <v>0</v>
      </c>
      <c r="CA208" s="314">
        <f>IF(VLOOKUP($D208,'2018 Plan Data'!$A$4:$T$2000,17,FALSE)&gt;0,VLOOKUP($D208,'2018 Plan Data'!$A$4:$T$2000,17,FALSE),0)</f>
        <v>280429.82400000002</v>
      </c>
      <c r="CB208" s="314">
        <f>IF(VLOOKUP($D208,'2018 Plan Data'!$A$4:$T$2000,18,FALSE)&gt;0,VLOOKUP($D208,'2018 Plan Data'!$A$4:$T$2000,18,FALSE),0)</f>
        <v>0</v>
      </c>
      <c r="CC208" s="314">
        <f>IF(VLOOKUP($D208,'2018 Plan Data'!$A$4:$T$2000,19,FALSE)&gt;0,VLOOKUP($D208,'2018 Plan Data'!$A$4:$T$2000,19,FALSE),0)</f>
        <v>0</v>
      </c>
      <c r="CD208" s="314">
        <f>IF(VLOOKUP($D208,'2018 Plan Data'!$A$4:$T$2000,20,FALSE)&gt;0,VLOOKUP($D208,'2018 Plan Data'!$A$4:$T$2000,20,FALSE),0)</f>
        <v>0</v>
      </c>
      <c r="CE208" s="600" t="b">
        <f t="shared" si="289"/>
        <v>1</v>
      </c>
      <c r="CF208" s="600" t="b">
        <f t="shared" si="290"/>
        <v>1</v>
      </c>
      <c r="CG208" s="600" t="b">
        <f t="shared" si="291"/>
        <v>1</v>
      </c>
      <c r="CH208" s="600" t="b">
        <f t="shared" si="292"/>
        <v>1</v>
      </c>
      <c r="CI208" s="600" t="b">
        <f t="shared" si="293"/>
        <v>1</v>
      </c>
      <c r="CJ208" s="600" t="b">
        <f t="shared" si="294"/>
        <v>1</v>
      </c>
      <c r="CK208" s="600" t="b">
        <f t="shared" si="295"/>
        <v>1</v>
      </c>
      <c r="CL208" s="600" t="b">
        <f t="shared" si="296"/>
        <v>1</v>
      </c>
    </row>
    <row r="209" spans="1:90" ht="15" customHeight="1" x14ac:dyDescent="0.35">
      <c r="A209" s="585">
        <f t="shared" si="298"/>
        <v>22</v>
      </c>
      <c r="B209" s="600" t="str">
        <f t="shared" si="280"/>
        <v>Business_Retro-commissioning</v>
      </c>
      <c r="C209" s="600"/>
      <c r="D209">
        <v>22</v>
      </c>
      <c r="E209" s="600" t="s">
        <v>1944</v>
      </c>
      <c r="F209" s="600" t="str">
        <f>VLOOKUP(G209,Sheet4!$D$6:$E$22,2,FALSE)</f>
        <v>Retro-commissioning</v>
      </c>
      <c r="G209" t="s">
        <v>212</v>
      </c>
      <c r="H209" s="296" t="s">
        <v>1030</v>
      </c>
      <c r="K209" s="72" t="str">
        <f>INDEX('Measure Codes'!$F$4:$F$821,MATCH(H209,'Measure Codes'!$D$4:$D$821,0))</f>
        <v>n/a</v>
      </c>
      <c r="L209" s="72" t="str">
        <f>INDEX('Measure Codes'!$G$4:$G$821,MATCH(H209,'Measure Codes'!$D$4:$D$821,0))</f>
        <v>n/a</v>
      </c>
      <c r="M209" s="600">
        <v>1</v>
      </c>
      <c r="O209" s="72" t="str">
        <f t="shared" si="299"/>
        <v>Dual Fuel</v>
      </c>
      <c r="P209" s="7">
        <f>VLOOKUP(D209,'2018 Plan Data'!$A$4:$K$1000,11,FALSE)</f>
        <v>5</v>
      </c>
      <c r="Q209" s="652">
        <f>VLOOKUP(D209,'2018 Plan Data'!$A$4:$L$1000,12,FALSE)</f>
        <v>0</v>
      </c>
      <c r="R209" s="314">
        <f>'BUS Measure-Model Summary'!AL205/AD209</f>
        <v>11358754.000000002</v>
      </c>
      <c r="T209" s="314">
        <v>991.06259999999997</v>
      </c>
      <c r="V209" s="314">
        <v>287640</v>
      </c>
      <c r="AD209" s="297">
        <f>'NTG -BUS'!$B$14</f>
        <v>0.91400000000000003</v>
      </c>
      <c r="AE209" s="297">
        <f t="shared" si="278"/>
        <v>0.91400000000000003</v>
      </c>
      <c r="AF209" s="297">
        <f t="shared" si="278"/>
        <v>0.91400000000000003</v>
      </c>
      <c r="AG209" s="297">
        <f t="shared" si="278"/>
        <v>0.91400000000000003</v>
      </c>
      <c r="AH209" s="314">
        <f t="shared" si="300"/>
        <v>10381901.156000001</v>
      </c>
      <c r="AI209" s="314">
        <f t="shared" si="301"/>
        <v>10381901.156000001</v>
      </c>
      <c r="AJ209" s="314">
        <f t="shared" si="302"/>
        <v>10381901.156000001</v>
      </c>
      <c r="AK209" s="314">
        <f t="shared" si="303"/>
        <v>10381901.156000001</v>
      </c>
      <c r="AL209" s="297">
        <f t="shared" si="304"/>
        <v>0.91400000000000003</v>
      </c>
      <c r="AM209" s="297">
        <f t="shared" si="305"/>
        <v>0.91400000000000003</v>
      </c>
      <c r="AN209" s="297">
        <f t="shared" si="306"/>
        <v>0.91400000000000003</v>
      </c>
      <c r="AO209" s="297">
        <f t="shared" si="307"/>
        <v>0.91400000000000003</v>
      </c>
      <c r="AP209" s="446">
        <f t="shared" si="308"/>
        <v>905.83121640000002</v>
      </c>
      <c r="AQ209" s="446">
        <f t="shared" si="309"/>
        <v>905.83121640000002</v>
      </c>
      <c r="AR209" s="446">
        <f t="shared" si="310"/>
        <v>905.83121640000002</v>
      </c>
      <c r="AS209" s="446">
        <f t="shared" si="311"/>
        <v>905.83121640000002</v>
      </c>
      <c r="AT209" s="297">
        <f t="shared" si="320"/>
        <v>0.91400000000000003</v>
      </c>
      <c r="AU209" s="297">
        <f t="shared" si="320"/>
        <v>0.91400000000000003</v>
      </c>
      <c r="AV209" s="297">
        <f t="shared" si="320"/>
        <v>0.91400000000000003</v>
      </c>
      <c r="AW209" s="297">
        <f t="shared" si="320"/>
        <v>0.91400000000000003</v>
      </c>
      <c r="AX209" s="243">
        <f t="shared" si="312"/>
        <v>262902.96000000002</v>
      </c>
      <c r="AY209" s="243">
        <f t="shared" si="313"/>
        <v>262902.96000000002</v>
      </c>
      <c r="AZ209" s="243">
        <f t="shared" si="314"/>
        <v>262902.96000000002</v>
      </c>
      <c r="BA209" s="243">
        <f t="shared" si="315"/>
        <v>262902.96000000002</v>
      </c>
      <c r="BB209" s="243">
        <f>VLOOKUP($D209,'2018 Plan Data'!$A$4:$K$2000,6,FALSE)</f>
        <v>0</v>
      </c>
      <c r="BC209" s="243">
        <f>VLOOKUP($D209,'2018 Plan Data'!$A$4:$K$2000,7,FALSE)</f>
        <v>1</v>
      </c>
      <c r="BD209" s="243">
        <f>VLOOKUP($D209,'2018 Plan Data'!$A$4:$K$2000,8,FALSE)</f>
        <v>0</v>
      </c>
      <c r="BE209" s="243">
        <f>VLOOKUP($D209,'2018 Plan Data'!$A$4:$K$2000,9,FALSE)</f>
        <v>0</v>
      </c>
      <c r="BF209" s="243">
        <f t="shared" si="281"/>
        <v>0</v>
      </c>
      <c r="BG209" s="243">
        <f t="shared" si="282"/>
        <v>11358754.000000002</v>
      </c>
      <c r="BH209" s="243">
        <f t="shared" si="283"/>
        <v>0</v>
      </c>
      <c r="BI209" s="243">
        <f t="shared" si="284"/>
        <v>0</v>
      </c>
      <c r="BJ209" s="243">
        <f t="shared" si="285"/>
        <v>0</v>
      </c>
      <c r="BK209" s="243">
        <f t="shared" si="286"/>
        <v>287640</v>
      </c>
      <c r="BL209" s="243">
        <f t="shared" si="287"/>
        <v>0</v>
      </c>
      <c r="BM209" s="243">
        <f t="shared" si="288"/>
        <v>0</v>
      </c>
      <c r="BN209" s="243">
        <f t="shared" si="297"/>
        <v>0</v>
      </c>
      <c r="BO209" s="243">
        <f t="shared" si="275"/>
        <v>10381901.156000001</v>
      </c>
      <c r="BP209" s="243">
        <f t="shared" si="276"/>
        <v>0</v>
      </c>
      <c r="BQ209" s="243">
        <f t="shared" si="277"/>
        <v>0</v>
      </c>
      <c r="BR209" s="243">
        <f t="shared" si="316"/>
        <v>0</v>
      </c>
      <c r="BS209" s="243">
        <f t="shared" si="317"/>
        <v>262902.96000000002</v>
      </c>
      <c r="BT209" s="243">
        <f t="shared" si="318"/>
        <v>0</v>
      </c>
      <c r="BU209" s="243">
        <f t="shared" si="319"/>
        <v>0</v>
      </c>
      <c r="BV209" s="600"/>
      <c r="BW209" s="314">
        <f>VLOOKUP($D209,'2018 Plan Data'!$A$4:$T$2000,13,FALSE)</f>
        <v>0</v>
      </c>
      <c r="BX209" s="314">
        <f>VLOOKUP($D209,'2018 Plan Data'!$A$4:$T$2000,14,FALSE)</f>
        <v>10381901.156000001</v>
      </c>
      <c r="BY209" s="314">
        <f>VLOOKUP($D209,'2018 Plan Data'!$A$4:$T$2000,15,FALSE)</f>
        <v>0</v>
      </c>
      <c r="BZ209" s="314">
        <f>VLOOKUP($D209,'2018 Plan Data'!$A$4:$T$2000,16,FALSE)</f>
        <v>0</v>
      </c>
      <c r="CA209" s="314">
        <f>IF(VLOOKUP($D209,'2018 Plan Data'!$A$4:$T$2000,17,FALSE)&gt;0,VLOOKUP($D209,'2018 Plan Data'!$A$4:$T$2000,17,FALSE),0)</f>
        <v>0</v>
      </c>
      <c r="CB209" s="314">
        <f>IF(VLOOKUP($D209,'2018 Plan Data'!$A$4:$T$2000,18,FALSE)&gt;0,VLOOKUP($D209,'2018 Plan Data'!$A$4:$T$2000,18,FALSE),0)</f>
        <v>262902.96000000002</v>
      </c>
      <c r="CC209" s="314">
        <f>IF(VLOOKUP($D209,'2018 Plan Data'!$A$4:$T$2000,19,FALSE)&gt;0,VLOOKUP($D209,'2018 Plan Data'!$A$4:$T$2000,19,FALSE),0)</f>
        <v>0</v>
      </c>
      <c r="CD209" s="314">
        <f>IF(VLOOKUP($D209,'2018 Plan Data'!$A$4:$T$2000,20,FALSE)&gt;0,VLOOKUP($D209,'2018 Plan Data'!$A$4:$T$2000,20,FALSE),0)</f>
        <v>0</v>
      </c>
      <c r="CE209" s="600" t="b">
        <f t="shared" si="289"/>
        <v>1</v>
      </c>
      <c r="CF209" s="600" t="b">
        <f t="shared" si="290"/>
        <v>1</v>
      </c>
      <c r="CG209" s="600" t="b">
        <f t="shared" si="291"/>
        <v>1</v>
      </c>
      <c r="CH209" s="600" t="b">
        <f t="shared" si="292"/>
        <v>1</v>
      </c>
      <c r="CI209" s="600" t="b">
        <f t="shared" si="293"/>
        <v>1</v>
      </c>
      <c r="CJ209" s="600" t="b">
        <f t="shared" si="294"/>
        <v>1</v>
      </c>
      <c r="CK209" s="600" t="b">
        <f t="shared" si="295"/>
        <v>1</v>
      </c>
      <c r="CL209" s="600" t="b">
        <f t="shared" si="296"/>
        <v>1</v>
      </c>
    </row>
    <row r="210" spans="1:90" ht="15" customHeight="1" x14ac:dyDescent="0.35">
      <c r="A210" s="585">
        <f t="shared" si="298"/>
        <v>23</v>
      </c>
      <c r="B210" s="600" t="str">
        <f t="shared" si="280"/>
        <v>Business_Retro-commissioning</v>
      </c>
      <c r="C210" s="600"/>
      <c r="D210">
        <v>23</v>
      </c>
      <c r="E210" s="600" t="s">
        <v>1944</v>
      </c>
      <c r="F210" s="600" t="str">
        <f>VLOOKUP(G210,Sheet4!$D$6:$E$22,2,FALSE)</f>
        <v>Retro-commissioning</v>
      </c>
      <c r="G210" t="s">
        <v>212</v>
      </c>
      <c r="H210" s="296" t="s">
        <v>1031</v>
      </c>
      <c r="K210" s="72" t="str">
        <f>INDEX('Measure Codes'!$F$4:$F$821,MATCH(H210,'Measure Codes'!$D$4:$D$821,0))</f>
        <v>n/a</v>
      </c>
      <c r="L210" s="72" t="str">
        <f>INDEX('Measure Codes'!$G$4:$G$821,MATCH(H210,'Measure Codes'!$D$4:$D$821,0))</f>
        <v>n/a</v>
      </c>
      <c r="M210" s="600">
        <v>1</v>
      </c>
      <c r="O210" s="72" t="str">
        <f t="shared" si="299"/>
        <v>Dual Fuel</v>
      </c>
      <c r="P210" s="7">
        <f>VLOOKUP(D210,'2018 Plan Data'!$A$4:$K$1000,11,FALSE)</f>
        <v>5</v>
      </c>
      <c r="Q210" s="652">
        <f>VLOOKUP(D210,'2018 Plan Data'!$A$4:$L$1000,12,FALSE)</f>
        <v>0</v>
      </c>
      <c r="R210" s="314">
        <f>'BUS Measure-Model Summary'!AM205/AD210</f>
        <v>11405691</v>
      </c>
      <c r="T210" s="314">
        <v>995.15789999999993</v>
      </c>
      <c r="V210" s="314">
        <v>306816</v>
      </c>
      <c r="AD210" s="297">
        <f>'NTG -BUS'!$B$14</f>
        <v>0.91400000000000003</v>
      </c>
      <c r="AE210" s="297">
        <f t="shared" ref="AE210:AG215" si="321">AD210</f>
        <v>0.91400000000000003</v>
      </c>
      <c r="AF210" s="297">
        <f t="shared" si="321"/>
        <v>0.91400000000000003</v>
      </c>
      <c r="AG210" s="297">
        <f t="shared" si="321"/>
        <v>0.91400000000000003</v>
      </c>
      <c r="AH210" s="314">
        <f t="shared" si="300"/>
        <v>10424801.574000001</v>
      </c>
      <c r="AI210" s="314">
        <f t="shared" si="301"/>
        <v>10424801.574000001</v>
      </c>
      <c r="AJ210" s="314">
        <f t="shared" si="302"/>
        <v>10424801.574000001</v>
      </c>
      <c r="AK210" s="314">
        <f t="shared" si="303"/>
        <v>10424801.574000001</v>
      </c>
      <c r="AL210" s="297">
        <f t="shared" si="304"/>
        <v>0.91400000000000003</v>
      </c>
      <c r="AM210" s="297">
        <f t="shared" si="305"/>
        <v>0.91400000000000003</v>
      </c>
      <c r="AN210" s="297">
        <f t="shared" si="306"/>
        <v>0.91400000000000003</v>
      </c>
      <c r="AO210" s="297">
        <f t="shared" si="307"/>
        <v>0.91400000000000003</v>
      </c>
      <c r="AP210" s="446">
        <f t="shared" si="308"/>
        <v>909.57432059999996</v>
      </c>
      <c r="AQ210" s="446">
        <f t="shared" si="309"/>
        <v>909.57432059999996</v>
      </c>
      <c r="AR210" s="446">
        <f t="shared" si="310"/>
        <v>909.57432059999996</v>
      </c>
      <c r="AS210" s="446">
        <f t="shared" si="311"/>
        <v>909.57432059999996</v>
      </c>
      <c r="AT210" s="297">
        <f t="shared" si="320"/>
        <v>0.91400000000000003</v>
      </c>
      <c r="AU210" s="297">
        <f t="shared" si="320"/>
        <v>0.91400000000000003</v>
      </c>
      <c r="AV210" s="297">
        <f t="shared" si="320"/>
        <v>0.91400000000000003</v>
      </c>
      <c r="AW210" s="297">
        <f t="shared" si="320"/>
        <v>0.91400000000000003</v>
      </c>
      <c r="AX210" s="243">
        <f t="shared" si="312"/>
        <v>280429.82400000002</v>
      </c>
      <c r="AY210" s="243">
        <f t="shared" si="313"/>
        <v>280429.82400000002</v>
      </c>
      <c r="AZ210" s="243">
        <f t="shared" si="314"/>
        <v>280429.82400000002</v>
      </c>
      <c r="BA210" s="243">
        <f t="shared" si="315"/>
        <v>280429.82400000002</v>
      </c>
      <c r="BB210" s="243">
        <f>VLOOKUP($D210,'2018 Plan Data'!$A$4:$K$2000,6,FALSE)</f>
        <v>0</v>
      </c>
      <c r="BC210" s="243">
        <f>VLOOKUP($D210,'2018 Plan Data'!$A$4:$K$2000,7,FALSE)</f>
        <v>0</v>
      </c>
      <c r="BD210" s="243">
        <f>VLOOKUP($D210,'2018 Plan Data'!$A$4:$K$2000,8,FALSE)</f>
        <v>1</v>
      </c>
      <c r="BE210" s="243">
        <f>VLOOKUP($D210,'2018 Plan Data'!$A$4:$K$2000,9,FALSE)</f>
        <v>0</v>
      </c>
      <c r="BF210" s="243">
        <f t="shared" si="281"/>
        <v>0</v>
      </c>
      <c r="BG210" s="243">
        <f t="shared" si="282"/>
        <v>0</v>
      </c>
      <c r="BH210" s="243">
        <f t="shared" si="283"/>
        <v>11405691</v>
      </c>
      <c r="BI210" s="243">
        <f t="shared" si="284"/>
        <v>0</v>
      </c>
      <c r="BJ210" s="243">
        <f t="shared" si="285"/>
        <v>0</v>
      </c>
      <c r="BK210" s="243">
        <f t="shared" si="286"/>
        <v>0</v>
      </c>
      <c r="BL210" s="243">
        <f t="shared" si="287"/>
        <v>306816</v>
      </c>
      <c r="BM210" s="243">
        <f t="shared" si="288"/>
        <v>0</v>
      </c>
      <c r="BN210" s="243">
        <f t="shared" si="297"/>
        <v>0</v>
      </c>
      <c r="BO210" s="243">
        <f t="shared" si="275"/>
        <v>0</v>
      </c>
      <c r="BP210" s="243">
        <f t="shared" si="276"/>
        <v>10424801.574000001</v>
      </c>
      <c r="BQ210" s="243">
        <f t="shared" si="277"/>
        <v>0</v>
      </c>
      <c r="BR210" s="243">
        <f t="shared" si="316"/>
        <v>0</v>
      </c>
      <c r="BS210" s="243">
        <f t="shared" si="317"/>
        <v>0</v>
      </c>
      <c r="BT210" s="243">
        <f t="shared" si="318"/>
        <v>280429.82400000002</v>
      </c>
      <c r="BU210" s="243">
        <f t="shared" si="319"/>
        <v>0</v>
      </c>
      <c r="BV210" s="600"/>
      <c r="BW210" s="314">
        <f>VLOOKUP($D210,'2018 Plan Data'!$A$4:$T$2000,13,FALSE)</f>
        <v>0</v>
      </c>
      <c r="BX210" s="314">
        <f>VLOOKUP($D210,'2018 Plan Data'!$A$4:$T$2000,14,FALSE)</f>
        <v>0</v>
      </c>
      <c r="BY210" s="314">
        <f>VLOOKUP($D210,'2018 Plan Data'!$A$4:$T$2000,15,FALSE)</f>
        <v>10424801.574000001</v>
      </c>
      <c r="BZ210" s="314">
        <f>VLOOKUP($D210,'2018 Plan Data'!$A$4:$T$2000,16,FALSE)</f>
        <v>0</v>
      </c>
      <c r="CA210" s="314">
        <f>IF(VLOOKUP($D210,'2018 Plan Data'!$A$4:$T$2000,17,FALSE)&gt;0,VLOOKUP($D210,'2018 Plan Data'!$A$4:$T$2000,17,FALSE),0)</f>
        <v>0</v>
      </c>
      <c r="CB210" s="314">
        <f>IF(VLOOKUP($D210,'2018 Plan Data'!$A$4:$T$2000,18,FALSE)&gt;0,VLOOKUP($D210,'2018 Plan Data'!$A$4:$T$2000,18,FALSE),0)</f>
        <v>0</v>
      </c>
      <c r="CC210" s="314">
        <f>IF(VLOOKUP($D210,'2018 Plan Data'!$A$4:$T$2000,19,FALSE)&gt;0,VLOOKUP($D210,'2018 Plan Data'!$A$4:$T$2000,19,FALSE),0)</f>
        <v>280429.82400000002</v>
      </c>
      <c r="CD210" s="314">
        <f>IF(VLOOKUP($D210,'2018 Plan Data'!$A$4:$T$2000,20,FALSE)&gt;0,VLOOKUP($D210,'2018 Plan Data'!$A$4:$T$2000,20,FALSE),0)</f>
        <v>0</v>
      </c>
      <c r="CE210" s="600" t="b">
        <f t="shared" si="289"/>
        <v>1</v>
      </c>
      <c r="CF210" s="600" t="b">
        <f t="shared" si="290"/>
        <v>1</v>
      </c>
      <c r="CG210" s="600" t="b">
        <f t="shared" si="291"/>
        <v>1</v>
      </c>
      <c r="CH210" s="600" t="b">
        <f t="shared" si="292"/>
        <v>1</v>
      </c>
      <c r="CI210" s="600" t="b">
        <f t="shared" si="293"/>
        <v>1</v>
      </c>
      <c r="CJ210" s="600" t="b">
        <f t="shared" si="294"/>
        <v>1</v>
      </c>
      <c r="CK210" s="600" t="b">
        <f t="shared" si="295"/>
        <v>1</v>
      </c>
      <c r="CL210" s="600" t="b">
        <f t="shared" si="296"/>
        <v>1</v>
      </c>
    </row>
    <row r="211" spans="1:90" ht="15" customHeight="1" x14ac:dyDescent="0.35">
      <c r="A211" s="585">
        <f t="shared" si="298"/>
        <v>20</v>
      </c>
      <c r="B211" s="600" t="str">
        <f t="shared" si="280"/>
        <v>Business_Retro-commissioning</v>
      </c>
      <c r="C211" s="600"/>
      <c r="D211">
        <v>20</v>
      </c>
      <c r="E211" s="600" t="s">
        <v>1944</v>
      </c>
      <c r="F211" s="600" t="str">
        <f>VLOOKUP(G211,Sheet4!$D$6:$E$22,2,FALSE)</f>
        <v>Retro-commissioning</v>
      </c>
      <c r="G211" t="s">
        <v>212</v>
      </c>
      <c r="H211" s="296" t="s">
        <v>1089</v>
      </c>
      <c r="K211" s="72" t="str">
        <f>INDEX('Measure Codes'!$F$4:$F$821,MATCH(H211,'Measure Codes'!$D$4:$D$821,0))</f>
        <v>n/a</v>
      </c>
      <c r="L211" s="72" t="str">
        <f>INDEX('Measure Codes'!$G$4:$G$821,MATCH(H211,'Measure Codes'!$D$4:$D$821,0))</f>
        <v>n/a</v>
      </c>
      <c r="M211" s="600">
        <v>1</v>
      </c>
      <c r="O211" s="72" t="str">
        <f t="shared" si="299"/>
        <v>Dual Fuel</v>
      </c>
      <c r="P211" s="7">
        <f>VLOOKUP(D211,'2018 Plan Data'!$A$4:$K$1000,11,FALSE)</f>
        <v>5</v>
      </c>
      <c r="Q211" s="652">
        <f>VLOOKUP(D211,'2018 Plan Data'!$A$4:$L$1000,12,FALSE)</f>
        <v>0</v>
      </c>
      <c r="R211" s="314">
        <f>'BUS Measure-Model Summary'!AN205/AD211</f>
        <v>11217943</v>
      </c>
      <c r="T211" s="314">
        <v>978.77670000000001</v>
      </c>
      <c r="V211" s="314">
        <v>306816</v>
      </c>
      <c r="AD211" s="297">
        <f>'NTG -BUS'!$B$14</f>
        <v>0.91400000000000003</v>
      </c>
      <c r="AE211" s="297">
        <f t="shared" si="321"/>
        <v>0.91400000000000003</v>
      </c>
      <c r="AF211" s="297">
        <f t="shared" si="321"/>
        <v>0.91400000000000003</v>
      </c>
      <c r="AG211" s="297">
        <f t="shared" si="321"/>
        <v>0.91400000000000003</v>
      </c>
      <c r="AH211" s="314">
        <f t="shared" si="300"/>
        <v>10253199.902000001</v>
      </c>
      <c r="AI211" s="314">
        <f t="shared" si="301"/>
        <v>10253199.902000001</v>
      </c>
      <c r="AJ211" s="314">
        <f t="shared" si="302"/>
        <v>10253199.902000001</v>
      </c>
      <c r="AK211" s="314">
        <f t="shared" si="303"/>
        <v>10253199.902000001</v>
      </c>
      <c r="AL211" s="297">
        <f t="shared" si="304"/>
        <v>0.91400000000000003</v>
      </c>
      <c r="AM211" s="297">
        <f t="shared" si="305"/>
        <v>0.91400000000000003</v>
      </c>
      <c r="AN211" s="297">
        <f t="shared" si="306"/>
        <v>0.91400000000000003</v>
      </c>
      <c r="AO211" s="297">
        <f t="shared" si="307"/>
        <v>0.91400000000000003</v>
      </c>
      <c r="AP211" s="446">
        <f t="shared" si="308"/>
        <v>894.60190380000006</v>
      </c>
      <c r="AQ211" s="446">
        <f t="shared" si="309"/>
        <v>894.60190380000006</v>
      </c>
      <c r="AR211" s="446">
        <f t="shared" si="310"/>
        <v>894.60190380000006</v>
      </c>
      <c r="AS211" s="446">
        <f t="shared" si="311"/>
        <v>894.60190380000006</v>
      </c>
      <c r="AT211" s="297">
        <f t="shared" si="320"/>
        <v>0.91400000000000003</v>
      </c>
      <c r="AU211" s="297">
        <f t="shared" si="320"/>
        <v>0.91400000000000003</v>
      </c>
      <c r="AV211" s="297">
        <f t="shared" si="320"/>
        <v>0.91400000000000003</v>
      </c>
      <c r="AW211" s="297">
        <f t="shared" si="320"/>
        <v>0.91400000000000003</v>
      </c>
      <c r="AX211" s="243">
        <f t="shared" si="312"/>
        <v>280429.82400000002</v>
      </c>
      <c r="AY211" s="243">
        <f t="shared" si="313"/>
        <v>280429.82400000002</v>
      </c>
      <c r="AZ211" s="243">
        <f t="shared" si="314"/>
        <v>280429.82400000002</v>
      </c>
      <c r="BA211" s="243">
        <f t="shared" si="315"/>
        <v>280429.82400000002</v>
      </c>
      <c r="BB211" s="243">
        <f>VLOOKUP($D211,'2018 Plan Data'!$A$4:$K$2000,6,FALSE)</f>
        <v>0</v>
      </c>
      <c r="BC211" s="243">
        <f>VLOOKUP($D211,'2018 Plan Data'!$A$4:$K$2000,7,FALSE)</f>
        <v>0</v>
      </c>
      <c r="BD211" s="243">
        <f>VLOOKUP($D211,'2018 Plan Data'!$A$4:$K$2000,8,FALSE)</f>
        <v>0</v>
      </c>
      <c r="BE211" s="243">
        <f>VLOOKUP($D211,'2018 Plan Data'!$A$4:$K$2000,9,FALSE)</f>
        <v>1</v>
      </c>
      <c r="BF211" s="243">
        <f t="shared" si="281"/>
        <v>0</v>
      </c>
      <c r="BG211" s="243">
        <f t="shared" si="282"/>
        <v>0</v>
      </c>
      <c r="BH211" s="243">
        <f t="shared" si="283"/>
        <v>0</v>
      </c>
      <c r="BI211" s="243">
        <f t="shared" si="284"/>
        <v>11217943</v>
      </c>
      <c r="BJ211" s="243">
        <f t="shared" si="285"/>
        <v>0</v>
      </c>
      <c r="BK211" s="243">
        <f t="shared" si="286"/>
        <v>0</v>
      </c>
      <c r="BL211" s="243">
        <f t="shared" si="287"/>
        <v>0</v>
      </c>
      <c r="BM211" s="243">
        <f t="shared" si="288"/>
        <v>306816</v>
      </c>
      <c r="BN211" s="243">
        <f t="shared" si="297"/>
        <v>0</v>
      </c>
      <c r="BO211" s="243">
        <f t="shared" si="275"/>
        <v>0</v>
      </c>
      <c r="BP211" s="243">
        <f t="shared" si="276"/>
        <v>0</v>
      </c>
      <c r="BQ211" s="243">
        <f t="shared" si="277"/>
        <v>10253199.902000001</v>
      </c>
      <c r="BR211" s="243">
        <f t="shared" si="316"/>
        <v>0</v>
      </c>
      <c r="BS211" s="243">
        <f t="shared" si="317"/>
        <v>0</v>
      </c>
      <c r="BT211" s="243">
        <f t="shared" si="318"/>
        <v>0</v>
      </c>
      <c r="BU211" s="243">
        <f t="shared" si="319"/>
        <v>280429.82400000002</v>
      </c>
      <c r="BV211" s="600"/>
      <c r="BW211" s="314">
        <f>VLOOKUP($D211,'2018 Plan Data'!$A$4:$T$2000,13,FALSE)</f>
        <v>0</v>
      </c>
      <c r="BX211" s="314">
        <f>VLOOKUP($D211,'2018 Plan Data'!$A$4:$T$2000,14,FALSE)</f>
        <v>0</v>
      </c>
      <c r="BY211" s="314">
        <f>VLOOKUP($D211,'2018 Plan Data'!$A$4:$T$2000,15,FALSE)</f>
        <v>0</v>
      </c>
      <c r="BZ211" s="314">
        <f>VLOOKUP($D211,'2018 Plan Data'!$A$4:$T$2000,16,FALSE)</f>
        <v>10253199.902000001</v>
      </c>
      <c r="CA211" s="314">
        <f>IF(VLOOKUP($D211,'2018 Plan Data'!$A$4:$T$2000,17,FALSE)&gt;0,VLOOKUP($D211,'2018 Plan Data'!$A$4:$T$2000,17,FALSE),0)</f>
        <v>0</v>
      </c>
      <c r="CB211" s="314">
        <f>IF(VLOOKUP($D211,'2018 Plan Data'!$A$4:$T$2000,18,FALSE)&gt;0,VLOOKUP($D211,'2018 Plan Data'!$A$4:$T$2000,18,FALSE),0)</f>
        <v>0</v>
      </c>
      <c r="CC211" s="314">
        <f>IF(VLOOKUP($D211,'2018 Plan Data'!$A$4:$T$2000,19,FALSE)&gt;0,VLOOKUP($D211,'2018 Plan Data'!$A$4:$T$2000,19,FALSE),0)</f>
        <v>0</v>
      </c>
      <c r="CD211" s="314">
        <f>IF(VLOOKUP($D211,'2018 Plan Data'!$A$4:$T$2000,20,FALSE)&gt;0,VLOOKUP($D211,'2018 Plan Data'!$A$4:$T$2000,20,FALSE),0)</f>
        <v>280429.82400000002</v>
      </c>
      <c r="CE211" s="600" t="b">
        <f t="shared" si="289"/>
        <v>1</v>
      </c>
      <c r="CF211" s="600" t="b">
        <f t="shared" si="290"/>
        <v>1</v>
      </c>
      <c r="CG211" s="600" t="b">
        <f t="shared" si="291"/>
        <v>1</v>
      </c>
      <c r="CH211" s="600" t="b">
        <f t="shared" si="292"/>
        <v>1</v>
      </c>
      <c r="CI211" s="600" t="b">
        <f t="shared" si="293"/>
        <v>1</v>
      </c>
      <c r="CJ211" s="600" t="b">
        <f t="shared" si="294"/>
        <v>1</v>
      </c>
      <c r="CK211" s="600" t="b">
        <f t="shared" si="295"/>
        <v>1</v>
      </c>
      <c r="CL211" s="600" t="b">
        <f t="shared" si="296"/>
        <v>1</v>
      </c>
    </row>
    <row r="212" spans="1:90" ht="15" customHeight="1" x14ac:dyDescent="0.35">
      <c r="A212" s="585">
        <f t="shared" si="298"/>
        <v>26</v>
      </c>
      <c r="B212" s="600" t="str">
        <f t="shared" si="280"/>
        <v>Business_Retro-commissioning-Public</v>
      </c>
      <c r="C212" s="600"/>
      <c r="D212">
        <v>26</v>
      </c>
      <c r="E212" s="600" t="s">
        <v>1944</v>
      </c>
      <c r="F212" s="600" t="str">
        <f>VLOOKUP(G212,Sheet4!$D$6:$E$22,2,FALSE)</f>
        <v>Retro-commissioning</v>
      </c>
      <c r="G212" s="600" t="s">
        <v>1090</v>
      </c>
      <c r="H212" s="296" t="s">
        <v>1091</v>
      </c>
      <c r="K212" s="72" t="str">
        <f>INDEX('Measure Codes'!$F$4:$F$821,MATCH(H212,'Measure Codes'!$D$4:$D$821,0))</f>
        <v>n/a</v>
      </c>
      <c r="L212" s="72" t="str">
        <f>INDEX('Measure Codes'!$G$4:$G$821,MATCH(H212,'Measure Codes'!$D$4:$D$821,0))</f>
        <v>n/a</v>
      </c>
      <c r="M212" s="600">
        <v>1</v>
      </c>
      <c r="O212" s="72" t="str">
        <f t="shared" si="299"/>
        <v>Dual Fuel</v>
      </c>
      <c r="P212" s="7">
        <f>VLOOKUP(D212,'2018 Plan Data'!$A$4:$K$1000,11,FALSE)</f>
        <v>5</v>
      </c>
      <c r="Q212" s="652">
        <f>VLOOKUP(D212,'2018 Plan Data'!$A$4:$L$1000,12,FALSE)</f>
        <v>0</v>
      </c>
      <c r="R212" s="314">
        <f>'BUS Measure-Model Summary'!AK206/AD212</f>
        <v>563244</v>
      </c>
      <c r="T212" s="314">
        <v>49.143599999999999</v>
      </c>
      <c r="V212" s="314">
        <v>47940</v>
      </c>
      <c r="X212" s="600"/>
      <c r="Y212" s="600"/>
      <c r="Z212" s="600"/>
      <c r="AA212" s="600"/>
      <c r="AB212" s="600"/>
      <c r="AC212" s="600"/>
      <c r="AD212" s="297">
        <f>'NTG -BUS'!$B$14</f>
        <v>0.91400000000000003</v>
      </c>
      <c r="AE212" s="297">
        <f t="shared" si="321"/>
        <v>0.91400000000000003</v>
      </c>
      <c r="AF212" s="297">
        <f t="shared" si="321"/>
        <v>0.91400000000000003</v>
      </c>
      <c r="AG212" s="297">
        <f t="shared" si="321"/>
        <v>0.91400000000000003</v>
      </c>
      <c r="AH212" s="314">
        <f t="shared" si="300"/>
        <v>514805.016</v>
      </c>
      <c r="AI212" s="314">
        <f t="shared" si="301"/>
        <v>514805.016</v>
      </c>
      <c r="AJ212" s="314">
        <f t="shared" si="302"/>
        <v>514805.016</v>
      </c>
      <c r="AK212" s="314">
        <f t="shared" si="303"/>
        <v>514805.016</v>
      </c>
      <c r="AL212" s="297">
        <f t="shared" si="304"/>
        <v>0.91400000000000003</v>
      </c>
      <c r="AM212" s="297">
        <f t="shared" si="305"/>
        <v>0.91400000000000003</v>
      </c>
      <c r="AN212" s="297">
        <f t="shared" si="306"/>
        <v>0.91400000000000003</v>
      </c>
      <c r="AO212" s="297">
        <f t="shared" si="307"/>
        <v>0.91400000000000003</v>
      </c>
      <c r="AP212" s="446">
        <f t="shared" si="308"/>
        <v>44.9172504</v>
      </c>
      <c r="AQ212" s="446">
        <f t="shared" si="309"/>
        <v>44.9172504</v>
      </c>
      <c r="AR212" s="446">
        <f t="shared" si="310"/>
        <v>44.9172504</v>
      </c>
      <c r="AS212" s="446">
        <f t="shared" si="311"/>
        <v>44.9172504</v>
      </c>
      <c r="AT212" s="297">
        <f t="shared" si="320"/>
        <v>0.91400000000000003</v>
      </c>
      <c r="AU212" s="297">
        <f t="shared" si="320"/>
        <v>0.91400000000000003</v>
      </c>
      <c r="AV212" s="297">
        <f t="shared" si="320"/>
        <v>0.91400000000000003</v>
      </c>
      <c r="AW212" s="297">
        <f t="shared" si="320"/>
        <v>0.91400000000000003</v>
      </c>
      <c r="AX212" s="243">
        <f t="shared" si="312"/>
        <v>43817.16</v>
      </c>
      <c r="AY212" s="243">
        <f t="shared" si="313"/>
        <v>43817.16</v>
      </c>
      <c r="AZ212" s="243">
        <f t="shared" si="314"/>
        <v>43817.16</v>
      </c>
      <c r="BA212" s="243">
        <f t="shared" si="315"/>
        <v>43817.16</v>
      </c>
      <c r="BB212" s="243">
        <f>VLOOKUP($D212,'2018 Plan Data'!$A$4:$K$2000,6,FALSE)</f>
        <v>1</v>
      </c>
      <c r="BC212" s="243">
        <f>VLOOKUP($D212,'2018 Plan Data'!$A$4:$K$2000,7,FALSE)</f>
        <v>0</v>
      </c>
      <c r="BD212" s="243">
        <f>VLOOKUP($D212,'2018 Plan Data'!$A$4:$K$2000,8,FALSE)</f>
        <v>0</v>
      </c>
      <c r="BE212" s="243">
        <f>VLOOKUP($D212,'2018 Plan Data'!$A$4:$K$2000,9,FALSE)</f>
        <v>0</v>
      </c>
      <c r="BF212" s="243">
        <f t="shared" si="281"/>
        <v>563244</v>
      </c>
      <c r="BG212" s="243">
        <f t="shared" si="282"/>
        <v>0</v>
      </c>
      <c r="BH212" s="243">
        <f t="shared" si="283"/>
        <v>0</v>
      </c>
      <c r="BI212" s="243">
        <f t="shared" si="284"/>
        <v>0</v>
      </c>
      <c r="BJ212" s="243">
        <f t="shared" si="285"/>
        <v>47940</v>
      </c>
      <c r="BK212" s="243">
        <f t="shared" si="286"/>
        <v>0</v>
      </c>
      <c r="BL212" s="243">
        <f t="shared" si="287"/>
        <v>0</v>
      </c>
      <c r="BM212" s="243">
        <f t="shared" si="288"/>
        <v>0</v>
      </c>
      <c r="BN212" s="243">
        <f t="shared" si="297"/>
        <v>514805.016</v>
      </c>
      <c r="BO212" s="243">
        <f t="shared" si="275"/>
        <v>0</v>
      </c>
      <c r="BP212" s="243">
        <f t="shared" si="276"/>
        <v>0</v>
      </c>
      <c r="BQ212" s="243">
        <f t="shared" si="277"/>
        <v>0</v>
      </c>
      <c r="BR212" s="243">
        <f t="shared" si="316"/>
        <v>43817.16</v>
      </c>
      <c r="BS212" s="243">
        <f t="shared" si="317"/>
        <v>0</v>
      </c>
      <c r="BT212" s="243">
        <f t="shared" si="318"/>
        <v>0</v>
      </c>
      <c r="BU212" s="243">
        <f t="shared" si="319"/>
        <v>0</v>
      </c>
      <c r="BV212" s="600"/>
      <c r="BW212" s="314">
        <f>VLOOKUP($D212,'2018 Plan Data'!$A$4:$T$2000,13,FALSE)</f>
        <v>514805.016</v>
      </c>
      <c r="BX212" s="314">
        <f>VLOOKUP($D212,'2018 Plan Data'!$A$4:$T$2000,14,FALSE)</f>
        <v>0</v>
      </c>
      <c r="BY212" s="314">
        <f>VLOOKUP($D212,'2018 Plan Data'!$A$4:$T$2000,15,FALSE)</f>
        <v>0</v>
      </c>
      <c r="BZ212" s="314">
        <f>VLOOKUP($D212,'2018 Plan Data'!$A$4:$T$2000,16,FALSE)</f>
        <v>0</v>
      </c>
      <c r="CA212" s="314">
        <f>IF(VLOOKUP($D212,'2018 Plan Data'!$A$4:$T$2000,17,FALSE)&gt;0,VLOOKUP($D212,'2018 Plan Data'!$A$4:$T$2000,17,FALSE),0)</f>
        <v>43817.16</v>
      </c>
      <c r="CB212" s="314">
        <f>IF(VLOOKUP($D212,'2018 Plan Data'!$A$4:$T$2000,18,FALSE)&gt;0,VLOOKUP($D212,'2018 Plan Data'!$A$4:$T$2000,18,FALSE),0)</f>
        <v>0</v>
      </c>
      <c r="CC212" s="314">
        <f>IF(VLOOKUP($D212,'2018 Plan Data'!$A$4:$T$2000,19,FALSE)&gt;0,VLOOKUP($D212,'2018 Plan Data'!$A$4:$T$2000,19,FALSE),0)</f>
        <v>0</v>
      </c>
      <c r="CD212" s="314">
        <f>IF(VLOOKUP($D212,'2018 Plan Data'!$A$4:$T$2000,20,FALSE)&gt;0,VLOOKUP($D212,'2018 Plan Data'!$A$4:$T$2000,20,FALSE),0)</f>
        <v>0</v>
      </c>
      <c r="CE212" s="600" t="b">
        <f t="shared" si="289"/>
        <v>1</v>
      </c>
      <c r="CF212" s="600" t="b">
        <f t="shared" si="290"/>
        <v>1</v>
      </c>
      <c r="CG212" s="600" t="b">
        <f t="shared" si="291"/>
        <v>1</v>
      </c>
      <c r="CH212" s="600" t="b">
        <f t="shared" si="292"/>
        <v>1</v>
      </c>
      <c r="CI212" s="600" t="b">
        <f t="shared" si="293"/>
        <v>1</v>
      </c>
      <c r="CJ212" s="600" t="b">
        <f t="shared" si="294"/>
        <v>1</v>
      </c>
      <c r="CK212" s="600" t="b">
        <f t="shared" si="295"/>
        <v>1</v>
      </c>
      <c r="CL212" s="600" t="b">
        <f t="shared" si="296"/>
        <v>1</v>
      </c>
    </row>
    <row r="213" spans="1:90" ht="15" customHeight="1" x14ac:dyDescent="0.35">
      <c r="A213" s="585">
        <f t="shared" si="298"/>
        <v>27</v>
      </c>
      <c r="B213" s="600" t="str">
        <f t="shared" si="280"/>
        <v>Business_Retro-commissioning-Public</v>
      </c>
      <c r="C213" s="600"/>
      <c r="D213" s="600">
        <v>27</v>
      </c>
      <c r="E213" s="600" t="s">
        <v>1944</v>
      </c>
      <c r="F213" s="600" t="str">
        <f>VLOOKUP(G213,Sheet4!$D$6:$E$22,2,FALSE)</f>
        <v>Retro-commissioning</v>
      </c>
      <c r="G213" s="600" t="s">
        <v>1090</v>
      </c>
      <c r="H213" s="296" t="s">
        <v>1092</v>
      </c>
      <c r="K213" s="72" t="str">
        <f>INDEX('Measure Codes'!$F$4:$F$821,MATCH(H213,'Measure Codes'!$D$4:$D$821,0))</f>
        <v>n/a</v>
      </c>
      <c r="L213" s="72" t="str">
        <f>INDEX('Measure Codes'!$G$4:$G$821,MATCH(H213,'Measure Codes'!$D$4:$D$821,0))</f>
        <v>n/a</v>
      </c>
      <c r="M213" s="600">
        <v>1</v>
      </c>
      <c r="O213" s="72" t="str">
        <f t="shared" si="299"/>
        <v>Dual Fuel</v>
      </c>
      <c r="P213" s="7">
        <f>VLOOKUP(D213,'2018 Plan Data'!$A$4:$K$1000,11,FALSE)</f>
        <v>5</v>
      </c>
      <c r="Q213" s="652">
        <f>VLOOKUP(D213,'2018 Plan Data'!$A$4:$L$1000,12,FALSE)</f>
        <v>0</v>
      </c>
      <c r="R213" s="314">
        <f>R212</f>
        <v>563244</v>
      </c>
      <c r="T213" s="314">
        <f>T212</f>
        <v>49.143599999999999</v>
      </c>
      <c r="V213" s="314">
        <f>V212</f>
        <v>47940</v>
      </c>
      <c r="X213" s="600"/>
      <c r="Y213" s="600"/>
      <c r="Z213" s="600"/>
      <c r="AA213" s="600"/>
      <c r="AB213" s="600"/>
      <c r="AC213" s="600"/>
      <c r="AD213" s="297">
        <f>'NTG -BUS'!$B$14</f>
        <v>0.91400000000000003</v>
      </c>
      <c r="AE213" s="297">
        <f t="shared" si="321"/>
        <v>0.91400000000000003</v>
      </c>
      <c r="AF213" s="297">
        <f t="shared" si="321"/>
        <v>0.91400000000000003</v>
      </c>
      <c r="AG213" s="297">
        <f t="shared" si="321"/>
        <v>0.91400000000000003</v>
      </c>
      <c r="AH213" s="314">
        <f t="shared" si="300"/>
        <v>514805.016</v>
      </c>
      <c r="AI213" s="314">
        <f t="shared" si="301"/>
        <v>514805.016</v>
      </c>
      <c r="AJ213" s="314">
        <f t="shared" si="302"/>
        <v>514805.016</v>
      </c>
      <c r="AK213" s="314">
        <f t="shared" si="303"/>
        <v>514805.016</v>
      </c>
      <c r="AL213" s="297">
        <f t="shared" si="304"/>
        <v>0.91400000000000003</v>
      </c>
      <c r="AM213" s="297">
        <f t="shared" si="305"/>
        <v>0.91400000000000003</v>
      </c>
      <c r="AN213" s="297">
        <f t="shared" si="306"/>
        <v>0.91400000000000003</v>
      </c>
      <c r="AO213" s="297">
        <f t="shared" si="307"/>
        <v>0.91400000000000003</v>
      </c>
      <c r="AP213" s="446">
        <f t="shared" si="308"/>
        <v>44.9172504</v>
      </c>
      <c r="AQ213" s="446">
        <f t="shared" si="309"/>
        <v>44.9172504</v>
      </c>
      <c r="AR213" s="446">
        <f t="shared" si="310"/>
        <v>44.9172504</v>
      </c>
      <c r="AS213" s="446">
        <f t="shared" si="311"/>
        <v>44.9172504</v>
      </c>
      <c r="AT213" s="297">
        <f t="shared" si="320"/>
        <v>0.91400000000000003</v>
      </c>
      <c r="AU213" s="297">
        <f t="shared" si="320"/>
        <v>0.91400000000000003</v>
      </c>
      <c r="AV213" s="297">
        <f t="shared" si="320"/>
        <v>0.91400000000000003</v>
      </c>
      <c r="AW213" s="297">
        <f t="shared" si="320"/>
        <v>0.91400000000000003</v>
      </c>
      <c r="AX213" s="243">
        <f t="shared" si="312"/>
        <v>43817.16</v>
      </c>
      <c r="AY213" s="243">
        <f t="shared" si="313"/>
        <v>43817.16</v>
      </c>
      <c r="AZ213" s="243">
        <f t="shared" si="314"/>
        <v>43817.16</v>
      </c>
      <c r="BA213" s="243">
        <f t="shared" si="315"/>
        <v>43817.16</v>
      </c>
      <c r="BB213" s="243">
        <f>VLOOKUP($D213,'2018 Plan Data'!$A$4:$K$2000,6,FALSE)</f>
        <v>0</v>
      </c>
      <c r="BC213" s="243">
        <f>VLOOKUP($D213,'2018 Plan Data'!$A$4:$K$2000,7,FALSE)</f>
        <v>1</v>
      </c>
      <c r="BD213" s="243">
        <f>VLOOKUP($D213,'2018 Plan Data'!$A$4:$K$2000,8,FALSE)</f>
        <v>0</v>
      </c>
      <c r="BE213" s="243">
        <f>VLOOKUP($D213,'2018 Plan Data'!$A$4:$K$2000,9,FALSE)</f>
        <v>0</v>
      </c>
      <c r="BF213" s="243">
        <f t="shared" si="281"/>
        <v>0</v>
      </c>
      <c r="BG213" s="243">
        <f t="shared" si="282"/>
        <v>563244</v>
      </c>
      <c r="BH213" s="243">
        <f t="shared" si="283"/>
        <v>0</v>
      </c>
      <c r="BI213" s="243">
        <f t="shared" si="284"/>
        <v>0</v>
      </c>
      <c r="BJ213" s="243">
        <f t="shared" si="285"/>
        <v>0</v>
      </c>
      <c r="BK213" s="243">
        <f t="shared" si="286"/>
        <v>47940</v>
      </c>
      <c r="BL213" s="243">
        <f t="shared" si="287"/>
        <v>0</v>
      </c>
      <c r="BM213" s="243">
        <f t="shared" si="288"/>
        <v>0</v>
      </c>
      <c r="BN213" s="243">
        <f t="shared" si="297"/>
        <v>0</v>
      </c>
      <c r="BO213" s="243">
        <f t="shared" si="275"/>
        <v>514805.016</v>
      </c>
      <c r="BP213" s="243">
        <f t="shared" si="276"/>
        <v>0</v>
      </c>
      <c r="BQ213" s="243">
        <f t="shared" si="277"/>
        <v>0</v>
      </c>
      <c r="BR213" s="243">
        <f t="shared" si="316"/>
        <v>0</v>
      </c>
      <c r="BS213" s="243">
        <f t="shared" si="317"/>
        <v>43817.16</v>
      </c>
      <c r="BT213" s="243">
        <f t="shared" si="318"/>
        <v>0</v>
      </c>
      <c r="BU213" s="243">
        <f t="shared" si="319"/>
        <v>0</v>
      </c>
      <c r="BV213" s="600"/>
      <c r="BW213" s="314">
        <f>VLOOKUP($D213,'2018 Plan Data'!$A$4:$T$2000,13,FALSE)</f>
        <v>0</v>
      </c>
      <c r="BX213" s="314">
        <f>VLOOKUP($D213,'2018 Plan Data'!$A$4:$T$2000,14,FALSE)</f>
        <v>514805.016</v>
      </c>
      <c r="BY213" s="314">
        <f>VLOOKUP($D213,'2018 Plan Data'!$A$4:$T$2000,15,FALSE)</f>
        <v>0</v>
      </c>
      <c r="BZ213" s="314">
        <f>VLOOKUP($D213,'2018 Plan Data'!$A$4:$T$2000,16,FALSE)</f>
        <v>0</v>
      </c>
      <c r="CA213" s="314">
        <f>IF(VLOOKUP($D213,'2018 Plan Data'!$A$4:$T$2000,17,FALSE)&gt;0,VLOOKUP($D213,'2018 Plan Data'!$A$4:$T$2000,17,FALSE),0)</f>
        <v>0</v>
      </c>
      <c r="CB213" s="314">
        <f>IF(VLOOKUP($D213,'2018 Plan Data'!$A$4:$T$2000,18,FALSE)&gt;0,VLOOKUP($D213,'2018 Plan Data'!$A$4:$T$2000,18,FALSE),0)</f>
        <v>43817.16</v>
      </c>
      <c r="CC213" s="314">
        <f>IF(VLOOKUP($D213,'2018 Plan Data'!$A$4:$T$2000,19,FALSE)&gt;0,VLOOKUP($D213,'2018 Plan Data'!$A$4:$T$2000,19,FALSE),0)</f>
        <v>0</v>
      </c>
      <c r="CD213" s="314">
        <f>IF(VLOOKUP($D213,'2018 Plan Data'!$A$4:$T$2000,20,FALSE)&gt;0,VLOOKUP($D213,'2018 Plan Data'!$A$4:$T$2000,20,FALSE),0)</f>
        <v>0</v>
      </c>
      <c r="CE213" s="600" t="b">
        <f t="shared" si="289"/>
        <v>1</v>
      </c>
      <c r="CF213" s="600" t="b">
        <f t="shared" si="290"/>
        <v>1</v>
      </c>
      <c r="CG213" s="600" t="b">
        <f t="shared" si="291"/>
        <v>1</v>
      </c>
      <c r="CH213" s="600" t="b">
        <f t="shared" si="292"/>
        <v>1</v>
      </c>
      <c r="CI213" s="600" t="b">
        <f t="shared" si="293"/>
        <v>1</v>
      </c>
      <c r="CJ213" s="600" t="b">
        <f t="shared" si="294"/>
        <v>1</v>
      </c>
      <c r="CK213" s="600" t="b">
        <f t="shared" si="295"/>
        <v>1</v>
      </c>
      <c r="CL213" s="600" t="b">
        <f t="shared" si="296"/>
        <v>1</v>
      </c>
    </row>
    <row r="214" spans="1:90" ht="15" customHeight="1" x14ac:dyDescent="0.35">
      <c r="A214" s="585">
        <f t="shared" si="298"/>
        <v>28</v>
      </c>
      <c r="B214" s="600" t="str">
        <f t="shared" si="280"/>
        <v>Business_Retro-commissioning-Public</v>
      </c>
      <c r="C214" s="600"/>
      <c r="D214" s="600">
        <v>28</v>
      </c>
      <c r="E214" s="600" t="s">
        <v>1944</v>
      </c>
      <c r="F214" s="600" t="str">
        <f>VLOOKUP(G214,Sheet4!$D$6:$E$22,2,FALSE)</f>
        <v>Retro-commissioning</v>
      </c>
      <c r="G214" s="600" t="s">
        <v>1090</v>
      </c>
      <c r="H214" s="296" t="s">
        <v>1093</v>
      </c>
      <c r="K214" s="72" t="str">
        <f>INDEX('Measure Codes'!$F$4:$F$821,MATCH(H214,'Measure Codes'!$D$4:$D$821,0))</f>
        <v>n/a</v>
      </c>
      <c r="L214" s="72" t="str">
        <f>INDEX('Measure Codes'!$G$4:$G$821,MATCH(H214,'Measure Codes'!$D$4:$D$821,0))</f>
        <v>n/a</v>
      </c>
      <c r="M214" s="600">
        <v>1</v>
      </c>
      <c r="O214" s="72" t="str">
        <f t="shared" si="299"/>
        <v>Dual Fuel</v>
      </c>
      <c r="P214" s="7">
        <f>VLOOKUP(D214,'2018 Plan Data'!$A$4:$K$1000,11,FALSE)</f>
        <v>5</v>
      </c>
      <c r="Q214" s="652">
        <f>VLOOKUP(D214,'2018 Plan Data'!$A$4:$L$1000,12,FALSE)</f>
        <v>0</v>
      </c>
      <c r="R214" s="314">
        <f>R213</f>
        <v>563244</v>
      </c>
      <c r="T214" s="314">
        <f>T213</f>
        <v>49.143599999999999</v>
      </c>
      <c r="V214" s="314">
        <f>V213</f>
        <v>47940</v>
      </c>
      <c r="X214" s="600"/>
      <c r="Y214" s="600"/>
      <c r="Z214" s="600"/>
      <c r="AA214" s="600"/>
      <c r="AB214" s="600"/>
      <c r="AC214" s="600"/>
      <c r="AD214" s="297">
        <f>'NTG -BUS'!$B$14</f>
        <v>0.91400000000000003</v>
      </c>
      <c r="AE214" s="297">
        <f t="shared" si="321"/>
        <v>0.91400000000000003</v>
      </c>
      <c r="AF214" s="297">
        <f t="shared" si="321"/>
        <v>0.91400000000000003</v>
      </c>
      <c r="AG214" s="297">
        <f t="shared" si="321"/>
        <v>0.91400000000000003</v>
      </c>
      <c r="AH214" s="314">
        <f t="shared" si="300"/>
        <v>514805.016</v>
      </c>
      <c r="AI214" s="314">
        <f t="shared" si="301"/>
        <v>514805.016</v>
      </c>
      <c r="AJ214" s="314">
        <f t="shared" si="302"/>
        <v>514805.016</v>
      </c>
      <c r="AK214" s="314">
        <f t="shared" si="303"/>
        <v>514805.016</v>
      </c>
      <c r="AL214" s="297">
        <f t="shared" si="304"/>
        <v>0.91400000000000003</v>
      </c>
      <c r="AM214" s="297">
        <f t="shared" si="305"/>
        <v>0.91400000000000003</v>
      </c>
      <c r="AN214" s="297">
        <f t="shared" si="306"/>
        <v>0.91400000000000003</v>
      </c>
      <c r="AO214" s="297">
        <f t="shared" si="307"/>
        <v>0.91400000000000003</v>
      </c>
      <c r="AP214" s="446">
        <f t="shared" si="308"/>
        <v>44.9172504</v>
      </c>
      <c r="AQ214" s="446">
        <f t="shared" si="309"/>
        <v>44.9172504</v>
      </c>
      <c r="AR214" s="446">
        <f t="shared" si="310"/>
        <v>44.9172504</v>
      </c>
      <c r="AS214" s="446">
        <f t="shared" si="311"/>
        <v>44.9172504</v>
      </c>
      <c r="AT214" s="297">
        <f t="shared" si="320"/>
        <v>0.91400000000000003</v>
      </c>
      <c r="AU214" s="297">
        <f t="shared" si="320"/>
        <v>0.91400000000000003</v>
      </c>
      <c r="AV214" s="297">
        <f t="shared" si="320"/>
        <v>0.91400000000000003</v>
      </c>
      <c r="AW214" s="297">
        <f t="shared" si="320"/>
        <v>0.91400000000000003</v>
      </c>
      <c r="AX214" s="243">
        <f t="shared" si="312"/>
        <v>43817.16</v>
      </c>
      <c r="AY214" s="243">
        <f t="shared" si="313"/>
        <v>43817.16</v>
      </c>
      <c r="AZ214" s="243">
        <f t="shared" si="314"/>
        <v>43817.16</v>
      </c>
      <c r="BA214" s="243">
        <f t="shared" si="315"/>
        <v>43817.16</v>
      </c>
      <c r="BB214" s="243">
        <f>VLOOKUP($D214,'2018 Plan Data'!$A$4:$K$2000,6,FALSE)</f>
        <v>0</v>
      </c>
      <c r="BC214" s="243">
        <f>VLOOKUP($D214,'2018 Plan Data'!$A$4:$K$2000,7,FALSE)</f>
        <v>0</v>
      </c>
      <c r="BD214" s="243">
        <f>VLOOKUP($D214,'2018 Plan Data'!$A$4:$K$2000,8,FALSE)</f>
        <v>1</v>
      </c>
      <c r="BE214" s="243">
        <f>VLOOKUP($D214,'2018 Plan Data'!$A$4:$K$2000,9,FALSE)</f>
        <v>0</v>
      </c>
      <c r="BF214" s="243">
        <f t="shared" si="281"/>
        <v>0</v>
      </c>
      <c r="BG214" s="243">
        <f t="shared" si="282"/>
        <v>0</v>
      </c>
      <c r="BH214" s="243">
        <f t="shared" si="283"/>
        <v>563244</v>
      </c>
      <c r="BI214" s="243">
        <f t="shared" si="284"/>
        <v>0</v>
      </c>
      <c r="BJ214" s="243">
        <f t="shared" si="285"/>
        <v>0</v>
      </c>
      <c r="BK214" s="243">
        <f t="shared" si="286"/>
        <v>0</v>
      </c>
      <c r="BL214" s="243">
        <f t="shared" si="287"/>
        <v>47940</v>
      </c>
      <c r="BM214" s="243">
        <f t="shared" si="288"/>
        <v>0</v>
      </c>
      <c r="BN214" s="243">
        <f t="shared" si="297"/>
        <v>0</v>
      </c>
      <c r="BO214" s="243">
        <f t="shared" si="275"/>
        <v>0</v>
      </c>
      <c r="BP214" s="243">
        <f t="shared" si="276"/>
        <v>514805.016</v>
      </c>
      <c r="BQ214" s="243">
        <f t="shared" si="277"/>
        <v>0</v>
      </c>
      <c r="BR214" s="243">
        <f t="shared" si="316"/>
        <v>0</v>
      </c>
      <c r="BS214" s="243">
        <f t="shared" si="317"/>
        <v>0</v>
      </c>
      <c r="BT214" s="243">
        <f t="shared" si="318"/>
        <v>43817.16</v>
      </c>
      <c r="BU214" s="243">
        <f t="shared" si="319"/>
        <v>0</v>
      </c>
      <c r="BV214" s="600"/>
      <c r="BW214" s="314">
        <f>VLOOKUP($D214,'2018 Plan Data'!$A$4:$T$2000,13,FALSE)</f>
        <v>0</v>
      </c>
      <c r="BX214" s="314">
        <f>VLOOKUP($D214,'2018 Plan Data'!$A$4:$T$2000,14,FALSE)</f>
        <v>0</v>
      </c>
      <c r="BY214" s="314">
        <f>VLOOKUP($D214,'2018 Plan Data'!$A$4:$T$2000,15,FALSE)</f>
        <v>514805.01599999989</v>
      </c>
      <c r="BZ214" s="314">
        <f>VLOOKUP($D214,'2018 Plan Data'!$A$4:$T$2000,16,FALSE)</f>
        <v>0</v>
      </c>
      <c r="CA214" s="314">
        <f>IF(VLOOKUP($D214,'2018 Plan Data'!$A$4:$T$2000,17,FALSE)&gt;0,VLOOKUP($D214,'2018 Plan Data'!$A$4:$T$2000,17,FALSE),0)</f>
        <v>0</v>
      </c>
      <c r="CB214" s="314">
        <f>IF(VLOOKUP($D214,'2018 Plan Data'!$A$4:$T$2000,18,FALSE)&gt;0,VLOOKUP($D214,'2018 Plan Data'!$A$4:$T$2000,18,FALSE),0)</f>
        <v>0</v>
      </c>
      <c r="CC214" s="314">
        <f>IF(VLOOKUP($D214,'2018 Plan Data'!$A$4:$T$2000,19,FALSE)&gt;0,VLOOKUP($D214,'2018 Plan Data'!$A$4:$T$2000,19,FALSE),0)</f>
        <v>43817.16</v>
      </c>
      <c r="CD214" s="314">
        <f>IF(VLOOKUP($D214,'2018 Plan Data'!$A$4:$T$2000,20,FALSE)&gt;0,VLOOKUP($D214,'2018 Plan Data'!$A$4:$T$2000,20,FALSE),0)</f>
        <v>0</v>
      </c>
      <c r="CE214" s="600" t="b">
        <f t="shared" si="289"/>
        <v>1</v>
      </c>
      <c r="CF214" s="600" t="b">
        <f t="shared" si="290"/>
        <v>1</v>
      </c>
      <c r="CG214" s="600" t="b">
        <f t="shared" si="291"/>
        <v>1</v>
      </c>
      <c r="CH214" s="600" t="b">
        <f t="shared" si="292"/>
        <v>1</v>
      </c>
      <c r="CI214" s="600" t="b">
        <f t="shared" si="293"/>
        <v>1</v>
      </c>
      <c r="CJ214" s="600" t="b">
        <f t="shared" si="294"/>
        <v>1</v>
      </c>
      <c r="CK214" s="600" t="b">
        <f t="shared" si="295"/>
        <v>1</v>
      </c>
      <c r="CL214" s="600" t="b">
        <f t="shared" si="296"/>
        <v>1</v>
      </c>
    </row>
    <row r="215" spans="1:90" ht="15" customHeight="1" x14ac:dyDescent="0.35">
      <c r="A215" s="585">
        <f t="shared" si="298"/>
        <v>29</v>
      </c>
      <c r="B215" s="600" t="str">
        <f t="shared" si="280"/>
        <v>Business_Retro-commissioning-Public</v>
      </c>
      <c r="C215" s="600"/>
      <c r="D215" s="600">
        <v>29</v>
      </c>
      <c r="E215" s="600" t="s">
        <v>1944</v>
      </c>
      <c r="F215" s="600" t="str">
        <f>VLOOKUP(G215,Sheet4!$D$6:$E$22,2,FALSE)</f>
        <v>Retro-commissioning</v>
      </c>
      <c r="G215" s="600" t="s">
        <v>1090</v>
      </c>
      <c r="H215" s="296" t="s">
        <v>1094</v>
      </c>
      <c r="K215" s="72" t="str">
        <f>INDEX('Measure Codes'!$F$4:$F$821,MATCH(H215,'Measure Codes'!$D$4:$D$821,0))</f>
        <v>n/a</v>
      </c>
      <c r="L215" s="72" t="str">
        <f>INDEX('Measure Codes'!$G$4:$G$821,MATCH(H215,'Measure Codes'!$D$4:$D$821,0))</f>
        <v>n/a</v>
      </c>
      <c r="M215" s="600">
        <v>1</v>
      </c>
      <c r="N215" s="600"/>
      <c r="O215" s="72" t="str">
        <f t="shared" si="299"/>
        <v>Dual Fuel</v>
      </c>
      <c r="P215" s="7">
        <f>VLOOKUP(D215,'2018 Plan Data'!$A$4:$K$1000,11,FALSE)</f>
        <v>5</v>
      </c>
      <c r="Q215" s="652">
        <f>VLOOKUP(D215,'2018 Plan Data'!$A$4:$L$1000,12,FALSE)</f>
        <v>0</v>
      </c>
      <c r="R215" s="314">
        <f>R214</f>
        <v>563244</v>
      </c>
      <c r="T215" s="314">
        <f>T214</f>
        <v>49.143599999999999</v>
      </c>
      <c r="V215" s="314">
        <f>V214</f>
        <v>47940</v>
      </c>
      <c r="X215" s="600"/>
      <c r="Y215" s="600"/>
      <c r="Z215" s="600"/>
      <c r="AA215" s="600"/>
      <c r="AB215" s="600"/>
      <c r="AC215" s="600"/>
      <c r="AD215" s="297">
        <f>'NTG -BUS'!$B$14</f>
        <v>0.91400000000000003</v>
      </c>
      <c r="AE215" s="297">
        <f t="shared" si="321"/>
        <v>0.91400000000000003</v>
      </c>
      <c r="AF215" s="297">
        <f t="shared" si="321"/>
        <v>0.91400000000000003</v>
      </c>
      <c r="AG215" s="297">
        <f t="shared" si="321"/>
        <v>0.91400000000000003</v>
      </c>
      <c r="AH215" s="314">
        <f t="shared" si="300"/>
        <v>514805.016</v>
      </c>
      <c r="AI215" s="314">
        <f t="shared" si="301"/>
        <v>514805.016</v>
      </c>
      <c r="AJ215" s="314">
        <f t="shared" si="302"/>
        <v>514805.016</v>
      </c>
      <c r="AK215" s="314">
        <f t="shared" si="303"/>
        <v>514805.016</v>
      </c>
      <c r="AL215" s="297">
        <f t="shared" si="304"/>
        <v>0.91400000000000003</v>
      </c>
      <c r="AM215" s="297">
        <f t="shared" si="305"/>
        <v>0.91400000000000003</v>
      </c>
      <c r="AN215" s="297">
        <f t="shared" si="306"/>
        <v>0.91400000000000003</v>
      </c>
      <c r="AO215" s="297">
        <f t="shared" si="307"/>
        <v>0.91400000000000003</v>
      </c>
      <c r="AP215" s="446">
        <f t="shared" si="308"/>
        <v>44.9172504</v>
      </c>
      <c r="AQ215" s="446">
        <f t="shared" si="309"/>
        <v>44.9172504</v>
      </c>
      <c r="AR215" s="446">
        <f t="shared" si="310"/>
        <v>44.9172504</v>
      </c>
      <c r="AS215" s="446">
        <f t="shared" si="311"/>
        <v>44.9172504</v>
      </c>
      <c r="AT215" s="297">
        <f t="shared" si="320"/>
        <v>0.91400000000000003</v>
      </c>
      <c r="AU215" s="297">
        <f t="shared" si="320"/>
        <v>0.91400000000000003</v>
      </c>
      <c r="AV215" s="297">
        <f t="shared" si="320"/>
        <v>0.91400000000000003</v>
      </c>
      <c r="AW215" s="297">
        <f t="shared" si="320"/>
        <v>0.91400000000000003</v>
      </c>
      <c r="AX215" s="243">
        <f t="shared" si="312"/>
        <v>43817.16</v>
      </c>
      <c r="AY215" s="243">
        <f t="shared" si="313"/>
        <v>43817.16</v>
      </c>
      <c r="AZ215" s="243">
        <f t="shared" si="314"/>
        <v>43817.16</v>
      </c>
      <c r="BA215" s="243">
        <f t="shared" si="315"/>
        <v>43817.16</v>
      </c>
      <c r="BB215" s="243">
        <f>VLOOKUP($D215,'2018 Plan Data'!$A$4:$K$2000,6,FALSE)</f>
        <v>0</v>
      </c>
      <c r="BC215" s="243">
        <f>VLOOKUP($D215,'2018 Plan Data'!$A$4:$K$2000,7,FALSE)</f>
        <v>0</v>
      </c>
      <c r="BD215" s="243">
        <f>VLOOKUP($D215,'2018 Plan Data'!$A$4:$K$2000,8,FALSE)</f>
        <v>0</v>
      </c>
      <c r="BE215" s="243">
        <f>VLOOKUP($D215,'2018 Plan Data'!$A$4:$K$2000,9,FALSE)</f>
        <v>1</v>
      </c>
      <c r="BF215" s="243">
        <f t="shared" si="281"/>
        <v>0</v>
      </c>
      <c r="BG215" s="243">
        <f t="shared" si="282"/>
        <v>0</v>
      </c>
      <c r="BH215" s="243">
        <f t="shared" si="283"/>
        <v>0</v>
      </c>
      <c r="BI215" s="243">
        <f t="shared" si="284"/>
        <v>563244</v>
      </c>
      <c r="BJ215" s="243">
        <f t="shared" si="285"/>
        <v>0</v>
      </c>
      <c r="BK215" s="243">
        <f t="shared" si="286"/>
        <v>0</v>
      </c>
      <c r="BL215" s="243">
        <f t="shared" si="287"/>
        <v>0</v>
      </c>
      <c r="BM215" s="243">
        <f t="shared" si="288"/>
        <v>47940</v>
      </c>
      <c r="BN215" s="243">
        <f t="shared" si="297"/>
        <v>0</v>
      </c>
      <c r="BO215" s="243">
        <f t="shared" si="275"/>
        <v>0</v>
      </c>
      <c r="BP215" s="243">
        <f t="shared" si="276"/>
        <v>0</v>
      </c>
      <c r="BQ215" s="243">
        <f t="shared" si="277"/>
        <v>514805.016</v>
      </c>
      <c r="BR215" s="243">
        <f t="shared" si="316"/>
        <v>0</v>
      </c>
      <c r="BS215" s="243">
        <f t="shared" si="317"/>
        <v>0</v>
      </c>
      <c r="BT215" s="243">
        <f t="shared" si="318"/>
        <v>0</v>
      </c>
      <c r="BU215" s="243">
        <f t="shared" si="319"/>
        <v>43817.16</v>
      </c>
      <c r="BV215" s="600"/>
      <c r="BW215" s="314">
        <f>VLOOKUP($D215,'2018 Plan Data'!$A$4:$T$2000,13,FALSE)</f>
        <v>0</v>
      </c>
      <c r="BX215" s="314">
        <f>VLOOKUP($D215,'2018 Plan Data'!$A$4:$T$2000,14,FALSE)</f>
        <v>0</v>
      </c>
      <c r="BY215" s="314">
        <f>VLOOKUP($D215,'2018 Plan Data'!$A$4:$T$2000,15,FALSE)</f>
        <v>0</v>
      </c>
      <c r="BZ215" s="314">
        <f>VLOOKUP($D215,'2018 Plan Data'!$A$4:$T$2000,16,FALSE)</f>
        <v>514805.016</v>
      </c>
      <c r="CA215" s="314">
        <f>IF(VLOOKUP($D215,'2018 Plan Data'!$A$4:$T$2000,17,FALSE)&gt;0,VLOOKUP($D215,'2018 Plan Data'!$A$4:$T$2000,17,FALSE),0)</f>
        <v>0</v>
      </c>
      <c r="CB215" s="314">
        <f>IF(VLOOKUP($D215,'2018 Plan Data'!$A$4:$T$2000,18,FALSE)&gt;0,VLOOKUP($D215,'2018 Plan Data'!$A$4:$T$2000,18,FALSE),0)</f>
        <v>0</v>
      </c>
      <c r="CC215" s="314">
        <f>IF(VLOOKUP($D215,'2018 Plan Data'!$A$4:$T$2000,19,FALSE)&gt;0,VLOOKUP($D215,'2018 Plan Data'!$A$4:$T$2000,19,FALSE),0)</f>
        <v>0</v>
      </c>
      <c r="CD215" s="314">
        <f>IF(VLOOKUP($D215,'2018 Plan Data'!$A$4:$T$2000,20,FALSE)&gt;0,VLOOKUP($D215,'2018 Plan Data'!$A$4:$T$2000,20,FALSE),0)</f>
        <v>43817.16</v>
      </c>
      <c r="CE215" s="600" t="b">
        <f t="shared" si="289"/>
        <v>1</v>
      </c>
      <c r="CF215" s="600" t="b">
        <f t="shared" si="290"/>
        <v>1</v>
      </c>
      <c r="CG215" s="600" t="b">
        <f t="shared" si="291"/>
        <v>1</v>
      </c>
      <c r="CH215" s="600" t="b">
        <f t="shared" si="292"/>
        <v>1</v>
      </c>
      <c r="CI215" s="600" t="b">
        <f t="shared" si="293"/>
        <v>1</v>
      </c>
      <c r="CJ215" s="600" t="b">
        <f t="shared" si="294"/>
        <v>1</v>
      </c>
      <c r="CK215" s="600" t="b">
        <f t="shared" si="295"/>
        <v>1</v>
      </c>
      <c r="CL215" s="600" t="b">
        <f t="shared" si="296"/>
        <v>1</v>
      </c>
    </row>
    <row r="217" spans="1:90" x14ac:dyDescent="0.35">
      <c r="BN217" s="243"/>
      <c r="BO217" s="243"/>
      <c r="BP217" s="243"/>
      <c r="BQ217" s="243"/>
      <c r="BW217" s="243"/>
      <c r="BX217" s="243"/>
      <c r="BY217" s="243"/>
      <c r="BZ217" s="243"/>
    </row>
    <row r="218" spans="1:90" x14ac:dyDescent="0.35">
      <c r="BB218" s="446">
        <f>SUM(BB5:BB215)</f>
        <v>367425.82976515993</v>
      </c>
      <c r="BC218" s="446">
        <f>SUM(BC5:BC215)</f>
        <v>362322.86670179141</v>
      </c>
      <c r="BD218" s="446">
        <f>SUM(BD5:BD215)</f>
        <v>419740.80174413981</v>
      </c>
      <c r="BE218" s="446">
        <f>SUM(BE5:BE215)</f>
        <v>414187.83173987205</v>
      </c>
    </row>
    <row r="220" spans="1:90" x14ac:dyDescent="0.35">
      <c r="W220" s="314" t="s">
        <v>396</v>
      </c>
    </row>
    <row r="221" spans="1:90" x14ac:dyDescent="0.35">
      <c r="BR221" s="446"/>
    </row>
  </sheetData>
  <autoFilter ref="A4:CL215" xr:uid="{B0593873-B597-4DE2-9304-5CA7026AA9F3}"/>
  <mergeCells count="17">
    <mergeCell ref="BF3:BI3"/>
    <mergeCell ref="BJ3:BM3"/>
    <mergeCell ref="AF3:AG3"/>
    <mergeCell ref="AH3:AK3"/>
    <mergeCell ref="AL3:AO3"/>
    <mergeCell ref="BB3:BE3"/>
    <mergeCell ref="X3:Z3"/>
    <mergeCell ref="AA3:AC3"/>
    <mergeCell ref="AP3:AS3"/>
    <mergeCell ref="AT3:AW3"/>
    <mergeCell ref="AX3:BA3"/>
    <mergeCell ref="BN3:BQ3"/>
    <mergeCell ref="BR3:BU3"/>
    <mergeCell ref="BW3:BZ3"/>
    <mergeCell ref="CE3:CH3"/>
    <mergeCell ref="CI3:CL3"/>
    <mergeCell ref="CA3:CD3"/>
  </mergeCells>
  <conditionalFormatting sqref="W9 V28:AC30 W177:AC179 Z200:AC207 Z208:AG215 V208:W211 R200:S215 BB107:BU108 Q109:AG109 T200:W207 T212:W215 T208:T211 T9:U9 T23:U23 M216:BT1048576 AE191:AG207 Q191:AD199 R186:AG190 R180:AC185 R166:AC176 W165:AC165 BW157:BW199 R110:AC164 AD110:AG185 N110:N215 Q110:Q215 M109:M215 O109:P215 AH109:BU215 S99:S106 N99:N106 P99:Q106 U99:BU106 R69:S98 R67:R68 R66:S66 T66:BU98 R64:R65 T64:T65 V64:AC65 R31:AC63 S26:S27 V24:V25 R24:R30 W23:AC27 T24:T30 T10:AC22 T7:W8 X7:AC9 R7:S23 R5:AC6 N5:N35 O5:Q98 M5:M98 AD5:BU65">
    <cfRule type="cellIs" dxfId="508" priority="23" operator="lessThan">
      <formula>0</formula>
    </cfRule>
  </conditionalFormatting>
  <conditionalFormatting sqref="CE5:CL215">
    <cfRule type="cellIs" dxfId="507" priority="22" operator="equal">
      <formula>FALSE</formula>
    </cfRule>
  </conditionalFormatting>
  <conditionalFormatting sqref="U34">
    <cfRule type="iconSet" priority="19">
      <iconSet iconSet="3Arrows">
        <cfvo type="percent" val="0"/>
        <cfvo type="percent" val="33"/>
        <cfvo type="percent" val="67"/>
      </iconSet>
    </cfRule>
  </conditionalFormatting>
  <conditionalFormatting sqref="BW217:BZ217">
    <cfRule type="cellIs" dxfId="506" priority="14" operator="lessThan">
      <formula>0</formula>
    </cfRule>
  </conditionalFormatting>
  <conditionalFormatting sqref="V108">
    <cfRule type="cellIs" dxfId="505" priority="2" operator="lessThan">
      <formula>0</formula>
    </cfRule>
  </conditionalFormatting>
  <conditionalFormatting sqref="AX108:BA108">
    <cfRule type="cellIs" dxfId="504" priority="1" operator="lessThan">
      <formula>0</formula>
    </cfRule>
  </conditionalFormatting>
  <pageMargins left="0.7" right="0.7" top="0.75" bottom="0.75" header="0.3" footer="0.3"/>
  <pageSetup scale="29" fitToWidth="5" fitToHeight="5" orientation="portrait" r:id="rId1"/>
  <headerFooter>
    <oddHeader>&amp;LAppendix G (Rev.)&amp;CMeasure Level Adjustments</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2:L821"/>
  <sheetViews>
    <sheetView workbookViewId="0"/>
  </sheetViews>
  <sheetFormatPr defaultColWidth="9.1796875" defaultRowHeight="14.5" x14ac:dyDescent="0.35"/>
  <cols>
    <col min="1" max="3" width="9.1796875" style="600"/>
    <col min="4" max="4" width="31.26953125" style="296" customWidth="1"/>
    <col min="5" max="5" width="9.1796875" style="600"/>
    <col min="6" max="7" width="9.1796875" style="296"/>
    <col min="8" max="16384" width="9.1796875" style="600"/>
  </cols>
  <sheetData>
    <row r="2" spans="1:12" x14ac:dyDescent="0.35">
      <c r="A2" s="625">
        <v>4</v>
      </c>
      <c r="B2" s="625">
        <v>5</v>
      </c>
      <c r="C2" s="625">
        <v>6</v>
      </c>
      <c r="D2" s="2298">
        <v>7</v>
      </c>
      <c r="E2" s="625">
        <v>8</v>
      </c>
      <c r="F2" s="2298">
        <v>9</v>
      </c>
      <c r="G2" s="2298">
        <v>10</v>
      </c>
      <c r="H2" s="625">
        <v>11</v>
      </c>
      <c r="I2" s="625">
        <v>12</v>
      </c>
      <c r="J2" s="625">
        <v>13</v>
      </c>
    </row>
    <row r="3" spans="1:12" ht="48" x14ac:dyDescent="0.35">
      <c r="A3" s="625" t="s">
        <v>869</v>
      </c>
      <c r="B3" s="625" t="s">
        <v>285</v>
      </c>
      <c r="C3" s="625" t="s">
        <v>286</v>
      </c>
      <c r="D3" s="2298" t="s">
        <v>568</v>
      </c>
      <c r="E3" s="2299" t="s">
        <v>79</v>
      </c>
      <c r="F3" s="2300" t="s">
        <v>1692</v>
      </c>
      <c r="G3" s="2300" t="s">
        <v>1693</v>
      </c>
      <c r="H3" s="2299" t="s">
        <v>1138</v>
      </c>
      <c r="I3" s="2299" t="s">
        <v>1142</v>
      </c>
      <c r="J3" s="2301" t="s">
        <v>1914</v>
      </c>
      <c r="K3" s="2302" t="s">
        <v>3021</v>
      </c>
      <c r="L3" s="2302" t="s">
        <v>871</v>
      </c>
    </row>
    <row r="4" spans="1:12" x14ac:dyDescent="0.35">
      <c r="A4" s="2303">
        <v>518</v>
      </c>
      <c r="B4" s="2303" t="s">
        <v>78</v>
      </c>
      <c r="C4" s="2303" t="s">
        <v>20</v>
      </c>
      <c r="D4" s="2304" t="s">
        <v>55</v>
      </c>
      <c r="E4" s="2305" t="s">
        <v>1</v>
      </c>
      <c r="F4" s="2298" t="s">
        <v>563</v>
      </c>
      <c r="G4" s="2298" t="s">
        <v>1721</v>
      </c>
      <c r="H4" s="2303">
        <v>1</v>
      </c>
      <c r="I4" s="2303"/>
      <c r="J4" s="2305" t="s">
        <v>1373</v>
      </c>
      <c r="K4" s="600" t="s">
        <v>3022</v>
      </c>
      <c r="L4" s="600" t="s">
        <v>20</v>
      </c>
    </row>
    <row r="5" spans="1:12" x14ac:dyDescent="0.35">
      <c r="A5" s="2303">
        <v>519</v>
      </c>
      <c r="B5" s="2303" t="s">
        <v>78</v>
      </c>
      <c r="C5" s="2303" t="s">
        <v>20</v>
      </c>
      <c r="D5" s="2304" t="s">
        <v>56</v>
      </c>
      <c r="E5" s="2305" t="s">
        <v>1</v>
      </c>
      <c r="F5" s="2298" t="s">
        <v>563</v>
      </c>
      <c r="G5" s="2298" t="s">
        <v>1721</v>
      </c>
      <c r="H5" s="2303">
        <v>1</v>
      </c>
      <c r="I5" s="2303"/>
      <c r="J5" s="2305" t="s">
        <v>1373</v>
      </c>
      <c r="K5" s="600" t="s">
        <v>3022</v>
      </c>
      <c r="L5" s="600" t="s">
        <v>20</v>
      </c>
    </row>
    <row r="6" spans="1:12" x14ac:dyDescent="0.35">
      <c r="A6" s="2303">
        <v>520</v>
      </c>
      <c r="B6" s="2303" t="s">
        <v>78</v>
      </c>
      <c r="C6" s="2303" t="s">
        <v>20</v>
      </c>
      <c r="D6" s="2304" t="s">
        <v>57</v>
      </c>
      <c r="E6" s="2305" t="s">
        <v>1</v>
      </c>
      <c r="F6" s="2298" t="s">
        <v>563</v>
      </c>
      <c r="G6" s="2298" t="s">
        <v>1721</v>
      </c>
      <c r="H6" s="2303">
        <v>1</v>
      </c>
      <c r="I6" s="2303"/>
      <c r="J6" s="2305" t="s">
        <v>1373</v>
      </c>
      <c r="K6" s="600" t="s">
        <v>3022</v>
      </c>
      <c r="L6" s="600" t="s">
        <v>20</v>
      </c>
    </row>
    <row r="7" spans="1:12" x14ac:dyDescent="0.35">
      <c r="A7" s="2303">
        <v>522</v>
      </c>
      <c r="B7" s="2303" t="s">
        <v>78</v>
      </c>
      <c r="C7" s="2303" t="s">
        <v>20</v>
      </c>
      <c r="D7" s="2304" t="s">
        <v>58</v>
      </c>
      <c r="E7" s="2305" t="s">
        <v>1</v>
      </c>
      <c r="F7" s="2298" t="s">
        <v>563</v>
      </c>
      <c r="G7" s="2298" t="s">
        <v>1721</v>
      </c>
      <c r="H7" s="2303">
        <v>1</v>
      </c>
      <c r="I7" s="2303"/>
      <c r="J7" s="2305" t="s">
        <v>1374</v>
      </c>
      <c r="K7" s="600" t="s">
        <v>3022</v>
      </c>
      <c r="L7" s="600" t="s">
        <v>20</v>
      </c>
    </row>
    <row r="8" spans="1:12" x14ac:dyDescent="0.35">
      <c r="A8" s="2303">
        <v>523</v>
      </c>
      <c r="B8" s="2303" t="s">
        <v>78</v>
      </c>
      <c r="C8" s="2303" t="s">
        <v>20</v>
      </c>
      <c r="D8" s="2304" t="s">
        <v>1934</v>
      </c>
      <c r="E8" s="2305" t="s">
        <v>1</v>
      </c>
      <c r="F8" s="2298" t="s">
        <v>506</v>
      </c>
      <c r="G8" s="2298" t="s">
        <v>1270</v>
      </c>
      <c r="H8" s="2303">
        <v>1</v>
      </c>
      <c r="I8" s="2303"/>
      <c r="J8" s="2305" t="s">
        <v>1373</v>
      </c>
      <c r="K8" s="600" t="s">
        <v>2957</v>
      </c>
      <c r="L8" s="600" t="s">
        <v>20</v>
      </c>
    </row>
    <row r="9" spans="1:12" x14ac:dyDescent="0.35">
      <c r="A9" s="2303">
        <v>524</v>
      </c>
      <c r="B9" s="2303" t="s">
        <v>78</v>
      </c>
      <c r="C9" s="2303" t="s">
        <v>20</v>
      </c>
      <c r="D9" s="2304" t="s">
        <v>1935</v>
      </c>
      <c r="E9" s="2305" t="s">
        <v>1</v>
      </c>
      <c r="F9" s="2298" t="s">
        <v>506</v>
      </c>
      <c r="G9" s="2298" t="s">
        <v>1270</v>
      </c>
      <c r="H9" s="2303">
        <v>1</v>
      </c>
      <c r="I9" s="2303"/>
      <c r="J9" s="2305" t="s">
        <v>1374</v>
      </c>
      <c r="K9" s="600" t="s">
        <v>2957</v>
      </c>
      <c r="L9" s="600" t="s">
        <v>20</v>
      </c>
    </row>
    <row r="10" spans="1:12" x14ac:dyDescent="0.35">
      <c r="A10" s="2303">
        <v>503</v>
      </c>
      <c r="B10" s="2303" t="s">
        <v>78</v>
      </c>
      <c r="C10" s="2303" t="s">
        <v>20</v>
      </c>
      <c r="D10" s="2298" t="s">
        <v>1747</v>
      </c>
      <c r="E10" s="2305" t="s">
        <v>100</v>
      </c>
      <c r="F10" s="2298" t="s">
        <v>306</v>
      </c>
      <c r="G10" s="2298" t="s">
        <v>1713</v>
      </c>
      <c r="H10" s="2303">
        <v>1</v>
      </c>
      <c r="I10" s="2303"/>
      <c r="J10" s="2305" t="s">
        <v>1373</v>
      </c>
      <c r="K10" s="600" t="s">
        <v>3023</v>
      </c>
      <c r="L10" s="600" t="s">
        <v>20</v>
      </c>
    </row>
    <row r="11" spans="1:12" x14ac:dyDescent="0.35">
      <c r="A11" s="2303">
        <v>504</v>
      </c>
      <c r="B11" s="2303" t="s">
        <v>78</v>
      </c>
      <c r="C11" s="2303" t="s">
        <v>20</v>
      </c>
      <c r="D11" s="2298" t="s">
        <v>1748</v>
      </c>
      <c r="E11" s="2305" t="s">
        <v>100</v>
      </c>
      <c r="F11" s="2298" t="s">
        <v>306</v>
      </c>
      <c r="G11" s="2298" t="s">
        <v>1713</v>
      </c>
      <c r="H11" s="2303">
        <v>1</v>
      </c>
      <c r="I11" s="2303"/>
      <c r="J11" s="2305" t="s">
        <v>1373</v>
      </c>
      <c r="K11" s="600" t="s">
        <v>3023</v>
      </c>
      <c r="L11" s="600" t="s">
        <v>20</v>
      </c>
    </row>
    <row r="12" spans="1:12" x14ac:dyDescent="0.35">
      <c r="A12" s="2303">
        <v>505</v>
      </c>
      <c r="B12" s="2303" t="s">
        <v>78</v>
      </c>
      <c r="C12" s="2303" t="s">
        <v>20</v>
      </c>
      <c r="D12" s="2298" t="s">
        <v>1749</v>
      </c>
      <c r="E12" s="2305" t="s">
        <v>100</v>
      </c>
      <c r="F12" s="2298" t="s">
        <v>306</v>
      </c>
      <c r="G12" s="2298" t="s">
        <v>1713</v>
      </c>
      <c r="H12" s="2303">
        <v>1</v>
      </c>
      <c r="I12" s="2303"/>
      <c r="J12" s="2305" t="s">
        <v>1373</v>
      </c>
      <c r="K12" s="600" t="s">
        <v>3023</v>
      </c>
      <c r="L12" s="600" t="s">
        <v>20</v>
      </c>
    </row>
    <row r="13" spans="1:12" x14ac:dyDescent="0.35">
      <c r="A13" s="2303">
        <v>507</v>
      </c>
      <c r="B13" s="2303" t="s">
        <v>78</v>
      </c>
      <c r="C13" s="2303" t="s">
        <v>20</v>
      </c>
      <c r="D13" s="2304" t="s">
        <v>1750</v>
      </c>
      <c r="E13" s="2305" t="s">
        <v>100</v>
      </c>
      <c r="F13" s="2298" t="s">
        <v>782</v>
      </c>
      <c r="G13" s="2298" t="s">
        <v>1716</v>
      </c>
      <c r="H13" s="2303">
        <v>1</v>
      </c>
      <c r="I13" s="2303"/>
      <c r="J13" s="2305" t="s">
        <v>1373</v>
      </c>
      <c r="K13" s="600" t="s">
        <v>783</v>
      </c>
      <c r="L13" s="600" t="s">
        <v>20</v>
      </c>
    </row>
    <row r="14" spans="1:12" x14ac:dyDescent="0.35">
      <c r="A14" s="2303">
        <v>508</v>
      </c>
      <c r="B14" s="2303" t="s">
        <v>78</v>
      </c>
      <c r="C14" s="2303" t="s">
        <v>20</v>
      </c>
      <c r="D14" s="2298" t="s">
        <v>985</v>
      </c>
      <c r="E14" s="2305" t="s">
        <v>100</v>
      </c>
      <c r="F14" s="2298" t="s">
        <v>785</v>
      </c>
      <c r="G14" s="2298" t="s">
        <v>1714</v>
      </c>
      <c r="H14" s="2303">
        <v>1</v>
      </c>
      <c r="I14" s="2303"/>
      <c r="J14" s="2305" t="s">
        <v>1373</v>
      </c>
      <c r="K14" s="600" t="s">
        <v>3024</v>
      </c>
      <c r="L14" s="600" t="s">
        <v>20</v>
      </c>
    </row>
    <row r="15" spans="1:12" x14ac:dyDescent="0.35">
      <c r="A15" s="2303">
        <v>511</v>
      </c>
      <c r="B15" s="2303" t="s">
        <v>78</v>
      </c>
      <c r="C15" s="2303" t="s">
        <v>20</v>
      </c>
      <c r="D15" s="2298" t="s">
        <v>986</v>
      </c>
      <c r="E15" s="2305" t="s">
        <v>100</v>
      </c>
      <c r="F15" s="2298" t="s">
        <v>785</v>
      </c>
      <c r="G15" s="2298" t="s">
        <v>1714</v>
      </c>
      <c r="H15" s="2303">
        <v>1</v>
      </c>
      <c r="I15" s="2303"/>
      <c r="J15" s="2305" t="s">
        <v>1373</v>
      </c>
      <c r="K15" s="600" t="s">
        <v>3024</v>
      </c>
      <c r="L15" s="600" t="s">
        <v>20</v>
      </c>
    </row>
    <row r="16" spans="1:12" x14ac:dyDescent="0.35">
      <c r="A16" s="2303">
        <v>525</v>
      </c>
      <c r="B16" s="2303" t="s">
        <v>78</v>
      </c>
      <c r="C16" s="2303" t="s">
        <v>20</v>
      </c>
      <c r="D16" s="2304" t="s">
        <v>433</v>
      </c>
      <c r="E16" s="2305" t="s">
        <v>15</v>
      </c>
      <c r="F16" s="2298" t="s">
        <v>434</v>
      </c>
      <c r="G16" s="2298" t="s">
        <v>1724</v>
      </c>
      <c r="H16" s="2303">
        <v>1</v>
      </c>
      <c r="I16" s="2303"/>
      <c r="J16" s="2305" t="s">
        <v>1373</v>
      </c>
      <c r="K16" s="600" t="s">
        <v>1052</v>
      </c>
      <c r="L16" s="600" t="s">
        <v>2296</v>
      </c>
    </row>
    <row r="17" spans="1:12" x14ac:dyDescent="0.35">
      <c r="A17" s="2306">
        <v>509</v>
      </c>
      <c r="B17" s="2306" t="s">
        <v>78</v>
      </c>
      <c r="C17" s="2306" t="s">
        <v>20</v>
      </c>
      <c r="D17" s="2304" t="s">
        <v>208</v>
      </c>
      <c r="E17" s="2305" t="s">
        <v>20</v>
      </c>
      <c r="F17" s="2298" t="s">
        <v>1917</v>
      </c>
      <c r="G17" s="2298" t="s">
        <v>1918</v>
      </c>
      <c r="H17" s="2303">
        <v>1</v>
      </c>
      <c r="I17" s="2303"/>
      <c r="J17" s="2305" t="s">
        <v>1373</v>
      </c>
      <c r="K17" s="600" t="s">
        <v>208</v>
      </c>
      <c r="L17" s="600" t="s">
        <v>20</v>
      </c>
    </row>
    <row r="18" spans="1:12" x14ac:dyDescent="0.35">
      <c r="A18" s="2303">
        <v>687</v>
      </c>
      <c r="B18" s="2303" t="s">
        <v>78</v>
      </c>
      <c r="C18" s="2303" t="s">
        <v>8</v>
      </c>
      <c r="D18" s="2298" t="s">
        <v>9</v>
      </c>
      <c r="E18" s="2305" t="s">
        <v>4</v>
      </c>
      <c r="F18" s="2298" t="s">
        <v>287</v>
      </c>
      <c r="G18" s="2298" t="s">
        <v>1729</v>
      </c>
      <c r="H18" s="2303">
        <v>1</v>
      </c>
      <c r="I18" s="2303"/>
      <c r="J18" s="2305" t="s">
        <v>1373</v>
      </c>
      <c r="K18" s="600" t="s">
        <v>3025</v>
      </c>
      <c r="L18" s="600" t="s">
        <v>4</v>
      </c>
    </row>
    <row r="19" spans="1:12" x14ac:dyDescent="0.35">
      <c r="A19" s="2303">
        <v>688</v>
      </c>
      <c r="B19" s="2303" t="s">
        <v>78</v>
      </c>
      <c r="C19" s="2303" t="s">
        <v>8</v>
      </c>
      <c r="D19" s="2298" t="s">
        <v>10</v>
      </c>
      <c r="E19" s="2305" t="s">
        <v>4</v>
      </c>
      <c r="F19" s="2298" t="s">
        <v>287</v>
      </c>
      <c r="G19" s="2298" t="s">
        <v>1729</v>
      </c>
      <c r="H19" s="2303">
        <v>1</v>
      </c>
      <c r="I19" s="2303"/>
      <c r="J19" s="2305" t="s">
        <v>1373</v>
      </c>
      <c r="K19" s="600" t="s">
        <v>3025</v>
      </c>
      <c r="L19" s="600" t="s">
        <v>4</v>
      </c>
    </row>
    <row r="20" spans="1:12" x14ac:dyDescent="0.35">
      <c r="A20" s="2303">
        <v>689</v>
      </c>
      <c r="B20" s="2303" t="s">
        <v>78</v>
      </c>
      <c r="C20" s="2303" t="s">
        <v>8</v>
      </c>
      <c r="D20" s="2298" t="s">
        <v>11</v>
      </c>
      <c r="E20" s="2305" t="s">
        <v>4</v>
      </c>
      <c r="F20" s="2298" t="s">
        <v>287</v>
      </c>
      <c r="G20" s="2298" t="s">
        <v>1729</v>
      </c>
      <c r="H20" s="2303">
        <v>1</v>
      </c>
      <c r="I20" s="2303"/>
      <c r="J20" s="2305" t="s">
        <v>1373</v>
      </c>
      <c r="K20" s="600" t="s">
        <v>3025</v>
      </c>
      <c r="L20" s="600" t="s">
        <v>4</v>
      </c>
    </row>
    <row r="21" spans="1:12" x14ac:dyDescent="0.35">
      <c r="A21" s="2303">
        <v>691</v>
      </c>
      <c r="B21" s="2303" t="s">
        <v>78</v>
      </c>
      <c r="C21" s="2303" t="s">
        <v>8</v>
      </c>
      <c r="D21" s="2298" t="s">
        <v>12</v>
      </c>
      <c r="E21" s="2305" t="s">
        <v>4</v>
      </c>
      <c r="F21" s="2298" t="s">
        <v>1727</v>
      </c>
      <c r="G21" s="2298" t="s">
        <v>1728</v>
      </c>
      <c r="H21" s="2303">
        <v>1</v>
      </c>
      <c r="I21" s="2303"/>
      <c r="J21" s="2305" t="s">
        <v>1373</v>
      </c>
      <c r="K21" s="600" t="s">
        <v>3026</v>
      </c>
      <c r="L21" s="600" t="s">
        <v>4</v>
      </c>
    </row>
    <row r="22" spans="1:12" x14ac:dyDescent="0.35">
      <c r="A22" s="2303">
        <v>690</v>
      </c>
      <c r="B22" s="2303" t="s">
        <v>78</v>
      </c>
      <c r="C22" s="2303" t="s">
        <v>8</v>
      </c>
      <c r="D22" s="2298" t="s">
        <v>13</v>
      </c>
      <c r="E22" s="2305" t="s">
        <v>4</v>
      </c>
      <c r="F22" s="2298" t="s">
        <v>1727</v>
      </c>
      <c r="G22" s="2298" t="s">
        <v>1728</v>
      </c>
      <c r="H22" s="2303">
        <v>1</v>
      </c>
      <c r="I22" s="2303"/>
      <c r="J22" s="2305" t="s">
        <v>1373</v>
      </c>
      <c r="K22" s="600" t="s">
        <v>3026</v>
      </c>
      <c r="L22" s="600" t="s">
        <v>4</v>
      </c>
    </row>
    <row r="23" spans="1:12" x14ac:dyDescent="0.35">
      <c r="A23" s="2303">
        <v>692</v>
      </c>
      <c r="B23" s="2303" t="s">
        <v>78</v>
      </c>
      <c r="C23" s="2303" t="s">
        <v>8</v>
      </c>
      <c r="D23" s="2298" t="s">
        <v>14</v>
      </c>
      <c r="E23" s="2305" t="s">
        <v>4</v>
      </c>
      <c r="F23" s="2298" t="s">
        <v>1727</v>
      </c>
      <c r="G23" s="2298" t="s">
        <v>1728</v>
      </c>
      <c r="H23" s="2303">
        <v>1</v>
      </c>
      <c r="I23" s="2303"/>
      <c r="J23" s="2305" t="s">
        <v>1373</v>
      </c>
      <c r="K23" s="600" t="s">
        <v>3026</v>
      </c>
      <c r="L23" s="600" t="s">
        <v>4</v>
      </c>
    </row>
    <row r="24" spans="1:12" x14ac:dyDescent="0.35">
      <c r="A24" s="2303">
        <v>698</v>
      </c>
      <c r="B24" s="2303" t="s">
        <v>78</v>
      </c>
      <c r="C24" s="2303" t="s">
        <v>8</v>
      </c>
      <c r="D24" s="2298" t="s">
        <v>16</v>
      </c>
      <c r="E24" s="2305" t="s">
        <v>15</v>
      </c>
      <c r="F24" s="2298" t="s">
        <v>643</v>
      </c>
      <c r="G24" s="2298" t="s">
        <v>1725</v>
      </c>
      <c r="H24" s="2303">
        <v>1</v>
      </c>
      <c r="I24" s="2303"/>
      <c r="J24" s="2305" t="s">
        <v>1373</v>
      </c>
      <c r="K24" s="600" t="s">
        <v>3027</v>
      </c>
      <c r="L24" s="600" t="s">
        <v>2296</v>
      </c>
    </row>
    <row r="25" spans="1:12" x14ac:dyDescent="0.35">
      <c r="A25" s="2303">
        <v>696</v>
      </c>
      <c r="B25" s="2303" t="s">
        <v>78</v>
      </c>
      <c r="C25" s="2303" t="s">
        <v>8</v>
      </c>
      <c r="D25" s="2298" t="s">
        <v>17</v>
      </c>
      <c r="E25" s="2305" t="s">
        <v>15</v>
      </c>
      <c r="F25" s="2298" t="s">
        <v>667</v>
      </c>
      <c r="G25" s="2298" t="s">
        <v>1916</v>
      </c>
      <c r="H25" s="2303">
        <v>1</v>
      </c>
      <c r="I25" s="2303"/>
      <c r="J25" s="2305" t="s">
        <v>1373</v>
      </c>
      <c r="K25" s="600" t="s">
        <v>3028</v>
      </c>
      <c r="L25" s="600" t="s">
        <v>2296</v>
      </c>
    </row>
    <row r="26" spans="1:12" x14ac:dyDescent="0.35">
      <c r="A26" s="2303">
        <v>699</v>
      </c>
      <c r="B26" s="2303" t="s">
        <v>78</v>
      </c>
      <c r="C26" s="2303" t="s">
        <v>8</v>
      </c>
      <c r="D26" s="2298" t="s">
        <v>18</v>
      </c>
      <c r="E26" s="2305" t="s">
        <v>15</v>
      </c>
      <c r="F26" s="2298" t="s">
        <v>643</v>
      </c>
      <c r="G26" s="2298" t="s">
        <v>1725</v>
      </c>
      <c r="H26" s="2303">
        <v>1</v>
      </c>
      <c r="I26" s="2303"/>
      <c r="J26" s="2305" t="s">
        <v>1374</v>
      </c>
      <c r="K26" s="600" t="s">
        <v>3027</v>
      </c>
      <c r="L26" s="600" t="s">
        <v>2296</v>
      </c>
    </row>
    <row r="27" spans="1:12" x14ac:dyDescent="0.35">
      <c r="A27" s="2303">
        <v>697</v>
      </c>
      <c r="B27" s="2303" t="s">
        <v>78</v>
      </c>
      <c r="C27" s="2303" t="s">
        <v>8</v>
      </c>
      <c r="D27" s="2298" t="s">
        <v>19</v>
      </c>
      <c r="E27" s="2305" t="s">
        <v>15</v>
      </c>
      <c r="F27" s="2298" t="s">
        <v>667</v>
      </c>
      <c r="G27" s="2298" t="s">
        <v>1916</v>
      </c>
      <c r="H27" s="2303">
        <v>1</v>
      </c>
      <c r="I27" s="2303"/>
      <c r="J27" s="2305" t="s">
        <v>1374</v>
      </c>
      <c r="K27" s="600" t="s">
        <v>3028</v>
      </c>
      <c r="L27" s="600" t="s">
        <v>2296</v>
      </c>
    </row>
    <row r="28" spans="1:12" x14ac:dyDescent="0.35">
      <c r="A28" s="2303">
        <v>675</v>
      </c>
      <c r="B28" s="2303" t="s">
        <v>78</v>
      </c>
      <c r="C28" s="2303" t="s">
        <v>8</v>
      </c>
      <c r="D28" s="2304" t="s">
        <v>21</v>
      </c>
      <c r="E28" s="2305" t="s">
        <v>20</v>
      </c>
      <c r="F28" s="2298" t="s">
        <v>563</v>
      </c>
      <c r="G28" s="2298" t="s">
        <v>1721</v>
      </c>
      <c r="H28" s="2303">
        <v>1</v>
      </c>
      <c r="I28" s="2303"/>
      <c r="J28" s="2305" t="s">
        <v>1373</v>
      </c>
      <c r="K28" s="600" t="s">
        <v>3022</v>
      </c>
      <c r="L28" s="600" t="s">
        <v>20</v>
      </c>
    </row>
    <row r="29" spans="1:12" x14ac:dyDescent="0.35">
      <c r="A29" s="2303">
        <v>676</v>
      </c>
      <c r="B29" s="2303" t="s">
        <v>78</v>
      </c>
      <c r="C29" s="2303" t="s">
        <v>8</v>
      </c>
      <c r="D29" s="2304" t="s">
        <v>22</v>
      </c>
      <c r="E29" s="2305" t="s">
        <v>20</v>
      </c>
      <c r="F29" s="2298" t="s">
        <v>563</v>
      </c>
      <c r="G29" s="2298" t="s">
        <v>1721</v>
      </c>
      <c r="H29" s="2303">
        <v>1</v>
      </c>
      <c r="I29" s="2303"/>
      <c r="J29" s="2305" t="s">
        <v>1374</v>
      </c>
      <c r="K29" s="600" t="s">
        <v>3022</v>
      </c>
      <c r="L29" s="600" t="s">
        <v>20</v>
      </c>
    </row>
    <row r="30" spans="1:12" x14ac:dyDescent="0.35">
      <c r="A30" s="2303">
        <v>680</v>
      </c>
      <c r="B30" s="2303" t="s">
        <v>78</v>
      </c>
      <c r="C30" s="2303" t="s">
        <v>8</v>
      </c>
      <c r="D30" s="2298" t="s">
        <v>26</v>
      </c>
      <c r="E30" s="2305" t="s">
        <v>4</v>
      </c>
      <c r="F30" s="2298" t="s">
        <v>1727</v>
      </c>
      <c r="G30" s="2298" t="s">
        <v>1728</v>
      </c>
      <c r="H30" s="2303">
        <v>1</v>
      </c>
      <c r="I30" s="2303"/>
      <c r="J30" s="2305" t="s">
        <v>1373</v>
      </c>
      <c r="K30" s="600" t="s">
        <v>3026</v>
      </c>
      <c r="L30" s="600" t="s">
        <v>4</v>
      </c>
    </row>
    <row r="31" spans="1:12" x14ac:dyDescent="0.35">
      <c r="A31" s="2303">
        <v>681</v>
      </c>
      <c r="B31" s="2303" t="s">
        <v>78</v>
      </c>
      <c r="C31" s="2303" t="s">
        <v>8</v>
      </c>
      <c r="D31" s="2298" t="s">
        <v>27</v>
      </c>
      <c r="E31" s="2305" t="s">
        <v>4</v>
      </c>
      <c r="F31" s="2298" t="s">
        <v>1727</v>
      </c>
      <c r="G31" s="2298" t="s">
        <v>1728</v>
      </c>
      <c r="H31" s="2303">
        <v>1</v>
      </c>
      <c r="I31" s="2303"/>
      <c r="J31" s="2305" t="s">
        <v>1373</v>
      </c>
      <c r="K31" s="600" t="s">
        <v>3026</v>
      </c>
      <c r="L31" s="600" t="s">
        <v>4</v>
      </c>
    </row>
    <row r="32" spans="1:12" x14ac:dyDescent="0.35">
      <c r="A32" s="2303">
        <v>682</v>
      </c>
      <c r="B32" s="2303" t="s">
        <v>78</v>
      </c>
      <c r="C32" s="2303" t="s">
        <v>8</v>
      </c>
      <c r="D32" s="2298" t="s">
        <v>28</v>
      </c>
      <c r="E32" s="2305" t="s">
        <v>4</v>
      </c>
      <c r="F32" s="2298" t="s">
        <v>1727</v>
      </c>
      <c r="G32" s="2298" t="s">
        <v>1728</v>
      </c>
      <c r="H32" s="2303">
        <v>1</v>
      </c>
      <c r="I32" s="2303"/>
      <c r="J32" s="2305" t="s">
        <v>1373</v>
      </c>
      <c r="K32" s="600" t="s">
        <v>3026</v>
      </c>
      <c r="L32" s="600" t="s">
        <v>4</v>
      </c>
    </row>
    <row r="33" spans="1:12" x14ac:dyDescent="0.35">
      <c r="A33" s="2303">
        <v>685</v>
      </c>
      <c r="B33" s="2303" t="s">
        <v>78</v>
      </c>
      <c r="C33" s="2303" t="s">
        <v>8</v>
      </c>
      <c r="D33" s="2298" t="s">
        <v>29</v>
      </c>
      <c r="E33" s="2305" t="s">
        <v>4</v>
      </c>
      <c r="F33" s="2298" t="s">
        <v>1727</v>
      </c>
      <c r="G33" s="2298" t="s">
        <v>1728</v>
      </c>
      <c r="H33" s="2303">
        <v>1</v>
      </c>
      <c r="I33" s="2303"/>
      <c r="J33" s="2305" t="s">
        <v>1373</v>
      </c>
      <c r="K33" s="600" t="s">
        <v>3026</v>
      </c>
      <c r="L33" s="600" t="s">
        <v>4</v>
      </c>
    </row>
    <row r="34" spans="1:12" x14ac:dyDescent="0.35">
      <c r="A34" s="2303">
        <v>683</v>
      </c>
      <c r="B34" s="2303" t="s">
        <v>78</v>
      </c>
      <c r="C34" s="2303" t="s">
        <v>8</v>
      </c>
      <c r="D34" s="2304" t="s">
        <v>30</v>
      </c>
      <c r="E34" s="2305" t="s">
        <v>4</v>
      </c>
      <c r="F34" s="2298" t="s">
        <v>1727</v>
      </c>
      <c r="G34" s="2298" t="s">
        <v>1728</v>
      </c>
      <c r="H34" s="2303">
        <v>1</v>
      </c>
      <c r="I34" s="2303"/>
      <c r="J34" s="2305" t="s">
        <v>1373</v>
      </c>
      <c r="K34" s="600" t="s">
        <v>3026</v>
      </c>
      <c r="L34" s="600" t="s">
        <v>4</v>
      </c>
    </row>
    <row r="35" spans="1:12" x14ac:dyDescent="0.35">
      <c r="A35" s="2303">
        <v>686</v>
      </c>
      <c r="B35" s="2303" t="s">
        <v>78</v>
      </c>
      <c r="C35" s="2303" t="s">
        <v>8</v>
      </c>
      <c r="D35" s="2304" t="s">
        <v>31</v>
      </c>
      <c r="E35" s="2305" t="s">
        <v>4</v>
      </c>
      <c r="F35" s="2298" t="s">
        <v>1727</v>
      </c>
      <c r="G35" s="2298" t="s">
        <v>1728</v>
      </c>
      <c r="H35" s="2303">
        <v>1</v>
      </c>
      <c r="I35" s="2303"/>
      <c r="J35" s="2305" t="s">
        <v>1373</v>
      </c>
      <c r="K35" s="600" t="s">
        <v>3026</v>
      </c>
      <c r="L35" s="600" t="s">
        <v>4</v>
      </c>
    </row>
    <row r="36" spans="1:12" x14ac:dyDescent="0.35">
      <c r="A36" s="2303">
        <v>684</v>
      </c>
      <c r="B36" s="2303" t="s">
        <v>78</v>
      </c>
      <c r="C36" s="2303" t="s">
        <v>8</v>
      </c>
      <c r="D36" s="2304" t="s">
        <v>32</v>
      </c>
      <c r="E36" s="2305" t="s">
        <v>4</v>
      </c>
      <c r="F36" s="2298" t="s">
        <v>1727</v>
      </c>
      <c r="G36" s="2298" t="s">
        <v>1728</v>
      </c>
      <c r="H36" s="2303">
        <v>1</v>
      </c>
      <c r="I36" s="2303"/>
      <c r="J36" s="2305" t="s">
        <v>1373</v>
      </c>
      <c r="K36" s="600" t="s">
        <v>3026</v>
      </c>
      <c r="L36" s="600" t="s">
        <v>4</v>
      </c>
    </row>
    <row r="37" spans="1:12" x14ac:dyDescent="0.35">
      <c r="A37" s="2303">
        <v>695</v>
      </c>
      <c r="B37" s="2303" t="s">
        <v>78</v>
      </c>
      <c r="C37" s="2303" t="s">
        <v>8</v>
      </c>
      <c r="D37" s="2304" t="s">
        <v>6</v>
      </c>
      <c r="E37" s="2305" t="s">
        <v>5</v>
      </c>
      <c r="F37" s="2298" t="s">
        <v>877</v>
      </c>
      <c r="G37" s="2298" t="s">
        <v>1712</v>
      </c>
      <c r="H37" s="2303">
        <v>1</v>
      </c>
      <c r="I37" s="2303"/>
      <c r="J37" s="2305" t="s">
        <v>1373</v>
      </c>
      <c r="K37" s="600" t="s">
        <v>3029</v>
      </c>
      <c r="L37" s="600" t="s">
        <v>3030</v>
      </c>
    </row>
    <row r="38" spans="1:12" x14ac:dyDescent="0.35">
      <c r="A38" s="2303">
        <v>693</v>
      </c>
      <c r="B38" s="2303" t="s">
        <v>78</v>
      </c>
      <c r="C38" s="2303" t="s">
        <v>8</v>
      </c>
      <c r="D38" s="2304" t="s">
        <v>53</v>
      </c>
      <c r="E38" s="2305" t="s">
        <v>44</v>
      </c>
      <c r="F38" s="2298" t="s">
        <v>483</v>
      </c>
      <c r="G38" s="2298" t="s">
        <v>1723</v>
      </c>
      <c r="H38" s="2303">
        <v>1</v>
      </c>
      <c r="I38" s="2303"/>
      <c r="J38" s="2305" t="s">
        <v>1373</v>
      </c>
      <c r="K38" s="600" t="s">
        <v>3031</v>
      </c>
      <c r="L38" s="600" t="s">
        <v>2296</v>
      </c>
    </row>
    <row r="39" spans="1:12" x14ac:dyDescent="0.35">
      <c r="A39" s="2303">
        <v>694</v>
      </c>
      <c r="B39" s="2303" t="s">
        <v>78</v>
      </c>
      <c r="C39" s="2303" t="s">
        <v>8</v>
      </c>
      <c r="D39" s="2304" t="s">
        <v>54</v>
      </c>
      <c r="E39" s="2305" t="s">
        <v>44</v>
      </c>
      <c r="F39" s="2298" t="s">
        <v>483</v>
      </c>
      <c r="G39" s="2298" t="s">
        <v>1723</v>
      </c>
      <c r="H39" s="2303">
        <v>1</v>
      </c>
      <c r="I39" s="2303"/>
      <c r="J39" s="2305" t="s">
        <v>1374</v>
      </c>
      <c r="K39" s="600" t="s">
        <v>3031</v>
      </c>
      <c r="L39" s="600" t="s">
        <v>2296</v>
      </c>
    </row>
    <row r="40" spans="1:12" x14ac:dyDescent="0.35">
      <c r="A40" s="2303">
        <v>491</v>
      </c>
      <c r="B40" s="2303" t="s">
        <v>78</v>
      </c>
      <c r="C40" s="2303" t="s">
        <v>33</v>
      </c>
      <c r="D40" s="2307" t="s">
        <v>2</v>
      </c>
      <c r="E40" s="2305" t="s">
        <v>34</v>
      </c>
      <c r="F40" s="2298" t="s">
        <v>287</v>
      </c>
      <c r="G40" s="2298" t="s">
        <v>1729</v>
      </c>
      <c r="H40" s="2303">
        <v>1</v>
      </c>
      <c r="I40" s="2303"/>
      <c r="J40" s="2305" t="s">
        <v>1373</v>
      </c>
      <c r="K40" s="600" t="s">
        <v>3025</v>
      </c>
      <c r="L40" s="600" t="s">
        <v>4</v>
      </c>
    </row>
    <row r="41" spans="1:12" x14ac:dyDescent="0.35">
      <c r="A41" s="2303">
        <v>498</v>
      </c>
      <c r="B41" s="2303" t="s">
        <v>78</v>
      </c>
      <c r="C41" s="2303" t="s">
        <v>33</v>
      </c>
      <c r="D41" s="2307" t="s">
        <v>35</v>
      </c>
      <c r="E41" s="2305" t="s">
        <v>34</v>
      </c>
      <c r="F41" s="2298" t="s">
        <v>643</v>
      </c>
      <c r="G41" s="2298" t="s">
        <v>1725</v>
      </c>
      <c r="H41" s="2303">
        <v>1</v>
      </c>
      <c r="I41" s="2303"/>
      <c r="J41" s="2305" t="s">
        <v>1373</v>
      </c>
      <c r="K41" s="600" t="s">
        <v>3027</v>
      </c>
      <c r="L41" s="600" t="s">
        <v>2296</v>
      </c>
    </row>
    <row r="42" spans="1:12" x14ac:dyDescent="0.35">
      <c r="A42" s="2303">
        <v>494</v>
      </c>
      <c r="B42" s="2303" t="s">
        <v>78</v>
      </c>
      <c r="C42" s="2303" t="s">
        <v>33</v>
      </c>
      <c r="D42" s="2307" t="s">
        <v>36</v>
      </c>
      <c r="E42" s="2305" t="s">
        <v>34</v>
      </c>
      <c r="F42" s="2298" t="s">
        <v>667</v>
      </c>
      <c r="G42" s="2298" t="s">
        <v>1916</v>
      </c>
      <c r="H42" s="2303">
        <v>1</v>
      </c>
      <c r="I42" s="2303"/>
      <c r="J42" s="2305" t="s">
        <v>1373</v>
      </c>
      <c r="K42" s="600" t="s">
        <v>3028</v>
      </c>
      <c r="L42" s="600" t="s">
        <v>2296</v>
      </c>
    </row>
    <row r="43" spans="1:12" x14ac:dyDescent="0.35">
      <c r="A43" s="2303">
        <v>496</v>
      </c>
      <c r="B43" s="2303" t="s">
        <v>78</v>
      </c>
      <c r="C43" s="2303" t="s">
        <v>33</v>
      </c>
      <c r="D43" s="2307" t="s">
        <v>37</v>
      </c>
      <c r="E43" s="2305" t="s">
        <v>34</v>
      </c>
      <c r="F43" s="2298" t="s">
        <v>667</v>
      </c>
      <c r="G43" s="2298" t="s">
        <v>1916</v>
      </c>
      <c r="H43" s="2303">
        <v>1</v>
      </c>
      <c r="I43" s="2303"/>
      <c r="J43" s="2305" t="s">
        <v>1373</v>
      </c>
      <c r="K43" s="600" t="s">
        <v>3028</v>
      </c>
      <c r="L43" s="600" t="s">
        <v>2296</v>
      </c>
    </row>
    <row r="44" spans="1:12" x14ac:dyDescent="0.35">
      <c r="A44" s="2303">
        <v>501</v>
      </c>
      <c r="B44" s="2303" t="s">
        <v>78</v>
      </c>
      <c r="C44" s="2303" t="s">
        <v>33</v>
      </c>
      <c r="D44" s="2307" t="s">
        <v>38</v>
      </c>
      <c r="E44" s="2305" t="s">
        <v>34</v>
      </c>
      <c r="F44" s="2298" t="s">
        <v>687</v>
      </c>
      <c r="G44" s="2298" t="s">
        <v>1726</v>
      </c>
      <c r="H44" s="2303">
        <v>1</v>
      </c>
      <c r="I44" s="2303"/>
      <c r="J44" s="2305" t="s">
        <v>1373</v>
      </c>
      <c r="K44" s="600" t="s">
        <v>3032</v>
      </c>
      <c r="L44" s="600" t="s">
        <v>2296</v>
      </c>
    </row>
    <row r="45" spans="1:12" x14ac:dyDescent="0.35">
      <c r="A45" s="2303">
        <v>499</v>
      </c>
      <c r="B45" s="2303" t="s">
        <v>78</v>
      </c>
      <c r="C45" s="2303" t="s">
        <v>33</v>
      </c>
      <c r="D45" s="2304" t="s">
        <v>39</v>
      </c>
      <c r="E45" s="2305" t="s">
        <v>34</v>
      </c>
      <c r="F45" s="2298" t="s">
        <v>643</v>
      </c>
      <c r="G45" s="2298" t="s">
        <v>1725</v>
      </c>
      <c r="H45" s="2303">
        <v>1</v>
      </c>
      <c r="I45" s="2303"/>
      <c r="J45" s="2305" t="s">
        <v>1374</v>
      </c>
      <c r="K45" s="600" t="s">
        <v>3027</v>
      </c>
      <c r="L45" s="600" t="s">
        <v>2296</v>
      </c>
    </row>
    <row r="46" spans="1:12" x14ac:dyDescent="0.35">
      <c r="A46" s="2303">
        <v>495</v>
      </c>
      <c r="B46" s="2303" t="s">
        <v>78</v>
      </c>
      <c r="C46" s="2303" t="s">
        <v>33</v>
      </c>
      <c r="D46" s="2304" t="s">
        <v>40</v>
      </c>
      <c r="E46" s="2305" t="s">
        <v>34</v>
      </c>
      <c r="F46" s="2298" t="s">
        <v>667</v>
      </c>
      <c r="G46" s="2298" t="s">
        <v>1916</v>
      </c>
      <c r="H46" s="2303">
        <v>1</v>
      </c>
      <c r="I46" s="2303"/>
      <c r="J46" s="2305" t="s">
        <v>1374</v>
      </c>
      <c r="K46" s="600" t="s">
        <v>3028</v>
      </c>
      <c r="L46" s="600" t="s">
        <v>2296</v>
      </c>
    </row>
    <row r="47" spans="1:12" x14ac:dyDescent="0.35">
      <c r="A47" s="2303">
        <v>497</v>
      </c>
      <c r="B47" s="2303" t="s">
        <v>78</v>
      </c>
      <c r="C47" s="2303" t="s">
        <v>33</v>
      </c>
      <c r="D47" s="2304" t="s">
        <v>41</v>
      </c>
      <c r="E47" s="2305" t="s">
        <v>34</v>
      </c>
      <c r="F47" s="2298" t="s">
        <v>667</v>
      </c>
      <c r="G47" s="2298" t="s">
        <v>1916</v>
      </c>
      <c r="H47" s="2303">
        <v>1</v>
      </c>
      <c r="I47" s="2303"/>
      <c r="J47" s="2305" t="s">
        <v>1374</v>
      </c>
      <c r="K47" s="600" t="s">
        <v>3028</v>
      </c>
      <c r="L47" s="600" t="s">
        <v>2296</v>
      </c>
    </row>
    <row r="48" spans="1:12" x14ac:dyDescent="0.35">
      <c r="A48" s="2303">
        <v>502</v>
      </c>
      <c r="B48" s="2303" t="s">
        <v>78</v>
      </c>
      <c r="C48" s="2303" t="s">
        <v>33</v>
      </c>
      <c r="D48" s="2304" t="s">
        <v>42</v>
      </c>
      <c r="E48" s="2305" t="s">
        <v>34</v>
      </c>
      <c r="F48" s="2298" t="s">
        <v>687</v>
      </c>
      <c r="G48" s="2298" t="s">
        <v>1726</v>
      </c>
      <c r="H48" s="2303">
        <v>1</v>
      </c>
      <c r="I48" s="2303"/>
      <c r="J48" s="2305" t="s">
        <v>1374</v>
      </c>
      <c r="K48" s="600" t="s">
        <v>3032</v>
      </c>
      <c r="L48" s="600" t="s">
        <v>2296</v>
      </c>
    </row>
    <row r="49" spans="1:12" x14ac:dyDescent="0.35">
      <c r="A49" s="2303">
        <v>492</v>
      </c>
      <c r="B49" s="2303" t="s">
        <v>78</v>
      </c>
      <c r="C49" s="2303" t="s">
        <v>33</v>
      </c>
      <c r="D49" s="2307" t="s">
        <v>276</v>
      </c>
      <c r="E49" s="2305" t="s">
        <v>34</v>
      </c>
      <c r="F49" s="2298" t="s">
        <v>287</v>
      </c>
      <c r="G49" s="2298" t="s">
        <v>1729</v>
      </c>
      <c r="H49" s="2303">
        <v>1</v>
      </c>
      <c r="I49" s="2303"/>
      <c r="J49" s="2305" t="s">
        <v>1373</v>
      </c>
      <c r="K49" s="600" t="s">
        <v>3025</v>
      </c>
      <c r="L49" s="600" t="s">
        <v>4</v>
      </c>
    </row>
    <row r="50" spans="1:12" x14ac:dyDescent="0.35">
      <c r="A50" s="2303">
        <v>493</v>
      </c>
      <c r="B50" s="2303" t="s">
        <v>78</v>
      </c>
      <c r="C50" s="2303" t="s">
        <v>33</v>
      </c>
      <c r="D50" s="2307" t="s">
        <v>277</v>
      </c>
      <c r="E50" s="2305" t="s">
        <v>34</v>
      </c>
      <c r="F50" s="2298" t="s">
        <v>287</v>
      </c>
      <c r="G50" s="2298" t="s">
        <v>1729</v>
      </c>
      <c r="H50" s="2303">
        <v>1</v>
      </c>
      <c r="I50" s="2303"/>
      <c r="J50" s="2305" t="s">
        <v>1373</v>
      </c>
      <c r="K50" s="600" t="s">
        <v>3025</v>
      </c>
      <c r="L50" s="600" t="s">
        <v>4</v>
      </c>
    </row>
    <row r="51" spans="1:12" x14ac:dyDescent="0.35">
      <c r="A51" s="2303">
        <v>500</v>
      </c>
      <c r="B51" s="2303" t="s">
        <v>78</v>
      </c>
      <c r="C51" s="2303" t="s">
        <v>33</v>
      </c>
      <c r="D51" s="2307" t="s">
        <v>43</v>
      </c>
      <c r="E51" s="2305" t="s">
        <v>34</v>
      </c>
      <c r="F51" s="2298" t="s">
        <v>1710</v>
      </c>
      <c r="G51" s="2298" t="s">
        <v>1711</v>
      </c>
      <c r="H51" s="2303">
        <v>1</v>
      </c>
      <c r="I51" s="2303"/>
      <c r="J51" s="2305" t="s">
        <v>1373</v>
      </c>
      <c r="K51" s="600" t="s">
        <v>3033</v>
      </c>
      <c r="L51" s="600" t="s">
        <v>3030</v>
      </c>
    </row>
    <row r="52" spans="1:12" x14ac:dyDescent="0.35">
      <c r="A52" s="2308">
        <v>905</v>
      </c>
      <c r="B52" s="2308" t="s">
        <v>78</v>
      </c>
      <c r="C52" s="2308" t="s">
        <v>1864</v>
      </c>
      <c r="D52" s="2298" t="s">
        <v>3</v>
      </c>
      <c r="E52" s="2305" t="s">
        <v>20</v>
      </c>
      <c r="F52" s="2298" t="s">
        <v>506</v>
      </c>
      <c r="G52" s="2298" t="s">
        <v>1270</v>
      </c>
      <c r="H52" s="2303">
        <v>1</v>
      </c>
      <c r="I52" s="2303"/>
      <c r="J52" s="2305" t="s">
        <v>1374</v>
      </c>
      <c r="K52" s="600" t="s">
        <v>2957</v>
      </c>
      <c r="L52" s="600" t="s">
        <v>20</v>
      </c>
    </row>
    <row r="53" spans="1:12" x14ac:dyDescent="0.35">
      <c r="A53" s="2303">
        <v>766</v>
      </c>
      <c r="B53" s="2303" t="s">
        <v>78</v>
      </c>
      <c r="C53" s="2303" t="s">
        <v>1072</v>
      </c>
      <c r="D53" s="2309" t="s">
        <v>1751</v>
      </c>
      <c r="E53" s="2305" t="s">
        <v>7</v>
      </c>
      <c r="F53" s="2298" t="s">
        <v>643</v>
      </c>
      <c r="G53" s="2298" t="s">
        <v>1725</v>
      </c>
      <c r="H53" s="2303">
        <v>1</v>
      </c>
      <c r="I53" s="2303"/>
      <c r="J53" s="2305" t="s">
        <v>1373</v>
      </c>
      <c r="K53" s="600" t="s">
        <v>3027</v>
      </c>
      <c r="L53" s="600" t="s">
        <v>2296</v>
      </c>
    </row>
    <row r="54" spans="1:12" x14ac:dyDescent="0.35">
      <c r="A54" s="2303">
        <v>751</v>
      </c>
      <c r="B54" s="2303" t="s">
        <v>78</v>
      </c>
      <c r="C54" s="2303" t="s">
        <v>1072</v>
      </c>
      <c r="D54" s="2304" t="s">
        <v>1752</v>
      </c>
      <c r="E54" s="2305" t="s">
        <v>7</v>
      </c>
      <c r="F54" s="2298" t="s">
        <v>667</v>
      </c>
      <c r="G54" s="2298" t="s">
        <v>1916</v>
      </c>
      <c r="H54" s="2303">
        <v>1</v>
      </c>
      <c r="I54" s="2303"/>
      <c r="J54" s="2305" t="s">
        <v>1373</v>
      </c>
      <c r="K54" s="600" t="s">
        <v>3028</v>
      </c>
      <c r="L54" s="600" t="s">
        <v>2296</v>
      </c>
    </row>
    <row r="55" spans="1:12" x14ac:dyDescent="0.35">
      <c r="A55" s="2303">
        <v>767</v>
      </c>
      <c r="B55" s="2303" t="s">
        <v>78</v>
      </c>
      <c r="C55" s="2303" t="s">
        <v>1072</v>
      </c>
      <c r="D55" s="2304" t="s">
        <v>1753</v>
      </c>
      <c r="E55" s="2305" t="s">
        <v>7</v>
      </c>
      <c r="F55" s="2298" t="s">
        <v>643</v>
      </c>
      <c r="G55" s="2298" t="s">
        <v>1725</v>
      </c>
      <c r="H55" s="2303">
        <v>1</v>
      </c>
      <c r="I55" s="2303"/>
      <c r="J55" s="2305" t="s">
        <v>1374</v>
      </c>
      <c r="K55" s="600" t="s">
        <v>3027</v>
      </c>
      <c r="L55" s="600" t="s">
        <v>2296</v>
      </c>
    </row>
    <row r="56" spans="1:12" x14ac:dyDescent="0.35">
      <c r="A56" s="2303">
        <v>752</v>
      </c>
      <c r="B56" s="2303" t="s">
        <v>78</v>
      </c>
      <c r="C56" s="2303" t="s">
        <v>1072</v>
      </c>
      <c r="D56" s="2304" t="s">
        <v>1754</v>
      </c>
      <c r="E56" s="2305" t="s">
        <v>7</v>
      </c>
      <c r="F56" s="2298" t="s">
        <v>667</v>
      </c>
      <c r="G56" s="2298" t="s">
        <v>1916</v>
      </c>
      <c r="H56" s="2303">
        <v>1</v>
      </c>
      <c r="I56" s="2303"/>
      <c r="J56" s="2305" t="s">
        <v>1374</v>
      </c>
      <c r="K56" s="600" t="s">
        <v>3028</v>
      </c>
      <c r="L56" s="600" t="s">
        <v>2296</v>
      </c>
    </row>
    <row r="57" spans="1:12" x14ac:dyDescent="0.35">
      <c r="A57" s="2303">
        <v>711</v>
      </c>
      <c r="B57" s="2303" t="s">
        <v>78</v>
      </c>
      <c r="C57" s="2303" t="s">
        <v>1072</v>
      </c>
      <c r="D57" s="2304" t="s">
        <v>1755</v>
      </c>
      <c r="E57" s="2305" t="s">
        <v>7</v>
      </c>
      <c r="F57" s="2298" t="s">
        <v>710</v>
      </c>
      <c r="G57" s="2298" t="s">
        <v>1730</v>
      </c>
      <c r="H57" s="2303">
        <v>1</v>
      </c>
      <c r="I57" s="2303"/>
      <c r="J57" s="2305" t="s">
        <v>1373</v>
      </c>
      <c r="K57" s="600" t="s">
        <v>711</v>
      </c>
      <c r="L57" s="600" t="s">
        <v>3034</v>
      </c>
    </row>
    <row r="58" spans="1:12" x14ac:dyDescent="0.35">
      <c r="A58" s="2303">
        <v>762</v>
      </c>
      <c r="B58" s="2303" t="s">
        <v>78</v>
      </c>
      <c r="C58" s="2303" t="s">
        <v>1072</v>
      </c>
      <c r="D58" s="2304" t="s">
        <v>1756</v>
      </c>
      <c r="E58" s="2305" t="s">
        <v>7</v>
      </c>
      <c r="F58" s="2298" t="s">
        <v>564</v>
      </c>
      <c r="G58" s="2298" t="s">
        <v>1732</v>
      </c>
      <c r="H58" s="2303">
        <v>1</v>
      </c>
      <c r="I58" s="2303"/>
      <c r="J58" s="2305" t="s">
        <v>1373</v>
      </c>
      <c r="K58" s="600" t="s">
        <v>565</v>
      </c>
      <c r="L58" s="600" t="s">
        <v>3034</v>
      </c>
    </row>
    <row r="59" spans="1:12" x14ac:dyDescent="0.35">
      <c r="A59" s="2303">
        <v>764</v>
      </c>
      <c r="B59" s="2303" t="s">
        <v>78</v>
      </c>
      <c r="C59" s="2303" t="s">
        <v>1072</v>
      </c>
      <c r="D59" s="2304" t="s">
        <v>1757</v>
      </c>
      <c r="E59" s="2305" t="s">
        <v>7</v>
      </c>
      <c r="F59" s="2298" t="s">
        <v>564</v>
      </c>
      <c r="G59" s="2298" t="s">
        <v>1732</v>
      </c>
      <c r="H59" s="2303">
        <v>1</v>
      </c>
      <c r="I59" s="2303"/>
      <c r="J59" s="2305" t="s">
        <v>1373</v>
      </c>
      <c r="K59" s="600" t="s">
        <v>565</v>
      </c>
      <c r="L59" s="600" t="s">
        <v>3034</v>
      </c>
    </row>
    <row r="60" spans="1:12" x14ac:dyDescent="0.35">
      <c r="A60" s="2303">
        <v>737</v>
      </c>
      <c r="B60" s="2303" t="s">
        <v>78</v>
      </c>
      <c r="C60" s="2303" t="s">
        <v>1072</v>
      </c>
      <c r="D60" s="2304" t="s">
        <v>1758</v>
      </c>
      <c r="E60" s="2305" t="s">
        <v>7</v>
      </c>
      <c r="F60" s="2298" t="s">
        <v>746</v>
      </c>
      <c r="G60" s="2298" t="s">
        <v>1731</v>
      </c>
      <c r="H60" s="2303">
        <v>1</v>
      </c>
      <c r="I60" s="2303"/>
      <c r="J60" s="2305" t="s">
        <v>1373</v>
      </c>
      <c r="K60" s="600" t="s">
        <v>747</v>
      </c>
      <c r="L60" s="600" t="s">
        <v>3034</v>
      </c>
    </row>
    <row r="61" spans="1:12" x14ac:dyDescent="0.35">
      <c r="A61" s="2303">
        <v>712</v>
      </c>
      <c r="B61" s="2303" t="s">
        <v>78</v>
      </c>
      <c r="C61" s="2303" t="s">
        <v>1072</v>
      </c>
      <c r="D61" s="2304" t="s">
        <v>1759</v>
      </c>
      <c r="E61" s="2305" t="s">
        <v>7</v>
      </c>
      <c r="F61" s="2298" t="s">
        <v>710</v>
      </c>
      <c r="G61" s="2298" t="s">
        <v>1730</v>
      </c>
      <c r="H61" s="2303">
        <v>1</v>
      </c>
      <c r="I61" s="2303"/>
      <c r="J61" s="2305" t="s">
        <v>1374</v>
      </c>
      <c r="K61" s="600" t="s">
        <v>711</v>
      </c>
      <c r="L61" s="600" t="s">
        <v>3034</v>
      </c>
    </row>
    <row r="62" spans="1:12" x14ac:dyDescent="0.35">
      <c r="A62" s="2303">
        <v>763</v>
      </c>
      <c r="B62" s="2303" t="s">
        <v>78</v>
      </c>
      <c r="C62" s="2303" t="s">
        <v>1072</v>
      </c>
      <c r="D62" s="2304" t="s">
        <v>1760</v>
      </c>
      <c r="E62" s="2305" t="s">
        <v>7</v>
      </c>
      <c r="F62" s="2298" t="s">
        <v>564</v>
      </c>
      <c r="G62" s="2298" t="s">
        <v>1732</v>
      </c>
      <c r="H62" s="2303">
        <v>1</v>
      </c>
      <c r="I62" s="2303"/>
      <c r="J62" s="2305" t="s">
        <v>1374</v>
      </c>
      <c r="K62" s="600" t="s">
        <v>565</v>
      </c>
      <c r="L62" s="600" t="s">
        <v>3034</v>
      </c>
    </row>
    <row r="63" spans="1:12" x14ac:dyDescent="0.35">
      <c r="A63" s="2303">
        <v>765</v>
      </c>
      <c r="B63" s="2303" t="s">
        <v>78</v>
      </c>
      <c r="C63" s="2303" t="s">
        <v>1072</v>
      </c>
      <c r="D63" s="2304" t="s">
        <v>1761</v>
      </c>
      <c r="E63" s="2305" t="s">
        <v>7</v>
      </c>
      <c r="F63" s="2298" t="s">
        <v>564</v>
      </c>
      <c r="G63" s="2298" t="s">
        <v>1732</v>
      </c>
      <c r="H63" s="2303">
        <v>1</v>
      </c>
      <c r="I63" s="2303"/>
      <c r="J63" s="2305" t="s">
        <v>1374</v>
      </c>
      <c r="K63" s="600" t="s">
        <v>565</v>
      </c>
      <c r="L63" s="600" t="s">
        <v>3034</v>
      </c>
    </row>
    <row r="64" spans="1:12" x14ac:dyDescent="0.35">
      <c r="A64" s="2303">
        <v>738</v>
      </c>
      <c r="B64" s="2303" t="s">
        <v>78</v>
      </c>
      <c r="C64" s="2303" t="s">
        <v>1072</v>
      </c>
      <c r="D64" s="2304" t="s">
        <v>1762</v>
      </c>
      <c r="E64" s="2305" t="s">
        <v>7</v>
      </c>
      <c r="F64" s="2298" t="s">
        <v>746</v>
      </c>
      <c r="G64" s="2298" t="s">
        <v>1731</v>
      </c>
      <c r="H64" s="2303">
        <v>1</v>
      </c>
      <c r="I64" s="2303"/>
      <c r="J64" s="2305" t="s">
        <v>1374</v>
      </c>
      <c r="K64" s="600" t="s">
        <v>747</v>
      </c>
      <c r="L64" s="600" t="s">
        <v>3034</v>
      </c>
    </row>
    <row r="65" spans="1:12" x14ac:dyDescent="0.35">
      <c r="A65" s="2303">
        <v>720</v>
      </c>
      <c r="B65" s="2303" t="s">
        <v>78</v>
      </c>
      <c r="C65" s="2303" t="s">
        <v>1072</v>
      </c>
      <c r="D65" s="2304" t="s">
        <v>1763</v>
      </c>
      <c r="E65" s="2305" t="s">
        <v>7</v>
      </c>
      <c r="F65" s="2298" t="s">
        <v>782</v>
      </c>
      <c r="G65" s="2298" t="s">
        <v>1716</v>
      </c>
      <c r="H65" s="2303">
        <v>1</v>
      </c>
      <c r="I65" s="2303"/>
      <c r="J65" s="2305" t="s">
        <v>1373</v>
      </c>
      <c r="K65" s="600" t="s">
        <v>783</v>
      </c>
      <c r="L65" s="600" t="s">
        <v>20</v>
      </c>
    </row>
    <row r="66" spans="1:12" x14ac:dyDescent="0.35">
      <c r="A66" s="2303">
        <v>760</v>
      </c>
      <c r="B66" s="2303" t="s">
        <v>78</v>
      </c>
      <c r="C66" s="2303" t="s">
        <v>1072</v>
      </c>
      <c r="D66" s="2304" t="s">
        <v>1764</v>
      </c>
      <c r="E66" s="2305" t="s">
        <v>7</v>
      </c>
      <c r="F66" s="2298" t="s">
        <v>563</v>
      </c>
      <c r="G66" s="2298" t="s">
        <v>1721</v>
      </c>
      <c r="H66" s="2303">
        <v>1</v>
      </c>
      <c r="I66" s="2303"/>
      <c r="J66" s="2305" t="s">
        <v>1373</v>
      </c>
      <c r="K66" s="600" t="s">
        <v>3022</v>
      </c>
      <c r="L66" s="600" t="s">
        <v>20</v>
      </c>
    </row>
    <row r="67" spans="1:12" x14ac:dyDescent="0.35">
      <c r="A67" s="2303">
        <v>719</v>
      </c>
      <c r="B67" s="2303" t="s">
        <v>78</v>
      </c>
      <c r="C67" s="2303" t="s">
        <v>1072</v>
      </c>
      <c r="D67" s="2304" t="s">
        <v>1765</v>
      </c>
      <c r="E67" s="2305" t="s">
        <v>7</v>
      </c>
      <c r="F67" s="2298" t="s">
        <v>1378</v>
      </c>
      <c r="G67" s="2298" t="s">
        <v>1717</v>
      </c>
      <c r="H67" s="2303">
        <v>1</v>
      </c>
      <c r="I67" s="2303"/>
      <c r="J67" s="2305" t="s">
        <v>1374</v>
      </c>
      <c r="K67" s="600" t="s">
        <v>3035</v>
      </c>
      <c r="L67" s="600" t="s">
        <v>20</v>
      </c>
    </row>
    <row r="68" spans="1:12" x14ac:dyDescent="0.35">
      <c r="A68" s="2303">
        <v>761</v>
      </c>
      <c r="B68" s="2303" t="s">
        <v>78</v>
      </c>
      <c r="C68" s="2303" t="s">
        <v>1072</v>
      </c>
      <c r="D68" s="2304" t="s">
        <v>1766</v>
      </c>
      <c r="E68" s="2305" t="s">
        <v>7</v>
      </c>
      <c r="F68" s="2298" t="s">
        <v>563</v>
      </c>
      <c r="G68" s="2298" t="s">
        <v>1721</v>
      </c>
      <c r="H68" s="2303">
        <v>1</v>
      </c>
      <c r="I68" s="2303"/>
      <c r="J68" s="2305" t="s">
        <v>1374</v>
      </c>
      <c r="K68" s="600" t="s">
        <v>3022</v>
      </c>
      <c r="L68" s="600" t="s">
        <v>20</v>
      </c>
    </row>
    <row r="69" spans="1:12" x14ac:dyDescent="0.35">
      <c r="A69" s="2303">
        <v>716</v>
      </c>
      <c r="B69" s="2303" t="s">
        <v>78</v>
      </c>
      <c r="C69" s="2303" t="s">
        <v>1072</v>
      </c>
      <c r="D69" s="2304" t="s">
        <v>1767</v>
      </c>
      <c r="E69" s="2305" t="s">
        <v>7</v>
      </c>
      <c r="F69" s="2298" t="s">
        <v>710</v>
      </c>
      <c r="G69" s="2298" t="s">
        <v>1730</v>
      </c>
      <c r="H69" s="2303">
        <v>1</v>
      </c>
      <c r="I69" s="2303"/>
      <c r="J69" s="2305" t="s">
        <v>1373</v>
      </c>
      <c r="K69" s="600" t="s">
        <v>711</v>
      </c>
      <c r="L69" s="600" t="s">
        <v>3034</v>
      </c>
    </row>
    <row r="70" spans="1:12" x14ac:dyDescent="0.35">
      <c r="A70" s="2303">
        <v>747</v>
      </c>
      <c r="B70" s="2303" t="s">
        <v>78</v>
      </c>
      <c r="C70" s="2303" t="s">
        <v>1072</v>
      </c>
      <c r="D70" s="2304" t="s">
        <v>1768</v>
      </c>
      <c r="E70" s="2305" t="s">
        <v>7</v>
      </c>
      <c r="F70" s="2298" t="s">
        <v>782</v>
      </c>
      <c r="G70" s="2298" t="s">
        <v>1716</v>
      </c>
      <c r="H70" s="2303">
        <v>1</v>
      </c>
      <c r="I70" s="2303"/>
      <c r="J70" s="2305" t="s">
        <v>1373</v>
      </c>
      <c r="K70" s="600" t="s">
        <v>783</v>
      </c>
      <c r="L70" s="600" t="s">
        <v>20</v>
      </c>
    </row>
    <row r="71" spans="1:12" x14ac:dyDescent="0.35">
      <c r="A71" s="2310">
        <v>741</v>
      </c>
      <c r="B71" s="2310" t="s">
        <v>78</v>
      </c>
      <c r="C71" s="2310" t="s">
        <v>1072</v>
      </c>
      <c r="D71" s="2309" t="s">
        <v>1769</v>
      </c>
      <c r="E71" s="2305" t="s">
        <v>7</v>
      </c>
      <c r="F71" s="2298" t="s">
        <v>363</v>
      </c>
      <c r="G71" s="2298" t="s">
        <v>1715</v>
      </c>
      <c r="H71" s="2303">
        <v>1</v>
      </c>
      <c r="I71" s="2303"/>
      <c r="J71" s="2305" t="s">
        <v>1373</v>
      </c>
      <c r="K71" s="600" t="s">
        <v>3036</v>
      </c>
      <c r="L71" s="600" t="s">
        <v>20</v>
      </c>
    </row>
    <row r="72" spans="1:12" x14ac:dyDescent="0.35">
      <c r="A72" s="2310">
        <v>745</v>
      </c>
      <c r="B72" s="2310" t="s">
        <v>78</v>
      </c>
      <c r="C72" s="2310" t="s">
        <v>1072</v>
      </c>
      <c r="D72" s="2309" t="s">
        <v>1770</v>
      </c>
      <c r="E72" s="2305" t="s">
        <v>7</v>
      </c>
      <c r="F72" s="2298" t="s">
        <v>363</v>
      </c>
      <c r="G72" s="2298" t="s">
        <v>1715</v>
      </c>
      <c r="H72" s="2303">
        <v>1</v>
      </c>
      <c r="I72" s="2303"/>
      <c r="J72" s="2305" t="s">
        <v>1374</v>
      </c>
      <c r="K72" s="600" t="s">
        <v>3036</v>
      </c>
      <c r="L72" s="600" t="s">
        <v>20</v>
      </c>
    </row>
    <row r="73" spans="1:12" x14ac:dyDescent="0.35">
      <c r="A73" s="2303">
        <v>727</v>
      </c>
      <c r="B73" s="2303" t="s">
        <v>78</v>
      </c>
      <c r="C73" s="2303" t="s">
        <v>1072</v>
      </c>
      <c r="D73" s="2298" t="s">
        <v>1772</v>
      </c>
      <c r="E73" s="2305" t="s">
        <v>7</v>
      </c>
      <c r="F73" s="2298" t="s">
        <v>564</v>
      </c>
      <c r="G73" s="2298" t="s">
        <v>1732</v>
      </c>
      <c r="H73" s="2303">
        <v>1</v>
      </c>
      <c r="I73" s="2303"/>
      <c r="J73" s="2305" t="s">
        <v>1373</v>
      </c>
      <c r="K73" s="600" t="s">
        <v>565</v>
      </c>
      <c r="L73" s="600" t="s">
        <v>3034</v>
      </c>
    </row>
    <row r="74" spans="1:12" x14ac:dyDescent="0.35">
      <c r="A74" s="2303">
        <v>732</v>
      </c>
      <c r="B74" s="2303" t="s">
        <v>78</v>
      </c>
      <c r="C74" s="2303" t="s">
        <v>1072</v>
      </c>
      <c r="D74" s="2298" t="s">
        <v>1773</v>
      </c>
      <c r="E74" s="2305" t="s">
        <v>7</v>
      </c>
      <c r="F74" s="2298" t="s">
        <v>564</v>
      </c>
      <c r="G74" s="2298" t="s">
        <v>1732</v>
      </c>
      <c r="H74" s="2303">
        <v>1</v>
      </c>
      <c r="I74" s="2303"/>
      <c r="J74" s="2305" t="s">
        <v>1373</v>
      </c>
      <c r="K74" s="600" t="s">
        <v>565</v>
      </c>
      <c r="L74" s="600" t="s">
        <v>3034</v>
      </c>
    </row>
    <row r="75" spans="1:12" x14ac:dyDescent="0.35">
      <c r="A75" s="2303">
        <v>734</v>
      </c>
      <c r="B75" s="2303" t="s">
        <v>78</v>
      </c>
      <c r="C75" s="2303" t="s">
        <v>1072</v>
      </c>
      <c r="D75" s="2298" t="s">
        <v>1774</v>
      </c>
      <c r="E75" s="2305" t="s">
        <v>7</v>
      </c>
      <c r="F75" s="2298" t="s">
        <v>564</v>
      </c>
      <c r="G75" s="2298" t="s">
        <v>1732</v>
      </c>
      <c r="H75" s="2303">
        <v>1</v>
      </c>
      <c r="I75" s="2303"/>
      <c r="J75" s="2305" t="s">
        <v>1373</v>
      </c>
      <c r="K75" s="600" t="s">
        <v>565</v>
      </c>
      <c r="L75" s="600" t="s">
        <v>3034</v>
      </c>
    </row>
    <row r="76" spans="1:12" x14ac:dyDescent="0.35">
      <c r="A76" s="2303">
        <v>724</v>
      </c>
      <c r="B76" s="2303" t="s">
        <v>78</v>
      </c>
      <c r="C76" s="2303" t="s">
        <v>1072</v>
      </c>
      <c r="D76" s="2298" t="s">
        <v>1775</v>
      </c>
      <c r="E76" s="2305" t="s">
        <v>7</v>
      </c>
      <c r="F76" s="2298" t="s">
        <v>564</v>
      </c>
      <c r="G76" s="2298" t="s">
        <v>1732</v>
      </c>
      <c r="H76" s="2303">
        <v>1</v>
      </c>
      <c r="I76" s="2303"/>
      <c r="J76" s="2305" t="s">
        <v>1373</v>
      </c>
      <c r="K76" s="600" t="s">
        <v>565</v>
      </c>
      <c r="L76" s="600" t="s">
        <v>3034</v>
      </c>
    </row>
    <row r="77" spans="1:12" x14ac:dyDescent="0.35">
      <c r="A77" s="2303">
        <v>726</v>
      </c>
      <c r="B77" s="2303" t="s">
        <v>78</v>
      </c>
      <c r="C77" s="2303" t="s">
        <v>1072</v>
      </c>
      <c r="D77" s="2298" t="s">
        <v>1776</v>
      </c>
      <c r="E77" s="2305" t="s">
        <v>7</v>
      </c>
      <c r="F77" s="2298" t="s">
        <v>564</v>
      </c>
      <c r="G77" s="2298" t="s">
        <v>1732</v>
      </c>
      <c r="H77" s="2303">
        <v>1</v>
      </c>
      <c r="I77" s="2303"/>
      <c r="J77" s="2305" t="s">
        <v>1373</v>
      </c>
      <c r="K77" s="600" t="s">
        <v>565</v>
      </c>
      <c r="L77" s="600" t="s">
        <v>3034</v>
      </c>
    </row>
    <row r="78" spans="1:12" x14ac:dyDescent="0.35">
      <c r="A78" s="2303">
        <v>748</v>
      </c>
      <c r="B78" s="2303" t="s">
        <v>78</v>
      </c>
      <c r="C78" s="2303" t="s">
        <v>1072</v>
      </c>
      <c r="D78" s="2298" t="s">
        <v>1777</v>
      </c>
      <c r="E78" s="2305" t="s">
        <v>7</v>
      </c>
      <c r="F78" s="2298" t="s">
        <v>782</v>
      </c>
      <c r="G78" s="2298" t="s">
        <v>1716</v>
      </c>
      <c r="H78" s="2303">
        <v>1</v>
      </c>
      <c r="I78" s="2303"/>
      <c r="J78" s="2305" t="s">
        <v>1373</v>
      </c>
      <c r="K78" s="600" t="s">
        <v>783</v>
      </c>
      <c r="L78" s="600" t="s">
        <v>20</v>
      </c>
    </row>
    <row r="79" spans="1:12" x14ac:dyDescent="0.35">
      <c r="A79" s="2303">
        <v>710</v>
      </c>
      <c r="B79" s="2303" t="s">
        <v>78</v>
      </c>
      <c r="C79" s="2303" t="s">
        <v>1072</v>
      </c>
      <c r="D79" s="2304" t="s">
        <v>1778</v>
      </c>
      <c r="E79" s="2305" t="s">
        <v>7</v>
      </c>
      <c r="F79" s="2298" t="s">
        <v>767</v>
      </c>
      <c r="G79" s="2298" t="s">
        <v>1718</v>
      </c>
      <c r="H79" s="2303">
        <v>1</v>
      </c>
      <c r="I79" s="2303"/>
      <c r="J79" s="2305" t="s">
        <v>1374</v>
      </c>
      <c r="K79" s="600" t="s">
        <v>768</v>
      </c>
      <c r="L79" s="600" t="s">
        <v>20</v>
      </c>
    </row>
    <row r="80" spans="1:12" x14ac:dyDescent="0.35">
      <c r="A80" s="2303">
        <v>768</v>
      </c>
      <c r="B80" s="2303" t="s">
        <v>78</v>
      </c>
      <c r="C80" s="2303" t="s">
        <v>1072</v>
      </c>
      <c r="D80" s="2298" t="s">
        <v>1779</v>
      </c>
      <c r="E80" s="2305" t="s">
        <v>7</v>
      </c>
      <c r="F80" s="2298" t="s">
        <v>506</v>
      </c>
      <c r="G80" s="2298" t="s">
        <v>1270</v>
      </c>
      <c r="H80" s="2303">
        <v>1</v>
      </c>
      <c r="I80" s="2303"/>
      <c r="J80" s="2305" t="s">
        <v>1373</v>
      </c>
      <c r="K80" s="600" t="s">
        <v>2957</v>
      </c>
      <c r="L80" s="600" t="s">
        <v>20</v>
      </c>
    </row>
    <row r="81" spans="1:12" x14ac:dyDescent="0.35">
      <c r="A81" s="2303">
        <v>770</v>
      </c>
      <c r="B81" s="2303" t="s">
        <v>78</v>
      </c>
      <c r="C81" s="2303" t="s">
        <v>1072</v>
      </c>
      <c r="D81" s="2298" t="s">
        <v>1780</v>
      </c>
      <c r="E81" s="2305" t="s">
        <v>7</v>
      </c>
      <c r="F81" s="2298" t="s">
        <v>506</v>
      </c>
      <c r="G81" s="2298" t="s">
        <v>1270</v>
      </c>
      <c r="H81" s="2303">
        <v>1</v>
      </c>
      <c r="I81" s="2303"/>
      <c r="J81" s="2305" t="s">
        <v>1373</v>
      </c>
      <c r="K81" s="600" t="s">
        <v>2957</v>
      </c>
      <c r="L81" s="600" t="s">
        <v>20</v>
      </c>
    </row>
    <row r="82" spans="1:12" x14ac:dyDescent="0.35">
      <c r="A82" s="2303">
        <v>772</v>
      </c>
      <c r="B82" s="2303" t="s">
        <v>78</v>
      </c>
      <c r="C82" s="2303" t="s">
        <v>1072</v>
      </c>
      <c r="D82" s="2298" t="s">
        <v>1781</v>
      </c>
      <c r="E82" s="2305" t="s">
        <v>7</v>
      </c>
      <c r="F82" s="2298" t="s">
        <v>506</v>
      </c>
      <c r="G82" s="2298" t="s">
        <v>1270</v>
      </c>
      <c r="H82" s="2303">
        <v>1</v>
      </c>
      <c r="I82" s="2303"/>
      <c r="J82" s="2305" t="s">
        <v>1374</v>
      </c>
      <c r="K82" s="600" t="s">
        <v>2957</v>
      </c>
      <c r="L82" s="600" t="s">
        <v>20</v>
      </c>
    </row>
    <row r="83" spans="1:12" x14ac:dyDescent="0.35">
      <c r="A83" s="2303">
        <v>771</v>
      </c>
      <c r="B83" s="2303" t="s">
        <v>78</v>
      </c>
      <c r="C83" s="2303" t="s">
        <v>1072</v>
      </c>
      <c r="D83" s="2298" t="s">
        <v>1782</v>
      </c>
      <c r="E83" s="2305" t="s">
        <v>7</v>
      </c>
      <c r="F83" s="2298" t="s">
        <v>506</v>
      </c>
      <c r="G83" s="2298" t="s">
        <v>1270</v>
      </c>
      <c r="H83" s="2303">
        <v>1</v>
      </c>
      <c r="I83" s="2303"/>
      <c r="J83" s="2305" t="s">
        <v>1374</v>
      </c>
      <c r="K83" s="600" t="s">
        <v>2957</v>
      </c>
      <c r="L83" s="600" t="s">
        <v>20</v>
      </c>
    </row>
    <row r="84" spans="1:12" x14ac:dyDescent="0.35">
      <c r="A84" s="2303">
        <v>740</v>
      </c>
      <c r="B84" s="2303" t="s">
        <v>78</v>
      </c>
      <c r="C84" s="2303" t="s">
        <v>1072</v>
      </c>
      <c r="D84" s="2311" t="s">
        <v>1783</v>
      </c>
      <c r="E84" s="2305" t="s">
        <v>7</v>
      </c>
      <c r="F84" s="2298" t="s">
        <v>363</v>
      </c>
      <c r="G84" s="2298" t="s">
        <v>1715</v>
      </c>
      <c r="H84" s="2303">
        <v>1</v>
      </c>
      <c r="I84" s="2303"/>
      <c r="J84" s="2305" t="s">
        <v>1373</v>
      </c>
      <c r="K84" s="600" t="s">
        <v>3036</v>
      </c>
      <c r="L84" s="600" t="s">
        <v>20</v>
      </c>
    </row>
    <row r="85" spans="1:12" x14ac:dyDescent="0.35">
      <c r="A85" s="2303">
        <v>742</v>
      </c>
      <c r="B85" s="2303" t="s">
        <v>78</v>
      </c>
      <c r="C85" s="2303" t="s">
        <v>1072</v>
      </c>
      <c r="D85" s="2311" t="s">
        <v>1784</v>
      </c>
      <c r="E85" s="2305" t="s">
        <v>7</v>
      </c>
      <c r="F85" s="2298" t="s">
        <v>363</v>
      </c>
      <c r="G85" s="2298" t="s">
        <v>1715</v>
      </c>
      <c r="H85" s="2303">
        <v>1</v>
      </c>
      <c r="I85" s="2303"/>
      <c r="J85" s="2305" t="s">
        <v>1373</v>
      </c>
      <c r="K85" s="600" t="s">
        <v>3036</v>
      </c>
      <c r="L85" s="600" t="s">
        <v>20</v>
      </c>
    </row>
    <row r="86" spans="1:12" x14ac:dyDescent="0.35">
      <c r="A86" s="2303">
        <v>744</v>
      </c>
      <c r="B86" s="2303" t="s">
        <v>78</v>
      </c>
      <c r="C86" s="2303" t="s">
        <v>1072</v>
      </c>
      <c r="D86" s="2311" t="s">
        <v>1785</v>
      </c>
      <c r="E86" s="2305" t="s">
        <v>7</v>
      </c>
      <c r="F86" s="2298" t="s">
        <v>363</v>
      </c>
      <c r="G86" s="2298" t="s">
        <v>1715</v>
      </c>
      <c r="H86" s="2303">
        <v>1</v>
      </c>
      <c r="I86" s="2303"/>
      <c r="J86" s="2305" t="s">
        <v>1374</v>
      </c>
      <c r="K86" s="600" t="s">
        <v>3036</v>
      </c>
      <c r="L86" s="600" t="s">
        <v>20</v>
      </c>
    </row>
    <row r="87" spans="1:12" x14ac:dyDescent="0.35">
      <c r="A87" s="2303">
        <v>746</v>
      </c>
      <c r="B87" s="2303" t="s">
        <v>78</v>
      </c>
      <c r="C87" s="2303" t="s">
        <v>1072</v>
      </c>
      <c r="D87" s="2311" t="s">
        <v>1786</v>
      </c>
      <c r="E87" s="2305" t="s">
        <v>7</v>
      </c>
      <c r="F87" s="2298" t="s">
        <v>363</v>
      </c>
      <c r="G87" s="2298" t="s">
        <v>1715</v>
      </c>
      <c r="H87" s="2303">
        <v>1</v>
      </c>
      <c r="I87" s="2303"/>
      <c r="J87" s="2305" t="s">
        <v>1374</v>
      </c>
      <c r="K87" s="600" t="s">
        <v>3036</v>
      </c>
      <c r="L87" s="600" t="s">
        <v>20</v>
      </c>
    </row>
    <row r="88" spans="1:12" x14ac:dyDescent="0.35">
      <c r="A88" s="2303">
        <v>713</v>
      </c>
      <c r="B88" s="2303" t="s">
        <v>78</v>
      </c>
      <c r="C88" s="2303" t="s">
        <v>1072</v>
      </c>
      <c r="D88" s="2298" t="s">
        <v>1787</v>
      </c>
      <c r="E88" s="2305" t="s">
        <v>7</v>
      </c>
      <c r="F88" s="2298" t="s">
        <v>710</v>
      </c>
      <c r="G88" s="2298" t="s">
        <v>1730</v>
      </c>
      <c r="H88" s="2303">
        <v>1</v>
      </c>
      <c r="I88" s="2303"/>
      <c r="J88" s="2305" t="s">
        <v>1374</v>
      </c>
      <c r="K88" s="600" t="s">
        <v>711</v>
      </c>
      <c r="L88" s="600" t="s">
        <v>3034</v>
      </c>
    </row>
    <row r="89" spans="1:12" x14ac:dyDescent="0.35">
      <c r="A89" s="2303">
        <v>722</v>
      </c>
      <c r="B89" s="2303" t="s">
        <v>78</v>
      </c>
      <c r="C89" s="2303" t="s">
        <v>1072</v>
      </c>
      <c r="D89" s="2298" t="s">
        <v>1788</v>
      </c>
      <c r="E89" s="2305" t="s">
        <v>7</v>
      </c>
      <c r="F89" s="2298" t="s">
        <v>564</v>
      </c>
      <c r="G89" s="2298" t="s">
        <v>1732</v>
      </c>
      <c r="H89" s="2303">
        <v>1</v>
      </c>
      <c r="I89" s="2303"/>
      <c r="J89" s="2305" t="s">
        <v>1374</v>
      </c>
      <c r="K89" s="600" t="s">
        <v>565</v>
      </c>
      <c r="L89" s="600" t="s">
        <v>3034</v>
      </c>
    </row>
    <row r="90" spans="1:12" x14ac:dyDescent="0.35">
      <c r="A90" s="2303">
        <v>730</v>
      </c>
      <c r="B90" s="2303" t="s">
        <v>78</v>
      </c>
      <c r="C90" s="2303" t="s">
        <v>1072</v>
      </c>
      <c r="D90" s="2298" t="s">
        <v>1789</v>
      </c>
      <c r="E90" s="2305" t="s">
        <v>7</v>
      </c>
      <c r="F90" s="2298" t="s">
        <v>564</v>
      </c>
      <c r="G90" s="2298" t="s">
        <v>1732</v>
      </c>
      <c r="H90" s="2303">
        <v>1</v>
      </c>
      <c r="I90" s="2303"/>
      <c r="J90" s="2305" t="s">
        <v>1374</v>
      </c>
      <c r="K90" s="600" t="s">
        <v>565</v>
      </c>
      <c r="L90" s="600" t="s">
        <v>3034</v>
      </c>
    </row>
    <row r="91" spans="1:12" x14ac:dyDescent="0.35">
      <c r="A91" s="2303">
        <v>721</v>
      </c>
      <c r="B91" s="2303" t="s">
        <v>78</v>
      </c>
      <c r="C91" s="2303" t="s">
        <v>1072</v>
      </c>
      <c r="D91" s="2298" t="s">
        <v>1790</v>
      </c>
      <c r="E91" s="2305" t="s">
        <v>7</v>
      </c>
      <c r="F91" s="2298" t="s">
        <v>564</v>
      </c>
      <c r="G91" s="2298" t="s">
        <v>1732</v>
      </c>
      <c r="H91" s="2303">
        <v>1</v>
      </c>
      <c r="I91" s="2303"/>
      <c r="J91" s="2305" t="s">
        <v>1374</v>
      </c>
      <c r="K91" s="600" t="s">
        <v>565</v>
      </c>
      <c r="L91" s="600" t="s">
        <v>3034</v>
      </c>
    </row>
    <row r="92" spans="1:12" x14ac:dyDescent="0.35">
      <c r="A92" s="2303">
        <v>729</v>
      </c>
      <c r="B92" s="2303" t="s">
        <v>78</v>
      </c>
      <c r="C92" s="2303" t="s">
        <v>1072</v>
      </c>
      <c r="D92" s="2298" t="s">
        <v>1791</v>
      </c>
      <c r="E92" s="2305" t="s">
        <v>7</v>
      </c>
      <c r="F92" s="2298" t="s">
        <v>564</v>
      </c>
      <c r="G92" s="2298" t="s">
        <v>1732</v>
      </c>
      <c r="H92" s="2303">
        <v>1</v>
      </c>
      <c r="I92" s="2303"/>
      <c r="J92" s="2305" t="s">
        <v>1374</v>
      </c>
      <c r="K92" s="600" t="s">
        <v>565</v>
      </c>
      <c r="L92" s="600" t="s">
        <v>3034</v>
      </c>
    </row>
    <row r="93" spans="1:12" x14ac:dyDescent="0.35">
      <c r="A93" s="2303">
        <v>758</v>
      </c>
      <c r="B93" s="2303" t="s">
        <v>78</v>
      </c>
      <c r="C93" s="2303" t="s">
        <v>1072</v>
      </c>
      <c r="D93" s="2298" t="s">
        <v>1792</v>
      </c>
      <c r="E93" s="2305" t="s">
        <v>7</v>
      </c>
      <c r="F93" s="2298" t="s">
        <v>483</v>
      </c>
      <c r="G93" s="2298" t="s">
        <v>1723</v>
      </c>
      <c r="H93" s="2303">
        <v>1</v>
      </c>
      <c r="I93" s="2303"/>
      <c r="J93" s="2305" t="s">
        <v>1373</v>
      </c>
      <c r="K93" s="600" t="s">
        <v>3031</v>
      </c>
      <c r="L93" s="600" t="s">
        <v>2296</v>
      </c>
    </row>
    <row r="94" spans="1:12" x14ac:dyDescent="0.35">
      <c r="A94" s="2303">
        <v>759</v>
      </c>
      <c r="B94" s="2303" t="s">
        <v>78</v>
      </c>
      <c r="C94" s="2303" t="s">
        <v>1072</v>
      </c>
      <c r="D94" s="2298" t="s">
        <v>1793</v>
      </c>
      <c r="E94" s="2305" t="s">
        <v>7</v>
      </c>
      <c r="F94" s="2298" t="s">
        <v>483</v>
      </c>
      <c r="G94" s="2298" t="s">
        <v>1723</v>
      </c>
      <c r="H94" s="2303">
        <v>1</v>
      </c>
      <c r="I94" s="2303"/>
      <c r="J94" s="2305" t="s">
        <v>1374</v>
      </c>
      <c r="K94" s="600" t="s">
        <v>3031</v>
      </c>
      <c r="L94" s="600" t="s">
        <v>2296</v>
      </c>
    </row>
    <row r="95" spans="1:12" x14ac:dyDescent="0.35">
      <c r="A95" s="2303">
        <v>749</v>
      </c>
      <c r="B95" s="2303" t="s">
        <v>78</v>
      </c>
      <c r="C95" s="2303" t="s">
        <v>1072</v>
      </c>
      <c r="D95" s="2304" t="s">
        <v>1794</v>
      </c>
      <c r="E95" s="2305" t="s">
        <v>7</v>
      </c>
      <c r="F95" s="2298" t="s">
        <v>306</v>
      </c>
      <c r="G95" s="2298" t="s">
        <v>1713</v>
      </c>
      <c r="H95" s="2303">
        <v>1</v>
      </c>
      <c r="I95" s="2303"/>
      <c r="J95" s="2305" t="s">
        <v>1373</v>
      </c>
      <c r="K95" s="600" t="s">
        <v>3023</v>
      </c>
      <c r="L95" s="600" t="s">
        <v>20</v>
      </c>
    </row>
    <row r="96" spans="1:12" x14ac:dyDescent="0.35">
      <c r="A96" s="2303">
        <v>706</v>
      </c>
      <c r="B96" s="2303" t="s">
        <v>78</v>
      </c>
      <c r="C96" s="2303" t="s">
        <v>1072</v>
      </c>
      <c r="D96" s="2298" t="s">
        <v>1795</v>
      </c>
      <c r="E96" s="2305" t="s">
        <v>878</v>
      </c>
      <c r="F96" s="2298" t="s">
        <v>643</v>
      </c>
      <c r="G96" s="2298" t="s">
        <v>1725</v>
      </c>
      <c r="H96" s="2303">
        <v>1</v>
      </c>
      <c r="I96" s="2303"/>
      <c r="J96" s="2305" t="s">
        <v>1373</v>
      </c>
      <c r="K96" s="600" t="s">
        <v>3027</v>
      </c>
      <c r="L96" s="600" t="s">
        <v>2296</v>
      </c>
    </row>
    <row r="97" spans="1:12" x14ac:dyDescent="0.35">
      <c r="A97" s="2303">
        <v>702</v>
      </c>
      <c r="B97" s="2303" t="s">
        <v>78</v>
      </c>
      <c r="C97" s="2303" t="s">
        <v>1072</v>
      </c>
      <c r="D97" s="2298" t="s">
        <v>1796</v>
      </c>
      <c r="E97" s="2305" t="s">
        <v>878</v>
      </c>
      <c r="F97" s="2298" t="s">
        <v>667</v>
      </c>
      <c r="G97" s="2298" t="s">
        <v>1916</v>
      </c>
      <c r="H97" s="2303">
        <v>1</v>
      </c>
      <c r="I97" s="2303"/>
      <c r="J97" s="2305" t="s">
        <v>1373</v>
      </c>
      <c r="K97" s="600" t="s">
        <v>3028</v>
      </c>
      <c r="L97" s="600" t="s">
        <v>2296</v>
      </c>
    </row>
    <row r="98" spans="1:12" x14ac:dyDescent="0.35">
      <c r="A98" s="2303">
        <v>701</v>
      </c>
      <c r="B98" s="2303" t="s">
        <v>78</v>
      </c>
      <c r="C98" s="2303" t="s">
        <v>1072</v>
      </c>
      <c r="D98" s="2298" t="s">
        <v>1797</v>
      </c>
      <c r="E98" s="2305" t="s">
        <v>878</v>
      </c>
      <c r="F98" s="2298" t="s">
        <v>667</v>
      </c>
      <c r="G98" s="2298" t="s">
        <v>1916</v>
      </c>
      <c r="H98" s="2303">
        <v>1</v>
      </c>
      <c r="I98" s="2303"/>
      <c r="J98" s="2305" t="s">
        <v>1373</v>
      </c>
      <c r="K98" s="600" t="s">
        <v>3028</v>
      </c>
      <c r="L98" s="600" t="s">
        <v>2296</v>
      </c>
    </row>
    <row r="99" spans="1:12" x14ac:dyDescent="0.35">
      <c r="A99" s="2312">
        <v>703</v>
      </c>
      <c r="B99" s="2303" t="s">
        <v>78</v>
      </c>
      <c r="C99" s="2312" t="s">
        <v>1072</v>
      </c>
      <c r="D99" s="2298" t="s">
        <v>1798</v>
      </c>
      <c r="E99" s="2305" t="s">
        <v>878</v>
      </c>
      <c r="F99" s="2298" t="s">
        <v>287</v>
      </c>
      <c r="G99" s="2298" t="s">
        <v>1729</v>
      </c>
      <c r="H99" s="2303">
        <v>1</v>
      </c>
      <c r="I99" s="2303"/>
      <c r="J99" s="2305" t="s">
        <v>1373</v>
      </c>
      <c r="K99" s="600" t="s">
        <v>3025</v>
      </c>
      <c r="L99" s="600" t="s">
        <v>4</v>
      </c>
    </row>
    <row r="100" spans="1:12" x14ac:dyDescent="0.35">
      <c r="A100" s="2312">
        <v>704</v>
      </c>
      <c r="B100" s="2303" t="s">
        <v>78</v>
      </c>
      <c r="C100" s="2312" t="s">
        <v>1072</v>
      </c>
      <c r="D100" s="2313" t="s">
        <v>1851</v>
      </c>
      <c r="E100" s="2305" t="s">
        <v>878</v>
      </c>
      <c r="F100" s="2298" t="s">
        <v>287</v>
      </c>
      <c r="G100" s="2298" t="s">
        <v>1729</v>
      </c>
      <c r="H100" s="2303">
        <v>1</v>
      </c>
      <c r="I100" s="2303"/>
      <c r="J100" s="2305" t="s">
        <v>1373</v>
      </c>
      <c r="K100" s="600" t="s">
        <v>3025</v>
      </c>
      <c r="L100" s="600" t="s">
        <v>4</v>
      </c>
    </row>
    <row r="101" spans="1:12" x14ac:dyDescent="0.35">
      <c r="A101" s="2312">
        <v>705</v>
      </c>
      <c r="B101" s="2303" t="s">
        <v>78</v>
      </c>
      <c r="C101" s="2312" t="s">
        <v>1072</v>
      </c>
      <c r="D101" s="2313" t="s">
        <v>1852</v>
      </c>
      <c r="E101" s="2305" t="s">
        <v>878</v>
      </c>
      <c r="F101" s="2298" t="s">
        <v>287</v>
      </c>
      <c r="G101" s="2298" t="s">
        <v>1729</v>
      </c>
      <c r="H101" s="2303">
        <v>1</v>
      </c>
      <c r="I101" s="2303"/>
      <c r="J101" s="2305" t="s">
        <v>1373</v>
      </c>
      <c r="K101" s="600" t="s">
        <v>3025</v>
      </c>
      <c r="L101" s="600" t="s">
        <v>4</v>
      </c>
    </row>
    <row r="102" spans="1:12" x14ac:dyDescent="0.35">
      <c r="A102" s="2303">
        <v>708</v>
      </c>
      <c r="B102" s="2303" t="s">
        <v>78</v>
      </c>
      <c r="C102" s="2303" t="s">
        <v>1072</v>
      </c>
      <c r="D102" s="2298" t="s">
        <v>1799</v>
      </c>
      <c r="E102" s="2305" t="s">
        <v>878</v>
      </c>
      <c r="F102" s="2298" t="s">
        <v>564</v>
      </c>
      <c r="G102" s="2298" t="s">
        <v>1732</v>
      </c>
      <c r="H102" s="2303">
        <v>1</v>
      </c>
      <c r="I102" s="2303"/>
      <c r="J102" s="2305" t="s">
        <v>1373</v>
      </c>
      <c r="K102" s="600" t="s">
        <v>565</v>
      </c>
      <c r="L102" s="600" t="s">
        <v>3034</v>
      </c>
    </row>
    <row r="103" spans="1:12" x14ac:dyDescent="0.35">
      <c r="A103" s="2303">
        <v>707</v>
      </c>
      <c r="B103" s="2303" t="s">
        <v>78</v>
      </c>
      <c r="C103" s="2303" t="s">
        <v>1072</v>
      </c>
      <c r="D103" s="2298" t="s">
        <v>1369</v>
      </c>
      <c r="E103" s="2305" t="s">
        <v>878</v>
      </c>
      <c r="F103" s="2298" t="s">
        <v>564</v>
      </c>
      <c r="G103" s="2298" t="s">
        <v>1732</v>
      </c>
      <c r="H103" s="2303">
        <v>1</v>
      </c>
      <c r="I103" s="2303"/>
      <c r="J103" s="2305" t="s">
        <v>1373</v>
      </c>
      <c r="K103" s="600" t="s">
        <v>565</v>
      </c>
      <c r="L103" s="600" t="s">
        <v>3034</v>
      </c>
    </row>
    <row r="104" spans="1:12" x14ac:dyDescent="0.35">
      <c r="A104" s="2303">
        <v>700</v>
      </c>
      <c r="B104" s="2303" t="s">
        <v>78</v>
      </c>
      <c r="C104" s="2303" t="s">
        <v>1072</v>
      </c>
      <c r="D104" s="2298" t="s">
        <v>1800</v>
      </c>
      <c r="E104" s="2305" t="s">
        <v>878</v>
      </c>
      <c r="F104" s="2298" t="s">
        <v>710</v>
      </c>
      <c r="G104" s="2298" t="s">
        <v>1730</v>
      </c>
      <c r="H104" s="2303">
        <v>1</v>
      </c>
      <c r="I104" s="2303"/>
      <c r="J104" s="2305" t="s">
        <v>1373</v>
      </c>
      <c r="K104" s="600" t="s">
        <v>711</v>
      </c>
      <c r="L104" s="600" t="s">
        <v>3034</v>
      </c>
    </row>
    <row r="105" spans="1:12" x14ac:dyDescent="0.35">
      <c r="A105" s="2303">
        <v>815</v>
      </c>
      <c r="B105" s="2303" t="s">
        <v>78</v>
      </c>
      <c r="C105" s="2303" t="s">
        <v>1864</v>
      </c>
      <c r="D105" s="2298" t="s">
        <v>879</v>
      </c>
      <c r="E105" s="2305" t="s">
        <v>4</v>
      </c>
      <c r="F105" s="2298" t="s">
        <v>287</v>
      </c>
      <c r="G105" s="2298" t="s">
        <v>1729</v>
      </c>
      <c r="H105" s="2303">
        <v>1</v>
      </c>
      <c r="I105" s="2303"/>
      <c r="J105" s="2305" t="s">
        <v>1373</v>
      </c>
      <c r="K105" s="600" t="s">
        <v>3025</v>
      </c>
      <c r="L105" s="600" t="s">
        <v>4</v>
      </c>
    </row>
    <row r="106" spans="1:12" x14ac:dyDescent="0.35">
      <c r="A106" s="2303">
        <v>816</v>
      </c>
      <c r="B106" s="2303" t="s">
        <v>78</v>
      </c>
      <c r="C106" s="2303" t="s">
        <v>1864</v>
      </c>
      <c r="D106" s="2298" t="s">
        <v>880</v>
      </c>
      <c r="E106" s="2305" t="s">
        <v>4</v>
      </c>
      <c r="F106" s="2298" t="s">
        <v>287</v>
      </c>
      <c r="G106" s="2298" t="s">
        <v>1729</v>
      </c>
      <c r="H106" s="2303">
        <v>1</v>
      </c>
      <c r="I106" s="2303"/>
      <c r="J106" s="2305" t="s">
        <v>1373</v>
      </c>
      <c r="K106" s="600" t="s">
        <v>3025</v>
      </c>
      <c r="L106" s="600" t="s">
        <v>4</v>
      </c>
    </row>
    <row r="107" spans="1:12" x14ac:dyDescent="0.35">
      <c r="A107" s="2303">
        <v>817</v>
      </c>
      <c r="B107" s="2303" t="s">
        <v>78</v>
      </c>
      <c r="C107" s="2303" t="s">
        <v>1864</v>
      </c>
      <c r="D107" s="2298" t="s">
        <v>881</v>
      </c>
      <c r="E107" s="2305" t="s">
        <v>4</v>
      </c>
      <c r="F107" s="2298" t="s">
        <v>287</v>
      </c>
      <c r="G107" s="2298" t="s">
        <v>1729</v>
      </c>
      <c r="H107" s="2303">
        <v>1</v>
      </c>
      <c r="I107" s="2303"/>
      <c r="J107" s="2305" t="s">
        <v>1373</v>
      </c>
      <c r="K107" s="600" t="s">
        <v>3025</v>
      </c>
      <c r="L107" s="600" t="s">
        <v>4</v>
      </c>
    </row>
    <row r="108" spans="1:12" x14ac:dyDescent="0.35">
      <c r="A108" s="2303">
        <v>843</v>
      </c>
      <c r="B108" s="2303" t="s">
        <v>78</v>
      </c>
      <c r="C108" s="2303" t="s">
        <v>1864</v>
      </c>
      <c r="D108" s="2298" t="s">
        <v>882</v>
      </c>
      <c r="E108" s="2305" t="s">
        <v>4</v>
      </c>
      <c r="F108" s="2298" t="s">
        <v>287</v>
      </c>
      <c r="G108" s="2298" t="s">
        <v>1729</v>
      </c>
      <c r="H108" s="2303">
        <v>1</v>
      </c>
      <c r="I108" s="2303"/>
      <c r="J108" s="2305" t="s">
        <v>1373</v>
      </c>
      <c r="K108" s="600" t="s">
        <v>3025</v>
      </c>
      <c r="L108" s="600" t="s">
        <v>4</v>
      </c>
    </row>
    <row r="109" spans="1:12" x14ac:dyDescent="0.35">
      <c r="A109" s="2303">
        <v>844</v>
      </c>
      <c r="B109" s="2303" t="s">
        <v>78</v>
      </c>
      <c r="C109" s="2303" t="s">
        <v>1864</v>
      </c>
      <c r="D109" s="2298" t="s">
        <v>883</v>
      </c>
      <c r="E109" s="2305" t="s">
        <v>4</v>
      </c>
      <c r="F109" s="2298" t="s">
        <v>287</v>
      </c>
      <c r="G109" s="2298" t="s">
        <v>1729</v>
      </c>
      <c r="H109" s="2303">
        <v>1</v>
      </c>
      <c r="I109" s="2303"/>
      <c r="J109" s="2305" t="s">
        <v>1373</v>
      </c>
      <c r="K109" s="600" t="s">
        <v>3025</v>
      </c>
      <c r="L109" s="600" t="s">
        <v>4</v>
      </c>
    </row>
    <row r="110" spans="1:12" x14ac:dyDescent="0.35">
      <c r="A110" s="2303">
        <v>845</v>
      </c>
      <c r="B110" s="2303" t="s">
        <v>78</v>
      </c>
      <c r="C110" s="2303" t="s">
        <v>1864</v>
      </c>
      <c r="D110" s="2298" t="s">
        <v>884</v>
      </c>
      <c r="E110" s="2305" t="s">
        <v>4</v>
      </c>
      <c r="F110" s="2298" t="s">
        <v>287</v>
      </c>
      <c r="G110" s="2298" t="s">
        <v>1729</v>
      </c>
      <c r="H110" s="2303">
        <v>1</v>
      </c>
      <c r="I110" s="2303"/>
      <c r="J110" s="2305" t="s">
        <v>1373</v>
      </c>
      <c r="K110" s="600" t="s">
        <v>3025</v>
      </c>
      <c r="L110" s="600" t="s">
        <v>4</v>
      </c>
    </row>
    <row r="111" spans="1:12" x14ac:dyDescent="0.35">
      <c r="A111" s="2303">
        <v>818</v>
      </c>
      <c r="B111" s="2303" t="s">
        <v>78</v>
      </c>
      <c r="C111" s="2303" t="s">
        <v>1864</v>
      </c>
      <c r="D111" s="2298" t="s">
        <v>885</v>
      </c>
      <c r="E111" s="2305" t="s">
        <v>4</v>
      </c>
      <c r="F111" s="2298" t="s">
        <v>287</v>
      </c>
      <c r="G111" s="2298" t="s">
        <v>1729</v>
      </c>
      <c r="H111" s="2303">
        <v>1</v>
      </c>
      <c r="I111" s="2303"/>
      <c r="J111" s="2305" t="s">
        <v>1373</v>
      </c>
      <c r="K111" s="600" t="s">
        <v>3025</v>
      </c>
      <c r="L111" s="600" t="s">
        <v>4</v>
      </c>
    </row>
    <row r="112" spans="1:12" x14ac:dyDescent="0.35">
      <c r="A112" s="2303">
        <v>819</v>
      </c>
      <c r="B112" s="2303" t="s">
        <v>78</v>
      </c>
      <c r="C112" s="2303" t="s">
        <v>1864</v>
      </c>
      <c r="D112" s="2298" t="s">
        <v>886</v>
      </c>
      <c r="E112" s="2305" t="s">
        <v>4</v>
      </c>
      <c r="F112" s="2298" t="s">
        <v>287</v>
      </c>
      <c r="G112" s="2298" t="s">
        <v>1729</v>
      </c>
      <c r="H112" s="2303">
        <v>1</v>
      </c>
      <c r="I112" s="2303"/>
      <c r="J112" s="2305" t="s">
        <v>1373</v>
      </c>
      <c r="K112" s="600" t="s">
        <v>3025</v>
      </c>
      <c r="L112" s="600" t="s">
        <v>4</v>
      </c>
    </row>
    <row r="113" spans="1:12" x14ac:dyDescent="0.35">
      <c r="A113" s="2303">
        <v>820</v>
      </c>
      <c r="B113" s="2303" t="s">
        <v>78</v>
      </c>
      <c r="C113" s="2303" t="s">
        <v>1864</v>
      </c>
      <c r="D113" s="2298" t="s">
        <v>887</v>
      </c>
      <c r="E113" s="2305" t="s">
        <v>4</v>
      </c>
      <c r="F113" s="2298" t="s">
        <v>287</v>
      </c>
      <c r="G113" s="2298" t="s">
        <v>1729</v>
      </c>
      <c r="H113" s="2303">
        <v>1</v>
      </c>
      <c r="I113" s="2303"/>
      <c r="J113" s="2305" t="s">
        <v>1373</v>
      </c>
      <c r="K113" s="600" t="s">
        <v>3025</v>
      </c>
      <c r="L113" s="600" t="s">
        <v>4</v>
      </c>
    </row>
    <row r="114" spans="1:12" x14ac:dyDescent="0.35">
      <c r="A114" s="2303">
        <v>846</v>
      </c>
      <c r="B114" s="2303" t="s">
        <v>78</v>
      </c>
      <c r="C114" s="2303" t="s">
        <v>1864</v>
      </c>
      <c r="D114" s="2298" t="s">
        <v>888</v>
      </c>
      <c r="E114" s="2305" t="s">
        <v>4</v>
      </c>
      <c r="F114" s="2298" t="s">
        <v>287</v>
      </c>
      <c r="G114" s="2298" t="s">
        <v>1729</v>
      </c>
      <c r="H114" s="2303">
        <v>1</v>
      </c>
      <c r="I114" s="2303"/>
      <c r="J114" s="2305" t="s">
        <v>1373</v>
      </c>
      <c r="K114" s="600" t="s">
        <v>3025</v>
      </c>
      <c r="L114" s="600" t="s">
        <v>4</v>
      </c>
    </row>
    <row r="115" spans="1:12" x14ac:dyDescent="0.35">
      <c r="A115" s="2303">
        <v>847</v>
      </c>
      <c r="B115" s="2303" t="s">
        <v>78</v>
      </c>
      <c r="C115" s="2303" t="s">
        <v>1864</v>
      </c>
      <c r="D115" s="2298" t="s">
        <v>889</v>
      </c>
      <c r="E115" s="2305" t="s">
        <v>4</v>
      </c>
      <c r="F115" s="2298" t="s">
        <v>287</v>
      </c>
      <c r="G115" s="2298" t="s">
        <v>1729</v>
      </c>
      <c r="H115" s="2303">
        <v>1</v>
      </c>
      <c r="I115" s="2303"/>
      <c r="J115" s="2305" t="s">
        <v>1373</v>
      </c>
      <c r="K115" s="600" t="s">
        <v>3025</v>
      </c>
      <c r="L115" s="600" t="s">
        <v>4</v>
      </c>
    </row>
    <row r="116" spans="1:12" x14ac:dyDescent="0.35">
      <c r="A116" s="2303">
        <v>848</v>
      </c>
      <c r="B116" s="2303" t="s">
        <v>78</v>
      </c>
      <c r="C116" s="2303" t="s">
        <v>1864</v>
      </c>
      <c r="D116" s="2298" t="s">
        <v>890</v>
      </c>
      <c r="E116" s="2305" t="s">
        <v>4</v>
      </c>
      <c r="F116" s="2298" t="s">
        <v>287</v>
      </c>
      <c r="G116" s="2298" t="s">
        <v>1729</v>
      </c>
      <c r="H116" s="2303">
        <v>1</v>
      </c>
      <c r="I116" s="2303"/>
      <c r="J116" s="2305" t="s">
        <v>1373</v>
      </c>
      <c r="K116" s="600" t="s">
        <v>3025</v>
      </c>
      <c r="L116" s="600" t="s">
        <v>4</v>
      </c>
    </row>
    <row r="117" spans="1:12" x14ac:dyDescent="0.35">
      <c r="A117" s="2303">
        <v>809</v>
      </c>
      <c r="B117" s="2303" t="s">
        <v>78</v>
      </c>
      <c r="C117" s="2303" t="s">
        <v>1864</v>
      </c>
      <c r="D117" s="2298" t="s">
        <v>891</v>
      </c>
      <c r="E117" s="2305" t="s">
        <v>4</v>
      </c>
      <c r="F117" s="2298" t="s">
        <v>287</v>
      </c>
      <c r="G117" s="2298" t="s">
        <v>1729</v>
      </c>
      <c r="H117" s="2303">
        <v>1</v>
      </c>
      <c r="I117" s="2303"/>
      <c r="J117" s="2305" t="s">
        <v>1373</v>
      </c>
      <c r="K117" s="600" t="s">
        <v>3025</v>
      </c>
      <c r="L117" s="600" t="s">
        <v>4</v>
      </c>
    </row>
    <row r="118" spans="1:12" x14ac:dyDescent="0.35">
      <c r="A118" s="2303">
        <v>810</v>
      </c>
      <c r="B118" s="2303" t="s">
        <v>78</v>
      </c>
      <c r="C118" s="2303" t="s">
        <v>1864</v>
      </c>
      <c r="D118" s="2298" t="s">
        <v>892</v>
      </c>
      <c r="E118" s="2305" t="s">
        <v>4</v>
      </c>
      <c r="F118" s="2298" t="s">
        <v>287</v>
      </c>
      <c r="G118" s="2298" t="s">
        <v>1729</v>
      </c>
      <c r="H118" s="2303">
        <v>1</v>
      </c>
      <c r="I118" s="2303"/>
      <c r="J118" s="2305" t="s">
        <v>1373</v>
      </c>
      <c r="K118" s="600" t="s">
        <v>3025</v>
      </c>
      <c r="L118" s="600" t="s">
        <v>4</v>
      </c>
    </row>
    <row r="119" spans="1:12" x14ac:dyDescent="0.35">
      <c r="A119" s="2303">
        <v>811</v>
      </c>
      <c r="B119" s="2303" t="s">
        <v>78</v>
      </c>
      <c r="C119" s="2303" t="s">
        <v>1864</v>
      </c>
      <c r="D119" s="2298" t="s">
        <v>893</v>
      </c>
      <c r="E119" s="2305" t="s">
        <v>4</v>
      </c>
      <c r="F119" s="2298" t="s">
        <v>287</v>
      </c>
      <c r="G119" s="2298" t="s">
        <v>1729</v>
      </c>
      <c r="H119" s="2303">
        <v>1</v>
      </c>
      <c r="I119" s="2303"/>
      <c r="J119" s="2305" t="s">
        <v>1373</v>
      </c>
      <c r="K119" s="600" t="s">
        <v>3025</v>
      </c>
      <c r="L119" s="600" t="s">
        <v>4</v>
      </c>
    </row>
    <row r="120" spans="1:12" x14ac:dyDescent="0.35">
      <c r="A120" s="2303">
        <v>837</v>
      </c>
      <c r="B120" s="2303" t="s">
        <v>78</v>
      </c>
      <c r="C120" s="2303" t="s">
        <v>1864</v>
      </c>
      <c r="D120" s="2298" t="s">
        <v>894</v>
      </c>
      <c r="E120" s="2305" t="s">
        <v>4</v>
      </c>
      <c r="F120" s="2298" t="s">
        <v>287</v>
      </c>
      <c r="G120" s="2298" t="s">
        <v>1729</v>
      </c>
      <c r="H120" s="2303">
        <v>1</v>
      </c>
      <c r="I120" s="2303"/>
      <c r="J120" s="2305" t="s">
        <v>1373</v>
      </c>
      <c r="K120" s="600" t="s">
        <v>3025</v>
      </c>
      <c r="L120" s="600" t="s">
        <v>4</v>
      </c>
    </row>
    <row r="121" spans="1:12" x14ac:dyDescent="0.35">
      <c r="A121" s="2303">
        <v>838</v>
      </c>
      <c r="B121" s="2303" t="s">
        <v>78</v>
      </c>
      <c r="C121" s="2303" t="s">
        <v>1864</v>
      </c>
      <c r="D121" s="2298" t="s">
        <v>895</v>
      </c>
      <c r="E121" s="2305" t="s">
        <v>4</v>
      </c>
      <c r="F121" s="2298" t="s">
        <v>287</v>
      </c>
      <c r="G121" s="2298" t="s">
        <v>1729</v>
      </c>
      <c r="H121" s="2303">
        <v>1</v>
      </c>
      <c r="I121" s="2303"/>
      <c r="J121" s="2305" t="s">
        <v>1373</v>
      </c>
      <c r="K121" s="600" t="s">
        <v>3025</v>
      </c>
      <c r="L121" s="600" t="s">
        <v>4</v>
      </c>
    </row>
    <row r="122" spans="1:12" x14ac:dyDescent="0.35">
      <c r="A122" s="2303">
        <v>839</v>
      </c>
      <c r="B122" s="2303" t="s">
        <v>78</v>
      </c>
      <c r="C122" s="2303" t="s">
        <v>1864</v>
      </c>
      <c r="D122" s="2298" t="s">
        <v>896</v>
      </c>
      <c r="E122" s="2305" t="s">
        <v>4</v>
      </c>
      <c r="F122" s="2298" t="s">
        <v>287</v>
      </c>
      <c r="G122" s="2298" t="s">
        <v>1729</v>
      </c>
      <c r="H122" s="2303">
        <v>1</v>
      </c>
      <c r="I122" s="2303"/>
      <c r="J122" s="2305" t="s">
        <v>1373</v>
      </c>
      <c r="K122" s="600" t="s">
        <v>3025</v>
      </c>
      <c r="L122" s="600" t="s">
        <v>4</v>
      </c>
    </row>
    <row r="123" spans="1:12" x14ac:dyDescent="0.35">
      <c r="A123" s="2303">
        <v>812</v>
      </c>
      <c r="B123" s="2303" t="s">
        <v>78</v>
      </c>
      <c r="C123" s="2303" t="s">
        <v>1864</v>
      </c>
      <c r="D123" s="2298" t="s">
        <v>897</v>
      </c>
      <c r="E123" s="2305" t="s">
        <v>4</v>
      </c>
      <c r="F123" s="2298" t="s">
        <v>287</v>
      </c>
      <c r="G123" s="2298" t="s">
        <v>1729</v>
      </c>
      <c r="H123" s="2303">
        <v>1</v>
      </c>
      <c r="I123" s="2303"/>
      <c r="J123" s="2305" t="s">
        <v>1373</v>
      </c>
      <c r="K123" s="600" t="s">
        <v>3025</v>
      </c>
      <c r="L123" s="600" t="s">
        <v>4</v>
      </c>
    </row>
    <row r="124" spans="1:12" x14ac:dyDescent="0.35">
      <c r="A124" s="2303">
        <v>813</v>
      </c>
      <c r="B124" s="2303" t="s">
        <v>78</v>
      </c>
      <c r="C124" s="2303" t="s">
        <v>1864</v>
      </c>
      <c r="D124" s="2298" t="s">
        <v>898</v>
      </c>
      <c r="E124" s="2305" t="s">
        <v>4</v>
      </c>
      <c r="F124" s="2298" t="s">
        <v>287</v>
      </c>
      <c r="G124" s="2298" t="s">
        <v>1729</v>
      </c>
      <c r="H124" s="2303">
        <v>1</v>
      </c>
      <c r="I124" s="2303"/>
      <c r="J124" s="2305" t="s">
        <v>1373</v>
      </c>
      <c r="K124" s="600" t="s">
        <v>3025</v>
      </c>
      <c r="L124" s="600" t="s">
        <v>4</v>
      </c>
    </row>
    <row r="125" spans="1:12" x14ac:dyDescent="0.35">
      <c r="A125" s="2303">
        <v>814</v>
      </c>
      <c r="B125" s="2303" t="s">
        <v>78</v>
      </c>
      <c r="C125" s="2303" t="s">
        <v>1864</v>
      </c>
      <c r="D125" s="2298" t="s">
        <v>899</v>
      </c>
      <c r="E125" s="2305" t="s">
        <v>4</v>
      </c>
      <c r="F125" s="2298" t="s">
        <v>287</v>
      </c>
      <c r="G125" s="2298" t="s">
        <v>1729</v>
      </c>
      <c r="H125" s="2303">
        <v>1</v>
      </c>
      <c r="I125" s="2303"/>
      <c r="J125" s="2305" t="s">
        <v>1373</v>
      </c>
      <c r="K125" s="600" t="s">
        <v>3025</v>
      </c>
      <c r="L125" s="600" t="s">
        <v>4</v>
      </c>
    </row>
    <row r="126" spans="1:12" x14ac:dyDescent="0.35">
      <c r="A126" s="2303">
        <v>840</v>
      </c>
      <c r="B126" s="2303" t="s">
        <v>78</v>
      </c>
      <c r="C126" s="2303" t="s">
        <v>1864</v>
      </c>
      <c r="D126" s="2298" t="s">
        <v>900</v>
      </c>
      <c r="E126" s="2305" t="s">
        <v>4</v>
      </c>
      <c r="F126" s="2298" t="s">
        <v>287</v>
      </c>
      <c r="G126" s="2298" t="s">
        <v>1729</v>
      </c>
      <c r="H126" s="2303">
        <v>1</v>
      </c>
      <c r="I126" s="2303"/>
      <c r="J126" s="2305" t="s">
        <v>1373</v>
      </c>
      <c r="K126" s="600" t="s">
        <v>3025</v>
      </c>
      <c r="L126" s="600" t="s">
        <v>4</v>
      </c>
    </row>
    <row r="127" spans="1:12" x14ac:dyDescent="0.35">
      <c r="A127" s="2303">
        <v>841</v>
      </c>
      <c r="B127" s="2303" t="s">
        <v>78</v>
      </c>
      <c r="C127" s="2303" t="s">
        <v>1864</v>
      </c>
      <c r="D127" s="2298" t="s">
        <v>901</v>
      </c>
      <c r="E127" s="2305" t="s">
        <v>4</v>
      </c>
      <c r="F127" s="2298" t="s">
        <v>287</v>
      </c>
      <c r="G127" s="2298" t="s">
        <v>1729</v>
      </c>
      <c r="H127" s="2303">
        <v>1</v>
      </c>
      <c r="I127" s="2303"/>
      <c r="J127" s="2305" t="s">
        <v>1373</v>
      </c>
      <c r="K127" s="600" t="s">
        <v>3025</v>
      </c>
      <c r="L127" s="600" t="s">
        <v>4</v>
      </c>
    </row>
    <row r="128" spans="1:12" x14ac:dyDescent="0.35">
      <c r="A128" s="2303">
        <v>842</v>
      </c>
      <c r="B128" s="2303" t="s">
        <v>78</v>
      </c>
      <c r="C128" s="2303" t="s">
        <v>1864</v>
      </c>
      <c r="D128" s="2298" t="s">
        <v>902</v>
      </c>
      <c r="E128" s="2305" t="s">
        <v>4</v>
      </c>
      <c r="F128" s="2298" t="s">
        <v>287</v>
      </c>
      <c r="G128" s="2298" t="s">
        <v>1729</v>
      </c>
      <c r="H128" s="2303">
        <v>1</v>
      </c>
      <c r="I128" s="2303"/>
      <c r="J128" s="2305" t="s">
        <v>1373</v>
      </c>
      <c r="K128" s="600" t="s">
        <v>3025</v>
      </c>
      <c r="L128" s="600" t="s">
        <v>4</v>
      </c>
    </row>
    <row r="129" spans="1:12" x14ac:dyDescent="0.35">
      <c r="A129" s="2303">
        <v>793</v>
      </c>
      <c r="B129" s="2303" t="s">
        <v>78</v>
      </c>
      <c r="C129" s="2303" t="s">
        <v>1864</v>
      </c>
      <c r="D129" s="2298" t="s">
        <v>903</v>
      </c>
      <c r="E129" s="2305" t="s">
        <v>4</v>
      </c>
      <c r="F129" s="2298" t="s">
        <v>1727</v>
      </c>
      <c r="G129" s="2298" t="s">
        <v>1728</v>
      </c>
      <c r="H129" s="2303">
        <v>1</v>
      </c>
      <c r="I129" s="2303"/>
      <c r="J129" s="2305" t="s">
        <v>1373</v>
      </c>
      <c r="K129" s="600" t="s">
        <v>3026</v>
      </c>
      <c r="L129" s="600" t="s">
        <v>4</v>
      </c>
    </row>
    <row r="130" spans="1:12" x14ac:dyDescent="0.35">
      <c r="A130" s="2303">
        <v>821</v>
      </c>
      <c r="B130" s="2303" t="s">
        <v>78</v>
      </c>
      <c r="C130" s="2303" t="s">
        <v>1864</v>
      </c>
      <c r="D130" s="2298" t="s">
        <v>904</v>
      </c>
      <c r="E130" s="2305" t="s">
        <v>4</v>
      </c>
      <c r="F130" s="2298" t="s">
        <v>1727</v>
      </c>
      <c r="G130" s="2298" t="s">
        <v>1728</v>
      </c>
      <c r="H130" s="2303">
        <v>1</v>
      </c>
      <c r="I130" s="2303"/>
      <c r="J130" s="2305" t="s">
        <v>1373</v>
      </c>
      <c r="K130" s="600" t="s">
        <v>3026</v>
      </c>
      <c r="L130" s="600" t="s">
        <v>4</v>
      </c>
    </row>
    <row r="131" spans="1:12" x14ac:dyDescent="0.35">
      <c r="A131" s="2303">
        <v>849</v>
      </c>
      <c r="B131" s="2303" t="s">
        <v>78</v>
      </c>
      <c r="C131" s="2303" t="s">
        <v>1864</v>
      </c>
      <c r="D131" s="2298" t="s">
        <v>905</v>
      </c>
      <c r="E131" s="2305" t="s">
        <v>4</v>
      </c>
      <c r="F131" s="2298" t="s">
        <v>1727</v>
      </c>
      <c r="G131" s="2298" t="s">
        <v>1728</v>
      </c>
      <c r="H131" s="2303">
        <v>1</v>
      </c>
      <c r="I131" s="2303"/>
      <c r="J131" s="2305" t="s">
        <v>1373</v>
      </c>
      <c r="K131" s="600" t="s">
        <v>3026</v>
      </c>
      <c r="L131" s="600" t="s">
        <v>4</v>
      </c>
    </row>
    <row r="132" spans="1:12" x14ac:dyDescent="0.35">
      <c r="A132" s="2303">
        <v>877</v>
      </c>
      <c r="B132" s="2303" t="s">
        <v>78</v>
      </c>
      <c r="C132" s="2303" t="s">
        <v>1864</v>
      </c>
      <c r="D132" s="2298" t="s">
        <v>906</v>
      </c>
      <c r="E132" s="2305" t="s">
        <v>4</v>
      </c>
      <c r="F132" s="2298" t="s">
        <v>1727</v>
      </c>
      <c r="G132" s="2298" t="s">
        <v>1728</v>
      </c>
      <c r="H132" s="2303">
        <v>1</v>
      </c>
      <c r="I132" s="2303"/>
      <c r="J132" s="2305" t="s">
        <v>1373</v>
      </c>
      <c r="K132" s="600" t="s">
        <v>3026</v>
      </c>
      <c r="L132" s="600" t="s">
        <v>4</v>
      </c>
    </row>
    <row r="133" spans="1:12" x14ac:dyDescent="0.35">
      <c r="A133" s="2303">
        <v>794</v>
      </c>
      <c r="B133" s="2303" t="s">
        <v>78</v>
      </c>
      <c r="C133" s="2303" t="s">
        <v>1864</v>
      </c>
      <c r="D133" s="2298" t="s">
        <v>907</v>
      </c>
      <c r="E133" s="2305" t="s">
        <v>4</v>
      </c>
      <c r="F133" s="2298" t="s">
        <v>1727</v>
      </c>
      <c r="G133" s="2298" t="s">
        <v>1728</v>
      </c>
      <c r="H133" s="2303">
        <v>1</v>
      </c>
      <c r="I133" s="2303"/>
      <c r="J133" s="2305" t="s">
        <v>1373</v>
      </c>
      <c r="K133" s="600" t="s">
        <v>3026</v>
      </c>
      <c r="L133" s="600" t="s">
        <v>4</v>
      </c>
    </row>
    <row r="134" spans="1:12" x14ac:dyDescent="0.35">
      <c r="A134" s="2303">
        <v>795</v>
      </c>
      <c r="B134" s="2303" t="s">
        <v>78</v>
      </c>
      <c r="C134" s="2303" t="s">
        <v>1864</v>
      </c>
      <c r="D134" s="2298" t="s">
        <v>908</v>
      </c>
      <c r="E134" s="2305" t="s">
        <v>4</v>
      </c>
      <c r="F134" s="2298" t="s">
        <v>1727</v>
      </c>
      <c r="G134" s="2298" t="s">
        <v>1728</v>
      </c>
      <c r="H134" s="2303">
        <v>1</v>
      </c>
      <c r="I134" s="2303"/>
      <c r="J134" s="2305" t="s">
        <v>1373</v>
      </c>
      <c r="K134" s="600" t="s">
        <v>3026</v>
      </c>
      <c r="L134" s="600" t="s">
        <v>4</v>
      </c>
    </row>
    <row r="135" spans="1:12" x14ac:dyDescent="0.35">
      <c r="A135" s="2303">
        <v>796</v>
      </c>
      <c r="B135" s="2303" t="s">
        <v>78</v>
      </c>
      <c r="C135" s="2303" t="s">
        <v>1864</v>
      </c>
      <c r="D135" s="2298" t="s">
        <v>909</v>
      </c>
      <c r="E135" s="2305" t="s">
        <v>4</v>
      </c>
      <c r="F135" s="2298" t="s">
        <v>1727</v>
      </c>
      <c r="G135" s="2298" t="s">
        <v>1728</v>
      </c>
      <c r="H135" s="2303">
        <v>1</v>
      </c>
      <c r="I135" s="2303"/>
      <c r="J135" s="2305" t="s">
        <v>1373</v>
      </c>
      <c r="K135" s="600" t="s">
        <v>3026</v>
      </c>
      <c r="L135" s="600" t="s">
        <v>4</v>
      </c>
    </row>
    <row r="136" spans="1:12" x14ac:dyDescent="0.35">
      <c r="A136" s="2303">
        <v>822</v>
      </c>
      <c r="B136" s="2303" t="s">
        <v>78</v>
      </c>
      <c r="C136" s="2303" t="s">
        <v>1864</v>
      </c>
      <c r="D136" s="2298" t="s">
        <v>910</v>
      </c>
      <c r="E136" s="2305" t="s">
        <v>4</v>
      </c>
      <c r="F136" s="2298" t="s">
        <v>1727</v>
      </c>
      <c r="G136" s="2298" t="s">
        <v>1728</v>
      </c>
      <c r="H136" s="2303">
        <v>1</v>
      </c>
      <c r="I136" s="2303"/>
      <c r="J136" s="2305" t="s">
        <v>1373</v>
      </c>
      <c r="K136" s="600" t="s">
        <v>3026</v>
      </c>
      <c r="L136" s="600" t="s">
        <v>4</v>
      </c>
    </row>
    <row r="137" spans="1:12" x14ac:dyDescent="0.35">
      <c r="A137" s="2303">
        <v>823</v>
      </c>
      <c r="B137" s="2303" t="s">
        <v>78</v>
      </c>
      <c r="C137" s="2303" t="s">
        <v>1864</v>
      </c>
      <c r="D137" s="2298" t="s">
        <v>911</v>
      </c>
      <c r="E137" s="2305" t="s">
        <v>4</v>
      </c>
      <c r="F137" s="2298" t="s">
        <v>1727</v>
      </c>
      <c r="G137" s="2298" t="s">
        <v>1728</v>
      </c>
      <c r="H137" s="2303">
        <v>1</v>
      </c>
      <c r="I137" s="2303"/>
      <c r="J137" s="2305" t="s">
        <v>1373</v>
      </c>
      <c r="K137" s="600" t="s">
        <v>3026</v>
      </c>
      <c r="L137" s="600" t="s">
        <v>4</v>
      </c>
    </row>
    <row r="138" spans="1:12" x14ac:dyDescent="0.35">
      <c r="A138" s="2303">
        <v>824</v>
      </c>
      <c r="B138" s="2303" t="s">
        <v>78</v>
      </c>
      <c r="C138" s="2303" t="s">
        <v>1864</v>
      </c>
      <c r="D138" s="2298" t="s">
        <v>912</v>
      </c>
      <c r="E138" s="2305" t="s">
        <v>4</v>
      </c>
      <c r="F138" s="2298" t="s">
        <v>1727</v>
      </c>
      <c r="G138" s="2298" t="s">
        <v>1728</v>
      </c>
      <c r="H138" s="2303">
        <v>1</v>
      </c>
      <c r="I138" s="2303"/>
      <c r="J138" s="2305" t="s">
        <v>1373</v>
      </c>
      <c r="K138" s="600" t="s">
        <v>3026</v>
      </c>
      <c r="L138" s="600" t="s">
        <v>4</v>
      </c>
    </row>
    <row r="139" spans="1:12" x14ac:dyDescent="0.35">
      <c r="A139" s="2303">
        <v>850</v>
      </c>
      <c r="B139" s="2303" t="s">
        <v>78</v>
      </c>
      <c r="C139" s="2303" t="s">
        <v>1864</v>
      </c>
      <c r="D139" s="2298" t="s">
        <v>913</v>
      </c>
      <c r="E139" s="2305" t="s">
        <v>4</v>
      </c>
      <c r="F139" s="2298" t="s">
        <v>1727</v>
      </c>
      <c r="G139" s="2298" t="s">
        <v>1728</v>
      </c>
      <c r="H139" s="2303">
        <v>1</v>
      </c>
      <c r="I139" s="2303"/>
      <c r="J139" s="2305" t="s">
        <v>1373</v>
      </c>
      <c r="K139" s="600" t="s">
        <v>3026</v>
      </c>
      <c r="L139" s="600" t="s">
        <v>4</v>
      </c>
    </row>
    <row r="140" spans="1:12" x14ac:dyDescent="0.35">
      <c r="A140" s="2303">
        <v>851</v>
      </c>
      <c r="B140" s="2303" t="s">
        <v>78</v>
      </c>
      <c r="C140" s="2303" t="s">
        <v>1864</v>
      </c>
      <c r="D140" s="2298" t="s">
        <v>914</v>
      </c>
      <c r="E140" s="2305" t="s">
        <v>4</v>
      </c>
      <c r="F140" s="2298" t="s">
        <v>1727</v>
      </c>
      <c r="G140" s="2298" t="s">
        <v>1728</v>
      </c>
      <c r="H140" s="2303">
        <v>1</v>
      </c>
      <c r="I140" s="2303"/>
      <c r="J140" s="2305" t="s">
        <v>1373</v>
      </c>
      <c r="K140" s="600" t="s">
        <v>3026</v>
      </c>
      <c r="L140" s="600" t="s">
        <v>4</v>
      </c>
    </row>
    <row r="141" spans="1:12" x14ac:dyDescent="0.35">
      <c r="A141" s="2303">
        <v>852</v>
      </c>
      <c r="B141" s="2303" t="s">
        <v>78</v>
      </c>
      <c r="C141" s="2303" t="s">
        <v>1864</v>
      </c>
      <c r="D141" s="2298" t="s">
        <v>915</v>
      </c>
      <c r="E141" s="2305" t="s">
        <v>4</v>
      </c>
      <c r="F141" s="2298" t="s">
        <v>1727</v>
      </c>
      <c r="G141" s="2298" t="s">
        <v>1728</v>
      </c>
      <c r="H141" s="2303">
        <v>1</v>
      </c>
      <c r="I141" s="2303"/>
      <c r="J141" s="2305" t="s">
        <v>1373</v>
      </c>
      <c r="K141" s="600" t="s">
        <v>3026</v>
      </c>
      <c r="L141" s="600" t="s">
        <v>4</v>
      </c>
    </row>
    <row r="142" spans="1:12" x14ac:dyDescent="0.35">
      <c r="A142" s="2303">
        <v>878</v>
      </c>
      <c r="B142" s="2303" t="s">
        <v>78</v>
      </c>
      <c r="C142" s="2303" t="s">
        <v>1864</v>
      </c>
      <c r="D142" s="2298" t="s">
        <v>916</v>
      </c>
      <c r="E142" s="2305" t="s">
        <v>4</v>
      </c>
      <c r="F142" s="2298" t="s">
        <v>1727</v>
      </c>
      <c r="G142" s="2298" t="s">
        <v>1728</v>
      </c>
      <c r="H142" s="2303">
        <v>1</v>
      </c>
      <c r="I142" s="2303"/>
      <c r="J142" s="2305" t="s">
        <v>1373</v>
      </c>
      <c r="K142" s="600" t="s">
        <v>3026</v>
      </c>
      <c r="L142" s="600" t="s">
        <v>4</v>
      </c>
    </row>
    <row r="143" spans="1:12" x14ac:dyDescent="0.35">
      <c r="A143" s="2303">
        <v>879</v>
      </c>
      <c r="B143" s="2303" t="s">
        <v>78</v>
      </c>
      <c r="C143" s="2303" t="s">
        <v>1864</v>
      </c>
      <c r="D143" s="2298" t="s">
        <v>917</v>
      </c>
      <c r="E143" s="2305" t="s">
        <v>4</v>
      </c>
      <c r="F143" s="2298" t="s">
        <v>1727</v>
      </c>
      <c r="G143" s="2298" t="s">
        <v>1728</v>
      </c>
      <c r="H143" s="2303">
        <v>1</v>
      </c>
      <c r="I143" s="2303"/>
      <c r="J143" s="2305" t="s">
        <v>1373</v>
      </c>
      <c r="K143" s="600" t="s">
        <v>3026</v>
      </c>
      <c r="L143" s="600" t="s">
        <v>4</v>
      </c>
    </row>
    <row r="144" spans="1:12" x14ac:dyDescent="0.35">
      <c r="A144" s="2303">
        <v>880</v>
      </c>
      <c r="B144" s="2303" t="s">
        <v>78</v>
      </c>
      <c r="C144" s="2303" t="s">
        <v>1864</v>
      </c>
      <c r="D144" s="2298" t="s">
        <v>918</v>
      </c>
      <c r="E144" s="2305" t="s">
        <v>4</v>
      </c>
      <c r="F144" s="2298" t="s">
        <v>1727</v>
      </c>
      <c r="G144" s="2298" t="s">
        <v>1728</v>
      </c>
      <c r="H144" s="2303">
        <v>1</v>
      </c>
      <c r="I144" s="2303"/>
      <c r="J144" s="2305" t="s">
        <v>1373</v>
      </c>
      <c r="K144" s="600" t="s">
        <v>3026</v>
      </c>
      <c r="L144" s="600" t="s">
        <v>4</v>
      </c>
    </row>
    <row r="145" spans="1:12" x14ac:dyDescent="0.35">
      <c r="A145" s="2303">
        <v>797</v>
      </c>
      <c r="B145" s="2303" t="s">
        <v>78</v>
      </c>
      <c r="C145" s="2303" t="s">
        <v>1864</v>
      </c>
      <c r="D145" s="2298" t="s">
        <v>919</v>
      </c>
      <c r="E145" s="2305" t="s">
        <v>4</v>
      </c>
      <c r="F145" s="2298" t="s">
        <v>1727</v>
      </c>
      <c r="G145" s="2298" t="s">
        <v>1728</v>
      </c>
      <c r="H145" s="2303">
        <v>1</v>
      </c>
      <c r="I145" s="2303"/>
      <c r="J145" s="2305" t="s">
        <v>1373</v>
      </c>
      <c r="K145" s="600" t="s">
        <v>3026</v>
      </c>
      <c r="L145" s="600" t="s">
        <v>4</v>
      </c>
    </row>
    <row r="146" spans="1:12" x14ac:dyDescent="0.35">
      <c r="A146" s="2303">
        <v>798</v>
      </c>
      <c r="B146" s="2303" t="s">
        <v>78</v>
      </c>
      <c r="C146" s="2303" t="s">
        <v>1864</v>
      </c>
      <c r="D146" s="2298" t="s">
        <v>920</v>
      </c>
      <c r="E146" s="2305" t="s">
        <v>4</v>
      </c>
      <c r="F146" s="2298" t="s">
        <v>1727</v>
      </c>
      <c r="G146" s="2298" t="s">
        <v>1728</v>
      </c>
      <c r="H146" s="2303">
        <v>1</v>
      </c>
      <c r="I146" s="2303"/>
      <c r="J146" s="2305" t="s">
        <v>1373</v>
      </c>
      <c r="K146" s="600" t="s">
        <v>3026</v>
      </c>
      <c r="L146" s="600" t="s">
        <v>4</v>
      </c>
    </row>
    <row r="147" spans="1:12" x14ac:dyDescent="0.35">
      <c r="A147" s="2303">
        <v>799</v>
      </c>
      <c r="B147" s="2303" t="s">
        <v>78</v>
      </c>
      <c r="C147" s="2303" t="s">
        <v>1864</v>
      </c>
      <c r="D147" s="2298" t="s">
        <v>921</v>
      </c>
      <c r="E147" s="2305" t="s">
        <v>4</v>
      </c>
      <c r="F147" s="2298" t="s">
        <v>1727</v>
      </c>
      <c r="G147" s="2298" t="s">
        <v>1728</v>
      </c>
      <c r="H147" s="2303">
        <v>1</v>
      </c>
      <c r="I147" s="2303"/>
      <c r="J147" s="2305" t="s">
        <v>1373</v>
      </c>
      <c r="K147" s="600" t="s">
        <v>3026</v>
      </c>
      <c r="L147" s="600" t="s">
        <v>4</v>
      </c>
    </row>
    <row r="148" spans="1:12" x14ac:dyDescent="0.35">
      <c r="A148" s="2303">
        <v>825</v>
      </c>
      <c r="B148" s="2303" t="s">
        <v>78</v>
      </c>
      <c r="C148" s="2303" t="s">
        <v>1864</v>
      </c>
      <c r="D148" s="2298" t="s">
        <v>922</v>
      </c>
      <c r="E148" s="2305" t="s">
        <v>4</v>
      </c>
      <c r="F148" s="2298" t="s">
        <v>1727</v>
      </c>
      <c r="G148" s="2298" t="s">
        <v>1728</v>
      </c>
      <c r="H148" s="2303">
        <v>1</v>
      </c>
      <c r="I148" s="2303"/>
      <c r="J148" s="2305" t="s">
        <v>1373</v>
      </c>
      <c r="K148" s="600" t="s">
        <v>3026</v>
      </c>
      <c r="L148" s="600" t="s">
        <v>4</v>
      </c>
    </row>
    <row r="149" spans="1:12" x14ac:dyDescent="0.35">
      <c r="A149" s="2303">
        <v>826</v>
      </c>
      <c r="B149" s="2303" t="s">
        <v>78</v>
      </c>
      <c r="C149" s="2303" t="s">
        <v>1864</v>
      </c>
      <c r="D149" s="2298" t="s">
        <v>923</v>
      </c>
      <c r="E149" s="2305" t="s">
        <v>4</v>
      </c>
      <c r="F149" s="2298" t="s">
        <v>1727</v>
      </c>
      <c r="G149" s="2298" t="s">
        <v>1728</v>
      </c>
      <c r="H149" s="2303">
        <v>1</v>
      </c>
      <c r="I149" s="2303"/>
      <c r="J149" s="2305" t="s">
        <v>1373</v>
      </c>
      <c r="K149" s="600" t="s">
        <v>3026</v>
      </c>
      <c r="L149" s="600" t="s">
        <v>4</v>
      </c>
    </row>
    <row r="150" spans="1:12" x14ac:dyDescent="0.35">
      <c r="A150" s="2303">
        <v>827</v>
      </c>
      <c r="B150" s="2303" t="s">
        <v>78</v>
      </c>
      <c r="C150" s="2303" t="s">
        <v>1864</v>
      </c>
      <c r="D150" s="2298" t="s">
        <v>924</v>
      </c>
      <c r="E150" s="2305" t="s">
        <v>4</v>
      </c>
      <c r="F150" s="2298" t="s">
        <v>1727</v>
      </c>
      <c r="G150" s="2298" t="s">
        <v>1728</v>
      </c>
      <c r="H150" s="2303">
        <v>1</v>
      </c>
      <c r="I150" s="2303"/>
      <c r="J150" s="2305" t="s">
        <v>1373</v>
      </c>
      <c r="K150" s="600" t="s">
        <v>3026</v>
      </c>
      <c r="L150" s="600" t="s">
        <v>4</v>
      </c>
    </row>
    <row r="151" spans="1:12" x14ac:dyDescent="0.35">
      <c r="A151" s="2303">
        <v>853</v>
      </c>
      <c r="B151" s="2303" t="s">
        <v>78</v>
      </c>
      <c r="C151" s="2303" t="s">
        <v>1864</v>
      </c>
      <c r="D151" s="2298" t="s">
        <v>925</v>
      </c>
      <c r="E151" s="2305" t="s">
        <v>4</v>
      </c>
      <c r="F151" s="2298" t="s">
        <v>1727</v>
      </c>
      <c r="G151" s="2298" t="s">
        <v>1728</v>
      </c>
      <c r="H151" s="2303">
        <v>1</v>
      </c>
      <c r="I151" s="2303"/>
      <c r="J151" s="2305" t="s">
        <v>1373</v>
      </c>
      <c r="K151" s="600" t="s">
        <v>3026</v>
      </c>
      <c r="L151" s="600" t="s">
        <v>4</v>
      </c>
    </row>
    <row r="152" spans="1:12" x14ac:dyDescent="0.35">
      <c r="A152" s="2303">
        <v>854</v>
      </c>
      <c r="B152" s="2303" t="s">
        <v>78</v>
      </c>
      <c r="C152" s="2303" t="s">
        <v>1864</v>
      </c>
      <c r="D152" s="2298" t="s">
        <v>926</v>
      </c>
      <c r="E152" s="2305" t="s">
        <v>4</v>
      </c>
      <c r="F152" s="2298" t="s">
        <v>1727</v>
      </c>
      <c r="G152" s="2298" t="s">
        <v>1728</v>
      </c>
      <c r="H152" s="2303">
        <v>1</v>
      </c>
      <c r="I152" s="2303"/>
      <c r="J152" s="2305" t="s">
        <v>1373</v>
      </c>
      <c r="K152" s="600" t="s">
        <v>3026</v>
      </c>
      <c r="L152" s="600" t="s">
        <v>4</v>
      </c>
    </row>
    <row r="153" spans="1:12" x14ac:dyDescent="0.35">
      <c r="A153" s="2303">
        <v>855</v>
      </c>
      <c r="B153" s="2303" t="s">
        <v>78</v>
      </c>
      <c r="C153" s="2303" t="s">
        <v>1864</v>
      </c>
      <c r="D153" s="2298" t="s">
        <v>927</v>
      </c>
      <c r="E153" s="2305" t="s">
        <v>4</v>
      </c>
      <c r="F153" s="2298" t="s">
        <v>1727</v>
      </c>
      <c r="G153" s="2298" t="s">
        <v>1728</v>
      </c>
      <c r="H153" s="2303">
        <v>1</v>
      </c>
      <c r="I153" s="2303"/>
      <c r="J153" s="2305" t="s">
        <v>1373</v>
      </c>
      <c r="K153" s="600" t="s">
        <v>3026</v>
      </c>
      <c r="L153" s="600" t="s">
        <v>4</v>
      </c>
    </row>
    <row r="154" spans="1:12" x14ac:dyDescent="0.35">
      <c r="A154" s="2303">
        <v>881</v>
      </c>
      <c r="B154" s="2303" t="s">
        <v>78</v>
      </c>
      <c r="C154" s="2303" t="s">
        <v>1864</v>
      </c>
      <c r="D154" s="2298" t="s">
        <v>928</v>
      </c>
      <c r="E154" s="2305" t="s">
        <v>4</v>
      </c>
      <c r="F154" s="2298" t="s">
        <v>1727</v>
      </c>
      <c r="G154" s="2298" t="s">
        <v>1728</v>
      </c>
      <c r="H154" s="2303">
        <v>1</v>
      </c>
      <c r="I154" s="2303"/>
      <c r="J154" s="2305" t="s">
        <v>1373</v>
      </c>
      <c r="K154" s="600" t="s">
        <v>3026</v>
      </c>
      <c r="L154" s="600" t="s">
        <v>4</v>
      </c>
    </row>
    <row r="155" spans="1:12" x14ac:dyDescent="0.35">
      <c r="A155" s="2303">
        <v>882</v>
      </c>
      <c r="B155" s="2303" t="s">
        <v>78</v>
      </c>
      <c r="C155" s="2303" t="s">
        <v>1864</v>
      </c>
      <c r="D155" s="2298" t="s">
        <v>929</v>
      </c>
      <c r="E155" s="2305" t="s">
        <v>4</v>
      </c>
      <c r="F155" s="2298" t="s">
        <v>1727</v>
      </c>
      <c r="G155" s="2298" t="s">
        <v>1728</v>
      </c>
      <c r="H155" s="2303">
        <v>1</v>
      </c>
      <c r="I155" s="2303"/>
      <c r="J155" s="2305" t="s">
        <v>1373</v>
      </c>
      <c r="K155" s="600" t="s">
        <v>3026</v>
      </c>
      <c r="L155" s="600" t="s">
        <v>4</v>
      </c>
    </row>
    <row r="156" spans="1:12" x14ac:dyDescent="0.35">
      <c r="A156" s="2312">
        <v>883</v>
      </c>
      <c r="B156" s="2312" t="s">
        <v>78</v>
      </c>
      <c r="C156" s="2312" t="s">
        <v>1864</v>
      </c>
      <c r="D156" s="2314" t="s">
        <v>930</v>
      </c>
      <c r="E156" s="2305" t="s">
        <v>4</v>
      </c>
      <c r="F156" s="2298" t="s">
        <v>1727</v>
      </c>
      <c r="G156" s="2298" t="s">
        <v>1728</v>
      </c>
      <c r="H156" s="2303">
        <v>1</v>
      </c>
      <c r="I156" s="2303"/>
      <c r="J156" s="2305" t="s">
        <v>1373</v>
      </c>
      <c r="K156" s="600" t="s">
        <v>3026</v>
      </c>
      <c r="L156" s="600" t="s">
        <v>4</v>
      </c>
    </row>
    <row r="157" spans="1:12" x14ac:dyDescent="0.35">
      <c r="A157" s="2303">
        <v>800</v>
      </c>
      <c r="B157" s="2303" t="s">
        <v>78</v>
      </c>
      <c r="C157" s="2303" t="s">
        <v>1864</v>
      </c>
      <c r="D157" s="2298" t="s">
        <v>931</v>
      </c>
      <c r="E157" s="2305" t="s">
        <v>4</v>
      </c>
      <c r="F157" s="2298" t="s">
        <v>1727</v>
      </c>
      <c r="G157" s="2298" t="s">
        <v>1728</v>
      </c>
      <c r="H157" s="2303">
        <v>1</v>
      </c>
      <c r="I157" s="2303"/>
      <c r="J157" s="2305" t="s">
        <v>1373</v>
      </c>
      <c r="K157" s="600" t="s">
        <v>3026</v>
      </c>
      <c r="L157" s="600" t="s">
        <v>4</v>
      </c>
    </row>
    <row r="158" spans="1:12" x14ac:dyDescent="0.35">
      <c r="A158" s="2303">
        <v>801</v>
      </c>
      <c r="B158" s="2303" t="s">
        <v>78</v>
      </c>
      <c r="C158" s="2303" t="s">
        <v>1864</v>
      </c>
      <c r="D158" s="2298" t="s">
        <v>932</v>
      </c>
      <c r="E158" s="2305" t="s">
        <v>4</v>
      </c>
      <c r="F158" s="2298" t="s">
        <v>1727</v>
      </c>
      <c r="G158" s="2298" t="s">
        <v>1728</v>
      </c>
      <c r="H158" s="2303">
        <v>1</v>
      </c>
      <c r="I158" s="2303"/>
      <c r="J158" s="2305" t="s">
        <v>1373</v>
      </c>
      <c r="K158" s="600" t="s">
        <v>3026</v>
      </c>
      <c r="L158" s="600" t="s">
        <v>4</v>
      </c>
    </row>
    <row r="159" spans="1:12" x14ac:dyDescent="0.35">
      <c r="A159" s="2303">
        <v>802</v>
      </c>
      <c r="B159" s="2303" t="s">
        <v>78</v>
      </c>
      <c r="C159" s="2303" t="s">
        <v>1864</v>
      </c>
      <c r="D159" s="2298" t="s">
        <v>933</v>
      </c>
      <c r="E159" s="2305" t="s">
        <v>4</v>
      </c>
      <c r="F159" s="2298" t="s">
        <v>1727</v>
      </c>
      <c r="G159" s="2298" t="s">
        <v>1728</v>
      </c>
      <c r="H159" s="2303">
        <v>1</v>
      </c>
      <c r="I159" s="2303"/>
      <c r="J159" s="2305" t="s">
        <v>1373</v>
      </c>
      <c r="K159" s="600" t="s">
        <v>3026</v>
      </c>
      <c r="L159" s="600" t="s">
        <v>4</v>
      </c>
    </row>
    <row r="160" spans="1:12" x14ac:dyDescent="0.35">
      <c r="A160" s="2303">
        <v>828</v>
      </c>
      <c r="B160" s="2303" t="s">
        <v>78</v>
      </c>
      <c r="C160" s="2303" t="s">
        <v>1864</v>
      </c>
      <c r="D160" s="2298" t="s">
        <v>934</v>
      </c>
      <c r="E160" s="2305" t="s">
        <v>4</v>
      </c>
      <c r="F160" s="2298" t="s">
        <v>1727</v>
      </c>
      <c r="G160" s="2298" t="s">
        <v>1728</v>
      </c>
      <c r="H160" s="2303">
        <v>1</v>
      </c>
      <c r="I160" s="2303"/>
      <c r="J160" s="2305" t="s">
        <v>1373</v>
      </c>
      <c r="K160" s="600" t="s">
        <v>3026</v>
      </c>
      <c r="L160" s="600" t="s">
        <v>4</v>
      </c>
    </row>
    <row r="161" spans="1:12" x14ac:dyDescent="0.35">
      <c r="A161" s="2303">
        <v>829</v>
      </c>
      <c r="B161" s="2303" t="s">
        <v>78</v>
      </c>
      <c r="C161" s="2303" t="s">
        <v>1864</v>
      </c>
      <c r="D161" s="2298" t="s">
        <v>935</v>
      </c>
      <c r="E161" s="2305" t="s">
        <v>4</v>
      </c>
      <c r="F161" s="2298" t="s">
        <v>1727</v>
      </c>
      <c r="G161" s="2298" t="s">
        <v>1728</v>
      </c>
      <c r="H161" s="2303">
        <v>1</v>
      </c>
      <c r="I161" s="2303"/>
      <c r="J161" s="2305" t="s">
        <v>1373</v>
      </c>
      <c r="K161" s="600" t="s">
        <v>3026</v>
      </c>
      <c r="L161" s="600" t="s">
        <v>4</v>
      </c>
    </row>
    <row r="162" spans="1:12" x14ac:dyDescent="0.35">
      <c r="A162" s="2303">
        <v>830</v>
      </c>
      <c r="B162" s="2303" t="s">
        <v>78</v>
      </c>
      <c r="C162" s="2303" t="s">
        <v>1864</v>
      </c>
      <c r="D162" s="2298" t="s">
        <v>936</v>
      </c>
      <c r="E162" s="2305" t="s">
        <v>4</v>
      </c>
      <c r="F162" s="2298" t="s">
        <v>1727</v>
      </c>
      <c r="G162" s="2298" t="s">
        <v>1728</v>
      </c>
      <c r="H162" s="2303">
        <v>1</v>
      </c>
      <c r="I162" s="2303"/>
      <c r="J162" s="2305" t="s">
        <v>1373</v>
      </c>
      <c r="K162" s="600" t="s">
        <v>3026</v>
      </c>
      <c r="L162" s="600" t="s">
        <v>4</v>
      </c>
    </row>
    <row r="163" spans="1:12" x14ac:dyDescent="0.35">
      <c r="A163" s="2303">
        <v>856</v>
      </c>
      <c r="B163" s="2303" t="s">
        <v>78</v>
      </c>
      <c r="C163" s="2303" t="s">
        <v>1864</v>
      </c>
      <c r="D163" s="2298" t="s">
        <v>937</v>
      </c>
      <c r="E163" s="2305" t="s">
        <v>4</v>
      </c>
      <c r="F163" s="2298" t="s">
        <v>1727</v>
      </c>
      <c r="G163" s="2298" t="s">
        <v>1728</v>
      </c>
      <c r="H163" s="2303">
        <v>1</v>
      </c>
      <c r="I163" s="2303"/>
      <c r="J163" s="2305" t="s">
        <v>1373</v>
      </c>
      <c r="K163" s="600" t="s">
        <v>3026</v>
      </c>
      <c r="L163" s="600" t="s">
        <v>4</v>
      </c>
    </row>
    <row r="164" spans="1:12" x14ac:dyDescent="0.35">
      <c r="A164" s="2303">
        <v>857</v>
      </c>
      <c r="B164" s="2303" t="s">
        <v>78</v>
      </c>
      <c r="C164" s="2303" t="s">
        <v>1864</v>
      </c>
      <c r="D164" s="2298" t="s">
        <v>938</v>
      </c>
      <c r="E164" s="2305" t="s">
        <v>4</v>
      </c>
      <c r="F164" s="2298" t="s">
        <v>1727</v>
      </c>
      <c r="G164" s="2298" t="s">
        <v>1728</v>
      </c>
      <c r="H164" s="2303">
        <v>1</v>
      </c>
      <c r="I164" s="2303"/>
      <c r="J164" s="2305" t="s">
        <v>1373</v>
      </c>
      <c r="K164" s="600" t="s">
        <v>3026</v>
      </c>
      <c r="L164" s="600" t="s">
        <v>4</v>
      </c>
    </row>
    <row r="165" spans="1:12" x14ac:dyDescent="0.35">
      <c r="A165" s="2303">
        <v>858</v>
      </c>
      <c r="B165" s="2303" t="s">
        <v>78</v>
      </c>
      <c r="C165" s="2303" t="s">
        <v>1864</v>
      </c>
      <c r="D165" s="2298" t="s">
        <v>939</v>
      </c>
      <c r="E165" s="2305" t="s">
        <v>4</v>
      </c>
      <c r="F165" s="2298" t="s">
        <v>1727</v>
      </c>
      <c r="G165" s="2298" t="s">
        <v>1728</v>
      </c>
      <c r="H165" s="2303">
        <v>1</v>
      </c>
      <c r="I165" s="2303"/>
      <c r="J165" s="2305" t="s">
        <v>1373</v>
      </c>
      <c r="K165" s="600" t="s">
        <v>3026</v>
      </c>
      <c r="L165" s="600" t="s">
        <v>4</v>
      </c>
    </row>
    <row r="166" spans="1:12" x14ac:dyDescent="0.35">
      <c r="A166" s="2312">
        <v>884</v>
      </c>
      <c r="B166" s="2312" t="s">
        <v>78</v>
      </c>
      <c r="C166" s="2312" t="s">
        <v>1864</v>
      </c>
      <c r="D166" s="2314" t="s">
        <v>940</v>
      </c>
      <c r="E166" s="2305" t="s">
        <v>4</v>
      </c>
      <c r="F166" s="2298" t="s">
        <v>1727</v>
      </c>
      <c r="G166" s="2298" t="s">
        <v>1728</v>
      </c>
      <c r="H166" s="2303">
        <v>1</v>
      </c>
      <c r="I166" s="2303"/>
      <c r="J166" s="2305" t="s">
        <v>1373</v>
      </c>
      <c r="K166" s="600" t="s">
        <v>3026</v>
      </c>
      <c r="L166" s="600" t="s">
        <v>4</v>
      </c>
    </row>
    <row r="167" spans="1:12" x14ac:dyDescent="0.35">
      <c r="A167" s="2303">
        <v>885</v>
      </c>
      <c r="B167" s="2303" t="s">
        <v>78</v>
      </c>
      <c r="C167" s="2303" t="s">
        <v>1864</v>
      </c>
      <c r="D167" s="2298" t="s">
        <v>941</v>
      </c>
      <c r="E167" s="2305" t="s">
        <v>4</v>
      </c>
      <c r="F167" s="2298" t="s">
        <v>1727</v>
      </c>
      <c r="G167" s="2298" t="s">
        <v>1728</v>
      </c>
      <c r="H167" s="2303">
        <v>1</v>
      </c>
      <c r="I167" s="2303"/>
      <c r="J167" s="2305" t="s">
        <v>1373</v>
      </c>
      <c r="K167" s="600" t="s">
        <v>3026</v>
      </c>
      <c r="L167" s="600" t="s">
        <v>4</v>
      </c>
    </row>
    <row r="168" spans="1:12" x14ac:dyDescent="0.35">
      <c r="A168" s="2303">
        <v>886</v>
      </c>
      <c r="B168" s="2303" t="s">
        <v>78</v>
      </c>
      <c r="C168" s="2303" t="s">
        <v>1864</v>
      </c>
      <c r="D168" s="2298" t="s">
        <v>942</v>
      </c>
      <c r="E168" s="2305" t="s">
        <v>4</v>
      </c>
      <c r="F168" s="2298" t="s">
        <v>1727</v>
      </c>
      <c r="G168" s="2298" t="s">
        <v>1728</v>
      </c>
      <c r="H168" s="2303">
        <v>1</v>
      </c>
      <c r="I168" s="2303"/>
      <c r="J168" s="2305" t="s">
        <v>1373</v>
      </c>
      <c r="K168" s="600" t="s">
        <v>3026</v>
      </c>
      <c r="L168" s="600" t="s">
        <v>4</v>
      </c>
    </row>
    <row r="169" spans="1:12" x14ac:dyDescent="0.35">
      <c r="A169" s="2303">
        <v>803</v>
      </c>
      <c r="B169" s="2303" t="s">
        <v>78</v>
      </c>
      <c r="C169" s="2303" t="s">
        <v>1864</v>
      </c>
      <c r="D169" s="2298" t="s">
        <v>943</v>
      </c>
      <c r="E169" s="2305" t="s">
        <v>4</v>
      </c>
      <c r="F169" s="2298" t="s">
        <v>1727</v>
      </c>
      <c r="G169" s="2298" t="s">
        <v>1728</v>
      </c>
      <c r="H169" s="2303">
        <v>1</v>
      </c>
      <c r="I169" s="2303"/>
      <c r="J169" s="2305" t="s">
        <v>1373</v>
      </c>
      <c r="K169" s="600" t="s">
        <v>3026</v>
      </c>
      <c r="L169" s="600" t="s">
        <v>4</v>
      </c>
    </row>
    <row r="170" spans="1:12" x14ac:dyDescent="0.35">
      <c r="A170" s="2303">
        <v>804</v>
      </c>
      <c r="B170" s="2303" t="s">
        <v>78</v>
      </c>
      <c r="C170" s="2303" t="s">
        <v>1864</v>
      </c>
      <c r="D170" s="2298" t="s">
        <v>944</v>
      </c>
      <c r="E170" s="2305" t="s">
        <v>4</v>
      </c>
      <c r="F170" s="2298" t="s">
        <v>1727</v>
      </c>
      <c r="G170" s="2298" t="s">
        <v>1728</v>
      </c>
      <c r="H170" s="2303">
        <v>1</v>
      </c>
      <c r="I170" s="2303"/>
      <c r="J170" s="2305" t="s">
        <v>1373</v>
      </c>
      <c r="K170" s="600" t="s">
        <v>3026</v>
      </c>
      <c r="L170" s="600" t="s">
        <v>4</v>
      </c>
    </row>
    <row r="171" spans="1:12" x14ac:dyDescent="0.35">
      <c r="A171" s="2303">
        <v>805</v>
      </c>
      <c r="B171" s="2303" t="s">
        <v>78</v>
      </c>
      <c r="C171" s="2303" t="s">
        <v>1864</v>
      </c>
      <c r="D171" s="2298" t="s">
        <v>945</v>
      </c>
      <c r="E171" s="2305" t="s">
        <v>4</v>
      </c>
      <c r="F171" s="2298" t="s">
        <v>1727</v>
      </c>
      <c r="G171" s="2298" t="s">
        <v>1728</v>
      </c>
      <c r="H171" s="2303">
        <v>1</v>
      </c>
      <c r="I171" s="2303"/>
      <c r="J171" s="2305" t="s">
        <v>1373</v>
      </c>
      <c r="K171" s="600" t="s">
        <v>3026</v>
      </c>
      <c r="L171" s="600" t="s">
        <v>4</v>
      </c>
    </row>
    <row r="172" spans="1:12" x14ac:dyDescent="0.35">
      <c r="A172" s="2303">
        <v>831</v>
      </c>
      <c r="B172" s="2303" t="s">
        <v>78</v>
      </c>
      <c r="C172" s="2303" t="s">
        <v>1864</v>
      </c>
      <c r="D172" s="2298" t="s">
        <v>946</v>
      </c>
      <c r="E172" s="2305" t="s">
        <v>4</v>
      </c>
      <c r="F172" s="2298" t="s">
        <v>1727</v>
      </c>
      <c r="G172" s="2298" t="s">
        <v>1728</v>
      </c>
      <c r="H172" s="2303">
        <v>1</v>
      </c>
      <c r="I172" s="2303"/>
      <c r="J172" s="2305" t="s">
        <v>1373</v>
      </c>
      <c r="K172" s="600" t="s">
        <v>3026</v>
      </c>
      <c r="L172" s="600" t="s">
        <v>4</v>
      </c>
    </row>
    <row r="173" spans="1:12" x14ac:dyDescent="0.35">
      <c r="A173" s="2303">
        <v>832</v>
      </c>
      <c r="B173" s="2303" t="s">
        <v>78</v>
      </c>
      <c r="C173" s="2303" t="s">
        <v>1864</v>
      </c>
      <c r="D173" s="2298" t="s">
        <v>947</v>
      </c>
      <c r="E173" s="2305" t="s">
        <v>4</v>
      </c>
      <c r="F173" s="2298" t="s">
        <v>1727</v>
      </c>
      <c r="G173" s="2298" t="s">
        <v>1728</v>
      </c>
      <c r="H173" s="2303">
        <v>1</v>
      </c>
      <c r="I173" s="2303"/>
      <c r="J173" s="2305" t="s">
        <v>1373</v>
      </c>
      <c r="K173" s="600" t="s">
        <v>3026</v>
      </c>
      <c r="L173" s="600" t="s">
        <v>4</v>
      </c>
    </row>
    <row r="174" spans="1:12" x14ac:dyDescent="0.35">
      <c r="A174" s="2303">
        <v>833</v>
      </c>
      <c r="B174" s="2303" t="s">
        <v>78</v>
      </c>
      <c r="C174" s="2303" t="s">
        <v>1864</v>
      </c>
      <c r="D174" s="2298" t="s">
        <v>948</v>
      </c>
      <c r="E174" s="2305" t="s">
        <v>4</v>
      </c>
      <c r="F174" s="2298" t="s">
        <v>1727</v>
      </c>
      <c r="G174" s="2298" t="s">
        <v>1728</v>
      </c>
      <c r="H174" s="2303">
        <v>1</v>
      </c>
      <c r="I174" s="2303"/>
      <c r="J174" s="2305" t="s">
        <v>1373</v>
      </c>
      <c r="K174" s="600" t="s">
        <v>3026</v>
      </c>
      <c r="L174" s="600" t="s">
        <v>4</v>
      </c>
    </row>
    <row r="175" spans="1:12" x14ac:dyDescent="0.35">
      <c r="A175" s="2303">
        <v>859</v>
      </c>
      <c r="B175" s="2303" t="s">
        <v>78</v>
      </c>
      <c r="C175" s="2303" t="s">
        <v>1864</v>
      </c>
      <c r="D175" s="2298" t="s">
        <v>949</v>
      </c>
      <c r="E175" s="2305" t="s">
        <v>4</v>
      </c>
      <c r="F175" s="2298" t="s">
        <v>1727</v>
      </c>
      <c r="G175" s="2298" t="s">
        <v>1728</v>
      </c>
      <c r="H175" s="2303">
        <v>1</v>
      </c>
      <c r="I175" s="2303"/>
      <c r="J175" s="2305" t="s">
        <v>1373</v>
      </c>
      <c r="K175" s="600" t="s">
        <v>3026</v>
      </c>
      <c r="L175" s="600" t="s">
        <v>4</v>
      </c>
    </row>
    <row r="176" spans="1:12" x14ac:dyDescent="0.35">
      <c r="A176" s="2303">
        <v>860</v>
      </c>
      <c r="B176" s="2303" t="s">
        <v>78</v>
      </c>
      <c r="C176" s="2303" t="s">
        <v>1864</v>
      </c>
      <c r="D176" s="2298" t="s">
        <v>950</v>
      </c>
      <c r="E176" s="2305" t="s">
        <v>4</v>
      </c>
      <c r="F176" s="2298" t="s">
        <v>1727</v>
      </c>
      <c r="G176" s="2298" t="s">
        <v>1728</v>
      </c>
      <c r="H176" s="2303">
        <v>1</v>
      </c>
      <c r="I176" s="2303"/>
      <c r="J176" s="2305" t="s">
        <v>1373</v>
      </c>
      <c r="K176" s="600" t="s">
        <v>3026</v>
      </c>
      <c r="L176" s="600" t="s">
        <v>4</v>
      </c>
    </row>
    <row r="177" spans="1:12" x14ac:dyDescent="0.35">
      <c r="A177" s="2303">
        <v>861</v>
      </c>
      <c r="B177" s="2303" t="s">
        <v>78</v>
      </c>
      <c r="C177" s="2303" t="s">
        <v>1864</v>
      </c>
      <c r="D177" s="2298" t="s">
        <v>951</v>
      </c>
      <c r="E177" s="2305" t="s">
        <v>4</v>
      </c>
      <c r="F177" s="2298" t="s">
        <v>1727</v>
      </c>
      <c r="G177" s="2298" t="s">
        <v>1728</v>
      </c>
      <c r="H177" s="2303">
        <v>1</v>
      </c>
      <c r="I177" s="2303"/>
      <c r="J177" s="2305" t="s">
        <v>1373</v>
      </c>
      <c r="K177" s="600" t="s">
        <v>3026</v>
      </c>
      <c r="L177" s="600" t="s">
        <v>4</v>
      </c>
    </row>
    <row r="178" spans="1:12" x14ac:dyDescent="0.35">
      <c r="A178" s="2303">
        <v>887</v>
      </c>
      <c r="B178" s="2303" t="s">
        <v>78</v>
      </c>
      <c r="C178" s="2303" t="s">
        <v>1864</v>
      </c>
      <c r="D178" s="2298" t="s">
        <v>952</v>
      </c>
      <c r="E178" s="2305" t="s">
        <v>4</v>
      </c>
      <c r="F178" s="2298" t="s">
        <v>1727</v>
      </c>
      <c r="G178" s="2298" t="s">
        <v>1728</v>
      </c>
      <c r="H178" s="2303">
        <v>1</v>
      </c>
      <c r="I178" s="2303"/>
      <c r="J178" s="2305" t="s">
        <v>1373</v>
      </c>
      <c r="K178" s="600" t="s">
        <v>3026</v>
      </c>
      <c r="L178" s="600" t="s">
        <v>4</v>
      </c>
    </row>
    <row r="179" spans="1:12" x14ac:dyDescent="0.35">
      <c r="A179" s="2303">
        <v>888</v>
      </c>
      <c r="B179" s="2303" t="s">
        <v>78</v>
      </c>
      <c r="C179" s="2303" t="s">
        <v>1864</v>
      </c>
      <c r="D179" s="2298" t="s">
        <v>953</v>
      </c>
      <c r="E179" s="2305" t="s">
        <v>4</v>
      </c>
      <c r="F179" s="2298" t="s">
        <v>1727</v>
      </c>
      <c r="G179" s="2298" t="s">
        <v>1728</v>
      </c>
      <c r="H179" s="2303">
        <v>1</v>
      </c>
      <c r="I179" s="2303"/>
      <c r="J179" s="2305" t="s">
        <v>1373</v>
      </c>
      <c r="K179" s="600" t="s">
        <v>3026</v>
      </c>
      <c r="L179" s="600" t="s">
        <v>4</v>
      </c>
    </row>
    <row r="180" spans="1:12" x14ac:dyDescent="0.35">
      <c r="A180" s="2303">
        <v>889</v>
      </c>
      <c r="B180" s="2303" t="s">
        <v>78</v>
      </c>
      <c r="C180" s="2303" t="s">
        <v>1864</v>
      </c>
      <c r="D180" s="2298" t="s">
        <v>954</v>
      </c>
      <c r="E180" s="2305" t="s">
        <v>4</v>
      </c>
      <c r="F180" s="2298" t="s">
        <v>1727</v>
      </c>
      <c r="G180" s="2298" t="s">
        <v>1728</v>
      </c>
      <c r="H180" s="2303">
        <v>1</v>
      </c>
      <c r="I180" s="2303"/>
      <c r="J180" s="2305" t="s">
        <v>1373</v>
      </c>
      <c r="K180" s="600" t="s">
        <v>3026</v>
      </c>
      <c r="L180" s="600" t="s">
        <v>4</v>
      </c>
    </row>
    <row r="181" spans="1:12" x14ac:dyDescent="0.35">
      <c r="A181" s="2303">
        <v>806</v>
      </c>
      <c r="B181" s="2303" t="s">
        <v>78</v>
      </c>
      <c r="C181" s="2303" t="s">
        <v>1864</v>
      </c>
      <c r="D181" s="2298" t="s">
        <v>955</v>
      </c>
      <c r="E181" s="2305" t="s">
        <v>4</v>
      </c>
      <c r="F181" s="2298" t="s">
        <v>1727</v>
      </c>
      <c r="G181" s="2298" t="s">
        <v>1728</v>
      </c>
      <c r="H181" s="2303">
        <v>1</v>
      </c>
      <c r="I181" s="2303"/>
      <c r="J181" s="2305" t="s">
        <v>1373</v>
      </c>
      <c r="K181" s="600" t="s">
        <v>3026</v>
      </c>
      <c r="L181" s="600" t="s">
        <v>4</v>
      </c>
    </row>
    <row r="182" spans="1:12" x14ac:dyDescent="0.35">
      <c r="A182" s="2303">
        <v>807</v>
      </c>
      <c r="B182" s="2303" t="s">
        <v>78</v>
      </c>
      <c r="C182" s="2303" t="s">
        <v>1864</v>
      </c>
      <c r="D182" s="2298" t="s">
        <v>956</v>
      </c>
      <c r="E182" s="2305" t="s">
        <v>4</v>
      </c>
      <c r="F182" s="2298" t="s">
        <v>1727</v>
      </c>
      <c r="G182" s="2298" t="s">
        <v>1728</v>
      </c>
      <c r="H182" s="2303">
        <v>1</v>
      </c>
      <c r="I182" s="2303"/>
      <c r="J182" s="2305" t="s">
        <v>1373</v>
      </c>
      <c r="K182" s="600" t="s">
        <v>3026</v>
      </c>
      <c r="L182" s="600" t="s">
        <v>4</v>
      </c>
    </row>
    <row r="183" spans="1:12" x14ac:dyDescent="0.35">
      <c r="A183" s="2303">
        <v>808</v>
      </c>
      <c r="B183" s="2303" t="s">
        <v>78</v>
      </c>
      <c r="C183" s="2303" t="s">
        <v>1864</v>
      </c>
      <c r="D183" s="2298" t="s">
        <v>957</v>
      </c>
      <c r="E183" s="2305" t="s">
        <v>4</v>
      </c>
      <c r="F183" s="2298" t="s">
        <v>1727</v>
      </c>
      <c r="G183" s="2298" t="s">
        <v>1728</v>
      </c>
      <c r="H183" s="2303">
        <v>1</v>
      </c>
      <c r="I183" s="2303"/>
      <c r="J183" s="2305" t="s">
        <v>1373</v>
      </c>
      <c r="K183" s="600" t="s">
        <v>3026</v>
      </c>
      <c r="L183" s="600" t="s">
        <v>4</v>
      </c>
    </row>
    <row r="184" spans="1:12" x14ac:dyDescent="0.35">
      <c r="A184" s="2303">
        <v>834</v>
      </c>
      <c r="B184" s="2303" t="s">
        <v>78</v>
      </c>
      <c r="C184" s="2303" t="s">
        <v>1864</v>
      </c>
      <c r="D184" s="2298" t="s">
        <v>958</v>
      </c>
      <c r="E184" s="2305" t="s">
        <v>4</v>
      </c>
      <c r="F184" s="2298" t="s">
        <v>1727</v>
      </c>
      <c r="G184" s="2298" t="s">
        <v>1728</v>
      </c>
      <c r="H184" s="2303">
        <v>1</v>
      </c>
      <c r="I184" s="2303"/>
      <c r="J184" s="2305" t="s">
        <v>1373</v>
      </c>
      <c r="K184" s="600" t="s">
        <v>3026</v>
      </c>
      <c r="L184" s="600" t="s">
        <v>4</v>
      </c>
    </row>
    <row r="185" spans="1:12" x14ac:dyDescent="0.35">
      <c r="A185" s="2303">
        <v>835</v>
      </c>
      <c r="B185" s="2303" t="s">
        <v>78</v>
      </c>
      <c r="C185" s="2303" t="s">
        <v>1864</v>
      </c>
      <c r="D185" s="2298" t="s">
        <v>959</v>
      </c>
      <c r="E185" s="2305" t="s">
        <v>4</v>
      </c>
      <c r="F185" s="2298" t="s">
        <v>1727</v>
      </c>
      <c r="G185" s="2298" t="s">
        <v>1728</v>
      </c>
      <c r="H185" s="2303">
        <v>1</v>
      </c>
      <c r="I185" s="2303"/>
      <c r="J185" s="2305" t="s">
        <v>1373</v>
      </c>
      <c r="K185" s="600" t="s">
        <v>3026</v>
      </c>
      <c r="L185" s="600" t="s">
        <v>4</v>
      </c>
    </row>
    <row r="186" spans="1:12" x14ac:dyDescent="0.35">
      <c r="A186" s="2303">
        <v>836</v>
      </c>
      <c r="B186" s="2303" t="s">
        <v>78</v>
      </c>
      <c r="C186" s="2303" t="s">
        <v>1864</v>
      </c>
      <c r="D186" s="2298" t="s">
        <v>960</v>
      </c>
      <c r="E186" s="2305" t="s">
        <v>4</v>
      </c>
      <c r="F186" s="2298" t="s">
        <v>1727</v>
      </c>
      <c r="G186" s="2298" t="s">
        <v>1728</v>
      </c>
      <c r="H186" s="2303">
        <v>1</v>
      </c>
      <c r="I186" s="2303"/>
      <c r="J186" s="2305" t="s">
        <v>1373</v>
      </c>
      <c r="K186" s="600" t="s">
        <v>3026</v>
      </c>
      <c r="L186" s="600" t="s">
        <v>4</v>
      </c>
    </row>
    <row r="187" spans="1:12" x14ac:dyDescent="0.35">
      <c r="A187" s="2303">
        <v>862</v>
      </c>
      <c r="B187" s="2303" t="s">
        <v>78</v>
      </c>
      <c r="C187" s="2303" t="s">
        <v>1864</v>
      </c>
      <c r="D187" s="2298" t="s">
        <v>961</v>
      </c>
      <c r="E187" s="2305" t="s">
        <v>4</v>
      </c>
      <c r="F187" s="2298" t="s">
        <v>1727</v>
      </c>
      <c r="G187" s="2298" t="s">
        <v>1728</v>
      </c>
      <c r="H187" s="2303">
        <v>1</v>
      </c>
      <c r="I187" s="2303"/>
      <c r="J187" s="2305" t="s">
        <v>1373</v>
      </c>
      <c r="K187" s="600" t="s">
        <v>3026</v>
      </c>
      <c r="L187" s="600" t="s">
        <v>4</v>
      </c>
    </row>
    <row r="188" spans="1:12" x14ac:dyDescent="0.35">
      <c r="A188" s="2303">
        <v>863</v>
      </c>
      <c r="B188" s="2303" t="s">
        <v>78</v>
      </c>
      <c r="C188" s="2303" t="s">
        <v>1864</v>
      </c>
      <c r="D188" s="2298" t="s">
        <v>962</v>
      </c>
      <c r="E188" s="2305" t="s">
        <v>4</v>
      </c>
      <c r="F188" s="2298" t="s">
        <v>1727</v>
      </c>
      <c r="G188" s="2298" t="s">
        <v>1728</v>
      </c>
      <c r="H188" s="2303">
        <v>1</v>
      </c>
      <c r="I188" s="2303"/>
      <c r="J188" s="2305" t="s">
        <v>1373</v>
      </c>
      <c r="K188" s="600" t="s">
        <v>3026</v>
      </c>
      <c r="L188" s="600" t="s">
        <v>4</v>
      </c>
    </row>
    <row r="189" spans="1:12" x14ac:dyDescent="0.35">
      <c r="A189" s="2303">
        <v>864</v>
      </c>
      <c r="B189" s="2303" t="s">
        <v>78</v>
      </c>
      <c r="C189" s="2303" t="s">
        <v>1864</v>
      </c>
      <c r="D189" s="2298" t="s">
        <v>963</v>
      </c>
      <c r="E189" s="2305" t="s">
        <v>4</v>
      </c>
      <c r="F189" s="2298" t="s">
        <v>1727</v>
      </c>
      <c r="G189" s="2298" t="s">
        <v>1728</v>
      </c>
      <c r="H189" s="2303">
        <v>1</v>
      </c>
      <c r="I189" s="2303"/>
      <c r="J189" s="2305" t="s">
        <v>1373</v>
      </c>
      <c r="K189" s="600" t="s">
        <v>3026</v>
      </c>
      <c r="L189" s="600" t="s">
        <v>4</v>
      </c>
    </row>
    <row r="190" spans="1:12" x14ac:dyDescent="0.35">
      <c r="A190" s="2303">
        <v>890</v>
      </c>
      <c r="B190" s="2303" t="s">
        <v>78</v>
      </c>
      <c r="C190" s="2303" t="s">
        <v>1864</v>
      </c>
      <c r="D190" s="2298" t="s">
        <v>964</v>
      </c>
      <c r="E190" s="2305" t="s">
        <v>4</v>
      </c>
      <c r="F190" s="2298" t="s">
        <v>1727</v>
      </c>
      <c r="G190" s="2298" t="s">
        <v>1728</v>
      </c>
      <c r="H190" s="2303">
        <v>1</v>
      </c>
      <c r="I190" s="2303"/>
      <c r="J190" s="2305" t="s">
        <v>1373</v>
      </c>
      <c r="K190" s="600" t="s">
        <v>3026</v>
      </c>
      <c r="L190" s="600" t="s">
        <v>4</v>
      </c>
    </row>
    <row r="191" spans="1:12" x14ac:dyDescent="0.35">
      <c r="A191" s="2303">
        <v>891</v>
      </c>
      <c r="B191" s="2303" t="s">
        <v>78</v>
      </c>
      <c r="C191" s="2303" t="s">
        <v>1864</v>
      </c>
      <c r="D191" s="2298" t="s">
        <v>965</v>
      </c>
      <c r="E191" s="2305" t="s">
        <v>4</v>
      </c>
      <c r="F191" s="2298" t="s">
        <v>1727</v>
      </c>
      <c r="G191" s="2298" t="s">
        <v>1728</v>
      </c>
      <c r="H191" s="2303">
        <v>1</v>
      </c>
      <c r="I191" s="2303"/>
      <c r="J191" s="2305" t="s">
        <v>1373</v>
      </c>
      <c r="K191" s="600" t="s">
        <v>3026</v>
      </c>
      <c r="L191" s="600" t="s">
        <v>4</v>
      </c>
    </row>
    <row r="192" spans="1:12" x14ac:dyDescent="0.35">
      <c r="A192" s="2303">
        <v>892</v>
      </c>
      <c r="B192" s="2303" t="s">
        <v>78</v>
      </c>
      <c r="C192" s="2303" t="s">
        <v>1864</v>
      </c>
      <c r="D192" s="2298" t="s">
        <v>966</v>
      </c>
      <c r="E192" s="2305" t="s">
        <v>4</v>
      </c>
      <c r="F192" s="2298" t="s">
        <v>1727</v>
      </c>
      <c r="G192" s="2298" t="s">
        <v>1728</v>
      </c>
      <c r="H192" s="2303">
        <v>1</v>
      </c>
      <c r="I192" s="2303"/>
      <c r="J192" s="2305" t="s">
        <v>1373</v>
      </c>
      <c r="K192" s="600" t="s">
        <v>3026</v>
      </c>
      <c r="L192" s="600" t="s">
        <v>4</v>
      </c>
    </row>
    <row r="193" spans="1:12" x14ac:dyDescent="0.35">
      <c r="A193" s="2303">
        <v>780</v>
      </c>
      <c r="B193" s="2303" t="s">
        <v>78</v>
      </c>
      <c r="C193" s="2303" t="s">
        <v>1864</v>
      </c>
      <c r="D193" s="2298" t="s">
        <v>967</v>
      </c>
      <c r="E193" s="2305" t="s">
        <v>984</v>
      </c>
      <c r="F193" s="2298" t="s">
        <v>3037</v>
      </c>
      <c r="G193" s="2298" t="s">
        <v>1722</v>
      </c>
      <c r="H193" s="2303">
        <v>1</v>
      </c>
      <c r="I193" s="2303"/>
      <c r="J193" s="2305" t="s">
        <v>1373</v>
      </c>
      <c r="K193" s="600" t="s">
        <v>967</v>
      </c>
      <c r="L193" s="600" t="s">
        <v>20</v>
      </c>
    </row>
    <row r="194" spans="1:12" x14ac:dyDescent="0.35">
      <c r="A194" s="2303">
        <v>783</v>
      </c>
      <c r="B194" s="2303" t="s">
        <v>78</v>
      </c>
      <c r="C194" s="2303" t="s">
        <v>1864</v>
      </c>
      <c r="D194" s="2298" t="s">
        <v>968</v>
      </c>
      <c r="E194" s="2305" t="s">
        <v>984</v>
      </c>
      <c r="F194" s="2298" t="s">
        <v>1698</v>
      </c>
      <c r="G194" s="2298" t="s">
        <v>1699</v>
      </c>
      <c r="H194" s="2303">
        <v>1</v>
      </c>
      <c r="I194" s="2303"/>
      <c r="J194" s="2305" t="s">
        <v>1373</v>
      </c>
      <c r="K194" s="600" t="s">
        <v>968</v>
      </c>
      <c r="L194" s="600" t="s">
        <v>3038</v>
      </c>
    </row>
    <row r="195" spans="1:12" x14ac:dyDescent="0.35">
      <c r="A195" s="2303">
        <v>778</v>
      </c>
      <c r="B195" s="2303" t="s">
        <v>78</v>
      </c>
      <c r="C195" s="2303" t="s">
        <v>1864</v>
      </c>
      <c r="D195" s="2298" t="s">
        <v>969</v>
      </c>
      <c r="E195" s="2305" t="s">
        <v>984</v>
      </c>
      <c r="F195" s="2298" t="s">
        <v>1694</v>
      </c>
      <c r="G195" s="2298" t="s">
        <v>1695</v>
      </c>
      <c r="H195" s="2303">
        <v>1</v>
      </c>
      <c r="I195" s="2303"/>
      <c r="J195" s="2305" t="s">
        <v>1373</v>
      </c>
      <c r="K195" s="600" t="s">
        <v>3039</v>
      </c>
      <c r="L195" s="600" t="s">
        <v>3038</v>
      </c>
    </row>
    <row r="196" spans="1:12" x14ac:dyDescent="0.35">
      <c r="A196" s="2303">
        <v>782</v>
      </c>
      <c r="B196" s="2303" t="s">
        <v>78</v>
      </c>
      <c r="C196" s="2303" t="s">
        <v>1864</v>
      </c>
      <c r="D196" s="2298" t="s">
        <v>970</v>
      </c>
      <c r="E196" s="2305" t="s">
        <v>984</v>
      </c>
      <c r="F196" s="2298" t="s">
        <v>1696</v>
      </c>
      <c r="G196" s="2298" t="s">
        <v>1697</v>
      </c>
      <c r="H196" s="2303">
        <v>1</v>
      </c>
      <c r="I196" s="2303"/>
      <c r="J196" s="2305" t="s">
        <v>1373</v>
      </c>
      <c r="K196" s="600" t="s">
        <v>3040</v>
      </c>
      <c r="L196" s="600" t="s">
        <v>3038</v>
      </c>
    </row>
    <row r="197" spans="1:12" x14ac:dyDescent="0.35">
      <c r="A197" s="2303">
        <v>781</v>
      </c>
      <c r="B197" s="2303" t="s">
        <v>78</v>
      </c>
      <c r="C197" s="2303" t="s">
        <v>1864</v>
      </c>
      <c r="D197" s="2298" t="s">
        <v>971</v>
      </c>
      <c r="E197" s="2305" t="s">
        <v>984</v>
      </c>
      <c r="F197" s="2298" t="s">
        <v>1708</v>
      </c>
      <c r="G197" s="2298" t="s">
        <v>1709</v>
      </c>
      <c r="H197" s="2303">
        <v>1</v>
      </c>
      <c r="I197" s="2303"/>
      <c r="J197" s="2305" t="s">
        <v>1373</v>
      </c>
      <c r="K197" s="600" t="s">
        <v>3041</v>
      </c>
      <c r="L197" s="600" t="s">
        <v>3038</v>
      </c>
    </row>
    <row r="198" spans="1:12" x14ac:dyDescent="0.35">
      <c r="A198" s="2303">
        <v>792</v>
      </c>
      <c r="B198" s="2303" t="s">
        <v>78</v>
      </c>
      <c r="C198" s="2303" t="s">
        <v>1864</v>
      </c>
      <c r="D198" s="2298" t="s">
        <v>972</v>
      </c>
      <c r="E198" s="2305" t="s">
        <v>984</v>
      </c>
      <c r="F198" s="2298" t="s">
        <v>1708</v>
      </c>
      <c r="G198" s="2298" t="s">
        <v>1709</v>
      </c>
      <c r="H198" s="2303">
        <v>1</v>
      </c>
      <c r="I198" s="2303"/>
      <c r="J198" s="2305" t="s">
        <v>1373</v>
      </c>
      <c r="K198" s="600" t="s">
        <v>3041</v>
      </c>
      <c r="L198" s="600" t="s">
        <v>3038</v>
      </c>
    </row>
    <row r="199" spans="1:12" x14ac:dyDescent="0.35">
      <c r="A199" s="2303">
        <v>789</v>
      </c>
      <c r="B199" s="2303" t="s">
        <v>78</v>
      </c>
      <c r="C199" s="2303" t="s">
        <v>1864</v>
      </c>
      <c r="D199" s="2298" t="s">
        <v>973</v>
      </c>
      <c r="E199" s="2305" t="s">
        <v>984</v>
      </c>
      <c r="F199" s="2298" t="s">
        <v>1704</v>
      </c>
      <c r="G199" s="2298" t="s">
        <v>1705</v>
      </c>
      <c r="H199" s="2303">
        <v>1</v>
      </c>
      <c r="I199" s="2303"/>
      <c r="J199" s="2305" t="s">
        <v>1373</v>
      </c>
      <c r="K199" s="600" t="s">
        <v>3042</v>
      </c>
      <c r="L199" s="600" t="s">
        <v>3038</v>
      </c>
    </row>
    <row r="200" spans="1:12" x14ac:dyDescent="0.35">
      <c r="A200" s="2303">
        <v>774</v>
      </c>
      <c r="B200" s="2303" t="s">
        <v>78</v>
      </c>
      <c r="C200" s="2303" t="s">
        <v>1864</v>
      </c>
      <c r="D200" s="2298" t="s">
        <v>974</v>
      </c>
      <c r="E200" s="2305" t="s">
        <v>984</v>
      </c>
      <c r="F200" s="2298" t="s">
        <v>1704</v>
      </c>
      <c r="G200" s="2298" t="s">
        <v>1705</v>
      </c>
      <c r="H200" s="2303">
        <v>1</v>
      </c>
      <c r="I200" s="2303"/>
      <c r="J200" s="2305" t="s">
        <v>1373</v>
      </c>
      <c r="K200" s="600" t="s">
        <v>3042</v>
      </c>
      <c r="L200" s="600" t="s">
        <v>3038</v>
      </c>
    </row>
    <row r="201" spans="1:12" x14ac:dyDescent="0.35">
      <c r="A201" s="2303">
        <v>785</v>
      </c>
      <c r="B201" s="2303" t="s">
        <v>78</v>
      </c>
      <c r="C201" s="2303" t="s">
        <v>1864</v>
      </c>
      <c r="D201" s="2298" t="s">
        <v>975</v>
      </c>
      <c r="E201" s="2305" t="s">
        <v>984</v>
      </c>
      <c r="F201" s="2298" t="s">
        <v>1702</v>
      </c>
      <c r="G201" s="2298" t="s">
        <v>1703</v>
      </c>
      <c r="H201" s="2303">
        <v>1</v>
      </c>
      <c r="I201" s="2303"/>
      <c r="J201" s="2305" t="s">
        <v>1373</v>
      </c>
      <c r="K201" s="600" t="s">
        <v>3043</v>
      </c>
      <c r="L201" s="600" t="s">
        <v>3038</v>
      </c>
    </row>
    <row r="202" spans="1:12" x14ac:dyDescent="0.35">
      <c r="A202" s="2303">
        <v>786</v>
      </c>
      <c r="B202" s="2303" t="s">
        <v>78</v>
      </c>
      <c r="C202" s="2303" t="s">
        <v>1864</v>
      </c>
      <c r="D202" s="2298" t="s">
        <v>976</v>
      </c>
      <c r="E202" s="2305" t="s">
        <v>984</v>
      </c>
      <c r="F202" s="2298" t="s">
        <v>1702</v>
      </c>
      <c r="G202" s="2298" t="s">
        <v>1703</v>
      </c>
      <c r="H202" s="2303">
        <v>1</v>
      </c>
      <c r="I202" s="2303"/>
      <c r="J202" s="2305" t="s">
        <v>1373</v>
      </c>
      <c r="K202" s="600" t="s">
        <v>3043</v>
      </c>
      <c r="L202" s="600" t="s">
        <v>3038</v>
      </c>
    </row>
    <row r="203" spans="1:12" x14ac:dyDescent="0.35">
      <c r="A203" s="2303">
        <v>784</v>
      </c>
      <c r="B203" s="2303" t="s">
        <v>78</v>
      </c>
      <c r="C203" s="2303" t="s">
        <v>1864</v>
      </c>
      <c r="D203" s="2298" t="s">
        <v>977</v>
      </c>
      <c r="E203" s="2305" t="s">
        <v>984</v>
      </c>
      <c r="F203" s="2298" t="s">
        <v>1700</v>
      </c>
      <c r="G203" s="2298" t="s">
        <v>1701</v>
      </c>
      <c r="H203" s="2303">
        <v>1</v>
      </c>
      <c r="I203" s="2303"/>
      <c r="J203" s="2305" t="s">
        <v>1373</v>
      </c>
      <c r="K203" s="600" t="s">
        <v>977</v>
      </c>
      <c r="L203" s="600" t="s">
        <v>3038</v>
      </c>
    </row>
    <row r="204" spans="1:12" x14ac:dyDescent="0.35">
      <c r="A204" s="2303">
        <v>791</v>
      </c>
      <c r="B204" s="2303" t="s">
        <v>78</v>
      </c>
      <c r="C204" s="2303" t="s">
        <v>1864</v>
      </c>
      <c r="D204" s="2298" t="s">
        <v>978</v>
      </c>
      <c r="E204" s="2305" t="s">
        <v>984</v>
      </c>
      <c r="F204" s="2298" t="s">
        <v>3044</v>
      </c>
      <c r="G204" s="2298" t="s">
        <v>3045</v>
      </c>
      <c r="H204" s="2303">
        <v>0</v>
      </c>
      <c r="I204" s="2303"/>
      <c r="J204" s="2305" t="s">
        <v>1373</v>
      </c>
      <c r="K204" s="600" t="s">
        <v>1393</v>
      </c>
      <c r="L204" s="600" t="s">
        <v>3038</v>
      </c>
    </row>
    <row r="205" spans="1:12" x14ac:dyDescent="0.35">
      <c r="A205" s="2303">
        <v>777</v>
      </c>
      <c r="B205" s="2303" t="s">
        <v>78</v>
      </c>
      <c r="C205" s="2303" t="s">
        <v>1864</v>
      </c>
      <c r="D205" s="2298" t="s">
        <v>979</v>
      </c>
      <c r="E205" s="2305" t="s">
        <v>984</v>
      </c>
      <c r="F205" s="2298" t="s">
        <v>1706</v>
      </c>
      <c r="G205" s="2298" t="s">
        <v>1707</v>
      </c>
      <c r="H205" s="2303">
        <v>1</v>
      </c>
      <c r="I205" s="2303"/>
      <c r="J205" s="2305" t="s">
        <v>1373</v>
      </c>
      <c r="K205" s="600" t="s">
        <v>1391</v>
      </c>
      <c r="L205" s="600" t="s">
        <v>3038</v>
      </c>
    </row>
    <row r="206" spans="1:12" x14ac:dyDescent="0.35">
      <c r="A206" s="2303">
        <v>788</v>
      </c>
      <c r="B206" s="2303" t="s">
        <v>78</v>
      </c>
      <c r="C206" s="2303" t="s">
        <v>1864</v>
      </c>
      <c r="D206" s="2298" t="s">
        <v>980</v>
      </c>
      <c r="E206" s="2305" t="s">
        <v>984</v>
      </c>
      <c r="F206" s="2298" t="s">
        <v>1733</v>
      </c>
      <c r="G206" s="2298" t="s">
        <v>1734</v>
      </c>
      <c r="H206" s="2303">
        <v>1</v>
      </c>
      <c r="I206" s="2303"/>
      <c r="J206" s="2305" t="s">
        <v>1373</v>
      </c>
      <c r="K206" s="600" t="s">
        <v>3046</v>
      </c>
      <c r="L206" s="600" t="s">
        <v>3047</v>
      </c>
    </row>
    <row r="207" spans="1:12" x14ac:dyDescent="0.35">
      <c r="A207" s="2303">
        <v>787</v>
      </c>
      <c r="B207" s="2303" t="s">
        <v>78</v>
      </c>
      <c r="C207" s="2303" t="s">
        <v>1864</v>
      </c>
      <c r="D207" s="2298" t="s">
        <v>1680</v>
      </c>
      <c r="E207" s="2305" t="s">
        <v>984</v>
      </c>
      <c r="F207" s="2298" t="s">
        <v>1733</v>
      </c>
      <c r="G207" s="2298" t="s">
        <v>1734</v>
      </c>
      <c r="H207" s="2303">
        <v>1</v>
      </c>
      <c r="I207" s="2303"/>
      <c r="J207" s="2305" t="s">
        <v>1373</v>
      </c>
      <c r="K207" s="600" t="s">
        <v>3046</v>
      </c>
      <c r="L207" s="600" t="s">
        <v>3047</v>
      </c>
    </row>
    <row r="208" spans="1:12" x14ac:dyDescent="0.35">
      <c r="A208" s="2303">
        <v>779</v>
      </c>
      <c r="B208" s="2303" t="s">
        <v>78</v>
      </c>
      <c r="C208" s="2303" t="s">
        <v>1864</v>
      </c>
      <c r="D208" s="2298" t="s">
        <v>982</v>
      </c>
      <c r="E208" s="2305" t="s">
        <v>984</v>
      </c>
      <c r="F208" s="2298" t="s">
        <v>1719</v>
      </c>
      <c r="G208" s="2298" t="s">
        <v>1720</v>
      </c>
      <c r="H208" s="2303">
        <v>1</v>
      </c>
      <c r="I208" s="2303"/>
      <c r="J208" s="2305" t="s">
        <v>1373</v>
      </c>
      <c r="K208" s="600" t="s">
        <v>3048</v>
      </c>
      <c r="L208" s="600" t="s">
        <v>20</v>
      </c>
    </row>
    <row r="209" spans="1:12" x14ac:dyDescent="0.35">
      <c r="A209" s="2303">
        <v>775</v>
      </c>
      <c r="B209" s="2303" t="s">
        <v>78</v>
      </c>
      <c r="C209" s="2303" t="s">
        <v>1864</v>
      </c>
      <c r="D209" s="2298" t="s">
        <v>983</v>
      </c>
      <c r="E209" s="2305" t="s">
        <v>984</v>
      </c>
      <c r="F209" s="2298" t="s">
        <v>1710</v>
      </c>
      <c r="G209" s="2298" t="s">
        <v>1711</v>
      </c>
      <c r="H209" s="2303">
        <v>1</v>
      </c>
      <c r="I209" s="2303"/>
      <c r="J209" s="2305" t="s">
        <v>1373</v>
      </c>
      <c r="K209" s="600" t="s">
        <v>3033</v>
      </c>
      <c r="L209" s="600" t="s">
        <v>3030</v>
      </c>
    </row>
    <row r="210" spans="1:12" x14ac:dyDescent="0.35">
      <c r="A210" s="2303">
        <v>906</v>
      </c>
      <c r="B210" s="2303" t="s">
        <v>78</v>
      </c>
      <c r="C210" s="2303" t="s">
        <v>1864</v>
      </c>
      <c r="D210" s="2298" t="s">
        <v>433</v>
      </c>
      <c r="E210" s="2305" t="s">
        <v>15</v>
      </c>
      <c r="F210" s="2298" t="s">
        <v>434</v>
      </c>
      <c r="G210" s="2298" t="s">
        <v>1724</v>
      </c>
      <c r="H210" s="2303">
        <v>1</v>
      </c>
      <c r="I210" s="2303"/>
      <c r="J210" s="2305" t="s">
        <v>1373</v>
      </c>
      <c r="K210" s="600" t="s">
        <v>1052</v>
      </c>
      <c r="L210" s="600" t="s">
        <v>2296</v>
      </c>
    </row>
    <row r="211" spans="1:12" x14ac:dyDescent="0.35">
      <c r="A211" s="2303">
        <v>470</v>
      </c>
      <c r="B211" s="2303" t="s">
        <v>78</v>
      </c>
      <c r="C211" s="2303" t="s">
        <v>838</v>
      </c>
      <c r="D211" s="2298" t="s">
        <v>987</v>
      </c>
      <c r="E211" s="2305" t="s">
        <v>1007</v>
      </c>
      <c r="F211" s="2298" t="s">
        <v>3049</v>
      </c>
      <c r="G211" s="2315" t="s">
        <v>3050</v>
      </c>
      <c r="H211" s="2303">
        <v>0</v>
      </c>
      <c r="I211" s="2303"/>
      <c r="J211" s="2305" t="s">
        <v>1007</v>
      </c>
      <c r="K211" s="2286" t="s">
        <v>3051</v>
      </c>
      <c r="L211" s="2286" t="s">
        <v>3052</v>
      </c>
    </row>
    <row r="212" spans="1:12" x14ac:dyDescent="0.35">
      <c r="A212" s="2303">
        <v>475</v>
      </c>
      <c r="B212" s="2303" t="s">
        <v>78</v>
      </c>
      <c r="C212" s="2303" t="s">
        <v>838</v>
      </c>
      <c r="D212" s="2298" t="s">
        <v>988</v>
      </c>
      <c r="E212" s="2305" t="s">
        <v>1007</v>
      </c>
      <c r="F212" s="2298" t="s">
        <v>3049</v>
      </c>
      <c r="G212" s="2315" t="s">
        <v>3050</v>
      </c>
      <c r="H212" s="2303">
        <v>0</v>
      </c>
      <c r="I212" s="2303"/>
      <c r="J212" s="2305" t="s">
        <v>1007</v>
      </c>
      <c r="K212" s="2286" t="s">
        <v>3051</v>
      </c>
      <c r="L212" s="2286" t="s">
        <v>3052</v>
      </c>
    </row>
    <row r="213" spans="1:12" x14ac:dyDescent="0.35">
      <c r="A213" s="2303">
        <v>480</v>
      </c>
      <c r="B213" s="2303" t="s">
        <v>78</v>
      </c>
      <c r="C213" s="2303" t="s">
        <v>838</v>
      </c>
      <c r="D213" s="2298" t="s">
        <v>989</v>
      </c>
      <c r="E213" s="2305" t="s">
        <v>1007</v>
      </c>
      <c r="F213" s="2298" t="s">
        <v>3049</v>
      </c>
      <c r="G213" s="2315" t="s">
        <v>3050</v>
      </c>
      <c r="H213" s="2303">
        <v>0</v>
      </c>
      <c r="I213" s="2303"/>
      <c r="J213" s="2305" t="s">
        <v>1007</v>
      </c>
      <c r="K213" s="2286" t="s">
        <v>3051</v>
      </c>
      <c r="L213" s="2286" t="s">
        <v>3052</v>
      </c>
    </row>
    <row r="214" spans="1:12" x14ac:dyDescent="0.35">
      <c r="A214" s="2303">
        <v>485</v>
      </c>
      <c r="B214" s="2303" t="s">
        <v>78</v>
      </c>
      <c r="C214" s="2303" t="s">
        <v>838</v>
      </c>
      <c r="D214" s="2298" t="s">
        <v>990</v>
      </c>
      <c r="E214" s="2305" t="s">
        <v>1007</v>
      </c>
      <c r="F214" s="2298" t="s">
        <v>3049</v>
      </c>
      <c r="G214" s="2315" t="s">
        <v>3050</v>
      </c>
      <c r="H214" s="2303">
        <v>0</v>
      </c>
      <c r="I214" s="2303"/>
      <c r="J214" s="2305" t="s">
        <v>1007</v>
      </c>
      <c r="K214" s="2286" t="s">
        <v>3051</v>
      </c>
      <c r="L214" s="2286" t="s">
        <v>3052</v>
      </c>
    </row>
    <row r="215" spans="1:12" x14ac:dyDescent="0.35">
      <c r="A215" s="2303">
        <v>471</v>
      </c>
      <c r="B215" s="2303" t="s">
        <v>78</v>
      </c>
      <c r="C215" s="2303" t="s">
        <v>838</v>
      </c>
      <c r="D215" s="2298" t="s">
        <v>991</v>
      </c>
      <c r="E215" s="2305" t="s">
        <v>1007</v>
      </c>
      <c r="F215" s="2298" t="s">
        <v>3049</v>
      </c>
      <c r="G215" s="2315" t="s">
        <v>3050</v>
      </c>
      <c r="H215" s="2303">
        <v>0</v>
      </c>
      <c r="I215" s="2303"/>
      <c r="J215" s="2305" t="s">
        <v>1007</v>
      </c>
      <c r="K215" s="2286" t="s">
        <v>3051</v>
      </c>
      <c r="L215" s="2286" t="s">
        <v>3052</v>
      </c>
    </row>
    <row r="216" spans="1:12" x14ac:dyDescent="0.35">
      <c r="A216" s="2303">
        <v>472</v>
      </c>
      <c r="B216" s="2303" t="s">
        <v>78</v>
      </c>
      <c r="C216" s="2303" t="s">
        <v>838</v>
      </c>
      <c r="D216" s="2298" t="s">
        <v>992</v>
      </c>
      <c r="E216" s="2305" t="s">
        <v>1007</v>
      </c>
      <c r="F216" s="2298" t="s">
        <v>3049</v>
      </c>
      <c r="G216" s="2315" t="s">
        <v>3050</v>
      </c>
      <c r="H216" s="2303">
        <v>0</v>
      </c>
      <c r="I216" s="2303"/>
      <c r="J216" s="2305" t="s">
        <v>1007</v>
      </c>
      <c r="K216" s="2286" t="s">
        <v>3051</v>
      </c>
      <c r="L216" s="2286" t="s">
        <v>3052</v>
      </c>
    </row>
    <row r="217" spans="1:12" x14ac:dyDescent="0.35">
      <c r="A217" s="2303">
        <v>473</v>
      </c>
      <c r="B217" s="2303" t="s">
        <v>78</v>
      </c>
      <c r="C217" s="2303" t="s">
        <v>838</v>
      </c>
      <c r="D217" s="2298" t="s">
        <v>993</v>
      </c>
      <c r="E217" s="2305" t="s">
        <v>1007</v>
      </c>
      <c r="F217" s="2298" t="s">
        <v>3049</v>
      </c>
      <c r="G217" s="2315" t="s">
        <v>3050</v>
      </c>
      <c r="H217" s="2303">
        <v>0</v>
      </c>
      <c r="I217" s="2303"/>
      <c r="J217" s="2305" t="s">
        <v>1007</v>
      </c>
      <c r="K217" s="2286" t="s">
        <v>3051</v>
      </c>
      <c r="L217" s="2286" t="s">
        <v>3052</v>
      </c>
    </row>
    <row r="218" spans="1:12" x14ac:dyDescent="0.35">
      <c r="A218" s="2303">
        <v>474</v>
      </c>
      <c r="B218" s="2303" t="s">
        <v>78</v>
      </c>
      <c r="C218" s="2303" t="s">
        <v>838</v>
      </c>
      <c r="D218" s="2298" t="s">
        <v>994</v>
      </c>
      <c r="E218" s="2305" t="s">
        <v>1007</v>
      </c>
      <c r="F218" s="2298" t="s">
        <v>3049</v>
      </c>
      <c r="G218" s="2315" t="s">
        <v>3050</v>
      </c>
      <c r="H218" s="2303">
        <v>0</v>
      </c>
      <c r="I218" s="2303"/>
      <c r="J218" s="2305" t="s">
        <v>1007</v>
      </c>
      <c r="K218" s="2286" t="s">
        <v>3051</v>
      </c>
      <c r="L218" s="2286" t="s">
        <v>3052</v>
      </c>
    </row>
    <row r="219" spans="1:12" x14ac:dyDescent="0.35">
      <c r="A219" s="2303">
        <v>476</v>
      </c>
      <c r="B219" s="2303" t="s">
        <v>78</v>
      </c>
      <c r="C219" s="2303" t="s">
        <v>838</v>
      </c>
      <c r="D219" s="2298" t="s">
        <v>995</v>
      </c>
      <c r="E219" s="2305" t="s">
        <v>1007</v>
      </c>
      <c r="F219" s="2298" t="s">
        <v>3049</v>
      </c>
      <c r="G219" s="2315" t="s">
        <v>3050</v>
      </c>
      <c r="H219" s="2303">
        <v>0</v>
      </c>
      <c r="I219" s="2303"/>
      <c r="J219" s="2305" t="s">
        <v>1007</v>
      </c>
      <c r="K219" s="2286" t="s">
        <v>3051</v>
      </c>
      <c r="L219" s="2286" t="s">
        <v>3052</v>
      </c>
    </row>
    <row r="220" spans="1:12" x14ac:dyDescent="0.35">
      <c r="A220" s="2303">
        <v>477</v>
      </c>
      <c r="B220" s="2303" t="s">
        <v>78</v>
      </c>
      <c r="C220" s="2303" t="s">
        <v>838</v>
      </c>
      <c r="D220" s="2298" t="s">
        <v>996</v>
      </c>
      <c r="E220" s="2305" t="s">
        <v>1007</v>
      </c>
      <c r="F220" s="2298" t="s">
        <v>3049</v>
      </c>
      <c r="G220" s="2315" t="s">
        <v>3050</v>
      </c>
      <c r="H220" s="2303">
        <v>0</v>
      </c>
      <c r="I220" s="2303"/>
      <c r="J220" s="2305" t="s">
        <v>1007</v>
      </c>
      <c r="K220" s="2286" t="s">
        <v>3051</v>
      </c>
      <c r="L220" s="2286" t="s">
        <v>3052</v>
      </c>
    </row>
    <row r="221" spans="1:12" x14ac:dyDescent="0.35">
      <c r="A221" s="2303">
        <v>478</v>
      </c>
      <c r="B221" s="2303" t="s">
        <v>78</v>
      </c>
      <c r="C221" s="2303" t="s">
        <v>838</v>
      </c>
      <c r="D221" s="2298" t="s">
        <v>997</v>
      </c>
      <c r="E221" s="2305" t="s">
        <v>1007</v>
      </c>
      <c r="F221" s="2298" t="s">
        <v>3049</v>
      </c>
      <c r="G221" s="2315" t="s">
        <v>3050</v>
      </c>
      <c r="H221" s="2303">
        <v>0</v>
      </c>
      <c r="I221" s="2303"/>
      <c r="J221" s="2305" t="s">
        <v>1007</v>
      </c>
      <c r="K221" s="2286" t="s">
        <v>3051</v>
      </c>
      <c r="L221" s="2286" t="s">
        <v>3052</v>
      </c>
    </row>
    <row r="222" spans="1:12" x14ac:dyDescent="0.35">
      <c r="A222" s="2303">
        <v>479</v>
      </c>
      <c r="B222" s="2303" t="s">
        <v>78</v>
      </c>
      <c r="C222" s="2303" t="s">
        <v>838</v>
      </c>
      <c r="D222" s="2298" t="s">
        <v>998</v>
      </c>
      <c r="E222" s="2305" t="s">
        <v>1007</v>
      </c>
      <c r="F222" s="2298" t="s">
        <v>3049</v>
      </c>
      <c r="G222" s="2315" t="s">
        <v>3050</v>
      </c>
      <c r="H222" s="2303">
        <v>0</v>
      </c>
      <c r="I222" s="2303"/>
      <c r="J222" s="2305" t="s">
        <v>1007</v>
      </c>
      <c r="K222" s="2286" t="s">
        <v>3051</v>
      </c>
      <c r="L222" s="2286" t="s">
        <v>3052</v>
      </c>
    </row>
    <row r="223" spans="1:12" x14ac:dyDescent="0.35">
      <c r="A223" s="2303">
        <v>481</v>
      </c>
      <c r="B223" s="2303" t="s">
        <v>78</v>
      </c>
      <c r="C223" s="2303" t="s">
        <v>838</v>
      </c>
      <c r="D223" s="2298" t="s">
        <v>999</v>
      </c>
      <c r="E223" s="2305" t="s">
        <v>1007</v>
      </c>
      <c r="F223" s="2298" t="s">
        <v>3049</v>
      </c>
      <c r="G223" s="2315" t="s">
        <v>3050</v>
      </c>
      <c r="H223" s="2303">
        <v>0</v>
      </c>
      <c r="I223" s="2303"/>
      <c r="J223" s="2305" t="s">
        <v>1007</v>
      </c>
      <c r="K223" s="2286" t="s">
        <v>3051</v>
      </c>
      <c r="L223" s="2286" t="s">
        <v>3052</v>
      </c>
    </row>
    <row r="224" spans="1:12" x14ac:dyDescent="0.35">
      <c r="A224" s="2303">
        <v>482</v>
      </c>
      <c r="B224" s="2303" t="s">
        <v>78</v>
      </c>
      <c r="C224" s="2303" t="s">
        <v>838</v>
      </c>
      <c r="D224" s="2298" t="s">
        <v>1000</v>
      </c>
      <c r="E224" s="2305" t="s">
        <v>1007</v>
      </c>
      <c r="F224" s="2298" t="s">
        <v>3049</v>
      </c>
      <c r="G224" s="2315" t="s">
        <v>3050</v>
      </c>
      <c r="H224" s="2303">
        <v>0</v>
      </c>
      <c r="I224" s="2303"/>
      <c r="J224" s="2305" t="s">
        <v>1007</v>
      </c>
      <c r="K224" s="2286" t="s">
        <v>3051</v>
      </c>
      <c r="L224" s="2286" t="s">
        <v>3052</v>
      </c>
    </row>
    <row r="225" spans="1:12" x14ac:dyDescent="0.35">
      <c r="A225" s="2303">
        <v>483</v>
      </c>
      <c r="B225" s="2303" t="s">
        <v>78</v>
      </c>
      <c r="C225" s="2303" t="s">
        <v>838</v>
      </c>
      <c r="D225" s="2298" t="s">
        <v>1001</v>
      </c>
      <c r="E225" s="2305" t="s">
        <v>1007</v>
      </c>
      <c r="F225" s="2298" t="s">
        <v>3049</v>
      </c>
      <c r="G225" s="2315" t="s">
        <v>3050</v>
      </c>
      <c r="H225" s="2303">
        <v>0</v>
      </c>
      <c r="I225" s="2303"/>
      <c r="J225" s="2305" t="s">
        <v>1007</v>
      </c>
      <c r="K225" s="2286" t="s">
        <v>3051</v>
      </c>
      <c r="L225" s="2286" t="s">
        <v>3052</v>
      </c>
    </row>
    <row r="226" spans="1:12" x14ac:dyDescent="0.35">
      <c r="A226" s="2303">
        <v>484</v>
      </c>
      <c r="B226" s="2303" t="s">
        <v>78</v>
      </c>
      <c r="C226" s="2303" t="s">
        <v>838</v>
      </c>
      <c r="D226" s="2298" t="s">
        <v>1002</v>
      </c>
      <c r="E226" s="2305" t="s">
        <v>1007</v>
      </c>
      <c r="F226" s="2298" t="s">
        <v>3049</v>
      </c>
      <c r="G226" s="2315" t="s">
        <v>3050</v>
      </c>
      <c r="H226" s="2303">
        <v>0</v>
      </c>
      <c r="I226" s="2303"/>
      <c r="J226" s="2305" t="s">
        <v>1007</v>
      </c>
      <c r="K226" s="2286" t="s">
        <v>3051</v>
      </c>
      <c r="L226" s="2286" t="s">
        <v>3052</v>
      </c>
    </row>
    <row r="227" spans="1:12" x14ac:dyDescent="0.35">
      <c r="A227" s="2303">
        <v>486</v>
      </c>
      <c r="B227" s="2303" t="s">
        <v>78</v>
      </c>
      <c r="C227" s="2303" t="s">
        <v>838</v>
      </c>
      <c r="D227" s="2298" t="s">
        <v>1003</v>
      </c>
      <c r="E227" s="2305" t="s">
        <v>1007</v>
      </c>
      <c r="F227" s="2298" t="s">
        <v>3049</v>
      </c>
      <c r="G227" s="2315" t="s">
        <v>3050</v>
      </c>
      <c r="H227" s="2303">
        <v>0</v>
      </c>
      <c r="I227" s="2303"/>
      <c r="J227" s="2305" t="s">
        <v>1007</v>
      </c>
      <c r="K227" s="2286" t="s">
        <v>3051</v>
      </c>
      <c r="L227" s="2286" t="s">
        <v>3052</v>
      </c>
    </row>
    <row r="228" spans="1:12" x14ac:dyDescent="0.35">
      <c r="A228" s="2303">
        <v>487</v>
      </c>
      <c r="B228" s="2303" t="s">
        <v>78</v>
      </c>
      <c r="C228" s="2303" t="s">
        <v>838</v>
      </c>
      <c r="D228" s="2298" t="s">
        <v>1004</v>
      </c>
      <c r="E228" s="2305" t="s">
        <v>1007</v>
      </c>
      <c r="F228" s="2298" t="s">
        <v>3049</v>
      </c>
      <c r="G228" s="2315" t="s">
        <v>3050</v>
      </c>
      <c r="H228" s="2303">
        <v>0</v>
      </c>
      <c r="I228" s="2303"/>
      <c r="J228" s="2305" t="s">
        <v>1007</v>
      </c>
      <c r="K228" s="2286" t="s">
        <v>3051</v>
      </c>
      <c r="L228" s="2286" t="s">
        <v>3052</v>
      </c>
    </row>
    <row r="229" spans="1:12" x14ac:dyDescent="0.35">
      <c r="A229" s="2303">
        <v>488</v>
      </c>
      <c r="B229" s="2303" t="s">
        <v>78</v>
      </c>
      <c r="C229" s="2303" t="s">
        <v>838</v>
      </c>
      <c r="D229" s="2298" t="s">
        <v>1005</v>
      </c>
      <c r="E229" s="2305" t="s">
        <v>1007</v>
      </c>
      <c r="F229" s="2298" t="s">
        <v>3049</v>
      </c>
      <c r="G229" s="2315" t="s">
        <v>3050</v>
      </c>
      <c r="H229" s="2303">
        <v>0</v>
      </c>
      <c r="I229" s="2303"/>
      <c r="J229" s="2305" t="s">
        <v>1007</v>
      </c>
      <c r="K229" s="2286" t="s">
        <v>3051</v>
      </c>
      <c r="L229" s="2286" t="s">
        <v>3052</v>
      </c>
    </row>
    <row r="230" spans="1:12" x14ac:dyDescent="0.35">
      <c r="A230" s="2303">
        <v>489</v>
      </c>
      <c r="B230" s="2303" t="s">
        <v>78</v>
      </c>
      <c r="C230" s="2303" t="s">
        <v>838</v>
      </c>
      <c r="D230" s="2298" t="s">
        <v>1006</v>
      </c>
      <c r="E230" s="2305" t="s">
        <v>1007</v>
      </c>
      <c r="F230" s="2298" t="s">
        <v>3049</v>
      </c>
      <c r="G230" s="2315" t="s">
        <v>3050</v>
      </c>
      <c r="H230" s="2303">
        <v>0</v>
      </c>
      <c r="I230" s="2303"/>
      <c r="J230" s="2305" t="s">
        <v>1007</v>
      </c>
      <c r="K230" s="2286" t="s">
        <v>3051</v>
      </c>
      <c r="L230" s="2286" t="s">
        <v>3052</v>
      </c>
    </row>
    <row r="231" spans="1:12" x14ac:dyDescent="0.35">
      <c r="A231" s="2303">
        <v>594</v>
      </c>
      <c r="B231" s="2303" t="s">
        <v>78</v>
      </c>
      <c r="C231" s="2303" t="s">
        <v>7</v>
      </c>
      <c r="D231" s="2298" t="s">
        <v>35</v>
      </c>
      <c r="E231" s="2305" t="s">
        <v>7</v>
      </c>
      <c r="F231" s="2298" t="s">
        <v>643</v>
      </c>
      <c r="G231" s="2298" t="s">
        <v>1725</v>
      </c>
      <c r="H231" s="2303">
        <v>1</v>
      </c>
      <c r="I231" s="2303"/>
      <c r="J231" s="2305" t="s">
        <v>1373</v>
      </c>
      <c r="K231" s="600" t="s">
        <v>3027</v>
      </c>
      <c r="L231" s="600" t="s">
        <v>2296</v>
      </c>
    </row>
    <row r="232" spans="1:12" x14ac:dyDescent="0.35">
      <c r="A232" s="2303">
        <v>579</v>
      </c>
      <c r="B232" s="2303" t="s">
        <v>78</v>
      </c>
      <c r="C232" s="2303" t="s">
        <v>7</v>
      </c>
      <c r="D232" s="2298" t="s">
        <v>1801</v>
      </c>
      <c r="E232" s="2305" t="s">
        <v>7</v>
      </c>
      <c r="F232" s="2298" t="s">
        <v>667</v>
      </c>
      <c r="G232" s="2298" t="s">
        <v>1916</v>
      </c>
      <c r="H232" s="2303">
        <v>1</v>
      </c>
      <c r="I232" s="2303"/>
      <c r="J232" s="2305" t="s">
        <v>1373</v>
      </c>
      <c r="K232" s="600" t="s">
        <v>3028</v>
      </c>
      <c r="L232" s="600" t="s">
        <v>2296</v>
      </c>
    </row>
    <row r="233" spans="1:12" x14ac:dyDescent="0.35">
      <c r="A233" s="2303">
        <v>595</v>
      </c>
      <c r="B233" s="2303" t="s">
        <v>78</v>
      </c>
      <c r="C233" s="2303" t="s">
        <v>7</v>
      </c>
      <c r="D233" s="2298" t="s">
        <v>39</v>
      </c>
      <c r="E233" s="2305" t="s">
        <v>7</v>
      </c>
      <c r="F233" s="2298" t="s">
        <v>643</v>
      </c>
      <c r="G233" s="2298" t="s">
        <v>1725</v>
      </c>
      <c r="H233" s="2303">
        <v>1</v>
      </c>
      <c r="I233" s="2303"/>
      <c r="J233" s="2305" t="s">
        <v>1374</v>
      </c>
      <c r="K233" s="600" t="s">
        <v>3027</v>
      </c>
      <c r="L233" s="600" t="s">
        <v>2296</v>
      </c>
    </row>
    <row r="234" spans="1:12" x14ac:dyDescent="0.35">
      <c r="A234" s="2303">
        <v>580</v>
      </c>
      <c r="B234" s="2303" t="s">
        <v>78</v>
      </c>
      <c r="C234" s="2303" t="s">
        <v>7</v>
      </c>
      <c r="D234" s="2298" t="s">
        <v>1802</v>
      </c>
      <c r="E234" s="2305" t="s">
        <v>7</v>
      </c>
      <c r="F234" s="2298" t="s">
        <v>667</v>
      </c>
      <c r="G234" s="2298" t="s">
        <v>1916</v>
      </c>
      <c r="H234" s="2303">
        <v>1</v>
      </c>
      <c r="I234" s="2303"/>
      <c r="J234" s="2305" t="s">
        <v>1374</v>
      </c>
      <c r="K234" s="600" t="s">
        <v>3028</v>
      </c>
      <c r="L234" s="600" t="s">
        <v>2296</v>
      </c>
    </row>
    <row r="235" spans="1:12" x14ac:dyDescent="0.35">
      <c r="A235" s="2303">
        <v>539</v>
      </c>
      <c r="B235" s="2303" t="s">
        <v>78</v>
      </c>
      <c r="C235" s="2303" t="s">
        <v>7</v>
      </c>
      <c r="D235" s="2298" t="s">
        <v>1803</v>
      </c>
      <c r="E235" s="2305" t="s">
        <v>7</v>
      </c>
      <c r="F235" s="2298" t="s">
        <v>710</v>
      </c>
      <c r="G235" s="2298" t="s">
        <v>1730</v>
      </c>
      <c r="H235" s="2303">
        <v>1</v>
      </c>
      <c r="I235" s="2303"/>
      <c r="J235" s="2305" t="s">
        <v>1373</v>
      </c>
      <c r="K235" s="600" t="s">
        <v>711</v>
      </c>
      <c r="L235" s="600" t="s">
        <v>3034</v>
      </c>
    </row>
    <row r="236" spans="1:12" x14ac:dyDescent="0.35">
      <c r="A236" s="2303">
        <v>590</v>
      </c>
      <c r="B236" s="2303" t="s">
        <v>78</v>
      </c>
      <c r="C236" s="2303" t="s">
        <v>7</v>
      </c>
      <c r="D236" s="2304" t="s">
        <v>1804</v>
      </c>
      <c r="E236" s="2305" t="s">
        <v>7</v>
      </c>
      <c r="F236" s="2298" t="s">
        <v>564</v>
      </c>
      <c r="G236" s="2298" t="s">
        <v>1732</v>
      </c>
      <c r="H236" s="2303">
        <v>1</v>
      </c>
      <c r="I236" s="2303"/>
      <c r="J236" s="2305" t="s">
        <v>1373</v>
      </c>
      <c r="K236" s="600" t="s">
        <v>565</v>
      </c>
      <c r="L236" s="600" t="s">
        <v>3034</v>
      </c>
    </row>
    <row r="237" spans="1:12" x14ac:dyDescent="0.35">
      <c r="A237" s="2303">
        <v>592</v>
      </c>
      <c r="B237" s="2303" t="s">
        <v>78</v>
      </c>
      <c r="C237" s="2303" t="s">
        <v>7</v>
      </c>
      <c r="D237" s="2304" t="s">
        <v>1805</v>
      </c>
      <c r="E237" s="2305" t="s">
        <v>7</v>
      </c>
      <c r="F237" s="2298" t="s">
        <v>564</v>
      </c>
      <c r="G237" s="2298" t="s">
        <v>1732</v>
      </c>
      <c r="H237" s="2303">
        <v>1</v>
      </c>
      <c r="I237" s="2303"/>
      <c r="J237" s="2305" t="s">
        <v>1373</v>
      </c>
      <c r="K237" s="600" t="s">
        <v>565</v>
      </c>
      <c r="L237" s="600" t="s">
        <v>3034</v>
      </c>
    </row>
    <row r="238" spans="1:12" x14ac:dyDescent="0.35">
      <c r="A238" s="2303">
        <v>565</v>
      </c>
      <c r="B238" s="2303" t="s">
        <v>78</v>
      </c>
      <c r="C238" s="2303" t="s">
        <v>7</v>
      </c>
      <c r="D238" s="2304" t="s">
        <v>1806</v>
      </c>
      <c r="E238" s="2305" t="s">
        <v>7</v>
      </c>
      <c r="F238" s="2298" t="s">
        <v>746</v>
      </c>
      <c r="G238" s="2298" t="s">
        <v>1731</v>
      </c>
      <c r="H238" s="2303">
        <v>1</v>
      </c>
      <c r="I238" s="2303"/>
      <c r="J238" s="2305" t="s">
        <v>1373</v>
      </c>
      <c r="K238" s="600" t="s">
        <v>747</v>
      </c>
      <c r="L238" s="600" t="s">
        <v>3034</v>
      </c>
    </row>
    <row r="239" spans="1:12" x14ac:dyDescent="0.35">
      <c r="A239" s="2303">
        <v>540</v>
      </c>
      <c r="B239" s="2303" t="s">
        <v>78</v>
      </c>
      <c r="C239" s="2303" t="s">
        <v>7</v>
      </c>
      <c r="D239" s="2304" t="s">
        <v>1807</v>
      </c>
      <c r="E239" s="2305" t="s">
        <v>7</v>
      </c>
      <c r="F239" s="2298" t="s">
        <v>710</v>
      </c>
      <c r="G239" s="2298" t="s">
        <v>1730</v>
      </c>
      <c r="H239" s="2303">
        <v>1</v>
      </c>
      <c r="I239" s="2303"/>
      <c r="J239" s="2305" t="s">
        <v>1374</v>
      </c>
      <c r="K239" s="600" t="s">
        <v>711</v>
      </c>
      <c r="L239" s="600" t="s">
        <v>3034</v>
      </c>
    </row>
    <row r="240" spans="1:12" x14ac:dyDescent="0.35">
      <c r="A240" s="2303">
        <v>591</v>
      </c>
      <c r="B240" s="2303" t="s">
        <v>78</v>
      </c>
      <c r="C240" s="2303" t="s">
        <v>7</v>
      </c>
      <c r="D240" s="2304" t="s">
        <v>1808</v>
      </c>
      <c r="E240" s="2305" t="s">
        <v>7</v>
      </c>
      <c r="F240" s="2298" t="s">
        <v>564</v>
      </c>
      <c r="G240" s="2298" t="s">
        <v>1732</v>
      </c>
      <c r="H240" s="2303">
        <v>1</v>
      </c>
      <c r="I240" s="2303"/>
      <c r="J240" s="2305" t="s">
        <v>1374</v>
      </c>
      <c r="K240" s="600" t="s">
        <v>565</v>
      </c>
      <c r="L240" s="600" t="s">
        <v>3034</v>
      </c>
    </row>
    <row r="241" spans="1:12" x14ac:dyDescent="0.35">
      <c r="A241" s="2303">
        <v>593</v>
      </c>
      <c r="B241" s="2303" t="s">
        <v>78</v>
      </c>
      <c r="C241" s="2303" t="s">
        <v>7</v>
      </c>
      <c r="D241" s="2304" t="s">
        <v>1809</v>
      </c>
      <c r="E241" s="2305" t="s">
        <v>7</v>
      </c>
      <c r="F241" s="2298" t="s">
        <v>564</v>
      </c>
      <c r="G241" s="2298" t="s">
        <v>1732</v>
      </c>
      <c r="H241" s="2303">
        <v>1</v>
      </c>
      <c r="I241" s="2303"/>
      <c r="J241" s="2305" t="s">
        <v>1374</v>
      </c>
      <c r="K241" s="600" t="s">
        <v>565</v>
      </c>
      <c r="L241" s="600" t="s">
        <v>3034</v>
      </c>
    </row>
    <row r="242" spans="1:12" x14ac:dyDescent="0.35">
      <c r="A242" s="2303">
        <v>566</v>
      </c>
      <c r="B242" s="2303" t="s">
        <v>78</v>
      </c>
      <c r="C242" s="2303" t="s">
        <v>7</v>
      </c>
      <c r="D242" s="2304" t="s">
        <v>1810</v>
      </c>
      <c r="E242" s="2305" t="s">
        <v>7</v>
      </c>
      <c r="F242" s="2298" t="s">
        <v>746</v>
      </c>
      <c r="G242" s="2298" t="s">
        <v>1731</v>
      </c>
      <c r="H242" s="2303">
        <v>1</v>
      </c>
      <c r="I242" s="2303"/>
      <c r="J242" s="2305" t="s">
        <v>1374</v>
      </c>
      <c r="K242" s="600" t="s">
        <v>747</v>
      </c>
      <c r="L242" s="600" t="s">
        <v>3034</v>
      </c>
    </row>
    <row r="243" spans="1:12" x14ac:dyDescent="0.35">
      <c r="A243" s="2303">
        <v>548</v>
      </c>
      <c r="B243" s="2303" t="s">
        <v>78</v>
      </c>
      <c r="C243" s="2303" t="s">
        <v>7</v>
      </c>
      <c r="D243" s="2298" t="s">
        <v>1811</v>
      </c>
      <c r="E243" s="2305" t="s">
        <v>7</v>
      </c>
      <c r="F243" s="2298" t="s">
        <v>782</v>
      </c>
      <c r="G243" s="2298" t="s">
        <v>1716</v>
      </c>
      <c r="H243" s="2303">
        <v>1</v>
      </c>
      <c r="I243" s="2303"/>
      <c r="J243" s="2305" t="s">
        <v>1373</v>
      </c>
      <c r="K243" s="600" t="s">
        <v>783</v>
      </c>
      <c r="L243" s="600" t="s">
        <v>20</v>
      </c>
    </row>
    <row r="244" spans="1:12" x14ac:dyDescent="0.35">
      <c r="A244" s="2303">
        <v>588</v>
      </c>
      <c r="B244" s="2303" t="s">
        <v>78</v>
      </c>
      <c r="C244" s="2303" t="s">
        <v>7</v>
      </c>
      <c r="D244" s="2298" t="s">
        <v>1812</v>
      </c>
      <c r="E244" s="2305" t="s">
        <v>7</v>
      </c>
      <c r="F244" s="2298" t="s">
        <v>563</v>
      </c>
      <c r="G244" s="2298" t="s">
        <v>1721</v>
      </c>
      <c r="H244" s="2303">
        <v>1</v>
      </c>
      <c r="I244" s="2303"/>
      <c r="J244" s="2305" t="s">
        <v>1373</v>
      </c>
      <c r="K244" s="600" t="s">
        <v>3022</v>
      </c>
      <c r="L244" s="600" t="s">
        <v>20</v>
      </c>
    </row>
    <row r="245" spans="1:12" x14ac:dyDescent="0.35">
      <c r="A245" s="2303">
        <v>547</v>
      </c>
      <c r="B245" s="2303" t="s">
        <v>78</v>
      </c>
      <c r="C245" s="2303" t="s">
        <v>7</v>
      </c>
      <c r="D245" s="2298" t="s">
        <v>1070</v>
      </c>
      <c r="E245" s="2305" t="s">
        <v>7</v>
      </c>
      <c r="F245" s="2298" t="s">
        <v>1378</v>
      </c>
      <c r="G245" s="2298" t="s">
        <v>1717</v>
      </c>
      <c r="H245" s="2303">
        <v>1</v>
      </c>
      <c r="I245" s="2303"/>
      <c r="J245" s="2305" t="s">
        <v>1374</v>
      </c>
      <c r="K245" s="600" t="s">
        <v>3035</v>
      </c>
      <c r="L245" s="600" t="s">
        <v>20</v>
      </c>
    </row>
    <row r="246" spans="1:12" x14ac:dyDescent="0.35">
      <c r="A246" s="2303">
        <v>589</v>
      </c>
      <c r="B246" s="2303" t="s">
        <v>78</v>
      </c>
      <c r="C246" s="2303" t="s">
        <v>7</v>
      </c>
      <c r="D246" s="2298" t="s">
        <v>1813</v>
      </c>
      <c r="E246" s="2305" t="s">
        <v>7</v>
      </c>
      <c r="F246" s="2298" t="s">
        <v>563</v>
      </c>
      <c r="G246" s="2298" t="s">
        <v>1721</v>
      </c>
      <c r="H246" s="2303">
        <v>1</v>
      </c>
      <c r="I246" s="2303"/>
      <c r="J246" s="2305" t="s">
        <v>1374</v>
      </c>
      <c r="K246" s="600" t="s">
        <v>3022</v>
      </c>
      <c r="L246" s="600" t="s">
        <v>20</v>
      </c>
    </row>
    <row r="247" spans="1:12" x14ac:dyDescent="0.35">
      <c r="A247" s="2303">
        <v>542</v>
      </c>
      <c r="B247" s="2303" t="s">
        <v>78</v>
      </c>
      <c r="C247" s="2303" t="s">
        <v>7</v>
      </c>
      <c r="D247" s="2298" t="s">
        <v>1814</v>
      </c>
      <c r="E247" s="2305" t="s">
        <v>7</v>
      </c>
      <c r="F247" s="2298" t="s">
        <v>710</v>
      </c>
      <c r="G247" s="2298" t="s">
        <v>1730</v>
      </c>
      <c r="H247" s="2303">
        <v>1</v>
      </c>
      <c r="I247" s="2303"/>
      <c r="J247" s="2305" t="s">
        <v>1373</v>
      </c>
      <c r="K247" s="600" t="s">
        <v>711</v>
      </c>
      <c r="L247" s="600" t="s">
        <v>3034</v>
      </c>
    </row>
    <row r="248" spans="1:12" x14ac:dyDescent="0.35">
      <c r="A248" s="2303">
        <v>544</v>
      </c>
      <c r="B248" s="2303" t="s">
        <v>78</v>
      </c>
      <c r="C248" s="2303" t="s">
        <v>7</v>
      </c>
      <c r="D248" s="2298" t="s">
        <v>1815</v>
      </c>
      <c r="E248" s="2305" t="s">
        <v>7</v>
      </c>
      <c r="F248" s="2298" t="s">
        <v>710</v>
      </c>
      <c r="G248" s="2298" t="s">
        <v>1730</v>
      </c>
      <c r="H248" s="2303">
        <v>1</v>
      </c>
      <c r="I248" s="2303"/>
      <c r="J248" s="2305" t="s">
        <v>1373</v>
      </c>
      <c r="K248" s="600" t="s">
        <v>711</v>
      </c>
      <c r="L248" s="600" t="s">
        <v>3034</v>
      </c>
    </row>
    <row r="249" spans="1:12" x14ac:dyDescent="0.35">
      <c r="A249" s="2303">
        <v>543</v>
      </c>
      <c r="B249" s="2303" t="s">
        <v>78</v>
      </c>
      <c r="C249" s="2303" t="s">
        <v>7</v>
      </c>
      <c r="D249" s="2298" t="s">
        <v>1816</v>
      </c>
      <c r="E249" s="2305" t="s">
        <v>7</v>
      </c>
      <c r="F249" s="2298" t="s">
        <v>710</v>
      </c>
      <c r="G249" s="2298" t="s">
        <v>1730</v>
      </c>
      <c r="H249" s="2303">
        <v>1</v>
      </c>
      <c r="I249" s="2303"/>
      <c r="J249" s="2305" t="s">
        <v>1373</v>
      </c>
      <c r="K249" s="600" t="s">
        <v>711</v>
      </c>
      <c r="L249" s="600" t="s">
        <v>3034</v>
      </c>
    </row>
    <row r="250" spans="1:12" x14ac:dyDescent="0.35">
      <c r="A250" s="2303">
        <v>575</v>
      </c>
      <c r="B250" s="2303" t="s">
        <v>78</v>
      </c>
      <c r="C250" s="2303" t="s">
        <v>7</v>
      </c>
      <c r="D250" s="2298" t="s">
        <v>1817</v>
      </c>
      <c r="E250" s="2305" t="s">
        <v>7</v>
      </c>
      <c r="F250" s="2298" t="s">
        <v>782</v>
      </c>
      <c r="G250" s="2298" t="s">
        <v>1716</v>
      </c>
      <c r="H250" s="2303">
        <v>1</v>
      </c>
      <c r="I250" s="2305"/>
      <c r="J250" s="2305" t="s">
        <v>1373</v>
      </c>
      <c r="K250" s="600" t="s">
        <v>783</v>
      </c>
      <c r="L250" s="600" t="s">
        <v>20</v>
      </c>
    </row>
    <row r="251" spans="1:12" x14ac:dyDescent="0.35">
      <c r="A251" s="2303">
        <v>568</v>
      </c>
      <c r="B251" s="2303" t="s">
        <v>78</v>
      </c>
      <c r="C251" s="2303" t="s">
        <v>7</v>
      </c>
      <c r="D251" s="2311" t="s">
        <v>1783</v>
      </c>
      <c r="E251" s="2305" t="s">
        <v>7</v>
      </c>
      <c r="F251" s="2298" t="s">
        <v>363</v>
      </c>
      <c r="G251" s="2298" t="s">
        <v>1715</v>
      </c>
      <c r="H251" s="2303">
        <v>1</v>
      </c>
      <c r="I251" s="2303"/>
      <c r="J251" s="2305" t="s">
        <v>1373</v>
      </c>
      <c r="K251" s="600" t="s">
        <v>3036</v>
      </c>
      <c r="L251" s="600" t="s">
        <v>20</v>
      </c>
    </row>
    <row r="252" spans="1:12" x14ac:dyDescent="0.35">
      <c r="A252" s="2303">
        <v>570</v>
      </c>
      <c r="B252" s="2303" t="s">
        <v>78</v>
      </c>
      <c r="C252" s="2303" t="s">
        <v>7</v>
      </c>
      <c r="D252" s="2311" t="s">
        <v>1784</v>
      </c>
      <c r="E252" s="2305" t="s">
        <v>7</v>
      </c>
      <c r="F252" s="2298" t="s">
        <v>363</v>
      </c>
      <c r="G252" s="2298" t="s">
        <v>1715</v>
      </c>
      <c r="H252" s="2303">
        <v>1</v>
      </c>
      <c r="I252" s="2303"/>
      <c r="J252" s="2305" t="s">
        <v>1373</v>
      </c>
      <c r="K252" s="600" t="s">
        <v>3036</v>
      </c>
      <c r="L252" s="600" t="s">
        <v>20</v>
      </c>
    </row>
    <row r="253" spans="1:12" x14ac:dyDescent="0.35">
      <c r="A253" s="2303">
        <v>572</v>
      </c>
      <c r="B253" s="2303" t="s">
        <v>78</v>
      </c>
      <c r="C253" s="2303" t="s">
        <v>7</v>
      </c>
      <c r="D253" s="2311" t="s">
        <v>1785</v>
      </c>
      <c r="E253" s="2305" t="s">
        <v>7</v>
      </c>
      <c r="F253" s="2298" t="s">
        <v>363</v>
      </c>
      <c r="G253" s="2298" t="s">
        <v>1715</v>
      </c>
      <c r="H253" s="2303">
        <v>1</v>
      </c>
      <c r="I253" s="2303"/>
      <c r="J253" s="2305" t="s">
        <v>1374</v>
      </c>
      <c r="K253" s="600" t="s">
        <v>3036</v>
      </c>
      <c r="L253" s="600" t="s">
        <v>20</v>
      </c>
    </row>
    <row r="254" spans="1:12" x14ac:dyDescent="0.35">
      <c r="A254" s="2303">
        <v>574</v>
      </c>
      <c r="B254" s="2303" t="s">
        <v>78</v>
      </c>
      <c r="C254" s="2303" t="s">
        <v>7</v>
      </c>
      <c r="D254" s="2311" t="s">
        <v>1786</v>
      </c>
      <c r="E254" s="2305" t="s">
        <v>7</v>
      </c>
      <c r="F254" s="2298" t="s">
        <v>363</v>
      </c>
      <c r="G254" s="2298" t="s">
        <v>1715</v>
      </c>
      <c r="H254" s="2303">
        <v>1</v>
      </c>
      <c r="I254" s="2303"/>
      <c r="J254" s="2305" t="s">
        <v>1374</v>
      </c>
      <c r="K254" s="600" t="s">
        <v>3036</v>
      </c>
      <c r="L254" s="600" t="s">
        <v>20</v>
      </c>
    </row>
    <row r="255" spans="1:12" x14ac:dyDescent="0.35">
      <c r="A255" s="2303">
        <v>560</v>
      </c>
      <c r="B255" s="2303" t="s">
        <v>78</v>
      </c>
      <c r="C255" s="2303" t="s">
        <v>7</v>
      </c>
      <c r="D255" s="2298" t="s">
        <v>1773</v>
      </c>
      <c r="E255" s="2305" t="s">
        <v>7</v>
      </c>
      <c r="F255" s="2298" t="s">
        <v>564</v>
      </c>
      <c r="G255" s="2298" t="s">
        <v>1732</v>
      </c>
      <c r="H255" s="2303">
        <v>1</v>
      </c>
      <c r="I255" s="2303"/>
      <c r="J255" s="2305" t="s">
        <v>1373</v>
      </c>
      <c r="K255" s="600" t="s">
        <v>565</v>
      </c>
      <c r="L255" s="600" t="s">
        <v>3034</v>
      </c>
    </row>
    <row r="256" spans="1:12" x14ac:dyDescent="0.35">
      <c r="A256" s="2303">
        <v>564</v>
      </c>
      <c r="B256" s="2303" t="s">
        <v>78</v>
      </c>
      <c r="C256" s="2303" t="s">
        <v>7</v>
      </c>
      <c r="D256" s="2298" t="s">
        <v>1823</v>
      </c>
      <c r="E256" s="2305" t="s">
        <v>7</v>
      </c>
      <c r="F256" s="2298" t="s">
        <v>564</v>
      </c>
      <c r="G256" s="2298" t="s">
        <v>1732</v>
      </c>
      <c r="H256" s="2303">
        <v>1</v>
      </c>
      <c r="I256" s="2303"/>
      <c r="J256" s="2305" t="s">
        <v>1373</v>
      </c>
      <c r="K256" s="600" t="s">
        <v>565</v>
      </c>
      <c r="L256" s="600" t="s">
        <v>3034</v>
      </c>
    </row>
    <row r="257" spans="1:12" x14ac:dyDescent="0.35">
      <c r="A257" s="2303">
        <v>562</v>
      </c>
      <c r="B257" s="2303" t="s">
        <v>78</v>
      </c>
      <c r="C257" s="2303" t="s">
        <v>7</v>
      </c>
      <c r="D257" s="2298" t="s">
        <v>1774</v>
      </c>
      <c r="E257" s="2305" t="s">
        <v>7</v>
      </c>
      <c r="F257" s="2298" t="s">
        <v>564</v>
      </c>
      <c r="G257" s="2298" t="s">
        <v>1732</v>
      </c>
      <c r="H257" s="2303">
        <v>1</v>
      </c>
      <c r="I257" s="2303"/>
      <c r="J257" s="2305" t="s">
        <v>1373</v>
      </c>
      <c r="K257" s="600" t="s">
        <v>565</v>
      </c>
      <c r="L257" s="600" t="s">
        <v>3034</v>
      </c>
    </row>
    <row r="258" spans="1:12" x14ac:dyDescent="0.35">
      <c r="A258" s="2303">
        <v>552</v>
      </c>
      <c r="B258" s="2303" t="s">
        <v>78</v>
      </c>
      <c r="C258" s="2303" t="s">
        <v>7</v>
      </c>
      <c r="D258" s="2298" t="s">
        <v>1775</v>
      </c>
      <c r="E258" s="2305" t="s">
        <v>7</v>
      </c>
      <c r="F258" s="2298" t="s">
        <v>564</v>
      </c>
      <c r="G258" s="2298" t="s">
        <v>1732</v>
      </c>
      <c r="H258" s="2303">
        <v>1</v>
      </c>
      <c r="I258" s="2303"/>
      <c r="J258" s="2305" t="s">
        <v>1373</v>
      </c>
      <c r="K258" s="600" t="s">
        <v>565</v>
      </c>
      <c r="L258" s="600" t="s">
        <v>3034</v>
      </c>
    </row>
    <row r="259" spans="1:12" x14ac:dyDescent="0.35">
      <c r="A259" s="2303">
        <v>556</v>
      </c>
      <c r="B259" s="2303" t="s">
        <v>78</v>
      </c>
      <c r="C259" s="2303" t="s">
        <v>7</v>
      </c>
      <c r="D259" s="2298" t="s">
        <v>1824</v>
      </c>
      <c r="E259" s="2305" t="s">
        <v>7</v>
      </c>
      <c r="F259" s="2298" t="s">
        <v>564</v>
      </c>
      <c r="G259" s="2298" t="s">
        <v>1732</v>
      </c>
      <c r="H259" s="2303">
        <v>1</v>
      </c>
      <c r="I259" s="2303"/>
      <c r="J259" s="2305" t="s">
        <v>1373</v>
      </c>
      <c r="K259" s="600" t="s">
        <v>565</v>
      </c>
      <c r="L259" s="600" t="s">
        <v>3034</v>
      </c>
    </row>
    <row r="260" spans="1:12" x14ac:dyDescent="0.35">
      <c r="A260" s="2303">
        <v>554</v>
      </c>
      <c r="B260" s="2303" t="s">
        <v>78</v>
      </c>
      <c r="C260" s="2303" t="s">
        <v>7</v>
      </c>
      <c r="D260" s="2298" t="s">
        <v>1776</v>
      </c>
      <c r="E260" s="2305" t="s">
        <v>7</v>
      </c>
      <c r="F260" s="2298" t="s">
        <v>564</v>
      </c>
      <c r="G260" s="2298" t="s">
        <v>1732</v>
      </c>
      <c r="H260" s="2303">
        <v>1</v>
      </c>
      <c r="I260" s="2303"/>
      <c r="J260" s="2305" t="s">
        <v>1373</v>
      </c>
      <c r="K260" s="600" t="s">
        <v>565</v>
      </c>
      <c r="L260" s="600" t="s">
        <v>3034</v>
      </c>
    </row>
    <row r="261" spans="1:12" x14ac:dyDescent="0.35">
      <c r="A261" s="2303">
        <v>559</v>
      </c>
      <c r="B261" s="2303" t="s">
        <v>78</v>
      </c>
      <c r="C261" s="2303" t="s">
        <v>7</v>
      </c>
      <c r="D261" s="2298" t="s">
        <v>1825</v>
      </c>
      <c r="E261" s="2305" t="s">
        <v>7</v>
      </c>
      <c r="F261" s="2298" t="s">
        <v>564</v>
      </c>
      <c r="G261" s="2298" t="s">
        <v>1732</v>
      </c>
      <c r="H261" s="2303">
        <v>1</v>
      </c>
      <c r="I261" s="2303"/>
      <c r="J261" s="2305" t="s">
        <v>1373</v>
      </c>
      <c r="K261" s="600" t="s">
        <v>565</v>
      </c>
      <c r="L261" s="600" t="s">
        <v>3034</v>
      </c>
    </row>
    <row r="262" spans="1:12" x14ac:dyDescent="0.35">
      <c r="A262" s="2303">
        <v>563</v>
      </c>
      <c r="B262" s="2303" t="s">
        <v>78</v>
      </c>
      <c r="C262" s="2303" t="s">
        <v>7</v>
      </c>
      <c r="D262" s="2298" t="s">
        <v>1826</v>
      </c>
      <c r="E262" s="2305" t="s">
        <v>7</v>
      </c>
      <c r="F262" s="2298" t="s">
        <v>564</v>
      </c>
      <c r="G262" s="2298" t="s">
        <v>1732</v>
      </c>
      <c r="H262" s="2303">
        <v>1</v>
      </c>
      <c r="I262" s="2303"/>
      <c r="J262" s="2305" t="s">
        <v>1373</v>
      </c>
      <c r="K262" s="600" t="s">
        <v>565</v>
      </c>
      <c r="L262" s="600" t="s">
        <v>3034</v>
      </c>
    </row>
    <row r="263" spans="1:12" x14ac:dyDescent="0.35">
      <c r="A263" s="2303">
        <v>561</v>
      </c>
      <c r="B263" s="2303" t="s">
        <v>78</v>
      </c>
      <c r="C263" s="2303" t="s">
        <v>7</v>
      </c>
      <c r="D263" s="2298" t="s">
        <v>1827</v>
      </c>
      <c r="E263" s="2305" t="s">
        <v>7</v>
      </c>
      <c r="F263" s="2298" t="s">
        <v>564</v>
      </c>
      <c r="G263" s="2298" t="s">
        <v>1732</v>
      </c>
      <c r="H263" s="2303">
        <v>1</v>
      </c>
      <c r="I263" s="2303"/>
      <c r="J263" s="2305" t="s">
        <v>1373</v>
      </c>
      <c r="K263" s="600" t="s">
        <v>565</v>
      </c>
      <c r="L263" s="600" t="s">
        <v>3034</v>
      </c>
    </row>
    <row r="264" spans="1:12" x14ac:dyDescent="0.35">
      <c r="A264" s="2303">
        <v>551</v>
      </c>
      <c r="B264" s="2303" t="s">
        <v>78</v>
      </c>
      <c r="C264" s="2303" t="s">
        <v>7</v>
      </c>
      <c r="D264" s="2298" t="s">
        <v>1828</v>
      </c>
      <c r="E264" s="2305" t="s">
        <v>7</v>
      </c>
      <c r="F264" s="2298" t="s">
        <v>564</v>
      </c>
      <c r="G264" s="2298" t="s">
        <v>1732</v>
      </c>
      <c r="H264" s="2303">
        <v>1</v>
      </c>
      <c r="I264" s="2303"/>
      <c r="J264" s="2305" t="s">
        <v>1373</v>
      </c>
      <c r="K264" s="600" t="s">
        <v>565</v>
      </c>
      <c r="L264" s="600" t="s">
        <v>3034</v>
      </c>
    </row>
    <row r="265" spans="1:12" x14ac:dyDescent="0.35">
      <c r="A265" s="2303">
        <v>555</v>
      </c>
      <c r="B265" s="2303" t="s">
        <v>78</v>
      </c>
      <c r="C265" s="2303" t="s">
        <v>7</v>
      </c>
      <c r="D265" s="2298" t="s">
        <v>1772</v>
      </c>
      <c r="E265" s="2305" t="s">
        <v>7</v>
      </c>
      <c r="F265" s="2298" t="s">
        <v>564</v>
      </c>
      <c r="G265" s="2298" t="s">
        <v>1732</v>
      </c>
      <c r="H265" s="2303">
        <v>1</v>
      </c>
      <c r="I265" s="2303"/>
      <c r="J265" s="2305" t="s">
        <v>1373</v>
      </c>
      <c r="K265" s="600" t="s">
        <v>565</v>
      </c>
      <c r="L265" s="600" t="s">
        <v>3034</v>
      </c>
    </row>
    <row r="266" spans="1:12" x14ac:dyDescent="0.35">
      <c r="A266" s="2303">
        <v>553</v>
      </c>
      <c r="B266" s="2303" t="s">
        <v>78</v>
      </c>
      <c r="C266" s="2303" t="s">
        <v>7</v>
      </c>
      <c r="D266" s="2298" t="s">
        <v>1829</v>
      </c>
      <c r="E266" s="2305" t="s">
        <v>7</v>
      </c>
      <c r="F266" s="2298" t="s">
        <v>564</v>
      </c>
      <c r="G266" s="2298" t="s">
        <v>1732</v>
      </c>
      <c r="H266" s="2303">
        <v>1</v>
      </c>
      <c r="I266" s="2303"/>
      <c r="J266" s="2305" t="s">
        <v>1373</v>
      </c>
      <c r="K266" s="600" t="s">
        <v>565</v>
      </c>
      <c r="L266" s="600" t="s">
        <v>3034</v>
      </c>
    </row>
    <row r="267" spans="1:12" x14ac:dyDescent="0.35">
      <c r="A267" s="2303">
        <v>576</v>
      </c>
      <c r="B267" s="2303" t="s">
        <v>78</v>
      </c>
      <c r="C267" s="2303" t="s">
        <v>7</v>
      </c>
      <c r="D267" s="2298" t="s">
        <v>1830</v>
      </c>
      <c r="E267" s="2305" t="s">
        <v>7</v>
      </c>
      <c r="F267" s="2298" t="s">
        <v>782</v>
      </c>
      <c r="G267" s="2298" t="s">
        <v>1716</v>
      </c>
      <c r="H267" s="2303">
        <v>1</v>
      </c>
      <c r="I267" s="2303"/>
      <c r="J267" s="2305" t="s">
        <v>1374</v>
      </c>
      <c r="K267" s="600" t="s">
        <v>783</v>
      </c>
      <c r="L267" s="600" t="s">
        <v>20</v>
      </c>
    </row>
    <row r="268" spans="1:12" x14ac:dyDescent="0.35">
      <c r="A268" s="2303">
        <v>538</v>
      </c>
      <c r="B268" s="2303" t="s">
        <v>78</v>
      </c>
      <c r="C268" s="2303" t="s">
        <v>7</v>
      </c>
      <c r="D268" s="2298" t="s">
        <v>1831</v>
      </c>
      <c r="E268" s="2305" t="s">
        <v>7</v>
      </c>
      <c r="F268" s="2298" t="s">
        <v>767</v>
      </c>
      <c r="G268" s="2298" t="s">
        <v>1718</v>
      </c>
      <c r="H268" s="2303">
        <v>1</v>
      </c>
      <c r="I268" s="2303"/>
      <c r="J268" s="2305" t="s">
        <v>1374</v>
      </c>
      <c r="K268" s="600" t="s">
        <v>768</v>
      </c>
      <c r="L268" s="600" t="s">
        <v>20</v>
      </c>
    </row>
    <row r="269" spans="1:12" x14ac:dyDescent="0.35">
      <c r="A269" s="2303">
        <v>537</v>
      </c>
      <c r="B269" s="2303" t="s">
        <v>78</v>
      </c>
      <c r="C269" s="2303" t="s">
        <v>7</v>
      </c>
      <c r="D269" s="2298" t="s">
        <v>1832</v>
      </c>
      <c r="E269" s="2305" t="s">
        <v>7</v>
      </c>
      <c r="F269" s="2298" t="s">
        <v>785</v>
      </c>
      <c r="G269" s="2298" t="s">
        <v>1714</v>
      </c>
      <c r="H269" s="2303">
        <v>1</v>
      </c>
      <c r="I269" s="2303"/>
      <c r="J269" s="2305" t="s">
        <v>1373</v>
      </c>
      <c r="K269" s="600" t="s">
        <v>3024</v>
      </c>
      <c r="L269" s="600" t="s">
        <v>20</v>
      </c>
    </row>
    <row r="270" spans="1:12" x14ac:dyDescent="0.35">
      <c r="A270" s="2303">
        <v>596</v>
      </c>
      <c r="B270" s="2303" t="s">
        <v>78</v>
      </c>
      <c r="C270" s="2303" t="s">
        <v>7</v>
      </c>
      <c r="D270" s="2298" t="s">
        <v>1833</v>
      </c>
      <c r="E270" s="2305" t="s">
        <v>7</v>
      </c>
      <c r="F270" s="2298" t="s">
        <v>506</v>
      </c>
      <c r="G270" s="2298" t="s">
        <v>1270</v>
      </c>
      <c r="H270" s="2303">
        <v>1</v>
      </c>
      <c r="I270" s="2303"/>
      <c r="J270" s="2305" t="s">
        <v>1373</v>
      </c>
      <c r="K270" s="600" t="s">
        <v>2957</v>
      </c>
      <c r="L270" s="600" t="s">
        <v>20</v>
      </c>
    </row>
    <row r="271" spans="1:12" x14ac:dyDescent="0.35">
      <c r="A271" s="2303">
        <v>597</v>
      </c>
      <c r="B271" s="2303" t="s">
        <v>78</v>
      </c>
      <c r="C271" s="2303" t="s">
        <v>7</v>
      </c>
      <c r="D271" s="2298" t="s">
        <v>1834</v>
      </c>
      <c r="E271" s="2305" t="s">
        <v>7</v>
      </c>
      <c r="F271" s="2298" t="s">
        <v>506</v>
      </c>
      <c r="G271" s="2298" t="s">
        <v>1270</v>
      </c>
      <c r="H271" s="2303">
        <v>1</v>
      </c>
      <c r="I271" s="2303"/>
      <c r="J271" s="2305" t="s">
        <v>1373</v>
      </c>
      <c r="K271" s="600" t="s">
        <v>2957</v>
      </c>
      <c r="L271" s="600" t="s">
        <v>20</v>
      </c>
    </row>
    <row r="272" spans="1:12" x14ac:dyDescent="0.35">
      <c r="A272" s="2303">
        <v>598</v>
      </c>
      <c r="B272" s="2303" t="s">
        <v>78</v>
      </c>
      <c r="C272" s="2303" t="s">
        <v>7</v>
      </c>
      <c r="D272" s="2298" t="s">
        <v>1835</v>
      </c>
      <c r="E272" s="2305" t="s">
        <v>7</v>
      </c>
      <c r="F272" s="2298" t="s">
        <v>506</v>
      </c>
      <c r="G272" s="2298" t="s">
        <v>1270</v>
      </c>
      <c r="H272" s="2303">
        <v>1</v>
      </c>
      <c r="I272" s="2303"/>
      <c r="J272" s="2305" t="s">
        <v>1373</v>
      </c>
      <c r="K272" s="600" t="s">
        <v>2957</v>
      </c>
      <c r="L272" s="600" t="s">
        <v>20</v>
      </c>
    </row>
    <row r="273" spans="1:12" x14ac:dyDescent="0.35">
      <c r="A273" s="2303">
        <v>599</v>
      </c>
      <c r="B273" s="2303" t="s">
        <v>78</v>
      </c>
      <c r="C273" s="2303" t="s">
        <v>7</v>
      </c>
      <c r="D273" s="2298" t="s">
        <v>1836</v>
      </c>
      <c r="E273" s="2305" t="s">
        <v>7</v>
      </c>
      <c r="F273" s="2298" t="s">
        <v>506</v>
      </c>
      <c r="G273" s="2298" t="s">
        <v>1270</v>
      </c>
      <c r="H273" s="2303">
        <v>1</v>
      </c>
      <c r="I273" s="2303"/>
      <c r="J273" s="2305" t="s">
        <v>1374</v>
      </c>
      <c r="K273" s="600" t="s">
        <v>2957</v>
      </c>
      <c r="L273" s="600" t="s">
        <v>20</v>
      </c>
    </row>
    <row r="274" spans="1:12" x14ac:dyDescent="0.35">
      <c r="A274" s="2303">
        <v>600</v>
      </c>
      <c r="B274" s="2303" t="s">
        <v>78</v>
      </c>
      <c r="C274" s="2303" t="s">
        <v>7</v>
      </c>
      <c r="D274" s="2298" t="s">
        <v>1837</v>
      </c>
      <c r="E274" s="2305" t="s">
        <v>7</v>
      </c>
      <c r="F274" s="2298" t="s">
        <v>506</v>
      </c>
      <c r="G274" s="2298" t="s">
        <v>1270</v>
      </c>
      <c r="H274" s="2303">
        <v>1</v>
      </c>
      <c r="I274" s="2303"/>
      <c r="J274" s="2305" t="s">
        <v>1374</v>
      </c>
      <c r="K274" s="600" t="s">
        <v>2957</v>
      </c>
      <c r="L274" s="600" t="s">
        <v>20</v>
      </c>
    </row>
    <row r="275" spans="1:12" x14ac:dyDescent="0.35">
      <c r="A275" s="2303">
        <v>567</v>
      </c>
      <c r="B275" s="2303" t="s">
        <v>78</v>
      </c>
      <c r="C275" s="2303" t="s">
        <v>7</v>
      </c>
      <c r="D275" s="2311" t="s">
        <v>1838</v>
      </c>
      <c r="E275" s="2305" t="s">
        <v>7</v>
      </c>
      <c r="F275" s="2298" t="s">
        <v>363</v>
      </c>
      <c r="G275" s="2298" t="s">
        <v>1715</v>
      </c>
      <c r="H275" s="2303">
        <v>1</v>
      </c>
      <c r="I275" s="2303"/>
      <c r="J275" s="2305" t="s">
        <v>1373</v>
      </c>
      <c r="K275" s="600" t="s">
        <v>3036</v>
      </c>
      <c r="L275" s="600" t="s">
        <v>20</v>
      </c>
    </row>
    <row r="276" spans="1:12" x14ac:dyDescent="0.35">
      <c r="A276" s="2303">
        <v>569</v>
      </c>
      <c r="B276" s="2303" t="s">
        <v>78</v>
      </c>
      <c r="C276" s="2303" t="s">
        <v>7</v>
      </c>
      <c r="D276" s="2311" t="s">
        <v>1769</v>
      </c>
      <c r="E276" s="2305" t="s">
        <v>7</v>
      </c>
      <c r="F276" s="2298" t="s">
        <v>363</v>
      </c>
      <c r="G276" s="2298" t="s">
        <v>1715</v>
      </c>
      <c r="H276" s="2303">
        <v>1</v>
      </c>
      <c r="I276" s="2303"/>
      <c r="J276" s="2305" t="s">
        <v>1373</v>
      </c>
      <c r="K276" s="600" t="s">
        <v>3036</v>
      </c>
      <c r="L276" s="600" t="s">
        <v>20</v>
      </c>
    </row>
    <row r="277" spans="1:12" x14ac:dyDescent="0.35">
      <c r="A277" s="2303">
        <v>571</v>
      </c>
      <c r="B277" s="2303" t="s">
        <v>78</v>
      </c>
      <c r="C277" s="2303" t="s">
        <v>7</v>
      </c>
      <c r="D277" s="2311" t="s">
        <v>1839</v>
      </c>
      <c r="E277" s="2305" t="s">
        <v>7</v>
      </c>
      <c r="F277" s="2298" t="s">
        <v>363</v>
      </c>
      <c r="G277" s="2298" t="s">
        <v>1715</v>
      </c>
      <c r="H277" s="2303">
        <v>1</v>
      </c>
      <c r="I277" s="2303"/>
      <c r="J277" s="2305" t="s">
        <v>1374</v>
      </c>
      <c r="K277" s="600" t="s">
        <v>3036</v>
      </c>
      <c r="L277" s="600" t="s">
        <v>20</v>
      </c>
    </row>
    <row r="278" spans="1:12" x14ac:dyDescent="0.35">
      <c r="A278" s="2303">
        <v>573</v>
      </c>
      <c r="B278" s="2303" t="s">
        <v>78</v>
      </c>
      <c r="C278" s="2303" t="s">
        <v>7</v>
      </c>
      <c r="D278" s="2311" t="s">
        <v>1770</v>
      </c>
      <c r="E278" s="2305" t="s">
        <v>7</v>
      </c>
      <c r="F278" s="2298" t="s">
        <v>363</v>
      </c>
      <c r="G278" s="2298" t="s">
        <v>1715</v>
      </c>
      <c r="H278" s="2303">
        <v>1</v>
      </c>
      <c r="I278" s="2303"/>
      <c r="J278" s="2305" t="s">
        <v>1374</v>
      </c>
      <c r="K278" s="600" t="s">
        <v>3036</v>
      </c>
      <c r="L278" s="600" t="s">
        <v>20</v>
      </c>
    </row>
    <row r="279" spans="1:12" x14ac:dyDescent="0.35">
      <c r="A279" s="2303">
        <v>541</v>
      </c>
      <c r="B279" s="2303" t="s">
        <v>78</v>
      </c>
      <c r="C279" s="2303" t="s">
        <v>7</v>
      </c>
      <c r="D279" s="2298" t="s">
        <v>1840</v>
      </c>
      <c r="E279" s="2305" t="s">
        <v>7</v>
      </c>
      <c r="F279" s="2298" t="s">
        <v>710</v>
      </c>
      <c r="G279" s="2298" t="s">
        <v>1730</v>
      </c>
      <c r="H279" s="2303">
        <v>1</v>
      </c>
      <c r="I279" s="2303"/>
      <c r="J279" s="2305" t="s">
        <v>1374</v>
      </c>
      <c r="K279" s="600" t="s">
        <v>711</v>
      </c>
      <c r="L279" s="600" t="s">
        <v>3034</v>
      </c>
    </row>
    <row r="280" spans="1:12" x14ac:dyDescent="0.35">
      <c r="A280" s="2303">
        <v>550</v>
      </c>
      <c r="B280" s="2303" t="s">
        <v>78</v>
      </c>
      <c r="C280" s="2303" t="s">
        <v>7</v>
      </c>
      <c r="D280" s="2298" t="s">
        <v>1841</v>
      </c>
      <c r="E280" s="2305" t="s">
        <v>7</v>
      </c>
      <c r="F280" s="2298" t="s">
        <v>564</v>
      </c>
      <c r="G280" s="2298" t="s">
        <v>1732</v>
      </c>
      <c r="H280" s="2303">
        <v>1</v>
      </c>
      <c r="I280" s="2303"/>
      <c r="J280" s="2305" t="s">
        <v>1374</v>
      </c>
      <c r="K280" s="600" t="s">
        <v>565</v>
      </c>
      <c r="L280" s="600" t="s">
        <v>3034</v>
      </c>
    </row>
    <row r="281" spans="1:12" x14ac:dyDescent="0.35">
      <c r="A281" s="2303">
        <v>558</v>
      </c>
      <c r="B281" s="2303" t="s">
        <v>78</v>
      </c>
      <c r="C281" s="2303" t="s">
        <v>7</v>
      </c>
      <c r="D281" s="2298" t="s">
        <v>1842</v>
      </c>
      <c r="E281" s="2305" t="s">
        <v>7</v>
      </c>
      <c r="F281" s="2298" t="s">
        <v>564</v>
      </c>
      <c r="G281" s="2298" t="s">
        <v>1732</v>
      </c>
      <c r="H281" s="2303">
        <v>1</v>
      </c>
      <c r="I281" s="2303"/>
      <c r="J281" s="2305" t="s">
        <v>1374</v>
      </c>
      <c r="K281" s="600" t="s">
        <v>565</v>
      </c>
      <c r="L281" s="600" t="s">
        <v>3034</v>
      </c>
    </row>
    <row r="282" spans="1:12" x14ac:dyDescent="0.35">
      <c r="A282" s="2303">
        <v>549</v>
      </c>
      <c r="B282" s="2303" t="s">
        <v>78</v>
      </c>
      <c r="C282" s="2303" t="s">
        <v>7</v>
      </c>
      <c r="D282" s="2298" t="s">
        <v>1790</v>
      </c>
      <c r="E282" s="2305" t="s">
        <v>7</v>
      </c>
      <c r="F282" s="2298" t="s">
        <v>564</v>
      </c>
      <c r="G282" s="2298" t="s">
        <v>1732</v>
      </c>
      <c r="H282" s="2303">
        <v>1</v>
      </c>
      <c r="I282" s="2303"/>
      <c r="J282" s="2305" t="s">
        <v>1374</v>
      </c>
      <c r="K282" s="600" t="s">
        <v>565</v>
      </c>
      <c r="L282" s="600" t="s">
        <v>3034</v>
      </c>
    </row>
    <row r="283" spans="1:12" x14ac:dyDescent="0.35">
      <c r="A283" s="2303">
        <v>557</v>
      </c>
      <c r="B283" s="2303" t="s">
        <v>78</v>
      </c>
      <c r="C283" s="2303" t="s">
        <v>7</v>
      </c>
      <c r="D283" s="2298" t="s">
        <v>1791</v>
      </c>
      <c r="E283" s="2305" t="s">
        <v>7</v>
      </c>
      <c r="F283" s="2298" t="s">
        <v>564</v>
      </c>
      <c r="G283" s="2298" t="s">
        <v>1732</v>
      </c>
      <c r="H283" s="2303">
        <v>1</v>
      </c>
      <c r="I283" s="2303"/>
      <c r="J283" s="2305" t="s">
        <v>1374</v>
      </c>
      <c r="K283" s="600" t="s">
        <v>565</v>
      </c>
      <c r="L283" s="600" t="s">
        <v>3034</v>
      </c>
    </row>
    <row r="284" spans="1:12" x14ac:dyDescent="0.35">
      <c r="A284" s="2303">
        <v>586</v>
      </c>
      <c r="B284" s="2303" t="s">
        <v>78</v>
      </c>
      <c r="C284" s="2303" t="s">
        <v>7</v>
      </c>
      <c r="D284" s="2298" t="s">
        <v>1843</v>
      </c>
      <c r="E284" s="2305" t="s">
        <v>7</v>
      </c>
      <c r="F284" s="2298" t="s">
        <v>483</v>
      </c>
      <c r="G284" s="2298" t="s">
        <v>1723</v>
      </c>
      <c r="H284" s="2303">
        <v>1</v>
      </c>
      <c r="I284" s="2303"/>
      <c r="J284" s="2305" t="s">
        <v>1373</v>
      </c>
      <c r="K284" s="600" t="s">
        <v>3031</v>
      </c>
      <c r="L284" s="600" t="s">
        <v>2296</v>
      </c>
    </row>
    <row r="285" spans="1:12" x14ac:dyDescent="0.35">
      <c r="A285" s="2303">
        <v>587</v>
      </c>
      <c r="B285" s="2303" t="s">
        <v>78</v>
      </c>
      <c r="C285" s="2303" t="s">
        <v>7</v>
      </c>
      <c r="D285" s="2298" t="s">
        <v>1844</v>
      </c>
      <c r="E285" s="2305" t="s">
        <v>7</v>
      </c>
      <c r="F285" s="2298" t="s">
        <v>483</v>
      </c>
      <c r="G285" s="2298" t="s">
        <v>1723</v>
      </c>
      <c r="H285" s="2303">
        <v>1</v>
      </c>
      <c r="I285" s="2303"/>
      <c r="J285" s="2305" t="s">
        <v>1374</v>
      </c>
      <c r="K285" s="600" t="s">
        <v>3031</v>
      </c>
      <c r="L285" s="600" t="s">
        <v>2296</v>
      </c>
    </row>
    <row r="286" spans="1:12" x14ac:dyDescent="0.35">
      <c r="A286" s="2303">
        <v>578</v>
      </c>
      <c r="B286" s="2303" t="s">
        <v>78</v>
      </c>
      <c r="C286" s="2303" t="s">
        <v>7</v>
      </c>
      <c r="D286" s="2298" t="s">
        <v>1845</v>
      </c>
      <c r="E286" s="2305" t="s">
        <v>7</v>
      </c>
      <c r="F286" s="2298" t="s">
        <v>306</v>
      </c>
      <c r="G286" s="2298" t="s">
        <v>1713</v>
      </c>
      <c r="H286" s="2303">
        <v>1</v>
      </c>
      <c r="I286" s="2303"/>
      <c r="J286" s="2305" t="s">
        <v>1373</v>
      </c>
      <c r="K286" s="600" t="s">
        <v>3023</v>
      </c>
      <c r="L286" s="600" t="s">
        <v>20</v>
      </c>
    </row>
    <row r="287" spans="1:12" x14ac:dyDescent="0.35">
      <c r="A287" s="2303">
        <v>546</v>
      </c>
      <c r="B287" s="2303" t="s">
        <v>78</v>
      </c>
      <c r="C287" s="2303" t="s">
        <v>7</v>
      </c>
      <c r="D287" s="2298" t="s">
        <v>1846</v>
      </c>
      <c r="E287" s="2305" t="s">
        <v>7</v>
      </c>
      <c r="F287" s="2298" t="s">
        <v>306</v>
      </c>
      <c r="G287" s="2298" t="s">
        <v>1713</v>
      </c>
      <c r="H287" s="2303">
        <v>1</v>
      </c>
      <c r="I287" s="2303"/>
      <c r="J287" s="2305" t="s">
        <v>1373</v>
      </c>
      <c r="K287" s="600" t="s">
        <v>3023</v>
      </c>
      <c r="L287" s="600" t="s">
        <v>20</v>
      </c>
    </row>
    <row r="288" spans="1:12" x14ac:dyDescent="0.35">
      <c r="A288" s="2303">
        <v>577</v>
      </c>
      <c r="B288" s="2303" t="s">
        <v>78</v>
      </c>
      <c r="C288" s="2303" t="s">
        <v>7</v>
      </c>
      <c r="D288" s="2298" t="s">
        <v>1847</v>
      </c>
      <c r="E288" s="2305" t="s">
        <v>7</v>
      </c>
      <c r="F288" s="2298" t="s">
        <v>710</v>
      </c>
      <c r="G288" s="2298" t="s">
        <v>1730</v>
      </c>
      <c r="H288" s="2303">
        <v>1</v>
      </c>
      <c r="I288" s="2303"/>
      <c r="J288" s="2305" t="s">
        <v>1373</v>
      </c>
      <c r="K288" s="600" t="s">
        <v>711</v>
      </c>
      <c r="L288" s="600" t="s">
        <v>3034</v>
      </c>
    </row>
    <row r="289" spans="1:12" x14ac:dyDescent="0.35">
      <c r="A289" s="2303">
        <v>545</v>
      </c>
      <c r="B289" s="2303" t="s">
        <v>78</v>
      </c>
      <c r="C289" s="2303" t="s">
        <v>7</v>
      </c>
      <c r="D289" s="2298" t="s">
        <v>1848</v>
      </c>
      <c r="E289" s="2305" t="s">
        <v>7</v>
      </c>
      <c r="F289" s="2298" t="s">
        <v>306</v>
      </c>
      <c r="G289" s="2298" t="s">
        <v>1713</v>
      </c>
      <c r="H289" s="2303">
        <v>1</v>
      </c>
      <c r="I289" s="2303"/>
      <c r="J289" s="2305" t="s">
        <v>1373</v>
      </c>
      <c r="K289" s="600" t="s">
        <v>3023</v>
      </c>
      <c r="L289" s="600" t="s">
        <v>20</v>
      </c>
    </row>
    <row r="290" spans="1:12" x14ac:dyDescent="0.35">
      <c r="A290" s="2303">
        <v>529</v>
      </c>
      <c r="B290" s="2303" t="s">
        <v>78</v>
      </c>
      <c r="C290" s="2303" t="s">
        <v>7</v>
      </c>
      <c r="D290" s="2298" t="s">
        <v>1798</v>
      </c>
      <c r="E290" s="2305" t="s">
        <v>878</v>
      </c>
      <c r="F290" s="2298" t="s">
        <v>287</v>
      </c>
      <c r="G290" s="2298" t="s">
        <v>1729</v>
      </c>
      <c r="H290" s="2303">
        <v>1</v>
      </c>
      <c r="I290" s="2303"/>
      <c r="J290" s="2305" t="s">
        <v>1373</v>
      </c>
      <c r="K290" s="600" t="s">
        <v>3025</v>
      </c>
      <c r="L290" s="600" t="s">
        <v>4</v>
      </c>
    </row>
    <row r="291" spans="1:12" x14ac:dyDescent="0.35">
      <c r="A291" s="2303">
        <v>530</v>
      </c>
      <c r="B291" s="2303" t="s">
        <v>78</v>
      </c>
      <c r="C291" s="2303" t="s">
        <v>7</v>
      </c>
      <c r="D291" s="2298" t="s">
        <v>1851</v>
      </c>
      <c r="E291" s="2305" t="s">
        <v>878</v>
      </c>
      <c r="F291" s="2298" t="s">
        <v>287</v>
      </c>
      <c r="G291" s="2298" t="s">
        <v>1729</v>
      </c>
      <c r="H291" s="2303">
        <v>1</v>
      </c>
      <c r="I291" s="2303"/>
      <c r="J291" s="2305" t="s">
        <v>1373</v>
      </c>
      <c r="K291" s="600" t="s">
        <v>3025</v>
      </c>
      <c r="L291" s="600" t="s">
        <v>4</v>
      </c>
    </row>
    <row r="292" spans="1:12" x14ac:dyDescent="0.35">
      <c r="A292" s="2303">
        <v>531</v>
      </c>
      <c r="B292" s="2303" t="s">
        <v>78</v>
      </c>
      <c r="C292" s="2303" t="s">
        <v>7</v>
      </c>
      <c r="D292" s="2298" t="s">
        <v>1852</v>
      </c>
      <c r="E292" s="2305" t="s">
        <v>878</v>
      </c>
      <c r="F292" s="2298" t="s">
        <v>287</v>
      </c>
      <c r="G292" s="2298" t="s">
        <v>1729</v>
      </c>
      <c r="H292" s="2303">
        <v>1</v>
      </c>
      <c r="I292" s="2303"/>
      <c r="J292" s="2305" t="s">
        <v>1373</v>
      </c>
      <c r="K292" s="600" t="s">
        <v>3025</v>
      </c>
      <c r="L292" s="600" t="s">
        <v>4</v>
      </c>
    </row>
    <row r="293" spans="1:12" x14ac:dyDescent="0.35">
      <c r="A293" s="2303">
        <v>534</v>
      </c>
      <c r="B293" s="2303" t="s">
        <v>78</v>
      </c>
      <c r="C293" s="2303" t="s">
        <v>7</v>
      </c>
      <c r="D293" s="2298" t="s">
        <v>1367</v>
      </c>
      <c r="E293" s="2305" t="s">
        <v>878</v>
      </c>
      <c r="F293" s="2298" t="s">
        <v>564</v>
      </c>
      <c r="G293" s="2298" t="s">
        <v>1732</v>
      </c>
      <c r="H293" s="2303">
        <v>1</v>
      </c>
      <c r="I293" s="2303"/>
      <c r="J293" s="2305" t="s">
        <v>1373</v>
      </c>
      <c r="K293" s="600" t="s">
        <v>565</v>
      </c>
      <c r="L293" s="600" t="s">
        <v>3034</v>
      </c>
    </row>
    <row r="294" spans="1:12" x14ac:dyDescent="0.35">
      <c r="A294" s="2303">
        <v>533</v>
      </c>
      <c r="B294" s="2303" t="s">
        <v>78</v>
      </c>
      <c r="C294" s="2303" t="s">
        <v>7</v>
      </c>
      <c r="D294" s="2298" t="s">
        <v>1369</v>
      </c>
      <c r="E294" s="2305" t="s">
        <v>878</v>
      </c>
      <c r="F294" s="2298" t="s">
        <v>564</v>
      </c>
      <c r="G294" s="2298" t="s">
        <v>1732</v>
      </c>
      <c r="H294" s="2303">
        <v>1</v>
      </c>
      <c r="I294" s="2303"/>
      <c r="J294" s="2305" t="s">
        <v>1373</v>
      </c>
      <c r="K294" s="600" t="s">
        <v>565</v>
      </c>
      <c r="L294" s="600" t="s">
        <v>3034</v>
      </c>
    </row>
    <row r="295" spans="1:12" x14ac:dyDescent="0.35">
      <c r="A295" s="2303">
        <v>526</v>
      </c>
      <c r="B295" s="2303" t="s">
        <v>78</v>
      </c>
      <c r="C295" s="2303" t="s">
        <v>7</v>
      </c>
      <c r="D295" s="2298" t="s">
        <v>711</v>
      </c>
      <c r="E295" s="2305" t="s">
        <v>878</v>
      </c>
      <c r="F295" s="2298" t="s">
        <v>710</v>
      </c>
      <c r="G295" s="2298" t="s">
        <v>1730</v>
      </c>
      <c r="H295" s="2303">
        <v>1</v>
      </c>
      <c r="I295" s="2303"/>
      <c r="J295" s="2305" t="s">
        <v>1373</v>
      </c>
      <c r="K295" s="600" t="s">
        <v>711</v>
      </c>
      <c r="L295" s="600" t="s">
        <v>3034</v>
      </c>
    </row>
    <row r="296" spans="1:12" x14ac:dyDescent="0.35">
      <c r="A296" s="2303">
        <v>665</v>
      </c>
      <c r="B296" s="2303" t="s">
        <v>78</v>
      </c>
      <c r="C296" s="2303" t="s">
        <v>7</v>
      </c>
      <c r="D296" s="2298" t="s">
        <v>1751</v>
      </c>
      <c r="E296" s="2305" t="s">
        <v>1009</v>
      </c>
      <c r="F296" s="2298" t="s">
        <v>643</v>
      </c>
      <c r="G296" s="2298" t="s">
        <v>1725</v>
      </c>
      <c r="H296" s="2303">
        <v>1</v>
      </c>
      <c r="I296" s="2303"/>
      <c r="J296" s="2305" t="s">
        <v>1373</v>
      </c>
      <c r="K296" s="600" t="s">
        <v>3027</v>
      </c>
      <c r="L296" s="600" t="s">
        <v>2296</v>
      </c>
    </row>
    <row r="297" spans="1:12" x14ac:dyDescent="0.35">
      <c r="A297" s="2303">
        <v>644</v>
      </c>
      <c r="B297" s="2303" t="s">
        <v>78</v>
      </c>
      <c r="C297" s="2303" t="s">
        <v>7</v>
      </c>
      <c r="D297" s="2298" t="s">
        <v>1801</v>
      </c>
      <c r="E297" s="2305" t="s">
        <v>1009</v>
      </c>
      <c r="F297" s="2298" t="s">
        <v>667</v>
      </c>
      <c r="G297" s="2298" t="s">
        <v>1916</v>
      </c>
      <c r="H297" s="2303">
        <v>1</v>
      </c>
      <c r="I297" s="2303"/>
      <c r="J297" s="2305" t="s">
        <v>1373</v>
      </c>
      <c r="K297" s="600" t="s">
        <v>3028</v>
      </c>
      <c r="L297" s="600" t="s">
        <v>2296</v>
      </c>
    </row>
    <row r="298" spans="1:12" x14ac:dyDescent="0.35">
      <c r="A298" s="2303">
        <v>666</v>
      </c>
      <c r="B298" s="2303" t="s">
        <v>78</v>
      </c>
      <c r="C298" s="2303" t="s">
        <v>7</v>
      </c>
      <c r="D298" s="2298" t="s">
        <v>39</v>
      </c>
      <c r="E298" s="2305" t="s">
        <v>1009</v>
      </c>
      <c r="F298" s="2298" t="s">
        <v>643</v>
      </c>
      <c r="G298" s="2298" t="s">
        <v>1725</v>
      </c>
      <c r="H298" s="2303">
        <v>1</v>
      </c>
      <c r="I298" s="2303"/>
      <c r="J298" s="2305" t="s">
        <v>1374</v>
      </c>
      <c r="K298" s="600" t="s">
        <v>3027</v>
      </c>
      <c r="L298" s="600" t="s">
        <v>2296</v>
      </c>
    </row>
    <row r="299" spans="1:12" x14ac:dyDescent="0.35">
      <c r="A299" s="2303">
        <v>645</v>
      </c>
      <c r="B299" s="2303" t="s">
        <v>78</v>
      </c>
      <c r="C299" s="2303" t="s">
        <v>7</v>
      </c>
      <c r="D299" s="2304" t="s">
        <v>1802</v>
      </c>
      <c r="E299" s="2305" t="s">
        <v>1009</v>
      </c>
      <c r="F299" s="2298" t="s">
        <v>667</v>
      </c>
      <c r="G299" s="2298" t="s">
        <v>1916</v>
      </c>
      <c r="H299" s="2303">
        <v>1</v>
      </c>
      <c r="I299" s="2303"/>
      <c r="J299" s="2305" t="s">
        <v>1374</v>
      </c>
      <c r="K299" s="600" t="s">
        <v>3028</v>
      </c>
      <c r="L299" s="600" t="s">
        <v>2296</v>
      </c>
    </row>
    <row r="300" spans="1:12" x14ac:dyDescent="0.35">
      <c r="A300" s="2303">
        <v>604</v>
      </c>
      <c r="B300" s="2303" t="s">
        <v>78</v>
      </c>
      <c r="C300" s="2303" t="s">
        <v>7</v>
      </c>
      <c r="D300" s="2304" t="s">
        <v>1803</v>
      </c>
      <c r="E300" s="2305" t="s">
        <v>1009</v>
      </c>
      <c r="F300" s="2298" t="s">
        <v>710</v>
      </c>
      <c r="G300" s="2298" t="s">
        <v>1730</v>
      </c>
      <c r="H300" s="2303">
        <v>1</v>
      </c>
      <c r="I300" s="2303"/>
      <c r="J300" s="2305" t="s">
        <v>1373</v>
      </c>
      <c r="K300" s="600" t="s">
        <v>711</v>
      </c>
      <c r="L300" s="600" t="s">
        <v>3034</v>
      </c>
    </row>
    <row r="301" spans="1:12" x14ac:dyDescent="0.35">
      <c r="A301" s="2303">
        <v>660</v>
      </c>
      <c r="B301" s="2303" t="s">
        <v>78</v>
      </c>
      <c r="C301" s="2303" t="s">
        <v>7</v>
      </c>
      <c r="D301" s="2304" t="s">
        <v>1804</v>
      </c>
      <c r="E301" s="2305" t="s">
        <v>1009</v>
      </c>
      <c r="F301" s="2298" t="s">
        <v>564</v>
      </c>
      <c r="G301" s="2298" t="s">
        <v>1732</v>
      </c>
      <c r="H301" s="2303">
        <v>1</v>
      </c>
      <c r="I301" s="2303"/>
      <c r="J301" s="2305" t="s">
        <v>1373</v>
      </c>
      <c r="K301" s="600" t="s">
        <v>565</v>
      </c>
      <c r="L301" s="600" t="s">
        <v>3034</v>
      </c>
    </row>
    <row r="302" spans="1:12" x14ac:dyDescent="0.35">
      <c r="A302" s="2303">
        <v>662</v>
      </c>
      <c r="B302" s="2303" t="s">
        <v>78</v>
      </c>
      <c r="C302" s="2303" t="s">
        <v>7</v>
      </c>
      <c r="D302" s="2304" t="s">
        <v>1805</v>
      </c>
      <c r="E302" s="2305" t="s">
        <v>1009</v>
      </c>
      <c r="F302" s="2298" t="s">
        <v>564</v>
      </c>
      <c r="G302" s="2298" t="s">
        <v>1732</v>
      </c>
      <c r="H302" s="2303">
        <v>1</v>
      </c>
      <c r="I302" s="2303"/>
      <c r="J302" s="2305" t="s">
        <v>1373</v>
      </c>
      <c r="K302" s="600" t="s">
        <v>565</v>
      </c>
      <c r="L302" s="600" t="s">
        <v>3034</v>
      </c>
    </row>
    <row r="303" spans="1:12" x14ac:dyDescent="0.35">
      <c r="A303" s="2303">
        <v>630</v>
      </c>
      <c r="B303" s="2303" t="s">
        <v>78</v>
      </c>
      <c r="C303" s="2303" t="s">
        <v>7</v>
      </c>
      <c r="D303" s="2304" t="s">
        <v>1806</v>
      </c>
      <c r="E303" s="2305" t="s">
        <v>1009</v>
      </c>
      <c r="F303" s="2298" t="s">
        <v>746</v>
      </c>
      <c r="G303" s="2298" t="s">
        <v>1731</v>
      </c>
      <c r="H303" s="2303">
        <v>1</v>
      </c>
      <c r="I303" s="2303"/>
      <c r="J303" s="2305" t="s">
        <v>1373</v>
      </c>
      <c r="K303" s="600" t="s">
        <v>747</v>
      </c>
      <c r="L303" s="600" t="s">
        <v>3034</v>
      </c>
    </row>
    <row r="304" spans="1:12" x14ac:dyDescent="0.35">
      <c r="A304" s="2303">
        <v>605</v>
      </c>
      <c r="B304" s="2303" t="s">
        <v>78</v>
      </c>
      <c r="C304" s="2303" t="s">
        <v>7</v>
      </c>
      <c r="D304" s="2304" t="s">
        <v>1807</v>
      </c>
      <c r="E304" s="2305" t="s">
        <v>1009</v>
      </c>
      <c r="F304" s="2298" t="s">
        <v>710</v>
      </c>
      <c r="G304" s="2298" t="s">
        <v>1730</v>
      </c>
      <c r="H304" s="2303">
        <v>1</v>
      </c>
      <c r="I304" s="2303"/>
      <c r="J304" s="2305" t="s">
        <v>1374</v>
      </c>
      <c r="K304" s="600" t="s">
        <v>711</v>
      </c>
      <c r="L304" s="600" t="s">
        <v>3034</v>
      </c>
    </row>
    <row r="305" spans="1:12" x14ac:dyDescent="0.35">
      <c r="A305" s="2303">
        <v>661</v>
      </c>
      <c r="B305" s="2303" t="s">
        <v>78</v>
      </c>
      <c r="C305" s="2303" t="s">
        <v>7</v>
      </c>
      <c r="D305" s="2304" t="s">
        <v>1808</v>
      </c>
      <c r="E305" s="2305" t="s">
        <v>1009</v>
      </c>
      <c r="F305" s="2298" t="s">
        <v>564</v>
      </c>
      <c r="G305" s="2298" t="s">
        <v>1732</v>
      </c>
      <c r="H305" s="2303">
        <v>1</v>
      </c>
      <c r="I305" s="2303"/>
      <c r="J305" s="2305" t="s">
        <v>1374</v>
      </c>
      <c r="K305" s="600" t="s">
        <v>565</v>
      </c>
      <c r="L305" s="600" t="s">
        <v>3034</v>
      </c>
    </row>
    <row r="306" spans="1:12" x14ac:dyDescent="0.35">
      <c r="A306" s="2303">
        <v>663</v>
      </c>
      <c r="B306" s="2303" t="s">
        <v>78</v>
      </c>
      <c r="C306" s="2303" t="s">
        <v>7</v>
      </c>
      <c r="D306" s="2304" t="s">
        <v>1809</v>
      </c>
      <c r="E306" s="2305" t="s">
        <v>1009</v>
      </c>
      <c r="F306" s="2298" t="s">
        <v>564</v>
      </c>
      <c r="G306" s="2298" t="s">
        <v>1732</v>
      </c>
      <c r="H306" s="2303">
        <v>1</v>
      </c>
      <c r="I306" s="2303"/>
      <c r="J306" s="2305" t="s">
        <v>1374</v>
      </c>
      <c r="K306" s="600" t="s">
        <v>565</v>
      </c>
      <c r="L306" s="600" t="s">
        <v>3034</v>
      </c>
    </row>
    <row r="307" spans="1:12" x14ac:dyDescent="0.35">
      <c r="A307" s="2303">
        <v>631</v>
      </c>
      <c r="B307" s="2303" t="s">
        <v>78</v>
      </c>
      <c r="C307" s="2303" t="s">
        <v>7</v>
      </c>
      <c r="D307" s="2304" t="s">
        <v>1810</v>
      </c>
      <c r="E307" s="2305" t="s">
        <v>1009</v>
      </c>
      <c r="F307" s="2298" t="s">
        <v>746</v>
      </c>
      <c r="G307" s="2298" t="s">
        <v>1731</v>
      </c>
      <c r="H307" s="2303">
        <v>1</v>
      </c>
      <c r="I307" s="2303"/>
      <c r="J307" s="2305" t="s">
        <v>1374</v>
      </c>
      <c r="K307" s="600" t="s">
        <v>747</v>
      </c>
      <c r="L307" s="600" t="s">
        <v>3034</v>
      </c>
    </row>
    <row r="308" spans="1:12" x14ac:dyDescent="0.35">
      <c r="A308" s="2303">
        <v>613</v>
      </c>
      <c r="B308" s="2303" t="s">
        <v>78</v>
      </c>
      <c r="C308" s="2303" t="s">
        <v>7</v>
      </c>
      <c r="D308" s="2304" t="s">
        <v>1811</v>
      </c>
      <c r="E308" s="2305" t="s">
        <v>1009</v>
      </c>
      <c r="F308" s="2298" t="s">
        <v>782</v>
      </c>
      <c r="G308" s="2298" t="s">
        <v>1716</v>
      </c>
      <c r="H308" s="2303">
        <v>1</v>
      </c>
      <c r="I308" s="2303"/>
      <c r="J308" s="2305" t="s">
        <v>1373</v>
      </c>
      <c r="K308" s="600" t="s">
        <v>783</v>
      </c>
      <c r="L308" s="600" t="s">
        <v>20</v>
      </c>
    </row>
    <row r="309" spans="1:12" x14ac:dyDescent="0.35">
      <c r="A309" s="2303">
        <v>658</v>
      </c>
      <c r="B309" s="2303" t="s">
        <v>78</v>
      </c>
      <c r="C309" s="2303" t="s">
        <v>7</v>
      </c>
      <c r="D309" s="2304" t="s">
        <v>1812</v>
      </c>
      <c r="E309" s="2305" t="s">
        <v>1009</v>
      </c>
      <c r="F309" s="2298" t="s">
        <v>563</v>
      </c>
      <c r="G309" s="2298" t="s">
        <v>1721</v>
      </c>
      <c r="H309" s="2303">
        <v>1</v>
      </c>
      <c r="I309" s="2303"/>
      <c r="J309" s="2305" t="s">
        <v>1373</v>
      </c>
      <c r="K309" s="600" t="s">
        <v>3022</v>
      </c>
      <c r="L309" s="600" t="s">
        <v>20</v>
      </c>
    </row>
    <row r="310" spans="1:12" x14ac:dyDescent="0.35">
      <c r="A310" s="2303">
        <v>612</v>
      </c>
      <c r="B310" s="2303" t="s">
        <v>78</v>
      </c>
      <c r="C310" s="2303" t="s">
        <v>7</v>
      </c>
      <c r="D310" s="2304" t="s">
        <v>1070</v>
      </c>
      <c r="E310" s="2305" t="s">
        <v>1009</v>
      </c>
      <c r="F310" s="2298" t="s">
        <v>1378</v>
      </c>
      <c r="G310" s="2298" t="s">
        <v>1717</v>
      </c>
      <c r="H310" s="2303">
        <v>1</v>
      </c>
      <c r="I310" s="2303"/>
      <c r="J310" s="2305" t="s">
        <v>1374</v>
      </c>
      <c r="K310" s="600" t="s">
        <v>3035</v>
      </c>
      <c r="L310" s="600" t="s">
        <v>20</v>
      </c>
    </row>
    <row r="311" spans="1:12" x14ac:dyDescent="0.35">
      <c r="A311" s="2303">
        <v>659</v>
      </c>
      <c r="B311" s="2303" t="s">
        <v>78</v>
      </c>
      <c r="C311" s="2303" t="s">
        <v>7</v>
      </c>
      <c r="D311" s="2304" t="s">
        <v>1853</v>
      </c>
      <c r="E311" s="2305" t="s">
        <v>1009</v>
      </c>
      <c r="F311" s="2298" t="s">
        <v>563</v>
      </c>
      <c r="G311" s="2298" t="s">
        <v>1721</v>
      </c>
      <c r="H311" s="2303">
        <v>1</v>
      </c>
      <c r="I311" s="2303"/>
      <c r="J311" s="2305" t="s">
        <v>1374</v>
      </c>
      <c r="K311" s="600" t="s">
        <v>3022</v>
      </c>
      <c r="L311" s="600" t="s">
        <v>20</v>
      </c>
    </row>
    <row r="312" spans="1:12" x14ac:dyDescent="0.35">
      <c r="A312" s="2303">
        <v>607</v>
      </c>
      <c r="B312" s="2303" t="s">
        <v>78</v>
      </c>
      <c r="C312" s="2303" t="s">
        <v>7</v>
      </c>
      <c r="D312" s="2304" t="s">
        <v>1814</v>
      </c>
      <c r="E312" s="2305" t="s">
        <v>1009</v>
      </c>
      <c r="F312" s="2298" t="s">
        <v>710</v>
      </c>
      <c r="G312" s="2298" t="s">
        <v>1730</v>
      </c>
      <c r="H312" s="2303">
        <v>1</v>
      </c>
      <c r="I312" s="2303"/>
      <c r="J312" s="2305" t="s">
        <v>1373</v>
      </c>
      <c r="K312" s="600" t="s">
        <v>711</v>
      </c>
      <c r="L312" s="600" t="s">
        <v>3034</v>
      </c>
    </row>
    <row r="313" spans="1:12" x14ac:dyDescent="0.35">
      <c r="A313" s="2303">
        <v>609</v>
      </c>
      <c r="B313" s="2303" t="s">
        <v>78</v>
      </c>
      <c r="C313" s="2303" t="s">
        <v>7</v>
      </c>
      <c r="D313" s="2304" t="s">
        <v>1815</v>
      </c>
      <c r="E313" s="2305" t="s">
        <v>1009</v>
      </c>
      <c r="F313" s="2298" t="s">
        <v>710</v>
      </c>
      <c r="G313" s="2298" t="s">
        <v>1730</v>
      </c>
      <c r="H313" s="2303">
        <v>1</v>
      </c>
      <c r="I313" s="2303"/>
      <c r="J313" s="2305" t="s">
        <v>1373</v>
      </c>
      <c r="K313" s="600" t="s">
        <v>711</v>
      </c>
      <c r="L313" s="600" t="s">
        <v>3034</v>
      </c>
    </row>
    <row r="314" spans="1:12" x14ac:dyDescent="0.35">
      <c r="A314" s="2303">
        <v>608</v>
      </c>
      <c r="B314" s="2303" t="s">
        <v>78</v>
      </c>
      <c r="C314" s="2303" t="s">
        <v>7</v>
      </c>
      <c r="D314" s="2304" t="s">
        <v>1816</v>
      </c>
      <c r="E314" s="2305" t="s">
        <v>1009</v>
      </c>
      <c r="F314" s="2298" t="s">
        <v>710</v>
      </c>
      <c r="G314" s="2298" t="s">
        <v>1730</v>
      </c>
      <c r="H314" s="2303">
        <v>1</v>
      </c>
      <c r="I314" s="2303"/>
      <c r="J314" s="2305" t="s">
        <v>1373</v>
      </c>
      <c r="K314" s="600" t="s">
        <v>711</v>
      </c>
      <c r="L314" s="600" t="s">
        <v>3034</v>
      </c>
    </row>
    <row r="315" spans="1:12" x14ac:dyDescent="0.35">
      <c r="A315" s="2303">
        <v>641</v>
      </c>
      <c r="B315" s="2303" t="s">
        <v>78</v>
      </c>
      <c r="C315" s="2303" t="s">
        <v>7</v>
      </c>
      <c r="D315" s="2298" t="s">
        <v>1777</v>
      </c>
      <c r="E315" s="2305" t="s">
        <v>1009</v>
      </c>
      <c r="F315" s="2298" t="s">
        <v>782</v>
      </c>
      <c r="G315" s="2298" t="s">
        <v>1716</v>
      </c>
      <c r="H315" s="2303">
        <v>1</v>
      </c>
      <c r="I315" s="2303"/>
      <c r="J315" s="2305" t="s">
        <v>1373</v>
      </c>
      <c r="K315" s="600" t="s">
        <v>783</v>
      </c>
      <c r="L315" s="600" t="s">
        <v>20</v>
      </c>
    </row>
    <row r="316" spans="1:12" x14ac:dyDescent="0.35">
      <c r="A316" s="2303">
        <v>633</v>
      </c>
      <c r="B316" s="2303" t="s">
        <v>78</v>
      </c>
      <c r="C316" s="2303" t="s">
        <v>7</v>
      </c>
      <c r="D316" s="2311" t="s">
        <v>1783</v>
      </c>
      <c r="E316" s="2305" t="s">
        <v>1009</v>
      </c>
      <c r="F316" s="2298" t="s">
        <v>363</v>
      </c>
      <c r="G316" s="2298" t="s">
        <v>1715</v>
      </c>
      <c r="H316" s="2303">
        <v>1</v>
      </c>
      <c r="I316" s="2303"/>
      <c r="J316" s="2305" t="s">
        <v>1373</v>
      </c>
      <c r="K316" s="600" t="s">
        <v>3036</v>
      </c>
      <c r="L316" s="600" t="s">
        <v>20</v>
      </c>
    </row>
    <row r="317" spans="1:12" x14ac:dyDescent="0.35">
      <c r="A317" s="2303">
        <v>635</v>
      </c>
      <c r="B317" s="2303" t="s">
        <v>78</v>
      </c>
      <c r="C317" s="2303" t="s">
        <v>7</v>
      </c>
      <c r="D317" s="2311" t="s">
        <v>1784</v>
      </c>
      <c r="E317" s="2305" t="s">
        <v>1009</v>
      </c>
      <c r="F317" s="2298" t="s">
        <v>363</v>
      </c>
      <c r="G317" s="2298" t="s">
        <v>1715</v>
      </c>
      <c r="H317" s="2303">
        <v>1</v>
      </c>
      <c r="I317" s="2303"/>
      <c r="J317" s="2305" t="s">
        <v>1373</v>
      </c>
      <c r="K317" s="600" t="s">
        <v>3036</v>
      </c>
      <c r="L317" s="600" t="s">
        <v>20</v>
      </c>
    </row>
    <row r="318" spans="1:12" x14ac:dyDescent="0.35">
      <c r="A318" s="2303">
        <v>637</v>
      </c>
      <c r="B318" s="2303" t="s">
        <v>78</v>
      </c>
      <c r="C318" s="2303" t="s">
        <v>7</v>
      </c>
      <c r="D318" s="2311" t="s">
        <v>1785</v>
      </c>
      <c r="E318" s="2305" t="s">
        <v>1009</v>
      </c>
      <c r="F318" s="2298" t="s">
        <v>363</v>
      </c>
      <c r="G318" s="2298" t="s">
        <v>1715</v>
      </c>
      <c r="H318" s="2303">
        <v>1</v>
      </c>
      <c r="I318" s="2303"/>
      <c r="J318" s="2305" t="s">
        <v>1374</v>
      </c>
      <c r="K318" s="600" t="s">
        <v>3036</v>
      </c>
      <c r="L318" s="600" t="s">
        <v>20</v>
      </c>
    </row>
    <row r="319" spans="1:12" x14ac:dyDescent="0.35">
      <c r="A319" s="2303">
        <v>639</v>
      </c>
      <c r="B319" s="2303" t="s">
        <v>78</v>
      </c>
      <c r="C319" s="2303" t="s">
        <v>7</v>
      </c>
      <c r="D319" s="2311" t="s">
        <v>1786</v>
      </c>
      <c r="E319" s="2305" t="s">
        <v>1009</v>
      </c>
      <c r="F319" s="2298" t="s">
        <v>363</v>
      </c>
      <c r="G319" s="2298" t="s">
        <v>1715</v>
      </c>
      <c r="H319" s="2303">
        <v>1</v>
      </c>
      <c r="I319" s="2303"/>
      <c r="J319" s="2305" t="s">
        <v>1374</v>
      </c>
      <c r="K319" s="600" t="s">
        <v>3036</v>
      </c>
      <c r="L319" s="600" t="s">
        <v>20</v>
      </c>
    </row>
    <row r="320" spans="1:12" x14ac:dyDescent="0.35">
      <c r="A320" s="2303">
        <v>625</v>
      </c>
      <c r="B320" s="2303" t="s">
        <v>78</v>
      </c>
      <c r="C320" s="2303" t="s">
        <v>7</v>
      </c>
      <c r="D320" s="2298" t="s">
        <v>1773</v>
      </c>
      <c r="E320" s="2305" t="s">
        <v>1009</v>
      </c>
      <c r="F320" s="2298" t="s">
        <v>564</v>
      </c>
      <c r="G320" s="2298" t="s">
        <v>1732</v>
      </c>
      <c r="H320" s="2303">
        <v>1</v>
      </c>
      <c r="I320" s="2303"/>
      <c r="J320" s="2305" t="s">
        <v>1373</v>
      </c>
      <c r="K320" s="600" t="s">
        <v>565</v>
      </c>
      <c r="L320" s="600" t="s">
        <v>3034</v>
      </c>
    </row>
    <row r="321" spans="1:12" x14ac:dyDescent="0.35">
      <c r="A321" s="2303">
        <v>629</v>
      </c>
      <c r="B321" s="2303" t="s">
        <v>78</v>
      </c>
      <c r="C321" s="2303" t="s">
        <v>7</v>
      </c>
      <c r="D321" s="2298" t="s">
        <v>1823</v>
      </c>
      <c r="E321" s="2305" t="s">
        <v>1009</v>
      </c>
      <c r="F321" s="2298" t="s">
        <v>564</v>
      </c>
      <c r="G321" s="2298" t="s">
        <v>1732</v>
      </c>
      <c r="H321" s="2303">
        <v>1</v>
      </c>
      <c r="I321" s="2303"/>
      <c r="J321" s="2305" t="s">
        <v>1373</v>
      </c>
      <c r="K321" s="600" t="s">
        <v>565</v>
      </c>
      <c r="L321" s="600" t="s">
        <v>3034</v>
      </c>
    </row>
    <row r="322" spans="1:12" x14ac:dyDescent="0.35">
      <c r="A322" s="2303">
        <v>627</v>
      </c>
      <c r="B322" s="2303" t="s">
        <v>78</v>
      </c>
      <c r="C322" s="2303" t="s">
        <v>7</v>
      </c>
      <c r="D322" s="2298" t="s">
        <v>1774</v>
      </c>
      <c r="E322" s="2305" t="s">
        <v>1009</v>
      </c>
      <c r="F322" s="2298" t="s">
        <v>564</v>
      </c>
      <c r="G322" s="2298" t="s">
        <v>1732</v>
      </c>
      <c r="H322" s="2303">
        <v>1</v>
      </c>
      <c r="I322" s="2303"/>
      <c r="J322" s="2305" t="s">
        <v>1373</v>
      </c>
      <c r="K322" s="600" t="s">
        <v>565</v>
      </c>
      <c r="L322" s="600" t="s">
        <v>3034</v>
      </c>
    </row>
    <row r="323" spans="1:12" x14ac:dyDescent="0.35">
      <c r="A323" s="2303">
        <v>617</v>
      </c>
      <c r="B323" s="2303" t="s">
        <v>78</v>
      </c>
      <c r="C323" s="2303" t="s">
        <v>7</v>
      </c>
      <c r="D323" s="2298" t="s">
        <v>1775</v>
      </c>
      <c r="E323" s="2305" t="s">
        <v>1009</v>
      </c>
      <c r="F323" s="2298" t="s">
        <v>564</v>
      </c>
      <c r="G323" s="2298" t="s">
        <v>1732</v>
      </c>
      <c r="H323" s="2303">
        <v>1</v>
      </c>
      <c r="I323" s="2303"/>
      <c r="J323" s="2305" t="s">
        <v>1373</v>
      </c>
      <c r="K323" s="600" t="s">
        <v>565</v>
      </c>
      <c r="L323" s="600" t="s">
        <v>3034</v>
      </c>
    </row>
    <row r="324" spans="1:12" x14ac:dyDescent="0.35">
      <c r="A324" s="2303">
        <v>621</v>
      </c>
      <c r="B324" s="2303" t="s">
        <v>78</v>
      </c>
      <c r="C324" s="2303" t="s">
        <v>7</v>
      </c>
      <c r="D324" s="2298" t="s">
        <v>1824</v>
      </c>
      <c r="E324" s="2305" t="s">
        <v>1009</v>
      </c>
      <c r="F324" s="2298" t="s">
        <v>564</v>
      </c>
      <c r="G324" s="2298" t="s">
        <v>1732</v>
      </c>
      <c r="H324" s="2303">
        <v>1</v>
      </c>
      <c r="I324" s="2303"/>
      <c r="J324" s="2305" t="s">
        <v>1373</v>
      </c>
      <c r="K324" s="600" t="s">
        <v>565</v>
      </c>
      <c r="L324" s="600" t="s">
        <v>3034</v>
      </c>
    </row>
    <row r="325" spans="1:12" x14ac:dyDescent="0.35">
      <c r="A325" s="2303">
        <v>619</v>
      </c>
      <c r="B325" s="2303" t="s">
        <v>78</v>
      </c>
      <c r="C325" s="2303" t="s">
        <v>7</v>
      </c>
      <c r="D325" s="2298" t="s">
        <v>1776</v>
      </c>
      <c r="E325" s="2305" t="s">
        <v>1009</v>
      </c>
      <c r="F325" s="2298" t="s">
        <v>564</v>
      </c>
      <c r="G325" s="2298" t="s">
        <v>1732</v>
      </c>
      <c r="H325" s="2303">
        <v>1</v>
      </c>
      <c r="I325" s="2303"/>
      <c r="J325" s="2305" t="s">
        <v>1373</v>
      </c>
      <c r="K325" s="600" t="s">
        <v>565</v>
      </c>
      <c r="L325" s="600" t="s">
        <v>3034</v>
      </c>
    </row>
    <row r="326" spans="1:12" x14ac:dyDescent="0.35">
      <c r="A326" s="2303">
        <v>624</v>
      </c>
      <c r="B326" s="2303" t="s">
        <v>78</v>
      </c>
      <c r="C326" s="2303" t="s">
        <v>7</v>
      </c>
      <c r="D326" s="2298" t="s">
        <v>1825</v>
      </c>
      <c r="E326" s="2305" t="s">
        <v>1009</v>
      </c>
      <c r="F326" s="2298" t="s">
        <v>564</v>
      </c>
      <c r="G326" s="2298" t="s">
        <v>1732</v>
      </c>
      <c r="H326" s="2303">
        <v>1</v>
      </c>
      <c r="I326" s="2303"/>
      <c r="J326" s="2305" t="s">
        <v>1373</v>
      </c>
      <c r="K326" s="600" t="s">
        <v>565</v>
      </c>
      <c r="L326" s="600" t="s">
        <v>3034</v>
      </c>
    </row>
    <row r="327" spans="1:12" x14ac:dyDescent="0.35">
      <c r="A327" s="2303">
        <v>628</v>
      </c>
      <c r="B327" s="2303" t="s">
        <v>78</v>
      </c>
      <c r="C327" s="2303" t="s">
        <v>7</v>
      </c>
      <c r="D327" s="2298" t="s">
        <v>1826</v>
      </c>
      <c r="E327" s="2305" t="s">
        <v>1009</v>
      </c>
      <c r="F327" s="2298" t="s">
        <v>564</v>
      </c>
      <c r="G327" s="2298" t="s">
        <v>1732</v>
      </c>
      <c r="H327" s="2303">
        <v>1</v>
      </c>
      <c r="I327" s="2303"/>
      <c r="J327" s="2305" t="s">
        <v>1373</v>
      </c>
      <c r="K327" s="600" t="s">
        <v>565</v>
      </c>
      <c r="L327" s="600" t="s">
        <v>3034</v>
      </c>
    </row>
    <row r="328" spans="1:12" x14ac:dyDescent="0.35">
      <c r="A328" s="2303">
        <v>626</v>
      </c>
      <c r="B328" s="2303" t="s">
        <v>78</v>
      </c>
      <c r="C328" s="2303" t="s">
        <v>7</v>
      </c>
      <c r="D328" s="2298" t="s">
        <v>1827</v>
      </c>
      <c r="E328" s="2305" t="s">
        <v>1009</v>
      </c>
      <c r="F328" s="2298" t="s">
        <v>564</v>
      </c>
      <c r="G328" s="2298" t="s">
        <v>1732</v>
      </c>
      <c r="H328" s="2303">
        <v>1</v>
      </c>
      <c r="I328" s="2303"/>
      <c r="J328" s="2305" t="s">
        <v>1373</v>
      </c>
      <c r="K328" s="600" t="s">
        <v>565</v>
      </c>
      <c r="L328" s="600" t="s">
        <v>3034</v>
      </c>
    </row>
    <row r="329" spans="1:12" x14ac:dyDescent="0.35">
      <c r="A329" s="2303">
        <v>616</v>
      </c>
      <c r="B329" s="2303" t="s">
        <v>78</v>
      </c>
      <c r="C329" s="2303" t="s">
        <v>7</v>
      </c>
      <c r="D329" s="2298" t="s">
        <v>1828</v>
      </c>
      <c r="E329" s="2305" t="s">
        <v>1009</v>
      </c>
      <c r="F329" s="2298" t="s">
        <v>564</v>
      </c>
      <c r="G329" s="2298" t="s">
        <v>1732</v>
      </c>
      <c r="H329" s="2303">
        <v>1</v>
      </c>
      <c r="I329" s="2303"/>
      <c r="J329" s="2305" t="s">
        <v>1373</v>
      </c>
      <c r="K329" s="600" t="s">
        <v>565</v>
      </c>
      <c r="L329" s="600" t="s">
        <v>3034</v>
      </c>
    </row>
    <row r="330" spans="1:12" x14ac:dyDescent="0.35">
      <c r="A330" s="2303">
        <v>620</v>
      </c>
      <c r="B330" s="2303" t="s">
        <v>78</v>
      </c>
      <c r="C330" s="2303" t="s">
        <v>7</v>
      </c>
      <c r="D330" s="2298" t="s">
        <v>1772</v>
      </c>
      <c r="E330" s="2305" t="s">
        <v>1009</v>
      </c>
      <c r="F330" s="2298" t="s">
        <v>564</v>
      </c>
      <c r="G330" s="2298" t="s">
        <v>1732</v>
      </c>
      <c r="H330" s="2303">
        <v>1</v>
      </c>
      <c r="I330" s="2303"/>
      <c r="J330" s="2305" t="s">
        <v>1373</v>
      </c>
      <c r="K330" s="600" t="s">
        <v>565</v>
      </c>
      <c r="L330" s="600" t="s">
        <v>3034</v>
      </c>
    </row>
    <row r="331" spans="1:12" x14ac:dyDescent="0.35">
      <c r="A331" s="2303">
        <v>618</v>
      </c>
      <c r="B331" s="2303" t="s">
        <v>78</v>
      </c>
      <c r="C331" s="2303" t="s">
        <v>7</v>
      </c>
      <c r="D331" s="2298" t="s">
        <v>1829</v>
      </c>
      <c r="E331" s="2305" t="s">
        <v>1009</v>
      </c>
      <c r="F331" s="2298" t="s">
        <v>564</v>
      </c>
      <c r="G331" s="2298" t="s">
        <v>1732</v>
      </c>
      <c r="H331" s="2303">
        <v>1</v>
      </c>
      <c r="I331" s="2303"/>
      <c r="J331" s="2305" t="s">
        <v>1373</v>
      </c>
      <c r="K331" s="600" t="s">
        <v>565</v>
      </c>
      <c r="L331" s="600" t="s">
        <v>3034</v>
      </c>
    </row>
    <row r="332" spans="1:12" x14ac:dyDescent="0.35">
      <c r="A332" s="2303">
        <v>640</v>
      </c>
      <c r="B332" s="2303" t="s">
        <v>78</v>
      </c>
      <c r="C332" s="2303" t="s">
        <v>7</v>
      </c>
      <c r="D332" s="2298" t="s">
        <v>1768</v>
      </c>
      <c r="E332" s="2305" t="s">
        <v>1009</v>
      </c>
      <c r="F332" s="2298" t="s">
        <v>782</v>
      </c>
      <c r="G332" s="2298" t="s">
        <v>1716</v>
      </c>
      <c r="H332" s="2303">
        <v>1</v>
      </c>
      <c r="I332" s="2303"/>
      <c r="J332" s="2305" t="s">
        <v>1374</v>
      </c>
      <c r="K332" s="600" t="s">
        <v>783</v>
      </c>
      <c r="L332" s="600" t="s">
        <v>20</v>
      </c>
    </row>
    <row r="333" spans="1:12" x14ac:dyDescent="0.35">
      <c r="A333" s="2303">
        <v>602</v>
      </c>
      <c r="B333" s="2303" t="s">
        <v>78</v>
      </c>
      <c r="C333" s="2303" t="s">
        <v>7</v>
      </c>
      <c r="D333" s="2298" t="s">
        <v>1855</v>
      </c>
      <c r="E333" s="2305" t="s">
        <v>1009</v>
      </c>
      <c r="F333" s="2298" t="s">
        <v>767</v>
      </c>
      <c r="G333" s="2298" t="s">
        <v>1718</v>
      </c>
      <c r="H333" s="2303">
        <v>1</v>
      </c>
      <c r="I333" s="2303"/>
      <c r="J333" s="2305" t="s">
        <v>1374</v>
      </c>
      <c r="K333" s="600" t="s">
        <v>768</v>
      </c>
      <c r="L333" s="600" t="s">
        <v>20</v>
      </c>
    </row>
    <row r="334" spans="1:12" x14ac:dyDescent="0.35">
      <c r="A334" s="2303">
        <v>601</v>
      </c>
      <c r="B334" s="2303" t="s">
        <v>78</v>
      </c>
      <c r="C334" s="2303" t="s">
        <v>7</v>
      </c>
      <c r="D334" s="2298" t="s">
        <v>1856</v>
      </c>
      <c r="E334" s="2305" t="s">
        <v>1009</v>
      </c>
      <c r="F334" s="2298" t="s">
        <v>785</v>
      </c>
      <c r="G334" s="2298" t="s">
        <v>1714</v>
      </c>
      <c r="H334" s="2303">
        <v>1</v>
      </c>
      <c r="I334" s="2303"/>
      <c r="J334" s="2305" t="s">
        <v>1373</v>
      </c>
      <c r="K334" s="600" t="s">
        <v>3024</v>
      </c>
      <c r="L334" s="600" t="s">
        <v>20</v>
      </c>
    </row>
    <row r="335" spans="1:12" x14ac:dyDescent="0.35">
      <c r="A335" s="2303">
        <v>667</v>
      </c>
      <c r="B335" s="2303" t="s">
        <v>78</v>
      </c>
      <c r="C335" s="2303" t="s">
        <v>7</v>
      </c>
      <c r="D335" s="2298" t="s">
        <v>1833</v>
      </c>
      <c r="E335" s="2305" t="s">
        <v>1009</v>
      </c>
      <c r="F335" s="2298" t="s">
        <v>506</v>
      </c>
      <c r="G335" s="2298" t="s">
        <v>1270</v>
      </c>
      <c r="H335" s="2303">
        <v>1</v>
      </c>
      <c r="I335" s="2303"/>
      <c r="J335" s="2305" t="s">
        <v>1373</v>
      </c>
      <c r="K335" s="600" t="s">
        <v>2957</v>
      </c>
      <c r="L335" s="600" t="s">
        <v>20</v>
      </c>
    </row>
    <row r="336" spans="1:12" x14ac:dyDescent="0.35">
      <c r="A336" s="2303">
        <v>668</v>
      </c>
      <c r="B336" s="2303" t="s">
        <v>78</v>
      </c>
      <c r="C336" s="2303" t="s">
        <v>7</v>
      </c>
      <c r="D336" s="2298" t="s">
        <v>1834</v>
      </c>
      <c r="E336" s="2305" t="s">
        <v>1009</v>
      </c>
      <c r="F336" s="2298" t="s">
        <v>506</v>
      </c>
      <c r="G336" s="2298" t="s">
        <v>1270</v>
      </c>
      <c r="H336" s="2303">
        <v>1</v>
      </c>
      <c r="I336" s="2303"/>
      <c r="J336" s="2305" t="s">
        <v>1373</v>
      </c>
      <c r="K336" s="600" t="s">
        <v>2957</v>
      </c>
      <c r="L336" s="600" t="s">
        <v>20</v>
      </c>
    </row>
    <row r="337" spans="1:12" x14ac:dyDescent="0.35">
      <c r="A337" s="2303">
        <v>669</v>
      </c>
      <c r="B337" s="2303" t="s">
        <v>78</v>
      </c>
      <c r="C337" s="2303" t="s">
        <v>7</v>
      </c>
      <c r="D337" s="2298" t="s">
        <v>1835</v>
      </c>
      <c r="E337" s="2305" t="s">
        <v>1009</v>
      </c>
      <c r="F337" s="2298" t="s">
        <v>506</v>
      </c>
      <c r="G337" s="2298" t="s">
        <v>1270</v>
      </c>
      <c r="H337" s="2303">
        <v>1</v>
      </c>
      <c r="I337" s="2303"/>
      <c r="J337" s="2305" t="s">
        <v>1373</v>
      </c>
      <c r="K337" s="600" t="s">
        <v>2957</v>
      </c>
      <c r="L337" s="600" t="s">
        <v>20</v>
      </c>
    </row>
    <row r="338" spans="1:12" x14ac:dyDescent="0.35">
      <c r="A338" s="2303">
        <v>670</v>
      </c>
      <c r="B338" s="2303" t="s">
        <v>78</v>
      </c>
      <c r="C338" s="2303" t="s">
        <v>7</v>
      </c>
      <c r="D338" s="2298" t="s">
        <v>1836</v>
      </c>
      <c r="E338" s="2305" t="s">
        <v>1009</v>
      </c>
      <c r="F338" s="2298" t="s">
        <v>506</v>
      </c>
      <c r="G338" s="2298" t="s">
        <v>1270</v>
      </c>
      <c r="H338" s="2303">
        <v>1</v>
      </c>
      <c r="I338" s="2303"/>
      <c r="J338" s="2305" t="s">
        <v>1374</v>
      </c>
      <c r="K338" s="600" t="s">
        <v>2957</v>
      </c>
      <c r="L338" s="600" t="s">
        <v>20</v>
      </c>
    </row>
    <row r="339" spans="1:12" x14ac:dyDescent="0.35">
      <c r="A339" s="2303">
        <v>671</v>
      </c>
      <c r="B339" s="2303" t="s">
        <v>78</v>
      </c>
      <c r="C339" s="2303" t="s">
        <v>7</v>
      </c>
      <c r="D339" s="2298" t="s">
        <v>1837</v>
      </c>
      <c r="E339" s="2305" t="s">
        <v>1009</v>
      </c>
      <c r="F339" s="2298" t="s">
        <v>506</v>
      </c>
      <c r="G339" s="2298" t="s">
        <v>1270</v>
      </c>
      <c r="H339" s="2303">
        <v>1</v>
      </c>
      <c r="I339" s="2303"/>
      <c r="J339" s="2305" t="s">
        <v>1374</v>
      </c>
      <c r="K339" s="600" t="s">
        <v>2957</v>
      </c>
      <c r="L339" s="600" t="s">
        <v>20</v>
      </c>
    </row>
    <row r="340" spans="1:12" x14ac:dyDescent="0.35">
      <c r="A340" s="2303">
        <v>632</v>
      </c>
      <c r="B340" s="2303" t="s">
        <v>78</v>
      </c>
      <c r="C340" s="2303" t="s">
        <v>7</v>
      </c>
      <c r="D340" s="2311" t="s">
        <v>1838</v>
      </c>
      <c r="E340" s="2305" t="s">
        <v>1009</v>
      </c>
      <c r="F340" s="2298" t="s">
        <v>363</v>
      </c>
      <c r="G340" s="2298" t="s">
        <v>1715</v>
      </c>
      <c r="H340" s="2303">
        <v>1</v>
      </c>
      <c r="I340" s="2303"/>
      <c r="J340" s="2305" t="s">
        <v>1373</v>
      </c>
      <c r="K340" s="600" t="s">
        <v>3036</v>
      </c>
      <c r="L340" s="600" t="s">
        <v>20</v>
      </c>
    </row>
    <row r="341" spans="1:12" x14ac:dyDescent="0.35">
      <c r="A341" s="2303">
        <v>634</v>
      </c>
      <c r="B341" s="2303" t="s">
        <v>78</v>
      </c>
      <c r="C341" s="2303" t="s">
        <v>7</v>
      </c>
      <c r="D341" s="2311" t="s">
        <v>1769</v>
      </c>
      <c r="E341" s="2305" t="s">
        <v>1009</v>
      </c>
      <c r="F341" s="2298" t="s">
        <v>363</v>
      </c>
      <c r="G341" s="2298" t="s">
        <v>1715</v>
      </c>
      <c r="H341" s="2303">
        <v>1</v>
      </c>
      <c r="I341" s="2303"/>
      <c r="J341" s="2305" t="s">
        <v>1373</v>
      </c>
      <c r="K341" s="600" t="s">
        <v>3036</v>
      </c>
      <c r="L341" s="600" t="s">
        <v>20</v>
      </c>
    </row>
    <row r="342" spans="1:12" x14ac:dyDescent="0.35">
      <c r="A342" s="2303">
        <v>636</v>
      </c>
      <c r="B342" s="2303" t="s">
        <v>78</v>
      </c>
      <c r="C342" s="2303" t="s">
        <v>7</v>
      </c>
      <c r="D342" s="2311" t="s">
        <v>1839</v>
      </c>
      <c r="E342" s="2305" t="s">
        <v>1009</v>
      </c>
      <c r="F342" s="2298" t="s">
        <v>363</v>
      </c>
      <c r="G342" s="2298" t="s">
        <v>1715</v>
      </c>
      <c r="H342" s="2303">
        <v>1</v>
      </c>
      <c r="I342" s="2303"/>
      <c r="J342" s="2305" t="s">
        <v>1374</v>
      </c>
      <c r="K342" s="600" t="s">
        <v>3036</v>
      </c>
      <c r="L342" s="600" t="s">
        <v>20</v>
      </c>
    </row>
    <row r="343" spans="1:12" x14ac:dyDescent="0.35">
      <c r="A343" s="2303">
        <v>638</v>
      </c>
      <c r="B343" s="2303" t="s">
        <v>78</v>
      </c>
      <c r="C343" s="2303" t="s">
        <v>7</v>
      </c>
      <c r="D343" s="2311" t="s">
        <v>1770</v>
      </c>
      <c r="E343" s="2305" t="s">
        <v>1009</v>
      </c>
      <c r="F343" s="2298" t="s">
        <v>363</v>
      </c>
      <c r="G343" s="2298" t="s">
        <v>1715</v>
      </c>
      <c r="H343" s="2303">
        <v>1</v>
      </c>
      <c r="I343" s="2303"/>
      <c r="J343" s="2305" t="s">
        <v>1374</v>
      </c>
      <c r="K343" s="600" t="s">
        <v>3036</v>
      </c>
      <c r="L343" s="600" t="s">
        <v>20</v>
      </c>
    </row>
    <row r="344" spans="1:12" x14ac:dyDescent="0.35">
      <c r="A344" s="2303">
        <v>606</v>
      </c>
      <c r="B344" s="2303" t="s">
        <v>78</v>
      </c>
      <c r="C344" s="2303" t="s">
        <v>7</v>
      </c>
      <c r="D344" s="2298" t="s">
        <v>1840</v>
      </c>
      <c r="E344" s="2305" t="s">
        <v>1009</v>
      </c>
      <c r="F344" s="2298" t="s">
        <v>710</v>
      </c>
      <c r="G344" s="2298" t="s">
        <v>1730</v>
      </c>
      <c r="H344" s="2303">
        <v>1</v>
      </c>
      <c r="I344" s="2303"/>
      <c r="J344" s="2305" t="s">
        <v>1374</v>
      </c>
      <c r="K344" s="600" t="s">
        <v>711</v>
      </c>
      <c r="L344" s="600" t="s">
        <v>3034</v>
      </c>
    </row>
    <row r="345" spans="1:12" x14ac:dyDescent="0.35">
      <c r="A345" s="2303">
        <v>615</v>
      </c>
      <c r="B345" s="2303" t="s">
        <v>78</v>
      </c>
      <c r="C345" s="2303" t="s">
        <v>7</v>
      </c>
      <c r="D345" s="2298" t="s">
        <v>1841</v>
      </c>
      <c r="E345" s="2305" t="s">
        <v>1009</v>
      </c>
      <c r="F345" s="2298" t="s">
        <v>564</v>
      </c>
      <c r="G345" s="2298" t="s">
        <v>1732</v>
      </c>
      <c r="H345" s="2303">
        <v>1</v>
      </c>
      <c r="I345" s="2303"/>
      <c r="J345" s="2305" t="s">
        <v>1374</v>
      </c>
      <c r="K345" s="600" t="s">
        <v>565</v>
      </c>
      <c r="L345" s="600" t="s">
        <v>3034</v>
      </c>
    </row>
    <row r="346" spans="1:12" x14ac:dyDescent="0.35">
      <c r="A346" s="2303">
        <v>623</v>
      </c>
      <c r="B346" s="2303" t="s">
        <v>78</v>
      </c>
      <c r="C346" s="2303" t="s">
        <v>7</v>
      </c>
      <c r="D346" s="2298" t="s">
        <v>1842</v>
      </c>
      <c r="E346" s="2305" t="s">
        <v>1009</v>
      </c>
      <c r="F346" s="2298" t="s">
        <v>564</v>
      </c>
      <c r="G346" s="2298" t="s">
        <v>1732</v>
      </c>
      <c r="H346" s="2303">
        <v>1</v>
      </c>
      <c r="I346" s="2303"/>
      <c r="J346" s="2305" t="s">
        <v>1374</v>
      </c>
      <c r="K346" s="600" t="s">
        <v>565</v>
      </c>
      <c r="L346" s="600" t="s">
        <v>3034</v>
      </c>
    </row>
    <row r="347" spans="1:12" x14ac:dyDescent="0.35">
      <c r="A347" s="2303">
        <v>614</v>
      </c>
      <c r="B347" s="2303" t="s">
        <v>78</v>
      </c>
      <c r="C347" s="2303" t="s">
        <v>7</v>
      </c>
      <c r="D347" s="2298" t="s">
        <v>1790</v>
      </c>
      <c r="E347" s="2305" t="s">
        <v>1009</v>
      </c>
      <c r="F347" s="2298" t="s">
        <v>564</v>
      </c>
      <c r="G347" s="2298" t="s">
        <v>1732</v>
      </c>
      <c r="H347" s="2303">
        <v>1</v>
      </c>
      <c r="I347" s="2303"/>
      <c r="J347" s="2305" t="s">
        <v>1374</v>
      </c>
      <c r="K347" s="600" t="s">
        <v>565</v>
      </c>
      <c r="L347" s="600" t="s">
        <v>3034</v>
      </c>
    </row>
    <row r="348" spans="1:12" x14ac:dyDescent="0.35">
      <c r="A348" s="2303">
        <v>622</v>
      </c>
      <c r="B348" s="2303" t="s">
        <v>78</v>
      </c>
      <c r="C348" s="2303" t="s">
        <v>7</v>
      </c>
      <c r="D348" s="2298" t="s">
        <v>1791</v>
      </c>
      <c r="E348" s="2305" t="s">
        <v>1009</v>
      </c>
      <c r="F348" s="2298" t="s">
        <v>564</v>
      </c>
      <c r="G348" s="2298" t="s">
        <v>1732</v>
      </c>
      <c r="H348" s="2303">
        <v>1</v>
      </c>
      <c r="I348" s="2303"/>
      <c r="J348" s="2305" t="s">
        <v>1374</v>
      </c>
      <c r="K348" s="600" t="s">
        <v>565</v>
      </c>
      <c r="L348" s="600" t="s">
        <v>3034</v>
      </c>
    </row>
    <row r="349" spans="1:12" x14ac:dyDescent="0.35">
      <c r="A349" s="2303">
        <v>656</v>
      </c>
      <c r="B349" s="2303" t="s">
        <v>78</v>
      </c>
      <c r="C349" s="2303" t="s">
        <v>7</v>
      </c>
      <c r="D349" s="2298" t="s">
        <v>1843</v>
      </c>
      <c r="E349" s="2305" t="s">
        <v>1009</v>
      </c>
      <c r="F349" s="2298" t="s">
        <v>483</v>
      </c>
      <c r="G349" s="2298" t="s">
        <v>1723</v>
      </c>
      <c r="H349" s="2303">
        <v>1</v>
      </c>
      <c r="I349" s="2303"/>
      <c r="J349" s="2305" t="s">
        <v>1373</v>
      </c>
      <c r="K349" s="600" t="s">
        <v>3031</v>
      </c>
      <c r="L349" s="600" t="s">
        <v>2296</v>
      </c>
    </row>
    <row r="350" spans="1:12" x14ac:dyDescent="0.35">
      <c r="A350" s="2303">
        <v>657</v>
      </c>
      <c r="B350" s="2303" t="s">
        <v>78</v>
      </c>
      <c r="C350" s="2303" t="s">
        <v>7</v>
      </c>
      <c r="D350" s="2298" t="s">
        <v>1844</v>
      </c>
      <c r="E350" s="2305" t="s">
        <v>1009</v>
      </c>
      <c r="F350" s="2298" t="s">
        <v>483</v>
      </c>
      <c r="G350" s="2298" t="s">
        <v>1723</v>
      </c>
      <c r="H350" s="2303">
        <v>1</v>
      </c>
      <c r="I350" s="2303"/>
      <c r="J350" s="2305" t="s">
        <v>1374</v>
      </c>
      <c r="K350" s="600" t="s">
        <v>3031</v>
      </c>
      <c r="L350" s="600" t="s">
        <v>2296</v>
      </c>
    </row>
    <row r="351" spans="1:12" x14ac:dyDescent="0.35">
      <c r="A351" s="2303">
        <v>643</v>
      </c>
      <c r="B351" s="2303" t="s">
        <v>78</v>
      </c>
      <c r="C351" s="2303" t="s">
        <v>7</v>
      </c>
      <c r="D351" s="2298" t="s">
        <v>1845</v>
      </c>
      <c r="E351" s="2305" t="s">
        <v>1009</v>
      </c>
      <c r="F351" s="2298" t="s">
        <v>306</v>
      </c>
      <c r="G351" s="2298" t="s">
        <v>1713</v>
      </c>
      <c r="H351" s="2303">
        <v>1</v>
      </c>
      <c r="I351" s="2303"/>
      <c r="J351" s="2305" t="s">
        <v>1373</v>
      </c>
      <c r="K351" s="600" t="s">
        <v>3023</v>
      </c>
      <c r="L351" s="600" t="s">
        <v>20</v>
      </c>
    </row>
    <row r="352" spans="1:12" x14ac:dyDescent="0.35">
      <c r="A352" s="2303">
        <v>611</v>
      </c>
      <c r="B352" s="2303" t="s">
        <v>78</v>
      </c>
      <c r="C352" s="2303" t="s">
        <v>7</v>
      </c>
      <c r="D352" s="2298" t="s">
        <v>1846</v>
      </c>
      <c r="E352" s="2305" t="s">
        <v>1009</v>
      </c>
      <c r="F352" s="2298" t="s">
        <v>306</v>
      </c>
      <c r="G352" s="2298" t="s">
        <v>1713</v>
      </c>
      <c r="H352" s="2303">
        <v>1</v>
      </c>
      <c r="I352" s="2303"/>
      <c r="J352" s="2305" t="s">
        <v>1373</v>
      </c>
      <c r="K352" s="600" t="s">
        <v>3023</v>
      </c>
      <c r="L352" s="600" t="s">
        <v>20</v>
      </c>
    </row>
    <row r="353" spans="1:12" x14ac:dyDescent="0.35">
      <c r="A353" s="2303">
        <v>642</v>
      </c>
      <c r="B353" s="2303" t="s">
        <v>78</v>
      </c>
      <c r="C353" s="2303" t="s">
        <v>7</v>
      </c>
      <c r="D353" s="2298" t="s">
        <v>1847</v>
      </c>
      <c r="E353" s="2305" t="s">
        <v>1009</v>
      </c>
      <c r="F353" s="2298" t="s">
        <v>306</v>
      </c>
      <c r="G353" s="2298" t="s">
        <v>1713</v>
      </c>
      <c r="H353" s="2303">
        <v>1</v>
      </c>
      <c r="I353" s="2303"/>
      <c r="J353" s="2305" t="s">
        <v>1373</v>
      </c>
      <c r="K353" s="600" t="s">
        <v>3023</v>
      </c>
      <c r="L353" s="600" t="s">
        <v>20</v>
      </c>
    </row>
    <row r="354" spans="1:12" x14ac:dyDescent="0.35">
      <c r="A354" s="2303">
        <v>610</v>
      </c>
      <c r="B354" s="2303" t="s">
        <v>78</v>
      </c>
      <c r="C354" s="2303" t="s">
        <v>7</v>
      </c>
      <c r="D354" s="2298" t="s">
        <v>1857</v>
      </c>
      <c r="E354" s="2305" t="s">
        <v>1009</v>
      </c>
      <c r="F354" s="2298" t="s">
        <v>306</v>
      </c>
      <c r="G354" s="2298" t="s">
        <v>1713</v>
      </c>
      <c r="H354" s="2303">
        <v>1</v>
      </c>
      <c r="I354" s="2303"/>
      <c r="J354" s="2305" t="s">
        <v>1373</v>
      </c>
      <c r="K354" s="600" t="s">
        <v>3023</v>
      </c>
      <c r="L354" s="600" t="s">
        <v>20</v>
      </c>
    </row>
    <row r="355" spans="1:12" x14ac:dyDescent="0.35">
      <c r="A355" s="2303">
        <v>648</v>
      </c>
      <c r="B355" s="2303" t="s">
        <v>78</v>
      </c>
      <c r="C355" s="2303" t="s">
        <v>7</v>
      </c>
      <c r="D355" s="2298" t="s">
        <v>1798</v>
      </c>
      <c r="E355" s="2305" t="s">
        <v>1009</v>
      </c>
      <c r="F355" s="2298" t="s">
        <v>287</v>
      </c>
      <c r="G355" s="2298" t="s">
        <v>1729</v>
      </c>
      <c r="H355" s="2303">
        <v>1</v>
      </c>
      <c r="I355" s="2303"/>
      <c r="J355" s="2305" t="s">
        <v>1373</v>
      </c>
      <c r="K355" s="600" t="s">
        <v>3025</v>
      </c>
      <c r="L355" s="600" t="s">
        <v>4</v>
      </c>
    </row>
    <row r="356" spans="1:12" x14ac:dyDescent="0.35">
      <c r="A356" s="2303">
        <v>649</v>
      </c>
      <c r="B356" s="2303" t="s">
        <v>78</v>
      </c>
      <c r="C356" s="2303" t="s">
        <v>7</v>
      </c>
      <c r="D356" s="2298" t="s">
        <v>1851</v>
      </c>
      <c r="E356" s="2305" t="s">
        <v>1009</v>
      </c>
      <c r="F356" s="2298" t="s">
        <v>287</v>
      </c>
      <c r="G356" s="2298" t="s">
        <v>1729</v>
      </c>
      <c r="H356" s="2303">
        <v>1</v>
      </c>
      <c r="I356" s="2303"/>
      <c r="J356" s="2305" t="s">
        <v>1373</v>
      </c>
      <c r="K356" s="600" t="s">
        <v>3025</v>
      </c>
      <c r="L356" s="600" t="s">
        <v>4</v>
      </c>
    </row>
    <row r="357" spans="1:12" x14ac:dyDescent="0.35">
      <c r="A357" s="2303">
        <v>650</v>
      </c>
      <c r="B357" s="2303" t="s">
        <v>78</v>
      </c>
      <c r="C357" s="2303" t="s">
        <v>7</v>
      </c>
      <c r="D357" s="2298" t="s">
        <v>1852</v>
      </c>
      <c r="E357" s="2305" t="s">
        <v>1009</v>
      </c>
      <c r="F357" s="2298" t="s">
        <v>287</v>
      </c>
      <c r="G357" s="2298" t="s">
        <v>1729</v>
      </c>
      <c r="H357" s="2303">
        <v>1</v>
      </c>
      <c r="I357" s="2303"/>
      <c r="J357" s="2305" t="s">
        <v>1373</v>
      </c>
      <c r="K357" s="600" t="s">
        <v>3025</v>
      </c>
      <c r="L357" s="600" t="s">
        <v>4</v>
      </c>
    </row>
    <row r="358" spans="1:12" x14ac:dyDescent="0.35">
      <c r="A358" s="2303">
        <v>673</v>
      </c>
      <c r="B358" s="2303" t="s">
        <v>78</v>
      </c>
      <c r="C358" s="2303" t="s">
        <v>7</v>
      </c>
      <c r="D358" s="2298" t="s">
        <v>1367</v>
      </c>
      <c r="E358" s="2305" t="s">
        <v>1009</v>
      </c>
      <c r="F358" s="2298" t="s">
        <v>564</v>
      </c>
      <c r="G358" s="2298" t="s">
        <v>1732</v>
      </c>
      <c r="H358" s="2303">
        <v>1</v>
      </c>
      <c r="I358" s="2303"/>
      <c r="J358" s="2305" t="s">
        <v>1373</v>
      </c>
      <c r="K358" s="600" t="s">
        <v>565</v>
      </c>
      <c r="L358" s="600" t="s">
        <v>3034</v>
      </c>
    </row>
    <row r="359" spans="1:12" x14ac:dyDescent="0.35">
      <c r="A359" s="2303">
        <v>672</v>
      </c>
      <c r="B359" s="2303" t="s">
        <v>78</v>
      </c>
      <c r="C359" s="2303" t="s">
        <v>7</v>
      </c>
      <c r="D359" s="2298" t="s">
        <v>1369</v>
      </c>
      <c r="E359" s="2305" t="s">
        <v>1009</v>
      </c>
      <c r="F359" s="2298" t="s">
        <v>564</v>
      </c>
      <c r="G359" s="2298" t="s">
        <v>1732</v>
      </c>
      <c r="H359" s="2303">
        <v>1</v>
      </c>
      <c r="I359" s="2303"/>
      <c r="J359" s="2305" t="s">
        <v>1373</v>
      </c>
      <c r="K359" s="600" t="s">
        <v>565</v>
      </c>
      <c r="L359" s="600" t="s">
        <v>3034</v>
      </c>
    </row>
    <row r="360" spans="1:12" x14ac:dyDescent="0.35">
      <c r="A360" s="2306">
        <v>603</v>
      </c>
      <c r="B360" s="2306" t="s">
        <v>78</v>
      </c>
      <c r="C360" s="2306" t="s">
        <v>7</v>
      </c>
      <c r="D360" s="2304" t="s">
        <v>711</v>
      </c>
      <c r="E360" s="2305" t="s">
        <v>1009</v>
      </c>
      <c r="F360" s="2298" t="s">
        <v>710</v>
      </c>
      <c r="G360" s="2298" t="s">
        <v>1730</v>
      </c>
      <c r="H360" s="2303">
        <v>1</v>
      </c>
      <c r="I360" s="2303"/>
      <c r="J360" s="2305" t="s">
        <v>1373</v>
      </c>
      <c r="K360" s="600" t="s">
        <v>711</v>
      </c>
      <c r="L360" s="600" t="s">
        <v>3034</v>
      </c>
    </row>
    <row r="361" spans="1:12" x14ac:dyDescent="0.35">
      <c r="A361" s="2306">
        <v>535</v>
      </c>
      <c r="B361" s="2306" t="s">
        <v>78</v>
      </c>
      <c r="C361" s="2306" t="s">
        <v>7</v>
      </c>
      <c r="D361" s="2304" t="s">
        <v>1938</v>
      </c>
      <c r="E361" s="2305" t="s">
        <v>20</v>
      </c>
      <c r="F361" s="2298" t="s">
        <v>767</v>
      </c>
      <c r="G361" s="2298" t="s">
        <v>1718</v>
      </c>
      <c r="H361" s="2303">
        <v>1</v>
      </c>
      <c r="I361" s="2303"/>
      <c r="J361" s="2305" t="s">
        <v>1374</v>
      </c>
      <c r="K361" s="600" t="s">
        <v>768</v>
      </c>
      <c r="L361" s="600" t="s">
        <v>20</v>
      </c>
    </row>
    <row r="362" spans="1:12" x14ac:dyDescent="0.35">
      <c r="A362" s="2306">
        <v>536</v>
      </c>
      <c r="B362" s="2306" t="s">
        <v>78</v>
      </c>
      <c r="C362" s="2306" t="s">
        <v>7</v>
      </c>
      <c r="D362" s="2304" t="s">
        <v>1939</v>
      </c>
      <c r="E362" s="2305" t="s">
        <v>20</v>
      </c>
      <c r="F362" s="2298" t="s">
        <v>1917</v>
      </c>
      <c r="G362" s="2298" t="s">
        <v>1918</v>
      </c>
      <c r="H362" s="2303">
        <v>1</v>
      </c>
      <c r="I362" s="2303"/>
      <c r="J362" s="2305" t="s">
        <v>1373</v>
      </c>
      <c r="K362" s="600" t="s">
        <v>208</v>
      </c>
      <c r="L362" s="600" t="s">
        <v>20</v>
      </c>
    </row>
    <row r="363" spans="1:12" x14ac:dyDescent="0.35">
      <c r="A363" s="2303">
        <v>490</v>
      </c>
      <c r="B363" s="2303" t="s">
        <v>78</v>
      </c>
      <c r="C363" s="2298" t="s">
        <v>1858</v>
      </c>
      <c r="D363" s="2298" t="s">
        <v>1008</v>
      </c>
      <c r="E363" s="2305" t="s">
        <v>1007</v>
      </c>
      <c r="F363" s="2298" t="s">
        <v>211</v>
      </c>
      <c r="G363" s="2298"/>
      <c r="H363" s="2303">
        <v>0</v>
      </c>
      <c r="I363" s="2303"/>
      <c r="J363" s="2305" t="s">
        <v>1007</v>
      </c>
      <c r="K363" s="600" t="e">
        <v>#N/A</v>
      </c>
      <c r="L363" s="600" t="e">
        <v>#N/A</v>
      </c>
    </row>
    <row r="364" spans="1:12" x14ac:dyDescent="0.35">
      <c r="A364" s="2303">
        <v>469</v>
      </c>
      <c r="B364" s="2303" t="s">
        <v>78</v>
      </c>
      <c r="C364" s="2303" t="s">
        <v>273</v>
      </c>
      <c r="D364" s="2298" t="s">
        <v>274</v>
      </c>
      <c r="E364" s="2305"/>
      <c r="F364" s="2298" t="s">
        <v>1745</v>
      </c>
      <c r="G364" s="2298" t="s">
        <v>1746</v>
      </c>
      <c r="H364" s="2303">
        <v>1</v>
      </c>
      <c r="I364" s="2303"/>
      <c r="J364" s="2305" t="s">
        <v>1373</v>
      </c>
      <c r="K364" s="600" t="s">
        <v>3053</v>
      </c>
      <c r="L364" s="600" t="s">
        <v>3038</v>
      </c>
    </row>
    <row r="365" spans="1:12" x14ac:dyDescent="0.35">
      <c r="A365" s="2303">
        <v>468</v>
      </c>
      <c r="B365" s="2303" t="s">
        <v>78</v>
      </c>
      <c r="C365" s="2303" t="s">
        <v>273</v>
      </c>
      <c r="D365" s="2298" t="s">
        <v>275</v>
      </c>
      <c r="E365" s="2305"/>
      <c r="F365" s="2298" t="s">
        <v>1745</v>
      </c>
      <c r="G365" s="2298" t="s">
        <v>1746</v>
      </c>
      <c r="H365" s="2303">
        <v>1</v>
      </c>
      <c r="I365" s="2303"/>
      <c r="J365" s="2305" t="s">
        <v>1373</v>
      </c>
      <c r="K365" s="600" t="s">
        <v>3053</v>
      </c>
      <c r="L365" s="600" t="s">
        <v>3038</v>
      </c>
    </row>
    <row r="366" spans="1:12" x14ac:dyDescent="0.35">
      <c r="A366" s="2286">
        <v>664</v>
      </c>
      <c r="B366" s="2286"/>
      <c r="C366" s="2286"/>
      <c r="D366" s="2316" t="s">
        <v>1795</v>
      </c>
      <c r="E366" s="2286"/>
      <c r="F366" s="2316" t="s">
        <v>643</v>
      </c>
      <c r="G366" s="2316" t="s">
        <v>1725</v>
      </c>
      <c r="H366" s="2286"/>
      <c r="I366" s="2286"/>
      <c r="J366" s="2286" t="s">
        <v>1373</v>
      </c>
      <c r="K366" s="2286" t="s">
        <v>3027</v>
      </c>
      <c r="L366" s="2286" t="s">
        <v>2296</v>
      </c>
    </row>
    <row r="367" spans="1:12" x14ac:dyDescent="0.35">
      <c r="A367" s="2286">
        <v>647</v>
      </c>
      <c r="B367" s="2286"/>
      <c r="C367" s="2286"/>
      <c r="D367" s="2316" t="s">
        <v>1849</v>
      </c>
      <c r="E367" s="2286"/>
      <c r="F367" s="2316" t="s">
        <v>667</v>
      </c>
      <c r="G367" s="2316" t="s">
        <v>1916</v>
      </c>
      <c r="H367" s="2286"/>
      <c r="I367" s="2286"/>
      <c r="J367" s="2286" t="s">
        <v>1373</v>
      </c>
      <c r="K367" s="2286" t="s">
        <v>3028</v>
      </c>
      <c r="L367" s="2286" t="s">
        <v>2296</v>
      </c>
    </row>
    <row r="368" spans="1:12" x14ac:dyDescent="0.35">
      <c r="A368" s="2286">
        <v>646</v>
      </c>
      <c r="B368" s="2286"/>
      <c r="C368" s="2286"/>
      <c r="D368" s="2316" t="s">
        <v>1850</v>
      </c>
      <c r="E368" s="2286"/>
      <c r="F368" s="2316" t="s">
        <v>667</v>
      </c>
      <c r="G368" s="2316" t="s">
        <v>1916</v>
      </c>
      <c r="H368" s="2286"/>
      <c r="I368" s="2286"/>
      <c r="J368" s="2286" t="s">
        <v>1373</v>
      </c>
      <c r="K368" s="2286" t="s">
        <v>3028</v>
      </c>
      <c r="L368" s="2286" t="s">
        <v>2296</v>
      </c>
    </row>
    <row r="369" spans="1:12" x14ac:dyDescent="0.35">
      <c r="A369" s="2286">
        <v>516</v>
      </c>
      <c r="B369" s="2286"/>
      <c r="C369" s="2286"/>
      <c r="D369" s="2316" t="s">
        <v>53</v>
      </c>
      <c r="E369" s="2286"/>
      <c r="F369" s="2316" t="s">
        <v>483</v>
      </c>
      <c r="G369" s="2316" t="s">
        <v>1723</v>
      </c>
      <c r="H369" s="2286"/>
      <c r="I369" s="2286"/>
      <c r="J369" s="2286" t="s">
        <v>1373</v>
      </c>
      <c r="K369" s="2286" t="s">
        <v>3031</v>
      </c>
      <c r="L369" s="2286" t="s">
        <v>2296</v>
      </c>
    </row>
    <row r="370" spans="1:12" x14ac:dyDescent="0.35">
      <c r="A370" s="2286">
        <v>517</v>
      </c>
      <c r="B370" s="2286"/>
      <c r="C370" s="2286"/>
      <c r="D370" s="2316" t="s">
        <v>54</v>
      </c>
      <c r="E370" s="2286"/>
      <c r="F370" s="2316" t="s">
        <v>483</v>
      </c>
      <c r="G370" s="2316" t="s">
        <v>1723</v>
      </c>
      <c r="H370" s="2286"/>
      <c r="I370" s="2286"/>
      <c r="J370" s="2286" t="s">
        <v>1374</v>
      </c>
      <c r="K370" s="2286" t="s">
        <v>3031</v>
      </c>
      <c r="L370" s="2286" t="s">
        <v>2296</v>
      </c>
    </row>
    <row r="371" spans="1:12" x14ac:dyDescent="0.35">
      <c r="A371" s="2286">
        <v>521</v>
      </c>
      <c r="B371" s="2286"/>
      <c r="C371" s="2286"/>
      <c r="D371" s="2316" t="s">
        <v>59</v>
      </c>
      <c r="E371" s="2286"/>
      <c r="F371" s="2316" t="s">
        <v>563</v>
      </c>
      <c r="G371" s="2316" t="s">
        <v>1721</v>
      </c>
      <c r="H371" s="2286"/>
      <c r="I371" s="2286"/>
      <c r="J371" s="2286" t="s">
        <v>1374</v>
      </c>
      <c r="K371" s="2286" t="s">
        <v>3022</v>
      </c>
      <c r="L371" s="2286" t="s">
        <v>20</v>
      </c>
    </row>
    <row r="372" spans="1:12" x14ac:dyDescent="0.35">
      <c r="A372" s="2286">
        <v>514</v>
      </c>
      <c r="B372" s="2286"/>
      <c r="C372" s="2286"/>
      <c r="D372" s="2316" t="s">
        <v>1066</v>
      </c>
      <c r="E372" s="2286"/>
      <c r="F372" s="2316" t="s">
        <v>767</v>
      </c>
      <c r="G372" s="2316" t="s">
        <v>1718</v>
      </c>
      <c r="H372" s="2286"/>
      <c r="I372" s="2286"/>
      <c r="J372" s="2286" t="s">
        <v>1374</v>
      </c>
      <c r="K372" s="2286" t="s">
        <v>768</v>
      </c>
      <c r="L372" s="2286" t="s">
        <v>20</v>
      </c>
    </row>
    <row r="373" spans="1:12" x14ac:dyDescent="0.35">
      <c r="A373" s="2286">
        <v>512</v>
      </c>
      <c r="B373" s="2286"/>
      <c r="C373" s="2286"/>
      <c r="D373" s="2316" t="s">
        <v>1067</v>
      </c>
      <c r="E373" s="2286"/>
      <c r="F373" s="2316" t="s">
        <v>767</v>
      </c>
      <c r="G373" s="2316" t="s">
        <v>1718</v>
      </c>
      <c r="H373" s="2286"/>
      <c r="I373" s="2286"/>
      <c r="J373" s="2286" t="s">
        <v>1374</v>
      </c>
      <c r="K373" s="2286" t="s">
        <v>768</v>
      </c>
      <c r="L373" s="2286" t="s">
        <v>20</v>
      </c>
    </row>
    <row r="374" spans="1:12" x14ac:dyDescent="0.35">
      <c r="A374" s="2286">
        <v>515</v>
      </c>
      <c r="B374" s="2286"/>
      <c r="C374" s="2286"/>
      <c r="D374" s="2316" t="s">
        <v>1068</v>
      </c>
      <c r="E374" s="2286"/>
      <c r="F374" s="2316" t="s">
        <v>767</v>
      </c>
      <c r="G374" s="2316" t="s">
        <v>1718</v>
      </c>
      <c r="H374" s="2286"/>
      <c r="I374" s="2286"/>
      <c r="J374" s="2286" t="s">
        <v>1374</v>
      </c>
      <c r="K374" s="2286" t="s">
        <v>768</v>
      </c>
      <c r="L374" s="2286" t="s">
        <v>20</v>
      </c>
    </row>
    <row r="375" spans="1:12" x14ac:dyDescent="0.35">
      <c r="A375" s="2286">
        <v>513</v>
      </c>
      <c r="B375" s="2286"/>
      <c r="C375" s="2286"/>
      <c r="D375" s="2316" t="s">
        <v>1069</v>
      </c>
      <c r="E375" s="2286"/>
      <c r="F375" s="2316" t="s">
        <v>767</v>
      </c>
      <c r="G375" s="2316" t="s">
        <v>1718</v>
      </c>
      <c r="H375" s="2286"/>
      <c r="I375" s="2286"/>
      <c r="J375" s="2286" t="s">
        <v>1374</v>
      </c>
      <c r="K375" s="2286" t="s">
        <v>768</v>
      </c>
      <c r="L375" s="2286" t="s">
        <v>20</v>
      </c>
    </row>
    <row r="376" spans="1:12" x14ac:dyDescent="0.35">
      <c r="A376" s="2286">
        <v>506</v>
      </c>
      <c r="B376" s="2286"/>
      <c r="C376" s="2286"/>
      <c r="D376" s="2316" t="s">
        <v>1070</v>
      </c>
      <c r="E376" s="2286"/>
      <c r="F376" s="2316" t="s">
        <v>1378</v>
      </c>
      <c r="G376" s="2316" t="s">
        <v>1717</v>
      </c>
      <c r="H376" s="2286"/>
      <c r="I376" s="2286"/>
      <c r="J376" s="2286" t="s">
        <v>1374</v>
      </c>
      <c r="K376" s="2286" t="s">
        <v>3035</v>
      </c>
      <c r="L376" s="2286" t="s">
        <v>20</v>
      </c>
    </row>
    <row r="377" spans="1:12" x14ac:dyDescent="0.35">
      <c r="A377" s="2286">
        <v>510</v>
      </c>
      <c r="B377" s="2286"/>
      <c r="C377" s="2286"/>
      <c r="D377" s="2316" t="s">
        <v>1071</v>
      </c>
      <c r="E377" s="2286"/>
      <c r="F377" s="2316" t="s">
        <v>1378</v>
      </c>
      <c r="G377" s="2316" t="s">
        <v>1717</v>
      </c>
      <c r="H377" s="2286"/>
      <c r="I377" s="2286"/>
      <c r="J377" s="2286" t="s">
        <v>1374</v>
      </c>
      <c r="K377" s="2286" t="s">
        <v>3035</v>
      </c>
      <c r="L377" s="2286" t="s">
        <v>20</v>
      </c>
    </row>
    <row r="378" spans="1:12" x14ac:dyDescent="0.35">
      <c r="A378" s="2286">
        <v>581</v>
      </c>
      <c r="B378" s="2286"/>
      <c r="C378" s="2286"/>
      <c r="D378" s="2316" t="s">
        <v>1818</v>
      </c>
      <c r="E378" s="2286"/>
      <c r="F378" s="2316" t="s">
        <v>506</v>
      </c>
      <c r="G378" s="2316" t="s">
        <v>1270</v>
      </c>
      <c r="H378" s="2286"/>
      <c r="I378" s="2286"/>
      <c r="J378" s="2286" t="s">
        <v>1373</v>
      </c>
      <c r="K378" s="2286" t="s">
        <v>2957</v>
      </c>
      <c r="L378" s="2286" t="s">
        <v>20</v>
      </c>
    </row>
    <row r="379" spans="1:12" x14ac:dyDescent="0.35">
      <c r="A379" s="2286">
        <v>584</v>
      </c>
      <c r="B379" s="2286"/>
      <c r="C379" s="2286"/>
      <c r="D379" s="2316" t="s">
        <v>1819</v>
      </c>
      <c r="E379" s="2286"/>
      <c r="F379" s="2316" t="s">
        <v>506</v>
      </c>
      <c r="G379" s="2316" t="s">
        <v>1270</v>
      </c>
      <c r="H379" s="2286"/>
      <c r="I379" s="2286"/>
      <c r="J379" s="2286" t="s">
        <v>1007</v>
      </c>
      <c r="K379" s="2286" t="s">
        <v>2957</v>
      </c>
      <c r="L379" s="2286" t="s">
        <v>20</v>
      </c>
    </row>
    <row r="380" spans="1:12" x14ac:dyDescent="0.35">
      <c r="A380" s="2286">
        <v>582</v>
      </c>
      <c r="B380" s="2286"/>
      <c r="C380" s="2286"/>
      <c r="D380" s="2316" t="s">
        <v>1820</v>
      </c>
      <c r="E380" s="2286"/>
      <c r="F380" s="2316" t="s">
        <v>506</v>
      </c>
      <c r="G380" s="2316" t="s">
        <v>1270</v>
      </c>
      <c r="H380" s="2286"/>
      <c r="I380" s="2286"/>
      <c r="J380" s="2286" t="s">
        <v>1373</v>
      </c>
      <c r="K380" s="2286" t="s">
        <v>2957</v>
      </c>
      <c r="L380" s="2286" t="s">
        <v>20</v>
      </c>
    </row>
    <row r="381" spans="1:12" x14ac:dyDescent="0.35">
      <c r="A381" s="2286">
        <v>583</v>
      </c>
      <c r="B381" s="2286"/>
      <c r="C381" s="2286"/>
      <c r="D381" s="2316" t="s">
        <v>1821</v>
      </c>
      <c r="E381" s="2286"/>
      <c r="F381" s="2316" t="s">
        <v>506</v>
      </c>
      <c r="G381" s="2316" t="s">
        <v>1270</v>
      </c>
      <c r="H381" s="2286"/>
      <c r="I381" s="2286"/>
      <c r="J381" s="2286" t="s">
        <v>1373</v>
      </c>
      <c r="K381" s="2286" t="s">
        <v>2957</v>
      </c>
      <c r="L381" s="2286" t="s">
        <v>20</v>
      </c>
    </row>
    <row r="382" spans="1:12" x14ac:dyDescent="0.35">
      <c r="A382" s="2286">
        <v>585</v>
      </c>
      <c r="B382" s="2286"/>
      <c r="C382" s="2286"/>
      <c r="D382" s="2316" t="s">
        <v>1822</v>
      </c>
      <c r="E382" s="2286"/>
      <c r="F382" s="2316" t="s">
        <v>506</v>
      </c>
      <c r="G382" s="2316" t="s">
        <v>1270</v>
      </c>
      <c r="H382" s="2286"/>
      <c r="I382" s="2286"/>
      <c r="J382" s="2286" t="s">
        <v>1007</v>
      </c>
      <c r="K382" s="2286" t="s">
        <v>2957</v>
      </c>
      <c r="L382" s="2286" t="s">
        <v>20</v>
      </c>
    </row>
    <row r="383" spans="1:12" x14ac:dyDescent="0.35">
      <c r="A383" s="2286">
        <v>532</v>
      </c>
      <c r="B383" s="2286"/>
      <c r="C383" s="2286"/>
      <c r="D383" s="2316" t="s">
        <v>35</v>
      </c>
      <c r="E383" s="2286"/>
      <c r="F383" s="2316" t="s">
        <v>643</v>
      </c>
      <c r="G383" s="2316" t="s">
        <v>1725</v>
      </c>
      <c r="H383" s="2286"/>
      <c r="I383" s="2286"/>
      <c r="J383" s="2286" t="s">
        <v>1373</v>
      </c>
      <c r="K383" s="2286" t="s">
        <v>3027</v>
      </c>
      <c r="L383" s="2286" t="s">
        <v>2296</v>
      </c>
    </row>
    <row r="384" spans="1:12" x14ac:dyDescent="0.35">
      <c r="A384" s="2286">
        <v>528</v>
      </c>
      <c r="B384" s="2286"/>
      <c r="C384" s="2286"/>
      <c r="D384" s="2316" t="s">
        <v>1849</v>
      </c>
      <c r="E384" s="2286"/>
      <c r="F384" s="2316" t="s">
        <v>667</v>
      </c>
      <c r="G384" s="2316" t="s">
        <v>1916</v>
      </c>
      <c r="H384" s="2286"/>
      <c r="I384" s="2286"/>
      <c r="J384" s="2286" t="s">
        <v>1373</v>
      </c>
      <c r="K384" s="2286" t="s">
        <v>3028</v>
      </c>
      <c r="L384" s="2286" t="s">
        <v>2296</v>
      </c>
    </row>
    <row r="385" spans="1:12" x14ac:dyDescent="0.35">
      <c r="A385" s="2286">
        <v>527</v>
      </c>
      <c r="B385" s="2286"/>
      <c r="C385" s="2286"/>
      <c r="D385" s="2316" t="s">
        <v>1850</v>
      </c>
      <c r="E385" s="2286"/>
      <c r="F385" s="2316" t="s">
        <v>667</v>
      </c>
      <c r="G385" s="2316" t="s">
        <v>1916</v>
      </c>
      <c r="H385" s="2286"/>
      <c r="I385" s="2286"/>
      <c r="J385" s="2286" t="s">
        <v>1373</v>
      </c>
      <c r="K385" s="2286" t="s">
        <v>3028</v>
      </c>
      <c r="L385" s="2286" t="s">
        <v>2296</v>
      </c>
    </row>
    <row r="386" spans="1:12" x14ac:dyDescent="0.35">
      <c r="A386" s="2286">
        <v>655</v>
      </c>
      <c r="B386" s="2286"/>
      <c r="C386" s="2286"/>
      <c r="D386" s="2316" t="s">
        <v>1854</v>
      </c>
      <c r="E386" s="2286"/>
      <c r="F386" s="2316" t="s">
        <v>506</v>
      </c>
      <c r="G386" s="2316" t="s">
        <v>1270</v>
      </c>
      <c r="H386" s="2286"/>
      <c r="I386" s="2286"/>
      <c r="J386" s="2286" t="s">
        <v>1373</v>
      </c>
      <c r="K386" s="2286" t="s">
        <v>2957</v>
      </c>
      <c r="L386" s="2286" t="s">
        <v>20</v>
      </c>
    </row>
    <row r="387" spans="1:12" x14ac:dyDescent="0.35">
      <c r="A387" s="2286">
        <v>653</v>
      </c>
      <c r="B387" s="2286"/>
      <c r="C387" s="2286"/>
      <c r="D387" s="2316" t="s">
        <v>1819</v>
      </c>
      <c r="E387" s="2286"/>
      <c r="F387" s="2316" t="s">
        <v>506</v>
      </c>
      <c r="G387" s="2316" t="s">
        <v>1270</v>
      </c>
      <c r="H387" s="2286"/>
      <c r="I387" s="2286"/>
      <c r="J387" s="2286" t="s">
        <v>1007</v>
      </c>
      <c r="K387" s="2286" t="s">
        <v>2957</v>
      </c>
      <c r="L387" s="2286" t="s">
        <v>20</v>
      </c>
    </row>
    <row r="388" spans="1:12" x14ac:dyDescent="0.35">
      <c r="A388" s="2286">
        <v>651</v>
      </c>
      <c r="B388" s="2286"/>
      <c r="C388" s="2286"/>
      <c r="D388" s="2316" t="s">
        <v>1820</v>
      </c>
      <c r="E388" s="2286"/>
      <c r="F388" s="2316" t="s">
        <v>506</v>
      </c>
      <c r="G388" s="2316" t="s">
        <v>1270</v>
      </c>
      <c r="H388" s="2286"/>
      <c r="I388" s="2286"/>
      <c r="J388" s="2286" t="s">
        <v>1373</v>
      </c>
      <c r="K388" s="2286" t="s">
        <v>2957</v>
      </c>
      <c r="L388" s="2286" t="s">
        <v>20</v>
      </c>
    </row>
    <row r="389" spans="1:12" x14ac:dyDescent="0.35">
      <c r="A389" s="2286">
        <v>652</v>
      </c>
      <c r="B389" s="2286"/>
      <c r="C389" s="2286"/>
      <c r="D389" s="2316" t="s">
        <v>1821</v>
      </c>
      <c r="E389" s="2286"/>
      <c r="F389" s="2316" t="s">
        <v>506</v>
      </c>
      <c r="G389" s="2316" t="s">
        <v>1270</v>
      </c>
      <c r="H389" s="2286"/>
      <c r="I389" s="2286"/>
      <c r="J389" s="2286" t="s">
        <v>1373</v>
      </c>
      <c r="K389" s="2286" t="s">
        <v>2957</v>
      </c>
      <c r="L389" s="2286" t="s">
        <v>20</v>
      </c>
    </row>
    <row r="390" spans="1:12" x14ac:dyDescent="0.35">
      <c r="A390" s="2286">
        <v>654</v>
      </c>
      <c r="B390" s="2286"/>
      <c r="C390" s="2286"/>
      <c r="D390" s="2316" t="s">
        <v>1822</v>
      </c>
      <c r="E390" s="2286"/>
      <c r="F390" s="2316" t="s">
        <v>506</v>
      </c>
      <c r="G390" s="2316" t="s">
        <v>1270</v>
      </c>
      <c r="H390" s="2286"/>
      <c r="I390" s="2286"/>
      <c r="J390" s="2286" t="s">
        <v>1007</v>
      </c>
      <c r="K390" s="2286" t="s">
        <v>2957</v>
      </c>
      <c r="L390" s="2286" t="s">
        <v>20</v>
      </c>
    </row>
    <row r="391" spans="1:12" x14ac:dyDescent="0.35">
      <c r="A391" s="2286">
        <v>677</v>
      </c>
      <c r="B391" s="2286"/>
      <c r="C391" s="2286"/>
      <c r="D391" s="2316" t="s">
        <v>23</v>
      </c>
      <c r="E391" s="2286" t="s">
        <v>4</v>
      </c>
      <c r="F391" s="2316" t="s">
        <v>1727</v>
      </c>
      <c r="G391" s="2316" t="s">
        <v>1728</v>
      </c>
      <c r="H391" s="2286"/>
      <c r="I391" s="2286"/>
      <c r="J391" s="2286" t="s">
        <v>1373</v>
      </c>
      <c r="K391" s="2286" t="s">
        <v>3026</v>
      </c>
      <c r="L391" s="2286" t="s">
        <v>4</v>
      </c>
    </row>
    <row r="392" spans="1:12" x14ac:dyDescent="0.35">
      <c r="A392" s="2286">
        <v>678</v>
      </c>
      <c r="B392" s="2286"/>
      <c r="C392" s="2286"/>
      <c r="D392" s="2316" t="s">
        <v>24</v>
      </c>
      <c r="E392" s="2286" t="s">
        <v>4</v>
      </c>
      <c r="F392" s="2316" t="s">
        <v>1727</v>
      </c>
      <c r="G392" s="2316" t="s">
        <v>1728</v>
      </c>
      <c r="H392" s="2286"/>
      <c r="I392" s="2286"/>
      <c r="J392" s="2286" t="s">
        <v>1373</v>
      </c>
      <c r="K392" s="2286" t="s">
        <v>3026</v>
      </c>
      <c r="L392" s="2286" t="s">
        <v>4</v>
      </c>
    </row>
    <row r="393" spans="1:12" x14ac:dyDescent="0.35">
      <c r="A393" s="2286">
        <v>679</v>
      </c>
      <c r="B393" s="2286"/>
      <c r="C393" s="2286"/>
      <c r="D393" s="2316" t="s">
        <v>25</v>
      </c>
      <c r="E393" s="2286" t="s">
        <v>4</v>
      </c>
      <c r="F393" s="2316" t="s">
        <v>1727</v>
      </c>
      <c r="G393" s="2316" t="s">
        <v>1728</v>
      </c>
      <c r="H393" s="2286"/>
      <c r="I393" s="2286"/>
      <c r="J393" s="2286" t="s">
        <v>1373</v>
      </c>
      <c r="K393" s="2286" t="s">
        <v>3026</v>
      </c>
      <c r="L393" s="2286" t="s">
        <v>4</v>
      </c>
    </row>
    <row r="394" spans="1:12" x14ac:dyDescent="0.35">
      <c r="A394" s="2286">
        <v>674</v>
      </c>
      <c r="B394" s="2286"/>
      <c r="C394" s="2286"/>
      <c r="D394" s="2316" t="s">
        <v>208</v>
      </c>
      <c r="E394" s="2286" t="s">
        <v>20</v>
      </c>
      <c r="F394" s="2316" t="s">
        <v>1917</v>
      </c>
      <c r="G394" s="2316" t="s">
        <v>1918</v>
      </c>
      <c r="H394" s="2286"/>
      <c r="I394" s="2286"/>
      <c r="J394" s="2286" t="s">
        <v>1373</v>
      </c>
      <c r="K394" s="2286" t="s">
        <v>208</v>
      </c>
      <c r="L394" s="2286" t="s">
        <v>20</v>
      </c>
    </row>
    <row r="395" spans="1:12" x14ac:dyDescent="0.35">
      <c r="A395" s="2286">
        <v>714</v>
      </c>
      <c r="B395" s="2286"/>
      <c r="C395" s="2286"/>
      <c r="D395" s="2316" t="s">
        <v>1868</v>
      </c>
      <c r="E395" s="2286"/>
      <c r="F395" s="2316" t="s">
        <v>710</v>
      </c>
      <c r="G395" s="2316" t="s">
        <v>1730</v>
      </c>
      <c r="H395" s="2286"/>
      <c r="I395" s="2286"/>
      <c r="J395" s="2286" t="s">
        <v>1373</v>
      </c>
      <c r="K395" s="2286" t="s">
        <v>711</v>
      </c>
      <c r="L395" s="2286" t="s">
        <v>3034</v>
      </c>
    </row>
    <row r="396" spans="1:12" x14ac:dyDescent="0.35">
      <c r="A396" s="2286">
        <v>715</v>
      </c>
      <c r="B396" s="2286"/>
      <c r="C396" s="2286"/>
      <c r="D396" s="2316" t="s">
        <v>1869</v>
      </c>
      <c r="E396" s="2286"/>
      <c r="F396" s="2316" t="s">
        <v>710</v>
      </c>
      <c r="G396" s="2316" t="s">
        <v>1730</v>
      </c>
      <c r="H396" s="2286"/>
      <c r="I396" s="2286"/>
      <c r="J396" s="2286" t="s">
        <v>1373</v>
      </c>
      <c r="K396" s="2286" t="s">
        <v>711</v>
      </c>
      <c r="L396" s="2286" t="s">
        <v>3034</v>
      </c>
    </row>
    <row r="397" spans="1:12" x14ac:dyDescent="0.35">
      <c r="A397" s="2286">
        <v>739</v>
      </c>
      <c r="B397" s="2286"/>
      <c r="C397" s="2286"/>
      <c r="D397" s="2316" t="s">
        <v>1838</v>
      </c>
      <c r="E397" s="2286"/>
      <c r="F397" s="2316" t="s">
        <v>363</v>
      </c>
      <c r="G397" s="2316" t="s">
        <v>1715</v>
      </c>
      <c r="H397" s="2286"/>
      <c r="I397" s="2286"/>
      <c r="J397" s="2286" t="s">
        <v>1373</v>
      </c>
      <c r="K397" s="2286" t="s">
        <v>3036</v>
      </c>
      <c r="L397" s="2286" t="s">
        <v>20</v>
      </c>
    </row>
    <row r="398" spans="1:12" x14ac:dyDescent="0.35">
      <c r="A398" s="2286">
        <v>743</v>
      </c>
      <c r="B398" s="2286"/>
      <c r="C398" s="2286"/>
      <c r="D398" s="2316" t="s">
        <v>1839</v>
      </c>
      <c r="E398" s="2286"/>
      <c r="F398" s="2316" t="s">
        <v>363</v>
      </c>
      <c r="G398" s="2316" t="s">
        <v>1715</v>
      </c>
      <c r="H398" s="2286"/>
      <c r="I398" s="2286"/>
      <c r="J398" s="2286" t="s">
        <v>1374</v>
      </c>
      <c r="K398" s="2286" t="s">
        <v>3036</v>
      </c>
      <c r="L398" s="2286" t="s">
        <v>20</v>
      </c>
    </row>
    <row r="399" spans="1:12" x14ac:dyDescent="0.35">
      <c r="A399" s="2286">
        <v>757</v>
      </c>
      <c r="B399" s="2286"/>
      <c r="C399" s="2286"/>
      <c r="D399" s="2316" t="s">
        <v>1870</v>
      </c>
      <c r="E399" s="2286"/>
      <c r="F399" s="2316" t="s">
        <v>506</v>
      </c>
      <c r="G399" s="2316" t="s">
        <v>1270</v>
      </c>
      <c r="H399" s="2286"/>
      <c r="I399" s="2286"/>
      <c r="J399" s="2286" t="s">
        <v>1373</v>
      </c>
      <c r="K399" s="2286" t="s">
        <v>2957</v>
      </c>
      <c r="L399" s="2286" t="s">
        <v>20</v>
      </c>
    </row>
    <row r="400" spans="1:12" x14ac:dyDescent="0.35">
      <c r="A400" s="2286">
        <v>756</v>
      </c>
      <c r="B400" s="2286"/>
      <c r="C400" s="2286"/>
      <c r="D400" s="2316" t="s">
        <v>1871</v>
      </c>
      <c r="E400" s="2286"/>
      <c r="F400" s="2316" t="s">
        <v>506</v>
      </c>
      <c r="G400" s="2316" t="s">
        <v>1270</v>
      </c>
      <c r="H400" s="2286"/>
      <c r="I400" s="2286"/>
      <c r="J400" s="2286" t="s">
        <v>1007</v>
      </c>
      <c r="K400" s="2286" t="s">
        <v>2957</v>
      </c>
      <c r="L400" s="2286" t="s">
        <v>20</v>
      </c>
    </row>
    <row r="401" spans="1:12" x14ac:dyDescent="0.35">
      <c r="A401" s="2286">
        <v>753</v>
      </c>
      <c r="B401" s="2286"/>
      <c r="C401" s="2286"/>
      <c r="D401" s="2316" t="s">
        <v>1872</v>
      </c>
      <c r="E401" s="2286"/>
      <c r="F401" s="2316" t="s">
        <v>506</v>
      </c>
      <c r="G401" s="2316" t="s">
        <v>1270</v>
      </c>
      <c r="H401" s="2286"/>
      <c r="I401" s="2286"/>
      <c r="J401" s="2286" t="s">
        <v>1373</v>
      </c>
      <c r="K401" s="2286" t="s">
        <v>2957</v>
      </c>
      <c r="L401" s="2286" t="s">
        <v>20</v>
      </c>
    </row>
    <row r="402" spans="1:12" x14ac:dyDescent="0.35">
      <c r="A402" s="2286">
        <v>754</v>
      </c>
      <c r="B402" s="2286"/>
      <c r="C402" s="2286"/>
      <c r="D402" s="2316" t="s">
        <v>1873</v>
      </c>
      <c r="E402" s="2286"/>
      <c r="F402" s="2316" t="s">
        <v>506</v>
      </c>
      <c r="G402" s="2316" t="s">
        <v>1270</v>
      </c>
      <c r="H402" s="2286"/>
      <c r="I402" s="2286"/>
      <c r="J402" s="2286" t="s">
        <v>1373</v>
      </c>
      <c r="K402" s="2286" t="s">
        <v>2957</v>
      </c>
      <c r="L402" s="2286" t="s">
        <v>20</v>
      </c>
    </row>
    <row r="403" spans="1:12" x14ac:dyDescent="0.35">
      <c r="A403" s="2286">
        <v>755</v>
      </c>
      <c r="B403" s="2286"/>
      <c r="C403" s="2286"/>
      <c r="D403" s="2316" t="s">
        <v>1771</v>
      </c>
      <c r="E403" s="2286"/>
      <c r="F403" s="2316" t="s">
        <v>506</v>
      </c>
      <c r="G403" s="2316" t="s">
        <v>1270</v>
      </c>
      <c r="H403" s="2286"/>
      <c r="I403" s="2286"/>
      <c r="J403" s="2286" t="s">
        <v>1007</v>
      </c>
      <c r="K403" s="2286" t="s">
        <v>2957</v>
      </c>
      <c r="L403" s="2286" t="s">
        <v>20</v>
      </c>
    </row>
    <row r="404" spans="1:12" x14ac:dyDescent="0.35">
      <c r="A404" s="2286">
        <v>731</v>
      </c>
      <c r="B404" s="2286"/>
      <c r="C404" s="2286"/>
      <c r="D404" s="2316" t="s">
        <v>1825</v>
      </c>
      <c r="E404" s="2286"/>
      <c r="F404" s="2316" t="s">
        <v>564</v>
      </c>
      <c r="G404" s="2316" t="s">
        <v>1732</v>
      </c>
      <c r="H404" s="2286"/>
      <c r="I404" s="2286"/>
      <c r="J404" s="2286" t="s">
        <v>1373</v>
      </c>
      <c r="K404" s="2286" t="s">
        <v>565</v>
      </c>
      <c r="L404" s="2286" t="s">
        <v>3034</v>
      </c>
    </row>
    <row r="405" spans="1:12" x14ac:dyDescent="0.35">
      <c r="A405" s="2286">
        <v>735</v>
      </c>
      <c r="B405" s="2286"/>
      <c r="C405" s="2286"/>
      <c r="D405" s="2316" t="s">
        <v>1826</v>
      </c>
      <c r="E405" s="2286"/>
      <c r="F405" s="2316" t="s">
        <v>564</v>
      </c>
      <c r="G405" s="2316" t="s">
        <v>1732</v>
      </c>
      <c r="H405" s="2286"/>
      <c r="I405" s="2286"/>
      <c r="J405" s="2286" t="s">
        <v>1373</v>
      </c>
      <c r="K405" s="2286" t="s">
        <v>565</v>
      </c>
      <c r="L405" s="2286" t="s">
        <v>3034</v>
      </c>
    </row>
    <row r="406" spans="1:12" x14ac:dyDescent="0.35">
      <c r="A406" s="2286">
        <v>733</v>
      </c>
      <c r="B406" s="2286"/>
      <c r="C406" s="2286"/>
      <c r="D406" s="2316" t="s">
        <v>1827</v>
      </c>
      <c r="E406" s="2286"/>
      <c r="F406" s="2316" t="s">
        <v>564</v>
      </c>
      <c r="G406" s="2316" t="s">
        <v>1732</v>
      </c>
      <c r="H406" s="2286"/>
      <c r="I406" s="2286"/>
      <c r="J406" s="2286" t="s">
        <v>1373</v>
      </c>
      <c r="K406" s="2286" t="s">
        <v>565</v>
      </c>
      <c r="L406" s="2286" t="s">
        <v>3034</v>
      </c>
    </row>
    <row r="407" spans="1:12" x14ac:dyDescent="0.35">
      <c r="A407" s="2286">
        <v>723</v>
      </c>
      <c r="B407" s="2286"/>
      <c r="C407" s="2286"/>
      <c r="D407" s="2316" t="s">
        <v>1828</v>
      </c>
      <c r="E407" s="2286"/>
      <c r="F407" s="2316" t="s">
        <v>564</v>
      </c>
      <c r="G407" s="2316" t="s">
        <v>1732</v>
      </c>
      <c r="H407" s="2286"/>
      <c r="I407" s="2286"/>
      <c r="J407" s="2286" t="s">
        <v>1373</v>
      </c>
      <c r="K407" s="2286" t="s">
        <v>565</v>
      </c>
      <c r="L407" s="2286" t="s">
        <v>3034</v>
      </c>
    </row>
    <row r="408" spans="1:12" x14ac:dyDescent="0.35">
      <c r="A408" s="2286">
        <v>725</v>
      </c>
      <c r="B408" s="2286"/>
      <c r="C408" s="2286"/>
      <c r="D408" s="2316" t="s">
        <v>1829</v>
      </c>
      <c r="E408" s="2286"/>
      <c r="F408" s="2316" t="s">
        <v>564</v>
      </c>
      <c r="G408" s="2316" t="s">
        <v>1732</v>
      </c>
      <c r="H408" s="2286"/>
      <c r="I408" s="2286"/>
      <c r="J408" s="2286" t="s">
        <v>1373</v>
      </c>
      <c r="K408" s="2286" t="s">
        <v>565</v>
      </c>
      <c r="L408" s="2286" t="s">
        <v>3034</v>
      </c>
    </row>
    <row r="409" spans="1:12" x14ac:dyDescent="0.35">
      <c r="A409" s="2286">
        <v>736</v>
      </c>
      <c r="B409" s="2286"/>
      <c r="C409" s="2286"/>
      <c r="D409" s="2316" t="s">
        <v>1823</v>
      </c>
      <c r="E409" s="2286"/>
      <c r="F409" s="2316" t="s">
        <v>564</v>
      </c>
      <c r="G409" s="2316" t="s">
        <v>1732</v>
      </c>
      <c r="H409" s="2286"/>
      <c r="I409" s="2286"/>
      <c r="J409" s="2286" t="s">
        <v>1373</v>
      </c>
      <c r="K409" s="2286" t="s">
        <v>565</v>
      </c>
      <c r="L409" s="2286" t="s">
        <v>3034</v>
      </c>
    </row>
    <row r="410" spans="1:12" x14ac:dyDescent="0.35">
      <c r="A410" s="2286">
        <v>728</v>
      </c>
      <c r="B410" s="2286"/>
      <c r="C410" s="2286"/>
      <c r="D410" s="2316" t="s">
        <v>1824</v>
      </c>
      <c r="E410" s="2286"/>
      <c r="F410" s="2316" t="s">
        <v>564</v>
      </c>
      <c r="G410" s="2316" t="s">
        <v>1732</v>
      </c>
      <c r="H410" s="2286"/>
      <c r="I410" s="2286"/>
      <c r="J410" s="2286" t="s">
        <v>1373</v>
      </c>
      <c r="K410" s="2286" t="s">
        <v>565</v>
      </c>
      <c r="L410" s="2286" t="s">
        <v>3034</v>
      </c>
    </row>
    <row r="411" spans="1:12" x14ac:dyDescent="0.35">
      <c r="A411" s="2286">
        <v>709</v>
      </c>
      <c r="B411" s="2286"/>
      <c r="C411" s="2286"/>
      <c r="D411" s="2316" t="s">
        <v>1874</v>
      </c>
      <c r="E411" s="2286"/>
      <c r="F411" s="2316" t="s">
        <v>785</v>
      </c>
      <c r="G411" s="2316" t="s">
        <v>1714</v>
      </c>
      <c r="H411" s="2286"/>
      <c r="I411" s="2286"/>
      <c r="J411" s="2286" t="s">
        <v>1373</v>
      </c>
      <c r="K411" s="2286" t="s">
        <v>3024</v>
      </c>
      <c r="L411" s="2286" t="s">
        <v>20</v>
      </c>
    </row>
    <row r="412" spans="1:12" x14ac:dyDescent="0.35">
      <c r="A412" s="2286">
        <v>769</v>
      </c>
      <c r="B412" s="2286"/>
      <c r="C412" s="2286"/>
      <c r="D412" s="2316" t="s">
        <v>1875</v>
      </c>
      <c r="E412" s="2286"/>
      <c r="F412" s="2316" t="s">
        <v>506</v>
      </c>
      <c r="G412" s="2316" t="s">
        <v>1270</v>
      </c>
      <c r="H412" s="2286"/>
      <c r="I412" s="2286"/>
      <c r="J412" s="2286" t="s">
        <v>1373</v>
      </c>
      <c r="K412" s="2286" t="s">
        <v>2957</v>
      </c>
      <c r="L412" s="2286" t="s">
        <v>20</v>
      </c>
    </row>
    <row r="413" spans="1:12" x14ac:dyDescent="0.35">
      <c r="A413" s="2286">
        <v>750</v>
      </c>
      <c r="B413" s="2286"/>
      <c r="C413" s="2286"/>
      <c r="D413" s="2316" t="s">
        <v>1876</v>
      </c>
      <c r="E413" s="2286"/>
      <c r="F413" s="2316" t="s">
        <v>306</v>
      </c>
      <c r="G413" s="2316" t="s">
        <v>1713</v>
      </c>
      <c r="H413" s="2286"/>
      <c r="I413" s="2286"/>
      <c r="J413" s="2286" t="s">
        <v>1373</v>
      </c>
      <c r="K413" s="2286" t="s">
        <v>3023</v>
      </c>
      <c r="L413" s="2286" t="s">
        <v>20</v>
      </c>
    </row>
    <row r="414" spans="1:12" x14ac:dyDescent="0.35">
      <c r="A414" s="2286">
        <v>718</v>
      </c>
      <c r="B414" s="2286"/>
      <c r="C414" s="2286"/>
      <c r="D414" s="2316" t="s">
        <v>1877</v>
      </c>
      <c r="E414" s="2286"/>
      <c r="F414" s="2316" t="s">
        <v>306</v>
      </c>
      <c r="G414" s="2316" t="s">
        <v>1713</v>
      </c>
      <c r="H414" s="2286"/>
      <c r="I414" s="2286"/>
      <c r="J414" s="2286" t="s">
        <v>1373</v>
      </c>
      <c r="K414" s="2286" t="s">
        <v>3023</v>
      </c>
      <c r="L414" s="2286" t="s">
        <v>20</v>
      </c>
    </row>
    <row r="415" spans="1:12" x14ac:dyDescent="0.35">
      <c r="A415" s="2286">
        <v>717</v>
      </c>
      <c r="B415" s="2286"/>
      <c r="C415" s="2286"/>
      <c r="D415" s="2316" t="s">
        <v>1878</v>
      </c>
      <c r="E415" s="2286"/>
      <c r="F415" s="2316" t="s">
        <v>306</v>
      </c>
      <c r="G415" s="2316" t="s">
        <v>1713</v>
      </c>
      <c r="H415" s="2286"/>
      <c r="I415" s="2286"/>
      <c r="J415" s="2286" t="s">
        <v>1373</v>
      </c>
      <c r="K415" s="2286" t="s">
        <v>3023</v>
      </c>
      <c r="L415" s="2286" t="s">
        <v>20</v>
      </c>
    </row>
    <row r="416" spans="1:12" x14ac:dyDescent="0.35">
      <c r="A416" s="2286">
        <v>790</v>
      </c>
      <c r="B416" s="2286"/>
      <c r="C416" s="2286"/>
      <c r="D416" s="2316" t="s">
        <v>1064</v>
      </c>
      <c r="E416" s="2286"/>
      <c r="F416" s="2316" t="s">
        <v>304</v>
      </c>
      <c r="G416" s="2316" t="s">
        <v>304</v>
      </c>
      <c r="H416" s="2286"/>
      <c r="I416" s="2286"/>
      <c r="J416" s="2286" t="s">
        <v>1373</v>
      </c>
      <c r="K416" s="2286" t="s">
        <v>304</v>
      </c>
      <c r="L416" s="2286" t="s">
        <v>304</v>
      </c>
    </row>
    <row r="417" spans="1:12" x14ac:dyDescent="0.35">
      <c r="A417" s="2286">
        <v>776</v>
      </c>
      <c r="B417" s="2286"/>
      <c r="C417" s="2286"/>
      <c r="D417" s="2316" t="s">
        <v>1065</v>
      </c>
      <c r="E417" s="2286"/>
      <c r="F417" s="2316" t="s">
        <v>877</v>
      </c>
      <c r="G417" s="2316" t="s">
        <v>1712</v>
      </c>
      <c r="H417" s="2286"/>
      <c r="I417" s="2286"/>
      <c r="J417" s="2286" t="s">
        <v>1373</v>
      </c>
      <c r="K417" s="2286" t="s">
        <v>3029</v>
      </c>
      <c r="L417" s="2286" t="s">
        <v>3030</v>
      </c>
    </row>
    <row r="418" spans="1:12" x14ac:dyDescent="0.35">
      <c r="A418" s="2286">
        <v>871</v>
      </c>
      <c r="B418" s="2286"/>
      <c r="C418" s="2286"/>
      <c r="D418" s="2316" t="s">
        <v>1096</v>
      </c>
      <c r="E418" s="2286"/>
      <c r="F418" s="2316" t="s">
        <v>287</v>
      </c>
      <c r="G418" s="2316" t="s">
        <v>1729</v>
      </c>
      <c r="H418" s="2286"/>
      <c r="I418" s="2286"/>
      <c r="J418" s="2286" t="s">
        <v>1373</v>
      </c>
      <c r="K418" s="2286" t="s">
        <v>3025</v>
      </c>
      <c r="L418" s="2286" t="s">
        <v>4</v>
      </c>
    </row>
    <row r="419" spans="1:12" x14ac:dyDescent="0.35">
      <c r="A419" s="2286">
        <v>872</v>
      </c>
      <c r="B419" s="2286"/>
      <c r="C419" s="2286"/>
      <c r="D419" s="2316" t="s">
        <v>1097</v>
      </c>
      <c r="E419" s="2286"/>
      <c r="F419" s="2316" t="s">
        <v>287</v>
      </c>
      <c r="G419" s="2316" t="s">
        <v>1729</v>
      </c>
      <c r="H419" s="2286"/>
      <c r="I419" s="2286"/>
      <c r="J419" s="2286" t="s">
        <v>1373</v>
      </c>
      <c r="K419" s="2286" t="s">
        <v>3025</v>
      </c>
      <c r="L419" s="2286" t="s">
        <v>4</v>
      </c>
    </row>
    <row r="420" spans="1:12" x14ac:dyDescent="0.35">
      <c r="A420" s="2286">
        <v>873</v>
      </c>
      <c r="B420" s="2286"/>
      <c r="C420" s="2286"/>
      <c r="D420" s="2316" t="s">
        <v>1098</v>
      </c>
      <c r="E420" s="2286"/>
      <c r="F420" s="2316" t="s">
        <v>287</v>
      </c>
      <c r="G420" s="2316" t="s">
        <v>1729</v>
      </c>
      <c r="H420" s="2286"/>
      <c r="I420" s="2286"/>
      <c r="J420" s="2286" t="s">
        <v>1373</v>
      </c>
      <c r="K420" s="2286" t="s">
        <v>3025</v>
      </c>
      <c r="L420" s="2286" t="s">
        <v>4</v>
      </c>
    </row>
    <row r="421" spans="1:12" x14ac:dyDescent="0.35">
      <c r="A421" s="2286">
        <v>899</v>
      </c>
      <c r="B421" s="2286"/>
      <c r="C421" s="2286"/>
      <c r="D421" s="2316" t="s">
        <v>1099</v>
      </c>
      <c r="E421" s="2286"/>
      <c r="F421" s="2316" t="s">
        <v>287</v>
      </c>
      <c r="G421" s="2316" t="s">
        <v>1729</v>
      </c>
      <c r="H421" s="2286"/>
      <c r="I421" s="2286"/>
      <c r="J421" s="2286" t="s">
        <v>1373</v>
      </c>
      <c r="K421" s="2286" t="s">
        <v>3025</v>
      </c>
      <c r="L421" s="2286" t="s">
        <v>4</v>
      </c>
    </row>
    <row r="422" spans="1:12" x14ac:dyDescent="0.35">
      <c r="A422" s="2286">
        <v>900</v>
      </c>
      <c r="B422" s="2286"/>
      <c r="C422" s="2286"/>
      <c r="D422" s="2316" t="s">
        <v>1100</v>
      </c>
      <c r="E422" s="2286"/>
      <c r="F422" s="2316" t="s">
        <v>287</v>
      </c>
      <c r="G422" s="2316" t="s">
        <v>1729</v>
      </c>
      <c r="H422" s="2286"/>
      <c r="I422" s="2286"/>
      <c r="J422" s="2286" t="s">
        <v>1373</v>
      </c>
      <c r="K422" s="2286" t="s">
        <v>3025</v>
      </c>
      <c r="L422" s="2286" t="s">
        <v>4</v>
      </c>
    </row>
    <row r="423" spans="1:12" x14ac:dyDescent="0.35">
      <c r="A423" s="2286">
        <v>901</v>
      </c>
      <c r="B423" s="2286"/>
      <c r="C423" s="2286"/>
      <c r="D423" s="2316" t="s">
        <v>1101</v>
      </c>
      <c r="E423" s="2286"/>
      <c r="F423" s="2316" t="s">
        <v>287</v>
      </c>
      <c r="G423" s="2316" t="s">
        <v>1729</v>
      </c>
      <c r="H423" s="2286"/>
      <c r="I423" s="2286"/>
      <c r="J423" s="2286" t="s">
        <v>1373</v>
      </c>
      <c r="K423" s="2286" t="s">
        <v>3025</v>
      </c>
      <c r="L423" s="2286" t="s">
        <v>4</v>
      </c>
    </row>
    <row r="424" spans="1:12" x14ac:dyDescent="0.35">
      <c r="A424" s="2286">
        <v>874</v>
      </c>
      <c r="B424" s="2286"/>
      <c r="C424" s="2286"/>
      <c r="D424" s="2316" t="s">
        <v>1102</v>
      </c>
      <c r="E424" s="2286"/>
      <c r="F424" s="2316" t="s">
        <v>287</v>
      </c>
      <c r="G424" s="2316" t="s">
        <v>1729</v>
      </c>
      <c r="H424" s="2286"/>
      <c r="I424" s="2286"/>
      <c r="J424" s="2286" t="s">
        <v>1373</v>
      </c>
      <c r="K424" s="2286" t="s">
        <v>3025</v>
      </c>
      <c r="L424" s="2286" t="s">
        <v>4</v>
      </c>
    </row>
    <row r="425" spans="1:12" x14ac:dyDescent="0.35">
      <c r="A425" s="2286">
        <v>875</v>
      </c>
      <c r="B425" s="2286"/>
      <c r="C425" s="2286"/>
      <c r="D425" s="2316" t="s">
        <v>1103</v>
      </c>
      <c r="E425" s="2286"/>
      <c r="F425" s="2316" t="s">
        <v>287</v>
      </c>
      <c r="G425" s="2316" t="s">
        <v>1729</v>
      </c>
      <c r="H425" s="2286"/>
      <c r="I425" s="2286"/>
      <c r="J425" s="2286" t="s">
        <v>1373</v>
      </c>
      <c r="K425" s="2286" t="s">
        <v>3025</v>
      </c>
      <c r="L425" s="2286" t="s">
        <v>4</v>
      </c>
    </row>
    <row r="426" spans="1:12" x14ac:dyDescent="0.35">
      <c r="A426" s="2286">
        <v>876</v>
      </c>
      <c r="B426" s="2286"/>
      <c r="C426" s="2286"/>
      <c r="D426" s="2316" t="s">
        <v>1104</v>
      </c>
      <c r="E426" s="2286"/>
      <c r="F426" s="2316" t="s">
        <v>287</v>
      </c>
      <c r="G426" s="2316" t="s">
        <v>1729</v>
      </c>
      <c r="H426" s="2286"/>
      <c r="I426" s="2286"/>
      <c r="J426" s="2286" t="s">
        <v>1373</v>
      </c>
      <c r="K426" s="2286" t="s">
        <v>3025</v>
      </c>
      <c r="L426" s="2286" t="s">
        <v>4</v>
      </c>
    </row>
    <row r="427" spans="1:12" x14ac:dyDescent="0.35">
      <c r="A427" s="2286">
        <v>902</v>
      </c>
      <c r="B427" s="2286"/>
      <c r="C427" s="2286"/>
      <c r="D427" s="2316" t="s">
        <v>1105</v>
      </c>
      <c r="E427" s="2286"/>
      <c r="F427" s="2316" t="s">
        <v>287</v>
      </c>
      <c r="G427" s="2316" t="s">
        <v>1729</v>
      </c>
      <c r="H427" s="2286"/>
      <c r="I427" s="2286"/>
      <c r="J427" s="2286" t="s">
        <v>1373</v>
      </c>
      <c r="K427" s="2286" t="s">
        <v>3025</v>
      </c>
      <c r="L427" s="2286" t="s">
        <v>4</v>
      </c>
    </row>
    <row r="428" spans="1:12" x14ac:dyDescent="0.35">
      <c r="A428" s="2286">
        <v>903</v>
      </c>
      <c r="B428" s="2286"/>
      <c r="C428" s="2286"/>
      <c r="D428" s="2316" t="s">
        <v>1106</v>
      </c>
      <c r="E428" s="2286"/>
      <c r="F428" s="2316" t="s">
        <v>287</v>
      </c>
      <c r="G428" s="2316" t="s">
        <v>1729</v>
      </c>
      <c r="H428" s="2286"/>
      <c r="I428" s="2286"/>
      <c r="J428" s="2286" t="s">
        <v>1373</v>
      </c>
      <c r="K428" s="2286" t="s">
        <v>3025</v>
      </c>
      <c r="L428" s="2286" t="s">
        <v>4</v>
      </c>
    </row>
    <row r="429" spans="1:12" x14ac:dyDescent="0.35">
      <c r="A429" s="2286">
        <v>904</v>
      </c>
      <c r="B429" s="2286"/>
      <c r="C429" s="2286"/>
      <c r="D429" s="2316" t="s">
        <v>1107</v>
      </c>
      <c r="E429" s="2286"/>
      <c r="F429" s="2316" t="s">
        <v>287</v>
      </c>
      <c r="G429" s="2316" t="s">
        <v>1729</v>
      </c>
      <c r="H429" s="2286"/>
      <c r="I429" s="2286"/>
      <c r="J429" s="2286" t="s">
        <v>1373</v>
      </c>
      <c r="K429" s="2286" t="s">
        <v>3025</v>
      </c>
      <c r="L429" s="2286" t="s">
        <v>4</v>
      </c>
    </row>
    <row r="430" spans="1:12" x14ac:dyDescent="0.35">
      <c r="A430" s="2286">
        <v>865</v>
      </c>
      <c r="B430" s="2286"/>
      <c r="C430" s="2286"/>
      <c r="D430" s="2316" t="s">
        <v>1108</v>
      </c>
      <c r="E430" s="2286"/>
      <c r="F430" s="2316" t="s">
        <v>287</v>
      </c>
      <c r="G430" s="2316" t="s">
        <v>1729</v>
      </c>
      <c r="H430" s="2286"/>
      <c r="I430" s="2286"/>
      <c r="J430" s="2286" t="s">
        <v>1373</v>
      </c>
      <c r="K430" s="2286" t="s">
        <v>3025</v>
      </c>
      <c r="L430" s="2286" t="s">
        <v>4</v>
      </c>
    </row>
    <row r="431" spans="1:12" x14ac:dyDescent="0.35">
      <c r="A431" s="2286">
        <v>866</v>
      </c>
      <c r="B431" s="2286"/>
      <c r="C431" s="2286"/>
      <c r="D431" s="2316" t="s">
        <v>1109</v>
      </c>
      <c r="E431" s="2286"/>
      <c r="F431" s="2316" t="s">
        <v>287</v>
      </c>
      <c r="G431" s="2316" t="s">
        <v>1729</v>
      </c>
      <c r="H431" s="2286"/>
      <c r="I431" s="2286"/>
      <c r="J431" s="2286" t="s">
        <v>1373</v>
      </c>
      <c r="K431" s="2286" t="s">
        <v>3025</v>
      </c>
      <c r="L431" s="2286" t="s">
        <v>4</v>
      </c>
    </row>
    <row r="432" spans="1:12" x14ac:dyDescent="0.35">
      <c r="A432" s="2286">
        <v>867</v>
      </c>
      <c r="B432" s="2286"/>
      <c r="C432" s="2286"/>
      <c r="D432" s="2316" t="s">
        <v>1110</v>
      </c>
      <c r="E432" s="2286"/>
      <c r="F432" s="2316" t="s">
        <v>287</v>
      </c>
      <c r="G432" s="2316" t="s">
        <v>1729</v>
      </c>
      <c r="H432" s="2286"/>
      <c r="I432" s="2286"/>
      <c r="J432" s="2286" t="s">
        <v>1373</v>
      </c>
      <c r="K432" s="2286" t="s">
        <v>3025</v>
      </c>
      <c r="L432" s="2286" t="s">
        <v>4</v>
      </c>
    </row>
    <row r="433" spans="1:12" x14ac:dyDescent="0.35">
      <c r="A433" s="2286">
        <v>893</v>
      </c>
      <c r="B433" s="2286"/>
      <c r="C433" s="2286"/>
      <c r="D433" s="2316" t="s">
        <v>1111</v>
      </c>
      <c r="E433" s="2286"/>
      <c r="F433" s="2316" t="s">
        <v>287</v>
      </c>
      <c r="G433" s="2316" t="s">
        <v>1729</v>
      </c>
      <c r="H433" s="2286"/>
      <c r="I433" s="2286"/>
      <c r="J433" s="2286" t="s">
        <v>1373</v>
      </c>
      <c r="K433" s="2286" t="s">
        <v>3025</v>
      </c>
      <c r="L433" s="2286" t="s">
        <v>4</v>
      </c>
    </row>
    <row r="434" spans="1:12" x14ac:dyDescent="0.35">
      <c r="A434" s="2286">
        <v>894</v>
      </c>
      <c r="B434" s="2286"/>
      <c r="C434" s="2286"/>
      <c r="D434" s="2316" t="s">
        <v>1112</v>
      </c>
      <c r="E434" s="2286"/>
      <c r="F434" s="2316" t="s">
        <v>287</v>
      </c>
      <c r="G434" s="2316" t="s">
        <v>1729</v>
      </c>
      <c r="H434" s="2286"/>
      <c r="I434" s="2286"/>
      <c r="J434" s="2286" t="s">
        <v>1373</v>
      </c>
      <c r="K434" s="2286" t="s">
        <v>3025</v>
      </c>
      <c r="L434" s="2286" t="s">
        <v>4</v>
      </c>
    </row>
    <row r="435" spans="1:12" x14ac:dyDescent="0.35">
      <c r="A435" s="2286">
        <v>895</v>
      </c>
      <c r="B435" s="2286"/>
      <c r="C435" s="2286"/>
      <c r="D435" s="2316" t="s">
        <v>1113</v>
      </c>
      <c r="E435" s="2286"/>
      <c r="F435" s="2316" t="s">
        <v>287</v>
      </c>
      <c r="G435" s="2316" t="s">
        <v>1729</v>
      </c>
      <c r="H435" s="2286"/>
      <c r="I435" s="2286"/>
      <c r="J435" s="2286" t="s">
        <v>1373</v>
      </c>
      <c r="K435" s="2286" t="s">
        <v>3025</v>
      </c>
      <c r="L435" s="2286" t="s">
        <v>4</v>
      </c>
    </row>
    <row r="436" spans="1:12" x14ac:dyDescent="0.35">
      <c r="A436" s="2286">
        <v>868</v>
      </c>
      <c r="B436" s="2286"/>
      <c r="C436" s="2286"/>
      <c r="D436" s="2316" t="s">
        <v>1114</v>
      </c>
      <c r="E436" s="2286"/>
      <c r="F436" s="2316" t="s">
        <v>287</v>
      </c>
      <c r="G436" s="2316" t="s">
        <v>1729</v>
      </c>
      <c r="H436" s="2286"/>
      <c r="I436" s="2286"/>
      <c r="J436" s="2286" t="s">
        <v>1373</v>
      </c>
      <c r="K436" s="2286" t="s">
        <v>3025</v>
      </c>
      <c r="L436" s="2286" t="s">
        <v>4</v>
      </c>
    </row>
    <row r="437" spans="1:12" x14ac:dyDescent="0.35">
      <c r="A437" s="2286">
        <v>869</v>
      </c>
      <c r="B437" s="2286"/>
      <c r="C437" s="2286"/>
      <c r="D437" s="2316" t="s">
        <v>1115</v>
      </c>
      <c r="E437" s="2286"/>
      <c r="F437" s="2316" t="s">
        <v>287</v>
      </c>
      <c r="G437" s="2316" t="s">
        <v>1729</v>
      </c>
      <c r="H437" s="2286"/>
      <c r="I437" s="2286"/>
      <c r="J437" s="2286" t="s">
        <v>1373</v>
      </c>
      <c r="K437" s="2286" t="s">
        <v>3025</v>
      </c>
      <c r="L437" s="2286" t="s">
        <v>4</v>
      </c>
    </row>
    <row r="438" spans="1:12" x14ac:dyDescent="0.35">
      <c r="A438" s="2286">
        <v>870</v>
      </c>
      <c r="B438" s="2286"/>
      <c r="C438" s="2286"/>
      <c r="D438" s="2316" t="s">
        <v>1116</v>
      </c>
      <c r="E438" s="2286"/>
      <c r="F438" s="2316" t="s">
        <v>287</v>
      </c>
      <c r="G438" s="2316" t="s">
        <v>1729</v>
      </c>
      <c r="H438" s="2286"/>
      <c r="I438" s="2286"/>
      <c r="J438" s="2286" t="s">
        <v>1373</v>
      </c>
      <c r="K438" s="2286" t="s">
        <v>3025</v>
      </c>
      <c r="L438" s="2286" t="s">
        <v>4</v>
      </c>
    </row>
    <row r="439" spans="1:12" x14ac:dyDescent="0.35">
      <c r="A439" s="2286">
        <v>896</v>
      </c>
      <c r="B439" s="2286"/>
      <c r="C439" s="2286"/>
      <c r="D439" s="2316" t="s">
        <v>1117</v>
      </c>
      <c r="E439" s="2286"/>
      <c r="F439" s="2316" t="s">
        <v>287</v>
      </c>
      <c r="G439" s="2316" t="s">
        <v>1729</v>
      </c>
      <c r="H439" s="2286"/>
      <c r="I439" s="2286"/>
      <c r="J439" s="2286" t="s">
        <v>1373</v>
      </c>
      <c r="K439" s="2286" t="s">
        <v>3025</v>
      </c>
      <c r="L439" s="2286" t="s">
        <v>4</v>
      </c>
    </row>
    <row r="440" spans="1:12" x14ac:dyDescent="0.35">
      <c r="A440" s="2286">
        <v>897</v>
      </c>
      <c r="B440" s="2286"/>
      <c r="C440" s="2286"/>
      <c r="D440" s="2316" t="s">
        <v>1118</v>
      </c>
      <c r="E440" s="2286"/>
      <c r="F440" s="2316" t="s">
        <v>287</v>
      </c>
      <c r="G440" s="2316" t="s">
        <v>1729</v>
      </c>
      <c r="H440" s="2286"/>
      <c r="I440" s="2286"/>
      <c r="J440" s="2286" t="s">
        <v>1373</v>
      </c>
      <c r="K440" s="2286" t="s">
        <v>3025</v>
      </c>
      <c r="L440" s="2286" t="s">
        <v>4</v>
      </c>
    </row>
    <row r="441" spans="1:12" x14ac:dyDescent="0.35">
      <c r="A441" s="2286">
        <v>898</v>
      </c>
      <c r="B441" s="2286"/>
      <c r="C441" s="2286"/>
      <c r="D441" s="2316" t="s">
        <v>1119</v>
      </c>
      <c r="E441" s="2286"/>
      <c r="F441" s="2316" t="s">
        <v>287</v>
      </c>
      <c r="G441" s="2316" t="s">
        <v>1729</v>
      </c>
      <c r="H441" s="2286"/>
      <c r="I441" s="2286"/>
      <c r="J441" s="2286" t="s">
        <v>1373</v>
      </c>
      <c r="K441" s="2286" t="s">
        <v>3025</v>
      </c>
      <c r="L441" s="2286" t="s">
        <v>4</v>
      </c>
    </row>
    <row r="442" spans="1:12" x14ac:dyDescent="0.35">
      <c r="A442" s="2286">
        <v>383</v>
      </c>
      <c r="B442" s="2286"/>
      <c r="C442" s="2286"/>
      <c r="D442" s="2316" t="s">
        <v>1060</v>
      </c>
      <c r="E442" s="2286"/>
      <c r="F442" s="2316" t="s">
        <v>304</v>
      </c>
      <c r="G442" s="2316" t="s">
        <v>304</v>
      </c>
      <c r="H442" s="2286"/>
      <c r="I442" s="2286"/>
      <c r="J442" s="2286" t="s">
        <v>1373</v>
      </c>
      <c r="K442" s="2286" t="s">
        <v>304</v>
      </c>
      <c r="L442" s="2286" t="s">
        <v>4</v>
      </c>
    </row>
    <row r="443" spans="1:12" x14ac:dyDescent="0.35">
      <c r="A443" s="2286">
        <v>384</v>
      </c>
      <c r="B443" s="2286"/>
      <c r="C443" s="2286"/>
      <c r="D443" s="2316" t="s">
        <v>1061</v>
      </c>
      <c r="E443" s="2286"/>
      <c r="F443" s="2316" t="s">
        <v>304</v>
      </c>
      <c r="G443" s="2316" t="s">
        <v>304</v>
      </c>
      <c r="H443" s="2286"/>
      <c r="I443" s="2286"/>
      <c r="J443" s="2286" t="s">
        <v>1373</v>
      </c>
      <c r="K443" s="2286" t="s">
        <v>304</v>
      </c>
      <c r="L443" s="2286" t="s">
        <v>4</v>
      </c>
    </row>
    <row r="444" spans="1:12" x14ac:dyDescent="0.35">
      <c r="A444" s="2286">
        <v>385</v>
      </c>
      <c r="B444" s="2286"/>
      <c r="C444" s="2286"/>
      <c r="D444" s="2316" t="s">
        <v>1062</v>
      </c>
      <c r="E444" s="2286"/>
      <c r="F444" s="2316" t="s">
        <v>304</v>
      </c>
      <c r="G444" s="2316" t="s">
        <v>304</v>
      </c>
      <c r="H444" s="2286"/>
      <c r="I444" s="2286"/>
      <c r="J444" s="2286" t="s">
        <v>1373</v>
      </c>
      <c r="K444" s="2286" t="s">
        <v>304</v>
      </c>
      <c r="L444" s="2286" t="s">
        <v>4</v>
      </c>
    </row>
    <row r="445" spans="1:12" x14ac:dyDescent="0.35">
      <c r="A445" s="2286">
        <v>386</v>
      </c>
      <c r="B445" s="2286"/>
      <c r="C445" s="2286"/>
      <c r="D445" s="2316" t="s">
        <v>1063</v>
      </c>
      <c r="E445" s="2286"/>
      <c r="F445" s="2316" t="s">
        <v>304</v>
      </c>
      <c r="G445" s="2316" t="s">
        <v>304</v>
      </c>
      <c r="H445" s="2286"/>
      <c r="I445" s="2286"/>
      <c r="J445" s="2286" t="s">
        <v>1373</v>
      </c>
      <c r="K445" s="2286" t="s">
        <v>304</v>
      </c>
      <c r="L445" s="2286" t="s">
        <v>4</v>
      </c>
    </row>
    <row r="446" spans="1:12" x14ac:dyDescent="0.35">
      <c r="A446" s="2286">
        <v>9</v>
      </c>
      <c r="B446" s="2286"/>
      <c r="C446" s="2286"/>
      <c r="D446" s="2316" t="s">
        <v>1095</v>
      </c>
      <c r="E446" s="2286"/>
      <c r="F446" s="2316" t="s">
        <v>304</v>
      </c>
      <c r="G446" s="2316" t="s">
        <v>304</v>
      </c>
      <c r="H446" s="2286"/>
      <c r="I446" s="2286"/>
      <c r="J446" s="2286" t="s">
        <v>1373</v>
      </c>
      <c r="K446" s="2286" t="s">
        <v>304</v>
      </c>
      <c r="L446" s="2286" t="s">
        <v>4</v>
      </c>
    </row>
    <row r="447" spans="1:12" x14ac:dyDescent="0.35">
      <c r="A447" s="2286">
        <v>14</v>
      </c>
      <c r="B447" s="2286"/>
      <c r="C447" s="2286"/>
      <c r="D447" s="2316" t="s">
        <v>267</v>
      </c>
      <c r="E447" s="2286"/>
      <c r="F447" s="2316" t="s">
        <v>304</v>
      </c>
      <c r="G447" s="2316" t="s">
        <v>304</v>
      </c>
      <c r="H447" s="2286"/>
      <c r="I447" s="2286"/>
      <c r="J447" s="2286" t="s">
        <v>1373</v>
      </c>
      <c r="K447" s="2286" t="s">
        <v>304</v>
      </c>
      <c r="L447" s="2286" t="s">
        <v>304</v>
      </c>
    </row>
    <row r="448" spans="1:12" x14ac:dyDescent="0.35">
      <c r="A448" s="2286">
        <v>15</v>
      </c>
      <c r="B448" s="2286"/>
      <c r="C448" s="2286"/>
      <c r="D448" s="2316" t="s">
        <v>268</v>
      </c>
      <c r="E448" s="2286"/>
      <c r="F448" s="2316" t="s">
        <v>304</v>
      </c>
      <c r="G448" s="2316" t="s">
        <v>304</v>
      </c>
      <c r="H448" s="2286"/>
      <c r="I448" s="2286"/>
      <c r="J448" s="2286" t="s">
        <v>1374</v>
      </c>
      <c r="K448" s="2286" t="s">
        <v>304</v>
      </c>
      <c r="L448" s="2286" t="s">
        <v>304</v>
      </c>
    </row>
    <row r="449" spans="1:12" x14ac:dyDescent="0.35">
      <c r="A449" s="2286">
        <v>11</v>
      </c>
      <c r="B449" s="2286"/>
      <c r="C449" s="2286"/>
      <c r="D449" s="2316" t="s">
        <v>1026</v>
      </c>
      <c r="E449" s="2286"/>
      <c r="F449" s="2316" t="s">
        <v>304</v>
      </c>
      <c r="G449" s="2316" t="s">
        <v>304</v>
      </c>
      <c r="H449" s="2286"/>
      <c r="I449" s="2286"/>
      <c r="J449" s="2286" t="s">
        <v>304</v>
      </c>
      <c r="K449" s="2286" t="s">
        <v>304</v>
      </c>
      <c r="L449" s="2286" t="s">
        <v>304</v>
      </c>
    </row>
    <row r="450" spans="1:12" x14ac:dyDescent="0.35">
      <c r="A450" s="2286">
        <v>12</v>
      </c>
      <c r="B450" s="2286"/>
      <c r="C450" s="2286"/>
      <c r="D450" s="2316" t="s">
        <v>1027</v>
      </c>
      <c r="E450" s="2286"/>
      <c r="F450" s="2316" t="s">
        <v>304</v>
      </c>
      <c r="G450" s="2316" t="s">
        <v>304</v>
      </c>
      <c r="H450" s="2286"/>
      <c r="I450" s="2286"/>
      <c r="J450" s="2286" t="s">
        <v>304</v>
      </c>
      <c r="K450" s="2286" t="s">
        <v>304</v>
      </c>
      <c r="L450" s="2286" t="s">
        <v>304</v>
      </c>
    </row>
    <row r="451" spans="1:12" x14ac:dyDescent="0.35">
      <c r="A451" s="2286">
        <v>13</v>
      </c>
      <c r="B451" s="2286"/>
      <c r="C451" s="2286"/>
      <c r="D451" s="2316" t="s">
        <v>1028</v>
      </c>
      <c r="E451" s="2286"/>
      <c r="F451" s="2316" t="s">
        <v>304</v>
      </c>
      <c r="G451" s="2316" t="s">
        <v>304</v>
      </c>
      <c r="H451" s="2286"/>
      <c r="I451" s="2286"/>
      <c r="J451" s="2286" t="s">
        <v>304</v>
      </c>
      <c r="K451" s="2286" t="s">
        <v>304</v>
      </c>
      <c r="L451" s="2286" t="s">
        <v>304</v>
      </c>
    </row>
    <row r="452" spans="1:12" x14ac:dyDescent="0.35">
      <c r="A452" s="2286">
        <v>10</v>
      </c>
      <c r="B452" s="2286"/>
      <c r="C452" s="2286"/>
      <c r="D452" s="2316" t="s">
        <v>1083</v>
      </c>
      <c r="E452" s="2286"/>
      <c r="F452" s="2316" t="s">
        <v>304</v>
      </c>
      <c r="G452" s="2316" t="s">
        <v>304</v>
      </c>
      <c r="H452" s="2286"/>
      <c r="I452" s="2286"/>
      <c r="J452" s="2286" t="s">
        <v>304</v>
      </c>
      <c r="K452" s="2286" t="s">
        <v>304</v>
      </c>
      <c r="L452" s="2286" t="s">
        <v>304</v>
      </c>
    </row>
    <row r="453" spans="1:12" x14ac:dyDescent="0.35">
      <c r="A453" s="2286">
        <v>16</v>
      </c>
      <c r="B453" s="2286"/>
      <c r="C453" s="2286"/>
      <c r="D453" s="2316" t="s">
        <v>1085</v>
      </c>
      <c r="E453" s="2286"/>
      <c r="F453" s="2316" t="s">
        <v>304</v>
      </c>
      <c r="G453" s="2316" t="s">
        <v>304</v>
      </c>
      <c r="H453" s="2286"/>
      <c r="I453" s="2286"/>
      <c r="J453" s="2286" t="s">
        <v>304</v>
      </c>
      <c r="K453" s="2286" t="s">
        <v>304</v>
      </c>
      <c r="L453" s="2286" t="s">
        <v>304</v>
      </c>
    </row>
    <row r="454" spans="1:12" x14ac:dyDescent="0.35">
      <c r="A454" s="2286">
        <v>17</v>
      </c>
      <c r="B454" s="2286"/>
      <c r="C454" s="2286"/>
      <c r="D454" s="2316" t="s">
        <v>1086</v>
      </c>
      <c r="E454" s="2286"/>
      <c r="F454" s="2316" t="s">
        <v>304</v>
      </c>
      <c r="G454" s="2316" t="s">
        <v>304</v>
      </c>
      <c r="H454" s="2286"/>
      <c r="I454" s="2286"/>
      <c r="J454" s="2286" t="s">
        <v>304</v>
      </c>
      <c r="K454" s="2286" t="s">
        <v>304</v>
      </c>
      <c r="L454" s="2286" t="s">
        <v>304</v>
      </c>
    </row>
    <row r="455" spans="1:12" x14ac:dyDescent="0.35">
      <c r="A455" s="2286">
        <v>18</v>
      </c>
      <c r="B455" s="2286"/>
      <c r="C455" s="2286"/>
      <c r="D455" s="2316" t="s">
        <v>1087</v>
      </c>
      <c r="E455" s="2286"/>
      <c r="F455" s="2316" t="s">
        <v>304</v>
      </c>
      <c r="G455" s="2316" t="s">
        <v>304</v>
      </c>
      <c r="H455" s="2286"/>
      <c r="I455" s="2286"/>
      <c r="J455" s="2286" t="s">
        <v>304</v>
      </c>
      <c r="K455" s="2286" t="s">
        <v>304</v>
      </c>
      <c r="L455" s="2286" t="s">
        <v>304</v>
      </c>
    </row>
    <row r="456" spans="1:12" x14ac:dyDescent="0.35">
      <c r="A456" s="2286">
        <v>19</v>
      </c>
      <c r="B456" s="2286"/>
      <c r="C456" s="2286"/>
      <c r="D456" s="2316" t="s">
        <v>1088</v>
      </c>
      <c r="E456" s="2286"/>
      <c r="F456" s="2316" t="s">
        <v>304</v>
      </c>
      <c r="G456" s="2316" t="s">
        <v>304</v>
      </c>
      <c r="H456" s="2286"/>
      <c r="I456" s="2286"/>
      <c r="J456" s="2286" t="s">
        <v>304</v>
      </c>
      <c r="K456" s="2286" t="s">
        <v>304</v>
      </c>
      <c r="L456" s="2286" t="s">
        <v>304</v>
      </c>
    </row>
    <row r="457" spans="1:12" x14ac:dyDescent="0.35">
      <c r="A457" s="2286">
        <v>24</v>
      </c>
      <c r="B457" s="2286"/>
      <c r="C457" s="2286"/>
      <c r="D457" s="2316" t="s">
        <v>269</v>
      </c>
      <c r="E457" s="2286" t="s">
        <v>304</v>
      </c>
      <c r="F457" s="2316" t="s">
        <v>304</v>
      </c>
      <c r="G457" s="2316" t="s">
        <v>304</v>
      </c>
      <c r="H457" s="2286" t="s">
        <v>304</v>
      </c>
      <c r="I457" s="2286" t="s">
        <v>304</v>
      </c>
      <c r="J457" s="2286" t="s">
        <v>304</v>
      </c>
      <c r="K457" s="2286" t="s">
        <v>304</v>
      </c>
      <c r="L457" s="2286" t="s">
        <v>304</v>
      </c>
    </row>
    <row r="458" spans="1:12" x14ac:dyDescent="0.35">
      <c r="A458" s="2286">
        <v>25</v>
      </c>
      <c r="B458" s="2286"/>
      <c r="C458" s="2286"/>
      <c r="D458" s="2316" t="s">
        <v>270</v>
      </c>
      <c r="E458" s="2286" t="s">
        <v>304</v>
      </c>
      <c r="F458" s="2316" t="s">
        <v>304</v>
      </c>
      <c r="G458" s="2316" t="s">
        <v>304</v>
      </c>
      <c r="H458" s="2286" t="s">
        <v>304</v>
      </c>
      <c r="I458" s="2286" t="s">
        <v>304</v>
      </c>
      <c r="J458" s="2286" t="s">
        <v>304</v>
      </c>
      <c r="K458" s="2286" t="s">
        <v>304</v>
      </c>
      <c r="L458" s="2286" t="s">
        <v>304</v>
      </c>
    </row>
    <row r="459" spans="1:12" x14ac:dyDescent="0.35">
      <c r="A459" s="2286">
        <v>21</v>
      </c>
      <c r="B459" s="2286"/>
      <c r="C459" s="2286"/>
      <c r="D459" s="2316" t="s">
        <v>1029</v>
      </c>
      <c r="E459" s="2286" t="s">
        <v>304</v>
      </c>
      <c r="F459" s="2316" t="s">
        <v>304</v>
      </c>
      <c r="G459" s="2316" t="s">
        <v>304</v>
      </c>
      <c r="H459" s="2286" t="s">
        <v>304</v>
      </c>
      <c r="I459" s="2286" t="s">
        <v>304</v>
      </c>
      <c r="J459" s="2286" t="s">
        <v>304</v>
      </c>
      <c r="K459" s="2286" t="s">
        <v>304</v>
      </c>
      <c r="L459" s="2286" t="s">
        <v>304</v>
      </c>
    </row>
    <row r="460" spans="1:12" x14ac:dyDescent="0.35">
      <c r="A460" s="2286">
        <v>22</v>
      </c>
      <c r="B460" s="2286"/>
      <c r="C460" s="2286"/>
      <c r="D460" s="2316" t="s">
        <v>1030</v>
      </c>
      <c r="E460" s="2286" t="s">
        <v>304</v>
      </c>
      <c r="F460" s="2316" t="s">
        <v>304</v>
      </c>
      <c r="G460" s="2316" t="s">
        <v>304</v>
      </c>
      <c r="H460" s="2286" t="s">
        <v>304</v>
      </c>
      <c r="I460" s="2286" t="s">
        <v>304</v>
      </c>
      <c r="J460" s="2286" t="s">
        <v>304</v>
      </c>
      <c r="K460" s="2286" t="s">
        <v>304</v>
      </c>
      <c r="L460" s="2286" t="s">
        <v>304</v>
      </c>
    </row>
    <row r="461" spans="1:12" x14ac:dyDescent="0.35">
      <c r="A461" s="2286">
        <v>23</v>
      </c>
      <c r="B461" s="2286"/>
      <c r="C461" s="2286"/>
      <c r="D461" s="2316" t="s">
        <v>1031</v>
      </c>
      <c r="E461" s="2286" t="s">
        <v>304</v>
      </c>
      <c r="F461" s="2316" t="s">
        <v>304</v>
      </c>
      <c r="G461" s="2316" t="s">
        <v>304</v>
      </c>
      <c r="H461" s="2286" t="s">
        <v>304</v>
      </c>
      <c r="I461" s="2286" t="s">
        <v>304</v>
      </c>
      <c r="J461" s="2286" t="s">
        <v>304</v>
      </c>
      <c r="K461" s="2286" t="s">
        <v>304</v>
      </c>
      <c r="L461" s="2286" t="s">
        <v>304</v>
      </c>
    </row>
    <row r="462" spans="1:12" x14ac:dyDescent="0.35">
      <c r="A462" s="2286">
        <v>20</v>
      </c>
      <c r="B462" s="2286"/>
      <c r="C462" s="2286"/>
      <c r="D462" s="2316" t="s">
        <v>1089</v>
      </c>
      <c r="E462" s="2286" t="s">
        <v>304</v>
      </c>
      <c r="F462" s="2316" t="s">
        <v>304</v>
      </c>
      <c r="G462" s="2316" t="s">
        <v>304</v>
      </c>
      <c r="H462" s="2286" t="s">
        <v>304</v>
      </c>
      <c r="I462" s="2286" t="s">
        <v>304</v>
      </c>
      <c r="J462" s="2286" t="s">
        <v>304</v>
      </c>
      <c r="K462" s="2286" t="s">
        <v>304</v>
      </c>
      <c r="L462" s="2286" t="s">
        <v>304</v>
      </c>
    </row>
    <row r="463" spans="1:12" x14ac:dyDescent="0.35">
      <c r="A463" s="2286">
        <v>26</v>
      </c>
      <c r="B463" s="2286"/>
      <c r="C463" s="2286"/>
      <c r="D463" s="2316" t="s">
        <v>1091</v>
      </c>
      <c r="E463" s="2286" t="s">
        <v>304</v>
      </c>
      <c r="F463" s="2316" t="s">
        <v>304</v>
      </c>
      <c r="G463" s="2316" t="s">
        <v>304</v>
      </c>
      <c r="H463" s="2286" t="s">
        <v>304</v>
      </c>
      <c r="I463" s="2286" t="s">
        <v>304</v>
      </c>
      <c r="J463" s="2286" t="s">
        <v>304</v>
      </c>
      <c r="K463" s="2286" t="s">
        <v>304</v>
      </c>
      <c r="L463" s="2286" t="s">
        <v>304</v>
      </c>
    </row>
    <row r="464" spans="1:12" x14ac:dyDescent="0.35">
      <c r="A464" s="2286">
        <v>27</v>
      </c>
      <c r="B464" s="2286"/>
      <c r="C464" s="2286"/>
      <c r="D464" s="2316" t="s">
        <v>1092</v>
      </c>
      <c r="E464" s="2286" t="s">
        <v>304</v>
      </c>
      <c r="F464" s="2316" t="s">
        <v>304</v>
      </c>
      <c r="G464" s="2316" t="s">
        <v>304</v>
      </c>
      <c r="H464" s="2286" t="s">
        <v>304</v>
      </c>
      <c r="I464" s="2286" t="s">
        <v>304</v>
      </c>
      <c r="J464" s="2286" t="s">
        <v>304</v>
      </c>
      <c r="K464" s="2286" t="s">
        <v>304</v>
      </c>
      <c r="L464" s="2286" t="s">
        <v>304</v>
      </c>
    </row>
    <row r="465" spans="1:12" x14ac:dyDescent="0.35">
      <c r="A465" s="2286">
        <v>28</v>
      </c>
      <c r="B465" s="2286"/>
      <c r="C465" s="2286"/>
      <c r="D465" s="2316" t="s">
        <v>1093</v>
      </c>
      <c r="E465" s="2286" t="s">
        <v>304</v>
      </c>
      <c r="F465" s="2316" t="s">
        <v>304</v>
      </c>
      <c r="G465" s="2316" t="s">
        <v>304</v>
      </c>
      <c r="H465" s="2286" t="s">
        <v>304</v>
      </c>
      <c r="I465" s="2286" t="s">
        <v>304</v>
      </c>
      <c r="J465" s="2286" t="s">
        <v>304</v>
      </c>
      <c r="K465" s="2286" t="s">
        <v>304</v>
      </c>
      <c r="L465" s="2286" t="s">
        <v>304</v>
      </c>
    </row>
    <row r="466" spans="1:12" x14ac:dyDescent="0.35">
      <c r="A466" s="2286">
        <v>29</v>
      </c>
      <c r="B466" s="2286"/>
      <c r="C466" s="2286"/>
      <c r="D466" s="2316" t="s">
        <v>1094</v>
      </c>
      <c r="E466" s="2286" t="s">
        <v>304</v>
      </c>
      <c r="F466" s="2316" t="s">
        <v>304</v>
      </c>
      <c r="G466" s="2316" t="s">
        <v>304</v>
      </c>
      <c r="H466" s="2286" t="s">
        <v>304</v>
      </c>
      <c r="I466" s="2286" t="s">
        <v>304</v>
      </c>
      <c r="J466" s="2286" t="s">
        <v>304</v>
      </c>
      <c r="K466" s="2286" t="s">
        <v>304</v>
      </c>
      <c r="L466" s="2286" t="s">
        <v>304</v>
      </c>
    </row>
    <row r="467" spans="1:12" x14ac:dyDescent="0.35">
      <c r="A467" s="2286">
        <v>116</v>
      </c>
      <c r="B467" s="2286"/>
      <c r="C467" s="2286"/>
      <c r="D467" s="2316" t="s">
        <v>88</v>
      </c>
      <c r="E467" s="2286"/>
      <c r="F467" s="2316" t="s">
        <v>3054</v>
      </c>
      <c r="G467" s="2316" t="s">
        <v>3055</v>
      </c>
      <c r="H467" s="2286"/>
      <c r="I467" s="2286"/>
      <c r="J467" s="2286" t="s">
        <v>1373</v>
      </c>
      <c r="K467" s="2286" t="s">
        <v>3056</v>
      </c>
      <c r="L467" s="2286" t="s">
        <v>4</v>
      </c>
    </row>
    <row r="468" spans="1:12" x14ac:dyDescent="0.35">
      <c r="A468" s="2286">
        <v>435</v>
      </c>
      <c r="B468" s="2286"/>
      <c r="C468" s="2286"/>
      <c r="D468" s="2316" t="s">
        <v>88</v>
      </c>
      <c r="E468" s="2286"/>
      <c r="F468" s="2316" t="s">
        <v>3054</v>
      </c>
      <c r="G468" s="2316" t="s">
        <v>3055</v>
      </c>
      <c r="H468" s="2286"/>
      <c r="I468" s="2286"/>
      <c r="J468" s="2286" t="s">
        <v>1373</v>
      </c>
      <c r="K468" s="2286" t="s">
        <v>3056</v>
      </c>
      <c r="L468" s="2286" t="s">
        <v>4</v>
      </c>
    </row>
    <row r="469" spans="1:12" x14ac:dyDescent="0.35">
      <c r="A469" s="2286">
        <v>248</v>
      </c>
      <c r="B469" s="2286"/>
      <c r="C469" s="2286"/>
      <c r="D469" s="2316" t="s">
        <v>88</v>
      </c>
      <c r="E469" s="2286"/>
      <c r="F469" s="2316" t="s">
        <v>3054</v>
      </c>
      <c r="G469" s="2316" t="s">
        <v>3055</v>
      </c>
      <c r="H469" s="2286"/>
      <c r="I469" s="2286"/>
      <c r="J469" s="2286" t="s">
        <v>1373</v>
      </c>
      <c r="K469" s="2286" t="s">
        <v>3056</v>
      </c>
      <c r="L469" s="2286" t="s">
        <v>4</v>
      </c>
    </row>
    <row r="470" spans="1:12" x14ac:dyDescent="0.35">
      <c r="A470" s="2286">
        <v>117</v>
      </c>
      <c r="B470" s="2286"/>
      <c r="C470" s="2286"/>
      <c r="D470" s="2316" t="s">
        <v>159</v>
      </c>
      <c r="E470" s="2286"/>
      <c r="F470" s="2316" t="s">
        <v>3054</v>
      </c>
      <c r="G470" s="2316" t="s">
        <v>3055</v>
      </c>
      <c r="H470" s="2286"/>
      <c r="I470" s="2286"/>
      <c r="J470" s="2286" t="s">
        <v>1373</v>
      </c>
      <c r="K470" s="2286" t="s">
        <v>3056</v>
      </c>
      <c r="L470" s="2286" t="s">
        <v>4</v>
      </c>
    </row>
    <row r="471" spans="1:12" x14ac:dyDescent="0.35">
      <c r="A471" s="2286">
        <v>47</v>
      </c>
      <c r="B471" s="2286"/>
      <c r="C471" s="2286"/>
      <c r="D471" s="2316" t="s">
        <v>1021</v>
      </c>
      <c r="E471" s="2286"/>
      <c r="F471" s="2316" t="s">
        <v>304</v>
      </c>
      <c r="G471" s="2316" t="s">
        <v>304</v>
      </c>
      <c r="H471" s="2286"/>
      <c r="I471" s="2286"/>
      <c r="J471" s="2286" t="s">
        <v>1007</v>
      </c>
      <c r="K471" s="2286" t="s">
        <v>304</v>
      </c>
      <c r="L471" s="2286" t="s">
        <v>20</v>
      </c>
    </row>
    <row r="472" spans="1:12" x14ac:dyDescent="0.35">
      <c r="A472" s="2286">
        <v>433</v>
      </c>
      <c r="B472" s="2286"/>
      <c r="C472" s="2286"/>
      <c r="D472" s="2316" t="s">
        <v>1021</v>
      </c>
      <c r="E472" s="2286"/>
      <c r="F472" s="2316" t="s">
        <v>304</v>
      </c>
      <c r="G472" s="2316" t="s">
        <v>304</v>
      </c>
      <c r="H472" s="2286"/>
      <c r="I472" s="2286"/>
      <c r="J472" s="2286" t="s">
        <v>1007</v>
      </c>
      <c r="K472" s="2286" t="s">
        <v>304</v>
      </c>
      <c r="L472" s="2286" t="s">
        <v>20</v>
      </c>
    </row>
    <row r="473" spans="1:12" x14ac:dyDescent="0.35">
      <c r="A473" s="2286">
        <v>264</v>
      </c>
      <c r="B473" s="2286"/>
      <c r="C473" s="2286"/>
      <c r="D473" s="2316" t="s">
        <v>1021</v>
      </c>
      <c r="E473" s="2286"/>
      <c r="F473" s="2316" t="s">
        <v>304</v>
      </c>
      <c r="G473" s="2316" t="s">
        <v>304</v>
      </c>
      <c r="H473" s="2286"/>
      <c r="I473" s="2286"/>
      <c r="J473" s="2286" t="s">
        <v>1007</v>
      </c>
      <c r="K473" s="2286" t="s">
        <v>304</v>
      </c>
      <c r="L473" s="2286" t="s">
        <v>20</v>
      </c>
    </row>
    <row r="474" spans="1:12" x14ac:dyDescent="0.35">
      <c r="A474" s="2286">
        <v>48</v>
      </c>
      <c r="B474" s="2286"/>
      <c r="C474" s="2286"/>
      <c r="D474" s="2316" t="s">
        <v>1123</v>
      </c>
      <c r="E474" s="2286"/>
      <c r="F474" s="2316" t="s">
        <v>304</v>
      </c>
      <c r="G474" s="2316" t="s">
        <v>304</v>
      </c>
      <c r="H474" s="2286"/>
      <c r="I474" s="2286"/>
      <c r="J474" s="2286" t="s">
        <v>1007</v>
      </c>
      <c r="K474" s="2286" t="s">
        <v>304</v>
      </c>
      <c r="L474" s="2286" t="s">
        <v>20</v>
      </c>
    </row>
    <row r="475" spans="1:12" x14ac:dyDescent="0.35">
      <c r="A475" s="2286">
        <v>432</v>
      </c>
      <c r="B475" s="2286"/>
      <c r="C475" s="2286"/>
      <c r="D475" s="2316" t="s">
        <v>1123</v>
      </c>
      <c r="E475" s="2286"/>
      <c r="F475" s="2316" t="s">
        <v>304</v>
      </c>
      <c r="G475" s="2316" t="s">
        <v>304</v>
      </c>
      <c r="H475" s="2286"/>
      <c r="I475" s="2286"/>
      <c r="J475" s="2286" t="s">
        <v>1007</v>
      </c>
      <c r="K475" s="2286" t="s">
        <v>304</v>
      </c>
      <c r="L475" s="2286" t="s">
        <v>20</v>
      </c>
    </row>
    <row r="476" spans="1:12" x14ac:dyDescent="0.35">
      <c r="A476" s="2286">
        <v>366</v>
      </c>
      <c r="B476" s="2286"/>
      <c r="C476" s="2286"/>
      <c r="D476" s="2316" t="s">
        <v>1123</v>
      </c>
      <c r="E476" s="2286"/>
      <c r="F476" s="2316" t="s">
        <v>304</v>
      </c>
      <c r="G476" s="2316" t="s">
        <v>304</v>
      </c>
      <c r="H476" s="2286"/>
      <c r="I476" s="2286"/>
      <c r="J476" s="2286" t="s">
        <v>1007</v>
      </c>
      <c r="K476" s="2286" t="s">
        <v>304</v>
      </c>
      <c r="L476" s="2286" t="s">
        <v>20</v>
      </c>
    </row>
    <row r="477" spans="1:12" x14ac:dyDescent="0.35">
      <c r="A477" s="2286">
        <v>49</v>
      </c>
      <c r="B477" s="2286"/>
      <c r="C477" s="2286"/>
      <c r="D477" s="2316" t="s">
        <v>101</v>
      </c>
      <c r="E477" s="2286"/>
      <c r="F477" s="2316" t="s">
        <v>3057</v>
      </c>
      <c r="G477" s="2316" t="s">
        <v>3058</v>
      </c>
      <c r="H477" s="2286"/>
      <c r="I477" s="2286"/>
      <c r="J477" s="2286" t="s">
        <v>1373</v>
      </c>
      <c r="K477" s="2286" t="s">
        <v>3059</v>
      </c>
      <c r="L477" s="2286" t="s">
        <v>20</v>
      </c>
    </row>
    <row r="478" spans="1:12" x14ac:dyDescent="0.35">
      <c r="A478" s="2286">
        <v>265</v>
      </c>
      <c r="B478" s="2286"/>
      <c r="C478" s="2286"/>
      <c r="D478" s="2316" t="s">
        <v>101</v>
      </c>
      <c r="E478" s="2286"/>
      <c r="F478" s="2316" t="s">
        <v>3057</v>
      </c>
      <c r="G478" s="2316" t="s">
        <v>3058</v>
      </c>
      <c r="H478" s="2286"/>
      <c r="I478" s="2286"/>
      <c r="J478" s="2286" t="s">
        <v>1373</v>
      </c>
      <c r="K478" s="2286" t="s">
        <v>3059</v>
      </c>
      <c r="L478" s="2286" t="s">
        <v>20</v>
      </c>
    </row>
    <row r="479" spans="1:12" x14ac:dyDescent="0.35">
      <c r="A479" s="2286">
        <v>50</v>
      </c>
      <c r="B479" s="2286"/>
      <c r="C479" s="2286"/>
      <c r="D479" s="2316" t="s">
        <v>219</v>
      </c>
      <c r="E479" s="2286"/>
      <c r="F479" s="2316" t="s">
        <v>3060</v>
      </c>
      <c r="G479" s="2316" t="s">
        <v>3061</v>
      </c>
      <c r="H479" s="2286"/>
      <c r="I479" s="2286"/>
      <c r="J479" s="2286" t="s">
        <v>1373</v>
      </c>
      <c r="K479" s="2286" t="s">
        <v>3062</v>
      </c>
      <c r="L479" s="2286" t="s">
        <v>20</v>
      </c>
    </row>
    <row r="480" spans="1:12" x14ac:dyDescent="0.35">
      <c r="A480" s="2286">
        <v>266</v>
      </c>
      <c r="B480" s="2286"/>
      <c r="C480" s="2286"/>
      <c r="D480" s="2316" t="s">
        <v>219</v>
      </c>
      <c r="E480" s="2286"/>
      <c r="F480" s="2316" t="s">
        <v>3060</v>
      </c>
      <c r="G480" s="2316" t="s">
        <v>3061</v>
      </c>
      <c r="H480" s="2286"/>
      <c r="I480" s="2286"/>
      <c r="J480" s="2286" t="s">
        <v>1373</v>
      </c>
      <c r="K480" s="2286" t="s">
        <v>3062</v>
      </c>
      <c r="L480" s="2286" t="s">
        <v>20</v>
      </c>
    </row>
    <row r="481" spans="1:12" x14ac:dyDescent="0.35">
      <c r="A481" s="2286">
        <v>51</v>
      </c>
      <c r="B481" s="2286"/>
      <c r="C481" s="2286"/>
      <c r="D481" s="2316" t="s">
        <v>217</v>
      </c>
      <c r="E481" s="2286"/>
      <c r="F481" s="2316" t="s">
        <v>3060</v>
      </c>
      <c r="G481" s="2316" t="s">
        <v>3061</v>
      </c>
      <c r="H481" s="2286"/>
      <c r="I481" s="2286"/>
      <c r="J481" s="2286" t="s">
        <v>1373</v>
      </c>
      <c r="K481" s="2286" t="s">
        <v>3062</v>
      </c>
      <c r="L481" s="2286" t="s">
        <v>20</v>
      </c>
    </row>
    <row r="482" spans="1:12" x14ac:dyDescent="0.35">
      <c r="A482" s="2286">
        <v>267</v>
      </c>
      <c r="B482" s="2286"/>
      <c r="C482" s="2286"/>
      <c r="D482" s="2316" t="s">
        <v>217</v>
      </c>
      <c r="E482" s="2286"/>
      <c r="F482" s="2316" t="s">
        <v>3060</v>
      </c>
      <c r="G482" s="2316" t="s">
        <v>3061</v>
      </c>
      <c r="H482" s="2286"/>
      <c r="I482" s="2286"/>
      <c r="J482" s="2286" t="s">
        <v>1373</v>
      </c>
      <c r="K482" s="2286" t="s">
        <v>3062</v>
      </c>
      <c r="L482" s="2286" t="s">
        <v>20</v>
      </c>
    </row>
    <row r="483" spans="1:12" x14ac:dyDescent="0.35">
      <c r="A483" s="2286">
        <v>206</v>
      </c>
      <c r="B483" s="2286"/>
      <c r="C483" s="2286"/>
      <c r="D483" s="2316" t="s">
        <v>112</v>
      </c>
      <c r="E483" s="2286"/>
      <c r="F483" s="2316" t="s">
        <v>3063</v>
      </c>
      <c r="G483" s="2316" t="s">
        <v>3064</v>
      </c>
      <c r="H483" s="2286"/>
      <c r="I483" s="2286"/>
      <c r="J483" s="2286" t="s">
        <v>1373</v>
      </c>
      <c r="K483" s="2286" t="s">
        <v>3065</v>
      </c>
      <c r="L483" s="2286" t="s">
        <v>105</v>
      </c>
    </row>
    <row r="484" spans="1:12" x14ac:dyDescent="0.35">
      <c r="A484" s="2286">
        <v>207</v>
      </c>
      <c r="B484" s="2286"/>
      <c r="C484" s="2286"/>
      <c r="D484" s="2316" t="s">
        <v>111</v>
      </c>
      <c r="E484" s="2286"/>
      <c r="F484" s="2316" t="s">
        <v>3063</v>
      </c>
      <c r="G484" s="2316" t="s">
        <v>3064</v>
      </c>
      <c r="H484" s="2286"/>
      <c r="I484" s="2286"/>
      <c r="J484" s="2286" t="s">
        <v>1373</v>
      </c>
      <c r="K484" s="2286" t="s">
        <v>3065</v>
      </c>
      <c r="L484" s="2286" t="s">
        <v>105</v>
      </c>
    </row>
    <row r="485" spans="1:12" x14ac:dyDescent="0.35">
      <c r="A485" s="2286">
        <v>208</v>
      </c>
      <c r="B485" s="2286"/>
      <c r="C485" s="2286"/>
      <c r="D485" s="2316" t="s">
        <v>107</v>
      </c>
      <c r="E485" s="2286"/>
      <c r="F485" s="2316" t="s">
        <v>3066</v>
      </c>
      <c r="G485" s="2316" t="s">
        <v>3067</v>
      </c>
      <c r="H485" s="2286"/>
      <c r="I485" s="2286"/>
      <c r="J485" s="2286" t="s">
        <v>1373</v>
      </c>
      <c r="K485" s="2286" t="s">
        <v>3068</v>
      </c>
      <c r="L485" s="2286" t="s">
        <v>105</v>
      </c>
    </row>
    <row r="486" spans="1:12" x14ac:dyDescent="0.35">
      <c r="A486" s="2286">
        <v>209</v>
      </c>
      <c r="B486" s="2286"/>
      <c r="C486" s="2286"/>
      <c r="D486" s="2316" t="s">
        <v>106</v>
      </c>
      <c r="E486" s="2286"/>
      <c r="F486" s="2316" t="s">
        <v>3066</v>
      </c>
      <c r="G486" s="2316" t="s">
        <v>3067</v>
      </c>
      <c r="H486" s="2286"/>
      <c r="I486" s="2286"/>
      <c r="J486" s="2286" t="s">
        <v>1373</v>
      </c>
      <c r="K486" s="2286" t="s">
        <v>3068</v>
      </c>
      <c r="L486" s="2286" t="s">
        <v>105</v>
      </c>
    </row>
    <row r="487" spans="1:12" x14ac:dyDescent="0.35">
      <c r="A487" s="2286">
        <v>175</v>
      </c>
      <c r="B487" s="2286"/>
      <c r="C487" s="2286"/>
      <c r="D487" s="2316" t="s">
        <v>183</v>
      </c>
      <c r="E487" s="2286"/>
      <c r="F487" s="2316" t="s">
        <v>3069</v>
      </c>
      <c r="G487" s="2316" t="s">
        <v>3070</v>
      </c>
      <c r="H487" s="2286"/>
      <c r="I487" s="2286"/>
      <c r="J487" s="2286" t="s">
        <v>1373</v>
      </c>
      <c r="K487" s="2286" t="s">
        <v>3071</v>
      </c>
      <c r="L487" s="2286" t="s">
        <v>3047</v>
      </c>
    </row>
    <row r="488" spans="1:12" x14ac:dyDescent="0.35">
      <c r="A488" s="2286">
        <v>402</v>
      </c>
      <c r="B488" s="2286"/>
      <c r="C488" s="2286"/>
      <c r="D488" s="2316" t="s">
        <v>183</v>
      </c>
      <c r="E488" s="2286"/>
      <c r="F488" s="2316" t="s">
        <v>3069</v>
      </c>
      <c r="G488" s="2316" t="s">
        <v>3070</v>
      </c>
      <c r="H488" s="2286"/>
      <c r="I488" s="2286"/>
      <c r="J488" s="2286" t="s">
        <v>1373</v>
      </c>
      <c r="K488" s="2286" t="s">
        <v>3071</v>
      </c>
      <c r="L488" s="2286" t="s">
        <v>3047</v>
      </c>
    </row>
    <row r="489" spans="1:12" x14ac:dyDescent="0.35">
      <c r="A489" s="2286">
        <v>176</v>
      </c>
      <c r="B489" s="2286"/>
      <c r="C489" s="2286"/>
      <c r="D489" s="2316" t="s">
        <v>222</v>
      </c>
      <c r="E489" s="2286"/>
      <c r="F489" s="2316" t="s">
        <v>3072</v>
      </c>
      <c r="G489" s="2316" t="s">
        <v>3073</v>
      </c>
      <c r="H489" s="2286"/>
      <c r="I489" s="2286"/>
      <c r="J489" s="2286" t="s">
        <v>1373</v>
      </c>
      <c r="K489" s="2286" t="s">
        <v>3074</v>
      </c>
      <c r="L489" s="2286" t="s">
        <v>105</v>
      </c>
    </row>
    <row r="490" spans="1:12" x14ac:dyDescent="0.35">
      <c r="A490" s="2286">
        <v>403</v>
      </c>
      <c r="B490" s="2286"/>
      <c r="C490" s="2286"/>
      <c r="D490" s="2316" t="s">
        <v>222</v>
      </c>
      <c r="E490" s="2286"/>
      <c r="F490" s="2316" t="s">
        <v>3072</v>
      </c>
      <c r="G490" s="2316" t="s">
        <v>3073</v>
      </c>
      <c r="H490" s="2286"/>
      <c r="I490" s="2286"/>
      <c r="J490" s="2286" t="s">
        <v>1373</v>
      </c>
      <c r="K490" s="2286" t="s">
        <v>3074</v>
      </c>
      <c r="L490" s="2286" t="s">
        <v>105</v>
      </c>
    </row>
    <row r="491" spans="1:12" x14ac:dyDescent="0.35">
      <c r="A491" s="2286">
        <v>268</v>
      </c>
      <c r="B491" s="2286"/>
      <c r="C491" s="2286"/>
      <c r="D491" s="2316" t="s">
        <v>222</v>
      </c>
      <c r="E491" s="2286"/>
      <c r="F491" s="2316" t="s">
        <v>3072</v>
      </c>
      <c r="G491" s="2316" t="s">
        <v>3073</v>
      </c>
      <c r="H491" s="2286"/>
      <c r="I491" s="2286"/>
      <c r="J491" s="2286"/>
      <c r="K491" s="2286" t="s">
        <v>3074</v>
      </c>
      <c r="L491" s="2286" t="s">
        <v>105</v>
      </c>
    </row>
    <row r="492" spans="1:12" x14ac:dyDescent="0.35">
      <c r="A492" s="2286">
        <v>52</v>
      </c>
      <c r="B492" s="2286"/>
      <c r="C492" s="2286"/>
      <c r="D492" s="2316" t="s">
        <v>141</v>
      </c>
      <c r="E492" s="2286"/>
      <c r="F492" s="2316" t="s">
        <v>3075</v>
      </c>
      <c r="G492" s="2316" t="s">
        <v>3076</v>
      </c>
      <c r="H492" s="2286"/>
      <c r="I492" s="2286"/>
      <c r="J492" s="2286" t="s">
        <v>1374</v>
      </c>
      <c r="K492" s="2286" t="s">
        <v>141</v>
      </c>
      <c r="L492" s="2286" t="s">
        <v>20</v>
      </c>
    </row>
    <row r="493" spans="1:12" x14ac:dyDescent="0.35">
      <c r="A493" s="2286">
        <v>404</v>
      </c>
      <c r="B493" s="2286"/>
      <c r="C493" s="2286"/>
      <c r="D493" s="2316" t="s">
        <v>141</v>
      </c>
      <c r="E493" s="2286"/>
      <c r="F493" s="2316" t="s">
        <v>3075</v>
      </c>
      <c r="G493" s="2316" t="s">
        <v>3076</v>
      </c>
      <c r="H493" s="2286"/>
      <c r="I493" s="2286"/>
      <c r="J493" s="2286" t="s">
        <v>1374</v>
      </c>
      <c r="K493" s="2286" t="s">
        <v>141</v>
      </c>
      <c r="L493" s="2286" t="s">
        <v>20</v>
      </c>
    </row>
    <row r="494" spans="1:12" x14ac:dyDescent="0.35">
      <c r="A494" s="2286">
        <v>269</v>
      </c>
      <c r="B494" s="2286"/>
      <c r="C494" s="2286"/>
      <c r="D494" s="2316" t="s">
        <v>141</v>
      </c>
      <c r="E494" s="2286"/>
      <c r="F494" s="2316" t="s">
        <v>3075</v>
      </c>
      <c r="G494" s="2316" t="s">
        <v>3076</v>
      </c>
      <c r="H494" s="2286"/>
      <c r="I494" s="2286"/>
      <c r="J494" s="2286" t="s">
        <v>1374</v>
      </c>
      <c r="K494" s="2286" t="s">
        <v>141</v>
      </c>
      <c r="L494" s="2286" t="s">
        <v>20</v>
      </c>
    </row>
    <row r="495" spans="1:12" x14ac:dyDescent="0.35">
      <c r="A495" s="2286">
        <v>102</v>
      </c>
      <c r="B495" s="2286"/>
      <c r="C495" s="2286"/>
      <c r="D495" s="2316" t="s">
        <v>179</v>
      </c>
      <c r="E495" s="2286"/>
      <c r="F495" s="2316" t="s">
        <v>3077</v>
      </c>
      <c r="G495" s="2316" t="s">
        <v>3078</v>
      </c>
      <c r="H495" s="2286"/>
      <c r="I495" s="2286"/>
      <c r="J495" s="2286"/>
      <c r="K495" s="2286" t="s">
        <v>3079</v>
      </c>
      <c r="L495" s="2286" t="s">
        <v>3080</v>
      </c>
    </row>
    <row r="496" spans="1:12" x14ac:dyDescent="0.35">
      <c r="A496" s="2286">
        <v>270</v>
      </c>
      <c r="B496" s="2286"/>
      <c r="C496" s="2286"/>
      <c r="D496" s="2316" t="s">
        <v>179</v>
      </c>
      <c r="E496" s="2286"/>
      <c r="F496" s="2316" t="s">
        <v>3077</v>
      </c>
      <c r="G496" s="2316" t="s">
        <v>3078</v>
      </c>
      <c r="H496" s="2286"/>
      <c r="I496" s="2286"/>
      <c r="J496" s="2286"/>
      <c r="K496" s="2286" t="s">
        <v>3079</v>
      </c>
      <c r="L496" s="2286" t="s">
        <v>3080</v>
      </c>
    </row>
    <row r="497" spans="1:12" x14ac:dyDescent="0.35">
      <c r="A497" s="2286">
        <v>103</v>
      </c>
      <c r="B497" s="2286"/>
      <c r="C497" s="2286"/>
      <c r="D497" s="2316" t="s">
        <v>209</v>
      </c>
      <c r="E497" s="2286"/>
      <c r="F497" s="2316" t="s">
        <v>3077</v>
      </c>
      <c r="G497" s="2316" t="s">
        <v>3078</v>
      </c>
      <c r="H497" s="2286"/>
      <c r="I497" s="2286"/>
      <c r="J497" s="2286"/>
      <c r="K497" s="2286" t="s">
        <v>3079</v>
      </c>
      <c r="L497" s="2286" t="s">
        <v>3080</v>
      </c>
    </row>
    <row r="498" spans="1:12" x14ac:dyDescent="0.35">
      <c r="A498" s="2286">
        <v>271</v>
      </c>
      <c r="B498" s="2286"/>
      <c r="C498" s="2286"/>
      <c r="D498" s="2316" t="s">
        <v>209</v>
      </c>
      <c r="E498" s="2286"/>
      <c r="F498" s="2316" t="s">
        <v>3077</v>
      </c>
      <c r="G498" s="2316" t="s">
        <v>3078</v>
      </c>
      <c r="H498" s="2286"/>
      <c r="I498" s="2286"/>
      <c r="J498" s="2286"/>
      <c r="K498" s="2286" t="s">
        <v>3079</v>
      </c>
      <c r="L498" s="2286" t="s">
        <v>3080</v>
      </c>
    </row>
    <row r="499" spans="1:12" x14ac:dyDescent="0.35">
      <c r="A499" s="2286">
        <v>177</v>
      </c>
      <c r="B499" s="2286"/>
      <c r="C499" s="2286"/>
      <c r="D499" s="2316" t="s">
        <v>144</v>
      </c>
      <c r="E499" s="2286"/>
      <c r="F499" s="2316" t="s">
        <v>3081</v>
      </c>
      <c r="G499" s="2316" t="s">
        <v>3082</v>
      </c>
      <c r="H499" s="2286"/>
      <c r="I499" s="2286"/>
      <c r="J499" s="2286"/>
      <c r="K499" s="2286" t="s">
        <v>3083</v>
      </c>
      <c r="L499" s="2286" t="s">
        <v>2296</v>
      </c>
    </row>
    <row r="500" spans="1:12" x14ac:dyDescent="0.35">
      <c r="A500" s="2286">
        <v>272</v>
      </c>
      <c r="B500" s="2286"/>
      <c r="C500" s="2286"/>
      <c r="D500" s="2316" t="s">
        <v>144</v>
      </c>
      <c r="E500" s="2286"/>
      <c r="F500" s="2316" t="s">
        <v>3081</v>
      </c>
      <c r="G500" s="2316" t="s">
        <v>3082</v>
      </c>
      <c r="H500" s="2286"/>
      <c r="I500" s="2286"/>
      <c r="J500" s="2286"/>
      <c r="K500" s="2286" t="s">
        <v>3083</v>
      </c>
      <c r="L500" s="2286" t="s">
        <v>2296</v>
      </c>
    </row>
    <row r="501" spans="1:12" x14ac:dyDescent="0.35">
      <c r="A501" s="2286">
        <v>44</v>
      </c>
      <c r="B501" s="2286"/>
      <c r="C501" s="2286"/>
      <c r="D501" s="2316" t="s">
        <v>147</v>
      </c>
      <c r="E501" s="2286"/>
      <c r="F501" s="2316" t="s">
        <v>304</v>
      </c>
      <c r="G501" s="2316" t="s">
        <v>304</v>
      </c>
      <c r="H501" s="2286"/>
      <c r="I501" s="2286"/>
      <c r="J501" s="2286" t="s">
        <v>1374</v>
      </c>
      <c r="K501" s="2286" t="s">
        <v>304</v>
      </c>
      <c r="L501" s="2286" t="s">
        <v>3084</v>
      </c>
    </row>
    <row r="502" spans="1:12" x14ac:dyDescent="0.35">
      <c r="A502" s="2286">
        <v>178</v>
      </c>
      <c r="B502" s="2286"/>
      <c r="C502" s="2286"/>
      <c r="D502" s="2316" t="s">
        <v>170</v>
      </c>
      <c r="E502" s="2286"/>
      <c r="F502" s="2316" t="s">
        <v>3085</v>
      </c>
      <c r="G502" s="2316" t="s">
        <v>3086</v>
      </c>
      <c r="H502" s="2286"/>
      <c r="I502" s="2286"/>
      <c r="J502" s="2286"/>
      <c r="K502" s="2286" t="s">
        <v>170</v>
      </c>
      <c r="L502" s="2286" t="s">
        <v>3047</v>
      </c>
    </row>
    <row r="503" spans="1:12" x14ac:dyDescent="0.35">
      <c r="A503" s="2286">
        <v>230</v>
      </c>
      <c r="B503" s="2286"/>
      <c r="C503" s="2286"/>
      <c r="D503" s="2316" t="s">
        <v>143</v>
      </c>
      <c r="E503" s="2286"/>
      <c r="F503" s="2316" t="s">
        <v>3087</v>
      </c>
      <c r="G503" s="2316" t="s">
        <v>3088</v>
      </c>
      <c r="H503" s="2286"/>
      <c r="I503" s="2286"/>
      <c r="J503" s="2286"/>
      <c r="K503" s="2286" t="s">
        <v>3089</v>
      </c>
      <c r="L503" s="2286" t="s">
        <v>20</v>
      </c>
    </row>
    <row r="504" spans="1:12" x14ac:dyDescent="0.35">
      <c r="A504" s="2286">
        <v>231</v>
      </c>
      <c r="B504" s="2286"/>
      <c r="C504" s="2286"/>
      <c r="D504" s="2316" t="s">
        <v>243</v>
      </c>
      <c r="E504" s="2286"/>
      <c r="F504" s="2316" t="s">
        <v>3090</v>
      </c>
      <c r="G504" s="2316" t="s">
        <v>3091</v>
      </c>
      <c r="H504" s="2286"/>
      <c r="I504" s="2286"/>
      <c r="J504" s="2286"/>
      <c r="K504" s="2286" t="s">
        <v>242</v>
      </c>
      <c r="L504" s="2286" t="s">
        <v>2296</v>
      </c>
    </row>
    <row r="505" spans="1:12" x14ac:dyDescent="0.35">
      <c r="A505" s="2286">
        <v>179</v>
      </c>
      <c r="B505" s="2286"/>
      <c r="C505" s="2286"/>
      <c r="D505" s="2316" t="s">
        <v>178</v>
      </c>
      <c r="E505" s="2286"/>
      <c r="F505" s="2316" t="s">
        <v>3092</v>
      </c>
      <c r="G505" s="2316" t="s">
        <v>3093</v>
      </c>
      <c r="H505" s="2286"/>
      <c r="I505" s="2286"/>
      <c r="J505" s="2286"/>
      <c r="K505" s="2286" t="s">
        <v>3094</v>
      </c>
      <c r="L505" s="2286" t="s">
        <v>3084</v>
      </c>
    </row>
    <row r="506" spans="1:12" x14ac:dyDescent="0.35">
      <c r="A506" s="2286">
        <v>53</v>
      </c>
      <c r="B506" s="2286"/>
      <c r="C506" s="2286"/>
      <c r="D506" s="2316" t="s">
        <v>168</v>
      </c>
      <c r="E506" s="2286"/>
      <c r="F506" s="2316" t="s">
        <v>3095</v>
      </c>
      <c r="G506" s="2316" t="s">
        <v>3096</v>
      </c>
      <c r="H506" s="2286"/>
      <c r="I506" s="2286"/>
      <c r="J506" s="2286"/>
      <c r="K506" s="2286" t="s">
        <v>3097</v>
      </c>
      <c r="L506" s="2286" t="s">
        <v>20</v>
      </c>
    </row>
    <row r="507" spans="1:12" x14ac:dyDescent="0.35">
      <c r="A507" s="2286">
        <v>406</v>
      </c>
      <c r="B507" s="2286"/>
      <c r="C507" s="2286"/>
      <c r="D507" s="2316" t="s">
        <v>168</v>
      </c>
      <c r="E507" s="2286"/>
      <c r="F507" s="2316" t="s">
        <v>3095</v>
      </c>
      <c r="G507" s="2316" t="s">
        <v>3096</v>
      </c>
      <c r="H507" s="2286"/>
      <c r="I507" s="2286"/>
      <c r="J507" s="2286"/>
      <c r="K507" s="2286" t="s">
        <v>3097</v>
      </c>
      <c r="L507" s="2286" t="s">
        <v>20</v>
      </c>
    </row>
    <row r="508" spans="1:12" x14ac:dyDescent="0.35">
      <c r="A508" s="2286">
        <v>273</v>
      </c>
      <c r="B508" s="2286"/>
      <c r="C508" s="2286"/>
      <c r="D508" s="2316" t="s">
        <v>168</v>
      </c>
      <c r="E508" s="2286"/>
      <c r="F508" s="2316" t="s">
        <v>3095</v>
      </c>
      <c r="G508" s="2316" t="s">
        <v>3096</v>
      </c>
      <c r="H508" s="2286"/>
      <c r="I508" s="2286"/>
      <c r="J508" s="2286"/>
      <c r="K508" s="2286" t="s">
        <v>3097</v>
      </c>
      <c r="L508" s="2286" t="s">
        <v>20</v>
      </c>
    </row>
    <row r="509" spans="1:12" x14ac:dyDescent="0.35">
      <c r="A509" s="2286">
        <v>181</v>
      </c>
      <c r="B509" s="2286"/>
      <c r="C509" s="2286"/>
      <c r="D509" s="2316" t="s">
        <v>162</v>
      </c>
      <c r="E509" s="2286"/>
      <c r="F509" s="2316" t="s">
        <v>304</v>
      </c>
      <c r="G509" s="2316" t="s">
        <v>304</v>
      </c>
      <c r="H509" s="2286"/>
      <c r="I509" s="2286"/>
      <c r="J509" s="2286" t="s">
        <v>1373</v>
      </c>
      <c r="K509" s="2286" t="s">
        <v>304</v>
      </c>
      <c r="L509" s="2286" t="s">
        <v>3047</v>
      </c>
    </row>
    <row r="510" spans="1:12" x14ac:dyDescent="0.35">
      <c r="A510" s="2286">
        <v>57</v>
      </c>
      <c r="B510" s="2286"/>
      <c r="C510" s="2286"/>
      <c r="D510" s="2316" t="s">
        <v>255</v>
      </c>
      <c r="E510" s="2286"/>
      <c r="F510" s="2316" t="s">
        <v>3098</v>
      </c>
      <c r="G510" s="2316" t="s">
        <v>3099</v>
      </c>
      <c r="H510" s="2286"/>
      <c r="I510" s="2286"/>
      <c r="J510" s="2286"/>
      <c r="K510" s="2286" t="s">
        <v>3100</v>
      </c>
      <c r="L510" s="2286" t="s">
        <v>20</v>
      </c>
    </row>
    <row r="511" spans="1:12" x14ac:dyDescent="0.35">
      <c r="A511" s="2286">
        <v>58</v>
      </c>
      <c r="B511" s="2286"/>
      <c r="C511" s="2286"/>
      <c r="D511" s="2316" t="s">
        <v>256</v>
      </c>
      <c r="E511" s="2286"/>
      <c r="F511" s="2316" t="s">
        <v>3098</v>
      </c>
      <c r="G511" s="2316" t="s">
        <v>3099</v>
      </c>
      <c r="H511" s="2286"/>
      <c r="I511" s="2286"/>
      <c r="J511" s="2286"/>
      <c r="K511" s="2286" t="s">
        <v>3100</v>
      </c>
      <c r="L511" s="2286" t="s">
        <v>20</v>
      </c>
    </row>
    <row r="512" spans="1:12" x14ac:dyDescent="0.35">
      <c r="A512" s="2286">
        <v>59</v>
      </c>
      <c r="B512" s="2286"/>
      <c r="C512" s="2286"/>
      <c r="D512" s="2316" t="s">
        <v>257</v>
      </c>
      <c r="E512" s="2286"/>
      <c r="F512" s="2316" t="s">
        <v>3098</v>
      </c>
      <c r="G512" s="2316" t="s">
        <v>3099</v>
      </c>
      <c r="H512" s="2286"/>
      <c r="I512" s="2286"/>
      <c r="J512" s="2286"/>
      <c r="K512" s="2286" t="s">
        <v>3100</v>
      </c>
      <c r="L512" s="2286" t="s">
        <v>20</v>
      </c>
    </row>
    <row r="513" spans="1:12" x14ac:dyDescent="0.35">
      <c r="A513" s="2286">
        <v>35</v>
      </c>
      <c r="B513" s="2286"/>
      <c r="C513" s="2286"/>
      <c r="D513" s="2316" t="s">
        <v>135</v>
      </c>
      <c r="E513" s="2286"/>
      <c r="F513" s="2316" t="s">
        <v>3101</v>
      </c>
      <c r="G513" s="2316" t="s">
        <v>3102</v>
      </c>
      <c r="H513" s="2286"/>
      <c r="I513" s="2286"/>
      <c r="J513" s="2286"/>
      <c r="K513" s="2286" t="s">
        <v>977</v>
      </c>
      <c r="L513" s="2286" t="s">
        <v>3080</v>
      </c>
    </row>
    <row r="514" spans="1:12" x14ac:dyDescent="0.35">
      <c r="A514" s="2286">
        <v>274</v>
      </c>
      <c r="B514" s="2286"/>
      <c r="C514" s="2286"/>
      <c r="D514" s="2316" t="s">
        <v>135</v>
      </c>
      <c r="E514" s="2286"/>
      <c r="F514" s="2316" t="s">
        <v>3101</v>
      </c>
      <c r="G514" s="2316" t="s">
        <v>3102</v>
      </c>
      <c r="H514" s="2286"/>
      <c r="I514" s="2286"/>
      <c r="J514" s="2286"/>
      <c r="K514" s="2286" t="s">
        <v>977</v>
      </c>
      <c r="L514" s="2286" t="s">
        <v>3080</v>
      </c>
    </row>
    <row r="515" spans="1:12" x14ac:dyDescent="0.35">
      <c r="A515" s="2286">
        <v>60</v>
      </c>
      <c r="B515" s="2286"/>
      <c r="C515" s="2286"/>
      <c r="D515" s="2316" t="s">
        <v>208</v>
      </c>
      <c r="E515" s="2286"/>
      <c r="F515" s="2316" t="s">
        <v>3103</v>
      </c>
      <c r="G515" s="2316" t="s">
        <v>3104</v>
      </c>
      <c r="H515" s="2286"/>
      <c r="I515" s="2286"/>
      <c r="J515" s="2286"/>
      <c r="K515" s="2286" t="s">
        <v>3105</v>
      </c>
      <c r="L515" s="2286" t="s">
        <v>20</v>
      </c>
    </row>
    <row r="516" spans="1:12" x14ac:dyDescent="0.35">
      <c r="A516" s="2286">
        <v>275</v>
      </c>
      <c r="B516" s="2286"/>
      <c r="C516" s="2286"/>
      <c r="D516" s="2316" t="s">
        <v>208</v>
      </c>
      <c r="E516" s="2286"/>
      <c r="F516" s="2316" t="s">
        <v>3103</v>
      </c>
      <c r="G516" s="2316" t="s">
        <v>3104</v>
      </c>
      <c r="H516" s="2286"/>
      <c r="I516" s="2286"/>
      <c r="J516" s="2286"/>
      <c r="K516" s="2286" t="s">
        <v>3105</v>
      </c>
      <c r="L516" s="2286" t="s">
        <v>20</v>
      </c>
    </row>
    <row r="517" spans="1:12" x14ac:dyDescent="0.35">
      <c r="A517" s="2286">
        <v>61</v>
      </c>
      <c r="B517" s="2286"/>
      <c r="C517" s="2286"/>
      <c r="D517" s="2316" t="s">
        <v>140</v>
      </c>
      <c r="E517" s="2286"/>
      <c r="F517" s="2316" t="s">
        <v>3106</v>
      </c>
      <c r="G517" s="2316" t="s">
        <v>3107</v>
      </c>
      <c r="H517" s="2286"/>
      <c r="I517" s="2286"/>
      <c r="J517" s="2286"/>
      <c r="K517" s="2286" t="s">
        <v>3108</v>
      </c>
      <c r="L517" s="2286" t="s">
        <v>20</v>
      </c>
    </row>
    <row r="518" spans="1:12" x14ac:dyDescent="0.35">
      <c r="A518" s="2286">
        <v>276</v>
      </c>
      <c r="B518" s="2286"/>
      <c r="C518" s="2286"/>
      <c r="D518" s="2316" t="s">
        <v>140</v>
      </c>
      <c r="E518" s="2286"/>
      <c r="F518" s="2316" t="s">
        <v>3106</v>
      </c>
      <c r="G518" s="2316" t="s">
        <v>3107</v>
      </c>
      <c r="H518" s="2286"/>
      <c r="I518" s="2286"/>
      <c r="J518" s="2286"/>
      <c r="K518" s="2286" t="s">
        <v>3108</v>
      </c>
      <c r="L518" s="2286" t="s">
        <v>20</v>
      </c>
    </row>
    <row r="519" spans="1:12" x14ac:dyDescent="0.35">
      <c r="A519" s="2286">
        <v>210</v>
      </c>
      <c r="B519" s="2286"/>
      <c r="C519" s="2286"/>
      <c r="D519" s="2316" t="s">
        <v>120</v>
      </c>
      <c r="E519" s="2286"/>
      <c r="F519" s="2316" t="s">
        <v>3109</v>
      </c>
      <c r="G519" s="2316" t="s">
        <v>3110</v>
      </c>
      <c r="H519" s="2286"/>
      <c r="I519" s="2286"/>
      <c r="J519" s="2286"/>
      <c r="K519" s="2286" t="s">
        <v>3111</v>
      </c>
      <c r="L519" s="2286" t="s">
        <v>105</v>
      </c>
    </row>
    <row r="520" spans="1:12" x14ac:dyDescent="0.35">
      <c r="A520" s="2286">
        <v>211</v>
      </c>
      <c r="B520" s="2286"/>
      <c r="C520" s="2286"/>
      <c r="D520" s="2316" t="s">
        <v>121</v>
      </c>
      <c r="E520" s="2286"/>
      <c r="F520" s="2316" t="s">
        <v>3109</v>
      </c>
      <c r="G520" s="2316" t="s">
        <v>3110</v>
      </c>
      <c r="H520" s="2286"/>
      <c r="I520" s="2286"/>
      <c r="J520" s="2286"/>
      <c r="K520" s="2286" t="s">
        <v>3111</v>
      </c>
      <c r="L520" s="2286" t="s">
        <v>105</v>
      </c>
    </row>
    <row r="521" spans="1:12" x14ac:dyDescent="0.35">
      <c r="A521" s="2286">
        <v>212</v>
      </c>
      <c r="B521" s="2286"/>
      <c r="C521" s="2286"/>
      <c r="D521" s="2316" t="s">
        <v>118</v>
      </c>
      <c r="E521" s="2286"/>
      <c r="F521" s="2316" t="s">
        <v>3109</v>
      </c>
      <c r="G521" s="2316" t="s">
        <v>3110</v>
      </c>
      <c r="H521" s="2286"/>
      <c r="I521" s="2286"/>
      <c r="J521" s="2286"/>
      <c r="K521" s="2286" t="s">
        <v>3111</v>
      </c>
      <c r="L521" s="2286" t="s">
        <v>105</v>
      </c>
    </row>
    <row r="522" spans="1:12" x14ac:dyDescent="0.35">
      <c r="A522" s="2286">
        <v>213</v>
      </c>
      <c r="B522" s="2286"/>
      <c r="C522" s="2286"/>
      <c r="D522" s="2316" t="s">
        <v>119</v>
      </c>
      <c r="E522" s="2286"/>
      <c r="F522" s="2316" t="s">
        <v>3109</v>
      </c>
      <c r="G522" s="2316" t="s">
        <v>3110</v>
      </c>
      <c r="H522" s="2286"/>
      <c r="I522" s="2286"/>
      <c r="J522" s="2286"/>
      <c r="K522" s="2286" t="s">
        <v>3111</v>
      </c>
      <c r="L522" s="2286" t="s">
        <v>105</v>
      </c>
    </row>
    <row r="523" spans="1:12" x14ac:dyDescent="0.35">
      <c r="A523" s="2286">
        <v>232</v>
      </c>
      <c r="B523" s="2286"/>
      <c r="C523" s="2286"/>
      <c r="D523" s="2316" t="s">
        <v>164</v>
      </c>
      <c r="E523" s="2286"/>
      <c r="F523" s="2316" t="s">
        <v>3112</v>
      </c>
      <c r="G523" s="2316" t="s">
        <v>3113</v>
      </c>
      <c r="H523" s="2286"/>
      <c r="I523" s="2286"/>
      <c r="J523" s="2286"/>
      <c r="K523" s="2286" t="s">
        <v>3114</v>
      </c>
      <c r="L523" s="2286" t="s">
        <v>3084</v>
      </c>
    </row>
    <row r="524" spans="1:12" x14ac:dyDescent="0.35">
      <c r="A524" s="2286">
        <v>104</v>
      </c>
      <c r="B524" s="2286"/>
      <c r="C524" s="2286"/>
      <c r="D524" s="2316" t="s">
        <v>165</v>
      </c>
      <c r="E524" s="2286"/>
      <c r="F524" s="2316" t="s">
        <v>3115</v>
      </c>
      <c r="G524" s="2316" t="s">
        <v>3116</v>
      </c>
      <c r="H524" s="2286"/>
      <c r="I524" s="2286"/>
      <c r="J524" s="2286"/>
      <c r="K524" s="2286" t="s">
        <v>3117</v>
      </c>
      <c r="L524" s="2286" t="s">
        <v>3080</v>
      </c>
    </row>
    <row r="525" spans="1:12" x14ac:dyDescent="0.35">
      <c r="A525" s="2286">
        <v>277</v>
      </c>
      <c r="B525" s="2286"/>
      <c r="C525" s="2286"/>
      <c r="D525" s="2316" t="s">
        <v>165</v>
      </c>
      <c r="E525" s="2286"/>
      <c r="F525" s="2316" t="s">
        <v>3115</v>
      </c>
      <c r="G525" s="2316" t="s">
        <v>3116</v>
      </c>
      <c r="H525" s="2286"/>
      <c r="I525" s="2286"/>
      <c r="J525" s="2286"/>
      <c r="K525" s="2286" t="s">
        <v>3117</v>
      </c>
      <c r="L525" s="2286" t="s">
        <v>3080</v>
      </c>
    </row>
    <row r="526" spans="1:12" x14ac:dyDescent="0.35">
      <c r="A526" s="2286">
        <v>36</v>
      </c>
      <c r="B526" s="2286"/>
      <c r="C526" s="2286"/>
      <c r="D526" s="2316" t="s">
        <v>134</v>
      </c>
      <c r="E526" s="2286"/>
      <c r="F526" s="2316" t="s">
        <v>3118</v>
      </c>
      <c r="G526" s="2316" t="s">
        <v>3119</v>
      </c>
      <c r="H526" s="2286"/>
      <c r="I526" s="2286"/>
      <c r="J526" s="2286"/>
      <c r="K526" s="2286" t="s">
        <v>3120</v>
      </c>
      <c r="L526" s="2286" t="s">
        <v>3080</v>
      </c>
    </row>
    <row r="527" spans="1:12" x14ac:dyDescent="0.35">
      <c r="A527" s="2286">
        <v>278</v>
      </c>
      <c r="B527" s="2286"/>
      <c r="C527" s="2286"/>
      <c r="D527" s="2316" t="s">
        <v>134</v>
      </c>
      <c r="E527" s="2286"/>
      <c r="F527" s="2316" t="s">
        <v>3118</v>
      </c>
      <c r="G527" s="2316" t="s">
        <v>3119</v>
      </c>
      <c r="H527" s="2286"/>
      <c r="I527" s="2286"/>
      <c r="J527" s="2286"/>
      <c r="K527" s="2286" t="s">
        <v>3120</v>
      </c>
      <c r="L527" s="2286" t="s">
        <v>3080</v>
      </c>
    </row>
    <row r="528" spans="1:12" x14ac:dyDescent="0.35">
      <c r="A528" s="2286">
        <v>37</v>
      </c>
      <c r="B528" s="2286"/>
      <c r="C528" s="2286"/>
      <c r="D528" s="2316" t="s">
        <v>232</v>
      </c>
      <c r="E528" s="2286"/>
      <c r="F528" s="2316" t="s">
        <v>3121</v>
      </c>
      <c r="G528" s="2316" t="s">
        <v>3122</v>
      </c>
      <c r="H528" s="2286"/>
      <c r="I528" s="2286"/>
      <c r="J528" s="2286"/>
      <c r="K528" s="2286" t="s">
        <v>3123</v>
      </c>
      <c r="L528" s="2286" t="s">
        <v>3080</v>
      </c>
    </row>
    <row r="529" spans="1:12" x14ac:dyDescent="0.35">
      <c r="A529" s="2286">
        <v>279</v>
      </c>
      <c r="B529" s="2286"/>
      <c r="C529" s="2286"/>
      <c r="D529" s="2316" t="s">
        <v>232</v>
      </c>
      <c r="E529" s="2286"/>
      <c r="F529" s="2316" t="s">
        <v>3121</v>
      </c>
      <c r="G529" s="2316" t="s">
        <v>3122</v>
      </c>
      <c r="H529" s="2286"/>
      <c r="I529" s="2286"/>
      <c r="J529" s="2286"/>
      <c r="K529" s="2286" t="s">
        <v>3123</v>
      </c>
      <c r="L529" s="2286" t="s">
        <v>3080</v>
      </c>
    </row>
    <row r="530" spans="1:12" x14ac:dyDescent="0.35">
      <c r="A530" s="2286">
        <v>38</v>
      </c>
      <c r="B530" s="2286"/>
      <c r="C530" s="2286"/>
      <c r="D530" s="2316" t="s">
        <v>130</v>
      </c>
      <c r="E530" s="2286"/>
      <c r="F530" s="2316" t="s">
        <v>3121</v>
      </c>
      <c r="G530" s="2316" t="s">
        <v>3122</v>
      </c>
      <c r="H530" s="2286"/>
      <c r="I530" s="2286"/>
      <c r="J530" s="2286"/>
      <c r="K530" s="2286" t="s">
        <v>3123</v>
      </c>
      <c r="L530" s="2286" t="s">
        <v>3080</v>
      </c>
    </row>
    <row r="531" spans="1:12" x14ac:dyDescent="0.35">
      <c r="A531" s="2286">
        <v>280</v>
      </c>
      <c r="B531" s="2286"/>
      <c r="C531" s="2286"/>
      <c r="D531" s="2316" t="s">
        <v>130</v>
      </c>
      <c r="E531" s="2286"/>
      <c r="F531" s="2316" t="s">
        <v>3121</v>
      </c>
      <c r="G531" s="2316" t="s">
        <v>3122</v>
      </c>
      <c r="H531" s="2286"/>
      <c r="I531" s="2286"/>
      <c r="J531" s="2286"/>
      <c r="K531" s="2286" t="s">
        <v>3123</v>
      </c>
      <c r="L531" s="2286" t="s">
        <v>3080</v>
      </c>
    </row>
    <row r="532" spans="1:12" x14ac:dyDescent="0.35">
      <c r="A532" s="2286">
        <v>39</v>
      </c>
      <c r="B532" s="2286"/>
      <c r="C532" s="2286"/>
      <c r="D532" s="2316" t="s">
        <v>233</v>
      </c>
      <c r="E532" s="2286"/>
      <c r="F532" s="2316" t="s">
        <v>3121</v>
      </c>
      <c r="G532" s="2316" t="s">
        <v>3122</v>
      </c>
      <c r="H532" s="2286"/>
      <c r="I532" s="2286"/>
      <c r="J532" s="2286"/>
      <c r="K532" s="2286" t="s">
        <v>3123</v>
      </c>
      <c r="L532" s="2286" t="s">
        <v>3080</v>
      </c>
    </row>
    <row r="533" spans="1:12" x14ac:dyDescent="0.35">
      <c r="A533" s="2286">
        <v>281</v>
      </c>
      <c r="B533" s="2286"/>
      <c r="C533" s="2286"/>
      <c r="D533" s="2316" t="s">
        <v>233</v>
      </c>
      <c r="E533" s="2286"/>
      <c r="F533" s="2316" t="s">
        <v>3121</v>
      </c>
      <c r="G533" s="2316" t="s">
        <v>3122</v>
      </c>
      <c r="H533" s="2286"/>
      <c r="I533" s="2286"/>
      <c r="J533" s="2286"/>
      <c r="K533" s="2286" t="s">
        <v>3123</v>
      </c>
      <c r="L533" s="2286" t="s">
        <v>3080</v>
      </c>
    </row>
    <row r="534" spans="1:12" x14ac:dyDescent="0.35">
      <c r="A534" s="2286">
        <v>40</v>
      </c>
      <c r="B534" s="2286"/>
      <c r="C534" s="2286"/>
      <c r="D534" s="2316" t="s">
        <v>234</v>
      </c>
      <c r="E534" s="2286"/>
      <c r="F534" s="2316" t="s">
        <v>3121</v>
      </c>
      <c r="G534" s="2316" t="s">
        <v>3122</v>
      </c>
      <c r="H534" s="2286"/>
      <c r="I534" s="2286"/>
      <c r="J534" s="2286"/>
      <c r="K534" s="2286" t="s">
        <v>3123</v>
      </c>
      <c r="L534" s="2286" t="s">
        <v>3080</v>
      </c>
    </row>
    <row r="535" spans="1:12" x14ac:dyDescent="0.35">
      <c r="A535" s="2286">
        <v>282</v>
      </c>
      <c r="B535" s="2286"/>
      <c r="C535" s="2286"/>
      <c r="D535" s="2316" t="s">
        <v>234</v>
      </c>
      <c r="E535" s="2286"/>
      <c r="F535" s="2316" t="s">
        <v>3121</v>
      </c>
      <c r="G535" s="2316" t="s">
        <v>3122</v>
      </c>
      <c r="H535" s="2286"/>
      <c r="I535" s="2286"/>
      <c r="J535" s="2286"/>
      <c r="K535" s="2286" t="s">
        <v>3123</v>
      </c>
      <c r="L535" s="2286" t="s">
        <v>3080</v>
      </c>
    </row>
    <row r="536" spans="1:12" x14ac:dyDescent="0.35">
      <c r="A536" s="2286">
        <v>183</v>
      </c>
      <c r="B536" s="2286"/>
      <c r="C536" s="2286"/>
      <c r="D536" s="2316" t="s">
        <v>161</v>
      </c>
      <c r="E536" s="2286"/>
      <c r="F536" s="2316" t="s">
        <v>3124</v>
      </c>
      <c r="G536" s="2316" t="s">
        <v>3125</v>
      </c>
      <c r="H536" s="2286"/>
      <c r="I536" s="2286"/>
      <c r="J536" s="2286"/>
      <c r="K536" s="2286" t="s">
        <v>3126</v>
      </c>
      <c r="L536" s="2286" t="s">
        <v>105</v>
      </c>
    </row>
    <row r="537" spans="1:12" x14ac:dyDescent="0.35">
      <c r="A537" s="2286">
        <v>283</v>
      </c>
      <c r="B537" s="2286"/>
      <c r="C537" s="2286"/>
      <c r="D537" s="2316" t="s">
        <v>161</v>
      </c>
      <c r="E537" s="2286"/>
      <c r="F537" s="2316" t="s">
        <v>3124</v>
      </c>
      <c r="G537" s="2316" t="s">
        <v>3125</v>
      </c>
      <c r="H537" s="2286"/>
      <c r="I537" s="2286"/>
      <c r="J537" s="2286"/>
      <c r="K537" s="2286" t="s">
        <v>3126</v>
      </c>
      <c r="L537" s="2286" t="s">
        <v>105</v>
      </c>
    </row>
    <row r="538" spans="1:12" x14ac:dyDescent="0.35">
      <c r="A538" s="2286">
        <v>184</v>
      </c>
      <c r="B538" s="2286"/>
      <c r="C538" s="2286"/>
      <c r="D538" s="2316" t="s">
        <v>169</v>
      </c>
      <c r="E538" s="2286"/>
      <c r="F538" s="2316" t="s">
        <v>3127</v>
      </c>
      <c r="G538" s="2316" t="s">
        <v>3128</v>
      </c>
      <c r="H538" s="2286"/>
      <c r="I538" s="2286"/>
      <c r="J538" s="2286"/>
      <c r="K538" s="2286" t="s">
        <v>3129</v>
      </c>
      <c r="L538" s="2286" t="s">
        <v>3047</v>
      </c>
    </row>
    <row r="539" spans="1:12" x14ac:dyDescent="0.35">
      <c r="A539" s="2286">
        <v>284</v>
      </c>
      <c r="B539" s="2286"/>
      <c r="C539" s="2286"/>
      <c r="D539" s="2316" t="s">
        <v>169</v>
      </c>
      <c r="E539" s="2286"/>
      <c r="F539" s="2316" t="s">
        <v>3127</v>
      </c>
      <c r="G539" s="2316" t="s">
        <v>3128</v>
      </c>
      <c r="H539" s="2286"/>
      <c r="I539" s="2286"/>
      <c r="J539" s="2286"/>
      <c r="K539" s="2286" t="s">
        <v>3129</v>
      </c>
      <c r="L539" s="2286" t="s">
        <v>3047</v>
      </c>
    </row>
    <row r="540" spans="1:12" x14ac:dyDescent="0.35">
      <c r="A540" s="2286">
        <v>185</v>
      </c>
      <c r="B540" s="2286"/>
      <c r="C540" s="2286"/>
      <c r="D540" s="2316" t="s">
        <v>225</v>
      </c>
      <c r="E540" s="2286"/>
      <c r="F540" s="2316" t="s">
        <v>3130</v>
      </c>
      <c r="G540" s="2316" t="s">
        <v>3131</v>
      </c>
      <c r="H540" s="2286"/>
      <c r="I540" s="2286"/>
      <c r="J540" s="2286"/>
      <c r="K540" s="2286" t="s">
        <v>3132</v>
      </c>
      <c r="L540" s="2286" t="s">
        <v>3133</v>
      </c>
    </row>
    <row r="541" spans="1:12" x14ac:dyDescent="0.35">
      <c r="A541" s="2286">
        <v>186</v>
      </c>
      <c r="B541" s="2286"/>
      <c r="C541" s="2286"/>
      <c r="D541" s="2316" t="s">
        <v>241</v>
      </c>
      <c r="E541" s="2286"/>
      <c r="F541" s="2316" t="s">
        <v>3134</v>
      </c>
      <c r="G541" s="2316" t="s">
        <v>3135</v>
      </c>
      <c r="H541" s="2286"/>
      <c r="I541" s="2286"/>
      <c r="J541" s="2286"/>
      <c r="K541" s="2286" t="s">
        <v>3136</v>
      </c>
      <c r="L541" s="2286" t="s">
        <v>20</v>
      </c>
    </row>
    <row r="542" spans="1:12" x14ac:dyDescent="0.35">
      <c r="A542" s="2286">
        <v>285</v>
      </c>
      <c r="B542" s="2286"/>
      <c r="C542" s="2286"/>
      <c r="D542" s="2316" t="s">
        <v>241</v>
      </c>
      <c r="E542" s="2286"/>
      <c r="F542" s="2316" t="s">
        <v>3134</v>
      </c>
      <c r="G542" s="2316" t="s">
        <v>3135</v>
      </c>
      <c r="H542" s="2286"/>
      <c r="I542" s="2286"/>
      <c r="J542" s="2286"/>
      <c r="K542" s="2286" t="s">
        <v>3136</v>
      </c>
      <c r="L542" s="2286" t="s">
        <v>20</v>
      </c>
    </row>
    <row r="543" spans="1:12" x14ac:dyDescent="0.35">
      <c r="A543" s="2286">
        <v>214</v>
      </c>
      <c r="B543" s="2286"/>
      <c r="C543" s="2286"/>
      <c r="D543" s="2316" t="s">
        <v>113</v>
      </c>
      <c r="E543" s="2286"/>
      <c r="F543" s="2316" t="s">
        <v>3137</v>
      </c>
      <c r="G543" s="2316" t="s">
        <v>3138</v>
      </c>
      <c r="H543" s="2286"/>
      <c r="I543" s="2286"/>
      <c r="J543" s="2286"/>
      <c r="K543" s="2286" t="s">
        <v>3139</v>
      </c>
      <c r="L543" s="2286" t="s">
        <v>105</v>
      </c>
    </row>
    <row r="544" spans="1:12" x14ac:dyDescent="0.35">
      <c r="A544" s="2286">
        <v>286</v>
      </c>
      <c r="B544" s="2286"/>
      <c r="C544" s="2286"/>
      <c r="D544" s="2316" t="s">
        <v>113</v>
      </c>
      <c r="E544" s="2286"/>
      <c r="F544" s="2316" t="s">
        <v>3137</v>
      </c>
      <c r="G544" s="2316" t="s">
        <v>3138</v>
      </c>
      <c r="H544" s="2286"/>
      <c r="I544" s="2286"/>
      <c r="J544" s="2286"/>
      <c r="K544" s="2286" t="s">
        <v>3139</v>
      </c>
      <c r="L544" s="2286" t="s">
        <v>105</v>
      </c>
    </row>
    <row r="545" spans="1:12" x14ac:dyDescent="0.35">
      <c r="A545" s="2286">
        <v>118</v>
      </c>
      <c r="B545" s="2286"/>
      <c r="C545" s="2286"/>
      <c r="D545" s="2316" t="s">
        <v>278</v>
      </c>
      <c r="E545" s="2286"/>
      <c r="F545" s="2316" t="s">
        <v>3140</v>
      </c>
      <c r="G545" s="2316" t="s">
        <v>3141</v>
      </c>
      <c r="H545" s="2286"/>
      <c r="I545" s="2286"/>
      <c r="J545" s="2286"/>
      <c r="K545" s="2286" t="s">
        <v>3142</v>
      </c>
      <c r="L545" s="2286" t="s">
        <v>4</v>
      </c>
    </row>
    <row r="546" spans="1:12" x14ac:dyDescent="0.35">
      <c r="A546" s="2286">
        <v>408</v>
      </c>
      <c r="B546" s="2286"/>
      <c r="C546" s="2286"/>
      <c r="D546" s="2316" t="s">
        <v>278</v>
      </c>
      <c r="E546" s="2286"/>
      <c r="F546" s="2316" t="s">
        <v>3140</v>
      </c>
      <c r="G546" s="2316" t="s">
        <v>3141</v>
      </c>
      <c r="H546" s="2286"/>
      <c r="I546" s="2286"/>
      <c r="J546" s="2286"/>
      <c r="K546" s="2286" t="s">
        <v>3142</v>
      </c>
      <c r="L546" s="2286" t="s">
        <v>4</v>
      </c>
    </row>
    <row r="547" spans="1:12" x14ac:dyDescent="0.35">
      <c r="A547" s="2286">
        <v>119</v>
      </c>
      <c r="B547" s="2286"/>
      <c r="C547" s="2286"/>
      <c r="D547" s="2316" t="s">
        <v>1860</v>
      </c>
      <c r="E547" s="2286"/>
      <c r="F547" s="2316" t="s">
        <v>3140</v>
      </c>
      <c r="G547" s="2316" t="s">
        <v>3141</v>
      </c>
      <c r="H547" s="2286"/>
      <c r="I547" s="2286"/>
      <c r="J547" s="2286"/>
      <c r="K547" s="2286" t="s">
        <v>3142</v>
      </c>
      <c r="L547" s="2286" t="s">
        <v>4</v>
      </c>
    </row>
    <row r="548" spans="1:12" x14ac:dyDescent="0.35">
      <c r="A548" s="2286">
        <v>287</v>
      </c>
      <c r="B548" s="2286"/>
      <c r="C548" s="2286"/>
      <c r="D548" s="2316" t="s">
        <v>1860</v>
      </c>
      <c r="E548" s="2286"/>
      <c r="F548" s="2316" t="s">
        <v>3140</v>
      </c>
      <c r="G548" s="2316" t="s">
        <v>3141</v>
      </c>
      <c r="H548" s="2286"/>
      <c r="I548" s="2286"/>
      <c r="J548" s="2286"/>
      <c r="K548" s="2286" t="s">
        <v>3142</v>
      </c>
      <c r="L548" s="2286" t="s">
        <v>4</v>
      </c>
    </row>
    <row r="549" spans="1:12" x14ac:dyDescent="0.35">
      <c r="A549" s="2286">
        <v>436</v>
      </c>
      <c r="B549" s="2286"/>
      <c r="C549" s="2286"/>
      <c r="D549" s="2316" t="s">
        <v>1936</v>
      </c>
      <c r="E549" s="2286"/>
      <c r="F549" s="2316" t="s">
        <v>3140</v>
      </c>
      <c r="G549" s="2316" t="s">
        <v>3141</v>
      </c>
      <c r="H549" s="2286"/>
      <c r="I549" s="2286"/>
      <c r="J549" s="2286"/>
      <c r="K549" s="2286" t="s">
        <v>3142</v>
      </c>
      <c r="L549" s="2286" t="s">
        <v>4</v>
      </c>
    </row>
    <row r="550" spans="1:12" x14ac:dyDescent="0.35">
      <c r="A550" s="2286">
        <v>367</v>
      </c>
      <c r="B550" s="2286"/>
      <c r="C550" s="2286"/>
      <c r="D550" s="2316" t="s">
        <v>1056</v>
      </c>
      <c r="E550" s="2286"/>
      <c r="F550" s="2316" t="s">
        <v>3140</v>
      </c>
      <c r="G550" s="2316" t="s">
        <v>3141</v>
      </c>
      <c r="H550" s="2286"/>
      <c r="I550" s="2286"/>
      <c r="J550" s="2286"/>
      <c r="K550" s="2286" t="s">
        <v>3142</v>
      </c>
      <c r="L550" s="2286" t="s">
        <v>4</v>
      </c>
    </row>
    <row r="551" spans="1:12" x14ac:dyDescent="0.35">
      <c r="A551" s="2286">
        <v>120</v>
      </c>
      <c r="B551" s="2286"/>
      <c r="C551" s="2286"/>
      <c r="D551" s="2316" t="s">
        <v>92</v>
      </c>
      <c r="E551" s="2286"/>
      <c r="F551" s="2316" t="s">
        <v>3143</v>
      </c>
      <c r="G551" s="2316" t="s">
        <v>3144</v>
      </c>
      <c r="H551" s="2286"/>
      <c r="I551" s="2286"/>
      <c r="J551" s="2286"/>
      <c r="K551" s="2286" t="s">
        <v>3145</v>
      </c>
      <c r="L551" s="2286" t="s">
        <v>4</v>
      </c>
    </row>
    <row r="552" spans="1:12" x14ac:dyDescent="0.35">
      <c r="A552" s="2286">
        <v>437</v>
      </c>
      <c r="B552" s="2286"/>
      <c r="C552" s="2286"/>
      <c r="D552" s="2316" t="s">
        <v>92</v>
      </c>
      <c r="E552" s="2286"/>
      <c r="F552" s="2316" t="s">
        <v>3143</v>
      </c>
      <c r="G552" s="2316" t="s">
        <v>3144</v>
      </c>
      <c r="H552" s="2286"/>
      <c r="I552" s="2286"/>
      <c r="J552" s="2286"/>
      <c r="K552" s="2286" t="s">
        <v>3145</v>
      </c>
      <c r="L552" s="2286" t="s">
        <v>4</v>
      </c>
    </row>
    <row r="553" spans="1:12" x14ac:dyDescent="0.35">
      <c r="A553" s="2286">
        <v>288</v>
      </c>
      <c r="B553" s="2286"/>
      <c r="C553" s="2286"/>
      <c r="D553" s="2316" t="s">
        <v>92</v>
      </c>
      <c r="E553" s="2286"/>
      <c r="F553" s="2316" t="s">
        <v>3143</v>
      </c>
      <c r="G553" s="2316" t="s">
        <v>3144</v>
      </c>
      <c r="H553" s="2286"/>
      <c r="I553" s="2286"/>
      <c r="J553" s="2286"/>
      <c r="K553" s="2286" t="s">
        <v>3145</v>
      </c>
      <c r="L553" s="2286" t="s">
        <v>4</v>
      </c>
    </row>
    <row r="554" spans="1:12" x14ac:dyDescent="0.35">
      <c r="A554" s="2286">
        <v>121</v>
      </c>
      <c r="B554" s="2286"/>
      <c r="C554" s="2286"/>
      <c r="D554" s="2316" t="s">
        <v>96</v>
      </c>
      <c r="E554" s="2286"/>
      <c r="F554" s="2316" t="s">
        <v>3143</v>
      </c>
      <c r="G554" s="2316" t="s">
        <v>3144</v>
      </c>
      <c r="H554" s="2286"/>
      <c r="I554" s="2286"/>
      <c r="J554" s="2286"/>
      <c r="K554" s="2286" t="s">
        <v>3145</v>
      </c>
      <c r="L554" s="2286" t="s">
        <v>4</v>
      </c>
    </row>
    <row r="555" spans="1:12" x14ac:dyDescent="0.35">
      <c r="A555" s="2286">
        <v>438</v>
      </c>
      <c r="B555" s="2286"/>
      <c r="C555" s="2286"/>
      <c r="D555" s="2316" t="s">
        <v>96</v>
      </c>
      <c r="E555" s="2286"/>
      <c r="F555" s="2316" t="s">
        <v>3143</v>
      </c>
      <c r="G555" s="2316" t="s">
        <v>3144</v>
      </c>
      <c r="H555" s="2286"/>
      <c r="I555" s="2286"/>
      <c r="J555" s="2286"/>
      <c r="K555" s="2286" t="s">
        <v>3145</v>
      </c>
      <c r="L555" s="2286" t="s">
        <v>4</v>
      </c>
    </row>
    <row r="556" spans="1:12" x14ac:dyDescent="0.35">
      <c r="A556" s="2286">
        <v>289</v>
      </c>
      <c r="B556" s="2286"/>
      <c r="C556" s="2286"/>
      <c r="D556" s="2316" t="s">
        <v>96</v>
      </c>
      <c r="E556" s="2286"/>
      <c r="F556" s="2316" t="s">
        <v>3143</v>
      </c>
      <c r="G556" s="2316" t="s">
        <v>3144</v>
      </c>
      <c r="H556" s="2286"/>
      <c r="I556" s="2286"/>
      <c r="J556" s="2286"/>
      <c r="K556" s="2286" t="s">
        <v>3145</v>
      </c>
      <c r="L556" s="2286" t="s">
        <v>4</v>
      </c>
    </row>
    <row r="557" spans="1:12" x14ac:dyDescent="0.35">
      <c r="A557" s="2286">
        <v>65</v>
      </c>
      <c r="B557" s="2286"/>
      <c r="C557" s="2286"/>
      <c r="D557" s="2316" t="s">
        <v>194</v>
      </c>
      <c r="E557" s="2286"/>
      <c r="F557" s="2316" t="s">
        <v>3146</v>
      </c>
      <c r="G557" s="2316" t="s">
        <v>3147</v>
      </c>
      <c r="H557" s="2286"/>
      <c r="I557" s="2286"/>
      <c r="J557" s="2286"/>
      <c r="K557" s="2286" t="s">
        <v>3148</v>
      </c>
      <c r="L557" s="2286" t="s">
        <v>20</v>
      </c>
    </row>
    <row r="558" spans="1:12" x14ac:dyDescent="0.35">
      <c r="A558" s="2286">
        <v>290</v>
      </c>
      <c r="B558" s="2286"/>
      <c r="C558" s="2286"/>
      <c r="D558" s="2316" t="s">
        <v>194</v>
      </c>
      <c r="E558" s="2286"/>
      <c r="F558" s="2316" t="s">
        <v>3146</v>
      </c>
      <c r="G558" s="2316" t="s">
        <v>3147</v>
      </c>
      <c r="H558" s="2286"/>
      <c r="I558" s="2286"/>
      <c r="J558" s="2286"/>
      <c r="K558" s="2286" t="s">
        <v>3148</v>
      </c>
      <c r="L558" s="2286" t="s">
        <v>20</v>
      </c>
    </row>
    <row r="559" spans="1:12" x14ac:dyDescent="0.35">
      <c r="A559" s="2286">
        <v>66</v>
      </c>
      <c r="B559" s="2286"/>
      <c r="C559" s="2286"/>
      <c r="D559" s="2316" t="s">
        <v>193</v>
      </c>
      <c r="E559" s="2286"/>
      <c r="F559" s="2316" t="s">
        <v>3149</v>
      </c>
      <c r="G559" s="2316" t="s">
        <v>3150</v>
      </c>
      <c r="H559" s="2286"/>
      <c r="I559" s="2286"/>
      <c r="J559" s="2286"/>
      <c r="K559" s="2286" t="s">
        <v>3151</v>
      </c>
      <c r="L559" s="2286" t="s">
        <v>20</v>
      </c>
    </row>
    <row r="560" spans="1:12" x14ac:dyDescent="0.35">
      <c r="A560" s="2286">
        <v>291</v>
      </c>
      <c r="B560" s="2286"/>
      <c r="C560" s="2286"/>
      <c r="D560" s="2316" t="s">
        <v>193</v>
      </c>
      <c r="E560" s="2286"/>
      <c r="F560" s="2316" t="s">
        <v>3149</v>
      </c>
      <c r="G560" s="2316" t="s">
        <v>3150</v>
      </c>
      <c r="H560" s="2286"/>
      <c r="I560" s="2286"/>
      <c r="J560" s="2286"/>
      <c r="K560" s="2286" t="s">
        <v>3151</v>
      </c>
      <c r="L560" s="2286" t="s">
        <v>20</v>
      </c>
    </row>
    <row r="561" spans="1:12" x14ac:dyDescent="0.35">
      <c r="A561" s="2286">
        <v>105</v>
      </c>
      <c r="B561" s="2286"/>
      <c r="C561" s="2286"/>
      <c r="D561" s="2316" t="s">
        <v>202</v>
      </c>
      <c r="E561" s="2286"/>
      <c r="F561" s="2316" t="s">
        <v>3152</v>
      </c>
      <c r="G561" s="2316" t="s">
        <v>3153</v>
      </c>
      <c r="H561" s="2286"/>
      <c r="I561" s="2286"/>
      <c r="J561" s="2286"/>
      <c r="K561" s="2286" t="s">
        <v>3154</v>
      </c>
      <c r="L561" s="2286" t="s">
        <v>3080</v>
      </c>
    </row>
    <row r="562" spans="1:12" x14ac:dyDescent="0.35">
      <c r="A562" s="2286">
        <v>292</v>
      </c>
      <c r="B562" s="2286"/>
      <c r="C562" s="2286"/>
      <c r="D562" s="2316" t="s">
        <v>202</v>
      </c>
      <c r="E562" s="2286"/>
      <c r="F562" s="2316" t="s">
        <v>3152</v>
      </c>
      <c r="G562" s="2316" t="s">
        <v>3153</v>
      </c>
      <c r="H562" s="2286"/>
      <c r="I562" s="2286"/>
      <c r="J562" s="2286"/>
      <c r="K562" s="2286" t="s">
        <v>3154</v>
      </c>
      <c r="L562" s="2286" t="s">
        <v>3080</v>
      </c>
    </row>
    <row r="563" spans="1:12" x14ac:dyDescent="0.35">
      <c r="A563" s="2286">
        <v>68</v>
      </c>
      <c r="B563" s="2286"/>
      <c r="C563" s="2286"/>
      <c r="D563" s="2316" t="s">
        <v>195</v>
      </c>
      <c r="E563" s="2286"/>
      <c r="F563" s="2316" t="s">
        <v>3106</v>
      </c>
      <c r="G563" s="2316" t="s">
        <v>3107</v>
      </c>
      <c r="H563" s="2286"/>
      <c r="I563" s="2286"/>
      <c r="J563" s="2286"/>
      <c r="K563" s="2286" t="s">
        <v>3108</v>
      </c>
      <c r="L563" s="2286" t="s">
        <v>20</v>
      </c>
    </row>
    <row r="564" spans="1:12" x14ac:dyDescent="0.35">
      <c r="A564" s="2286">
        <v>293</v>
      </c>
      <c r="B564" s="2286"/>
      <c r="C564" s="2286"/>
      <c r="D564" s="2316" t="s">
        <v>195</v>
      </c>
      <c r="E564" s="2286"/>
      <c r="F564" s="2316" t="s">
        <v>3106</v>
      </c>
      <c r="G564" s="2316" t="s">
        <v>3107</v>
      </c>
      <c r="H564" s="2286"/>
      <c r="I564" s="2286"/>
      <c r="J564" s="2286"/>
      <c r="K564" s="2286" t="s">
        <v>3108</v>
      </c>
      <c r="L564" s="2286" t="s">
        <v>20</v>
      </c>
    </row>
    <row r="565" spans="1:12" x14ac:dyDescent="0.35">
      <c r="A565" s="2286">
        <v>106</v>
      </c>
      <c r="B565" s="2286"/>
      <c r="C565" s="2286"/>
      <c r="D565" s="2316" t="s">
        <v>201</v>
      </c>
      <c r="E565" s="2286"/>
      <c r="F565" s="2316" t="s">
        <v>3118</v>
      </c>
      <c r="G565" s="2316" t="s">
        <v>3119</v>
      </c>
      <c r="H565" s="2286"/>
      <c r="I565" s="2286"/>
      <c r="J565" s="2286"/>
      <c r="K565" s="2286" t="s">
        <v>3120</v>
      </c>
      <c r="L565" s="2286" t="s">
        <v>3080</v>
      </c>
    </row>
    <row r="566" spans="1:12" x14ac:dyDescent="0.35">
      <c r="A566" s="2286">
        <v>294</v>
      </c>
      <c r="B566" s="2286"/>
      <c r="C566" s="2286"/>
      <c r="D566" s="2316" t="s">
        <v>201</v>
      </c>
      <c r="E566" s="2286"/>
      <c r="F566" s="2316" t="s">
        <v>3118</v>
      </c>
      <c r="G566" s="2316" t="s">
        <v>3119</v>
      </c>
      <c r="H566" s="2286"/>
      <c r="I566" s="2286"/>
      <c r="J566" s="2286"/>
      <c r="K566" s="2286" t="s">
        <v>3120</v>
      </c>
      <c r="L566" s="2286" t="s">
        <v>3080</v>
      </c>
    </row>
    <row r="567" spans="1:12" x14ac:dyDescent="0.35">
      <c r="A567" s="2286">
        <v>107</v>
      </c>
      <c r="B567" s="2286"/>
      <c r="C567" s="2286"/>
      <c r="D567" s="2316" t="s">
        <v>199</v>
      </c>
      <c r="E567" s="2286"/>
      <c r="F567" s="2316" t="s">
        <v>3121</v>
      </c>
      <c r="G567" s="2316" t="s">
        <v>3122</v>
      </c>
      <c r="H567" s="2286"/>
      <c r="I567" s="2286"/>
      <c r="J567" s="2286"/>
      <c r="K567" s="2286" t="s">
        <v>3123</v>
      </c>
      <c r="L567" s="2286" t="s">
        <v>3080</v>
      </c>
    </row>
    <row r="568" spans="1:12" x14ac:dyDescent="0.35">
      <c r="A568" s="2286">
        <v>295</v>
      </c>
      <c r="B568" s="2286"/>
      <c r="C568" s="2286"/>
      <c r="D568" s="2316" t="s">
        <v>199</v>
      </c>
      <c r="E568" s="2286"/>
      <c r="F568" s="2316" t="s">
        <v>3121</v>
      </c>
      <c r="G568" s="2316" t="s">
        <v>3122</v>
      </c>
      <c r="H568" s="2286"/>
      <c r="I568" s="2286"/>
      <c r="J568" s="2286"/>
      <c r="K568" s="2286" t="s">
        <v>3123</v>
      </c>
      <c r="L568" s="2286" t="s">
        <v>3080</v>
      </c>
    </row>
    <row r="569" spans="1:12" x14ac:dyDescent="0.35">
      <c r="A569" s="2286">
        <v>108</v>
      </c>
      <c r="B569" s="2286"/>
      <c r="C569" s="2286"/>
      <c r="D569" s="2316" t="s">
        <v>200</v>
      </c>
      <c r="E569" s="2286"/>
      <c r="F569" s="2316" t="s">
        <v>3121</v>
      </c>
      <c r="G569" s="2316" t="s">
        <v>3122</v>
      </c>
      <c r="H569" s="2286"/>
      <c r="I569" s="2286"/>
      <c r="J569" s="2286"/>
      <c r="K569" s="2286" t="s">
        <v>3123</v>
      </c>
      <c r="L569" s="2286" t="s">
        <v>3080</v>
      </c>
    </row>
    <row r="570" spans="1:12" x14ac:dyDescent="0.35">
      <c r="A570" s="2286">
        <v>296</v>
      </c>
      <c r="B570" s="2286"/>
      <c r="C570" s="2286"/>
      <c r="D570" s="2316" t="s">
        <v>200</v>
      </c>
      <c r="E570" s="2286"/>
      <c r="F570" s="2316" t="s">
        <v>3121</v>
      </c>
      <c r="G570" s="2316" t="s">
        <v>3122</v>
      </c>
      <c r="H570" s="2286"/>
      <c r="I570" s="2286"/>
      <c r="J570" s="2286"/>
      <c r="K570" s="2286" t="s">
        <v>3123</v>
      </c>
      <c r="L570" s="2286" t="s">
        <v>3080</v>
      </c>
    </row>
    <row r="571" spans="1:12" x14ac:dyDescent="0.35">
      <c r="A571" s="2286">
        <v>215</v>
      </c>
      <c r="B571" s="2286"/>
      <c r="C571" s="2286"/>
      <c r="D571" s="2316" t="s">
        <v>109</v>
      </c>
      <c r="E571" s="2286"/>
      <c r="F571" s="2316" t="s">
        <v>3155</v>
      </c>
      <c r="G571" s="2316" t="s">
        <v>3156</v>
      </c>
      <c r="H571" s="2286"/>
      <c r="I571" s="2286"/>
      <c r="J571" s="2286"/>
      <c r="K571" s="2286" t="s">
        <v>3157</v>
      </c>
      <c r="L571" s="2286" t="s">
        <v>3080</v>
      </c>
    </row>
    <row r="572" spans="1:12" x14ac:dyDescent="0.35">
      <c r="A572" s="2286">
        <v>216</v>
      </c>
      <c r="B572" s="2286"/>
      <c r="C572" s="2286"/>
      <c r="D572" s="2316" t="s">
        <v>110</v>
      </c>
      <c r="E572" s="2286"/>
      <c r="F572" s="2316" t="s">
        <v>3155</v>
      </c>
      <c r="G572" s="2316" t="s">
        <v>3156</v>
      </c>
      <c r="H572" s="2286"/>
      <c r="I572" s="2286"/>
      <c r="J572" s="2286"/>
      <c r="K572" s="2286" t="s">
        <v>3157</v>
      </c>
      <c r="L572" s="2286" t="s">
        <v>3080</v>
      </c>
    </row>
    <row r="573" spans="1:12" x14ac:dyDescent="0.35">
      <c r="A573" s="2286">
        <v>122</v>
      </c>
      <c r="B573" s="2286"/>
      <c r="C573" s="2286"/>
      <c r="D573" s="2316" t="s">
        <v>1862</v>
      </c>
      <c r="E573" s="2286"/>
      <c r="F573" s="2316" t="s">
        <v>3158</v>
      </c>
      <c r="G573" s="2316" t="s">
        <v>3159</v>
      </c>
      <c r="H573" s="2286"/>
      <c r="I573" s="2286"/>
      <c r="J573" s="2286"/>
      <c r="K573" s="2286" t="s">
        <v>3160</v>
      </c>
      <c r="L573" s="2286" t="s">
        <v>4</v>
      </c>
    </row>
    <row r="574" spans="1:12" x14ac:dyDescent="0.35">
      <c r="A574" s="2286">
        <v>409</v>
      </c>
      <c r="B574" s="2286"/>
      <c r="C574" s="2286"/>
      <c r="D574" s="2316" t="s">
        <v>1862</v>
      </c>
      <c r="E574" s="2286"/>
      <c r="F574" s="2316" t="s">
        <v>3158</v>
      </c>
      <c r="G574" s="2316" t="s">
        <v>3159</v>
      </c>
      <c r="H574" s="2286"/>
      <c r="I574" s="2286"/>
      <c r="J574" s="2286"/>
      <c r="K574" s="2286" t="s">
        <v>3160</v>
      </c>
      <c r="L574" s="2286" t="s">
        <v>4</v>
      </c>
    </row>
    <row r="575" spans="1:12" x14ac:dyDescent="0.35">
      <c r="A575" s="2286">
        <v>123</v>
      </c>
      <c r="B575" s="2286"/>
      <c r="C575" s="2286"/>
      <c r="D575" s="2316" t="s">
        <v>280</v>
      </c>
      <c r="E575" s="2286"/>
      <c r="F575" s="2316" t="s">
        <v>3158</v>
      </c>
      <c r="G575" s="2316" t="s">
        <v>3159</v>
      </c>
      <c r="H575" s="2286"/>
      <c r="I575" s="2286"/>
      <c r="J575" s="2286"/>
      <c r="K575" s="2286" t="s">
        <v>3160</v>
      </c>
      <c r="L575" s="2286" t="s">
        <v>4</v>
      </c>
    </row>
    <row r="576" spans="1:12" x14ac:dyDescent="0.35">
      <c r="A576" s="2286">
        <v>410</v>
      </c>
      <c r="B576" s="2286"/>
      <c r="C576" s="2286"/>
      <c r="D576" s="2316" t="s">
        <v>280</v>
      </c>
      <c r="E576" s="2286"/>
      <c r="F576" s="2316" t="s">
        <v>3158</v>
      </c>
      <c r="G576" s="2316" t="s">
        <v>3159</v>
      </c>
      <c r="H576" s="2286"/>
      <c r="I576" s="2286"/>
      <c r="J576" s="2286"/>
      <c r="K576" s="2286" t="s">
        <v>3160</v>
      </c>
      <c r="L576" s="2286" t="s">
        <v>4</v>
      </c>
    </row>
    <row r="577" spans="1:12" x14ac:dyDescent="0.35">
      <c r="A577" s="2286">
        <v>124</v>
      </c>
      <c r="B577" s="2286"/>
      <c r="C577" s="2286"/>
      <c r="D577" s="2316" t="s">
        <v>97</v>
      </c>
      <c r="E577" s="2286"/>
      <c r="F577" s="2316" t="s">
        <v>3143</v>
      </c>
      <c r="G577" s="2316" t="s">
        <v>3144</v>
      </c>
      <c r="H577" s="2286"/>
      <c r="I577" s="2286"/>
      <c r="J577" s="2286"/>
      <c r="K577" s="2286" t="s">
        <v>3145</v>
      </c>
      <c r="L577" s="2286" t="s">
        <v>4</v>
      </c>
    </row>
    <row r="578" spans="1:12" x14ac:dyDescent="0.35">
      <c r="A578" s="2286">
        <v>411</v>
      </c>
      <c r="B578" s="2286"/>
      <c r="C578" s="2286"/>
      <c r="D578" s="2316" t="s">
        <v>97</v>
      </c>
      <c r="E578" s="2286"/>
      <c r="F578" s="2316" t="s">
        <v>3143</v>
      </c>
      <c r="G578" s="2316" t="s">
        <v>3144</v>
      </c>
      <c r="H578" s="2286"/>
      <c r="I578" s="2286"/>
      <c r="J578" s="2286"/>
      <c r="K578" s="2286" t="s">
        <v>3145</v>
      </c>
      <c r="L578" s="2286" t="s">
        <v>4</v>
      </c>
    </row>
    <row r="579" spans="1:12" x14ac:dyDescent="0.35">
      <c r="A579" s="2286">
        <v>71</v>
      </c>
      <c r="B579" s="2286"/>
      <c r="C579" s="2286"/>
      <c r="D579" s="2316" t="s">
        <v>177</v>
      </c>
      <c r="E579" s="2286"/>
      <c r="F579" s="2316" t="s">
        <v>3161</v>
      </c>
      <c r="G579" s="2316" t="s">
        <v>3162</v>
      </c>
      <c r="H579" s="2286"/>
      <c r="I579" s="2286"/>
      <c r="J579" s="2286"/>
      <c r="K579" s="2286" t="s">
        <v>177</v>
      </c>
      <c r="L579" s="2286" t="s">
        <v>2296</v>
      </c>
    </row>
    <row r="580" spans="1:12" x14ac:dyDescent="0.35">
      <c r="A580" s="2286">
        <v>217</v>
      </c>
      <c r="B580" s="2286"/>
      <c r="C580" s="2286"/>
      <c r="D580" s="2316" t="s">
        <v>125</v>
      </c>
      <c r="E580" s="2286"/>
      <c r="F580" s="2316" t="s">
        <v>3163</v>
      </c>
      <c r="G580" s="2316" t="s">
        <v>3164</v>
      </c>
      <c r="H580" s="2286"/>
      <c r="I580" s="2286"/>
      <c r="J580" s="2286"/>
      <c r="K580" s="2286" t="s">
        <v>3165</v>
      </c>
      <c r="L580" s="2286" t="s">
        <v>3133</v>
      </c>
    </row>
    <row r="581" spans="1:12" x14ac:dyDescent="0.35">
      <c r="A581" s="2286">
        <v>218</v>
      </c>
      <c r="B581" s="2286"/>
      <c r="C581" s="2286"/>
      <c r="D581" s="2316" t="s">
        <v>126</v>
      </c>
      <c r="E581" s="2286"/>
      <c r="F581" s="2316" t="s">
        <v>3163</v>
      </c>
      <c r="G581" s="2316" t="s">
        <v>3164</v>
      </c>
      <c r="H581" s="2286"/>
      <c r="I581" s="2286"/>
      <c r="J581" s="2286"/>
      <c r="K581" s="2286" t="s">
        <v>3165</v>
      </c>
      <c r="L581" s="2286" t="s">
        <v>3133</v>
      </c>
    </row>
    <row r="582" spans="1:12" x14ac:dyDescent="0.35">
      <c r="A582" s="2286">
        <v>219</v>
      </c>
      <c r="B582" s="2286"/>
      <c r="C582" s="2286"/>
      <c r="D582" s="2316" t="s">
        <v>127</v>
      </c>
      <c r="E582" s="2286"/>
      <c r="F582" s="2316" t="s">
        <v>3163</v>
      </c>
      <c r="G582" s="2316" t="s">
        <v>3164</v>
      </c>
      <c r="H582" s="2286"/>
      <c r="I582" s="2286"/>
      <c r="J582" s="2286"/>
      <c r="K582" s="2286" t="s">
        <v>3165</v>
      </c>
      <c r="L582" s="2286" t="s">
        <v>3133</v>
      </c>
    </row>
    <row r="583" spans="1:12" x14ac:dyDescent="0.35">
      <c r="A583" s="2286">
        <v>233</v>
      </c>
      <c r="B583" s="2286"/>
      <c r="C583" s="2286"/>
      <c r="D583" s="2316" t="s">
        <v>197</v>
      </c>
      <c r="E583" s="2286"/>
      <c r="F583" s="2316" t="s">
        <v>3166</v>
      </c>
      <c r="G583" s="2316" t="s">
        <v>3167</v>
      </c>
      <c r="H583" s="2286"/>
      <c r="I583" s="2286"/>
      <c r="J583" s="2286"/>
      <c r="K583" s="2286" t="s">
        <v>3168</v>
      </c>
      <c r="L583" s="2286" t="s">
        <v>2296</v>
      </c>
    </row>
    <row r="584" spans="1:12" x14ac:dyDescent="0.35">
      <c r="A584" s="2286">
        <v>297</v>
      </c>
      <c r="B584" s="2286"/>
      <c r="C584" s="2286"/>
      <c r="D584" s="2316" t="s">
        <v>197</v>
      </c>
      <c r="E584" s="2286"/>
      <c r="F584" s="2316" t="s">
        <v>3166</v>
      </c>
      <c r="G584" s="2316" t="s">
        <v>3167</v>
      </c>
      <c r="H584" s="2286"/>
      <c r="I584" s="2286"/>
      <c r="J584" s="2286"/>
      <c r="K584" s="2286" t="s">
        <v>3168</v>
      </c>
      <c r="L584" s="2286" t="s">
        <v>2296</v>
      </c>
    </row>
    <row r="585" spans="1:12" x14ac:dyDescent="0.35">
      <c r="A585" s="2286">
        <v>220</v>
      </c>
      <c r="B585" s="2286"/>
      <c r="C585" s="2286"/>
      <c r="D585" s="2316" t="s">
        <v>122</v>
      </c>
      <c r="E585" s="2286"/>
      <c r="F585" s="2316" t="s">
        <v>3163</v>
      </c>
      <c r="G585" s="2316" t="s">
        <v>3164</v>
      </c>
      <c r="H585" s="2286"/>
      <c r="I585" s="2286"/>
      <c r="J585" s="2286"/>
      <c r="K585" s="2286" t="s">
        <v>3165</v>
      </c>
      <c r="L585" s="2286" t="s">
        <v>3133</v>
      </c>
    </row>
    <row r="586" spans="1:12" x14ac:dyDescent="0.35">
      <c r="A586" s="2286">
        <v>221</v>
      </c>
      <c r="B586" s="2286"/>
      <c r="C586" s="2286"/>
      <c r="D586" s="2316" t="s">
        <v>123</v>
      </c>
      <c r="E586" s="2286"/>
      <c r="F586" s="2316" t="s">
        <v>3163</v>
      </c>
      <c r="G586" s="2316" t="s">
        <v>3164</v>
      </c>
      <c r="H586" s="2286"/>
      <c r="I586" s="2286"/>
      <c r="J586" s="2286"/>
      <c r="K586" s="2286" t="s">
        <v>3165</v>
      </c>
      <c r="L586" s="2286" t="s">
        <v>3133</v>
      </c>
    </row>
    <row r="587" spans="1:12" x14ac:dyDescent="0.35">
      <c r="A587" s="2286">
        <v>222</v>
      </c>
      <c r="B587" s="2286"/>
      <c r="C587" s="2286"/>
      <c r="D587" s="2316" t="s">
        <v>124</v>
      </c>
      <c r="E587" s="2286"/>
      <c r="F587" s="2316" t="s">
        <v>3163</v>
      </c>
      <c r="G587" s="2316" t="s">
        <v>3164</v>
      </c>
      <c r="H587" s="2286"/>
      <c r="I587" s="2286"/>
      <c r="J587" s="2286"/>
      <c r="K587" s="2286" t="s">
        <v>3165</v>
      </c>
      <c r="L587" s="2286" t="s">
        <v>3133</v>
      </c>
    </row>
    <row r="588" spans="1:12" x14ac:dyDescent="0.35">
      <c r="A588" s="2286">
        <v>125</v>
      </c>
      <c r="B588" s="2286"/>
      <c r="C588" s="2286"/>
      <c r="D588" s="2316" t="s">
        <v>91</v>
      </c>
      <c r="E588" s="2286"/>
      <c r="F588" s="2316" t="s">
        <v>3169</v>
      </c>
      <c r="G588" s="2316" t="s">
        <v>3170</v>
      </c>
      <c r="H588" s="2286"/>
      <c r="I588" s="2286"/>
      <c r="J588" s="2286"/>
      <c r="K588" s="2286" t="s">
        <v>3171</v>
      </c>
      <c r="L588" s="2286" t="s">
        <v>4</v>
      </c>
    </row>
    <row r="589" spans="1:12" x14ac:dyDescent="0.35">
      <c r="A589" s="2286">
        <v>439</v>
      </c>
      <c r="B589" s="2286"/>
      <c r="C589" s="2286"/>
      <c r="D589" s="2316" t="s">
        <v>91</v>
      </c>
      <c r="E589" s="2286"/>
      <c r="F589" s="2316" t="s">
        <v>3169</v>
      </c>
      <c r="G589" s="2316" t="s">
        <v>3170</v>
      </c>
      <c r="H589" s="2286"/>
      <c r="I589" s="2286"/>
      <c r="J589" s="2286"/>
      <c r="K589" s="2286" t="s">
        <v>3171</v>
      </c>
      <c r="L589" s="2286" t="s">
        <v>4</v>
      </c>
    </row>
    <row r="590" spans="1:12" x14ac:dyDescent="0.35">
      <c r="A590" s="2286">
        <v>298</v>
      </c>
      <c r="B590" s="2286"/>
      <c r="C590" s="2286"/>
      <c r="D590" s="2316" t="s">
        <v>91</v>
      </c>
      <c r="E590" s="2286"/>
      <c r="F590" s="2316" t="s">
        <v>3169</v>
      </c>
      <c r="G590" s="2316" t="s">
        <v>3170</v>
      </c>
      <c r="H590" s="2286"/>
      <c r="I590" s="2286"/>
      <c r="J590" s="2286"/>
      <c r="K590" s="2286" t="s">
        <v>3171</v>
      </c>
      <c r="L590" s="2286" t="s">
        <v>4</v>
      </c>
    </row>
    <row r="591" spans="1:12" x14ac:dyDescent="0.35">
      <c r="A591" s="2286">
        <v>234</v>
      </c>
      <c r="B591" s="2286"/>
      <c r="C591" s="2286"/>
      <c r="D591" s="2316" t="s">
        <v>103</v>
      </c>
      <c r="E591" s="2286"/>
      <c r="F591" s="2316" t="s">
        <v>3166</v>
      </c>
      <c r="G591" s="2316" t="s">
        <v>3167</v>
      </c>
      <c r="H591" s="2286"/>
      <c r="I591" s="2286"/>
      <c r="J591" s="2286"/>
      <c r="K591" s="2286" t="s">
        <v>3168</v>
      </c>
      <c r="L591" s="2286" t="s">
        <v>2296</v>
      </c>
    </row>
    <row r="592" spans="1:12" x14ac:dyDescent="0.35">
      <c r="A592" s="2286">
        <v>299</v>
      </c>
      <c r="B592" s="2286"/>
      <c r="C592" s="2286"/>
      <c r="D592" s="2316" t="s">
        <v>103</v>
      </c>
      <c r="E592" s="2286"/>
      <c r="F592" s="2316" t="s">
        <v>3166</v>
      </c>
      <c r="G592" s="2316" t="s">
        <v>3167</v>
      </c>
      <c r="H592" s="2286"/>
      <c r="I592" s="2286"/>
      <c r="J592" s="2286"/>
      <c r="K592" s="2286" t="s">
        <v>3168</v>
      </c>
      <c r="L592" s="2286" t="s">
        <v>2296</v>
      </c>
    </row>
    <row r="593" spans="1:12" x14ac:dyDescent="0.35">
      <c r="A593" s="2286">
        <v>235</v>
      </c>
      <c r="B593" s="2286"/>
      <c r="C593" s="2286"/>
      <c r="D593" s="2316" t="s">
        <v>198</v>
      </c>
      <c r="E593" s="2286"/>
      <c r="F593" s="2316" t="s">
        <v>3166</v>
      </c>
      <c r="G593" s="2316" t="s">
        <v>3167</v>
      </c>
      <c r="H593" s="2286"/>
      <c r="I593" s="2286"/>
      <c r="J593" s="2286"/>
      <c r="K593" s="2286" t="s">
        <v>3168</v>
      </c>
      <c r="L593" s="2286" t="s">
        <v>2296</v>
      </c>
    </row>
    <row r="594" spans="1:12" x14ac:dyDescent="0.35">
      <c r="A594" s="2286">
        <v>300</v>
      </c>
      <c r="B594" s="2286"/>
      <c r="C594" s="2286"/>
      <c r="D594" s="2316" t="s">
        <v>198</v>
      </c>
      <c r="E594" s="2286"/>
      <c r="F594" s="2316" t="s">
        <v>3166</v>
      </c>
      <c r="G594" s="2316" t="s">
        <v>3167</v>
      </c>
      <c r="H594" s="2286"/>
      <c r="I594" s="2286"/>
      <c r="J594" s="2286"/>
      <c r="K594" s="2286" t="s">
        <v>3168</v>
      </c>
      <c r="L594" s="2286" t="s">
        <v>2296</v>
      </c>
    </row>
    <row r="595" spans="1:12" x14ac:dyDescent="0.35">
      <c r="A595" s="2286">
        <v>236</v>
      </c>
      <c r="B595" s="2286"/>
      <c r="C595" s="2286"/>
      <c r="D595" s="2316" t="s">
        <v>196</v>
      </c>
      <c r="E595" s="2286"/>
      <c r="F595" s="2316" t="s">
        <v>3172</v>
      </c>
      <c r="G595" s="2316" t="s">
        <v>3173</v>
      </c>
      <c r="H595" s="2286"/>
      <c r="I595" s="2286"/>
      <c r="J595" s="2286"/>
      <c r="K595" s="2286" t="s">
        <v>3174</v>
      </c>
      <c r="L595" s="2286" t="s">
        <v>2296</v>
      </c>
    </row>
    <row r="596" spans="1:12" x14ac:dyDescent="0.35">
      <c r="A596" s="2286">
        <v>301</v>
      </c>
      <c r="B596" s="2286"/>
      <c r="C596" s="2286"/>
      <c r="D596" s="2316" t="s">
        <v>196</v>
      </c>
      <c r="E596" s="2286"/>
      <c r="F596" s="2316" t="s">
        <v>3172</v>
      </c>
      <c r="G596" s="2316" t="s">
        <v>3173</v>
      </c>
      <c r="H596" s="2286"/>
      <c r="I596" s="2286"/>
      <c r="J596" s="2286"/>
      <c r="K596" s="2286" t="s">
        <v>3174</v>
      </c>
      <c r="L596" s="2286" t="s">
        <v>2296</v>
      </c>
    </row>
    <row r="597" spans="1:12" x14ac:dyDescent="0.35">
      <c r="A597" s="2286">
        <v>237</v>
      </c>
      <c r="B597" s="2286"/>
      <c r="C597" s="2286"/>
      <c r="D597" s="2316" t="s">
        <v>104</v>
      </c>
      <c r="E597" s="2286"/>
      <c r="F597" s="2316" t="s">
        <v>3172</v>
      </c>
      <c r="G597" s="2316" t="s">
        <v>3173</v>
      </c>
      <c r="H597" s="2286"/>
      <c r="I597" s="2286"/>
      <c r="J597" s="2286"/>
      <c r="K597" s="2286" t="s">
        <v>3174</v>
      </c>
      <c r="L597" s="2286" t="s">
        <v>2296</v>
      </c>
    </row>
    <row r="598" spans="1:12" x14ac:dyDescent="0.35">
      <c r="A598" s="2286">
        <v>302</v>
      </c>
      <c r="B598" s="2286"/>
      <c r="C598" s="2286"/>
      <c r="D598" s="2316" t="s">
        <v>104</v>
      </c>
      <c r="E598" s="2286"/>
      <c r="F598" s="2316" t="s">
        <v>3172</v>
      </c>
      <c r="G598" s="2316" t="s">
        <v>3173</v>
      </c>
      <c r="H598" s="2286"/>
      <c r="I598" s="2286"/>
      <c r="J598" s="2286"/>
      <c r="K598" s="2286" t="s">
        <v>3174</v>
      </c>
      <c r="L598" s="2286" t="s">
        <v>2296</v>
      </c>
    </row>
    <row r="599" spans="1:12" x14ac:dyDescent="0.35">
      <c r="A599" s="2286">
        <v>187</v>
      </c>
      <c r="B599" s="2286"/>
      <c r="C599" s="2286"/>
      <c r="D599" s="2316" t="s">
        <v>224</v>
      </c>
      <c r="E599" s="2286"/>
      <c r="F599" s="2316" t="s">
        <v>3175</v>
      </c>
      <c r="G599" s="2316" t="s">
        <v>3176</v>
      </c>
      <c r="H599" s="2286"/>
      <c r="I599" s="2286"/>
      <c r="J599" s="2286"/>
      <c r="K599" s="2286" t="s">
        <v>3177</v>
      </c>
      <c r="L599" s="2286" t="s">
        <v>3133</v>
      </c>
    </row>
    <row r="600" spans="1:12" x14ac:dyDescent="0.35">
      <c r="A600" s="2286">
        <v>126</v>
      </c>
      <c r="B600" s="2286"/>
      <c r="C600" s="2286"/>
      <c r="D600" s="2316" t="s">
        <v>82</v>
      </c>
      <c r="E600" s="2286"/>
      <c r="F600" s="2316" t="s">
        <v>3054</v>
      </c>
      <c r="G600" s="2316" t="s">
        <v>3055</v>
      </c>
      <c r="H600" s="2286"/>
      <c r="I600" s="2286"/>
      <c r="J600" s="2286"/>
      <c r="K600" s="2286" t="s">
        <v>3056</v>
      </c>
      <c r="L600" s="2286" t="s">
        <v>4</v>
      </c>
    </row>
    <row r="601" spans="1:12" x14ac:dyDescent="0.35">
      <c r="A601" s="2286">
        <v>440</v>
      </c>
      <c r="B601" s="2286"/>
      <c r="C601" s="2286"/>
      <c r="D601" s="2316" t="s">
        <v>82</v>
      </c>
      <c r="E601" s="2286"/>
      <c r="F601" s="2316" t="s">
        <v>3054</v>
      </c>
      <c r="G601" s="2316" t="s">
        <v>3055</v>
      </c>
      <c r="H601" s="2286"/>
      <c r="I601" s="2286"/>
      <c r="J601" s="2286"/>
      <c r="K601" s="2286" t="s">
        <v>3056</v>
      </c>
      <c r="L601" s="2286" t="s">
        <v>4</v>
      </c>
    </row>
    <row r="602" spans="1:12" x14ac:dyDescent="0.35">
      <c r="A602" s="2286">
        <v>303</v>
      </c>
      <c r="B602" s="2286"/>
      <c r="C602" s="2286"/>
      <c r="D602" s="2316" t="s">
        <v>82</v>
      </c>
      <c r="E602" s="2286"/>
      <c r="F602" s="2316" t="s">
        <v>3054</v>
      </c>
      <c r="G602" s="2316" t="s">
        <v>3055</v>
      </c>
      <c r="H602" s="2286"/>
      <c r="I602" s="2286"/>
      <c r="J602" s="2286"/>
      <c r="K602" s="2286" t="s">
        <v>3056</v>
      </c>
      <c r="L602" s="2286" t="s">
        <v>4</v>
      </c>
    </row>
    <row r="603" spans="1:12" x14ac:dyDescent="0.35">
      <c r="A603" s="2286">
        <v>41</v>
      </c>
      <c r="B603" s="2286"/>
      <c r="C603" s="2286"/>
      <c r="D603" s="2316" t="s">
        <v>133</v>
      </c>
      <c r="E603" s="2286"/>
      <c r="F603" s="2316" t="s">
        <v>3178</v>
      </c>
      <c r="G603" s="2316" t="s">
        <v>3179</v>
      </c>
      <c r="H603" s="2286"/>
      <c r="I603" s="2286"/>
      <c r="J603" s="2286"/>
      <c r="K603" s="2286" t="s">
        <v>3180</v>
      </c>
      <c r="L603" s="2286" t="s">
        <v>3080</v>
      </c>
    </row>
    <row r="604" spans="1:12" x14ac:dyDescent="0.35">
      <c r="A604" s="2286">
        <v>304</v>
      </c>
      <c r="B604" s="2286"/>
      <c r="C604" s="2286"/>
      <c r="D604" s="2316" t="s">
        <v>133</v>
      </c>
      <c r="E604" s="2286"/>
      <c r="F604" s="2316" t="s">
        <v>3178</v>
      </c>
      <c r="G604" s="2316" t="s">
        <v>3179</v>
      </c>
      <c r="H604" s="2286"/>
      <c r="I604" s="2286"/>
      <c r="J604" s="2286"/>
      <c r="K604" s="2286" t="s">
        <v>3180</v>
      </c>
      <c r="L604" s="2286" t="s">
        <v>3080</v>
      </c>
    </row>
    <row r="605" spans="1:12" x14ac:dyDescent="0.35">
      <c r="A605" s="2286">
        <v>42</v>
      </c>
      <c r="B605" s="2286"/>
      <c r="C605" s="2286"/>
      <c r="D605" s="2316" t="s">
        <v>131</v>
      </c>
      <c r="E605" s="2286"/>
      <c r="F605" s="2316" t="s">
        <v>3178</v>
      </c>
      <c r="G605" s="2316" t="s">
        <v>3179</v>
      </c>
      <c r="H605" s="2286"/>
      <c r="I605" s="2286"/>
      <c r="J605" s="2286"/>
      <c r="K605" s="2286" t="s">
        <v>3180</v>
      </c>
      <c r="L605" s="2286" t="s">
        <v>3080</v>
      </c>
    </row>
    <row r="606" spans="1:12" x14ac:dyDescent="0.35">
      <c r="A606" s="2286">
        <v>305</v>
      </c>
      <c r="B606" s="2286"/>
      <c r="C606" s="2286"/>
      <c r="D606" s="2316" t="s">
        <v>131</v>
      </c>
      <c r="E606" s="2286"/>
      <c r="F606" s="2316" t="s">
        <v>3178</v>
      </c>
      <c r="G606" s="2316" t="s">
        <v>3179</v>
      </c>
      <c r="H606" s="2286"/>
      <c r="I606" s="2286"/>
      <c r="J606" s="2286"/>
      <c r="K606" s="2286" t="s">
        <v>3180</v>
      </c>
      <c r="L606" s="2286" t="s">
        <v>3080</v>
      </c>
    </row>
    <row r="607" spans="1:12" x14ac:dyDescent="0.35">
      <c r="A607" s="2286">
        <v>43</v>
      </c>
      <c r="B607" s="2286"/>
      <c r="C607" s="2286"/>
      <c r="D607" s="2316" t="s">
        <v>132</v>
      </c>
      <c r="E607" s="2286"/>
      <c r="F607" s="2316" t="s">
        <v>3178</v>
      </c>
      <c r="G607" s="2316" t="s">
        <v>3179</v>
      </c>
      <c r="H607" s="2286"/>
      <c r="I607" s="2286"/>
      <c r="J607" s="2286"/>
      <c r="K607" s="2286" t="s">
        <v>3180</v>
      </c>
      <c r="L607" s="2286" t="s">
        <v>3080</v>
      </c>
    </row>
    <row r="608" spans="1:12" x14ac:dyDescent="0.35">
      <c r="A608" s="2286">
        <v>306</v>
      </c>
      <c r="B608" s="2286"/>
      <c r="C608" s="2286"/>
      <c r="D608" s="2316" t="s">
        <v>132</v>
      </c>
      <c r="E608" s="2286"/>
      <c r="F608" s="2316" t="s">
        <v>3178</v>
      </c>
      <c r="G608" s="2316" t="s">
        <v>3179</v>
      </c>
      <c r="H608" s="2286"/>
      <c r="I608" s="2286"/>
      <c r="J608" s="2286"/>
      <c r="K608" s="2286" t="s">
        <v>3180</v>
      </c>
      <c r="L608" s="2286" t="s">
        <v>3080</v>
      </c>
    </row>
    <row r="609" spans="1:12" x14ac:dyDescent="0.35">
      <c r="A609" s="2286">
        <v>223</v>
      </c>
      <c r="B609" s="2286"/>
      <c r="C609" s="2286"/>
      <c r="D609" s="2316" t="s">
        <v>180</v>
      </c>
      <c r="E609" s="2286"/>
      <c r="F609" s="2316" t="s">
        <v>3181</v>
      </c>
      <c r="G609" s="2316" t="s">
        <v>3182</v>
      </c>
      <c r="H609" s="2286"/>
      <c r="I609" s="2286"/>
      <c r="J609" s="2286"/>
      <c r="K609" s="2286" t="s">
        <v>3183</v>
      </c>
      <c r="L609" s="2286" t="s">
        <v>20</v>
      </c>
    </row>
    <row r="610" spans="1:12" x14ac:dyDescent="0.35">
      <c r="A610" s="2286">
        <v>109</v>
      </c>
      <c r="B610" s="2286"/>
      <c r="C610" s="2286"/>
      <c r="D610" s="2316" t="s">
        <v>151</v>
      </c>
      <c r="E610" s="2286"/>
      <c r="F610" s="2316" t="s">
        <v>3184</v>
      </c>
      <c r="G610" s="2316" t="s">
        <v>3185</v>
      </c>
      <c r="H610" s="2286"/>
      <c r="I610" s="2286"/>
      <c r="J610" s="2286"/>
      <c r="K610" s="2286" t="s">
        <v>3186</v>
      </c>
      <c r="L610" s="2286" t="s">
        <v>3080</v>
      </c>
    </row>
    <row r="611" spans="1:12" x14ac:dyDescent="0.35">
      <c r="A611" s="2286">
        <v>307</v>
      </c>
      <c r="B611" s="2286"/>
      <c r="C611" s="2286"/>
      <c r="D611" s="2316" t="s">
        <v>151</v>
      </c>
      <c r="E611" s="2286"/>
      <c r="F611" s="2316" t="s">
        <v>3184</v>
      </c>
      <c r="G611" s="2316" t="s">
        <v>3185</v>
      </c>
      <c r="H611" s="2286"/>
      <c r="I611" s="2286"/>
      <c r="J611" s="2286"/>
      <c r="K611" s="2286" t="s">
        <v>3186</v>
      </c>
      <c r="L611" s="2286" t="s">
        <v>3080</v>
      </c>
    </row>
    <row r="612" spans="1:12" x14ac:dyDescent="0.35">
      <c r="A612" s="2286">
        <v>74</v>
      </c>
      <c r="B612" s="2286"/>
      <c r="C612" s="2286"/>
      <c r="D612" s="2316" t="s">
        <v>142</v>
      </c>
      <c r="E612" s="2286"/>
      <c r="F612" s="2316" t="s">
        <v>3187</v>
      </c>
      <c r="G612" s="2316" t="s">
        <v>3188</v>
      </c>
      <c r="H612" s="2286"/>
      <c r="I612" s="2286"/>
      <c r="J612" s="2286"/>
      <c r="K612" s="2286" t="s">
        <v>3189</v>
      </c>
      <c r="L612" s="2286" t="s">
        <v>20</v>
      </c>
    </row>
    <row r="613" spans="1:12" x14ac:dyDescent="0.35">
      <c r="A613" s="2286">
        <v>110</v>
      </c>
      <c r="B613" s="2286"/>
      <c r="C613" s="2286"/>
      <c r="D613" s="2316" t="s">
        <v>152</v>
      </c>
      <c r="E613" s="2286"/>
      <c r="F613" s="2316" t="s">
        <v>3190</v>
      </c>
      <c r="G613" s="2316" t="s">
        <v>3191</v>
      </c>
      <c r="H613" s="2286"/>
      <c r="I613" s="2286"/>
      <c r="J613" s="2286"/>
      <c r="K613" s="2286" t="s">
        <v>152</v>
      </c>
      <c r="L613" s="2286" t="s">
        <v>3080</v>
      </c>
    </row>
    <row r="614" spans="1:12" x14ac:dyDescent="0.35">
      <c r="A614" s="2286">
        <v>111</v>
      </c>
      <c r="B614" s="2286"/>
      <c r="C614" s="2286"/>
      <c r="D614" s="2316" t="s">
        <v>150</v>
      </c>
      <c r="E614" s="2286"/>
      <c r="F614" s="2316" t="s">
        <v>3192</v>
      </c>
      <c r="G614" s="2316" t="s">
        <v>3193</v>
      </c>
      <c r="H614" s="2286"/>
      <c r="I614" s="2286"/>
      <c r="J614" s="2286"/>
      <c r="K614" s="2286" t="s">
        <v>150</v>
      </c>
      <c r="L614" s="2286" t="s">
        <v>3080</v>
      </c>
    </row>
    <row r="615" spans="1:12" x14ac:dyDescent="0.35">
      <c r="A615" s="2286">
        <v>112</v>
      </c>
      <c r="B615" s="2286"/>
      <c r="C615" s="2286"/>
      <c r="D615" s="2316" t="s">
        <v>149</v>
      </c>
      <c r="E615" s="2286"/>
      <c r="F615" s="2316" t="s">
        <v>3194</v>
      </c>
      <c r="G615" s="2316" t="s">
        <v>3195</v>
      </c>
      <c r="H615" s="2286"/>
      <c r="I615" s="2286"/>
      <c r="J615" s="2286"/>
      <c r="K615" s="2286" t="s">
        <v>149</v>
      </c>
      <c r="L615" s="2286" t="s">
        <v>3080</v>
      </c>
    </row>
    <row r="616" spans="1:12" x14ac:dyDescent="0.35">
      <c r="A616" s="2286">
        <v>310</v>
      </c>
      <c r="B616" s="2286"/>
      <c r="C616" s="2286"/>
      <c r="D616" s="2316" t="s">
        <v>149</v>
      </c>
      <c r="E616" s="2286"/>
      <c r="F616" s="2316" t="s">
        <v>3194</v>
      </c>
      <c r="G616" s="2316" t="s">
        <v>3195</v>
      </c>
      <c r="H616" s="2286"/>
      <c r="I616" s="2286"/>
      <c r="J616" s="2286"/>
      <c r="K616" s="2286" t="s">
        <v>149</v>
      </c>
      <c r="L616" s="2286" t="s">
        <v>3080</v>
      </c>
    </row>
    <row r="617" spans="1:12" x14ac:dyDescent="0.35">
      <c r="A617" s="2286">
        <v>127</v>
      </c>
      <c r="B617" s="2286"/>
      <c r="C617" s="2286"/>
      <c r="D617" s="2316" t="s">
        <v>1863</v>
      </c>
      <c r="E617" s="2286"/>
      <c r="F617" s="2316" t="s">
        <v>3158</v>
      </c>
      <c r="G617" s="2316" t="s">
        <v>3159</v>
      </c>
      <c r="H617" s="2286"/>
      <c r="I617" s="2286"/>
      <c r="J617" s="2286"/>
      <c r="K617" s="2286" t="s">
        <v>3160</v>
      </c>
      <c r="L617" s="2286" t="s">
        <v>4</v>
      </c>
    </row>
    <row r="618" spans="1:12" x14ac:dyDescent="0.35">
      <c r="A618" s="2286">
        <v>441</v>
      </c>
      <c r="B618" s="2286"/>
      <c r="C618" s="2286"/>
      <c r="D618" s="2316" t="s">
        <v>1863</v>
      </c>
      <c r="E618" s="2286"/>
      <c r="F618" s="2316" t="s">
        <v>3158</v>
      </c>
      <c r="G618" s="2316" t="s">
        <v>3159</v>
      </c>
      <c r="H618" s="2286"/>
      <c r="I618" s="2286"/>
      <c r="J618" s="2286"/>
      <c r="K618" s="2286" t="s">
        <v>3160</v>
      </c>
      <c r="L618" s="2286" t="s">
        <v>4</v>
      </c>
    </row>
    <row r="619" spans="1:12" x14ac:dyDescent="0.35">
      <c r="A619" s="2286">
        <v>311</v>
      </c>
      <c r="B619" s="2286"/>
      <c r="C619" s="2286"/>
      <c r="D619" s="2316" t="s">
        <v>1863</v>
      </c>
      <c r="E619" s="2286"/>
      <c r="F619" s="2316" t="s">
        <v>3158</v>
      </c>
      <c r="G619" s="2316" t="s">
        <v>3159</v>
      </c>
      <c r="H619" s="2286"/>
      <c r="I619" s="2286"/>
      <c r="J619" s="2286"/>
      <c r="K619" s="2286" t="s">
        <v>3160</v>
      </c>
      <c r="L619" s="2286" t="s">
        <v>4</v>
      </c>
    </row>
    <row r="620" spans="1:12" x14ac:dyDescent="0.35">
      <c r="A620" s="2286">
        <v>128</v>
      </c>
      <c r="B620" s="2286"/>
      <c r="C620" s="2286"/>
      <c r="D620" s="2316" t="s">
        <v>281</v>
      </c>
      <c r="E620" s="2286"/>
      <c r="F620" s="2316" t="s">
        <v>3158</v>
      </c>
      <c r="G620" s="2316" t="s">
        <v>3159</v>
      </c>
      <c r="H620" s="2286"/>
      <c r="I620" s="2286"/>
      <c r="J620" s="2286"/>
      <c r="K620" s="2286" t="s">
        <v>3160</v>
      </c>
      <c r="L620" s="2286" t="s">
        <v>4</v>
      </c>
    </row>
    <row r="621" spans="1:12" x14ac:dyDescent="0.35">
      <c r="A621" s="2286">
        <v>413</v>
      </c>
      <c r="B621" s="2286"/>
      <c r="C621" s="2286"/>
      <c r="D621" s="2316" t="s">
        <v>281</v>
      </c>
      <c r="E621" s="2286"/>
      <c r="F621" s="2316" t="s">
        <v>3158</v>
      </c>
      <c r="G621" s="2316" t="s">
        <v>3159</v>
      </c>
      <c r="H621" s="2286"/>
      <c r="I621" s="2286"/>
      <c r="J621" s="2286"/>
      <c r="K621" s="2286" t="s">
        <v>3160</v>
      </c>
      <c r="L621" s="2286" t="s">
        <v>4</v>
      </c>
    </row>
    <row r="622" spans="1:12" x14ac:dyDescent="0.35">
      <c r="A622" s="2286">
        <v>368</v>
      </c>
      <c r="B622" s="2286"/>
      <c r="C622" s="2286"/>
      <c r="D622" s="2316" t="s">
        <v>1058</v>
      </c>
      <c r="E622" s="2286"/>
      <c r="F622" s="2316" t="s">
        <v>3158</v>
      </c>
      <c r="G622" s="2316" t="s">
        <v>3159</v>
      </c>
      <c r="H622" s="2286"/>
      <c r="I622" s="2286"/>
      <c r="J622" s="2286"/>
      <c r="K622" s="2286" t="s">
        <v>3160</v>
      </c>
      <c r="L622" s="2286" t="s">
        <v>4</v>
      </c>
    </row>
    <row r="623" spans="1:12" x14ac:dyDescent="0.35">
      <c r="A623" s="2286">
        <v>75</v>
      </c>
      <c r="B623" s="2286"/>
      <c r="C623" s="2286"/>
      <c r="D623" s="2316" t="s">
        <v>158</v>
      </c>
      <c r="E623" s="2286"/>
      <c r="F623" s="2316" t="s">
        <v>3196</v>
      </c>
      <c r="G623" s="2316" t="s">
        <v>3197</v>
      </c>
      <c r="H623" s="2286"/>
      <c r="I623" s="2286"/>
      <c r="J623" s="2286"/>
      <c r="K623" s="2286" t="s">
        <v>3198</v>
      </c>
      <c r="L623" s="2286" t="s">
        <v>3080</v>
      </c>
    </row>
    <row r="624" spans="1:12" x14ac:dyDescent="0.35">
      <c r="A624" s="2286">
        <v>414</v>
      </c>
      <c r="B624" s="2286"/>
      <c r="C624" s="2286"/>
      <c r="D624" s="2316" t="s">
        <v>158</v>
      </c>
      <c r="E624" s="2286"/>
      <c r="F624" s="2316" t="s">
        <v>3196</v>
      </c>
      <c r="G624" s="2316" t="s">
        <v>3197</v>
      </c>
      <c r="H624" s="2286"/>
      <c r="I624" s="2286"/>
      <c r="J624" s="2286"/>
      <c r="K624" s="2286" t="s">
        <v>3198</v>
      </c>
      <c r="L624" s="2286" t="s">
        <v>3080</v>
      </c>
    </row>
    <row r="625" spans="1:12" x14ac:dyDescent="0.35">
      <c r="A625" s="2286">
        <v>312</v>
      </c>
      <c r="B625" s="2286"/>
      <c r="C625" s="2286"/>
      <c r="D625" s="2316" t="s">
        <v>158</v>
      </c>
      <c r="E625" s="2286"/>
      <c r="F625" s="2316" t="s">
        <v>3196</v>
      </c>
      <c r="G625" s="2316" t="s">
        <v>3197</v>
      </c>
      <c r="H625" s="2286"/>
      <c r="I625" s="2286"/>
      <c r="J625" s="2286"/>
      <c r="K625" s="2286" t="s">
        <v>3198</v>
      </c>
      <c r="L625" s="2286" t="s">
        <v>3080</v>
      </c>
    </row>
    <row r="626" spans="1:12" x14ac:dyDescent="0.35">
      <c r="A626" s="2286">
        <v>238</v>
      </c>
      <c r="B626" s="2286"/>
      <c r="C626" s="2286"/>
      <c r="D626" s="2316" t="s">
        <v>1020</v>
      </c>
      <c r="E626" s="2286"/>
      <c r="F626" s="2316" t="s">
        <v>3199</v>
      </c>
      <c r="G626" s="2316" t="s">
        <v>3200</v>
      </c>
      <c r="H626" s="2286"/>
      <c r="I626" s="2286"/>
      <c r="J626" s="2286"/>
      <c r="K626" s="2286" t="s">
        <v>3028</v>
      </c>
      <c r="L626" s="2286" t="s">
        <v>2296</v>
      </c>
    </row>
    <row r="627" spans="1:12" x14ac:dyDescent="0.35">
      <c r="A627" s="2286">
        <v>466</v>
      </c>
      <c r="B627" s="2286"/>
      <c r="C627" s="2286"/>
      <c r="D627" s="2316" t="s">
        <v>1020</v>
      </c>
      <c r="E627" s="2286"/>
      <c r="F627" s="2316" t="s">
        <v>3199</v>
      </c>
      <c r="G627" s="2316" t="s">
        <v>3200</v>
      </c>
      <c r="H627" s="2286"/>
      <c r="I627" s="2286"/>
      <c r="J627" s="2286"/>
      <c r="K627" s="2286" t="s">
        <v>3028</v>
      </c>
      <c r="L627" s="2286" t="s">
        <v>2296</v>
      </c>
    </row>
    <row r="628" spans="1:12" x14ac:dyDescent="0.35">
      <c r="A628" s="2286">
        <v>313</v>
      </c>
      <c r="B628" s="2286"/>
      <c r="C628" s="2286"/>
      <c r="D628" s="2316" t="s">
        <v>1020</v>
      </c>
      <c r="E628" s="2286"/>
      <c r="F628" s="2316" t="s">
        <v>3199</v>
      </c>
      <c r="G628" s="2316" t="s">
        <v>3200</v>
      </c>
      <c r="H628" s="2286"/>
      <c r="I628" s="2286"/>
      <c r="J628" s="2286"/>
      <c r="K628" s="2286" t="s">
        <v>3028</v>
      </c>
      <c r="L628" s="2286" t="s">
        <v>2296</v>
      </c>
    </row>
    <row r="629" spans="1:12" x14ac:dyDescent="0.35">
      <c r="A629" s="2286">
        <v>129</v>
      </c>
      <c r="B629" s="2286"/>
      <c r="C629" s="2286"/>
      <c r="D629" s="2316" t="s">
        <v>99</v>
      </c>
      <c r="E629" s="2286"/>
      <c r="F629" s="2316" t="s">
        <v>3143</v>
      </c>
      <c r="G629" s="2316" t="s">
        <v>3144</v>
      </c>
      <c r="H629" s="2286"/>
      <c r="I629" s="2286"/>
      <c r="J629" s="2286"/>
      <c r="K629" s="2286" t="s">
        <v>3145</v>
      </c>
      <c r="L629" s="2286" t="s">
        <v>4</v>
      </c>
    </row>
    <row r="630" spans="1:12" x14ac:dyDescent="0.35">
      <c r="A630" s="2286">
        <v>442</v>
      </c>
      <c r="B630" s="2286"/>
      <c r="C630" s="2286"/>
      <c r="D630" s="2316" t="s">
        <v>99</v>
      </c>
      <c r="E630" s="2286"/>
      <c r="F630" s="2316" t="s">
        <v>3143</v>
      </c>
      <c r="G630" s="2316" t="s">
        <v>3144</v>
      </c>
      <c r="H630" s="2286"/>
      <c r="I630" s="2286"/>
      <c r="J630" s="2286"/>
      <c r="K630" s="2286" t="s">
        <v>3145</v>
      </c>
      <c r="L630" s="2286" t="s">
        <v>4</v>
      </c>
    </row>
    <row r="631" spans="1:12" x14ac:dyDescent="0.35">
      <c r="A631" s="2286">
        <v>314</v>
      </c>
      <c r="B631" s="2286"/>
      <c r="C631" s="2286"/>
      <c r="D631" s="2316" t="s">
        <v>99</v>
      </c>
      <c r="E631" s="2286"/>
      <c r="F631" s="2316" t="s">
        <v>3143</v>
      </c>
      <c r="G631" s="2316" t="s">
        <v>3144</v>
      </c>
      <c r="H631" s="2286"/>
      <c r="I631" s="2286"/>
      <c r="J631" s="2286"/>
      <c r="K631" s="2286" t="s">
        <v>3145</v>
      </c>
      <c r="L631" s="2286" t="s">
        <v>4</v>
      </c>
    </row>
    <row r="632" spans="1:12" x14ac:dyDescent="0.35">
      <c r="A632" s="2286">
        <v>138</v>
      </c>
      <c r="B632" s="2286"/>
      <c r="C632" s="2286"/>
      <c r="D632" s="2316" t="s">
        <v>1010</v>
      </c>
      <c r="E632" s="2286"/>
      <c r="F632" s="2316" t="s">
        <v>3158</v>
      </c>
      <c r="G632" s="2316" t="s">
        <v>3159</v>
      </c>
      <c r="H632" s="2286"/>
      <c r="I632" s="2286"/>
      <c r="J632" s="2286"/>
      <c r="K632" s="2286" t="s">
        <v>3160</v>
      </c>
      <c r="L632" s="2286" t="s">
        <v>4</v>
      </c>
    </row>
    <row r="633" spans="1:12" x14ac:dyDescent="0.35">
      <c r="A633" s="2286">
        <v>443</v>
      </c>
      <c r="B633" s="2286"/>
      <c r="C633" s="2286"/>
      <c r="D633" s="2316" t="s">
        <v>1010</v>
      </c>
      <c r="E633" s="2286"/>
      <c r="F633" s="2316" t="s">
        <v>3158</v>
      </c>
      <c r="G633" s="2316" t="s">
        <v>3159</v>
      </c>
      <c r="H633" s="2286"/>
      <c r="I633" s="2286"/>
      <c r="J633" s="2286"/>
      <c r="K633" s="2286" t="s">
        <v>3160</v>
      </c>
      <c r="L633" s="2286" t="s">
        <v>4</v>
      </c>
    </row>
    <row r="634" spans="1:12" x14ac:dyDescent="0.35">
      <c r="A634" s="2286">
        <v>315</v>
      </c>
      <c r="B634" s="2286"/>
      <c r="C634" s="2286"/>
      <c r="D634" s="2316" t="s">
        <v>1055</v>
      </c>
      <c r="E634" s="2286"/>
      <c r="F634" s="2316" t="s">
        <v>3158</v>
      </c>
      <c r="G634" s="2316" t="s">
        <v>3159</v>
      </c>
      <c r="H634" s="2286"/>
      <c r="I634" s="2286"/>
      <c r="J634" s="2286"/>
      <c r="K634" s="2286" t="s">
        <v>3160</v>
      </c>
      <c r="L634" s="2286" t="s">
        <v>4</v>
      </c>
    </row>
    <row r="635" spans="1:12" x14ac:dyDescent="0.35">
      <c r="A635" s="2286">
        <v>139</v>
      </c>
      <c r="B635" s="2286"/>
      <c r="C635" s="2286"/>
      <c r="D635" s="2316" t="s">
        <v>1024</v>
      </c>
      <c r="E635" s="2286"/>
      <c r="F635" s="2316" t="s">
        <v>3158</v>
      </c>
      <c r="G635" s="2316" t="s">
        <v>3159</v>
      </c>
      <c r="H635" s="2286"/>
      <c r="I635" s="2286"/>
      <c r="J635" s="2286"/>
      <c r="K635" s="2286" t="s">
        <v>3160</v>
      </c>
      <c r="L635" s="2286" t="s">
        <v>4</v>
      </c>
    </row>
    <row r="636" spans="1:12" x14ac:dyDescent="0.35">
      <c r="A636" s="2286">
        <v>415</v>
      </c>
      <c r="B636" s="2286"/>
      <c r="C636" s="2286"/>
      <c r="D636" s="2316" t="s">
        <v>1024</v>
      </c>
      <c r="E636" s="2286"/>
      <c r="F636" s="2316" t="s">
        <v>3158</v>
      </c>
      <c r="G636" s="2316" t="s">
        <v>3159</v>
      </c>
      <c r="H636" s="2286"/>
      <c r="I636" s="2286"/>
      <c r="J636" s="2286"/>
      <c r="K636" s="2286" t="s">
        <v>3160</v>
      </c>
      <c r="L636" s="2286" t="s">
        <v>4</v>
      </c>
    </row>
    <row r="637" spans="1:12" x14ac:dyDescent="0.35">
      <c r="A637" s="2286">
        <v>369</v>
      </c>
      <c r="B637" s="2286"/>
      <c r="C637" s="2286"/>
      <c r="D637" s="2316" t="s">
        <v>1024</v>
      </c>
      <c r="E637" s="2286"/>
      <c r="F637" s="2316" t="s">
        <v>3158</v>
      </c>
      <c r="G637" s="2316" t="s">
        <v>3159</v>
      </c>
      <c r="H637" s="2286"/>
      <c r="I637" s="2286"/>
      <c r="J637" s="2286"/>
      <c r="K637" s="2286" t="s">
        <v>3160</v>
      </c>
      <c r="L637" s="2286" t="s">
        <v>4</v>
      </c>
    </row>
    <row r="638" spans="1:12" x14ac:dyDescent="0.35">
      <c r="A638" s="2286">
        <v>140</v>
      </c>
      <c r="B638" s="2286"/>
      <c r="C638" s="2286"/>
      <c r="D638" s="2316" t="s">
        <v>1025</v>
      </c>
      <c r="E638" s="2286"/>
      <c r="F638" s="2316" t="s">
        <v>3158</v>
      </c>
      <c r="G638" s="2316" t="s">
        <v>3159</v>
      </c>
      <c r="H638" s="2286"/>
      <c r="I638" s="2286"/>
      <c r="J638" s="2286"/>
      <c r="K638" s="2286" t="s">
        <v>3160</v>
      </c>
      <c r="L638" s="2286" t="s">
        <v>4</v>
      </c>
    </row>
    <row r="639" spans="1:12" x14ac:dyDescent="0.35">
      <c r="A639" s="2286">
        <v>416</v>
      </c>
      <c r="B639" s="2286"/>
      <c r="C639" s="2286"/>
      <c r="D639" s="2316" t="s">
        <v>1025</v>
      </c>
      <c r="E639" s="2286"/>
      <c r="F639" s="2316" t="s">
        <v>3158</v>
      </c>
      <c r="G639" s="2316" t="s">
        <v>3159</v>
      </c>
      <c r="H639" s="2286"/>
      <c r="I639" s="2286"/>
      <c r="J639" s="2286"/>
      <c r="K639" s="2286" t="s">
        <v>3160</v>
      </c>
      <c r="L639" s="2286" t="s">
        <v>4</v>
      </c>
    </row>
    <row r="640" spans="1:12" x14ac:dyDescent="0.35">
      <c r="A640" s="2286">
        <v>370</v>
      </c>
      <c r="B640" s="2286"/>
      <c r="C640" s="2286"/>
      <c r="D640" s="2316" t="s">
        <v>1025</v>
      </c>
      <c r="E640" s="2286"/>
      <c r="F640" s="2316" t="s">
        <v>3158</v>
      </c>
      <c r="G640" s="2316" t="s">
        <v>3159</v>
      </c>
      <c r="H640" s="2286"/>
      <c r="I640" s="2286"/>
      <c r="J640" s="2286"/>
      <c r="K640" s="2286" t="s">
        <v>3160</v>
      </c>
      <c r="L640" s="2286" t="s">
        <v>4</v>
      </c>
    </row>
    <row r="641" spans="1:12" x14ac:dyDescent="0.35">
      <c r="A641" s="2286">
        <v>417</v>
      </c>
      <c r="B641" s="2286"/>
      <c r="C641" s="2286"/>
      <c r="D641" s="2316" t="s">
        <v>1053</v>
      </c>
      <c r="E641" s="2286"/>
      <c r="F641" s="2316" t="s">
        <v>3158</v>
      </c>
      <c r="G641" s="2316" t="s">
        <v>3159</v>
      </c>
      <c r="H641" s="2286"/>
      <c r="I641" s="2286"/>
      <c r="J641" s="2286"/>
      <c r="K641" s="2286" t="s">
        <v>3160</v>
      </c>
      <c r="L641" s="2286" t="s">
        <v>4</v>
      </c>
    </row>
    <row r="642" spans="1:12" x14ac:dyDescent="0.35">
      <c r="A642" s="2286">
        <v>371</v>
      </c>
      <c r="B642" s="2286"/>
      <c r="C642" s="2286"/>
      <c r="D642" s="2316" t="s">
        <v>1053</v>
      </c>
      <c r="E642" s="2286"/>
      <c r="F642" s="2316" t="s">
        <v>3158</v>
      </c>
      <c r="G642" s="2316" t="s">
        <v>3159</v>
      </c>
      <c r="H642" s="2286"/>
      <c r="I642" s="2286"/>
      <c r="J642" s="2286"/>
      <c r="K642" s="2286" t="s">
        <v>3160</v>
      </c>
      <c r="L642" s="2286" t="s">
        <v>4</v>
      </c>
    </row>
    <row r="643" spans="1:12" x14ac:dyDescent="0.35">
      <c r="A643" s="2286">
        <v>141</v>
      </c>
      <c r="B643" s="2286"/>
      <c r="C643" s="2286"/>
      <c r="D643" s="2316" t="s">
        <v>1053</v>
      </c>
      <c r="E643" s="2286"/>
      <c r="F643" s="2316" t="s">
        <v>3158</v>
      </c>
      <c r="G643" s="2316" t="s">
        <v>3159</v>
      </c>
      <c r="H643" s="2286"/>
      <c r="I643" s="2286"/>
      <c r="J643" s="2286"/>
      <c r="K643" s="2286" t="s">
        <v>3160</v>
      </c>
      <c r="L643" s="2286" t="s">
        <v>4</v>
      </c>
    </row>
    <row r="644" spans="1:12" x14ac:dyDescent="0.35">
      <c r="A644" s="2286">
        <v>142</v>
      </c>
      <c r="B644" s="2286"/>
      <c r="C644" s="2286"/>
      <c r="D644" s="2316" t="s">
        <v>1859</v>
      </c>
      <c r="E644" s="2286"/>
      <c r="F644" s="2316" t="s">
        <v>3158</v>
      </c>
      <c r="G644" s="2316" t="s">
        <v>3159</v>
      </c>
      <c r="H644" s="2286"/>
      <c r="I644" s="2286"/>
      <c r="J644" s="2286"/>
      <c r="K644" s="2286" t="s">
        <v>3160</v>
      </c>
      <c r="L644" s="2286" t="s">
        <v>4</v>
      </c>
    </row>
    <row r="645" spans="1:12" x14ac:dyDescent="0.35">
      <c r="A645" s="2286">
        <v>444</v>
      </c>
      <c r="B645" s="2286"/>
      <c r="C645" s="2286"/>
      <c r="D645" s="2316" t="s">
        <v>1859</v>
      </c>
      <c r="E645" s="2286"/>
      <c r="F645" s="2316" t="s">
        <v>3158</v>
      </c>
      <c r="G645" s="2316" t="s">
        <v>3159</v>
      </c>
      <c r="H645" s="2286"/>
      <c r="I645" s="2286"/>
      <c r="J645" s="2286"/>
      <c r="K645" s="2286" t="s">
        <v>3160</v>
      </c>
      <c r="L645" s="2286" t="s">
        <v>4</v>
      </c>
    </row>
    <row r="646" spans="1:12" x14ac:dyDescent="0.35">
      <c r="A646" s="2286">
        <v>316</v>
      </c>
      <c r="B646" s="2286"/>
      <c r="C646" s="2286"/>
      <c r="D646" s="2316" t="s">
        <v>1859</v>
      </c>
      <c r="E646" s="2286"/>
      <c r="F646" s="2316" t="s">
        <v>3158</v>
      </c>
      <c r="G646" s="2316" t="s">
        <v>3159</v>
      </c>
      <c r="H646" s="2286"/>
      <c r="I646" s="2286"/>
      <c r="J646" s="2286"/>
      <c r="K646" s="2286" t="s">
        <v>3160</v>
      </c>
      <c r="L646" s="2286" t="s">
        <v>4</v>
      </c>
    </row>
    <row r="647" spans="1:12" x14ac:dyDescent="0.35">
      <c r="A647" s="2286">
        <v>143</v>
      </c>
      <c r="B647" s="2286"/>
      <c r="C647" s="2286"/>
      <c r="D647" s="2316" t="s">
        <v>1865</v>
      </c>
      <c r="E647" s="2286"/>
      <c r="F647" s="2316" t="s">
        <v>3158</v>
      </c>
      <c r="G647" s="2316" t="s">
        <v>3159</v>
      </c>
      <c r="H647" s="2286"/>
      <c r="I647" s="2286"/>
      <c r="J647" s="2286"/>
      <c r="K647" s="2286" t="s">
        <v>3160</v>
      </c>
      <c r="L647" s="2286" t="s">
        <v>4</v>
      </c>
    </row>
    <row r="648" spans="1:12" x14ac:dyDescent="0.35">
      <c r="A648" s="2286">
        <v>372</v>
      </c>
      <c r="B648" s="2286"/>
      <c r="C648" s="2286"/>
      <c r="D648" s="2316" t="s">
        <v>1865</v>
      </c>
      <c r="E648" s="2286"/>
      <c r="F648" s="2316" t="s">
        <v>3158</v>
      </c>
      <c r="G648" s="2316" t="s">
        <v>3159</v>
      </c>
      <c r="H648" s="2286"/>
      <c r="I648" s="2286"/>
      <c r="J648" s="2286"/>
      <c r="K648" s="2286" t="s">
        <v>3160</v>
      </c>
      <c r="L648" s="2286" t="s">
        <v>4</v>
      </c>
    </row>
    <row r="649" spans="1:12" x14ac:dyDescent="0.35">
      <c r="A649" s="2286">
        <v>445</v>
      </c>
      <c r="B649" s="2286"/>
      <c r="C649" s="2286"/>
      <c r="D649" s="2316" t="s">
        <v>1865</v>
      </c>
      <c r="E649" s="2286"/>
      <c r="F649" s="2316" t="s">
        <v>3158</v>
      </c>
      <c r="G649" s="2316" t="s">
        <v>3159</v>
      </c>
      <c r="H649" s="2286"/>
      <c r="I649" s="2286"/>
      <c r="J649" s="2286"/>
      <c r="K649" s="2286" t="s">
        <v>3160</v>
      </c>
      <c r="L649" s="2286" t="s">
        <v>4</v>
      </c>
    </row>
    <row r="650" spans="1:12" x14ac:dyDescent="0.35">
      <c r="A650" s="2286">
        <v>144</v>
      </c>
      <c r="B650" s="2286"/>
      <c r="C650" s="2286"/>
      <c r="D650" s="2316" t="s">
        <v>1866</v>
      </c>
      <c r="E650" s="2286"/>
      <c r="F650" s="2316" t="s">
        <v>3158</v>
      </c>
      <c r="G650" s="2316" t="s">
        <v>3159</v>
      </c>
      <c r="H650" s="2286"/>
      <c r="I650" s="2286"/>
      <c r="J650" s="2286"/>
      <c r="K650" s="2286" t="s">
        <v>3160</v>
      </c>
      <c r="L650" s="2286" t="s">
        <v>4</v>
      </c>
    </row>
    <row r="651" spans="1:12" x14ac:dyDescent="0.35">
      <c r="A651" s="2286">
        <v>373</v>
      </c>
      <c r="B651" s="2286"/>
      <c r="C651" s="2286"/>
      <c r="D651" s="2316" t="s">
        <v>1866</v>
      </c>
      <c r="E651" s="2286"/>
      <c r="F651" s="2316" t="s">
        <v>3158</v>
      </c>
      <c r="G651" s="2316" t="s">
        <v>3159</v>
      </c>
      <c r="H651" s="2286"/>
      <c r="I651" s="2286"/>
      <c r="J651" s="2286"/>
      <c r="K651" s="2286" t="s">
        <v>3160</v>
      </c>
      <c r="L651" s="2286" t="s">
        <v>4</v>
      </c>
    </row>
    <row r="652" spans="1:12" x14ac:dyDescent="0.35">
      <c r="A652" s="2286">
        <v>446</v>
      </c>
      <c r="B652" s="2286"/>
      <c r="C652" s="2286"/>
      <c r="D652" s="2316" t="s">
        <v>1866</v>
      </c>
      <c r="E652" s="2286"/>
      <c r="F652" s="2316" t="s">
        <v>3158</v>
      </c>
      <c r="G652" s="2316" t="s">
        <v>3159</v>
      </c>
      <c r="H652" s="2286"/>
      <c r="I652" s="2286"/>
      <c r="J652" s="2286"/>
      <c r="K652" s="2286" t="s">
        <v>3160</v>
      </c>
      <c r="L652" s="2286" t="s">
        <v>4</v>
      </c>
    </row>
    <row r="653" spans="1:12" x14ac:dyDescent="0.35">
      <c r="A653" s="2286">
        <v>145</v>
      </c>
      <c r="B653" s="2286"/>
      <c r="C653" s="2286"/>
      <c r="D653" s="2316" t="s">
        <v>1867</v>
      </c>
      <c r="E653" s="2286"/>
      <c r="F653" s="2316" t="s">
        <v>3158</v>
      </c>
      <c r="G653" s="2316" t="s">
        <v>3159</v>
      </c>
      <c r="H653" s="2286"/>
      <c r="I653" s="2286"/>
      <c r="J653" s="2286"/>
      <c r="K653" s="2286" t="s">
        <v>3160</v>
      </c>
      <c r="L653" s="2286" t="s">
        <v>4</v>
      </c>
    </row>
    <row r="654" spans="1:12" x14ac:dyDescent="0.35">
      <c r="A654" s="2286">
        <v>374</v>
      </c>
      <c r="B654" s="2286"/>
      <c r="C654" s="2286"/>
      <c r="D654" s="2316" t="s">
        <v>1867</v>
      </c>
      <c r="E654" s="2286"/>
      <c r="F654" s="2316" t="s">
        <v>3158</v>
      </c>
      <c r="G654" s="2316" t="s">
        <v>3159</v>
      </c>
      <c r="H654" s="2286"/>
      <c r="I654" s="2286"/>
      <c r="J654" s="2286"/>
      <c r="K654" s="2286" t="s">
        <v>3160</v>
      </c>
      <c r="L654" s="2286" t="s">
        <v>4</v>
      </c>
    </row>
    <row r="655" spans="1:12" x14ac:dyDescent="0.35">
      <c r="A655" s="2286">
        <v>447</v>
      </c>
      <c r="B655" s="2286"/>
      <c r="C655" s="2286"/>
      <c r="D655" s="2316" t="s">
        <v>1867</v>
      </c>
      <c r="E655" s="2286"/>
      <c r="F655" s="2316" t="s">
        <v>3158</v>
      </c>
      <c r="G655" s="2316" t="s">
        <v>3159</v>
      </c>
      <c r="H655" s="2286"/>
      <c r="I655" s="2286"/>
      <c r="J655" s="2286"/>
      <c r="K655" s="2286" t="s">
        <v>3160</v>
      </c>
      <c r="L655" s="2286" t="s">
        <v>4</v>
      </c>
    </row>
    <row r="656" spans="1:12" x14ac:dyDescent="0.35">
      <c r="A656" s="2286">
        <v>147</v>
      </c>
      <c r="B656" s="2286"/>
      <c r="C656" s="2286"/>
      <c r="D656" s="2316" t="s">
        <v>173</v>
      </c>
      <c r="E656" s="2286"/>
      <c r="F656" s="2316" t="s">
        <v>3158</v>
      </c>
      <c r="G656" s="2316" t="s">
        <v>3159</v>
      </c>
      <c r="H656" s="2286"/>
      <c r="I656" s="2286"/>
      <c r="J656" s="2286"/>
      <c r="K656" s="2286" t="s">
        <v>3160</v>
      </c>
      <c r="L656" s="2286" t="s">
        <v>4</v>
      </c>
    </row>
    <row r="657" spans="1:12" x14ac:dyDescent="0.35">
      <c r="A657" s="2286">
        <v>317</v>
      </c>
      <c r="B657" s="2286"/>
      <c r="C657" s="2286"/>
      <c r="D657" s="2316" t="s">
        <v>173</v>
      </c>
      <c r="E657" s="2286"/>
      <c r="F657" s="2316" t="s">
        <v>3158</v>
      </c>
      <c r="G657" s="2316" t="s">
        <v>3159</v>
      </c>
      <c r="H657" s="2286"/>
      <c r="I657" s="2286"/>
      <c r="J657" s="2286"/>
      <c r="K657" s="2286" t="s">
        <v>3160</v>
      </c>
      <c r="L657" s="2286" t="s">
        <v>4</v>
      </c>
    </row>
    <row r="658" spans="1:12" x14ac:dyDescent="0.35">
      <c r="A658" s="2286">
        <v>148</v>
      </c>
      <c r="B658" s="2286"/>
      <c r="C658" s="2286"/>
      <c r="D658" s="2316" t="s">
        <v>98</v>
      </c>
      <c r="E658" s="2286"/>
      <c r="F658" s="2316" t="s">
        <v>3143</v>
      </c>
      <c r="G658" s="2316" t="s">
        <v>3144</v>
      </c>
      <c r="H658" s="2286"/>
      <c r="I658" s="2286"/>
      <c r="J658" s="2286"/>
      <c r="K658" s="2286" t="s">
        <v>3145</v>
      </c>
      <c r="L658" s="2286" t="s">
        <v>4</v>
      </c>
    </row>
    <row r="659" spans="1:12" x14ac:dyDescent="0.35">
      <c r="A659" s="2286">
        <v>448</v>
      </c>
      <c r="B659" s="2286"/>
      <c r="C659" s="2286"/>
      <c r="D659" s="2316" t="s">
        <v>98</v>
      </c>
      <c r="E659" s="2286"/>
      <c r="F659" s="2316" t="s">
        <v>3143</v>
      </c>
      <c r="G659" s="2316" t="s">
        <v>3144</v>
      </c>
      <c r="H659" s="2286"/>
      <c r="I659" s="2286"/>
      <c r="J659" s="2286"/>
      <c r="K659" s="2286" t="s">
        <v>3145</v>
      </c>
      <c r="L659" s="2286" t="s">
        <v>4</v>
      </c>
    </row>
    <row r="660" spans="1:12" x14ac:dyDescent="0.35">
      <c r="A660" s="2286">
        <v>318</v>
      </c>
      <c r="B660" s="2286"/>
      <c r="C660" s="2286"/>
      <c r="D660" s="2316" t="s">
        <v>98</v>
      </c>
      <c r="E660" s="2286"/>
      <c r="F660" s="2316" t="s">
        <v>3143</v>
      </c>
      <c r="G660" s="2316" t="s">
        <v>3144</v>
      </c>
      <c r="H660" s="2286"/>
      <c r="I660" s="2286"/>
      <c r="J660" s="2286"/>
      <c r="K660" s="2286" t="s">
        <v>3145</v>
      </c>
      <c r="L660" s="2286" t="s">
        <v>4</v>
      </c>
    </row>
    <row r="661" spans="1:12" x14ac:dyDescent="0.35">
      <c r="A661" s="2286">
        <v>449</v>
      </c>
      <c r="B661" s="2286"/>
      <c r="C661" s="2286"/>
      <c r="D661" s="2316" t="s">
        <v>1036</v>
      </c>
      <c r="E661" s="2286"/>
      <c r="F661" s="2316" t="s">
        <v>3158</v>
      </c>
      <c r="G661" s="2316" t="s">
        <v>3159</v>
      </c>
      <c r="H661" s="2286"/>
      <c r="I661" s="2286"/>
      <c r="J661" s="2286"/>
      <c r="K661" s="2286" t="s">
        <v>3160</v>
      </c>
      <c r="L661" s="2286" t="s">
        <v>4</v>
      </c>
    </row>
    <row r="662" spans="1:12" x14ac:dyDescent="0.35">
      <c r="A662" s="2286">
        <v>319</v>
      </c>
      <c r="B662" s="2286"/>
      <c r="C662" s="2286"/>
      <c r="D662" s="2316" t="s">
        <v>1036</v>
      </c>
      <c r="E662" s="2286"/>
      <c r="F662" s="2316" t="s">
        <v>3158</v>
      </c>
      <c r="G662" s="2316" t="s">
        <v>3159</v>
      </c>
      <c r="H662" s="2286"/>
      <c r="I662" s="2286"/>
      <c r="J662" s="2286"/>
      <c r="K662" s="2286" t="s">
        <v>3160</v>
      </c>
      <c r="L662" s="2286" t="s">
        <v>4</v>
      </c>
    </row>
    <row r="663" spans="1:12" x14ac:dyDescent="0.35">
      <c r="A663" s="2286">
        <v>149</v>
      </c>
      <c r="B663" s="2286"/>
      <c r="C663" s="2286"/>
      <c r="D663" s="2316" t="s">
        <v>1036</v>
      </c>
      <c r="E663" s="2286"/>
      <c r="F663" s="2316" t="s">
        <v>3158</v>
      </c>
      <c r="G663" s="2316" t="s">
        <v>3159</v>
      </c>
      <c r="H663" s="2286"/>
      <c r="I663" s="2286"/>
      <c r="J663" s="2286"/>
      <c r="K663" s="2286" t="s">
        <v>3160</v>
      </c>
      <c r="L663" s="2286" t="s">
        <v>4</v>
      </c>
    </row>
    <row r="664" spans="1:12" x14ac:dyDescent="0.35">
      <c r="A664" s="2286">
        <v>450</v>
      </c>
      <c r="B664" s="2286"/>
      <c r="C664" s="2286"/>
      <c r="D664" s="2316" t="s">
        <v>1133</v>
      </c>
      <c r="E664" s="2286"/>
      <c r="F664" s="2316" t="s">
        <v>3158</v>
      </c>
      <c r="G664" s="2316" t="s">
        <v>3159</v>
      </c>
      <c r="H664" s="2286"/>
      <c r="I664" s="2286"/>
      <c r="J664" s="2286"/>
      <c r="K664" s="2286" t="s">
        <v>3160</v>
      </c>
      <c r="L664" s="2286" t="s">
        <v>4</v>
      </c>
    </row>
    <row r="665" spans="1:12" x14ac:dyDescent="0.35">
      <c r="A665" s="2286">
        <v>375</v>
      </c>
      <c r="B665" s="2286"/>
      <c r="C665" s="2286"/>
      <c r="D665" s="2316" t="s">
        <v>1133</v>
      </c>
      <c r="E665" s="2286"/>
      <c r="F665" s="2316" t="s">
        <v>3158</v>
      </c>
      <c r="G665" s="2316" t="s">
        <v>3159</v>
      </c>
      <c r="H665" s="2286"/>
      <c r="I665" s="2286"/>
      <c r="J665" s="2286"/>
      <c r="K665" s="2286" t="s">
        <v>3160</v>
      </c>
      <c r="L665" s="2286" t="s">
        <v>4</v>
      </c>
    </row>
    <row r="666" spans="1:12" x14ac:dyDescent="0.35">
      <c r="A666" s="2286">
        <v>150</v>
      </c>
      <c r="B666" s="2286"/>
      <c r="C666" s="2286"/>
      <c r="D666" s="2316" t="s">
        <v>1132</v>
      </c>
      <c r="E666" s="2286"/>
      <c r="F666" s="2316" t="s">
        <v>3158</v>
      </c>
      <c r="G666" s="2316" t="s">
        <v>3159</v>
      </c>
      <c r="H666" s="2286"/>
      <c r="I666" s="2286"/>
      <c r="J666" s="2286"/>
      <c r="K666" s="2286" t="s">
        <v>3160</v>
      </c>
      <c r="L666" s="2286" t="s">
        <v>4</v>
      </c>
    </row>
    <row r="667" spans="1:12" x14ac:dyDescent="0.35">
      <c r="A667" s="2286">
        <v>451</v>
      </c>
      <c r="B667" s="2286"/>
      <c r="C667" s="2286"/>
      <c r="D667" s="2316" t="s">
        <v>1134</v>
      </c>
      <c r="E667" s="2286"/>
      <c r="F667" s="2316" t="s">
        <v>3158</v>
      </c>
      <c r="G667" s="2316" t="s">
        <v>3159</v>
      </c>
      <c r="H667" s="2286"/>
      <c r="I667" s="2286"/>
      <c r="J667" s="2286"/>
      <c r="K667" s="2286" t="s">
        <v>3160</v>
      </c>
      <c r="L667" s="2286" t="s">
        <v>4</v>
      </c>
    </row>
    <row r="668" spans="1:12" x14ac:dyDescent="0.35">
      <c r="A668" s="2286">
        <v>376</v>
      </c>
      <c r="B668" s="2286"/>
      <c r="C668" s="2286"/>
      <c r="D668" s="2316" t="s">
        <v>1134</v>
      </c>
      <c r="E668" s="2286"/>
      <c r="F668" s="2316" t="s">
        <v>3158</v>
      </c>
      <c r="G668" s="2316" t="s">
        <v>3159</v>
      </c>
      <c r="H668" s="2286"/>
      <c r="I668" s="2286"/>
      <c r="J668" s="2286"/>
      <c r="K668" s="2286" t="s">
        <v>3160</v>
      </c>
      <c r="L668" s="2286" t="s">
        <v>4</v>
      </c>
    </row>
    <row r="669" spans="1:12" x14ac:dyDescent="0.35">
      <c r="A669" s="2286">
        <v>377</v>
      </c>
      <c r="B669" s="2286"/>
      <c r="C669" s="2286"/>
      <c r="D669" s="2316" t="s">
        <v>1937</v>
      </c>
      <c r="E669" s="2286"/>
      <c r="F669" s="2316" t="s">
        <v>3158</v>
      </c>
      <c r="G669" s="2316" t="s">
        <v>3159</v>
      </c>
      <c r="H669" s="2286"/>
      <c r="I669" s="2286"/>
      <c r="J669" s="2286"/>
      <c r="K669" s="2286" t="s">
        <v>3160</v>
      </c>
      <c r="L669" s="2286" t="s">
        <v>4</v>
      </c>
    </row>
    <row r="670" spans="1:12" x14ac:dyDescent="0.35">
      <c r="A670" s="2286">
        <v>151</v>
      </c>
      <c r="B670" s="2286"/>
      <c r="C670" s="2286"/>
      <c r="D670" s="2316" t="s">
        <v>1017</v>
      </c>
      <c r="E670" s="2286"/>
      <c r="F670" s="2316" t="s">
        <v>3158</v>
      </c>
      <c r="G670" s="2316" t="s">
        <v>3159</v>
      </c>
      <c r="H670" s="2286"/>
      <c r="I670" s="2286"/>
      <c r="J670" s="2286"/>
      <c r="K670" s="2286" t="s">
        <v>3160</v>
      </c>
      <c r="L670" s="2286" t="s">
        <v>4</v>
      </c>
    </row>
    <row r="671" spans="1:12" x14ac:dyDescent="0.35">
      <c r="A671" s="2286">
        <v>320</v>
      </c>
      <c r="B671" s="2286"/>
      <c r="C671" s="2286"/>
      <c r="D671" s="2316" t="s">
        <v>1017</v>
      </c>
      <c r="E671" s="2286"/>
      <c r="F671" s="2316" t="s">
        <v>3158</v>
      </c>
      <c r="G671" s="2316" t="s">
        <v>3159</v>
      </c>
      <c r="H671" s="2286"/>
      <c r="I671" s="2286"/>
      <c r="J671" s="2286"/>
      <c r="K671" s="2286" t="s">
        <v>3160</v>
      </c>
      <c r="L671" s="2286" t="s">
        <v>4</v>
      </c>
    </row>
    <row r="672" spans="1:12" x14ac:dyDescent="0.35">
      <c r="A672" s="2286">
        <v>152</v>
      </c>
      <c r="B672" s="2286"/>
      <c r="C672" s="2286"/>
      <c r="D672" s="2316" t="s">
        <v>1120</v>
      </c>
      <c r="E672" s="2286"/>
      <c r="F672" s="2316" t="s">
        <v>3158</v>
      </c>
      <c r="G672" s="2316" t="s">
        <v>3159</v>
      </c>
      <c r="H672" s="2286"/>
      <c r="I672" s="2286"/>
      <c r="J672" s="2286"/>
      <c r="K672" s="2286" t="s">
        <v>3160</v>
      </c>
      <c r="L672" s="2286" t="s">
        <v>4</v>
      </c>
    </row>
    <row r="673" spans="1:12" x14ac:dyDescent="0.35">
      <c r="A673" s="2286">
        <v>378</v>
      </c>
      <c r="B673" s="2286"/>
      <c r="C673" s="2286"/>
      <c r="D673" s="2316" t="s">
        <v>1120</v>
      </c>
      <c r="E673" s="2286"/>
      <c r="F673" s="2316" t="s">
        <v>3158</v>
      </c>
      <c r="G673" s="2316" t="s">
        <v>3159</v>
      </c>
      <c r="H673" s="2286"/>
      <c r="I673" s="2286"/>
      <c r="J673" s="2286"/>
      <c r="K673" s="2286" t="s">
        <v>3160</v>
      </c>
      <c r="L673" s="2286" t="s">
        <v>4</v>
      </c>
    </row>
    <row r="674" spans="1:12" x14ac:dyDescent="0.35">
      <c r="A674" s="2286">
        <v>153</v>
      </c>
      <c r="B674" s="2286"/>
      <c r="C674" s="2286"/>
      <c r="D674" s="2316" t="s">
        <v>1121</v>
      </c>
      <c r="E674" s="2286"/>
      <c r="F674" s="2316" t="s">
        <v>3158</v>
      </c>
      <c r="G674" s="2316" t="s">
        <v>3159</v>
      </c>
      <c r="H674" s="2286"/>
      <c r="I674" s="2286"/>
      <c r="J674" s="2286"/>
      <c r="K674" s="2286" t="s">
        <v>3160</v>
      </c>
      <c r="L674" s="2286" t="s">
        <v>4</v>
      </c>
    </row>
    <row r="675" spans="1:12" x14ac:dyDescent="0.35">
      <c r="A675" s="2286">
        <v>154</v>
      </c>
      <c r="B675" s="2286"/>
      <c r="C675" s="2286"/>
      <c r="D675" s="2316" t="s">
        <v>1122</v>
      </c>
      <c r="E675" s="2286"/>
      <c r="F675" s="2316" t="s">
        <v>3158</v>
      </c>
      <c r="G675" s="2316" t="s">
        <v>3159</v>
      </c>
      <c r="H675" s="2286"/>
      <c r="I675" s="2286"/>
      <c r="J675" s="2286"/>
      <c r="K675" s="2286" t="s">
        <v>3160</v>
      </c>
      <c r="L675" s="2286" t="s">
        <v>4</v>
      </c>
    </row>
    <row r="676" spans="1:12" x14ac:dyDescent="0.35">
      <c r="A676" s="2286">
        <v>452</v>
      </c>
      <c r="B676" s="2286"/>
      <c r="C676" s="2286"/>
      <c r="D676" s="2316" t="s">
        <v>1033</v>
      </c>
      <c r="E676" s="2286"/>
      <c r="F676" s="2316" t="s">
        <v>3158</v>
      </c>
      <c r="G676" s="2316" t="s">
        <v>3159</v>
      </c>
      <c r="H676" s="2286"/>
      <c r="I676" s="2286"/>
      <c r="J676" s="2286"/>
      <c r="K676" s="2286" t="s">
        <v>3160</v>
      </c>
      <c r="L676" s="2286" t="s">
        <v>4</v>
      </c>
    </row>
    <row r="677" spans="1:12" x14ac:dyDescent="0.35">
      <c r="A677" s="2286">
        <v>453</v>
      </c>
      <c r="B677" s="2286"/>
      <c r="C677" s="2286"/>
      <c r="D677" s="2316" t="s">
        <v>1128</v>
      </c>
      <c r="E677" s="2286"/>
      <c r="F677" s="2316" t="s">
        <v>3158</v>
      </c>
      <c r="G677" s="2316" t="s">
        <v>3159</v>
      </c>
      <c r="H677" s="2286"/>
      <c r="I677" s="2286"/>
      <c r="J677" s="2286"/>
      <c r="K677" s="2286" t="s">
        <v>3160</v>
      </c>
      <c r="L677" s="2286" t="s">
        <v>4</v>
      </c>
    </row>
    <row r="678" spans="1:12" x14ac:dyDescent="0.35">
      <c r="A678" s="2286">
        <v>454</v>
      </c>
      <c r="B678" s="2286"/>
      <c r="C678" s="2286"/>
      <c r="D678" s="2316" t="s">
        <v>1129</v>
      </c>
      <c r="E678" s="2286"/>
      <c r="F678" s="2316" t="s">
        <v>3158</v>
      </c>
      <c r="G678" s="2316" t="s">
        <v>3159</v>
      </c>
      <c r="H678" s="2286"/>
      <c r="I678" s="2286"/>
      <c r="J678" s="2286"/>
      <c r="K678" s="2286" t="s">
        <v>3160</v>
      </c>
      <c r="L678" s="2286" t="s">
        <v>4</v>
      </c>
    </row>
    <row r="679" spans="1:12" x14ac:dyDescent="0.35">
      <c r="A679" s="2286">
        <v>188</v>
      </c>
      <c r="B679" s="2286"/>
      <c r="C679" s="2286"/>
      <c r="D679" s="2316" t="s">
        <v>226</v>
      </c>
      <c r="E679" s="2286"/>
      <c r="F679" s="2316" t="s">
        <v>3201</v>
      </c>
      <c r="G679" s="2316" t="s">
        <v>3202</v>
      </c>
      <c r="H679" s="2286"/>
      <c r="I679" s="2286"/>
      <c r="J679" s="2286"/>
      <c r="K679" s="2286" t="s">
        <v>3203</v>
      </c>
      <c r="L679" s="2286" t="s">
        <v>3133</v>
      </c>
    </row>
    <row r="680" spans="1:12" x14ac:dyDescent="0.35">
      <c r="A680" s="2286">
        <v>189</v>
      </c>
      <c r="B680" s="2286"/>
      <c r="C680" s="2286"/>
      <c r="D680" s="2316" t="s">
        <v>227</v>
      </c>
      <c r="E680" s="2286"/>
      <c r="F680" s="2316" t="s">
        <v>3201</v>
      </c>
      <c r="G680" s="2316" t="s">
        <v>3202</v>
      </c>
      <c r="H680" s="2286"/>
      <c r="I680" s="2286"/>
      <c r="J680" s="2286"/>
      <c r="K680" s="2286" t="s">
        <v>3203</v>
      </c>
      <c r="L680" s="2286" t="s">
        <v>3133</v>
      </c>
    </row>
    <row r="681" spans="1:12" x14ac:dyDescent="0.35">
      <c r="A681" s="2286">
        <v>155</v>
      </c>
      <c r="B681" s="2286"/>
      <c r="C681" s="2286"/>
      <c r="D681" s="2316" t="s">
        <v>95</v>
      </c>
      <c r="E681" s="2286"/>
      <c r="F681" s="2316" t="s">
        <v>3143</v>
      </c>
      <c r="G681" s="2316" t="s">
        <v>3144</v>
      </c>
      <c r="H681" s="2286"/>
      <c r="I681" s="2286"/>
      <c r="J681" s="2286"/>
      <c r="K681" s="2286" t="s">
        <v>3145</v>
      </c>
      <c r="L681" s="2286" t="s">
        <v>4</v>
      </c>
    </row>
    <row r="682" spans="1:12" x14ac:dyDescent="0.35">
      <c r="A682" s="2286">
        <v>418</v>
      </c>
      <c r="B682" s="2286"/>
      <c r="C682" s="2286"/>
      <c r="D682" s="2316" t="s">
        <v>95</v>
      </c>
      <c r="E682" s="2286"/>
      <c r="F682" s="2316" t="s">
        <v>3143</v>
      </c>
      <c r="G682" s="2316" t="s">
        <v>3144</v>
      </c>
      <c r="H682" s="2286"/>
      <c r="I682" s="2286"/>
      <c r="J682" s="2286"/>
      <c r="K682" s="2286" t="s">
        <v>3145</v>
      </c>
      <c r="L682" s="2286" t="s">
        <v>4</v>
      </c>
    </row>
    <row r="683" spans="1:12" x14ac:dyDescent="0.35">
      <c r="A683" s="2286">
        <v>321</v>
      </c>
      <c r="B683" s="2286"/>
      <c r="C683" s="2286"/>
      <c r="D683" s="2316" t="s">
        <v>95</v>
      </c>
      <c r="E683" s="2286"/>
      <c r="F683" s="2316" t="s">
        <v>3143</v>
      </c>
      <c r="G683" s="2316" t="s">
        <v>3144</v>
      </c>
      <c r="H683" s="2286"/>
      <c r="I683" s="2286"/>
      <c r="J683" s="2286"/>
      <c r="K683" s="2286" t="s">
        <v>3145</v>
      </c>
      <c r="L683" s="2286" t="s">
        <v>4</v>
      </c>
    </row>
    <row r="684" spans="1:12" x14ac:dyDescent="0.35">
      <c r="A684" s="2286">
        <v>239</v>
      </c>
      <c r="B684" s="2286"/>
      <c r="C684" s="2286"/>
      <c r="D684" s="2316" t="s">
        <v>1019</v>
      </c>
      <c r="E684" s="2286"/>
      <c r="F684" s="2316" t="s">
        <v>3199</v>
      </c>
      <c r="G684" s="2316" t="s">
        <v>3200</v>
      </c>
      <c r="H684" s="2286"/>
      <c r="I684" s="2286"/>
      <c r="J684" s="2286"/>
      <c r="K684" s="2286" t="s">
        <v>3028</v>
      </c>
      <c r="L684" s="2286" t="s">
        <v>2296</v>
      </c>
    </row>
    <row r="685" spans="1:12" x14ac:dyDescent="0.35">
      <c r="A685" s="2286">
        <v>467</v>
      </c>
      <c r="B685" s="2286"/>
      <c r="C685" s="2286"/>
      <c r="D685" s="2316" t="s">
        <v>1019</v>
      </c>
      <c r="E685" s="2286"/>
      <c r="F685" s="2316" t="s">
        <v>3199</v>
      </c>
      <c r="G685" s="2316" t="s">
        <v>3200</v>
      </c>
      <c r="H685" s="2286"/>
      <c r="I685" s="2286"/>
      <c r="J685" s="2286"/>
      <c r="K685" s="2286" t="s">
        <v>3028</v>
      </c>
      <c r="L685" s="2286" t="s">
        <v>2296</v>
      </c>
    </row>
    <row r="686" spans="1:12" x14ac:dyDescent="0.35">
      <c r="A686" s="2286">
        <v>322</v>
      </c>
      <c r="B686" s="2286"/>
      <c r="C686" s="2286"/>
      <c r="D686" s="2316" t="s">
        <v>1019</v>
      </c>
      <c r="E686" s="2286"/>
      <c r="F686" s="2316" t="s">
        <v>3199</v>
      </c>
      <c r="G686" s="2316" t="s">
        <v>3200</v>
      </c>
      <c r="H686" s="2286"/>
      <c r="I686" s="2286"/>
      <c r="J686" s="2286"/>
      <c r="K686" s="2286" t="s">
        <v>3028</v>
      </c>
      <c r="L686" s="2286" t="s">
        <v>2296</v>
      </c>
    </row>
    <row r="687" spans="1:12" x14ac:dyDescent="0.35">
      <c r="A687" s="2286">
        <v>240</v>
      </c>
      <c r="B687" s="2286"/>
      <c r="C687" s="2286"/>
      <c r="D687" s="2316" t="s">
        <v>1016</v>
      </c>
      <c r="E687" s="2286"/>
      <c r="F687" s="2316" t="s">
        <v>3204</v>
      </c>
      <c r="G687" s="2316" t="s">
        <v>3205</v>
      </c>
      <c r="H687" s="2286"/>
      <c r="I687" s="2286"/>
      <c r="J687" s="2286"/>
      <c r="K687" s="2286" t="s">
        <v>3027</v>
      </c>
      <c r="L687" s="2286" t="s">
        <v>2296</v>
      </c>
    </row>
    <row r="688" spans="1:12" x14ac:dyDescent="0.35">
      <c r="A688" s="2286">
        <v>419</v>
      </c>
      <c r="B688" s="2286"/>
      <c r="C688" s="2286"/>
      <c r="D688" s="2316" t="s">
        <v>1016</v>
      </c>
      <c r="E688" s="2286"/>
      <c r="F688" s="2316" t="s">
        <v>3204</v>
      </c>
      <c r="G688" s="2316" t="s">
        <v>3205</v>
      </c>
      <c r="H688" s="2286"/>
      <c r="I688" s="2286"/>
      <c r="J688" s="2286"/>
      <c r="K688" s="2286" t="s">
        <v>3027</v>
      </c>
      <c r="L688" s="2286" t="s">
        <v>2296</v>
      </c>
    </row>
    <row r="689" spans="1:12" x14ac:dyDescent="0.35">
      <c r="A689" s="2286">
        <v>323</v>
      </c>
      <c r="B689" s="2286"/>
      <c r="C689" s="2286"/>
      <c r="D689" s="2316" t="s">
        <v>1016</v>
      </c>
      <c r="E689" s="2286"/>
      <c r="F689" s="2316" t="s">
        <v>3204</v>
      </c>
      <c r="G689" s="2316" t="s">
        <v>3205</v>
      </c>
      <c r="H689" s="2286"/>
      <c r="I689" s="2286"/>
      <c r="J689" s="2286"/>
      <c r="K689" s="2286" t="s">
        <v>3027</v>
      </c>
      <c r="L689" s="2286" t="s">
        <v>2296</v>
      </c>
    </row>
    <row r="690" spans="1:12" x14ac:dyDescent="0.35">
      <c r="A690" s="2286">
        <v>190</v>
      </c>
      <c r="B690" s="2286"/>
      <c r="C690" s="2286"/>
      <c r="D690" s="2316" t="s">
        <v>182</v>
      </c>
      <c r="E690" s="2286"/>
      <c r="F690" s="2316" t="s">
        <v>3206</v>
      </c>
      <c r="G690" s="2316" t="s">
        <v>3207</v>
      </c>
      <c r="H690" s="2286"/>
      <c r="I690" s="2286"/>
      <c r="J690" s="2286"/>
      <c r="K690" s="2286" t="s">
        <v>2680</v>
      </c>
      <c r="L690" s="2286" t="s">
        <v>3047</v>
      </c>
    </row>
    <row r="691" spans="1:12" x14ac:dyDescent="0.35">
      <c r="A691" s="2286">
        <v>324</v>
      </c>
      <c r="B691" s="2286"/>
      <c r="C691" s="2286"/>
      <c r="D691" s="2316" t="s">
        <v>182</v>
      </c>
      <c r="E691" s="2286"/>
      <c r="F691" s="2316" t="s">
        <v>3206</v>
      </c>
      <c r="G691" s="2316" t="s">
        <v>3207</v>
      </c>
      <c r="H691" s="2286"/>
      <c r="I691" s="2286"/>
      <c r="J691" s="2286"/>
      <c r="K691" s="2286" t="s">
        <v>2680</v>
      </c>
      <c r="L691" s="2286" t="s">
        <v>3047</v>
      </c>
    </row>
    <row r="692" spans="1:12" x14ac:dyDescent="0.35">
      <c r="A692" s="2286">
        <v>241</v>
      </c>
      <c r="B692" s="2286"/>
      <c r="C692" s="2286"/>
      <c r="D692" s="2316" t="s">
        <v>242</v>
      </c>
      <c r="E692" s="2286"/>
      <c r="F692" s="2316" t="s">
        <v>3090</v>
      </c>
      <c r="G692" s="2316" t="s">
        <v>3091</v>
      </c>
      <c r="H692" s="2286"/>
      <c r="I692" s="2286"/>
      <c r="J692" s="2286"/>
      <c r="K692" s="2286" t="s">
        <v>242</v>
      </c>
      <c r="L692" s="2286" t="s">
        <v>2296</v>
      </c>
    </row>
    <row r="693" spans="1:12" x14ac:dyDescent="0.35">
      <c r="A693" s="2286">
        <v>156</v>
      </c>
      <c r="B693" s="2286"/>
      <c r="C693" s="2286"/>
      <c r="D693" s="2316" t="s">
        <v>160</v>
      </c>
      <c r="E693" s="2286"/>
      <c r="F693" s="2316" t="s">
        <v>3208</v>
      </c>
      <c r="G693" s="2316" t="s">
        <v>3209</v>
      </c>
      <c r="H693" s="2286"/>
      <c r="I693" s="2286"/>
      <c r="J693" s="2286"/>
      <c r="K693" s="2286" t="s">
        <v>3210</v>
      </c>
      <c r="L693" s="2286" t="s">
        <v>4</v>
      </c>
    </row>
    <row r="694" spans="1:12" x14ac:dyDescent="0.35">
      <c r="A694" s="2286">
        <v>420</v>
      </c>
      <c r="B694" s="2286"/>
      <c r="C694" s="2286"/>
      <c r="D694" s="2316" t="s">
        <v>160</v>
      </c>
      <c r="E694" s="2286"/>
      <c r="F694" s="2316" t="s">
        <v>3208</v>
      </c>
      <c r="G694" s="2316" t="s">
        <v>3209</v>
      </c>
      <c r="H694" s="2286"/>
      <c r="I694" s="2286"/>
      <c r="J694" s="2286"/>
      <c r="K694" s="2286" t="s">
        <v>3210</v>
      </c>
      <c r="L694" s="2286" t="s">
        <v>4</v>
      </c>
    </row>
    <row r="695" spans="1:12" x14ac:dyDescent="0.35">
      <c r="A695" s="2286">
        <v>325</v>
      </c>
      <c r="B695" s="2286"/>
      <c r="C695" s="2286"/>
      <c r="D695" s="2316" t="s">
        <v>160</v>
      </c>
      <c r="E695" s="2286"/>
      <c r="F695" s="2316" t="s">
        <v>3208</v>
      </c>
      <c r="G695" s="2316" t="s">
        <v>3209</v>
      </c>
      <c r="H695" s="2286"/>
      <c r="I695" s="2286"/>
      <c r="J695" s="2286"/>
      <c r="K695" s="2286" t="s">
        <v>3210</v>
      </c>
      <c r="L695" s="2286" t="s">
        <v>4</v>
      </c>
    </row>
    <row r="696" spans="1:12" x14ac:dyDescent="0.35">
      <c r="A696" s="2286">
        <v>157</v>
      </c>
      <c r="B696" s="2286"/>
      <c r="C696" s="2286"/>
      <c r="D696" s="2316" t="s">
        <v>89</v>
      </c>
      <c r="E696" s="2286"/>
      <c r="F696" s="2316" t="s">
        <v>3054</v>
      </c>
      <c r="G696" s="2316" t="s">
        <v>3055</v>
      </c>
      <c r="H696" s="2286"/>
      <c r="I696" s="2286"/>
      <c r="J696" s="2286"/>
      <c r="K696" s="2286" t="s">
        <v>3056</v>
      </c>
      <c r="L696" s="2286" t="s">
        <v>4</v>
      </c>
    </row>
    <row r="697" spans="1:12" x14ac:dyDescent="0.35">
      <c r="A697" s="2286">
        <v>455</v>
      </c>
      <c r="B697" s="2286"/>
      <c r="C697" s="2286"/>
      <c r="D697" s="2316" t="s">
        <v>89</v>
      </c>
      <c r="E697" s="2286"/>
      <c r="F697" s="2316" t="s">
        <v>3054</v>
      </c>
      <c r="G697" s="2316" t="s">
        <v>3055</v>
      </c>
      <c r="H697" s="2286"/>
      <c r="I697" s="2286"/>
      <c r="J697" s="2286"/>
      <c r="K697" s="2286" t="s">
        <v>3056</v>
      </c>
      <c r="L697" s="2286" t="s">
        <v>4</v>
      </c>
    </row>
    <row r="698" spans="1:12" x14ac:dyDescent="0.35">
      <c r="A698" s="2286">
        <v>326</v>
      </c>
      <c r="B698" s="2286"/>
      <c r="C698" s="2286"/>
      <c r="D698" s="2316" t="s">
        <v>89</v>
      </c>
      <c r="E698" s="2286"/>
      <c r="F698" s="2316" t="s">
        <v>3054</v>
      </c>
      <c r="G698" s="2316" t="s">
        <v>3055</v>
      </c>
      <c r="H698" s="2286"/>
      <c r="I698" s="2286"/>
      <c r="J698" s="2286"/>
      <c r="K698" s="2286" t="s">
        <v>3056</v>
      </c>
      <c r="L698" s="2286" t="s">
        <v>4</v>
      </c>
    </row>
    <row r="699" spans="1:12" x14ac:dyDescent="0.35">
      <c r="A699" s="2286">
        <v>158</v>
      </c>
      <c r="B699" s="2286"/>
      <c r="C699" s="2286"/>
      <c r="D699" s="2316" t="s">
        <v>90</v>
      </c>
      <c r="E699" s="2286"/>
      <c r="F699" s="2316" t="s">
        <v>3169</v>
      </c>
      <c r="G699" s="2316" t="s">
        <v>3170</v>
      </c>
      <c r="H699" s="2286"/>
      <c r="I699" s="2286"/>
      <c r="J699" s="2286"/>
      <c r="K699" s="2286" t="s">
        <v>3171</v>
      </c>
      <c r="L699" s="2286" t="s">
        <v>4</v>
      </c>
    </row>
    <row r="700" spans="1:12" x14ac:dyDescent="0.35">
      <c r="A700" s="2286">
        <v>456</v>
      </c>
      <c r="B700" s="2286"/>
      <c r="C700" s="2286"/>
      <c r="D700" s="2316" t="s">
        <v>90</v>
      </c>
      <c r="E700" s="2286"/>
      <c r="F700" s="2316" t="s">
        <v>3169</v>
      </c>
      <c r="G700" s="2316" t="s">
        <v>3170</v>
      </c>
      <c r="H700" s="2286"/>
      <c r="I700" s="2286"/>
      <c r="J700" s="2286"/>
      <c r="K700" s="2286" t="s">
        <v>3171</v>
      </c>
      <c r="L700" s="2286" t="s">
        <v>4</v>
      </c>
    </row>
    <row r="701" spans="1:12" x14ac:dyDescent="0.35">
      <c r="A701" s="2286">
        <v>327</v>
      </c>
      <c r="B701" s="2286"/>
      <c r="C701" s="2286"/>
      <c r="D701" s="2316" t="s">
        <v>90</v>
      </c>
      <c r="E701" s="2286"/>
      <c r="F701" s="2316" t="s">
        <v>3169</v>
      </c>
      <c r="G701" s="2316" t="s">
        <v>3170</v>
      </c>
      <c r="H701" s="2286"/>
      <c r="I701" s="2286"/>
      <c r="J701" s="2286"/>
      <c r="K701" s="2286" t="s">
        <v>3171</v>
      </c>
      <c r="L701" s="2286" t="s">
        <v>4</v>
      </c>
    </row>
    <row r="702" spans="1:12" x14ac:dyDescent="0.35">
      <c r="A702" s="2286">
        <v>159</v>
      </c>
      <c r="B702" s="2286"/>
      <c r="C702" s="2286"/>
      <c r="D702" s="2316" t="s">
        <v>84</v>
      </c>
      <c r="E702" s="2286"/>
      <c r="F702" s="2316" t="s">
        <v>3054</v>
      </c>
      <c r="G702" s="2316" t="s">
        <v>3055</v>
      </c>
      <c r="H702" s="2286"/>
      <c r="I702" s="2286"/>
      <c r="J702" s="2286"/>
      <c r="K702" s="2286" t="s">
        <v>3056</v>
      </c>
      <c r="L702" s="2286" t="s">
        <v>4</v>
      </c>
    </row>
    <row r="703" spans="1:12" x14ac:dyDescent="0.35">
      <c r="A703" s="2286">
        <v>457</v>
      </c>
      <c r="B703" s="2286"/>
      <c r="C703" s="2286"/>
      <c r="D703" s="2316" t="s">
        <v>84</v>
      </c>
      <c r="E703" s="2286"/>
      <c r="F703" s="2316" t="s">
        <v>3054</v>
      </c>
      <c r="G703" s="2316" t="s">
        <v>3055</v>
      </c>
      <c r="H703" s="2286"/>
      <c r="I703" s="2286"/>
      <c r="J703" s="2286"/>
      <c r="K703" s="2286" t="s">
        <v>3056</v>
      </c>
      <c r="L703" s="2286" t="s">
        <v>4</v>
      </c>
    </row>
    <row r="704" spans="1:12" x14ac:dyDescent="0.35">
      <c r="A704" s="2286">
        <v>328</v>
      </c>
      <c r="B704" s="2286"/>
      <c r="C704" s="2286"/>
      <c r="D704" s="2316" t="s">
        <v>84</v>
      </c>
      <c r="E704" s="2286"/>
      <c r="F704" s="2316" t="s">
        <v>3054</v>
      </c>
      <c r="G704" s="2316" t="s">
        <v>3055</v>
      </c>
      <c r="H704" s="2286"/>
      <c r="I704" s="2286"/>
      <c r="J704" s="2286"/>
      <c r="K704" s="2286" t="s">
        <v>3056</v>
      </c>
      <c r="L704" s="2286" t="s">
        <v>4</v>
      </c>
    </row>
    <row r="705" spans="1:12" x14ac:dyDescent="0.35">
      <c r="A705" s="2286">
        <v>77</v>
      </c>
      <c r="B705" s="2286"/>
      <c r="C705" s="2286"/>
      <c r="D705" s="2316" t="s">
        <v>157</v>
      </c>
      <c r="E705" s="2286"/>
      <c r="F705" s="2316" t="s">
        <v>3211</v>
      </c>
      <c r="G705" s="2316" t="s">
        <v>3212</v>
      </c>
      <c r="H705" s="2286"/>
      <c r="I705" s="2286"/>
      <c r="J705" s="2286"/>
      <c r="K705" s="2286" t="s">
        <v>3213</v>
      </c>
      <c r="L705" s="2286" t="s">
        <v>3084</v>
      </c>
    </row>
    <row r="706" spans="1:12" x14ac:dyDescent="0.35">
      <c r="A706" s="2286">
        <v>79</v>
      </c>
      <c r="B706" s="2286"/>
      <c r="C706" s="2286"/>
      <c r="D706" s="2316" t="s">
        <v>163</v>
      </c>
      <c r="E706" s="2286"/>
      <c r="F706" s="2316" t="s">
        <v>3214</v>
      </c>
      <c r="G706" s="2316" t="s">
        <v>3215</v>
      </c>
      <c r="H706" s="2286"/>
      <c r="I706" s="2286"/>
      <c r="J706" s="2286"/>
      <c r="K706" s="2286" t="s">
        <v>3216</v>
      </c>
      <c r="L706" s="2286" t="s">
        <v>20</v>
      </c>
    </row>
    <row r="707" spans="1:12" x14ac:dyDescent="0.35">
      <c r="A707" s="2286">
        <v>422</v>
      </c>
      <c r="B707" s="2286"/>
      <c r="C707" s="2286"/>
      <c r="D707" s="2316" t="s">
        <v>163</v>
      </c>
      <c r="E707" s="2286"/>
      <c r="F707" s="2316" t="s">
        <v>3214</v>
      </c>
      <c r="G707" s="2316" t="s">
        <v>3215</v>
      </c>
      <c r="H707" s="2286"/>
      <c r="I707" s="2286"/>
      <c r="J707" s="2286"/>
      <c r="K707" s="2286" t="s">
        <v>3216</v>
      </c>
      <c r="L707" s="2286" t="s">
        <v>20</v>
      </c>
    </row>
    <row r="708" spans="1:12" x14ac:dyDescent="0.35">
      <c r="A708" s="2286">
        <v>330</v>
      </c>
      <c r="B708" s="2286"/>
      <c r="C708" s="2286"/>
      <c r="D708" s="2316" t="s">
        <v>163</v>
      </c>
      <c r="E708" s="2286"/>
      <c r="F708" s="2316" t="s">
        <v>3214</v>
      </c>
      <c r="G708" s="2316" t="s">
        <v>3215</v>
      </c>
      <c r="H708" s="2286"/>
      <c r="I708" s="2286"/>
      <c r="J708" s="2286"/>
      <c r="K708" s="2286" t="s">
        <v>3216</v>
      </c>
      <c r="L708" s="2286" t="s">
        <v>20</v>
      </c>
    </row>
    <row r="709" spans="1:12" x14ac:dyDescent="0.35">
      <c r="A709" s="2286">
        <v>160</v>
      </c>
      <c r="B709" s="2286"/>
      <c r="C709" s="2286"/>
      <c r="D709" s="2316" t="s">
        <v>175</v>
      </c>
      <c r="E709" s="2286"/>
      <c r="F709" s="2316" t="s">
        <v>3217</v>
      </c>
      <c r="G709" s="2316" t="s">
        <v>3218</v>
      </c>
      <c r="H709" s="2286"/>
      <c r="I709" s="2286"/>
      <c r="J709" s="2286"/>
      <c r="K709" s="2286" t="s">
        <v>3219</v>
      </c>
      <c r="L709" s="2286" t="s">
        <v>4</v>
      </c>
    </row>
    <row r="710" spans="1:12" x14ac:dyDescent="0.35">
      <c r="A710" s="2286">
        <v>331</v>
      </c>
      <c r="B710" s="2286"/>
      <c r="C710" s="2286"/>
      <c r="D710" s="2316" t="s">
        <v>175</v>
      </c>
      <c r="E710" s="2286"/>
      <c r="F710" s="2316" t="s">
        <v>3217</v>
      </c>
      <c r="G710" s="2316" t="s">
        <v>3218</v>
      </c>
      <c r="H710" s="2286"/>
      <c r="I710" s="2286"/>
      <c r="J710" s="2286"/>
      <c r="K710" s="2286" t="s">
        <v>3219</v>
      </c>
      <c r="L710" s="2286" t="s">
        <v>4</v>
      </c>
    </row>
    <row r="711" spans="1:12" x14ac:dyDescent="0.35">
      <c r="A711" s="2286">
        <v>191</v>
      </c>
      <c r="B711" s="2286"/>
      <c r="C711" s="2286"/>
      <c r="D711" s="2316" t="s">
        <v>155</v>
      </c>
      <c r="E711" s="2286"/>
      <c r="F711" s="2316" t="s">
        <v>3220</v>
      </c>
      <c r="G711" s="2316" t="s">
        <v>3221</v>
      </c>
      <c r="H711" s="2286"/>
      <c r="I711" s="2286"/>
      <c r="J711" s="2286"/>
      <c r="K711" s="2286" t="s">
        <v>155</v>
      </c>
      <c r="L711" s="2286" t="s">
        <v>2296</v>
      </c>
    </row>
    <row r="712" spans="1:12" x14ac:dyDescent="0.35">
      <c r="A712" s="2286">
        <v>332</v>
      </c>
      <c r="B712" s="2286"/>
      <c r="C712" s="2286"/>
      <c r="D712" s="2316" t="s">
        <v>155</v>
      </c>
      <c r="E712" s="2286"/>
      <c r="F712" s="2316" t="s">
        <v>3220</v>
      </c>
      <c r="G712" s="2316" t="s">
        <v>3221</v>
      </c>
      <c r="H712" s="2286"/>
      <c r="I712" s="2286"/>
      <c r="J712" s="2286"/>
      <c r="K712" s="2286" t="s">
        <v>155</v>
      </c>
      <c r="L712" s="2286" t="s">
        <v>2296</v>
      </c>
    </row>
    <row r="713" spans="1:12" x14ac:dyDescent="0.35">
      <c r="A713" s="2286">
        <v>113</v>
      </c>
      <c r="B713" s="2286"/>
      <c r="C713" s="2286"/>
      <c r="D713" s="2316" t="s">
        <v>153</v>
      </c>
      <c r="E713" s="2286"/>
      <c r="F713" s="2316" t="s">
        <v>3222</v>
      </c>
      <c r="G713" s="2316" t="s">
        <v>3223</v>
      </c>
      <c r="H713" s="2286"/>
      <c r="I713" s="2286"/>
      <c r="J713" s="2286"/>
      <c r="K713" s="2286" t="s">
        <v>153</v>
      </c>
      <c r="L713" s="2286" t="s">
        <v>3080</v>
      </c>
    </row>
    <row r="714" spans="1:12" x14ac:dyDescent="0.35">
      <c r="A714" s="2286">
        <v>333</v>
      </c>
      <c r="B714" s="2286"/>
      <c r="C714" s="2286"/>
      <c r="D714" s="2316" t="s">
        <v>153</v>
      </c>
      <c r="E714" s="2286"/>
      <c r="F714" s="2316" t="s">
        <v>3222</v>
      </c>
      <c r="G714" s="2316" t="s">
        <v>3223</v>
      </c>
      <c r="H714" s="2286"/>
      <c r="I714" s="2286"/>
      <c r="J714" s="2286"/>
      <c r="K714" s="2286" t="s">
        <v>153</v>
      </c>
      <c r="L714" s="2286" t="s">
        <v>3080</v>
      </c>
    </row>
    <row r="715" spans="1:12" x14ac:dyDescent="0.35">
      <c r="A715" s="2286">
        <v>161</v>
      </c>
      <c r="B715" s="2286"/>
      <c r="C715" s="2286"/>
      <c r="D715" s="2316" t="s">
        <v>1861</v>
      </c>
      <c r="E715" s="2286"/>
      <c r="F715" s="2316" t="s">
        <v>3224</v>
      </c>
      <c r="G715" s="2316" t="s">
        <v>3225</v>
      </c>
      <c r="H715" s="2286"/>
      <c r="I715" s="2286"/>
      <c r="J715" s="2286"/>
      <c r="K715" s="2286" t="s">
        <v>3226</v>
      </c>
      <c r="L715" s="2286" t="s">
        <v>4</v>
      </c>
    </row>
    <row r="716" spans="1:12" x14ac:dyDescent="0.35">
      <c r="A716" s="2286">
        <v>458</v>
      </c>
      <c r="B716" s="2286"/>
      <c r="C716" s="2286"/>
      <c r="D716" s="2316" t="s">
        <v>1861</v>
      </c>
      <c r="E716" s="2286"/>
      <c r="F716" s="2316" t="s">
        <v>3224</v>
      </c>
      <c r="G716" s="2316" t="s">
        <v>3225</v>
      </c>
      <c r="H716" s="2286"/>
      <c r="I716" s="2286"/>
      <c r="J716" s="2286"/>
      <c r="K716" s="2286" t="s">
        <v>3226</v>
      </c>
      <c r="L716" s="2286" t="s">
        <v>4</v>
      </c>
    </row>
    <row r="717" spans="1:12" x14ac:dyDescent="0.35">
      <c r="A717" s="2286">
        <v>334</v>
      </c>
      <c r="B717" s="2286"/>
      <c r="C717" s="2286"/>
      <c r="D717" s="2316" t="s">
        <v>1861</v>
      </c>
      <c r="E717" s="2286"/>
      <c r="F717" s="2316" t="s">
        <v>3224</v>
      </c>
      <c r="G717" s="2316" t="s">
        <v>3225</v>
      </c>
      <c r="H717" s="2286"/>
      <c r="I717" s="2286"/>
      <c r="J717" s="2286"/>
      <c r="K717" s="2286" t="s">
        <v>3226</v>
      </c>
      <c r="L717" s="2286" t="s">
        <v>4</v>
      </c>
    </row>
    <row r="718" spans="1:12" x14ac:dyDescent="0.35">
      <c r="A718" s="2286">
        <v>162</v>
      </c>
      <c r="B718" s="2286"/>
      <c r="C718" s="2286"/>
      <c r="D718" s="2316" t="s">
        <v>279</v>
      </c>
      <c r="E718" s="2286"/>
      <c r="F718" s="2316" t="s">
        <v>3224</v>
      </c>
      <c r="G718" s="2316" t="s">
        <v>3225</v>
      </c>
      <c r="H718" s="2286"/>
      <c r="I718" s="2286"/>
      <c r="J718" s="2286"/>
      <c r="K718" s="2286" t="s">
        <v>3226</v>
      </c>
      <c r="L718" s="2286" t="s">
        <v>4</v>
      </c>
    </row>
    <row r="719" spans="1:12" x14ac:dyDescent="0.35">
      <c r="A719" s="2286">
        <v>423</v>
      </c>
      <c r="B719" s="2286"/>
      <c r="C719" s="2286"/>
      <c r="D719" s="2316" t="s">
        <v>279</v>
      </c>
      <c r="E719" s="2286"/>
      <c r="F719" s="2316" t="s">
        <v>3224</v>
      </c>
      <c r="G719" s="2316" t="s">
        <v>3225</v>
      </c>
      <c r="H719" s="2286"/>
      <c r="I719" s="2286"/>
      <c r="J719" s="2286"/>
      <c r="K719" s="2286" t="s">
        <v>3226</v>
      </c>
      <c r="L719" s="2286" t="s">
        <v>4</v>
      </c>
    </row>
    <row r="720" spans="1:12" x14ac:dyDescent="0.35">
      <c r="A720" s="2286">
        <v>379</v>
      </c>
      <c r="B720" s="2286"/>
      <c r="C720" s="2286"/>
      <c r="D720" s="2316" t="s">
        <v>1057</v>
      </c>
      <c r="E720" s="2286"/>
      <c r="F720" s="2316" t="s">
        <v>3224</v>
      </c>
      <c r="G720" s="2316" t="s">
        <v>3225</v>
      </c>
      <c r="H720" s="2286"/>
      <c r="I720" s="2286"/>
      <c r="J720" s="2286"/>
      <c r="K720" s="2286" t="s">
        <v>3226</v>
      </c>
      <c r="L720" s="2286" t="s">
        <v>4</v>
      </c>
    </row>
    <row r="721" spans="1:12" x14ac:dyDescent="0.35">
      <c r="A721" s="2286">
        <v>242</v>
      </c>
      <c r="B721" s="2286"/>
      <c r="C721" s="2286"/>
      <c r="D721" s="2316" t="s">
        <v>176</v>
      </c>
      <c r="E721" s="2286"/>
      <c r="F721" s="2316" t="s">
        <v>3227</v>
      </c>
      <c r="G721" s="2316" t="s">
        <v>3228</v>
      </c>
      <c r="H721" s="2286"/>
      <c r="I721" s="2286"/>
      <c r="J721" s="2286"/>
      <c r="K721" s="2286" t="s">
        <v>176</v>
      </c>
      <c r="L721" s="2286" t="s">
        <v>20</v>
      </c>
    </row>
    <row r="722" spans="1:12" x14ac:dyDescent="0.35">
      <c r="A722" s="2286">
        <v>243</v>
      </c>
      <c r="B722" s="2286"/>
      <c r="C722" s="2286"/>
      <c r="D722" s="2316" t="s">
        <v>138</v>
      </c>
      <c r="E722" s="2286"/>
      <c r="F722" s="2316" t="s">
        <v>3229</v>
      </c>
      <c r="G722" s="2316" t="s">
        <v>3230</v>
      </c>
      <c r="H722" s="2286"/>
      <c r="I722" s="2286"/>
      <c r="J722" s="2286"/>
      <c r="K722" s="2286" t="s">
        <v>3231</v>
      </c>
      <c r="L722" s="2286" t="s">
        <v>3080</v>
      </c>
    </row>
    <row r="723" spans="1:12" x14ac:dyDescent="0.35">
      <c r="A723" s="2286">
        <v>335</v>
      </c>
      <c r="B723" s="2286"/>
      <c r="C723" s="2286"/>
      <c r="D723" s="2316" t="s">
        <v>138</v>
      </c>
      <c r="E723" s="2286"/>
      <c r="F723" s="2316" t="s">
        <v>3229</v>
      </c>
      <c r="G723" s="2316" t="s">
        <v>3230</v>
      </c>
      <c r="H723" s="2286"/>
      <c r="I723" s="2286"/>
      <c r="J723" s="2286"/>
      <c r="K723" s="2286" t="s">
        <v>3231</v>
      </c>
      <c r="L723" s="2286" t="s">
        <v>3080</v>
      </c>
    </row>
    <row r="724" spans="1:12" x14ac:dyDescent="0.35">
      <c r="A724" s="2286">
        <v>244</v>
      </c>
      <c r="B724" s="2286"/>
      <c r="C724" s="2286"/>
      <c r="D724" s="2316" t="s">
        <v>139</v>
      </c>
      <c r="E724" s="2286"/>
      <c r="F724" s="2316" t="s">
        <v>3229</v>
      </c>
      <c r="G724" s="2316" t="s">
        <v>3230</v>
      </c>
      <c r="H724" s="2286"/>
      <c r="I724" s="2286"/>
      <c r="J724" s="2286"/>
      <c r="K724" s="2286" t="s">
        <v>3231</v>
      </c>
      <c r="L724" s="2286" t="s">
        <v>3080</v>
      </c>
    </row>
    <row r="725" spans="1:12" x14ac:dyDescent="0.35">
      <c r="A725" s="2286">
        <v>336</v>
      </c>
      <c r="B725" s="2286"/>
      <c r="C725" s="2286"/>
      <c r="D725" s="2316" t="s">
        <v>139</v>
      </c>
      <c r="E725" s="2286"/>
      <c r="F725" s="2316" t="s">
        <v>3229</v>
      </c>
      <c r="G725" s="2316" t="s">
        <v>3230</v>
      </c>
      <c r="H725" s="2286"/>
      <c r="I725" s="2286"/>
      <c r="J725" s="2286"/>
      <c r="K725" s="2286" t="s">
        <v>3231</v>
      </c>
      <c r="L725" s="2286" t="s">
        <v>3080</v>
      </c>
    </row>
    <row r="726" spans="1:12" x14ac:dyDescent="0.35">
      <c r="A726" s="2286">
        <v>80</v>
      </c>
      <c r="B726" s="2286"/>
      <c r="C726" s="2286"/>
      <c r="D726" s="2316" t="s">
        <v>167</v>
      </c>
      <c r="E726" s="2286"/>
      <c r="F726" s="2316" t="s">
        <v>3232</v>
      </c>
      <c r="G726" s="2316" t="s">
        <v>3233</v>
      </c>
      <c r="H726" s="2286"/>
      <c r="I726" s="2286"/>
      <c r="J726" s="2286"/>
      <c r="K726" s="2286" t="s">
        <v>3234</v>
      </c>
      <c r="L726" s="2286" t="s">
        <v>20</v>
      </c>
    </row>
    <row r="727" spans="1:12" x14ac:dyDescent="0.35">
      <c r="A727" s="2286">
        <v>424</v>
      </c>
      <c r="B727" s="2286"/>
      <c r="C727" s="2286"/>
      <c r="D727" s="2316" t="s">
        <v>167</v>
      </c>
      <c r="E727" s="2286"/>
      <c r="F727" s="2316" t="s">
        <v>3232</v>
      </c>
      <c r="G727" s="2316" t="s">
        <v>3233</v>
      </c>
      <c r="H727" s="2286"/>
      <c r="I727" s="2286"/>
      <c r="J727" s="2286"/>
      <c r="K727" s="2286" t="s">
        <v>3234</v>
      </c>
      <c r="L727" s="2286" t="s">
        <v>20</v>
      </c>
    </row>
    <row r="728" spans="1:12" x14ac:dyDescent="0.35">
      <c r="A728" s="2286">
        <v>337</v>
      </c>
      <c r="B728" s="2286"/>
      <c r="C728" s="2286"/>
      <c r="D728" s="2316" t="s">
        <v>167</v>
      </c>
      <c r="E728" s="2286"/>
      <c r="F728" s="2316" t="s">
        <v>3232</v>
      </c>
      <c r="G728" s="2316" t="s">
        <v>3233</v>
      </c>
      <c r="H728" s="2286"/>
      <c r="I728" s="2286"/>
      <c r="J728" s="2286"/>
      <c r="K728" s="2286" t="s">
        <v>3234</v>
      </c>
      <c r="L728" s="2286" t="s">
        <v>20</v>
      </c>
    </row>
    <row r="729" spans="1:12" x14ac:dyDescent="0.35">
      <c r="A729" s="2286">
        <v>81</v>
      </c>
      <c r="B729" s="2286"/>
      <c r="C729" s="2286"/>
      <c r="D729" s="2316" t="s">
        <v>221</v>
      </c>
      <c r="E729" s="2286"/>
      <c r="F729" s="2316" t="s">
        <v>3235</v>
      </c>
      <c r="G729" s="2316" t="s">
        <v>3236</v>
      </c>
      <c r="H729" s="2286"/>
      <c r="I729" s="2286"/>
      <c r="J729" s="2286"/>
      <c r="K729" s="2286" t="s">
        <v>3237</v>
      </c>
      <c r="L729" s="2286" t="s">
        <v>20</v>
      </c>
    </row>
    <row r="730" spans="1:12" x14ac:dyDescent="0.35">
      <c r="A730" s="2286">
        <v>82</v>
      </c>
      <c r="B730" s="2286"/>
      <c r="C730" s="2286"/>
      <c r="D730" s="2316" t="s">
        <v>220</v>
      </c>
      <c r="E730" s="2286"/>
      <c r="F730" s="2316" t="s">
        <v>3235</v>
      </c>
      <c r="G730" s="2316" t="s">
        <v>3236</v>
      </c>
      <c r="H730" s="2286"/>
      <c r="I730" s="2286"/>
      <c r="J730" s="2286"/>
      <c r="K730" s="2286" t="s">
        <v>3237</v>
      </c>
      <c r="L730" s="2286" t="s">
        <v>20</v>
      </c>
    </row>
    <row r="731" spans="1:12" x14ac:dyDescent="0.35">
      <c r="A731" s="2286">
        <v>193</v>
      </c>
      <c r="B731" s="2286"/>
      <c r="C731" s="2286"/>
      <c r="D731" s="2316" t="s">
        <v>166</v>
      </c>
      <c r="E731" s="2286"/>
      <c r="F731" s="2316" t="s">
        <v>3238</v>
      </c>
      <c r="G731" s="2316" t="s">
        <v>3239</v>
      </c>
      <c r="H731" s="2286"/>
      <c r="I731" s="2286"/>
      <c r="J731" s="2286"/>
      <c r="K731" s="2286" t="s">
        <v>166</v>
      </c>
      <c r="L731" s="2286" t="s">
        <v>3047</v>
      </c>
    </row>
    <row r="732" spans="1:12" x14ac:dyDescent="0.35">
      <c r="A732" s="2286">
        <v>194</v>
      </c>
      <c r="B732" s="2286"/>
      <c r="C732" s="2286"/>
      <c r="D732" s="2316" t="s">
        <v>262</v>
      </c>
      <c r="E732" s="2286"/>
      <c r="F732" s="2316" t="s">
        <v>304</v>
      </c>
      <c r="G732" s="2316" t="s">
        <v>304</v>
      </c>
      <c r="H732" s="2286"/>
      <c r="I732" s="2286"/>
      <c r="J732" s="2286" t="s">
        <v>1373</v>
      </c>
      <c r="K732" s="2286" t="s">
        <v>304</v>
      </c>
      <c r="L732" s="2286" t="s">
        <v>3047</v>
      </c>
    </row>
    <row r="733" spans="1:12" x14ac:dyDescent="0.35">
      <c r="A733" s="2286">
        <v>425</v>
      </c>
      <c r="B733" s="2286"/>
      <c r="C733" s="2286"/>
      <c r="D733" s="2316" t="s">
        <v>262</v>
      </c>
      <c r="E733" s="2286"/>
      <c r="F733" s="2316" t="s">
        <v>304</v>
      </c>
      <c r="G733" s="2316" t="s">
        <v>304</v>
      </c>
      <c r="H733" s="2286"/>
      <c r="I733" s="2286"/>
      <c r="J733" s="2286" t="s">
        <v>1373</v>
      </c>
      <c r="K733" s="2286" t="s">
        <v>304</v>
      </c>
      <c r="L733" s="2286" t="s">
        <v>3047</v>
      </c>
    </row>
    <row r="734" spans="1:12" x14ac:dyDescent="0.35">
      <c r="A734" s="2286">
        <v>114</v>
      </c>
      <c r="B734" s="2286"/>
      <c r="C734" s="2286"/>
      <c r="D734" s="2316" t="s">
        <v>154</v>
      </c>
      <c r="E734" s="2286"/>
      <c r="F734" s="2316" t="s">
        <v>3240</v>
      </c>
      <c r="G734" s="2316" t="s">
        <v>3241</v>
      </c>
      <c r="H734" s="2286"/>
      <c r="I734" s="2286"/>
      <c r="J734" s="2286"/>
      <c r="K734" s="2286" t="s">
        <v>3242</v>
      </c>
      <c r="L734" s="2286" t="s">
        <v>3080</v>
      </c>
    </row>
    <row r="735" spans="1:12" x14ac:dyDescent="0.35">
      <c r="A735" s="2286">
        <v>338</v>
      </c>
      <c r="B735" s="2286"/>
      <c r="C735" s="2286"/>
      <c r="D735" s="2316" t="s">
        <v>154</v>
      </c>
      <c r="E735" s="2286"/>
      <c r="F735" s="2316" t="s">
        <v>3240</v>
      </c>
      <c r="G735" s="2316" t="s">
        <v>3241</v>
      </c>
      <c r="H735" s="2286"/>
      <c r="I735" s="2286"/>
      <c r="J735" s="2286"/>
      <c r="K735" s="2286" t="s">
        <v>3242</v>
      </c>
      <c r="L735" s="2286" t="s">
        <v>3080</v>
      </c>
    </row>
    <row r="736" spans="1:12" x14ac:dyDescent="0.35">
      <c r="A736" s="2286">
        <v>163</v>
      </c>
      <c r="B736" s="2286"/>
      <c r="C736" s="2286"/>
      <c r="D736" s="2316" t="s">
        <v>85</v>
      </c>
      <c r="E736" s="2286"/>
      <c r="F736" s="2316" t="s">
        <v>3054</v>
      </c>
      <c r="G736" s="2316" t="s">
        <v>3055</v>
      </c>
      <c r="H736" s="2286"/>
      <c r="I736" s="2286"/>
      <c r="J736" s="2286"/>
      <c r="K736" s="2286" t="s">
        <v>3056</v>
      </c>
      <c r="L736" s="2286" t="s">
        <v>4</v>
      </c>
    </row>
    <row r="737" spans="1:12" x14ac:dyDescent="0.35">
      <c r="A737" s="2286">
        <v>459</v>
      </c>
      <c r="B737" s="2286"/>
      <c r="C737" s="2286"/>
      <c r="D737" s="2316" t="s">
        <v>85</v>
      </c>
      <c r="E737" s="2286"/>
      <c r="F737" s="2316" t="s">
        <v>3054</v>
      </c>
      <c r="G737" s="2316" t="s">
        <v>3055</v>
      </c>
      <c r="H737" s="2286"/>
      <c r="I737" s="2286"/>
      <c r="J737" s="2286"/>
      <c r="K737" s="2286" t="s">
        <v>3056</v>
      </c>
      <c r="L737" s="2286" t="s">
        <v>4</v>
      </c>
    </row>
    <row r="738" spans="1:12" x14ac:dyDescent="0.35">
      <c r="A738" s="2286">
        <v>339</v>
      </c>
      <c r="B738" s="2286"/>
      <c r="C738" s="2286"/>
      <c r="D738" s="2316" t="s">
        <v>85</v>
      </c>
      <c r="E738" s="2286"/>
      <c r="F738" s="2316" t="s">
        <v>3054</v>
      </c>
      <c r="G738" s="2316" t="s">
        <v>3055</v>
      </c>
      <c r="H738" s="2286"/>
      <c r="I738" s="2286"/>
      <c r="J738" s="2286"/>
      <c r="K738" s="2286" t="s">
        <v>3056</v>
      </c>
      <c r="L738" s="2286" t="s">
        <v>4</v>
      </c>
    </row>
    <row r="739" spans="1:12" x14ac:dyDescent="0.35">
      <c r="A739" s="2286">
        <v>224</v>
      </c>
      <c r="B739" s="2286"/>
      <c r="C739" s="2286"/>
      <c r="D739" s="2316" t="s">
        <v>156</v>
      </c>
      <c r="E739" s="2286"/>
      <c r="F739" s="2316" t="s">
        <v>3243</v>
      </c>
      <c r="G739" s="2316" t="s">
        <v>3244</v>
      </c>
      <c r="H739" s="2286"/>
      <c r="I739" s="2286"/>
      <c r="J739" s="2286"/>
      <c r="K739" s="2286" t="s">
        <v>3245</v>
      </c>
      <c r="L739" s="2286" t="s">
        <v>105</v>
      </c>
    </row>
    <row r="740" spans="1:12" x14ac:dyDescent="0.35">
      <c r="A740" s="2286">
        <v>164</v>
      </c>
      <c r="B740" s="2286"/>
      <c r="C740" s="2286"/>
      <c r="D740" s="2316" t="s">
        <v>93</v>
      </c>
      <c r="E740" s="2286"/>
      <c r="F740" s="2316" t="s">
        <v>3143</v>
      </c>
      <c r="G740" s="2316" t="s">
        <v>3144</v>
      </c>
      <c r="H740" s="2286"/>
      <c r="I740" s="2286"/>
      <c r="J740" s="2286"/>
      <c r="K740" s="2286" t="s">
        <v>3145</v>
      </c>
      <c r="L740" s="2286" t="s">
        <v>4</v>
      </c>
    </row>
    <row r="741" spans="1:12" x14ac:dyDescent="0.35">
      <c r="A741" s="2286">
        <v>426</v>
      </c>
      <c r="B741" s="2286"/>
      <c r="C741" s="2286"/>
      <c r="D741" s="2316" t="s">
        <v>93</v>
      </c>
      <c r="E741" s="2286"/>
      <c r="F741" s="2316" t="s">
        <v>3143</v>
      </c>
      <c r="G741" s="2316" t="s">
        <v>3144</v>
      </c>
      <c r="H741" s="2286"/>
      <c r="I741" s="2286"/>
      <c r="J741" s="2286"/>
      <c r="K741" s="2286" t="s">
        <v>3145</v>
      </c>
      <c r="L741" s="2286" t="s">
        <v>4</v>
      </c>
    </row>
    <row r="742" spans="1:12" x14ac:dyDescent="0.35">
      <c r="A742" s="2286">
        <v>340</v>
      </c>
      <c r="B742" s="2286"/>
      <c r="C742" s="2286"/>
      <c r="D742" s="2316" t="s">
        <v>93</v>
      </c>
      <c r="E742" s="2286"/>
      <c r="F742" s="2316" t="s">
        <v>3143</v>
      </c>
      <c r="G742" s="2316" t="s">
        <v>3144</v>
      </c>
      <c r="H742" s="2286"/>
      <c r="I742" s="2286"/>
      <c r="J742" s="2286"/>
      <c r="K742" s="2286" t="s">
        <v>3145</v>
      </c>
      <c r="L742" s="2286" t="s">
        <v>4</v>
      </c>
    </row>
    <row r="743" spans="1:12" x14ac:dyDescent="0.35">
      <c r="A743" s="2286">
        <v>84</v>
      </c>
      <c r="B743" s="2286"/>
      <c r="C743" s="2286"/>
      <c r="D743" s="2316" t="s">
        <v>207</v>
      </c>
      <c r="E743" s="2286"/>
      <c r="F743" s="2316" t="s">
        <v>304</v>
      </c>
      <c r="G743" s="2316" t="s">
        <v>304</v>
      </c>
      <c r="H743" s="2286"/>
      <c r="I743" s="2286"/>
      <c r="J743" s="2286" t="s">
        <v>1007</v>
      </c>
      <c r="K743" s="2286" t="s">
        <v>304</v>
      </c>
      <c r="L743" s="2286" t="s">
        <v>20</v>
      </c>
    </row>
    <row r="744" spans="1:12" x14ac:dyDescent="0.35">
      <c r="A744" s="2286">
        <v>427</v>
      </c>
      <c r="B744" s="2286"/>
      <c r="C744" s="2286"/>
      <c r="D744" s="2316" t="s">
        <v>207</v>
      </c>
      <c r="E744" s="2286"/>
      <c r="F744" s="2316" t="s">
        <v>304</v>
      </c>
      <c r="G744" s="2316" t="s">
        <v>304</v>
      </c>
      <c r="H744" s="2286"/>
      <c r="I744" s="2286"/>
      <c r="J744" s="2286" t="s">
        <v>1007</v>
      </c>
      <c r="K744" s="2286" t="s">
        <v>304</v>
      </c>
      <c r="L744" s="2286" t="s">
        <v>20</v>
      </c>
    </row>
    <row r="745" spans="1:12" x14ac:dyDescent="0.35">
      <c r="A745" s="2286">
        <v>341</v>
      </c>
      <c r="B745" s="2286"/>
      <c r="C745" s="2286"/>
      <c r="D745" s="2316" t="s">
        <v>207</v>
      </c>
      <c r="E745" s="2286"/>
      <c r="F745" s="2316" t="s">
        <v>304</v>
      </c>
      <c r="G745" s="2316" t="s">
        <v>304</v>
      </c>
      <c r="H745" s="2286"/>
      <c r="I745" s="2286"/>
      <c r="J745" s="2286" t="s">
        <v>1007</v>
      </c>
      <c r="K745" s="2286" t="s">
        <v>304</v>
      </c>
      <c r="L745" s="2286" t="s">
        <v>20</v>
      </c>
    </row>
    <row r="746" spans="1:12" x14ac:dyDescent="0.35">
      <c r="A746" s="2286">
        <v>165</v>
      </c>
      <c r="B746" s="2286"/>
      <c r="C746" s="2286"/>
      <c r="D746" s="2316" t="s">
        <v>172</v>
      </c>
      <c r="E746" s="2286"/>
      <c r="F746" s="2316" t="s">
        <v>3169</v>
      </c>
      <c r="G746" s="2316" t="s">
        <v>3170</v>
      </c>
      <c r="H746" s="2286"/>
      <c r="I746" s="2286"/>
      <c r="J746" s="2286"/>
      <c r="K746" s="2286" t="s">
        <v>3171</v>
      </c>
      <c r="L746" s="2286" t="s">
        <v>4</v>
      </c>
    </row>
    <row r="747" spans="1:12" x14ac:dyDescent="0.35">
      <c r="A747" s="2286">
        <v>342</v>
      </c>
      <c r="B747" s="2286"/>
      <c r="C747" s="2286"/>
      <c r="D747" s="2316" t="s">
        <v>172</v>
      </c>
      <c r="E747" s="2286"/>
      <c r="F747" s="2316" t="s">
        <v>3169</v>
      </c>
      <c r="G747" s="2316" t="s">
        <v>3170</v>
      </c>
      <c r="H747" s="2286"/>
      <c r="I747" s="2286"/>
      <c r="J747" s="2286"/>
      <c r="K747" s="2286" t="s">
        <v>3171</v>
      </c>
      <c r="L747" s="2286" t="s">
        <v>4</v>
      </c>
    </row>
    <row r="748" spans="1:12" x14ac:dyDescent="0.35">
      <c r="A748" s="2286">
        <v>166</v>
      </c>
      <c r="B748" s="2286"/>
      <c r="C748" s="2286"/>
      <c r="D748" s="2316" t="s">
        <v>171</v>
      </c>
      <c r="E748" s="2286"/>
      <c r="F748" s="2316" t="s">
        <v>3054</v>
      </c>
      <c r="G748" s="2316" t="s">
        <v>3055</v>
      </c>
      <c r="H748" s="2286"/>
      <c r="I748" s="2286"/>
      <c r="J748" s="2286"/>
      <c r="K748" s="2286" t="s">
        <v>3056</v>
      </c>
      <c r="L748" s="2286" t="s">
        <v>4</v>
      </c>
    </row>
    <row r="749" spans="1:12" x14ac:dyDescent="0.35">
      <c r="A749" s="2286">
        <v>343</v>
      </c>
      <c r="B749" s="2286"/>
      <c r="C749" s="2286"/>
      <c r="D749" s="2316" t="s">
        <v>171</v>
      </c>
      <c r="E749" s="2286"/>
      <c r="F749" s="2316" t="s">
        <v>3054</v>
      </c>
      <c r="G749" s="2316" t="s">
        <v>3055</v>
      </c>
      <c r="H749" s="2286"/>
      <c r="I749" s="2286"/>
      <c r="J749" s="2286"/>
      <c r="K749" s="2286" t="s">
        <v>3056</v>
      </c>
      <c r="L749" s="2286" t="s">
        <v>4</v>
      </c>
    </row>
    <row r="750" spans="1:12" x14ac:dyDescent="0.35">
      <c r="A750" s="2286">
        <v>195</v>
      </c>
      <c r="B750" s="2286"/>
      <c r="C750" s="2286"/>
      <c r="D750" s="2316" t="s">
        <v>223</v>
      </c>
      <c r="E750" s="2286"/>
      <c r="F750" s="2316" t="s">
        <v>3072</v>
      </c>
      <c r="G750" s="2316" t="s">
        <v>3073</v>
      </c>
      <c r="H750" s="2286"/>
      <c r="I750" s="2286"/>
      <c r="J750" s="2286"/>
      <c r="K750" s="2286" t="s">
        <v>3074</v>
      </c>
      <c r="L750" s="2286" t="s">
        <v>105</v>
      </c>
    </row>
    <row r="751" spans="1:12" x14ac:dyDescent="0.35">
      <c r="A751" s="2286">
        <v>428</v>
      </c>
      <c r="B751" s="2286"/>
      <c r="C751" s="2286"/>
      <c r="D751" s="2316" t="s">
        <v>223</v>
      </c>
      <c r="E751" s="2286"/>
      <c r="F751" s="2316" t="s">
        <v>3072</v>
      </c>
      <c r="G751" s="2316" t="s">
        <v>3073</v>
      </c>
      <c r="H751" s="2286"/>
      <c r="I751" s="2286"/>
      <c r="J751" s="2286"/>
      <c r="K751" s="2286" t="s">
        <v>3074</v>
      </c>
      <c r="L751" s="2286" t="s">
        <v>105</v>
      </c>
    </row>
    <row r="752" spans="1:12" x14ac:dyDescent="0.35">
      <c r="A752" s="2286">
        <v>344</v>
      </c>
      <c r="B752" s="2286"/>
      <c r="C752" s="2286"/>
      <c r="D752" s="2316" t="s">
        <v>223</v>
      </c>
      <c r="E752" s="2286"/>
      <c r="F752" s="2316" t="s">
        <v>3072</v>
      </c>
      <c r="G752" s="2316" t="s">
        <v>3073</v>
      </c>
      <c r="H752" s="2286"/>
      <c r="I752" s="2286"/>
      <c r="J752" s="2286"/>
      <c r="K752" s="2286" t="s">
        <v>3074</v>
      </c>
      <c r="L752" s="2286" t="s">
        <v>105</v>
      </c>
    </row>
    <row r="753" spans="1:12" x14ac:dyDescent="0.35">
      <c r="A753" s="2286">
        <v>196</v>
      </c>
      <c r="B753" s="2286"/>
      <c r="C753" s="2286"/>
      <c r="D753" s="2316" t="s">
        <v>189</v>
      </c>
      <c r="E753" s="2286"/>
      <c r="F753" s="2316" t="s">
        <v>3072</v>
      </c>
      <c r="G753" s="2316" t="s">
        <v>3073</v>
      </c>
      <c r="H753" s="2286"/>
      <c r="I753" s="2286"/>
      <c r="J753" s="2286"/>
      <c r="K753" s="2286" t="s">
        <v>3074</v>
      </c>
      <c r="L753" s="2286" t="s">
        <v>105</v>
      </c>
    </row>
    <row r="754" spans="1:12" x14ac:dyDescent="0.35">
      <c r="A754" s="2286">
        <v>197</v>
      </c>
      <c r="B754" s="2286"/>
      <c r="C754" s="2286"/>
      <c r="D754" s="2316" t="s">
        <v>191</v>
      </c>
      <c r="E754" s="2286"/>
      <c r="F754" s="2316" t="s">
        <v>3072</v>
      </c>
      <c r="G754" s="2316" t="s">
        <v>3073</v>
      </c>
      <c r="H754" s="2286"/>
      <c r="I754" s="2286"/>
      <c r="J754" s="2286"/>
      <c r="K754" s="2286" t="s">
        <v>3074</v>
      </c>
      <c r="L754" s="2286" t="s">
        <v>105</v>
      </c>
    </row>
    <row r="755" spans="1:12" x14ac:dyDescent="0.35">
      <c r="A755" s="2286">
        <v>198</v>
      </c>
      <c r="B755" s="2286"/>
      <c r="C755" s="2286"/>
      <c r="D755" s="2316" t="s">
        <v>192</v>
      </c>
      <c r="E755" s="2286"/>
      <c r="F755" s="2316" t="s">
        <v>3072</v>
      </c>
      <c r="G755" s="2316" t="s">
        <v>3073</v>
      </c>
      <c r="H755" s="2286"/>
      <c r="I755" s="2286"/>
      <c r="J755" s="2286"/>
      <c r="K755" s="2286" t="s">
        <v>3074</v>
      </c>
      <c r="L755" s="2286" t="s">
        <v>105</v>
      </c>
    </row>
    <row r="756" spans="1:12" x14ac:dyDescent="0.35">
      <c r="A756" s="2286">
        <v>199</v>
      </c>
      <c r="B756" s="2286"/>
      <c r="C756" s="2286"/>
      <c r="D756" s="2316" t="s">
        <v>190</v>
      </c>
      <c r="E756" s="2286"/>
      <c r="F756" s="2316" t="s">
        <v>3072</v>
      </c>
      <c r="G756" s="2316" t="s">
        <v>3073</v>
      </c>
      <c r="H756" s="2286"/>
      <c r="I756" s="2286"/>
      <c r="J756" s="2286"/>
      <c r="K756" s="2286" t="s">
        <v>3074</v>
      </c>
      <c r="L756" s="2286" t="s">
        <v>105</v>
      </c>
    </row>
    <row r="757" spans="1:12" x14ac:dyDescent="0.35">
      <c r="A757" s="2286">
        <v>225</v>
      </c>
      <c r="B757" s="2286"/>
      <c r="C757" s="2286"/>
      <c r="D757" s="2316" t="s">
        <v>115</v>
      </c>
      <c r="E757" s="2286"/>
      <c r="F757" s="2316" t="s">
        <v>3155</v>
      </c>
      <c r="G757" s="2316" t="s">
        <v>3156</v>
      </c>
      <c r="H757" s="2286"/>
      <c r="I757" s="2286"/>
      <c r="J757" s="2286"/>
      <c r="K757" s="2286" t="s">
        <v>3157</v>
      </c>
      <c r="L757" s="2286" t="s">
        <v>3080</v>
      </c>
    </row>
    <row r="758" spans="1:12" x14ac:dyDescent="0.35">
      <c r="A758" s="2286">
        <v>345</v>
      </c>
      <c r="B758" s="2286"/>
      <c r="C758" s="2286"/>
      <c r="D758" s="2316" t="s">
        <v>115</v>
      </c>
      <c r="E758" s="2286"/>
      <c r="F758" s="2316" t="s">
        <v>3155</v>
      </c>
      <c r="G758" s="2316" t="s">
        <v>3156</v>
      </c>
      <c r="H758" s="2286"/>
      <c r="I758" s="2286"/>
      <c r="J758" s="2286"/>
      <c r="K758" s="2286" t="s">
        <v>3157</v>
      </c>
      <c r="L758" s="2286" t="s">
        <v>3080</v>
      </c>
    </row>
    <row r="759" spans="1:12" x14ac:dyDescent="0.35">
      <c r="A759" s="2286">
        <v>226</v>
      </c>
      <c r="B759" s="2286"/>
      <c r="C759" s="2286"/>
      <c r="D759" s="2316" t="s">
        <v>116</v>
      </c>
      <c r="E759" s="2286"/>
      <c r="F759" s="2316" t="s">
        <v>3155</v>
      </c>
      <c r="G759" s="2316" t="s">
        <v>3156</v>
      </c>
      <c r="H759" s="2286"/>
      <c r="I759" s="2286"/>
      <c r="J759" s="2286"/>
      <c r="K759" s="2286" t="s">
        <v>3157</v>
      </c>
      <c r="L759" s="2286" t="s">
        <v>3080</v>
      </c>
    </row>
    <row r="760" spans="1:12" x14ac:dyDescent="0.35">
      <c r="A760" s="2286">
        <v>346</v>
      </c>
      <c r="B760" s="2286"/>
      <c r="C760" s="2286"/>
      <c r="D760" s="2316" t="s">
        <v>116</v>
      </c>
      <c r="E760" s="2286"/>
      <c r="F760" s="2316" t="s">
        <v>3155</v>
      </c>
      <c r="G760" s="2316" t="s">
        <v>3156</v>
      </c>
      <c r="H760" s="2286"/>
      <c r="I760" s="2286"/>
      <c r="J760" s="2286"/>
      <c r="K760" s="2286" t="s">
        <v>3157</v>
      </c>
      <c r="L760" s="2286" t="s">
        <v>3080</v>
      </c>
    </row>
    <row r="761" spans="1:12" x14ac:dyDescent="0.35">
      <c r="A761" s="2286">
        <v>227</v>
      </c>
      <c r="B761" s="2286"/>
      <c r="C761" s="2286"/>
      <c r="D761" s="2316" t="s">
        <v>117</v>
      </c>
      <c r="E761" s="2286"/>
      <c r="F761" s="2316" t="s">
        <v>3155</v>
      </c>
      <c r="G761" s="2316" t="s">
        <v>3156</v>
      </c>
      <c r="H761" s="2286"/>
      <c r="I761" s="2286"/>
      <c r="J761" s="2286"/>
      <c r="K761" s="2286" t="s">
        <v>3157</v>
      </c>
      <c r="L761" s="2286" t="s">
        <v>3080</v>
      </c>
    </row>
    <row r="762" spans="1:12" x14ac:dyDescent="0.35">
      <c r="A762" s="2286">
        <v>347</v>
      </c>
      <c r="B762" s="2286"/>
      <c r="C762" s="2286"/>
      <c r="D762" s="2316" t="s">
        <v>117</v>
      </c>
      <c r="E762" s="2286"/>
      <c r="F762" s="2316" t="s">
        <v>3155</v>
      </c>
      <c r="G762" s="2316" t="s">
        <v>3156</v>
      </c>
      <c r="H762" s="2286"/>
      <c r="I762" s="2286"/>
      <c r="J762" s="2286"/>
      <c r="K762" s="2286" t="s">
        <v>3157</v>
      </c>
      <c r="L762" s="2286" t="s">
        <v>3080</v>
      </c>
    </row>
    <row r="763" spans="1:12" x14ac:dyDescent="0.35">
      <c r="A763" s="2286">
        <v>228</v>
      </c>
      <c r="B763" s="2286"/>
      <c r="C763" s="2286"/>
      <c r="D763" s="2316" t="s">
        <v>114</v>
      </c>
      <c r="E763" s="2286"/>
      <c r="F763" s="2316" t="s">
        <v>3155</v>
      </c>
      <c r="G763" s="2316" t="s">
        <v>3156</v>
      </c>
      <c r="H763" s="2286"/>
      <c r="I763" s="2286"/>
      <c r="J763" s="2286"/>
      <c r="K763" s="2286" t="s">
        <v>3157</v>
      </c>
      <c r="L763" s="2286" t="s">
        <v>3080</v>
      </c>
    </row>
    <row r="764" spans="1:12" x14ac:dyDescent="0.35">
      <c r="A764" s="2286">
        <v>348</v>
      </c>
      <c r="B764" s="2286"/>
      <c r="C764" s="2286"/>
      <c r="D764" s="2316" t="s">
        <v>114</v>
      </c>
      <c r="E764" s="2286"/>
      <c r="F764" s="2316" t="s">
        <v>3155</v>
      </c>
      <c r="G764" s="2316" t="s">
        <v>3156</v>
      </c>
      <c r="H764" s="2286"/>
      <c r="I764" s="2286"/>
      <c r="J764" s="2286"/>
      <c r="K764" s="2286" t="s">
        <v>3157</v>
      </c>
      <c r="L764" s="2286" t="s">
        <v>3080</v>
      </c>
    </row>
    <row r="765" spans="1:12" x14ac:dyDescent="0.35">
      <c r="A765" s="2286">
        <v>85</v>
      </c>
      <c r="B765" s="2286"/>
      <c r="C765" s="2286"/>
      <c r="D765" s="2316" t="s">
        <v>174</v>
      </c>
      <c r="E765" s="2286"/>
      <c r="F765" s="2316" t="s">
        <v>3246</v>
      </c>
      <c r="G765" s="2316" t="s">
        <v>3247</v>
      </c>
      <c r="H765" s="2286"/>
      <c r="I765" s="2286"/>
      <c r="J765" s="2286"/>
      <c r="K765" s="2286" t="s">
        <v>3248</v>
      </c>
      <c r="L765" s="2286" t="s">
        <v>20</v>
      </c>
    </row>
    <row r="766" spans="1:12" x14ac:dyDescent="0.35">
      <c r="A766" s="2286">
        <v>86</v>
      </c>
      <c r="B766" s="2286"/>
      <c r="C766" s="2286"/>
      <c r="D766" s="2316" t="s">
        <v>204</v>
      </c>
      <c r="E766" s="2286"/>
      <c r="F766" s="2316" t="s">
        <v>3246</v>
      </c>
      <c r="G766" s="2316" t="s">
        <v>3247</v>
      </c>
      <c r="H766" s="2286"/>
      <c r="I766" s="2286"/>
      <c r="J766" s="2286"/>
      <c r="K766" s="2286" t="s">
        <v>3248</v>
      </c>
      <c r="L766" s="2286" t="s">
        <v>20</v>
      </c>
    </row>
    <row r="767" spans="1:12" x14ac:dyDescent="0.35">
      <c r="A767" s="2286">
        <v>349</v>
      </c>
      <c r="B767" s="2286"/>
      <c r="C767" s="2286"/>
      <c r="D767" s="2316" t="s">
        <v>204</v>
      </c>
      <c r="E767" s="2286"/>
      <c r="F767" s="2316" t="s">
        <v>3246</v>
      </c>
      <c r="G767" s="2316" t="s">
        <v>3247</v>
      </c>
      <c r="H767" s="2286"/>
      <c r="I767" s="2286"/>
      <c r="J767" s="2286"/>
      <c r="K767" s="2286" t="s">
        <v>3248</v>
      </c>
      <c r="L767" s="2286" t="s">
        <v>20</v>
      </c>
    </row>
    <row r="768" spans="1:12" x14ac:dyDescent="0.35">
      <c r="A768" s="2286">
        <v>350</v>
      </c>
      <c r="B768" s="2286"/>
      <c r="C768" s="2286"/>
      <c r="D768" s="2316" t="s">
        <v>206</v>
      </c>
      <c r="E768" s="2286"/>
      <c r="F768" s="2316" t="s">
        <v>3246</v>
      </c>
      <c r="G768" s="2316" t="s">
        <v>3247</v>
      </c>
      <c r="H768" s="2286"/>
      <c r="I768" s="2286"/>
      <c r="J768" s="2286"/>
      <c r="K768" s="2286" t="s">
        <v>3248</v>
      </c>
      <c r="L768" s="2286" t="s">
        <v>20</v>
      </c>
    </row>
    <row r="769" spans="1:12" x14ac:dyDescent="0.35">
      <c r="A769" s="2286">
        <v>87</v>
      </c>
      <c r="B769" s="2286"/>
      <c r="C769" s="2286"/>
      <c r="D769" s="2316" t="s">
        <v>1023</v>
      </c>
      <c r="E769" s="2286"/>
      <c r="F769" s="2316" t="s">
        <v>3246</v>
      </c>
      <c r="G769" s="2316" t="s">
        <v>3247</v>
      </c>
      <c r="H769" s="2286"/>
      <c r="I769" s="2286"/>
      <c r="J769" s="2286"/>
      <c r="K769" s="2286" t="s">
        <v>3248</v>
      </c>
      <c r="L769" s="2286" t="s">
        <v>20</v>
      </c>
    </row>
    <row r="770" spans="1:12" x14ac:dyDescent="0.35">
      <c r="A770" s="2286">
        <v>88</v>
      </c>
      <c r="B770" s="2286"/>
      <c r="C770" s="2286"/>
      <c r="D770" s="2316" t="s">
        <v>1127</v>
      </c>
      <c r="E770" s="2286"/>
      <c r="F770" s="2316" t="s">
        <v>3246</v>
      </c>
      <c r="G770" s="2316" t="s">
        <v>3247</v>
      </c>
      <c r="H770" s="2286"/>
      <c r="I770" s="2286"/>
      <c r="J770" s="2286"/>
      <c r="K770" s="2286" t="s">
        <v>3248</v>
      </c>
      <c r="L770" s="2286" t="s">
        <v>20</v>
      </c>
    </row>
    <row r="771" spans="1:12" x14ac:dyDescent="0.35">
      <c r="A771" s="2286">
        <v>89</v>
      </c>
      <c r="B771" s="2286"/>
      <c r="C771" s="2286"/>
      <c r="D771" s="2316" t="s">
        <v>203</v>
      </c>
      <c r="E771" s="2286"/>
      <c r="F771" s="2316" t="s">
        <v>3246</v>
      </c>
      <c r="G771" s="2316" t="s">
        <v>3247</v>
      </c>
      <c r="H771" s="2286"/>
      <c r="I771" s="2286"/>
      <c r="J771" s="2286"/>
      <c r="K771" s="2286" t="s">
        <v>3248</v>
      </c>
      <c r="L771" s="2286" t="s">
        <v>20</v>
      </c>
    </row>
    <row r="772" spans="1:12" x14ac:dyDescent="0.35">
      <c r="A772" s="2286">
        <v>351</v>
      </c>
      <c r="B772" s="2286"/>
      <c r="C772" s="2286"/>
      <c r="D772" s="2316" t="s">
        <v>203</v>
      </c>
      <c r="E772" s="2286"/>
      <c r="F772" s="2316" t="s">
        <v>3246</v>
      </c>
      <c r="G772" s="2316" t="s">
        <v>3247</v>
      </c>
      <c r="H772" s="2286"/>
      <c r="I772" s="2286"/>
      <c r="J772" s="2286"/>
      <c r="K772" s="2286" t="s">
        <v>3248</v>
      </c>
      <c r="L772" s="2286" t="s">
        <v>20</v>
      </c>
    </row>
    <row r="773" spans="1:12" x14ac:dyDescent="0.35">
      <c r="A773" s="2286">
        <v>352</v>
      </c>
      <c r="B773" s="2286"/>
      <c r="C773" s="2286"/>
      <c r="D773" s="2316" t="s">
        <v>205</v>
      </c>
      <c r="E773" s="2286"/>
      <c r="F773" s="2316" t="s">
        <v>3246</v>
      </c>
      <c r="G773" s="2316" t="s">
        <v>3247</v>
      </c>
      <c r="H773" s="2286"/>
      <c r="I773" s="2286"/>
      <c r="J773" s="2286"/>
      <c r="K773" s="2286" t="s">
        <v>3248</v>
      </c>
      <c r="L773" s="2286" t="s">
        <v>20</v>
      </c>
    </row>
    <row r="774" spans="1:12" x14ac:dyDescent="0.35">
      <c r="A774" s="2286">
        <v>90</v>
      </c>
      <c r="B774" s="2286"/>
      <c r="C774" s="2286"/>
      <c r="D774" s="2316" t="s">
        <v>1022</v>
      </c>
      <c r="E774" s="2286"/>
      <c r="F774" s="2316" t="s">
        <v>3246</v>
      </c>
      <c r="G774" s="2316" t="s">
        <v>3247</v>
      </c>
      <c r="H774" s="2286"/>
      <c r="I774" s="2286"/>
      <c r="J774" s="2286"/>
      <c r="K774" s="2286" t="s">
        <v>3248</v>
      </c>
      <c r="L774" s="2286" t="s">
        <v>20</v>
      </c>
    </row>
    <row r="775" spans="1:12" x14ac:dyDescent="0.35">
      <c r="A775" s="2286">
        <v>91</v>
      </c>
      <c r="B775" s="2286"/>
      <c r="C775" s="2286"/>
      <c r="D775" s="2316" t="s">
        <v>1126</v>
      </c>
      <c r="E775" s="2286"/>
      <c r="F775" s="2316" t="s">
        <v>3246</v>
      </c>
      <c r="G775" s="2316" t="s">
        <v>3247</v>
      </c>
      <c r="H775" s="2286"/>
      <c r="I775" s="2286"/>
      <c r="J775" s="2286"/>
      <c r="K775" s="2286" t="s">
        <v>3248</v>
      </c>
      <c r="L775" s="2286" t="s">
        <v>20</v>
      </c>
    </row>
    <row r="776" spans="1:12" x14ac:dyDescent="0.35">
      <c r="A776" s="2286">
        <v>229</v>
      </c>
      <c r="B776" s="2286"/>
      <c r="C776" s="2286"/>
      <c r="D776" s="2316" t="s">
        <v>108</v>
      </c>
      <c r="E776" s="2286"/>
      <c r="F776" s="2316" t="s">
        <v>3249</v>
      </c>
      <c r="G776" s="2316" t="s">
        <v>3250</v>
      </c>
      <c r="H776" s="2286"/>
      <c r="I776" s="2286"/>
      <c r="J776" s="2286"/>
      <c r="K776" s="2286" t="s">
        <v>3251</v>
      </c>
      <c r="L776" s="2286" t="s">
        <v>105</v>
      </c>
    </row>
    <row r="777" spans="1:12" x14ac:dyDescent="0.35">
      <c r="A777" s="2286">
        <v>167</v>
      </c>
      <c r="B777" s="2286"/>
      <c r="C777" s="2286"/>
      <c r="D777" s="2316" t="s">
        <v>1018</v>
      </c>
      <c r="E777" s="2286"/>
      <c r="F777" s="2316" t="s">
        <v>3169</v>
      </c>
      <c r="G777" s="2316" t="s">
        <v>3170</v>
      </c>
      <c r="H777" s="2286"/>
      <c r="I777" s="2286"/>
      <c r="J777" s="2286"/>
      <c r="K777" s="2286" t="s">
        <v>3171</v>
      </c>
      <c r="L777" s="2286" t="s">
        <v>4</v>
      </c>
    </row>
    <row r="778" spans="1:12" x14ac:dyDescent="0.35">
      <c r="A778" s="2286">
        <v>353</v>
      </c>
      <c r="B778" s="2286"/>
      <c r="C778" s="2286"/>
      <c r="D778" s="2316" t="s">
        <v>1018</v>
      </c>
      <c r="E778" s="2286"/>
      <c r="F778" s="2316" t="s">
        <v>3169</v>
      </c>
      <c r="G778" s="2316" t="s">
        <v>3170</v>
      </c>
      <c r="H778" s="2286"/>
      <c r="I778" s="2286"/>
      <c r="J778" s="2286"/>
      <c r="K778" s="2286" t="s">
        <v>3171</v>
      </c>
      <c r="L778" s="2286" t="s">
        <v>4</v>
      </c>
    </row>
    <row r="779" spans="1:12" x14ac:dyDescent="0.35">
      <c r="A779" s="2286">
        <v>168</v>
      </c>
      <c r="B779" s="2286"/>
      <c r="C779" s="2286"/>
      <c r="D779" s="2316" t="s">
        <v>1124</v>
      </c>
      <c r="E779" s="2286"/>
      <c r="F779" s="2316" t="s">
        <v>3169</v>
      </c>
      <c r="G779" s="2316" t="s">
        <v>3170</v>
      </c>
      <c r="H779" s="2286"/>
      <c r="I779" s="2286"/>
      <c r="J779" s="2286"/>
      <c r="K779" s="2286" t="s">
        <v>3171</v>
      </c>
      <c r="L779" s="2286" t="s">
        <v>4</v>
      </c>
    </row>
    <row r="780" spans="1:12" x14ac:dyDescent="0.35">
      <c r="A780" s="2286">
        <v>380</v>
      </c>
      <c r="B780" s="2286"/>
      <c r="C780" s="2286"/>
      <c r="D780" s="2316" t="s">
        <v>1124</v>
      </c>
      <c r="E780" s="2286"/>
      <c r="F780" s="2316" t="s">
        <v>3169</v>
      </c>
      <c r="G780" s="2316" t="s">
        <v>3170</v>
      </c>
      <c r="H780" s="2286"/>
      <c r="I780" s="2286"/>
      <c r="J780" s="2286"/>
      <c r="K780" s="2286" t="s">
        <v>3171</v>
      </c>
      <c r="L780" s="2286" t="s">
        <v>4</v>
      </c>
    </row>
    <row r="781" spans="1:12" x14ac:dyDescent="0.35">
      <c r="A781" s="2286">
        <v>169</v>
      </c>
      <c r="B781" s="2286"/>
      <c r="C781" s="2286"/>
      <c r="D781" s="2316" t="s">
        <v>1125</v>
      </c>
      <c r="E781" s="2286"/>
      <c r="F781" s="2316" t="s">
        <v>3169</v>
      </c>
      <c r="G781" s="2316" t="s">
        <v>3170</v>
      </c>
      <c r="H781" s="2286"/>
      <c r="I781" s="2286"/>
      <c r="J781" s="2286"/>
      <c r="K781" s="2286" t="s">
        <v>3171</v>
      </c>
      <c r="L781" s="2286" t="s">
        <v>4</v>
      </c>
    </row>
    <row r="782" spans="1:12" x14ac:dyDescent="0.35">
      <c r="A782" s="2286">
        <v>381</v>
      </c>
      <c r="B782" s="2286"/>
      <c r="C782" s="2286"/>
      <c r="D782" s="2316" t="s">
        <v>1125</v>
      </c>
      <c r="E782" s="2286"/>
      <c r="F782" s="2316" t="s">
        <v>3169</v>
      </c>
      <c r="G782" s="2316" t="s">
        <v>3170</v>
      </c>
      <c r="H782" s="2286"/>
      <c r="I782" s="2286"/>
      <c r="J782" s="2286"/>
      <c r="K782" s="2286" t="s">
        <v>3171</v>
      </c>
      <c r="L782" s="2286" t="s">
        <v>4</v>
      </c>
    </row>
    <row r="783" spans="1:12" x14ac:dyDescent="0.35">
      <c r="A783" s="2286">
        <v>460</v>
      </c>
      <c r="B783" s="2286"/>
      <c r="C783" s="2286"/>
      <c r="D783" s="2316" t="s">
        <v>1034</v>
      </c>
      <c r="E783" s="2286"/>
      <c r="F783" s="2316" t="s">
        <v>3169</v>
      </c>
      <c r="G783" s="2316" t="s">
        <v>3170</v>
      </c>
      <c r="H783" s="2286"/>
      <c r="I783" s="2286"/>
      <c r="J783" s="2286"/>
      <c r="K783" s="2286" t="s">
        <v>3171</v>
      </c>
      <c r="L783" s="2286" t="s">
        <v>4</v>
      </c>
    </row>
    <row r="784" spans="1:12" x14ac:dyDescent="0.35">
      <c r="A784" s="2286">
        <v>461</v>
      </c>
      <c r="B784" s="2286"/>
      <c r="C784" s="2286"/>
      <c r="D784" s="2316" t="s">
        <v>1130</v>
      </c>
      <c r="E784" s="2286"/>
      <c r="F784" s="2316" t="s">
        <v>3169</v>
      </c>
      <c r="G784" s="2316" t="s">
        <v>3170</v>
      </c>
      <c r="H784" s="2286"/>
      <c r="I784" s="2286"/>
      <c r="J784" s="2286"/>
      <c r="K784" s="2286" t="s">
        <v>3171</v>
      </c>
      <c r="L784" s="2286" t="s">
        <v>4</v>
      </c>
    </row>
    <row r="785" spans="1:12" x14ac:dyDescent="0.35">
      <c r="A785" s="2286">
        <v>462</v>
      </c>
      <c r="B785" s="2286"/>
      <c r="C785" s="2286"/>
      <c r="D785" s="2316" t="s">
        <v>1131</v>
      </c>
      <c r="E785" s="2286"/>
      <c r="F785" s="2316" t="s">
        <v>3169</v>
      </c>
      <c r="G785" s="2316" t="s">
        <v>3170</v>
      </c>
      <c r="H785" s="2286"/>
      <c r="I785" s="2286"/>
      <c r="J785" s="2286"/>
      <c r="K785" s="2286" t="s">
        <v>3171</v>
      </c>
      <c r="L785" s="2286" t="s">
        <v>4</v>
      </c>
    </row>
    <row r="786" spans="1:12" x14ac:dyDescent="0.35">
      <c r="A786" s="2286">
        <v>170</v>
      </c>
      <c r="B786" s="2286"/>
      <c r="C786" s="2286"/>
      <c r="D786" s="2316" t="s">
        <v>87</v>
      </c>
      <c r="E786" s="2286"/>
      <c r="F786" s="2316" t="s">
        <v>3054</v>
      </c>
      <c r="G786" s="2316" t="s">
        <v>3055</v>
      </c>
      <c r="H786" s="2286"/>
      <c r="I786" s="2286"/>
      <c r="J786" s="2286"/>
      <c r="K786" s="2286" t="s">
        <v>3056</v>
      </c>
      <c r="L786" s="2286" t="s">
        <v>4</v>
      </c>
    </row>
    <row r="787" spans="1:12" x14ac:dyDescent="0.35">
      <c r="A787" s="2286">
        <v>463</v>
      </c>
      <c r="B787" s="2286"/>
      <c r="C787" s="2286"/>
      <c r="D787" s="2316" t="s">
        <v>87</v>
      </c>
      <c r="E787" s="2286"/>
      <c r="F787" s="2316" t="s">
        <v>3054</v>
      </c>
      <c r="G787" s="2316" t="s">
        <v>3055</v>
      </c>
      <c r="H787" s="2286"/>
      <c r="I787" s="2286"/>
      <c r="J787" s="2286"/>
      <c r="K787" s="2286" t="s">
        <v>3056</v>
      </c>
      <c r="L787" s="2286" t="s">
        <v>4</v>
      </c>
    </row>
    <row r="788" spans="1:12" x14ac:dyDescent="0.35">
      <c r="A788" s="2286">
        <v>354</v>
      </c>
      <c r="B788" s="2286"/>
      <c r="C788" s="2286"/>
      <c r="D788" s="2316" t="s">
        <v>87</v>
      </c>
      <c r="E788" s="2286"/>
      <c r="F788" s="2316" t="s">
        <v>3054</v>
      </c>
      <c r="G788" s="2316" t="s">
        <v>3055</v>
      </c>
      <c r="H788" s="2286"/>
      <c r="I788" s="2286"/>
      <c r="J788" s="2286"/>
      <c r="K788" s="2286" t="s">
        <v>3056</v>
      </c>
      <c r="L788" s="2286" t="s">
        <v>4</v>
      </c>
    </row>
    <row r="789" spans="1:12" x14ac:dyDescent="0.35">
      <c r="A789" s="2286">
        <v>171</v>
      </c>
      <c r="B789" s="2286"/>
      <c r="C789" s="2286"/>
      <c r="D789" s="2316" t="s">
        <v>83</v>
      </c>
      <c r="E789" s="2286"/>
      <c r="F789" s="2316" t="s">
        <v>3054</v>
      </c>
      <c r="G789" s="2316" t="s">
        <v>3055</v>
      </c>
      <c r="H789" s="2286"/>
      <c r="I789" s="2286"/>
      <c r="J789" s="2286"/>
      <c r="K789" s="2286" t="s">
        <v>3056</v>
      </c>
      <c r="L789" s="2286" t="s">
        <v>4</v>
      </c>
    </row>
    <row r="790" spans="1:12" x14ac:dyDescent="0.35">
      <c r="A790" s="2286">
        <v>464</v>
      </c>
      <c r="B790" s="2286"/>
      <c r="C790" s="2286"/>
      <c r="D790" s="2316" t="s">
        <v>83</v>
      </c>
      <c r="E790" s="2286"/>
      <c r="F790" s="2316" t="s">
        <v>3054</v>
      </c>
      <c r="G790" s="2316" t="s">
        <v>3055</v>
      </c>
      <c r="H790" s="2286"/>
      <c r="I790" s="2286"/>
      <c r="J790" s="2286"/>
      <c r="K790" s="2286" t="s">
        <v>3056</v>
      </c>
      <c r="L790" s="2286" t="s">
        <v>4</v>
      </c>
    </row>
    <row r="791" spans="1:12" x14ac:dyDescent="0.35">
      <c r="A791" s="2286">
        <v>355</v>
      </c>
      <c r="B791" s="2286"/>
      <c r="C791" s="2286"/>
      <c r="D791" s="2316" t="s">
        <v>83</v>
      </c>
      <c r="E791" s="2286"/>
      <c r="F791" s="2316" t="s">
        <v>3054</v>
      </c>
      <c r="G791" s="2316" t="s">
        <v>3055</v>
      </c>
      <c r="H791" s="2286"/>
      <c r="I791" s="2286"/>
      <c r="J791" s="2286"/>
      <c r="K791" s="2286" t="s">
        <v>3056</v>
      </c>
      <c r="L791" s="2286" t="s">
        <v>4</v>
      </c>
    </row>
    <row r="792" spans="1:12" x14ac:dyDescent="0.35">
      <c r="A792" s="2286">
        <v>172</v>
      </c>
      <c r="B792" s="2286"/>
      <c r="C792" s="2286"/>
      <c r="D792" s="2316" t="s">
        <v>86</v>
      </c>
      <c r="E792" s="2286"/>
      <c r="F792" s="2316" t="s">
        <v>3054</v>
      </c>
      <c r="G792" s="2316" t="s">
        <v>3055</v>
      </c>
      <c r="H792" s="2286"/>
      <c r="I792" s="2286"/>
      <c r="J792" s="2286"/>
      <c r="K792" s="2286" t="s">
        <v>3056</v>
      </c>
      <c r="L792" s="2286" t="s">
        <v>4</v>
      </c>
    </row>
    <row r="793" spans="1:12" x14ac:dyDescent="0.35">
      <c r="A793" s="2286">
        <v>465</v>
      </c>
      <c r="B793" s="2286"/>
      <c r="C793" s="2286"/>
      <c r="D793" s="2316" t="s">
        <v>86</v>
      </c>
      <c r="E793" s="2286"/>
      <c r="F793" s="2316" t="s">
        <v>3054</v>
      </c>
      <c r="G793" s="2316" t="s">
        <v>3055</v>
      </c>
      <c r="H793" s="2286"/>
      <c r="I793" s="2286"/>
      <c r="J793" s="2286"/>
      <c r="K793" s="2286" t="s">
        <v>3056</v>
      </c>
      <c r="L793" s="2286" t="s">
        <v>4</v>
      </c>
    </row>
    <row r="794" spans="1:12" x14ac:dyDescent="0.35">
      <c r="A794" s="2286">
        <v>356</v>
      </c>
      <c r="B794" s="2286"/>
      <c r="C794" s="2286"/>
      <c r="D794" s="2316" t="s">
        <v>86</v>
      </c>
      <c r="E794" s="2286"/>
      <c r="F794" s="2316" t="s">
        <v>3054</v>
      </c>
      <c r="G794" s="2316" t="s">
        <v>3055</v>
      </c>
      <c r="H794" s="2286"/>
      <c r="I794" s="2286"/>
      <c r="J794" s="2286"/>
      <c r="K794" s="2286" t="s">
        <v>3056</v>
      </c>
      <c r="L794" s="2286" t="s">
        <v>4</v>
      </c>
    </row>
    <row r="795" spans="1:12" x14ac:dyDescent="0.35">
      <c r="A795" s="2286">
        <v>92</v>
      </c>
      <c r="B795" s="2286"/>
      <c r="C795" s="2286"/>
      <c r="D795" s="2316" t="s">
        <v>215</v>
      </c>
      <c r="E795" s="2286"/>
      <c r="F795" s="2316" t="s">
        <v>3252</v>
      </c>
      <c r="G795" s="2316" t="s">
        <v>3253</v>
      </c>
      <c r="H795" s="2286"/>
      <c r="I795" s="2286"/>
      <c r="J795" s="2286"/>
      <c r="K795" s="2286" t="s">
        <v>3254</v>
      </c>
      <c r="L795" s="2286" t="s">
        <v>20</v>
      </c>
    </row>
    <row r="796" spans="1:12" x14ac:dyDescent="0.35">
      <c r="A796" s="2286">
        <v>357</v>
      </c>
      <c r="B796" s="2286"/>
      <c r="C796" s="2286"/>
      <c r="D796" s="2316" t="s">
        <v>215</v>
      </c>
      <c r="E796" s="2286"/>
      <c r="F796" s="2316" t="s">
        <v>3252</v>
      </c>
      <c r="G796" s="2316" t="s">
        <v>3253</v>
      </c>
      <c r="H796" s="2286"/>
      <c r="I796" s="2286"/>
      <c r="J796" s="2286"/>
      <c r="K796" s="2286" t="s">
        <v>3254</v>
      </c>
      <c r="L796" s="2286" t="s">
        <v>20</v>
      </c>
    </row>
    <row r="797" spans="1:12" x14ac:dyDescent="0.35">
      <c r="A797" s="2286">
        <v>93</v>
      </c>
      <c r="B797" s="2286"/>
      <c r="C797" s="2286"/>
      <c r="D797" s="2316" t="s">
        <v>214</v>
      </c>
      <c r="E797" s="2286"/>
      <c r="F797" s="2316" t="s">
        <v>3252</v>
      </c>
      <c r="G797" s="2316" t="s">
        <v>3253</v>
      </c>
      <c r="H797" s="2286"/>
      <c r="I797" s="2286"/>
      <c r="J797" s="2286"/>
      <c r="K797" s="2286" t="s">
        <v>3254</v>
      </c>
      <c r="L797" s="2286" t="s">
        <v>20</v>
      </c>
    </row>
    <row r="798" spans="1:12" x14ac:dyDescent="0.35">
      <c r="A798" s="2286">
        <v>358</v>
      </c>
      <c r="B798" s="2286"/>
      <c r="C798" s="2286"/>
      <c r="D798" s="2316" t="s">
        <v>214</v>
      </c>
      <c r="E798" s="2286"/>
      <c r="F798" s="2316" t="s">
        <v>3252</v>
      </c>
      <c r="G798" s="2316" t="s">
        <v>3253</v>
      </c>
      <c r="H798" s="2286"/>
      <c r="I798" s="2286"/>
      <c r="J798" s="2286"/>
      <c r="K798" s="2286" t="s">
        <v>3254</v>
      </c>
      <c r="L798" s="2286" t="s">
        <v>20</v>
      </c>
    </row>
    <row r="799" spans="1:12" x14ac:dyDescent="0.35">
      <c r="A799" s="2286">
        <v>94</v>
      </c>
      <c r="B799" s="2286"/>
      <c r="C799" s="2286"/>
      <c r="D799" s="2316" t="s">
        <v>216</v>
      </c>
      <c r="E799" s="2286"/>
      <c r="F799" s="2316" t="s">
        <v>3252</v>
      </c>
      <c r="G799" s="2316" t="s">
        <v>3253</v>
      </c>
      <c r="H799" s="2286"/>
      <c r="I799" s="2286"/>
      <c r="J799" s="2286"/>
      <c r="K799" s="2286" t="s">
        <v>3254</v>
      </c>
      <c r="L799" s="2286" t="s">
        <v>20</v>
      </c>
    </row>
    <row r="800" spans="1:12" x14ac:dyDescent="0.35">
      <c r="A800" s="2286">
        <v>95</v>
      </c>
      <c r="B800" s="2286"/>
      <c r="C800" s="2286"/>
      <c r="D800" s="2316" t="s">
        <v>213</v>
      </c>
      <c r="E800" s="2286"/>
      <c r="F800" s="2316" t="s">
        <v>3252</v>
      </c>
      <c r="G800" s="2316" t="s">
        <v>3253</v>
      </c>
      <c r="H800" s="2286"/>
      <c r="I800" s="2286"/>
      <c r="J800" s="2286"/>
      <c r="K800" s="2286" t="s">
        <v>3254</v>
      </c>
      <c r="L800" s="2286" t="s">
        <v>20</v>
      </c>
    </row>
    <row r="801" spans="1:12" x14ac:dyDescent="0.35">
      <c r="A801" s="2286">
        <v>360</v>
      </c>
      <c r="B801" s="2286"/>
      <c r="C801" s="2286"/>
      <c r="D801" s="2316" t="s">
        <v>213</v>
      </c>
      <c r="E801" s="2286"/>
      <c r="F801" s="2316" t="s">
        <v>3252</v>
      </c>
      <c r="G801" s="2316" t="s">
        <v>3253</v>
      </c>
      <c r="H801" s="2286"/>
      <c r="I801" s="2286"/>
      <c r="J801" s="2286"/>
      <c r="K801" s="2286" t="s">
        <v>3254</v>
      </c>
      <c r="L801" s="2286" t="s">
        <v>20</v>
      </c>
    </row>
    <row r="802" spans="1:12" x14ac:dyDescent="0.35">
      <c r="A802" s="2286">
        <v>96</v>
      </c>
      <c r="B802" s="2286"/>
      <c r="C802" s="2286"/>
      <c r="D802" s="2316" t="s">
        <v>218</v>
      </c>
      <c r="E802" s="2286"/>
      <c r="F802" s="2316" t="s">
        <v>3252</v>
      </c>
      <c r="G802" s="2316" t="s">
        <v>3253</v>
      </c>
      <c r="H802" s="2286"/>
      <c r="I802" s="2286"/>
      <c r="J802" s="2286"/>
      <c r="K802" s="2286" t="s">
        <v>3254</v>
      </c>
      <c r="L802" s="2286" t="s">
        <v>20</v>
      </c>
    </row>
    <row r="803" spans="1:12" x14ac:dyDescent="0.35">
      <c r="A803" s="2286">
        <v>361</v>
      </c>
      <c r="B803" s="2286"/>
      <c r="C803" s="2286"/>
      <c r="D803" s="2316" t="s">
        <v>218</v>
      </c>
      <c r="E803" s="2286"/>
      <c r="F803" s="2316" t="s">
        <v>3252</v>
      </c>
      <c r="G803" s="2316" t="s">
        <v>3253</v>
      </c>
      <c r="H803" s="2286"/>
      <c r="I803" s="2286"/>
      <c r="J803" s="2286"/>
      <c r="K803" s="2286" t="s">
        <v>3254</v>
      </c>
      <c r="L803" s="2286" t="s">
        <v>20</v>
      </c>
    </row>
    <row r="804" spans="1:12" x14ac:dyDescent="0.35">
      <c r="A804" s="2286">
        <v>97</v>
      </c>
      <c r="B804" s="2286"/>
      <c r="C804" s="2286"/>
      <c r="D804" s="2316" t="s">
        <v>181</v>
      </c>
      <c r="E804" s="2286"/>
      <c r="F804" s="2316" t="s">
        <v>3925</v>
      </c>
      <c r="G804" s="2316" t="s">
        <v>3099</v>
      </c>
      <c r="H804" s="2286"/>
      <c r="I804" s="2286"/>
      <c r="J804" s="2286"/>
      <c r="K804" s="2286" t="s">
        <v>3100</v>
      </c>
      <c r="L804" s="2286" t="s">
        <v>20</v>
      </c>
    </row>
    <row r="805" spans="1:12" x14ac:dyDescent="0.35">
      <c r="A805" s="2286">
        <v>362</v>
      </c>
      <c r="B805" s="2286"/>
      <c r="C805" s="2286"/>
      <c r="D805" s="2316" t="s">
        <v>181</v>
      </c>
      <c r="E805" s="2286"/>
      <c r="F805" s="2316" t="s">
        <v>3925</v>
      </c>
      <c r="G805" s="2316" t="s">
        <v>3099</v>
      </c>
      <c r="H805" s="2286"/>
      <c r="I805" s="2286"/>
      <c r="J805" s="2286"/>
      <c r="K805" s="2286" t="s">
        <v>3100</v>
      </c>
      <c r="L805" s="2286" t="s">
        <v>20</v>
      </c>
    </row>
    <row r="806" spans="1:12" x14ac:dyDescent="0.35">
      <c r="A806" s="2286">
        <v>98</v>
      </c>
      <c r="B806" s="2286"/>
      <c r="C806" s="2286"/>
      <c r="D806" s="2316" t="s">
        <v>128</v>
      </c>
      <c r="E806" s="2286"/>
      <c r="F806" s="2316" t="s">
        <v>3255</v>
      </c>
      <c r="G806" s="2316" t="s">
        <v>3256</v>
      </c>
      <c r="H806" s="2286"/>
      <c r="I806" s="2286"/>
      <c r="J806" s="2286"/>
      <c r="K806" s="2286" t="s">
        <v>3257</v>
      </c>
      <c r="L806" s="2286" t="s">
        <v>20</v>
      </c>
    </row>
    <row r="807" spans="1:12" x14ac:dyDescent="0.35">
      <c r="A807" s="2286">
        <v>429</v>
      </c>
      <c r="B807" s="2286"/>
      <c r="C807" s="2286"/>
      <c r="D807" s="2316" t="s">
        <v>128</v>
      </c>
      <c r="E807" s="2286"/>
      <c r="F807" s="2316" t="s">
        <v>3255</v>
      </c>
      <c r="G807" s="2316" t="s">
        <v>3256</v>
      </c>
      <c r="H807" s="2286"/>
      <c r="I807" s="2286"/>
      <c r="J807" s="2286"/>
      <c r="K807" s="2286" t="s">
        <v>3257</v>
      </c>
      <c r="L807" s="2286" t="s">
        <v>20</v>
      </c>
    </row>
    <row r="808" spans="1:12" x14ac:dyDescent="0.35">
      <c r="A808" s="2286">
        <v>363</v>
      </c>
      <c r="B808" s="2286"/>
      <c r="C808" s="2286"/>
      <c r="D808" s="2316" t="s">
        <v>128</v>
      </c>
      <c r="E808" s="2286"/>
      <c r="F808" s="2316" t="s">
        <v>3255</v>
      </c>
      <c r="G808" s="2316" t="s">
        <v>3256</v>
      </c>
      <c r="H808" s="2286"/>
      <c r="I808" s="2286"/>
      <c r="J808" s="2286"/>
      <c r="K808" s="2286" t="s">
        <v>3257</v>
      </c>
      <c r="L808" s="2286" t="s">
        <v>20</v>
      </c>
    </row>
    <row r="809" spans="1:12" x14ac:dyDescent="0.35">
      <c r="A809" s="2286">
        <v>99</v>
      </c>
      <c r="B809" s="2286"/>
      <c r="C809" s="2286"/>
      <c r="D809" s="2316" t="s">
        <v>102</v>
      </c>
      <c r="E809" s="2286"/>
      <c r="F809" s="2316" t="s">
        <v>3258</v>
      </c>
      <c r="G809" s="2316" t="s">
        <v>3259</v>
      </c>
      <c r="H809" s="2286"/>
      <c r="I809" s="2286"/>
      <c r="J809" s="2286"/>
      <c r="K809" s="2286" t="s">
        <v>3260</v>
      </c>
      <c r="L809" s="2286" t="s">
        <v>20</v>
      </c>
    </row>
    <row r="810" spans="1:12" x14ac:dyDescent="0.35">
      <c r="A810" s="2286">
        <v>430</v>
      </c>
      <c r="B810" s="2286"/>
      <c r="C810" s="2286"/>
      <c r="D810" s="2316" t="s">
        <v>102</v>
      </c>
      <c r="E810" s="2286"/>
      <c r="F810" s="2316" t="s">
        <v>3258</v>
      </c>
      <c r="G810" s="2316" t="s">
        <v>3259</v>
      </c>
      <c r="H810" s="2286"/>
      <c r="I810" s="2286"/>
      <c r="J810" s="2286"/>
      <c r="K810" s="2286" t="s">
        <v>3260</v>
      </c>
      <c r="L810" s="2286" t="s">
        <v>20</v>
      </c>
    </row>
    <row r="811" spans="1:12" x14ac:dyDescent="0.35">
      <c r="A811" s="2286">
        <v>364</v>
      </c>
      <c r="B811" s="2286"/>
      <c r="C811" s="2286"/>
      <c r="D811" s="2316" t="s">
        <v>102</v>
      </c>
      <c r="E811" s="2286"/>
      <c r="F811" s="2316" t="s">
        <v>3258</v>
      </c>
      <c r="G811" s="2316" t="s">
        <v>3259</v>
      </c>
      <c r="H811" s="2286"/>
      <c r="I811" s="2286"/>
      <c r="J811" s="2286"/>
      <c r="K811" s="2286" t="s">
        <v>3260</v>
      </c>
      <c r="L811" s="2286" t="s">
        <v>20</v>
      </c>
    </row>
    <row r="812" spans="1:12" x14ac:dyDescent="0.35">
      <c r="A812" s="2286">
        <v>201</v>
      </c>
      <c r="B812" s="2286"/>
      <c r="C812" s="2286"/>
      <c r="D812" s="2316" t="s">
        <v>187</v>
      </c>
      <c r="E812" s="2286"/>
      <c r="F812" s="2316" t="s">
        <v>3072</v>
      </c>
      <c r="G812" s="2316" t="s">
        <v>3073</v>
      </c>
      <c r="H812" s="2286"/>
      <c r="I812" s="2286"/>
      <c r="J812" s="2286"/>
      <c r="K812" s="2286" t="s">
        <v>3074</v>
      </c>
      <c r="L812" s="2286" t="s">
        <v>105</v>
      </c>
    </row>
    <row r="813" spans="1:12" x14ac:dyDescent="0.35">
      <c r="A813" s="2286">
        <v>202</v>
      </c>
      <c r="B813" s="2286"/>
      <c r="C813" s="2286"/>
      <c r="D813" s="2316" t="s">
        <v>185</v>
      </c>
      <c r="E813" s="2286"/>
      <c r="F813" s="2316" t="s">
        <v>3072</v>
      </c>
      <c r="G813" s="2316" t="s">
        <v>3073</v>
      </c>
      <c r="H813" s="2286"/>
      <c r="I813" s="2286"/>
      <c r="J813" s="2286"/>
      <c r="K813" s="2286" t="s">
        <v>3074</v>
      </c>
      <c r="L813" s="2286" t="s">
        <v>105</v>
      </c>
    </row>
    <row r="814" spans="1:12" x14ac:dyDescent="0.35">
      <c r="A814" s="2286">
        <v>203</v>
      </c>
      <c r="B814" s="2286"/>
      <c r="C814" s="2286"/>
      <c r="D814" s="2316" t="s">
        <v>186</v>
      </c>
      <c r="E814" s="2286"/>
      <c r="F814" s="2316" t="s">
        <v>3072</v>
      </c>
      <c r="G814" s="2316" t="s">
        <v>3073</v>
      </c>
      <c r="H814" s="2286"/>
      <c r="I814" s="2286"/>
      <c r="J814" s="2286"/>
      <c r="K814" s="2286" t="s">
        <v>3074</v>
      </c>
      <c r="L814" s="2286" t="s">
        <v>105</v>
      </c>
    </row>
    <row r="815" spans="1:12" x14ac:dyDescent="0.35">
      <c r="A815" s="2286">
        <v>204</v>
      </c>
      <c r="B815" s="2286"/>
      <c r="C815" s="2286"/>
      <c r="D815" s="2316" t="s">
        <v>188</v>
      </c>
      <c r="E815" s="2286"/>
      <c r="F815" s="2316" t="s">
        <v>3072</v>
      </c>
      <c r="G815" s="2316" t="s">
        <v>3073</v>
      </c>
      <c r="H815" s="2286"/>
      <c r="I815" s="2286"/>
      <c r="J815" s="2286"/>
      <c r="K815" s="2286" t="s">
        <v>3074</v>
      </c>
      <c r="L815" s="2286" t="s">
        <v>105</v>
      </c>
    </row>
    <row r="816" spans="1:12" x14ac:dyDescent="0.35">
      <c r="A816" s="2286">
        <v>100</v>
      </c>
      <c r="B816" s="2286"/>
      <c r="C816" s="2286"/>
      <c r="D816" s="2316" t="s">
        <v>137</v>
      </c>
      <c r="E816" s="2286"/>
      <c r="F816" s="2316" t="s">
        <v>3261</v>
      </c>
      <c r="G816" s="2316" t="s">
        <v>3262</v>
      </c>
      <c r="H816" s="2286"/>
      <c r="I816" s="2286"/>
      <c r="J816" s="2286"/>
      <c r="K816" s="2286" t="s">
        <v>3263</v>
      </c>
      <c r="L816" s="2286" t="s">
        <v>3084</v>
      </c>
    </row>
    <row r="817" spans="1:12" x14ac:dyDescent="0.35">
      <c r="A817" s="2286">
        <v>101</v>
      </c>
      <c r="B817" s="2286"/>
      <c r="C817" s="2286"/>
      <c r="D817" s="2316" t="s">
        <v>145</v>
      </c>
      <c r="E817" s="2286"/>
      <c r="F817" s="2316" t="s">
        <v>3261</v>
      </c>
      <c r="G817" s="2316" t="s">
        <v>3262</v>
      </c>
      <c r="H817" s="2286"/>
      <c r="I817" s="2286"/>
      <c r="J817" s="2286"/>
      <c r="K817" s="2286" t="s">
        <v>3263</v>
      </c>
      <c r="L817" s="2286" t="s">
        <v>3084</v>
      </c>
    </row>
    <row r="818" spans="1:12" x14ac:dyDescent="0.35">
      <c r="A818" s="2286">
        <v>173</v>
      </c>
      <c r="B818" s="2286"/>
      <c r="C818" s="2286"/>
      <c r="D818" s="2316" t="s">
        <v>184</v>
      </c>
      <c r="E818" s="2286"/>
      <c r="F818" s="2316" t="s">
        <v>3143</v>
      </c>
      <c r="G818" s="2316" t="s">
        <v>3144</v>
      </c>
      <c r="H818" s="2286"/>
      <c r="I818" s="2286"/>
      <c r="J818" s="2286"/>
      <c r="K818" s="2286" t="s">
        <v>3145</v>
      </c>
      <c r="L818" s="2286" t="s">
        <v>4</v>
      </c>
    </row>
    <row r="819" spans="1:12" x14ac:dyDescent="0.35">
      <c r="A819" s="2286">
        <v>174</v>
      </c>
      <c r="B819" s="2286"/>
      <c r="C819" s="2286"/>
      <c r="D819" s="2316" t="s">
        <v>94</v>
      </c>
      <c r="E819" s="2286"/>
      <c r="F819" s="2316" t="s">
        <v>3143</v>
      </c>
      <c r="G819" s="2316" t="s">
        <v>3144</v>
      </c>
      <c r="H819" s="2286"/>
      <c r="I819" s="2286"/>
      <c r="J819" s="2286"/>
      <c r="K819" s="2286" t="s">
        <v>3145</v>
      </c>
      <c r="L819" s="2286" t="s">
        <v>4</v>
      </c>
    </row>
    <row r="820" spans="1:12" x14ac:dyDescent="0.35">
      <c r="A820" s="2286">
        <v>431</v>
      </c>
      <c r="B820" s="2286"/>
      <c r="C820" s="2286"/>
      <c r="D820" s="2316" t="s">
        <v>94</v>
      </c>
      <c r="E820" s="2286"/>
      <c r="F820" s="2316" t="s">
        <v>3143</v>
      </c>
      <c r="G820" s="2316" t="s">
        <v>3144</v>
      </c>
      <c r="H820" s="2286"/>
      <c r="I820" s="2286"/>
      <c r="J820" s="2286"/>
      <c r="K820" s="2286" t="s">
        <v>3145</v>
      </c>
      <c r="L820" s="2286" t="s">
        <v>4</v>
      </c>
    </row>
    <row r="821" spans="1:12" x14ac:dyDescent="0.35">
      <c r="A821" s="2286">
        <v>365</v>
      </c>
      <c r="B821" s="2286"/>
      <c r="C821" s="2286"/>
      <c r="D821" s="2316" t="s">
        <v>94</v>
      </c>
      <c r="E821" s="2286"/>
      <c r="F821" s="2316" t="s">
        <v>3143</v>
      </c>
      <c r="G821" s="2316" t="s">
        <v>3144</v>
      </c>
      <c r="H821" s="2286"/>
      <c r="I821" s="2286"/>
      <c r="J821" s="2286"/>
      <c r="K821" s="2286" t="s">
        <v>3145</v>
      </c>
      <c r="L821" s="2286" t="s">
        <v>4</v>
      </c>
    </row>
  </sheetData>
  <autoFilter ref="A3:M821" xr:uid="{00000000-0009-0000-0000-000007000000}"/>
  <conditionalFormatting sqref="H4:J4 I40 I49:I50 I70 I78 I210 I250 I315 I5:J9 J10:J15 I18:J39 I41:J48 I51:J69 I79:J94 I95:I192 J95:J104 I193:J209 J211:J246 I247:J249 I251:J252 I312:J314 I316:J317 I364:J365 I71:J77 J253:J311 H5:H360 J318:J363 H362:H365">
    <cfRule type="cellIs" dxfId="503" priority="2" operator="lessThan">
      <formula>0</formula>
    </cfRule>
  </conditionalFormatting>
  <conditionalFormatting sqref="H361">
    <cfRule type="cellIs" dxfId="502" priority="1" operator="lessThan">
      <formula>0</formula>
    </cfRule>
  </conditionalFormatting>
  <pageMargins left="0.7" right="0.7" top="0.75" bottom="0.75" header="0.3" footer="0.3"/>
  <pageSetup scale="40" fitToHeight="7" orientation="portrait" r:id="rId1"/>
  <headerFooter>
    <oddHeader>&amp;CMeasure Codes</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4" tint="-0.499984740745262"/>
    <pageSetUpPr fitToPage="1"/>
  </sheetPr>
  <dimension ref="A1:O84"/>
  <sheetViews>
    <sheetView workbookViewId="0"/>
  </sheetViews>
  <sheetFormatPr defaultColWidth="9.1796875" defaultRowHeight="13.5" x14ac:dyDescent="0.35"/>
  <cols>
    <col min="1" max="1" width="61.26953125" style="298" customWidth="1"/>
    <col min="2" max="2" width="17.54296875" style="299" customWidth="1"/>
    <col min="3" max="3" width="36.81640625" style="299" customWidth="1"/>
    <col min="4" max="4" width="34.1796875" style="299" customWidth="1"/>
    <col min="5" max="5" width="19.7265625" style="299" customWidth="1"/>
    <col min="6" max="6" width="10.81640625" style="299" customWidth="1"/>
    <col min="7" max="7" width="14.26953125" style="299" customWidth="1"/>
    <col min="8" max="8" width="17.453125" style="299" customWidth="1"/>
    <col min="9" max="9" width="92.453125" style="299" customWidth="1"/>
    <col min="10" max="10" width="19.7265625" style="299" customWidth="1"/>
    <col min="11" max="11" width="10.1796875" style="299" customWidth="1"/>
    <col min="12" max="12" width="14.453125" style="299" customWidth="1"/>
    <col min="13" max="13" width="18.81640625" style="299" customWidth="1"/>
    <col min="14" max="14" width="55.7265625" style="299" customWidth="1"/>
    <col min="15" max="15" width="146.1796875" style="299" customWidth="1"/>
    <col min="16" max="16384" width="9.1796875" style="298"/>
  </cols>
  <sheetData>
    <row r="1" spans="1:15" x14ac:dyDescent="0.35">
      <c r="B1" s="453" t="s">
        <v>3297</v>
      </c>
      <c r="D1" s="300"/>
      <c r="E1" s="300"/>
    </row>
    <row r="2" spans="1:15" x14ac:dyDescent="0.35">
      <c r="B2" s="301"/>
      <c r="D2" s="300"/>
      <c r="E2" s="300"/>
    </row>
    <row r="3" spans="1:15" x14ac:dyDescent="0.35">
      <c r="B3" s="301"/>
      <c r="D3" s="300"/>
      <c r="E3" s="300"/>
    </row>
    <row r="5" spans="1:15" x14ac:dyDescent="0.35">
      <c r="D5" s="298"/>
      <c r="E5" s="2894" t="s">
        <v>797</v>
      </c>
      <c r="F5" s="2895"/>
      <c r="G5" s="2895"/>
      <c r="H5" s="2895"/>
      <c r="I5" s="2896"/>
      <c r="J5" s="2897" t="s">
        <v>798</v>
      </c>
      <c r="K5" s="2897"/>
      <c r="L5" s="2897"/>
      <c r="M5" s="2897"/>
      <c r="N5" s="2897"/>
    </row>
    <row r="6" spans="1:15" s="303" customFormat="1" ht="27" x14ac:dyDescent="0.35">
      <c r="B6" s="454" t="s">
        <v>285</v>
      </c>
      <c r="C6" s="454" t="s">
        <v>286</v>
      </c>
      <c r="D6" s="454" t="s">
        <v>568</v>
      </c>
      <c r="E6" s="454" t="s">
        <v>799</v>
      </c>
      <c r="F6" s="454" t="s">
        <v>800</v>
      </c>
      <c r="G6" s="454" t="s">
        <v>801</v>
      </c>
      <c r="H6" s="454" t="s">
        <v>802</v>
      </c>
      <c r="I6" s="454" t="s">
        <v>803</v>
      </c>
      <c r="J6" s="454" t="s">
        <v>804</v>
      </c>
      <c r="K6" s="454" t="s">
        <v>805</v>
      </c>
      <c r="L6" s="454" t="s">
        <v>806</v>
      </c>
      <c r="M6" s="454" t="s">
        <v>807</v>
      </c>
      <c r="N6" s="454" t="s">
        <v>808</v>
      </c>
      <c r="O6" s="454" t="s">
        <v>809</v>
      </c>
    </row>
    <row r="7" spans="1:15" s="458" customFormat="1" hidden="1" x14ac:dyDescent="0.35">
      <c r="A7" s="304" t="str">
        <f t="shared" ref="A7:A70" si="0">B7&amp;"_"&amp;C7&amp;"_"&amp;D7</f>
        <v>C&amp;I_C&amp;I Custom_All Projects</v>
      </c>
      <c r="B7" s="455" t="s">
        <v>810</v>
      </c>
      <c r="C7" s="455" t="s">
        <v>811</v>
      </c>
      <c r="D7" s="455" t="s">
        <v>1279</v>
      </c>
      <c r="E7" s="456">
        <f t="shared" ref="E7:E12" si="1">1-F7+G7+H7</f>
        <v>0.82200000000000006</v>
      </c>
      <c r="F7" s="457">
        <v>0.17799999999999999</v>
      </c>
      <c r="G7" s="457">
        <v>0</v>
      </c>
      <c r="H7" s="457">
        <v>0</v>
      </c>
      <c r="I7" s="455" t="s">
        <v>1280</v>
      </c>
      <c r="J7" s="456">
        <f>1-K7+L7+M7</f>
        <v>0.9385</v>
      </c>
      <c r="K7" s="456">
        <v>6.1499999999999999E-2</v>
      </c>
      <c r="L7" s="456">
        <v>0</v>
      </c>
      <c r="M7" s="456">
        <v>0</v>
      </c>
      <c r="N7" s="455" t="s">
        <v>1280</v>
      </c>
      <c r="O7" s="455" t="s">
        <v>813</v>
      </c>
    </row>
    <row r="8" spans="1:15" s="458" customFormat="1" hidden="1" x14ac:dyDescent="0.35">
      <c r="A8" s="304" t="str">
        <f t="shared" si="0"/>
        <v>C&amp;I_C&amp;I Retro-Commissioning_All Projects</v>
      </c>
      <c r="B8" s="455" t="s">
        <v>810</v>
      </c>
      <c r="C8" s="455" t="s">
        <v>814</v>
      </c>
      <c r="D8" s="455" t="s">
        <v>1279</v>
      </c>
      <c r="E8" s="456">
        <f t="shared" si="1"/>
        <v>0.91400000000000003</v>
      </c>
      <c r="F8" s="457">
        <v>8.5999999999999993E-2</v>
      </c>
      <c r="G8" s="457">
        <v>0</v>
      </c>
      <c r="H8" s="457">
        <v>0</v>
      </c>
      <c r="I8" s="455" t="s">
        <v>815</v>
      </c>
      <c r="J8" s="456">
        <f>1-K8+L8+M8</f>
        <v>0.91400000000000003</v>
      </c>
      <c r="K8" s="456">
        <v>8.5999999999999993E-2</v>
      </c>
      <c r="L8" s="456">
        <v>0</v>
      </c>
      <c r="M8" s="456">
        <v>0</v>
      </c>
      <c r="N8" s="455" t="s">
        <v>816</v>
      </c>
      <c r="O8" s="455" t="s">
        <v>813</v>
      </c>
    </row>
    <row r="9" spans="1:15" s="458" customFormat="1" hidden="1" x14ac:dyDescent="0.35">
      <c r="A9" s="304" t="str">
        <f t="shared" si="0"/>
        <v>C&amp;I_C&amp;I Standard_Core Program Lighting</v>
      </c>
      <c r="B9" s="455" t="s">
        <v>810</v>
      </c>
      <c r="C9" s="455" t="s">
        <v>817</v>
      </c>
      <c r="D9" s="455" t="s">
        <v>818</v>
      </c>
      <c r="E9" s="456">
        <f t="shared" si="1"/>
        <v>0.77800000000000002</v>
      </c>
      <c r="F9" s="456">
        <v>0.223</v>
      </c>
      <c r="G9" s="456">
        <v>1E-3</v>
      </c>
      <c r="H9" s="456">
        <v>0</v>
      </c>
      <c r="I9" s="455" t="s">
        <v>819</v>
      </c>
      <c r="J9" s="456" t="s">
        <v>820</v>
      </c>
      <c r="K9" s="456" t="s">
        <v>820</v>
      </c>
      <c r="L9" s="456" t="s">
        <v>820</v>
      </c>
      <c r="M9" s="456" t="s">
        <v>820</v>
      </c>
      <c r="N9" s="455" t="s">
        <v>819</v>
      </c>
      <c r="O9" s="455" t="s">
        <v>813</v>
      </c>
    </row>
    <row r="10" spans="1:15" s="458" customFormat="1" hidden="1" x14ac:dyDescent="0.35">
      <c r="A10" s="304" t="str">
        <f t="shared" si="0"/>
        <v>C&amp;I_C&amp;I Standard_Core Program HVAC</v>
      </c>
      <c r="B10" s="455" t="s">
        <v>810</v>
      </c>
      <c r="C10" s="455" t="s">
        <v>817</v>
      </c>
      <c r="D10" s="455" t="s">
        <v>821</v>
      </c>
      <c r="E10" s="456">
        <f t="shared" si="1"/>
        <v>0.55700000000000005</v>
      </c>
      <c r="F10" s="456">
        <v>0.44400000000000001</v>
      </c>
      <c r="G10" s="456">
        <v>1E-3</v>
      </c>
      <c r="H10" s="456">
        <v>0</v>
      </c>
      <c r="I10" s="455" t="s">
        <v>819</v>
      </c>
      <c r="J10" s="456">
        <f>1-K10+L10+M10</f>
        <v>0.49399999999999999</v>
      </c>
      <c r="K10" s="456">
        <v>0.50600000000000001</v>
      </c>
      <c r="L10" s="456">
        <v>0</v>
      </c>
      <c r="M10" s="456">
        <v>0</v>
      </c>
      <c r="N10" s="455" t="s">
        <v>819</v>
      </c>
      <c r="O10" s="455" t="s">
        <v>813</v>
      </c>
    </row>
    <row r="11" spans="1:15" s="458" customFormat="1" hidden="1" x14ac:dyDescent="0.35">
      <c r="A11" s="304" t="str">
        <f t="shared" si="0"/>
        <v>C&amp;I_C&amp;I Standard_Core Program Leak Survey</v>
      </c>
      <c r="B11" s="455" t="s">
        <v>810</v>
      </c>
      <c r="C11" s="455" t="s">
        <v>817</v>
      </c>
      <c r="D11" s="455" t="s">
        <v>822</v>
      </c>
      <c r="E11" s="456">
        <f t="shared" si="1"/>
        <v>0.70200000000000007</v>
      </c>
      <c r="F11" s="456">
        <v>0.29899999999999999</v>
      </c>
      <c r="G11" s="456">
        <v>1E-3</v>
      </c>
      <c r="H11" s="456">
        <v>0</v>
      </c>
      <c r="I11" s="455" t="s">
        <v>819</v>
      </c>
      <c r="J11" s="456" t="s">
        <v>820</v>
      </c>
      <c r="K11" s="456" t="s">
        <v>820</v>
      </c>
      <c r="L11" s="456" t="s">
        <v>820</v>
      </c>
      <c r="M11" s="456" t="s">
        <v>820</v>
      </c>
      <c r="N11" s="455" t="s">
        <v>819</v>
      </c>
      <c r="O11" s="455" t="s">
        <v>813</v>
      </c>
    </row>
    <row r="12" spans="1:15" s="458" customFormat="1" hidden="1" x14ac:dyDescent="0.35">
      <c r="A12" s="304" t="str">
        <f t="shared" si="0"/>
        <v>C&amp;I_C&amp;I Standard_Core Program Specialty</v>
      </c>
      <c r="B12" s="455" t="s">
        <v>810</v>
      </c>
      <c r="C12" s="455" t="s">
        <v>817</v>
      </c>
      <c r="D12" s="455" t="s">
        <v>823</v>
      </c>
      <c r="E12" s="456">
        <f t="shared" si="1"/>
        <v>0.84899999999999998</v>
      </c>
      <c r="F12" s="456">
        <v>0.152</v>
      </c>
      <c r="G12" s="456">
        <v>1E-3</v>
      </c>
      <c r="H12" s="456">
        <v>0</v>
      </c>
      <c r="I12" s="455" t="s">
        <v>819</v>
      </c>
      <c r="J12" s="456">
        <f>1-K12+L12+M12</f>
        <v>0.67500000000000004</v>
      </c>
      <c r="K12" s="456">
        <v>0.32500000000000001</v>
      </c>
      <c r="L12" s="456">
        <v>0</v>
      </c>
      <c r="M12" s="456">
        <v>0</v>
      </c>
      <c r="N12" s="455" t="s">
        <v>819</v>
      </c>
      <c r="O12" s="455" t="s">
        <v>813</v>
      </c>
    </row>
    <row r="13" spans="1:15" s="458" customFormat="1" hidden="1" x14ac:dyDescent="0.35">
      <c r="A13" s="304" t="str">
        <f t="shared" si="0"/>
        <v>C&amp;I_C&amp;I Standard_Core Program Steam Trap</v>
      </c>
      <c r="B13" s="455" t="s">
        <v>810</v>
      </c>
      <c r="C13" s="455" t="s">
        <v>817</v>
      </c>
      <c r="D13" s="455" t="s">
        <v>824</v>
      </c>
      <c r="E13" s="456" t="s">
        <v>820</v>
      </c>
      <c r="F13" s="456" t="s">
        <v>820</v>
      </c>
      <c r="G13" s="456" t="s">
        <v>820</v>
      </c>
      <c r="H13" s="456" t="s">
        <v>820</v>
      </c>
      <c r="I13" s="455" t="s">
        <v>819</v>
      </c>
      <c r="J13" s="456">
        <f>1-K13+L13+M13</f>
        <v>0.60799999999999998</v>
      </c>
      <c r="K13" s="456">
        <v>0.39200000000000002</v>
      </c>
      <c r="L13" s="456">
        <v>0</v>
      </c>
      <c r="M13" s="456">
        <v>0</v>
      </c>
      <c r="N13" s="455" t="s">
        <v>819</v>
      </c>
      <c r="O13" s="455" t="s">
        <v>813</v>
      </c>
    </row>
    <row r="14" spans="1:15" s="458" customFormat="1" hidden="1" x14ac:dyDescent="0.35">
      <c r="A14" s="304" t="str">
        <f t="shared" si="0"/>
        <v>C&amp;I_C&amp;I Standard_Core Program VFD</v>
      </c>
      <c r="B14" s="455" t="s">
        <v>810</v>
      </c>
      <c r="C14" s="455" t="s">
        <v>817</v>
      </c>
      <c r="D14" s="455" t="s">
        <v>825</v>
      </c>
      <c r="E14" s="456">
        <f>1-F14+G14+H14</f>
        <v>0.83299999999999996</v>
      </c>
      <c r="F14" s="456">
        <v>0.16800000000000001</v>
      </c>
      <c r="G14" s="456">
        <v>1E-3</v>
      </c>
      <c r="H14" s="456">
        <v>0</v>
      </c>
      <c r="I14" s="455" t="s">
        <v>819</v>
      </c>
      <c r="J14" s="456" t="s">
        <v>820</v>
      </c>
      <c r="K14" s="456" t="s">
        <v>820</v>
      </c>
      <c r="L14" s="456" t="s">
        <v>820</v>
      </c>
      <c r="M14" s="456" t="s">
        <v>820</v>
      </c>
      <c r="N14" s="455" t="s">
        <v>819</v>
      </c>
      <c r="O14" s="455" t="s">
        <v>813</v>
      </c>
    </row>
    <row r="15" spans="1:15" s="458" customFormat="1" hidden="1" x14ac:dyDescent="0.35">
      <c r="A15" s="304" t="str">
        <f t="shared" si="0"/>
        <v>C&amp;I_C&amp;I Standard_Green Nozzles</v>
      </c>
      <c r="B15" s="455" t="s">
        <v>810</v>
      </c>
      <c r="C15" s="455" t="s">
        <v>817</v>
      </c>
      <c r="D15" s="455" t="s">
        <v>829</v>
      </c>
      <c r="E15" s="456">
        <f>1-F15+G15+H15</f>
        <v>0.91999999999999993</v>
      </c>
      <c r="F15" s="457">
        <v>0.17</v>
      </c>
      <c r="G15" s="457">
        <v>0.09</v>
      </c>
      <c r="H15" s="456">
        <v>0</v>
      </c>
      <c r="I15" s="455" t="s">
        <v>828</v>
      </c>
      <c r="J15" s="456">
        <f>1-K15+L15+M15</f>
        <v>0.89</v>
      </c>
      <c r="K15" s="456">
        <v>0.21</v>
      </c>
      <c r="L15" s="456">
        <v>0.1</v>
      </c>
      <c r="M15" s="456">
        <v>0</v>
      </c>
      <c r="N15" s="455" t="s">
        <v>828</v>
      </c>
      <c r="O15" s="455" t="s">
        <v>813</v>
      </c>
    </row>
    <row r="16" spans="1:15" s="458" customFormat="1" hidden="1" x14ac:dyDescent="0.35">
      <c r="A16" s="304" t="str">
        <f t="shared" si="0"/>
        <v>C&amp;I_C&amp;I Standard_Midstream Lighting (Instant Incentives)</v>
      </c>
      <c r="B16" s="455" t="s">
        <v>810</v>
      </c>
      <c r="C16" s="455" t="s">
        <v>817</v>
      </c>
      <c r="D16" s="455" t="s">
        <v>1281</v>
      </c>
      <c r="E16" s="456">
        <f>1-F16+G16+H16</f>
        <v>0.77339999999999998</v>
      </c>
      <c r="F16" s="457">
        <f>1-0.768</f>
        <v>0.23199999999999998</v>
      </c>
      <c r="G16" s="457">
        <v>5.4000000000000003E-3</v>
      </c>
      <c r="H16" s="457">
        <v>0</v>
      </c>
      <c r="I16" s="455" t="s">
        <v>1280</v>
      </c>
      <c r="J16" s="456" t="s">
        <v>820</v>
      </c>
      <c r="K16" s="456" t="s">
        <v>820</v>
      </c>
      <c r="L16" s="456" t="s">
        <v>820</v>
      </c>
      <c r="M16" s="456" t="s">
        <v>820</v>
      </c>
      <c r="N16" s="455" t="s">
        <v>820</v>
      </c>
      <c r="O16" s="455" t="s">
        <v>831</v>
      </c>
    </row>
    <row r="17" spans="1:15" s="458" customFormat="1" hidden="1" x14ac:dyDescent="0.35">
      <c r="A17" s="304" t="str">
        <f t="shared" si="0"/>
        <v>C&amp;I_C&amp;I Standard _Online Store Measures</v>
      </c>
      <c r="B17" s="455" t="s">
        <v>810</v>
      </c>
      <c r="C17" s="455" t="s">
        <v>826</v>
      </c>
      <c r="D17" s="455" t="s">
        <v>827</v>
      </c>
      <c r="E17" s="456">
        <f>1-F17+G17+H17</f>
        <v>0.83069999999999999</v>
      </c>
      <c r="F17" s="457">
        <v>0.19370000000000001</v>
      </c>
      <c r="G17" s="457">
        <v>2.4400000000000002E-2</v>
      </c>
      <c r="H17" s="457">
        <v>0</v>
      </c>
      <c r="I17" s="455" t="s">
        <v>1280</v>
      </c>
      <c r="J17" s="456" t="s">
        <v>820</v>
      </c>
      <c r="K17" s="456" t="s">
        <v>820</v>
      </c>
      <c r="L17" s="456" t="s">
        <v>820</v>
      </c>
      <c r="M17" s="456" t="s">
        <v>820</v>
      </c>
      <c r="N17" s="455" t="s">
        <v>820</v>
      </c>
      <c r="O17" s="455" t="s">
        <v>813</v>
      </c>
    </row>
    <row r="18" spans="1:15" s="458" customFormat="1" hidden="1" x14ac:dyDescent="0.35">
      <c r="A18" s="304" t="str">
        <f t="shared" si="0"/>
        <v>C&amp;I_Com New Construction_All Measures</v>
      </c>
      <c r="B18" s="455" t="s">
        <v>810</v>
      </c>
      <c r="C18" s="455" t="s">
        <v>1282</v>
      </c>
      <c r="D18" s="459" t="s">
        <v>1283</v>
      </c>
      <c r="E18" s="460">
        <v>0.77</v>
      </c>
      <c r="F18" s="461">
        <v>0.23</v>
      </c>
      <c r="G18" s="461">
        <v>0</v>
      </c>
      <c r="H18" s="461"/>
      <c r="I18" s="455" t="s">
        <v>1284</v>
      </c>
      <c r="J18" s="460" t="s">
        <v>820</v>
      </c>
      <c r="K18" s="462" t="s">
        <v>820</v>
      </c>
      <c r="L18" s="462" t="s">
        <v>820</v>
      </c>
      <c r="M18" s="460" t="s">
        <v>820</v>
      </c>
      <c r="N18" s="463" t="s">
        <v>820</v>
      </c>
      <c r="O18" s="464" t="s">
        <v>1285</v>
      </c>
    </row>
    <row r="19" spans="1:15" s="458" customFormat="1" hidden="1" x14ac:dyDescent="0.35">
      <c r="A19" s="304" t="str">
        <f t="shared" si="0"/>
        <v>C&amp;I_Combined Heat and Power (CHP)_All Projects</v>
      </c>
      <c r="B19" s="455" t="s">
        <v>810</v>
      </c>
      <c r="C19" s="455" t="s">
        <v>1286</v>
      </c>
      <c r="D19" s="455" t="s">
        <v>1279</v>
      </c>
      <c r="E19" s="456" t="s">
        <v>820</v>
      </c>
      <c r="F19" s="456" t="s">
        <v>820</v>
      </c>
      <c r="G19" s="456" t="s">
        <v>820</v>
      </c>
      <c r="H19" s="456" t="s">
        <v>820</v>
      </c>
      <c r="I19" s="455" t="s">
        <v>834</v>
      </c>
      <c r="J19" s="456" t="s">
        <v>820</v>
      </c>
      <c r="K19" s="456" t="s">
        <v>820</v>
      </c>
      <c r="L19" s="456" t="s">
        <v>820</v>
      </c>
      <c r="M19" s="456" t="s">
        <v>820</v>
      </c>
      <c r="N19" s="455" t="s">
        <v>834</v>
      </c>
      <c r="O19" s="455" t="s">
        <v>835</v>
      </c>
    </row>
    <row r="20" spans="1:15" s="458" customFormat="1" hidden="1" x14ac:dyDescent="0.35">
      <c r="A20" s="304" t="str">
        <f t="shared" si="0"/>
        <v>C&amp;I_Demand-Controlled Ventilation_All Measures</v>
      </c>
      <c r="B20" s="455" t="s">
        <v>810</v>
      </c>
      <c r="C20" s="455" t="s">
        <v>1287</v>
      </c>
      <c r="D20" s="459" t="s">
        <v>1283</v>
      </c>
      <c r="E20" s="456">
        <f t="shared" ref="E20:E31" si="2">1-F20+G20+H20</f>
        <v>0.89</v>
      </c>
      <c r="F20" s="456">
        <v>0.11</v>
      </c>
      <c r="G20" s="456">
        <v>0</v>
      </c>
      <c r="H20" s="456"/>
      <c r="I20" s="465" t="s">
        <v>1288</v>
      </c>
      <c r="J20" s="456">
        <f>1-K20+L20</f>
        <v>0.89</v>
      </c>
      <c r="K20" s="456">
        <v>0.11</v>
      </c>
      <c r="L20" s="456">
        <v>0</v>
      </c>
      <c r="M20" s="456" t="s">
        <v>820</v>
      </c>
      <c r="N20" s="465" t="s">
        <v>1288</v>
      </c>
      <c r="O20" s="455" t="s">
        <v>1289</v>
      </c>
    </row>
    <row r="21" spans="1:15" s="458" customFormat="1" hidden="1" x14ac:dyDescent="0.35">
      <c r="A21" s="304" t="str">
        <f t="shared" si="0"/>
        <v>C&amp;I_Private Sector Enhanced HVAC Optimization_All Measures</v>
      </c>
      <c r="B21" s="455" t="s">
        <v>810</v>
      </c>
      <c r="C21" s="455" t="s">
        <v>1290</v>
      </c>
      <c r="D21" s="455" t="s">
        <v>1283</v>
      </c>
      <c r="E21" s="456">
        <f t="shared" si="2"/>
        <v>0.96199999999999997</v>
      </c>
      <c r="F21" s="457">
        <v>3.7999999999999999E-2</v>
      </c>
      <c r="G21" s="457">
        <v>0</v>
      </c>
      <c r="H21" s="457"/>
      <c r="I21" s="455" t="s">
        <v>1291</v>
      </c>
      <c r="J21" s="456">
        <f>1-K21+L21</f>
        <v>0.96199999999999997</v>
      </c>
      <c r="K21" s="457">
        <v>3.7999999999999999E-2</v>
      </c>
      <c r="L21" s="457">
        <v>0</v>
      </c>
      <c r="M21" s="456" t="s">
        <v>820</v>
      </c>
      <c r="N21" s="455" t="s">
        <v>1291</v>
      </c>
      <c r="O21" s="455" t="s">
        <v>1292</v>
      </c>
    </row>
    <row r="22" spans="1:15" s="458" customFormat="1" hidden="1" x14ac:dyDescent="0.35">
      <c r="A22" s="304" t="str">
        <f t="shared" si="0"/>
        <v>C&amp;I_Public Sector Enhanced HVAC Optimization_All Measures</v>
      </c>
      <c r="B22" s="455" t="s">
        <v>810</v>
      </c>
      <c r="C22" s="455" t="s">
        <v>1293</v>
      </c>
      <c r="D22" s="455" t="s">
        <v>1283</v>
      </c>
      <c r="E22" s="456">
        <f t="shared" si="2"/>
        <v>0.96199999999999997</v>
      </c>
      <c r="F22" s="457">
        <v>3.7999999999999999E-2</v>
      </c>
      <c r="G22" s="457">
        <v>0</v>
      </c>
      <c r="H22" s="457"/>
      <c r="I22" s="455" t="s">
        <v>1291</v>
      </c>
      <c r="J22" s="456">
        <f t="shared" ref="J22:J23" si="3">1-K22+L22</f>
        <v>0.96199999999999997</v>
      </c>
      <c r="K22" s="457">
        <v>3.7999999999999999E-2</v>
      </c>
      <c r="L22" s="457">
        <v>0</v>
      </c>
      <c r="M22" s="456" t="s">
        <v>820</v>
      </c>
      <c r="N22" s="455" t="s">
        <v>1291</v>
      </c>
      <c r="O22" s="455" t="s">
        <v>1292</v>
      </c>
    </row>
    <row r="23" spans="1:15" s="458" customFormat="1" hidden="1" x14ac:dyDescent="0.35">
      <c r="A23" s="304" t="str">
        <f t="shared" si="0"/>
        <v>C&amp;I_Small Business Direct Install_All Measures</v>
      </c>
      <c r="B23" s="455" t="s">
        <v>810</v>
      </c>
      <c r="C23" s="455" t="s">
        <v>210</v>
      </c>
      <c r="D23" s="455" t="s">
        <v>1283</v>
      </c>
      <c r="E23" s="456">
        <f t="shared" si="2"/>
        <v>0.96199999999999997</v>
      </c>
      <c r="F23" s="457">
        <v>3.7999999999999999E-2</v>
      </c>
      <c r="G23" s="457">
        <v>0</v>
      </c>
      <c r="H23" s="457"/>
      <c r="I23" s="455" t="s">
        <v>1294</v>
      </c>
      <c r="J23" s="456">
        <f t="shared" si="3"/>
        <v>0.96199999999999997</v>
      </c>
      <c r="K23" s="457">
        <v>3.7999999999999999E-2</v>
      </c>
      <c r="L23" s="457">
        <v>0</v>
      </c>
      <c r="M23" s="456" t="s">
        <v>820</v>
      </c>
      <c r="N23" s="455" t="s">
        <v>1291</v>
      </c>
      <c r="O23" s="455" t="s">
        <v>1295</v>
      </c>
    </row>
    <row r="24" spans="1:15" s="458" customFormat="1" hidden="1" x14ac:dyDescent="0.35">
      <c r="A24" s="304" t="str">
        <f t="shared" si="0"/>
        <v>C&amp;I_Small Business Exterior Lighting_All Measures</v>
      </c>
      <c r="B24" s="455" t="s">
        <v>810</v>
      </c>
      <c r="C24" s="455" t="s">
        <v>1296</v>
      </c>
      <c r="D24" s="455" t="s">
        <v>1283</v>
      </c>
      <c r="E24" s="456">
        <f t="shared" si="2"/>
        <v>0.96199999999999997</v>
      </c>
      <c r="F24" s="457">
        <v>3.7999999999999999E-2</v>
      </c>
      <c r="G24" s="457">
        <v>0</v>
      </c>
      <c r="H24" s="457"/>
      <c r="I24" s="455" t="s">
        <v>1291</v>
      </c>
      <c r="J24" s="456" t="s">
        <v>820</v>
      </c>
      <c r="K24" s="456" t="s">
        <v>820</v>
      </c>
      <c r="L24" s="456" t="s">
        <v>820</v>
      </c>
      <c r="M24" s="456" t="s">
        <v>820</v>
      </c>
      <c r="N24" s="455" t="s">
        <v>820</v>
      </c>
      <c r="O24" s="455" t="s">
        <v>1292</v>
      </c>
    </row>
    <row r="25" spans="1:15" s="458" customFormat="1" hidden="1" x14ac:dyDescent="0.35">
      <c r="A25" s="304" t="str">
        <f t="shared" si="0"/>
        <v>C&amp;I_Small Business Linear LED Lighting_All Measures</v>
      </c>
      <c r="B25" s="455" t="s">
        <v>810</v>
      </c>
      <c r="C25" s="455" t="s">
        <v>1297</v>
      </c>
      <c r="D25" s="455" t="s">
        <v>1283</v>
      </c>
      <c r="E25" s="456">
        <f t="shared" si="2"/>
        <v>0.96199999999999997</v>
      </c>
      <c r="F25" s="457">
        <v>3.7999999999999999E-2</v>
      </c>
      <c r="G25" s="457">
        <v>0</v>
      </c>
      <c r="H25" s="457"/>
      <c r="I25" s="455" t="s">
        <v>1291</v>
      </c>
      <c r="J25" s="456" t="s">
        <v>820</v>
      </c>
      <c r="K25" s="456" t="s">
        <v>820</v>
      </c>
      <c r="L25" s="456" t="s">
        <v>820</v>
      </c>
      <c r="M25" s="456" t="s">
        <v>820</v>
      </c>
      <c r="N25" s="455" t="s">
        <v>820</v>
      </c>
      <c r="O25" s="455" t="s">
        <v>1292</v>
      </c>
    </row>
    <row r="26" spans="1:15" s="458" customFormat="1" hidden="1" x14ac:dyDescent="0.35">
      <c r="A26" s="304" t="str">
        <f t="shared" si="0"/>
        <v>C&amp;I_Small Business Lit Signage_All Measures</v>
      </c>
      <c r="B26" s="455" t="s">
        <v>810</v>
      </c>
      <c r="C26" s="455" t="s">
        <v>1298</v>
      </c>
      <c r="D26" s="455" t="s">
        <v>1283</v>
      </c>
      <c r="E26" s="456">
        <f t="shared" si="2"/>
        <v>0.96199999999999997</v>
      </c>
      <c r="F26" s="457">
        <v>3.7999999999999999E-2</v>
      </c>
      <c r="G26" s="457">
        <v>0</v>
      </c>
      <c r="H26" s="457"/>
      <c r="I26" s="455" t="s">
        <v>1291</v>
      </c>
      <c r="J26" s="456" t="s">
        <v>820</v>
      </c>
      <c r="K26" s="456" t="s">
        <v>820</v>
      </c>
      <c r="L26" s="456" t="s">
        <v>820</v>
      </c>
      <c r="M26" s="456" t="s">
        <v>820</v>
      </c>
      <c r="N26" s="455" t="s">
        <v>820</v>
      </c>
      <c r="O26" s="455" t="s">
        <v>1292</v>
      </c>
    </row>
    <row r="27" spans="1:15" s="458" customFormat="1" hidden="1" x14ac:dyDescent="0.35">
      <c r="A27" s="304" t="str">
        <f t="shared" si="0"/>
        <v>C&amp;I_Small Business Refrigeration_All Measures</v>
      </c>
      <c r="B27" s="455" t="s">
        <v>810</v>
      </c>
      <c r="C27" s="455" t="s">
        <v>1299</v>
      </c>
      <c r="D27" s="459" t="s">
        <v>1283</v>
      </c>
      <c r="E27" s="460">
        <f t="shared" si="2"/>
        <v>0.86</v>
      </c>
      <c r="F27" s="461">
        <v>0.14000000000000001</v>
      </c>
      <c r="G27" s="461">
        <v>0</v>
      </c>
      <c r="H27" s="461"/>
      <c r="I27" s="463" t="s">
        <v>1300</v>
      </c>
      <c r="J27" s="460">
        <f>1-K27+L27</f>
        <v>0.86</v>
      </c>
      <c r="K27" s="461">
        <v>0.14000000000000001</v>
      </c>
      <c r="L27" s="461">
        <v>0</v>
      </c>
      <c r="M27" s="456" t="s">
        <v>820</v>
      </c>
      <c r="N27" s="463" t="s">
        <v>1300</v>
      </c>
      <c r="O27" s="464" t="s">
        <v>1292</v>
      </c>
    </row>
    <row r="28" spans="1:15" s="458" customFormat="1" ht="13.5" hidden="1" customHeight="1" x14ac:dyDescent="0.35">
      <c r="A28" s="304" t="str">
        <f t="shared" si="0"/>
        <v>C&amp;I_Small Business Whole Building_Refrigeration Measures</v>
      </c>
      <c r="B28" s="455" t="s">
        <v>810</v>
      </c>
      <c r="C28" s="455" t="s">
        <v>1301</v>
      </c>
      <c r="D28" s="455" t="s">
        <v>1302</v>
      </c>
      <c r="E28" s="460">
        <f t="shared" si="2"/>
        <v>0.86</v>
      </c>
      <c r="F28" s="461">
        <v>0.14000000000000001</v>
      </c>
      <c r="G28" s="461">
        <v>0</v>
      </c>
      <c r="H28" s="461"/>
      <c r="I28" s="463" t="s">
        <v>1300</v>
      </c>
      <c r="J28" s="460">
        <f t="shared" ref="J28:J29" si="4">1-K28+L28</f>
        <v>0.86</v>
      </c>
      <c r="K28" s="461">
        <v>0.14000000000000001</v>
      </c>
      <c r="L28" s="461">
        <v>0</v>
      </c>
      <c r="M28" s="456" t="s">
        <v>820</v>
      </c>
      <c r="N28" s="463" t="s">
        <v>1300</v>
      </c>
      <c r="O28" s="466" t="s">
        <v>1292</v>
      </c>
    </row>
    <row r="29" spans="1:15" s="458" customFormat="1" hidden="1" x14ac:dyDescent="0.35">
      <c r="A29" s="304" t="str">
        <f t="shared" si="0"/>
        <v>C&amp;I_Small Business Whole Building_All Other Measures</v>
      </c>
      <c r="B29" s="455" t="s">
        <v>810</v>
      </c>
      <c r="C29" s="455" t="s">
        <v>1301</v>
      </c>
      <c r="D29" s="455" t="s">
        <v>1303</v>
      </c>
      <c r="E29" s="456">
        <f t="shared" si="2"/>
        <v>0.96199999999999997</v>
      </c>
      <c r="F29" s="457">
        <v>3.7999999999999999E-2</v>
      </c>
      <c r="G29" s="457">
        <v>0</v>
      </c>
      <c r="H29" s="457"/>
      <c r="I29" s="455" t="s">
        <v>1291</v>
      </c>
      <c r="J29" s="460">
        <f t="shared" si="4"/>
        <v>0.96199999999999997</v>
      </c>
      <c r="K29" s="457">
        <v>3.7999999999999999E-2</v>
      </c>
      <c r="L29" s="457">
        <v>0</v>
      </c>
      <c r="M29" s="456" t="s">
        <v>820</v>
      </c>
      <c r="N29" s="455" t="s">
        <v>1291</v>
      </c>
      <c r="O29" s="467" t="s">
        <v>1292</v>
      </c>
    </row>
    <row r="30" spans="1:15" s="458" customFormat="1" x14ac:dyDescent="0.35">
      <c r="A30" s="304" t="str">
        <f t="shared" si="0"/>
        <v>Residential_Appliance Recycling_Refrigerator</v>
      </c>
      <c r="B30" s="455" t="s">
        <v>78</v>
      </c>
      <c r="C30" s="455" t="s">
        <v>273</v>
      </c>
      <c r="D30" s="455" t="s">
        <v>836</v>
      </c>
      <c r="E30" s="456">
        <f t="shared" si="2"/>
        <v>0.52</v>
      </c>
      <c r="F30" s="457">
        <v>0.48</v>
      </c>
      <c r="G30" s="457">
        <v>0</v>
      </c>
      <c r="H30" s="457"/>
      <c r="I30" s="455" t="s">
        <v>812</v>
      </c>
      <c r="J30" s="456" t="s">
        <v>820</v>
      </c>
      <c r="K30" s="456" t="s">
        <v>820</v>
      </c>
      <c r="L30" s="456" t="s">
        <v>820</v>
      </c>
      <c r="M30" s="456" t="s">
        <v>820</v>
      </c>
      <c r="N30" s="455" t="s">
        <v>820</v>
      </c>
      <c r="O30" s="467" t="s">
        <v>813</v>
      </c>
    </row>
    <row r="31" spans="1:15" s="458" customFormat="1" x14ac:dyDescent="0.35">
      <c r="A31" s="304" t="str">
        <f t="shared" si="0"/>
        <v>Residential_Appliance Recycling_Freezer</v>
      </c>
      <c r="B31" s="455" t="s">
        <v>78</v>
      </c>
      <c r="C31" s="455" t="s">
        <v>273</v>
      </c>
      <c r="D31" s="455" t="s">
        <v>837</v>
      </c>
      <c r="E31" s="456">
        <f t="shared" si="2"/>
        <v>0.62</v>
      </c>
      <c r="F31" s="457">
        <v>0.38</v>
      </c>
      <c r="G31" s="457">
        <v>0</v>
      </c>
      <c r="H31" s="457"/>
      <c r="I31" s="455" t="s">
        <v>812</v>
      </c>
      <c r="J31" s="456" t="s">
        <v>820</v>
      </c>
      <c r="K31" s="456" t="s">
        <v>820</v>
      </c>
      <c r="L31" s="456" t="s">
        <v>820</v>
      </c>
      <c r="M31" s="456" t="s">
        <v>820</v>
      </c>
      <c r="N31" s="455" t="s">
        <v>820</v>
      </c>
      <c r="O31" s="467" t="s">
        <v>813</v>
      </c>
    </row>
    <row r="32" spans="1:15" s="458" customFormat="1" x14ac:dyDescent="0.35">
      <c r="A32" s="304" t="str">
        <f t="shared" si="0"/>
        <v>Residential_Behavior Modification_All Measures</v>
      </c>
      <c r="B32" s="455" t="s">
        <v>78</v>
      </c>
      <c r="C32" s="455" t="s">
        <v>838</v>
      </c>
      <c r="D32" s="455" t="s">
        <v>1283</v>
      </c>
      <c r="E32" s="456" t="s">
        <v>820</v>
      </c>
      <c r="F32" s="456" t="s">
        <v>820</v>
      </c>
      <c r="G32" s="456" t="s">
        <v>820</v>
      </c>
      <c r="H32" s="456" t="s">
        <v>820</v>
      </c>
      <c r="I32" s="465" t="s">
        <v>839</v>
      </c>
      <c r="J32" s="456" t="s">
        <v>820</v>
      </c>
      <c r="K32" s="456" t="s">
        <v>820</v>
      </c>
      <c r="L32" s="456" t="s">
        <v>820</v>
      </c>
      <c r="M32" s="456" t="s">
        <v>820</v>
      </c>
      <c r="N32" s="465" t="s">
        <v>839</v>
      </c>
      <c r="O32" s="467" t="s">
        <v>840</v>
      </c>
    </row>
    <row r="33" spans="1:15" s="458" customFormat="1" x14ac:dyDescent="0.35">
      <c r="A33" s="304" t="str">
        <f t="shared" si="0"/>
        <v>Residential_Community LED Distribution_All Measures</v>
      </c>
      <c r="B33" s="455" t="s">
        <v>78</v>
      </c>
      <c r="C33" s="468" t="s">
        <v>1304</v>
      </c>
      <c r="D33" s="459" t="s">
        <v>1283</v>
      </c>
      <c r="E33" s="460">
        <f>1-F33+G33+H33</f>
        <v>1</v>
      </c>
      <c r="F33" s="462">
        <v>0</v>
      </c>
      <c r="G33" s="460">
        <v>0</v>
      </c>
      <c r="H33" s="460">
        <v>0</v>
      </c>
      <c r="I33" s="464" t="s">
        <v>1305</v>
      </c>
      <c r="J33" s="460" t="s">
        <v>820</v>
      </c>
      <c r="K33" s="460" t="s">
        <v>820</v>
      </c>
      <c r="L33" s="460" t="s">
        <v>820</v>
      </c>
      <c r="M33" s="460" t="s">
        <v>820</v>
      </c>
      <c r="N33" s="464" t="s">
        <v>820</v>
      </c>
      <c r="O33" s="466" t="s">
        <v>1285</v>
      </c>
    </row>
    <row r="34" spans="1:15" s="458" customFormat="1" x14ac:dyDescent="0.35">
      <c r="A34" s="304" t="str">
        <f t="shared" si="0"/>
        <v>Residential_Elementary Education Kits_LEDs</v>
      </c>
      <c r="B34" s="455" t="s">
        <v>78</v>
      </c>
      <c r="C34" s="455" t="s">
        <v>1306</v>
      </c>
      <c r="D34" s="455" t="s">
        <v>1307</v>
      </c>
      <c r="E34" s="456">
        <v>0.83000000000000007</v>
      </c>
      <c r="F34" s="457">
        <v>0.43</v>
      </c>
      <c r="G34" s="457">
        <v>0.26</v>
      </c>
      <c r="H34" s="457"/>
      <c r="I34" s="455" t="s">
        <v>1308</v>
      </c>
      <c r="J34" s="456" t="s">
        <v>820</v>
      </c>
      <c r="K34" s="456" t="s">
        <v>820</v>
      </c>
      <c r="L34" s="456" t="s">
        <v>820</v>
      </c>
      <c r="M34" s="456" t="s">
        <v>820</v>
      </c>
      <c r="N34" s="455" t="s">
        <v>820</v>
      </c>
      <c r="O34" s="469" t="s">
        <v>1309</v>
      </c>
    </row>
    <row r="35" spans="1:15" s="458" customFormat="1" x14ac:dyDescent="0.35">
      <c r="A35" s="304" t="str">
        <f t="shared" si="0"/>
        <v>Residential_Elementary Education Kits_Showerheads</v>
      </c>
      <c r="B35" s="455" t="s">
        <v>78</v>
      </c>
      <c r="C35" s="455" t="s">
        <v>1306</v>
      </c>
      <c r="D35" s="455" t="s">
        <v>861</v>
      </c>
      <c r="E35" s="456">
        <v>1.05</v>
      </c>
      <c r="F35" s="457">
        <v>0.15</v>
      </c>
      <c r="G35" s="457">
        <v>0.2</v>
      </c>
      <c r="H35" s="457"/>
      <c r="I35" s="455" t="s">
        <v>1308</v>
      </c>
      <c r="J35" s="456">
        <v>1.05</v>
      </c>
      <c r="K35" s="456">
        <v>0.15</v>
      </c>
      <c r="L35" s="456">
        <v>0.2</v>
      </c>
      <c r="M35" s="456"/>
      <c r="N35" s="455" t="s">
        <v>1308</v>
      </c>
      <c r="O35" s="455" t="s">
        <v>1309</v>
      </c>
    </row>
    <row r="36" spans="1:15" s="458" customFormat="1" x14ac:dyDescent="0.35">
      <c r="A36" s="304" t="str">
        <f t="shared" si="0"/>
        <v>Residential_Elementary Education Kits_Faucet Aerators</v>
      </c>
      <c r="B36" s="455" t="s">
        <v>78</v>
      </c>
      <c r="C36" s="455" t="s">
        <v>1306</v>
      </c>
      <c r="D36" s="455" t="s">
        <v>860</v>
      </c>
      <c r="E36" s="456">
        <v>1.04</v>
      </c>
      <c r="F36" s="457">
        <v>0.13</v>
      </c>
      <c r="G36" s="457">
        <v>0.17</v>
      </c>
      <c r="H36" s="457"/>
      <c r="I36" s="455" t="s">
        <v>1308</v>
      </c>
      <c r="J36" s="456">
        <v>1.04</v>
      </c>
      <c r="K36" s="456">
        <v>0.13</v>
      </c>
      <c r="L36" s="456">
        <v>0.17</v>
      </c>
      <c r="M36" s="456"/>
      <c r="N36" s="455" t="s">
        <v>1308</v>
      </c>
      <c r="O36" s="455" t="s">
        <v>1309</v>
      </c>
    </row>
    <row r="37" spans="1:15" s="458" customFormat="1" x14ac:dyDescent="0.35">
      <c r="A37" s="304" t="str">
        <f t="shared" si="0"/>
        <v>Residential_Elementary Education Kits_Water Heater Setback</v>
      </c>
      <c r="B37" s="455" t="s">
        <v>78</v>
      </c>
      <c r="C37" s="455" t="s">
        <v>1306</v>
      </c>
      <c r="D37" s="455" t="s">
        <v>865</v>
      </c>
      <c r="E37" s="456">
        <v>1</v>
      </c>
      <c r="F37" s="457">
        <v>0</v>
      </c>
      <c r="G37" s="457">
        <v>0</v>
      </c>
      <c r="H37" s="457"/>
      <c r="I37" s="455" t="s">
        <v>1310</v>
      </c>
      <c r="J37" s="456">
        <v>1</v>
      </c>
      <c r="K37" s="456">
        <v>0</v>
      </c>
      <c r="L37" s="456">
        <v>0</v>
      </c>
      <c r="M37" s="456"/>
      <c r="N37" s="455" t="s">
        <v>1310</v>
      </c>
      <c r="O37" s="455" t="s">
        <v>867</v>
      </c>
    </row>
    <row r="38" spans="1:15" s="458" customFormat="1" x14ac:dyDescent="0.35">
      <c r="A38" s="304" t="str">
        <f t="shared" si="0"/>
        <v>Residential_Elementary Education Kits_Other Non-Lighting Measures</v>
      </c>
      <c r="B38" s="455" t="s">
        <v>78</v>
      </c>
      <c r="C38" s="455" t="s">
        <v>1306</v>
      </c>
      <c r="D38" s="455" t="s">
        <v>1311</v>
      </c>
      <c r="E38" s="456">
        <v>1</v>
      </c>
      <c r="F38" s="457">
        <v>0</v>
      </c>
      <c r="G38" s="457">
        <v>0</v>
      </c>
      <c r="H38" s="457"/>
      <c r="I38" s="455" t="s">
        <v>1310</v>
      </c>
      <c r="J38" s="456">
        <v>1</v>
      </c>
      <c r="K38" s="456">
        <v>0</v>
      </c>
      <c r="L38" s="456">
        <v>0</v>
      </c>
      <c r="M38" s="456"/>
      <c r="N38" s="455" t="s">
        <v>1310</v>
      </c>
      <c r="O38" s="455" t="s">
        <v>1312</v>
      </c>
    </row>
    <row r="39" spans="1:15" s="458" customFormat="1" x14ac:dyDescent="0.35">
      <c r="A39" s="304" t="str">
        <f t="shared" si="0"/>
        <v>Residential_ENERGY STAR New Homes_Single-Family Homes</v>
      </c>
      <c r="B39" s="455" t="s">
        <v>78</v>
      </c>
      <c r="C39" s="455" t="s">
        <v>841</v>
      </c>
      <c r="D39" s="470" t="s">
        <v>842</v>
      </c>
      <c r="E39" s="456">
        <f t="shared" ref="E39:E51" si="5">1-F39+G39+H39</f>
        <v>1.0029999999999999</v>
      </c>
      <c r="F39" s="457">
        <v>0</v>
      </c>
      <c r="G39" s="457">
        <v>3.0000000000000001E-3</v>
      </c>
      <c r="H39" s="457"/>
      <c r="I39" s="455" t="s">
        <v>812</v>
      </c>
      <c r="J39" s="456">
        <f>1-K39+L39+M39</f>
        <v>1.006</v>
      </c>
      <c r="K39" s="457">
        <v>6.0000000000000001E-3</v>
      </c>
      <c r="L39" s="457">
        <v>1.2E-2</v>
      </c>
      <c r="M39" s="471"/>
      <c r="N39" s="455" t="s">
        <v>812</v>
      </c>
      <c r="O39" s="455" t="s">
        <v>813</v>
      </c>
    </row>
    <row r="40" spans="1:15" s="473" customFormat="1" x14ac:dyDescent="0.35">
      <c r="A40" s="304" t="str">
        <f t="shared" si="0"/>
        <v>Residential_Home Efficiency Income Qualified_All Measures</v>
      </c>
      <c r="B40" s="455" t="s">
        <v>78</v>
      </c>
      <c r="C40" s="455" t="s">
        <v>1313</v>
      </c>
      <c r="D40" s="455" t="s">
        <v>1283</v>
      </c>
      <c r="E40" s="456">
        <f t="shared" si="5"/>
        <v>1</v>
      </c>
      <c r="F40" s="457">
        <v>0</v>
      </c>
      <c r="G40" s="457">
        <v>0</v>
      </c>
      <c r="H40" s="457"/>
      <c r="I40" s="472" t="s">
        <v>857</v>
      </c>
      <c r="J40" s="456">
        <f>1-K40+L40+M40</f>
        <v>1</v>
      </c>
      <c r="K40" s="457">
        <v>0</v>
      </c>
      <c r="L40" s="457">
        <v>0</v>
      </c>
      <c r="M40" s="457">
        <v>0</v>
      </c>
      <c r="N40" s="455" t="s">
        <v>857</v>
      </c>
      <c r="O40" s="455" t="s">
        <v>858</v>
      </c>
    </row>
    <row r="41" spans="1:15" s="458" customFormat="1" x14ac:dyDescent="0.35">
      <c r="A41" s="304" t="str">
        <f t="shared" si="0"/>
        <v>Residential_Home Efficiency Program - Standard_CFL</v>
      </c>
      <c r="B41" s="455" t="s">
        <v>78</v>
      </c>
      <c r="C41" s="455" t="s">
        <v>1314</v>
      </c>
      <c r="D41" s="455" t="s">
        <v>843</v>
      </c>
      <c r="E41" s="456">
        <f t="shared" si="5"/>
        <v>0.82360007322229167</v>
      </c>
      <c r="F41" s="457">
        <v>0.18622151177104762</v>
      </c>
      <c r="G41" s="457">
        <v>9.8215849933393096E-3</v>
      </c>
      <c r="H41" s="457"/>
      <c r="I41" s="455" t="s">
        <v>812</v>
      </c>
      <c r="J41" s="456" t="s">
        <v>820</v>
      </c>
      <c r="K41" s="456" t="s">
        <v>820</v>
      </c>
      <c r="L41" s="456" t="s">
        <v>820</v>
      </c>
      <c r="M41" s="457">
        <v>0</v>
      </c>
      <c r="N41" s="455" t="s">
        <v>820</v>
      </c>
      <c r="O41" s="455" t="s">
        <v>813</v>
      </c>
    </row>
    <row r="42" spans="1:15" s="458" customFormat="1" x14ac:dyDescent="0.35">
      <c r="A42" s="304" t="str">
        <f t="shared" si="0"/>
        <v>Residential_Home Efficiency Program - Standard_Faucet Aerator</v>
      </c>
      <c r="B42" s="455" t="s">
        <v>78</v>
      </c>
      <c r="C42" s="455" t="s">
        <v>1314</v>
      </c>
      <c r="D42" s="455" t="s">
        <v>844</v>
      </c>
      <c r="E42" s="456">
        <f t="shared" si="5"/>
        <v>0.91935729915239384</v>
      </c>
      <c r="F42" s="457">
        <v>9.0464285840945458E-2</v>
      </c>
      <c r="G42" s="457">
        <v>9.8215849933393096E-3</v>
      </c>
      <c r="H42" s="457"/>
      <c r="I42" s="455" t="s">
        <v>812</v>
      </c>
      <c r="J42" s="456">
        <f>1-K42+L42+M42</f>
        <v>0.94028118777562486</v>
      </c>
      <c r="K42" s="457">
        <v>8.4204919880531137E-2</v>
      </c>
      <c r="L42" s="457">
        <v>2.4486107656156043E-2</v>
      </c>
      <c r="M42" s="457">
        <v>0</v>
      </c>
      <c r="N42" s="455" t="s">
        <v>812</v>
      </c>
      <c r="O42" s="455" t="s">
        <v>813</v>
      </c>
    </row>
    <row r="43" spans="1:15" s="458" customFormat="1" x14ac:dyDescent="0.35">
      <c r="A43" s="304" t="str">
        <f t="shared" si="0"/>
        <v>Residential_Home Efficiency Program - Standard_Showerhead</v>
      </c>
      <c r="B43" s="455" t="s">
        <v>78</v>
      </c>
      <c r="C43" s="455" t="s">
        <v>1314</v>
      </c>
      <c r="D43" s="455" t="s">
        <v>845</v>
      </c>
      <c r="E43" s="456">
        <f t="shared" si="5"/>
        <v>0.85547543056374764</v>
      </c>
      <c r="F43" s="457">
        <v>0.15434615442959165</v>
      </c>
      <c r="G43" s="457">
        <v>9.8215849933393096E-3</v>
      </c>
      <c r="H43" s="457"/>
      <c r="I43" s="455" t="s">
        <v>812</v>
      </c>
      <c r="J43" s="456">
        <f>1-K43+L43+M43</f>
        <v>0.91455839584977283</v>
      </c>
      <c r="K43" s="457">
        <v>0.10992771180638317</v>
      </c>
      <c r="L43" s="457">
        <v>2.4486107656156043E-2</v>
      </c>
      <c r="M43" s="457">
        <v>0</v>
      </c>
      <c r="N43" s="455" t="s">
        <v>812</v>
      </c>
      <c r="O43" s="455" t="s">
        <v>813</v>
      </c>
    </row>
    <row r="44" spans="1:15" s="458" customFormat="1" x14ac:dyDescent="0.35">
      <c r="A44" s="304" t="str">
        <f t="shared" si="0"/>
        <v>Residential_Home Efficiency Program - Standard_Air Sealing</v>
      </c>
      <c r="B44" s="455" t="s">
        <v>78</v>
      </c>
      <c r="C44" s="455" t="s">
        <v>1314</v>
      </c>
      <c r="D44" s="455" t="s">
        <v>711</v>
      </c>
      <c r="E44" s="456">
        <f t="shared" si="5"/>
        <v>0.71463313235638337</v>
      </c>
      <c r="F44" s="457">
        <v>0.29518845263695592</v>
      </c>
      <c r="G44" s="457">
        <v>9.8215849933393096E-3</v>
      </c>
      <c r="H44" s="457"/>
      <c r="I44" s="455" t="s">
        <v>812</v>
      </c>
      <c r="J44" s="456">
        <f>1-K44+L44+M44</f>
        <v>0.7220189925402456</v>
      </c>
      <c r="K44" s="457">
        <v>0.3024671151159104</v>
      </c>
      <c r="L44" s="457">
        <v>2.4486107656156043E-2</v>
      </c>
      <c r="M44" s="457">
        <v>0</v>
      </c>
      <c r="N44" s="455" t="s">
        <v>812</v>
      </c>
      <c r="O44" s="455" t="s">
        <v>813</v>
      </c>
    </row>
    <row r="45" spans="1:15" s="458" customFormat="1" x14ac:dyDescent="0.35">
      <c r="A45" s="304" t="str">
        <f t="shared" si="0"/>
        <v>Residential_Home Efficiency Program - Standard_Insulation</v>
      </c>
      <c r="B45" s="455" t="s">
        <v>78</v>
      </c>
      <c r="C45" s="455" t="s">
        <v>1314</v>
      </c>
      <c r="D45" s="455" t="s">
        <v>847</v>
      </c>
      <c r="E45" s="456">
        <f t="shared" si="5"/>
        <v>0.78291458982023732</v>
      </c>
      <c r="F45" s="457">
        <v>0.22690699517310201</v>
      </c>
      <c r="G45" s="457">
        <v>9.8215849933393096E-3</v>
      </c>
      <c r="H45" s="457"/>
      <c r="I45" s="455" t="s">
        <v>812</v>
      </c>
      <c r="J45" s="456">
        <f>1-K45+L45+M45</f>
        <v>0.78233374459520622</v>
      </c>
      <c r="K45" s="457">
        <v>0.24215236306094978</v>
      </c>
      <c r="L45" s="457">
        <v>2.4486107656156043E-2</v>
      </c>
      <c r="M45" s="457">
        <v>0</v>
      </c>
      <c r="N45" s="455" t="s">
        <v>812</v>
      </c>
      <c r="O45" s="455" t="s">
        <v>813</v>
      </c>
    </row>
    <row r="46" spans="1:15" s="458" customFormat="1" x14ac:dyDescent="0.35">
      <c r="A46" s="304" t="str">
        <f t="shared" si="0"/>
        <v>Residential_Home Efficiency Program - Standard_Thermostat</v>
      </c>
      <c r="B46" s="455" t="s">
        <v>78</v>
      </c>
      <c r="C46" s="455" t="s">
        <v>1314</v>
      </c>
      <c r="D46" s="455" t="s">
        <v>848</v>
      </c>
      <c r="E46" s="456">
        <f t="shared" si="5"/>
        <v>0.87</v>
      </c>
      <c r="F46" s="457">
        <v>0.13</v>
      </c>
      <c r="G46" s="457">
        <v>0</v>
      </c>
      <c r="H46" s="457"/>
      <c r="I46" s="455" t="s">
        <v>849</v>
      </c>
      <c r="J46" s="456">
        <f>1-K46+L46+M46</f>
        <v>0.87</v>
      </c>
      <c r="K46" s="457">
        <v>0.13</v>
      </c>
      <c r="L46" s="457">
        <v>0</v>
      </c>
      <c r="M46" s="457">
        <v>0</v>
      </c>
      <c r="N46" s="455" t="s">
        <v>849</v>
      </c>
      <c r="O46" s="455" t="s">
        <v>850</v>
      </c>
    </row>
    <row r="47" spans="1:15" s="458" customFormat="1" x14ac:dyDescent="0.35">
      <c r="A47" s="304" t="str">
        <f t="shared" si="0"/>
        <v>Residential_HVAC_&lt;SEER 16 CAC/HP (RB)</v>
      </c>
      <c r="B47" s="455" t="s">
        <v>78</v>
      </c>
      <c r="C47" s="455" t="s">
        <v>20</v>
      </c>
      <c r="D47" s="455" t="s">
        <v>851</v>
      </c>
      <c r="E47" s="456">
        <f t="shared" si="5"/>
        <v>0.60099999999999998</v>
      </c>
      <c r="F47" s="457">
        <v>0.62</v>
      </c>
      <c r="G47" s="474">
        <v>1E-3</v>
      </c>
      <c r="H47" s="457">
        <v>0.22</v>
      </c>
      <c r="I47" s="455" t="s">
        <v>852</v>
      </c>
      <c r="J47" s="456" t="s">
        <v>820</v>
      </c>
      <c r="K47" s="456" t="s">
        <v>820</v>
      </c>
      <c r="L47" s="456" t="s">
        <v>820</v>
      </c>
      <c r="M47" s="456" t="s">
        <v>820</v>
      </c>
      <c r="N47" s="455" t="s">
        <v>820</v>
      </c>
      <c r="O47" s="455" t="s">
        <v>813</v>
      </c>
    </row>
    <row r="48" spans="1:15" s="458" customFormat="1" x14ac:dyDescent="0.35">
      <c r="A48" s="304" t="str">
        <f t="shared" si="0"/>
        <v>Residential_HVAC_SEER 16+ CAC/HP (RB)</v>
      </c>
      <c r="B48" s="455" t="s">
        <v>78</v>
      </c>
      <c r="C48" s="455" t="s">
        <v>20</v>
      </c>
      <c r="D48" s="455" t="s">
        <v>853</v>
      </c>
      <c r="E48" s="456">
        <f t="shared" si="5"/>
        <v>0.64100000000000001</v>
      </c>
      <c r="F48" s="457">
        <v>0.57999999999999996</v>
      </c>
      <c r="G48" s="474">
        <v>1E-3</v>
      </c>
      <c r="H48" s="457">
        <v>0.22</v>
      </c>
      <c r="I48" s="455" t="s">
        <v>852</v>
      </c>
      <c r="J48" s="456" t="s">
        <v>820</v>
      </c>
      <c r="K48" s="456" t="s">
        <v>820</v>
      </c>
      <c r="L48" s="456" t="s">
        <v>820</v>
      </c>
      <c r="M48" s="456" t="s">
        <v>820</v>
      </c>
      <c r="N48" s="455" t="s">
        <v>820</v>
      </c>
      <c r="O48" s="455" t="s">
        <v>813</v>
      </c>
    </row>
    <row r="49" spans="1:15" s="458" customFormat="1" x14ac:dyDescent="0.35">
      <c r="A49" s="304" t="str">
        <f t="shared" si="0"/>
        <v>Residential_HVAC_&lt;SEER 16 CAC/HP (ER)</v>
      </c>
      <c r="B49" s="455" t="s">
        <v>78</v>
      </c>
      <c r="C49" s="455" t="s">
        <v>20</v>
      </c>
      <c r="D49" s="455" t="s">
        <v>854</v>
      </c>
      <c r="E49" s="456">
        <f t="shared" si="5"/>
        <v>0.63100000000000001</v>
      </c>
      <c r="F49" s="457">
        <v>0.59</v>
      </c>
      <c r="G49" s="474">
        <v>1E-3</v>
      </c>
      <c r="H49" s="457">
        <v>0.22</v>
      </c>
      <c r="I49" s="455" t="s">
        <v>852</v>
      </c>
      <c r="J49" s="456" t="s">
        <v>820</v>
      </c>
      <c r="K49" s="456" t="s">
        <v>820</v>
      </c>
      <c r="L49" s="456" t="s">
        <v>820</v>
      </c>
      <c r="M49" s="456" t="s">
        <v>820</v>
      </c>
      <c r="N49" s="455" t="s">
        <v>820</v>
      </c>
      <c r="O49" s="455" t="s">
        <v>813</v>
      </c>
    </row>
    <row r="50" spans="1:15" s="458" customFormat="1" x14ac:dyDescent="0.35">
      <c r="A50" s="304" t="str">
        <f t="shared" si="0"/>
        <v>Residential_HVAC_SEER 16+ CAC/HP (ER)</v>
      </c>
      <c r="B50" s="455" t="s">
        <v>78</v>
      </c>
      <c r="C50" s="455" t="s">
        <v>20</v>
      </c>
      <c r="D50" s="455" t="s">
        <v>855</v>
      </c>
      <c r="E50" s="456">
        <f t="shared" si="5"/>
        <v>0.76100000000000001</v>
      </c>
      <c r="F50" s="457">
        <v>0.46</v>
      </c>
      <c r="G50" s="474">
        <v>1E-3</v>
      </c>
      <c r="H50" s="457">
        <v>0.22</v>
      </c>
      <c r="I50" s="455" t="s">
        <v>852</v>
      </c>
      <c r="J50" s="456" t="s">
        <v>820</v>
      </c>
      <c r="K50" s="456" t="s">
        <v>820</v>
      </c>
      <c r="L50" s="456" t="s">
        <v>820</v>
      </c>
      <c r="M50" s="456" t="s">
        <v>820</v>
      </c>
      <c r="N50" s="455" t="s">
        <v>820</v>
      </c>
      <c r="O50" s="455" t="s">
        <v>813</v>
      </c>
    </row>
    <row r="51" spans="1:15" s="458" customFormat="1" x14ac:dyDescent="0.35">
      <c r="A51" s="304" t="str">
        <f t="shared" si="0"/>
        <v>Residential_HVAC_Brushless Motors</v>
      </c>
      <c r="B51" s="455" t="s">
        <v>78</v>
      </c>
      <c r="C51" s="455" t="s">
        <v>20</v>
      </c>
      <c r="D51" s="455" t="s">
        <v>856</v>
      </c>
      <c r="E51" s="456">
        <f t="shared" si="5"/>
        <v>0.76100000000000001</v>
      </c>
      <c r="F51" s="457">
        <v>0.46</v>
      </c>
      <c r="G51" s="474">
        <v>1E-3</v>
      </c>
      <c r="H51" s="457">
        <v>0.22</v>
      </c>
      <c r="I51" s="455" t="s">
        <v>852</v>
      </c>
      <c r="J51" s="456" t="s">
        <v>820</v>
      </c>
      <c r="K51" s="456" t="s">
        <v>820</v>
      </c>
      <c r="L51" s="456" t="s">
        <v>820</v>
      </c>
      <c r="M51" s="456" t="s">
        <v>820</v>
      </c>
      <c r="N51" s="455" t="s">
        <v>820</v>
      </c>
      <c r="O51" s="455" t="s">
        <v>813</v>
      </c>
    </row>
    <row r="52" spans="1:15" s="458" customFormat="1" x14ac:dyDescent="0.35">
      <c r="A52" s="304" t="str">
        <f t="shared" si="0"/>
        <v>Residential_LED Awareness Kits_LEDs</v>
      </c>
      <c r="B52" s="455" t="s">
        <v>78</v>
      </c>
      <c r="C52" s="455" t="s">
        <v>1315</v>
      </c>
      <c r="D52" s="455" t="s">
        <v>1307</v>
      </c>
      <c r="E52" s="456">
        <v>0.85</v>
      </c>
      <c r="F52" s="457"/>
      <c r="G52" s="457"/>
      <c r="H52" s="457"/>
      <c r="I52" s="455" t="s">
        <v>1316</v>
      </c>
      <c r="J52" s="456" t="s">
        <v>820</v>
      </c>
      <c r="K52" s="456" t="s">
        <v>820</v>
      </c>
      <c r="L52" s="456" t="s">
        <v>820</v>
      </c>
      <c r="M52" s="456" t="s">
        <v>820</v>
      </c>
      <c r="N52" s="455" t="s">
        <v>820</v>
      </c>
      <c r="O52" s="455" t="s">
        <v>1317</v>
      </c>
    </row>
    <row r="53" spans="1:15" s="458" customFormat="1" x14ac:dyDescent="0.35">
      <c r="A53" s="304" t="str">
        <f t="shared" si="0"/>
        <v>Residential_Lighting  _All CFLs</v>
      </c>
      <c r="B53" s="455" t="s">
        <v>78</v>
      </c>
      <c r="C53" s="468" t="s">
        <v>1318</v>
      </c>
      <c r="D53" s="459" t="s">
        <v>1319</v>
      </c>
      <c r="E53" s="460">
        <f>1-F53+G53+H53</f>
        <v>0.63</v>
      </c>
      <c r="F53" s="462">
        <v>0.38</v>
      </c>
      <c r="G53" s="462">
        <v>0</v>
      </c>
      <c r="H53" s="462">
        <v>0.01</v>
      </c>
      <c r="I53" s="464" t="s">
        <v>1320</v>
      </c>
      <c r="J53" s="460" t="s">
        <v>820</v>
      </c>
      <c r="K53" s="460" t="s">
        <v>820</v>
      </c>
      <c r="L53" s="460" t="s">
        <v>820</v>
      </c>
      <c r="M53" s="460" t="s">
        <v>820</v>
      </c>
      <c r="N53" s="464" t="s">
        <v>820</v>
      </c>
      <c r="O53" s="464" t="s">
        <v>813</v>
      </c>
    </row>
    <row r="54" spans="1:15" s="458" customFormat="1" x14ac:dyDescent="0.35">
      <c r="A54" s="304" t="str">
        <f t="shared" si="0"/>
        <v>Residential_Lighting  _All LEDs</v>
      </c>
      <c r="B54" s="455" t="s">
        <v>78</v>
      </c>
      <c r="C54" s="468" t="s">
        <v>1318</v>
      </c>
      <c r="D54" s="459" t="s">
        <v>1321</v>
      </c>
      <c r="E54" s="460">
        <f>1-F54+G54+H54</f>
        <v>0.7</v>
      </c>
      <c r="F54" s="462">
        <v>0.38</v>
      </c>
      <c r="G54" s="460">
        <v>0</v>
      </c>
      <c r="H54" s="460">
        <v>0.08</v>
      </c>
      <c r="I54" s="464" t="s">
        <v>1320</v>
      </c>
      <c r="J54" s="460" t="s">
        <v>820</v>
      </c>
      <c r="K54" s="460" t="s">
        <v>820</v>
      </c>
      <c r="L54" s="460" t="s">
        <v>820</v>
      </c>
      <c r="M54" s="460" t="s">
        <v>820</v>
      </c>
      <c r="N54" s="464" t="s">
        <v>820</v>
      </c>
      <c r="O54" s="464" t="s">
        <v>813</v>
      </c>
    </row>
    <row r="55" spans="1:15" s="458" customFormat="1" x14ac:dyDescent="0.35">
      <c r="A55" s="304" t="str">
        <f t="shared" si="0"/>
        <v>Residential_Low Income Multifamily _All Measures</v>
      </c>
      <c r="B55" s="455" t="s">
        <v>78</v>
      </c>
      <c r="C55" s="455" t="s">
        <v>1322</v>
      </c>
      <c r="D55" s="459" t="s">
        <v>1283</v>
      </c>
      <c r="E55" s="456">
        <v>1</v>
      </c>
      <c r="F55" s="456"/>
      <c r="G55" s="456"/>
      <c r="H55" s="456"/>
      <c r="I55" s="465" t="s">
        <v>1323</v>
      </c>
      <c r="J55" s="456" t="s">
        <v>820</v>
      </c>
      <c r="K55" s="456" t="s">
        <v>820</v>
      </c>
      <c r="L55" s="456" t="s">
        <v>820</v>
      </c>
      <c r="M55" s="456" t="s">
        <v>820</v>
      </c>
      <c r="N55" s="465" t="s">
        <v>839</v>
      </c>
      <c r="O55" s="455" t="s">
        <v>1324</v>
      </c>
    </row>
    <row r="56" spans="1:15" s="458" customFormat="1" x14ac:dyDescent="0.35">
      <c r="A56" s="304" t="str">
        <f t="shared" si="0"/>
        <v>Residential_Moderate Income Kits_All Measures</v>
      </c>
      <c r="B56" s="455" t="s">
        <v>78</v>
      </c>
      <c r="C56" s="468" t="s">
        <v>1325</v>
      </c>
      <c r="D56" s="459" t="s">
        <v>1283</v>
      </c>
      <c r="E56" s="460">
        <f t="shared" ref="E56:E63" si="6">1-F56+G56+H56</f>
        <v>1</v>
      </c>
      <c r="F56" s="462">
        <v>0</v>
      </c>
      <c r="G56" s="462">
        <v>0</v>
      </c>
      <c r="H56" s="462"/>
      <c r="I56" s="465" t="s">
        <v>1323</v>
      </c>
      <c r="J56" s="460">
        <v>1</v>
      </c>
      <c r="K56" s="462">
        <v>0</v>
      </c>
      <c r="L56" s="462">
        <v>0</v>
      </c>
      <c r="M56" s="462"/>
      <c r="N56" s="459" t="s">
        <v>857</v>
      </c>
      <c r="O56" s="475" t="s">
        <v>1326</v>
      </c>
    </row>
    <row r="57" spans="1:15" s="458" customFormat="1" x14ac:dyDescent="0.35">
      <c r="A57" s="304" t="str">
        <f t="shared" si="0"/>
        <v>Residential_Multifamily _LEDs (In-Unit)</v>
      </c>
      <c r="B57" s="455" t="s">
        <v>78</v>
      </c>
      <c r="C57" s="455" t="s">
        <v>1327</v>
      </c>
      <c r="D57" s="455" t="s">
        <v>1328</v>
      </c>
      <c r="E57" s="456">
        <f t="shared" si="6"/>
        <v>0.77339999999999998</v>
      </c>
      <c r="F57" s="457">
        <f>1-0.768</f>
        <v>0.23199999999999998</v>
      </c>
      <c r="G57" s="457">
        <v>5.4000000000000003E-3</v>
      </c>
      <c r="H57" s="457"/>
      <c r="I57" s="455" t="s">
        <v>1329</v>
      </c>
      <c r="J57" s="456" t="s">
        <v>820</v>
      </c>
      <c r="K57" s="456" t="s">
        <v>820</v>
      </c>
      <c r="L57" s="456" t="s">
        <v>820</v>
      </c>
      <c r="M57" s="460" t="s">
        <v>820</v>
      </c>
      <c r="N57" s="459" t="s">
        <v>820</v>
      </c>
      <c r="O57" s="455" t="s">
        <v>1330</v>
      </c>
    </row>
    <row r="58" spans="1:15" s="458" customFormat="1" x14ac:dyDescent="0.35">
      <c r="A58" s="304" t="str">
        <f t="shared" si="0"/>
        <v>Residential_Multifamily _Programmable Thermostat (In-Unit)</v>
      </c>
      <c r="B58" s="455" t="s">
        <v>78</v>
      </c>
      <c r="C58" s="455" t="s">
        <v>1327</v>
      </c>
      <c r="D58" s="455" t="s">
        <v>1331</v>
      </c>
      <c r="E58" s="456">
        <f t="shared" si="6"/>
        <v>0.79400000000000004</v>
      </c>
      <c r="F58" s="457">
        <v>0.21</v>
      </c>
      <c r="G58" s="457">
        <v>4.0000000000000001E-3</v>
      </c>
      <c r="H58" s="457"/>
      <c r="I58" s="455" t="s">
        <v>1294</v>
      </c>
      <c r="J58" s="456">
        <f>1-K58+L58+M58</f>
        <v>1</v>
      </c>
      <c r="K58" s="457">
        <v>0</v>
      </c>
      <c r="L58" s="476">
        <v>0</v>
      </c>
      <c r="M58" s="471"/>
      <c r="N58" s="455" t="s">
        <v>1294</v>
      </c>
      <c r="O58" s="455" t="s">
        <v>813</v>
      </c>
    </row>
    <row r="59" spans="1:15" s="458" customFormat="1" x14ac:dyDescent="0.35">
      <c r="A59" s="304" t="str">
        <f t="shared" si="0"/>
        <v>Residential_Multifamily _Faucet Aerators (In-Unit)</v>
      </c>
      <c r="B59" s="455" t="s">
        <v>78</v>
      </c>
      <c r="C59" s="455" t="s">
        <v>1327</v>
      </c>
      <c r="D59" s="455" t="s">
        <v>1332</v>
      </c>
      <c r="E59" s="456">
        <f t="shared" si="6"/>
        <v>0.79400000000000004</v>
      </c>
      <c r="F59" s="457">
        <v>0.21</v>
      </c>
      <c r="G59" s="457">
        <v>4.0000000000000001E-3</v>
      </c>
      <c r="H59" s="457"/>
      <c r="I59" s="455" t="s">
        <v>1294</v>
      </c>
      <c r="J59" s="456">
        <f>1-K59+L59+M59</f>
        <v>1</v>
      </c>
      <c r="K59" s="457">
        <v>0</v>
      </c>
      <c r="L59" s="476">
        <v>0</v>
      </c>
      <c r="M59" s="471"/>
      <c r="N59" s="455" t="s">
        <v>1294</v>
      </c>
      <c r="O59" s="467" t="s">
        <v>813</v>
      </c>
    </row>
    <row r="60" spans="1:15" s="458" customFormat="1" x14ac:dyDescent="0.35">
      <c r="A60" s="304" t="str">
        <f t="shared" si="0"/>
        <v>Residential_Multifamily _Showerheads (In-Unit)</v>
      </c>
      <c r="B60" s="455" t="s">
        <v>78</v>
      </c>
      <c r="C60" s="455" t="s">
        <v>1327</v>
      </c>
      <c r="D60" s="455" t="s">
        <v>1333</v>
      </c>
      <c r="E60" s="456">
        <f t="shared" si="6"/>
        <v>0.79400000000000004</v>
      </c>
      <c r="F60" s="457">
        <v>0.21</v>
      </c>
      <c r="G60" s="457">
        <v>4.0000000000000001E-3</v>
      </c>
      <c r="H60" s="457"/>
      <c r="I60" s="455" t="s">
        <v>1294</v>
      </c>
      <c r="J60" s="456">
        <f>1-K60+L60+M60</f>
        <v>1</v>
      </c>
      <c r="K60" s="457">
        <v>0</v>
      </c>
      <c r="L60" s="476">
        <v>0</v>
      </c>
      <c r="M60" s="471"/>
      <c r="N60" s="455" t="s">
        <v>1294</v>
      </c>
      <c r="O60" s="467" t="s">
        <v>813</v>
      </c>
    </row>
    <row r="61" spans="1:15" s="458" customFormat="1" x14ac:dyDescent="0.35">
      <c r="A61" s="304" t="str">
        <f t="shared" si="0"/>
        <v>Residential_Multifamily _Insulation</v>
      </c>
      <c r="B61" s="455" t="s">
        <v>78</v>
      </c>
      <c r="C61" s="455" t="s">
        <v>1327</v>
      </c>
      <c r="D61" s="459" t="s">
        <v>847</v>
      </c>
      <c r="E61" s="456">
        <f t="shared" si="6"/>
        <v>0.85899999999999999</v>
      </c>
      <c r="F61" s="457">
        <v>0.14499999999999999</v>
      </c>
      <c r="G61" s="457">
        <v>4.0000000000000001E-3</v>
      </c>
      <c r="H61" s="457"/>
      <c r="I61" s="455" t="s">
        <v>1294</v>
      </c>
      <c r="J61" s="456">
        <f>1-K61+L61+M61</f>
        <v>0.70700000000000007</v>
      </c>
      <c r="K61" s="457">
        <v>0.29299999999999998</v>
      </c>
      <c r="L61" s="476">
        <v>0</v>
      </c>
      <c r="M61" s="471"/>
      <c r="N61" s="455" t="s">
        <v>1294</v>
      </c>
      <c r="O61" s="467" t="s">
        <v>813</v>
      </c>
    </row>
    <row r="62" spans="1:15" s="458" customFormat="1" ht="13.5" customHeight="1" x14ac:dyDescent="0.35">
      <c r="A62" s="304" t="str">
        <f t="shared" si="0"/>
        <v>Residential_Multifamily _Air sealing</v>
      </c>
      <c r="B62" s="455" t="s">
        <v>78</v>
      </c>
      <c r="C62" s="455" t="s">
        <v>1327</v>
      </c>
      <c r="D62" s="459" t="s">
        <v>846</v>
      </c>
      <c r="E62" s="456">
        <f t="shared" si="6"/>
        <v>0.86099999999999999</v>
      </c>
      <c r="F62" s="457">
        <v>0.14299999999999999</v>
      </c>
      <c r="G62" s="457">
        <v>4.0000000000000001E-3</v>
      </c>
      <c r="H62" s="457"/>
      <c r="I62" s="455" t="s">
        <v>1294</v>
      </c>
      <c r="J62" s="456">
        <f>1-K62+L62+M62</f>
        <v>0.8</v>
      </c>
      <c r="K62" s="457">
        <v>0.2</v>
      </c>
      <c r="L62" s="476">
        <v>0</v>
      </c>
      <c r="M62" s="471"/>
      <c r="N62" s="455" t="s">
        <v>1294</v>
      </c>
      <c r="O62" s="455" t="s">
        <v>813</v>
      </c>
    </row>
    <row r="63" spans="1:15" s="458" customFormat="1" x14ac:dyDescent="0.35">
      <c r="A63" s="304" t="str">
        <f t="shared" si="0"/>
        <v>Residential_Multifamily _Common Area Lighting</v>
      </c>
      <c r="B63" s="455" t="s">
        <v>78</v>
      </c>
      <c r="C63" s="455" t="s">
        <v>1327</v>
      </c>
      <c r="D63" s="459" t="s">
        <v>1334</v>
      </c>
      <c r="E63" s="456">
        <f t="shared" si="6"/>
        <v>0.83000000000000007</v>
      </c>
      <c r="F63" s="477">
        <v>0.23</v>
      </c>
      <c r="G63" s="477">
        <v>0.06</v>
      </c>
      <c r="H63" s="457"/>
      <c r="I63" s="455" t="s">
        <v>812</v>
      </c>
      <c r="J63" s="456" t="s">
        <v>820</v>
      </c>
      <c r="K63" s="456" t="s">
        <v>820</v>
      </c>
      <c r="L63" s="456" t="s">
        <v>820</v>
      </c>
      <c r="M63" s="460" t="s">
        <v>820</v>
      </c>
      <c r="N63" s="459" t="s">
        <v>820</v>
      </c>
      <c r="O63" s="455" t="s">
        <v>813</v>
      </c>
    </row>
    <row r="64" spans="1:15" s="458" customFormat="1" ht="27" x14ac:dyDescent="0.35">
      <c r="A64" s="304" t="str">
        <f t="shared" si="0"/>
        <v>Residential_Online Assessment Kits_LEDs</v>
      </c>
      <c r="B64" s="455" t="s">
        <v>78</v>
      </c>
      <c r="C64" s="455" t="s">
        <v>1335</v>
      </c>
      <c r="D64" s="455" t="s">
        <v>1307</v>
      </c>
      <c r="E64" s="462">
        <v>0.7</v>
      </c>
      <c r="F64" s="462">
        <v>0.38</v>
      </c>
      <c r="G64" s="462">
        <v>0</v>
      </c>
      <c r="H64" s="462">
        <v>0.08</v>
      </c>
      <c r="I64" s="455" t="s">
        <v>1336</v>
      </c>
      <c r="J64" s="456" t="s">
        <v>820</v>
      </c>
      <c r="K64" s="456" t="s">
        <v>820</v>
      </c>
      <c r="L64" s="456" t="s">
        <v>820</v>
      </c>
      <c r="M64" s="456" t="s">
        <v>820</v>
      </c>
      <c r="N64" s="455" t="s">
        <v>820</v>
      </c>
      <c r="O64" s="472" t="s">
        <v>1337</v>
      </c>
    </row>
    <row r="65" spans="1:15" s="458" customFormat="1" x14ac:dyDescent="0.35">
      <c r="A65" s="304" t="str">
        <f t="shared" si="0"/>
        <v>Residential_Online Assessment Kits_Other Non-Lighting Measures</v>
      </c>
      <c r="B65" s="455" t="s">
        <v>78</v>
      </c>
      <c r="C65" s="455" t="s">
        <v>1335</v>
      </c>
      <c r="D65" s="455" t="s">
        <v>1311</v>
      </c>
      <c r="E65" s="456">
        <v>0.9</v>
      </c>
      <c r="F65" s="457"/>
      <c r="G65" s="457"/>
      <c r="H65" s="457"/>
      <c r="I65" s="455" t="s">
        <v>1338</v>
      </c>
      <c r="J65" s="456">
        <v>0.9</v>
      </c>
      <c r="K65" s="456"/>
      <c r="L65" s="456"/>
      <c r="M65" s="456"/>
      <c r="N65" s="455" t="s">
        <v>1339</v>
      </c>
      <c r="O65" s="455" t="s">
        <v>1340</v>
      </c>
    </row>
    <row r="66" spans="1:15" s="458" customFormat="1" ht="27" x14ac:dyDescent="0.35">
      <c r="A66" s="304" t="str">
        <f t="shared" si="0"/>
        <v>Residential_Retail Rebates_Smart Thermostats</v>
      </c>
      <c r="B66" s="455" t="s">
        <v>78</v>
      </c>
      <c r="C66" s="455" t="s">
        <v>1136</v>
      </c>
      <c r="D66" s="455" t="s">
        <v>1341</v>
      </c>
      <c r="E66" s="462">
        <v>0.8</v>
      </c>
      <c r="F66" s="457"/>
      <c r="G66" s="457"/>
      <c r="H66" s="457"/>
      <c r="I66" s="455" t="s">
        <v>1310</v>
      </c>
      <c r="J66" s="462">
        <v>0.8</v>
      </c>
      <c r="K66" s="456"/>
      <c r="L66" s="456"/>
      <c r="M66" s="456"/>
      <c r="N66" s="455" t="s">
        <v>1310</v>
      </c>
      <c r="O66" s="472" t="s">
        <v>1342</v>
      </c>
    </row>
    <row r="67" spans="1:15" s="458" customFormat="1" x14ac:dyDescent="0.35">
      <c r="A67" s="304" t="str">
        <f t="shared" si="0"/>
        <v>Residential_Rural Efficiency Kits_14-watt CFLs</v>
      </c>
      <c r="B67" s="455" t="s">
        <v>78</v>
      </c>
      <c r="C67" s="468" t="s">
        <v>1343</v>
      </c>
      <c r="D67" s="459" t="s">
        <v>1344</v>
      </c>
      <c r="E67" s="460">
        <f t="shared" ref="E67:E76" si="7">1-F67+G67+H67</f>
        <v>0.63</v>
      </c>
      <c r="F67" s="462">
        <v>0.5</v>
      </c>
      <c r="G67" s="462">
        <v>0.13</v>
      </c>
      <c r="H67" s="460"/>
      <c r="I67" s="459" t="s">
        <v>1345</v>
      </c>
      <c r="J67" s="460" t="s">
        <v>820</v>
      </c>
      <c r="K67" s="462" t="s">
        <v>820</v>
      </c>
      <c r="L67" s="462" t="s">
        <v>820</v>
      </c>
      <c r="M67" s="460" t="s">
        <v>820</v>
      </c>
      <c r="N67" s="459" t="s">
        <v>820</v>
      </c>
      <c r="O67" s="459" t="s">
        <v>813</v>
      </c>
    </row>
    <row r="68" spans="1:15" s="458" customFormat="1" x14ac:dyDescent="0.35">
      <c r="A68" s="304" t="str">
        <f t="shared" si="0"/>
        <v>Residential_Rural Efficiency Kits_23-watt CFLs</v>
      </c>
      <c r="B68" s="455" t="s">
        <v>78</v>
      </c>
      <c r="C68" s="468" t="s">
        <v>1343</v>
      </c>
      <c r="D68" s="459" t="s">
        <v>1346</v>
      </c>
      <c r="E68" s="460">
        <f t="shared" si="7"/>
        <v>0.54</v>
      </c>
      <c r="F68" s="462">
        <v>0.59</v>
      </c>
      <c r="G68" s="462">
        <v>0.13</v>
      </c>
      <c r="H68" s="460"/>
      <c r="I68" s="459" t="s">
        <v>1345</v>
      </c>
      <c r="J68" s="460" t="s">
        <v>820</v>
      </c>
      <c r="K68" s="462" t="s">
        <v>820</v>
      </c>
      <c r="L68" s="462" t="s">
        <v>820</v>
      </c>
      <c r="M68" s="460" t="s">
        <v>820</v>
      </c>
      <c r="N68" s="459" t="s">
        <v>820</v>
      </c>
      <c r="O68" s="459" t="s">
        <v>813</v>
      </c>
    </row>
    <row r="69" spans="1:15" s="458" customFormat="1" x14ac:dyDescent="0.35">
      <c r="A69" s="304" t="str">
        <f t="shared" si="0"/>
        <v>Residential_Rural Efficiency Kits_1.75 gpm Showerhead</v>
      </c>
      <c r="B69" s="455" t="s">
        <v>78</v>
      </c>
      <c r="C69" s="468" t="s">
        <v>1343</v>
      </c>
      <c r="D69" s="459" t="s">
        <v>1347</v>
      </c>
      <c r="E69" s="460">
        <f t="shared" si="7"/>
        <v>0.92</v>
      </c>
      <c r="F69" s="462">
        <v>0.21</v>
      </c>
      <c r="G69" s="462">
        <v>0.13</v>
      </c>
      <c r="H69" s="460"/>
      <c r="I69" s="459" t="s">
        <v>1345</v>
      </c>
      <c r="J69" s="460">
        <f>1-K69+L69</f>
        <v>0.83000000000000007</v>
      </c>
      <c r="K69" s="462">
        <v>0.21</v>
      </c>
      <c r="L69" s="462">
        <v>0.04</v>
      </c>
      <c r="M69" s="460"/>
      <c r="N69" s="459" t="s">
        <v>1345</v>
      </c>
      <c r="O69" s="459" t="s">
        <v>813</v>
      </c>
    </row>
    <row r="70" spans="1:15" s="458" customFormat="1" x14ac:dyDescent="0.35">
      <c r="A70" s="304" t="str">
        <f t="shared" si="0"/>
        <v>Residential_Rural Efficiency Kits_1.0 gpm Bathroom Faucet Aerator</v>
      </c>
      <c r="B70" s="455" t="s">
        <v>78</v>
      </c>
      <c r="C70" s="468" t="s">
        <v>1343</v>
      </c>
      <c r="D70" s="459" t="s">
        <v>1348</v>
      </c>
      <c r="E70" s="460">
        <f t="shared" si="7"/>
        <v>1.08</v>
      </c>
      <c r="F70" s="462">
        <v>0.05</v>
      </c>
      <c r="G70" s="462">
        <v>0.13</v>
      </c>
      <c r="H70" s="460"/>
      <c r="I70" s="459" t="s">
        <v>1345</v>
      </c>
      <c r="J70" s="460">
        <f>1-K70+L70</f>
        <v>0.99</v>
      </c>
      <c r="K70" s="462">
        <v>0.05</v>
      </c>
      <c r="L70" s="462">
        <v>0.04</v>
      </c>
      <c r="M70" s="460"/>
      <c r="N70" s="459" t="s">
        <v>1345</v>
      </c>
      <c r="O70" s="459" t="s">
        <v>813</v>
      </c>
    </row>
    <row r="71" spans="1:15" s="458" customFormat="1" x14ac:dyDescent="0.35">
      <c r="A71" s="304" t="str">
        <f t="shared" ref="A71:A84" si="8">B71&amp;"_"&amp;C71&amp;"_"&amp;D71</f>
        <v>Residential_Rural Efficiency Kits_2.0 gpm Kitchen Faucet Aerator</v>
      </c>
      <c r="B71" s="455" t="s">
        <v>78</v>
      </c>
      <c r="C71" s="468" t="s">
        <v>1343</v>
      </c>
      <c r="D71" s="459" t="s">
        <v>1349</v>
      </c>
      <c r="E71" s="460">
        <f t="shared" si="7"/>
        <v>0.99</v>
      </c>
      <c r="F71" s="462">
        <v>0.14000000000000001</v>
      </c>
      <c r="G71" s="462">
        <v>0.13</v>
      </c>
      <c r="H71" s="460"/>
      <c r="I71" s="459" t="s">
        <v>1345</v>
      </c>
      <c r="J71" s="460">
        <f>1-K71+L71</f>
        <v>0.9</v>
      </c>
      <c r="K71" s="462">
        <v>0.14000000000000001</v>
      </c>
      <c r="L71" s="462">
        <v>0.04</v>
      </c>
      <c r="M71" s="460"/>
      <c r="N71" s="459" t="s">
        <v>1345</v>
      </c>
      <c r="O71" s="459" t="s">
        <v>813</v>
      </c>
    </row>
    <row r="72" spans="1:15" s="458" customFormat="1" x14ac:dyDescent="0.35">
      <c r="A72" s="304" t="str">
        <f t="shared" si="8"/>
        <v>Residential_Rural Efficiency Kits_Hot Water Temp Card Thermometer</v>
      </c>
      <c r="B72" s="455" t="s">
        <v>78</v>
      </c>
      <c r="C72" s="468" t="s">
        <v>1343</v>
      </c>
      <c r="D72" s="459" t="s">
        <v>1350</v>
      </c>
      <c r="E72" s="460">
        <f t="shared" si="7"/>
        <v>1.1299999999999999</v>
      </c>
      <c r="F72" s="462">
        <v>0</v>
      </c>
      <c r="G72" s="462">
        <v>0.13</v>
      </c>
      <c r="H72" s="460"/>
      <c r="I72" s="459" t="s">
        <v>1345</v>
      </c>
      <c r="J72" s="460">
        <f>1-K72+L72</f>
        <v>1.04</v>
      </c>
      <c r="K72" s="462">
        <v>0</v>
      </c>
      <c r="L72" s="462">
        <v>0.04</v>
      </c>
      <c r="M72" s="460"/>
      <c r="N72" s="459" t="s">
        <v>1345</v>
      </c>
      <c r="O72" s="459" t="s">
        <v>813</v>
      </c>
    </row>
    <row r="73" spans="1:15" s="458" customFormat="1" x14ac:dyDescent="0.35">
      <c r="A73" s="304" t="str">
        <f t="shared" si="8"/>
        <v>Residential_School Efficiency Kits_CFLs</v>
      </c>
      <c r="B73" s="455" t="s">
        <v>78</v>
      </c>
      <c r="C73" s="455" t="s">
        <v>862</v>
      </c>
      <c r="D73" s="459" t="s">
        <v>859</v>
      </c>
      <c r="E73" s="456">
        <f t="shared" si="7"/>
        <v>0.83000000000000007</v>
      </c>
      <c r="F73" s="462">
        <v>0.43</v>
      </c>
      <c r="G73" s="460">
        <v>0.26</v>
      </c>
      <c r="H73" s="478"/>
      <c r="I73" s="459" t="s">
        <v>863</v>
      </c>
      <c r="J73" s="460" t="s">
        <v>820</v>
      </c>
      <c r="K73" s="460"/>
      <c r="L73" s="460"/>
      <c r="M73" s="460"/>
      <c r="N73" s="459" t="s">
        <v>864</v>
      </c>
      <c r="O73" s="472" t="s">
        <v>1351</v>
      </c>
    </row>
    <row r="74" spans="1:15" s="458" customFormat="1" x14ac:dyDescent="0.35">
      <c r="A74" s="304" t="str">
        <f t="shared" si="8"/>
        <v>Residential_School Efficiency Kits_Showerheads</v>
      </c>
      <c r="B74" s="455" t="s">
        <v>78</v>
      </c>
      <c r="C74" s="455" t="s">
        <v>862</v>
      </c>
      <c r="D74" s="459" t="s">
        <v>861</v>
      </c>
      <c r="E74" s="456">
        <f t="shared" si="7"/>
        <v>1.05</v>
      </c>
      <c r="F74" s="462">
        <v>0.15</v>
      </c>
      <c r="G74" s="460">
        <v>0.2</v>
      </c>
      <c r="H74" s="478"/>
      <c r="I74" s="459" t="s">
        <v>863</v>
      </c>
      <c r="J74" s="456">
        <f>1-K74+L74+M74</f>
        <v>1.05</v>
      </c>
      <c r="K74" s="460">
        <v>0.15</v>
      </c>
      <c r="L74" s="460">
        <v>0.2</v>
      </c>
      <c r="M74" s="479"/>
      <c r="N74" s="459" t="s">
        <v>864</v>
      </c>
      <c r="O74" s="472" t="s">
        <v>1351</v>
      </c>
    </row>
    <row r="75" spans="1:15" s="458" customFormat="1" x14ac:dyDescent="0.35">
      <c r="A75" s="304" t="str">
        <f t="shared" si="8"/>
        <v>Residential_School Efficiency Kits_Faucet Aerators</v>
      </c>
      <c r="B75" s="455" t="s">
        <v>78</v>
      </c>
      <c r="C75" s="455" t="s">
        <v>862</v>
      </c>
      <c r="D75" s="459" t="s">
        <v>860</v>
      </c>
      <c r="E75" s="456">
        <f t="shared" si="7"/>
        <v>1.04</v>
      </c>
      <c r="F75" s="462">
        <v>0.13</v>
      </c>
      <c r="G75" s="460">
        <v>0.17</v>
      </c>
      <c r="H75" s="478"/>
      <c r="I75" s="459" t="s">
        <v>863</v>
      </c>
      <c r="J75" s="456">
        <f>1-K75+L75+M75</f>
        <v>1.04</v>
      </c>
      <c r="K75" s="460">
        <v>0.13</v>
      </c>
      <c r="L75" s="460">
        <v>0.17</v>
      </c>
      <c r="M75" s="479"/>
      <c r="N75" s="459" t="s">
        <v>864</v>
      </c>
      <c r="O75" s="472" t="s">
        <v>1351</v>
      </c>
    </row>
    <row r="76" spans="1:15" s="458" customFormat="1" x14ac:dyDescent="0.35">
      <c r="A76" s="304" t="str">
        <f t="shared" si="8"/>
        <v>Residential_School Efficiency Kits_Water Heater Setback</v>
      </c>
      <c r="B76" s="455" t="s">
        <v>78</v>
      </c>
      <c r="C76" s="455" t="s">
        <v>862</v>
      </c>
      <c r="D76" s="459" t="s">
        <v>865</v>
      </c>
      <c r="E76" s="456">
        <f t="shared" si="7"/>
        <v>1</v>
      </c>
      <c r="F76" s="462">
        <v>0</v>
      </c>
      <c r="G76" s="462">
        <v>0</v>
      </c>
      <c r="H76" s="478"/>
      <c r="I76" s="459" t="s">
        <v>866</v>
      </c>
      <c r="J76" s="456">
        <f>1-K76+L76+M76</f>
        <v>1</v>
      </c>
      <c r="K76" s="462">
        <v>0</v>
      </c>
      <c r="L76" s="462">
        <v>0</v>
      </c>
      <c r="M76" s="479"/>
      <c r="N76" s="459" t="s">
        <v>866</v>
      </c>
      <c r="O76" s="475" t="s">
        <v>867</v>
      </c>
    </row>
    <row r="77" spans="1:15" x14ac:dyDescent="0.35">
      <c r="A77" s="304" t="str">
        <f t="shared" si="8"/>
        <v>Residential_Single-Family Moderate Income_LEDs</v>
      </c>
      <c r="B77" s="305" t="s">
        <v>78</v>
      </c>
      <c r="C77" s="305" t="s">
        <v>1352</v>
      </c>
      <c r="D77" s="305" t="s">
        <v>1307</v>
      </c>
      <c r="E77" s="480">
        <v>0.91</v>
      </c>
      <c r="F77" s="306"/>
      <c r="G77" s="306"/>
      <c r="H77" s="306"/>
      <c r="I77" s="305" t="s">
        <v>1353</v>
      </c>
      <c r="J77" s="480" t="s">
        <v>820</v>
      </c>
      <c r="K77" s="480" t="s">
        <v>820</v>
      </c>
      <c r="L77" s="480" t="s">
        <v>820</v>
      </c>
      <c r="M77" s="480" t="s">
        <v>820</v>
      </c>
      <c r="N77" s="305" t="s">
        <v>820</v>
      </c>
      <c r="O77" s="2898" t="s">
        <v>1354</v>
      </c>
    </row>
    <row r="78" spans="1:15" x14ac:dyDescent="0.35">
      <c r="A78" s="304" t="str">
        <f t="shared" si="8"/>
        <v>Residential_Single-Family Moderate Income_Faucet Aerator</v>
      </c>
      <c r="B78" s="305" t="s">
        <v>78</v>
      </c>
      <c r="C78" s="305" t="s">
        <v>1352</v>
      </c>
      <c r="D78" s="305" t="s">
        <v>844</v>
      </c>
      <c r="E78" s="480">
        <v>0.96</v>
      </c>
      <c r="F78" s="306"/>
      <c r="G78" s="306"/>
      <c r="H78" s="306"/>
      <c r="I78" s="305" t="s">
        <v>1353</v>
      </c>
      <c r="J78" s="480">
        <v>0.97</v>
      </c>
      <c r="K78" s="480"/>
      <c r="L78" s="480"/>
      <c r="M78" s="480"/>
      <c r="N78" s="305" t="s">
        <v>1353</v>
      </c>
      <c r="O78" s="2899"/>
    </row>
    <row r="79" spans="1:15" x14ac:dyDescent="0.35">
      <c r="A79" s="304" t="str">
        <f t="shared" si="8"/>
        <v>Residential_Single-Family Moderate Income_Showerhead</v>
      </c>
      <c r="B79" s="305" t="s">
        <v>78</v>
      </c>
      <c r="C79" s="305" t="s">
        <v>1352</v>
      </c>
      <c r="D79" s="305" t="s">
        <v>845</v>
      </c>
      <c r="E79" s="480">
        <v>0.93</v>
      </c>
      <c r="F79" s="306"/>
      <c r="G79" s="306"/>
      <c r="H79" s="306"/>
      <c r="I79" s="305" t="s">
        <v>1353</v>
      </c>
      <c r="J79" s="480">
        <v>0.96</v>
      </c>
      <c r="K79" s="480"/>
      <c r="L79" s="480"/>
      <c r="M79" s="480"/>
      <c r="N79" s="305" t="s">
        <v>1353</v>
      </c>
      <c r="O79" s="2899"/>
    </row>
    <row r="80" spans="1:15" x14ac:dyDescent="0.35">
      <c r="A80" s="304" t="str">
        <f t="shared" si="8"/>
        <v>Residential_Single-Family Moderate Income_Air Sealing</v>
      </c>
      <c r="B80" s="305" t="s">
        <v>78</v>
      </c>
      <c r="C80" s="305" t="s">
        <v>1352</v>
      </c>
      <c r="D80" s="305" t="s">
        <v>711</v>
      </c>
      <c r="E80" s="480">
        <v>0.86</v>
      </c>
      <c r="F80" s="306"/>
      <c r="G80" s="306"/>
      <c r="H80" s="306"/>
      <c r="I80" s="305" t="s">
        <v>1353</v>
      </c>
      <c r="J80" s="480">
        <v>0.86</v>
      </c>
      <c r="K80" s="480"/>
      <c r="L80" s="480"/>
      <c r="M80" s="480"/>
      <c r="N80" s="305" t="s">
        <v>1353</v>
      </c>
      <c r="O80" s="2899"/>
    </row>
    <row r="81" spans="1:15" x14ac:dyDescent="0.35">
      <c r="A81" s="304" t="str">
        <f t="shared" si="8"/>
        <v>Residential_Single-Family Moderate Income_Insulation</v>
      </c>
      <c r="B81" s="305" t="s">
        <v>78</v>
      </c>
      <c r="C81" s="305" t="s">
        <v>1352</v>
      </c>
      <c r="D81" s="305" t="s">
        <v>847</v>
      </c>
      <c r="E81" s="480">
        <v>0.89</v>
      </c>
      <c r="F81" s="306"/>
      <c r="G81" s="306"/>
      <c r="H81" s="306"/>
      <c r="I81" s="305" t="s">
        <v>1353</v>
      </c>
      <c r="J81" s="480">
        <v>0.89</v>
      </c>
      <c r="K81" s="480"/>
      <c r="L81" s="480"/>
      <c r="M81" s="480"/>
      <c r="N81" s="305" t="s">
        <v>1353</v>
      </c>
      <c r="O81" s="2899"/>
    </row>
    <row r="82" spans="1:15" x14ac:dyDescent="0.35">
      <c r="A82" s="304" t="str">
        <f t="shared" si="8"/>
        <v>Residential_Single-Family Moderate Income_Programmable/Smart Thermostat</v>
      </c>
      <c r="B82" s="305" t="s">
        <v>78</v>
      </c>
      <c r="C82" s="305" t="s">
        <v>1352</v>
      </c>
      <c r="D82" s="305" t="s">
        <v>1355</v>
      </c>
      <c r="E82" s="480">
        <v>0.94</v>
      </c>
      <c r="F82" s="306"/>
      <c r="G82" s="306"/>
      <c r="H82" s="306"/>
      <c r="I82" s="305" t="s">
        <v>1353</v>
      </c>
      <c r="J82" s="480">
        <v>0.94</v>
      </c>
      <c r="K82" s="480"/>
      <c r="L82" s="480"/>
      <c r="M82" s="480"/>
      <c r="N82" s="305" t="s">
        <v>1353</v>
      </c>
      <c r="O82" s="2900"/>
    </row>
    <row r="83" spans="1:15" x14ac:dyDescent="0.35">
      <c r="A83" s="304" t="str">
        <f t="shared" si="8"/>
        <v>Residential_Single-Family Moderate Income_Other Non-Lighting Measures</v>
      </c>
      <c r="B83" s="305" t="s">
        <v>78</v>
      </c>
      <c r="C83" s="305" t="s">
        <v>1352</v>
      </c>
      <c r="D83" s="305" t="s">
        <v>1311</v>
      </c>
      <c r="E83" s="480">
        <v>0.9</v>
      </c>
      <c r="F83" s="306"/>
      <c r="G83" s="306"/>
      <c r="H83" s="306"/>
      <c r="I83" s="305" t="s">
        <v>1310</v>
      </c>
      <c r="J83" s="480">
        <v>0.9</v>
      </c>
      <c r="K83" s="480"/>
      <c r="L83" s="480"/>
      <c r="M83" s="480"/>
      <c r="N83" s="305" t="s">
        <v>1310</v>
      </c>
      <c r="O83" s="308" t="s">
        <v>1356</v>
      </c>
    </row>
    <row r="84" spans="1:15" s="458" customFormat="1" x14ac:dyDescent="0.35">
      <c r="A84" s="304" t="str">
        <f t="shared" si="8"/>
        <v>Residential_STEP_All Measures</v>
      </c>
      <c r="B84" s="455" t="s">
        <v>78</v>
      </c>
      <c r="C84" s="455" t="s">
        <v>1357</v>
      </c>
      <c r="D84" s="459" t="s">
        <v>1283</v>
      </c>
      <c r="E84" s="456">
        <v>0.98</v>
      </c>
      <c r="F84" s="456"/>
      <c r="G84" s="456"/>
      <c r="H84" s="456"/>
      <c r="I84" s="465" t="s">
        <v>1288</v>
      </c>
      <c r="J84" s="456">
        <v>0.98</v>
      </c>
      <c r="K84" s="456" t="s">
        <v>820</v>
      </c>
      <c r="L84" s="456" t="s">
        <v>820</v>
      </c>
      <c r="M84" s="456" t="s">
        <v>820</v>
      </c>
      <c r="N84" s="465" t="s">
        <v>1288</v>
      </c>
      <c r="O84" s="455" t="s">
        <v>1289</v>
      </c>
    </row>
  </sheetData>
  <autoFilter ref="B6:O84" xr:uid="{00000000-0009-0000-0000-000008000000}">
    <filterColumn colId="0">
      <filters>
        <filter val="Residential"/>
      </filters>
    </filterColumn>
  </autoFilter>
  <mergeCells count="3">
    <mergeCell ref="E5:I5"/>
    <mergeCell ref="J5:N5"/>
    <mergeCell ref="O77:O82"/>
  </mergeCells>
  <pageMargins left="0.7" right="0.7" top="0.75" bottom="0.75" header="0.3" footer="0.3"/>
  <pageSetup scale="50" orientation="landscape" r:id="rId1"/>
  <headerFooter>
    <oddHeader>&amp;LAppendix G (Rev.)&amp;CNTG-RES</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6CD2BA966C15E49B5574E4464D565FA" ma:contentTypeVersion="" ma:contentTypeDescription="Create a new document." ma:contentTypeScope="" ma:versionID="dde0e03d9cacad1f08865b24a2318324">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DB270B-A761-4FC8-8D68-19B7DEBC9566}">
  <ds:schemaRefs>
    <ds:schemaRef ds:uri="http://purl.org/dc/elements/1.1/"/>
    <ds:schemaRef ds:uri="http://schemas.microsoft.com/office/2006/metadata/properties"/>
    <ds:schemaRef ds:uri="$ListId:Library;"/>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ED2EE21-E013-4610-85E6-A5D11A62BA2F}">
  <ds:schemaRefs>
    <ds:schemaRef ds:uri="http://schemas.microsoft.com/sharepoint/v3/contenttype/forms"/>
  </ds:schemaRefs>
</ds:datastoreItem>
</file>

<file path=customXml/itemProps3.xml><?xml version="1.0" encoding="utf-8"?>
<ds:datastoreItem xmlns:ds="http://schemas.openxmlformats.org/officeDocument/2006/customXml" ds:itemID="{C196721D-62EB-4C11-875A-D33517E84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27</vt:i4>
      </vt:variant>
    </vt:vector>
  </HeadingPairs>
  <TitlesOfParts>
    <vt:vector size="87" baseType="lpstr">
      <vt:lpstr>v8 Revisions</vt:lpstr>
      <vt:lpstr>v9 Revisions</vt:lpstr>
      <vt:lpstr>Program-Level Adj Gas</vt:lpstr>
      <vt:lpstr>Measure-Level Adj Gas</vt:lpstr>
      <vt:lpstr>Sheet4</vt:lpstr>
      <vt:lpstr>Portfolio Summary</vt:lpstr>
      <vt:lpstr>Measure Level Adjustments Tab</vt:lpstr>
      <vt:lpstr>Measure Codes</vt:lpstr>
      <vt:lpstr>NTG-RES</vt:lpstr>
      <vt:lpstr>NTG -BUS</vt:lpstr>
      <vt:lpstr>ComEd Appliance NTG</vt:lpstr>
      <vt:lpstr>Assumptions</vt:lpstr>
      <vt:lpstr>RES Shell</vt:lpstr>
      <vt:lpstr>RES HVAC</vt:lpstr>
      <vt:lpstr>RES DHW</vt:lpstr>
      <vt:lpstr>BUS Measure-Model Summary</vt:lpstr>
      <vt:lpstr>BUS Infrared Heaters</vt:lpstr>
      <vt:lpstr>BUS Low Flow Showerheads</vt:lpstr>
      <vt:lpstr>BUS Low Flow Showerheads SB</vt:lpstr>
      <vt:lpstr>BUS Low Flow Showerheads PS</vt:lpstr>
      <vt:lpstr>BUS Ozone Laundry</vt:lpstr>
      <vt:lpstr>BUS Ozone Laundry SB</vt:lpstr>
      <vt:lpstr>BUS Ozone Laundry PS</vt:lpstr>
      <vt:lpstr>BUS - BPAR1 (TRM)</vt:lpstr>
      <vt:lpstr>BUS - BPAR1 SB (TRM)</vt:lpstr>
      <vt:lpstr>BUS - BPAR1 PS (TRM)</vt:lpstr>
      <vt:lpstr>BUS - BPAR1 (TRM) (LFR)</vt:lpstr>
      <vt:lpstr>BUS - BPAR1 SB (TRM) (LFR)</vt:lpstr>
      <vt:lpstr>BUS - BPAR1 PS (TRM) (LFR)</vt:lpstr>
      <vt:lpstr>BUS- BPCK12 (TRM)</vt:lpstr>
      <vt:lpstr>BUS - BPCK12 PS (TRM)</vt:lpstr>
      <vt:lpstr>BUS- BPCK21 (TRM)</vt:lpstr>
      <vt:lpstr>BUS- BPCK21 SB (TRM)</vt:lpstr>
      <vt:lpstr>BUS - BPCK21 PS (TRM)</vt:lpstr>
      <vt:lpstr>BUS-BPH1 (TRM)</vt:lpstr>
      <vt:lpstr>BUS - BPH1 PS (TRM)</vt:lpstr>
      <vt:lpstr>BUS- BPH4 (TRM)</vt:lpstr>
      <vt:lpstr>BUS - BPH4 PS (TRM)</vt:lpstr>
      <vt:lpstr>BUS - BPH7 (TRM)</vt:lpstr>
      <vt:lpstr>BUS - BPH7 PS (TRM)</vt:lpstr>
      <vt:lpstr>BUS - BPH8 (TRM)</vt:lpstr>
      <vt:lpstr>BUS - BPH9 SB (TRM)</vt:lpstr>
      <vt:lpstr>BUS - BPH8 PS (TRM)</vt:lpstr>
      <vt:lpstr>BUS - BPH9 (TRM)</vt:lpstr>
      <vt:lpstr>BUS - BPH9 PS (TRM)</vt:lpstr>
      <vt:lpstr>BUS - BPH20 (TRM)</vt:lpstr>
      <vt:lpstr>BUS - BPH20 PS (TRM)</vt:lpstr>
      <vt:lpstr>BUS - BPST2 (TRM)</vt:lpstr>
      <vt:lpstr>BUS - BPST2 PS (TRM)</vt:lpstr>
      <vt:lpstr>BUS - BPST5 (TRM)</vt:lpstr>
      <vt:lpstr>BUS - BPST5 PS (TRM)</vt:lpstr>
      <vt:lpstr>BUS - BPST6</vt:lpstr>
      <vt:lpstr>BUS - BPM10 (TRM)</vt:lpstr>
      <vt:lpstr>BUS - BPM10 PS (TRM)</vt:lpstr>
      <vt:lpstr>BUS- BPWH4 (TRM)</vt:lpstr>
      <vt:lpstr>BUS - BPWH4 PS (TRM)</vt:lpstr>
      <vt:lpstr>BUS- BPWH5 (TRM)</vt:lpstr>
      <vt:lpstr>BUS - BPWH5 PS (TRM)</vt:lpstr>
      <vt:lpstr>BUS Measure-Level Details</vt:lpstr>
      <vt:lpstr>2018 Plan Data</vt:lpstr>
      <vt:lpstr>'BUS - BPH9 (TRM)'!_ftn1</vt:lpstr>
      <vt:lpstr>'BUS - BPH9 PS (TRM)'!_ftn1</vt:lpstr>
      <vt:lpstr>'BUS - BPH9 SB (TRM)'!_ftn1</vt:lpstr>
      <vt:lpstr>'BUS - BPH9 (TRM)'!_ftn2</vt:lpstr>
      <vt:lpstr>'BUS - BPH9 PS (TRM)'!_ftn2</vt:lpstr>
      <vt:lpstr>'BUS - BPH9 SB (TRM)'!_ftn2</vt:lpstr>
      <vt:lpstr>'BUS - BPH9 (TRM)'!_ftn3</vt:lpstr>
      <vt:lpstr>'BUS - BPH9 PS (TRM)'!_ftn3</vt:lpstr>
      <vt:lpstr>'BUS - BPH9 SB (TRM)'!_ftn3</vt:lpstr>
      <vt:lpstr>'BUS - BPH9 (TRM)'!_ftnref1</vt:lpstr>
      <vt:lpstr>'BUS - BPH9 PS (TRM)'!_ftnref1</vt:lpstr>
      <vt:lpstr>'BUS - BPH9 SB (TRM)'!_ftnref1</vt:lpstr>
      <vt:lpstr>'BUS - BPH9 (TRM)'!_ftnref2</vt:lpstr>
      <vt:lpstr>'BUS - BPH9 PS (TRM)'!_ftnref2</vt:lpstr>
      <vt:lpstr>'BUS - BPH9 SB (TRM)'!_ftnref2</vt:lpstr>
      <vt:lpstr>'BUS - BPH9 (TRM)'!_ftnref3</vt:lpstr>
      <vt:lpstr>'BUS - BPH9 PS (TRM)'!_ftnref3</vt:lpstr>
      <vt:lpstr>'BUS - BPH9 SB (TRM)'!_ftnref3</vt:lpstr>
      <vt:lpstr>'v8 Revisions'!_Hlk514074254</vt:lpstr>
      <vt:lpstr>'v9 Revisions'!_Toc51846667</vt:lpstr>
      <vt:lpstr>'ComEd Appliance NTG'!Print_Area</vt:lpstr>
      <vt:lpstr>'Measure-Level Adj Gas'!Print_Area</vt:lpstr>
      <vt:lpstr>'NTG-RES'!Print_Area</vt:lpstr>
      <vt:lpstr>'Program-Level Adj Gas'!Print_Area</vt:lpstr>
      <vt:lpstr>'ComEd Appliance NTG'!Print_Titles</vt:lpstr>
      <vt:lpstr>'Measure-Level Adj Gas'!Print_Titles</vt:lpstr>
      <vt:lpstr>'Program-Level Adj Gas'!Print_Titles</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Nielsen, Victoria</dc:creator>
  <cp:lastModifiedBy>CJ Consulting</cp:lastModifiedBy>
  <cp:lastPrinted>2017-10-11T18:45:12Z</cp:lastPrinted>
  <dcterms:created xsi:type="dcterms:W3CDTF">2016-11-02T15:31:45Z</dcterms:created>
  <dcterms:modified xsi:type="dcterms:W3CDTF">2021-02-23T20:01:59Z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0x01010056CD2BA966C15E49B5574E4464D565FA</vt:lpwstr>
  </property>
  <property fmtid="{D5CDD505-2E9C-101B-9397-08002B2CF9AE}" pid="3" name="SV_QUERY_LIST_4F35BF76-6C0D-4D9B-82B2-816C12CF3733">
    <vt:lpwstr>empty_477D106A-C0D6-4607-AEBD-E2C9D60EA279</vt:lpwstr>
  </property>
</Properties>
</file>